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oftBank\1405 - 06\Excels\Mazandasht_System\"/>
    </mc:Choice>
  </mc:AlternateContent>
  <bookViews>
    <workbookView xWindow="0" yWindow="0" windowWidth="20460" windowHeight="6630"/>
  </bookViews>
  <sheets>
    <sheet name="Report" sheetId="1" r:id="rId1"/>
    <sheet name="Sync" sheetId="2" r:id="rId2"/>
    <sheet name="Calc" sheetId="3" r:id="rId3"/>
    <sheet name="Ledger" sheetId="4" r:id="rId4"/>
    <sheet name="Help" sheetId="5" r:id="rId5"/>
  </sheets>
  <externalReferences>
    <externalReference r:id="rId6"/>
    <externalReference r:id="rId7"/>
    <externalReference r:id="rId8"/>
  </externalReferences>
  <definedNames>
    <definedName name="AcctCodes">Sync!$A$6:$A$565</definedName>
    <definedName name="AcctTbl">Sync!$A$6:$G$565</definedName>
    <definedName name="LdgBankB">Sync!$AG$6:$AG$2005</definedName>
    <definedName name="LdgDateB">Ledger!$J$6:$J$2005</definedName>
    <definedName name="LdgDepB">Sync!$AK$6:$AK$2005</definedName>
    <definedName name="LdgKeyA">Ledger!$B$6:$B$2005</definedName>
    <definedName name="LdgKeyB">Ledger!$K$6:$K$2005</definedName>
    <definedName name="LdgNoteB">Sync!$AM$6:$AM$2005</definedName>
    <definedName name="LdgRankKeyA">Ledger!$D$6:$D$2005</definedName>
    <definedName name="LdgRankKeyB">Ledger!$M$6:$M$2005</definedName>
    <definedName name="LdgSellerA">Ledger!$A$6:$A$2005</definedName>
    <definedName name="LdgSellerB">Ledger!$F$6:$F$2005</definedName>
    <definedName name="LdgWitB">Sync!$AL$6:$AL$2005</definedName>
    <definedName name="OpTbl">Sync!$J$6:$L$25</definedName>
    <definedName name="ParamTbl">Sync!$N$6:$P$17</definedName>
    <definedName name="_xlnm.Print_Area" localSheetId="0">Report!$A$1:$I$2016</definedName>
    <definedName name="_xlnm.Print_Titles" localSheetId="0">Report!$15:$16</definedName>
    <definedName name="SCAmount">Calc!$N$10:$N$2009</definedName>
    <definedName name="SCCitrus">Calc!$J$10:$J$2009</definedName>
    <definedName name="SCDoc">Calc!$O$10:$O$2009</definedName>
    <definedName name="SCNet">Calc!$M$10:$M$2009</definedName>
    <definedName name="SCNormDate">Calc!$E$10:$E$2009</definedName>
    <definedName name="SCNotes">Calc!$P$10:$P$2009</definedName>
    <definedName name="SCOp">Calc!$H$10:$H$2009</definedName>
    <definedName name="SCSeller">Calc!$G$10:$G$2009</definedName>
    <definedName name="SCSub">Calc!$I$10:$I$2009</definedName>
    <definedName name="SCTime">Calc!$Q$10:$Q$2009</definedName>
    <definedName name="SCYM">Calc!$F$10:$F$2009</definedName>
    <definedName name="SellerAddr">Sync!$G$6:$G$565</definedName>
    <definedName name="SellerMobile">Sync!$F$6:$F$565</definedName>
    <definedName name="SellerPhone">Sync!$E$6:$E$565</definedName>
  </definedNames>
  <calcPr calcId="152511"/>
</workbook>
</file>

<file path=xl/calcChain.xml><?xml version="1.0" encoding="utf-8"?>
<calcChain xmlns="http://schemas.openxmlformats.org/spreadsheetml/2006/main">
  <c r="AM2005" i="2" l="1"/>
  <c r="AL2005" i="2"/>
  <c r="AK2005" i="2"/>
  <c r="AJ2005" i="2"/>
  <c r="AI2005" i="2"/>
  <c r="AH2005" i="2"/>
  <c r="F2005" i="4" s="1"/>
  <c r="AG2005" i="2"/>
  <c r="AF2005" i="2"/>
  <c r="AE2005" i="2"/>
  <c r="AD2005" i="2"/>
  <c r="AC2005" i="2"/>
  <c r="AB2005" i="2"/>
  <c r="AA2005" i="2"/>
  <c r="Z2005" i="2"/>
  <c r="Y2005" i="2"/>
  <c r="X2005" i="2"/>
  <c r="W2005" i="2"/>
  <c r="V2005" i="2"/>
  <c r="U2005" i="2"/>
  <c r="T2005" i="2"/>
  <c r="A2009" i="3" s="1"/>
  <c r="AM2004" i="2"/>
  <c r="AL2004" i="2"/>
  <c r="AK2004" i="2"/>
  <c r="AJ2004" i="2"/>
  <c r="AI2004" i="2"/>
  <c r="AH2004" i="2"/>
  <c r="F2004" i="4" s="1"/>
  <c r="AG2004" i="2"/>
  <c r="AF2004" i="2"/>
  <c r="AE2004" i="2"/>
  <c r="AD2004" i="2"/>
  <c r="AC2004" i="2"/>
  <c r="AB2004" i="2"/>
  <c r="AA2004" i="2"/>
  <c r="Z2004" i="2"/>
  <c r="Y2004" i="2"/>
  <c r="X2004" i="2"/>
  <c r="W2004" i="2"/>
  <c r="V2004" i="2"/>
  <c r="U2004" i="2"/>
  <c r="T2004" i="2"/>
  <c r="A2008" i="3" s="1"/>
  <c r="AM2003" i="2"/>
  <c r="AL2003" i="2"/>
  <c r="AK2003" i="2"/>
  <c r="AJ2003" i="2"/>
  <c r="AI2003" i="2"/>
  <c r="AH2003" i="2"/>
  <c r="F2003" i="4" s="1"/>
  <c r="AG2003" i="2"/>
  <c r="AF2003" i="2"/>
  <c r="AE2003" i="2"/>
  <c r="AD2003" i="2"/>
  <c r="AC2003" i="2"/>
  <c r="AB2003" i="2"/>
  <c r="AA2003" i="2"/>
  <c r="Z2003" i="2"/>
  <c r="Y2003" i="2"/>
  <c r="X2003" i="2"/>
  <c r="W2003" i="2"/>
  <c r="V2003" i="2"/>
  <c r="U2003" i="2"/>
  <c r="T2003" i="2"/>
  <c r="A2007" i="3" s="1"/>
  <c r="AM2002" i="2"/>
  <c r="AL2002" i="2"/>
  <c r="AK2002" i="2"/>
  <c r="AJ2002" i="2"/>
  <c r="AI2002" i="2"/>
  <c r="AH2002" i="2"/>
  <c r="F2002" i="4" s="1"/>
  <c r="AG2002" i="2"/>
  <c r="AF2002" i="2"/>
  <c r="AE2002" i="2"/>
  <c r="AD2002" i="2"/>
  <c r="AC2002" i="2"/>
  <c r="AB2002" i="2"/>
  <c r="AA2002" i="2"/>
  <c r="Z2002" i="2"/>
  <c r="Y2002" i="2"/>
  <c r="X2002" i="2"/>
  <c r="W2002" i="2"/>
  <c r="V2002" i="2"/>
  <c r="U2002" i="2"/>
  <c r="T2002" i="2"/>
  <c r="A2006" i="3" s="1"/>
  <c r="AM2001" i="2"/>
  <c r="AL2001" i="2"/>
  <c r="AK2001" i="2"/>
  <c r="AJ2001" i="2"/>
  <c r="AI2001" i="2"/>
  <c r="AH2001" i="2"/>
  <c r="F2001" i="4" s="1"/>
  <c r="AG2001" i="2"/>
  <c r="AF2001" i="2"/>
  <c r="AE2001" i="2"/>
  <c r="AD2001" i="2"/>
  <c r="AC2001" i="2"/>
  <c r="AB2001" i="2"/>
  <c r="AA2001" i="2"/>
  <c r="Z2001" i="2"/>
  <c r="Y2001" i="2"/>
  <c r="X2001" i="2"/>
  <c r="W2001" i="2"/>
  <c r="V2001" i="2"/>
  <c r="U2001" i="2"/>
  <c r="T2001" i="2"/>
  <c r="A2005" i="3" s="1"/>
  <c r="AM2000" i="2"/>
  <c r="AL2000" i="2"/>
  <c r="AK2000" i="2"/>
  <c r="AJ2000" i="2"/>
  <c r="AI2000" i="2"/>
  <c r="AH2000" i="2"/>
  <c r="F2000" i="4" s="1"/>
  <c r="AG2000" i="2"/>
  <c r="AF2000" i="2"/>
  <c r="AE2000" i="2"/>
  <c r="AD2000" i="2"/>
  <c r="AC2000" i="2"/>
  <c r="AB2000" i="2"/>
  <c r="AA2000" i="2"/>
  <c r="Z2000" i="2"/>
  <c r="Y2000" i="2"/>
  <c r="X2000" i="2"/>
  <c r="W2000" i="2"/>
  <c r="V2000" i="2"/>
  <c r="U2000" i="2"/>
  <c r="T2000" i="2"/>
  <c r="A2004" i="3" s="1"/>
  <c r="AM1999" i="2"/>
  <c r="AL1999" i="2"/>
  <c r="AK1999" i="2"/>
  <c r="AJ1999" i="2"/>
  <c r="AI1999" i="2"/>
  <c r="AH1999" i="2"/>
  <c r="F1999" i="4" s="1"/>
  <c r="AG1999" i="2"/>
  <c r="AF1999" i="2"/>
  <c r="AE1999" i="2"/>
  <c r="AD1999" i="2"/>
  <c r="AC1999" i="2"/>
  <c r="AB1999" i="2"/>
  <c r="AA1999" i="2"/>
  <c r="Z1999" i="2"/>
  <c r="Y1999" i="2"/>
  <c r="X1999" i="2"/>
  <c r="W1999" i="2"/>
  <c r="V1999" i="2"/>
  <c r="U1999" i="2"/>
  <c r="T1999" i="2"/>
  <c r="A2003" i="3" s="1"/>
  <c r="AM1998" i="2"/>
  <c r="AL1998" i="2"/>
  <c r="AK1998" i="2"/>
  <c r="AJ1998" i="2"/>
  <c r="AI1998" i="2"/>
  <c r="AH1998" i="2"/>
  <c r="F1998" i="4" s="1"/>
  <c r="AG1998" i="2"/>
  <c r="AF1998" i="2"/>
  <c r="AE1998" i="2"/>
  <c r="AD1998" i="2"/>
  <c r="AC1998" i="2"/>
  <c r="AB1998" i="2"/>
  <c r="AA1998" i="2"/>
  <c r="Z1998" i="2"/>
  <c r="Y1998" i="2"/>
  <c r="X1998" i="2"/>
  <c r="W1998" i="2"/>
  <c r="V1998" i="2"/>
  <c r="U1998" i="2"/>
  <c r="T1998" i="2"/>
  <c r="A2002" i="3" s="1"/>
  <c r="AM1997" i="2"/>
  <c r="AL1997" i="2"/>
  <c r="AK1997" i="2"/>
  <c r="AJ1997" i="2"/>
  <c r="AI1997" i="2"/>
  <c r="AH1997" i="2"/>
  <c r="F1997" i="4" s="1"/>
  <c r="AG1997" i="2"/>
  <c r="AF1997" i="2"/>
  <c r="AE1997" i="2"/>
  <c r="AD1997" i="2"/>
  <c r="AC1997" i="2"/>
  <c r="AB1997" i="2"/>
  <c r="AA1997" i="2"/>
  <c r="Z1997" i="2"/>
  <c r="Y1997" i="2"/>
  <c r="X1997" i="2"/>
  <c r="W1997" i="2"/>
  <c r="V1997" i="2"/>
  <c r="U1997" i="2"/>
  <c r="T1997" i="2"/>
  <c r="A2001" i="3" s="1"/>
  <c r="AM1996" i="2"/>
  <c r="AL1996" i="2"/>
  <c r="AK1996" i="2"/>
  <c r="AJ1996" i="2"/>
  <c r="AI1996" i="2"/>
  <c r="AH1996" i="2"/>
  <c r="F1996" i="4" s="1"/>
  <c r="AG1996" i="2"/>
  <c r="AF1996" i="2"/>
  <c r="AE1996" i="2"/>
  <c r="AD1996" i="2"/>
  <c r="AC1996" i="2"/>
  <c r="AB1996" i="2"/>
  <c r="AA1996" i="2"/>
  <c r="Z1996" i="2"/>
  <c r="Y1996" i="2"/>
  <c r="X1996" i="2"/>
  <c r="W1996" i="2"/>
  <c r="V1996" i="2"/>
  <c r="U1996" i="2"/>
  <c r="T1996" i="2"/>
  <c r="A2000" i="3" s="1"/>
  <c r="AM1995" i="2"/>
  <c r="AL1995" i="2"/>
  <c r="AK1995" i="2"/>
  <c r="AJ1995" i="2"/>
  <c r="AI1995" i="2"/>
  <c r="AH1995" i="2"/>
  <c r="F1995" i="4" s="1"/>
  <c r="AG1995" i="2"/>
  <c r="AF1995" i="2"/>
  <c r="AE1995" i="2"/>
  <c r="AD1995" i="2"/>
  <c r="AC1995" i="2"/>
  <c r="AB1995" i="2"/>
  <c r="AA1995" i="2"/>
  <c r="Z1995" i="2"/>
  <c r="Y1995" i="2"/>
  <c r="X1995" i="2"/>
  <c r="W1995" i="2"/>
  <c r="V1995" i="2"/>
  <c r="U1995" i="2"/>
  <c r="T1995" i="2"/>
  <c r="A1999" i="3" s="1"/>
  <c r="AM1994" i="2"/>
  <c r="AL1994" i="2"/>
  <c r="AK1994" i="2"/>
  <c r="AJ1994" i="2"/>
  <c r="AI1994" i="2"/>
  <c r="AH1994" i="2"/>
  <c r="F1994" i="4" s="1"/>
  <c r="AG1994" i="2"/>
  <c r="AF1994" i="2"/>
  <c r="AE1994" i="2"/>
  <c r="AD1994" i="2"/>
  <c r="AC1994" i="2"/>
  <c r="AB1994" i="2"/>
  <c r="AA1994" i="2"/>
  <c r="Z1994" i="2"/>
  <c r="Y1994" i="2"/>
  <c r="X1994" i="2"/>
  <c r="W1994" i="2"/>
  <c r="V1994" i="2"/>
  <c r="U1994" i="2"/>
  <c r="T1994" i="2"/>
  <c r="A1998" i="3" s="1"/>
  <c r="AM1993" i="2"/>
  <c r="AL1993" i="2"/>
  <c r="AK1993" i="2"/>
  <c r="AJ1993" i="2"/>
  <c r="AI1993" i="2"/>
  <c r="AH1993" i="2"/>
  <c r="F1993" i="4" s="1"/>
  <c r="AG1993" i="2"/>
  <c r="AF1993" i="2"/>
  <c r="AE1993" i="2"/>
  <c r="AD1993" i="2"/>
  <c r="AC1993" i="2"/>
  <c r="AB1993" i="2"/>
  <c r="AA1993" i="2"/>
  <c r="Z1993" i="2"/>
  <c r="Y1993" i="2"/>
  <c r="X1993" i="2"/>
  <c r="W1993" i="2"/>
  <c r="V1993" i="2"/>
  <c r="U1993" i="2"/>
  <c r="T1993" i="2"/>
  <c r="A1997" i="3" s="1"/>
  <c r="AM1992" i="2"/>
  <c r="AL1992" i="2"/>
  <c r="AK1992" i="2"/>
  <c r="AJ1992" i="2"/>
  <c r="AI1992" i="2"/>
  <c r="AH1992" i="2"/>
  <c r="F1992" i="4" s="1"/>
  <c r="AG1992" i="2"/>
  <c r="AF1992" i="2"/>
  <c r="AE1992" i="2"/>
  <c r="AD1992" i="2"/>
  <c r="AC1992" i="2"/>
  <c r="AB1992" i="2"/>
  <c r="AA1992" i="2"/>
  <c r="Z1992" i="2"/>
  <c r="Y1992" i="2"/>
  <c r="X1992" i="2"/>
  <c r="W1992" i="2"/>
  <c r="V1992" i="2"/>
  <c r="U1992" i="2"/>
  <c r="T1992" i="2"/>
  <c r="A1996" i="3" s="1"/>
  <c r="AM1991" i="2"/>
  <c r="AL1991" i="2"/>
  <c r="AK1991" i="2"/>
  <c r="AJ1991" i="2"/>
  <c r="AI1991" i="2"/>
  <c r="AH1991" i="2"/>
  <c r="F1991" i="4" s="1"/>
  <c r="AG1991" i="2"/>
  <c r="AF1991" i="2"/>
  <c r="AE1991" i="2"/>
  <c r="AD1991" i="2"/>
  <c r="AC1991" i="2"/>
  <c r="AB1991" i="2"/>
  <c r="AA1991" i="2"/>
  <c r="Z1991" i="2"/>
  <c r="Y1991" i="2"/>
  <c r="X1991" i="2"/>
  <c r="W1991" i="2"/>
  <c r="V1991" i="2"/>
  <c r="U1991" i="2"/>
  <c r="T1991" i="2"/>
  <c r="A1995" i="3" s="1"/>
  <c r="AM1990" i="2"/>
  <c r="AL1990" i="2"/>
  <c r="AK1990" i="2"/>
  <c r="AJ1990" i="2"/>
  <c r="AI1990" i="2"/>
  <c r="AH1990" i="2"/>
  <c r="F1990" i="4" s="1"/>
  <c r="AG1990" i="2"/>
  <c r="AF1990" i="2"/>
  <c r="AE1990" i="2"/>
  <c r="AD1990" i="2"/>
  <c r="AC1990" i="2"/>
  <c r="AB1990" i="2"/>
  <c r="AA1990" i="2"/>
  <c r="Z1990" i="2"/>
  <c r="Y1990" i="2"/>
  <c r="X1990" i="2"/>
  <c r="W1990" i="2"/>
  <c r="V1990" i="2"/>
  <c r="U1990" i="2"/>
  <c r="T1990" i="2"/>
  <c r="A1994" i="3" s="1"/>
  <c r="AM1989" i="2"/>
  <c r="AL1989" i="2"/>
  <c r="AK1989" i="2"/>
  <c r="AJ1989" i="2"/>
  <c r="AI1989" i="2"/>
  <c r="AH1989" i="2"/>
  <c r="F1989" i="4" s="1"/>
  <c r="AG1989" i="2"/>
  <c r="AF1989" i="2"/>
  <c r="AE1989" i="2"/>
  <c r="AD1989" i="2"/>
  <c r="AC1989" i="2"/>
  <c r="AB1989" i="2"/>
  <c r="AA1989" i="2"/>
  <c r="Z1989" i="2"/>
  <c r="Y1989" i="2"/>
  <c r="X1989" i="2"/>
  <c r="W1989" i="2"/>
  <c r="V1989" i="2"/>
  <c r="U1989" i="2"/>
  <c r="T1989" i="2"/>
  <c r="A1993" i="3" s="1"/>
  <c r="AM1988" i="2"/>
  <c r="AL1988" i="2"/>
  <c r="AK1988" i="2"/>
  <c r="AJ1988" i="2"/>
  <c r="AI1988" i="2"/>
  <c r="AH1988" i="2"/>
  <c r="F1988" i="4" s="1"/>
  <c r="AG1988" i="2"/>
  <c r="AF1988" i="2"/>
  <c r="AE1988" i="2"/>
  <c r="AD1988" i="2"/>
  <c r="AC1988" i="2"/>
  <c r="AB1988" i="2"/>
  <c r="AA1988" i="2"/>
  <c r="Z1988" i="2"/>
  <c r="Y1988" i="2"/>
  <c r="X1988" i="2"/>
  <c r="W1988" i="2"/>
  <c r="V1988" i="2"/>
  <c r="U1988" i="2"/>
  <c r="T1988" i="2"/>
  <c r="A1992" i="3" s="1"/>
  <c r="AM1987" i="2"/>
  <c r="AL1987" i="2"/>
  <c r="AK1987" i="2"/>
  <c r="AJ1987" i="2"/>
  <c r="AI1987" i="2"/>
  <c r="AH1987" i="2"/>
  <c r="F1987" i="4" s="1"/>
  <c r="AG1987" i="2"/>
  <c r="AF1987" i="2"/>
  <c r="AE1987" i="2"/>
  <c r="AD1987" i="2"/>
  <c r="AC1987" i="2"/>
  <c r="AB1987" i="2"/>
  <c r="AA1987" i="2"/>
  <c r="Z1987" i="2"/>
  <c r="Y1987" i="2"/>
  <c r="X1987" i="2"/>
  <c r="W1987" i="2"/>
  <c r="V1987" i="2"/>
  <c r="U1987" i="2"/>
  <c r="T1987" i="2"/>
  <c r="A1991" i="3" s="1"/>
  <c r="AM1986" i="2"/>
  <c r="AL1986" i="2"/>
  <c r="AK1986" i="2"/>
  <c r="AJ1986" i="2"/>
  <c r="AI1986" i="2"/>
  <c r="AH1986" i="2"/>
  <c r="F1986" i="4" s="1"/>
  <c r="AG1986" i="2"/>
  <c r="AF1986" i="2"/>
  <c r="AE1986" i="2"/>
  <c r="AD1986" i="2"/>
  <c r="AC1986" i="2"/>
  <c r="AB1986" i="2"/>
  <c r="AA1986" i="2"/>
  <c r="Z1986" i="2"/>
  <c r="Y1986" i="2"/>
  <c r="X1986" i="2"/>
  <c r="W1986" i="2"/>
  <c r="V1986" i="2"/>
  <c r="U1986" i="2"/>
  <c r="T1986" i="2"/>
  <c r="A1990" i="3" s="1"/>
  <c r="AM1985" i="2"/>
  <c r="AL1985" i="2"/>
  <c r="AK1985" i="2"/>
  <c r="AJ1985" i="2"/>
  <c r="AI1985" i="2"/>
  <c r="AH1985" i="2"/>
  <c r="F1985" i="4" s="1"/>
  <c r="AG1985" i="2"/>
  <c r="AF1985" i="2"/>
  <c r="AE1985" i="2"/>
  <c r="AD1985" i="2"/>
  <c r="AC1985" i="2"/>
  <c r="AB1985" i="2"/>
  <c r="AA1985" i="2"/>
  <c r="Z1985" i="2"/>
  <c r="Y1985" i="2"/>
  <c r="X1985" i="2"/>
  <c r="W1985" i="2"/>
  <c r="V1985" i="2"/>
  <c r="U1985" i="2"/>
  <c r="T1985" i="2"/>
  <c r="A1989" i="3" s="1"/>
  <c r="AM1984" i="2"/>
  <c r="AL1984" i="2"/>
  <c r="AK1984" i="2"/>
  <c r="AJ1984" i="2"/>
  <c r="AI1984" i="2"/>
  <c r="AH1984" i="2"/>
  <c r="F1984" i="4" s="1"/>
  <c r="AG1984" i="2"/>
  <c r="AF1984" i="2"/>
  <c r="AE1984" i="2"/>
  <c r="AD1984" i="2"/>
  <c r="AC1984" i="2"/>
  <c r="AB1984" i="2"/>
  <c r="AA1984" i="2"/>
  <c r="Z1984" i="2"/>
  <c r="Y1984" i="2"/>
  <c r="X1984" i="2"/>
  <c r="W1984" i="2"/>
  <c r="V1984" i="2"/>
  <c r="U1984" i="2"/>
  <c r="T1984" i="2"/>
  <c r="A1988" i="3" s="1"/>
  <c r="AM1983" i="2"/>
  <c r="AL1983" i="2"/>
  <c r="AK1983" i="2"/>
  <c r="AJ1983" i="2"/>
  <c r="AI1983" i="2"/>
  <c r="AH1983" i="2"/>
  <c r="F1983" i="4" s="1"/>
  <c r="AG1983" i="2"/>
  <c r="AF1983" i="2"/>
  <c r="AE1983" i="2"/>
  <c r="AD1983" i="2"/>
  <c r="AC1983" i="2"/>
  <c r="AB1983" i="2"/>
  <c r="AA1983" i="2"/>
  <c r="Z1983" i="2"/>
  <c r="Y1983" i="2"/>
  <c r="X1983" i="2"/>
  <c r="W1983" i="2"/>
  <c r="V1983" i="2"/>
  <c r="U1983" i="2"/>
  <c r="T1983" i="2"/>
  <c r="A1987" i="3" s="1"/>
  <c r="AM1982" i="2"/>
  <c r="AL1982" i="2"/>
  <c r="AK1982" i="2"/>
  <c r="AJ1982" i="2"/>
  <c r="AI1982" i="2"/>
  <c r="AH1982" i="2"/>
  <c r="F1982" i="4" s="1"/>
  <c r="AG1982" i="2"/>
  <c r="AF1982" i="2"/>
  <c r="AE1982" i="2"/>
  <c r="AD1982" i="2"/>
  <c r="AC1982" i="2"/>
  <c r="AB1982" i="2"/>
  <c r="AA1982" i="2"/>
  <c r="Z1982" i="2"/>
  <c r="Y1982" i="2"/>
  <c r="X1982" i="2"/>
  <c r="W1982" i="2"/>
  <c r="V1982" i="2"/>
  <c r="U1982" i="2"/>
  <c r="T1982" i="2"/>
  <c r="A1986" i="3" s="1"/>
  <c r="AM1981" i="2"/>
  <c r="AL1981" i="2"/>
  <c r="AK1981" i="2"/>
  <c r="AJ1981" i="2"/>
  <c r="AI1981" i="2"/>
  <c r="AH1981" i="2"/>
  <c r="F1981" i="4" s="1"/>
  <c r="AG1981" i="2"/>
  <c r="AF1981" i="2"/>
  <c r="AE1981" i="2"/>
  <c r="AD1981" i="2"/>
  <c r="AC1981" i="2"/>
  <c r="AB1981" i="2"/>
  <c r="AA1981" i="2"/>
  <c r="Z1981" i="2"/>
  <c r="Y1981" i="2"/>
  <c r="X1981" i="2"/>
  <c r="W1981" i="2"/>
  <c r="V1981" i="2"/>
  <c r="U1981" i="2"/>
  <c r="T1981" i="2"/>
  <c r="A1985" i="3" s="1"/>
  <c r="AM1980" i="2"/>
  <c r="AL1980" i="2"/>
  <c r="AK1980" i="2"/>
  <c r="AJ1980" i="2"/>
  <c r="AI1980" i="2"/>
  <c r="AH1980" i="2"/>
  <c r="F1980" i="4" s="1"/>
  <c r="AG1980" i="2"/>
  <c r="AF1980" i="2"/>
  <c r="AE1980" i="2"/>
  <c r="AD1980" i="2"/>
  <c r="AC1980" i="2"/>
  <c r="AB1980" i="2"/>
  <c r="AA1980" i="2"/>
  <c r="Z1980" i="2"/>
  <c r="Y1980" i="2"/>
  <c r="X1980" i="2"/>
  <c r="W1980" i="2"/>
  <c r="V1980" i="2"/>
  <c r="U1980" i="2"/>
  <c r="T1980" i="2"/>
  <c r="A1984" i="3" s="1"/>
  <c r="AM1979" i="2"/>
  <c r="AL1979" i="2"/>
  <c r="AK1979" i="2"/>
  <c r="AJ1979" i="2"/>
  <c r="AI1979" i="2"/>
  <c r="AH1979" i="2"/>
  <c r="F1979" i="4" s="1"/>
  <c r="AG1979" i="2"/>
  <c r="AF1979" i="2"/>
  <c r="AE1979" i="2"/>
  <c r="AD1979" i="2"/>
  <c r="AC1979" i="2"/>
  <c r="AB1979" i="2"/>
  <c r="AA1979" i="2"/>
  <c r="Z1979" i="2"/>
  <c r="Y1979" i="2"/>
  <c r="X1979" i="2"/>
  <c r="W1979" i="2"/>
  <c r="V1979" i="2"/>
  <c r="U1979" i="2"/>
  <c r="T1979" i="2"/>
  <c r="A1983" i="3" s="1"/>
  <c r="AM1978" i="2"/>
  <c r="AL1978" i="2"/>
  <c r="AK1978" i="2"/>
  <c r="AJ1978" i="2"/>
  <c r="AI1978" i="2"/>
  <c r="AH1978" i="2"/>
  <c r="F1978" i="4" s="1"/>
  <c r="AG1978" i="2"/>
  <c r="AF1978" i="2"/>
  <c r="AE1978" i="2"/>
  <c r="AD1978" i="2"/>
  <c r="AC1978" i="2"/>
  <c r="AB1978" i="2"/>
  <c r="AA1978" i="2"/>
  <c r="Z1978" i="2"/>
  <c r="Y1978" i="2"/>
  <c r="X1978" i="2"/>
  <c r="W1978" i="2"/>
  <c r="V1978" i="2"/>
  <c r="U1978" i="2"/>
  <c r="T1978" i="2"/>
  <c r="A1982" i="3" s="1"/>
  <c r="AM1977" i="2"/>
  <c r="AL1977" i="2"/>
  <c r="AK1977" i="2"/>
  <c r="AJ1977" i="2"/>
  <c r="AI1977" i="2"/>
  <c r="AH1977" i="2"/>
  <c r="F1977" i="4" s="1"/>
  <c r="AG1977" i="2"/>
  <c r="AF1977" i="2"/>
  <c r="AE1977" i="2"/>
  <c r="AD1977" i="2"/>
  <c r="AC1977" i="2"/>
  <c r="AB1977" i="2"/>
  <c r="AA1977" i="2"/>
  <c r="Z1977" i="2"/>
  <c r="Y1977" i="2"/>
  <c r="X1977" i="2"/>
  <c r="W1977" i="2"/>
  <c r="V1977" i="2"/>
  <c r="U1977" i="2"/>
  <c r="T1977" i="2"/>
  <c r="A1981" i="3" s="1"/>
  <c r="AM1976" i="2"/>
  <c r="AL1976" i="2"/>
  <c r="AK1976" i="2"/>
  <c r="AJ1976" i="2"/>
  <c r="AI1976" i="2"/>
  <c r="AH1976" i="2"/>
  <c r="F1976" i="4" s="1"/>
  <c r="AG1976" i="2"/>
  <c r="AF1976" i="2"/>
  <c r="AE1976" i="2"/>
  <c r="AD1976" i="2"/>
  <c r="AC1976" i="2"/>
  <c r="AB1976" i="2"/>
  <c r="AA1976" i="2"/>
  <c r="Z1976" i="2"/>
  <c r="Y1976" i="2"/>
  <c r="X1976" i="2"/>
  <c r="W1976" i="2"/>
  <c r="V1976" i="2"/>
  <c r="U1976" i="2"/>
  <c r="T1976" i="2"/>
  <c r="A1980" i="3" s="1"/>
  <c r="AM1975" i="2"/>
  <c r="AL1975" i="2"/>
  <c r="AK1975" i="2"/>
  <c r="AJ1975" i="2"/>
  <c r="AI1975" i="2"/>
  <c r="AH1975" i="2"/>
  <c r="F1975" i="4" s="1"/>
  <c r="AG1975" i="2"/>
  <c r="AF1975" i="2"/>
  <c r="AE1975" i="2"/>
  <c r="AD1975" i="2"/>
  <c r="AC1975" i="2"/>
  <c r="AB1975" i="2"/>
  <c r="AA1975" i="2"/>
  <c r="Z1975" i="2"/>
  <c r="Y1975" i="2"/>
  <c r="X1975" i="2"/>
  <c r="W1975" i="2"/>
  <c r="V1975" i="2"/>
  <c r="U1975" i="2"/>
  <c r="T1975" i="2"/>
  <c r="A1979" i="3" s="1"/>
  <c r="AM1974" i="2"/>
  <c r="AL1974" i="2"/>
  <c r="AK1974" i="2"/>
  <c r="AJ1974" i="2"/>
  <c r="AI1974" i="2"/>
  <c r="AH1974" i="2"/>
  <c r="F1974" i="4" s="1"/>
  <c r="AG1974" i="2"/>
  <c r="AF1974" i="2"/>
  <c r="AE1974" i="2"/>
  <c r="AD1974" i="2"/>
  <c r="AC1974" i="2"/>
  <c r="AB1974" i="2"/>
  <c r="AA1974" i="2"/>
  <c r="Z1974" i="2"/>
  <c r="Y1974" i="2"/>
  <c r="X1974" i="2"/>
  <c r="W1974" i="2"/>
  <c r="V1974" i="2"/>
  <c r="U1974" i="2"/>
  <c r="T1974" i="2"/>
  <c r="A1978" i="3" s="1"/>
  <c r="AM1973" i="2"/>
  <c r="AL1973" i="2"/>
  <c r="AK1973" i="2"/>
  <c r="AJ1973" i="2"/>
  <c r="AI1973" i="2"/>
  <c r="AH1973" i="2"/>
  <c r="F1973" i="4" s="1"/>
  <c r="AG1973" i="2"/>
  <c r="AF1973" i="2"/>
  <c r="AE1973" i="2"/>
  <c r="AD1973" i="2"/>
  <c r="AC1973" i="2"/>
  <c r="AB1973" i="2"/>
  <c r="AA1973" i="2"/>
  <c r="Z1973" i="2"/>
  <c r="Y1973" i="2"/>
  <c r="X1973" i="2"/>
  <c r="W1973" i="2"/>
  <c r="V1973" i="2"/>
  <c r="U1973" i="2"/>
  <c r="T1973" i="2"/>
  <c r="A1977" i="3" s="1"/>
  <c r="AM1972" i="2"/>
  <c r="AL1972" i="2"/>
  <c r="AK1972" i="2"/>
  <c r="AJ1972" i="2"/>
  <c r="AI1972" i="2"/>
  <c r="AH1972" i="2"/>
  <c r="F1972" i="4" s="1"/>
  <c r="AG1972" i="2"/>
  <c r="AF1972" i="2"/>
  <c r="AE1972" i="2"/>
  <c r="AD1972" i="2"/>
  <c r="AC1972" i="2"/>
  <c r="AB1972" i="2"/>
  <c r="AA1972" i="2"/>
  <c r="Z1972" i="2"/>
  <c r="Y1972" i="2"/>
  <c r="X1972" i="2"/>
  <c r="W1972" i="2"/>
  <c r="V1972" i="2"/>
  <c r="U1972" i="2"/>
  <c r="T1972" i="2"/>
  <c r="A1976" i="3" s="1"/>
  <c r="AM1971" i="2"/>
  <c r="AL1971" i="2"/>
  <c r="AK1971" i="2"/>
  <c r="AJ1971" i="2"/>
  <c r="AI1971" i="2"/>
  <c r="AH1971" i="2"/>
  <c r="F1971" i="4" s="1"/>
  <c r="AG1971" i="2"/>
  <c r="AF1971" i="2"/>
  <c r="AE1971" i="2"/>
  <c r="AD1971" i="2"/>
  <c r="AC1971" i="2"/>
  <c r="AB1971" i="2"/>
  <c r="AA1971" i="2"/>
  <c r="Z1971" i="2"/>
  <c r="Y1971" i="2"/>
  <c r="X1971" i="2"/>
  <c r="W1971" i="2"/>
  <c r="V1971" i="2"/>
  <c r="U1971" i="2"/>
  <c r="T1971" i="2"/>
  <c r="A1975" i="3" s="1"/>
  <c r="AM1970" i="2"/>
  <c r="AL1970" i="2"/>
  <c r="AK1970" i="2"/>
  <c r="AJ1970" i="2"/>
  <c r="AI1970" i="2"/>
  <c r="AH1970" i="2"/>
  <c r="F1970" i="4" s="1"/>
  <c r="AG1970" i="2"/>
  <c r="AF1970" i="2"/>
  <c r="AE1970" i="2"/>
  <c r="AD1970" i="2"/>
  <c r="AC1970" i="2"/>
  <c r="AB1970" i="2"/>
  <c r="AA1970" i="2"/>
  <c r="Z1970" i="2"/>
  <c r="Y1970" i="2"/>
  <c r="X1970" i="2"/>
  <c r="W1970" i="2"/>
  <c r="V1970" i="2"/>
  <c r="U1970" i="2"/>
  <c r="T1970" i="2"/>
  <c r="A1974" i="3" s="1"/>
  <c r="AM1969" i="2"/>
  <c r="AL1969" i="2"/>
  <c r="AK1969" i="2"/>
  <c r="AJ1969" i="2"/>
  <c r="AI1969" i="2"/>
  <c r="AH1969" i="2"/>
  <c r="F1969" i="4" s="1"/>
  <c r="AG1969" i="2"/>
  <c r="AF1969" i="2"/>
  <c r="AE1969" i="2"/>
  <c r="AD1969" i="2"/>
  <c r="AC1969" i="2"/>
  <c r="AB1969" i="2"/>
  <c r="AA1969" i="2"/>
  <c r="Z1969" i="2"/>
  <c r="Y1969" i="2"/>
  <c r="X1969" i="2"/>
  <c r="W1969" i="2"/>
  <c r="V1969" i="2"/>
  <c r="U1969" i="2"/>
  <c r="T1969" i="2"/>
  <c r="A1973" i="3" s="1"/>
  <c r="AM1968" i="2"/>
  <c r="AL1968" i="2"/>
  <c r="AK1968" i="2"/>
  <c r="AJ1968" i="2"/>
  <c r="AI1968" i="2"/>
  <c r="AH1968" i="2"/>
  <c r="F1968" i="4" s="1"/>
  <c r="AG1968" i="2"/>
  <c r="AF1968" i="2"/>
  <c r="AE1968" i="2"/>
  <c r="AD1968" i="2"/>
  <c r="AC1968" i="2"/>
  <c r="AB1968" i="2"/>
  <c r="AA1968" i="2"/>
  <c r="Z1968" i="2"/>
  <c r="Y1968" i="2"/>
  <c r="X1968" i="2"/>
  <c r="W1968" i="2"/>
  <c r="V1968" i="2"/>
  <c r="U1968" i="2"/>
  <c r="T1968" i="2"/>
  <c r="A1972" i="3" s="1"/>
  <c r="AM1967" i="2"/>
  <c r="AL1967" i="2"/>
  <c r="AK1967" i="2"/>
  <c r="AJ1967" i="2"/>
  <c r="AI1967" i="2"/>
  <c r="AH1967" i="2"/>
  <c r="F1967" i="4" s="1"/>
  <c r="AG1967" i="2"/>
  <c r="AF1967" i="2"/>
  <c r="AE1967" i="2"/>
  <c r="AD1967" i="2"/>
  <c r="AC1967" i="2"/>
  <c r="AB1967" i="2"/>
  <c r="AA1967" i="2"/>
  <c r="Z1967" i="2"/>
  <c r="Y1967" i="2"/>
  <c r="X1967" i="2"/>
  <c r="W1967" i="2"/>
  <c r="V1967" i="2"/>
  <c r="U1967" i="2"/>
  <c r="T1967" i="2"/>
  <c r="A1971" i="3" s="1"/>
  <c r="AM1966" i="2"/>
  <c r="AL1966" i="2"/>
  <c r="AK1966" i="2"/>
  <c r="AJ1966" i="2"/>
  <c r="AI1966" i="2"/>
  <c r="AH1966" i="2"/>
  <c r="F1966" i="4" s="1"/>
  <c r="AG1966" i="2"/>
  <c r="AF1966" i="2"/>
  <c r="AE1966" i="2"/>
  <c r="AD1966" i="2"/>
  <c r="AC1966" i="2"/>
  <c r="AB1966" i="2"/>
  <c r="AA1966" i="2"/>
  <c r="Z1966" i="2"/>
  <c r="Y1966" i="2"/>
  <c r="X1966" i="2"/>
  <c r="W1966" i="2"/>
  <c r="V1966" i="2"/>
  <c r="U1966" i="2"/>
  <c r="T1966" i="2"/>
  <c r="A1970" i="3" s="1"/>
  <c r="AM1965" i="2"/>
  <c r="AL1965" i="2"/>
  <c r="AK1965" i="2"/>
  <c r="AJ1965" i="2"/>
  <c r="AI1965" i="2"/>
  <c r="AH1965" i="2"/>
  <c r="F1965" i="4" s="1"/>
  <c r="AG1965" i="2"/>
  <c r="AF1965" i="2"/>
  <c r="AE1965" i="2"/>
  <c r="AD1965" i="2"/>
  <c r="AC1965" i="2"/>
  <c r="AB1965" i="2"/>
  <c r="AA1965" i="2"/>
  <c r="Z1965" i="2"/>
  <c r="Y1965" i="2"/>
  <c r="X1965" i="2"/>
  <c r="W1965" i="2"/>
  <c r="V1965" i="2"/>
  <c r="U1965" i="2"/>
  <c r="T1965" i="2"/>
  <c r="A1969" i="3" s="1"/>
  <c r="AM1964" i="2"/>
  <c r="AL1964" i="2"/>
  <c r="AK1964" i="2"/>
  <c r="AJ1964" i="2"/>
  <c r="AI1964" i="2"/>
  <c r="AH1964" i="2"/>
  <c r="F1964" i="4" s="1"/>
  <c r="AG1964" i="2"/>
  <c r="AF1964" i="2"/>
  <c r="AE1964" i="2"/>
  <c r="AD1964" i="2"/>
  <c r="AC1964" i="2"/>
  <c r="AB1964" i="2"/>
  <c r="AA1964" i="2"/>
  <c r="Z1964" i="2"/>
  <c r="Y1964" i="2"/>
  <c r="X1964" i="2"/>
  <c r="W1964" i="2"/>
  <c r="V1964" i="2"/>
  <c r="U1964" i="2"/>
  <c r="T1964" i="2"/>
  <c r="A1968" i="3" s="1"/>
  <c r="AM1963" i="2"/>
  <c r="AL1963" i="2"/>
  <c r="AK1963" i="2"/>
  <c r="AJ1963" i="2"/>
  <c r="AI1963" i="2"/>
  <c r="AH1963" i="2"/>
  <c r="F1963" i="4" s="1"/>
  <c r="AG1963" i="2"/>
  <c r="AF1963" i="2"/>
  <c r="AE1963" i="2"/>
  <c r="AD1963" i="2"/>
  <c r="AC1963" i="2"/>
  <c r="AB1963" i="2"/>
  <c r="AA1963" i="2"/>
  <c r="Z1963" i="2"/>
  <c r="Y1963" i="2"/>
  <c r="X1963" i="2"/>
  <c r="W1963" i="2"/>
  <c r="V1963" i="2"/>
  <c r="U1963" i="2"/>
  <c r="T1963" i="2"/>
  <c r="A1967" i="3" s="1"/>
  <c r="AM1962" i="2"/>
  <c r="AL1962" i="2"/>
  <c r="AK1962" i="2"/>
  <c r="AJ1962" i="2"/>
  <c r="AI1962" i="2"/>
  <c r="AH1962" i="2"/>
  <c r="F1962" i="4" s="1"/>
  <c r="AG1962" i="2"/>
  <c r="AF1962" i="2"/>
  <c r="AE1962" i="2"/>
  <c r="AD1962" i="2"/>
  <c r="AC1962" i="2"/>
  <c r="AB1962" i="2"/>
  <c r="AA1962" i="2"/>
  <c r="Z1962" i="2"/>
  <c r="Y1962" i="2"/>
  <c r="X1962" i="2"/>
  <c r="W1962" i="2"/>
  <c r="V1962" i="2"/>
  <c r="U1962" i="2"/>
  <c r="T1962" i="2"/>
  <c r="A1966" i="3" s="1"/>
  <c r="AM1961" i="2"/>
  <c r="AL1961" i="2"/>
  <c r="AK1961" i="2"/>
  <c r="AJ1961" i="2"/>
  <c r="AI1961" i="2"/>
  <c r="AH1961" i="2"/>
  <c r="F1961" i="4" s="1"/>
  <c r="AG1961" i="2"/>
  <c r="AF1961" i="2"/>
  <c r="AE1961" i="2"/>
  <c r="AD1961" i="2"/>
  <c r="AC1961" i="2"/>
  <c r="AB1961" i="2"/>
  <c r="AA1961" i="2"/>
  <c r="Z1961" i="2"/>
  <c r="Y1961" i="2"/>
  <c r="X1961" i="2"/>
  <c r="W1961" i="2"/>
  <c r="V1961" i="2"/>
  <c r="U1961" i="2"/>
  <c r="T1961" i="2"/>
  <c r="A1965" i="3" s="1"/>
  <c r="AM1960" i="2"/>
  <c r="AL1960" i="2"/>
  <c r="AK1960" i="2"/>
  <c r="AJ1960" i="2"/>
  <c r="AI1960" i="2"/>
  <c r="AH1960" i="2"/>
  <c r="F1960" i="4" s="1"/>
  <c r="AG1960" i="2"/>
  <c r="AF1960" i="2"/>
  <c r="AE1960" i="2"/>
  <c r="AD1960" i="2"/>
  <c r="AC1960" i="2"/>
  <c r="AB1960" i="2"/>
  <c r="AA1960" i="2"/>
  <c r="Z1960" i="2"/>
  <c r="Y1960" i="2"/>
  <c r="X1960" i="2"/>
  <c r="W1960" i="2"/>
  <c r="V1960" i="2"/>
  <c r="U1960" i="2"/>
  <c r="T1960" i="2"/>
  <c r="A1964" i="3" s="1"/>
  <c r="AM1959" i="2"/>
  <c r="AL1959" i="2"/>
  <c r="AK1959" i="2"/>
  <c r="AJ1959" i="2"/>
  <c r="AI1959" i="2"/>
  <c r="AH1959" i="2"/>
  <c r="F1959" i="4" s="1"/>
  <c r="AG1959" i="2"/>
  <c r="AF1959" i="2"/>
  <c r="AE1959" i="2"/>
  <c r="AD1959" i="2"/>
  <c r="AC1959" i="2"/>
  <c r="AB1959" i="2"/>
  <c r="AA1959" i="2"/>
  <c r="Z1959" i="2"/>
  <c r="Y1959" i="2"/>
  <c r="X1959" i="2"/>
  <c r="W1959" i="2"/>
  <c r="V1959" i="2"/>
  <c r="U1959" i="2"/>
  <c r="T1959" i="2"/>
  <c r="A1963" i="3" s="1"/>
  <c r="AM1958" i="2"/>
  <c r="AL1958" i="2"/>
  <c r="AK1958" i="2"/>
  <c r="AJ1958" i="2"/>
  <c r="AI1958" i="2"/>
  <c r="AH1958" i="2"/>
  <c r="F1958" i="4" s="1"/>
  <c r="AG1958" i="2"/>
  <c r="AF1958" i="2"/>
  <c r="AE1958" i="2"/>
  <c r="AD1958" i="2"/>
  <c r="AC1958" i="2"/>
  <c r="AB1958" i="2"/>
  <c r="AA1958" i="2"/>
  <c r="Z1958" i="2"/>
  <c r="Y1958" i="2"/>
  <c r="X1958" i="2"/>
  <c r="W1958" i="2"/>
  <c r="V1958" i="2"/>
  <c r="U1958" i="2"/>
  <c r="T1958" i="2"/>
  <c r="A1962" i="3" s="1"/>
  <c r="AM1957" i="2"/>
  <c r="AL1957" i="2"/>
  <c r="AK1957" i="2"/>
  <c r="AJ1957" i="2"/>
  <c r="AI1957" i="2"/>
  <c r="AH1957" i="2"/>
  <c r="F1957" i="4" s="1"/>
  <c r="AG1957" i="2"/>
  <c r="AF1957" i="2"/>
  <c r="AE1957" i="2"/>
  <c r="AD1957" i="2"/>
  <c r="AC1957" i="2"/>
  <c r="AB1957" i="2"/>
  <c r="AA1957" i="2"/>
  <c r="Z1957" i="2"/>
  <c r="Y1957" i="2"/>
  <c r="X1957" i="2"/>
  <c r="W1957" i="2"/>
  <c r="V1957" i="2"/>
  <c r="U1957" i="2"/>
  <c r="T1957" i="2"/>
  <c r="A1961" i="3" s="1"/>
  <c r="AM1956" i="2"/>
  <c r="AL1956" i="2"/>
  <c r="AK1956" i="2"/>
  <c r="AJ1956" i="2"/>
  <c r="AI1956" i="2"/>
  <c r="AH1956" i="2"/>
  <c r="F1956" i="4" s="1"/>
  <c r="AG1956" i="2"/>
  <c r="AF1956" i="2"/>
  <c r="AE1956" i="2"/>
  <c r="AD1956" i="2"/>
  <c r="AC1956" i="2"/>
  <c r="AB1956" i="2"/>
  <c r="AA1956" i="2"/>
  <c r="Z1956" i="2"/>
  <c r="Y1956" i="2"/>
  <c r="X1956" i="2"/>
  <c r="W1956" i="2"/>
  <c r="V1956" i="2"/>
  <c r="U1956" i="2"/>
  <c r="T1956" i="2"/>
  <c r="A1960" i="3" s="1"/>
  <c r="AM1955" i="2"/>
  <c r="AL1955" i="2"/>
  <c r="AK1955" i="2"/>
  <c r="AJ1955" i="2"/>
  <c r="AI1955" i="2"/>
  <c r="AH1955" i="2"/>
  <c r="F1955" i="4" s="1"/>
  <c r="AG1955" i="2"/>
  <c r="AF1955" i="2"/>
  <c r="AE1955" i="2"/>
  <c r="AD1955" i="2"/>
  <c r="AC1955" i="2"/>
  <c r="AB1955" i="2"/>
  <c r="AA1955" i="2"/>
  <c r="Z1955" i="2"/>
  <c r="Y1955" i="2"/>
  <c r="X1955" i="2"/>
  <c r="W1955" i="2"/>
  <c r="V1955" i="2"/>
  <c r="U1955" i="2"/>
  <c r="T1955" i="2"/>
  <c r="A1959" i="3" s="1"/>
  <c r="AM1954" i="2"/>
  <c r="AL1954" i="2"/>
  <c r="AK1954" i="2"/>
  <c r="AJ1954" i="2"/>
  <c r="AI1954" i="2"/>
  <c r="AH1954" i="2"/>
  <c r="F1954" i="4" s="1"/>
  <c r="AG1954" i="2"/>
  <c r="AF1954" i="2"/>
  <c r="AE1954" i="2"/>
  <c r="AD1954" i="2"/>
  <c r="AC1954" i="2"/>
  <c r="AB1954" i="2"/>
  <c r="AA1954" i="2"/>
  <c r="Z1954" i="2"/>
  <c r="Y1954" i="2"/>
  <c r="X1954" i="2"/>
  <c r="W1954" i="2"/>
  <c r="V1954" i="2"/>
  <c r="U1954" i="2"/>
  <c r="T1954" i="2"/>
  <c r="A1958" i="3" s="1"/>
  <c r="AM1953" i="2"/>
  <c r="AL1953" i="2"/>
  <c r="AK1953" i="2"/>
  <c r="AJ1953" i="2"/>
  <c r="AI1953" i="2"/>
  <c r="AH1953" i="2"/>
  <c r="F1953" i="4" s="1"/>
  <c r="AG1953" i="2"/>
  <c r="AF1953" i="2"/>
  <c r="AE1953" i="2"/>
  <c r="AD1953" i="2"/>
  <c r="AC1953" i="2"/>
  <c r="AB1953" i="2"/>
  <c r="AA1953" i="2"/>
  <c r="Z1953" i="2"/>
  <c r="Y1953" i="2"/>
  <c r="X1953" i="2"/>
  <c r="W1953" i="2"/>
  <c r="V1953" i="2"/>
  <c r="U1953" i="2"/>
  <c r="T1953" i="2"/>
  <c r="A1957" i="3" s="1"/>
  <c r="AM1952" i="2"/>
  <c r="AL1952" i="2"/>
  <c r="AK1952" i="2"/>
  <c r="AJ1952" i="2"/>
  <c r="AI1952" i="2"/>
  <c r="AH1952" i="2"/>
  <c r="F1952" i="4" s="1"/>
  <c r="AG1952" i="2"/>
  <c r="AF1952" i="2"/>
  <c r="AE1952" i="2"/>
  <c r="AD1952" i="2"/>
  <c r="AC1952" i="2"/>
  <c r="AB1952" i="2"/>
  <c r="AA1952" i="2"/>
  <c r="Z1952" i="2"/>
  <c r="Y1952" i="2"/>
  <c r="X1952" i="2"/>
  <c r="W1952" i="2"/>
  <c r="V1952" i="2"/>
  <c r="U1952" i="2"/>
  <c r="T1952" i="2"/>
  <c r="A1956" i="3" s="1"/>
  <c r="AM1951" i="2"/>
  <c r="AL1951" i="2"/>
  <c r="AK1951" i="2"/>
  <c r="AJ1951" i="2"/>
  <c r="AI1951" i="2"/>
  <c r="AH1951" i="2"/>
  <c r="F1951" i="4" s="1"/>
  <c r="AG1951" i="2"/>
  <c r="AF1951" i="2"/>
  <c r="AE1951" i="2"/>
  <c r="AD1951" i="2"/>
  <c r="AC1951" i="2"/>
  <c r="AB1951" i="2"/>
  <c r="AA1951" i="2"/>
  <c r="Z1951" i="2"/>
  <c r="Y1951" i="2"/>
  <c r="X1951" i="2"/>
  <c r="W1951" i="2"/>
  <c r="V1951" i="2"/>
  <c r="U1951" i="2"/>
  <c r="T1951" i="2"/>
  <c r="A1955" i="3" s="1"/>
  <c r="AM1950" i="2"/>
  <c r="AL1950" i="2"/>
  <c r="AK1950" i="2"/>
  <c r="AJ1950" i="2"/>
  <c r="AI1950" i="2"/>
  <c r="AH1950" i="2"/>
  <c r="F1950" i="4" s="1"/>
  <c r="AG1950" i="2"/>
  <c r="AF1950" i="2"/>
  <c r="AE1950" i="2"/>
  <c r="AD1950" i="2"/>
  <c r="AC1950" i="2"/>
  <c r="AB1950" i="2"/>
  <c r="AA1950" i="2"/>
  <c r="Z1950" i="2"/>
  <c r="Y1950" i="2"/>
  <c r="X1950" i="2"/>
  <c r="W1950" i="2"/>
  <c r="V1950" i="2"/>
  <c r="U1950" i="2"/>
  <c r="T1950" i="2"/>
  <c r="A1954" i="3" s="1"/>
  <c r="AM1949" i="2"/>
  <c r="AL1949" i="2"/>
  <c r="AK1949" i="2"/>
  <c r="AJ1949" i="2"/>
  <c r="AI1949" i="2"/>
  <c r="AH1949" i="2"/>
  <c r="F1949" i="4" s="1"/>
  <c r="AG1949" i="2"/>
  <c r="AF1949" i="2"/>
  <c r="AE1949" i="2"/>
  <c r="AD1949" i="2"/>
  <c r="AC1949" i="2"/>
  <c r="AB1949" i="2"/>
  <c r="AA1949" i="2"/>
  <c r="Z1949" i="2"/>
  <c r="Y1949" i="2"/>
  <c r="X1949" i="2"/>
  <c r="W1949" i="2"/>
  <c r="V1949" i="2"/>
  <c r="U1949" i="2"/>
  <c r="T1949" i="2"/>
  <c r="A1953" i="3" s="1"/>
  <c r="AM1948" i="2"/>
  <c r="AL1948" i="2"/>
  <c r="AK1948" i="2"/>
  <c r="AJ1948" i="2"/>
  <c r="AI1948" i="2"/>
  <c r="AH1948" i="2"/>
  <c r="F1948" i="4" s="1"/>
  <c r="AG1948" i="2"/>
  <c r="AF1948" i="2"/>
  <c r="AE1948" i="2"/>
  <c r="AD1948" i="2"/>
  <c r="AC1948" i="2"/>
  <c r="AB1948" i="2"/>
  <c r="AA1948" i="2"/>
  <c r="Z1948" i="2"/>
  <c r="Y1948" i="2"/>
  <c r="X1948" i="2"/>
  <c r="W1948" i="2"/>
  <c r="V1948" i="2"/>
  <c r="U1948" i="2"/>
  <c r="T1948" i="2"/>
  <c r="A1952" i="3" s="1"/>
  <c r="AM1947" i="2"/>
  <c r="AL1947" i="2"/>
  <c r="AK1947" i="2"/>
  <c r="AJ1947" i="2"/>
  <c r="AI1947" i="2"/>
  <c r="AH1947" i="2"/>
  <c r="F1947" i="4" s="1"/>
  <c r="AG1947" i="2"/>
  <c r="AF1947" i="2"/>
  <c r="AE1947" i="2"/>
  <c r="AD1947" i="2"/>
  <c r="AC1947" i="2"/>
  <c r="AB1947" i="2"/>
  <c r="AA1947" i="2"/>
  <c r="Z1947" i="2"/>
  <c r="Y1947" i="2"/>
  <c r="X1947" i="2"/>
  <c r="W1947" i="2"/>
  <c r="V1947" i="2"/>
  <c r="U1947" i="2"/>
  <c r="T1947" i="2"/>
  <c r="A1951" i="3" s="1"/>
  <c r="AM1946" i="2"/>
  <c r="AL1946" i="2"/>
  <c r="AK1946" i="2"/>
  <c r="AJ1946" i="2"/>
  <c r="AI1946" i="2"/>
  <c r="AH1946" i="2"/>
  <c r="F1946" i="4" s="1"/>
  <c r="AG1946" i="2"/>
  <c r="AF1946" i="2"/>
  <c r="AE1946" i="2"/>
  <c r="AD1946" i="2"/>
  <c r="AC1946" i="2"/>
  <c r="AB1946" i="2"/>
  <c r="AA1946" i="2"/>
  <c r="Z1946" i="2"/>
  <c r="Y1946" i="2"/>
  <c r="X1946" i="2"/>
  <c r="W1946" i="2"/>
  <c r="V1946" i="2"/>
  <c r="U1946" i="2"/>
  <c r="T1946" i="2"/>
  <c r="A1950" i="3" s="1"/>
  <c r="AM1945" i="2"/>
  <c r="AL1945" i="2"/>
  <c r="AK1945" i="2"/>
  <c r="AJ1945" i="2"/>
  <c r="AI1945" i="2"/>
  <c r="AH1945" i="2"/>
  <c r="F1945" i="4" s="1"/>
  <c r="AG1945" i="2"/>
  <c r="AF1945" i="2"/>
  <c r="AE1945" i="2"/>
  <c r="AD1945" i="2"/>
  <c r="AC1945" i="2"/>
  <c r="AB1945" i="2"/>
  <c r="AA1945" i="2"/>
  <c r="Z1945" i="2"/>
  <c r="Y1945" i="2"/>
  <c r="X1945" i="2"/>
  <c r="W1945" i="2"/>
  <c r="V1945" i="2"/>
  <c r="U1945" i="2"/>
  <c r="T1945" i="2"/>
  <c r="A1949" i="3" s="1"/>
  <c r="AM1944" i="2"/>
  <c r="AL1944" i="2"/>
  <c r="AK1944" i="2"/>
  <c r="AJ1944" i="2"/>
  <c r="AI1944" i="2"/>
  <c r="AH1944" i="2"/>
  <c r="F1944" i="4" s="1"/>
  <c r="AG1944" i="2"/>
  <c r="AF1944" i="2"/>
  <c r="AE1944" i="2"/>
  <c r="AD1944" i="2"/>
  <c r="AC1944" i="2"/>
  <c r="AB1944" i="2"/>
  <c r="AA1944" i="2"/>
  <c r="Z1944" i="2"/>
  <c r="Y1944" i="2"/>
  <c r="X1944" i="2"/>
  <c r="W1944" i="2"/>
  <c r="V1944" i="2"/>
  <c r="U1944" i="2"/>
  <c r="T1944" i="2"/>
  <c r="A1948" i="3" s="1"/>
  <c r="AM1943" i="2"/>
  <c r="AL1943" i="2"/>
  <c r="AK1943" i="2"/>
  <c r="AJ1943" i="2"/>
  <c r="AI1943" i="2"/>
  <c r="AH1943" i="2"/>
  <c r="F1943" i="4" s="1"/>
  <c r="AG1943" i="2"/>
  <c r="AF1943" i="2"/>
  <c r="AE1943" i="2"/>
  <c r="AD1943" i="2"/>
  <c r="AC1943" i="2"/>
  <c r="AB1943" i="2"/>
  <c r="AA1943" i="2"/>
  <c r="Z1943" i="2"/>
  <c r="Y1943" i="2"/>
  <c r="X1943" i="2"/>
  <c r="W1943" i="2"/>
  <c r="V1943" i="2"/>
  <c r="U1943" i="2"/>
  <c r="T1943" i="2"/>
  <c r="A1947" i="3" s="1"/>
  <c r="AM1942" i="2"/>
  <c r="AL1942" i="2"/>
  <c r="AK1942" i="2"/>
  <c r="AJ1942" i="2"/>
  <c r="AI1942" i="2"/>
  <c r="AH1942" i="2"/>
  <c r="F1942" i="4" s="1"/>
  <c r="AG1942" i="2"/>
  <c r="AF1942" i="2"/>
  <c r="AE1942" i="2"/>
  <c r="AD1942" i="2"/>
  <c r="AC1942" i="2"/>
  <c r="AB1942" i="2"/>
  <c r="AA1942" i="2"/>
  <c r="Z1942" i="2"/>
  <c r="Y1942" i="2"/>
  <c r="X1942" i="2"/>
  <c r="W1942" i="2"/>
  <c r="V1942" i="2"/>
  <c r="U1942" i="2"/>
  <c r="T1942" i="2"/>
  <c r="A1946" i="3" s="1"/>
  <c r="AM1941" i="2"/>
  <c r="AL1941" i="2"/>
  <c r="AK1941" i="2"/>
  <c r="AJ1941" i="2"/>
  <c r="AI1941" i="2"/>
  <c r="AH1941" i="2"/>
  <c r="F1941" i="4" s="1"/>
  <c r="AG1941" i="2"/>
  <c r="AF1941" i="2"/>
  <c r="AE1941" i="2"/>
  <c r="AD1941" i="2"/>
  <c r="AC1941" i="2"/>
  <c r="AB1941" i="2"/>
  <c r="AA1941" i="2"/>
  <c r="Z1941" i="2"/>
  <c r="Y1941" i="2"/>
  <c r="X1941" i="2"/>
  <c r="W1941" i="2"/>
  <c r="V1941" i="2"/>
  <c r="U1941" i="2"/>
  <c r="T1941" i="2"/>
  <c r="A1945" i="3" s="1"/>
  <c r="AM1940" i="2"/>
  <c r="AL1940" i="2"/>
  <c r="AK1940" i="2"/>
  <c r="AJ1940" i="2"/>
  <c r="AI1940" i="2"/>
  <c r="AH1940" i="2"/>
  <c r="F1940" i="4" s="1"/>
  <c r="AG1940" i="2"/>
  <c r="AF1940" i="2"/>
  <c r="AE1940" i="2"/>
  <c r="AD1940" i="2"/>
  <c r="AC1940" i="2"/>
  <c r="AB1940" i="2"/>
  <c r="AA1940" i="2"/>
  <c r="Z1940" i="2"/>
  <c r="Y1940" i="2"/>
  <c r="X1940" i="2"/>
  <c r="W1940" i="2"/>
  <c r="V1940" i="2"/>
  <c r="U1940" i="2"/>
  <c r="T1940" i="2"/>
  <c r="A1944" i="3" s="1"/>
  <c r="AM1939" i="2"/>
  <c r="AL1939" i="2"/>
  <c r="AK1939" i="2"/>
  <c r="AJ1939" i="2"/>
  <c r="AI1939" i="2"/>
  <c r="AH1939" i="2"/>
  <c r="F1939" i="4" s="1"/>
  <c r="AG1939" i="2"/>
  <c r="AF1939" i="2"/>
  <c r="AE1939" i="2"/>
  <c r="AD1939" i="2"/>
  <c r="AC1939" i="2"/>
  <c r="AB1939" i="2"/>
  <c r="AA1939" i="2"/>
  <c r="Z1939" i="2"/>
  <c r="Y1939" i="2"/>
  <c r="X1939" i="2"/>
  <c r="W1939" i="2"/>
  <c r="V1939" i="2"/>
  <c r="U1939" i="2"/>
  <c r="T1939" i="2"/>
  <c r="A1943" i="3" s="1"/>
  <c r="AM1938" i="2"/>
  <c r="AL1938" i="2"/>
  <c r="AK1938" i="2"/>
  <c r="AJ1938" i="2"/>
  <c r="AI1938" i="2"/>
  <c r="AH1938" i="2"/>
  <c r="F1938" i="4" s="1"/>
  <c r="AG1938" i="2"/>
  <c r="AF1938" i="2"/>
  <c r="AE1938" i="2"/>
  <c r="AD1938" i="2"/>
  <c r="AC1938" i="2"/>
  <c r="AB1938" i="2"/>
  <c r="AA1938" i="2"/>
  <c r="Z1938" i="2"/>
  <c r="Y1938" i="2"/>
  <c r="X1938" i="2"/>
  <c r="W1938" i="2"/>
  <c r="V1938" i="2"/>
  <c r="U1938" i="2"/>
  <c r="T1938" i="2"/>
  <c r="A1942" i="3" s="1"/>
  <c r="AM1937" i="2"/>
  <c r="AL1937" i="2"/>
  <c r="AK1937" i="2"/>
  <c r="AJ1937" i="2"/>
  <c r="AI1937" i="2"/>
  <c r="AH1937" i="2"/>
  <c r="F1937" i="4" s="1"/>
  <c r="AG1937" i="2"/>
  <c r="AF1937" i="2"/>
  <c r="AE1937" i="2"/>
  <c r="AD1937" i="2"/>
  <c r="AC1937" i="2"/>
  <c r="AB1937" i="2"/>
  <c r="AA1937" i="2"/>
  <c r="Z1937" i="2"/>
  <c r="Y1937" i="2"/>
  <c r="X1937" i="2"/>
  <c r="W1937" i="2"/>
  <c r="V1937" i="2"/>
  <c r="U1937" i="2"/>
  <c r="T1937" i="2"/>
  <c r="A1941" i="3" s="1"/>
  <c r="AM1936" i="2"/>
  <c r="AL1936" i="2"/>
  <c r="AK1936" i="2"/>
  <c r="AJ1936" i="2"/>
  <c r="AI1936" i="2"/>
  <c r="AH1936" i="2"/>
  <c r="F1936" i="4" s="1"/>
  <c r="AG1936" i="2"/>
  <c r="AF1936" i="2"/>
  <c r="AE1936" i="2"/>
  <c r="AD1936" i="2"/>
  <c r="AC1936" i="2"/>
  <c r="AB1936" i="2"/>
  <c r="AA1936" i="2"/>
  <c r="Z1936" i="2"/>
  <c r="Y1936" i="2"/>
  <c r="X1936" i="2"/>
  <c r="W1936" i="2"/>
  <c r="V1936" i="2"/>
  <c r="U1936" i="2"/>
  <c r="T1936" i="2"/>
  <c r="A1940" i="3" s="1"/>
  <c r="AM1935" i="2"/>
  <c r="AL1935" i="2"/>
  <c r="AK1935" i="2"/>
  <c r="AJ1935" i="2"/>
  <c r="AI1935" i="2"/>
  <c r="AH1935" i="2"/>
  <c r="F1935" i="4" s="1"/>
  <c r="AG1935" i="2"/>
  <c r="AF1935" i="2"/>
  <c r="AE1935" i="2"/>
  <c r="AD1935" i="2"/>
  <c r="AC1935" i="2"/>
  <c r="AB1935" i="2"/>
  <c r="AA1935" i="2"/>
  <c r="Z1935" i="2"/>
  <c r="Y1935" i="2"/>
  <c r="X1935" i="2"/>
  <c r="W1935" i="2"/>
  <c r="V1935" i="2"/>
  <c r="U1935" i="2"/>
  <c r="T1935" i="2"/>
  <c r="A1939" i="3" s="1"/>
  <c r="AM1934" i="2"/>
  <c r="AL1934" i="2"/>
  <c r="AK1934" i="2"/>
  <c r="AJ1934" i="2"/>
  <c r="AI1934" i="2"/>
  <c r="AH1934" i="2"/>
  <c r="F1934" i="4" s="1"/>
  <c r="AG1934" i="2"/>
  <c r="AF1934" i="2"/>
  <c r="AE1934" i="2"/>
  <c r="AD1934" i="2"/>
  <c r="AC1934" i="2"/>
  <c r="AB1934" i="2"/>
  <c r="AA1934" i="2"/>
  <c r="Z1934" i="2"/>
  <c r="Y1934" i="2"/>
  <c r="X1934" i="2"/>
  <c r="W1934" i="2"/>
  <c r="V1934" i="2"/>
  <c r="U1934" i="2"/>
  <c r="T1934" i="2"/>
  <c r="A1938" i="3" s="1"/>
  <c r="AM1933" i="2"/>
  <c r="AL1933" i="2"/>
  <c r="AK1933" i="2"/>
  <c r="AJ1933" i="2"/>
  <c r="AI1933" i="2"/>
  <c r="AH1933" i="2"/>
  <c r="F1933" i="4" s="1"/>
  <c r="AG1933" i="2"/>
  <c r="AF1933" i="2"/>
  <c r="AE1933" i="2"/>
  <c r="AD1933" i="2"/>
  <c r="AC1933" i="2"/>
  <c r="AB1933" i="2"/>
  <c r="AA1933" i="2"/>
  <c r="Z1933" i="2"/>
  <c r="Y1933" i="2"/>
  <c r="X1933" i="2"/>
  <c r="W1933" i="2"/>
  <c r="V1933" i="2"/>
  <c r="U1933" i="2"/>
  <c r="T1933" i="2"/>
  <c r="A1937" i="3" s="1"/>
  <c r="AM1932" i="2"/>
  <c r="AL1932" i="2"/>
  <c r="AK1932" i="2"/>
  <c r="AJ1932" i="2"/>
  <c r="AI1932" i="2"/>
  <c r="AH1932" i="2"/>
  <c r="F1932" i="4" s="1"/>
  <c r="AG1932" i="2"/>
  <c r="AF1932" i="2"/>
  <c r="AE1932" i="2"/>
  <c r="AD1932" i="2"/>
  <c r="AC1932" i="2"/>
  <c r="AB1932" i="2"/>
  <c r="AA1932" i="2"/>
  <c r="Z1932" i="2"/>
  <c r="Y1932" i="2"/>
  <c r="X1932" i="2"/>
  <c r="W1932" i="2"/>
  <c r="V1932" i="2"/>
  <c r="U1932" i="2"/>
  <c r="T1932" i="2"/>
  <c r="A1936" i="3" s="1"/>
  <c r="AM1931" i="2"/>
  <c r="AL1931" i="2"/>
  <c r="AK1931" i="2"/>
  <c r="AJ1931" i="2"/>
  <c r="AI1931" i="2"/>
  <c r="AH1931" i="2"/>
  <c r="F1931" i="4" s="1"/>
  <c r="AG1931" i="2"/>
  <c r="AF1931" i="2"/>
  <c r="AE1931" i="2"/>
  <c r="AD1931" i="2"/>
  <c r="AC1931" i="2"/>
  <c r="AB1931" i="2"/>
  <c r="AA1931" i="2"/>
  <c r="Z1931" i="2"/>
  <c r="Y1931" i="2"/>
  <c r="X1931" i="2"/>
  <c r="W1931" i="2"/>
  <c r="V1931" i="2"/>
  <c r="U1931" i="2"/>
  <c r="T1931" i="2"/>
  <c r="A1935" i="3" s="1"/>
  <c r="AM1930" i="2"/>
  <c r="AL1930" i="2"/>
  <c r="AK1930" i="2"/>
  <c r="AJ1930" i="2"/>
  <c r="AI1930" i="2"/>
  <c r="AH1930" i="2"/>
  <c r="F1930" i="4" s="1"/>
  <c r="AG1930" i="2"/>
  <c r="AF1930" i="2"/>
  <c r="AE1930" i="2"/>
  <c r="AD1930" i="2"/>
  <c r="AC1930" i="2"/>
  <c r="AB1930" i="2"/>
  <c r="AA1930" i="2"/>
  <c r="Z1930" i="2"/>
  <c r="Y1930" i="2"/>
  <c r="X1930" i="2"/>
  <c r="W1930" i="2"/>
  <c r="V1930" i="2"/>
  <c r="U1930" i="2"/>
  <c r="T1930" i="2"/>
  <c r="A1934" i="3" s="1"/>
  <c r="AM1929" i="2"/>
  <c r="AL1929" i="2"/>
  <c r="AK1929" i="2"/>
  <c r="AJ1929" i="2"/>
  <c r="AI1929" i="2"/>
  <c r="AH1929" i="2"/>
  <c r="F1929" i="4" s="1"/>
  <c r="AG1929" i="2"/>
  <c r="AF1929" i="2"/>
  <c r="AE1929" i="2"/>
  <c r="AD1929" i="2"/>
  <c r="AC1929" i="2"/>
  <c r="AB1929" i="2"/>
  <c r="AA1929" i="2"/>
  <c r="Z1929" i="2"/>
  <c r="Y1929" i="2"/>
  <c r="X1929" i="2"/>
  <c r="W1929" i="2"/>
  <c r="V1929" i="2"/>
  <c r="U1929" i="2"/>
  <c r="T1929" i="2"/>
  <c r="A1933" i="3" s="1"/>
  <c r="AM1928" i="2"/>
  <c r="AL1928" i="2"/>
  <c r="AK1928" i="2"/>
  <c r="AJ1928" i="2"/>
  <c r="AI1928" i="2"/>
  <c r="AH1928" i="2"/>
  <c r="F1928" i="4" s="1"/>
  <c r="AG1928" i="2"/>
  <c r="AF1928" i="2"/>
  <c r="AE1928" i="2"/>
  <c r="AD1928" i="2"/>
  <c r="AC1928" i="2"/>
  <c r="AB1928" i="2"/>
  <c r="AA1928" i="2"/>
  <c r="Z1928" i="2"/>
  <c r="Y1928" i="2"/>
  <c r="X1928" i="2"/>
  <c r="W1928" i="2"/>
  <c r="V1928" i="2"/>
  <c r="U1928" i="2"/>
  <c r="T1928" i="2"/>
  <c r="A1932" i="3" s="1"/>
  <c r="AM1927" i="2"/>
  <c r="AL1927" i="2"/>
  <c r="AK1927" i="2"/>
  <c r="AJ1927" i="2"/>
  <c r="AI1927" i="2"/>
  <c r="AH1927" i="2"/>
  <c r="F1927" i="4" s="1"/>
  <c r="AG1927" i="2"/>
  <c r="AF1927" i="2"/>
  <c r="AE1927" i="2"/>
  <c r="AD1927" i="2"/>
  <c r="AC1927" i="2"/>
  <c r="AB1927" i="2"/>
  <c r="AA1927" i="2"/>
  <c r="Z1927" i="2"/>
  <c r="Y1927" i="2"/>
  <c r="X1927" i="2"/>
  <c r="W1927" i="2"/>
  <c r="V1927" i="2"/>
  <c r="U1927" i="2"/>
  <c r="T1927" i="2"/>
  <c r="A1931" i="3" s="1"/>
  <c r="AM1926" i="2"/>
  <c r="AL1926" i="2"/>
  <c r="AK1926" i="2"/>
  <c r="AJ1926" i="2"/>
  <c r="AI1926" i="2"/>
  <c r="AH1926" i="2"/>
  <c r="F1926" i="4" s="1"/>
  <c r="AG1926" i="2"/>
  <c r="AF1926" i="2"/>
  <c r="AE1926" i="2"/>
  <c r="AD1926" i="2"/>
  <c r="AC1926" i="2"/>
  <c r="AB1926" i="2"/>
  <c r="AA1926" i="2"/>
  <c r="Z1926" i="2"/>
  <c r="Y1926" i="2"/>
  <c r="X1926" i="2"/>
  <c r="W1926" i="2"/>
  <c r="V1926" i="2"/>
  <c r="U1926" i="2"/>
  <c r="T1926" i="2"/>
  <c r="A1930" i="3" s="1"/>
  <c r="AM1925" i="2"/>
  <c r="AL1925" i="2"/>
  <c r="AK1925" i="2"/>
  <c r="AJ1925" i="2"/>
  <c r="AI1925" i="2"/>
  <c r="AH1925" i="2"/>
  <c r="F1925" i="4" s="1"/>
  <c r="AG1925" i="2"/>
  <c r="AF1925" i="2"/>
  <c r="AE1925" i="2"/>
  <c r="AD1925" i="2"/>
  <c r="AC1925" i="2"/>
  <c r="AB1925" i="2"/>
  <c r="AA1925" i="2"/>
  <c r="Z1925" i="2"/>
  <c r="Y1925" i="2"/>
  <c r="X1925" i="2"/>
  <c r="W1925" i="2"/>
  <c r="V1925" i="2"/>
  <c r="U1925" i="2"/>
  <c r="T1925" i="2"/>
  <c r="A1929" i="3" s="1"/>
  <c r="AM1924" i="2"/>
  <c r="AL1924" i="2"/>
  <c r="AK1924" i="2"/>
  <c r="AJ1924" i="2"/>
  <c r="AI1924" i="2"/>
  <c r="AH1924" i="2"/>
  <c r="F1924" i="4" s="1"/>
  <c r="AG1924" i="2"/>
  <c r="AF1924" i="2"/>
  <c r="AE1924" i="2"/>
  <c r="AD1924" i="2"/>
  <c r="AC1924" i="2"/>
  <c r="AB1924" i="2"/>
  <c r="AA1924" i="2"/>
  <c r="Z1924" i="2"/>
  <c r="Y1924" i="2"/>
  <c r="X1924" i="2"/>
  <c r="W1924" i="2"/>
  <c r="V1924" i="2"/>
  <c r="U1924" i="2"/>
  <c r="T1924" i="2"/>
  <c r="A1928" i="3" s="1"/>
  <c r="AM1923" i="2"/>
  <c r="AL1923" i="2"/>
  <c r="AK1923" i="2"/>
  <c r="AJ1923" i="2"/>
  <c r="AI1923" i="2"/>
  <c r="AH1923" i="2"/>
  <c r="F1923" i="4" s="1"/>
  <c r="AG1923" i="2"/>
  <c r="AF1923" i="2"/>
  <c r="AE1923" i="2"/>
  <c r="AD1923" i="2"/>
  <c r="AC1923" i="2"/>
  <c r="AB1923" i="2"/>
  <c r="AA1923" i="2"/>
  <c r="Z1923" i="2"/>
  <c r="Y1923" i="2"/>
  <c r="X1923" i="2"/>
  <c r="W1923" i="2"/>
  <c r="V1923" i="2"/>
  <c r="U1923" i="2"/>
  <c r="T1923" i="2"/>
  <c r="A1927" i="3" s="1"/>
  <c r="AM1922" i="2"/>
  <c r="AL1922" i="2"/>
  <c r="AK1922" i="2"/>
  <c r="AJ1922" i="2"/>
  <c r="AI1922" i="2"/>
  <c r="AH1922" i="2"/>
  <c r="F1922" i="4" s="1"/>
  <c r="AG1922" i="2"/>
  <c r="AF1922" i="2"/>
  <c r="AE1922" i="2"/>
  <c r="AD1922" i="2"/>
  <c r="AC1922" i="2"/>
  <c r="AB1922" i="2"/>
  <c r="AA1922" i="2"/>
  <c r="Z1922" i="2"/>
  <c r="Y1922" i="2"/>
  <c r="X1922" i="2"/>
  <c r="W1922" i="2"/>
  <c r="V1922" i="2"/>
  <c r="U1922" i="2"/>
  <c r="T1922" i="2"/>
  <c r="A1926" i="3" s="1"/>
  <c r="AM1921" i="2"/>
  <c r="AL1921" i="2"/>
  <c r="AK1921" i="2"/>
  <c r="AJ1921" i="2"/>
  <c r="AI1921" i="2"/>
  <c r="AH1921" i="2"/>
  <c r="F1921" i="4" s="1"/>
  <c r="AG1921" i="2"/>
  <c r="AF1921" i="2"/>
  <c r="AE1921" i="2"/>
  <c r="AD1921" i="2"/>
  <c r="AC1921" i="2"/>
  <c r="AB1921" i="2"/>
  <c r="AA1921" i="2"/>
  <c r="Z1921" i="2"/>
  <c r="Y1921" i="2"/>
  <c r="X1921" i="2"/>
  <c r="W1921" i="2"/>
  <c r="V1921" i="2"/>
  <c r="U1921" i="2"/>
  <c r="T1921" i="2"/>
  <c r="A1925" i="3" s="1"/>
  <c r="AM1920" i="2"/>
  <c r="AL1920" i="2"/>
  <c r="AK1920" i="2"/>
  <c r="AJ1920" i="2"/>
  <c r="AI1920" i="2"/>
  <c r="AH1920" i="2"/>
  <c r="F1920" i="4" s="1"/>
  <c r="AG1920" i="2"/>
  <c r="AF1920" i="2"/>
  <c r="AE1920" i="2"/>
  <c r="AD1920" i="2"/>
  <c r="AC1920" i="2"/>
  <c r="AB1920" i="2"/>
  <c r="AA1920" i="2"/>
  <c r="Z1920" i="2"/>
  <c r="Y1920" i="2"/>
  <c r="X1920" i="2"/>
  <c r="W1920" i="2"/>
  <c r="V1920" i="2"/>
  <c r="U1920" i="2"/>
  <c r="T1920" i="2"/>
  <c r="A1924" i="3" s="1"/>
  <c r="AM1919" i="2"/>
  <c r="AL1919" i="2"/>
  <c r="AK1919" i="2"/>
  <c r="AJ1919" i="2"/>
  <c r="AI1919" i="2"/>
  <c r="AH1919" i="2"/>
  <c r="F1919" i="4" s="1"/>
  <c r="AG1919" i="2"/>
  <c r="AF1919" i="2"/>
  <c r="AE1919" i="2"/>
  <c r="AD1919" i="2"/>
  <c r="AC1919" i="2"/>
  <c r="AB1919" i="2"/>
  <c r="AA1919" i="2"/>
  <c r="Z1919" i="2"/>
  <c r="Y1919" i="2"/>
  <c r="X1919" i="2"/>
  <c r="W1919" i="2"/>
  <c r="V1919" i="2"/>
  <c r="U1919" i="2"/>
  <c r="T1919" i="2"/>
  <c r="A1923" i="3" s="1"/>
  <c r="AM1918" i="2"/>
  <c r="AL1918" i="2"/>
  <c r="AK1918" i="2"/>
  <c r="AJ1918" i="2"/>
  <c r="AI1918" i="2"/>
  <c r="AH1918" i="2"/>
  <c r="F1918" i="4" s="1"/>
  <c r="AG1918" i="2"/>
  <c r="AF1918" i="2"/>
  <c r="AE1918" i="2"/>
  <c r="AD1918" i="2"/>
  <c r="AC1918" i="2"/>
  <c r="AB1918" i="2"/>
  <c r="AA1918" i="2"/>
  <c r="Z1918" i="2"/>
  <c r="Y1918" i="2"/>
  <c r="X1918" i="2"/>
  <c r="W1918" i="2"/>
  <c r="V1918" i="2"/>
  <c r="U1918" i="2"/>
  <c r="T1918" i="2"/>
  <c r="A1922" i="3" s="1"/>
  <c r="AM1917" i="2"/>
  <c r="AL1917" i="2"/>
  <c r="AK1917" i="2"/>
  <c r="AJ1917" i="2"/>
  <c r="AI1917" i="2"/>
  <c r="AH1917" i="2"/>
  <c r="F1917" i="4" s="1"/>
  <c r="AG1917" i="2"/>
  <c r="AF1917" i="2"/>
  <c r="AE1917" i="2"/>
  <c r="AD1917" i="2"/>
  <c r="AC1917" i="2"/>
  <c r="AB1917" i="2"/>
  <c r="AA1917" i="2"/>
  <c r="Z1917" i="2"/>
  <c r="Y1917" i="2"/>
  <c r="X1917" i="2"/>
  <c r="W1917" i="2"/>
  <c r="V1917" i="2"/>
  <c r="U1917" i="2"/>
  <c r="T1917" i="2"/>
  <c r="A1921" i="3" s="1"/>
  <c r="AM1916" i="2"/>
  <c r="AL1916" i="2"/>
  <c r="AK1916" i="2"/>
  <c r="AJ1916" i="2"/>
  <c r="AI1916" i="2"/>
  <c r="AH1916" i="2"/>
  <c r="F1916" i="4" s="1"/>
  <c r="AG1916" i="2"/>
  <c r="AF1916" i="2"/>
  <c r="AE1916" i="2"/>
  <c r="AD1916" i="2"/>
  <c r="AC1916" i="2"/>
  <c r="AB1916" i="2"/>
  <c r="AA1916" i="2"/>
  <c r="Z1916" i="2"/>
  <c r="Y1916" i="2"/>
  <c r="X1916" i="2"/>
  <c r="W1916" i="2"/>
  <c r="V1916" i="2"/>
  <c r="U1916" i="2"/>
  <c r="T1916" i="2"/>
  <c r="A1920" i="3" s="1"/>
  <c r="AM1915" i="2"/>
  <c r="AL1915" i="2"/>
  <c r="AK1915" i="2"/>
  <c r="AJ1915" i="2"/>
  <c r="AI1915" i="2"/>
  <c r="AH1915" i="2"/>
  <c r="F1915" i="4" s="1"/>
  <c r="AG1915" i="2"/>
  <c r="AF1915" i="2"/>
  <c r="AE1915" i="2"/>
  <c r="AD1915" i="2"/>
  <c r="AC1915" i="2"/>
  <c r="AB1915" i="2"/>
  <c r="AA1915" i="2"/>
  <c r="Z1915" i="2"/>
  <c r="Y1915" i="2"/>
  <c r="X1915" i="2"/>
  <c r="W1915" i="2"/>
  <c r="V1915" i="2"/>
  <c r="U1915" i="2"/>
  <c r="T1915" i="2"/>
  <c r="A1919" i="3" s="1"/>
  <c r="AM1914" i="2"/>
  <c r="AL1914" i="2"/>
  <c r="AK1914" i="2"/>
  <c r="AJ1914" i="2"/>
  <c r="AI1914" i="2"/>
  <c r="AH1914" i="2"/>
  <c r="F1914" i="4" s="1"/>
  <c r="AG1914" i="2"/>
  <c r="AF1914" i="2"/>
  <c r="AE1914" i="2"/>
  <c r="AD1914" i="2"/>
  <c r="AC1914" i="2"/>
  <c r="AB1914" i="2"/>
  <c r="AA1914" i="2"/>
  <c r="Z1914" i="2"/>
  <c r="Y1914" i="2"/>
  <c r="X1914" i="2"/>
  <c r="W1914" i="2"/>
  <c r="V1914" i="2"/>
  <c r="U1914" i="2"/>
  <c r="T1914" i="2"/>
  <c r="A1918" i="3" s="1"/>
  <c r="AM1913" i="2"/>
  <c r="AL1913" i="2"/>
  <c r="AK1913" i="2"/>
  <c r="AJ1913" i="2"/>
  <c r="AI1913" i="2"/>
  <c r="AH1913" i="2"/>
  <c r="F1913" i="4" s="1"/>
  <c r="AG1913" i="2"/>
  <c r="AF1913" i="2"/>
  <c r="AE1913" i="2"/>
  <c r="AD1913" i="2"/>
  <c r="AC1913" i="2"/>
  <c r="AB1913" i="2"/>
  <c r="AA1913" i="2"/>
  <c r="Z1913" i="2"/>
  <c r="Y1913" i="2"/>
  <c r="X1913" i="2"/>
  <c r="W1913" i="2"/>
  <c r="V1913" i="2"/>
  <c r="U1913" i="2"/>
  <c r="T1913" i="2"/>
  <c r="A1917" i="3" s="1"/>
  <c r="AM1912" i="2"/>
  <c r="AL1912" i="2"/>
  <c r="AK1912" i="2"/>
  <c r="AJ1912" i="2"/>
  <c r="AI1912" i="2"/>
  <c r="AH1912" i="2"/>
  <c r="F1912" i="4" s="1"/>
  <c r="AG1912" i="2"/>
  <c r="AF1912" i="2"/>
  <c r="AE1912" i="2"/>
  <c r="AD1912" i="2"/>
  <c r="AC1912" i="2"/>
  <c r="AB1912" i="2"/>
  <c r="AA1912" i="2"/>
  <c r="Z1912" i="2"/>
  <c r="Y1912" i="2"/>
  <c r="X1912" i="2"/>
  <c r="W1912" i="2"/>
  <c r="V1912" i="2"/>
  <c r="U1912" i="2"/>
  <c r="T1912" i="2"/>
  <c r="A1916" i="3" s="1"/>
  <c r="AM1911" i="2"/>
  <c r="AL1911" i="2"/>
  <c r="AK1911" i="2"/>
  <c r="AJ1911" i="2"/>
  <c r="AI1911" i="2"/>
  <c r="AH1911" i="2"/>
  <c r="F1911" i="4" s="1"/>
  <c r="AG1911" i="2"/>
  <c r="AF1911" i="2"/>
  <c r="AE1911" i="2"/>
  <c r="AD1911" i="2"/>
  <c r="AC1911" i="2"/>
  <c r="AB1911" i="2"/>
  <c r="AA1911" i="2"/>
  <c r="Z1911" i="2"/>
  <c r="Y1911" i="2"/>
  <c r="X1911" i="2"/>
  <c r="W1911" i="2"/>
  <c r="V1911" i="2"/>
  <c r="U1911" i="2"/>
  <c r="T1911" i="2"/>
  <c r="A1915" i="3" s="1"/>
  <c r="AM1910" i="2"/>
  <c r="AL1910" i="2"/>
  <c r="AK1910" i="2"/>
  <c r="AJ1910" i="2"/>
  <c r="AI1910" i="2"/>
  <c r="AH1910" i="2"/>
  <c r="F1910" i="4" s="1"/>
  <c r="AG1910" i="2"/>
  <c r="AF1910" i="2"/>
  <c r="AE1910" i="2"/>
  <c r="AD1910" i="2"/>
  <c r="AC1910" i="2"/>
  <c r="AB1910" i="2"/>
  <c r="AA1910" i="2"/>
  <c r="Z1910" i="2"/>
  <c r="Y1910" i="2"/>
  <c r="X1910" i="2"/>
  <c r="W1910" i="2"/>
  <c r="V1910" i="2"/>
  <c r="U1910" i="2"/>
  <c r="T1910" i="2"/>
  <c r="A1914" i="3" s="1"/>
  <c r="AM1909" i="2"/>
  <c r="AL1909" i="2"/>
  <c r="AK1909" i="2"/>
  <c r="AJ1909" i="2"/>
  <c r="AI1909" i="2"/>
  <c r="AH1909" i="2"/>
  <c r="F1909" i="4" s="1"/>
  <c r="AG1909" i="2"/>
  <c r="AF1909" i="2"/>
  <c r="AE1909" i="2"/>
  <c r="AD1909" i="2"/>
  <c r="AC1909" i="2"/>
  <c r="AB1909" i="2"/>
  <c r="AA1909" i="2"/>
  <c r="Z1909" i="2"/>
  <c r="Y1909" i="2"/>
  <c r="X1909" i="2"/>
  <c r="W1909" i="2"/>
  <c r="V1909" i="2"/>
  <c r="U1909" i="2"/>
  <c r="T1909" i="2"/>
  <c r="A1913" i="3" s="1"/>
  <c r="AM1908" i="2"/>
  <c r="AL1908" i="2"/>
  <c r="AK1908" i="2"/>
  <c r="AJ1908" i="2"/>
  <c r="AI1908" i="2"/>
  <c r="AH1908" i="2"/>
  <c r="F1908" i="4" s="1"/>
  <c r="AG1908" i="2"/>
  <c r="AF1908" i="2"/>
  <c r="AE1908" i="2"/>
  <c r="AD1908" i="2"/>
  <c r="AC1908" i="2"/>
  <c r="AB1908" i="2"/>
  <c r="AA1908" i="2"/>
  <c r="Z1908" i="2"/>
  <c r="Y1908" i="2"/>
  <c r="X1908" i="2"/>
  <c r="W1908" i="2"/>
  <c r="V1908" i="2"/>
  <c r="U1908" i="2"/>
  <c r="T1908" i="2"/>
  <c r="A1912" i="3" s="1"/>
  <c r="AM1907" i="2"/>
  <c r="AL1907" i="2"/>
  <c r="AK1907" i="2"/>
  <c r="AJ1907" i="2"/>
  <c r="AI1907" i="2"/>
  <c r="AH1907" i="2"/>
  <c r="F1907" i="4" s="1"/>
  <c r="AG1907" i="2"/>
  <c r="AF1907" i="2"/>
  <c r="AE1907" i="2"/>
  <c r="AD1907" i="2"/>
  <c r="AC1907" i="2"/>
  <c r="AB1907" i="2"/>
  <c r="AA1907" i="2"/>
  <c r="Z1907" i="2"/>
  <c r="Y1907" i="2"/>
  <c r="X1907" i="2"/>
  <c r="W1907" i="2"/>
  <c r="V1907" i="2"/>
  <c r="U1907" i="2"/>
  <c r="T1907" i="2"/>
  <c r="A1911" i="3" s="1"/>
  <c r="AM1906" i="2"/>
  <c r="AL1906" i="2"/>
  <c r="AK1906" i="2"/>
  <c r="AJ1906" i="2"/>
  <c r="AI1906" i="2"/>
  <c r="AH1906" i="2"/>
  <c r="F1906" i="4" s="1"/>
  <c r="AG1906" i="2"/>
  <c r="AF1906" i="2"/>
  <c r="AE1906" i="2"/>
  <c r="AD1906" i="2"/>
  <c r="AC1906" i="2"/>
  <c r="AB1906" i="2"/>
  <c r="AA1906" i="2"/>
  <c r="Z1906" i="2"/>
  <c r="Y1906" i="2"/>
  <c r="X1906" i="2"/>
  <c r="W1906" i="2"/>
  <c r="V1906" i="2"/>
  <c r="U1906" i="2"/>
  <c r="T1906" i="2"/>
  <c r="A1910" i="3" s="1"/>
  <c r="AM1905" i="2"/>
  <c r="AL1905" i="2"/>
  <c r="AK1905" i="2"/>
  <c r="AJ1905" i="2"/>
  <c r="AI1905" i="2"/>
  <c r="AH1905" i="2"/>
  <c r="F1905" i="4" s="1"/>
  <c r="AG1905" i="2"/>
  <c r="AF1905" i="2"/>
  <c r="AE1905" i="2"/>
  <c r="AD1905" i="2"/>
  <c r="AC1905" i="2"/>
  <c r="AB1905" i="2"/>
  <c r="AA1905" i="2"/>
  <c r="Z1905" i="2"/>
  <c r="Y1905" i="2"/>
  <c r="X1905" i="2"/>
  <c r="W1905" i="2"/>
  <c r="V1905" i="2"/>
  <c r="U1905" i="2"/>
  <c r="T1905" i="2"/>
  <c r="A1909" i="3" s="1"/>
  <c r="AM1904" i="2"/>
  <c r="AL1904" i="2"/>
  <c r="AK1904" i="2"/>
  <c r="AJ1904" i="2"/>
  <c r="AI1904" i="2"/>
  <c r="AH1904" i="2"/>
  <c r="F1904" i="4" s="1"/>
  <c r="AG1904" i="2"/>
  <c r="AF1904" i="2"/>
  <c r="AE1904" i="2"/>
  <c r="AD1904" i="2"/>
  <c r="AC1904" i="2"/>
  <c r="AB1904" i="2"/>
  <c r="AA1904" i="2"/>
  <c r="Z1904" i="2"/>
  <c r="Y1904" i="2"/>
  <c r="X1904" i="2"/>
  <c r="W1904" i="2"/>
  <c r="V1904" i="2"/>
  <c r="U1904" i="2"/>
  <c r="T1904" i="2"/>
  <c r="A1908" i="3" s="1"/>
  <c r="AM1903" i="2"/>
  <c r="AL1903" i="2"/>
  <c r="AK1903" i="2"/>
  <c r="AJ1903" i="2"/>
  <c r="AI1903" i="2"/>
  <c r="AH1903" i="2"/>
  <c r="F1903" i="4" s="1"/>
  <c r="AG1903" i="2"/>
  <c r="AF1903" i="2"/>
  <c r="AE1903" i="2"/>
  <c r="AD1903" i="2"/>
  <c r="AC1903" i="2"/>
  <c r="AB1903" i="2"/>
  <c r="AA1903" i="2"/>
  <c r="Z1903" i="2"/>
  <c r="Y1903" i="2"/>
  <c r="X1903" i="2"/>
  <c r="W1903" i="2"/>
  <c r="V1903" i="2"/>
  <c r="U1903" i="2"/>
  <c r="T1903" i="2"/>
  <c r="A1907" i="3" s="1"/>
  <c r="AM1902" i="2"/>
  <c r="AL1902" i="2"/>
  <c r="AK1902" i="2"/>
  <c r="AJ1902" i="2"/>
  <c r="AI1902" i="2"/>
  <c r="AH1902" i="2"/>
  <c r="F1902" i="4" s="1"/>
  <c r="AG1902" i="2"/>
  <c r="AF1902" i="2"/>
  <c r="AE1902" i="2"/>
  <c r="AD1902" i="2"/>
  <c r="AC1902" i="2"/>
  <c r="AB1902" i="2"/>
  <c r="AA1902" i="2"/>
  <c r="Z1902" i="2"/>
  <c r="Y1902" i="2"/>
  <c r="X1902" i="2"/>
  <c r="W1902" i="2"/>
  <c r="V1902" i="2"/>
  <c r="U1902" i="2"/>
  <c r="T1902" i="2"/>
  <c r="A1906" i="3" s="1"/>
  <c r="AM1901" i="2"/>
  <c r="AL1901" i="2"/>
  <c r="AK1901" i="2"/>
  <c r="AJ1901" i="2"/>
  <c r="AI1901" i="2"/>
  <c r="AH1901" i="2"/>
  <c r="F1901" i="4" s="1"/>
  <c r="AG1901" i="2"/>
  <c r="AF1901" i="2"/>
  <c r="AE1901" i="2"/>
  <c r="AD1901" i="2"/>
  <c r="AC1901" i="2"/>
  <c r="AB1901" i="2"/>
  <c r="AA1901" i="2"/>
  <c r="Z1901" i="2"/>
  <c r="Y1901" i="2"/>
  <c r="X1901" i="2"/>
  <c r="W1901" i="2"/>
  <c r="V1901" i="2"/>
  <c r="U1901" i="2"/>
  <c r="T1901" i="2"/>
  <c r="A1905" i="3" s="1"/>
  <c r="AM1900" i="2"/>
  <c r="AL1900" i="2"/>
  <c r="AK1900" i="2"/>
  <c r="AJ1900" i="2"/>
  <c r="AI1900" i="2"/>
  <c r="AH1900" i="2"/>
  <c r="F1900" i="4" s="1"/>
  <c r="AG1900" i="2"/>
  <c r="AF1900" i="2"/>
  <c r="AE1900" i="2"/>
  <c r="AD1900" i="2"/>
  <c r="AC1900" i="2"/>
  <c r="AB1900" i="2"/>
  <c r="AA1900" i="2"/>
  <c r="Z1900" i="2"/>
  <c r="Y1900" i="2"/>
  <c r="X1900" i="2"/>
  <c r="W1900" i="2"/>
  <c r="V1900" i="2"/>
  <c r="U1900" i="2"/>
  <c r="T1900" i="2"/>
  <c r="A1904" i="3" s="1"/>
  <c r="AM1899" i="2"/>
  <c r="AL1899" i="2"/>
  <c r="AK1899" i="2"/>
  <c r="AJ1899" i="2"/>
  <c r="AI1899" i="2"/>
  <c r="AH1899" i="2"/>
  <c r="F1899" i="4" s="1"/>
  <c r="AG1899" i="2"/>
  <c r="AF1899" i="2"/>
  <c r="AE1899" i="2"/>
  <c r="AD1899" i="2"/>
  <c r="AC1899" i="2"/>
  <c r="AB1899" i="2"/>
  <c r="AA1899" i="2"/>
  <c r="Z1899" i="2"/>
  <c r="Y1899" i="2"/>
  <c r="X1899" i="2"/>
  <c r="W1899" i="2"/>
  <c r="V1899" i="2"/>
  <c r="U1899" i="2"/>
  <c r="T1899" i="2"/>
  <c r="A1903" i="3" s="1"/>
  <c r="AM1898" i="2"/>
  <c r="AL1898" i="2"/>
  <c r="AK1898" i="2"/>
  <c r="AJ1898" i="2"/>
  <c r="AI1898" i="2"/>
  <c r="AH1898" i="2"/>
  <c r="F1898" i="4" s="1"/>
  <c r="AG1898" i="2"/>
  <c r="AF1898" i="2"/>
  <c r="AE1898" i="2"/>
  <c r="AD1898" i="2"/>
  <c r="AC1898" i="2"/>
  <c r="AB1898" i="2"/>
  <c r="AA1898" i="2"/>
  <c r="Z1898" i="2"/>
  <c r="Y1898" i="2"/>
  <c r="X1898" i="2"/>
  <c r="W1898" i="2"/>
  <c r="V1898" i="2"/>
  <c r="U1898" i="2"/>
  <c r="T1898" i="2"/>
  <c r="A1902" i="3" s="1"/>
  <c r="AM1897" i="2"/>
  <c r="AL1897" i="2"/>
  <c r="AK1897" i="2"/>
  <c r="AJ1897" i="2"/>
  <c r="AI1897" i="2"/>
  <c r="AH1897" i="2"/>
  <c r="F1897" i="4" s="1"/>
  <c r="AG1897" i="2"/>
  <c r="AF1897" i="2"/>
  <c r="AE1897" i="2"/>
  <c r="AD1897" i="2"/>
  <c r="AC1897" i="2"/>
  <c r="AB1897" i="2"/>
  <c r="AA1897" i="2"/>
  <c r="Z1897" i="2"/>
  <c r="Y1897" i="2"/>
  <c r="X1897" i="2"/>
  <c r="W1897" i="2"/>
  <c r="V1897" i="2"/>
  <c r="U1897" i="2"/>
  <c r="T1897" i="2"/>
  <c r="A1901" i="3" s="1"/>
  <c r="AM1896" i="2"/>
  <c r="AL1896" i="2"/>
  <c r="AK1896" i="2"/>
  <c r="AJ1896" i="2"/>
  <c r="AI1896" i="2"/>
  <c r="AH1896" i="2"/>
  <c r="F1896" i="4" s="1"/>
  <c r="AG1896" i="2"/>
  <c r="AF1896" i="2"/>
  <c r="AE1896" i="2"/>
  <c r="AD1896" i="2"/>
  <c r="AC1896" i="2"/>
  <c r="AB1896" i="2"/>
  <c r="AA1896" i="2"/>
  <c r="Z1896" i="2"/>
  <c r="Y1896" i="2"/>
  <c r="X1896" i="2"/>
  <c r="W1896" i="2"/>
  <c r="V1896" i="2"/>
  <c r="U1896" i="2"/>
  <c r="T1896" i="2"/>
  <c r="A1900" i="3" s="1"/>
  <c r="AM1895" i="2"/>
  <c r="AL1895" i="2"/>
  <c r="AK1895" i="2"/>
  <c r="AJ1895" i="2"/>
  <c r="AI1895" i="2"/>
  <c r="AH1895" i="2"/>
  <c r="F1895" i="4" s="1"/>
  <c r="AG1895" i="2"/>
  <c r="AF1895" i="2"/>
  <c r="AE1895" i="2"/>
  <c r="AD1895" i="2"/>
  <c r="AC1895" i="2"/>
  <c r="AB1895" i="2"/>
  <c r="AA1895" i="2"/>
  <c r="Z1895" i="2"/>
  <c r="Y1895" i="2"/>
  <c r="X1895" i="2"/>
  <c r="W1895" i="2"/>
  <c r="V1895" i="2"/>
  <c r="U1895" i="2"/>
  <c r="T1895" i="2"/>
  <c r="A1899" i="3" s="1"/>
  <c r="AM1894" i="2"/>
  <c r="AL1894" i="2"/>
  <c r="AK1894" i="2"/>
  <c r="AJ1894" i="2"/>
  <c r="AI1894" i="2"/>
  <c r="AH1894" i="2"/>
  <c r="F1894" i="4" s="1"/>
  <c r="AG1894" i="2"/>
  <c r="AF1894" i="2"/>
  <c r="AE1894" i="2"/>
  <c r="AD1894" i="2"/>
  <c r="AC1894" i="2"/>
  <c r="AB1894" i="2"/>
  <c r="AA1894" i="2"/>
  <c r="Z1894" i="2"/>
  <c r="Y1894" i="2"/>
  <c r="X1894" i="2"/>
  <c r="W1894" i="2"/>
  <c r="V1894" i="2"/>
  <c r="U1894" i="2"/>
  <c r="T1894" i="2"/>
  <c r="A1898" i="3" s="1"/>
  <c r="AM1893" i="2"/>
  <c r="AL1893" i="2"/>
  <c r="AK1893" i="2"/>
  <c r="AJ1893" i="2"/>
  <c r="AI1893" i="2"/>
  <c r="AH1893" i="2"/>
  <c r="F1893" i="4" s="1"/>
  <c r="AG1893" i="2"/>
  <c r="AF1893" i="2"/>
  <c r="AE1893" i="2"/>
  <c r="AD1893" i="2"/>
  <c r="AC1893" i="2"/>
  <c r="AB1893" i="2"/>
  <c r="AA1893" i="2"/>
  <c r="Z1893" i="2"/>
  <c r="Y1893" i="2"/>
  <c r="X1893" i="2"/>
  <c r="W1893" i="2"/>
  <c r="V1893" i="2"/>
  <c r="U1893" i="2"/>
  <c r="T1893" i="2"/>
  <c r="A1897" i="3" s="1"/>
  <c r="AM1892" i="2"/>
  <c r="AL1892" i="2"/>
  <c r="AK1892" i="2"/>
  <c r="AJ1892" i="2"/>
  <c r="AI1892" i="2"/>
  <c r="AH1892" i="2"/>
  <c r="F1892" i="4" s="1"/>
  <c r="AG1892" i="2"/>
  <c r="AF1892" i="2"/>
  <c r="AE1892" i="2"/>
  <c r="AD1892" i="2"/>
  <c r="AC1892" i="2"/>
  <c r="AB1892" i="2"/>
  <c r="AA1892" i="2"/>
  <c r="Z1892" i="2"/>
  <c r="Y1892" i="2"/>
  <c r="X1892" i="2"/>
  <c r="W1892" i="2"/>
  <c r="V1892" i="2"/>
  <c r="U1892" i="2"/>
  <c r="T1892" i="2"/>
  <c r="A1896" i="3" s="1"/>
  <c r="AM1891" i="2"/>
  <c r="AL1891" i="2"/>
  <c r="AK1891" i="2"/>
  <c r="AJ1891" i="2"/>
  <c r="AI1891" i="2"/>
  <c r="AH1891" i="2"/>
  <c r="F1891" i="4" s="1"/>
  <c r="AG1891" i="2"/>
  <c r="AF1891" i="2"/>
  <c r="AE1891" i="2"/>
  <c r="AD1891" i="2"/>
  <c r="AC1891" i="2"/>
  <c r="AB1891" i="2"/>
  <c r="AA1891" i="2"/>
  <c r="Z1891" i="2"/>
  <c r="Y1891" i="2"/>
  <c r="X1891" i="2"/>
  <c r="W1891" i="2"/>
  <c r="V1891" i="2"/>
  <c r="U1891" i="2"/>
  <c r="T1891" i="2"/>
  <c r="A1895" i="3" s="1"/>
  <c r="AM1890" i="2"/>
  <c r="AL1890" i="2"/>
  <c r="AK1890" i="2"/>
  <c r="AJ1890" i="2"/>
  <c r="AI1890" i="2"/>
  <c r="AH1890" i="2"/>
  <c r="F1890" i="4" s="1"/>
  <c r="AG1890" i="2"/>
  <c r="AF1890" i="2"/>
  <c r="AE1890" i="2"/>
  <c r="AD1890" i="2"/>
  <c r="AC1890" i="2"/>
  <c r="AB1890" i="2"/>
  <c r="AA1890" i="2"/>
  <c r="Z1890" i="2"/>
  <c r="Y1890" i="2"/>
  <c r="X1890" i="2"/>
  <c r="W1890" i="2"/>
  <c r="V1890" i="2"/>
  <c r="U1890" i="2"/>
  <c r="T1890" i="2"/>
  <c r="A1894" i="3" s="1"/>
  <c r="AM1889" i="2"/>
  <c r="AL1889" i="2"/>
  <c r="AK1889" i="2"/>
  <c r="AJ1889" i="2"/>
  <c r="AI1889" i="2"/>
  <c r="AH1889" i="2"/>
  <c r="F1889" i="4" s="1"/>
  <c r="AG1889" i="2"/>
  <c r="AF1889" i="2"/>
  <c r="AE1889" i="2"/>
  <c r="AD1889" i="2"/>
  <c r="AC1889" i="2"/>
  <c r="AB1889" i="2"/>
  <c r="AA1889" i="2"/>
  <c r="Z1889" i="2"/>
  <c r="Y1889" i="2"/>
  <c r="X1889" i="2"/>
  <c r="W1889" i="2"/>
  <c r="V1889" i="2"/>
  <c r="U1889" i="2"/>
  <c r="T1889" i="2"/>
  <c r="A1893" i="3" s="1"/>
  <c r="AM1888" i="2"/>
  <c r="AL1888" i="2"/>
  <c r="AK1888" i="2"/>
  <c r="AJ1888" i="2"/>
  <c r="AI1888" i="2"/>
  <c r="AH1888" i="2"/>
  <c r="F1888" i="4" s="1"/>
  <c r="AG1888" i="2"/>
  <c r="AF1888" i="2"/>
  <c r="AE1888" i="2"/>
  <c r="AD1888" i="2"/>
  <c r="AC1888" i="2"/>
  <c r="AB1888" i="2"/>
  <c r="AA1888" i="2"/>
  <c r="Z1888" i="2"/>
  <c r="Y1888" i="2"/>
  <c r="X1888" i="2"/>
  <c r="W1888" i="2"/>
  <c r="V1888" i="2"/>
  <c r="U1888" i="2"/>
  <c r="T1888" i="2"/>
  <c r="A1892" i="3" s="1"/>
  <c r="AM1887" i="2"/>
  <c r="AL1887" i="2"/>
  <c r="AK1887" i="2"/>
  <c r="AJ1887" i="2"/>
  <c r="AI1887" i="2"/>
  <c r="AH1887" i="2"/>
  <c r="F1887" i="4" s="1"/>
  <c r="AG1887" i="2"/>
  <c r="AF1887" i="2"/>
  <c r="AE1887" i="2"/>
  <c r="AD1887" i="2"/>
  <c r="AC1887" i="2"/>
  <c r="AB1887" i="2"/>
  <c r="AA1887" i="2"/>
  <c r="Z1887" i="2"/>
  <c r="Y1887" i="2"/>
  <c r="X1887" i="2"/>
  <c r="W1887" i="2"/>
  <c r="V1887" i="2"/>
  <c r="U1887" i="2"/>
  <c r="T1887" i="2"/>
  <c r="A1891" i="3" s="1"/>
  <c r="AM1886" i="2"/>
  <c r="AL1886" i="2"/>
  <c r="AK1886" i="2"/>
  <c r="AJ1886" i="2"/>
  <c r="AI1886" i="2"/>
  <c r="AH1886" i="2"/>
  <c r="F1886" i="4" s="1"/>
  <c r="AG1886" i="2"/>
  <c r="AF1886" i="2"/>
  <c r="AE1886" i="2"/>
  <c r="AD1886" i="2"/>
  <c r="AC1886" i="2"/>
  <c r="AB1886" i="2"/>
  <c r="AA1886" i="2"/>
  <c r="Z1886" i="2"/>
  <c r="Y1886" i="2"/>
  <c r="X1886" i="2"/>
  <c r="W1886" i="2"/>
  <c r="V1886" i="2"/>
  <c r="U1886" i="2"/>
  <c r="T1886" i="2"/>
  <c r="A1890" i="3" s="1"/>
  <c r="AM1885" i="2"/>
  <c r="AL1885" i="2"/>
  <c r="AK1885" i="2"/>
  <c r="AJ1885" i="2"/>
  <c r="AI1885" i="2"/>
  <c r="AH1885" i="2"/>
  <c r="F1885" i="4" s="1"/>
  <c r="AG1885" i="2"/>
  <c r="AF1885" i="2"/>
  <c r="AE1885" i="2"/>
  <c r="AD1885" i="2"/>
  <c r="AC1885" i="2"/>
  <c r="AB1885" i="2"/>
  <c r="AA1885" i="2"/>
  <c r="Z1885" i="2"/>
  <c r="Y1885" i="2"/>
  <c r="X1885" i="2"/>
  <c r="W1885" i="2"/>
  <c r="V1885" i="2"/>
  <c r="U1885" i="2"/>
  <c r="T1885" i="2"/>
  <c r="A1889" i="3" s="1"/>
  <c r="AM1884" i="2"/>
  <c r="AL1884" i="2"/>
  <c r="AK1884" i="2"/>
  <c r="AJ1884" i="2"/>
  <c r="AI1884" i="2"/>
  <c r="AH1884" i="2"/>
  <c r="F1884" i="4" s="1"/>
  <c r="AG1884" i="2"/>
  <c r="AF1884" i="2"/>
  <c r="AE1884" i="2"/>
  <c r="AD1884" i="2"/>
  <c r="AC1884" i="2"/>
  <c r="AB1884" i="2"/>
  <c r="AA1884" i="2"/>
  <c r="Z1884" i="2"/>
  <c r="Y1884" i="2"/>
  <c r="X1884" i="2"/>
  <c r="W1884" i="2"/>
  <c r="V1884" i="2"/>
  <c r="U1884" i="2"/>
  <c r="T1884" i="2"/>
  <c r="A1888" i="3" s="1"/>
  <c r="AM1883" i="2"/>
  <c r="AL1883" i="2"/>
  <c r="AK1883" i="2"/>
  <c r="AJ1883" i="2"/>
  <c r="AI1883" i="2"/>
  <c r="AH1883" i="2"/>
  <c r="F1883" i="4" s="1"/>
  <c r="AG1883" i="2"/>
  <c r="AF1883" i="2"/>
  <c r="AE1883" i="2"/>
  <c r="AD1883" i="2"/>
  <c r="AC1883" i="2"/>
  <c r="AB1883" i="2"/>
  <c r="AA1883" i="2"/>
  <c r="Z1883" i="2"/>
  <c r="Y1883" i="2"/>
  <c r="X1883" i="2"/>
  <c r="W1883" i="2"/>
  <c r="V1883" i="2"/>
  <c r="U1883" i="2"/>
  <c r="T1883" i="2"/>
  <c r="A1887" i="3" s="1"/>
  <c r="AM1882" i="2"/>
  <c r="AL1882" i="2"/>
  <c r="AK1882" i="2"/>
  <c r="AJ1882" i="2"/>
  <c r="AI1882" i="2"/>
  <c r="AH1882" i="2"/>
  <c r="F1882" i="4" s="1"/>
  <c r="AG1882" i="2"/>
  <c r="AF1882" i="2"/>
  <c r="AE1882" i="2"/>
  <c r="AD1882" i="2"/>
  <c r="AC1882" i="2"/>
  <c r="AB1882" i="2"/>
  <c r="AA1882" i="2"/>
  <c r="Z1882" i="2"/>
  <c r="Y1882" i="2"/>
  <c r="X1882" i="2"/>
  <c r="W1882" i="2"/>
  <c r="V1882" i="2"/>
  <c r="U1882" i="2"/>
  <c r="T1882" i="2"/>
  <c r="A1886" i="3" s="1"/>
  <c r="AM1881" i="2"/>
  <c r="AL1881" i="2"/>
  <c r="AK1881" i="2"/>
  <c r="AJ1881" i="2"/>
  <c r="AI1881" i="2"/>
  <c r="AH1881" i="2"/>
  <c r="F1881" i="4" s="1"/>
  <c r="AG1881" i="2"/>
  <c r="AF1881" i="2"/>
  <c r="AE1881" i="2"/>
  <c r="AD1881" i="2"/>
  <c r="AC1881" i="2"/>
  <c r="AB1881" i="2"/>
  <c r="AA1881" i="2"/>
  <c r="Z1881" i="2"/>
  <c r="Y1881" i="2"/>
  <c r="X1881" i="2"/>
  <c r="W1881" i="2"/>
  <c r="V1881" i="2"/>
  <c r="U1881" i="2"/>
  <c r="T1881" i="2"/>
  <c r="A1885" i="3" s="1"/>
  <c r="AM1880" i="2"/>
  <c r="AL1880" i="2"/>
  <c r="AK1880" i="2"/>
  <c r="AJ1880" i="2"/>
  <c r="AI1880" i="2"/>
  <c r="AH1880" i="2"/>
  <c r="F1880" i="4" s="1"/>
  <c r="AG1880" i="2"/>
  <c r="AF1880" i="2"/>
  <c r="AE1880" i="2"/>
  <c r="AD1880" i="2"/>
  <c r="AC1880" i="2"/>
  <c r="AB1880" i="2"/>
  <c r="AA1880" i="2"/>
  <c r="Z1880" i="2"/>
  <c r="Y1880" i="2"/>
  <c r="X1880" i="2"/>
  <c r="W1880" i="2"/>
  <c r="V1880" i="2"/>
  <c r="U1880" i="2"/>
  <c r="T1880" i="2"/>
  <c r="A1884" i="3" s="1"/>
  <c r="AM1879" i="2"/>
  <c r="AL1879" i="2"/>
  <c r="AK1879" i="2"/>
  <c r="AJ1879" i="2"/>
  <c r="AI1879" i="2"/>
  <c r="AH1879" i="2"/>
  <c r="F1879" i="4" s="1"/>
  <c r="AG1879" i="2"/>
  <c r="AF1879" i="2"/>
  <c r="AE1879" i="2"/>
  <c r="AD1879" i="2"/>
  <c r="AC1879" i="2"/>
  <c r="AB1879" i="2"/>
  <c r="AA1879" i="2"/>
  <c r="Z1879" i="2"/>
  <c r="Y1879" i="2"/>
  <c r="X1879" i="2"/>
  <c r="W1879" i="2"/>
  <c r="V1879" i="2"/>
  <c r="U1879" i="2"/>
  <c r="T1879" i="2"/>
  <c r="A1883" i="3" s="1"/>
  <c r="AM1878" i="2"/>
  <c r="AL1878" i="2"/>
  <c r="AK1878" i="2"/>
  <c r="AJ1878" i="2"/>
  <c r="AI1878" i="2"/>
  <c r="AH1878" i="2"/>
  <c r="F1878" i="4" s="1"/>
  <c r="AG1878" i="2"/>
  <c r="AF1878" i="2"/>
  <c r="AE1878" i="2"/>
  <c r="AD1878" i="2"/>
  <c r="AC1878" i="2"/>
  <c r="AB1878" i="2"/>
  <c r="AA1878" i="2"/>
  <c r="Z1878" i="2"/>
  <c r="Y1878" i="2"/>
  <c r="X1878" i="2"/>
  <c r="W1878" i="2"/>
  <c r="V1878" i="2"/>
  <c r="U1878" i="2"/>
  <c r="T1878" i="2"/>
  <c r="A1882" i="3" s="1"/>
  <c r="AM1877" i="2"/>
  <c r="AL1877" i="2"/>
  <c r="AK1877" i="2"/>
  <c r="AJ1877" i="2"/>
  <c r="AI1877" i="2"/>
  <c r="AH1877" i="2"/>
  <c r="F1877" i="4" s="1"/>
  <c r="AG1877" i="2"/>
  <c r="AF1877" i="2"/>
  <c r="AE1877" i="2"/>
  <c r="AD1877" i="2"/>
  <c r="AC1877" i="2"/>
  <c r="AB1877" i="2"/>
  <c r="AA1877" i="2"/>
  <c r="Z1877" i="2"/>
  <c r="Y1877" i="2"/>
  <c r="X1877" i="2"/>
  <c r="W1877" i="2"/>
  <c r="V1877" i="2"/>
  <c r="U1877" i="2"/>
  <c r="T1877" i="2"/>
  <c r="A1881" i="3" s="1"/>
  <c r="AM1876" i="2"/>
  <c r="AL1876" i="2"/>
  <c r="AK1876" i="2"/>
  <c r="AJ1876" i="2"/>
  <c r="AI1876" i="2"/>
  <c r="AH1876" i="2"/>
  <c r="F1876" i="4" s="1"/>
  <c r="AG1876" i="2"/>
  <c r="AF1876" i="2"/>
  <c r="AE1876" i="2"/>
  <c r="AD1876" i="2"/>
  <c r="AC1876" i="2"/>
  <c r="AB1876" i="2"/>
  <c r="AA1876" i="2"/>
  <c r="Z1876" i="2"/>
  <c r="Y1876" i="2"/>
  <c r="X1876" i="2"/>
  <c r="W1876" i="2"/>
  <c r="V1876" i="2"/>
  <c r="U1876" i="2"/>
  <c r="T1876" i="2"/>
  <c r="A1880" i="3" s="1"/>
  <c r="AM1875" i="2"/>
  <c r="AL1875" i="2"/>
  <c r="AK1875" i="2"/>
  <c r="AJ1875" i="2"/>
  <c r="AI1875" i="2"/>
  <c r="AH1875" i="2"/>
  <c r="F1875" i="4" s="1"/>
  <c r="AG1875" i="2"/>
  <c r="AF1875" i="2"/>
  <c r="AE1875" i="2"/>
  <c r="AD1875" i="2"/>
  <c r="AC1875" i="2"/>
  <c r="AB1875" i="2"/>
  <c r="AA1875" i="2"/>
  <c r="Z1875" i="2"/>
  <c r="Y1875" i="2"/>
  <c r="X1875" i="2"/>
  <c r="W1875" i="2"/>
  <c r="V1875" i="2"/>
  <c r="U1875" i="2"/>
  <c r="T1875" i="2"/>
  <c r="A1879" i="3" s="1"/>
  <c r="AM1874" i="2"/>
  <c r="AL1874" i="2"/>
  <c r="AK1874" i="2"/>
  <c r="AJ1874" i="2"/>
  <c r="AI1874" i="2"/>
  <c r="AH1874" i="2"/>
  <c r="F1874" i="4" s="1"/>
  <c r="AG1874" i="2"/>
  <c r="AF1874" i="2"/>
  <c r="AE1874" i="2"/>
  <c r="AD1874" i="2"/>
  <c r="AC1874" i="2"/>
  <c r="AB1874" i="2"/>
  <c r="AA1874" i="2"/>
  <c r="Z1874" i="2"/>
  <c r="Y1874" i="2"/>
  <c r="X1874" i="2"/>
  <c r="W1874" i="2"/>
  <c r="V1874" i="2"/>
  <c r="U1874" i="2"/>
  <c r="T1874" i="2"/>
  <c r="A1878" i="3" s="1"/>
  <c r="AM1873" i="2"/>
  <c r="AL1873" i="2"/>
  <c r="AK1873" i="2"/>
  <c r="AJ1873" i="2"/>
  <c r="AI1873" i="2"/>
  <c r="AH1873" i="2"/>
  <c r="F1873" i="4" s="1"/>
  <c r="AG1873" i="2"/>
  <c r="AF1873" i="2"/>
  <c r="AE1873" i="2"/>
  <c r="AD1873" i="2"/>
  <c r="AC1873" i="2"/>
  <c r="AB1873" i="2"/>
  <c r="AA1873" i="2"/>
  <c r="Z1873" i="2"/>
  <c r="Y1873" i="2"/>
  <c r="X1873" i="2"/>
  <c r="W1873" i="2"/>
  <c r="V1873" i="2"/>
  <c r="U1873" i="2"/>
  <c r="T1873" i="2"/>
  <c r="A1877" i="3" s="1"/>
  <c r="AM1872" i="2"/>
  <c r="AL1872" i="2"/>
  <c r="AK1872" i="2"/>
  <c r="AJ1872" i="2"/>
  <c r="AI1872" i="2"/>
  <c r="AH1872" i="2"/>
  <c r="F1872" i="4" s="1"/>
  <c r="AG1872" i="2"/>
  <c r="AF1872" i="2"/>
  <c r="AE1872" i="2"/>
  <c r="AD1872" i="2"/>
  <c r="AC1872" i="2"/>
  <c r="AB1872" i="2"/>
  <c r="AA1872" i="2"/>
  <c r="Z1872" i="2"/>
  <c r="Y1872" i="2"/>
  <c r="X1872" i="2"/>
  <c r="W1872" i="2"/>
  <c r="V1872" i="2"/>
  <c r="U1872" i="2"/>
  <c r="T1872" i="2"/>
  <c r="A1876" i="3" s="1"/>
  <c r="AM1871" i="2"/>
  <c r="AL1871" i="2"/>
  <c r="AK1871" i="2"/>
  <c r="AJ1871" i="2"/>
  <c r="AI1871" i="2"/>
  <c r="AH1871" i="2"/>
  <c r="F1871" i="4" s="1"/>
  <c r="AG1871" i="2"/>
  <c r="AF1871" i="2"/>
  <c r="AE1871" i="2"/>
  <c r="AD1871" i="2"/>
  <c r="AC1871" i="2"/>
  <c r="AB1871" i="2"/>
  <c r="AA1871" i="2"/>
  <c r="Z1871" i="2"/>
  <c r="Y1871" i="2"/>
  <c r="X1871" i="2"/>
  <c r="W1871" i="2"/>
  <c r="V1871" i="2"/>
  <c r="U1871" i="2"/>
  <c r="T1871" i="2"/>
  <c r="A1875" i="3" s="1"/>
  <c r="AM1870" i="2"/>
  <c r="AL1870" i="2"/>
  <c r="AK1870" i="2"/>
  <c r="AJ1870" i="2"/>
  <c r="AI1870" i="2"/>
  <c r="AH1870" i="2"/>
  <c r="F1870" i="4" s="1"/>
  <c r="AG1870" i="2"/>
  <c r="AF1870" i="2"/>
  <c r="AE1870" i="2"/>
  <c r="AD1870" i="2"/>
  <c r="AC1870" i="2"/>
  <c r="AB1870" i="2"/>
  <c r="AA1870" i="2"/>
  <c r="Z1870" i="2"/>
  <c r="Y1870" i="2"/>
  <c r="X1870" i="2"/>
  <c r="W1870" i="2"/>
  <c r="V1870" i="2"/>
  <c r="U1870" i="2"/>
  <c r="T1870" i="2"/>
  <c r="A1874" i="3" s="1"/>
  <c r="AM1869" i="2"/>
  <c r="AL1869" i="2"/>
  <c r="AK1869" i="2"/>
  <c r="AJ1869" i="2"/>
  <c r="AI1869" i="2"/>
  <c r="AH1869" i="2"/>
  <c r="F1869" i="4" s="1"/>
  <c r="AG1869" i="2"/>
  <c r="AF1869" i="2"/>
  <c r="AE1869" i="2"/>
  <c r="AD1869" i="2"/>
  <c r="AC1869" i="2"/>
  <c r="AB1869" i="2"/>
  <c r="AA1869" i="2"/>
  <c r="Z1869" i="2"/>
  <c r="Y1869" i="2"/>
  <c r="X1869" i="2"/>
  <c r="W1869" i="2"/>
  <c r="V1869" i="2"/>
  <c r="U1869" i="2"/>
  <c r="T1869" i="2"/>
  <c r="A1873" i="3" s="1"/>
  <c r="AM1868" i="2"/>
  <c r="AL1868" i="2"/>
  <c r="AK1868" i="2"/>
  <c r="AJ1868" i="2"/>
  <c r="AI1868" i="2"/>
  <c r="AH1868" i="2"/>
  <c r="F1868" i="4" s="1"/>
  <c r="AG1868" i="2"/>
  <c r="AF1868" i="2"/>
  <c r="AE1868" i="2"/>
  <c r="AD1868" i="2"/>
  <c r="AC1868" i="2"/>
  <c r="AB1868" i="2"/>
  <c r="AA1868" i="2"/>
  <c r="Z1868" i="2"/>
  <c r="Y1868" i="2"/>
  <c r="X1868" i="2"/>
  <c r="W1868" i="2"/>
  <c r="V1868" i="2"/>
  <c r="U1868" i="2"/>
  <c r="T1868" i="2"/>
  <c r="A1872" i="3" s="1"/>
  <c r="AM1867" i="2"/>
  <c r="AL1867" i="2"/>
  <c r="AK1867" i="2"/>
  <c r="AJ1867" i="2"/>
  <c r="AI1867" i="2"/>
  <c r="AH1867" i="2"/>
  <c r="F1867" i="4" s="1"/>
  <c r="AG1867" i="2"/>
  <c r="AF1867" i="2"/>
  <c r="AE1867" i="2"/>
  <c r="AD1867" i="2"/>
  <c r="AC1867" i="2"/>
  <c r="AB1867" i="2"/>
  <c r="AA1867" i="2"/>
  <c r="Z1867" i="2"/>
  <c r="Y1867" i="2"/>
  <c r="X1867" i="2"/>
  <c r="W1867" i="2"/>
  <c r="V1867" i="2"/>
  <c r="U1867" i="2"/>
  <c r="T1867" i="2"/>
  <c r="A1871" i="3" s="1"/>
  <c r="AM1866" i="2"/>
  <c r="AL1866" i="2"/>
  <c r="AK1866" i="2"/>
  <c r="AJ1866" i="2"/>
  <c r="AI1866" i="2"/>
  <c r="AH1866" i="2"/>
  <c r="F1866" i="4" s="1"/>
  <c r="AG1866" i="2"/>
  <c r="AF1866" i="2"/>
  <c r="AE1866" i="2"/>
  <c r="AD1866" i="2"/>
  <c r="AC1866" i="2"/>
  <c r="AB1866" i="2"/>
  <c r="AA1866" i="2"/>
  <c r="Z1866" i="2"/>
  <c r="Y1866" i="2"/>
  <c r="X1866" i="2"/>
  <c r="W1866" i="2"/>
  <c r="V1866" i="2"/>
  <c r="U1866" i="2"/>
  <c r="T1866" i="2"/>
  <c r="A1870" i="3" s="1"/>
  <c r="AM1865" i="2"/>
  <c r="AL1865" i="2"/>
  <c r="AK1865" i="2"/>
  <c r="AJ1865" i="2"/>
  <c r="AI1865" i="2"/>
  <c r="AH1865" i="2"/>
  <c r="F1865" i="4" s="1"/>
  <c r="AG1865" i="2"/>
  <c r="AF1865" i="2"/>
  <c r="AE1865" i="2"/>
  <c r="AD1865" i="2"/>
  <c r="AC1865" i="2"/>
  <c r="AB1865" i="2"/>
  <c r="AA1865" i="2"/>
  <c r="Z1865" i="2"/>
  <c r="Y1865" i="2"/>
  <c r="X1865" i="2"/>
  <c r="W1865" i="2"/>
  <c r="V1865" i="2"/>
  <c r="U1865" i="2"/>
  <c r="T1865" i="2"/>
  <c r="A1869" i="3" s="1"/>
  <c r="AM1864" i="2"/>
  <c r="AL1864" i="2"/>
  <c r="AK1864" i="2"/>
  <c r="AJ1864" i="2"/>
  <c r="AI1864" i="2"/>
  <c r="AH1864" i="2"/>
  <c r="F1864" i="4" s="1"/>
  <c r="AG1864" i="2"/>
  <c r="AF1864" i="2"/>
  <c r="AE1864" i="2"/>
  <c r="AD1864" i="2"/>
  <c r="AC1864" i="2"/>
  <c r="AB1864" i="2"/>
  <c r="AA1864" i="2"/>
  <c r="Z1864" i="2"/>
  <c r="Y1864" i="2"/>
  <c r="X1864" i="2"/>
  <c r="W1864" i="2"/>
  <c r="V1864" i="2"/>
  <c r="U1864" i="2"/>
  <c r="T1864" i="2"/>
  <c r="A1868" i="3" s="1"/>
  <c r="AM1863" i="2"/>
  <c r="AL1863" i="2"/>
  <c r="AK1863" i="2"/>
  <c r="AJ1863" i="2"/>
  <c r="AI1863" i="2"/>
  <c r="AH1863" i="2"/>
  <c r="F1863" i="4" s="1"/>
  <c r="AG1863" i="2"/>
  <c r="AF1863" i="2"/>
  <c r="AE1863" i="2"/>
  <c r="AD1863" i="2"/>
  <c r="AC1863" i="2"/>
  <c r="AB1863" i="2"/>
  <c r="AA1863" i="2"/>
  <c r="Z1863" i="2"/>
  <c r="Y1863" i="2"/>
  <c r="X1863" i="2"/>
  <c r="W1863" i="2"/>
  <c r="V1863" i="2"/>
  <c r="U1863" i="2"/>
  <c r="T1863" i="2"/>
  <c r="A1867" i="3" s="1"/>
  <c r="AM1862" i="2"/>
  <c r="AL1862" i="2"/>
  <c r="AK1862" i="2"/>
  <c r="AJ1862" i="2"/>
  <c r="AI1862" i="2"/>
  <c r="AH1862" i="2"/>
  <c r="F1862" i="4" s="1"/>
  <c r="AG1862" i="2"/>
  <c r="AF1862" i="2"/>
  <c r="AE1862" i="2"/>
  <c r="AD1862" i="2"/>
  <c r="AC1862" i="2"/>
  <c r="AB1862" i="2"/>
  <c r="AA1862" i="2"/>
  <c r="Z1862" i="2"/>
  <c r="Y1862" i="2"/>
  <c r="X1862" i="2"/>
  <c r="W1862" i="2"/>
  <c r="V1862" i="2"/>
  <c r="U1862" i="2"/>
  <c r="T1862" i="2"/>
  <c r="A1866" i="3" s="1"/>
  <c r="AM1861" i="2"/>
  <c r="AL1861" i="2"/>
  <c r="AK1861" i="2"/>
  <c r="AJ1861" i="2"/>
  <c r="AI1861" i="2"/>
  <c r="AH1861" i="2"/>
  <c r="F1861" i="4" s="1"/>
  <c r="AG1861" i="2"/>
  <c r="AF1861" i="2"/>
  <c r="AE1861" i="2"/>
  <c r="AD1861" i="2"/>
  <c r="AC1861" i="2"/>
  <c r="AB1861" i="2"/>
  <c r="AA1861" i="2"/>
  <c r="Z1861" i="2"/>
  <c r="Y1861" i="2"/>
  <c r="X1861" i="2"/>
  <c r="W1861" i="2"/>
  <c r="V1861" i="2"/>
  <c r="U1861" i="2"/>
  <c r="T1861" i="2"/>
  <c r="A1865" i="3" s="1"/>
  <c r="AM1860" i="2"/>
  <c r="AL1860" i="2"/>
  <c r="AK1860" i="2"/>
  <c r="AJ1860" i="2"/>
  <c r="AI1860" i="2"/>
  <c r="AH1860" i="2"/>
  <c r="F1860" i="4" s="1"/>
  <c r="AG1860" i="2"/>
  <c r="AF1860" i="2"/>
  <c r="AE1860" i="2"/>
  <c r="AD1860" i="2"/>
  <c r="AC1860" i="2"/>
  <c r="AB1860" i="2"/>
  <c r="AA1860" i="2"/>
  <c r="Z1860" i="2"/>
  <c r="Y1860" i="2"/>
  <c r="X1860" i="2"/>
  <c r="W1860" i="2"/>
  <c r="V1860" i="2"/>
  <c r="U1860" i="2"/>
  <c r="T1860" i="2"/>
  <c r="A1864" i="3" s="1"/>
  <c r="AM1859" i="2"/>
  <c r="AL1859" i="2"/>
  <c r="AK1859" i="2"/>
  <c r="AJ1859" i="2"/>
  <c r="AI1859" i="2"/>
  <c r="AH1859" i="2"/>
  <c r="F1859" i="4" s="1"/>
  <c r="AG1859" i="2"/>
  <c r="AF1859" i="2"/>
  <c r="AE1859" i="2"/>
  <c r="AD1859" i="2"/>
  <c r="AC1859" i="2"/>
  <c r="AB1859" i="2"/>
  <c r="AA1859" i="2"/>
  <c r="Z1859" i="2"/>
  <c r="Y1859" i="2"/>
  <c r="X1859" i="2"/>
  <c r="W1859" i="2"/>
  <c r="V1859" i="2"/>
  <c r="U1859" i="2"/>
  <c r="T1859" i="2"/>
  <c r="A1863" i="3" s="1"/>
  <c r="AM1858" i="2"/>
  <c r="AL1858" i="2"/>
  <c r="AK1858" i="2"/>
  <c r="AJ1858" i="2"/>
  <c r="AI1858" i="2"/>
  <c r="AH1858" i="2"/>
  <c r="F1858" i="4" s="1"/>
  <c r="AG1858" i="2"/>
  <c r="AF1858" i="2"/>
  <c r="AE1858" i="2"/>
  <c r="AD1858" i="2"/>
  <c r="AC1858" i="2"/>
  <c r="AB1858" i="2"/>
  <c r="AA1858" i="2"/>
  <c r="Z1858" i="2"/>
  <c r="Y1858" i="2"/>
  <c r="X1858" i="2"/>
  <c r="W1858" i="2"/>
  <c r="V1858" i="2"/>
  <c r="U1858" i="2"/>
  <c r="T1858" i="2"/>
  <c r="A1862" i="3" s="1"/>
  <c r="AM1857" i="2"/>
  <c r="AL1857" i="2"/>
  <c r="AK1857" i="2"/>
  <c r="AJ1857" i="2"/>
  <c r="AI1857" i="2"/>
  <c r="AH1857" i="2"/>
  <c r="F1857" i="4" s="1"/>
  <c r="AG1857" i="2"/>
  <c r="AF1857" i="2"/>
  <c r="AE1857" i="2"/>
  <c r="AD1857" i="2"/>
  <c r="AC1857" i="2"/>
  <c r="AB1857" i="2"/>
  <c r="AA1857" i="2"/>
  <c r="Z1857" i="2"/>
  <c r="Y1857" i="2"/>
  <c r="X1857" i="2"/>
  <c r="W1857" i="2"/>
  <c r="V1857" i="2"/>
  <c r="U1857" i="2"/>
  <c r="T1857" i="2"/>
  <c r="A1861" i="3" s="1"/>
  <c r="AM1856" i="2"/>
  <c r="AL1856" i="2"/>
  <c r="AK1856" i="2"/>
  <c r="AJ1856" i="2"/>
  <c r="AI1856" i="2"/>
  <c r="AH1856" i="2"/>
  <c r="F1856" i="4" s="1"/>
  <c r="AG1856" i="2"/>
  <c r="AF1856" i="2"/>
  <c r="AE1856" i="2"/>
  <c r="AD1856" i="2"/>
  <c r="AC1856" i="2"/>
  <c r="AB1856" i="2"/>
  <c r="AA1856" i="2"/>
  <c r="Z1856" i="2"/>
  <c r="Y1856" i="2"/>
  <c r="X1856" i="2"/>
  <c r="W1856" i="2"/>
  <c r="V1856" i="2"/>
  <c r="U1856" i="2"/>
  <c r="T1856" i="2"/>
  <c r="A1860" i="3" s="1"/>
  <c r="AM1855" i="2"/>
  <c r="AL1855" i="2"/>
  <c r="AK1855" i="2"/>
  <c r="AJ1855" i="2"/>
  <c r="AI1855" i="2"/>
  <c r="AH1855" i="2"/>
  <c r="F1855" i="4" s="1"/>
  <c r="AG1855" i="2"/>
  <c r="AF1855" i="2"/>
  <c r="AE1855" i="2"/>
  <c r="AD1855" i="2"/>
  <c r="AC1855" i="2"/>
  <c r="AB1855" i="2"/>
  <c r="AA1855" i="2"/>
  <c r="Z1855" i="2"/>
  <c r="Y1855" i="2"/>
  <c r="X1855" i="2"/>
  <c r="W1855" i="2"/>
  <c r="V1855" i="2"/>
  <c r="U1855" i="2"/>
  <c r="T1855" i="2"/>
  <c r="A1859" i="3" s="1"/>
  <c r="AM1854" i="2"/>
  <c r="AL1854" i="2"/>
  <c r="AK1854" i="2"/>
  <c r="AJ1854" i="2"/>
  <c r="AI1854" i="2"/>
  <c r="AH1854" i="2"/>
  <c r="F1854" i="4" s="1"/>
  <c r="AG1854" i="2"/>
  <c r="AF1854" i="2"/>
  <c r="AE1854" i="2"/>
  <c r="AD1854" i="2"/>
  <c r="AC1854" i="2"/>
  <c r="AB1854" i="2"/>
  <c r="AA1854" i="2"/>
  <c r="Z1854" i="2"/>
  <c r="Y1854" i="2"/>
  <c r="X1854" i="2"/>
  <c r="W1854" i="2"/>
  <c r="V1854" i="2"/>
  <c r="U1854" i="2"/>
  <c r="T1854" i="2"/>
  <c r="A1858" i="3" s="1"/>
  <c r="AM1853" i="2"/>
  <c r="AL1853" i="2"/>
  <c r="AK1853" i="2"/>
  <c r="AJ1853" i="2"/>
  <c r="AI1853" i="2"/>
  <c r="AH1853" i="2"/>
  <c r="F1853" i="4" s="1"/>
  <c r="AG1853" i="2"/>
  <c r="AF1853" i="2"/>
  <c r="AE1853" i="2"/>
  <c r="AD1853" i="2"/>
  <c r="AC1853" i="2"/>
  <c r="AB1853" i="2"/>
  <c r="AA1853" i="2"/>
  <c r="Z1853" i="2"/>
  <c r="Y1853" i="2"/>
  <c r="X1853" i="2"/>
  <c r="W1853" i="2"/>
  <c r="V1853" i="2"/>
  <c r="U1853" i="2"/>
  <c r="T1853" i="2"/>
  <c r="A1857" i="3" s="1"/>
  <c r="AM1852" i="2"/>
  <c r="AL1852" i="2"/>
  <c r="AK1852" i="2"/>
  <c r="AJ1852" i="2"/>
  <c r="AI1852" i="2"/>
  <c r="AH1852" i="2"/>
  <c r="F1852" i="4" s="1"/>
  <c r="AG1852" i="2"/>
  <c r="AF1852" i="2"/>
  <c r="AE1852" i="2"/>
  <c r="AD1852" i="2"/>
  <c r="AC1852" i="2"/>
  <c r="AB1852" i="2"/>
  <c r="AA1852" i="2"/>
  <c r="Z1852" i="2"/>
  <c r="Y1852" i="2"/>
  <c r="X1852" i="2"/>
  <c r="W1852" i="2"/>
  <c r="V1852" i="2"/>
  <c r="U1852" i="2"/>
  <c r="T1852" i="2"/>
  <c r="A1856" i="3" s="1"/>
  <c r="AM1851" i="2"/>
  <c r="AL1851" i="2"/>
  <c r="AK1851" i="2"/>
  <c r="AJ1851" i="2"/>
  <c r="AI1851" i="2"/>
  <c r="AH1851" i="2"/>
  <c r="F1851" i="4" s="1"/>
  <c r="AG1851" i="2"/>
  <c r="AF1851" i="2"/>
  <c r="AE1851" i="2"/>
  <c r="AD1851" i="2"/>
  <c r="AC1851" i="2"/>
  <c r="AB1851" i="2"/>
  <c r="AA1851" i="2"/>
  <c r="Z1851" i="2"/>
  <c r="Y1851" i="2"/>
  <c r="X1851" i="2"/>
  <c r="W1851" i="2"/>
  <c r="V1851" i="2"/>
  <c r="U1851" i="2"/>
  <c r="T1851" i="2"/>
  <c r="A1855" i="3" s="1"/>
  <c r="AM1850" i="2"/>
  <c r="AL1850" i="2"/>
  <c r="AK1850" i="2"/>
  <c r="AJ1850" i="2"/>
  <c r="AI1850" i="2"/>
  <c r="AH1850" i="2"/>
  <c r="F1850" i="4" s="1"/>
  <c r="AG1850" i="2"/>
  <c r="AF1850" i="2"/>
  <c r="AE1850" i="2"/>
  <c r="AD1850" i="2"/>
  <c r="AC1850" i="2"/>
  <c r="AB1850" i="2"/>
  <c r="AA1850" i="2"/>
  <c r="Z1850" i="2"/>
  <c r="Y1850" i="2"/>
  <c r="X1850" i="2"/>
  <c r="W1850" i="2"/>
  <c r="V1850" i="2"/>
  <c r="U1850" i="2"/>
  <c r="T1850" i="2"/>
  <c r="A1854" i="3" s="1"/>
  <c r="AM1849" i="2"/>
  <c r="AL1849" i="2"/>
  <c r="AK1849" i="2"/>
  <c r="AJ1849" i="2"/>
  <c r="AI1849" i="2"/>
  <c r="AH1849" i="2"/>
  <c r="F1849" i="4" s="1"/>
  <c r="AG1849" i="2"/>
  <c r="AF1849" i="2"/>
  <c r="AE1849" i="2"/>
  <c r="AD1849" i="2"/>
  <c r="AC1849" i="2"/>
  <c r="AB1849" i="2"/>
  <c r="AA1849" i="2"/>
  <c r="Z1849" i="2"/>
  <c r="Y1849" i="2"/>
  <c r="X1849" i="2"/>
  <c r="W1849" i="2"/>
  <c r="V1849" i="2"/>
  <c r="U1849" i="2"/>
  <c r="T1849" i="2"/>
  <c r="A1853" i="3" s="1"/>
  <c r="AM1848" i="2"/>
  <c r="AL1848" i="2"/>
  <c r="AK1848" i="2"/>
  <c r="AJ1848" i="2"/>
  <c r="AI1848" i="2"/>
  <c r="AH1848" i="2"/>
  <c r="F1848" i="4" s="1"/>
  <c r="AG1848" i="2"/>
  <c r="AF1848" i="2"/>
  <c r="AE1848" i="2"/>
  <c r="AD1848" i="2"/>
  <c r="AC1848" i="2"/>
  <c r="AB1848" i="2"/>
  <c r="AA1848" i="2"/>
  <c r="Z1848" i="2"/>
  <c r="Y1848" i="2"/>
  <c r="X1848" i="2"/>
  <c r="W1848" i="2"/>
  <c r="V1848" i="2"/>
  <c r="U1848" i="2"/>
  <c r="T1848" i="2"/>
  <c r="A1852" i="3" s="1"/>
  <c r="AM1847" i="2"/>
  <c r="AL1847" i="2"/>
  <c r="AK1847" i="2"/>
  <c r="AJ1847" i="2"/>
  <c r="AI1847" i="2"/>
  <c r="AH1847" i="2"/>
  <c r="F1847" i="4" s="1"/>
  <c r="AG1847" i="2"/>
  <c r="AF1847" i="2"/>
  <c r="AE1847" i="2"/>
  <c r="AD1847" i="2"/>
  <c r="AC1847" i="2"/>
  <c r="AB1847" i="2"/>
  <c r="AA1847" i="2"/>
  <c r="Z1847" i="2"/>
  <c r="Y1847" i="2"/>
  <c r="X1847" i="2"/>
  <c r="W1847" i="2"/>
  <c r="V1847" i="2"/>
  <c r="U1847" i="2"/>
  <c r="T1847" i="2"/>
  <c r="A1851" i="3" s="1"/>
  <c r="AM1846" i="2"/>
  <c r="AL1846" i="2"/>
  <c r="AK1846" i="2"/>
  <c r="AJ1846" i="2"/>
  <c r="AI1846" i="2"/>
  <c r="AH1846" i="2"/>
  <c r="F1846" i="4" s="1"/>
  <c r="AG1846" i="2"/>
  <c r="AF1846" i="2"/>
  <c r="AE1846" i="2"/>
  <c r="AD1846" i="2"/>
  <c r="AC1846" i="2"/>
  <c r="AB1846" i="2"/>
  <c r="AA1846" i="2"/>
  <c r="Z1846" i="2"/>
  <c r="Y1846" i="2"/>
  <c r="X1846" i="2"/>
  <c r="W1846" i="2"/>
  <c r="V1846" i="2"/>
  <c r="U1846" i="2"/>
  <c r="T1846" i="2"/>
  <c r="A1850" i="3" s="1"/>
  <c r="AM1845" i="2"/>
  <c r="AL1845" i="2"/>
  <c r="AK1845" i="2"/>
  <c r="AJ1845" i="2"/>
  <c r="AI1845" i="2"/>
  <c r="AH1845" i="2"/>
  <c r="F1845" i="4" s="1"/>
  <c r="AG1845" i="2"/>
  <c r="AF1845" i="2"/>
  <c r="AE1845" i="2"/>
  <c r="AD1845" i="2"/>
  <c r="AC1845" i="2"/>
  <c r="AB1845" i="2"/>
  <c r="AA1845" i="2"/>
  <c r="Z1845" i="2"/>
  <c r="Y1845" i="2"/>
  <c r="X1845" i="2"/>
  <c r="W1845" i="2"/>
  <c r="V1845" i="2"/>
  <c r="U1845" i="2"/>
  <c r="T1845" i="2"/>
  <c r="A1849" i="3" s="1"/>
  <c r="AM1844" i="2"/>
  <c r="AL1844" i="2"/>
  <c r="AK1844" i="2"/>
  <c r="AJ1844" i="2"/>
  <c r="AI1844" i="2"/>
  <c r="AH1844" i="2"/>
  <c r="F1844" i="4" s="1"/>
  <c r="AG1844" i="2"/>
  <c r="AF1844" i="2"/>
  <c r="AE1844" i="2"/>
  <c r="AD1844" i="2"/>
  <c r="AC1844" i="2"/>
  <c r="AB1844" i="2"/>
  <c r="AA1844" i="2"/>
  <c r="Z1844" i="2"/>
  <c r="Y1844" i="2"/>
  <c r="X1844" i="2"/>
  <c r="W1844" i="2"/>
  <c r="V1844" i="2"/>
  <c r="U1844" i="2"/>
  <c r="T1844" i="2"/>
  <c r="A1848" i="3" s="1"/>
  <c r="AM1843" i="2"/>
  <c r="AL1843" i="2"/>
  <c r="AK1843" i="2"/>
  <c r="AJ1843" i="2"/>
  <c r="AI1843" i="2"/>
  <c r="AH1843" i="2"/>
  <c r="F1843" i="4" s="1"/>
  <c r="AG1843" i="2"/>
  <c r="AF1843" i="2"/>
  <c r="AE1843" i="2"/>
  <c r="AD1843" i="2"/>
  <c r="AC1843" i="2"/>
  <c r="AB1843" i="2"/>
  <c r="AA1843" i="2"/>
  <c r="Z1843" i="2"/>
  <c r="Y1843" i="2"/>
  <c r="X1843" i="2"/>
  <c r="W1843" i="2"/>
  <c r="V1843" i="2"/>
  <c r="U1843" i="2"/>
  <c r="T1843" i="2"/>
  <c r="A1847" i="3" s="1"/>
  <c r="AM1842" i="2"/>
  <c r="AL1842" i="2"/>
  <c r="AK1842" i="2"/>
  <c r="AJ1842" i="2"/>
  <c r="AI1842" i="2"/>
  <c r="AH1842" i="2"/>
  <c r="F1842" i="4" s="1"/>
  <c r="AG1842" i="2"/>
  <c r="AF1842" i="2"/>
  <c r="AE1842" i="2"/>
  <c r="AD1842" i="2"/>
  <c r="AC1842" i="2"/>
  <c r="AB1842" i="2"/>
  <c r="AA1842" i="2"/>
  <c r="Z1842" i="2"/>
  <c r="Y1842" i="2"/>
  <c r="X1842" i="2"/>
  <c r="W1842" i="2"/>
  <c r="V1842" i="2"/>
  <c r="U1842" i="2"/>
  <c r="T1842" i="2"/>
  <c r="A1846" i="3" s="1"/>
  <c r="AM1841" i="2"/>
  <c r="AL1841" i="2"/>
  <c r="AK1841" i="2"/>
  <c r="AJ1841" i="2"/>
  <c r="AI1841" i="2"/>
  <c r="AH1841" i="2"/>
  <c r="F1841" i="4" s="1"/>
  <c r="AG1841" i="2"/>
  <c r="AF1841" i="2"/>
  <c r="AE1841" i="2"/>
  <c r="AD1841" i="2"/>
  <c r="AC1841" i="2"/>
  <c r="AB1841" i="2"/>
  <c r="AA1841" i="2"/>
  <c r="Z1841" i="2"/>
  <c r="Y1841" i="2"/>
  <c r="X1841" i="2"/>
  <c r="W1841" i="2"/>
  <c r="V1841" i="2"/>
  <c r="U1841" i="2"/>
  <c r="T1841" i="2"/>
  <c r="A1845" i="3" s="1"/>
  <c r="AM1840" i="2"/>
  <c r="AL1840" i="2"/>
  <c r="AK1840" i="2"/>
  <c r="AJ1840" i="2"/>
  <c r="AI1840" i="2"/>
  <c r="AH1840" i="2"/>
  <c r="F1840" i="4" s="1"/>
  <c r="AG1840" i="2"/>
  <c r="AF1840" i="2"/>
  <c r="AE1840" i="2"/>
  <c r="AD1840" i="2"/>
  <c r="AC1840" i="2"/>
  <c r="AB1840" i="2"/>
  <c r="AA1840" i="2"/>
  <c r="Z1840" i="2"/>
  <c r="Y1840" i="2"/>
  <c r="X1840" i="2"/>
  <c r="W1840" i="2"/>
  <c r="V1840" i="2"/>
  <c r="U1840" i="2"/>
  <c r="T1840" i="2"/>
  <c r="A1844" i="3" s="1"/>
  <c r="AM1839" i="2"/>
  <c r="AL1839" i="2"/>
  <c r="AK1839" i="2"/>
  <c r="AJ1839" i="2"/>
  <c r="AI1839" i="2"/>
  <c r="AH1839" i="2"/>
  <c r="F1839" i="4" s="1"/>
  <c r="AG1839" i="2"/>
  <c r="AF1839" i="2"/>
  <c r="AE1839" i="2"/>
  <c r="AD1839" i="2"/>
  <c r="AC1839" i="2"/>
  <c r="AB1839" i="2"/>
  <c r="AA1839" i="2"/>
  <c r="Z1839" i="2"/>
  <c r="Y1839" i="2"/>
  <c r="X1839" i="2"/>
  <c r="W1839" i="2"/>
  <c r="V1839" i="2"/>
  <c r="U1839" i="2"/>
  <c r="T1839" i="2"/>
  <c r="A1843" i="3" s="1"/>
  <c r="AM1838" i="2"/>
  <c r="AL1838" i="2"/>
  <c r="AK1838" i="2"/>
  <c r="AJ1838" i="2"/>
  <c r="AI1838" i="2"/>
  <c r="AH1838" i="2"/>
  <c r="F1838" i="4" s="1"/>
  <c r="AG1838" i="2"/>
  <c r="AF1838" i="2"/>
  <c r="AE1838" i="2"/>
  <c r="AD1838" i="2"/>
  <c r="AC1838" i="2"/>
  <c r="AB1838" i="2"/>
  <c r="AA1838" i="2"/>
  <c r="Z1838" i="2"/>
  <c r="Y1838" i="2"/>
  <c r="X1838" i="2"/>
  <c r="W1838" i="2"/>
  <c r="V1838" i="2"/>
  <c r="U1838" i="2"/>
  <c r="T1838" i="2"/>
  <c r="A1842" i="3" s="1"/>
  <c r="AM1837" i="2"/>
  <c r="AL1837" i="2"/>
  <c r="AK1837" i="2"/>
  <c r="AJ1837" i="2"/>
  <c r="AI1837" i="2"/>
  <c r="AH1837" i="2"/>
  <c r="F1837" i="4" s="1"/>
  <c r="AG1837" i="2"/>
  <c r="AF1837" i="2"/>
  <c r="AE1837" i="2"/>
  <c r="AD1837" i="2"/>
  <c r="AC1837" i="2"/>
  <c r="AB1837" i="2"/>
  <c r="AA1837" i="2"/>
  <c r="Z1837" i="2"/>
  <c r="Y1837" i="2"/>
  <c r="X1837" i="2"/>
  <c r="W1837" i="2"/>
  <c r="V1837" i="2"/>
  <c r="U1837" i="2"/>
  <c r="T1837" i="2"/>
  <c r="A1841" i="3" s="1"/>
  <c r="AM1836" i="2"/>
  <c r="AL1836" i="2"/>
  <c r="AK1836" i="2"/>
  <c r="AJ1836" i="2"/>
  <c r="AI1836" i="2"/>
  <c r="AH1836" i="2"/>
  <c r="F1836" i="4" s="1"/>
  <c r="AG1836" i="2"/>
  <c r="AF1836" i="2"/>
  <c r="AE1836" i="2"/>
  <c r="AD1836" i="2"/>
  <c r="AC1836" i="2"/>
  <c r="AB1836" i="2"/>
  <c r="AA1836" i="2"/>
  <c r="Z1836" i="2"/>
  <c r="Y1836" i="2"/>
  <c r="X1836" i="2"/>
  <c r="W1836" i="2"/>
  <c r="V1836" i="2"/>
  <c r="U1836" i="2"/>
  <c r="T1836" i="2"/>
  <c r="A1840" i="3" s="1"/>
  <c r="AM1835" i="2"/>
  <c r="AL1835" i="2"/>
  <c r="AK1835" i="2"/>
  <c r="AJ1835" i="2"/>
  <c r="AI1835" i="2"/>
  <c r="AH1835" i="2"/>
  <c r="F1835" i="4" s="1"/>
  <c r="AG1835" i="2"/>
  <c r="AF1835" i="2"/>
  <c r="AE1835" i="2"/>
  <c r="AD1835" i="2"/>
  <c r="AC1835" i="2"/>
  <c r="AB1835" i="2"/>
  <c r="AA1835" i="2"/>
  <c r="Z1835" i="2"/>
  <c r="Y1835" i="2"/>
  <c r="X1835" i="2"/>
  <c r="W1835" i="2"/>
  <c r="V1835" i="2"/>
  <c r="U1835" i="2"/>
  <c r="T1835" i="2"/>
  <c r="A1839" i="3" s="1"/>
  <c r="AM1834" i="2"/>
  <c r="AL1834" i="2"/>
  <c r="AK1834" i="2"/>
  <c r="AJ1834" i="2"/>
  <c r="AI1834" i="2"/>
  <c r="AH1834" i="2"/>
  <c r="F1834" i="4" s="1"/>
  <c r="AG1834" i="2"/>
  <c r="AF1834" i="2"/>
  <c r="AE1834" i="2"/>
  <c r="AD1834" i="2"/>
  <c r="AC1834" i="2"/>
  <c r="AB1834" i="2"/>
  <c r="AA1834" i="2"/>
  <c r="Z1834" i="2"/>
  <c r="Y1834" i="2"/>
  <c r="X1834" i="2"/>
  <c r="W1834" i="2"/>
  <c r="V1834" i="2"/>
  <c r="U1834" i="2"/>
  <c r="T1834" i="2"/>
  <c r="A1838" i="3" s="1"/>
  <c r="AM1833" i="2"/>
  <c r="AL1833" i="2"/>
  <c r="AK1833" i="2"/>
  <c r="AJ1833" i="2"/>
  <c r="AI1833" i="2"/>
  <c r="AH1833" i="2"/>
  <c r="F1833" i="4" s="1"/>
  <c r="AG1833" i="2"/>
  <c r="AF1833" i="2"/>
  <c r="AE1833" i="2"/>
  <c r="AD1833" i="2"/>
  <c r="AC1833" i="2"/>
  <c r="AB1833" i="2"/>
  <c r="AA1833" i="2"/>
  <c r="Z1833" i="2"/>
  <c r="Y1833" i="2"/>
  <c r="X1833" i="2"/>
  <c r="W1833" i="2"/>
  <c r="V1833" i="2"/>
  <c r="U1833" i="2"/>
  <c r="T1833" i="2"/>
  <c r="A1837" i="3" s="1"/>
  <c r="AM1832" i="2"/>
  <c r="AL1832" i="2"/>
  <c r="AK1832" i="2"/>
  <c r="AJ1832" i="2"/>
  <c r="AI1832" i="2"/>
  <c r="AH1832" i="2"/>
  <c r="F1832" i="4" s="1"/>
  <c r="AG1832" i="2"/>
  <c r="AF1832" i="2"/>
  <c r="AE1832" i="2"/>
  <c r="AD1832" i="2"/>
  <c r="AC1832" i="2"/>
  <c r="AB1832" i="2"/>
  <c r="AA1832" i="2"/>
  <c r="Z1832" i="2"/>
  <c r="Y1832" i="2"/>
  <c r="X1832" i="2"/>
  <c r="W1832" i="2"/>
  <c r="V1832" i="2"/>
  <c r="U1832" i="2"/>
  <c r="T1832" i="2"/>
  <c r="A1836" i="3" s="1"/>
  <c r="AM1831" i="2"/>
  <c r="AL1831" i="2"/>
  <c r="AK1831" i="2"/>
  <c r="AJ1831" i="2"/>
  <c r="AI1831" i="2"/>
  <c r="AH1831" i="2"/>
  <c r="F1831" i="4" s="1"/>
  <c r="AG1831" i="2"/>
  <c r="AF1831" i="2"/>
  <c r="AE1831" i="2"/>
  <c r="AD1831" i="2"/>
  <c r="AC1831" i="2"/>
  <c r="AB1831" i="2"/>
  <c r="AA1831" i="2"/>
  <c r="Z1831" i="2"/>
  <c r="Y1831" i="2"/>
  <c r="X1831" i="2"/>
  <c r="W1831" i="2"/>
  <c r="V1831" i="2"/>
  <c r="U1831" i="2"/>
  <c r="T1831" i="2"/>
  <c r="A1835" i="3" s="1"/>
  <c r="AM1830" i="2"/>
  <c r="AL1830" i="2"/>
  <c r="AK1830" i="2"/>
  <c r="AJ1830" i="2"/>
  <c r="AI1830" i="2"/>
  <c r="AH1830" i="2"/>
  <c r="F1830" i="4" s="1"/>
  <c r="AG1830" i="2"/>
  <c r="AF1830" i="2"/>
  <c r="AE1830" i="2"/>
  <c r="AD1830" i="2"/>
  <c r="AC1830" i="2"/>
  <c r="AB1830" i="2"/>
  <c r="AA1830" i="2"/>
  <c r="Z1830" i="2"/>
  <c r="Y1830" i="2"/>
  <c r="X1830" i="2"/>
  <c r="W1830" i="2"/>
  <c r="V1830" i="2"/>
  <c r="U1830" i="2"/>
  <c r="T1830" i="2"/>
  <c r="A1834" i="3" s="1"/>
  <c r="AM1829" i="2"/>
  <c r="AL1829" i="2"/>
  <c r="AK1829" i="2"/>
  <c r="AJ1829" i="2"/>
  <c r="AI1829" i="2"/>
  <c r="AH1829" i="2"/>
  <c r="F1829" i="4" s="1"/>
  <c r="AG1829" i="2"/>
  <c r="AF1829" i="2"/>
  <c r="AE1829" i="2"/>
  <c r="AD1829" i="2"/>
  <c r="AC1829" i="2"/>
  <c r="AB1829" i="2"/>
  <c r="AA1829" i="2"/>
  <c r="Z1829" i="2"/>
  <c r="Y1829" i="2"/>
  <c r="X1829" i="2"/>
  <c r="W1829" i="2"/>
  <c r="V1829" i="2"/>
  <c r="U1829" i="2"/>
  <c r="T1829" i="2"/>
  <c r="A1833" i="3" s="1"/>
  <c r="AM1828" i="2"/>
  <c r="AL1828" i="2"/>
  <c r="AK1828" i="2"/>
  <c r="AJ1828" i="2"/>
  <c r="AI1828" i="2"/>
  <c r="AH1828" i="2"/>
  <c r="F1828" i="4" s="1"/>
  <c r="AG1828" i="2"/>
  <c r="AF1828" i="2"/>
  <c r="AE1828" i="2"/>
  <c r="AD1828" i="2"/>
  <c r="AC1828" i="2"/>
  <c r="AB1828" i="2"/>
  <c r="AA1828" i="2"/>
  <c r="Z1828" i="2"/>
  <c r="Y1828" i="2"/>
  <c r="X1828" i="2"/>
  <c r="W1828" i="2"/>
  <c r="V1828" i="2"/>
  <c r="U1828" i="2"/>
  <c r="T1828" i="2"/>
  <c r="A1832" i="3" s="1"/>
  <c r="AM1827" i="2"/>
  <c r="AL1827" i="2"/>
  <c r="AK1827" i="2"/>
  <c r="AJ1827" i="2"/>
  <c r="AI1827" i="2"/>
  <c r="AH1827" i="2"/>
  <c r="F1827" i="4" s="1"/>
  <c r="AG1827" i="2"/>
  <c r="AF1827" i="2"/>
  <c r="AE1827" i="2"/>
  <c r="AD1827" i="2"/>
  <c r="AC1827" i="2"/>
  <c r="AB1827" i="2"/>
  <c r="AA1827" i="2"/>
  <c r="Z1827" i="2"/>
  <c r="Y1827" i="2"/>
  <c r="X1827" i="2"/>
  <c r="W1827" i="2"/>
  <c r="V1827" i="2"/>
  <c r="U1827" i="2"/>
  <c r="T1827" i="2"/>
  <c r="A1831" i="3" s="1"/>
  <c r="AM1826" i="2"/>
  <c r="AL1826" i="2"/>
  <c r="AK1826" i="2"/>
  <c r="AJ1826" i="2"/>
  <c r="AI1826" i="2"/>
  <c r="AH1826" i="2"/>
  <c r="F1826" i="4" s="1"/>
  <c r="AG1826" i="2"/>
  <c r="AF1826" i="2"/>
  <c r="AE1826" i="2"/>
  <c r="AD1826" i="2"/>
  <c r="AC1826" i="2"/>
  <c r="AB1826" i="2"/>
  <c r="AA1826" i="2"/>
  <c r="Z1826" i="2"/>
  <c r="Y1826" i="2"/>
  <c r="X1826" i="2"/>
  <c r="W1826" i="2"/>
  <c r="V1826" i="2"/>
  <c r="U1826" i="2"/>
  <c r="T1826" i="2"/>
  <c r="A1830" i="3" s="1"/>
  <c r="AM1825" i="2"/>
  <c r="AL1825" i="2"/>
  <c r="AK1825" i="2"/>
  <c r="AJ1825" i="2"/>
  <c r="AI1825" i="2"/>
  <c r="AH1825" i="2"/>
  <c r="F1825" i="4" s="1"/>
  <c r="AG1825" i="2"/>
  <c r="AF1825" i="2"/>
  <c r="AE1825" i="2"/>
  <c r="AD1825" i="2"/>
  <c r="AC1825" i="2"/>
  <c r="AB1825" i="2"/>
  <c r="AA1825" i="2"/>
  <c r="Z1825" i="2"/>
  <c r="Y1825" i="2"/>
  <c r="X1825" i="2"/>
  <c r="W1825" i="2"/>
  <c r="V1825" i="2"/>
  <c r="U1825" i="2"/>
  <c r="T1825" i="2"/>
  <c r="A1829" i="3" s="1"/>
  <c r="AM1824" i="2"/>
  <c r="AL1824" i="2"/>
  <c r="AK1824" i="2"/>
  <c r="AJ1824" i="2"/>
  <c r="AI1824" i="2"/>
  <c r="AH1824" i="2"/>
  <c r="F1824" i="4" s="1"/>
  <c r="AG1824" i="2"/>
  <c r="AF1824" i="2"/>
  <c r="AE1824" i="2"/>
  <c r="AD1824" i="2"/>
  <c r="AC1824" i="2"/>
  <c r="AB1824" i="2"/>
  <c r="AA1824" i="2"/>
  <c r="Z1824" i="2"/>
  <c r="Y1824" i="2"/>
  <c r="X1824" i="2"/>
  <c r="W1824" i="2"/>
  <c r="V1824" i="2"/>
  <c r="U1824" i="2"/>
  <c r="T1824" i="2"/>
  <c r="A1828" i="3" s="1"/>
  <c r="AM1823" i="2"/>
  <c r="AL1823" i="2"/>
  <c r="AK1823" i="2"/>
  <c r="AJ1823" i="2"/>
  <c r="AI1823" i="2"/>
  <c r="AH1823" i="2"/>
  <c r="F1823" i="4" s="1"/>
  <c r="AG1823" i="2"/>
  <c r="AF1823" i="2"/>
  <c r="AE1823" i="2"/>
  <c r="AD1823" i="2"/>
  <c r="AC1823" i="2"/>
  <c r="AB1823" i="2"/>
  <c r="AA1823" i="2"/>
  <c r="Z1823" i="2"/>
  <c r="Y1823" i="2"/>
  <c r="X1823" i="2"/>
  <c r="W1823" i="2"/>
  <c r="V1823" i="2"/>
  <c r="U1823" i="2"/>
  <c r="T1823" i="2"/>
  <c r="A1827" i="3" s="1"/>
  <c r="AM1822" i="2"/>
  <c r="AL1822" i="2"/>
  <c r="AK1822" i="2"/>
  <c r="AJ1822" i="2"/>
  <c r="AI1822" i="2"/>
  <c r="AH1822" i="2"/>
  <c r="F1822" i="4" s="1"/>
  <c r="AG1822" i="2"/>
  <c r="AF1822" i="2"/>
  <c r="AE1822" i="2"/>
  <c r="AD1822" i="2"/>
  <c r="AC1822" i="2"/>
  <c r="AB1822" i="2"/>
  <c r="AA1822" i="2"/>
  <c r="Z1822" i="2"/>
  <c r="Y1822" i="2"/>
  <c r="X1822" i="2"/>
  <c r="W1822" i="2"/>
  <c r="V1822" i="2"/>
  <c r="U1822" i="2"/>
  <c r="T1822" i="2"/>
  <c r="A1826" i="3" s="1"/>
  <c r="AM1821" i="2"/>
  <c r="AL1821" i="2"/>
  <c r="AK1821" i="2"/>
  <c r="AJ1821" i="2"/>
  <c r="AI1821" i="2"/>
  <c r="AH1821" i="2"/>
  <c r="F1821" i="4" s="1"/>
  <c r="AG1821" i="2"/>
  <c r="AF1821" i="2"/>
  <c r="AE1821" i="2"/>
  <c r="AD1821" i="2"/>
  <c r="AC1821" i="2"/>
  <c r="AB1821" i="2"/>
  <c r="AA1821" i="2"/>
  <c r="Z1821" i="2"/>
  <c r="Y1821" i="2"/>
  <c r="X1821" i="2"/>
  <c r="W1821" i="2"/>
  <c r="V1821" i="2"/>
  <c r="U1821" i="2"/>
  <c r="T1821" i="2"/>
  <c r="A1825" i="3" s="1"/>
  <c r="AM1820" i="2"/>
  <c r="AL1820" i="2"/>
  <c r="AK1820" i="2"/>
  <c r="AJ1820" i="2"/>
  <c r="AI1820" i="2"/>
  <c r="AH1820" i="2"/>
  <c r="F1820" i="4" s="1"/>
  <c r="AG1820" i="2"/>
  <c r="AF1820" i="2"/>
  <c r="AE1820" i="2"/>
  <c r="AD1820" i="2"/>
  <c r="AC1820" i="2"/>
  <c r="AB1820" i="2"/>
  <c r="AA1820" i="2"/>
  <c r="Z1820" i="2"/>
  <c r="Y1820" i="2"/>
  <c r="X1820" i="2"/>
  <c r="W1820" i="2"/>
  <c r="V1820" i="2"/>
  <c r="U1820" i="2"/>
  <c r="T1820" i="2"/>
  <c r="A1824" i="3" s="1"/>
  <c r="AM1819" i="2"/>
  <c r="AL1819" i="2"/>
  <c r="AK1819" i="2"/>
  <c r="AJ1819" i="2"/>
  <c r="AI1819" i="2"/>
  <c r="AH1819" i="2"/>
  <c r="F1819" i="4" s="1"/>
  <c r="AG1819" i="2"/>
  <c r="AF1819" i="2"/>
  <c r="AE1819" i="2"/>
  <c r="AD1819" i="2"/>
  <c r="AC1819" i="2"/>
  <c r="AB1819" i="2"/>
  <c r="AA1819" i="2"/>
  <c r="Z1819" i="2"/>
  <c r="Y1819" i="2"/>
  <c r="X1819" i="2"/>
  <c r="W1819" i="2"/>
  <c r="V1819" i="2"/>
  <c r="U1819" i="2"/>
  <c r="T1819" i="2"/>
  <c r="A1823" i="3" s="1"/>
  <c r="AM1818" i="2"/>
  <c r="AL1818" i="2"/>
  <c r="AK1818" i="2"/>
  <c r="AJ1818" i="2"/>
  <c r="AI1818" i="2"/>
  <c r="AH1818" i="2"/>
  <c r="F1818" i="4" s="1"/>
  <c r="AG1818" i="2"/>
  <c r="AF1818" i="2"/>
  <c r="AE1818" i="2"/>
  <c r="AD1818" i="2"/>
  <c r="AC1818" i="2"/>
  <c r="AB1818" i="2"/>
  <c r="AA1818" i="2"/>
  <c r="Z1818" i="2"/>
  <c r="Y1818" i="2"/>
  <c r="X1818" i="2"/>
  <c r="W1818" i="2"/>
  <c r="V1818" i="2"/>
  <c r="U1818" i="2"/>
  <c r="T1818" i="2"/>
  <c r="A1822" i="3" s="1"/>
  <c r="AM1817" i="2"/>
  <c r="AL1817" i="2"/>
  <c r="AK1817" i="2"/>
  <c r="AJ1817" i="2"/>
  <c r="AI1817" i="2"/>
  <c r="AH1817" i="2"/>
  <c r="F1817" i="4" s="1"/>
  <c r="AG1817" i="2"/>
  <c r="AF1817" i="2"/>
  <c r="AE1817" i="2"/>
  <c r="AD1817" i="2"/>
  <c r="AC1817" i="2"/>
  <c r="AB1817" i="2"/>
  <c r="AA1817" i="2"/>
  <c r="Z1817" i="2"/>
  <c r="Y1817" i="2"/>
  <c r="X1817" i="2"/>
  <c r="W1817" i="2"/>
  <c r="V1817" i="2"/>
  <c r="U1817" i="2"/>
  <c r="T1817" i="2"/>
  <c r="A1821" i="3" s="1"/>
  <c r="AM1816" i="2"/>
  <c r="AL1816" i="2"/>
  <c r="AK1816" i="2"/>
  <c r="AJ1816" i="2"/>
  <c r="AI1816" i="2"/>
  <c r="AH1816" i="2"/>
  <c r="F1816" i="4" s="1"/>
  <c r="AG1816" i="2"/>
  <c r="AF1816" i="2"/>
  <c r="AE1816" i="2"/>
  <c r="AD1816" i="2"/>
  <c r="AC1816" i="2"/>
  <c r="AB1816" i="2"/>
  <c r="AA1816" i="2"/>
  <c r="Z1816" i="2"/>
  <c r="Y1816" i="2"/>
  <c r="X1816" i="2"/>
  <c r="W1816" i="2"/>
  <c r="V1816" i="2"/>
  <c r="U1816" i="2"/>
  <c r="T1816" i="2"/>
  <c r="A1820" i="3" s="1"/>
  <c r="AM1815" i="2"/>
  <c r="AL1815" i="2"/>
  <c r="AK1815" i="2"/>
  <c r="AJ1815" i="2"/>
  <c r="AI1815" i="2"/>
  <c r="AH1815" i="2"/>
  <c r="F1815" i="4" s="1"/>
  <c r="AG1815" i="2"/>
  <c r="AF1815" i="2"/>
  <c r="AE1815" i="2"/>
  <c r="AD1815" i="2"/>
  <c r="AC1815" i="2"/>
  <c r="AB1815" i="2"/>
  <c r="AA1815" i="2"/>
  <c r="Z1815" i="2"/>
  <c r="Y1815" i="2"/>
  <c r="X1815" i="2"/>
  <c r="W1815" i="2"/>
  <c r="V1815" i="2"/>
  <c r="U1815" i="2"/>
  <c r="T1815" i="2"/>
  <c r="A1819" i="3" s="1"/>
  <c r="AM1814" i="2"/>
  <c r="AL1814" i="2"/>
  <c r="AK1814" i="2"/>
  <c r="AJ1814" i="2"/>
  <c r="AI1814" i="2"/>
  <c r="AH1814" i="2"/>
  <c r="F1814" i="4" s="1"/>
  <c r="AG1814" i="2"/>
  <c r="AF1814" i="2"/>
  <c r="AE1814" i="2"/>
  <c r="AD1814" i="2"/>
  <c r="AC1814" i="2"/>
  <c r="AB1814" i="2"/>
  <c r="AA1814" i="2"/>
  <c r="Z1814" i="2"/>
  <c r="Y1814" i="2"/>
  <c r="X1814" i="2"/>
  <c r="W1814" i="2"/>
  <c r="V1814" i="2"/>
  <c r="U1814" i="2"/>
  <c r="T1814" i="2"/>
  <c r="A1818" i="3" s="1"/>
  <c r="AM1813" i="2"/>
  <c r="AL1813" i="2"/>
  <c r="AK1813" i="2"/>
  <c r="AJ1813" i="2"/>
  <c r="AI1813" i="2"/>
  <c r="AH1813" i="2"/>
  <c r="F1813" i="4" s="1"/>
  <c r="AG1813" i="2"/>
  <c r="AF1813" i="2"/>
  <c r="AE1813" i="2"/>
  <c r="AD1813" i="2"/>
  <c r="AC1813" i="2"/>
  <c r="AB1813" i="2"/>
  <c r="AA1813" i="2"/>
  <c r="Z1813" i="2"/>
  <c r="Y1813" i="2"/>
  <c r="X1813" i="2"/>
  <c r="W1813" i="2"/>
  <c r="V1813" i="2"/>
  <c r="U1813" i="2"/>
  <c r="T1813" i="2"/>
  <c r="A1817" i="3" s="1"/>
  <c r="AM1812" i="2"/>
  <c r="AL1812" i="2"/>
  <c r="AK1812" i="2"/>
  <c r="AJ1812" i="2"/>
  <c r="AI1812" i="2"/>
  <c r="AH1812" i="2"/>
  <c r="F1812" i="4" s="1"/>
  <c r="AG1812" i="2"/>
  <c r="AF1812" i="2"/>
  <c r="AE1812" i="2"/>
  <c r="AD1812" i="2"/>
  <c r="AC1812" i="2"/>
  <c r="AB1812" i="2"/>
  <c r="AA1812" i="2"/>
  <c r="Z1812" i="2"/>
  <c r="Y1812" i="2"/>
  <c r="X1812" i="2"/>
  <c r="W1812" i="2"/>
  <c r="V1812" i="2"/>
  <c r="U1812" i="2"/>
  <c r="T1812" i="2"/>
  <c r="A1816" i="3" s="1"/>
  <c r="AM1811" i="2"/>
  <c r="AL1811" i="2"/>
  <c r="AK1811" i="2"/>
  <c r="AJ1811" i="2"/>
  <c r="AI1811" i="2"/>
  <c r="AH1811" i="2"/>
  <c r="F1811" i="4" s="1"/>
  <c r="AG1811" i="2"/>
  <c r="AF1811" i="2"/>
  <c r="AE1811" i="2"/>
  <c r="AD1811" i="2"/>
  <c r="AC1811" i="2"/>
  <c r="AB1811" i="2"/>
  <c r="AA1811" i="2"/>
  <c r="Z1811" i="2"/>
  <c r="Y1811" i="2"/>
  <c r="X1811" i="2"/>
  <c r="W1811" i="2"/>
  <c r="V1811" i="2"/>
  <c r="U1811" i="2"/>
  <c r="T1811" i="2"/>
  <c r="A1815" i="3" s="1"/>
  <c r="AM1810" i="2"/>
  <c r="AL1810" i="2"/>
  <c r="AK1810" i="2"/>
  <c r="AJ1810" i="2"/>
  <c r="AI1810" i="2"/>
  <c r="AH1810" i="2"/>
  <c r="F1810" i="4" s="1"/>
  <c r="AG1810" i="2"/>
  <c r="AF1810" i="2"/>
  <c r="AE1810" i="2"/>
  <c r="AD1810" i="2"/>
  <c r="AC1810" i="2"/>
  <c r="AB1810" i="2"/>
  <c r="AA1810" i="2"/>
  <c r="Z1810" i="2"/>
  <c r="Y1810" i="2"/>
  <c r="X1810" i="2"/>
  <c r="W1810" i="2"/>
  <c r="V1810" i="2"/>
  <c r="U1810" i="2"/>
  <c r="T1810" i="2"/>
  <c r="A1814" i="3" s="1"/>
  <c r="AM1809" i="2"/>
  <c r="AL1809" i="2"/>
  <c r="AK1809" i="2"/>
  <c r="AJ1809" i="2"/>
  <c r="AI1809" i="2"/>
  <c r="AH1809" i="2"/>
  <c r="F1809" i="4" s="1"/>
  <c r="AG1809" i="2"/>
  <c r="AF1809" i="2"/>
  <c r="AE1809" i="2"/>
  <c r="AD1809" i="2"/>
  <c r="AC1809" i="2"/>
  <c r="AB1809" i="2"/>
  <c r="AA1809" i="2"/>
  <c r="Z1809" i="2"/>
  <c r="Y1809" i="2"/>
  <c r="X1809" i="2"/>
  <c r="W1809" i="2"/>
  <c r="V1809" i="2"/>
  <c r="U1809" i="2"/>
  <c r="T1809" i="2"/>
  <c r="A1813" i="3" s="1"/>
  <c r="AM1808" i="2"/>
  <c r="AL1808" i="2"/>
  <c r="AK1808" i="2"/>
  <c r="AJ1808" i="2"/>
  <c r="AI1808" i="2"/>
  <c r="AH1808" i="2"/>
  <c r="F1808" i="4" s="1"/>
  <c r="AG1808" i="2"/>
  <c r="AF1808" i="2"/>
  <c r="AE1808" i="2"/>
  <c r="AD1808" i="2"/>
  <c r="AC1808" i="2"/>
  <c r="AB1808" i="2"/>
  <c r="AA1808" i="2"/>
  <c r="Z1808" i="2"/>
  <c r="Y1808" i="2"/>
  <c r="X1808" i="2"/>
  <c r="W1808" i="2"/>
  <c r="V1808" i="2"/>
  <c r="U1808" i="2"/>
  <c r="T1808" i="2"/>
  <c r="A1812" i="3" s="1"/>
  <c r="AM1807" i="2"/>
  <c r="AL1807" i="2"/>
  <c r="AK1807" i="2"/>
  <c r="AJ1807" i="2"/>
  <c r="AI1807" i="2"/>
  <c r="AH1807" i="2"/>
  <c r="F1807" i="4" s="1"/>
  <c r="AG1807" i="2"/>
  <c r="AF1807" i="2"/>
  <c r="AE1807" i="2"/>
  <c r="AD1807" i="2"/>
  <c r="AC1807" i="2"/>
  <c r="AB1807" i="2"/>
  <c r="AA1807" i="2"/>
  <c r="Z1807" i="2"/>
  <c r="Y1807" i="2"/>
  <c r="X1807" i="2"/>
  <c r="W1807" i="2"/>
  <c r="V1807" i="2"/>
  <c r="U1807" i="2"/>
  <c r="T1807" i="2"/>
  <c r="A1811" i="3" s="1"/>
  <c r="AM1806" i="2"/>
  <c r="AL1806" i="2"/>
  <c r="AK1806" i="2"/>
  <c r="AJ1806" i="2"/>
  <c r="AI1806" i="2"/>
  <c r="AH1806" i="2"/>
  <c r="F1806" i="4" s="1"/>
  <c r="AG1806" i="2"/>
  <c r="AF1806" i="2"/>
  <c r="AE1806" i="2"/>
  <c r="AD1806" i="2"/>
  <c r="AC1806" i="2"/>
  <c r="AB1806" i="2"/>
  <c r="AA1806" i="2"/>
  <c r="Z1806" i="2"/>
  <c r="Y1806" i="2"/>
  <c r="X1806" i="2"/>
  <c r="W1806" i="2"/>
  <c r="V1806" i="2"/>
  <c r="U1806" i="2"/>
  <c r="T1806" i="2"/>
  <c r="A1810" i="3" s="1"/>
  <c r="AM1805" i="2"/>
  <c r="AL1805" i="2"/>
  <c r="AK1805" i="2"/>
  <c r="AJ1805" i="2"/>
  <c r="AI1805" i="2"/>
  <c r="AH1805" i="2"/>
  <c r="F1805" i="4" s="1"/>
  <c r="AG1805" i="2"/>
  <c r="AF1805" i="2"/>
  <c r="AE1805" i="2"/>
  <c r="AD1805" i="2"/>
  <c r="AC1805" i="2"/>
  <c r="AB1805" i="2"/>
  <c r="AA1805" i="2"/>
  <c r="Z1805" i="2"/>
  <c r="Y1805" i="2"/>
  <c r="X1805" i="2"/>
  <c r="W1805" i="2"/>
  <c r="V1805" i="2"/>
  <c r="U1805" i="2"/>
  <c r="T1805" i="2"/>
  <c r="A1809" i="3" s="1"/>
  <c r="AM1804" i="2"/>
  <c r="AL1804" i="2"/>
  <c r="AK1804" i="2"/>
  <c r="AJ1804" i="2"/>
  <c r="AI1804" i="2"/>
  <c r="AH1804" i="2"/>
  <c r="F1804" i="4" s="1"/>
  <c r="AG1804" i="2"/>
  <c r="AF1804" i="2"/>
  <c r="AE1804" i="2"/>
  <c r="AD1804" i="2"/>
  <c r="AC1804" i="2"/>
  <c r="AB1804" i="2"/>
  <c r="AA1804" i="2"/>
  <c r="Z1804" i="2"/>
  <c r="Y1804" i="2"/>
  <c r="X1804" i="2"/>
  <c r="W1804" i="2"/>
  <c r="V1804" i="2"/>
  <c r="U1804" i="2"/>
  <c r="T1804" i="2"/>
  <c r="A1808" i="3" s="1"/>
  <c r="AM1803" i="2"/>
  <c r="AL1803" i="2"/>
  <c r="AK1803" i="2"/>
  <c r="AJ1803" i="2"/>
  <c r="AI1803" i="2"/>
  <c r="AH1803" i="2"/>
  <c r="F1803" i="4" s="1"/>
  <c r="AG1803" i="2"/>
  <c r="AF1803" i="2"/>
  <c r="AE1803" i="2"/>
  <c r="AD1803" i="2"/>
  <c r="AC1803" i="2"/>
  <c r="AB1803" i="2"/>
  <c r="AA1803" i="2"/>
  <c r="Z1803" i="2"/>
  <c r="Y1803" i="2"/>
  <c r="X1803" i="2"/>
  <c r="W1803" i="2"/>
  <c r="V1803" i="2"/>
  <c r="U1803" i="2"/>
  <c r="T1803" i="2"/>
  <c r="A1807" i="3" s="1"/>
  <c r="AM1802" i="2"/>
  <c r="AL1802" i="2"/>
  <c r="AK1802" i="2"/>
  <c r="AJ1802" i="2"/>
  <c r="AI1802" i="2"/>
  <c r="AH1802" i="2"/>
  <c r="F1802" i="4" s="1"/>
  <c r="AG1802" i="2"/>
  <c r="AF1802" i="2"/>
  <c r="AE1802" i="2"/>
  <c r="AD1802" i="2"/>
  <c r="AC1802" i="2"/>
  <c r="AB1802" i="2"/>
  <c r="AA1802" i="2"/>
  <c r="Z1802" i="2"/>
  <c r="Y1802" i="2"/>
  <c r="X1802" i="2"/>
  <c r="W1802" i="2"/>
  <c r="V1802" i="2"/>
  <c r="U1802" i="2"/>
  <c r="T1802" i="2"/>
  <c r="A1806" i="3" s="1"/>
  <c r="AM1801" i="2"/>
  <c r="AL1801" i="2"/>
  <c r="AK1801" i="2"/>
  <c r="AJ1801" i="2"/>
  <c r="AI1801" i="2"/>
  <c r="AH1801" i="2"/>
  <c r="F1801" i="4" s="1"/>
  <c r="AG1801" i="2"/>
  <c r="AF1801" i="2"/>
  <c r="AE1801" i="2"/>
  <c r="AD1801" i="2"/>
  <c r="AC1801" i="2"/>
  <c r="AB1801" i="2"/>
  <c r="AA1801" i="2"/>
  <c r="Z1801" i="2"/>
  <c r="Y1801" i="2"/>
  <c r="X1801" i="2"/>
  <c r="W1801" i="2"/>
  <c r="V1801" i="2"/>
  <c r="U1801" i="2"/>
  <c r="T1801" i="2"/>
  <c r="A1805" i="3" s="1"/>
  <c r="AM1800" i="2"/>
  <c r="AL1800" i="2"/>
  <c r="AK1800" i="2"/>
  <c r="AJ1800" i="2"/>
  <c r="AI1800" i="2"/>
  <c r="AH1800" i="2"/>
  <c r="F1800" i="4" s="1"/>
  <c r="AG1800" i="2"/>
  <c r="AF1800" i="2"/>
  <c r="AE1800" i="2"/>
  <c r="AD1800" i="2"/>
  <c r="AC1800" i="2"/>
  <c r="AB1800" i="2"/>
  <c r="AA1800" i="2"/>
  <c r="Z1800" i="2"/>
  <c r="Y1800" i="2"/>
  <c r="X1800" i="2"/>
  <c r="W1800" i="2"/>
  <c r="V1800" i="2"/>
  <c r="U1800" i="2"/>
  <c r="T1800" i="2"/>
  <c r="A1804" i="3" s="1"/>
  <c r="AM1799" i="2"/>
  <c r="AL1799" i="2"/>
  <c r="AK1799" i="2"/>
  <c r="AJ1799" i="2"/>
  <c r="AI1799" i="2"/>
  <c r="AH1799" i="2"/>
  <c r="F1799" i="4" s="1"/>
  <c r="AG1799" i="2"/>
  <c r="AF1799" i="2"/>
  <c r="AE1799" i="2"/>
  <c r="AD1799" i="2"/>
  <c r="AC1799" i="2"/>
  <c r="AB1799" i="2"/>
  <c r="AA1799" i="2"/>
  <c r="Z1799" i="2"/>
  <c r="Y1799" i="2"/>
  <c r="X1799" i="2"/>
  <c r="W1799" i="2"/>
  <c r="V1799" i="2"/>
  <c r="U1799" i="2"/>
  <c r="T1799" i="2"/>
  <c r="A1803" i="3" s="1"/>
  <c r="AM1798" i="2"/>
  <c r="AL1798" i="2"/>
  <c r="AK1798" i="2"/>
  <c r="AJ1798" i="2"/>
  <c r="AI1798" i="2"/>
  <c r="AH1798" i="2"/>
  <c r="F1798" i="4" s="1"/>
  <c r="AG1798" i="2"/>
  <c r="AF1798" i="2"/>
  <c r="AE1798" i="2"/>
  <c r="AD1798" i="2"/>
  <c r="AC1798" i="2"/>
  <c r="AB1798" i="2"/>
  <c r="AA1798" i="2"/>
  <c r="Z1798" i="2"/>
  <c r="Y1798" i="2"/>
  <c r="X1798" i="2"/>
  <c r="W1798" i="2"/>
  <c r="V1798" i="2"/>
  <c r="U1798" i="2"/>
  <c r="T1798" i="2"/>
  <c r="A1802" i="3" s="1"/>
  <c r="AM1797" i="2"/>
  <c r="AL1797" i="2"/>
  <c r="AK1797" i="2"/>
  <c r="AJ1797" i="2"/>
  <c r="AI1797" i="2"/>
  <c r="AH1797" i="2"/>
  <c r="F1797" i="4" s="1"/>
  <c r="AG1797" i="2"/>
  <c r="AF1797" i="2"/>
  <c r="AE1797" i="2"/>
  <c r="AD1797" i="2"/>
  <c r="AC1797" i="2"/>
  <c r="AB1797" i="2"/>
  <c r="AA1797" i="2"/>
  <c r="Z1797" i="2"/>
  <c r="Y1797" i="2"/>
  <c r="X1797" i="2"/>
  <c r="W1797" i="2"/>
  <c r="V1797" i="2"/>
  <c r="U1797" i="2"/>
  <c r="T1797" i="2"/>
  <c r="A1801" i="3" s="1"/>
  <c r="AM1796" i="2"/>
  <c r="AL1796" i="2"/>
  <c r="AK1796" i="2"/>
  <c r="AJ1796" i="2"/>
  <c r="AI1796" i="2"/>
  <c r="AH1796" i="2"/>
  <c r="F1796" i="4" s="1"/>
  <c r="AG1796" i="2"/>
  <c r="AF1796" i="2"/>
  <c r="AE1796" i="2"/>
  <c r="AD1796" i="2"/>
  <c r="AC1796" i="2"/>
  <c r="AB1796" i="2"/>
  <c r="AA1796" i="2"/>
  <c r="Z1796" i="2"/>
  <c r="Y1796" i="2"/>
  <c r="X1796" i="2"/>
  <c r="W1796" i="2"/>
  <c r="V1796" i="2"/>
  <c r="U1796" i="2"/>
  <c r="T1796" i="2"/>
  <c r="A1800" i="3" s="1"/>
  <c r="AM1795" i="2"/>
  <c r="AL1795" i="2"/>
  <c r="AK1795" i="2"/>
  <c r="AJ1795" i="2"/>
  <c r="AI1795" i="2"/>
  <c r="AH1795" i="2"/>
  <c r="F1795" i="4" s="1"/>
  <c r="AG1795" i="2"/>
  <c r="AF1795" i="2"/>
  <c r="AE1795" i="2"/>
  <c r="AD1795" i="2"/>
  <c r="AC1795" i="2"/>
  <c r="AB1795" i="2"/>
  <c r="AA1795" i="2"/>
  <c r="Z1795" i="2"/>
  <c r="Y1795" i="2"/>
  <c r="X1795" i="2"/>
  <c r="W1795" i="2"/>
  <c r="V1795" i="2"/>
  <c r="U1795" i="2"/>
  <c r="T1795" i="2"/>
  <c r="A1799" i="3" s="1"/>
  <c r="AM1794" i="2"/>
  <c r="AL1794" i="2"/>
  <c r="AK1794" i="2"/>
  <c r="AJ1794" i="2"/>
  <c r="AI1794" i="2"/>
  <c r="AH1794" i="2"/>
  <c r="F1794" i="4" s="1"/>
  <c r="AG1794" i="2"/>
  <c r="AF1794" i="2"/>
  <c r="AE1794" i="2"/>
  <c r="AD1794" i="2"/>
  <c r="AC1794" i="2"/>
  <c r="AB1794" i="2"/>
  <c r="AA1794" i="2"/>
  <c r="Z1794" i="2"/>
  <c r="Y1794" i="2"/>
  <c r="X1794" i="2"/>
  <c r="W1794" i="2"/>
  <c r="V1794" i="2"/>
  <c r="U1794" i="2"/>
  <c r="T1794" i="2"/>
  <c r="A1798" i="3" s="1"/>
  <c r="AM1793" i="2"/>
  <c r="AL1793" i="2"/>
  <c r="AK1793" i="2"/>
  <c r="AJ1793" i="2"/>
  <c r="AI1793" i="2"/>
  <c r="AH1793" i="2"/>
  <c r="F1793" i="4" s="1"/>
  <c r="AG1793" i="2"/>
  <c r="AF1793" i="2"/>
  <c r="AE1793" i="2"/>
  <c r="AD1793" i="2"/>
  <c r="AC1793" i="2"/>
  <c r="AB1793" i="2"/>
  <c r="AA1793" i="2"/>
  <c r="Z1793" i="2"/>
  <c r="Y1793" i="2"/>
  <c r="X1793" i="2"/>
  <c r="W1793" i="2"/>
  <c r="V1793" i="2"/>
  <c r="U1793" i="2"/>
  <c r="T1793" i="2"/>
  <c r="A1797" i="3" s="1"/>
  <c r="AM1792" i="2"/>
  <c r="AL1792" i="2"/>
  <c r="AK1792" i="2"/>
  <c r="AJ1792" i="2"/>
  <c r="AI1792" i="2"/>
  <c r="AH1792" i="2"/>
  <c r="F1792" i="4" s="1"/>
  <c r="AG1792" i="2"/>
  <c r="AF1792" i="2"/>
  <c r="AE1792" i="2"/>
  <c r="AD1792" i="2"/>
  <c r="AC1792" i="2"/>
  <c r="AB1792" i="2"/>
  <c r="AA1792" i="2"/>
  <c r="Z1792" i="2"/>
  <c r="Y1792" i="2"/>
  <c r="X1792" i="2"/>
  <c r="W1792" i="2"/>
  <c r="V1792" i="2"/>
  <c r="U1792" i="2"/>
  <c r="T1792" i="2"/>
  <c r="A1796" i="3" s="1"/>
  <c r="AM1791" i="2"/>
  <c r="AL1791" i="2"/>
  <c r="AK1791" i="2"/>
  <c r="AJ1791" i="2"/>
  <c r="AI1791" i="2"/>
  <c r="AH1791" i="2"/>
  <c r="F1791" i="4" s="1"/>
  <c r="AG1791" i="2"/>
  <c r="AF1791" i="2"/>
  <c r="AE1791" i="2"/>
  <c r="AD1791" i="2"/>
  <c r="AC1791" i="2"/>
  <c r="AB1791" i="2"/>
  <c r="AA1791" i="2"/>
  <c r="Z1791" i="2"/>
  <c r="Y1791" i="2"/>
  <c r="X1791" i="2"/>
  <c r="W1791" i="2"/>
  <c r="V1791" i="2"/>
  <c r="U1791" i="2"/>
  <c r="T1791" i="2"/>
  <c r="A1795" i="3" s="1"/>
  <c r="AM1790" i="2"/>
  <c r="AL1790" i="2"/>
  <c r="AK1790" i="2"/>
  <c r="AJ1790" i="2"/>
  <c r="AI1790" i="2"/>
  <c r="AH1790" i="2"/>
  <c r="F1790" i="4" s="1"/>
  <c r="AG1790" i="2"/>
  <c r="AF1790" i="2"/>
  <c r="AE1790" i="2"/>
  <c r="AD1790" i="2"/>
  <c r="AC1790" i="2"/>
  <c r="AB1790" i="2"/>
  <c r="AA1790" i="2"/>
  <c r="Z1790" i="2"/>
  <c r="Y1790" i="2"/>
  <c r="X1790" i="2"/>
  <c r="W1790" i="2"/>
  <c r="V1790" i="2"/>
  <c r="U1790" i="2"/>
  <c r="T1790" i="2"/>
  <c r="A1794" i="3" s="1"/>
  <c r="AM1789" i="2"/>
  <c r="AL1789" i="2"/>
  <c r="AK1789" i="2"/>
  <c r="AJ1789" i="2"/>
  <c r="AI1789" i="2"/>
  <c r="AH1789" i="2"/>
  <c r="F1789" i="4" s="1"/>
  <c r="AG1789" i="2"/>
  <c r="AF1789" i="2"/>
  <c r="AE1789" i="2"/>
  <c r="AD1789" i="2"/>
  <c r="AC1789" i="2"/>
  <c r="AB1789" i="2"/>
  <c r="AA1789" i="2"/>
  <c r="Z1789" i="2"/>
  <c r="Y1789" i="2"/>
  <c r="X1789" i="2"/>
  <c r="W1789" i="2"/>
  <c r="V1789" i="2"/>
  <c r="U1789" i="2"/>
  <c r="T1789" i="2"/>
  <c r="A1793" i="3" s="1"/>
  <c r="AM1788" i="2"/>
  <c r="AL1788" i="2"/>
  <c r="AK1788" i="2"/>
  <c r="AJ1788" i="2"/>
  <c r="AI1788" i="2"/>
  <c r="AH1788" i="2"/>
  <c r="F1788" i="4" s="1"/>
  <c r="AG1788" i="2"/>
  <c r="AF1788" i="2"/>
  <c r="AE1788" i="2"/>
  <c r="AD1788" i="2"/>
  <c r="AC1788" i="2"/>
  <c r="AB1788" i="2"/>
  <c r="AA1788" i="2"/>
  <c r="Z1788" i="2"/>
  <c r="Y1788" i="2"/>
  <c r="X1788" i="2"/>
  <c r="W1788" i="2"/>
  <c r="V1788" i="2"/>
  <c r="U1788" i="2"/>
  <c r="T1788" i="2"/>
  <c r="A1792" i="3" s="1"/>
  <c r="AM1787" i="2"/>
  <c r="AL1787" i="2"/>
  <c r="AK1787" i="2"/>
  <c r="AJ1787" i="2"/>
  <c r="AI1787" i="2"/>
  <c r="AH1787" i="2"/>
  <c r="F1787" i="4" s="1"/>
  <c r="AG1787" i="2"/>
  <c r="AF1787" i="2"/>
  <c r="AE1787" i="2"/>
  <c r="AD1787" i="2"/>
  <c r="AC1787" i="2"/>
  <c r="AB1787" i="2"/>
  <c r="AA1787" i="2"/>
  <c r="Z1787" i="2"/>
  <c r="Y1787" i="2"/>
  <c r="X1787" i="2"/>
  <c r="W1787" i="2"/>
  <c r="V1787" i="2"/>
  <c r="U1787" i="2"/>
  <c r="T1787" i="2"/>
  <c r="A1791" i="3" s="1"/>
  <c r="AM1786" i="2"/>
  <c r="AL1786" i="2"/>
  <c r="AK1786" i="2"/>
  <c r="AJ1786" i="2"/>
  <c r="AI1786" i="2"/>
  <c r="AH1786" i="2"/>
  <c r="F1786" i="4" s="1"/>
  <c r="AG1786" i="2"/>
  <c r="AF1786" i="2"/>
  <c r="AE1786" i="2"/>
  <c r="AD1786" i="2"/>
  <c r="AC1786" i="2"/>
  <c r="AB1786" i="2"/>
  <c r="AA1786" i="2"/>
  <c r="Z1786" i="2"/>
  <c r="Y1786" i="2"/>
  <c r="X1786" i="2"/>
  <c r="W1786" i="2"/>
  <c r="V1786" i="2"/>
  <c r="U1786" i="2"/>
  <c r="T1786" i="2"/>
  <c r="A1790" i="3" s="1"/>
  <c r="AM1785" i="2"/>
  <c r="AL1785" i="2"/>
  <c r="AK1785" i="2"/>
  <c r="AJ1785" i="2"/>
  <c r="AI1785" i="2"/>
  <c r="AH1785" i="2"/>
  <c r="F1785" i="4" s="1"/>
  <c r="AG1785" i="2"/>
  <c r="AF1785" i="2"/>
  <c r="AE1785" i="2"/>
  <c r="AD1785" i="2"/>
  <c r="AC1785" i="2"/>
  <c r="AB1785" i="2"/>
  <c r="AA1785" i="2"/>
  <c r="Z1785" i="2"/>
  <c r="Y1785" i="2"/>
  <c r="X1785" i="2"/>
  <c r="W1785" i="2"/>
  <c r="V1785" i="2"/>
  <c r="U1785" i="2"/>
  <c r="T1785" i="2"/>
  <c r="A1789" i="3" s="1"/>
  <c r="AM1784" i="2"/>
  <c r="AL1784" i="2"/>
  <c r="AK1784" i="2"/>
  <c r="AJ1784" i="2"/>
  <c r="AI1784" i="2"/>
  <c r="AH1784" i="2"/>
  <c r="F1784" i="4" s="1"/>
  <c r="AG1784" i="2"/>
  <c r="AF1784" i="2"/>
  <c r="AE1784" i="2"/>
  <c r="AD1784" i="2"/>
  <c r="AC1784" i="2"/>
  <c r="AB1784" i="2"/>
  <c r="AA1784" i="2"/>
  <c r="Z1784" i="2"/>
  <c r="Y1784" i="2"/>
  <c r="X1784" i="2"/>
  <c r="W1784" i="2"/>
  <c r="V1784" i="2"/>
  <c r="U1784" i="2"/>
  <c r="T1784" i="2"/>
  <c r="A1788" i="3" s="1"/>
  <c r="AM1783" i="2"/>
  <c r="AL1783" i="2"/>
  <c r="AK1783" i="2"/>
  <c r="AJ1783" i="2"/>
  <c r="AI1783" i="2"/>
  <c r="AH1783" i="2"/>
  <c r="F1783" i="4" s="1"/>
  <c r="AG1783" i="2"/>
  <c r="AF1783" i="2"/>
  <c r="AE1783" i="2"/>
  <c r="AD1783" i="2"/>
  <c r="AC1783" i="2"/>
  <c r="AB1783" i="2"/>
  <c r="AA1783" i="2"/>
  <c r="Z1783" i="2"/>
  <c r="Y1783" i="2"/>
  <c r="X1783" i="2"/>
  <c r="W1783" i="2"/>
  <c r="V1783" i="2"/>
  <c r="U1783" i="2"/>
  <c r="T1783" i="2"/>
  <c r="A1787" i="3" s="1"/>
  <c r="AM1782" i="2"/>
  <c r="AL1782" i="2"/>
  <c r="AK1782" i="2"/>
  <c r="AJ1782" i="2"/>
  <c r="AI1782" i="2"/>
  <c r="AH1782" i="2"/>
  <c r="F1782" i="4" s="1"/>
  <c r="AG1782" i="2"/>
  <c r="AF1782" i="2"/>
  <c r="AE1782" i="2"/>
  <c r="AD1782" i="2"/>
  <c r="AC1782" i="2"/>
  <c r="AB1782" i="2"/>
  <c r="AA1782" i="2"/>
  <c r="Z1782" i="2"/>
  <c r="Y1782" i="2"/>
  <c r="X1782" i="2"/>
  <c r="W1782" i="2"/>
  <c r="V1782" i="2"/>
  <c r="U1782" i="2"/>
  <c r="T1782" i="2"/>
  <c r="A1786" i="3" s="1"/>
  <c r="AM1781" i="2"/>
  <c r="AL1781" i="2"/>
  <c r="AK1781" i="2"/>
  <c r="AJ1781" i="2"/>
  <c r="AI1781" i="2"/>
  <c r="AH1781" i="2"/>
  <c r="F1781" i="4" s="1"/>
  <c r="AG1781" i="2"/>
  <c r="AF1781" i="2"/>
  <c r="AE1781" i="2"/>
  <c r="AD1781" i="2"/>
  <c r="AC1781" i="2"/>
  <c r="AB1781" i="2"/>
  <c r="AA1781" i="2"/>
  <c r="Z1781" i="2"/>
  <c r="Y1781" i="2"/>
  <c r="X1781" i="2"/>
  <c r="W1781" i="2"/>
  <c r="V1781" i="2"/>
  <c r="U1781" i="2"/>
  <c r="T1781" i="2"/>
  <c r="A1785" i="3" s="1"/>
  <c r="AM1780" i="2"/>
  <c r="AL1780" i="2"/>
  <c r="AK1780" i="2"/>
  <c r="AJ1780" i="2"/>
  <c r="AI1780" i="2"/>
  <c r="AH1780" i="2"/>
  <c r="F1780" i="4" s="1"/>
  <c r="AG1780" i="2"/>
  <c r="AF1780" i="2"/>
  <c r="AE1780" i="2"/>
  <c r="AD1780" i="2"/>
  <c r="AC1780" i="2"/>
  <c r="AB1780" i="2"/>
  <c r="AA1780" i="2"/>
  <c r="Z1780" i="2"/>
  <c r="Y1780" i="2"/>
  <c r="X1780" i="2"/>
  <c r="W1780" i="2"/>
  <c r="V1780" i="2"/>
  <c r="U1780" i="2"/>
  <c r="T1780" i="2"/>
  <c r="A1784" i="3" s="1"/>
  <c r="AM1779" i="2"/>
  <c r="AL1779" i="2"/>
  <c r="AK1779" i="2"/>
  <c r="AJ1779" i="2"/>
  <c r="AI1779" i="2"/>
  <c r="AH1779" i="2"/>
  <c r="F1779" i="4" s="1"/>
  <c r="AG1779" i="2"/>
  <c r="AF1779" i="2"/>
  <c r="AE1779" i="2"/>
  <c r="AD1779" i="2"/>
  <c r="AC1779" i="2"/>
  <c r="AB1779" i="2"/>
  <c r="AA1779" i="2"/>
  <c r="Z1779" i="2"/>
  <c r="Y1779" i="2"/>
  <c r="X1779" i="2"/>
  <c r="W1779" i="2"/>
  <c r="V1779" i="2"/>
  <c r="U1779" i="2"/>
  <c r="T1779" i="2"/>
  <c r="A1783" i="3" s="1"/>
  <c r="AM1778" i="2"/>
  <c r="AL1778" i="2"/>
  <c r="AK1778" i="2"/>
  <c r="AJ1778" i="2"/>
  <c r="AI1778" i="2"/>
  <c r="AH1778" i="2"/>
  <c r="F1778" i="4" s="1"/>
  <c r="AG1778" i="2"/>
  <c r="AF1778" i="2"/>
  <c r="AE1778" i="2"/>
  <c r="AD1778" i="2"/>
  <c r="AC1778" i="2"/>
  <c r="AB1778" i="2"/>
  <c r="AA1778" i="2"/>
  <c r="Z1778" i="2"/>
  <c r="Y1778" i="2"/>
  <c r="X1778" i="2"/>
  <c r="W1778" i="2"/>
  <c r="V1778" i="2"/>
  <c r="U1778" i="2"/>
  <c r="T1778" i="2"/>
  <c r="A1782" i="3" s="1"/>
  <c r="AM1777" i="2"/>
  <c r="AL1777" i="2"/>
  <c r="AK1777" i="2"/>
  <c r="AJ1777" i="2"/>
  <c r="AI1777" i="2"/>
  <c r="AH1777" i="2"/>
  <c r="F1777" i="4" s="1"/>
  <c r="AG1777" i="2"/>
  <c r="AF1777" i="2"/>
  <c r="AE1777" i="2"/>
  <c r="AD1777" i="2"/>
  <c r="AC1777" i="2"/>
  <c r="AB1777" i="2"/>
  <c r="AA1777" i="2"/>
  <c r="Z1777" i="2"/>
  <c r="Y1777" i="2"/>
  <c r="X1777" i="2"/>
  <c r="W1777" i="2"/>
  <c r="V1777" i="2"/>
  <c r="U1777" i="2"/>
  <c r="T1777" i="2"/>
  <c r="A1781" i="3" s="1"/>
  <c r="AM1776" i="2"/>
  <c r="AL1776" i="2"/>
  <c r="AK1776" i="2"/>
  <c r="AJ1776" i="2"/>
  <c r="AI1776" i="2"/>
  <c r="AH1776" i="2"/>
  <c r="F1776" i="4" s="1"/>
  <c r="AG1776" i="2"/>
  <c r="AF1776" i="2"/>
  <c r="AE1776" i="2"/>
  <c r="AD1776" i="2"/>
  <c r="AC1776" i="2"/>
  <c r="AB1776" i="2"/>
  <c r="AA1776" i="2"/>
  <c r="Z1776" i="2"/>
  <c r="Y1776" i="2"/>
  <c r="X1776" i="2"/>
  <c r="W1776" i="2"/>
  <c r="V1776" i="2"/>
  <c r="U1776" i="2"/>
  <c r="T1776" i="2"/>
  <c r="A1780" i="3" s="1"/>
  <c r="AM1775" i="2"/>
  <c r="AL1775" i="2"/>
  <c r="AK1775" i="2"/>
  <c r="AJ1775" i="2"/>
  <c r="AI1775" i="2"/>
  <c r="AH1775" i="2"/>
  <c r="F1775" i="4" s="1"/>
  <c r="AG1775" i="2"/>
  <c r="AF1775" i="2"/>
  <c r="AE1775" i="2"/>
  <c r="AD1775" i="2"/>
  <c r="AC1775" i="2"/>
  <c r="AB1775" i="2"/>
  <c r="AA1775" i="2"/>
  <c r="Z1775" i="2"/>
  <c r="Y1775" i="2"/>
  <c r="X1775" i="2"/>
  <c r="W1775" i="2"/>
  <c r="V1775" i="2"/>
  <c r="U1775" i="2"/>
  <c r="T1775" i="2"/>
  <c r="A1779" i="3" s="1"/>
  <c r="AM1774" i="2"/>
  <c r="AL1774" i="2"/>
  <c r="AK1774" i="2"/>
  <c r="AJ1774" i="2"/>
  <c r="AI1774" i="2"/>
  <c r="AH1774" i="2"/>
  <c r="F1774" i="4" s="1"/>
  <c r="AG1774" i="2"/>
  <c r="AF1774" i="2"/>
  <c r="AE1774" i="2"/>
  <c r="AD1774" i="2"/>
  <c r="AC1774" i="2"/>
  <c r="AB1774" i="2"/>
  <c r="AA1774" i="2"/>
  <c r="Z1774" i="2"/>
  <c r="Y1774" i="2"/>
  <c r="X1774" i="2"/>
  <c r="W1774" i="2"/>
  <c r="V1774" i="2"/>
  <c r="U1774" i="2"/>
  <c r="T1774" i="2"/>
  <c r="A1778" i="3" s="1"/>
  <c r="AM1773" i="2"/>
  <c r="AL1773" i="2"/>
  <c r="AK1773" i="2"/>
  <c r="AJ1773" i="2"/>
  <c r="AI1773" i="2"/>
  <c r="AH1773" i="2"/>
  <c r="F1773" i="4" s="1"/>
  <c r="AG1773" i="2"/>
  <c r="AF1773" i="2"/>
  <c r="AE1773" i="2"/>
  <c r="AD1773" i="2"/>
  <c r="AC1773" i="2"/>
  <c r="AB1773" i="2"/>
  <c r="AA1773" i="2"/>
  <c r="Z1773" i="2"/>
  <c r="Y1773" i="2"/>
  <c r="X1773" i="2"/>
  <c r="W1773" i="2"/>
  <c r="V1773" i="2"/>
  <c r="U1773" i="2"/>
  <c r="T1773" i="2"/>
  <c r="A1777" i="3" s="1"/>
  <c r="AM1772" i="2"/>
  <c r="AL1772" i="2"/>
  <c r="AK1772" i="2"/>
  <c r="AJ1772" i="2"/>
  <c r="AI1772" i="2"/>
  <c r="AH1772" i="2"/>
  <c r="F1772" i="4" s="1"/>
  <c r="AG1772" i="2"/>
  <c r="AF1772" i="2"/>
  <c r="AE1772" i="2"/>
  <c r="AD1772" i="2"/>
  <c r="AC1772" i="2"/>
  <c r="AB1772" i="2"/>
  <c r="AA1772" i="2"/>
  <c r="Z1772" i="2"/>
  <c r="Y1772" i="2"/>
  <c r="X1772" i="2"/>
  <c r="W1772" i="2"/>
  <c r="V1772" i="2"/>
  <c r="U1772" i="2"/>
  <c r="T1772" i="2"/>
  <c r="A1776" i="3" s="1"/>
  <c r="AM1771" i="2"/>
  <c r="AL1771" i="2"/>
  <c r="AK1771" i="2"/>
  <c r="AJ1771" i="2"/>
  <c r="AI1771" i="2"/>
  <c r="AH1771" i="2"/>
  <c r="F1771" i="4" s="1"/>
  <c r="AG1771" i="2"/>
  <c r="AF1771" i="2"/>
  <c r="AE1771" i="2"/>
  <c r="AD1771" i="2"/>
  <c r="AC1771" i="2"/>
  <c r="AB1771" i="2"/>
  <c r="AA1771" i="2"/>
  <c r="Z1771" i="2"/>
  <c r="Y1771" i="2"/>
  <c r="X1771" i="2"/>
  <c r="W1771" i="2"/>
  <c r="V1771" i="2"/>
  <c r="U1771" i="2"/>
  <c r="T1771" i="2"/>
  <c r="A1775" i="3" s="1"/>
  <c r="AM1770" i="2"/>
  <c r="AL1770" i="2"/>
  <c r="AK1770" i="2"/>
  <c r="AJ1770" i="2"/>
  <c r="AI1770" i="2"/>
  <c r="AH1770" i="2"/>
  <c r="F1770" i="4" s="1"/>
  <c r="AG1770" i="2"/>
  <c r="AF1770" i="2"/>
  <c r="AE1770" i="2"/>
  <c r="AD1770" i="2"/>
  <c r="AC1770" i="2"/>
  <c r="AB1770" i="2"/>
  <c r="AA1770" i="2"/>
  <c r="Z1770" i="2"/>
  <c r="Y1770" i="2"/>
  <c r="X1770" i="2"/>
  <c r="W1770" i="2"/>
  <c r="V1770" i="2"/>
  <c r="U1770" i="2"/>
  <c r="T1770" i="2"/>
  <c r="A1774" i="3" s="1"/>
  <c r="AM1769" i="2"/>
  <c r="AL1769" i="2"/>
  <c r="AK1769" i="2"/>
  <c r="AJ1769" i="2"/>
  <c r="AI1769" i="2"/>
  <c r="AH1769" i="2"/>
  <c r="F1769" i="4" s="1"/>
  <c r="AG1769" i="2"/>
  <c r="AF1769" i="2"/>
  <c r="AE1769" i="2"/>
  <c r="AD1769" i="2"/>
  <c r="AC1769" i="2"/>
  <c r="AB1769" i="2"/>
  <c r="AA1769" i="2"/>
  <c r="Z1769" i="2"/>
  <c r="Y1769" i="2"/>
  <c r="X1769" i="2"/>
  <c r="W1769" i="2"/>
  <c r="V1769" i="2"/>
  <c r="U1769" i="2"/>
  <c r="T1769" i="2"/>
  <c r="A1773" i="3" s="1"/>
  <c r="AM1768" i="2"/>
  <c r="AL1768" i="2"/>
  <c r="AK1768" i="2"/>
  <c r="AJ1768" i="2"/>
  <c r="AI1768" i="2"/>
  <c r="AH1768" i="2"/>
  <c r="F1768" i="4" s="1"/>
  <c r="AG1768" i="2"/>
  <c r="AF1768" i="2"/>
  <c r="AE1768" i="2"/>
  <c r="AD1768" i="2"/>
  <c r="AC1768" i="2"/>
  <c r="AB1768" i="2"/>
  <c r="AA1768" i="2"/>
  <c r="Z1768" i="2"/>
  <c r="Y1768" i="2"/>
  <c r="X1768" i="2"/>
  <c r="W1768" i="2"/>
  <c r="V1768" i="2"/>
  <c r="U1768" i="2"/>
  <c r="T1768" i="2"/>
  <c r="A1772" i="3" s="1"/>
  <c r="AM1767" i="2"/>
  <c r="AL1767" i="2"/>
  <c r="AK1767" i="2"/>
  <c r="AJ1767" i="2"/>
  <c r="AI1767" i="2"/>
  <c r="AH1767" i="2"/>
  <c r="F1767" i="4" s="1"/>
  <c r="AG1767" i="2"/>
  <c r="AF1767" i="2"/>
  <c r="AE1767" i="2"/>
  <c r="AD1767" i="2"/>
  <c r="AC1767" i="2"/>
  <c r="AB1767" i="2"/>
  <c r="AA1767" i="2"/>
  <c r="Z1767" i="2"/>
  <c r="Y1767" i="2"/>
  <c r="X1767" i="2"/>
  <c r="W1767" i="2"/>
  <c r="V1767" i="2"/>
  <c r="U1767" i="2"/>
  <c r="T1767" i="2"/>
  <c r="A1771" i="3" s="1"/>
  <c r="AM1766" i="2"/>
  <c r="AL1766" i="2"/>
  <c r="AK1766" i="2"/>
  <c r="AJ1766" i="2"/>
  <c r="AI1766" i="2"/>
  <c r="AH1766" i="2"/>
  <c r="F1766" i="4" s="1"/>
  <c r="AG1766" i="2"/>
  <c r="AF1766" i="2"/>
  <c r="AE1766" i="2"/>
  <c r="AD1766" i="2"/>
  <c r="AC1766" i="2"/>
  <c r="AB1766" i="2"/>
  <c r="AA1766" i="2"/>
  <c r="Z1766" i="2"/>
  <c r="Y1766" i="2"/>
  <c r="X1766" i="2"/>
  <c r="W1766" i="2"/>
  <c r="V1766" i="2"/>
  <c r="U1766" i="2"/>
  <c r="T1766" i="2"/>
  <c r="A1770" i="3" s="1"/>
  <c r="AM1765" i="2"/>
  <c r="AL1765" i="2"/>
  <c r="AK1765" i="2"/>
  <c r="AJ1765" i="2"/>
  <c r="AI1765" i="2"/>
  <c r="AH1765" i="2"/>
  <c r="F1765" i="4" s="1"/>
  <c r="AG1765" i="2"/>
  <c r="AF1765" i="2"/>
  <c r="AE1765" i="2"/>
  <c r="AD1765" i="2"/>
  <c r="AC1765" i="2"/>
  <c r="AB1765" i="2"/>
  <c r="AA1765" i="2"/>
  <c r="Z1765" i="2"/>
  <c r="Y1765" i="2"/>
  <c r="X1765" i="2"/>
  <c r="W1765" i="2"/>
  <c r="V1765" i="2"/>
  <c r="U1765" i="2"/>
  <c r="T1765" i="2"/>
  <c r="A1769" i="3" s="1"/>
  <c r="AM1764" i="2"/>
  <c r="AL1764" i="2"/>
  <c r="AK1764" i="2"/>
  <c r="AJ1764" i="2"/>
  <c r="AI1764" i="2"/>
  <c r="AH1764" i="2"/>
  <c r="F1764" i="4" s="1"/>
  <c r="AG1764" i="2"/>
  <c r="AF1764" i="2"/>
  <c r="AE1764" i="2"/>
  <c r="AD1764" i="2"/>
  <c r="AC1764" i="2"/>
  <c r="AB1764" i="2"/>
  <c r="AA1764" i="2"/>
  <c r="Z1764" i="2"/>
  <c r="Y1764" i="2"/>
  <c r="X1764" i="2"/>
  <c r="W1764" i="2"/>
  <c r="V1764" i="2"/>
  <c r="U1764" i="2"/>
  <c r="T1764" i="2"/>
  <c r="A1768" i="3" s="1"/>
  <c r="AM1763" i="2"/>
  <c r="AL1763" i="2"/>
  <c r="AK1763" i="2"/>
  <c r="AJ1763" i="2"/>
  <c r="AI1763" i="2"/>
  <c r="AH1763" i="2"/>
  <c r="F1763" i="4" s="1"/>
  <c r="AG1763" i="2"/>
  <c r="AF1763" i="2"/>
  <c r="AE1763" i="2"/>
  <c r="AD1763" i="2"/>
  <c r="AC1763" i="2"/>
  <c r="AB1763" i="2"/>
  <c r="AA1763" i="2"/>
  <c r="Z1763" i="2"/>
  <c r="Y1763" i="2"/>
  <c r="X1763" i="2"/>
  <c r="W1763" i="2"/>
  <c r="V1763" i="2"/>
  <c r="U1763" i="2"/>
  <c r="T1763" i="2"/>
  <c r="A1767" i="3" s="1"/>
  <c r="AM1762" i="2"/>
  <c r="AL1762" i="2"/>
  <c r="AK1762" i="2"/>
  <c r="AJ1762" i="2"/>
  <c r="AI1762" i="2"/>
  <c r="AH1762" i="2"/>
  <c r="F1762" i="4" s="1"/>
  <c r="AG1762" i="2"/>
  <c r="AF1762" i="2"/>
  <c r="AE1762" i="2"/>
  <c r="AD1762" i="2"/>
  <c r="AC1762" i="2"/>
  <c r="AB1762" i="2"/>
  <c r="AA1762" i="2"/>
  <c r="Z1762" i="2"/>
  <c r="Y1762" i="2"/>
  <c r="X1762" i="2"/>
  <c r="W1762" i="2"/>
  <c r="V1762" i="2"/>
  <c r="U1762" i="2"/>
  <c r="T1762" i="2"/>
  <c r="A1766" i="3" s="1"/>
  <c r="AM1761" i="2"/>
  <c r="AL1761" i="2"/>
  <c r="AK1761" i="2"/>
  <c r="AJ1761" i="2"/>
  <c r="AI1761" i="2"/>
  <c r="AH1761" i="2"/>
  <c r="F1761" i="4" s="1"/>
  <c r="AG1761" i="2"/>
  <c r="AF1761" i="2"/>
  <c r="AE1761" i="2"/>
  <c r="AD1761" i="2"/>
  <c r="AC1761" i="2"/>
  <c r="AB1761" i="2"/>
  <c r="AA1761" i="2"/>
  <c r="Z1761" i="2"/>
  <c r="Y1761" i="2"/>
  <c r="X1761" i="2"/>
  <c r="W1761" i="2"/>
  <c r="V1761" i="2"/>
  <c r="U1761" i="2"/>
  <c r="T1761" i="2"/>
  <c r="A1765" i="3" s="1"/>
  <c r="AM1760" i="2"/>
  <c r="AL1760" i="2"/>
  <c r="AK1760" i="2"/>
  <c r="AJ1760" i="2"/>
  <c r="AI1760" i="2"/>
  <c r="AH1760" i="2"/>
  <c r="F1760" i="4" s="1"/>
  <c r="AG1760" i="2"/>
  <c r="AF1760" i="2"/>
  <c r="AE1760" i="2"/>
  <c r="AD1760" i="2"/>
  <c r="AC1760" i="2"/>
  <c r="AB1760" i="2"/>
  <c r="AA1760" i="2"/>
  <c r="Z1760" i="2"/>
  <c r="Y1760" i="2"/>
  <c r="X1760" i="2"/>
  <c r="W1760" i="2"/>
  <c r="V1760" i="2"/>
  <c r="U1760" i="2"/>
  <c r="T1760" i="2"/>
  <c r="A1764" i="3" s="1"/>
  <c r="AM1759" i="2"/>
  <c r="AL1759" i="2"/>
  <c r="AK1759" i="2"/>
  <c r="AJ1759" i="2"/>
  <c r="AI1759" i="2"/>
  <c r="AH1759" i="2"/>
  <c r="F1759" i="4" s="1"/>
  <c r="AG1759" i="2"/>
  <c r="AF1759" i="2"/>
  <c r="AE1759" i="2"/>
  <c r="AD1759" i="2"/>
  <c r="AC1759" i="2"/>
  <c r="AB1759" i="2"/>
  <c r="AA1759" i="2"/>
  <c r="Z1759" i="2"/>
  <c r="Y1759" i="2"/>
  <c r="X1759" i="2"/>
  <c r="W1759" i="2"/>
  <c r="V1759" i="2"/>
  <c r="U1759" i="2"/>
  <c r="T1759" i="2"/>
  <c r="A1763" i="3" s="1"/>
  <c r="AM1758" i="2"/>
  <c r="AL1758" i="2"/>
  <c r="AK1758" i="2"/>
  <c r="AJ1758" i="2"/>
  <c r="AI1758" i="2"/>
  <c r="AH1758" i="2"/>
  <c r="F1758" i="4" s="1"/>
  <c r="AG1758" i="2"/>
  <c r="AF1758" i="2"/>
  <c r="AE1758" i="2"/>
  <c r="AD1758" i="2"/>
  <c r="AC1758" i="2"/>
  <c r="AB1758" i="2"/>
  <c r="AA1758" i="2"/>
  <c r="Z1758" i="2"/>
  <c r="Y1758" i="2"/>
  <c r="X1758" i="2"/>
  <c r="W1758" i="2"/>
  <c r="V1758" i="2"/>
  <c r="U1758" i="2"/>
  <c r="T1758" i="2"/>
  <c r="A1762" i="3" s="1"/>
  <c r="AM1757" i="2"/>
  <c r="AL1757" i="2"/>
  <c r="AK1757" i="2"/>
  <c r="AJ1757" i="2"/>
  <c r="AI1757" i="2"/>
  <c r="AH1757" i="2"/>
  <c r="F1757" i="4" s="1"/>
  <c r="AG1757" i="2"/>
  <c r="AF1757" i="2"/>
  <c r="AE1757" i="2"/>
  <c r="AD1757" i="2"/>
  <c r="AC1757" i="2"/>
  <c r="AB1757" i="2"/>
  <c r="AA1757" i="2"/>
  <c r="Z1757" i="2"/>
  <c r="Y1757" i="2"/>
  <c r="X1757" i="2"/>
  <c r="W1757" i="2"/>
  <c r="V1757" i="2"/>
  <c r="U1757" i="2"/>
  <c r="T1757" i="2"/>
  <c r="A1761" i="3" s="1"/>
  <c r="AM1756" i="2"/>
  <c r="AL1756" i="2"/>
  <c r="AK1756" i="2"/>
  <c r="AJ1756" i="2"/>
  <c r="AI1756" i="2"/>
  <c r="AH1756" i="2"/>
  <c r="F1756" i="4" s="1"/>
  <c r="AG1756" i="2"/>
  <c r="AF1756" i="2"/>
  <c r="AE1756" i="2"/>
  <c r="AD1756" i="2"/>
  <c r="AC1756" i="2"/>
  <c r="AB1756" i="2"/>
  <c r="AA1756" i="2"/>
  <c r="Z1756" i="2"/>
  <c r="Y1756" i="2"/>
  <c r="X1756" i="2"/>
  <c r="W1756" i="2"/>
  <c r="V1756" i="2"/>
  <c r="U1756" i="2"/>
  <c r="T1756" i="2"/>
  <c r="A1760" i="3" s="1"/>
  <c r="AM1755" i="2"/>
  <c r="AL1755" i="2"/>
  <c r="AK1755" i="2"/>
  <c r="AJ1755" i="2"/>
  <c r="AI1755" i="2"/>
  <c r="AH1755" i="2"/>
  <c r="F1755" i="4" s="1"/>
  <c r="AG1755" i="2"/>
  <c r="AF1755" i="2"/>
  <c r="AE1755" i="2"/>
  <c r="AD1755" i="2"/>
  <c r="AC1755" i="2"/>
  <c r="AB1755" i="2"/>
  <c r="AA1755" i="2"/>
  <c r="Z1755" i="2"/>
  <c r="Y1755" i="2"/>
  <c r="X1755" i="2"/>
  <c r="W1755" i="2"/>
  <c r="V1755" i="2"/>
  <c r="U1755" i="2"/>
  <c r="T1755" i="2"/>
  <c r="A1759" i="3" s="1"/>
  <c r="AM1754" i="2"/>
  <c r="AL1754" i="2"/>
  <c r="AK1754" i="2"/>
  <c r="AJ1754" i="2"/>
  <c r="AI1754" i="2"/>
  <c r="AH1754" i="2"/>
  <c r="F1754" i="4" s="1"/>
  <c r="AG1754" i="2"/>
  <c r="AF1754" i="2"/>
  <c r="AE1754" i="2"/>
  <c r="AD1754" i="2"/>
  <c r="AC1754" i="2"/>
  <c r="AB1754" i="2"/>
  <c r="AA1754" i="2"/>
  <c r="Z1754" i="2"/>
  <c r="Y1754" i="2"/>
  <c r="X1754" i="2"/>
  <c r="W1754" i="2"/>
  <c r="V1754" i="2"/>
  <c r="U1754" i="2"/>
  <c r="T1754" i="2"/>
  <c r="A1758" i="3" s="1"/>
  <c r="AM1753" i="2"/>
  <c r="AL1753" i="2"/>
  <c r="AK1753" i="2"/>
  <c r="AJ1753" i="2"/>
  <c r="AI1753" i="2"/>
  <c r="AH1753" i="2"/>
  <c r="F1753" i="4" s="1"/>
  <c r="AG1753" i="2"/>
  <c r="AF1753" i="2"/>
  <c r="AE1753" i="2"/>
  <c r="AD1753" i="2"/>
  <c r="AC1753" i="2"/>
  <c r="AB1753" i="2"/>
  <c r="AA1753" i="2"/>
  <c r="Z1753" i="2"/>
  <c r="Y1753" i="2"/>
  <c r="X1753" i="2"/>
  <c r="W1753" i="2"/>
  <c r="V1753" i="2"/>
  <c r="U1753" i="2"/>
  <c r="T1753" i="2"/>
  <c r="A1757" i="3" s="1"/>
  <c r="AM1752" i="2"/>
  <c r="AL1752" i="2"/>
  <c r="AK1752" i="2"/>
  <c r="AJ1752" i="2"/>
  <c r="AI1752" i="2"/>
  <c r="AH1752" i="2"/>
  <c r="F1752" i="4" s="1"/>
  <c r="AG1752" i="2"/>
  <c r="AF1752" i="2"/>
  <c r="AE1752" i="2"/>
  <c r="AD1752" i="2"/>
  <c r="AC1752" i="2"/>
  <c r="AB1752" i="2"/>
  <c r="AA1752" i="2"/>
  <c r="Z1752" i="2"/>
  <c r="Y1752" i="2"/>
  <c r="X1752" i="2"/>
  <c r="W1752" i="2"/>
  <c r="V1752" i="2"/>
  <c r="U1752" i="2"/>
  <c r="T1752" i="2"/>
  <c r="A1756" i="3" s="1"/>
  <c r="AM1751" i="2"/>
  <c r="AL1751" i="2"/>
  <c r="AK1751" i="2"/>
  <c r="AJ1751" i="2"/>
  <c r="AI1751" i="2"/>
  <c r="AH1751" i="2"/>
  <c r="F1751" i="4" s="1"/>
  <c r="AG1751" i="2"/>
  <c r="AF1751" i="2"/>
  <c r="AE1751" i="2"/>
  <c r="AD1751" i="2"/>
  <c r="AC1751" i="2"/>
  <c r="AB1751" i="2"/>
  <c r="AA1751" i="2"/>
  <c r="Z1751" i="2"/>
  <c r="Y1751" i="2"/>
  <c r="X1751" i="2"/>
  <c r="W1751" i="2"/>
  <c r="V1751" i="2"/>
  <c r="U1751" i="2"/>
  <c r="T1751" i="2"/>
  <c r="A1755" i="3" s="1"/>
  <c r="AM1750" i="2"/>
  <c r="AL1750" i="2"/>
  <c r="AK1750" i="2"/>
  <c r="AJ1750" i="2"/>
  <c r="AI1750" i="2"/>
  <c r="AH1750" i="2"/>
  <c r="F1750" i="4" s="1"/>
  <c r="AG1750" i="2"/>
  <c r="AF1750" i="2"/>
  <c r="AE1750" i="2"/>
  <c r="AD1750" i="2"/>
  <c r="AC1750" i="2"/>
  <c r="AB1750" i="2"/>
  <c r="AA1750" i="2"/>
  <c r="Z1750" i="2"/>
  <c r="Y1750" i="2"/>
  <c r="X1750" i="2"/>
  <c r="W1750" i="2"/>
  <c r="V1750" i="2"/>
  <c r="U1750" i="2"/>
  <c r="T1750" i="2"/>
  <c r="A1754" i="3" s="1"/>
  <c r="AM1749" i="2"/>
  <c r="AL1749" i="2"/>
  <c r="AK1749" i="2"/>
  <c r="AJ1749" i="2"/>
  <c r="AI1749" i="2"/>
  <c r="AH1749" i="2"/>
  <c r="F1749" i="4" s="1"/>
  <c r="AG1749" i="2"/>
  <c r="AF1749" i="2"/>
  <c r="AE1749" i="2"/>
  <c r="AD1749" i="2"/>
  <c r="AC1749" i="2"/>
  <c r="AB1749" i="2"/>
  <c r="AA1749" i="2"/>
  <c r="Z1749" i="2"/>
  <c r="Y1749" i="2"/>
  <c r="X1749" i="2"/>
  <c r="W1749" i="2"/>
  <c r="V1749" i="2"/>
  <c r="U1749" i="2"/>
  <c r="T1749" i="2"/>
  <c r="A1753" i="3" s="1"/>
  <c r="AM1748" i="2"/>
  <c r="AL1748" i="2"/>
  <c r="AK1748" i="2"/>
  <c r="AJ1748" i="2"/>
  <c r="AI1748" i="2"/>
  <c r="AH1748" i="2"/>
  <c r="F1748" i="4" s="1"/>
  <c r="AG1748" i="2"/>
  <c r="AF1748" i="2"/>
  <c r="AE1748" i="2"/>
  <c r="AD1748" i="2"/>
  <c r="AC1748" i="2"/>
  <c r="AB1748" i="2"/>
  <c r="AA1748" i="2"/>
  <c r="Z1748" i="2"/>
  <c r="Y1748" i="2"/>
  <c r="X1748" i="2"/>
  <c r="W1748" i="2"/>
  <c r="V1748" i="2"/>
  <c r="U1748" i="2"/>
  <c r="T1748" i="2"/>
  <c r="A1752" i="3" s="1"/>
  <c r="AM1747" i="2"/>
  <c r="AL1747" i="2"/>
  <c r="AK1747" i="2"/>
  <c r="AJ1747" i="2"/>
  <c r="AI1747" i="2"/>
  <c r="AH1747" i="2"/>
  <c r="F1747" i="4" s="1"/>
  <c r="AG1747" i="2"/>
  <c r="AF1747" i="2"/>
  <c r="AE1747" i="2"/>
  <c r="AD1747" i="2"/>
  <c r="AC1747" i="2"/>
  <c r="AB1747" i="2"/>
  <c r="AA1747" i="2"/>
  <c r="Z1747" i="2"/>
  <c r="Y1747" i="2"/>
  <c r="X1747" i="2"/>
  <c r="W1747" i="2"/>
  <c r="V1747" i="2"/>
  <c r="U1747" i="2"/>
  <c r="T1747" i="2"/>
  <c r="A1751" i="3" s="1"/>
  <c r="AM1746" i="2"/>
  <c r="AL1746" i="2"/>
  <c r="AK1746" i="2"/>
  <c r="AJ1746" i="2"/>
  <c r="AI1746" i="2"/>
  <c r="AH1746" i="2"/>
  <c r="F1746" i="4" s="1"/>
  <c r="AG1746" i="2"/>
  <c r="AF1746" i="2"/>
  <c r="AE1746" i="2"/>
  <c r="AD1746" i="2"/>
  <c r="AC1746" i="2"/>
  <c r="AB1746" i="2"/>
  <c r="AA1746" i="2"/>
  <c r="Z1746" i="2"/>
  <c r="Y1746" i="2"/>
  <c r="X1746" i="2"/>
  <c r="W1746" i="2"/>
  <c r="V1746" i="2"/>
  <c r="U1746" i="2"/>
  <c r="T1746" i="2"/>
  <c r="A1750" i="3" s="1"/>
  <c r="AM1745" i="2"/>
  <c r="AL1745" i="2"/>
  <c r="AK1745" i="2"/>
  <c r="AJ1745" i="2"/>
  <c r="AI1745" i="2"/>
  <c r="AH1745" i="2"/>
  <c r="F1745" i="4" s="1"/>
  <c r="AG1745" i="2"/>
  <c r="AF1745" i="2"/>
  <c r="AE1745" i="2"/>
  <c r="AD1745" i="2"/>
  <c r="AC1745" i="2"/>
  <c r="AB1745" i="2"/>
  <c r="AA1745" i="2"/>
  <c r="Z1745" i="2"/>
  <c r="Y1745" i="2"/>
  <c r="X1745" i="2"/>
  <c r="W1745" i="2"/>
  <c r="V1745" i="2"/>
  <c r="U1745" i="2"/>
  <c r="T1745" i="2"/>
  <c r="A1749" i="3" s="1"/>
  <c r="AM1744" i="2"/>
  <c r="AL1744" i="2"/>
  <c r="AK1744" i="2"/>
  <c r="AJ1744" i="2"/>
  <c r="AI1744" i="2"/>
  <c r="AH1744" i="2"/>
  <c r="F1744" i="4" s="1"/>
  <c r="AG1744" i="2"/>
  <c r="AF1744" i="2"/>
  <c r="AE1744" i="2"/>
  <c r="AD1744" i="2"/>
  <c r="AC1744" i="2"/>
  <c r="AB1744" i="2"/>
  <c r="AA1744" i="2"/>
  <c r="Z1744" i="2"/>
  <c r="Y1744" i="2"/>
  <c r="X1744" i="2"/>
  <c r="W1744" i="2"/>
  <c r="V1744" i="2"/>
  <c r="U1744" i="2"/>
  <c r="T1744" i="2"/>
  <c r="A1748" i="3" s="1"/>
  <c r="AM1743" i="2"/>
  <c r="AL1743" i="2"/>
  <c r="AK1743" i="2"/>
  <c r="AJ1743" i="2"/>
  <c r="AI1743" i="2"/>
  <c r="AH1743" i="2"/>
  <c r="F1743" i="4" s="1"/>
  <c r="AG1743" i="2"/>
  <c r="AF1743" i="2"/>
  <c r="AE1743" i="2"/>
  <c r="AD1743" i="2"/>
  <c r="AC1743" i="2"/>
  <c r="AB1743" i="2"/>
  <c r="AA1743" i="2"/>
  <c r="Z1743" i="2"/>
  <c r="Y1743" i="2"/>
  <c r="X1743" i="2"/>
  <c r="W1743" i="2"/>
  <c r="V1743" i="2"/>
  <c r="U1743" i="2"/>
  <c r="T1743" i="2"/>
  <c r="A1747" i="3" s="1"/>
  <c r="AM1742" i="2"/>
  <c r="AL1742" i="2"/>
  <c r="AK1742" i="2"/>
  <c r="AJ1742" i="2"/>
  <c r="AI1742" i="2"/>
  <c r="AH1742" i="2"/>
  <c r="F1742" i="4" s="1"/>
  <c r="AG1742" i="2"/>
  <c r="AF1742" i="2"/>
  <c r="AE1742" i="2"/>
  <c r="AD1742" i="2"/>
  <c r="AC1742" i="2"/>
  <c r="AB1742" i="2"/>
  <c r="AA1742" i="2"/>
  <c r="Z1742" i="2"/>
  <c r="Y1742" i="2"/>
  <c r="X1742" i="2"/>
  <c r="W1742" i="2"/>
  <c r="V1742" i="2"/>
  <c r="U1742" i="2"/>
  <c r="T1742" i="2"/>
  <c r="A1746" i="3" s="1"/>
  <c r="AM1741" i="2"/>
  <c r="AL1741" i="2"/>
  <c r="AK1741" i="2"/>
  <c r="AJ1741" i="2"/>
  <c r="AI1741" i="2"/>
  <c r="AH1741" i="2"/>
  <c r="F1741" i="4" s="1"/>
  <c r="AG1741" i="2"/>
  <c r="AF1741" i="2"/>
  <c r="AE1741" i="2"/>
  <c r="AD1741" i="2"/>
  <c r="AC1741" i="2"/>
  <c r="AB1741" i="2"/>
  <c r="AA1741" i="2"/>
  <c r="Z1741" i="2"/>
  <c r="Y1741" i="2"/>
  <c r="X1741" i="2"/>
  <c r="W1741" i="2"/>
  <c r="V1741" i="2"/>
  <c r="U1741" i="2"/>
  <c r="T1741" i="2"/>
  <c r="A1745" i="3" s="1"/>
  <c r="AM1740" i="2"/>
  <c r="AL1740" i="2"/>
  <c r="AK1740" i="2"/>
  <c r="AJ1740" i="2"/>
  <c r="AI1740" i="2"/>
  <c r="AH1740" i="2"/>
  <c r="F1740" i="4" s="1"/>
  <c r="AG1740" i="2"/>
  <c r="AF1740" i="2"/>
  <c r="AE1740" i="2"/>
  <c r="AD1740" i="2"/>
  <c r="AC1740" i="2"/>
  <c r="AB1740" i="2"/>
  <c r="AA1740" i="2"/>
  <c r="Z1740" i="2"/>
  <c r="Y1740" i="2"/>
  <c r="X1740" i="2"/>
  <c r="W1740" i="2"/>
  <c r="V1740" i="2"/>
  <c r="U1740" i="2"/>
  <c r="T1740" i="2"/>
  <c r="A1744" i="3" s="1"/>
  <c r="AM1739" i="2"/>
  <c r="AL1739" i="2"/>
  <c r="AK1739" i="2"/>
  <c r="AJ1739" i="2"/>
  <c r="AI1739" i="2"/>
  <c r="AH1739" i="2"/>
  <c r="F1739" i="4" s="1"/>
  <c r="AG1739" i="2"/>
  <c r="AF1739" i="2"/>
  <c r="AE1739" i="2"/>
  <c r="AD1739" i="2"/>
  <c r="AC1739" i="2"/>
  <c r="AB1739" i="2"/>
  <c r="AA1739" i="2"/>
  <c r="Z1739" i="2"/>
  <c r="Y1739" i="2"/>
  <c r="X1739" i="2"/>
  <c r="W1739" i="2"/>
  <c r="V1739" i="2"/>
  <c r="U1739" i="2"/>
  <c r="T1739" i="2"/>
  <c r="A1743" i="3" s="1"/>
  <c r="AM1738" i="2"/>
  <c r="AL1738" i="2"/>
  <c r="AK1738" i="2"/>
  <c r="AJ1738" i="2"/>
  <c r="AI1738" i="2"/>
  <c r="AH1738" i="2"/>
  <c r="F1738" i="4" s="1"/>
  <c r="AG1738" i="2"/>
  <c r="AF1738" i="2"/>
  <c r="AE1738" i="2"/>
  <c r="AD1738" i="2"/>
  <c r="AC1738" i="2"/>
  <c r="AB1738" i="2"/>
  <c r="AA1738" i="2"/>
  <c r="Z1738" i="2"/>
  <c r="Y1738" i="2"/>
  <c r="X1738" i="2"/>
  <c r="W1738" i="2"/>
  <c r="V1738" i="2"/>
  <c r="U1738" i="2"/>
  <c r="T1738" i="2"/>
  <c r="A1742" i="3" s="1"/>
  <c r="AM1737" i="2"/>
  <c r="AL1737" i="2"/>
  <c r="AK1737" i="2"/>
  <c r="AJ1737" i="2"/>
  <c r="AI1737" i="2"/>
  <c r="AH1737" i="2"/>
  <c r="F1737" i="4" s="1"/>
  <c r="AG1737" i="2"/>
  <c r="AF1737" i="2"/>
  <c r="AE1737" i="2"/>
  <c r="AD1737" i="2"/>
  <c r="AC1737" i="2"/>
  <c r="AB1737" i="2"/>
  <c r="AA1737" i="2"/>
  <c r="Z1737" i="2"/>
  <c r="Y1737" i="2"/>
  <c r="X1737" i="2"/>
  <c r="W1737" i="2"/>
  <c r="V1737" i="2"/>
  <c r="U1737" i="2"/>
  <c r="T1737" i="2"/>
  <c r="A1741" i="3" s="1"/>
  <c r="AM1736" i="2"/>
  <c r="AL1736" i="2"/>
  <c r="AK1736" i="2"/>
  <c r="AJ1736" i="2"/>
  <c r="AI1736" i="2"/>
  <c r="AH1736" i="2"/>
  <c r="F1736" i="4" s="1"/>
  <c r="AG1736" i="2"/>
  <c r="AF1736" i="2"/>
  <c r="AE1736" i="2"/>
  <c r="AD1736" i="2"/>
  <c r="AC1736" i="2"/>
  <c r="AB1736" i="2"/>
  <c r="AA1736" i="2"/>
  <c r="Z1736" i="2"/>
  <c r="Y1736" i="2"/>
  <c r="X1736" i="2"/>
  <c r="W1736" i="2"/>
  <c r="V1736" i="2"/>
  <c r="U1736" i="2"/>
  <c r="T1736" i="2"/>
  <c r="A1740" i="3" s="1"/>
  <c r="AM1735" i="2"/>
  <c r="AL1735" i="2"/>
  <c r="AK1735" i="2"/>
  <c r="AJ1735" i="2"/>
  <c r="AI1735" i="2"/>
  <c r="AH1735" i="2"/>
  <c r="F1735" i="4" s="1"/>
  <c r="AG1735" i="2"/>
  <c r="AF1735" i="2"/>
  <c r="AE1735" i="2"/>
  <c r="AD1735" i="2"/>
  <c r="AC1735" i="2"/>
  <c r="AB1735" i="2"/>
  <c r="AA1735" i="2"/>
  <c r="Z1735" i="2"/>
  <c r="Y1735" i="2"/>
  <c r="X1735" i="2"/>
  <c r="W1735" i="2"/>
  <c r="V1735" i="2"/>
  <c r="U1735" i="2"/>
  <c r="T1735" i="2"/>
  <c r="A1739" i="3" s="1"/>
  <c r="AM1734" i="2"/>
  <c r="AL1734" i="2"/>
  <c r="AK1734" i="2"/>
  <c r="AJ1734" i="2"/>
  <c r="AI1734" i="2"/>
  <c r="AH1734" i="2"/>
  <c r="F1734" i="4" s="1"/>
  <c r="AG1734" i="2"/>
  <c r="AF1734" i="2"/>
  <c r="AE1734" i="2"/>
  <c r="AD1734" i="2"/>
  <c r="AC1734" i="2"/>
  <c r="AB1734" i="2"/>
  <c r="AA1734" i="2"/>
  <c r="Z1734" i="2"/>
  <c r="Y1734" i="2"/>
  <c r="X1734" i="2"/>
  <c r="W1734" i="2"/>
  <c r="V1734" i="2"/>
  <c r="U1734" i="2"/>
  <c r="T1734" i="2"/>
  <c r="A1738" i="3" s="1"/>
  <c r="AM1733" i="2"/>
  <c r="AL1733" i="2"/>
  <c r="AK1733" i="2"/>
  <c r="AJ1733" i="2"/>
  <c r="AI1733" i="2"/>
  <c r="AH1733" i="2"/>
  <c r="F1733" i="4" s="1"/>
  <c r="AG1733" i="2"/>
  <c r="AF1733" i="2"/>
  <c r="AE1733" i="2"/>
  <c r="AD1733" i="2"/>
  <c r="AC1733" i="2"/>
  <c r="AB1733" i="2"/>
  <c r="AA1733" i="2"/>
  <c r="Z1733" i="2"/>
  <c r="Y1733" i="2"/>
  <c r="X1733" i="2"/>
  <c r="W1733" i="2"/>
  <c r="V1733" i="2"/>
  <c r="U1733" i="2"/>
  <c r="T1733" i="2"/>
  <c r="A1737" i="3" s="1"/>
  <c r="AM1732" i="2"/>
  <c r="AL1732" i="2"/>
  <c r="AK1732" i="2"/>
  <c r="AJ1732" i="2"/>
  <c r="AI1732" i="2"/>
  <c r="AH1732" i="2"/>
  <c r="F1732" i="4" s="1"/>
  <c r="AG1732" i="2"/>
  <c r="AF1732" i="2"/>
  <c r="AE1732" i="2"/>
  <c r="AD1732" i="2"/>
  <c r="AC1732" i="2"/>
  <c r="AB1732" i="2"/>
  <c r="AA1732" i="2"/>
  <c r="Z1732" i="2"/>
  <c r="Y1732" i="2"/>
  <c r="X1732" i="2"/>
  <c r="W1732" i="2"/>
  <c r="V1732" i="2"/>
  <c r="U1732" i="2"/>
  <c r="T1732" i="2"/>
  <c r="A1736" i="3" s="1"/>
  <c r="AM1731" i="2"/>
  <c r="AL1731" i="2"/>
  <c r="AK1731" i="2"/>
  <c r="AJ1731" i="2"/>
  <c r="AI1731" i="2"/>
  <c r="AH1731" i="2"/>
  <c r="F1731" i="4" s="1"/>
  <c r="AG1731" i="2"/>
  <c r="AF1731" i="2"/>
  <c r="AE1731" i="2"/>
  <c r="AD1731" i="2"/>
  <c r="AC1731" i="2"/>
  <c r="AB1731" i="2"/>
  <c r="AA1731" i="2"/>
  <c r="Z1731" i="2"/>
  <c r="Y1731" i="2"/>
  <c r="X1731" i="2"/>
  <c r="W1731" i="2"/>
  <c r="V1731" i="2"/>
  <c r="U1731" i="2"/>
  <c r="T1731" i="2"/>
  <c r="A1735" i="3" s="1"/>
  <c r="AM1730" i="2"/>
  <c r="AL1730" i="2"/>
  <c r="AK1730" i="2"/>
  <c r="AJ1730" i="2"/>
  <c r="AI1730" i="2"/>
  <c r="AH1730" i="2"/>
  <c r="F1730" i="4" s="1"/>
  <c r="AG1730" i="2"/>
  <c r="AF1730" i="2"/>
  <c r="AE1730" i="2"/>
  <c r="AD1730" i="2"/>
  <c r="AC1730" i="2"/>
  <c r="AB1730" i="2"/>
  <c r="AA1730" i="2"/>
  <c r="Z1730" i="2"/>
  <c r="Y1730" i="2"/>
  <c r="X1730" i="2"/>
  <c r="W1730" i="2"/>
  <c r="V1730" i="2"/>
  <c r="U1730" i="2"/>
  <c r="T1730" i="2"/>
  <c r="A1734" i="3" s="1"/>
  <c r="AM1729" i="2"/>
  <c r="AL1729" i="2"/>
  <c r="AK1729" i="2"/>
  <c r="AJ1729" i="2"/>
  <c r="AI1729" i="2"/>
  <c r="AH1729" i="2"/>
  <c r="F1729" i="4" s="1"/>
  <c r="AG1729" i="2"/>
  <c r="AF1729" i="2"/>
  <c r="AE1729" i="2"/>
  <c r="AD1729" i="2"/>
  <c r="AC1729" i="2"/>
  <c r="AB1729" i="2"/>
  <c r="AA1729" i="2"/>
  <c r="Z1729" i="2"/>
  <c r="Y1729" i="2"/>
  <c r="X1729" i="2"/>
  <c r="W1729" i="2"/>
  <c r="V1729" i="2"/>
  <c r="U1729" i="2"/>
  <c r="T1729" i="2"/>
  <c r="A1733" i="3" s="1"/>
  <c r="AM1728" i="2"/>
  <c r="AL1728" i="2"/>
  <c r="AK1728" i="2"/>
  <c r="AJ1728" i="2"/>
  <c r="AI1728" i="2"/>
  <c r="AH1728" i="2"/>
  <c r="F1728" i="4" s="1"/>
  <c r="AG1728" i="2"/>
  <c r="AF1728" i="2"/>
  <c r="AE1728" i="2"/>
  <c r="AD1728" i="2"/>
  <c r="AC1728" i="2"/>
  <c r="AB1728" i="2"/>
  <c r="AA1728" i="2"/>
  <c r="Z1728" i="2"/>
  <c r="Y1728" i="2"/>
  <c r="X1728" i="2"/>
  <c r="W1728" i="2"/>
  <c r="V1728" i="2"/>
  <c r="U1728" i="2"/>
  <c r="T1728" i="2"/>
  <c r="A1732" i="3" s="1"/>
  <c r="AM1727" i="2"/>
  <c r="AL1727" i="2"/>
  <c r="AK1727" i="2"/>
  <c r="AJ1727" i="2"/>
  <c r="AI1727" i="2"/>
  <c r="AH1727" i="2"/>
  <c r="F1727" i="4" s="1"/>
  <c r="AG1727" i="2"/>
  <c r="AF1727" i="2"/>
  <c r="AE1727" i="2"/>
  <c r="AD1727" i="2"/>
  <c r="AC1727" i="2"/>
  <c r="AB1727" i="2"/>
  <c r="AA1727" i="2"/>
  <c r="Z1727" i="2"/>
  <c r="Y1727" i="2"/>
  <c r="X1727" i="2"/>
  <c r="W1727" i="2"/>
  <c r="V1727" i="2"/>
  <c r="U1727" i="2"/>
  <c r="T1727" i="2"/>
  <c r="A1731" i="3" s="1"/>
  <c r="AM1726" i="2"/>
  <c r="AL1726" i="2"/>
  <c r="AK1726" i="2"/>
  <c r="AJ1726" i="2"/>
  <c r="AI1726" i="2"/>
  <c r="AH1726" i="2"/>
  <c r="F1726" i="4" s="1"/>
  <c r="AG1726" i="2"/>
  <c r="AF1726" i="2"/>
  <c r="AE1726" i="2"/>
  <c r="AD1726" i="2"/>
  <c r="AC1726" i="2"/>
  <c r="AB1726" i="2"/>
  <c r="AA1726" i="2"/>
  <c r="Z1726" i="2"/>
  <c r="Y1726" i="2"/>
  <c r="X1726" i="2"/>
  <c r="W1726" i="2"/>
  <c r="V1726" i="2"/>
  <c r="U1726" i="2"/>
  <c r="T1726" i="2"/>
  <c r="A1730" i="3" s="1"/>
  <c r="AM1725" i="2"/>
  <c r="AL1725" i="2"/>
  <c r="AK1725" i="2"/>
  <c r="AJ1725" i="2"/>
  <c r="AI1725" i="2"/>
  <c r="AH1725" i="2"/>
  <c r="F1725" i="4" s="1"/>
  <c r="AG1725" i="2"/>
  <c r="AF1725" i="2"/>
  <c r="AE1725" i="2"/>
  <c r="AD1725" i="2"/>
  <c r="AC1725" i="2"/>
  <c r="AB1725" i="2"/>
  <c r="AA1725" i="2"/>
  <c r="Z1725" i="2"/>
  <c r="Y1725" i="2"/>
  <c r="X1725" i="2"/>
  <c r="W1725" i="2"/>
  <c r="V1725" i="2"/>
  <c r="U1725" i="2"/>
  <c r="T1725" i="2"/>
  <c r="A1729" i="3" s="1"/>
  <c r="AM1724" i="2"/>
  <c r="AL1724" i="2"/>
  <c r="AK1724" i="2"/>
  <c r="AJ1724" i="2"/>
  <c r="AI1724" i="2"/>
  <c r="AH1724" i="2"/>
  <c r="F1724" i="4" s="1"/>
  <c r="AG1724" i="2"/>
  <c r="AF1724" i="2"/>
  <c r="AE1724" i="2"/>
  <c r="AD1724" i="2"/>
  <c r="AC1724" i="2"/>
  <c r="AB1724" i="2"/>
  <c r="AA1724" i="2"/>
  <c r="Z1724" i="2"/>
  <c r="Y1724" i="2"/>
  <c r="X1724" i="2"/>
  <c r="W1724" i="2"/>
  <c r="V1724" i="2"/>
  <c r="U1724" i="2"/>
  <c r="T1724" i="2"/>
  <c r="A1728" i="3" s="1"/>
  <c r="AM1723" i="2"/>
  <c r="AL1723" i="2"/>
  <c r="AK1723" i="2"/>
  <c r="AJ1723" i="2"/>
  <c r="AI1723" i="2"/>
  <c r="AH1723" i="2"/>
  <c r="F1723" i="4" s="1"/>
  <c r="AG1723" i="2"/>
  <c r="AF1723" i="2"/>
  <c r="AE1723" i="2"/>
  <c r="AD1723" i="2"/>
  <c r="AC1723" i="2"/>
  <c r="AB1723" i="2"/>
  <c r="AA1723" i="2"/>
  <c r="Z1723" i="2"/>
  <c r="Y1723" i="2"/>
  <c r="X1723" i="2"/>
  <c r="W1723" i="2"/>
  <c r="V1723" i="2"/>
  <c r="U1723" i="2"/>
  <c r="T1723" i="2"/>
  <c r="A1727" i="3" s="1"/>
  <c r="AM1722" i="2"/>
  <c r="AL1722" i="2"/>
  <c r="AK1722" i="2"/>
  <c r="AJ1722" i="2"/>
  <c r="AI1722" i="2"/>
  <c r="AH1722" i="2"/>
  <c r="F1722" i="4" s="1"/>
  <c r="AG1722" i="2"/>
  <c r="AF1722" i="2"/>
  <c r="AE1722" i="2"/>
  <c r="AD1722" i="2"/>
  <c r="AC1722" i="2"/>
  <c r="AB1722" i="2"/>
  <c r="AA1722" i="2"/>
  <c r="Z1722" i="2"/>
  <c r="Y1722" i="2"/>
  <c r="X1722" i="2"/>
  <c r="W1722" i="2"/>
  <c r="V1722" i="2"/>
  <c r="U1722" i="2"/>
  <c r="T1722" i="2"/>
  <c r="A1726" i="3" s="1"/>
  <c r="AM1721" i="2"/>
  <c r="AL1721" i="2"/>
  <c r="AK1721" i="2"/>
  <c r="AJ1721" i="2"/>
  <c r="AI1721" i="2"/>
  <c r="AH1721" i="2"/>
  <c r="F1721" i="4" s="1"/>
  <c r="AG1721" i="2"/>
  <c r="AF1721" i="2"/>
  <c r="AE1721" i="2"/>
  <c r="AD1721" i="2"/>
  <c r="AC1721" i="2"/>
  <c r="AB1721" i="2"/>
  <c r="AA1721" i="2"/>
  <c r="Z1721" i="2"/>
  <c r="Y1721" i="2"/>
  <c r="X1721" i="2"/>
  <c r="W1721" i="2"/>
  <c r="V1721" i="2"/>
  <c r="U1721" i="2"/>
  <c r="T1721" i="2"/>
  <c r="A1725" i="3" s="1"/>
  <c r="AM1720" i="2"/>
  <c r="AL1720" i="2"/>
  <c r="AK1720" i="2"/>
  <c r="AJ1720" i="2"/>
  <c r="AI1720" i="2"/>
  <c r="AH1720" i="2"/>
  <c r="F1720" i="4" s="1"/>
  <c r="AG1720" i="2"/>
  <c r="AF1720" i="2"/>
  <c r="AE1720" i="2"/>
  <c r="AD1720" i="2"/>
  <c r="AC1720" i="2"/>
  <c r="AB1720" i="2"/>
  <c r="AA1720" i="2"/>
  <c r="Z1720" i="2"/>
  <c r="Y1720" i="2"/>
  <c r="X1720" i="2"/>
  <c r="W1720" i="2"/>
  <c r="V1720" i="2"/>
  <c r="U1720" i="2"/>
  <c r="T1720" i="2"/>
  <c r="A1724" i="3" s="1"/>
  <c r="AM1719" i="2"/>
  <c r="AL1719" i="2"/>
  <c r="AK1719" i="2"/>
  <c r="AJ1719" i="2"/>
  <c r="AI1719" i="2"/>
  <c r="AH1719" i="2"/>
  <c r="F1719" i="4" s="1"/>
  <c r="AG1719" i="2"/>
  <c r="AF1719" i="2"/>
  <c r="AE1719" i="2"/>
  <c r="AD1719" i="2"/>
  <c r="AC1719" i="2"/>
  <c r="AB1719" i="2"/>
  <c r="AA1719" i="2"/>
  <c r="Z1719" i="2"/>
  <c r="Y1719" i="2"/>
  <c r="X1719" i="2"/>
  <c r="W1719" i="2"/>
  <c r="V1719" i="2"/>
  <c r="U1719" i="2"/>
  <c r="T1719" i="2"/>
  <c r="A1723" i="3" s="1"/>
  <c r="AM1718" i="2"/>
  <c r="AL1718" i="2"/>
  <c r="AK1718" i="2"/>
  <c r="AJ1718" i="2"/>
  <c r="AI1718" i="2"/>
  <c r="AH1718" i="2"/>
  <c r="F1718" i="4" s="1"/>
  <c r="AG1718" i="2"/>
  <c r="AF1718" i="2"/>
  <c r="AE1718" i="2"/>
  <c r="AD1718" i="2"/>
  <c r="AC1718" i="2"/>
  <c r="AB1718" i="2"/>
  <c r="AA1718" i="2"/>
  <c r="Z1718" i="2"/>
  <c r="Y1718" i="2"/>
  <c r="X1718" i="2"/>
  <c r="W1718" i="2"/>
  <c r="V1718" i="2"/>
  <c r="U1718" i="2"/>
  <c r="T1718" i="2"/>
  <c r="A1722" i="3" s="1"/>
  <c r="AM1717" i="2"/>
  <c r="AL1717" i="2"/>
  <c r="AK1717" i="2"/>
  <c r="AJ1717" i="2"/>
  <c r="AI1717" i="2"/>
  <c r="AH1717" i="2"/>
  <c r="F1717" i="4" s="1"/>
  <c r="AG1717" i="2"/>
  <c r="AF1717" i="2"/>
  <c r="AE1717" i="2"/>
  <c r="AD1717" i="2"/>
  <c r="AC1717" i="2"/>
  <c r="AB1717" i="2"/>
  <c r="AA1717" i="2"/>
  <c r="Z1717" i="2"/>
  <c r="Y1717" i="2"/>
  <c r="X1717" i="2"/>
  <c r="W1717" i="2"/>
  <c r="V1717" i="2"/>
  <c r="U1717" i="2"/>
  <c r="T1717" i="2"/>
  <c r="A1721" i="3" s="1"/>
  <c r="AM1716" i="2"/>
  <c r="AL1716" i="2"/>
  <c r="AK1716" i="2"/>
  <c r="AJ1716" i="2"/>
  <c r="AI1716" i="2"/>
  <c r="AH1716" i="2"/>
  <c r="F1716" i="4" s="1"/>
  <c r="AG1716" i="2"/>
  <c r="AF1716" i="2"/>
  <c r="AE1716" i="2"/>
  <c r="AD1716" i="2"/>
  <c r="AC1716" i="2"/>
  <c r="AB1716" i="2"/>
  <c r="AA1716" i="2"/>
  <c r="Z1716" i="2"/>
  <c r="Y1716" i="2"/>
  <c r="X1716" i="2"/>
  <c r="W1716" i="2"/>
  <c r="V1716" i="2"/>
  <c r="U1716" i="2"/>
  <c r="T1716" i="2"/>
  <c r="A1720" i="3" s="1"/>
  <c r="AM1715" i="2"/>
  <c r="AL1715" i="2"/>
  <c r="AK1715" i="2"/>
  <c r="AJ1715" i="2"/>
  <c r="AI1715" i="2"/>
  <c r="AH1715" i="2"/>
  <c r="F1715" i="4" s="1"/>
  <c r="AG1715" i="2"/>
  <c r="AF1715" i="2"/>
  <c r="AE1715" i="2"/>
  <c r="AD1715" i="2"/>
  <c r="AC1715" i="2"/>
  <c r="AB1715" i="2"/>
  <c r="AA1715" i="2"/>
  <c r="Z1715" i="2"/>
  <c r="Y1715" i="2"/>
  <c r="X1715" i="2"/>
  <c r="W1715" i="2"/>
  <c r="V1715" i="2"/>
  <c r="U1715" i="2"/>
  <c r="T1715" i="2"/>
  <c r="A1719" i="3" s="1"/>
  <c r="AM1714" i="2"/>
  <c r="AL1714" i="2"/>
  <c r="AK1714" i="2"/>
  <c r="AJ1714" i="2"/>
  <c r="AI1714" i="2"/>
  <c r="AH1714" i="2"/>
  <c r="F1714" i="4" s="1"/>
  <c r="AG1714" i="2"/>
  <c r="AF1714" i="2"/>
  <c r="AE1714" i="2"/>
  <c r="AD1714" i="2"/>
  <c r="AC1714" i="2"/>
  <c r="AB1714" i="2"/>
  <c r="AA1714" i="2"/>
  <c r="Z1714" i="2"/>
  <c r="Y1714" i="2"/>
  <c r="X1714" i="2"/>
  <c r="W1714" i="2"/>
  <c r="V1714" i="2"/>
  <c r="U1714" i="2"/>
  <c r="T1714" i="2"/>
  <c r="A1718" i="3" s="1"/>
  <c r="AM1713" i="2"/>
  <c r="AL1713" i="2"/>
  <c r="AK1713" i="2"/>
  <c r="AJ1713" i="2"/>
  <c r="AI1713" i="2"/>
  <c r="AH1713" i="2"/>
  <c r="F1713" i="4" s="1"/>
  <c r="AG1713" i="2"/>
  <c r="AF1713" i="2"/>
  <c r="AE1713" i="2"/>
  <c r="AD1713" i="2"/>
  <c r="AC1713" i="2"/>
  <c r="AB1713" i="2"/>
  <c r="AA1713" i="2"/>
  <c r="Z1713" i="2"/>
  <c r="Y1713" i="2"/>
  <c r="X1713" i="2"/>
  <c r="W1713" i="2"/>
  <c r="V1713" i="2"/>
  <c r="U1713" i="2"/>
  <c r="T1713" i="2"/>
  <c r="A1717" i="3" s="1"/>
  <c r="AM1712" i="2"/>
  <c r="AL1712" i="2"/>
  <c r="AK1712" i="2"/>
  <c r="AJ1712" i="2"/>
  <c r="AI1712" i="2"/>
  <c r="AH1712" i="2"/>
  <c r="F1712" i="4" s="1"/>
  <c r="AG1712" i="2"/>
  <c r="AF1712" i="2"/>
  <c r="AE1712" i="2"/>
  <c r="AD1712" i="2"/>
  <c r="AC1712" i="2"/>
  <c r="AB1712" i="2"/>
  <c r="AA1712" i="2"/>
  <c r="Z1712" i="2"/>
  <c r="Y1712" i="2"/>
  <c r="X1712" i="2"/>
  <c r="W1712" i="2"/>
  <c r="V1712" i="2"/>
  <c r="U1712" i="2"/>
  <c r="T1712" i="2"/>
  <c r="A1716" i="3" s="1"/>
  <c r="AM1711" i="2"/>
  <c r="AL1711" i="2"/>
  <c r="AK1711" i="2"/>
  <c r="AJ1711" i="2"/>
  <c r="AI1711" i="2"/>
  <c r="AH1711" i="2"/>
  <c r="F1711" i="4" s="1"/>
  <c r="AG1711" i="2"/>
  <c r="AF1711" i="2"/>
  <c r="AE1711" i="2"/>
  <c r="AD1711" i="2"/>
  <c r="AC1711" i="2"/>
  <c r="AB1711" i="2"/>
  <c r="AA1711" i="2"/>
  <c r="Z1711" i="2"/>
  <c r="Y1711" i="2"/>
  <c r="X1711" i="2"/>
  <c r="W1711" i="2"/>
  <c r="V1711" i="2"/>
  <c r="U1711" i="2"/>
  <c r="T1711" i="2"/>
  <c r="A1715" i="3" s="1"/>
  <c r="AM1710" i="2"/>
  <c r="AL1710" i="2"/>
  <c r="AK1710" i="2"/>
  <c r="AJ1710" i="2"/>
  <c r="AI1710" i="2"/>
  <c r="AH1710" i="2"/>
  <c r="F1710" i="4" s="1"/>
  <c r="AG1710" i="2"/>
  <c r="AF1710" i="2"/>
  <c r="AE1710" i="2"/>
  <c r="AD1710" i="2"/>
  <c r="AC1710" i="2"/>
  <c r="AB1710" i="2"/>
  <c r="AA1710" i="2"/>
  <c r="Z1710" i="2"/>
  <c r="Y1710" i="2"/>
  <c r="X1710" i="2"/>
  <c r="W1710" i="2"/>
  <c r="V1710" i="2"/>
  <c r="U1710" i="2"/>
  <c r="T1710" i="2"/>
  <c r="A1714" i="3" s="1"/>
  <c r="AM1709" i="2"/>
  <c r="AL1709" i="2"/>
  <c r="AK1709" i="2"/>
  <c r="AJ1709" i="2"/>
  <c r="AI1709" i="2"/>
  <c r="AH1709" i="2"/>
  <c r="F1709" i="4" s="1"/>
  <c r="AG1709" i="2"/>
  <c r="AF1709" i="2"/>
  <c r="AE1709" i="2"/>
  <c r="AD1709" i="2"/>
  <c r="AC1709" i="2"/>
  <c r="AB1709" i="2"/>
  <c r="AA1709" i="2"/>
  <c r="Z1709" i="2"/>
  <c r="Y1709" i="2"/>
  <c r="X1709" i="2"/>
  <c r="W1709" i="2"/>
  <c r="V1709" i="2"/>
  <c r="U1709" i="2"/>
  <c r="T1709" i="2"/>
  <c r="A1713" i="3" s="1"/>
  <c r="AM1708" i="2"/>
  <c r="AL1708" i="2"/>
  <c r="AK1708" i="2"/>
  <c r="AJ1708" i="2"/>
  <c r="AI1708" i="2"/>
  <c r="AH1708" i="2"/>
  <c r="F1708" i="4" s="1"/>
  <c r="AG1708" i="2"/>
  <c r="AF1708" i="2"/>
  <c r="AE1708" i="2"/>
  <c r="AD1708" i="2"/>
  <c r="AC1708" i="2"/>
  <c r="AB1708" i="2"/>
  <c r="AA1708" i="2"/>
  <c r="Z1708" i="2"/>
  <c r="Y1708" i="2"/>
  <c r="X1708" i="2"/>
  <c r="W1708" i="2"/>
  <c r="V1708" i="2"/>
  <c r="U1708" i="2"/>
  <c r="T1708" i="2"/>
  <c r="A1712" i="3" s="1"/>
  <c r="AM1707" i="2"/>
  <c r="AL1707" i="2"/>
  <c r="AK1707" i="2"/>
  <c r="AJ1707" i="2"/>
  <c r="AI1707" i="2"/>
  <c r="AH1707" i="2"/>
  <c r="F1707" i="4" s="1"/>
  <c r="AG1707" i="2"/>
  <c r="AF1707" i="2"/>
  <c r="AE1707" i="2"/>
  <c r="AD1707" i="2"/>
  <c r="AC1707" i="2"/>
  <c r="AB1707" i="2"/>
  <c r="AA1707" i="2"/>
  <c r="Z1707" i="2"/>
  <c r="Y1707" i="2"/>
  <c r="X1707" i="2"/>
  <c r="W1707" i="2"/>
  <c r="V1707" i="2"/>
  <c r="U1707" i="2"/>
  <c r="T1707" i="2"/>
  <c r="A1711" i="3" s="1"/>
  <c r="AM1706" i="2"/>
  <c r="AL1706" i="2"/>
  <c r="AK1706" i="2"/>
  <c r="AJ1706" i="2"/>
  <c r="AI1706" i="2"/>
  <c r="AH1706" i="2"/>
  <c r="F1706" i="4" s="1"/>
  <c r="AG1706" i="2"/>
  <c r="AF1706" i="2"/>
  <c r="AE1706" i="2"/>
  <c r="AD1706" i="2"/>
  <c r="AC1706" i="2"/>
  <c r="AB1706" i="2"/>
  <c r="AA1706" i="2"/>
  <c r="Z1706" i="2"/>
  <c r="Y1706" i="2"/>
  <c r="X1706" i="2"/>
  <c r="W1706" i="2"/>
  <c r="V1706" i="2"/>
  <c r="U1706" i="2"/>
  <c r="T1706" i="2"/>
  <c r="A1710" i="3" s="1"/>
  <c r="AM1705" i="2"/>
  <c r="AL1705" i="2"/>
  <c r="AK1705" i="2"/>
  <c r="AJ1705" i="2"/>
  <c r="AI1705" i="2"/>
  <c r="AH1705" i="2"/>
  <c r="F1705" i="4" s="1"/>
  <c r="AG1705" i="2"/>
  <c r="AF1705" i="2"/>
  <c r="AE1705" i="2"/>
  <c r="AD1705" i="2"/>
  <c r="AC1705" i="2"/>
  <c r="AB1705" i="2"/>
  <c r="AA1705" i="2"/>
  <c r="Z1705" i="2"/>
  <c r="Y1705" i="2"/>
  <c r="X1705" i="2"/>
  <c r="W1705" i="2"/>
  <c r="V1705" i="2"/>
  <c r="U1705" i="2"/>
  <c r="T1705" i="2"/>
  <c r="A1709" i="3" s="1"/>
  <c r="AM1704" i="2"/>
  <c r="AL1704" i="2"/>
  <c r="AK1704" i="2"/>
  <c r="AJ1704" i="2"/>
  <c r="AI1704" i="2"/>
  <c r="AH1704" i="2"/>
  <c r="F1704" i="4" s="1"/>
  <c r="AG1704" i="2"/>
  <c r="AF1704" i="2"/>
  <c r="AE1704" i="2"/>
  <c r="AD1704" i="2"/>
  <c r="AC1704" i="2"/>
  <c r="AB1704" i="2"/>
  <c r="AA1704" i="2"/>
  <c r="Z1704" i="2"/>
  <c r="Y1704" i="2"/>
  <c r="X1704" i="2"/>
  <c r="W1704" i="2"/>
  <c r="V1704" i="2"/>
  <c r="U1704" i="2"/>
  <c r="T1704" i="2"/>
  <c r="A1708" i="3" s="1"/>
  <c r="AM1703" i="2"/>
  <c r="AL1703" i="2"/>
  <c r="AK1703" i="2"/>
  <c r="AJ1703" i="2"/>
  <c r="AI1703" i="2"/>
  <c r="AH1703" i="2"/>
  <c r="F1703" i="4" s="1"/>
  <c r="AG1703" i="2"/>
  <c r="AF1703" i="2"/>
  <c r="AE1703" i="2"/>
  <c r="AD1703" i="2"/>
  <c r="AC1703" i="2"/>
  <c r="AB1703" i="2"/>
  <c r="AA1703" i="2"/>
  <c r="Z1703" i="2"/>
  <c r="Y1703" i="2"/>
  <c r="X1703" i="2"/>
  <c r="W1703" i="2"/>
  <c r="V1703" i="2"/>
  <c r="U1703" i="2"/>
  <c r="T1703" i="2"/>
  <c r="A1707" i="3" s="1"/>
  <c r="AM1702" i="2"/>
  <c r="AL1702" i="2"/>
  <c r="AK1702" i="2"/>
  <c r="AJ1702" i="2"/>
  <c r="AI1702" i="2"/>
  <c r="AH1702" i="2"/>
  <c r="F1702" i="4" s="1"/>
  <c r="AG1702" i="2"/>
  <c r="AF1702" i="2"/>
  <c r="AE1702" i="2"/>
  <c r="AD1702" i="2"/>
  <c r="AC1702" i="2"/>
  <c r="AB1702" i="2"/>
  <c r="AA1702" i="2"/>
  <c r="Z1702" i="2"/>
  <c r="Y1702" i="2"/>
  <c r="X1702" i="2"/>
  <c r="W1702" i="2"/>
  <c r="V1702" i="2"/>
  <c r="U1702" i="2"/>
  <c r="T1702" i="2"/>
  <c r="A1706" i="3" s="1"/>
  <c r="AM1701" i="2"/>
  <c r="AL1701" i="2"/>
  <c r="AK1701" i="2"/>
  <c r="AJ1701" i="2"/>
  <c r="AI1701" i="2"/>
  <c r="AH1701" i="2"/>
  <c r="F1701" i="4" s="1"/>
  <c r="AG1701" i="2"/>
  <c r="AF1701" i="2"/>
  <c r="AE1701" i="2"/>
  <c r="AD1701" i="2"/>
  <c r="AC1701" i="2"/>
  <c r="AB1701" i="2"/>
  <c r="AA1701" i="2"/>
  <c r="Z1701" i="2"/>
  <c r="Y1701" i="2"/>
  <c r="X1701" i="2"/>
  <c r="W1701" i="2"/>
  <c r="V1701" i="2"/>
  <c r="U1701" i="2"/>
  <c r="T1701" i="2"/>
  <c r="A1705" i="3" s="1"/>
  <c r="AM1700" i="2"/>
  <c r="AL1700" i="2"/>
  <c r="AK1700" i="2"/>
  <c r="AJ1700" i="2"/>
  <c r="AI1700" i="2"/>
  <c r="AH1700" i="2"/>
  <c r="F1700" i="4" s="1"/>
  <c r="AG1700" i="2"/>
  <c r="AF1700" i="2"/>
  <c r="AE1700" i="2"/>
  <c r="AD1700" i="2"/>
  <c r="AC1700" i="2"/>
  <c r="AB1700" i="2"/>
  <c r="AA1700" i="2"/>
  <c r="Z1700" i="2"/>
  <c r="Y1700" i="2"/>
  <c r="X1700" i="2"/>
  <c r="W1700" i="2"/>
  <c r="V1700" i="2"/>
  <c r="U1700" i="2"/>
  <c r="T1700" i="2"/>
  <c r="A1704" i="3" s="1"/>
  <c r="AM1699" i="2"/>
  <c r="AL1699" i="2"/>
  <c r="AK1699" i="2"/>
  <c r="AJ1699" i="2"/>
  <c r="AI1699" i="2"/>
  <c r="AH1699" i="2"/>
  <c r="F1699" i="4" s="1"/>
  <c r="AG1699" i="2"/>
  <c r="AF1699" i="2"/>
  <c r="AE1699" i="2"/>
  <c r="AD1699" i="2"/>
  <c r="AC1699" i="2"/>
  <c r="AB1699" i="2"/>
  <c r="AA1699" i="2"/>
  <c r="Z1699" i="2"/>
  <c r="Y1699" i="2"/>
  <c r="X1699" i="2"/>
  <c r="W1699" i="2"/>
  <c r="V1699" i="2"/>
  <c r="U1699" i="2"/>
  <c r="T1699" i="2"/>
  <c r="A1703" i="3" s="1"/>
  <c r="AM1698" i="2"/>
  <c r="AL1698" i="2"/>
  <c r="AK1698" i="2"/>
  <c r="AJ1698" i="2"/>
  <c r="AI1698" i="2"/>
  <c r="AH1698" i="2"/>
  <c r="F1698" i="4" s="1"/>
  <c r="AG1698" i="2"/>
  <c r="AF1698" i="2"/>
  <c r="AE1698" i="2"/>
  <c r="AD1698" i="2"/>
  <c r="AC1698" i="2"/>
  <c r="AB1698" i="2"/>
  <c r="AA1698" i="2"/>
  <c r="Z1698" i="2"/>
  <c r="Y1698" i="2"/>
  <c r="X1698" i="2"/>
  <c r="W1698" i="2"/>
  <c r="V1698" i="2"/>
  <c r="U1698" i="2"/>
  <c r="T1698" i="2"/>
  <c r="A1702" i="3" s="1"/>
  <c r="AM1697" i="2"/>
  <c r="AL1697" i="2"/>
  <c r="AK1697" i="2"/>
  <c r="AJ1697" i="2"/>
  <c r="AI1697" i="2"/>
  <c r="AH1697" i="2"/>
  <c r="F1697" i="4" s="1"/>
  <c r="AG1697" i="2"/>
  <c r="AF1697" i="2"/>
  <c r="AE1697" i="2"/>
  <c r="AD1697" i="2"/>
  <c r="AC1697" i="2"/>
  <c r="AB1697" i="2"/>
  <c r="AA1697" i="2"/>
  <c r="Z1697" i="2"/>
  <c r="Y1697" i="2"/>
  <c r="X1697" i="2"/>
  <c r="W1697" i="2"/>
  <c r="V1697" i="2"/>
  <c r="U1697" i="2"/>
  <c r="T1697" i="2"/>
  <c r="A1701" i="3" s="1"/>
  <c r="AM1696" i="2"/>
  <c r="AL1696" i="2"/>
  <c r="AK1696" i="2"/>
  <c r="AJ1696" i="2"/>
  <c r="AI1696" i="2"/>
  <c r="AH1696" i="2"/>
  <c r="F1696" i="4" s="1"/>
  <c r="AG1696" i="2"/>
  <c r="AF1696" i="2"/>
  <c r="AE1696" i="2"/>
  <c r="AD1696" i="2"/>
  <c r="AC1696" i="2"/>
  <c r="AB1696" i="2"/>
  <c r="AA1696" i="2"/>
  <c r="Z1696" i="2"/>
  <c r="Y1696" i="2"/>
  <c r="X1696" i="2"/>
  <c r="W1696" i="2"/>
  <c r="V1696" i="2"/>
  <c r="U1696" i="2"/>
  <c r="T1696" i="2"/>
  <c r="A1700" i="3" s="1"/>
  <c r="AM1695" i="2"/>
  <c r="AL1695" i="2"/>
  <c r="AK1695" i="2"/>
  <c r="AJ1695" i="2"/>
  <c r="AI1695" i="2"/>
  <c r="AH1695" i="2"/>
  <c r="F1695" i="4" s="1"/>
  <c r="AG1695" i="2"/>
  <c r="AF1695" i="2"/>
  <c r="AE1695" i="2"/>
  <c r="AD1695" i="2"/>
  <c r="AC1695" i="2"/>
  <c r="AB1695" i="2"/>
  <c r="AA1695" i="2"/>
  <c r="Z1695" i="2"/>
  <c r="Y1695" i="2"/>
  <c r="X1695" i="2"/>
  <c r="W1695" i="2"/>
  <c r="V1695" i="2"/>
  <c r="U1695" i="2"/>
  <c r="T1695" i="2"/>
  <c r="A1699" i="3" s="1"/>
  <c r="AM1694" i="2"/>
  <c r="AL1694" i="2"/>
  <c r="AK1694" i="2"/>
  <c r="AJ1694" i="2"/>
  <c r="AI1694" i="2"/>
  <c r="AH1694" i="2"/>
  <c r="F1694" i="4" s="1"/>
  <c r="AG1694" i="2"/>
  <c r="AF1694" i="2"/>
  <c r="AE1694" i="2"/>
  <c r="AD1694" i="2"/>
  <c r="AC1694" i="2"/>
  <c r="AB1694" i="2"/>
  <c r="AA1694" i="2"/>
  <c r="Z1694" i="2"/>
  <c r="Y1694" i="2"/>
  <c r="X1694" i="2"/>
  <c r="W1694" i="2"/>
  <c r="V1694" i="2"/>
  <c r="U1694" i="2"/>
  <c r="T1694" i="2"/>
  <c r="A1698" i="3" s="1"/>
  <c r="AM1693" i="2"/>
  <c r="AL1693" i="2"/>
  <c r="AK1693" i="2"/>
  <c r="AJ1693" i="2"/>
  <c r="AI1693" i="2"/>
  <c r="AH1693" i="2"/>
  <c r="F1693" i="4" s="1"/>
  <c r="AG1693" i="2"/>
  <c r="AF1693" i="2"/>
  <c r="AE1693" i="2"/>
  <c r="AD1693" i="2"/>
  <c r="AC1693" i="2"/>
  <c r="AB1693" i="2"/>
  <c r="AA1693" i="2"/>
  <c r="Z1693" i="2"/>
  <c r="Y1693" i="2"/>
  <c r="X1693" i="2"/>
  <c r="W1693" i="2"/>
  <c r="V1693" i="2"/>
  <c r="U1693" i="2"/>
  <c r="T1693" i="2"/>
  <c r="A1697" i="3" s="1"/>
  <c r="AM1692" i="2"/>
  <c r="AL1692" i="2"/>
  <c r="AK1692" i="2"/>
  <c r="AJ1692" i="2"/>
  <c r="AI1692" i="2"/>
  <c r="AH1692" i="2"/>
  <c r="F1692" i="4" s="1"/>
  <c r="AG1692" i="2"/>
  <c r="AF1692" i="2"/>
  <c r="AE1692" i="2"/>
  <c r="AD1692" i="2"/>
  <c r="AC1692" i="2"/>
  <c r="AB1692" i="2"/>
  <c r="AA1692" i="2"/>
  <c r="Z1692" i="2"/>
  <c r="Y1692" i="2"/>
  <c r="X1692" i="2"/>
  <c r="W1692" i="2"/>
  <c r="V1692" i="2"/>
  <c r="U1692" i="2"/>
  <c r="T1692" i="2"/>
  <c r="A1696" i="3" s="1"/>
  <c r="AM1691" i="2"/>
  <c r="AL1691" i="2"/>
  <c r="AK1691" i="2"/>
  <c r="AJ1691" i="2"/>
  <c r="AI1691" i="2"/>
  <c r="AH1691" i="2"/>
  <c r="F1691" i="4" s="1"/>
  <c r="AG1691" i="2"/>
  <c r="AF1691" i="2"/>
  <c r="AE1691" i="2"/>
  <c r="AD1691" i="2"/>
  <c r="AC1691" i="2"/>
  <c r="AB1691" i="2"/>
  <c r="AA1691" i="2"/>
  <c r="Z1691" i="2"/>
  <c r="Y1691" i="2"/>
  <c r="X1691" i="2"/>
  <c r="W1691" i="2"/>
  <c r="V1691" i="2"/>
  <c r="U1691" i="2"/>
  <c r="T1691" i="2"/>
  <c r="A1695" i="3" s="1"/>
  <c r="AM1690" i="2"/>
  <c r="AL1690" i="2"/>
  <c r="AK1690" i="2"/>
  <c r="AJ1690" i="2"/>
  <c r="AI1690" i="2"/>
  <c r="AH1690" i="2"/>
  <c r="F1690" i="4" s="1"/>
  <c r="AG1690" i="2"/>
  <c r="AF1690" i="2"/>
  <c r="AE1690" i="2"/>
  <c r="AD1690" i="2"/>
  <c r="AC1690" i="2"/>
  <c r="AB1690" i="2"/>
  <c r="AA1690" i="2"/>
  <c r="Z1690" i="2"/>
  <c r="Y1690" i="2"/>
  <c r="X1690" i="2"/>
  <c r="W1690" i="2"/>
  <c r="V1690" i="2"/>
  <c r="U1690" i="2"/>
  <c r="T1690" i="2"/>
  <c r="A1694" i="3" s="1"/>
  <c r="AM1689" i="2"/>
  <c r="AL1689" i="2"/>
  <c r="AK1689" i="2"/>
  <c r="AJ1689" i="2"/>
  <c r="AI1689" i="2"/>
  <c r="AH1689" i="2"/>
  <c r="F1689" i="4" s="1"/>
  <c r="AG1689" i="2"/>
  <c r="AF1689" i="2"/>
  <c r="AE1689" i="2"/>
  <c r="AD1689" i="2"/>
  <c r="AC1689" i="2"/>
  <c r="AB1689" i="2"/>
  <c r="AA1689" i="2"/>
  <c r="Z1689" i="2"/>
  <c r="Y1689" i="2"/>
  <c r="X1689" i="2"/>
  <c r="W1689" i="2"/>
  <c r="V1689" i="2"/>
  <c r="U1689" i="2"/>
  <c r="T1689" i="2"/>
  <c r="A1693" i="3" s="1"/>
  <c r="AM1688" i="2"/>
  <c r="AL1688" i="2"/>
  <c r="AK1688" i="2"/>
  <c r="AJ1688" i="2"/>
  <c r="AI1688" i="2"/>
  <c r="AH1688" i="2"/>
  <c r="F1688" i="4" s="1"/>
  <c r="AG1688" i="2"/>
  <c r="AF1688" i="2"/>
  <c r="AE1688" i="2"/>
  <c r="AD1688" i="2"/>
  <c r="AC1688" i="2"/>
  <c r="AB1688" i="2"/>
  <c r="AA1688" i="2"/>
  <c r="Z1688" i="2"/>
  <c r="Y1688" i="2"/>
  <c r="X1688" i="2"/>
  <c r="W1688" i="2"/>
  <c r="V1688" i="2"/>
  <c r="U1688" i="2"/>
  <c r="T1688" i="2"/>
  <c r="A1692" i="3" s="1"/>
  <c r="AM1687" i="2"/>
  <c r="AL1687" i="2"/>
  <c r="AK1687" i="2"/>
  <c r="AJ1687" i="2"/>
  <c r="AI1687" i="2"/>
  <c r="AH1687" i="2"/>
  <c r="F1687" i="4" s="1"/>
  <c r="AG1687" i="2"/>
  <c r="AF1687" i="2"/>
  <c r="AE1687" i="2"/>
  <c r="AD1687" i="2"/>
  <c r="AC1687" i="2"/>
  <c r="AB1687" i="2"/>
  <c r="AA1687" i="2"/>
  <c r="Z1687" i="2"/>
  <c r="Y1687" i="2"/>
  <c r="X1687" i="2"/>
  <c r="W1687" i="2"/>
  <c r="V1687" i="2"/>
  <c r="U1687" i="2"/>
  <c r="T1687" i="2"/>
  <c r="A1691" i="3" s="1"/>
  <c r="AM1686" i="2"/>
  <c r="AL1686" i="2"/>
  <c r="AK1686" i="2"/>
  <c r="AJ1686" i="2"/>
  <c r="AI1686" i="2"/>
  <c r="AH1686" i="2"/>
  <c r="F1686" i="4" s="1"/>
  <c r="AG1686" i="2"/>
  <c r="AF1686" i="2"/>
  <c r="AE1686" i="2"/>
  <c r="AD1686" i="2"/>
  <c r="AC1686" i="2"/>
  <c r="AB1686" i="2"/>
  <c r="AA1686" i="2"/>
  <c r="Z1686" i="2"/>
  <c r="Y1686" i="2"/>
  <c r="X1686" i="2"/>
  <c r="W1686" i="2"/>
  <c r="V1686" i="2"/>
  <c r="U1686" i="2"/>
  <c r="T1686" i="2"/>
  <c r="A1690" i="3" s="1"/>
  <c r="AM1685" i="2"/>
  <c r="AL1685" i="2"/>
  <c r="AK1685" i="2"/>
  <c r="AJ1685" i="2"/>
  <c r="AI1685" i="2"/>
  <c r="AH1685" i="2"/>
  <c r="F1685" i="4" s="1"/>
  <c r="AG1685" i="2"/>
  <c r="AF1685" i="2"/>
  <c r="AE1685" i="2"/>
  <c r="AD1685" i="2"/>
  <c r="AC1685" i="2"/>
  <c r="AB1685" i="2"/>
  <c r="AA1685" i="2"/>
  <c r="Z1685" i="2"/>
  <c r="Y1685" i="2"/>
  <c r="X1685" i="2"/>
  <c r="W1685" i="2"/>
  <c r="V1685" i="2"/>
  <c r="U1685" i="2"/>
  <c r="T1685" i="2"/>
  <c r="A1689" i="3" s="1"/>
  <c r="AM1684" i="2"/>
  <c r="AL1684" i="2"/>
  <c r="AK1684" i="2"/>
  <c r="AJ1684" i="2"/>
  <c r="AI1684" i="2"/>
  <c r="AH1684" i="2"/>
  <c r="F1684" i="4" s="1"/>
  <c r="AG1684" i="2"/>
  <c r="AF1684" i="2"/>
  <c r="AE1684" i="2"/>
  <c r="AD1684" i="2"/>
  <c r="AC1684" i="2"/>
  <c r="AB1684" i="2"/>
  <c r="AA1684" i="2"/>
  <c r="Z1684" i="2"/>
  <c r="Y1684" i="2"/>
  <c r="X1684" i="2"/>
  <c r="W1684" i="2"/>
  <c r="V1684" i="2"/>
  <c r="U1684" i="2"/>
  <c r="T1684" i="2"/>
  <c r="A1688" i="3" s="1"/>
  <c r="AM1683" i="2"/>
  <c r="AL1683" i="2"/>
  <c r="AK1683" i="2"/>
  <c r="AJ1683" i="2"/>
  <c r="AI1683" i="2"/>
  <c r="AH1683" i="2"/>
  <c r="F1683" i="4" s="1"/>
  <c r="AG1683" i="2"/>
  <c r="AF1683" i="2"/>
  <c r="AE1683" i="2"/>
  <c r="AD1683" i="2"/>
  <c r="AC1683" i="2"/>
  <c r="AB1683" i="2"/>
  <c r="AA1683" i="2"/>
  <c r="Z1683" i="2"/>
  <c r="Y1683" i="2"/>
  <c r="X1683" i="2"/>
  <c r="W1683" i="2"/>
  <c r="V1683" i="2"/>
  <c r="U1683" i="2"/>
  <c r="T1683" i="2"/>
  <c r="A1687" i="3" s="1"/>
  <c r="AM1682" i="2"/>
  <c r="AL1682" i="2"/>
  <c r="AK1682" i="2"/>
  <c r="AJ1682" i="2"/>
  <c r="AI1682" i="2"/>
  <c r="AH1682" i="2"/>
  <c r="F1682" i="4" s="1"/>
  <c r="AG1682" i="2"/>
  <c r="AF1682" i="2"/>
  <c r="AE1682" i="2"/>
  <c r="AD1682" i="2"/>
  <c r="AC1682" i="2"/>
  <c r="AB1682" i="2"/>
  <c r="AA1682" i="2"/>
  <c r="Z1682" i="2"/>
  <c r="Y1682" i="2"/>
  <c r="X1682" i="2"/>
  <c r="W1682" i="2"/>
  <c r="V1682" i="2"/>
  <c r="U1682" i="2"/>
  <c r="T1682" i="2"/>
  <c r="A1686" i="3" s="1"/>
  <c r="AM1681" i="2"/>
  <c r="AL1681" i="2"/>
  <c r="AK1681" i="2"/>
  <c r="AJ1681" i="2"/>
  <c r="AI1681" i="2"/>
  <c r="AH1681" i="2"/>
  <c r="F1681" i="4" s="1"/>
  <c r="AG1681" i="2"/>
  <c r="AF1681" i="2"/>
  <c r="AE1681" i="2"/>
  <c r="AD1681" i="2"/>
  <c r="AC1681" i="2"/>
  <c r="AB1681" i="2"/>
  <c r="AA1681" i="2"/>
  <c r="Z1681" i="2"/>
  <c r="Y1681" i="2"/>
  <c r="X1681" i="2"/>
  <c r="W1681" i="2"/>
  <c r="V1681" i="2"/>
  <c r="U1681" i="2"/>
  <c r="T1681" i="2"/>
  <c r="A1685" i="3" s="1"/>
  <c r="AM1680" i="2"/>
  <c r="AL1680" i="2"/>
  <c r="AK1680" i="2"/>
  <c r="AJ1680" i="2"/>
  <c r="AI1680" i="2"/>
  <c r="AH1680" i="2"/>
  <c r="F1680" i="4" s="1"/>
  <c r="AG1680" i="2"/>
  <c r="AF1680" i="2"/>
  <c r="AE1680" i="2"/>
  <c r="AD1680" i="2"/>
  <c r="AC1680" i="2"/>
  <c r="AB1680" i="2"/>
  <c r="AA1680" i="2"/>
  <c r="Z1680" i="2"/>
  <c r="Y1680" i="2"/>
  <c r="X1680" i="2"/>
  <c r="W1680" i="2"/>
  <c r="V1680" i="2"/>
  <c r="U1680" i="2"/>
  <c r="T1680" i="2"/>
  <c r="A1684" i="3" s="1"/>
  <c r="AM1679" i="2"/>
  <c r="AL1679" i="2"/>
  <c r="AK1679" i="2"/>
  <c r="AJ1679" i="2"/>
  <c r="AI1679" i="2"/>
  <c r="AH1679" i="2"/>
  <c r="F1679" i="4" s="1"/>
  <c r="AG1679" i="2"/>
  <c r="AF1679" i="2"/>
  <c r="AE1679" i="2"/>
  <c r="AD1679" i="2"/>
  <c r="AC1679" i="2"/>
  <c r="AB1679" i="2"/>
  <c r="AA1679" i="2"/>
  <c r="Z1679" i="2"/>
  <c r="Y1679" i="2"/>
  <c r="X1679" i="2"/>
  <c r="W1679" i="2"/>
  <c r="V1679" i="2"/>
  <c r="U1679" i="2"/>
  <c r="T1679" i="2"/>
  <c r="A1683" i="3" s="1"/>
  <c r="AM1678" i="2"/>
  <c r="AL1678" i="2"/>
  <c r="AK1678" i="2"/>
  <c r="AJ1678" i="2"/>
  <c r="AI1678" i="2"/>
  <c r="AH1678" i="2"/>
  <c r="F1678" i="4" s="1"/>
  <c r="AG1678" i="2"/>
  <c r="AF1678" i="2"/>
  <c r="AE1678" i="2"/>
  <c r="AD1678" i="2"/>
  <c r="AC1678" i="2"/>
  <c r="AB1678" i="2"/>
  <c r="AA1678" i="2"/>
  <c r="Z1678" i="2"/>
  <c r="Y1678" i="2"/>
  <c r="X1678" i="2"/>
  <c r="W1678" i="2"/>
  <c r="V1678" i="2"/>
  <c r="U1678" i="2"/>
  <c r="T1678" i="2"/>
  <c r="A1682" i="3" s="1"/>
  <c r="AM1677" i="2"/>
  <c r="AL1677" i="2"/>
  <c r="AK1677" i="2"/>
  <c r="AJ1677" i="2"/>
  <c r="AI1677" i="2"/>
  <c r="AH1677" i="2"/>
  <c r="F1677" i="4" s="1"/>
  <c r="AG1677" i="2"/>
  <c r="AF1677" i="2"/>
  <c r="AE1677" i="2"/>
  <c r="AD1677" i="2"/>
  <c r="AC1677" i="2"/>
  <c r="AB1677" i="2"/>
  <c r="AA1677" i="2"/>
  <c r="Z1677" i="2"/>
  <c r="Y1677" i="2"/>
  <c r="X1677" i="2"/>
  <c r="W1677" i="2"/>
  <c r="V1677" i="2"/>
  <c r="U1677" i="2"/>
  <c r="T1677" i="2"/>
  <c r="A1681" i="3" s="1"/>
  <c r="AM1676" i="2"/>
  <c r="AL1676" i="2"/>
  <c r="AK1676" i="2"/>
  <c r="AJ1676" i="2"/>
  <c r="AI1676" i="2"/>
  <c r="AH1676" i="2"/>
  <c r="F1676" i="4" s="1"/>
  <c r="AG1676" i="2"/>
  <c r="AF1676" i="2"/>
  <c r="AE1676" i="2"/>
  <c r="AD1676" i="2"/>
  <c r="AC1676" i="2"/>
  <c r="AB1676" i="2"/>
  <c r="AA1676" i="2"/>
  <c r="Z1676" i="2"/>
  <c r="Y1676" i="2"/>
  <c r="X1676" i="2"/>
  <c r="W1676" i="2"/>
  <c r="V1676" i="2"/>
  <c r="U1676" i="2"/>
  <c r="T1676" i="2"/>
  <c r="A1680" i="3" s="1"/>
  <c r="AM1675" i="2"/>
  <c r="AL1675" i="2"/>
  <c r="AK1675" i="2"/>
  <c r="AJ1675" i="2"/>
  <c r="AI1675" i="2"/>
  <c r="AH1675" i="2"/>
  <c r="F1675" i="4" s="1"/>
  <c r="AG1675" i="2"/>
  <c r="AF1675" i="2"/>
  <c r="AE1675" i="2"/>
  <c r="AD1675" i="2"/>
  <c r="AC1675" i="2"/>
  <c r="AB1675" i="2"/>
  <c r="AA1675" i="2"/>
  <c r="Z1675" i="2"/>
  <c r="Y1675" i="2"/>
  <c r="X1675" i="2"/>
  <c r="W1675" i="2"/>
  <c r="V1675" i="2"/>
  <c r="U1675" i="2"/>
  <c r="T1675" i="2"/>
  <c r="A1679" i="3" s="1"/>
  <c r="AM1674" i="2"/>
  <c r="AL1674" i="2"/>
  <c r="AK1674" i="2"/>
  <c r="AJ1674" i="2"/>
  <c r="AI1674" i="2"/>
  <c r="AH1674" i="2"/>
  <c r="F1674" i="4" s="1"/>
  <c r="AG1674" i="2"/>
  <c r="AF1674" i="2"/>
  <c r="AE1674" i="2"/>
  <c r="AD1674" i="2"/>
  <c r="AC1674" i="2"/>
  <c r="AB1674" i="2"/>
  <c r="AA1674" i="2"/>
  <c r="Z1674" i="2"/>
  <c r="Y1674" i="2"/>
  <c r="X1674" i="2"/>
  <c r="W1674" i="2"/>
  <c r="V1674" i="2"/>
  <c r="U1674" i="2"/>
  <c r="T1674" i="2"/>
  <c r="A1678" i="3" s="1"/>
  <c r="AM1673" i="2"/>
  <c r="AL1673" i="2"/>
  <c r="AK1673" i="2"/>
  <c r="AJ1673" i="2"/>
  <c r="AI1673" i="2"/>
  <c r="AH1673" i="2"/>
  <c r="F1673" i="4" s="1"/>
  <c r="AG1673" i="2"/>
  <c r="AF1673" i="2"/>
  <c r="AE1673" i="2"/>
  <c r="AD1673" i="2"/>
  <c r="AC1673" i="2"/>
  <c r="AB1673" i="2"/>
  <c r="AA1673" i="2"/>
  <c r="Z1673" i="2"/>
  <c r="Y1673" i="2"/>
  <c r="X1673" i="2"/>
  <c r="W1673" i="2"/>
  <c r="V1673" i="2"/>
  <c r="U1673" i="2"/>
  <c r="T1673" i="2"/>
  <c r="A1677" i="3" s="1"/>
  <c r="AM1672" i="2"/>
  <c r="AL1672" i="2"/>
  <c r="AK1672" i="2"/>
  <c r="AJ1672" i="2"/>
  <c r="AI1672" i="2"/>
  <c r="AH1672" i="2"/>
  <c r="F1672" i="4" s="1"/>
  <c r="AG1672" i="2"/>
  <c r="AF1672" i="2"/>
  <c r="AE1672" i="2"/>
  <c r="AD1672" i="2"/>
  <c r="AC1672" i="2"/>
  <c r="AB1672" i="2"/>
  <c r="AA1672" i="2"/>
  <c r="Z1672" i="2"/>
  <c r="Y1672" i="2"/>
  <c r="X1672" i="2"/>
  <c r="W1672" i="2"/>
  <c r="V1672" i="2"/>
  <c r="U1672" i="2"/>
  <c r="T1672" i="2"/>
  <c r="A1676" i="3" s="1"/>
  <c r="AM1671" i="2"/>
  <c r="AL1671" i="2"/>
  <c r="AK1671" i="2"/>
  <c r="AJ1671" i="2"/>
  <c r="AI1671" i="2"/>
  <c r="AH1671" i="2"/>
  <c r="F1671" i="4" s="1"/>
  <c r="AG1671" i="2"/>
  <c r="AF1671" i="2"/>
  <c r="AE1671" i="2"/>
  <c r="AD1671" i="2"/>
  <c r="AC1671" i="2"/>
  <c r="AB1671" i="2"/>
  <c r="AA1671" i="2"/>
  <c r="Z1671" i="2"/>
  <c r="Y1671" i="2"/>
  <c r="X1671" i="2"/>
  <c r="W1671" i="2"/>
  <c r="V1671" i="2"/>
  <c r="U1671" i="2"/>
  <c r="T1671" i="2"/>
  <c r="A1675" i="3" s="1"/>
  <c r="AM1670" i="2"/>
  <c r="AL1670" i="2"/>
  <c r="AK1670" i="2"/>
  <c r="AJ1670" i="2"/>
  <c r="AI1670" i="2"/>
  <c r="AH1670" i="2"/>
  <c r="F1670" i="4" s="1"/>
  <c r="AG1670" i="2"/>
  <c r="AF1670" i="2"/>
  <c r="AE1670" i="2"/>
  <c r="AD1670" i="2"/>
  <c r="AC1670" i="2"/>
  <c r="AB1670" i="2"/>
  <c r="AA1670" i="2"/>
  <c r="Z1670" i="2"/>
  <c r="Y1670" i="2"/>
  <c r="X1670" i="2"/>
  <c r="W1670" i="2"/>
  <c r="V1670" i="2"/>
  <c r="U1670" i="2"/>
  <c r="T1670" i="2"/>
  <c r="A1674" i="3" s="1"/>
  <c r="AM1669" i="2"/>
  <c r="AL1669" i="2"/>
  <c r="AK1669" i="2"/>
  <c r="AJ1669" i="2"/>
  <c r="AI1669" i="2"/>
  <c r="AH1669" i="2"/>
  <c r="F1669" i="4" s="1"/>
  <c r="AG1669" i="2"/>
  <c r="AF1669" i="2"/>
  <c r="AE1669" i="2"/>
  <c r="AD1669" i="2"/>
  <c r="AC1669" i="2"/>
  <c r="AB1669" i="2"/>
  <c r="AA1669" i="2"/>
  <c r="Z1669" i="2"/>
  <c r="Y1669" i="2"/>
  <c r="X1669" i="2"/>
  <c r="W1669" i="2"/>
  <c r="V1669" i="2"/>
  <c r="U1669" i="2"/>
  <c r="T1669" i="2"/>
  <c r="A1673" i="3" s="1"/>
  <c r="AM1668" i="2"/>
  <c r="AL1668" i="2"/>
  <c r="AK1668" i="2"/>
  <c r="AJ1668" i="2"/>
  <c r="AI1668" i="2"/>
  <c r="AH1668" i="2"/>
  <c r="F1668" i="4" s="1"/>
  <c r="AG1668" i="2"/>
  <c r="AF1668" i="2"/>
  <c r="AE1668" i="2"/>
  <c r="AD1668" i="2"/>
  <c r="AC1668" i="2"/>
  <c r="AB1668" i="2"/>
  <c r="AA1668" i="2"/>
  <c r="Z1668" i="2"/>
  <c r="Y1668" i="2"/>
  <c r="X1668" i="2"/>
  <c r="W1668" i="2"/>
  <c r="V1668" i="2"/>
  <c r="U1668" i="2"/>
  <c r="T1668" i="2"/>
  <c r="A1672" i="3" s="1"/>
  <c r="AM1667" i="2"/>
  <c r="AL1667" i="2"/>
  <c r="AK1667" i="2"/>
  <c r="AJ1667" i="2"/>
  <c r="AI1667" i="2"/>
  <c r="AH1667" i="2"/>
  <c r="F1667" i="4" s="1"/>
  <c r="AG1667" i="2"/>
  <c r="AF1667" i="2"/>
  <c r="AE1667" i="2"/>
  <c r="AD1667" i="2"/>
  <c r="AC1667" i="2"/>
  <c r="AB1667" i="2"/>
  <c r="AA1667" i="2"/>
  <c r="Z1667" i="2"/>
  <c r="Y1667" i="2"/>
  <c r="X1667" i="2"/>
  <c r="W1667" i="2"/>
  <c r="V1667" i="2"/>
  <c r="U1667" i="2"/>
  <c r="T1667" i="2"/>
  <c r="A1671" i="3" s="1"/>
  <c r="AM1666" i="2"/>
  <c r="AL1666" i="2"/>
  <c r="AK1666" i="2"/>
  <c r="AJ1666" i="2"/>
  <c r="AI1666" i="2"/>
  <c r="AH1666" i="2"/>
  <c r="F1666" i="4" s="1"/>
  <c r="AG1666" i="2"/>
  <c r="AF1666" i="2"/>
  <c r="AE1666" i="2"/>
  <c r="AD1666" i="2"/>
  <c r="AC1666" i="2"/>
  <c r="AB1666" i="2"/>
  <c r="AA1666" i="2"/>
  <c r="Z1666" i="2"/>
  <c r="Y1666" i="2"/>
  <c r="X1666" i="2"/>
  <c r="W1666" i="2"/>
  <c r="V1666" i="2"/>
  <c r="U1666" i="2"/>
  <c r="T1666" i="2"/>
  <c r="A1670" i="3" s="1"/>
  <c r="AM1665" i="2"/>
  <c r="AL1665" i="2"/>
  <c r="AK1665" i="2"/>
  <c r="AJ1665" i="2"/>
  <c r="AI1665" i="2"/>
  <c r="AH1665" i="2"/>
  <c r="F1665" i="4" s="1"/>
  <c r="AG1665" i="2"/>
  <c r="AF1665" i="2"/>
  <c r="AE1665" i="2"/>
  <c r="AD1665" i="2"/>
  <c r="AC1665" i="2"/>
  <c r="AB1665" i="2"/>
  <c r="AA1665" i="2"/>
  <c r="Z1665" i="2"/>
  <c r="Y1665" i="2"/>
  <c r="X1665" i="2"/>
  <c r="W1665" i="2"/>
  <c r="V1665" i="2"/>
  <c r="U1665" i="2"/>
  <c r="T1665" i="2"/>
  <c r="A1669" i="3" s="1"/>
  <c r="AM1664" i="2"/>
  <c r="AL1664" i="2"/>
  <c r="AK1664" i="2"/>
  <c r="AJ1664" i="2"/>
  <c r="AI1664" i="2"/>
  <c r="AH1664" i="2"/>
  <c r="F1664" i="4" s="1"/>
  <c r="AG1664" i="2"/>
  <c r="AF1664" i="2"/>
  <c r="AE1664" i="2"/>
  <c r="AD1664" i="2"/>
  <c r="AC1664" i="2"/>
  <c r="AB1664" i="2"/>
  <c r="AA1664" i="2"/>
  <c r="Z1664" i="2"/>
  <c r="Y1664" i="2"/>
  <c r="X1664" i="2"/>
  <c r="W1664" i="2"/>
  <c r="V1664" i="2"/>
  <c r="U1664" i="2"/>
  <c r="T1664" i="2"/>
  <c r="A1668" i="3" s="1"/>
  <c r="AM1663" i="2"/>
  <c r="AL1663" i="2"/>
  <c r="AK1663" i="2"/>
  <c r="AJ1663" i="2"/>
  <c r="AI1663" i="2"/>
  <c r="AH1663" i="2"/>
  <c r="F1663" i="4" s="1"/>
  <c r="AG1663" i="2"/>
  <c r="AF1663" i="2"/>
  <c r="AE1663" i="2"/>
  <c r="AD1663" i="2"/>
  <c r="AC1663" i="2"/>
  <c r="AB1663" i="2"/>
  <c r="AA1663" i="2"/>
  <c r="Z1663" i="2"/>
  <c r="Y1663" i="2"/>
  <c r="X1663" i="2"/>
  <c r="W1663" i="2"/>
  <c r="V1663" i="2"/>
  <c r="U1663" i="2"/>
  <c r="T1663" i="2"/>
  <c r="A1667" i="3" s="1"/>
  <c r="AM1662" i="2"/>
  <c r="AL1662" i="2"/>
  <c r="AK1662" i="2"/>
  <c r="AJ1662" i="2"/>
  <c r="AI1662" i="2"/>
  <c r="AH1662" i="2"/>
  <c r="F1662" i="4" s="1"/>
  <c r="AG1662" i="2"/>
  <c r="AF1662" i="2"/>
  <c r="AE1662" i="2"/>
  <c r="AD1662" i="2"/>
  <c r="AC1662" i="2"/>
  <c r="AB1662" i="2"/>
  <c r="AA1662" i="2"/>
  <c r="Z1662" i="2"/>
  <c r="Y1662" i="2"/>
  <c r="X1662" i="2"/>
  <c r="W1662" i="2"/>
  <c r="V1662" i="2"/>
  <c r="U1662" i="2"/>
  <c r="T1662" i="2"/>
  <c r="A1666" i="3" s="1"/>
  <c r="AM1661" i="2"/>
  <c r="AL1661" i="2"/>
  <c r="AK1661" i="2"/>
  <c r="AJ1661" i="2"/>
  <c r="AI1661" i="2"/>
  <c r="AH1661" i="2"/>
  <c r="F1661" i="4" s="1"/>
  <c r="AG1661" i="2"/>
  <c r="AF1661" i="2"/>
  <c r="AE1661" i="2"/>
  <c r="AD1661" i="2"/>
  <c r="AC1661" i="2"/>
  <c r="AB1661" i="2"/>
  <c r="AA1661" i="2"/>
  <c r="Z1661" i="2"/>
  <c r="Y1661" i="2"/>
  <c r="X1661" i="2"/>
  <c r="W1661" i="2"/>
  <c r="V1661" i="2"/>
  <c r="U1661" i="2"/>
  <c r="T1661" i="2"/>
  <c r="A1665" i="3" s="1"/>
  <c r="AM1660" i="2"/>
  <c r="AL1660" i="2"/>
  <c r="AK1660" i="2"/>
  <c r="AJ1660" i="2"/>
  <c r="AI1660" i="2"/>
  <c r="AH1660" i="2"/>
  <c r="F1660" i="4" s="1"/>
  <c r="AG1660" i="2"/>
  <c r="AF1660" i="2"/>
  <c r="AE1660" i="2"/>
  <c r="AD1660" i="2"/>
  <c r="AC1660" i="2"/>
  <c r="AB1660" i="2"/>
  <c r="AA1660" i="2"/>
  <c r="Z1660" i="2"/>
  <c r="Y1660" i="2"/>
  <c r="X1660" i="2"/>
  <c r="W1660" i="2"/>
  <c r="V1660" i="2"/>
  <c r="U1660" i="2"/>
  <c r="T1660" i="2"/>
  <c r="A1664" i="3" s="1"/>
  <c r="AM1659" i="2"/>
  <c r="AL1659" i="2"/>
  <c r="AK1659" i="2"/>
  <c r="AJ1659" i="2"/>
  <c r="AI1659" i="2"/>
  <c r="AH1659" i="2"/>
  <c r="F1659" i="4" s="1"/>
  <c r="AG1659" i="2"/>
  <c r="AF1659" i="2"/>
  <c r="AE1659" i="2"/>
  <c r="AD1659" i="2"/>
  <c r="AC1659" i="2"/>
  <c r="AB1659" i="2"/>
  <c r="AA1659" i="2"/>
  <c r="Z1659" i="2"/>
  <c r="Y1659" i="2"/>
  <c r="X1659" i="2"/>
  <c r="W1659" i="2"/>
  <c r="V1659" i="2"/>
  <c r="U1659" i="2"/>
  <c r="T1659" i="2"/>
  <c r="A1663" i="3" s="1"/>
  <c r="AM1658" i="2"/>
  <c r="AL1658" i="2"/>
  <c r="AK1658" i="2"/>
  <c r="AJ1658" i="2"/>
  <c r="AI1658" i="2"/>
  <c r="AH1658" i="2"/>
  <c r="F1658" i="4" s="1"/>
  <c r="AG1658" i="2"/>
  <c r="AF1658" i="2"/>
  <c r="AE1658" i="2"/>
  <c r="AD1658" i="2"/>
  <c r="AC1658" i="2"/>
  <c r="AB1658" i="2"/>
  <c r="AA1658" i="2"/>
  <c r="Z1658" i="2"/>
  <c r="Y1658" i="2"/>
  <c r="X1658" i="2"/>
  <c r="W1658" i="2"/>
  <c r="V1658" i="2"/>
  <c r="U1658" i="2"/>
  <c r="T1658" i="2"/>
  <c r="A1662" i="3" s="1"/>
  <c r="AM1657" i="2"/>
  <c r="AL1657" i="2"/>
  <c r="AK1657" i="2"/>
  <c r="AJ1657" i="2"/>
  <c r="AI1657" i="2"/>
  <c r="AH1657" i="2"/>
  <c r="F1657" i="4" s="1"/>
  <c r="AG1657" i="2"/>
  <c r="AF1657" i="2"/>
  <c r="AE1657" i="2"/>
  <c r="AD1657" i="2"/>
  <c r="AC1657" i="2"/>
  <c r="AB1657" i="2"/>
  <c r="AA1657" i="2"/>
  <c r="Z1657" i="2"/>
  <c r="Y1657" i="2"/>
  <c r="X1657" i="2"/>
  <c r="W1657" i="2"/>
  <c r="V1657" i="2"/>
  <c r="U1657" i="2"/>
  <c r="T1657" i="2"/>
  <c r="A1661" i="3" s="1"/>
  <c r="AM1656" i="2"/>
  <c r="AL1656" i="2"/>
  <c r="AK1656" i="2"/>
  <c r="AJ1656" i="2"/>
  <c r="AI1656" i="2"/>
  <c r="AH1656" i="2"/>
  <c r="F1656" i="4" s="1"/>
  <c r="AG1656" i="2"/>
  <c r="AF1656" i="2"/>
  <c r="AE1656" i="2"/>
  <c r="AD1656" i="2"/>
  <c r="AC1656" i="2"/>
  <c r="AB1656" i="2"/>
  <c r="AA1656" i="2"/>
  <c r="Z1656" i="2"/>
  <c r="Y1656" i="2"/>
  <c r="X1656" i="2"/>
  <c r="W1656" i="2"/>
  <c r="V1656" i="2"/>
  <c r="U1656" i="2"/>
  <c r="T1656" i="2"/>
  <c r="A1660" i="3" s="1"/>
  <c r="AM1655" i="2"/>
  <c r="AL1655" i="2"/>
  <c r="AK1655" i="2"/>
  <c r="AJ1655" i="2"/>
  <c r="AI1655" i="2"/>
  <c r="AH1655" i="2"/>
  <c r="F1655" i="4" s="1"/>
  <c r="AG1655" i="2"/>
  <c r="AF1655" i="2"/>
  <c r="AE1655" i="2"/>
  <c r="AD1655" i="2"/>
  <c r="AC1655" i="2"/>
  <c r="AB1655" i="2"/>
  <c r="AA1655" i="2"/>
  <c r="Z1655" i="2"/>
  <c r="Y1655" i="2"/>
  <c r="X1655" i="2"/>
  <c r="W1655" i="2"/>
  <c r="V1655" i="2"/>
  <c r="U1655" i="2"/>
  <c r="T1655" i="2"/>
  <c r="A1659" i="3" s="1"/>
  <c r="AM1654" i="2"/>
  <c r="AL1654" i="2"/>
  <c r="AK1654" i="2"/>
  <c r="AJ1654" i="2"/>
  <c r="AI1654" i="2"/>
  <c r="AH1654" i="2"/>
  <c r="F1654" i="4" s="1"/>
  <c r="AG1654" i="2"/>
  <c r="AF1654" i="2"/>
  <c r="AE1654" i="2"/>
  <c r="AD1654" i="2"/>
  <c r="AC1654" i="2"/>
  <c r="AB1654" i="2"/>
  <c r="AA1654" i="2"/>
  <c r="Z1654" i="2"/>
  <c r="Y1654" i="2"/>
  <c r="X1654" i="2"/>
  <c r="W1654" i="2"/>
  <c r="V1654" i="2"/>
  <c r="U1654" i="2"/>
  <c r="T1654" i="2"/>
  <c r="A1658" i="3" s="1"/>
  <c r="AM1653" i="2"/>
  <c r="AL1653" i="2"/>
  <c r="AK1653" i="2"/>
  <c r="AJ1653" i="2"/>
  <c r="AI1653" i="2"/>
  <c r="AH1653" i="2"/>
  <c r="F1653" i="4" s="1"/>
  <c r="AG1653" i="2"/>
  <c r="AF1653" i="2"/>
  <c r="AE1653" i="2"/>
  <c r="AD1653" i="2"/>
  <c r="AC1653" i="2"/>
  <c r="AB1653" i="2"/>
  <c r="AA1653" i="2"/>
  <c r="Z1653" i="2"/>
  <c r="Y1653" i="2"/>
  <c r="X1653" i="2"/>
  <c r="W1653" i="2"/>
  <c r="V1653" i="2"/>
  <c r="U1653" i="2"/>
  <c r="T1653" i="2"/>
  <c r="A1657" i="3" s="1"/>
  <c r="AM1652" i="2"/>
  <c r="AL1652" i="2"/>
  <c r="AK1652" i="2"/>
  <c r="AJ1652" i="2"/>
  <c r="AI1652" i="2"/>
  <c r="AH1652" i="2"/>
  <c r="F1652" i="4" s="1"/>
  <c r="AG1652" i="2"/>
  <c r="AF1652" i="2"/>
  <c r="AE1652" i="2"/>
  <c r="AD1652" i="2"/>
  <c r="AC1652" i="2"/>
  <c r="AB1652" i="2"/>
  <c r="AA1652" i="2"/>
  <c r="Z1652" i="2"/>
  <c r="Y1652" i="2"/>
  <c r="X1652" i="2"/>
  <c r="W1652" i="2"/>
  <c r="V1652" i="2"/>
  <c r="U1652" i="2"/>
  <c r="T1652" i="2"/>
  <c r="A1656" i="3" s="1"/>
  <c r="AM1651" i="2"/>
  <c r="AL1651" i="2"/>
  <c r="AK1651" i="2"/>
  <c r="AJ1651" i="2"/>
  <c r="AI1651" i="2"/>
  <c r="AH1651" i="2"/>
  <c r="F1651" i="4" s="1"/>
  <c r="AG1651" i="2"/>
  <c r="AF1651" i="2"/>
  <c r="AE1651" i="2"/>
  <c r="AD1651" i="2"/>
  <c r="AC1651" i="2"/>
  <c r="AB1651" i="2"/>
  <c r="AA1651" i="2"/>
  <c r="Z1651" i="2"/>
  <c r="Y1651" i="2"/>
  <c r="X1651" i="2"/>
  <c r="W1651" i="2"/>
  <c r="V1651" i="2"/>
  <c r="U1651" i="2"/>
  <c r="T1651" i="2"/>
  <c r="A1655" i="3" s="1"/>
  <c r="AM1650" i="2"/>
  <c r="AL1650" i="2"/>
  <c r="AK1650" i="2"/>
  <c r="AJ1650" i="2"/>
  <c r="AI1650" i="2"/>
  <c r="AH1650" i="2"/>
  <c r="F1650" i="4" s="1"/>
  <c r="AG1650" i="2"/>
  <c r="AF1650" i="2"/>
  <c r="AE1650" i="2"/>
  <c r="AD1650" i="2"/>
  <c r="AC1650" i="2"/>
  <c r="AB1650" i="2"/>
  <c r="AA1650" i="2"/>
  <c r="Z1650" i="2"/>
  <c r="Y1650" i="2"/>
  <c r="X1650" i="2"/>
  <c r="W1650" i="2"/>
  <c r="V1650" i="2"/>
  <c r="U1650" i="2"/>
  <c r="T1650" i="2"/>
  <c r="A1654" i="3" s="1"/>
  <c r="AM1649" i="2"/>
  <c r="AL1649" i="2"/>
  <c r="AK1649" i="2"/>
  <c r="AJ1649" i="2"/>
  <c r="AI1649" i="2"/>
  <c r="AH1649" i="2"/>
  <c r="F1649" i="4" s="1"/>
  <c r="AG1649" i="2"/>
  <c r="AF1649" i="2"/>
  <c r="AE1649" i="2"/>
  <c r="AD1649" i="2"/>
  <c r="AC1649" i="2"/>
  <c r="AB1649" i="2"/>
  <c r="AA1649" i="2"/>
  <c r="Z1649" i="2"/>
  <c r="Y1649" i="2"/>
  <c r="X1649" i="2"/>
  <c r="W1649" i="2"/>
  <c r="V1649" i="2"/>
  <c r="U1649" i="2"/>
  <c r="T1649" i="2"/>
  <c r="A1653" i="3" s="1"/>
  <c r="AM1648" i="2"/>
  <c r="AL1648" i="2"/>
  <c r="AK1648" i="2"/>
  <c r="AJ1648" i="2"/>
  <c r="AI1648" i="2"/>
  <c r="AH1648" i="2"/>
  <c r="F1648" i="4" s="1"/>
  <c r="AG1648" i="2"/>
  <c r="AF1648" i="2"/>
  <c r="AE1648" i="2"/>
  <c r="AD1648" i="2"/>
  <c r="AC1648" i="2"/>
  <c r="AB1648" i="2"/>
  <c r="AA1648" i="2"/>
  <c r="Z1648" i="2"/>
  <c r="Y1648" i="2"/>
  <c r="X1648" i="2"/>
  <c r="W1648" i="2"/>
  <c r="V1648" i="2"/>
  <c r="U1648" i="2"/>
  <c r="T1648" i="2"/>
  <c r="A1652" i="3" s="1"/>
  <c r="AM1647" i="2"/>
  <c r="AL1647" i="2"/>
  <c r="AK1647" i="2"/>
  <c r="AJ1647" i="2"/>
  <c r="AI1647" i="2"/>
  <c r="AH1647" i="2"/>
  <c r="F1647" i="4" s="1"/>
  <c r="AG1647" i="2"/>
  <c r="AF1647" i="2"/>
  <c r="AE1647" i="2"/>
  <c r="AD1647" i="2"/>
  <c r="AC1647" i="2"/>
  <c r="AB1647" i="2"/>
  <c r="AA1647" i="2"/>
  <c r="Z1647" i="2"/>
  <c r="Y1647" i="2"/>
  <c r="X1647" i="2"/>
  <c r="W1647" i="2"/>
  <c r="V1647" i="2"/>
  <c r="U1647" i="2"/>
  <c r="T1647" i="2"/>
  <c r="A1651" i="3" s="1"/>
  <c r="AM1646" i="2"/>
  <c r="AL1646" i="2"/>
  <c r="AK1646" i="2"/>
  <c r="AJ1646" i="2"/>
  <c r="AI1646" i="2"/>
  <c r="AH1646" i="2"/>
  <c r="F1646" i="4" s="1"/>
  <c r="AG1646" i="2"/>
  <c r="AF1646" i="2"/>
  <c r="AE1646" i="2"/>
  <c r="AD1646" i="2"/>
  <c r="AC1646" i="2"/>
  <c r="AB1646" i="2"/>
  <c r="AA1646" i="2"/>
  <c r="Z1646" i="2"/>
  <c r="Y1646" i="2"/>
  <c r="X1646" i="2"/>
  <c r="W1646" i="2"/>
  <c r="V1646" i="2"/>
  <c r="U1646" i="2"/>
  <c r="T1646" i="2"/>
  <c r="A1650" i="3" s="1"/>
  <c r="AM1645" i="2"/>
  <c r="AL1645" i="2"/>
  <c r="AK1645" i="2"/>
  <c r="AJ1645" i="2"/>
  <c r="AI1645" i="2"/>
  <c r="AH1645" i="2"/>
  <c r="F1645" i="4" s="1"/>
  <c r="AG1645" i="2"/>
  <c r="AF1645" i="2"/>
  <c r="AE1645" i="2"/>
  <c r="AD1645" i="2"/>
  <c r="AC1645" i="2"/>
  <c r="AB1645" i="2"/>
  <c r="AA1645" i="2"/>
  <c r="Z1645" i="2"/>
  <c r="Y1645" i="2"/>
  <c r="X1645" i="2"/>
  <c r="W1645" i="2"/>
  <c r="V1645" i="2"/>
  <c r="U1645" i="2"/>
  <c r="T1645" i="2"/>
  <c r="A1649" i="3" s="1"/>
  <c r="AM1644" i="2"/>
  <c r="AL1644" i="2"/>
  <c r="AK1644" i="2"/>
  <c r="AJ1644" i="2"/>
  <c r="AI1644" i="2"/>
  <c r="AH1644" i="2"/>
  <c r="F1644" i="4" s="1"/>
  <c r="AG1644" i="2"/>
  <c r="AF1644" i="2"/>
  <c r="AE1644" i="2"/>
  <c r="AD1644" i="2"/>
  <c r="AC1644" i="2"/>
  <c r="AB1644" i="2"/>
  <c r="AA1644" i="2"/>
  <c r="Z1644" i="2"/>
  <c r="Y1644" i="2"/>
  <c r="X1644" i="2"/>
  <c r="W1644" i="2"/>
  <c r="V1644" i="2"/>
  <c r="U1644" i="2"/>
  <c r="T1644" i="2"/>
  <c r="A1648" i="3" s="1"/>
  <c r="AM1643" i="2"/>
  <c r="AL1643" i="2"/>
  <c r="AK1643" i="2"/>
  <c r="AJ1643" i="2"/>
  <c r="AI1643" i="2"/>
  <c r="AH1643" i="2"/>
  <c r="F1643" i="4" s="1"/>
  <c r="AG1643" i="2"/>
  <c r="AF1643" i="2"/>
  <c r="AE1643" i="2"/>
  <c r="AD1643" i="2"/>
  <c r="AC1643" i="2"/>
  <c r="AB1643" i="2"/>
  <c r="AA1643" i="2"/>
  <c r="Z1643" i="2"/>
  <c r="Y1643" i="2"/>
  <c r="X1643" i="2"/>
  <c r="W1643" i="2"/>
  <c r="V1643" i="2"/>
  <c r="U1643" i="2"/>
  <c r="T1643" i="2"/>
  <c r="A1647" i="3" s="1"/>
  <c r="AM1642" i="2"/>
  <c r="AL1642" i="2"/>
  <c r="AK1642" i="2"/>
  <c r="AJ1642" i="2"/>
  <c r="AI1642" i="2"/>
  <c r="AH1642" i="2"/>
  <c r="F1642" i="4" s="1"/>
  <c r="AG1642" i="2"/>
  <c r="AF1642" i="2"/>
  <c r="AE1642" i="2"/>
  <c r="AD1642" i="2"/>
  <c r="AC1642" i="2"/>
  <c r="AB1642" i="2"/>
  <c r="AA1642" i="2"/>
  <c r="Z1642" i="2"/>
  <c r="Y1642" i="2"/>
  <c r="X1642" i="2"/>
  <c r="W1642" i="2"/>
  <c r="V1642" i="2"/>
  <c r="U1642" i="2"/>
  <c r="T1642" i="2"/>
  <c r="A1646" i="3" s="1"/>
  <c r="AM1641" i="2"/>
  <c r="AL1641" i="2"/>
  <c r="AK1641" i="2"/>
  <c r="AJ1641" i="2"/>
  <c r="AI1641" i="2"/>
  <c r="AH1641" i="2"/>
  <c r="F1641" i="4" s="1"/>
  <c r="AG1641" i="2"/>
  <c r="AF1641" i="2"/>
  <c r="AE1641" i="2"/>
  <c r="AD1641" i="2"/>
  <c r="AC1641" i="2"/>
  <c r="AB1641" i="2"/>
  <c r="AA1641" i="2"/>
  <c r="Z1641" i="2"/>
  <c r="Y1641" i="2"/>
  <c r="X1641" i="2"/>
  <c r="W1641" i="2"/>
  <c r="V1641" i="2"/>
  <c r="U1641" i="2"/>
  <c r="T1641" i="2"/>
  <c r="A1645" i="3" s="1"/>
  <c r="AM1640" i="2"/>
  <c r="AL1640" i="2"/>
  <c r="AK1640" i="2"/>
  <c r="AJ1640" i="2"/>
  <c r="AI1640" i="2"/>
  <c r="AH1640" i="2"/>
  <c r="F1640" i="4" s="1"/>
  <c r="AG1640" i="2"/>
  <c r="AF1640" i="2"/>
  <c r="AE1640" i="2"/>
  <c r="AD1640" i="2"/>
  <c r="AC1640" i="2"/>
  <c r="AB1640" i="2"/>
  <c r="AA1640" i="2"/>
  <c r="Z1640" i="2"/>
  <c r="Y1640" i="2"/>
  <c r="X1640" i="2"/>
  <c r="W1640" i="2"/>
  <c r="V1640" i="2"/>
  <c r="U1640" i="2"/>
  <c r="T1640" i="2"/>
  <c r="A1644" i="3" s="1"/>
  <c r="AM1639" i="2"/>
  <c r="AL1639" i="2"/>
  <c r="AK1639" i="2"/>
  <c r="AJ1639" i="2"/>
  <c r="AI1639" i="2"/>
  <c r="AH1639" i="2"/>
  <c r="F1639" i="4" s="1"/>
  <c r="AG1639" i="2"/>
  <c r="AF1639" i="2"/>
  <c r="AE1639" i="2"/>
  <c r="AD1639" i="2"/>
  <c r="AC1639" i="2"/>
  <c r="AB1639" i="2"/>
  <c r="AA1639" i="2"/>
  <c r="Z1639" i="2"/>
  <c r="Y1639" i="2"/>
  <c r="X1639" i="2"/>
  <c r="W1639" i="2"/>
  <c r="V1639" i="2"/>
  <c r="U1639" i="2"/>
  <c r="T1639" i="2"/>
  <c r="A1643" i="3" s="1"/>
  <c r="AM1638" i="2"/>
  <c r="AL1638" i="2"/>
  <c r="AK1638" i="2"/>
  <c r="AJ1638" i="2"/>
  <c r="AI1638" i="2"/>
  <c r="AH1638" i="2"/>
  <c r="F1638" i="4" s="1"/>
  <c r="AG1638" i="2"/>
  <c r="AF1638" i="2"/>
  <c r="AE1638" i="2"/>
  <c r="AD1638" i="2"/>
  <c r="AC1638" i="2"/>
  <c r="AB1638" i="2"/>
  <c r="AA1638" i="2"/>
  <c r="Z1638" i="2"/>
  <c r="Y1638" i="2"/>
  <c r="X1638" i="2"/>
  <c r="W1638" i="2"/>
  <c r="V1638" i="2"/>
  <c r="U1638" i="2"/>
  <c r="T1638" i="2"/>
  <c r="A1642" i="3" s="1"/>
  <c r="AM1637" i="2"/>
  <c r="AL1637" i="2"/>
  <c r="AK1637" i="2"/>
  <c r="AJ1637" i="2"/>
  <c r="AI1637" i="2"/>
  <c r="AH1637" i="2"/>
  <c r="F1637" i="4" s="1"/>
  <c r="AG1637" i="2"/>
  <c r="AF1637" i="2"/>
  <c r="AE1637" i="2"/>
  <c r="AD1637" i="2"/>
  <c r="AC1637" i="2"/>
  <c r="AB1637" i="2"/>
  <c r="AA1637" i="2"/>
  <c r="Z1637" i="2"/>
  <c r="Y1637" i="2"/>
  <c r="X1637" i="2"/>
  <c r="W1637" i="2"/>
  <c r="V1637" i="2"/>
  <c r="U1637" i="2"/>
  <c r="T1637" i="2"/>
  <c r="A1641" i="3" s="1"/>
  <c r="AM1636" i="2"/>
  <c r="AL1636" i="2"/>
  <c r="AK1636" i="2"/>
  <c r="AJ1636" i="2"/>
  <c r="AI1636" i="2"/>
  <c r="AH1636" i="2"/>
  <c r="F1636" i="4" s="1"/>
  <c r="AG1636" i="2"/>
  <c r="AF1636" i="2"/>
  <c r="AE1636" i="2"/>
  <c r="AD1636" i="2"/>
  <c r="AC1636" i="2"/>
  <c r="AB1636" i="2"/>
  <c r="AA1636" i="2"/>
  <c r="Z1636" i="2"/>
  <c r="Y1636" i="2"/>
  <c r="X1636" i="2"/>
  <c r="W1636" i="2"/>
  <c r="V1636" i="2"/>
  <c r="U1636" i="2"/>
  <c r="T1636" i="2"/>
  <c r="A1640" i="3" s="1"/>
  <c r="AM1635" i="2"/>
  <c r="AL1635" i="2"/>
  <c r="AK1635" i="2"/>
  <c r="AJ1635" i="2"/>
  <c r="AI1635" i="2"/>
  <c r="AH1635" i="2"/>
  <c r="F1635" i="4" s="1"/>
  <c r="AG1635" i="2"/>
  <c r="AF1635" i="2"/>
  <c r="AE1635" i="2"/>
  <c r="AD1635" i="2"/>
  <c r="AC1635" i="2"/>
  <c r="AB1635" i="2"/>
  <c r="AA1635" i="2"/>
  <c r="Z1635" i="2"/>
  <c r="Y1635" i="2"/>
  <c r="X1635" i="2"/>
  <c r="W1635" i="2"/>
  <c r="V1635" i="2"/>
  <c r="U1635" i="2"/>
  <c r="T1635" i="2"/>
  <c r="A1639" i="3" s="1"/>
  <c r="AM1634" i="2"/>
  <c r="AL1634" i="2"/>
  <c r="AK1634" i="2"/>
  <c r="AJ1634" i="2"/>
  <c r="AI1634" i="2"/>
  <c r="AH1634" i="2"/>
  <c r="F1634" i="4" s="1"/>
  <c r="AG1634" i="2"/>
  <c r="AF1634" i="2"/>
  <c r="AE1634" i="2"/>
  <c r="AD1634" i="2"/>
  <c r="AC1634" i="2"/>
  <c r="AB1634" i="2"/>
  <c r="AA1634" i="2"/>
  <c r="Z1634" i="2"/>
  <c r="Y1634" i="2"/>
  <c r="X1634" i="2"/>
  <c r="W1634" i="2"/>
  <c r="V1634" i="2"/>
  <c r="U1634" i="2"/>
  <c r="T1634" i="2"/>
  <c r="A1638" i="3" s="1"/>
  <c r="AM1633" i="2"/>
  <c r="AL1633" i="2"/>
  <c r="AK1633" i="2"/>
  <c r="AJ1633" i="2"/>
  <c r="AI1633" i="2"/>
  <c r="AH1633" i="2"/>
  <c r="F1633" i="4" s="1"/>
  <c r="AG1633" i="2"/>
  <c r="AF1633" i="2"/>
  <c r="AE1633" i="2"/>
  <c r="AD1633" i="2"/>
  <c r="AC1633" i="2"/>
  <c r="AB1633" i="2"/>
  <c r="AA1633" i="2"/>
  <c r="Z1633" i="2"/>
  <c r="Y1633" i="2"/>
  <c r="X1633" i="2"/>
  <c r="W1633" i="2"/>
  <c r="V1633" i="2"/>
  <c r="U1633" i="2"/>
  <c r="T1633" i="2"/>
  <c r="A1637" i="3" s="1"/>
  <c r="AM1632" i="2"/>
  <c r="AL1632" i="2"/>
  <c r="AK1632" i="2"/>
  <c r="AJ1632" i="2"/>
  <c r="AI1632" i="2"/>
  <c r="AH1632" i="2"/>
  <c r="F1632" i="4" s="1"/>
  <c r="AG1632" i="2"/>
  <c r="AF1632" i="2"/>
  <c r="AE1632" i="2"/>
  <c r="AD1632" i="2"/>
  <c r="AC1632" i="2"/>
  <c r="AB1632" i="2"/>
  <c r="AA1632" i="2"/>
  <c r="Z1632" i="2"/>
  <c r="Y1632" i="2"/>
  <c r="X1632" i="2"/>
  <c r="W1632" i="2"/>
  <c r="V1632" i="2"/>
  <c r="U1632" i="2"/>
  <c r="T1632" i="2"/>
  <c r="A1636" i="3" s="1"/>
  <c r="AM1631" i="2"/>
  <c r="AL1631" i="2"/>
  <c r="AK1631" i="2"/>
  <c r="AJ1631" i="2"/>
  <c r="AI1631" i="2"/>
  <c r="AH1631" i="2"/>
  <c r="F1631" i="4" s="1"/>
  <c r="AG1631" i="2"/>
  <c r="AF1631" i="2"/>
  <c r="AE1631" i="2"/>
  <c r="AD1631" i="2"/>
  <c r="AC1631" i="2"/>
  <c r="AB1631" i="2"/>
  <c r="AA1631" i="2"/>
  <c r="Z1631" i="2"/>
  <c r="Y1631" i="2"/>
  <c r="X1631" i="2"/>
  <c r="W1631" i="2"/>
  <c r="V1631" i="2"/>
  <c r="U1631" i="2"/>
  <c r="T1631" i="2"/>
  <c r="A1635" i="3" s="1"/>
  <c r="AM1630" i="2"/>
  <c r="AL1630" i="2"/>
  <c r="AK1630" i="2"/>
  <c r="AJ1630" i="2"/>
  <c r="AI1630" i="2"/>
  <c r="AH1630" i="2"/>
  <c r="F1630" i="4" s="1"/>
  <c r="AG1630" i="2"/>
  <c r="AF1630" i="2"/>
  <c r="AE1630" i="2"/>
  <c r="AD1630" i="2"/>
  <c r="AC1630" i="2"/>
  <c r="AB1630" i="2"/>
  <c r="AA1630" i="2"/>
  <c r="Z1630" i="2"/>
  <c r="Y1630" i="2"/>
  <c r="X1630" i="2"/>
  <c r="W1630" i="2"/>
  <c r="V1630" i="2"/>
  <c r="U1630" i="2"/>
  <c r="T1630" i="2"/>
  <c r="A1634" i="3" s="1"/>
  <c r="AM1629" i="2"/>
  <c r="AL1629" i="2"/>
  <c r="AK1629" i="2"/>
  <c r="AJ1629" i="2"/>
  <c r="AI1629" i="2"/>
  <c r="AH1629" i="2"/>
  <c r="F1629" i="4" s="1"/>
  <c r="AG1629" i="2"/>
  <c r="AF1629" i="2"/>
  <c r="AE1629" i="2"/>
  <c r="AD1629" i="2"/>
  <c r="AC1629" i="2"/>
  <c r="AB1629" i="2"/>
  <c r="AA1629" i="2"/>
  <c r="Z1629" i="2"/>
  <c r="Y1629" i="2"/>
  <c r="X1629" i="2"/>
  <c r="W1629" i="2"/>
  <c r="V1629" i="2"/>
  <c r="U1629" i="2"/>
  <c r="T1629" i="2"/>
  <c r="A1633" i="3" s="1"/>
  <c r="AM1628" i="2"/>
  <c r="AL1628" i="2"/>
  <c r="AK1628" i="2"/>
  <c r="AJ1628" i="2"/>
  <c r="AI1628" i="2"/>
  <c r="AH1628" i="2"/>
  <c r="F1628" i="4" s="1"/>
  <c r="AG1628" i="2"/>
  <c r="AF1628" i="2"/>
  <c r="AE1628" i="2"/>
  <c r="AD1628" i="2"/>
  <c r="AC1628" i="2"/>
  <c r="AB1628" i="2"/>
  <c r="AA1628" i="2"/>
  <c r="Z1628" i="2"/>
  <c r="Y1628" i="2"/>
  <c r="X1628" i="2"/>
  <c r="W1628" i="2"/>
  <c r="V1628" i="2"/>
  <c r="U1628" i="2"/>
  <c r="T1628" i="2"/>
  <c r="A1632" i="3" s="1"/>
  <c r="AM1627" i="2"/>
  <c r="AL1627" i="2"/>
  <c r="AK1627" i="2"/>
  <c r="AJ1627" i="2"/>
  <c r="AI1627" i="2"/>
  <c r="AH1627" i="2"/>
  <c r="F1627" i="4" s="1"/>
  <c r="AG1627" i="2"/>
  <c r="AF1627" i="2"/>
  <c r="AE1627" i="2"/>
  <c r="AD1627" i="2"/>
  <c r="AC1627" i="2"/>
  <c r="AB1627" i="2"/>
  <c r="AA1627" i="2"/>
  <c r="Z1627" i="2"/>
  <c r="Y1627" i="2"/>
  <c r="X1627" i="2"/>
  <c r="W1627" i="2"/>
  <c r="V1627" i="2"/>
  <c r="U1627" i="2"/>
  <c r="T1627" i="2"/>
  <c r="A1631" i="3" s="1"/>
  <c r="AM1626" i="2"/>
  <c r="AL1626" i="2"/>
  <c r="AK1626" i="2"/>
  <c r="AJ1626" i="2"/>
  <c r="AI1626" i="2"/>
  <c r="AH1626" i="2"/>
  <c r="F1626" i="4" s="1"/>
  <c r="AG1626" i="2"/>
  <c r="AF1626" i="2"/>
  <c r="AE1626" i="2"/>
  <c r="AD1626" i="2"/>
  <c r="AC1626" i="2"/>
  <c r="AB1626" i="2"/>
  <c r="AA1626" i="2"/>
  <c r="Z1626" i="2"/>
  <c r="Y1626" i="2"/>
  <c r="X1626" i="2"/>
  <c r="W1626" i="2"/>
  <c r="V1626" i="2"/>
  <c r="U1626" i="2"/>
  <c r="T1626" i="2"/>
  <c r="A1630" i="3" s="1"/>
  <c r="AM1625" i="2"/>
  <c r="AL1625" i="2"/>
  <c r="AK1625" i="2"/>
  <c r="AJ1625" i="2"/>
  <c r="AI1625" i="2"/>
  <c r="AH1625" i="2"/>
  <c r="F1625" i="4" s="1"/>
  <c r="AG1625" i="2"/>
  <c r="AF1625" i="2"/>
  <c r="AE1625" i="2"/>
  <c r="AD1625" i="2"/>
  <c r="AC1625" i="2"/>
  <c r="AB1625" i="2"/>
  <c r="AA1625" i="2"/>
  <c r="Z1625" i="2"/>
  <c r="Y1625" i="2"/>
  <c r="X1625" i="2"/>
  <c r="W1625" i="2"/>
  <c r="V1625" i="2"/>
  <c r="U1625" i="2"/>
  <c r="T1625" i="2"/>
  <c r="A1629" i="3" s="1"/>
  <c r="AM1624" i="2"/>
  <c r="AL1624" i="2"/>
  <c r="AK1624" i="2"/>
  <c r="AJ1624" i="2"/>
  <c r="AI1624" i="2"/>
  <c r="AH1624" i="2"/>
  <c r="F1624" i="4" s="1"/>
  <c r="AG1624" i="2"/>
  <c r="AF1624" i="2"/>
  <c r="AE1624" i="2"/>
  <c r="AD1624" i="2"/>
  <c r="AC1624" i="2"/>
  <c r="AB1624" i="2"/>
  <c r="AA1624" i="2"/>
  <c r="Z1624" i="2"/>
  <c r="Y1624" i="2"/>
  <c r="X1624" i="2"/>
  <c r="W1624" i="2"/>
  <c r="V1624" i="2"/>
  <c r="U1624" i="2"/>
  <c r="T1624" i="2"/>
  <c r="A1628" i="3" s="1"/>
  <c r="AM1623" i="2"/>
  <c r="AL1623" i="2"/>
  <c r="AK1623" i="2"/>
  <c r="AJ1623" i="2"/>
  <c r="AI1623" i="2"/>
  <c r="AH1623" i="2"/>
  <c r="F1623" i="4" s="1"/>
  <c r="AG1623" i="2"/>
  <c r="AF1623" i="2"/>
  <c r="AE1623" i="2"/>
  <c r="AD1623" i="2"/>
  <c r="AC1623" i="2"/>
  <c r="AB1623" i="2"/>
  <c r="AA1623" i="2"/>
  <c r="Z1623" i="2"/>
  <c r="Y1623" i="2"/>
  <c r="X1623" i="2"/>
  <c r="W1623" i="2"/>
  <c r="V1623" i="2"/>
  <c r="U1623" i="2"/>
  <c r="T1623" i="2"/>
  <c r="A1627" i="3" s="1"/>
  <c r="AM1622" i="2"/>
  <c r="AL1622" i="2"/>
  <c r="AK1622" i="2"/>
  <c r="AJ1622" i="2"/>
  <c r="AI1622" i="2"/>
  <c r="AH1622" i="2"/>
  <c r="F1622" i="4" s="1"/>
  <c r="AG1622" i="2"/>
  <c r="AF1622" i="2"/>
  <c r="AE1622" i="2"/>
  <c r="AD1622" i="2"/>
  <c r="AC1622" i="2"/>
  <c r="AB1622" i="2"/>
  <c r="AA1622" i="2"/>
  <c r="Z1622" i="2"/>
  <c r="Y1622" i="2"/>
  <c r="X1622" i="2"/>
  <c r="W1622" i="2"/>
  <c r="V1622" i="2"/>
  <c r="U1622" i="2"/>
  <c r="T1622" i="2"/>
  <c r="A1626" i="3" s="1"/>
  <c r="AM1621" i="2"/>
  <c r="AL1621" i="2"/>
  <c r="AK1621" i="2"/>
  <c r="AJ1621" i="2"/>
  <c r="AI1621" i="2"/>
  <c r="AH1621" i="2"/>
  <c r="F1621" i="4" s="1"/>
  <c r="AG1621" i="2"/>
  <c r="AF1621" i="2"/>
  <c r="AE1621" i="2"/>
  <c r="AD1621" i="2"/>
  <c r="AC1621" i="2"/>
  <c r="AB1621" i="2"/>
  <c r="AA1621" i="2"/>
  <c r="Z1621" i="2"/>
  <c r="Y1621" i="2"/>
  <c r="X1621" i="2"/>
  <c r="W1621" i="2"/>
  <c r="V1621" i="2"/>
  <c r="U1621" i="2"/>
  <c r="T1621" i="2"/>
  <c r="A1625" i="3" s="1"/>
  <c r="AM1620" i="2"/>
  <c r="AL1620" i="2"/>
  <c r="AK1620" i="2"/>
  <c r="AJ1620" i="2"/>
  <c r="AI1620" i="2"/>
  <c r="AH1620" i="2"/>
  <c r="F1620" i="4" s="1"/>
  <c r="AG1620" i="2"/>
  <c r="AF1620" i="2"/>
  <c r="AE1620" i="2"/>
  <c r="AD1620" i="2"/>
  <c r="AC1620" i="2"/>
  <c r="AB1620" i="2"/>
  <c r="AA1620" i="2"/>
  <c r="Z1620" i="2"/>
  <c r="Y1620" i="2"/>
  <c r="X1620" i="2"/>
  <c r="W1620" i="2"/>
  <c r="V1620" i="2"/>
  <c r="U1620" i="2"/>
  <c r="T1620" i="2"/>
  <c r="A1624" i="3" s="1"/>
  <c r="AM1619" i="2"/>
  <c r="AL1619" i="2"/>
  <c r="AK1619" i="2"/>
  <c r="AJ1619" i="2"/>
  <c r="AI1619" i="2"/>
  <c r="AH1619" i="2"/>
  <c r="F1619" i="4" s="1"/>
  <c r="AG1619" i="2"/>
  <c r="AF1619" i="2"/>
  <c r="AE1619" i="2"/>
  <c r="AD1619" i="2"/>
  <c r="AC1619" i="2"/>
  <c r="AB1619" i="2"/>
  <c r="AA1619" i="2"/>
  <c r="Z1619" i="2"/>
  <c r="Y1619" i="2"/>
  <c r="X1619" i="2"/>
  <c r="W1619" i="2"/>
  <c r="V1619" i="2"/>
  <c r="U1619" i="2"/>
  <c r="T1619" i="2"/>
  <c r="A1623" i="3" s="1"/>
  <c r="AM1618" i="2"/>
  <c r="AL1618" i="2"/>
  <c r="AK1618" i="2"/>
  <c r="AJ1618" i="2"/>
  <c r="AI1618" i="2"/>
  <c r="AH1618" i="2"/>
  <c r="F1618" i="4" s="1"/>
  <c r="AG1618" i="2"/>
  <c r="AF1618" i="2"/>
  <c r="AE1618" i="2"/>
  <c r="AD1618" i="2"/>
  <c r="AC1618" i="2"/>
  <c r="AB1618" i="2"/>
  <c r="AA1618" i="2"/>
  <c r="Z1618" i="2"/>
  <c r="Y1618" i="2"/>
  <c r="X1618" i="2"/>
  <c r="W1618" i="2"/>
  <c r="V1618" i="2"/>
  <c r="U1618" i="2"/>
  <c r="T1618" i="2"/>
  <c r="A1622" i="3" s="1"/>
  <c r="AM1617" i="2"/>
  <c r="AL1617" i="2"/>
  <c r="AK1617" i="2"/>
  <c r="AJ1617" i="2"/>
  <c r="AI1617" i="2"/>
  <c r="AH1617" i="2"/>
  <c r="F1617" i="4" s="1"/>
  <c r="AG1617" i="2"/>
  <c r="AF1617" i="2"/>
  <c r="AE1617" i="2"/>
  <c r="AD1617" i="2"/>
  <c r="AC1617" i="2"/>
  <c r="AB1617" i="2"/>
  <c r="AA1617" i="2"/>
  <c r="Z1617" i="2"/>
  <c r="Y1617" i="2"/>
  <c r="X1617" i="2"/>
  <c r="W1617" i="2"/>
  <c r="V1617" i="2"/>
  <c r="U1617" i="2"/>
  <c r="T1617" i="2"/>
  <c r="A1621" i="3" s="1"/>
  <c r="AM1616" i="2"/>
  <c r="AL1616" i="2"/>
  <c r="AK1616" i="2"/>
  <c r="AJ1616" i="2"/>
  <c r="AI1616" i="2"/>
  <c r="AH1616" i="2"/>
  <c r="F1616" i="4" s="1"/>
  <c r="AG1616" i="2"/>
  <c r="AF1616" i="2"/>
  <c r="AE1616" i="2"/>
  <c r="AD1616" i="2"/>
  <c r="AC1616" i="2"/>
  <c r="AB1616" i="2"/>
  <c r="AA1616" i="2"/>
  <c r="Z1616" i="2"/>
  <c r="Y1616" i="2"/>
  <c r="X1616" i="2"/>
  <c r="W1616" i="2"/>
  <c r="V1616" i="2"/>
  <c r="U1616" i="2"/>
  <c r="T1616" i="2"/>
  <c r="A1620" i="3" s="1"/>
  <c r="AM1615" i="2"/>
  <c r="AL1615" i="2"/>
  <c r="AK1615" i="2"/>
  <c r="AJ1615" i="2"/>
  <c r="AI1615" i="2"/>
  <c r="AH1615" i="2"/>
  <c r="F1615" i="4" s="1"/>
  <c r="AG1615" i="2"/>
  <c r="AF1615" i="2"/>
  <c r="AE1615" i="2"/>
  <c r="AD1615" i="2"/>
  <c r="AC1615" i="2"/>
  <c r="AB1615" i="2"/>
  <c r="AA1615" i="2"/>
  <c r="Z1615" i="2"/>
  <c r="Y1615" i="2"/>
  <c r="X1615" i="2"/>
  <c r="W1615" i="2"/>
  <c r="V1615" i="2"/>
  <c r="U1615" i="2"/>
  <c r="T1615" i="2"/>
  <c r="A1619" i="3" s="1"/>
  <c r="AM1614" i="2"/>
  <c r="AL1614" i="2"/>
  <c r="AK1614" i="2"/>
  <c r="AJ1614" i="2"/>
  <c r="AI1614" i="2"/>
  <c r="AH1614" i="2"/>
  <c r="F1614" i="4" s="1"/>
  <c r="AG1614" i="2"/>
  <c r="AF1614" i="2"/>
  <c r="AE1614" i="2"/>
  <c r="AD1614" i="2"/>
  <c r="AC1614" i="2"/>
  <c r="AB1614" i="2"/>
  <c r="AA1614" i="2"/>
  <c r="Z1614" i="2"/>
  <c r="Y1614" i="2"/>
  <c r="X1614" i="2"/>
  <c r="W1614" i="2"/>
  <c r="V1614" i="2"/>
  <c r="U1614" i="2"/>
  <c r="T1614" i="2"/>
  <c r="A1618" i="3" s="1"/>
  <c r="AM1613" i="2"/>
  <c r="AL1613" i="2"/>
  <c r="AK1613" i="2"/>
  <c r="AJ1613" i="2"/>
  <c r="AI1613" i="2"/>
  <c r="AH1613" i="2"/>
  <c r="F1613" i="4" s="1"/>
  <c r="AG1613" i="2"/>
  <c r="AF1613" i="2"/>
  <c r="AE1613" i="2"/>
  <c r="AD1613" i="2"/>
  <c r="AC1613" i="2"/>
  <c r="AB1613" i="2"/>
  <c r="AA1613" i="2"/>
  <c r="Z1613" i="2"/>
  <c r="Y1613" i="2"/>
  <c r="X1613" i="2"/>
  <c r="W1613" i="2"/>
  <c r="V1613" i="2"/>
  <c r="U1613" i="2"/>
  <c r="T1613" i="2"/>
  <c r="A1617" i="3" s="1"/>
  <c r="AM1612" i="2"/>
  <c r="AL1612" i="2"/>
  <c r="AK1612" i="2"/>
  <c r="AJ1612" i="2"/>
  <c r="AI1612" i="2"/>
  <c r="AH1612" i="2"/>
  <c r="F1612" i="4" s="1"/>
  <c r="AG1612" i="2"/>
  <c r="AF1612" i="2"/>
  <c r="AE1612" i="2"/>
  <c r="AD1612" i="2"/>
  <c r="AC1612" i="2"/>
  <c r="AB1612" i="2"/>
  <c r="AA1612" i="2"/>
  <c r="Z1612" i="2"/>
  <c r="Y1612" i="2"/>
  <c r="X1612" i="2"/>
  <c r="W1612" i="2"/>
  <c r="V1612" i="2"/>
  <c r="U1612" i="2"/>
  <c r="T1612" i="2"/>
  <c r="A1616" i="3" s="1"/>
  <c r="AM1611" i="2"/>
  <c r="AL1611" i="2"/>
  <c r="AK1611" i="2"/>
  <c r="AJ1611" i="2"/>
  <c r="AI1611" i="2"/>
  <c r="AH1611" i="2"/>
  <c r="F1611" i="4" s="1"/>
  <c r="AG1611" i="2"/>
  <c r="AF1611" i="2"/>
  <c r="AE1611" i="2"/>
  <c r="AD1611" i="2"/>
  <c r="AC1611" i="2"/>
  <c r="AB1611" i="2"/>
  <c r="AA1611" i="2"/>
  <c r="Z1611" i="2"/>
  <c r="Y1611" i="2"/>
  <c r="X1611" i="2"/>
  <c r="W1611" i="2"/>
  <c r="V1611" i="2"/>
  <c r="U1611" i="2"/>
  <c r="T1611" i="2"/>
  <c r="A1615" i="3" s="1"/>
  <c r="AM1610" i="2"/>
  <c r="AL1610" i="2"/>
  <c r="AK1610" i="2"/>
  <c r="AJ1610" i="2"/>
  <c r="AI1610" i="2"/>
  <c r="AH1610" i="2"/>
  <c r="F1610" i="4" s="1"/>
  <c r="AG1610" i="2"/>
  <c r="AF1610" i="2"/>
  <c r="AE1610" i="2"/>
  <c r="AD1610" i="2"/>
  <c r="AC1610" i="2"/>
  <c r="AB1610" i="2"/>
  <c r="AA1610" i="2"/>
  <c r="Z1610" i="2"/>
  <c r="Y1610" i="2"/>
  <c r="X1610" i="2"/>
  <c r="W1610" i="2"/>
  <c r="V1610" i="2"/>
  <c r="U1610" i="2"/>
  <c r="T1610" i="2"/>
  <c r="A1614" i="3" s="1"/>
  <c r="AM1609" i="2"/>
  <c r="AL1609" i="2"/>
  <c r="AK1609" i="2"/>
  <c r="AJ1609" i="2"/>
  <c r="AI1609" i="2"/>
  <c r="AH1609" i="2"/>
  <c r="F1609" i="4" s="1"/>
  <c r="AG1609" i="2"/>
  <c r="AF1609" i="2"/>
  <c r="AE1609" i="2"/>
  <c r="AD1609" i="2"/>
  <c r="AC1609" i="2"/>
  <c r="AB1609" i="2"/>
  <c r="AA1609" i="2"/>
  <c r="Z1609" i="2"/>
  <c r="Y1609" i="2"/>
  <c r="X1609" i="2"/>
  <c r="W1609" i="2"/>
  <c r="V1609" i="2"/>
  <c r="U1609" i="2"/>
  <c r="T1609" i="2"/>
  <c r="A1613" i="3" s="1"/>
  <c r="AM1608" i="2"/>
  <c r="AL1608" i="2"/>
  <c r="AK1608" i="2"/>
  <c r="AJ1608" i="2"/>
  <c r="AI1608" i="2"/>
  <c r="AH1608" i="2"/>
  <c r="F1608" i="4" s="1"/>
  <c r="AG1608" i="2"/>
  <c r="AF1608" i="2"/>
  <c r="AE1608" i="2"/>
  <c r="AD1608" i="2"/>
  <c r="AC1608" i="2"/>
  <c r="AB1608" i="2"/>
  <c r="AA1608" i="2"/>
  <c r="Z1608" i="2"/>
  <c r="Y1608" i="2"/>
  <c r="X1608" i="2"/>
  <c r="W1608" i="2"/>
  <c r="V1608" i="2"/>
  <c r="U1608" i="2"/>
  <c r="T1608" i="2"/>
  <c r="A1612" i="3" s="1"/>
  <c r="AM1607" i="2"/>
  <c r="AL1607" i="2"/>
  <c r="AK1607" i="2"/>
  <c r="AJ1607" i="2"/>
  <c r="AI1607" i="2"/>
  <c r="AH1607" i="2"/>
  <c r="F1607" i="4" s="1"/>
  <c r="AG1607" i="2"/>
  <c r="AF1607" i="2"/>
  <c r="AE1607" i="2"/>
  <c r="AD1607" i="2"/>
  <c r="AC1607" i="2"/>
  <c r="AB1607" i="2"/>
  <c r="AA1607" i="2"/>
  <c r="Z1607" i="2"/>
  <c r="Y1607" i="2"/>
  <c r="X1607" i="2"/>
  <c r="W1607" i="2"/>
  <c r="V1607" i="2"/>
  <c r="U1607" i="2"/>
  <c r="T1607" i="2"/>
  <c r="A1611" i="3" s="1"/>
  <c r="AM1606" i="2"/>
  <c r="AL1606" i="2"/>
  <c r="AK1606" i="2"/>
  <c r="AJ1606" i="2"/>
  <c r="AI1606" i="2"/>
  <c r="AH1606" i="2"/>
  <c r="F1606" i="4" s="1"/>
  <c r="AG1606" i="2"/>
  <c r="AF1606" i="2"/>
  <c r="AE1606" i="2"/>
  <c r="AD1606" i="2"/>
  <c r="AC1606" i="2"/>
  <c r="AB1606" i="2"/>
  <c r="AA1606" i="2"/>
  <c r="Z1606" i="2"/>
  <c r="Y1606" i="2"/>
  <c r="X1606" i="2"/>
  <c r="W1606" i="2"/>
  <c r="V1606" i="2"/>
  <c r="U1606" i="2"/>
  <c r="T1606" i="2"/>
  <c r="A1610" i="3" s="1"/>
  <c r="AM1605" i="2"/>
  <c r="AL1605" i="2"/>
  <c r="AK1605" i="2"/>
  <c r="AJ1605" i="2"/>
  <c r="AI1605" i="2"/>
  <c r="AH1605" i="2"/>
  <c r="F1605" i="4" s="1"/>
  <c r="AG1605" i="2"/>
  <c r="AF1605" i="2"/>
  <c r="AE1605" i="2"/>
  <c r="AD1605" i="2"/>
  <c r="AC1605" i="2"/>
  <c r="AB1605" i="2"/>
  <c r="AA1605" i="2"/>
  <c r="Z1605" i="2"/>
  <c r="Y1605" i="2"/>
  <c r="X1605" i="2"/>
  <c r="W1605" i="2"/>
  <c r="V1605" i="2"/>
  <c r="U1605" i="2"/>
  <c r="T1605" i="2"/>
  <c r="A1609" i="3" s="1"/>
  <c r="AM1604" i="2"/>
  <c r="AL1604" i="2"/>
  <c r="AK1604" i="2"/>
  <c r="AJ1604" i="2"/>
  <c r="AI1604" i="2"/>
  <c r="AH1604" i="2"/>
  <c r="F1604" i="4" s="1"/>
  <c r="AG1604" i="2"/>
  <c r="AF1604" i="2"/>
  <c r="AE1604" i="2"/>
  <c r="AD1604" i="2"/>
  <c r="AC1604" i="2"/>
  <c r="AB1604" i="2"/>
  <c r="AA1604" i="2"/>
  <c r="Z1604" i="2"/>
  <c r="Y1604" i="2"/>
  <c r="X1604" i="2"/>
  <c r="W1604" i="2"/>
  <c r="V1604" i="2"/>
  <c r="U1604" i="2"/>
  <c r="T1604" i="2"/>
  <c r="A1608" i="3" s="1"/>
  <c r="AM1603" i="2"/>
  <c r="AL1603" i="2"/>
  <c r="AK1603" i="2"/>
  <c r="AJ1603" i="2"/>
  <c r="AI1603" i="2"/>
  <c r="AH1603" i="2"/>
  <c r="F1603" i="4" s="1"/>
  <c r="AG1603" i="2"/>
  <c r="AF1603" i="2"/>
  <c r="AE1603" i="2"/>
  <c r="AD1603" i="2"/>
  <c r="AC1603" i="2"/>
  <c r="AB1603" i="2"/>
  <c r="AA1603" i="2"/>
  <c r="Z1603" i="2"/>
  <c r="Y1603" i="2"/>
  <c r="X1603" i="2"/>
  <c r="W1603" i="2"/>
  <c r="V1603" i="2"/>
  <c r="U1603" i="2"/>
  <c r="T1603" i="2"/>
  <c r="A1607" i="3" s="1"/>
  <c r="AM1602" i="2"/>
  <c r="AL1602" i="2"/>
  <c r="AK1602" i="2"/>
  <c r="AJ1602" i="2"/>
  <c r="AI1602" i="2"/>
  <c r="AH1602" i="2"/>
  <c r="F1602" i="4" s="1"/>
  <c r="AG1602" i="2"/>
  <c r="AF1602" i="2"/>
  <c r="AE1602" i="2"/>
  <c r="AD1602" i="2"/>
  <c r="AC1602" i="2"/>
  <c r="AB1602" i="2"/>
  <c r="AA1602" i="2"/>
  <c r="Z1602" i="2"/>
  <c r="Y1602" i="2"/>
  <c r="X1602" i="2"/>
  <c r="W1602" i="2"/>
  <c r="V1602" i="2"/>
  <c r="U1602" i="2"/>
  <c r="T1602" i="2"/>
  <c r="A1606" i="3" s="1"/>
  <c r="AM1601" i="2"/>
  <c r="AL1601" i="2"/>
  <c r="AK1601" i="2"/>
  <c r="AJ1601" i="2"/>
  <c r="AI1601" i="2"/>
  <c r="AH1601" i="2"/>
  <c r="F1601" i="4" s="1"/>
  <c r="AG1601" i="2"/>
  <c r="AF1601" i="2"/>
  <c r="AE1601" i="2"/>
  <c r="AD1601" i="2"/>
  <c r="AC1601" i="2"/>
  <c r="AB1601" i="2"/>
  <c r="AA1601" i="2"/>
  <c r="Z1601" i="2"/>
  <c r="Y1601" i="2"/>
  <c r="X1601" i="2"/>
  <c r="W1601" i="2"/>
  <c r="V1601" i="2"/>
  <c r="U1601" i="2"/>
  <c r="T1601" i="2"/>
  <c r="A1605" i="3" s="1"/>
  <c r="AM1600" i="2"/>
  <c r="AL1600" i="2"/>
  <c r="AK1600" i="2"/>
  <c r="AJ1600" i="2"/>
  <c r="AI1600" i="2"/>
  <c r="AH1600" i="2"/>
  <c r="F1600" i="4" s="1"/>
  <c r="AG1600" i="2"/>
  <c r="AF1600" i="2"/>
  <c r="AE1600" i="2"/>
  <c r="AD1600" i="2"/>
  <c r="AC1600" i="2"/>
  <c r="AB1600" i="2"/>
  <c r="AA1600" i="2"/>
  <c r="Z1600" i="2"/>
  <c r="Y1600" i="2"/>
  <c r="X1600" i="2"/>
  <c r="W1600" i="2"/>
  <c r="V1600" i="2"/>
  <c r="U1600" i="2"/>
  <c r="T1600" i="2"/>
  <c r="A1604" i="3" s="1"/>
  <c r="AM1599" i="2"/>
  <c r="AL1599" i="2"/>
  <c r="AK1599" i="2"/>
  <c r="AJ1599" i="2"/>
  <c r="AI1599" i="2"/>
  <c r="AH1599" i="2"/>
  <c r="F1599" i="4" s="1"/>
  <c r="AG1599" i="2"/>
  <c r="AF1599" i="2"/>
  <c r="AE1599" i="2"/>
  <c r="AD1599" i="2"/>
  <c r="AC1599" i="2"/>
  <c r="AB1599" i="2"/>
  <c r="AA1599" i="2"/>
  <c r="Z1599" i="2"/>
  <c r="Y1599" i="2"/>
  <c r="X1599" i="2"/>
  <c r="W1599" i="2"/>
  <c r="V1599" i="2"/>
  <c r="U1599" i="2"/>
  <c r="T1599" i="2"/>
  <c r="A1603" i="3" s="1"/>
  <c r="AM1598" i="2"/>
  <c r="AL1598" i="2"/>
  <c r="AK1598" i="2"/>
  <c r="AJ1598" i="2"/>
  <c r="AI1598" i="2"/>
  <c r="AH1598" i="2"/>
  <c r="F1598" i="4" s="1"/>
  <c r="AG1598" i="2"/>
  <c r="AF1598" i="2"/>
  <c r="AE1598" i="2"/>
  <c r="AD1598" i="2"/>
  <c r="AC1598" i="2"/>
  <c r="AB1598" i="2"/>
  <c r="AA1598" i="2"/>
  <c r="Z1598" i="2"/>
  <c r="Y1598" i="2"/>
  <c r="X1598" i="2"/>
  <c r="W1598" i="2"/>
  <c r="V1598" i="2"/>
  <c r="U1598" i="2"/>
  <c r="T1598" i="2"/>
  <c r="A1602" i="3" s="1"/>
  <c r="AM1597" i="2"/>
  <c r="AL1597" i="2"/>
  <c r="AK1597" i="2"/>
  <c r="AJ1597" i="2"/>
  <c r="AI1597" i="2"/>
  <c r="AH1597" i="2"/>
  <c r="F1597" i="4" s="1"/>
  <c r="AG1597" i="2"/>
  <c r="AF1597" i="2"/>
  <c r="AE1597" i="2"/>
  <c r="AD1597" i="2"/>
  <c r="AC1597" i="2"/>
  <c r="AB1597" i="2"/>
  <c r="AA1597" i="2"/>
  <c r="Z1597" i="2"/>
  <c r="Y1597" i="2"/>
  <c r="X1597" i="2"/>
  <c r="W1597" i="2"/>
  <c r="V1597" i="2"/>
  <c r="U1597" i="2"/>
  <c r="T1597" i="2"/>
  <c r="A1601" i="3" s="1"/>
  <c r="AM1596" i="2"/>
  <c r="AL1596" i="2"/>
  <c r="AK1596" i="2"/>
  <c r="AJ1596" i="2"/>
  <c r="AI1596" i="2"/>
  <c r="AH1596" i="2"/>
  <c r="F1596" i="4" s="1"/>
  <c r="AG1596" i="2"/>
  <c r="AF1596" i="2"/>
  <c r="AE1596" i="2"/>
  <c r="AD1596" i="2"/>
  <c r="AC1596" i="2"/>
  <c r="AB1596" i="2"/>
  <c r="AA1596" i="2"/>
  <c r="Z1596" i="2"/>
  <c r="Y1596" i="2"/>
  <c r="X1596" i="2"/>
  <c r="W1596" i="2"/>
  <c r="V1596" i="2"/>
  <c r="U1596" i="2"/>
  <c r="T1596" i="2"/>
  <c r="A1600" i="3" s="1"/>
  <c r="AM1595" i="2"/>
  <c r="AL1595" i="2"/>
  <c r="AK1595" i="2"/>
  <c r="AJ1595" i="2"/>
  <c r="AI1595" i="2"/>
  <c r="AH1595" i="2"/>
  <c r="F1595" i="4" s="1"/>
  <c r="AG1595" i="2"/>
  <c r="AF1595" i="2"/>
  <c r="AE1595" i="2"/>
  <c r="AD1595" i="2"/>
  <c r="AC1595" i="2"/>
  <c r="AB1595" i="2"/>
  <c r="AA1595" i="2"/>
  <c r="Z1595" i="2"/>
  <c r="Y1595" i="2"/>
  <c r="X1595" i="2"/>
  <c r="W1595" i="2"/>
  <c r="V1595" i="2"/>
  <c r="U1595" i="2"/>
  <c r="T1595" i="2"/>
  <c r="A1599" i="3" s="1"/>
  <c r="AM1594" i="2"/>
  <c r="AL1594" i="2"/>
  <c r="AK1594" i="2"/>
  <c r="AJ1594" i="2"/>
  <c r="AI1594" i="2"/>
  <c r="AH1594" i="2"/>
  <c r="F1594" i="4" s="1"/>
  <c r="AG1594" i="2"/>
  <c r="AF1594" i="2"/>
  <c r="AE1594" i="2"/>
  <c r="AD1594" i="2"/>
  <c r="AC1594" i="2"/>
  <c r="AB1594" i="2"/>
  <c r="AA1594" i="2"/>
  <c r="Z1594" i="2"/>
  <c r="Y1594" i="2"/>
  <c r="X1594" i="2"/>
  <c r="W1594" i="2"/>
  <c r="V1594" i="2"/>
  <c r="U1594" i="2"/>
  <c r="T1594" i="2"/>
  <c r="A1598" i="3" s="1"/>
  <c r="AM1593" i="2"/>
  <c r="AL1593" i="2"/>
  <c r="AK1593" i="2"/>
  <c r="AJ1593" i="2"/>
  <c r="AI1593" i="2"/>
  <c r="AH1593" i="2"/>
  <c r="F1593" i="4" s="1"/>
  <c r="AG1593" i="2"/>
  <c r="AF1593" i="2"/>
  <c r="AE1593" i="2"/>
  <c r="AD1593" i="2"/>
  <c r="AC1593" i="2"/>
  <c r="AB1593" i="2"/>
  <c r="AA1593" i="2"/>
  <c r="Z1593" i="2"/>
  <c r="Y1593" i="2"/>
  <c r="X1593" i="2"/>
  <c r="W1593" i="2"/>
  <c r="V1593" i="2"/>
  <c r="U1593" i="2"/>
  <c r="T1593" i="2"/>
  <c r="A1597" i="3" s="1"/>
  <c r="AM1592" i="2"/>
  <c r="AL1592" i="2"/>
  <c r="AK1592" i="2"/>
  <c r="AJ1592" i="2"/>
  <c r="AI1592" i="2"/>
  <c r="AH1592" i="2"/>
  <c r="F1592" i="4" s="1"/>
  <c r="AG1592" i="2"/>
  <c r="AF1592" i="2"/>
  <c r="AE1592" i="2"/>
  <c r="AD1592" i="2"/>
  <c r="AC1592" i="2"/>
  <c r="AB1592" i="2"/>
  <c r="AA1592" i="2"/>
  <c r="Z1592" i="2"/>
  <c r="Y1592" i="2"/>
  <c r="X1592" i="2"/>
  <c r="W1592" i="2"/>
  <c r="V1592" i="2"/>
  <c r="U1592" i="2"/>
  <c r="T1592" i="2"/>
  <c r="A1596" i="3" s="1"/>
  <c r="AM1591" i="2"/>
  <c r="AL1591" i="2"/>
  <c r="AK1591" i="2"/>
  <c r="AJ1591" i="2"/>
  <c r="AI1591" i="2"/>
  <c r="AH1591" i="2"/>
  <c r="F1591" i="4" s="1"/>
  <c r="AG1591" i="2"/>
  <c r="AF1591" i="2"/>
  <c r="AE1591" i="2"/>
  <c r="AD1591" i="2"/>
  <c r="AC1591" i="2"/>
  <c r="AB1591" i="2"/>
  <c r="AA1591" i="2"/>
  <c r="Z1591" i="2"/>
  <c r="Y1591" i="2"/>
  <c r="X1591" i="2"/>
  <c r="W1591" i="2"/>
  <c r="V1591" i="2"/>
  <c r="U1591" i="2"/>
  <c r="T1591" i="2"/>
  <c r="A1595" i="3" s="1"/>
  <c r="AM1590" i="2"/>
  <c r="AL1590" i="2"/>
  <c r="AK1590" i="2"/>
  <c r="AJ1590" i="2"/>
  <c r="AI1590" i="2"/>
  <c r="AH1590" i="2"/>
  <c r="F1590" i="4" s="1"/>
  <c r="AG1590" i="2"/>
  <c r="AF1590" i="2"/>
  <c r="AE1590" i="2"/>
  <c r="AD1590" i="2"/>
  <c r="AC1590" i="2"/>
  <c r="AB1590" i="2"/>
  <c r="AA1590" i="2"/>
  <c r="Z1590" i="2"/>
  <c r="Y1590" i="2"/>
  <c r="X1590" i="2"/>
  <c r="W1590" i="2"/>
  <c r="V1590" i="2"/>
  <c r="U1590" i="2"/>
  <c r="T1590" i="2"/>
  <c r="A1594" i="3" s="1"/>
  <c r="AM1589" i="2"/>
  <c r="AL1589" i="2"/>
  <c r="AK1589" i="2"/>
  <c r="AJ1589" i="2"/>
  <c r="AI1589" i="2"/>
  <c r="AH1589" i="2"/>
  <c r="F1589" i="4" s="1"/>
  <c r="AG1589" i="2"/>
  <c r="AF1589" i="2"/>
  <c r="AE1589" i="2"/>
  <c r="AD1589" i="2"/>
  <c r="AC1589" i="2"/>
  <c r="AB1589" i="2"/>
  <c r="AA1589" i="2"/>
  <c r="Z1589" i="2"/>
  <c r="Y1589" i="2"/>
  <c r="X1589" i="2"/>
  <c r="W1589" i="2"/>
  <c r="V1589" i="2"/>
  <c r="U1589" i="2"/>
  <c r="T1589" i="2"/>
  <c r="A1593" i="3" s="1"/>
  <c r="AM1588" i="2"/>
  <c r="AL1588" i="2"/>
  <c r="AK1588" i="2"/>
  <c r="AJ1588" i="2"/>
  <c r="AI1588" i="2"/>
  <c r="AH1588" i="2"/>
  <c r="F1588" i="4" s="1"/>
  <c r="AG1588" i="2"/>
  <c r="AF1588" i="2"/>
  <c r="AE1588" i="2"/>
  <c r="AD1588" i="2"/>
  <c r="AC1588" i="2"/>
  <c r="AB1588" i="2"/>
  <c r="AA1588" i="2"/>
  <c r="Z1588" i="2"/>
  <c r="Y1588" i="2"/>
  <c r="X1588" i="2"/>
  <c r="W1588" i="2"/>
  <c r="V1588" i="2"/>
  <c r="U1588" i="2"/>
  <c r="T1588" i="2"/>
  <c r="A1592" i="3" s="1"/>
  <c r="AM1587" i="2"/>
  <c r="AL1587" i="2"/>
  <c r="AK1587" i="2"/>
  <c r="AJ1587" i="2"/>
  <c r="AI1587" i="2"/>
  <c r="AH1587" i="2"/>
  <c r="F1587" i="4" s="1"/>
  <c r="AG1587" i="2"/>
  <c r="AF1587" i="2"/>
  <c r="AE1587" i="2"/>
  <c r="AD1587" i="2"/>
  <c r="AC1587" i="2"/>
  <c r="AB1587" i="2"/>
  <c r="AA1587" i="2"/>
  <c r="Z1587" i="2"/>
  <c r="Y1587" i="2"/>
  <c r="X1587" i="2"/>
  <c r="W1587" i="2"/>
  <c r="V1587" i="2"/>
  <c r="U1587" i="2"/>
  <c r="T1587" i="2"/>
  <c r="A1591" i="3" s="1"/>
  <c r="AM1586" i="2"/>
  <c r="AL1586" i="2"/>
  <c r="AK1586" i="2"/>
  <c r="AJ1586" i="2"/>
  <c r="AI1586" i="2"/>
  <c r="AH1586" i="2"/>
  <c r="F1586" i="4" s="1"/>
  <c r="AG1586" i="2"/>
  <c r="AF1586" i="2"/>
  <c r="AE1586" i="2"/>
  <c r="AD1586" i="2"/>
  <c r="AC1586" i="2"/>
  <c r="AB1586" i="2"/>
  <c r="AA1586" i="2"/>
  <c r="Z1586" i="2"/>
  <c r="Y1586" i="2"/>
  <c r="X1586" i="2"/>
  <c r="W1586" i="2"/>
  <c r="V1586" i="2"/>
  <c r="U1586" i="2"/>
  <c r="T1586" i="2"/>
  <c r="A1590" i="3" s="1"/>
  <c r="AM1585" i="2"/>
  <c r="AL1585" i="2"/>
  <c r="AK1585" i="2"/>
  <c r="AJ1585" i="2"/>
  <c r="AI1585" i="2"/>
  <c r="AH1585" i="2"/>
  <c r="F1585" i="4" s="1"/>
  <c r="AG1585" i="2"/>
  <c r="AF1585" i="2"/>
  <c r="AE1585" i="2"/>
  <c r="AD1585" i="2"/>
  <c r="AC1585" i="2"/>
  <c r="AB1585" i="2"/>
  <c r="AA1585" i="2"/>
  <c r="Z1585" i="2"/>
  <c r="Y1585" i="2"/>
  <c r="X1585" i="2"/>
  <c r="W1585" i="2"/>
  <c r="V1585" i="2"/>
  <c r="U1585" i="2"/>
  <c r="T1585" i="2"/>
  <c r="A1589" i="3" s="1"/>
  <c r="AM1584" i="2"/>
  <c r="AL1584" i="2"/>
  <c r="AK1584" i="2"/>
  <c r="AJ1584" i="2"/>
  <c r="AI1584" i="2"/>
  <c r="AH1584" i="2"/>
  <c r="F1584" i="4" s="1"/>
  <c r="AG1584" i="2"/>
  <c r="AF1584" i="2"/>
  <c r="AE1584" i="2"/>
  <c r="AD1584" i="2"/>
  <c r="AC1584" i="2"/>
  <c r="AB1584" i="2"/>
  <c r="AA1584" i="2"/>
  <c r="Z1584" i="2"/>
  <c r="Y1584" i="2"/>
  <c r="X1584" i="2"/>
  <c r="W1584" i="2"/>
  <c r="V1584" i="2"/>
  <c r="U1584" i="2"/>
  <c r="T1584" i="2"/>
  <c r="A1588" i="3" s="1"/>
  <c r="AM1583" i="2"/>
  <c r="AL1583" i="2"/>
  <c r="AK1583" i="2"/>
  <c r="AJ1583" i="2"/>
  <c r="AI1583" i="2"/>
  <c r="AH1583" i="2"/>
  <c r="F1583" i="4" s="1"/>
  <c r="AG1583" i="2"/>
  <c r="AF1583" i="2"/>
  <c r="AE1583" i="2"/>
  <c r="AD1583" i="2"/>
  <c r="AC1583" i="2"/>
  <c r="AB1583" i="2"/>
  <c r="AA1583" i="2"/>
  <c r="Z1583" i="2"/>
  <c r="Y1583" i="2"/>
  <c r="X1583" i="2"/>
  <c r="W1583" i="2"/>
  <c r="V1583" i="2"/>
  <c r="U1583" i="2"/>
  <c r="T1583" i="2"/>
  <c r="A1587" i="3" s="1"/>
  <c r="AM1582" i="2"/>
  <c r="AL1582" i="2"/>
  <c r="AK1582" i="2"/>
  <c r="AJ1582" i="2"/>
  <c r="AI1582" i="2"/>
  <c r="AH1582" i="2"/>
  <c r="F1582" i="4" s="1"/>
  <c r="AG1582" i="2"/>
  <c r="AF1582" i="2"/>
  <c r="AE1582" i="2"/>
  <c r="AD1582" i="2"/>
  <c r="AC1582" i="2"/>
  <c r="AB1582" i="2"/>
  <c r="AA1582" i="2"/>
  <c r="Z1582" i="2"/>
  <c r="Y1582" i="2"/>
  <c r="X1582" i="2"/>
  <c r="W1582" i="2"/>
  <c r="V1582" i="2"/>
  <c r="U1582" i="2"/>
  <c r="T1582" i="2"/>
  <c r="A1586" i="3" s="1"/>
  <c r="AM1581" i="2"/>
  <c r="AL1581" i="2"/>
  <c r="AK1581" i="2"/>
  <c r="AJ1581" i="2"/>
  <c r="AI1581" i="2"/>
  <c r="AH1581" i="2"/>
  <c r="F1581" i="4" s="1"/>
  <c r="AG1581" i="2"/>
  <c r="AF1581" i="2"/>
  <c r="AE1581" i="2"/>
  <c r="AD1581" i="2"/>
  <c r="AC1581" i="2"/>
  <c r="AB1581" i="2"/>
  <c r="AA1581" i="2"/>
  <c r="Z1581" i="2"/>
  <c r="Y1581" i="2"/>
  <c r="X1581" i="2"/>
  <c r="W1581" i="2"/>
  <c r="V1581" i="2"/>
  <c r="U1581" i="2"/>
  <c r="T1581" i="2"/>
  <c r="A1585" i="3" s="1"/>
  <c r="AM1580" i="2"/>
  <c r="AL1580" i="2"/>
  <c r="AK1580" i="2"/>
  <c r="AJ1580" i="2"/>
  <c r="AI1580" i="2"/>
  <c r="AH1580" i="2"/>
  <c r="F1580" i="4" s="1"/>
  <c r="AG1580" i="2"/>
  <c r="AF1580" i="2"/>
  <c r="AE1580" i="2"/>
  <c r="AD1580" i="2"/>
  <c r="AC1580" i="2"/>
  <c r="AB1580" i="2"/>
  <c r="AA1580" i="2"/>
  <c r="Z1580" i="2"/>
  <c r="Y1580" i="2"/>
  <c r="X1580" i="2"/>
  <c r="W1580" i="2"/>
  <c r="V1580" i="2"/>
  <c r="U1580" i="2"/>
  <c r="T1580" i="2"/>
  <c r="A1584" i="3" s="1"/>
  <c r="AM1579" i="2"/>
  <c r="AL1579" i="2"/>
  <c r="AK1579" i="2"/>
  <c r="AJ1579" i="2"/>
  <c r="AI1579" i="2"/>
  <c r="AH1579" i="2"/>
  <c r="F1579" i="4" s="1"/>
  <c r="AG1579" i="2"/>
  <c r="AF1579" i="2"/>
  <c r="AE1579" i="2"/>
  <c r="AD1579" i="2"/>
  <c r="AC1579" i="2"/>
  <c r="AB1579" i="2"/>
  <c r="AA1579" i="2"/>
  <c r="Z1579" i="2"/>
  <c r="Y1579" i="2"/>
  <c r="X1579" i="2"/>
  <c r="W1579" i="2"/>
  <c r="V1579" i="2"/>
  <c r="U1579" i="2"/>
  <c r="T1579" i="2"/>
  <c r="A1583" i="3" s="1"/>
  <c r="AM1578" i="2"/>
  <c r="AL1578" i="2"/>
  <c r="AK1578" i="2"/>
  <c r="AJ1578" i="2"/>
  <c r="AI1578" i="2"/>
  <c r="AH1578" i="2"/>
  <c r="F1578" i="4" s="1"/>
  <c r="AG1578" i="2"/>
  <c r="AF1578" i="2"/>
  <c r="AE1578" i="2"/>
  <c r="AD1578" i="2"/>
  <c r="AC1578" i="2"/>
  <c r="AB1578" i="2"/>
  <c r="AA1578" i="2"/>
  <c r="Z1578" i="2"/>
  <c r="Y1578" i="2"/>
  <c r="X1578" i="2"/>
  <c r="W1578" i="2"/>
  <c r="V1578" i="2"/>
  <c r="U1578" i="2"/>
  <c r="T1578" i="2"/>
  <c r="A1582" i="3" s="1"/>
  <c r="AM1577" i="2"/>
  <c r="AL1577" i="2"/>
  <c r="AK1577" i="2"/>
  <c r="AJ1577" i="2"/>
  <c r="AI1577" i="2"/>
  <c r="AH1577" i="2"/>
  <c r="F1577" i="4" s="1"/>
  <c r="AG1577" i="2"/>
  <c r="AF1577" i="2"/>
  <c r="AE1577" i="2"/>
  <c r="AD1577" i="2"/>
  <c r="AC1577" i="2"/>
  <c r="AB1577" i="2"/>
  <c r="AA1577" i="2"/>
  <c r="Z1577" i="2"/>
  <c r="Y1577" i="2"/>
  <c r="X1577" i="2"/>
  <c r="W1577" i="2"/>
  <c r="V1577" i="2"/>
  <c r="U1577" i="2"/>
  <c r="T1577" i="2"/>
  <c r="A1581" i="3" s="1"/>
  <c r="AM1576" i="2"/>
  <c r="AL1576" i="2"/>
  <c r="AK1576" i="2"/>
  <c r="AJ1576" i="2"/>
  <c r="AI1576" i="2"/>
  <c r="AH1576" i="2"/>
  <c r="F1576" i="4" s="1"/>
  <c r="AG1576" i="2"/>
  <c r="AF1576" i="2"/>
  <c r="AE1576" i="2"/>
  <c r="AD1576" i="2"/>
  <c r="AC1576" i="2"/>
  <c r="AB1576" i="2"/>
  <c r="AA1576" i="2"/>
  <c r="Z1576" i="2"/>
  <c r="Y1576" i="2"/>
  <c r="X1576" i="2"/>
  <c r="W1576" i="2"/>
  <c r="V1576" i="2"/>
  <c r="U1576" i="2"/>
  <c r="T1576" i="2"/>
  <c r="A1580" i="3" s="1"/>
  <c r="AM1575" i="2"/>
  <c r="AL1575" i="2"/>
  <c r="AK1575" i="2"/>
  <c r="AJ1575" i="2"/>
  <c r="AI1575" i="2"/>
  <c r="AH1575" i="2"/>
  <c r="F1575" i="4" s="1"/>
  <c r="AG1575" i="2"/>
  <c r="AF1575" i="2"/>
  <c r="AE1575" i="2"/>
  <c r="AD1575" i="2"/>
  <c r="AC1575" i="2"/>
  <c r="AB1575" i="2"/>
  <c r="AA1575" i="2"/>
  <c r="Z1575" i="2"/>
  <c r="Y1575" i="2"/>
  <c r="X1575" i="2"/>
  <c r="W1575" i="2"/>
  <c r="V1575" i="2"/>
  <c r="U1575" i="2"/>
  <c r="T1575" i="2"/>
  <c r="A1579" i="3" s="1"/>
  <c r="AM1574" i="2"/>
  <c r="AL1574" i="2"/>
  <c r="AK1574" i="2"/>
  <c r="AJ1574" i="2"/>
  <c r="AI1574" i="2"/>
  <c r="AH1574" i="2"/>
  <c r="F1574" i="4" s="1"/>
  <c r="AG1574" i="2"/>
  <c r="AF1574" i="2"/>
  <c r="AE1574" i="2"/>
  <c r="AD1574" i="2"/>
  <c r="AC1574" i="2"/>
  <c r="AB1574" i="2"/>
  <c r="AA1574" i="2"/>
  <c r="Z1574" i="2"/>
  <c r="Y1574" i="2"/>
  <c r="X1574" i="2"/>
  <c r="W1574" i="2"/>
  <c r="V1574" i="2"/>
  <c r="U1574" i="2"/>
  <c r="T1574" i="2"/>
  <c r="A1578" i="3" s="1"/>
  <c r="AM1573" i="2"/>
  <c r="AL1573" i="2"/>
  <c r="AK1573" i="2"/>
  <c r="AJ1573" i="2"/>
  <c r="AI1573" i="2"/>
  <c r="AH1573" i="2"/>
  <c r="F1573" i="4" s="1"/>
  <c r="AG1573" i="2"/>
  <c r="AF1573" i="2"/>
  <c r="AE1573" i="2"/>
  <c r="AD1573" i="2"/>
  <c r="AC1573" i="2"/>
  <c r="AB1573" i="2"/>
  <c r="AA1573" i="2"/>
  <c r="Z1573" i="2"/>
  <c r="Y1573" i="2"/>
  <c r="X1573" i="2"/>
  <c r="W1573" i="2"/>
  <c r="V1573" i="2"/>
  <c r="U1573" i="2"/>
  <c r="T1573" i="2"/>
  <c r="A1577" i="3" s="1"/>
  <c r="AM1572" i="2"/>
  <c r="AL1572" i="2"/>
  <c r="AK1572" i="2"/>
  <c r="AJ1572" i="2"/>
  <c r="AI1572" i="2"/>
  <c r="AH1572" i="2"/>
  <c r="F1572" i="4" s="1"/>
  <c r="AG1572" i="2"/>
  <c r="AF1572" i="2"/>
  <c r="AE1572" i="2"/>
  <c r="AD1572" i="2"/>
  <c r="AC1572" i="2"/>
  <c r="AB1572" i="2"/>
  <c r="AA1572" i="2"/>
  <c r="Z1572" i="2"/>
  <c r="Y1572" i="2"/>
  <c r="X1572" i="2"/>
  <c r="W1572" i="2"/>
  <c r="V1572" i="2"/>
  <c r="U1572" i="2"/>
  <c r="T1572" i="2"/>
  <c r="A1576" i="3" s="1"/>
  <c r="AM1571" i="2"/>
  <c r="AL1571" i="2"/>
  <c r="AK1571" i="2"/>
  <c r="AJ1571" i="2"/>
  <c r="AI1571" i="2"/>
  <c r="AH1571" i="2"/>
  <c r="F1571" i="4" s="1"/>
  <c r="AG1571" i="2"/>
  <c r="AF1571" i="2"/>
  <c r="AE1571" i="2"/>
  <c r="AD1571" i="2"/>
  <c r="AC1571" i="2"/>
  <c r="AB1571" i="2"/>
  <c r="AA1571" i="2"/>
  <c r="Z1571" i="2"/>
  <c r="Y1571" i="2"/>
  <c r="X1571" i="2"/>
  <c r="W1571" i="2"/>
  <c r="V1571" i="2"/>
  <c r="U1571" i="2"/>
  <c r="T1571" i="2"/>
  <c r="A1575" i="3" s="1"/>
  <c r="AM1570" i="2"/>
  <c r="AL1570" i="2"/>
  <c r="AK1570" i="2"/>
  <c r="AJ1570" i="2"/>
  <c r="AI1570" i="2"/>
  <c r="AH1570" i="2"/>
  <c r="F1570" i="4" s="1"/>
  <c r="AG1570" i="2"/>
  <c r="AF1570" i="2"/>
  <c r="AE1570" i="2"/>
  <c r="AD1570" i="2"/>
  <c r="AC1570" i="2"/>
  <c r="AB1570" i="2"/>
  <c r="AA1570" i="2"/>
  <c r="Z1570" i="2"/>
  <c r="Y1570" i="2"/>
  <c r="X1570" i="2"/>
  <c r="W1570" i="2"/>
  <c r="V1570" i="2"/>
  <c r="U1570" i="2"/>
  <c r="T1570" i="2"/>
  <c r="A1574" i="3" s="1"/>
  <c r="AM1569" i="2"/>
  <c r="AL1569" i="2"/>
  <c r="AK1569" i="2"/>
  <c r="AJ1569" i="2"/>
  <c r="AI1569" i="2"/>
  <c r="AH1569" i="2"/>
  <c r="F1569" i="4" s="1"/>
  <c r="AG1569" i="2"/>
  <c r="AF1569" i="2"/>
  <c r="AE1569" i="2"/>
  <c r="AD1569" i="2"/>
  <c r="AC1569" i="2"/>
  <c r="AB1569" i="2"/>
  <c r="AA1569" i="2"/>
  <c r="Z1569" i="2"/>
  <c r="Y1569" i="2"/>
  <c r="X1569" i="2"/>
  <c r="W1569" i="2"/>
  <c r="V1569" i="2"/>
  <c r="U1569" i="2"/>
  <c r="T1569" i="2"/>
  <c r="A1573" i="3" s="1"/>
  <c r="AM1568" i="2"/>
  <c r="AL1568" i="2"/>
  <c r="AK1568" i="2"/>
  <c r="AJ1568" i="2"/>
  <c r="AI1568" i="2"/>
  <c r="AH1568" i="2"/>
  <c r="F1568" i="4" s="1"/>
  <c r="AG1568" i="2"/>
  <c r="AF1568" i="2"/>
  <c r="AE1568" i="2"/>
  <c r="AD1568" i="2"/>
  <c r="AC1568" i="2"/>
  <c r="AB1568" i="2"/>
  <c r="AA1568" i="2"/>
  <c r="Z1568" i="2"/>
  <c r="Y1568" i="2"/>
  <c r="X1568" i="2"/>
  <c r="W1568" i="2"/>
  <c r="V1568" i="2"/>
  <c r="U1568" i="2"/>
  <c r="T1568" i="2"/>
  <c r="A1572" i="3" s="1"/>
  <c r="AM1567" i="2"/>
  <c r="AL1567" i="2"/>
  <c r="AK1567" i="2"/>
  <c r="AJ1567" i="2"/>
  <c r="AI1567" i="2"/>
  <c r="AH1567" i="2"/>
  <c r="F1567" i="4" s="1"/>
  <c r="AG1567" i="2"/>
  <c r="AF1567" i="2"/>
  <c r="AE1567" i="2"/>
  <c r="AD1567" i="2"/>
  <c r="AC1567" i="2"/>
  <c r="AB1567" i="2"/>
  <c r="AA1567" i="2"/>
  <c r="Z1567" i="2"/>
  <c r="Y1567" i="2"/>
  <c r="X1567" i="2"/>
  <c r="W1567" i="2"/>
  <c r="V1567" i="2"/>
  <c r="U1567" i="2"/>
  <c r="T1567" i="2"/>
  <c r="A1571" i="3" s="1"/>
  <c r="AM1566" i="2"/>
  <c r="AL1566" i="2"/>
  <c r="AK1566" i="2"/>
  <c r="AJ1566" i="2"/>
  <c r="AI1566" i="2"/>
  <c r="AH1566" i="2"/>
  <c r="F1566" i="4" s="1"/>
  <c r="AG1566" i="2"/>
  <c r="AF1566" i="2"/>
  <c r="AE1566" i="2"/>
  <c r="AD1566" i="2"/>
  <c r="AC1566" i="2"/>
  <c r="AB1566" i="2"/>
  <c r="AA1566" i="2"/>
  <c r="Z1566" i="2"/>
  <c r="Y1566" i="2"/>
  <c r="X1566" i="2"/>
  <c r="W1566" i="2"/>
  <c r="V1566" i="2"/>
  <c r="U1566" i="2"/>
  <c r="T1566" i="2"/>
  <c r="A1570" i="3" s="1"/>
  <c r="AM1565" i="2"/>
  <c r="AL1565" i="2"/>
  <c r="AK1565" i="2"/>
  <c r="AJ1565" i="2"/>
  <c r="AI1565" i="2"/>
  <c r="AH1565" i="2"/>
  <c r="F1565" i="4" s="1"/>
  <c r="AG1565" i="2"/>
  <c r="AF1565" i="2"/>
  <c r="AE1565" i="2"/>
  <c r="AD1565" i="2"/>
  <c r="AC1565" i="2"/>
  <c r="AB1565" i="2"/>
  <c r="AA1565" i="2"/>
  <c r="Z1565" i="2"/>
  <c r="Y1565" i="2"/>
  <c r="X1565" i="2"/>
  <c r="W1565" i="2"/>
  <c r="V1565" i="2"/>
  <c r="U1565" i="2"/>
  <c r="T1565" i="2"/>
  <c r="A1569" i="3" s="1"/>
  <c r="AM1564" i="2"/>
  <c r="AL1564" i="2"/>
  <c r="AK1564" i="2"/>
  <c r="AJ1564" i="2"/>
  <c r="AI1564" i="2"/>
  <c r="AH1564" i="2"/>
  <c r="F1564" i="4" s="1"/>
  <c r="AG1564" i="2"/>
  <c r="AF1564" i="2"/>
  <c r="AE1564" i="2"/>
  <c r="AD1564" i="2"/>
  <c r="AC1564" i="2"/>
  <c r="AB1564" i="2"/>
  <c r="AA1564" i="2"/>
  <c r="Z1564" i="2"/>
  <c r="Y1564" i="2"/>
  <c r="X1564" i="2"/>
  <c r="W1564" i="2"/>
  <c r="V1564" i="2"/>
  <c r="U1564" i="2"/>
  <c r="T1564" i="2"/>
  <c r="A1568" i="3" s="1"/>
  <c r="AM1563" i="2"/>
  <c r="AL1563" i="2"/>
  <c r="AK1563" i="2"/>
  <c r="AJ1563" i="2"/>
  <c r="AI1563" i="2"/>
  <c r="AH1563" i="2"/>
  <c r="F1563" i="4" s="1"/>
  <c r="AG1563" i="2"/>
  <c r="AF1563" i="2"/>
  <c r="AE1563" i="2"/>
  <c r="AD1563" i="2"/>
  <c r="AC1563" i="2"/>
  <c r="AB1563" i="2"/>
  <c r="AA1563" i="2"/>
  <c r="Z1563" i="2"/>
  <c r="Y1563" i="2"/>
  <c r="X1563" i="2"/>
  <c r="W1563" i="2"/>
  <c r="V1563" i="2"/>
  <c r="U1563" i="2"/>
  <c r="T1563" i="2"/>
  <c r="A1567" i="3" s="1"/>
  <c r="AM1562" i="2"/>
  <c r="AL1562" i="2"/>
  <c r="AK1562" i="2"/>
  <c r="AJ1562" i="2"/>
  <c r="AI1562" i="2"/>
  <c r="AH1562" i="2"/>
  <c r="F1562" i="4" s="1"/>
  <c r="AG1562" i="2"/>
  <c r="AF1562" i="2"/>
  <c r="AE1562" i="2"/>
  <c r="AD1562" i="2"/>
  <c r="AC1562" i="2"/>
  <c r="AB1562" i="2"/>
  <c r="AA1562" i="2"/>
  <c r="Z1562" i="2"/>
  <c r="Y1562" i="2"/>
  <c r="X1562" i="2"/>
  <c r="W1562" i="2"/>
  <c r="V1562" i="2"/>
  <c r="U1562" i="2"/>
  <c r="T1562" i="2"/>
  <c r="A1566" i="3" s="1"/>
  <c r="AM1561" i="2"/>
  <c r="AL1561" i="2"/>
  <c r="AK1561" i="2"/>
  <c r="AJ1561" i="2"/>
  <c r="AI1561" i="2"/>
  <c r="AH1561" i="2"/>
  <c r="F1561" i="4" s="1"/>
  <c r="AG1561" i="2"/>
  <c r="AF1561" i="2"/>
  <c r="AE1561" i="2"/>
  <c r="AD1561" i="2"/>
  <c r="AC1561" i="2"/>
  <c r="AB1561" i="2"/>
  <c r="AA1561" i="2"/>
  <c r="Z1561" i="2"/>
  <c r="Y1561" i="2"/>
  <c r="X1561" i="2"/>
  <c r="W1561" i="2"/>
  <c r="V1561" i="2"/>
  <c r="U1561" i="2"/>
  <c r="T1561" i="2"/>
  <c r="A1565" i="3" s="1"/>
  <c r="AM1560" i="2"/>
  <c r="AL1560" i="2"/>
  <c r="AK1560" i="2"/>
  <c r="AJ1560" i="2"/>
  <c r="AI1560" i="2"/>
  <c r="AH1560" i="2"/>
  <c r="F1560" i="4" s="1"/>
  <c r="AG1560" i="2"/>
  <c r="AF1560" i="2"/>
  <c r="AE1560" i="2"/>
  <c r="AD1560" i="2"/>
  <c r="AC1560" i="2"/>
  <c r="AB1560" i="2"/>
  <c r="AA1560" i="2"/>
  <c r="Z1560" i="2"/>
  <c r="Y1560" i="2"/>
  <c r="X1560" i="2"/>
  <c r="W1560" i="2"/>
  <c r="V1560" i="2"/>
  <c r="U1560" i="2"/>
  <c r="T1560" i="2"/>
  <c r="A1564" i="3" s="1"/>
  <c r="AM1559" i="2"/>
  <c r="AL1559" i="2"/>
  <c r="AK1559" i="2"/>
  <c r="AJ1559" i="2"/>
  <c r="AI1559" i="2"/>
  <c r="AH1559" i="2"/>
  <c r="F1559" i="4" s="1"/>
  <c r="AG1559" i="2"/>
  <c r="AF1559" i="2"/>
  <c r="AE1559" i="2"/>
  <c r="AD1559" i="2"/>
  <c r="AC1559" i="2"/>
  <c r="AB1559" i="2"/>
  <c r="AA1559" i="2"/>
  <c r="Z1559" i="2"/>
  <c r="Y1559" i="2"/>
  <c r="X1559" i="2"/>
  <c r="W1559" i="2"/>
  <c r="V1559" i="2"/>
  <c r="U1559" i="2"/>
  <c r="T1559" i="2"/>
  <c r="A1563" i="3" s="1"/>
  <c r="AM1558" i="2"/>
  <c r="AL1558" i="2"/>
  <c r="AK1558" i="2"/>
  <c r="AJ1558" i="2"/>
  <c r="AI1558" i="2"/>
  <c r="AH1558" i="2"/>
  <c r="F1558" i="4" s="1"/>
  <c r="AG1558" i="2"/>
  <c r="AF1558" i="2"/>
  <c r="AE1558" i="2"/>
  <c r="AD1558" i="2"/>
  <c r="AC1558" i="2"/>
  <c r="AB1558" i="2"/>
  <c r="AA1558" i="2"/>
  <c r="Z1558" i="2"/>
  <c r="Y1558" i="2"/>
  <c r="X1558" i="2"/>
  <c r="W1558" i="2"/>
  <c r="V1558" i="2"/>
  <c r="U1558" i="2"/>
  <c r="T1558" i="2"/>
  <c r="A1562" i="3" s="1"/>
  <c r="AM1557" i="2"/>
  <c r="AL1557" i="2"/>
  <c r="AK1557" i="2"/>
  <c r="AJ1557" i="2"/>
  <c r="AI1557" i="2"/>
  <c r="AH1557" i="2"/>
  <c r="F1557" i="4" s="1"/>
  <c r="AG1557" i="2"/>
  <c r="AF1557" i="2"/>
  <c r="AE1557" i="2"/>
  <c r="AD1557" i="2"/>
  <c r="AC1557" i="2"/>
  <c r="AB1557" i="2"/>
  <c r="AA1557" i="2"/>
  <c r="Z1557" i="2"/>
  <c r="Y1557" i="2"/>
  <c r="X1557" i="2"/>
  <c r="W1557" i="2"/>
  <c r="V1557" i="2"/>
  <c r="U1557" i="2"/>
  <c r="T1557" i="2"/>
  <c r="A1561" i="3" s="1"/>
  <c r="AM1556" i="2"/>
  <c r="AL1556" i="2"/>
  <c r="AK1556" i="2"/>
  <c r="AJ1556" i="2"/>
  <c r="AI1556" i="2"/>
  <c r="AH1556" i="2"/>
  <c r="F1556" i="4" s="1"/>
  <c r="AG1556" i="2"/>
  <c r="AF1556" i="2"/>
  <c r="AE1556" i="2"/>
  <c r="AD1556" i="2"/>
  <c r="AC1556" i="2"/>
  <c r="AB1556" i="2"/>
  <c r="AA1556" i="2"/>
  <c r="Z1556" i="2"/>
  <c r="Y1556" i="2"/>
  <c r="X1556" i="2"/>
  <c r="W1556" i="2"/>
  <c r="V1556" i="2"/>
  <c r="U1556" i="2"/>
  <c r="T1556" i="2"/>
  <c r="A1560" i="3" s="1"/>
  <c r="AM1555" i="2"/>
  <c r="AL1555" i="2"/>
  <c r="AK1555" i="2"/>
  <c r="AJ1555" i="2"/>
  <c r="AI1555" i="2"/>
  <c r="AH1555" i="2"/>
  <c r="F1555" i="4" s="1"/>
  <c r="AG1555" i="2"/>
  <c r="AF1555" i="2"/>
  <c r="AE1555" i="2"/>
  <c r="AD1555" i="2"/>
  <c r="AC1555" i="2"/>
  <c r="AB1555" i="2"/>
  <c r="AA1555" i="2"/>
  <c r="Z1555" i="2"/>
  <c r="Y1555" i="2"/>
  <c r="X1555" i="2"/>
  <c r="W1555" i="2"/>
  <c r="V1555" i="2"/>
  <c r="U1555" i="2"/>
  <c r="T1555" i="2"/>
  <c r="A1559" i="3" s="1"/>
  <c r="AM1554" i="2"/>
  <c r="AL1554" i="2"/>
  <c r="AK1554" i="2"/>
  <c r="AJ1554" i="2"/>
  <c r="AI1554" i="2"/>
  <c r="AH1554" i="2"/>
  <c r="F1554" i="4" s="1"/>
  <c r="AG1554" i="2"/>
  <c r="AF1554" i="2"/>
  <c r="AE1554" i="2"/>
  <c r="AD1554" i="2"/>
  <c r="AC1554" i="2"/>
  <c r="AB1554" i="2"/>
  <c r="AA1554" i="2"/>
  <c r="Z1554" i="2"/>
  <c r="Y1554" i="2"/>
  <c r="X1554" i="2"/>
  <c r="W1554" i="2"/>
  <c r="V1554" i="2"/>
  <c r="U1554" i="2"/>
  <c r="T1554" i="2"/>
  <c r="A1558" i="3" s="1"/>
  <c r="AM1553" i="2"/>
  <c r="AL1553" i="2"/>
  <c r="AK1553" i="2"/>
  <c r="AJ1553" i="2"/>
  <c r="AI1553" i="2"/>
  <c r="AH1553" i="2"/>
  <c r="F1553" i="4" s="1"/>
  <c r="AG1553" i="2"/>
  <c r="AF1553" i="2"/>
  <c r="AE1553" i="2"/>
  <c r="AD1553" i="2"/>
  <c r="AC1553" i="2"/>
  <c r="AB1553" i="2"/>
  <c r="AA1553" i="2"/>
  <c r="Z1553" i="2"/>
  <c r="Y1553" i="2"/>
  <c r="X1553" i="2"/>
  <c r="W1553" i="2"/>
  <c r="V1553" i="2"/>
  <c r="U1553" i="2"/>
  <c r="T1553" i="2"/>
  <c r="A1557" i="3" s="1"/>
  <c r="AM1552" i="2"/>
  <c r="AL1552" i="2"/>
  <c r="AK1552" i="2"/>
  <c r="AJ1552" i="2"/>
  <c r="AI1552" i="2"/>
  <c r="AH1552" i="2"/>
  <c r="F1552" i="4" s="1"/>
  <c r="AG1552" i="2"/>
  <c r="AF1552" i="2"/>
  <c r="AE1552" i="2"/>
  <c r="AD1552" i="2"/>
  <c r="AC1552" i="2"/>
  <c r="AB1552" i="2"/>
  <c r="AA1552" i="2"/>
  <c r="Z1552" i="2"/>
  <c r="Y1552" i="2"/>
  <c r="X1552" i="2"/>
  <c r="W1552" i="2"/>
  <c r="V1552" i="2"/>
  <c r="U1552" i="2"/>
  <c r="T1552" i="2"/>
  <c r="A1556" i="3" s="1"/>
  <c r="AM1551" i="2"/>
  <c r="AL1551" i="2"/>
  <c r="AK1551" i="2"/>
  <c r="AJ1551" i="2"/>
  <c r="AI1551" i="2"/>
  <c r="AH1551" i="2"/>
  <c r="F1551" i="4" s="1"/>
  <c r="AG1551" i="2"/>
  <c r="AF1551" i="2"/>
  <c r="AE1551" i="2"/>
  <c r="AD1551" i="2"/>
  <c r="AC1551" i="2"/>
  <c r="AB1551" i="2"/>
  <c r="AA1551" i="2"/>
  <c r="Z1551" i="2"/>
  <c r="Y1551" i="2"/>
  <c r="X1551" i="2"/>
  <c r="W1551" i="2"/>
  <c r="V1551" i="2"/>
  <c r="U1551" i="2"/>
  <c r="T1551" i="2"/>
  <c r="A1555" i="3" s="1"/>
  <c r="AM1550" i="2"/>
  <c r="AL1550" i="2"/>
  <c r="AK1550" i="2"/>
  <c r="AJ1550" i="2"/>
  <c r="AI1550" i="2"/>
  <c r="AH1550" i="2"/>
  <c r="F1550" i="4" s="1"/>
  <c r="AG1550" i="2"/>
  <c r="AF1550" i="2"/>
  <c r="AE1550" i="2"/>
  <c r="AD1550" i="2"/>
  <c r="AC1550" i="2"/>
  <c r="AB1550" i="2"/>
  <c r="AA1550" i="2"/>
  <c r="Z1550" i="2"/>
  <c r="Y1550" i="2"/>
  <c r="X1550" i="2"/>
  <c r="W1550" i="2"/>
  <c r="V1550" i="2"/>
  <c r="U1550" i="2"/>
  <c r="T1550" i="2"/>
  <c r="A1554" i="3" s="1"/>
  <c r="AM1549" i="2"/>
  <c r="AL1549" i="2"/>
  <c r="AK1549" i="2"/>
  <c r="AJ1549" i="2"/>
  <c r="AI1549" i="2"/>
  <c r="AH1549" i="2"/>
  <c r="F1549" i="4" s="1"/>
  <c r="AG1549" i="2"/>
  <c r="AF1549" i="2"/>
  <c r="AE1549" i="2"/>
  <c r="AD1549" i="2"/>
  <c r="AC1549" i="2"/>
  <c r="AB1549" i="2"/>
  <c r="AA1549" i="2"/>
  <c r="Z1549" i="2"/>
  <c r="Y1549" i="2"/>
  <c r="X1549" i="2"/>
  <c r="W1549" i="2"/>
  <c r="V1549" i="2"/>
  <c r="U1549" i="2"/>
  <c r="T1549" i="2"/>
  <c r="A1553" i="3" s="1"/>
  <c r="AM1548" i="2"/>
  <c r="AL1548" i="2"/>
  <c r="AK1548" i="2"/>
  <c r="AJ1548" i="2"/>
  <c r="AI1548" i="2"/>
  <c r="AH1548" i="2"/>
  <c r="F1548" i="4" s="1"/>
  <c r="AG1548" i="2"/>
  <c r="AF1548" i="2"/>
  <c r="AE1548" i="2"/>
  <c r="AD1548" i="2"/>
  <c r="AC1548" i="2"/>
  <c r="AB1548" i="2"/>
  <c r="AA1548" i="2"/>
  <c r="Z1548" i="2"/>
  <c r="Y1548" i="2"/>
  <c r="X1548" i="2"/>
  <c r="W1548" i="2"/>
  <c r="V1548" i="2"/>
  <c r="U1548" i="2"/>
  <c r="T1548" i="2"/>
  <c r="A1552" i="3" s="1"/>
  <c r="AM1547" i="2"/>
  <c r="AL1547" i="2"/>
  <c r="AK1547" i="2"/>
  <c r="AJ1547" i="2"/>
  <c r="AI1547" i="2"/>
  <c r="AH1547" i="2"/>
  <c r="F1547" i="4" s="1"/>
  <c r="AG1547" i="2"/>
  <c r="AF1547" i="2"/>
  <c r="AE1547" i="2"/>
  <c r="AD1547" i="2"/>
  <c r="AC1547" i="2"/>
  <c r="AB1547" i="2"/>
  <c r="AA1547" i="2"/>
  <c r="Z1547" i="2"/>
  <c r="Y1547" i="2"/>
  <c r="X1547" i="2"/>
  <c r="W1547" i="2"/>
  <c r="V1547" i="2"/>
  <c r="U1547" i="2"/>
  <c r="T1547" i="2"/>
  <c r="A1551" i="3" s="1"/>
  <c r="AM1546" i="2"/>
  <c r="AL1546" i="2"/>
  <c r="AK1546" i="2"/>
  <c r="AJ1546" i="2"/>
  <c r="AI1546" i="2"/>
  <c r="AH1546" i="2"/>
  <c r="F1546" i="4" s="1"/>
  <c r="AG1546" i="2"/>
  <c r="AF1546" i="2"/>
  <c r="AE1546" i="2"/>
  <c r="AD1546" i="2"/>
  <c r="AC1546" i="2"/>
  <c r="AB1546" i="2"/>
  <c r="AA1546" i="2"/>
  <c r="Z1546" i="2"/>
  <c r="Y1546" i="2"/>
  <c r="X1546" i="2"/>
  <c r="W1546" i="2"/>
  <c r="V1546" i="2"/>
  <c r="U1546" i="2"/>
  <c r="T1546" i="2"/>
  <c r="A1550" i="3" s="1"/>
  <c r="AM1545" i="2"/>
  <c r="AL1545" i="2"/>
  <c r="AK1545" i="2"/>
  <c r="AJ1545" i="2"/>
  <c r="AI1545" i="2"/>
  <c r="AH1545" i="2"/>
  <c r="F1545" i="4" s="1"/>
  <c r="AG1545" i="2"/>
  <c r="AF1545" i="2"/>
  <c r="AE1545" i="2"/>
  <c r="AD1545" i="2"/>
  <c r="AC1545" i="2"/>
  <c r="AB1545" i="2"/>
  <c r="AA1545" i="2"/>
  <c r="Z1545" i="2"/>
  <c r="Y1545" i="2"/>
  <c r="X1545" i="2"/>
  <c r="W1545" i="2"/>
  <c r="V1545" i="2"/>
  <c r="U1545" i="2"/>
  <c r="T1545" i="2"/>
  <c r="A1549" i="3" s="1"/>
  <c r="AM1544" i="2"/>
  <c r="AL1544" i="2"/>
  <c r="AK1544" i="2"/>
  <c r="AJ1544" i="2"/>
  <c r="AI1544" i="2"/>
  <c r="AH1544" i="2"/>
  <c r="F1544" i="4" s="1"/>
  <c r="AG1544" i="2"/>
  <c r="AF1544" i="2"/>
  <c r="AE1544" i="2"/>
  <c r="AD1544" i="2"/>
  <c r="AC1544" i="2"/>
  <c r="AB1544" i="2"/>
  <c r="AA1544" i="2"/>
  <c r="Z1544" i="2"/>
  <c r="Y1544" i="2"/>
  <c r="X1544" i="2"/>
  <c r="W1544" i="2"/>
  <c r="V1544" i="2"/>
  <c r="U1544" i="2"/>
  <c r="T1544" i="2"/>
  <c r="A1548" i="3" s="1"/>
  <c r="AM1543" i="2"/>
  <c r="AL1543" i="2"/>
  <c r="AK1543" i="2"/>
  <c r="AJ1543" i="2"/>
  <c r="AI1543" i="2"/>
  <c r="AH1543" i="2"/>
  <c r="F1543" i="4" s="1"/>
  <c r="AG1543" i="2"/>
  <c r="AF1543" i="2"/>
  <c r="AE1543" i="2"/>
  <c r="AD1543" i="2"/>
  <c r="AC1543" i="2"/>
  <c r="AB1543" i="2"/>
  <c r="AA1543" i="2"/>
  <c r="Z1543" i="2"/>
  <c r="Y1543" i="2"/>
  <c r="X1543" i="2"/>
  <c r="W1543" i="2"/>
  <c r="V1543" i="2"/>
  <c r="U1543" i="2"/>
  <c r="T1543" i="2"/>
  <c r="A1547" i="3" s="1"/>
  <c r="AM1542" i="2"/>
  <c r="AL1542" i="2"/>
  <c r="AK1542" i="2"/>
  <c r="AJ1542" i="2"/>
  <c r="AI1542" i="2"/>
  <c r="AH1542" i="2"/>
  <c r="F1542" i="4" s="1"/>
  <c r="AG1542" i="2"/>
  <c r="AF1542" i="2"/>
  <c r="AE1542" i="2"/>
  <c r="AD1542" i="2"/>
  <c r="AC1542" i="2"/>
  <c r="AB1542" i="2"/>
  <c r="AA1542" i="2"/>
  <c r="Z1542" i="2"/>
  <c r="Y1542" i="2"/>
  <c r="X1542" i="2"/>
  <c r="W1542" i="2"/>
  <c r="V1542" i="2"/>
  <c r="U1542" i="2"/>
  <c r="T1542" i="2"/>
  <c r="A1546" i="3" s="1"/>
  <c r="AM1541" i="2"/>
  <c r="AL1541" i="2"/>
  <c r="AK1541" i="2"/>
  <c r="AJ1541" i="2"/>
  <c r="AI1541" i="2"/>
  <c r="AH1541" i="2"/>
  <c r="F1541" i="4" s="1"/>
  <c r="AG1541" i="2"/>
  <c r="AF1541" i="2"/>
  <c r="AE1541" i="2"/>
  <c r="AD1541" i="2"/>
  <c r="AC1541" i="2"/>
  <c r="AB1541" i="2"/>
  <c r="AA1541" i="2"/>
  <c r="Z1541" i="2"/>
  <c r="Y1541" i="2"/>
  <c r="X1541" i="2"/>
  <c r="W1541" i="2"/>
  <c r="V1541" i="2"/>
  <c r="U1541" i="2"/>
  <c r="T1541" i="2"/>
  <c r="A1545" i="3" s="1"/>
  <c r="AM1540" i="2"/>
  <c r="AL1540" i="2"/>
  <c r="AK1540" i="2"/>
  <c r="AJ1540" i="2"/>
  <c r="AI1540" i="2"/>
  <c r="AH1540" i="2"/>
  <c r="F1540" i="4" s="1"/>
  <c r="AG1540" i="2"/>
  <c r="AF1540" i="2"/>
  <c r="AE1540" i="2"/>
  <c r="AD1540" i="2"/>
  <c r="AC1540" i="2"/>
  <c r="AB1540" i="2"/>
  <c r="AA1540" i="2"/>
  <c r="Z1540" i="2"/>
  <c r="Y1540" i="2"/>
  <c r="X1540" i="2"/>
  <c r="W1540" i="2"/>
  <c r="V1540" i="2"/>
  <c r="U1540" i="2"/>
  <c r="T1540" i="2"/>
  <c r="A1544" i="3" s="1"/>
  <c r="AM1539" i="2"/>
  <c r="AL1539" i="2"/>
  <c r="AK1539" i="2"/>
  <c r="AJ1539" i="2"/>
  <c r="AI1539" i="2"/>
  <c r="AH1539" i="2"/>
  <c r="F1539" i="4" s="1"/>
  <c r="AG1539" i="2"/>
  <c r="AF1539" i="2"/>
  <c r="AE1539" i="2"/>
  <c r="AD1539" i="2"/>
  <c r="AC1539" i="2"/>
  <c r="AB1539" i="2"/>
  <c r="AA1539" i="2"/>
  <c r="Z1539" i="2"/>
  <c r="Y1539" i="2"/>
  <c r="X1539" i="2"/>
  <c r="W1539" i="2"/>
  <c r="V1539" i="2"/>
  <c r="U1539" i="2"/>
  <c r="T1539" i="2"/>
  <c r="A1543" i="3" s="1"/>
  <c r="AM1538" i="2"/>
  <c r="AL1538" i="2"/>
  <c r="AK1538" i="2"/>
  <c r="AJ1538" i="2"/>
  <c r="AI1538" i="2"/>
  <c r="AH1538" i="2"/>
  <c r="F1538" i="4" s="1"/>
  <c r="AG1538" i="2"/>
  <c r="AF1538" i="2"/>
  <c r="AE1538" i="2"/>
  <c r="AD1538" i="2"/>
  <c r="AC1538" i="2"/>
  <c r="AB1538" i="2"/>
  <c r="AA1538" i="2"/>
  <c r="Z1538" i="2"/>
  <c r="Y1538" i="2"/>
  <c r="X1538" i="2"/>
  <c r="W1538" i="2"/>
  <c r="V1538" i="2"/>
  <c r="U1538" i="2"/>
  <c r="T1538" i="2"/>
  <c r="A1542" i="3" s="1"/>
  <c r="AM1537" i="2"/>
  <c r="AL1537" i="2"/>
  <c r="AK1537" i="2"/>
  <c r="AJ1537" i="2"/>
  <c r="AI1537" i="2"/>
  <c r="AH1537" i="2"/>
  <c r="F1537" i="4" s="1"/>
  <c r="AG1537" i="2"/>
  <c r="AF1537" i="2"/>
  <c r="AE1537" i="2"/>
  <c r="AD1537" i="2"/>
  <c r="AC1537" i="2"/>
  <c r="AB1537" i="2"/>
  <c r="AA1537" i="2"/>
  <c r="Z1537" i="2"/>
  <c r="Y1537" i="2"/>
  <c r="X1537" i="2"/>
  <c r="W1537" i="2"/>
  <c r="V1537" i="2"/>
  <c r="U1537" i="2"/>
  <c r="T1537" i="2"/>
  <c r="A1541" i="3" s="1"/>
  <c r="AM1536" i="2"/>
  <c r="AL1536" i="2"/>
  <c r="AK1536" i="2"/>
  <c r="AJ1536" i="2"/>
  <c r="AI1536" i="2"/>
  <c r="AH1536" i="2"/>
  <c r="F1536" i="4" s="1"/>
  <c r="AG1536" i="2"/>
  <c r="AF1536" i="2"/>
  <c r="AE1536" i="2"/>
  <c r="AD1536" i="2"/>
  <c r="AC1536" i="2"/>
  <c r="AB1536" i="2"/>
  <c r="AA1536" i="2"/>
  <c r="Z1536" i="2"/>
  <c r="Y1536" i="2"/>
  <c r="X1536" i="2"/>
  <c r="W1536" i="2"/>
  <c r="V1536" i="2"/>
  <c r="U1536" i="2"/>
  <c r="T1536" i="2"/>
  <c r="A1540" i="3" s="1"/>
  <c r="AM1535" i="2"/>
  <c r="AL1535" i="2"/>
  <c r="AK1535" i="2"/>
  <c r="AJ1535" i="2"/>
  <c r="AI1535" i="2"/>
  <c r="AH1535" i="2"/>
  <c r="F1535" i="4" s="1"/>
  <c r="AG1535" i="2"/>
  <c r="AF1535" i="2"/>
  <c r="AE1535" i="2"/>
  <c r="AD1535" i="2"/>
  <c r="AC1535" i="2"/>
  <c r="AB1535" i="2"/>
  <c r="AA1535" i="2"/>
  <c r="Z1535" i="2"/>
  <c r="Y1535" i="2"/>
  <c r="X1535" i="2"/>
  <c r="W1535" i="2"/>
  <c r="V1535" i="2"/>
  <c r="U1535" i="2"/>
  <c r="T1535" i="2"/>
  <c r="A1539" i="3" s="1"/>
  <c r="AM1534" i="2"/>
  <c r="AL1534" i="2"/>
  <c r="AK1534" i="2"/>
  <c r="AJ1534" i="2"/>
  <c r="AI1534" i="2"/>
  <c r="AH1534" i="2"/>
  <c r="F1534" i="4" s="1"/>
  <c r="AG1534" i="2"/>
  <c r="AF1534" i="2"/>
  <c r="AE1534" i="2"/>
  <c r="AD1534" i="2"/>
  <c r="AC1534" i="2"/>
  <c r="AB1534" i="2"/>
  <c r="AA1534" i="2"/>
  <c r="Z1534" i="2"/>
  <c r="Y1534" i="2"/>
  <c r="X1534" i="2"/>
  <c r="W1534" i="2"/>
  <c r="V1534" i="2"/>
  <c r="U1534" i="2"/>
  <c r="T1534" i="2"/>
  <c r="A1538" i="3" s="1"/>
  <c r="AM1533" i="2"/>
  <c r="AL1533" i="2"/>
  <c r="AK1533" i="2"/>
  <c r="AJ1533" i="2"/>
  <c r="AI1533" i="2"/>
  <c r="AH1533" i="2"/>
  <c r="F1533" i="4" s="1"/>
  <c r="AG1533" i="2"/>
  <c r="AF1533" i="2"/>
  <c r="AE1533" i="2"/>
  <c r="AD1533" i="2"/>
  <c r="AC1533" i="2"/>
  <c r="AB1533" i="2"/>
  <c r="AA1533" i="2"/>
  <c r="Z1533" i="2"/>
  <c r="Y1533" i="2"/>
  <c r="X1533" i="2"/>
  <c r="W1533" i="2"/>
  <c r="V1533" i="2"/>
  <c r="U1533" i="2"/>
  <c r="T1533" i="2"/>
  <c r="A1537" i="3" s="1"/>
  <c r="AM1532" i="2"/>
  <c r="AL1532" i="2"/>
  <c r="AK1532" i="2"/>
  <c r="AJ1532" i="2"/>
  <c r="AI1532" i="2"/>
  <c r="AH1532" i="2"/>
  <c r="F1532" i="4" s="1"/>
  <c r="AG1532" i="2"/>
  <c r="AF1532" i="2"/>
  <c r="AE1532" i="2"/>
  <c r="AD1532" i="2"/>
  <c r="AC1532" i="2"/>
  <c r="AB1532" i="2"/>
  <c r="AA1532" i="2"/>
  <c r="Z1532" i="2"/>
  <c r="Y1532" i="2"/>
  <c r="X1532" i="2"/>
  <c r="W1532" i="2"/>
  <c r="V1532" i="2"/>
  <c r="U1532" i="2"/>
  <c r="T1532" i="2"/>
  <c r="A1536" i="3" s="1"/>
  <c r="AM1531" i="2"/>
  <c r="AL1531" i="2"/>
  <c r="AK1531" i="2"/>
  <c r="AJ1531" i="2"/>
  <c r="AI1531" i="2"/>
  <c r="AH1531" i="2"/>
  <c r="F1531" i="4" s="1"/>
  <c r="AG1531" i="2"/>
  <c r="AF1531" i="2"/>
  <c r="AE1531" i="2"/>
  <c r="AD1531" i="2"/>
  <c r="AC1531" i="2"/>
  <c r="AB1531" i="2"/>
  <c r="AA1531" i="2"/>
  <c r="Z1531" i="2"/>
  <c r="Y1531" i="2"/>
  <c r="X1531" i="2"/>
  <c r="W1531" i="2"/>
  <c r="V1531" i="2"/>
  <c r="U1531" i="2"/>
  <c r="T1531" i="2"/>
  <c r="A1535" i="3" s="1"/>
  <c r="AM1530" i="2"/>
  <c r="AL1530" i="2"/>
  <c r="AK1530" i="2"/>
  <c r="AJ1530" i="2"/>
  <c r="AI1530" i="2"/>
  <c r="AH1530" i="2"/>
  <c r="F1530" i="4" s="1"/>
  <c r="AG1530" i="2"/>
  <c r="AF1530" i="2"/>
  <c r="AE1530" i="2"/>
  <c r="AD1530" i="2"/>
  <c r="AC1530" i="2"/>
  <c r="AB1530" i="2"/>
  <c r="AA1530" i="2"/>
  <c r="Z1530" i="2"/>
  <c r="Y1530" i="2"/>
  <c r="X1530" i="2"/>
  <c r="W1530" i="2"/>
  <c r="V1530" i="2"/>
  <c r="U1530" i="2"/>
  <c r="T1530" i="2"/>
  <c r="A1534" i="3" s="1"/>
  <c r="AM1529" i="2"/>
  <c r="AL1529" i="2"/>
  <c r="AK1529" i="2"/>
  <c r="AJ1529" i="2"/>
  <c r="AI1529" i="2"/>
  <c r="AH1529" i="2"/>
  <c r="F1529" i="4" s="1"/>
  <c r="AG1529" i="2"/>
  <c r="AF1529" i="2"/>
  <c r="AE1529" i="2"/>
  <c r="AD1529" i="2"/>
  <c r="AC1529" i="2"/>
  <c r="AB1529" i="2"/>
  <c r="AA1529" i="2"/>
  <c r="Z1529" i="2"/>
  <c r="Y1529" i="2"/>
  <c r="X1529" i="2"/>
  <c r="W1529" i="2"/>
  <c r="V1529" i="2"/>
  <c r="U1529" i="2"/>
  <c r="T1529" i="2"/>
  <c r="A1533" i="3" s="1"/>
  <c r="AM1528" i="2"/>
  <c r="AL1528" i="2"/>
  <c r="AK1528" i="2"/>
  <c r="AJ1528" i="2"/>
  <c r="AI1528" i="2"/>
  <c r="AH1528" i="2"/>
  <c r="F1528" i="4" s="1"/>
  <c r="AG1528" i="2"/>
  <c r="AF1528" i="2"/>
  <c r="AE1528" i="2"/>
  <c r="AD1528" i="2"/>
  <c r="AC1528" i="2"/>
  <c r="AB1528" i="2"/>
  <c r="AA1528" i="2"/>
  <c r="Z1528" i="2"/>
  <c r="Y1528" i="2"/>
  <c r="X1528" i="2"/>
  <c r="W1528" i="2"/>
  <c r="V1528" i="2"/>
  <c r="U1528" i="2"/>
  <c r="T1528" i="2"/>
  <c r="A1532" i="3" s="1"/>
  <c r="AM1527" i="2"/>
  <c r="AL1527" i="2"/>
  <c r="AK1527" i="2"/>
  <c r="AJ1527" i="2"/>
  <c r="AI1527" i="2"/>
  <c r="AH1527" i="2"/>
  <c r="F1527" i="4" s="1"/>
  <c r="AG1527" i="2"/>
  <c r="AF1527" i="2"/>
  <c r="AE1527" i="2"/>
  <c r="AD1527" i="2"/>
  <c r="AC1527" i="2"/>
  <c r="AB1527" i="2"/>
  <c r="AA1527" i="2"/>
  <c r="Z1527" i="2"/>
  <c r="Y1527" i="2"/>
  <c r="X1527" i="2"/>
  <c r="W1527" i="2"/>
  <c r="V1527" i="2"/>
  <c r="U1527" i="2"/>
  <c r="T1527" i="2"/>
  <c r="A1531" i="3" s="1"/>
  <c r="AM1526" i="2"/>
  <c r="AL1526" i="2"/>
  <c r="AK1526" i="2"/>
  <c r="AJ1526" i="2"/>
  <c r="AI1526" i="2"/>
  <c r="AH1526" i="2"/>
  <c r="F1526" i="4" s="1"/>
  <c r="AG1526" i="2"/>
  <c r="AF1526" i="2"/>
  <c r="AE1526" i="2"/>
  <c r="AD1526" i="2"/>
  <c r="AC1526" i="2"/>
  <c r="AB1526" i="2"/>
  <c r="AA1526" i="2"/>
  <c r="Z1526" i="2"/>
  <c r="Y1526" i="2"/>
  <c r="X1526" i="2"/>
  <c r="W1526" i="2"/>
  <c r="V1526" i="2"/>
  <c r="U1526" i="2"/>
  <c r="T1526" i="2"/>
  <c r="A1530" i="3" s="1"/>
  <c r="AM1525" i="2"/>
  <c r="AL1525" i="2"/>
  <c r="AK1525" i="2"/>
  <c r="AJ1525" i="2"/>
  <c r="AI1525" i="2"/>
  <c r="AH1525" i="2"/>
  <c r="F1525" i="4" s="1"/>
  <c r="AG1525" i="2"/>
  <c r="AF1525" i="2"/>
  <c r="AE1525" i="2"/>
  <c r="AD1525" i="2"/>
  <c r="AC1525" i="2"/>
  <c r="AB1525" i="2"/>
  <c r="AA1525" i="2"/>
  <c r="Z1525" i="2"/>
  <c r="Y1525" i="2"/>
  <c r="X1525" i="2"/>
  <c r="W1525" i="2"/>
  <c r="V1525" i="2"/>
  <c r="U1525" i="2"/>
  <c r="T1525" i="2"/>
  <c r="A1529" i="3" s="1"/>
  <c r="AM1524" i="2"/>
  <c r="AL1524" i="2"/>
  <c r="AK1524" i="2"/>
  <c r="AJ1524" i="2"/>
  <c r="AI1524" i="2"/>
  <c r="AH1524" i="2"/>
  <c r="F1524" i="4" s="1"/>
  <c r="AG1524" i="2"/>
  <c r="AF1524" i="2"/>
  <c r="AE1524" i="2"/>
  <c r="AD1524" i="2"/>
  <c r="AC1524" i="2"/>
  <c r="AB1524" i="2"/>
  <c r="AA1524" i="2"/>
  <c r="Z1524" i="2"/>
  <c r="Y1524" i="2"/>
  <c r="X1524" i="2"/>
  <c r="W1524" i="2"/>
  <c r="V1524" i="2"/>
  <c r="U1524" i="2"/>
  <c r="T1524" i="2"/>
  <c r="A1528" i="3" s="1"/>
  <c r="AM1523" i="2"/>
  <c r="AL1523" i="2"/>
  <c r="AK1523" i="2"/>
  <c r="AJ1523" i="2"/>
  <c r="AI1523" i="2"/>
  <c r="AH1523" i="2"/>
  <c r="F1523" i="4" s="1"/>
  <c r="AG1523" i="2"/>
  <c r="AF1523" i="2"/>
  <c r="AE1523" i="2"/>
  <c r="AD1523" i="2"/>
  <c r="AC1523" i="2"/>
  <c r="AB1523" i="2"/>
  <c r="AA1523" i="2"/>
  <c r="Z1523" i="2"/>
  <c r="Y1523" i="2"/>
  <c r="X1523" i="2"/>
  <c r="W1523" i="2"/>
  <c r="V1523" i="2"/>
  <c r="U1523" i="2"/>
  <c r="T1523" i="2"/>
  <c r="A1527" i="3" s="1"/>
  <c r="AM1522" i="2"/>
  <c r="AL1522" i="2"/>
  <c r="AK1522" i="2"/>
  <c r="AJ1522" i="2"/>
  <c r="AI1522" i="2"/>
  <c r="AH1522" i="2"/>
  <c r="F1522" i="4" s="1"/>
  <c r="AG1522" i="2"/>
  <c r="AF1522" i="2"/>
  <c r="AE1522" i="2"/>
  <c r="AD1522" i="2"/>
  <c r="AC1522" i="2"/>
  <c r="AB1522" i="2"/>
  <c r="AA1522" i="2"/>
  <c r="Z1522" i="2"/>
  <c r="Y1522" i="2"/>
  <c r="X1522" i="2"/>
  <c r="W1522" i="2"/>
  <c r="V1522" i="2"/>
  <c r="U1522" i="2"/>
  <c r="T1522" i="2"/>
  <c r="A1526" i="3" s="1"/>
  <c r="AM1521" i="2"/>
  <c r="AL1521" i="2"/>
  <c r="AK1521" i="2"/>
  <c r="AJ1521" i="2"/>
  <c r="AI1521" i="2"/>
  <c r="AH1521" i="2"/>
  <c r="F1521" i="4" s="1"/>
  <c r="AG1521" i="2"/>
  <c r="AF1521" i="2"/>
  <c r="AE1521" i="2"/>
  <c r="AD1521" i="2"/>
  <c r="AC1521" i="2"/>
  <c r="AB1521" i="2"/>
  <c r="AA1521" i="2"/>
  <c r="Z1521" i="2"/>
  <c r="Y1521" i="2"/>
  <c r="X1521" i="2"/>
  <c r="W1521" i="2"/>
  <c r="V1521" i="2"/>
  <c r="U1521" i="2"/>
  <c r="T1521" i="2"/>
  <c r="A1525" i="3" s="1"/>
  <c r="AM1520" i="2"/>
  <c r="AL1520" i="2"/>
  <c r="AK1520" i="2"/>
  <c r="AJ1520" i="2"/>
  <c r="AI1520" i="2"/>
  <c r="AH1520" i="2"/>
  <c r="F1520" i="4" s="1"/>
  <c r="AG1520" i="2"/>
  <c r="AF1520" i="2"/>
  <c r="AE1520" i="2"/>
  <c r="AD1520" i="2"/>
  <c r="AC1520" i="2"/>
  <c r="AB1520" i="2"/>
  <c r="AA1520" i="2"/>
  <c r="Z1520" i="2"/>
  <c r="Y1520" i="2"/>
  <c r="X1520" i="2"/>
  <c r="W1520" i="2"/>
  <c r="V1520" i="2"/>
  <c r="U1520" i="2"/>
  <c r="T1520" i="2"/>
  <c r="A1524" i="3" s="1"/>
  <c r="AM1519" i="2"/>
  <c r="AL1519" i="2"/>
  <c r="AK1519" i="2"/>
  <c r="AJ1519" i="2"/>
  <c r="AI1519" i="2"/>
  <c r="AH1519" i="2"/>
  <c r="F1519" i="4" s="1"/>
  <c r="AG1519" i="2"/>
  <c r="AF1519" i="2"/>
  <c r="AE1519" i="2"/>
  <c r="AD1519" i="2"/>
  <c r="AC1519" i="2"/>
  <c r="AB1519" i="2"/>
  <c r="AA1519" i="2"/>
  <c r="Z1519" i="2"/>
  <c r="Y1519" i="2"/>
  <c r="X1519" i="2"/>
  <c r="W1519" i="2"/>
  <c r="V1519" i="2"/>
  <c r="U1519" i="2"/>
  <c r="T1519" i="2"/>
  <c r="A1523" i="3" s="1"/>
  <c r="AM1518" i="2"/>
  <c r="AL1518" i="2"/>
  <c r="AK1518" i="2"/>
  <c r="AJ1518" i="2"/>
  <c r="AI1518" i="2"/>
  <c r="AH1518" i="2"/>
  <c r="F1518" i="4" s="1"/>
  <c r="AG1518" i="2"/>
  <c r="AF1518" i="2"/>
  <c r="AE1518" i="2"/>
  <c r="AD1518" i="2"/>
  <c r="AC1518" i="2"/>
  <c r="AB1518" i="2"/>
  <c r="AA1518" i="2"/>
  <c r="Z1518" i="2"/>
  <c r="Y1518" i="2"/>
  <c r="X1518" i="2"/>
  <c r="W1518" i="2"/>
  <c r="V1518" i="2"/>
  <c r="U1518" i="2"/>
  <c r="T1518" i="2"/>
  <c r="A1522" i="3" s="1"/>
  <c r="AM1517" i="2"/>
  <c r="AL1517" i="2"/>
  <c r="AK1517" i="2"/>
  <c r="AJ1517" i="2"/>
  <c r="AI1517" i="2"/>
  <c r="AH1517" i="2"/>
  <c r="F1517" i="4" s="1"/>
  <c r="AG1517" i="2"/>
  <c r="AF1517" i="2"/>
  <c r="AE1517" i="2"/>
  <c r="AD1517" i="2"/>
  <c r="AC1517" i="2"/>
  <c r="AB1517" i="2"/>
  <c r="AA1517" i="2"/>
  <c r="Z1517" i="2"/>
  <c r="Y1517" i="2"/>
  <c r="X1517" i="2"/>
  <c r="W1517" i="2"/>
  <c r="V1517" i="2"/>
  <c r="U1517" i="2"/>
  <c r="T1517" i="2"/>
  <c r="A1521" i="3" s="1"/>
  <c r="AM1516" i="2"/>
  <c r="AL1516" i="2"/>
  <c r="AK1516" i="2"/>
  <c r="AJ1516" i="2"/>
  <c r="AI1516" i="2"/>
  <c r="AH1516" i="2"/>
  <c r="F1516" i="4" s="1"/>
  <c r="AG1516" i="2"/>
  <c r="AF1516" i="2"/>
  <c r="AE1516" i="2"/>
  <c r="AD1516" i="2"/>
  <c r="AC1516" i="2"/>
  <c r="AB1516" i="2"/>
  <c r="AA1516" i="2"/>
  <c r="Z1516" i="2"/>
  <c r="Y1516" i="2"/>
  <c r="X1516" i="2"/>
  <c r="W1516" i="2"/>
  <c r="V1516" i="2"/>
  <c r="U1516" i="2"/>
  <c r="T1516" i="2"/>
  <c r="A1520" i="3" s="1"/>
  <c r="AM1515" i="2"/>
  <c r="AL1515" i="2"/>
  <c r="AK1515" i="2"/>
  <c r="AJ1515" i="2"/>
  <c r="AI1515" i="2"/>
  <c r="AH1515" i="2"/>
  <c r="F1515" i="4" s="1"/>
  <c r="AG1515" i="2"/>
  <c r="AF1515" i="2"/>
  <c r="AE1515" i="2"/>
  <c r="AD1515" i="2"/>
  <c r="AC1515" i="2"/>
  <c r="AB1515" i="2"/>
  <c r="AA1515" i="2"/>
  <c r="Z1515" i="2"/>
  <c r="Y1515" i="2"/>
  <c r="X1515" i="2"/>
  <c r="W1515" i="2"/>
  <c r="V1515" i="2"/>
  <c r="U1515" i="2"/>
  <c r="T1515" i="2"/>
  <c r="A1519" i="3" s="1"/>
  <c r="AM1514" i="2"/>
  <c r="AL1514" i="2"/>
  <c r="AK1514" i="2"/>
  <c r="AJ1514" i="2"/>
  <c r="AI1514" i="2"/>
  <c r="AH1514" i="2"/>
  <c r="F1514" i="4" s="1"/>
  <c r="AG1514" i="2"/>
  <c r="AF1514" i="2"/>
  <c r="AE1514" i="2"/>
  <c r="AD1514" i="2"/>
  <c r="AC1514" i="2"/>
  <c r="AB1514" i="2"/>
  <c r="AA1514" i="2"/>
  <c r="Z1514" i="2"/>
  <c r="Y1514" i="2"/>
  <c r="X1514" i="2"/>
  <c r="W1514" i="2"/>
  <c r="V1514" i="2"/>
  <c r="U1514" i="2"/>
  <c r="T1514" i="2"/>
  <c r="A1518" i="3" s="1"/>
  <c r="AM1513" i="2"/>
  <c r="AL1513" i="2"/>
  <c r="AK1513" i="2"/>
  <c r="AJ1513" i="2"/>
  <c r="AI1513" i="2"/>
  <c r="AH1513" i="2"/>
  <c r="F1513" i="4" s="1"/>
  <c r="AG1513" i="2"/>
  <c r="AF1513" i="2"/>
  <c r="AE1513" i="2"/>
  <c r="AD1513" i="2"/>
  <c r="AC1513" i="2"/>
  <c r="AB1513" i="2"/>
  <c r="AA1513" i="2"/>
  <c r="Z1513" i="2"/>
  <c r="Y1513" i="2"/>
  <c r="X1513" i="2"/>
  <c r="W1513" i="2"/>
  <c r="V1513" i="2"/>
  <c r="U1513" i="2"/>
  <c r="T1513" i="2"/>
  <c r="A1517" i="3" s="1"/>
  <c r="AM1512" i="2"/>
  <c r="AL1512" i="2"/>
  <c r="AK1512" i="2"/>
  <c r="AJ1512" i="2"/>
  <c r="AI1512" i="2"/>
  <c r="AH1512" i="2"/>
  <c r="F1512" i="4" s="1"/>
  <c r="AG1512" i="2"/>
  <c r="AF1512" i="2"/>
  <c r="AE1512" i="2"/>
  <c r="AD1512" i="2"/>
  <c r="AC1512" i="2"/>
  <c r="AB1512" i="2"/>
  <c r="AA1512" i="2"/>
  <c r="Z1512" i="2"/>
  <c r="Y1512" i="2"/>
  <c r="X1512" i="2"/>
  <c r="W1512" i="2"/>
  <c r="V1512" i="2"/>
  <c r="U1512" i="2"/>
  <c r="T1512" i="2"/>
  <c r="A1516" i="3" s="1"/>
  <c r="AM1511" i="2"/>
  <c r="AL1511" i="2"/>
  <c r="AK1511" i="2"/>
  <c r="AJ1511" i="2"/>
  <c r="AI1511" i="2"/>
  <c r="AH1511" i="2"/>
  <c r="F1511" i="4" s="1"/>
  <c r="AG1511" i="2"/>
  <c r="AF1511" i="2"/>
  <c r="AE1511" i="2"/>
  <c r="AD1511" i="2"/>
  <c r="AC1511" i="2"/>
  <c r="AB1511" i="2"/>
  <c r="AA1511" i="2"/>
  <c r="Z1511" i="2"/>
  <c r="Y1511" i="2"/>
  <c r="X1511" i="2"/>
  <c r="W1511" i="2"/>
  <c r="V1511" i="2"/>
  <c r="U1511" i="2"/>
  <c r="T1511" i="2"/>
  <c r="A1515" i="3" s="1"/>
  <c r="AM1510" i="2"/>
  <c r="AL1510" i="2"/>
  <c r="AK1510" i="2"/>
  <c r="AJ1510" i="2"/>
  <c r="AI1510" i="2"/>
  <c r="AH1510" i="2"/>
  <c r="F1510" i="4" s="1"/>
  <c r="AG1510" i="2"/>
  <c r="AF1510" i="2"/>
  <c r="AE1510" i="2"/>
  <c r="AD1510" i="2"/>
  <c r="AC1510" i="2"/>
  <c r="AB1510" i="2"/>
  <c r="AA1510" i="2"/>
  <c r="Z1510" i="2"/>
  <c r="Y1510" i="2"/>
  <c r="X1510" i="2"/>
  <c r="W1510" i="2"/>
  <c r="V1510" i="2"/>
  <c r="U1510" i="2"/>
  <c r="T1510" i="2"/>
  <c r="A1514" i="3" s="1"/>
  <c r="AM1509" i="2"/>
  <c r="AL1509" i="2"/>
  <c r="AK1509" i="2"/>
  <c r="AJ1509" i="2"/>
  <c r="AI1509" i="2"/>
  <c r="AH1509" i="2"/>
  <c r="F1509" i="4" s="1"/>
  <c r="AG1509" i="2"/>
  <c r="AF1509" i="2"/>
  <c r="AE1509" i="2"/>
  <c r="AD1509" i="2"/>
  <c r="AC1509" i="2"/>
  <c r="AB1509" i="2"/>
  <c r="AA1509" i="2"/>
  <c r="Z1509" i="2"/>
  <c r="Y1509" i="2"/>
  <c r="X1509" i="2"/>
  <c r="W1509" i="2"/>
  <c r="V1509" i="2"/>
  <c r="U1509" i="2"/>
  <c r="T1509" i="2"/>
  <c r="A1513" i="3" s="1"/>
  <c r="AM1508" i="2"/>
  <c r="AL1508" i="2"/>
  <c r="AK1508" i="2"/>
  <c r="AJ1508" i="2"/>
  <c r="AI1508" i="2"/>
  <c r="AH1508" i="2"/>
  <c r="F1508" i="4" s="1"/>
  <c r="AG1508" i="2"/>
  <c r="AF1508" i="2"/>
  <c r="AE1508" i="2"/>
  <c r="AD1508" i="2"/>
  <c r="AC1508" i="2"/>
  <c r="AB1508" i="2"/>
  <c r="AA1508" i="2"/>
  <c r="Z1508" i="2"/>
  <c r="Y1508" i="2"/>
  <c r="X1508" i="2"/>
  <c r="W1508" i="2"/>
  <c r="V1508" i="2"/>
  <c r="U1508" i="2"/>
  <c r="T1508" i="2"/>
  <c r="A1512" i="3" s="1"/>
  <c r="AM1507" i="2"/>
  <c r="AL1507" i="2"/>
  <c r="AK1507" i="2"/>
  <c r="AJ1507" i="2"/>
  <c r="AI1507" i="2"/>
  <c r="AH1507" i="2"/>
  <c r="F1507" i="4" s="1"/>
  <c r="AG1507" i="2"/>
  <c r="AF1507" i="2"/>
  <c r="AE1507" i="2"/>
  <c r="AD1507" i="2"/>
  <c r="AC1507" i="2"/>
  <c r="AB1507" i="2"/>
  <c r="AA1507" i="2"/>
  <c r="Z1507" i="2"/>
  <c r="Y1507" i="2"/>
  <c r="X1507" i="2"/>
  <c r="W1507" i="2"/>
  <c r="V1507" i="2"/>
  <c r="U1507" i="2"/>
  <c r="T1507" i="2"/>
  <c r="A1511" i="3" s="1"/>
  <c r="AM1506" i="2"/>
  <c r="AL1506" i="2"/>
  <c r="AK1506" i="2"/>
  <c r="AJ1506" i="2"/>
  <c r="AI1506" i="2"/>
  <c r="AH1506" i="2"/>
  <c r="F1506" i="4" s="1"/>
  <c r="AG1506" i="2"/>
  <c r="AF1506" i="2"/>
  <c r="AE1506" i="2"/>
  <c r="AD1506" i="2"/>
  <c r="AC1506" i="2"/>
  <c r="AB1506" i="2"/>
  <c r="AA1506" i="2"/>
  <c r="Z1506" i="2"/>
  <c r="Y1506" i="2"/>
  <c r="X1506" i="2"/>
  <c r="W1506" i="2"/>
  <c r="V1506" i="2"/>
  <c r="U1506" i="2"/>
  <c r="T1506" i="2"/>
  <c r="A1510" i="3" s="1"/>
  <c r="AM1505" i="2"/>
  <c r="AL1505" i="2"/>
  <c r="AK1505" i="2"/>
  <c r="AJ1505" i="2"/>
  <c r="AI1505" i="2"/>
  <c r="AH1505" i="2"/>
  <c r="F1505" i="4" s="1"/>
  <c r="AG1505" i="2"/>
  <c r="AF1505" i="2"/>
  <c r="AE1505" i="2"/>
  <c r="AD1505" i="2"/>
  <c r="AC1505" i="2"/>
  <c r="AB1505" i="2"/>
  <c r="AA1505" i="2"/>
  <c r="Z1505" i="2"/>
  <c r="Y1505" i="2"/>
  <c r="X1505" i="2"/>
  <c r="W1505" i="2"/>
  <c r="V1505" i="2"/>
  <c r="U1505" i="2"/>
  <c r="T1505" i="2"/>
  <c r="A1509" i="3" s="1"/>
  <c r="AM1504" i="2"/>
  <c r="AL1504" i="2"/>
  <c r="AK1504" i="2"/>
  <c r="AJ1504" i="2"/>
  <c r="AI1504" i="2"/>
  <c r="AH1504" i="2"/>
  <c r="F1504" i="4" s="1"/>
  <c r="AG1504" i="2"/>
  <c r="AF1504" i="2"/>
  <c r="AE1504" i="2"/>
  <c r="AD1504" i="2"/>
  <c r="AC1504" i="2"/>
  <c r="AB1504" i="2"/>
  <c r="AA1504" i="2"/>
  <c r="Z1504" i="2"/>
  <c r="Y1504" i="2"/>
  <c r="X1504" i="2"/>
  <c r="W1504" i="2"/>
  <c r="V1504" i="2"/>
  <c r="U1504" i="2"/>
  <c r="T1504" i="2"/>
  <c r="A1508" i="3" s="1"/>
  <c r="AM1503" i="2"/>
  <c r="AL1503" i="2"/>
  <c r="AK1503" i="2"/>
  <c r="AJ1503" i="2"/>
  <c r="AI1503" i="2"/>
  <c r="AH1503" i="2"/>
  <c r="F1503" i="4" s="1"/>
  <c r="AG1503" i="2"/>
  <c r="AF1503" i="2"/>
  <c r="AE1503" i="2"/>
  <c r="AD1503" i="2"/>
  <c r="AC1503" i="2"/>
  <c r="AB1503" i="2"/>
  <c r="AA1503" i="2"/>
  <c r="Z1503" i="2"/>
  <c r="Y1503" i="2"/>
  <c r="X1503" i="2"/>
  <c r="W1503" i="2"/>
  <c r="V1503" i="2"/>
  <c r="U1503" i="2"/>
  <c r="T1503" i="2"/>
  <c r="A1507" i="3" s="1"/>
  <c r="AM1502" i="2"/>
  <c r="AL1502" i="2"/>
  <c r="AK1502" i="2"/>
  <c r="AJ1502" i="2"/>
  <c r="AI1502" i="2"/>
  <c r="AH1502" i="2"/>
  <c r="F1502" i="4" s="1"/>
  <c r="AG1502" i="2"/>
  <c r="AF1502" i="2"/>
  <c r="AE1502" i="2"/>
  <c r="AD1502" i="2"/>
  <c r="AC1502" i="2"/>
  <c r="AB1502" i="2"/>
  <c r="AA1502" i="2"/>
  <c r="Z1502" i="2"/>
  <c r="Y1502" i="2"/>
  <c r="X1502" i="2"/>
  <c r="W1502" i="2"/>
  <c r="V1502" i="2"/>
  <c r="U1502" i="2"/>
  <c r="T1502" i="2"/>
  <c r="A1506" i="3" s="1"/>
  <c r="AM1501" i="2"/>
  <c r="AL1501" i="2"/>
  <c r="AK1501" i="2"/>
  <c r="AJ1501" i="2"/>
  <c r="AI1501" i="2"/>
  <c r="AH1501" i="2"/>
  <c r="F1501" i="4" s="1"/>
  <c r="AG1501" i="2"/>
  <c r="AF1501" i="2"/>
  <c r="AE1501" i="2"/>
  <c r="AD1501" i="2"/>
  <c r="AC1501" i="2"/>
  <c r="AB1501" i="2"/>
  <c r="AA1501" i="2"/>
  <c r="Z1501" i="2"/>
  <c r="Y1501" i="2"/>
  <c r="X1501" i="2"/>
  <c r="W1501" i="2"/>
  <c r="V1501" i="2"/>
  <c r="U1501" i="2"/>
  <c r="T1501" i="2"/>
  <c r="A1505" i="3" s="1"/>
  <c r="AM1500" i="2"/>
  <c r="AL1500" i="2"/>
  <c r="AK1500" i="2"/>
  <c r="AJ1500" i="2"/>
  <c r="AI1500" i="2"/>
  <c r="AH1500" i="2"/>
  <c r="F1500" i="4" s="1"/>
  <c r="AG1500" i="2"/>
  <c r="AF1500" i="2"/>
  <c r="AE1500" i="2"/>
  <c r="AD1500" i="2"/>
  <c r="AC1500" i="2"/>
  <c r="AB1500" i="2"/>
  <c r="AA1500" i="2"/>
  <c r="Z1500" i="2"/>
  <c r="Y1500" i="2"/>
  <c r="X1500" i="2"/>
  <c r="W1500" i="2"/>
  <c r="V1500" i="2"/>
  <c r="U1500" i="2"/>
  <c r="T1500" i="2"/>
  <c r="A1504" i="3" s="1"/>
  <c r="AM1499" i="2"/>
  <c r="AL1499" i="2"/>
  <c r="AK1499" i="2"/>
  <c r="AJ1499" i="2"/>
  <c r="AI1499" i="2"/>
  <c r="AH1499" i="2"/>
  <c r="F1499" i="4" s="1"/>
  <c r="AG1499" i="2"/>
  <c r="AF1499" i="2"/>
  <c r="AE1499" i="2"/>
  <c r="AD1499" i="2"/>
  <c r="AC1499" i="2"/>
  <c r="AB1499" i="2"/>
  <c r="AA1499" i="2"/>
  <c r="Z1499" i="2"/>
  <c r="Y1499" i="2"/>
  <c r="X1499" i="2"/>
  <c r="W1499" i="2"/>
  <c r="V1499" i="2"/>
  <c r="U1499" i="2"/>
  <c r="T1499" i="2"/>
  <c r="A1503" i="3" s="1"/>
  <c r="AM1498" i="2"/>
  <c r="AL1498" i="2"/>
  <c r="AK1498" i="2"/>
  <c r="AJ1498" i="2"/>
  <c r="AI1498" i="2"/>
  <c r="AH1498" i="2"/>
  <c r="F1498" i="4" s="1"/>
  <c r="AG1498" i="2"/>
  <c r="AF1498" i="2"/>
  <c r="AE1498" i="2"/>
  <c r="AD1498" i="2"/>
  <c r="AC1498" i="2"/>
  <c r="AB1498" i="2"/>
  <c r="AA1498" i="2"/>
  <c r="Z1498" i="2"/>
  <c r="Y1498" i="2"/>
  <c r="X1498" i="2"/>
  <c r="W1498" i="2"/>
  <c r="V1498" i="2"/>
  <c r="U1498" i="2"/>
  <c r="T1498" i="2"/>
  <c r="A1502" i="3" s="1"/>
  <c r="AM1497" i="2"/>
  <c r="AL1497" i="2"/>
  <c r="AK1497" i="2"/>
  <c r="AJ1497" i="2"/>
  <c r="AI1497" i="2"/>
  <c r="AH1497" i="2"/>
  <c r="F1497" i="4" s="1"/>
  <c r="AG1497" i="2"/>
  <c r="AF1497" i="2"/>
  <c r="AE1497" i="2"/>
  <c r="AD1497" i="2"/>
  <c r="AC1497" i="2"/>
  <c r="AB1497" i="2"/>
  <c r="AA1497" i="2"/>
  <c r="Z1497" i="2"/>
  <c r="Y1497" i="2"/>
  <c r="X1497" i="2"/>
  <c r="W1497" i="2"/>
  <c r="V1497" i="2"/>
  <c r="U1497" i="2"/>
  <c r="T1497" i="2"/>
  <c r="A1501" i="3" s="1"/>
  <c r="AM1496" i="2"/>
  <c r="AL1496" i="2"/>
  <c r="AK1496" i="2"/>
  <c r="AJ1496" i="2"/>
  <c r="AI1496" i="2"/>
  <c r="AH1496" i="2"/>
  <c r="F1496" i="4" s="1"/>
  <c r="AG1496" i="2"/>
  <c r="AF1496" i="2"/>
  <c r="AE1496" i="2"/>
  <c r="AD1496" i="2"/>
  <c r="AC1496" i="2"/>
  <c r="AB1496" i="2"/>
  <c r="AA1496" i="2"/>
  <c r="Z1496" i="2"/>
  <c r="Y1496" i="2"/>
  <c r="X1496" i="2"/>
  <c r="W1496" i="2"/>
  <c r="V1496" i="2"/>
  <c r="U1496" i="2"/>
  <c r="T1496" i="2"/>
  <c r="A1500" i="3" s="1"/>
  <c r="AM1495" i="2"/>
  <c r="AL1495" i="2"/>
  <c r="AK1495" i="2"/>
  <c r="AJ1495" i="2"/>
  <c r="AI1495" i="2"/>
  <c r="AH1495" i="2"/>
  <c r="F1495" i="4" s="1"/>
  <c r="AG1495" i="2"/>
  <c r="AF1495" i="2"/>
  <c r="AE1495" i="2"/>
  <c r="AD1495" i="2"/>
  <c r="AC1495" i="2"/>
  <c r="AB1495" i="2"/>
  <c r="AA1495" i="2"/>
  <c r="Z1495" i="2"/>
  <c r="Y1495" i="2"/>
  <c r="X1495" i="2"/>
  <c r="W1495" i="2"/>
  <c r="V1495" i="2"/>
  <c r="U1495" i="2"/>
  <c r="T1495" i="2"/>
  <c r="A1499" i="3" s="1"/>
  <c r="AM1494" i="2"/>
  <c r="AL1494" i="2"/>
  <c r="AK1494" i="2"/>
  <c r="AJ1494" i="2"/>
  <c r="AI1494" i="2"/>
  <c r="AH1494" i="2"/>
  <c r="F1494" i="4" s="1"/>
  <c r="AG1494" i="2"/>
  <c r="AF1494" i="2"/>
  <c r="AE1494" i="2"/>
  <c r="AD1494" i="2"/>
  <c r="AC1494" i="2"/>
  <c r="AB1494" i="2"/>
  <c r="AA1494" i="2"/>
  <c r="Z1494" i="2"/>
  <c r="Y1494" i="2"/>
  <c r="X1494" i="2"/>
  <c r="W1494" i="2"/>
  <c r="V1494" i="2"/>
  <c r="U1494" i="2"/>
  <c r="T1494" i="2"/>
  <c r="A1498" i="3" s="1"/>
  <c r="AM1493" i="2"/>
  <c r="AL1493" i="2"/>
  <c r="AK1493" i="2"/>
  <c r="AJ1493" i="2"/>
  <c r="AI1493" i="2"/>
  <c r="AH1493" i="2"/>
  <c r="F1493" i="4" s="1"/>
  <c r="AG1493" i="2"/>
  <c r="AF1493" i="2"/>
  <c r="AE1493" i="2"/>
  <c r="AD1493" i="2"/>
  <c r="AC1493" i="2"/>
  <c r="AB1493" i="2"/>
  <c r="AA1493" i="2"/>
  <c r="Z1493" i="2"/>
  <c r="Y1493" i="2"/>
  <c r="X1493" i="2"/>
  <c r="W1493" i="2"/>
  <c r="V1493" i="2"/>
  <c r="U1493" i="2"/>
  <c r="T1493" i="2"/>
  <c r="A1497" i="3" s="1"/>
  <c r="AM1492" i="2"/>
  <c r="AL1492" i="2"/>
  <c r="AK1492" i="2"/>
  <c r="AJ1492" i="2"/>
  <c r="AI1492" i="2"/>
  <c r="AH1492" i="2"/>
  <c r="F1492" i="4" s="1"/>
  <c r="AG1492" i="2"/>
  <c r="AF1492" i="2"/>
  <c r="AE1492" i="2"/>
  <c r="AD1492" i="2"/>
  <c r="AC1492" i="2"/>
  <c r="AB1492" i="2"/>
  <c r="AA1492" i="2"/>
  <c r="Z1492" i="2"/>
  <c r="Y1492" i="2"/>
  <c r="X1492" i="2"/>
  <c r="W1492" i="2"/>
  <c r="V1492" i="2"/>
  <c r="U1492" i="2"/>
  <c r="T1492" i="2"/>
  <c r="A1496" i="3" s="1"/>
  <c r="AM1491" i="2"/>
  <c r="AL1491" i="2"/>
  <c r="AK1491" i="2"/>
  <c r="AJ1491" i="2"/>
  <c r="AI1491" i="2"/>
  <c r="AH1491" i="2"/>
  <c r="F1491" i="4" s="1"/>
  <c r="AG1491" i="2"/>
  <c r="AF1491" i="2"/>
  <c r="AE1491" i="2"/>
  <c r="AD1491" i="2"/>
  <c r="AC1491" i="2"/>
  <c r="AB1491" i="2"/>
  <c r="AA1491" i="2"/>
  <c r="Z1491" i="2"/>
  <c r="Y1491" i="2"/>
  <c r="X1491" i="2"/>
  <c r="W1491" i="2"/>
  <c r="V1491" i="2"/>
  <c r="U1491" i="2"/>
  <c r="T1491" i="2"/>
  <c r="A1495" i="3" s="1"/>
  <c r="AM1490" i="2"/>
  <c r="AL1490" i="2"/>
  <c r="AK1490" i="2"/>
  <c r="AJ1490" i="2"/>
  <c r="AI1490" i="2"/>
  <c r="AH1490" i="2"/>
  <c r="F1490" i="4" s="1"/>
  <c r="AG1490" i="2"/>
  <c r="AF1490" i="2"/>
  <c r="AE1490" i="2"/>
  <c r="AD1490" i="2"/>
  <c r="AC1490" i="2"/>
  <c r="AB1490" i="2"/>
  <c r="AA1490" i="2"/>
  <c r="Z1490" i="2"/>
  <c r="Y1490" i="2"/>
  <c r="X1490" i="2"/>
  <c r="W1490" i="2"/>
  <c r="V1490" i="2"/>
  <c r="U1490" i="2"/>
  <c r="T1490" i="2"/>
  <c r="A1494" i="3" s="1"/>
  <c r="AM1489" i="2"/>
  <c r="AL1489" i="2"/>
  <c r="AK1489" i="2"/>
  <c r="AJ1489" i="2"/>
  <c r="AI1489" i="2"/>
  <c r="AH1489" i="2"/>
  <c r="F1489" i="4" s="1"/>
  <c r="AG1489" i="2"/>
  <c r="AF1489" i="2"/>
  <c r="AE1489" i="2"/>
  <c r="AD1489" i="2"/>
  <c r="AC1489" i="2"/>
  <c r="AB1489" i="2"/>
  <c r="AA1489" i="2"/>
  <c r="Z1489" i="2"/>
  <c r="Y1489" i="2"/>
  <c r="X1489" i="2"/>
  <c r="W1489" i="2"/>
  <c r="V1489" i="2"/>
  <c r="U1489" i="2"/>
  <c r="T1489" i="2"/>
  <c r="A1493" i="3" s="1"/>
  <c r="AM1488" i="2"/>
  <c r="AL1488" i="2"/>
  <c r="AK1488" i="2"/>
  <c r="AJ1488" i="2"/>
  <c r="AI1488" i="2"/>
  <c r="AH1488" i="2"/>
  <c r="F1488" i="4" s="1"/>
  <c r="AG1488" i="2"/>
  <c r="AF1488" i="2"/>
  <c r="AE1488" i="2"/>
  <c r="AD1488" i="2"/>
  <c r="AC1488" i="2"/>
  <c r="AB1488" i="2"/>
  <c r="AA1488" i="2"/>
  <c r="Z1488" i="2"/>
  <c r="Y1488" i="2"/>
  <c r="X1488" i="2"/>
  <c r="W1488" i="2"/>
  <c r="V1488" i="2"/>
  <c r="U1488" i="2"/>
  <c r="T1488" i="2"/>
  <c r="A1492" i="3" s="1"/>
  <c r="AM1487" i="2"/>
  <c r="AL1487" i="2"/>
  <c r="AK1487" i="2"/>
  <c r="AJ1487" i="2"/>
  <c r="AI1487" i="2"/>
  <c r="AH1487" i="2"/>
  <c r="F1487" i="4" s="1"/>
  <c r="AG1487" i="2"/>
  <c r="AF1487" i="2"/>
  <c r="AE1487" i="2"/>
  <c r="AD1487" i="2"/>
  <c r="AC1487" i="2"/>
  <c r="AB1487" i="2"/>
  <c r="AA1487" i="2"/>
  <c r="Z1487" i="2"/>
  <c r="Y1487" i="2"/>
  <c r="X1487" i="2"/>
  <c r="W1487" i="2"/>
  <c r="V1487" i="2"/>
  <c r="U1487" i="2"/>
  <c r="T1487" i="2"/>
  <c r="A1491" i="3" s="1"/>
  <c r="AM1486" i="2"/>
  <c r="AL1486" i="2"/>
  <c r="AK1486" i="2"/>
  <c r="AJ1486" i="2"/>
  <c r="AI1486" i="2"/>
  <c r="AH1486" i="2"/>
  <c r="F1486" i="4" s="1"/>
  <c r="AG1486" i="2"/>
  <c r="AF1486" i="2"/>
  <c r="AE1486" i="2"/>
  <c r="AD1486" i="2"/>
  <c r="AC1486" i="2"/>
  <c r="AB1486" i="2"/>
  <c r="AA1486" i="2"/>
  <c r="Z1486" i="2"/>
  <c r="Y1486" i="2"/>
  <c r="X1486" i="2"/>
  <c r="W1486" i="2"/>
  <c r="V1486" i="2"/>
  <c r="U1486" i="2"/>
  <c r="T1486" i="2"/>
  <c r="A1490" i="3" s="1"/>
  <c r="AM1485" i="2"/>
  <c r="AL1485" i="2"/>
  <c r="AK1485" i="2"/>
  <c r="AJ1485" i="2"/>
  <c r="AI1485" i="2"/>
  <c r="AH1485" i="2"/>
  <c r="F1485" i="4" s="1"/>
  <c r="AG1485" i="2"/>
  <c r="AF1485" i="2"/>
  <c r="AE1485" i="2"/>
  <c r="AD1485" i="2"/>
  <c r="AC1485" i="2"/>
  <c r="AB1485" i="2"/>
  <c r="AA1485" i="2"/>
  <c r="Z1485" i="2"/>
  <c r="Y1485" i="2"/>
  <c r="X1485" i="2"/>
  <c r="W1485" i="2"/>
  <c r="V1485" i="2"/>
  <c r="U1485" i="2"/>
  <c r="T1485" i="2"/>
  <c r="A1489" i="3" s="1"/>
  <c r="AM1484" i="2"/>
  <c r="AL1484" i="2"/>
  <c r="AK1484" i="2"/>
  <c r="AJ1484" i="2"/>
  <c r="AI1484" i="2"/>
  <c r="AH1484" i="2"/>
  <c r="F1484" i="4" s="1"/>
  <c r="AG1484" i="2"/>
  <c r="AF1484" i="2"/>
  <c r="AE1484" i="2"/>
  <c r="AD1484" i="2"/>
  <c r="AC1484" i="2"/>
  <c r="AB1484" i="2"/>
  <c r="AA1484" i="2"/>
  <c r="Z1484" i="2"/>
  <c r="Y1484" i="2"/>
  <c r="X1484" i="2"/>
  <c r="W1484" i="2"/>
  <c r="V1484" i="2"/>
  <c r="U1484" i="2"/>
  <c r="T1484" i="2"/>
  <c r="A1488" i="3" s="1"/>
  <c r="AM1483" i="2"/>
  <c r="AL1483" i="2"/>
  <c r="AK1483" i="2"/>
  <c r="AJ1483" i="2"/>
  <c r="AI1483" i="2"/>
  <c r="AH1483" i="2"/>
  <c r="F1483" i="4" s="1"/>
  <c r="AG1483" i="2"/>
  <c r="AF1483" i="2"/>
  <c r="AE1483" i="2"/>
  <c r="AD1483" i="2"/>
  <c r="AC1483" i="2"/>
  <c r="AB1483" i="2"/>
  <c r="AA1483" i="2"/>
  <c r="Z1483" i="2"/>
  <c r="Y1483" i="2"/>
  <c r="X1483" i="2"/>
  <c r="W1483" i="2"/>
  <c r="V1483" i="2"/>
  <c r="U1483" i="2"/>
  <c r="T1483" i="2"/>
  <c r="A1487" i="3" s="1"/>
  <c r="AM1482" i="2"/>
  <c r="AL1482" i="2"/>
  <c r="AK1482" i="2"/>
  <c r="AJ1482" i="2"/>
  <c r="AI1482" i="2"/>
  <c r="AH1482" i="2"/>
  <c r="F1482" i="4" s="1"/>
  <c r="AG1482" i="2"/>
  <c r="AF1482" i="2"/>
  <c r="AE1482" i="2"/>
  <c r="AD1482" i="2"/>
  <c r="AC1482" i="2"/>
  <c r="AB1482" i="2"/>
  <c r="AA1482" i="2"/>
  <c r="Z1482" i="2"/>
  <c r="Y1482" i="2"/>
  <c r="X1482" i="2"/>
  <c r="W1482" i="2"/>
  <c r="V1482" i="2"/>
  <c r="U1482" i="2"/>
  <c r="T1482" i="2"/>
  <c r="A1486" i="3" s="1"/>
  <c r="AM1481" i="2"/>
  <c r="AL1481" i="2"/>
  <c r="AK1481" i="2"/>
  <c r="AJ1481" i="2"/>
  <c r="AI1481" i="2"/>
  <c r="AH1481" i="2"/>
  <c r="F1481" i="4" s="1"/>
  <c r="AG1481" i="2"/>
  <c r="AF1481" i="2"/>
  <c r="AE1481" i="2"/>
  <c r="AD1481" i="2"/>
  <c r="AC1481" i="2"/>
  <c r="AB1481" i="2"/>
  <c r="AA1481" i="2"/>
  <c r="Z1481" i="2"/>
  <c r="Y1481" i="2"/>
  <c r="X1481" i="2"/>
  <c r="W1481" i="2"/>
  <c r="V1481" i="2"/>
  <c r="U1481" i="2"/>
  <c r="T1481" i="2"/>
  <c r="A1485" i="3" s="1"/>
  <c r="AM1480" i="2"/>
  <c r="AL1480" i="2"/>
  <c r="AK1480" i="2"/>
  <c r="AJ1480" i="2"/>
  <c r="AI1480" i="2"/>
  <c r="AH1480" i="2"/>
  <c r="F1480" i="4" s="1"/>
  <c r="AG1480" i="2"/>
  <c r="AF1480" i="2"/>
  <c r="AE1480" i="2"/>
  <c r="AD1480" i="2"/>
  <c r="AC1480" i="2"/>
  <c r="AB1480" i="2"/>
  <c r="AA1480" i="2"/>
  <c r="Z1480" i="2"/>
  <c r="Y1480" i="2"/>
  <c r="X1480" i="2"/>
  <c r="W1480" i="2"/>
  <c r="V1480" i="2"/>
  <c r="U1480" i="2"/>
  <c r="T1480" i="2"/>
  <c r="A1484" i="3" s="1"/>
  <c r="AM1479" i="2"/>
  <c r="AL1479" i="2"/>
  <c r="AK1479" i="2"/>
  <c r="AJ1479" i="2"/>
  <c r="AI1479" i="2"/>
  <c r="AH1479" i="2"/>
  <c r="F1479" i="4" s="1"/>
  <c r="AG1479" i="2"/>
  <c r="AF1479" i="2"/>
  <c r="AE1479" i="2"/>
  <c r="AD1479" i="2"/>
  <c r="AC1479" i="2"/>
  <c r="AB1479" i="2"/>
  <c r="AA1479" i="2"/>
  <c r="Z1479" i="2"/>
  <c r="Y1479" i="2"/>
  <c r="X1479" i="2"/>
  <c r="W1479" i="2"/>
  <c r="V1479" i="2"/>
  <c r="U1479" i="2"/>
  <c r="T1479" i="2"/>
  <c r="A1483" i="3" s="1"/>
  <c r="AM1478" i="2"/>
  <c r="AL1478" i="2"/>
  <c r="AK1478" i="2"/>
  <c r="AJ1478" i="2"/>
  <c r="AI1478" i="2"/>
  <c r="AH1478" i="2"/>
  <c r="F1478" i="4" s="1"/>
  <c r="AG1478" i="2"/>
  <c r="AF1478" i="2"/>
  <c r="AE1478" i="2"/>
  <c r="AD1478" i="2"/>
  <c r="AC1478" i="2"/>
  <c r="AB1478" i="2"/>
  <c r="AA1478" i="2"/>
  <c r="Z1478" i="2"/>
  <c r="Y1478" i="2"/>
  <c r="X1478" i="2"/>
  <c r="W1478" i="2"/>
  <c r="V1478" i="2"/>
  <c r="U1478" i="2"/>
  <c r="T1478" i="2"/>
  <c r="A1482" i="3" s="1"/>
  <c r="AM1477" i="2"/>
  <c r="AL1477" i="2"/>
  <c r="AK1477" i="2"/>
  <c r="AJ1477" i="2"/>
  <c r="AI1477" i="2"/>
  <c r="AH1477" i="2"/>
  <c r="F1477" i="4" s="1"/>
  <c r="AG1477" i="2"/>
  <c r="AF1477" i="2"/>
  <c r="AE1477" i="2"/>
  <c r="AD1477" i="2"/>
  <c r="AC1477" i="2"/>
  <c r="AB1477" i="2"/>
  <c r="AA1477" i="2"/>
  <c r="Z1477" i="2"/>
  <c r="Y1477" i="2"/>
  <c r="X1477" i="2"/>
  <c r="W1477" i="2"/>
  <c r="V1477" i="2"/>
  <c r="U1477" i="2"/>
  <c r="T1477" i="2"/>
  <c r="A1481" i="3" s="1"/>
  <c r="AM1476" i="2"/>
  <c r="AL1476" i="2"/>
  <c r="AK1476" i="2"/>
  <c r="AJ1476" i="2"/>
  <c r="AI1476" i="2"/>
  <c r="AH1476" i="2"/>
  <c r="F1476" i="4" s="1"/>
  <c r="AG1476" i="2"/>
  <c r="AF1476" i="2"/>
  <c r="AE1476" i="2"/>
  <c r="AD1476" i="2"/>
  <c r="AC1476" i="2"/>
  <c r="AB1476" i="2"/>
  <c r="AA1476" i="2"/>
  <c r="Z1476" i="2"/>
  <c r="Y1476" i="2"/>
  <c r="X1476" i="2"/>
  <c r="W1476" i="2"/>
  <c r="V1476" i="2"/>
  <c r="U1476" i="2"/>
  <c r="T1476" i="2"/>
  <c r="A1480" i="3" s="1"/>
  <c r="AM1475" i="2"/>
  <c r="AL1475" i="2"/>
  <c r="AK1475" i="2"/>
  <c r="AJ1475" i="2"/>
  <c r="AI1475" i="2"/>
  <c r="AH1475" i="2"/>
  <c r="F1475" i="4" s="1"/>
  <c r="AG1475" i="2"/>
  <c r="AF1475" i="2"/>
  <c r="AE1475" i="2"/>
  <c r="AD1475" i="2"/>
  <c r="AC1475" i="2"/>
  <c r="AB1475" i="2"/>
  <c r="AA1475" i="2"/>
  <c r="Z1475" i="2"/>
  <c r="Y1475" i="2"/>
  <c r="X1475" i="2"/>
  <c r="W1475" i="2"/>
  <c r="V1475" i="2"/>
  <c r="U1475" i="2"/>
  <c r="T1475" i="2"/>
  <c r="A1479" i="3" s="1"/>
  <c r="AM1474" i="2"/>
  <c r="AL1474" i="2"/>
  <c r="AK1474" i="2"/>
  <c r="AJ1474" i="2"/>
  <c r="AI1474" i="2"/>
  <c r="AH1474" i="2"/>
  <c r="F1474" i="4" s="1"/>
  <c r="AG1474" i="2"/>
  <c r="AF1474" i="2"/>
  <c r="AE1474" i="2"/>
  <c r="AD1474" i="2"/>
  <c r="AC1474" i="2"/>
  <c r="AB1474" i="2"/>
  <c r="AA1474" i="2"/>
  <c r="Z1474" i="2"/>
  <c r="Y1474" i="2"/>
  <c r="X1474" i="2"/>
  <c r="W1474" i="2"/>
  <c r="V1474" i="2"/>
  <c r="U1474" i="2"/>
  <c r="T1474" i="2"/>
  <c r="A1478" i="3" s="1"/>
  <c r="AM1473" i="2"/>
  <c r="AL1473" i="2"/>
  <c r="AK1473" i="2"/>
  <c r="AJ1473" i="2"/>
  <c r="AI1473" i="2"/>
  <c r="AH1473" i="2"/>
  <c r="F1473" i="4" s="1"/>
  <c r="AG1473" i="2"/>
  <c r="AF1473" i="2"/>
  <c r="AE1473" i="2"/>
  <c r="AD1473" i="2"/>
  <c r="AC1473" i="2"/>
  <c r="AB1473" i="2"/>
  <c r="AA1473" i="2"/>
  <c r="Z1473" i="2"/>
  <c r="Y1473" i="2"/>
  <c r="X1473" i="2"/>
  <c r="W1473" i="2"/>
  <c r="V1473" i="2"/>
  <c r="U1473" i="2"/>
  <c r="T1473" i="2"/>
  <c r="A1477" i="3" s="1"/>
  <c r="AM1472" i="2"/>
  <c r="AL1472" i="2"/>
  <c r="AK1472" i="2"/>
  <c r="AJ1472" i="2"/>
  <c r="AI1472" i="2"/>
  <c r="AH1472" i="2"/>
  <c r="F1472" i="4" s="1"/>
  <c r="AG1472" i="2"/>
  <c r="AF1472" i="2"/>
  <c r="AE1472" i="2"/>
  <c r="AD1472" i="2"/>
  <c r="AC1472" i="2"/>
  <c r="AB1472" i="2"/>
  <c r="AA1472" i="2"/>
  <c r="Z1472" i="2"/>
  <c r="Y1472" i="2"/>
  <c r="X1472" i="2"/>
  <c r="W1472" i="2"/>
  <c r="V1472" i="2"/>
  <c r="U1472" i="2"/>
  <c r="T1472" i="2"/>
  <c r="A1476" i="3" s="1"/>
  <c r="AM1471" i="2"/>
  <c r="AL1471" i="2"/>
  <c r="AK1471" i="2"/>
  <c r="AJ1471" i="2"/>
  <c r="AI1471" i="2"/>
  <c r="AH1471" i="2"/>
  <c r="F1471" i="4" s="1"/>
  <c r="AG1471" i="2"/>
  <c r="AF1471" i="2"/>
  <c r="AE1471" i="2"/>
  <c r="AD1471" i="2"/>
  <c r="AC1471" i="2"/>
  <c r="AB1471" i="2"/>
  <c r="AA1471" i="2"/>
  <c r="Z1471" i="2"/>
  <c r="Y1471" i="2"/>
  <c r="X1471" i="2"/>
  <c r="W1471" i="2"/>
  <c r="V1471" i="2"/>
  <c r="U1471" i="2"/>
  <c r="T1471" i="2"/>
  <c r="A1475" i="3" s="1"/>
  <c r="AM1470" i="2"/>
  <c r="AL1470" i="2"/>
  <c r="AK1470" i="2"/>
  <c r="AJ1470" i="2"/>
  <c r="AI1470" i="2"/>
  <c r="AH1470" i="2"/>
  <c r="F1470" i="4" s="1"/>
  <c r="AG1470" i="2"/>
  <c r="AF1470" i="2"/>
  <c r="AE1470" i="2"/>
  <c r="AD1470" i="2"/>
  <c r="AC1470" i="2"/>
  <c r="AB1470" i="2"/>
  <c r="AA1470" i="2"/>
  <c r="Z1470" i="2"/>
  <c r="Y1470" i="2"/>
  <c r="X1470" i="2"/>
  <c r="W1470" i="2"/>
  <c r="V1470" i="2"/>
  <c r="U1470" i="2"/>
  <c r="T1470" i="2"/>
  <c r="A1474" i="3" s="1"/>
  <c r="AM1469" i="2"/>
  <c r="AL1469" i="2"/>
  <c r="AK1469" i="2"/>
  <c r="AJ1469" i="2"/>
  <c r="AI1469" i="2"/>
  <c r="AH1469" i="2"/>
  <c r="F1469" i="4" s="1"/>
  <c r="AG1469" i="2"/>
  <c r="AF1469" i="2"/>
  <c r="AE1469" i="2"/>
  <c r="AD1469" i="2"/>
  <c r="AC1469" i="2"/>
  <c r="AB1469" i="2"/>
  <c r="AA1469" i="2"/>
  <c r="Z1469" i="2"/>
  <c r="Y1469" i="2"/>
  <c r="X1469" i="2"/>
  <c r="W1469" i="2"/>
  <c r="V1469" i="2"/>
  <c r="U1469" i="2"/>
  <c r="T1469" i="2"/>
  <c r="A1473" i="3" s="1"/>
  <c r="AM1468" i="2"/>
  <c r="AL1468" i="2"/>
  <c r="AK1468" i="2"/>
  <c r="AJ1468" i="2"/>
  <c r="AI1468" i="2"/>
  <c r="AH1468" i="2"/>
  <c r="F1468" i="4" s="1"/>
  <c r="AG1468" i="2"/>
  <c r="AF1468" i="2"/>
  <c r="AE1468" i="2"/>
  <c r="AD1468" i="2"/>
  <c r="AC1468" i="2"/>
  <c r="AB1468" i="2"/>
  <c r="AA1468" i="2"/>
  <c r="Z1468" i="2"/>
  <c r="Y1468" i="2"/>
  <c r="X1468" i="2"/>
  <c r="W1468" i="2"/>
  <c r="V1468" i="2"/>
  <c r="U1468" i="2"/>
  <c r="T1468" i="2"/>
  <c r="A1472" i="3" s="1"/>
  <c r="AM1467" i="2"/>
  <c r="AL1467" i="2"/>
  <c r="AK1467" i="2"/>
  <c r="AJ1467" i="2"/>
  <c r="AI1467" i="2"/>
  <c r="AH1467" i="2"/>
  <c r="F1467" i="4" s="1"/>
  <c r="AG1467" i="2"/>
  <c r="AF1467" i="2"/>
  <c r="AE1467" i="2"/>
  <c r="AD1467" i="2"/>
  <c r="AC1467" i="2"/>
  <c r="AB1467" i="2"/>
  <c r="AA1467" i="2"/>
  <c r="Z1467" i="2"/>
  <c r="Y1467" i="2"/>
  <c r="X1467" i="2"/>
  <c r="W1467" i="2"/>
  <c r="V1467" i="2"/>
  <c r="U1467" i="2"/>
  <c r="T1467" i="2"/>
  <c r="A1471" i="3" s="1"/>
  <c r="AM1466" i="2"/>
  <c r="AL1466" i="2"/>
  <c r="AK1466" i="2"/>
  <c r="AJ1466" i="2"/>
  <c r="AI1466" i="2"/>
  <c r="AH1466" i="2"/>
  <c r="F1466" i="4" s="1"/>
  <c r="AG1466" i="2"/>
  <c r="AF1466" i="2"/>
  <c r="AE1466" i="2"/>
  <c r="AD1466" i="2"/>
  <c r="AC1466" i="2"/>
  <c r="AB1466" i="2"/>
  <c r="AA1466" i="2"/>
  <c r="Z1466" i="2"/>
  <c r="Y1466" i="2"/>
  <c r="X1466" i="2"/>
  <c r="W1466" i="2"/>
  <c r="V1466" i="2"/>
  <c r="U1466" i="2"/>
  <c r="T1466" i="2"/>
  <c r="A1470" i="3" s="1"/>
  <c r="AM1465" i="2"/>
  <c r="AL1465" i="2"/>
  <c r="AK1465" i="2"/>
  <c r="AJ1465" i="2"/>
  <c r="AI1465" i="2"/>
  <c r="AH1465" i="2"/>
  <c r="F1465" i="4" s="1"/>
  <c r="AG1465" i="2"/>
  <c r="AF1465" i="2"/>
  <c r="AE1465" i="2"/>
  <c r="AD1465" i="2"/>
  <c r="AC1465" i="2"/>
  <c r="AB1465" i="2"/>
  <c r="AA1465" i="2"/>
  <c r="Z1465" i="2"/>
  <c r="Y1465" i="2"/>
  <c r="X1465" i="2"/>
  <c r="W1465" i="2"/>
  <c r="V1465" i="2"/>
  <c r="U1465" i="2"/>
  <c r="T1465" i="2"/>
  <c r="A1469" i="3" s="1"/>
  <c r="AM1464" i="2"/>
  <c r="AL1464" i="2"/>
  <c r="AK1464" i="2"/>
  <c r="AJ1464" i="2"/>
  <c r="AI1464" i="2"/>
  <c r="AH1464" i="2"/>
  <c r="F1464" i="4" s="1"/>
  <c r="AG1464" i="2"/>
  <c r="AF1464" i="2"/>
  <c r="AE1464" i="2"/>
  <c r="AD1464" i="2"/>
  <c r="AC1464" i="2"/>
  <c r="AB1464" i="2"/>
  <c r="AA1464" i="2"/>
  <c r="Z1464" i="2"/>
  <c r="Y1464" i="2"/>
  <c r="X1464" i="2"/>
  <c r="W1464" i="2"/>
  <c r="V1464" i="2"/>
  <c r="U1464" i="2"/>
  <c r="T1464" i="2"/>
  <c r="A1468" i="3" s="1"/>
  <c r="AM1463" i="2"/>
  <c r="AL1463" i="2"/>
  <c r="AK1463" i="2"/>
  <c r="AJ1463" i="2"/>
  <c r="AI1463" i="2"/>
  <c r="AH1463" i="2"/>
  <c r="F1463" i="4" s="1"/>
  <c r="AG1463" i="2"/>
  <c r="AF1463" i="2"/>
  <c r="AE1463" i="2"/>
  <c r="AD1463" i="2"/>
  <c r="AC1463" i="2"/>
  <c r="AB1463" i="2"/>
  <c r="AA1463" i="2"/>
  <c r="Z1463" i="2"/>
  <c r="Y1463" i="2"/>
  <c r="X1463" i="2"/>
  <c r="W1463" i="2"/>
  <c r="V1463" i="2"/>
  <c r="U1463" i="2"/>
  <c r="T1463" i="2"/>
  <c r="A1467" i="3" s="1"/>
  <c r="AM1462" i="2"/>
  <c r="AL1462" i="2"/>
  <c r="AK1462" i="2"/>
  <c r="AJ1462" i="2"/>
  <c r="AI1462" i="2"/>
  <c r="AH1462" i="2"/>
  <c r="F1462" i="4" s="1"/>
  <c r="AG1462" i="2"/>
  <c r="AF1462" i="2"/>
  <c r="AE1462" i="2"/>
  <c r="AD1462" i="2"/>
  <c r="AC1462" i="2"/>
  <c r="AB1462" i="2"/>
  <c r="AA1462" i="2"/>
  <c r="Z1462" i="2"/>
  <c r="Y1462" i="2"/>
  <c r="X1462" i="2"/>
  <c r="W1462" i="2"/>
  <c r="V1462" i="2"/>
  <c r="U1462" i="2"/>
  <c r="T1462" i="2"/>
  <c r="A1466" i="3" s="1"/>
  <c r="AM1461" i="2"/>
  <c r="AL1461" i="2"/>
  <c r="AK1461" i="2"/>
  <c r="AJ1461" i="2"/>
  <c r="AI1461" i="2"/>
  <c r="AH1461" i="2"/>
  <c r="F1461" i="4" s="1"/>
  <c r="AG1461" i="2"/>
  <c r="AF1461" i="2"/>
  <c r="AE1461" i="2"/>
  <c r="AD1461" i="2"/>
  <c r="AC1461" i="2"/>
  <c r="AB1461" i="2"/>
  <c r="AA1461" i="2"/>
  <c r="Z1461" i="2"/>
  <c r="Y1461" i="2"/>
  <c r="X1461" i="2"/>
  <c r="W1461" i="2"/>
  <c r="V1461" i="2"/>
  <c r="U1461" i="2"/>
  <c r="T1461" i="2"/>
  <c r="A1465" i="3" s="1"/>
  <c r="AM1460" i="2"/>
  <c r="AL1460" i="2"/>
  <c r="AK1460" i="2"/>
  <c r="AJ1460" i="2"/>
  <c r="AI1460" i="2"/>
  <c r="AH1460" i="2"/>
  <c r="F1460" i="4" s="1"/>
  <c r="AG1460" i="2"/>
  <c r="AF1460" i="2"/>
  <c r="AE1460" i="2"/>
  <c r="AD1460" i="2"/>
  <c r="AC1460" i="2"/>
  <c r="AB1460" i="2"/>
  <c r="AA1460" i="2"/>
  <c r="Z1460" i="2"/>
  <c r="Y1460" i="2"/>
  <c r="X1460" i="2"/>
  <c r="W1460" i="2"/>
  <c r="V1460" i="2"/>
  <c r="U1460" i="2"/>
  <c r="T1460" i="2"/>
  <c r="A1464" i="3" s="1"/>
  <c r="AM1459" i="2"/>
  <c r="AL1459" i="2"/>
  <c r="AK1459" i="2"/>
  <c r="AJ1459" i="2"/>
  <c r="AI1459" i="2"/>
  <c r="AH1459" i="2"/>
  <c r="F1459" i="4" s="1"/>
  <c r="AG1459" i="2"/>
  <c r="AF1459" i="2"/>
  <c r="AE1459" i="2"/>
  <c r="AD1459" i="2"/>
  <c r="AC1459" i="2"/>
  <c r="AB1459" i="2"/>
  <c r="AA1459" i="2"/>
  <c r="Z1459" i="2"/>
  <c r="Y1459" i="2"/>
  <c r="X1459" i="2"/>
  <c r="W1459" i="2"/>
  <c r="V1459" i="2"/>
  <c r="U1459" i="2"/>
  <c r="T1459" i="2"/>
  <c r="A1463" i="3" s="1"/>
  <c r="AM1458" i="2"/>
  <c r="AL1458" i="2"/>
  <c r="AK1458" i="2"/>
  <c r="AJ1458" i="2"/>
  <c r="AI1458" i="2"/>
  <c r="AH1458" i="2"/>
  <c r="F1458" i="4" s="1"/>
  <c r="AG1458" i="2"/>
  <c r="AF1458" i="2"/>
  <c r="AE1458" i="2"/>
  <c r="AD1458" i="2"/>
  <c r="AC1458" i="2"/>
  <c r="AB1458" i="2"/>
  <c r="AA1458" i="2"/>
  <c r="Z1458" i="2"/>
  <c r="Y1458" i="2"/>
  <c r="X1458" i="2"/>
  <c r="W1458" i="2"/>
  <c r="V1458" i="2"/>
  <c r="U1458" i="2"/>
  <c r="T1458" i="2"/>
  <c r="A1462" i="3" s="1"/>
  <c r="AM1457" i="2"/>
  <c r="AL1457" i="2"/>
  <c r="AK1457" i="2"/>
  <c r="AJ1457" i="2"/>
  <c r="AI1457" i="2"/>
  <c r="AH1457" i="2"/>
  <c r="F1457" i="4" s="1"/>
  <c r="AG1457" i="2"/>
  <c r="AF1457" i="2"/>
  <c r="AE1457" i="2"/>
  <c r="AD1457" i="2"/>
  <c r="AC1457" i="2"/>
  <c r="AB1457" i="2"/>
  <c r="AA1457" i="2"/>
  <c r="Z1457" i="2"/>
  <c r="Y1457" i="2"/>
  <c r="X1457" i="2"/>
  <c r="W1457" i="2"/>
  <c r="V1457" i="2"/>
  <c r="U1457" i="2"/>
  <c r="T1457" i="2"/>
  <c r="A1461" i="3" s="1"/>
  <c r="AM1456" i="2"/>
  <c r="AL1456" i="2"/>
  <c r="AK1456" i="2"/>
  <c r="AJ1456" i="2"/>
  <c r="AI1456" i="2"/>
  <c r="AH1456" i="2"/>
  <c r="F1456" i="4" s="1"/>
  <c r="AG1456" i="2"/>
  <c r="AF1456" i="2"/>
  <c r="AE1456" i="2"/>
  <c r="AD1456" i="2"/>
  <c r="AC1456" i="2"/>
  <c r="AB1456" i="2"/>
  <c r="AA1456" i="2"/>
  <c r="Z1456" i="2"/>
  <c r="Y1456" i="2"/>
  <c r="X1456" i="2"/>
  <c r="W1456" i="2"/>
  <c r="V1456" i="2"/>
  <c r="U1456" i="2"/>
  <c r="T1456" i="2"/>
  <c r="A1460" i="3" s="1"/>
  <c r="AM1455" i="2"/>
  <c r="AL1455" i="2"/>
  <c r="AK1455" i="2"/>
  <c r="AJ1455" i="2"/>
  <c r="AI1455" i="2"/>
  <c r="AH1455" i="2"/>
  <c r="F1455" i="4" s="1"/>
  <c r="AG1455" i="2"/>
  <c r="AF1455" i="2"/>
  <c r="AE1455" i="2"/>
  <c r="AD1455" i="2"/>
  <c r="AC1455" i="2"/>
  <c r="AB1455" i="2"/>
  <c r="AA1455" i="2"/>
  <c r="Z1455" i="2"/>
  <c r="Y1455" i="2"/>
  <c r="X1455" i="2"/>
  <c r="W1455" i="2"/>
  <c r="V1455" i="2"/>
  <c r="U1455" i="2"/>
  <c r="T1455" i="2"/>
  <c r="A1459" i="3" s="1"/>
  <c r="AM1454" i="2"/>
  <c r="AL1454" i="2"/>
  <c r="AK1454" i="2"/>
  <c r="AJ1454" i="2"/>
  <c r="AI1454" i="2"/>
  <c r="AH1454" i="2"/>
  <c r="F1454" i="4" s="1"/>
  <c r="AG1454" i="2"/>
  <c r="AF1454" i="2"/>
  <c r="AE1454" i="2"/>
  <c r="AD1454" i="2"/>
  <c r="AC1454" i="2"/>
  <c r="AB1454" i="2"/>
  <c r="AA1454" i="2"/>
  <c r="Z1454" i="2"/>
  <c r="Y1454" i="2"/>
  <c r="X1454" i="2"/>
  <c r="W1454" i="2"/>
  <c r="V1454" i="2"/>
  <c r="U1454" i="2"/>
  <c r="T1454" i="2"/>
  <c r="A1458" i="3" s="1"/>
  <c r="AM1453" i="2"/>
  <c r="AL1453" i="2"/>
  <c r="AK1453" i="2"/>
  <c r="AJ1453" i="2"/>
  <c r="AI1453" i="2"/>
  <c r="AH1453" i="2"/>
  <c r="F1453" i="4" s="1"/>
  <c r="AG1453" i="2"/>
  <c r="AF1453" i="2"/>
  <c r="AE1453" i="2"/>
  <c r="AD1453" i="2"/>
  <c r="AC1453" i="2"/>
  <c r="AB1453" i="2"/>
  <c r="AA1453" i="2"/>
  <c r="Z1453" i="2"/>
  <c r="Y1453" i="2"/>
  <c r="X1453" i="2"/>
  <c r="W1453" i="2"/>
  <c r="V1453" i="2"/>
  <c r="U1453" i="2"/>
  <c r="T1453" i="2"/>
  <c r="A1457" i="3" s="1"/>
  <c r="AM1452" i="2"/>
  <c r="AL1452" i="2"/>
  <c r="AK1452" i="2"/>
  <c r="AJ1452" i="2"/>
  <c r="AI1452" i="2"/>
  <c r="AH1452" i="2"/>
  <c r="F1452" i="4" s="1"/>
  <c r="AG1452" i="2"/>
  <c r="AF1452" i="2"/>
  <c r="AE1452" i="2"/>
  <c r="AD1452" i="2"/>
  <c r="AC1452" i="2"/>
  <c r="AB1452" i="2"/>
  <c r="AA1452" i="2"/>
  <c r="Z1452" i="2"/>
  <c r="Y1452" i="2"/>
  <c r="X1452" i="2"/>
  <c r="W1452" i="2"/>
  <c r="V1452" i="2"/>
  <c r="U1452" i="2"/>
  <c r="T1452" i="2"/>
  <c r="A1456" i="3" s="1"/>
  <c r="AM1451" i="2"/>
  <c r="AL1451" i="2"/>
  <c r="AK1451" i="2"/>
  <c r="AJ1451" i="2"/>
  <c r="AI1451" i="2"/>
  <c r="AH1451" i="2"/>
  <c r="F1451" i="4" s="1"/>
  <c r="AG1451" i="2"/>
  <c r="AF1451" i="2"/>
  <c r="AE1451" i="2"/>
  <c r="AD1451" i="2"/>
  <c r="AC1451" i="2"/>
  <c r="AB1451" i="2"/>
  <c r="AA1451" i="2"/>
  <c r="Z1451" i="2"/>
  <c r="Y1451" i="2"/>
  <c r="X1451" i="2"/>
  <c r="W1451" i="2"/>
  <c r="V1451" i="2"/>
  <c r="U1451" i="2"/>
  <c r="T1451" i="2"/>
  <c r="A1455" i="3" s="1"/>
  <c r="AM1450" i="2"/>
  <c r="AL1450" i="2"/>
  <c r="AK1450" i="2"/>
  <c r="AJ1450" i="2"/>
  <c r="AI1450" i="2"/>
  <c r="AH1450" i="2"/>
  <c r="F1450" i="4" s="1"/>
  <c r="AG1450" i="2"/>
  <c r="AF1450" i="2"/>
  <c r="AE1450" i="2"/>
  <c r="AD1450" i="2"/>
  <c r="AC1450" i="2"/>
  <c r="AB1450" i="2"/>
  <c r="AA1450" i="2"/>
  <c r="Z1450" i="2"/>
  <c r="Y1450" i="2"/>
  <c r="X1450" i="2"/>
  <c r="W1450" i="2"/>
  <c r="V1450" i="2"/>
  <c r="U1450" i="2"/>
  <c r="T1450" i="2"/>
  <c r="A1454" i="3" s="1"/>
  <c r="AM1449" i="2"/>
  <c r="AL1449" i="2"/>
  <c r="AK1449" i="2"/>
  <c r="AJ1449" i="2"/>
  <c r="AI1449" i="2"/>
  <c r="AH1449" i="2"/>
  <c r="F1449" i="4" s="1"/>
  <c r="AG1449" i="2"/>
  <c r="AF1449" i="2"/>
  <c r="AE1449" i="2"/>
  <c r="AD1449" i="2"/>
  <c r="AC1449" i="2"/>
  <c r="AB1449" i="2"/>
  <c r="AA1449" i="2"/>
  <c r="Z1449" i="2"/>
  <c r="Y1449" i="2"/>
  <c r="X1449" i="2"/>
  <c r="W1449" i="2"/>
  <c r="V1449" i="2"/>
  <c r="U1449" i="2"/>
  <c r="T1449" i="2"/>
  <c r="A1453" i="3" s="1"/>
  <c r="AM1448" i="2"/>
  <c r="AL1448" i="2"/>
  <c r="AK1448" i="2"/>
  <c r="AJ1448" i="2"/>
  <c r="AI1448" i="2"/>
  <c r="AH1448" i="2"/>
  <c r="F1448" i="4" s="1"/>
  <c r="AG1448" i="2"/>
  <c r="AF1448" i="2"/>
  <c r="AE1448" i="2"/>
  <c r="AD1448" i="2"/>
  <c r="AC1448" i="2"/>
  <c r="AB1448" i="2"/>
  <c r="AA1448" i="2"/>
  <c r="Z1448" i="2"/>
  <c r="Y1448" i="2"/>
  <c r="X1448" i="2"/>
  <c r="W1448" i="2"/>
  <c r="V1448" i="2"/>
  <c r="U1448" i="2"/>
  <c r="T1448" i="2"/>
  <c r="A1452" i="3" s="1"/>
  <c r="AM1447" i="2"/>
  <c r="AL1447" i="2"/>
  <c r="AK1447" i="2"/>
  <c r="AJ1447" i="2"/>
  <c r="AI1447" i="2"/>
  <c r="AH1447" i="2"/>
  <c r="F1447" i="4" s="1"/>
  <c r="AG1447" i="2"/>
  <c r="AF1447" i="2"/>
  <c r="AE1447" i="2"/>
  <c r="AD1447" i="2"/>
  <c r="AC1447" i="2"/>
  <c r="AB1447" i="2"/>
  <c r="AA1447" i="2"/>
  <c r="Z1447" i="2"/>
  <c r="Y1447" i="2"/>
  <c r="X1447" i="2"/>
  <c r="W1447" i="2"/>
  <c r="V1447" i="2"/>
  <c r="U1447" i="2"/>
  <c r="T1447" i="2"/>
  <c r="A1451" i="3" s="1"/>
  <c r="AM1446" i="2"/>
  <c r="AL1446" i="2"/>
  <c r="AK1446" i="2"/>
  <c r="AJ1446" i="2"/>
  <c r="AI1446" i="2"/>
  <c r="AH1446" i="2"/>
  <c r="F1446" i="4" s="1"/>
  <c r="AG1446" i="2"/>
  <c r="AF1446" i="2"/>
  <c r="AE1446" i="2"/>
  <c r="AD1446" i="2"/>
  <c r="AC1446" i="2"/>
  <c r="AB1446" i="2"/>
  <c r="AA1446" i="2"/>
  <c r="Z1446" i="2"/>
  <c r="Y1446" i="2"/>
  <c r="X1446" i="2"/>
  <c r="W1446" i="2"/>
  <c r="V1446" i="2"/>
  <c r="U1446" i="2"/>
  <c r="T1446" i="2"/>
  <c r="A1450" i="3" s="1"/>
  <c r="AM1445" i="2"/>
  <c r="AL1445" i="2"/>
  <c r="AK1445" i="2"/>
  <c r="AJ1445" i="2"/>
  <c r="AI1445" i="2"/>
  <c r="AH1445" i="2"/>
  <c r="F1445" i="4" s="1"/>
  <c r="AG1445" i="2"/>
  <c r="AF1445" i="2"/>
  <c r="AE1445" i="2"/>
  <c r="AD1445" i="2"/>
  <c r="AC1445" i="2"/>
  <c r="AB1445" i="2"/>
  <c r="AA1445" i="2"/>
  <c r="Z1445" i="2"/>
  <c r="Y1445" i="2"/>
  <c r="X1445" i="2"/>
  <c r="W1445" i="2"/>
  <c r="V1445" i="2"/>
  <c r="U1445" i="2"/>
  <c r="T1445" i="2"/>
  <c r="A1449" i="3" s="1"/>
  <c r="AM1444" i="2"/>
  <c r="AL1444" i="2"/>
  <c r="AK1444" i="2"/>
  <c r="AJ1444" i="2"/>
  <c r="AI1444" i="2"/>
  <c r="AH1444" i="2"/>
  <c r="F1444" i="4" s="1"/>
  <c r="AG1444" i="2"/>
  <c r="AF1444" i="2"/>
  <c r="AE1444" i="2"/>
  <c r="AD1444" i="2"/>
  <c r="AC1444" i="2"/>
  <c r="AB1444" i="2"/>
  <c r="AA1444" i="2"/>
  <c r="Z1444" i="2"/>
  <c r="Y1444" i="2"/>
  <c r="X1444" i="2"/>
  <c r="W1444" i="2"/>
  <c r="V1444" i="2"/>
  <c r="U1444" i="2"/>
  <c r="T1444" i="2"/>
  <c r="A1448" i="3" s="1"/>
  <c r="AM1443" i="2"/>
  <c r="AL1443" i="2"/>
  <c r="AK1443" i="2"/>
  <c r="AJ1443" i="2"/>
  <c r="AI1443" i="2"/>
  <c r="AH1443" i="2"/>
  <c r="F1443" i="4" s="1"/>
  <c r="AG1443" i="2"/>
  <c r="AF1443" i="2"/>
  <c r="AE1443" i="2"/>
  <c r="AD1443" i="2"/>
  <c r="AC1443" i="2"/>
  <c r="AB1443" i="2"/>
  <c r="AA1443" i="2"/>
  <c r="Z1443" i="2"/>
  <c r="Y1443" i="2"/>
  <c r="X1443" i="2"/>
  <c r="W1443" i="2"/>
  <c r="V1443" i="2"/>
  <c r="U1443" i="2"/>
  <c r="T1443" i="2"/>
  <c r="A1447" i="3" s="1"/>
  <c r="AM1442" i="2"/>
  <c r="AL1442" i="2"/>
  <c r="AK1442" i="2"/>
  <c r="AJ1442" i="2"/>
  <c r="AI1442" i="2"/>
  <c r="AH1442" i="2"/>
  <c r="F1442" i="4" s="1"/>
  <c r="AG1442" i="2"/>
  <c r="AF1442" i="2"/>
  <c r="AE1442" i="2"/>
  <c r="AD1442" i="2"/>
  <c r="AC1442" i="2"/>
  <c r="AB1442" i="2"/>
  <c r="AA1442" i="2"/>
  <c r="Z1442" i="2"/>
  <c r="Y1442" i="2"/>
  <c r="X1442" i="2"/>
  <c r="W1442" i="2"/>
  <c r="V1442" i="2"/>
  <c r="U1442" i="2"/>
  <c r="T1442" i="2"/>
  <c r="A1446" i="3" s="1"/>
  <c r="AM1441" i="2"/>
  <c r="AL1441" i="2"/>
  <c r="AK1441" i="2"/>
  <c r="AJ1441" i="2"/>
  <c r="AI1441" i="2"/>
  <c r="AH1441" i="2"/>
  <c r="F1441" i="4" s="1"/>
  <c r="AG1441" i="2"/>
  <c r="AF1441" i="2"/>
  <c r="AE1441" i="2"/>
  <c r="AD1441" i="2"/>
  <c r="AC1441" i="2"/>
  <c r="AB1441" i="2"/>
  <c r="AA1441" i="2"/>
  <c r="Z1441" i="2"/>
  <c r="Y1441" i="2"/>
  <c r="X1441" i="2"/>
  <c r="W1441" i="2"/>
  <c r="V1441" i="2"/>
  <c r="U1441" i="2"/>
  <c r="T1441" i="2"/>
  <c r="A1445" i="3" s="1"/>
  <c r="AM1440" i="2"/>
  <c r="AL1440" i="2"/>
  <c r="AK1440" i="2"/>
  <c r="AJ1440" i="2"/>
  <c r="AI1440" i="2"/>
  <c r="AH1440" i="2"/>
  <c r="F1440" i="4" s="1"/>
  <c r="AG1440" i="2"/>
  <c r="AF1440" i="2"/>
  <c r="AE1440" i="2"/>
  <c r="AD1440" i="2"/>
  <c r="AC1440" i="2"/>
  <c r="AB1440" i="2"/>
  <c r="AA1440" i="2"/>
  <c r="Z1440" i="2"/>
  <c r="Y1440" i="2"/>
  <c r="X1440" i="2"/>
  <c r="W1440" i="2"/>
  <c r="V1440" i="2"/>
  <c r="U1440" i="2"/>
  <c r="T1440" i="2"/>
  <c r="A1444" i="3" s="1"/>
  <c r="AM1439" i="2"/>
  <c r="AL1439" i="2"/>
  <c r="AK1439" i="2"/>
  <c r="AJ1439" i="2"/>
  <c r="AI1439" i="2"/>
  <c r="AH1439" i="2"/>
  <c r="F1439" i="4" s="1"/>
  <c r="AG1439" i="2"/>
  <c r="AF1439" i="2"/>
  <c r="AE1439" i="2"/>
  <c r="AD1439" i="2"/>
  <c r="AC1439" i="2"/>
  <c r="AB1439" i="2"/>
  <c r="AA1439" i="2"/>
  <c r="Z1439" i="2"/>
  <c r="Y1439" i="2"/>
  <c r="X1439" i="2"/>
  <c r="W1439" i="2"/>
  <c r="V1439" i="2"/>
  <c r="U1439" i="2"/>
  <c r="T1439" i="2"/>
  <c r="A1443" i="3" s="1"/>
  <c r="AM1438" i="2"/>
  <c r="AL1438" i="2"/>
  <c r="AK1438" i="2"/>
  <c r="AJ1438" i="2"/>
  <c r="AI1438" i="2"/>
  <c r="AH1438" i="2"/>
  <c r="F1438" i="4" s="1"/>
  <c r="AG1438" i="2"/>
  <c r="AF1438" i="2"/>
  <c r="AE1438" i="2"/>
  <c r="AD1438" i="2"/>
  <c r="AC1438" i="2"/>
  <c r="AB1438" i="2"/>
  <c r="AA1438" i="2"/>
  <c r="Z1438" i="2"/>
  <c r="Y1438" i="2"/>
  <c r="X1438" i="2"/>
  <c r="W1438" i="2"/>
  <c r="V1438" i="2"/>
  <c r="U1438" i="2"/>
  <c r="T1438" i="2"/>
  <c r="A1442" i="3" s="1"/>
  <c r="AM1437" i="2"/>
  <c r="AL1437" i="2"/>
  <c r="AK1437" i="2"/>
  <c r="AJ1437" i="2"/>
  <c r="AI1437" i="2"/>
  <c r="AH1437" i="2"/>
  <c r="F1437" i="4" s="1"/>
  <c r="AG1437" i="2"/>
  <c r="AF1437" i="2"/>
  <c r="AE1437" i="2"/>
  <c r="AD1437" i="2"/>
  <c r="AC1437" i="2"/>
  <c r="AB1437" i="2"/>
  <c r="AA1437" i="2"/>
  <c r="Z1437" i="2"/>
  <c r="Y1437" i="2"/>
  <c r="X1437" i="2"/>
  <c r="W1437" i="2"/>
  <c r="V1437" i="2"/>
  <c r="U1437" i="2"/>
  <c r="T1437" i="2"/>
  <c r="A1441" i="3" s="1"/>
  <c r="AM1436" i="2"/>
  <c r="AL1436" i="2"/>
  <c r="AK1436" i="2"/>
  <c r="AJ1436" i="2"/>
  <c r="AI1436" i="2"/>
  <c r="AH1436" i="2"/>
  <c r="F1436" i="4" s="1"/>
  <c r="AG1436" i="2"/>
  <c r="AF1436" i="2"/>
  <c r="AE1436" i="2"/>
  <c r="AD1436" i="2"/>
  <c r="AC1436" i="2"/>
  <c r="AB1436" i="2"/>
  <c r="AA1436" i="2"/>
  <c r="Z1436" i="2"/>
  <c r="Y1436" i="2"/>
  <c r="X1436" i="2"/>
  <c r="W1436" i="2"/>
  <c r="V1436" i="2"/>
  <c r="U1436" i="2"/>
  <c r="T1436" i="2"/>
  <c r="A1440" i="3" s="1"/>
  <c r="AM1435" i="2"/>
  <c r="AL1435" i="2"/>
  <c r="AK1435" i="2"/>
  <c r="AJ1435" i="2"/>
  <c r="AI1435" i="2"/>
  <c r="AH1435" i="2"/>
  <c r="F1435" i="4" s="1"/>
  <c r="AG1435" i="2"/>
  <c r="AF1435" i="2"/>
  <c r="AE1435" i="2"/>
  <c r="AD1435" i="2"/>
  <c r="AC1435" i="2"/>
  <c r="AB1435" i="2"/>
  <c r="AA1435" i="2"/>
  <c r="Z1435" i="2"/>
  <c r="Y1435" i="2"/>
  <c r="X1435" i="2"/>
  <c r="W1435" i="2"/>
  <c r="V1435" i="2"/>
  <c r="U1435" i="2"/>
  <c r="T1435" i="2"/>
  <c r="A1439" i="3" s="1"/>
  <c r="AM1434" i="2"/>
  <c r="AL1434" i="2"/>
  <c r="AK1434" i="2"/>
  <c r="AJ1434" i="2"/>
  <c r="AI1434" i="2"/>
  <c r="AH1434" i="2"/>
  <c r="F1434" i="4" s="1"/>
  <c r="AG1434" i="2"/>
  <c r="AF1434" i="2"/>
  <c r="AE1434" i="2"/>
  <c r="AD1434" i="2"/>
  <c r="AC1434" i="2"/>
  <c r="AB1434" i="2"/>
  <c r="AA1434" i="2"/>
  <c r="Z1434" i="2"/>
  <c r="Y1434" i="2"/>
  <c r="X1434" i="2"/>
  <c r="W1434" i="2"/>
  <c r="V1434" i="2"/>
  <c r="U1434" i="2"/>
  <c r="T1434" i="2"/>
  <c r="A1438" i="3" s="1"/>
  <c r="AM1433" i="2"/>
  <c r="AL1433" i="2"/>
  <c r="AK1433" i="2"/>
  <c r="AJ1433" i="2"/>
  <c r="AI1433" i="2"/>
  <c r="AH1433" i="2"/>
  <c r="F1433" i="4" s="1"/>
  <c r="AG1433" i="2"/>
  <c r="AF1433" i="2"/>
  <c r="AE1433" i="2"/>
  <c r="AD1433" i="2"/>
  <c r="AC1433" i="2"/>
  <c r="AB1433" i="2"/>
  <c r="AA1433" i="2"/>
  <c r="Z1433" i="2"/>
  <c r="Y1433" i="2"/>
  <c r="X1433" i="2"/>
  <c r="W1433" i="2"/>
  <c r="V1433" i="2"/>
  <c r="U1433" i="2"/>
  <c r="T1433" i="2"/>
  <c r="A1437" i="3" s="1"/>
  <c r="AM1432" i="2"/>
  <c r="AL1432" i="2"/>
  <c r="AK1432" i="2"/>
  <c r="AJ1432" i="2"/>
  <c r="AI1432" i="2"/>
  <c r="AH1432" i="2"/>
  <c r="F1432" i="4" s="1"/>
  <c r="AG1432" i="2"/>
  <c r="AF1432" i="2"/>
  <c r="AE1432" i="2"/>
  <c r="AD1432" i="2"/>
  <c r="AC1432" i="2"/>
  <c r="AB1432" i="2"/>
  <c r="AA1432" i="2"/>
  <c r="Z1432" i="2"/>
  <c r="Y1432" i="2"/>
  <c r="X1432" i="2"/>
  <c r="W1432" i="2"/>
  <c r="V1432" i="2"/>
  <c r="U1432" i="2"/>
  <c r="T1432" i="2"/>
  <c r="A1436" i="3" s="1"/>
  <c r="AM1431" i="2"/>
  <c r="AL1431" i="2"/>
  <c r="AK1431" i="2"/>
  <c r="AJ1431" i="2"/>
  <c r="AI1431" i="2"/>
  <c r="AH1431" i="2"/>
  <c r="F1431" i="4" s="1"/>
  <c r="AG1431" i="2"/>
  <c r="AF1431" i="2"/>
  <c r="AE1431" i="2"/>
  <c r="AD1431" i="2"/>
  <c r="AC1431" i="2"/>
  <c r="AB1431" i="2"/>
  <c r="AA1431" i="2"/>
  <c r="Z1431" i="2"/>
  <c r="Y1431" i="2"/>
  <c r="X1431" i="2"/>
  <c r="W1431" i="2"/>
  <c r="V1431" i="2"/>
  <c r="U1431" i="2"/>
  <c r="T1431" i="2"/>
  <c r="A1435" i="3" s="1"/>
  <c r="AM1430" i="2"/>
  <c r="AL1430" i="2"/>
  <c r="AK1430" i="2"/>
  <c r="AJ1430" i="2"/>
  <c r="AI1430" i="2"/>
  <c r="AH1430" i="2"/>
  <c r="F1430" i="4" s="1"/>
  <c r="AG1430" i="2"/>
  <c r="AF1430" i="2"/>
  <c r="AE1430" i="2"/>
  <c r="AD1430" i="2"/>
  <c r="AC1430" i="2"/>
  <c r="AB1430" i="2"/>
  <c r="AA1430" i="2"/>
  <c r="Z1430" i="2"/>
  <c r="Y1430" i="2"/>
  <c r="X1430" i="2"/>
  <c r="W1430" i="2"/>
  <c r="V1430" i="2"/>
  <c r="U1430" i="2"/>
  <c r="T1430" i="2"/>
  <c r="A1434" i="3" s="1"/>
  <c r="AM1429" i="2"/>
  <c r="AL1429" i="2"/>
  <c r="AK1429" i="2"/>
  <c r="AJ1429" i="2"/>
  <c r="AI1429" i="2"/>
  <c r="AH1429" i="2"/>
  <c r="F1429" i="4" s="1"/>
  <c r="AG1429" i="2"/>
  <c r="AF1429" i="2"/>
  <c r="AE1429" i="2"/>
  <c r="AD1429" i="2"/>
  <c r="AC1429" i="2"/>
  <c r="AB1429" i="2"/>
  <c r="AA1429" i="2"/>
  <c r="Z1429" i="2"/>
  <c r="Y1429" i="2"/>
  <c r="X1429" i="2"/>
  <c r="W1429" i="2"/>
  <c r="V1429" i="2"/>
  <c r="U1429" i="2"/>
  <c r="T1429" i="2"/>
  <c r="A1433" i="3" s="1"/>
  <c r="AM1428" i="2"/>
  <c r="AL1428" i="2"/>
  <c r="AK1428" i="2"/>
  <c r="AJ1428" i="2"/>
  <c r="AI1428" i="2"/>
  <c r="AH1428" i="2"/>
  <c r="F1428" i="4" s="1"/>
  <c r="AG1428" i="2"/>
  <c r="AF1428" i="2"/>
  <c r="AE1428" i="2"/>
  <c r="AD1428" i="2"/>
  <c r="AC1428" i="2"/>
  <c r="AB1428" i="2"/>
  <c r="AA1428" i="2"/>
  <c r="Z1428" i="2"/>
  <c r="Y1428" i="2"/>
  <c r="X1428" i="2"/>
  <c r="W1428" i="2"/>
  <c r="V1428" i="2"/>
  <c r="U1428" i="2"/>
  <c r="T1428" i="2"/>
  <c r="A1432" i="3" s="1"/>
  <c r="AM1427" i="2"/>
  <c r="AL1427" i="2"/>
  <c r="AK1427" i="2"/>
  <c r="AJ1427" i="2"/>
  <c r="AI1427" i="2"/>
  <c r="AH1427" i="2"/>
  <c r="F1427" i="4" s="1"/>
  <c r="AG1427" i="2"/>
  <c r="AF1427" i="2"/>
  <c r="AE1427" i="2"/>
  <c r="AD1427" i="2"/>
  <c r="AC1427" i="2"/>
  <c r="AB1427" i="2"/>
  <c r="AA1427" i="2"/>
  <c r="Z1427" i="2"/>
  <c r="Y1427" i="2"/>
  <c r="X1427" i="2"/>
  <c r="W1427" i="2"/>
  <c r="V1427" i="2"/>
  <c r="U1427" i="2"/>
  <c r="T1427" i="2"/>
  <c r="A1431" i="3" s="1"/>
  <c r="AM1426" i="2"/>
  <c r="AL1426" i="2"/>
  <c r="AK1426" i="2"/>
  <c r="AJ1426" i="2"/>
  <c r="AI1426" i="2"/>
  <c r="AH1426" i="2"/>
  <c r="F1426" i="4" s="1"/>
  <c r="AG1426" i="2"/>
  <c r="AF1426" i="2"/>
  <c r="AE1426" i="2"/>
  <c r="AD1426" i="2"/>
  <c r="AC1426" i="2"/>
  <c r="AB1426" i="2"/>
  <c r="AA1426" i="2"/>
  <c r="Z1426" i="2"/>
  <c r="Y1426" i="2"/>
  <c r="X1426" i="2"/>
  <c r="W1426" i="2"/>
  <c r="V1426" i="2"/>
  <c r="U1426" i="2"/>
  <c r="T1426" i="2"/>
  <c r="A1430" i="3" s="1"/>
  <c r="AM1425" i="2"/>
  <c r="AL1425" i="2"/>
  <c r="AK1425" i="2"/>
  <c r="AJ1425" i="2"/>
  <c r="AI1425" i="2"/>
  <c r="AH1425" i="2"/>
  <c r="F1425" i="4" s="1"/>
  <c r="AG1425" i="2"/>
  <c r="AF1425" i="2"/>
  <c r="AE1425" i="2"/>
  <c r="AD1425" i="2"/>
  <c r="AC1425" i="2"/>
  <c r="AB1425" i="2"/>
  <c r="AA1425" i="2"/>
  <c r="Z1425" i="2"/>
  <c r="Y1425" i="2"/>
  <c r="X1425" i="2"/>
  <c r="W1425" i="2"/>
  <c r="V1425" i="2"/>
  <c r="U1425" i="2"/>
  <c r="T1425" i="2"/>
  <c r="A1429" i="3" s="1"/>
  <c r="AM1424" i="2"/>
  <c r="AL1424" i="2"/>
  <c r="AK1424" i="2"/>
  <c r="AJ1424" i="2"/>
  <c r="AI1424" i="2"/>
  <c r="AH1424" i="2"/>
  <c r="F1424" i="4" s="1"/>
  <c r="AG1424" i="2"/>
  <c r="AF1424" i="2"/>
  <c r="AE1424" i="2"/>
  <c r="AD1424" i="2"/>
  <c r="AC1424" i="2"/>
  <c r="AB1424" i="2"/>
  <c r="AA1424" i="2"/>
  <c r="Z1424" i="2"/>
  <c r="Y1424" i="2"/>
  <c r="X1424" i="2"/>
  <c r="W1424" i="2"/>
  <c r="V1424" i="2"/>
  <c r="U1424" i="2"/>
  <c r="T1424" i="2"/>
  <c r="A1428" i="3" s="1"/>
  <c r="AM1423" i="2"/>
  <c r="AL1423" i="2"/>
  <c r="AK1423" i="2"/>
  <c r="AJ1423" i="2"/>
  <c r="AI1423" i="2"/>
  <c r="AH1423" i="2"/>
  <c r="F1423" i="4" s="1"/>
  <c r="AG1423" i="2"/>
  <c r="AF1423" i="2"/>
  <c r="AE1423" i="2"/>
  <c r="AD1423" i="2"/>
  <c r="AC1423" i="2"/>
  <c r="AB1423" i="2"/>
  <c r="AA1423" i="2"/>
  <c r="Z1423" i="2"/>
  <c r="Y1423" i="2"/>
  <c r="X1423" i="2"/>
  <c r="W1423" i="2"/>
  <c r="V1423" i="2"/>
  <c r="U1423" i="2"/>
  <c r="T1423" i="2"/>
  <c r="A1427" i="3" s="1"/>
  <c r="AM1422" i="2"/>
  <c r="AL1422" i="2"/>
  <c r="AK1422" i="2"/>
  <c r="AJ1422" i="2"/>
  <c r="AI1422" i="2"/>
  <c r="AH1422" i="2"/>
  <c r="F1422" i="4" s="1"/>
  <c r="AG1422" i="2"/>
  <c r="AF1422" i="2"/>
  <c r="AE1422" i="2"/>
  <c r="AD1422" i="2"/>
  <c r="AC1422" i="2"/>
  <c r="AB1422" i="2"/>
  <c r="AA1422" i="2"/>
  <c r="Z1422" i="2"/>
  <c r="Y1422" i="2"/>
  <c r="X1422" i="2"/>
  <c r="W1422" i="2"/>
  <c r="V1422" i="2"/>
  <c r="U1422" i="2"/>
  <c r="T1422" i="2"/>
  <c r="A1426" i="3" s="1"/>
  <c r="AM1421" i="2"/>
  <c r="AL1421" i="2"/>
  <c r="AK1421" i="2"/>
  <c r="AJ1421" i="2"/>
  <c r="AI1421" i="2"/>
  <c r="AH1421" i="2"/>
  <c r="F1421" i="4" s="1"/>
  <c r="AG1421" i="2"/>
  <c r="AF1421" i="2"/>
  <c r="AE1421" i="2"/>
  <c r="AD1421" i="2"/>
  <c r="AC1421" i="2"/>
  <c r="AB1421" i="2"/>
  <c r="AA1421" i="2"/>
  <c r="Z1421" i="2"/>
  <c r="Y1421" i="2"/>
  <c r="X1421" i="2"/>
  <c r="W1421" i="2"/>
  <c r="V1421" i="2"/>
  <c r="U1421" i="2"/>
  <c r="T1421" i="2"/>
  <c r="A1425" i="3" s="1"/>
  <c r="AM1420" i="2"/>
  <c r="AL1420" i="2"/>
  <c r="AK1420" i="2"/>
  <c r="AJ1420" i="2"/>
  <c r="AI1420" i="2"/>
  <c r="AH1420" i="2"/>
  <c r="F1420" i="4" s="1"/>
  <c r="AG1420" i="2"/>
  <c r="AF1420" i="2"/>
  <c r="AE1420" i="2"/>
  <c r="AD1420" i="2"/>
  <c r="AC1420" i="2"/>
  <c r="AB1420" i="2"/>
  <c r="AA1420" i="2"/>
  <c r="Z1420" i="2"/>
  <c r="Y1420" i="2"/>
  <c r="X1420" i="2"/>
  <c r="W1420" i="2"/>
  <c r="V1420" i="2"/>
  <c r="U1420" i="2"/>
  <c r="T1420" i="2"/>
  <c r="A1424" i="3" s="1"/>
  <c r="AM1419" i="2"/>
  <c r="AL1419" i="2"/>
  <c r="AK1419" i="2"/>
  <c r="AJ1419" i="2"/>
  <c r="AI1419" i="2"/>
  <c r="AH1419" i="2"/>
  <c r="F1419" i="4" s="1"/>
  <c r="AG1419" i="2"/>
  <c r="AF1419" i="2"/>
  <c r="AE1419" i="2"/>
  <c r="AD1419" i="2"/>
  <c r="AC1419" i="2"/>
  <c r="AB1419" i="2"/>
  <c r="AA1419" i="2"/>
  <c r="Z1419" i="2"/>
  <c r="Y1419" i="2"/>
  <c r="X1419" i="2"/>
  <c r="W1419" i="2"/>
  <c r="V1419" i="2"/>
  <c r="U1419" i="2"/>
  <c r="T1419" i="2"/>
  <c r="A1423" i="3" s="1"/>
  <c r="AM1418" i="2"/>
  <c r="AL1418" i="2"/>
  <c r="AK1418" i="2"/>
  <c r="AJ1418" i="2"/>
  <c r="AI1418" i="2"/>
  <c r="AH1418" i="2"/>
  <c r="F1418" i="4" s="1"/>
  <c r="AG1418" i="2"/>
  <c r="AF1418" i="2"/>
  <c r="AE1418" i="2"/>
  <c r="AD1418" i="2"/>
  <c r="AC1418" i="2"/>
  <c r="AB1418" i="2"/>
  <c r="AA1418" i="2"/>
  <c r="Z1418" i="2"/>
  <c r="Y1418" i="2"/>
  <c r="X1418" i="2"/>
  <c r="W1418" i="2"/>
  <c r="V1418" i="2"/>
  <c r="U1418" i="2"/>
  <c r="T1418" i="2"/>
  <c r="A1422" i="3" s="1"/>
  <c r="AM1417" i="2"/>
  <c r="AL1417" i="2"/>
  <c r="AK1417" i="2"/>
  <c r="AJ1417" i="2"/>
  <c r="AI1417" i="2"/>
  <c r="AH1417" i="2"/>
  <c r="F1417" i="4" s="1"/>
  <c r="AG1417" i="2"/>
  <c r="AF1417" i="2"/>
  <c r="AE1417" i="2"/>
  <c r="AD1417" i="2"/>
  <c r="AC1417" i="2"/>
  <c r="AB1417" i="2"/>
  <c r="AA1417" i="2"/>
  <c r="Z1417" i="2"/>
  <c r="Y1417" i="2"/>
  <c r="X1417" i="2"/>
  <c r="W1417" i="2"/>
  <c r="V1417" i="2"/>
  <c r="U1417" i="2"/>
  <c r="T1417" i="2"/>
  <c r="A1421" i="3" s="1"/>
  <c r="AM1416" i="2"/>
  <c r="AL1416" i="2"/>
  <c r="AK1416" i="2"/>
  <c r="AJ1416" i="2"/>
  <c r="AI1416" i="2"/>
  <c r="AH1416" i="2"/>
  <c r="F1416" i="4" s="1"/>
  <c r="AG1416" i="2"/>
  <c r="AF1416" i="2"/>
  <c r="AE1416" i="2"/>
  <c r="AD1416" i="2"/>
  <c r="AC1416" i="2"/>
  <c r="AB1416" i="2"/>
  <c r="AA1416" i="2"/>
  <c r="Z1416" i="2"/>
  <c r="Y1416" i="2"/>
  <c r="X1416" i="2"/>
  <c r="W1416" i="2"/>
  <c r="V1416" i="2"/>
  <c r="U1416" i="2"/>
  <c r="T1416" i="2"/>
  <c r="A1420" i="3" s="1"/>
  <c r="AM1415" i="2"/>
  <c r="AL1415" i="2"/>
  <c r="AK1415" i="2"/>
  <c r="AJ1415" i="2"/>
  <c r="AI1415" i="2"/>
  <c r="AH1415" i="2"/>
  <c r="F1415" i="4" s="1"/>
  <c r="AG1415" i="2"/>
  <c r="AF1415" i="2"/>
  <c r="AE1415" i="2"/>
  <c r="AD1415" i="2"/>
  <c r="AC1415" i="2"/>
  <c r="AB1415" i="2"/>
  <c r="AA1415" i="2"/>
  <c r="Z1415" i="2"/>
  <c r="Y1415" i="2"/>
  <c r="X1415" i="2"/>
  <c r="W1415" i="2"/>
  <c r="V1415" i="2"/>
  <c r="U1415" i="2"/>
  <c r="T1415" i="2"/>
  <c r="A1419" i="3" s="1"/>
  <c r="AM1414" i="2"/>
  <c r="AL1414" i="2"/>
  <c r="AK1414" i="2"/>
  <c r="AJ1414" i="2"/>
  <c r="AI1414" i="2"/>
  <c r="AH1414" i="2"/>
  <c r="F1414" i="4" s="1"/>
  <c r="AG1414" i="2"/>
  <c r="AF1414" i="2"/>
  <c r="AE1414" i="2"/>
  <c r="AD1414" i="2"/>
  <c r="AC1414" i="2"/>
  <c r="AB1414" i="2"/>
  <c r="AA1414" i="2"/>
  <c r="Z1414" i="2"/>
  <c r="Y1414" i="2"/>
  <c r="X1414" i="2"/>
  <c r="W1414" i="2"/>
  <c r="V1414" i="2"/>
  <c r="U1414" i="2"/>
  <c r="T1414" i="2"/>
  <c r="A1418" i="3" s="1"/>
  <c r="AM1413" i="2"/>
  <c r="AL1413" i="2"/>
  <c r="AK1413" i="2"/>
  <c r="AJ1413" i="2"/>
  <c r="AI1413" i="2"/>
  <c r="AH1413" i="2"/>
  <c r="F1413" i="4" s="1"/>
  <c r="AG1413" i="2"/>
  <c r="AF1413" i="2"/>
  <c r="AE1413" i="2"/>
  <c r="AD1413" i="2"/>
  <c r="AC1413" i="2"/>
  <c r="AB1413" i="2"/>
  <c r="AA1413" i="2"/>
  <c r="Z1413" i="2"/>
  <c r="Y1413" i="2"/>
  <c r="X1413" i="2"/>
  <c r="W1413" i="2"/>
  <c r="V1413" i="2"/>
  <c r="U1413" i="2"/>
  <c r="T1413" i="2"/>
  <c r="A1417" i="3" s="1"/>
  <c r="AM1412" i="2"/>
  <c r="AL1412" i="2"/>
  <c r="AK1412" i="2"/>
  <c r="AJ1412" i="2"/>
  <c r="AI1412" i="2"/>
  <c r="AH1412" i="2"/>
  <c r="F1412" i="4" s="1"/>
  <c r="AG1412" i="2"/>
  <c r="AF1412" i="2"/>
  <c r="AE1412" i="2"/>
  <c r="AD1412" i="2"/>
  <c r="AC1412" i="2"/>
  <c r="AB1412" i="2"/>
  <c r="AA1412" i="2"/>
  <c r="Z1412" i="2"/>
  <c r="Y1412" i="2"/>
  <c r="X1412" i="2"/>
  <c r="W1412" i="2"/>
  <c r="V1412" i="2"/>
  <c r="U1412" i="2"/>
  <c r="T1412" i="2"/>
  <c r="A1416" i="3" s="1"/>
  <c r="AM1411" i="2"/>
  <c r="AL1411" i="2"/>
  <c r="AK1411" i="2"/>
  <c r="AJ1411" i="2"/>
  <c r="AI1411" i="2"/>
  <c r="AH1411" i="2"/>
  <c r="F1411" i="4" s="1"/>
  <c r="AG1411" i="2"/>
  <c r="AF1411" i="2"/>
  <c r="AE1411" i="2"/>
  <c r="AD1411" i="2"/>
  <c r="AC1411" i="2"/>
  <c r="AB1411" i="2"/>
  <c r="AA1411" i="2"/>
  <c r="Z1411" i="2"/>
  <c r="Y1411" i="2"/>
  <c r="X1411" i="2"/>
  <c r="W1411" i="2"/>
  <c r="V1411" i="2"/>
  <c r="U1411" i="2"/>
  <c r="T1411" i="2"/>
  <c r="A1415" i="3" s="1"/>
  <c r="AM1410" i="2"/>
  <c r="AL1410" i="2"/>
  <c r="AK1410" i="2"/>
  <c r="AJ1410" i="2"/>
  <c r="AI1410" i="2"/>
  <c r="AH1410" i="2"/>
  <c r="F1410" i="4" s="1"/>
  <c r="AG1410" i="2"/>
  <c r="AF1410" i="2"/>
  <c r="AE1410" i="2"/>
  <c r="AD1410" i="2"/>
  <c r="AC1410" i="2"/>
  <c r="AB1410" i="2"/>
  <c r="AA1410" i="2"/>
  <c r="Z1410" i="2"/>
  <c r="Y1410" i="2"/>
  <c r="X1410" i="2"/>
  <c r="W1410" i="2"/>
  <c r="V1410" i="2"/>
  <c r="U1410" i="2"/>
  <c r="T1410" i="2"/>
  <c r="A1414" i="3" s="1"/>
  <c r="AM1409" i="2"/>
  <c r="AL1409" i="2"/>
  <c r="AK1409" i="2"/>
  <c r="AJ1409" i="2"/>
  <c r="AI1409" i="2"/>
  <c r="AH1409" i="2"/>
  <c r="F1409" i="4" s="1"/>
  <c r="AG1409" i="2"/>
  <c r="AF1409" i="2"/>
  <c r="AE1409" i="2"/>
  <c r="AD1409" i="2"/>
  <c r="AC1409" i="2"/>
  <c r="AB1409" i="2"/>
  <c r="AA1409" i="2"/>
  <c r="Z1409" i="2"/>
  <c r="Y1409" i="2"/>
  <c r="X1409" i="2"/>
  <c r="W1409" i="2"/>
  <c r="V1409" i="2"/>
  <c r="U1409" i="2"/>
  <c r="T1409" i="2"/>
  <c r="A1413" i="3" s="1"/>
  <c r="AM1408" i="2"/>
  <c r="AL1408" i="2"/>
  <c r="AK1408" i="2"/>
  <c r="AJ1408" i="2"/>
  <c r="AI1408" i="2"/>
  <c r="AH1408" i="2"/>
  <c r="F1408" i="4" s="1"/>
  <c r="AG1408" i="2"/>
  <c r="AF1408" i="2"/>
  <c r="AE1408" i="2"/>
  <c r="AD1408" i="2"/>
  <c r="AC1408" i="2"/>
  <c r="AB1408" i="2"/>
  <c r="AA1408" i="2"/>
  <c r="Z1408" i="2"/>
  <c r="Y1408" i="2"/>
  <c r="X1408" i="2"/>
  <c r="W1408" i="2"/>
  <c r="V1408" i="2"/>
  <c r="U1408" i="2"/>
  <c r="T1408" i="2"/>
  <c r="A1412" i="3" s="1"/>
  <c r="AM1407" i="2"/>
  <c r="AL1407" i="2"/>
  <c r="AK1407" i="2"/>
  <c r="AJ1407" i="2"/>
  <c r="AI1407" i="2"/>
  <c r="AH1407" i="2"/>
  <c r="F1407" i="4" s="1"/>
  <c r="AG1407" i="2"/>
  <c r="AF1407" i="2"/>
  <c r="AE1407" i="2"/>
  <c r="AD1407" i="2"/>
  <c r="AC1407" i="2"/>
  <c r="AB1407" i="2"/>
  <c r="AA1407" i="2"/>
  <c r="Z1407" i="2"/>
  <c r="Y1407" i="2"/>
  <c r="X1407" i="2"/>
  <c r="W1407" i="2"/>
  <c r="V1407" i="2"/>
  <c r="U1407" i="2"/>
  <c r="T1407" i="2"/>
  <c r="A1411" i="3" s="1"/>
  <c r="AM1406" i="2"/>
  <c r="AL1406" i="2"/>
  <c r="AK1406" i="2"/>
  <c r="AJ1406" i="2"/>
  <c r="AI1406" i="2"/>
  <c r="AH1406" i="2"/>
  <c r="F1406" i="4" s="1"/>
  <c r="AG1406" i="2"/>
  <c r="AF1406" i="2"/>
  <c r="AE1406" i="2"/>
  <c r="AD1406" i="2"/>
  <c r="AC1406" i="2"/>
  <c r="AB1406" i="2"/>
  <c r="AA1406" i="2"/>
  <c r="Z1406" i="2"/>
  <c r="Y1406" i="2"/>
  <c r="X1406" i="2"/>
  <c r="W1406" i="2"/>
  <c r="V1406" i="2"/>
  <c r="U1406" i="2"/>
  <c r="T1406" i="2"/>
  <c r="A1410" i="3" s="1"/>
  <c r="AM1405" i="2"/>
  <c r="AL1405" i="2"/>
  <c r="AK1405" i="2"/>
  <c r="AJ1405" i="2"/>
  <c r="AI1405" i="2"/>
  <c r="AH1405" i="2"/>
  <c r="F1405" i="4" s="1"/>
  <c r="AG1405" i="2"/>
  <c r="AF1405" i="2"/>
  <c r="AE1405" i="2"/>
  <c r="AD1405" i="2"/>
  <c r="AC1405" i="2"/>
  <c r="AB1405" i="2"/>
  <c r="AA1405" i="2"/>
  <c r="Z1405" i="2"/>
  <c r="Y1405" i="2"/>
  <c r="X1405" i="2"/>
  <c r="W1405" i="2"/>
  <c r="V1405" i="2"/>
  <c r="U1405" i="2"/>
  <c r="T1405" i="2"/>
  <c r="A1409" i="3" s="1"/>
  <c r="AM1404" i="2"/>
  <c r="AL1404" i="2"/>
  <c r="AK1404" i="2"/>
  <c r="AJ1404" i="2"/>
  <c r="AI1404" i="2"/>
  <c r="AH1404" i="2"/>
  <c r="F1404" i="4" s="1"/>
  <c r="AG1404" i="2"/>
  <c r="AF1404" i="2"/>
  <c r="AE1404" i="2"/>
  <c r="AD1404" i="2"/>
  <c r="AC1404" i="2"/>
  <c r="AB1404" i="2"/>
  <c r="AA1404" i="2"/>
  <c r="Z1404" i="2"/>
  <c r="Y1404" i="2"/>
  <c r="X1404" i="2"/>
  <c r="W1404" i="2"/>
  <c r="V1404" i="2"/>
  <c r="U1404" i="2"/>
  <c r="T1404" i="2"/>
  <c r="A1408" i="3" s="1"/>
  <c r="AM1403" i="2"/>
  <c r="AL1403" i="2"/>
  <c r="AK1403" i="2"/>
  <c r="AJ1403" i="2"/>
  <c r="AI1403" i="2"/>
  <c r="AH1403" i="2"/>
  <c r="F1403" i="4" s="1"/>
  <c r="AG1403" i="2"/>
  <c r="AF1403" i="2"/>
  <c r="AE1403" i="2"/>
  <c r="AD1403" i="2"/>
  <c r="AC1403" i="2"/>
  <c r="AB1403" i="2"/>
  <c r="AA1403" i="2"/>
  <c r="Z1403" i="2"/>
  <c r="Y1403" i="2"/>
  <c r="X1403" i="2"/>
  <c r="W1403" i="2"/>
  <c r="V1403" i="2"/>
  <c r="U1403" i="2"/>
  <c r="T1403" i="2"/>
  <c r="A1407" i="3" s="1"/>
  <c r="AM1402" i="2"/>
  <c r="AL1402" i="2"/>
  <c r="AK1402" i="2"/>
  <c r="AJ1402" i="2"/>
  <c r="AI1402" i="2"/>
  <c r="AH1402" i="2"/>
  <c r="F1402" i="4" s="1"/>
  <c r="AG1402" i="2"/>
  <c r="AF1402" i="2"/>
  <c r="AE1402" i="2"/>
  <c r="AD1402" i="2"/>
  <c r="AC1402" i="2"/>
  <c r="AB1402" i="2"/>
  <c r="AA1402" i="2"/>
  <c r="Z1402" i="2"/>
  <c r="Y1402" i="2"/>
  <c r="X1402" i="2"/>
  <c r="W1402" i="2"/>
  <c r="V1402" i="2"/>
  <c r="U1402" i="2"/>
  <c r="T1402" i="2"/>
  <c r="A1406" i="3" s="1"/>
  <c r="AM1401" i="2"/>
  <c r="AL1401" i="2"/>
  <c r="AK1401" i="2"/>
  <c r="AJ1401" i="2"/>
  <c r="AI1401" i="2"/>
  <c r="AH1401" i="2"/>
  <c r="F1401" i="4" s="1"/>
  <c r="AG1401" i="2"/>
  <c r="AF1401" i="2"/>
  <c r="AE1401" i="2"/>
  <c r="AD1401" i="2"/>
  <c r="AC1401" i="2"/>
  <c r="AB1401" i="2"/>
  <c r="AA1401" i="2"/>
  <c r="Z1401" i="2"/>
  <c r="Y1401" i="2"/>
  <c r="X1401" i="2"/>
  <c r="W1401" i="2"/>
  <c r="V1401" i="2"/>
  <c r="U1401" i="2"/>
  <c r="T1401" i="2"/>
  <c r="A1405" i="3" s="1"/>
  <c r="AM1400" i="2"/>
  <c r="AL1400" i="2"/>
  <c r="AK1400" i="2"/>
  <c r="AJ1400" i="2"/>
  <c r="AI1400" i="2"/>
  <c r="AH1400" i="2"/>
  <c r="F1400" i="4" s="1"/>
  <c r="AG1400" i="2"/>
  <c r="AF1400" i="2"/>
  <c r="AE1400" i="2"/>
  <c r="AD1400" i="2"/>
  <c r="AC1400" i="2"/>
  <c r="AB1400" i="2"/>
  <c r="AA1400" i="2"/>
  <c r="Z1400" i="2"/>
  <c r="Y1400" i="2"/>
  <c r="X1400" i="2"/>
  <c r="W1400" i="2"/>
  <c r="V1400" i="2"/>
  <c r="U1400" i="2"/>
  <c r="T1400" i="2"/>
  <c r="A1404" i="3" s="1"/>
  <c r="AM1399" i="2"/>
  <c r="AL1399" i="2"/>
  <c r="AK1399" i="2"/>
  <c r="AJ1399" i="2"/>
  <c r="AI1399" i="2"/>
  <c r="AH1399" i="2"/>
  <c r="F1399" i="4" s="1"/>
  <c r="AG1399" i="2"/>
  <c r="AF1399" i="2"/>
  <c r="AE1399" i="2"/>
  <c r="AD1399" i="2"/>
  <c r="AC1399" i="2"/>
  <c r="AB1399" i="2"/>
  <c r="AA1399" i="2"/>
  <c r="Z1399" i="2"/>
  <c r="Y1399" i="2"/>
  <c r="X1399" i="2"/>
  <c r="W1399" i="2"/>
  <c r="V1399" i="2"/>
  <c r="U1399" i="2"/>
  <c r="T1399" i="2"/>
  <c r="A1403" i="3" s="1"/>
  <c r="AM1398" i="2"/>
  <c r="AL1398" i="2"/>
  <c r="AK1398" i="2"/>
  <c r="AJ1398" i="2"/>
  <c r="AI1398" i="2"/>
  <c r="AH1398" i="2"/>
  <c r="F1398" i="4" s="1"/>
  <c r="AG1398" i="2"/>
  <c r="AF1398" i="2"/>
  <c r="AE1398" i="2"/>
  <c r="AD1398" i="2"/>
  <c r="AC1398" i="2"/>
  <c r="AB1398" i="2"/>
  <c r="AA1398" i="2"/>
  <c r="Z1398" i="2"/>
  <c r="Y1398" i="2"/>
  <c r="X1398" i="2"/>
  <c r="W1398" i="2"/>
  <c r="V1398" i="2"/>
  <c r="U1398" i="2"/>
  <c r="T1398" i="2"/>
  <c r="A1402" i="3" s="1"/>
  <c r="AM1397" i="2"/>
  <c r="AL1397" i="2"/>
  <c r="AK1397" i="2"/>
  <c r="AJ1397" i="2"/>
  <c r="AI1397" i="2"/>
  <c r="AH1397" i="2"/>
  <c r="F1397" i="4" s="1"/>
  <c r="AG1397" i="2"/>
  <c r="AF1397" i="2"/>
  <c r="AE1397" i="2"/>
  <c r="AD1397" i="2"/>
  <c r="AC1397" i="2"/>
  <c r="AB1397" i="2"/>
  <c r="AA1397" i="2"/>
  <c r="Z1397" i="2"/>
  <c r="Y1397" i="2"/>
  <c r="X1397" i="2"/>
  <c r="W1397" i="2"/>
  <c r="V1397" i="2"/>
  <c r="U1397" i="2"/>
  <c r="T1397" i="2"/>
  <c r="A1401" i="3" s="1"/>
  <c r="AM1396" i="2"/>
  <c r="AL1396" i="2"/>
  <c r="AK1396" i="2"/>
  <c r="AJ1396" i="2"/>
  <c r="AI1396" i="2"/>
  <c r="AH1396" i="2"/>
  <c r="F1396" i="4" s="1"/>
  <c r="AG1396" i="2"/>
  <c r="AF1396" i="2"/>
  <c r="AE1396" i="2"/>
  <c r="AD1396" i="2"/>
  <c r="AC1396" i="2"/>
  <c r="AB1396" i="2"/>
  <c r="AA1396" i="2"/>
  <c r="Z1396" i="2"/>
  <c r="Y1396" i="2"/>
  <c r="X1396" i="2"/>
  <c r="W1396" i="2"/>
  <c r="V1396" i="2"/>
  <c r="U1396" i="2"/>
  <c r="T1396" i="2"/>
  <c r="A1400" i="3" s="1"/>
  <c r="AM1395" i="2"/>
  <c r="AL1395" i="2"/>
  <c r="AK1395" i="2"/>
  <c r="AJ1395" i="2"/>
  <c r="AI1395" i="2"/>
  <c r="AH1395" i="2"/>
  <c r="F1395" i="4" s="1"/>
  <c r="AG1395" i="2"/>
  <c r="AF1395" i="2"/>
  <c r="AE1395" i="2"/>
  <c r="AD1395" i="2"/>
  <c r="AC1395" i="2"/>
  <c r="AB1395" i="2"/>
  <c r="AA1395" i="2"/>
  <c r="Z1395" i="2"/>
  <c r="Y1395" i="2"/>
  <c r="X1395" i="2"/>
  <c r="W1395" i="2"/>
  <c r="V1395" i="2"/>
  <c r="U1395" i="2"/>
  <c r="T1395" i="2"/>
  <c r="A1399" i="3" s="1"/>
  <c r="AM1394" i="2"/>
  <c r="AL1394" i="2"/>
  <c r="AK1394" i="2"/>
  <c r="AJ1394" i="2"/>
  <c r="AI1394" i="2"/>
  <c r="AH1394" i="2"/>
  <c r="F1394" i="4" s="1"/>
  <c r="AG1394" i="2"/>
  <c r="AF1394" i="2"/>
  <c r="AE1394" i="2"/>
  <c r="AD1394" i="2"/>
  <c r="AC1394" i="2"/>
  <c r="AB1394" i="2"/>
  <c r="AA1394" i="2"/>
  <c r="Z1394" i="2"/>
  <c r="Y1394" i="2"/>
  <c r="X1394" i="2"/>
  <c r="W1394" i="2"/>
  <c r="V1394" i="2"/>
  <c r="U1394" i="2"/>
  <c r="T1394" i="2"/>
  <c r="A1398" i="3" s="1"/>
  <c r="AM1393" i="2"/>
  <c r="AL1393" i="2"/>
  <c r="AK1393" i="2"/>
  <c r="AJ1393" i="2"/>
  <c r="AI1393" i="2"/>
  <c r="AH1393" i="2"/>
  <c r="F1393" i="4" s="1"/>
  <c r="AG1393" i="2"/>
  <c r="AF1393" i="2"/>
  <c r="AE1393" i="2"/>
  <c r="AD1393" i="2"/>
  <c r="AC1393" i="2"/>
  <c r="AB1393" i="2"/>
  <c r="AA1393" i="2"/>
  <c r="Z1393" i="2"/>
  <c r="Y1393" i="2"/>
  <c r="X1393" i="2"/>
  <c r="W1393" i="2"/>
  <c r="V1393" i="2"/>
  <c r="U1393" i="2"/>
  <c r="T1393" i="2"/>
  <c r="A1397" i="3" s="1"/>
  <c r="AM1392" i="2"/>
  <c r="AL1392" i="2"/>
  <c r="AK1392" i="2"/>
  <c r="AJ1392" i="2"/>
  <c r="AI1392" i="2"/>
  <c r="AH1392" i="2"/>
  <c r="F1392" i="4" s="1"/>
  <c r="AG1392" i="2"/>
  <c r="AF1392" i="2"/>
  <c r="AE1392" i="2"/>
  <c r="AD1392" i="2"/>
  <c r="AC1392" i="2"/>
  <c r="AB1392" i="2"/>
  <c r="AA1392" i="2"/>
  <c r="Z1392" i="2"/>
  <c r="Y1392" i="2"/>
  <c r="X1392" i="2"/>
  <c r="W1392" i="2"/>
  <c r="V1392" i="2"/>
  <c r="U1392" i="2"/>
  <c r="T1392" i="2"/>
  <c r="A1396" i="3" s="1"/>
  <c r="AM1391" i="2"/>
  <c r="AL1391" i="2"/>
  <c r="AK1391" i="2"/>
  <c r="AJ1391" i="2"/>
  <c r="AI1391" i="2"/>
  <c r="AH1391" i="2"/>
  <c r="F1391" i="4" s="1"/>
  <c r="AG1391" i="2"/>
  <c r="AF1391" i="2"/>
  <c r="AE1391" i="2"/>
  <c r="AD1391" i="2"/>
  <c r="AC1391" i="2"/>
  <c r="AB1391" i="2"/>
  <c r="AA1391" i="2"/>
  <c r="Z1391" i="2"/>
  <c r="Y1391" i="2"/>
  <c r="X1391" i="2"/>
  <c r="W1391" i="2"/>
  <c r="V1391" i="2"/>
  <c r="U1391" i="2"/>
  <c r="T1391" i="2"/>
  <c r="A1395" i="3" s="1"/>
  <c r="AM1390" i="2"/>
  <c r="AL1390" i="2"/>
  <c r="AK1390" i="2"/>
  <c r="AJ1390" i="2"/>
  <c r="AI1390" i="2"/>
  <c r="AH1390" i="2"/>
  <c r="F1390" i="4" s="1"/>
  <c r="AG1390" i="2"/>
  <c r="AF1390" i="2"/>
  <c r="AE1390" i="2"/>
  <c r="AD1390" i="2"/>
  <c r="AC1390" i="2"/>
  <c r="AB1390" i="2"/>
  <c r="AA1390" i="2"/>
  <c r="Z1390" i="2"/>
  <c r="Y1390" i="2"/>
  <c r="X1390" i="2"/>
  <c r="W1390" i="2"/>
  <c r="V1390" i="2"/>
  <c r="U1390" i="2"/>
  <c r="T1390" i="2"/>
  <c r="A1394" i="3" s="1"/>
  <c r="AM1389" i="2"/>
  <c r="AL1389" i="2"/>
  <c r="AK1389" i="2"/>
  <c r="AJ1389" i="2"/>
  <c r="AI1389" i="2"/>
  <c r="AH1389" i="2"/>
  <c r="F1389" i="4" s="1"/>
  <c r="AG1389" i="2"/>
  <c r="AF1389" i="2"/>
  <c r="AE1389" i="2"/>
  <c r="AD1389" i="2"/>
  <c r="AC1389" i="2"/>
  <c r="AB1389" i="2"/>
  <c r="AA1389" i="2"/>
  <c r="Z1389" i="2"/>
  <c r="Y1389" i="2"/>
  <c r="X1389" i="2"/>
  <c r="W1389" i="2"/>
  <c r="V1389" i="2"/>
  <c r="U1389" i="2"/>
  <c r="T1389" i="2"/>
  <c r="A1393" i="3" s="1"/>
  <c r="AM1388" i="2"/>
  <c r="AL1388" i="2"/>
  <c r="AK1388" i="2"/>
  <c r="AJ1388" i="2"/>
  <c r="AI1388" i="2"/>
  <c r="AH1388" i="2"/>
  <c r="F1388" i="4" s="1"/>
  <c r="AG1388" i="2"/>
  <c r="AF1388" i="2"/>
  <c r="AE1388" i="2"/>
  <c r="AD1388" i="2"/>
  <c r="AC1388" i="2"/>
  <c r="AB1388" i="2"/>
  <c r="AA1388" i="2"/>
  <c r="Z1388" i="2"/>
  <c r="Y1388" i="2"/>
  <c r="X1388" i="2"/>
  <c r="W1388" i="2"/>
  <c r="V1388" i="2"/>
  <c r="U1388" i="2"/>
  <c r="T1388" i="2"/>
  <c r="A1392" i="3" s="1"/>
  <c r="AM1387" i="2"/>
  <c r="AL1387" i="2"/>
  <c r="AK1387" i="2"/>
  <c r="AJ1387" i="2"/>
  <c r="AI1387" i="2"/>
  <c r="AH1387" i="2"/>
  <c r="F1387" i="4" s="1"/>
  <c r="AG1387" i="2"/>
  <c r="AF1387" i="2"/>
  <c r="AE1387" i="2"/>
  <c r="AD1387" i="2"/>
  <c r="AC1387" i="2"/>
  <c r="AB1387" i="2"/>
  <c r="AA1387" i="2"/>
  <c r="Z1387" i="2"/>
  <c r="Y1387" i="2"/>
  <c r="X1387" i="2"/>
  <c r="W1387" i="2"/>
  <c r="V1387" i="2"/>
  <c r="U1387" i="2"/>
  <c r="T1387" i="2"/>
  <c r="A1391" i="3" s="1"/>
  <c r="AM1386" i="2"/>
  <c r="AL1386" i="2"/>
  <c r="AK1386" i="2"/>
  <c r="AJ1386" i="2"/>
  <c r="AI1386" i="2"/>
  <c r="AH1386" i="2"/>
  <c r="F1386" i="4" s="1"/>
  <c r="AG1386" i="2"/>
  <c r="AF1386" i="2"/>
  <c r="AE1386" i="2"/>
  <c r="AD1386" i="2"/>
  <c r="AC1386" i="2"/>
  <c r="AB1386" i="2"/>
  <c r="AA1386" i="2"/>
  <c r="Z1386" i="2"/>
  <c r="Y1386" i="2"/>
  <c r="X1386" i="2"/>
  <c r="W1386" i="2"/>
  <c r="V1386" i="2"/>
  <c r="U1386" i="2"/>
  <c r="T1386" i="2"/>
  <c r="A1390" i="3" s="1"/>
  <c r="AM1385" i="2"/>
  <c r="AL1385" i="2"/>
  <c r="AK1385" i="2"/>
  <c r="AJ1385" i="2"/>
  <c r="AI1385" i="2"/>
  <c r="AH1385" i="2"/>
  <c r="F1385" i="4" s="1"/>
  <c r="AG1385" i="2"/>
  <c r="AF1385" i="2"/>
  <c r="AE1385" i="2"/>
  <c r="AD1385" i="2"/>
  <c r="AC1385" i="2"/>
  <c r="AB1385" i="2"/>
  <c r="AA1385" i="2"/>
  <c r="Z1385" i="2"/>
  <c r="Y1385" i="2"/>
  <c r="X1385" i="2"/>
  <c r="W1385" i="2"/>
  <c r="V1385" i="2"/>
  <c r="U1385" i="2"/>
  <c r="T1385" i="2"/>
  <c r="A1389" i="3" s="1"/>
  <c r="AM1384" i="2"/>
  <c r="AL1384" i="2"/>
  <c r="AK1384" i="2"/>
  <c r="AJ1384" i="2"/>
  <c r="AI1384" i="2"/>
  <c r="AH1384" i="2"/>
  <c r="F1384" i="4" s="1"/>
  <c r="AG1384" i="2"/>
  <c r="AF1384" i="2"/>
  <c r="AE1384" i="2"/>
  <c r="AD1384" i="2"/>
  <c r="AC1384" i="2"/>
  <c r="AB1384" i="2"/>
  <c r="AA1384" i="2"/>
  <c r="Z1384" i="2"/>
  <c r="Y1384" i="2"/>
  <c r="X1384" i="2"/>
  <c r="W1384" i="2"/>
  <c r="V1384" i="2"/>
  <c r="U1384" i="2"/>
  <c r="T1384" i="2"/>
  <c r="A1388" i="3" s="1"/>
  <c r="AM1383" i="2"/>
  <c r="AL1383" i="2"/>
  <c r="AK1383" i="2"/>
  <c r="AJ1383" i="2"/>
  <c r="AI1383" i="2"/>
  <c r="AH1383" i="2"/>
  <c r="F1383" i="4" s="1"/>
  <c r="AG1383" i="2"/>
  <c r="AF1383" i="2"/>
  <c r="AE1383" i="2"/>
  <c r="AD1383" i="2"/>
  <c r="AC1383" i="2"/>
  <c r="AB1383" i="2"/>
  <c r="AA1383" i="2"/>
  <c r="Z1383" i="2"/>
  <c r="Y1383" i="2"/>
  <c r="X1383" i="2"/>
  <c r="W1383" i="2"/>
  <c r="V1383" i="2"/>
  <c r="U1383" i="2"/>
  <c r="T1383" i="2"/>
  <c r="A1387" i="3" s="1"/>
  <c r="AM1382" i="2"/>
  <c r="AL1382" i="2"/>
  <c r="AK1382" i="2"/>
  <c r="AJ1382" i="2"/>
  <c r="AI1382" i="2"/>
  <c r="AH1382" i="2"/>
  <c r="F1382" i="4" s="1"/>
  <c r="AG1382" i="2"/>
  <c r="AF1382" i="2"/>
  <c r="AE1382" i="2"/>
  <c r="AD1382" i="2"/>
  <c r="AC1382" i="2"/>
  <c r="AB1382" i="2"/>
  <c r="AA1382" i="2"/>
  <c r="Z1382" i="2"/>
  <c r="Y1382" i="2"/>
  <c r="X1382" i="2"/>
  <c r="W1382" i="2"/>
  <c r="V1382" i="2"/>
  <c r="U1382" i="2"/>
  <c r="T1382" i="2"/>
  <c r="A1386" i="3" s="1"/>
  <c r="AM1381" i="2"/>
  <c r="AL1381" i="2"/>
  <c r="AK1381" i="2"/>
  <c r="AJ1381" i="2"/>
  <c r="AI1381" i="2"/>
  <c r="AH1381" i="2"/>
  <c r="F1381" i="4" s="1"/>
  <c r="AG1381" i="2"/>
  <c r="AF1381" i="2"/>
  <c r="AE1381" i="2"/>
  <c r="AD1381" i="2"/>
  <c r="AC1381" i="2"/>
  <c r="AB1381" i="2"/>
  <c r="AA1381" i="2"/>
  <c r="Z1381" i="2"/>
  <c r="Y1381" i="2"/>
  <c r="X1381" i="2"/>
  <c r="W1381" i="2"/>
  <c r="V1381" i="2"/>
  <c r="U1381" i="2"/>
  <c r="T1381" i="2"/>
  <c r="A1385" i="3" s="1"/>
  <c r="AM1380" i="2"/>
  <c r="AL1380" i="2"/>
  <c r="AK1380" i="2"/>
  <c r="AJ1380" i="2"/>
  <c r="AI1380" i="2"/>
  <c r="AH1380" i="2"/>
  <c r="F1380" i="4" s="1"/>
  <c r="AG1380" i="2"/>
  <c r="AF1380" i="2"/>
  <c r="AE1380" i="2"/>
  <c r="AD1380" i="2"/>
  <c r="AC1380" i="2"/>
  <c r="AB1380" i="2"/>
  <c r="AA1380" i="2"/>
  <c r="Z1380" i="2"/>
  <c r="Y1380" i="2"/>
  <c r="X1380" i="2"/>
  <c r="W1380" i="2"/>
  <c r="V1380" i="2"/>
  <c r="U1380" i="2"/>
  <c r="T1380" i="2"/>
  <c r="A1384" i="3" s="1"/>
  <c r="AM1379" i="2"/>
  <c r="AL1379" i="2"/>
  <c r="AK1379" i="2"/>
  <c r="AJ1379" i="2"/>
  <c r="AI1379" i="2"/>
  <c r="AH1379" i="2"/>
  <c r="F1379" i="4" s="1"/>
  <c r="AG1379" i="2"/>
  <c r="AF1379" i="2"/>
  <c r="AE1379" i="2"/>
  <c r="AD1379" i="2"/>
  <c r="AC1379" i="2"/>
  <c r="AB1379" i="2"/>
  <c r="AA1379" i="2"/>
  <c r="Z1379" i="2"/>
  <c r="Y1379" i="2"/>
  <c r="X1379" i="2"/>
  <c r="W1379" i="2"/>
  <c r="V1379" i="2"/>
  <c r="U1379" i="2"/>
  <c r="T1379" i="2"/>
  <c r="A1383" i="3" s="1"/>
  <c r="AM1378" i="2"/>
  <c r="AL1378" i="2"/>
  <c r="AK1378" i="2"/>
  <c r="AJ1378" i="2"/>
  <c r="AI1378" i="2"/>
  <c r="AH1378" i="2"/>
  <c r="F1378" i="4" s="1"/>
  <c r="AG1378" i="2"/>
  <c r="AF1378" i="2"/>
  <c r="AE1378" i="2"/>
  <c r="AD1378" i="2"/>
  <c r="AC1378" i="2"/>
  <c r="AB1378" i="2"/>
  <c r="AA1378" i="2"/>
  <c r="Z1378" i="2"/>
  <c r="Y1378" i="2"/>
  <c r="X1378" i="2"/>
  <c r="W1378" i="2"/>
  <c r="V1378" i="2"/>
  <c r="U1378" i="2"/>
  <c r="T1378" i="2"/>
  <c r="A1382" i="3" s="1"/>
  <c r="AM1377" i="2"/>
  <c r="AL1377" i="2"/>
  <c r="AK1377" i="2"/>
  <c r="AJ1377" i="2"/>
  <c r="AI1377" i="2"/>
  <c r="AH1377" i="2"/>
  <c r="F1377" i="4" s="1"/>
  <c r="AG1377" i="2"/>
  <c r="AF1377" i="2"/>
  <c r="AE1377" i="2"/>
  <c r="AD1377" i="2"/>
  <c r="AC1377" i="2"/>
  <c r="AB1377" i="2"/>
  <c r="AA1377" i="2"/>
  <c r="Z1377" i="2"/>
  <c r="Y1377" i="2"/>
  <c r="X1377" i="2"/>
  <c r="W1377" i="2"/>
  <c r="V1377" i="2"/>
  <c r="U1377" i="2"/>
  <c r="T1377" i="2"/>
  <c r="A1381" i="3" s="1"/>
  <c r="AM1376" i="2"/>
  <c r="AL1376" i="2"/>
  <c r="AK1376" i="2"/>
  <c r="AJ1376" i="2"/>
  <c r="AI1376" i="2"/>
  <c r="AH1376" i="2"/>
  <c r="F1376" i="4" s="1"/>
  <c r="AG1376" i="2"/>
  <c r="AF1376" i="2"/>
  <c r="AE1376" i="2"/>
  <c r="AD1376" i="2"/>
  <c r="AC1376" i="2"/>
  <c r="AB1376" i="2"/>
  <c r="AA1376" i="2"/>
  <c r="Z1376" i="2"/>
  <c r="Y1376" i="2"/>
  <c r="X1376" i="2"/>
  <c r="W1376" i="2"/>
  <c r="V1376" i="2"/>
  <c r="U1376" i="2"/>
  <c r="T1376" i="2"/>
  <c r="A1380" i="3" s="1"/>
  <c r="AM1375" i="2"/>
  <c r="AL1375" i="2"/>
  <c r="AK1375" i="2"/>
  <c r="AJ1375" i="2"/>
  <c r="AI1375" i="2"/>
  <c r="AH1375" i="2"/>
  <c r="F1375" i="4" s="1"/>
  <c r="AG1375" i="2"/>
  <c r="AF1375" i="2"/>
  <c r="AE1375" i="2"/>
  <c r="AD1375" i="2"/>
  <c r="AC1375" i="2"/>
  <c r="AB1375" i="2"/>
  <c r="AA1375" i="2"/>
  <c r="Z1375" i="2"/>
  <c r="Y1375" i="2"/>
  <c r="X1375" i="2"/>
  <c r="W1375" i="2"/>
  <c r="V1375" i="2"/>
  <c r="U1375" i="2"/>
  <c r="T1375" i="2"/>
  <c r="A1379" i="3" s="1"/>
  <c r="AM1374" i="2"/>
  <c r="AL1374" i="2"/>
  <c r="AK1374" i="2"/>
  <c r="AJ1374" i="2"/>
  <c r="AI1374" i="2"/>
  <c r="AH1374" i="2"/>
  <c r="F1374" i="4" s="1"/>
  <c r="AG1374" i="2"/>
  <c r="AF1374" i="2"/>
  <c r="AE1374" i="2"/>
  <c r="AD1374" i="2"/>
  <c r="AC1374" i="2"/>
  <c r="AB1374" i="2"/>
  <c r="AA1374" i="2"/>
  <c r="Z1374" i="2"/>
  <c r="Y1374" i="2"/>
  <c r="X1374" i="2"/>
  <c r="W1374" i="2"/>
  <c r="V1374" i="2"/>
  <c r="U1374" i="2"/>
  <c r="T1374" i="2"/>
  <c r="A1378" i="3" s="1"/>
  <c r="AM1373" i="2"/>
  <c r="AL1373" i="2"/>
  <c r="AK1373" i="2"/>
  <c r="AJ1373" i="2"/>
  <c r="AI1373" i="2"/>
  <c r="AH1373" i="2"/>
  <c r="F1373" i="4" s="1"/>
  <c r="AG1373" i="2"/>
  <c r="AF1373" i="2"/>
  <c r="AE1373" i="2"/>
  <c r="AD1373" i="2"/>
  <c r="AC1373" i="2"/>
  <c r="AB1373" i="2"/>
  <c r="AA1373" i="2"/>
  <c r="Z1373" i="2"/>
  <c r="Y1373" i="2"/>
  <c r="X1373" i="2"/>
  <c r="W1373" i="2"/>
  <c r="V1373" i="2"/>
  <c r="U1373" i="2"/>
  <c r="T1373" i="2"/>
  <c r="A1377" i="3" s="1"/>
  <c r="AM1372" i="2"/>
  <c r="AL1372" i="2"/>
  <c r="AK1372" i="2"/>
  <c r="AJ1372" i="2"/>
  <c r="AI1372" i="2"/>
  <c r="AH1372" i="2"/>
  <c r="F1372" i="4" s="1"/>
  <c r="AG1372" i="2"/>
  <c r="AF1372" i="2"/>
  <c r="AE1372" i="2"/>
  <c r="AD1372" i="2"/>
  <c r="AC1372" i="2"/>
  <c r="AB1372" i="2"/>
  <c r="AA1372" i="2"/>
  <c r="Z1372" i="2"/>
  <c r="Y1372" i="2"/>
  <c r="X1372" i="2"/>
  <c r="W1372" i="2"/>
  <c r="V1372" i="2"/>
  <c r="U1372" i="2"/>
  <c r="T1372" i="2"/>
  <c r="A1376" i="3" s="1"/>
  <c r="AM1371" i="2"/>
  <c r="AL1371" i="2"/>
  <c r="AK1371" i="2"/>
  <c r="AJ1371" i="2"/>
  <c r="AI1371" i="2"/>
  <c r="AH1371" i="2"/>
  <c r="F1371" i="4" s="1"/>
  <c r="AG1371" i="2"/>
  <c r="AF1371" i="2"/>
  <c r="AE1371" i="2"/>
  <c r="AD1371" i="2"/>
  <c r="AC1371" i="2"/>
  <c r="AB1371" i="2"/>
  <c r="AA1371" i="2"/>
  <c r="Z1371" i="2"/>
  <c r="Y1371" i="2"/>
  <c r="X1371" i="2"/>
  <c r="W1371" i="2"/>
  <c r="V1371" i="2"/>
  <c r="U1371" i="2"/>
  <c r="T1371" i="2"/>
  <c r="A1375" i="3" s="1"/>
  <c r="AM1370" i="2"/>
  <c r="AL1370" i="2"/>
  <c r="AK1370" i="2"/>
  <c r="AJ1370" i="2"/>
  <c r="AI1370" i="2"/>
  <c r="AH1370" i="2"/>
  <c r="F1370" i="4" s="1"/>
  <c r="AG1370" i="2"/>
  <c r="AF1370" i="2"/>
  <c r="AE1370" i="2"/>
  <c r="AD1370" i="2"/>
  <c r="AC1370" i="2"/>
  <c r="AB1370" i="2"/>
  <c r="AA1370" i="2"/>
  <c r="Z1370" i="2"/>
  <c r="Y1370" i="2"/>
  <c r="X1370" i="2"/>
  <c r="W1370" i="2"/>
  <c r="V1370" i="2"/>
  <c r="U1370" i="2"/>
  <c r="T1370" i="2"/>
  <c r="A1374" i="3" s="1"/>
  <c r="AM1369" i="2"/>
  <c r="AL1369" i="2"/>
  <c r="AK1369" i="2"/>
  <c r="AJ1369" i="2"/>
  <c r="AI1369" i="2"/>
  <c r="AH1369" i="2"/>
  <c r="F1369" i="4" s="1"/>
  <c r="AG1369" i="2"/>
  <c r="AF1369" i="2"/>
  <c r="AE1369" i="2"/>
  <c r="AD1369" i="2"/>
  <c r="AC1369" i="2"/>
  <c r="AB1369" i="2"/>
  <c r="AA1369" i="2"/>
  <c r="Z1369" i="2"/>
  <c r="Y1369" i="2"/>
  <c r="X1369" i="2"/>
  <c r="W1369" i="2"/>
  <c r="V1369" i="2"/>
  <c r="U1369" i="2"/>
  <c r="T1369" i="2"/>
  <c r="A1373" i="3" s="1"/>
  <c r="AM1368" i="2"/>
  <c r="AL1368" i="2"/>
  <c r="AK1368" i="2"/>
  <c r="AJ1368" i="2"/>
  <c r="AI1368" i="2"/>
  <c r="AH1368" i="2"/>
  <c r="F1368" i="4" s="1"/>
  <c r="AG1368" i="2"/>
  <c r="AF1368" i="2"/>
  <c r="AE1368" i="2"/>
  <c r="AD1368" i="2"/>
  <c r="AC1368" i="2"/>
  <c r="AB1368" i="2"/>
  <c r="AA1368" i="2"/>
  <c r="Z1368" i="2"/>
  <c r="Y1368" i="2"/>
  <c r="X1368" i="2"/>
  <c r="W1368" i="2"/>
  <c r="V1368" i="2"/>
  <c r="U1368" i="2"/>
  <c r="T1368" i="2"/>
  <c r="A1372" i="3" s="1"/>
  <c r="AM1367" i="2"/>
  <c r="AL1367" i="2"/>
  <c r="AK1367" i="2"/>
  <c r="AJ1367" i="2"/>
  <c r="AI1367" i="2"/>
  <c r="AH1367" i="2"/>
  <c r="F1367" i="4" s="1"/>
  <c r="AG1367" i="2"/>
  <c r="AF1367" i="2"/>
  <c r="AE1367" i="2"/>
  <c r="AD1367" i="2"/>
  <c r="AC1367" i="2"/>
  <c r="AB1367" i="2"/>
  <c r="AA1367" i="2"/>
  <c r="Z1367" i="2"/>
  <c r="Y1367" i="2"/>
  <c r="X1367" i="2"/>
  <c r="W1367" i="2"/>
  <c r="V1367" i="2"/>
  <c r="U1367" i="2"/>
  <c r="T1367" i="2"/>
  <c r="A1371" i="3" s="1"/>
  <c r="AM1366" i="2"/>
  <c r="AL1366" i="2"/>
  <c r="AK1366" i="2"/>
  <c r="AJ1366" i="2"/>
  <c r="AI1366" i="2"/>
  <c r="AH1366" i="2"/>
  <c r="F1366" i="4" s="1"/>
  <c r="AG1366" i="2"/>
  <c r="AF1366" i="2"/>
  <c r="AE1366" i="2"/>
  <c r="AD1366" i="2"/>
  <c r="AC1366" i="2"/>
  <c r="AB1366" i="2"/>
  <c r="AA1366" i="2"/>
  <c r="Z1366" i="2"/>
  <c r="Y1366" i="2"/>
  <c r="X1366" i="2"/>
  <c r="W1366" i="2"/>
  <c r="V1366" i="2"/>
  <c r="U1366" i="2"/>
  <c r="T1366" i="2"/>
  <c r="A1370" i="3" s="1"/>
  <c r="AM1365" i="2"/>
  <c r="AL1365" i="2"/>
  <c r="AK1365" i="2"/>
  <c r="AJ1365" i="2"/>
  <c r="AI1365" i="2"/>
  <c r="AH1365" i="2"/>
  <c r="F1365" i="4" s="1"/>
  <c r="AG1365" i="2"/>
  <c r="AF1365" i="2"/>
  <c r="AE1365" i="2"/>
  <c r="AD1365" i="2"/>
  <c r="AC1365" i="2"/>
  <c r="AB1365" i="2"/>
  <c r="AA1365" i="2"/>
  <c r="Z1365" i="2"/>
  <c r="Y1365" i="2"/>
  <c r="X1365" i="2"/>
  <c r="W1365" i="2"/>
  <c r="V1365" i="2"/>
  <c r="U1365" i="2"/>
  <c r="T1365" i="2"/>
  <c r="A1369" i="3" s="1"/>
  <c r="AM1364" i="2"/>
  <c r="AL1364" i="2"/>
  <c r="AK1364" i="2"/>
  <c r="AJ1364" i="2"/>
  <c r="AI1364" i="2"/>
  <c r="AH1364" i="2"/>
  <c r="F1364" i="4" s="1"/>
  <c r="AG1364" i="2"/>
  <c r="AF1364" i="2"/>
  <c r="AE1364" i="2"/>
  <c r="AD1364" i="2"/>
  <c r="AC1364" i="2"/>
  <c r="AB1364" i="2"/>
  <c r="AA1364" i="2"/>
  <c r="Z1364" i="2"/>
  <c r="Y1364" i="2"/>
  <c r="X1364" i="2"/>
  <c r="W1364" i="2"/>
  <c r="V1364" i="2"/>
  <c r="U1364" i="2"/>
  <c r="T1364" i="2"/>
  <c r="A1368" i="3" s="1"/>
  <c r="AM1363" i="2"/>
  <c r="AL1363" i="2"/>
  <c r="AK1363" i="2"/>
  <c r="AJ1363" i="2"/>
  <c r="AI1363" i="2"/>
  <c r="AH1363" i="2"/>
  <c r="F1363" i="4" s="1"/>
  <c r="AG1363" i="2"/>
  <c r="AF1363" i="2"/>
  <c r="AE1363" i="2"/>
  <c r="AD1363" i="2"/>
  <c r="AC1363" i="2"/>
  <c r="AB1363" i="2"/>
  <c r="AA1363" i="2"/>
  <c r="Z1363" i="2"/>
  <c r="Y1363" i="2"/>
  <c r="X1363" i="2"/>
  <c r="W1363" i="2"/>
  <c r="V1363" i="2"/>
  <c r="U1363" i="2"/>
  <c r="T1363" i="2"/>
  <c r="A1367" i="3" s="1"/>
  <c r="AM1362" i="2"/>
  <c r="AL1362" i="2"/>
  <c r="AK1362" i="2"/>
  <c r="AJ1362" i="2"/>
  <c r="AI1362" i="2"/>
  <c r="AH1362" i="2"/>
  <c r="F1362" i="4" s="1"/>
  <c r="AG1362" i="2"/>
  <c r="AF1362" i="2"/>
  <c r="AE1362" i="2"/>
  <c r="AD1362" i="2"/>
  <c r="AC1362" i="2"/>
  <c r="AB1362" i="2"/>
  <c r="AA1362" i="2"/>
  <c r="Z1362" i="2"/>
  <c r="Y1362" i="2"/>
  <c r="X1362" i="2"/>
  <c r="W1362" i="2"/>
  <c r="V1362" i="2"/>
  <c r="U1362" i="2"/>
  <c r="T1362" i="2"/>
  <c r="A1366" i="3" s="1"/>
  <c r="AM1361" i="2"/>
  <c r="AL1361" i="2"/>
  <c r="AK1361" i="2"/>
  <c r="AJ1361" i="2"/>
  <c r="AI1361" i="2"/>
  <c r="AH1361" i="2"/>
  <c r="F1361" i="4" s="1"/>
  <c r="AG1361" i="2"/>
  <c r="AF1361" i="2"/>
  <c r="AE1361" i="2"/>
  <c r="AD1361" i="2"/>
  <c r="AC1361" i="2"/>
  <c r="AB1361" i="2"/>
  <c r="AA1361" i="2"/>
  <c r="Z1361" i="2"/>
  <c r="Y1361" i="2"/>
  <c r="X1361" i="2"/>
  <c r="W1361" i="2"/>
  <c r="V1361" i="2"/>
  <c r="U1361" i="2"/>
  <c r="T1361" i="2"/>
  <c r="A1365" i="3" s="1"/>
  <c r="AM1360" i="2"/>
  <c r="AL1360" i="2"/>
  <c r="AK1360" i="2"/>
  <c r="AJ1360" i="2"/>
  <c r="AI1360" i="2"/>
  <c r="AH1360" i="2"/>
  <c r="F1360" i="4" s="1"/>
  <c r="AG1360" i="2"/>
  <c r="AF1360" i="2"/>
  <c r="AE1360" i="2"/>
  <c r="AD1360" i="2"/>
  <c r="AC1360" i="2"/>
  <c r="AB1360" i="2"/>
  <c r="AA1360" i="2"/>
  <c r="Z1360" i="2"/>
  <c r="Y1360" i="2"/>
  <c r="X1360" i="2"/>
  <c r="W1360" i="2"/>
  <c r="V1360" i="2"/>
  <c r="U1360" i="2"/>
  <c r="T1360" i="2"/>
  <c r="A1364" i="3" s="1"/>
  <c r="AM1359" i="2"/>
  <c r="AL1359" i="2"/>
  <c r="AK1359" i="2"/>
  <c r="AJ1359" i="2"/>
  <c r="AI1359" i="2"/>
  <c r="AH1359" i="2"/>
  <c r="F1359" i="4" s="1"/>
  <c r="AG1359" i="2"/>
  <c r="AF1359" i="2"/>
  <c r="AE1359" i="2"/>
  <c r="AD1359" i="2"/>
  <c r="AC1359" i="2"/>
  <c r="AB1359" i="2"/>
  <c r="AA1359" i="2"/>
  <c r="Z1359" i="2"/>
  <c r="Y1359" i="2"/>
  <c r="X1359" i="2"/>
  <c r="W1359" i="2"/>
  <c r="V1359" i="2"/>
  <c r="U1359" i="2"/>
  <c r="T1359" i="2"/>
  <c r="A1363" i="3" s="1"/>
  <c r="AM1358" i="2"/>
  <c r="AL1358" i="2"/>
  <c r="AK1358" i="2"/>
  <c r="AJ1358" i="2"/>
  <c r="AI1358" i="2"/>
  <c r="AH1358" i="2"/>
  <c r="F1358" i="4" s="1"/>
  <c r="AG1358" i="2"/>
  <c r="AF1358" i="2"/>
  <c r="AE1358" i="2"/>
  <c r="AD1358" i="2"/>
  <c r="AC1358" i="2"/>
  <c r="AB1358" i="2"/>
  <c r="AA1358" i="2"/>
  <c r="Z1358" i="2"/>
  <c r="Y1358" i="2"/>
  <c r="X1358" i="2"/>
  <c r="W1358" i="2"/>
  <c r="V1358" i="2"/>
  <c r="U1358" i="2"/>
  <c r="T1358" i="2"/>
  <c r="A1362" i="3" s="1"/>
  <c r="AM1357" i="2"/>
  <c r="AL1357" i="2"/>
  <c r="AK1357" i="2"/>
  <c r="AJ1357" i="2"/>
  <c r="AI1357" i="2"/>
  <c r="AH1357" i="2"/>
  <c r="F1357" i="4" s="1"/>
  <c r="AG1357" i="2"/>
  <c r="AF1357" i="2"/>
  <c r="AE1357" i="2"/>
  <c r="AD1357" i="2"/>
  <c r="AC1357" i="2"/>
  <c r="AB1357" i="2"/>
  <c r="AA1357" i="2"/>
  <c r="Z1357" i="2"/>
  <c r="Y1357" i="2"/>
  <c r="X1357" i="2"/>
  <c r="W1357" i="2"/>
  <c r="V1357" i="2"/>
  <c r="U1357" i="2"/>
  <c r="T1357" i="2"/>
  <c r="A1361" i="3" s="1"/>
  <c r="AM1356" i="2"/>
  <c r="AL1356" i="2"/>
  <c r="AK1356" i="2"/>
  <c r="AJ1356" i="2"/>
  <c r="AI1356" i="2"/>
  <c r="AH1356" i="2"/>
  <c r="F1356" i="4" s="1"/>
  <c r="AG1356" i="2"/>
  <c r="AF1356" i="2"/>
  <c r="AE1356" i="2"/>
  <c r="AD1356" i="2"/>
  <c r="AC1356" i="2"/>
  <c r="AB1356" i="2"/>
  <c r="AA1356" i="2"/>
  <c r="Z1356" i="2"/>
  <c r="Y1356" i="2"/>
  <c r="X1356" i="2"/>
  <c r="W1356" i="2"/>
  <c r="V1356" i="2"/>
  <c r="U1356" i="2"/>
  <c r="T1356" i="2"/>
  <c r="A1360" i="3" s="1"/>
  <c r="AM1355" i="2"/>
  <c r="AL1355" i="2"/>
  <c r="AK1355" i="2"/>
  <c r="AJ1355" i="2"/>
  <c r="AI1355" i="2"/>
  <c r="AH1355" i="2"/>
  <c r="F1355" i="4" s="1"/>
  <c r="AG1355" i="2"/>
  <c r="AF1355" i="2"/>
  <c r="AE1355" i="2"/>
  <c r="AD1355" i="2"/>
  <c r="AC1355" i="2"/>
  <c r="AB1355" i="2"/>
  <c r="AA1355" i="2"/>
  <c r="Z1355" i="2"/>
  <c r="Y1355" i="2"/>
  <c r="X1355" i="2"/>
  <c r="W1355" i="2"/>
  <c r="V1355" i="2"/>
  <c r="U1355" i="2"/>
  <c r="T1355" i="2"/>
  <c r="A1359" i="3" s="1"/>
  <c r="AM1354" i="2"/>
  <c r="AL1354" i="2"/>
  <c r="AK1354" i="2"/>
  <c r="AJ1354" i="2"/>
  <c r="AI1354" i="2"/>
  <c r="AH1354" i="2"/>
  <c r="F1354" i="4" s="1"/>
  <c r="AG1354" i="2"/>
  <c r="AF1354" i="2"/>
  <c r="AE1354" i="2"/>
  <c r="AD1354" i="2"/>
  <c r="AC1354" i="2"/>
  <c r="AB1354" i="2"/>
  <c r="AA1354" i="2"/>
  <c r="Z1354" i="2"/>
  <c r="Y1354" i="2"/>
  <c r="X1354" i="2"/>
  <c r="W1354" i="2"/>
  <c r="V1354" i="2"/>
  <c r="U1354" i="2"/>
  <c r="T1354" i="2"/>
  <c r="A1358" i="3" s="1"/>
  <c r="AM1353" i="2"/>
  <c r="AL1353" i="2"/>
  <c r="AK1353" i="2"/>
  <c r="AJ1353" i="2"/>
  <c r="AI1353" i="2"/>
  <c r="AH1353" i="2"/>
  <c r="F1353" i="4" s="1"/>
  <c r="AG1353" i="2"/>
  <c r="AF1353" i="2"/>
  <c r="AE1353" i="2"/>
  <c r="AD1353" i="2"/>
  <c r="AC1353" i="2"/>
  <c r="AB1353" i="2"/>
  <c r="AA1353" i="2"/>
  <c r="Z1353" i="2"/>
  <c r="Y1353" i="2"/>
  <c r="X1353" i="2"/>
  <c r="W1353" i="2"/>
  <c r="V1353" i="2"/>
  <c r="U1353" i="2"/>
  <c r="T1353" i="2"/>
  <c r="A1357" i="3" s="1"/>
  <c r="AM1352" i="2"/>
  <c r="AL1352" i="2"/>
  <c r="AK1352" i="2"/>
  <c r="AJ1352" i="2"/>
  <c r="AI1352" i="2"/>
  <c r="AH1352" i="2"/>
  <c r="F1352" i="4" s="1"/>
  <c r="AG1352" i="2"/>
  <c r="AF1352" i="2"/>
  <c r="AE1352" i="2"/>
  <c r="AD1352" i="2"/>
  <c r="AC1352" i="2"/>
  <c r="AB1352" i="2"/>
  <c r="AA1352" i="2"/>
  <c r="Z1352" i="2"/>
  <c r="Y1352" i="2"/>
  <c r="X1352" i="2"/>
  <c r="W1352" i="2"/>
  <c r="V1352" i="2"/>
  <c r="U1352" i="2"/>
  <c r="T1352" i="2"/>
  <c r="A1356" i="3" s="1"/>
  <c r="AM1351" i="2"/>
  <c r="AL1351" i="2"/>
  <c r="AK1351" i="2"/>
  <c r="AJ1351" i="2"/>
  <c r="AI1351" i="2"/>
  <c r="AH1351" i="2"/>
  <c r="F1351" i="4" s="1"/>
  <c r="AG1351" i="2"/>
  <c r="AF1351" i="2"/>
  <c r="AE1351" i="2"/>
  <c r="AD1351" i="2"/>
  <c r="AC1351" i="2"/>
  <c r="AB1351" i="2"/>
  <c r="AA1351" i="2"/>
  <c r="Z1351" i="2"/>
  <c r="Y1351" i="2"/>
  <c r="X1351" i="2"/>
  <c r="W1351" i="2"/>
  <c r="V1351" i="2"/>
  <c r="U1351" i="2"/>
  <c r="T1351" i="2"/>
  <c r="A1355" i="3" s="1"/>
  <c r="AM1350" i="2"/>
  <c r="AL1350" i="2"/>
  <c r="AK1350" i="2"/>
  <c r="AJ1350" i="2"/>
  <c r="AI1350" i="2"/>
  <c r="AH1350" i="2"/>
  <c r="F1350" i="4" s="1"/>
  <c r="AG1350" i="2"/>
  <c r="AF1350" i="2"/>
  <c r="AE1350" i="2"/>
  <c r="AD1350" i="2"/>
  <c r="AC1350" i="2"/>
  <c r="AB1350" i="2"/>
  <c r="AA1350" i="2"/>
  <c r="Z1350" i="2"/>
  <c r="Y1350" i="2"/>
  <c r="X1350" i="2"/>
  <c r="W1350" i="2"/>
  <c r="V1350" i="2"/>
  <c r="U1350" i="2"/>
  <c r="T1350" i="2"/>
  <c r="A1354" i="3" s="1"/>
  <c r="AM1349" i="2"/>
  <c r="AL1349" i="2"/>
  <c r="AK1349" i="2"/>
  <c r="AJ1349" i="2"/>
  <c r="AI1349" i="2"/>
  <c r="AH1349" i="2"/>
  <c r="F1349" i="4" s="1"/>
  <c r="AG1349" i="2"/>
  <c r="AF1349" i="2"/>
  <c r="AE1349" i="2"/>
  <c r="AD1349" i="2"/>
  <c r="AC1349" i="2"/>
  <c r="AB1349" i="2"/>
  <c r="AA1349" i="2"/>
  <c r="Z1349" i="2"/>
  <c r="Y1349" i="2"/>
  <c r="X1349" i="2"/>
  <c r="W1349" i="2"/>
  <c r="V1349" i="2"/>
  <c r="U1349" i="2"/>
  <c r="T1349" i="2"/>
  <c r="A1353" i="3" s="1"/>
  <c r="AM1348" i="2"/>
  <c r="AL1348" i="2"/>
  <c r="AK1348" i="2"/>
  <c r="AJ1348" i="2"/>
  <c r="AI1348" i="2"/>
  <c r="AH1348" i="2"/>
  <c r="F1348" i="4" s="1"/>
  <c r="AG1348" i="2"/>
  <c r="AF1348" i="2"/>
  <c r="AE1348" i="2"/>
  <c r="AD1348" i="2"/>
  <c r="AC1348" i="2"/>
  <c r="AB1348" i="2"/>
  <c r="AA1348" i="2"/>
  <c r="Z1348" i="2"/>
  <c r="Y1348" i="2"/>
  <c r="X1348" i="2"/>
  <c r="W1348" i="2"/>
  <c r="V1348" i="2"/>
  <c r="U1348" i="2"/>
  <c r="T1348" i="2"/>
  <c r="A1352" i="3" s="1"/>
  <c r="AM1347" i="2"/>
  <c r="AL1347" i="2"/>
  <c r="AK1347" i="2"/>
  <c r="AJ1347" i="2"/>
  <c r="AI1347" i="2"/>
  <c r="AH1347" i="2"/>
  <c r="F1347" i="4" s="1"/>
  <c r="AG1347" i="2"/>
  <c r="AF1347" i="2"/>
  <c r="AE1347" i="2"/>
  <c r="AD1347" i="2"/>
  <c r="AC1347" i="2"/>
  <c r="AB1347" i="2"/>
  <c r="AA1347" i="2"/>
  <c r="Z1347" i="2"/>
  <c r="Y1347" i="2"/>
  <c r="X1347" i="2"/>
  <c r="W1347" i="2"/>
  <c r="V1347" i="2"/>
  <c r="U1347" i="2"/>
  <c r="T1347" i="2"/>
  <c r="A1351" i="3" s="1"/>
  <c r="AM1346" i="2"/>
  <c r="AL1346" i="2"/>
  <c r="AK1346" i="2"/>
  <c r="AJ1346" i="2"/>
  <c r="AI1346" i="2"/>
  <c r="AH1346" i="2"/>
  <c r="F1346" i="4" s="1"/>
  <c r="AG1346" i="2"/>
  <c r="AF1346" i="2"/>
  <c r="AE1346" i="2"/>
  <c r="AD1346" i="2"/>
  <c r="AC1346" i="2"/>
  <c r="AB1346" i="2"/>
  <c r="AA1346" i="2"/>
  <c r="Z1346" i="2"/>
  <c r="Y1346" i="2"/>
  <c r="X1346" i="2"/>
  <c r="W1346" i="2"/>
  <c r="V1346" i="2"/>
  <c r="U1346" i="2"/>
  <c r="T1346" i="2"/>
  <c r="A1350" i="3" s="1"/>
  <c r="AM1345" i="2"/>
  <c r="AL1345" i="2"/>
  <c r="AK1345" i="2"/>
  <c r="AJ1345" i="2"/>
  <c r="AI1345" i="2"/>
  <c r="AH1345" i="2"/>
  <c r="F1345" i="4" s="1"/>
  <c r="AG1345" i="2"/>
  <c r="AF1345" i="2"/>
  <c r="AE1345" i="2"/>
  <c r="AD1345" i="2"/>
  <c r="AC1345" i="2"/>
  <c r="AB1345" i="2"/>
  <c r="AA1345" i="2"/>
  <c r="Z1345" i="2"/>
  <c r="Y1345" i="2"/>
  <c r="X1345" i="2"/>
  <c r="W1345" i="2"/>
  <c r="V1345" i="2"/>
  <c r="U1345" i="2"/>
  <c r="T1345" i="2"/>
  <c r="A1349" i="3" s="1"/>
  <c r="AM1344" i="2"/>
  <c r="AL1344" i="2"/>
  <c r="AK1344" i="2"/>
  <c r="AJ1344" i="2"/>
  <c r="AI1344" i="2"/>
  <c r="AH1344" i="2"/>
  <c r="F1344" i="4" s="1"/>
  <c r="AG1344" i="2"/>
  <c r="AF1344" i="2"/>
  <c r="AE1344" i="2"/>
  <c r="AD1344" i="2"/>
  <c r="AC1344" i="2"/>
  <c r="AB1344" i="2"/>
  <c r="AA1344" i="2"/>
  <c r="Z1344" i="2"/>
  <c r="Y1344" i="2"/>
  <c r="X1344" i="2"/>
  <c r="W1344" i="2"/>
  <c r="V1344" i="2"/>
  <c r="U1344" i="2"/>
  <c r="T1344" i="2"/>
  <c r="A1348" i="3" s="1"/>
  <c r="AM1343" i="2"/>
  <c r="AL1343" i="2"/>
  <c r="AK1343" i="2"/>
  <c r="AJ1343" i="2"/>
  <c r="AI1343" i="2"/>
  <c r="AH1343" i="2"/>
  <c r="F1343" i="4" s="1"/>
  <c r="AG1343" i="2"/>
  <c r="AF1343" i="2"/>
  <c r="AE1343" i="2"/>
  <c r="AD1343" i="2"/>
  <c r="AC1343" i="2"/>
  <c r="AB1343" i="2"/>
  <c r="AA1343" i="2"/>
  <c r="Z1343" i="2"/>
  <c r="Y1343" i="2"/>
  <c r="X1343" i="2"/>
  <c r="W1343" i="2"/>
  <c r="V1343" i="2"/>
  <c r="U1343" i="2"/>
  <c r="T1343" i="2"/>
  <c r="A1347" i="3" s="1"/>
  <c r="AM1342" i="2"/>
  <c r="AL1342" i="2"/>
  <c r="AK1342" i="2"/>
  <c r="AJ1342" i="2"/>
  <c r="AI1342" i="2"/>
  <c r="AH1342" i="2"/>
  <c r="F1342" i="4" s="1"/>
  <c r="AG1342" i="2"/>
  <c r="AF1342" i="2"/>
  <c r="AE1342" i="2"/>
  <c r="AD1342" i="2"/>
  <c r="AC1342" i="2"/>
  <c r="AB1342" i="2"/>
  <c r="AA1342" i="2"/>
  <c r="Z1342" i="2"/>
  <c r="Y1342" i="2"/>
  <c r="X1342" i="2"/>
  <c r="W1342" i="2"/>
  <c r="V1342" i="2"/>
  <c r="U1342" i="2"/>
  <c r="T1342" i="2"/>
  <c r="A1346" i="3" s="1"/>
  <c r="AM1341" i="2"/>
  <c r="AL1341" i="2"/>
  <c r="AK1341" i="2"/>
  <c r="AJ1341" i="2"/>
  <c r="AI1341" i="2"/>
  <c r="AH1341" i="2"/>
  <c r="F1341" i="4" s="1"/>
  <c r="AG1341" i="2"/>
  <c r="AF1341" i="2"/>
  <c r="AE1341" i="2"/>
  <c r="AD1341" i="2"/>
  <c r="AC1341" i="2"/>
  <c r="AB1341" i="2"/>
  <c r="AA1341" i="2"/>
  <c r="Z1341" i="2"/>
  <c r="Y1341" i="2"/>
  <c r="X1341" i="2"/>
  <c r="W1341" i="2"/>
  <c r="V1341" i="2"/>
  <c r="U1341" i="2"/>
  <c r="T1341" i="2"/>
  <c r="A1345" i="3" s="1"/>
  <c r="AM1340" i="2"/>
  <c r="AL1340" i="2"/>
  <c r="AK1340" i="2"/>
  <c r="AJ1340" i="2"/>
  <c r="AI1340" i="2"/>
  <c r="AH1340" i="2"/>
  <c r="F1340" i="4" s="1"/>
  <c r="AG1340" i="2"/>
  <c r="AF1340" i="2"/>
  <c r="AE1340" i="2"/>
  <c r="AD1340" i="2"/>
  <c r="AC1340" i="2"/>
  <c r="AB1340" i="2"/>
  <c r="AA1340" i="2"/>
  <c r="Z1340" i="2"/>
  <c r="Y1340" i="2"/>
  <c r="X1340" i="2"/>
  <c r="W1340" i="2"/>
  <c r="V1340" i="2"/>
  <c r="U1340" i="2"/>
  <c r="T1340" i="2"/>
  <c r="A1344" i="3" s="1"/>
  <c r="AM1339" i="2"/>
  <c r="AL1339" i="2"/>
  <c r="AK1339" i="2"/>
  <c r="AJ1339" i="2"/>
  <c r="AI1339" i="2"/>
  <c r="AH1339" i="2"/>
  <c r="F1339" i="4" s="1"/>
  <c r="AG1339" i="2"/>
  <c r="AF1339" i="2"/>
  <c r="AE1339" i="2"/>
  <c r="AD1339" i="2"/>
  <c r="AC1339" i="2"/>
  <c r="AB1339" i="2"/>
  <c r="AA1339" i="2"/>
  <c r="Z1339" i="2"/>
  <c r="Y1339" i="2"/>
  <c r="X1339" i="2"/>
  <c r="W1339" i="2"/>
  <c r="V1339" i="2"/>
  <c r="U1339" i="2"/>
  <c r="T1339" i="2"/>
  <c r="A1343" i="3" s="1"/>
  <c r="AM1338" i="2"/>
  <c r="AL1338" i="2"/>
  <c r="AK1338" i="2"/>
  <c r="AJ1338" i="2"/>
  <c r="AI1338" i="2"/>
  <c r="AH1338" i="2"/>
  <c r="F1338" i="4" s="1"/>
  <c r="AG1338" i="2"/>
  <c r="AF1338" i="2"/>
  <c r="AE1338" i="2"/>
  <c r="AD1338" i="2"/>
  <c r="AC1338" i="2"/>
  <c r="AB1338" i="2"/>
  <c r="AA1338" i="2"/>
  <c r="Z1338" i="2"/>
  <c r="Y1338" i="2"/>
  <c r="X1338" i="2"/>
  <c r="W1338" i="2"/>
  <c r="V1338" i="2"/>
  <c r="U1338" i="2"/>
  <c r="T1338" i="2"/>
  <c r="A1342" i="3" s="1"/>
  <c r="AM1337" i="2"/>
  <c r="AL1337" i="2"/>
  <c r="AK1337" i="2"/>
  <c r="AJ1337" i="2"/>
  <c r="AI1337" i="2"/>
  <c r="AH1337" i="2"/>
  <c r="F1337" i="4" s="1"/>
  <c r="AG1337" i="2"/>
  <c r="AF1337" i="2"/>
  <c r="AE1337" i="2"/>
  <c r="AD1337" i="2"/>
  <c r="AC1337" i="2"/>
  <c r="AB1337" i="2"/>
  <c r="AA1337" i="2"/>
  <c r="Z1337" i="2"/>
  <c r="Y1337" i="2"/>
  <c r="X1337" i="2"/>
  <c r="W1337" i="2"/>
  <c r="V1337" i="2"/>
  <c r="U1337" i="2"/>
  <c r="T1337" i="2"/>
  <c r="A1341" i="3" s="1"/>
  <c r="AM1336" i="2"/>
  <c r="AL1336" i="2"/>
  <c r="AK1336" i="2"/>
  <c r="AJ1336" i="2"/>
  <c r="AI1336" i="2"/>
  <c r="AH1336" i="2"/>
  <c r="F1336" i="4" s="1"/>
  <c r="AG1336" i="2"/>
  <c r="AF1336" i="2"/>
  <c r="AE1336" i="2"/>
  <c r="AD1336" i="2"/>
  <c r="AC1336" i="2"/>
  <c r="AB1336" i="2"/>
  <c r="AA1336" i="2"/>
  <c r="Z1336" i="2"/>
  <c r="Y1336" i="2"/>
  <c r="X1336" i="2"/>
  <c r="W1336" i="2"/>
  <c r="V1336" i="2"/>
  <c r="U1336" i="2"/>
  <c r="T1336" i="2"/>
  <c r="A1340" i="3" s="1"/>
  <c r="AM1335" i="2"/>
  <c r="AL1335" i="2"/>
  <c r="AK1335" i="2"/>
  <c r="AJ1335" i="2"/>
  <c r="AI1335" i="2"/>
  <c r="AH1335" i="2"/>
  <c r="F1335" i="4" s="1"/>
  <c r="AG1335" i="2"/>
  <c r="AF1335" i="2"/>
  <c r="AE1335" i="2"/>
  <c r="AD1335" i="2"/>
  <c r="AC1335" i="2"/>
  <c r="AB1335" i="2"/>
  <c r="AA1335" i="2"/>
  <c r="Z1335" i="2"/>
  <c r="Y1335" i="2"/>
  <c r="X1335" i="2"/>
  <c r="W1335" i="2"/>
  <c r="V1335" i="2"/>
  <c r="U1335" i="2"/>
  <c r="T1335" i="2"/>
  <c r="A1339" i="3" s="1"/>
  <c r="AM1334" i="2"/>
  <c r="AL1334" i="2"/>
  <c r="AK1334" i="2"/>
  <c r="AJ1334" i="2"/>
  <c r="AI1334" i="2"/>
  <c r="AH1334" i="2"/>
  <c r="F1334" i="4" s="1"/>
  <c r="AG1334" i="2"/>
  <c r="AF1334" i="2"/>
  <c r="AE1334" i="2"/>
  <c r="AD1334" i="2"/>
  <c r="AC1334" i="2"/>
  <c r="AB1334" i="2"/>
  <c r="AA1334" i="2"/>
  <c r="Z1334" i="2"/>
  <c r="Y1334" i="2"/>
  <c r="X1334" i="2"/>
  <c r="W1334" i="2"/>
  <c r="V1334" i="2"/>
  <c r="U1334" i="2"/>
  <c r="T1334" i="2"/>
  <c r="A1338" i="3" s="1"/>
  <c r="AM1333" i="2"/>
  <c r="AL1333" i="2"/>
  <c r="AK1333" i="2"/>
  <c r="AJ1333" i="2"/>
  <c r="AI1333" i="2"/>
  <c r="AH1333" i="2"/>
  <c r="F1333" i="4" s="1"/>
  <c r="AG1333" i="2"/>
  <c r="AF1333" i="2"/>
  <c r="AE1333" i="2"/>
  <c r="AD1333" i="2"/>
  <c r="AC1333" i="2"/>
  <c r="AB1333" i="2"/>
  <c r="AA1333" i="2"/>
  <c r="Z1333" i="2"/>
  <c r="Y1333" i="2"/>
  <c r="X1333" i="2"/>
  <c r="W1333" i="2"/>
  <c r="V1333" i="2"/>
  <c r="U1333" i="2"/>
  <c r="T1333" i="2"/>
  <c r="A1337" i="3" s="1"/>
  <c r="AM1332" i="2"/>
  <c r="AL1332" i="2"/>
  <c r="AK1332" i="2"/>
  <c r="AJ1332" i="2"/>
  <c r="AI1332" i="2"/>
  <c r="AH1332" i="2"/>
  <c r="F1332" i="4" s="1"/>
  <c r="AG1332" i="2"/>
  <c r="AF1332" i="2"/>
  <c r="AE1332" i="2"/>
  <c r="AD1332" i="2"/>
  <c r="AC1332" i="2"/>
  <c r="AB1332" i="2"/>
  <c r="AA1332" i="2"/>
  <c r="Z1332" i="2"/>
  <c r="Y1332" i="2"/>
  <c r="X1332" i="2"/>
  <c r="W1332" i="2"/>
  <c r="V1332" i="2"/>
  <c r="U1332" i="2"/>
  <c r="T1332" i="2"/>
  <c r="A1336" i="3" s="1"/>
  <c r="AM1331" i="2"/>
  <c r="AL1331" i="2"/>
  <c r="AK1331" i="2"/>
  <c r="AJ1331" i="2"/>
  <c r="AI1331" i="2"/>
  <c r="AH1331" i="2"/>
  <c r="F1331" i="4" s="1"/>
  <c r="AG1331" i="2"/>
  <c r="AF1331" i="2"/>
  <c r="AE1331" i="2"/>
  <c r="AD1331" i="2"/>
  <c r="AC1331" i="2"/>
  <c r="AB1331" i="2"/>
  <c r="AA1331" i="2"/>
  <c r="Z1331" i="2"/>
  <c r="Y1331" i="2"/>
  <c r="X1331" i="2"/>
  <c r="W1331" i="2"/>
  <c r="V1331" i="2"/>
  <c r="U1331" i="2"/>
  <c r="T1331" i="2"/>
  <c r="A1335" i="3" s="1"/>
  <c r="AM1330" i="2"/>
  <c r="AL1330" i="2"/>
  <c r="AK1330" i="2"/>
  <c r="AJ1330" i="2"/>
  <c r="AI1330" i="2"/>
  <c r="AH1330" i="2"/>
  <c r="F1330" i="4" s="1"/>
  <c r="AG1330" i="2"/>
  <c r="AF1330" i="2"/>
  <c r="AE1330" i="2"/>
  <c r="AD1330" i="2"/>
  <c r="AC1330" i="2"/>
  <c r="AB1330" i="2"/>
  <c r="AA1330" i="2"/>
  <c r="Z1330" i="2"/>
  <c r="Y1330" i="2"/>
  <c r="X1330" i="2"/>
  <c r="W1330" i="2"/>
  <c r="V1330" i="2"/>
  <c r="U1330" i="2"/>
  <c r="T1330" i="2"/>
  <c r="A1334" i="3" s="1"/>
  <c r="AM1329" i="2"/>
  <c r="AL1329" i="2"/>
  <c r="AK1329" i="2"/>
  <c r="AJ1329" i="2"/>
  <c r="AI1329" i="2"/>
  <c r="AH1329" i="2"/>
  <c r="F1329" i="4" s="1"/>
  <c r="AG1329" i="2"/>
  <c r="AF1329" i="2"/>
  <c r="AE1329" i="2"/>
  <c r="AD1329" i="2"/>
  <c r="AC1329" i="2"/>
  <c r="AB1329" i="2"/>
  <c r="AA1329" i="2"/>
  <c r="Z1329" i="2"/>
  <c r="Y1329" i="2"/>
  <c r="X1329" i="2"/>
  <c r="W1329" i="2"/>
  <c r="V1329" i="2"/>
  <c r="U1329" i="2"/>
  <c r="T1329" i="2"/>
  <c r="A1333" i="3" s="1"/>
  <c r="AM1328" i="2"/>
  <c r="AL1328" i="2"/>
  <c r="AK1328" i="2"/>
  <c r="AJ1328" i="2"/>
  <c r="AI1328" i="2"/>
  <c r="AH1328" i="2"/>
  <c r="F1328" i="4" s="1"/>
  <c r="AG1328" i="2"/>
  <c r="AF1328" i="2"/>
  <c r="AE1328" i="2"/>
  <c r="AD1328" i="2"/>
  <c r="AC1328" i="2"/>
  <c r="AB1328" i="2"/>
  <c r="AA1328" i="2"/>
  <c r="Z1328" i="2"/>
  <c r="Y1328" i="2"/>
  <c r="X1328" i="2"/>
  <c r="W1328" i="2"/>
  <c r="V1328" i="2"/>
  <c r="U1328" i="2"/>
  <c r="T1328" i="2"/>
  <c r="A1332" i="3" s="1"/>
  <c r="AM1327" i="2"/>
  <c r="AL1327" i="2"/>
  <c r="AK1327" i="2"/>
  <c r="AJ1327" i="2"/>
  <c r="AI1327" i="2"/>
  <c r="AH1327" i="2"/>
  <c r="F1327" i="4" s="1"/>
  <c r="AG1327" i="2"/>
  <c r="AF1327" i="2"/>
  <c r="AE1327" i="2"/>
  <c r="AD1327" i="2"/>
  <c r="AC1327" i="2"/>
  <c r="AB1327" i="2"/>
  <c r="AA1327" i="2"/>
  <c r="Z1327" i="2"/>
  <c r="Y1327" i="2"/>
  <c r="X1327" i="2"/>
  <c r="W1327" i="2"/>
  <c r="V1327" i="2"/>
  <c r="U1327" i="2"/>
  <c r="T1327" i="2"/>
  <c r="A1331" i="3" s="1"/>
  <c r="AM1326" i="2"/>
  <c r="AL1326" i="2"/>
  <c r="AK1326" i="2"/>
  <c r="AJ1326" i="2"/>
  <c r="AI1326" i="2"/>
  <c r="AH1326" i="2"/>
  <c r="F1326" i="4" s="1"/>
  <c r="AG1326" i="2"/>
  <c r="AF1326" i="2"/>
  <c r="AE1326" i="2"/>
  <c r="AD1326" i="2"/>
  <c r="AC1326" i="2"/>
  <c r="AB1326" i="2"/>
  <c r="AA1326" i="2"/>
  <c r="Z1326" i="2"/>
  <c r="Y1326" i="2"/>
  <c r="X1326" i="2"/>
  <c r="W1326" i="2"/>
  <c r="V1326" i="2"/>
  <c r="U1326" i="2"/>
  <c r="T1326" i="2"/>
  <c r="A1330" i="3" s="1"/>
  <c r="AM1325" i="2"/>
  <c r="AL1325" i="2"/>
  <c r="AK1325" i="2"/>
  <c r="AJ1325" i="2"/>
  <c r="AI1325" i="2"/>
  <c r="AH1325" i="2"/>
  <c r="F1325" i="4" s="1"/>
  <c r="AG1325" i="2"/>
  <c r="AF1325" i="2"/>
  <c r="AE1325" i="2"/>
  <c r="AD1325" i="2"/>
  <c r="AC1325" i="2"/>
  <c r="AB1325" i="2"/>
  <c r="AA1325" i="2"/>
  <c r="Z1325" i="2"/>
  <c r="Y1325" i="2"/>
  <c r="X1325" i="2"/>
  <c r="W1325" i="2"/>
  <c r="V1325" i="2"/>
  <c r="U1325" i="2"/>
  <c r="T1325" i="2"/>
  <c r="A1329" i="3" s="1"/>
  <c r="AM1324" i="2"/>
  <c r="AL1324" i="2"/>
  <c r="AK1324" i="2"/>
  <c r="AJ1324" i="2"/>
  <c r="AI1324" i="2"/>
  <c r="AH1324" i="2"/>
  <c r="F1324" i="4" s="1"/>
  <c r="AG1324" i="2"/>
  <c r="AF1324" i="2"/>
  <c r="AE1324" i="2"/>
  <c r="AD1324" i="2"/>
  <c r="AC1324" i="2"/>
  <c r="AB1324" i="2"/>
  <c r="AA1324" i="2"/>
  <c r="Z1324" i="2"/>
  <c r="Y1324" i="2"/>
  <c r="X1324" i="2"/>
  <c r="W1324" i="2"/>
  <c r="V1324" i="2"/>
  <c r="U1324" i="2"/>
  <c r="T1324" i="2"/>
  <c r="A1328" i="3" s="1"/>
  <c r="AM1323" i="2"/>
  <c r="AL1323" i="2"/>
  <c r="AK1323" i="2"/>
  <c r="AJ1323" i="2"/>
  <c r="AI1323" i="2"/>
  <c r="AH1323" i="2"/>
  <c r="F1323" i="4" s="1"/>
  <c r="AG1323" i="2"/>
  <c r="AF1323" i="2"/>
  <c r="AE1323" i="2"/>
  <c r="AD1323" i="2"/>
  <c r="AC1323" i="2"/>
  <c r="AB1323" i="2"/>
  <c r="AA1323" i="2"/>
  <c r="Z1323" i="2"/>
  <c r="Y1323" i="2"/>
  <c r="X1323" i="2"/>
  <c r="W1323" i="2"/>
  <c r="V1323" i="2"/>
  <c r="U1323" i="2"/>
  <c r="T1323" i="2"/>
  <c r="A1327" i="3" s="1"/>
  <c r="AM1322" i="2"/>
  <c r="AL1322" i="2"/>
  <c r="AK1322" i="2"/>
  <c r="AJ1322" i="2"/>
  <c r="AI1322" i="2"/>
  <c r="AH1322" i="2"/>
  <c r="F1322" i="4" s="1"/>
  <c r="AG1322" i="2"/>
  <c r="AF1322" i="2"/>
  <c r="AE1322" i="2"/>
  <c r="AD1322" i="2"/>
  <c r="AC1322" i="2"/>
  <c r="AB1322" i="2"/>
  <c r="AA1322" i="2"/>
  <c r="Z1322" i="2"/>
  <c r="Y1322" i="2"/>
  <c r="X1322" i="2"/>
  <c r="W1322" i="2"/>
  <c r="V1322" i="2"/>
  <c r="U1322" i="2"/>
  <c r="T1322" i="2"/>
  <c r="A1326" i="3" s="1"/>
  <c r="AM1321" i="2"/>
  <c r="AL1321" i="2"/>
  <c r="AK1321" i="2"/>
  <c r="AJ1321" i="2"/>
  <c r="AI1321" i="2"/>
  <c r="AH1321" i="2"/>
  <c r="F1321" i="4" s="1"/>
  <c r="AG1321" i="2"/>
  <c r="AF1321" i="2"/>
  <c r="AE1321" i="2"/>
  <c r="AD1321" i="2"/>
  <c r="AC1321" i="2"/>
  <c r="AB1321" i="2"/>
  <c r="AA1321" i="2"/>
  <c r="Z1321" i="2"/>
  <c r="Y1321" i="2"/>
  <c r="X1321" i="2"/>
  <c r="W1321" i="2"/>
  <c r="V1321" i="2"/>
  <c r="U1321" i="2"/>
  <c r="T1321" i="2"/>
  <c r="A1325" i="3" s="1"/>
  <c r="AM1320" i="2"/>
  <c r="AL1320" i="2"/>
  <c r="AK1320" i="2"/>
  <c r="AJ1320" i="2"/>
  <c r="AI1320" i="2"/>
  <c r="AH1320" i="2"/>
  <c r="F1320" i="4" s="1"/>
  <c r="AG1320" i="2"/>
  <c r="AF1320" i="2"/>
  <c r="AE1320" i="2"/>
  <c r="AD1320" i="2"/>
  <c r="AC1320" i="2"/>
  <c r="AB1320" i="2"/>
  <c r="AA1320" i="2"/>
  <c r="Z1320" i="2"/>
  <c r="Y1320" i="2"/>
  <c r="X1320" i="2"/>
  <c r="W1320" i="2"/>
  <c r="V1320" i="2"/>
  <c r="U1320" i="2"/>
  <c r="T1320" i="2"/>
  <c r="A1324" i="3" s="1"/>
  <c r="AM1319" i="2"/>
  <c r="AL1319" i="2"/>
  <c r="AK1319" i="2"/>
  <c r="AJ1319" i="2"/>
  <c r="AI1319" i="2"/>
  <c r="AH1319" i="2"/>
  <c r="F1319" i="4" s="1"/>
  <c r="AG1319" i="2"/>
  <c r="AF1319" i="2"/>
  <c r="AE1319" i="2"/>
  <c r="AD1319" i="2"/>
  <c r="AC1319" i="2"/>
  <c r="AB1319" i="2"/>
  <c r="AA1319" i="2"/>
  <c r="Z1319" i="2"/>
  <c r="Y1319" i="2"/>
  <c r="X1319" i="2"/>
  <c r="W1319" i="2"/>
  <c r="V1319" i="2"/>
  <c r="U1319" i="2"/>
  <c r="T1319" i="2"/>
  <c r="A1323" i="3" s="1"/>
  <c r="AM1318" i="2"/>
  <c r="AL1318" i="2"/>
  <c r="AK1318" i="2"/>
  <c r="AJ1318" i="2"/>
  <c r="AI1318" i="2"/>
  <c r="AH1318" i="2"/>
  <c r="F1318" i="4" s="1"/>
  <c r="AG1318" i="2"/>
  <c r="AF1318" i="2"/>
  <c r="AE1318" i="2"/>
  <c r="AD1318" i="2"/>
  <c r="AC1318" i="2"/>
  <c r="AB1318" i="2"/>
  <c r="AA1318" i="2"/>
  <c r="Z1318" i="2"/>
  <c r="Y1318" i="2"/>
  <c r="X1318" i="2"/>
  <c r="W1318" i="2"/>
  <c r="V1318" i="2"/>
  <c r="U1318" i="2"/>
  <c r="T1318" i="2"/>
  <c r="A1322" i="3" s="1"/>
  <c r="AM1317" i="2"/>
  <c r="AL1317" i="2"/>
  <c r="AK1317" i="2"/>
  <c r="AJ1317" i="2"/>
  <c r="AI1317" i="2"/>
  <c r="AH1317" i="2"/>
  <c r="F1317" i="4" s="1"/>
  <c r="AG1317" i="2"/>
  <c r="AF1317" i="2"/>
  <c r="AE1317" i="2"/>
  <c r="AD1317" i="2"/>
  <c r="AC1317" i="2"/>
  <c r="AB1317" i="2"/>
  <c r="AA1317" i="2"/>
  <c r="Z1317" i="2"/>
  <c r="Y1317" i="2"/>
  <c r="X1317" i="2"/>
  <c r="W1317" i="2"/>
  <c r="V1317" i="2"/>
  <c r="U1317" i="2"/>
  <c r="T1317" i="2"/>
  <c r="A1321" i="3" s="1"/>
  <c r="AM1316" i="2"/>
  <c r="AL1316" i="2"/>
  <c r="AK1316" i="2"/>
  <c r="AJ1316" i="2"/>
  <c r="AI1316" i="2"/>
  <c r="AH1316" i="2"/>
  <c r="F1316" i="4" s="1"/>
  <c r="AG1316" i="2"/>
  <c r="AF1316" i="2"/>
  <c r="AE1316" i="2"/>
  <c r="AD1316" i="2"/>
  <c r="AC1316" i="2"/>
  <c r="AB1316" i="2"/>
  <c r="AA1316" i="2"/>
  <c r="Z1316" i="2"/>
  <c r="Y1316" i="2"/>
  <c r="X1316" i="2"/>
  <c r="W1316" i="2"/>
  <c r="V1316" i="2"/>
  <c r="U1316" i="2"/>
  <c r="T1316" i="2"/>
  <c r="A1320" i="3" s="1"/>
  <c r="AM1315" i="2"/>
  <c r="AL1315" i="2"/>
  <c r="AK1315" i="2"/>
  <c r="AJ1315" i="2"/>
  <c r="AI1315" i="2"/>
  <c r="AH1315" i="2"/>
  <c r="F1315" i="4" s="1"/>
  <c r="AG1315" i="2"/>
  <c r="AF1315" i="2"/>
  <c r="AE1315" i="2"/>
  <c r="AD1315" i="2"/>
  <c r="AC1315" i="2"/>
  <c r="AB1315" i="2"/>
  <c r="AA1315" i="2"/>
  <c r="Z1315" i="2"/>
  <c r="Y1315" i="2"/>
  <c r="X1315" i="2"/>
  <c r="W1315" i="2"/>
  <c r="V1315" i="2"/>
  <c r="U1315" i="2"/>
  <c r="T1315" i="2"/>
  <c r="A1319" i="3" s="1"/>
  <c r="AM1314" i="2"/>
  <c r="AL1314" i="2"/>
  <c r="AK1314" i="2"/>
  <c r="AJ1314" i="2"/>
  <c r="AI1314" i="2"/>
  <c r="AH1314" i="2"/>
  <c r="F1314" i="4" s="1"/>
  <c r="AG1314" i="2"/>
  <c r="AF1314" i="2"/>
  <c r="AE1314" i="2"/>
  <c r="AD1314" i="2"/>
  <c r="AC1314" i="2"/>
  <c r="AB1314" i="2"/>
  <c r="AA1314" i="2"/>
  <c r="Z1314" i="2"/>
  <c r="Y1314" i="2"/>
  <c r="X1314" i="2"/>
  <c r="W1314" i="2"/>
  <c r="V1314" i="2"/>
  <c r="U1314" i="2"/>
  <c r="T1314" i="2"/>
  <c r="A1318" i="3" s="1"/>
  <c r="AM1313" i="2"/>
  <c r="AL1313" i="2"/>
  <c r="AK1313" i="2"/>
  <c r="AJ1313" i="2"/>
  <c r="AI1313" i="2"/>
  <c r="AH1313" i="2"/>
  <c r="F1313" i="4" s="1"/>
  <c r="AG1313" i="2"/>
  <c r="AF1313" i="2"/>
  <c r="AE1313" i="2"/>
  <c r="AD1313" i="2"/>
  <c r="AC1313" i="2"/>
  <c r="AB1313" i="2"/>
  <c r="AA1313" i="2"/>
  <c r="Z1313" i="2"/>
  <c r="Y1313" i="2"/>
  <c r="X1313" i="2"/>
  <c r="W1313" i="2"/>
  <c r="V1313" i="2"/>
  <c r="U1313" i="2"/>
  <c r="T1313" i="2"/>
  <c r="A1317" i="3" s="1"/>
  <c r="AM1312" i="2"/>
  <c r="AL1312" i="2"/>
  <c r="AK1312" i="2"/>
  <c r="AJ1312" i="2"/>
  <c r="AI1312" i="2"/>
  <c r="AH1312" i="2"/>
  <c r="F1312" i="4" s="1"/>
  <c r="AG1312" i="2"/>
  <c r="AF1312" i="2"/>
  <c r="AE1312" i="2"/>
  <c r="AD1312" i="2"/>
  <c r="AC1312" i="2"/>
  <c r="AB1312" i="2"/>
  <c r="AA1312" i="2"/>
  <c r="Z1312" i="2"/>
  <c r="Y1312" i="2"/>
  <c r="X1312" i="2"/>
  <c r="W1312" i="2"/>
  <c r="V1312" i="2"/>
  <c r="U1312" i="2"/>
  <c r="T1312" i="2"/>
  <c r="A1316" i="3" s="1"/>
  <c r="AM1311" i="2"/>
  <c r="AL1311" i="2"/>
  <c r="AK1311" i="2"/>
  <c r="AJ1311" i="2"/>
  <c r="AI1311" i="2"/>
  <c r="AH1311" i="2"/>
  <c r="F1311" i="4" s="1"/>
  <c r="AG1311" i="2"/>
  <c r="AF1311" i="2"/>
  <c r="AE1311" i="2"/>
  <c r="AD1311" i="2"/>
  <c r="AC1311" i="2"/>
  <c r="AB1311" i="2"/>
  <c r="AA1311" i="2"/>
  <c r="Z1311" i="2"/>
  <c r="Y1311" i="2"/>
  <c r="X1311" i="2"/>
  <c r="W1311" i="2"/>
  <c r="V1311" i="2"/>
  <c r="U1311" i="2"/>
  <c r="T1311" i="2"/>
  <c r="A1315" i="3" s="1"/>
  <c r="AM1310" i="2"/>
  <c r="AL1310" i="2"/>
  <c r="AK1310" i="2"/>
  <c r="AJ1310" i="2"/>
  <c r="AI1310" i="2"/>
  <c r="AH1310" i="2"/>
  <c r="F1310" i="4" s="1"/>
  <c r="AG1310" i="2"/>
  <c r="AF1310" i="2"/>
  <c r="AE1310" i="2"/>
  <c r="AD1310" i="2"/>
  <c r="AC1310" i="2"/>
  <c r="AB1310" i="2"/>
  <c r="AA1310" i="2"/>
  <c r="Z1310" i="2"/>
  <c r="Y1310" i="2"/>
  <c r="X1310" i="2"/>
  <c r="W1310" i="2"/>
  <c r="V1310" i="2"/>
  <c r="U1310" i="2"/>
  <c r="T1310" i="2"/>
  <c r="A1314" i="3" s="1"/>
  <c r="AM1309" i="2"/>
  <c r="AL1309" i="2"/>
  <c r="AK1309" i="2"/>
  <c r="AJ1309" i="2"/>
  <c r="AI1309" i="2"/>
  <c r="AH1309" i="2"/>
  <c r="F1309" i="4" s="1"/>
  <c r="AG1309" i="2"/>
  <c r="AF1309" i="2"/>
  <c r="AE1309" i="2"/>
  <c r="AD1309" i="2"/>
  <c r="AC1309" i="2"/>
  <c r="AB1309" i="2"/>
  <c r="AA1309" i="2"/>
  <c r="Z1309" i="2"/>
  <c r="Y1309" i="2"/>
  <c r="X1309" i="2"/>
  <c r="W1309" i="2"/>
  <c r="V1309" i="2"/>
  <c r="U1309" i="2"/>
  <c r="T1309" i="2"/>
  <c r="A1313" i="3" s="1"/>
  <c r="AM1308" i="2"/>
  <c r="AL1308" i="2"/>
  <c r="AK1308" i="2"/>
  <c r="AJ1308" i="2"/>
  <c r="AI1308" i="2"/>
  <c r="AH1308" i="2"/>
  <c r="F1308" i="4" s="1"/>
  <c r="AG1308" i="2"/>
  <c r="AF1308" i="2"/>
  <c r="AE1308" i="2"/>
  <c r="AD1308" i="2"/>
  <c r="AC1308" i="2"/>
  <c r="AB1308" i="2"/>
  <c r="AA1308" i="2"/>
  <c r="Z1308" i="2"/>
  <c r="Y1308" i="2"/>
  <c r="X1308" i="2"/>
  <c r="W1308" i="2"/>
  <c r="V1308" i="2"/>
  <c r="U1308" i="2"/>
  <c r="T1308" i="2"/>
  <c r="A1312" i="3" s="1"/>
  <c r="AM1307" i="2"/>
  <c r="AL1307" i="2"/>
  <c r="AK1307" i="2"/>
  <c r="AJ1307" i="2"/>
  <c r="AI1307" i="2"/>
  <c r="AH1307" i="2"/>
  <c r="F1307" i="4" s="1"/>
  <c r="AG1307" i="2"/>
  <c r="AF1307" i="2"/>
  <c r="AE1307" i="2"/>
  <c r="AD1307" i="2"/>
  <c r="AC1307" i="2"/>
  <c r="AB1307" i="2"/>
  <c r="AA1307" i="2"/>
  <c r="Z1307" i="2"/>
  <c r="Y1307" i="2"/>
  <c r="X1307" i="2"/>
  <c r="W1307" i="2"/>
  <c r="V1307" i="2"/>
  <c r="U1307" i="2"/>
  <c r="T1307" i="2"/>
  <c r="A1311" i="3" s="1"/>
  <c r="AM1306" i="2"/>
  <c r="AL1306" i="2"/>
  <c r="AK1306" i="2"/>
  <c r="AJ1306" i="2"/>
  <c r="AI1306" i="2"/>
  <c r="AH1306" i="2"/>
  <c r="F1306" i="4" s="1"/>
  <c r="AG1306" i="2"/>
  <c r="AF1306" i="2"/>
  <c r="AE1306" i="2"/>
  <c r="AD1306" i="2"/>
  <c r="AC1306" i="2"/>
  <c r="AB1306" i="2"/>
  <c r="AA1306" i="2"/>
  <c r="Z1306" i="2"/>
  <c r="Y1306" i="2"/>
  <c r="X1306" i="2"/>
  <c r="W1306" i="2"/>
  <c r="V1306" i="2"/>
  <c r="U1306" i="2"/>
  <c r="T1306" i="2"/>
  <c r="A1310" i="3" s="1"/>
  <c r="AM1305" i="2"/>
  <c r="AL1305" i="2"/>
  <c r="AK1305" i="2"/>
  <c r="AJ1305" i="2"/>
  <c r="AI1305" i="2"/>
  <c r="AH1305" i="2"/>
  <c r="F1305" i="4" s="1"/>
  <c r="AG1305" i="2"/>
  <c r="AF1305" i="2"/>
  <c r="AE1305" i="2"/>
  <c r="AD1305" i="2"/>
  <c r="AC1305" i="2"/>
  <c r="AB1305" i="2"/>
  <c r="AA1305" i="2"/>
  <c r="Z1305" i="2"/>
  <c r="Y1305" i="2"/>
  <c r="X1305" i="2"/>
  <c r="W1305" i="2"/>
  <c r="V1305" i="2"/>
  <c r="U1305" i="2"/>
  <c r="T1305" i="2"/>
  <c r="A1309" i="3" s="1"/>
  <c r="AM1304" i="2"/>
  <c r="AL1304" i="2"/>
  <c r="AK1304" i="2"/>
  <c r="AJ1304" i="2"/>
  <c r="AI1304" i="2"/>
  <c r="AH1304" i="2"/>
  <c r="F1304" i="4" s="1"/>
  <c r="AG1304" i="2"/>
  <c r="AF1304" i="2"/>
  <c r="AE1304" i="2"/>
  <c r="AD1304" i="2"/>
  <c r="AC1304" i="2"/>
  <c r="AB1304" i="2"/>
  <c r="AA1304" i="2"/>
  <c r="Z1304" i="2"/>
  <c r="Y1304" i="2"/>
  <c r="X1304" i="2"/>
  <c r="W1304" i="2"/>
  <c r="V1304" i="2"/>
  <c r="U1304" i="2"/>
  <c r="T1304" i="2"/>
  <c r="A1308" i="3" s="1"/>
  <c r="AM1303" i="2"/>
  <c r="AL1303" i="2"/>
  <c r="AK1303" i="2"/>
  <c r="AJ1303" i="2"/>
  <c r="AI1303" i="2"/>
  <c r="AH1303" i="2"/>
  <c r="F1303" i="4" s="1"/>
  <c r="AG1303" i="2"/>
  <c r="AF1303" i="2"/>
  <c r="AE1303" i="2"/>
  <c r="AD1303" i="2"/>
  <c r="AC1303" i="2"/>
  <c r="AB1303" i="2"/>
  <c r="AA1303" i="2"/>
  <c r="Z1303" i="2"/>
  <c r="Y1303" i="2"/>
  <c r="X1303" i="2"/>
  <c r="W1303" i="2"/>
  <c r="V1303" i="2"/>
  <c r="U1303" i="2"/>
  <c r="T1303" i="2"/>
  <c r="A1307" i="3" s="1"/>
  <c r="AM1302" i="2"/>
  <c r="AL1302" i="2"/>
  <c r="AK1302" i="2"/>
  <c r="AJ1302" i="2"/>
  <c r="AI1302" i="2"/>
  <c r="AH1302" i="2"/>
  <c r="F1302" i="4" s="1"/>
  <c r="AG1302" i="2"/>
  <c r="AF1302" i="2"/>
  <c r="AE1302" i="2"/>
  <c r="AD1302" i="2"/>
  <c r="AC1302" i="2"/>
  <c r="AB1302" i="2"/>
  <c r="AA1302" i="2"/>
  <c r="Z1302" i="2"/>
  <c r="Y1302" i="2"/>
  <c r="X1302" i="2"/>
  <c r="W1302" i="2"/>
  <c r="V1302" i="2"/>
  <c r="U1302" i="2"/>
  <c r="T1302" i="2"/>
  <c r="A1306" i="3" s="1"/>
  <c r="AM1301" i="2"/>
  <c r="AL1301" i="2"/>
  <c r="AK1301" i="2"/>
  <c r="AJ1301" i="2"/>
  <c r="AI1301" i="2"/>
  <c r="AH1301" i="2"/>
  <c r="F1301" i="4" s="1"/>
  <c r="AG1301" i="2"/>
  <c r="AF1301" i="2"/>
  <c r="AE1301" i="2"/>
  <c r="AD1301" i="2"/>
  <c r="AC1301" i="2"/>
  <c r="AB1301" i="2"/>
  <c r="AA1301" i="2"/>
  <c r="Z1301" i="2"/>
  <c r="Y1301" i="2"/>
  <c r="X1301" i="2"/>
  <c r="W1301" i="2"/>
  <c r="V1301" i="2"/>
  <c r="U1301" i="2"/>
  <c r="T1301" i="2"/>
  <c r="A1305" i="3" s="1"/>
  <c r="AM1300" i="2"/>
  <c r="AL1300" i="2"/>
  <c r="AK1300" i="2"/>
  <c r="AJ1300" i="2"/>
  <c r="AI1300" i="2"/>
  <c r="AH1300" i="2"/>
  <c r="F1300" i="4" s="1"/>
  <c r="AG1300" i="2"/>
  <c r="AF1300" i="2"/>
  <c r="AE1300" i="2"/>
  <c r="AD1300" i="2"/>
  <c r="AC1300" i="2"/>
  <c r="AB1300" i="2"/>
  <c r="AA1300" i="2"/>
  <c r="Z1300" i="2"/>
  <c r="Y1300" i="2"/>
  <c r="X1300" i="2"/>
  <c r="W1300" i="2"/>
  <c r="V1300" i="2"/>
  <c r="U1300" i="2"/>
  <c r="T1300" i="2"/>
  <c r="A1304" i="3" s="1"/>
  <c r="AM1299" i="2"/>
  <c r="AL1299" i="2"/>
  <c r="AK1299" i="2"/>
  <c r="AJ1299" i="2"/>
  <c r="AI1299" i="2"/>
  <c r="AH1299" i="2"/>
  <c r="F1299" i="4" s="1"/>
  <c r="AG1299" i="2"/>
  <c r="AF1299" i="2"/>
  <c r="AE1299" i="2"/>
  <c r="AD1299" i="2"/>
  <c r="AC1299" i="2"/>
  <c r="AB1299" i="2"/>
  <c r="AA1299" i="2"/>
  <c r="Z1299" i="2"/>
  <c r="Y1299" i="2"/>
  <c r="X1299" i="2"/>
  <c r="W1299" i="2"/>
  <c r="V1299" i="2"/>
  <c r="U1299" i="2"/>
  <c r="T1299" i="2"/>
  <c r="A1303" i="3" s="1"/>
  <c r="AM1298" i="2"/>
  <c r="AL1298" i="2"/>
  <c r="AK1298" i="2"/>
  <c r="AJ1298" i="2"/>
  <c r="AI1298" i="2"/>
  <c r="AH1298" i="2"/>
  <c r="F1298" i="4" s="1"/>
  <c r="AG1298" i="2"/>
  <c r="AF1298" i="2"/>
  <c r="AE1298" i="2"/>
  <c r="AD1298" i="2"/>
  <c r="AC1298" i="2"/>
  <c r="AB1298" i="2"/>
  <c r="AA1298" i="2"/>
  <c r="Z1298" i="2"/>
  <c r="Y1298" i="2"/>
  <c r="X1298" i="2"/>
  <c r="W1298" i="2"/>
  <c r="V1298" i="2"/>
  <c r="U1298" i="2"/>
  <c r="T1298" i="2"/>
  <c r="A1302" i="3" s="1"/>
  <c r="AM1297" i="2"/>
  <c r="AL1297" i="2"/>
  <c r="AK1297" i="2"/>
  <c r="AJ1297" i="2"/>
  <c r="AI1297" i="2"/>
  <c r="AH1297" i="2"/>
  <c r="F1297" i="4" s="1"/>
  <c r="AG1297" i="2"/>
  <c r="AF1297" i="2"/>
  <c r="AE1297" i="2"/>
  <c r="AD1297" i="2"/>
  <c r="AC1297" i="2"/>
  <c r="AB1297" i="2"/>
  <c r="AA1297" i="2"/>
  <c r="Z1297" i="2"/>
  <c r="Y1297" i="2"/>
  <c r="X1297" i="2"/>
  <c r="W1297" i="2"/>
  <c r="V1297" i="2"/>
  <c r="U1297" i="2"/>
  <c r="T1297" i="2"/>
  <c r="A1301" i="3" s="1"/>
  <c r="AM1296" i="2"/>
  <c r="AL1296" i="2"/>
  <c r="AK1296" i="2"/>
  <c r="AJ1296" i="2"/>
  <c r="AI1296" i="2"/>
  <c r="AH1296" i="2"/>
  <c r="F1296" i="4" s="1"/>
  <c r="AG1296" i="2"/>
  <c r="AF1296" i="2"/>
  <c r="AE1296" i="2"/>
  <c r="AD1296" i="2"/>
  <c r="AC1296" i="2"/>
  <c r="AB1296" i="2"/>
  <c r="AA1296" i="2"/>
  <c r="Z1296" i="2"/>
  <c r="Y1296" i="2"/>
  <c r="X1296" i="2"/>
  <c r="W1296" i="2"/>
  <c r="V1296" i="2"/>
  <c r="U1296" i="2"/>
  <c r="T1296" i="2"/>
  <c r="A1300" i="3" s="1"/>
  <c r="AM1295" i="2"/>
  <c r="AL1295" i="2"/>
  <c r="AK1295" i="2"/>
  <c r="AJ1295" i="2"/>
  <c r="AI1295" i="2"/>
  <c r="AH1295" i="2"/>
  <c r="F1295" i="4" s="1"/>
  <c r="AG1295" i="2"/>
  <c r="AF1295" i="2"/>
  <c r="AE1295" i="2"/>
  <c r="AD1295" i="2"/>
  <c r="AC1295" i="2"/>
  <c r="AB1295" i="2"/>
  <c r="AA1295" i="2"/>
  <c r="Z1295" i="2"/>
  <c r="Y1295" i="2"/>
  <c r="X1295" i="2"/>
  <c r="W1295" i="2"/>
  <c r="V1295" i="2"/>
  <c r="U1295" i="2"/>
  <c r="T1295" i="2"/>
  <c r="A1299" i="3" s="1"/>
  <c r="AM1294" i="2"/>
  <c r="AL1294" i="2"/>
  <c r="AK1294" i="2"/>
  <c r="AJ1294" i="2"/>
  <c r="AI1294" i="2"/>
  <c r="AH1294" i="2"/>
  <c r="F1294" i="4" s="1"/>
  <c r="AG1294" i="2"/>
  <c r="AF1294" i="2"/>
  <c r="AE1294" i="2"/>
  <c r="AD1294" i="2"/>
  <c r="AC1294" i="2"/>
  <c r="AB1294" i="2"/>
  <c r="AA1294" i="2"/>
  <c r="Z1294" i="2"/>
  <c r="Y1294" i="2"/>
  <c r="X1294" i="2"/>
  <c r="W1294" i="2"/>
  <c r="V1294" i="2"/>
  <c r="U1294" i="2"/>
  <c r="T1294" i="2"/>
  <c r="A1298" i="3" s="1"/>
  <c r="AM1293" i="2"/>
  <c r="AL1293" i="2"/>
  <c r="AK1293" i="2"/>
  <c r="AJ1293" i="2"/>
  <c r="AI1293" i="2"/>
  <c r="AH1293" i="2"/>
  <c r="F1293" i="4" s="1"/>
  <c r="AG1293" i="2"/>
  <c r="AF1293" i="2"/>
  <c r="AE1293" i="2"/>
  <c r="AD1293" i="2"/>
  <c r="AC1293" i="2"/>
  <c r="AB1293" i="2"/>
  <c r="AA1293" i="2"/>
  <c r="Z1293" i="2"/>
  <c r="Y1293" i="2"/>
  <c r="X1293" i="2"/>
  <c r="W1293" i="2"/>
  <c r="V1293" i="2"/>
  <c r="U1293" i="2"/>
  <c r="T1293" i="2"/>
  <c r="A1297" i="3" s="1"/>
  <c r="AM1292" i="2"/>
  <c r="AL1292" i="2"/>
  <c r="AK1292" i="2"/>
  <c r="AJ1292" i="2"/>
  <c r="AI1292" i="2"/>
  <c r="AH1292" i="2"/>
  <c r="F1292" i="4" s="1"/>
  <c r="AG1292" i="2"/>
  <c r="AF1292" i="2"/>
  <c r="AE1292" i="2"/>
  <c r="AD1292" i="2"/>
  <c r="AC1292" i="2"/>
  <c r="AB1292" i="2"/>
  <c r="AA1292" i="2"/>
  <c r="Z1292" i="2"/>
  <c r="Y1292" i="2"/>
  <c r="X1292" i="2"/>
  <c r="W1292" i="2"/>
  <c r="V1292" i="2"/>
  <c r="U1292" i="2"/>
  <c r="T1292" i="2"/>
  <c r="A1296" i="3" s="1"/>
  <c r="AM1291" i="2"/>
  <c r="AL1291" i="2"/>
  <c r="AK1291" i="2"/>
  <c r="AJ1291" i="2"/>
  <c r="AI1291" i="2"/>
  <c r="AH1291" i="2"/>
  <c r="F1291" i="4" s="1"/>
  <c r="AG1291" i="2"/>
  <c r="AF1291" i="2"/>
  <c r="AE1291" i="2"/>
  <c r="AD1291" i="2"/>
  <c r="AC1291" i="2"/>
  <c r="AB1291" i="2"/>
  <c r="AA1291" i="2"/>
  <c r="Z1291" i="2"/>
  <c r="Y1291" i="2"/>
  <c r="X1291" i="2"/>
  <c r="W1291" i="2"/>
  <c r="V1291" i="2"/>
  <c r="U1291" i="2"/>
  <c r="T1291" i="2"/>
  <c r="A1295" i="3" s="1"/>
  <c r="AM1290" i="2"/>
  <c r="AL1290" i="2"/>
  <c r="AK1290" i="2"/>
  <c r="AJ1290" i="2"/>
  <c r="AI1290" i="2"/>
  <c r="AH1290" i="2"/>
  <c r="F1290" i="4" s="1"/>
  <c r="AG1290" i="2"/>
  <c r="AF1290" i="2"/>
  <c r="AE1290" i="2"/>
  <c r="AD1290" i="2"/>
  <c r="AC1290" i="2"/>
  <c r="AB1290" i="2"/>
  <c r="AA1290" i="2"/>
  <c r="Z1290" i="2"/>
  <c r="Y1290" i="2"/>
  <c r="X1290" i="2"/>
  <c r="W1290" i="2"/>
  <c r="V1290" i="2"/>
  <c r="U1290" i="2"/>
  <c r="T1290" i="2"/>
  <c r="A1294" i="3" s="1"/>
  <c r="AM1289" i="2"/>
  <c r="AL1289" i="2"/>
  <c r="AK1289" i="2"/>
  <c r="AJ1289" i="2"/>
  <c r="AI1289" i="2"/>
  <c r="AH1289" i="2"/>
  <c r="F1289" i="4" s="1"/>
  <c r="AG1289" i="2"/>
  <c r="AF1289" i="2"/>
  <c r="AE1289" i="2"/>
  <c r="AD1289" i="2"/>
  <c r="AC1289" i="2"/>
  <c r="AB1289" i="2"/>
  <c r="AA1289" i="2"/>
  <c r="Z1289" i="2"/>
  <c r="Y1289" i="2"/>
  <c r="X1289" i="2"/>
  <c r="W1289" i="2"/>
  <c r="V1289" i="2"/>
  <c r="U1289" i="2"/>
  <c r="T1289" i="2"/>
  <c r="A1293" i="3" s="1"/>
  <c r="AM1288" i="2"/>
  <c r="AL1288" i="2"/>
  <c r="AK1288" i="2"/>
  <c r="AJ1288" i="2"/>
  <c r="AI1288" i="2"/>
  <c r="AH1288" i="2"/>
  <c r="F1288" i="4" s="1"/>
  <c r="AG1288" i="2"/>
  <c r="AF1288" i="2"/>
  <c r="AE1288" i="2"/>
  <c r="AD1288" i="2"/>
  <c r="AC1288" i="2"/>
  <c r="AB1288" i="2"/>
  <c r="AA1288" i="2"/>
  <c r="Z1288" i="2"/>
  <c r="Y1288" i="2"/>
  <c r="X1288" i="2"/>
  <c r="W1288" i="2"/>
  <c r="V1288" i="2"/>
  <c r="U1288" i="2"/>
  <c r="T1288" i="2"/>
  <c r="A1292" i="3" s="1"/>
  <c r="AM1287" i="2"/>
  <c r="AL1287" i="2"/>
  <c r="AK1287" i="2"/>
  <c r="AJ1287" i="2"/>
  <c r="AI1287" i="2"/>
  <c r="AH1287" i="2"/>
  <c r="F1287" i="4" s="1"/>
  <c r="AG1287" i="2"/>
  <c r="AF1287" i="2"/>
  <c r="AE1287" i="2"/>
  <c r="AD1287" i="2"/>
  <c r="AC1287" i="2"/>
  <c r="AB1287" i="2"/>
  <c r="AA1287" i="2"/>
  <c r="Z1287" i="2"/>
  <c r="Y1287" i="2"/>
  <c r="X1287" i="2"/>
  <c r="W1287" i="2"/>
  <c r="V1287" i="2"/>
  <c r="U1287" i="2"/>
  <c r="T1287" i="2"/>
  <c r="A1291" i="3" s="1"/>
  <c r="AM1286" i="2"/>
  <c r="AL1286" i="2"/>
  <c r="AK1286" i="2"/>
  <c r="AJ1286" i="2"/>
  <c r="AI1286" i="2"/>
  <c r="AH1286" i="2"/>
  <c r="F1286" i="4" s="1"/>
  <c r="AG1286" i="2"/>
  <c r="AF1286" i="2"/>
  <c r="AE1286" i="2"/>
  <c r="AD1286" i="2"/>
  <c r="AC1286" i="2"/>
  <c r="AB1286" i="2"/>
  <c r="AA1286" i="2"/>
  <c r="Z1286" i="2"/>
  <c r="Y1286" i="2"/>
  <c r="X1286" i="2"/>
  <c r="W1286" i="2"/>
  <c r="V1286" i="2"/>
  <c r="U1286" i="2"/>
  <c r="T1286" i="2"/>
  <c r="A1290" i="3" s="1"/>
  <c r="AM1285" i="2"/>
  <c r="AL1285" i="2"/>
  <c r="AK1285" i="2"/>
  <c r="AJ1285" i="2"/>
  <c r="AI1285" i="2"/>
  <c r="AH1285" i="2"/>
  <c r="F1285" i="4" s="1"/>
  <c r="AG1285" i="2"/>
  <c r="AF1285" i="2"/>
  <c r="AE1285" i="2"/>
  <c r="AD1285" i="2"/>
  <c r="AC1285" i="2"/>
  <c r="AB1285" i="2"/>
  <c r="AA1285" i="2"/>
  <c r="Z1285" i="2"/>
  <c r="Y1285" i="2"/>
  <c r="X1285" i="2"/>
  <c r="W1285" i="2"/>
  <c r="V1285" i="2"/>
  <c r="U1285" i="2"/>
  <c r="T1285" i="2"/>
  <c r="A1289" i="3" s="1"/>
  <c r="AM1284" i="2"/>
  <c r="AL1284" i="2"/>
  <c r="AK1284" i="2"/>
  <c r="AJ1284" i="2"/>
  <c r="AI1284" i="2"/>
  <c r="AH1284" i="2"/>
  <c r="F1284" i="4" s="1"/>
  <c r="AG1284" i="2"/>
  <c r="AF1284" i="2"/>
  <c r="AE1284" i="2"/>
  <c r="AD1284" i="2"/>
  <c r="AC1284" i="2"/>
  <c r="AB1284" i="2"/>
  <c r="AA1284" i="2"/>
  <c r="Z1284" i="2"/>
  <c r="Y1284" i="2"/>
  <c r="X1284" i="2"/>
  <c r="W1284" i="2"/>
  <c r="V1284" i="2"/>
  <c r="U1284" i="2"/>
  <c r="T1284" i="2"/>
  <c r="A1288" i="3" s="1"/>
  <c r="AM1283" i="2"/>
  <c r="AL1283" i="2"/>
  <c r="AK1283" i="2"/>
  <c r="AJ1283" i="2"/>
  <c r="AI1283" i="2"/>
  <c r="AH1283" i="2"/>
  <c r="F1283" i="4" s="1"/>
  <c r="AG1283" i="2"/>
  <c r="AF1283" i="2"/>
  <c r="AE1283" i="2"/>
  <c r="AD1283" i="2"/>
  <c r="AC1283" i="2"/>
  <c r="AB1283" i="2"/>
  <c r="AA1283" i="2"/>
  <c r="Z1283" i="2"/>
  <c r="Y1283" i="2"/>
  <c r="X1283" i="2"/>
  <c r="W1283" i="2"/>
  <c r="V1283" i="2"/>
  <c r="U1283" i="2"/>
  <c r="T1283" i="2"/>
  <c r="A1287" i="3" s="1"/>
  <c r="AM1282" i="2"/>
  <c r="AL1282" i="2"/>
  <c r="AK1282" i="2"/>
  <c r="AJ1282" i="2"/>
  <c r="AI1282" i="2"/>
  <c r="AH1282" i="2"/>
  <c r="F1282" i="4" s="1"/>
  <c r="AG1282" i="2"/>
  <c r="AF1282" i="2"/>
  <c r="AE1282" i="2"/>
  <c r="AD1282" i="2"/>
  <c r="AC1282" i="2"/>
  <c r="AB1282" i="2"/>
  <c r="AA1282" i="2"/>
  <c r="Z1282" i="2"/>
  <c r="Y1282" i="2"/>
  <c r="X1282" i="2"/>
  <c r="W1282" i="2"/>
  <c r="V1282" i="2"/>
  <c r="U1282" i="2"/>
  <c r="T1282" i="2"/>
  <c r="A1286" i="3" s="1"/>
  <c r="AM1281" i="2"/>
  <c r="AL1281" i="2"/>
  <c r="AK1281" i="2"/>
  <c r="AJ1281" i="2"/>
  <c r="AI1281" i="2"/>
  <c r="AH1281" i="2"/>
  <c r="F1281" i="4" s="1"/>
  <c r="AG1281" i="2"/>
  <c r="AF1281" i="2"/>
  <c r="AE1281" i="2"/>
  <c r="AD1281" i="2"/>
  <c r="AC1281" i="2"/>
  <c r="AB1281" i="2"/>
  <c r="AA1281" i="2"/>
  <c r="Z1281" i="2"/>
  <c r="Y1281" i="2"/>
  <c r="X1281" i="2"/>
  <c r="W1281" i="2"/>
  <c r="V1281" i="2"/>
  <c r="U1281" i="2"/>
  <c r="T1281" i="2"/>
  <c r="A1285" i="3" s="1"/>
  <c r="AM1280" i="2"/>
  <c r="AL1280" i="2"/>
  <c r="AK1280" i="2"/>
  <c r="AJ1280" i="2"/>
  <c r="AI1280" i="2"/>
  <c r="AH1280" i="2"/>
  <c r="F1280" i="4" s="1"/>
  <c r="AG1280" i="2"/>
  <c r="AF1280" i="2"/>
  <c r="AE1280" i="2"/>
  <c r="AD1280" i="2"/>
  <c r="AC1280" i="2"/>
  <c r="AB1280" i="2"/>
  <c r="AA1280" i="2"/>
  <c r="Z1280" i="2"/>
  <c r="Y1280" i="2"/>
  <c r="X1280" i="2"/>
  <c r="W1280" i="2"/>
  <c r="V1280" i="2"/>
  <c r="U1280" i="2"/>
  <c r="T1280" i="2"/>
  <c r="A1284" i="3" s="1"/>
  <c r="AM1279" i="2"/>
  <c r="AL1279" i="2"/>
  <c r="AK1279" i="2"/>
  <c r="AJ1279" i="2"/>
  <c r="AI1279" i="2"/>
  <c r="AH1279" i="2"/>
  <c r="F1279" i="4" s="1"/>
  <c r="AG1279" i="2"/>
  <c r="AF1279" i="2"/>
  <c r="AE1279" i="2"/>
  <c r="AD1279" i="2"/>
  <c r="AC1279" i="2"/>
  <c r="AB1279" i="2"/>
  <c r="AA1279" i="2"/>
  <c r="Z1279" i="2"/>
  <c r="Y1279" i="2"/>
  <c r="X1279" i="2"/>
  <c r="W1279" i="2"/>
  <c r="V1279" i="2"/>
  <c r="U1279" i="2"/>
  <c r="T1279" i="2"/>
  <c r="A1283" i="3" s="1"/>
  <c r="AM1278" i="2"/>
  <c r="AL1278" i="2"/>
  <c r="AK1278" i="2"/>
  <c r="AJ1278" i="2"/>
  <c r="AI1278" i="2"/>
  <c r="AH1278" i="2"/>
  <c r="F1278" i="4" s="1"/>
  <c r="AG1278" i="2"/>
  <c r="AF1278" i="2"/>
  <c r="AE1278" i="2"/>
  <c r="AD1278" i="2"/>
  <c r="AC1278" i="2"/>
  <c r="AB1278" i="2"/>
  <c r="AA1278" i="2"/>
  <c r="Z1278" i="2"/>
  <c r="Y1278" i="2"/>
  <c r="X1278" i="2"/>
  <c r="W1278" i="2"/>
  <c r="V1278" i="2"/>
  <c r="U1278" i="2"/>
  <c r="T1278" i="2"/>
  <c r="A1282" i="3" s="1"/>
  <c r="AM1277" i="2"/>
  <c r="AL1277" i="2"/>
  <c r="AK1277" i="2"/>
  <c r="AJ1277" i="2"/>
  <c r="AI1277" i="2"/>
  <c r="AH1277" i="2"/>
  <c r="F1277" i="4" s="1"/>
  <c r="AG1277" i="2"/>
  <c r="AF1277" i="2"/>
  <c r="AE1277" i="2"/>
  <c r="AD1277" i="2"/>
  <c r="AC1277" i="2"/>
  <c r="AB1277" i="2"/>
  <c r="AA1277" i="2"/>
  <c r="Z1277" i="2"/>
  <c r="Y1277" i="2"/>
  <c r="X1277" i="2"/>
  <c r="W1277" i="2"/>
  <c r="V1277" i="2"/>
  <c r="U1277" i="2"/>
  <c r="T1277" i="2"/>
  <c r="A1281" i="3" s="1"/>
  <c r="AM1276" i="2"/>
  <c r="AL1276" i="2"/>
  <c r="AK1276" i="2"/>
  <c r="AJ1276" i="2"/>
  <c r="AI1276" i="2"/>
  <c r="AH1276" i="2"/>
  <c r="F1276" i="4" s="1"/>
  <c r="AG1276" i="2"/>
  <c r="AF1276" i="2"/>
  <c r="AE1276" i="2"/>
  <c r="AD1276" i="2"/>
  <c r="AC1276" i="2"/>
  <c r="AB1276" i="2"/>
  <c r="AA1276" i="2"/>
  <c r="Z1276" i="2"/>
  <c r="Y1276" i="2"/>
  <c r="X1276" i="2"/>
  <c r="W1276" i="2"/>
  <c r="V1276" i="2"/>
  <c r="U1276" i="2"/>
  <c r="T1276" i="2"/>
  <c r="A1280" i="3" s="1"/>
  <c r="AM1275" i="2"/>
  <c r="AL1275" i="2"/>
  <c r="AK1275" i="2"/>
  <c r="AJ1275" i="2"/>
  <c r="AI1275" i="2"/>
  <c r="AH1275" i="2"/>
  <c r="F1275" i="4" s="1"/>
  <c r="AG1275" i="2"/>
  <c r="AF1275" i="2"/>
  <c r="AE1275" i="2"/>
  <c r="AD1275" i="2"/>
  <c r="AC1275" i="2"/>
  <c r="AB1275" i="2"/>
  <c r="AA1275" i="2"/>
  <c r="Z1275" i="2"/>
  <c r="Y1275" i="2"/>
  <c r="X1275" i="2"/>
  <c r="W1275" i="2"/>
  <c r="V1275" i="2"/>
  <c r="U1275" i="2"/>
  <c r="T1275" i="2"/>
  <c r="A1279" i="3" s="1"/>
  <c r="AM1274" i="2"/>
  <c r="AL1274" i="2"/>
  <c r="AK1274" i="2"/>
  <c r="AJ1274" i="2"/>
  <c r="AI1274" i="2"/>
  <c r="AH1274" i="2"/>
  <c r="F1274" i="4" s="1"/>
  <c r="AG1274" i="2"/>
  <c r="AF1274" i="2"/>
  <c r="AE1274" i="2"/>
  <c r="AD1274" i="2"/>
  <c r="AC1274" i="2"/>
  <c r="AB1274" i="2"/>
  <c r="AA1274" i="2"/>
  <c r="Z1274" i="2"/>
  <c r="Y1274" i="2"/>
  <c r="X1274" i="2"/>
  <c r="W1274" i="2"/>
  <c r="V1274" i="2"/>
  <c r="U1274" i="2"/>
  <c r="T1274" i="2"/>
  <c r="A1278" i="3" s="1"/>
  <c r="AM1273" i="2"/>
  <c r="AL1273" i="2"/>
  <c r="AK1273" i="2"/>
  <c r="AJ1273" i="2"/>
  <c r="AI1273" i="2"/>
  <c r="AH1273" i="2"/>
  <c r="F1273" i="4" s="1"/>
  <c r="AG1273" i="2"/>
  <c r="AF1273" i="2"/>
  <c r="AE1273" i="2"/>
  <c r="AD1273" i="2"/>
  <c r="AC1273" i="2"/>
  <c r="AB1273" i="2"/>
  <c r="AA1273" i="2"/>
  <c r="Z1273" i="2"/>
  <c r="Y1273" i="2"/>
  <c r="X1273" i="2"/>
  <c r="W1273" i="2"/>
  <c r="V1273" i="2"/>
  <c r="U1273" i="2"/>
  <c r="T1273" i="2"/>
  <c r="A1277" i="3" s="1"/>
  <c r="AM1272" i="2"/>
  <c r="AL1272" i="2"/>
  <c r="AK1272" i="2"/>
  <c r="AJ1272" i="2"/>
  <c r="AI1272" i="2"/>
  <c r="AH1272" i="2"/>
  <c r="F1272" i="4" s="1"/>
  <c r="AG1272" i="2"/>
  <c r="AF1272" i="2"/>
  <c r="AE1272" i="2"/>
  <c r="AD1272" i="2"/>
  <c r="AC1272" i="2"/>
  <c r="AB1272" i="2"/>
  <c r="AA1272" i="2"/>
  <c r="Z1272" i="2"/>
  <c r="Y1272" i="2"/>
  <c r="X1272" i="2"/>
  <c r="W1272" i="2"/>
  <c r="V1272" i="2"/>
  <c r="U1272" i="2"/>
  <c r="T1272" i="2"/>
  <c r="A1276" i="3" s="1"/>
  <c r="AM1271" i="2"/>
  <c r="AL1271" i="2"/>
  <c r="AK1271" i="2"/>
  <c r="AJ1271" i="2"/>
  <c r="AI1271" i="2"/>
  <c r="AH1271" i="2"/>
  <c r="F1271" i="4" s="1"/>
  <c r="AG1271" i="2"/>
  <c r="AF1271" i="2"/>
  <c r="AE1271" i="2"/>
  <c r="AD1271" i="2"/>
  <c r="AC1271" i="2"/>
  <c r="AB1271" i="2"/>
  <c r="AA1271" i="2"/>
  <c r="Z1271" i="2"/>
  <c r="Y1271" i="2"/>
  <c r="X1271" i="2"/>
  <c r="W1271" i="2"/>
  <c r="V1271" i="2"/>
  <c r="U1271" i="2"/>
  <c r="T1271" i="2"/>
  <c r="A1275" i="3" s="1"/>
  <c r="AM1270" i="2"/>
  <c r="AL1270" i="2"/>
  <c r="AK1270" i="2"/>
  <c r="AJ1270" i="2"/>
  <c r="AI1270" i="2"/>
  <c r="AH1270" i="2"/>
  <c r="F1270" i="4" s="1"/>
  <c r="AG1270" i="2"/>
  <c r="AF1270" i="2"/>
  <c r="AE1270" i="2"/>
  <c r="AD1270" i="2"/>
  <c r="AC1270" i="2"/>
  <c r="AB1270" i="2"/>
  <c r="AA1270" i="2"/>
  <c r="Z1270" i="2"/>
  <c r="Y1270" i="2"/>
  <c r="X1270" i="2"/>
  <c r="W1270" i="2"/>
  <c r="V1270" i="2"/>
  <c r="U1270" i="2"/>
  <c r="T1270" i="2"/>
  <c r="A1274" i="3" s="1"/>
  <c r="AM1269" i="2"/>
  <c r="AL1269" i="2"/>
  <c r="AK1269" i="2"/>
  <c r="AJ1269" i="2"/>
  <c r="AI1269" i="2"/>
  <c r="AH1269" i="2"/>
  <c r="F1269" i="4" s="1"/>
  <c r="AG1269" i="2"/>
  <c r="AF1269" i="2"/>
  <c r="AE1269" i="2"/>
  <c r="AD1269" i="2"/>
  <c r="AC1269" i="2"/>
  <c r="AB1269" i="2"/>
  <c r="AA1269" i="2"/>
  <c r="Z1269" i="2"/>
  <c r="Y1269" i="2"/>
  <c r="X1269" i="2"/>
  <c r="W1269" i="2"/>
  <c r="V1269" i="2"/>
  <c r="U1269" i="2"/>
  <c r="T1269" i="2"/>
  <c r="A1273" i="3" s="1"/>
  <c r="AM1268" i="2"/>
  <c r="AL1268" i="2"/>
  <c r="AK1268" i="2"/>
  <c r="AJ1268" i="2"/>
  <c r="AI1268" i="2"/>
  <c r="AH1268" i="2"/>
  <c r="F1268" i="4" s="1"/>
  <c r="AG1268" i="2"/>
  <c r="AF1268" i="2"/>
  <c r="AE1268" i="2"/>
  <c r="AD1268" i="2"/>
  <c r="AC1268" i="2"/>
  <c r="AB1268" i="2"/>
  <c r="AA1268" i="2"/>
  <c r="Z1268" i="2"/>
  <c r="Y1268" i="2"/>
  <c r="X1268" i="2"/>
  <c r="W1268" i="2"/>
  <c r="V1268" i="2"/>
  <c r="U1268" i="2"/>
  <c r="T1268" i="2"/>
  <c r="A1272" i="3" s="1"/>
  <c r="AM1267" i="2"/>
  <c r="AL1267" i="2"/>
  <c r="AK1267" i="2"/>
  <c r="AJ1267" i="2"/>
  <c r="AI1267" i="2"/>
  <c r="AH1267" i="2"/>
  <c r="F1267" i="4" s="1"/>
  <c r="AG1267" i="2"/>
  <c r="AF1267" i="2"/>
  <c r="AE1267" i="2"/>
  <c r="AD1267" i="2"/>
  <c r="AC1267" i="2"/>
  <c r="AB1267" i="2"/>
  <c r="AA1267" i="2"/>
  <c r="Z1267" i="2"/>
  <c r="Y1267" i="2"/>
  <c r="X1267" i="2"/>
  <c r="W1267" i="2"/>
  <c r="V1267" i="2"/>
  <c r="U1267" i="2"/>
  <c r="T1267" i="2"/>
  <c r="A1271" i="3" s="1"/>
  <c r="AM1266" i="2"/>
  <c r="AL1266" i="2"/>
  <c r="AK1266" i="2"/>
  <c r="AJ1266" i="2"/>
  <c r="AI1266" i="2"/>
  <c r="AH1266" i="2"/>
  <c r="F1266" i="4" s="1"/>
  <c r="AG1266" i="2"/>
  <c r="AF1266" i="2"/>
  <c r="AE1266" i="2"/>
  <c r="AD1266" i="2"/>
  <c r="AC1266" i="2"/>
  <c r="AB1266" i="2"/>
  <c r="AA1266" i="2"/>
  <c r="Z1266" i="2"/>
  <c r="Y1266" i="2"/>
  <c r="X1266" i="2"/>
  <c r="W1266" i="2"/>
  <c r="V1266" i="2"/>
  <c r="U1266" i="2"/>
  <c r="T1266" i="2"/>
  <c r="A1270" i="3" s="1"/>
  <c r="AM1265" i="2"/>
  <c r="AL1265" i="2"/>
  <c r="AK1265" i="2"/>
  <c r="AJ1265" i="2"/>
  <c r="AI1265" i="2"/>
  <c r="AH1265" i="2"/>
  <c r="F1265" i="4" s="1"/>
  <c r="AG1265" i="2"/>
  <c r="AF1265" i="2"/>
  <c r="AE1265" i="2"/>
  <c r="AD1265" i="2"/>
  <c r="AC1265" i="2"/>
  <c r="AB1265" i="2"/>
  <c r="AA1265" i="2"/>
  <c r="Z1265" i="2"/>
  <c r="Y1265" i="2"/>
  <c r="X1265" i="2"/>
  <c r="W1265" i="2"/>
  <c r="V1265" i="2"/>
  <c r="U1265" i="2"/>
  <c r="T1265" i="2"/>
  <c r="A1269" i="3" s="1"/>
  <c r="AM1264" i="2"/>
  <c r="AL1264" i="2"/>
  <c r="AK1264" i="2"/>
  <c r="AJ1264" i="2"/>
  <c r="AI1264" i="2"/>
  <c r="AH1264" i="2"/>
  <c r="F1264" i="4" s="1"/>
  <c r="AG1264" i="2"/>
  <c r="AF1264" i="2"/>
  <c r="AE1264" i="2"/>
  <c r="AD1264" i="2"/>
  <c r="AC1264" i="2"/>
  <c r="AB1264" i="2"/>
  <c r="AA1264" i="2"/>
  <c r="Z1264" i="2"/>
  <c r="Y1264" i="2"/>
  <c r="X1264" i="2"/>
  <c r="W1264" i="2"/>
  <c r="V1264" i="2"/>
  <c r="U1264" i="2"/>
  <c r="T1264" i="2"/>
  <c r="A1268" i="3" s="1"/>
  <c r="AM1263" i="2"/>
  <c r="AL1263" i="2"/>
  <c r="AK1263" i="2"/>
  <c r="AJ1263" i="2"/>
  <c r="AI1263" i="2"/>
  <c r="AH1263" i="2"/>
  <c r="F1263" i="4" s="1"/>
  <c r="AG1263" i="2"/>
  <c r="AF1263" i="2"/>
  <c r="AE1263" i="2"/>
  <c r="AD1263" i="2"/>
  <c r="AC1263" i="2"/>
  <c r="AB1263" i="2"/>
  <c r="AA1263" i="2"/>
  <c r="Z1263" i="2"/>
  <c r="Y1263" i="2"/>
  <c r="X1263" i="2"/>
  <c r="W1263" i="2"/>
  <c r="V1263" i="2"/>
  <c r="U1263" i="2"/>
  <c r="T1263" i="2"/>
  <c r="A1267" i="3" s="1"/>
  <c r="AM1262" i="2"/>
  <c r="AL1262" i="2"/>
  <c r="AK1262" i="2"/>
  <c r="AJ1262" i="2"/>
  <c r="AI1262" i="2"/>
  <c r="AH1262" i="2"/>
  <c r="F1262" i="4" s="1"/>
  <c r="AG1262" i="2"/>
  <c r="AF1262" i="2"/>
  <c r="AE1262" i="2"/>
  <c r="AD1262" i="2"/>
  <c r="AC1262" i="2"/>
  <c r="AB1262" i="2"/>
  <c r="AA1262" i="2"/>
  <c r="Z1262" i="2"/>
  <c r="Y1262" i="2"/>
  <c r="X1262" i="2"/>
  <c r="W1262" i="2"/>
  <c r="V1262" i="2"/>
  <c r="U1262" i="2"/>
  <c r="T1262" i="2"/>
  <c r="A1266" i="3" s="1"/>
  <c r="AM1261" i="2"/>
  <c r="AL1261" i="2"/>
  <c r="AK1261" i="2"/>
  <c r="AJ1261" i="2"/>
  <c r="AI1261" i="2"/>
  <c r="AH1261" i="2"/>
  <c r="F1261" i="4" s="1"/>
  <c r="AG1261" i="2"/>
  <c r="AF1261" i="2"/>
  <c r="AE1261" i="2"/>
  <c r="AD1261" i="2"/>
  <c r="AC1261" i="2"/>
  <c r="AB1261" i="2"/>
  <c r="AA1261" i="2"/>
  <c r="Z1261" i="2"/>
  <c r="Y1261" i="2"/>
  <c r="X1261" i="2"/>
  <c r="W1261" i="2"/>
  <c r="V1261" i="2"/>
  <c r="U1261" i="2"/>
  <c r="T1261" i="2"/>
  <c r="A1265" i="3" s="1"/>
  <c r="AM1260" i="2"/>
  <c r="AL1260" i="2"/>
  <c r="AK1260" i="2"/>
  <c r="AJ1260" i="2"/>
  <c r="AI1260" i="2"/>
  <c r="AH1260" i="2"/>
  <c r="F1260" i="4" s="1"/>
  <c r="AG1260" i="2"/>
  <c r="AF1260" i="2"/>
  <c r="AE1260" i="2"/>
  <c r="AD1260" i="2"/>
  <c r="AC1260" i="2"/>
  <c r="AB1260" i="2"/>
  <c r="AA1260" i="2"/>
  <c r="Z1260" i="2"/>
  <c r="Y1260" i="2"/>
  <c r="X1260" i="2"/>
  <c r="W1260" i="2"/>
  <c r="V1260" i="2"/>
  <c r="U1260" i="2"/>
  <c r="T1260" i="2"/>
  <c r="A1264" i="3" s="1"/>
  <c r="AM1259" i="2"/>
  <c r="AL1259" i="2"/>
  <c r="AK1259" i="2"/>
  <c r="AJ1259" i="2"/>
  <c r="AI1259" i="2"/>
  <c r="AH1259" i="2"/>
  <c r="F1259" i="4" s="1"/>
  <c r="AG1259" i="2"/>
  <c r="AF1259" i="2"/>
  <c r="AE1259" i="2"/>
  <c r="AD1259" i="2"/>
  <c r="AC1259" i="2"/>
  <c r="AB1259" i="2"/>
  <c r="AA1259" i="2"/>
  <c r="Z1259" i="2"/>
  <c r="Y1259" i="2"/>
  <c r="X1259" i="2"/>
  <c r="W1259" i="2"/>
  <c r="V1259" i="2"/>
  <c r="U1259" i="2"/>
  <c r="T1259" i="2"/>
  <c r="A1263" i="3" s="1"/>
  <c r="AM1258" i="2"/>
  <c r="AL1258" i="2"/>
  <c r="AK1258" i="2"/>
  <c r="AJ1258" i="2"/>
  <c r="AI1258" i="2"/>
  <c r="AH1258" i="2"/>
  <c r="F1258" i="4" s="1"/>
  <c r="AG1258" i="2"/>
  <c r="AF1258" i="2"/>
  <c r="AE1258" i="2"/>
  <c r="AD1258" i="2"/>
  <c r="AC1258" i="2"/>
  <c r="AB1258" i="2"/>
  <c r="AA1258" i="2"/>
  <c r="Z1258" i="2"/>
  <c r="Y1258" i="2"/>
  <c r="X1258" i="2"/>
  <c r="W1258" i="2"/>
  <c r="V1258" i="2"/>
  <c r="U1258" i="2"/>
  <c r="T1258" i="2"/>
  <c r="A1262" i="3" s="1"/>
  <c r="AM1257" i="2"/>
  <c r="AL1257" i="2"/>
  <c r="AK1257" i="2"/>
  <c r="AJ1257" i="2"/>
  <c r="AI1257" i="2"/>
  <c r="AH1257" i="2"/>
  <c r="F1257" i="4" s="1"/>
  <c r="AG1257" i="2"/>
  <c r="AF1257" i="2"/>
  <c r="AE1257" i="2"/>
  <c r="AD1257" i="2"/>
  <c r="AC1257" i="2"/>
  <c r="AB1257" i="2"/>
  <c r="AA1257" i="2"/>
  <c r="Z1257" i="2"/>
  <c r="Y1257" i="2"/>
  <c r="X1257" i="2"/>
  <c r="W1257" i="2"/>
  <c r="V1257" i="2"/>
  <c r="U1257" i="2"/>
  <c r="T1257" i="2"/>
  <c r="A1261" i="3" s="1"/>
  <c r="AM1256" i="2"/>
  <c r="AL1256" i="2"/>
  <c r="AK1256" i="2"/>
  <c r="AJ1256" i="2"/>
  <c r="AI1256" i="2"/>
  <c r="AH1256" i="2"/>
  <c r="F1256" i="4" s="1"/>
  <c r="AG1256" i="2"/>
  <c r="AF1256" i="2"/>
  <c r="AE1256" i="2"/>
  <c r="AD1256" i="2"/>
  <c r="AC1256" i="2"/>
  <c r="AB1256" i="2"/>
  <c r="AA1256" i="2"/>
  <c r="Z1256" i="2"/>
  <c r="Y1256" i="2"/>
  <c r="X1256" i="2"/>
  <c r="W1256" i="2"/>
  <c r="V1256" i="2"/>
  <c r="U1256" i="2"/>
  <c r="T1256" i="2"/>
  <c r="A1260" i="3" s="1"/>
  <c r="AM1255" i="2"/>
  <c r="AL1255" i="2"/>
  <c r="AK1255" i="2"/>
  <c r="AJ1255" i="2"/>
  <c r="AI1255" i="2"/>
  <c r="AH1255" i="2"/>
  <c r="F1255" i="4" s="1"/>
  <c r="AG1255" i="2"/>
  <c r="AF1255" i="2"/>
  <c r="AE1255" i="2"/>
  <c r="AD1255" i="2"/>
  <c r="AC1255" i="2"/>
  <c r="AB1255" i="2"/>
  <c r="AA1255" i="2"/>
  <c r="Z1255" i="2"/>
  <c r="Y1255" i="2"/>
  <c r="X1255" i="2"/>
  <c r="W1255" i="2"/>
  <c r="V1255" i="2"/>
  <c r="U1255" i="2"/>
  <c r="T1255" i="2"/>
  <c r="A1259" i="3" s="1"/>
  <c r="AM1254" i="2"/>
  <c r="AL1254" i="2"/>
  <c r="AK1254" i="2"/>
  <c r="AJ1254" i="2"/>
  <c r="AI1254" i="2"/>
  <c r="AH1254" i="2"/>
  <c r="F1254" i="4" s="1"/>
  <c r="AG1254" i="2"/>
  <c r="AF1254" i="2"/>
  <c r="AE1254" i="2"/>
  <c r="AD1254" i="2"/>
  <c r="AC1254" i="2"/>
  <c r="AB1254" i="2"/>
  <c r="AA1254" i="2"/>
  <c r="Z1254" i="2"/>
  <c r="Y1254" i="2"/>
  <c r="X1254" i="2"/>
  <c r="W1254" i="2"/>
  <c r="V1254" i="2"/>
  <c r="U1254" i="2"/>
  <c r="T1254" i="2"/>
  <c r="A1258" i="3" s="1"/>
  <c r="AM1253" i="2"/>
  <c r="AL1253" i="2"/>
  <c r="AK1253" i="2"/>
  <c r="AJ1253" i="2"/>
  <c r="AI1253" i="2"/>
  <c r="AH1253" i="2"/>
  <c r="F1253" i="4" s="1"/>
  <c r="AG1253" i="2"/>
  <c r="AF1253" i="2"/>
  <c r="AE1253" i="2"/>
  <c r="AD1253" i="2"/>
  <c r="AC1253" i="2"/>
  <c r="AB1253" i="2"/>
  <c r="AA1253" i="2"/>
  <c r="Z1253" i="2"/>
  <c r="Y1253" i="2"/>
  <c r="X1253" i="2"/>
  <c r="W1253" i="2"/>
  <c r="V1253" i="2"/>
  <c r="U1253" i="2"/>
  <c r="T1253" i="2"/>
  <c r="A1257" i="3" s="1"/>
  <c r="AM1252" i="2"/>
  <c r="AL1252" i="2"/>
  <c r="AK1252" i="2"/>
  <c r="AJ1252" i="2"/>
  <c r="AI1252" i="2"/>
  <c r="AH1252" i="2"/>
  <c r="F1252" i="4" s="1"/>
  <c r="AG1252" i="2"/>
  <c r="AF1252" i="2"/>
  <c r="AE1252" i="2"/>
  <c r="AD1252" i="2"/>
  <c r="AC1252" i="2"/>
  <c r="AB1252" i="2"/>
  <c r="AA1252" i="2"/>
  <c r="Z1252" i="2"/>
  <c r="Y1252" i="2"/>
  <c r="X1252" i="2"/>
  <c r="W1252" i="2"/>
  <c r="V1252" i="2"/>
  <c r="U1252" i="2"/>
  <c r="T1252" i="2"/>
  <c r="A1256" i="3" s="1"/>
  <c r="AM1251" i="2"/>
  <c r="AL1251" i="2"/>
  <c r="AK1251" i="2"/>
  <c r="AJ1251" i="2"/>
  <c r="AI1251" i="2"/>
  <c r="AH1251" i="2"/>
  <c r="F1251" i="4" s="1"/>
  <c r="AG1251" i="2"/>
  <c r="AF1251" i="2"/>
  <c r="AE1251" i="2"/>
  <c r="AD1251" i="2"/>
  <c r="AC1251" i="2"/>
  <c r="AB1251" i="2"/>
  <c r="AA1251" i="2"/>
  <c r="Z1251" i="2"/>
  <c r="Y1251" i="2"/>
  <c r="X1251" i="2"/>
  <c r="W1251" i="2"/>
  <c r="V1251" i="2"/>
  <c r="U1251" i="2"/>
  <c r="T1251" i="2"/>
  <c r="A1255" i="3" s="1"/>
  <c r="AM1250" i="2"/>
  <c r="AL1250" i="2"/>
  <c r="AK1250" i="2"/>
  <c r="AJ1250" i="2"/>
  <c r="AI1250" i="2"/>
  <c r="AH1250" i="2"/>
  <c r="F1250" i="4" s="1"/>
  <c r="AG1250" i="2"/>
  <c r="AF1250" i="2"/>
  <c r="AE1250" i="2"/>
  <c r="AD1250" i="2"/>
  <c r="AC1250" i="2"/>
  <c r="AB1250" i="2"/>
  <c r="AA1250" i="2"/>
  <c r="Z1250" i="2"/>
  <c r="Y1250" i="2"/>
  <c r="X1250" i="2"/>
  <c r="W1250" i="2"/>
  <c r="V1250" i="2"/>
  <c r="U1250" i="2"/>
  <c r="T1250" i="2"/>
  <c r="A1254" i="3" s="1"/>
  <c r="AM1249" i="2"/>
  <c r="AL1249" i="2"/>
  <c r="AK1249" i="2"/>
  <c r="AJ1249" i="2"/>
  <c r="AI1249" i="2"/>
  <c r="AH1249" i="2"/>
  <c r="F1249" i="4" s="1"/>
  <c r="AG1249" i="2"/>
  <c r="AF1249" i="2"/>
  <c r="AE1249" i="2"/>
  <c r="AD1249" i="2"/>
  <c r="AC1249" i="2"/>
  <c r="AB1249" i="2"/>
  <c r="AA1249" i="2"/>
  <c r="Z1249" i="2"/>
  <c r="Y1249" i="2"/>
  <c r="X1249" i="2"/>
  <c r="W1249" i="2"/>
  <c r="V1249" i="2"/>
  <c r="U1249" i="2"/>
  <c r="T1249" i="2"/>
  <c r="A1253" i="3" s="1"/>
  <c r="AM1248" i="2"/>
  <c r="AL1248" i="2"/>
  <c r="AK1248" i="2"/>
  <c r="AJ1248" i="2"/>
  <c r="AI1248" i="2"/>
  <c r="AH1248" i="2"/>
  <c r="F1248" i="4" s="1"/>
  <c r="AG1248" i="2"/>
  <c r="AF1248" i="2"/>
  <c r="AE1248" i="2"/>
  <c r="AD1248" i="2"/>
  <c r="AC1248" i="2"/>
  <c r="AB1248" i="2"/>
  <c r="AA1248" i="2"/>
  <c r="Z1248" i="2"/>
  <c r="Y1248" i="2"/>
  <c r="X1248" i="2"/>
  <c r="W1248" i="2"/>
  <c r="V1248" i="2"/>
  <c r="U1248" i="2"/>
  <c r="T1248" i="2"/>
  <c r="A1252" i="3" s="1"/>
  <c r="AM1247" i="2"/>
  <c r="AL1247" i="2"/>
  <c r="AK1247" i="2"/>
  <c r="AJ1247" i="2"/>
  <c r="AI1247" i="2"/>
  <c r="AH1247" i="2"/>
  <c r="F1247" i="4" s="1"/>
  <c r="AG1247" i="2"/>
  <c r="AF1247" i="2"/>
  <c r="AE1247" i="2"/>
  <c r="AD1247" i="2"/>
  <c r="AC1247" i="2"/>
  <c r="AB1247" i="2"/>
  <c r="AA1247" i="2"/>
  <c r="Z1247" i="2"/>
  <c r="Y1247" i="2"/>
  <c r="X1247" i="2"/>
  <c r="W1247" i="2"/>
  <c r="V1247" i="2"/>
  <c r="U1247" i="2"/>
  <c r="T1247" i="2"/>
  <c r="A1251" i="3" s="1"/>
  <c r="AM1246" i="2"/>
  <c r="AL1246" i="2"/>
  <c r="AK1246" i="2"/>
  <c r="AJ1246" i="2"/>
  <c r="AI1246" i="2"/>
  <c r="AH1246" i="2"/>
  <c r="F1246" i="4" s="1"/>
  <c r="AG1246" i="2"/>
  <c r="AF1246" i="2"/>
  <c r="AE1246" i="2"/>
  <c r="AD1246" i="2"/>
  <c r="AC1246" i="2"/>
  <c r="AB1246" i="2"/>
  <c r="AA1246" i="2"/>
  <c r="Z1246" i="2"/>
  <c r="Y1246" i="2"/>
  <c r="X1246" i="2"/>
  <c r="W1246" i="2"/>
  <c r="V1246" i="2"/>
  <c r="U1246" i="2"/>
  <c r="T1246" i="2"/>
  <c r="A1250" i="3" s="1"/>
  <c r="AM1245" i="2"/>
  <c r="AL1245" i="2"/>
  <c r="AK1245" i="2"/>
  <c r="AJ1245" i="2"/>
  <c r="AI1245" i="2"/>
  <c r="AH1245" i="2"/>
  <c r="F1245" i="4" s="1"/>
  <c r="AG1245" i="2"/>
  <c r="AF1245" i="2"/>
  <c r="AE1245" i="2"/>
  <c r="AD1245" i="2"/>
  <c r="AC1245" i="2"/>
  <c r="AB1245" i="2"/>
  <c r="AA1245" i="2"/>
  <c r="Z1245" i="2"/>
  <c r="Y1245" i="2"/>
  <c r="X1245" i="2"/>
  <c r="W1245" i="2"/>
  <c r="V1245" i="2"/>
  <c r="U1245" i="2"/>
  <c r="T1245" i="2"/>
  <c r="A1249" i="3" s="1"/>
  <c r="AM1244" i="2"/>
  <c r="AL1244" i="2"/>
  <c r="AK1244" i="2"/>
  <c r="AJ1244" i="2"/>
  <c r="AI1244" i="2"/>
  <c r="AH1244" i="2"/>
  <c r="F1244" i="4" s="1"/>
  <c r="AG1244" i="2"/>
  <c r="AF1244" i="2"/>
  <c r="AE1244" i="2"/>
  <c r="AD1244" i="2"/>
  <c r="AC1244" i="2"/>
  <c r="AB1244" i="2"/>
  <c r="AA1244" i="2"/>
  <c r="Z1244" i="2"/>
  <c r="Y1244" i="2"/>
  <c r="X1244" i="2"/>
  <c r="W1244" i="2"/>
  <c r="V1244" i="2"/>
  <c r="U1244" i="2"/>
  <c r="T1244" i="2"/>
  <c r="A1248" i="3" s="1"/>
  <c r="AM1243" i="2"/>
  <c r="AL1243" i="2"/>
  <c r="AK1243" i="2"/>
  <c r="AJ1243" i="2"/>
  <c r="AI1243" i="2"/>
  <c r="AH1243" i="2"/>
  <c r="F1243" i="4" s="1"/>
  <c r="AG1243" i="2"/>
  <c r="AF1243" i="2"/>
  <c r="AE1243" i="2"/>
  <c r="AD1243" i="2"/>
  <c r="AC1243" i="2"/>
  <c r="AB1243" i="2"/>
  <c r="AA1243" i="2"/>
  <c r="Z1243" i="2"/>
  <c r="Y1243" i="2"/>
  <c r="X1243" i="2"/>
  <c r="W1243" i="2"/>
  <c r="V1243" i="2"/>
  <c r="U1243" i="2"/>
  <c r="T1243" i="2"/>
  <c r="A1247" i="3" s="1"/>
  <c r="AM1242" i="2"/>
  <c r="AL1242" i="2"/>
  <c r="AK1242" i="2"/>
  <c r="AJ1242" i="2"/>
  <c r="AI1242" i="2"/>
  <c r="AH1242" i="2"/>
  <c r="F1242" i="4" s="1"/>
  <c r="AG1242" i="2"/>
  <c r="AF1242" i="2"/>
  <c r="AE1242" i="2"/>
  <c r="AD1242" i="2"/>
  <c r="AC1242" i="2"/>
  <c r="AB1242" i="2"/>
  <c r="AA1242" i="2"/>
  <c r="Z1242" i="2"/>
  <c r="Y1242" i="2"/>
  <c r="X1242" i="2"/>
  <c r="W1242" i="2"/>
  <c r="V1242" i="2"/>
  <c r="U1242" i="2"/>
  <c r="T1242" i="2"/>
  <c r="A1246" i="3" s="1"/>
  <c r="AM1241" i="2"/>
  <c r="AL1241" i="2"/>
  <c r="AK1241" i="2"/>
  <c r="AJ1241" i="2"/>
  <c r="AI1241" i="2"/>
  <c r="AH1241" i="2"/>
  <c r="F1241" i="4" s="1"/>
  <c r="AG1241" i="2"/>
  <c r="AF1241" i="2"/>
  <c r="AE1241" i="2"/>
  <c r="AD1241" i="2"/>
  <c r="AC1241" i="2"/>
  <c r="AB1241" i="2"/>
  <c r="AA1241" i="2"/>
  <c r="Z1241" i="2"/>
  <c r="Y1241" i="2"/>
  <c r="X1241" i="2"/>
  <c r="W1241" i="2"/>
  <c r="V1241" i="2"/>
  <c r="U1241" i="2"/>
  <c r="T1241" i="2"/>
  <c r="A1245" i="3" s="1"/>
  <c r="AM1240" i="2"/>
  <c r="AL1240" i="2"/>
  <c r="AK1240" i="2"/>
  <c r="AJ1240" i="2"/>
  <c r="AI1240" i="2"/>
  <c r="AH1240" i="2"/>
  <c r="F1240" i="4" s="1"/>
  <c r="AG1240" i="2"/>
  <c r="AF1240" i="2"/>
  <c r="AE1240" i="2"/>
  <c r="AD1240" i="2"/>
  <c r="AC1240" i="2"/>
  <c r="AB1240" i="2"/>
  <c r="AA1240" i="2"/>
  <c r="Z1240" i="2"/>
  <c r="Y1240" i="2"/>
  <c r="X1240" i="2"/>
  <c r="W1240" i="2"/>
  <c r="V1240" i="2"/>
  <c r="U1240" i="2"/>
  <c r="T1240" i="2"/>
  <c r="A1244" i="3" s="1"/>
  <c r="AM1239" i="2"/>
  <c r="AL1239" i="2"/>
  <c r="AK1239" i="2"/>
  <c r="AJ1239" i="2"/>
  <c r="AI1239" i="2"/>
  <c r="AH1239" i="2"/>
  <c r="F1239" i="4" s="1"/>
  <c r="AG1239" i="2"/>
  <c r="AF1239" i="2"/>
  <c r="AE1239" i="2"/>
  <c r="AD1239" i="2"/>
  <c r="AC1239" i="2"/>
  <c r="AB1239" i="2"/>
  <c r="AA1239" i="2"/>
  <c r="Z1239" i="2"/>
  <c r="Y1239" i="2"/>
  <c r="X1239" i="2"/>
  <c r="W1239" i="2"/>
  <c r="V1239" i="2"/>
  <c r="U1239" i="2"/>
  <c r="T1239" i="2"/>
  <c r="A1243" i="3" s="1"/>
  <c r="AM1238" i="2"/>
  <c r="AL1238" i="2"/>
  <c r="AK1238" i="2"/>
  <c r="AJ1238" i="2"/>
  <c r="AI1238" i="2"/>
  <c r="AH1238" i="2"/>
  <c r="F1238" i="4" s="1"/>
  <c r="AG1238" i="2"/>
  <c r="AF1238" i="2"/>
  <c r="AE1238" i="2"/>
  <c r="AD1238" i="2"/>
  <c r="AC1238" i="2"/>
  <c r="AB1238" i="2"/>
  <c r="AA1238" i="2"/>
  <c r="Z1238" i="2"/>
  <c r="Y1238" i="2"/>
  <c r="X1238" i="2"/>
  <c r="W1238" i="2"/>
  <c r="V1238" i="2"/>
  <c r="U1238" i="2"/>
  <c r="T1238" i="2"/>
  <c r="A1242" i="3" s="1"/>
  <c r="AM1237" i="2"/>
  <c r="AL1237" i="2"/>
  <c r="AK1237" i="2"/>
  <c r="AJ1237" i="2"/>
  <c r="AI1237" i="2"/>
  <c r="AH1237" i="2"/>
  <c r="F1237" i="4" s="1"/>
  <c r="AG1237" i="2"/>
  <c r="AF1237" i="2"/>
  <c r="AE1237" i="2"/>
  <c r="AD1237" i="2"/>
  <c r="AC1237" i="2"/>
  <c r="AB1237" i="2"/>
  <c r="AA1237" i="2"/>
  <c r="Z1237" i="2"/>
  <c r="Y1237" i="2"/>
  <c r="X1237" i="2"/>
  <c r="W1237" i="2"/>
  <c r="V1237" i="2"/>
  <c r="U1237" i="2"/>
  <c r="T1237" i="2"/>
  <c r="A1241" i="3" s="1"/>
  <c r="AM1236" i="2"/>
  <c r="AL1236" i="2"/>
  <c r="AK1236" i="2"/>
  <c r="AJ1236" i="2"/>
  <c r="AI1236" i="2"/>
  <c r="AH1236" i="2"/>
  <c r="F1236" i="4" s="1"/>
  <c r="AG1236" i="2"/>
  <c r="AF1236" i="2"/>
  <c r="AE1236" i="2"/>
  <c r="AD1236" i="2"/>
  <c r="AC1236" i="2"/>
  <c r="AB1236" i="2"/>
  <c r="AA1236" i="2"/>
  <c r="Z1236" i="2"/>
  <c r="Y1236" i="2"/>
  <c r="X1236" i="2"/>
  <c r="W1236" i="2"/>
  <c r="V1236" i="2"/>
  <c r="U1236" i="2"/>
  <c r="T1236" i="2"/>
  <c r="A1240" i="3" s="1"/>
  <c r="AM1235" i="2"/>
  <c r="AL1235" i="2"/>
  <c r="AK1235" i="2"/>
  <c r="AJ1235" i="2"/>
  <c r="AI1235" i="2"/>
  <c r="AH1235" i="2"/>
  <c r="F1235" i="4" s="1"/>
  <c r="AG1235" i="2"/>
  <c r="AF1235" i="2"/>
  <c r="AE1235" i="2"/>
  <c r="AD1235" i="2"/>
  <c r="AC1235" i="2"/>
  <c r="AB1235" i="2"/>
  <c r="AA1235" i="2"/>
  <c r="Z1235" i="2"/>
  <c r="Y1235" i="2"/>
  <c r="X1235" i="2"/>
  <c r="W1235" i="2"/>
  <c r="V1235" i="2"/>
  <c r="U1235" i="2"/>
  <c r="T1235" i="2"/>
  <c r="A1239" i="3" s="1"/>
  <c r="AM1234" i="2"/>
  <c r="AL1234" i="2"/>
  <c r="AK1234" i="2"/>
  <c r="AJ1234" i="2"/>
  <c r="AI1234" i="2"/>
  <c r="AH1234" i="2"/>
  <c r="F1234" i="4" s="1"/>
  <c r="AG1234" i="2"/>
  <c r="AF1234" i="2"/>
  <c r="AE1234" i="2"/>
  <c r="AD1234" i="2"/>
  <c r="AC1234" i="2"/>
  <c r="AB1234" i="2"/>
  <c r="AA1234" i="2"/>
  <c r="Z1234" i="2"/>
  <c r="Y1234" i="2"/>
  <c r="X1234" i="2"/>
  <c r="W1234" i="2"/>
  <c r="V1234" i="2"/>
  <c r="U1234" i="2"/>
  <c r="T1234" i="2"/>
  <c r="A1238" i="3" s="1"/>
  <c r="AM1233" i="2"/>
  <c r="AL1233" i="2"/>
  <c r="AK1233" i="2"/>
  <c r="AJ1233" i="2"/>
  <c r="AI1233" i="2"/>
  <c r="AH1233" i="2"/>
  <c r="F1233" i="4" s="1"/>
  <c r="AG1233" i="2"/>
  <c r="AF1233" i="2"/>
  <c r="AE1233" i="2"/>
  <c r="AD1233" i="2"/>
  <c r="AC1233" i="2"/>
  <c r="AB1233" i="2"/>
  <c r="AA1233" i="2"/>
  <c r="Z1233" i="2"/>
  <c r="Y1233" i="2"/>
  <c r="X1233" i="2"/>
  <c r="W1233" i="2"/>
  <c r="V1233" i="2"/>
  <c r="U1233" i="2"/>
  <c r="T1233" i="2"/>
  <c r="A1237" i="3" s="1"/>
  <c r="AM1232" i="2"/>
  <c r="AL1232" i="2"/>
  <c r="AK1232" i="2"/>
  <c r="AJ1232" i="2"/>
  <c r="AI1232" i="2"/>
  <c r="AH1232" i="2"/>
  <c r="F1232" i="4" s="1"/>
  <c r="AG1232" i="2"/>
  <c r="AF1232" i="2"/>
  <c r="AE1232" i="2"/>
  <c r="AD1232" i="2"/>
  <c r="AC1232" i="2"/>
  <c r="AB1232" i="2"/>
  <c r="AA1232" i="2"/>
  <c r="Z1232" i="2"/>
  <c r="Y1232" i="2"/>
  <c r="X1232" i="2"/>
  <c r="W1232" i="2"/>
  <c r="V1232" i="2"/>
  <c r="U1232" i="2"/>
  <c r="T1232" i="2"/>
  <c r="A1236" i="3" s="1"/>
  <c r="AM1231" i="2"/>
  <c r="AL1231" i="2"/>
  <c r="AK1231" i="2"/>
  <c r="AJ1231" i="2"/>
  <c r="AI1231" i="2"/>
  <c r="AH1231" i="2"/>
  <c r="F1231" i="4" s="1"/>
  <c r="AG1231" i="2"/>
  <c r="AF1231" i="2"/>
  <c r="AE1231" i="2"/>
  <c r="AD1231" i="2"/>
  <c r="AC1231" i="2"/>
  <c r="AB1231" i="2"/>
  <c r="AA1231" i="2"/>
  <c r="Z1231" i="2"/>
  <c r="Y1231" i="2"/>
  <c r="X1231" i="2"/>
  <c r="W1231" i="2"/>
  <c r="V1231" i="2"/>
  <c r="U1231" i="2"/>
  <c r="T1231" i="2"/>
  <c r="A1235" i="3" s="1"/>
  <c r="AM1230" i="2"/>
  <c r="AL1230" i="2"/>
  <c r="AK1230" i="2"/>
  <c r="AJ1230" i="2"/>
  <c r="AI1230" i="2"/>
  <c r="AH1230" i="2"/>
  <c r="F1230" i="4" s="1"/>
  <c r="AG1230" i="2"/>
  <c r="AF1230" i="2"/>
  <c r="AE1230" i="2"/>
  <c r="AD1230" i="2"/>
  <c r="AC1230" i="2"/>
  <c r="AB1230" i="2"/>
  <c r="AA1230" i="2"/>
  <c r="Z1230" i="2"/>
  <c r="Y1230" i="2"/>
  <c r="X1230" i="2"/>
  <c r="W1230" i="2"/>
  <c r="V1230" i="2"/>
  <c r="U1230" i="2"/>
  <c r="T1230" i="2"/>
  <c r="A1234" i="3" s="1"/>
  <c r="AM1229" i="2"/>
  <c r="AL1229" i="2"/>
  <c r="AK1229" i="2"/>
  <c r="AJ1229" i="2"/>
  <c r="AI1229" i="2"/>
  <c r="AH1229" i="2"/>
  <c r="F1229" i="4" s="1"/>
  <c r="AG1229" i="2"/>
  <c r="AF1229" i="2"/>
  <c r="AE1229" i="2"/>
  <c r="AD1229" i="2"/>
  <c r="AC1229" i="2"/>
  <c r="AB1229" i="2"/>
  <c r="AA1229" i="2"/>
  <c r="Z1229" i="2"/>
  <c r="Y1229" i="2"/>
  <c r="X1229" i="2"/>
  <c r="W1229" i="2"/>
  <c r="V1229" i="2"/>
  <c r="U1229" i="2"/>
  <c r="T1229" i="2"/>
  <c r="A1233" i="3" s="1"/>
  <c r="AM1228" i="2"/>
  <c r="AL1228" i="2"/>
  <c r="AK1228" i="2"/>
  <c r="AJ1228" i="2"/>
  <c r="AI1228" i="2"/>
  <c r="AH1228" i="2"/>
  <c r="F1228" i="4" s="1"/>
  <c r="AG1228" i="2"/>
  <c r="AF1228" i="2"/>
  <c r="AE1228" i="2"/>
  <c r="AD1228" i="2"/>
  <c r="AC1228" i="2"/>
  <c r="AB1228" i="2"/>
  <c r="AA1228" i="2"/>
  <c r="Z1228" i="2"/>
  <c r="Y1228" i="2"/>
  <c r="X1228" i="2"/>
  <c r="W1228" i="2"/>
  <c r="V1228" i="2"/>
  <c r="U1228" i="2"/>
  <c r="T1228" i="2"/>
  <c r="A1232" i="3" s="1"/>
  <c r="AM1227" i="2"/>
  <c r="AL1227" i="2"/>
  <c r="AK1227" i="2"/>
  <c r="AJ1227" i="2"/>
  <c r="AI1227" i="2"/>
  <c r="AH1227" i="2"/>
  <c r="F1227" i="4" s="1"/>
  <c r="AG1227" i="2"/>
  <c r="AF1227" i="2"/>
  <c r="AE1227" i="2"/>
  <c r="AD1227" i="2"/>
  <c r="AC1227" i="2"/>
  <c r="AB1227" i="2"/>
  <c r="AA1227" i="2"/>
  <c r="Z1227" i="2"/>
  <c r="Y1227" i="2"/>
  <c r="X1227" i="2"/>
  <c r="W1227" i="2"/>
  <c r="V1227" i="2"/>
  <c r="U1227" i="2"/>
  <c r="T1227" i="2"/>
  <c r="A1231" i="3" s="1"/>
  <c r="AM1226" i="2"/>
  <c r="AL1226" i="2"/>
  <c r="AK1226" i="2"/>
  <c r="AJ1226" i="2"/>
  <c r="AI1226" i="2"/>
  <c r="AH1226" i="2"/>
  <c r="F1226" i="4" s="1"/>
  <c r="AG1226" i="2"/>
  <c r="AF1226" i="2"/>
  <c r="AE1226" i="2"/>
  <c r="AD1226" i="2"/>
  <c r="AC1226" i="2"/>
  <c r="AB1226" i="2"/>
  <c r="AA1226" i="2"/>
  <c r="Z1226" i="2"/>
  <c r="Y1226" i="2"/>
  <c r="X1226" i="2"/>
  <c r="W1226" i="2"/>
  <c r="V1226" i="2"/>
  <c r="U1226" i="2"/>
  <c r="T1226" i="2"/>
  <c r="A1230" i="3" s="1"/>
  <c r="AM1225" i="2"/>
  <c r="AL1225" i="2"/>
  <c r="AK1225" i="2"/>
  <c r="AJ1225" i="2"/>
  <c r="AI1225" i="2"/>
  <c r="AH1225" i="2"/>
  <c r="F1225" i="4" s="1"/>
  <c r="AG1225" i="2"/>
  <c r="AF1225" i="2"/>
  <c r="AE1225" i="2"/>
  <c r="AD1225" i="2"/>
  <c r="AC1225" i="2"/>
  <c r="AB1225" i="2"/>
  <c r="AA1225" i="2"/>
  <c r="Z1225" i="2"/>
  <c r="Y1225" i="2"/>
  <c r="X1225" i="2"/>
  <c r="W1225" i="2"/>
  <c r="V1225" i="2"/>
  <c r="U1225" i="2"/>
  <c r="T1225" i="2"/>
  <c r="A1229" i="3" s="1"/>
  <c r="AM1224" i="2"/>
  <c r="AL1224" i="2"/>
  <c r="AK1224" i="2"/>
  <c r="AJ1224" i="2"/>
  <c r="AI1224" i="2"/>
  <c r="AH1224" i="2"/>
  <c r="F1224" i="4" s="1"/>
  <c r="AG1224" i="2"/>
  <c r="AF1224" i="2"/>
  <c r="AE1224" i="2"/>
  <c r="AD1224" i="2"/>
  <c r="AC1224" i="2"/>
  <c r="AB1224" i="2"/>
  <c r="AA1224" i="2"/>
  <c r="Z1224" i="2"/>
  <c r="Y1224" i="2"/>
  <c r="X1224" i="2"/>
  <c r="W1224" i="2"/>
  <c r="V1224" i="2"/>
  <c r="U1224" i="2"/>
  <c r="T1224" i="2"/>
  <c r="A1228" i="3" s="1"/>
  <c r="AM1223" i="2"/>
  <c r="AL1223" i="2"/>
  <c r="AK1223" i="2"/>
  <c r="AJ1223" i="2"/>
  <c r="AI1223" i="2"/>
  <c r="AH1223" i="2"/>
  <c r="F1223" i="4" s="1"/>
  <c r="AG1223" i="2"/>
  <c r="AF1223" i="2"/>
  <c r="AE1223" i="2"/>
  <c r="AD1223" i="2"/>
  <c r="AC1223" i="2"/>
  <c r="AB1223" i="2"/>
  <c r="AA1223" i="2"/>
  <c r="Z1223" i="2"/>
  <c r="Y1223" i="2"/>
  <c r="X1223" i="2"/>
  <c r="W1223" i="2"/>
  <c r="V1223" i="2"/>
  <c r="U1223" i="2"/>
  <c r="T1223" i="2"/>
  <c r="A1227" i="3" s="1"/>
  <c r="AM1222" i="2"/>
  <c r="AL1222" i="2"/>
  <c r="AK1222" i="2"/>
  <c r="AJ1222" i="2"/>
  <c r="AI1222" i="2"/>
  <c r="AH1222" i="2"/>
  <c r="F1222" i="4" s="1"/>
  <c r="AG1222" i="2"/>
  <c r="AF1222" i="2"/>
  <c r="AE1222" i="2"/>
  <c r="AD1222" i="2"/>
  <c r="AC1222" i="2"/>
  <c r="AB1222" i="2"/>
  <c r="AA1222" i="2"/>
  <c r="Z1222" i="2"/>
  <c r="Y1222" i="2"/>
  <c r="X1222" i="2"/>
  <c r="W1222" i="2"/>
  <c r="V1222" i="2"/>
  <c r="U1222" i="2"/>
  <c r="T1222" i="2"/>
  <c r="A1226" i="3" s="1"/>
  <c r="AM1221" i="2"/>
  <c r="AL1221" i="2"/>
  <c r="AK1221" i="2"/>
  <c r="AJ1221" i="2"/>
  <c r="AI1221" i="2"/>
  <c r="AH1221" i="2"/>
  <c r="F1221" i="4" s="1"/>
  <c r="AG1221" i="2"/>
  <c r="AF1221" i="2"/>
  <c r="AE1221" i="2"/>
  <c r="AD1221" i="2"/>
  <c r="AC1221" i="2"/>
  <c r="AB1221" i="2"/>
  <c r="AA1221" i="2"/>
  <c r="Z1221" i="2"/>
  <c r="Y1221" i="2"/>
  <c r="X1221" i="2"/>
  <c r="W1221" i="2"/>
  <c r="V1221" i="2"/>
  <c r="U1221" i="2"/>
  <c r="T1221" i="2"/>
  <c r="A1225" i="3" s="1"/>
  <c r="AM1220" i="2"/>
  <c r="AL1220" i="2"/>
  <c r="AK1220" i="2"/>
  <c r="AJ1220" i="2"/>
  <c r="AI1220" i="2"/>
  <c r="AH1220" i="2"/>
  <c r="F1220" i="4" s="1"/>
  <c r="AG1220" i="2"/>
  <c r="AF1220" i="2"/>
  <c r="AE1220" i="2"/>
  <c r="AD1220" i="2"/>
  <c r="AC1220" i="2"/>
  <c r="AB1220" i="2"/>
  <c r="AA1220" i="2"/>
  <c r="Z1220" i="2"/>
  <c r="Y1220" i="2"/>
  <c r="X1220" i="2"/>
  <c r="W1220" i="2"/>
  <c r="V1220" i="2"/>
  <c r="U1220" i="2"/>
  <c r="T1220" i="2"/>
  <c r="A1224" i="3" s="1"/>
  <c r="AM1219" i="2"/>
  <c r="AL1219" i="2"/>
  <c r="AK1219" i="2"/>
  <c r="AJ1219" i="2"/>
  <c r="AI1219" i="2"/>
  <c r="AH1219" i="2"/>
  <c r="F1219" i="4" s="1"/>
  <c r="AG1219" i="2"/>
  <c r="AF1219" i="2"/>
  <c r="AE1219" i="2"/>
  <c r="AD1219" i="2"/>
  <c r="AC1219" i="2"/>
  <c r="AB1219" i="2"/>
  <c r="AA1219" i="2"/>
  <c r="Z1219" i="2"/>
  <c r="Y1219" i="2"/>
  <c r="X1219" i="2"/>
  <c r="W1219" i="2"/>
  <c r="V1219" i="2"/>
  <c r="U1219" i="2"/>
  <c r="T1219" i="2"/>
  <c r="A1223" i="3" s="1"/>
  <c r="AM1218" i="2"/>
  <c r="AL1218" i="2"/>
  <c r="AK1218" i="2"/>
  <c r="AJ1218" i="2"/>
  <c r="AI1218" i="2"/>
  <c r="AH1218" i="2"/>
  <c r="F1218" i="4" s="1"/>
  <c r="AG1218" i="2"/>
  <c r="AF1218" i="2"/>
  <c r="AE1218" i="2"/>
  <c r="AD1218" i="2"/>
  <c r="AC1218" i="2"/>
  <c r="AB1218" i="2"/>
  <c r="AA1218" i="2"/>
  <c r="Z1218" i="2"/>
  <c r="Y1218" i="2"/>
  <c r="X1218" i="2"/>
  <c r="W1218" i="2"/>
  <c r="V1218" i="2"/>
  <c r="U1218" i="2"/>
  <c r="T1218" i="2"/>
  <c r="A1222" i="3" s="1"/>
  <c r="AM1217" i="2"/>
  <c r="AL1217" i="2"/>
  <c r="AK1217" i="2"/>
  <c r="AJ1217" i="2"/>
  <c r="AI1217" i="2"/>
  <c r="AH1217" i="2"/>
  <c r="F1217" i="4" s="1"/>
  <c r="AG1217" i="2"/>
  <c r="AF1217" i="2"/>
  <c r="AE1217" i="2"/>
  <c r="AD1217" i="2"/>
  <c r="AC1217" i="2"/>
  <c r="AB1217" i="2"/>
  <c r="AA1217" i="2"/>
  <c r="Z1217" i="2"/>
  <c r="Y1217" i="2"/>
  <c r="X1217" i="2"/>
  <c r="W1217" i="2"/>
  <c r="V1217" i="2"/>
  <c r="U1217" i="2"/>
  <c r="T1217" i="2"/>
  <c r="A1221" i="3" s="1"/>
  <c r="AM1216" i="2"/>
  <c r="AL1216" i="2"/>
  <c r="AK1216" i="2"/>
  <c r="AJ1216" i="2"/>
  <c r="AI1216" i="2"/>
  <c r="AH1216" i="2"/>
  <c r="F1216" i="4" s="1"/>
  <c r="AG1216" i="2"/>
  <c r="AF1216" i="2"/>
  <c r="AE1216" i="2"/>
  <c r="AD1216" i="2"/>
  <c r="AC1216" i="2"/>
  <c r="AB1216" i="2"/>
  <c r="AA1216" i="2"/>
  <c r="Z1216" i="2"/>
  <c r="Y1216" i="2"/>
  <c r="X1216" i="2"/>
  <c r="W1216" i="2"/>
  <c r="V1216" i="2"/>
  <c r="U1216" i="2"/>
  <c r="T1216" i="2"/>
  <c r="A1220" i="3" s="1"/>
  <c r="AM1215" i="2"/>
  <c r="AL1215" i="2"/>
  <c r="AK1215" i="2"/>
  <c r="AJ1215" i="2"/>
  <c r="AI1215" i="2"/>
  <c r="AH1215" i="2"/>
  <c r="F1215" i="4" s="1"/>
  <c r="AG1215" i="2"/>
  <c r="AF1215" i="2"/>
  <c r="AE1215" i="2"/>
  <c r="AD1215" i="2"/>
  <c r="AC1215" i="2"/>
  <c r="AB1215" i="2"/>
  <c r="AA1215" i="2"/>
  <c r="Z1215" i="2"/>
  <c r="Y1215" i="2"/>
  <c r="X1215" i="2"/>
  <c r="W1215" i="2"/>
  <c r="V1215" i="2"/>
  <c r="U1215" i="2"/>
  <c r="T1215" i="2"/>
  <c r="A1219" i="3" s="1"/>
  <c r="AM1214" i="2"/>
  <c r="AL1214" i="2"/>
  <c r="AK1214" i="2"/>
  <c r="AJ1214" i="2"/>
  <c r="AI1214" i="2"/>
  <c r="AH1214" i="2"/>
  <c r="F1214" i="4" s="1"/>
  <c r="AG1214" i="2"/>
  <c r="AF1214" i="2"/>
  <c r="AE1214" i="2"/>
  <c r="AD1214" i="2"/>
  <c r="AC1214" i="2"/>
  <c r="AB1214" i="2"/>
  <c r="AA1214" i="2"/>
  <c r="Z1214" i="2"/>
  <c r="Y1214" i="2"/>
  <c r="X1214" i="2"/>
  <c r="W1214" i="2"/>
  <c r="V1214" i="2"/>
  <c r="U1214" i="2"/>
  <c r="T1214" i="2"/>
  <c r="A1218" i="3" s="1"/>
  <c r="AM1213" i="2"/>
  <c r="AL1213" i="2"/>
  <c r="AK1213" i="2"/>
  <c r="AJ1213" i="2"/>
  <c r="AI1213" i="2"/>
  <c r="AH1213" i="2"/>
  <c r="F1213" i="4" s="1"/>
  <c r="AG1213" i="2"/>
  <c r="AF1213" i="2"/>
  <c r="AE1213" i="2"/>
  <c r="AD1213" i="2"/>
  <c r="AC1213" i="2"/>
  <c r="AB1213" i="2"/>
  <c r="AA1213" i="2"/>
  <c r="Z1213" i="2"/>
  <c r="Y1213" i="2"/>
  <c r="X1213" i="2"/>
  <c r="W1213" i="2"/>
  <c r="V1213" i="2"/>
  <c r="U1213" i="2"/>
  <c r="T1213" i="2"/>
  <c r="A1217" i="3" s="1"/>
  <c r="AM1212" i="2"/>
  <c r="AL1212" i="2"/>
  <c r="AK1212" i="2"/>
  <c r="AJ1212" i="2"/>
  <c r="AI1212" i="2"/>
  <c r="AH1212" i="2"/>
  <c r="F1212" i="4" s="1"/>
  <c r="AG1212" i="2"/>
  <c r="AF1212" i="2"/>
  <c r="AE1212" i="2"/>
  <c r="AD1212" i="2"/>
  <c r="AC1212" i="2"/>
  <c r="AB1212" i="2"/>
  <c r="AA1212" i="2"/>
  <c r="Z1212" i="2"/>
  <c r="Y1212" i="2"/>
  <c r="X1212" i="2"/>
  <c r="W1212" i="2"/>
  <c r="V1212" i="2"/>
  <c r="U1212" i="2"/>
  <c r="T1212" i="2"/>
  <c r="A1216" i="3" s="1"/>
  <c r="AM1211" i="2"/>
  <c r="AL1211" i="2"/>
  <c r="AK1211" i="2"/>
  <c r="AJ1211" i="2"/>
  <c r="AI1211" i="2"/>
  <c r="AH1211" i="2"/>
  <c r="F1211" i="4" s="1"/>
  <c r="AG1211" i="2"/>
  <c r="AF1211" i="2"/>
  <c r="AE1211" i="2"/>
  <c r="AD1211" i="2"/>
  <c r="AC1211" i="2"/>
  <c r="AB1211" i="2"/>
  <c r="AA1211" i="2"/>
  <c r="Z1211" i="2"/>
  <c r="Y1211" i="2"/>
  <c r="X1211" i="2"/>
  <c r="W1211" i="2"/>
  <c r="V1211" i="2"/>
  <c r="U1211" i="2"/>
  <c r="T1211" i="2"/>
  <c r="A1215" i="3" s="1"/>
  <c r="AM1210" i="2"/>
  <c r="AL1210" i="2"/>
  <c r="AK1210" i="2"/>
  <c r="AJ1210" i="2"/>
  <c r="AI1210" i="2"/>
  <c r="AH1210" i="2"/>
  <c r="F1210" i="4" s="1"/>
  <c r="AG1210" i="2"/>
  <c r="AF1210" i="2"/>
  <c r="AE1210" i="2"/>
  <c r="AD1210" i="2"/>
  <c r="AC1210" i="2"/>
  <c r="AB1210" i="2"/>
  <c r="AA1210" i="2"/>
  <c r="Z1210" i="2"/>
  <c r="Y1210" i="2"/>
  <c r="X1210" i="2"/>
  <c r="W1210" i="2"/>
  <c r="V1210" i="2"/>
  <c r="U1210" i="2"/>
  <c r="T1210" i="2"/>
  <c r="A1214" i="3" s="1"/>
  <c r="AM1209" i="2"/>
  <c r="AL1209" i="2"/>
  <c r="AK1209" i="2"/>
  <c r="AJ1209" i="2"/>
  <c r="AI1209" i="2"/>
  <c r="AH1209" i="2"/>
  <c r="F1209" i="4" s="1"/>
  <c r="AG1209" i="2"/>
  <c r="AF1209" i="2"/>
  <c r="AE1209" i="2"/>
  <c r="AD1209" i="2"/>
  <c r="AC1209" i="2"/>
  <c r="AB1209" i="2"/>
  <c r="AA1209" i="2"/>
  <c r="Z1209" i="2"/>
  <c r="Y1209" i="2"/>
  <c r="X1209" i="2"/>
  <c r="W1209" i="2"/>
  <c r="V1209" i="2"/>
  <c r="U1209" i="2"/>
  <c r="T1209" i="2"/>
  <c r="A1213" i="3" s="1"/>
  <c r="AM1208" i="2"/>
  <c r="AL1208" i="2"/>
  <c r="AK1208" i="2"/>
  <c r="AJ1208" i="2"/>
  <c r="AI1208" i="2"/>
  <c r="AH1208" i="2"/>
  <c r="F1208" i="4" s="1"/>
  <c r="AG1208" i="2"/>
  <c r="AF1208" i="2"/>
  <c r="AE1208" i="2"/>
  <c r="AD1208" i="2"/>
  <c r="AC1208" i="2"/>
  <c r="AB1208" i="2"/>
  <c r="AA1208" i="2"/>
  <c r="Z1208" i="2"/>
  <c r="Y1208" i="2"/>
  <c r="X1208" i="2"/>
  <c r="W1208" i="2"/>
  <c r="V1208" i="2"/>
  <c r="U1208" i="2"/>
  <c r="T1208" i="2"/>
  <c r="A1212" i="3" s="1"/>
  <c r="AM1207" i="2"/>
  <c r="AL1207" i="2"/>
  <c r="AK1207" i="2"/>
  <c r="AJ1207" i="2"/>
  <c r="AI1207" i="2"/>
  <c r="AH1207" i="2"/>
  <c r="F1207" i="4" s="1"/>
  <c r="AG1207" i="2"/>
  <c r="AF1207" i="2"/>
  <c r="AE1207" i="2"/>
  <c r="AD1207" i="2"/>
  <c r="AC1207" i="2"/>
  <c r="AB1207" i="2"/>
  <c r="AA1207" i="2"/>
  <c r="Z1207" i="2"/>
  <c r="Y1207" i="2"/>
  <c r="X1207" i="2"/>
  <c r="W1207" i="2"/>
  <c r="V1207" i="2"/>
  <c r="U1207" i="2"/>
  <c r="T1207" i="2"/>
  <c r="A1211" i="3" s="1"/>
  <c r="AM1206" i="2"/>
  <c r="AL1206" i="2"/>
  <c r="AK1206" i="2"/>
  <c r="AJ1206" i="2"/>
  <c r="AI1206" i="2"/>
  <c r="AH1206" i="2"/>
  <c r="F1206" i="4" s="1"/>
  <c r="AG1206" i="2"/>
  <c r="AF1206" i="2"/>
  <c r="AE1206" i="2"/>
  <c r="AD1206" i="2"/>
  <c r="AC1206" i="2"/>
  <c r="AB1206" i="2"/>
  <c r="AA1206" i="2"/>
  <c r="Z1206" i="2"/>
  <c r="Y1206" i="2"/>
  <c r="X1206" i="2"/>
  <c r="W1206" i="2"/>
  <c r="V1206" i="2"/>
  <c r="U1206" i="2"/>
  <c r="T1206" i="2"/>
  <c r="A1210" i="3" s="1"/>
  <c r="AM1205" i="2"/>
  <c r="AL1205" i="2"/>
  <c r="AK1205" i="2"/>
  <c r="AJ1205" i="2"/>
  <c r="AI1205" i="2"/>
  <c r="AH1205" i="2"/>
  <c r="F1205" i="4" s="1"/>
  <c r="AG1205" i="2"/>
  <c r="AF1205" i="2"/>
  <c r="AE1205" i="2"/>
  <c r="AD1205" i="2"/>
  <c r="AC1205" i="2"/>
  <c r="AB1205" i="2"/>
  <c r="AA1205" i="2"/>
  <c r="Z1205" i="2"/>
  <c r="Y1205" i="2"/>
  <c r="X1205" i="2"/>
  <c r="W1205" i="2"/>
  <c r="V1205" i="2"/>
  <c r="U1205" i="2"/>
  <c r="T1205" i="2"/>
  <c r="A1209" i="3" s="1"/>
  <c r="AM1204" i="2"/>
  <c r="AL1204" i="2"/>
  <c r="AK1204" i="2"/>
  <c r="AJ1204" i="2"/>
  <c r="AI1204" i="2"/>
  <c r="AH1204" i="2"/>
  <c r="F1204" i="4" s="1"/>
  <c r="AG1204" i="2"/>
  <c r="AF1204" i="2"/>
  <c r="AE1204" i="2"/>
  <c r="AD1204" i="2"/>
  <c r="AC1204" i="2"/>
  <c r="AB1204" i="2"/>
  <c r="AA1204" i="2"/>
  <c r="Z1204" i="2"/>
  <c r="Y1204" i="2"/>
  <c r="X1204" i="2"/>
  <c r="W1204" i="2"/>
  <c r="V1204" i="2"/>
  <c r="U1204" i="2"/>
  <c r="T1204" i="2"/>
  <c r="A1208" i="3" s="1"/>
  <c r="AM1203" i="2"/>
  <c r="AL1203" i="2"/>
  <c r="AK1203" i="2"/>
  <c r="AJ1203" i="2"/>
  <c r="AI1203" i="2"/>
  <c r="AH1203" i="2"/>
  <c r="F1203" i="4" s="1"/>
  <c r="AG1203" i="2"/>
  <c r="AF1203" i="2"/>
  <c r="AE1203" i="2"/>
  <c r="AD1203" i="2"/>
  <c r="AC1203" i="2"/>
  <c r="AB1203" i="2"/>
  <c r="AA1203" i="2"/>
  <c r="Z1203" i="2"/>
  <c r="Y1203" i="2"/>
  <c r="X1203" i="2"/>
  <c r="W1203" i="2"/>
  <c r="V1203" i="2"/>
  <c r="U1203" i="2"/>
  <c r="T1203" i="2"/>
  <c r="A1207" i="3" s="1"/>
  <c r="AM1202" i="2"/>
  <c r="AL1202" i="2"/>
  <c r="AK1202" i="2"/>
  <c r="AJ1202" i="2"/>
  <c r="AI1202" i="2"/>
  <c r="AH1202" i="2"/>
  <c r="F1202" i="4" s="1"/>
  <c r="AG1202" i="2"/>
  <c r="AF1202" i="2"/>
  <c r="AE1202" i="2"/>
  <c r="AD1202" i="2"/>
  <c r="AC1202" i="2"/>
  <c r="AB1202" i="2"/>
  <c r="AA1202" i="2"/>
  <c r="Z1202" i="2"/>
  <c r="Y1202" i="2"/>
  <c r="X1202" i="2"/>
  <c r="W1202" i="2"/>
  <c r="V1202" i="2"/>
  <c r="U1202" i="2"/>
  <c r="T1202" i="2"/>
  <c r="A1206" i="3" s="1"/>
  <c r="AM1201" i="2"/>
  <c r="AL1201" i="2"/>
  <c r="AK1201" i="2"/>
  <c r="AJ1201" i="2"/>
  <c r="AI1201" i="2"/>
  <c r="AH1201" i="2"/>
  <c r="F1201" i="4" s="1"/>
  <c r="AG1201" i="2"/>
  <c r="AF1201" i="2"/>
  <c r="AE1201" i="2"/>
  <c r="AD1201" i="2"/>
  <c r="AC1201" i="2"/>
  <c r="AB1201" i="2"/>
  <c r="AA1201" i="2"/>
  <c r="Z1201" i="2"/>
  <c r="Y1201" i="2"/>
  <c r="X1201" i="2"/>
  <c r="W1201" i="2"/>
  <c r="V1201" i="2"/>
  <c r="U1201" i="2"/>
  <c r="T1201" i="2"/>
  <c r="A1205" i="3" s="1"/>
  <c r="AM1200" i="2"/>
  <c r="AL1200" i="2"/>
  <c r="AK1200" i="2"/>
  <c r="AJ1200" i="2"/>
  <c r="AI1200" i="2"/>
  <c r="AH1200" i="2"/>
  <c r="F1200" i="4" s="1"/>
  <c r="AG1200" i="2"/>
  <c r="AF1200" i="2"/>
  <c r="AE1200" i="2"/>
  <c r="AD1200" i="2"/>
  <c r="AC1200" i="2"/>
  <c r="AB1200" i="2"/>
  <c r="AA1200" i="2"/>
  <c r="Z1200" i="2"/>
  <c r="Y1200" i="2"/>
  <c r="X1200" i="2"/>
  <c r="W1200" i="2"/>
  <c r="V1200" i="2"/>
  <c r="U1200" i="2"/>
  <c r="T1200" i="2"/>
  <c r="A1204" i="3" s="1"/>
  <c r="AM1199" i="2"/>
  <c r="AL1199" i="2"/>
  <c r="AK1199" i="2"/>
  <c r="AJ1199" i="2"/>
  <c r="AI1199" i="2"/>
  <c r="AH1199" i="2"/>
  <c r="F1199" i="4" s="1"/>
  <c r="AG1199" i="2"/>
  <c r="AF1199" i="2"/>
  <c r="AE1199" i="2"/>
  <c r="AD1199" i="2"/>
  <c r="AC1199" i="2"/>
  <c r="AB1199" i="2"/>
  <c r="AA1199" i="2"/>
  <c r="Z1199" i="2"/>
  <c r="Y1199" i="2"/>
  <c r="X1199" i="2"/>
  <c r="W1199" i="2"/>
  <c r="V1199" i="2"/>
  <c r="U1199" i="2"/>
  <c r="T1199" i="2"/>
  <c r="A1203" i="3" s="1"/>
  <c r="AM1198" i="2"/>
  <c r="AL1198" i="2"/>
  <c r="AK1198" i="2"/>
  <c r="AJ1198" i="2"/>
  <c r="AI1198" i="2"/>
  <c r="AH1198" i="2"/>
  <c r="F1198" i="4" s="1"/>
  <c r="AG1198" i="2"/>
  <c r="AF1198" i="2"/>
  <c r="AE1198" i="2"/>
  <c r="AD1198" i="2"/>
  <c r="AC1198" i="2"/>
  <c r="AB1198" i="2"/>
  <c r="AA1198" i="2"/>
  <c r="Z1198" i="2"/>
  <c r="Y1198" i="2"/>
  <c r="X1198" i="2"/>
  <c r="W1198" i="2"/>
  <c r="V1198" i="2"/>
  <c r="U1198" i="2"/>
  <c r="T1198" i="2"/>
  <c r="A1202" i="3" s="1"/>
  <c r="AM1197" i="2"/>
  <c r="AL1197" i="2"/>
  <c r="AK1197" i="2"/>
  <c r="AJ1197" i="2"/>
  <c r="AI1197" i="2"/>
  <c r="AH1197" i="2"/>
  <c r="F1197" i="4" s="1"/>
  <c r="AG1197" i="2"/>
  <c r="AF1197" i="2"/>
  <c r="AE1197" i="2"/>
  <c r="AD1197" i="2"/>
  <c r="AC1197" i="2"/>
  <c r="AB1197" i="2"/>
  <c r="AA1197" i="2"/>
  <c r="Z1197" i="2"/>
  <c r="Y1197" i="2"/>
  <c r="X1197" i="2"/>
  <c r="W1197" i="2"/>
  <c r="V1197" i="2"/>
  <c r="U1197" i="2"/>
  <c r="T1197" i="2"/>
  <c r="A1201" i="3" s="1"/>
  <c r="AM1196" i="2"/>
  <c r="AL1196" i="2"/>
  <c r="AK1196" i="2"/>
  <c r="AJ1196" i="2"/>
  <c r="AI1196" i="2"/>
  <c r="AH1196" i="2"/>
  <c r="F1196" i="4" s="1"/>
  <c r="AG1196" i="2"/>
  <c r="AF1196" i="2"/>
  <c r="AE1196" i="2"/>
  <c r="AD1196" i="2"/>
  <c r="AC1196" i="2"/>
  <c r="AB1196" i="2"/>
  <c r="AA1196" i="2"/>
  <c r="Z1196" i="2"/>
  <c r="Y1196" i="2"/>
  <c r="X1196" i="2"/>
  <c r="W1196" i="2"/>
  <c r="V1196" i="2"/>
  <c r="U1196" i="2"/>
  <c r="T1196" i="2"/>
  <c r="A1200" i="3" s="1"/>
  <c r="AM1195" i="2"/>
  <c r="AL1195" i="2"/>
  <c r="AK1195" i="2"/>
  <c r="AJ1195" i="2"/>
  <c r="AI1195" i="2"/>
  <c r="AH1195" i="2"/>
  <c r="F1195" i="4" s="1"/>
  <c r="AG1195" i="2"/>
  <c r="AF1195" i="2"/>
  <c r="AE1195" i="2"/>
  <c r="AD1195" i="2"/>
  <c r="AC1195" i="2"/>
  <c r="AB1195" i="2"/>
  <c r="AA1195" i="2"/>
  <c r="Z1195" i="2"/>
  <c r="Y1195" i="2"/>
  <c r="X1195" i="2"/>
  <c r="W1195" i="2"/>
  <c r="V1195" i="2"/>
  <c r="U1195" i="2"/>
  <c r="T1195" i="2"/>
  <c r="A1199" i="3" s="1"/>
  <c r="AM1194" i="2"/>
  <c r="AL1194" i="2"/>
  <c r="AK1194" i="2"/>
  <c r="AJ1194" i="2"/>
  <c r="AI1194" i="2"/>
  <c r="AH1194" i="2"/>
  <c r="F1194" i="4" s="1"/>
  <c r="AG1194" i="2"/>
  <c r="AF1194" i="2"/>
  <c r="AE1194" i="2"/>
  <c r="AD1194" i="2"/>
  <c r="AC1194" i="2"/>
  <c r="AB1194" i="2"/>
  <c r="AA1194" i="2"/>
  <c r="Z1194" i="2"/>
  <c r="Y1194" i="2"/>
  <c r="X1194" i="2"/>
  <c r="W1194" i="2"/>
  <c r="V1194" i="2"/>
  <c r="U1194" i="2"/>
  <c r="T1194" i="2"/>
  <c r="A1198" i="3" s="1"/>
  <c r="AM1193" i="2"/>
  <c r="AL1193" i="2"/>
  <c r="AK1193" i="2"/>
  <c r="AJ1193" i="2"/>
  <c r="AI1193" i="2"/>
  <c r="AH1193" i="2"/>
  <c r="F1193" i="4" s="1"/>
  <c r="AG1193" i="2"/>
  <c r="AF1193" i="2"/>
  <c r="AE1193" i="2"/>
  <c r="AD1193" i="2"/>
  <c r="AC1193" i="2"/>
  <c r="AB1193" i="2"/>
  <c r="AA1193" i="2"/>
  <c r="Z1193" i="2"/>
  <c r="Y1193" i="2"/>
  <c r="X1193" i="2"/>
  <c r="W1193" i="2"/>
  <c r="V1193" i="2"/>
  <c r="U1193" i="2"/>
  <c r="T1193" i="2"/>
  <c r="A1197" i="3" s="1"/>
  <c r="AM1192" i="2"/>
  <c r="AL1192" i="2"/>
  <c r="AK1192" i="2"/>
  <c r="AJ1192" i="2"/>
  <c r="AI1192" i="2"/>
  <c r="AH1192" i="2"/>
  <c r="F1192" i="4" s="1"/>
  <c r="AG1192" i="2"/>
  <c r="AF1192" i="2"/>
  <c r="AE1192" i="2"/>
  <c r="AD1192" i="2"/>
  <c r="AC1192" i="2"/>
  <c r="AB1192" i="2"/>
  <c r="AA1192" i="2"/>
  <c r="Z1192" i="2"/>
  <c r="Y1192" i="2"/>
  <c r="X1192" i="2"/>
  <c r="W1192" i="2"/>
  <c r="V1192" i="2"/>
  <c r="U1192" i="2"/>
  <c r="T1192" i="2"/>
  <c r="A1196" i="3" s="1"/>
  <c r="AM1191" i="2"/>
  <c r="AL1191" i="2"/>
  <c r="AK1191" i="2"/>
  <c r="AJ1191" i="2"/>
  <c r="AI1191" i="2"/>
  <c r="AH1191" i="2"/>
  <c r="F1191" i="4" s="1"/>
  <c r="AG1191" i="2"/>
  <c r="AF1191" i="2"/>
  <c r="AE1191" i="2"/>
  <c r="AD1191" i="2"/>
  <c r="AC1191" i="2"/>
  <c r="AB1191" i="2"/>
  <c r="AA1191" i="2"/>
  <c r="Z1191" i="2"/>
  <c r="Y1191" i="2"/>
  <c r="X1191" i="2"/>
  <c r="W1191" i="2"/>
  <c r="V1191" i="2"/>
  <c r="U1191" i="2"/>
  <c r="T1191" i="2"/>
  <c r="A1195" i="3" s="1"/>
  <c r="AM1190" i="2"/>
  <c r="AL1190" i="2"/>
  <c r="AK1190" i="2"/>
  <c r="AJ1190" i="2"/>
  <c r="AI1190" i="2"/>
  <c r="AH1190" i="2"/>
  <c r="F1190" i="4" s="1"/>
  <c r="AG1190" i="2"/>
  <c r="AF1190" i="2"/>
  <c r="AE1190" i="2"/>
  <c r="AD1190" i="2"/>
  <c r="AC1190" i="2"/>
  <c r="AB1190" i="2"/>
  <c r="AA1190" i="2"/>
  <c r="Z1190" i="2"/>
  <c r="Y1190" i="2"/>
  <c r="X1190" i="2"/>
  <c r="W1190" i="2"/>
  <c r="V1190" i="2"/>
  <c r="U1190" i="2"/>
  <c r="T1190" i="2"/>
  <c r="A1194" i="3" s="1"/>
  <c r="AM1189" i="2"/>
  <c r="AL1189" i="2"/>
  <c r="AK1189" i="2"/>
  <c r="AJ1189" i="2"/>
  <c r="AI1189" i="2"/>
  <c r="AH1189" i="2"/>
  <c r="F1189" i="4" s="1"/>
  <c r="AG1189" i="2"/>
  <c r="AF1189" i="2"/>
  <c r="AE1189" i="2"/>
  <c r="AD1189" i="2"/>
  <c r="AC1189" i="2"/>
  <c r="AB1189" i="2"/>
  <c r="AA1189" i="2"/>
  <c r="Z1189" i="2"/>
  <c r="Y1189" i="2"/>
  <c r="X1189" i="2"/>
  <c r="W1189" i="2"/>
  <c r="V1189" i="2"/>
  <c r="U1189" i="2"/>
  <c r="T1189" i="2"/>
  <c r="A1193" i="3" s="1"/>
  <c r="AM1188" i="2"/>
  <c r="AL1188" i="2"/>
  <c r="AK1188" i="2"/>
  <c r="AJ1188" i="2"/>
  <c r="AI1188" i="2"/>
  <c r="AH1188" i="2"/>
  <c r="F1188" i="4" s="1"/>
  <c r="AG1188" i="2"/>
  <c r="AF1188" i="2"/>
  <c r="AE1188" i="2"/>
  <c r="AD1188" i="2"/>
  <c r="AC1188" i="2"/>
  <c r="AB1188" i="2"/>
  <c r="AA1188" i="2"/>
  <c r="Z1188" i="2"/>
  <c r="Y1188" i="2"/>
  <c r="X1188" i="2"/>
  <c r="W1188" i="2"/>
  <c r="V1188" i="2"/>
  <c r="U1188" i="2"/>
  <c r="T1188" i="2"/>
  <c r="A1192" i="3" s="1"/>
  <c r="AM1187" i="2"/>
  <c r="AL1187" i="2"/>
  <c r="AK1187" i="2"/>
  <c r="AJ1187" i="2"/>
  <c r="AI1187" i="2"/>
  <c r="AH1187" i="2"/>
  <c r="F1187" i="4" s="1"/>
  <c r="AG1187" i="2"/>
  <c r="AF1187" i="2"/>
  <c r="AE1187" i="2"/>
  <c r="AD1187" i="2"/>
  <c r="AC1187" i="2"/>
  <c r="AB1187" i="2"/>
  <c r="AA1187" i="2"/>
  <c r="Z1187" i="2"/>
  <c r="Y1187" i="2"/>
  <c r="X1187" i="2"/>
  <c r="W1187" i="2"/>
  <c r="V1187" i="2"/>
  <c r="U1187" i="2"/>
  <c r="T1187" i="2"/>
  <c r="A1191" i="3" s="1"/>
  <c r="AM1186" i="2"/>
  <c r="AL1186" i="2"/>
  <c r="AK1186" i="2"/>
  <c r="AJ1186" i="2"/>
  <c r="AI1186" i="2"/>
  <c r="AH1186" i="2"/>
  <c r="F1186" i="4" s="1"/>
  <c r="AG1186" i="2"/>
  <c r="AF1186" i="2"/>
  <c r="AE1186" i="2"/>
  <c r="AD1186" i="2"/>
  <c r="AC1186" i="2"/>
  <c r="AB1186" i="2"/>
  <c r="AA1186" i="2"/>
  <c r="Z1186" i="2"/>
  <c r="Y1186" i="2"/>
  <c r="X1186" i="2"/>
  <c r="W1186" i="2"/>
  <c r="V1186" i="2"/>
  <c r="U1186" i="2"/>
  <c r="T1186" i="2"/>
  <c r="A1190" i="3" s="1"/>
  <c r="AM1185" i="2"/>
  <c r="AL1185" i="2"/>
  <c r="AK1185" i="2"/>
  <c r="AJ1185" i="2"/>
  <c r="AI1185" i="2"/>
  <c r="AH1185" i="2"/>
  <c r="F1185" i="4" s="1"/>
  <c r="AG1185" i="2"/>
  <c r="AF1185" i="2"/>
  <c r="AE1185" i="2"/>
  <c r="AD1185" i="2"/>
  <c r="AC1185" i="2"/>
  <c r="AB1185" i="2"/>
  <c r="AA1185" i="2"/>
  <c r="Z1185" i="2"/>
  <c r="Y1185" i="2"/>
  <c r="X1185" i="2"/>
  <c r="W1185" i="2"/>
  <c r="V1185" i="2"/>
  <c r="U1185" i="2"/>
  <c r="T1185" i="2"/>
  <c r="A1189" i="3" s="1"/>
  <c r="AM1184" i="2"/>
  <c r="AL1184" i="2"/>
  <c r="AK1184" i="2"/>
  <c r="AJ1184" i="2"/>
  <c r="AI1184" i="2"/>
  <c r="AH1184" i="2"/>
  <c r="F1184" i="4" s="1"/>
  <c r="AG1184" i="2"/>
  <c r="AF1184" i="2"/>
  <c r="AE1184" i="2"/>
  <c r="AD1184" i="2"/>
  <c r="AC1184" i="2"/>
  <c r="AB1184" i="2"/>
  <c r="AA1184" i="2"/>
  <c r="Z1184" i="2"/>
  <c r="Y1184" i="2"/>
  <c r="X1184" i="2"/>
  <c r="W1184" i="2"/>
  <c r="V1184" i="2"/>
  <c r="U1184" i="2"/>
  <c r="T1184" i="2"/>
  <c r="A1188" i="3" s="1"/>
  <c r="AM1183" i="2"/>
  <c r="AL1183" i="2"/>
  <c r="AK1183" i="2"/>
  <c r="AJ1183" i="2"/>
  <c r="AI1183" i="2"/>
  <c r="AH1183" i="2"/>
  <c r="F1183" i="4" s="1"/>
  <c r="AG1183" i="2"/>
  <c r="AF1183" i="2"/>
  <c r="AE1183" i="2"/>
  <c r="AD1183" i="2"/>
  <c r="AC1183" i="2"/>
  <c r="AB1183" i="2"/>
  <c r="AA1183" i="2"/>
  <c r="Z1183" i="2"/>
  <c r="Y1183" i="2"/>
  <c r="X1183" i="2"/>
  <c r="W1183" i="2"/>
  <c r="V1183" i="2"/>
  <c r="U1183" i="2"/>
  <c r="T1183" i="2"/>
  <c r="A1187" i="3" s="1"/>
  <c r="AM1182" i="2"/>
  <c r="AL1182" i="2"/>
  <c r="AK1182" i="2"/>
  <c r="AJ1182" i="2"/>
  <c r="AI1182" i="2"/>
  <c r="AH1182" i="2"/>
  <c r="F1182" i="4" s="1"/>
  <c r="AG1182" i="2"/>
  <c r="AF1182" i="2"/>
  <c r="AE1182" i="2"/>
  <c r="AD1182" i="2"/>
  <c r="AC1182" i="2"/>
  <c r="AB1182" i="2"/>
  <c r="AA1182" i="2"/>
  <c r="Z1182" i="2"/>
  <c r="Y1182" i="2"/>
  <c r="X1182" i="2"/>
  <c r="W1182" i="2"/>
  <c r="V1182" i="2"/>
  <c r="U1182" i="2"/>
  <c r="T1182" i="2"/>
  <c r="A1186" i="3" s="1"/>
  <c r="AM1181" i="2"/>
  <c r="AL1181" i="2"/>
  <c r="AK1181" i="2"/>
  <c r="AJ1181" i="2"/>
  <c r="AI1181" i="2"/>
  <c r="AH1181" i="2"/>
  <c r="F1181" i="4" s="1"/>
  <c r="AG1181" i="2"/>
  <c r="AF1181" i="2"/>
  <c r="AE1181" i="2"/>
  <c r="AD1181" i="2"/>
  <c r="AC1181" i="2"/>
  <c r="AB1181" i="2"/>
  <c r="AA1181" i="2"/>
  <c r="Z1181" i="2"/>
  <c r="Y1181" i="2"/>
  <c r="X1181" i="2"/>
  <c r="W1181" i="2"/>
  <c r="V1181" i="2"/>
  <c r="U1181" i="2"/>
  <c r="T1181" i="2"/>
  <c r="A1185" i="3" s="1"/>
  <c r="AM1180" i="2"/>
  <c r="AL1180" i="2"/>
  <c r="AK1180" i="2"/>
  <c r="AJ1180" i="2"/>
  <c r="AI1180" i="2"/>
  <c r="AH1180" i="2"/>
  <c r="F1180" i="4" s="1"/>
  <c r="AG1180" i="2"/>
  <c r="AF1180" i="2"/>
  <c r="AE1180" i="2"/>
  <c r="AD1180" i="2"/>
  <c r="AC1180" i="2"/>
  <c r="AB1180" i="2"/>
  <c r="AA1180" i="2"/>
  <c r="Z1180" i="2"/>
  <c r="Y1180" i="2"/>
  <c r="X1180" i="2"/>
  <c r="W1180" i="2"/>
  <c r="V1180" i="2"/>
  <c r="U1180" i="2"/>
  <c r="T1180" i="2"/>
  <c r="A1184" i="3" s="1"/>
  <c r="AM1179" i="2"/>
  <c r="AL1179" i="2"/>
  <c r="AK1179" i="2"/>
  <c r="AJ1179" i="2"/>
  <c r="AI1179" i="2"/>
  <c r="AH1179" i="2"/>
  <c r="F1179" i="4" s="1"/>
  <c r="AG1179" i="2"/>
  <c r="AF1179" i="2"/>
  <c r="AE1179" i="2"/>
  <c r="AD1179" i="2"/>
  <c r="AC1179" i="2"/>
  <c r="AB1179" i="2"/>
  <c r="AA1179" i="2"/>
  <c r="Z1179" i="2"/>
  <c r="Y1179" i="2"/>
  <c r="X1179" i="2"/>
  <c r="W1179" i="2"/>
  <c r="V1179" i="2"/>
  <c r="U1179" i="2"/>
  <c r="T1179" i="2"/>
  <c r="A1183" i="3" s="1"/>
  <c r="AM1178" i="2"/>
  <c r="AL1178" i="2"/>
  <c r="AK1178" i="2"/>
  <c r="AJ1178" i="2"/>
  <c r="AI1178" i="2"/>
  <c r="AH1178" i="2"/>
  <c r="F1178" i="4" s="1"/>
  <c r="AG1178" i="2"/>
  <c r="AF1178" i="2"/>
  <c r="AE1178" i="2"/>
  <c r="AD1178" i="2"/>
  <c r="AC1178" i="2"/>
  <c r="AB1178" i="2"/>
  <c r="AA1178" i="2"/>
  <c r="Z1178" i="2"/>
  <c r="Y1178" i="2"/>
  <c r="X1178" i="2"/>
  <c r="W1178" i="2"/>
  <c r="V1178" i="2"/>
  <c r="U1178" i="2"/>
  <c r="T1178" i="2"/>
  <c r="A1182" i="3" s="1"/>
  <c r="AM1177" i="2"/>
  <c r="AL1177" i="2"/>
  <c r="AK1177" i="2"/>
  <c r="AJ1177" i="2"/>
  <c r="AI1177" i="2"/>
  <c r="AH1177" i="2"/>
  <c r="F1177" i="4" s="1"/>
  <c r="AG1177" i="2"/>
  <c r="AF1177" i="2"/>
  <c r="AE1177" i="2"/>
  <c r="AD1177" i="2"/>
  <c r="AC1177" i="2"/>
  <c r="AB1177" i="2"/>
  <c r="AA1177" i="2"/>
  <c r="Z1177" i="2"/>
  <c r="Y1177" i="2"/>
  <c r="X1177" i="2"/>
  <c r="W1177" i="2"/>
  <c r="V1177" i="2"/>
  <c r="U1177" i="2"/>
  <c r="T1177" i="2"/>
  <c r="A1181" i="3" s="1"/>
  <c r="AM1176" i="2"/>
  <c r="AL1176" i="2"/>
  <c r="AK1176" i="2"/>
  <c r="AJ1176" i="2"/>
  <c r="AI1176" i="2"/>
  <c r="AH1176" i="2"/>
  <c r="F1176" i="4" s="1"/>
  <c r="AG1176" i="2"/>
  <c r="AF1176" i="2"/>
  <c r="AE1176" i="2"/>
  <c r="AD1176" i="2"/>
  <c r="AC1176" i="2"/>
  <c r="AB1176" i="2"/>
  <c r="AA1176" i="2"/>
  <c r="Z1176" i="2"/>
  <c r="Y1176" i="2"/>
  <c r="X1176" i="2"/>
  <c r="W1176" i="2"/>
  <c r="V1176" i="2"/>
  <c r="U1176" i="2"/>
  <c r="T1176" i="2"/>
  <c r="A1180" i="3" s="1"/>
  <c r="AM1175" i="2"/>
  <c r="AL1175" i="2"/>
  <c r="AK1175" i="2"/>
  <c r="AJ1175" i="2"/>
  <c r="AI1175" i="2"/>
  <c r="AH1175" i="2"/>
  <c r="F1175" i="4" s="1"/>
  <c r="AG1175" i="2"/>
  <c r="AF1175" i="2"/>
  <c r="AE1175" i="2"/>
  <c r="AD1175" i="2"/>
  <c r="AC1175" i="2"/>
  <c r="AB1175" i="2"/>
  <c r="AA1175" i="2"/>
  <c r="Z1175" i="2"/>
  <c r="Y1175" i="2"/>
  <c r="X1175" i="2"/>
  <c r="W1175" i="2"/>
  <c r="V1175" i="2"/>
  <c r="U1175" i="2"/>
  <c r="T1175" i="2"/>
  <c r="A1179" i="3" s="1"/>
  <c r="AM1174" i="2"/>
  <c r="AL1174" i="2"/>
  <c r="AK1174" i="2"/>
  <c r="AJ1174" i="2"/>
  <c r="AI1174" i="2"/>
  <c r="AH1174" i="2"/>
  <c r="F1174" i="4" s="1"/>
  <c r="AG1174" i="2"/>
  <c r="AF1174" i="2"/>
  <c r="AE1174" i="2"/>
  <c r="AD1174" i="2"/>
  <c r="AC1174" i="2"/>
  <c r="AB1174" i="2"/>
  <c r="AA1174" i="2"/>
  <c r="Z1174" i="2"/>
  <c r="Y1174" i="2"/>
  <c r="X1174" i="2"/>
  <c r="W1174" i="2"/>
  <c r="V1174" i="2"/>
  <c r="U1174" i="2"/>
  <c r="T1174" i="2"/>
  <c r="A1178" i="3" s="1"/>
  <c r="AM1173" i="2"/>
  <c r="AL1173" i="2"/>
  <c r="AK1173" i="2"/>
  <c r="AJ1173" i="2"/>
  <c r="AI1173" i="2"/>
  <c r="AH1173" i="2"/>
  <c r="F1173" i="4" s="1"/>
  <c r="AG1173" i="2"/>
  <c r="AF1173" i="2"/>
  <c r="AE1173" i="2"/>
  <c r="AD1173" i="2"/>
  <c r="AC1173" i="2"/>
  <c r="AB1173" i="2"/>
  <c r="AA1173" i="2"/>
  <c r="Z1173" i="2"/>
  <c r="Y1173" i="2"/>
  <c r="X1173" i="2"/>
  <c r="W1173" i="2"/>
  <c r="V1173" i="2"/>
  <c r="U1173" i="2"/>
  <c r="T1173" i="2"/>
  <c r="A1177" i="3" s="1"/>
  <c r="AM1172" i="2"/>
  <c r="AL1172" i="2"/>
  <c r="AK1172" i="2"/>
  <c r="AJ1172" i="2"/>
  <c r="AI1172" i="2"/>
  <c r="AH1172" i="2"/>
  <c r="F1172" i="4" s="1"/>
  <c r="AG1172" i="2"/>
  <c r="AF1172" i="2"/>
  <c r="AE1172" i="2"/>
  <c r="AD1172" i="2"/>
  <c r="AC1172" i="2"/>
  <c r="AB1172" i="2"/>
  <c r="AA1172" i="2"/>
  <c r="Z1172" i="2"/>
  <c r="Y1172" i="2"/>
  <c r="X1172" i="2"/>
  <c r="W1172" i="2"/>
  <c r="V1172" i="2"/>
  <c r="U1172" i="2"/>
  <c r="T1172" i="2"/>
  <c r="A1176" i="3" s="1"/>
  <c r="AM1171" i="2"/>
  <c r="AL1171" i="2"/>
  <c r="AK1171" i="2"/>
  <c r="AJ1171" i="2"/>
  <c r="AI1171" i="2"/>
  <c r="AH1171" i="2"/>
  <c r="F1171" i="4" s="1"/>
  <c r="AG1171" i="2"/>
  <c r="AF1171" i="2"/>
  <c r="AE1171" i="2"/>
  <c r="AD1171" i="2"/>
  <c r="AC1171" i="2"/>
  <c r="AB1171" i="2"/>
  <c r="AA1171" i="2"/>
  <c r="Z1171" i="2"/>
  <c r="Y1171" i="2"/>
  <c r="X1171" i="2"/>
  <c r="W1171" i="2"/>
  <c r="V1171" i="2"/>
  <c r="U1171" i="2"/>
  <c r="T1171" i="2"/>
  <c r="A1175" i="3" s="1"/>
  <c r="AM1170" i="2"/>
  <c r="AL1170" i="2"/>
  <c r="AK1170" i="2"/>
  <c r="AJ1170" i="2"/>
  <c r="AI1170" i="2"/>
  <c r="AH1170" i="2"/>
  <c r="F1170" i="4" s="1"/>
  <c r="AG1170" i="2"/>
  <c r="AF1170" i="2"/>
  <c r="AE1170" i="2"/>
  <c r="AD1170" i="2"/>
  <c r="AC1170" i="2"/>
  <c r="AB1170" i="2"/>
  <c r="AA1170" i="2"/>
  <c r="Z1170" i="2"/>
  <c r="Y1170" i="2"/>
  <c r="X1170" i="2"/>
  <c r="W1170" i="2"/>
  <c r="V1170" i="2"/>
  <c r="U1170" i="2"/>
  <c r="T1170" i="2"/>
  <c r="A1174" i="3" s="1"/>
  <c r="AM1169" i="2"/>
  <c r="AL1169" i="2"/>
  <c r="AK1169" i="2"/>
  <c r="AJ1169" i="2"/>
  <c r="AI1169" i="2"/>
  <c r="AH1169" i="2"/>
  <c r="F1169" i="4" s="1"/>
  <c r="AG1169" i="2"/>
  <c r="AF1169" i="2"/>
  <c r="AE1169" i="2"/>
  <c r="AD1169" i="2"/>
  <c r="AC1169" i="2"/>
  <c r="AB1169" i="2"/>
  <c r="AA1169" i="2"/>
  <c r="Z1169" i="2"/>
  <c r="Y1169" i="2"/>
  <c r="X1169" i="2"/>
  <c r="W1169" i="2"/>
  <c r="V1169" i="2"/>
  <c r="U1169" i="2"/>
  <c r="T1169" i="2"/>
  <c r="A1173" i="3" s="1"/>
  <c r="AM1168" i="2"/>
  <c r="AL1168" i="2"/>
  <c r="AK1168" i="2"/>
  <c r="AJ1168" i="2"/>
  <c r="AI1168" i="2"/>
  <c r="AH1168" i="2"/>
  <c r="F1168" i="4" s="1"/>
  <c r="AG1168" i="2"/>
  <c r="AF1168" i="2"/>
  <c r="AE1168" i="2"/>
  <c r="AD1168" i="2"/>
  <c r="AC1168" i="2"/>
  <c r="AB1168" i="2"/>
  <c r="AA1168" i="2"/>
  <c r="Z1168" i="2"/>
  <c r="Y1168" i="2"/>
  <c r="X1168" i="2"/>
  <c r="W1168" i="2"/>
  <c r="V1168" i="2"/>
  <c r="U1168" i="2"/>
  <c r="T1168" i="2"/>
  <c r="A1172" i="3" s="1"/>
  <c r="AM1167" i="2"/>
  <c r="AL1167" i="2"/>
  <c r="AK1167" i="2"/>
  <c r="AJ1167" i="2"/>
  <c r="AI1167" i="2"/>
  <c r="AH1167" i="2"/>
  <c r="F1167" i="4" s="1"/>
  <c r="AG1167" i="2"/>
  <c r="AF1167" i="2"/>
  <c r="AE1167" i="2"/>
  <c r="AD1167" i="2"/>
  <c r="AC1167" i="2"/>
  <c r="AB1167" i="2"/>
  <c r="AA1167" i="2"/>
  <c r="Z1167" i="2"/>
  <c r="Y1167" i="2"/>
  <c r="X1167" i="2"/>
  <c r="W1167" i="2"/>
  <c r="V1167" i="2"/>
  <c r="U1167" i="2"/>
  <c r="T1167" i="2"/>
  <c r="A1171" i="3" s="1"/>
  <c r="AM1166" i="2"/>
  <c r="AL1166" i="2"/>
  <c r="AK1166" i="2"/>
  <c r="AJ1166" i="2"/>
  <c r="AI1166" i="2"/>
  <c r="AH1166" i="2"/>
  <c r="F1166" i="4" s="1"/>
  <c r="AG1166" i="2"/>
  <c r="AF1166" i="2"/>
  <c r="AE1166" i="2"/>
  <c r="AD1166" i="2"/>
  <c r="AC1166" i="2"/>
  <c r="AB1166" i="2"/>
  <c r="AA1166" i="2"/>
  <c r="Z1166" i="2"/>
  <c r="Y1166" i="2"/>
  <c r="X1166" i="2"/>
  <c r="W1166" i="2"/>
  <c r="V1166" i="2"/>
  <c r="U1166" i="2"/>
  <c r="T1166" i="2"/>
  <c r="A1170" i="3" s="1"/>
  <c r="AM1165" i="2"/>
  <c r="AL1165" i="2"/>
  <c r="AK1165" i="2"/>
  <c r="AJ1165" i="2"/>
  <c r="AI1165" i="2"/>
  <c r="AH1165" i="2"/>
  <c r="F1165" i="4" s="1"/>
  <c r="AG1165" i="2"/>
  <c r="AF1165" i="2"/>
  <c r="AE1165" i="2"/>
  <c r="AD1165" i="2"/>
  <c r="AC1165" i="2"/>
  <c r="AB1165" i="2"/>
  <c r="AA1165" i="2"/>
  <c r="Z1165" i="2"/>
  <c r="Y1165" i="2"/>
  <c r="X1165" i="2"/>
  <c r="W1165" i="2"/>
  <c r="V1165" i="2"/>
  <c r="U1165" i="2"/>
  <c r="T1165" i="2"/>
  <c r="A1169" i="3" s="1"/>
  <c r="AM1164" i="2"/>
  <c r="AL1164" i="2"/>
  <c r="AK1164" i="2"/>
  <c r="AJ1164" i="2"/>
  <c r="AI1164" i="2"/>
  <c r="AH1164" i="2"/>
  <c r="F1164" i="4" s="1"/>
  <c r="AG1164" i="2"/>
  <c r="AF1164" i="2"/>
  <c r="AE1164" i="2"/>
  <c r="AD1164" i="2"/>
  <c r="AC1164" i="2"/>
  <c r="AB1164" i="2"/>
  <c r="AA1164" i="2"/>
  <c r="Z1164" i="2"/>
  <c r="Y1164" i="2"/>
  <c r="X1164" i="2"/>
  <c r="W1164" i="2"/>
  <c r="V1164" i="2"/>
  <c r="U1164" i="2"/>
  <c r="T1164" i="2"/>
  <c r="A1168" i="3" s="1"/>
  <c r="AM1163" i="2"/>
  <c r="AL1163" i="2"/>
  <c r="AK1163" i="2"/>
  <c r="AJ1163" i="2"/>
  <c r="AI1163" i="2"/>
  <c r="AH1163" i="2"/>
  <c r="F1163" i="4" s="1"/>
  <c r="AG1163" i="2"/>
  <c r="AF1163" i="2"/>
  <c r="AE1163" i="2"/>
  <c r="AD1163" i="2"/>
  <c r="AC1163" i="2"/>
  <c r="AB1163" i="2"/>
  <c r="AA1163" i="2"/>
  <c r="Z1163" i="2"/>
  <c r="Y1163" i="2"/>
  <c r="X1163" i="2"/>
  <c r="W1163" i="2"/>
  <c r="V1163" i="2"/>
  <c r="U1163" i="2"/>
  <c r="T1163" i="2"/>
  <c r="A1167" i="3" s="1"/>
  <c r="AM1162" i="2"/>
  <c r="AL1162" i="2"/>
  <c r="AK1162" i="2"/>
  <c r="AJ1162" i="2"/>
  <c r="AI1162" i="2"/>
  <c r="AH1162" i="2"/>
  <c r="F1162" i="4" s="1"/>
  <c r="AG1162" i="2"/>
  <c r="AF1162" i="2"/>
  <c r="AE1162" i="2"/>
  <c r="AD1162" i="2"/>
  <c r="AC1162" i="2"/>
  <c r="AB1162" i="2"/>
  <c r="AA1162" i="2"/>
  <c r="Z1162" i="2"/>
  <c r="Y1162" i="2"/>
  <c r="X1162" i="2"/>
  <c r="W1162" i="2"/>
  <c r="V1162" i="2"/>
  <c r="U1162" i="2"/>
  <c r="T1162" i="2"/>
  <c r="A1166" i="3" s="1"/>
  <c r="AM1161" i="2"/>
  <c r="AL1161" i="2"/>
  <c r="AK1161" i="2"/>
  <c r="AJ1161" i="2"/>
  <c r="AI1161" i="2"/>
  <c r="AH1161" i="2"/>
  <c r="F1161" i="4" s="1"/>
  <c r="AG1161" i="2"/>
  <c r="AF1161" i="2"/>
  <c r="AE1161" i="2"/>
  <c r="AD1161" i="2"/>
  <c r="AC1161" i="2"/>
  <c r="AB1161" i="2"/>
  <c r="AA1161" i="2"/>
  <c r="Z1161" i="2"/>
  <c r="Y1161" i="2"/>
  <c r="X1161" i="2"/>
  <c r="W1161" i="2"/>
  <c r="V1161" i="2"/>
  <c r="U1161" i="2"/>
  <c r="T1161" i="2"/>
  <c r="A1165" i="3" s="1"/>
  <c r="AM1160" i="2"/>
  <c r="AL1160" i="2"/>
  <c r="AK1160" i="2"/>
  <c r="AJ1160" i="2"/>
  <c r="AI1160" i="2"/>
  <c r="AH1160" i="2"/>
  <c r="F1160" i="4" s="1"/>
  <c r="AG1160" i="2"/>
  <c r="AF1160" i="2"/>
  <c r="AE1160" i="2"/>
  <c r="AD1160" i="2"/>
  <c r="AC1160" i="2"/>
  <c r="AB1160" i="2"/>
  <c r="AA1160" i="2"/>
  <c r="Z1160" i="2"/>
  <c r="Y1160" i="2"/>
  <c r="X1160" i="2"/>
  <c r="W1160" i="2"/>
  <c r="V1160" i="2"/>
  <c r="U1160" i="2"/>
  <c r="T1160" i="2"/>
  <c r="A1164" i="3" s="1"/>
  <c r="AM1159" i="2"/>
  <c r="AL1159" i="2"/>
  <c r="AK1159" i="2"/>
  <c r="AJ1159" i="2"/>
  <c r="AI1159" i="2"/>
  <c r="AH1159" i="2"/>
  <c r="F1159" i="4" s="1"/>
  <c r="AG1159" i="2"/>
  <c r="AF1159" i="2"/>
  <c r="AE1159" i="2"/>
  <c r="AD1159" i="2"/>
  <c r="AC1159" i="2"/>
  <c r="AB1159" i="2"/>
  <c r="AA1159" i="2"/>
  <c r="Z1159" i="2"/>
  <c r="Y1159" i="2"/>
  <c r="X1159" i="2"/>
  <c r="W1159" i="2"/>
  <c r="V1159" i="2"/>
  <c r="U1159" i="2"/>
  <c r="T1159" i="2"/>
  <c r="A1163" i="3" s="1"/>
  <c r="AM1158" i="2"/>
  <c r="AL1158" i="2"/>
  <c r="AK1158" i="2"/>
  <c r="AJ1158" i="2"/>
  <c r="AI1158" i="2"/>
  <c r="AH1158" i="2"/>
  <c r="F1158" i="4" s="1"/>
  <c r="AG1158" i="2"/>
  <c r="AF1158" i="2"/>
  <c r="AE1158" i="2"/>
  <c r="AD1158" i="2"/>
  <c r="AC1158" i="2"/>
  <c r="AB1158" i="2"/>
  <c r="AA1158" i="2"/>
  <c r="Z1158" i="2"/>
  <c r="Y1158" i="2"/>
  <c r="X1158" i="2"/>
  <c r="W1158" i="2"/>
  <c r="V1158" i="2"/>
  <c r="U1158" i="2"/>
  <c r="T1158" i="2"/>
  <c r="A1162" i="3" s="1"/>
  <c r="AM1157" i="2"/>
  <c r="AL1157" i="2"/>
  <c r="AK1157" i="2"/>
  <c r="AJ1157" i="2"/>
  <c r="AI1157" i="2"/>
  <c r="AH1157" i="2"/>
  <c r="F1157" i="4" s="1"/>
  <c r="AG1157" i="2"/>
  <c r="AF1157" i="2"/>
  <c r="AE1157" i="2"/>
  <c r="AD1157" i="2"/>
  <c r="AC1157" i="2"/>
  <c r="AB1157" i="2"/>
  <c r="AA1157" i="2"/>
  <c r="Z1157" i="2"/>
  <c r="Y1157" i="2"/>
  <c r="X1157" i="2"/>
  <c r="W1157" i="2"/>
  <c r="V1157" i="2"/>
  <c r="U1157" i="2"/>
  <c r="T1157" i="2"/>
  <c r="A1161" i="3" s="1"/>
  <c r="AM1156" i="2"/>
  <c r="AL1156" i="2"/>
  <c r="AK1156" i="2"/>
  <c r="AJ1156" i="2"/>
  <c r="AI1156" i="2"/>
  <c r="AH1156" i="2"/>
  <c r="F1156" i="4" s="1"/>
  <c r="AG1156" i="2"/>
  <c r="AF1156" i="2"/>
  <c r="AE1156" i="2"/>
  <c r="AD1156" i="2"/>
  <c r="AC1156" i="2"/>
  <c r="AB1156" i="2"/>
  <c r="AA1156" i="2"/>
  <c r="Z1156" i="2"/>
  <c r="Y1156" i="2"/>
  <c r="X1156" i="2"/>
  <c r="W1156" i="2"/>
  <c r="V1156" i="2"/>
  <c r="U1156" i="2"/>
  <c r="T1156" i="2"/>
  <c r="A1160" i="3" s="1"/>
  <c r="AM1155" i="2"/>
  <c r="AL1155" i="2"/>
  <c r="AK1155" i="2"/>
  <c r="AJ1155" i="2"/>
  <c r="AI1155" i="2"/>
  <c r="AH1155" i="2"/>
  <c r="F1155" i="4" s="1"/>
  <c r="AG1155" i="2"/>
  <c r="AF1155" i="2"/>
  <c r="AE1155" i="2"/>
  <c r="AD1155" i="2"/>
  <c r="AC1155" i="2"/>
  <c r="AB1155" i="2"/>
  <c r="AA1155" i="2"/>
  <c r="Z1155" i="2"/>
  <c r="Y1155" i="2"/>
  <c r="X1155" i="2"/>
  <c r="W1155" i="2"/>
  <c r="V1155" i="2"/>
  <c r="U1155" i="2"/>
  <c r="T1155" i="2"/>
  <c r="A1159" i="3" s="1"/>
  <c r="AM1154" i="2"/>
  <c r="AL1154" i="2"/>
  <c r="AK1154" i="2"/>
  <c r="AJ1154" i="2"/>
  <c r="AI1154" i="2"/>
  <c r="AH1154" i="2"/>
  <c r="F1154" i="4" s="1"/>
  <c r="AG1154" i="2"/>
  <c r="AF1154" i="2"/>
  <c r="AE1154" i="2"/>
  <c r="AD1154" i="2"/>
  <c r="AC1154" i="2"/>
  <c r="AB1154" i="2"/>
  <c r="AA1154" i="2"/>
  <c r="Z1154" i="2"/>
  <c r="Y1154" i="2"/>
  <c r="X1154" i="2"/>
  <c r="W1154" i="2"/>
  <c r="V1154" i="2"/>
  <c r="U1154" i="2"/>
  <c r="T1154" i="2"/>
  <c r="A1158" i="3" s="1"/>
  <c r="AM1153" i="2"/>
  <c r="AL1153" i="2"/>
  <c r="AK1153" i="2"/>
  <c r="AJ1153" i="2"/>
  <c r="AI1153" i="2"/>
  <c r="AH1153" i="2"/>
  <c r="F1153" i="4" s="1"/>
  <c r="AG1153" i="2"/>
  <c r="AF1153" i="2"/>
  <c r="AE1153" i="2"/>
  <c r="AD1153" i="2"/>
  <c r="AC1153" i="2"/>
  <c r="AB1153" i="2"/>
  <c r="AA1153" i="2"/>
  <c r="Z1153" i="2"/>
  <c r="Y1153" i="2"/>
  <c r="X1153" i="2"/>
  <c r="W1153" i="2"/>
  <c r="V1153" i="2"/>
  <c r="U1153" i="2"/>
  <c r="T1153" i="2"/>
  <c r="A1157" i="3" s="1"/>
  <c r="AM1152" i="2"/>
  <c r="AL1152" i="2"/>
  <c r="AK1152" i="2"/>
  <c r="AJ1152" i="2"/>
  <c r="AI1152" i="2"/>
  <c r="AH1152" i="2"/>
  <c r="F1152" i="4" s="1"/>
  <c r="AG1152" i="2"/>
  <c r="AF1152" i="2"/>
  <c r="AE1152" i="2"/>
  <c r="AD1152" i="2"/>
  <c r="AC1152" i="2"/>
  <c r="AB1152" i="2"/>
  <c r="AA1152" i="2"/>
  <c r="Z1152" i="2"/>
  <c r="Y1152" i="2"/>
  <c r="X1152" i="2"/>
  <c r="W1152" i="2"/>
  <c r="V1152" i="2"/>
  <c r="U1152" i="2"/>
  <c r="T1152" i="2"/>
  <c r="A1156" i="3" s="1"/>
  <c r="AM1151" i="2"/>
  <c r="AL1151" i="2"/>
  <c r="AK1151" i="2"/>
  <c r="AJ1151" i="2"/>
  <c r="AI1151" i="2"/>
  <c r="AH1151" i="2"/>
  <c r="F1151" i="4" s="1"/>
  <c r="AG1151" i="2"/>
  <c r="AF1151" i="2"/>
  <c r="AE1151" i="2"/>
  <c r="AD1151" i="2"/>
  <c r="AC1151" i="2"/>
  <c r="AB1151" i="2"/>
  <c r="AA1151" i="2"/>
  <c r="Z1151" i="2"/>
  <c r="Y1151" i="2"/>
  <c r="X1151" i="2"/>
  <c r="W1151" i="2"/>
  <c r="V1151" i="2"/>
  <c r="U1151" i="2"/>
  <c r="T1151" i="2"/>
  <c r="A1155" i="3" s="1"/>
  <c r="AM1150" i="2"/>
  <c r="AL1150" i="2"/>
  <c r="AK1150" i="2"/>
  <c r="AJ1150" i="2"/>
  <c r="AI1150" i="2"/>
  <c r="AH1150" i="2"/>
  <c r="F1150" i="4" s="1"/>
  <c r="AG1150" i="2"/>
  <c r="AF1150" i="2"/>
  <c r="AE1150" i="2"/>
  <c r="AD1150" i="2"/>
  <c r="AC1150" i="2"/>
  <c r="AB1150" i="2"/>
  <c r="AA1150" i="2"/>
  <c r="Z1150" i="2"/>
  <c r="Y1150" i="2"/>
  <c r="X1150" i="2"/>
  <c r="W1150" i="2"/>
  <c r="V1150" i="2"/>
  <c r="U1150" i="2"/>
  <c r="T1150" i="2"/>
  <c r="A1154" i="3" s="1"/>
  <c r="AM1149" i="2"/>
  <c r="AL1149" i="2"/>
  <c r="AK1149" i="2"/>
  <c r="AJ1149" i="2"/>
  <c r="AI1149" i="2"/>
  <c r="AH1149" i="2"/>
  <c r="F1149" i="4" s="1"/>
  <c r="AG1149" i="2"/>
  <c r="AF1149" i="2"/>
  <c r="AE1149" i="2"/>
  <c r="AD1149" i="2"/>
  <c r="AC1149" i="2"/>
  <c r="AB1149" i="2"/>
  <c r="AA1149" i="2"/>
  <c r="Z1149" i="2"/>
  <c r="Y1149" i="2"/>
  <c r="X1149" i="2"/>
  <c r="W1149" i="2"/>
  <c r="V1149" i="2"/>
  <c r="U1149" i="2"/>
  <c r="T1149" i="2"/>
  <c r="A1153" i="3" s="1"/>
  <c r="AM1148" i="2"/>
  <c r="AL1148" i="2"/>
  <c r="AK1148" i="2"/>
  <c r="AJ1148" i="2"/>
  <c r="AI1148" i="2"/>
  <c r="AH1148" i="2"/>
  <c r="F1148" i="4" s="1"/>
  <c r="AG1148" i="2"/>
  <c r="AF1148" i="2"/>
  <c r="AE1148" i="2"/>
  <c r="AD1148" i="2"/>
  <c r="AC1148" i="2"/>
  <c r="AB1148" i="2"/>
  <c r="AA1148" i="2"/>
  <c r="Z1148" i="2"/>
  <c r="Y1148" i="2"/>
  <c r="X1148" i="2"/>
  <c r="W1148" i="2"/>
  <c r="V1148" i="2"/>
  <c r="U1148" i="2"/>
  <c r="T1148" i="2"/>
  <c r="A1152" i="3" s="1"/>
  <c r="AM1147" i="2"/>
  <c r="AL1147" i="2"/>
  <c r="AK1147" i="2"/>
  <c r="AJ1147" i="2"/>
  <c r="AI1147" i="2"/>
  <c r="AH1147" i="2"/>
  <c r="F1147" i="4" s="1"/>
  <c r="AG1147" i="2"/>
  <c r="AF1147" i="2"/>
  <c r="AE1147" i="2"/>
  <c r="AD1147" i="2"/>
  <c r="AC1147" i="2"/>
  <c r="AB1147" i="2"/>
  <c r="AA1147" i="2"/>
  <c r="Z1147" i="2"/>
  <c r="Y1147" i="2"/>
  <c r="X1147" i="2"/>
  <c r="W1147" i="2"/>
  <c r="V1147" i="2"/>
  <c r="U1147" i="2"/>
  <c r="T1147" i="2"/>
  <c r="A1151" i="3" s="1"/>
  <c r="AM1146" i="2"/>
  <c r="AL1146" i="2"/>
  <c r="AK1146" i="2"/>
  <c r="AJ1146" i="2"/>
  <c r="AI1146" i="2"/>
  <c r="AH1146" i="2"/>
  <c r="F1146" i="4" s="1"/>
  <c r="AG1146" i="2"/>
  <c r="AF1146" i="2"/>
  <c r="AE1146" i="2"/>
  <c r="AD1146" i="2"/>
  <c r="AC1146" i="2"/>
  <c r="AB1146" i="2"/>
  <c r="AA1146" i="2"/>
  <c r="Z1146" i="2"/>
  <c r="Y1146" i="2"/>
  <c r="X1146" i="2"/>
  <c r="W1146" i="2"/>
  <c r="V1146" i="2"/>
  <c r="U1146" i="2"/>
  <c r="T1146" i="2"/>
  <c r="A1150" i="3" s="1"/>
  <c r="AM1145" i="2"/>
  <c r="AL1145" i="2"/>
  <c r="AK1145" i="2"/>
  <c r="AJ1145" i="2"/>
  <c r="AI1145" i="2"/>
  <c r="AH1145" i="2"/>
  <c r="F1145" i="4" s="1"/>
  <c r="AG1145" i="2"/>
  <c r="AF1145" i="2"/>
  <c r="AE1145" i="2"/>
  <c r="AD1145" i="2"/>
  <c r="AC1145" i="2"/>
  <c r="AB1145" i="2"/>
  <c r="AA1145" i="2"/>
  <c r="Z1145" i="2"/>
  <c r="Y1145" i="2"/>
  <c r="X1145" i="2"/>
  <c r="W1145" i="2"/>
  <c r="V1145" i="2"/>
  <c r="U1145" i="2"/>
  <c r="T1145" i="2"/>
  <c r="A1149" i="3" s="1"/>
  <c r="AM1144" i="2"/>
  <c r="AL1144" i="2"/>
  <c r="AK1144" i="2"/>
  <c r="AJ1144" i="2"/>
  <c r="AI1144" i="2"/>
  <c r="AH1144" i="2"/>
  <c r="F1144" i="4" s="1"/>
  <c r="AG1144" i="2"/>
  <c r="AF1144" i="2"/>
  <c r="AE1144" i="2"/>
  <c r="AD1144" i="2"/>
  <c r="AC1144" i="2"/>
  <c r="AB1144" i="2"/>
  <c r="AA1144" i="2"/>
  <c r="Z1144" i="2"/>
  <c r="Y1144" i="2"/>
  <c r="X1144" i="2"/>
  <c r="W1144" i="2"/>
  <c r="V1144" i="2"/>
  <c r="U1144" i="2"/>
  <c r="T1144" i="2"/>
  <c r="A1148" i="3" s="1"/>
  <c r="AM1143" i="2"/>
  <c r="AL1143" i="2"/>
  <c r="AK1143" i="2"/>
  <c r="AJ1143" i="2"/>
  <c r="AI1143" i="2"/>
  <c r="AH1143" i="2"/>
  <c r="F1143" i="4" s="1"/>
  <c r="AG1143" i="2"/>
  <c r="AF1143" i="2"/>
  <c r="AE1143" i="2"/>
  <c r="AD1143" i="2"/>
  <c r="AC1143" i="2"/>
  <c r="AB1143" i="2"/>
  <c r="AA1143" i="2"/>
  <c r="Z1143" i="2"/>
  <c r="Y1143" i="2"/>
  <c r="X1143" i="2"/>
  <c r="W1143" i="2"/>
  <c r="V1143" i="2"/>
  <c r="U1143" i="2"/>
  <c r="T1143" i="2"/>
  <c r="A1147" i="3" s="1"/>
  <c r="AM1142" i="2"/>
  <c r="AL1142" i="2"/>
  <c r="AK1142" i="2"/>
  <c r="AJ1142" i="2"/>
  <c r="AI1142" i="2"/>
  <c r="AH1142" i="2"/>
  <c r="F1142" i="4" s="1"/>
  <c r="AG1142" i="2"/>
  <c r="AF1142" i="2"/>
  <c r="AE1142" i="2"/>
  <c r="AD1142" i="2"/>
  <c r="AC1142" i="2"/>
  <c r="AB1142" i="2"/>
  <c r="AA1142" i="2"/>
  <c r="Z1142" i="2"/>
  <c r="Y1142" i="2"/>
  <c r="X1142" i="2"/>
  <c r="W1142" i="2"/>
  <c r="V1142" i="2"/>
  <c r="U1142" i="2"/>
  <c r="T1142" i="2"/>
  <c r="A1146" i="3" s="1"/>
  <c r="AM1141" i="2"/>
  <c r="AL1141" i="2"/>
  <c r="AK1141" i="2"/>
  <c r="AJ1141" i="2"/>
  <c r="AI1141" i="2"/>
  <c r="AH1141" i="2"/>
  <c r="F1141" i="4" s="1"/>
  <c r="AG1141" i="2"/>
  <c r="AF1141" i="2"/>
  <c r="AE1141" i="2"/>
  <c r="AD1141" i="2"/>
  <c r="AC1141" i="2"/>
  <c r="AB1141" i="2"/>
  <c r="AA1141" i="2"/>
  <c r="Z1141" i="2"/>
  <c r="Y1141" i="2"/>
  <c r="X1141" i="2"/>
  <c r="W1141" i="2"/>
  <c r="V1141" i="2"/>
  <c r="U1141" i="2"/>
  <c r="T1141" i="2"/>
  <c r="A1145" i="3" s="1"/>
  <c r="AM1140" i="2"/>
  <c r="AL1140" i="2"/>
  <c r="AK1140" i="2"/>
  <c r="AJ1140" i="2"/>
  <c r="AI1140" i="2"/>
  <c r="AH1140" i="2"/>
  <c r="F1140" i="4" s="1"/>
  <c r="AG1140" i="2"/>
  <c r="AF1140" i="2"/>
  <c r="AE1140" i="2"/>
  <c r="AD1140" i="2"/>
  <c r="AC1140" i="2"/>
  <c r="AB1140" i="2"/>
  <c r="AA1140" i="2"/>
  <c r="Z1140" i="2"/>
  <c r="Y1140" i="2"/>
  <c r="X1140" i="2"/>
  <c r="W1140" i="2"/>
  <c r="V1140" i="2"/>
  <c r="U1140" i="2"/>
  <c r="T1140" i="2"/>
  <c r="A1144" i="3" s="1"/>
  <c r="AM1139" i="2"/>
  <c r="AL1139" i="2"/>
  <c r="AK1139" i="2"/>
  <c r="AJ1139" i="2"/>
  <c r="AI1139" i="2"/>
  <c r="AH1139" i="2"/>
  <c r="F1139" i="4" s="1"/>
  <c r="AG1139" i="2"/>
  <c r="AF1139" i="2"/>
  <c r="AE1139" i="2"/>
  <c r="AD1139" i="2"/>
  <c r="AC1139" i="2"/>
  <c r="AB1139" i="2"/>
  <c r="AA1139" i="2"/>
  <c r="Z1139" i="2"/>
  <c r="Y1139" i="2"/>
  <c r="X1139" i="2"/>
  <c r="W1139" i="2"/>
  <c r="V1139" i="2"/>
  <c r="U1139" i="2"/>
  <c r="T1139" i="2"/>
  <c r="A1143" i="3" s="1"/>
  <c r="AM1138" i="2"/>
  <c r="AL1138" i="2"/>
  <c r="AK1138" i="2"/>
  <c r="AJ1138" i="2"/>
  <c r="AI1138" i="2"/>
  <c r="AH1138" i="2"/>
  <c r="F1138" i="4" s="1"/>
  <c r="AG1138" i="2"/>
  <c r="AF1138" i="2"/>
  <c r="AE1138" i="2"/>
  <c r="AD1138" i="2"/>
  <c r="AC1138" i="2"/>
  <c r="AB1138" i="2"/>
  <c r="AA1138" i="2"/>
  <c r="Z1138" i="2"/>
  <c r="Y1138" i="2"/>
  <c r="X1138" i="2"/>
  <c r="W1138" i="2"/>
  <c r="V1138" i="2"/>
  <c r="U1138" i="2"/>
  <c r="T1138" i="2"/>
  <c r="A1142" i="3" s="1"/>
  <c r="AM1137" i="2"/>
  <c r="AL1137" i="2"/>
  <c r="AK1137" i="2"/>
  <c r="AJ1137" i="2"/>
  <c r="AI1137" i="2"/>
  <c r="AH1137" i="2"/>
  <c r="F1137" i="4" s="1"/>
  <c r="AG1137" i="2"/>
  <c r="AF1137" i="2"/>
  <c r="AE1137" i="2"/>
  <c r="AD1137" i="2"/>
  <c r="AC1137" i="2"/>
  <c r="AB1137" i="2"/>
  <c r="AA1137" i="2"/>
  <c r="Z1137" i="2"/>
  <c r="Y1137" i="2"/>
  <c r="X1137" i="2"/>
  <c r="W1137" i="2"/>
  <c r="V1137" i="2"/>
  <c r="U1137" i="2"/>
  <c r="T1137" i="2"/>
  <c r="A1141" i="3" s="1"/>
  <c r="AM1136" i="2"/>
  <c r="AL1136" i="2"/>
  <c r="AK1136" i="2"/>
  <c r="AJ1136" i="2"/>
  <c r="AI1136" i="2"/>
  <c r="AH1136" i="2"/>
  <c r="F1136" i="4" s="1"/>
  <c r="AG1136" i="2"/>
  <c r="AF1136" i="2"/>
  <c r="AE1136" i="2"/>
  <c r="AD1136" i="2"/>
  <c r="AC1136" i="2"/>
  <c r="AB1136" i="2"/>
  <c r="AA1136" i="2"/>
  <c r="Z1136" i="2"/>
  <c r="Y1136" i="2"/>
  <c r="X1136" i="2"/>
  <c r="W1136" i="2"/>
  <c r="V1136" i="2"/>
  <c r="U1136" i="2"/>
  <c r="T1136" i="2"/>
  <c r="A1140" i="3" s="1"/>
  <c r="AM1135" i="2"/>
  <c r="AL1135" i="2"/>
  <c r="AK1135" i="2"/>
  <c r="AJ1135" i="2"/>
  <c r="AI1135" i="2"/>
  <c r="AH1135" i="2"/>
  <c r="F1135" i="4" s="1"/>
  <c r="AG1135" i="2"/>
  <c r="AF1135" i="2"/>
  <c r="AE1135" i="2"/>
  <c r="AD1135" i="2"/>
  <c r="AC1135" i="2"/>
  <c r="AB1135" i="2"/>
  <c r="AA1135" i="2"/>
  <c r="Z1135" i="2"/>
  <c r="Y1135" i="2"/>
  <c r="X1135" i="2"/>
  <c r="W1135" i="2"/>
  <c r="V1135" i="2"/>
  <c r="U1135" i="2"/>
  <c r="T1135" i="2"/>
  <c r="A1139" i="3" s="1"/>
  <c r="AM1134" i="2"/>
  <c r="AL1134" i="2"/>
  <c r="AK1134" i="2"/>
  <c r="AJ1134" i="2"/>
  <c r="AI1134" i="2"/>
  <c r="AH1134" i="2"/>
  <c r="F1134" i="4" s="1"/>
  <c r="AG1134" i="2"/>
  <c r="AF1134" i="2"/>
  <c r="AE1134" i="2"/>
  <c r="AD1134" i="2"/>
  <c r="AC1134" i="2"/>
  <c r="AB1134" i="2"/>
  <c r="AA1134" i="2"/>
  <c r="Z1134" i="2"/>
  <c r="Y1134" i="2"/>
  <c r="X1134" i="2"/>
  <c r="W1134" i="2"/>
  <c r="V1134" i="2"/>
  <c r="U1134" i="2"/>
  <c r="T1134" i="2"/>
  <c r="A1138" i="3" s="1"/>
  <c r="AM1133" i="2"/>
  <c r="AL1133" i="2"/>
  <c r="AK1133" i="2"/>
  <c r="AJ1133" i="2"/>
  <c r="AI1133" i="2"/>
  <c r="AH1133" i="2"/>
  <c r="F1133" i="4" s="1"/>
  <c r="AG1133" i="2"/>
  <c r="AF1133" i="2"/>
  <c r="AE1133" i="2"/>
  <c r="AD1133" i="2"/>
  <c r="AC1133" i="2"/>
  <c r="AB1133" i="2"/>
  <c r="AA1133" i="2"/>
  <c r="Z1133" i="2"/>
  <c r="Y1133" i="2"/>
  <c r="X1133" i="2"/>
  <c r="W1133" i="2"/>
  <c r="V1133" i="2"/>
  <c r="U1133" i="2"/>
  <c r="T1133" i="2"/>
  <c r="A1137" i="3" s="1"/>
  <c r="AM1132" i="2"/>
  <c r="AL1132" i="2"/>
  <c r="AK1132" i="2"/>
  <c r="AJ1132" i="2"/>
  <c r="AI1132" i="2"/>
  <c r="AH1132" i="2"/>
  <c r="F1132" i="4" s="1"/>
  <c r="AG1132" i="2"/>
  <c r="AF1132" i="2"/>
  <c r="AE1132" i="2"/>
  <c r="AD1132" i="2"/>
  <c r="AC1132" i="2"/>
  <c r="AB1132" i="2"/>
  <c r="AA1132" i="2"/>
  <c r="Z1132" i="2"/>
  <c r="Y1132" i="2"/>
  <c r="X1132" i="2"/>
  <c r="W1132" i="2"/>
  <c r="V1132" i="2"/>
  <c r="U1132" i="2"/>
  <c r="T1132" i="2"/>
  <c r="A1136" i="3" s="1"/>
  <c r="AM1131" i="2"/>
  <c r="AL1131" i="2"/>
  <c r="AK1131" i="2"/>
  <c r="AJ1131" i="2"/>
  <c r="AI1131" i="2"/>
  <c r="AH1131" i="2"/>
  <c r="F1131" i="4" s="1"/>
  <c r="AG1131" i="2"/>
  <c r="AF1131" i="2"/>
  <c r="AE1131" i="2"/>
  <c r="AD1131" i="2"/>
  <c r="AC1131" i="2"/>
  <c r="AB1131" i="2"/>
  <c r="AA1131" i="2"/>
  <c r="Z1131" i="2"/>
  <c r="Y1131" i="2"/>
  <c r="X1131" i="2"/>
  <c r="W1131" i="2"/>
  <c r="V1131" i="2"/>
  <c r="U1131" i="2"/>
  <c r="T1131" i="2"/>
  <c r="A1135" i="3" s="1"/>
  <c r="AM1130" i="2"/>
  <c r="AL1130" i="2"/>
  <c r="AK1130" i="2"/>
  <c r="AJ1130" i="2"/>
  <c r="AI1130" i="2"/>
  <c r="AH1130" i="2"/>
  <c r="F1130" i="4" s="1"/>
  <c r="AG1130" i="2"/>
  <c r="AF1130" i="2"/>
  <c r="AE1130" i="2"/>
  <c r="AD1130" i="2"/>
  <c r="AC1130" i="2"/>
  <c r="AB1130" i="2"/>
  <c r="AA1130" i="2"/>
  <c r="Z1130" i="2"/>
  <c r="Y1130" i="2"/>
  <c r="X1130" i="2"/>
  <c r="W1130" i="2"/>
  <c r="V1130" i="2"/>
  <c r="U1130" i="2"/>
  <c r="T1130" i="2"/>
  <c r="A1134" i="3" s="1"/>
  <c r="AM1129" i="2"/>
  <c r="AL1129" i="2"/>
  <c r="AK1129" i="2"/>
  <c r="AJ1129" i="2"/>
  <c r="AI1129" i="2"/>
  <c r="AH1129" i="2"/>
  <c r="F1129" i="4" s="1"/>
  <c r="AG1129" i="2"/>
  <c r="AF1129" i="2"/>
  <c r="AE1129" i="2"/>
  <c r="AD1129" i="2"/>
  <c r="AC1129" i="2"/>
  <c r="AB1129" i="2"/>
  <c r="AA1129" i="2"/>
  <c r="Z1129" i="2"/>
  <c r="Y1129" i="2"/>
  <c r="X1129" i="2"/>
  <c r="W1129" i="2"/>
  <c r="V1129" i="2"/>
  <c r="U1129" i="2"/>
  <c r="T1129" i="2"/>
  <c r="A1133" i="3" s="1"/>
  <c r="AM1128" i="2"/>
  <c r="AL1128" i="2"/>
  <c r="AK1128" i="2"/>
  <c r="AJ1128" i="2"/>
  <c r="AI1128" i="2"/>
  <c r="AH1128" i="2"/>
  <c r="F1128" i="4" s="1"/>
  <c r="AG1128" i="2"/>
  <c r="AF1128" i="2"/>
  <c r="AE1128" i="2"/>
  <c r="AD1128" i="2"/>
  <c r="AC1128" i="2"/>
  <c r="AB1128" i="2"/>
  <c r="AA1128" i="2"/>
  <c r="Z1128" i="2"/>
  <c r="Y1128" i="2"/>
  <c r="X1128" i="2"/>
  <c r="W1128" i="2"/>
  <c r="V1128" i="2"/>
  <c r="U1128" i="2"/>
  <c r="T1128" i="2"/>
  <c r="A1132" i="3" s="1"/>
  <c r="AM1127" i="2"/>
  <c r="AL1127" i="2"/>
  <c r="AK1127" i="2"/>
  <c r="AJ1127" i="2"/>
  <c r="AI1127" i="2"/>
  <c r="AH1127" i="2"/>
  <c r="F1127" i="4" s="1"/>
  <c r="AG1127" i="2"/>
  <c r="AF1127" i="2"/>
  <c r="AE1127" i="2"/>
  <c r="AD1127" i="2"/>
  <c r="AC1127" i="2"/>
  <c r="AB1127" i="2"/>
  <c r="AA1127" i="2"/>
  <c r="Z1127" i="2"/>
  <c r="Y1127" i="2"/>
  <c r="X1127" i="2"/>
  <c r="W1127" i="2"/>
  <c r="V1127" i="2"/>
  <c r="U1127" i="2"/>
  <c r="T1127" i="2"/>
  <c r="A1131" i="3" s="1"/>
  <c r="AM1126" i="2"/>
  <c r="AL1126" i="2"/>
  <c r="AK1126" i="2"/>
  <c r="AJ1126" i="2"/>
  <c r="AI1126" i="2"/>
  <c r="AH1126" i="2"/>
  <c r="F1126" i="4" s="1"/>
  <c r="AG1126" i="2"/>
  <c r="AF1126" i="2"/>
  <c r="AE1126" i="2"/>
  <c r="AD1126" i="2"/>
  <c r="AC1126" i="2"/>
  <c r="AB1126" i="2"/>
  <c r="AA1126" i="2"/>
  <c r="Z1126" i="2"/>
  <c r="Y1126" i="2"/>
  <c r="X1126" i="2"/>
  <c r="W1126" i="2"/>
  <c r="V1126" i="2"/>
  <c r="U1126" i="2"/>
  <c r="T1126" i="2"/>
  <c r="A1130" i="3" s="1"/>
  <c r="AM1125" i="2"/>
  <c r="AL1125" i="2"/>
  <c r="AK1125" i="2"/>
  <c r="AJ1125" i="2"/>
  <c r="AI1125" i="2"/>
  <c r="AH1125" i="2"/>
  <c r="F1125" i="4" s="1"/>
  <c r="AG1125" i="2"/>
  <c r="AF1125" i="2"/>
  <c r="AE1125" i="2"/>
  <c r="AD1125" i="2"/>
  <c r="AC1125" i="2"/>
  <c r="AB1125" i="2"/>
  <c r="AA1125" i="2"/>
  <c r="Z1125" i="2"/>
  <c r="Y1125" i="2"/>
  <c r="X1125" i="2"/>
  <c r="W1125" i="2"/>
  <c r="V1125" i="2"/>
  <c r="U1125" i="2"/>
  <c r="T1125" i="2"/>
  <c r="A1129" i="3" s="1"/>
  <c r="AM1124" i="2"/>
  <c r="AL1124" i="2"/>
  <c r="AK1124" i="2"/>
  <c r="AJ1124" i="2"/>
  <c r="AI1124" i="2"/>
  <c r="AH1124" i="2"/>
  <c r="F1124" i="4" s="1"/>
  <c r="AG1124" i="2"/>
  <c r="AF1124" i="2"/>
  <c r="AE1124" i="2"/>
  <c r="AD1124" i="2"/>
  <c r="AC1124" i="2"/>
  <c r="AB1124" i="2"/>
  <c r="AA1124" i="2"/>
  <c r="Z1124" i="2"/>
  <c r="Y1124" i="2"/>
  <c r="X1124" i="2"/>
  <c r="W1124" i="2"/>
  <c r="V1124" i="2"/>
  <c r="U1124" i="2"/>
  <c r="T1124" i="2"/>
  <c r="A1128" i="3" s="1"/>
  <c r="AM1123" i="2"/>
  <c r="AL1123" i="2"/>
  <c r="AK1123" i="2"/>
  <c r="AJ1123" i="2"/>
  <c r="AI1123" i="2"/>
  <c r="AH1123" i="2"/>
  <c r="F1123" i="4" s="1"/>
  <c r="AG1123" i="2"/>
  <c r="AF1123" i="2"/>
  <c r="AE1123" i="2"/>
  <c r="AD1123" i="2"/>
  <c r="AC1123" i="2"/>
  <c r="AB1123" i="2"/>
  <c r="AA1123" i="2"/>
  <c r="Z1123" i="2"/>
  <c r="Y1123" i="2"/>
  <c r="X1123" i="2"/>
  <c r="W1123" i="2"/>
  <c r="V1123" i="2"/>
  <c r="U1123" i="2"/>
  <c r="T1123" i="2"/>
  <c r="A1127" i="3" s="1"/>
  <c r="AM1122" i="2"/>
  <c r="AL1122" i="2"/>
  <c r="AK1122" i="2"/>
  <c r="AJ1122" i="2"/>
  <c r="AI1122" i="2"/>
  <c r="AH1122" i="2"/>
  <c r="F1122" i="4" s="1"/>
  <c r="AG1122" i="2"/>
  <c r="AF1122" i="2"/>
  <c r="AE1122" i="2"/>
  <c r="AD1122" i="2"/>
  <c r="AC1122" i="2"/>
  <c r="AB1122" i="2"/>
  <c r="AA1122" i="2"/>
  <c r="Z1122" i="2"/>
  <c r="Y1122" i="2"/>
  <c r="X1122" i="2"/>
  <c r="W1122" i="2"/>
  <c r="V1122" i="2"/>
  <c r="U1122" i="2"/>
  <c r="T1122" i="2"/>
  <c r="A1126" i="3" s="1"/>
  <c r="AM1121" i="2"/>
  <c r="AL1121" i="2"/>
  <c r="AK1121" i="2"/>
  <c r="AJ1121" i="2"/>
  <c r="AI1121" i="2"/>
  <c r="AH1121" i="2"/>
  <c r="F1121" i="4" s="1"/>
  <c r="AG1121" i="2"/>
  <c r="AF1121" i="2"/>
  <c r="AE1121" i="2"/>
  <c r="AD1121" i="2"/>
  <c r="AC1121" i="2"/>
  <c r="AB1121" i="2"/>
  <c r="AA1121" i="2"/>
  <c r="Z1121" i="2"/>
  <c r="Y1121" i="2"/>
  <c r="X1121" i="2"/>
  <c r="W1121" i="2"/>
  <c r="V1121" i="2"/>
  <c r="U1121" i="2"/>
  <c r="T1121" i="2"/>
  <c r="A1125" i="3" s="1"/>
  <c r="AM1120" i="2"/>
  <c r="AL1120" i="2"/>
  <c r="AK1120" i="2"/>
  <c r="AJ1120" i="2"/>
  <c r="AI1120" i="2"/>
  <c r="AH1120" i="2"/>
  <c r="F1120" i="4" s="1"/>
  <c r="AG1120" i="2"/>
  <c r="AF1120" i="2"/>
  <c r="AE1120" i="2"/>
  <c r="AD1120" i="2"/>
  <c r="AC1120" i="2"/>
  <c r="AB1120" i="2"/>
  <c r="AA1120" i="2"/>
  <c r="Z1120" i="2"/>
  <c r="Y1120" i="2"/>
  <c r="X1120" i="2"/>
  <c r="W1120" i="2"/>
  <c r="V1120" i="2"/>
  <c r="U1120" i="2"/>
  <c r="T1120" i="2"/>
  <c r="A1124" i="3" s="1"/>
  <c r="AM1119" i="2"/>
  <c r="AL1119" i="2"/>
  <c r="AK1119" i="2"/>
  <c r="AJ1119" i="2"/>
  <c r="AI1119" i="2"/>
  <c r="AH1119" i="2"/>
  <c r="F1119" i="4" s="1"/>
  <c r="AG1119" i="2"/>
  <c r="AF1119" i="2"/>
  <c r="AE1119" i="2"/>
  <c r="AD1119" i="2"/>
  <c r="AC1119" i="2"/>
  <c r="AB1119" i="2"/>
  <c r="AA1119" i="2"/>
  <c r="Z1119" i="2"/>
  <c r="Y1119" i="2"/>
  <c r="X1119" i="2"/>
  <c r="W1119" i="2"/>
  <c r="V1119" i="2"/>
  <c r="U1119" i="2"/>
  <c r="T1119" i="2"/>
  <c r="A1123" i="3" s="1"/>
  <c r="AM1118" i="2"/>
  <c r="AL1118" i="2"/>
  <c r="AK1118" i="2"/>
  <c r="AJ1118" i="2"/>
  <c r="AI1118" i="2"/>
  <c r="AH1118" i="2"/>
  <c r="F1118" i="4" s="1"/>
  <c r="AG1118" i="2"/>
  <c r="AF1118" i="2"/>
  <c r="AE1118" i="2"/>
  <c r="AD1118" i="2"/>
  <c r="AC1118" i="2"/>
  <c r="AB1118" i="2"/>
  <c r="AA1118" i="2"/>
  <c r="Z1118" i="2"/>
  <c r="Y1118" i="2"/>
  <c r="X1118" i="2"/>
  <c r="W1118" i="2"/>
  <c r="V1118" i="2"/>
  <c r="U1118" i="2"/>
  <c r="T1118" i="2"/>
  <c r="A1122" i="3" s="1"/>
  <c r="AM1117" i="2"/>
  <c r="AL1117" i="2"/>
  <c r="AK1117" i="2"/>
  <c r="AJ1117" i="2"/>
  <c r="AI1117" i="2"/>
  <c r="AH1117" i="2"/>
  <c r="F1117" i="4" s="1"/>
  <c r="AG1117" i="2"/>
  <c r="AF1117" i="2"/>
  <c r="AE1117" i="2"/>
  <c r="AD1117" i="2"/>
  <c r="AC1117" i="2"/>
  <c r="AB1117" i="2"/>
  <c r="AA1117" i="2"/>
  <c r="Z1117" i="2"/>
  <c r="Y1117" i="2"/>
  <c r="X1117" i="2"/>
  <c r="W1117" i="2"/>
  <c r="V1117" i="2"/>
  <c r="U1117" i="2"/>
  <c r="T1117" i="2"/>
  <c r="A1121" i="3" s="1"/>
  <c r="AM1116" i="2"/>
  <c r="AL1116" i="2"/>
  <c r="AK1116" i="2"/>
  <c r="AJ1116" i="2"/>
  <c r="AI1116" i="2"/>
  <c r="AH1116" i="2"/>
  <c r="F1116" i="4" s="1"/>
  <c r="AG1116" i="2"/>
  <c r="AF1116" i="2"/>
  <c r="AE1116" i="2"/>
  <c r="AD1116" i="2"/>
  <c r="AC1116" i="2"/>
  <c r="AB1116" i="2"/>
  <c r="AA1116" i="2"/>
  <c r="Z1116" i="2"/>
  <c r="Y1116" i="2"/>
  <c r="X1116" i="2"/>
  <c r="W1116" i="2"/>
  <c r="V1116" i="2"/>
  <c r="U1116" i="2"/>
  <c r="T1116" i="2"/>
  <c r="A1120" i="3" s="1"/>
  <c r="AM1115" i="2"/>
  <c r="AL1115" i="2"/>
  <c r="AK1115" i="2"/>
  <c r="AJ1115" i="2"/>
  <c r="AI1115" i="2"/>
  <c r="AH1115" i="2"/>
  <c r="F1115" i="4" s="1"/>
  <c r="AG1115" i="2"/>
  <c r="AF1115" i="2"/>
  <c r="AE1115" i="2"/>
  <c r="AD1115" i="2"/>
  <c r="AC1115" i="2"/>
  <c r="AB1115" i="2"/>
  <c r="AA1115" i="2"/>
  <c r="Z1115" i="2"/>
  <c r="Y1115" i="2"/>
  <c r="X1115" i="2"/>
  <c r="W1115" i="2"/>
  <c r="V1115" i="2"/>
  <c r="U1115" i="2"/>
  <c r="T1115" i="2"/>
  <c r="A1119" i="3" s="1"/>
  <c r="AM1114" i="2"/>
  <c r="AL1114" i="2"/>
  <c r="AK1114" i="2"/>
  <c r="AJ1114" i="2"/>
  <c r="AI1114" i="2"/>
  <c r="AH1114" i="2"/>
  <c r="F1114" i="4" s="1"/>
  <c r="AG1114" i="2"/>
  <c r="AF1114" i="2"/>
  <c r="AE1114" i="2"/>
  <c r="AD1114" i="2"/>
  <c r="AC1114" i="2"/>
  <c r="AB1114" i="2"/>
  <c r="AA1114" i="2"/>
  <c r="Z1114" i="2"/>
  <c r="Y1114" i="2"/>
  <c r="X1114" i="2"/>
  <c r="W1114" i="2"/>
  <c r="V1114" i="2"/>
  <c r="U1114" i="2"/>
  <c r="T1114" i="2"/>
  <c r="A1118" i="3" s="1"/>
  <c r="AM1113" i="2"/>
  <c r="AL1113" i="2"/>
  <c r="AK1113" i="2"/>
  <c r="AJ1113" i="2"/>
  <c r="AI1113" i="2"/>
  <c r="AH1113" i="2"/>
  <c r="F1113" i="4" s="1"/>
  <c r="AG1113" i="2"/>
  <c r="AF1113" i="2"/>
  <c r="AE1113" i="2"/>
  <c r="AD1113" i="2"/>
  <c r="AC1113" i="2"/>
  <c r="AB1113" i="2"/>
  <c r="AA1113" i="2"/>
  <c r="Z1113" i="2"/>
  <c r="Y1113" i="2"/>
  <c r="X1113" i="2"/>
  <c r="W1113" i="2"/>
  <c r="V1113" i="2"/>
  <c r="U1113" i="2"/>
  <c r="T1113" i="2"/>
  <c r="A1117" i="3" s="1"/>
  <c r="AM1112" i="2"/>
  <c r="AL1112" i="2"/>
  <c r="AK1112" i="2"/>
  <c r="AJ1112" i="2"/>
  <c r="AI1112" i="2"/>
  <c r="AH1112" i="2"/>
  <c r="F1112" i="4" s="1"/>
  <c r="AG1112" i="2"/>
  <c r="AF1112" i="2"/>
  <c r="AE1112" i="2"/>
  <c r="AD1112" i="2"/>
  <c r="AC1112" i="2"/>
  <c r="AB1112" i="2"/>
  <c r="AA1112" i="2"/>
  <c r="Z1112" i="2"/>
  <c r="Y1112" i="2"/>
  <c r="X1112" i="2"/>
  <c r="W1112" i="2"/>
  <c r="V1112" i="2"/>
  <c r="U1112" i="2"/>
  <c r="T1112" i="2"/>
  <c r="A1116" i="3" s="1"/>
  <c r="AM1111" i="2"/>
  <c r="AL1111" i="2"/>
  <c r="AK1111" i="2"/>
  <c r="AJ1111" i="2"/>
  <c r="AI1111" i="2"/>
  <c r="AH1111" i="2"/>
  <c r="F1111" i="4" s="1"/>
  <c r="AG1111" i="2"/>
  <c r="AF1111" i="2"/>
  <c r="AE1111" i="2"/>
  <c r="AD1111" i="2"/>
  <c r="AC1111" i="2"/>
  <c r="AB1111" i="2"/>
  <c r="AA1111" i="2"/>
  <c r="Z1111" i="2"/>
  <c r="Y1111" i="2"/>
  <c r="X1111" i="2"/>
  <c r="W1111" i="2"/>
  <c r="V1111" i="2"/>
  <c r="U1111" i="2"/>
  <c r="T1111" i="2"/>
  <c r="A1115" i="3" s="1"/>
  <c r="AM1110" i="2"/>
  <c r="AL1110" i="2"/>
  <c r="AK1110" i="2"/>
  <c r="AJ1110" i="2"/>
  <c r="AI1110" i="2"/>
  <c r="AH1110" i="2"/>
  <c r="F1110" i="4" s="1"/>
  <c r="AG1110" i="2"/>
  <c r="AF1110" i="2"/>
  <c r="AE1110" i="2"/>
  <c r="AD1110" i="2"/>
  <c r="AC1110" i="2"/>
  <c r="AB1110" i="2"/>
  <c r="AA1110" i="2"/>
  <c r="Z1110" i="2"/>
  <c r="Y1110" i="2"/>
  <c r="X1110" i="2"/>
  <c r="W1110" i="2"/>
  <c r="V1110" i="2"/>
  <c r="U1110" i="2"/>
  <c r="T1110" i="2"/>
  <c r="A1114" i="3" s="1"/>
  <c r="AM1109" i="2"/>
  <c r="AL1109" i="2"/>
  <c r="AK1109" i="2"/>
  <c r="AJ1109" i="2"/>
  <c r="AI1109" i="2"/>
  <c r="AH1109" i="2"/>
  <c r="F1109" i="4" s="1"/>
  <c r="AG1109" i="2"/>
  <c r="AF1109" i="2"/>
  <c r="AE1109" i="2"/>
  <c r="AD1109" i="2"/>
  <c r="AC1109" i="2"/>
  <c r="AB1109" i="2"/>
  <c r="AA1109" i="2"/>
  <c r="Z1109" i="2"/>
  <c r="Y1109" i="2"/>
  <c r="X1109" i="2"/>
  <c r="W1109" i="2"/>
  <c r="V1109" i="2"/>
  <c r="U1109" i="2"/>
  <c r="T1109" i="2"/>
  <c r="A1113" i="3" s="1"/>
  <c r="AM1108" i="2"/>
  <c r="AL1108" i="2"/>
  <c r="AK1108" i="2"/>
  <c r="AJ1108" i="2"/>
  <c r="AI1108" i="2"/>
  <c r="AH1108" i="2"/>
  <c r="F1108" i="4" s="1"/>
  <c r="AG1108" i="2"/>
  <c r="AF1108" i="2"/>
  <c r="AE1108" i="2"/>
  <c r="AD1108" i="2"/>
  <c r="AC1108" i="2"/>
  <c r="AB1108" i="2"/>
  <c r="AA1108" i="2"/>
  <c r="Z1108" i="2"/>
  <c r="Y1108" i="2"/>
  <c r="X1108" i="2"/>
  <c r="W1108" i="2"/>
  <c r="V1108" i="2"/>
  <c r="U1108" i="2"/>
  <c r="T1108" i="2"/>
  <c r="A1112" i="3" s="1"/>
  <c r="AM1107" i="2"/>
  <c r="AL1107" i="2"/>
  <c r="AK1107" i="2"/>
  <c r="AJ1107" i="2"/>
  <c r="AI1107" i="2"/>
  <c r="AH1107" i="2"/>
  <c r="F1107" i="4" s="1"/>
  <c r="AG1107" i="2"/>
  <c r="AF1107" i="2"/>
  <c r="AE1107" i="2"/>
  <c r="AD1107" i="2"/>
  <c r="AC1107" i="2"/>
  <c r="AB1107" i="2"/>
  <c r="AA1107" i="2"/>
  <c r="Z1107" i="2"/>
  <c r="Y1107" i="2"/>
  <c r="X1107" i="2"/>
  <c r="W1107" i="2"/>
  <c r="V1107" i="2"/>
  <c r="U1107" i="2"/>
  <c r="T1107" i="2"/>
  <c r="A1111" i="3" s="1"/>
  <c r="AM1106" i="2"/>
  <c r="AL1106" i="2"/>
  <c r="AK1106" i="2"/>
  <c r="AJ1106" i="2"/>
  <c r="AI1106" i="2"/>
  <c r="AH1106" i="2"/>
  <c r="F1106" i="4" s="1"/>
  <c r="AG1106" i="2"/>
  <c r="AF1106" i="2"/>
  <c r="AE1106" i="2"/>
  <c r="AD1106" i="2"/>
  <c r="AC1106" i="2"/>
  <c r="AB1106" i="2"/>
  <c r="AA1106" i="2"/>
  <c r="Z1106" i="2"/>
  <c r="Y1106" i="2"/>
  <c r="X1106" i="2"/>
  <c r="W1106" i="2"/>
  <c r="V1106" i="2"/>
  <c r="U1106" i="2"/>
  <c r="T1106" i="2"/>
  <c r="A1110" i="3" s="1"/>
  <c r="AM1105" i="2"/>
  <c r="AL1105" i="2"/>
  <c r="AK1105" i="2"/>
  <c r="AJ1105" i="2"/>
  <c r="AI1105" i="2"/>
  <c r="AH1105" i="2"/>
  <c r="F1105" i="4" s="1"/>
  <c r="AG1105" i="2"/>
  <c r="AF1105" i="2"/>
  <c r="AE1105" i="2"/>
  <c r="AD1105" i="2"/>
  <c r="AC1105" i="2"/>
  <c r="AB1105" i="2"/>
  <c r="AA1105" i="2"/>
  <c r="Z1105" i="2"/>
  <c r="Y1105" i="2"/>
  <c r="X1105" i="2"/>
  <c r="W1105" i="2"/>
  <c r="V1105" i="2"/>
  <c r="U1105" i="2"/>
  <c r="T1105" i="2"/>
  <c r="A1109" i="3" s="1"/>
  <c r="AM1104" i="2"/>
  <c r="AL1104" i="2"/>
  <c r="AK1104" i="2"/>
  <c r="AJ1104" i="2"/>
  <c r="AI1104" i="2"/>
  <c r="AH1104" i="2"/>
  <c r="F1104" i="4" s="1"/>
  <c r="AG1104" i="2"/>
  <c r="AF1104" i="2"/>
  <c r="AE1104" i="2"/>
  <c r="AD1104" i="2"/>
  <c r="AC1104" i="2"/>
  <c r="AB1104" i="2"/>
  <c r="AA1104" i="2"/>
  <c r="Z1104" i="2"/>
  <c r="Y1104" i="2"/>
  <c r="X1104" i="2"/>
  <c r="W1104" i="2"/>
  <c r="V1104" i="2"/>
  <c r="U1104" i="2"/>
  <c r="T1104" i="2"/>
  <c r="A1108" i="3" s="1"/>
  <c r="AM1103" i="2"/>
  <c r="AL1103" i="2"/>
  <c r="AK1103" i="2"/>
  <c r="AJ1103" i="2"/>
  <c r="AI1103" i="2"/>
  <c r="AH1103" i="2"/>
  <c r="F1103" i="4" s="1"/>
  <c r="AG1103" i="2"/>
  <c r="AF1103" i="2"/>
  <c r="AE1103" i="2"/>
  <c r="AD1103" i="2"/>
  <c r="AC1103" i="2"/>
  <c r="AB1103" i="2"/>
  <c r="AA1103" i="2"/>
  <c r="Z1103" i="2"/>
  <c r="Y1103" i="2"/>
  <c r="X1103" i="2"/>
  <c r="W1103" i="2"/>
  <c r="V1103" i="2"/>
  <c r="U1103" i="2"/>
  <c r="T1103" i="2"/>
  <c r="A1107" i="3" s="1"/>
  <c r="AM1102" i="2"/>
  <c r="AL1102" i="2"/>
  <c r="AK1102" i="2"/>
  <c r="AJ1102" i="2"/>
  <c r="AI1102" i="2"/>
  <c r="AH1102" i="2"/>
  <c r="F1102" i="4" s="1"/>
  <c r="AG1102" i="2"/>
  <c r="AF1102" i="2"/>
  <c r="AE1102" i="2"/>
  <c r="AD1102" i="2"/>
  <c r="AC1102" i="2"/>
  <c r="AB1102" i="2"/>
  <c r="AA1102" i="2"/>
  <c r="Z1102" i="2"/>
  <c r="Y1102" i="2"/>
  <c r="X1102" i="2"/>
  <c r="W1102" i="2"/>
  <c r="V1102" i="2"/>
  <c r="U1102" i="2"/>
  <c r="T1102" i="2"/>
  <c r="A1106" i="3" s="1"/>
  <c r="AM1101" i="2"/>
  <c r="AL1101" i="2"/>
  <c r="AK1101" i="2"/>
  <c r="AJ1101" i="2"/>
  <c r="AI1101" i="2"/>
  <c r="AH1101" i="2"/>
  <c r="F1101" i="4" s="1"/>
  <c r="AG1101" i="2"/>
  <c r="AF1101" i="2"/>
  <c r="AE1101" i="2"/>
  <c r="AD1101" i="2"/>
  <c r="AC1101" i="2"/>
  <c r="AB1101" i="2"/>
  <c r="AA1101" i="2"/>
  <c r="Z1101" i="2"/>
  <c r="Y1101" i="2"/>
  <c r="X1101" i="2"/>
  <c r="W1101" i="2"/>
  <c r="V1101" i="2"/>
  <c r="U1101" i="2"/>
  <c r="T1101" i="2"/>
  <c r="A1105" i="3" s="1"/>
  <c r="AM1100" i="2"/>
  <c r="AL1100" i="2"/>
  <c r="AK1100" i="2"/>
  <c r="AJ1100" i="2"/>
  <c r="AI1100" i="2"/>
  <c r="AH1100" i="2"/>
  <c r="F1100" i="4" s="1"/>
  <c r="AG1100" i="2"/>
  <c r="AF1100" i="2"/>
  <c r="AE1100" i="2"/>
  <c r="AD1100" i="2"/>
  <c r="AC1100" i="2"/>
  <c r="AB1100" i="2"/>
  <c r="AA1100" i="2"/>
  <c r="Z1100" i="2"/>
  <c r="Y1100" i="2"/>
  <c r="X1100" i="2"/>
  <c r="W1100" i="2"/>
  <c r="V1100" i="2"/>
  <c r="U1100" i="2"/>
  <c r="T1100" i="2"/>
  <c r="A1104" i="3" s="1"/>
  <c r="AM1099" i="2"/>
  <c r="AL1099" i="2"/>
  <c r="AK1099" i="2"/>
  <c r="AJ1099" i="2"/>
  <c r="AI1099" i="2"/>
  <c r="AH1099" i="2"/>
  <c r="F1099" i="4" s="1"/>
  <c r="AG1099" i="2"/>
  <c r="AF1099" i="2"/>
  <c r="AE1099" i="2"/>
  <c r="AD1099" i="2"/>
  <c r="AC1099" i="2"/>
  <c r="AB1099" i="2"/>
  <c r="AA1099" i="2"/>
  <c r="Z1099" i="2"/>
  <c r="Y1099" i="2"/>
  <c r="X1099" i="2"/>
  <c r="W1099" i="2"/>
  <c r="V1099" i="2"/>
  <c r="U1099" i="2"/>
  <c r="T1099" i="2"/>
  <c r="A1103" i="3" s="1"/>
  <c r="AM1098" i="2"/>
  <c r="AL1098" i="2"/>
  <c r="AK1098" i="2"/>
  <c r="AJ1098" i="2"/>
  <c r="AI1098" i="2"/>
  <c r="AH1098" i="2"/>
  <c r="F1098" i="4" s="1"/>
  <c r="AG1098" i="2"/>
  <c r="AF1098" i="2"/>
  <c r="AE1098" i="2"/>
  <c r="AD1098" i="2"/>
  <c r="AC1098" i="2"/>
  <c r="AB1098" i="2"/>
  <c r="AA1098" i="2"/>
  <c r="Z1098" i="2"/>
  <c r="Y1098" i="2"/>
  <c r="X1098" i="2"/>
  <c r="W1098" i="2"/>
  <c r="V1098" i="2"/>
  <c r="U1098" i="2"/>
  <c r="T1098" i="2"/>
  <c r="A1102" i="3" s="1"/>
  <c r="AM1097" i="2"/>
  <c r="AL1097" i="2"/>
  <c r="AK1097" i="2"/>
  <c r="AJ1097" i="2"/>
  <c r="AI1097" i="2"/>
  <c r="AH1097" i="2"/>
  <c r="F1097" i="4" s="1"/>
  <c r="AG1097" i="2"/>
  <c r="AF1097" i="2"/>
  <c r="AE1097" i="2"/>
  <c r="AD1097" i="2"/>
  <c r="AC1097" i="2"/>
  <c r="AB1097" i="2"/>
  <c r="AA1097" i="2"/>
  <c r="Z1097" i="2"/>
  <c r="Y1097" i="2"/>
  <c r="X1097" i="2"/>
  <c r="W1097" i="2"/>
  <c r="V1097" i="2"/>
  <c r="U1097" i="2"/>
  <c r="T1097" i="2"/>
  <c r="A1101" i="3" s="1"/>
  <c r="AM1096" i="2"/>
  <c r="AL1096" i="2"/>
  <c r="AK1096" i="2"/>
  <c r="AJ1096" i="2"/>
  <c r="AI1096" i="2"/>
  <c r="AH1096" i="2"/>
  <c r="F1096" i="4" s="1"/>
  <c r="AG1096" i="2"/>
  <c r="AF1096" i="2"/>
  <c r="AE1096" i="2"/>
  <c r="AD1096" i="2"/>
  <c r="AC1096" i="2"/>
  <c r="AB1096" i="2"/>
  <c r="AA1096" i="2"/>
  <c r="Z1096" i="2"/>
  <c r="Y1096" i="2"/>
  <c r="X1096" i="2"/>
  <c r="W1096" i="2"/>
  <c r="V1096" i="2"/>
  <c r="U1096" i="2"/>
  <c r="T1096" i="2"/>
  <c r="A1100" i="3" s="1"/>
  <c r="AM1095" i="2"/>
  <c r="AL1095" i="2"/>
  <c r="AK1095" i="2"/>
  <c r="AJ1095" i="2"/>
  <c r="AI1095" i="2"/>
  <c r="AH1095" i="2"/>
  <c r="F1095" i="4" s="1"/>
  <c r="AG1095" i="2"/>
  <c r="AF1095" i="2"/>
  <c r="AE1095" i="2"/>
  <c r="AD1095" i="2"/>
  <c r="AC1095" i="2"/>
  <c r="AB1095" i="2"/>
  <c r="AA1095" i="2"/>
  <c r="Z1095" i="2"/>
  <c r="Y1095" i="2"/>
  <c r="X1095" i="2"/>
  <c r="W1095" i="2"/>
  <c r="V1095" i="2"/>
  <c r="U1095" i="2"/>
  <c r="T1095" i="2"/>
  <c r="A1099" i="3" s="1"/>
  <c r="AM1094" i="2"/>
  <c r="AL1094" i="2"/>
  <c r="AK1094" i="2"/>
  <c r="AJ1094" i="2"/>
  <c r="AI1094" i="2"/>
  <c r="AH1094" i="2"/>
  <c r="F1094" i="4" s="1"/>
  <c r="AG1094" i="2"/>
  <c r="AF1094" i="2"/>
  <c r="AE1094" i="2"/>
  <c r="AD1094" i="2"/>
  <c r="AC1094" i="2"/>
  <c r="AB1094" i="2"/>
  <c r="AA1094" i="2"/>
  <c r="Z1094" i="2"/>
  <c r="Y1094" i="2"/>
  <c r="X1094" i="2"/>
  <c r="W1094" i="2"/>
  <c r="V1094" i="2"/>
  <c r="U1094" i="2"/>
  <c r="T1094" i="2"/>
  <c r="A1098" i="3" s="1"/>
  <c r="AM1093" i="2"/>
  <c r="AL1093" i="2"/>
  <c r="AK1093" i="2"/>
  <c r="AJ1093" i="2"/>
  <c r="AI1093" i="2"/>
  <c r="AH1093" i="2"/>
  <c r="F1093" i="4" s="1"/>
  <c r="AG1093" i="2"/>
  <c r="AF1093" i="2"/>
  <c r="AE1093" i="2"/>
  <c r="AD1093" i="2"/>
  <c r="AC1093" i="2"/>
  <c r="AB1093" i="2"/>
  <c r="AA1093" i="2"/>
  <c r="Z1093" i="2"/>
  <c r="Y1093" i="2"/>
  <c r="X1093" i="2"/>
  <c r="W1093" i="2"/>
  <c r="V1093" i="2"/>
  <c r="U1093" i="2"/>
  <c r="T1093" i="2"/>
  <c r="A1097" i="3" s="1"/>
  <c r="AM1092" i="2"/>
  <c r="AL1092" i="2"/>
  <c r="AK1092" i="2"/>
  <c r="AJ1092" i="2"/>
  <c r="AI1092" i="2"/>
  <c r="AH1092" i="2"/>
  <c r="F1092" i="4" s="1"/>
  <c r="AG1092" i="2"/>
  <c r="AF1092" i="2"/>
  <c r="AE1092" i="2"/>
  <c r="AD1092" i="2"/>
  <c r="AC1092" i="2"/>
  <c r="AB1092" i="2"/>
  <c r="AA1092" i="2"/>
  <c r="Z1092" i="2"/>
  <c r="Y1092" i="2"/>
  <c r="X1092" i="2"/>
  <c r="W1092" i="2"/>
  <c r="V1092" i="2"/>
  <c r="U1092" i="2"/>
  <c r="T1092" i="2"/>
  <c r="A1096" i="3" s="1"/>
  <c r="AM1091" i="2"/>
  <c r="AL1091" i="2"/>
  <c r="AK1091" i="2"/>
  <c r="AJ1091" i="2"/>
  <c r="AI1091" i="2"/>
  <c r="AH1091" i="2"/>
  <c r="F1091" i="4" s="1"/>
  <c r="AG1091" i="2"/>
  <c r="AF1091" i="2"/>
  <c r="AE1091" i="2"/>
  <c r="AD1091" i="2"/>
  <c r="AC1091" i="2"/>
  <c r="AB1091" i="2"/>
  <c r="AA1091" i="2"/>
  <c r="Z1091" i="2"/>
  <c r="Y1091" i="2"/>
  <c r="X1091" i="2"/>
  <c r="W1091" i="2"/>
  <c r="V1091" i="2"/>
  <c r="U1091" i="2"/>
  <c r="T1091" i="2"/>
  <c r="A1095" i="3" s="1"/>
  <c r="AM1090" i="2"/>
  <c r="AL1090" i="2"/>
  <c r="AK1090" i="2"/>
  <c r="AJ1090" i="2"/>
  <c r="AI1090" i="2"/>
  <c r="AH1090" i="2"/>
  <c r="F1090" i="4" s="1"/>
  <c r="AG1090" i="2"/>
  <c r="AF1090" i="2"/>
  <c r="AE1090" i="2"/>
  <c r="AD1090" i="2"/>
  <c r="AC1090" i="2"/>
  <c r="AB1090" i="2"/>
  <c r="AA1090" i="2"/>
  <c r="Z1090" i="2"/>
  <c r="Y1090" i="2"/>
  <c r="X1090" i="2"/>
  <c r="W1090" i="2"/>
  <c r="V1090" i="2"/>
  <c r="U1090" i="2"/>
  <c r="T1090" i="2"/>
  <c r="A1094" i="3" s="1"/>
  <c r="AM1089" i="2"/>
  <c r="AL1089" i="2"/>
  <c r="AK1089" i="2"/>
  <c r="AJ1089" i="2"/>
  <c r="AI1089" i="2"/>
  <c r="AH1089" i="2"/>
  <c r="F1089" i="4" s="1"/>
  <c r="AG1089" i="2"/>
  <c r="AF1089" i="2"/>
  <c r="AE1089" i="2"/>
  <c r="AD1089" i="2"/>
  <c r="AC1089" i="2"/>
  <c r="AB1089" i="2"/>
  <c r="AA1089" i="2"/>
  <c r="Z1089" i="2"/>
  <c r="Y1089" i="2"/>
  <c r="X1089" i="2"/>
  <c r="W1089" i="2"/>
  <c r="V1089" i="2"/>
  <c r="U1089" i="2"/>
  <c r="T1089" i="2"/>
  <c r="A1093" i="3" s="1"/>
  <c r="AM1088" i="2"/>
  <c r="AL1088" i="2"/>
  <c r="AK1088" i="2"/>
  <c r="AJ1088" i="2"/>
  <c r="AI1088" i="2"/>
  <c r="AH1088" i="2"/>
  <c r="F1088" i="4" s="1"/>
  <c r="AG1088" i="2"/>
  <c r="AF1088" i="2"/>
  <c r="AE1088" i="2"/>
  <c r="AD1088" i="2"/>
  <c r="AC1088" i="2"/>
  <c r="AB1088" i="2"/>
  <c r="AA1088" i="2"/>
  <c r="Z1088" i="2"/>
  <c r="Y1088" i="2"/>
  <c r="X1088" i="2"/>
  <c r="W1088" i="2"/>
  <c r="V1088" i="2"/>
  <c r="U1088" i="2"/>
  <c r="T1088" i="2"/>
  <c r="A1092" i="3" s="1"/>
  <c r="AM1087" i="2"/>
  <c r="AL1087" i="2"/>
  <c r="AK1087" i="2"/>
  <c r="AJ1087" i="2"/>
  <c r="AI1087" i="2"/>
  <c r="AH1087" i="2"/>
  <c r="F1087" i="4" s="1"/>
  <c r="AG1087" i="2"/>
  <c r="AF1087" i="2"/>
  <c r="AE1087" i="2"/>
  <c r="AD1087" i="2"/>
  <c r="AC1087" i="2"/>
  <c r="AB1087" i="2"/>
  <c r="AA1087" i="2"/>
  <c r="Z1087" i="2"/>
  <c r="Y1087" i="2"/>
  <c r="X1087" i="2"/>
  <c r="W1087" i="2"/>
  <c r="V1087" i="2"/>
  <c r="U1087" i="2"/>
  <c r="T1087" i="2"/>
  <c r="A1091" i="3" s="1"/>
  <c r="AM1086" i="2"/>
  <c r="AL1086" i="2"/>
  <c r="AK1086" i="2"/>
  <c r="AJ1086" i="2"/>
  <c r="AI1086" i="2"/>
  <c r="AH1086" i="2"/>
  <c r="F1086" i="4" s="1"/>
  <c r="AG1086" i="2"/>
  <c r="AF1086" i="2"/>
  <c r="AE1086" i="2"/>
  <c r="AD1086" i="2"/>
  <c r="AC1086" i="2"/>
  <c r="AB1086" i="2"/>
  <c r="AA1086" i="2"/>
  <c r="Z1086" i="2"/>
  <c r="Y1086" i="2"/>
  <c r="X1086" i="2"/>
  <c r="W1086" i="2"/>
  <c r="V1086" i="2"/>
  <c r="U1086" i="2"/>
  <c r="T1086" i="2"/>
  <c r="A1090" i="3" s="1"/>
  <c r="AM1085" i="2"/>
  <c r="AL1085" i="2"/>
  <c r="AK1085" i="2"/>
  <c r="AJ1085" i="2"/>
  <c r="AI1085" i="2"/>
  <c r="AH1085" i="2"/>
  <c r="F1085" i="4" s="1"/>
  <c r="AG1085" i="2"/>
  <c r="AF1085" i="2"/>
  <c r="AE1085" i="2"/>
  <c r="AD1085" i="2"/>
  <c r="AC1085" i="2"/>
  <c r="AB1085" i="2"/>
  <c r="AA1085" i="2"/>
  <c r="Z1085" i="2"/>
  <c r="Y1085" i="2"/>
  <c r="X1085" i="2"/>
  <c r="W1085" i="2"/>
  <c r="V1085" i="2"/>
  <c r="U1085" i="2"/>
  <c r="T1085" i="2"/>
  <c r="A1089" i="3" s="1"/>
  <c r="AM1084" i="2"/>
  <c r="AL1084" i="2"/>
  <c r="AK1084" i="2"/>
  <c r="AJ1084" i="2"/>
  <c r="AI1084" i="2"/>
  <c r="AH1084" i="2"/>
  <c r="F1084" i="4" s="1"/>
  <c r="AG1084" i="2"/>
  <c r="AF1084" i="2"/>
  <c r="AE1084" i="2"/>
  <c r="AD1084" i="2"/>
  <c r="AC1084" i="2"/>
  <c r="AB1084" i="2"/>
  <c r="AA1084" i="2"/>
  <c r="Z1084" i="2"/>
  <c r="Y1084" i="2"/>
  <c r="X1084" i="2"/>
  <c r="W1084" i="2"/>
  <c r="V1084" i="2"/>
  <c r="U1084" i="2"/>
  <c r="T1084" i="2"/>
  <c r="A1088" i="3" s="1"/>
  <c r="AM1083" i="2"/>
  <c r="AL1083" i="2"/>
  <c r="AK1083" i="2"/>
  <c r="AJ1083" i="2"/>
  <c r="AI1083" i="2"/>
  <c r="AH1083" i="2"/>
  <c r="F1083" i="4" s="1"/>
  <c r="AG1083" i="2"/>
  <c r="AF1083" i="2"/>
  <c r="AE1083" i="2"/>
  <c r="AD1083" i="2"/>
  <c r="AC1083" i="2"/>
  <c r="AB1083" i="2"/>
  <c r="AA1083" i="2"/>
  <c r="Z1083" i="2"/>
  <c r="Y1083" i="2"/>
  <c r="X1083" i="2"/>
  <c r="W1083" i="2"/>
  <c r="V1083" i="2"/>
  <c r="U1083" i="2"/>
  <c r="T1083" i="2"/>
  <c r="A1087" i="3" s="1"/>
  <c r="AM1082" i="2"/>
  <c r="AL1082" i="2"/>
  <c r="AK1082" i="2"/>
  <c r="AJ1082" i="2"/>
  <c r="AI1082" i="2"/>
  <c r="AH1082" i="2"/>
  <c r="F1082" i="4" s="1"/>
  <c r="AG1082" i="2"/>
  <c r="AF1082" i="2"/>
  <c r="AE1082" i="2"/>
  <c r="AD1082" i="2"/>
  <c r="AC1082" i="2"/>
  <c r="AB1082" i="2"/>
  <c r="AA1082" i="2"/>
  <c r="Z1082" i="2"/>
  <c r="Y1082" i="2"/>
  <c r="X1082" i="2"/>
  <c r="W1082" i="2"/>
  <c r="V1082" i="2"/>
  <c r="U1082" i="2"/>
  <c r="T1082" i="2"/>
  <c r="A1086" i="3" s="1"/>
  <c r="AM1081" i="2"/>
  <c r="AL1081" i="2"/>
  <c r="AK1081" i="2"/>
  <c r="AJ1081" i="2"/>
  <c r="AI1081" i="2"/>
  <c r="AH1081" i="2"/>
  <c r="F1081" i="4" s="1"/>
  <c r="AG1081" i="2"/>
  <c r="AF1081" i="2"/>
  <c r="AE1081" i="2"/>
  <c r="AD1081" i="2"/>
  <c r="AC1081" i="2"/>
  <c r="AB1081" i="2"/>
  <c r="AA1081" i="2"/>
  <c r="Z1081" i="2"/>
  <c r="Y1081" i="2"/>
  <c r="X1081" i="2"/>
  <c r="W1081" i="2"/>
  <c r="V1081" i="2"/>
  <c r="U1081" i="2"/>
  <c r="T1081" i="2"/>
  <c r="A1085" i="3" s="1"/>
  <c r="AM1080" i="2"/>
  <c r="AL1080" i="2"/>
  <c r="AK1080" i="2"/>
  <c r="AJ1080" i="2"/>
  <c r="AI1080" i="2"/>
  <c r="AH1080" i="2"/>
  <c r="F1080" i="4" s="1"/>
  <c r="AG1080" i="2"/>
  <c r="AF1080" i="2"/>
  <c r="AE1080" i="2"/>
  <c r="AD1080" i="2"/>
  <c r="AC1080" i="2"/>
  <c r="AB1080" i="2"/>
  <c r="AA1080" i="2"/>
  <c r="Z1080" i="2"/>
  <c r="Y1080" i="2"/>
  <c r="X1080" i="2"/>
  <c r="W1080" i="2"/>
  <c r="V1080" i="2"/>
  <c r="U1080" i="2"/>
  <c r="T1080" i="2"/>
  <c r="A1084" i="3" s="1"/>
  <c r="AM1079" i="2"/>
  <c r="AL1079" i="2"/>
  <c r="AK1079" i="2"/>
  <c r="AJ1079" i="2"/>
  <c r="AI1079" i="2"/>
  <c r="AH1079" i="2"/>
  <c r="F1079" i="4" s="1"/>
  <c r="AG1079" i="2"/>
  <c r="AF1079" i="2"/>
  <c r="AE1079" i="2"/>
  <c r="AD1079" i="2"/>
  <c r="AC1079" i="2"/>
  <c r="AB1079" i="2"/>
  <c r="AA1079" i="2"/>
  <c r="Z1079" i="2"/>
  <c r="Y1079" i="2"/>
  <c r="X1079" i="2"/>
  <c r="W1079" i="2"/>
  <c r="V1079" i="2"/>
  <c r="U1079" i="2"/>
  <c r="T1079" i="2"/>
  <c r="A1083" i="3" s="1"/>
  <c r="AM1078" i="2"/>
  <c r="AL1078" i="2"/>
  <c r="AK1078" i="2"/>
  <c r="AJ1078" i="2"/>
  <c r="AI1078" i="2"/>
  <c r="AH1078" i="2"/>
  <c r="F1078" i="4" s="1"/>
  <c r="AG1078" i="2"/>
  <c r="AF1078" i="2"/>
  <c r="AE1078" i="2"/>
  <c r="AD1078" i="2"/>
  <c r="AC1078" i="2"/>
  <c r="AB1078" i="2"/>
  <c r="AA1078" i="2"/>
  <c r="Z1078" i="2"/>
  <c r="Y1078" i="2"/>
  <c r="X1078" i="2"/>
  <c r="W1078" i="2"/>
  <c r="V1078" i="2"/>
  <c r="U1078" i="2"/>
  <c r="T1078" i="2"/>
  <c r="A1082" i="3" s="1"/>
  <c r="AM1077" i="2"/>
  <c r="AL1077" i="2"/>
  <c r="AK1077" i="2"/>
  <c r="AJ1077" i="2"/>
  <c r="AI1077" i="2"/>
  <c r="AH1077" i="2"/>
  <c r="F1077" i="4" s="1"/>
  <c r="AG1077" i="2"/>
  <c r="AF1077" i="2"/>
  <c r="AE1077" i="2"/>
  <c r="AD1077" i="2"/>
  <c r="AC1077" i="2"/>
  <c r="AB1077" i="2"/>
  <c r="AA1077" i="2"/>
  <c r="Z1077" i="2"/>
  <c r="Y1077" i="2"/>
  <c r="X1077" i="2"/>
  <c r="W1077" i="2"/>
  <c r="V1077" i="2"/>
  <c r="U1077" i="2"/>
  <c r="T1077" i="2"/>
  <c r="A1081" i="3" s="1"/>
  <c r="AM1076" i="2"/>
  <c r="AL1076" i="2"/>
  <c r="AK1076" i="2"/>
  <c r="AJ1076" i="2"/>
  <c r="AI1076" i="2"/>
  <c r="AH1076" i="2"/>
  <c r="F1076" i="4" s="1"/>
  <c r="AG1076" i="2"/>
  <c r="AF1076" i="2"/>
  <c r="AE1076" i="2"/>
  <c r="AD1076" i="2"/>
  <c r="AC1076" i="2"/>
  <c r="AB1076" i="2"/>
  <c r="AA1076" i="2"/>
  <c r="Z1076" i="2"/>
  <c r="Y1076" i="2"/>
  <c r="X1076" i="2"/>
  <c r="W1076" i="2"/>
  <c r="V1076" i="2"/>
  <c r="U1076" i="2"/>
  <c r="T1076" i="2"/>
  <c r="A1080" i="3" s="1"/>
  <c r="AM1075" i="2"/>
  <c r="AL1075" i="2"/>
  <c r="AK1075" i="2"/>
  <c r="AJ1075" i="2"/>
  <c r="AI1075" i="2"/>
  <c r="AH1075" i="2"/>
  <c r="F1075" i="4" s="1"/>
  <c r="AG1075" i="2"/>
  <c r="AF1075" i="2"/>
  <c r="AE1075" i="2"/>
  <c r="AD1075" i="2"/>
  <c r="AC1075" i="2"/>
  <c r="AB1075" i="2"/>
  <c r="AA1075" i="2"/>
  <c r="Z1075" i="2"/>
  <c r="Y1075" i="2"/>
  <c r="X1075" i="2"/>
  <c r="W1075" i="2"/>
  <c r="V1075" i="2"/>
  <c r="U1075" i="2"/>
  <c r="T1075" i="2"/>
  <c r="A1079" i="3" s="1"/>
  <c r="AM1074" i="2"/>
  <c r="AL1074" i="2"/>
  <c r="AK1074" i="2"/>
  <c r="AJ1074" i="2"/>
  <c r="AI1074" i="2"/>
  <c r="AH1074" i="2"/>
  <c r="F1074" i="4" s="1"/>
  <c r="AG1074" i="2"/>
  <c r="AF1074" i="2"/>
  <c r="AE1074" i="2"/>
  <c r="AD1074" i="2"/>
  <c r="AC1074" i="2"/>
  <c r="AB1074" i="2"/>
  <c r="AA1074" i="2"/>
  <c r="Z1074" i="2"/>
  <c r="Y1074" i="2"/>
  <c r="X1074" i="2"/>
  <c r="W1074" i="2"/>
  <c r="V1074" i="2"/>
  <c r="U1074" i="2"/>
  <c r="T1074" i="2"/>
  <c r="A1078" i="3" s="1"/>
  <c r="AM1073" i="2"/>
  <c r="AL1073" i="2"/>
  <c r="AK1073" i="2"/>
  <c r="AJ1073" i="2"/>
  <c r="AI1073" i="2"/>
  <c r="AH1073" i="2"/>
  <c r="F1073" i="4" s="1"/>
  <c r="AG1073" i="2"/>
  <c r="AF1073" i="2"/>
  <c r="AE1073" i="2"/>
  <c r="AD1073" i="2"/>
  <c r="AC1073" i="2"/>
  <c r="AB1073" i="2"/>
  <c r="AA1073" i="2"/>
  <c r="Z1073" i="2"/>
  <c r="Y1073" i="2"/>
  <c r="X1073" i="2"/>
  <c r="W1073" i="2"/>
  <c r="V1073" i="2"/>
  <c r="U1073" i="2"/>
  <c r="T1073" i="2"/>
  <c r="A1077" i="3" s="1"/>
  <c r="AM1072" i="2"/>
  <c r="AL1072" i="2"/>
  <c r="AK1072" i="2"/>
  <c r="AJ1072" i="2"/>
  <c r="AI1072" i="2"/>
  <c r="AH1072" i="2"/>
  <c r="F1072" i="4" s="1"/>
  <c r="AG1072" i="2"/>
  <c r="AF1072" i="2"/>
  <c r="AE1072" i="2"/>
  <c r="AD1072" i="2"/>
  <c r="AC1072" i="2"/>
  <c r="AB1072" i="2"/>
  <c r="AA1072" i="2"/>
  <c r="Z1072" i="2"/>
  <c r="Y1072" i="2"/>
  <c r="X1072" i="2"/>
  <c r="W1072" i="2"/>
  <c r="V1072" i="2"/>
  <c r="U1072" i="2"/>
  <c r="T1072" i="2"/>
  <c r="A1076" i="3" s="1"/>
  <c r="AM1071" i="2"/>
  <c r="AL1071" i="2"/>
  <c r="AK1071" i="2"/>
  <c r="AJ1071" i="2"/>
  <c r="AI1071" i="2"/>
  <c r="AH1071" i="2"/>
  <c r="F1071" i="4" s="1"/>
  <c r="AG1071" i="2"/>
  <c r="AF1071" i="2"/>
  <c r="AE1071" i="2"/>
  <c r="AD1071" i="2"/>
  <c r="AC1071" i="2"/>
  <c r="AB1071" i="2"/>
  <c r="AA1071" i="2"/>
  <c r="Z1071" i="2"/>
  <c r="Y1071" i="2"/>
  <c r="X1071" i="2"/>
  <c r="W1071" i="2"/>
  <c r="V1071" i="2"/>
  <c r="U1071" i="2"/>
  <c r="T1071" i="2"/>
  <c r="A1075" i="3" s="1"/>
  <c r="AM1070" i="2"/>
  <c r="AL1070" i="2"/>
  <c r="AK1070" i="2"/>
  <c r="AJ1070" i="2"/>
  <c r="AI1070" i="2"/>
  <c r="AH1070" i="2"/>
  <c r="F1070" i="4" s="1"/>
  <c r="AG1070" i="2"/>
  <c r="AF1070" i="2"/>
  <c r="AE1070" i="2"/>
  <c r="AD1070" i="2"/>
  <c r="AC1070" i="2"/>
  <c r="AB1070" i="2"/>
  <c r="AA1070" i="2"/>
  <c r="Z1070" i="2"/>
  <c r="Y1070" i="2"/>
  <c r="X1070" i="2"/>
  <c r="W1070" i="2"/>
  <c r="V1070" i="2"/>
  <c r="U1070" i="2"/>
  <c r="T1070" i="2"/>
  <c r="A1074" i="3" s="1"/>
  <c r="AM1069" i="2"/>
  <c r="AL1069" i="2"/>
  <c r="AK1069" i="2"/>
  <c r="AJ1069" i="2"/>
  <c r="AI1069" i="2"/>
  <c r="AH1069" i="2"/>
  <c r="F1069" i="4" s="1"/>
  <c r="AG1069" i="2"/>
  <c r="AF1069" i="2"/>
  <c r="AE1069" i="2"/>
  <c r="AD1069" i="2"/>
  <c r="AC1069" i="2"/>
  <c r="AB1069" i="2"/>
  <c r="AA1069" i="2"/>
  <c r="Z1069" i="2"/>
  <c r="Y1069" i="2"/>
  <c r="X1069" i="2"/>
  <c r="W1069" i="2"/>
  <c r="V1069" i="2"/>
  <c r="U1069" i="2"/>
  <c r="T1069" i="2"/>
  <c r="A1073" i="3" s="1"/>
  <c r="AM1068" i="2"/>
  <c r="AL1068" i="2"/>
  <c r="AK1068" i="2"/>
  <c r="AJ1068" i="2"/>
  <c r="AI1068" i="2"/>
  <c r="AH1068" i="2"/>
  <c r="F1068" i="4" s="1"/>
  <c r="AG1068" i="2"/>
  <c r="AF1068" i="2"/>
  <c r="AE1068" i="2"/>
  <c r="AD1068" i="2"/>
  <c r="AC1068" i="2"/>
  <c r="AB1068" i="2"/>
  <c r="AA1068" i="2"/>
  <c r="Z1068" i="2"/>
  <c r="Y1068" i="2"/>
  <c r="X1068" i="2"/>
  <c r="W1068" i="2"/>
  <c r="V1068" i="2"/>
  <c r="U1068" i="2"/>
  <c r="T1068" i="2"/>
  <c r="A1072" i="3" s="1"/>
  <c r="AM1067" i="2"/>
  <c r="AL1067" i="2"/>
  <c r="AK1067" i="2"/>
  <c r="AJ1067" i="2"/>
  <c r="AI1067" i="2"/>
  <c r="AH1067" i="2"/>
  <c r="F1067" i="4" s="1"/>
  <c r="AG1067" i="2"/>
  <c r="AF1067" i="2"/>
  <c r="AE1067" i="2"/>
  <c r="AD1067" i="2"/>
  <c r="AC1067" i="2"/>
  <c r="AB1067" i="2"/>
  <c r="AA1067" i="2"/>
  <c r="Z1067" i="2"/>
  <c r="Y1067" i="2"/>
  <c r="X1067" i="2"/>
  <c r="W1067" i="2"/>
  <c r="V1067" i="2"/>
  <c r="U1067" i="2"/>
  <c r="T1067" i="2"/>
  <c r="A1071" i="3" s="1"/>
  <c r="AM1066" i="2"/>
  <c r="AL1066" i="2"/>
  <c r="AK1066" i="2"/>
  <c r="AJ1066" i="2"/>
  <c r="AI1066" i="2"/>
  <c r="AH1066" i="2"/>
  <c r="F1066" i="4" s="1"/>
  <c r="AG1066" i="2"/>
  <c r="AF1066" i="2"/>
  <c r="AE1066" i="2"/>
  <c r="AD1066" i="2"/>
  <c r="AC1066" i="2"/>
  <c r="AB1066" i="2"/>
  <c r="AA1066" i="2"/>
  <c r="Z1066" i="2"/>
  <c r="Y1066" i="2"/>
  <c r="X1066" i="2"/>
  <c r="W1066" i="2"/>
  <c r="V1066" i="2"/>
  <c r="U1066" i="2"/>
  <c r="T1066" i="2"/>
  <c r="A1070" i="3" s="1"/>
  <c r="AM1065" i="2"/>
  <c r="AL1065" i="2"/>
  <c r="AK1065" i="2"/>
  <c r="AJ1065" i="2"/>
  <c r="AI1065" i="2"/>
  <c r="AH1065" i="2"/>
  <c r="F1065" i="4" s="1"/>
  <c r="AG1065" i="2"/>
  <c r="AF1065" i="2"/>
  <c r="AE1065" i="2"/>
  <c r="AD1065" i="2"/>
  <c r="AC1065" i="2"/>
  <c r="AB1065" i="2"/>
  <c r="AA1065" i="2"/>
  <c r="Z1065" i="2"/>
  <c r="Y1065" i="2"/>
  <c r="X1065" i="2"/>
  <c r="W1065" i="2"/>
  <c r="V1065" i="2"/>
  <c r="U1065" i="2"/>
  <c r="T1065" i="2"/>
  <c r="A1069" i="3" s="1"/>
  <c r="AM1064" i="2"/>
  <c r="AL1064" i="2"/>
  <c r="AK1064" i="2"/>
  <c r="AJ1064" i="2"/>
  <c r="AI1064" i="2"/>
  <c r="AH1064" i="2"/>
  <c r="F1064" i="4" s="1"/>
  <c r="AG1064" i="2"/>
  <c r="AF1064" i="2"/>
  <c r="AE1064" i="2"/>
  <c r="AD1064" i="2"/>
  <c r="AC1064" i="2"/>
  <c r="AB1064" i="2"/>
  <c r="AA1064" i="2"/>
  <c r="Z1064" i="2"/>
  <c r="Y1064" i="2"/>
  <c r="X1064" i="2"/>
  <c r="W1064" i="2"/>
  <c r="V1064" i="2"/>
  <c r="U1064" i="2"/>
  <c r="T1064" i="2"/>
  <c r="A1068" i="3" s="1"/>
  <c r="AM1063" i="2"/>
  <c r="AL1063" i="2"/>
  <c r="AK1063" i="2"/>
  <c r="AJ1063" i="2"/>
  <c r="AI1063" i="2"/>
  <c r="AH1063" i="2"/>
  <c r="F1063" i="4" s="1"/>
  <c r="AG1063" i="2"/>
  <c r="AF1063" i="2"/>
  <c r="AE1063" i="2"/>
  <c r="AD1063" i="2"/>
  <c r="AC1063" i="2"/>
  <c r="AB1063" i="2"/>
  <c r="AA1063" i="2"/>
  <c r="Z1063" i="2"/>
  <c r="Y1063" i="2"/>
  <c r="X1063" i="2"/>
  <c r="W1063" i="2"/>
  <c r="V1063" i="2"/>
  <c r="U1063" i="2"/>
  <c r="T1063" i="2"/>
  <c r="A1067" i="3" s="1"/>
  <c r="AM1062" i="2"/>
  <c r="AL1062" i="2"/>
  <c r="AK1062" i="2"/>
  <c r="AJ1062" i="2"/>
  <c r="AI1062" i="2"/>
  <c r="AH1062" i="2"/>
  <c r="F1062" i="4" s="1"/>
  <c r="AG1062" i="2"/>
  <c r="AF1062" i="2"/>
  <c r="AE1062" i="2"/>
  <c r="AD1062" i="2"/>
  <c r="AC1062" i="2"/>
  <c r="AB1062" i="2"/>
  <c r="AA1062" i="2"/>
  <c r="Z1062" i="2"/>
  <c r="Y1062" i="2"/>
  <c r="X1062" i="2"/>
  <c r="W1062" i="2"/>
  <c r="V1062" i="2"/>
  <c r="U1062" i="2"/>
  <c r="T1062" i="2"/>
  <c r="A1066" i="3" s="1"/>
  <c r="AM1061" i="2"/>
  <c r="AL1061" i="2"/>
  <c r="AK1061" i="2"/>
  <c r="AJ1061" i="2"/>
  <c r="AI1061" i="2"/>
  <c r="AH1061" i="2"/>
  <c r="F1061" i="4" s="1"/>
  <c r="AG1061" i="2"/>
  <c r="AF1061" i="2"/>
  <c r="AE1061" i="2"/>
  <c r="AD1061" i="2"/>
  <c r="AC1061" i="2"/>
  <c r="AB1061" i="2"/>
  <c r="AA1061" i="2"/>
  <c r="Z1061" i="2"/>
  <c r="Y1061" i="2"/>
  <c r="X1061" i="2"/>
  <c r="W1061" i="2"/>
  <c r="V1061" i="2"/>
  <c r="U1061" i="2"/>
  <c r="T1061" i="2"/>
  <c r="A1065" i="3" s="1"/>
  <c r="AM1060" i="2"/>
  <c r="AL1060" i="2"/>
  <c r="AK1060" i="2"/>
  <c r="AJ1060" i="2"/>
  <c r="AI1060" i="2"/>
  <c r="AH1060" i="2"/>
  <c r="F1060" i="4" s="1"/>
  <c r="AG1060" i="2"/>
  <c r="AF1060" i="2"/>
  <c r="AE1060" i="2"/>
  <c r="AD1060" i="2"/>
  <c r="AC1060" i="2"/>
  <c r="AB1060" i="2"/>
  <c r="AA1060" i="2"/>
  <c r="Z1060" i="2"/>
  <c r="Y1060" i="2"/>
  <c r="X1060" i="2"/>
  <c r="W1060" i="2"/>
  <c r="V1060" i="2"/>
  <c r="U1060" i="2"/>
  <c r="T1060" i="2"/>
  <c r="A1064" i="3" s="1"/>
  <c r="AM1059" i="2"/>
  <c r="AL1059" i="2"/>
  <c r="AK1059" i="2"/>
  <c r="AJ1059" i="2"/>
  <c r="AI1059" i="2"/>
  <c r="AH1059" i="2"/>
  <c r="F1059" i="4" s="1"/>
  <c r="AG1059" i="2"/>
  <c r="AF1059" i="2"/>
  <c r="AE1059" i="2"/>
  <c r="AD1059" i="2"/>
  <c r="AC1059" i="2"/>
  <c r="AB1059" i="2"/>
  <c r="AA1059" i="2"/>
  <c r="Z1059" i="2"/>
  <c r="Y1059" i="2"/>
  <c r="X1059" i="2"/>
  <c r="W1059" i="2"/>
  <c r="V1059" i="2"/>
  <c r="U1059" i="2"/>
  <c r="T1059" i="2"/>
  <c r="A1063" i="3" s="1"/>
  <c r="AM1058" i="2"/>
  <c r="AL1058" i="2"/>
  <c r="AK1058" i="2"/>
  <c r="AJ1058" i="2"/>
  <c r="AI1058" i="2"/>
  <c r="AH1058" i="2"/>
  <c r="F1058" i="4" s="1"/>
  <c r="AG1058" i="2"/>
  <c r="AF1058" i="2"/>
  <c r="AE1058" i="2"/>
  <c r="AD1058" i="2"/>
  <c r="AC1058" i="2"/>
  <c r="AB1058" i="2"/>
  <c r="AA1058" i="2"/>
  <c r="Z1058" i="2"/>
  <c r="Y1058" i="2"/>
  <c r="X1058" i="2"/>
  <c r="W1058" i="2"/>
  <c r="V1058" i="2"/>
  <c r="U1058" i="2"/>
  <c r="T1058" i="2"/>
  <c r="A1062" i="3" s="1"/>
  <c r="AM1057" i="2"/>
  <c r="AL1057" i="2"/>
  <c r="AK1057" i="2"/>
  <c r="AJ1057" i="2"/>
  <c r="AI1057" i="2"/>
  <c r="AH1057" i="2"/>
  <c r="F1057" i="4" s="1"/>
  <c r="AG1057" i="2"/>
  <c r="AF1057" i="2"/>
  <c r="AE1057" i="2"/>
  <c r="AD1057" i="2"/>
  <c r="AC1057" i="2"/>
  <c r="AB1057" i="2"/>
  <c r="AA1057" i="2"/>
  <c r="Z1057" i="2"/>
  <c r="Y1057" i="2"/>
  <c r="X1057" i="2"/>
  <c r="W1057" i="2"/>
  <c r="V1057" i="2"/>
  <c r="U1057" i="2"/>
  <c r="T1057" i="2"/>
  <c r="A1061" i="3" s="1"/>
  <c r="AM1056" i="2"/>
  <c r="AL1056" i="2"/>
  <c r="AK1056" i="2"/>
  <c r="AJ1056" i="2"/>
  <c r="AI1056" i="2"/>
  <c r="AH1056" i="2"/>
  <c r="F1056" i="4" s="1"/>
  <c r="AG1056" i="2"/>
  <c r="AF1056" i="2"/>
  <c r="AE1056" i="2"/>
  <c r="AD1056" i="2"/>
  <c r="AC1056" i="2"/>
  <c r="AB1056" i="2"/>
  <c r="AA1056" i="2"/>
  <c r="Z1056" i="2"/>
  <c r="Y1056" i="2"/>
  <c r="X1056" i="2"/>
  <c r="W1056" i="2"/>
  <c r="V1056" i="2"/>
  <c r="U1056" i="2"/>
  <c r="T1056" i="2"/>
  <c r="A1060" i="3" s="1"/>
  <c r="AM1055" i="2"/>
  <c r="AL1055" i="2"/>
  <c r="AK1055" i="2"/>
  <c r="AJ1055" i="2"/>
  <c r="AI1055" i="2"/>
  <c r="AH1055" i="2"/>
  <c r="F1055" i="4" s="1"/>
  <c r="AG1055" i="2"/>
  <c r="AF1055" i="2"/>
  <c r="AE1055" i="2"/>
  <c r="AD1055" i="2"/>
  <c r="AC1055" i="2"/>
  <c r="AB1055" i="2"/>
  <c r="AA1055" i="2"/>
  <c r="Z1055" i="2"/>
  <c r="Y1055" i="2"/>
  <c r="X1055" i="2"/>
  <c r="W1055" i="2"/>
  <c r="V1055" i="2"/>
  <c r="U1055" i="2"/>
  <c r="T1055" i="2"/>
  <c r="A1059" i="3" s="1"/>
  <c r="AM1054" i="2"/>
  <c r="AL1054" i="2"/>
  <c r="AK1054" i="2"/>
  <c r="AJ1054" i="2"/>
  <c r="AI1054" i="2"/>
  <c r="AH1054" i="2"/>
  <c r="F1054" i="4" s="1"/>
  <c r="AG1054" i="2"/>
  <c r="AF1054" i="2"/>
  <c r="AE1054" i="2"/>
  <c r="AD1054" i="2"/>
  <c r="AC1054" i="2"/>
  <c r="AB1054" i="2"/>
  <c r="AA1054" i="2"/>
  <c r="Z1054" i="2"/>
  <c r="Y1054" i="2"/>
  <c r="X1054" i="2"/>
  <c r="W1054" i="2"/>
  <c r="V1054" i="2"/>
  <c r="U1054" i="2"/>
  <c r="T1054" i="2"/>
  <c r="A1058" i="3" s="1"/>
  <c r="AM1053" i="2"/>
  <c r="AL1053" i="2"/>
  <c r="AK1053" i="2"/>
  <c r="AJ1053" i="2"/>
  <c r="AI1053" i="2"/>
  <c r="AH1053" i="2"/>
  <c r="F1053" i="4" s="1"/>
  <c r="AG1053" i="2"/>
  <c r="AF1053" i="2"/>
  <c r="AE1053" i="2"/>
  <c r="AD1053" i="2"/>
  <c r="AC1053" i="2"/>
  <c r="AB1053" i="2"/>
  <c r="AA1053" i="2"/>
  <c r="Z1053" i="2"/>
  <c r="Y1053" i="2"/>
  <c r="X1053" i="2"/>
  <c r="W1053" i="2"/>
  <c r="V1053" i="2"/>
  <c r="U1053" i="2"/>
  <c r="T1053" i="2"/>
  <c r="A1057" i="3" s="1"/>
  <c r="AM1052" i="2"/>
  <c r="AL1052" i="2"/>
  <c r="AK1052" i="2"/>
  <c r="AJ1052" i="2"/>
  <c r="AI1052" i="2"/>
  <c r="AH1052" i="2"/>
  <c r="F1052" i="4" s="1"/>
  <c r="AG1052" i="2"/>
  <c r="AF1052" i="2"/>
  <c r="AE1052" i="2"/>
  <c r="AD1052" i="2"/>
  <c r="AC1052" i="2"/>
  <c r="AB1052" i="2"/>
  <c r="AA1052" i="2"/>
  <c r="Z1052" i="2"/>
  <c r="Y1052" i="2"/>
  <c r="X1052" i="2"/>
  <c r="W1052" i="2"/>
  <c r="V1052" i="2"/>
  <c r="U1052" i="2"/>
  <c r="T1052" i="2"/>
  <c r="A1056" i="3" s="1"/>
  <c r="AM1051" i="2"/>
  <c r="AL1051" i="2"/>
  <c r="AK1051" i="2"/>
  <c r="AJ1051" i="2"/>
  <c r="AI1051" i="2"/>
  <c r="AH1051" i="2"/>
  <c r="F1051" i="4" s="1"/>
  <c r="AG1051" i="2"/>
  <c r="AF1051" i="2"/>
  <c r="AE1051" i="2"/>
  <c r="AD1051" i="2"/>
  <c r="AC1051" i="2"/>
  <c r="AB1051" i="2"/>
  <c r="AA1051" i="2"/>
  <c r="Z1051" i="2"/>
  <c r="Y1051" i="2"/>
  <c r="X1051" i="2"/>
  <c r="W1051" i="2"/>
  <c r="V1051" i="2"/>
  <c r="U1051" i="2"/>
  <c r="T1051" i="2"/>
  <c r="A1055" i="3" s="1"/>
  <c r="AM1050" i="2"/>
  <c r="AL1050" i="2"/>
  <c r="AK1050" i="2"/>
  <c r="AJ1050" i="2"/>
  <c r="AI1050" i="2"/>
  <c r="AH1050" i="2"/>
  <c r="F1050" i="4" s="1"/>
  <c r="AG1050" i="2"/>
  <c r="AF1050" i="2"/>
  <c r="AE1050" i="2"/>
  <c r="AD1050" i="2"/>
  <c r="AC1050" i="2"/>
  <c r="AB1050" i="2"/>
  <c r="AA1050" i="2"/>
  <c r="Z1050" i="2"/>
  <c r="Y1050" i="2"/>
  <c r="X1050" i="2"/>
  <c r="W1050" i="2"/>
  <c r="V1050" i="2"/>
  <c r="U1050" i="2"/>
  <c r="T1050" i="2"/>
  <c r="A1054" i="3" s="1"/>
  <c r="AM1049" i="2"/>
  <c r="AL1049" i="2"/>
  <c r="AK1049" i="2"/>
  <c r="AJ1049" i="2"/>
  <c r="AI1049" i="2"/>
  <c r="AH1049" i="2"/>
  <c r="F1049" i="4" s="1"/>
  <c r="AG1049" i="2"/>
  <c r="AF1049" i="2"/>
  <c r="AE1049" i="2"/>
  <c r="AD1049" i="2"/>
  <c r="AC1049" i="2"/>
  <c r="AB1049" i="2"/>
  <c r="AA1049" i="2"/>
  <c r="Z1049" i="2"/>
  <c r="Y1049" i="2"/>
  <c r="X1049" i="2"/>
  <c r="W1049" i="2"/>
  <c r="V1049" i="2"/>
  <c r="U1049" i="2"/>
  <c r="T1049" i="2"/>
  <c r="A1053" i="3" s="1"/>
  <c r="AM1048" i="2"/>
  <c r="AL1048" i="2"/>
  <c r="AK1048" i="2"/>
  <c r="AJ1048" i="2"/>
  <c r="AI1048" i="2"/>
  <c r="AH1048" i="2"/>
  <c r="F1048" i="4" s="1"/>
  <c r="AG1048" i="2"/>
  <c r="AF1048" i="2"/>
  <c r="AE1048" i="2"/>
  <c r="AD1048" i="2"/>
  <c r="AC1048" i="2"/>
  <c r="AB1048" i="2"/>
  <c r="AA1048" i="2"/>
  <c r="Z1048" i="2"/>
  <c r="Y1048" i="2"/>
  <c r="X1048" i="2"/>
  <c r="W1048" i="2"/>
  <c r="V1048" i="2"/>
  <c r="U1048" i="2"/>
  <c r="T1048" i="2"/>
  <c r="A1052" i="3" s="1"/>
  <c r="AM1047" i="2"/>
  <c r="AL1047" i="2"/>
  <c r="AK1047" i="2"/>
  <c r="AJ1047" i="2"/>
  <c r="AI1047" i="2"/>
  <c r="AH1047" i="2"/>
  <c r="F1047" i="4" s="1"/>
  <c r="AG1047" i="2"/>
  <c r="AF1047" i="2"/>
  <c r="AE1047" i="2"/>
  <c r="AD1047" i="2"/>
  <c r="AC1047" i="2"/>
  <c r="AB1047" i="2"/>
  <c r="AA1047" i="2"/>
  <c r="Z1047" i="2"/>
  <c r="Y1047" i="2"/>
  <c r="X1047" i="2"/>
  <c r="W1047" i="2"/>
  <c r="V1047" i="2"/>
  <c r="U1047" i="2"/>
  <c r="T1047" i="2"/>
  <c r="A1051" i="3" s="1"/>
  <c r="AM1046" i="2"/>
  <c r="AL1046" i="2"/>
  <c r="AK1046" i="2"/>
  <c r="AJ1046" i="2"/>
  <c r="AI1046" i="2"/>
  <c r="AH1046" i="2"/>
  <c r="F1046" i="4" s="1"/>
  <c r="AG1046" i="2"/>
  <c r="AF1046" i="2"/>
  <c r="AE1046" i="2"/>
  <c r="AD1046" i="2"/>
  <c r="AC1046" i="2"/>
  <c r="AB1046" i="2"/>
  <c r="AA1046" i="2"/>
  <c r="Z1046" i="2"/>
  <c r="Y1046" i="2"/>
  <c r="X1046" i="2"/>
  <c r="W1046" i="2"/>
  <c r="V1046" i="2"/>
  <c r="U1046" i="2"/>
  <c r="T1046" i="2"/>
  <c r="A1050" i="3" s="1"/>
  <c r="AM1045" i="2"/>
  <c r="AL1045" i="2"/>
  <c r="AK1045" i="2"/>
  <c r="AJ1045" i="2"/>
  <c r="AI1045" i="2"/>
  <c r="AH1045" i="2"/>
  <c r="F1045" i="4" s="1"/>
  <c r="AG1045" i="2"/>
  <c r="AF1045" i="2"/>
  <c r="AE1045" i="2"/>
  <c r="AD1045" i="2"/>
  <c r="AC1045" i="2"/>
  <c r="AB1045" i="2"/>
  <c r="AA1045" i="2"/>
  <c r="Z1045" i="2"/>
  <c r="Y1045" i="2"/>
  <c r="X1045" i="2"/>
  <c r="W1045" i="2"/>
  <c r="V1045" i="2"/>
  <c r="U1045" i="2"/>
  <c r="T1045" i="2"/>
  <c r="A1049" i="3" s="1"/>
  <c r="AM1044" i="2"/>
  <c r="AL1044" i="2"/>
  <c r="AK1044" i="2"/>
  <c r="AJ1044" i="2"/>
  <c r="AI1044" i="2"/>
  <c r="AH1044" i="2"/>
  <c r="F1044" i="4" s="1"/>
  <c r="AG1044" i="2"/>
  <c r="AF1044" i="2"/>
  <c r="AE1044" i="2"/>
  <c r="AD1044" i="2"/>
  <c r="AC1044" i="2"/>
  <c r="AB1044" i="2"/>
  <c r="AA1044" i="2"/>
  <c r="Z1044" i="2"/>
  <c r="Y1044" i="2"/>
  <c r="X1044" i="2"/>
  <c r="W1044" i="2"/>
  <c r="V1044" i="2"/>
  <c r="U1044" i="2"/>
  <c r="T1044" i="2"/>
  <c r="A1048" i="3" s="1"/>
  <c r="AM1043" i="2"/>
  <c r="AL1043" i="2"/>
  <c r="AK1043" i="2"/>
  <c r="AJ1043" i="2"/>
  <c r="AI1043" i="2"/>
  <c r="AH1043" i="2"/>
  <c r="F1043" i="4" s="1"/>
  <c r="AG1043" i="2"/>
  <c r="AF1043" i="2"/>
  <c r="AE1043" i="2"/>
  <c r="AD1043" i="2"/>
  <c r="AC1043" i="2"/>
  <c r="AB1043" i="2"/>
  <c r="AA1043" i="2"/>
  <c r="Z1043" i="2"/>
  <c r="Y1043" i="2"/>
  <c r="X1043" i="2"/>
  <c r="W1043" i="2"/>
  <c r="V1043" i="2"/>
  <c r="U1043" i="2"/>
  <c r="T1043" i="2"/>
  <c r="A1047" i="3" s="1"/>
  <c r="AM1042" i="2"/>
  <c r="AL1042" i="2"/>
  <c r="AK1042" i="2"/>
  <c r="AJ1042" i="2"/>
  <c r="AI1042" i="2"/>
  <c r="AH1042" i="2"/>
  <c r="F1042" i="4" s="1"/>
  <c r="AG1042" i="2"/>
  <c r="AF1042" i="2"/>
  <c r="AE1042" i="2"/>
  <c r="AD1042" i="2"/>
  <c r="AC1042" i="2"/>
  <c r="AB1042" i="2"/>
  <c r="AA1042" i="2"/>
  <c r="Z1042" i="2"/>
  <c r="Y1042" i="2"/>
  <c r="X1042" i="2"/>
  <c r="W1042" i="2"/>
  <c r="V1042" i="2"/>
  <c r="U1042" i="2"/>
  <c r="T1042" i="2"/>
  <c r="A1046" i="3" s="1"/>
  <c r="AM1041" i="2"/>
  <c r="AL1041" i="2"/>
  <c r="AK1041" i="2"/>
  <c r="AJ1041" i="2"/>
  <c r="AI1041" i="2"/>
  <c r="AH1041" i="2"/>
  <c r="F1041" i="4" s="1"/>
  <c r="AG1041" i="2"/>
  <c r="AF1041" i="2"/>
  <c r="AE1041" i="2"/>
  <c r="AD1041" i="2"/>
  <c r="AC1041" i="2"/>
  <c r="AB1041" i="2"/>
  <c r="AA1041" i="2"/>
  <c r="Z1041" i="2"/>
  <c r="Y1041" i="2"/>
  <c r="X1041" i="2"/>
  <c r="W1041" i="2"/>
  <c r="V1041" i="2"/>
  <c r="U1041" i="2"/>
  <c r="T1041" i="2"/>
  <c r="A1045" i="3" s="1"/>
  <c r="AM1040" i="2"/>
  <c r="AL1040" i="2"/>
  <c r="AK1040" i="2"/>
  <c r="AJ1040" i="2"/>
  <c r="AI1040" i="2"/>
  <c r="AH1040" i="2"/>
  <c r="F1040" i="4" s="1"/>
  <c r="AG1040" i="2"/>
  <c r="AF1040" i="2"/>
  <c r="AE1040" i="2"/>
  <c r="AD1040" i="2"/>
  <c r="AC1040" i="2"/>
  <c r="AB1040" i="2"/>
  <c r="AA1040" i="2"/>
  <c r="Z1040" i="2"/>
  <c r="Y1040" i="2"/>
  <c r="X1040" i="2"/>
  <c r="W1040" i="2"/>
  <c r="V1040" i="2"/>
  <c r="U1040" i="2"/>
  <c r="T1040" i="2"/>
  <c r="A1044" i="3" s="1"/>
  <c r="AM1039" i="2"/>
  <c r="AL1039" i="2"/>
  <c r="AK1039" i="2"/>
  <c r="AJ1039" i="2"/>
  <c r="AI1039" i="2"/>
  <c r="AH1039" i="2"/>
  <c r="F1039" i="4" s="1"/>
  <c r="AG1039" i="2"/>
  <c r="AF1039" i="2"/>
  <c r="AE1039" i="2"/>
  <c r="AD1039" i="2"/>
  <c r="AC1039" i="2"/>
  <c r="AB1039" i="2"/>
  <c r="AA1039" i="2"/>
  <c r="Z1039" i="2"/>
  <c r="Y1039" i="2"/>
  <c r="X1039" i="2"/>
  <c r="W1039" i="2"/>
  <c r="V1039" i="2"/>
  <c r="U1039" i="2"/>
  <c r="T1039" i="2"/>
  <c r="A1043" i="3" s="1"/>
  <c r="AM1038" i="2"/>
  <c r="AL1038" i="2"/>
  <c r="AK1038" i="2"/>
  <c r="AJ1038" i="2"/>
  <c r="AI1038" i="2"/>
  <c r="AH1038" i="2"/>
  <c r="F1038" i="4" s="1"/>
  <c r="AG1038" i="2"/>
  <c r="AF1038" i="2"/>
  <c r="AE1038" i="2"/>
  <c r="AD1038" i="2"/>
  <c r="AC1038" i="2"/>
  <c r="AB1038" i="2"/>
  <c r="AA1038" i="2"/>
  <c r="Z1038" i="2"/>
  <c r="Y1038" i="2"/>
  <c r="X1038" i="2"/>
  <c r="W1038" i="2"/>
  <c r="V1038" i="2"/>
  <c r="U1038" i="2"/>
  <c r="T1038" i="2"/>
  <c r="A1042" i="3" s="1"/>
  <c r="AM1037" i="2"/>
  <c r="AL1037" i="2"/>
  <c r="AK1037" i="2"/>
  <c r="AJ1037" i="2"/>
  <c r="AI1037" i="2"/>
  <c r="AH1037" i="2"/>
  <c r="F1037" i="4" s="1"/>
  <c r="AG1037" i="2"/>
  <c r="AF1037" i="2"/>
  <c r="AE1037" i="2"/>
  <c r="AD1037" i="2"/>
  <c r="AC1037" i="2"/>
  <c r="AB1037" i="2"/>
  <c r="AA1037" i="2"/>
  <c r="Z1037" i="2"/>
  <c r="Y1037" i="2"/>
  <c r="X1037" i="2"/>
  <c r="W1037" i="2"/>
  <c r="V1037" i="2"/>
  <c r="U1037" i="2"/>
  <c r="T1037" i="2"/>
  <c r="A1041" i="3" s="1"/>
  <c r="AM1036" i="2"/>
  <c r="AL1036" i="2"/>
  <c r="AK1036" i="2"/>
  <c r="AJ1036" i="2"/>
  <c r="AI1036" i="2"/>
  <c r="AH1036" i="2"/>
  <c r="F1036" i="4" s="1"/>
  <c r="AG1036" i="2"/>
  <c r="AF1036" i="2"/>
  <c r="AE1036" i="2"/>
  <c r="AD1036" i="2"/>
  <c r="AC1036" i="2"/>
  <c r="AB1036" i="2"/>
  <c r="AA1036" i="2"/>
  <c r="Z1036" i="2"/>
  <c r="Y1036" i="2"/>
  <c r="X1036" i="2"/>
  <c r="W1036" i="2"/>
  <c r="V1036" i="2"/>
  <c r="U1036" i="2"/>
  <c r="T1036" i="2"/>
  <c r="A1040" i="3" s="1"/>
  <c r="AM1035" i="2"/>
  <c r="AL1035" i="2"/>
  <c r="AK1035" i="2"/>
  <c r="AJ1035" i="2"/>
  <c r="AI1035" i="2"/>
  <c r="AH1035" i="2"/>
  <c r="F1035" i="4" s="1"/>
  <c r="AG1035" i="2"/>
  <c r="AF1035" i="2"/>
  <c r="AE1035" i="2"/>
  <c r="AD1035" i="2"/>
  <c r="AC1035" i="2"/>
  <c r="AB1035" i="2"/>
  <c r="AA1035" i="2"/>
  <c r="Z1035" i="2"/>
  <c r="Y1035" i="2"/>
  <c r="X1035" i="2"/>
  <c r="W1035" i="2"/>
  <c r="V1035" i="2"/>
  <c r="U1035" i="2"/>
  <c r="T1035" i="2"/>
  <c r="A1039" i="3" s="1"/>
  <c r="AM1034" i="2"/>
  <c r="AL1034" i="2"/>
  <c r="AK1034" i="2"/>
  <c r="AJ1034" i="2"/>
  <c r="AI1034" i="2"/>
  <c r="AH1034" i="2"/>
  <c r="F1034" i="4" s="1"/>
  <c r="AG1034" i="2"/>
  <c r="AF1034" i="2"/>
  <c r="AE1034" i="2"/>
  <c r="AD1034" i="2"/>
  <c r="AC1034" i="2"/>
  <c r="AB1034" i="2"/>
  <c r="AA1034" i="2"/>
  <c r="Z1034" i="2"/>
  <c r="Y1034" i="2"/>
  <c r="X1034" i="2"/>
  <c r="W1034" i="2"/>
  <c r="V1034" i="2"/>
  <c r="U1034" i="2"/>
  <c r="T1034" i="2"/>
  <c r="A1038" i="3" s="1"/>
  <c r="AM1033" i="2"/>
  <c r="AL1033" i="2"/>
  <c r="AK1033" i="2"/>
  <c r="AJ1033" i="2"/>
  <c r="AI1033" i="2"/>
  <c r="AH1033" i="2"/>
  <c r="F1033" i="4" s="1"/>
  <c r="AG1033" i="2"/>
  <c r="AF1033" i="2"/>
  <c r="AE1033" i="2"/>
  <c r="AD1033" i="2"/>
  <c r="AC1033" i="2"/>
  <c r="AB1033" i="2"/>
  <c r="AA1033" i="2"/>
  <c r="Z1033" i="2"/>
  <c r="Y1033" i="2"/>
  <c r="X1033" i="2"/>
  <c r="W1033" i="2"/>
  <c r="V1033" i="2"/>
  <c r="U1033" i="2"/>
  <c r="T1033" i="2"/>
  <c r="A1037" i="3" s="1"/>
  <c r="AM1032" i="2"/>
  <c r="AL1032" i="2"/>
  <c r="AK1032" i="2"/>
  <c r="AJ1032" i="2"/>
  <c r="AI1032" i="2"/>
  <c r="AH1032" i="2"/>
  <c r="F1032" i="4" s="1"/>
  <c r="AG1032" i="2"/>
  <c r="AF1032" i="2"/>
  <c r="AE1032" i="2"/>
  <c r="AD1032" i="2"/>
  <c r="AC1032" i="2"/>
  <c r="AB1032" i="2"/>
  <c r="AA1032" i="2"/>
  <c r="Z1032" i="2"/>
  <c r="Y1032" i="2"/>
  <c r="X1032" i="2"/>
  <c r="W1032" i="2"/>
  <c r="V1032" i="2"/>
  <c r="U1032" i="2"/>
  <c r="T1032" i="2"/>
  <c r="A1036" i="3" s="1"/>
  <c r="AM1031" i="2"/>
  <c r="AL1031" i="2"/>
  <c r="AK1031" i="2"/>
  <c r="AJ1031" i="2"/>
  <c r="AI1031" i="2"/>
  <c r="AH1031" i="2"/>
  <c r="F1031" i="4" s="1"/>
  <c r="AG1031" i="2"/>
  <c r="AF1031" i="2"/>
  <c r="AE1031" i="2"/>
  <c r="AD1031" i="2"/>
  <c r="AC1031" i="2"/>
  <c r="AB1031" i="2"/>
  <c r="AA1031" i="2"/>
  <c r="Z1031" i="2"/>
  <c r="Y1031" i="2"/>
  <c r="X1031" i="2"/>
  <c r="W1031" i="2"/>
  <c r="V1031" i="2"/>
  <c r="U1031" i="2"/>
  <c r="T1031" i="2"/>
  <c r="A1035" i="3" s="1"/>
  <c r="AM1030" i="2"/>
  <c r="AL1030" i="2"/>
  <c r="AK1030" i="2"/>
  <c r="AJ1030" i="2"/>
  <c r="AI1030" i="2"/>
  <c r="AH1030" i="2"/>
  <c r="F1030" i="4" s="1"/>
  <c r="AG1030" i="2"/>
  <c r="AF1030" i="2"/>
  <c r="AE1030" i="2"/>
  <c r="AD1030" i="2"/>
  <c r="AC1030" i="2"/>
  <c r="AB1030" i="2"/>
  <c r="AA1030" i="2"/>
  <c r="Z1030" i="2"/>
  <c r="Y1030" i="2"/>
  <c r="X1030" i="2"/>
  <c r="W1030" i="2"/>
  <c r="V1030" i="2"/>
  <c r="U1030" i="2"/>
  <c r="T1030" i="2"/>
  <c r="A1034" i="3" s="1"/>
  <c r="AM1029" i="2"/>
  <c r="AL1029" i="2"/>
  <c r="AK1029" i="2"/>
  <c r="AJ1029" i="2"/>
  <c r="AI1029" i="2"/>
  <c r="AH1029" i="2"/>
  <c r="F1029" i="4" s="1"/>
  <c r="AG1029" i="2"/>
  <c r="AF1029" i="2"/>
  <c r="AE1029" i="2"/>
  <c r="AD1029" i="2"/>
  <c r="AC1029" i="2"/>
  <c r="AB1029" i="2"/>
  <c r="AA1029" i="2"/>
  <c r="Z1029" i="2"/>
  <c r="Y1029" i="2"/>
  <c r="X1029" i="2"/>
  <c r="W1029" i="2"/>
  <c r="V1029" i="2"/>
  <c r="U1029" i="2"/>
  <c r="T1029" i="2"/>
  <c r="A1033" i="3" s="1"/>
  <c r="AM1028" i="2"/>
  <c r="AL1028" i="2"/>
  <c r="AK1028" i="2"/>
  <c r="AJ1028" i="2"/>
  <c r="AI1028" i="2"/>
  <c r="AH1028" i="2"/>
  <c r="F1028" i="4" s="1"/>
  <c r="AG1028" i="2"/>
  <c r="AF1028" i="2"/>
  <c r="AE1028" i="2"/>
  <c r="AD1028" i="2"/>
  <c r="AC1028" i="2"/>
  <c r="AB1028" i="2"/>
  <c r="AA1028" i="2"/>
  <c r="Z1028" i="2"/>
  <c r="Y1028" i="2"/>
  <c r="X1028" i="2"/>
  <c r="W1028" i="2"/>
  <c r="V1028" i="2"/>
  <c r="U1028" i="2"/>
  <c r="T1028" i="2"/>
  <c r="A1032" i="3" s="1"/>
  <c r="AM1027" i="2"/>
  <c r="AL1027" i="2"/>
  <c r="AK1027" i="2"/>
  <c r="AJ1027" i="2"/>
  <c r="AI1027" i="2"/>
  <c r="AH1027" i="2"/>
  <c r="F1027" i="4" s="1"/>
  <c r="AG1027" i="2"/>
  <c r="AF1027" i="2"/>
  <c r="AE1027" i="2"/>
  <c r="AD1027" i="2"/>
  <c r="AC1027" i="2"/>
  <c r="AB1027" i="2"/>
  <c r="AA1027" i="2"/>
  <c r="Z1027" i="2"/>
  <c r="Y1027" i="2"/>
  <c r="X1027" i="2"/>
  <c r="W1027" i="2"/>
  <c r="V1027" i="2"/>
  <c r="U1027" i="2"/>
  <c r="T1027" i="2"/>
  <c r="A1031" i="3" s="1"/>
  <c r="AM1026" i="2"/>
  <c r="AL1026" i="2"/>
  <c r="AK1026" i="2"/>
  <c r="AJ1026" i="2"/>
  <c r="AI1026" i="2"/>
  <c r="AH1026" i="2"/>
  <c r="F1026" i="4" s="1"/>
  <c r="AG1026" i="2"/>
  <c r="AF1026" i="2"/>
  <c r="AE1026" i="2"/>
  <c r="AD1026" i="2"/>
  <c r="AC1026" i="2"/>
  <c r="AB1026" i="2"/>
  <c r="AA1026" i="2"/>
  <c r="Z1026" i="2"/>
  <c r="Y1026" i="2"/>
  <c r="X1026" i="2"/>
  <c r="W1026" i="2"/>
  <c r="V1026" i="2"/>
  <c r="U1026" i="2"/>
  <c r="T1026" i="2"/>
  <c r="A1030" i="3" s="1"/>
  <c r="AM1025" i="2"/>
  <c r="AL1025" i="2"/>
  <c r="AK1025" i="2"/>
  <c r="AJ1025" i="2"/>
  <c r="AI1025" i="2"/>
  <c r="AH1025" i="2"/>
  <c r="F1025" i="4" s="1"/>
  <c r="AG1025" i="2"/>
  <c r="AF1025" i="2"/>
  <c r="AE1025" i="2"/>
  <c r="AD1025" i="2"/>
  <c r="AC1025" i="2"/>
  <c r="AB1025" i="2"/>
  <c r="AA1025" i="2"/>
  <c r="Z1025" i="2"/>
  <c r="Y1025" i="2"/>
  <c r="X1025" i="2"/>
  <c r="W1025" i="2"/>
  <c r="V1025" i="2"/>
  <c r="U1025" i="2"/>
  <c r="T1025" i="2"/>
  <c r="A1029" i="3" s="1"/>
  <c r="AM1024" i="2"/>
  <c r="AL1024" i="2"/>
  <c r="AK1024" i="2"/>
  <c r="AJ1024" i="2"/>
  <c r="AI1024" i="2"/>
  <c r="AH1024" i="2"/>
  <c r="F1024" i="4" s="1"/>
  <c r="AG1024" i="2"/>
  <c r="AF1024" i="2"/>
  <c r="AE1024" i="2"/>
  <c r="AD1024" i="2"/>
  <c r="AC1024" i="2"/>
  <c r="AB1024" i="2"/>
  <c r="AA1024" i="2"/>
  <c r="Z1024" i="2"/>
  <c r="Y1024" i="2"/>
  <c r="X1024" i="2"/>
  <c r="W1024" i="2"/>
  <c r="V1024" i="2"/>
  <c r="U1024" i="2"/>
  <c r="T1024" i="2"/>
  <c r="A1028" i="3" s="1"/>
  <c r="AM1023" i="2"/>
  <c r="AL1023" i="2"/>
  <c r="AK1023" i="2"/>
  <c r="AJ1023" i="2"/>
  <c r="AI1023" i="2"/>
  <c r="AH1023" i="2"/>
  <c r="F1023" i="4" s="1"/>
  <c r="AG1023" i="2"/>
  <c r="AF1023" i="2"/>
  <c r="AE1023" i="2"/>
  <c r="AD1023" i="2"/>
  <c r="AC1023" i="2"/>
  <c r="AB1023" i="2"/>
  <c r="AA1023" i="2"/>
  <c r="Z1023" i="2"/>
  <c r="Y1023" i="2"/>
  <c r="X1023" i="2"/>
  <c r="W1023" i="2"/>
  <c r="V1023" i="2"/>
  <c r="U1023" i="2"/>
  <c r="T1023" i="2"/>
  <c r="A1027" i="3" s="1"/>
  <c r="AM1022" i="2"/>
  <c r="AL1022" i="2"/>
  <c r="AK1022" i="2"/>
  <c r="AJ1022" i="2"/>
  <c r="AI1022" i="2"/>
  <c r="AH1022" i="2"/>
  <c r="F1022" i="4" s="1"/>
  <c r="AG1022" i="2"/>
  <c r="AF1022" i="2"/>
  <c r="AE1022" i="2"/>
  <c r="AD1022" i="2"/>
  <c r="AC1022" i="2"/>
  <c r="AB1022" i="2"/>
  <c r="AA1022" i="2"/>
  <c r="Z1022" i="2"/>
  <c r="Y1022" i="2"/>
  <c r="X1022" i="2"/>
  <c r="W1022" i="2"/>
  <c r="V1022" i="2"/>
  <c r="U1022" i="2"/>
  <c r="T1022" i="2"/>
  <c r="A1026" i="3" s="1"/>
  <c r="AM1021" i="2"/>
  <c r="AL1021" i="2"/>
  <c r="AK1021" i="2"/>
  <c r="AJ1021" i="2"/>
  <c r="AI1021" i="2"/>
  <c r="AH1021" i="2"/>
  <c r="F1021" i="4" s="1"/>
  <c r="AG1021" i="2"/>
  <c r="AF1021" i="2"/>
  <c r="AE1021" i="2"/>
  <c r="AD1021" i="2"/>
  <c r="AC1021" i="2"/>
  <c r="AB1021" i="2"/>
  <c r="AA1021" i="2"/>
  <c r="Z1021" i="2"/>
  <c r="Y1021" i="2"/>
  <c r="X1021" i="2"/>
  <c r="W1021" i="2"/>
  <c r="V1021" i="2"/>
  <c r="U1021" i="2"/>
  <c r="T1021" i="2"/>
  <c r="A1025" i="3" s="1"/>
  <c r="AM1020" i="2"/>
  <c r="AL1020" i="2"/>
  <c r="AK1020" i="2"/>
  <c r="AJ1020" i="2"/>
  <c r="AI1020" i="2"/>
  <c r="AH1020" i="2"/>
  <c r="F1020" i="4" s="1"/>
  <c r="AG1020" i="2"/>
  <c r="AF1020" i="2"/>
  <c r="AE1020" i="2"/>
  <c r="AD1020" i="2"/>
  <c r="AC1020" i="2"/>
  <c r="AB1020" i="2"/>
  <c r="AA1020" i="2"/>
  <c r="Z1020" i="2"/>
  <c r="Y1020" i="2"/>
  <c r="X1020" i="2"/>
  <c r="W1020" i="2"/>
  <c r="V1020" i="2"/>
  <c r="U1020" i="2"/>
  <c r="T1020" i="2"/>
  <c r="A1024" i="3" s="1"/>
  <c r="AM1019" i="2"/>
  <c r="AL1019" i="2"/>
  <c r="AK1019" i="2"/>
  <c r="AJ1019" i="2"/>
  <c r="AI1019" i="2"/>
  <c r="AH1019" i="2"/>
  <c r="F1019" i="4" s="1"/>
  <c r="AG1019" i="2"/>
  <c r="AF1019" i="2"/>
  <c r="AE1019" i="2"/>
  <c r="AD1019" i="2"/>
  <c r="AC1019" i="2"/>
  <c r="AB1019" i="2"/>
  <c r="AA1019" i="2"/>
  <c r="Z1019" i="2"/>
  <c r="Y1019" i="2"/>
  <c r="X1019" i="2"/>
  <c r="W1019" i="2"/>
  <c r="V1019" i="2"/>
  <c r="U1019" i="2"/>
  <c r="T1019" i="2"/>
  <c r="A1023" i="3" s="1"/>
  <c r="AM1018" i="2"/>
  <c r="AL1018" i="2"/>
  <c r="AK1018" i="2"/>
  <c r="AJ1018" i="2"/>
  <c r="AI1018" i="2"/>
  <c r="AH1018" i="2"/>
  <c r="F1018" i="4" s="1"/>
  <c r="AG1018" i="2"/>
  <c r="AF1018" i="2"/>
  <c r="AE1018" i="2"/>
  <c r="AD1018" i="2"/>
  <c r="AC1018" i="2"/>
  <c r="AB1018" i="2"/>
  <c r="AA1018" i="2"/>
  <c r="Z1018" i="2"/>
  <c r="Y1018" i="2"/>
  <c r="X1018" i="2"/>
  <c r="W1018" i="2"/>
  <c r="V1018" i="2"/>
  <c r="U1018" i="2"/>
  <c r="T1018" i="2"/>
  <c r="A1022" i="3" s="1"/>
  <c r="AM1017" i="2"/>
  <c r="AL1017" i="2"/>
  <c r="AK1017" i="2"/>
  <c r="AJ1017" i="2"/>
  <c r="AI1017" i="2"/>
  <c r="AH1017" i="2"/>
  <c r="F1017" i="4" s="1"/>
  <c r="AG1017" i="2"/>
  <c r="AF1017" i="2"/>
  <c r="AE1017" i="2"/>
  <c r="AD1017" i="2"/>
  <c r="AC1017" i="2"/>
  <c r="AB1017" i="2"/>
  <c r="AA1017" i="2"/>
  <c r="Z1017" i="2"/>
  <c r="Y1017" i="2"/>
  <c r="X1017" i="2"/>
  <c r="W1017" i="2"/>
  <c r="V1017" i="2"/>
  <c r="U1017" i="2"/>
  <c r="T1017" i="2"/>
  <c r="A1021" i="3" s="1"/>
  <c r="AM1016" i="2"/>
  <c r="AL1016" i="2"/>
  <c r="AK1016" i="2"/>
  <c r="AJ1016" i="2"/>
  <c r="AI1016" i="2"/>
  <c r="AH1016" i="2"/>
  <c r="F1016" i="4" s="1"/>
  <c r="AG1016" i="2"/>
  <c r="AF1016" i="2"/>
  <c r="AE1016" i="2"/>
  <c r="AD1016" i="2"/>
  <c r="AC1016" i="2"/>
  <c r="AB1016" i="2"/>
  <c r="AA1016" i="2"/>
  <c r="Z1016" i="2"/>
  <c r="Y1016" i="2"/>
  <c r="X1016" i="2"/>
  <c r="W1016" i="2"/>
  <c r="V1016" i="2"/>
  <c r="U1016" i="2"/>
  <c r="T1016" i="2"/>
  <c r="A1020" i="3" s="1"/>
  <c r="AM1015" i="2"/>
  <c r="AL1015" i="2"/>
  <c r="AK1015" i="2"/>
  <c r="AJ1015" i="2"/>
  <c r="AI1015" i="2"/>
  <c r="AH1015" i="2"/>
  <c r="F1015" i="4" s="1"/>
  <c r="AG1015" i="2"/>
  <c r="AF1015" i="2"/>
  <c r="AE1015" i="2"/>
  <c r="AD1015" i="2"/>
  <c r="AC1015" i="2"/>
  <c r="AB1015" i="2"/>
  <c r="AA1015" i="2"/>
  <c r="Z1015" i="2"/>
  <c r="Y1015" i="2"/>
  <c r="X1015" i="2"/>
  <c r="W1015" i="2"/>
  <c r="V1015" i="2"/>
  <c r="U1015" i="2"/>
  <c r="T1015" i="2"/>
  <c r="A1019" i="3" s="1"/>
  <c r="AM1014" i="2"/>
  <c r="AL1014" i="2"/>
  <c r="AK1014" i="2"/>
  <c r="AJ1014" i="2"/>
  <c r="AI1014" i="2"/>
  <c r="AH1014" i="2"/>
  <c r="F1014" i="4" s="1"/>
  <c r="AG1014" i="2"/>
  <c r="AF1014" i="2"/>
  <c r="AE1014" i="2"/>
  <c r="AD1014" i="2"/>
  <c r="AC1014" i="2"/>
  <c r="AB1014" i="2"/>
  <c r="AA1014" i="2"/>
  <c r="Z1014" i="2"/>
  <c r="Y1014" i="2"/>
  <c r="X1014" i="2"/>
  <c r="W1014" i="2"/>
  <c r="V1014" i="2"/>
  <c r="U1014" i="2"/>
  <c r="T1014" i="2"/>
  <c r="A1018" i="3" s="1"/>
  <c r="AM1013" i="2"/>
  <c r="AL1013" i="2"/>
  <c r="AK1013" i="2"/>
  <c r="AJ1013" i="2"/>
  <c r="AI1013" i="2"/>
  <c r="AH1013" i="2"/>
  <c r="F1013" i="4" s="1"/>
  <c r="AG1013" i="2"/>
  <c r="AF1013" i="2"/>
  <c r="AE1013" i="2"/>
  <c r="AD1013" i="2"/>
  <c r="AC1013" i="2"/>
  <c r="AB1013" i="2"/>
  <c r="AA1013" i="2"/>
  <c r="Z1013" i="2"/>
  <c r="Y1013" i="2"/>
  <c r="X1013" i="2"/>
  <c r="W1013" i="2"/>
  <c r="V1013" i="2"/>
  <c r="U1013" i="2"/>
  <c r="T1013" i="2"/>
  <c r="A1017" i="3" s="1"/>
  <c r="AM1012" i="2"/>
  <c r="AL1012" i="2"/>
  <c r="AK1012" i="2"/>
  <c r="AJ1012" i="2"/>
  <c r="AI1012" i="2"/>
  <c r="AH1012" i="2"/>
  <c r="F1012" i="4" s="1"/>
  <c r="AG1012" i="2"/>
  <c r="AF1012" i="2"/>
  <c r="AE1012" i="2"/>
  <c r="AD1012" i="2"/>
  <c r="AC1012" i="2"/>
  <c r="AB1012" i="2"/>
  <c r="AA1012" i="2"/>
  <c r="Z1012" i="2"/>
  <c r="Y1012" i="2"/>
  <c r="X1012" i="2"/>
  <c r="W1012" i="2"/>
  <c r="V1012" i="2"/>
  <c r="U1012" i="2"/>
  <c r="T1012" i="2"/>
  <c r="A1016" i="3" s="1"/>
  <c r="AM1011" i="2"/>
  <c r="AL1011" i="2"/>
  <c r="AK1011" i="2"/>
  <c r="AJ1011" i="2"/>
  <c r="AI1011" i="2"/>
  <c r="AH1011" i="2"/>
  <c r="F1011" i="4" s="1"/>
  <c r="AG1011" i="2"/>
  <c r="AF1011" i="2"/>
  <c r="AE1011" i="2"/>
  <c r="AD1011" i="2"/>
  <c r="AC1011" i="2"/>
  <c r="AB1011" i="2"/>
  <c r="AA1011" i="2"/>
  <c r="Z1011" i="2"/>
  <c r="Y1011" i="2"/>
  <c r="X1011" i="2"/>
  <c r="W1011" i="2"/>
  <c r="V1011" i="2"/>
  <c r="U1011" i="2"/>
  <c r="T1011" i="2"/>
  <c r="A1015" i="3" s="1"/>
  <c r="AM1010" i="2"/>
  <c r="AL1010" i="2"/>
  <c r="AK1010" i="2"/>
  <c r="AJ1010" i="2"/>
  <c r="AI1010" i="2"/>
  <c r="AH1010" i="2"/>
  <c r="F1010" i="4" s="1"/>
  <c r="AG1010" i="2"/>
  <c r="AF1010" i="2"/>
  <c r="AE1010" i="2"/>
  <c r="AD1010" i="2"/>
  <c r="AC1010" i="2"/>
  <c r="AB1010" i="2"/>
  <c r="AA1010" i="2"/>
  <c r="Z1010" i="2"/>
  <c r="Y1010" i="2"/>
  <c r="X1010" i="2"/>
  <c r="W1010" i="2"/>
  <c r="V1010" i="2"/>
  <c r="U1010" i="2"/>
  <c r="T1010" i="2"/>
  <c r="A1014" i="3" s="1"/>
  <c r="AM1009" i="2"/>
  <c r="AL1009" i="2"/>
  <c r="AK1009" i="2"/>
  <c r="AJ1009" i="2"/>
  <c r="AI1009" i="2"/>
  <c r="AH1009" i="2"/>
  <c r="F1009" i="4" s="1"/>
  <c r="AG1009" i="2"/>
  <c r="AF1009" i="2"/>
  <c r="AE1009" i="2"/>
  <c r="AD1009" i="2"/>
  <c r="AC1009" i="2"/>
  <c r="AB1009" i="2"/>
  <c r="AA1009" i="2"/>
  <c r="Z1009" i="2"/>
  <c r="Y1009" i="2"/>
  <c r="X1009" i="2"/>
  <c r="W1009" i="2"/>
  <c r="V1009" i="2"/>
  <c r="U1009" i="2"/>
  <c r="T1009" i="2"/>
  <c r="A1013" i="3" s="1"/>
  <c r="AM1008" i="2"/>
  <c r="AL1008" i="2"/>
  <c r="AK1008" i="2"/>
  <c r="AJ1008" i="2"/>
  <c r="AI1008" i="2"/>
  <c r="AH1008" i="2"/>
  <c r="F1008" i="4" s="1"/>
  <c r="AG1008" i="2"/>
  <c r="AF1008" i="2"/>
  <c r="AE1008" i="2"/>
  <c r="AD1008" i="2"/>
  <c r="AC1008" i="2"/>
  <c r="AB1008" i="2"/>
  <c r="AA1008" i="2"/>
  <c r="Z1008" i="2"/>
  <c r="Y1008" i="2"/>
  <c r="X1008" i="2"/>
  <c r="W1008" i="2"/>
  <c r="V1008" i="2"/>
  <c r="U1008" i="2"/>
  <c r="T1008" i="2"/>
  <c r="A1012" i="3" s="1"/>
  <c r="AM1007" i="2"/>
  <c r="AL1007" i="2"/>
  <c r="AK1007" i="2"/>
  <c r="AJ1007" i="2"/>
  <c r="AI1007" i="2"/>
  <c r="AH1007" i="2"/>
  <c r="F1007" i="4" s="1"/>
  <c r="AG1007" i="2"/>
  <c r="AF1007" i="2"/>
  <c r="AE1007" i="2"/>
  <c r="AD1007" i="2"/>
  <c r="AC1007" i="2"/>
  <c r="AB1007" i="2"/>
  <c r="AA1007" i="2"/>
  <c r="Z1007" i="2"/>
  <c r="Y1007" i="2"/>
  <c r="X1007" i="2"/>
  <c r="W1007" i="2"/>
  <c r="V1007" i="2"/>
  <c r="U1007" i="2"/>
  <c r="T1007" i="2"/>
  <c r="A1011" i="3" s="1"/>
  <c r="AM1006" i="2"/>
  <c r="AL1006" i="2"/>
  <c r="AK1006" i="2"/>
  <c r="AJ1006" i="2"/>
  <c r="AI1006" i="2"/>
  <c r="AH1006" i="2"/>
  <c r="F1006" i="4" s="1"/>
  <c r="AG1006" i="2"/>
  <c r="AF1006" i="2"/>
  <c r="AE1006" i="2"/>
  <c r="AD1006" i="2"/>
  <c r="AC1006" i="2"/>
  <c r="AB1006" i="2"/>
  <c r="AA1006" i="2"/>
  <c r="Z1006" i="2"/>
  <c r="Y1006" i="2"/>
  <c r="X1006" i="2"/>
  <c r="W1006" i="2"/>
  <c r="V1006" i="2"/>
  <c r="U1006" i="2"/>
  <c r="T1006" i="2"/>
  <c r="A1010" i="3" s="1"/>
  <c r="AM1005" i="2"/>
  <c r="AL1005" i="2"/>
  <c r="AK1005" i="2"/>
  <c r="AJ1005" i="2"/>
  <c r="AI1005" i="2"/>
  <c r="AH1005" i="2"/>
  <c r="F1005" i="4" s="1"/>
  <c r="AG1005" i="2"/>
  <c r="AF1005" i="2"/>
  <c r="AE1005" i="2"/>
  <c r="AD1005" i="2"/>
  <c r="AC1005" i="2"/>
  <c r="AB1005" i="2"/>
  <c r="AA1005" i="2"/>
  <c r="Z1005" i="2"/>
  <c r="Y1005" i="2"/>
  <c r="X1005" i="2"/>
  <c r="W1005" i="2"/>
  <c r="V1005" i="2"/>
  <c r="U1005" i="2"/>
  <c r="T1005" i="2"/>
  <c r="A1009" i="3" s="1"/>
  <c r="AM1004" i="2"/>
  <c r="AL1004" i="2"/>
  <c r="AK1004" i="2"/>
  <c r="AJ1004" i="2"/>
  <c r="AI1004" i="2"/>
  <c r="AH1004" i="2"/>
  <c r="F1004" i="4" s="1"/>
  <c r="AG1004" i="2"/>
  <c r="AF1004" i="2"/>
  <c r="AE1004" i="2"/>
  <c r="AD1004" i="2"/>
  <c r="AC1004" i="2"/>
  <c r="AB1004" i="2"/>
  <c r="AA1004" i="2"/>
  <c r="Z1004" i="2"/>
  <c r="Y1004" i="2"/>
  <c r="X1004" i="2"/>
  <c r="W1004" i="2"/>
  <c r="V1004" i="2"/>
  <c r="U1004" i="2"/>
  <c r="T1004" i="2"/>
  <c r="A1008" i="3" s="1"/>
  <c r="AM1003" i="2"/>
  <c r="AL1003" i="2"/>
  <c r="AK1003" i="2"/>
  <c r="AJ1003" i="2"/>
  <c r="AI1003" i="2"/>
  <c r="AH1003" i="2"/>
  <c r="F1003" i="4" s="1"/>
  <c r="AG1003" i="2"/>
  <c r="AF1003" i="2"/>
  <c r="AE1003" i="2"/>
  <c r="AD1003" i="2"/>
  <c r="AC1003" i="2"/>
  <c r="AB1003" i="2"/>
  <c r="AA1003" i="2"/>
  <c r="Z1003" i="2"/>
  <c r="Y1003" i="2"/>
  <c r="X1003" i="2"/>
  <c r="W1003" i="2"/>
  <c r="V1003" i="2"/>
  <c r="U1003" i="2"/>
  <c r="T1003" i="2"/>
  <c r="A1007" i="3" s="1"/>
  <c r="AM1002" i="2"/>
  <c r="AL1002" i="2"/>
  <c r="AK1002" i="2"/>
  <c r="AJ1002" i="2"/>
  <c r="AI1002" i="2"/>
  <c r="AH1002" i="2"/>
  <c r="F1002" i="4" s="1"/>
  <c r="AG1002" i="2"/>
  <c r="AF1002" i="2"/>
  <c r="AE1002" i="2"/>
  <c r="AD1002" i="2"/>
  <c r="AC1002" i="2"/>
  <c r="AB1002" i="2"/>
  <c r="AA1002" i="2"/>
  <c r="Z1002" i="2"/>
  <c r="Y1002" i="2"/>
  <c r="X1002" i="2"/>
  <c r="W1002" i="2"/>
  <c r="V1002" i="2"/>
  <c r="U1002" i="2"/>
  <c r="T1002" i="2"/>
  <c r="A1006" i="3" s="1"/>
  <c r="AM1001" i="2"/>
  <c r="AL1001" i="2"/>
  <c r="AK1001" i="2"/>
  <c r="AJ1001" i="2"/>
  <c r="AI1001" i="2"/>
  <c r="AH1001" i="2"/>
  <c r="F1001" i="4" s="1"/>
  <c r="AG1001" i="2"/>
  <c r="AF1001" i="2"/>
  <c r="AE1001" i="2"/>
  <c r="AD1001" i="2"/>
  <c r="AC1001" i="2"/>
  <c r="AB1001" i="2"/>
  <c r="AA1001" i="2"/>
  <c r="Z1001" i="2"/>
  <c r="Y1001" i="2"/>
  <c r="X1001" i="2"/>
  <c r="W1001" i="2"/>
  <c r="V1001" i="2"/>
  <c r="U1001" i="2"/>
  <c r="T1001" i="2"/>
  <c r="A1005" i="3" s="1"/>
  <c r="AM1000" i="2"/>
  <c r="AL1000" i="2"/>
  <c r="AK1000" i="2"/>
  <c r="AJ1000" i="2"/>
  <c r="AI1000" i="2"/>
  <c r="AH1000" i="2"/>
  <c r="F1000" i="4" s="1"/>
  <c r="AG1000" i="2"/>
  <c r="AF1000" i="2"/>
  <c r="AE1000" i="2"/>
  <c r="AD1000" i="2"/>
  <c r="AC1000" i="2"/>
  <c r="AB1000" i="2"/>
  <c r="AA1000" i="2"/>
  <c r="Z1000" i="2"/>
  <c r="Y1000" i="2"/>
  <c r="X1000" i="2"/>
  <c r="W1000" i="2"/>
  <c r="V1000" i="2"/>
  <c r="U1000" i="2"/>
  <c r="T1000" i="2"/>
  <c r="A1004" i="3" s="1"/>
  <c r="AM999" i="2"/>
  <c r="AL999" i="2"/>
  <c r="AK999" i="2"/>
  <c r="AJ999" i="2"/>
  <c r="AI999" i="2"/>
  <c r="AH999" i="2"/>
  <c r="F999" i="4" s="1"/>
  <c r="AG999" i="2"/>
  <c r="AF999" i="2"/>
  <c r="AE999" i="2"/>
  <c r="AD999" i="2"/>
  <c r="AC999" i="2"/>
  <c r="AB999" i="2"/>
  <c r="AA999" i="2"/>
  <c r="Z999" i="2"/>
  <c r="Y999" i="2"/>
  <c r="X999" i="2"/>
  <c r="W999" i="2"/>
  <c r="V999" i="2"/>
  <c r="U999" i="2"/>
  <c r="T999" i="2"/>
  <c r="A1003" i="3" s="1"/>
  <c r="AM998" i="2"/>
  <c r="AL998" i="2"/>
  <c r="AK998" i="2"/>
  <c r="AJ998" i="2"/>
  <c r="AI998" i="2"/>
  <c r="AH998" i="2"/>
  <c r="F998" i="4" s="1"/>
  <c r="AG998" i="2"/>
  <c r="AF998" i="2"/>
  <c r="AE998" i="2"/>
  <c r="AD998" i="2"/>
  <c r="AC998" i="2"/>
  <c r="AB998" i="2"/>
  <c r="AA998" i="2"/>
  <c r="Z998" i="2"/>
  <c r="Y998" i="2"/>
  <c r="X998" i="2"/>
  <c r="W998" i="2"/>
  <c r="V998" i="2"/>
  <c r="U998" i="2"/>
  <c r="T998" i="2"/>
  <c r="A1002" i="3" s="1"/>
  <c r="AM997" i="2"/>
  <c r="AL997" i="2"/>
  <c r="AK997" i="2"/>
  <c r="AJ997" i="2"/>
  <c r="AI997" i="2"/>
  <c r="AH997" i="2"/>
  <c r="F997" i="4" s="1"/>
  <c r="AG997" i="2"/>
  <c r="AF997" i="2"/>
  <c r="AE997" i="2"/>
  <c r="AD997" i="2"/>
  <c r="AC997" i="2"/>
  <c r="AB997" i="2"/>
  <c r="AA997" i="2"/>
  <c r="Z997" i="2"/>
  <c r="Y997" i="2"/>
  <c r="X997" i="2"/>
  <c r="W997" i="2"/>
  <c r="V997" i="2"/>
  <c r="U997" i="2"/>
  <c r="T997" i="2"/>
  <c r="A1001" i="3" s="1"/>
  <c r="AM996" i="2"/>
  <c r="AL996" i="2"/>
  <c r="AK996" i="2"/>
  <c r="AJ996" i="2"/>
  <c r="AI996" i="2"/>
  <c r="AH996" i="2"/>
  <c r="F996" i="4" s="1"/>
  <c r="AG996" i="2"/>
  <c r="AF996" i="2"/>
  <c r="AE996" i="2"/>
  <c r="AD996" i="2"/>
  <c r="AC996" i="2"/>
  <c r="AB996" i="2"/>
  <c r="AA996" i="2"/>
  <c r="Z996" i="2"/>
  <c r="Y996" i="2"/>
  <c r="X996" i="2"/>
  <c r="W996" i="2"/>
  <c r="V996" i="2"/>
  <c r="U996" i="2"/>
  <c r="T996" i="2"/>
  <c r="A1000" i="3" s="1"/>
  <c r="AM995" i="2"/>
  <c r="AL995" i="2"/>
  <c r="AK995" i="2"/>
  <c r="AJ995" i="2"/>
  <c r="AI995" i="2"/>
  <c r="AH995" i="2"/>
  <c r="F995" i="4" s="1"/>
  <c r="AG995" i="2"/>
  <c r="AF995" i="2"/>
  <c r="AE995" i="2"/>
  <c r="AD995" i="2"/>
  <c r="AC995" i="2"/>
  <c r="AB995" i="2"/>
  <c r="AA995" i="2"/>
  <c r="Z995" i="2"/>
  <c r="Y995" i="2"/>
  <c r="X995" i="2"/>
  <c r="W995" i="2"/>
  <c r="V995" i="2"/>
  <c r="U995" i="2"/>
  <c r="T995" i="2"/>
  <c r="A999" i="3" s="1"/>
  <c r="AM994" i="2"/>
  <c r="AL994" i="2"/>
  <c r="AK994" i="2"/>
  <c r="AJ994" i="2"/>
  <c r="AI994" i="2"/>
  <c r="AH994" i="2"/>
  <c r="F994" i="4" s="1"/>
  <c r="AG994" i="2"/>
  <c r="AF994" i="2"/>
  <c r="AE994" i="2"/>
  <c r="AD994" i="2"/>
  <c r="AC994" i="2"/>
  <c r="AB994" i="2"/>
  <c r="AA994" i="2"/>
  <c r="Z994" i="2"/>
  <c r="Y994" i="2"/>
  <c r="X994" i="2"/>
  <c r="W994" i="2"/>
  <c r="V994" i="2"/>
  <c r="U994" i="2"/>
  <c r="T994" i="2"/>
  <c r="A998" i="3" s="1"/>
  <c r="AM993" i="2"/>
  <c r="AL993" i="2"/>
  <c r="AK993" i="2"/>
  <c r="AJ993" i="2"/>
  <c r="AI993" i="2"/>
  <c r="AH993" i="2"/>
  <c r="F993" i="4" s="1"/>
  <c r="AG993" i="2"/>
  <c r="AF993" i="2"/>
  <c r="AE993" i="2"/>
  <c r="AD993" i="2"/>
  <c r="AC993" i="2"/>
  <c r="AB993" i="2"/>
  <c r="AA993" i="2"/>
  <c r="Z993" i="2"/>
  <c r="Y993" i="2"/>
  <c r="X993" i="2"/>
  <c r="W993" i="2"/>
  <c r="V993" i="2"/>
  <c r="U993" i="2"/>
  <c r="T993" i="2"/>
  <c r="A997" i="3" s="1"/>
  <c r="AM992" i="2"/>
  <c r="AL992" i="2"/>
  <c r="AK992" i="2"/>
  <c r="AJ992" i="2"/>
  <c r="AI992" i="2"/>
  <c r="AH992" i="2"/>
  <c r="F992" i="4" s="1"/>
  <c r="AG992" i="2"/>
  <c r="AF992" i="2"/>
  <c r="AE992" i="2"/>
  <c r="AD992" i="2"/>
  <c r="AC992" i="2"/>
  <c r="AB992" i="2"/>
  <c r="AA992" i="2"/>
  <c r="Z992" i="2"/>
  <c r="Y992" i="2"/>
  <c r="X992" i="2"/>
  <c r="W992" i="2"/>
  <c r="V992" i="2"/>
  <c r="U992" i="2"/>
  <c r="T992" i="2"/>
  <c r="A996" i="3" s="1"/>
  <c r="AM991" i="2"/>
  <c r="AL991" i="2"/>
  <c r="AK991" i="2"/>
  <c r="AJ991" i="2"/>
  <c r="AI991" i="2"/>
  <c r="AH991" i="2"/>
  <c r="F991" i="4" s="1"/>
  <c r="AG991" i="2"/>
  <c r="AF991" i="2"/>
  <c r="AE991" i="2"/>
  <c r="AD991" i="2"/>
  <c r="AC991" i="2"/>
  <c r="AB991" i="2"/>
  <c r="AA991" i="2"/>
  <c r="Z991" i="2"/>
  <c r="Y991" i="2"/>
  <c r="X991" i="2"/>
  <c r="W991" i="2"/>
  <c r="V991" i="2"/>
  <c r="U991" i="2"/>
  <c r="T991" i="2"/>
  <c r="A995" i="3" s="1"/>
  <c r="AM990" i="2"/>
  <c r="AL990" i="2"/>
  <c r="AK990" i="2"/>
  <c r="AJ990" i="2"/>
  <c r="AI990" i="2"/>
  <c r="AH990" i="2"/>
  <c r="F990" i="4" s="1"/>
  <c r="AG990" i="2"/>
  <c r="AF990" i="2"/>
  <c r="AE990" i="2"/>
  <c r="AD990" i="2"/>
  <c r="AC990" i="2"/>
  <c r="AB990" i="2"/>
  <c r="AA990" i="2"/>
  <c r="Z990" i="2"/>
  <c r="Y990" i="2"/>
  <c r="X990" i="2"/>
  <c r="W990" i="2"/>
  <c r="V990" i="2"/>
  <c r="U990" i="2"/>
  <c r="T990" i="2"/>
  <c r="A994" i="3" s="1"/>
  <c r="AM989" i="2"/>
  <c r="AL989" i="2"/>
  <c r="AK989" i="2"/>
  <c r="AJ989" i="2"/>
  <c r="AI989" i="2"/>
  <c r="AH989" i="2"/>
  <c r="F989" i="4" s="1"/>
  <c r="AG989" i="2"/>
  <c r="AF989" i="2"/>
  <c r="AE989" i="2"/>
  <c r="AD989" i="2"/>
  <c r="AC989" i="2"/>
  <c r="AB989" i="2"/>
  <c r="AA989" i="2"/>
  <c r="Z989" i="2"/>
  <c r="Y989" i="2"/>
  <c r="X989" i="2"/>
  <c r="W989" i="2"/>
  <c r="V989" i="2"/>
  <c r="U989" i="2"/>
  <c r="T989" i="2"/>
  <c r="A993" i="3" s="1"/>
  <c r="AM988" i="2"/>
  <c r="AL988" i="2"/>
  <c r="AK988" i="2"/>
  <c r="AJ988" i="2"/>
  <c r="AI988" i="2"/>
  <c r="AH988" i="2"/>
  <c r="F988" i="4" s="1"/>
  <c r="AG988" i="2"/>
  <c r="AF988" i="2"/>
  <c r="AE988" i="2"/>
  <c r="AD988" i="2"/>
  <c r="AC988" i="2"/>
  <c r="AB988" i="2"/>
  <c r="AA988" i="2"/>
  <c r="Z988" i="2"/>
  <c r="Y988" i="2"/>
  <c r="X988" i="2"/>
  <c r="W988" i="2"/>
  <c r="V988" i="2"/>
  <c r="U988" i="2"/>
  <c r="T988" i="2"/>
  <c r="A992" i="3" s="1"/>
  <c r="AM987" i="2"/>
  <c r="AL987" i="2"/>
  <c r="AK987" i="2"/>
  <c r="AJ987" i="2"/>
  <c r="AI987" i="2"/>
  <c r="AH987" i="2"/>
  <c r="F987" i="4" s="1"/>
  <c r="AG987" i="2"/>
  <c r="AF987" i="2"/>
  <c r="AE987" i="2"/>
  <c r="AD987" i="2"/>
  <c r="AC987" i="2"/>
  <c r="AB987" i="2"/>
  <c r="AA987" i="2"/>
  <c r="Z987" i="2"/>
  <c r="Y987" i="2"/>
  <c r="X987" i="2"/>
  <c r="W987" i="2"/>
  <c r="V987" i="2"/>
  <c r="U987" i="2"/>
  <c r="T987" i="2"/>
  <c r="A991" i="3" s="1"/>
  <c r="AM986" i="2"/>
  <c r="AL986" i="2"/>
  <c r="AK986" i="2"/>
  <c r="AJ986" i="2"/>
  <c r="AI986" i="2"/>
  <c r="AH986" i="2"/>
  <c r="F986" i="4" s="1"/>
  <c r="AG986" i="2"/>
  <c r="AF986" i="2"/>
  <c r="AE986" i="2"/>
  <c r="AD986" i="2"/>
  <c r="AC986" i="2"/>
  <c r="AB986" i="2"/>
  <c r="AA986" i="2"/>
  <c r="Z986" i="2"/>
  <c r="Y986" i="2"/>
  <c r="X986" i="2"/>
  <c r="W986" i="2"/>
  <c r="V986" i="2"/>
  <c r="U986" i="2"/>
  <c r="T986" i="2"/>
  <c r="A990" i="3" s="1"/>
  <c r="AM985" i="2"/>
  <c r="AL985" i="2"/>
  <c r="AK985" i="2"/>
  <c r="AJ985" i="2"/>
  <c r="AI985" i="2"/>
  <c r="AH985" i="2"/>
  <c r="F985" i="4" s="1"/>
  <c r="AG985" i="2"/>
  <c r="AF985" i="2"/>
  <c r="AE985" i="2"/>
  <c r="AD985" i="2"/>
  <c r="AC985" i="2"/>
  <c r="AB985" i="2"/>
  <c r="AA985" i="2"/>
  <c r="Z985" i="2"/>
  <c r="Y985" i="2"/>
  <c r="X985" i="2"/>
  <c r="W985" i="2"/>
  <c r="V985" i="2"/>
  <c r="U985" i="2"/>
  <c r="T985" i="2"/>
  <c r="A989" i="3" s="1"/>
  <c r="AM984" i="2"/>
  <c r="AL984" i="2"/>
  <c r="AK984" i="2"/>
  <c r="AJ984" i="2"/>
  <c r="AI984" i="2"/>
  <c r="AH984" i="2"/>
  <c r="F984" i="4" s="1"/>
  <c r="AG984" i="2"/>
  <c r="AF984" i="2"/>
  <c r="AE984" i="2"/>
  <c r="AD984" i="2"/>
  <c r="AC984" i="2"/>
  <c r="AB984" i="2"/>
  <c r="AA984" i="2"/>
  <c r="Z984" i="2"/>
  <c r="Y984" i="2"/>
  <c r="X984" i="2"/>
  <c r="W984" i="2"/>
  <c r="V984" i="2"/>
  <c r="U984" i="2"/>
  <c r="T984" i="2"/>
  <c r="A988" i="3" s="1"/>
  <c r="AM983" i="2"/>
  <c r="AL983" i="2"/>
  <c r="AK983" i="2"/>
  <c r="AJ983" i="2"/>
  <c r="AI983" i="2"/>
  <c r="AH983" i="2"/>
  <c r="F983" i="4" s="1"/>
  <c r="AG983" i="2"/>
  <c r="AF983" i="2"/>
  <c r="AE983" i="2"/>
  <c r="AD983" i="2"/>
  <c r="AC983" i="2"/>
  <c r="AB983" i="2"/>
  <c r="AA983" i="2"/>
  <c r="Z983" i="2"/>
  <c r="Y983" i="2"/>
  <c r="X983" i="2"/>
  <c r="W983" i="2"/>
  <c r="V983" i="2"/>
  <c r="U983" i="2"/>
  <c r="T983" i="2"/>
  <c r="A987" i="3" s="1"/>
  <c r="AM982" i="2"/>
  <c r="AL982" i="2"/>
  <c r="AK982" i="2"/>
  <c r="AJ982" i="2"/>
  <c r="AI982" i="2"/>
  <c r="AH982" i="2"/>
  <c r="F982" i="4" s="1"/>
  <c r="AG982" i="2"/>
  <c r="AF982" i="2"/>
  <c r="AE982" i="2"/>
  <c r="AD982" i="2"/>
  <c r="AC982" i="2"/>
  <c r="AB982" i="2"/>
  <c r="AA982" i="2"/>
  <c r="Z982" i="2"/>
  <c r="Y982" i="2"/>
  <c r="X982" i="2"/>
  <c r="W982" i="2"/>
  <c r="V982" i="2"/>
  <c r="U982" i="2"/>
  <c r="T982" i="2"/>
  <c r="A986" i="3" s="1"/>
  <c r="AM981" i="2"/>
  <c r="AL981" i="2"/>
  <c r="AK981" i="2"/>
  <c r="AJ981" i="2"/>
  <c r="AI981" i="2"/>
  <c r="AH981" i="2"/>
  <c r="F981" i="4" s="1"/>
  <c r="AG981" i="2"/>
  <c r="AF981" i="2"/>
  <c r="AE981" i="2"/>
  <c r="AD981" i="2"/>
  <c r="AC981" i="2"/>
  <c r="AB981" i="2"/>
  <c r="AA981" i="2"/>
  <c r="Z981" i="2"/>
  <c r="Y981" i="2"/>
  <c r="X981" i="2"/>
  <c r="W981" i="2"/>
  <c r="V981" i="2"/>
  <c r="U981" i="2"/>
  <c r="T981" i="2"/>
  <c r="A985" i="3" s="1"/>
  <c r="AM980" i="2"/>
  <c r="AL980" i="2"/>
  <c r="AK980" i="2"/>
  <c r="AJ980" i="2"/>
  <c r="AI980" i="2"/>
  <c r="AH980" i="2"/>
  <c r="F980" i="4" s="1"/>
  <c r="AG980" i="2"/>
  <c r="AF980" i="2"/>
  <c r="AE980" i="2"/>
  <c r="AD980" i="2"/>
  <c r="AC980" i="2"/>
  <c r="AB980" i="2"/>
  <c r="AA980" i="2"/>
  <c r="Z980" i="2"/>
  <c r="Y980" i="2"/>
  <c r="X980" i="2"/>
  <c r="W980" i="2"/>
  <c r="V980" i="2"/>
  <c r="U980" i="2"/>
  <c r="T980" i="2"/>
  <c r="A984" i="3" s="1"/>
  <c r="AM979" i="2"/>
  <c r="AL979" i="2"/>
  <c r="AK979" i="2"/>
  <c r="AJ979" i="2"/>
  <c r="AI979" i="2"/>
  <c r="AH979" i="2"/>
  <c r="F979" i="4" s="1"/>
  <c r="AG979" i="2"/>
  <c r="AF979" i="2"/>
  <c r="AE979" i="2"/>
  <c r="AD979" i="2"/>
  <c r="AC979" i="2"/>
  <c r="AB979" i="2"/>
  <c r="AA979" i="2"/>
  <c r="Z979" i="2"/>
  <c r="Y979" i="2"/>
  <c r="X979" i="2"/>
  <c r="W979" i="2"/>
  <c r="V979" i="2"/>
  <c r="U979" i="2"/>
  <c r="T979" i="2"/>
  <c r="A983" i="3" s="1"/>
  <c r="AM978" i="2"/>
  <c r="AL978" i="2"/>
  <c r="AK978" i="2"/>
  <c r="AJ978" i="2"/>
  <c r="AI978" i="2"/>
  <c r="AH978" i="2"/>
  <c r="F978" i="4" s="1"/>
  <c r="AG978" i="2"/>
  <c r="AF978" i="2"/>
  <c r="AE978" i="2"/>
  <c r="AD978" i="2"/>
  <c r="AC978" i="2"/>
  <c r="AB978" i="2"/>
  <c r="AA978" i="2"/>
  <c r="Z978" i="2"/>
  <c r="Y978" i="2"/>
  <c r="X978" i="2"/>
  <c r="W978" i="2"/>
  <c r="V978" i="2"/>
  <c r="U978" i="2"/>
  <c r="T978" i="2"/>
  <c r="A982" i="3" s="1"/>
  <c r="AM977" i="2"/>
  <c r="AL977" i="2"/>
  <c r="AK977" i="2"/>
  <c r="AJ977" i="2"/>
  <c r="AI977" i="2"/>
  <c r="AH977" i="2"/>
  <c r="F977" i="4" s="1"/>
  <c r="AG977" i="2"/>
  <c r="AF977" i="2"/>
  <c r="AE977" i="2"/>
  <c r="AD977" i="2"/>
  <c r="AC977" i="2"/>
  <c r="AB977" i="2"/>
  <c r="AA977" i="2"/>
  <c r="Z977" i="2"/>
  <c r="Y977" i="2"/>
  <c r="X977" i="2"/>
  <c r="W977" i="2"/>
  <c r="V977" i="2"/>
  <c r="U977" i="2"/>
  <c r="T977" i="2"/>
  <c r="A981" i="3" s="1"/>
  <c r="AM976" i="2"/>
  <c r="AL976" i="2"/>
  <c r="AK976" i="2"/>
  <c r="AJ976" i="2"/>
  <c r="AI976" i="2"/>
  <c r="AH976" i="2"/>
  <c r="F976" i="4" s="1"/>
  <c r="AG976" i="2"/>
  <c r="AF976" i="2"/>
  <c r="AE976" i="2"/>
  <c r="AD976" i="2"/>
  <c r="AC976" i="2"/>
  <c r="AB976" i="2"/>
  <c r="AA976" i="2"/>
  <c r="Z976" i="2"/>
  <c r="Y976" i="2"/>
  <c r="X976" i="2"/>
  <c r="W976" i="2"/>
  <c r="V976" i="2"/>
  <c r="U976" i="2"/>
  <c r="T976" i="2"/>
  <c r="A980" i="3" s="1"/>
  <c r="AM975" i="2"/>
  <c r="AL975" i="2"/>
  <c r="AK975" i="2"/>
  <c r="AJ975" i="2"/>
  <c r="AI975" i="2"/>
  <c r="AH975" i="2"/>
  <c r="F975" i="4" s="1"/>
  <c r="AG975" i="2"/>
  <c r="AF975" i="2"/>
  <c r="AE975" i="2"/>
  <c r="AD975" i="2"/>
  <c r="AC975" i="2"/>
  <c r="AB975" i="2"/>
  <c r="AA975" i="2"/>
  <c r="Z975" i="2"/>
  <c r="Y975" i="2"/>
  <c r="X975" i="2"/>
  <c r="W975" i="2"/>
  <c r="V975" i="2"/>
  <c r="U975" i="2"/>
  <c r="T975" i="2"/>
  <c r="A979" i="3" s="1"/>
  <c r="AM974" i="2"/>
  <c r="AL974" i="2"/>
  <c r="AK974" i="2"/>
  <c r="AJ974" i="2"/>
  <c r="AI974" i="2"/>
  <c r="AH974" i="2"/>
  <c r="F974" i="4" s="1"/>
  <c r="AG974" i="2"/>
  <c r="AF974" i="2"/>
  <c r="AE974" i="2"/>
  <c r="AD974" i="2"/>
  <c r="AC974" i="2"/>
  <c r="AB974" i="2"/>
  <c r="AA974" i="2"/>
  <c r="Z974" i="2"/>
  <c r="Y974" i="2"/>
  <c r="X974" i="2"/>
  <c r="W974" i="2"/>
  <c r="V974" i="2"/>
  <c r="U974" i="2"/>
  <c r="T974" i="2"/>
  <c r="A978" i="3" s="1"/>
  <c r="AM973" i="2"/>
  <c r="AL973" i="2"/>
  <c r="AK973" i="2"/>
  <c r="AJ973" i="2"/>
  <c r="AI973" i="2"/>
  <c r="AH973" i="2"/>
  <c r="F973" i="4" s="1"/>
  <c r="AG973" i="2"/>
  <c r="AF973" i="2"/>
  <c r="AE973" i="2"/>
  <c r="AD973" i="2"/>
  <c r="AC973" i="2"/>
  <c r="AB973" i="2"/>
  <c r="AA973" i="2"/>
  <c r="Z973" i="2"/>
  <c r="Y973" i="2"/>
  <c r="X973" i="2"/>
  <c r="W973" i="2"/>
  <c r="V973" i="2"/>
  <c r="U973" i="2"/>
  <c r="T973" i="2"/>
  <c r="A977" i="3" s="1"/>
  <c r="AM972" i="2"/>
  <c r="AL972" i="2"/>
  <c r="AK972" i="2"/>
  <c r="AJ972" i="2"/>
  <c r="AI972" i="2"/>
  <c r="AH972" i="2"/>
  <c r="F972" i="4" s="1"/>
  <c r="AG972" i="2"/>
  <c r="AF972" i="2"/>
  <c r="AE972" i="2"/>
  <c r="AD972" i="2"/>
  <c r="AC972" i="2"/>
  <c r="AB972" i="2"/>
  <c r="AA972" i="2"/>
  <c r="Z972" i="2"/>
  <c r="Y972" i="2"/>
  <c r="X972" i="2"/>
  <c r="W972" i="2"/>
  <c r="V972" i="2"/>
  <c r="U972" i="2"/>
  <c r="T972" i="2"/>
  <c r="A976" i="3" s="1"/>
  <c r="AM971" i="2"/>
  <c r="AL971" i="2"/>
  <c r="AK971" i="2"/>
  <c r="AJ971" i="2"/>
  <c r="AI971" i="2"/>
  <c r="AH971" i="2"/>
  <c r="F971" i="4" s="1"/>
  <c r="AG971" i="2"/>
  <c r="AF971" i="2"/>
  <c r="AE971" i="2"/>
  <c r="AD971" i="2"/>
  <c r="AC971" i="2"/>
  <c r="AB971" i="2"/>
  <c r="AA971" i="2"/>
  <c r="Z971" i="2"/>
  <c r="Y971" i="2"/>
  <c r="X971" i="2"/>
  <c r="W971" i="2"/>
  <c r="V971" i="2"/>
  <c r="U971" i="2"/>
  <c r="T971" i="2"/>
  <c r="A975" i="3" s="1"/>
  <c r="AM970" i="2"/>
  <c r="AL970" i="2"/>
  <c r="AK970" i="2"/>
  <c r="AJ970" i="2"/>
  <c r="AI970" i="2"/>
  <c r="AH970" i="2"/>
  <c r="F970" i="4" s="1"/>
  <c r="AG970" i="2"/>
  <c r="AF970" i="2"/>
  <c r="AE970" i="2"/>
  <c r="AD970" i="2"/>
  <c r="AC970" i="2"/>
  <c r="AB970" i="2"/>
  <c r="AA970" i="2"/>
  <c r="Z970" i="2"/>
  <c r="Y970" i="2"/>
  <c r="X970" i="2"/>
  <c r="W970" i="2"/>
  <c r="V970" i="2"/>
  <c r="U970" i="2"/>
  <c r="T970" i="2"/>
  <c r="A974" i="3" s="1"/>
  <c r="AM969" i="2"/>
  <c r="AL969" i="2"/>
  <c r="AK969" i="2"/>
  <c r="AJ969" i="2"/>
  <c r="AI969" i="2"/>
  <c r="AH969" i="2"/>
  <c r="F969" i="4" s="1"/>
  <c r="AG969" i="2"/>
  <c r="AF969" i="2"/>
  <c r="AE969" i="2"/>
  <c r="AD969" i="2"/>
  <c r="AC969" i="2"/>
  <c r="AB969" i="2"/>
  <c r="AA969" i="2"/>
  <c r="Z969" i="2"/>
  <c r="Y969" i="2"/>
  <c r="X969" i="2"/>
  <c r="W969" i="2"/>
  <c r="V969" i="2"/>
  <c r="U969" i="2"/>
  <c r="T969" i="2"/>
  <c r="A973" i="3" s="1"/>
  <c r="AM968" i="2"/>
  <c r="AL968" i="2"/>
  <c r="AK968" i="2"/>
  <c r="AJ968" i="2"/>
  <c r="AI968" i="2"/>
  <c r="AH968" i="2"/>
  <c r="F968" i="4" s="1"/>
  <c r="AG968" i="2"/>
  <c r="AF968" i="2"/>
  <c r="AE968" i="2"/>
  <c r="AD968" i="2"/>
  <c r="AC968" i="2"/>
  <c r="AB968" i="2"/>
  <c r="AA968" i="2"/>
  <c r="Z968" i="2"/>
  <c r="Y968" i="2"/>
  <c r="X968" i="2"/>
  <c r="W968" i="2"/>
  <c r="V968" i="2"/>
  <c r="U968" i="2"/>
  <c r="T968" i="2"/>
  <c r="A972" i="3" s="1"/>
  <c r="AM967" i="2"/>
  <c r="AL967" i="2"/>
  <c r="AK967" i="2"/>
  <c r="AJ967" i="2"/>
  <c r="AI967" i="2"/>
  <c r="AH967" i="2"/>
  <c r="F967" i="4" s="1"/>
  <c r="AG967" i="2"/>
  <c r="AF967" i="2"/>
  <c r="AE967" i="2"/>
  <c r="AD967" i="2"/>
  <c r="AC967" i="2"/>
  <c r="AB967" i="2"/>
  <c r="AA967" i="2"/>
  <c r="Z967" i="2"/>
  <c r="Y967" i="2"/>
  <c r="X967" i="2"/>
  <c r="W967" i="2"/>
  <c r="V967" i="2"/>
  <c r="U967" i="2"/>
  <c r="T967" i="2"/>
  <c r="A971" i="3" s="1"/>
  <c r="AM966" i="2"/>
  <c r="AL966" i="2"/>
  <c r="AK966" i="2"/>
  <c r="AJ966" i="2"/>
  <c r="AI966" i="2"/>
  <c r="AH966" i="2"/>
  <c r="F966" i="4" s="1"/>
  <c r="AG966" i="2"/>
  <c r="AF966" i="2"/>
  <c r="AE966" i="2"/>
  <c r="AD966" i="2"/>
  <c r="AC966" i="2"/>
  <c r="AB966" i="2"/>
  <c r="AA966" i="2"/>
  <c r="Z966" i="2"/>
  <c r="Y966" i="2"/>
  <c r="X966" i="2"/>
  <c r="W966" i="2"/>
  <c r="V966" i="2"/>
  <c r="U966" i="2"/>
  <c r="T966" i="2"/>
  <c r="A970" i="3" s="1"/>
  <c r="AM965" i="2"/>
  <c r="AL965" i="2"/>
  <c r="AK965" i="2"/>
  <c r="AJ965" i="2"/>
  <c r="AI965" i="2"/>
  <c r="AH965" i="2"/>
  <c r="F965" i="4" s="1"/>
  <c r="AG965" i="2"/>
  <c r="AF965" i="2"/>
  <c r="AE965" i="2"/>
  <c r="AD965" i="2"/>
  <c r="AC965" i="2"/>
  <c r="AB965" i="2"/>
  <c r="AA965" i="2"/>
  <c r="Z965" i="2"/>
  <c r="Y965" i="2"/>
  <c r="X965" i="2"/>
  <c r="W965" i="2"/>
  <c r="V965" i="2"/>
  <c r="U965" i="2"/>
  <c r="T965" i="2"/>
  <c r="A969" i="3" s="1"/>
  <c r="AM964" i="2"/>
  <c r="AL964" i="2"/>
  <c r="AK964" i="2"/>
  <c r="AJ964" i="2"/>
  <c r="AI964" i="2"/>
  <c r="AH964" i="2"/>
  <c r="F964" i="4" s="1"/>
  <c r="AG964" i="2"/>
  <c r="AF964" i="2"/>
  <c r="AE964" i="2"/>
  <c r="AD964" i="2"/>
  <c r="AC964" i="2"/>
  <c r="AB964" i="2"/>
  <c r="AA964" i="2"/>
  <c r="Z964" i="2"/>
  <c r="Y964" i="2"/>
  <c r="X964" i="2"/>
  <c r="W964" i="2"/>
  <c r="V964" i="2"/>
  <c r="U964" i="2"/>
  <c r="T964" i="2"/>
  <c r="A968" i="3" s="1"/>
  <c r="AM963" i="2"/>
  <c r="AL963" i="2"/>
  <c r="AK963" i="2"/>
  <c r="AJ963" i="2"/>
  <c r="AI963" i="2"/>
  <c r="AH963" i="2"/>
  <c r="F963" i="4" s="1"/>
  <c r="AG963" i="2"/>
  <c r="AF963" i="2"/>
  <c r="AE963" i="2"/>
  <c r="AD963" i="2"/>
  <c r="AC963" i="2"/>
  <c r="AB963" i="2"/>
  <c r="AA963" i="2"/>
  <c r="Z963" i="2"/>
  <c r="Y963" i="2"/>
  <c r="X963" i="2"/>
  <c r="W963" i="2"/>
  <c r="V963" i="2"/>
  <c r="U963" i="2"/>
  <c r="T963" i="2"/>
  <c r="A967" i="3" s="1"/>
  <c r="AM962" i="2"/>
  <c r="AL962" i="2"/>
  <c r="AK962" i="2"/>
  <c r="AJ962" i="2"/>
  <c r="AI962" i="2"/>
  <c r="AH962" i="2"/>
  <c r="F962" i="4" s="1"/>
  <c r="AG962" i="2"/>
  <c r="AF962" i="2"/>
  <c r="AE962" i="2"/>
  <c r="AD962" i="2"/>
  <c r="AC962" i="2"/>
  <c r="AB962" i="2"/>
  <c r="AA962" i="2"/>
  <c r="Z962" i="2"/>
  <c r="Y962" i="2"/>
  <c r="X962" i="2"/>
  <c r="W962" i="2"/>
  <c r="V962" i="2"/>
  <c r="U962" i="2"/>
  <c r="T962" i="2"/>
  <c r="A966" i="3" s="1"/>
  <c r="AM961" i="2"/>
  <c r="AL961" i="2"/>
  <c r="AK961" i="2"/>
  <c r="AJ961" i="2"/>
  <c r="AI961" i="2"/>
  <c r="AH961" i="2"/>
  <c r="F961" i="4" s="1"/>
  <c r="AG961" i="2"/>
  <c r="AF961" i="2"/>
  <c r="AE961" i="2"/>
  <c r="AD961" i="2"/>
  <c r="AC961" i="2"/>
  <c r="AB961" i="2"/>
  <c r="AA961" i="2"/>
  <c r="Z961" i="2"/>
  <c r="Y961" i="2"/>
  <c r="X961" i="2"/>
  <c r="W961" i="2"/>
  <c r="V961" i="2"/>
  <c r="U961" i="2"/>
  <c r="T961" i="2"/>
  <c r="A965" i="3" s="1"/>
  <c r="AM960" i="2"/>
  <c r="AL960" i="2"/>
  <c r="AK960" i="2"/>
  <c r="AJ960" i="2"/>
  <c r="AI960" i="2"/>
  <c r="AH960" i="2"/>
  <c r="F960" i="4" s="1"/>
  <c r="AG960" i="2"/>
  <c r="AF960" i="2"/>
  <c r="AE960" i="2"/>
  <c r="AD960" i="2"/>
  <c r="AC960" i="2"/>
  <c r="AB960" i="2"/>
  <c r="AA960" i="2"/>
  <c r="Z960" i="2"/>
  <c r="Y960" i="2"/>
  <c r="X960" i="2"/>
  <c r="W960" i="2"/>
  <c r="V960" i="2"/>
  <c r="U960" i="2"/>
  <c r="T960" i="2"/>
  <c r="A964" i="3" s="1"/>
  <c r="AM959" i="2"/>
  <c r="AL959" i="2"/>
  <c r="AK959" i="2"/>
  <c r="AJ959" i="2"/>
  <c r="AI959" i="2"/>
  <c r="AH959" i="2"/>
  <c r="F959" i="4" s="1"/>
  <c r="AG959" i="2"/>
  <c r="AF959" i="2"/>
  <c r="AE959" i="2"/>
  <c r="AD959" i="2"/>
  <c r="AC959" i="2"/>
  <c r="AB959" i="2"/>
  <c r="AA959" i="2"/>
  <c r="Z959" i="2"/>
  <c r="Y959" i="2"/>
  <c r="X959" i="2"/>
  <c r="W959" i="2"/>
  <c r="V959" i="2"/>
  <c r="U959" i="2"/>
  <c r="T959" i="2"/>
  <c r="A963" i="3" s="1"/>
  <c r="AM958" i="2"/>
  <c r="AL958" i="2"/>
  <c r="AK958" i="2"/>
  <c r="AJ958" i="2"/>
  <c r="AI958" i="2"/>
  <c r="AH958" i="2"/>
  <c r="F958" i="4" s="1"/>
  <c r="AG958" i="2"/>
  <c r="AF958" i="2"/>
  <c r="AE958" i="2"/>
  <c r="AD958" i="2"/>
  <c r="AC958" i="2"/>
  <c r="AB958" i="2"/>
  <c r="AA958" i="2"/>
  <c r="Z958" i="2"/>
  <c r="Y958" i="2"/>
  <c r="X958" i="2"/>
  <c r="W958" i="2"/>
  <c r="V958" i="2"/>
  <c r="U958" i="2"/>
  <c r="T958" i="2"/>
  <c r="A962" i="3" s="1"/>
  <c r="AM957" i="2"/>
  <c r="AL957" i="2"/>
  <c r="AK957" i="2"/>
  <c r="AJ957" i="2"/>
  <c r="AI957" i="2"/>
  <c r="AH957" i="2"/>
  <c r="F957" i="4" s="1"/>
  <c r="AG957" i="2"/>
  <c r="AF957" i="2"/>
  <c r="AE957" i="2"/>
  <c r="AD957" i="2"/>
  <c r="AC957" i="2"/>
  <c r="AB957" i="2"/>
  <c r="AA957" i="2"/>
  <c r="Z957" i="2"/>
  <c r="Y957" i="2"/>
  <c r="X957" i="2"/>
  <c r="W957" i="2"/>
  <c r="V957" i="2"/>
  <c r="U957" i="2"/>
  <c r="T957" i="2"/>
  <c r="A961" i="3" s="1"/>
  <c r="AM956" i="2"/>
  <c r="AL956" i="2"/>
  <c r="AK956" i="2"/>
  <c r="AJ956" i="2"/>
  <c r="AI956" i="2"/>
  <c r="AH956" i="2"/>
  <c r="F956" i="4" s="1"/>
  <c r="AG956" i="2"/>
  <c r="AF956" i="2"/>
  <c r="AE956" i="2"/>
  <c r="AD956" i="2"/>
  <c r="AC956" i="2"/>
  <c r="AB956" i="2"/>
  <c r="AA956" i="2"/>
  <c r="Z956" i="2"/>
  <c r="Y956" i="2"/>
  <c r="X956" i="2"/>
  <c r="W956" i="2"/>
  <c r="V956" i="2"/>
  <c r="U956" i="2"/>
  <c r="T956" i="2"/>
  <c r="A960" i="3" s="1"/>
  <c r="AM955" i="2"/>
  <c r="AL955" i="2"/>
  <c r="AK955" i="2"/>
  <c r="AJ955" i="2"/>
  <c r="AI955" i="2"/>
  <c r="AH955" i="2"/>
  <c r="F955" i="4" s="1"/>
  <c r="AG955" i="2"/>
  <c r="AF955" i="2"/>
  <c r="AE955" i="2"/>
  <c r="AD955" i="2"/>
  <c r="AC955" i="2"/>
  <c r="AB955" i="2"/>
  <c r="AA955" i="2"/>
  <c r="Z955" i="2"/>
  <c r="Y955" i="2"/>
  <c r="X955" i="2"/>
  <c r="W955" i="2"/>
  <c r="V955" i="2"/>
  <c r="U955" i="2"/>
  <c r="T955" i="2"/>
  <c r="A959" i="3" s="1"/>
  <c r="AM954" i="2"/>
  <c r="AL954" i="2"/>
  <c r="AK954" i="2"/>
  <c r="AJ954" i="2"/>
  <c r="AI954" i="2"/>
  <c r="AH954" i="2"/>
  <c r="F954" i="4" s="1"/>
  <c r="AG954" i="2"/>
  <c r="AF954" i="2"/>
  <c r="AE954" i="2"/>
  <c r="AD954" i="2"/>
  <c r="AC954" i="2"/>
  <c r="AB954" i="2"/>
  <c r="AA954" i="2"/>
  <c r="Z954" i="2"/>
  <c r="Y954" i="2"/>
  <c r="X954" i="2"/>
  <c r="W954" i="2"/>
  <c r="V954" i="2"/>
  <c r="U954" i="2"/>
  <c r="T954" i="2"/>
  <c r="A958" i="3" s="1"/>
  <c r="AM953" i="2"/>
  <c r="AL953" i="2"/>
  <c r="AK953" i="2"/>
  <c r="AJ953" i="2"/>
  <c r="AI953" i="2"/>
  <c r="AH953" i="2"/>
  <c r="F953" i="4" s="1"/>
  <c r="AG953" i="2"/>
  <c r="AF953" i="2"/>
  <c r="AE953" i="2"/>
  <c r="AD953" i="2"/>
  <c r="AC953" i="2"/>
  <c r="AB953" i="2"/>
  <c r="AA953" i="2"/>
  <c r="Z953" i="2"/>
  <c r="Y953" i="2"/>
  <c r="X953" i="2"/>
  <c r="W953" i="2"/>
  <c r="V953" i="2"/>
  <c r="U953" i="2"/>
  <c r="T953" i="2"/>
  <c r="A957" i="3" s="1"/>
  <c r="AM952" i="2"/>
  <c r="AL952" i="2"/>
  <c r="AK952" i="2"/>
  <c r="AJ952" i="2"/>
  <c r="AI952" i="2"/>
  <c r="AH952" i="2"/>
  <c r="F952" i="4" s="1"/>
  <c r="AG952" i="2"/>
  <c r="AF952" i="2"/>
  <c r="AE952" i="2"/>
  <c r="AD952" i="2"/>
  <c r="AC952" i="2"/>
  <c r="AB952" i="2"/>
  <c r="AA952" i="2"/>
  <c r="Z952" i="2"/>
  <c r="Y952" i="2"/>
  <c r="X952" i="2"/>
  <c r="W952" i="2"/>
  <c r="V952" i="2"/>
  <c r="U952" i="2"/>
  <c r="T952" i="2"/>
  <c r="A956" i="3" s="1"/>
  <c r="AM951" i="2"/>
  <c r="AL951" i="2"/>
  <c r="AK951" i="2"/>
  <c r="AJ951" i="2"/>
  <c r="AI951" i="2"/>
  <c r="AH951" i="2"/>
  <c r="F951" i="4" s="1"/>
  <c r="AG951" i="2"/>
  <c r="AF951" i="2"/>
  <c r="AE951" i="2"/>
  <c r="AD951" i="2"/>
  <c r="AC951" i="2"/>
  <c r="AB951" i="2"/>
  <c r="AA951" i="2"/>
  <c r="Z951" i="2"/>
  <c r="Y951" i="2"/>
  <c r="X951" i="2"/>
  <c r="W951" i="2"/>
  <c r="V951" i="2"/>
  <c r="U951" i="2"/>
  <c r="T951" i="2"/>
  <c r="A955" i="3" s="1"/>
  <c r="AM950" i="2"/>
  <c r="AL950" i="2"/>
  <c r="AK950" i="2"/>
  <c r="AJ950" i="2"/>
  <c r="AI950" i="2"/>
  <c r="AH950" i="2"/>
  <c r="F950" i="4" s="1"/>
  <c r="AG950" i="2"/>
  <c r="AF950" i="2"/>
  <c r="AE950" i="2"/>
  <c r="AD950" i="2"/>
  <c r="AC950" i="2"/>
  <c r="AB950" i="2"/>
  <c r="AA950" i="2"/>
  <c r="Z950" i="2"/>
  <c r="Y950" i="2"/>
  <c r="X950" i="2"/>
  <c r="W950" i="2"/>
  <c r="V950" i="2"/>
  <c r="U950" i="2"/>
  <c r="T950" i="2"/>
  <c r="A954" i="3" s="1"/>
  <c r="AM949" i="2"/>
  <c r="AL949" i="2"/>
  <c r="AK949" i="2"/>
  <c r="AJ949" i="2"/>
  <c r="AI949" i="2"/>
  <c r="AH949" i="2"/>
  <c r="F949" i="4" s="1"/>
  <c r="AG949" i="2"/>
  <c r="AF949" i="2"/>
  <c r="AE949" i="2"/>
  <c r="AD949" i="2"/>
  <c r="AC949" i="2"/>
  <c r="AB949" i="2"/>
  <c r="AA949" i="2"/>
  <c r="Z949" i="2"/>
  <c r="Y949" i="2"/>
  <c r="X949" i="2"/>
  <c r="W949" i="2"/>
  <c r="V949" i="2"/>
  <c r="U949" i="2"/>
  <c r="T949" i="2"/>
  <c r="A953" i="3" s="1"/>
  <c r="AM948" i="2"/>
  <c r="AL948" i="2"/>
  <c r="AK948" i="2"/>
  <c r="AJ948" i="2"/>
  <c r="AI948" i="2"/>
  <c r="AH948" i="2"/>
  <c r="F948" i="4" s="1"/>
  <c r="AG948" i="2"/>
  <c r="AF948" i="2"/>
  <c r="AE948" i="2"/>
  <c r="AD948" i="2"/>
  <c r="AC948" i="2"/>
  <c r="AB948" i="2"/>
  <c r="AA948" i="2"/>
  <c r="Z948" i="2"/>
  <c r="Y948" i="2"/>
  <c r="X948" i="2"/>
  <c r="W948" i="2"/>
  <c r="V948" i="2"/>
  <c r="U948" i="2"/>
  <c r="T948" i="2"/>
  <c r="A952" i="3" s="1"/>
  <c r="AM947" i="2"/>
  <c r="AL947" i="2"/>
  <c r="AK947" i="2"/>
  <c r="AJ947" i="2"/>
  <c r="AI947" i="2"/>
  <c r="AH947" i="2"/>
  <c r="F947" i="4" s="1"/>
  <c r="AG947" i="2"/>
  <c r="AF947" i="2"/>
  <c r="AE947" i="2"/>
  <c r="AD947" i="2"/>
  <c r="AC947" i="2"/>
  <c r="AB947" i="2"/>
  <c r="AA947" i="2"/>
  <c r="Z947" i="2"/>
  <c r="Y947" i="2"/>
  <c r="X947" i="2"/>
  <c r="W947" i="2"/>
  <c r="V947" i="2"/>
  <c r="U947" i="2"/>
  <c r="T947" i="2"/>
  <c r="A951" i="3" s="1"/>
  <c r="AM946" i="2"/>
  <c r="AL946" i="2"/>
  <c r="AK946" i="2"/>
  <c r="AJ946" i="2"/>
  <c r="AI946" i="2"/>
  <c r="AH946" i="2"/>
  <c r="F946" i="4" s="1"/>
  <c r="AG946" i="2"/>
  <c r="AF946" i="2"/>
  <c r="AE946" i="2"/>
  <c r="AD946" i="2"/>
  <c r="AC946" i="2"/>
  <c r="AB946" i="2"/>
  <c r="AA946" i="2"/>
  <c r="Z946" i="2"/>
  <c r="Y946" i="2"/>
  <c r="X946" i="2"/>
  <c r="W946" i="2"/>
  <c r="V946" i="2"/>
  <c r="U946" i="2"/>
  <c r="T946" i="2"/>
  <c r="A950" i="3" s="1"/>
  <c r="AM945" i="2"/>
  <c r="AL945" i="2"/>
  <c r="AK945" i="2"/>
  <c r="AJ945" i="2"/>
  <c r="AI945" i="2"/>
  <c r="AH945" i="2"/>
  <c r="F945" i="4" s="1"/>
  <c r="AG945" i="2"/>
  <c r="AF945" i="2"/>
  <c r="AE945" i="2"/>
  <c r="AD945" i="2"/>
  <c r="AC945" i="2"/>
  <c r="AB945" i="2"/>
  <c r="AA945" i="2"/>
  <c r="Z945" i="2"/>
  <c r="Y945" i="2"/>
  <c r="X945" i="2"/>
  <c r="W945" i="2"/>
  <c r="V945" i="2"/>
  <c r="U945" i="2"/>
  <c r="T945" i="2"/>
  <c r="A949" i="3" s="1"/>
  <c r="AM944" i="2"/>
  <c r="AL944" i="2"/>
  <c r="AK944" i="2"/>
  <c r="AJ944" i="2"/>
  <c r="AI944" i="2"/>
  <c r="AH944" i="2"/>
  <c r="F944" i="4" s="1"/>
  <c r="AG944" i="2"/>
  <c r="AF944" i="2"/>
  <c r="AE944" i="2"/>
  <c r="AD944" i="2"/>
  <c r="AC944" i="2"/>
  <c r="AB944" i="2"/>
  <c r="AA944" i="2"/>
  <c r="Z944" i="2"/>
  <c r="Y944" i="2"/>
  <c r="X944" i="2"/>
  <c r="W944" i="2"/>
  <c r="V944" i="2"/>
  <c r="U944" i="2"/>
  <c r="T944" i="2"/>
  <c r="A948" i="3" s="1"/>
  <c r="AM943" i="2"/>
  <c r="AL943" i="2"/>
  <c r="AK943" i="2"/>
  <c r="AJ943" i="2"/>
  <c r="AI943" i="2"/>
  <c r="AH943" i="2"/>
  <c r="F943" i="4" s="1"/>
  <c r="AG943" i="2"/>
  <c r="AF943" i="2"/>
  <c r="AE943" i="2"/>
  <c r="AD943" i="2"/>
  <c r="AC943" i="2"/>
  <c r="AB943" i="2"/>
  <c r="AA943" i="2"/>
  <c r="Z943" i="2"/>
  <c r="Y943" i="2"/>
  <c r="X943" i="2"/>
  <c r="W943" i="2"/>
  <c r="V943" i="2"/>
  <c r="U943" i="2"/>
  <c r="T943" i="2"/>
  <c r="A947" i="3" s="1"/>
  <c r="AM942" i="2"/>
  <c r="AL942" i="2"/>
  <c r="AK942" i="2"/>
  <c r="AJ942" i="2"/>
  <c r="AI942" i="2"/>
  <c r="AH942" i="2"/>
  <c r="F942" i="4" s="1"/>
  <c r="AG942" i="2"/>
  <c r="AF942" i="2"/>
  <c r="AE942" i="2"/>
  <c r="AD942" i="2"/>
  <c r="AC942" i="2"/>
  <c r="AB942" i="2"/>
  <c r="AA942" i="2"/>
  <c r="Z942" i="2"/>
  <c r="Y942" i="2"/>
  <c r="X942" i="2"/>
  <c r="W942" i="2"/>
  <c r="V942" i="2"/>
  <c r="U942" i="2"/>
  <c r="T942" i="2"/>
  <c r="A946" i="3" s="1"/>
  <c r="AM941" i="2"/>
  <c r="AL941" i="2"/>
  <c r="AK941" i="2"/>
  <c r="AJ941" i="2"/>
  <c r="AI941" i="2"/>
  <c r="AH941" i="2"/>
  <c r="F941" i="4" s="1"/>
  <c r="AG941" i="2"/>
  <c r="AF941" i="2"/>
  <c r="AE941" i="2"/>
  <c r="AD941" i="2"/>
  <c r="AC941" i="2"/>
  <c r="AB941" i="2"/>
  <c r="AA941" i="2"/>
  <c r="Z941" i="2"/>
  <c r="Y941" i="2"/>
  <c r="X941" i="2"/>
  <c r="W941" i="2"/>
  <c r="V941" i="2"/>
  <c r="U941" i="2"/>
  <c r="T941" i="2"/>
  <c r="A945" i="3" s="1"/>
  <c r="AM940" i="2"/>
  <c r="AL940" i="2"/>
  <c r="AK940" i="2"/>
  <c r="AJ940" i="2"/>
  <c r="AI940" i="2"/>
  <c r="AH940" i="2"/>
  <c r="F940" i="4" s="1"/>
  <c r="AG940" i="2"/>
  <c r="AF940" i="2"/>
  <c r="AE940" i="2"/>
  <c r="AD940" i="2"/>
  <c r="AC940" i="2"/>
  <c r="AB940" i="2"/>
  <c r="AA940" i="2"/>
  <c r="Z940" i="2"/>
  <c r="Y940" i="2"/>
  <c r="X940" i="2"/>
  <c r="W940" i="2"/>
  <c r="V940" i="2"/>
  <c r="U940" i="2"/>
  <c r="T940" i="2"/>
  <c r="A944" i="3" s="1"/>
  <c r="AM939" i="2"/>
  <c r="AL939" i="2"/>
  <c r="AK939" i="2"/>
  <c r="AJ939" i="2"/>
  <c r="AI939" i="2"/>
  <c r="AH939" i="2"/>
  <c r="F939" i="4" s="1"/>
  <c r="AG939" i="2"/>
  <c r="AF939" i="2"/>
  <c r="AE939" i="2"/>
  <c r="AD939" i="2"/>
  <c r="AC939" i="2"/>
  <c r="AB939" i="2"/>
  <c r="AA939" i="2"/>
  <c r="Z939" i="2"/>
  <c r="Y939" i="2"/>
  <c r="X939" i="2"/>
  <c r="W939" i="2"/>
  <c r="V939" i="2"/>
  <c r="U939" i="2"/>
  <c r="T939" i="2"/>
  <c r="A943" i="3" s="1"/>
  <c r="AM938" i="2"/>
  <c r="AL938" i="2"/>
  <c r="AK938" i="2"/>
  <c r="AJ938" i="2"/>
  <c r="AI938" i="2"/>
  <c r="AH938" i="2"/>
  <c r="F938" i="4" s="1"/>
  <c r="AG938" i="2"/>
  <c r="AF938" i="2"/>
  <c r="AE938" i="2"/>
  <c r="AD938" i="2"/>
  <c r="AC938" i="2"/>
  <c r="AB938" i="2"/>
  <c r="AA938" i="2"/>
  <c r="Z938" i="2"/>
  <c r="Y938" i="2"/>
  <c r="X938" i="2"/>
  <c r="W938" i="2"/>
  <c r="V938" i="2"/>
  <c r="U938" i="2"/>
  <c r="T938" i="2"/>
  <c r="A942" i="3" s="1"/>
  <c r="AM937" i="2"/>
  <c r="AL937" i="2"/>
  <c r="AK937" i="2"/>
  <c r="AJ937" i="2"/>
  <c r="AI937" i="2"/>
  <c r="AH937" i="2"/>
  <c r="F937" i="4" s="1"/>
  <c r="AG937" i="2"/>
  <c r="AF937" i="2"/>
  <c r="AE937" i="2"/>
  <c r="AD937" i="2"/>
  <c r="AC937" i="2"/>
  <c r="AB937" i="2"/>
  <c r="AA937" i="2"/>
  <c r="Z937" i="2"/>
  <c r="Y937" i="2"/>
  <c r="X937" i="2"/>
  <c r="W937" i="2"/>
  <c r="V937" i="2"/>
  <c r="U937" i="2"/>
  <c r="T937" i="2"/>
  <c r="A941" i="3" s="1"/>
  <c r="AM936" i="2"/>
  <c r="AL936" i="2"/>
  <c r="AK936" i="2"/>
  <c r="AJ936" i="2"/>
  <c r="AI936" i="2"/>
  <c r="AH936" i="2"/>
  <c r="F936" i="4" s="1"/>
  <c r="AG936" i="2"/>
  <c r="AF936" i="2"/>
  <c r="AE936" i="2"/>
  <c r="AD936" i="2"/>
  <c r="AC936" i="2"/>
  <c r="AB936" i="2"/>
  <c r="AA936" i="2"/>
  <c r="Z936" i="2"/>
  <c r="Y936" i="2"/>
  <c r="X936" i="2"/>
  <c r="W936" i="2"/>
  <c r="V936" i="2"/>
  <c r="U936" i="2"/>
  <c r="T936" i="2"/>
  <c r="A940" i="3" s="1"/>
  <c r="AM935" i="2"/>
  <c r="AL935" i="2"/>
  <c r="AK935" i="2"/>
  <c r="AJ935" i="2"/>
  <c r="AI935" i="2"/>
  <c r="AH935" i="2"/>
  <c r="F935" i="4" s="1"/>
  <c r="AG935" i="2"/>
  <c r="AF935" i="2"/>
  <c r="AE935" i="2"/>
  <c r="AD935" i="2"/>
  <c r="AC935" i="2"/>
  <c r="AB935" i="2"/>
  <c r="AA935" i="2"/>
  <c r="Z935" i="2"/>
  <c r="Y935" i="2"/>
  <c r="X935" i="2"/>
  <c r="W935" i="2"/>
  <c r="V935" i="2"/>
  <c r="U935" i="2"/>
  <c r="T935" i="2"/>
  <c r="A939" i="3" s="1"/>
  <c r="AM934" i="2"/>
  <c r="AL934" i="2"/>
  <c r="AK934" i="2"/>
  <c r="AJ934" i="2"/>
  <c r="AI934" i="2"/>
  <c r="AH934" i="2"/>
  <c r="F934" i="4" s="1"/>
  <c r="AG934" i="2"/>
  <c r="AF934" i="2"/>
  <c r="AE934" i="2"/>
  <c r="AD934" i="2"/>
  <c r="AC934" i="2"/>
  <c r="AB934" i="2"/>
  <c r="AA934" i="2"/>
  <c r="Z934" i="2"/>
  <c r="Y934" i="2"/>
  <c r="X934" i="2"/>
  <c r="W934" i="2"/>
  <c r="V934" i="2"/>
  <c r="U934" i="2"/>
  <c r="T934" i="2"/>
  <c r="A938" i="3" s="1"/>
  <c r="AM933" i="2"/>
  <c r="AL933" i="2"/>
  <c r="AK933" i="2"/>
  <c r="AJ933" i="2"/>
  <c r="AI933" i="2"/>
  <c r="AH933" i="2"/>
  <c r="F933" i="4" s="1"/>
  <c r="AG933" i="2"/>
  <c r="AF933" i="2"/>
  <c r="AE933" i="2"/>
  <c r="AD933" i="2"/>
  <c r="AC933" i="2"/>
  <c r="AB933" i="2"/>
  <c r="AA933" i="2"/>
  <c r="Z933" i="2"/>
  <c r="Y933" i="2"/>
  <c r="X933" i="2"/>
  <c r="W933" i="2"/>
  <c r="V933" i="2"/>
  <c r="U933" i="2"/>
  <c r="T933" i="2"/>
  <c r="A937" i="3" s="1"/>
  <c r="AM932" i="2"/>
  <c r="AL932" i="2"/>
  <c r="AK932" i="2"/>
  <c r="AJ932" i="2"/>
  <c r="AI932" i="2"/>
  <c r="AH932" i="2"/>
  <c r="F932" i="4" s="1"/>
  <c r="AG932" i="2"/>
  <c r="AF932" i="2"/>
  <c r="AE932" i="2"/>
  <c r="AD932" i="2"/>
  <c r="AC932" i="2"/>
  <c r="AB932" i="2"/>
  <c r="AA932" i="2"/>
  <c r="Z932" i="2"/>
  <c r="Y932" i="2"/>
  <c r="X932" i="2"/>
  <c r="W932" i="2"/>
  <c r="V932" i="2"/>
  <c r="U932" i="2"/>
  <c r="T932" i="2"/>
  <c r="A936" i="3" s="1"/>
  <c r="AM931" i="2"/>
  <c r="AL931" i="2"/>
  <c r="AK931" i="2"/>
  <c r="AJ931" i="2"/>
  <c r="AI931" i="2"/>
  <c r="AH931" i="2"/>
  <c r="F931" i="4" s="1"/>
  <c r="AG931" i="2"/>
  <c r="AF931" i="2"/>
  <c r="AE931" i="2"/>
  <c r="AD931" i="2"/>
  <c r="AC931" i="2"/>
  <c r="AB931" i="2"/>
  <c r="AA931" i="2"/>
  <c r="Z931" i="2"/>
  <c r="Y931" i="2"/>
  <c r="X931" i="2"/>
  <c r="W931" i="2"/>
  <c r="V931" i="2"/>
  <c r="U931" i="2"/>
  <c r="T931" i="2"/>
  <c r="A935" i="3" s="1"/>
  <c r="AM930" i="2"/>
  <c r="AL930" i="2"/>
  <c r="AK930" i="2"/>
  <c r="AJ930" i="2"/>
  <c r="AI930" i="2"/>
  <c r="AH930" i="2"/>
  <c r="F930" i="4" s="1"/>
  <c r="AG930" i="2"/>
  <c r="AF930" i="2"/>
  <c r="AE930" i="2"/>
  <c r="AD930" i="2"/>
  <c r="AC930" i="2"/>
  <c r="AB930" i="2"/>
  <c r="AA930" i="2"/>
  <c r="Z930" i="2"/>
  <c r="Y930" i="2"/>
  <c r="X930" i="2"/>
  <c r="W930" i="2"/>
  <c r="V930" i="2"/>
  <c r="U930" i="2"/>
  <c r="T930" i="2"/>
  <c r="A934" i="3" s="1"/>
  <c r="AM929" i="2"/>
  <c r="AL929" i="2"/>
  <c r="AK929" i="2"/>
  <c r="AJ929" i="2"/>
  <c r="AI929" i="2"/>
  <c r="AH929" i="2"/>
  <c r="F929" i="4" s="1"/>
  <c r="AG929" i="2"/>
  <c r="AF929" i="2"/>
  <c r="AE929" i="2"/>
  <c r="AD929" i="2"/>
  <c r="AC929" i="2"/>
  <c r="AB929" i="2"/>
  <c r="AA929" i="2"/>
  <c r="Z929" i="2"/>
  <c r="Y929" i="2"/>
  <c r="X929" i="2"/>
  <c r="W929" i="2"/>
  <c r="V929" i="2"/>
  <c r="U929" i="2"/>
  <c r="T929" i="2"/>
  <c r="A933" i="3" s="1"/>
  <c r="AM928" i="2"/>
  <c r="AL928" i="2"/>
  <c r="AK928" i="2"/>
  <c r="AJ928" i="2"/>
  <c r="AI928" i="2"/>
  <c r="AH928" i="2"/>
  <c r="F928" i="4" s="1"/>
  <c r="AG928" i="2"/>
  <c r="AF928" i="2"/>
  <c r="AE928" i="2"/>
  <c r="AD928" i="2"/>
  <c r="AC928" i="2"/>
  <c r="AB928" i="2"/>
  <c r="AA928" i="2"/>
  <c r="Z928" i="2"/>
  <c r="Y928" i="2"/>
  <c r="X928" i="2"/>
  <c r="W928" i="2"/>
  <c r="V928" i="2"/>
  <c r="U928" i="2"/>
  <c r="T928" i="2"/>
  <c r="A932" i="3" s="1"/>
  <c r="AM927" i="2"/>
  <c r="AL927" i="2"/>
  <c r="AK927" i="2"/>
  <c r="AJ927" i="2"/>
  <c r="AI927" i="2"/>
  <c r="AH927" i="2"/>
  <c r="F927" i="4" s="1"/>
  <c r="AG927" i="2"/>
  <c r="AF927" i="2"/>
  <c r="AE927" i="2"/>
  <c r="AD927" i="2"/>
  <c r="AC927" i="2"/>
  <c r="AB927" i="2"/>
  <c r="AA927" i="2"/>
  <c r="Z927" i="2"/>
  <c r="Y927" i="2"/>
  <c r="X927" i="2"/>
  <c r="W927" i="2"/>
  <c r="V927" i="2"/>
  <c r="U927" i="2"/>
  <c r="T927" i="2"/>
  <c r="A931" i="3" s="1"/>
  <c r="AM926" i="2"/>
  <c r="AL926" i="2"/>
  <c r="AK926" i="2"/>
  <c r="AJ926" i="2"/>
  <c r="AI926" i="2"/>
  <c r="AH926" i="2"/>
  <c r="F926" i="4" s="1"/>
  <c r="AG926" i="2"/>
  <c r="AF926" i="2"/>
  <c r="AE926" i="2"/>
  <c r="AD926" i="2"/>
  <c r="AC926" i="2"/>
  <c r="AB926" i="2"/>
  <c r="AA926" i="2"/>
  <c r="Z926" i="2"/>
  <c r="Y926" i="2"/>
  <c r="X926" i="2"/>
  <c r="W926" i="2"/>
  <c r="V926" i="2"/>
  <c r="U926" i="2"/>
  <c r="T926" i="2"/>
  <c r="A930" i="3" s="1"/>
  <c r="AM925" i="2"/>
  <c r="AL925" i="2"/>
  <c r="AK925" i="2"/>
  <c r="AJ925" i="2"/>
  <c r="AI925" i="2"/>
  <c r="AH925" i="2"/>
  <c r="F925" i="4" s="1"/>
  <c r="AG925" i="2"/>
  <c r="AF925" i="2"/>
  <c r="AE925" i="2"/>
  <c r="AD925" i="2"/>
  <c r="AC925" i="2"/>
  <c r="AB925" i="2"/>
  <c r="AA925" i="2"/>
  <c r="Z925" i="2"/>
  <c r="Y925" i="2"/>
  <c r="X925" i="2"/>
  <c r="W925" i="2"/>
  <c r="V925" i="2"/>
  <c r="U925" i="2"/>
  <c r="T925" i="2"/>
  <c r="A929" i="3" s="1"/>
  <c r="AM924" i="2"/>
  <c r="AL924" i="2"/>
  <c r="AK924" i="2"/>
  <c r="AJ924" i="2"/>
  <c r="AI924" i="2"/>
  <c r="AH924" i="2"/>
  <c r="F924" i="4" s="1"/>
  <c r="AG924" i="2"/>
  <c r="AF924" i="2"/>
  <c r="AE924" i="2"/>
  <c r="AD924" i="2"/>
  <c r="AC924" i="2"/>
  <c r="AB924" i="2"/>
  <c r="AA924" i="2"/>
  <c r="Z924" i="2"/>
  <c r="Y924" i="2"/>
  <c r="X924" i="2"/>
  <c r="W924" i="2"/>
  <c r="V924" i="2"/>
  <c r="U924" i="2"/>
  <c r="T924" i="2"/>
  <c r="A928" i="3" s="1"/>
  <c r="AM923" i="2"/>
  <c r="AL923" i="2"/>
  <c r="AK923" i="2"/>
  <c r="AJ923" i="2"/>
  <c r="AI923" i="2"/>
  <c r="AH923" i="2"/>
  <c r="F923" i="4" s="1"/>
  <c r="AG923" i="2"/>
  <c r="AF923" i="2"/>
  <c r="AE923" i="2"/>
  <c r="AD923" i="2"/>
  <c r="AC923" i="2"/>
  <c r="AB923" i="2"/>
  <c r="AA923" i="2"/>
  <c r="Z923" i="2"/>
  <c r="Y923" i="2"/>
  <c r="X923" i="2"/>
  <c r="W923" i="2"/>
  <c r="V923" i="2"/>
  <c r="U923" i="2"/>
  <c r="T923" i="2"/>
  <c r="A927" i="3" s="1"/>
  <c r="AM922" i="2"/>
  <c r="AL922" i="2"/>
  <c r="AK922" i="2"/>
  <c r="AJ922" i="2"/>
  <c r="AI922" i="2"/>
  <c r="AH922" i="2"/>
  <c r="F922" i="4" s="1"/>
  <c r="AG922" i="2"/>
  <c r="AF922" i="2"/>
  <c r="AE922" i="2"/>
  <c r="AD922" i="2"/>
  <c r="AC922" i="2"/>
  <c r="AB922" i="2"/>
  <c r="AA922" i="2"/>
  <c r="Z922" i="2"/>
  <c r="Y922" i="2"/>
  <c r="X922" i="2"/>
  <c r="W922" i="2"/>
  <c r="V922" i="2"/>
  <c r="U922" i="2"/>
  <c r="T922" i="2"/>
  <c r="A926" i="3" s="1"/>
  <c r="AM921" i="2"/>
  <c r="AL921" i="2"/>
  <c r="AK921" i="2"/>
  <c r="AJ921" i="2"/>
  <c r="AI921" i="2"/>
  <c r="AH921" i="2"/>
  <c r="F921" i="4" s="1"/>
  <c r="AG921" i="2"/>
  <c r="AF921" i="2"/>
  <c r="AE921" i="2"/>
  <c r="AD921" i="2"/>
  <c r="AC921" i="2"/>
  <c r="AB921" i="2"/>
  <c r="AA921" i="2"/>
  <c r="Z921" i="2"/>
  <c r="Y921" i="2"/>
  <c r="X921" i="2"/>
  <c r="W921" i="2"/>
  <c r="V921" i="2"/>
  <c r="U921" i="2"/>
  <c r="T921" i="2"/>
  <c r="A925" i="3" s="1"/>
  <c r="AM920" i="2"/>
  <c r="AL920" i="2"/>
  <c r="AK920" i="2"/>
  <c r="AJ920" i="2"/>
  <c r="AI920" i="2"/>
  <c r="AH920" i="2"/>
  <c r="F920" i="4" s="1"/>
  <c r="AG920" i="2"/>
  <c r="AF920" i="2"/>
  <c r="AE920" i="2"/>
  <c r="AD920" i="2"/>
  <c r="AC920" i="2"/>
  <c r="AB920" i="2"/>
  <c r="AA920" i="2"/>
  <c r="Z920" i="2"/>
  <c r="Y920" i="2"/>
  <c r="X920" i="2"/>
  <c r="W920" i="2"/>
  <c r="V920" i="2"/>
  <c r="U920" i="2"/>
  <c r="T920" i="2"/>
  <c r="A924" i="3" s="1"/>
  <c r="AM919" i="2"/>
  <c r="AL919" i="2"/>
  <c r="AK919" i="2"/>
  <c r="AJ919" i="2"/>
  <c r="AI919" i="2"/>
  <c r="AH919" i="2"/>
  <c r="F919" i="4" s="1"/>
  <c r="AG919" i="2"/>
  <c r="AF919" i="2"/>
  <c r="AE919" i="2"/>
  <c r="AD919" i="2"/>
  <c r="AC919" i="2"/>
  <c r="AB919" i="2"/>
  <c r="AA919" i="2"/>
  <c r="Z919" i="2"/>
  <c r="Y919" i="2"/>
  <c r="X919" i="2"/>
  <c r="W919" i="2"/>
  <c r="V919" i="2"/>
  <c r="U919" i="2"/>
  <c r="T919" i="2"/>
  <c r="A923" i="3" s="1"/>
  <c r="AM918" i="2"/>
  <c r="AL918" i="2"/>
  <c r="AK918" i="2"/>
  <c r="AJ918" i="2"/>
  <c r="AI918" i="2"/>
  <c r="AH918" i="2"/>
  <c r="F918" i="4" s="1"/>
  <c r="AG918" i="2"/>
  <c r="AF918" i="2"/>
  <c r="AE918" i="2"/>
  <c r="AD918" i="2"/>
  <c r="AC918" i="2"/>
  <c r="AB918" i="2"/>
  <c r="AA918" i="2"/>
  <c r="Z918" i="2"/>
  <c r="Y918" i="2"/>
  <c r="X918" i="2"/>
  <c r="W918" i="2"/>
  <c r="V918" i="2"/>
  <c r="U918" i="2"/>
  <c r="T918" i="2"/>
  <c r="A922" i="3" s="1"/>
  <c r="AM917" i="2"/>
  <c r="AL917" i="2"/>
  <c r="AK917" i="2"/>
  <c r="AJ917" i="2"/>
  <c r="AI917" i="2"/>
  <c r="AH917" i="2"/>
  <c r="F917" i="4" s="1"/>
  <c r="AG917" i="2"/>
  <c r="AF917" i="2"/>
  <c r="AE917" i="2"/>
  <c r="AD917" i="2"/>
  <c r="AC917" i="2"/>
  <c r="AB917" i="2"/>
  <c r="AA917" i="2"/>
  <c r="Z917" i="2"/>
  <c r="Y917" i="2"/>
  <c r="X917" i="2"/>
  <c r="W917" i="2"/>
  <c r="V917" i="2"/>
  <c r="U917" i="2"/>
  <c r="T917" i="2"/>
  <c r="A921" i="3" s="1"/>
  <c r="AM916" i="2"/>
  <c r="AL916" i="2"/>
  <c r="AK916" i="2"/>
  <c r="AJ916" i="2"/>
  <c r="AI916" i="2"/>
  <c r="AH916" i="2"/>
  <c r="F916" i="4" s="1"/>
  <c r="AG916" i="2"/>
  <c r="AF916" i="2"/>
  <c r="AE916" i="2"/>
  <c r="AD916" i="2"/>
  <c r="AC916" i="2"/>
  <c r="AB916" i="2"/>
  <c r="AA916" i="2"/>
  <c r="Z916" i="2"/>
  <c r="Y916" i="2"/>
  <c r="X916" i="2"/>
  <c r="W916" i="2"/>
  <c r="V916" i="2"/>
  <c r="U916" i="2"/>
  <c r="T916" i="2"/>
  <c r="A920" i="3" s="1"/>
  <c r="AM915" i="2"/>
  <c r="AL915" i="2"/>
  <c r="AK915" i="2"/>
  <c r="AJ915" i="2"/>
  <c r="AI915" i="2"/>
  <c r="AH915" i="2"/>
  <c r="F915" i="4" s="1"/>
  <c r="AG915" i="2"/>
  <c r="AF915" i="2"/>
  <c r="AE915" i="2"/>
  <c r="AD915" i="2"/>
  <c r="AC915" i="2"/>
  <c r="AB915" i="2"/>
  <c r="AA915" i="2"/>
  <c r="Z915" i="2"/>
  <c r="Y915" i="2"/>
  <c r="X915" i="2"/>
  <c r="W915" i="2"/>
  <c r="V915" i="2"/>
  <c r="U915" i="2"/>
  <c r="T915" i="2"/>
  <c r="A919" i="3" s="1"/>
  <c r="AM914" i="2"/>
  <c r="AL914" i="2"/>
  <c r="AK914" i="2"/>
  <c r="AJ914" i="2"/>
  <c r="AI914" i="2"/>
  <c r="AH914" i="2"/>
  <c r="F914" i="4" s="1"/>
  <c r="AG914" i="2"/>
  <c r="AF914" i="2"/>
  <c r="AE914" i="2"/>
  <c r="AD914" i="2"/>
  <c r="AC914" i="2"/>
  <c r="AB914" i="2"/>
  <c r="AA914" i="2"/>
  <c r="Z914" i="2"/>
  <c r="Y914" i="2"/>
  <c r="X914" i="2"/>
  <c r="W914" i="2"/>
  <c r="V914" i="2"/>
  <c r="U914" i="2"/>
  <c r="T914" i="2"/>
  <c r="A918" i="3" s="1"/>
  <c r="AM913" i="2"/>
  <c r="AL913" i="2"/>
  <c r="AK913" i="2"/>
  <c r="AJ913" i="2"/>
  <c r="AI913" i="2"/>
  <c r="AH913" i="2"/>
  <c r="F913" i="4" s="1"/>
  <c r="AG913" i="2"/>
  <c r="AF913" i="2"/>
  <c r="AE913" i="2"/>
  <c r="AD913" i="2"/>
  <c r="AC913" i="2"/>
  <c r="AB913" i="2"/>
  <c r="AA913" i="2"/>
  <c r="Z913" i="2"/>
  <c r="Y913" i="2"/>
  <c r="X913" i="2"/>
  <c r="W913" i="2"/>
  <c r="V913" i="2"/>
  <c r="U913" i="2"/>
  <c r="T913" i="2"/>
  <c r="A917" i="3" s="1"/>
  <c r="AM912" i="2"/>
  <c r="AL912" i="2"/>
  <c r="AK912" i="2"/>
  <c r="AJ912" i="2"/>
  <c r="AI912" i="2"/>
  <c r="AH912" i="2"/>
  <c r="F912" i="4" s="1"/>
  <c r="AG912" i="2"/>
  <c r="AF912" i="2"/>
  <c r="AE912" i="2"/>
  <c r="AD912" i="2"/>
  <c r="AC912" i="2"/>
  <c r="AB912" i="2"/>
  <c r="AA912" i="2"/>
  <c r="Z912" i="2"/>
  <c r="Y912" i="2"/>
  <c r="X912" i="2"/>
  <c r="W912" i="2"/>
  <c r="V912" i="2"/>
  <c r="U912" i="2"/>
  <c r="T912" i="2"/>
  <c r="A916" i="3" s="1"/>
  <c r="AM911" i="2"/>
  <c r="AL911" i="2"/>
  <c r="AK911" i="2"/>
  <c r="AJ911" i="2"/>
  <c r="AI911" i="2"/>
  <c r="AH911" i="2"/>
  <c r="F911" i="4" s="1"/>
  <c r="AG911" i="2"/>
  <c r="AF911" i="2"/>
  <c r="AE911" i="2"/>
  <c r="AD911" i="2"/>
  <c r="AC911" i="2"/>
  <c r="AB911" i="2"/>
  <c r="AA911" i="2"/>
  <c r="Z911" i="2"/>
  <c r="Y911" i="2"/>
  <c r="X911" i="2"/>
  <c r="W911" i="2"/>
  <c r="V911" i="2"/>
  <c r="U911" i="2"/>
  <c r="T911" i="2"/>
  <c r="A915" i="3" s="1"/>
  <c r="AM910" i="2"/>
  <c r="AL910" i="2"/>
  <c r="AK910" i="2"/>
  <c r="AJ910" i="2"/>
  <c r="AI910" i="2"/>
  <c r="AH910" i="2"/>
  <c r="F910" i="4" s="1"/>
  <c r="AG910" i="2"/>
  <c r="AF910" i="2"/>
  <c r="AE910" i="2"/>
  <c r="AD910" i="2"/>
  <c r="AC910" i="2"/>
  <c r="AB910" i="2"/>
  <c r="AA910" i="2"/>
  <c r="Z910" i="2"/>
  <c r="Y910" i="2"/>
  <c r="X910" i="2"/>
  <c r="W910" i="2"/>
  <c r="V910" i="2"/>
  <c r="U910" i="2"/>
  <c r="T910" i="2"/>
  <c r="A914" i="3" s="1"/>
  <c r="AM909" i="2"/>
  <c r="AL909" i="2"/>
  <c r="AK909" i="2"/>
  <c r="AJ909" i="2"/>
  <c r="AI909" i="2"/>
  <c r="AH909" i="2"/>
  <c r="F909" i="4" s="1"/>
  <c r="AG909" i="2"/>
  <c r="AF909" i="2"/>
  <c r="AE909" i="2"/>
  <c r="AD909" i="2"/>
  <c r="AC909" i="2"/>
  <c r="AB909" i="2"/>
  <c r="AA909" i="2"/>
  <c r="Z909" i="2"/>
  <c r="Y909" i="2"/>
  <c r="X909" i="2"/>
  <c r="W909" i="2"/>
  <c r="V909" i="2"/>
  <c r="U909" i="2"/>
  <c r="T909" i="2"/>
  <c r="A913" i="3" s="1"/>
  <c r="AM908" i="2"/>
  <c r="AL908" i="2"/>
  <c r="AK908" i="2"/>
  <c r="AJ908" i="2"/>
  <c r="AI908" i="2"/>
  <c r="AH908" i="2"/>
  <c r="F908" i="4" s="1"/>
  <c r="AG908" i="2"/>
  <c r="AF908" i="2"/>
  <c r="AE908" i="2"/>
  <c r="AD908" i="2"/>
  <c r="AC908" i="2"/>
  <c r="AB908" i="2"/>
  <c r="AA908" i="2"/>
  <c r="Z908" i="2"/>
  <c r="Y908" i="2"/>
  <c r="X908" i="2"/>
  <c r="W908" i="2"/>
  <c r="V908" i="2"/>
  <c r="U908" i="2"/>
  <c r="T908" i="2"/>
  <c r="A912" i="3" s="1"/>
  <c r="AM907" i="2"/>
  <c r="AL907" i="2"/>
  <c r="AK907" i="2"/>
  <c r="AJ907" i="2"/>
  <c r="AI907" i="2"/>
  <c r="AH907" i="2"/>
  <c r="F907" i="4" s="1"/>
  <c r="AG907" i="2"/>
  <c r="AF907" i="2"/>
  <c r="AE907" i="2"/>
  <c r="AD907" i="2"/>
  <c r="AC907" i="2"/>
  <c r="AB907" i="2"/>
  <c r="AA907" i="2"/>
  <c r="Z907" i="2"/>
  <c r="Y907" i="2"/>
  <c r="X907" i="2"/>
  <c r="W907" i="2"/>
  <c r="V907" i="2"/>
  <c r="U907" i="2"/>
  <c r="T907" i="2"/>
  <c r="A911" i="3" s="1"/>
  <c r="AM906" i="2"/>
  <c r="AL906" i="2"/>
  <c r="AK906" i="2"/>
  <c r="AJ906" i="2"/>
  <c r="AI906" i="2"/>
  <c r="AH906" i="2"/>
  <c r="F906" i="4" s="1"/>
  <c r="AG906" i="2"/>
  <c r="AF906" i="2"/>
  <c r="AE906" i="2"/>
  <c r="AD906" i="2"/>
  <c r="AC906" i="2"/>
  <c r="AB906" i="2"/>
  <c r="AA906" i="2"/>
  <c r="Z906" i="2"/>
  <c r="Y906" i="2"/>
  <c r="X906" i="2"/>
  <c r="W906" i="2"/>
  <c r="V906" i="2"/>
  <c r="U906" i="2"/>
  <c r="T906" i="2"/>
  <c r="A910" i="3" s="1"/>
  <c r="AM905" i="2"/>
  <c r="AL905" i="2"/>
  <c r="AK905" i="2"/>
  <c r="AJ905" i="2"/>
  <c r="AI905" i="2"/>
  <c r="AH905" i="2"/>
  <c r="F905" i="4" s="1"/>
  <c r="AG905" i="2"/>
  <c r="AF905" i="2"/>
  <c r="AE905" i="2"/>
  <c r="AD905" i="2"/>
  <c r="AC905" i="2"/>
  <c r="AB905" i="2"/>
  <c r="AA905" i="2"/>
  <c r="Z905" i="2"/>
  <c r="Y905" i="2"/>
  <c r="X905" i="2"/>
  <c r="W905" i="2"/>
  <c r="V905" i="2"/>
  <c r="U905" i="2"/>
  <c r="T905" i="2"/>
  <c r="A909" i="3" s="1"/>
  <c r="AM904" i="2"/>
  <c r="AL904" i="2"/>
  <c r="AK904" i="2"/>
  <c r="AJ904" i="2"/>
  <c r="AI904" i="2"/>
  <c r="AH904" i="2"/>
  <c r="F904" i="4" s="1"/>
  <c r="AG904" i="2"/>
  <c r="AF904" i="2"/>
  <c r="AE904" i="2"/>
  <c r="AD904" i="2"/>
  <c r="AC904" i="2"/>
  <c r="AB904" i="2"/>
  <c r="AA904" i="2"/>
  <c r="Z904" i="2"/>
  <c r="Y904" i="2"/>
  <c r="X904" i="2"/>
  <c r="W904" i="2"/>
  <c r="V904" i="2"/>
  <c r="U904" i="2"/>
  <c r="T904" i="2"/>
  <c r="A908" i="3" s="1"/>
  <c r="AM903" i="2"/>
  <c r="AL903" i="2"/>
  <c r="AK903" i="2"/>
  <c r="AJ903" i="2"/>
  <c r="AI903" i="2"/>
  <c r="AH903" i="2"/>
  <c r="F903" i="4" s="1"/>
  <c r="AG903" i="2"/>
  <c r="AF903" i="2"/>
  <c r="AE903" i="2"/>
  <c r="AD903" i="2"/>
  <c r="AC903" i="2"/>
  <c r="AB903" i="2"/>
  <c r="AA903" i="2"/>
  <c r="Z903" i="2"/>
  <c r="Y903" i="2"/>
  <c r="X903" i="2"/>
  <c r="W903" i="2"/>
  <c r="V903" i="2"/>
  <c r="U903" i="2"/>
  <c r="T903" i="2"/>
  <c r="A907" i="3" s="1"/>
  <c r="AM902" i="2"/>
  <c r="AL902" i="2"/>
  <c r="AK902" i="2"/>
  <c r="AJ902" i="2"/>
  <c r="AI902" i="2"/>
  <c r="AH902" i="2"/>
  <c r="F902" i="4" s="1"/>
  <c r="AG902" i="2"/>
  <c r="AF902" i="2"/>
  <c r="AE902" i="2"/>
  <c r="AD902" i="2"/>
  <c r="AC902" i="2"/>
  <c r="AB902" i="2"/>
  <c r="AA902" i="2"/>
  <c r="Z902" i="2"/>
  <c r="Y902" i="2"/>
  <c r="X902" i="2"/>
  <c r="W902" i="2"/>
  <c r="V902" i="2"/>
  <c r="U902" i="2"/>
  <c r="T902" i="2"/>
  <c r="A906" i="3" s="1"/>
  <c r="AM901" i="2"/>
  <c r="AL901" i="2"/>
  <c r="AK901" i="2"/>
  <c r="AJ901" i="2"/>
  <c r="AI901" i="2"/>
  <c r="AH901" i="2"/>
  <c r="F901" i="4" s="1"/>
  <c r="AG901" i="2"/>
  <c r="AF901" i="2"/>
  <c r="AE901" i="2"/>
  <c r="AD901" i="2"/>
  <c r="AC901" i="2"/>
  <c r="AB901" i="2"/>
  <c r="AA901" i="2"/>
  <c r="Z901" i="2"/>
  <c r="Y901" i="2"/>
  <c r="X901" i="2"/>
  <c r="W901" i="2"/>
  <c r="V901" i="2"/>
  <c r="U901" i="2"/>
  <c r="T901" i="2"/>
  <c r="A905" i="3" s="1"/>
  <c r="AM900" i="2"/>
  <c r="AL900" i="2"/>
  <c r="AK900" i="2"/>
  <c r="AJ900" i="2"/>
  <c r="AI900" i="2"/>
  <c r="AH900" i="2"/>
  <c r="F900" i="4" s="1"/>
  <c r="AG900" i="2"/>
  <c r="AF900" i="2"/>
  <c r="AE900" i="2"/>
  <c r="AD900" i="2"/>
  <c r="AC900" i="2"/>
  <c r="AB900" i="2"/>
  <c r="AA900" i="2"/>
  <c r="Z900" i="2"/>
  <c r="Y900" i="2"/>
  <c r="X900" i="2"/>
  <c r="W900" i="2"/>
  <c r="V900" i="2"/>
  <c r="U900" i="2"/>
  <c r="T900" i="2"/>
  <c r="A904" i="3" s="1"/>
  <c r="AM899" i="2"/>
  <c r="AL899" i="2"/>
  <c r="AK899" i="2"/>
  <c r="AJ899" i="2"/>
  <c r="AI899" i="2"/>
  <c r="AH899" i="2"/>
  <c r="F899" i="4" s="1"/>
  <c r="AG899" i="2"/>
  <c r="AF899" i="2"/>
  <c r="AE899" i="2"/>
  <c r="AD899" i="2"/>
  <c r="AC899" i="2"/>
  <c r="AB899" i="2"/>
  <c r="AA899" i="2"/>
  <c r="Z899" i="2"/>
  <c r="Y899" i="2"/>
  <c r="X899" i="2"/>
  <c r="W899" i="2"/>
  <c r="V899" i="2"/>
  <c r="U899" i="2"/>
  <c r="T899" i="2"/>
  <c r="A903" i="3" s="1"/>
  <c r="AM898" i="2"/>
  <c r="AL898" i="2"/>
  <c r="AK898" i="2"/>
  <c r="AJ898" i="2"/>
  <c r="AI898" i="2"/>
  <c r="AH898" i="2"/>
  <c r="F898" i="4" s="1"/>
  <c r="AG898" i="2"/>
  <c r="AF898" i="2"/>
  <c r="AE898" i="2"/>
  <c r="AD898" i="2"/>
  <c r="AC898" i="2"/>
  <c r="AB898" i="2"/>
  <c r="AA898" i="2"/>
  <c r="Z898" i="2"/>
  <c r="Y898" i="2"/>
  <c r="X898" i="2"/>
  <c r="W898" i="2"/>
  <c r="V898" i="2"/>
  <c r="U898" i="2"/>
  <c r="T898" i="2"/>
  <c r="A902" i="3" s="1"/>
  <c r="AM897" i="2"/>
  <c r="AL897" i="2"/>
  <c r="AK897" i="2"/>
  <c r="AJ897" i="2"/>
  <c r="AI897" i="2"/>
  <c r="AH897" i="2"/>
  <c r="F897" i="4" s="1"/>
  <c r="AG897" i="2"/>
  <c r="AF897" i="2"/>
  <c r="AE897" i="2"/>
  <c r="AD897" i="2"/>
  <c r="AC897" i="2"/>
  <c r="AB897" i="2"/>
  <c r="AA897" i="2"/>
  <c r="Z897" i="2"/>
  <c r="Y897" i="2"/>
  <c r="X897" i="2"/>
  <c r="W897" i="2"/>
  <c r="V897" i="2"/>
  <c r="U897" i="2"/>
  <c r="T897" i="2"/>
  <c r="A901" i="3" s="1"/>
  <c r="AM896" i="2"/>
  <c r="AL896" i="2"/>
  <c r="AK896" i="2"/>
  <c r="AJ896" i="2"/>
  <c r="AI896" i="2"/>
  <c r="AH896" i="2"/>
  <c r="F896" i="4" s="1"/>
  <c r="AG896" i="2"/>
  <c r="AF896" i="2"/>
  <c r="AE896" i="2"/>
  <c r="AD896" i="2"/>
  <c r="AC896" i="2"/>
  <c r="AB896" i="2"/>
  <c r="AA896" i="2"/>
  <c r="Z896" i="2"/>
  <c r="Y896" i="2"/>
  <c r="X896" i="2"/>
  <c r="W896" i="2"/>
  <c r="V896" i="2"/>
  <c r="U896" i="2"/>
  <c r="T896" i="2"/>
  <c r="A900" i="3" s="1"/>
  <c r="AM895" i="2"/>
  <c r="AL895" i="2"/>
  <c r="AK895" i="2"/>
  <c r="AJ895" i="2"/>
  <c r="AI895" i="2"/>
  <c r="AH895" i="2"/>
  <c r="F895" i="4" s="1"/>
  <c r="AG895" i="2"/>
  <c r="AF895" i="2"/>
  <c r="AE895" i="2"/>
  <c r="AD895" i="2"/>
  <c r="AC895" i="2"/>
  <c r="AB895" i="2"/>
  <c r="AA895" i="2"/>
  <c r="Z895" i="2"/>
  <c r="Y895" i="2"/>
  <c r="X895" i="2"/>
  <c r="W895" i="2"/>
  <c r="V895" i="2"/>
  <c r="U895" i="2"/>
  <c r="T895" i="2"/>
  <c r="A899" i="3" s="1"/>
  <c r="AM894" i="2"/>
  <c r="AL894" i="2"/>
  <c r="AK894" i="2"/>
  <c r="AJ894" i="2"/>
  <c r="AI894" i="2"/>
  <c r="AH894" i="2"/>
  <c r="F894" i="4" s="1"/>
  <c r="AG894" i="2"/>
  <c r="AF894" i="2"/>
  <c r="AE894" i="2"/>
  <c r="AD894" i="2"/>
  <c r="AC894" i="2"/>
  <c r="AB894" i="2"/>
  <c r="AA894" i="2"/>
  <c r="Z894" i="2"/>
  <c r="Y894" i="2"/>
  <c r="X894" i="2"/>
  <c r="W894" i="2"/>
  <c r="V894" i="2"/>
  <c r="U894" i="2"/>
  <c r="T894" i="2"/>
  <c r="A898" i="3" s="1"/>
  <c r="AM893" i="2"/>
  <c r="AL893" i="2"/>
  <c r="AK893" i="2"/>
  <c r="AJ893" i="2"/>
  <c r="AI893" i="2"/>
  <c r="AH893" i="2"/>
  <c r="F893" i="4" s="1"/>
  <c r="AG893" i="2"/>
  <c r="AF893" i="2"/>
  <c r="AE893" i="2"/>
  <c r="AD893" i="2"/>
  <c r="AC893" i="2"/>
  <c r="AB893" i="2"/>
  <c r="AA893" i="2"/>
  <c r="Z893" i="2"/>
  <c r="Y893" i="2"/>
  <c r="X893" i="2"/>
  <c r="W893" i="2"/>
  <c r="V893" i="2"/>
  <c r="U893" i="2"/>
  <c r="T893" i="2"/>
  <c r="A897" i="3" s="1"/>
  <c r="AM892" i="2"/>
  <c r="AL892" i="2"/>
  <c r="AK892" i="2"/>
  <c r="AJ892" i="2"/>
  <c r="AI892" i="2"/>
  <c r="AH892" i="2"/>
  <c r="F892" i="4" s="1"/>
  <c r="AG892" i="2"/>
  <c r="AF892" i="2"/>
  <c r="AE892" i="2"/>
  <c r="AD892" i="2"/>
  <c r="AC892" i="2"/>
  <c r="AB892" i="2"/>
  <c r="AA892" i="2"/>
  <c r="Z892" i="2"/>
  <c r="Y892" i="2"/>
  <c r="X892" i="2"/>
  <c r="W892" i="2"/>
  <c r="V892" i="2"/>
  <c r="U892" i="2"/>
  <c r="T892" i="2"/>
  <c r="A896" i="3" s="1"/>
  <c r="AM891" i="2"/>
  <c r="AL891" i="2"/>
  <c r="AK891" i="2"/>
  <c r="AJ891" i="2"/>
  <c r="AI891" i="2"/>
  <c r="AH891" i="2"/>
  <c r="F891" i="4" s="1"/>
  <c r="AG891" i="2"/>
  <c r="AF891" i="2"/>
  <c r="AE891" i="2"/>
  <c r="AD891" i="2"/>
  <c r="AC891" i="2"/>
  <c r="AB891" i="2"/>
  <c r="AA891" i="2"/>
  <c r="Z891" i="2"/>
  <c r="Y891" i="2"/>
  <c r="X891" i="2"/>
  <c r="W891" i="2"/>
  <c r="V891" i="2"/>
  <c r="U891" i="2"/>
  <c r="T891" i="2"/>
  <c r="A895" i="3" s="1"/>
  <c r="AM890" i="2"/>
  <c r="AL890" i="2"/>
  <c r="AK890" i="2"/>
  <c r="AJ890" i="2"/>
  <c r="AI890" i="2"/>
  <c r="AH890" i="2"/>
  <c r="F890" i="4" s="1"/>
  <c r="AG890" i="2"/>
  <c r="AF890" i="2"/>
  <c r="AE890" i="2"/>
  <c r="AD890" i="2"/>
  <c r="AC890" i="2"/>
  <c r="AB890" i="2"/>
  <c r="AA890" i="2"/>
  <c r="Z890" i="2"/>
  <c r="Y890" i="2"/>
  <c r="X890" i="2"/>
  <c r="W890" i="2"/>
  <c r="V890" i="2"/>
  <c r="U890" i="2"/>
  <c r="T890" i="2"/>
  <c r="A894" i="3" s="1"/>
  <c r="AM889" i="2"/>
  <c r="AL889" i="2"/>
  <c r="AK889" i="2"/>
  <c r="AJ889" i="2"/>
  <c r="AI889" i="2"/>
  <c r="AH889" i="2"/>
  <c r="F889" i="4" s="1"/>
  <c r="AG889" i="2"/>
  <c r="AF889" i="2"/>
  <c r="AE889" i="2"/>
  <c r="AD889" i="2"/>
  <c r="AC889" i="2"/>
  <c r="AB889" i="2"/>
  <c r="AA889" i="2"/>
  <c r="Z889" i="2"/>
  <c r="Y889" i="2"/>
  <c r="X889" i="2"/>
  <c r="W889" i="2"/>
  <c r="V889" i="2"/>
  <c r="U889" i="2"/>
  <c r="T889" i="2"/>
  <c r="A893" i="3" s="1"/>
  <c r="AM888" i="2"/>
  <c r="AL888" i="2"/>
  <c r="AK888" i="2"/>
  <c r="AJ888" i="2"/>
  <c r="AI888" i="2"/>
  <c r="AH888" i="2"/>
  <c r="F888" i="4" s="1"/>
  <c r="AG888" i="2"/>
  <c r="AF888" i="2"/>
  <c r="AE888" i="2"/>
  <c r="AD888" i="2"/>
  <c r="AC888" i="2"/>
  <c r="AB888" i="2"/>
  <c r="AA888" i="2"/>
  <c r="Z888" i="2"/>
  <c r="Y888" i="2"/>
  <c r="X888" i="2"/>
  <c r="W888" i="2"/>
  <c r="V888" i="2"/>
  <c r="U888" i="2"/>
  <c r="T888" i="2"/>
  <c r="A892" i="3" s="1"/>
  <c r="AM887" i="2"/>
  <c r="AL887" i="2"/>
  <c r="AK887" i="2"/>
  <c r="AJ887" i="2"/>
  <c r="AI887" i="2"/>
  <c r="AH887" i="2"/>
  <c r="F887" i="4" s="1"/>
  <c r="AG887" i="2"/>
  <c r="AF887" i="2"/>
  <c r="AE887" i="2"/>
  <c r="AD887" i="2"/>
  <c r="AC887" i="2"/>
  <c r="AB887" i="2"/>
  <c r="AA887" i="2"/>
  <c r="Z887" i="2"/>
  <c r="Y887" i="2"/>
  <c r="X887" i="2"/>
  <c r="W887" i="2"/>
  <c r="V887" i="2"/>
  <c r="U887" i="2"/>
  <c r="T887" i="2"/>
  <c r="A891" i="3" s="1"/>
  <c r="AM886" i="2"/>
  <c r="AL886" i="2"/>
  <c r="AK886" i="2"/>
  <c r="AJ886" i="2"/>
  <c r="AI886" i="2"/>
  <c r="AH886" i="2"/>
  <c r="F886" i="4" s="1"/>
  <c r="AG886" i="2"/>
  <c r="AF886" i="2"/>
  <c r="AE886" i="2"/>
  <c r="AD886" i="2"/>
  <c r="AC886" i="2"/>
  <c r="AB886" i="2"/>
  <c r="AA886" i="2"/>
  <c r="Z886" i="2"/>
  <c r="Y886" i="2"/>
  <c r="X886" i="2"/>
  <c r="W886" i="2"/>
  <c r="V886" i="2"/>
  <c r="U886" i="2"/>
  <c r="T886" i="2"/>
  <c r="A890" i="3" s="1"/>
  <c r="AM885" i="2"/>
  <c r="AL885" i="2"/>
  <c r="AK885" i="2"/>
  <c r="AJ885" i="2"/>
  <c r="AI885" i="2"/>
  <c r="AH885" i="2"/>
  <c r="F885" i="4" s="1"/>
  <c r="AG885" i="2"/>
  <c r="AF885" i="2"/>
  <c r="AE885" i="2"/>
  <c r="AD885" i="2"/>
  <c r="AC885" i="2"/>
  <c r="AB885" i="2"/>
  <c r="AA885" i="2"/>
  <c r="Z885" i="2"/>
  <c r="Y885" i="2"/>
  <c r="X885" i="2"/>
  <c r="W885" i="2"/>
  <c r="V885" i="2"/>
  <c r="U885" i="2"/>
  <c r="T885" i="2"/>
  <c r="A889" i="3" s="1"/>
  <c r="AM884" i="2"/>
  <c r="AL884" i="2"/>
  <c r="AK884" i="2"/>
  <c r="AJ884" i="2"/>
  <c r="AI884" i="2"/>
  <c r="AH884" i="2"/>
  <c r="F884" i="4" s="1"/>
  <c r="AG884" i="2"/>
  <c r="AF884" i="2"/>
  <c r="AE884" i="2"/>
  <c r="AD884" i="2"/>
  <c r="AC884" i="2"/>
  <c r="AB884" i="2"/>
  <c r="AA884" i="2"/>
  <c r="Z884" i="2"/>
  <c r="Y884" i="2"/>
  <c r="X884" i="2"/>
  <c r="W884" i="2"/>
  <c r="V884" i="2"/>
  <c r="U884" i="2"/>
  <c r="T884" i="2"/>
  <c r="A888" i="3" s="1"/>
  <c r="AM883" i="2"/>
  <c r="AL883" i="2"/>
  <c r="AK883" i="2"/>
  <c r="AJ883" i="2"/>
  <c r="AI883" i="2"/>
  <c r="AH883" i="2"/>
  <c r="F883" i="4" s="1"/>
  <c r="AG883" i="2"/>
  <c r="AF883" i="2"/>
  <c r="AE883" i="2"/>
  <c r="AD883" i="2"/>
  <c r="AC883" i="2"/>
  <c r="AB883" i="2"/>
  <c r="AA883" i="2"/>
  <c r="Z883" i="2"/>
  <c r="Y883" i="2"/>
  <c r="X883" i="2"/>
  <c r="W883" i="2"/>
  <c r="V883" i="2"/>
  <c r="U883" i="2"/>
  <c r="T883" i="2"/>
  <c r="A887" i="3" s="1"/>
  <c r="AM882" i="2"/>
  <c r="AL882" i="2"/>
  <c r="AK882" i="2"/>
  <c r="AJ882" i="2"/>
  <c r="AI882" i="2"/>
  <c r="AH882" i="2"/>
  <c r="F882" i="4" s="1"/>
  <c r="AG882" i="2"/>
  <c r="AF882" i="2"/>
  <c r="AE882" i="2"/>
  <c r="AD882" i="2"/>
  <c r="AC882" i="2"/>
  <c r="AB882" i="2"/>
  <c r="AA882" i="2"/>
  <c r="Z882" i="2"/>
  <c r="Y882" i="2"/>
  <c r="X882" i="2"/>
  <c r="W882" i="2"/>
  <c r="V882" i="2"/>
  <c r="U882" i="2"/>
  <c r="T882" i="2"/>
  <c r="A886" i="3" s="1"/>
  <c r="AM881" i="2"/>
  <c r="AL881" i="2"/>
  <c r="AK881" i="2"/>
  <c r="AJ881" i="2"/>
  <c r="AI881" i="2"/>
  <c r="AH881" i="2"/>
  <c r="F881" i="4" s="1"/>
  <c r="AG881" i="2"/>
  <c r="AF881" i="2"/>
  <c r="AE881" i="2"/>
  <c r="AD881" i="2"/>
  <c r="AC881" i="2"/>
  <c r="AB881" i="2"/>
  <c r="AA881" i="2"/>
  <c r="Z881" i="2"/>
  <c r="Y881" i="2"/>
  <c r="X881" i="2"/>
  <c r="W881" i="2"/>
  <c r="V881" i="2"/>
  <c r="U881" i="2"/>
  <c r="T881" i="2"/>
  <c r="A885" i="3" s="1"/>
  <c r="AM880" i="2"/>
  <c r="AL880" i="2"/>
  <c r="AK880" i="2"/>
  <c r="AJ880" i="2"/>
  <c r="AI880" i="2"/>
  <c r="AH880" i="2"/>
  <c r="F880" i="4" s="1"/>
  <c r="AG880" i="2"/>
  <c r="AF880" i="2"/>
  <c r="AE880" i="2"/>
  <c r="AD880" i="2"/>
  <c r="AC880" i="2"/>
  <c r="AB880" i="2"/>
  <c r="AA880" i="2"/>
  <c r="Z880" i="2"/>
  <c r="Y880" i="2"/>
  <c r="X880" i="2"/>
  <c r="W880" i="2"/>
  <c r="V880" i="2"/>
  <c r="U880" i="2"/>
  <c r="T880" i="2"/>
  <c r="A884" i="3" s="1"/>
  <c r="AM879" i="2"/>
  <c r="AL879" i="2"/>
  <c r="AK879" i="2"/>
  <c r="AJ879" i="2"/>
  <c r="AI879" i="2"/>
  <c r="AH879" i="2"/>
  <c r="F879" i="4" s="1"/>
  <c r="AG879" i="2"/>
  <c r="AF879" i="2"/>
  <c r="AE879" i="2"/>
  <c r="AD879" i="2"/>
  <c r="AC879" i="2"/>
  <c r="AB879" i="2"/>
  <c r="AA879" i="2"/>
  <c r="Z879" i="2"/>
  <c r="Y879" i="2"/>
  <c r="X879" i="2"/>
  <c r="W879" i="2"/>
  <c r="V879" i="2"/>
  <c r="U879" i="2"/>
  <c r="T879" i="2"/>
  <c r="A883" i="3" s="1"/>
  <c r="AM878" i="2"/>
  <c r="AL878" i="2"/>
  <c r="AK878" i="2"/>
  <c r="AJ878" i="2"/>
  <c r="AI878" i="2"/>
  <c r="AH878" i="2"/>
  <c r="F878" i="4" s="1"/>
  <c r="AG878" i="2"/>
  <c r="AF878" i="2"/>
  <c r="AE878" i="2"/>
  <c r="AD878" i="2"/>
  <c r="AC878" i="2"/>
  <c r="AB878" i="2"/>
  <c r="AA878" i="2"/>
  <c r="Z878" i="2"/>
  <c r="Y878" i="2"/>
  <c r="X878" i="2"/>
  <c r="W878" i="2"/>
  <c r="V878" i="2"/>
  <c r="U878" i="2"/>
  <c r="T878" i="2"/>
  <c r="A882" i="3" s="1"/>
  <c r="AM877" i="2"/>
  <c r="AL877" i="2"/>
  <c r="AK877" i="2"/>
  <c r="AJ877" i="2"/>
  <c r="AI877" i="2"/>
  <c r="AH877" i="2"/>
  <c r="F877" i="4" s="1"/>
  <c r="AG877" i="2"/>
  <c r="AF877" i="2"/>
  <c r="AE877" i="2"/>
  <c r="AD877" i="2"/>
  <c r="AC877" i="2"/>
  <c r="AB877" i="2"/>
  <c r="AA877" i="2"/>
  <c r="Z877" i="2"/>
  <c r="Y877" i="2"/>
  <c r="X877" i="2"/>
  <c r="W877" i="2"/>
  <c r="V877" i="2"/>
  <c r="U877" i="2"/>
  <c r="T877" i="2"/>
  <c r="A881" i="3" s="1"/>
  <c r="AM876" i="2"/>
  <c r="AL876" i="2"/>
  <c r="AK876" i="2"/>
  <c r="AJ876" i="2"/>
  <c r="AI876" i="2"/>
  <c r="AH876" i="2"/>
  <c r="F876" i="4" s="1"/>
  <c r="AG876" i="2"/>
  <c r="AF876" i="2"/>
  <c r="AE876" i="2"/>
  <c r="AD876" i="2"/>
  <c r="AC876" i="2"/>
  <c r="AB876" i="2"/>
  <c r="AA876" i="2"/>
  <c r="Z876" i="2"/>
  <c r="Y876" i="2"/>
  <c r="X876" i="2"/>
  <c r="W876" i="2"/>
  <c r="V876" i="2"/>
  <c r="U876" i="2"/>
  <c r="T876" i="2"/>
  <c r="A880" i="3" s="1"/>
  <c r="AM875" i="2"/>
  <c r="AL875" i="2"/>
  <c r="AK875" i="2"/>
  <c r="AJ875" i="2"/>
  <c r="AI875" i="2"/>
  <c r="AH875" i="2"/>
  <c r="F875" i="4" s="1"/>
  <c r="AG875" i="2"/>
  <c r="AF875" i="2"/>
  <c r="AE875" i="2"/>
  <c r="AD875" i="2"/>
  <c r="AC875" i="2"/>
  <c r="AB875" i="2"/>
  <c r="AA875" i="2"/>
  <c r="Z875" i="2"/>
  <c r="Y875" i="2"/>
  <c r="X875" i="2"/>
  <c r="W875" i="2"/>
  <c r="V875" i="2"/>
  <c r="U875" i="2"/>
  <c r="T875" i="2"/>
  <c r="A879" i="3" s="1"/>
  <c r="AM874" i="2"/>
  <c r="AL874" i="2"/>
  <c r="AK874" i="2"/>
  <c r="AJ874" i="2"/>
  <c r="AI874" i="2"/>
  <c r="AH874" i="2"/>
  <c r="F874" i="4" s="1"/>
  <c r="AG874" i="2"/>
  <c r="AF874" i="2"/>
  <c r="AE874" i="2"/>
  <c r="AD874" i="2"/>
  <c r="AC874" i="2"/>
  <c r="AB874" i="2"/>
  <c r="AA874" i="2"/>
  <c r="Z874" i="2"/>
  <c r="Y874" i="2"/>
  <c r="X874" i="2"/>
  <c r="W874" i="2"/>
  <c r="V874" i="2"/>
  <c r="U874" i="2"/>
  <c r="T874" i="2"/>
  <c r="A878" i="3" s="1"/>
  <c r="AM873" i="2"/>
  <c r="AL873" i="2"/>
  <c r="AK873" i="2"/>
  <c r="AJ873" i="2"/>
  <c r="AI873" i="2"/>
  <c r="AH873" i="2"/>
  <c r="F873" i="4" s="1"/>
  <c r="AG873" i="2"/>
  <c r="AF873" i="2"/>
  <c r="AE873" i="2"/>
  <c r="AD873" i="2"/>
  <c r="AC873" i="2"/>
  <c r="AB873" i="2"/>
  <c r="AA873" i="2"/>
  <c r="Z873" i="2"/>
  <c r="Y873" i="2"/>
  <c r="X873" i="2"/>
  <c r="W873" i="2"/>
  <c r="V873" i="2"/>
  <c r="U873" i="2"/>
  <c r="T873" i="2"/>
  <c r="A877" i="3" s="1"/>
  <c r="AM872" i="2"/>
  <c r="AL872" i="2"/>
  <c r="AK872" i="2"/>
  <c r="AJ872" i="2"/>
  <c r="AI872" i="2"/>
  <c r="AH872" i="2"/>
  <c r="F872" i="4" s="1"/>
  <c r="AG872" i="2"/>
  <c r="AF872" i="2"/>
  <c r="AE872" i="2"/>
  <c r="AD872" i="2"/>
  <c r="AC872" i="2"/>
  <c r="AB872" i="2"/>
  <c r="AA872" i="2"/>
  <c r="Z872" i="2"/>
  <c r="Y872" i="2"/>
  <c r="X872" i="2"/>
  <c r="W872" i="2"/>
  <c r="V872" i="2"/>
  <c r="U872" i="2"/>
  <c r="T872" i="2"/>
  <c r="A876" i="3" s="1"/>
  <c r="AM871" i="2"/>
  <c r="AL871" i="2"/>
  <c r="AK871" i="2"/>
  <c r="AJ871" i="2"/>
  <c r="AI871" i="2"/>
  <c r="AH871" i="2"/>
  <c r="F871" i="4" s="1"/>
  <c r="AG871" i="2"/>
  <c r="AF871" i="2"/>
  <c r="AE871" i="2"/>
  <c r="AD871" i="2"/>
  <c r="AC871" i="2"/>
  <c r="AB871" i="2"/>
  <c r="AA871" i="2"/>
  <c r="Z871" i="2"/>
  <c r="Y871" i="2"/>
  <c r="X871" i="2"/>
  <c r="W871" i="2"/>
  <c r="V871" i="2"/>
  <c r="U871" i="2"/>
  <c r="T871" i="2"/>
  <c r="A875" i="3" s="1"/>
  <c r="AM870" i="2"/>
  <c r="AL870" i="2"/>
  <c r="AK870" i="2"/>
  <c r="AJ870" i="2"/>
  <c r="AI870" i="2"/>
  <c r="AH870" i="2"/>
  <c r="F870" i="4" s="1"/>
  <c r="AG870" i="2"/>
  <c r="AF870" i="2"/>
  <c r="AE870" i="2"/>
  <c r="AD870" i="2"/>
  <c r="AC870" i="2"/>
  <c r="AB870" i="2"/>
  <c r="AA870" i="2"/>
  <c r="Z870" i="2"/>
  <c r="Y870" i="2"/>
  <c r="X870" i="2"/>
  <c r="W870" i="2"/>
  <c r="V870" i="2"/>
  <c r="U870" i="2"/>
  <c r="T870" i="2"/>
  <c r="A874" i="3" s="1"/>
  <c r="AM869" i="2"/>
  <c r="AL869" i="2"/>
  <c r="AK869" i="2"/>
  <c r="AJ869" i="2"/>
  <c r="AI869" i="2"/>
  <c r="AH869" i="2"/>
  <c r="F869" i="4" s="1"/>
  <c r="AG869" i="2"/>
  <c r="AF869" i="2"/>
  <c r="AE869" i="2"/>
  <c r="AD869" i="2"/>
  <c r="AC869" i="2"/>
  <c r="AB869" i="2"/>
  <c r="AA869" i="2"/>
  <c r="Z869" i="2"/>
  <c r="Y869" i="2"/>
  <c r="X869" i="2"/>
  <c r="W869" i="2"/>
  <c r="V869" i="2"/>
  <c r="U869" i="2"/>
  <c r="T869" i="2"/>
  <c r="A873" i="3" s="1"/>
  <c r="AM868" i="2"/>
  <c r="AL868" i="2"/>
  <c r="AK868" i="2"/>
  <c r="AJ868" i="2"/>
  <c r="AI868" i="2"/>
  <c r="AH868" i="2"/>
  <c r="F868" i="4" s="1"/>
  <c r="AG868" i="2"/>
  <c r="AF868" i="2"/>
  <c r="AE868" i="2"/>
  <c r="AD868" i="2"/>
  <c r="AC868" i="2"/>
  <c r="AB868" i="2"/>
  <c r="AA868" i="2"/>
  <c r="Z868" i="2"/>
  <c r="Y868" i="2"/>
  <c r="X868" i="2"/>
  <c r="W868" i="2"/>
  <c r="V868" i="2"/>
  <c r="U868" i="2"/>
  <c r="T868" i="2"/>
  <c r="A872" i="3" s="1"/>
  <c r="AM867" i="2"/>
  <c r="AL867" i="2"/>
  <c r="AK867" i="2"/>
  <c r="AJ867" i="2"/>
  <c r="AI867" i="2"/>
  <c r="AH867" i="2"/>
  <c r="F867" i="4" s="1"/>
  <c r="AG867" i="2"/>
  <c r="AF867" i="2"/>
  <c r="AE867" i="2"/>
  <c r="AD867" i="2"/>
  <c r="AC867" i="2"/>
  <c r="AB867" i="2"/>
  <c r="AA867" i="2"/>
  <c r="Z867" i="2"/>
  <c r="Y867" i="2"/>
  <c r="X867" i="2"/>
  <c r="W867" i="2"/>
  <c r="V867" i="2"/>
  <c r="U867" i="2"/>
  <c r="T867" i="2"/>
  <c r="A871" i="3" s="1"/>
  <c r="AM866" i="2"/>
  <c r="AL866" i="2"/>
  <c r="AK866" i="2"/>
  <c r="AJ866" i="2"/>
  <c r="AI866" i="2"/>
  <c r="AH866" i="2"/>
  <c r="F866" i="4" s="1"/>
  <c r="AG866" i="2"/>
  <c r="AF866" i="2"/>
  <c r="AE866" i="2"/>
  <c r="AD866" i="2"/>
  <c r="AC866" i="2"/>
  <c r="AB866" i="2"/>
  <c r="AA866" i="2"/>
  <c r="Z866" i="2"/>
  <c r="Y866" i="2"/>
  <c r="X866" i="2"/>
  <c r="W866" i="2"/>
  <c r="V866" i="2"/>
  <c r="U866" i="2"/>
  <c r="T866" i="2"/>
  <c r="A870" i="3" s="1"/>
  <c r="AM865" i="2"/>
  <c r="AL865" i="2"/>
  <c r="AK865" i="2"/>
  <c r="AJ865" i="2"/>
  <c r="AI865" i="2"/>
  <c r="AH865" i="2"/>
  <c r="F865" i="4" s="1"/>
  <c r="AG865" i="2"/>
  <c r="AF865" i="2"/>
  <c r="AE865" i="2"/>
  <c r="AD865" i="2"/>
  <c r="AC865" i="2"/>
  <c r="AB865" i="2"/>
  <c r="AA865" i="2"/>
  <c r="Z865" i="2"/>
  <c r="Y865" i="2"/>
  <c r="X865" i="2"/>
  <c r="W865" i="2"/>
  <c r="V865" i="2"/>
  <c r="U865" i="2"/>
  <c r="T865" i="2"/>
  <c r="A869" i="3" s="1"/>
  <c r="AM864" i="2"/>
  <c r="AL864" i="2"/>
  <c r="AK864" i="2"/>
  <c r="AJ864" i="2"/>
  <c r="AI864" i="2"/>
  <c r="AH864" i="2"/>
  <c r="F864" i="4" s="1"/>
  <c r="AG864" i="2"/>
  <c r="AF864" i="2"/>
  <c r="AE864" i="2"/>
  <c r="AD864" i="2"/>
  <c r="AC864" i="2"/>
  <c r="AB864" i="2"/>
  <c r="AA864" i="2"/>
  <c r="Z864" i="2"/>
  <c r="Y864" i="2"/>
  <c r="X864" i="2"/>
  <c r="W864" i="2"/>
  <c r="V864" i="2"/>
  <c r="U864" i="2"/>
  <c r="T864" i="2"/>
  <c r="A868" i="3" s="1"/>
  <c r="AM863" i="2"/>
  <c r="AL863" i="2"/>
  <c r="AK863" i="2"/>
  <c r="AJ863" i="2"/>
  <c r="AI863" i="2"/>
  <c r="AH863" i="2"/>
  <c r="F863" i="4" s="1"/>
  <c r="AG863" i="2"/>
  <c r="AF863" i="2"/>
  <c r="AE863" i="2"/>
  <c r="AD863" i="2"/>
  <c r="AC863" i="2"/>
  <c r="AB863" i="2"/>
  <c r="AA863" i="2"/>
  <c r="Z863" i="2"/>
  <c r="Y863" i="2"/>
  <c r="X863" i="2"/>
  <c r="W863" i="2"/>
  <c r="V863" i="2"/>
  <c r="U863" i="2"/>
  <c r="T863" i="2"/>
  <c r="A867" i="3" s="1"/>
  <c r="AM862" i="2"/>
  <c r="AL862" i="2"/>
  <c r="AK862" i="2"/>
  <c r="AJ862" i="2"/>
  <c r="AI862" i="2"/>
  <c r="AH862" i="2"/>
  <c r="F862" i="4" s="1"/>
  <c r="AG862" i="2"/>
  <c r="AF862" i="2"/>
  <c r="AE862" i="2"/>
  <c r="AD862" i="2"/>
  <c r="AC862" i="2"/>
  <c r="AB862" i="2"/>
  <c r="AA862" i="2"/>
  <c r="Z862" i="2"/>
  <c r="Y862" i="2"/>
  <c r="X862" i="2"/>
  <c r="W862" i="2"/>
  <c r="V862" i="2"/>
  <c r="U862" i="2"/>
  <c r="T862" i="2"/>
  <c r="A866" i="3" s="1"/>
  <c r="AM861" i="2"/>
  <c r="AL861" i="2"/>
  <c r="AK861" i="2"/>
  <c r="AJ861" i="2"/>
  <c r="AI861" i="2"/>
  <c r="AH861" i="2"/>
  <c r="F861" i="4" s="1"/>
  <c r="AG861" i="2"/>
  <c r="AF861" i="2"/>
  <c r="AE861" i="2"/>
  <c r="AD861" i="2"/>
  <c r="AC861" i="2"/>
  <c r="AB861" i="2"/>
  <c r="AA861" i="2"/>
  <c r="Z861" i="2"/>
  <c r="Y861" i="2"/>
  <c r="X861" i="2"/>
  <c r="W861" i="2"/>
  <c r="V861" i="2"/>
  <c r="U861" i="2"/>
  <c r="T861" i="2"/>
  <c r="A865" i="3" s="1"/>
  <c r="AM860" i="2"/>
  <c r="AL860" i="2"/>
  <c r="AK860" i="2"/>
  <c r="AJ860" i="2"/>
  <c r="AI860" i="2"/>
  <c r="AH860" i="2"/>
  <c r="F860" i="4" s="1"/>
  <c r="AG860" i="2"/>
  <c r="AF860" i="2"/>
  <c r="AE860" i="2"/>
  <c r="AD860" i="2"/>
  <c r="AC860" i="2"/>
  <c r="AB860" i="2"/>
  <c r="AA860" i="2"/>
  <c r="Z860" i="2"/>
  <c r="Y860" i="2"/>
  <c r="X860" i="2"/>
  <c r="W860" i="2"/>
  <c r="V860" i="2"/>
  <c r="U860" i="2"/>
  <c r="T860" i="2"/>
  <c r="A864" i="3" s="1"/>
  <c r="AM859" i="2"/>
  <c r="AL859" i="2"/>
  <c r="AK859" i="2"/>
  <c r="AJ859" i="2"/>
  <c r="AI859" i="2"/>
  <c r="AH859" i="2"/>
  <c r="F859" i="4" s="1"/>
  <c r="AG859" i="2"/>
  <c r="AF859" i="2"/>
  <c r="AE859" i="2"/>
  <c r="AD859" i="2"/>
  <c r="AC859" i="2"/>
  <c r="AB859" i="2"/>
  <c r="AA859" i="2"/>
  <c r="Z859" i="2"/>
  <c r="Y859" i="2"/>
  <c r="X859" i="2"/>
  <c r="W859" i="2"/>
  <c r="V859" i="2"/>
  <c r="U859" i="2"/>
  <c r="T859" i="2"/>
  <c r="A863" i="3" s="1"/>
  <c r="AM858" i="2"/>
  <c r="AL858" i="2"/>
  <c r="AK858" i="2"/>
  <c r="AJ858" i="2"/>
  <c r="AI858" i="2"/>
  <c r="AH858" i="2"/>
  <c r="F858" i="4" s="1"/>
  <c r="AG858" i="2"/>
  <c r="AF858" i="2"/>
  <c r="AE858" i="2"/>
  <c r="AD858" i="2"/>
  <c r="AC858" i="2"/>
  <c r="AB858" i="2"/>
  <c r="AA858" i="2"/>
  <c r="Z858" i="2"/>
  <c r="Y858" i="2"/>
  <c r="X858" i="2"/>
  <c r="W858" i="2"/>
  <c r="V858" i="2"/>
  <c r="U858" i="2"/>
  <c r="T858" i="2"/>
  <c r="A862" i="3" s="1"/>
  <c r="AM857" i="2"/>
  <c r="AL857" i="2"/>
  <c r="AK857" i="2"/>
  <c r="AJ857" i="2"/>
  <c r="AI857" i="2"/>
  <c r="AH857" i="2"/>
  <c r="F857" i="4" s="1"/>
  <c r="AG857" i="2"/>
  <c r="AF857" i="2"/>
  <c r="AE857" i="2"/>
  <c r="AD857" i="2"/>
  <c r="AC857" i="2"/>
  <c r="AB857" i="2"/>
  <c r="AA857" i="2"/>
  <c r="Z857" i="2"/>
  <c r="Y857" i="2"/>
  <c r="X857" i="2"/>
  <c r="W857" i="2"/>
  <c r="V857" i="2"/>
  <c r="U857" i="2"/>
  <c r="T857" i="2"/>
  <c r="A861" i="3" s="1"/>
  <c r="AM856" i="2"/>
  <c r="AL856" i="2"/>
  <c r="AK856" i="2"/>
  <c r="AJ856" i="2"/>
  <c r="AI856" i="2"/>
  <c r="AH856" i="2"/>
  <c r="F856" i="4" s="1"/>
  <c r="AG856" i="2"/>
  <c r="AF856" i="2"/>
  <c r="AE856" i="2"/>
  <c r="AD856" i="2"/>
  <c r="AC856" i="2"/>
  <c r="AB856" i="2"/>
  <c r="AA856" i="2"/>
  <c r="Z856" i="2"/>
  <c r="Y856" i="2"/>
  <c r="X856" i="2"/>
  <c r="W856" i="2"/>
  <c r="V856" i="2"/>
  <c r="U856" i="2"/>
  <c r="T856" i="2"/>
  <c r="A860" i="3" s="1"/>
  <c r="AM855" i="2"/>
  <c r="AL855" i="2"/>
  <c r="AK855" i="2"/>
  <c r="AJ855" i="2"/>
  <c r="AI855" i="2"/>
  <c r="AH855" i="2"/>
  <c r="F855" i="4" s="1"/>
  <c r="AG855" i="2"/>
  <c r="AF855" i="2"/>
  <c r="AE855" i="2"/>
  <c r="AD855" i="2"/>
  <c r="AC855" i="2"/>
  <c r="AB855" i="2"/>
  <c r="AA855" i="2"/>
  <c r="Z855" i="2"/>
  <c r="Y855" i="2"/>
  <c r="X855" i="2"/>
  <c r="W855" i="2"/>
  <c r="V855" i="2"/>
  <c r="U855" i="2"/>
  <c r="T855" i="2"/>
  <c r="A859" i="3" s="1"/>
  <c r="AM854" i="2"/>
  <c r="AL854" i="2"/>
  <c r="AK854" i="2"/>
  <c r="AJ854" i="2"/>
  <c r="AI854" i="2"/>
  <c r="AH854" i="2"/>
  <c r="F854" i="4" s="1"/>
  <c r="AG854" i="2"/>
  <c r="AF854" i="2"/>
  <c r="AE854" i="2"/>
  <c r="AD854" i="2"/>
  <c r="AC854" i="2"/>
  <c r="AB854" i="2"/>
  <c r="AA854" i="2"/>
  <c r="Z854" i="2"/>
  <c r="Y854" i="2"/>
  <c r="X854" i="2"/>
  <c r="W854" i="2"/>
  <c r="V854" i="2"/>
  <c r="U854" i="2"/>
  <c r="T854" i="2"/>
  <c r="A858" i="3" s="1"/>
  <c r="AM853" i="2"/>
  <c r="AL853" i="2"/>
  <c r="AK853" i="2"/>
  <c r="AJ853" i="2"/>
  <c r="AI853" i="2"/>
  <c r="AH853" i="2"/>
  <c r="F853" i="4" s="1"/>
  <c r="AG853" i="2"/>
  <c r="AF853" i="2"/>
  <c r="AE853" i="2"/>
  <c r="AD853" i="2"/>
  <c r="AC853" i="2"/>
  <c r="AB853" i="2"/>
  <c r="AA853" i="2"/>
  <c r="Z853" i="2"/>
  <c r="Y853" i="2"/>
  <c r="X853" i="2"/>
  <c r="W853" i="2"/>
  <c r="V853" i="2"/>
  <c r="U853" i="2"/>
  <c r="T853" i="2"/>
  <c r="A857" i="3" s="1"/>
  <c r="AM852" i="2"/>
  <c r="AL852" i="2"/>
  <c r="AK852" i="2"/>
  <c r="AJ852" i="2"/>
  <c r="AI852" i="2"/>
  <c r="AH852" i="2"/>
  <c r="F852" i="4" s="1"/>
  <c r="AG852" i="2"/>
  <c r="AF852" i="2"/>
  <c r="AE852" i="2"/>
  <c r="AD852" i="2"/>
  <c r="AC852" i="2"/>
  <c r="AB852" i="2"/>
  <c r="AA852" i="2"/>
  <c r="Z852" i="2"/>
  <c r="Y852" i="2"/>
  <c r="X852" i="2"/>
  <c r="W852" i="2"/>
  <c r="V852" i="2"/>
  <c r="U852" i="2"/>
  <c r="T852" i="2"/>
  <c r="A856" i="3" s="1"/>
  <c r="AM851" i="2"/>
  <c r="AL851" i="2"/>
  <c r="AK851" i="2"/>
  <c r="AJ851" i="2"/>
  <c r="AI851" i="2"/>
  <c r="AH851" i="2"/>
  <c r="F851" i="4" s="1"/>
  <c r="AG851" i="2"/>
  <c r="AF851" i="2"/>
  <c r="AE851" i="2"/>
  <c r="AD851" i="2"/>
  <c r="AC851" i="2"/>
  <c r="AB851" i="2"/>
  <c r="AA851" i="2"/>
  <c r="Z851" i="2"/>
  <c r="Y851" i="2"/>
  <c r="X851" i="2"/>
  <c r="W851" i="2"/>
  <c r="V851" i="2"/>
  <c r="U851" i="2"/>
  <c r="T851" i="2"/>
  <c r="A855" i="3" s="1"/>
  <c r="AM850" i="2"/>
  <c r="AL850" i="2"/>
  <c r="AK850" i="2"/>
  <c r="AJ850" i="2"/>
  <c r="AI850" i="2"/>
  <c r="AH850" i="2"/>
  <c r="F850" i="4" s="1"/>
  <c r="AG850" i="2"/>
  <c r="AF850" i="2"/>
  <c r="AE850" i="2"/>
  <c r="AD850" i="2"/>
  <c r="AC850" i="2"/>
  <c r="AB850" i="2"/>
  <c r="AA850" i="2"/>
  <c r="Z850" i="2"/>
  <c r="Y850" i="2"/>
  <c r="X850" i="2"/>
  <c r="W850" i="2"/>
  <c r="V850" i="2"/>
  <c r="U850" i="2"/>
  <c r="T850" i="2"/>
  <c r="A854" i="3" s="1"/>
  <c r="AM849" i="2"/>
  <c r="AL849" i="2"/>
  <c r="AK849" i="2"/>
  <c r="AJ849" i="2"/>
  <c r="AI849" i="2"/>
  <c r="AH849" i="2"/>
  <c r="F849" i="4" s="1"/>
  <c r="AG849" i="2"/>
  <c r="AF849" i="2"/>
  <c r="AE849" i="2"/>
  <c r="AD849" i="2"/>
  <c r="AC849" i="2"/>
  <c r="AB849" i="2"/>
  <c r="AA849" i="2"/>
  <c r="Z849" i="2"/>
  <c r="Y849" i="2"/>
  <c r="X849" i="2"/>
  <c r="W849" i="2"/>
  <c r="V849" i="2"/>
  <c r="U849" i="2"/>
  <c r="T849" i="2"/>
  <c r="A853" i="3" s="1"/>
  <c r="AM848" i="2"/>
  <c r="AL848" i="2"/>
  <c r="AK848" i="2"/>
  <c r="AJ848" i="2"/>
  <c r="AI848" i="2"/>
  <c r="AH848" i="2"/>
  <c r="F848" i="4" s="1"/>
  <c r="AG848" i="2"/>
  <c r="AF848" i="2"/>
  <c r="AE848" i="2"/>
  <c r="AD848" i="2"/>
  <c r="AC848" i="2"/>
  <c r="AB848" i="2"/>
  <c r="AA848" i="2"/>
  <c r="Z848" i="2"/>
  <c r="Y848" i="2"/>
  <c r="X848" i="2"/>
  <c r="W848" i="2"/>
  <c r="V848" i="2"/>
  <c r="U848" i="2"/>
  <c r="T848" i="2"/>
  <c r="A852" i="3" s="1"/>
  <c r="AM847" i="2"/>
  <c r="AL847" i="2"/>
  <c r="AK847" i="2"/>
  <c r="AJ847" i="2"/>
  <c r="AI847" i="2"/>
  <c r="AH847" i="2"/>
  <c r="F847" i="4" s="1"/>
  <c r="AG847" i="2"/>
  <c r="AF847" i="2"/>
  <c r="AE847" i="2"/>
  <c r="AD847" i="2"/>
  <c r="AC847" i="2"/>
  <c r="AB847" i="2"/>
  <c r="AA847" i="2"/>
  <c r="Z847" i="2"/>
  <c r="Y847" i="2"/>
  <c r="X847" i="2"/>
  <c r="W847" i="2"/>
  <c r="V847" i="2"/>
  <c r="U847" i="2"/>
  <c r="T847" i="2"/>
  <c r="A851" i="3" s="1"/>
  <c r="AM846" i="2"/>
  <c r="AL846" i="2"/>
  <c r="AK846" i="2"/>
  <c r="AJ846" i="2"/>
  <c r="AI846" i="2"/>
  <c r="AH846" i="2"/>
  <c r="F846" i="4" s="1"/>
  <c r="AG846" i="2"/>
  <c r="AF846" i="2"/>
  <c r="AE846" i="2"/>
  <c r="AD846" i="2"/>
  <c r="AC846" i="2"/>
  <c r="AB846" i="2"/>
  <c r="AA846" i="2"/>
  <c r="Z846" i="2"/>
  <c r="Y846" i="2"/>
  <c r="X846" i="2"/>
  <c r="W846" i="2"/>
  <c r="V846" i="2"/>
  <c r="U846" i="2"/>
  <c r="T846" i="2"/>
  <c r="A850" i="3" s="1"/>
  <c r="AM845" i="2"/>
  <c r="AL845" i="2"/>
  <c r="AK845" i="2"/>
  <c r="AJ845" i="2"/>
  <c r="AI845" i="2"/>
  <c r="AH845" i="2"/>
  <c r="F845" i="4" s="1"/>
  <c r="AG845" i="2"/>
  <c r="AF845" i="2"/>
  <c r="AE845" i="2"/>
  <c r="AD845" i="2"/>
  <c r="AC845" i="2"/>
  <c r="AB845" i="2"/>
  <c r="AA845" i="2"/>
  <c r="Z845" i="2"/>
  <c r="Y845" i="2"/>
  <c r="X845" i="2"/>
  <c r="W845" i="2"/>
  <c r="V845" i="2"/>
  <c r="U845" i="2"/>
  <c r="T845" i="2"/>
  <c r="A849" i="3" s="1"/>
  <c r="AM844" i="2"/>
  <c r="AL844" i="2"/>
  <c r="AK844" i="2"/>
  <c r="AJ844" i="2"/>
  <c r="AI844" i="2"/>
  <c r="AH844" i="2"/>
  <c r="F844" i="4" s="1"/>
  <c r="AG844" i="2"/>
  <c r="AF844" i="2"/>
  <c r="AE844" i="2"/>
  <c r="AD844" i="2"/>
  <c r="AC844" i="2"/>
  <c r="AB844" i="2"/>
  <c r="AA844" i="2"/>
  <c r="Z844" i="2"/>
  <c r="Y844" i="2"/>
  <c r="X844" i="2"/>
  <c r="W844" i="2"/>
  <c r="V844" i="2"/>
  <c r="U844" i="2"/>
  <c r="T844" i="2"/>
  <c r="A848" i="3" s="1"/>
  <c r="AM843" i="2"/>
  <c r="AL843" i="2"/>
  <c r="AK843" i="2"/>
  <c r="AJ843" i="2"/>
  <c r="AI843" i="2"/>
  <c r="AH843" i="2"/>
  <c r="F843" i="4" s="1"/>
  <c r="AG843" i="2"/>
  <c r="AF843" i="2"/>
  <c r="AE843" i="2"/>
  <c r="AD843" i="2"/>
  <c r="AC843" i="2"/>
  <c r="AB843" i="2"/>
  <c r="AA843" i="2"/>
  <c r="Z843" i="2"/>
  <c r="Y843" i="2"/>
  <c r="X843" i="2"/>
  <c r="W843" i="2"/>
  <c r="V843" i="2"/>
  <c r="U843" i="2"/>
  <c r="T843" i="2"/>
  <c r="A847" i="3" s="1"/>
  <c r="AM842" i="2"/>
  <c r="AL842" i="2"/>
  <c r="AK842" i="2"/>
  <c r="AJ842" i="2"/>
  <c r="AI842" i="2"/>
  <c r="AH842" i="2"/>
  <c r="F842" i="4" s="1"/>
  <c r="AG842" i="2"/>
  <c r="AF842" i="2"/>
  <c r="AE842" i="2"/>
  <c r="AD842" i="2"/>
  <c r="AC842" i="2"/>
  <c r="AB842" i="2"/>
  <c r="AA842" i="2"/>
  <c r="Z842" i="2"/>
  <c r="Y842" i="2"/>
  <c r="X842" i="2"/>
  <c r="W842" i="2"/>
  <c r="V842" i="2"/>
  <c r="U842" i="2"/>
  <c r="T842" i="2"/>
  <c r="A846" i="3" s="1"/>
  <c r="AM841" i="2"/>
  <c r="AL841" i="2"/>
  <c r="AK841" i="2"/>
  <c r="AJ841" i="2"/>
  <c r="AI841" i="2"/>
  <c r="AH841" i="2"/>
  <c r="F841" i="4" s="1"/>
  <c r="AG841" i="2"/>
  <c r="AF841" i="2"/>
  <c r="AE841" i="2"/>
  <c r="AD841" i="2"/>
  <c r="AC841" i="2"/>
  <c r="AB841" i="2"/>
  <c r="AA841" i="2"/>
  <c r="Z841" i="2"/>
  <c r="Y841" i="2"/>
  <c r="X841" i="2"/>
  <c r="W841" i="2"/>
  <c r="V841" i="2"/>
  <c r="U841" i="2"/>
  <c r="T841" i="2"/>
  <c r="A845" i="3" s="1"/>
  <c r="AM840" i="2"/>
  <c r="AL840" i="2"/>
  <c r="AK840" i="2"/>
  <c r="AJ840" i="2"/>
  <c r="AI840" i="2"/>
  <c r="AH840" i="2"/>
  <c r="F840" i="4" s="1"/>
  <c r="AG840" i="2"/>
  <c r="AF840" i="2"/>
  <c r="AE840" i="2"/>
  <c r="AD840" i="2"/>
  <c r="AC840" i="2"/>
  <c r="AB840" i="2"/>
  <c r="AA840" i="2"/>
  <c r="Z840" i="2"/>
  <c r="Y840" i="2"/>
  <c r="X840" i="2"/>
  <c r="W840" i="2"/>
  <c r="V840" i="2"/>
  <c r="U840" i="2"/>
  <c r="T840" i="2"/>
  <c r="A844" i="3" s="1"/>
  <c r="AM839" i="2"/>
  <c r="AL839" i="2"/>
  <c r="AK839" i="2"/>
  <c r="AJ839" i="2"/>
  <c r="AI839" i="2"/>
  <c r="AH839" i="2"/>
  <c r="F839" i="4" s="1"/>
  <c r="AG839" i="2"/>
  <c r="AF839" i="2"/>
  <c r="AE839" i="2"/>
  <c r="AD839" i="2"/>
  <c r="AC839" i="2"/>
  <c r="AB839" i="2"/>
  <c r="AA839" i="2"/>
  <c r="Z839" i="2"/>
  <c r="Y839" i="2"/>
  <c r="X839" i="2"/>
  <c r="W839" i="2"/>
  <c r="V839" i="2"/>
  <c r="U839" i="2"/>
  <c r="T839" i="2"/>
  <c r="A843" i="3" s="1"/>
  <c r="AM838" i="2"/>
  <c r="AL838" i="2"/>
  <c r="AK838" i="2"/>
  <c r="AJ838" i="2"/>
  <c r="AI838" i="2"/>
  <c r="AH838" i="2"/>
  <c r="F838" i="4" s="1"/>
  <c r="AG838" i="2"/>
  <c r="AF838" i="2"/>
  <c r="AE838" i="2"/>
  <c r="AD838" i="2"/>
  <c r="AC838" i="2"/>
  <c r="AB838" i="2"/>
  <c r="AA838" i="2"/>
  <c r="Z838" i="2"/>
  <c r="Y838" i="2"/>
  <c r="X838" i="2"/>
  <c r="W838" i="2"/>
  <c r="V838" i="2"/>
  <c r="U838" i="2"/>
  <c r="T838" i="2"/>
  <c r="A842" i="3" s="1"/>
  <c r="AM837" i="2"/>
  <c r="AL837" i="2"/>
  <c r="AK837" i="2"/>
  <c r="AJ837" i="2"/>
  <c r="AI837" i="2"/>
  <c r="AH837" i="2"/>
  <c r="F837" i="4" s="1"/>
  <c r="AG837" i="2"/>
  <c r="AF837" i="2"/>
  <c r="AE837" i="2"/>
  <c r="AD837" i="2"/>
  <c r="AC837" i="2"/>
  <c r="AB837" i="2"/>
  <c r="AA837" i="2"/>
  <c r="Z837" i="2"/>
  <c r="Y837" i="2"/>
  <c r="X837" i="2"/>
  <c r="W837" i="2"/>
  <c r="V837" i="2"/>
  <c r="U837" i="2"/>
  <c r="T837" i="2"/>
  <c r="A841" i="3" s="1"/>
  <c r="AM836" i="2"/>
  <c r="AL836" i="2"/>
  <c r="AK836" i="2"/>
  <c r="AJ836" i="2"/>
  <c r="AI836" i="2"/>
  <c r="AH836" i="2"/>
  <c r="F836" i="4" s="1"/>
  <c r="AG836" i="2"/>
  <c r="AF836" i="2"/>
  <c r="AE836" i="2"/>
  <c r="AD836" i="2"/>
  <c r="AC836" i="2"/>
  <c r="AB836" i="2"/>
  <c r="AA836" i="2"/>
  <c r="Z836" i="2"/>
  <c r="Y836" i="2"/>
  <c r="X836" i="2"/>
  <c r="W836" i="2"/>
  <c r="V836" i="2"/>
  <c r="U836" i="2"/>
  <c r="T836" i="2"/>
  <c r="A840" i="3" s="1"/>
  <c r="AM835" i="2"/>
  <c r="AL835" i="2"/>
  <c r="AK835" i="2"/>
  <c r="AJ835" i="2"/>
  <c r="AI835" i="2"/>
  <c r="AH835" i="2"/>
  <c r="F835" i="4" s="1"/>
  <c r="AG835" i="2"/>
  <c r="AF835" i="2"/>
  <c r="AE835" i="2"/>
  <c r="AD835" i="2"/>
  <c r="AC835" i="2"/>
  <c r="AB835" i="2"/>
  <c r="AA835" i="2"/>
  <c r="Z835" i="2"/>
  <c r="Y835" i="2"/>
  <c r="X835" i="2"/>
  <c r="W835" i="2"/>
  <c r="V835" i="2"/>
  <c r="U835" i="2"/>
  <c r="T835" i="2"/>
  <c r="A839" i="3" s="1"/>
  <c r="AM834" i="2"/>
  <c r="AL834" i="2"/>
  <c r="AK834" i="2"/>
  <c r="AJ834" i="2"/>
  <c r="AI834" i="2"/>
  <c r="AH834" i="2"/>
  <c r="F834" i="4" s="1"/>
  <c r="AG834" i="2"/>
  <c r="AF834" i="2"/>
  <c r="AE834" i="2"/>
  <c r="AD834" i="2"/>
  <c r="AC834" i="2"/>
  <c r="AB834" i="2"/>
  <c r="AA834" i="2"/>
  <c r="Z834" i="2"/>
  <c r="Y834" i="2"/>
  <c r="X834" i="2"/>
  <c r="W834" i="2"/>
  <c r="V834" i="2"/>
  <c r="U834" i="2"/>
  <c r="T834" i="2"/>
  <c r="A838" i="3" s="1"/>
  <c r="AM833" i="2"/>
  <c r="AL833" i="2"/>
  <c r="AK833" i="2"/>
  <c r="AJ833" i="2"/>
  <c r="AI833" i="2"/>
  <c r="AH833" i="2"/>
  <c r="F833" i="4" s="1"/>
  <c r="AG833" i="2"/>
  <c r="AF833" i="2"/>
  <c r="AE833" i="2"/>
  <c r="AD833" i="2"/>
  <c r="AC833" i="2"/>
  <c r="AB833" i="2"/>
  <c r="AA833" i="2"/>
  <c r="Z833" i="2"/>
  <c r="Y833" i="2"/>
  <c r="X833" i="2"/>
  <c r="W833" i="2"/>
  <c r="V833" i="2"/>
  <c r="U833" i="2"/>
  <c r="T833" i="2"/>
  <c r="A837" i="3" s="1"/>
  <c r="AM832" i="2"/>
  <c r="AL832" i="2"/>
  <c r="AK832" i="2"/>
  <c r="AJ832" i="2"/>
  <c r="AI832" i="2"/>
  <c r="AH832" i="2"/>
  <c r="F832" i="4" s="1"/>
  <c r="AG832" i="2"/>
  <c r="AF832" i="2"/>
  <c r="AE832" i="2"/>
  <c r="AD832" i="2"/>
  <c r="AC832" i="2"/>
  <c r="AB832" i="2"/>
  <c r="AA832" i="2"/>
  <c r="Z832" i="2"/>
  <c r="Y832" i="2"/>
  <c r="X832" i="2"/>
  <c r="W832" i="2"/>
  <c r="V832" i="2"/>
  <c r="U832" i="2"/>
  <c r="T832" i="2"/>
  <c r="A836" i="3" s="1"/>
  <c r="AM831" i="2"/>
  <c r="AL831" i="2"/>
  <c r="AK831" i="2"/>
  <c r="AJ831" i="2"/>
  <c r="AI831" i="2"/>
  <c r="AH831" i="2"/>
  <c r="F831" i="4" s="1"/>
  <c r="AG831" i="2"/>
  <c r="AF831" i="2"/>
  <c r="AE831" i="2"/>
  <c r="AD831" i="2"/>
  <c r="AC831" i="2"/>
  <c r="AB831" i="2"/>
  <c r="AA831" i="2"/>
  <c r="Z831" i="2"/>
  <c r="Y831" i="2"/>
  <c r="X831" i="2"/>
  <c r="W831" i="2"/>
  <c r="V831" i="2"/>
  <c r="U831" i="2"/>
  <c r="T831" i="2"/>
  <c r="A835" i="3" s="1"/>
  <c r="AM830" i="2"/>
  <c r="AL830" i="2"/>
  <c r="AK830" i="2"/>
  <c r="AJ830" i="2"/>
  <c r="AI830" i="2"/>
  <c r="AH830" i="2"/>
  <c r="F830" i="4" s="1"/>
  <c r="AG830" i="2"/>
  <c r="AF830" i="2"/>
  <c r="AE830" i="2"/>
  <c r="AD830" i="2"/>
  <c r="AC830" i="2"/>
  <c r="AB830" i="2"/>
  <c r="AA830" i="2"/>
  <c r="Z830" i="2"/>
  <c r="Y830" i="2"/>
  <c r="X830" i="2"/>
  <c r="W830" i="2"/>
  <c r="V830" i="2"/>
  <c r="U830" i="2"/>
  <c r="T830" i="2"/>
  <c r="A834" i="3" s="1"/>
  <c r="AM829" i="2"/>
  <c r="AL829" i="2"/>
  <c r="AK829" i="2"/>
  <c r="AJ829" i="2"/>
  <c r="AI829" i="2"/>
  <c r="AH829" i="2"/>
  <c r="F829" i="4" s="1"/>
  <c r="AG829" i="2"/>
  <c r="AF829" i="2"/>
  <c r="AE829" i="2"/>
  <c r="AD829" i="2"/>
  <c r="AC829" i="2"/>
  <c r="AB829" i="2"/>
  <c r="AA829" i="2"/>
  <c r="Z829" i="2"/>
  <c r="Y829" i="2"/>
  <c r="X829" i="2"/>
  <c r="W829" i="2"/>
  <c r="V829" i="2"/>
  <c r="U829" i="2"/>
  <c r="T829" i="2"/>
  <c r="A833" i="3" s="1"/>
  <c r="AM828" i="2"/>
  <c r="AL828" i="2"/>
  <c r="AK828" i="2"/>
  <c r="AJ828" i="2"/>
  <c r="AI828" i="2"/>
  <c r="AH828" i="2"/>
  <c r="F828" i="4" s="1"/>
  <c r="AG828" i="2"/>
  <c r="AF828" i="2"/>
  <c r="AE828" i="2"/>
  <c r="AD828" i="2"/>
  <c r="AC828" i="2"/>
  <c r="AB828" i="2"/>
  <c r="AA828" i="2"/>
  <c r="Z828" i="2"/>
  <c r="Y828" i="2"/>
  <c r="X828" i="2"/>
  <c r="W828" i="2"/>
  <c r="V828" i="2"/>
  <c r="U828" i="2"/>
  <c r="T828" i="2"/>
  <c r="A832" i="3" s="1"/>
  <c r="AM827" i="2"/>
  <c r="AL827" i="2"/>
  <c r="AK827" i="2"/>
  <c r="AJ827" i="2"/>
  <c r="AI827" i="2"/>
  <c r="AH827" i="2"/>
  <c r="F827" i="4" s="1"/>
  <c r="AG827" i="2"/>
  <c r="AF827" i="2"/>
  <c r="AE827" i="2"/>
  <c r="AD827" i="2"/>
  <c r="AC827" i="2"/>
  <c r="AB827" i="2"/>
  <c r="AA827" i="2"/>
  <c r="Z827" i="2"/>
  <c r="Y827" i="2"/>
  <c r="X827" i="2"/>
  <c r="W827" i="2"/>
  <c r="V827" i="2"/>
  <c r="U827" i="2"/>
  <c r="T827" i="2"/>
  <c r="A831" i="3" s="1"/>
  <c r="AM826" i="2"/>
  <c r="AL826" i="2"/>
  <c r="AK826" i="2"/>
  <c r="AJ826" i="2"/>
  <c r="AI826" i="2"/>
  <c r="AH826" i="2"/>
  <c r="F826" i="4" s="1"/>
  <c r="AG826" i="2"/>
  <c r="AF826" i="2"/>
  <c r="AE826" i="2"/>
  <c r="AD826" i="2"/>
  <c r="AC826" i="2"/>
  <c r="AB826" i="2"/>
  <c r="AA826" i="2"/>
  <c r="Z826" i="2"/>
  <c r="Y826" i="2"/>
  <c r="X826" i="2"/>
  <c r="W826" i="2"/>
  <c r="V826" i="2"/>
  <c r="U826" i="2"/>
  <c r="T826" i="2"/>
  <c r="A830" i="3" s="1"/>
  <c r="AM825" i="2"/>
  <c r="AL825" i="2"/>
  <c r="AK825" i="2"/>
  <c r="AJ825" i="2"/>
  <c r="AI825" i="2"/>
  <c r="AH825" i="2"/>
  <c r="F825" i="4" s="1"/>
  <c r="AG825" i="2"/>
  <c r="AF825" i="2"/>
  <c r="AE825" i="2"/>
  <c r="AD825" i="2"/>
  <c r="AC825" i="2"/>
  <c r="AB825" i="2"/>
  <c r="AA825" i="2"/>
  <c r="Z825" i="2"/>
  <c r="Y825" i="2"/>
  <c r="X825" i="2"/>
  <c r="W825" i="2"/>
  <c r="V825" i="2"/>
  <c r="U825" i="2"/>
  <c r="T825" i="2"/>
  <c r="A829" i="3" s="1"/>
  <c r="AM824" i="2"/>
  <c r="AL824" i="2"/>
  <c r="AK824" i="2"/>
  <c r="AJ824" i="2"/>
  <c r="AI824" i="2"/>
  <c r="AH824" i="2"/>
  <c r="F824" i="4" s="1"/>
  <c r="AG824" i="2"/>
  <c r="AF824" i="2"/>
  <c r="AE824" i="2"/>
  <c r="AD824" i="2"/>
  <c r="AC824" i="2"/>
  <c r="AB824" i="2"/>
  <c r="AA824" i="2"/>
  <c r="Z824" i="2"/>
  <c r="Y824" i="2"/>
  <c r="X824" i="2"/>
  <c r="W824" i="2"/>
  <c r="V824" i="2"/>
  <c r="U824" i="2"/>
  <c r="T824" i="2"/>
  <c r="A828" i="3" s="1"/>
  <c r="AM823" i="2"/>
  <c r="AL823" i="2"/>
  <c r="AK823" i="2"/>
  <c r="AJ823" i="2"/>
  <c r="AI823" i="2"/>
  <c r="AH823" i="2"/>
  <c r="F823" i="4" s="1"/>
  <c r="AG823" i="2"/>
  <c r="AF823" i="2"/>
  <c r="AE823" i="2"/>
  <c r="AD823" i="2"/>
  <c r="AC823" i="2"/>
  <c r="AB823" i="2"/>
  <c r="AA823" i="2"/>
  <c r="Z823" i="2"/>
  <c r="Y823" i="2"/>
  <c r="X823" i="2"/>
  <c r="W823" i="2"/>
  <c r="V823" i="2"/>
  <c r="U823" i="2"/>
  <c r="T823" i="2"/>
  <c r="A827" i="3" s="1"/>
  <c r="AM822" i="2"/>
  <c r="AL822" i="2"/>
  <c r="AK822" i="2"/>
  <c r="AJ822" i="2"/>
  <c r="AI822" i="2"/>
  <c r="AH822" i="2"/>
  <c r="F822" i="4" s="1"/>
  <c r="AG822" i="2"/>
  <c r="AF822" i="2"/>
  <c r="AE822" i="2"/>
  <c r="AD822" i="2"/>
  <c r="AC822" i="2"/>
  <c r="AB822" i="2"/>
  <c r="AA822" i="2"/>
  <c r="Z822" i="2"/>
  <c r="Y822" i="2"/>
  <c r="X822" i="2"/>
  <c r="W822" i="2"/>
  <c r="V822" i="2"/>
  <c r="U822" i="2"/>
  <c r="T822" i="2"/>
  <c r="A826" i="3" s="1"/>
  <c r="AM821" i="2"/>
  <c r="AL821" i="2"/>
  <c r="AK821" i="2"/>
  <c r="AJ821" i="2"/>
  <c r="AI821" i="2"/>
  <c r="AH821" i="2"/>
  <c r="F821" i="4" s="1"/>
  <c r="AG821" i="2"/>
  <c r="AF821" i="2"/>
  <c r="AE821" i="2"/>
  <c r="AD821" i="2"/>
  <c r="AC821" i="2"/>
  <c r="AB821" i="2"/>
  <c r="AA821" i="2"/>
  <c r="Z821" i="2"/>
  <c r="Y821" i="2"/>
  <c r="X821" i="2"/>
  <c r="W821" i="2"/>
  <c r="V821" i="2"/>
  <c r="U821" i="2"/>
  <c r="T821" i="2"/>
  <c r="A825" i="3" s="1"/>
  <c r="AM820" i="2"/>
  <c r="AL820" i="2"/>
  <c r="AK820" i="2"/>
  <c r="AJ820" i="2"/>
  <c r="AI820" i="2"/>
  <c r="AH820" i="2"/>
  <c r="F820" i="4" s="1"/>
  <c r="AG820" i="2"/>
  <c r="AF820" i="2"/>
  <c r="AE820" i="2"/>
  <c r="AD820" i="2"/>
  <c r="AC820" i="2"/>
  <c r="AB820" i="2"/>
  <c r="AA820" i="2"/>
  <c r="Z820" i="2"/>
  <c r="Y820" i="2"/>
  <c r="X820" i="2"/>
  <c r="W820" i="2"/>
  <c r="V820" i="2"/>
  <c r="U820" i="2"/>
  <c r="T820" i="2"/>
  <c r="A824" i="3" s="1"/>
  <c r="AM819" i="2"/>
  <c r="AL819" i="2"/>
  <c r="AK819" i="2"/>
  <c r="AJ819" i="2"/>
  <c r="AI819" i="2"/>
  <c r="AH819" i="2"/>
  <c r="F819" i="4" s="1"/>
  <c r="AG819" i="2"/>
  <c r="AF819" i="2"/>
  <c r="AE819" i="2"/>
  <c r="AD819" i="2"/>
  <c r="AC819" i="2"/>
  <c r="AB819" i="2"/>
  <c r="AA819" i="2"/>
  <c r="Z819" i="2"/>
  <c r="Y819" i="2"/>
  <c r="X819" i="2"/>
  <c r="W819" i="2"/>
  <c r="V819" i="2"/>
  <c r="U819" i="2"/>
  <c r="T819" i="2"/>
  <c r="A823" i="3" s="1"/>
  <c r="AM818" i="2"/>
  <c r="AL818" i="2"/>
  <c r="AK818" i="2"/>
  <c r="AJ818" i="2"/>
  <c r="AI818" i="2"/>
  <c r="AH818" i="2"/>
  <c r="F818" i="4" s="1"/>
  <c r="AG818" i="2"/>
  <c r="AF818" i="2"/>
  <c r="AE818" i="2"/>
  <c r="AD818" i="2"/>
  <c r="AC818" i="2"/>
  <c r="AB818" i="2"/>
  <c r="AA818" i="2"/>
  <c r="Z818" i="2"/>
  <c r="Y818" i="2"/>
  <c r="X818" i="2"/>
  <c r="W818" i="2"/>
  <c r="V818" i="2"/>
  <c r="U818" i="2"/>
  <c r="T818" i="2"/>
  <c r="A822" i="3" s="1"/>
  <c r="AM817" i="2"/>
  <c r="AL817" i="2"/>
  <c r="AK817" i="2"/>
  <c r="AJ817" i="2"/>
  <c r="AI817" i="2"/>
  <c r="AH817" i="2"/>
  <c r="F817" i="4" s="1"/>
  <c r="AG817" i="2"/>
  <c r="AF817" i="2"/>
  <c r="AE817" i="2"/>
  <c r="AD817" i="2"/>
  <c r="AC817" i="2"/>
  <c r="AB817" i="2"/>
  <c r="AA817" i="2"/>
  <c r="Z817" i="2"/>
  <c r="Y817" i="2"/>
  <c r="X817" i="2"/>
  <c r="W817" i="2"/>
  <c r="V817" i="2"/>
  <c r="U817" i="2"/>
  <c r="T817" i="2"/>
  <c r="A821" i="3" s="1"/>
  <c r="AM816" i="2"/>
  <c r="AL816" i="2"/>
  <c r="AK816" i="2"/>
  <c r="AJ816" i="2"/>
  <c r="AI816" i="2"/>
  <c r="AH816" i="2"/>
  <c r="F816" i="4" s="1"/>
  <c r="AG816" i="2"/>
  <c r="AF816" i="2"/>
  <c r="AE816" i="2"/>
  <c r="AD816" i="2"/>
  <c r="AC816" i="2"/>
  <c r="AB816" i="2"/>
  <c r="AA816" i="2"/>
  <c r="Z816" i="2"/>
  <c r="Y816" i="2"/>
  <c r="X816" i="2"/>
  <c r="W816" i="2"/>
  <c r="V816" i="2"/>
  <c r="U816" i="2"/>
  <c r="T816" i="2"/>
  <c r="A820" i="3" s="1"/>
  <c r="AM815" i="2"/>
  <c r="AL815" i="2"/>
  <c r="AK815" i="2"/>
  <c r="AJ815" i="2"/>
  <c r="AI815" i="2"/>
  <c r="AH815" i="2"/>
  <c r="F815" i="4" s="1"/>
  <c r="AG815" i="2"/>
  <c r="AF815" i="2"/>
  <c r="AE815" i="2"/>
  <c r="AD815" i="2"/>
  <c r="AC815" i="2"/>
  <c r="AB815" i="2"/>
  <c r="AA815" i="2"/>
  <c r="Z815" i="2"/>
  <c r="Y815" i="2"/>
  <c r="X815" i="2"/>
  <c r="W815" i="2"/>
  <c r="V815" i="2"/>
  <c r="U815" i="2"/>
  <c r="T815" i="2"/>
  <c r="A819" i="3" s="1"/>
  <c r="AM814" i="2"/>
  <c r="AL814" i="2"/>
  <c r="AK814" i="2"/>
  <c r="AJ814" i="2"/>
  <c r="AI814" i="2"/>
  <c r="AH814" i="2"/>
  <c r="F814" i="4" s="1"/>
  <c r="AG814" i="2"/>
  <c r="AF814" i="2"/>
  <c r="AE814" i="2"/>
  <c r="AD814" i="2"/>
  <c r="AC814" i="2"/>
  <c r="AB814" i="2"/>
  <c r="AA814" i="2"/>
  <c r="Z814" i="2"/>
  <c r="Y814" i="2"/>
  <c r="X814" i="2"/>
  <c r="W814" i="2"/>
  <c r="V814" i="2"/>
  <c r="U814" i="2"/>
  <c r="T814" i="2"/>
  <c r="A818" i="3" s="1"/>
  <c r="AM813" i="2"/>
  <c r="AL813" i="2"/>
  <c r="AK813" i="2"/>
  <c r="AJ813" i="2"/>
  <c r="AI813" i="2"/>
  <c r="AH813" i="2"/>
  <c r="F813" i="4" s="1"/>
  <c r="AG813" i="2"/>
  <c r="AF813" i="2"/>
  <c r="AE813" i="2"/>
  <c r="AD813" i="2"/>
  <c r="AC813" i="2"/>
  <c r="AB813" i="2"/>
  <c r="AA813" i="2"/>
  <c r="Z813" i="2"/>
  <c r="Y813" i="2"/>
  <c r="X813" i="2"/>
  <c r="W813" i="2"/>
  <c r="V813" i="2"/>
  <c r="U813" i="2"/>
  <c r="T813" i="2"/>
  <c r="A817" i="3" s="1"/>
  <c r="AM812" i="2"/>
  <c r="AL812" i="2"/>
  <c r="AK812" i="2"/>
  <c r="AJ812" i="2"/>
  <c r="AI812" i="2"/>
  <c r="AH812" i="2"/>
  <c r="F812" i="4" s="1"/>
  <c r="AG812" i="2"/>
  <c r="AF812" i="2"/>
  <c r="AE812" i="2"/>
  <c r="AD812" i="2"/>
  <c r="AC812" i="2"/>
  <c r="AB812" i="2"/>
  <c r="AA812" i="2"/>
  <c r="Z812" i="2"/>
  <c r="Y812" i="2"/>
  <c r="X812" i="2"/>
  <c r="W812" i="2"/>
  <c r="V812" i="2"/>
  <c r="U812" i="2"/>
  <c r="T812" i="2"/>
  <c r="A816" i="3" s="1"/>
  <c r="AM811" i="2"/>
  <c r="AL811" i="2"/>
  <c r="AK811" i="2"/>
  <c r="AJ811" i="2"/>
  <c r="AI811" i="2"/>
  <c r="AH811" i="2"/>
  <c r="F811" i="4" s="1"/>
  <c r="AG811" i="2"/>
  <c r="AF811" i="2"/>
  <c r="AE811" i="2"/>
  <c r="AD811" i="2"/>
  <c r="AC811" i="2"/>
  <c r="AB811" i="2"/>
  <c r="AA811" i="2"/>
  <c r="Z811" i="2"/>
  <c r="Y811" i="2"/>
  <c r="X811" i="2"/>
  <c r="W811" i="2"/>
  <c r="V811" i="2"/>
  <c r="U811" i="2"/>
  <c r="T811" i="2"/>
  <c r="A815" i="3" s="1"/>
  <c r="AM810" i="2"/>
  <c r="AL810" i="2"/>
  <c r="AK810" i="2"/>
  <c r="AJ810" i="2"/>
  <c r="AI810" i="2"/>
  <c r="AH810" i="2"/>
  <c r="F810" i="4" s="1"/>
  <c r="AG810" i="2"/>
  <c r="AF810" i="2"/>
  <c r="AE810" i="2"/>
  <c r="AD810" i="2"/>
  <c r="AC810" i="2"/>
  <c r="AB810" i="2"/>
  <c r="AA810" i="2"/>
  <c r="Z810" i="2"/>
  <c r="Y810" i="2"/>
  <c r="X810" i="2"/>
  <c r="W810" i="2"/>
  <c r="V810" i="2"/>
  <c r="U810" i="2"/>
  <c r="T810" i="2"/>
  <c r="A814" i="3" s="1"/>
  <c r="AM809" i="2"/>
  <c r="AL809" i="2"/>
  <c r="AK809" i="2"/>
  <c r="AJ809" i="2"/>
  <c r="AI809" i="2"/>
  <c r="AH809" i="2"/>
  <c r="F809" i="4" s="1"/>
  <c r="AG809" i="2"/>
  <c r="AF809" i="2"/>
  <c r="AE809" i="2"/>
  <c r="AD809" i="2"/>
  <c r="AC809" i="2"/>
  <c r="AB809" i="2"/>
  <c r="AA809" i="2"/>
  <c r="Z809" i="2"/>
  <c r="Y809" i="2"/>
  <c r="X809" i="2"/>
  <c r="W809" i="2"/>
  <c r="V809" i="2"/>
  <c r="U809" i="2"/>
  <c r="T809" i="2"/>
  <c r="A813" i="3" s="1"/>
  <c r="AM808" i="2"/>
  <c r="AL808" i="2"/>
  <c r="AK808" i="2"/>
  <c r="AJ808" i="2"/>
  <c r="AI808" i="2"/>
  <c r="AH808" i="2"/>
  <c r="F808" i="4" s="1"/>
  <c r="AG808" i="2"/>
  <c r="AF808" i="2"/>
  <c r="AE808" i="2"/>
  <c r="AD808" i="2"/>
  <c r="AC808" i="2"/>
  <c r="AB808" i="2"/>
  <c r="AA808" i="2"/>
  <c r="Z808" i="2"/>
  <c r="Y808" i="2"/>
  <c r="X808" i="2"/>
  <c r="W808" i="2"/>
  <c r="V808" i="2"/>
  <c r="U808" i="2"/>
  <c r="T808" i="2"/>
  <c r="A812" i="3" s="1"/>
  <c r="AM807" i="2"/>
  <c r="AL807" i="2"/>
  <c r="AK807" i="2"/>
  <c r="AJ807" i="2"/>
  <c r="AI807" i="2"/>
  <c r="AH807" i="2"/>
  <c r="F807" i="4" s="1"/>
  <c r="AG807" i="2"/>
  <c r="AF807" i="2"/>
  <c r="AE807" i="2"/>
  <c r="AD807" i="2"/>
  <c r="AC807" i="2"/>
  <c r="AB807" i="2"/>
  <c r="AA807" i="2"/>
  <c r="Z807" i="2"/>
  <c r="Y807" i="2"/>
  <c r="X807" i="2"/>
  <c r="W807" i="2"/>
  <c r="V807" i="2"/>
  <c r="U807" i="2"/>
  <c r="T807" i="2"/>
  <c r="A811" i="3" s="1"/>
  <c r="AM806" i="2"/>
  <c r="AL806" i="2"/>
  <c r="AK806" i="2"/>
  <c r="AJ806" i="2"/>
  <c r="AI806" i="2"/>
  <c r="AH806" i="2"/>
  <c r="F806" i="4" s="1"/>
  <c r="AG806" i="2"/>
  <c r="AF806" i="2"/>
  <c r="AE806" i="2"/>
  <c r="AD806" i="2"/>
  <c r="AC806" i="2"/>
  <c r="AB806" i="2"/>
  <c r="AA806" i="2"/>
  <c r="Z806" i="2"/>
  <c r="Y806" i="2"/>
  <c r="X806" i="2"/>
  <c r="W806" i="2"/>
  <c r="V806" i="2"/>
  <c r="U806" i="2"/>
  <c r="T806" i="2"/>
  <c r="A810" i="3" s="1"/>
  <c r="AM805" i="2"/>
  <c r="AL805" i="2"/>
  <c r="AK805" i="2"/>
  <c r="AJ805" i="2"/>
  <c r="AI805" i="2"/>
  <c r="AH805" i="2"/>
  <c r="F805" i="4" s="1"/>
  <c r="AG805" i="2"/>
  <c r="AF805" i="2"/>
  <c r="AE805" i="2"/>
  <c r="AD805" i="2"/>
  <c r="AC805" i="2"/>
  <c r="AB805" i="2"/>
  <c r="AA805" i="2"/>
  <c r="Z805" i="2"/>
  <c r="Y805" i="2"/>
  <c r="X805" i="2"/>
  <c r="W805" i="2"/>
  <c r="V805" i="2"/>
  <c r="U805" i="2"/>
  <c r="T805" i="2"/>
  <c r="A809" i="3" s="1"/>
  <c r="AM804" i="2"/>
  <c r="AL804" i="2"/>
  <c r="AK804" i="2"/>
  <c r="AJ804" i="2"/>
  <c r="AI804" i="2"/>
  <c r="AH804" i="2"/>
  <c r="F804" i="4" s="1"/>
  <c r="AG804" i="2"/>
  <c r="AF804" i="2"/>
  <c r="AE804" i="2"/>
  <c r="AD804" i="2"/>
  <c r="AC804" i="2"/>
  <c r="AB804" i="2"/>
  <c r="AA804" i="2"/>
  <c r="Z804" i="2"/>
  <c r="Y804" i="2"/>
  <c r="X804" i="2"/>
  <c r="W804" i="2"/>
  <c r="V804" i="2"/>
  <c r="U804" i="2"/>
  <c r="T804" i="2"/>
  <c r="A808" i="3" s="1"/>
  <c r="AM803" i="2"/>
  <c r="AL803" i="2"/>
  <c r="AK803" i="2"/>
  <c r="AJ803" i="2"/>
  <c r="AI803" i="2"/>
  <c r="AH803" i="2"/>
  <c r="F803" i="4" s="1"/>
  <c r="AG803" i="2"/>
  <c r="AF803" i="2"/>
  <c r="AE803" i="2"/>
  <c r="AD803" i="2"/>
  <c r="AC803" i="2"/>
  <c r="AB803" i="2"/>
  <c r="AA803" i="2"/>
  <c r="Z803" i="2"/>
  <c r="Y803" i="2"/>
  <c r="X803" i="2"/>
  <c r="W803" i="2"/>
  <c r="V803" i="2"/>
  <c r="U803" i="2"/>
  <c r="T803" i="2"/>
  <c r="A807" i="3" s="1"/>
  <c r="AM802" i="2"/>
  <c r="AL802" i="2"/>
  <c r="AK802" i="2"/>
  <c r="AJ802" i="2"/>
  <c r="AI802" i="2"/>
  <c r="AH802" i="2"/>
  <c r="F802" i="4" s="1"/>
  <c r="AG802" i="2"/>
  <c r="AF802" i="2"/>
  <c r="AE802" i="2"/>
  <c r="AD802" i="2"/>
  <c r="AC802" i="2"/>
  <c r="AB802" i="2"/>
  <c r="AA802" i="2"/>
  <c r="Z802" i="2"/>
  <c r="Y802" i="2"/>
  <c r="X802" i="2"/>
  <c r="W802" i="2"/>
  <c r="V802" i="2"/>
  <c r="U802" i="2"/>
  <c r="T802" i="2"/>
  <c r="A806" i="3" s="1"/>
  <c r="AM801" i="2"/>
  <c r="AL801" i="2"/>
  <c r="AK801" i="2"/>
  <c r="AJ801" i="2"/>
  <c r="AI801" i="2"/>
  <c r="AH801" i="2"/>
  <c r="F801" i="4" s="1"/>
  <c r="AG801" i="2"/>
  <c r="AF801" i="2"/>
  <c r="AE801" i="2"/>
  <c r="AD801" i="2"/>
  <c r="AC801" i="2"/>
  <c r="AB801" i="2"/>
  <c r="AA801" i="2"/>
  <c r="Z801" i="2"/>
  <c r="Y801" i="2"/>
  <c r="X801" i="2"/>
  <c r="W801" i="2"/>
  <c r="V801" i="2"/>
  <c r="U801" i="2"/>
  <c r="T801" i="2"/>
  <c r="A805" i="3" s="1"/>
  <c r="AM800" i="2"/>
  <c r="AL800" i="2"/>
  <c r="AK800" i="2"/>
  <c r="AJ800" i="2"/>
  <c r="AI800" i="2"/>
  <c r="AH800" i="2"/>
  <c r="F800" i="4" s="1"/>
  <c r="AG800" i="2"/>
  <c r="AF800" i="2"/>
  <c r="AE800" i="2"/>
  <c r="AD800" i="2"/>
  <c r="AC800" i="2"/>
  <c r="AB800" i="2"/>
  <c r="AA800" i="2"/>
  <c r="Z800" i="2"/>
  <c r="Y800" i="2"/>
  <c r="X800" i="2"/>
  <c r="W800" i="2"/>
  <c r="V800" i="2"/>
  <c r="U800" i="2"/>
  <c r="T800" i="2"/>
  <c r="A804" i="3" s="1"/>
  <c r="AM799" i="2"/>
  <c r="AL799" i="2"/>
  <c r="AK799" i="2"/>
  <c r="AJ799" i="2"/>
  <c r="AI799" i="2"/>
  <c r="AH799" i="2"/>
  <c r="F799" i="4" s="1"/>
  <c r="AG799" i="2"/>
  <c r="AF799" i="2"/>
  <c r="AE799" i="2"/>
  <c r="AD799" i="2"/>
  <c r="AC799" i="2"/>
  <c r="AB799" i="2"/>
  <c r="AA799" i="2"/>
  <c r="Z799" i="2"/>
  <c r="Y799" i="2"/>
  <c r="X799" i="2"/>
  <c r="W799" i="2"/>
  <c r="V799" i="2"/>
  <c r="U799" i="2"/>
  <c r="T799" i="2"/>
  <c r="A803" i="3" s="1"/>
  <c r="AM798" i="2"/>
  <c r="AL798" i="2"/>
  <c r="AK798" i="2"/>
  <c r="AJ798" i="2"/>
  <c r="AI798" i="2"/>
  <c r="AH798" i="2"/>
  <c r="F798" i="4" s="1"/>
  <c r="AG798" i="2"/>
  <c r="AF798" i="2"/>
  <c r="AE798" i="2"/>
  <c r="AD798" i="2"/>
  <c r="AC798" i="2"/>
  <c r="AB798" i="2"/>
  <c r="AA798" i="2"/>
  <c r="Z798" i="2"/>
  <c r="Y798" i="2"/>
  <c r="X798" i="2"/>
  <c r="W798" i="2"/>
  <c r="V798" i="2"/>
  <c r="U798" i="2"/>
  <c r="T798" i="2"/>
  <c r="A802" i="3" s="1"/>
  <c r="AM797" i="2"/>
  <c r="AL797" i="2"/>
  <c r="AK797" i="2"/>
  <c r="AJ797" i="2"/>
  <c r="AI797" i="2"/>
  <c r="AH797" i="2"/>
  <c r="F797" i="4" s="1"/>
  <c r="AG797" i="2"/>
  <c r="AF797" i="2"/>
  <c r="AE797" i="2"/>
  <c r="AD797" i="2"/>
  <c r="AC797" i="2"/>
  <c r="AB797" i="2"/>
  <c r="AA797" i="2"/>
  <c r="Z797" i="2"/>
  <c r="Y797" i="2"/>
  <c r="X797" i="2"/>
  <c r="W797" i="2"/>
  <c r="V797" i="2"/>
  <c r="U797" i="2"/>
  <c r="T797" i="2"/>
  <c r="A801" i="3" s="1"/>
  <c r="AM796" i="2"/>
  <c r="AL796" i="2"/>
  <c r="AK796" i="2"/>
  <c r="AJ796" i="2"/>
  <c r="AI796" i="2"/>
  <c r="AH796" i="2"/>
  <c r="F796" i="4" s="1"/>
  <c r="AG796" i="2"/>
  <c r="AF796" i="2"/>
  <c r="AE796" i="2"/>
  <c r="AD796" i="2"/>
  <c r="AC796" i="2"/>
  <c r="AB796" i="2"/>
  <c r="AA796" i="2"/>
  <c r="Z796" i="2"/>
  <c r="Y796" i="2"/>
  <c r="X796" i="2"/>
  <c r="W796" i="2"/>
  <c r="V796" i="2"/>
  <c r="U796" i="2"/>
  <c r="T796" i="2"/>
  <c r="A800" i="3" s="1"/>
  <c r="AM795" i="2"/>
  <c r="AL795" i="2"/>
  <c r="AK795" i="2"/>
  <c r="AJ795" i="2"/>
  <c r="AI795" i="2"/>
  <c r="AH795" i="2"/>
  <c r="F795" i="4" s="1"/>
  <c r="AG795" i="2"/>
  <c r="AF795" i="2"/>
  <c r="AE795" i="2"/>
  <c r="AD795" i="2"/>
  <c r="AC795" i="2"/>
  <c r="AB795" i="2"/>
  <c r="AA795" i="2"/>
  <c r="Z795" i="2"/>
  <c r="Y795" i="2"/>
  <c r="X795" i="2"/>
  <c r="W795" i="2"/>
  <c r="V795" i="2"/>
  <c r="U795" i="2"/>
  <c r="T795" i="2"/>
  <c r="A799" i="3" s="1"/>
  <c r="AM794" i="2"/>
  <c r="AL794" i="2"/>
  <c r="AK794" i="2"/>
  <c r="AJ794" i="2"/>
  <c r="AI794" i="2"/>
  <c r="AH794" i="2"/>
  <c r="F794" i="4" s="1"/>
  <c r="AG794" i="2"/>
  <c r="AF794" i="2"/>
  <c r="AE794" i="2"/>
  <c r="AD794" i="2"/>
  <c r="AC794" i="2"/>
  <c r="AB794" i="2"/>
  <c r="AA794" i="2"/>
  <c r="Z794" i="2"/>
  <c r="Y794" i="2"/>
  <c r="X794" i="2"/>
  <c r="W794" i="2"/>
  <c r="V794" i="2"/>
  <c r="U794" i="2"/>
  <c r="T794" i="2"/>
  <c r="A798" i="3" s="1"/>
  <c r="AM793" i="2"/>
  <c r="AL793" i="2"/>
  <c r="AK793" i="2"/>
  <c r="AJ793" i="2"/>
  <c r="AI793" i="2"/>
  <c r="AH793" i="2"/>
  <c r="F793" i="4" s="1"/>
  <c r="AG793" i="2"/>
  <c r="AF793" i="2"/>
  <c r="AE793" i="2"/>
  <c r="AD793" i="2"/>
  <c r="AC793" i="2"/>
  <c r="AB793" i="2"/>
  <c r="AA793" i="2"/>
  <c r="Z793" i="2"/>
  <c r="Y793" i="2"/>
  <c r="X793" i="2"/>
  <c r="W793" i="2"/>
  <c r="V793" i="2"/>
  <c r="U793" i="2"/>
  <c r="T793" i="2"/>
  <c r="A797" i="3" s="1"/>
  <c r="AM792" i="2"/>
  <c r="AL792" i="2"/>
  <c r="AK792" i="2"/>
  <c r="AJ792" i="2"/>
  <c r="AI792" i="2"/>
  <c r="AH792" i="2"/>
  <c r="F792" i="4" s="1"/>
  <c r="AG792" i="2"/>
  <c r="AF792" i="2"/>
  <c r="AE792" i="2"/>
  <c r="AD792" i="2"/>
  <c r="AC792" i="2"/>
  <c r="AB792" i="2"/>
  <c r="AA792" i="2"/>
  <c r="Z792" i="2"/>
  <c r="Y792" i="2"/>
  <c r="X792" i="2"/>
  <c r="W792" i="2"/>
  <c r="V792" i="2"/>
  <c r="U792" i="2"/>
  <c r="T792" i="2"/>
  <c r="A796" i="3" s="1"/>
  <c r="AM791" i="2"/>
  <c r="AL791" i="2"/>
  <c r="AK791" i="2"/>
  <c r="AJ791" i="2"/>
  <c r="AI791" i="2"/>
  <c r="AH791" i="2"/>
  <c r="F791" i="4" s="1"/>
  <c r="AG791" i="2"/>
  <c r="AF791" i="2"/>
  <c r="AE791" i="2"/>
  <c r="AD791" i="2"/>
  <c r="AC791" i="2"/>
  <c r="AB791" i="2"/>
  <c r="AA791" i="2"/>
  <c r="Z791" i="2"/>
  <c r="Y791" i="2"/>
  <c r="X791" i="2"/>
  <c r="W791" i="2"/>
  <c r="V791" i="2"/>
  <c r="U791" i="2"/>
  <c r="T791" i="2"/>
  <c r="A795" i="3" s="1"/>
  <c r="AM790" i="2"/>
  <c r="AL790" i="2"/>
  <c r="AK790" i="2"/>
  <c r="AJ790" i="2"/>
  <c r="AI790" i="2"/>
  <c r="AH790" i="2"/>
  <c r="F790" i="4" s="1"/>
  <c r="AG790" i="2"/>
  <c r="AF790" i="2"/>
  <c r="AE790" i="2"/>
  <c r="AD790" i="2"/>
  <c r="AC790" i="2"/>
  <c r="AB790" i="2"/>
  <c r="AA790" i="2"/>
  <c r="Z790" i="2"/>
  <c r="Y790" i="2"/>
  <c r="X790" i="2"/>
  <c r="W790" i="2"/>
  <c r="V790" i="2"/>
  <c r="U790" i="2"/>
  <c r="T790" i="2"/>
  <c r="A794" i="3" s="1"/>
  <c r="AM789" i="2"/>
  <c r="AL789" i="2"/>
  <c r="AK789" i="2"/>
  <c r="AJ789" i="2"/>
  <c r="AI789" i="2"/>
  <c r="AH789" i="2"/>
  <c r="F789" i="4" s="1"/>
  <c r="AG789" i="2"/>
  <c r="AF789" i="2"/>
  <c r="AE789" i="2"/>
  <c r="AD789" i="2"/>
  <c r="AC789" i="2"/>
  <c r="AB789" i="2"/>
  <c r="AA789" i="2"/>
  <c r="Z789" i="2"/>
  <c r="Y789" i="2"/>
  <c r="X789" i="2"/>
  <c r="W789" i="2"/>
  <c r="V789" i="2"/>
  <c r="U789" i="2"/>
  <c r="T789" i="2"/>
  <c r="A793" i="3" s="1"/>
  <c r="AM788" i="2"/>
  <c r="AL788" i="2"/>
  <c r="AK788" i="2"/>
  <c r="AJ788" i="2"/>
  <c r="AI788" i="2"/>
  <c r="AH788" i="2"/>
  <c r="F788" i="4" s="1"/>
  <c r="AG788" i="2"/>
  <c r="AF788" i="2"/>
  <c r="AE788" i="2"/>
  <c r="AD788" i="2"/>
  <c r="AC788" i="2"/>
  <c r="AB788" i="2"/>
  <c r="AA788" i="2"/>
  <c r="Z788" i="2"/>
  <c r="Y788" i="2"/>
  <c r="X788" i="2"/>
  <c r="W788" i="2"/>
  <c r="V788" i="2"/>
  <c r="U788" i="2"/>
  <c r="T788" i="2"/>
  <c r="A792" i="3" s="1"/>
  <c r="AM787" i="2"/>
  <c r="AL787" i="2"/>
  <c r="AK787" i="2"/>
  <c r="AJ787" i="2"/>
  <c r="AI787" i="2"/>
  <c r="AH787" i="2"/>
  <c r="F787" i="4" s="1"/>
  <c r="AG787" i="2"/>
  <c r="AF787" i="2"/>
  <c r="AE787" i="2"/>
  <c r="AD787" i="2"/>
  <c r="AC787" i="2"/>
  <c r="AB787" i="2"/>
  <c r="AA787" i="2"/>
  <c r="Z787" i="2"/>
  <c r="Y787" i="2"/>
  <c r="X787" i="2"/>
  <c r="W787" i="2"/>
  <c r="V787" i="2"/>
  <c r="U787" i="2"/>
  <c r="T787" i="2"/>
  <c r="A791" i="3" s="1"/>
  <c r="AM786" i="2"/>
  <c r="AL786" i="2"/>
  <c r="AK786" i="2"/>
  <c r="AJ786" i="2"/>
  <c r="AI786" i="2"/>
  <c r="AH786" i="2"/>
  <c r="F786" i="4" s="1"/>
  <c r="AG786" i="2"/>
  <c r="AF786" i="2"/>
  <c r="AE786" i="2"/>
  <c r="AD786" i="2"/>
  <c r="AC786" i="2"/>
  <c r="AB786" i="2"/>
  <c r="AA786" i="2"/>
  <c r="Z786" i="2"/>
  <c r="Y786" i="2"/>
  <c r="X786" i="2"/>
  <c r="W786" i="2"/>
  <c r="V786" i="2"/>
  <c r="U786" i="2"/>
  <c r="T786" i="2"/>
  <c r="A790" i="3" s="1"/>
  <c r="AM785" i="2"/>
  <c r="AL785" i="2"/>
  <c r="AK785" i="2"/>
  <c r="AJ785" i="2"/>
  <c r="AI785" i="2"/>
  <c r="AH785" i="2"/>
  <c r="F785" i="4" s="1"/>
  <c r="AG785" i="2"/>
  <c r="AF785" i="2"/>
  <c r="AE785" i="2"/>
  <c r="AD785" i="2"/>
  <c r="AC785" i="2"/>
  <c r="AB785" i="2"/>
  <c r="AA785" i="2"/>
  <c r="Z785" i="2"/>
  <c r="Y785" i="2"/>
  <c r="X785" i="2"/>
  <c r="W785" i="2"/>
  <c r="V785" i="2"/>
  <c r="U785" i="2"/>
  <c r="T785" i="2"/>
  <c r="A789" i="3" s="1"/>
  <c r="AM784" i="2"/>
  <c r="AL784" i="2"/>
  <c r="AK784" i="2"/>
  <c r="AJ784" i="2"/>
  <c r="AI784" i="2"/>
  <c r="AH784" i="2"/>
  <c r="F784" i="4" s="1"/>
  <c r="AG784" i="2"/>
  <c r="AF784" i="2"/>
  <c r="AE784" i="2"/>
  <c r="AD784" i="2"/>
  <c r="AC784" i="2"/>
  <c r="AB784" i="2"/>
  <c r="AA784" i="2"/>
  <c r="Z784" i="2"/>
  <c r="Y784" i="2"/>
  <c r="X784" i="2"/>
  <c r="W784" i="2"/>
  <c r="V784" i="2"/>
  <c r="U784" i="2"/>
  <c r="T784" i="2"/>
  <c r="A788" i="3" s="1"/>
  <c r="AM783" i="2"/>
  <c r="AL783" i="2"/>
  <c r="AK783" i="2"/>
  <c r="AJ783" i="2"/>
  <c r="AI783" i="2"/>
  <c r="AH783" i="2"/>
  <c r="F783" i="4" s="1"/>
  <c r="AG783" i="2"/>
  <c r="AF783" i="2"/>
  <c r="AE783" i="2"/>
  <c r="AD783" i="2"/>
  <c r="AC783" i="2"/>
  <c r="AB783" i="2"/>
  <c r="AA783" i="2"/>
  <c r="Z783" i="2"/>
  <c r="Y783" i="2"/>
  <c r="X783" i="2"/>
  <c r="W783" i="2"/>
  <c r="V783" i="2"/>
  <c r="U783" i="2"/>
  <c r="T783" i="2"/>
  <c r="A787" i="3" s="1"/>
  <c r="AM782" i="2"/>
  <c r="AL782" i="2"/>
  <c r="AK782" i="2"/>
  <c r="AJ782" i="2"/>
  <c r="AI782" i="2"/>
  <c r="AH782" i="2"/>
  <c r="F782" i="4" s="1"/>
  <c r="AG782" i="2"/>
  <c r="AF782" i="2"/>
  <c r="AE782" i="2"/>
  <c r="AD782" i="2"/>
  <c r="AC782" i="2"/>
  <c r="AB782" i="2"/>
  <c r="AA782" i="2"/>
  <c r="Z782" i="2"/>
  <c r="Y782" i="2"/>
  <c r="X782" i="2"/>
  <c r="W782" i="2"/>
  <c r="V782" i="2"/>
  <c r="U782" i="2"/>
  <c r="T782" i="2"/>
  <c r="A786" i="3" s="1"/>
  <c r="AM781" i="2"/>
  <c r="AL781" i="2"/>
  <c r="AK781" i="2"/>
  <c r="AJ781" i="2"/>
  <c r="AI781" i="2"/>
  <c r="AH781" i="2"/>
  <c r="F781" i="4" s="1"/>
  <c r="AG781" i="2"/>
  <c r="AF781" i="2"/>
  <c r="AE781" i="2"/>
  <c r="AD781" i="2"/>
  <c r="AC781" i="2"/>
  <c r="AB781" i="2"/>
  <c r="AA781" i="2"/>
  <c r="Z781" i="2"/>
  <c r="Y781" i="2"/>
  <c r="X781" i="2"/>
  <c r="W781" i="2"/>
  <c r="V781" i="2"/>
  <c r="U781" i="2"/>
  <c r="T781" i="2"/>
  <c r="A785" i="3" s="1"/>
  <c r="AM780" i="2"/>
  <c r="AL780" i="2"/>
  <c r="AK780" i="2"/>
  <c r="AJ780" i="2"/>
  <c r="AI780" i="2"/>
  <c r="AH780" i="2"/>
  <c r="F780" i="4" s="1"/>
  <c r="AG780" i="2"/>
  <c r="AF780" i="2"/>
  <c r="AE780" i="2"/>
  <c r="AD780" i="2"/>
  <c r="AC780" i="2"/>
  <c r="AB780" i="2"/>
  <c r="AA780" i="2"/>
  <c r="Z780" i="2"/>
  <c r="Y780" i="2"/>
  <c r="X780" i="2"/>
  <c r="W780" i="2"/>
  <c r="V780" i="2"/>
  <c r="U780" i="2"/>
  <c r="T780" i="2"/>
  <c r="A784" i="3" s="1"/>
  <c r="AM779" i="2"/>
  <c r="AL779" i="2"/>
  <c r="AK779" i="2"/>
  <c r="AJ779" i="2"/>
  <c r="AI779" i="2"/>
  <c r="AH779" i="2"/>
  <c r="F779" i="4" s="1"/>
  <c r="AG779" i="2"/>
  <c r="AF779" i="2"/>
  <c r="AE779" i="2"/>
  <c r="AD779" i="2"/>
  <c r="AC779" i="2"/>
  <c r="AB779" i="2"/>
  <c r="AA779" i="2"/>
  <c r="Z779" i="2"/>
  <c r="Y779" i="2"/>
  <c r="X779" i="2"/>
  <c r="W779" i="2"/>
  <c r="V779" i="2"/>
  <c r="U779" i="2"/>
  <c r="T779" i="2"/>
  <c r="A783" i="3" s="1"/>
  <c r="AM778" i="2"/>
  <c r="AL778" i="2"/>
  <c r="AK778" i="2"/>
  <c r="AJ778" i="2"/>
  <c r="AI778" i="2"/>
  <c r="AH778" i="2"/>
  <c r="F778" i="4" s="1"/>
  <c r="AG778" i="2"/>
  <c r="AF778" i="2"/>
  <c r="AE778" i="2"/>
  <c r="AD778" i="2"/>
  <c r="AC778" i="2"/>
  <c r="AB778" i="2"/>
  <c r="AA778" i="2"/>
  <c r="Z778" i="2"/>
  <c r="Y778" i="2"/>
  <c r="X778" i="2"/>
  <c r="W778" i="2"/>
  <c r="V778" i="2"/>
  <c r="U778" i="2"/>
  <c r="T778" i="2"/>
  <c r="A782" i="3" s="1"/>
  <c r="AM777" i="2"/>
  <c r="AL777" i="2"/>
  <c r="AK777" i="2"/>
  <c r="AJ777" i="2"/>
  <c r="AI777" i="2"/>
  <c r="AH777" i="2"/>
  <c r="F777" i="4" s="1"/>
  <c r="AG777" i="2"/>
  <c r="AF777" i="2"/>
  <c r="AE777" i="2"/>
  <c r="AD777" i="2"/>
  <c r="AC777" i="2"/>
  <c r="AB777" i="2"/>
  <c r="AA777" i="2"/>
  <c r="Z777" i="2"/>
  <c r="Y777" i="2"/>
  <c r="X777" i="2"/>
  <c r="W777" i="2"/>
  <c r="V777" i="2"/>
  <c r="U777" i="2"/>
  <c r="T777" i="2"/>
  <c r="A781" i="3" s="1"/>
  <c r="AM776" i="2"/>
  <c r="AL776" i="2"/>
  <c r="AK776" i="2"/>
  <c r="AJ776" i="2"/>
  <c r="AI776" i="2"/>
  <c r="AH776" i="2"/>
  <c r="F776" i="4" s="1"/>
  <c r="AG776" i="2"/>
  <c r="AF776" i="2"/>
  <c r="AE776" i="2"/>
  <c r="AD776" i="2"/>
  <c r="AC776" i="2"/>
  <c r="AB776" i="2"/>
  <c r="AA776" i="2"/>
  <c r="Z776" i="2"/>
  <c r="Y776" i="2"/>
  <c r="X776" i="2"/>
  <c r="W776" i="2"/>
  <c r="V776" i="2"/>
  <c r="U776" i="2"/>
  <c r="T776" i="2"/>
  <c r="A780" i="3" s="1"/>
  <c r="AM775" i="2"/>
  <c r="AL775" i="2"/>
  <c r="AK775" i="2"/>
  <c r="AJ775" i="2"/>
  <c r="AI775" i="2"/>
  <c r="AH775" i="2"/>
  <c r="F775" i="4" s="1"/>
  <c r="AG775" i="2"/>
  <c r="AF775" i="2"/>
  <c r="AE775" i="2"/>
  <c r="AD775" i="2"/>
  <c r="AC775" i="2"/>
  <c r="AB775" i="2"/>
  <c r="AA775" i="2"/>
  <c r="Z775" i="2"/>
  <c r="Y775" i="2"/>
  <c r="X775" i="2"/>
  <c r="W775" i="2"/>
  <c r="V775" i="2"/>
  <c r="U775" i="2"/>
  <c r="T775" i="2"/>
  <c r="A779" i="3" s="1"/>
  <c r="AM774" i="2"/>
  <c r="AL774" i="2"/>
  <c r="AK774" i="2"/>
  <c r="AJ774" i="2"/>
  <c r="AI774" i="2"/>
  <c r="AH774" i="2"/>
  <c r="F774" i="4" s="1"/>
  <c r="AG774" i="2"/>
  <c r="AF774" i="2"/>
  <c r="AE774" i="2"/>
  <c r="AD774" i="2"/>
  <c r="AC774" i="2"/>
  <c r="AB774" i="2"/>
  <c r="AA774" i="2"/>
  <c r="Z774" i="2"/>
  <c r="Y774" i="2"/>
  <c r="X774" i="2"/>
  <c r="W774" i="2"/>
  <c r="V774" i="2"/>
  <c r="U774" i="2"/>
  <c r="T774" i="2"/>
  <c r="A778" i="3" s="1"/>
  <c r="AM773" i="2"/>
  <c r="AL773" i="2"/>
  <c r="AK773" i="2"/>
  <c r="AJ773" i="2"/>
  <c r="AI773" i="2"/>
  <c r="AH773" i="2"/>
  <c r="F773" i="4" s="1"/>
  <c r="AG773" i="2"/>
  <c r="AF773" i="2"/>
  <c r="AE773" i="2"/>
  <c r="AD773" i="2"/>
  <c r="AC773" i="2"/>
  <c r="AB773" i="2"/>
  <c r="AA773" i="2"/>
  <c r="Z773" i="2"/>
  <c r="Y773" i="2"/>
  <c r="X773" i="2"/>
  <c r="W773" i="2"/>
  <c r="V773" i="2"/>
  <c r="U773" i="2"/>
  <c r="T773" i="2"/>
  <c r="A777" i="3" s="1"/>
  <c r="AM772" i="2"/>
  <c r="AL772" i="2"/>
  <c r="AK772" i="2"/>
  <c r="AJ772" i="2"/>
  <c r="AI772" i="2"/>
  <c r="AH772" i="2"/>
  <c r="F772" i="4" s="1"/>
  <c r="AG772" i="2"/>
  <c r="AF772" i="2"/>
  <c r="AE772" i="2"/>
  <c r="AD772" i="2"/>
  <c r="AC772" i="2"/>
  <c r="AB772" i="2"/>
  <c r="AA772" i="2"/>
  <c r="Z772" i="2"/>
  <c r="Y772" i="2"/>
  <c r="X772" i="2"/>
  <c r="W772" i="2"/>
  <c r="V772" i="2"/>
  <c r="U772" i="2"/>
  <c r="T772" i="2"/>
  <c r="A776" i="3" s="1"/>
  <c r="AM771" i="2"/>
  <c r="AL771" i="2"/>
  <c r="AK771" i="2"/>
  <c r="AJ771" i="2"/>
  <c r="AI771" i="2"/>
  <c r="AH771" i="2"/>
  <c r="F771" i="4" s="1"/>
  <c r="AG771" i="2"/>
  <c r="AF771" i="2"/>
  <c r="AE771" i="2"/>
  <c r="AD771" i="2"/>
  <c r="AC771" i="2"/>
  <c r="AB771" i="2"/>
  <c r="AA771" i="2"/>
  <c r="Z771" i="2"/>
  <c r="Y771" i="2"/>
  <c r="X771" i="2"/>
  <c r="W771" i="2"/>
  <c r="V771" i="2"/>
  <c r="U771" i="2"/>
  <c r="T771" i="2"/>
  <c r="A775" i="3" s="1"/>
  <c r="AM770" i="2"/>
  <c r="AL770" i="2"/>
  <c r="AK770" i="2"/>
  <c r="AJ770" i="2"/>
  <c r="AI770" i="2"/>
  <c r="AH770" i="2"/>
  <c r="F770" i="4" s="1"/>
  <c r="AG770" i="2"/>
  <c r="AF770" i="2"/>
  <c r="AE770" i="2"/>
  <c r="AD770" i="2"/>
  <c r="AC770" i="2"/>
  <c r="AB770" i="2"/>
  <c r="AA770" i="2"/>
  <c r="Z770" i="2"/>
  <c r="Y770" i="2"/>
  <c r="X770" i="2"/>
  <c r="W770" i="2"/>
  <c r="V770" i="2"/>
  <c r="U770" i="2"/>
  <c r="T770" i="2"/>
  <c r="A774" i="3" s="1"/>
  <c r="AM769" i="2"/>
  <c r="AL769" i="2"/>
  <c r="AK769" i="2"/>
  <c r="AJ769" i="2"/>
  <c r="AI769" i="2"/>
  <c r="AH769" i="2"/>
  <c r="F769" i="4" s="1"/>
  <c r="AG769" i="2"/>
  <c r="AF769" i="2"/>
  <c r="AE769" i="2"/>
  <c r="AD769" i="2"/>
  <c r="AC769" i="2"/>
  <c r="AB769" i="2"/>
  <c r="AA769" i="2"/>
  <c r="Z769" i="2"/>
  <c r="Y769" i="2"/>
  <c r="X769" i="2"/>
  <c r="W769" i="2"/>
  <c r="V769" i="2"/>
  <c r="U769" i="2"/>
  <c r="T769" i="2"/>
  <c r="A773" i="3" s="1"/>
  <c r="AM768" i="2"/>
  <c r="AL768" i="2"/>
  <c r="AK768" i="2"/>
  <c r="AJ768" i="2"/>
  <c r="AI768" i="2"/>
  <c r="AH768" i="2"/>
  <c r="F768" i="4" s="1"/>
  <c r="AG768" i="2"/>
  <c r="AF768" i="2"/>
  <c r="AE768" i="2"/>
  <c r="AD768" i="2"/>
  <c r="AC768" i="2"/>
  <c r="AB768" i="2"/>
  <c r="AA768" i="2"/>
  <c r="Z768" i="2"/>
  <c r="Y768" i="2"/>
  <c r="X768" i="2"/>
  <c r="W768" i="2"/>
  <c r="V768" i="2"/>
  <c r="U768" i="2"/>
  <c r="T768" i="2"/>
  <c r="A772" i="3" s="1"/>
  <c r="AM767" i="2"/>
  <c r="AL767" i="2"/>
  <c r="AK767" i="2"/>
  <c r="AJ767" i="2"/>
  <c r="AI767" i="2"/>
  <c r="AH767" i="2"/>
  <c r="F767" i="4" s="1"/>
  <c r="AG767" i="2"/>
  <c r="AF767" i="2"/>
  <c r="AE767" i="2"/>
  <c r="AD767" i="2"/>
  <c r="AC767" i="2"/>
  <c r="AB767" i="2"/>
  <c r="AA767" i="2"/>
  <c r="Z767" i="2"/>
  <c r="Y767" i="2"/>
  <c r="X767" i="2"/>
  <c r="W767" i="2"/>
  <c r="V767" i="2"/>
  <c r="U767" i="2"/>
  <c r="T767" i="2"/>
  <c r="A771" i="3" s="1"/>
  <c r="AM766" i="2"/>
  <c r="AL766" i="2"/>
  <c r="AK766" i="2"/>
  <c r="AJ766" i="2"/>
  <c r="AI766" i="2"/>
  <c r="AH766" i="2"/>
  <c r="F766" i="4" s="1"/>
  <c r="AG766" i="2"/>
  <c r="AF766" i="2"/>
  <c r="AE766" i="2"/>
  <c r="AD766" i="2"/>
  <c r="AC766" i="2"/>
  <c r="AB766" i="2"/>
  <c r="AA766" i="2"/>
  <c r="Z766" i="2"/>
  <c r="Y766" i="2"/>
  <c r="X766" i="2"/>
  <c r="W766" i="2"/>
  <c r="V766" i="2"/>
  <c r="U766" i="2"/>
  <c r="T766" i="2"/>
  <c r="A770" i="3" s="1"/>
  <c r="AM765" i="2"/>
  <c r="AL765" i="2"/>
  <c r="AK765" i="2"/>
  <c r="AJ765" i="2"/>
  <c r="AI765" i="2"/>
  <c r="AH765" i="2"/>
  <c r="F765" i="4" s="1"/>
  <c r="AG765" i="2"/>
  <c r="AF765" i="2"/>
  <c r="AE765" i="2"/>
  <c r="AD765" i="2"/>
  <c r="AC765" i="2"/>
  <c r="AB765" i="2"/>
  <c r="AA765" i="2"/>
  <c r="Z765" i="2"/>
  <c r="Y765" i="2"/>
  <c r="X765" i="2"/>
  <c r="W765" i="2"/>
  <c r="V765" i="2"/>
  <c r="U765" i="2"/>
  <c r="T765" i="2"/>
  <c r="A769" i="3" s="1"/>
  <c r="AM764" i="2"/>
  <c r="AL764" i="2"/>
  <c r="AK764" i="2"/>
  <c r="AJ764" i="2"/>
  <c r="AI764" i="2"/>
  <c r="AH764" i="2"/>
  <c r="F764" i="4" s="1"/>
  <c r="AG764" i="2"/>
  <c r="AF764" i="2"/>
  <c r="AE764" i="2"/>
  <c r="AD764" i="2"/>
  <c r="AC764" i="2"/>
  <c r="AB764" i="2"/>
  <c r="AA764" i="2"/>
  <c r="Z764" i="2"/>
  <c r="Y764" i="2"/>
  <c r="X764" i="2"/>
  <c r="W764" i="2"/>
  <c r="V764" i="2"/>
  <c r="U764" i="2"/>
  <c r="T764" i="2"/>
  <c r="A768" i="3" s="1"/>
  <c r="AM763" i="2"/>
  <c r="AL763" i="2"/>
  <c r="AK763" i="2"/>
  <c r="AJ763" i="2"/>
  <c r="AI763" i="2"/>
  <c r="AH763" i="2"/>
  <c r="F763" i="4" s="1"/>
  <c r="AG763" i="2"/>
  <c r="AF763" i="2"/>
  <c r="AE763" i="2"/>
  <c r="AD763" i="2"/>
  <c r="AC763" i="2"/>
  <c r="AB763" i="2"/>
  <c r="AA763" i="2"/>
  <c r="Z763" i="2"/>
  <c r="Y763" i="2"/>
  <c r="X763" i="2"/>
  <c r="W763" i="2"/>
  <c r="V763" i="2"/>
  <c r="U763" i="2"/>
  <c r="T763" i="2"/>
  <c r="A767" i="3" s="1"/>
  <c r="AM762" i="2"/>
  <c r="AL762" i="2"/>
  <c r="AK762" i="2"/>
  <c r="AJ762" i="2"/>
  <c r="AI762" i="2"/>
  <c r="AH762" i="2"/>
  <c r="F762" i="4" s="1"/>
  <c r="AG762" i="2"/>
  <c r="AF762" i="2"/>
  <c r="AE762" i="2"/>
  <c r="AD762" i="2"/>
  <c r="AC762" i="2"/>
  <c r="AB762" i="2"/>
  <c r="AA762" i="2"/>
  <c r="Z762" i="2"/>
  <c r="Y762" i="2"/>
  <c r="X762" i="2"/>
  <c r="W762" i="2"/>
  <c r="V762" i="2"/>
  <c r="U762" i="2"/>
  <c r="T762" i="2"/>
  <c r="A766" i="3" s="1"/>
  <c r="AM761" i="2"/>
  <c r="AL761" i="2"/>
  <c r="AK761" i="2"/>
  <c r="AJ761" i="2"/>
  <c r="AI761" i="2"/>
  <c r="AH761" i="2"/>
  <c r="F761" i="4" s="1"/>
  <c r="AG761" i="2"/>
  <c r="AF761" i="2"/>
  <c r="AE761" i="2"/>
  <c r="AD761" i="2"/>
  <c r="AC761" i="2"/>
  <c r="AB761" i="2"/>
  <c r="AA761" i="2"/>
  <c r="Z761" i="2"/>
  <c r="Y761" i="2"/>
  <c r="X761" i="2"/>
  <c r="W761" i="2"/>
  <c r="V761" i="2"/>
  <c r="U761" i="2"/>
  <c r="T761" i="2"/>
  <c r="A765" i="3" s="1"/>
  <c r="AM760" i="2"/>
  <c r="AL760" i="2"/>
  <c r="AK760" i="2"/>
  <c r="AJ760" i="2"/>
  <c r="AI760" i="2"/>
  <c r="AH760" i="2"/>
  <c r="F760" i="4" s="1"/>
  <c r="AG760" i="2"/>
  <c r="AF760" i="2"/>
  <c r="AE760" i="2"/>
  <c r="AD760" i="2"/>
  <c r="AC760" i="2"/>
  <c r="AB760" i="2"/>
  <c r="AA760" i="2"/>
  <c r="Z760" i="2"/>
  <c r="Y760" i="2"/>
  <c r="X760" i="2"/>
  <c r="W760" i="2"/>
  <c r="V760" i="2"/>
  <c r="U760" i="2"/>
  <c r="T760" i="2"/>
  <c r="A764" i="3" s="1"/>
  <c r="AM759" i="2"/>
  <c r="AL759" i="2"/>
  <c r="AK759" i="2"/>
  <c r="AJ759" i="2"/>
  <c r="AI759" i="2"/>
  <c r="AH759" i="2"/>
  <c r="F759" i="4" s="1"/>
  <c r="AG759" i="2"/>
  <c r="AF759" i="2"/>
  <c r="AE759" i="2"/>
  <c r="AD759" i="2"/>
  <c r="AC759" i="2"/>
  <c r="AB759" i="2"/>
  <c r="AA759" i="2"/>
  <c r="Z759" i="2"/>
  <c r="Y759" i="2"/>
  <c r="X759" i="2"/>
  <c r="W759" i="2"/>
  <c r="V759" i="2"/>
  <c r="U759" i="2"/>
  <c r="T759" i="2"/>
  <c r="A763" i="3" s="1"/>
  <c r="AM758" i="2"/>
  <c r="AL758" i="2"/>
  <c r="AK758" i="2"/>
  <c r="AJ758" i="2"/>
  <c r="AI758" i="2"/>
  <c r="AH758" i="2"/>
  <c r="F758" i="4" s="1"/>
  <c r="AG758" i="2"/>
  <c r="AF758" i="2"/>
  <c r="AE758" i="2"/>
  <c r="AD758" i="2"/>
  <c r="AC758" i="2"/>
  <c r="AB758" i="2"/>
  <c r="AA758" i="2"/>
  <c r="Z758" i="2"/>
  <c r="Y758" i="2"/>
  <c r="X758" i="2"/>
  <c r="W758" i="2"/>
  <c r="V758" i="2"/>
  <c r="U758" i="2"/>
  <c r="T758" i="2"/>
  <c r="A762" i="3" s="1"/>
  <c r="AM757" i="2"/>
  <c r="AL757" i="2"/>
  <c r="AK757" i="2"/>
  <c r="AJ757" i="2"/>
  <c r="AI757" i="2"/>
  <c r="AH757" i="2"/>
  <c r="F757" i="4" s="1"/>
  <c r="AG757" i="2"/>
  <c r="AF757" i="2"/>
  <c r="AE757" i="2"/>
  <c r="AD757" i="2"/>
  <c r="AC757" i="2"/>
  <c r="AB757" i="2"/>
  <c r="AA757" i="2"/>
  <c r="Z757" i="2"/>
  <c r="Y757" i="2"/>
  <c r="X757" i="2"/>
  <c r="W757" i="2"/>
  <c r="V757" i="2"/>
  <c r="U757" i="2"/>
  <c r="T757" i="2"/>
  <c r="A761" i="3" s="1"/>
  <c r="AM756" i="2"/>
  <c r="AL756" i="2"/>
  <c r="AK756" i="2"/>
  <c r="AJ756" i="2"/>
  <c r="AI756" i="2"/>
  <c r="AH756" i="2"/>
  <c r="F756" i="4" s="1"/>
  <c r="AG756" i="2"/>
  <c r="AF756" i="2"/>
  <c r="AE756" i="2"/>
  <c r="AD756" i="2"/>
  <c r="AC756" i="2"/>
  <c r="AB756" i="2"/>
  <c r="AA756" i="2"/>
  <c r="Z756" i="2"/>
  <c r="Y756" i="2"/>
  <c r="X756" i="2"/>
  <c r="W756" i="2"/>
  <c r="V756" i="2"/>
  <c r="U756" i="2"/>
  <c r="T756" i="2"/>
  <c r="A760" i="3" s="1"/>
  <c r="AM755" i="2"/>
  <c r="AL755" i="2"/>
  <c r="AK755" i="2"/>
  <c r="AJ755" i="2"/>
  <c r="AI755" i="2"/>
  <c r="AH755" i="2"/>
  <c r="F755" i="4" s="1"/>
  <c r="AG755" i="2"/>
  <c r="AF755" i="2"/>
  <c r="AE755" i="2"/>
  <c r="AD755" i="2"/>
  <c r="AC755" i="2"/>
  <c r="AB755" i="2"/>
  <c r="AA755" i="2"/>
  <c r="Z755" i="2"/>
  <c r="Y755" i="2"/>
  <c r="X755" i="2"/>
  <c r="W755" i="2"/>
  <c r="V755" i="2"/>
  <c r="U755" i="2"/>
  <c r="T755" i="2"/>
  <c r="A759" i="3" s="1"/>
  <c r="AM754" i="2"/>
  <c r="AL754" i="2"/>
  <c r="AK754" i="2"/>
  <c r="AJ754" i="2"/>
  <c r="AI754" i="2"/>
  <c r="AH754" i="2"/>
  <c r="F754" i="4" s="1"/>
  <c r="AG754" i="2"/>
  <c r="AF754" i="2"/>
  <c r="AE754" i="2"/>
  <c r="AD754" i="2"/>
  <c r="AC754" i="2"/>
  <c r="AB754" i="2"/>
  <c r="AA754" i="2"/>
  <c r="Z754" i="2"/>
  <c r="Y754" i="2"/>
  <c r="X754" i="2"/>
  <c r="W754" i="2"/>
  <c r="V754" i="2"/>
  <c r="U754" i="2"/>
  <c r="T754" i="2"/>
  <c r="A758" i="3" s="1"/>
  <c r="AM753" i="2"/>
  <c r="AL753" i="2"/>
  <c r="AK753" i="2"/>
  <c r="AJ753" i="2"/>
  <c r="AI753" i="2"/>
  <c r="AH753" i="2"/>
  <c r="F753" i="4" s="1"/>
  <c r="AG753" i="2"/>
  <c r="AF753" i="2"/>
  <c r="AE753" i="2"/>
  <c r="AD753" i="2"/>
  <c r="AC753" i="2"/>
  <c r="AB753" i="2"/>
  <c r="AA753" i="2"/>
  <c r="Z753" i="2"/>
  <c r="Y753" i="2"/>
  <c r="X753" i="2"/>
  <c r="W753" i="2"/>
  <c r="V753" i="2"/>
  <c r="U753" i="2"/>
  <c r="T753" i="2"/>
  <c r="A757" i="3" s="1"/>
  <c r="AM752" i="2"/>
  <c r="AL752" i="2"/>
  <c r="AK752" i="2"/>
  <c r="AJ752" i="2"/>
  <c r="AI752" i="2"/>
  <c r="AH752" i="2"/>
  <c r="F752" i="4" s="1"/>
  <c r="AG752" i="2"/>
  <c r="AF752" i="2"/>
  <c r="AE752" i="2"/>
  <c r="AD752" i="2"/>
  <c r="AC752" i="2"/>
  <c r="AB752" i="2"/>
  <c r="AA752" i="2"/>
  <c r="Z752" i="2"/>
  <c r="Y752" i="2"/>
  <c r="X752" i="2"/>
  <c r="W752" i="2"/>
  <c r="V752" i="2"/>
  <c r="U752" i="2"/>
  <c r="T752" i="2"/>
  <c r="A756" i="3" s="1"/>
  <c r="AM751" i="2"/>
  <c r="AL751" i="2"/>
  <c r="AK751" i="2"/>
  <c r="AJ751" i="2"/>
  <c r="AI751" i="2"/>
  <c r="AH751" i="2"/>
  <c r="F751" i="4" s="1"/>
  <c r="AG751" i="2"/>
  <c r="AF751" i="2"/>
  <c r="AE751" i="2"/>
  <c r="AD751" i="2"/>
  <c r="AC751" i="2"/>
  <c r="AB751" i="2"/>
  <c r="AA751" i="2"/>
  <c r="Z751" i="2"/>
  <c r="Y751" i="2"/>
  <c r="X751" i="2"/>
  <c r="W751" i="2"/>
  <c r="V751" i="2"/>
  <c r="U751" i="2"/>
  <c r="T751" i="2"/>
  <c r="A755" i="3" s="1"/>
  <c r="AM750" i="2"/>
  <c r="AL750" i="2"/>
  <c r="AK750" i="2"/>
  <c r="AJ750" i="2"/>
  <c r="AI750" i="2"/>
  <c r="AH750" i="2"/>
  <c r="F750" i="4" s="1"/>
  <c r="AG750" i="2"/>
  <c r="AF750" i="2"/>
  <c r="AE750" i="2"/>
  <c r="AD750" i="2"/>
  <c r="AC750" i="2"/>
  <c r="AB750" i="2"/>
  <c r="AA750" i="2"/>
  <c r="Z750" i="2"/>
  <c r="Y750" i="2"/>
  <c r="X750" i="2"/>
  <c r="W750" i="2"/>
  <c r="V750" i="2"/>
  <c r="U750" i="2"/>
  <c r="T750" i="2"/>
  <c r="A754" i="3" s="1"/>
  <c r="AM749" i="2"/>
  <c r="AL749" i="2"/>
  <c r="AK749" i="2"/>
  <c r="AJ749" i="2"/>
  <c r="AI749" i="2"/>
  <c r="AH749" i="2"/>
  <c r="F749" i="4" s="1"/>
  <c r="AG749" i="2"/>
  <c r="AF749" i="2"/>
  <c r="AE749" i="2"/>
  <c r="AD749" i="2"/>
  <c r="AC749" i="2"/>
  <c r="AB749" i="2"/>
  <c r="AA749" i="2"/>
  <c r="Z749" i="2"/>
  <c r="Y749" i="2"/>
  <c r="X749" i="2"/>
  <c r="W749" i="2"/>
  <c r="V749" i="2"/>
  <c r="U749" i="2"/>
  <c r="T749" i="2"/>
  <c r="A753" i="3" s="1"/>
  <c r="AM748" i="2"/>
  <c r="AL748" i="2"/>
  <c r="AK748" i="2"/>
  <c r="AJ748" i="2"/>
  <c r="AI748" i="2"/>
  <c r="AH748" i="2"/>
  <c r="F748" i="4" s="1"/>
  <c r="AG748" i="2"/>
  <c r="AF748" i="2"/>
  <c r="AE748" i="2"/>
  <c r="AD748" i="2"/>
  <c r="AC748" i="2"/>
  <c r="AB748" i="2"/>
  <c r="AA748" i="2"/>
  <c r="Z748" i="2"/>
  <c r="Y748" i="2"/>
  <c r="X748" i="2"/>
  <c r="W748" i="2"/>
  <c r="V748" i="2"/>
  <c r="U748" i="2"/>
  <c r="T748" i="2"/>
  <c r="A752" i="3" s="1"/>
  <c r="AM747" i="2"/>
  <c r="AL747" i="2"/>
  <c r="AK747" i="2"/>
  <c r="AJ747" i="2"/>
  <c r="AI747" i="2"/>
  <c r="AH747" i="2"/>
  <c r="F747" i="4" s="1"/>
  <c r="AG747" i="2"/>
  <c r="AF747" i="2"/>
  <c r="AE747" i="2"/>
  <c r="AD747" i="2"/>
  <c r="AC747" i="2"/>
  <c r="AB747" i="2"/>
  <c r="AA747" i="2"/>
  <c r="Z747" i="2"/>
  <c r="Y747" i="2"/>
  <c r="X747" i="2"/>
  <c r="W747" i="2"/>
  <c r="V747" i="2"/>
  <c r="U747" i="2"/>
  <c r="T747" i="2"/>
  <c r="A751" i="3" s="1"/>
  <c r="AM746" i="2"/>
  <c r="AL746" i="2"/>
  <c r="AK746" i="2"/>
  <c r="AJ746" i="2"/>
  <c r="AI746" i="2"/>
  <c r="AH746" i="2"/>
  <c r="F746" i="4" s="1"/>
  <c r="AG746" i="2"/>
  <c r="AF746" i="2"/>
  <c r="AE746" i="2"/>
  <c r="AD746" i="2"/>
  <c r="AC746" i="2"/>
  <c r="AB746" i="2"/>
  <c r="AA746" i="2"/>
  <c r="Z746" i="2"/>
  <c r="Y746" i="2"/>
  <c r="X746" i="2"/>
  <c r="W746" i="2"/>
  <c r="V746" i="2"/>
  <c r="U746" i="2"/>
  <c r="T746" i="2"/>
  <c r="A750" i="3" s="1"/>
  <c r="AM745" i="2"/>
  <c r="AL745" i="2"/>
  <c r="AK745" i="2"/>
  <c r="AJ745" i="2"/>
  <c r="AI745" i="2"/>
  <c r="AH745" i="2"/>
  <c r="F745" i="4" s="1"/>
  <c r="AG745" i="2"/>
  <c r="AF745" i="2"/>
  <c r="AE745" i="2"/>
  <c r="AD745" i="2"/>
  <c r="AC745" i="2"/>
  <c r="AB745" i="2"/>
  <c r="AA745" i="2"/>
  <c r="Z745" i="2"/>
  <c r="Y745" i="2"/>
  <c r="X745" i="2"/>
  <c r="W745" i="2"/>
  <c r="V745" i="2"/>
  <c r="U745" i="2"/>
  <c r="T745" i="2"/>
  <c r="A749" i="3" s="1"/>
  <c r="AM744" i="2"/>
  <c r="AL744" i="2"/>
  <c r="AK744" i="2"/>
  <c r="AJ744" i="2"/>
  <c r="AI744" i="2"/>
  <c r="AH744" i="2"/>
  <c r="F744" i="4" s="1"/>
  <c r="AG744" i="2"/>
  <c r="AF744" i="2"/>
  <c r="AE744" i="2"/>
  <c r="AD744" i="2"/>
  <c r="AC744" i="2"/>
  <c r="AB744" i="2"/>
  <c r="AA744" i="2"/>
  <c r="Z744" i="2"/>
  <c r="Y744" i="2"/>
  <c r="X744" i="2"/>
  <c r="W744" i="2"/>
  <c r="V744" i="2"/>
  <c r="U744" i="2"/>
  <c r="T744" i="2"/>
  <c r="A748" i="3" s="1"/>
  <c r="AM743" i="2"/>
  <c r="AL743" i="2"/>
  <c r="AK743" i="2"/>
  <c r="AJ743" i="2"/>
  <c r="AI743" i="2"/>
  <c r="AH743" i="2"/>
  <c r="F743" i="4" s="1"/>
  <c r="AG743" i="2"/>
  <c r="AF743" i="2"/>
  <c r="AE743" i="2"/>
  <c r="AD743" i="2"/>
  <c r="AC743" i="2"/>
  <c r="AB743" i="2"/>
  <c r="AA743" i="2"/>
  <c r="Z743" i="2"/>
  <c r="Y743" i="2"/>
  <c r="X743" i="2"/>
  <c r="W743" i="2"/>
  <c r="V743" i="2"/>
  <c r="U743" i="2"/>
  <c r="T743" i="2"/>
  <c r="A747" i="3" s="1"/>
  <c r="AM742" i="2"/>
  <c r="AL742" i="2"/>
  <c r="AK742" i="2"/>
  <c r="AJ742" i="2"/>
  <c r="AI742" i="2"/>
  <c r="AH742" i="2"/>
  <c r="F742" i="4" s="1"/>
  <c r="AG742" i="2"/>
  <c r="AF742" i="2"/>
  <c r="AE742" i="2"/>
  <c r="AD742" i="2"/>
  <c r="AC742" i="2"/>
  <c r="AB742" i="2"/>
  <c r="AA742" i="2"/>
  <c r="Z742" i="2"/>
  <c r="Y742" i="2"/>
  <c r="X742" i="2"/>
  <c r="W742" i="2"/>
  <c r="V742" i="2"/>
  <c r="U742" i="2"/>
  <c r="T742" i="2"/>
  <c r="A746" i="3" s="1"/>
  <c r="AM741" i="2"/>
  <c r="AL741" i="2"/>
  <c r="AK741" i="2"/>
  <c r="AJ741" i="2"/>
  <c r="AI741" i="2"/>
  <c r="AH741" i="2"/>
  <c r="F741" i="4" s="1"/>
  <c r="AG741" i="2"/>
  <c r="AF741" i="2"/>
  <c r="AE741" i="2"/>
  <c r="AD741" i="2"/>
  <c r="AC741" i="2"/>
  <c r="AB741" i="2"/>
  <c r="AA741" i="2"/>
  <c r="Z741" i="2"/>
  <c r="Y741" i="2"/>
  <c r="X741" i="2"/>
  <c r="W741" i="2"/>
  <c r="V741" i="2"/>
  <c r="U741" i="2"/>
  <c r="T741" i="2"/>
  <c r="A745" i="3" s="1"/>
  <c r="AM740" i="2"/>
  <c r="AL740" i="2"/>
  <c r="AK740" i="2"/>
  <c r="AJ740" i="2"/>
  <c r="AI740" i="2"/>
  <c r="AH740" i="2"/>
  <c r="F740" i="4" s="1"/>
  <c r="AG740" i="2"/>
  <c r="AF740" i="2"/>
  <c r="AE740" i="2"/>
  <c r="AD740" i="2"/>
  <c r="AC740" i="2"/>
  <c r="AB740" i="2"/>
  <c r="AA740" i="2"/>
  <c r="Z740" i="2"/>
  <c r="Y740" i="2"/>
  <c r="X740" i="2"/>
  <c r="W740" i="2"/>
  <c r="V740" i="2"/>
  <c r="U740" i="2"/>
  <c r="T740" i="2"/>
  <c r="A744" i="3" s="1"/>
  <c r="AM739" i="2"/>
  <c r="AL739" i="2"/>
  <c r="AK739" i="2"/>
  <c r="AJ739" i="2"/>
  <c r="AI739" i="2"/>
  <c r="AH739" i="2"/>
  <c r="F739" i="4" s="1"/>
  <c r="AG739" i="2"/>
  <c r="AF739" i="2"/>
  <c r="AE739" i="2"/>
  <c r="AD739" i="2"/>
  <c r="AC739" i="2"/>
  <c r="AB739" i="2"/>
  <c r="AA739" i="2"/>
  <c r="Z739" i="2"/>
  <c r="Y739" i="2"/>
  <c r="X739" i="2"/>
  <c r="W739" i="2"/>
  <c r="V739" i="2"/>
  <c r="U739" i="2"/>
  <c r="T739" i="2"/>
  <c r="A743" i="3" s="1"/>
  <c r="AM738" i="2"/>
  <c r="AL738" i="2"/>
  <c r="AK738" i="2"/>
  <c r="AJ738" i="2"/>
  <c r="AI738" i="2"/>
  <c r="AH738" i="2"/>
  <c r="F738" i="4" s="1"/>
  <c r="AG738" i="2"/>
  <c r="AF738" i="2"/>
  <c r="AE738" i="2"/>
  <c r="AD738" i="2"/>
  <c r="AC738" i="2"/>
  <c r="AB738" i="2"/>
  <c r="AA738" i="2"/>
  <c r="Z738" i="2"/>
  <c r="Y738" i="2"/>
  <c r="X738" i="2"/>
  <c r="W738" i="2"/>
  <c r="V738" i="2"/>
  <c r="U738" i="2"/>
  <c r="T738" i="2"/>
  <c r="A742" i="3" s="1"/>
  <c r="AM737" i="2"/>
  <c r="AL737" i="2"/>
  <c r="AK737" i="2"/>
  <c r="AJ737" i="2"/>
  <c r="AI737" i="2"/>
  <c r="AH737" i="2"/>
  <c r="F737" i="4" s="1"/>
  <c r="AG737" i="2"/>
  <c r="AF737" i="2"/>
  <c r="AE737" i="2"/>
  <c r="AD737" i="2"/>
  <c r="AC737" i="2"/>
  <c r="AB737" i="2"/>
  <c r="AA737" i="2"/>
  <c r="Z737" i="2"/>
  <c r="Y737" i="2"/>
  <c r="X737" i="2"/>
  <c r="W737" i="2"/>
  <c r="V737" i="2"/>
  <c r="U737" i="2"/>
  <c r="T737" i="2"/>
  <c r="A741" i="3" s="1"/>
  <c r="AM736" i="2"/>
  <c r="AL736" i="2"/>
  <c r="AK736" i="2"/>
  <c r="AJ736" i="2"/>
  <c r="AI736" i="2"/>
  <c r="AH736" i="2"/>
  <c r="F736" i="4" s="1"/>
  <c r="AG736" i="2"/>
  <c r="AF736" i="2"/>
  <c r="AE736" i="2"/>
  <c r="AD736" i="2"/>
  <c r="AC736" i="2"/>
  <c r="AB736" i="2"/>
  <c r="AA736" i="2"/>
  <c r="Z736" i="2"/>
  <c r="Y736" i="2"/>
  <c r="X736" i="2"/>
  <c r="W736" i="2"/>
  <c r="V736" i="2"/>
  <c r="U736" i="2"/>
  <c r="T736" i="2"/>
  <c r="A740" i="3" s="1"/>
  <c r="AM735" i="2"/>
  <c r="AL735" i="2"/>
  <c r="AK735" i="2"/>
  <c r="AJ735" i="2"/>
  <c r="AI735" i="2"/>
  <c r="AH735" i="2"/>
  <c r="F735" i="4" s="1"/>
  <c r="AG735" i="2"/>
  <c r="AF735" i="2"/>
  <c r="AE735" i="2"/>
  <c r="AD735" i="2"/>
  <c r="AC735" i="2"/>
  <c r="AB735" i="2"/>
  <c r="AA735" i="2"/>
  <c r="Z735" i="2"/>
  <c r="Y735" i="2"/>
  <c r="X735" i="2"/>
  <c r="W735" i="2"/>
  <c r="V735" i="2"/>
  <c r="U735" i="2"/>
  <c r="T735" i="2"/>
  <c r="A739" i="3" s="1"/>
  <c r="AM734" i="2"/>
  <c r="AL734" i="2"/>
  <c r="AK734" i="2"/>
  <c r="AJ734" i="2"/>
  <c r="AI734" i="2"/>
  <c r="AH734" i="2"/>
  <c r="F734" i="4" s="1"/>
  <c r="AG734" i="2"/>
  <c r="AF734" i="2"/>
  <c r="AE734" i="2"/>
  <c r="AD734" i="2"/>
  <c r="AC734" i="2"/>
  <c r="AB734" i="2"/>
  <c r="AA734" i="2"/>
  <c r="Z734" i="2"/>
  <c r="Y734" i="2"/>
  <c r="X734" i="2"/>
  <c r="W734" i="2"/>
  <c r="V734" i="2"/>
  <c r="U734" i="2"/>
  <c r="T734" i="2"/>
  <c r="A738" i="3" s="1"/>
  <c r="AM733" i="2"/>
  <c r="AL733" i="2"/>
  <c r="AK733" i="2"/>
  <c r="AJ733" i="2"/>
  <c r="AI733" i="2"/>
  <c r="AH733" i="2"/>
  <c r="F733" i="4" s="1"/>
  <c r="AG733" i="2"/>
  <c r="AF733" i="2"/>
  <c r="AE733" i="2"/>
  <c r="AD733" i="2"/>
  <c r="AC733" i="2"/>
  <c r="AB733" i="2"/>
  <c r="AA733" i="2"/>
  <c r="Z733" i="2"/>
  <c r="Y733" i="2"/>
  <c r="X733" i="2"/>
  <c r="W733" i="2"/>
  <c r="V733" i="2"/>
  <c r="U733" i="2"/>
  <c r="T733" i="2"/>
  <c r="A737" i="3" s="1"/>
  <c r="AM732" i="2"/>
  <c r="AL732" i="2"/>
  <c r="AK732" i="2"/>
  <c r="AJ732" i="2"/>
  <c r="AI732" i="2"/>
  <c r="AH732" i="2"/>
  <c r="F732" i="4" s="1"/>
  <c r="AG732" i="2"/>
  <c r="AF732" i="2"/>
  <c r="AE732" i="2"/>
  <c r="AD732" i="2"/>
  <c r="AC732" i="2"/>
  <c r="AB732" i="2"/>
  <c r="AA732" i="2"/>
  <c r="Z732" i="2"/>
  <c r="Y732" i="2"/>
  <c r="X732" i="2"/>
  <c r="W732" i="2"/>
  <c r="V732" i="2"/>
  <c r="U732" i="2"/>
  <c r="T732" i="2"/>
  <c r="A736" i="3" s="1"/>
  <c r="AM731" i="2"/>
  <c r="AL731" i="2"/>
  <c r="AK731" i="2"/>
  <c r="AJ731" i="2"/>
  <c r="AI731" i="2"/>
  <c r="AH731" i="2"/>
  <c r="F731" i="4" s="1"/>
  <c r="AG731" i="2"/>
  <c r="AF731" i="2"/>
  <c r="AE731" i="2"/>
  <c r="AD731" i="2"/>
  <c r="AC731" i="2"/>
  <c r="AB731" i="2"/>
  <c r="AA731" i="2"/>
  <c r="Z731" i="2"/>
  <c r="Y731" i="2"/>
  <c r="X731" i="2"/>
  <c r="W731" i="2"/>
  <c r="V731" i="2"/>
  <c r="U731" i="2"/>
  <c r="T731" i="2"/>
  <c r="A735" i="3" s="1"/>
  <c r="AM730" i="2"/>
  <c r="AL730" i="2"/>
  <c r="AK730" i="2"/>
  <c r="AJ730" i="2"/>
  <c r="AI730" i="2"/>
  <c r="AH730" i="2"/>
  <c r="F730" i="4" s="1"/>
  <c r="AG730" i="2"/>
  <c r="AF730" i="2"/>
  <c r="AE730" i="2"/>
  <c r="AD730" i="2"/>
  <c r="AC730" i="2"/>
  <c r="AB730" i="2"/>
  <c r="AA730" i="2"/>
  <c r="Z730" i="2"/>
  <c r="Y730" i="2"/>
  <c r="X730" i="2"/>
  <c r="W730" i="2"/>
  <c r="V730" i="2"/>
  <c r="U730" i="2"/>
  <c r="T730" i="2"/>
  <c r="A734" i="3" s="1"/>
  <c r="AM729" i="2"/>
  <c r="AL729" i="2"/>
  <c r="AK729" i="2"/>
  <c r="AJ729" i="2"/>
  <c r="AI729" i="2"/>
  <c r="AH729" i="2"/>
  <c r="F729" i="4" s="1"/>
  <c r="AG729" i="2"/>
  <c r="AF729" i="2"/>
  <c r="AE729" i="2"/>
  <c r="AD729" i="2"/>
  <c r="AC729" i="2"/>
  <c r="AB729" i="2"/>
  <c r="AA729" i="2"/>
  <c r="Z729" i="2"/>
  <c r="Y729" i="2"/>
  <c r="X729" i="2"/>
  <c r="W729" i="2"/>
  <c r="V729" i="2"/>
  <c r="U729" i="2"/>
  <c r="T729" i="2"/>
  <c r="A733" i="3" s="1"/>
  <c r="AM728" i="2"/>
  <c r="AL728" i="2"/>
  <c r="AK728" i="2"/>
  <c r="AJ728" i="2"/>
  <c r="AI728" i="2"/>
  <c r="AH728" i="2"/>
  <c r="F728" i="4" s="1"/>
  <c r="AG728" i="2"/>
  <c r="AF728" i="2"/>
  <c r="AE728" i="2"/>
  <c r="AD728" i="2"/>
  <c r="AC728" i="2"/>
  <c r="AB728" i="2"/>
  <c r="AA728" i="2"/>
  <c r="Z728" i="2"/>
  <c r="Y728" i="2"/>
  <c r="X728" i="2"/>
  <c r="W728" i="2"/>
  <c r="V728" i="2"/>
  <c r="U728" i="2"/>
  <c r="T728" i="2"/>
  <c r="A732" i="3" s="1"/>
  <c r="AM727" i="2"/>
  <c r="AL727" i="2"/>
  <c r="AK727" i="2"/>
  <c r="AJ727" i="2"/>
  <c r="AI727" i="2"/>
  <c r="AH727" i="2"/>
  <c r="F727" i="4" s="1"/>
  <c r="AG727" i="2"/>
  <c r="AF727" i="2"/>
  <c r="AE727" i="2"/>
  <c r="AD727" i="2"/>
  <c r="AC727" i="2"/>
  <c r="AB727" i="2"/>
  <c r="AA727" i="2"/>
  <c r="Z727" i="2"/>
  <c r="Y727" i="2"/>
  <c r="X727" i="2"/>
  <c r="W727" i="2"/>
  <c r="V727" i="2"/>
  <c r="U727" i="2"/>
  <c r="T727" i="2"/>
  <c r="A731" i="3" s="1"/>
  <c r="AM726" i="2"/>
  <c r="AL726" i="2"/>
  <c r="AK726" i="2"/>
  <c r="AJ726" i="2"/>
  <c r="AI726" i="2"/>
  <c r="AH726" i="2"/>
  <c r="F726" i="4" s="1"/>
  <c r="AG726" i="2"/>
  <c r="AF726" i="2"/>
  <c r="AE726" i="2"/>
  <c r="AD726" i="2"/>
  <c r="AC726" i="2"/>
  <c r="AB726" i="2"/>
  <c r="AA726" i="2"/>
  <c r="Z726" i="2"/>
  <c r="Y726" i="2"/>
  <c r="X726" i="2"/>
  <c r="W726" i="2"/>
  <c r="V726" i="2"/>
  <c r="U726" i="2"/>
  <c r="T726" i="2"/>
  <c r="A730" i="3" s="1"/>
  <c r="AM725" i="2"/>
  <c r="AL725" i="2"/>
  <c r="AK725" i="2"/>
  <c r="AJ725" i="2"/>
  <c r="AI725" i="2"/>
  <c r="AH725" i="2"/>
  <c r="F725" i="4" s="1"/>
  <c r="AG725" i="2"/>
  <c r="AF725" i="2"/>
  <c r="AE725" i="2"/>
  <c r="AD725" i="2"/>
  <c r="AC725" i="2"/>
  <c r="AB725" i="2"/>
  <c r="AA725" i="2"/>
  <c r="Z725" i="2"/>
  <c r="Y725" i="2"/>
  <c r="X725" i="2"/>
  <c r="W725" i="2"/>
  <c r="V725" i="2"/>
  <c r="U725" i="2"/>
  <c r="T725" i="2"/>
  <c r="A729" i="3" s="1"/>
  <c r="AM724" i="2"/>
  <c r="AL724" i="2"/>
  <c r="AK724" i="2"/>
  <c r="AJ724" i="2"/>
  <c r="AI724" i="2"/>
  <c r="AH724" i="2"/>
  <c r="F724" i="4" s="1"/>
  <c r="AG724" i="2"/>
  <c r="AF724" i="2"/>
  <c r="AE724" i="2"/>
  <c r="AD724" i="2"/>
  <c r="AC724" i="2"/>
  <c r="AB724" i="2"/>
  <c r="AA724" i="2"/>
  <c r="Z724" i="2"/>
  <c r="Y724" i="2"/>
  <c r="X724" i="2"/>
  <c r="W724" i="2"/>
  <c r="V724" i="2"/>
  <c r="U724" i="2"/>
  <c r="T724" i="2"/>
  <c r="A728" i="3" s="1"/>
  <c r="AM723" i="2"/>
  <c r="AL723" i="2"/>
  <c r="AK723" i="2"/>
  <c r="AJ723" i="2"/>
  <c r="AI723" i="2"/>
  <c r="AH723" i="2"/>
  <c r="F723" i="4" s="1"/>
  <c r="AG723" i="2"/>
  <c r="AF723" i="2"/>
  <c r="AE723" i="2"/>
  <c r="AD723" i="2"/>
  <c r="AC723" i="2"/>
  <c r="AB723" i="2"/>
  <c r="AA723" i="2"/>
  <c r="Z723" i="2"/>
  <c r="Y723" i="2"/>
  <c r="X723" i="2"/>
  <c r="W723" i="2"/>
  <c r="V723" i="2"/>
  <c r="U723" i="2"/>
  <c r="T723" i="2"/>
  <c r="A727" i="3" s="1"/>
  <c r="AM722" i="2"/>
  <c r="AL722" i="2"/>
  <c r="AK722" i="2"/>
  <c r="AJ722" i="2"/>
  <c r="AI722" i="2"/>
  <c r="AH722" i="2"/>
  <c r="F722" i="4" s="1"/>
  <c r="AG722" i="2"/>
  <c r="AF722" i="2"/>
  <c r="AE722" i="2"/>
  <c r="AD722" i="2"/>
  <c r="AC722" i="2"/>
  <c r="AB722" i="2"/>
  <c r="AA722" i="2"/>
  <c r="Z722" i="2"/>
  <c r="Y722" i="2"/>
  <c r="X722" i="2"/>
  <c r="W722" i="2"/>
  <c r="V722" i="2"/>
  <c r="U722" i="2"/>
  <c r="T722" i="2"/>
  <c r="A726" i="3" s="1"/>
  <c r="AM721" i="2"/>
  <c r="AL721" i="2"/>
  <c r="AK721" i="2"/>
  <c r="AJ721" i="2"/>
  <c r="AI721" i="2"/>
  <c r="AH721" i="2"/>
  <c r="F721" i="4" s="1"/>
  <c r="AG721" i="2"/>
  <c r="AF721" i="2"/>
  <c r="AE721" i="2"/>
  <c r="AD721" i="2"/>
  <c r="AC721" i="2"/>
  <c r="AB721" i="2"/>
  <c r="AA721" i="2"/>
  <c r="Z721" i="2"/>
  <c r="Y721" i="2"/>
  <c r="X721" i="2"/>
  <c r="W721" i="2"/>
  <c r="V721" i="2"/>
  <c r="U721" i="2"/>
  <c r="T721" i="2"/>
  <c r="A725" i="3" s="1"/>
  <c r="AM720" i="2"/>
  <c r="AL720" i="2"/>
  <c r="AK720" i="2"/>
  <c r="AJ720" i="2"/>
  <c r="AI720" i="2"/>
  <c r="AH720" i="2"/>
  <c r="F720" i="4" s="1"/>
  <c r="AG720" i="2"/>
  <c r="AF720" i="2"/>
  <c r="AE720" i="2"/>
  <c r="AD720" i="2"/>
  <c r="AC720" i="2"/>
  <c r="AB720" i="2"/>
  <c r="AA720" i="2"/>
  <c r="Z720" i="2"/>
  <c r="Y720" i="2"/>
  <c r="X720" i="2"/>
  <c r="W720" i="2"/>
  <c r="V720" i="2"/>
  <c r="U720" i="2"/>
  <c r="T720" i="2"/>
  <c r="A724" i="3" s="1"/>
  <c r="AM719" i="2"/>
  <c r="AL719" i="2"/>
  <c r="AK719" i="2"/>
  <c r="AJ719" i="2"/>
  <c r="AI719" i="2"/>
  <c r="AH719" i="2"/>
  <c r="F719" i="4" s="1"/>
  <c r="AG719" i="2"/>
  <c r="AF719" i="2"/>
  <c r="AE719" i="2"/>
  <c r="AD719" i="2"/>
  <c r="AC719" i="2"/>
  <c r="AB719" i="2"/>
  <c r="AA719" i="2"/>
  <c r="Z719" i="2"/>
  <c r="Y719" i="2"/>
  <c r="X719" i="2"/>
  <c r="W719" i="2"/>
  <c r="V719" i="2"/>
  <c r="U719" i="2"/>
  <c r="T719" i="2"/>
  <c r="A723" i="3" s="1"/>
  <c r="AM718" i="2"/>
  <c r="AL718" i="2"/>
  <c r="AK718" i="2"/>
  <c r="AJ718" i="2"/>
  <c r="AI718" i="2"/>
  <c r="AH718" i="2"/>
  <c r="F718" i="4" s="1"/>
  <c r="AG718" i="2"/>
  <c r="AF718" i="2"/>
  <c r="AE718" i="2"/>
  <c r="AD718" i="2"/>
  <c r="AC718" i="2"/>
  <c r="AB718" i="2"/>
  <c r="AA718" i="2"/>
  <c r="Z718" i="2"/>
  <c r="Y718" i="2"/>
  <c r="X718" i="2"/>
  <c r="W718" i="2"/>
  <c r="V718" i="2"/>
  <c r="U718" i="2"/>
  <c r="T718" i="2"/>
  <c r="A722" i="3" s="1"/>
  <c r="AM717" i="2"/>
  <c r="AL717" i="2"/>
  <c r="AK717" i="2"/>
  <c r="AJ717" i="2"/>
  <c r="AI717" i="2"/>
  <c r="AH717" i="2"/>
  <c r="F717" i="4" s="1"/>
  <c r="AG717" i="2"/>
  <c r="AF717" i="2"/>
  <c r="AE717" i="2"/>
  <c r="AD717" i="2"/>
  <c r="AC717" i="2"/>
  <c r="AB717" i="2"/>
  <c r="AA717" i="2"/>
  <c r="Z717" i="2"/>
  <c r="Y717" i="2"/>
  <c r="X717" i="2"/>
  <c r="W717" i="2"/>
  <c r="V717" i="2"/>
  <c r="U717" i="2"/>
  <c r="T717" i="2"/>
  <c r="A721" i="3" s="1"/>
  <c r="AM716" i="2"/>
  <c r="AL716" i="2"/>
  <c r="AK716" i="2"/>
  <c r="AJ716" i="2"/>
  <c r="AI716" i="2"/>
  <c r="AH716" i="2"/>
  <c r="F716" i="4" s="1"/>
  <c r="AG716" i="2"/>
  <c r="AF716" i="2"/>
  <c r="AE716" i="2"/>
  <c r="AD716" i="2"/>
  <c r="AC716" i="2"/>
  <c r="AB716" i="2"/>
  <c r="AA716" i="2"/>
  <c r="Z716" i="2"/>
  <c r="Y716" i="2"/>
  <c r="X716" i="2"/>
  <c r="W716" i="2"/>
  <c r="V716" i="2"/>
  <c r="U716" i="2"/>
  <c r="T716" i="2"/>
  <c r="A720" i="3" s="1"/>
  <c r="AM715" i="2"/>
  <c r="AL715" i="2"/>
  <c r="AK715" i="2"/>
  <c r="AJ715" i="2"/>
  <c r="AI715" i="2"/>
  <c r="AH715" i="2"/>
  <c r="F715" i="4" s="1"/>
  <c r="AG715" i="2"/>
  <c r="AF715" i="2"/>
  <c r="AE715" i="2"/>
  <c r="AD715" i="2"/>
  <c r="AC715" i="2"/>
  <c r="AB715" i="2"/>
  <c r="AA715" i="2"/>
  <c r="Z715" i="2"/>
  <c r="Y715" i="2"/>
  <c r="X715" i="2"/>
  <c r="W715" i="2"/>
  <c r="V715" i="2"/>
  <c r="U715" i="2"/>
  <c r="T715" i="2"/>
  <c r="A719" i="3" s="1"/>
  <c r="AM714" i="2"/>
  <c r="AL714" i="2"/>
  <c r="AK714" i="2"/>
  <c r="AJ714" i="2"/>
  <c r="AI714" i="2"/>
  <c r="AH714" i="2"/>
  <c r="F714" i="4" s="1"/>
  <c r="AG714" i="2"/>
  <c r="AF714" i="2"/>
  <c r="AE714" i="2"/>
  <c r="AD714" i="2"/>
  <c r="AC714" i="2"/>
  <c r="AB714" i="2"/>
  <c r="AA714" i="2"/>
  <c r="Z714" i="2"/>
  <c r="Y714" i="2"/>
  <c r="X714" i="2"/>
  <c r="W714" i="2"/>
  <c r="V714" i="2"/>
  <c r="U714" i="2"/>
  <c r="T714" i="2"/>
  <c r="A718" i="3" s="1"/>
  <c r="AM713" i="2"/>
  <c r="AL713" i="2"/>
  <c r="AK713" i="2"/>
  <c r="AJ713" i="2"/>
  <c r="AI713" i="2"/>
  <c r="AH713" i="2"/>
  <c r="F713" i="4" s="1"/>
  <c r="AG713" i="2"/>
  <c r="AF713" i="2"/>
  <c r="AE713" i="2"/>
  <c r="AD713" i="2"/>
  <c r="AC713" i="2"/>
  <c r="AB713" i="2"/>
  <c r="AA713" i="2"/>
  <c r="Z713" i="2"/>
  <c r="Y713" i="2"/>
  <c r="X713" i="2"/>
  <c r="W713" i="2"/>
  <c r="V713" i="2"/>
  <c r="U713" i="2"/>
  <c r="T713" i="2"/>
  <c r="A717" i="3" s="1"/>
  <c r="AM712" i="2"/>
  <c r="AL712" i="2"/>
  <c r="AK712" i="2"/>
  <c r="AJ712" i="2"/>
  <c r="AI712" i="2"/>
  <c r="AH712" i="2"/>
  <c r="F712" i="4" s="1"/>
  <c r="AG712" i="2"/>
  <c r="AF712" i="2"/>
  <c r="AE712" i="2"/>
  <c r="AD712" i="2"/>
  <c r="AC712" i="2"/>
  <c r="AB712" i="2"/>
  <c r="AA712" i="2"/>
  <c r="Z712" i="2"/>
  <c r="Y712" i="2"/>
  <c r="X712" i="2"/>
  <c r="W712" i="2"/>
  <c r="V712" i="2"/>
  <c r="U712" i="2"/>
  <c r="T712" i="2"/>
  <c r="A716" i="3" s="1"/>
  <c r="AM711" i="2"/>
  <c r="AL711" i="2"/>
  <c r="AK711" i="2"/>
  <c r="AJ711" i="2"/>
  <c r="AI711" i="2"/>
  <c r="AH711" i="2"/>
  <c r="F711" i="4" s="1"/>
  <c r="AG711" i="2"/>
  <c r="AF711" i="2"/>
  <c r="AE711" i="2"/>
  <c r="AD711" i="2"/>
  <c r="AC711" i="2"/>
  <c r="AB711" i="2"/>
  <c r="AA711" i="2"/>
  <c r="Z711" i="2"/>
  <c r="Y711" i="2"/>
  <c r="X711" i="2"/>
  <c r="W711" i="2"/>
  <c r="V711" i="2"/>
  <c r="U711" i="2"/>
  <c r="T711" i="2"/>
  <c r="A715" i="3" s="1"/>
  <c r="AM710" i="2"/>
  <c r="AL710" i="2"/>
  <c r="AK710" i="2"/>
  <c r="AJ710" i="2"/>
  <c r="AI710" i="2"/>
  <c r="AH710" i="2"/>
  <c r="F710" i="4" s="1"/>
  <c r="AG710" i="2"/>
  <c r="AF710" i="2"/>
  <c r="AE710" i="2"/>
  <c r="AD710" i="2"/>
  <c r="AC710" i="2"/>
  <c r="AB710" i="2"/>
  <c r="AA710" i="2"/>
  <c r="Z710" i="2"/>
  <c r="Y710" i="2"/>
  <c r="X710" i="2"/>
  <c r="W710" i="2"/>
  <c r="V710" i="2"/>
  <c r="U710" i="2"/>
  <c r="T710" i="2"/>
  <c r="A714" i="3" s="1"/>
  <c r="AM709" i="2"/>
  <c r="AL709" i="2"/>
  <c r="AK709" i="2"/>
  <c r="AJ709" i="2"/>
  <c r="AI709" i="2"/>
  <c r="AH709" i="2"/>
  <c r="F709" i="4" s="1"/>
  <c r="AG709" i="2"/>
  <c r="AF709" i="2"/>
  <c r="AE709" i="2"/>
  <c r="AD709" i="2"/>
  <c r="AC709" i="2"/>
  <c r="AB709" i="2"/>
  <c r="AA709" i="2"/>
  <c r="Z709" i="2"/>
  <c r="Y709" i="2"/>
  <c r="X709" i="2"/>
  <c r="W709" i="2"/>
  <c r="V709" i="2"/>
  <c r="U709" i="2"/>
  <c r="T709" i="2"/>
  <c r="A713" i="3" s="1"/>
  <c r="AM708" i="2"/>
  <c r="AL708" i="2"/>
  <c r="AK708" i="2"/>
  <c r="AJ708" i="2"/>
  <c r="AI708" i="2"/>
  <c r="AH708" i="2"/>
  <c r="F708" i="4" s="1"/>
  <c r="AG708" i="2"/>
  <c r="AF708" i="2"/>
  <c r="AE708" i="2"/>
  <c r="AD708" i="2"/>
  <c r="AC708" i="2"/>
  <c r="AB708" i="2"/>
  <c r="AA708" i="2"/>
  <c r="Z708" i="2"/>
  <c r="Y708" i="2"/>
  <c r="X708" i="2"/>
  <c r="W708" i="2"/>
  <c r="V708" i="2"/>
  <c r="U708" i="2"/>
  <c r="T708" i="2"/>
  <c r="A712" i="3" s="1"/>
  <c r="AM707" i="2"/>
  <c r="AL707" i="2"/>
  <c r="AK707" i="2"/>
  <c r="AJ707" i="2"/>
  <c r="AI707" i="2"/>
  <c r="AH707" i="2"/>
  <c r="F707" i="4" s="1"/>
  <c r="AG707" i="2"/>
  <c r="AF707" i="2"/>
  <c r="AE707" i="2"/>
  <c r="AD707" i="2"/>
  <c r="AC707" i="2"/>
  <c r="AB707" i="2"/>
  <c r="AA707" i="2"/>
  <c r="Z707" i="2"/>
  <c r="Y707" i="2"/>
  <c r="X707" i="2"/>
  <c r="W707" i="2"/>
  <c r="V707" i="2"/>
  <c r="U707" i="2"/>
  <c r="T707" i="2"/>
  <c r="A711" i="3" s="1"/>
  <c r="AM706" i="2"/>
  <c r="AL706" i="2"/>
  <c r="AK706" i="2"/>
  <c r="AJ706" i="2"/>
  <c r="AI706" i="2"/>
  <c r="AH706" i="2"/>
  <c r="F706" i="4" s="1"/>
  <c r="AG706" i="2"/>
  <c r="AF706" i="2"/>
  <c r="AE706" i="2"/>
  <c r="AD706" i="2"/>
  <c r="AC706" i="2"/>
  <c r="AB706" i="2"/>
  <c r="AA706" i="2"/>
  <c r="Z706" i="2"/>
  <c r="Y706" i="2"/>
  <c r="X706" i="2"/>
  <c r="W706" i="2"/>
  <c r="V706" i="2"/>
  <c r="U706" i="2"/>
  <c r="T706" i="2"/>
  <c r="A710" i="3" s="1"/>
  <c r="AM705" i="2"/>
  <c r="AL705" i="2"/>
  <c r="AK705" i="2"/>
  <c r="AJ705" i="2"/>
  <c r="AI705" i="2"/>
  <c r="AH705" i="2"/>
  <c r="F705" i="4" s="1"/>
  <c r="AG705" i="2"/>
  <c r="AF705" i="2"/>
  <c r="AE705" i="2"/>
  <c r="AD705" i="2"/>
  <c r="AC705" i="2"/>
  <c r="AB705" i="2"/>
  <c r="AA705" i="2"/>
  <c r="Z705" i="2"/>
  <c r="Y705" i="2"/>
  <c r="X705" i="2"/>
  <c r="W705" i="2"/>
  <c r="V705" i="2"/>
  <c r="U705" i="2"/>
  <c r="T705" i="2"/>
  <c r="A709" i="3" s="1"/>
  <c r="AM704" i="2"/>
  <c r="AL704" i="2"/>
  <c r="AK704" i="2"/>
  <c r="AJ704" i="2"/>
  <c r="AI704" i="2"/>
  <c r="AH704" i="2"/>
  <c r="F704" i="4" s="1"/>
  <c r="AG704" i="2"/>
  <c r="AF704" i="2"/>
  <c r="AE704" i="2"/>
  <c r="AD704" i="2"/>
  <c r="AC704" i="2"/>
  <c r="AB704" i="2"/>
  <c r="AA704" i="2"/>
  <c r="Z704" i="2"/>
  <c r="Y704" i="2"/>
  <c r="X704" i="2"/>
  <c r="W704" i="2"/>
  <c r="V704" i="2"/>
  <c r="U704" i="2"/>
  <c r="T704" i="2"/>
  <c r="A708" i="3" s="1"/>
  <c r="AM703" i="2"/>
  <c r="AL703" i="2"/>
  <c r="AK703" i="2"/>
  <c r="AJ703" i="2"/>
  <c r="AI703" i="2"/>
  <c r="AH703" i="2"/>
  <c r="F703" i="4" s="1"/>
  <c r="AG703" i="2"/>
  <c r="AF703" i="2"/>
  <c r="AE703" i="2"/>
  <c r="AD703" i="2"/>
  <c r="AC703" i="2"/>
  <c r="AB703" i="2"/>
  <c r="AA703" i="2"/>
  <c r="Z703" i="2"/>
  <c r="Y703" i="2"/>
  <c r="X703" i="2"/>
  <c r="W703" i="2"/>
  <c r="V703" i="2"/>
  <c r="U703" i="2"/>
  <c r="T703" i="2"/>
  <c r="A707" i="3" s="1"/>
  <c r="AM702" i="2"/>
  <c r="AL702" i="2"/>
  <c r="AK702" i="2"/>
  <c r="AJ702" i="2"/>
  <c r="AI702" i="2"/>
  <c r="AH702" i="2"/>
  <c r="F702" i="4" s="1"/>
  <c r="AG702" i="2"/>
  <c r="AF702" i="2"/>
  <c r="AE702" i="2"/>
  <c r="AD702" i="2"/>
  <c r="AC702" i="2"/>
  <c r="AB702" i="2"/>
  <c r="AA702" i="2"/>
  <c r="Z702" i="2"/>
  <c r="Y702" i="2"/>
  <c r="X702" i="2"/>
  <c r="W702" i="2"/>
  <c r="V702" i="2"/>
  <c r="U702" i="2"/>
  <c r="T702" i="2"/>
  <c r="A706" i="3" s="1"/>
  <c r="AM701" i="2"/>
  <c r="AL701" i="2"/>
  <c r="AK701" i="2"/>
  <c r="AJ701" i="2"/>
  <c r="AI701" i="2"/>
  <c r="AH701" i="2"/>
  <c r="F701" i="4" s="1"/>
  <c r="AG701" i="2"/>
  <c r="AF701" i="2"/>
  <c r="AE701" i="2"/>
  <c r="AD701" i="2"/>
  <c r="AC701" i="2"/>
  <c r="AB701" i="2"/>
  <c r="AA701" i="2"/>
  <c r="Z701" i="2"/>
  <c r="Y701" i="2"/>
  <c r="X701" i="2"/>
  <c r="W701" i="2"/>
  <c r="V701" i="2"/>
  <c r="U701" i="2"/>
  <c r="T701" i="2"/>
  <c r="A705" i="3" s="1"/>
  <c r="AM700" i="2"/>
  <c r="AL700" i="2"/>
  <c r="AK700" i="2"/>
  <c r="AJ700" i="2"/>
  <c r="AI700" i="2"/>
  <c r="AH700" i="2"/>
  <c r="F700" i="4" s="1"/>
  <c r="AG700" i="2"/>
  <c r="AF700" i="2"/>
  <c r="AE700" i="2"/>
  <c r="AD700" i="2"/>
  <c r="AC700" i="2"/>
  <c r="AB700" i="2"/>
  <c r="AA700" i="2"/>
  <c r="Z700" i="2"/>
  <c r="Y700" i="2"/>
  <c r="X700" i="2"/>
  <c r="W700" i="2"/>
  <c r="V700" i="2"/>
  <c r="U700" i="2"/>
  <c r="T700" i="2"/>
  <c r="A704" i="3" s="1"/>
  <c r="AM699" i="2"/>
  <c r="AL699" i="2"/>
  <c r="AK699" i="2"/>
  <c r="AJ699" i="2"/>
  <c r="AI699" i="2"/>
  <c r="AH699" i="2"/>
  <c r="F699" i="4" s="1"/>
  <c r="AG699" i="2"/>
  <c r="AF699" i="2"/>
  <c r="AE699" i="2"/>
  <c r="AD699" i="2"/>
  <c r="AC699" i="2"/>
  <c r="AB699" i="2"/>
  <c r="AA699" i="2"/>
  <c r="Z699" i="2"/>
  <c r="Y699" i="2"/>
  <c r="X699" i="2"/>
  <c r="W699" i="2"/>
  <c r="V699" i="2"/>
  <c r="U699" i="2"/>
  <c r="T699" i="2"/>
  <c r="A703" i="3" s="1"/>
  <c r="AM698" i="2"/>
  <c r="AL698" i="2"/>
  <c r="AK698" i="2"/>
  <c r="AJ698" i="2"/>
  <c r="AI698" i="2"/>
  <c r="AH698" i="2"/>
  <c r="F698" i="4" s="1"/>
  <c r="AG698" i="2"/>
  <c r="AF698" i="2"/>
  <c r="AE698" i="2"/>
  <c r="AD698" i="2"/>
  <c r="AC698" i="2"/>
  <c r="AB698" i="2"/>
  <c r="AA698" i="2"/>
  <c r="Z698" i="2"/>
  <c r="Y698" i="2"/>
  <c r="X698" i="2"/>
  <c r="W698" i="2"/>
  <c r="V698" i="2"/>
  <c r="U698" i="2"/>
  <c r="T698" i="2"/>
  <c r="A702" i="3" s="1"/>
  <c r="AM697" i="2"/>
  <c r="AL697" i="2"/>
  <c r="AK697" i="2"/>
  <c r="AJ697" i="2"/>
  <c r="AI697" i="2"/>
  <c r="AH697" i="2"/>
  <c r="F697" i="4" s="1"/>
  <c r="AG697" i="2"/>
  <c r="AF697" i="2"/>
  <c r="AE697" i="2"/>
  <c r="AD697" i="2"/>
  <c r="AC697" i="2"/>
  <c r="AB697" i="2"/>
  <c r="AA697" i="2"/>
  <c r="Z697" i="2"/>
  <c r="Y697" i="2"/>
  <c r="X697" i="2"/>
  <c r="W697" i="2"/>
  <c r="V697" i="2"/>
  <c r="U697" i="2"/>
  <c r="T697" i="2"/>
  <c r="A701" i="3" s="1"/>
  <c r="AM696" i="2"/>
  <c r="AL696" i="2"/>
  <c r="AK696" i="2"/>
  <c r="AJ696" i="2"/>
  <c r="AI696" i="2"/>
  <c r="AH696" i="2"/>
  <c r="F696" i="4" s="1"/>
  <c r="AG696" i="2"/>
  <c r="AF696" i="2"/>
  <c r="AE696" i="2"/>
  <c r="AD696" i="2"/>
  <c r="AC696" i="2"/>
  <c r="AB696" i="2"/>
  <c r="AA696" i="2"/>
  <c r="Z696" i="2"/>
  <c r="Y696" i="2"/>
  <c r="X696" i="2"/>
  <c r="W696" i="2"/>
  <c r="V696" i="2"/>
  <c r="U696" i="2"/>
  <c r="T696" i="2"/>
  <c r="A700" i="3" s="1"/>
  <c r="AM695" i="2"/>
  <c r="AL695" i="2"/>
  <c r="AK695" i="2"/>
  <c r="AJ695" i="2"/>
  <c r="AI695" i="2"/>
  <c r="AH695" i="2"/>
  <c r="F695" i="4" s="1"/>
  <c r="AG695" i="2"/>
  <c r="AF695" i="2"/>
  <c r="AE695" i="2"/>
  <c r="AD695" i="2"/>
  <c r="AC695" i="2"/>
  <c r="AB695" i="2"/>
  <c r="AA695" i="2"/>
  <c r="Z695" i="2"/>
  <c r="Y695" i="2"/>
  <c r="X695" i="2"/>
  <c r="W695" i="2"/>
  <c r="V695" i="2"/>
  <c r="U695" i="2"/>
  <c r="T695" i="2"/>
  <c r="A699" i="3" s="1"/>
  <c r="AM694" i="2"/>
  <c r="AL694" i="2"/>
  <c r="AK694" i="2"/>
  <c r="AJ694" i="2"/>
  <c r="AI694" i="2"/>
  <c r="AH694" i="2"/>
  <c r="F694" i="4" s="1"/>
  <c r="AG694" i="2"/>
  <c r="AF694" i="2"/>
  <c r="AE694" i="2"/>
  <c r="AD694" i="2"/>
  <c r="AC694" i="2"/>
  <c r="AB694" i="2"/>
  <c r="AA694" i="2"/>
  <c r="Z694" i="2"/>
  <c r="Y694" i="2"/>
  <c r="X694" i="2"/>
  <c r="W694" i="2"/>
  <c r="V694" i="2"/>
  <c r="U694" i="2"/>
  <c r="T694" i="2"/>
  <c r="A698" i="3" s="1"/>
  <c r="AM693" i="2"/>
  <c r="AL693" i="2"/>
  <c r="AK693" i="2"/>
  <c r="AJ693" i="2"/>
  <c r="AI693" i="2"/>
  <c r="AH693" i="2"/>
  <c r="F693" i="4" s="1"/>
  <c r="AG693" i="2"/>
  <c r="AF693" i="2"/>
  <c r="AE693" i="2"/>
  <c r="AD693" i="2"/>
  <c r="AC693" i="2"/>
  <c r="AB693" i="2"/>
  <c r="AA693" i="2"/>
  <c r="Z693" i="2"/>
  <c r="Y693" i="2"/>
  <c r="X693" i="2"/>
  <c r="W693" i="2"/>
  <c r="V693" i="2"/>
  <c r="U693" i="2"/>
  <c r="T693" i="2"/>
  <c r="A697" i="3" s="1"/>
  <c r="AM692" i="2"/>
  <c r="AL692" i="2"/>
  <c r="AK692" i="2"/>
  <c r="AJ692" i="2"/>
  <c r="AI692" i="2"/>
  <c r="AH692" i="2"/>
  <c r="F692" i="4" s="1"/>
  <c r="AG692" i="2"/>
  <c r="AF692" i="2"/>
  <c r="AE692" i="2"/>
  <c r="AD692" i="2"/>
  <c r="AC692" i="2"/>
  <c r="AB692" i="2"/>
  <c r="AA692" i="2"/>
  <c r="Z692" i="2"/>
  <c r="Y692" i="2"/>
  <c r="X692" i="2"/>
  <c r="W692" i="2"/>
  <c r="V692" i="2"/>
  <c r="U692" i="2"/>
  <c r="T692" i="2"/>
  <c r="A696" i="3" s="1"/>
  <c r="AM691" i="2"/>
  <c r="AL691" i="2"/>
  <c r="AK691" i="2"/>
  <c r="AJ691" i="2"/>
  <c r="AI691" i="2"/>
  <c r="AH691" i="2"/>
  <c r="F691" i="4" s="1"/>
  <c r="AG691" i="2"/>
  <c r="AF691" i="2"/>
  <c r="AE691" i="2"/>
  <c r="AD691" i="2"/>
  <c r="AC691" i="2"/>
  <c r="AB691" i="2"/>
  <c r="AA691" i="2"/>
  <c r="Z691" i="2"/>
  <c r="Y691" i="2"/>
  <c r="X691" i="2"/>
  <c r="W691" i="2"/>
  <c r="V691" i="2"/>
  <c r="U691" i="2"/>
  <c r="T691" i="2"/>
  <c r="A695" i="3" s="1"/>
  <c r="AM690" i="2"/>
  <c r="AL690" i="2"/>
  <c r="AK690" i="2"/>
  <c r="AJ690" i="2"/>
  <c r="AI690" i="2"/>
  <c r="AH690" i="2"/>
  <c r="F690" i="4" s="1"/>
  <c r="AG690" i="2"/>
  <c r="AF690" i="2"/>
  <c r="AE690" i="2"/>
  <c r="AD690" i="2"/>
  <c r="AC690" i="2"/>
  <c r="AB690" i="2"/>
  <c r="AA690" i="2"/>
  <c r="Z690" i="2"/>
  <c r="Y690" i="2"/>
  <c r="X690" i="2"/>
  <c r="W690" i="2"/>
  <c r="V690" i="2"/>
  <c r="U690" i="2"/>
  <c r="T690" i="2"/>
  <c r="A694" i="3" s="1"/>
  <c r="AM689" i="2"/>
  <c r="AL689" i="2"/>
  <c r="AK689" i="2"/>
  <c r="AJ689" i="2"/>
  <c r="AI689" i="2"/>
  <c r="AH689" i="2"/>
  <c r="F689" i="4" s="1"/>
  <c r="AG689" i="2"/>
  <c r="AF689" i="2"/>
  <c r="AE689" i="2"/>
  <c r="AD689" i="2"/>
  <c r="AC689" i="2"/>
  <c r="AB689" i="2"/>
  <c r="AA689" i="2"/>
  <c r="Z689" i="2"/>
  <c r="Y689" i="2"/>
  <c r="X689" i="2"/>
  <c r="W689" i="2"/>
  <c r="V689" i="2"/>
  <c r="U689" i="2"/>
  <c r="T689" i="2"/>
  <c r="A693" i="3" s="1"/>
  <c r="AM688" i="2"/>
  <c r="AL688" i="2"/>
  <c r="AK688" i="2"/>
  <c r="AJ688" i="2"/>
  <c r="AI688" i="2"/>
  <c r="AH688" i="2"/>
  <c r="F688" i="4" s="1"/>
  <c r="AG688" i="2"/>
  <c r="AF688" i="2"/>
  <c r="AE688" i="2"/>
  <c r="AD688" i="2"/>
  <c r="AC688" i="2"/>
  <c r="AB688" i="2"/>
  <c r="AA688" i="2"/>
  <c r="Z688" i="2"/>
  <c r="Y688" i="2"/>
  <c r="X688" i="2"/>
  <c r="W688" i="2"/>
  <c r="V688" i="2"/>
  <c r="U688" i="2"/>
  <c r="T688" i="2"/>
  <c r="A692" i="3" s="1"/>
  <c r="AM687" i="2"/>
  <c r="AL687" i="2"/>
  <c r="AK687" i="2"/>
  <c r="AJ687" i="2"/>
  <c r="AI687" i="2"/>
  <c r="AH687" i="2"/>
  <c r="F687" i="4" s="1"/>
  <c r="AG687" i="2"/>
  <c r="AF687" i="2"/>
  <c r="AE687" i="2"/>
  <c r="AD687" i="2"/>
  <c r="AC687" i="2"/>
  <c r="AB687" i="2"/>
  <c r="AA687" i="2"/>
  <c r="Z687" i="2"/>
  <c r="Y687" i="2"/>
  <c r="X687" i="2"/>
  <c r="W687" i="2"/>
  <c r="V687" i="2"/>
  <c r="U687" i="2"/>
  <c r="T687" i="2"/>
  <c r="A691" i="3" s="1"/>
  <c r="AM686" i="2"/>
  <c r="AL686" i="2"/>
  <c r="AK686" i="2"/>
  <c r="AJ686" i="2"/>
  <c r="AI686" i="2"/>
  <c r="AH686" i="2"/>
  <c r="F686" i="4" s="1"/>
  <c r="AG686" i="2"/>
  <c r="AF686" i="2"/>
  <c r="AE686" i="2"/>
  <c r="AD686" i="2"/>
  <c r="AC686" i="2"/>
  <c r="AB686" i="2"/>
  <c r="AA686" i="2"/>
  <c r="Z686" i="2"/>
  <c r="Y686" i="2"/>
  <c r="X686" i="2"/>
  <c r="W686" i="2"/>
  <c r="V686" i="2"/>
  <c r="U686" i="2"/>
  <c r="T686" i="2"/>
  <c r="A690" i="3" s="1"/>
  <c r="AM685" i="2"/>
  <c r="AL685" i="2"/>
  <c r="AK685" i="2"/>
  <c r="AJ685" i="2"/>
  <c r="AI685" i="2"/>
  <c r="AH685" i="2"/>
  <c r="F685" i="4" s="1"/>
  <c r="AG685" i="2"/>
  <c r="AF685" i="2"/>
  <c r="AE685" i="2"/>
  <c r="AD685" i="2"/>
  <c r="AC685" i="2"/>
  <c r="AB685" i="2"/>
  <c r="AA685" i="2"/>
  <c r="Z685" i="2"/>
  <c r="Y685" i="2"/>
  <c r="X685" i="2"/>
  <c r="W685" i="2"/>
  <c r="V685" i="2"/>
  <c r="U685" i="2"/>
  <c r="T685" i="2"/>
  <c r="A689" i="3" s="1"/>
  <c r="AM684" i="2"/>
  <c r="AL684" i="2"/>
  <c r="AK684" i="2"/>
  <c r="AJ684" i="2"/>
  <c r="AI684" i="2"/>
  <c r="AH684" i="2"/>
  <c r="F684" i="4" s="1"/>
  <c r="AG684" i="2"/>
  <c r="AF684" i="2"/>
  <c r="AE684" i="2"/>
  <c r="AD684" i="2"/>
  <c r="AC684" i="2"/>
  <c r="AB684" i="2"/>
  <c r="AA684" i="2"/>
  <c r="Z684" i="2"/>
  <c r="Y684" i="2"/>
  <c r="X684" i="2"/>
  <c r="W684" i="2"/>
  <c r="V684" i="2"/>
  <c r="U684" i="2"/>
  <c r="T684" i="2"/>
  <c r="A688" i="3" s="1"/>
  <c r="AM683" i="2"/>
  <c r="AL683" i="2"/>
  <c r="AK683" i="2"/>
  <c r="AJ683" i="2"/>
  <c r="AI683" i="2"/>
  <c r="AH683" i="2"/>
  <c r="F683" i="4" s="1"/>
  <c r="AG683" i="2"/>
  <c r="AF683" i="2"/>
  <c r="AE683" i="2"/>
  <c r="AD683" i="2"/>
  <c r="AC683" i="2"/>
  <c r="AB683" i="2"/>
  <c r="AA683" i="2"/>
  <c r="Z683" i="2"/>
  <c r="Y683" i="2"/>
  <c r="X683" i="2"/>
  <c r="W683" i="2"/>
  <c r="V683" i="2"/>
  <c r="U683" i="2"/>
  <c r="T683" i="2"/>
  <c r="A687" i="3" s="1"/>
  <c r="AM682" i="2"/>
  <c r="AL682" i="2"/>
  <c r="AK682" i="2"/>
  <c r="AJ682" i="2"/>
  <c r="AI682" i="2"/>
  <c r="AH682" i="2"/>
  <c r="F682" i="4" s="1"/>
  <c r="AG682" i="2"/>
  <c r="AF682" i="2"/>
  <c r="AE682" i="2"/>
  <c r="AD682" i="2"/>
  <c r="AC682" i="2"/>
  <c r="AB682" i="2"/>
  <c r="AA682" i="2"/>
  <c r="Z682" i="2"/>
  <c r="Y682" i="2"/>
  <c r="X682" i="2"/>
  <c r="W682" i="2"/>
  <c r="V682" i="2"/>
  <c r="U682" i="2"/>
  <c r="T682" i="2"/>
  <c r="A686" i="3" s="1"/>
  <c r="AM681" i="2"/>
  <c r="AL681" i="2"/>
  <c r="AK681" i="2"/>
  <c r="AJ681" i="2"/>
  <c r="AI681" i="2"/>
  <c r="AH681" i="2"/>
  <c r="F681" i="4" s="1"/>
  <c r="AG681" i="2"/>
  <c r="AF681" i="2"/>
  <c r="AE681" i="2"/>
  <c r="AD681" i="2"/>
  <c r="AC681" i="2"/>
  <c r="AB681" i="2"/>
  <c r="AA681" i="2"/>
  <c r="Z681" i="2"/>
  <c r="Y681" i="2"/>
  <c r="X681" i="2"/>
  <c r="W681" i="2"/>
  <c r="V681" i="2"/>
  <c r="U681" i="2"/>
  <c r="T681" i="2"/>
  <c r="A685" i="3" s="1"/>
  <c r="AM680" i="2"/>
  <c r="AL680" i="2"/>
  <c r="AK680" i="2"/>
  <c r="AJ680" i="2"/>
  <c r="AI680" i="2"/>
  <c r="AH680" i="2"/>
  <c r="F680" i="4" s="1"/>
  <c r="AG680" i="2"/>
  <c r="AF680" i="2"/>
  <c r="AE680" i="2"/>
  <c r="AD680" i="2"/>
  <c r="AC680" i="2"/>
  <c r="AB680" i="2"/>
  <c r="AA680" i="2"/>
  <c r="Z680" i="2"/>
  <c r="Y680" i="2"/>
  <c r="X680" i="2"/>
  <c r="W680" i="2"/>
  <c r="V680" i="2"/>
  <c r="U680" i="2"/>
  <c r="T680" i="2"/>
  <c r="A684" i="3" s="1"/>
  <c r="AM679" i="2"/>
  <c r="AL679" i="2"/>
  <c r="AK679" i="2"/>
  <c r="AJ679" i="2"/>
  <c r="AI679" i="2"/>
  <c r="AH679" i="2"/>
  <c r="F679" i="4" s="1"/>
  <c r="AG679" i="2"/>
  <c r="AF679" i="2"/>
  <c r="AE679" i="2"/>
  <c r="AD679" i="2"/>
  <c r="AC679" i="2"/>
  <c r="AB679" i="2"/>
  <c r="AA679" i="2"/>
  <c r="Z679" i="2"/>
  <c r="Y679" i="2"/>
  <c r="X679" i="2"/>
  <c r="W679" i="2"/>
  <c r="V679" i="2"/>
  <c r="U679" i="2"/>
  <c r="T679" i="2"/>
  <c r="A683" i="3" s="1"/>
  <c r="AM678" i="2"/>
  <c r="AL678" i="2"/>
  <c r="AK678" i="2"/>
  <c r="AJ678" i="2"/>
  <c r="AI678" i="2"/>
  <c r="AH678" i="2"/>
  <c r="F678" i="4" s="1"/>
  <c r="AG678" i="2"/>
  <c r="AF678" i="2"/>
  <c r="AE678" i="2"/>
  <c r="AD678" i="2"/>
  <c r="AC678" i="2"/>
  <c r="AB678" i="2"/>
  <c r="AA678" i="2"/>
  <c r="Z678" i="2"/>
  <c r="Y678" i="2"/>
  <c r="X678" i="2"/>
  <c r="W678" i="2"/>
  <c r="V678" i="2"/>
  <c r="U678" i="2"/>
  <c r="T678" i="2"/>
  <c r="A682" i="3" s="1"/>
  <c r="AM677" i="2"/>
  <c r="AL677" i="2"/>
  <c r="AK677" i="2"/>
  <c r="AJ677" i="2"/>
  <c r="AI677" i="2"/>
  <c r="AH677" i="2"/>
  <c r="F677" i="4" s="1"/>
  <c r="AG677" i="2"/>
  <c r="AF677" i="2"/>
  <c r="AE677" i="2"/>
  <c r="AD677" i="2"/>
  <c r="AC677" i="2"/>
  <c r="AB677" i="2"/>
  <c r="AA677" i="2"/>
  <c r="Z677" i="2"/>
  <c r="Y677" i="2"/>
  <c r="X677" i="2"/>
  <c r="W677" i="2"/>
  <c r="V677" i="2"/>
  <c r="U677" i="2"/>
  <c r="T677" i="2"/>
  <c r="A681" i="3" s="1"/>
  <c r="AM676" i="2"/>
  <c r="AL676" i="2"/>
  <c r="AK676" i="2"/>
  <c r="AJ676" i="2"/>
  <c r="AI676" i="2"/>
  <c r="AH676" i="2"/>
  <c r="F676" i="4" s="1"/>
  <c r="AG676" i="2"/>
  <c r="AF676" i="2"/>
  <c r="AE676" i="2"/>
  <c r="AD676" i="2"/>
  <c r="AC676" i="2"/>
  <c r="AB676" i="2"/>
  <c r="AA676" i="2"/>
  <c r="Z676" i="2"/>
  <c r="Y676" i="2"/>
  <c r="X676" i="2"/>
  <c r="W676" i="2"/>
  <c r="V676" i="2"/>
  <c r="U676" i="2"/>
  <c r="T676" i="2"/>
  <c r="A680" i="3" s="1"/>
  <c r="AM675" i="2"/>
  <c r="AL675" i="2"/>
  <c r="AK675" i="2"/>
  <c r="AJ675" i="2"/>
  <c r="AI675" i="2"/>
  <c r="AH675" i="2"/>
  <c r="F675" i="4" s="1"/>
  <c r="AG675" i="2"/>
  <c r="AF675" i="2"/>
  <c r="AE675" i="2"/>
  <c r="AD675" i="2"/>
  <c r="AC675" i="2"/>
  <c r="AB675" i="2"/>
  <c r="AA675" i="2"/>
  <c r="Z675" i="2"/>
  <c r="Y675" i="2"/>
  <c r="X675" i="2"/>
  <c r="W675" i="2"/>
  <c r="V675" i="2"/>
  <c r="U675" i="2"/>
  <c r="T675" i="2"/>
  <c r="A679" i="3" s="1"/>
  <c r="AM674" i="2"/>
  <c r="AL674" i="2"/>
  <c r="AK674" i="2"/>
  <c r="AJ674" i="2"/>
  <c r="AI674" i="2"/>
  <c r="AH674" i="2"/>
  <c r="F674" i="4" s="1"/>
  <c r="AG674" i="2"/>
  <c r="AF674" i="2"/>
  <c r="AE674" i="2"/>
  <c r="AD674" i="2"/>
  <c r="AC674" i="2"/>
  <c r="AB674" i="2"/>
  <c r="AA674" i="2"/>
  <c r="Z674" i="2"/>
  <c r="Y674" i="2"/>
  <c r="X674" i="2"/>
  <c r="W674" i="2"/>
  <c r="V674" i="2"/>
  <c r="U674" i="2"/>
  <c r="T674" i="2"/>
  <c r="A678" i="3" s="1"/>
  <c r="AM673" i="2"/>
  <c r="AL673" i="2"/>
  <c r="AK673" i="2"/>
  <c r="AJ673" i="2"/>
  <c r="AI673" i="2"/>
  <c r="AH673" i="2"/>
  <c r="F673" i="4" s="1"/>
  <c r="AG673" i="2"/>
  <c r="AF673" i="2"/>
  <c r="AE673" i="2"/>
  <c r="AD673" i="2"/>
  <c r="AC673" i="2"/>
  <c r="AB673" i="2"/>
  <c r="AA673" i="2"/>
  <c r="Z673" i="2"/>
  <c r="Y673" i="2"/>
  <c r="X673" i="2"/>
  <c r="W673" i="2"/>
  <c r="V673" i="2"/>
  <c r="U673" i="2"/>
  <c r="T673" i="2"/>
  <c r="A677" i="3" s="1"/>
  <c r="AM672" i="2"/>
  <c r="AL672" i="2"/>
  <c r="AK672" i="2"/>
  <c r="AJ672" i="2"/>
  <c r="AI672" i="2"/>
  <c r="AH672" i="2"/>
  <c r="F672" i="4" s="1"/>
  <c r="AG672" i="2"/>
  <c r="AF672" i="2"/>
  <c r="AE672" i="2"/>
  <c r="AD672" i="2"/>
  <c r="AC672" i="2"/>
  <c r="AB672" i="2"/>
  <c r="AA672" i="2"/>
  <c r="Z672" i="2"/>
  <c r="Y672" i="2"/>
  <c r="X672" i="2"/>
  <c r="W672" i="2"/>
  <c r="V672" i="2"/>
  <c r="U672" i="2"/>
  <c r="T672" i="2"/>
  <c r="A676" i="3" s="1"/>
  <c r="AM671" i="2"/>
  <c r="AL671" i="2"/>
  <c r="AK671" i="2"/>
  <c r="AJ671" i="2"/>
  <c r="AI671" i="2"/>
  <c r="AH671" i="2"/>
  <c r="F671" i="4" s="1"/>
  <c r="AG671" i="2"/>
  <c r="AF671" i="2"/>
  <c r="AE671" i="2"/>
  <c r="AD671" i="2"/>
  <c r="AC671" i="2"/>
  <c r="AB671" i="2"/>
  <c r="AA671" i="2"/>
  <c r="Z671" i="2"/>
  <c r="Y671" i="2"/>
  <c r="X671" i="2"/>
  <c r="W671" i="2"/>
  <c r="V671" i="2"/>
  <c r="U671" i="2"/>
  <c r="T671" i="2"/>
  <c r="A675" i="3" s="1"/>
  <c r="AM670" i="2"/>
  <c r="AL670" i="2"/>
  <c r="AK670" i="2"/>
  <c r="AJ670" i="2"/>
  <c r="AI670" i="2"/>
  <c r="AH670" i="2"/>
  <c r="F670" i="4" s="1"/>
  <c r="AG670" i="2"/>
  <c r="AF670" i="2"/>
  <c r="AE670" i="2"/>
  <c r="AD670" i="2"/>
  <c r="AC670" i="2"/>
  <c r="AB670" i="2"/>
  <c r="AA670" i="2"/>
  <c r="Z670" i="2"/>
  <c r="Y670" i="2"/>
  <c r="X670" i="2"/>
  <c r="W670" i="2"/>
  <c r="V670" i="2"/>
  <c r="U670" i="2"/>
  <c r="T670" i="2"/>
  <c r="A674" i="3" s="1"/>
  <c r="AM669" i="2"/>
  <c r="AL669" i="2"/>
  <c r="AK669" i="2"/>
  <c r="AJ669" i="2"/>
  <c r="AI669" i="2"/>
  <c r="AH669" i="2"/>
  <c r="F669" i="4" s="1"/>
  <c r="AG669" i="2"/>
  <c r="AF669" i="2"/>
  <c r="AE669" i="2"/>
  <c r="AD669" i="2"/>
  <c r="AC669" i="2"/>
  <c r="AB669" i="2"/>
  <c r="AA669" i="2"/>
  <c r="Z669" i="2"/>
  <c r="Y669" i="2"/>
  <c r="X669" i="2"/>
  <c r="W669" i="2"/>
  <c r="V669" i="2"/>
  <c r="U669" i="2"/>
  <c r="T669" i="2"/>
  <c r="A673" i="3" s="1"/>
  <c r="AM668" i="2"/>
  <c r="AL668" i="2"/>
  <c r="AK668" i="2"/>
  <c r="AJ668" i="2"/>
  <c r="AI668" i="2"/>
  <c r="AH668" i="2"/>
  <c r="F668" i="4" s="1"/>
  <c r="AG668" i="2"/>
  <c r="AF668" i="2"/>
  <c r="AE668" i="2"/>
  <c r="AD668" i="2"/>
  <c r="AC668" i="2"/>
  <c r="AB668" i="2"/>
  <c r="AA668" i="2"/>
  <c r="Z668" i="2"/>
  <c r="Y668" i="2"/>
  <c r="X668" i="2"/>
  <c r="W668" i="2"/>
  <c r="V668" i="2"/>
  <c r="U668" i="2"/>
  <c r="T668" i="2"/>
  <c r="A672" i="3" s="1"/>
  <c r="AM667" i="2"/>
  <c r="AL667" i="2"/>
  <c r="AK667" i="2"/>
  <c r="AJ667" i="2"/>
  <c r="AI667" i="2"/>
  <c r="AH667" i="2"/>
  <c r="F667" i="4" s="1"/>
  <c r="AG667" i="2"/>
  <c r="AF667" i="2"/>
  <c r="AE667" i="2"/>
  <c r="AD667" i="2"/>
  <c r="AC667" i="2"/>
  <c r="AB667" i="2"/>
  <c r="AA667" i="2"/>
  <c r="Z667" i="2"/>
  <c r="Y667" i="2"/>
  <c r="X667" i="2"/>
  <c r="W667" i="2"/>
  <c r="V667" i="2"/>
  <c r="U667" i="2"/>
  <c r="T667" i="2"/>
  <c r="A671" i="3" s="1"/>
  <c r="AM666" i="2"/>
  <c r="AL666" i="2"/>
  <c r="AK666" i="2"/>
  <c r="AJ666" i="2"/>
  <c r="AI666" i="2"/>
  <c r="AH666" i="2"/>
  <c r="F666" i="4" s="1"/>
  <c r="AG666" i="2"/>
  <c r="AF666" i="2"/>
  <c r="AE666" i="2"/>
  <c r="AD666" i="2"/>
  <c r="AC666" i="2"/>
  <c r="AB666" i="2"/>
  <c r="AA666" i="2"/>
  <c r="Z666" i="2"/>
  <c r="Y666" i="2"/>
  <c r="X666" i="2"/>
  <c r="W666" i="2"/>
  <c r="V666" i="2"/>
  <c r="U666" i="2"/>
  <c r="T666" i="2"/>
  <c r="A670" i="3" s="1"/>
  <c r="AM665" i="2"/>
  <c r="AL665" i="2"/>
  <c r="AK665" i="2"/>
  <c r="AJ665" i="2"/>
  <c r="AI665" i="2"/>
  <c r="AH665" i="2"/>
  <c r="F665" i="4" s="1"/>
  <c r="AG665" i="2"/>
  <c r="AF665" i="2"/>
  <c r="AE665" i="2"/>
  <c r="AD665" i="2"/>
  <c r="AC665" i="2"/>
  <c r="AB665" i="2"/>
  <c r="AA665" i="2"/>
  <c r="Z665" i="2"/>
  <c r="Y665" i="2"/>
  <c r="X665" i="2"/>
  <c r="W665" i="2"/>
  <c r="V665" i="2"/>
  <c r="U665" i="2"/>
  <c r="T665" i="2"/>
  <c r="A669" i="3" s="1"/>
  <c r="AM664" i="2"/>
  <c r="AL664" i="2"/>
  <c r="AK664" i="2"/>
  <c r="AJ664" i="2"/>
  <c r="AI664" i="2"/>
  <c r="AH664" i="2"/>
  <c r="F664" i="4" s="1"/>
  <c r="AG664" i="2"/>
  <c r="AF664" i="2"/>
  <c r="AE664" i="2"/>
  <c r="AD664" i="2"/>
  <c r="AC664" i="2"/>
  <c r="AB664" i="2"/>
  <c r="AA664" i="2"/>
  <c r="Z664" i="2"/>
  <c r="Y664" i="2"/>
  <c r="X664" i="2"/>
  <c r="W664" i="2"/>
  <c r="V664" i="2"/>
  <c r="U664" i="2"/>
  <c r="T664" i="2"/>
  <c r="A668" i="3" s="1"/>
  <c r="AM663" i="2"/>
  <c r="AL663" i="2"/>
  <c r="AK663" i="2"/>
  <c r="AJ663" i="2"/>
  <c r="AI663" i="2"/>
  <c r="AH663" i="2"/>
  <c r="F663" i="4" s="1"/>
  <c r="AG663" i="2"/>
  <c r="AF663" i="2"/>
  <c r="AE663" i="2"/>
  <c r="AD663" i="2"/>
  <c r="AC663" i="2"/>
  <c r="AB663" i="2"/>
  <c r="AA663" i="2"/>
  <c r="Z663" i="2"/>
  <c r="Y663" i="2"/>
  <c r="X663" i="2"/>
  <c r="W663" i="2"/>
  <c r="V663" i="2"/>
  <c r="U663" i="2"/>
  <c r="T663" i="2"/>
  <c r="A667" i="3" s="1"/>
  <c r="AM662" i="2"/>
  <c r="AL662" i="2"/>
  <c r="AK662" i="2"/>
  <c r="AJ662" i="2"/>
  <c r="AI662" i="2"/>
  <c r="AH662" i="2"/>
  <c r="F662" i="4" s="1"/>
  <c r="AG662" i="2"/>
  <c r="AF662" i="2"/>
  <c r="AE662" i="2"/>
  <c r="AD662" i="2"/>
  <c r="AC662" i="2"/>
  <c r="AB662" i="2"/>
  <c r="AA662" i="2"/>
  <c r="Z662" i="2"/>
  <c r="Y662" i="2"/>
  <c r="X662" i="2"/>
  <c r="W662" i="2"/>
  <c r="V662" i="2"/>
  <c r="U662" i="2"/>
  <c r="T662" i="2"/>
  <c r="A666" i="3" s="1"/>
  <c r="AM661" i="2"/>
  <c r="AL661" i="2"/>
  <c r="AK661" i="2"/>
  <c r="AJ661" i="2"/>
  <c r="AI661" i="2"/>
  <c r="AH661" i="2"/>
  <c r="F661" i="4" s="1"/>
  <c r="AG661" i="2"/>
  <c r="AF661" i="2"/>
  <c r="AE661" i="2"/>
  <c r="AD661" i="2"/>
  <c r="AC661" i="2"/>
  <c r="AB661" i="2"/>
  <c r="AA661" i="2"/>
  <c r="Z661" i="2"/>
  <c r="Y661" i="2"/>
  <c r="X661" i="2"/>
  <c r="W661" i="2"/>
  <c r="V661" i="2"/>
  <c r="U661" i="2"/>
  <c r="T661" i="2"/>
  <c r="A665" i="3" s="1"/>
  <c r="AM660" i="2"/>
  <c r="AL660" i="2"/>
  <c r="AK660" i="2"/>
  <c r="AJ660" i="2"/>
  <c r="AI660" i="2"/>
  <c r="AH660" i="2"/>
  <c r="F660" i="4" s="1"/>
  <c r="AG660" i="2"/>
  <c r="AF660" i="2"/>
  <c r="AE660" i="2"/>
  <c r="AD660" i="2"/>
  <c r="AC660" i="2"/>
  <c r="AB660" i="2"/>
  <c r="AA660" i="2"/>
  <c r="Z660" i="2"/>
  <c r="Y660" i="2"/>
  <c r="X660" i="2"/>
  <c r="W660" i="2"/>
  <c r="V660" i="2"/>
  <c r="U660" i="2"/>
  <c r="T660" i="2"/>
  <c r="A664" i="3" s="1"/>
  <c r="AM659" i="2"/>
  <c r="AL659" i="2"/>
  <c r="AK659" i="2"/>
  <c r="AJ659" i="2"/>
  <c r="AI659" i="2"/>
  <c r="AH659" i="2"/>
  <c r="F659" i="4" s="1"/>
  <c r="AG659" i="2"/>
  <c r="AF659" i="2"/>
  <c r="AE659" i="2"/>
  <c r="AD659" i="2"/>
  <c r="AC659" i="2"/>
  <c r="AB659" i="2"/>
  <c r="AA659" i="2"/>
  <c r="Z659" i="2"/>
  <c r="Y659" i="2"/>
  <c r="X659" i="2"/>
  <c r="W659" i="2"/>
  <c r="V659" i="2"/>
  <c r="U659" i="2"/>
  <c r="T659" i="2"/>
  <c r="A663" i="3" s="1"/>
  <c r="AM658" i="2"/>
  <c r="AL658" i="2"/>
  <c r="AK658" i="2"/>
  <c r="AJ658" i="2"/>
  <c r="AI658" i="2"/>
  <c r="AH658" i="2"/>
  <c r="F658" i="4" s="1"/>
  <c r="AG658" i="2"/>
  <c r="AF658" i="2"/>
  <c r="AE658" i="2"/>
  <c r="AD658" i="2"/>
  <c r="AC658" i="2"/>
  <c r="AB658" i="2"/>
  <c r="AA658" i="2"/>
  <c r="Z658" i="2"/>
  <c r="Y658" i="2"/>
  <c r="X658" i="2"/>
  <c r="W658" i="2"/>
  <c r="V658" i="2"/>
  <c r="U658" i="2"/>
  <c r="T658" i="2"/>
  <c r="A662" i="3" s="1"/>
  <c r="AM657" i="2"/>
  <c r="AL657" i="2"/>
  <c r="AK657" i="2"/>
  <c r="AJ657" i="2"/>
  <c r="AI657" i="2"/>
  <c r="AH657" i="2"/>
  <c r="F657" i="4" s="1"/>
  <c r="AG657" i="2"/>
  <c r="AF657" i="2"/>
  <c r="AE657" i="2"/>
  <c r="AD657" i="2"/>
  <c r="AC657" i="2"/>
  <c r="AB657" i="2"/>
  <c r="AA657" i="2"/>
  <c r="Z657" i="2"/>
  <c r="Y657" i="2"/>
  <c r="X657" i="2"/>
  <c r="W657" i="2"/>
  <c r="V657" i="2"/>
  <c r="U657" i="2"/>
  <c r="T657" i="2"/>
  <c r="A661" i="3" s="1"/>
  <c r="AM656" i="2"/>
  <c r="AL656" i="2"/>
  <c r="AK656" i="2"/>
  <c r="AJ656" i="2"/>
  <c r="AI656" i="2"/>
  <c r="AH656" i="2"/>
  <c r="F656" i="4" s="1"/>
  <c r="AG656" i="2"/>
  <c r="AF656" i="2"/>
  <c r="AE656" i="2"/>
  <c r="AD656" i="2"/>
  <c r="AC656" i="2"/>
  <c r="AB656" i="2"/>
  <c r="AA656" i="2"/>
  <c r="Z656" i="2"/>
  <c r="Y656" i="2"/>
  <c r="X656" i="2"/>
  <c r="W656" i="2"/>
  <c r="V656" i="2"/>
  <c r="U656" i="2"/>
  <c r="T656" i="2"/>
  <c r="A660" i="3" s="1"/>
  <c r="AM655" i="2"/>
  <c r="AL655" i="2"/>
  <c r="AK655" i="2"/>
  <c r="AJ655" i="2"/>
  <c r="AI655" i="2"/>
  <c r="AH655" i="2"/>
  <c r="F655" i="4" s="1"/>
  <c r="AG655" i="2"/>
  <c r="AF655" i="2"/>
  <c r="AE655" i="2"/>
  <c r="AD655" i="2"/>
  <c r="AC655" i="2"/>
  <c r="AB655" i="2"/>
  <c r="AA655" i="2"/>
  <c r="Z655" i="2"/>
  <c r="Y655" i="2"/>
  <c r="X655" i="2"/>
  <c r="W655" i="2"/>
  <c r="V655" i="2"/>
  <c r="U655" i="2"/>
  <c r="T655" i="2"/>
  <c r="A659" i="3" s="1"/>
  <c r="AM654" i="2"/>
  <c r="AL654" i="2"/>
  <c r="AK654" i="2"/>
  <c r="AJ654" i="2"/>
  <c r="AI654" i="2"/>
  <c r="AH654" i="2"/>
  <c r="F654" i="4" s="1"/>
  <c r="AG654" i="2"/>
  <c r="AF654" i="2"/>
  <c r="AE654" i="2"/>
  <c r="AD654" i="2"/>
  <c r="AC654" i="2"/>
  <c r="AB654" i="2"/>
  <c r="AA654" i="2"/>
  <c r="Z654" i="2"/>
  <c r="Y654" i="2"/>
  <c r="X654" i="2"/>
  <c r="W654" i="2"/>
  <c r="V654" i="2"/>
  <c r="U654" i="2"/>
  <c r="T654" i="2"/>
  <c r="A658" i="3" s="1"/>
  <c r="AM653" i="2"/>
  <c r="AL653" i="2"/>
  <c r="AK653" i="2"/>
  <c r="AJ653" i="2"/>
  <c r="AI653" i="2"/>
  <c r="AH653" i="2"/>
  <c r="F653" i="4" s="1"/>
  <c r="AG653" i="2"/>
  <c r="AF653" i="2"/>
  <c r="AE653" i="2"/>
  <c r="AD653" i="2"/>
  <c r="AC653" i="2"/>
  <c r="AB653" i="2"/>
  <c r="AA653" i="2"/>
  <c r="Z653" i="2"/>
  <c r="Y653" i="2"/>
  <c r="X653" i="2"/>
  <c r="W653" i="2"/>
  <c r="V653" i="2"/>
  <c r="U653" i="2"/>
  <c r="T653" i="2"/>
  <c r="A657" i="3" s="1"/>
  <c r="AM652" i="2"/>
  <c r="AL652" i="2"/>
  <c r="AK652" i="2"/>
  <c r="AJ652" i="2"/>
  <c r="AI652" i="2"/>
  <c r="AH652" i="2"/>
  <c r="F652" i="4" s="1"/>
  <c r="AG652" i="2"/>
  <c r="AF652" i="2"/>
  <c r="AE652" i="2"/>
  <c r="AD652" i="2"/>
  <c r="AC652" i="2"/>
  <c r="AB652" i="2"/>
  <c r="AA652" i="2"/>
  <c r="Z652" i="2"/>
  <c r="Y652" i="2"/>
  <c r="X652" i="2"/>
  <c r="W652" i="2"/>
  <c r="V652" i="2"/>
  <c r="U652" i="2"/>
  <c r="T652" i="2"/>
  <c r="A656" i="3" s="1"/>
  <c r="AM651" i="2"/>
  <c r="AL651" i="2"/>
  <c r="AK651" i="2"/>
  <c r="AJ651" i="2"/>
  <c r="AI651" i="2"/>
  <c r="AH651" i="2"/>
  <c r="F651" i="4" s="1"/>
  <c r="AG651" i="2"/>
  <c r="AF651" i="2"/>
  <c r="AE651" i="2"/>
  <c r="AD651" i="2"/>
  <c r="AC651" i="2"/>
  <c r="AB651" i="2"/>
  <c r="AA651" i="2"/>
  <c r="Z651" i="2"/>
  <c r="Y651" i="2"/>
  <c r="X651" i="2"/>
  <c r="W651" i="2"/>
  <c r="V651" i="2"/>
  <c r="U651" i="2"/>
  <c r="T651" i="2"/>
  <c r="A655" i="3" s="1"/>
  <c r="AM650" i="2"/>
  <c r="AL650" i="2"/>
  <c r="AK650" i="2"/>
  <c r="AJ650" i="2"/>
  <c r="AI650" i="2"/>
  <c r="AH650" i="2"/>
  <c r="F650" i="4" s="1"/>
  <c r="AG650" i="2"/>
  <c r="AF650" i="2"/>
  <c r="AE650" i="2"/>
  <c r="AD650" i="2"/>
  <c r="AC650" i="2"/>
  <c r="AB650" i="2"/>
  <c r="AA650" i="2"/>
  <c r="Z650" i="2"/>
  <c r="Y650" i="2"/>
  <c r="X650" i="2"/>
  <c r="W650" i="2"/>
  <c r="V650" i="2"/>
  <c r="U650" i="2"/>
  <c r="T650" i="2"/>
  <c r="A654" i="3" s="1"/>
  <c r="AM649" i="2"/>
  <c r="AL649" i="2"/>
  <c r="AK649" i="2"/>
  <c r="AJ649" i="2"/>
  <c r="AI649" i="2"/>
  <c r="AH649" i="2"/>
  <c r="F649" i="4" s="1"/>
  <c r="AG649" i="2"/>
  <c r="AF649" i="2"/>
  <c r="AE649" i="2"/>
  <c r="AD649" i="2"/>
  <c r="AC649" i="2"/>
  <c r="AB649" i="2"/>
  <c r="AA649" i="2"/>
  <c r="Z649" i="2"/>
  <c r="Y649" i="2"/>
  <c r="X649" i="2"/>
  <c r="W649" i="2"/>
  <c r="V649" i="2"/>
  <c r="U649" i="2"/>
  <c r="T649" i="2"/>
  <c r="A653" i="3" s="1"/>
  <c r="AM648" i="2"/>
  <c r="AL648" i="2"/>
  <c r="AK648" i="2"/>
  <c r="AJ648" i="2"/>
  <c r="AI648" i="2"/>
  <c r="AH648" i="2"/>
  <c r="F648" i="4" s="1"/>
  <c r="AG648" i="2"/>
  <c r="AF648" i="2"/>
  <c r="AE648" i="2"/>
  <c r="AD648" i="2"/>
  <c r="AC648" i="2"/>
  <c r="AB648" i="2"/>
  <c r="AA648" i="2"/>
  <c r="Z648" i="2"/>
  <c r="Y648" i="2"/>
  <c r="X648" i="2"/>
  <c r="W648" i="2"/>
  <c r="V648" i="2"/>
  <c r="U648" i="2"/>
  <c r="T648" i="2"/>
  <c r="A652" i="3" s="1"/>
  <c r="AM647" i="2"/>
  <c r="AL647" i="2"/>
  <c r="AK647" i="2"/>
  <c r="AJ647" i="2"/>
  <c r="AI647" i="2"/>
  <c r="AH647" i="2"/>
  <c r="F647" i="4" s="1"/>
  <c r="AG647" i="2"/>
  <c r="AF647" i="2"/>
  <c r="AE647" i="2"/>
  <c r="AD647" i="2"/>
  <c r="AC647" i="2"/>
  <c r="AB647" i="2"/>
  <c r="AA647" i="2"/>
  <c r="Z647" i="2"/>
  <c r="Y647" i="2"/>
  <c r="X647" i="2"/>
  <c r="W647" i="2"/>
  <c r="V647" i="2"/>
  <c r="U647" i="2"/>
  <c r="T647" i="2"/>
  <c r="A651" i="3" s="1"/>
  <c r="AM646" i="2"/>
  <c r="AL646" i="2"/>
  <c r="AK646" i="2"/>
  <c r="AJ646" i="2"/>
  <c r="AI646" i="2"/>
  <c r="AH646" i="2"/>
  <c r="F646" i="4" s="1"/>
  <c r="AG646" i="2"/>
  <c r="AF646" i="2"/>
  <c r="AE646" i="2"/>
  <c r="AD646" i="2"/>
  <c r="AC646" i="2"/>
  <c r="AB646" i="2"/>
  <c r="AA646" i="2"/>
  <c r="Z646" i="2"/>
  <c r="Y646" i="2"/>
  <c r="X646" i="2"/>
  <c r="W646" i="2"/>
  <c r="V646" i="2"/>
  <c r="U646" i="2"/>
  <c r="T646" i="2"/>
  <c r="A650" i="3" s="1"/>
  <c r="AM645" i="2"/>
  <c r="AL645" i="2"/>
  <c r="AK645" i="2"/>
  <c r="AJ645" i="2"/>
  <c r="AI645" i="2"/>
  <c r="AH645" i="2"/>
  <c r="F645" i="4" s="1"/>
  <c r="AG645" i="2"/>
  <c r="AF645" i="2"/>
  <c r="AE645" i="2"/>
  <c r="AD645" i="2"/>
  <c r="AC645" i="2"/>
  <c r="AB645" i="2"/>
  <c r="AA645" i="2"/>
  <c r="Z645" i="2"/>
  <c r="Y645" i="2"/>
  <c r="X645" i="2"/>
  <c r="W645" i="2"/>
  <c r="V645" i="2"/>
  <c r="U645" i="2"/>
  <c r="T645" i="2"/>
  <c r="A649" i="3" s="1"/>
  <c r="AM644" i="2"/>
  <c r="AL644" i="2"/>
  <c r="AK644" i="2"/>
  <c r="AJ644" i="2"/>
  <c r="AI644" i="2"/>
  <c r="AH644" i="2"/>
  <c r="F644" i="4" s="1"/>
  <c r="AG644" i="2"/>
  <c r="AF644" i="2"/>
  <c r="AE644" i="2"/>
  <c r="AD644" i="2"/>
  <c r="AC644" i="2"/>
  <c r="AB644" i="2"/>
  <c r="AA644" i="2"/>
  <c r="Z644" i="2"/>
  <c r="Y644" i="2"/>
  <c r="X644" i="2"/>
  <c r="W644" i="2"/>
  <c r="V644" i="2"/>
  <c r="U644" i="2"/>
  <c r="T644" i="2"/>
  <c r="A648" i="3" s="1"/>
  <c r="AM643" i="2"/>
  <c r="AL643" i="2"/>
  <c r="AK643" i="2"/>
  <c r="AJ643" i="2"/>
  <c r="AI643" i="2"/>
  <c r="AH643" i="2"/>
  <c r="F643" i="4" s="1"/>
  <c r="AG643" i="2"/>
  <c r="AF643" i="2"/>
  <c r="AE643" i="2"/>
  <c r="AD643" i="2"/>
  <c r="AC643" i="2"/>
  <c r="AB643" i="2"/>
  <c r="AA643" i="2"/>
  <c r="Z643" i="2"/>
  <c r="Y643" i="2"/>
  <c r="X643" i="2"/>
  <c r="W643" i="2"/>
  <c r="V643" i="2"/>
  <c r="U643" i="2"/>
  <c r="T643" i="2"/>
  <c r="A647" i="3" s="1"/>
  <c r="AM642" i="2"/>
  <c r="AL642" i="2"/>
  <c r="AK642" i="2"/>
  <c r="AJ642" i="2"/>
  <c r="AI642" i="2"/>
  <c r="AH642" i="2"/>
  <c r="F642" i="4" s="1"/>
  <c r="AG642" i="2"/>
  <c r="AF642" i="2"/>
  <c r="AE642" i="2"/>
  <c r="AD642" i="2"/>
  <c r="AC642" i="2"/>
  <c r="AB642" i="2"/>
  <c r="AA642" i="2"/>
  <c r="Z642" i="2"/>
  <c r="Y642" i="2"/>
  <c r="X642" i="2"/>
  <c r="W642" i="2"/>
  <c r="V642" i="2"/>
  <c r="U642" i="2"/>
  <c r="T642" i="2"/>
  <c r="A646" i="3" s="1"/>
  <c r="AM641" i="2"/>
  <c r="AL641" i="2"/>
  <c r="AK641" i="2"/>
  <c r="AJ641" i="2"/>
  <c r="AI641" i="2"/>
  <c r="AH641" i="2"/>
  <c r="F641" i="4" s="1"/>
  <c r="AG641" i="2"/>
  <c r="AF641" i="2"/>
  <c r="AE641" i="2"/>
  <c r="AD641" i="2"/>
  <c r="AC641" i="2"/>
  <c r="AB641" i="2"/>
  <c r="AA641" i="2"/>
  <c r="Z641" i="2"/>
  <c r="Y641" i="2"/>
  <c r="X641" i="2"/>
  <c r="W641" i="2"/>
  <c r="V641" i="2"/>
  <c r="U641" i="2"/>
  <c r="T641" i="2"/>
  <c r="A645" i="3" s="1"/>
  <c r="AM640" i="2"/>
  <c r="AL640" i="2"/>
  <c r="AK640" i="2"/>
  <c r="AJ640" i="2"/>
  <c r="AI640" i="2"/>
  <c r="AH640" i="2"/>
  <c r="F640" i="4" s="1"/>
  <c r="AG640" i="2"/>
  <c r="AF640" i="2"/>
  <c r="AE640" i="2"/>
  <c r="AD640" i="2"/>
  <c r="AC640" i="2"/>
  <c r="AB640" i="2"/>
  <c r="AA640" i="2"/>
  <c r="Z640" i="2"/>
  <c r="Y640" i="2"/>
  <c r="X640" i="2"/>
  <c r="W640" i="2"/>
  <c r="V640" i="2"/>
  <c r="U640" i="2"/>
  <c r="T640" i="2"/>
  <c r="A644" i="3" s="1"/>
  <c r="AM639" i="2"/>
  <c r="AL639" i="2"/>
  <c r="AK639" i="2"/>
  <c r="AJ639" i="2"/>
  <c r="AI639" i="2"/>
  <c r="AH639" i="2"/>
  <c r="F639" i="4" s="1"/>
  <c r="AG639" i="2"/>
  <c r="AF639" i="2"/>
  <c r="AE639" i="2"/>
  <c r="AD639" i="2"/>
  <c r="AC639" i="2"/>
  <c r="AB639" i="2"/>
  <c r="AA639" i="2"/>
  <c r="Z639" i="2"/>
  <c r="Y639" i="2"/>
  <c r="X639" i="2"/>
  <c r="W639" i="2"/>
  <c r="V639" i="2"/>
  <c r="U639" i="2"/>
  <c r="T639" i="2"/>
  <c r="A643" i="3" s="1"/>
  <c r="AM638" i="2"/>
  <c r="AL638" i="2"/>
  <c r="AK638" i="2"/>
  <c r="AJ638" i="2"/>
  <c r="AI638" i="2"/>
  <c r="AH638" i="2"/>
  <c r="F638" i="4" s="1"/>
  <c r="AG638" i="2"/>
  <c r="AF638" i="2"/>
  <c r="AE638" i="2"/>
  <c r="AD638" i="2"/>
  <c r="AC638" i="2"/>
  <c r="AB638" i="2"/>
  <c r="AA638" i="2"/>
  <c r="Z638" i="2"/>
  <c r="Y638" i="2"/>
  <c r="X638" i="2"/>
  <c r="W638" i="2"/>
  <c r="V638" i="2"/>
  <c r="U638" i="2"/>
  <c r="T638" i="2"/>
  <c r="A642" i="3" s="1"/>
  <c r="AM637" i="2"/>
  <c r="AL637" i="2"/>
  <c r="AK637" i="2"/>
  <c r="AJ637" i="2"/>
  <c r="AI637" i="2"/>
  <c r="AH637" i="2"/>
  <c r="F637" i="4" s="1"/>
  <c r="AG637" i="2"/>
  <c r="AF637" i="2"/>
  <c r="AE637" i="2"/>
  <c r="AD637" i="2"/>
  <c r="AC637" i="2"/>
  <c r="AB637" i="2"/>
  <c r="AA637" i="2"/>
  <c r="Z637" i="2"/>
  <c r="Y637" i="2"/>
  <c r="X637" i="2"/>
  <c r="W637" i="2"/>
  <c r="V637" i="2"/>
  <c r="U637" i="2"/>
  <c r="T637" i="2"/>
  <c r="A641" i="3" s="1"/>
  <c r="AM636" i="2"/>
  <c r="AL636" i="2"/>
  <c r="AK636" i="2"/>
  <c r="AJ636" i="2"/>
  <c r="AI636" i="2"/>
  <c r="AH636" i="2"/>
  <c r="F636" i="4" s="1"/>
  <c r="AG636" i="2"/>
  <c r="AF636" i="2"/>
  <c r="AE636" i="2"/>
  <c r="AD636" i="2"/>
  <c r="AC636" i="2"/>
  <c r="AB636" i="2"/>
  <c r="AA636" i="2"/>
  <c r="Z636" i="2"/>
  <c r="Y636" i="2"/>
  <c r="X636" i="2"/>
  <c r="W636" i="2"/>
  <c r="V636" i="2"/>
  <c r="U636" i="2"/>
  <c r="T636" i="2"/>
  <c r="A640" i="3" s="1"/>
  <c r="AM635" i="2"/>
  <c r="AL635" i="2"/>
  <c r="AK635" i="2"/>
  <c r="AJ635" i="2"/>
  <c r="AI635" i="2"/>
  <c r="AH635" i="2"/>
  <c r="F635" i="4" s="1"/>
  <c r="AG635" i="2"/>
  <c r="AF635" i="2"/>
  <c r="AE635" i="2"/>
  <c r="AD635" i="2"/>
  <c r="AC635" i="2"/>
  <c r="AB635" i="2"/>
  <c r="AA635" i="2"/>
  <c r="Z635" i="2"/>
  <c r="Y635" i="2"/>
  <c r="X635" i="2"/>
  <c r="W635" i="2"/>
  <c r="V635" i="2"/>
  <c r="U635" i="2"/>
  <c r="T635" i="2"/>
  <c r="A639" i="3" s="1"/>
  <c r="AM634" i="2"/>
  <c r="AL634" i="2"/>
  <c r="AK634" i="2"/>
  <c r="AJ634" i="2"/>
  <c r="AI634" i="2"/>
  <c r="AH634" i="2"/>
  <c r="F634" i="4" s="1"/>
  <c r="AG634" i="2"/>
  <c r="AF634" i="2"/>
  <c r="AE634" i="2"/>
  <c r="AD634" i="2"/>
  <c r="AC634" i="2"/>
  <c r="AB634" i="2"/>
  <c r="AA634" i="2"/>
  <c r="Z634" i="2"/>
  <c r="Y634" i="2"/>
  <c r="X634" i="2"/>
  <c r="W634" i="2"/>
  <c r="V634" i="2"/>
  <c r="U634" i="2"/>
  <c r="T634" i="2"/>
  <c r="A638" i="3" s="1"/>
  <c r="AM633" i="2"/>
  <c r="AL633" i="2"/>
  <c r="AK633" i="2"/>
  <c r="AJ633" i="2"/>
  <c r="AI633" i="2"/>
  <c r="AH633" i="2"/>
  <c r="F633" i="4" s="1"/>
  <c r="AG633" i="2"/>
  <c r="AF633" i="2"/>
  <c r="AE633" i="2"/>
  <c r="AD633" i="2"/>
  <c r="AC633" i="2"/>
  <c r="AB633" i="2"/>
  <c r="AA633" i="2"/>
  <c r="Z633" i="2"/>
  <c r="Y633" i="2"/>
  <c r="X633" i="2"/>
  <c r="W633" i="2"/>
  <c r="V633" i="2"/>
  <c r="U633" i="2"/>
  <c r="T633" i="2"/>
  <c r="A637" i="3" s="1"/>
  <c r="AM632" i="2"/>
  <c r="AL632" i="2"/>
  <c r="AK632" i="2"/>
  <c r="AJ632" i="2"/>
  <c r="AI632" i="2"/>
  <c r="AH632" i="2"/>
  <c r="F632" i="4" s="1"/>
  <c r="AG632" i="2"/>
  <c r="AF632" i="2"/>
  <c r="AE632" i="2"/>
  <c r="AD632" i="2"/>
  <c r="AC632" i="2"/>
  <c r="AB632" i="2"/>
  <c r="AA632" i="2"/>
  <c r="Z632" i="2"/>
  <c r="Y632" i="2"/>
  <c r="X632" i="2"/>
  <c r="W632" i="2"/>
  <c r="V632" i="2"/>
  <c r="U632" i="2"/>
  <c r="T632" i="2"/>
  <c r="A636" i="3" s="1"/>
  <c r="AM631" i="2"/>
  <c r="AL631" i="2"/>
  <c r="AK631" i="2"/>
  <c r="AJ631" i="2"/>
  <c r="AI631" i="2"/>
  <c r="AH631" i="2"/>
  <c r="F631" i="4" s="1"/>
  <c r="AG631" i="2"/>
  <c r="AF631" i="2"/>
  <c r="AE631" i="2"/>
  <c r="AD631" i="2"/>
  <c r="AC631" i="2"/>
  <c r="AB631" i="2"/>
  <c r="AA631" i="2"/>
  <c r="Z631" i="2"/>
  <c r="Y631" i="2"/>
  <c r="X631" i="2"/>
  <c r="W631" i="2"/>
  <c r="V631" i="2"/>
  <c r="U631" i="2"/>
  <c r="T631" i="2"/>
  <c r="A635" i="3" s="1"/>
  <c r="AM630" i="2"/>
  <c r="AL630" i="2"/>
  <c r="AK630" i="2"/>
  <c r="AJ630" i="2"/>
  <c r="AI630" i="2"/>
  <c r="AH630" i="2"/>
  <c r="F630" i="4" s="1"/>
  <c r="AG630" i="2"/>
  <c r="AF630" i="2"/>
  <c r="AE630" i="2"/>
  <c r="AD630" i="2"/>
  <c r="AC630" i="2"/>
  <c r="AB630" i="2"/>
  <c r="AA630" i="2"/>
  <c r="Z630" i="2"/>
  <c r="Y630" i="2"/>
  <c r="X630" i="2"/>
  <c r="W630" i="2"/>
  <c r="V630" i="2"/>
  <c r="U630" i="2"/>
  <c r="T630" i="2"/>
  <c r="A634" i="3" s="1"/>
  <c r="AM629" i="2"/>
  <c r="AL629" i="2"/>
  <c r="AK629" i="2"/>
  <c r="AJ629" i="2"/>
  <c r="AI629" i="2"/>
  <c r="AH629" i="2"/>
  <c r="F629" i="4" s="1"/>
  <c r="AG629" i="2"/>
  <c r="AF629" i="2"/>
  <c r="AE629" i="2"/>
  <c r="AD629" i="2"/>
  <c r="AC629" i="2"/>
  <c r="AB629" i="2"/>
  <c r="AA629" i="2"/>
  <c r="Z629" i="2"/>
  <c r="Y629" i="2"/>
  <c r="X629" i="2"/>
  <c r="W629" i="2"/>
  <c r="V629" i="2"/>
  <c r="U629" i="2"/>
  <c r="T629" i="2"/>
  <c r="A633" i="3" s="1"/>
  <c r="AM628" i="2"/>
  <c r="AL628" i="2"/>
  <c r="AK628" i="2"/>
  <c r="AJ628" i="2"/>
  <c r="AI628" i="2"/>
  <c r="AH628" i="2"/>
  <c r="F628" i="4" s="1"/>
  <c r="AG628" i="2"/>
  <c r="AF628" i="2"/>
  <c r="AE628" i="2"/>
  <c r="AD628" i="2"/>
  <c r="AC628" i="2"/>
  <c r="AB628" i="2"/>
  <c r="AA628" i="2"/>
  <c r="Z628" i="2"/>
  <c r="Y628" i="2"/>
  <c r="X628" i="2"/>
  <c r="W628" i="2"/>
  <c r="V628" i="2"/>
  <c r="U628" i="2"/>
  <c r="T628" i="2"/>
  <c r="A632" i="3" s="1"/>
  <c r="AM627" i="2"/>
  <c r="AL627" i="2"/>
  <c r="AK627" i="2"/>
  <c r="AJ627" i="2"/>
  <c r="AI627" i="2"/>
  <c r="AH627" i="2"/>
  <c r="F627" i="4" s="1"/>
  <c r="AG627" i="2"/>
  <c r="AF627" i="2"/>
  <c r="AE627" i="2"/>
  <c r="AD627" i="2"/>
  <c r="AC627" i="2"/>
  <c r="AB627" i="2"/>
  <c r="AA627" i="2"/>
  <c r="Z627" i="2"/>
  <c r="Y627" i="2"/>
  <c r="X627" i="2"/>
  <c r="W627" i="2"/>
  <c r="V627" i="2"/>
  <c r="U627" i="2"/>
  <c r="T627" i="2"/>
  <c r="A631" i="3" s="1"/>
  <c r="AM626" i="2"/>
  <c r="AL626" i="2"/>
  <c r="AK626" i="2"/>
  <c r="AJ626" i="2"/>
  <c r="AI626" i="2"/>
  <c r="AH626" i="2"/>
  <c r="F626" i="4" s="1"/>
  <c r="AG626" i="2"/>
  <c r="AF626" i="2"/>
  <c r="AE626" i="2"/>
  <c r="AD626" i="2"/>
  <c r="AC626" i="2"/>
  <c r="AB626" i="2"/>
  <c r="AA626" i="2"/>
  <c r="Z626" i="2"/>
  <c r="Y626" i="2"/>
  <c r="X626" i="2"/>
  <c r="W626" i="2"/>
  <c r="V626" i="2"/>
  <c r="U626" i="2"/>
  <c r="T626" i="2"/>
  <c r="A630" i="3" s="1"/>
  <c r="AM625" i="2"/>
  <c r="AL625" i="2"/>
  <c r="AK625" i="2"/>
  <c r="AJ625" i="2"/>
  <c r="AI625" i="2"/>
  <c r="AH625" i="2"/>
  <c r="F625" i="4" s="1"/>
  <c r="AG625" i="2"/>
  <c r="AF625" i="2"/>
  <c r="AE625" i="2"/>
  <c r="AD625" i="2"/>
  <c r="AC625" i="2"/>
  <c r="AB625" i="2"/>
  <c r="AA625" i="2"/>
  <c r="Z625" i="2"/>
  <c r="Y625" i="2"/>
  <c r="X625" i="2"/>
  <c r="W625" i="2"/>
  <c r="V625" i="2"/>
  <c r="U625" i="2"/>
  <c r="T625" i="2"/>
  <c r="A629" i="3" s="1"/>
  <c r="AM624" i="2"/>
  <c r="AL624" i="2"/>
  <c r="AK624" i="2"/>
  <c r="AJ624" i="2"/>
  <c r="AI624" i="2"/>
  <c r="AH624" i="2"/>
  <c r="F624" i="4" s="1"/>
  <c r="AG624" i="2"/>
  <c r="AF624" i="2"/>
  <c r="AE624" i="2"/>
  <c r="AD624" i="2"/>
  <c r="AC624" i="2"/>
  <c r="AB624" i="2"/>
  <c r="AA624" i="2"/>
  <c r="Z624" i="2"/>
  <c r="Y624" i="2"/>
  <c r="X624" i="2"/>
  <c r="W624" i="2"/>
  <c r="V624" i="2"/>
  <c r="U624" i="2"/>
  <c r="T624" i="2"/>
  <c r="A628" i="3" s="1"/>
  <c r="AM623" i="2"/>
  <c r="AL623" i="2"/>
  <c r="AK623" i="2"/>
  <c r="AJ623" i="2"/>
  <c r="AI623" i="2"/>
  <c r="AH623" i="2"/>
  <c r="F623" i="4" s="1"/>
  <c r="AG623" i="2"/>
  <c r="AF623" i="2"/>
  <c r="AE623" i="2"/>
  <c r="AD623" i="2"/>
  <c r="AC623" i="2"/>
  <c r="AB623" i="2"/>
  <c r="AA623" i="2"/>
  <c r="Z623" i="2"/>
  <c r="Y623" i="2"/>
  <c r="X623" i="2"/>
  <c r="W623" i="2"/>
  <c r="V623" i="2"/>
  <c r="U623" i="2"/>
  <c r="T623" i="2"/>
  <c r="A627" i="3" s="1"/>
  <c r="AM622" i="2"/>
  <c r="AL622" i="2"/>
  <c r="AK622" i="2"/>
  <c r="AJ622" i="2"/>
  <c r="AI622" i="2"/>
  <c r="AH622" i="2"/>
  <c r="F622" i="4" s="1"/>
  <c r="AG622" i="2"/>
  <c r="AF622" i="2"/>
  <c r="AE622" i="2"/>
  <c r="AD622" i="2"/>
  <c r="AC622" i="2"/>
  <c r="AB622" i="2"/>
  <c r="AA622" i="2"/>
  <c r="Z622" i="2"/>
  <c r="Y622" i="2"/>
  <c r="X622" i="2"/>
  <c r="W622" i="2"/>
  <c r="V622" i="2"/>
  <c r="U622" i="2"/>
  <c r="T622" i="2"/>
  <c r="A626" i="3" s="1"/>
  <c r="AM621" i="2"/>
  <c r="AL621" i="2"/>
  <c r="AK621" i="2"/>
  <c r="AJ621" i="2"/>
  <c r="AI621" i="2"/>
  <c r="AH621" i="2"/>
  <c r="F621" i="4" s="1"/>
  <c r="AG621" i="2"/>
  <c r="AF621" i="2"/>
  <c r="AE621" i="2"/>
  <c r="AD621" i="2"/>
  <c r="AC621" i="2"/>
  <c r="AB621" i="2"/>
  <c r="AA621" i="2"/>
  <c r="Z621" i="2"/>
  <c r="Y621" i="2"/>
  <c r="X621" i="2"/>
  <c r="W621" i="2"/>
  <c r="V621" i="2"/>
  <c r="U621" i="2"/>
  <c r="T621" i="2"/>
  <c r="A625" i="3" s="1"/>
  <c r="AM620" i="2"/>
  <c r="AL620" i="2"/>
  <c r="AK620" i="2"/>
  <c r="AJ620" i="2"/>
  <c r="AI620" i="2"/>
  <c r="AH620" i="2"/>
  <c r="F620" i="4" s="1"/>
  <c r="AG620" i="2"/>
  <c r="AF620" i="2"/>
  <c r="AE620" i="2"/>
  <c r="AD620" i="2"/>
  <c r="AC620" i="2"/>
  <c r="AB620" i="2"/>
  <c r="AA620" i="2"/>
  <c r="Z620" i="2"/>
  <c r="Y620" i="2"/>
  <c r="X620" i="2"/>
  <c r="W620" i="2"/>
  <c r="V620" i="2"/>
  <c r="U620" i="2"/>
  <c r="T620" i="2"/>
  <c r="A624" i="3" s="1"/>
  <c r="AM619" i="2"/>
  <c r="AL619" i="2"/>
  <c r="AK619" i="2"/>
  <c r="AJ619" i="2"/>
  <c r="AI619" i="2"/>
  <c r="AH619" i="2"/>
  <c r="F619" i="4" s="1"/>
  <c r="AG619" i="2"/>
  <c r="AF619" i="2"/>
  <c r="AE619" i="2"/>
  <c r="AD619" i="2"/>
  <c r="AC619" i="2"/>
  <c r="AB619" i="2"/>
  <c r="AA619" i="2"/>
  <c r="Z619" i="2"/>
  <c r="Y619" i="2"/>
  <c r="X619" i="2"/>
  <c r="W619" i="2"/>
  <c r="V619" i="2"/>
  <c r="U619" i="2"/>
  <c r="T619" i="2"/>
  <c r="A623" i="3" s="1"/>
  <c r="AM618" i="2"/>
  <c r="AL618" i="2"/>
  <c r="AK618" i="2"/>
  <c r="AJ618" i="2"/>
  <c r="AI618" i="2"/>
  <c r="AH618" i="2"/>
  <c r="F618" i="4" s="1"/>
  <c r="AG618" i="2"/>
  <c r="AF618" i="2"/>
  <c r="AE618" i="2"/>
  <c r="AD618" i="2"/>
  <c r="AC618" i="2"/>
  <c r="AB618" i="2"/>
  <c r="AA618" i="2"/>
  <c r="Z618" i="2"/>
  <c r="Y618" i="2"/>
  <c r="X618" i="2"/>
  <c r="W618" i="2"/>
  <c r="V618" i="2"/>
  <c r="U618" i="2"/>
  <c r="T618" i="2"/>
  <c r="A622" i="3" s="1"/>
  <c r="AM617" i="2"/>
  <c r="AL617" i="2"/>
  <c r="AK617" i="2"/>
  <c r="AJ617" i="2"/>
  <c r="AI617" i="2"/>
  <c r="AH617" i="2"/>
  <c r="F617" i="4" s="1"/>
  <c r="AG617" i="2"/>
  <c r="AF617" i="2"/>
  <c r="AE617" i="2"/>
  <c r="AD617" i="2"/>
  <c r="AC617" i="2"/>
  <c r="AB617" i="2"/>
  <c r="AA617" i="2"/>
  <c r="Z617" i="2"/>
  <c r="Y617" i="2"/>
  <c r="X617" i="2"/>
  <c r="W617" i="2"/>
  <c r="V617" i="2"/>
  <c r="U617" i="2"/>
  <c r="T617" i="2"/>
  <c r="A621" i="3" s="1"/>
  <c r="AM616" i="2"/>
  <c r="AL616" i="2"/>
  <c r="AK616" i="2"/>
  <c r="AJ616" i="2"/>
  <c r="AI616" i="2"/>
  <c r="AH616" i="2"/>
  <c r="F616" i="4" s="1"/>
  <c r="AG616" i="2"/>
  <c r="AF616" i="2"/>
  <c r="AE616" i="2"/>
  <c r="AD616" i="2"/>
  <c r="AC616" i="2"/>
  <c r="AB616" i="2"/>
  <c r="AA616" i="2"/>
  <c r="Z616" i="2"/>
  <c r="Y616" i="2"/>
  <c r="X616" i="2"/>
  <c r="W616" i="2"/>
  <c r="V616" i="2"/>
  <c r="U616" i="2"/>
  <c r="T616" i="2"/>
  <c r="A620" i="3" s="1"/>
  <c r="AM615" i="2"/>
  <c r="AL615" i="2"/>
  <c r="AK615" i="2"/>
  <c r="AJ615" i="2"/>
  <c r="AI615" i="2"/>
  <c r="AH615" i="2"/>
  <c r="F615" i="4" s="1"/>
  <c r="AG615" i="2"/>
  <c r="AF615" i="2"/>
  <c r="AE615" i="2"/>
  <c r="AD615" i="2"/>
  <c r="AC615" i="2"/>
  <c r="AB615" i="2"/>
  <c r="AA615" i="2"/>
  <c r="Z615" i="2"/>
  <c r="Y615" i="2"/>
  <c r="X615" i="2"/>
  <c r="W615" i="2"/>
  <c r="V615" i="2"/>
  <c r="U615" i="2"/>
  <c r="T615" i="2"/>
  <c r="A619" i="3" s="1"/>
  <c r="AM614" i="2"/>
  <c r="AL614" i="2"/>
  <c r="AK614" i="2"/>
  <c r="AJ614" i="2"/>
  <c r="AI614" i="2"/>
  <c r="AH614" i="2"/>
  <c r="F614" i="4" s="1"/>
  <c r="AG614" i="2"/>
  <c r="AF614" i="2"/>
  <c r="AE614" i="2"/>
  <c r="AD614" i="2"/>
  <c r="AC614" i="2"/>
  <c r="AB614" i="2"/>
  <c r="AA614" i="2"/>
  <c r="Z614" i="2"/>
  <c r="Y614" i="2"/>
  <c r="X614" i="2"/>
  <c r="W614" i="2"/>
  <c r="V614" i="2"/>
  <c r="U614" i="2"/>
  <c r="T614" i="2"/>
  <c r="A618" i="3" s="1"/>
  <c r="AM613" i="2"/>
  <c r="AL613" i="2"/>
  <c r="AK613" i="2"/>
  <c r="AJ613" i="2"/>
  <c r="AI613" i="2"/>
  <c r="AH613" i="2"/>
  <c r="F613" i="4" s="1"/>
  <c r="AG613" i="2"/>
  <c r="AF613" i="2"/>
  <c r="AE613" i="2"/>
  <c r="AD613" i="2"/>
  <c r="AC613" i="2"/>
  <c r="AB613" i="2"/>
  <c r="AA613" i="2"/>
  <c r="Z613" i="2"/>
  <c r="Y613" i="2"/>
  <c r="X613" i="2"/>
  <c r="W613" i="2"/>
  <c r="V613" i="2"/>
  <c r="U613" i="2"/>
  <c r="T613" i="2"/>
  <c r="A617" i="3" s="1"/>
  <c r="AM612" i="2"/>
  <c r="AL612" i="2"/>
  <c r="AK612" i="2"/>
  <c r="AJ612" i="2"/>
  <c r="AI612" i="2"/>
  <c r="AH612" i="2"/>
  <c r="F612" i="4" s="1"/>
  <c r="AG612" i="2"/>
  <c r="AF612" i="2"/>
  <c r="AE612" i="2"/>
  <c r="AD612" i="2"/>
  <c r="AC612" i="2"/>
  <c r="AB612" i="2"/>
  <c r="AA612" i="2"/>
  <c r="Z612" i="2"/>
  <c r="Y612" i="2"/>
  <c r="X612" i="2"/>
  <c r="W612" i="2"/>
  <c r="V612" i="2"/>
  <c r="U612" i="2"/>
  <c r="T612" i="2"/>
  <c r="A616" i="3" s="1"/>
  <c r="AM611" i="2"/>
  <c r="AL611" i="2"/>
  <c r="AK611" i="2"/>
  <c r="AJ611" i="2"/>
  <c r="AI611" i="2"/>
  <c r="AH611" i="2"/>
  <c r="F611" i="4" s="1"/>
  <c r="AG611" i="2"/>
  <c r="AF611" i="2"/>
  <c r="AE611" i="2"/>
  <c r="AD611" i="2"/>
  <c r="AC611" i="2"/>
  <c r="AB611" i="2"/>
  <c r="AA611" i="2"/>
  <c r="Z611" i="2"/>
  <c r="Y611" i="2"/>
  <c r="X611" i="2"/>
  <c r="W611" i="2"/>
  <c r="V611" i="2"/>
  <c r="U611" i="2"/>
  <c r="T611" i="2"/>
  <c r="A615" i="3" s="1"/>
  <c r="AM610" i="2"/>
  <c r="AL610" i="2"/>
  <c r="AK610" i="2"/>
  <c r="AJ610" i="2"/>
  <c r="AI610" i="2"/>
  <c r="AH610" i="2"/>
  <c r="F610" i="4" s="1"/>
  <c r="AG610" i="2"/>
  <c r="AF610" i="2"/>
  <c r="AE610" i="2"/>
  <c r="AD610" i="2"/>
  <c r="AC610" i="2"/>
  <c r="AB610" i="2"/>
  <c r="AA610" i="2"/>
  <c r="Z610" i="2"/>
  <c r="Y610" i="2"/>
  <c r="X610" i="2"/>
  <c r="W610" i="2"/>
  <c r="V610" i="2"/>
  <c r="U610" i="2"/>
  <c r="T610" i="2"/>
  <c r="A614" i="3" s="1"/>
  <c r="AM609" i="2"/>
  <c r="AL609" i="2"/>
  <c r="AK609" i="2"/>
  <c r="AJ609" i="2"/>
  <c r="AI609" i="2"/>
  <c r="AH609" i="2"/>
  <c r="F609" i="4" s="1"/>
  <c r="AG609" i="2"/>
  <c r="AF609" i="2"/>
  <c r="AE609" i="2"/>
  <c r="AD609" i="2"/>
  <c r="AC609" i="2"/>
  <c r="AB609" i="2"/>
  <c r="AA609" i="2"/>
  <c r="Z609" i="2"/>
  <c r="Y609" i="2"/>
  <c r="X609" i="2"/>
  <c r="W609" i="2"/>
  <c r="V609" i="2"/>
  <c r="U609" i="2"/>
  <c r="T609" i="2"/>
  <c r="A613" i="3" s="1"/>
  <c r="AM608" i="2"/>
  <c r="AL608" i="2"/>
  <c r="AK608" i="2"/>
  <c r="AJ608" i="2"/>
  <c r="AI608" i="2"/>
  <c r="AH608" i="2"/>
  <c r="F608" i="4" s="1"/>
  <c r="AG608" i="2"/>
  <c r="AF608" i="2"/>
  <c r="AE608" i="2"/>
  <c r="AD608" i="2"/>
  <c r="AC608" i="2"/>
  <c r="AB608" i="2"/>
  <c r="AA608" i="2"/>
  <c r="Z608" i="2"/>
  <c r="Y608" i="2"/>
  <c r="X608" i="2"/>
  <c r="W608" i="2"/>
  <c r="V608" i="2"/>
  <c r="U608" i="2"/>
  <c r="T608" i="2"/>
  <c r="A612" i="3" s="1"/>
  <c r="AM607" i="2"/>
  <c r="AL607" i="2"/>
  <c r="AK607" i="2"/>
  <c r="AJ607" i="2"/>
  <c r="AI607" i="2"/>
  <c r="AH607" i="2"/>
  <c r="F607" i="4" s="1"/>
  <c r="AG607" i="2"/>
  <c r="AF607" i="2"/>
  <c r="AE607" i="2"/>
  <c r="AD607" i="2"/>
  <c r="AC607" i="2"/>
  <c r="AB607" i="2"/>
  <c r="AA607" i="2"/>
  <c r="Z607" i="2"/>
  <c r="Y607" i="2"/>
  <c r="X607" i="2"/>
  <c r="W607" i="2"/>
  <c r="V607" i="2"/>
  <c r="U607" i="2"/>
  <c r="T607" i="2"/>
  <c r="A611" i="3" s="1"/>
  <c r="AM606" i="2"/>
  <c r="AL606" i="2"/>
  <c r="AK606" i="2"/>
  <c r="AJ606" i="2"/>
  <c r="AI606" i="2"/>
  <c r="AH606" i="2"/>
  <c r="F606" i="4" s="1"/>
  <c r="AG606" i="2"/>
  <c r="AF606" i="2"/>
  <c r="AE606" i="2"/>
  <c r="AD606" i="2"/>
  <c r="AC606" i="2"/>
  <c r="AB606" i="2"/>
  <c r="AA606" i="2"/>
  <c r="Z606" i="2"/>
  <c r="Y606" i="2"/>
  <c r="X606" i="2"/>
  <c r="W606" i="2"/>
  <c r="V606" i="2"/>
  <c r="U606" i="2"/>
  <c r="T606" i="2"/>
  <c r="A610" i="3" s="1"/>
  <c r="AM605" i="2"/>
  <c r="AL605" i="2"/>
  <c r="AK605" i="2"/>
  <c r="AJ605" i="2"/>
  <c r="AI605" i="2"/>
  <c r="AH605" i="2"/>
  <c r="F605" i="4" s="1"/>
  <c r="AG605" i="2"/>
  <c r="AF605" i="2"/>
  <c r="AE605" i="2"/>
  <c r="AD605" i="2"/>
  <c r="AC605" i="2"/>
  <c r="AB605" i="2"/>
  <c r="AA605" i="2"/>
  <c r="Z605" i="2"/>
  <c r="Y605" i="2"/>
  <c r="X605" i="2"/>
  <c r="W605" i="2"/>
  <c r="V605" i="2"/>
  <c r="U605" i="2"/>
  <c r="T605" i="2"/>
  <c r="A609" i="3" s="1"/>
  <c r="AM604" i="2"/>
  <c r="AL604" i="2"/>
  <c r="AK604" i="2"/>
  <c r="AJ604" i="2"/>
  <c r="AI604" i="2"/>
  <c r="AH604" i="2"/>
  <c r="F604" i="4" s="1"/>
  <c r="AG604" i="2"/>
  <c r="AF604" i="2"/>
  <c r="AE604" i="2"/>
  <c r="AD604" i="2"/>
  <c r="AC604" i="2"/>
  <c r="AB604" i="2"/>
  <c r="AA604" i="2"/>
  <c r="Z604" i="2"/>
  <c r="Y604" i="2"/>
  <c r="X604" i="2"/>
  <c r="W604" i="2"/>
  <c r="V604" i="2"/>
  <c r="U604" i="2"/>
  <c r="T604" i="2"/>
  <c r="A608" i="3" s="1"/>
  <c r="AM603" i="2"/>
  <c r="AL603" i="2"/>
  <c r="AK603" i="2"/>
  <c r="AJ603" i="2"/>
  <c r="AI603" i="2"/>
  <c r="AH603" i="2"/>
  <c r="F603" i="4" s="1"/>
  <c r="AG603" i="2"/>
  <c r="AF603" i="2"/>
  <c r="AE603" i="2"/>
  <c r="AD603" i="2"/>
  <c r="AC603" i="2"/>
  <c r="AB603" i="2"/>
  <c r="AA603" i="2"/>
  <c r="Z603" i="2"/>
  <c r="Y603" i="2"/>
  <c r="X603" i="2"/>
  <c r="W603" i="2"/>
  <c r="V603" i="2"/>
  <c r="U603" i="2"/>
  <c r="T603" i="2"/>
  <c r="A607" i="3" s="1"/>
  <c r="AM602" i="2"/>
  <c r="AL602" i="2"/>
  <c r="AK602" i="2"/>
  <c r="AJ602" i="2"/>
  <c r="AI602" i="2"/>
  <c r="AH602" i="2"/>
  <c r="F602" i="4" s="1"/>
  <c r="AG602" i="2"/>
  <c r="AF602" i="2"/>
  <c r="AE602" i="2"/>
  <c r="AD602" i="2"/>
  <c r="AC602" i="2"/>
  <c r="AB602" i="2"/>
  <c r="AA602" i="2"/>
  <c r="Z602" i="2"/>
  <c r="Y602" i="2"/>
  <c r="X602" i="2"/>
  <c r="W602" i="2"/>
  <c r="V602" i="2"/>
  <c r="U602" i="2"/>
  <c r="T602" i="2"/>
  <c r="A606" i="3" s="1"/>
  <c r="AM601" i="2"/>
  <c r="AL601" i="2"/>
  <c r="AK601" i="2"/>
  <c r="AJ601" i="2"/>
  <c r="AI601" i="2"/>
  <c r="AH601" i="2"/>
  <c r="F601" i="4" s="1"/>
  <c r="AG601" i="2"/>
  <c r="AF601" i="2"/>
  <c r="AE601" i="2"/>
  <c r="AD601" i="2"/>
  <c r="AC601" i="2"/>
  <c r="AB601" i="2"/>
  <c r="AA601" i="2"/>
  <c r="Z601" i="2"/>
  <c r="Y601" i="2"/>
  <c r="X601" i="2"/>
  <c r="W601" i="2"/>
  <c r="V601" i="2"/>
  <c r="U601" i="2"/>
  <c r="T601" i="2"/>
  <c r="A605" i="3" s="1"/>
  <c r="AM600" i="2"/>
  <c r="AL600" i="2"/>
  <c r="AK600" i="2"/>
  <c r="AJ600" i="2"/>
  <c r="AI600" i="2"/>
  <c r="AH600" i="2"/>
  <c r="F600" i="4" s="1"/>
  <c r="AG600" i="2"/>
  <c r="AF600" i="2"/>
  <c r="AE600" i="2"/>
  <c r="AD600" i="2"/>
  <c r="AC600" i="2"/>
  <c r="AB600" i="2"/>
  <c r="AA600" i="2"/>
  <c r="Z600" i="2"/>
  <c r="Y600" i="2"/>
  <c r="X600" i="2"/>
  <c r="W600" i="2"/>
  <c r="V600" i="2"/>
  <c r="U600" i="2"/>
  <c r="T600" i="2"/>
  <c r="A604" i="3" s="1"/>
  <c r="AM599" i="2"/>
  <c r="AL599" i="2"/>
  <c r="AK599" i="2"/>
  <c r="AJ599" i="2"/>
  <c r="AI599" i="2"/>
  <c r="AH599" i="2"/>
  <c r="F599" i="4" s="1"/>
  <c r="AG599" i="2"/>
  <c r="AF599" i="2"/>
  <c r="AE599" i="2"/>
  <c r="AD599" i="2"/>
  <c r="AC599" i="2"/>
  <c r="AB599" i="2"/>
  <c r="AA599" i="2"/>
  <c r="Z599" i="2"/>
  <c r="Y599" i="2"/>
  <c r="X599" i="2"/>
  <c r="W599" i="2"/>
  <c r="V599" i="2"/>
  <c r="U599" i="2"/>
  <c r="T599" i="2"/>
  <c r="A603" i="3" s="1"/>
  <c r="AM598" i="2"/>
  <c r="AL598" i="2"/>
  <c r="AK598" i="2"/>
  <c r="AJ598" i="2"/>
  <c r="AI598" i="2"/>
  <c r="AH598" i="2"/>
  <c r="F598" i="4" s="1"/>
  <c r="AG598" i="2"/>
  <c r="AF598" i="2"/>
  <c r="AE598" i="2"/>
  <c r="AD598" i="2"/>
  <c r="AC598" i="2"/>
  <c r="AB598" i="2"/>
  <c r="AA598" i="2"/>
  <c r="Z598" i="2"/>
  <c r="Y598" i="2"/>
  <c r="X598" i="2"/>
  <c r="W598" i="2"/>
  <c r="V598" i="2"/>
  <c r="U598" i="2"/>
  <c r="T598" i="2"/>
  <c r="A602" i="3" s="1"/>
  <c r="AM597" i="2"/>
  <c r="AL597" i="2"/>
  <c r="AK597" i="2"/>
  <c r="AJ597" i="2"/>
  <c r="AI597" i="2"/>
  <c r="AH597" i="2"/>
  <c r="F597" i="4" s="1"/>
  <c r="AG597" i="2"/>
  <c r="AF597" i="2"/>
  <c r="AE597" i="2"/>
  <c r="AD597" i="2"/>
  <c r="AC597" i="2"/>
  <c r="AB597" i="2"/>
  <c r="AA597" i="2"/>
  <c r="Z597" i="2"/>
  <c r="Y597" i="2"/>
  <c r="X597" i="2"/>
  <c r="W597" i="2"/>
  <c r="V597" i="2"/>
  <c r="U597" i="2"/>
  <c r="T597" i="2"/>
  <c r="A601" i="3" s="1"/>
  <c r="AM596" i="2"/>
  <c r="AL596" i="2"/>
  <c r="AK596" i="2"/>
  <c r="AJ596" i="2"/>
  <c r="AI596" i="2"/>
  <c r="AH596" i="2"/>
  <c r="F596" i="4" s="1"/>
  <c r="AG596" i="2"/>
  <c r="AF596" i="2"/>
  <c r="AE596" i="2"/>
  <c r="AD596" i="2"/>
  <c r="AC596" i="2"/>
  <c r="AB596" i="2"/>
  <c r="AA596" i="2"/>
  <c r="Z596" i="2"/>
  <c r="Y596" i="2"/>
  <c r="X596" i="2"/>
  <c r="W596" i="2"/>
  <c r="V596" i="2"/>
  <c r="U596" i="2"/>
  <c r="T596" i="2"/>
  <c r="A600" i="3" s="1"/>
  <c r="AM595" i="2"/>
  <c r="AL595" i="2"/>
  <c r="AK595" i="2"/>
  <c r="AJ595" i="2"/>
  <c r="AI595" i="2"/>
  <c r="AH595" i="2"/>
  <c r="F595" i="4" s="1"/>
  <c r="AG595" i="2"/>
  <c r="AF595" i="2"/>
  <c r="AE595" i="2"/>
  <c r="AD595" i="2"/>
  <c r="AC595" i="2"/>
  <c r="AB595" i="2"/>
  <c r="AA595" i="2"/>
  <c r="Z595" i="2"/>
  <c r="Y595" i="2"/>
  <c r="X595" i="2"/>
  <c r="W595" i="2"/>
  <c r="V595" i="2"/>
  <c r="U595" i="2"/>
  <c r="T595" i="2"/>
  <c r="A599" i="3" s="1"/>
  <c r="AM594" i="2"/>
  <c r="AL594" i="2"/>
  <c r="AK594" i="2"/>
  <c r="AJ594" i="2"/>
  <c r="AI594" i="2"/>
  <c r="AH594" i="2"/>
  <c r="F594" i="4" s="1"/>
  <c r="AG594" i="2"/>
  <c r="AF594" i="2"/>
  <c r="AE594" i="2"/>
  <c r="AD594" i="2"/>
  <c r="AC594" i="2"/>
  <c r="AB594" i="2"/>
  <c r="AA594" i="2"/>
  <c r="Z594" i="2"/>
  <c r="Y594" i="2"/>
  <c r="X594" i="2"/>
  <c r="W594" i="2"/>
  <c r="V594" i="2"/>
  <c r="U594" i="2"/>
  <c r="T594" i="2"/>
  <c r="A598" i="3" s="1"/>
  <c r="AM593" i="2"/>
  <c r="AL593" i="2"/>
  <c r="AK593" i="2"/>
  <c r="AJ593" i="2"/>
  <c r="AI593" i="2"/>
  <c r="AH593" i="2"/>
  <c r="F593" i="4" s="1"/>
  <c r="AG593" i="2"/>
  <c r="AF593" i="2"/>
  <c r="AE593" i="2"/>
  <c r="AD593" i="2"/>
  <c r="AC593" i="2"/>
  <c r="AB593" i="2"/>
  <c r="AA593" i="2"/>
  <c r="Z593" i="2"/>
  <c r="Y593" i="2"/>
  <c r="X593" i="2"/>
  <c r="W593" i="2"/>
  <c r="V593" i="2"/>
  <c r="U593" i="2"/>
  <c r="T593" i="2"/>
  <c r="A597" i="3" s="1"/>
  <c r="AM592" i="2"/>
  <c r="AL592" i="2"/>
  <c r="AK592" i="2"/>
  <c r="AJ592" i="2"/>
  <c r="AI592" i="2"/>
  <c r="AH592" i="2"/>
  <c r="F592" i="4" s="1"/>
  <c r="AG592" i="2"/>
  <c r="AF592" i="2"/>
  <c r="AE592" i="2"/>
  <c r="AD592" i="2"/>
  <c r="AC592" i="2"/>
  <c r="AB592" i="2"/>
  <c r="AA592" i="2"/>
  <c r="Z592" i="2"/>
  <c r="Y592" i="2"/>
  <c r="X592" i="2"/>
  <c r="W592" i="2"/>
  <c r="V592" i="2"/>
  <c r="U592" i="2"/>
  <c r="T592" i="2"/>
  <c r="A596" i="3" s="1"/>
  <c r="AM591" i="2"/>
  <c r="AL591" i="2"/>
  <c r="AK591" i="2"/>
  <c r="AJ591" i="2"/>
  <c r="AI591" i="2"/>
  <c r="AH591" i="2"/>
  <c r="F591" i="4" s="1"/>
  <c r="AG591" i="2"/>
  <c r="AF591" i="2"/>
  <c r="AE591" i="2"/>
  <c r="AD591" i="2"/>
  <c r="AC591" i="2"/>
  <c r="AB591" i="2"/>
  <c r="AA591" i="2"/>
  <c r="Z591" i="2"/>
  <c r="Y591" i="2"/>
  <c r="X591" i="2"/>
  <c r="W591" i="2"/>
  <c r="V591" i="2"/>
  <c r="U591" i="2"/>
  <c r="T591" i="2"/>
  <c r="A595" i="3" s="1"/>
  <c r="AM590" i="2"/>
  <c r="AL590" i="2"/>
  <c r="AK590" i="2"/>
  <c r="AJ590" i="2"/>
  <c r="AI590" i="2"/>
  <c r="AH590" i="2"/>
  <c r="F590" i="4" s="1"/>
  <c r="AG590" i="2"/>
  <c r="AF590" i="2"/>
  <c r="AE590" i="2"/>
  <c r="AD590" i="2"/>
  <c r="AC590" i="2"/>
  <c r="AB590" i="2"/>
  <c r="AA590" i="2"/>
  <c r="Z590" i="2"/>
  <c r="Y590" i="2"/>
  <c r="X590" i="2"/>
  <c r="W590" i="2"/>
  <c r="V590" i="2"/>
  <c r="U590" i="2"/>
  <c r="T590" i="2"/>
  <c r="A594" i="3" s="1"/>
  <c r="AM589" i="2"/>
  <c r="AL589" i="2"/>
  <c r="AK589" i="2"/>
  <c r="AJ589" i="2"/>
  <c r="AI589" i="2"/>
  <c r="AH589" i="2"/>
  <c r="F589" i="4" s="1"/>
  <c r="AG589" i="2"/>
  <c r="AF589" i="2"/>
  <c r="AE589" i="2"/>
  <c r="AD589" i="2"/>
  <c r="AC589" i="2"/>
  <c r="AB589" i="2"/>
  <c r="AA589" i="2"/>
  <c r="Z589" i="2"/>
  <c r="Y589" i="2"/>
  <c r="X589" i="2"/>
  <c r="W589" i="2"/>
  <c r="V589" i="2"/>
  <c r="U589" i="2"/>
  <c r="T589" i="2"/>
  <c r="A593" i="3" s="1"/>
  <c r="AM588" i="2"/>
  <c r="AL588" i="2"/>
  <c r="AK588" i="2"/>
  <c r="AJ588" i="2"/>
  <c r="AI588" i="2"/>
  <c r="AH588" i="2"/>
  <c r="F588" i="4" s="1"/>
  <c r="AG588" i="2"/>
  <c r="AF588" i="2"/>
  <c r="AE588" i="2"/>
  <c r="AD588" i="2"/>
  <c r="AC588" i="2"/>
  <c r="AB588" i="2"/>
  <c r="AA588" i="2"/>
  <c r="Z588" i="2"/>
  <c r="Y588" i="2"/>
  <c r="X588" i="2"/>
  <c r="W588" i="2"/>
  <c r="V588" i="2"/>
  <c r="U588" i="2"/>
  <c r="T588" i="2"/>
  <c r="A592" i="3" s="1"/>
  <c r="AM587" i="2"/>
  <c r="AL587" i="2"/>
  <c r="AK587" i="2"/>
  <c r="AJ587" i="2"/>
  <c r="AI587" i="2"/>
  <c r="AH587" i="2"/>
  <c r="F587" i="4" s="1"/>
  <c r="AG587" i="2"/>
  <c r="AF587" i="2"/>
  <c r="AE587" i="2"/>
  <c r="AD587" i="2"/>
  <c r="AC587" i="2"/>
  <c r="AB587" i="2"/>
  <c r="AA587" i="2"/>
  <c r="Z587" i="2"/>
  <c r="Y587" i="2"/>
  <c r="X587" i="2"/>
  <c r="W587" i="2"/>
  <c r="V587" i="2"/>
  <c r="U587" i="2"/>
  <c r="T587" i="2"/>
  <c r="A591" i="3" s="1"/>
  <c r="AM586" i="2"/>
  <c r="AL586" i="2"/>
  <c r="AK586" i="2"/>
  <c r="AJ586" i="2"/>
  <c r="AI586" i="2"/>
  <c r="AH586" i="2"/>
  <c r="F586" i="4" s="1"/>
  <c r="AG586" i="2"/>
  <c r="AF586" i="2"/>
  <c r="AE586" i="2"/>
  <c r="AD586" i="2"/>
  <c r="AC586" i="2"/>
  <c r="AB586" i="2"/>
  <c r="AA586" i="2"/>
  <c r="Z586" i="2"/>
  <c r="Y586" i="2"/>
  <c r="X586" i="2"/>
  <c r="W586" i="2"/>
  <c r="V586" i="2"/>
  <c r="U586" i="2"/>
  <c r="T586" i="2"/>
  <c r="A590" i="3" s="1"/>
  <c r="AM585" i="2"/>
  <c r="AL585" i="2"/>
  <c r="AK585" i="2"/>
  <c r="AJ585" i="2"/>
  <c r="AI585" i="2"/>
  <c r="AH585" i="2"/>
  <c r="F585" i="4" s="1"/>
  <c r="AG585" i="2"/>
  <c r="AF585" i="2"/>
  <c r="AE585" i="2"/>
  <c r="AD585" i="2"/>
  <c r="AC585" i="2"/>
  <c r="AB585" i="2"/>
  <c r="AA585" i="2"/>
  <c r="Z585" i="2"/>
  <c r="Y585" i="2"/>
  <c r="X585" i="2"/>
  <c r="W585" i="2"/>
  <c r="V585" i="2"/>
  <c r="U585" i="2"/>
  <c r="T585" i="2"/>
  <c r="A589" i="3" s="1"/>
  <c r="AM584" i="2"/>
  <c r="AL584" i="2"/>
  <c r="AK584" i="2"/>
  <c r="AJ584" i="2"/>
  <c r="AI584" i="2"/>
  <c r="AH584" i="2"/>
  <c r="F584" i="4" s="1"/>
  <c r="AG584" i="2"/>
  <c r="AF584" i="2"/>
  <c r="AE584" i="2"/>
  <c r="AD584" i="2"/>
  <c r="AC584" i="2"/>
  <c r="AB584" i="2"/>
  <c r="AA584" i="2"/>
  <c r="Z584" i="2"/>
  <c r="Y584" i="2"/>
  <c r="X584" i="2"/>
  <c r="W584" i="2"/>
  <c r="V584" i="2"/>
  <c r="U584" i="2"/>
  <c r="T584" i="2"/>
  <c r="A588" i="3" s="1"/>
  <c r="AM583" i="2"/>
  <c r="AL583" i="2"/>
  <c r="AK583" i="2"/>
  <c r="AJ583" i="2"/>
  <c r="AI583" i="2"/>
  <c r="AH583" i="2"/>
  <c r="F583" i="4" s="1"/>
  <c r="AG583" i="2"/>
  <c r="AF583" i="2"/>
  <c r="AE583" i="2"/>
  <c r="AD583" i="2"/>
  <c r="AC583" i="2"/>
  <c r="AB583" i="2"/>
  <c r="AA583" i="2"/>
  <c r="Z583" i="2"/>
  <c r="Y583" i="2"/>
  <c r="X583" i="2"/>
  <c r="W583" i="2"/>
  <c r="V583" i="2"/>
  <c r="U583" i="2"/>
  <c r="T583" i="2"/>
  <c r="A587" i="3" s="1"/>
  <c r="AM582" i="2"/>
  <c r="AL582" i="2"/>
  <c r="AK582" i="2"/>
  <c r="AJ582" i="2"/>
  <c r="AI582" i="2"/>
  <c r="AH582" i="2"/>
  <c r="F582" i="4" s="1"/>
  <c r="AG582" i="2"/>
  <c r="AF582" i="2"/>
  <c r="AE582" i="2"/>
  <c r="AD582" i="2"/>
  <c r="AC582" i="2"/>
  <c r="AB582" i="2"/>
  <c r="AA582" i="2"/>
  <c r="Z582" i="2"/>
  <c r="Y582" i="2"/>
  <c r="X582" i="2"/>
  <c r="W582" i="2"/>
  <c r="V582" i="2"/>
  <c r="U582" i="2"/>
  <c r="T582" i="2"/>
  <c r="A586" i="3" s="1"/>
  <c r="AM581" i="2"/>
  <c r="AL581" i="2"/>
  <c r="AK581" i="2"/>
  <c r="AJ581" i="2"/>
  <c r="AI581" i="2"/>
  <c r="AH581" i="2"/>
  <c r="F581" i="4" s="1"/>
  <c r="AG581" i="2"/>
  <c r="AF581" i="2"/>
  <c r="AE581" i="2"/>
  <c r="AD581" i="2"/>
  <c r="AC581" i="2"/>
  <c r="AB581" i="2"/>
  <c r="AA581" i="2"/>
  <c r="Z581" i="2"/>
  <c r="Y581" i="2"/>
  <c r="X581" i="2"/>
  <c r="W581" i="2"/>
  <c r="V581" i="2"/>
  <c r="U581" i="2"/>
  <c r="T581" i="2"/>
  <c r="A585" i="3" s="1"/>
  <c r="AM580" i="2"/>
  <c r="AL580" i="2"/>
  <c r="AK580" i="2"/>
  <c r="AJ580" i="2"/>
  <c r="AI580" i="2"/>
  <c r="AH580" i="2"/>
  <c r="F580" i="4" s="1"/>
  <c r="AG580" i="2"/>
  <c r="AF580" i="2"/>
  <c r="AE580" i="2"/>
  <c r="AD580" i="2"/>
  <c r="AC580" i="2"/>
  <c r="AB580" i="2"/>
  <c r="AA580" i="2"/>
  <c r="Z580" i="2"/>
  <c r="Y580" i="2"/>
  <c r="X580" i="2"/>
  <c r="W580" i="2"/>
  <c r="V580" i="2"/>
  <c r="U580" i="2"/>
  <c r="T580" i="2"/>
  <c r="A584" i="3" s="1"/>
  <c r="AM579" i="2"/>
  <c r="AL579" i="2"/>
  <c r="AK579" i="2"/>
  <c r="AJ579" i="2"/>
  <c r="AI579" i="2"/>
  <c r="AH579" i="2"/>
  <c r="F579" i="4" s="1"/>
  <c r="AG579" i="2"/>
  <c r="AF579" i="2"/>
  <c r="AE579" i="2"/>
  <c r="AD579" i="2"/>
  <c r="AC579" i="2"/>
  <c r="AB579" i="2"/>
  <c r="AA579" i="2"/>
  <c r="Z579" i="2"/>
  <c r="Y579" i="2"/>
  <c r="X579" i="2"/>
  <c r="W579" i="2"/>
  <c r="V579" i="2"/>
  <c r="U579" i="2"/>
  <c r="T579" i="2"/>
  <c r="A583" i="3" s="1"/>
  <c r="AM578" i="2"/>
  <c r="AL578" i="2"/>
  <c r="AK578" i="2"/>
  <c r="AJ578" i="2"/>
  <c r="AI578" i="2"/>
  <c r="AH578" i="2"/>
  <c r="F578" i="4" s="1"/>
  <c r="AG578" i="2"/>
  <c r="AF578" i="2"/>
  <c r="AE578" i="2"/>
  <c r="AD578" i="2"/>
  <c r="AC578" i="2"/>
  <c r="AB578" i="2"/>
  <c r="AA578" i="2"/>
  <c r="Z578" i="2"/>
  <c r="Y578" i="2"/>
  <c r="X578" i="2"/>
  <c r="W578" i="2"/>
  <c r="V578" i="2"/>
  <c r="U578" i="2"/>
  <c r="T578" i="2"/>
  <c r="A582" i="3" s="1"/>
  <c r="AM577" i="2"/>
  <c r="AL577" i="2"/>
  <c r="AK577" i="2"/>
  <c r="AJ577" i="2"/>
  <c r="AI577" i="2"/>
  <c r="AH577" i="2"/>
  <c r="F577" i="4" s="1"/>
  <c r="AG577" i="2"/>
  <c r="AF577" i="2"/>
  <c r="AE577" i="2"/>
  <c r="AD577" i="2"/>
  <c r="AC577" i="2"/>
  <c r="AB577" i="2"/>
  <c r="AA577" i="2"/>
  <c r="Z577" i="2"/>
  <c r="Y577" i="2"/>
  <c r="X577" i="2"/>
  <c r="W577" i="2"/>
  <c r="V577" i="2"/>
  <c r="U577" i="2"/>
  <c r="T577" i="2"/>
  <c r="A581" i="3" s="1"/>
  <c r="AM576" i="2"/>
  <c r="AL576" i="2"/>
  <c r="AK576" i="2"/>
  <c r="AJ576" i="2"/>
  <c r="AI576" i="2"/>
  <c r="AH576" i="2"/>
  <c r="F576" i="4" s="1"/>
  <c r="AG576" i="2"/>
  <c r="AF576" i="2"/>
  <c r="AE576" i="2"/>
  <c r="AD576" i="2"/>
  <c r="AC576" i="2"/>
  <c r="AB576" i="2"/>
  <c r="AA576" i="2"/>
  <c r="Z576" i="2"/>
  <c r="Y576" i="2"/>
  <c r="X576" i="2"/>
  <c r="W576" i="2"/>
  <c r="V576" i="2"/>
  <c r="U576" i="2"/>
  <c r="T576" i="2"/>
  <c r="A580" i="3" s="1"/>
  <c r="AM575" i="2"/>
  <c r="AL575" i="2"/>
  <c r="AK575" i="2"/>
  <c r="AJ575" i="2"/>
  <c r="AI575" i="2"/>
  <c r="AH575" i="2"/>
  <c r="F575" i="4" s="1"/>
  <c r="AG575" i="2"/>
  <c r="AF575" i="2"/>
  <c r="AE575" i="2"/>
  <c r="AD575" i="2"/>
  <c r="AC575" i="2"/>
  <c r="AB575" i="2"/>
  <c r="AA575" i="2"/>
  <c r="Z575" i="2"/>
  <c r="Y575" i="2"/>
  <c r="X575" i="2"/>
  <c r="W575" i="2"/>
  <c r="V575" i="2"/>
  <c r="U575" i="2"/>
  <c r="T575" i="2"/>
  <c r="A579" i="3" s="1"/>
  <c r="AM574" i="2"/>
  <c r="AL574" i="2"/>
  <c r="AK574" i="2"/>
  <c r="AJ574" i="2"/>
  <c r="AI574" i="2"/>
  <c r="AH574" i="2"/>
  <c r="F574" i="4" s="1"/>
  <c r="AG574" i="2"/>
  <c r="AF574" i="2"/>
  <c r="AE574" i="2"/>
  <c r="AD574" i="2"/>
  <c r="AC574" i="2"/>
  <c r="AB574" i="2"/>
  <c r="AA574" i="2"/>
  <c r="Z574" i="2"/>
  <c r="Y574" i="2"/>
  <c r="X574" i="2"/>
  <c r="W574" i="2"/>
  <c r="V574" i="2"/>
  <c r="U574" i="2"/>
  <c r="T574" i="2"/>
  <c r="A578" i="3" s="1"/>
  <c r="AM573" i="2"/>
  <c r="AL573" i="2"/>
  <c r="AK573" i="2"/>
  <c r="AJ573" i="2"/>
  <c r="AI573" i="2"/>
  <c r="AH573" i="2"/>
  <c r="F573" i="4" s="1"/>
  <c r="AG573" i="2"/>
  <c r="AF573" i="2"/>
  <c r="AE573" i="2"/>
  <c r="AD573" i="2"/>
  <c r="AC573" i="2"/>
  <c r="AB573" i="2"/>
  <c r="AA573" i="2"/>
  <c r="Z573" i="2"/>
  <c r="Y573" i="2"/>
  <c r="X573" i="2"/>
  <c r="W573" i="2"/>
  <c r="V573" i="2"/>
  <c r="U573" i="2"/>
  <c r="T573" i="2"/>
  <c r="A577" i="3" s="1"/>
  <c r="AM572" i="2"/>
  <c r="AL572" i="2"/>
  <c r="AK572" i="2"/>
  <c r="AJ572" i="2"/>
  <c r="AI572" i="2"/>
  <c r="AH572" i="2"/>
  <c r="F572" i="4" s="1"/>
  <c r="AG572" i="2"/>
  <c r="AF572" i="2"/>
  <c r="AE572" i="2"/>
  <c r="AD572" i="2"/>
  <c r="AC572" i="2"/>
  <c r="AB572" i="2"/>
  <c r="AA572" i="2"/>
  <c r="Z572" i="2"/>
  <c r="Y572" i="2"/>
  <c r="X572" i="2"/>
  <c r="W572" i="2"/>
  <c r="V572" i="2"/>
  <c r="U572" i="2"/>
  <c r="T572" i="2"/>
  <c r="A576" i="3" s="1"/>
  <c r="AM571" i="2"/>
  <c r="AL571" i="2"/>
  <c r="AK571" i="2"/>
  <c r="AJ571" i="2"/>
  <c r="AI571" i="2"/>
  <c r="AH571" i="2"/>
  <c r="F571" i="4" s="1"/>
  <c r="AG571" i="2"/>
  <c r="AF571" i="2"/>
  <c r="AE571" i="2"/>
  <c r="AD571" i="2"/>
  <c r="AC571" i="2"/>
  <c r="AB571" i="2"/>
  <c r="AA571" i="2"/>
  <c r="Z571" i="2"/>
  <c r="Y571" i="2"/>
  <c r="X571" i="2"/>
  <c r="W571" i="2"/>
  <c r="V571" i="2"/>
  <c r="U571" i="2"/>
  <c r="T571" i="2"/>
  <c r="A575" i="3" s="1"/>
  <c r="AM570" i="2"/>
  <c r="AL570" i="2"/>
  <c r="AK570" i="2"/>
  <c r="AJ570" i="2"/>
  <c r="AI570" i="2"/>
  <c r="AH570" i="2"/>
  <c r="F570" i="4" s="1"/>
  <c r="AG570" i="2"/>
  <c r="AF570" i="2"/>
  <c r="AE570" i="2"/>
  <c r="AD570" i="2"/>
  <c r="AC570" i="2"/>
  <c r="AB570" i="2"/>
  <c r="AA570" i="2"/>
  <c r="Z570" i="2"/>
  <c r="Y570" i="2"/>
  <c r="X570" i="2"/>
  <c r="W570" i="2"/>
  <c r="V570" i="2"/>
  <c r="U570" i="2"/>
  <c r="T570" i="2"/>
  <c r="A574" i="3" s="1"/>
  <c r="AM569" i="2"/>
  <c r="AL569" i="2"/>
  <c r="AK569" i="2"/>
  <c r="AJ569" i="2"/>
  <c r="AI569" i="2"/>
  <c r="AH569" i="2"/>
  <c r="F569" i="4" s="1"/>
  <c r="AG569" i="2"/>
  <c r="AF569" i="2"/>
  <c r="AE569" i="2"/>
  <c r="AD569" i="2"/>
  <c r="AC569" i="2"/>
  <c r="AB569" i="2"/>
  <c r="AA569" i="2"/>
  <c r="Z569" i="2"/>
  <c r="Y569" i="2"/>
  <c r="X569" i="2"/>
  <c r="W569" i="2"/>
  <c r="V569" i="2"/>
  <c r="U569" i="2"/>
  <c r="T569" i="2"/>
  <c r="A573" i="3" s="1"/>
  <c r="AM568" i="2"/>
  <c r="AL568" i="2"/>
  <c r="AK568" i="2"/>
  <c r="AJ568" i="2"/>
  <c r="AI568" i="2"/>
  <c r="AH568" i="2"/>
  <c r="F568" i="4" s="1"/>
  <c r="AG568" i="2"/>
  <c r="AF568" i="2"/>
  <c r="AE568" i="2"/>
  <c r="AD568" i="2"/>
  <c r="AC568" i="2"/>
  <c r="AB568" i="2"/>
  <c r="AA568" i="2"/>
  <c r="Z568" i="2"/>
  <c r="Y568" i="2"/>
  <c r="X568" i="2"/>
  <c r="W568" i="2"/>
  <c r="V568" i="2"/>
  <c r="U568" i="2"/>
  <c r="T568" i="2"/>
  <c r="A572" i="3" s="1"/>
  <c r="AM567" i="2"/>
  <c r="AL567" i="2"/>
  <c r="AK567" i="2"/>
  <c r="AJ567" i="2"/>
  <c r="AI567" i="2"/>
  <c r="AH567" i="2"/>
  <c r="F567" i="4" s="1"/>
  <c r="AG567" i="2"/>
  <c r="AF567" i="2"/>
  <c r="AE567" i="2"/>
  <c r="AD567" i="2"/>
  <c r="AC567" i="2"/>
  <c r="AB567" i="2"/>
  <c r="AA567" i="2"/>
  <c r="Z567" i="2"/>
  <c r="Y567" i="2"/>
  <c r="X567" i="2"/>
  <c r="W567" i="2"/>
  <c r="V567" i="2"/>
  <c r="U567" i="2"/>
  <c r="T567" i="2"/>
  <c r="A571" i="3" s="1"/>
  <c r="AM566" i="2"/>
  <c r="AL566" i="2"/>
  <c r="AK566" i="2"/>
  <c r="AJ566" i="2"/>
  <c r="AI566" i="2"/>
  <c r="AH566" i="2"/>
  <c r="F566" i="4" s="1"/>
  <c r="AG566" i="2"/>
  <c r="AF566" i="2"/>
  <c r="AE566" i="2"/>
  <c r="AD566" i="2"/>
  <c r="AC566" i="2"/>
  <c r="AB566" i="2"/>
  <c r="AA566" i="2"/>
  <c r="Z566" i="2"/>
  <c r="Y566" i="2"/>
  <c r="X566" i="2"/>
  <c r="W566" i="2"/>
  <c r="V566" i="2"/>
  <c r="U566" i="2"/>
  <c r="T566" i="2"/>
  <c r="A570" i="3" s="1"/>
  <c r="AM565" i="2"/>
  <c r="AL565" i="2"/>
  <c r="AK565" i="2"/>
  <c r="AJ565" i="2"/>
  <c r="AI565" i="2"/>
  <c r="AH565" i="2"/>
  <c r="F565" i="4" s="1"/>
  <c r="AG565" i="2"/>
  <c r="AF565" i="2"/>
  <c r="AE565" i="2"/>
  <c r="AD565" i="2"/>
  <c r="AC565" i="2"/>
  <c r="AB565" i="2"/>
  <c r="AA565" i="2"/>
  <c r="Z565" i="2"/>
  <c r="Y565" i="2"/>
  <c r="X565" i="2"/>
  <c r="W565" i="2"/>
  <c r="V565" i="2"/>
  <c r="U565" i="2"/>
  <c r="T565" i="2"/>
  <c r="A569" i="3" s="1"/>
  <c r="G565" i="2"/>
  <c r="F565" i="2"/>
  <c r="E565" i="2"/>
  <c r="D565" i="2"/>
  <c r="C565" i="2"/>
  <c r="B565" i="2"/>
  <c r="A565" i="2"/>
  <c r="AM564" i="2"/>
  <c r="AL564" i="2"/>
  <c r="AK564" i="2"/>
  <c r="AJ564" i="2"/>
  <c r="AI564" i="2"/>
  <c r="AH564" i="2"/>
  <c r="F564" i="4" s="1"/>
  <c r="AG564" i="2"/>
  <c r="AF564" i="2"/>
  <c r="AE564" i="2"/>
  <c r="AD564" i="2"/>
  <c r="AC564" i="2"/>
  <c r="AB564" i="2"/>
  <c r="AA564" i="2"/>
  <c r="Z564" i="2"/>
  <c r="Y564" i="2"/>
  <c r="X564" i="2"/>
  <c r="W564" i="2"/>
  <c r="V564" i="2"/>
  <c r="U564" i="2"/>
  <c r="T564" i="2"/>
  <c r="A568" i="3" s="1"/>
  <c r="G564" i="2"/>
  <c r="F564" i="2"/>
  <c r="E564" i="2"/>
  <c r="D564" i="2"/>
  <c r="C564" i="2"/>
  <c r="B564" i="2"/>
  <c r="A564" i="2"/>
  <c r="AM563" i="2"/>
  <c r="AL563" i="2"/>
  <c r="AK563" i="2"/>
  <c r="AJ563" i="2"/>
  <c r="AI563" i="2"/>
  <c r="AH563" i="2"/>
  <c r="F563" i="4" s="1"/>
  <c r="AG563" i="2"/>
  <c r="AF563" i="2"/>
  <c r="AE563" i="2"/>
  <c r="AD563" i="2"/>
  <c r="AC563" i="2"/>
  <c r="AB563" i="2"/>
  <c r="AA563" i="2"/>
  <c r="Z563" i="2"/>
  <c r="Y563" i="2"/>
  <c r="X563" i="2"/>
  <c r="W563" i="2"/>
  <c r="V563" i="2"/>
  <c r="U563" i="2"/>
  <c r="T563" i="2"/>
  <c r="A567" i="3" s="1"/>
  <c r="G563" i="2"/>
  <c r="F563" i="2"/>
  <c r="E563" i="2"/>
  <c r="D563" i="2"/>
  <c r="C563" i="2"/>
  <c r="B563" i="2"/>
  <c r="A563" i="2"/>
  <c r="AM562" i="2"/>
  <c r="AL562" i="2"/>
  <c r="AK562" i="2"/>
  <c r="AJ562" i="2"/>
  <c r="AI562" i="2"/>
  <c r="AH562" i="2"/>
  <c r="F562" i="4" s="1"/>
  <c r="AG562" i="2"/>
  <c r="AF562" i="2"/>
  <c r="AE562" i="2"/>
  <c r="AD562" i="2"/>
  <c r="AC562" i="2"/>
  <c r="AB562" i="2"/>
  <c r="AA562" i="2"/>
  <c r="Z562" i="2"/>
  <c r="Y562" i="2"/>
  <c r="X562" i="2"/>
  <c r="W562" i="2"/>
  <c r="V562" i="2"/>
  <c r="U562" i="2"/>
  <c r="T562" i="2"/>
  <c r="A566" i="3" s="1"/>
  <c r="G562" i="2"/>
  <c r="F562" i="2"/>
  <c r="E562" i="2"/>
  <c r="D562" i="2"/>
  <c r="C562" i="2"/>
  <c r="B562" i="2"/>
  <c r="A562" i="2"/>
  <c r="AM561" i="2"/>
  <c r="AL561" i="2"/>
  <c r="AK561" i="2"/>
  <c r="AJ561" i="2"/>
  <c r="AI561" i="2"/>
  <c r="AH561" i="2"/>
  <c r="F561" i="4" s="1"/>
  <c r="AG561" i="2"/>
  <c r="AF561" i="2"/>
  <c r="AE561" i="2"/>
  <c r="AD561" i="2"/>
  <c r="AC561" i="2"/>
  <c r="AB561" i="2"/>
  <c r="AA561" i="2"/>
  <c r="Z561" i="2"/>
  <c r="Y561" i="2"/>
  <c r="X561" i="2"/>
  <c r="W561" i="2"/>
  <c r="V561" i="2"/>
  <c r="U561" i="2"/>
  <c r="T561" i="2"/>
  <c r="A565" i="3" s="1"/>
  <c r="G561" i="2"/>
  <c r="F561" i="2"/>
  <c r="E561" i="2"/>
  <c r="D561" i="2"/>
  <c r="C561" i="2"/>
  <c r="B561" i="2"/>
  <c r="A561" i="2"/>
  <c r="AM560" i="2"/>
  <c r="AL560" i="2"/>
  <c r="AK560" i="2"/>
  <c r="AJ560" i="2"/>
  <c r="AI560" i="2"/>
  <c r="AH560" i="2"/>
  <c r="F560" i="4" s="1"/>
  <c r="AG560" i="2"/>
  <c r="AF560" i="2"/>
  <c r="AE560" i="2"/>
  <c r="AD560" i="2"/>
  <c r="AC560" i="2"/>
  <c r="AB560" i="2"/>
  <c r="AA560" i="2"/>
  <c r="Z560" i="2"/>
  <c r="Y560" i="2"/>
  <c r="X560" i="2"/>
  <c r="W560" i="2"/>
  <c r="V560" i="2"/>
  <c r="U560" i="2"/>
  <c r="T560" i="2"/>
  <c r="A564" i="3" s="1"/>
  <c r="G560" i="2"/>
  <c r="F560" i="2"/>
  <c r="E560" i="2"/>
  <c r="D560" i="2"/>
  <c r="C560" i="2"/>
  <c r="B560" i="2"/>
  <c r="A560" i="2"/>
  <c r="AM559" i="2"/>
  <c r="AL559" i="2"/>
  <c r="AK559" i="2"/>
  <c r="AJ559" i="2"/>
  <c r="AI559" i="2"/>
  <c r="AH559" i="2"/>
  <c r="F559" i="4" s="1"/>
  <c r="AG559" i="2"/>
  <c r="AF559" i="2"/>
  <c r="AE559" i="2"/>
  <c r="AD559" i="2"/>
  <c r="AC559" i="2"/>
  <c r="AB559" i="2"/>
  <c r="AA559" i="2"/>
  <c r="Z559" i="2"/>
  <c r="Y559" i="2"/>
  <c r="X559" i="2"/>
  <c r="W559" i="2"/>
  <c r="V559" i="2"/>
  <c r="U559" i="2"/>
  <c r="T559" i="2"/>
  <c r="A563" i="3" s="1"/>
  <c r="G559" i="2"/>
  <c r="F559" i="2"/>
  <c r="E559" i="2"/>
  <c r="D559" i="2"/>
  <c r="C559" i="2"/>
  <c r="B559" i="2"/>
  <c r="A559" i="2"/>
  <c r="AM558" i="2"/>
  <c r="AL558" i="2"/>
  <c r="AK558" i="2"/>
  <c r="AJ558" i="2"/>
  <c r="AI558" i="2"/>
  <c r="AH558" i="2"/>
  <c r="F558" i="4" s="1"/>
  <c r="AG558" i="2"/>
  <c r="AF558" i="2"/>
  <c r="AE558" i="2"/>
  <c r="AD558" i="2"/>
  <c r="AC558" i="2"/>
  <c r="AB558" i="2"/>
  <c r="AA558" i="2"/>
  <c r="Z558" i="2"/>
  <c r="Y558" i="2"/>
  <c r="X558" i="2"/>
  <c r="W558" i="2"/>
  <c r="V558" i="2"/>
  <c r="U558" i="2"/>
  <c r="T558" i="2"/>
  <c r="A562" i="3" s="1"/>
  <c r="G558" i="2"/>
  <c r="F558" i="2"/>
  <c r="E558" i="2"/>
  <c r="D558" i="2"/>
  <c r="C558" i="2"/>
  <c r="B558" i="2"/>
  <c r="A558" i="2"/>
  <c r="AM557" i="2"/>
  <c r="AL557" i="2"/>
  <c r="AK557" i="2"/>
  <c r="AJ557" i="2"/>
  <c r="AI557" i="2"/>
  <c r="AH557" i="2"/>
  <c r="F557" i="4" s="1"/>
  <c r="AG557" i="2"/>
  <c r="AF557" i="2"/>
  <c r="AE557" i="2"/>
  <c r="AD557" i="2"/>
  <c r="AC557" i="2"/>
  <c r="AB557" i="2"/>
  <c r="AA557" i="2"/>
  <c r="Z557" i="2"/>
  <c r="Y557" i="2"/>
  <c r="X557" i="2"/>
  <c r="W557" i="2"/>
  <c r="V557" i="2"/>
  <c r="U557" i="2"/>
  <c r="T557" i="2"/>
  <c r="A561" i="3" s="1"/>
  <c r="G557" i="2"/>
  <c r="F557" i="2"/>
  <c r="E557" i="2"/>
  <c r="D557" i="2"/>
  <c r="C557" i="2"/>
  <c r="B557" i="2"/>
  <c r="A557" i="2"/>
  <c r="AM556" i="2"/>
  <c r="AL556" i="2"/>
  <c r="AK556" i="2"/>
  <c r="AJ556" i="2"/>
  <c r="AI556" i="2"/>
  <c r="AH556" i="2"/>
  <c r="F556" i="4" s="1"/>
  <c r="AG556" i="2"/>
  <c r="AF556" i="2"/>
  <c r="AE556" i="2"/>
  <c r="AD556" i="2"/>
  <c r="AC556" i="2"/>
  <c r="AB556" i="2"/>
  <c r="AA556" i="2"/>
  <c r="Z556" i="2"/>
  <c r="Y556" i="2"/>
  <c r="X556" i="2"/>
  <c r="W556" i="2"/>
  <c r="V556" i="2"/>
  <c r="U556" i="2"/>
  <c r="T556" i="2"/>
  <c r="A560" i="3" s="1"/>
  <c r="G556" i="2"/>
  <c r="F556" i="2"/>
  <c r="E556" i="2"/>
  <c r="D556" i="2"/>
  <c r="C556" i="2"/>
  <c r="B556" i="2"/>
  <c r="A556" i="2"/>
  <c r="AM555" i="2"/>
  <c r="AL555" i="2"/>
  <c r="AK555" i="2"/>
  <c r="AJ555" i="2"/>
  <c r="AI555" i="2"/>
  <c r="AH555" i="2"/>
  <c r="F555" i="4" s="1"/>
  <c r="AG555" i="2"/>
  <c r="AF555" i="2"/>
  <c r="AE555" i="2"/>
  <c r="AD555" i="2"/>
  <c r="AC555" i="2"/>
  <c r="AB555" i="2"/>
  <c r="AA555" i="2"/>
  <c r="Z555" i="2"/>
  <c r="Y555" i="2"/>
  <c r="X555" i="2"/>
  <c r="W555" i="2"/>
  <c r="V555" i="2"/>
  <c r="U555" i="2"/>
  <c r="T555" i="2"/>
  <c r="A559" i="3" s="1"/>
  <c r="G555" i="2"/>
  <c r="F555" i="2"/>
  <c r="E555" i="2"/>
  <c r="D555" i="2"/>
  <c r="C555" i="2"/>
  <c r="B555" i="2"/>
  <c r="A555" i="2"/>
  <c r="AM554" i="2"/>
  <c r="AL554" i="2"/>
  <c r="AK554" i="2"/>
  <c r="AJ554" i="2"/>
  <c r="AI554" i="2"/>
  <c r="AH554" i="2"/>
  <c r="F554" i="4" s="1"/>
  <c r="AG554" i="2"/>
  <c r="AF554" i="2"/>
  <c r="AE554" i="2"/>
  <c r="AD554" i="2"/>
  <c r="AC554" i="2"/>
  <c r="AB554" i="2"/>
  <c r="AA554" i="2"/>
  <c r="Z554" i="2"/>
  <c r="Y554" i="2"/>
  <c r="X554" i="2"/>
  <c r="W554" i="2"/>
  <c r="V554" i="2"/>
  <c r="U554" i="2"/>
  <c r="T554" i="2"/>
  <c r="A558" i="3" s="1"/>
  <c r="G554" i="2"/>
  <c r="F554" i="2"/>
  <c r="E554" i="2"/>
  <c r="D554" i="2"/>
  <c r="C554" i="2"/>
  <c r="B554" i="2"/>
  <c r="A554" i="2"/>
  <c r="AM553" i="2"/>
  <c r="AL553" i="2"/>
  <c r="AK553" i="2"/>
  <c r="AJ553" i="2"/>
  <c r="AI553" i="2"/>
  <c r="AH553" i="2"/>
  <c r="F553" i="4" s="1"/>
  <c r="AG553" i="2"/>
  <c r="AF553" i="2"/>
  <c r="AE553" i="2"/>
  <c r="AD553" i="2"/>
  <c r="AC553" i="2"/>
  <c r="AB553" i="2"/>
  <c r="AA553" i="2"/>
  <c r="Z553" i="2"/>
  <c r="Y553" i="2"/>
  <c r="X553" i="2"/>
  <c r="W553" i="2"/>
  <c r="V553" i="2"/>
  <c r="U553" i="2"/>
  <c r="T553" i="2"/>
  <c r="A557" i="3" s="1"/>
  <c r="G553" i="2"/>
  <c r="F553" i="2"/>
  <c r="E553" i="2"/>
  <c r="D553" i="2"/>
  <c r="C553" i="2"/>
  <c r="B553" i="2"/>
  <c r="A553" i="2"/>
  <c r="AM552" i="2"/>
  <c r="AL552" i="2"/>
  <c r="AK552" i="2"/>
  <c r="AJ552" i="2"/>
  <c r="AI552" i="2"/>
  <c r="AH552" i="2"/>
  <c r="F552" i="4" s="1"/>
  <c r="AG552" i="2"/>
  <c r="AF552" i="2"/>
  <c r="AE552" i="2"/>
  <c r="AD552" i="2"/>
  <c r="AC552" i="2"/>
  <c r="AB552" i="2"/>
  <c r="AA552" i="2"/>
  <c r="Z552" i="2"/>
  <c r="Y552" i="2"/>
  <c r="X552" i="2"/>
  <c r="W552" i="2"/>
  <c r="V552" i="2"/>
  <c r="U552" i="2"/>
  <c r="T552" i="2"/>
  <c r="A556" i="3" s="1"/>
  <c r="G552" i="2"/>
  <c r="F552" i="2"/>
  <c r="E552" i="2"/>
  <c r="D552" i="2"/>
  <c r="C552" i="2"/>
  <c r="B552" i="2"/>
  <c r="A552" i="2"/>
  <c r="AM551" i="2"/>
  <c r="AL551" i="2"/>
  <c r="AK551" i="2"/>
  <c r="AJ551" i="2"/>
  <c r="AI551" i="2"/>
  <c r="AH551" i="2"/>
  <c r="F551" i="4" s="1"/>
  <c r="AG551" i="2"/>
  <c r="AF551" i="2"/>
  <c r="AE551" i="2"/>
  <c r="AD551" i="2"/>
  <c r="AC551" i="2"/>
  <c r="AB551" i="2"/>
  <c r="AA551" i="2"/>
  <c r="Z551" i="2"/>
  <c r="Y551" i="2"/>
  <c r="X551" i="2"/>
  <c r="W551" i="2"/>
  <c r="V551" i="2"/>
  <c r="U551" i="2"/>
  <c r="T551" i="2"/>
  <c r="A555" i="3" s="1"/>
  <c r="G551" i="2"/>
  <c r="F551" i="2"/>
  <c r="E551" i="2"/>
  <c r="D551" i="2"/>
  <c r="C551" i="2"/>
  <c r="B551" i="2"/>
  <c r="A551" i="2"/>
  <c r="AM550" i="2"/>
  <c r="AL550" i="2"/>
  <c r="AK550" i="2"/>
  <c r="AJ550" i="2"/>
  <c r="AI550" i="2"/>
  <c r="AH550" i="2"/>
  <c r="F550" i="4" s="1"/>
  <c r="AG550" i="2"/>
  <c r="AF550" i="2"/>
  <c r="AE550" i="2"/>
  <c r="AD550" i="2"/>
  <c r="AC550" i="2"/>
  <c r="AB550" i="2"/>
  <c r="AA550" i="2"/>
  <c r="Z550" i="2"/>
  <c r="Y550" i="2"/>
  <c r="X550" i="2"/>
  <c r="W550" i="2"/>
  <c r="V550" i="2"/>
  <c r="U550" i="2"/>
  <c r="T550" i="2"/>
  <c r="A554" i="3" s="1"/>
  <c r="G550" i="2"/>
  <c r="F550" i="2"/>
  <c r="E550" i="2"/>
  <c r="D550" i="2"/>
  <c r="C550" i="2"/>
  <c r="B550" i="2"/>
  <c r="A550" i="2"/>
  <c r="AM549" i="2"/>
  <c r="AL549" i="2"/>
  <c r="AK549" i="2"/>
  <c r="AJ549" i="2"/>
  <c r="AI549" i="2"/>
  <c r="AH549" i="2"/>
  <c r="F549" i="4" s="1"/>
  <c r="AG549" i="2"/>
  <c r="AF549" i="2"/>
  <c r="AE549" i="2"/>
  <c r="AD549" i="2"/>
  <c r="AC549" i="2"/>
  <c r="AB549" i="2"/>
  <c r="AA549" i="2"/>
  <c r="Z549" i="2"/>
  <c r="Y549" i="2"/>
  <c r="X549" i="2"/>
  <c r="W549" i="2"/>
  <c r="V549" i="2"/>
  <c r="U549" i="2"/>
  <c r="T549" i="2"/>
  <c r="A553" i="3" s="1"/>
  <c r="G549" i="2"/>
  <c r="F549" i="2"/>
  <c r="E549" i="2"/>
  <c r="D549" i="2"/>
  <c r="C549" i="2"/>
  <c r="B549" i="2"/>
  <c r="A549" i="2"/>
  <c r="AM548" i="2"/>
  <c r="AL548" i="2"/>
  <c r="AK548" i="2"/>
  <c r="AJ548" i="2"/>
  <c r="AI548" i="2"/>
  <c r="AH548" i="2"/>
  <c r="F548" i="4" s="1"/>
  <c r="AG548" i="2"/>
  <c r="AF548" i="2"/>
  <c r="AE548" i="2"/>
  <c r="AD548" i="2"/>
  <c r="AC548" i="2"/>
  <c r="AB548" i="2"/>
  <c r="AA548" i="2"/>
  <c r="Z548" i="2"/>
  <c r="Y548" i="2"/>
  <c r="X548" i="2"/>
  <c r="W548" i="2"/>
  <c r="V548" i="2"/>
  <c r="U548" i="2"/>
  <c r="T548" i="2"/>
  <c r="A552" i="3" s="1"/>
  <c r="G548" i="2"/>
  <c r="F548" i="2"/>
  <c r="E548" i="2"/>
  <c r="D548" i="2"/>
  <c r="C548" i="2"/>
  <c r="B548" i="2"/>
  <c r="A548" i="2"/>
  <c r="AM547" i="2"/>
  <c r="AL547" i="2"/>
  <c r="AK547" i="2"/>
  <c r="AJ547" i="2"/>
  <c r="AI547" i="2"/>
  <c r="AH547" i="2"/>
  <c r="F547" i="4" s="1"/>
  <c r="AG547" i="2"/>
  <c r="AF547" i="2"/>
  <c r="AE547" i="2"/>
  <c r="AD547" i="2"/>
  <c r="AC547" i="2"/>
  <c r="AB547" i="2"/>
  <c r="AA547" i="2"/>
  <c r="Z547" i="2"/>
  <c r="Y547" i="2"/>
  <c r="X547" i="2"/>
  <c r="W547" i="2"/>
  <c r="V547" i="2"/>
  <c r="U547" i="2"/>
  <c r="T547" i="2"/>
  <c r="A551" i="3" s="1"/>
  <c r="G547" i="2"/>
  <c r="F547" i="2"/>
  <c r="E547" i="2"/>
  <c r="D547" i="2"/>
  <c r="C547" i="2"/>
  <c r="B547" i="2"/>
  <c r="A547" i="2"/>
  <c r="AM546" i="2"/>
  <c r="AL546" i="2"/>
  <c r="AK546" i="2"/>
  <c r="AJ546" i="2"/>
  <c r="AI546" i="2"/>
  <c r="AH546" i="2"/>
  <c r="F546" i="4" s="1"/>
  <c r="AG546" i="2"/>
  <c r="AF546" i="2"/>
  <c r="AE546" i="2"/>
  <c r="AD546" i="2"/>
  <c r="AC546" i="2"/>
  <c r="AB546" i="2"/>
  <c r="AA546" i="2"/>
  <c r="Z546" i="2"/>
  <c r="Y546" i="2"/>
  <c r="X546" i="2"/>
  <c r="W546" i="2"/>
  <c r="V546" i="2"/>
  <c r="U546" i="2"/>
  <c r="T546" i="2"/>
  <c r="A550" i="3" s="1"/>
  <c r="G546" i="2"/>
  <c r="F546" i="2"/>
  <c r="E546" i="2"/>
  <c r="D546" i="2"/>
  <c r="C546" i="2"/>
  <c r="B546" i="2"/>
  <c r="A546" i="2"/>
  <c r="AM545" i="2"/>
  <c r="AL545" i="2"/>
  <c r="AK545" i="2"/>
  <c r="AJ545" i="2"/>
  <c r="AI545" i="2"/>
  <c r="AH545" i="2"/>
  <c r="F545" i="4" s="1"/>
  <c r="AG545" i="2"/>
  <c r="AF545" i="2"/>
  <c r="AE545" i="2"/>
  <c r="AD545" i="2"/>
  <c r="AC545" i="2"/>
  <c r="AB545" i="2"/>
  <c r="AA545" i="2"/>
  <c r="Z545" i="2"/>
  <c r="Y545" i="2"/>
  <c r="X545" i="2"/>
  <c r="W545" i="2"/>
  <c r="V545" i="2"/>
  <c r="U545" i="2"/>
  <c r="T545" i="2"/>
  <c r="A549" i="3" s="1"/>
  <c r="G545" i="2"/>
  <c r="F545" i="2"/>
  <c r="E545" i="2"/>
  <c r="D545" i="2"/>
  <c r="C545" i="2"/>
  <c r="B545" i="2"/>
  <c r="A545" i="2"/>
  <c r="AM544" i="2"/>
  <c r="AL544" i="2"/>
  <c r="AK544" i="2"/>
  <c r="AJ544" i="2"/>
  <c r="AI544" i="2"/>
  <c r="AH544" i="2"/>
  <c r="F544" i="4" s="1"/>
  <c r="AG544" i="2"/>
  <c r="AF544" i="2"/>
  <c r="AE544" i="2"/>
  <c r="AD544" i="2"/>
  <c r="AC544" i="2"/>
  <c r="AB544" i="2"/>
  <c r="AA544" i="2"/>
  <c r="Z544" i="2"/>
  <c r="Y544" i="2"/>
  <c r="X544" i="2"/>
  <c r="W544" i="2"/>
  <c r="V544" i="2"/>
  <c r="U544" i="2"/>
  <c r="T544" i="2"/>
  <c r="A548" i="3" s="1"/>
  <c r="G544" i="2"/>
  <c r="F544" i="2"/>
  <c r="E544" i="2"/>
  <c r="D544" i="2"/>
  <c r="C544" i="2"/>
  <c r="B544" i="2"/>
  <c r="A544" i="2"/>
  <c r="AM543" i="2"/>
  <c r="AL543" i="2"/>
  <c r="AK543" i="2"/>
  <c r="AJ543" i="2"/>
  <c r="AI543" i="2"/>
  <c r="AH543" i="2"/>
  <c r="F543" i="4" s="1"/>
  <c r="AG543" i="2"/>
  <c r="AF543" i="2"/>
  <c r="AE543" i="2"/>
  <c r="AD543" i="2"/>
  <c r="AC543" i="2"/>
  <c r="AB543" i="2"/>
  <c r="AA543" i="2"/>
  <c r="Z543" i="2"/>
  <c r="Y543" i="2"/>
  <c r="X543" i="2"/>
  <c r="W543" i="2"/>
  <c r="V543" i="2"/>
  <c r="U543" i="2"/>
  <c r="T543" i="2"/>
  <c r="A547" i="3" s="1"/>
  <c r="G543" i="2"/>
  <c r="F543" i="2"/>
  <c r="E543" i="2"/>
  <c r="D543" i="2"/>
  <c r="C543" i="2"/>
  <c r="B543" i="2"/>
  <c r="A543" i="2"/>
  <c r="AM542" i="2"/>
  <c r="AL542" i="2"/>
  <c r="AK542" i="2"/>
  <c r="AJ542" i="2"/>
  <c r="AI542" i="2"/>
  <c r="AH542" i="2"/>
  <c r="F542" i="4" s="1"/>
  <c r="AG542" i="2"/>
  <c r="AF542" i="2"/>
  <c r="AE542" i="2"/>
  <c r="AD542" i="2"/>
  <c r="AC542" i="2"/>
  <c r="AB542" i="2"/>
  <c r="AA542" i="2"/>
  <c r="Z542" i="2"/>
  <c r="Y542" i="2"/>
  <c r="X542" i="2"/>
  <c r="W542" i="2"/>
  <c r="V542" i="2"/>
  <c r="U542" i="2"/>
  <c r="T542" i="2"/>
  <c r="A546" i="3" s="1"/>
  <c r="G542" i="2"/>
  <c r="F542" i="2"/>
  <c r="E542" i="2"/>
  <c r="D542" i="2"/>
  <c r="C542" i="2"/>
  <c r="B542" i="2"/>
  <c r="A542" i="2"/>
  <c r="AM541" i="2"/>
  <c r="AL541" i="2"/>
  <c r="AK541" i="2"/>
  <c r="AJ541" i="2"/>
  <c r="AI541" i="2"/>
  <c r="AH541" i="2"/>
  <c r="F541" i="4" s="1"/>
  <c r="AG541" i="2"/>
  <c r="AF541" i="2"/>
  <c r="AE541" i="2"/>
  <c r="AD541" i="2"/>
  <c r="AC541" i="2"/>
  <c r="AB541" i="2"/>
  <c r="AA541" i="2"/>
  <c r="Z541" i="2"/>
  <c r="Y541" i="2"/>
  <c r="X541" i="2"/>
  <c r="W541" i="2"/>
  <c r="V541" i="2"/>
  <c r="U541" i="2"/>
  <c r="T541" i="2"/>
  <c r="A545" i="3" s="1"/>
  <c r="G541" i="2"/>
  <c r="F541" i="2"/>
  <c r="E541" i="2"/>
  <c r="D541" i="2"/>
  <c r="C541" i="2"/>
  <c r="B541" i="2"/>
  <c r="A541" i="2"/>
  <c r="AM540" i="2"/>
  <c r="AL540" i="2"/>
  <c r="AK540" i="2"/>
  <c r="AJ540" i="2"/>
  <c r="AI540" i="2"/>
  <c r="AH540" i="2"/>
  <c r="F540" i="4" s="1"/>
  <c r="AG540" i="2"/>
  <c r="AF540" i="2"/>
  <c r="AE540" i="2"/>
  <c r="AD540" i="2"/>
  <c r="AC540" i="2"/>
  <c r="AB540" i="2"/>
  <c r="AA540" i="2"/>
  <c r="Z540" i="2"/>
  <c r="Y540" i="2"/>
  <c r="X540" i="2"/>
  <c r="W540" i="2"/>
  <c r="V540" i="2"/>
  <c r="U540" i="2"/>
  <c r="T540" i="2"/>
  <c r="A544" i="3" s="1"/>
  <c r="G540" i="2"/>
  <c r="F540" i="2"/>
  <c r="E540" i="2"/>
  <c r="D540" i="2"/>
  <c r="C540" i="2"/>
  <c r="B540" i="2"/>
  <c r="A540" i="2"/>
  <c r="AM539" i="2"/>
  <c r="AL539" i="2"/>
  <c r="AK539" i="2"/>
  <c r="AJ539" i="2"/>
  <c r="AI539" i="2"/>
  <c r="AH539" i="2"/>
  <c r="F539" i="4" s="1"/>
  <c r="AG539" i="2"/>
  <c r="AF539" i="2"/>
  <c r="AE539" i="2"/>
  <c r="AD539" i="2"/>
  <c r="AC539" i="2"/>
  <c r="AB539" i="2"/>
  <c r="AA539" i="2"/>
  <c r="Z539" i="2"/>
  <c r="Y539" i="2"/>
  <c r="X539" i="2"/>
  <c r="W539" i="2"/>
  <c r="V539" i="2"/>
  <c r="U539" i="2"/>
  <c r="T539" i="2"/>
  <c r="A543" i="3" s="1"/>
  <c r="G539" i="2"/>
  <c r="F539" i="2"/>
  <c r="E539" i="2"/>
  <c r="D539" i="2"/>
  <c r="C539" i="2"/>
  <c r="B539" i="2"/>
  <c r="A539" i="2"/>
  <c r="AM538" i="2"/>
  <c r="AL538" i="2"/>
  <c r="AK538" i="2"/>
  <c r="AJ538" i="2"/>
  <c r="AI538" i="2"/>
  <c r="AH538" i="2"/>
  <c r="F538" i="4" s="1"/>
  <c r="AG538" i="2"/>
  <c r="AF538" i="2"/>
  <c r="AE538" i="2"/>
  <c r="AD538" i="2"/>
  <c r="AC538" i="2"/>
  <c r="AB538" i="2"/>
  <c r="AA538" i="2"/>
  <c r="Z538" i="2"/>
  <c r="Y538" i="2"/>
  <c r="X538" i="2"/>
  <c r="W538" i="2"/>
  <c r="V538" i="2"/>
  <c r="U538" i="2"/>
  <c r="T538" i="2"/>
  <c r="A542" i="3" s="1"/>
  <c r="G538" i="2"/>
  <c r="F538" i="2"/>
  <c r="E538" i="2"/>
  <c r="D538" i="2"/>
  <c r="C538" i="2"/>
  <c r="B538" i="2"/>
  <c r="A538" i="2"/>
  <c r="AM537" i="2"/>
  <c r="AL537" i="2"/>
  <c r="AK537" i="2"/>
  <c r="AJ537" i="2"/>
  <c r="AI537" i="2"/>
  <c r="AH537" i="2"/>
  <c r="F537" i="4" s="1"/>
  <c r="AG537" i="2"/>
  <c r="AF537" i="2"/>
  <c r="AE537" i="2"/>
  <c r="AD537" i="2"/>
  <c r="AC537" i="2"/>
  <c r="AB537" i="2"/>
  <c r="AA537" i="2"/>
  <c r="Z537" i="2"/>
  <c r="Y537" i="2"/>
  <c r="X537" i="2"/>
  <c r="W537" i="2"/>
  <c r="V537" i="2"/>
  <c r="U537" i="2"/>
  <c r="T537" i="2"/>
  <c r="A541" i="3" s="1"/>
  <c r="G537" i="2"/>
  <c r="F537" i="2"/>
  <c r="E537" i="2"/>
  <c r="D537" i="2"/>
  <c r="C537" i="2"/>
  <c r="B537" i="2"/>
  <c r="A537" i="2"/>
  <c r="AM536" i="2"/>
  <c r="AL536" i="2"/>
  <c r="AK536" i="2"/>
  <c r="AJ536" i="2"/>
  <c r="AI536" i="2"/>
  <c r="AH536" i="2"/>
  <c r="F536" i="4" s="1"/>
  <c r="AG536" i="2"/>
  <c r="AF536" i="2"/>
  <c r="AE536" i="2"/>
  <c r="AD536" i="2"/>
  <c r="AC536" i="2"/>
  <c r="AB536" i="2"/>
  <c r="AA536" i="2"/>
  <c r="Z536" i="2"/>
  <c r="Y536" i="2"/>
  <c r="X536" i="2"/>
  <c r="W536" i="2"/>
  <c r="V536" i="2"/>
  <c r="U536" i="2"/>
  <c r="T536" i="2"/>
  <c r="A540" i="3" s="1"/>
  <c r="G536" i="2"/>
  <c r="F536" i="2"/>
  <c r="E536" i="2"/>
  <c r="D536" i="2"/>
  <c r="C536" i="2"/>
  <c r="B536" i="2"/>
  <c r="A536" i="2"/>
  <c r="AM535" i="2"/>
  <c r="AL535" i="2"/>
  <c r="AK535" i="2"/>
  <c r="AJ535" i="2"/>
  <c r="AI535" i="2"/>
  <c r="AH535" i="2"/>
  <c r="F535" i="4" s="1"/>
  <c r="AG535" i="2"/>
  <c r="AF535" i="2"/>
  <c r="AE535" i="2"/>
  <c r="AD535" i="2"/>
  <c r="AC535" i="2"/>
  <c r="AB535" i="2"/>
  <c r="AA535" i="2"/>
  <c r="Z535" i="2"/>
  <c r="Y535" i="2"/>
  <c r="X535" i="2"/>
  <c r="W535" i="2"/>
  <c r="V535" i="2"/>
  <c r="U535" i="2"/>
  <c r="T535" i="2"/>
  <c r="A539" i="3" s="1"/>
  <c r="G535" i="2"/>
  <c r="F535" i="2"/>
  <c r="E535" i="2"/>
  <c r="D535" i="2"/>
  <c r="C535" i="2"/>
  <c r="B535" i="2"/>
  <c r="A535" i="2"/>
  <c r="AM534" i="2"/>
  <c r="AL534" i="2"/>
  <c r="AK534" i="2"/>
  <c r="AJ534" i="2"/>
  <c r="AI534" i="2"/>
  <c r="AH534" i="2"/>
  <c r="F534" i="4" s="1"/>
  <c r="AG534" i="2"/>
  <c r="AF534" i="2"/>
  <c r="AE534" i="2"/>
  <c r="AD534" i="2"/>
  <c r="AC534" i="2"/>
  <c r="AB534" i="2"/>
  <c r="AA534" i="2"/>
  <c r="Z534" i="2"/>
  <c r="Y534" i="2"/>
  <c r="X534" i="2"/>
  <c r="W534" i="2"/>
  <c r="V534" i="2"/>
  <c r="U534" i="2"/>
  <c r="T534" i="2"/>
  <c r="A538" i="3" s="1"/>
  <c r="G534" i="2"/>
  <c r="F534" i="2"/>
  <c r="E534" i="2"/>
  <c r="D534" i="2"/>
  <c r="C534" i="2"/>
  <c r="B534" i="2"/>
  <c r="A534" i="2"/>
  <c r="AM533" i="2"/>
  <c r="AL533" i="2"/>
  <c r="AK533" i="2"/>
  <c r="AJ533" i="2"/>
  <c r="AI533" i="2"/>
  <c r="AH533" i="2"/>
  <c r="F533" i="4" s="1"/>
  <c r="AG533" i="2"/>
  <c r="AF533" i="2"/>
  <c r="AE533" i="2"/>
  <c r="AD533" i="2"/>
  <c r="AC533" i="2"/>
  <c r="AB533" i="2"/>
  <c r="AA533" i="2"/>
  <c r="Z533" i="2"/>
  <c r="Y533" i="2"/>
  <c r="X533" i="2"/>
  <c r="W533" i="2"/>
  <c r="V533" i="2"/>
  <c r="U533" i="2"/>
  <c r="T533" i="2"/>
  <c r="A537" i="3" s="1"/>
  <c r="G533" i="2"/>
  <c r="F533" i="2"/>
  <c r="E533" i="2"/>
  <c r="D533" i="2"/>
  <c r="C533" i="2"/>
  <c r="B533" i="2"/>
  <c r="A533" i="2"/>
  <c r="AM532" i="2"/>
  <c r="AL532" i="2"/>
  <c r="AK532" i="2"/>
  <c r="AJ532" i="2"/>
  <c r="AI532" i="2"/>
  <c r="AH532" i="2"/>
  <c r="F532" i="4" s="1"/>
  <c r="AG532" i="2"/>
  <c r="AF532" i="2"/>
  <c r="AE532" i="2"/>
  <c r="AD532" i="2"/>
  <c r="AC532" i="2"/>
  <c r="AB532" i="2"/>
  <c r="AA532" i="2"/>
  <c r="Z532" i="2"/>
  <c r="Y532" i="2"/>
  <c r="X532" i="2"/>
  <c r="W532" i="2"/>
  <c r="V532" i="2"/>
  <c r="U532" i="2"/>
  <c r="T532" i="2"/>
  <c r="A536" i="3" s="1"/>
  <c r="G532" i="2"/>
  <c r="F532" i="2"/>
  <c r="E532" i="2"/>
  <c r="D532" i="2"/>
  <c r="C532" i="2"/>
  <c r="B532" i="2"/>
  <c r="A532" i="2"/>
  <c r="AM531" i="2"/>
  <c r="AL531" i="2"/>
  <c r="AK531" i="2"/>
  <c r="AJ531" i="2"/>
  <c r="AI531" i="2"/>
  <c r="AH531" i="2"/>
  <c r="F531" i="4" s="1"/>
  <c r="AG531" i="2"/>
  <c r="AF531" i="2"/>
  <c r="AE531" i="2"/>
  <c r="AD531" i="2"/>
  <c r="AC531" i="2"/>
  <c r="AB531" i="2"/>
  <c r="AA531" i="2"/>
  <c r="Z531" i="2"/>
  <c r="Y531" i="2"/>
  <c r="X531" i="2"/>
  <c r="W531" i="2"/>
  <c r="V531" i="2"/>
  <c r="U531" i="2"/>
  <c r="T531" i="2"/>
  <c r="A535" i="3" s="1"/>
  <c r="G531" i="2"/>
  <c r="F531" i="2"/>
  <c r="E531" i="2"/>
  <c r="D531" i="2"/>
  <c r="C531" i="2"/>
  <c r="B531" i="2"/>
  <c r="A531" i="2"/>
  <c r="AM530" i="2"/>
  <c r="AL530" i="2"/>
  <c r="AK530" i="2"/>
  <c r="AJ530" i="2"/>
  <c r="AI530" i="2"/>
  <c r="AH530" i="2"/>
  <c r="F530" i="4" s="1"/>
  <c r="AG530" i="2"/>
  <c r="AF530" i="2"/>
  <c r="AE530" i="2"/>
  <c r="AD530" i="2"/>
  <c r="AC530" i="2"/>
  <c r="AB530" i="2"/>
  <c r="AA530" i="2"/>
  <c r="Z530" i="2"/>
  <c r="Y530" i="2"/>
  <c r="X530" i="2"/>
  <c r="W530" i="2"/>
  <c r="V530" i="2"/>
  <c r="U530" i="2"/>
  <c r="T530" i="2"/>
  <c r="A534" i="3" s="1"/>
  <c r="G530" i="2"/>
  <c r="F530" i="2"/>
  <c r="E530" i="2"/>
  <c r="D530" i="2"/>
  <c r="C530" i="2"/>
  <c r="B530" i="2"/>
  <c r="A530" i="2"/>
  <c r="AM529" i="2"/>
  <c r="AL529" i="2"/>
  <c r="AK529" i="2"/>
  <c r="AJ529" i="2"/>
  <c r="AI529" i="2"/>
  <c r="AH529" i="2"/>
  <c r="F529" i="4" s="1"/>
  <c r="AG529" i="2"/>
  <c r="AF529" i="2"/>
  <c r="AE529" i="2"/>
  <c r="AD529" i="2"/>
  <c r="AC529" i="2"/>
  <c r="AB529" i="2"/>
  <c r="AA529" i="2"/>
  <c r="Z529" i="2"/>
  <c r="Y529" i="2"/>
  <c r="X529" i="2"/>
  <c r="W529" i="2"/>
  <c r="V529" i="2"/>
  <c r="U529" i="2"/>
  <c r="T529" i="2"/>
  <c r="A533" i="3" s="1"/>
  <c r="G529" i="2"/>
  <c r="F529" i="2"/>
  <c r="E529" i="2"/>
  <c r="D529" i="2"/>
  <c r="C529" i="2"/>
  <c r="B529" i="2"/>
  <c r="A529" i="2"/>
  <c r="AM528" i="2"/>
  <c r="AL528" i="2"/>
  <c r="AK528" i="2"/>
  <c r="AJ528" i="2"/>
  <c r="AI528" i="2"/>
  <c r="AH528" i="2"/>
  <c r="F528" i="4" s="1"/>
  <c r="AG528" i="2"/>
  <c r="AF528" i="2"/>
  <c r="AE528" i="2"/>
  <c r="AD528" i="2"/>
  <c r="AC528" i="2"/>
  <c r="AB528" i="2"/>
  <c r="AA528" i="2"/>
  <c r="Z528" i="2"/>
  <c r="Y528" i="2"/>
  <c r="X528" i="2"/>
  <c r="W528" i="2"/>
  <c r="V528" i="2"/>
  <c r="U528" i="2"/>
  <c r="T528" i="2"/>
  <c r="A532" i="3" s="1"/>
  <c r="G528" i="2"/>
  <c r="F528" i="2"/>
  <c r="E528" i="2"/>
  <c r="D528" i="2"/>
  <c r="C528" i="2"/>
  <c r="B528" i="2"/>
  <c r="A528" i="2"/>
  <c r="AM527" i="2"/>
  <c r="AL527" i="2"/>
  <c r="AK527" i="2"/>
  <c r="AJ527" i="2"/>
  <c r="AI527" i="2"/>
  <c r="AH527" i="2"/>
  <c r="F527" i="4" s="1"/>
  <c r="AG527" i="2"/>
  <c r="AF527" i="2"/>
  <c r="AE527" i="2"/>
  <c r="AD527" i="2"/>
  <c r="AC527" i="2"/>
  <c r="AB527" i="2"/>
  <c r="AA527" i="2"/>
  <c r="Z527" i="2"/>
  <c r="Y527" i="2"/>
  <c r="X527" i="2"/>
  <c r="W527" i="2"/>
  <c r="V527" i="2"/>
  <c r="U527" i="2"/>
  <c r="T527" i="2"/>
  <c r="A531" i="3" s="1"/>
  <c r="G527" i="2"/>
  <c r="F527" i="2"/>
  <c r="E527" i="2"/>
  <c r="D527" i="2"/>
  <c r="C527" i="2"/>
  <c r="B527" i="2"/>
  <c r="A527" i="2"/>
  <c r="AM526" i="2"/>
  <c r="AL526" i="2"/>
  <c r="AK526" i="2"/>
  <c r="AJ526" i="2"/>
  <c r="AI526" i="2"/>
  <c r="AH526" i="2"/>
  <c r="F526" i="4" s="1"/>
  <c r="AG526" i="2"/>
  <c r="AF526" i="2"/>
  <c r="AE526" i="2"/>
  <c r="AD526" i="2"/>
  <c r="AC526" i="2"/>
  <c r="AB526" i="2"/>
  <c r="AA526" i="2"/>
  <c r="Z526" i="2"/>
  <c r="Y526" i="2"/>
  <c r="X526" i="2"/>
  <c r="W526" i="2"/>
  <c r="V526" i="2"/>
  <c r="U526" i="2"/>
  <c r="T526" i="2"/>
  <c r="A530" i="3" s="1"/>
  <c r="G526" i="2"/>
  <c r="F526" i="2"/>
  <c r="E526" i="2"/>
  <c r="D526" i="2"/>
  <c r="C526" i="2"/>
  <c r="B526" i="2"/>
  <c r="A526" i="2"/>
  <c r="AM525" i="2"/>
  <c r="AL525" i="2"/>
  <c r="AK525" i="2"/>
  <c r="AJ525" i="2"/>
  <c r="AI525" i="2"/>
  <c r="AH525" i="2"/>
  <c r="F525" i="4" s="1"/>
  <c r="AG525" i="2"/>
  <c r="AF525" i="2"/>
  <c r="AE525" i="2"/>
  <c r="AD525" i="2"/>
  <c r="AC525" i="2"/>
  <c r="AB525" i="2"/>
  <c r="AA525" i="2"/>
  <c r="Z525" i="2"/>
  <c r="Y525" i="2"/>
  <c r="X525" i="2"/>
  <c r="W525" i="2"/>
  <c r="V525" i="2"/>
  <c r="U525" i="2"/>
  <c r="T525" i="2"/>
  <c r="A529" i="3" s="1"/>
  <c r="G525" i="2"/>
  <c r="F525" i="2"/>
  <c r="E525" i="2"/>
  <c r="D525" i="2"/>
  <c r="C525" i="2"/>
  <c r="B525" i="2"/>
  <c r="A525" i="2"/>
  <c r="AM524" i="2"/>
  <c r="AL524" i="2"/>
  <c r="AK524" i="2"/>
  <c r="AJ524" i="2"/>
  <c r="AI524" i="2"/>
  <c r="AH524" i="2"/>
  <c r="F524" i="4" s="1"/>
  <c r="AG524" i="2"/>
  <c r="AF524" i="2"/>
  <c r="AE524" i="2"/>
  <c r="AD524" i="2"/>
  <c r="AC524" i="2"/>
  <c r="AB524" i="2"/>
  <c r="AA524" i="2"/>
  <c r="Z524" i="2"/>
  <c r="Y524" i="2"/>
  <c r="X524" i="2"/>
  <c r="W524" i="2"/>
  <c r="V524" i="2"/>
  <c r="U524" i="2"/>
  <c r="T524" i="2"/>
  <c r="A528" i="3" s="1"/>
  <c r="G524" i="2"/>
  <c r="F524" i="2"/>
  <c r="E524" i="2"/>
  <c r="D524" i="2"/>
  <c r="C524" i="2"/>
  <c r="B524" i="2"/>
  <c r="A524" i="2"/>
  <c r="AM523" i="2"/>
  <c r="AL523" i="2"/>
  <c r="AK523" i="2"/>
  <c r="AJ523" i="2"/>
  <c r="AI523" i="2"/>
  <c r="AH523" i="2"/>
  <c r="F523" i="4" s="1"/>
  <c r="AG523" i="2"/>
  <c r="AF523" i="2"/>
  <c r="AE523" i="2"/>
  <c r="AD523" i="2"/>
  <c r="AC523" i="2"/>
  <c r="AB523" i="2"/>
  <c r="AA523" i="2"/>
  <c r="Z523" i="2"/>
  <c r="Y523" i="2"/>
  <c r="X523" i="2"/>
  <c r="W523" i="2"/>
  <c r="V523" i="2"/>
  <c r="U523" i="2"/>
  <c r="T523" i="2"/>
  <c r="A527" i="3" s="1"/>
  <c r="G523" i="2"/>
  <c r="F523" i="2"/>
  <c r="E523" i="2"/>
  <c r="D523" i="2"/>
  <c r="C523" i="2"/>
  <c r="B523" i="2"/>
  <c r="A523" i="2"/>
  <c r="AM522" i="2"/>
  <c r="AL522" i="2"/>
  <c r="AK522" i="2"/>
  <c r="AJ522" i="2"/>
  <c r="AI522" i="2"/>
  <c r="AH522" i="2"/>
  <c r="F522" i="4" s="1"/>
  <c r="AG522" i="2"/>
  <c r="AF522" i="2"/>
  <c r="AE522" i="2"/>
  <c r="AD522" i="2"/>
  <c r="AC522" i="2"/>
  <c r="AB522" i="2"/>
  <c r="AA522" i="2"/>
  <c r="Z522" i="2"/>
  <c r="Y522" i="2"/>
  <c r="X522" i="2"/>
  <c r="W522" i="2"/>
  <c r="V522" i="2"/>
  <c r="U522" i="2"/>
  <c r="T522" i="2"/>
  <c r="A526" i="3" s="1"/>
  <c r="G522" i="2"/>
  <c r="F522" i="2"/>
  <c r="E522" i="2"/>
  <c r="D522" i="2"/>
  <c r="C522" i="2"/>
  <c r="B522" i="2"/>
  <c r="A522" i="2"/>
  <c r="AM521" i="2"/>
  <c r="AL521" i="2"/>
  <c r="AK521" i="2"/>
  <c r="AJ521" i="2"/>
  <c r="AI521" i="2"/>
  <c r="AH521" i="2"/>
  <c r="F521" i="4" s="1"/>
  <c r="AG521" i="2"/>
  <c r="AF521" i="2"/>
  <c r="AE521" i="2"/>
  <c r="AD521" i="2"/>
  <c r="AC521" i="2"/>
  <c r="AB521" i="2"/>
  <c r="AA521" i="2"/>
  <c r="Z521" i="2"/>
  <c r="Y521" i="2"/>
  <c r="X521" i="2"/>
  <c r="W521" i="2"/>
  <c r="V521" i="2"/>
  <c r="U521" i="2"/>
  <c r="T521" i="2"/>
  <c r="A525" i="3" s="1"/>
  <c r="G521" i="2"/>
  <c r="F521" i="2"/>
  <c r="E521" i="2"/>
  <c r="D521" i="2"/>
  <c r="C521" i="2"/>
  <c r="B521" i="2"/>
  <c r="A521" i="2"/>
  <c r="AM520" i="2"/>
  <c r="AL520" i="2"/>
  <c r="AK520" i="2"/>
  <c r="AJ520" i="2"/>
  <c r="AI520" i="2"/>
  <c r="AH520" i="2"/>
  <c r="F520" i="4" s="1"/>
  <c r="AG520" i="2"/>
  <c r="AF520" i="2"/>
  <c r="AE520" i="2"/>
  <c r="AD520" i="2"/>
  <c r="AC520" i="2"/>
  <c r="AB520" i="2"/>
  <c r="AA520" i="2"/>
  <c r="Z520" i="2"/>
  <c r="Y520" i="2"/>
  <c r="X520" i="2"/>
  <c r="W520" i="2"/>
  <c r="V520" i="2"/>
  <c r="U520" i="2"/>
  <c r="T520" i="2"/>
  <c r="A524" i="3" s="1"/>
  <c r="G520" i="2"/>
  <c r="F520" i="2"/>
  <c r="E520" i="2"/>
  <c r="D520" i="2"/>
  <c r="C520" i="2"/>
  <c r="B520" i="2"/>
  <c r="A520" i="2"/>
  <c r="AM519" i="2"/>
  <c r="AL519" i="2"/>
  <c r="AK519" i="2"/>
  <c r="AJ519" i="2"/>
  <c r="AI519" i="2"/>
  <c r="AH519" i="2"/>
  <c r="F519" i="4" s="1"/>
  <c r="AG519" i="2"/>
  <c r="AF519" i="2"/>
  <c r="AE519" i="2"/>
  <c r="AD519" i="2"/>
  <c r="AC519" i="2"/>
  <c r="AB519" i="2"/>
  <c r="AA519" i="2"/>
  <c r="Z519" i="2"/>
  <c r="Y519" i="2"/>
  <c r="X519" i="2"/>
  <c r="W519" i="2"/>
  <c r="V519" i="2"/>
  <c r="U519" i="2"/>
  <c r="T519" i="2"/>
  <c r="A523" i="3" s="1"/>
  <c r="G519" i="2"/>
  <c r="F519" i="2"/>
  <c r="E519" i="2"/>
  <c r="D519" i="2"/>
  <c r="C519" i="2"/>
  <c r="B519" i="2"/>
  <c r="A519" i="2"/>
  <c r="AM518" i="2"/>
  <c r="AL518" i="2"/>
  <c r="AK518" i="2"/>
  <c r="AJ518" i="2"/>
  <c r="AI518" i="2"/>
  <c r="AH518" i="2"/>
  <c r="F518" i="4" s="1"/>
  <c r="AG518" i="2"/>
  <c r="AF518" i="2"/>
  <c r="AE518" i="2"/>
  <c r="AD518" i="2"/>
  <c r="AC518" i="2"/>
  <c r="AB518" i="2"/>
  <c r="AA518" i="2"/>
  <c r="Z518" i="2"/>
  <c r="Y518" i="2"/>
  <c r="X518" i="2"/>
  <c r="W518" i="2"/>
  <c r="V518" i="2"/>
  <c r="U518" i="2"/>
  <c r="T518" i="2"/>
  <c r="A522" i="3" s="1"/>
  <c r="G518" i="2"/>
  <c r="F518" i="2"/>
  <c r="E518" i="2"/>
  <c r="D518" i="2"/>
  <c r="C518" i="2"/>
  <c r="B518" i="2"/>
  <c r="A518" i="2"/>
  <c r="AM517" i="2"/>
  <c r="AL517" i="2"/>
  <c r="AK517" i="2"/>
  <c r="AJ517" i="2"/>
  <c r="AI517" i="2"/>
  <c r="AH517" i="2"/>
  <c r="F517" i="4" s="1"/>
  <c r="AG517" i="2"/>
  <c r="AF517" i="2"/>
  <c r="AE517" i="2"/>
  <c r="AD517" i="2"/>
  <c r="AC517" i="2"/>
  <c r="AB517" i="2"/>
  <c r="AA517" i="2"/>
  <c r="Z517" i="2"/>
  <c r="Y517" i="2"/>
  <c r="X517" i="2"/>
  <c r="W517" i="2"/>
  <c r="V517" i="2"/>
  <c r="U517" i="2"/>
  <c r="T517" i="2"/>
  <c r="A521" i="3" s="1"/>
  <c r="G517" i="2"/>
  <c r="F517" i="2"/>
  <c r="E517" i="2"/>
  <c r="D517" i="2"/>
  <c r="C517" i="2"/>
  <c r="B517" i="2"/>
  <c r="A517" i="2"/>
  <c r="AM516" i="2"/>
  <c r="AL516" i="2"/>
  <c r="AK516" i="2"/>
  <c r="AJ516" i="2"/>
  <c r="AI516" i="2"/>
  <c r="AH516" i="2"/>
  <c r="F516" i="4" s="1"/>
  <c r="AG516" i="2"/>
  <c r="AF516" i="2"/>
  <c r="AE516" i="2"/>
  <c r="AD516" i="2"/>
  <c r="AC516" i="2"/>
  <c r="AB516" i="2"/>
  <c r="AA516" i="2"/>
  <c r="Z516" i="2"/>
  <c r="Y516" i="2"/>
  <c r="X516" i="2"/>
  <c r="W516" i="2"/>
  <c r="V516" i="2"/>
  <c r="U516" i="2"/>
  <c r="T516" i="2"/>
  <c r="A520" i="3" s="1"/>
  <c r="G516" i="2"/>
  <c r="F516" i="2"/>
  <c r="E516" i="2"/>
  <c r="D516" i="2"/>
  <c r="C516" i="2"/>
  <c r="B516" i="2"/>
  <c r="A516" i="2"/>
  <c r="AM515" i="2"/>
  <c r="AL515" i="2"/>
  <c r="AK515" i="2"/>
  <c r="AJ515" i="2"/>
  <c r="AI515" i="2"/>
  <c r="AH515" i="2"/>
  <c r="F515" i="4" s="1"/>
  <c r="AG515" i="2"/>
  <c r="AF515" i="2"/>
  <c r="AE515" i="2"/>
  <c r="AD515" i="2"/>
  <c r="AC515" i="2"/>
  <c r="AB515" i="2"/>
  <c r="AA515" i="2"/>
  <c r="Z515" i="2"/>
  <c r="Y515" i="2"/>
  <c r="X515" i="2"/>
  <c r="W515" i="2"/>
  <c r="V515" i="2"/>
  <c r="U515" i="2"/>
  <c r="T515" i="2"/>
  <c r="A519" i="3" s="1"/>
  <c r="G515" i="2"/>
  <c r="F515" i="2"/>
  <c r="E515" i="2"/>
  <c r="D515" i="2"/>
  <c r="C515" i="2"/>
  <c r="B515" i="2"/>
  <c r="A515" i="2"/>
  <c r="AM514" i="2"/>
  <c r="AL514" i="2"/>
  <c r="AK514" i="2"/>
  <c r="AJ514" i="2"/>
  <c r="AI514" i="2"/>
  <c r="AH514" i="2"/>
  <c r="F514" i="4" s="1"/>
  <c r="AG514" i="2"/>
  <c r="AF514" i="2"/>
  <c r="AE514" i="2"/>
  <c r="AD514" i="2"/>
  <c r="AC514" i="2"/>
  <c r="AB514" i="2"/>
  <c r="AA514" i="2"/>
  <c r="Z514" i="2"/>
  <c r="Y514" i="2"/>
  <c r="X514" i="2"/>
  <c r="W514" i="2"/>
  <c r="V514" i="2"/>
  <c r="U514" i="2"/>
  <c r="T514" i="2"/>
  <c r="A518" i="3" s="1"/>
  <c r="G514" i="2"/>
  <c r="F514" i="2"/>
  <c r="E514" i="2"/>
  <c r="D514" i="2"/>
  <c r="C514" i="2"/>
  <c r="B514" i="2"/>
  <c r="A514" i="2"/>
  <c r="AM513" i="2"/>
  <c r="AL513" i="2"/>
  <c r="AK513" i="2"/>
  <c r="AJ513" i="2"/>
  <c r="AI513" i="2"/>
  <c r="AH513" i="2"/>
  <c r="F513" i="4" s="1"/>
  <c r="AG513" i="2"/>
  <c r="AF513" i="2"/>
  <c r="AE513" i="2"/>
  <c r="AD513" i="2"/>
  <c r="AC513" i="2"/>
  <c r="AB513" i="2"/>
  <c r="AA513" i="2"/>
  <c r="Z513" i="2"/>
  <c r="Y513" i="2"/>
  <c r="X513" i="2"/>
  <c r="W513" i="2"/>
  <c r="V513" i="2"/>
  <c r="U513" i="2"/>
  <c r="T513" i="2"/>
  <c r="A517" i="3" s="1"/>
  <c r="G513" i="2"/>
  <c r="F513" i="2"/>
  <c r="E513" i="2"/>
  <c r="D513" i="2"/>
  <c r="C513" i="2"/>
  <c r="B513" i="2"/>
  <c r="A513" i="2"/>
  <c r="AM512" i="2"/>
  <c r="AL512" i="2"/>
  <c r="AK512" i="2"/>
  <c r="AJ512" i="2"/>
  <c r="AI512" i="2"/>
  <c r="AH512" i="2"/>
  <c r="F512" i="4" s="1"/>
  <c r="AG512" i="2"/>
  <c r="AF512" i="2"/>
  <c r="AE512" i="2"/>
  <c r="AD512" i="2"/>
  <c r="AC512" i="2"/>
  <c r="AB512" i="2"/>
  <c r="AA512" i="2"/>
  <c r="Z512" i="2"/>
  <c r="Y512" i="2"/>
  <c r="X512" i="2"/>
  <c r="W512" i="2"/>
  <c r="V512" i="2"/>
  <c r="U512" i="2"/>
  <c r="T512" i="2"/>
  <c r="A516" i="3" s="1"/>
  <c r="G512" i="2"/>
  <c r="F512" i="2"/>
  <c r="E512" i="2"/>
  <c r="D512" i="2"/>
  <c r="C512" i="2"/>
  <c r="B512" i="2"/>
  <c r="A512" i="2"/>
  <c r="AM511" i="2"/>
  <c r="AL511" i="2"/>
  <c r="AK511" i="2"/>
  <c r="AJ511" i="2"/>
  <c r="AI511" i="2"/>
  <c r="AH511" i="2"/>
  <c r="F511" i="4" s="1"/>
  <c r="AG511" i="2"/>
  <c r="AF511" i="2"/>
  <c r="AE511" i="2"/>
  <c r="AD511" i="2"/>
  <c r="AC511" i="2"/>
  <c r="AB511" i="2"/>
  <c r="AA511" i="2"/>
  <c r="Z511" i="2"/>
  <c r="Y511" i="2"/>
  <c r="X511" i="2"/>
  <c r="W511" i="2"/>
  <c r="V511" i="2"/>
  <c r="U511" i="2"/>
  <c r="T511" i="2"/>
  <c r="A515" i="3" s="1"/>
  <c r="G511" i="2"/>
  <c r="F511" i="2"/>
  <c r="E511" i="2"/>
  <c r="D511" i="2"/>
  <c r="C511" i="2"/>
  <c r="B511" i="2"/>
  <c r="A511" i="2"/>
  <c r="AM510" i="2"/>
  <c r="AL510" i="2"/>
  <c r="AK510" i="2"/>
  <c r="AJ510" i="2"/>
  <c r="AI510" i="2"/>
  <c r="AH510" i="2"/>
  <c r="F510" i="4" s="1"/>
  <c r="AG510" i="2"/>
  <c r="AF510" i="2"/>
  <c r="AE510" i="2"/>
  <c r="AD510" i="2"/>
  <c r="AC510" i="2"/>
  <c r="AB510" i="2"/>
  <c r="AA510" i="2"/>
  <c r="Z510" i="2"/>
  <c r="Y510" i="2"/>
  <c r="X510" i="2"/>
  <c r="W510" i="2"/>
  <c r="V510" i="2"/>
  <c r="U510" i="2"/>
  <c r="T510" i="2"/>
  <c r="A514" i="3" s="1"/>
  <c r="G510" i="2"/>
  <c r="F510" i="2"/>
  <c r="E510" i="2"/>
  <c r="D510" i="2"/>
  <c r="C510" i="2"/>
  <c r="B510" i="2"/>
  <c r="A510" i="2"/>
  <c r="AM509" i="2"/>
  <c r="AL509" i="2"/>
  <c r="AK509" i="2"/>
  <c r="AJ509" i="2"/>
  <c r="AI509" i="2"/>
  <c r="AH509" i="2"/>
  <c r="F509" i="4" s="1"/>
  <c r="AG509" i="2"/>
  <c r="AF509" i="2"/>
  <c r="AE509" i="2"/>
  <c r="AD509" i="2"/>
  <c r="AC509" i="2"/>
  <c r="AB509" i="2"/>
  <c r="AA509" i="2"/>
  <c r="Z509" i="2"/>
  <c r="Y509" i="2"/>
  <c r="X509" i="2"/>
  <c r="W509" i="2"/>
  <c r="V509" i="2"/>
  <c r="U509" i="2"/>
  <c r="T509" i="2"/>
  <c r="A513" i="3" s="1"/>
  <c r="G509" i="2"/>
  <c r="F509" i="2"/>
  <c r="E509" i="2"/>
  <c r="D509" i="2"/>
  <c r="C509" i="2"/>
  <c r="B509" i="2"/>
  <c r="A509" i="2"/>
  <c r="AM508" i="2"/>
  <c r="AL508" i="2"/>
  <c r="AK508" i="2"/>
  <c r="AJ508" i="2"/>
  <c r="AI508" i="2"/>
  <c r="AH508" i="2"/>
  <c r="F508" i="4" s="1"/>
  <c r="AG508" i="2"/>
  <c r="AF508" i="2"/>
  <c r="AE508" i="2"/>
  <c r="AD508" i="2"/>
  <c r="AC508" i="2"/>
  <c r="AB508" i="2"/>
  <c r="AA508" i="2"/>
  <c r="Z508" i="2"/>
  <c r="Y508" i="2"/>
  <c r="X508" i="2"/>
  <c r="W508" i="2"/>
  <c r="V508" i="2"/>
  <c r="U508" i="2"/>
  <c r="T508" i="2"/>
  <c r="A512" i="3" s="1"/>
  <c r="G508" i="2"/>
  <c r="F508" i="2"/>
  <c r="E508" i="2"/>
  <c r="D508" i="2"/>
  <c r="C508" i="2"/>
  <c r="B508" i="2"/>
  <c r="A508" i="2"/>
  <c r="AM507" i="2"/>
  <c r="AL507" i="2"/>
  <c r="AK507" i="2"/>
  <c r="AJ507" i="2"/>
  <c r="AI507" i="2"/>
  <c r="AH507" i="2"/>
  <c r="F507" i="4" s="1"/>
  <c r="AG507" i="2"/>
  <c r="AF507" i="2"/>
  <c r="AE507" i="2"/>
  <c r="AD507" i="2"/>
  <c r="AC507" i="2"/>
  <c r="AB507" i="2"/>
  <c r="AA507" i="2"/>
  <c r="Z507" i="2"/>
  <c r="Y507" i="2"/>
  <c r="X507" i="2"/>
  <c r="W507" i="2"/>
  <c r="V507" i="2"/>
  <c r="U507" i="2"/>
  <c r="T507" i="2"/>
  <c r="A511" i="3" s="1"/>
  <c r="G507" i="2"/>
  <c r="F507" i="2"/>
  <c r="E507" i="2"/>
  <c r="D507" i="2"/>
  <c r="C507" i="2"/>
  <c r="B507" i="2"/>
  <c r="A507" i="2"/>
  <c r="AM506" i="2"/>
  <c r="AL506" i="2"/>
  <c r="AK506" i="2"/>
  <c r="AJ506" i="2"/>
  <c r="AI506" i="2"/>
  <c r="AH506" i="2"/>
  <c r="F506" i="4" s="1"/>
  <c r="AG506" i="2"/>
  <c r="AF506" i="2"/>
  <c r="AE506" i="2"/>
  <c r="AD506" i="2"/>
  <c r="AC506" i="2"/>
  <c r="AB506" i="2"/>
  <c r="AA506" i="2"/>
  <c r="Z506" i="2"/>
  <c r="Y506" i="2"/>
  <c r="X506" i="2"/>
  <c r="W506" i="2"/>
  <c r="V506" i="2"/>
  <c r="U506" i="2"/>
  <c r="T506" i="2"/>
  <c r="A510" i="3" s="1"/>
  <c r="G506" i="2"/>
  <c r="F506" i="2"/>
  <c r="E506" i="2"/>
  <c r="D506" i="2"/>
  <c r="C506" i="2"/>
  <c r="B506" i="2"/>
  <c r="A506" i="2"/>
  <c r="AM505" i="2"/>
  <c r="AL505" i="2"/>
  <c r="AK505" i="2"/>
  <c r="AJ505" i="2"/>
  <c r="AI505" i="2"/>
  <c r="AH505" i="2"/>
  <c r="F505" i="4" s="1"/>
  <c r="AG505" i="2"/>
  <c r="AF505" i="2"/>
  <c r="AE505" i="2"/>
  <c r="AD505" i="2"/>
  <c r="AC505" i="2"/>
  <c r="AB505" i="2"/>
  <c r="AA505" i="2"/>
  <c r="Z505" i="2"/>
  <c r="Y505" i="2"/>
  <c r="X505" i="2"/>
  <c r="W505" i="2"/>
  <c r="V505" i="2"/>
  <c r="U505" i="2"/>
  <c r="T505" i="2"/>
  <c r="A509" i="3" s="1"/>
  <c r="G505" i="2"/>
  <c r="F505" i="2"/>
  <c r="E505" i="2"/>
  <c r="D505" i="2"/>
  <c r="C505" i="2"/>
  <c r="B505" i="2"/>
  <c r="A505" i="2"/>
  <c r="AM504" i="2"/>
  <c r="AL504" i="2"/>
  <c r="AK504" i="2"/>
  <c r="AJ504" i="2"/>
  <c r="AI504" i="2"/>
  <c r="AH504" i="2"/>
  <c r="F504" i="4" s="1"/>
  <c r="AG504" i="2"/>
  <c r="AF504" i="2"/>
  <c r="AE504" i="2"/>
  <c r="AD504" i="2"/>
  <c r="AC504" i="2"/>
  <c r="AB504" i="2"/>
  <c r="AA504" i="2"/>
  <c r="Z504" i="2"/>
  <c r="Y504" i="2"/>
  <c r="X504" i="2"/>
  <c r="W504" i="2"/>
  <c r="V504" i="2"/>
  <c r="U504" i="2"/>
  <c r="T504" i="2"/>
  <c r="A508" i="3" s="1"/>
  <c r="G504" i="2"/>
  <c r="F504" i="2"/>
  <c r="E504" i="2"/>
  <c r="D504" i="2"/>
  <c r="C504" i="2"/>
  <c r="B504" i="2"/>
  <c r="A504" i="2"/>
  <c r="AM503" i="2"/>
  <c r="AL503" i="2"/>
  <c r="AK503" i="2"/>
  <c r="AJ503" i="2"/>
  <c r="AI503" i="2"/>
  <c r="AH503" i="2"/>
  <c r="F503" i="4" s="1"/>
  <c r="AG503" i="2"/>
  <c r="AF503" i="2"/>
  <c r="AE503" i="2"/>
  <c r="AD503" i="2"/>
  <c r="AC503" i="2"/>
  <c r="AB503" i="2"/>
  <c r="AA503" i="2"/>
  <c r="Z503" i="2"/>
  <c r="Y503" i="2"/>
  <c r="X503" i="2"/>
  <c r="W503" i="2"/>
  <c r="V503" i="2"/>
  <c r="U503" i="2"/>
  <c r="T503" i="2"/>
  <c r="A507" i="3" s="1"/>
  <c r="G503" i="2"/>
  <c r="F503" i="2"/>
  <c r="E503" i="2"/>
  <c r="D503" i="2"/>
  <c r="C503" i="2"/>
  <c r="B503" i="2"/>
  <c r="A503" i="2"/>
  <c r="AM502" i="2"/>
  <c r="AL502" i="2"/>
  <c r="AK502" i="2"/>
  <c r="AJ502" i="2"/>
  <c r="AI502" i="2"/>
  <c r="AH502" i="2"/>
  <c r="F502" i="4" s="1"/>
  <c r="AG502" i="2"/>
  <c r="AF502" i="2"/>
  <c r="AE502" i="2"/>
  <c r="AD502" i="2"/>
  <c r="AC502" i="2"/>
  <c r="AB502" i="2"/>
  <c r="AA502" i="2"/>
  <c r="Z502" i="2"/>
  <c r="Y502" i="2"/>
  <c r="X502" i="2"/>
  <c r="W502" i="2"/>
  <c r="V502" i="2"/>
  <c r="U502" i="2"/>
  <c r="T502" i="2"/>
  <c r="A506" i="3" s="1"/>
  <c r="G502" i="2"/>
  <c r="F502" i="2"/>
  <c r="E502" i="2"/>
  <c r="D502" i="2"/>
  <c r="C502" i="2"/>
  <c r="B502" i="2"/>
  <c r="A502" i="2"/>
  <c r="AM501" i="2"/>
  <c r="AL501" i="2"/>
  <c r="AK501" i="2"/>
  <c r="AJ501" i="2"/>
  <c r="AI501" i="2"/>
  <c r="AH501" i="2"/>
  <c r="F501" i="4" s="1"/>
  <c r="AG501" i="2"/>
  <c r="AF501" i="2"/>
  <c r="AE501" i="2"/>
  <c r="AD501" i="2"/>
  <c r="AC501" i="2"/>
  <c r="AB501" i="2"/>
  <c r="AA501" i="2"/>
  <c r="Z501" i="2"/>
  <c r="Y501" i="2"/>
  <c r="X501" i="2"/>
  <c r="W501" i="2"/>
  <c r="V501" i="2"/>
  <c r="U501" i="2"/>
  <c r="T501" i="2"/>
  <c r="A505" i="3" s="1"/>
  <c r="G501" i="2"/>
  <c r="F501" i="2"/>
  <c r="E501" i="2"/>
  <c r="D501" i="2"/>
  <c r="C501" i="2"/>
  <c r="B501" i="2"/>
  <c r="A501" i="2"/>
  <c r="AM500" i="2"/>
  <c r="AL500" i="2"/>
  <c r="AK500" i="2"/>
  <c r="AJ500" i="2"/>
  <c r="AI500" i="2"/>
  <c r="AH500" i="2"/>
  <c r="F500" i="4" s="1"/>
  <c r="AG500" i="2"/>
  <c r="AF500" i="2"/>
  <c r="AE500" i="2"/>
  <c r="AD500" i="2"/>
  <c r="AC500" i="2"/>
  <c r="AB500" i="2"/>
  <c r="AA500" i="2"/>
  <c r="Z500" i="2"/>
  <c r="Y500" i="2"/>
  <c r="X500" i="2"/>
  <c r="W500" i="2"/>
  <c r="V500" i="2"/>
  <c r="U500" i="2"/>
  <c r="T500" i="2"/>
  <c r="A504" i="3" s="1"/>
  <c r="G500" i="2"/>
  <c r="F500" i="2"/>
  <c r="E500" i="2"/>
  <c r="D500" i="2"/>
  <c r="C500" i="2"/>
  <c r="B500" i="2"/>
  <c r="A500" i="2"/>
  <c r="AM499" i="2"/>
  <c r="AL499" i="2"/>
  <c r="AK499" i="2"/>
  <c r="AJ499" i="2"/>
  <c r="AI499" i="2"/>
  <c r="AH499" i="2"/>
  <c r="F499" i="4" s="1"/>
  <c r="AG499" i="2"/>
  <c r="AF499" i="2"/>
  <c r="AE499" i="2"/>
  <c r="AD499" i="2"/>
  <c r="AC499" i="2"/>
  <c r="AB499" i="2"/>
  <c r="AA499" i="2"/>
  <c r="Z499" i="2"/>
  <c r="Y499" i="2"/>
  <c r="X499" i="2"/>
  <c r="W499" i="2"/>
  <c r="V499" i="2"/>
  <c r="U499" i="2"/>
  <c r="T499" i="2"/>
  <c r="A503" i="3" s="1"/>
  <c r="G499" i="2"/>
  <c r="F499" i="2"/>
  <c r="E499" i="2"/>
  <c r="D499" i="2"/>
  <c r="C499" i="2"/>
  <c r="B499" i="2"/>
  <c r="A499" i="2"/>
  <c r="AM498" i="2"/>
  <c r="AL498" i="2"/>
  <c r="AK498" i="2"/>
  <c r="AJ498" i="2"/>
  <c r="AI498" i="2"/>
  <c r="AH498" i="2"/>
  <c r="F498" i="4" s="1"/>
  <c r="AG498" i="2"/>
  <c r="AF498" i="2"/>
  <c r="AE498" i="2"/>
  <c r="AD498" i="2"/>
  <c r="AC498" i="2"/>
  <c r="AB498" i="2"/>
  <c r="AA498" i="2"/>
  <c r="Z498" i="2"/>
  <c r="Y498" i="2"/>
  <c r="X498" i="2"/>
  <c r="W498" i="2"/>
  <c r="V498" i="2"/>
  <c r="U498" i="2"/>
  <c r="T498" i="2"/>
  <c r="A502" i="3" s="1"/>
  <c r="G498" i="2"/>
  <c r="F498" i="2"/>
  <c r="E498" i="2"/>
  <c r="D498" i="2"/>
  <c r="C498" i="2"/>
  <c r="B498" i="2"/>
  <c r="A498" i="2"/>
  <c r="AM497" i="2"/>
  <c r="AL497" i="2"/>
  <c r="AK497" i="2"/>
  <c r="AJ497" i="2"/>
  <c r="AI497" i="2"/>
  <c r="AH497" i="2"/>
  <c r="F497" i="4" s="1"/>
  <c r="AG497" i="2"/>
  <c r="AF497" i="2"/>
  <c r="AE497" i="2"/>
  <c r="AD497" i="2"/>
  <c r="AC497" i="2"/>
  <c r="AB497" i="2"/>
  <c r="AA497" i="2"/>
  <c r="Z497" i="2"/>
  <c r="Y497" i="2"/>
  <c r="X497" i="2"/>
  <c r="W497" i="2"/>
  <c r="V497" i="2"/>
  <c r="U497" i="2"/>
  <c r="T497" i="2"/>
  <c r="A501" i="3" s="1"/>
  <c r="G497" i="2"/>
  <c r="F497" i="2"/>
  <c r="E497" i="2"/>
  <c r="D497" i="2"/>
  <c r="C497" i="2"/>
  <c r="B497" i="2"/>
  <c r="A497" i="2"/>
  <c r="AM496" i="2"/>
  <c r="AL496" i="2"/>
  <c r="AK496" i="2"/>
  <c r="AJ496" i="2"/>
  <c r="AI496" i="2"/>
  <c r="AH496" i="2"/>
  <c r="F496" i="4" s="1"/>
  <c r="AG496" i="2"/>
  <c r="AF496" i="2"/>
  <c r="AE496" i="2"/>
  <c r="AD496" i="2"/>
  <c r="AC496" i="2"/>
  <c r="AB496" i="2"/>
  <c r="AA496" i="2"/>
  <c r="Z496" i="2"/>
  <c r="Y496" i="2"/>
  <c r="X496" i="2"/>
  <c r="W496" i="2"/>
  <c r="V496" i="2"/>
  <c r="U496" i="2"/>
  <c r="T496" i="2"/>
  <c r="A500" i="3" s="1"/>
  <c r="G496" i="2"/>
  <c r="F496" i="2"/>
  <c r="E496" i="2"/>
  <c r="D496" i="2"/>
  <c r="C496" i="2"/>
  <c r="B496" i="2"/>
  <c r="A496" i="2"/>
  <c r="AM495" i="2"/>
  <c r="AL495" i="2"/>
  <c r="AK495" i="2"/>
  <c r="AJ495" i="2"/>
  <c r="AI495" i="2"/>
  <c r="AH495" i="2"/>
  <c r="F495" i="4" s="1"/>
  <c r="AG495" i="2"/>
  <c r="AF495" i="2"/>
  <c r="AE495" i="2"/>
  <c r="AD495" i="2"/>
  <c r="AC495" i="2"/>
  <c r="AB495" i="2"/>
  <c r="AA495" i="2"/>
  <c r="Z495" i="2"/>
  <c r="Y495" i="2"/>
  <c r="X495" i="2"/>
  <c r="W495" i="2"/>
  <c r="V495" i="2"/>
  <c r="U495" i="2"/>
  <c r="T495" i="2"/>
  <c r="A499" i="3" s="1"/>
  <c r="G495" i="2"/>
  <c r="F495" i="2"/>
  <c r="E495" i="2"/>
  <c r="D495" i="2"/>
  <c r="C495" i="2"/>
  <c r="B495" i="2"/>
  <c r="A495" i="2"/>
  <c r="AM494" i="2"/>
  <c r="AL494" i="2"/>
  <c r="AK494" i="2"/>
  <c r="AJ494" i="2"/>
  <c r="AI494" i="2"/>
  <c r="AH494" i="2"/>
  <c r="F494" i="4" s="1"/>
  <c r="AG494" i="2"/>
  <c r="AF494" i="2"/>
  <c r="AE494" i="2"/>
  <c r="AD494" i="2"/>
  <c r="AC494" i="2"/>
  <c r="AB494" i="2"/>
  <c r="AA494" i="2"/>
  <c r="Z494" i="2"/>
  <c r="Y494" i="2"/>
  <c r="X494" i="2"/>
  <c r="W494" i="2"/>
  <c r="V494" i="2"/>
  <c r="U494" i="2"/>
  <c r="T494" i="2"/>
  <c r="A498" i="3" s="1"/>
  <c r="G494" i="2"/>
  <c r="F494" i="2"/>
  <c r="E494" i="2"/>
  <c r="D494" i="2"/>
  <c r="C494" i="2"/>
  <c r="B494" i="2"/>
  <c r="A494" i="2"/>
  <c r="AM493" i="2"/>
  <c r="AL493" i="2"/>
  <c r="AK493" i="2"/>
  <c r="AJ493" i="2"/>
  <c r="AI493" i="2"/>
  <c r="AH493" i="2"/>
  <c r="F493" i="4" s="1"/>
  <c r="AG493" i="2"/>
  <c r="AF493" i="2"/>
  <c r="AE493" i="2"/>
  <c r="AD493" i="2"/>
  <c r="AC493" i="2"/>
  <c r="AB493" i="2"/>
  <c r="AA493" i="2"/>
  <c r="Z493" i="2"/>
  <c r="Y493" i="2"/>
  <c r="X493" i="2"/>
  <c r="W493" i="2"/>
  <c r="V493" i="2"/>
  <c r="U493" i="2"/>
  <c r="T493" i="2"/>
  <c r="A497" i="3" s="1"/>
  <c r="G493" i="2"/>
  <c r="F493" i="2"/>
  <c r="E493" i="2"/>
  <c r="D493" i="2"/>
  <c r="C493" i="2"/>
  <c r="B493" i="2"/>
  <c r="A493" i="2"/>
  <c r="AM492" i="2"/>
  <c r="AL492" i="2"/>
  <c r="AK492" i="2"/>
  <c r="AJ492" i="2"/>
  <c r="AI492" i="2"/>
  <c r="AH492" i="2"/>
  <c r="F492" i="4" s="1"/>
  <c r="AG492" i="2"/>
  <c r="AF492" i="2"/>
  <c r="AE492" i="2"/>
  <c r="AD492" i="2"/>
  <c r="AC492" i="2"/>
  <c r="AB492" i="2"/>
  <c r="AA492" i="2"/>
  <c r="Z492" i="2"/>
  <c r="Y492" i="2"/>
  <c r="X492" i="2"/>
  <c r="W492" i="2"/>
  <c r="V492" i="2"/>
  <c r="U492" i="2"/>
  <c r="T492" i="2"/>
  <c r="A496" i="3" s="1"/>
  <c r="G492" i="2"/>
  <c r="F492" i="2"/>
  <c r="E492" i="2"/>
  <c r="D492" i="2"/>
  <c r="C492" i="2"/>
  <c r="B492" i="2"/>
  <c r="A492" i="2"/>
  <c r="AM491" i="2"/>
  <c r="AL491" i="2"/>
  <c r="AK491" i="2"/>
  <c r="AJ491" i="2"/>
  <c r="AI491" i="2"/>
  <c r="AH491" i="2"/>
  <c r="F491" i="4" s="1"/>
  <c r="AG491" i="2"/>
  <c r="AF491" i="2"/>
  <c r="AE491" i="2"/>
  <c r="AD491" i="2"/>
  <c r="AC491" i="2"/>
  <c r="AB491" i="2"/>
  <c r="AA491" i="2"/>
  <c r="Z491" i="2"/>
  <c r="Y491" i="2"/>
  <c r="X491" i="2"/>
  <c r="W491" i="2"/>
  <c r="V491" i="2"/>
  <c r="U491" i="2"/>
  <c r="T491" i="2"/>
  <c r="A495" i="3" s="1"/>
  <c r="G491" i="2"/>
  <c r="F491" i="2"/>
  <c r="E491" i="2"/>
  <c r="D491" i="2"/>
  <c r="C491" i="2"/>
  <c r="B491" i="2"/>
  <c r="A491" i="2"/>
  <c r="AM490" i="2"/>
  <c r="AL490" i="2"/>
  <c r="AK490" i="2"/>
  <c r="AJ490" i="2"/>
  <c r="AI490" i="2"/>
  <c r="AH490" i="2"/>
  <c r="F490" i="4" s="1"/>
  <c r="AG490" i="2"/>
  <c r="AF490" i="2"/>
  <c r="AE490" i="2"/>
  <c r="AD490" i="2"/>
  <c r="AC490" i="2"/>
  <c r="AB490" i="2"/>
  <c r="AA490" i="2"/>
  <c r="Z490" i="2"/>
  <c r="Y490" i="2"/>
  <c r="X490" i="2"/>
  <c r="W490" i="2"/>
  <c r="V490" i="2"/>
  <c r="U490" i="2"/>
  <c r="T490" i="2"/>
  <c r="A494" i="3" s="1"/>
  <c r="G490" i="2"/>
  <c r="F490" i="2"/>
  <c r="E490" i="2"/>
  <c r="D490" i="2"/>
  <c r="C490" i="2"/>
  <c r="B490" i="2"/>
  <c r="A490" i="2"/>
  <c r="AM489" i="2"/>
  <c r="AL489" i="2"/>
  <c r="AK489" i="2"/>
  <c r="AJ489" i="2"/>
  <c r="AI489" i="2"/>
  <c r="AH489" i="2"/>
  <c r="F489" i="4" s="1"/>
  <c r="AG489" i="2"/>
  <c r="AF489" i="2"/>
  <c r="AE489" i="2"/>
  <c r="AD489" i="2"/>
  <c r="AC489" i="2"/>
  <c r="AB489" i="2"/>
  <c r="AA489" i="2"/>
  <c r="Z489" i="2"/>
  <c r="Y489" i="2"/>
  <c r="X489" i="2"/>
  <c r="W489" i="2"/>
  <c r="V489" i="2"/>
  <c r="U489" i="2"/>
  <c r="T489" i="2"/>
  <c r="A493" i="3" s="1"/>
  <c r="G489" i="2"/>
  <c r="F489" i="2"/>
  <c r="E489" i="2"/>
  <c r="D489" i="2"/>
  <c r="C489" i="2"/>
  <c r="B489" i="2"/>
  <c r="A489" i="2"/>
  <c r="AM488" i="2"/>
  <c r="AL488" i="2"/>
  <c r="AK488" i="2"/>
  <c r="AJ488" i="2"/>
  <c r="AI488" i="2"/>
  <c r="AH488" i="2"/>
  <c r="F488" i="4" s="1"/>
  <c r="AG488" i="2"/>
  <c r="AF488" i="2"/>
  <c r="AE488" i="2"/>
  <c r="AD488" i="2"/>
  <c r="AC488" i="2"/>
  <c r="AB488" i="2"/>
  <c r="AA488" i="2"/>
  <c r="Z488" i="2"/>
  <c r="Y488" i="2"/>
  <c r="X488" i="2"/>
  <c r="W488" i="2"/>
  <c r="V488" i="2"/>
  <c r="U488" i="2"/>
  <c r="T488" i="2"/>
  <c r="A492" i="3" s="1"/>
  <c r="G488" i="2"/>
  <c r="F488" i="2"/>
  <c r="E488" i="2"/>
  <c r="D488" i="2"/>
  <c r="C488" i="2"/>
  <c r="B488" i="2"/>
  <c r="A488" i="2"/>
  <c r="AM487" i="2"/>
  <c r="AL487" i="2"/>
  <c r="AK487" i="2"/>
  <c r="AJ487" i="2"/>
  <c r="AI487" i="2"/>
  <c r="AH487" i="2"/>
  <c r="F487" i="4" s="1"/>
  <c r="AG487" i="2"/>
  <c r="AF487" i="2"/>
  <c r="AE487" i="2"/>
  <c r="AD487" i="2"/>
  <c r="AC487" i="2"/>
  <c r="AB487" i="2"/>
  <c r="AA487" i="2"/>
  <c r="Z487" i="2"/>
  <c r="Y487" i="2"/>
  <c r="X487" i="2"/>
  <c r="W487" i="2"/>
  <c r="V487" i="2"/>
  <c r="U487" i="2"/>
  <c r="T487" i="2"/>
  <c r="A491" i="3" s="1"/>
  <c r="G487" i="2"/>
  <c r="F487" i="2"/>
  <c r="E487" i="2"/>
  <c r="D487" i="2"/>
  <c r="C487" i="2"/>
  <c r="B487" i="2"/>
  <c r="A487" i="2"/>
  <c r="AM486" i="2"/>
  <c r="AL486" i="2"/>
  <c r="AK486" i="2"/>
  <c r="AJ486" i="2"/>
  <c r="AI486" i="2"/>
  <c r="AH486" i="2"/>
  <c r="F486" i="4" s="1"/>
  <c r="AG486" i="2"/>
  <c r="AF486" i="2"/>
  <c r="AE486" i="2"/>
  <c r="AD486" i="2"/>
  <c r="AC486" i="2"/>
  <c r="AB486" i="2"/>
  <c r="AA486" i="2"/>
  <c r="Z486" i="2"/>
  <c r="Y486" i="2"/>
  <c r="X486" i="2"/>
  <c r="W486" i="2"/>
  <c r="V486" i="2"/>
  <c r="U486" i="2"/>
  <c r="T486" i="2"/>
  <c r="A490" i="3" s="1"/>
  <c r="G486" i="2"/>
  <c r="F486" i="2"/>
  <c r="E486" i="2"/>
  <c r="D486" i="2"/>
  <c r="C486" i="2"/>
  <c r="B486" i="2"/>
  <c r="A486" i="2"/>
  <c r="AM485" i="2"/>
  <c r="AL485" i="2"/>
  <c r="AK485" i="2"/>
  <c r="AJ485" i="2"/>
  <c r="AI485" i="2"/>
  <c r="AH485" i="2"/>
  <c r="F485" i="4" s="1"/>
  <c r="AG485" i="2"/>
  <c r="AF485" i="2"/>
  <c r="AE485" i="2"/>
  <c r="AD485" i="2"/>
  <c r="AC485" i="2"/>
  <c r="AB485" i="2"/>
  <c r="AA485" i="2"/>
  <c r="Z485" i="2"/>
  <c r="Y485" i="2"/>
  <c r="X485" i="2"/>
  <c r="W485" i="2"/>
  <c r="V485" i="2"/>
  <c r="U485" i="2"/>
  <c r="T485" i="2"/>
  <c r="A489" i="3" s="1"/>
  <c r="G485" i="2"/>
  <c r="F485" i="2"/>
  <c r="E485" i="2"/>
  <c r="D485" i="2"/>
  <c r="C485" i="2"/>
  <c r="B485" i="2"/>
  <c r="A485" i="2"/>
  <c r="AM484" i="2"/>
  <c r="AL484" i="2"/>
  <c r="AK484" i="2"/>
  <c r="AJ484" i="2"/>
  <c r="AI484" i="2"/>
  <c r="AH484" i="2"/>
  <c r="F484" i="4" s="1"/>
  <c r="AG484" i="2"/>
  <c r="AF484" i="2"/>
  <c r="AE484" i="2"/>
  <c r="AD484" i="2"/>
  <c r="AC484" i="2"/>
  <c r="AB484" i="2"/>
  <c r="AA484" i="2"/>
  <c r="Z484" i="2"/>
  <c r="Y484" i="2"/>
  <c r="X484" i="2"/>
  <c r="W484" i="2"/>
  <c r="V484" i="2"/>
  <c r="U484" i="2"/>
  <c r="T484" i="2"/>
  <c r="A488" i="3" s="1"/>
  <c r="G484" i="2"/>
  <c r="F484" i="2"/>
  <c r="E484" i="2"/>
  <c r="D484" i="2"/>
  <c r="C484" i="2"/>
  <c r="B484" i="2"/>
  <c r="A484" i="2"/>
  <c r="AM483" i="2"/>
  <c r="AL483" i="2"/>
  <c r="AK483" i="2"/>
  <c r="AJ483" i="2"/>
  <c r="AI483" i="2"/>
  <c r="AH483" i="2"/>
  <c r="F483" i="4" s="1"/>
  <c r="AG483" i="2"/>
  <c r="AF483" i="2"/>
  <c r="AE483" i="2"/>
  <c r="AD483" i="2"/>
  <c r="AC483" i="2"/>
  <c r="AB483" i="2"/>
  <c r="AA483" i="2"/>
  <c r="Z483" i="2"/>
  <c r="Y483" i="2"/>
  <c r="X483" i="2"/>
  <c r="W483" i="2"/>
  <c r="V483" i="2"/>
  <c r="U483" i="2"/>
  <c r="T483" i="2"/>
  <c r="A487" i="3" s="1"/>
  <c r="G483" i="2"/>
  <c r="F483" i="2"/>
  <c r="E483" i="2"/>
  <c r="D483" i="2"/>
  <c r="C483" i="2"/>
  <c r="B483" i="2"/>
  <c r="A483" i="2"/>
  <c r="AM482" i="2"/>
  <c r="AL482" i="2"/>
  <c r="AK482" i="2"/>
  <c r="AJ482" i="2"/>
  <c r="AI482" i="2"/>
  <c r="AH482" i="2"/>
  <c r="F482" i="4" s="1"/>
  <c r="AG482" i="2"/>
  <c r="AF482" i="2"/>
  <c r="AE482" i="2"/>
  <c r="AD482" i="2"/>
  <c r="AC482" i="2"/>
  <c r="AB482" i="2"/>
  <c r="AA482" i="2"/>
  <c r="Z482" i="2"/>
  <c r="Y482" i="2"/>
  <c r="X482" i="2"/>
  <c r="W482" i="2"/>
  <c r="V482" i="2"/>
  <c r="U482" i="2"/>
  <c r="T482" i="2"/>
  <c r="A486" i="3" s="1"/>
  <c r="G482" i="2"/>
  <c r="F482" i="2"/>
  <c r="E482" i="2"/>
  <c r="D482" i="2"/>
  <c r="C482" i="2"/>
  <c r="B482" i="2"/>
  <c r="A482" i="2"/>
  <c r="AM481" i="2"/>
  <c r="AL481" i="2"/>
  <c r="AK481" i="2"/>
  <c r="AJ481" i="2"/>
  <c r="AI481" i="2"/>
  <c r="AH481" i="2"/>
  <c r="F481" i="4" s="1"/>
  <c r="AG481" i="2"/>
  <c r="AF481" i="2"/>
  <c r="AE481" i="2"/>
  <c r="AD481" i="2"/>
  <c r="AC481" i="2"/>
  <c r="AB481" i="2"/>
  <c r="AA481" i="2"/>
  <c r="Z481" i="2"/>
  <c r="Y481" i="2"/>
  <c r="X481" i="2"/>
  <c r="W481" i="2"/>
  <c r="V481" i="2"/>
  <c r="U481" i="2"/>
  <c r="T481" i="2"/>
  <c r="A485" i="3" s="1"/>
  <c r="G481" i="2"/>
  <c r="F481" i="2"/>
  <c r="E481" i="2"/>
  <c r="D481" i="2"/>
  <c r="C481" i="2"/>
  <c r="B481" i="2"/>
  <c r="A481" i="2"/>
  <c r="AM480" i="2"/>
  <c r="AL480" i="2"/>
  <c r="AK480" i="2"/>
  <c r="AJ480" i="2"/>
  <c r="AI480" i="2"/>
  <c r="AH480" i="2"/>
  <c r="F480" i="4" s="1"/>
  <c r="AG480" i="2"/>
  <c r="AF480" i="2"/>
  <c r="AE480" i="2"/>
  <c r="AD480" i="2"/>
  <c r="AC480" i="2"/>
  <c r="AB480" i="2"/>
  <c r="AA480" i="2"/>
  <c r="Z480" i="2"/>
  <c r="Y480" i="2"/>
  <c r="X480" i="2"/>
  <c r="W480" i="2"/>
  <c r="V480" i="2"/>
  <c r="U480" i="2"/>
  <c r="T480" i="2"/>
  <c r="A484" i="3" s="1"/>
  <c r="G480" i="2"/>
  <c r="F480" i="2"/>
  <c r="E480" i="2"/>
  <c r="D480" i="2"/>
  <c r="C480" i="2"/>
  <c r="B480" i="2"/>
  <c r="A480" i="2"/>
  <c r="AM479" i="2"/>
  <c r="AL479" i="2"/>
  <c r="AK479" i="2"/>
  <c r="AJ479" i="2"/>
  <c r="AI479" i="2"/>
  <c r="AH479" i="2"/>
  <c r="F479" i="4" s="1"/>
  <c r="AG479" i="2"/>
  <c r="AF479" i="2"/>
  <c r="AE479" i="2"/>
  <c r="AD479" i="2"/>
  <c r="AC479" i="2"/>
  <c r="AB479" i="2"/>
  <c r="AA479" i="2"/>
  <c r="Z479" i="2"/>
  <c r="Y479" i="2"/>
  <c r="X479" i="2"/>
  <c r="W479" i="2"/>
  <c r="V479" i="2"/>
  <c r="U479" i="2"/>
  <c r="T479" i="2"/>
  <c r="A483" i="3" s="1"/>
  <c r="G479" i="2"/>
  <c r="F479" i="2"/>
  <c r="E479" i="2"/>
  <c r="D479" i="2"/>
  <c r="C479" i="2"/>
  <c r="B479" i="2"/>
  <c r="A479" i="2"/>
  <c r="AM478" i="2"/>
  <c r="AL478" i="2"/>
  <c r="AK478" i="2"/>
  <c r="AJ478" i="2"/>
  <c r="AI478" i="2"/>
  <c r="AH478" i="2"/>
  <c r="F478" i="4" s="1"/>
  <c r="AG478" i="2"/>
  <c r="AF478" i="2"/>
  <c r="AE478" i="2"/>
  <c r="AD478" i="2"/>
  <c r="AC478" i="2"/>
  <c r="AB478" i="2"/>
  <c r="AA478" i="2"/>
  <c r="Z478" i="2"/>
  <c r="Y478" i="2"/>
  <c r="X478" i="2"/>
  <c r="W478" i="2"/>
  <c r="V478" i="2"/>
  <c r="U478" i="2"/>
  <c r="T478" i="2"/>
  <c r="A482" i="3" s="1"/>
  <c r="G478" i="2"/>
  <c r="F478" i="2"/>
  <c r="E478" i="2"/>
  <c r="D478" i="2"/>
  <c r="C478" i="2"/>
  <c r="B478" i="2"/>
  <c r="A478" i="2"/>
  <c r="AM477" i="2"/>
  <c r="AL477" i="2"/>
  <c r="AK477" i="2"/>
  <c r="AJ477" i="2"/>
  <c r="AI477" i="2"/>
  <c r="AH477" i="2"/>
  <c r="F477" i="4" s="1"/>
  <c r="AG477" i="2"/>
  <c r="AF477" i="2"/>
  <c r="AE477" i="2"/>
  <c r="AD477" i="2"/>
  <c r="AC477" i="2"/>
  <c r="AB477" i="2"/>
  <c r="AA477" i="2"/>
  <c r="Z477" i="2"/>
  <c r="Y477" i="2"/>
  <c r="X477" i="2"/>
  <c r="W477" i="2"/>
  <c r="V477" i="2"/>
  <c r="U477" i="2"/>
  <c r="T477" i="2"/>
  <c r="A481" i="3" s="1"/>
  <c r="G477" i="2"/>
  <c r="F477" i="2"/>
  <c r="E477" i="2"/>
  <c r="D477" i="2"/>
  <c r="C477" i="2"/>
  <c r="B477" i="2"/>
  <c r="A477" i="2"/>
  <c r="AM476" i="2"/>
  <c r="AL476" i="2"/>
  <c r="AK476" i="2"/>
  <c r="AJ476" i="2"/>
  <c r="AI476" i="2"/>
  <c r="AH476" i="2"/>
  <c r="F476" i="4" s="1"/>
  <c r="AG476" i="2"/>
  <c r="AF476" i="2"/>
  <c r="AE476" i="2"/>
  <c r="AD476" i="2"/>
  <c r="AC476" i="2"/>
  <c r="AB476" i="2"/>
  <c r="AA476" i="2"/>
  <c r="Z476" i="2"/>
  <c r="Y476" i="2"/>
  <c r="X476" i="2"/>
  <c r="W476" i="2"/>
  <c r="V476" i="2"/>
  <c r="U476" i="2"/>
  <c r="T476" i="2"/>
  <c r="A480" i="3" s="1"/>
  <c r="G476" i="2"/>
  <c r="F476" i="2"/>
  <c r="E476" i="2"/>
  <c r="D476" i="2"/>
  <c r="C476" i="2"/>
  <c r="B476" i="2"/>
  <c r="A476" i="2"/>
  <c r="AM475" i="2"/>
  <c r="AL475" i="2"/>
  <c r="AK475" i="2"/>
  <c r="AJ475" i="2"/>
  <c r="AI475" i="2"/>
  <c r="AH475" i="2"/>
  <c r="F475" i="4" s="1"/>
  <c r="AG475" i="2"/>
  <c r="AF475" i="2"/>
  <c r="AE475" i="2"/>
  <c r="AD475" i="2"/>
  <c r="AC475" i="2"/>
  <c r="AB475" i="2"/>
  <c r="AA475" i="2"/>
  <c r="Z475" i="2"/>
  <c r="Y475" i="2"/>
  <c r="X475" i="2"/>
  <c r="W475" i="2"/>
  <c r="V475" i="2"/>
  <c r="U475" i="2"/>
  <c r="T475" i="2"/>
  <c r="A479" i="3" s="1"/>
  <c r="G475" i="2"/>
  <c r="F475" i="2"/>
  <c r="E475" i="2"/>
  <c r="D475" i="2"/>
  <c r="C475" i="2"/>
  <c r="B475" i="2"/>
  <c r="A475" i="2"/>
  <c r="AM474" i="2"/>
  <c r="AL474" i="2"/>
  <c r="AK474" i="2"/>
  <c r="AJ474" i="2"/>
  <c r="AI474" i="2"/>
  <c r="AH474" i="2"/>
  <c r="F474" i="4" s="1"/>
  <c r="AG474" i="2"/>
  <c r="AF474" i="2"/>
  <c r="AE474" i="2"/>
  <c r="AD474" i="2"/>
  <c r="AC474" i="2"/>
  <c r="AB474" i="2"/>
  <c r="AA474" i="2"/>
  <c r="Z474" i="2"/>
  <c r="Y474" i="2"/>
  <c r="X474" i="2"/>
  <c r="W474" i="2"/>
  <c r="V474" i="2"/>
  <c r="U474" i="2"/>
  <c r="T474" i="2"/>
  <c r="A478" i="3" s="1"/>
  <c r="G474" i="2"/>
  <c r="F474" i="2"/>
  <c r="E474" i="2"/>
  <c r="D474" i="2"/>
  <c r="C474" i="2"/>
  <c r="B474" i="2"/>
  <c r="A474" i="2"/>
  <c r="AM473" i="2"/>
  <c r="AL473" i="2"/>
  <c r="AK473" i="2"/>
  <c r="AJ473" i="2"/>
  <c r="AI473" i="2"/>
  <c r="AH473" i="2"/>
  <c r="F473" i="4" s="1"/>
  <c r="AG473" i="2"/>
  <c r="AF473" i="2"/>
  <c r="AE473" i="2"/>
  <c r="AD473" i="2"/>
  <c r="AC473" i="2"/>
  <c r="AB473" i="2"/>
  <c r="AA473" i="2"/>
  <c r="Z473" i="2"/>
  <c r="Y473" i="2"/>
  <c r="X473" i="2"/>
  <c r="W473" i="2"/>
  <c r="V473" i="2"/>
  <c r="U473" i="2"/>
  <c r="T473" i="2"/>
  <c r="A477" i="3" s="1"/>
  <c r="G473" i="2"/>
  <c r="F473" i="2"/>
  <c r="E473" i="2"/>
  <c r="D473" i="2"/>
  <c r="C473" i="2"/>
  <c r="B473" i="2"/>
  <c r="A473" i="2"/>
  <c r="AM472" i="2"/>
  <c r="AL472" i="2"/>
  <c r="AK472" i="2"/>
  <c r="AJ472" i="2"/>
  <c r="AI472" i="2"/>
  <c r="AH472" i="2"/>
  <c r="F472" i="4" s="1"/>
  <c r="AG472" i="2"/>
  <c r="AF472" i="2"/>
  <c r="AE472" i="2"/>
  <c r="AD472" i="2"/>
  <c r="AC472" i="2"/>
  <c r="AB472" i="2"/>
  <c r="AA472" i="2"/>
  <c r="Z472" i="2"/>
  <c r="Y472" i="2"/>
  <c r="X472" i="2"/>
  <c r="W472" i="2"/>
  <c r="V472" i="2"/>
  <c r="U472" i="2"/>
  <c r="T472" i="2"/>
  <c r="A476" i="3" s="1"/>
  <c r="G472" i="2"/>
  <c r="F472" i="2"/>
  <c r="E472" i="2"/>
  <c r="D472" i="2"/>
  <c r="C472" i="2"/>
  <c r="B472" i="2"/>
  <c r="A472" i="2"/>
  <c r="AM471" i="2"/>
  <c r="AL471" i="2"/>
  <c r="AK471" i="2"/>
  <c r="AJ471" i="2"/>
  <c r="AI471" i="2"/>
  <c r="AH471" i="2"/>
  <c r="F471" i="4" s="1"/>
  <c r="AG471" i="2"/>
  <c r="AF471" i="2"/>
  <c r="AE471" i="2"/>
  <c r="AD471" i="2"/>
  <c r="AC471" i="2"/>
  <c r="AB471" i="2"/>
  <c r="AA471" i="2"/>
  <c r="Z471" i="2"/>
  <c r="Y471" i="2"/>
  <c r="X471" i="2"/>
  <c r="W471" i="2"/>
  <c r="V471" i="2"/>
  <c r="U471" i="2"/>
  <c r="T471" i="2"/>
  <c r="A475" i="3" s="1"/>
  <c r="G471" i="2"/>
  <c r="F471" i="2"/>
  <c r="E471" i="2"/>
  <c r="D471" i="2"/>
  <c r="C471" i="2"/>
  <c r="B471" i="2"/>
  <c r="A471" i="2"/>
  <c r="AM470" i="2"/>
  <c r="AL470" i="2"/>
  <c r="AK470" i="2"/>
  <c r="AJ470" i="2"/>
  <c r="AI470" i="2"/>
  <c r="AH470" i="2"/>
  <c r="F470" i="4" s="1"/>
  <c r="AG470" i="2"/>
  <c r="AF470" i="2"/>
  <c r="AE470" i="2"/>
  <c r="AD470" i="2"/>
  <c r="AC470" i="2"/>
  <c r="AB470" i="2"/>
  <c r="AA470" i="2"/>
  <c r="Z470" i="2"/>
  <c r="Y470" i="2"/>
  <c r="X470" i="2"/>
  <c r="W470" i="2"/>
  <c r="V470" i="2"/>
  <c r="U470" i="2"/>
  <c r="T470" i="2"/>
  <c r="A474" i="3" s="1"/>
  <c r="G470" i="2"/>
  <c r="F470" i="2"/>
  <c r="E470" i="2"/>
  <c r="D470" i="2"/>
  <c r="C470" i="2"/>
  <c r="B470" i="2"/>
  <c r="A470" i="2"/>
  <c r="AM469" i="2"/>
  <c r="AL469" i="2"/>
  <c r="AK469" i="2"/>
  <c r="AJ469" i="2"/>
  <c r="AI469" i="2"/>
  <c r="AH469" i="2"/>
  <c r="F469" i="4" s="1"/>
  <c r="AG469" i="2"/>
  <c r="AF469" i="2"/>
  <c r="AE469" i="2"/>
  <c r="AD469" i="2"/>
  <c r="AC469" i="2"/>
  <c r="AB469" i="2"/>
  <c r="AA469" i="2"/>
  <c r="Z469" i="2"/>
  <c r="Y469" i="2"/>
  <c r="X469" i="2"/>
  <c r="W469" i="2"/>
  <c r="V469" i="2"/>
  <c r="U469" i="2"/>
  <c r="T469" i="2"/>
  <c r="A473" i="3" s="1"/>
  <c r="G469" i="2"/>
  <c r="F469" i="2"/>
  <c r="E469" i="2"/>
  <c r="D469" i="2"/>
  <c r="C469" i="2"/>
  <c r="B469" i="2"/>
  <c r="A469" i="2"/>
  <c r="AM468" i="2"/>
  <c r="AL468" i="2"/>
  <c r="AK468" i="2"/>
  <c r="AJ468" i="2"/>
  <c r="AI468" i="2"/>
  <c r="AH468" i="2"/>
  <c r="F468" i="4" s="1"/>
  <c r="AG468" i="2"/>
  <c r="AF468" i="2"/>
  <c r="AE468" i="2"/>
  <c r="AD468" i="2"/>
  <c r="AC468" i="2"/>
  <c r="AB468" i="2"/>
  <c r="AA468" i="2"/>
  <c r="Z468" i="2"/>
  <c r="Y468" i="2"/>
  <c r="X468" i="2"/>
  <c r="W468" i="2"/>
  <c r="V468" i="2"/>
  <c r="U468" i="2"/>
  <c r="T468" i="2"/>
  <c r="A472" i="3" s="1"/>
  <c r="G468" i="2"/>
  <c r="F468" i="2"/>
  <c r="E468" i="2"/>
  <c r="D468" i="2"/>
  <c r="C468" i="2"/>
  <c r="B468" i="2"/>
  <c r="A468" i="2"/>
  <c r="AM467" i="2"/>
  <c r="AL467" i="2"/>
  <c r="AK467" i="2"/>
  <c r="AJ467" i="2"/>
  <c r="AI467" i="2"/>
  <c r="AH467" i="2"/>
  <c r="F467" i="4" s="1"/>
  <c r="AG467" i="2"/>
  <c r="AF467" i="2"/>
  <c r="AE467" i="2"/>
  <c r="AD467" i="2"/>
  <c r="AC467" i="2"/>
  <c r="AB467" i="2"/>
  <c r="AA467" i="2"/>
  <c r="Z467" i="2"/>
  <c r="Y467" i="2"/>
  <c r="X467" i="2"/>
  <c r="W467" i="2"/>
  <c r="V467" i="2"/>
  <c r="U467" i="2"/>
  <c r="T467" i="2"/>
  <c r="A471" i="3" s="1"/>
  <c r="G467" i="2"/>
  <c r="F467" i="2"/>
  <c r="E467" i="2"/>
  <c r="D467" i="2"/>
  <c r="C467" i="2"/>
  <c r="B467" i="2"/>
  <c r="A467" i="2"/>
  <c r="AM466" i="2"/>
  <c r="AL466" i="2"/>
  <c r="AK466" i="2"/>
  <c r="AJ466" i="2"/>
  <c r="AI466" i="2"/>
  <c r="AH466" i="2"/>
  <c r="F466" i="4" s="1"/>
  <c r="AG466" i="2"/>
  <c r="AF466" i="2"/>
  <c r="AE466" i="2"/>
  <c r="AD466" i="2"/>
  <c r="AC466" i="2"/>
  <c r="AB466" i="2"/>
  <c r="AA466" i="2"/>
  <c r="Z466" i="2"/>
  <c r="Y466" i="2"/>
  <c r="X466" i="2"/>
  <c r="W466" i="2"/>
  <c r="V466" i="2"/>
  <c r="U466" i="2"/>
  <c r="T466" i="2"/>
  <c r="A470" i="3" s="1"/>
  <c r="G466" i="2"/>
  <c r="F466" i="2"/>
  <c r="E466" i="2"/>
  <c r="D466" i="2"/>
  <c r="C466" i="2"/>
  <c r="B466" i="2"/>
  <c r="A466" i="2"/>
  <c r="AM465" i="2"/>
  <c r="AL465" i="2"/>
  <c r="AK465" i="2"/>
  <c r="AJ465" i="2"/>
  <c r="AI465" i="2"/>
  <c r="AH465" i="2"/>
  <c r="F465" i="4" s="1"/>
  <c r="AG465" i="2"/>
  <c r="AF465" i="2"/>
  <c r="AE465" i="2"/>
  <c r="AD465" i="2"/>
  <c r="AC465" i="2"/>
  <c r="AB465" i="2"/>
  <c r="AA465" i="2"/>
  <c r="Z465" i="2"/>
  <c r="Y465" i="2"/>
  <c r="X465" i="2"/>
  <c r="W465" i="2"/>
  <c r="V465" i="2"/>
  <c r="U465" i="2"/>
  <c r="T465" i="2"/>
  <c r="A469" i="3" s="1"/>
  <c r="G465" i="2"/>
  <c r="F465" i="2"/>
  <c r="E465" i="2"/>
  <c r="D465" i="2"/>
  <c r="C465" i="2"/>
  <c r="B465" i="2"/>
  <c r="A465" i="2"/>
  <c r="AM464" i="2"/>
  <c r="AL464" i="2"/>
  <c r="AK464" i="2"/>
  <c r="AJ464" i="2"/>
  <c r="AI464" i="2"/>
  <c r="AH464" i="2"/>
  <c r="F464" i="4" s="1"/>
  <c r="AG464" i="2"/>
  <c r="AF464" i="2"/>
  <c r="AE464" i="2"/>
  <c r="AD464" i="2"/>
  <c r="AC464" i="2"/>
  <c r="AB464" i="2"/>
  <c r="AA464" i="2"/>
  <c r="Z464" i="2"/>
  <c r="Y464" i="2"/>
  <c r="X464" i="2"/>
  <c r="W464" i="2"/>
  <c r="V464" i="2"/>
  <c r="U464" i="2"/>
  <c r="T464" i="2"/>
  <c r="A468" i="3" s="1"/>
  <c r="G464" i="2"/>
  <c r="F464" i="2"/>
  <c r="E464" i="2"/>
  <c r="D464" i="2"/>
  <c r="C464" i="2"/>
  <c r="B464" i="2"/>
  <c r="A464" i="2"/>
  <c r="AM463" i="2"/>
  <c r="AL463" i="2"/>
  <c r="AK463" i="2"/>
  <c r="AJ463" i="2"/>
  <c r="AI463" i="2"/>
  <c r="AH463" i="2"/>
  <c r="F463" i="4" s="1"/>
  <c r="AG463" i="2"/>
  <c r="AF463" i="2"/>
  <c r="AE463" i="2"/>
  <c r="AD463" i="2"/>
  <c r="AC463" i="2"/>
  <c r="AB463" i="2"/>
  <c r="AA463" i="2"/>
  <c r="Z463" i="2"/>
  <c r="Y463" i="2"/>
  <c r="X463" i="2"/>
  <c r="W463" i="2"/>
  <c r="V463" i="2"/>
  <c r="U463" i="2"/>
  <c r="T463" i="2"/>
  <c r="A467" i="3" s="1"/>
  <c r="G463" i="2"/>
  <c r="F463" i="2"/>
  <c r="E463" i="2"/>
  <c r="D463" i="2"/>
  <c r="C463" i="2"/>
  <c r="B463" i="2"/>
  <c r="A463" i="2"/>
  <c r="AM462" i="2"/>
  <c r="AL462" i="2"/>
  <c r="AK462" i="2"/>
  <c r="AJ462" i="2"/>
  <c r="AI462" i="2"/>
  <c r="AH462" i="2"/>
  <c r="F462" i="4" s="1"/>
  <c r="AG462" i="2"/>
  <c r="AF462" i="2"/>
  <c r="AE462" i="2"/>
  <c r="AD462" i="2"/>
  <c r="AC462" i="2"/>
  <c r="AB462" i="2"/>
  <c r="AA462" i="2"/>
  <c r="Z462" i="2"/>
  <c r="Y462" i="2"/>
  <c r="X462" i="2"/>
  <c r="W462" i="2"/>
  <c r="V462" i="2"/>
  <c r="U462" i="2"/>
  <c r="T462" i="2"/>
  <c r="A466" i="3" s="1"/>
  <c r="G462" i="2"/>
  <c r="F462" i="2"/>
  <c r="E462" i="2"/>
  <c r="D462" i="2"/>
  <c r="C462" i="2"/>
  <c r="B462" i="2"/>
  <c r="A462" i="2"/>
  <c r="AM461" i="2"/>
  <c r="AL461" i="2"/>
  <c r="AK461" i="2"/>
  <c r="AJ461" i="2"/>
  <c r="AI461" i="2"/>
  <c r="AH461" i="2"/>
  <c r="F461" i="4" s="1"/>
  <c r="AG461" i="2"/>
  <c r="AF461" i="2"/>
  <c r="AE461" i="2"/>
  <c r="AD461" i="2"/>
  <c r="AC461" i="2"/>
  <c r="AB461" i="2"/>
  <c r="AA461" i="2"/>
  <c r="Z461" i="2"/>
  <c r="Y461" i="2"/>
  <c r="X461" i="2"/>
  <c r="W461" i="2"/>
  <c r="V461" i="2"/>
  <c r="U461" i="2"/>
  <c r="T461" i="2"/>
  <c r="A465" i="3" s="1"/>
  <c r="G461" i="2"/>
  <c r="F461" i="2"/>
  <c r="E461" i="2"/>
  <c r="D461" i="2"/>
  <c r="C461" i="2"/>
  <c r="B461" i="2"/>
  <c r="A461" i="2"/>
  <c r="AM460" i="2"/>
  <c r="AL460" i="2"/>
  <c r="AK460" i="2"/>
  <c r="AJ460" i="2"/>
  <c r="AI460" i="2"/>
  <c r="AH460" i="2"/>
  <c r="F460" i="4" s="1"/>
  <c r="AG460" i="2"/>
  <c r="AF460" i="2"/>
  <c r="AE460" i="2"/>
  <c r="AD460" i="2"/>
  <c r="AC460" i="2"/>
  <c r="AB460" i="2"/>
  <c r="AA460" i="2"/>
  <c r="Z460" i="2"/>
  <c r="Y460" i="2"/>
  <c r="X460" i="2"/>
  <c r="W460" i="2"/>
  <c r="V460" i="2"/>
  <c r="U460" i="2"/>
  <c r="T460" i="2"/>
  <c r="A464" i="3" s="1"/>
  <c r="G460" i="2"/>
  <c r="F460" i="2"/>
  <c r="E460" i="2"/>
  <c r="D460" i="2"/>
  <c r="C460" i="2"/>
  <c r="B460" i="2"/>
  <c r="A460" i="2"/>
  <c r="AM459" i="2"/>
  <c r="AL459" i="2"/>
  <c r="AK459" i="2"/>
  <c r="AJ459" i="2"/>
  <c r="AI459" i="2"/>
  <c r="AH459" i="2"/>
  <c r="F459" i="4" s="1"/>
  <c r="AG459" i="2"/>
  <c r="AF459" i="2"/>
  <c r="AE459" i="2"/>
  <c r="AD459" i="2"/>
  <c r="AC459" i="2"/>
  <c r="AB459" i="2"/>
  <c r="AA459" i="2"/>
  <c r="Z459" i="2"/>
  <c r="Y459" i="2"/>
  <c r="X459" i="2"/>
  <c r="W459" i="2"/>
  <c r="V459" i="2"/>
  <c r="U459" i="2"/>
  <c r="T459" i="2"/>
  <c r="A463" i="3" s="1"/>
  <c r="G459" i="2"/>
  <c r="F459" i="2"/>
  <c r="E459" i="2"/>
  <c r="D459" i="2"/>
  <c r="C459" i="2"/>
  <c r="B459" i="2"/>
  <c r="A459" i="2"/>
  <c r="AM458" i="2"/>
  <c r="AL458" i="2"/>
  <c r="AK458" i="2"/>
  <c r="AJ458" i="2"/>
  <c r="AI458" i="2"/>
  <c r="AH458" i="2"/>
  <c r="F458" i="4" s="1"/>
  <c r="AG458" i="2"/>
  <c r="AF458" i="2"/>
  <c r="AE458" i="2"/>
  <c r="AD458" i="2"/>
  <c r="AC458" i="2"/>
  <c r="AB458" i="2"/>
  <c r="AA458" i="2"/>
  <c r="Z458" i="2"/>
  <c r="Y458" i="2"/>
  <c r="X458" i="2"/>
  <c r="W458" i="2"/>
  <c r="V458" i="2"/>
  <c r="U458" i="2"/>
  <c r="T458" i="2"/>
  <c r="A462" i="3" s="1"/>
  <c r="G458" i="2"/>
  <c r="F458" i="2"/>
  <c r="E458" i="2"/>
  <c r="D458" i="2"/>
  <c r="C458" i="2"/>
  <c r="B458" i="2"/>
  <c r="A458" i="2"/>
  <c r="AM457" i="2"/>
  <c r="AL457" i="2"/>
  <c r="AK457" i="2"/>
  <c r="AJ457" i="2"/>
  <c r="AI457" i="2"/>
  <c r="AH457" i="2"/>
  <c r="F457" i="4" s="1"/>
  <c r="AG457" i="2"/>
  <c r="AF457" i="2"/>
  <c r="AE457" i="2"/>
  <c r="AD457" i="2"/>
  <c r="AC457" i="2"/>
  <c r="AB457" i="2"/>
  <c r="AA457" i="2"/>
  <c r="Z457" i="2"/>
  <c r="Y457" i="2"/>
  <c r="X457" i="2"/>
  <c r="W457" i="2"/>
  <c r="V457" i="2"/>
  <c r="U457" i="2"/>
  <c r="T457" i="2"/>
  <c r="A461" i="3" s="1"/>
  <c r="G457" i="2"/>
  <c r="F457" i="2"/>
  <c r="E457" i="2"/>
  <c r="D457" i="2"/>
  <c r="C457" i="2"/>
  <c r="B457" i="2"/>
  <c r="A457" i="2"/>
  <c r="AM456" i="2"/>
  <c r="AL456" i="2"/>
  <c r="AK456" i="2"/>
  <c r="AJ456" i="2"/>
  <c r="AI456" i="2"/>
  <c r="AH456" i="2"/>
  <c r="F456" i="4" s="1"/>
  <c r="AG456" i="2"/>
  <c r="AF456" i="2"/>
  <c r="AE456" i="2"/>
  <c r="AD456" i="2"/>
  <c r="AC456" i="2"/>
  <c r="AB456" i="2"/>
  <c r="AA456" i="2"/>
  <c r="Z456" i="2"/>
  <c r="Y456" i="2"/>
  <c r="X456" i="2"/>
  <c r="W456" i="2"/>
  <c r="V456" i="2"/>
  <c r="U456" i="2"/>
  <c r="T456" i="2"/>
  <c r="A460" i="3" s="1"/>
  <c r="G456" i="2"/>
  <c r="F456" i="2"/>
  <c r="E456" i="2"/>
  <c r="D456" i="2"/>
  <c r="C456" i="2"/>
  <c r="B456" i="2"/>
  <c r="A456" i="2"/>
  <c r="AM455" i="2"/>
  <c r="AL455" i="2"/>
  <c r="AK455" i="2"/>
  <c r="AJ455" i="2"/>
  <c r="AI455" i="2"/>
  <c r="AH455" i="2"/>
  <c r="F455" i="4" s="1"/>
  <c r="AG455" i="2"/>
  <c r="AF455" i="2"/>
  <c r="AE455" i="2"/>
  <c r="AD455" i="2"/>
  <c r="AC455" i="2"/>
  <c r="AB455" i="2"/>
  <c r="AA455" i="2"/>
  <c r="Z455" i="2"/>
  <c r="Y455" i="2"/>
  <c r="X455" i="2"/>
  <c r="W455" i="2"/>
  <c r="V455" i="2"/>
  <c r="U455" i="2"/>
  <c r="T455" i="2"/>
  <c r="A459" i="3" s="1"/>
  <c r="G455" i="2"/>
  <c r="F455" i="2"/>
  <c r="E455" i="2"/>
  <c r="D455" i="2"/>
  <c r="C455" i="2"/>
  <c r="B455" i="2"/>
  <c r="A455" i="2"/>
  <c r="AM454" i="2"/>
  <c r="AL454" i="2"/>
  <c r="AK454" i="2"/>
  <c r="AJ454" i="2"/>
  <c r="AI454" i="2"/>
  <c r="AH454" i="2"/>
  <c r="F454" i="4" s="1"/>
  <c r="AG454" i="2"/>
  <c r="AF454" i="2"/>
  <c r="AE454" i="2"/>
  <c r="AD454" i="2"/>
  <c r="AC454" i="2"/>
  <c r="AB454" i="2"/>
  <c r="AA454" i="2"/>
  <c r="Z454" i="2"/>
  <c r="Y454" i="2"/>
  <c r="X454" i="2"/>
  <c r="W454" i="2"/>
  <c r="V454" i="2"/>
  <c r="U454" i="2"/>
  <c r="T454" i="2"/>
  <c r="A458" i="3" s="1"/>
  <c r="G454" i="2"/>
  <c r="F454" i="2"/>
  <c r="E454" i="2"/>
  <c r="D454" i="2"/>
  <c r="C454" i="2"/>
  <c r="B454" i="2"/>
  <c r="A454" i="2"/>
  <c r="AM453" i="2"/>
  <c r="AL453" i="2"/>
  <c r="AK453" i="2"/>
  <c r="AJ453" i="2"/>
  <c r="AI453" i="2"/>
  <c r="AH453" i="2"/>
  <c r="F453" i="4" s="1"/>
  <c r="AG453" i="2"/>
  <c r="AF453" i="2"/>
  <c r="AE453" i="2"/>
  <c r="AD453" i="2"/>
  <c r="AC453" i="2"/>
  <c r="AB453" i="2"/>
  <c r="AA453" i="2"/>
  <c r="Z453" i="2"/>
  <c r="Y453" i="2"/>
  <c r="X453" i="2"/>
  <c r="W453" i="2"/>
  <c r="V453" i="2"/>
  <c r="U453" i="2"/>
  <c r="T453" i="2"/>
  <c r="A457" i="3" s="1"/>
  <c r="G453" i="2"/>
  <c r="F453" i="2"/>
  <c r="E453" i="2"/>
  <c r="D453" i="2"/>
  <c r="C453" i="2"/>
  <c r="B453" i="2"/>
  <c r="A453" i="2"/>
  <c r="AM452" i="2"/>
  <c r="AL452" i="2"/>
  <c r="AK452" i="2"/>
  <c r="AJ452" i="2"/>
  <c r="AI452" i="2"/>
  <c r="AH452" i="2"/>
  <c r="F452" i="4" s="1"/>
  <c r="AG452" i="2"/>
  <c r="AF452" i="2"/>
  <c r="AE452" i="2"/>
  <c r="AD452" i="2"/>
  <c r="AC452" i="2"/>
  <c r="AB452" i="2"/>
  <c r="AA452" i="2"/>
  <c r="Z452" i="2"/>
  <c r="Y452" i="2"/>
  <c r="X452" i="2"/>
  <c r="W452" i="2"/>
  <c r="V452" i="2"/>
  <c r="U452" i="2"/>
  <c r="T452" i="2"/>
  <c r="A456" i="3" s="1"/>
  <c r="G452" i="2"/>
  <c r="F452" i="2"/>
  <c r="E452" i="2"/>
  <c r="D452" i="2"/>
  <c r="C452" i="2"/>
  <c r="B452" i="2"/>
  <c r="A452" i="2"/>
  <c r="AM451" i="2"/>
  <c r="AL451" i="2"/>
  <c r="AK451" i="2"/>
  <c r="AJ451" i="2"/>
  <c r="AI451" i="2"/>
  <c r="AH451" i="2"/>
  <c r="F451" i="4" s="1"/>
  <c r="AG451" i="2"/>
  <c r="AF451" i="2"/>
  <c r="AE451" i="2"/>
  <c r="AD451" i="2"/>
  <c r="AC451" i="2"/>
  <c r="AB451" i="2"/>
  <c r="AA451" i="2"/>
  <c r="Z451" i="2"/>
  <c r="Y451" i="2"/>
  <c r="X451" i="2"/>
  <c r="W451" i="2"/>
  <c r="V451" i="2"/>
  <c r="U451" i="2"/>
  <c r="T451" i="2"/>
  <c r="A455" i="3" s="1"/>
  <c r="G451" i="2"/>
  <c r="F451" i="2"/>
  <c r="E451" i="2"/>
  <c r="D451" i="2"/>
  <c r="C451" i="2"/>
  <c r="B451" i="2"/>
  <c r="A451" i="2"/>
  <c r="AM450" i="2"/>
  <c r="AL450" i="2"/>
  <c r="AK450" i="2"/>
  <c r="AJ450" i="2"/>
  <c r="AI450" i="2"/>
  <c r="AH450" i="2"/>
  <c r="F450" i="4" s="1"/>
  <c r="AG450" i="2"/>
  <c r="AF450" i="2"/>
  <c r="AE450" i="2"/>
  <c r="AD450" i="2"/>
  <c r="AC450" i="2"/>
  <c r="AB450" i="2"/>
  <c r="AA450" i="2"/>
  <c r="Z450" i="2"/>
  <c r="Y450" i="2"/>
  <c r="X450" i="2"/>
  <c r="W450" i="2"/>
  <c r="V450" i="2"/>
  <c r="U450" i="2"/>
  <c r="T450" i="2"/>
  <c r="A454" i="3" s="1"/>
  <c r="G450" i="2"/>
  <c r="F450" i="2"/>
  <c r="E450" i="2"/>
  <c r="D450" i="2"/>
  <c r="C450" i="2"/>
  <c r="B450" i="2"/>
  <c r="A450" i="2"/>
  <c r="AM449" i="2"/>
  <c r="AL449" i="2"/>
  <c r="AK449" i="2"/>
  <c r="AJ449" i="2"/>
  <c r="AI449" i="2"/>
  <c r="AH449" i="2"/>
  <c r="F449" i="4" s="1"/>
  <c r="AG449" i="2"/>
  <c r="AF449" i="2"/>
  <c r="AE449" i="2"/>
  <c r="AD449" i="2"/>
  <c r="AC449" i="2"/>
  <c r="AB449" i="2"/>
  <c r="AA449" i="2"/>
  <c r="Z449" i="2"/>
  <c r="Y449" i="2"/>
  <c r="X449" i="2"/>
  <c r="W449" i="2"/>
  <c r="V449" i="2"/>
  <c r="U449" i="2"/>
  <c r="T449" i="2"/>
  <c r="A453" i="3" s="1"/>
  <c r="G449" i="2"/>
  <c r="F449" i="2"/>
  <c r="E449" i="2"/>
  <c r="D449" i="2"/>
  <c r="C449" i="2"/>
  <c r="B449" i="2"/>
  <c r="A449" i="2"/>
  <c r="AM448" i="2"/>
  <c r="AL448" i="2"/>
  <c r="AK448" i="2"/>
  <c r="AJ448" i="2"/>
  <c r="AI448" i="2"/>
  <c r="AH448" i="2"/>
  <c r="F448" i="4" s="1"/>
  <c r="AG448" i="2"/>
  <c r="AF448" i="2"/>
  <c r="AE448" i="2"/>
  <c r="AD448" i="2"/>
  <c r="AC448" i="2"/>
  <c r="AB448" i="2"/>
  <c r="AA448" i="2"/>
  <c r="Z448" i="2"/>
  <c r="Y448" i="2"/>
  <c r="X448" i="2"/>
  <c r="W448" i="2"/>
  <c r="V448" i="2"/>
  <c r="U448" i="2"/>
  <c r="T448" i="2"/>
  <c r="A452" i="3" s="1"/>
  <c r="G448" i="2"/>
  <c r="F448" i="2"/>
  <c r="E448" i="2"/>
  <c r="D448" i="2"/>
  <c r="C448" i="2"/>
  <c r="B448" i="2"/>
  <c r="A448" i="2"/>
  <c r="AM447" i="2"/>
  <c r="AL447" i="2"/>
  <c r="AK447" i="2"/>
  <c r="AJ447" i="2"/>
  <c r="AI447" i="2"/>
  <c r="AH447" i="2"/>
  <c r="F447" i="4" s="1"/>
  <c r="AG447" i="2"/>
  <c r="AF447" i="2"/>
  <c r="AE447" i="2"/>
  <c r="AD447" i="2"/>
  <c r="AC447" i="2"/>
  <c r="AB447" i="2"/>
  <c r="AA447" i="2"/>
  <c r="Z447" i="2"/>
  <c r="Y447" i="2"/>
  <c r="X447" i="2"/>
  <c r="W447" i="2"/>
  <c r="V447" i="2"/>
  <c r="U447" i="2"/>
  <c r="T447" i="2"/>
  <c r="A451" i="3" s="1"/>
  <c r="G447" i="2"/>
  <c r="F447" i="2"/>
  <c r="E447" i="2"/>
  <c r="D447" i="2"/>
  <c r="C447" i="2"/>
  <c r="B447" i="2"/>
  <c r="A447" i="2"/>
  <c r="AM446" i="2"/>
  <c r="AL446" i="2"/>
  <c r="AK446" i="2"/>
  <c r="AJ446" i="2"/>
  <c r="AI446" i="2"/>
  <c r="AH446" i="2"/>
  <c r="F446" i="4" s="1"/>
  <c r="AG446" i="2"/>
  <c r="AF446" i="2"/>
  <c r="AE446" i="2"/>
  <c r="AD446" i="2"/>
  <c r="AC446" i="2"/>
  <c r="AB446" i="2"/>
  <c r="AA446" i="2"/>
  <c r="Z446" i="2"/>
  <c r="Y446" i="2"/>
  <c r="X446" i="2"/>
  <c r="W446" i="2"/>
  <c r="V446" i="2"/>
  <c r="U446" i="2"/>
  <c r="T446" i="2"/>
  <c r="A450" i="3" s="1"/>
  <c r="G446" i="2"/>
  <c r="F446" i="2"/>
  <c r="E446" i="2"/>
  <c r="D446" i="2"/>
  <c r="C446" i="2"/>
  <c r="B446" i="2"/>
  <c r="A446" i="2"/>
  <c r="AM445" i="2"/>
  <c r="AL445" i="2"/>
  <c r="AK445" i="2"/>
  <c r="AJ445" i="2"/>
  <c r="AI445" i="2"/>
  <c r="AH445" i="2"/>
  <c r="F445" i="4" s="1"/>
  <c r="AG445" i="2"/>
  <c r="AF445" i="2"/>
  <c r="AE445" i="2"/>
  <c r="AD445" i="2"/>
  <c r="AC445" i="2"/>
  <c r="AB445" i="2"/>
  <c r="AA445" i="2"/>
  <c r="Z445" i="2"/>
  <c r="Y445" i="2"/>
  <c r="X445" i="2"/>
  <c r="W445" i="2"/>
  <c r="V445" i="2"/>
  <c r="U445" i="2"/>
  <c r="T445" i="2"/>
  <c r="A449" i="3" s="1"/>
  <c r="G445" i="2"/>
  <c r="F445" i="2"/>
  <c r="E445" i="2"/>
  <c r="D445" i="2"/>
  <c r="C445" i="2"/>
  <c r="B445" i="2"/>
  <c r="A445" i="2"/>
  <c r="AM444" i="2"/>
  <c r="AL444" i="2"/>
  <c r="AK444" i="2"/>
  <c r="AJ444" i="2"/>
  <c r="AI444" i="2"/>
  <c r="AH444" i="2"/>
  <c r="F444" i="4" s="1"/>
  <c r="AG444" i="2"/>
  <c r="AF444" i="2"/>
  <c r="AE444" i="2"/>
  <c r="AD444" i="2"/>
  <c r="AC444" i="2"/>
  <c r="AB444" i="2"/>
  <c r="AA444" i="2"/>
  <c r="Z444" i="2"/>
  <c r="Y444" i="2"/>
  <c r="X444" i="2"/>
  <c r="W444" i="2"/>
  <c r="V444" i="2"/>
  <c r="U444" i="2"/>
  <c r="T444" i="2"/>
  <c r="A448" i="3" s="1"/>
  <c r="G444" i="2"/>
  <c r="F444" i="2"/>
  <c r="E444" i="2"/>
  <c r="D444" i="2"/>
  <c r="C444" i="2"/>
  <c r="B444" i="2"/>
  <c r="A444" i="2"/>
  <c r="AM443" i="2"/>
  <c r="AL443" i="2"/>
  <c r="AK443" i="2"/>
  <c r="AJ443" i="2"/>
  <c r="AI443" i="2"/>
  <c r="AH443" i="2"/>
  <c r="F443" i="4" s="1"/>
  <c r="AG443" i="2"/>
  <c r="AF443" i="2"/>
  <c r="AE443" i="2"/>
  <c r="AD443" i="2"/>
  <c r="AC443" i="2"/>
  <c r="AB443" i="2"/>
  <c r="AA443" i="2"/>
  <c r="Z443" i="2"/>
  <c r="Y443" i="2"/>
  <c r="X443" i="2"/>
  <c r="W443" i="2"/>
  <c r="V443" i="2"/>
  <c r="U443" i="2"/>
  <c r="T443" i="2"/>
  <c r="A447" i="3" s="1"/>
  <c r="G443" i="2"/>
  <c r="F443" i="2"/>
  <c r="E443" i="2"/>
  <c r="D443" i="2"/>
  <c r="C443" i="2"/>
  <c r="B443" i="2"/>
  <c r="A443" i="2"/>
  <c r="AM442" i="2"/>
  <c r="AL442" i="2"/>
  <c r="AK442" i="2"/>
  <c r="AJ442" i="2"/>
  <c r="AI442" i="2"/>
  <c r="AH442" i="2"/>
  <c r="F442" i="4" s="1"/>
  <c r="AG442" i="2"/>
  <c r="AF442" i="2"/>
  <c r="AE442" i="2"/>
  <c r="AD442" i="2"/>
  <c r="AC442" i="2"/>
  <c r="AB442" i="2"/>
  <c r="AA442" i="2"/>
  <c r="Z442" i="2"/>
  <c r="Y442" i="2"/>
  <c r="X442" i="2"/>
  <c r="W442" i="2"/>
  <c r="V442" i="2"/>
  <c r="U442" i="2"/>
  <c r="T442" i="2"/>
  <c r="A446" i="3" s="1"/>
  <c r="G442" i="2"/>
  <c r="F442" i="2"/>
  <c r="E442" i="2"/>
  <c r="D442" i="2"/>
  <c r="C442" i="2"/>
  <c r="B442" i="2"/>
  <c r="A442" i="2"/>
  <c r="AM441" i="2"/>
  <c r="AL441" i="2"/>
  <c r="AK441" i="2"/>
  <c r="AJ441" i="2"/>
  <c r="AI441" i="2"/>
  <c r="AH441" i="2"/>
  <c r="F441" i="4" s="1"/>
  <c r="AG441" i="2"/>
  <c r="AF441" i="2"/>
  <c r="AE441" i="2"/>
  <c r="AD441" i="2"/>
  <c r="AC441" i="2"/>
  <c r="AB441" i="2"/>
  <c r="AA441" i="2"/>
  <c r="Z441" i="2"/>
  <c r="Y441" i="2"/>
  <c r="X441" i="2"/>
  <c r="W441" i="2"/>
  <c r="V441" i="2"/>
  <c r="U441" i="2"/>
  <c r="T441" i="2"/>
  <c r="A445" i="3" s="1"/>
  <c r="G441" i="2"/>
  <c r="F441" i="2"/>
  <c r="E441" i="2"/>
  <c r="D441" i="2"/>
  <c r="C441" i="2"/>
  <c r="B441" i="2"/>
  <c r="A441" i="2"/>
  <c r="AM440" i="2"/>
  <c r="AL440" i="2"/>
  <c r="AK440" i="2"/>
  <c r="AJ440" i="2"/>
  <c r="AI440" i="2"/>
  <c r="AH440" i="2"/>
  <c r="F440" i="4" s="1"/>
  <c r="AG440" i="2"/>
  <c r="AF440" i="2"/>
  <c r="AE440" i="2"/>
  <c r="AD440" i="2"/>
  <c r="AC440" i="2"/>
  <c r="AB440" i="2"/>
  <c r="AA440" i="2"/>
  <c r="Z440" i="2"/>
  <c r="Y440" i="2"/>
  <c r="X440" i="2"/>
  <c r="W440" i="2"/>
  <c r="V440" i="2"/>
  <c r="U440" i="2"/>
  <c r="T440" i="2"/>
  <c r="A444" i="3" s="1"/>
  <c r="G440" i="2"/>
  <c r="F440" i="2"/>
  <c r="E440" i="2"/>
  <c r="D440" i="2"/>
  <c r="C440" i="2"/>
  <c r="B440" i="2"/>
  <c r="A440" i="2"/>
  <c r="AM439" i="2"/>
  <c r="AL439" i="2"/>
  <c r="AK439" i="2"/>
  <c r="AJ439" i="2"/>
  <c r="AI439" i="2"/>
  <c r="AH439" i="2"/>
  <c r="F439" i="4" s="1"/>
  <c r="AG439" i="2"/>
  <c r="AF439" i="2"/>
  <c r="AE439" i="2"/>
  <c r="AD439" i="2"/>
  <c r="AC439" i="2"/>
  <c r="AB439" i="2"/>
  <c r="AA439" i="2"/>
  <c r="Z439" i="2"/>
  <c r="Y439" i="2"/>
  <c r="X439" i="2"/>
  <c r="W439" i="2"/>
  <c r="V439" i="2"/>
  <c r="U439" i="2"/>
  <c r="T439" i="2"/>
  <c r="A443" i="3" s="1"/>
  <c r="G439" i="2"/>
  <c r="F439" i="2"/>
  <c r="E439" i="2"/>
  <c r="D439" i="2"/>
  <c r="C439" i="2"/>
  <c r="B439" i="2"/>
  <c r="A439" i="2"/>
  <c r="AM438" i="2"/>
  <c r="AL438" i="2"/>
  <c r="AK438" i="2"/>
  <c r="AJ438" i="2"/>
  <c r="AI438" i="2"/>
  <c r="AH438" i="2"/>
  <c r="F438" i="4" s="1"/>
  <c r="AG438" i="2"/>
  <c r="AF438" i="2"/>
  <c r="AE438" i="2"/>
  <c r="AD438" i="2"/>
  <c r="AC438" i="2"/>
  <c r="AB438" i="2"/>
  <c r="AA438" i="2"/>
  <c r="Z438" i="2"/>
  <c r="Y438" i="2"/>
  <c r="X438" i="2"/>
  <c r="W438" i="2"/>
  <c r="V438" i="2"/>
  <c r="U438" i="2"/>
  <c r="T438" i="2"/>
  <c r="A442" i="3" s="1"/>
  <c r="G438" i="2"/>
  <c r="F438" i="2"/>
  <c r="E438" i="2"/>
  <c r="D438" i="2"/>
  <c r="C438" i="2"/>
  <c r="B438" i="2"/>
  <c r="A438" i="2"/>
  <c r="AM437" i="2"/>
  <c r="AL437" i="2"/>
  <c r="AK437" i="2"/>
  <c r="AJ437" i="2"/>
  <c r="AI437" i="2"/>
  <c r="AH437" i="2"/>
  <c r="F437" i="4" s="1"/>
  <c r="AG437" i="2"/>
  <c r="AF437" i="2"/>
  <c r="AE437" i="2"/>
  <c r="AD437" i="2"/>
  <c r="AC437" i="2"/>
  <c r="AB437" i="2"/>
  <c r="AA437" i="2"/>
  <c r="Z437" i="2"/>
  <c r="Y437" i="2"/>
  <c r="X437" i="2"/>
  <c r="W437" i="2"/>
  <c r="V437" i="2"/>
  <c r="U437" i="2"/>
  <c r="T437" i="2"/>
  <c r="A441" i="3" s="1"/>
  <c r="G437" i="2"/>
  <c r="F437" i="2"/>
  <c r="E437" i="2"/>
  <c r="D437" i="2"/>
  <c r="C437" i="2"/>
  <c r="B437" i="2"/>
  <c r="A437" i="2"/>
  <c r="AM436" i="2"/>
  <c r="AL436" i="2"/>
  <c r="AK436" i="2"/>
  <c r="AJ436" i="2"/>
  <c r="AI436" i="2"/>
  <c r="AH436" i="2"/>
  <c r="F436" i="4" s="1"/>
  <c r="AG436" i="2"/>
  <c r="AF436" i="2"/>
  <c r="AE436" i="2"/>
  <c r="AD436" i="2"/>
  <c r="AC436" i="2"/>
  <c r="AB436" i="2"/>
  <c r="AA436" i="2"/>
  <c r="Z436" i="2"/>
  <c r="Y436" i="2"/>
  <c r="X436" i="2"/>
  <c r="W436" i="2"/>
  <c r="V436" i="2"/>
  <c r="U436" i="2"/>
  <c r="T436" i="2"/>
  <c r="A440" i="3" s="1"/>
  <c r="G436" i="2"/>
  <c r="F436" i="2"/>
  <c r="E436" i="2"/>
  <c r="D436" i="2"/>
  <c r="C436" i="2"/>
  <c r="B436" i="2"/>
  <c r="A436" i="2"/>
  <c r="AM435" i="2"/>
  <c r="AL435" i="2"/>
  <c r="AK435" i="2"/>
  <c r="AJ435" i="2"/>
  <c r="AI435" i="2"/>
  <c r="AH435" i="2"/>
  <c r="F435" i="4" s="1"/>
  <c r="AG435" i="2"/>
  <c r="AF435" i="2"/>
  <c r="AE435" i="2"/>
  <c r="AD435" i="2"/>
  <c r="AC435" i="2"/>
  <c r="AB435" i="2"/>
  <c r="AA435" i="2"/>
  <c r="Z435" i="2"/>
  <c r="Y435" i="2"/>
  <c r="X435" i="2"/>
  <c r="W435" i="2"/>
  <c r="V435" i="2"/>
  <c r="U435" i="2"/>
  <c r="T435" i="2"/>
  <c r="A439" i="3" s="1"/>
  <c r="G435" i="2"/>
  <c r="F435" i="2"/>
  <c r="E435" i="2"/>
  <c r="D435" i="2"/>
  <c r="C435" i="2"/>
  <c r="B435" i="2"/>
  <c r="A435" i="2"/>
  <c r="AM434" i="2"/>
  <c r="AL434" i="2"/>
  <c r="AK434" i="2"/>
  <c r="AJ434" i="2"/>
  <c r="AI434" i="2"/>
  <c r="AH434" i="2"/>
  <c r="F434" i="4" s="1"/>
  <c r="AG434" i="2"/>
  <c r="AF434" i="2"/>
  <c r="AE434" i="2"/>
  <c r="AD434" i="2"/>
  <c r="AC434" i="2"/>
  <c r="AB434" i="2"/>
  <c r="AA434" i="2"/>
  <c r="Z434" i="2"/>
  <c r="Y434" i="2"/>
  <c r="X434" i="2"/>
  <c r="W434" i="2"/>
  <c r="V434" i="2"/>
  <c r="U434" i="2"/>
  <c r="T434" i="2"/>
  <c r="A438" i="3" s="1"/>
  <c r="G434" i="2"/>
  <c r="F434" i="2"/>
  <c r="E434" i="2"/>
  <c r="D434" i="2"/>
  <c r="C434" i="2"/>
  <c r="B434" i="2"/>
  <c r="A434" i="2"/>
  <c r="AM433" i="2"/>
  <c r="AL433" i="2"/>
  <c r="AK433" i="2"/>
  <c r="AJ433" i="2"/>
  <c r="AI433" i="2"/>
  <c r="AH433" i="2"/>
  <c r="F433" i="4" s="1"/>
  <c r="AG433" i="2"/>
  <c r="AF433" i="2"/>
  <c r="AE433" i="2"/>
  <c r="AD433" i="2"/>
  <c r="AC433" i="2"/>
  <c r="AB433" i="2"/>
  <c r="AA433" i="2"/>
  <c r="Z433" i="2"/>
  <c r="Y433" i="2"/>
  <c r="X433" i="2"/>
  <c r="W433" i="2"/>
  <c r="V433" i="2"/>
  <c r="U433" i="2"/>
  <c r="T433" i="2"/>
  <c r="A437" i="3" s="1"/>
  <c r="G433" i="2"/>
  <c r="F433" i="2"/>
  <c r="E433" i="2"/>
  <c r="D433" i="2"/>
  <c r="C433" i="2"/>
  <c r="B433" i="2"/>
  <c r="A433" i="2"/>
  <c r="AM432" i="2"/>
  <c r="AL432" i="2"/>
  <c r="AK432" i="2"/>
  <c r="AJ432" i="2"/>
  <c r="AI432" i="2"/>
  <c r="AH432" i="2"/>
  <c r="F432" i="4" s="1"/>
  <c r="AG432" i="2"/>
  <c r="AF432" i="2"/>
  <c r="AE432" i="2"/>
  <c r="AD432" i="2"/>
  <c r="AC432" i="2"/>
  <c r="AB432" i="2"/>
  <c r="AA432" i="2"/>
  <c r="Z432" i="2"/>
  <c r="Y432" i="2"/>
  <c r="X432" i="2"/>
  <c r="W432" i="2"/>
  <c r="V432" i="2"/>
  <c r="U432" i="2"/>
  <c r="T432" i="2"/>
  <c r="A436" i="3" s="1"/>
  <c r="G432" i="2"/>
  <c r="F432" i="2"/>
  <c r="E432" i="2"/>
  <c r="D432" i="2"/>
  <c r="C432" i="2"/>
  <c r="B432" i="2"/>
  <c r="A432" i="2"/>
  <c r="AM431" i="2"/>
  <c r="AL431" i="2"/>
  <c r="AK431" i="2"/>
  <c r="AJ431" i="2"/>
  <c r="AI431" i="2"/>
  <c r="AH431" i="2"/>
  <c r="F431" i="4" s="1"/>
  <c r="AG431" i="2"/>
  <c r="AF431" i="2"/>
  <c r="AE431" i="2"/>
  <c r="AD431" i="2"/>
  <c r="AC431" i="2"/>
  <c r="AB431" i="2"/>
  <c r="AA431" i="2"/>
  <c r="Z431" i="2"/>
  <c r="Y431" i="2"/>
  <c r="X431" i="2"/>
  <c r="W431" i="2"/>
  <c r="V431" i="2"/>
  <c r="U431" i="2"/>
  <c r="T431" i="2"/>
  <c r="A435" i="3" s="1"/>
  <c r="G431" i="2"/>
  <c r="F431" i="2"/>
  <c r="E431" i="2"/>
  <c r="D431" i="2"/>
  <c r="C431" i="2"/>
  <c r="B431" i="2"/>
  <c r="A431" i="2"/>
  <c r="AM430" i="2"/>
  <c r="AL430" i="2"/>
  <c r="AK430" i="2"/>
  <c r="AJ430" i="2"/>
  <c r="AI430" i="2"/>
  <c r="AH430" i="2"/>
  <c r="F430" i="4" s="1"/>
  <c r="AG430" i="2"/>
  <c r="AF430" i="2"/>
  <c r="AE430" i="2"/>
  <c r="AD430" i="2"/>
  <c r="AC430" i="2"/>
  <c r="AB430" i="2"/>
  <c r="AA430" i="2"/>
  <c r="Z430" i="2"/>
  <c r="Y430" i="2"/>
  <c r="X430" i="2"/>
  <c r="W430" i="2"/>
  <c r="V430" i="2"/>
  <c r="U430" i="2"/>
  <c r="T430" i="2"/>
  <c r="A434" i="3" s="1"/>
  <c r="G430" i="2"/>
  <c r="F430" i="2"/>
  <c r="E430" i="2"/>
  <c r="D430" i="2"/>
  <c r="C430" i="2"/>
  <c r="B430" i="2"/>
  <c r="A430" i="2"/>
  <c r="AM429" i="2"/>
  <c r="AL429" i="2"/>
  <c r="AK429" i="2"/>
  <c r="AJ429" i="2"/>
  <c r="AI429" i="2"/>
  <c r="AH429" i="2"/>
  <c r="F429" i="4" s="1"/>
  <c r="AG429" i="2"/>
  <c r="AF429" i="2"/>
  <c r="AE429" i="2"/>
  <c r="AD429" i="2"/>
  <c r="AC429" i="2"/>
  <c r="AB429" i="2"/>
  <c r="AA429" i="2"/>
  <c r="Z429" i="2"/>
  <c r="Y429" i="2"/>
  <c r="X429" i="2"/>
  <c r="W429" i="2"/>
  <c r="V429" i="2"/>
  <c r="U429" i="2"/>
  <c r="T429" i="2"/>
  <c r="A433" i="3" s="1"/>
  <c r="G429" i="2"/>
  <c r="F429" i="2"/>
  <c r="E429" i="2"/>
  <c r="D429" i="2"/>
  <c r="C429" i="2"/>
  <c r="B429" i="2"/>
  <c r="A429" i="2"/>
  <c r="AM428" i="2"/>
  <c r="AL428" i="2"/>
  <c r="AK428" i="2"/>
  <c r="AJ428" i="2"/>
  <c r="AI428" i="2"/>
  <c r="AH428" i="2"/>
  <c r="F428" i="4" s="1"/>
  <c r="AG428" i="2"/>
  <c r="AF428" i="2"/>
  <c r="AE428" i="2"/>
  <c r="AD428" i="2"/>
  <c r="AC428" i="2"/>
  <c r="AB428" i="2"/>
  <c r="AA428" i="2"/>
  <c r="Z428" i="2"/>
  <c r="Y428" i="2"/>
  <c r="X428" i="2"/>
  <c r="W428" i="2"/>
  <c r="V428" i="2"/>
  <c r="U428" i="2"/>
  <c r="T428" i="2"/>
  <c r="A432" i="3" s="1"/>
  <c r="G428" i="2"/>
  <c r="F428" i="2"/>
  <c r="E428" i="2"/>
  <c r="D428" i="2"/>
  <c r="C428" i="2"/>
  <c r="B428" i="2"/>
  <c r="A428" i="2"/>
  <c r="AM427" i="2"/>
  <c r="AL427" i="2"/>
  <c r="AK427" i="2"/>
  <c r="AJ427" i="2"/>
  <c r="AI427" i="2"/>
  <c r="AH427" i="2"/>
  <c r="F427" i="4" s="1"/>
  <c r="AG427" i="2"/>
  <c r="AF427" i="2"/>
  <c r="AE427" i="2"/>
  <c r="AD427" i="2"/>
  <c r="AC427" i="2"/>
  <c r="AB427" i="2"/>
  <c r="AA427" i="2"/>
  <c r="Z427" i="2"/>
  <c r="Y427" i="2"/>
  <c r="X427" i="2"/>
  <c r="W427" i="2"/>
  <c r="V427" i="2"/>
  <c r="U427" i="2"/>
  <c r="T427" i="2"/>
  <c r="A431" i="3" s="1"/>
  <c r="G427" i="2"/>
  <c r="F427" i="2"/>
  <c r="E427" i="2"/>
  <c r="D427" i="2"/>
  <c r="C427" i="2"/>
  <c r="B427" i="2"/>
  <c r="A427" i="2"/>
  <c r="AM426" i="2"/>
  <c r="AL426" i="2"/>
  <c r="AK426" i="2"/>
  <c r="AJ426" i="2"/>
  <c r="AI426" i="2"/>
  <c r="AH426" i="2"/>
  <c r="F426" i="4" s="1"/>
  <c r="AG426" i="2"/>
  <c r="AF426" i="2"/>
  <c r="AE426" i="2"/>
  <c r="AD426" i="2"/>
  <c r="AC426" i="2"/>
  <c r="AB426" i="2"/>
  <c r="AA426" i="2"/>
  <c r="Z426" i="2"/>
  <c r="Y426" i="2"/>
  <c r="X426" i="2"/>
  <c r="W426" i="2"/>
  <c r="V426" i="2"/>
  <c r="U426" i="2"/>
  <c r="T426" i="2"/>
  <c r="A430" i="3" s="1"/>
  <c r="G426" i="2"/>
  <c r="F426" i="2"/>
  <c r="E426" i="2"/>
  <c r="D426" i="2"/>
  <c r="C426" i="2"/>
  <c r="B426" i="2"/>
  <c r="A426" i="2"/>
  <c r="AM425" i="2"/>
  <c r="AL425" i="2"/>
  <c r="AK425" i="2"/>
  <c r="AJ425" i="2"/>
  <c r="AI425" i="2"/>
  <c r="AH425" i="2"/>
  <c r="F425" i="4" s="1"/>
  <c r="AG425" i="2"/>
  <c r="AF425" i="2"/>
  <c r="AE425" i="2"/>
  <c r="AD425" i="2"/>
  <c r="AC425" i="2"/>
  <c r="AB425" i="2"/>
  <c r="AA425" i="2"/>
  <c r="Z425" i="2"/>
  <c r="Y425" i="2"/>
  <c r="X425" i="2"/>
  <c r="W425" i="2"/>
  <c r="V425" i="2"/>
  <c r="U425" i="2"/>
  <c r="T425" i="2"/>
  <c r="A429" i="3" s="1"/>
  <c r="G425" i="2"/>
  <c r="F425" i="2"/>
  <c r="E425" i="2"/>
  <c r="D425" i="2"/>
  <c r="C425" i="2"/>
  <c r="B425" i="2"/>
  <c r="A425" i="2"/>
  <c r="AM424" i="2"/>
  <c r="AL424" i="2"/>
  <c r="AK424" i="2"/>
  <c r="AJ424" i="2"/>
  <c r="AI424" i="2"/>
  <c r="AH424" i="2"/>
  <c r="F424" i="4" s="1"/>
  <c r="AG424" i="2"/>
  <c r="AF424" i="2"/>
  <c r="AE424" i="2"/>
  <c r="AD424" i="2"/>
  <c r="AC424" i="2"/>
  <c r="AB424" i="2"/>
  <c r="AA424" i="2"/>
  <c r="Z424" i="2"/>
  <c r="Y424" i="2"/>
  <c r="X424" i="2"/>
  <c r="W424" i="2"/>
  <c r="V424" i="2"/>
  <c r="U424" i="2"/>
  <c r="T424" i="2"/>
  <c r="A428" i="3" s="1"/>
  <c r="G424" i="2"/>
  <c r="F424" i="2"/>
  <c r="E424" i="2"/>
  <c r="D424" i="2"/>
  <c r="C424" i="2"/>
  <c r="B424" i="2"/>
  <c r="A424" i="2"/>
  <c r="AM423" i="2"/>
  <c r="AL423" i="2"/>
  <c r="AK423" i="2"/>
  <c r="AJ423" i="2"/>
  <c r="AI423" i="2"/>
  <c r="AH423" i="2"/>
  <c r="F423" i="4" s="1"/>
  <c r="AG423" i="2"/>
  <c r="AF423" i="2"/>
  <c r="AE423" i="2"/>
  <c r="AD423" i="2"/>
  <c r="AC423" i="2"/>
  <c r="AB423" i="2"/>
  <c r="AA423" i="2"/>
  <c r="Z423" i="2"/>
  <c r="Y423" i="2"/>
  <c r="X423" i="2"/>
  <c r="W423" i="2"/>
  <c r="V423" i="2"/>
  <c r="U423" i="2"/>
  <c r="T423" i="2"/>
  <c r="A427" i="3" s="1"/>
  <c r="G423" i="2"/>
  <c r="F423" i="2"/>
  <c r="E423" i="2"/>
  <c r="D423" i="2"/>
  <c r="C423" i="2"/>
  <c r="B423" i="2"/>
  <c r="A423" i="2"/>
  <c r="AM422" i="2"/>
  <c r="AL422" i="2"/>
  <c r="AK422" i="2"/>
  <c r="AJ422" i="2"/>
  <c r="AI422" i="2"/>
  <c r="AH422" i="2"/>
  <c r="F422" i="4" s="1"/>
  <c r="AG422" i="2"/>
  <c r="AF422" i="2"/>
  <c r="AE422" i="2"/>
  <c r="AD422" i="2"/>
  <c r="AC422" i="2"/>
  <c r="AB422" i="2"/>
  <c r="AA422" i="2"/>
  <c r="Z422" i="2"/>
  <c r="Y422" i="2"/>
  <c r="X422" i="2"/>
  <c r="W422" i="2"/>
  <c r="V422" i="2"/>
  <c r="U422" i="2"/>
  <c r="T422" i="2"/>
  <c r="A426" i="3" s="1"/>
  <c r="G422" i="2"/>
  <c r="F422" i="2"/>
  <c r="E422" i="2"/>
  <c r="D422" i="2"/>
  <c r="C422" i="2"/>
  <c r="B422" i="2"/>
  <c r="A422" i="2"/>
  <c r="AM421" i="2"/>
  <c r="AL421" i="2"/>
  <c r="AK421" i="2"/>
  <c r="AJ421" i="2"/>
  <c r="AI421" i="2"/>
  <c r="AH421" i="2"/>
  <c r="F421" i="4" s="1"/>
  <c r="AG421" i="2"/>
  <c r="AF421" i="2"/>
  <c r="AE421" i="2"/>
  <c r="AD421" i="2"/>
  <c r="AC421" i="2"/>
  <c r="AB421" i="2"/>
  <c r="AA421" i="2"/>
  <c r="Z421" i="2"/>
  <c r="Y421" i="2"/>
  <c r="X421" i="2"/>
  <c r="W421" i="2"/>
  <c r="V421" i="2"/>
  <c r="U421" i="2"/>
  <c r="T421" i="2"/>
  <c r="A425" i="3" s="1"/>
  <c r="G421" i="2"/>
  <c r="F421" i="2"/>
  <c r="E421" i="2"/>
  <c r="D421" i="2"/>
  <c r="C421" i="2"/>
  <c r="B421" i="2"/>
  <c r="A421" i="2"/>
  <c r="AM420" i="2"/>
  <c r="AL420" i="2"/>
  <c r="AK420" i="2"/>
  <c r="AJ420" i="2"/>
  <c r="AI420" i="2"/>
  <c r="AH420" i="2"/>
  <c r="F420" i="4" s="1"/>
  <c r="AG420" i="2"/>
  <c r="AF420" i="2"/>
  <c r="AE420" i="2"/>
  <c r="AD420" i="2"/>
  <c r="AC420" i="2"/>
  <c r="AB420" i="2"/>
  <c r="AA420" i="2"/>
  <c r="Z420" i="2"/>
  <c r="Y420" i="2"/>
  <c r="X420" i="2"/>
  <c r="W420" i="2"/>
  <c r="V420" i="2"/>
  <c r="U420" i="2"/>
  <c r="T420" i="2"/>
  <c r="A424" i="3" s="1"/>
  <c r="G420" i="2"/>
  <c r="F420" i="2"/>
  <c r="E420" i="2"/>
  <c r="D420" i="2"/>
  <c r="C420" i="2"/>
  <c r="B420" i="2"/>
  <c r="A420" i="2"/>
  <c r="AM419" i="2"/>
  <c r="AL419" i="2"/>
  <c r="AK419" i="2"/>
  <c r="AJ419" i="2"/>
  <c r="AI419" i="2"/>
  <c r="AH419" i="2"/>
  <c r="F419" i="4" s="1"/>
  <c r="AG419" i="2"/>
  <c r="AF419" i="2"/>
  <c r="AE419" i="2"/>
  <c r="AD419" i="2"/>
  <c r="AC419" i="2"/>
  <c r="AB419" i="2"/>
  <c r="AA419" i="2"/>
  <c r="Z419" i="2"/>
  <c r="Y419" i="2"/>
  <c r="X419" i="2"/>
  <c r="W419" i="2"/>
  <c r="V419" i="2"/>
  <c r="U419" i="2"/>
  <c r="T419" i="2"/>
  <c r="A423" i="3" s="1"/>
  <c r="G419" i="2"/>
  <c r="F419" i="2"/>
  <c r="E419" i="2"/>
  <c r="D419" i="2"/>
  <c r="C419" i="2"/>
  <c r="B419" i="2"/>
  <c r="A419" i="2"/>
  <c r="AM418" i="2"/>
  <c r="AL418" i="2"/>
  <c r="AK418" i="2"/>
  <c r="AJ418" i="2"/>
  <c r="AI418" i="2"/>
  <c r="AH418" i="2"/>
  <c r="F418" i="4" s="1"/>
  <c r="AG418" i="2"/>
  <c r="AF418" i="2"/>
  <c r="AE418" i="2"/>
  <c r="AD418" i="2"/>
  <c r="AC418" i="2"/>
  <c r="AB418" i="2"/>
  <c r="AA418" i="2"/>
  <c r="Z418" i="2"/>
  <c r="Y418" i="2"/>
  <c r="X418" i="2"/>
  <c r="W418" i="2"/>
  <c r="V418" i="2"/>
  <c r="U418" i="2"/>
  <c r="T418" i="2"/>
  <c r="A422" i="3" s="1"/>
  <c r="G418" i="2"/>
  <c r="F418" i="2"/>
  <c r="E418" i="2"/>
  <c r="D418" i="2"/>
  <c r="C418" i="2"/>
  <c r="B418" i="2"/>
  <c r="A418" i="2"/>
  <c r="AM417" i="2"/>
  <c r="AL417" i="2"/>
  <c r="AK417" i="2"/>
  <c r="AJ417" i="2"/>
  <c r="AI417" i="2"/>
  <c r="AH417" i="2"/>
  <c r="F417" i="4" s="1"/>
  <c r="AG417" i="2"/>
  <c r="AF417" i="2"/>
  <c r="AE417" i="2"/>
  <c r="AD417" i="2"/>
  <c r="AC417" i="2"/>
  <c r="AB417" i="2"/>
  <c r="AA417" i="2"/>
  <c r="Z417" i="2"/>
  <c r="Y417" i="2"/>
  <c r="X417" i="2"/>
  <c r="W417" i="2"/>
  <c r="V417" i="2"/>
  <c r="U417" i="2"/>
  <c r="T417" i="2"/>
  <c r="A421" i="3" s="1"/>
  <c r="G417" i="2"/>
  <c r="F417" i="2"/>
  <c r="E417" i="2"/>
  <c r="D417" i="2"/>
  <c r="C417" i="2"/>
  <c r="B417" i="2"/>
  <c r="A417" i="2"/>
  <c r="AM416" i="2"/>
  <c r="AL416" i="2"/>
  <c r="AK416" i="2"/>
  <c r="AJ416" i="2"/>
  <c r="AI416" i="2"/>
  <c r="AH416" i="2"/>
  <c r="F416" i="4" s="1"/>
  <c r="AG416" i="2"/>
  <c r="AF416" i="2"/>
  <c r="AE416" i="2"/>
  <c r="AD416" i="2"/>
  <c r="AC416" i="2"/>
  <c r="AB416" i="2"/>
  <c r="AA416" i="2"/>
  <c r="Z416" i="2"/>
  <c r="Y416" i="2"/>
  <c r="X416" i="2"/>
  <c r="W416" i="2"/>
  <c r="V416" i="2"/>
  <c r="U416" i="2"/>
  <c r="T416" i="2"/>
  <c r="A420" i="3" s="1"/>
  <c r="G416" i="2"/>
  <c r="F416" i="2"/>
  <c r="E416" i="2"/>
  <c r="D416" i="2"/>
  <c r="C416" i="2"/>
  <c r="B416" i="2"/>
  <c r="A416" i="2"/>
  <c r="AM415" i="2"/>
  <c r="AL415" i="2"/>
  <c r="AK415" i="2"/>
  <c r="AJ415" i="2"/>
  <c r="AI415" i="2"/>
  <c r="AH415" i="2"/>
  <c r="F415" i="4" s="1"/>
  <c r="AG415" i="2"/>
  <c r="AF415" i="2"/>
  <c r="AE415" i="2"/>
  <c r="AD415" i="2"/>
  <c r="AC415" i="2"/>
  <c r="AB415" i="2"/>
  <c r="AA415" i="2"/>
  <c r="Z415" i="2"/>
  <c r="Y415" i="2"/>
  <c r="X415" i="2"/>
  <c r="W415" i="2"/>
  <c r="V415" i="2"/>
  <c r="U415" i="2"/>
  <c r="T415" i="2"/>
  <c r="A419" i="3" s="1"/>
  <c r="G415" i="2"/>
  <c r="F415" i="2"/>
  <c r="E415" i="2"/>
  <c r="D415" i="2"/>
  <c r="C415" i="2"/>
  <c r="B415" i="2"/>
  <c r="A415" i="2"/>
  <c r="AM414" i="2"/>
  <c r="AL414" i="2"/>
  <c r="AK414" i="2"/>
  <c r="AJ414" i="2"/>
  <c r="AI414" i="2"/>
  <c r="AH414" i="2"/>
  <c r="F414" i="4" s="1"/>
  <c r="AG414" i="2"/>
  <c r="AF414" i="2"/>
  <c r="AE414" i="2"/>
  <c r="AD414" i="2"/>
  <c r="AC414" i="2"/>
  <c r="AB414" i="2"/>
  <c r="AA414" i="2"/>
  <c r="Z414" i="2"/>
  <c r="Y414" i="2"/>
  <c r="X414" i="2"/>
  <c r="W414" i="2"/>
  <c r="V414" i="2"/>
  <c r="U414" i="2"/>
  <c r="T414" i="2"/>
  <c r="A418" i="3" s="1"/>
  <c r="G414" i="2"/>
  <c r="F414" i="2"/>
  <c r="E414" i="2"/>
  <c r="D414" i="2"/>
  <c r="C414" i="2"/>
  <c r="B414" i="2"/>
  <c r="A414" i="2"/>
  <c r="AM413" i="2"/>
  <c r="AL413" i="2"/>
  <c r="AK413" i="2"/>
  <c r="AJ413" i="2"/>
  <c r="AI413" i="2"/>
  <c r="AH413" i="2"/>
  <c r="F413" i="4" s="1"/>
  <c r="AG413" i="2"/>
  <c r="AF413" i="2"/>
  <c r="AE413" i="2"/>
  <c r="AD413" i="2"/>
  <c r="AC413" i="2"/>
  <c r="AB413" i="2"/>
  <c r="AA413" i="2"/>
  <c r="Z413" i="2"/>
  <c r="Y413" i="2"/>
  <c r="X413" i="2"/>
  <c r="W413" i="2"/>
  <c r="V413" i="2"/>
  <c r="U413" i="2"/>
  <c r="T413" i="2"/>
  <c r="A417" i="3" s="1"/>
  <c r="G413" i="2"/>
  <c r="F413" i="2"/>
  <c r="E413" i="2"/>
  <c r="D413" i="2"/>
  <c r="C413" i="2"/>
  <c r="B413" i="2"/>
  <c r="A413" i="2"/>
  <c r="AM412" i="2"/>
  <c r="AL412" i="2"/>
  <c r="AK412" i="2"/>
  <c r="AJ412" i="2"/>
  <c r="AI412" i="2"/>
  <c r="AH412" i="2"/>
  <c r="F412" i="4" s="1"/>
  <c r="AG412" i="2"/>
  <c r="AF412" i="2"/>
  <c r="AE412" i="2"/>
  <c r="AD412" i="2"/>
  <c r="AC412" i="2"/>
  <c r="AB412" i="2"/>
  <c r="AA412" i="2"/>
  <c r="Z412" i="2"/>
  <c r="Y412" i="2"/>
  <c r="X412" i="2"/>
  <c r="W412" i="2"/>
  <c r="V412" i="2"/>
  <c r="U412" i="2"/>
  <c r="T412" i="2"/>
  <c r="A416" i="3" s="1"/>
  <c r="G412" i="2"/>
  <c r="F412" i="2"/>
  <c r="E412" i="2"/>
  <c r="D412" i="2"/>
  <c r="C412" i="2"/>
  <c r="B412" i="2"/>
  <c r="A412" i="2"/>
  <c r="AM411" i="2"/>
  <c r="AL411" i="2"/>
  <c r="AK411" i="2"/>
  <c r="AJ411" i="2"/>
  <c r="AI411" i="2"/>
  <c r="AH411" i="2"/>
  <c r="F411" i="4" s="1"/>
  <c r="AG411" i="2"/>
  <c r="AF411" i="2"/>
  <c r="AE411" i="2"/>
  <c r="AD411" i="2"/>
  <c r="AC411" i="2"/>
  <c r="AB411" i="2"/>
  <c r="AA411" i="2"/>
  <c r="Z411" i="2"/>
  <c r="Y411" i="2"/>
  <c r="X411" i="2"/>
  <c r="W411" i="2"/>
  <c r="V411" i="2"/>
  <c r="U411" i="2"/>
  <c r="T411" i="2"/>
  <c r="A415" i="3" s="1"/>
  <c r="G411" i="2"/>
  <c r="F411" i="2"/>
  <c r="E411" i="2"/>
  <c r="D411" i="2"/>
  <c r="C411" i="2"/>
  <c r="B411" i="2"/>
  <c r="A411" i="2"/>
  <c r="AM410" i="2"/>
  <c r="AL410" i="2"/>
  <c r="AK410" i="2"/>
  <c r="AJ410" i="2"/>
  <c r="AI410" i="2"/>
  <c r="AH410" i="2"/>
  <c r="F410" i="4" s="1"/>
  <c r="AG410" i="2"/>
  <c r="AF410" i="2"/>
  <c r="AE410" i="2"/>
  <c r="AD410" i="2"/>
  <c r="AC410" i="2"/>
  <c r="AB410" i="2"/>
  <c r="AA410" i="2"/>
  <c r="Z410" i="2"/>
  <c r="Y410" i="2"/>
  <c r="X410" i="2"/>
  <c r="W410" i="2"/>
  <c r="V410" i="2"/>
  <c r="U410" i="2"/>
  <c r="T410" i="2"/>
  <c r="A414" i="3" s="1"/>
  <c r="G410" i="2"/>
  <c r="F410" i="2"/>
  <c r="E410" i="2"/>
  <c r="D410" i="2"/>
  <c r="C410" i="2"/>
  <c r="B410" i="2"/>
  <c r="A410" i="2"/>
  <c r="AM409" i="2"/>
  <c r="AL409" i="2"/>
  <c r="AK409" i="2"/>
  <c r="AJ409" i="2"/>
  <c r="AI409" i="2"/>
  <c r="AH409" i="2"/>
  <c r="F409" i="4" s="1"/>
  <c r="AG409" i="2"/>
  <c r="AF409" i="2"/>
  <c r="AE409" i="2"/>
  <c r="AD409" i="2"/>
  <c r="AC409" i="2"/>
  <c r="AB409" i="2"/>
  <c r="AA409" i="2"/>
  <c r="Z409" i="2"/>
  <c r="Y409" i="2"/>
  <c r="X409" i="2"/>
  <c r="W409" i="2"/>
  <c r="V409" i="2"/>
  <c r="U409" i="2"/>
  <c r="T409" i="2"/>
  <c r="A413" i="3" s="1"/>
  <c r="G409" i="2"/>
  <c r="F409" i="2"/>
  <c r="E409" i="2"/>
  <c r="D409" i="2"/>
  <c r="C409" i="2"/>
  <c r="B409" i="2"/>
  <c r="A409" i="2"/>
  <c r="AM408" i="2"/>
  <c r="AL408" i="2"/>
  <c r="AK408" i="2"/>
  <c r="AJ408" i="2"/>
  <c r="AI408" i="2"/>
  <c r="AH408" i="2"/>
  <c r="F408" i="4" s="1"/>
  <c r="AG408" i="2"/>
  <c r="AF408" i="2"/>
  <c r="AE408" i="2"/>
  <c r="AD408" i="2"/>
  <c r="AC408" i="2"/>
  <c r="AB408" i="2"/>
  <c r="AA408" i="2"/>
  <c r="Z408" i="2"/>
  <c r="Y408" i="2"/>
  <c r="X408" i="2"/>
  <c r="W408" i="2"/>
  <c r="V408" i="2"/>
  <c r="U408" i="2"/>
  <c r="T408" i="2"/>
  <c r="A412" i="3" s="1"/>
  <c r="G408" i="2"/>
  <c r="F408" i="2"/>
  <c r="E408" i="2"/>
  <c r="D408" i="2"/>
  <c r="C408" i="2"/>
  <c r="B408" i="2"/>
  <c r="A408" i="2"/>
  <c r="AM407" i="2"/>
  <c r="AL407" i="2"/>
  <c r="AK407" i="2"/>
  <c r="AJ407" i="2"/>
  <c r="AI407" i="2"/>
  <c r="AH407" i="2"/>
  <c r="F407" i="4" s="1"/>
  <c r="AG407" i="2"/>
  <c r="AF407" i="2"/>
  <c r="AE407" i="2"/>
  <c r="AD407" i="2"/>
  <c r="AC407" i="2"/>
  <c r="AB407" i="2"/>
  <c r="AA407" i="2"/>
  <c r="Z407" i="2"/>
  <c r="Y407" i="2"/>
  <c r="X407" i="2"/>
  <c r="W407" i="2"/>
  <c r="V407" i="2"/>
  <c r="U407" i="2"/>
  <c r="T407" i="2"/>
  <c r="A411" i="3" s="1"/>
  <c r="G407" i="2"/>
  <c r="F407" i="2"/>
  <c r="E407" i="2"/>
  <c r="D407" i="2"/>
  <c r="C407" i="2"/>
  <c r="B407" i="2"/>
  <c r="A407" i="2"/>
  <c r="AM406" i="2"/>
  <c r="AL406" i="2"/>
  <c r="AK406" i="2"/>
  <c r="AJ406" i="2"/>
  <c r="AI406" i="2"/>
  <c r="AH406" i="2"/>
  <c r="F406" i="4" s="1"/>
  <c r="AG406" i="2"/>
  <c r="AF406" i="2"/>
  <c r="AE406" i="2"/>
  <c r="AD406" i="2"/>
  <c r="AC406" i="2"/>
  <c r="AB406" i="2"/>
  <c r="AA406" i="2"/>
  <c r="Z406" i="2"/>
  <c r="Y406" i="2"/>
  <c r="X406" i="2"/>
  <c r="W406" i="2"/>
  <c r="V406" i="2"/>
  <c r="U406" i="2"/>
  <c r="T406" i="2"/>
  <c r="A410" i="3" s="1"/>
  <c r="G406" i="2"/>
  <c r="F406" i="2"/>
  <c r="E406" i="2"/>
  <c r="D406" i="2"/>
  <c r="C406" i="2"/>
  <c r="B406" i="2"/>
  <c r="A406" i="2"/>
  <c r="AM405" i="2"/>
  <c r="AL405" i="2"/>
  <c r="AK405" i="2"/>
  <c r="AJ405" i="2"/>
  <c r="AI405" i="2"/>
  <c r="AH405" i="2"/>
  <c r="F405" i="4" s="1"/>
  <c r="AG405" i="2"/>
  <c r="AF405" i="2"/>
  <c r="AE405" i="2"/>
  <c r="AD405" i="2"/>
  <c r="AC405" i="2"/>
  <c r="AB405" i="2"/>
  <c r="AA405" i="2"/>
  <c r="Z405" i="2"/>
  <c r="Y405" i="2"/>
  <c r="X405" i="2"/>
  <c r="W405" i="2"/>
  <c r="V405" i="2"/>
  <c r="U405" i="2"/>
  <c r="T405" i="2"/>
  <c r="A409" i="3" s="1"/>
  <c r="G405" i="2"/>
  <c r="F405" i="2"/>
  <c r="E405" i="2"/>
  <c r="D405" i="2"/>
  <c r="C405" i="2"/>
  <c r="B405" i="2"/>
  <c r="A405" i="2"/>
  <c r="AM404" i="2"/>
  <c r="AL404" i="2"/>
  <c r="AK404" i="2"/>
  <c r="AJ404" i="2"/>
  <c r="AI404" i="2"/>
  <c r="AH404" i="2"/>
  <c r="F404" i="4" s="1"/>
  <c r="AG404" i="2"/>
  <c r="AF404" i="2"/>
  <c r="AE404" i="2"/>
  <c r="AD404" i="2"/>
  <c r="AC404" i="2"/>
  <c r="AB404" i="2"/>
  <c r="AA404" i="2"/>
  <c r="Z404" i="2"/>
  <c r="Y404" i="2"/>
  <c r="X404" i="2"/>
  <c r="W404" i="2"/>
  <c r="V404" i="2"/>
  <c r="U404" i="2"/>
  <c r="T404" i="2"/>
  <c r="A408" i="3" s="1"/>
  <c r="G404" i="2"/>
  <c r="F404" i="2"/>
  <c r="E404" i="2"/>
  <c r="D404" i="2"/>
  <c r="C404" i="2"/>
  <c r="B404" i="2"/>
  <c r="A404" i="2"/>
  <c r="AM403" i="2"/>
  <c r="AL403" i="2"/>
  <c r="AK403" i="2"/>
  <c r="AJ403" i="2"/>
  <c r="AI403" i="2"/>
  <c r="AH403" i="2"/>
  <c r="F403" i="4" s="1"/>
  <c r="AG403" i="2"/>
  <c r="AF403" i="2"/>
  <c r="AE403" i="2"/>
  <c r="AD403" i="2"/>
  <c r="AC403" i="2"/>
  <c r="AB403" i="2"/>
  <c r="AA403" i="2"/>
  <c r="Z403" i="2"/>
  <c r="Y403" i="2"/>
  <c r="X403" i="2"/>
  <c r="W403" i="2"/>
  <c r="V403" i="2"/>
  <c r="U403" i="2"/>
  <c r="T403" i="2"/>
  <c r="A407" i="3" s="1"/>
  <c r="G403" i="2"/>
  <c r="F403" i="2"/>
  <c r="E403" i="2"/>
  <c r="D403" i="2"/>
  <c r="C403" i="2"/>
  <c r="B403" i="2"/>
  <c r="A403" i="2"/>
  <c r="AM402" i="2"/>
  <c r="AL402" i="2"/>
  <c r="AK402" i="2"/>
  <c r="AJ402" i="2"/>
  <c r="AI402" i="2"/>
  <c r="AH402" i="2"/>
  <c r="F402" i="4" s="1"/>
  <c r="AG402" i="2"/>
  <c r="AF402" i="2"/>
  <c r="AE402" i="2"/>
  <c r="AD402" i="2"/>
  <c r="AC402" i="2"/>
  <c r="AB402" i="2"/>
  <c r="AA402" i="2"/>
  <c r="Z402" i="2"/>
  <c r="Y402" i="2"/>
  <c r="X402" i="2"/>
  <c r="W402" i="2"/>
  <c r="V402" i="2"/>
  <c r="U402" i="2"/>
  <c r="T402" i="2"/>
  <c r="A406" i="3" s="1"/>
  <c r="G402" i="2"/>
  <c r="F402" i="2"/>
  <c r="E402" i="2"/>
  <c r="D402" i="2"/>
  <c r="C402" i="2"/>
  <c r="B402" i="2"/>
  <c r="A402" i="2"/>
  <c r="AM401" i="2"/>
  <c r="AL401" i="2"/>
  <c r="AK401" i="2"/>
  <c r="AJ401" i="2"/>
  <c r="AI401" i="2"/>
  <c r="AH401" i="2"/>
  <c r="F401" i="4" s="1"/>
  <c r="AG401" i="2"/>
  <c r="AF401" i="2"/>
  <c r="AE401" i="2"/>
  <c r="AD401" i="2"/>
  <c r="AC401" i="2"/>
  <c r="AB401" i="2"/>
  <c r="AA401" i="2"/>
  <c r="Z401" i="2"/>
  <c r="Y401" i="2"/>
  <c r="X401" i="2"/>
  <c r="W401" i="2"/>
  <c r="V401" i="2"/>
  <c r="U401" i="2"/>
  <c r="T401" i="2"/>
  <c r="A405" i="3" s="1"/>
  <c r="G401" i="2"/>
  <c r="F401" i="2"/>
  <c r="E401" i="2"/>
  <c r="D401" i="2"/>
  <c r="C401" i="2"/>
  <c r="B401" i="2"/>
  <c r="A401" i="2"/>
  <c r="AM400" i="2"/>
  <c r="AL400" i="2"/>
  <c r="AK400" i="2"/>
  <c r="AJ400" i="2"/>
  <c r="AI400" i="2"/>
  <c r="AH400" i="2"/>
  <c r="F400" i="4" s="1"/>
  <c r="AG400" i="2"/>
  <c r="AF400" i="2"/>
  <c r="AE400" i="2"/>
  <c r="AD400" i="2"/>
  <c r="AC400" i="2"/>
  <c r="AB400" i="2"/>
  <c r="AA400" i="2"/>
  <c r="Z400" i="2"/>
  <c r="Y400" i="2"/>
  <c r="X400" i="2"/>
  <c r="W400" i="2"/>
  <c r="V400" i="2"/>
  <c r="U400" i="2"/>
  <c r="T400" i="2"/>
  <c r="A404" i="3" s="1"/>
  <c r="G400" i="2"/>
  <c r="F400" i="2"/>
  <c r="E400" i="2"/>
  <c r="D400" i="2"/>
  <c r="C400" i="2"/>
  <c r="B400" i="2"/>
  <c r="A400" i="2"/>
  <c r="AM399" i="2"/>
  <c r="AL399" i="2"/>
  <c r="AK399" i="2"/>
  <c r="AJ399" i="2"/>
  <c r="AI399" i="2"/>
  <c r="AH399" i="2"/>
  <c r="F399" i="4" s="1"/>
  <c r="AG399" i="2"/>
  <c r="AF399" i="2"/>
  <c r="AE399" i="2"/>
  <c r="AD399" i="2"/>
  <c r="AC399" i="2"/>
  <c r="AB399" i="2"/>
  <c r="AA399" i="2"/>
  <c r="Z399" i="2"/>
  <c r="Y399" i="2"/>
  <c r="X399" i="2"/>
  <c r="W399" i="2"/>
  <c r="V399" i="2"/>
  <c r="U399" i="2"/>
  <c r="T399" i="2"/>
  <c r="A403" i="3" s="1"/>
  <c r="G399" i="2"/>
  <c r="F399" i="2"/>
  <c r="E399" i="2"/>
  <c r="D399" i="2"/>
  <c r="C399" i="2"/>
  <c r="B399" i="2"/>
  <c r="A399" i="2"/>
  <c r="AM398" i="2"/>
  <c r="AL398" i="2"/>
  <c r="AK398" i="2"/>
  <c r="AJ398" i="2"/>
  <c r="AI398" i="2"/>
  <c r="AH398" i="2"/>
  <c r="F398" i="4" s="1"/>
  <c r="AG398" i="2"/>
  <c r="AF398" i="2"/>
  <c r="AE398" i="2"/>
  <c r="AD398" i="2"/>
  <c r="AC398" i="2"/>
  <c r="AB398" i="2"/>
  <c r="AA398" i="2"/>
  <c r="Z398" i="2"/>
  <c r="Y398" i="2"/>
  <c r="X398" i="2"/>
  <c r="W398" i="2"/>
  <c r="V398" i="2"/>
  <c r="U398" i="2"/>
  <c r="T398" i="2"/>
  <c r="A402" i="3" s="1"/>
  <c r="G398" i="2"/>
  <c r="F398" i="2"/>
  <c r="E398" i="2"/>
  <c r="D398" i="2"/>
  <c r="C398" i="2"/>
  <c r="B398" i="2"/>
  <c r="A398" i="2"/>
  <c r="AM397" i="2"/>
  <c r="AL397" i="2"/>
  <c r="AK397" i="2"/>
  <c r="AJ397" i="2"/>
  <c r="AI397" i="2"/>
  <c r="AH397" i="2"/>
  <c r="F397" i="4" s="1"/>
  <c r="AG397" i="2"/>
  <c r="AF397" i="2"/>
  <c r="AE397" i="2"/>
  <c r="AD397" i="2"/>
  <c r="AC397" i="2"/>
  <c r="AB397" i="2"/>
  <c r="AA397" i="2"/>
  <c r="Z397" i="2"/>
  <c r="Y397" i="2"/>
  <c r="X397" i="2"/>
  <c r="W397" i="2"/>
  <c r="V397" i="2"/>
  <c r="U397" i="2"/>
  <c r="T397" i="2"/>
  <c r="A401" i="3" s="1"/>
  <c r="G397" i="2"/>
  <c r="F397" i="2"/>
  <c r="E397" i="2"/>
  <c r="D397" i="2"/>
  <c r="C397" i="2"/>
  <c r="B397" i="2"/>
  <c r="A397" i="2"/>
  <c r="AM396" i="2"/>
  <c r="AL396" i="2"/>
  <c r="AK396" i="2"/>
  <c r="AJ396" i="2"/>
  <c r="AI396" i="2"/>
  <c r="AH396" i="2"/>
  <c r="F396" i="4" s="1"/>
  <c r="AG396" i="2"/>
  <c r="AF396" i="2"/>
  <c r="AE396" i="2"/>
  <c r="AD396" i="2"/>
  <c r="AC396" i="2"/>
  <c r="AB396" i="2"/>
  <c r="AA396" i="2"/>
  <c r="Z396" i="2"/>
  <c r="Y396" i="2"/>
  <c r="X396" i="2"/>
  <c r="W396" i="2"/>
  <c r="V396" i="2"/>
  <c r="U396" i="2"/>
  <c r="T396" i="2"/>
  <c r="A400" i="3" s="1"/>
  <c r="G396" i="2"/>
  <c r="F396" i="2"/>
  <c r="E396" i="2"/>
  <c r="D396" i="2"/>
  <c r="C396" i="2"/>
  <c r="B396" i="2"/>
  <c r="A396" i="2"/>
  <c r="AM395" i="2"/>
  <c r="AL395" i="2"/>
  <c r="AK395" i="2"/>
  <c r="AJ395" i="2"/>
  <c r="AI395" i="2"/>
  <c r="AH395" i="2"/>
  <c r="F395" i="4" s="1"/>
  <c r="AG395" i="2"/>
  <c r="AF395" i="2"/>
  <c r="AE395" i="2"/>
  <c r="AD395" i="2"/>
  <c r="AC395" i="2"/>
  <c r="AB395" i="2"/>
  <c r="AA395" i="2"/>
  <c r="Z395" i="2"/>
  <c r="Y395" i="2"/>
  <c r="X395" i="2"/>
  <c r="W395" i="2"/>
  <c r="V395" i="2"/>
  <c r="U395" i="2"/>
  <c r="T395" i="2"/>
  <c r="A399" i="3" s="1"/>
  <c r="G395" i="2"/>
  <c r="F395" i="2"/>
  <c r="E395" i="2"/>
  <c r="D395" i="2"/>
  <c r="C395" i="2"/>
  <c r="B395" i="2"/>
  <c r="A395" i="2"/>
  <c r="AM394" i="2"/>
  <c r="AL394" i="2"/>
  <c r="AK394" i="2"/>
  <c r="AJ394" i="2"/>
  <c r="AI394" i="2"/>
  <c r="AH394" i="2"/>
  <c r="F394" i="4" s="1"/>
  <c r="AG394" i="2"/>
  <c r="AF394" i="2"/>
  <c r="AE394" i="2"/>
  <c r="AD394" i="2"/>
  <c r="AC394" i="2"/>
  <c r="AB394" i="2"/>
  <c r="AA394" i="2"/>
  <c r="Z394" i="2"/>
  <c r="Y394" i="2"/>
  <c r="X394" i="2"/>
  <c r="W394" i="2"/>
  <c r="V394" i="2"/>
  <c r="U394" i="2"/>
  <c r="T394" i="2"/>
  <c r="A398" i="3" s="1"/>
  <c r="G394" i="2"/>
  <c r="F394" i="2"/>
  <c r="E394" i="2"/>
  <c r="D394" i="2"/>
  <c r="C394" i="2"/>
  <c r="B394" i="2"/>
  <c r="A394" i="2"/>
  <c r="AM393" i="2"/>
  <c r="AL393" i="2"/>
  <c r="AK393" i="2"/>
  <c r="AJ393" i="2"/>
  <c r="AI393" i="2"/>
  <c r="AH393" i="2"/>
  <c r="F393" i="4" s="1"/>
  <c r="AG393" i="2"/>
  <c r="AF393" i="2"/>
  <c r="AE393" i="2"/>
  <c r="AD393" i="2"/>
  <c r="AC393" i="2"/>
  <c r="AB393" i="2"/>
  <c r="AA393" i="2"/>
  <c r="Z393" i="2"/>
  <c r="Y393" i="2"/>
  <c r="X393" i="2"/>
  <c r="W393" i="2"/>
  <c r="V393" i="2"/>
  <c r="U393" i="2"/>
  <c r="T393" i="2"/>
  <c r="A397" i="3" s="1"/>
  <c r="G393" i="2"/>
  <c r="F393" i="2"/>
  <c r="E393" i="2"/>
  <c r="D393" i="2"/>
  <c r="C393" i="2"/>
  <c r="B393" i="2"/>
  <c r="A393" i="2"/>
  <c r="AM392" i="2"/>
  <c r="AL392" i="2"/>
  <c r="AK392" i="2"/>
  <c r="AJ392" i="2"/>
  <c r="AI392" i="2"/>
  <c r="AH392" i="2"/>
  <c r="F392" i="4" s="1"/>
  <c r="AG392" i="2"/>
  <c r="AF392" i="2"/>
  <c r="AE392" i="2"/>
  <c r="AD392" i="2"/>
  <c r="AC392" i="2"/>
  <c r="AB392" i="2"/>
  <c r="AA392" i="2"/>
  <c r="Z392" i="2"/>
  <c r="Y392" i="2"/>
  <c r="X392" i="2"/>
  <c r="W392" i="2"/>
  <c r="V392" i="2"/>
  <c r="U392" i="2"/>
  <c r="T392" i="2"/>
  <c r="A396" i="3" s="1"/>
  <c r="G392" i="2"/>
  <c r="F392" i="2"/>
  <c r="E392" i="2"/>
  <c r="D392" i="2"/>
  <c r="C392" i="2"/>
  <c r="B392" i="2"/>
  <c r="A392" i="2"/>
  <c r="AM391" i="2"/>
  <c r="AL391" i="2"/>
  <c r="AK391" i="2"/>
  <c r="AJ391" i="2"/>
  <c r="AI391" i="2"/>
  <c r="AH391" i="2"/>
  <c r="F391" i="4" s="1"/>
  <c r="AG391" i="2"/>
  <c r="AF391" i="2"/>
  <c r="AE391" i="2"/>
  <c r="AD391" i="2"/>
  <c r="AC391" i="2"/>
  <c r="AB391" i="2"/>
  <c r="AA391" i="2"/>
  <c r="Z391" i="2"/>
  <c r="Y391" i="2"/>
  <c r="X391" i="2"/>
  <c r="W391" i="2"/>
  <c r="V391" i="2"/>
  <c r="U391" i="2"/>
  <c r="T391" i="2"/>
  <c r="A395" i="3" s="1"/>
  <c r="G391" i="2"/>
  <c r="F391" i="2"/>
  <c r="E391" i="2"/>
  <c r="D391" i="2"/>
  <c r="C391" i="2"/>
  <c r="B391" i="2"/>
  <c r="A391" i="2"/>
  <c r="AM390" i="2"/>
  <c r="AL390" i="2"/>
  <c r="AK390" i="2"/>
  <c r="AJ390" i="2"/>
  <c r="AI390" i="2"/>
  <c r="AH390" i="2"/>
  <c r="F390" i="4" s="1"/>
  <c r="AG390" i="2"/>
  <c r="AF390" i="2"/>
  <c r="AE390" i="2"/>
  <c r="AD390" i="2"/>
  <c r="AC390" i="2"/>
  <c r="AB390" i="2"/>
  <c r="AA390" i="2"/>
  <c r="Z390" i="2"/>
  <c r="Y390" i="2"/>
  <c r="X390" i="2"/>
  <c r="W390" i="2"/>
  <c r="V390" i="2"/>
  <c r="U390" i="2"/>
  <c r="T390" i="2"/>
  <c r="A394" i="3" s="1"/>
  <c r="G390" i="2"/>
  <c r="F390" i="2"/>
  <c r="E390" i="2"/>
  <c r="D390" i="2"/>
  <c r="C390" i="2"/>
  <c r="B390" i="2"/>
  <c r="A390" i="2"/>
  <c r="AM389" i="2"/>
  <c r="AL389" i="2"/>
  <c r="AK389" i="2"/>
  <c r="AJ389" i="2"/>
  <c r="AI389" i="2"/>
  <c r="AH389" i="2"/>
  <c r="F389" i="4" s="1"/>
  <c r="AG389" i="2"/>
  <c r="AF389" i="2"/>
  <c r="AE389" i="2"/>
  <c r="AD389" i="2"/>
  <c r="AC389" i="2"/>
  <c r="AB389" i="2"/>
  <c r="AA389" i="2"/>
  <c r="Z389" i="2"/>
  <c r="Y389" i="2"/>
  <c r="X389" i="2"/>
  <c r="W389" i="2"/>
  <c r="V389" i="2"/>
  <c r="U389" i="2"/>
  <c r="T389" i="2"/>
  <c r="A393" i="3" s="1"/>
  <c r="G389" i="2"/>
  <c r="F389" i="2"/>
  <c r="E389" i="2"/>
  <c r="D389" i="2"/>
  <c r="C389" i="2"/>
  <c r="B389" i="2"/>
  <c r="A389" i="2"/>
  <c r="AM388" i="2"/>
  <c r="AL388" i="2"/>
  <c r="AK388" i="2"/>
  <c r="AJ388" i="2"/>
  <c r="AI388" i="2"/>
  <c r="AH388" i="2"/>
  <c r="F388" i="4" s="1"/>
  <c r="AG388" i="2"/>
  <c r="AF388" i="2"/>
  <c r="AE388" i="2"/>
  <c r="AD388" i="2"/>
  <c r="AC388" i="2"/>
  <c r="AB388" i="2"/>
  <c r="AA388" i="2"/>
  <c r="Z388" i="2"/>
  <c r="Y388" i="2"/>
  <c r="X388" i="2"/>
  <c r="W388" i="2"/>
  <c r="V388" i="2"/>
  <c r="U388" i="2"/>
  <c r="T388" i="2"/>
  <c r="A392" i="3" s="1"/>
  <c r="G388" i="2"/>
  <c r="F388" i="2"/>
  <c r="E388" i="2"/>
  <c r="D388" i="2"/>
  <c r="C388" i="2"/>
  <c r="B388" i="2"/>
  <c r="A388" i="2"/>
  <c r="AM387" i="2"/>
  <c r="AL387" i="2"/>
  <c r="AK387" i="2"/>
  <c r="AJ387" i="2"/>
  <c r="AI387" i="2"/>
  <c r="AH387" i="2"/>
  <c r="F387" i="4" s="1"/>
  <c r="AG387" i="2"/>
  <c r="AF387" i="2"/>
  <c r="AE387" i="2"/>
  <c r="AD387" i="2"/>
  <c r="AC387" i="2"/>
  <c r="AB387" i="2"/>
  <c r="AA387" i="2"/>
  <c r="Z387" i="2"/>
  <c r="Y387" i="2"/>
  <c r="X387" i="2"/>
  <c r="W387" i="2"/>
  <c r="V387" i="2"/>
  <c r="U387" i="2"/>
  <c r="T387" i="2"/>
  <c r="A391" i="3" s="1"/>
  <c r="G387" i="2"/>
  <c r="F387" i="2"/>
  <c r="E387" i="2"/>
  <c r="D387" i="2"/>
  <c r="C387" i="2"/>
  <c r="B387" i="2"/>
  <c r="A387" i="2"/>
  <c r="AM386" i="2"/>
  <c r="AL386" i="2"/>
  <c r="AK386" i="2"/>
  <c r="AJ386" i="2"/>
  <c r="AI386" i="2"/>
  <c r="AH386" i="2"/>
  <c r="F386" i="4" s="1"/>
  <c r="AG386" i="2"/>
  <c r="AF386" i="2"/>
  <c r="AE386" i="2"/>
  <c r="AD386" i="2"/>
  <c r="AC386" i="2"/>
  <c r="AB386" i="2"/>
  <c r="AA386" i="2"/>
  <c r="Z386" i="2"/>
  <c r="Y386" i="2"/>
  <c r="X386" i="2"/>
  <c r="W386" i="2"/>
  <c r="V386" i="2"/>
  <c r="U386" i="2"/>
  <c r="T386" i="2"/>
  <c r="A390" i="3" s="1"/>
  <c r="G386" i="2"/>
  <c r="F386" i="2"/>
  <c r="E386" i="2"/>
  <c r="D386" i="2"/>
  <c r="C386" i="2"/>
  <c r="B386" i="2"/>
  <c r="A386" i="2"/>
  <c r="AM385" i="2"/>
  <c r="AL385" i="2"/>
  <c r="AK385" i="2"/>
  <c r="AJ385" i="2"/>
  <c r="AI385" i="2"/>
  <c r="AH385" i="2"/>
  <c r="F385" i="4" s="1"/>
  <c r="AG385" i="2"/>
  <c r="AF385" i="2"/>
  <c r="AE385" i="2"/>
  <c r="AD385" i="2"/>
  <c r="AC385" i="2"/>
  <c r="AB385" i="2"/>
  <c r="AA385" i="2"/>
  <c r="Z385" i="2"/>
  <c r="Y385" i="2"/>
  <c r="X385" i="2"/>
  <c r="W385" i="2"/>
  <c r="V385" i="2"/>
  <c r="U385" i="2"/>
  <c r="T385" i="2"/>
  <c r="A389" i="3" s="1"/>
  <c r="G385" i="2"/>
  <c r="F385" i="2"/>
  <c r="E385" i="2"/>
  <c r="D385" i="2"/>
  <c r="C385" i="2"/>
  <c r="B385" i="2"/>
  <c r="A385" i="2"/>
  <c r="AM384" i="2"/>
  <c r="AL384" i="2"/>
  <c r="AK384" i="2"/>
  <c r="AJ384" i="2"/>
  <c r="AI384" i="2"/>
  <c r="AH384" i="2"/>
  <c r="F384" i="4" s="1"/>
  <c r="AG384" i="2"/>
  <c r="AF384" i="2"/>
  <c r="AE384" i="2"/>
  <c r="AD384" i="2"/>
  <c r="AC384" i="2"/>
  <c r="AB384" i="2"/>
  <c r="AA384" i="2"/>
  <c r="Z384" i="2"/>
  <c r="Y384" i="2"/>
  <c r="X384" i="2"/>
  <c r="W384" i="2"/>
  <c r="V384" i="2"/>
  <c r="U384" i="2"/>
  <c r="T384" i="2"/>
  <c r="A388" i="3" s="1"/>
  <c r="G384" i="2"/>
  <c r="F384" i="2"/>
  <c r="E384" i="2"/>
  <c r="D384" i="2"/>
  <c r="C384" i="2"/>
  <c r="B384" i="2"/>
  <c r="A384" i="2"/>
  <c r="AM383" i="2"/>
  <c r="AL383" i="2"/>
  <c r="AK383" i="2"/>
  <c r="AJ383" i="2"/>
  <c r="AI383" i="2"/>
  <c r="AH383" i="2"/>
  <c r="F383" i="4" s="1"/>
  <c r="AG383" i="2"/>
  <c r="AF383" i="2"/>
  <c r="AE383" i="2"/>
  <c r="AD383" i="2"/>
  <c r="AC383" i="2"/>
  <c r="AB383" i="2"/>
  <c r="AA383" i="2"/>
  <c r="Z383" i="2"/>
  <c r="Y383" i="2"/>
  <c r="X383" i="2"/>
  <c r="W383" i="2"/>
  <c r="V383" i="2"/>
  <c r="U383" i="2"/>
  <c r="T383" i="2"/>
  <c r="A387" i="3" s="1"/>
  <c r="G383" i="2"/>
  <c r="F383" i="2"/>
  <c r="E383" i="2"/>
  <c r="D383" i="2"/>
  <c r="C383" i="2"/>
  <c r="B383" i="2"/>
  <c r="A383" i="2"/>
  <c r="AM382" i="2"/>
  <c r="AL382" i="2"/>
  <c r="AK382" i="2"/>
  <c r="AJ382" i="2"/>
  <c r="AI382" i="2"/>
  <c r="AH382" i="2"/>
  <c r="F382" i="4" s="1"/>
  <c r="AG382" i="2"/>
  <c r="AF382" i="2"/>
  <c r="AE382" i="2"/>
  <c r="AD382" i="2"/>
  <c r="AC382" i="2"/>
  <c r="AB382" i="2"/>
  <c r="AA382" i="2"/>
  <c r="Z382" i="2"/>
  <c r="Y382" i="2"/>
  <c r="X382" i="2"/>
  <c r="W382" i="2"/>
  <c r="V382" i="2"/>
  <c r="U382" i="2"/>
  <c r="T382" i="2"/>
  <c r="A386" i="3" s="1"/>
  <c r="G382" i="2"/>
  <c r="F382" i="2"/>
  <c r="E382" i="2"/>
  <c r="D382" i="2"/>
  <c r="C382" i="2"/>
  <c r="B382" i="2"/>
  <c r="A382" i="2"/>
  <c r="AM381" i="2"/>
  <c r="AL381" i="2"/>
  <c r="AK381" i="2"/>
  <c r="AJ381" i="2"/>
  <c r="AI381" i="2"/>
  <c r="AH381" i="2"/>
  <c r="F381" i="4" s="1"/>
  <c r="AG381" i="2"/>
  <c r="AF381" i="2"/>
  <c r="AE381" i="2"/>
  <c r="AD381" i="2"/>
  <c r="AC381" i="2"/>
  <c r="AB381" i="2"/>
  <c r="AA381" i="2"/>
  <c r="Z381" i="2"/>
  <c r="Y381" i="2"/>
  <c r="X381" i="2"/>
  <c r="W381" i="2"/>
  <c r="V381" i="2"/>
  <c r="U381" i="2"/>
  <c r="T381" i="2"/>
  <c r="A385" i="3" s="1"/>
  <c r="G381" i="2"/>
  <c r="F381" i="2"/>
  <c r="E381" i="2"/>
  <c r="D381" i="2"/>
  <c r="C381" i="2"/>
  <c r="B381" i="2"/>
  <c r="A381" i="2"/>
  <c r="AM380" i="2"/>
  <c r="AL380" i="2"/>
  <c r="AK380" i="2"/>
  <c r="AJ380" i="2"/>
  <c r="AI380" i="2"/>
  <c r="AH380" i="2"/>
  <c r="F380" i="4" s="1"/>
  <c r="AG380" i="2"/>
  <c r="AF380" i="2"/>
  <c r="AE380" i="2"/>
  <c r="AD380" i="2"/>
  <c r="AC380" i="2"/>
  <c r="AB380" i="2"/>
  <c r="AA380" i="2"/>
  <c r="Z380" i="2"/>
  <c r="Y380" i="2"/>
  <c r="X380" i="2"/>
  <c r="W380" i="2"/>
  <c r="V380" i="2"/>
  <c r="U380" i="2"/>
  <c r="T380" i="2"/>
  <c r="A384" i="3" s="1"/>
  <c r="G380" i="2"/>
  <c r="F380" i="2"/>
  <c r="E380" i="2"/>
  <c r="D380" i="2"/>
  <c r="C380" i="2"/>
  <c r="B380" i="2"/>
  <c r="A380" i="2"/>
  <c r="AM379" i="2"/>
  <c r="AL379" i="2"/>
  <c r="AK379" i="2"/>
  <c r="AJ379" i="2"/>
  <c r="AI379" i="2"/>
  <c r="AH379" i="2"/>
  <c r="F379" i="4" s="1"/>
  <c r="AG379" i="2"/>
  <c r="AF379" i="2"/>
  <c r="AE379" i="2"/>
  <c r="AD379" i="2"/>
  <c r="AC379" i="2"/>
  <c r="AB379" i="2"/>
  <c r="AA379" i="2"/>
  <c r="Z379" i="2"/>
  <c r="Y379" i="2"/>
  <c r="X379" i="2"/>
  <c r="W379" i="2"/>
  <c r="V379" i="2"/>
  <c r="U379" i="2"/>
  <c r="T379" i="2"/>
  <c r="A383" i="3" s="1"/>
  <c r="G379" i="2"/>
  <c r="F379" i="2"/>
  <c r="E379" i="2"/>
  <c r="D379" i="2"/>
  <c r="C379" i="2"/>
  <c r="B379" i="2"/>
  <c r="A379" i="2"/>
  <c r="AM378" i="2"/>
  <c r="AL378" i="2"/>
  <c r="AK378" i="2"/>
  <c r="AJ378" i="2"/>
  <c r="AI378" i="2"/>
  <c r="AH378" i="2"/>
  <c r="F378" i="4" s="1"/>
  <c r="AG378" i="2"/>
  <c r="AF378" i="2"/>
  <c r="AE378" i="2"/>
  <c r="AD378" i="2"/>
  <c r="AC378" i="2"/>
  <c r="AB378" i="2"/>
  <c r="AA378" i="2"/>
  <c r="Z378" i="2"/>
  <c r="Y378" i="2"/>
  <c r="X378" i="2"/>
  <c r="W378" i="2"/>
  <c r="V378" i="2"/>
  <c r="U378" i="2"/>
  <c r="T378" i="2"/>
  <c r="A382" i="3" s="1"/>
  <c r="G378" i="2"/>
  <c r="F378" i="2"/>
  <c r="E378" i="2"/>
  <c r="D378" i="2"/>
  <c r="C378" i="2"/>
  <c r="B378" i="2"/>
  <c r="A378" i="2"/>
  <c r="AM377" i="2"/>
  <c r="AL377" i="2"/>
  <c r="AK377" i="2"/>
  <c r="AJ377" i="2"/>
  <c r="AI377" i="2"/>
  <c r="AH377" i="2"/>
  <c r="F377" i="4" s="1"/>
  <c r="AG377" i="2"/>
  <c r="AF377" i="2"/>
  <c r="AE377" i="2"/>
  <c r="AD377" i="2"/>
  <c r="AC377" i="2"/>
  <c r="AB377" i="2"/>
  <c r="AA377" i="2"/>
  <c r="Z377" i="2"/>
  <c r="Y377" i="2"/>
  <c r="X377" i="2"/>
  <c r="W377" i="2"/>
  <c r="V377" i="2"/>
  <c r="U377" i="2"/>
  <c r="T377" i="2"/>
  <c r="A381" i="3" s="1"/>
  <c r="G377" i="2"/>
  <c r="F377" i="2"/>
  <c r="E377" i="2"/>
  <c r="D377" i="2"/>
  <c r="C377" i="2"/>
  <c r="B377" i="2"/>
  <c r="A377" i="2"/>
  <c r="AM376" i="2"/>
  <c r="AL376" i="2"/>
  <c r="AK376" i="2"/>
  <c r="AJ376" i="2"/>
  <c r="AI376" i="2"/>
  <c r="AH376" i="2"/>
  <c r="F376" i="4" s="1"/>
  <c r="AG376" i="2"/>
  <c r="AF376" i="2"/>
  <c r="AE376" i="2"/>
  <c r="AD376" i="2"/>
  <c r="AC376" i="2"/>
  <c r="AB376" i="2"/>
  <c r="AA376" i="2"/>
  <c r="Z376" i="2"/>
  <c r="Y376" i="2"/>
  <c r="X376" i="2"/>
  <c r="W376" i="2"/>
  <c r="V376" i="2"/>
  <c r="U376" i="2"/>
  <c r="T376" i="2"/>
  <c r="A380" i="3" s="1"/>
  <c r="G376" i="2"/>
  <c r="F376" i="2"/>
  <c r="E376" i="2"/>
  <c r="D376" i="2"/>
  <c r="C376" i="2"/>
  <c r="B376" i="2"/>
  <c r="A376" i="2"/>
  <c r="AM375" i="2"/>
  <c r="AL375" i="2"/>
  <c r="AK375" i="2"/>
  <c r="AJ375" i="2"/>
  <c r="AI375" i="2"/>
  <c r="AH375" i="2"/>
  <c r="F375" i="4" s="1"/>
  <c r="AG375" i="2"/>
  <c r="AF375" i="2"/>
  <c r="AE375" i="2"/>
  <c r="AD375" i="2"/>
  <c r="AC375" i="2"/>
  <c r="AB375" i="2"/>
  <c r="AA375" i="2"/>
  <c r="Z375" i="2"/>
  <c r="Y375" i="2"/>
  <c r="X375" i="2"/>
  <c r="W375" i="2"/>
  <c r="V375" i="2"/>
  <c r="U375" i="2"/>
  <c r="T375" i="2"/>
  <c r="A379" i="3" s="1"/>
  <c r="G375" i="2"/>
  <c r="F375" i="2"/>
  <c r="E375" i="2"/>
  <c r="D375" i="2"/>
  <c r="C375" i="2"/>
  <c r="B375" i="2"/>
  <c r="A375" i="2"/>
  <c r="AM374" i="2"/>
  <c r="AL374" i="2"/>
  <c r="AK374" i="2"/>
  <c r="AJ374" i="2"/>
  <c r="AI374" i="2"/>
  <c r="AH374" i="2"/>
  <c r="F374" i="4" s="1"/>
  <c r="AG374" i="2"/>
  <c r="AF374" i="2"/>
  <c r="AE374" i="2"/>
  <c r="AD374" i="2"/>
  <c r="AC374" i="2"/>
  <c r="AB374" i="2"/>
  <c r="AA374" i="2"/>
  <c r="Z374" i="2"/>
  <c r="Y374" i="2"/>
  <c r="X374" i="2"/>
  <c r="W374" i="2"/>
  <c r="V374" i="2"/>
  <c r="U374" i="2"/>
  <c r="T374" i="2"/>
  <c r="A378" i="3" s="1"/>
  <c r="G374" i="2"/>
  <c r="F374" i="2"/>
  <c r="E374" i="2"/>
  <c r="D374" i="2"/>
  <c r="C374" i="2"/>
  <c r="B374" i="2"/>
  <c r="A374" i="2"/>
  <c r="AM373" i="2"/>
  <c r="AL373" i="2"/>
  <c r="AK373" i="2"/>
  <c r="AJ373" i="2"/>
  <c r="AI373" i="2"/>
  <c r="AH373" i="2"/>
  <c r="F373" i="4" s="1"/>
  <c r="AG373" i="2"/>
  <c r="AF373" i="2"/>
  <c r="AE373" i="2"/>
  <c r="AD373" i="2"/>
  <c r="AC373" i="2"/>
  <c r="AB373" i="2"/>
  <c r="AA373" i="2"/>
  <c r="Z373" i="2"/>
  <c r="Y373" i="2"/>
  <c r="X373" i="2"/>
  <c r="W373" i="2"/>
  <c r="V373" i="2"/>
  <c r="U373" i="2"/>
  <c r="T373" i="2"/>
  <c r="A377" i="3" s="1"/>
  <c r="G373" i="2"/>
  <c r="F373" i="2"/>
  <c r="E373" i="2"/>
  <c r="D373" i="2"/>
  <c r="C373" i="2"/>
  <c r="B373" i="2"/>
  <c r="A373" i="2"/>
  <c r="AM372" i="2"/>
  <c r="AL372" i="2"/>
  <c r="AK372" i="2"/>
  <c r="AJ372" i="2"/>
  <c r="AI372" i="2"/>
  <c r="AH372" i="2"/>
  <c r="F372" i="4" s="1"/>
  <c r="AG372" i="2"/>
  <c r="AF372" i="2"/>
  <c r="AE372" i="2"/>
  <c r="AD372" i="2"/>
  <c r="AC372" i="2"/>
  <c r="AB372" i="2"/>
  <c r="AA372" i="2"/>
  <c r="Z372" i="2"/>
  <c r="Y372" i="2"/>
  <c r="X372" i="2"/>
  <c r="W372" i="2"/>
  <c r="V372" i="2"/>
  <c r="U372" i="2"/>
  <c r="T372" i="2"/>
  <c r="A376" i="3" s="1"/>
  <c r="G372" i="2"/>
  <c r="F372" i="2"/>
  <c r="E372" i="2"/>
  <c r="D372" i="2"/>
  <c r="C372" i="2"/>
  <c r="B372" i="2"/>
  <c r="A372" i="2"/>
  <c r="AM371" i="2"/>
  <c r="AL371" i="2"/>
  <c r="AK371" i="2"/>
  <c r="AJ371" i="2"/>
  <c r="AI371" i="2"/>
  <c r="AH371" i="2"/>
  <c r="F371" i="4" s="1"/>
  <c r="AG371" i="2"/>
  <c r="AF371" i="2"/>
  <c r="AE371" i="2"/>
  <c r="AD371" i="2"/>
  <c r="AC371" i="2"/>
  <c r="AB371" i="2"/>
  <c r="AA371" i="2"/>
  <c r="Z371" i="2"/>
  <c r="Y371" i="2"/>
  <c r="X371" i="2"/>
  <c r="W371" i="2"/>
  <c r="V371" i="2"/>
  <c r="U371" i="2"/>
  <c r="T371" i="2"/>
  <c r="A375" i="3" s="1"/>
  <c r="G371" i="2"/>
  <c r="F371" i="2"/>
  <c r="E371" i="2"/>
  <c r="D371" i="2"/>
  <c r="C371" i="2"/>
  <c r="B371" i="2"/>
  <c r="A371" i="2"/>
  <c r="AM370" i="2"/>
  <c r="AL370" i="2"/>
  <c r="AK370" i="2"/>
  <c r="AJ370" i="2"/>
  <c r="AI370" i="2"/>
  <c r="AH370" i="2"/>
  <c r="F370" i="4" s="1"/>
  <c r="AG370" i="2"/>
  <c r="AF370" i="2"/>
  <c r="AE370" i="2"/>
  <c r="AD370" i="2"/>
  <c r="AC370" i="2"/>
  <c r="AB370" i="2"/>
  <c r="AA370" i="2"/>
  <c r="Z370" i="2"/>
  <c r="Y370" i="2"/>
  <c r="X370" i="2"/>
  <c r="W370" i="2"/>
  <c r="V370" i="2"/>
  <c r="U370" i="2"/>
  <c r="T370" i="2"/>
  <c r="A374" i="3" s="1"/>
  <c r="G370" i="2"/>
  <c r="F370" i="2"/>
  <c r="E370" i="2"/>
  <c r="D370" i="2"/>
  <c r="C370" i="2"/>
  <c r="B370" i="2"/>
  <c r="A370" i="2"/>
  <c r="AM369" i="2"/>
  <c r="AL369" i="2"/>
  <c r="AK369" i="2"/>
  <c r="AJ369" i="2"/>
  <c r="AI369" i="2"/>
  <c r="AH369" i="2"/>
  <c r="F369" i="4" s="1"/>
  <c r="AG369" i="2"/>
  <c r="AF369" i="2"/>
  <c r="AE369" i="2"/>
  <c r="AD369" i="2"/>
  <c r="AC369" i="2"/>
  <c r="AB369" i="2"/>
  <c r="AA369" i="2"/>
  <c r="Z369" i="2"/>
  <c r="Y369" i="2"/>
  <c r="X369" i="2"/>
  <c r="W369" i="2"/>
  <c r="V369" i="2"/>
  <c r="U369" i="2"/>
  <c r="T369" i="2"/>
  <c r="A373" i="3" s="1"/>
  <c r="G369" i="2"/>
  <c r="F369" i="2"/>
  <c r="E369" i="2"/>
  <c r="D369" i="2"/>
  <c r="C369" i="2"/>
  <c r="B369" i="2"/>
  <c r="A369" i="2"/>
  <c r="AM368" i="2"/>
  <c r="AL368" i="2"/>
  <c r="AK368" i="2"/>
  <c r="AJ368" i="2"/>
  <c r="AI368" i="2"/>
  <c r="AH368" i="2"/>
  <c r="F368" i="4" s="1"/>
  <c r="AG368" i="2"/>
  <c r="AF368" i="2"/>
  <c r="AE368" i="2"/>
  <c r="AD368" i="2"/>
  <c r="AC368" i="2"/>
  <c r="AB368" i="2"/>
  <c r="AA368" i="2"/>
  <c r="Z368" i="2"/>
  <c r="Y368" i="2"/>
  <c r="X368" i="2"/>
  <c r="W368" i="2"/>
  <c r="V368" i="2"/>
  <c r="U368" i="2"/>
  <c r="T368" i="2"/>
  <c r="A372" i="3" s="1"/>
  <c r="G368" i="2"/>
  <c r="F368" i="2"/>
  <c r="E368" i="2"/>
  <c r="D368" i="2"/>
  <c r="C368" i="2"/>
  <c r="B368" i="2"/>
  <c r="A368" i="2"/>
  <c r="AM367" i="2"/>
  <c r="AL367" i="2"/>
  <c r="AK367" i="2"/>
  <c r="AJ367" i="2"/>
  <c r="AI367" i="2"/>
  <c r="AH367" i="2"/>
  <c r="F367" i="4" s="1"/>
  <c r="AG367" i="2"/>
  <c r="AF367" i="2"/>
  <c r="AE367" i="2"/>
  <c r="AD367" i="2"/>
  <c r="AC367" i="2"/>
  <c r="AB367" i="2"/>
  <c r="AA367" i="2"/>
  <c r="Z367" i="2"/>
  <c r="Y367" i="2"/>
  <c r="X367" i="2"/>
  <c r="W367" i="2"/>
  <c r="V367" i="2"/>
  <c r="U367" i="2"/>
  <c r="T367" i="2"/>
  <c r="A371" i="3" s="1"/>
  <c r="G367" i="2"/>
  <c r="F367" i="2"/>
  <c r="E367" i="2"/>
  <c r="D367" i="2"/>
  <c r="C367" i="2"/>
  <c r="B367" i="2"/>
  <c r="A367" i="2"/>
  <c r="AM366" i="2"/>
  <c r="AL366" i="2"/>
  <c r="AK366" i="2"/>
  <c r="AJ366" i="2"/>
  <c r="AI366" i="2"/>
  <c r="AH366" i="2"/>
  <c r="F366" i="4" s="1"/>
  <c r="AG366" i="2"/>
  <c r="AF366" i="2"/>
  <c r="AE366" i="2"/>
  <c r="AD366" i="2"/>
  <c r="AC366" i="2"/>
  <c r="AB366" i="2"/>
  <c r="AA366" i="2"/>
  <c r="Z366" i="2"/>
  <c r="Y366" i="2"/>
  <c r="X366" i="2"/>
  <c r="W366" i="2"/>
  <c r="V366" i="2"/>
  <c r="U366" i="2"/>
  <c r="T366" i="2"/>
  <c r="A370" i="3" s="1"/>
  <c r="G366" i="2"/>
  <c r="F366" i="2"/>
  <c r="E366" i="2"/>
  <c r="D366" i="2"/>
  <c r="C366" i="2"/>
  <c r="B366" i="2"/>
  <c r="A366" i="2"/>
  <c r="AM365" i="2"/>
  <c r="AL365" i="2"/>
  <c r="AK365" i="2"/>
  <c r="AJ365" i="2"/>
  <c r="AI365" i="2"/>
  <c r="AH365" i="2"/>
  <c r="F365" i="4" s="1"/>
  <c r="AG365" i="2"/>
  <c r="AF365" i="2"/>
  <c r="AE365" i="2"/>
  <c r="AD365" i="2"/>
  <c r="AC365" i="2"/>
  <c r="AB365" i="2"/>
  <c r="AA365" i="2"/>
  <c r="Z365" i="2"/>
  <c r="Y365" i="2"/>
  <c r="X365" i="2"/>
  <c r="W365" i="2"/>
  <c r="V365" i="2"/>
  <c r="U365" i="2"/>
  <c r="T365" i="2"/>
  <c r="A369" i="3" s="1"/>
  <c r="G365" i="2"/>
  <c r="F365" i="2"/>
  <c r="E365" i="2"/>
  <c r="D365" i="2"/>
  <c r="C365" i="2"/>
  <c r="B365" i="2"/>
  <c r="A365" i="2"/>
  <c r="AM364" i="2"/>
  <c r="AL364" i="2"/>
  <c r="AK364" i="2"/>
  <c r="AJ364" i="2"/>
  <c r="AI364" i="2"/>
  <c r="AH364" i="2"/>
  <c r="F364" i="4" s="1"/>
  <c r="AG364" i="2"/>
  <c r="AF364" i="2"/>
  <c r="AE364" i="2"/>
  <c r="AD364" i="2"/>
  <c r="AC364" i="2"/>
  <c r="AB364" i="2"/>
  <c r="AA364" i="2"/>
  <c r="Z364" i="2"/>
  <c r="Y364" i="2"/>
  <c r="X364" i="2"/>
  <c r="W364" i="2"/>
  <c r="V364" i="2"/>
  <c r="U364" i="2"/>
  <c r="T364" i="2"/>
  <c r="A368" i="3" s="1"/>
  <c r="G364" i="2"/>
  <c r="F364" i="2"/>
  <c r="E364" i="2"/>
  <c r="D364" i="2"/>
  <c r="C364" i="2"/>
  <c r="B364" i="2"/>
  <c r="A364" i="2"/>
  <c r="AM363" i="2"/>
  <c r="AL363" i="2"/>
  <c r="AK363" i="2"/>
  <c r="AJ363" i="2"/>
  <c r="AI363" i="2"/>
  <c r="AH363" i="2"/>
  <c r="F363" i="4" s="1"/>
  <c r="AG363" i="2"/>
  <c r="AF363" i="2"/>
  <c r="AE363" i="2"/>
  <c r="AD363" i="2"/>
  <c r="AC363" i="2"/>
  <c r="AB363" i="2"/>
  <c r="AA363" i="2"/>
  <c r="Z363" i="2"/>
  <c r="Y363" i="2"/>
  <c r="X363" i="2"/>
  <c r="W363" i="2"/>
  <c r="V363" i="2"/>
  <c r="U363" i="2"/>
  <c r="T363" i="2"/>
  <c r="A367" i="3" s="1"/>
  <c r="G363" i="2"/>
  <c r="F363" i="2"/>
  <c r="E363" i="2"/>
  <c r="D363" i="2"/>
  <c r="C363" i="2"/>
  <c r="B363" i="2"/>
  <c r="A363" i="2"/>
  <c r="AM362" i="2"/>
  <c r="AL362" i="2"/>
  <c r="AK362" i="2"/>
  <c r="AJ362" i="2"/>
  <c r="AI362" i="2"/>
  <c r="AH362" i="2"/>
  <c r="F362" i="4" s="1"/>
  <c r="AG362" i="2"/>
  <c r="AF362" i="2"/>
  <c r="AE362" i="2"/>
  <c r="AD362" i="2"/>
  <c r="AC362" i="2"/>
  <c r="AB362" i="2"/>
  <c r="AA362" i="2"/>
  <c r="Z362" i="2"/>
  <c r="Y362" i="2"/>
  <c r="X362" i="2"/>
  <c r="W362" i="2"/>
  <c r="V362" i="2"/>
  <c r="U362" i="2"/>
  <c r="T362" i="2"/>
  <c r="A366" i="3" s="1"/>
  <c r="G362" i="2"/>
  <c r="F362" i="2"/>
  <c r="E362" i="2"/>
  <c r="D362" i="2"/>
  <c r="C362" i="2"/>
  <c r="B362" i="2"/>
  <c r="A362" i="2"/>
  <c r="AM361" i="2"/>
  <c r="AL361" i="2"/>
  <c r="AK361" i="2"/>
  <c r="AJ361" i="2"/>
  <c r="AI361" i="2"/>
  <c r="AH361" i="2"/>
  <c r="F361" i="4" s="1"/>
  <c r="AG361" i="2"/>
  <c r="AF361" i="2"/>
  <c r="AE361" i="2"/>
  <c r="AD361" i="2"/>
  <c r="AC361" i="2"/>
  <c r="AB361" i="2"/>
  <c r="AA361" i="2"/>
  <c r="Z361" i="2"/>
  <c r="Y361" i="2"/>
  <c r="X361" i="2"/>
  <c r="W361" i="2"/>
  <c r="V361" i="2"/>
  <c r="U361" i="2"/>
  <c r="T361" i="2"/>
  <c r="A365" i="3" s="1"/>
  <c r="G361" i="2"/>
  <c r="F361" i="2"/>
  <c r="E361" i="2"/>
  <c r="D361" i="2"/>
  <c r="C361" i="2"/>
  <c r="B361" i="2"/>
  <c r="A361" i="2"/>
  <c r="AM360" i="2"/>
  <c r="AL360" i="2"/>
  <c r="AK360" i="2"/>
  <c r="AJ360" i="2"/>
  <c r="AI360" i="2"/>
  <c r="AH360" i="2"/>
  <c r="F360" i="4" s="1"/>
  <c r="AG360" i="2"/>
  <c r="AF360" i="2"/>
  <c r="AE360" i="2"/>
  <c r="AD360" i="2"/>
  <c r="AC360" i="2"/>
  <c r="AB360" i="2"/>
  <c r="AA360" i="2"/>
  <c r="Z360" i="2"/>
  <c r="Y360" i="2"/>
  <c r="X360" i="2"/>
  <c r="W360" i="2"/>
  <c r="V360" i="2"/>
  <c r="U360" i="2"/>
  <c r="T360" i="2"/>
  <c r="A364" i="3" s="1"/>
  <c r="G360" i="2"/>
  <c r="F360" i="2"/>
  <c r="E360" i="2"/>
  <c r="D360" i="2"/>
  <c r="C360" i="2"/>
  <c r="B360" i="2"/>
  <c r="A360" i="2"/>
  <c r="AM359" i="2"/>
  <c r="AL359" i="2"/>
  <c r="AK359" i="2"/>
  <c r="AJ359" i="2"/>
  <c r="AI359" i="2"/>
  <c r="AH359" i="2"/>
  <c r="F359" i="4" s="1"/>
  <c r="AG359" i="2"/>
  <c r="AF359" i="2"/>
  <c r="AE359" i="2"/>
  <c r="AD359" i="2"/>
  <c r="AC359" i="2"/>
  <c r="AB359" i="2"/>
  <c r="AA359" i="2"/>
  <c r="Z359" i="2"/>
  <c r="Y359" i="2"/>
  <c r="X359" i="2"/>
  <c r="W359" i="2"/>
  <c r="V359" i="2"/>
  <c r="U359" i="2"/>
  <c r="T359" i="2"/>
  <c r="A363" i="3" s="1"/>
  <c r="G359" i="2"/>
  <c r="F359" i="2"/>
  <c r="E359" i="2"/>
  <c r="D359" i="2"/>
  <c r="C359" i="2"/>
  <c r="B359" i="2"/>
  <c r="A359" i="2"/>
  <c r="AM358" i="2"/>
  <c r="AL358" i="2"/>
  <c r="AK358" i="2"/>
  <c r="AJ358" i="2"/>
  <c r="AI358" i="2"/>
  <c r="AH358" i="2"/>
  <c r="F358" i="4" s="1"/>
  <c r="AG358" i="2"/>
  <c r="AF358" i="2"/>
  <c r="AE358" i="2"/>
  <c r="AD358" i="2"/>
  <c r="AC358" i="2"/>
  <c r="AB358" i="2"/>
  <c r="AA358" i="2"/>
  <c r="Z358" i="2"/>
  <c r="Y358" i="2"/>
  <c r="X358" i="2"/>
  <c r="W358" i="2"/>
  <c r="V358" i="2"/>
  <c r="U358" i="2"/>
  <c r="T358" i="2"/>
  <c r="A362" i="3" s="1"/>
  <c r="G358" i="2"/>
  <c r="F358" i="2"/>
  <c r="E358" i="2"/>
  <c r="D358" i="2"/>
  <c r="C358" i="2"/>
  <c r="B358" i="2"/>
  <c r="A358" i="2"/>
  <c r="AM357" i="2"/>
  <c r="AL357" i="2"/>
  <c r="AK357" i="2"/>
  <c r="AJ357" i="2"/>
  <c r="AI357" i="2"/>
  <c r="AH357" i="2"/>
  <c r="F357" i="4" s="1"/>
  <c r="AG357" i="2"/>
  <c r="AF357" i="2"/>
  <c r="AE357" i="2"/>
  <c r="AD357" i="2"/>
  <c r="AC357" i="2"/>
  <c r="AB357" i="2"/>
  <c r="AA357" i="2"/>
  <c r="Z357" i="2"/>
  <c r="Y357" i="2"/>
  <c r="X357" i="2"/>
  <c r="W357" i="2"/>
  <c r="V357" i="2"/>
  <c r="U357" i="2"/>
  <c r="T357" i="2"/>
  <c r="A361" i="3" s="1"/>
  <c r="G357" i="2"/>
  <c r="F357" i="2"/>
  <c r="E357" i="2"/>
  <c r="D357" i="2"/>
  <c r="C357" i="2"/>
  <c r="B357" i="2"/>
  <c r="A357" i="2"/>
  <c r="AM356" i="2"/>
  <c r="AL356" i="2"/>
  <c r="AK356" i="2"/>
  <c r="AJ356" i="2"/>
  <c r="AI356" i="2"/>
  <c r="AH356" i="2"/>
  <c r="F356" i="4" s="1"/>
  <c r="AG356" i="2"/>
  <c r="AF356" i="2"/>
  <c r="AE356" i="2"/>
  <c r="AD356" i="2"/>
  <c r="AC356" i="2"/>
  <c r="AB356" i="2"/>
  <c r="AA356" i="2"/>
  <c r="Z356" i="2"/>
  <c r="Y356" i="2"/>
  <c r="X356" i="2"/>
  <c r="W356" i="2"/>
  <c r="V356" i="2"/>
  <c r="U356" i="2"/>
  <c r="T356" i="2"/>
  <c r="A360" i="3" s="1"/>
  <c r="G356" i="2"/>
  <c r="F356" i="2"/>
  <c r="E356" i="2"/>
  <c r="D356" i="2"/>
  <c r="C356" i="2"/>
  <c r="B356" i="2"/>
  <c r="A356" i="2"/>
  <c r="AM355" i="2"/>
  <c r="AL355" i="2"/>
  <c r="AK355" i="2"/>
  <c r="AJ355" i="2"/>
  <c r="AI355" i="2"/>
  <c r="AH355" i="2"/>
  <c r="F355" i="4" s="1"/>
  <c r="AG355" i="2"/>
  <c r="AF355" i="2"/>
  <c r="AE355" i="2"/>
  <c r="AD355" i="2"/>
  <c r="AC355" i="2"/>
  <c r="AB355" i="2"/>
  <c r="AA355" i="2"/>
  <c r="Z355" i="2"/>
  <c r="Y355" i="2"/>
  <c r="X355" i="2"/>
  <c r="W355" i="2"/>
  <c r="V355" i="2"/>
  <c r="U355" i="2"/>
  <c r="T355" i="2"/>
  <c r="A359" i="3" s="1"/>
  <c r="G355" i="2"/>
  <c r="F355" i="2"/>
  <c r="E355" i="2"/>
  <c r="D355" i="2"/>
  <c r="C355" i="2"/>
  <c r="B355" i="2"/>
  <c r="A355" i="2"/>
  <c r="AM354" i="2"/>
  <c r="AL354" i="2"/>
  <c r="AK354" i="2"/>
  <c r="AJ354" i="2"/>
  <c r="AI354" i="2"/>
  <c r="AH354" i="2"/>
  <c r="F354" i="4" s="1"/>
  <c r="AG354" i="2"/>
  <c r="AF354" i="2"/>
  <c r="AE354" i="2"/>
  <c r="AD354" i="2"/>
  <c r="AC354" i="2"/>
  <c r="AB354" i="2"/>
  <c r="AA354" i="2"/>
  <c r="Z354" i="2"/>
  <c r="Y354" i="2"/>
  <c r="X354" i="2"/>
  <c r="W354" i="2"/>
  <c r="V354" i="2"/>
  <c r="U354" i="2"/>
  <c r="T354" i="2"/>
  <c r="A358" i="3" s="1"/>
  <c r="G354" i="2"/>
  <c r="F354" i="2"/>
  <c r="E354" i="2"/>
  <c r="D354" i="2"/>
  <c r="C354" i="2"/>
  <c r="B354" i="2"/>
  <c r="A354" i="2"/>
  <c r="AM353" i="2"/>
  <c r="AL353" i="2"/>
  <c r="AK353" i="2"/>
  <c r="AJ353" i="2"/>
  <c r="AI353" i="2"/>
  <c r="AH353" i="2"/>
  <c r="F353" i="4" s="1"/>
  <c r="AG353" i="2"/>
  <c r="AF353" i="2"/>
  <c r="AE353" i="2"/>
  <c r="AD353" i="2"/>
  <c r="AC353" i="2"/>
  <c r="AB353" i="2"/>
  <c r="AA353" i="2"/>
  <c r="Z353" i="2"/>
  <c r="Y353" i="2"/>
  <c r="X353" i="2"/>
  <c r="W353" i="2"/>
  <c r="V353" i="2"/>
  <c r="U353" i="2"/>
  <c r="T353" i="2"/>
  <c r="A357" i="3" s="1"/>
  <c r="G353" i="2"/>
  <c r="F353" i="2"/>
  <c r="E353" i="2"/>
  <c r="D353" i="2"/>
  <c r="C353" i="2"/>
  <c r="B353" i="2"/>
  <c r="A353" i="2"/>
  <c r="AM352" i="2"/>
  <c r="AL352" i="2"/>
  <c r="AK352" i="2"/>
  <c r="AJ352" i="2"/>
  <c r="AI352" i="2"/>
  <c r="AH352" i="2"/>
  <c r="F352" i="4" s="1"/>
  <c r="AG352" i="2"/>
  <c r="AF352" i="2"/>
  <c r="AE352" i="2"/>
  <c r="AD352" i="2"/>
  <c r="AC352" i="2"/>
  <c r="AB352" i="2"/>
  <c r="AA352" i="2"/>
  <c r="Z352" i="2"/>
  <c r="Y352" i="2"/>
  <c r="X352" i="2"/>
  <c r="W352" i="2"/>
  <c r="V352" i="2"/>
  <c r="U352" i="2"/>
  <c r="T352" i="2"/>
  <c r="A356" i="3" s="1"/>
  <c r="G352" i="2"/>
  <c r="F352" i="2"/>
  <c r="E352" i="2"/>
  <c r="D352" i="2"/>
  <c r="C352" i="2"/>
  <c r="B352" i="2"/>
  <c r="A352" i="2"/>
  <c r="AM351" i="2"/>
  <c r="AL351" i="2"/>
  <c r="AK351" i="2"/>
  <c r="AJ351" i="2"/>
  <c r="AI351" i="2"/>
  <c r="AH351" i="2"/>
  <c r="F351" i="4" s="1"/>
  <c r="AG351" i="2"/>
  <c r="AF351" i="2"/>
  <c r="AE351" i="2"/>
  <c r="AD351" i="2"/>
  <c r="AC351" i="2"/>
  <c r="AB351" i="2"/>
  <c r="AA351" i="2"/>
  <c r="Z351" i="2"/>
  <c r="Y351" i="2"/>
  <c r="X351" i="2"/>
  <c r="W351" i="2"/>
  <c r="V351" i="2"/>
  <c r="U351" i="2"/>
  <c r="T351" i="2"/>
  <c r="A355" i="3" s="1"/>
  <c r="G351" i="2"/>
  <c r="F351" i="2"/>
  <c r="E351" i="2"/>
  <c r="D351" i="2"/>
  <c r="C351" i="2"/>
  <c r="B351" i="2"/>
  <c r="A351" i="2"/>
  <c r="AM350" i="2"/>
  <c r="AL350" i="2"/>
  <c r="AK350" i="2"/>
  <c r="AJ350" i="2"/>
  <c r="AI350" i="2"/>
  <c r="AH350" i="2"/>
  <c r="F350" i="4" s="1"/>
  <c r="AG350" i="2"/>
  <c r="AF350" i="2"/>
  <c r="AE350" i="2"/>
  <c r="AD350" i="2"/>
  <c r="AC350" i="2"/>
  <c r="AB350" i="2"/>
  <c r="AA350" i="2"/>
  <c r="Z350" i="2"/>
  <c r="Y350" i="2"/>
  <c r="X350" i="2"/>
  <c r="W350" i="2"/>
  <c r="V350" i="2"/>
  <c r="U350" i="2"/>
  <c r="T350" i="2"/>
  <c r="A354" i="3" s="1"/>
  <c r="G350" i="2"/>
  <c r="F350" i="2"/>
  <c r="E350" i="2"/>
  <c r="D350" i="2"/>
  <c r="C350" i="2"/>
  <c r="B350" i="2"/>
  <c r="A350" i="2"/>
  <c r="AM349" i="2"/>
  <c r="AL349" i="2"/>
  <c r="AK349" i="2"/>
  <c r="AJ349" i="2"/>
  <c r="AI349" i="2"/>
  <c r="AH349" i="2"/>
  <c r="F349" i="4" s="1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U349" i="2"/>
  <c r="T349" i="2"/>
  <c r="A353" i="3" s="1"/>
  <c r="G349" i="2"/>
  <c r="F349" i="2"/>
  <c r="E349" i="2"/>
  <c r="D349" i="2"/>
  <c r="C349" i="2"/>
  <c r="B349" i="2"/>
  <c r="A349" i="2"/>
  <c r="AM348" i="2"/>
  <c r="AL348" i="2"/>
  <c r="AK348" i="2"/>
  <c r="AJ348" i="2"/>
  <c r="AI348" i="2"/>
  <c r="AH348" i="2"/>
  <c r="F348" i="4" s="1"/>
  <c r="AG348" i="2"/>
  <c r="AF348" i="2"/>
  <c r="AE348" i="2"/>
  <c r="AD348" i="2"/>
  <c r="AC348" i="2"/>
  <c r="AB348" i="2"/>
  <c r="AA348" i="2"/>
  <c r="Z348" i="2"/>
  <c r="Y348" i="2"/>
  <c r="X348" i="2"/>
  <c r="W348" i="2"/>
  <c r="V348" i="2"/>
  <c r="U348" i="2"/>
  <c r="T348" i="2"/>
  <c r="A352" i="3" s="1"/>
  <c r="G348" i="2"/>
  <c r="F348" i="2"/>
  <c r="E348" i="2"/>
  <c r="D348" i="2"/>
  <c r="C348" i="2"/>
  <c r="B348" i="2"/>
  <c r="A348" i="2"/>
  <c r="AM347" i="2"/>
  <c r="AL347" i="2"/>
  <c r="AK347" i="2"/>
  <c r="AJ347" i="2"/>
  <c r="AI347" i="2"/>
  <c r="AH347" i="2"/>
  <c r="F347" i="4" s="1"/>
  <c r="AG347" i="2"/>
  <c r="AF347" i="2"/>
  <c r="AE347" i="2"/>
  <c r="AD347" i="2"/>
  <c r="AC347" i="2"/>
  <c r="AB347" i="2"/>
  <c r="AA347" i="2"/>
  <c r="Z347" i="2"/>
  <c r="Y347" i="2"/>
  <c r="X347" i="2"/>
  <c r="W347" i="2"/>
  <c r="V347" i="2"/>
  <c r="U347" i="2"/>
  <c r="T347" i="2"/>
  <c r="A351" i="3" s="1"/>
  <c r="G347" i="2"/>
  <c r="F347" i="2"/>
  <c r="E347" i="2"/>
  <c r="D347" i="2"/>
  <c r="C347" i="2"/>
  <c r="B347" i="2"/>
  <c r="A347" i="2"/>
  <c r="AM346" i="2"/>
  <c r="AL346" i="2"/>
  <c r="AK346" i="2"/>
  <c r="AJ346" i="2"/>
  <c r="AI346" i="2"/>
  <c r="AH346" i="2"/>
  <c r="F346" i="4" s="1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T346" i="2"/>
  <c r="A350" i="3" s="1"/>
  <c r="G346" i="2"/>
  <c r="F346" i="2"/>
  <c r="E346" i="2"/>
  <c r="D346" i="2"/>
  <c r="C346" i="2"/>
  <c r="B346" i="2"/>
  <c r="A346" i="2"/>
  <c r="AM345" i="2"/>
  <c r="AL345" i="2"/>
  <c r="AK345" i="2"/>
  <c r="AJ345" i="2"/>
  <c r="AI345" i="2"/>
  <c r="AH345" i="2"/>
  <c r="F345" i="4" s="1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U345" i="2"/>
  <c r="T345" i="2"/>
  <c r="A349" i="3" s="1"/>
  <c r="G345" i="2"/>
  <c r="F345" i="2"/>
  <c r="E345" i="2"/>
  <c r="D345" i="2"/>
  <c r="C345" i="2"/>
  <c r="B345" i="2"/>
  <c r="A345" i="2"/>
  <c r="AM344" i="2"/>
  <c r="AL344" i="2"/>
  <c r="AK344" i="2"/>
  <c r="AJ344" i="2"/>
  <c r="AI344" i="2"/>
  <c r="AH344" i="2"/>
  <c r="F344" i="4" s="1"/>
  <c r="AG344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T344" i="2"/>
  <c r="A348" i="3" s="1"/>
  <c r="G344" i="2"/>
  <c r="F344" i="2"/>
  <c r="E344" i="2"/>
  <c r="D344" i="2"/>
  <c r="C344" i="2"/>
  <c r="B344" i="2"/>
  <c r="A344" i="2"/>
  <c r="AM343" i="2"/>
  <c r="AL343" i="2"/>
  <c r="AK343" i="2"/>
  <c r="AJ343" i="2"/>
  <c r="AI343" i="2"/>
  <c r="AH343" i="2"/>
  <c r="F343" i="4" s="1"/>
  <c r="AG343" i="2"/>
  <c r="AF343" i="2"/>
  <c r="AE343" i="2"/>
  <c r="AD343" i="2"/>
  <c r="AC343" i="2"/>
  <c r="AB343" i="2"/>
  <c r="AA343" i="2"/>
  <c r="Z343" i="2"/>
  <c r="Y343" i="2"/>
  <c r="X343" i="2"/>
  <c r="W343" i="2"/>
  <c r="V343" i="2"/>
  <c r="U343" i="2"/>
  <c r="T343" i="2"/>
  <c r="A347" i="3" s="1"/>
  <c r="G343" i="2"/>
  <c r="F343" i="2"/>
  <c r="E343" i="2"/>
  <c r="D343" i="2"/>
  <c r="C343" i="2"/>
  <c r="B343" i="2"/>
  <c r="A343" i="2"/>
  <c r="AM342" i="2"/>
  <c r="AL342" i="2"/>
  <c r="AK342" i="2"/>
  <c r="AJ342" i="2"/>
  <c r="AI342" i="2"/>
  <c r="AH342" i="2"/>
  <c r="F342" i="4" s="1"/>
  <c r="AG342" i="2"/>
  <c r="AF342" i="2"/>
  <c r="AE342" i="2"/>
  <c r="AD342" i="2"/>
  <c r="AC342" i="2"/>
  <c r="AB342" i="2"/>
  <c r="AA342" i="2"/>
  <c r="Z342" i="2"/>
  <c r="Y342" i="2"/>
  <c r="X342" i="2"/>
  <c r="W342" i="2"/>
  <c r="V342" i="2"/>
  <c r="U342" i="2"/>
  <c r="T342" i="2"/>
  <c r="A346" i="3" s="1"/>
  <c r="G342" i="2"/>
  <c r="F342" i="2"/>
  <c r="E342" i="2"/>
  <c r="D342" i="2"/>
  <c r="C342" i="2"/>
  <c r="B342" i="2"/>
  <c r="A342" i="2"/>
  <c r="AM341" i="2"/>
  <c r="AL341" i="2"/>
  <c r="AK341" i="2"/>
  <c r="AJ341" i="2"/>
  <c r="AI341" i="2"/>
  <c r="AH341" i="2"/>
  <c r="F341" i="4" s="1"/>
  <c r="AG341" i="2"/>
  <c r="AF341" i="2"/>
  <c r="AE341" i="2"/>
  <c r="AD341" i="2"/>
  <c r="AC341" i="2"/>
  <c r="AB341" i="2"/>
  <c r="AA341" i="2"/>
  <c r="Z341" i="2"/>
  <c r="Y341" i="2"/>
  <c r="X341" i="2"/>
  <c r="W341" i="2"/>
  <c r="V341" i="2"/>
  <c r="U341" i="2"/>
  <c r="T341" i="2"/>
  <c r="A345" i="3" s="1"/>
  <c r="G341" i="2"/>
  <c r="F341" i="2"/>
  <c r="E341" i="2"/>
  <c r="D341" i="2"/>
  <c r="C341" i="2"/>
  <c r="B341" i="2"/>
  <c r="A341" i="2"/>
  <c r="AM340" i="2"/>
  <c r="AL340" i="2"/>
  <c r="AK340" i="2"/>
  <c r="AJ340" i="2"/>
  <c r="AI340" i="2"/>
  <c r="AH340" i="2"/>
  <c r="F340" i="4" s="1"/>
  <c r="AG340" i="2"/>
  <c r="AF340" i="2"/>
  <c r="AE340" i="2"/>
  <c r="AD340" i="2"/>
  <c r="AC340" i="2"/>
  <c r="AB340" i="2"/>
  <c r="AA340" i="2"/>
  <c r="Z340" i="2"/>
  <c r="Y340" i="2"/>
  <c r="X340" i="2"/>
  <c r="W340" i="2"/>
  <c r="V340" i="2"/>
  <c r="U340" i="2"/>
  <c r="T340" i="2"/>
  <c r="A344" i="3" s="1"/>
  <c r="G340" i="2"/>
  <c r="F340" i="2"/>
  <c r="E340" i="2"/>
  <c r="D340" i="2"/>
  <c r="C340" i="2"/>
  <c r="B340" i="2"/>
  <c r="A340" i="2"/>
  <c r="AM339" i="2"/>
  <c r="AL339" i="2"/>
  <c r="AK339" i="2"/>
  <c r="AJ339" i="2"/>
  <c r="AI339" i="2"/>
  <c r="AH339" i="2"/>
  <c r="F339" i="4" s="1"/>
  <c r="AG339" i="2"/>
  <c r="AF339" i="2"/>
  <c r="AE339" i="2"/>
  <c r="AD339" i="2"/>
  <c r="AC339" i="2"/>
  <c r="AB339" i="2"/>
  <c r="AA339" i="2"/>
  <c r="Z339" i="2"/>
  <c r="Y339" i="2"/>
  <c r="X339" i="2"/>
  <c r="W339" i="2"/>
  <c r="V339" i="2"/>
  <c r="U339" i="2"/>
  <c r="T339" i="2"/>
  <c r="A343" i="3" s="1"/>
  <c r="G339" i="2"/>
  <c r="F339" i="2"/>
  <c r="E339" i="2"/>
  <c r="D339" i="2"/>
  <c r="C339" i="2"/>
  <c r="B339" i="2"/>
  <c r="A339" i="2"/>
  <c r="AM338" i="2"/>
  <c r="AL338" i="2"/>
  <c r="AK338" i="2"/>
  <c r="AJ338" i="2"/>
  <c r="AI338" i="2"/>
  <c r="AH338" i="2"/>
  <c r="F338" i="4" s="1"/>
  <c r="AG338" i="2"/>
  <c r="AF338" i="2"/>
  <c r="AE338" i="2"/>
  <c r="AD338" i="2"/>
  <c r="AC338" i="2"/>
  <c r="AB338" i="2"/>
  <c r="AA338" i="2"/>
  <c r="Z338" i="2"/>
  <c r="Y338" i="2"/>
  <c r="X338" i="2"/>
  <c r="W338" i="2"/>
  <c r="V338" i="2"/>
  <c r="U338" i="2"/>
  <c r="T338" i="2"/>
  <c r="A342" i="3" s="1"/>
  <c r="G338" i="2"/>
  <c r="F338" i="2"/>
  <c r="E338" i="2"/>
  <c r="D338" i="2"/>
  <c r="C338" i="2"/>
  <c r="B338" i="2"/>
  <c r="A338" i="2"/>
  <c r="AM337" i="2"/>
  <c r="AL337" i="2"/>
  <c r="AK337" i="2"/>
  <c r="AJ337" i="2"/>
  <c r="AI337" i="2"/>
  <c r="AH337" i="2"/>
  <c r="F337" i="4" s="1"/>
  <c r="AG337" i="2"/>
  <c r="AF337" i="2"/>
  <c r="AE337" i="2"/>
  <c r="AD337" i="2"/>
  <c r="AC337" i="2"/>
  <c r="AB337" i="2"/>
  <c r="AA337" i="2"/>
  <c r="Z337" i="2"/>
  <c r="Y337" i="2"/>
  <c r="X337" i="2"/>
  <c r="W337" i="2"/>
  <c r="V337" i="2"/>
  <c r="U337" i="2"/>
  <c r="T337" i="2"/>
  <c r="A341" i="3" s="1"/>
  <c r="G337" i="2"/>
  <c r="F337" i="2"/>
  <c r="E337" i="2"/>
  <c r="D337" i="2"/>
  <c r="C337" i="2"/>
  <c r="B337" i="2"/>
  <c r="A337" i="2"/>
  <c r="AM336" i="2"/>
  <c r="AL336" i="2"/>
  <c r="AK336" i="2"/>
  <c r="AJ336" i="2"/>
  <c r="AI336" i="2"/>
  <c r="AH336" i="2"/>
  <c r="F336" i="4" s="1"/>
  <c r="AG336" i="2"/>
  <c r="AF336" i="2"/>
  <c r="AE336" i="2"/>
  <c r="AD336" i="2"/>
  <c r="AC336" i="2"/>
  <c r="AB336" i="2"/>
  <c r="AA336" i="2"/>
  <c r="Z336" i="2"/>
  <c r="Y336" i="2"/>
  <c r="X336" i="2"/>
  <c r="W336" i="2"/>
  <c r="V336" i="2"/>
  <c r="U336" i="2"/>
  <c r="T336" i="2"/>
  <c r="A340" i="3" s="1"/>
  <c r="G336" i="2"/>
  <c r="F336" i="2"/>
  <c r="E336" i="2"/>
  <c r="D336" i="2"/>
  <c r="C336" i="2"/>
  <c r="B336" i="2"/>
  <c r="A336" i="2"/>
  <c r="AM335" i="2"/>
  <c r="AL335" i="2"/>
  <c r="AK335" i="2"/>
  <c r="AJ335" i="2"/>
  <c r="AI335" i="2"/>
  <c r="AH335" i="2"/>
  <c r="F335" i="4" s="1"/>
  <c r="AG335" i="2"/>
  <c r="AF335" i="2"/>
  <c r="AE335" i="2"/>
  <c r="AD335" i="2"/>
  <c r="AC335" i="2"/>
  <c r="AB335" i="2"/>
  <c r="AA335" i="2"/>
  <c r="Z335" i="2"/>
  <c r="Y335" i="2"/>
  <c r="X335" i="2"/>
  <c r="W335" i="2"/>
  <c r="V335" i="2"/>
  <c r="U335" i="2"/>
  <c r="T335" i="2"/>
  <c r="A339" i="3" s="1"/>
  <c r="G335" i="2"/>
  <c r="F335" i="2"/>
  <c r="E335" i="2"/>
  <c r="D335" i="2"/>
  <c r="C335" i="2"/>
  <c r="B335" i="2"/>
  <c r="A335" i="2"/>
  <c r="AM334" i="2"/>
  <c r="AL334" i="2"/>
  <c r="AK334" i="2"/>
  <c r="AJ334" i="2"/>
  <c r="AI334" i="2"/>
  <c r="AH334" i="2"/>
  <c r="F334" i="4" s="1"/>
  <c r="AG334" i="2"/>
  <c r="AF334" i="2"/>
  <c r="AE334" i="2"/>
  <c r="AD334" i="2"/>
  <c r="AC334" i="2"/>
  <c r="AB334" i="2"/>
  <c r="AA334" i="2"/>
  <c r="Z334" i="2"/>
  <c r="Y334" i="2"/>
  <c r="X334" i="2"/>
  <c r="W334" i="2"/>
  <c r="V334" i="2"/>
  <c r="U334" i="2"/>
  <c r="T334" i="2"/>
  <c r="A338" i="3" s="1"/>
  <c r="G334" i="2"/>
  <c r="F334" i="2"/>
  <c r="E334" i="2"/>
  <c r="D334" i="2"/>
  <c r="C334" i="2"/>
  <c r="B334" i="2"/>
  <c r="A334" i="2"/>
  <c r="AM333" i="2"/>
  <c r="AL333" i="2"/>
  <c r="AK333" i="2"/>
  <c r="AJ333" i="2"/>
  <c r="AI333" i="2"/>
  <c r="AH333" i="2"/>
  <c r="F333" i="4" s="1"/>
  <c r="AG333" i="2"/>
  <c r="AF333" i="2"/>
  <c r="AE333" i="2"/>
  <c r="AD333" i="2"/>
  <c r="AC333" i="2"/>
  <c r="AB333" i="2"/>
  <c r="AA333" i="2"/>
  <c r="Z333" i="2"/>
  <c r="Y333" i="2"/>
  <c r="X333" i="2"/>
  <c r="W333" i="2"/>
  <c r="V333" i="2"/>
  <c r="U333" i="2"/>
  <c r="T333" i="2"/>
  <c r="A337" i="3" s="1"/>
  <c r="G333" i="2"/>
  <c r="F333" i="2"/>
  <c r="E333" i="2"/>
  <c r="D333" i="2"/>
  <c r="C333" i="2"/>
  <c r="B333" i="2"/>
  <c r="A333" i="2"/>
  <c r="AM332" i="2"/>
  <c r="AL332" i="2"/>
  <c r="AK332" i="2"/>
  <c r="AJ332" i="2"/>
  <c r="AI332" i="2"/>
  <c r="AH332" i="2"/>
  <c r="F332" i="4" s="1"/>
  <c r="AG332" i="2"/>
  <c r="AF332" i="2"/>
  <c r="AE332" i="2"/>
  <c r="AD332" i="2"/>
  <c r="AC332" i="2"/>
  <c r="AB332" i="2"/>
  <c r="AA332" i="2"/>
  <c r="Z332" i="2"/>
  <c r="Y332" i="2"/>
  <c r="X332" i="2"/>
  <c r="W332" i="2"/>
  <c r="V332" i="2"/>
  <c r="U332" i="2"/>
  <c r="T332" i="2"/>
  <c r="A336" i="3" s="1"/>
  <c r="G332" i="2"/>
  <c r="F332" i="2"/>
  <c r="E332" i="2"/>
  <c r="D332" i="2"/>
  <c r="C332" i="2"/>
  <c r="B332" i="2"/>
  <c r="A332" i="2"/>
  <c r="AM331" i="2"/>
  <c r="AL331" i="2"/>
  <c r="AK331" i="2"/>
  <c r="AJ331" i="2"/>
  <c r="AI331" i="2"/>
  <c r="AH331" i="2"/>
  <c r="F331" i="4" s="1"/>
  <c r="AG331" i="2"/>
  <c r="AF331" i="2"/>
  <c r="AE331" i="2"/>
  <c r="AD331" i="2"/>
  <c r="AC331" i="2"/>
  <c r="AB331" i="2"/>
  <c r="AA331" i="2"/>
  <c r="Z331" i="2"/>
  <c r="Y331" i="2"/>
  <c r="X331" i="2"/>
  <c r="W331" i="2"/>
  <c r="V331" i="2"/>
  <c r="U331" i="2"/>
  <c r="T331" i="2"/>
  <c r="A335" i="3" s="1"/>
  <c r="G331" i="2"/>
  <c r="F331" i="2"/>
  <c r="E331" i="2"/>
  <c r="D331" i="2"/>
  <c r="C331" i="2"/>
  <c r="B331" i="2"/>
  <c r="A331" i="2"/>
  <c r="AM330" i="2"/>
  <c r="AL330" i="2"/>
  <c r="AK330" i="2"/>
  <c r="AJ330" i="2"/>
  <c r="AI330" i="2"/>
  <c r="AH330" i="2"/>
  <c r="F330" i="4" s="1"/>
  <c r="AG330" i="2"/>
  <c r="AF330" i="2"/>
  <c r="AE330" i="2"/>
  <c r="AD330" i="2"/>
  <c r="AC330" i="2"/>
  <c r="AB330" i="2"/>
  <c r="AA330" i="2"/>
  <c r="Z330" i="2"/>
  <c r="Y330" i="2"/>
  <c r="X330" i="2"/>
  <c r="W330" i="2"/>
  <c r="V330" i="2"/>
  <c r="U330" i="2"/>
  <c r="T330" i="2"/>
  <c r="A334" i="3" s="1"/>
  <c r="G330" i="2"/>
  <c r="F330" i="2"/>
  <c r="E330" i="2"/>
  <c r="D330" i="2"/>
  <c r="C330" i="2"/>
  <c r="B330" i="2"/>
  <c r="A330" i="2"/>
  <c r="AM329" i="2"/>
  <c r="AL329" i="2"/>
  <c r="AK329" i="2"/>
  <c r="AJ329" i="2"/>
  <c r="AI329" i="2"/>
  <c r="AH329" i="2"/>
  <c r="F329" i="4" s="1"/>
  <c r="AG329" i="2"/>
  <c r="AF329" i="2"/>
  <c r="AE329" i="2"/>
  <c r="AD329" i="2"/>
  <c r="AC329" i="2"/>
  <c r="AB329" i="2"/>
  <c r="AA329" i="2"/>
  <c r="Z329" i="2"/>
  <c r="Y329" i="2"/>
  <c r="X329" i="2"/>
  <c r="W329" i="2"/>
  <c r="V329" i="2"/>
  <c r="U329" i="2"/>
  <c r="T329" i="2"/>
  <c r="A333" i="3" s="1"/>
  <c r="G329" i="2"/>
  <c r="F329" i="2"/>
  <c r="E329" i="2"/>
  <c r="D329" i="2"/>
  <c r="C329" i="2"/>
  <c r="B329" i="2"/>
  <c r="A329" i="2"/>
  <c r="AM328" i="2"/>
  <c r="AL328" i="2"/>
  <c r="AK328" i="2"/>
  <c r="AJ328" i="2"/>
  <c r="AI328" i="2"/>
  <c r="AH328" i="2"/>
  <c r="F328" i="4" s="1"/>
  <c r="AG328" i="2"/>
  <c r="AF328" i="2"/>
  <c r="AE328" i="2"/>
  <c r="AD328" i="2"/>
  <c r="AC328" i="2"/>
  <c r="AB328" i="2"/>
  <c r="AA328" i="2"/>
  <c r="Z328" i="2"/>
  <c r="Y328" i="2"/>
  <c r="X328" i="2"/>
  <c r="W328" i="2"/>
  <c r="V328" i="2"/>
  <c r="U328" i="2"/>
  <c r="T328" i="2"/>
  <c r="A332" i="3" s="1"/>
  <c r="G328" i="2"/>
  <c r="F328" i="2"/>
  <c r="E328" i="2"/>
  <c r="D328" i="2"/>
  <c r="C328" i="2"/>
  <c r="B328" i="2"/>
  <c r="A328" i="2"/>
  <c r="AM327" i="2"/>
  <c r="AL327" i="2"/>
  <c r="AK327" i="2"/>
  <c r="AJ327" i="2"/>
  <c r="AI327" i="2"/>
  <c r="AH327" i="2"/>
  <c r="F327" i="4" s="1"/>
  <c r="AG327" i="2"/>
  <c r="AF327" i="2"/>
  <c r="AE327" i="2"/>
  <c r="AD327" i="2"/>
  <c r="AC327" i="2"/>
  <c r="AB327" i="2"/>
  <c r="AA327" i="2"/>
  <c r="Z327" i="2"/>
  <c r="Y327" i="2"/>
  <c r="X327" i="2"/>
  <c r="W327" i="2"/>
  <c r="V327" i="2"/>
  <c r="U327" i="2"/>
  <c r="T327" i="2"/>
  <c r="A331" i="3" s="1"/>
  <c r="G327" i="2"/>
  <c r="F327" i="2"/>
  <c r="E327" i="2"/>
  <c r="D327" i="2"/>
  <c r="C327" i="2"/>
  <c r="B327" i="2"/>
  <c r="A327" i="2"/>
  <c r="AM326" i="2"/>
  <c r="AL326" i="2"/>
  <c r="AK326" i="2"/>
  <c r="AJ326" i="2"/>
  <c r="AI326" i="2"/>
  <c r="AH326" i="2"/>
  <c r="F326" i="4" s="1"/>
  <c r="AG326" i="2"/>
  <c r="AF326" i="2"/>
  <c r="AE326" i="2"/>
  <c r="AD326" i="2"/>
  <c r="AC326" i="2"/>
  <c r="AB326" i="2"/>
  <c r="AA326" i="2"/>
  <c r="Z326" i="2"/>
  <c r="Y326" i="2"/>
  <c r="X326" i="2"/>
  <c r="W326" i="2"/>
  <c r="V326" i="2"/>
  <c r="U326" i="2"/>
  <c r="T326" i="2"/>
  <c r="A330" i="3" s="1"/>
  <c r="G326" i="2"/>
  <c r="F326" i="2"/>
  <c r="E326" i="2"/>
  <c r="D326" i="2"/>
  <c r="C326" i="2"/>
  <c r="B326" i="2"/>
  <c r="A326" i="2"/>
  <c r="AM325" i="2"/>
  <c r="AL325" i="2"/>
  <c r="AK325" i="2"/>
  <c r="AJ325" i="2"/>
  <c r="AI325" i="2"/>
  <c r="AH325" i="2"/>
  <c r="F325" i="4" s="1"/>
  <c r="AG325" i="2"/>
  <c r="AF325" i="2"/>
  <c r="AE325" i="2"/>
  <c r="AD325" i="2"/>
  <c r="AC325" i="2"/>
  <c r="AB325" i="2"/>
  <c r="AA325" i="2"/>
  <c r="Z325" i="2"/>
  <c r="Y325" i="2"/>
  <c r="X325" i="2"/>
  <c r="W325" i="2"/>
  <c r="V325" i="2"/>
  <c r="U325" i="2"/>
  <c r="T325" i="2"/>
  <c r="A329" i="3" s="1"/>
  <c r="G325" i="2"/>
  <c r="F325" i="2"/>
  <c r="E325" i="2"/>
  <c r="D325" i="2"/>
  <c r="C325" i="2"/>
  <c r="B325" i="2"/>
  <c r="A325" i="2"/>
  <c r="AM324" i="2"/>
  <c r="AL324" i="2"/>
  <c r="AK324" i="2"/>
  <c r="AJ324" i="2"/>
  <c r="AI324" i="2"/>
  <c r="AH324" i="2"/>
  <c r="F324" i="4" s="1"/>
  <c r="AG324" i="2"/>
  <c r="AF324" i="2"/>
  <c r="AE324" i="2"/>
  <c r="AD324" i="2"/>
  <c r="AC324" i="2"/>
  <c r="AB324" i="2"/>
  <c r="AA324" i="2"/>
  <c r="Z324" i="2"/>
  <c r="Y324" i="2"/>
  <c r="X324" i="2"/>
  <c r="W324" i="2"/>
  <c r="V324" i="2"/>
  <c r="U324" i="2"/>
  <c r="T324" i="2"/>
  <c r="A328" i="3" s="1"/>
  <c r="G324" i="2"/>
  <c r="F324" i="2"/>
  <c r="E324" i="2"/>
  <c r="D324" i="2"/>
  <c r="C324" i="2"/>
  <c r="B324" i="2"/>
  <c r="A324" i="2"/>
  <c r="AM323" i="2"/>
  <c r="AL323" i="2"/>
  <c r="AK323" i="2"/>
  <c r="AJ323" i="2"/>
  <c r="AI323" i="2"/>
  <c r="AH323" i="2"/>
  <c r="F323" i="4" s="1"/>
  <c r="AG323" i="2"/>
  <c r="AF323" i="2"/>
  <c r="AE323" i="2"/>
  <c r="AD323" i="2"/>
  <c r="AC323" i="2"/>
  <c r="AB323" i="2"/>
  <c r="AA323" i="2"/>
  <c r="Z323" i="2"/>
  <c r="Y323" i="2"/>
  <c r="X323" i="2"/>
  <c r="W323" i="2"/>
  <c r="V323" i="2"/>
  <c r="U323" i="2"/>
  <c r="T323" i="2"/>
  <c r="A327" i="3" s="1"/>
  <c r="G323" i="2"/>
  <c r="F323" i="2"/>
  <c r="E323" i="2"/>
  <c r="D323" i="2"/>
  <c r="C323" i="2"/>
  <c r="B323" i="2"/>
  <c r="A323" i="2"/>
  <c r="AM322" i="2"/>
  <c r="AL322" i="2"/>
  <c r="AK322" i="2"/>
  <c r="AJ322" i="2"/>
  <c r="AI322" i="2"/>
  <c r="AH322" i="2"/>
  <c r="F322" i="4" s="1"/>
  <c r="AG322" i="2"/>
  <c r="AF322" i="2"/>
  <c r="AE322" i="2"/>
  <c r="AD322" i="2"/>
  <c r="AC322" i="2"/>
  <c r="AB322" i="2"/>
  <c r="AA322" i="2"/>
  <c r="Z322" i="2"/>
  <c r="Y322" i="2"/>
  <c r="X322" i="2"/>
  <c r="W322" i="2"/>
  <c r="V322" i="2"/>
  <c r="U322" i="2"/>
  <c r="T322" i="2"/>
  <c r="A326" i="3" s="1"/>
  <c r="G322" i="2"/>
  <c r="F322" i="2"/>
  <c r="E322" i="2"/>
  <c r="D322" i="2"/>
  <c r="C322" i="2"/>
  <c r="B322" i="2"/>
  <c r="A322" i="2"/>
  <c r="AM321" i="2"/>
  <c r="AL321" i="2"/>
  <c r="AK321" i="2"/>
  <c r="AJ321" i="2"/>
  <c r="AI321" i="2"/>
  <c r="AH321" i="2"/>
  <c r="F321" i="4" s="1"/>
  <c r="AG321" i="2"/>
  <c r="AF321" i="2"/>
  <c r="AE321" i="2"/>
  <c r="AD321" i="2"/>
  <c r="AC321" i="2"/>
  <c r="AB321" i="2"/>
  <c r="AA321" i="2"/>
  <c r="Z321" i="2"/>
  <c r="Y321" i="2"/>
  <c r="X321" i="2"/>
  <c r="W321" i="2"/>
  <c r="V321" i="2"/>
  <c r="U321" i="2"/>
  <c r="T321" i="2"/>
  <c r="A325" i="3" s="1"/>
  <c r="G321" i="2"/>
  <c r="F321" i="2"/>
  <c r="E321" i="2"/>
  <c r="D321" i="2"/>
  <c r="C321" i="2"/>
  <c r="B321" i="2"/>
  <c r="A321" i="2"/>
  <c r="AM320" i="2"/>
  <c r="AL320" i="2"/>
  <c r="AK320" i="2"/>
  <c r="AJ320" i="2"/>
  <c r="AI320" i="2"/>
  <c r="AH320" i="2"/>
  <c r="F320" i="4" s="1"/>
  <c r="AG320" i="2"/>
  <c r="AF320" i="2"/>
  <c r="AE320" i="2"/>
  <c r="AD320" i="2"/>
  <c r="AC320" i="2"/>
  <c r="AB320" i="2"/>
  <c r="AA320" i="2"/>
  <c r="Z320" i="2"/>
  <c r="Y320" i="2"/>
  <c r="X320" i="2"/>
  <c r="W320" i="2"/>
  <c r="V320" i="2"/>
  <c r="U320" i="2"/>
  <c r="T320" i="2"/>
  <c r="A324" i="3" s="1"/>
  <c r="G320" i="2"/>
  <c r="F320" i="2"/>
  <c r="E320" i="2"/>
  <c r="D320" i="2"/>
  <c r="C320" i="2"/>
  <c r="B320" i="2"/>
  <c r="A320" i="2"/>
  <c r="AM319" i="2"/>
  <c r="AL319" i="2"/>
  <c r="AK319" i="2"/>
  <c r="AJ319" i="2"/>
  <c r="AI319" i="2"/>
  <c r="AH319" i="2"/>
  <c r="F319" i="4" s="1"/>
  <c r="AG319" i="2"/>
  <c r="AF319" i="2"/>
  <c r="AE319" i="2"/>
  <c r="AD319" i="2"/>
  <c r="AC319" i="2"/>
  <c r="AB319" i="2"/>
  <c r="AA319" i="2"/>
  <c r="Z319" i="2"/>
  <c r="Y319" i="2"/>
  <c r="X319" i="2"/>
  <c r="W319" i="2"/>
  <c r="V319" i="2"/>
  <c r="U319" i="2"/>
  <c r="T319" i="2"/>
  <c r="A323" i="3" s="1"/>
  <c r="G319" i="2"/>
  <c r="F319" i="2"/>
  <c r="E319" i="2"/>
  <c r="D319" i="2"/>
  <c r="C319" i="2"/>
  <c r="B319" i="2"/>
  <c r="A319" i="2"/>
  <c r="AM318" i="2"/>
  <c r="AL318" i="2"/>
  <c r="AK318" i="2"/>
  <c r="AJ318" i="2"/>
  <c r="AI318" i="2"/>
  <c r="AH318" i="2"/>
  <c r="F318" i="4" s="1"/>
  <c r="AG318" i="2"/>
  <c r="AF318" i="2"/>
  <c r="AE318" i="2"/>
  <c r="AD318" i="2"/>
  <c r="AC318" i="2"/>
  <c r="AB318" i="2"/>
  <c r="AA318" i="2"/>
  <c r="Z318" i="2"/>
  <c r="Y318" i="2"/>
  <c r="X318" i="2"/>
  <c r="W318" i="2"/>
  <c r="V318" i="2"/>
  <c r="U318" i="2"/>
  <c r="T318" i="2"/>
  <c r="A322" i="3" s="1"/>
  <c r="G318" i="2"/>
  <c r="F318" i="2"/>
  <c r="E318" i="2"/>
  <c r="D318" i="2"/>
  <c r="C318" i="2"/>
  <c r="B318" i="2"/>
  <c r="A318" i="2"/>
  <c r="AM317" i="2"/>
  <c r="AL317" i="2"/>
  <c r="AK317" i="2"/>
  <c r="AJ317" i="2"/>
  <c r="AI317" i="2"/>
  <c r="AH317" i="2"/>
  <c r="F317" i="4" s="1"/>
  <c r="AG317" i="2"/>
  <c r="AF317" i="2"/>
  <c r="AE317" i="2"/>
  <c r="AD317" i="2"/>
  <c r="AC317" i="2"/>
  <c r="AB317" i="2"/>
  <c r="AA317" i="2"/>
  <c r="Z317" i="2"/>
  <c r="Y317" i="2"/>
  <c r="X317" i="2"/>
  <c r="W317" i="2"/>
  <c r="V317" i="2"/>
  <c r="U317" i="2"/>
  <c r="T317" i="2"/>
  <c r="A321" i="3" s="1"/>
  <c r="G317" i="2"/>
  <c r="F317" i="2"/>
  <c r="E317" i="2"/>
  <c r="D317" i="2"/>
  <c r="C317" i="2"/>
  <c r="B317" i="2"/>
  <c r="A317" i="2"/>
  <c r="AM316" i="2"/>
  <c r="AL316" i="2"/>
  <c r="AK316" i="2"/>
  <c r="AJ316" i="2"/>
  <c r="AI316" i="2"/>
  <c r="AH316" i="2"/>
  <c r="F316" i="4" s="1"/>
  <c r="AG316" i="2"/>
  <c r="AF316" i="2"/>
  <c r="AE316" i="2"/>
  <c r="AD316" i="2"/>
  <c r="AC316" i="2"/>
  <c r="AB316" i="2"/>
  <c r="AA316" i="2"/>
  <c r="Z316" i="2"/>
  <c r="Y316" i="2"/>
  <c r="X316" i="2"/>
  <c r="W316" i="2"/>
  <c r="V316" i="2"/>
  <c r="U316" i="2"/>
  <c r="T316" i="2"/>
  <c r="A320" i="3" s="1"/>
  <c r="G316" i="2"/>
  <c r="F316" i="2"/>
  <c r="E316" i="2"/>
  <c r="D316" i="2"/>
  <c r="C316" i="2"/>
  <c r="B316" i="2"/>
  <c r="A316" i="2"/>
  <c r="AM315" i="2"/>
  <c r="AL315" i="2"/>
  <c r="AK315" i="2"/>
  <c r="AJ315" i="2"/>
  <c r="AI315" i="2"/>
  <c r="AH315" i="2"/>
  <c r="F315" i="4" s="1"/>
  <c r="AG315" i="2"/>
  <c r="AF315" i="2"/>
  <c r="AE315" i="2"/>
  <c r="AD315" i="2"/>
  <c r="AC315" i="2"/>
  <c r="AB315" i="2"/>
  <c r="AA315" i="2"/>
  <c r="Z315" i="2"/>
  <c r="Y315" i="2"/>
  <c r="X315" i="2"/>
  <c r="W315" i="2"/>
  <c r="V315" i="2"/>
  <c r="U315" i="2"/>
  <c r="T315" i="2"/>
  <c r="A319" i="3" s="1"/>
  <c r="G315" i="2"/>
  <c r="F315" i="2"/>
  <c r="E315" i="2"/>
  <c r="D315" i="2"/>
  <c r="C315" i="2"/>
  <c r="B315" i="2"/>
  <c r="A315" i="2"/>
  <c r="AM314" i="2"/>
  <c r="AL314" i="2"/>
  <c r="AK314" i="2"/>
  <c r="AJ314" i="2"/>
  <c r="AI314" i="2"/>
  <c r="AH314" i="2"/>
  <c r="F314" i="4" s="1"/>
  <c r="AG314" i="2"/>
  <c r="AF314" i="2"/>
  <c r="AE314" i="2"/>
  <c r="AD314" i="2"/>
  <c r="AC314" i="2"/>
  <c r="AB314" i="2"/>
  <c r="AA314" i="2"/>
  <c r="Z314" i="2"/>
  <c r="Y314" i="2"/>
  <c r="X314" i="2"/>
  <c r="W314" i="2"/>
  <c r="V314" i="2"/>
  <c r="U314" i="2"/>
  <c r="T314" i="2"/>
  <c r="A318" i="3" s="1"/>
  <c r="G314" i="2"/>
  <c r="F314" i="2"/>
  <c r="E314" i="2"/>
  <c r="D314" i="2"/>
  <c r="C314" i="2"/>
  <c r="B314" i="2"/>
  <c r="A314" i="2"/>
  <c r="AM313" i="2"/>
  <c r="AL313" i="2"/>
  <c r="AK313" i="2"/>
  <c r="AJ313" i="2"/>
  <c r="AI313" i="2"/>
  <c r="AH313" i="2"/>
  <c r="F313" i="4" s="1"/>
  <c r="AG313" i="2"/>
  <c r="AF313" i="2"/>
  <c r="AE313" i="2"/>
  <c r="AD313" i="2"/>
  <c r="AC313" i="2"/>
  <c r="AB313" i="2"/>
  <c r="AA313" i="2"/>
  <c r="Z313" i="2"/>
  <c r="Y313" i="2"/>
  <c r="X313" i="2"/>
  <c r="W313" i="2"/>
  <c r="V313" i="2"/>
  <c r="U313" i="2"/>
  <c r="T313" i="2"/>
  <c r="A317" i="3" s="1"/>
  <c r="G313" i="2"/>
  <c r="F313" i="2"/>
  <c r="E313" i="2"/>
  <c r="D313" i="2"/>
  <c r="C313" i="2"/>
  <c r="B313" i="2"/>
  <c r="A313" i="2"/>
  <c r="AM312" i="2"/>
  <c r="AL312" i="2"/>
  <c r="AK312" i="2"/>
  <c r="AJ312" i="2"/>
  <c r="AI312" i="2"/>
  <c r="AH312" i="2"/>
  <c r="F312" i="4" s="1"/>
  <c r="AG312" i="2"/>
  <c r="AF312" i="2"/>
  <c r="AE312" i="2"/>
  <c r="AD312" i="2"/>
  <c r="AC312" i="2"/>
  <c r="AB312" i="2"/>
  <c r="AA312" i="2"/>
  <c r="Z312" i="2"/>
  <c r="Y312" i="2"/>
  <c r="X312" i="2"/>
  <c r="W312" i="2"/>
  <c r="V312" i="2"/>
  <c r="U312" i="2"/>
  <c r="T312" i="2"/>
  <c r="A316" i="3" s="1"/>
  <c r="G312" i="2"/>
  <c r="F312" i="2"/>
  <c r="E312" i="2"/>
  <c r="D312" i="2"/>
  <c r="C312" i="2"/>
  <c r="B312" i="2"/>
  <c r="A312" i="2"/>
  <c r="AM311" i="2"/>
  <c r="AL311" i="2"/>
  <c r="AK311" i="2"/>
  <c r="AJ311" i="2"/>
  <c r="AI311" i="2"/>
  <c r="AH311" i="2"/>
  <c r="F311" i="4" s="1"/>
  <c r="AG311" i="2"/>
  <c r="AF311" i="2"/>
  <c r="AE311" i="2"/>
  <c r="AD311" i="2"/>
  <c r="AC311" i="2"/>
  <c r="AB311" i="2"/>
  <c r="AA311" i="2"/>
  <c r="Z311" i="2"/>
  <c r="Y311" i="2"/>
  <c r="X311" i="2"/>
  <c r="W311" i="2"/>
  <c r="V311" i="2"/>
  <c r="U311" i="2"/>
  <c r="T311" i="2"/>
  <c r="A315" i="3" s="1"/>
  <c r="G311" i="2"/>
  <c r="F311" i="2"/>
  <c r="E311" i="2"/>
  <c r="D311" i="2"/>
  <c r="C311" i="2"/>
  <c r="B311" i="2"/>
  <c r="A311" i="2"/>
  <c r="AM310" i="2"/>
  <c r="AL310" i="2"/>
  <c r="AK310" i="2"/>
  <c r="AJ310" i="2"/>
  <c r="AI310" i="2"/>
  <c r="AH310" i="2"/>
  <c r="F310" i="4" s="1"/>
  <c r="AG310" i="2"/>
  <c r="AF310" i="2"/>
  <c r="AE310" i="2"/>
  <c r="AD310" i="2"/>
  <c r="AC310" i="2"/>
  <c r="AB310" i="2"/>
  <c r="AA310" i="2"/>
  <c r="Z310" i="2"/>
  <c r="Y310" i="2"/>
  <c r="X310" i="2"/>
  <c r="W310" i="2"/>
  <c r="V310" i="2"/>
  <c r="U310" i="2"/>
  <c r="T310" i="2"/>
  <c r="A314" i="3" s="1"/>
  <c r="G310" i="2"/>
  <c r="F310" i="2"/>
  <c r="E310" i="2"/>
  <c r="D310" i="2"/>
  <c r="C310" i="2"/>
  <c r="B310" i="2"/>
  <c r="A310" i="2"/>
  <c r="AM309" i="2"/>
  <c r="AL309" i="2"/>
  <c r="AK309" i="2"/>
  <c r="AJ309" i="2"/>
  <c r="AI309" i="2"/>
  <c r="AH309" i="2"/>
  <c r="F309" i="4" s="1"/>
  <c r="AG309" i="2"/>
  <c r="AF309" i="2"/>
  <c r="AE309" i="2"/>
  <c r="AD309" i="2"/>
  <c r="AC309" i="2"/>
  <c r="AB309" i="2"/>
  <c r="AA309" i="2"/>
  <c r="Z309" i="2"/>
  <c r="Y309" i="2"/>
  <c r="X309" i="2"/>
  <c r="W309" i="2"/>
  <c r="V309" i="2"/>
  <c r="U309" i="2"/>
  <c r="T309" i="2"/>
  <c r="A313" i="3" s="1"/>
  <c r="G309" i="2"/>
  <c r="F309" i="2"/>
  <c r="E309" i="2"/>
  <c r="D309" i="2"/>
  <c r="C309" i="2"/>
  <c r="B309" i="2"/>
  <c r="A309" i="2"/>
  <c r="AM308" i="2"/>
  <c r="AL308" i="2"/>
  <c r="AK308" i="2"/>
  <c r="AJ308" i="2"/>
  <c r="AI308" i="2"/>
  <c r="AH308" i="2"/>
  <c r="F308" i="4" s="1"/>
  <c r="AG308" i="2"/>
  <c r="AF308" i="2"/>
  <c r="AE308" i="2"/>
  <c r="AD308" i="2"/>
  <c r="AC308" i="2"/>
  <c r="AB308" i="2"/>
  <c r="AA308" i="2"/>
  <c r="Z308" i="2"/>
  <c r="Y308" i="2"/>
  <c r="X308" i="2"/>
  <c r="W308" i="2"/>
  <c r="V308" i="2"/>
  <c r="U308" i="2"/>
  <c r="T308" i="2"/>
  <c r="A312" i="3" s="1"/>
  <c r="G308" i="2"/>
  <c r="F308" i="2"/>
  <c r="E308" i="2"/>
  <c r="D308" i="2"/>
  <c r="C308" i="2"/>
  <c r="B308" i="2"/>
  <c r="A308" i="2"/>
  <c r="AM307" i="2"/>
  <c r="AL307" i="2"/>
  <c r="AK307" i="2"/>
  <c r="AJ307" i="2"/>
  <c r="AI307" i="2"/>
  <c r="AH307" i="2"/>
  <c r="F307" i="4" s="1"/>
  <c r="AG307" i="2"/>
  <c r="AF307" i="2"/>
  <c r="AE307" i="2"/>
  <c r="AD307" i="2"/>
  <c r="AC307" i="2"/>
  <c r="AB307" i="2"/>
  <c r="AA307" i="2"/>
  <c r="Z307" i="2"/>
  <c r="Y307" i="2"/>
  <c r="X307" i="2"/>
  <c r="W307" i="2"/>
  <c r="V307" i="2"/>
  <c r="U307" i="2"/>
  <c r="T307" i="2"/>
  <c r="A311" i="3" s="1"/>
  <c r="G307" i="2"/>
  <c r="F307" i="2"/>
  <c r="E307" i="2"/>
  <c r="D307" i="2"/>
  <c r="C307" i="2"/>
  <c r="B307" i="2"/>
  <c r="A307" i="2"/>
  <c r="AM306" i="2"/>
  <c r="AL306" i="2"/>
  <c r="AK306" i="2"/>
  <c r="AJ306" i="2"/>
  <c r="AI306" i="2"/>
  <c r="AH306" i="2"/>
  <c r="F306" i="4" s="1"/>
  <c r="AG306" i="2"/>
  <c r="AF306" i="2"/>
  <c r="AE306" i="2"/>
  <c r="AD306" i="2"/>
  <c r="AC306" i="2"/>
  <c r="AB306" i="2"/>
  <c r="AA306" i="2"/>
  <c r="Z306" i="2"/>
  <c r="Y306" i="2"/>
  <c r="X306" i="2"/>
  <c r="W306" i="2"/>
  <c r="V306" i="2"/>
  <c r="U306" i="2"/>
  <c r="T306" i="2"/>
  <c r="A310" i="3" s="1"/>
  <c r="G306" i="2"/>
  <c r="F306" i="2"/>
  <c r="E306" i="2"/>
  <c r="D306" i="2"/>
  <c r="C306" i="2"/>
  <c r="B306" i="2"/>
  <c r="A306" i="2"/>
  <c r="AM305" i="2"/>
  <c r="AL305" i="2"/>
  <c r="AK305" i="2"/>
  <c r="AJ305" i="2"/>
  <c r="AI305" i="2"/>
  <c r="AH305" i="2"/>
  <c r="F305" i="4" s="1"/>
  <c r="AG305" i="2"/>
  <c r="AF305" i="2"/>
  <c r="AE305" i="2"/>
  <c r="AD305" i="2"/>
  <c r="AC305" i="2"/>
  <c r="AB305" i="2"/>
  <c r="AA305" i="2"/>
  <c r="Z305" i="2"/>
  <c r="Y305" i="2"/>
  <c r="X305" i="2"/>
  <c r="W305" i="2"/>
  <c r="V305" i="2"/>
  <c r="U305" i="2"/>
  <c r="T305" i="2"/>
  <c r="A309" i="3" s="1"/>
  <c r="G305" i="2"/>
  <c r="F305" i="2"/>
  <c r="E305" i="2"/>
  <c r="D305" i="2"/>
  <c r="C305" i="2"/>
  <c r="B305" i="2"/>
  <c r="A305" i="2"/>
  <c r="AM304" i="2"/>
  <c r="AL304" i="2"/>
  <c r="AK304" i="2"/>
  <c r="AJ304" i="2"/>
  <c r="AI304" i="2"/>
  <c r="AH304" i="2"/>
  <c r="F304" i="4" s="1"/>
  <c r="AG304" i="2"/>
  <c r="AF304" i="2"/>
  <c r="AE304" i="2"/>
  <c r="AD304" i="2"/>
  <c r="AC304" i="2"/>
  <c r="AB304" i="2"/>
  <c r="AA304" i="2"/>
  <c r="Z304" i="2"/>
  <c r="Y304" i="2"/>
  <c r="X304" i="2"/>
  <c r="W304" i="2"/>
  <c r="V304" i="2"/>
  <c r="U304" i="2"/>
  <c r="T304" i="2"/>
  <c r="A308" i="3" s="1"/>
  <c r="G304" i="2"/>
  <c r="F304" i="2"/>
  <c r="E304" i="2"/>
  <c r="D304" i="2"/>
  <c r="C304" i="2"/>
  <c r="B304" i="2"/>
  <c r="A304" i="2"/>
  <c r="AM303" i="2"/>
  <c r="AL303" i="2"/>
  <c r="AK303" i="2"/>
  <c r="AJ303" i="2"/>
  <c r="AI303" i="2"/>
  <c r="AH303" i="2"/>
  <c r="F303" i="4" s="1"/>
  <c r="AG303" i="2"/>
  <c r="AF303" i="2"/>
  <c r="AE303" i="2"/>
  <c r="AD303" i="2"/>
  <c r="AC303" i="2"/>
  <c r="AB303" i="2"/>
  <c r="AA303" i="2"/>
  <c r="Z303" i="2"/>
  <c r="Y303" i="2"/>
  <c r="X303" i="2"/>
  <c r="W303" i="2"/>
  <c r="V303" i="2"/>
  <c r="U303" i="2"/>
  <c r="T303" i="2"/>
  <c r="A307" i="3" s="1"/>
  <c r="G303" i="2"/>
  <c r="F303" i="2"/>
  <c r="E303" i="2"/>
  <c r="D303" i="2"/>
  <c r="C303" i="2"/>
  <c r="B303" i="2"/>
  <c r="A303" i="2"/>
  <c r="AM302" i="2"/>
  <c r="AL302" i="2"/>
  <c r="AK302" i="2"/>
  <c r="AJ302" i="2"/>
  <c r="AI302" i="2"/>
  <c r="AH302" i="2"/>
  <c r="F302" i="4" s="1"/>
  <c r="AG302" i="2"/>
  <c r="AF302" i="2"/>
  <c r="AE302" i="2"/>
  <c r="AD302" i="2"/>
  <c r="AC302" i="2"/>
  <c r="AB302" i="2"/>
  <c r="AA302" i="2"/>
  <c r="Z302" i="2"/>
  <c r="Y302" i="2"/>
  <c r="X302" i="2"/>
  <c r="W302" i="2"/>
  <c r="V302" i="2"/>
  <c r="U302" i="2"/>
  <c r="T302" i="2"/>
  <c r="A306" i="3" s="1"/>
  <c r="G302" i="2"/>
  <c r="F302" i="2"/>
  <c r="E302" i="2"/>
  <c r="D302" i="2"/>
  <c r="C302" i="2"/>
  <c r="B302" i="2"/>
  <c r="A302" i="2"/>
  <c r="AM301" i="2"/>
  <c r="AL301" i="2"/>
  <c r="AK301" i="2"/>
  <c r="AJ301" i="2"/>
  <c r="AI301" i="2"/>
  <c r="AH301" i="2"/>
  <c r="F301" i="4" s="1"/>
  <c r="AG301" i="2"/>
  <c r="AF301" i="2"/>
  <c r="AE301" i="2"/>
  <c r="AD301" i="2"/>
  <c r="AC301" i="2"/>
  <c r="AB301" i="2"/>
  <c r="AA301" i="2"/>
  <c r="Z301" i="2"/>
  <c r="Y301" i="2"/>
  <c r="X301" i="2"/>
  <c r="W301" i="2"/>
  <c r="V301" i="2"/>
  <c r="U301" i="2"/>
  <c r="T301" i="2"/>
  <c r="A305" i="3" s="1"/>
  <c r="G301" i="2"/>
  <c r="F301" i="2"/>
  <c r="E301" i="2"/>
  <c r="D301" i="2"/>
  <c r="C301" i="2"/>
  <c r="B301" i="2"/>
  <c r="A301" i="2"/>
  <c r="AM300" i="2"/>
  <c r="AL300" i="2"/>
  <c r="AK300" i="2"/>
  <c r="AJ300" i="2"/>
  <c r="AI300" i="2"/>
  <c r="AH300" i="2"/>
  <c r="F300" i="4" s="1"/>
  <c r="AG300" i="2"/>
  <c r="AF300" i="2"/>
  <c r="AE300" i="2"/>
  <c r="AD300" i="2"/>
  <c r="AC300" i="2"/>
  <c r="AB300" i="2"/>
  <c r="AA300" i="2"/>
  <c r="Z300" i="2"/>
  <c r="Y300" i="2"/>
  <c r="X300" i="2"/>
  <c r="W300" i="2"/>
  <c r="V300" i="2"/>
  <c r="U300" i="2"/>
  <c r="T300" i="2"/>
  <c r="A304" i="3" s="1"/>
  <c r="G300" i="2"/>
  <c r="F300" i="2"/>
  <c r="E300" i="2"/>
  <c r="D300" i="2"/>
  <c r="C300" i="2"/>
  <c r="B300" i="2"/>
  <c r="A300" i="2"/>
  <c r="AM299" i="2"/>
  <c r="AL299" i="2"/>
  <c r="AK299" i="2"/>
  <c r="AJ299" i="2"/>
  <c r="AI299" i="2"/>
  <c r="AH299" i="2"/>
  <c r="F299" i="4" s="1"/>
  <c r="AG299" i="2"/>
  <c r="AF299" i="2"/>
  <c r="AE299" i="2"/>
  <c r="AD299" i="2"/>
  <c r="AC299" i="2"/>
  <c r="AB299" i="2"/>
  <c r="AA299" i="2"/>
  <c r="Z299" i="2"/>
  <c r="Y299" i="2"/>
  <c r="X299" i="2"/>
  <c r="W299" i="2"/>
  <c r="V299" i="2"/>
  <c r="U299" i="2"/>
  <c r="T299" i="2"/>
  <c r="A303" i="3" s="1"/>
  <c r="G299" i="2"/>
  <c r="F299" i="2"/>
  <c r="E299" i="2"/>
  <c r="D299" i="2"/>
  <c r="C299" i="2"/>
  <c r="B299" i="2"/>
  <c r="A299" i="2"/>
  <c r="AM298" i="2"/>
  <c r="AL298" i="2"/>
  <c r="AK298" i="2"/>
  <c r="AJ298" i="2"/>
  <c r="AI298" i="2"/>
  <c r="AH298" i="2"/>
  <c r="F298" i="4" s="1"/>
  <c r="AG298" i="2"/>
  <c r="AF298" i="2"/>
  <c r="AE298" i="2"/>
  <c r="AD298" i="2"/>
  <c r="AC298" i="2"/>
  <c r="AB298" i="2"/>
  <c r="AA298" i="2"/>
  <c r="Z298" i="2"/>
  <c r="Y298" i="2"/>
  <c r="X298" i="2"/>
  <c r="W298" i="2"/>
  <c r="V298" i="2"/>
  <c r="U298" i="2"/>
  <c r="T298" i="2"/>
  <c r="A302" i="3" s="1"/>
  <c r="G298" i="2"/>
  <c r="F298" i="2"/>
  <c r="E298" i="2"/>
  <c r="D298" i="2"/>
  <c r="C298" i="2"/>
  <c r="B298" i="2"/>
  <c r="A298" i="2"/>
  <c r="AM297" i="2"/>
  <c r="AL297" i="2"/>
  <c r="AK297" i="2"/>
  <c r="AJ297" i="2"/>
  <c r="AI297" i="2"/>
  <c r="AH297" i="2"/>
  <c r="F297" i="4" s="1"/>
  <c r="AG297" i="2"/>
  <c r="AF297" i="2"/>
  <c r="AE297" i="2"/>
  <c r="AD297" i="2"/>
  <c r="AC297" i="2"/>
  <c r="AB297" i="2"/>
  <c r="AA297" i="2"/>
  <c r="Z297" i="2"/>
  <c r="Y297" i="2"/>
  <c r="X297" i="2"/>
  <c r="W297" i="2"/>
  <c r="V297" i="2"/>
  <c r="U297" i="2"/>
  <c r="T297" i="2"/>
  <c r="A301" i="3" s="1"/>
  <c r="G297" i="2"/>
  <c r="F297" i="2"/>
  <c r="E297" i="2"/>
  <c r="D297" i="2"/>
  <c r="C297" i="2"/>
  <c r="B297" i="2"/>
  <c r="A297" i="2"/>
  <c r="AM296" i="2"/>
  <c r="AL296" i="2"/>
  <c r="AK296" i="2"/>
  <c r="AJ296" i="2"/>
  <c r="AI296" i="2"/>
  <c r="AH296" i="2"/>
  <c r="F296" i="4" s="1"/>
  <c r="AG296" i="2"/>
  <c r="AF296" i="2"/>
  <c r="AE296" i="2"/>
  <c r="AD296" i="2"/>
  <c r="AC296" i="2"/>
  <c r="AB296" i="2"/>
  <c r="AA296" i="2"/>
  <c r="Z296" i="2"/>
  <c r="Y296" i="2"/>
  <c r="X296" i="2"/>
  <c r="W296" i="2"/>
  <c r="V296" i="2"/>
  <c r="U296" i="2"/>
  <c r="T296" i="2"/>
  <c r="A300" i="3" s="1"/>
  <c r="G296" i="2"/>
  <c r="F296" i="2"/>
  <c r="E296" i="2"/>
  <c r="D296" i="2"/>
  <c r="C296" i="2"/>
  <c r="B296" i="2"/>
  <c r="A296" i="2"/>
  <c r="AM295" i="2"/>
  <c r="AL295" i="2"/>
  <c r="AK295" i="2"/>
  <c r="AJ295" i="2"/>
  <c r="AI295" i="2"/>
  <c r="AH295" i="2"/>
  <c r="F295" i="4" s="1"/>
  <c r="AG295" i="2"/>
  <c r="AF295" i="2"/>
  <c r="AE295" i="2"/>
  <c r="AD295" i="2"/>
  <c r="AC295" i="2"/>
  <c r="AB295" i="2"/>
  <c r="AA295" i="2"/>
  <c r="Z295" i="2"/>
  <c r="Y295" i="2"/>
  <c r="X295" i="2"/>
  <c r="W295" i="2"/>
  <c r="V295" i="2"/>
  <c r="U295" i="2"/>
  <c r="T295" i="2"/>
  <c r="A299" i="3" s="1"/>
  <c r="G295" i="2"/>
  <c r="F295" i="2"/>
  <c r="E295" i="2"/>
  <c r="D295" i="2"/>
  <c r="C295" i="2"/>
  <c r="B295" i="2"/>
  <c r="A295" i="2"/>
  <c r="AM294" i="2"/>
  <c r="AL294" i="2"/>
  <c r="AK294" i="2"/>
  <c r="AJ294" i="2"/>
  <c r="AI294" i="2"/>
  <c r="AH294" i="2"/>
  <c r="F294" i="4" s="1"/>
  <c r="AG294" i="2"/>
  <c r="AF294" i="2"/>
  <c r="AE294" i="2"/>
  <c r="AD294" i="2"/>
  <c r="AC294" i="2"/>
  <c r="AB294" i="2"/>
  <c r="AA294" i="2"/>
  <c r="Z294" i="2"/>
  <c r="Y294" i="2"/>
  <c r="X294" i="2"/>
  <c r="W294" i="2"/>
  <c r="V294" i="2"/>
  <c r="U294" i="2"/>
  <c r="T294" i="2"/>
  <c r="A298" i="3" s="1"/>
  <c r="G294" i="2"/>
  <c r="F294" i="2"/>
  <c r="E294" i="2"/>
  <c r="D294" i="2"/>
  <c r="C294" i="2"/>
  <c r="B294" i="2"/>
  <c r="A294" i="2"/>
  <c r="AM293" i="2"/>
  <c r="AL293" i="2"/>
  <c r="AK293" i="2"/>
  <c r="AJ293" i="2"/>
  <c r="AI293" i="2"/>
  <c r="AH293" i="2"/>
  <c r="F293" i="4" s="1"/>
  <c r="AG293" i="2"/>
  <c r="AF293" i="2"/>
  <c r="AE293" i="2"/>
  <c r="AD293" i="2"/>
  <c r="AC293" i="2"/>
  <c r="AB293" i="2"/>
  <c r="AA293" i="2"/>
  <c r="Z293" i="2"/>
  <c r="Y293" i="2"/>
  <c r="X293" i="2"/>
  <c r="W293" i="2"/>
  <c r="V293" i="2"/>
  <c r="U293" i="2"/>
  <c r="T293" i="2"/>
  <c r="A297" i="3" s="1"/>
  <c r="G293" i="2"/>
  <c r="F293" i="2"/>
  <c r="E293" i="2"/>
  <c r="D293" i="2"/>
  <c r="C293" i="2"/>
  <c r="B293" i="2"/>
  <c r="A293" i="2"/>
  <c r="AM292" i="2"/>
  <c r="AL292" i="2"/>
  <c r="AK292" i="2"/>
  <c r="AJ292" i="2"/>
  <c r="AI292" i="2"/>
  <c r="AH292" i="2"/>
  <c r="F292" i="4" s="1"/>
  <c r="AG292" i="2"/>
  <c r="AF292" i="2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A296" i="3" s="1"/>
  <c r="G292" i="2"/>
  <c r="F292" i="2"/>
  <c r="E292" i="2"/>
  <c r="D292" i="2"/>
  <c r="C292" i="2"/>
  <c r="B292" i="2"/>
  <c r="A292" i="2"/>
  <c r="AM291" i="2"/>
  <c r="AL291" i="2"/>
  <c r="AK291" i="2"/>
  <c r="AJ291" i="2"/>
  <c r="AI291" i="2"/>
  <c r="AH291" i="2"/>
  <c r="F291" i="4" s="1"/>
  <c r="AG291" i="2"/>
  <c r="AF291" i="2"/>
  <c r="AE291" i="2"/>
  <c r="AD291" i="2"/>
  <c r="AC291" i="2"/>
  <c r="AB291" i="2"/>
  <c r="AA291" i="2"/>
  <c r="Z291" i="2"/>
  <c r="Y291" i="2"/>
  <c r="X291" i="2"/>
  <c r="W291" i="2"/>
  <c r="V291" i="2"/>
  <c r="U291" i="2"/>
  <c r="T291" i="2"/>
  <c r="A295" i="3" s="1"/>
  <c r="G291" i="2"/>
  <c r="F291" i="2"/>
  <c r="E291" i="2"/>
  <c r="D291" i="2"/>
  <c r="C291" i="2"/>
  <c r="B291" i="2"/>
  <c r="A291" i="2"/>
  <c r="AM290" i="2"/>
  <c r="AL290" i="2"/>
  <c r="AK290" i="2"/>
  <c r="AJ290" i="2"/>
  <c r="AI290" i="2"/>
  <c r="AH290" i="2"/>
  <c r="F290" i="4" s="1"/>
  <c r="AG290" i="2"/>
  <c r="AF290" i="2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A294" i="3" s="1"/>
  <c r="G290" i="2"/>
  <c r="F290" i="2"/>
  <c r="E290" i="2"/>
  <c r="D290" i="2"/>
  <c r="C290" i="2"/>
  <c r="B290" i="2"/>
  <c r="A290" i="2"/>
  <c r="AM289" i="2"/>
  <c r="AL289" i="2"/>
  <c r="AK289" i="2"/>
  <c r="AJ289" i="2"/>
  <c r="AI289" i="2"/>
  <c r="AH289" i="2"/>
  <c r="F289" i="4" s="1"/>
  <c r="AG289" i="2"/>
  <c r="AF289" i="2"/>
  <c r="AE289" i="2"/>
  <c r="AD289" i="2"/>
  <c r="AC289" i="2"/>
  <c r="AB289" i="2"/>
  <c r="AA289" i="2"/>
  <c r="Z289" i="2"/>
  <c r="Y289" i="2"/>
  <c r="X289" i="2"/>
  <c r="W289" i="2"/>
  <c r="V289" i="2"/>
  <c r="U289" i="2"/>
  <c r="T289" i="2"/>
  <c r="A293" i="3" s="1"/>
  <c r="G289" i="2"/>
  <c r="F289" i="2"/>
  <c r="E289" i="2"/>
  <c r="D289" i="2"/>
  <c r="C289" i="2"/>
  <c r="B289" i="2"/>
  <c r="A289" i="2"/>
  <c r="AM288" i="2"/>
  <c r="AL288" i="2"/>
  <c r="AK288" i="2"/>
  <c r="AJ288" i="2"/>
  <c r="AI288" i="2"/>
  <c r="AH288" i="2"/>
  <c r="F288" i="4" s="1"/>
  <c r="AG288" i="2"/>
  <c r="AF288" i="2"/>
  <c r="AE288" i="2"/>
  <c r="AD288" i="2"/>
  <c r="AC288" i="2"/>
  <c r="AB288" i="2"/>
  <c r="AA288" i="2"/>
  <c r="Z288" i="2"/>
  <c r="Y288" i="2"/>
  <c r="X288" i="2"/>
  <c r="W288" i="2"/>
  <c r="V288" i="2"/>
  <c r="U288" i="2"/>
  <c r="T288" i="2"/>
  <c r="A292" i="3" s="1"/>
  <c r="G288" i="2"/>
  <c r="F288" i="2"/>
  <c r="E288" i="2"/>
  <c r="D288" i="2"/>
  <c r="C288" i="2"/>
  <c r="B288" i="2"/>
  <c r="A288" i="2"/>
  <c r="AM287" i="2"/>
  <c r="AL287" i="2"/>
  <c r="AK287" i="2"/>
  <c r="AJ287" i="2"/>
  <c r="AI287" i="2"/>
  <c r="AH287" i="2"/>
  <c r="F287" i="4" s="1"/>
  <c r="AG287" i="2"/>
  <c r="AF287" i="2"/>
  <c r="AE287" i="2"/>
  <c r="AD287" i="2"/>
  <c r="AC287" i="2"/>
  <c r="AB287" i="2"/>
  <c r="AA287" i="2"/>
  <c r="Z287" i="2"/>
  <c r="Y287" i="2"/>
  <c r="X287" i="2"/>
  <c r="W287" i="2"/>
  <c r="V287" i="2"/>
  <c r="U287" i="2"/>
  <c r="T287" i="2"/>
  <c r="A291" i="3" s="1"/>
  <c r="G287" i="2"/>
  <c r="F287" i="2"/>
  <c r="E287" i="2"/>
  <c r="D287" i="2"/>
  <c r="C287" i="2"/>
  <c r="B287" i="2"/>
  <c r="A287" i="2"/>
  <c r="AM286" i="2"/>
  <c r="AL286" i="2"/>
  <c r="AK286" i="2"/>
  <c r="AJ286" i="2"/>
  <c r="AI286" i="2"/>
  <c r="AH286" i="2"/>
  <c r="F286" i="4" s="1"/>
  <c r="AG286" i="2"/>
  <c r="AF286" i="2"/>
  <c r="AE286" i="2"/>
  <c r="AD286" i="2"/>
  <c r="AC286" i="2"/>
  <c r="AB286" i="2"/>
  <c r="AA286" i="2"/>
  <c r="Z286" i="2"/>
  <c r="Y286" i="2"/>
  <c r="X286" i="2"/>
  <c r="W286" i="2"/>
  <c r="V286" i="2"/>
  <c r="U286" i="2"/>
  <c r="T286" i="2"/>
  <c r="A290" i="3" s="1"/>
  <c r="G286" i="2"/>
  <c r="F286" i="2"/>
  <c r="E286" i="2"/>
  <c r="D286" i="2"/>
  <c r="C286" i="2"/>
  <c r="B286" i="2"/>
  <c r="A286" i="2"/>
  <c r="AM285" i="2"/>
  <c r="AL285" i="2"/>
  <c r="AK285" i="2"/>
  <c r="AJ285" i="2"/>
  <c r="AI285" i="2"/>
  <c r="AH285" i="2"/>
  <c r="F285" i="4" s="1"/>
  <c r="AG285" i="2"/>
  <c r="AF285" i="2"/>
  <c r="AE285" i="2"/>
  <c r="AD285" i="2"/>
  <c r="AC285" i="2"/>
  <c r="AB285" i="2"/>
  <c r="AA285" i="2"/>
  <c r="Z285" i="2"/>
  <c r="Y285" i="2"/>
  <c r="X285" i="2"/>
  <c r="W285" i="2"/>
  <c r="V285" i="2"/>
  <c r="U285" i="2"/>
  <c r="T285" i="2"/>
  <c r="A289" i="3" s="1"/>
  <c r="G285" i="2"/>
  <c r="F285" i="2"/>
  <c r="E285" i="2"/>
  <c r="D285" i="2"/>
  <c r="C285" i="2"/>
  <c r="B285" i="2"/>
  <c r="A285" i="2"/>
  <c r="AM284" i="2"/>
  <c r="AL284" i="2"/>
  <c r="AK284" i="2"/>
  <c r="AJ284" i="2"/>
  <c r="AI284" i="2"/>
  <c r="AH284" i="2"/>
  <c r="F284" i="4" s="1"/>
  <c r="AG284" i="2"/>
  <c r="AF284" i="2"/>
  <c r="AE284" i="2"/>
  <c r="AD284" i="2"/>
  <c r="AC284" i="2"/>
  <c r="AB284" i="2"/>
  <c r="AA284" i="2"/>
  <c r="Z284" i="2"/>
  <c r="Y284" i="2"/>
  <c r="X284" i="2"/>
  <c r="W284" i="2"/>
  <c r="V284" i="2"/>
  <c r="U284" i="2"/>
  <c r="T284" i="2"/>
  <c r="A288" i="3" s="1"/>
  <c r="G284" i="2"/>
  <c r="F284" i="2"/>
  <c r="E284" i="2"/>
  <c r="D284" i="2"/>
  <c r="C284" i="2"/>
  <c r="B284" i="2"/>
  <c r="A284" i="2"/>
  <c r="AM283" i="2"/>
  <c r="AL283" i="2"/>
  <c r="AK283" i="2"/>
  <c r="AJ283" i="2"/>
  <c r="AI283" i="2"/>
  <c r="AH283" i="2"/>
  <c r="F283" i="4" s="1"/>
  <c r="AG283" i="2"/>
  <c r="AF283" i="2"/>
  <c r="AE283" i="2"/>
  <c r="AD283" i="2"/>
  <c r="AC283" i="2"/>
  <c r="AB283" i="2"/>
  <c r="AA283" i="2"/>
  <c r="Z283" i="2"/>
  <c r="Y283" i="2"/>
  <c r="X283" i="2"/>
  <c r="W283" i="2"/>
  <c r="V283" i="2"/>
  <c r="U283" i="2"/>
  <c r="T283" i="2"/>
  <c r="A287" i="3" s="1"/>
  <c r="G283" i="2"/>
  <c r="F283" i="2"/>
  <c r="E283" i="2"/>
  <c r="D283" i="2"/>
  <c r="C283" i="2"/>
  <c r="B283" i="2"/>
  <c r="A283" i="2"/>
  <c r="AM282" i="2"/>
  <c r="AL282" i="2"/>
  <c r="AK282" i="2"/>
  <c r="AJ282" i="2"/>
  <c r="AI282" i="2"/>
  <c r="AH282" i="2"/>
  <c r="F282" i="4" s="1"/>
  <c r="AG282" i="2"/>
  <c r="AF282" i="2"/>
  <c r="AE282" i="2"/>
  <c r="AD282" i="2"/>
  <c r="AC282" i="2"/>
  <c r="AB282" i="2"/>
  <c r="AA282" i="2"/>
  <c r="Z282" i="2"/>
  <c r="Y282" i="2"/>
  <c r="X282" i="2"/>
  <c r="W282" i="2"/>
  <c r="V282" i="2"/>
  <c r="U282" i="2"/>
  <c r="T282" i="2"/>
  <c r="A286" i="3" s="1"/>
  <c r="G282" i="2"/>
  <c r="F282" i="2"/>
  <c r="E282" i="2"/>
  <c r="D282" i="2"/>
  <c r="C282" i="2"/>
  <c r="B282" i="2"/>
  <c r="A282" i="2"/>
  <c r="AM281" i="2"/>
  <c r="AL281" i="2"/>
  <c r="AK281" i="2"/>
  <c r="AJ281" i="2"/>
  <c r="AI281" i="2"/>
  <c r="AH281" i="2"/>
  <c r="F281" i="4" s="1"/>
  <c r="AG281" i="2"/>
  <c r="AF281" i="2"/>
  <c r="AE281" i="2"/>
  <c r="AD281" i="2"/>
  <c r="AC281" i="2"/>
  <c r="AB281" i="2"/>
  <c r="AA281" i="2"/>
  <c r="Z281" i="2"/>
  <c r="Y281" i="2"/>
  <c r="X281" i="2"/>
  <c r="W281" i="2"/>
  <c r="V281" i="2"/>
  <c r="U281" i="2"/>
  <c r="T281" i="2"/>
  <c r="A285" i="3" s="1"/>
  <c r="G281" i="2"/>
  <c r="F281" i="2"/>
  <c r="E281" i="2"/>
  <c r="D281" i="2"/>
  <c r="C281" i="2"/>
  <c r="B281" i="2"/>
  <c r="A281" i="2"/>
  <c r="AM280" i="2"/>
  <c r="AL280" i="2"/>
  <c r="AK280" i="2"/>
  <c r="AJ280" i="2"/>
  <c r="AI280" i="2"/>
  <c r="AH280" i="2"/>
  <c r="F280" i="4" s="1"/>
  <c r="AG280" i="2"/>
  <c r="AF280" i="2"/>
  <c r="AE280" i="2"/>
  <c r="AD280" i="2"/>
  <c r="AC280" i="2"/>
  <c r="AB280" i="2"/>
  <c r="AA280" i="2"/>
  <c r="Z280" i="2"/>
  <c r="Y280" i="2"/>
  <c r="X280" i="2"/>
  <c r="W280" i="2"/>
  <c r="V280" i="2"/>
  <c r="U280" i="2"/>
  <c r="T280" i="2"/>
  <c r="A284" i="3" s="1"/>
  <c r="G280" i="2"/>
  <c r="F280" i="2"/>
  <c r="E280" i="2"/>
  <c r="D280" i="2"/>
  <c r="C280" i="2"/>
  <c r="B280" i="2"/>
  <c r="A280" i="2"/>
  <c r="AM279" i="2"/>
  <c r="AL279" i="2"/>
  <c r="AK279" i="2"/>
  <c r="AJ279" i="2"/>
  <c r="AI279" i="2"/>
  <c r="AH279" i="2"/>
  <c r="F279" i="4" s="1"/>
  <c r="AG279" i="2"/>
  <c r="AF279" i="2"/>
  <c r="AE279" i="2"/>
  <c r="AD279" i="2"/>
  <c r="AC279" i="2"/>
  <c r="AB279" i="2"/>
  <c r="AA279" i="2"/>
  <c r="Z279" i="2"/>
  <c r="Y279" i="2"/>
  <c r="X279" i="2"/>
  <c r="W279" i="2"/>
  <c r="V279" i="2"/>
  <c r="U279" i="2"/>
  <c r="T279" i="2"/>
  <c r="A283" i="3" s="1"/>
  <c r="G279" i="2"/>
  <c r="F279" i="2"/>
  <c r="E279" i="2"/>
  <c r="D279" i="2"/>
  <c r="C279" i="2"/>
  <c r="B279" i="2"/>
  <c r="A279" i="2"/>
  <c r="AM278" i="2"/>
  <c r="AL278" i="2"/>
  <c r="AK278" i="2"/>
  <c r="AJ278" i="2"/>
  <c r="AI278" i="2"/>
  <c r="AH278" i="2"/>
  <c r="F278" i="4" s="1"/>
  <c r="AG278" i="2"/>
  <c r="AF278" i="2"/>
  <c r="AE278" i="2"/>
  <c r="AD278" i="2"/>
  <c r="AC278" i="2"/>
  <c r="AB278" i="2"/>
  <c r="AA278" i="2"/>
  <c r="Z278" i="2"/>
  <c r="Y278" i="2"/>
  <c r="X278" i="2"/>
  <c r="W278" i="2"/>
  <c r="V278" i="2"/>
  <c r="U278" i="2"/>
  <c r="T278" i="2"/>
  <c r="A282" i="3" s="1"/>
  <c r="G278" i="2"/>
  <c r="F278" i="2"/>
  <c r="E278" i="2"/>
  <c r="D278" i="2"/>
  <c r="C278" i="2"/>
  <c r="B278" i="2"/>
  <c r="A278" i="2"/>
  <c r="AM277" i="2"/>
  <c r="AL277" i="2"/>
  <c r="AK277" i="2"/>
  <c r="AJ277" i="2"/>
  <c r="AI277" i="2"/>
  <c r="AH277" i="2"/>
  <c r="F277" i="4" s="1"/>
  <c r="AG277" i="2"/>
  <c r="AF277" i="2"/>
  <c r="AE277" i="2"/>
  <c r="AD277" i="2"/>
  <c r="AC277" i="2"/>
  <c r="AB277" i="2"/>
  <c r="AA277" i="2"/>
  <c r="Z277" i="2"/>
  <c r="Y277" i="2"/>
  <c r="X277" i="2"/>
  <c r="W277" i="2"/>
  <c r="V277" i="2"/>
  <c r="U277" i="2"/>
  <c r="T277" i="2"/>
  <c r="A281" i="3" s="1"/>
  <c r="G277" i="2"/>
  <c r="F277" i="2"/>
  <c r="E277" i="2"/>
  <c r="D277" i="2"/>
  <c r="C277" i="2"/>
  <c r="B277" i="2"/>
  <c r="A277" i="2"/>
  <c r="AM276" i="2"/>
  <c r="AL276" i="2"/>
  <c r="AK276" i="2"/>
  <c r="AJ276" i="2"/>
  <c r="AI276" i="2"/>
  <c r="AH276" i="2"/>
  <c r="F276" i="4" s="1"/>
  <c r="AG276" i="2"/>
  <c r="AF276" i="2"/>
  <c r="AE276" i="2"/>
  <c r="AD276" i="2"/>
  <c r="AC276" i="2"/>
  <c r="AB276" i="2"/>
  <c r="AA276" i="2"/>
  <c r="Z276" i="2"/>
  <c r="Y276" i="2"/>
  <c r="X276" i="2"/>
  <c r="W276" i="2"/>
  <c r="V276" i="2"/>
  <c r="U276" i="2"/>
  <c r="T276" i="2"/>
  <c r="A280" i="3" s="1"/>
  <c r="G276" i="2"/>
  <c r="F276" i="2"/>
  <c r="E276" i="2"/>
  <c r="D276" i="2"/>
  <c r="C276" i="2"/>
  <c r="B276" i="2"/>
  <c r="A276" i="2"/>
  <c r="AM275" i="2"/>
  <c r="AL275" i="2"/>
  <c r="AK275" i="2"/>
  <c r="AJ275" i="2"/>
  <c r="AI275" i="2"/>
  <c r="AH275" i="2"/>
  <c r="F275" i="4" s="1"/>
  <c r="AG275" i="2"/>
  <c r="AF275" i="2"/>
  <c r="AE275" i="2"/>
  <c r="AD275" i="2"/>
  <c r="AC275" i="2"/>
  <c r="AB275" i="2"/>
  <c r="AA275" i="2"/>
  <c r="Z275" i="2"/>
  <c r="Y275" i="2"/>
  <c r="X275" i="2"/>
  <c r="W275" i="2"/>
  <c r="V275" i="2"/>
  <c r="U275" i="2"/>
  <c r="T275" i="2"/>
  <c r="A279" i="3" s="1"/>
  <c r="G275" i="2"/>
  <c r="F275" i="2"/>
  <c r="E275" i="2"/>
  <c r="D275" i="2"/>
  <c r="C275" i="2"/>
  <c r="B275" i="2"/>
  <c r="A275" i="2"/>
  <c r="AM274" i="2"/>
  <c r="AL274" i="2"/>
  <c r="AK274" i="2"/>
  <c r="AJ274" i="2"/>
  <c r="AI274" i="2"/>
  <c r="AH274" i="2"/>
  <c r="F274" i="4" s="1"/>
  <c r="AG274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A278" i="3" s="1"/>
  <c r="G274" i="2"/>
  <c r="F274" i="2"/>
  <c r="E274" i="2"/>
  <c r="D274" i="2"/>
  <c r="C274" i="2"/>
  <c r="B274" i="2"/>
  <c r="A274" i="2"/>
  <c r="AM273" i="2"/>
  <c r="AL273" i="2"/>
  <c r="AK273" i="2"/>
  <c r="AJ273" i="2"/>
  <c r="AI273" i="2"/>
  <c r="AH273" i="2"/>
  <c r="F273" i="4" s="1"/>
  <c r="AG273" i="2"/>
  <c r="AF273" i="2"/>
  <c r="AE273" i="2"/>
  <c r="AD273" i="2"/>
  <c r="AC273" i="2"/>
  <c r="AB273" i="2"/>
  <c r="AA273" i="2"/>
  <c r="Z273" i="2"/>
  <c r="Y273" i="2"/>
  <c r="X273" i="2"/>
  <c r="W273" i="2"/>
  <c r="V273" i="2"/>
  <c r="U273" i="2"/>
  <c r="T273" i="2"/>
  <c r="A277" i="3" s="1"/>
  <c r="G273" i="2"/>
  <c r="F273" i="2"/>
  <c r="E273" i="2"/>
  <c r="D273" i="2"/>
  <c r="C273" i="2"/>
  <c r="B273" i="2"/>
  <c r="A273" i="2"/>
  <c r="AM272" i="2"/>
  <c r="AL272" i="2"/>
  <c r="AK272" i="2"/>
  <c r="AJ272" i="2"/>
  <c r="AI272" i="2"/>
  <c r="AH272" i="2"/>
  <c r="F272" i="4" s="1"/>
  <c r="AG272" i="2"/>
  <c r="AF272" i="2"/>
  <c r="AE272" i="2"/>
  <c r="AD272" i="2"/>
  <c r="AC272" i="2"/>
  <c r="AB272" i="2"/>
  <c r="AA272" i="2"/>
  <c r="Z272" i="2"/>
  <c r="Y272" i="2"/>
  <c r="X272" i="2"/>
  <c r="W272" i="2"/>
  <c r="V272" i="2"/>
  <c r="U272" i="2"/>
  <c r="T272" i="2"/>
  <c r="A276" i="3" s="1"/>
  <c r="G272" i="2"/>
  <c r="F272" i="2"/>
  <c r="E272" i="2"/>
  <c r="D272" i="2"/>
  <c r="C272" i="2"/>
  <c r="B272" i="2"/>
  <c r="A272" i="2"/>
  <c r="AM271" i="2"/>
  <c r="AL271" i="2"/>
  <c r="AK271" i="2"/>
  <c r="AJ271" i="2"/>
  <c r="AI271" i="2"/>
  <c r="AH271" i="2"/>
  <c r="F271" i="4" s="1"/>
  <c r="AG271" i="2"/>
  <c r="AF271" i="2"/>
  <c r="AE271" i="2"/>
  <c r="AD271" i="2"/>
  <c r="AC271" i="2"/>
  <c r="AB271" i="2"/>
  <c r="AA271" i="2"/>
  <c r="Z271" i="2"/>
  <c r="Y271" i="2"/>
  <c r="X271" i="2"/>
  <c r="W271" i="2"/>
  <c r="V271" i="2"/>
  <c r="U271" i="2"/>
  <c r="T271" i="2"/>
  <c r="A275" i="3" s="1"/>
  <c r="G271" i="2"/>
  <c r="F271" i="2"/>
  <c r="E271" i="2"/>
  <c r="D271" i="2"/>
  <c r="C271" i="2"/>
  <c r="B271" i="2"/>
  <c r="A271" i="2"/>
  <c r="AM270" i="2"/>
  <c r="AL270" i="2"/>
  <c r="AK270" i="2"/>
  <c r="AJ270" i="2"/>
  <c r="AI270" i="2"/>
  <c r="AH270" i="2"/>
  <c r="F270" i="4" s="1"/>
  <c r="AG270" i="2"/>
  <c r="AF270" i="2"/>
  <c r="AE270" i="2"/>
  <c r="AD270" i="2"/>
  <c r="AC270" i="2"/>
  <c r="AB270" i="2"/>
  <c r="AA270" i="2"/>
  <c r="Z270" i="2"/>
  <c r="Y270" i="2"/>
  <c r="X270" i="2"/>
  <c r="W270" i="2"/>
  <c r="V270" i="2"/>
  <c r="U270" i="2"/>
  <c r="T270" i="2"/>
  <c r="A274" i="3" s="1"/>
  <c r="G270" i="2"/>
  <c r="F270" i="2"/>
  <c r="E270" i="2"/>
  <c r="D270" i="2"/>
  <c r="C270" i="2"/>
  <c r="B270" i="2"/>
  <c r="A270" i="2"/>
  <c r="AM269" i="2"/>
  <c r="AL269" i="2"/>
  <c r="AK269" i="2"/>
  <c r="AJ269" i="2"/>
  <c r="AI269" i="2"/>
  <c r="AH269" i="2"/>
  <c r="F269" i="4" s="1"/>
  <c r="AG269" i="2"/>
  <c r="AF269" i="2"/>
  <c r="AE269" i="2"/>
  <c r="AD269" i="2"/>
  <c r="AC269" i="2"/>
  <c r="AB269" i="2"/>
  <c r="AA269" i="2"/>
  <c r="Z269" i="2"/>
  <c r="Y269" i="2"/>
  <c r="X269" i="2"/>
  <c r="W269" i="2"/>
  <c r="V269" i="2"/>
  <c r="U269" i="2"/>
  <c r="T269" i="2"/>
  <c r="A273" i="3" s="1"/>
  <c r="G269" i="2"/>
  <c r="F269" i="2"/>
  <c r="E269" i="2"/>
  <c r="D269" i="2"/>
  <c r="C269" i="2"/>
  <c r="B269" i="2"/>
  <c r="A269" i="2"/>
  <c r="AM268" i="2"/>
  <c r="AL268" i="2"/>
  <c r="AK268" i="2"/>
  <c r="AJ268" i="2"/>
  <c r="AI268" i="2"/>
  <c r="AH268" i="2"/>
  <c r="F268" i="4" s="1"/>
  <c r="AG268" i="2"/>
  <c r="AF268" i="2"/>
  <c r="AE268" i="2"/>
  <c r="AD268" i="2"/>
  <c r="AC268" i="2"/>
  <c r="AB268" i="2"/>
  <c r="AA268" i="2"/>
  <c r="Z268" i="2"/>
  <c r="Y268" i="2"/>
  <c r="X268" i="2"/>
  <c r="W268" i="2"/>
  <c r="V268" i="2"/>
  <c r="U268" i="2"/>
  <c r="T268" i="2"/>
  <c r="A272" i="3" s="1"/>
  <c r="G268" i="2"/>
  <c r="F268" i="2"/>
  <c r="E268" i="2"/>
  <c r="D268" i="2"/>
  <c r="C268" i="2"/>
  <c r="B268" i="2"/>
  <c r="A268" i="2"/>
  <c r="AM267" i="2"/>
  <c r="AL267" i="2"/>
  <c r="AK267" i="2"/>
  <c r="AJ267" i="2"/>
  <c r="AI267" i="2"/>
  <c r="AH267" i="2"/>
  <c r="F267" i="4" s="1"/>
  <c r="AG267" i="2"/>
  <c r="AF267" i="2"/>
  <c r="AE267" i="2"/>
  <c r="AD267" i="2"/>
  <c r="AC267" i="2"/>
  <c r="AB267" i="2"/>
  <c r="AA267" i="2"/>
  <c r="Z267" i="2"/>
  <c r="Y267" i="2"/>
  <c r="X267" i="2"/>
  <c r="W267" i="2"/>
  <c r="V267" i="2"/>
  <c r="U267" i="2"/>
  <c r="T267" i="2"/>
  <c r="A271" i="3" s="1"/>
  <c r="G267" i="2"/>
  <c r="F267" i="2"/>
  <c r="E267" i="2"/>
  <c r="D267" i="2"/>
  <c r="C267" i="2"/>
  <c r="B267" i="2"/>
  <c r="A267" i="2"/>
  <c r="AM266" i="2"/>
  <c r="AL266" i="2"/>
  <c r="AK266" i="2"/>
  <c r="AJ266" i="2"/>
  <c r="AI266" i="2"/>
  <c r="AH266" i="2"/>
  <c r="F266" i="4" s="1"/>
  <c r="AG266" i="2"/>
  <c r="AF266" i="2"/>
  <c r="AE266" i="2"/>
  <c r="AD266" i="2"/>
  <c r="AC266" i="2"/>
  <c r="AB266" i="2"/>
  <c r="AA266" i="2"/>
  <c r="Z266" i="2"/>
  <c r="Y266" i="2"/>
  <c r="X266" i="2"/>
  <c r="W266" i="2"/>
  <c r="V266" i="2"/>
  <c r="U266" i="2"/>
  <c r="T266" i="2"/>
  <c r="A270" i="3" s="1"/>
  <c r="G266" i="2"/>
  <c r="F266" i="2"/>
  <c r="E266" i="2"/>
  <c r="D266" i="2"/>
  <c r="C266" i="2"/>
  <c r="B266" i="2"/>
  <c r="A266" i="2"/>
  <c r="AM265" i="2"/>
  <c r="AL265" i="2"/>
  <c r="AK265" i="2"/>
  <c r="AJ265" i="2"/>
  <c r="AI265" i="2"/>
  <c r="AH265" i="2"/>
  <c r="F265" i="4" s="1"/>
  <c r="AG265" i="2"/>
  <c r="AF265" i="2"/>
  <c r="AE265" i="2"/>
  <c r="AD265" i="2"/>
  <c r="AC265" i="2"/>
  <c r="AB265" i="2"/>
  <c r="AA265" i="2"/>
  <c r="Z265" i="2"/>
  <c r="Y265" i="2"/>
  <c r="X265" i="2"/>
  <c r="W265" i="2"/>
  <c r="V265" i="2"/>
  <c r="U265" i="2"/>
  <c r="T265" i="2"/>
  <c r="A269" i="3" s="1"/>
  <c r="G265" i="2"/>
  <c r="F265" i="2"/>
  <c r="E265" i="2"/>
  <c r="D265" i="2"/>
  <c r="C265" i="2"/>
  <c r="B265" i="2"/>
  <c r="A265" i="2"/>
  <c r="AM264" i="2"/>
  <c r="AL264" i="2"/>
  <c r="AK264" i="2"/>
  <c r="AJ264" i="2"/>
  <c r="AI264" i="2"/>
  <c r="AH264" i="2"/>
  <c r="F264" i="4" s="1"/>
  <c r="AG264" i="2"/>
  <c r="AF264" i="2"/>
  <c r="AE264" i="2"/>
  <c r="AD264" i="2"/>
  <c r="AC264" i="2"/>
  <c r="AB264" i="2"/>
  <c r="AA264" i="2"/>
  <c r="Z264" i="2"/>
  <c r="Y264" i="2"/>
  <c r="X264" i="2"/>
  <c r="W264" i="2"/>
  <c r="V264" i="2"/>
  <c r="U264" i="2"/>
  <c r="T264" i="2"/>
  <c r="A268" i="3" s="1"/>
  <c r="G264" i="2"/>
  <c r="F264" i="2"/>
  <c r="E264" i="2"/>
  <c r="D264" i="2"/>
  <c r="C264" i="2"/>
  <c r="B264" i="2"/>
  <c r="A264" i="2"/>
  <c r="AM263" i="2"/>
  <c r="AL263" i="2"/>
  <c r="AK263" i="2"/>
  <c r="AJ263" i="2"/>
  <c r="AI263" i="2"/>
  <c r="AH263" i="2"/>
  <c r="F263" i="4" s="1"/>
  <c r="AG263" i="2"/>
  <c r="AF263" i="2"/>
  <c r="AE263" i="2"/>
  <c r="AD263" i="2"/>
  <c r="AC263" i="2"/>
  <c r="AB263" i="2"/>
  <c r="AA263" i="2"/>
  <c r="Z263" i="2"/>
  <c r="Y263" i="2"/>
  <c r="X263" i="2"/>
  <c r="W263" i="2"/>
  <c r="V263" i="2"/>
  <c r="U263" i="2"/>
  <c r="T263" i="2"/>
  <c r="A267" i="3" s="1"/>
  <c r="G263" i="2"/>
  <c r="F263" i="2"/>
  <c r="E263" i="2"/>
  <c r="D263" i="2"/>
  <c r="C263" i="2"/>
  <c r="B263" i="2"/>
  <c r="A263" i="2"/>
  <c r="AM262" i="2"/>
  <c r="AL262" i="2"/>
  <c r="AK262" i="2"/>
  <c r="AJ262" i="2"/>
  <c r="AI262" i="2"/>
  <c r="AH262" i="2"/>
  <c r="F262" i="4" s="1"/>
  <c r="AG262" i="2"/>
  <c r="AF262" i="2"/>
  <c r="AE262" i="2"/>
  <c r="AD262" i="2"/>
  <c r="AC262" i="2"/>
  <c r="AB262" i="2"/>
  <c r="AA262" i="2"/>
  <c r="Z262" i="2"/>
  <c r="Y262" i="2"/>
  <c r="X262" i="2"/>
  <c r="W262" i="2"/>
  <c r="V262" i="2"/>
  <c r="U262" i="2"/>
  <c r="T262" i="2"/>
  <c r="A266" i="3" s="1"/>
  <c r="G262" i="2"/>
  <c r="F262" i="2"/>
  <c r="E262" i="2"/>
  <c r="D262" i="2"/>
  <c r="C262" i="2"/>
  <c r="B262" i="2"/>
  <c r="A262" i="2"/>
  <c r="AM261" i="2"/>
  <c r="AL261" i="2"/>
  <c r="AK261" i="2"/>
  <c r="AJ261" i="2"/>
  <c r="AI261" i="2"/>
  <c r="AH261" i="2"/>
  <c r="F261" i="4" s="1"/>
  <c r="AG261" i="2"/>
  <c r="AF261" i="2"/>
  <c r="AE261" i="2"/>
  <c r="AD261" i="2"/>
  <c r="AC261" i="2"/>
  <c r="AB261" i="2"/>
  <c r="AA261" i="2"/>
  <c r="Z261" i="2"/>
  <c r="Y261" i="2"/>
  <c r="X261" i="2"/>
  <c r="W261" i="2"/>
  <c r="V261" i="2"/>
  <c r="U261" i="2"/>
  <c r="T261" i="2"/>
  <c r="A265" i="3" s="1"/>
  <c r="G261" i="2"/>
  <c r="F261" i="2"/>
  <c r="E261" i="2"/>
  <c r="D261" i="2"/>
  <c r="C261" i="2"/>
  <c r="B261" i="2"/>
  <c r="A261" i="2"/>
  <c r="AM260" i="2"/>
  <c r="AL260" i="2"/>
  <c r="AK260" i="2"/>
  <c r="AJ260" i="2"/>
  <c r="AI260" i="2"/>
  <c r="AH260" i="2"/>
  <c r="F260" i="4" s="1"/>
  <c r="AG260" i="2"/>
  <c r="AF260" i="2"/>
  <c r="AE260" i="2"/>
  <c r="AD260" i="2"/>
  <c r="AC260" i="2"/>
  <c r="AB260" i="2"/>
  <c r="AA260" i="2"/>
  <c r="Z260" i="2"/>
  <c r="Y260" i="2"/>
  <c r="X260" i="2"/>
  <c r="W260" i="2"/>
  <c r="V260" i="2"/>
  <c r="U260" i="2"/>
  <c r="T260" i="2"/>
  <c r="A264" i="3" s="1"/>
  <c r="G260" i="2"/>
  <c r="F260" i="2"/>
  <c r="E260" i="2"/>
  <c r="D260" i="2"/>
  <c r="C260" i="2"/>
  <c r="B260" i="2"/>
  <c r="A260" i="2"/>
  <c r="AM259" i="2"/>
  <c r="AL259" i="2"/>
  <c r="AK259" i="2"/>
  <c r="AJ259" i="2"/>
  <c r="AI259" i="2"/>
  <c r="AH259" i="2"/>
  <c r="F259" i="4" s="1"/>
  <c r="AG259" i="2"/>
  <c r="AF259" i="2"/>
  <c r="AE259" i="2"/>
  <c r="AD259" i="2"/>
  <c r="AC259" i="2"/>
  <c r="AB259" i="2"/>
  <c r="AA259" i="2"/>
  <c r="Z259" i="2"/>
  <c r="Y259" i="2"/>
  <c r="X259" i="2"/>
  <c r="W259" i="2"/>
  <c r="V259" i="2"/>
  <c r="U259" i="2"/>
  <c r="T259" i="2"/>
  <c r="A263" i="3" s="1"/>
  <c r="G259" i="2"/>
  <c r="F259" i="2"/>
  <c r="E259" i="2"/>
  <c r="D259" i="2"/>
  <c r="C259" i="2"/>
  <c r="B259" i="2"/>
  <c r="A259" i="2"/>
  <c r="AM258" i="2"/>
  <c r="AL258" i="2"/>
  <c r="AK258" i="2"/>
  <c r="AJ258" i="2"/>
  <c r="AI258" i="2"/>
  <c r="AH258" i="2"/>
  <c r="F258" i="4" s="1"/>
  <c r="AG258" i="2"/>
  <c r="AF258" i="2"/>
  <c r="AE258" i="2"/>
  <c r="AD258" i="2"/>
  <c r="AC258" i="2"/>
  <c r="AB258" i="2"/>
  <c r="AA258" i="2"/>
  <c r="Z258" i="2"/>
  <c r="Y258" i="2"/>
  <c r="X258" i="2"/>
  <c r="W258" i="2"/>
  <c r="V258" i="2"/>
  <c r="U258" i="2"/>
  <c r="T258" i="2"/>
  <c r="A262" i="3" s="1"/>
  <c r="G258" i="2"/>
  <c r="F258" i="2"/>
  <c r="E258" i="2"/>
  <c r="D258" i="2"/>
  <c r="C258" i="2"/>
  <c r="B258" i="2"/>
  <c r="A258" i="2"/>
  <c r="AM257" i="2"/>
  <c r="AL257" i="2"/>
  <c r="AK257" i="2"/>
  <c r="AJ257" i="2"/>
  <c r="AI257" i="2"/>
  <c r="AH257" i="2"/>
  <c r="F257" i="4" s="1"/>
  <c r="AG257" i="2"/>
  <c r="AF257" i="2"/>
  <c r="AE257" i="2"/>
  <c r="AD257" i="2"/>
  <c r="AC257" i="2"/>
  <c r="AB257" i="2"/>
  <c r="AA257" i="2"/>
  <c r="Z257" i="2"/>
  <c r="Y257" i="2"/>
  <c r="X257" i="2"/>
  <c r="W257" i="2"/>
  <c r="V257" i="2"/>
  <c r="U257" i="2"/>
  <c r="T257" i="2"/>
  <c r="A261" i="3" s="1"/>
  <c r="G257" i="2"/>
  <c r="F257" i="2"/>
  <c r="E257" i="2"/>
  <c r="D257" i="2"/>
  <c r="C257" i="2"/>
  <c r="B257" i="2"/>
  <c r="A257" i="2"/>
  <c r="AM256" i="2"/>
  <c r="AL256" i="2"/>
  <c r="AK256" i="2"/>
  <c r="AJ256" i="2"/>
  <c r="AI256" i="2"/>
  <c r="AH256" i="2"/>
  <c r="F256" i="4" s="1"/>
  <c r="AG256" i="2"/>
  <c r="AF256" i="2"/>
  <c r="AE256" i="2"/>
  <c r="AD256" i="2"/>
  <c r="AC256" i="2"/>
  <c r="AB256" i="2"/>
  <c r="AA256" i="2"/>
  <c r="Z256" i="2"/>
  <c r="Y256" i="2"/>
  <c r="X256" i="2"/>
  <c r="W256" i="2"/>
  <c r="V256" i="2"/>
  <c r="U256" i="2"/>
  <c r="T256" i="2"/>
  <c r="A260" i="3" s="1"/>
  <c r="G256" i="2"/>
  <c r="F256" i="2"/>
  <c r="E256" i="2"/>
  <c r="D256" i="2"/>
  <c r="C256" i="2"/>
  <c r="B256" i="2"/>
  <c r="A256" i="2"/>
  <c r="AM255" i="2"/>
  <c r="AL255" i="2"/>
  <c r="AK255" i="2"/>
  <c r="AJ255" i="2"/>
  <c r="AI255" i="2"/>
  <c r="AH255" i="2"/>
  <c r="F255" i="4" s="1"/>
  <c r="AG255" i="2"/>
  <c r="AF255" i="2"/>
  <c r="AE255" i="2"/>
  <c r="AD255" i="2"/>
  <c r="AC255" i="2"/>
  <c r="AB255" i="2"/>
  <c r="AA255" i="2"/>
  <c r="Z255" i="2"/>
  <c r="Y255" i="2"/>
  <c r="X255" i="2"/>
  <c r="W255" i="2"/>
  <c r="V255" i="2"/>
  <c r="U255" i="2"/>
  <c r="T255" i="2"/>
  <c r="A259" i="3" s="1"/>
  <c r="G255" i="2"/>
  <c r="F255" i="2"/>
  <c r="E255" i="2"/>
  <c r="D255" i="2"/>
  <c r="C255" i="2"/>
  <c r="B255" i="2"/>
  <c r="A255" i="2"/>
  <c r="AM254" i="2"/>
  <c r="AL254" i="2"/>
  <c r="AK254" i="2"/>
  <c r="AJ254" i="2"/>
  <c r="AI254" i="2"/>
  <c r="AH254" i="2"/>
  <c r="F254" i="4" s="1"/>
  <c r="AG254" i="2"/>
  <c r="AF254" i="2"/>
  <c r="AE254" i="2"/>
  <c r="AD254" i="2"/>
  <c r="AC254" i="2"/>
  <c r="AB254" i="2"/>
  <c r="AA254" i="2"/>
  <c r="Z254" i="2"/>
  <c r="Y254" i="2"/>
  <c r="X254" i="2"/>
  <c r="W254" i="2"/>
  <c r="V254" i="2"/>
  <c r="U254" i="2"/>
  <c r="T254" i="2"/>
  <c r="A258" i="3" s="1"/>
  <c r="G254" i="2"/>
  <c r="F254" i="2"/>
  <c r="E254" i="2"/>
  <c r="D254" i="2"/>
  <c r="C254" i="2"/>
  <c r="B254" i="2"/>
  <c r="A254" i="2"/>
  <c r="AM253" i="2"/>
  <c r="AL253" i="2"/>
  <c r="AK253" i="2"/>
  <c r="AJ253" i="2"/>
  <c r="AI253" i="2"/>
  <c r="AH253" i="2"/>
  <c r="F253" i="4" s="1"/>
  <c r="AG253" i="2"/>
  <c r="AF253" i="2"/>
  <c r="AE253" i="2"/>
  <c r="AD253" i="2"/>
  <c r="AC253" i="2"/>
  <c r="AB253" i="2"/>
  <c r="AA253" i="2"/>
  <c r="Z253" i="2"/>
  <c r="Y253" i="2"/>
  <c r="X253" i="2"/>
  <c r="W253" i="2"/>
  <c r="V253" i="2"/>
  <c r="U253" i="2"/>
  <c r="T253" i="2"/>
  <c r="A257" i="3" s="1"/>
  <c r="G253" i="2"/>
  <c r="F253" i="2"/>
  <c r="E253" i="2"/>
  <c r="D253" i="2"/>
  <c r="C253" i="2"/>
  <c r="B253" i="2"/>
  <c r="A253" i="2"/>
  <c r="AM252" i="2"/>
  <c r="AL252" i="2"/>
  <c r="AK252" i="2"/>
  <c r="AJ252" i="2"/>
  <c r="AI252" i="2"/>
  <c r="AH252" i="2"/>
  <c r="F252" i="4" s="1"/>
  <c r="AG252" i="2"/>
  <c r="AF252" i="2"/>
  <c r="AE252" i="2"/>
  <c r="AD252" i="2"/>
  <c r="AC252" i="2"/>
  <c r="AB252" i="2"/>
  <c r="AA252" i="2"/>
  <c r="Z252" i="2"/>
  <c r="Y252" i="2"/>
  <c r="X252" i="2"/>
  <c r="W252" i="2"/>
  <c r="V252" i="2"/>
  <c r="U252" i="2"/>
  <c r="T252" i="2"/>
  <c r="A256" i="3" s="1"/>
  <c r="G252" i="2"/>
  <c r="F252" i="2"/>
  <c r="E252" i="2"/>
  <c r="D252" i="2"/>
  <c r="C252" i="2"/>
  <c r="B252" i="2"/>
  <c r="A252" i="2"/>
  <c r="AM251" i="2"/>
  <c r="AL251" i="2"/>
  <c r="AK251" i="2"/>
  <c r="AJ251" i="2"/>
  <c r="AI251" i="2"/>
  <c r="AH251" i="2"/>
  <c r="F251" i="4" s="1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A255" i="3" s="1"/>
  <c r="G251" i="2"/>
  <c r="F251" i="2"/>
  <c r="E251" i="2"/>
  <c r="D251" i="2"/>
  <c r="C251" i="2"/>
  <c r="B251" i="2"/>
  <c r="A251" i="2"/>
  <c r="AM250" i="2"/>
  <c r="AL250" i="2"/>
  <c r="AK250" i="2"/>
  <c r="AJ250" i="2"/>
  <c r="AI250" i="2"/>
  <c r="AH250" i="2"/>
  <c r="F250" i="4" s="1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A254" i="3" s="1"/>
  <c r="G250" i="2"/>
  <c r="F250" i="2"/>
  <c r="E250" i="2"/>
  <c r="D250" i="2"/>
  <c r="C250" i="2"/>
  <c r="B250" i="2"/>
  <c r="A250" i="2"/>
  <c r="AM249" i="2"/>
  <c r="AL249" i="2"/>
  <c r="AK249" i="2"/>
  <c r="AJ249" i="2"/>
  <c r="AI249" i="2"/>
  <c r="AH249" i="2"/>
  <c r="F249" i="4" s="1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A253" i="3" s="1"/>
  <c r="G249" i="2"/>
  <c r="F249" i="2"/>
  <c r="E249" i="2"/>
  <c r="D249" i="2"/>
  <c r="C249" i="2"/>
  <c r="B249" i="2"/>
  <c r="A249" i="2"/>
  <c r="AM248" i="2"/>
  <c r="AL248" i="2"/>
  <c r="AK248" i="2"/>
  <c r="AJ248" i="2"/>
  <c r="AI248" i="2"/>
  <c r="AH248" i="2"/>
  <c r="F248" i="4" s="1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A252" i="3" s="1"/>
  <c r="G248" i="2"/>
  <c r="F248" i="2"/>
  <c r="E248" i="2"/>
  <c r="D248" i="2"/>
  <c r="C248" i="2"/>
  <c r="B248" i="2"/>
  <c r="A248" i="2"/>
  <c r="AM247" i="2"/>
  <c r="AL247" i="2"/>
  <c r="AK247" i="2"/>
  <c r="AJ247" i="2"/>
  <c r="AI247" i="2"/>
  <c r="AH247" i="2"/>
  <c r="F247" i="4" s="1"/>
  <c r="AG247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T247" i="2"/>
  <c r="A251" i="3" s="1"/>
  <c r="G247" i="2"/>
  <c r="F247" i="2"/>
  <c r="E247" i="2"/>
  <c r="D247" i="2"/>
  <c r="C247" i="2"/>
  <c r="B247" i="2"/>
  <c r="A247" i="2"/>
  <c r="AM246" i="2"/>
  <c r="AL246" i="2"/>
  <c r="AK246" i="2"/>
  <c r="AJ246" i="2"/>
  <c r="AI246" i="2"/>
  <c r="AH246" i="2"/>
  <c r="F246" i="4" s="1"/>
  <c r="AG246" i="2"/>
  <c r="AF246" i="2"/>
  <c r="AE246" i="2"/>
  <c r="AD246" i="2"/>
  <c r="AC246" i="2"/>
  <c r="AB246" i="2"/>
  <c r="AA246" i="2"/>
  <c r="Z246" i="2"/>
  <c r="Y246" i="2"/>
  <c r="X246" i="2"/>
  <c r="W246" i="2"/>
  <c r="V246" i="2"/>
  <c r="U246" i="2"/>
  <c r="T246" i="2"/>
  <c r="A250" i="3" s="1"/>
  <c r="G246" i="2"/>
  <c r="F246" i="2"/>
  <c r="E246" i="2"/>
  <c r="D246" i="2"/>
  <c r="C246" i="2"/>
  <c r="B246" i="2"/>
  <c r="A246" i="2"/>
  <c r="AM245" i="2"/>
  <c r="AL245" i="2"/>
  <c r="AK245" i="2"/>
  <c r="AJ245" i="2"/>
  <c r="AI245" i="2"/>
  <c r="AH245" i="2"/>
  <c r="F245" i="4" s="1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U245" i="2"/>
  <c r="T245" i="2"/>
  <c r="A249" i="3" s="1"/>
  <c r="G245" i="2"/>
  <c r="F245" i="2"/>
  <c r="E245" i="2"/>
  <c r="D245" i="2"/>
  <c r="C245" i="2"/>
  <c r="B245" i="2"/>
  <c r="A245" i="2"/>
  <c r="AM244" i="2"/>
  <c r="AL244" i="2"/>
  <c r="AK244" i="2"/>
  <c r="AJ244" i="2"/>
  <c r="AI244" i="2"/>
  <c r="AH244" i="2"/>
  <c r="F244" i="4" s="1"/>
  <c r="AG244" i="2"/>
  <c r="AF244" i="2"/>
  <c r="AE244" i="2"/>
  <c r="AD244" i="2"/>
  <c r="AC244" i="2"/>
  <c r="AB244" i="2"/>
  <c r="AA244" i="2"/>
  <c r="Z244" i="2"/>
  <c r="Y244" i="2"/>
  <c r="X244" i="2"/>
  <c r="W244" i="2"/>
  <c r="V244" i="2"/>
  <c r="U244" i="2"/>
  <c r="T244" i="2"/>
  <c r="A248" i="3" s="1"/>
  <c r="G244" i="2"/>
  <c r="F244" i="2"/>
  <c r="E244" i="2"/>
  <c r="D244" i="2"/>
  <c r="C244" i="2"/>
  <c r="B244" i="2"/>
  <c r="A244" i="2"/>
  <c r="AM243" i="2"/>
  <c r="AL243" i="2"/>
  <c r="AK243" i="2"/>
  <c r="AJ243" i="2"/>
  <c r="AI243" i="2"/>
  <c r="AH243" i="2"/>
  <c r="F243" i="4" s="1"/>
  <c r="AG243" i="2"/>
  <c r="AF243" i="2"/>
  <c r="AE243" i="2"/>
  <c r="AD243" i="2"/>
  <c r="AC243" i="2"/>
  <c r="AB243" i="2"/>
  <c r="AA243" i="2"/>
  <c r="Z243" i="2"/>
  <c r="Y243" i="2"/>
  <c r="X243" i="2"/>
  <c r="W243" i="2"/>
  <c r="V243" i="2"/>
  <c r="U243" i="2"/>
  <c r="T243" i="2"/>
  <c r="A247" i="3" s="1"/>
  <c r="G243" i="2"/>
  <c r="F243" i="2"/>
  <c r="E243" i="2"/>
  <c r="D243" i="2"/>
  <c r="C243" i="2"/>
  <c r="B243" i="2"/>
  <c r="A243" i="2"/>
  <c r="AM242" i="2"/>
  <c r="AL242" i="2"/>
  <c r="AK242" i="2"/>
  <c r="AJ242" i="2"/>
  <c r="AI242" i="2"/>
  <c r="AH242" i="2"/>
  <c r="F242" i="4" s="1"/>
  <c r="AG242" i="2"/>
  <c r="AF242" i="2"/>
  <c r="AE242" i="2"/>
  <c r="AD242" i="2"/>
  <c r="AC242" i="2"/>
  <c r="AB242" i="2"/>
  <c r="AA242" i="2"/>
  <c r="Z242" i="2"/>
  <c r="Y242" i="2"/>
  <c r="X242" i="2"/>
  <c r="W242" i="2"/>
  <c r="V242" i="2"/>
  <c r="U242" i="2"/>
  <c r="T242" i="2"/>
  <c r="A246" i="3" s="1"/>
  <c r="G242" i="2"/>
  <c r="F242" i="2"/>
  <c r="E242" i="2"/>
  <c r="D242" i="2"/>
  <c r="C242" i="2"/>
  <c r="B242" i="2"/>
  <c r="A242" i="2"/>
  <c r="AM241" i="2"/>
  <c r="AL241" i="2"/>
  <c r="AK241" i="2"/>
  <c r="AJ241" i="2"/>
  <c r="AI241" i="2"/>
  <c r="AH241" i="2"/>
  <c r="F241" i="4" s="1"/>
  <c r="AG241" i="2"/>
  <c r="AF241" i="2"/>
  <c r="AE241" i="2"/>
  <c r="AD241" i="2"/>
  <c r="AC241" i="2"/>
  <c r="AB241" i="2"/>
  <c r="AA241" i="2"/>
  <c r="Z241" i="2"/>
  <c r="Y241" i="2"/>
  <c r="X241" i="2"/>
  <c r="W241" i="2"/>
  <c r="V241" i="2"/>
  <c r="U241" i="2"/>
  <c r="T241" i="2"/>
  <c r="A245" i="3" s="1"/>
  <c r="G241" i="2"/>
  <c r="F241" i="2"/>
  <c r="E241" i="2"/>
  <c r="D241" i="2"/>
  <c r="C241" i="2"/>
  <c r="B241" i="2"/>
  <c r="A241" i="2"/>
  <c r="AM240" i="2"/>
  <c r="AL240" i="2"/>
  <c r="AK240" i="2"/>
  <c r="AJ240" i="2"/>
  <c r="AI240" i="2"/>
  <c r="AH240" i="2"/>
  <c r="F240" i="4" s="1"/>
  <c r="AG240" i="2"/>
  <c r="AF240" i="2"/>
  <c r="AE240" i="2"/>
  <c r="AD240" i="2"/>
  <c r="AC240" i="2"/>
  <c r="AB240" i="2"/>
  <c r="AA240" i="2"/>
  <c r="Z240" i="2"/>
  <c r="Y240" i="2"/>
  <c r="X240" i="2"/>
  <c r="W240" i="2"/>
  <c r="V240" i="2"/>
  <c r="U240" i="2"/>
  <c r="T240" i="2"/>
  <c r="A244" i="3" s="1"/>
  <c r="G240" i="2"/>
  <c r="F240" i="2"/>
  <c r="E240" i="2"/>
  <c r="D240" i="2"/>
  <c r="C240" i="2"/>
  <c r="B240" i="2"/>
  <c r="A240" i="2"/>
  <c r="AM239" i="2"/>
  <c r="AL239" i="2"/>
  <c r="AK239" i="2"/>
  <c r="AJ239" i="2"/>
  <c r="AI239" i="2"/>
  <c r="AH239" i="2"/>
  <c r="F239" i="4" s="1"/>
  <c r="AG239" i="2"/>
  <c r="AF239" i="2"/>
  <c r="AE239" i="2"/>
  <c r="AD239" i="2"/>
  <c r="AC239" i="2"/>
  <c r="AB239" i="2"/>
  <c r="AA239" i="2"/>
  <c r="Z239" i="2"/>
  <c r="Y239" i="2"/>
  <c r="X239" i="2"/>
  <c r="W239" i="2"/>
  <c r="V239" i="2"/>
  <c r="U239" i="2"/>
  <c r="T239" i="2"/>
  <c r="A243" i="3" s="1"/>
  <c r="G239" i="2"/>
  <c r="F239" i="2"/>
  <c r="E239" i="2"/>
  <c r="D239" i="2"/>
  <c r="C239" i="2"/>
  <c r="B239" i="2"/>
  <c r="A239" i="2"/>
  <c r="AM238" i="2"/>
  <c r="AL238" i="2"/>
  <c r="AK238" i="2"/>
  <c r="AJ238" i="2"/>
  <c r="AI238" i="2"/>
  <c r="AH238" i="2"/>
  <c r="F238" i="4" s="1"/>
  <c r="AG238" i="2"/>
  <c r="AF238" i="2"/>
  <c r="AE238" i="2"/>
  <c r="AD238" i="2"/>
  <c r="AC238" i="2"/>
  <c r="AB238" i="2"/>
  <c r="AA238" i="2"/>
  <c r="Z238" i="2"/>
  <c r="Y238" i="2"/>
  <c r="X238" i="2"/>
  <c r="W238" i="2"/>
  <c r="V238" i="2"/>
  <c r="U238" i="2"/>
  <c r="T238" i="2"/>
  <c r="A242" i="3" s="1"/>
  <c r="G238" i="2"/>
  <c r="F238" i="2"/>
  <c r="E238" i="2"/>
  <c r="D238" i="2"/>
  <c r="C238" i="2"/>
  <c r="B238" i="2"/>
  <c r="A238" i="2"/>
  <c r="AM237" i="2"/>
  <c r="AL237" i="2"/>
  <c r="AK237" i="2"/>
  <c r="AJ237" i="2"/>
  <c r="AI237" i="2"/>
  <c r="AH237" i="2"/>
  <c r="F237" i="4" s="1"/>
  <c r="AG237" i="2"/>
  <c r="AF237" i="2"/>
  <c r="AE237" i="2"/>
  <c r="AD237" i="2"/>
  <c r="AC237" i="2"/>
  <c r="AB237" i="2"/>
  <c r="AA237" i="2"/>
  <c r="Z237" i="2"/>
  <c r="Y237" i="2"/>
  <c r="X237" i="2"/>
  <c r="W237" i="2"/>
  <c r="V237" i="2"/>
  <c r="U237" i="2"/>
  <c r="T237" i="2"/>
  <c r="A241" i="3" s="1"/>
  <c r="G237" i="2"/>
  <c r="F237" i="2"/>
  <c r="E237" i="2"/>
  <c r="D237" i="2"/>
  <c r="C237" i="2"/>
  <c r="B237" i="2"/>
  <c r="A237" i="2"/>
  <c r="AM236" i="2"/>
  <c r="AL236" i="2"/>
  <c r="AK236" i="2"/>
  <c r="AJ236" i="2"/>
  <c r="AI236" i="2"/>
  <c r="AH236" i="2"/>
  <c r="F236" i="4" s="1"/>
  <c r="AG236" i="2"/>
  <c r="AF236" i="2"/>
  <c r="AE236" i="2"/>
  <c r="AD236" i="2"/>
  <c r="AC236" i="2"/>
  <c r="AB236" i="2"/>
  <c r="AA236" i="2"/>
  <c r="Z236" i="2"/>
  <c r="Y236" i="2"/>
  <c r="X236" i="2"/>
  <c r="W236" i="2"/>
  <c r="V236" i="2"/>
  <c r="U236" i="2"/>
  <c r="T236" i="2"/>
  <c r="A240" i="3" s="1"/>
  <c r="G236" i="2"/>
  <c r="F236" i="2"/>
  <c r="E236" i="2"/>
  <c r="D236" i="2"/>
  <c r="C236" i="2"/>
  <c r="B236" i="2"/>
  <c r="A236" i="2"/>
  <c r="AM235" i="2"/>
  <c r="AL235" i="2"/>
  <c r="AK235" i="2"/>
  <c r="AJ235" i="2"/>
  <c r="AI235" i="2"/>
  <c r="AH235" i="2"/>
  <c r="F235" i="4" s="1"/>
  <c r="AG235" i="2"/>
  <c r="AF235" i="2"/>
  <c r="AE235" i="2"/>
  <c r="AD235" i="2"/>
  <c r="AC235" i="2"/>
  <c r="AB235" i="2"/>
  <c r="AA235" i="2"/>
  <c r="Z235" i="2"/>
  <c r="Y235" i="2"/>
  <c r="X235" i="2"/>
  <c r="W235" i="2"/>
  <c r="V235" i="2"/>
  <c r="U235" i="2"/>
  <c r="T235" i="2"/>
  <c r="A239" i="3" s="1"/>
  <c r="G235" i="2"/>
  <c r="F235" i="2"/>
  <c r="E235" i="2"/>
  <c r="D235" i="2"/>
  <c r="C235" i="2"/>
  <c r="B235" i="2"/>
  <c r="A235" i="2"/>
  <c r="AM234" i="2"/>
  <c r="AL234" i="2"/>
  <c r="AK234" i="2"/>
  <c r="AJ234" i="2"/>
  <c r="AI234" i="2"/>
  <c r="AH234" i="2"/>
  <c r="F234" i="4" s="1"/>
  <c r="AG234" i="2"/>
  <c r="AF234" i="2"/>
  <c r="AE234" i="2"/>
  <c r="AD234" i="2"/>
  <c r="AC234" i="2"/>
  <c r="AB234" i="2"/>
  <c r="AA234" i="2"/>
  <c r="Z234" i="2"/>
  <c r="Y234" i="2"/>
  <c r="X234" i="2"/>
  <c r="W234" i="2"/>
  <c r="V234" i="2"/>
  <c r="U234" i="2"/>
  <c r="T234" i="2"/>
  <c r="A238" i="3" s="1"/>
  <c r="G234" i="2"/>
  <c r="F234" i="2"/>
  <c r="E234" i="2"/>
  <c r="D234" i="2"/>
  <c r="C234" i="2"/>
  <c r="B234" i="2"/>
  <c r="A234" i="2"/>
  <c r="AM233" i="2"/>
  <c r="AL233" i="2"/>
  <c r="AK233" i="2"/>
  <c r="AJ233" i="2"/>
  <c r="AI233" i="2"/>
  <c r="AH233" i="2"/>
  <c r="F233" i="4" s="1"/>
  <c r="AG233" i="2"/>
  <c r="AF233" i="2"/>
  <c r="AE233" i="2"/>
  <c r="AD233" i="2"/>
  <c r="AC233" i="2"/>
  <c r="AB233" i="2"/>
  <c r="AA233" i="2"/>
  <c r="Z233" i="2"/>
  <c r="Y233" i="2"/>
  <c r="X233" i="2"/>
  <c r="W233" i="2"/>
  <c r="V233" i="2"/>
  <c r="U233" i="2"/>
  <c r="T233" i="2"/>
  <c r="A237" i="3" s="1"/>
  <c r="G233" i="2"/>
  <c r="F233" i="2"/>
  <c r="E233" i="2"/>
  <c r="D233" i="2"/>
  <c r="C233" i="2"/>
  <c r="B233" i="2"/>
  <c r="A233" i="2"/>
  <c r="AM232" i="2"/>
  <c r="AL232" i="2"/>
  <c r="AK232" i="2"/>
  <c r="AJ232" i="2"/>
  <c r="AI232" i="2"/>
  <c r="AH232" i="2"/>
  <c r="F232" i="4" s="1"/>
  <c r="AG232" i="2"/>
  <c r="AF232" i="2"/>
  <c r="AE232" i="2"/>
  <c r="AD232" i="2"/>
  <c r="AC232" i="2"/>
  <c r="AB232" i="2"/>
  <c r="AA232" i="2"/>
  <c r="Z232" i="2"/>
  <c r="Y232" i="2"/>
  <c r="X232" i="2"/>
  <c r="W232" i="2"/>
  <c r="V232" i="2"/>
  <c r="U232" i="2"/>
  <c r="T232" i="2"/>
  <c r="A236" i="3" s="1"/>
  <c r="G232" i="2"/>
  <c r="F232" i="2"/>
  <c r="E232" i="2"/>
  <c r="D232" i="2"/>
  <c r="C232" i="2"/>
  <c r="B232" i="2"/>
  <c r="A232" i="2"/>
  <c r="AM231" i="2"/>
  <c r="AL231" i="2"/>
  <c r="AK231" i="2"/>
  <c r="AJ231" i="2"/>
  <c r="AI231" i="2"/>
  <c r="AH231" i="2"/>
  <c r="F231" i="4" s="1"/>
  <c r="AG231" i="2"/>
  <c r="AF231" i="2"/>
  <c r="AE231" i="2"/>
  <c r="AD231" i="2"/>
  <c r="AC231" i="2"/>
  <c r="AB231" i="2"/>
  <c r="AA231" i="2"/>
  <c r="Z231" i="2"/>
  <c r="Y231" i="2"/>
  <c r="X231" i="2"/>
  <c r="W231" i="2"/>
  <c r="V231" i="2"/>
  <c r="U231" i="2"/>
  <c r="T231" i="2"/>
  <c r="A235" i="3" s="1"/>
  <c r="G231" i="2"/>
  <c r="F231" i="2"/>
  <c r="E231" i="2"/>
  <c r="D231" i="2"/>
  <c r="C231" i="2"/>
  <c r="B231" i="2"/>
  <c r="A231" i="2"/>
  <c r="AM230" i="2"/>
  <c r="AL230" i="2"/>
  <c r="AK230" i="2"/>
  <c r="AJ230" i="2"/>
  <c r="AI230" i="2"/>
  <c r="AH230" i="2"/>
  <c r="F230" i="4" s="1"/>
  <c r="AG230" i="2"/>
  <c r="AF230" i="2"/>
  <c r="AE230" i="2"/>
  <c r="AD230" i="2"/>
  <c r="AC230" i="2"/>
  <c r="AB230" i="2"/>
  <c r="AA230" i="2"/>
  <c r="Z230" i="2"/>
  <c r="Y230" i="2"/>
  <c r="X230" i="2"/>
  <c r="W230" i="2"/>
  <c r="V230" i="2"/>
  <c r="U230" i="2"/>
  <c r="T230" i="2"/>
  <c r="A234" i="3" s="1"/>
  <c r="G230" i="2"/>
  <c r="F230" i="2"/>
  <c r="E230" i="2"/>
  <c r="D230" i="2"/>
  <c r="C230" i="2"/>
  <c r="B230" i="2"/>
  <c r="A230" i="2"/>
  <c r="AM229" i="2"/>
  <c r="AL229" i="2"/>
  <c r="AK229" i="2"/>
  <c r="AJ229" i="2"/>
  <c r="AI229" i="2"/>
  <c r="AH229" i="2"/>
  <c r="F229" i="4" s="1"/>
  <c r="AG229" i="2"/>
  <c r="AF229" i="2"/>
  <c r="AE229" i="2"/>
  <c r="AD229" i="2"/>
  <c r="AC229" i="2"/>
  <c r="AB229" i="2"/>
  <c r="AA229" i="2"/>
  <c r="Z229" i="2"/>
  <c r="Y229" i="2"/>
  <c r="X229" i="2"/>
  <c r="W229" i="2"/>
  <c r="V229" i="2"/>
  <c r="U229" i="2"/>
  <c r="T229" i="2"/>
  <c r="A233" i="3" s="1"/>
  <c r="G229" i="2"/>
  <c r="F229" i="2"/>
  <c r="E229" i="2"/>
  <c r="D229" i="2"/>
  <c r="C229" i="2"/>
  <c r="B229" i="2"/>
  <c r="A229" i="2"/>
  <c r="AM228" i="2"/>
  <c r="AL228" i="2"/>
  <c r="AK228" i="2"/>
  <c r="AJ228" i="2"/>
  <c r="AI228" i="2"/>
  <c r="AH228" i="2"/>
  <c r="F228" i="4" s="1"/>
  <c r="AG228" i="2"/>
  <c r="AF228" i="2"/>
  <c r="AE228" i="2"/>
  <c r="AD228" i="2"/>
  <c r="AC228" i="2"/>
  <c r="AB228" i="2"/>
  <c r="AA228" i="2"/>
  <c r="Z228" i="2"/>
  <c r="Y228" i="2"/>
  <c r="X228" i="2"/>
  <c r="W228" i="2"/>
  <c r="V228" i="2"/>
  <c r="U228" i="2"/>
  <c r="T228" i="2"/>
  <c r="A232" i="3" s="1"/>
  <c r="G228" i="2"/>
  <c r="F228" i="2"/>
  <c r="E228" i="2"/>
  <c r="D228" i="2"/>
  <c r="C228" i="2"/>
  <c r="B228" i="2"/>
  <c r="A228" i="2"/>
  <c r="AM227" i="2"/>
  <c r="AL227" i="2"/>
  <c r="AK227" i="2"/>
  <c r="AJ227" i="2"/>
  <c r="AI227" i="2"/>
  <c r="AH227" i="2"/>
  <c r="F227" i="4" s="1"/>
  <c r="AG227" i="2"/>
  <c r="AF227" i="2"/>
  <c r="AE227" i="2"/>
  <c r="AD227" i="2"/>
  <c r="AC227" i="2"/>
  <c r="AB227" i="2"/>
  <c r="AA227" i="2"/>
  <c r="Z227" i="2"/>
  <c r="Y227" i="2"/>
  <c r="X227" i="2"/>
  <c r="W227" i="2"/>
  <c r="V227" i="2"/>
  <c r="U227" i="2"/>
  <c r="T227" i="2"/>
  <c r="A231" i="3" s="1"/>
  <c r="G227" i="2"/>
  <c r="F227" i="2"/>
  <c r="E227" i="2"/>
  <c r="D227" i="2"/>
  <c r="C227" i="2"/>
  <c r="B227" i="2"/>
  <c r="A227" i="2"/>
  <c r="AM226" i="2"/>
  <c r="AL226" i="2"/>
  <c r="AK226" i="2"/>
  <c r="AJ226" i="2"/>
  <c r="AI226" i="2"/>
  <c r="AH226" i="2"/>
  <c r="F226" i="4" s="1"/>
  <c r="AG226" i="2"/>
  <c r="AF226" i="2"/>
  <c r="AE226" i="2"/>
  <c r="AD226" i="2"/>
  <c r="AC226" i="2"/>
  <c r="AB226" i="2"/>
  <c r="AA226" i="2"/>
  <c r="Z226" i="2"/>
  <c r="Y226" i="2"/>
  <c r="X226" i="2"/>
  <c r="W226" i="2"/>
  <c r="V226" i="2"/>
  <c r="U226" i="2"/>
  <c r="T226" i="2"/>
  <c r="A230" i="3" s="1"/>
  <c r="G226" i="2"/>
  <c r="F226" i="2"/>
  <c r="E226" i="2"/>
  <c r="D226" i="2"/>
  <c r="C226" i="2"/>
  <c r="B226" i="2"/>
  <c r="A226" i="2"/>
  <c r="AM225" i="2"/>
  <c r="AL225" i="2"/>
  <c r="AK225" i="2"/>
  <c r="AJ225" i="2"/>
  <c r="AI225" i="2"/>
  <c r="AH225" i="2"/>
  <c r="F225" i="4" s="1"/>
  <c r="AG225" i="2"/>
  <c r="AF225" i="2"/>
  <c r="AE225" i="2"/>
  <c r="AD225" i="2"/>
  <c r="AC225" i="2"/>
  <c r="AB225" i="2"/>
  <c r="AA225" i="2"/>
  <c r="Z225" i="2"/>
  <c r="Y225" i="2"/>
  <c r="X225" i="2"/>
  <c r="W225" i="2"/>
  <c r="V225" i="2"/>
  <c r="U225" i="2"/>
  <c r="T225" i="2"/>
  <c r="A229" i="3" s="1"/>
  <c r="G225" i="2"/>
  <c r="F225" i="2"/>
  <c r="E225" i="2"/>
  <c r="D225" i="2"/>
  <c r="C225" i="2"/>
  <c r="B225" i="2"/>
  <c r="A225" i="2"/>
  <c r="AM224" i="2"/>
  <c r="AL224" i="2"/>
  <c r="AK224" i="2"/>
  <c r="AJ224" i="2"/>
  <c r="AI224" i="2"/>
  <c r="AH224" i="2"/>
  <c r="F224" i="4" s="1"/>
  <c r="AG224" i="2"/>
  <c r="AF224" i="2"/>
  <c r="AE224" i="2"/>
  <c r="AD224" i="2"/>
  <c r="AC224" i="2"/>
  <c r="AB224" i="2"/>
  <c r="AA224" i="2"/>
  <c r="Z224" i="2"/>
  <c r="Y224" i="2"/>
  <c r="X224" i="2"/>
  <c r="W224" i="2"/>
  <c r="V224" i="2"/>
  <c r="U224" i="2"/>
  <c r="T224" i="2"/>
  <c r="A228" i="3" s="1"/>
  <c r="G224" i="2"/>
  <c r="F224" i="2"/>
  <c r="E224" i="2"/>
  <c r="D224" i="2"/>
  <c r="C224" i="2"/>
  <c r="B224" i="2"/>
  <c r="A224" i="2"/>
  <c r="AM223" i="2"/>
  <c r="AL223" i="2"/>
  <c r="AK223" i="2"/>
  <c r="AJ223" i="2"/>
  <c r="AI223" i="2"/>
  <c r="AH223" i="2"/>
  <c r="F223" i="4" s="1"/>
  <c r="AG223" i="2"/>
  <c r="AF223" i="2"/>
  <c r="AE223" i="2"/>
  <c r="AD223" i="2"/>
  <c r="AC223" i="2"/>
  <c r="AB223" i="2"/>
  <c r="AA223" i="2"/>
  <c r="Z223" i="2"/>
  <c r="Y223" i="2"/>
  <c r="X223" i="2"/>
  <c r="W223" i="2"/>
  <c r="V223" i="2"/>
  <c r="U223" i="2"/>
  <c r="T223" i="2"/>
  <c r="A227" i="3" s="1"/>
  <c r="G223" i="2"/>
  <c r="F223" i="2"/>
  <c r="E223" i="2"/>
  <c r="D223" i="2"/>
  <c r="C223" i="2"/>
  <c r="B223" i="2"/>
  <c r="A223" i="2"/>
  <c r="AM222" i="2"/>
  <c r="AL222" i="2"/>
  <c r="AK222" i="2"/>
  <c r="AJ222" i="2"/>
  <c r="AI222" i="2"/>
  <c r="AH222" i="2"/>
  <c r="F222" i="4" s="1"/>
  <c r="AG222" i="2"/>
  <c r="AF222" i="2"/>
  <c r="AE222" i="2"/>
  <c r="AD222" i="2"/>
  <c r="AC222" i="2"/>
  <c r="AB222" i="2"/>
  <c r="AA222" i="2"/>
  <c r="Z222" i="2"/>
  <c r="Y222" i="2"/>
  <c r="X222" i="2"/>
  <c r="W222" i="2"/>
  <c r="V222" i="2"/>
  <c r="U222" i="2"/>
  <c r="T222" i="2"/>
  <c r="A226" i="3" s="1"/>
  <c r="G222" i="2"/>
  <c r="F222" i="2"/>
  <c r="E222" i="2"/>
  <c r="D222" i="2"/>
  <c r="C222" i="2"/>
  <c r="B222" i="2"/>
  <c r="A222" i="2"/>
  <c r="AM221" i="2"/>
  <c r="AL221" i="2"/>
  <c r="AK221" i="2"/>
  <c r="AJ221" i="2"/>
  <c r="AI221" i="2"/>
  <c r="AH221" i="2"/>
  <c r="F221" i="4" s="1"/>
  <c r="AG221" i="2"/>
  <c r="AF221" i="2"/>
  <c r="AE221" i="2"/>
  <c r="AD221" i="2"/>
  <c r="AC221" i="2"/>
  <c r="AB221" i="2"/>
  <c r="AA221" i="2"/>
  <c r="Z221" i="2"/>
  <c r="Y221" i="2"/>
  <c r="X221" i="2"/>
  <c r="W221" i="2"/>
  <c r="V221" i="2"/>
  <c r="U221" i="2"/>
  <c r="T221" i="2"/>
  <c r="A225" i="3" s="1"/>
  <c r="G221" i="2"/>
  <c r="F221" i="2"/>
  <c r="E221" i="2"/>
  <c r="D221" i="2"/>
  <c r="C221" i="2"/>
  <c r="B221" i="2"/>
  <c r="A221" i="2"/>
  <c r="AM220" i="2"/>
  <c r="AL220" i="2"/>
  <c r="AK220" i="2"/>
  <c r="AJ220" i="2"/>
  <c r="AI220" i="2"/>
  <c r="AH220" i="2"/>
  <c r="F220" i="4" s="1"/>
  <c r="AG220" i="2"/>
  <c r="AF220" i="2"/>
  <c r="AE220" i="2"/>
  <c r="AD220" i="2"/>
  <c r="AC220" i="2"/>
  <c r="AB220" i="2"/>
  <c r="AA220" i="2"/>
  <c r="Z220" i="2"/>
  <c r="Y220" i="2"/>
  <c r="X220" i="2"/>
  <c r="W220" i="2"/>
  <c r="V220" i="2"/>
  <c r="U220" i="2"/>
  <c r="T220" i="2"/>
  <c r="A224" i="3" s="1"/>
  <c r="G220" i="2"/>
  <c r="F220" i="2"/>
  <c r="E220" i="2"/>
  <c r="D220" i="2"/>
  <c r="C220" i="2"/>
  <c r="B220" i="2"/>
  <c r="A220" i="2"/>
  <c r="AM219" i="2"/>
  <c r="AL219" i="2"/>
  <c r="AK219" i="2"/>
  <c r="AJ219" i="2"/>
  <c r="AI219" i="2"/>
  <c r="AH219" i="2"/>
  <c r="F219" i="4" s="1"/>
  <c r="AG219" i="2"/>
  <c r="AF219" i="2"/>
  <c r="AE219" i="2"/>
  <c r="AD219" i="2"/>
  <c r="AC219" i="2"/>
  <c r="AB219" i="2"/>
  <c r="AA219" i="2"/>
  <c r="Z219" i="2"/>
  <c r="Y219" i="2"/>
  <c r="X219" i="2"/>
  <c r="W219" i="2"/>
  <c r="V219" i="2"/>
  <c r="U219" i="2"/>
  <c r="T219" i="2"/>
  <c r="A223" i="3" s="1"/>
  <c r="G219" i="2"/>
  <c r="F219" i="2"/>
  <c r="E219" i="2"/>
  <c r="D219" i="2"/>
  <c r="C219" i="2"/>
  <c r="B219" i="2"/>
  <c r="A219" i="2"/>
  <c r="AM218" i="2"/>
  <c r="AL218" i="2"/>
  <c r="AK218" i="2"/>
  <c r="AJ218" i="2"/>
  <c r="AI218" i="2"/>
  <c r="AH218" i="2"/>
  <c r="F218" i="4" s="1"/>
  <c r="AG218" i="2"/>
  <c r="AF218" i="2"/>
  <c r="AE218" i="2"/>
  <c r="AD218" i="2"/>
  <c r="AC218" i="2"/>
  <c r="AB218" i="2"/>
  <c r="AA218" i="2"/>
  <c r="Z218" i="2"/>
  <c r="Y218" i="2"/>
  <c r="X218" i="2"/>
  <c r="W218" i="2"/>
  <c r="V218" i="2"/>
  <c r="U218" i="2"/>
  <c r="T218" i="2"/>
  <c r="A222" i="3" s="1"/>
  <c r="G218" i="2"/>
  <c r="F218" i="2"/>
  <c r="E218" i="2"/>
  <c r="D218" i="2"/>
  <c r="C218" i="2"/>
  <c r="B218" i="2"/>
  <c r="A218" i="2"/>
  <c r="AM217" i="2"/>
  <c r="AL217" i="2"/>
  <c r="AK217" i="2"/>
  <c r="AJ217" i="2"/>
  <c r="AI217" i="2"/>
  <c r="AH217" i="2"/>
  <c r="F217" i="4" s="1"/>
  <c r="AG217" i="2"/>
  <c r="AF217" i="2"/>
  <c r="AE217" i="2"/>
  <c r="AD217" i="2"/>
  <c r="AC217" i="2"/>
  <c r="AB217" i="2"/>
  <c r="AA217" i="2"/>
  <c r="Z217" i="2"/>
  <c r="Y217" i="2"/>
  <c r="X217" i="2"/>
  <c r="W217" i="2"/>
  <c r="V217" i="2"/>
  <c r="U217" i="2"/>
  <c r="T217" i="2"/>
  <c r="A221" i="3" s="1"/>
  <c r="G217" i="2"/>
  <c r="F217" i="2"/>
  <c r="E217" i="2"/>
  <c r="D217" i="2"/>
  <c r="C217" i="2"/>
  <c r="B217" i="2"/>
  <c r="A217" i="2"/>
  <c r="AM216" i="2"/>
  <c r="AL216" i="2"/>
  <c r="AK216" i="2"/>
  <c r="AJ216" i="2"/>
  <c r="AI216" i="2"/>
  <c r="AH216" i="2"/>
  <c r="F216" i="4" s="1"/>
  <c r="AG216" i="2"/>
  <c r="AF216" i="2"/>
  <c r="AE216" i="2"/>
  <c r="AD216" i="2"/>
  <c r="AC216" i="2"/>
  <c r="AB216" i="2"/>
  <c r="AA216" i="2"/>
  <c r="Z216" i="2"/>
  <c r="Y216" i="2"/>
  <c r="X216" i="2"/>
  <c r="W216" i="2"/>
  <c r="V216" i="2"/>
  <c r="U216" i="2"/>
  <c r="T216" i="2"/>
  <c r="A220" i="3" s="1"/>
  <c r="G216" i="2"/>
  <c r="F216" i="2"/>
  <c r="E216" i="2"/>
  <c r="D216" i="2"/>
  <c r="C216" i="2"/>
  <c r="B216" i="2"/>
  <c r="A216" i="2"/>
  <c r="AM215" i="2"/>
  <c r="AL215" i="2"/>
  <c r="AK215" i="2"/>
  <c r="AJ215" i="2"/>
  <c r="AI215" i="2"/>
  <c r="AH215" i="2"/>
  <c r="F215" i="4" s="1"/>
  <c r="AG215" i="2"/>
  <c r="AF215" i="2"/>
  <c r="AE215" i="2"/>
  <c r="AD215" i="2"/>
  <c r="AC215" i="2"/>
  <c r="AB215" i="2"/>
  <c r="AA215" i="2"/>
  <c r="Z215" i="2"/>
  <c r="Y215" i="2"/>
  <c r="X215" i="2"/>
  <c r="W215" i="2"/>
  <c r="V215" i="2"/>
  <c r="U215" i="2"/>
  <c r="T215" i="2"/>
  <c r="A219" i="3" s="1"/>
  <c r="G215" i="2"/>
  <c r="F215" i="2"/>
  <c r="E215" i="2"/>
  <c r="D215" i="2"/>
  <c r="C215" i="2"/>
  <c r="B215" i="2"/>
  <c r="A215" i="2"/>
  <c r="AM214" i="2"/>
  <c r="AL214" i="2"/>
  <c r="AK214" i="2"/>
  <c r="AJ214" i="2"/>
  <c r="AI214" i="2"/>
  <c r="AH214" i="2"/>
  <c r="F214" i="4" s="1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A218" i="3" s="1"/>
  <c r="G214" i="2"/>
  <c r="F214" i="2"/>
  <c r="E214" i="2"/>
  <c r="D214" i="2"/>
  <c r="C214" i="2"/>
  <c r="B214" i="2"/>
  <c r="A214" i="2"/>
  <c r="AM213" i="2"/>
  <c r="AL213" i="2"/>
  <c r="AK213" i="2"/>
  <c r="AJ213" i="2"/>
  <c r="AI213" i="2"/>
  <c r="AH213" i="2"/>
  <c r="F213" i="4" s="1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U213" i="2"/>
  <c r="T213" i="2"/>
  <c r="A217" i="3" s="1"/>
  <c r="G213" i="2"/>
  <c r="F213" i="2"/>
  <c r="E213" i="2"/>
  <c r="D213" i="2"/>
  <c r="C213" i="2"/>
  <c r="B213" i="2"/>
  <c r="A213" i="2"/>
  <c r="AM212" i="2"/>
  <c r="AL212" i="2"/>
  <c r="AK212" i="2"/>
  <c r="AJ212" i="2"/>
  <c r="AI212" i="2"/>
  <c r="AH212" i="2"/>
  <c r="F212" i="4" s="1"/>
  <c r="AG212" i="2"/>
  <c r="AF212" i="2"/>
  <c r="AE212" i="2"/>
  <c r="AD212" i="2"/>
  <c r="AC212" i="2"/>
  <c r="AB212" i="2"/>
  <c r="AA212" i="2"/>
  <c r="Z212" i="2"/>
  <c r="Y212" i="2"/>
  <c r="X212" i="2"/>
  <c r="W212" i="2"/>
  <c r="V212" i="2"/>
  <c r="U212" i="2"/>
  <c r="T212" i="2"/>
  <c r="A216" i="3" s="1"/>
  <c r="G212" i="2"/>
  <c r="F212" i="2"/>
  <c r="E212" i="2"/>
  <c r="D212" i="2"/>
  <c r="C212" i="2"/>
  <c r="B212" i="2"/>
  <c r="A212" i="2"/>
  <c r="AM211" i="2"/>
  <c r="AL211" i="2"/>
  <c r="AK211" i="2"/>
  <c r="AJ211" i="2"/>
  <c r="AI211" i="2"/>
  <c r="AH211" i="2"/>
  <c r="F211" i="4" s="1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A215" i="3" s="1"/>
  <c r="G211" i="2"/>
  <c r="F211" i="2"/>
  <c r="E211" i="2"/>
  <c r="D211" i="2"/>
  <c r="C211" i="2"/>
  <c r="B211" i="2"/>
  <c r="A211" i="2"/>
  <c r="AM210" i="2"/>
  <c r="AL210" i="2"/>
  <c r="AK210" i="2"/>
  <c r="AJ210" i="2"/>
  <c r="AI210" i="2"/>
  <c r="AH210" i="2"/>
  <c r="F210" i="4" s="1"/>
  <c r="AG210" i="2"/>
  <c r="AF210" i="2"/>
  <c r="AE210" i="2"/>
  <c r="AD210" i="2"/>
  <c r="AC210" i="2"/>
  <c r="AB210" i="2"/>
  <c r="AA210" i="2"/>
  <c r="Z210" i="2"/>
  <c r="Y210" i="2"/>
  <c r="X210" i="2"/>
  <c r="W210" i="2"/>
  <c r="V210" i="2"/>
  <c r="U210" i="2"/>
  <c r="T210" i="2"/>
  <c r="A214" i="3" s="1"/>
  <c r="G210" i="2"/>
  <c r="F210" i="2"/>
  <c r="E210" i="2"/>
  <c r="D210" i="2"/>
  <c r="C210" i="2"/>
  <c r="B210" i="2"/>
  <c r="A210" i="2"/>
  <c r="AM209" i="2"/>
  <c r="AL209" i="2"/>
  <c r="AK209" i="2"/>
  <c r="AJ209" i="2"/>
  <c r="AI209" i="2"/>
  <c r="AH209" i="2"/>
  <c r="F209" i="4" s="1"/>
  <c r="AG209" i="2"/>
  <c r="AF209" i="2"/>
  <c r="AE209" i="2"/>
  <c r="AD209" i="2"/>
  <c r="AC209" i="2"/>
  <c r="AB209" i="2"/>
  <c r="AA209" i="2"/>
  <c r="Z209" i="2"/>
  <c r="Y209" i="2"/>
  <c r="X209" i="2"/>
  <c r="W209" i="2"/>
  <c r="V209" i="2"/>
  <c r="U209" i="2"/>
  <c r="T209" i="2"/>
  <c r="A213" i="3" s="1"/>
  <c r="G209" i="2"/>
  <c r="F209" i="2"/>
  <c r="E209" i="2"/>
  <c r="D209" i="2"/>
  <c r="C209" i="2"/>
  <c r="B209" i="2"/>
  <c r="A209" i="2"/>
  <c r="AM208" i="2"/>
  <c r="AL208" i="2"/>
  <c r="AK208" i="2"/>
  <c r="AJ208" i="2"/>
  <c r="AI208" i="2"/>
  <c r="AH208" i="2"/>
  <c r="F208" i="4" s="1"/>
  <c r="AG208" i="2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T208" i="2"/>
  <c r="A212" i="3" s="1"/>
  <c r="G208" i="2"/>
  <c r="F208" i="2"/>
  <c r="E208" i="2"/>
  <c r="D208" i="2"/>
  <c r="C208" i="2"/>
  <c r="B208" i="2"/>
  <c r="A208" i="2"/>
  <c r="AM207" i="2"/>
  <c r="AL207" i="2"/>
  <c r="AK207" i="2"/>
  <c r="AJ207" i="2"/>
  <c r="AI207" i="2"/>
  <c r="AH207" i="2"/>
  <c r="F207" i="4" s="1"/>
  <c r="AG207" i="2"/>
  <c r="AF207" i="2"/>
  <c r="AE207" i="2"/>
  <c r="AD207" i="2"/>
  <c r="AC207" i="2"/>
  <c r="AB207" i="2"/>
  <c r="AA207" i="2"/>
  <c r="Z207" i="2"/>
  <c r="Y207" i="2"/>
  <c r="X207" i="2"/>
  <c r="W207" i="2"/>
  <c r="V207" i="2"/>
  <c r="U207" i="2"/>
  <c r="T207" i="2"/>
  <c r="A211" i="3" s="1"/>
  <c r="G207" i="2"/>
  <c r="F207" i="2"/>
  <c r="E207" i="2"/>
  <c r="D207" i="2"/>
  <c r="C207" i="2"/>
  <c r="B207" i="2"/>
  <c r="A207" i="2"/>
  <c r="AM206" i="2"/>
  <c r="AL206" i="2"/>
  <c r="AK206" i="2"/>
  <c r="AJ206" i="2"/>
  <c r="AI206" i="2"/>
  <c r="AH206" i="2"/>
  <c r="F206" i="4" s="1"/>
  <c r="AG206" i="2"/>
  <c r="AF206" i="2"/>
  <c r="AE206" i="2"/>
  <c r="AD206" i="2"/>
  <c r="AC206" i="2"/>
  <c r="AB206" i="2"/>
  <c r="AA206" i="2"/>
  <c r="Z206" i="2"/>
  <c r="Y206" i="2"/>
  <c r="X206" i="2"/>
  <c r="W206" i="2"/>
  <c r="V206" i="2"/>
  <c r="U206" i="2"/>
  <c r="T206" i="2"/>
  <c r="A210" i="3" s="1"/>
  <c r="G206" i="2"/>
  <c r="F206" i="2"/>
  <c r="E206" i="2"/>
  <c r="D206" i="2"/>
  <c r="C206" i="2"/>
  <c r="B206" i="2"/>
  <c r="A206" i="2"/>
  <c r="AM205" i="2"/>
  <c r="AL205" i="2"/>
  <c r="AK205" i="2"/>
  <c r="AJ205" i="2"/>
  <c r="AI205" i="2"/>
  <c r="AH205" i="2"/>
  <c r="F205" i="4" s="1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A209" i="3" s="1"/>
  <c r="G205" i="2"/>
  <c r="F205" i="2"/>
  <c r="E205" i="2"/>
  <c r="D205" i="2"/>
  <c r="C205" i="2"/>
  <c r="B205" i="2"/>
  <c r="A205" i="2"/>
  <c r="AM204" i="2"/>
  <c r="AL204" i="2"/>
  <c r="AK204" i="2"/>
  <c r="AJ204" i="2"/>
  <c r="AI204" i="2"/>
  <c r="AH204" i="2"/>
  <c r="F204" i="4" s="1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A208" i="3" s="1"/>
  <c r="G204" i="2"/>
  <c r="F204" i="2"/>
  <c r="E204" i="2"/>
  <c r="D204" i="2"/>
  <c r="C204" i="2"/>
  <c r="B204" i="2"/>
  <c r="A204" i="2"/>
  <c r="AM203" i="2"/>
  <c r="AL203" i="2"/>
  <c r="AK203" i="2"/>
  <c r="AJ203" i="2"/>
  <c r="AI203" i="2"/>
  <c r="AH203" i="2"/>
  <c r="F203" i="4" s="1"/>
  <c r="AG203" i="2"/>
  <c r="AF203" i="2"/>
  <c r="AE203" i="2"/>
  <c r="AD203" i="2"/>
  <c r="AC203" i="2"/>
  <c r="AB203" i="2"/>
  <c r="AA203" i="2"/>
  <c r="Z203" i="2"/>
  <c r="Y203" i="2"/>
  <c r="X203" i="2"/>
  <c r="W203" i="2"/>
  <c r="V203" i="2"/>
  <c r="U203" i="2"/>
  <c r="T203" i="2"/>
  <c r="A207" i="3" s="1"/>
  <c r="G203" i="2"/>
  <c r="F203" i="2"/>
  <c r="E203" i="2"/>
  <c r="D203" i="2"/>
  <c r="C203" i="2"/>
  <c r="B203" i="2"/>
  <c r="A203" i="2"/>
  <c r="AM202" i="2"/>
  <c r="AL202" i="2"/>
  <c r="AK202" i="2"/>
  <c r="AJ202" i="2"/>
  <c r="AI202" i="2"/>
  <c r="AH202" i="2"/>
  <c r="F202" i="4" s="1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A206" i="3" s="1"/>
  <c r="G202" i="2"/>
  <c r="F202" i="2"/>
  <c r="E202" i="2"/>
  <c r="D202" i="2"/>
  <c r="C202" i="2"/>
  <c r="B202" i="2"/>
  <c r="A202" i="2"/>
  <c r="AM201" i="2"/>
  <c r="AL201" i="2"/>
  <c r="AK201" i="2"/>
  <c r="AJ201" i="2"/>
  <c r="AI201" i="2"/>
  <c r="AH201" i="2"/>
  <c r="F201" i="4" s="1"/>
  <c r="AG201" i="2"/>
  <c r="AF201" i="2"/>
  <c r="AE201" i="2"/>
  <c r="AD201" i="2"/>
  <c r="AC201" i="2"/>
  <c r="AB201" i="2"/>
  <c r="AA201" i="2"/>
  <c r="Z201" i="2"/>
  <c r="Y201" i="2"/>
  <c r="X201" i="2"/>
  <c r="W201" i="2"/>
  <c r="V201" i="2"/>
  <c r="U201" i="2"/>
  <c r="T201" i="2"/>
  <c r="A205" i="3" s="1"/>
  <c r="G201" i="2"/>
  <c r="F201" i="2"/>
  <c r="E201" i="2"/>
  <c r="D201" i="2"/>
  <c r="C201" i="2"/>
  <c r="B201" i="2"/>
  <c r="A201" i="2"/>
  <c r="AM200" i="2"/>
  <c r="AL200" i="2"/>
  <c r="AK200" i="2"/>
  <c r="AJ200" i="2"/>
  <c r="AI200" i="2"/>
  <c r="AH200" i="2"/>
  <c r="F200" i="4" s="1"/>
  <c r="AG200" i="2"/>
  <c r="AF200" i="2"/>
  <c r="AE200" i="2"/>
  <c r="AD200" i="2"/>
  <c r="AC200" i="2"/>
  <c r="AB200" i="2"/>
  <c r="AA200" i="2"/>
  <c r="Z200" i="2"/>
  <c r="Y200" i="2"/>
  <c r="X200" i="2"/>
  <c r="W200" i="2"/>
  <c r="V200" i="2"/>
  <c r="U200" i="2"/>
  <c r="T200" i="2"/>
  <c r="A204" i="3" s="1"/>
  <c r="G200" i="2"/>
  <c r="F200" i="2"/>
  <c r="E200" i="2"/>
  <c r="D200" i="2"/>
  <c r="C200" i="2"/>
  <c r="B200" i="2"/>
  <c r="A200" i="2"/>
  <c r="AM199" i="2"/>
  <c r="AL199" i="2"/>
  <c r="AK199" i="2"/>
  <c r="AJ199" i="2"/>
  <c r="AI199" i="2"/>
  <c r="AH199" i="2"/>
  <c r="F199" i="4" s="1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A203" i="3" s="1"/>
  <c r="G199" i="2"/>
  <c r="F199" i="2"/>
  <c r="E199" i="2"/>
  <c r="D199" i="2"/>
  <c r="C199" i="2"/>
  <c r="B199" i="2"/>
  <c r="A199" i="2"/>
  <c r="AM198" i="2"/>
  <c r="AL198" i="2"/>
  <c r="AK198" i="2"/>
  <c r="AJ198" i="2"/>
  <c r="AI198" i="2"/>
  <c r="AH198" i="2"/>
  <c r="F198" i="4" s="1"/>
  <c r="AG198" i="2"/>
  <c r="AF198" i="2"/>
  <c r="AE198" i="2"/>
  <c r="AD198" i="2"/>
  <c r="AC198" i="2"/>
  <c r="AB198" i="2"/>
  <c r="AA198" i="2"/>
  <c r="Z198" i="2"/>
  <c r="Y198" i="2"/>
  <c r="X198" i="2"/>
  <c r="W198" i="2"/>
  <c r="V198" i="2"/>
  <c r="U198" i="2"/>
  <c r="T198" i="2"/>
  <c r="A202" i="3" s="1"/>
  <c r="G198" i="2"/>
  <c r="F198" i="2"/>
  <c r="E198" i="2"/>
  <c r="D198" i="2"/>
  <c r="C198" i="2"/>
  <c r="B198" i="2"/>
  <c r="A198" i="2"/>
  <c r="AM197" i="2"/>
  <c r="AL197" i="2"/>
  <c r="AK197" i="2"/>
  <c r="AJ197" i="2"/>
  <c r="AI197" i="2"/>
  <c r="AH197" i="2"/>
  <c r="F197" i="4" s="1"/>
  <c r="AG197" i="2"/>
  <c r="AF197" i="2"/>
  <c r="AE197" i="2"/>
  <c r="AD197" i="2"/>
  <c r="AC197" i="2"/>
  <c r="AB197" i="2"/>
  <c r="AA197" i="2"/>
  <c r="Z197" i="2"/>
  <c r="Y197" i="2"/>
  <c r="X197" i="2"/>
  <c r="W197" i="2"/>
  <c r="V197" i="2"/>
  <c r="U197" i="2"/>
  <c r="T197" i="2"/>
  <c r="A201" i="3" s="1"/>
  <c r="G197" i="2"/>
  <c r="F197" i="2"/>
  <c r="E197" i="2"/>
  <c r="D197" i="2"/>
  <c r="C197" i="2"/>
  <c r="B197" i="2"/>
  <c r="A197" i="2"/>
  <c r="AM196" i="2"/>
  <c r="AL196" i="2"/>
  <c r="AK196" i="2"/>
  <c r="AJ196" i="2"/>
  <c r="AI196" i="2"/>
  <c r="AH196" i="2"/>
  <c r="F196" i="4" s="1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A200" i="3" s="1"/>
  <c r="G196" i="2"/>
  <c r="F196" i="2"/>
  <c r="E196" i="2"/>
  <c r="D196" i="2"/>
  <c r="C196" i="2"/>
  <c r="B196" i="2"/>
  <c r="A196" i="2"/>
  <c r="AM195" i="2"/>
  <c r="AL195" i="2"/>
  <c r="AK195" i="2"/>
  <c r="AJ195" i="2"/>
  <c r="AI195" i="2"/>
  <c r="AH195" i="2"/>
  <c r="F195" i="4" s="1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A199" i="3" s="1"/>
  <c r="G195" i="2"/>
  <c r="F195" i="2"/>
  <c r="E195" i="2"/>
  <c r="D195" i="2"/>
  <c r="C195" i="2"/>
  <c r="B195" i="2"/>
  <c r="A195" i="2"/>
  <c r="AM194" i="2"/>
  <c r="AL194" i="2"/>
  <c r="AK194" i="2"/>
  <c r="AJ194" i="2"/>
  <c r="AI194" i="2"/>
  <c r="AH194" i="2"/>
  <c r="F194" i="4" s="1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A198" i="3" s="1"/>
  <c r="G194" i="2"/>
  <c r="F194" i="2"/>
  <c r="E194" i="2"/>
  <c r="D194" i="2"/>
  <c r="C194" i="2"/>
  <c r="B194" i="2"/>
  <c r="A194" i="2"/>
  <c r="AM193" i="2"/>
  <c r="AL193" i="2"/>
  <c r="AK193" i="2"/>
  <c r="AJ193" i="2"/>
  <c r="AI193" i="2"/>
  <c r="AH193" i="2"/>
  <c r="F193" i="4" s="1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A197" i="3" s="1"/>
  <c r="G193" i="2"/>
  <c r="F193" i="2"/>
  <c r="E193" i="2"/>
  <c r="D193" i="2"/>
  <c r="C193" i="2"/>
  <c r="B193" i="2"/>
  <c r="A193" i="2"/>
  <c r="AM192" i="2"/>
  <c r="AL192" i="2"/>
  <c r="AK192" i="2"/>
  <c r="AJ192" i="2"/>
  <c r="AI192" i="2"/>
  <c r="AH192" i="2"/>
  <c r="F192" i="4" s="1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A196" i="3" s="1"/>
  <c r="G192" i="2"/>
  <c r="F192" i="2"/>
  <c r="E192" i="2"/>
  <c r="D192" i="2"/>
  <c r="C192" i="2"/>
  <c r="B192" i="2"/>
  <c r="A192" i="2"/>
  <c r="AM191" i="2"/>
  <c r="AL191" i="2"/>
  <c r="AK191" i="2"/>
  <c r="AJ191" i="2"/>
  <c r="AI191" i="2"/>
  <c r="AH191" i="2"/>
  <c r="F191" i="4" s="1"/>
  <c r="AG191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A195" i="3" s="1"/>
  <c r="G191" i="2"/>
  <c r="F191" i="2"/>
  <c r="E191" i="2"/>
  <c r="D191" i="2"/>
  <c r="C191" i="2"/>
  <c r="B191" i="2"/>
  <c r="A191" i="2"/>
  <c r="AM190" i="2"/>
  <c r="AL190" i="2"/>
  <c r="AK190" i="2"/>
  <c r="AJ190" i="2"/>
  <c r="AI190" i="2"/>
  <c r="AH190" i="2"/>
  <c r="F190" i="4" s="1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A194" i="3" s="1"/>
  <c r="G190" i="2"/>
  <c r="F190" i="2"/>
  <c r="E190" i="2"/>
  <c r="D190" i="2"/>
  <c r="C190" i="2"/>
  <c r="B190" i="2"/>
  <c r="A190" i="2"/>
  <c r="AM189" i="2"/>
  <c r="AL189" i="2"/>
  <c r="AK189" i="2"/>
  <c r="AJ189" i="2"/>
  <c r="AI189" i="2"/>
  <c r="AH189" i="2"/>
  <c r="F189" i="4" s="1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A193" i="3" s="1"/>
  <c r="G189" i="2"/>
  <c r="F189" i="2"/>
  <c r="E189" i="2"/>
  <c r="D189" i="2"/>
  <c r="C189" i="2"/>
  <c r="B189" i="2"/>
  <c r="A189" i="2"/>
  <c r="AM188" i="2"/>
  <c r="AL188" i="2"/>
  <c r="AK188" i="2"/>
  <c r="AJ188" i="2"/>
  <c r="AI188" i="2"/>
  <c r="AH188" i="2"/>
  <c r="F188" i="4" s="1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A192" i="3" s="1"/>
  <c r="G188" i="2"/>
  <c r="F188" i="2"/>
  <c r="E188" i="2"/>
  <c r="D188" i="2"/>
  <c r="C188" i="2"/>
  <c r="B188" i="2"/>
  <c r="A188" i="2"/>
  <c r="AM187" i="2"/>
  <c r="AL187" i="2"/>
  <c r="AK187" i="2"/>
  <c r="AJ187" i="2"/>
  <c r="AI187" i="2"/>
  <c r="AH187" i="2"/>
  <c r="F187" i="4" s="1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A191" i="3" s="1"/>
  <c r="G187" i="2"/>
  <c r="F187" i="2"/>
  <c r="E187" i="2"/>
  <c r="D187" i="2"/>
  <c r="C187" i="2"/>
  <c r="B187" i="2"/>
  <c r="A187" i="2"/>
  <c r="AM186" i="2"/>
  <c r="AL186" i="2"/>
  <c r="AK186" i="2"/>
  <c r="AJ186" i="2"/>
  <c r="AI186" i="2"/>
  <c r="AH186" i="2"/>
  <c r="F186" i="4" s="1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A190" i="3" s="1"/>
  <c r="G186" i="2"/>
  <c r="F186" i="2"/>
  <c r="E186" i="2"/>
  <c r="D186" i="2"/>
  <c r="C186" i="2"/>
  <c r="B186" i="2"/>
  <c r="A186" i="2"/>
  <c r="AM185" i="2"/>
  <c r="AL185" i="2"/>
  <c r="AK185" i="2"/>
  <c r="AJ185" i="2"/>
  <c r="AI185" i="2"/>
  <c r="AH185" i="2"/>
  <c r="F185" i="4" s="1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A189" i="3" s="1"/>
  <c r="G185" i="2"/>
  <c r="F185" i="2"/>
  <c r="E185" i="2"/>
  <c r="D185" i="2"/>
  <c r="C185" i="2"/>
  <c r="B185" i="2"/>
  <c r="A185" i="2"/>
  <c r="AM184" i="2"/>
  <c r="AL184" i="2"/>
  <c r="AK184" i="2"/>
  <c r="AJ184" i="2"/>
  <c r="AI184" i="2"/>
  <c r="AH184" i="2"/>
  <c r="F184" i="4" s="1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A188" i="3" s="1"/>
  <c r="G184" i="2"/>
  <c r="F184" i="2"/>
  <c r="E184" i="2"/>
  <c r="D184" i="2"/>
  <c r="C184" i="2"/>
  <c r="B184" i="2"/>
  <c r="A184" i="2"/>
  <c r="AM183" i="2"/>
  <c r="AL183" i="2"/>
  <c r="AK183" i="2"/>
  <c r="AJ183" i="2"/>
  <c r="AI183" i="2"/>
  <c r="AH183" i="2"/>
  <c r="F183" i="4" s="1"/>
  <c r="AG183" i="2"/>
  <c r="AF183" i="2"/>
  <c r="AE183" i="2"/>
  <c r="AD183" i="2"/>
  <c r="AC183" i="2"/>
  <c r="AB183" i="2"/>
  <c r="AA183" i="2"/>
  <c r="Z183" i="2"/>
  <c r="Y183" i="2"/>
  <c r="X183" i="2"/>
  <c r="W183" i="2"/>
  <c r="V183" i="2"/>
  <c r="U183" i="2"/>
  <c r="T183" i="2"/>
  <c r="A187" i="3" s="1"/>
  <c r="G183" i="2"/>
  <c r="F183" i="2"/>
  <c r="E183" i="2"/>
  <c r="D183" i="2"/>
  <c r="C183" i="2"/>
  <c r="B183" i="2"/>
  <c r="A183" i="2"/>
  <c r="AM182" i="2"/>
  <c r="AL182" i="2"/>
  <c r="AK182" i="2"/>
  <c r="AJ182" i="2"/>
  <c r="AI182" i="2"/>
  <c r="AH182" i="2"/>
  <c r="F182" i="4" s="1"/>
  <c r="AG182" i="2"/>
  <c r="AF182" i="2"/>
  <c r="AE182" i="2"/>
  <c r="AD182" i="2"/>
  <c r="AC182" i="2"/>
  <c r="AB182" i="2"/>
  <c r="AA182" i="2"/>
  <c r="Z182" i="2"/>
  <c r="Y182" i="2"/>
  <c r="X182" i="2"/>
  <c r="W182" i="2"/>
  <c r="V182" i="2"/>
  <c r="U182" i="2"/>
  <c r="T182" i="2"/>
  <c r="A186" i="3" s="1"/>
  <c r="G182" i="2"/>
  <c r="F182" i="2"/>
  <c r="E182" i="2"/>
  <c r="D182" i="2"/>
  <c r="C182" i="2"/>
  <c r="B182" i="2"/>
  <c r="A182" i="2"/>
  <c r="AM181" i="2"/>
  <c r="AL181" i="2"/>
  <c r="AK181" i="2"/>
  <c r="AJ181" i="2"/>
  <c r="AI181" i="2"/>
  <c r="AH181" i="2"/>
  <c r="F181" i="4" s="1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A185" i="3" s="1"/>
  <c r="G181" i="2"/>
  <c r="F181" i="2"/>
  <c r="E181" i="2"/>
  <c r="D181" i="2"/>
  <c r="C181" i="2"/>
  <c r="B181" i="2"/>
  <c r="A181" i="2"/>
  <c r="AM180" i="2"/>
  <c r="AL180" i="2"/>
  <c r="AK180" i="2"/>
  <c r="AJ180" i="2"/>
  <c r="AI180" i="2"/>
  <c r="AH180" i="2"/>
  <c r="F180" i="4" s="1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A184" i="3" s="1"/>
  <c r="G180" i="2"/>
  <c r="F180" i="2"/>
  <c r="E180" i="2"/>
  <c r="D180" i="2"/>
  <c r="C180" i="2"/>
  <c r="B180" i="2"/>
  <c r="A180" i="2"/>
  <c r="AM179" i="2"/>
  <c r="AL179" i="2"/>
  <c r="AK179" i="2"/>
  <c r="AJ179" i="2"/>
  <c r="AI179" i="2"/>
  <c r="AH179" i="2"/>
  <c r="F179" i="4" s="1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A183" i="3" s="1"/>
  <c r="G179" i="2"/>
  <c r="F179" i="2"/>
  <c r="E179" i="2"/>
  <c r="D179" i="2"/>
  <c r="C179" i="2"/>
  <c r="B179" i="2"/>
  <c r="A179" i="2"/>
  <c r="AM178" i="2"/>
  <c r="AL178" i="2"/>
  <c r="AK178" i="2"/>
  <c r="AJ178" i="2"/>
  <c r="AI178" i="2"/>
  <c r="AH178" i="2"/>
  <c r="F178" i="4" s="1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A182" i="3" s="1"/>
  <c r="G178" i="2"/>
  <c r="F178" i="2"/>
  <c r="E178" i="2"/>
  <c r="D178" i="2"/>
  <c r="C178" i="2"/>
  <c r="B178" i="2"/>
  <c r="A178" i="2"/>
  <c r="AM177" i="2"/>
  <c r="AL177" i="2"/>
  <c r="AK177" i="2"/>
  <c r="AJ177" i="2"/>
  <c r="AI177" i="2"/>
  <c r="AH177" i="2"/>
  <c r="F177" i="4" s="1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A181" i="3" s="1"/>
  <c r="G177" i="2"/>
  <c r="F177" i="2"/>
  <c r="E177" i="2"/>
  <c r="D177" i="2"/>
  <c r="C177" i="2"/>
  <c r="B177" i="2"/>
  <c r="A177" i="2"/>
  <c r="AM176" i="2"/>
  <c r="AL176" i="2"/>
  <c r="AK176" i="2"/>
  <c r="AJ176" i="2"/>
  <c r="AI176" i="2"/>
  <c r="AH176" i="2"/>
  <c r="F176" i="4" s="1"/>
  <c r="AG176" i="2"/>
  <c r="AF176" i="2"/>
  <c r="AE176" i="2"/>
  <c r="AD176" i="2"/>
  <c r="AC176" i="2"/>
  <c r="AB176" i="2"/>
  <c r="AA176" i="2"/>
  <c r="Z176" i="2"/>
  <c r="Y176" i="2"/>
  <c r="X176" i="2"/>
  <c r="W176" i="2"/>
  <c r="V176" i="2"/>
  <c r="U176" i="2"/>
  <c r="T176" i="2"/>
  <c r="A180" i="3" s="1"/>
  <c r="G176" i="2"/>
  <c r="F176" i="2"/>
  <c r="E176" i="2"/>
  <c r="D176" i="2"/>
  <c r="C176" i="2"/>
  <c r="B176" i="2"/>
  <c r="A176" i="2"/>
  <c r="AM175" i="2"/>
  <c r="AL175" i="2"/>
  <c r="AK175" i="2"/>
  <c r="AJ175" i="2"/>
  <c r="AI175" i="2"/>
  <c r="AH175" i="2"/>
  <c r="F175" i="4" s="1"/>
  <c r="AG175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A179" i="3" s="1"/>
  <c r="G175" i="2"/>
  <c r="F175" i="2"/>
  <c r="E175" i="2"/>
  <c r="D175" i="2"/>
  <c r="C175" i="2"/>
  <c r="B175" i="2"/>
  <c r="A175" i="2"/>
  <c r="AM174" i="2"/>
  <c r="AL174" i="2"/>
  <c r="AK174" i="2"/>
  <c r="AJ174" i="2"/>
  <c r="AI174" i="2"/>
  <c r="AH174" i="2"/>
  <c r="F174" i="4" s="1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A178" i="3" s="1"/>
  <c r="G174" i="2"/>
  <c r="F174" i="2"/>
  <c r="E174" i="2"/>
  <c r="D174" i="2"/>
  <c r="C174" i="2"/>
  <c r="B174" i="2"/>
  <c r="A174" i="2"/>
  <c r="AM173" i="2"/>
  <c r="AL173" i="2"/>
  <c r="AK173" i="2"/>
  <c r="AJ173" i="2"/>
  <c r="AI173" i="2"/>
  <c r="AH173" i="2"/>
  <c r="F173" i="4" s="1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A177" i="3" s="1"/>
  <c r="G173" i="2"/>
  <c r="F173" i="2"/>
  <c r="E173" i="2"/>
  <c r="D173" i="2"/>
  <c r="C173" i="2"/>
  <c r="B173" i="2"/>
  <c r="A173" i="2"/>
  <c r="AM172" i="2"/>
  <c r="AL172" i="2"/>
  <c r="AK172" i="2"/>
  <c r="AJ172" i="2"/>
  <c r="AI172" i="2"/>
  <c r="AH172" i="2"/>
  <c r="F172" i="4" s="1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A176" i="3" s="1"/>
  <c r="G172" i="2"/>
  <c r="F172" i="2"/>
  <c r="E172" i="2"/>
  <c r="D172" i="2"/>
  <c r="C172" i="2"/>
  <c r="B172" i="2"/>
  <c r="A172" i="2"/>
  <c r="AM171" i="2"/>
  <c r="AL171" i="2"/>
  <c r="AK171" i="2"/>
  <c r="AJ171" i="2"/>
  <c r="AI171" i="2"/>
  <c r="AH171" i="2"/>
  <c r="F171" i="4" s="1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A175" i="3" s="1"/>
  <c r="G171" i="2"/>
  <c r="F171" i="2"/>
  <c r="E171" i="2"/>
  <c r="D171" i="2"/>
  <c r="C171" i="2"/>
  <c r="B171" i="2"/>
  <c r="A171" i="2"/>
  <c r="AM170" i="2"/>
  <c r="AL170" i="2"/>
  <c r="AK170" i="2"/>
  <c r="AJ170" i="2"/>
  <c r="AI170" i="2"/>
  <c r="AH170" i="2"/>
  <c r="F170" i="4" s="1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A174" i="3" s="1"/>
  <c r="G170" i="2"/>
  <c r="F170" i="2"/>
  <c r="E170" i="2"/>
  <c r="D170" i="2"/>
  <c r="C170" i="2"/>
  <c r="B170" i="2"/>
  <c r="A170" i="2"/>
  <c r="AM169" i="2"/>
  <c r="AL169" i="2"/>
  <c r="AK169" i="2"/>
  <c r="AJ169" i="2"/>
  <c r="AI169" i="2"/>
  <c r="AH169" i="2"/>
  <c r="F169" i="4" s="1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A173" i="3" s="1"/>
  <c r="G169" i="2"/>
  <c r="F169" i="2"/>
  <c r="E169" i="2"/>
  <c r="D169" i="2"/>
  <c r="C169" i="2"/>
  <c r="B169" i="2"/>
  <c r="A169" i="2"/>
  <c r="AM168" i="2"/>
  <c r="AL168" i="2"/>
  <c r="AK168" i="2"/>
  <c r="AJ168" i="2"/>
  <c r="AI168" i="2"/>
  <c r="AH168" i="2"/>
  <c r="F168" i="4" s="1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A172" i="3" s="1"/>
  <c r="G168" i="2"/>
  <c r="F168" i="2"/>
  <c r="E168" i="2"/>
  <c r="D168" i="2"/>
  <c r="C168" i="2"/>
  <c r="B168" i="2"/>
  <c r="A168" i="2"/>
  <c r="AM167" i="2"/>
  <c r="AL167" i="2"/>
  <c r="AK167" i="2"/>
  <c r="AJ167" i="2"/>
  <c r="AI167" i="2"/>
  <c r="AH167" i="2"/>
  <c r="F167" i="4" s="1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A171" i="3" s="1"/>
  <c r="G167" i="2"/>
  <c r="F167" i="2"/>
  <c r="E167" i="2"/>
  <c r="D167" i="2"/>
  <c r="C167" i="2"/>
  <c r="B167" i="2"/>
  <c r="A167" i="2"/>
  <c r="AM166" i="2"/>
  <c r="AL166" i="2"/>
  <c r="AK166" i="2"/>
  <c r="AJ166" i="2"/>
  <c r="AI166" i="2"/>
  <c r="AH166" i="2"/>
  <c r="F166" i="4" s="1"/>
  <c r="AG166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A170" i="3" s="1"/>
  <c r="G166" i="2"/>
  <c r="F166" i="2"/>
  <c r="E166" i="2"/>
  <c r="D166" i="2"/>
  <c r="C166" i="2"/>
  <c r="B166" i="2"/>
  <c r="A166" i="2"/>
  <c r="AM165" i="2"/>
  <c r="AL165" i="2"/>
  <c r="AK165" i="2"/>
  <c r="AJ165" i="2"/>
  <c r="AI165" i="2"/>
  <c r="AH165" i="2"/>
  <c r="F165" i="4" s="1"/>
  <c r="AG165" i="2"/>
  <c r="AF165" i="2"/>
  <c r="AE165" i="2"/>
  <c r="AD165" i="2"/>
  <c r="AC165" i="2"/>
  <c r="AB165" i="2"/>
  <c r="AA165" i="2"/>
  <c r="Z165" i="2"/>
  <c r="Y165" i="2"/>
  <c r="X165" i="2"/>
  <c r="W165" i="2"/>
  <c r="V165" i="2"/>
  <c r="U165" i="2"/>
  <c r="T165" i="2"/>
  <c r="A169" i="3" s="1"/>
  <c r="G165" i="2"/>
  <c r="F165" i="2"/>
  <c r="E165" i="2"/>
  <c r="D165" i="2"/>
  <c r="C165" i="2"/>
  <c r="B165" i="2"/>
  <c r="A165" i="2"/>
  <c r="AM164" i="2"/>
  <c r="AL164" i="2"/>
  <c r="AK164" i="2"/>
  <c r="AJ164" i="2"/>
  <c r="AI164" i="2"/>
  <c r="AH164" i="2"/>
  <c r="F164" i="4" s="1"/>
  <c r="AG164" i="2"/>
  <c r="AF164" i="2"/>
  <c r="AE164" i="2"/>
  <c r="AD164" i="2"/>
  <c r="AC164" i="2"/>
  <c r="AB164" i="2"/>
  <c r="AA164" i="2"/>
  <c r="Z164" i="2"/>
  <c r="Y164" i="2"/>
  <c r="X164" i="2"/>
  <c r="W164" i="2"/>
  <c r="V164" i="2"/>
  <c r="U164" i="2"/>
  <c r="T164" i="2"/>
  <c r="A168" i="3" s="1"/>
  <c r="G164" i="2"/>
  <c r="F164" i="2"/>
  <c r="E164" i="2"/>
  <c r="D164" i="2"/>
  <c r="C164" i="2"/>
  <c r="B164" i="2"/>
  <c r="A164" i="2"/>
  <c r="AM163" i="2"/>
  <c r="AL163" i="2"/>
  <c r="AK163" i="2"/>
  <c r="AJ163" i="2"/>
  <c r="AI163" i="2"/>
  <c r="AH163" i="2"/>
  <c r="F163" i="4" s="1"/>
  <c r="AG163" i="2"/>
  <c r="AF163" i="2"/>
  <c r="AE163" i="2"/>
  <c r="AD163" i="2"/>
  <c r="AC163" i="2"/>
  <c r="AB163" i="2"/>
  <c r="AA163" i="2"/>
  <c r="Z163" i="2"/>
  <c r="Y163" i="2"/>
  <c r="X163" i="2"/>
  <c r="W163" i="2"/>
  <c r="V163" i="2"/>
  <c r="U163" i="2"/>
  <c r="T163" i="2"/>
  <c r="A167" i="3" s="1"/>
  <c r="G163" i="2"/>
  <c r="F163" i="2"/>
  <c r="E163" i="2"/>
  <c r="D163" i="2"/>
  <c r="C163" i="2"/>
  <c r="B163" i="2"/>
  <c r="A163" i="2"/>
  <c r="AM162" i="2"/>
  <c r="AL162" i="2"/>
  <c r="AK162" i="2"/>
  <c r="AJ162" i="2"/>
  <c r="AI162" i="2"/>
  <c r="AH162" i="2"/>
  <c r="F162" i="4" s="1"/>
  <c r="AG162" i="2"/>
  <c r="AF162" i="2"/>
  <c r="AE162" i="2"/>
  <c r="AD162" i="2"/>
  <c r="AC162" i="2"/>
  <c r="AB162" i="2"/>
  <c r="AA162" i="2"/>
  <c r="Z162" i="2"/>
  <c r="Y162" i="2"/>
  <c r="X162" i="2"/>
  <c r="W162" i="2"/>
  <c r="V162" i="2"/>
  <c r="U162" i="2"/>
  <c r="T162" i="2"/>
  <c r="A166" i="3" s="1"/>
  <c r="G162" i="2"/>
  <c r="F162" i="2"/>
  <c r="E162" i="2"/>
  <c r="D162" i="2"/>
  <c r="C162" i="2"/>
  <c r="B162" i="2"/>
  <c r="A162" i="2"/>
  <c r="AM161" i="2"/>
  <c r="AL161" i="2"/>
  <c r="AK161" i="2"/>
  <c r="AJ161" i="2"/>
  <c r="AI161" i="2"/>
  <c r="AH161" i="2"/>
  <c r="F161" i="4" s="1"/>
  <c r="AG161" i="2"/>
  <c r="AF161" i="2"/>
  <c r="AE161" i="2"/>
  <c r="AD161" i="2"/>
  <c r="AC161" i="2"/>
  <c r="AB161" i="2"/>
  <c r="AA161" i="2"/>
  <c r="Z161" i="2"/>
  <c r="Y161" i="2"/>
  <c r="X161" i="2"/>
  <c r="W161" i="2"/>
  <c r="V161" i="2"/>
  <c r="U161" i="2"/>
  <c r="T161" i="2"/>
  <c r="A165" i="3" s="1"/>
  <c r="G161" i="2"/>
  <c r="F161" i="2"/>
  <c r="E161" i="2"/>
  <c r="D161" i="2"/>
  <c r="C161" i="2"/>
  <c r="B161" i="2"/>
  <c r="A161" i="2"/>
  <c r="AM160" i="2"/>
  <c r="AL160" i="2"/>
  <c r="AK160" i="2"/>
  <c r="AJ160" i="2"/>
  <c r="AI160" i="2"/>
  <c r="AH160" i="2"/>
  <c r="F160" i="4" s="1"/>
  <c r="AG160" i="2"/>
  <c r="AF160" i="2"/>
  <c r="AE160" i="2"/>
  <c r="AD160" i="2"/>
  <c r="AC160" i="2"/>
  <c r="AB160" i="2"/>
  <c r="AA160" i="2"/>
  <c r="Z160" i="2"/>
  <c r="Y160" i="2"/>
  <c r="X160" i="2"/>
  <c r="W160" i="2"/>
  <c r="V160" i="2"/>
  <c r="U160" i="2"/>
  <c r="T160" i="2"/>
  <c r="A164" i="3" s="1"/>
  <c r="G160" i="2"/>
  <c r="F160" i="2"/>
  <c r="E160" i="2"/>
  <c r="D160" i="2"/>
  <c r="C160" i="2"/>
  <c r="B160" i="2"/>
  <c r="A160" i="2"/>
  <c r="AM159" i="2"/>
  <c r="AL159" i="2"/>
  <c r="AK159" i="2"/>
  <c r="AJ159" i="2"/>
  <c r="AI159" i="2"/>
  <c r="AH159" i="2"/>
  <c r="F159" i="4" s="1"/>
  <c r="AG159" i="2"/>
  <c r="AF159" i="2"/>
  <c r="AE159" i="2"/>
  <c r="AD159" i="2"/>
  <c r="AC159" i="2"/>
  <c r="AB159" i="2"/>
  <c r="AA159" i="2"/>
  <c r="Z159" i="2"/>
  <c r="Y159" i="2"/>
  <c r="X159" i="2"/>
  <c r="W159" i="2"/>
  <c r="V159" i="2"/>
  <c r="U159" i="2"/>
  <c r="T159" i="2"/>
  <c r="A163" i="3" s="1"/>
  <c r="G159" i="2"/>
  <c r="F159" i="2"/>
  <c r="E159" i="2"/>
  <c r="D159" i="2"/>
  <c r="C159" i="2"/>
  <c r="B159" i="2"/>
  <c r="A159" i="2"/>
  <c r="AM158" i="2"/>
  <c r="AL158" i="2"/>
  <c r="AK158" i="2"/>
  <c r="AJ158" i="2"/>
  <c r="AI158" i="2"/>
  <c r="AH158" i="2"/>
  <c r="F158" i="4" s="1"/>
  <c r="AG158" i="2"/>
  <c r="AF158" i="2"/>
  <c r="AE158" i="2"/>
  <c r="AD158" i="2"/>
  <c r="AC158" i="2"/>
  <c r="AB158" i="2"/>
  <c r="AA158" i="2"/>
  <c r="Z158" i="2"/>
  <c r="Y158" i="2"/>
  <c r="X158" i="2"/>
  <c r="W158" i="2"/>
  <c r="V158" i="2"/>
  <c r="U158" i="2"/>
  <c r="T158" i="2"/>
  <c r="A162" i="3" s="1"/>
  <c r="G158" i="2"/>
  <c r="F158" i="2"/>
  <c r="E158" i="2"/>
  <c r="D158" i="2"/>
  <c r="C158" i="2"/>
  <c r="B158" i="2"/>
  <c r="A158" i="2"/>
  <c r="AM157" i="2"/>
  <c r="AL157" i="2"/>
  <c r="AK157" i="2"/>
  <c r="AJ157" i="2"/>
  <c r="AI157" i="2"/>
  <c r="AH157" i="2"/>
  <c r="F157" i="4" s="1"/>
  <c r="AG157" i="2"/>
  <c r="AF157" i="2"/>
  <c r="AE157" i="2"/>
  <c r="AD157" i="2"/>
  <c r="AC157" i="2"/>
  <c r="AB157" i="2"/>
  <c r="AA157" i="2"/>
  <c r="Z157" i="2"/>
  <c r="Y157" i="2"/>
  <c r="X157" i="2"/>
  <c r="W157" i="2"/>
  <c r="V157" i="2"/>
  <c r="U157" i="2"/>
  <c r="T157" i="2"/>
  <c r="A161" i="3" s="1"/>
  <c r="G157" i="2"/>
  <c r="F157" i="2"/>
  <c r="E157" i="2"/>
  <c r="D157" i="2"/>
  <c r="C157" i="2"/>
  <c r="B157" i="2"/>
  <c r="A157" i="2"/>
  <c r="AM156" i="2"/>
  <c r="AL156" i="2"/>
  <c r="AK156" i="2"/>
  <c r="AJ156" i="2"/>
  <c r="AI156" i="2"/>
  <c r="AH156" i="2"/>
  <c r="F156" i="4" s="1"/>
  <c r="AG156" i="2"/>
  <c r="AF156" i="2"/>
  <c r="AE156" i="2"/>
  <c r="AD156" i="2"/>
  <c r="AC156" i="2"/>
  <c r="AB156" i="2"/>
  <c r="AA156" i="2"/>
  <c r="Z156" i="2"/>
  <c r="Y156" i="2"/>
  <c r="X156" i="2"/>
  <c r="W156" i="2"/>
  <c r="V156" i="2"/>
  <c r="U156" i="2"/>
  <c r="T156" i="2"/>
  <c r="A160" i="3" s="1"/>
  <c r="G156" i="2"/>
  <c r="F156" i="2"/>
  <c r="E156" i="2"/>
  <c r="D156" i="2"/>
  <c r="C156" i="2"/>
  <c r="B156" i="2"/>
  <c r="A156" i="2"/>
  <c r="AM155" i="2"/>
  <c r="AL155" i="2"/>
  <c r="AK155" i="2"/>
  <c r="AJ155" i="2"/>
  <c r="AI155" i="2"/>
  <c r="AH155" i="2"/>
  <c r="F155" i="4" s="1"/>
  <c r="AG155" i="2"/>
  <c r="AF155" i="2"/>
  <c r="AE155" i="2"/>
  <c r="AD155" i="2"/>
  <c r="AC155" i="2"/>
  <c r="AB155" i="2"/>
  <c r="AA155" i="2"/>
  <c r="Z155" i="2"/>
  <c r="Y155" i="2"/>
  <c r="X155" i="2"/>
  <c r="W155" i="2"/>
  <c r="V155" i="2"/>
  <c r="U155" i="2"/>
  <c r="T155" i="2"/>
  <c r="A159" i="3" s="1"/>
  <c r="G155" i="2"/>
  <c r="F155" i="2"/>
  <c r="E155" i="2"/>
  <c r="D155" i="2"/>
  <c r="C155" i="2"/>
  <c r="B155" i="2"/>
  <c r="A155" i="2"/>
  <c r="AM154" i="2"/>
  <c r="AL154" i="2"/>
  <c r="AK154" i="2"/>
  <c r="AJ154" i="2"/>
  <c r="AI154" i="2"/>
  <c r="AH154" i="2"/>
  <c r="F154" i="4" s="1"/>
  <c r="AG154" i="2"/>
  <c r="AF154" i="2"/>
  <c r="AE154" i="2"/>
  <c r="AD154" i="2"/>
  <c r="AC154" i="2"/>
  <c r="AB154" i="2"/>
  <c r="AA154" i="2"/>
  <c r="Z154" i="2"/>
  <c r="Y154" i="2"/>
  <c r="X154" i="2"/>
  <c r="W154" i="2"/>
  <c r="V154" i="2"/>
  <c r="U154" i="2"/>
  <c r="T154" i="2"/>
  <c r="A158" i="3" s="1"/>
  <c r="G154" i="2"/>
  <c r="F154" i="2"/>
  <c r="E154" i="2"/>
  <c r="D154" i="2"/>
  <c r="C154" i="2"/>
  <c r="B154" i="2"/>
  <c r="A154" i="2"/>
  <c r="AM153" i="2"/>
  <c r="AL153" i="2"/>
  <c r="AK153" i="2"/>
  <c r="AJ153" i="2"/>
  <c r="AI153" i="2"/>
  <c r="AH153" i="2"/>
  <c r="F153" i="4" s="1"/>
  <c r="AG153" i="2"/>
  <c r="AF153" i="2"/>
  <c r="AE153" i="2"/>
  <c r="AD153" i="2"/>
  <c r="AC153" i="2"/>
  <c r="AB153" i="2"/>
  <c r="AA153" i="2"/>
  <c r="Z153" i="2"/>
  <c r="Y153" i="2"/>
  <c r="X153" i="2"/>
  <c r="W153" i="2"/>
  <c r="V153" i="2"/>
  <c r="U153" i="2"/>
  <c r="T153" i="2"/>
  <c r="A157" i="3" s="1"/>
  <c r="G153" i="2"/>
  <c r="F153" i="2"/>
  <c r="E153" i="2"/>
  <c r="D153" i="2"/>
  <c r="C153" i="2"/>
  <c r="B153" i="2"/>
  <c r="A153" i="2"/>
  <c r="AM152" i="2"/>
  <c r="AL152" i="2"/>
  <c r="AK152" i="2"/>
  <c r="AJ152" i="2"/>
  <c r="AI152" i="2"/>
  <c r="AH152" i="2"/>
  <c r="F152" i="4" s="1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U152" i="2"/>
  <c r="T152" i="2"/>
  <c r="A156" i="3" s="1"/>
  <c r="G152" i="2"/>
  <c r="F152" i="2"/>
  <c r="E152" i="2"/>
  <c r="D152" i="2"/>
  <c r="C152" i="2"/>
  <c r="B152" i="2"/>
  <c r="A152" i="2"/>
  <c r="AM151" i="2"/>
  <c r="AL151" i="2"/>
  <c r="AK151" i="2"/>
  <c r="AJ151" i="2"/>
  <c r="AI151" i="2"/>
  <c r="AH151" i="2"/>
  <c r="F151" i="4" s="1"/>
  <c r="AG151" i="2"/>
  <c r="AF151" i="2"/>
  <c r="AE151" i="2"/>
  <c r="AD151" i="2"/>
  <c r="AC151" i="2"/>
  <c r="AB151" i="2"/>
  <c r="AA151" i="2"/>
  <c r="Z151" i="2"/>
  <c r="Y151" i="2"/>
  <c r="X151" i="2"/>
  <c r="W151" i="2"/>
  <c r="V151" i="2"/>
  <c r="U151" i="2"/>
  <c r="T151" i="2"/>
  <c r="A155" i="3" s="1"/>
  <c r="G151" i="2"/>
  <c r="F151" i="2"/>
  <c r="E151" i="2"/>
  <c r="D151" i="2"/>
  <c r="C151" i="2"/>
  <c r="B151" i="2"/>
  <c r="A151" i="2"/>
  <c r="AM150" i="2"/>
  <c r="AL150" i="2"/>
  <c r="AK150" i="2"/>
  <c r="AJ150" i="2"/>
  <c r="AI150" i="2"/>
  <c r="AH150" i="2"/>
  <c r="F150" i="4" s="1"/>
  <c r="AG150" i="2"/>
  <c r="AF150" i="2"/>
  <c r="AE150" i="2"/>
  <c r="AD150" i="2"/>
  <c r="AC150" i="2"/>
  <c r="AB150" i="2"/>
  <c r="AA150" i="2"/>
  <c r="Z150" i="2"/>
  <c r="Y150" i="2"/>
  <c r="X150" i="2"/>
  <c r="W150" i="2"/>
  <c r="V150" i="2"/>
  <c r="U150" i="2"/>
  <c r="T150" i="2"/>
  <c r="A154" i="3" s="1"/>
  <c r="G150" i="2"/>
  <c r="F150" i="2"/>
  <c r="E150" i="2"/>
  <c r="D150" i="2"/>
  <c r="C150" i="2"/>
  <c r="B150" i="2"/>
  <c r="A150" i="2"/>
  <c r="AM149" i="2"/>
  <c r="AL149" i="2"/>
  <c r="AK149" i="2"/>
  <c r="AJ149" i="2"/>
  <c r="AI149" i="2"/>
  <c r="AH149" i="2"/>
  <c r="F149" i="4" s="1"/>
  <c r="AG149" i="2"/>
  <c r="AF149" i="2"/>
  <c r="AE149" i="2"/>
  <c r="AD149" i="2"/>
  <c r="AC149" i="2"/>
  <c r="AB149" i="2"/>
  <c r="AA149" i="2"/>
  <c r="Z149" i="2"/>
  <c r="Y149" i="2"/>
  <c r="X149" i="2"/>
  <c r="W149" i="2"/>
  <c r="V149" i="2"/>
  <c r="U149" i="2"/>
  <c r="T149" i="2"/>
  <c r="A153" i="3" s="1"/>
  <c r="G149" i="2"/>
  <c r="F149" i="2"/>
  <c r="E149" i="2"/>
  <c r="D149" i="2"/>
  <c r="C149" i="2"/>
  <c r="B149" i="2"/>
  <c r="A149" i="2"/>
  <c r="AM148" i="2"/>
  <c r="AL148" i="2"/>
  <c r="AK148" i="2"/>
  <c r="AJ148" i="2"/>
  <c r="AI148" i="2"/>
  <c r="AH148" i="2"/>
  <c r="F148" i="4" s="1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U148" i="2"/>
  <c r="T148" i="2"/>
  <c r="A152" i="3" s="1"/>
  <c r="G148" i="2"/>
  <c r="F148" i="2"/>
  <c r="E148" i="2"/>
  <c r="D148" i="2"/>
  <c r="C148" i="2"/>
  <c r="B148" i="2"/>
  <c r="A148" i="2"/>
  <c r="AM147" i="2"/>
  <c r="AL147" i="2"/>
  <c r="AK147" i="2"/>
  <c r="AJ147" i="2"/>
  <c r="AI147" i="2"/>
  <c r="AH147" i="2"/>
  <c r="F147" i="4" s="1"/>
  <c r="AG147" i="2"/>
  <c r="AF147" i="2"/>
  <c r="AE147" i="2"/>
  <c r="AD147" i="2"/>
  <c r="AC147" i="2"/>
  <c r="AB147" i="2"/>
  <c r="AA147" i="2"/>
  <c r="Z147" i="2"/>
  <c r="Y147" i="2"/>
  <c r="X147" i="2"/>
  <c r="W147" i="2"/>
  <c r="V147" i="2"/>
  <c r="U147" i="2"/>
  <c r="T147" i="2"/>
  <c r="A151" i="3" s="1"/>
  <c r="G147" i="2"/>
  <c r="F147" i="2"/>
  <c r="E147" i="2"/>
  <c r="D147" i="2"/>
  <c r="C147" i="2"/>
  <c r="B147" i="2"/>
  <c r="A147" i="2"/>
  <c r="AM146" i="2"/>
  <c r="AL146" i="2"/>
  <c r="AK146" i="2"/>
  <c r="AJ146" i="2"/>
  <c r="AI146" i="2"/>
  <c r="AH146" i="2"/>
  <c r="F146" i="4" s="1"/>
  <c r="AG146" i="2"/>
  <c r="AF146" i="2"/>
  <c r="AE146" i="2"/>
  <c r="AD146" i="2"/>
  <c r="AC146" i="2"/>
  <c r="AB146" i="2"/>
  <c r="AA146" i="2"/>
  <c r="Z146" i="2"/>
  <c r="Y146" i="2"/>
  <c r="X146" i="2"/>
  <c r="W146" i="2"/>
  <c r="V146" i="2"/>
  <c r="U146" i="2"/>
  <c r="T146" i="2"/>
  <c r="A150" i="3" s="1"/>
  <c r="G146" i="2"/>
  <c r="F146" i="2"/>
  <c r="E146" i="2"/>
  <c r="D146" i="2"/>
  <c r="C146" i="2"/>
  <c r="B146" i="2"/>
  <c r="A146" i="2"/>
  <c r="AM145" i="2"/>
  <c r="AL145" i="2"/>
  <c r="AK145" i="2"/>
  <c r="AJ145" i="2"/>
  <c r="AI145" i="2"/>
  <c r="AH145" i="2"/>
  <c r="F145" i="4" s="1"/>
  <c r="AG145" i="2"/>
  <c r="AF145" i="2"/>
  <c r="AE145" i="2"/>
  <c r="AD145" i="2"/>
  <c r="AC145" i="2"/>
  <c r="AB145" i="2"/>
  <c r="AA145" i="2"/>
  <c r="Z145" i="2"/>
  <c r="Y145" i="2"/>
  <c r="X145" i="2"/>
  <c r="W145" i="2"/>
  <c r="V145" i="2"/>
  <c r="U145" i="2"/>
  <c r="T145" i="2"/>
  <c r="A149" i="3" s="1"/>
  <c r="G145" i="2"/>
  <c r="F145" i="2"/>
  <c r="E145" i="2"/>
  <c r="D145" i="2"/>
  <c r="C145" i="2"/>
  <c r="B145" i="2"/>
  <c r="A145" i="2"/>
  <c r="AM144" i="2"/>
  <c r="AL144" i="2"/>
  <c r="AK144" i="2"/>
  <c r="AJ144" i="2"/>
  <c r="AI144" i="2"/>
  <c r="AH144" i="2"/>
  <c r="F144" i="4" s="1"/>
  <c r="AG144" i="2"/>
  <c r="AF144" i="2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A148" i="3" s="1"/>
  <c r="G144" i="2"/>
  <c r="F144" i="2"/>
  <c r="E144" i="2"/>
  <c r="D144" i="2"/>
  <c r="C144" i="2"/>
  <c r="B144" i="2"/>
  <c r="A144" i="2"/>
  <c r="AM143" i="2"/>
  <c r="AL143" i="2"/>
  <c r="AK143" i="2"/>
  <c r="AJ143" i="2"/>
  <c r="AI143" i="2"/>
  <c r="AH143" i="2"/>
  <c r="F143" i="4" s="1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A147" i="3" s="1"/>
  <c r="G143" i="2"/>
  <c r="F143" i="2"/>
  <c r="E143" i="2"/>
  <c r="D143" i="2"/>
  <c r="C143" i="2"/>
  <c r="B143" i="2"/>
  <c r="A143" i="2"/>
  <c r="AM142" i="2"/>
  <c r="AL142" i="2"/>
  <c r="AK142" i="2"/>
  <c r="AJ142" i="2"/>
  <c r="AI142" i="2"/>
  <c r="AH142" i="2"/>
  <c r="F142" i="4" s="1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A146" i="3" s="1"/>
  <c r="G142" i="2"/>
  <c r="F142" i="2"/>
  <c r="E142" i="2"/>
  <c r="D142" i="2"/>
  <c r="C142" i="2"/>
  <c r="B142" i="2"/>
  <c r="A142" i="2"/>
  <c r="AM141" i="2"/>
  <c r="AL141" i="2"/>
  <c r="AK141" i="2"/>
  <c r="AJ141" i="2"/>
  <c r="AI141" i="2"/>
  <c r="AH141" i="2"/>
  <c r="F141" i="4" s="1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A145" i="3" s="1"/>
  <c r="G141" i="2"/>
  <c r="F141" i="2"/>
  <c r="E141" i="2"/>
  <c r="D141" i="2"/>
  <c r="C141" i="2"/>
  <c r="B141" i="2"/>
  <c r="A141" i="2"/>
  <c r="AM140" i="2"/>
  <c r="AL140" i="2"/>
  <c r="AK140" i="2"/>
  <c r="AJ140" i="2"/>
  <c r="AI140" i="2"/>
  <c r="AH140" i="2"/>
  <c r="F140" i="4" s="1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A144" i="3" s="1"/>
  <c r="G140" i="2"/>
  <c r="F140" i="2"/>
  <c r="E140" i="2"/>
  <c r="D140" i="2"/>
  <c r="C140" i="2"/>
  <c r="B140" i="2"/>
  <c r="A140" i="2"/>
  <c r="AM139" i="2"/>
  <c r="AL139" i="2"/>
  <c r="AK139" i="2"/>
  <c r="AJ139" i="2"/>
  <c r="AI139" i="2"/>
  <c r="AH139" i="2"/>
  <c r="F139" i="4" s="1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A143" i="3" s="1"/>
  <c r="G139" i="2"/>
  <c r="F139" i="2"/>
  <c r="E139" i="2"/>
  <c r="D139" i="2"/>
  <c r="C139" i="2"/>
  <c r="B139" i="2"/>
  <c r="A139" i="2"/>
  <c r="AM138" i="2"/>
  <c r="AL138" i="2"/>
  <c r="AK138" i="2"/>
  <c r="AJ138" i="2"/>
  <c r="AI138" i="2"/>
  <c r="AH138" i="2"/>
  <c r="F138" i="4" s="1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A142" i="3" s="1"/>
  <c r="G138" i="2"/>
  <c r="F138" i="2"/>
  <c r="E138" i="2"/>
  <c r="D138" i="2"/>
  <c r="C138" i="2"/>
  <c r="B138" i="2"/>
  <c r="A138" i="2"/>
  <c r="AM137" i="2"/>
  <c r="AL137" i="2"/>
  <c r="AK137" i="2"/>
  <c r="AJ137" i="2"/>
  <c r="AI137" i="2"/>
  <c r="AH137" i="2"/>
  <c r="F137" i="4" s="1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A141" i="3" s="1"/>
  <c r="G137" i="2"/>
  <c r="F137" i="2"/>
  <c r="E137" i="2"/>
  <c r="D137" i="2"/>
  <c r="C137" i="2"/>
  <c r="B137" i="2"/>
  <c r="A137" i="2"/>
  <c r="AM136" i="2"/>
  <c r="AL136" i="2"/>
  <c r="AK136" i="2"/>
  <c r="AJ136" i="2"/>
  <c r="AI136" i="2"/>
  <c r="AH136" i="2"/>
  <c r="F136" i="4" s="1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A140" i="3" s="1"/>
  <c r="G136" i="2"/>
  <c r="F136" i="2"/>
  <c r="E136" i="2"/>
  <c r="D136" i="2"/>
  <c r="C136" i="2"/>
  <c r="B136" i="2"/>
  <c r="A136" i="2"/>
  <c r="AM135" i="2"/>
  <c r="AL135" i="2"/>
  <c r="AK135" i="2"/>
  <c r="AJ135" i="2"/>
  <c r="AI135" i="2"/>
  <c r="AH135" i="2"/>
  <c r="F135" i="4" s="1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A139" i="3" s="1"/>
  <c r="G135" i="2"/>
  <c r="F135" i="2"/>
  <c r="E135" i="2"/>
  <c r="D135" i="2"/>
  <c r="C135" i="2"/>
  <c r="B135" i="2"/>
  <c r="A135" i="2"/>
  <c r="AM134" i="2"/>
  <c r="AL134" i="2"/>
  <c r="AK134" i="2"/>
  <c r="AJ134" i="2"/>
  <c r="AI134" i="2"/>
  <c r="AH134" i="2"/>
  <c r="F134" i="4" s="1"/>
  <c r="AG134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A138" i="3" s="1"/>
  <c r="G134" i="2"/>
  <c r="F134" i="2"/>
  <c r="E134" i="2"/>
  <c r="D134" i="2"/>
  <c r="C134" i="2"/>
  <c r="B134" i="2"/>
  <c r="A134" i="2"/>
  <c r="AM133" i="2"/>
  <c r="AL133" i="2"/>
  <c r="AK133" i="2"/>
  <c r="AJ133" i="2"/>
  <c r="AI133" i="2"/>
  <c r="AH133" i="2"/>
  <c r="F133" i="4" s="1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A137" i="3" s="1"/>
  <c r="G133" i="2"/>
  <c r="F133" i="2"/>
  <c r="E133" i="2"/>
  <c r="D133" i="2"/>
  <c r="C133" i="2"/>
  <c r="B133" i="2"/>
  <c r="A133" i="2"/>
  <c r="AM132" i="2"/>
  <c r="AL132" i="2"/>
  <c r="AK132" i="2"/>
  <c r="AJ132" i="2"/>
  <c r="AI132" i="2"/>
  <c r="AH132" i="2"/>
  <c r="F132" i="4" s="1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A136" i="3" s="1"/>
  <c r="G132" i="2"/>
  <c r="F132" i="2"/>
  <c r="E132" i="2"/>
  <c r="D132" i="2"/>
  <c r="C132" i="2"/>
  <c r="B132" i="2"/>
  <c r="A132" i="2"/>
  <c r="AM131" i="2"/>
  <c r="AL131" i="2"/>
  <c r="AK131" i="2"/>
  <c r="AJ131" i="2"/>
  <c r="AI131" i="2"/>
  <c r="AH131" i="2"/>
  <c r="F131" i="4" s="1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A135" i="3" s="1"/>
  <c r="G131" i="2"/>
  <c r="F131" i="2"/>
  <c r="E131" i="2"/>
  <c r="D131" i="2"/>
  <c r="C131" i="2"/>
  <c r="B131" i="2"/>
  <c r="A131" i="2"/>
  <c r="AM130" i="2"/>
  <c r="AL130" i="2"/>
  <c r="AK130" i="2"/>
  <c r="AJ130" i="2"/>
  <c r="AI130" i="2"/>
  <c r="AH130" i="2"/>
  <c r="F130" i="4" s="1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A134" i="3" s="1"/>
  <c r="G130" i="2"/>
  <c r="F130" i="2"/>
  <c r="E130" i="2"/>
  <c r="D130" i="2"/>
  <c r="C130" i="2"/>
  <c r="B130" i="2"/>
  <c r="A130" i="2"/>
  <c r="AM129" i="2"/>
  <c r="AL129" i="2"/>
  <c r="AK129" i="2"/>
  <c r="AJ129" i="2"/>
  <c r="AI129" i="2"/>
  <c r="AH129" i="2"/>
  <c r="F129" i="4" s="1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A133" i="3" s="1"/>
  <c r="G129" i="2"/>
  <c r="F129" i="2"/>
  <c r="E129" i="2"/>
  <c r="D129" i="2"/>
  <c r="C129" i="2"/>
  <c r="B129" i="2"/>
  <c r="A129" i="2"/>
  <c r="AM128" i="2"/>
  <c r="AL128" i="2"/>
  <c r="AK128" i="2"/>
  <c r="AJ128" i="2"/>
  <c r="AI128" i="2"/>
  <c r="AH128" i="2"/>
  <c r="F128" i="4" s="1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A132" i="3" s="1"/>
  <c r="G128" i="2"/>
  <c r="F128" i="2"/>
  <c r="E128" i="2"/>
  <c r="D128" i="2"/>
  <c r="C128" i="2"/>
  <c r="B128" i="2"/>
  <c r="A128" i="2"/>
  <c r="AM127" i="2"/>
  <c r="AL127" i="2"/>
  <c r="AK127" i="2"/>
  <c r="AJ127" i="2"/>
  <c r="AI127" i="2"/>
  <c r="AH127" i="2"/>
  <c r="F127" i="4" s="1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A131" i="3" s="1"/>
  <c r="G127" i="2"/>
  <c r="F127" i="2"/>
  <c r="E127" i="2"/>
  <c r="D127" i="2"/>
  <c r="C127" i="2"/>
  <c r="B127" i="2"/>
  <c r="A127" i="2"/>
  <c r="AM126" i="2"/>
  <c r="AL126" i="2"/>
  <c r="AK126" i="2"/>
  <c r="AJ126" i="2"/>
  <c r="AI126" i="2"/>
  <c r="AH126" i="2"/>
  <c r="F126" i="4" s="1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A130" i="3" s="1"/>
  <c r="G126" i="2"/>
  <c r="F126" i="2"/>
  <c r="E126" i="2"/>
  <c r="D126" i="2"/>
  <c r="C126" i="2"/>
  <c r="B126" i="2"/>
  <c r="A126" i="2"/>
  <c r="AM125" i="2"/>
  <c r="AL125" i="2"/>
  <c r="AK125" i="2"/>
  <c r="AJ125" i="2"/>
  <c r="AI125" i="2"/>
  <c r="AH125" i="2"/>
  <c r="F125" i="4" s="1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A129" i="3" s="1"/>
  <c r="G125" i="2"/>
  <c r="F125" i="2"/>
  <c r="E125" i="2"/>
  <c r="D125" i="2"/>
  <c r="C125" i="2"/>
  <c r="B125" i="2"/>
  <c r="A125" i="2"/>
  <c r="AM124" i="2"/>
  <c r="AL124" i="2"/>
  <c r="AK124" i="2"/>
  <c r="AJ124" i="2"/>
  <c r="AI124" i="2"/>
  <c r="AH124" i="2"/>
  <c r="F124" i="4" s="1"/>
  <c r="AG124" i="2"/>
  <c r="AF124" i="2"/>
  <c r="AE124" i="2"/>
  <c r="AD124" i="2"/>
  <c r="AC124" i="2"/>
  <c r="AB124" i="2"/>
  <c r="AA124" i="2"/>
  <c r="Z124" i="2"/>
  <c r="Y124" i="2"/>
  <c r="X124" i="2"/>
  <c r="W124" i="2"/>
  <c r="V124" i="2"/>
  <c r="U124" i="2"/>
  <c r="T124" i="2"/>
  <c r="A128" i="3" s="1"/>
  <c r="G124" i="2"/>
  <c r="F124" i="2"/>
  <c r="E124" i="2"/>
  <c r="D124" i="2"/>
  <c r="C124" i="2"/>
  <c r="B124" i="2"/>
  <c r="A124" i="2"/>
  <c r="AM123" i="2"/>
  <c r="AL123" i="2"/>
  <c r="AK123" i="2"/>
  <c r="AJ123" i="2"/>
  <c r="AI123" i="2"/>
  <c r="AH123" i="2"/>
  <c r="F123" i="4" s="1"/>
  <c r="AG123" i="2"/>
  <c r="AF123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A127" i="3" s="1"/>
  <c r="G123" i="2"/>
  <c r="F123" i="2"/>
  <c r="E123" i="2"/>
  <c r="D123" i="2"/>
  <c r="C123" i="2"/>
  <c r="B123" i="2"/>
  <c r="A123" i="2"/>
  <c r="AM122" i="2"/>
  <c r="AL122" i="2"/>
  <c r="AK122" i="2"/>
  <c r="AJ122" i="2"/>
  <c r="AI122" i="2"/>
  <c r="AH122" i="2"/>
  <c r="F122" i="4" s="1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A126" i="3" s="1"/>
  <c r="G122" i="2"/>
  <c r="F122" i="2"/>
  <c r="E122" i="2"/>
  <c r="D122" i="2"/>
  <c r="C122" i="2"/>
  <c r="B122" i="2"/>
  <c r="A122" i="2"/>
  <c r="AM121" i="2"/>
  <c r="AL121" i="2"/>
  <c r="AK121" i="2"/>
  <c r="AJ121" i="2"/>
  <c r="AI121" i="2"/>
  <c r="AH121" i="2"/>
  <c r="F121" i="4" s="1"/>
  <c r="AG121" i="2"/>
  <c r="AF121" i="2"/>
  <c r="AE121" i="2"/>
  <c r="AD121" i="2"/>
  <c r="AC121" i="2"/>
  <c r="AB121" i="2"/>
  <c r="AA121" i="2"/>
  <c r="Z121" i="2"/>
  <c r="Y121" i="2"/>
  <c r="X121" i="2"/>
  <c r="W121" i="2"/>
  <c r="V121" i="2"/>
  <c r="U121" i="2"/>
  <c r="T121" i="2"/>
  <c r="A125" i="3" s="1"/>
  <c r="G121" i="2"/>
  <c r="F121" i="2"/>
  <c r="E121" i="2"/>
  <c r="D121" i="2"/>
  <c r="C121" i="2"/>
  <c r="B121" i="2"/>
  <c r="A121" i="2"/>
  <c r="AM120" i="2"/>
  <c r="AL120" i="2"/>
  <c r="AK120" i="2"/>
  <c r="AJ120" i="2"/>
  <c r="AI120" i="2"/>
  <c r="AH120" i="2"/>
  <c r="F120" i="4" s="1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A124" i="3" s="1"/>
  <c r="G120" i="2"/>
  <c r="F120" i="2"/>
  <c r="E120" i="2"/>
  <c r="D120" i="2"/>
  <c r="C120" i="2"/>
  <c r="B120" i="2"/>
  <c r="A120" i="2"/>
  <c r="AM119" i="2"/>
  <c r="AL119" i="2"/>
  <c r="AK119" i="2"/>
  <c r="AJ119" i="2"/>
  <c r="AI119" i="2"/>
  <c r="AH119" i="2"/>
  <c r="F119" i="4" s="1"/>
  <c r="AG119" i="2"/>
  <c r="AF119" i="2"/>
  <c r="AE119" i="2"/>
  <c r="AD119" i="2"/>
  <c r="AC119" i="2"/>
  <c r="AB119" i="2"/>
  <c r="AA119" i="2"/>
  <c r="Z119" i="2"/>
  <c r="Y119" i="2"/>
  <c r="X119" i="2"/>
  <c r="W119" i="2"/>
  <c r="V119" i="2"/>
  <c r="U119" i="2"/>
  <c r="T119" i="2"/>
  <c r="A123" i="3" s="1"/>
  <c r="G119" i="2"/>
  <c r="F119" i="2"/>
  <c r="E119" i="2"/>
  <c r="D119" i="2"/>
  <c r="C119" i="2"/>
  <c r="B119" i="2"/>
  <c r="A119" i="2"/>
  <c r="AM118" i="2"/>
  <c r="AL118" i="2"/>
  <c r="AK118" i="2"/>
  <c r="AJ118" i="2"/>
  <c r="AI118" i="2"/>
  <c r="AH118" i="2"/>
  <c r="F118" i="4" s="1"/>
  <c r="AG118" i="2"/>
  <c r="AF118" i="2"/>
  <c r="AE118" i="2"/>
  <c r="AD118" i="2"/>
  <c r="AC118" i="2"/>
  <c r="AB118" i="2"/>
  <c r="AA118" i="2"/>
  <c r="Z118" i="2"/>
  <c r="Y118" i="2"/>
  <c r="X118" i="2"/>
  <c r="W118" i="2"/>
  <c r="V118" i="2"/>
  <c r="U118" i="2"/>
  <c r="T118" i="2"/>
  <c r="A122" i="3" s="1"/>
  <c r="G118" i="2"/>
  <c r="F118" i="2"/>
  <c r="E118" i="2"/>
  <c r="D118" i="2"/>
  <c r="C118" i="2"/>
  <c r="B118" i="2"/>
  <c r="A118" i="2"/>
  <c r="AM117" i="2"/>
  <c r="AL117" i="2"/>
  <c r="AK117" i="2"/>
  <c r="AJ117" i="2"/>
  <c r="AI117" i="2"/>
  <c r="AH117" i="2"/>
  <c r="F117" i="4" s="1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A121" i="3" s="1"/>
  <c r="G117" i="2"/>
  <c r="F117" i="2"/>
  <c r="E117" i="2"/>
  <c r="D117" i="2"/>
  <c r="C117" i="2"/>
  <c r="B117" i="2"/>
  <c r="A117" i="2"/>
  <c r="AM116" i="2"/>
  <c r="AL116" i="2"/>
  <c r="AK116" i="2"/>
  <c r="AJ116" i="2"/>
  <c r="AI116" i="2"/>
  <c r="AH116" i="2"/>
  <c r="F116" i="4" s="1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A120" i="3" s="1"/>
  <c r="G116" i="2"/>
  <c r="F116" i="2"/>
  <c r="E116" i="2"/>
  <c r="D116" i="2"/>
  <c r="C116" i="2"/>
  <c r="B116" i="2"/>
  <c r="A116" i="2"/>
  <c r="AM115" i="2"/>
  <c r="AL115" i="2"/>
  <c r="AK115" i="2"/>
  <c r="AJ115" i="2"/>
  <c r="AI115" i="2"/>
  <c r="AH115" i="2"/>
  <c r="F115" i="4" s="1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A119" i="3" s="1"/>
  <c r="G115" i="2"/>
  <c r="F115" i="2"/>
  <c r="E115" i="2"/>
  <c r="D115" i="2"/>
  <c r="C115" i="2"/>
  <c r="B115" i="2"/>
  <c r="A115" i="2"/>
  <c r="AM114" i="2"/>
  <c r="AL114" i="2"/>
  <c r="AK114" i="2"/>
  <c r="AJ114" i="2"/>
  <c r="AI114" i="2"/>
  <c r="AH114" i="2"/>
  <c r="F114" i="4" s="1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A118" i="3" s="1"/>
  <c r="G114" i="2"/>
  <c r="F114" i="2"/>
  <c r="E114" i="2"/>
  <c r="D114" i="2"/>
  <c r="C114" i="2"/>
  <c r="B114" i="2"/>
  <c r="A114" i="2"/>
  <c r="AM113" i="2"/>
  <c r="AL113" i="2"/>
  <c r="AK113" i="2"/>
  <c r="AJ113" i="2"/>
  <c r="AI113" i="2"/>
  <c r="AH113" i="2"/>
  <c r="F113" i="4" s="1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A117" i="3" s="1"/>
  <c r="G113" i="2"/>
  <c r="F113" i="2"/>
  <c r="E113" i="2"/>
  <c r="D113" i="2"/>
  <c r="C113" i="2"/>
  <c r="B113" i="2"/>
  <c r="A113" i="2"/>
  <c r="AM112" i="2"/>
  <c r="AL112" i="2"/>
  <c r="AK112" i="2"/>
  <c r="AJ112" i="2"/>
  <c r="AI112" i="2"/>
  <c r="AH112" i="2"/>
  <c r="F112" i="4" s="1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A116" i="3" s="1"/>
  <c r="G112" i="2"/>
  <c r="F112" i="2"/>
  <c r="E112" i="2"/>
  <c r="D112" i="2"/>
  <c r="C112" i="2"/>
  <c r="B112" i="2"/>
  <c r="A112" i="2"/>
  <c r="AM111" i="2"/>
  <c r="AL111" i="2"/>
  <c r="AK111" i="2"/>
  <c r="AJ111" i="2"/>
  <c r="AI111" i="2"/>
  <c r="AH111" i="2"/>
  <c r="F111" i="4" s="1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A115" i="3" s="1"/>
  <c r="G111" i="2"/>
  <c r="F111" i="2"/>
  <c r="E111" i="2"/>
  <c r="D111" i="2"/>
  <c r="C111" i="2"/>
  <c r="B111" i="2"/>
  <c r="A111" i="2"/>
  <c r="AM110" i="2"/>
  <c r="AL110" i="2"/>
  <c r="AK110" i="2"/>
  <c r="AJ110" i="2"/>
  <c r="AI110" i="2"/>
  <c r="AH110" i="2"/>
  <c r="F110" i="4" s="1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A114" i="3" s="1"/>
  <c r="G110" i="2"/>
  <c r="F110" i="2"/>
  <c r="E110" i="2"/>
  <c r="D110" i="2"/>
  <c r="C110" i="2"/>
  <c r="B110" i="2"/>
  <c r="A110" i="2"/>
  <c r="AM109" i="2"/>
  <c r="AL109" i="2"/>
  <c r="AK109" i="2"/>
  <c r="AJ109" i="2"/>
  <c r="AI109" i="2"/>
  <c r="AH109" i="2"/>
  <c r="F109" i="4" s="1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A113" i="3" s="1"/>
  <c r="G109" i="2"/>
  <c r="F109" i="2"/>
  <c r="E109" i="2"/>
  <c r="D109" i="2"/>
  <c r="C109" i="2"/>
  <c r="B109" i="2"/>
  <c r="A109" i="2"/>
  <c r="AM108" i="2"/>
  <c r="AL108" i="2"/>
  <c r="AK108" i="2"/>
  <c r="AJ108" i="2"/>
  <c r="AI108" i="2"/>
  <c r="AH108" i="2"/>
  <c r="F108" i="4" s="1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A112" i="3" s="1"/>
  <c r="G108" i="2"/>
  <c r="F108" i="2"/>
  <c r="E108" i="2"/>
  <c r="D108" i="2"/>
  <c r="C108" i="2"/>
  <c r="B108" i="2"/>
  <c r="A108" i="2"/>
  <c r="AM107" i="2"/>
  <c r="AL107" i="2"/>
  <c r="AK107" i="2"/>
  <c r="AJ107" i="2"/>
  <c r="AI107" i="2"/>
  <c r="AH107" i="2"/>
  <c r="F107" i="4" s="1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A111" i="3" s="1"/>
  <c r="G107" i="2"/>
  <c r="F107" i="2"/>
  <c r="E107" i="2"/>
  <c r="D107" i="2"/>
  <c r="C107" i="2"/>
  <c r="B107" i="2"/>
  <c r="A107" i="2"/>
  <c r="AM106" i="2"/>
  <c r="AL106" i="2"/>
  <c r="AK106" i="2"/>
  <c r="AJ106" i="2"/>
  <c r="AI106" i="2"/>
  <c r="AH106" i="2"/>
  <c r="F106" i="4" s="1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A110" i="3" s="1"/>
  <c r="G106" i="2"/>
  <c r="F106" i="2"/>
  <c r="E106" i="2"/>
  <c r="D106" i="2"/>
  <c r="C106" i="2"/>
  <c r="B106" i="2"/>
  <c r="A106" i="2"/>
  <c r="AM105" i="2"/>
  <c r="AL105" i="2"/>
  <c r="AK105" i="2"/>
  <c r="AJ105" i="2"/>
  <c r="AI105" i="2"/>
  <c r="AH105" i="2"/>
  <c r="F105" i="4" s="1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A109" i="3" s="1"/>
  <c r="G105" i="2"/>
  <c r="F105" i="2"/>
  <c r="E105" i="2"/>
  <c r="D105" i="2"/>
  <c r="C105" i="2"/>
  <c r="B105" i="2"/>
  <c r="A105" i="2"/>
  <c r="AM104" i="2"/>
  <c r="AL104" i="2"/>
  <c r="AK104" i="2"/>
  <c r="AJ104" i="2"/>
  <c r="AI104" i="2"/>
  <c r="AH104" i="2"/>
  <c r="F104" i="4" s="1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A108" i="3" s="1"/>
  <c r="G104" i="2"/>
  <c r="F104" i="2"/>
  <c r="E104" i="2"/>
  <c r="D104" i="2"/>
  <c r="C104" i="2"/>
  <c r="B104" i="2"/>
  <c r="A104" i="2"/>
  <c r="AM103" i="2"/>
  <c r="AL103" i="2"/>
  <c r="AK103" i="2"/>
  <c r="AJ103" i="2"/>
  <c r="AI103" i="2"/>
  <c r="AH103" i="2"/>
  <c r="F103" i="4" s="1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A107" i="3" s="1"/>
  <c r="G103" i="2"/>
  <c r="F103" i="2"/>
  <c r="E103" i="2"/>
  <c r="D103" i="2"/>
  <c r="C103" i="2"/>
  <c r="B103" i="2"/>
  <c r="A103" i="2"/>
  <c r="AM102" i="2"/>
  <c r="AL102" i="2"/>
  <c r="AK102" i="2"/>
  <c r="AJ102" i="2"/>
  <c r="AI102" i="2"/>
  <c r="AH102" i="2"/>
  <c r="F102" i="4" s="1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A106" i="3" s="1"/>
  <c r="G102" i="2"/>
  <c r="F102" i="2"/>
  <c r="E102" i="2"/>
  <c r="D102" i="2"/>
  <c r="C102" i="2"/>
  <c r="B102" i="2"/>
  <c r="A102" i="2"/>
  <c r="AM101" i="2"/>
  <c r="AL101" i="2"/>
  <c r="AK101" i="2"/>
  <c r="AJ101" i="2"/>
  <c r="AI101" i="2"/>
  <c r="AH101" i="2"/>
  <c r="F101" i="4" s="1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A105" i="3" s="1"/>
  <c r="G101" i="2"/>
  <c r="F101" i="2"/>
  <c r="E101" i="2"/>
  <c r="D101" i="2"/>
  <c r="C101" i="2"/>
  <c r="B101" i="2"/>
  <c r="A101" i="2"/>
  <c r="AM100" i="2"/>
  <c r="AL100" i="2"/>
  <c r="AK100" i="2"/>
  <c r="AJ100" i="2"/>
  <c r="AI100" i="2"/>
  <c r="AH100" i="2"/>
  <c r="F100" i="4" s="1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A104" i="3" s="1"/>
  <c r="G100" i="2"/>
  <c r="F100" i="2"/>
  <c r="E100" i="2"/>
  <c r="D100" i="2"/>
  <c r="C100" i="2"/>
  <c r="B100" i="2"/>
  <c r="A100" i="2"/>
  <c r="AM99" i="2"/>
  <c r="AL99" i="2"/>
  <c r="AK99" i="2"/>
  <c r="AJ99" i="2"/>
  <c r="AI99" i="2"/>
  <c r="AH99" i="2"/>
  <c r="F99" i="4" s="1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A103" i="3" s="1"/>
  <c r="G99" i="2"/>
  <c r="F99" i="2"/>
  <c r="E99" i="2"/>
  <c r="D99" i="2"/>
  <c r="C99" i="2"/>
  <c r="B99" i="2"/>
  <c r="A99" i="2"/>
  <c r="AM98" i="2"/>
  <c r="AL98" i="2"/>
  <c r="AK98" i="2"/>
  <c r="AJ98" i="2"/>
  <c r="AI98" i="2"/>
  <c r="AH98" i="2"/>
  <c r="F98" i="4" s="1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A102" i="3" s="1"/>
  <c r="G98" i="2"/>
  <c r="F98" i="2"/>
  <c r="E98" i="2"/>
  <c r="D98" i="2"/>
  <c r="C98" i="2"/>
  <c r="B98" i="2"/>
  <c r="A98" i="2"/>
  <c r="AM97" i="2"/>
  <c r="AL97" i="2"/>
  <c r="AK97" i="2"/>
  <c r="AJ97" i="2"/>
  <c r="AI97" i="2"/>
  <c r="AH97" i="2"/>
  <c r="F97" i="4" s="1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A101" i="3" s="1"/>
  <c r="G97" i="2"/>
  <c r="F97" i="2"/>
  <c r="E97" i="2"/>
  <c r="D97" i="2"/>
  <c r="C97" i="2"/>
  <c r="B97" i="2"/>
  <c r="A97" i="2"/>
  <c r="AM96" i="2"/>
  <c r="AL96" i="2"/>
  <c r="AK96" i="2"/>
  <c r="AJ96" i="2"/>
  <c r="AI96" i="2"/>
  <c r="AH96" i="2"/>
  <c r="F96" i="4" s="1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A100" i="3" s="1"/>
  <c r="G96" i="2"/>
  <c r="F96" i="2"/>
  <c r="E96" i="2"/>
  <c r="D96" i="2"/>
  <c r="C96" i="2"/>
  <c r="B96" i="2"/>
  <c r="A96" i="2"/>
  <c r="AM95" i="2"/>
  <c r="AL95" i="2"/>
  <c r="AK95" i="2"/>
  <c r="AJ95" i="2"/>
  <c r="AI95" i="2"/>
  <c r="AH95" i="2"/>
  <c r="F95" i="4" s="1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A99" i="3" s="1"/>
  <c r="G95" i="2"/>
  <c r="F95" i="2"/>
  <c r="E95" i="2"/>
  <c r="D95" i="2"/>
  <c r="C95" i="2"/>
  <c r="B95" i="2"/>
  <c r="A95" i="2"/>
  <c r="AM94" i="2"/>
  <c r="AL94" i="2"/>
  <c r="AK94" i="2"/>
  <c r="AJ94" i="2"/>
  <c r="AI94" i="2"/>
  <c r="AH94" i="2"/>
  <c r="F94" i="4" s="1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A98" i="3" s="1"/>
  <c r="G94" i="2"/>
  <c r="F94" i="2"/>
  <c r="E94" i="2"/>
  <c r="D94" i="2"/>
  <c r="C94" i="2"/>
  <c r="B94" i="2"/>
  <c r="A94" i="2"/>
  <c r="AM93" i="2"/>
  <c r="AL93" i="2"/>
  <c r="AK93" i="2"/>
  <c r="AJ93" i="2"/>
  <c r="AI93" i="2"/>
  <c r="AH93" i="2"/>
  <c r="F93" i="4" s="1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A97" i="3" s="1"/>
  <c r="G93" i="2"/>
  <c r="F93" i="2"/>
  <c r="E93" i="2"/>
  <c r="D93" i="2"/>
  <c r="C93" i="2"/>
  <c r="B93" i="2"/>
  <c r="A93" i="2"/>
  <c r="AM92" i="2"/>
  <c r="AL92" i="2"/>
  <c r="AK92" i="2"/>
  <c r="AJ92" i="2"/>
  <c r="AI92" i="2"/>
  <c r="AH92" i="2"/>
  <c r="F92" i="4" s="1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A96" i="3" s="1"/>
  <c r="G92" i="2"/>
  <c r="F92" i="2"/>
  <c r="E92" i="2"/>
  <c r="D92" i="2"/>
  <c r="C92" i="2"/>
  <c r="B92" i="2"/>
  <c r="A92" i="2"/>
  <c r="AM91" i="2"/>
  <c r="AL91" i="2"/>
  <c r="AK91" i="2"/>
  <c r="AJ91" i="2"/>
  <c r="AI91" i="2"/>
  <c r="AH91" i="2"/>
  <c r="F91" i="4" s="1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A95" i="3" s="1"/>
  <c r="G91" i="2"/>
  <c r="F91" i="2"/>
  <c r="E91" i="2"/>
  <c r="D91" i="2"/>
  <c r="C91" i="2"/>
  <c r="B91" i="2"/>
  <c r="A91" i="2"/>
  <c r="AM90" i="2"/>
  <c r="AL90" i="2"/>
  <c r="AK90" i="2"/>
  <c r="AJ90" i="2"/>
  <c r="AI90" i="2"/>
  <c r="AH90" i="2"/>
  <c r="F90" i="4" s="1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A94" i="3" s="1"/>
  <c r="G90" i="2"/>
  <c r="F90" i="2"/>
  <c r="E90" i="2"/>
  <c r="D90" i="2"/>
  <c r="C90" i="2"/>
  <c r="B90" i="2"/>
  <c r="A90" i="2"/>
  <c r="AM89" i="2"/>
  <c r="AL89" i="2"/>
  <c r="AK89" i="2"/>
  <c r="AJ89" i="2"/>
  <c r="AI89" i="2"/>
  <c r="AH89" i="2"/>
  <c r="F89" i="4" s="1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A93" i="3" s="1"/>
  <c r="G89" i="2"/>
  <c r="F89" i="2"/>
  <c r="E89" i="2"/>
  <c r="D89" i="2"/>
  <c r="C89" i="2"/>
  <c r="B89" i="2"/>
  <c r="A89" i="2"/>
  <c r="AM88" i="2"/>
  <c r="AL88" i="2"/>
  <c r="AK88" i="2"/>
  <c r="AJ88" i="2"/>
  <c r="AI88" i="2"/>
  <c r="AH88" i="2"/>
  <c r="F88" i="4" s="1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A92" i="3" s="1"/>
  <c r="G88" i="2"/>
  <c r="F88" i="2"/>
  <c r="E88" i="2"/>
  <c r="D88" i="2"/>
  <c r="C88" i="2"/>
  <c r="B88" i="2"/>
  <c r="A88" i="2"/>
  <c r="AM87" i="2"/>
  <c r="AL87" i="2"/>
  <c r="AK87" i="2"/>
  <c r="AJ87" i="2"/>
  <c r="AI87" i="2"/>
  <c r="AH87" i="2"/>
  <c r="F87" i="4" s="1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A91" i="3" s="1"/>
  <c r="G87" i="2"/>
  <c r="F87" i="2"/>
  <c r="E87" i="2"/>
  <c r="D87" i="2"/>
  <c r="C87" i="2"/>
  <c r="B87" i="2"/>
  <c r="A87" i="2"/>
  <c r="AM86" i="2"/>
  <c r="AL86" i="2"/>
  <c r="AK86" i="2"/>
  <c r="AJ86" i="2"/>
  <c r="AI86" i="2"/>
  <c r="AH86" i="2"/>
  <c r="F86" i="4" s="1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A90" i="3" s="1"/>
  <c r="G86" i="2"/>
  <c r="F86" i="2"/>
  <c r="E86" i="2"/>
  <c r="D86" i="2"/>
  <c r="C86" i="2"/>
  <c r="B86" i="2"/>
  <c r="A86" i="2"/>
  <c r="AM85" i="2"/>
  <c r="AL85" i="2"/>
  <c r="AK85" i="2"/>
  <c r="AJ85" i="2"/>
  <c r="AI85" i="2"/>
  <c r="AH85" i="2"/>
  <c r="F85" i="4" s="1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A89" i="3" s="1"/>
  <c r="G85" i="2"/>
  <c r="F85" i="2"/>
  <c r="E85" i="2"/>
  <c r="D85" i="2"/>
  <c r="C85" i="2"/>
  <c r="B85" i="2"/>
  <c r="A85" i="2"/>
  <c r="AM84" i="2"/>
  <c r="AL84" i="2"/>
  <c r="AK84" i="2"/>
  <c r="AJ84" i="2"/>
  <c r="AI84" i="2"/>
  <c r="AH84" i="2"/>
  <c r="F84" i="4" s="1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A88" i="3" s="1"/>
  <c r="G84" i="2"/>
  <c r="F84" i="2"/>
  <c r="E84" i="2"/>
  <c r="D84" i="2"/>
  <c r="C84" i="2"/>
  <c r="B84" i="2"/>
  <c r="A84" i="2"/>
  <c r="AM83" i="2"/>
  <c r="AL83" i="2"/>
  <c r="AK83" i="2"/>
  <c r="AJ83" i="2"/>
  <c r="AI83" i="2"/>
  <c r="AH83" i="2"/>
  <c r="F83" i="4" s="1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A87" i="3" s="1"/>
  <c r="G83" i="2"/>
  <c r="F83" i="2"/>
  <c r="E83" i="2"/>
  <c r="D83" i="2"/>
  <c r="C83" i="2"/>
  <c r="B83" i="2"/>
  <c r="A83" i="2"/>
  <c r="AM82" i="2"/>
  <c r="AL82" i="2"/>
  <c r="AK82" i="2"/>
  <c r="AJ82" i="2"/>
  <c r="AI82" i="2"/>
  <c r="AH82" i="2"/>
  <c r="F82" i="4" s="1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A86" i="3" s="1"/>
  <c r="G82" i="2"/>
  <c r="F82" i="2"/>
  <c r="E82" i="2"/>
  <c r="D82" i="2"/>
  <c r="C82" i="2"/>
  <c r="B82" i="2"/>
  <c r="A82" i="2"/>
  <c r="AM81" i="2"/>
  <c r="AL81" i="2"/>
  <c r="AK81" i="2"/>
  <c r="AJ81" i="2"/>
  <c r="AI81" i="2"/>
  <c r="AH81" i="2"/>
  <c r="F81" i="4" s="1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A85" i="3" s="1"/>
  <c r="G81" i="2"/>
  <c r="F81" i="2"/>
  <c r="E81" i="2"/>
  <c r="D81" i="2"/>
  <c r="C81" i="2"/>
  <c r="B81" i="2"/>
  <c r="A81" i="2"/>
  <c r="AM80" i="2"/>
  <c r="AL80" i="2"/>
  <c r="AK80" i="2"/>
  <c r="AJ80" i="2"/>
  <c r="AI80" i="2"/>
  <c r="AH80" i="2"/>
  <c r="F80" i="4" s="1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A84" i="3" s="1"/>
  <c r="G80" i="2"/>
  <c r="F80" i="2"/>
  <c r="E80" i="2"/>
  <c r="D80" i="2"/>
  <c r="C80" i="2"/>
  <c r="B80" i="2"/>
  <c r="A80" i="2"/>
  <c r="AM79" i="2"/>
  <c r="AL79" i="2"/>
  <c r="AK79" i="2"/>
  <c r="AJ79" i="2"/>
  <c r="AI79" i="2"/>
  <c r="AH79" i="2"/>
  <c r="F79" i="4" s="1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A83" i="3" s="1"/>
  <c r="G79" i="2"/>
  <c r="F79" i="2"/>
  <c r="E79" i="2"/>
  <c r="D79" i="2"/>
  <c r="C79" i="2"/>
  <c r="B79" i="2"/>
  <c r="A79" i="2"/>
  <c r="AM78" i="2"/>
  <c r="AL78" i="2"/>
  <c r="AK78" i="2"/>
  <c r="AJ78" i="2"/>
  <c r="AI78" i="2"/>
  <c r="AH78" i="2"/>
  <c r="F78" i="4" s="1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A82" i="3" s="1"/>
  <c r="G78" i="2"/>
  <c r="F78" i="2"/>
  <c r="E78" i="2"/>
  <c r="D78" i="2"/>
  <c r="C78" i="2"/>
  <c r="B78" i="2"/>
  <c r="A78" i="2"/>
  <c r="AM77" i="2"/>
  <c r="AL77" i="2"/>
  <c r="AK77" i="2"/>
  <c r="AJ77" i="2"/>
  <c r="AI77" i="2"/>
  <c r="AH77" i="2"/>
  <c r="F77" i="4" s="1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A81" i="3" s="1"/>
  <c r="G77" i="2"/>
  <c r="F77" i="2"/>
  <c r="E77" i="2"/>
  <c r="D77" i="2"/>
  <c r="C77" i="2"/>
  <c r="B77" i="2"/>
  <c r="A77" i="2"/>
  <c r="AM76" i="2"/>
  <c r="AL76" i="2"/>
  <c r="AK76" i="2"/>
  <c r="AJ76" i="2"/>
  <c r="AI76" i="2"/>
  <c r="AH76" i="2"/>
  <c r="F76" i="4" s="1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A80" i="3" s="1"/>
  <c r="G76" i="2"/>
  <c r="F76" i="2"/>
  <c r="E76" i="2"/>
  <c r="D76" i="2"/>
  <c r="C76" i="2"/>
  <c r="B76" i="2"/>
  <c r="A76" i="2"/>
  <c r="AM75" i="2"/>
  <c r="AL75" i="2"/>
  <c r="AK75" i="2"/>
  <c r="AJ75" i="2"/>
  <c r="AI75" i="2"/>
  <c r="AH75" i="2"/>
  <c r="F75" i="4" s="1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A79" i="3" s="1"/>
  <c r="G75" i="2"/>
  <c r="F75" i="2"/>
  <c r="E75" i="2"/>
  <c r="D75" i="2"/>
  <c r="C75" i="2"/>
  <c r="B75" i="2"/>
  <c r="A75" i="2"/>
  <c r="AM74" i="2"/>
  <c r="AL74" i="2"/>
  <c r="AK74" i="2"/>
  <c r="AJ74" i="2"/>
  <c r="AI74" i="2"/>
  <c r="AH74" i="2"/>
  <c r="F74" i="4" s="1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A78" i="3" s="1"/>
  <c r="G74" i="2"/>
  <c r="F74" i="2"/>
  <c r="E74" i="2"/>
  <c r="D74" i="2"/>
  <c r="C74" i="2"/>
  <c r="B74" i="2"/>
  <c r="A74" i="2"/>
  <c r="AM73" i="2"/>
  <c r="AL73" i="2"/>
  <c r="AK73" i="2"/>
  <c r="AJ73" i="2"/>
  <c r="AI73" i="2"/>
  <c r="AH73" i="2"/>
  <c r="F73" i="4" s="1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A77" i="3" s="1"/>
  <c r="G73" i="2"/>
  <c r="F73" i="2"/>
  <c r="E73" i="2"/>
  <c r="D73" i="2"/>
  <c r="C73" i="2"/>
  <c r="B73" i="2"/>
  <c r="A73" i="2"/>
  <c r="AM72" i="2"/>
  <c r="AL72" i="2"/>
  <c r="AK72" i="2"/>
  <c r="AJ72" i="2"/>
  <c r="AI72" i="2"/>
  <c r="AH72" i="2"/>
  <c r="F72" i="4" s="1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A76" i="3" s="1"/>
  <c r="G72" i="2"/>
  <c r="F72" i="2"/>
  <c r="E72" i="2"/>
  <c r="D72" i="2"/>
  <c r="C72" i="2"/>
  <c r="B72" i="2"/>
  <c r="A72" i="2"/>
  <c r="AM71" i="2"/>
  <c r="AL71" i="2"/>
  <c r="AK71" i="2"/>
  <c r="AJ71" i="2"/>
  <c r="AI71" i="2"/>
  <c r="AH71" i="2"/>
  <c r="F71" i="4" s="1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A75" i="3" s="1"/>
  <c r="G71" i="2"/>
  <c r="F71" i="2"/>
  <c r="E71" i="2"/>
  <c r="D71" i="2"/>
  <c r="C71" i="2"/>
  <c r="B71" i="2"/>
  <c r="A71" i="2"/>
  <c r="AM70" i="2"/>
  <c r="AL70" i="2"/>
  <c r="AK70" i="2"/>
  <c r="AJ70" i="2"/>
  <c r="AI70" i="2"/>
  <c r="AH70" i="2"/>
  <c r="F70" i="4" s="1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A74" i="3" s="1"/>
  <c r="G70" i="2"/>
  <c r="F70" i="2"/>
  <c r="E70" i="2"/>
  <c r="D70" i="2"/>
  <c r="C70" i="2"/>
  <c r="B70" i="2"/>
  <c r="A70" i="2"/>
  <c r="AM69" i="2"/>
  <c r="AL69" i="2"/>
  <c r="AK69" i="2"/>
  <c r="AJ69" i="2"/>
  <c r="AI69" i="2"/>
  <c r="AH69" i="2"/>
  <c r="F69" i="4" s="1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A73" i="3" s="1"/>
  <c r="G69" i="2"/>
  <c r="F69" i="2"/>
  <c r="E69" i="2"/>
  <c r="D69" i="2"/>
  <c r="C69" i="2"/>
  <c r="B69" i="2"/>
  <c r="A69" i="2"/>
  <c r="AM68" i="2"/>
  <c r="AL68" i="2"/>
  <c r="AK68" i="2"/>
  <c r="AJ68" i="2"/>
  <c r="AI68" i="2"/>
  <c r="AH68" i="2"/>
  <c r="F68" i="4" s="1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A72" i="3" s="1"/>
  <c r="G68" i="2"/>
  <c r="F68" i="2"/>
  <c r="E68" i="2"/>
  <c r="D68" i="2"/>
  <c r="C68" i="2"/>
  <c r="B68" i="2"/>
  <c r="A68" i="2"/>
  <c r="AM67" i="2"/>
  <c r="AL67" i="2"/>
  <c r="AK67" i="2"/>
  <c r="AJ67" i="2"/>
  <c r="AI67" i="2"/>
  <c r="AH67" i="2"/>
  <c r="F67" i="4" s="1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A71" i="3" s="1"/>
  <c r="G67" i="2"/>
  <c r="F67" i="2"/>
  <c r="E67" i="2"/>
  <c r="D67" i="2"/>
  <c r="C67" i="2"/>
  <c r="B67" i="2"/>
  <c r="A67" i="2"/>
  <c r="AM66" i="2"/>
  <c r="AL66" i="2"/>
  <c r="AK66" i="2"/>
  <c r="AJ66" i="2"/>
  <c r="AI66" i="2"/>
  <c r="AH66" i="2"/>
  <c r="F66" i="4" s="1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A70" i="3" s="1"/>
  <c r="G66" i="2"/>
  <c r="F66" i="2"/>
  <c r="E66" i="2"/>
  <c r="D66" i="2"/>
  <c r="C66" i="2"/>
  <c r="B66" i="2"/>
  <c r="A66" i="2"/>
  <c r="AM65" i="2"/>
  <c r="AL65" i="2"/>
  <c r="AK65" i="2"/>
  <c r="AJ65" i="2"/>
  <c r="AI65" i="2"/>
  <c r="AH65" i="2"/>
  <c r="F65" i="4" s="1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A69" i="3" s="1"/>
  <c r="G65" i="2"/>
  <c r="F65" i="2"/>
  <c r="E65" i="2"/>
  <c r="D65" i="2"/>
  <c r="C65" i="2"/>
  <c r="B65" i="2"/>
  <c r="A65" i="2"/>
  <c r="AM64" i="2"/>
  <c r="AL64" i="2"/>
  <c r="AK64" i="2"/>
  <c r="AJ64" i="2"/>
  <c r="AI64" i="2"/>
  <c r="AH64" i="2"/>
  <c r="F64" i="4" s="1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A68" i="3" s="1"/>
  <c r="G64" i="2"/>
  <c r="F64" i="2"/>
  <c r="E64" i="2"/>
  <c r="D64" i="2"/>
  <c r="C64" i="2"/>
  <c r="B64" i="2"/>
  <c r="A64" i="2"/>
  <c r="AM63" i="2"/>
  <c r="AL63" i="2"/>
  <c r="AK63" i="2"/>
  <c r="AJ63" i="2"/>
  <c r="AI63" i="2"/>
  <c r="AH63" i="2"/>
  <c r="F63" i="4" s="1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A67" i="3" s="1"/>
  <c r="G63" i="2"/>
  <c r="F63" i="2"/>
  <c r="E63" i="2"/>
  <c r="D63" i="2"/>
  <c r="C63" i="2"/>
  <c r="B63" i="2"/>
  <c r="A63" i="2"/>
  <c r="AM62" i="2"/>
  <c r="AL62" i="2"/>
  <c r="AK62" i="2"/>
  <c r="AJ62" i="2"/>
  <c r="AI62" i="2"/>
  <c r="AH62" i="2"/>
  <c r="F62" i="4" s="1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A66" i="3" s="1"/>
  <c r="G62" i="2"/>
  <c r="F62" i="2"/>
  <c r="E62" i="2"/>
  <c r="D62" i="2"/>
  <c r="C62" i="2"/>
  <c r="B62" i="2"/>
  <c r="A62" i="2"/>
  <c r="AM61" i="2"/>
  <c r="AL61" i="2"/>
  <c r="AK61" i="2"/>
  <c r="AJ61" i="2"/>
  <c r="AI61" i="2"/>
  <c r="AH61" i="2"/>
  <c r="F61" i="4" s="1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A65" i="3" s="1"/>
  <c r="G61" i="2"/>
  <c r="F61" i="2"/>
  <c r="E61" i="2"/>
  <c r="D61" i="2"/>
  <c r="C61" i="2"/>
  <c r="B61" i="2"/>
  <c r="A61" i="2"/>
  <c r="AM60" i="2"/>
  <c r="AL60" i="2"/>
  <c r="AK60" i="2"/>
  <c r="AJ60" i="2"/>
  <c r="AI60" i="2"/>
  <c r="AH60" i="2"/>
  <c r="F60" i="4" s="1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A64" i="3" s="1"/>
  <c r="G60" i="2"/>
  <c r="F60" i="2"/>
  <c r="E60" i="2"/>
  <c r="D60" i="2"/>
  <c r="C60" i="2"/>
  <c r="B60" i="2"/>
  <c r="A60" i="2"/>
  <c r="AM59" i="2"/>
  <c r="AL59" i="2"/>
  <c r="AK59" i="2"/>
  <c r="AJ59" i="2"/>
  <c r="AI59" i="2"/>
  <c r="AH59" i="2"/>
  <c r="F59" i="4" s="1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A63" i="3" s="1"/>
  <c r="G59" i="2"/>
  <c r="F59" i="2"/>
  <c r="E59" i="2"/>
  <c r="D59" i="2"/>
  <c r="C59" i="2"/>
  <c r="B59" i="2"/>
  <c r="A59" i="2"/>
  <c r="AM58" i="2"/>
  <c r="AL58" i="2"/>
  <c r="AK58" i="2"/>
  <c r="AJ58" i="2"/>
  <c r="AI58" i="2"/>
  <c r="AH58" i="2"/>
  <c r="F58" i="4" s="1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A62" i="3" s="1"/>
  <c r="G58" i="2"/>
  <c r="F58" i="2"/>
  <c r="E58" i="2"/>
  <c r="D58" i="2"/>
  <c r="C58" i="2"/>
  <c r="B58" i="2"/>
  <c r="A58" i="2"/>
  <c r="AM57" i="2"/>
  <c r="AL57" i="2"/>
  <c r="AK57" i="2"/>
  <c r="AJ57" i="2"/>
  <c r="AI57" i="2"/>
  <c r="AH57" i="2"/>
  <c r="F57" i="4" s="1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A61" i="3" s="1"/>
  <c r="G57" i="2"/>
  <c r="F57" i="2"/>
  <c r="E57" i="2"/>
  <c r="D57" i="2"/>
  <c r="C57" i="2"/>
  <c r="B57" i="2"/>
  <c r="A57" i="2"/>
  <c r="AM56" i="2"/>
  <c r="AL56" i="2"/>
  <c r="AK56" i="2"/>
  <c r="AJ56" i="2"/>
  <c r="AI56" i="2"/>
  <c r="AH56" i="2"/>
  <c r="F56" i="4" s="1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A60" i="3" s="1"/>
  <c r="G56" i="2"/>
  <c r="F56" i="2"/>
  <c r="E56" i="2"/>
  <c r="D56" i="2"/>
  <c r="C56" i="2"/>
  <c r="B56" i="2"/>
  <c r="A56" i="2"/>
  <c r="AM55" i="2"/>
  <c r="AL55" i="2"/>
  <c r="AK55" i="2"/>
  <c r="AJ55" i="2"/>
  <c r="AI55" i="2"/>
  <c r="AH55" i="2"/>
  <c r="F55" i="4" s="1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A59" i="3" s="1"/>
  <c r="G55" i="2"/>
  <c r="F55" i="2"/>
  <c r="E55" i="2"/>
  <c r="D55" i="2"/>
  <c r="C55" i="2"/>
  <c r="B55" i="2"/>
  <c r="A55" i="2"/>
  <c r="AM54" i="2"/>
  <c r="AL54" i="2"/>
  <c r="AK54" i="2"/>
  <c r="AJ54" i="2"/>
  <c r="AI54" i="2"/>
  <c r="AH54" i="2"/>
  <c r="F54" i="4" s="1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A58" i="3" s="1"/>
  <c r="G54" i="2"/>
  <c r="F54" i="2"/>
  <c r="E54" i="2"/>
  <c r="D54" i="2"/>
  <c r="C54" i="2"/>
  <c r="B54" i="2"/>
  <c r="A54" i="2"/>
  <c r="AM53" i="2"/>
  <c r="AL53" i="2"/>
  <c r="AK53" i="2"/>
  <c r="AJ53" i="2"/>
  <c r="AI53" i="2"/>
  <c r="AH53" i="2"/>
  <c r="F53" i="4" s="1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A57" i="3" s="1"/>
  <c r="G53" i="2"/>
  <c r="F53" i="2"/>
  <c r="E53" i="2"/>
  <c r="D53" i="2"/>
  <c r="C53" i="2"/>
  <c r="B53" i="2"/>
  <c r="A53" i="2"/>
  <c r="AM52" i="2"/>
  <c r="AL52" i="2"/>
  <c r="AK52" i="2"/>
  <c r="AJ52" i="2"/>
  <c r="AI52" i="2"/>
  <c r="AH52" i="2"/>
  <c r="F52" i="4" s="1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A56" i="3" s="1"/>
  <c r="G52" i="2"/>
  <c r="F52" i="2"/>
  <c r="E52" i="2"/>
  <c r="D52" i="2"/>
  <c r="C52" i="2"/>
  <c r="B52" i="2"/>
  <c r="A52" i="2"/>
  <c r="AM51" i="2"/>
  <c r="AL51" i="2"/>
  <c r="AK51" i="2"/>
  <c r="AJ51" i="2"/>
  <c r="AI51" i="2"/>
  <c r="AH51" i="2"/>
  <c r="F51" i="4" s="1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A55" i="3" s="1"/>
  <c r="G51" i="2"/>
  <c r="F51" i="2"/>
  <c r="E51" i="2"/>
  <c r="D51" i="2"/>
  <c r="C51" i="2"/>
  <c r="B51" i="2"/>
  <c r="A51" i="2"/>
  <c r="AM50" i="2"/>
  <c r="AL50" i="2"/>
  <c r="AK50" i="2"/>
  <c r="AJ50" i="2"/>
  <c r="AI50" i="2"/>
  <c r="AH50" i="2"/>
  <c r="F50" i="4" s="1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A54" i="3" s="1"/>
  <c r="G50" i="2"/>
  <c r="F50" i="2"/>
  <c r="E50" i="2"/>
  <c r="D50" i="2"/>
  <c r="C50" i="2"/>
  <c r="B50" i="2"/>
  <c r="A50" i="2"/>
  <c r="AM49" i="2"/>
  <c r="AL49" i="2"/>
  <c r="AK49" i="2"/>
  <c r="AJ49" i="2"/>
  <c r="AI49" i="2"/>
  <c r="AH49" i="2"/>
  <c r="F49" i="4" s="1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A53" i="3" s="1"/>
  <c r="G49" i="2"/>
  <c r="F49" i="2"/>
  <c r="E49" i="2"/>
  <c r="D49" i="2"/>
  <c r="C49" i="2"/>
  <c r="B49" i="2"/>
  <c r="A49" i="2"/>
  <c r="AM48" i="2"/>
  <c r="AL48" i="2"/>
  <c r="AK48" i="2"/>
  <c r="AJ48" i="2"/>
  <c r="AI48" i="2"/>
  <c r="AH48" i="2"/>
  <c r="F48" i="4" s="1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A52" i="3" s="1"/>
  <c r="G48" i="2"/>
  <c r="F48" i="2"/>
  <c r="E48" i="2"/>
  <c r="D48" i="2"/>
  <c r="C48" i="2"/>
  <c r="B48" i="2"/>
  <c r="A48" i="2"/>
  <c r="AM47" i="2"/>
  <c r="AL47" i="2"/>
  <c r="AK47" i="2"/>
  <c r="AJ47" i="2"/>
  <c r="AI47" i="2"/>
  <c r="AH47" i="2"/>
  <c r="F47" i="4" s="1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A51" i="3" s="1"/>
  <c r="G47" i="2"/>
  <c r="F47" i="2"/>
  <c r="E47" i="2"/>
  <c r="D47" i="2"/>
  <c r="C47" i="2"/>
  <c r="B47" i="2"/>
  <c r="A47" i="2"/>
  <c r="AM46" i="2"/>
  <c r="AL46" i="2"/>
  <c r="AK46" i="2"/>
  <c r="AJ46" i="2"/>
  <c r="AI46" i="2"/>
  <c r="AH46" i="2"/>
  <c r="F46" i="4" s="1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A50" i="3" s="1"/>
  <c r="G46" i="2"/>
  <c r="F46" i="2"/>
  <c r="E46" i="2"/>
  <c r="D46" i="2"/>
  <c r="C46" i="2"/>
  <c r="B46" i="2"/>
  <c r="A46" i="2"/>
  <c r="AM45" i="2"/>
  <c r="AL45" i="2"/>
  <c r="AK45" i="2"/>
  <c r="AJ45" i="2"/>
  <c r="AI45" i="2"/>
  <c r="AH45" i="2"/>
  <c r="F45" i="4" s="1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A49" i="3" s="1"/>
  <c r="G45" i="2"/>
  <c r="F45" i="2"/>
  <c r="E45" i="2"/>
  <c r="D45" i="2"/>
  <c r="C45" i="2"/>
  <c r="B45" i="2"/>
  <c r="A45" i="2"/>
  <c r="AM44" i="2"/>
  <c r="AL44" i="2"/>
  <c r="AK44" i="2"/>
  <c r="AJ44" i="2"/>
  <c r="AI44" i="2"/>
  <c r="AH44" i="2"/>
  <c r="F44" i="4" s="1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A48" i="3" s="1"/>
  <c r="G44" i="2"/>
  <c r="F44" i="2"/>
  <c r="E44" i="2"/>
  <c r="D44" i="2"/>
  <c r="C44" i="2"/>
  <c r="B44" i="2"/>
  <c r="A44" i="2"/>
  <c r="AM43" i="2"/>
  <c r="AL43" i="2"/>
  <c r="AK43" i="2"/>
  <c r="AJ43" i="2"/>
  <c r="AI43" i="2"/>
  <c r="AH43" i="2"/>
  <c r="F43" i="4" s="1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A47" i="3" s="1"/>
  <c r="G43" i="2"/>
  <c r="F43" i="2"/>
  <c r="E43" i="2"/>
  <c r="D43" i="2"/>
  <c r="C43" i="2"/>
  <c r="B43" i="2"/>
  <c r="A43" i="2"/>
  <c r="AM42" i="2"/>
  <c r="AL42" i="2"/>
  <c r="AK42" i="2"/>
  <c r="AJ42" i="2"/>
  <c r="AI42" i="2"/>
  <c r="AH42" i="2"/>
  <c r="F42" i="4" s="1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A46" i="3" s="1"/>
  <c r="G42" i="2"/>
  <c r="F42" i="2"/>
  <c r="E42" i="2"/>
  <c r="D42" i="2"/>
  <c r="C42" i="2"/>
  <c r="B42" i="2"/>
  <c r="A42" i="2"/>
  <c r="AM41" i="2"/>
  <c r="AL41" i="2"/>
  <c r="AK41" i="2"/>
  <c r="AJ41" i="2"/>
  <c r="AI41" i="2"/>
  <c r="AH41" i="2"/>
  <c r="F41" i="4" s="1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A45" i="3" s="1"/>
  <c r="G41" i="2"/>
  <c r="F41" i="2"/>
  <c r="E41" i="2"/>
  <c r="D41" i="2"/>
  <c r="C41" i="2"/>
  <c r="B41" i="2"/>
  <c r="A41" i="2"/>
  <c r="AM40" i="2"/>
  <c r="AL40" i="2"/>
  <c r="AK40" i="2"/>
  <c r="AJ40" i="2"/>
  <c r="AI40" i="2"/>
  <c r="AH40" i="2"/>
  <c r="F40" i="4" s="1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A44" i="3" s="1"/>
  <c r="G40" i="2"/>
  <c r="F40" i="2"/>
  <c r="E40" i="2"/>
  <c r="D40" i="2"/>
  <c r="C40" i="2"/>
  <c r="B40" i="2"/>
  <c r="A40" i="2"/>
  <c r="AM39" i="2"/>
  <c r="AL39" i="2"/>
  <c r="AK39" i="2"/>
  <c r="AJ39" i="2"/>
  <c r="AI39" i="2"/>
  <c r="AH39" i="2"/>
  <c r="F39" i="4" s="1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A43" i="3" s="1"/>
  <c r="G39" i="2"/>
  <c r="F39" i="2"/>
  <c r="E39" i="2"/>
  <c r="D39" i="2"/>
  <c r="C39" i="2"/>
  <c r="B39" i="2"/>
  <c r="A39" i="2"/>
  <c r="AM38" i="2"/>
  <c r="AL38" i="2"/>
  <c r="AK38" i="2"/>
  <c r="AJ38" i="2"/>
  <c r="AI38" i="2"/>
  <c r="AH38" i="2"/>
  <c r="F38" i="4" s="1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A42" i="3" s="1"/>
  <c r="G38" i="2"/>
  <c r="F38" i="2"/>
  <c r="E38" i="2"/>
  <c r="D38" i="2"/>
  <c r="C38" i="2"/>
  <c r="B38" i="2"/>
  <c r="A38" i="2"/>
  <c r="AM37" i="2"/>
  <c r="AL37" i="2"/>
  <c r="AK37" i="2"/>
  <c r="AJ37" i="2"/>
  <c r="AI37" i="2"/>
  <c r="AH37" i="2"/>
  <c r="F37" i="4" s="1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A41" i="3" s="1"/>
  <c r="G37" i="2"/>
  <c r="F37" i="2"/>
  <c r="E37" i="2"/>
  <c r="D37" i="2"/>
  <c r="C37" i="2"/>
  <c r="B37" i="2"/>
  <c r="A37" i="2"/>
  <c r="AM36" i="2"/>
  <c r="AL36" i="2"/>
  <c r="AK36" i="2"/>
  <c r="AJ36" i="2"/>
  <c r="AI36" i="2"/>
  <c r="AH36" i="2"/>
  <c r="F36" i="4" s="1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A40" i="3" s="1"/>
  <c r="G36" i="2"/>
  <c r="F36" i="2"/>
  <c r="E36" i="2"/>
  <c r="D36" i="2"/>
  <c r="C36" i="2"/>
  <c r="B36" i="2"/>
  <c r="A36" i="2"/>
  <c r="AM35" i="2"/>
  <c r="AL35" i="2"/>
  <c r="AK35" i="2"/>
  <c r="AJ35" i="2"/>
  <c r="AI35" i="2"/>
  <c r="AH35" i="2"/>
  <c r="F35" i="4" s="1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A39" i="3" s="1"/>
  <c r="G35" i="2"/>
  <c r="F35" i="2"/>
  <c r="E35" i="2"/>
  <c r="D35" i="2"/>
  <c r="C35" i="2"/>
  <c r="B35" i="2"/>
  <c r="A35" i="2"/>
  <c r="AM34" i="2"/>
  <c r="AL34" i="2"/>
  <c r="AK34" i="2"/>
  <c r="AJ34" i="2"/>
  <c r="AI34" i="2"/>
  <c r="AH34" i="2"/>
  <c r="F34" i="4" s="1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A38" i="3" s="1"/>
  <c r="G34" i="2"/>
  <c r="F34" i="2"/>
  <c r="E34" i="2"/>
  <c r="D34" i="2"/>
  <c r="C34" i="2"/>
  <c r="B34" i="2"/>
  <c r="A34" i="2"/>
  <c r="AM33" i="2"/>
  <c r="AL33" i="2"/>
  <c r="AK33" i="2"/>
  <c r="AJ33" i="2"/>
  <c r="AI33" i="2"/>
  <c r="AH33" i="2"/>
  <c r="F33" i="4" s="1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A37" i="3" s="1"/>
  <c r="G33" i="2"/>
  <c r="F33" i="2"/>
  <c r="E33" i="2"/>
  <c r="D33" i="2"/>
  <c r="C33" i="2"/>
  <c r="B33" i="2"/>
  <c r="A33" i="2"/>
  <c r="AM32" i="2"/>
  <c r="AL32" i="2"/>
  <c r="AK32" i="2"/>
  <c r="AJ32" i="2"/>
  <c r="AI32" i="2"/>
  <c r="AH32" i="2"/>
  <c r="F32" i="4" s="1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A36" i="3" s="1"/>
  <c r="G32" i="2"/>
  <c r="F32" i="2"/>
  <c r="E32" i="2"/>
  <c r="D32" i="2"/>
  <c r="C32" i="2"/>
  <c r="B32" i="2"/>
  <c r="A32" i="2"/>
  <c r="AM31" i="2"/>
  <c r="AL31" i="2"/>
  <c r="AK31" i="2"/>
  <c r="AJ31" i="2"/>
  <c r="AI31" i="2"/>
  <c r="AH31" i="2"/>
  <c r="F31" i="4" s="1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A35" i="3" s="1"/>
  <c r="G31" i="2"/>
  <c r="F31" i="2"/>
  <c r="E31" i="2"/>
  <c r="D31" i="2"/>
  <c r="C31" i="2"/>
  <c r="B31" i="2"/>
  <c r="A31" i="2"/>
  <c r="AM30" i="2"/>
  <c r="AL30" i="2"/>
  <c r="AK30" i="2"/>
  <c r="AJ30" i="2"/>
  <c r="AI30" i="2"/>
  <c r="AH30" i="2"/>
  <c r="F30" i="4" s="1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A34" i="3" s="1"/>
  <c r="G30" i="2"/>
  <c r="F30" i="2"/>
  <c r="E30" i="2"/>
  <c r="D30" i="2"/>
  <c r="C30" i="2"/>
  <c r="B30" i="2"/>
  <c r="A30" i="2"/>
  <c r="AM29" i="2"/>
  <c r="AL29" i="2"/>
  <c r="AK29" i="2"/>
  <c r="AJ29" i="2"/>
  <c r="AI29" i="2"/>
  <c r="AH29" i="2"/>
  <c r="F29" i="4" s="1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A33" i="3" s="1"/>
  <c r="G29" i="2"/>
  <c r="F29" i="2"/>
  <c r="E29" i="2"/>
  <c r="D29" i="2"/>
  <c r="C29" i="2"/>
  <c r="B29" i="2"/>
  <c r="A29" i="2"/>
  <c r="AM28" i="2"/>
  <c r="AL28" i="2"/>
  <c r="AK28" i="2"/>
  <c r="AJ28" i="2"/>
  <c r="AI28" i="2"/>
  <c r="AH28" i="2"/>
  <c r="F28" i="4" s="1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A32" i="3" s="1"/>
  <c r="G28" i="2"/>
  <c r="F28" i="2"/>
  <c r="E28" i="2"/>
  <c r="D28" i="2"/>
  <c r="C28" i="2"/>
  <c r="B28" i="2"/>
  <c r="A28" i="2"/>
  <c r="AM27" i="2"/>
  <c r="AL27" i="2"/>
  <c r="AK27" i="2"/>
  <c r="AJ27" i="2"/>
  <c r="AI27" i="2"/>
  <c r="AH27" i="2"/>
  <c r="F27" i="4" s="1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A31" i="3" s="1"/>
  <c r="G27" i="2"/>
  <c r="F27" i="2"/>
  <c r="E27" i="2"/>
  <c r="D27" i="2"/>
  <c r="C27" i="2"/>
  <c r="B27" i="2"/>
  <c r="A27" i="2"/>
  <c r="AM26" i="2"/>
  <c r="AL26" i="2"/>
  <c r="AK26" i="2"/>
  <c r="AJ26" i="2"/>
  <c r="AI26" i="2"/>
  <c r="AH26" i="2"/>
  <c r="F26" i="4" s="1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A30" i="3" s="1"/>
  <c r="G26" i="2"/>
  <c r="F26" i="2"/>
  <c r="E26" i="2"/>
  <c r="D26" i="2"/>
  <c r="C26" i="2"/>
  <c r="B26" i="2"/>
  <c r="A26" i="2"/>
  <c r="AM25" i="2"/>
  <c r="AL25" i="2"/>
  <c r="AK25" i="2"/>
  <c r="AJ25" i="2"/>
  <c r="AI25" i="2"/>
  <c r="AH25" i="2"/>
  <c r="F25" i="4" s="1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A29" i="3" s="1"/>
  <c r="L25" i="2"/>
  <c r="K25" i="2"/>
  <c r="J25" i="2"/>
  <c r="I25" i="2"/>
  <c r="G25" i="2"/>
  <c r="F25" i="2"/>
  <c r="E25" i="2"/>
  <c r="D25" i="2"/>
  <c r="C25" i="2"/>
  <c r="B25" i="2"/>
  <c r="A25" i="2"/>
  <c r="AM24" i="2"/>
  <c r="AL24" i="2"/>
  <c r="AK24" i="2"/>
  <c r="AJ24" i="2"/>
  <c r="AI24" i="2"/>
  <c r="AH24" i="2"/>
  <c r="F24" i="4" s="1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A28" i="3" s="1"/>
  <c r="L24" i="2"/>
  <c r="K24" i="2"/>
  <c r="J24" i="2"/>
  <c r="I24" i="2"/>
  <c r="G24" i="2"/>
  <c r="F24" i="2"/>
  <c r="E24" i="2"/>
  <c r="D24" i="2"/>
  <c r="C24" i="2"/>
  <c r="B24" i="2"/>
  <c r="A24" i="2"/>
  <c r="AM23" i="2"/>
  <c r="AL23" i="2"/>
  <c r="AK23" i="2"/>
  <c r="AJ23" i="2"/>
  <c r="AI23" i="2"/>
  <c r="AH23" i="2"/>
  <c r="F23" i="4" s="1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A27" i="3" s="1"/>
  <c r="L23" i="2"/>
  <c r="K23" i="2"/>
  <c r="J23" i="2"/>
  <c r="I23" i="2"/>
  <c r="G23" i="2"/>
  <c r="F23" i="2"/>
  <c r="E23" i="2"/>
  <c r="D23" i="2"/>
  <c r="C23" i="2"/>
  <c r="B23" i="2"/>
  <c r="A23" i="2"/>
  <c r="AM22" i="2"/>
  <c r="AL22" i="2"/>
  <c r="AK22" i="2"/>
  <c r="AJ22" i="2"/>
  <c r="AI22" i="2"/>
  <c r="AH22" i="2"/>
  <c r="F22" i="4" s="1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A26" i="3" s="1"/>
  <c r="L22" i="2"/>
  <c r="K22" i="2"/>
  <c r="J22" i="2"/>
  <c r="I22" i="2"/>
  <c r="G22" i="2"/>
  <c r="F22" i="2"/>
  <c r="E22" i="2"/>
  <c r="D22" i="2"/>
  <c r="C22" i="2"/>
  <c r="B22" i="2"/>
  <c r="A22" i="2"/>
  <c r="AM21" i="2"/>
  <c r="AL21" i="2"/>
  <c r="AK21" i="2"/>
  <c r="AJ21" i="2"/>
  <c r="AI21" i="2"/>
  <c r="AH21" i="2"/>
  <c r="F21" i="4" s="1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A25" i="3" s="1"/>
  <c r="L21" i="2"/>
  <c r="K21" i="2"/>
  <c r="J21" i="2"/>
  <c r="I21" i="2"/>
  <c r="G21" i="2"/>
  <c r="F21" i="2"/>
  <c r="E21" i="2"/>
  <c r="D21" i="2"/>
  <c r="C21" i="2"/>
  <c r="B21" i="2"/>
  <c r="A21" i="2"/>
  <c r="AM20" i="2"/>
  <c r="AL20" i="2"/>
  <c r="AK20" i="2"/>
  <c r="AJ20" i="2"/>
  <c r="AI20" i="2"/>
  <c r="AH20" i="2"/>
  <c r="F20" i="4" s="1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A24" i="3" s="1"/>
  <c r="L20" i="2"/>
  <c r="K20" i="2"/>
  <c r="J20" i="2"/>
  <c r="I20" i="2"/>
  <c r="G20" i="2"/>
  <c r="F20" i="2"/>
  <c r="E20" i="2"/>
  <c r="D20" i="2"/>
  <c r="C20" i="2"/>
  <c r="B20" i="2"/>
  <c r="A20" i="2"/>
  <c r="AM19" i="2"/>
  <c r="AL19" i="2"/>
  <c r="AK19" i="2"/>
  <c r="AJ19" i="2"/>
  <c r="AI19" i="2"/>
  <c r="AH19" i="2"/>
  <c r="F19" i="4" s="1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A23" i="3" s="1"/>
  <c r="L19" i="2"/>
  <c r="K19" i="2"/>
  <c r="J19" i="2"/>
  <c r="I19" i="2"/>
  <c r="G19" i="2"/>
  <c r="F19" i="2"/>
  <c r="E19" i="2"/>
  <c r="D19" i="2"/>
  <c r="C19" i="2"/>
  <c r="B19" i="2"/>
  <c r="A19" i="2"/>
  <c r="AM18" i="2"/>
  <c r="AL18" i="2"/>
  <c r="AK18" i="2"/>
  <c r="AJ18" i="2"/>
  <c r="AI18" i="2"/>
  <c r="AH18" i="2"/>
  <c r="F18" i="4" s="1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A22" i="3" s="1"/>
  <c r="L18" i="2"/>
  <c r="K18" i="2"/>
  <c r="J18" i="2"/>
  <c r="I18" i="2"/>
  <c r="G18" i="2"/>
  <c r="F18" i="2"/>
  <c r="E18" i="2"/>
  <c r="D18" i="2"/>
  <c r="C18" i="2"/>
  <c r="B18" i="2"/>
  <c r="A18" i="2"/>
  <c r="AM17" i="2"/>
  <c r="AL17" i="2"/>
  <c r="AK17" i="2"/>
  <c r="AJ17" i="2"/>
  <c r="AI17" i="2"/>
  <c r="AH17" i="2"/>
  <c r="F17" i="4" s="1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A21" i="3" s="1"/>
  <c r="P17" i="2"/>
  <c r="O17" i="2"/>
  <c r="N17" i="2"/>
  <c r="L17" i="2"/>
  <c r="K17" i="2"/>
  <c r="J17" i="2"/>
  <c r="I17" i="2"/>
  <c r="G17" i="2"/>
  <c r="F17" i="2"/>
  <c r="E17" i="2"/>
  <c r="D17" i="2"/>
  <c r="C17" i="2"/>
  <c r="B17" i="2"/>
  <c r="A17" i="2"/>
  <c r="AM16" i="2"/>
  <c r="AL16" i="2"/>
  <c r="AK16" i="2"/>
  <c r="AJ16" i="2"/>
  <c r="AI16" i="2"/>
  <c r="AH16" i="2"/>
  <c r="F16" i="4" s="1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A20" i="3" s="1"/>
  <c r="P16" i="2"/>
  <c r="O16" i="2"/>
  <c r="N16" i="2"/>
  <c r="L16" i="2"/>
  <c r="K16" i="2"/>
  <c r="J16" i="2"/>
  <c r="I16" i="2"/>
  <c r="G16" i="2"/>
  <c r="F16" i="2"/>
  <c r="E16" i="2"/>
  <c r="D16" i="2"/>
  <c r="C16" i="2"/>
  <c r="B16" i="2"/>
  <c r="A16" i="2"/>
  <c r="AM15" i="2"/>
  <c r="AL15" i="2"/>
  <c r="AK15" i="2"/>
  <c r="AJ15" i="2"/>
  <c r="AI15" i="2"/>
  <c r="AH15" i="2"/>
  <c r="F15" i="4" s="1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A19" i="3" s="1"/>
  <c r="P15" i="2"/>
  <c r="O15" i="2"/>
  <c r="N15" i="2"/>
  <c r="L15" i="2"/>
  <c r="K15" i="2"/>
  <c r="J15" i="2"/>
  <c r="I15" i="2"/>
  <c r="G15" i="2"/>
  <c r="F15" i="2"/>
  <c r="E15" i="2"/>
  <c r="D15" i="2"/>
  <c r="C15" i="2"/>
  <c r="B15" i="2"/>
  <c r="A15" i="2"/>
  <c r="AM14" i="2"/>
  <c r="AL14" i="2"/>
  <c r="AK14" i="2"/>
  <c r="AJ14" i="2"/>
  <c r="AI14" i="2"/>
  <c r="AH14" i="2"/>
  <c r="F14" i="4" s="1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A18" i="3" s="1"/>
  <c r="P14" i="2"/>
  <c r="O14" i="2"/>
  <c r="N14" i="2"/>
  <c r="L14" i="2"/>
  <c r="K14" i="2"/>
  <c r="J14" i="2"/>
  <c r="I14" i="2"/>
  <c r="G14" i="2"/>
  <c r="F14" i="2"/>
  <c r="E14" i="2"/>
  <c r="D14" i="2"/>
  <c r="C14" i="2"/>
  <c r="B14" i="2"/>
  <c r="A14" i="2"/>
  <c r="AM13" i="2"/>
  <c r="AL13" i="2"/>
  <c r="AK13" i="2"/>
  <c r="AJ13" i="2"/>
  <c r="AI13" i="2"/>
  <c r="AH13" i="2"/>
  <c r="F13" i="4" s="1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A17" i="3" s="1"/>
  <c r="P13" i="2"/>
  <c r="O13" i="2"/>
  <c r="N13" i="2"/>
  <c r="L13" i="2"/>
  <c r="K13" i="2"/>
  <c r="J13" i="2"/>
  <c r="I13" i="2"/>
  <c r="G13" i="2"/>
  <c r="F13" i="2"/>
  <c r="E13" i="2"/>
  <c r="D13" i="2"/>
  <c r="C13" i="2"/>
  <c r="B13" i="2"/>
  <c r="A13" i="2"/>
  <c r="AM12" i="2"/>
  <c r="AL12" i="2"/>
  <c r="AK12" i="2"/>
  <c r="AJ12" i="2"/>
  <c r="AI12" i="2"/>
  <c r="AH12" i="2"/>
  <c r="F12" i="4" s="1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A16" i="3" s="1"/>
  <c r="P12" i="2"/>
  <c r="O12" i="2"/>
  <c r="N12" i="2"/>
  <c r="L12" i="2"/>
  <c r="K12" i="2"/>
  <c r="J12" i="2"/>
  <c r="I12" i="2"/>
  <c r="G12" i="2"/>
  <c r="F12" i="2"/>
  <c r="E12" i="2"/>
  <c r="D12" i="2"/>
  <c r="C12" i="2"/>
  <c r="B12" i="2"/>
  <c r="A12" i="2"/>
  <c r="AM11" i="2"/>
  <c r="AL11" i="2"/>
  <c r="AK11" i="2"/>
  <c r="AJ11" i="2"/>
  <c r="AI11" i="2"/>
  <c r="AH11" i="2"/>
  <c r="F11" i="4" s="1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A15" i="3" s="1"/>
  <c r="P11" i="2"/>
  <c r="O11" i="2"/>
  <c r="N11" i="2"/>
  <c r="L11" i="2"/>
  <c r="K11" i="2"/>
  <c r="J11" i="2"/>
  <c r="I11" i="2"/>
  <c r="G11" i="2"/>
  <c r="F11" i="2"/>
  <c r="E11" i="2"/>
  <c r="D11" i="2"/>
  <c r="C11" i="2"/>
  <c r="B11" i="2"/>
  <c r="A11" i="2"/>
  <c r="AM10" i="2"/>
  <c r="AL10" i="2"/>
  <c r="AK10" i="2"/>
  <c r="AJ10" i="2"/>
  <c r="AI10" i="2"/>
  <c r="AH10" i="2"/>
  <c r="F10" i="4" s="1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A14" i="3" s="1"/>
  <c r="P10" i="2"/>
  <c r="O10" i="2"/>
  <c r="N10" i="2"/>
  <c r="L10" i="2"/>
  <c r="K10" i="2"/>
  <c r="J10" i="2"/>
  <c r="I10" i="2"/>
  <c r="G10" i="2"/>
  <c r="F10" i="2"/>
  <c r="E10" i="2"/>
  <c r="D10" i="2"/>
  <c r="C10" i="2"/>
  <c r="B10" i="2"/>
  <c r="A10" i="2"/>
  <c r="AM9" i="2"/>
  <c r="AL9" i="2"/>
  <c r="AK9" i="2"/>
  <c r="AJ9" i="2"/>
  <c r="AI9" i="2"/>
  <c r="AH9" i="2"/>
  <c r="F9" i="4" s="1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A13" i="3" s="1"/>
  <c r="R9" i="2"/>
  <c r="P9" i="2"/>
  <c r="O9" i="2"/>
  <c r="N9" i="2"/>
  <c r="L9" i="2"/>
  <c r="K9" i="2"/>
  <c r="J9" i="2"/>
  <c r="I9" i="2"/>
  <c r="G9" i="2"/>
  <c r="F9" i="2"/>
  <c r="E9" i="2"/>
  <c r="D9" i="2"/>
  <c r="C9" i="2"/>
  <c r="B9" i="2"/>
  <c r="A9" i="2"/>
  <c r="AM8" i="2"/>
  <c r="AL8" i="2"/>
  <c r="AK8" i="2"/>
  <c r="AJ8" i="2"/>
  <c r="AI8" i="2"/>
  <c r="AH8" i="2"/>
  <c r="F8" i="4" s="1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A12" i="3" s="1"/>
  <c r="R8" i="2"/>
  <c r="P8" i="2"/>
  <c r="O8" i="2"/>
  <c r="N8" i="2"/>
  <c r="L8" i="2"/>
  <c r="K8" i="2"/>
  <c r="J8" i="2"/>
  <c r="I8" i="2"/>
  <c r="G8" i="2"/>
  <c r="F8" i="2"/>
  <c r="E8" i="2"/>
  <c r="D8" i="2"/>
  <c r="C8" i="2"/>
  <c r="B8" i="2"/>
  <c r="A8" i="2"/>
  <c r="AM7" i="2"/>
  <c r="AL7" i="2"/>
  <c r="AK7" i="2"/>
  <c r="AJ7" i="2"/>
  <c r="AI7" i="2"/>
  <c r="AH7" i="2"/>
  <c r="F7" i="4" s="1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A11" i="3" s="1"/>
  <c r="R7" i="2"/>
  <c r="P7" i="2"/>
  <c r="O7" i="2"/>
  <c r="N7" i="2"/>
  <c r="L7" i="2"/>
  <c r="K7" i="2"/>
  <c r="J7" i="2"/>
  <c r="I7" i="2"/>
  <c r="G7" i="2"/>
  <c r="F7" i="2"/>
  <c r="E7" i="2"/>
  <c r="D7" i="2"/>
  <c r="C7" i="2"/>
  <c r="B7" i="2"/>
  <c r="A7" i="2"/>
  <c r="AM6" i="2"/>
  <c r="AL6" i="2"/>
  <c r="AK6" i="2"/>
  <c r="AJ6" i="2"/>
  <c r="AI6" i="2"/>
  <c r="AH6" i="2"/>
  <c r="F6" i="4" s="1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A10" i="3" s="1"/>
  <c r="R6" i="2"/>
  <c r="P6" i="2"/>
  <c r="O6" i="2"/>
  <c r="N6" i="2"/>
  <c r="L6" i="2"/>
  <c r="K6" i="2"/>
  <c r="J6" i="2"/>
  <c r="I6" i="2"/>
  <c r="G6" i="2"/>
  <c r="F6" i="2"/>
  <c r="E6" i="2"/>
  <c r="D6" i="2"/>
  <c r="C6" i="2"/>
  <c r="B6" i="2"/>
  <c r="A6" i="2"/>
  <c r="C9" i="1"/>
  <c r="C8" i="1"/>
  <c r="C7" i="1"/>
  <c r="C6" i="1"/>
  <c r="A3" i="1"/>
  <c r="A2" i="1"/>
  <c r="A1" i="1"/>
  <c r="B11" i="3" l="1"/>
  <c r="D11" i="3" s="1"/>
  <c r="N7" i="4"/>
  <c r="J7" i="4"/>
  <c r="K7" i="4"/>
  <c r="L7" i="4" s="1"/>
  <c r="M7" i="4" s="1"/>
  <c r="G7" i="4"/>
  <c r="H7" i="4" s="1"/>
  <c r="B13" i="3"/>
  <c r="D13" i="3" s="1"/>
  <c r="N9" i="4"/>
  <c r="J9" i="4"/>
  <c r="K9" i="4"/>
  <c r="L9" i="4" s="1"/>
  <c r="M9" i="4" s="1"/>
  <c r="G9" i="4"/>
  <c r="H9" i="4" s="1"/>
  <c r="B14" i="3"/>
  <c r="G10" i="4"/>
  <c r="I10" i="4" s="1"/>
  <c r="N10" i="4"/>
  <c r="J10" i="4"/>
  <c r="K10" i="4" s="1"/>
  <c r="L10" i="4" s="1"/>
  <c r="M10" i="4" s="1"/>
  <c r="B15" i="3"/>
  <c r="D15" i="3" s="1"/>
  <c r="N11" i="4"/>
  <c r="J11" i="4"/>
  <c r="K11" i="4"/>
  <c r="L11" i="4" s="1"/>
  <c r="M11" i="4" s="1"/>
  <c r="G11" i="4"/>
  <c r="H11" i="4" s="1"/>
  <c r="B16" i="3"/>
  <c r="G12" i="4"/>
  <c r="I12" i="4" s="1"/>
  <c r="N12" i="4"/>
  <c r="H12" i="4"/>
  <c r="B17" i="3"/>
  <c r="D17" i="3" s="1"/>
  <c r="C17" i="3"/>
  <c r="N13" i="4"/>
  <c r="G13" i="4"/>
  <c r="H13" i="4" s="1"/>
  <c r="B18" i="3"/>
  <c r="D18" i="3" s="1"/>
  <c r="G14" i="4"/>
  <c r="I14" i="4" s="1"/>
  <c r="N14" i="4"/>
  <c r="J14" i="4"/>
  <c r="K14" i="4" s="1"/>
  <c r="L14" i="4" s="1"/>
  <c r="M14" i="4" s="1"/>
  <c r="B19" i="3"/>
  <c r="D19" i="3" s="1"/>
  <c r="C19" i="3"/>
  <c r="N15" i="4"/>
  <c r="J15" i="4"/>
  <c r="K15" i="4" s="1"/>
  <c r="L15" i="4" s="1"/>
  <c r="M15" i="4" s="1"/>
  <c r="G15" i="4"/>
  <c r="H15" i="4" s="1"/>
  <c r="B20" i="3"/>
  <c r="D20" i="3" s="1"/>
  <c r="G16" i="4"/>
  <c r="I16" i="4" s="1"/>
  <c r="N16" i="4"/>
  <c r="J16" i="4"/>
  <c r="K16" i="4" s="1"/>
  <c r="L16" i="4" s="1"/>
  <c r="M16" i="4" s="1"/>
  <c r="B21" i="3"/>
  <c r="D21" i="3" s="1"/>
  <c r="C21" i="3"/>
  <c r="N17" i="4"/>
  <c r="J17" i="4"/>
  <c r="K17" i="4" s="1"/>
  <c r="L17" i="4" s="1"/>
  <c r="M17" i="4" s="1"/>
  <c r="G17" i="4"/>
  <c r="H17" i="4" s="1"/>
  <c r="B23" i="3"/>
  <c r="D23" i="3" s="1"/>
  <c r="E23" i="3"/>
  <c r="C23" i="3"/>
  <c r="N19" i="4"/>
  <c r="J19" i="4"/>
  <c r="K19" i="4"/>
  <c r="L19" i="4" s="1"/>
  <c r="M19" i="4" s="1"/>
  <c r="G19" i="4"/>
  <c r="H19" i="4" s="1"/>
  <c r="B25" i="3"/>
  <c r="D25" i="3" s="1"/>
  <c r="C25" i="3"/>
  <c r="N21" i="4"/>
  <c r="J21" i="4"/>
  <c r="K21" i="4" s="1"/>
  <c r="L21" i="4" s="1"/>
  <c r="M21" i="4" s="1"/>
  <c r="G21" i="4"/>
  <c r="H21" i="4" s="1"/>
  <c r="B27" i="3"/>
  <c r="D27" i="3" s="1"/>
  <c r="E27" i="3"/>
  <c r="C27" i="3"/>
  <c r="N23" i="4"/>
  <c r="J23" i="4"/>
  <c r="K23" i="4"/>
  <c r="L23" i="4" s="1"/>
  <c r="M23" i="4" s="1"/>
  <c r="G23" i="4"/>
  <c r="H23" i="4" s="1"/>
  <c r="B29" i="3"/>
  <c r="D29" i="3" s="1"/>
  <c r="C29" i="3"/>
  <c r="N25" i="4"/>
  <c r="J25" i="4"/>
  <c r="K25" i="4" s="1"/>
  <c r="L25" i="4" s="1"/>
  <c r="M25" i="4" s="1"/>
  <c r="G25" i="4"/>
  <c r="H25" i="4" s="1"/>
  <c r="B31" i="3"/>
  <c r="D31" i="3" s="1"/>
  <c r="E31" i="3"/>
  <c r="C31" i="3"/>
  <c r="N27" i="4"/>
  <c r="J27" i="4"/>
  <c r="K27" i="4"/>
  <c r="L27" i="4" s="1"/>
  <c r="M27" i="4" s="1"/>
  <c r="G27" i="4"/>
  <c r="H27" i="4" s="1"/>
  <c r="B33" i="3"/>
  <c r="D33" i="3" s="1"/>
  <c r="C33" i="3"/>
  <c r="N29" i="4"/>
  <c r="J29" i="4"/>
  <c r="K29" i="4" s="1"/>
  <c r="L29" i="4" s="1"/>
  <c r="M29" i="4" s="1"/>
  <c r="G29" i="4"/>
  <c r="H29" i="4" s="1"/>
  <c r="B35" i="3"/>
  <c r="D35" i="3" s="1"/>
  <c r="E35" i="3"/>
  <c r="C35" i="3"/>
  <c r="N31" i="4"/>
  <c r="J31" i="4"/>
  <c r="K31" i="4"/>
  <c r="L31" i="4" s="1"/>
  <c r="M31" i="4" s="1"/>
  <c r="G31" i="4"/>
  <c r="H31" i="4" s="1"/>
  <c r="B37" i="3"/>
  <c r="D37" i="3" s="1"/>
  <c r="C37" i="3"/>
  <c r="N33" i="4"/>
  <c r="J33" i="4"/>
  <c r="K33" i="4" s="1"/>
  <c r="L33" i="4" s="1"/>
  <c r="M33" i="4" s="1"/>
  <c r="G33" i="4"/>
  <c r="H33" i="4" s="1"/>
  <c r="B39" i="3"/>
  <c r="D39" i="3" s="1"/>
  <c r="E39" i="3"/>
  <c r="C39" i="3"/>
  <c r="N35" i="4"/>
  <c r="J35" i="4"/>
  <c r="K35" i="4"/>
  <c r="L35" i="4" s="1"/>
  <c r="M35" i="4" s="1"/>
  <c r="G35" i="4"/>
  <c r="H35" i="4" s="1"/>
  <c r="B41" i="3"/>
  <c r="D41" i="3" s="1"/>
  <c r="C41" i="3"/>
  <c r="N37" i="4"/>
  <c r="J37" i="4"/>
  <c r="K37" i="4" s="1"/>
  <c r="L37" i="4" s="1"/>
  <c r="M37" i="4" s="1"/>
  <c r="G37" i="4"/>
  <c r="H37" i="4" s="1"/>
  <c r="B43" i="3"/>
  <c r="D43" i="3" s="1"/>
  <c r="E43" i="3"/>
  <c r="C43" i="3"/>
  <c r="N39" i="4"/>
  <c r="J39" i="4"/>
  <c r="K39" i="4"/>
  <c r="L39" i="4" s="1"/>
  <c r="M39" i="4" s="1"/>
  <c r="G39" i="4"/>
  <c r="H39" i="4" s="1"/>
  <c r="B45" i="3"/>
  <c r="D45" i="3" s="1"/>
  <c r="C45" i="3"/>
  <c r="N41" i="4"/>
  <c r="J41" i="4"/>
  <c r="K41" i="4" s="1"/>
  <c r="L41" i="4" s="1"/>
  <c r="M41" i="4" s="1"/>
  <c r="G41" i="4"/>
  <c r="H41" i="4" s="1"/>
  <c r="B47" i="3"/>
  <c r="D47" i="3" s="1"/>
  <c r="E47" i="3"/>
  <c r="C47" i="3"/>
  <c r="N43" i="4"/>
  <c r="J43" i="4"/>
  <c r="K43" i="4"/>
  <c r="L43" i="4" s="1"/>
  <c r="M43" i="4" s="1"/>
  <c r="G43" i="4"/>
  <c r="H43" i="4" s="1"/>
  <c r="B49" i="3"/>
  <c r="D49" i="3" s="1"/>
  <c r="C49" i="3"/>
  <c r="N45" i="4"/>
  <c r="J45" i="4"/>
  <c r="K45" i="4" s="1"/>
  <c r="L45" i="4" s="1"/>
  <c r="M45" i="4" s="1"/>
  <c r="G45" i="4"/>
  <c r="H45" i="4" s="1"/>
  <c r="B51" i="3"/>
  <c r="D51" i="3" s="1"/>
  <c r="E51" i="3"/>
  <c r="C51" i="3"/>
  <c r="N47" i="4"/>
  <c r="J47" i="4"/>
  <c r="K47" i="4"/>
  <c r="L47" i="4" s="1"/>
  <c r="M47" i="4" s="1"/>
  <c r="G47" i="4"/>
  <c r="H47" i="4" s="1"/>
  <c r="B53" i="3"/>
  <c r="D53" i="3" s="1"/>
  <c r="C53" i="3"/>
  <c r="N49" i="4"/>
  <c r="J49" i="4"/>
  <c r="K49" i="4" s="1"/>
  <c r="L49" i="4" s="1"/>
  <c r="M49" i="4" s="1"/>
  <c r="G49" i="4"/>
  <c r="H49" i="4" s="1"/>
  <c r="B55" i="3"/>
  <c r="D55" i="3" s="1"/>
  <c r="E55" i="3"/>
  <c r="C55" i="3"/>
  <c r="N51" i="4"/>
  <c r="J51" i="4"/>
  <c r="K51" i="4"/>
  <c r="L51" i="4" s="1"/>
  <c r="M51" i="4" s="1"/>
  <c r="G51" i="4"/>
  <c r="H51" i="4" s="1"/>
  <c r="B57" i="3"/>
  <c r="D57" i="3" s="1"/>
  <c r="C57" i="3"/>
  <c r="N53" i="4"/>
  <c r="J53" i="4"/>
  <c r="K53" i="4" s="1"/>
  <c r="L53" i="4" s="1"/>
  <c r="M53" i="4" s="1"/>
  <c r="G53" i="4"/>
  <c r="H53" i="4" s="1"/>
  <c r="B59" i="3"/>
  <c r="D59" i="3" s="1"/>
  <c r="E59" i="3"/>
  <c r="C59" i="3"/>
  <c r="N55" i="4"/>
  <c r="J55" i="4"/>
  <c r="K55" i="4"/>
  <c r="L55" i="4" s="1"/>
  <c r="M55" i="4" s="1"/>
  <c r="G55" i="4"/>
  <c r="H55" i="4" s="1"/>
  <c r="B61" i="3"/>
  <c r="D61" i="3" s="1"/>
  <c r="C61" i="3"/>
  <c r="N57" i="4"/>
  <c r="J57" i="4"/>
  <c r="K57" i="4" s="1"/>
  <c r="L57" i="4" s="1"/>
  <c r="M57" i="4" s="1"/>
  <c r="G57" i="4"/>
  <c r="H57" i="4" s="1"/>
  <c r="B63" i="3"/>
  <c r="D63" i="3" s="1"/>
  <c r="E63" i="3"/>
  <c r="C63" i="3"/>
  <c r="N59" i="4"/>
  <c r="J59" i="4"/>
  <c r="K59" i="4"/>
  <c r="L59" i="4" s="1"/>
  <c r="M59" i="4" s="1"/>
  <c r="G59" i="4"/>
  <c r="H59" i="4" s="1"/>
  <c r="B65" i="3"/>
  <c r="D65" i="3" s="1"/>
  <c r="C65" i="3"/>
  <c r="N61" i="4"/>
  <c r="J61" i="4"/>
  <c r="K61" i="4" s="1"/>
  <c r="L61" i="4" s="1"/>
  <c r="M61" i="4" s="1"/>
  <c r="G61" i="4"/>
  <c r="H61" i="4" s="1"/>
  <c r="B67" i="3"/>
  <c r="D67" i="3" s="1"/>
  <c r="E67" i="3"/>
  <c r="C67" i="3"/>
  <c r="N63" i="4"/>
  <c r="J63" i="4"/>
  <c r="K63" i="4"/>
  <c r="L63" i="4" s="1"/>
  <c r="M63" i="4" s="1"/>
  <c r="G63" i="4"/>
  <c r="H63" i="4" s="1"/>
  <c r="B69" i="3"/>
  <c r="D69" i="3" s="1"/>
  <c r="C69" i="3"/>
  <c r="N65" i="4"/>
  <c r="J65" i="4"/>
  <c r="K65" i="4" s="1"/>
  <c r="L65" i="4" s="1"/>
  <c r="M65" i="4" s="1"/>
  <c r="G65" i="4"/>
  <c r="H65" i="4" s="1"/>
  <c r="B71" i="3"/>
  <c r="D71" i="3" s="1"/>
  <c r="E71" i="3"/>
  <c r="C71" i="3"/>
  <c r="N67" i="4"/>
  <c r="J67" i="4"/>
  <c r="K67" i="4"/>
  <c r="L67" i="4" s="1"/>
  <c r="M67" i="4" s="1"/>
  <c r="G67" i="4"/>
  <c r="H67" i="4" s="1"/>
  <c r="B73" i="3"/>
  <c r="D73" i="3" s="1"/>
  <c r="C73" i="3"/>
  <c r="N69" i="4"/>
  <c r="J69" i="4"/>
  <c r="K69" i="4" s="1"/>
  <c r="L69" i="4" s="1"/>
  <c r="M69" i="4" s="1"/>
  <c r="G69" i="4"/>
  <c r="H69" i="4" s="1"/>
  <c r="B75" i="3"/>
  <c r="D75" i="3" s="1"/>
  <c r="E75" i="3"/>
  <c r="C75" i="3"/>
  <c r="N71" i="4"/>
  <c r="J71" i="4"/>
  <c r="K71" i="4"/>
  <c r="L71" i="4" s="1"/>
  <c r="M71" i="4" s="1"/>
  <c r="G71" i="4"/>
  <c r="H71" i="4" s="1"/>
  <c r="B77" i="3"/>
  <c r="D77" i="3" s="1"/>
  <c r="C77" i="3"/>
  <c r="N73" i="4"/>
  <c r="J73" i="4"/>
  <c r="K73" i="4" s="1"/>
  <c r="L73" i="4" s="1"/>
  <c r="M73" i="4" s="1"/>
  <c r="G73" i="4"/>
  <c r="H73" i="4" s="1"/>
  <c r="B79" i="3"/>
  <c r="D79" i="3" s="1"/>
  <c r="E79" i="3"/>
  <c r="C79" i="3"/>
  <c r="N75" i="4"/>
  <c r="J75" i="4"/>
  <c r="K75" i="4"/>
  <c r="L75" i="4" s="1"/>
  <c r="M75" i="4" s="1"/>
  <c r="G75" i="4"/>
  <c r="H75" i="4" s="1"/>
  <c r="B81" i="3"/>
  <c r="D81" i="3" s="1"/>
  <c r="C81" i="3"/>
  <c r="N77" i="4"/>
  <c r="J77" i="4"/>
  <c r="K77" i="4" s="1"/>
  <c r="L77" i="4" s="1"/>
  <c r="M77" i="4" s="1"/>
  <c r="G77" i="4"/>
  <c r="H77" i="4" s="1"/>
  <c r="B83" i="3"/>
  <c r="D83" i="3" s="1"/>
  <c r="E83" i="3"/>
  <c r="C83" i="3"/>
  <c r="N79" i="4"/>
  <c r="J79" i="4"/>
  <c r="K79" i="4"/>
  <c r="L79" i="4" s="1"/>
  <c r="M79" i="4" s="1"/>
  <c r="G79" i="4"/>
  <c r="H79" i="4" s="1"/>
  <c r="B85" i="3"/>
  <c r="D85" i="3" s="1"/>
  <c r="C85" i="3"/>
  <c r="N81" i="4"/>
  <c r="J81" i="4"/>
  <c r="K81" i="4" s="1"/>
  <c r="L81" i="4" s="1"/>
  <c r="M81" i="4" s="1"/>
  <c r="G81" i="4"/>
  <c r="H81" i="4" s="1"/>
  <c r="B87" i="3"/>
  <c r="D87" i="3" s="1"/>
  <c r="E87" i="3"/>
  <c r="C87" i="3"/>
  <c r="N83" i="4"/>
  <c r="J83" i="4"/>
  <c r="K83" i="4"/>
  <c r="L83" i="4" s="1"/>
  <c r="M83" i="4" s="1"/>
  <c r="G83" i="4"/>
  <c r="H83" i="4" s="1"/>
  <c r="B89" i="3"/>
  <c r="D89" i="3" s="1"/>
  <c r="C89" i="3"/>
  <c r="N85" i="4"/>
  <c r="J85" i="4"/>
  <c r="K85" i="4" s="1"/>
  <c r="L85" i="4" s="1"/>
  <c r="M85" i="4" s="1"/>
  <c r="G85" i="4"/>
  <c r="H85" i="4" s="1"/>
  <c r="B91" i="3"/>
  <c r="D91" i="3" s="1"/>
  <c r="E91" i="3"/>
  <c r="C91" i="3"/>
  <c r="N87" i="4"/>
  <c r="J87" i="4"/>
  <c r="K87" i="4"/>
  <c r="L87" i="4" s="1"/>
  <c r="M87" i="4" s="1"/>
  <c r="G87" i="4"/>
  <c r="H87" i="4" s="1"/>
  <c r="B93" i="3"/>
  <c r="D93" i="3" s="1"/>
  <c r="C93" i="3"/>
  <c r="N89" i="4"/>
  <c r="J89" i="4"/>
  <c r="K89" i="4" s="1"/>
  <c r="L89" i="4" s="1"/>
  <c r="M89" i="4" s="1"/>
  <c r="G89" i="4"/>
  <c r="H89" i="4" s="1"/>
  <c r="B95" i="3"/>
  <c r="D95" i="3" s="1"/>
  <c r="E95" i="3"/>
  <c r="C95" i="3"/>
  <c r="N91" i="4"/>
  <c r="J91" i="4"/>
  <c r="K91" i="4"/>
  <c r="L91" i="4" s="1"/>
  <c r="M91" i="4" s="1"/>
  <c r="G91" i="4"/>
  <c r="H91" i="4" s="1"/>
  <c r="B97" i="3"/>
  <c r="D97" i="3" s="1"/>
  <c r="C97" i="3"/>
  <c r="N93" i="4"/>
  <c r="J93" i="4"/>
  <c r="K93" i="4" s="1"/>
  <c r="L93" i="4" s="1"/>
  <c r="M93" i="4" s="1"/>
  <c r="G93" i="4"/>
  <c r="H93" i="4" s="1"/>
  <c r="B99" i="3"/>
  <c r="D99" i="3" s="1"/>
  <c r="E99" i="3"/>
  <c r="C99" i="3"/>
  <c r="N95" i="4"/>
  <c r="J95" i="4"/>
  <c r="K95" i="4"/>
  <c r="L95" i="4" s="1"/>
  <c r="M95" i="4" s="1"/>
  <c r="G95" i="4"/>
  <c r="H95" i="4" s="1"/>
  <c r="B101" i="3"/>
  <c r="D101" i="3" s="1"/>
  <c r="C101" i="3"/>
  <c r="N97" i="4"/>
  <c r="J97" i="4"/>
  <c r="K97" i="4" s="1"/>
  <c r="L97" i="4" s="1"/>
  <c r="M97" i="4" s="1"/>
  <c r="G97" i="4"/>
  <c r="H97" i="4" s="1"/>
  <c r="B103" i="3"/>
  <c r="D103" i="3" s="1"/>
  <c r="E103" i="3"/>
  <c r="C103" i="3"/>
  <c r="N99" i="4"/>
  <c r="J99" i="4"/>
  <c r="K99" i="4"/>
  <c r="L99" i="4" s="1"/>
  <c r="M99" i="4" s="1"/>
  <c r="G99" i="4"/>
  <c r="H99" i="4" s="1"/>
  <c r="B105" i="3"/>
  <c r="D105" i="3" s="1"/>
  <c r="C105" i="3"/>
  <c r="N101" i="4"/>
  <c r="J101" i="4"/>
  <c r="K101" i="4" s="1"/>
  <c r="L101" i="4" s="1"/>
  <c r="M101" i="4" s="1"/>
  <c r="G101" i="4"/>
  <c r="H101" i="4" s="1"/>
  <c r="B107" i="3"/>
  <c r="D107" i="3" s="1"/>
  <c r="E107" i="3"/>
  <c r="C107" i="3"/>
  <c r="N103" i="4"/>
  <c r="J103" i="4"/>
  <c r="K103" i="4"/>
  <c r="L103" i="4" s="1"/>
  <c r="M103" i="4" s="1"/>
  <c r="G103" i="4"/>
  <c r="H103" i="4" s="1"/>
  <c r="B109" i="3"/>
  <c r="C109" i="3"/>
  <c r="N105" i="4"/>
  <c r="J105" i="4"/>
  <c r="K105" i="4" s="1"/>
  <c r="L105" i="4" s="1"/>
  <c r="M105" i="4" s="1"/>
  <c r="G105" i="4"/>
  <c r="H105" i="4" s="1"/>
  <c r="B111" i="3"/>
  <c r="D111" i="3" s="1"/>
  <c r="E111" i="3"/>
  <c r="C111" i="3"/>
  <c r="N107" i="4"/>
  <c r="J107" i="4"/>
  <c r="K107" i="4"/>
  <c r="L107" i="4" s="1"/>
  <c r="M107" i="4" s="1"/>
  <c r="G107" i="4"/>
  <c r="H107" i="4" s="1"/>
  <c r="B113" i="3"/>
  <c r="C113" i="3"/>
  <c r="N109" i="4"/>
  <c r="J109" i="4"/>
  <c r="K109" i="4" s="1"/>
  <c r="L109" i="4" s="1"/>
  <c r="M109" i="4" s="1"/>
  <c r="G109" i="4"/>
  <c r="H109" i="4" s="1"/>
  <c r="B115" i="3"/>
  <c r="D115" i="3" s="1"/>
  <c r="E115" i="3"/>
  <c r="C115" i="3"/>
  <c r="N111" i="4"/>
  <c r="J111" i="4"/>
  <c r="K111" i="4"/>
  <c r="L111" i="4" s="1"/>
  <c r="M111" i="4" s="1"/>
  <c r="G111" i="4"/>
  <c r="H111" i="4" s="1"/>
  <c r="B117" i="3"/>
  <c r="C117" i="3"/>
  <c r="N113" i="4"/>
  <c r="J113" i="4"/>
  <c r="K113" i="4" s="1"/>
  <c r="L113" i="4" s="1"/>
  <c r="M113" i="4" s="1"/>
  <c r="G113" i="4"/>
  <c r="H113" i="4" s="1"/>
  <c r="B119" i="3"/>
  <c r="D119" i="3" s="1"/>
  <c r="E119" i="3"/>
  <c r="C119" i="3"/>
  <c r="N115" i="4"/>
  <c r="J115" i="4"/>
  <c r="K115" i="4"/>
  <c r="L115" i="4" s="1"/>
  <c r="M115" i="4" s="1"/>
  <c r="G115" i="4"/>
  <c r="H115" i="4" s="1"/>
  <c r="B121" i="3"/>
  <c r="C121" i="3"/>
  <c r="N117" i="4"/>
  <c r="J117" i="4"/>
  <c r="K117" i="4" s="1"/>
  <c r="L117" i="4" s="1"/>
  <c r="M117" i="4" s="1"/>
  <c r="G117" i="4"/>
  <c r="H117" i="4" s="1"/>
  <c r="B123" i="3"/>
  <c r="D123" i="3" s="1"/>
  <c r="E123" i="3"/>
  <c r="C123" i="3"/>
  <c r="N119" i="4"/>
  <c r="J119" i="4"/>
  <c r="K119" i="4"/>
  <c r="L119" i="4" s="1"/>
  <c r="M119" i="4" s="1"/>
  <c r="G119" i="4"/>
  <c r="H119" i="4" s="1"/>
  <c r="B125" i="3"/>
  <c r="C125" i="3"/>
  <c r="N121" i="4"/>
  <c r="J121" i="4"/>
  <c r="K121" i="4" s="1"/>
  <c r="L121" i="4" s="1"/>
  <c r="M121" i="4" s="1"/>
  <c r="G121" i="4"/>
  <c r="H121" i="4" s="1"/>
  <c r="B127" i="3"/>
  <c r="D127" i="3" s="1"/>
  <c r="E127" i="3"/>
  <c r="C127" i="3"/>
  <c r="N123" i="4"/>
  <c r="J123" i="4"/>
  <c r="K123" i="4"/>
  <c r="L123" i="4" s="1"/>
  <c r="M123" i="4" s="1"/>
  <c r="G123" i="4"/>
  <c r="H123" i="4" s="1"/>
  <c r="B129" i="3"/>
  <c r="C129" i="3"/>
  <c r="N125" i="4"/>
  <c r="J125" i="4"/>
  <c r="K125" i="4" s="1"/>
  <c r="L125" i="4" s="1"/>
  <c r="M125" i="4" s="1"/>
  <c r="G125" i="4"/>
  <c r="H125" i="4" s="1"/>
  <c r="B131" i="3"/>
  <c r="D131" i="3" s="1"/>
  <c r="E131" i="3"/>
  <c r="C131" i="3"/>
  <c r="N127" i="4"/>
  <c r="J127" i="4"/>
  <c r="K127" i="4"/>
  <c r="L127" i="4" s="1"/>
  <c r="M127" i="4" s="1"/>
  <c r="G127" i="4"/>
  <c r="H127" i="4" s="1"/>
  <c r="B133" i="3"/>
  <c r="C133" i="3" s="1"/>
  <c r="N129" i="4"/>
  <c r="J129" i="4"/>
  <c r="K129" i="4" s="1"/>
  <c r="L129" i="4" s="1"/>
  <c r="M129" i="4" s="1"/>
  <c r="G129" i="4"/>
  <c r="H129" i="4" s="1"/>
  <c r="B135" i="3"/>
  <c r="D135" i="3" s="1"/>
  <c r="E135" i="3"/>
  <c r="C135" i="3"/>
  <c r="N131" i="4"/>
  <c r="J131" i="4"/>
  <c r="K131" i="4"/>
  <c r="L131" i="4" s="1"/>
  <c r="M131" i="4" s="1"/>
  <c r="G131" i="4"/>
  <c r="H131" i="4" s="1"/>
  <c r="B137" i="3"/>
  <c r="C137" i="3" s="1"/>
  <c r="N133" i="4"/>
  <c r="J133" i="4"/>
  <c r="K133" i="4" s="1"/>
  <c r="L133" i="4" s="1"/>
  <c r="M133" i="4" s="1"/>
  <c r="G133" i="4"/>
  <c r="H133" i="4" s="1"/>
  <c r="B139" i="3"/>
  <c r="D139" i="3" s="1"/>
  <c r="E139" i="3"/>
  <c r="C139" i="3"/>
  <c r="N135" i="4"/>
  <c r="J135" i="4"/>
  <c r="K135" i="4"/>
  <c r="L135" i="4" s="1"/>
  <c r="M135" i="4" s="1"/>
  <c r="G135" i="4"/>
  <c r="H135" i="4" s="1"/>
  <c r="B141" i="3"/>
  <c r="C141" i="3" s="1"/>
  <c r="N137" i="4"/>
  <c r="J137" i="4"/>
  <c r="K137" i="4" s="1"/>
  <c r="L137" i="4" s="1"/>
  <c r="M137" i="4" s="1"/>
  <c r="G137" i="4"/>
  <c r="H137" i="4" s="1"/>
  <c r="B143" i="3"/>
  <c r="D143" i="3" s="1"/>
  <c r="E143" i="3"/>
  <c r="C143" i="3"/>
  <c r="N139" i="4"/>
  <c r="J139" i="4"/>
  <c r="K139" i="4"/>
  <c r="L139" i="4" s="1"/>
  <c r="M139" i="4" s="1"/>
  <c r="G139" i="4"/>
  <c r="H139" i="4" s="1"/>
  <c r="B145" i="3"/>
  <c r="C145" i="3" s="1"/>
  <c r="N141" i="4"/>
  <c r="J141" i="4"/>
  <c r="K141" i="4" s="1"/>
  <c r="L141" i="4" s="1"/>
  <c r="M141" i="4" s="1"/>
  <c r="G141" i="4"/>
  <c r="H141" i="4" s="1"/>
  <c r="B147" i="3"/>
  <c r="D147" i="3" s="1"/>
  <c r="E147" i="3"/>
  <c r="C147" i="3"/>
  <c r="N143" i="4"/>
  <c r="J143" i="4"/>
  <c r="K143" i="4"/>
  <c r="L143" i="4" s="1"/>
  <c r="M143" i="4" s="1"/>
  <c r="G143" i="4"/>
  <c r="H143" i="4" s="1"/>
  <c r="B149" i="3"/>
  <c r="C149" i="3" s="1"/>
  <c r="N145" i="4"/>
  <c r="J145" i="4"/>
  <c r="K145" i="4" s="1"/>
  <c r="L145" i="4" s="1"/>
  <c r="M145" i="4" s="1"/>
  <c r="G145" i="4"/>
  <c r="H145" i="4" s="1"/>
  <c r="B151" i="3"/>
  <c r="D151" i="3" s="1"/>
  <c r="E151" i="3"/>
  <c r="C151" i="3"/>
  <c r="N147" i="4"/>
  <c r="J147" i="4"/>
  <c r="K147" i="4"/>
  <c r="L147" i="4" s="1"/>
  <c r="M147" i="4" s="1"/>
  <c r="G147" i="4"/>
  <c r="H147" i="4" s="1"/>
  <c r="B153" i="3"/>
  <c r="C153" i="3" s="1"/>
  <c r="N149" i="4"/>
  <c r="J149" i="4"/>
  <c r="K149" i="4" s="1"/>
  <c r="L149" i="4" s="1"/>
  <c r="M149" i="4" s="1"/>
  <c r="G149" i="4"/>
  <c r="H149" i="4" s="1"/>
  <c r="B155" i="3"/>
  <c r="D155" i="3" s="1"/>
  <c r="E155" i="3"/>
  <c r="C155" i="3"/>
  <c r="N151" i="4"/>
  <c r="J151" i="4"/>
  <c r="K151" i="4"/>
  <c r="L151" i="4" s="1"/>
  <c r="M151" i="4" s="1"/>
  <c r="G151" i="4"/>
  <c r="H151" i="4" s="1"/>
  <c r="B157" i="3"/>
  <c r="C157" i="3" s="1"/>
  <c r="N153" i="4"/>
  <c r="J153" i="4"/>
  <c r="K153" i="4" s="1"/>
  <c r="L153" i="4" s="1"/>
  <c r="M153" i="4" s="1"/>
  <c r="G153" i="4"/>
  <c r="H153" i="4" s="1"/>
  <c r="B159" i="3"/>
  <c r="D159" i="3" s="1"/>
  <c r="E159" i="3"/>
  <c r="C159" i="3"/>
  <c r="N155" i="4"/>
  <c r="J155" i="4"/>
  <c r="K155" i="4"/>
  <c r="L155" i="4" s="1"/>
  <c r="M155" i="4" s="1"/>
  <c r="G155" i="4"/>
  <c r="H155" i="4" s="1"/>
  <c r="B161" i="3"/>
  <c r="C161" i="3" s="1"/>
  <c r="N157" i="4"/>
  <c r="J157" i="4"/>
  <c r="K157" i="4"/>
  <c r="L157" i="4" s="1"/>
  <c r="M157" i="4" s="1"/>
  <c r="G157" i="4"/>
  <c r="H157" i="4" s="1"/>
  <c r="B163" i="3"/>
  <c r="D163" i="3" s="1"/>
  <c r="C163" i="3"/>
  <c r="N159" i="4"/>
  <c r="J159" i="4"/>
  <c r="K159" i="4" s="1"/>
  <c r="L159" i="4" s="1"/>
  <c r="M159" i="4" s="1"/>
  <c r="G159" i="4"/>
  <c r="H159" i="4" s="1"/>
  <c r="B165" i="3"/>
  <c r="D165" i="3" s="1"/>
  <c r="E165" i="3"/>
  <c r="C165" i="3"/>
  <c r="N161" i="4"/>
  <c r="J161" i="4"/>
  <c r="K161" i="4"/>
  <c r="L161" i="4" s="1"/>
  <c r="M161" i="4" s="1"/>
  <c r="G161" i="4"/>
  <c r="H161" i="4" s="1"/>
  <c r="B167" i="3"/>
  <c r="D167" i="3" s="1"/>
  <c r="C167" i="3"/>
  <c r="N163" i="4"/>
  <c r="J163" i="4"/>
  <c r="K163" i="4" s="1"/>
  <c r="L163" i="4" s="1"/>
  <c r="M163" i="4" s="1"/>
  <c r="G163" i="4"/>
  <c r="H163" i="4" s="1"/>
  <c r="B169" i="3"/>
  <c r="D169" i="3" s="1"/>
  <c r="E169" i="3"/>
  <c r="C169" i="3"/>
  <c r="N165" i="4"/>
  <c r="J165" i="4"/>
  <c r="K165" i="4"/>
  <c r="L165" i="4" s="1"/>
  <c r="M165" i="4" s="1"/>
  <c r="G165" i="4"/>
  <c r="H165" i="4" s="1"/>
  <c r="B171" i="3"/>
  <c r="D171" i="3" s="1"/>
  <c r="C171" i="3"/>
  <c r="N167" i="4"/>
  <c r="J167" i="4"/>
  <c r="K167" i="4" s="1"/>
  <c r="L167" i="4" s="1"/>
  <c r="M167" i="4" s="1"/>
  <c r="G167" i="4"/>
  <c r="H167" i="4" s="1"/>
  <c r="B173" i="3"/>
  <c r="D173" i="3" s="1"/>
  <c r="E173" i="3"/>
  <c r="C173" i="3"/>
  <c r="N169" i="4"/>
  <c r="J169" i="4"/>
  <c r="K169" i="4"/>
  <c r="L169" i="4" s="1"/>
  <c r="M169" i="4" s="1"/>
  <c r="G169" i="4"/>
  <c r="H169" i="4" s="1"/>
  <c r="B175" i="3"/>
  <c r="D175" i="3" s="1"/>
  <c r="C175" i="3"/>
  <c r="N171" i="4"/>
  <c r="J171" i="4"/>
  <c r="K171" i="4" s="1"/>
  <c r="L171" i="4" s="1"/>
  <c r="M171" i="4" s="1"/>
  <c r="G171" i="4"/>
  <c r="H171" i="4" s="1"/>
  <c r="B177" i="3"/>
  <c r="D177" i="3" s="1"/>
  <c r="E177" i="3"/>
  <c r="C177" i="3"/>
  <c r="N173" i="4"/>
  <c r="J173" i="4"/>
  <c r="K173" i="4"/>
  <c r="L173" i="4" s="1"/>
  <c r="M173" i="4" s="1"/>
  <c r="G173" i="4"/>
  <c r="H173" i="4" s="1"/>
  <c r="B179" i="3"/>
  <c r="D179" i="3" s="1"/>
  <c r="C179" i="3"/>
  <c r="N175" i="4"/>
  <c r="J175" i="4"/>
  <c r="K175" i="4" s="1"/>
  <c r="L175" i="4" s="1"/>
  <c r="M175" i="4" s="1"/>
  <c r="G175" i="4"/>
  <c r="H175" i="4" s="1"/>
  <c r="B181" i="3"/>
  <c r="D181" i="3" s="1"/>
  <c r="E181" i="3"/>
  <c r="C181" i="3"/>
  <c r="N177" i="4"/>
  <c r="J177" i="4"/>
  <c r="K177" i="4"/>
  <c r="L177" i="4" s="1"/>
  <c r="M177" i="4" s="1"/>
  <c r="G177" i="4"/>
  <c r="H177" i="4" s="1"/>
  <c r="B183" i="3"/>
  <c r="D183" i="3" s="1"/>
  <c r="C183" i="3"/>
  <c r="N179" i="4"/>
  <c r="J179" i="4"/>
  <c r="K179" i="4" s="1"/>
  <c r="L179" i="4" s="1"/>
  <c r="M179" i="4" s="1"/>
  <c r="G179" i="4"/>
  <c r="H179" i="4" s="1"/>
  <c r="B185" i="3"/>
  <c r="D185" i="3" s="1"/>
  <c r="E185" i="3"/>
  <c r="C185" i="3"/>
  <c r="N181" i="4"/>
  <c r="J181" i="4"/>
  <c r="K181" i="4"/>
  <c r="L181" i="4" s="1"/>
  <c r="M181" i="4" s="1"/>
  <c r="G181" i="4"/>
  <c r="H181" i="4" s="1"/>
  <c r="B187" i="3"/>
  <c r="D187" i="3" s="1"/>
  <c r="C187" i="3"/>
  <c r="N183" i="4"/>
  <c r="J183" i="4"/>
  <c r="K183" i="4" s="1"/>
  <c r="L183" i="4" s="1"/>
  <c r="M183" i="4" s="1"/>
  <c r="G183" i="4"/>
  <c r="H183" i="4" s="1"/>
  <c r="B189" i="3"/>
  <c r="D189" i="3" s="1"/>
  <c r="E189" i="3"/>
  <c r="C189" i="3"/>
  <c r="N185" i="4"/>
  <c r="J185" i="4"/>
  <c r="K185" i="4"/>
  <c r="L185" i="4" s="1"/>
  <c r="M185" i="4" s="1"/>
  <c r="G185" i="4"/>
  <c r="H185" i="4" s="1"/>
  <c r="B191" i="3"/>
  <c r="D191" i="3" s="1"/>
  <c r="C191" i="3"/>
  <c r="N187" i="4"/>
  <c r="J187" i="4"/>
  <c r="K187" i="4" s="1"/>
  <c r="L187" i="4" s="1"/>
  <c r="M187" i="4" s="1"/>
  <c r="G187" i="4"/>
  <c r="H187" i="4" s="1"/>
  <c r="B193" i="3"/>
  <c r="D193" i="3" s="1"/>
  <c r="E193" i="3"/>
  <c r="C193" i="3"/>
  <c r="N189" i="4"/>
  <c r="J189" i="4"/>
  <c r="K189" i="4"/>
  <c r="L189" i="4" s="1"/>
  <c r="M189" i="4" s="1"/>
  <c r="G189" i="4"/>
  <c r="H189" i="4" s="1"/>
  <c r="B195" i="3"/>
  <c r="D195" i="3" s="1"/>
  <c r="C195" i="3"/>
  <c r="N191" i="4"/>
  <c r="J191" i="4"/>
  <c r="K191" i="4" s="1"/>
  <c r="L191" i="4" s="1"/>
  <c r="M191" i="4" s="1"/>
  <c r="G191" i="4"/>
  <c r="H191" i="4" s="1"/>
  <c r="B197" i="3"/>
  <c r="D197" i="3" s="1"/>
  <c r="E197" i="3"/>
  <c r="C197" i="3"/>
  <c r="N193" i="4"/>
  <c r="J193" i="4"/>
  <c r="K193" i="4"/>
  <c r="L193" i="4" s="1"/>
  <c r="M193" i="4" s="1"/>
  <c r="G193" i="4"/>
  <c r="H193" i="4" s="1"/>
  <c r="B199" i="3"/>
  <c r="D199" i="3" s="1"/>
  <c r="E199" i="3"/>
  <c r="C199" i="3"/>
  <c r="N195" i="4"/>
  <c r="J195" i="4"/>
  <c r="K195" i="4" s="1"/>
  <c r="L195" i="4" s="1"/>
  <c r="M195" i="4" s="1"/>
  <c r="G195" i="4"/>
  <c r="H195" i="4" s="1"/>
  <c r="B201" i="3"/>
  <c r="D201" i="3" s="1"/>
  <c r="E201" i="3"/>
  <c r="C201" i="3"/>
  <c r="N197" i="4"/>
  <c r="J197" i="4"/>
  <c r="K197" i="4"/>
  <c r="L197" i="4" s="1"/>
  <c r="M197" i="4" s="1"/>
  <c r="G197" i="4"/>
  <c r="H197" i="4" s="1"/>
  <c r="B203" i="3"/>
  <c r="D203" i="3" s="1"/>
  <c r="E203" i="3"/>
  <c r="C203" i="3"/>
  <c r="N199" i="4"/>
  <c r="J199" i="4"/>
  <c r="K199" i="4" s="1"/>
  <c r="L199" i="4" s="1"/>
  <c r="M199" i="4" s="1"/>
  <c r="G199" i="4"/>
  <c r="H199" i="4" s="1"/>
  <c r="B205" i="3"/>
  <c r="D205" i="3" s="1"/>
  <c r="E205" i="3"/>
  <c r="C205" i="3"/>
  <c r="N201" i="4"/>
  <c r="J201" i="4"/>
  <c r="K201" i="4"/>
  <c r="L201" i="4" s="1"/>
  <c r="M201" i="4" s="1"/>
  <c r="G201" i="4"/>
  <c r="H201" i="4" s="1"/>
  <c r="B207" i="3"/>
  <c r="D207" i="3" s="1"/>
  <c r="E207" i="3"/>
  <c r="C207" i="3"/>
  <c r="N203" i="4"/>
  <c r="J203" i="4"/>
  <c r="K203" i="4" s="1"/>
  <c r="L203" i="4" s="1"/>
  <c r="M203" i="4" s="1"/>
  <c r="G203" i="4"/>
  <c r="H203" i="4" s="1"/>
  <c r="B209" i="3"/>
  <c r="D209" i="3" s="1"/>
  <c r="E209" i="3"/>
  <c r="C209" i="3"/>
  <c r="N205" i="4"/>
  <c r="J205" i="4"/>
  <c r="K205" i="4"/>
  <c r="L205" i="4" s="1"/>
  <c r="M205" i="4" s="1"/>
  <c r="G205" i="4"/>
  <c r="H205" i="4" s="1"/>
  <c r="B211" i="3"/>
  <c r="D211" i="3" s="1"/>
  <c r="E211" i="3"/>
  <c r="C211" i="3"/>
  <c r="N207" i="4"/>
  <c r="J207" i="4"/>
  <c r="K207" i="4" s="1"/>
  <c r="L207" i="4" s="1"/>
  <c r="M207" i="4" s="1"/>
  <c r="G207" i="4"/>
  <c r="H207" i="4" s="1"/>
  <c r="B213" i="3"/>
  <c r="D213" i="3" s="1"/>
  <c r="E213" i="3"/>
  <c r="C213" i="3"/>
  <c r="N209" i="4"/>
  <c r="J209" i="4"/>
  <c r="K209" i="4"/>
  <c r="L209" i="4" s="1"/>
  <c r="M209" i="4" s="1"/>
  <c r="G209" i="4"/>
  <c r="H209" i="4" s="1"/>
  <c r="B215" i="3"/>
  <c r="D215" i="3" s="1"/>
  <c r="E215" i="3"/>
  <c r="C215" i="3"/>
  <c r="N211" i="4"/>
  <c r="J211" i="4"/>
  <c r="K211" i="4" s="1"/>
  <c r="L211" i="4" s="1"/>
  <c r="M211" i="4" s="1"/>
  <c r="G211" i="4"/>
  <c r="H211" i="4" s="1"/>
  <c r="B217" i="3"/>
  <c r="D217" i="3" s="1"/>
  <c r="E217" i="3"/>
  <c r="C217" i="3"/>
  <c r="N213" i="4"/>
  <c r="J213" i="4"/>
  <c r="K213" i="4"/>
  <c r="L213" i="4" s="1"/>
  <c r="M213" i="4" s="1"/>
  <c r="G213" i="4"/>
  <c r="H213" i="4" s="1"/>
  <c r="B219" i="3"/>
  <c r="D219" i="3" s="1"/>
  <c r="E219" i="3"/>
  <c r="C219" i="3"/>
  <c r="N215" i="4"/>
  <c r="J215" i="4"/>
  <c r="K215" i="4" s="1"/>
  <c r="L215" i="4" s="1"/>
  <c r="M215" i="4" s="1"/>
  <c r="G215" i="4"/>
  <c r="H215" i="4" s="1"/>
  <c r="B221" i="3"/>
  <c r="D221" i="3" s="1"/>
  <c r="E221" i="3"/>
  <c r="C221" i="3"/>
  <c r="N217" i="4"/>
  <c r="J217" i="4"/>
  <c r="K217" i="4"/>
  <c r="L217" i="4" s="1"/>
  <c r="M217" i="4" s="1"/>
  <c r="G217" i="4"/>
  <c r="H217" i="4" s="1"/>
  <c r="B223" i="3"/>
  <c r="D223" i="3" s="1"/>
  <c r="E223" i="3"/>
  <c r="C223" i="3"/>
  <c r="N219" i="4"/>
  <c r="J219" i="4"/>
  <c r="K219" i="4" s="1"/>
  <c r="L219" i="4" s="1"/>
  <c r="M219" i="4" s="1"/>
  <c r="G219" i="4"/>
  <c r="H219" i="4" s="1"/>
  <c r="B225" i="3"/>
  <c r="D225" i="3" s="1"/>
  <c r="E225" i="3"/>
  <c r="C225" i="3"/>
  <c r="N221" i="4"/>
  <c r="J221" i="4"/>
  <c r="K221" i="4"/>
  <c r="L221" i="4" s="1"/>
  <c r="M221" i="4" s="1"/>
  <c r="G221" i="4"/>
  <c r="H221" i="4" s="1"/>
  <c r="B227" i="3"/>
  <c r="D227" i="3" s="1"/>
  <c r="E227" i="3"/>
  <c r="C227" i="3"/>
  <c r="N223" i="4"/>
  <c r="J223" i="4"/>
  <c r="K223" i="4" s="1"/>
  <c r="L223" i="4" s="1"/>
  <c r="M223" i="4" s="1"/>
  <c r="G223" i="4"/>
  <c r="H223" i="4" s="1"/>
  <c r="B229" i="3"/>
  <c r="D229" i="3" s="1"/>
  <c r="E229" i="3"/>
  <c r="C229" i="3"/>
  <c r="N225" i="4"/>
  <c r="J225" i="4"/>
  <c r="K225" i="4"/>
  <c r="L225" i="4" s="1"/>
  <c r="M225" i="4" s="1"/>
  <c r="G225" i="4"/>
  <c r="H225" i="4" s="1"/>
  <c r="B231" i="3"/>
  <c r="D231" i="3" s="1"/>
  <c r="E231" i="3"/>
  <c r="C231" i="3"/>
  <c r="N227" i="4"/>
  <c r="J227" i="4"/>
  <c r="K227" i="4" s="1"/>
  <c r="L227" i="4" s="1"/>
  <c r="M227" i="4" s="1"/>
  <c r="G227" i="4"/>
  <c r="H227" i="4" s="1"/>
  <c r="B233" i="3"/>
  <c r="D233" i="3" s="1"/>
  <c r="E233" i="3"/>
  <c r="C233" i="3"/>
  <c r="N229" i="4"/>
  <c r="J229" i="4"/>
  <c r="K229" i="4"/>
  <c r="L229" i="4" s="1"/>
  <c r="M229" i="4" s="1"/>
  <c r="G229" i="4"/>
  <c r="H229" i="4" s="1"/>
  <c r="B235" i="3"/>
  <c r="D235" i="3" s="1"/>
  <c r="E235" i="3"/>
  <c r="C235" i="3"/>
  <c r="N231" i="4"/>
  <c r="J231" i="4"/>
  <c r="K231" i="4" s="1"/>
  <c r="L231" i="4" s="1"/>
  <c r="M231" i="4" s="1"/>
  <c r="G231" i="4"/>
  <c r="H231" i="4" s="1"/>
  <c r="B237" i="3"/>
  <c r="D237" i="3" s="1"/>
  <c r="E237" i="3"/>
  <c r="C237" i="3"/>
  <c r="N233" i="4"/>
  <c r="J233" i="4"/>
  <c r="K233" i="4"/>
  <c r="L233" i="4" s="1"/>
  <c r="M233" i="4" s="1"/>
  <c r="G233" i="4"/>
  <c r="H233" i="4" s="1"/>
  <c r="B239" i="3"/>
  <c r="D239" i="3" s="1"/>
  <c r="E239" i="3"/>
  <c r="C239" i="3"/>
  <c r="N235" i="4"/>
  <c r="J235" i="4"/>
  <c r="K235" i="4" s="1"/>
  <c r="L235" i="4" s="1"/>
  <c r="M235" i="4" s="1"/>
  <c r="G235" i="4"/>
  <c r="H235" i="4" s="1"/>
  <c r="B241" i="3"/>
  <c r="D241" i="3" s="1"/>
  <c r="E241" i="3"/>
  <c r="C241" i="3"/>
  <c r="N237" i="4"/>
  <c r="J237" i="4"/>
  <c r="K237" i="4"/>
  <c r="L237" i="4" s="1"/>
  <c r="M237" i="4" s="1"/>
  <c r="G237" i="4"/>
  <c r="H237" i="4" s="1"/>
  <c r="B243" i="3"/>
  <c r="D243" i="3" s="1"/>
  <c r="E243" i="3"/>
  <c r="C243" i="3"/>
  <c r="N239" i="4"/>
  <c r="J239" i="4"/>
  <c r="K239" i="4" s="1"/>
  <c r="L239" i="4" s="1"/>
  <c r="M239" i="4" s="1"/>
  <c r="G239" i="4"/>
  <c r="H239" i="4" s="1"/>
  <c r="B245" i="3"/>
  <c r="D245" i="3" s="1"/>
  <c r="E245" i="3"/>
  <c r="C245" i="3"/>
  <c r="N241" i="4"/>
  <c r="J241" i="4"/>
  <c r="K241" i="4"/>
  <c r="L241" i="4" s="1"/>
  <c r="M241" i="4" s="1"/>
  <c r="G241" i="4"/>
  <c r="H241" i="4" s="1"/>
  <c r="B247" i="3"/>
  <c r="D247" i="3" s="1"/>
  <c r="E247" i="3"/>
  <c r="C247" i="3"/>
  <c r="N243" i="4"/>
  <c r="J243" i="4"/>
  <c r="K243" i="4" s="1"/>
  <c r="L243" i="4" s="1"/>
  <c r="M243" i="4" s="1"/>
  <c r="G243" i="4"/>
  <c r="H243" i="4" s="1"/>
  <c r="B249" i="3"/>
  <c r="D249" i="3" s="1"/>
  <c r="E249" i="3"/>
  <c r="C249" i="3"/>
  <c r="N245" i="4"/>
  <c r="J245" i="4"/>
  <c r="K245" i="4"/>
  <c r="L245" i="4" s="1"/>
  <c r="M245" i="4" s="1"/>
  <c r="G245" i="4"/>
  <c r="H245" i="4" s="1"/>
  <c r="B251" i="3"/>
  <c r="D251" i="3" s="1"/>
  <c r="E251" i="3"/>
  <c r="C251" i="3"/>
  <c r="N247" i="4"/>
  <c r="J247" i="4"/>
  <c r="K247" i="4" s="1"/>
  <c r="L247" i="4" s="1"/>
  <c r="M247" i="4" s="1"/>
  <c r="G247" i="4"/>
  <c r="H247" i="4" s="1"/>
  <c r="B253" i="3"/>
  <c r="D253" i="3" s="1"/>
  <c r="E253" i="3"/>
  <c r="C253" i="3"/>
  <c r="N249" i="4"/>
  <c r="J249" i="4"/>
  <c r="K249" i="4"/>
  <c r="L249" i="4" s="1"/>
  <c r="M249" i="4" s="1"/>
  <c r="G249" i="4"/>
  <c r="H249" i="4" s="1"/>
  <c r="B255" i="3"/>
  <c r="D255" i="3" s="1"/>
  <c r="E255" i="3"/>
  <c r="C255" i="3"/>
  <c r="N251" i="4"/>
  <c r="J251" i="4"/>
  <c r="K251" i="4" s="1"/>
  <c r="L251" i="4" s="1"/>
  <c r="M251" i="4" s="1"/>
  <c r="G251" i="4"/>
  <c r="H251" i="4" s="1"/>
  <c r="B257" i="3"/>
  <c r="D257" i="3" s="1"/>
  <c r="E257" i="3"/>
  <c r="C257" i="3"/>
  <c r="N253" i="4"/>
  <c r="J253" i="4"/>
  <c r="K253" i="4"/>
  <c r="L253" i="4" s="1"/>
  <c r="M253" i="4" s="1"/>
  <c r="G253" i="4"/>
  <c r="H253" i="4" s="1"/>
  <c r="B259" i="3"/>
  <c r="D259" i="3" s="1"/>
  <c r="E259" i="3"/>
  <c r="C259" i="3"/>
  <c r="N255" i="4"/>
  <c r="J255" i="4"/>
  <c r="K255" i="4" s="1"/>
  <c r="L255" i="4" s="1"/>
  <c r="M255" i="4" s="1"/>
  <c r="G255" i="4"/>
  <c r="H255" i="4" s="1"/>
  <c r="B261" i="3"/>
  <c r="D261" i="3" s="1"/>
  <c r="E261" i="3"/>
  <c r="C261" i="3"/>
  <c r="N257" i="4"/>
  <c r="J257" i="4"/>
  <c r="K257" i="4"/>
  <c r="L257" i="4" s="1"/>
  <c r="M257" i="4" s="1"/>
  <c r="G257" i="4"/>
  <c r="H257" i="4" s="1"/>
  <c r="B263" i="3"/>
  <c r="D263" i="3" s="1"/>
  <c r="E263" i="3"/>
  <c r="C263" i="3"/>
  <c r="N259" i="4"/>
  <c r="J259" i="4"/>
  <c r="K259" i="4" s="1"/>
  <c r="L259" i="4" s="1"/>
  <c r="M259" i="4" s="1"/>
  <c r="G259" i="4"/>
  <c r="H259" i="4" s="1"/>
  <c r="B265" i="3"/>
  <c r="D265" i="3" s="1"/>
  <c r="E265" i="3"/>
  <c r="C265" i="3"/>
  <c r="N261" i="4"/>
  <c r="J261" i="4"/>
  <c r="K261" i="4"/>
  <c r="L261" i="4" s="1"/>
  <c r="M261" i="4" s="1"/>
  <c r="G261" i="4"/>
  <c r="H261" i="4" s="1"/>
  <c r="B267" i="3"/>
  <c r="D267" i="3" s="1"/>
  <c r="E267" i="3"/>
  <c r="C267" i="3"/>
  <c r="N263" i="4"/>
  <c r="J263" i="4"/>
  <c r="K263" i="4" s="1"/>
  <c r="L263" i="4" s="1"/>
  <c r="M263" i="4" s="1"/>
  <c r="G263" i="4"/>
  <c r="H263" i="4" s="1"/>
  <c r="B269" i="3"/>
  <c r="D269" i="3" s="1"/>
  <c r="E269" i="3"/>
  <c r="C269" i="3"/>
  <c r="N265" i="4"/>
  <c r="J265" i="4"/>
  <c r="K265" i="4"/>
  <c r="L265" i="4" s="1"/>
  <c r="M265" i="4" s="1"/>
  <c r="G265" i="4"/>
  <c r="H265" i="4" s="1"/>
  <c r="B271" i="3"/>
  <c r="D271" i="3" s="1"/>
  <c r="E271" i="3"/>
  <c r="C271" i="3"/>
  <c r="N267" i="4"/>
  <c r="J267" i="4"/>
  <c r="K267" i="4" s="1"/>
  <c r="L267" i="4" s="1"/>
  <c r="M267" i="4" s="1"/>
  <c r="G267" i="4"/>
  <c r="H267" i="4" s="1"/>
  <c r="B273" i="3"/>
  <c r="D273" i="3" s="1"/>
  <c r="E273" i="3"/>
  <c r="C273" i="3"/>
  <c r="N269" i="4"/>
  <c r="J269" i="4"/>
  <c r="K269" i="4"/>
  <c r="L269" i="4" s="1"/>
  <c r="M269" i="4" s="1"/>
  <c r="G269" i="4"/>
  <c r="H269" i="4" s="1"/>
  <c r="B275" i="3"/>
  <c r="D275" i="3" s="1"/>
  <c r="E275" i="3"/>
  <c r="C275" i="3"/>
  <c r="N271" i="4"/>
  <c r="J271" i="4"/>
  <c r="K271" i="4" s="1"/>
  <c r="L271" i="4" s="1"/>
  <c r="M271" i="4" s="1"/>
  <c r="G271" i="4"/>
  <c r="H271" i="4" s="1"/>
  <c r="B277" i="3"/>
  <c r="D277" i="3" s="1"/>
  <c r="E277" i="3"/>
  <c r="C277" i="3"/>
  <c r="N273" i="4"/>
  <c r="J273" i="4"/>
  <c r="K273" i="4"/>
  <c r="L273" i="4" s="1"/>
  <c r="M273" i="4" s="1"/>
  <c r="G273" i="4"/>
  <c r="H273" i="4" s="1"/>
  <c r="B279" i="3"/>
  <c r="D279" i="3" s="1"/>
  <c r="E279" i="3"/>
  <c r="C279" i="3"/>
  <c r="N275" i="4"/>
  <c r="J275" i="4"/>
  <c r="K275" i="4" s="1"/>
  <c r="L275" i="4" s="1"/>
  <c r="M275" i="4" s="1"/>
  <c r="G275" i="4"/>
  <c r="H275" i="4" s="1"/>
  <c r="B281" i="3"/>
  <c r="D281" i="3" s="1"/>
  <c r="E281" i="3"/>
  <c r="C281" i="3"/>
  <c r="N277" i="4"/>
  <c r="J277" i="4"/>
  <c r="K277" i="4"/>
  <c r="L277" i="4" s="1"/>
  <c r="M277" i="4" s="1"/>
  <c r="G277" i="4"/>
  <c r="H277" i="4" s="1"/>
  <c r="B283" i="3"/>
  <c r="D283" i="3" s="1"/>
  <c r="E283" i="3"/>
  <c r="C283" i="3"/>
  <c r="N279" i="4"/>
  <c r="J279" i="4"/>
  <c r="K279" i="4" s="1"/>
  <c r="L279" i="4" s="1"/>
  <c r="M279" i="4" s="1"/>
  <c r="G279" i="4"/>
  <c r="H279" i="4" s="1"/>
  <c r="B285" i="3"/>
  <c r="D285" i="3" s="1"/>
  <c r="E285" i="3"/>
  <c r="C285" i="3"/>
  <c r="N281" i="4"/>
  <c r="J281" i="4"/>
  <c r="K281" i="4"/>
  <c r="L281" i="4" s="1"/>
  <c r="M281" i="4" s="1"/>
  <c r="G281" i="4"/>
  <c r="H281" i="4" s="1"/>
  <c r="B287" i="3"/>
  <c r="D287" i="3" s="1"/>
  <c r="E287" i="3"/>
  <c r="C287" i="3"/>
  <c r="N283" i="4"/>
  <c r="J283" i="4"/>
  <c r="K283" i="4" s="1"/>
  <c r="L283" i="4" s="1"/>
  <c r="M283" i="4" s="1"/>
  <c r="G283" i="4"/>
  <c r="H283" i="4" s="1"/>
  <c r="B289" i="3"/>
  <c r="D289" i="3" s="1"/>
  <c r="E289" i="3"/>
  <c r="C289" i="3"/>
  <c r="N285" i="4"/>
  <c r="J285" i="4"/>
  <c r="K285" i="4"/>
  <c r="L285" i="4" s="1"/>
  <c r="M285" i="4" s="1"/>
  <c r="G285" i="4"/>
  <c r="H285" i="4" s="1"/>
  <c r="B291" i="3"/>
  <c r="D291" i="3" s="1"/>
  <c r="E291" i="3"/>
  <c r="C291" i="3"/>
  <c r="N287" i="4"/>
  <c r="J287" i="4"/>
  <c r="K287" i="4" s="1"/>
  <c r="L287" i="4" s="1"/>
  <c r="M287" i="4" s="1"/>
  <c r="G287" i="4"/>
  <c r="H287" i="4" s="1"/>
  <c r="B293" i="3"/>
  <c r="D293" i="3" s="1"/>
  <c r="E293" i="3"/>
  <c r="C293" i="3"/>
  <c r="N289" i="4"/>
  <c r="J289" i="4"/>
  <c r="K289" i="4"/>
  <c r="L289" i="4" s="1"/>
  <c r="M289" i="4" s="1"/>
  <c r="G289" i="4"/>
  <c r="H289" i="4" s="1"/>
  <c r="B295" i="3"/>
  <c r="D295" i="3" s="1"/>
  <c r="E295" i="3"/>
  <c r="C295" i="3"/>
  <c r="N291" i="4"/>
  <c r="J291" i="4"/>
  <c r="K291" i="4" s="1"/>
  <c r="L291" i="4" s="1"/>
  <c r="M291" i="4" s="1"/>
  <c r="G291" i="4"/>
  <c r="H291" i="4" s="1"/>
  <c r="B297" i="3"/>
  <c r="D297" i="3" s="1"/>
  <c r="E297" i="3"/>
  <c r="C297" i="3"/>
  <c r="N293" i="4"/>
  <c r="J293" i="4"/>
  <c r="K293" i="4"/>
  <c r="L293" i="4" s="1"/>
  <c r="M293" i="4" s="1"/>
  <c r="G293" i="4"/>
  <c r="H293" i="4" s="1"/>
  <c r="B299" i="3"/>
  <c r="D299" i="3" s="1"/>
  <c r="E299" i="3"/>
  <c r="C299" i="3"/>
  <c r="N295" i="4"/>
  <c r="J295" i="4"/>
  <c r="K295" i="4" s="1"/>
  <c r="L295" i="4" s="1"/>
  <c r="M295" i="4" s="1"/>
  <c r="G295" i="4"/>
  <c r="H295" i="4" s="1"/>
  <c r="B301" i="3"/>
  <c r="D301" i="3" s="1"/>
  <c r="E301" i="3"/>
  <c r="C301" i="3"/>
  <c r="N297" i="4"/>
  <c r="J297" i="4"/>
  <c r="K297" i="4"/>
  <c r="L297" i="4" s="1"/>
  <c r="M297" i="4" s="1"/>
  <c r="G297" i="4"/>
  <c r="H297" i="4" s="1"/>
  <c r="B303" i="3"/>
  <c r="D303" i="3" s="1"/>
  <c r="E303" i="3"/>
  <c r="C303" i="3"/>
  <c r="N299" i="4"/>
  <c r="J299" i="4"/>
  <c r="K299" i="4" s="1"/>
  <c r="L299" i="4" s="1"/>
  <c r="M299" i="4" s="1"/>
  <c r="G299" i="4"/>
  <c r="H299" i="4" s="1"/>
  <c r="B305" i="3"/>
  <c r="D305" i="3" s="1"/>
  <c r="E305" i="3"/>
  <c r="C305" i="3"/>
  <c r="N301" i="4"/>
  <c r="J301" i="4"/>
  <c r="K301" i="4"/>
  <c r="L301" i="4" s="1"/>
  <c r="M301" i="4" s="1"/>
  <c r="G301" i="4"/>
  <c r="H301" i="4" s="1"/>
  <c r="B307" i="3"/>
  <c r="D307" i="3" s="1"/>
  <c r="E307" i="3"/>
  <c r="C307" i="3"/>
  <c r="N303" i="4"/>
  <c r="J303" i="4"/>
  <c r="K303" i="4" s="1"/>
  <c r="L303" i="4" s="1"/>
  <c r="M303" i="4" s="1"/>
  <c r="G303" i="4"/>
  <c r="H303" i="4" s="1"/>
  <c r="B309" i="3"/>
  <c r="D309" i="3" s="1"/>
  <c r="E309" i="3"/>
  <c r="C309" i="3"/>
  <c r="N305" i="4"/>
  <c r="J305" i="4"/>
  <c r="K305" i="4"/>
  <c r="L305" i="4" s="1"/>
  <c r="M305" i="4" s="1"/>
  <c r="G305" i="4"/>
  <c r="H305" i="4" s="1"/>
  <c r="B311" i="3"/>
  <c r="D311" i="3" s="1"/>
  <c r="E311" i="3"/>
  <c r="C311" i="3"/>
  <c r="N307" i="4"/>
  <c r="J307" i="4"/>
  <c r="K307" i="4" s="1"/>
  <c r="L307" i="4" s="1"/>
  <c r="M307" i="4" s="1"/>
  <c r="G307" i="4"/>
  <c r="H307" i="4" s="1"/>
  <c r="B313" i="3"/>
  <c r="D313" i="3" s="1"/>
  <c r="E313" i="3"/>
  <c r="C313" i="3"/>
  <c r="N309" i="4"/>
  <c r="J309" i="4"/>
  <c r="K309" i="4"/>
  <c r="L309" i="4" s="1"/>
  <c r="M309" i="4" s="1"/>
  <c r="G309" i="4"/>
  <c r="H309" i="4" s="1"/>
  <c r="B315" i="3"/>
  <c r="D315" i="3" s="1"/>
  <c r="E315" i="3"/>
  <c r="C315" i="3"/>
  <c r="N311" i="4"/>
  <c r="J311" i="4"/>
  <c r="K311" i="4" s="1"/>
  <c r="L311" i="4" s="1"/>
  <c r="M311" i="4" s="1"/>
  <c r="G311" i="4"/>
  <c r="H311" i="4" s="1"/>
  <c r="B317" i="3"/>
  <c r="D317" i="3" s="1"/>
  <c r="E317" i="3"/>
  <c r="C317" i="3"/>
  <c r="N313" i="4"/>
  <c r="J313" i="4"/>
  <c r="K313" i="4"/>
  <c r="L313" i="4" s="1"/>
  <c r="M313" i="4" s="1"/>
  <c r="G313" i="4"/>
  <c r="H313" i="4" s="1"/>
  <c r="B319" i="3"/>
  <c r="D319" i="3" s="1"/>
  <c r="E319" i="3"/>
  <c r="C319" i="3"/>
  <c r="N315" i="4"/>
  <c r="J315" i="4"/>
  <c r="K315" i="4" s="1"/>
  <c r="L315" i="4" s="1"/>
  <c r="M315" i="4" s="1"/>
  <c r="G315" i="4"/>
  <c r="H315" i="4" s="1"/>
  <c r="B321" i="3"/>
  <c r="D321" i="3" s="1"/>
  <c r="E321" i="3"/>
  <c r="C321" i="3"/>
  <c r="N317" i="4"/>
  <c r="J317" i="4"/>
  <c r="K317" i="4"/>
  <c r="L317" i="4" s="1"/>
  <c r="M317" i="4" s="1"/>
  <c r="G317" i="4"/>
  <c r="H317" i="4" s="1"/>
  <c r="B323" i="3"/>
  <c r="D323" i="3" s="1"/>
  <c r="E323" i="3"/>
  <c r="C323" i="3"/>
  <c r="N319" i="4"/>
  <c r="J319" i="4"/>
  <c r="K319" i="4" s="1"/>
  <c r="L319" i="4" s="1"/>
  <c r="M319" i="4" s="1"/>
  <c r="G319" i="4"/>
  <c r="H319" i="4" s="1"/>
  <c r="B325" i="3"/>
  <c r="D325" i="3" s="1"/>
  <c r="E325" i="3"/>
  <c r="C325" i="3"/>
  <c r="N321" i="4"/>
  <c r="J321" i="4"/>
  <c r="K321" i="4"/>
  <c r="L321" i="4" s="1"/>
  <c r="M321" i="4" s="1"/>
  <c r="G321" i="4"/>
  <c r="H321" i="4" s="1"/>
  <c r="B327" i="3"/>
  <c r="D327" i="3" s="1"/>
  <c r="E327" i="3"/>
  <c r="C327" i="3"/>
  <c r="N323" i="4"/>
  <c r="J323" i="4"/>
  <c r="K323" i="4" s="1"/>
  <c r="L323" i="4" s="1"/>
  <c r="M323" i="4" s="1"/>
  <c r="G323" i="4"/>
  <c r="H323" i="4" s="1"/>
  <c r="B329" i="3"/>
  <c r="D329" i="3" s="1"/>
  <c r="E329" i="3"/>
  <c r="C329" i="3"/>
  <c r="N325" i="4"/>
  <c r="J325" i="4"/>
  <c r="K325" i="4"/>
  <c r="L325" i="4" s="1"/>
  <c r="M325" i="4" s="1"/>
  <c r="G325" i="4"/>
  <c r="H325" i="4" s="1"/>
  <c r="B331" i="3"/>
  <c r="D331" i="3" s="1"/>
  <c r="E331" i="3"/>
  <c r="C331" i="3"/>
  <c r="N327" i="4"/>
  <c r="J327" i="4"/>
  <c r="K327" i="4" s="1"/>
  <c r="L327" i="4" s="1"/>
  <c r="M327" i="4" s="1"/>
  <c r="G327" i="4"/>
  <c r="H327" i="4" s="1"/>
  <c r="B333" i="3"/>
  <c r="D333" i="3" s="1"/>
  <c r="E333" i="3"/>
  <c r="C333" i="3"/>
  <c r="N329" i="4"/>
  <c r="J329" i="4"/>
  <c r="K329" i="4"/>
  <c r="L329" i="4" s="1"/>
  <c r="M329" i="4" s="1"/>
  <c r="G329" i="4"/>
  <c r="H329" i="4" s="1"/>
  <c r="B335" i="3"/>
  <c r="D335" i="3" s="1"/>
  <c r="E335" i="3"/>
  <c r="C335" i="3"/>
  <c r="N331" i="4"/>
  <c r="J331" i="4"/>
  <c r="K331" i="4" s="1"/>
  <c r="L331" i="4" s="1"/>
  <c r="M331" i="4" s="1"/>
  <c r="G331" i="4"/>
  <c r="H331" i="4" s="1"/>
  <c r="B337" i="3"/>
  <c r="D337" i="3" s="1"/>
  <c r="E337" i="3"/>
  <c r="C337" i="3"/>
  <c r="N333" i="4"/>
  <c r="J333" i="4"/>
  <c r="K333" i="4"/>
  <c r="L333" i="4" s="1"/>
  <c r="M333" i="4" s="1"/>
  <c r="G333" i="4"/>
  <c r="H333" i="4" s="1"/>
  <c r="B339" i="3"/>
  <c r="D339" i="3" s="1"/>
  <c r="E339" i="3"/>
  <c r="C339" i="3"/>
  <c r="N335" i="4"/>
  <c r="J335" i="4"/>
  <c r="K335" i="4" s="1"/>
  <c r="L335" i="4" s="1"/>
  <c r="M335" i="4" s="1"/>
  <c r="G335" i="4"/>
  <c r="H335" i="4" s="1"/>
  <c r="B341" i="3"/>
  <c r="D341" i="3" s="1"/>
  <c r="E341" i="3"/>
  <c r="C341" i="3"/>
  <c r="N337" i="4"/>
  <c r="J337" i="4"/>
  <c r="K337" i="4"/>
  <c r="L337" i="4" s="1"/>
  <c r="M337" i="4" s="1"/>
  <c r="G337" i="4"/>
  <c r="H337" i="4" s="1"/>
  <c r="B343" i="3"/>
  <c r="D343" i="3" s="1"/>
  <c r="E343" i="3"/>
  <c r="C343" i="3"/>
  <c r="N339" i="4"/>
  <c r="J339" i="4"/>
  <c r="K339" i="4" s="1"/>
  <c r="L339" i="4" s="1"/>
  <c r="M339" i="4" s="1"/>
  <c r="G339" i="4"/>
  <c r="H339" i="4" s="1"/>
  <c r="B345" i="3"/>
  <c r="D345" i="3" s="1"/>
  <c r="E345" i="3"/>
  <c r="C345" i="3"/>
  <c r="N341" i="4"/>
  <c r="J341" i="4"/>
  <c r="K341" i="4"/>
  <c r="L341" i="4" s="1"/>
  <c r="M341" i="4" s="1"/>
  <c r="G341" i="4"/>
  <c r="H341" i="4" s="1"/>
  <c r="B347" i="3"/>
  <c r="D347" i="3" s="1"/>
  <c r="E347" i="3"/>
  <c r="C347" i="3"/>
  <c r="N343" i="4"/>
  <c r="J343" i="4"/>
  <c r="K343" i="4" s="1"/>
  <c r="L343" i="4" s="1"/>
  <c r="M343" i="4" s="1"/>
  <c r="G343" i="4"/>
  <c r="H343" i="4" s="1"/>
  <c r="B349" i="3"/>
  <c r="D349" i="3" s="1"/>
  <c r="E349" i="3"/>
  <c r="C349" i="3"/>
  <c r="N345" i="4"/>
  <c r="J345" i="4"/>
  <c r="K345" i="4"/>
  <c r="L345" i="4" s="1"/>
  <c r="M345" i="4" s="1"/>
  <c r="G345" i="4"/>
  <c r="H345" i="4" s="1"/>
  <c r="B351" i="3"/>
  <c r="D351" i="3" s="1"/>
  <c r="E351" i="3"/>
  <c r="C351" i="3"/>
  <c r="N347" i="4"/>
  <c r="J347" i="4"/>
  <c r="K347" i="4" s="1"/>
  <c r="L347" i="4" s="1"/>
  <c r="M347" i="4" s="1"/>
  <c r="G347" i="4"/>
  <c r="H347" i="4" s="1"/>
  <c r="B353" i="3"/>
  <c r="D353" i="3" s="1"/>
  <c r="E353" i="3"/>
  <c r="C353" i="3"/>
  <c r="N349" i="4"/>
  <c r="J349" i="4"/>
  <c r="K349" i="4"/>
  <c r="L349" i="4" s="1"/>
  <c r="M349" i="4" s="1"/>
  <c r="G349" i="4"/>
  <c r="H349" i="4" s="1"/>
  <c r="B355" i="3"/>
  <c r="D355" i="3" s="1"/>
  <c r="E355" i="3"/>
  <c r="C355" i="3"/>
  <c r="N351" i="4"/>
  <c r="J351" i="4"/>
  <c r="K351" i="4" s="1"/>
  <c r="L351" i="4" s="1"/>
  <c r="M351" i="4" s="1"/>
  <c r="G351" i="4"/>
  <c r="H351" i="4" s="1"/>
  <c r="B357" i="3"/>
  <c r="D357" i="3" s="1"/>
  <c r="E357" i="3"/>
  <c r="C357" i="3"/>
  <c r="N353" i="4"/>
  <c r="J353" i="4"/>
  <c r="K353" i="4"/>
  <c r="L353" i="4" s="1"/>
  <c r="M353" i="4" s="1"/>
  <c r="G353" i="4"/>
  <c r="H353" i="4" s="1"/>
  <c r="B359" i="3"/>
  <c r="D359" i="3" s="1"/>
  <c r="E359" i="3"/>
  <c r="C359" i="3"/>
  <c r="N355" i="4"/>
  <c r="J355" i="4"/>
  <c r="K355" i="4" s="1"/>
  <c r="L355" i="4" s="1"/>
  <c r="M355" i="4" s="1"/>
  <c r="G355" i="4"/>
  <c r="H355" i="4" s="1"/>
  <c r="B361" i="3"/>
  <c r="D361" i="3" s="1"/>
  <c r="E361" i="3"/>
  <c r="C361" i="3"/>
  <c r="N357" i="4"/>
  <c r="J357" i="4"/>
  <c r="K357" i="4"/>
  <c r="L357" i="4" s="1"/>
  <c r="M357" i="4" s="1"/>
  <c r="G357" i="4"/>
  <c r="H357" i="4" s="1"/>
  <c r="B363" i="3"/>
  <c r="D363" i="3" s="1"/>
  <c r="E363" i="3"/>
  <c r="C363" i="3"/>
  <c r="N359" i="4"/>
  <c r="J359" i="4"/>
  <c r="K359" i="4" s="1"/>
  <c r="L359" i="4" s="1"/>
  <c r="M359" i="4" s="1"/>
  <c r="G359" i="4"/>
  <c r="H359" i="4" s="1"/>
  <c r="B365" i="3"/>
  <c r="D365" i="3" s="1"/>
  <c r="E365" i="3"/>
  <c r="C365" i="3"/>
  <c r="N361" i="4"/>
  <c r="J361" i="4"/>
  <c r="K361" i="4"/>
  <c r="L361" i="4" s="1"/>
  <c r="M361" i="4" s="1"/>
  <c r="G361" i="4"/>
  <c r="H361" i="4" s="1"/>
  <c r="B367" i="3"/>
  <c r="D367" i="3" s="1"/>
  <c r="E367" i="3"/>
  <c r="C367" i="3"/>
  <c r="N363" i="4"/>
  <c r="J363" i="4"/>
  <c r="K363" i="4" s="1"/>
  <c r="L363" i="4" s="1"/>
  <c r="M363" i="4" s="1"/>
  <c r="G363" i="4"/>
  <c r="H363" i="4" s="1"/>
  <c r="B369" i="3"/>
  <c r="D369" i="3" s="1"/>
  <c r="E369" i="3"/>
  <c r="C369" i="3"/>
  <c r="N365" i="4"/>
  <c r="J365" i="4"/>
  <c r="K365" i="4"/>
  <c r="L365" i="4" s="1"/>
  <c r="M365" i="4" s="1"/>
  <c r="G365" i="4"/>
  <c r="H365" i="4" s="1"/>
  <c r="B371" i="3"/>
  <c r="D371" i="3" s="1"/>
  <c r="E371" i="3"/>
  <c r="C371" i="3"/>
  <c r="N367" i="4"/>
  <c r="J367" i="4"/>
  <c r="K367" i="4" s="1"/>
  <c r="L367" i="4" s="1"/>
  <c r="M367" i="4" s="1"/>
  <c r="G367" i="4"/>
  <c r="H367" i="4" s="1"/>
  <c r="B373" i="3"/>
  <c r="D373" i="3" s="1"/>
  <c r="E373" i="3"/>
  <c r="C373" i="3"/>
  <c r="N369" i="4"/>
  <c r="J369" i="4"/>
  <c r="K369" i="4"/>
  <c r="L369" i="4" s="1"/>
  <c r="M369" i="4" s="1"/>
  <c r="G369" i="4"/>
  <c r="H369" i="4" s="1"/>
  <c r="B375" i="3"/>
  <c r="D375" i="3" s="1"/>
  <c r="E375" i="3"/>
  <c r="C375" i="3"/>
  <c r="N371" i="4"/>
  <c r="J371" i="4"/>
  <c r="K371" i="4" s="1"/>
  <c r="L371" i="4" s="1"/>
  <c r="M371" i="4" s="1"/>
  <c r="G371" i="4"/>
  <c r="H371" i="4" s="1"/>
  <c r="B377" i="3"/>
  <c r="D377" i="3" s="1"/>
  <c r="E377" i="3"/>
  <c r="C377" i="3"/>
  <c r="N373" i="4"/>
  <c r="J373" i="4"/>
  <c r="K373" i="4"/>
  <c r="L373" i="4" s="1"/>
  <c r="M373" i="4" s="1"/>
  <c r="G373" i="4"/>
  <c r="H373" i="4" s="1"/>
  <c r="B379" i="3"/>
  <c r="D379" i="3" s="1"/>
  <c r="E379" i="3"/>
  <c r="C379" i="3"/>
  <c r="N375" i="4"/>
  <c r="J375" i="4"/>
  <c r="K375" i="4" s="1"/>
  <c r="L375" i="4" s="1"/>
  <c r="M375" i="4" s="1"/>
  <c r="G375" i="4"/>
  <c r="H375" i="4" s="1"/>
  <c r="B381" i="3"/>
  <c r="D381" i="3" s="1"/>
  <c r="E381" i="3"/>
  <c r="C381" i="3"/>
  <c r="N377" i="4"/>
  <c r="J377" i="4"/>
  <c r="K377" i="4"/>
  <c r="L377" i="4" s="1"/>
  <c r="M377" i="4" s="1"/>
  <c r="G377" i="4"/>
  <c r="H377" i="4" s="1"/>
  <c r="B383" i="3"/>
  <c r="D383" i="3" s="1"/>
  <c r="E383" i="3"/>
  <c r="C383" i="3"/>
  <c r="N379" i="4"/>
  <c r="J379" i="4"/>
  <c r="K379" i="4" s="1"/>
  <c r="L379" i="4" s="1"/>
  <c r="M379" i="4" s="1"/>
  <c r="G379" i="4"/>
  <c r="H379" i="4" s="1"/>
  <c r="B385" i="3"/>
  <c r="D385" i="3" s="1"/>
  <c r="E385" i="3"/>
  <c r="C385" i="3"/>
  <c r="N381" i="4"/>
  <c r="J381" i="4"/>
  <c r="K381" i="4"/>
  <c r="L381" i="4" s="1"/>
  <c r="M381" i="4" s="1"/>
  <c r="G381" i="4"/>
  <c r="H381" i="4" s="1"/>
  <c r="B387" i="3"/>
  <c r="D387" i="3" s="1"/>
  <c r="E387" i="3"/>
  <c r="C387" i="3"/>
  <c r="N383" i="4"/>
  <c r="J383" i="4"/>
  <c r="K383" i="4" s="1"/>
  <c r="L383" i="4" s="1"/>
  <c r="M383" i="4" s="1"/>
  <c r="G383" i="4"/>
  <c r="H383" i="4" s="1"/>
  <c r="B389" i="3"/>
  <c r="D389" i="3" s="1"/>
  <c r="E389" i="3"/>
  <c r="C389" i="3"/>
  <c r="N385" i="4"/>
  <c r="J385" i="4"/>
  <c r="K385" i="4"/>
  <c r="L385" i="4" s="1"/>
  <c r="M385" i="4" s="1"/>
  <c r="G385" i="4"/>
  <c r="H385" i="4" s="1"/>
  <c r="B391" i="3"/>
  <c r="D391" i="3" s="1"/>
  <c r="E391" i="3"/>
  <c r="C391" i="3"/>
  <c r="N387" i="4"/>
  <c r="J387" i="4"/>
  <c r="K387" i="4" s="1"/>
  <c r="L387" i="4" s="1"/>
  <c r="M387" i="4" s="1"/>
  <c r="G387" i="4"/>
  <c r="H387" i="4" s="1"/>
  <c r="B393" i="3"/>
  <c r="D393" i="3" s="1"/>
  <c r="E393" i="3"/>
  <c r="C393" i="3"/>
  <c r="N389" i="4"/>
  <c r="J389" i="4"/>
  <c r="K389" i="4"/>
  <c r="L389" i="4" s="1"/>
  <c r="M389" i="4" s="1"/>
  <c r="G389" i="4"/>
  <c r="H389" i="4" s="1"/>
  <c r="B395" i="3"/>
  <c r="D395" i="3" s="1"/>
  <c r="E395" i="3"/>
  <c r="C395" i="3"/>
  <c r="N391" i="4"/>
  <c r="J391" i="4"/>
  <c r="K391" i="4" s="1"/>
  <c r="L391" i="4" s="1"/>
  <c r="M391" i="4" s="1"/>
  <c r="G391" i="4"/>
  <c r="H391" i="4" s="1"/>
  <c r="B397" i="3"/>
  <c r="D397" i="3" s="1"/>
  <c r="E397" i="3"/>
  <c r="C397" i="3"/>
  <c r="N393" i="4"/>
  <c r="J393" i="4"/>
  <c r="K393" i="4"/>
  <c r="L393" i="4" s="1"/>
  <c r="M393" i="4" s="1"/>
  <c r="G393" i="4"/>
  <c r="H393" i="4" s="1"/>
  <c r="B399" i="3"/>
  <c r="D399" i="3" s="1"/>
  <c r="E399" i="3"/>
  <c r="C399" i="3"/>
  <c r="N395" i="4"/>
  <c r="J395" i="4"/>
  <c r="K395" i="4" s="1"/>
  <c r="L395" i="4" s="1"/>
  <c r="M395" i="4" s="1"/>
  <c r="G395" i="4"/>
  <c r="H395" i="4" s="1"/>
  <c r="B401" i="3"/>
  <c r="D401" i="3" s="1"/>
  <c r="E401" i="3"/>
  <c r="C401" i="3"/>
  <c r="N397" i="4"/>
  <c r="J397" i="4"/>
  <c r="K397" i="4"/>
  <c r="L397" i="4" s="1"/>
  <c r="M397" i="4" s="1"/>
  <c r="G397" i="4"/>
  <c r="H397" i="4" s="1"/>
  <c r="B403" i="3"/>
  <c r="D403" i="3" s="1"/>
  <c r="E403" i="3"/>
  <c r="C403" i="3"/>
  <c r="N399" i="4"/>
  <c r="J399" i="4"/>
  <c r="K399" i="4" s="1"/>
  <c r="L399" i="4" s="1"/>
  <c r="M399" i="4" s="1"/>
  <c r="G399" i="4"/>
  <c r="H399" i="4" s="1"/>
  <c r="B405" i="3"/>
  <c r="D405" i="3" s="1"/>
  <c r="E405" i="3"/>
  <c r="C405" i="3"/>
  <c r="N401" i="4"/>
  <c r="J401" i="4"/>
  <c r="K401" i="4"/>
  <c r="L401" i="4" s="1"/>
  <c r="M401" i="4" s="1"/>
  <c r="G401" i="4"/>
  <c r="H401" i="4" s="1"/>
  <c r="B407" i="3"/>
  <c r="D407" i="3" s="1"/>
  <c r="E407" i="3"/>
  <c r="C407" i="3"/>
  <c r="N403" i="4"/>
  <c r="J403" i="4"/>
  <c r="K403" i="4" s="1"/>
  <c r="L403" i="4" s="1"/>
  <c r="M403" i="4" s="1"/>
  <c r="G403" i="4"/>
  <c r="H403" i="4" s="1"/>
  <c r="B409" i="3"/>
  <c r="D409" i="3" s="1"/>
  <c r="E409" i="3"/>
  <c r="C409" i="3"/>
  <c r="N405" i="4"/>
  <c r="J405" i="4"/>
  <c r="K405" i="4"/>
  <c r="L405" i="4" s="1"/>
  <c r="M405" i="4" s="1"/>
  <c r="G405" i="4"/>
  <c r="H405" i="4" s="1"/>
  <c r="B411" i="3"/>
  <c r="D411" i="3" s="1"/>
  <c r="E411" i="3"/>
  <c r="C411" i="3"/>
  <c r="N407" i="4"/>
  <c r="J407" i="4"/>
  <c r="K407" i="4" s="1"/>
  <c r="L407" i="4" s="1"/>
  <c r="M407" i="4" s="1"/>
  <c r="G407" i="4"/>
  <c r="H407" i="4" s="1"/>
  <c r="B413" i="3"/>
  <c r="D413" i="3" s="1"/>
  <c r="E413" i="3"/>
  <c r="C413" i="3"/>
  <c r="N409" i="4"/>
  <c r="J409" i="4"/>
  <c r="K409" i="4"/>
  <c r="L409" i="4" s="1"/>
  <c r="M409" i="4" s="1"/>
  <c r="G409" i="4"/>
  <c r="H409" i="4" s="1"/>
  <c r="B415" i="3"/>
  <c r="D415" i="3" s="1"/>
  <c r="E415" i="3"/>
  <c r="C415" i="3"/>
  <c r="N411" i="4"/>
  <c r="J411" i="4"/>
  <c r="K411" i="4" s="1"/>
  <c r="L411" i="4" s="1"/>
  <c r="M411" i="4" s="1"/>
  <c r="G411" i="4"/>
  <c r="H411" i="4" s="1"/>
  <c r="B417" i="3"/>
  <c r="D417" i="3" s="1"/>
  <c r="E417" i="3"/>
  <c r="C417" i="3"/>
  <c r="N413" i="4"/>
  <c r="J413" i="4"/>
  <c r="K413" i="4"/>
  <c r="L413" i="4" s="1"/>
  <c r="M413" i="4" s="1"/>
  <c r="G413" i="4"/>
  <c r="H413" i="4" s="1"/>
  <c r="B419" i="3"/>
  <c r="D419" i="3" s="1"/>
  <c r="E419" i="3"/>
  <c r="C419" i="3"/>
  <c r="N415" i="4"/>
  <c r="J415" i="4"/>
  <c r="K415" i="4" s="1"/>
  <c r="L415" i="4" s="1"/>
  <c r="M415" i="4" s="1"/>
  <c r="G415" i="4"/>
  <c r="H415" i="4" s="1"/>
  <c r="B421" i="3"/>
  <c r="D421" i="3" s="1"/>
  <c r="E421" i="3"/>
  <c r="C421" i="3"/>
  <c r="N417" i="4"/>
  <c r="J417" i="4"/>
  <c r="K417" i="4"/>
  <c r="L417" i="4" s="1"/>
  <c r="M417" i="4" s="1"/>
  <c r="G417" i="4"/>
  <c r="H417" i="4" s="1"/>
  <c r="B423" i="3"/>
  <c r="D423" i="3" s="1"/>
  <c r="E423" i="3"/>
  <c r="C423" i="3"/>
  <c r="N419" i="4"/>
  <c r="J419" i="4"/>
  <c r="K419" i="4" s="1"/>
  <c r="L419" i="4" s="1"/>
  <c r="M419" i="4" s="1"/>
  <c r="G419" i="4"/>
  <c r="H419" i="4" s="1"/>
  <c r="B425" i="3"/>
  <c r="D425" i="3" s="1"/>
  <c r="E425" i="3"/>
  <c r="C425" i="3"/>
  <c r="N421" i="4"/>
  <c r="J421" i="4"/>
  <c r="K421" i="4"/>
  <c r="L421" i="4" s="1"/>
  <c r="M421" i="4" s="1"/>
  <c r="G421" i="4"/>
  <c r="H421" i="4" s="1"/>
  <c r="B427" i="3"/>
  <c r="D427" i="3" s="1"/>
  <c r="E427" i="3"/>
  <c r="C427" i="3"/>
  <c r="N423" i="4"/>
  <c r="J423" i="4"/>
  <c r="K423" i="4" s="1"/>
  <c r="L423" i="4" s="1"/>
  <c r="M423" i="4" s="1"/>
  <c r="G423" i="4"/>
  <c r="H423" i="4" s="1"/>
  <c r="B429" i="3"/>
  <c r="D429" i="3" s="1"/>
  <c r="E429" i="3"/>
  <c r="C429" i="3"/>
  <c r="N425" i="4"/>
  <c r="J425" i="4"/>
  <c r="K425" i="4"/>
  <c r="L425" i="4" s="1"/>
  <c r="M425" i="4" s="1"/>
  <c r="G425" i="4"/>
  <c r="H425" i="4" s="1"/>
  <c r="B431" i="3"/>
  <c r="D431" i="3" s="1"/>
  <c r="E431" i="3"/>
  <c r="C431" i="3"/>
  <c r="N427" i="4"/>
  <c r="J427" i="4"/>
  <c r="K427" i="4" s="1"/>
  <c r="L427" i="4" s="1"/>
  <c r="M427" i="4" s="1"/>
  <c r="G427" i="4"/>
  <c r="H427" i="4" s="1"/>
  <c r="B433" i="3"/>
  <c r="D433" i="3" s="1"/>
  <c r="E433" i="3"/>
  <c r="C433" i="3"/>
  <c r="N429" i="4"/>
  <c r="J429" i="4"/>
  <c r="K429" i="4"/>
  <c r="L429" i="4" s="1"/>
  <c r="M429" i="4" s="1"/>
  <c r="G429" i="4"/>
  <c r="H429" i="4" s="1"/>
  <c r="B435" i="3"/>
  <c r="D435" i="3" s="1"/>
  <c r="E435" i="3"/>
  <c r="C435" i="3"/>
  <c r="N431" i="4"/>
  <c r="J431" i="4"/>
  <c r="K431" i="4" s="1"/>
  <c r="L431" i="4" s="1"/>
  <c r="M431" i="4" s="1"/>
  <c r="G431" i="4"/>
  <c r="H431" i="4" s="1"/>
  <c r="B437" i="3"/>
  <c r="D437" i="3" s="1"/>
  <c r="E437" i="3"/>
  <c r="C437" i="3"/>
  <c r="N433" i="4"/>
  <c r="J433" i="4"/>
  <c r="K433" i="4"/>
  <c r="L433" i="4" s="1"/>
  <c r="M433" i="4" s="1"/>
  <c r="G433" i="4"/>
  <c r="H433" i="4" s="1"/>
  <c r="B439" i="3"/>
  <c r="D439" i="3" s="1"/>
  <c r="E439" i="3"/>
  <c r="C439" i="3"/>
  <c r="N435" i="4"/>
  <c r="J435" i="4"/>
  <c r="K435" i="4" s="1"/>
  <c r="L435" i="4" s="1"/>
  <c r="M435" i="4" s="1"/>
  <c r="G435" i="4"/>
  <c r="H435" i="4" s="1"/>
  <c r="B441" i="3"/>
  <c r="D441" i="3" s="1"/>
  <c r="E441" i="3"/>
  <c r="C441" i="3"/>
  <c r="N437" i="4"/>
  <c r="J437" i="4"/>
  <c r="K437" i="4"/>
  <c r="L437" i="4" s="1"/>
  <c r="M437" i="4" s="1"/>
  <c r="G437" i="4"/>
  <c r="H437" i="4" s="1"/>
  <c r="B443" i="3"/>
  <c r="D443" i="3" s="1"/>
  <c r="E443" i="3"/>
  <c r="C443" i="3"/>
  <c r="N439" i="4"/>
  <c r="J439" i="4"/>
  <c r="K439" i="4" s="1"/>
  <c r="L439" i="4" s="1"/>
  <c r="M439" i="4" s="1"/>
  <c r="G439" i="4"/>
  <c r="H439" i="4" s="1"/>
  <c r="B445" i="3"/>
  <c r="D445" i="3" s="1"/>
  <c r="E445" i="3"/>
  <c r="C445" i="3"/>
  <c r="N441" i="4"/>
  <c r="J441" i="4"/>
  <c r="K441" i="4"/>
  <c r="L441" i="4" s="1"/>
  <c r="M441" i="4" s="1"/>
  <c r="G441" i="4"/>
  <c r="H441" i="4" s="1"/>
  <c r="B447" i="3"/>
  <c r="D447" i="3" s="1"/>
  <c r="E447" i="3"/>
  <c r="C447" i="3"/>
  <c r="N443" i="4"/>
  <c r="J443" i="4"/>
  <c r="K443" i="4" s="1"/>
  <c r="L443" i="4" s="1"/>
  <c r="M443" i="4" s="1"/>
  <c r="G443" i="4"/>
  <c r="H443" i="4" s="1"/>
  <c r="B449" i="3"/>
  <c r="D449" i="3" s="1"/>
  <c r="E449" i="3"/>
  <c r="C449" i="3"/>
  <c r="N445" i="4"/>
  <c r="J445" i="4"/>
  <c r="K445" i="4"/>
  <c r="L445" i="4" s="1"/>
  <c r="M445" i="4" s="1"/>
  <c r="G445" i="4"/>
  <c r="H445" i="4" s="1"/>
  <c r="B451" i="3"/>
  <c r="D451" i="3" s="1"/>
  <c r="E451" i="3"/>
  <c r="C451" i="3"/>
  <c r="N447" i="4"/>
  <c r="J447" i="4"/>
  <c r="K447" i="4" s="1"/>
  <c r="L447" i="4" s="1"/>
  <c r="M447" i="4" s="1"/>
  <c r="G447" i="4"/>
  <c r="H447" i="4" s="1"/>
  <c r="B453" i="3"/>
  <c r="D453" i="3" s="1"/>
  <c r="E453" i="3"/>
  <c r="C453" i="3"/>
  <c r="N449" i="4"/>
  <c r="J449" i="4"/>
  <c r="K449" i="4"/>
  <c r="L449" i="4" s="1"/>
  <c r="M449" i="4" s="1"/>
  <c r="G449" i="4"/>
  <c r="H449" i="4" s="1"/>
  <c r="B455" i="3"/>
  <c r="D455" i="3" s="1"/>
  <c r="E455" i="3"/>
  <c r="C455" i="3"/>
  <c r="N451" i="4"/>
  <c r="J451" i="4"/>
  <c r="K451" i="4" s="1"/>
  <c r="L451" i="4" s="1"/>
  <c r="M451" i="4" s="1"/>
  <c r="G451" i="4"/>
  <c r="H451" i="4" s="1"/>
  <c r="B457" i="3"/>
  <c r="D457" i="3" s="1"/>
  <c r="E457" i="3"/>
  <c r="C457" i="3"/>
  <c r="N453" i="4"/>
  <c r="J453" i="4"/>
  <c r="K453" i="4"/>
  <c r="L453" i="4" s="1"/>
  <c r="M453" i="4" s="1"/>
  <c r="G453" i="4"/>
  <c r="H453" i="4" s="1"/>
  <c r="B459" i="3"/>
  <c r="D459" i="3" s="1"/>
  <c r="E459" i="3"/>
  <c r="C459" i="3"/>
  <c r="N455" i="4"/>
  <c r="J455" i="4"/>
  <c r="K455" i="4" s="1"/>
  <c r="L455" i="4" s="1"/>
  <c r="M455" i="4" s="1"/>
  <c r="G455" i="4"/>
  <c r="H455" i="4" s="1"/>
  <c r="B461" i="3"/>
  <c r="D461" i="3" s="1"/>
  <c r="E461" i="3"/>
  <c r="C461" i="3"/>
  <c r="N457" i="4"/>
  <c r="J457" i="4"/>
  <c r="K457" i="4"/>
  <c r="L457" i="4" s="1"/>
  <c r="M457" i="4" s="1"/>
  <c r="G457" i="4"/>
  <c r="H457" i="4" s="1"/>
  <c r="B463" i="3"/>
  <c r="D463" i="3" s="1"/>
  <c r="E463" i="3"/>
  <c r="C463" i="3"/>
  <c r="N459" i="4"/>
  <c r="J459" i="4"/>
  <c r="K459" i="4" s="1"/>
  <c r="L459" i="4" s="1"/>
  <c r="M459" i="4" s="1"/>
  <c r="G459" i="4"/>
  <c r="H459" i="4" s="1"/>
  <c r="B465" i="3"/>
  <c r="D465" i="3" s="1"/>
  <c r="E465" i="3"/>
  <c r="C465" i="3"/>
  <c r="N461" i="4"/>
  <c r="J461" i="4"/>
  <c r="K461" i="4"/>
  <c r="L461" i="4" s="1"/>
  <c r="M461" i="4" s="1"/>
  <c r="G461" i="4"/>
  <c r="H461" i="4" s="1"/>
  <c r="B467" i="3"/>
  <c r="D467" i="3" s="1"/>
  <c r="E467" i="3"/>
  <c r="C467" i="3"/>
  <c r="N463" i="4"/>
  <c r="J463" i="4"/>
  <c r="K463" i="4" s="1"/>
  <c r="L463" i="4" s="1"/>
  <c r="M463" i="4" s="1"/>
  <c r="G463" i="4"/>
  <c r="H463" i="4" s="1"/>
  <c r="B469" i="3"/>
  <c r="D469" i="3" s="1"/>
  <c r="E469" i="3"/>
  <c r="C469" i="3"/>
  <c r="N465" i="4"/>
  <c r="J465" i="4"/>
  <c r="K465" i="4"/>
  <c r="L465" i="4" s="1"/>
  <c r="M465" i="4" s="1"/>
  <c r="G465" i="4"/>
  <c r="H465" i="4" s="1"/>
  <c r="B471" i="3"/>
  <c r="D471" i="3" s="1"/>
  <c r="E471" i="3"/>
  <c r="C471" i="3"/>
  <c r="N467" i="4"/>
  <c r="J467" i="4"/>
  <c r="K467" i="4" s="1"/>
  <c r="L467" i="4" s="1"/>
  <c r="M467" i="4" s="1"/>
  <c r="G467" i="4"/>
  <c r="H467" i="4" s="1"/>
  <c r="B473" i="3"/>
  <c r="D473" i="3" s="1"/>
  <c r="E473" i="3"/>
  <c r="C473" i="3"/>
  <c r="N469" i="4"/>
  <c r="J469" i="4"/>
  <c r="K469" i="4"/>
  <c r="L469" i="4" s="1"/>
  <c r="M469" i="4" s="1"/>
  <c r="G469" i="4"/>
  <c r="H469" i="4" s="1"/>
  <c r="B475" i="3"/>
  <c r="D475" i="3" s="1"/>
  <c r="E475" i="3"/>
  <c r="C475" i="3"/>
  <c r="N471" i="4"/>
  <c r="J471" i="4"/>
  <c r="K471" i="4" s="1"/>
  <c r="L471" i="4" s="1"/>
  <c r="M471" i="4" s="1"/>
  <c r="G471" i="4"/>
  <c r="H471" i="4" s="1"/>
  <c r="B477" i="3"/>
  <c r="D477" i="3" s="1"/>
  <c r="E477" i="3"/>
  <c r="C477" i="3"/>
  <c r="N473" i="4"/>
  <c r="J473" i="4"/>
  <c r="K473" i="4"/>
  <c r="L473" i="4" s="1"/>
  <c r="M473" i="4" s="1"/>
  <c r="G473" i="4"/>
  <c r="H473" i="4" s="1"/>
  <c r="B479" i="3"/>
  <c r="D479" i="3" s="1"/>
  <c r="E479" i="3"/>
  <c r="C479" i="3"/>
  <c r="N475" i="4"/>
  <c r="J475" i="4"/>
  <c r="K475" i="4" s="1"/>
  <c r="L475" i="4" s="1"/>
  <c r="M475" i="4" s="1"/>
  <c r="G475" i="4"/>
  <c r="H475" i="4" s="1"/>
  <c r="B481" i="3"/>
  <c r="D481" i="3" s="1"/>
  <c r="E481" i="3"/>
  <c r="C481" i="3"/>
  <c r="N477" i="4"/>
  <c r="J477" i="4"/>
  <c r="K477" i="4"/>
  <c r="L477" i="4" s="1"/>
  <c r="M477" i="4" s="1"/>
  <c r="G477" i="4"/>
  <c r="H477" i="4" s="1"/>
  <c r="B483" i="3"/>
  <c r="D483" i="3" s="1"/>
  <c r="E483" i="3"/>
  <c r="C483" i="3"/>
  <c r="N479" i="4"/>
  <c r="J479" i="4"/>
  <c r="K479" i="4" s="1"/>
  <c r="L479" i="4" s="1"/>
  <c r="M479" i="4" s="1"/>
  <c r="G479" i="4"/>
  <c r="H479" i="4" s="1"/>
  <c r="B485" i="3"/>
  <c r="D485" i="3" s="1"/>
  <c r="E485" i="3"/>
  <c r="C485" i="3"/>
  <c r="N481" i="4"/>
  <c r="J481" i="4"/>
  <c r="K481" i="4"/>
  <c r="L481" i="4" s="1"/>
  <c r="M481" i="4" s="1"/>
  <c r="G481" i="4"/>
  <c r="H481" i="4" s="1"/>
  <c r="B487" i="3"/>
  <c r="D487" i="3" s="1"/>
  <c r="E487" i="3"/>
  <c r="C487" i="3"/>
  <c r="N483" i="4"/>
  <c r="J483" i="4"/>
  <c r="K483" i="4" s="1"/>
  <c r="L483" i="4" s="1"/>
  <c r="M483" i="4" s="1"/>
  <c r="G483" i="4"/>
  <c r="H483" i="4" s="1"/>
  <c r="B489" i="3"/>
  <c r="D489" i="3" s="1"/>
  <c r="E489" i="3"/>
  <c r="C489" i="3"/>
  <c r="N485" i="4"/>
  <c r="J485" i="4"/>
  <c r="K485" i="4"/>
  <c r="L485" i="4" s="1"/>
  <c r="M485" i="4" s="1"/>
  <c r="G485" i="4"/>
  <c r="H485" i="4" s="1"/>
  <c r="B491" i="3"/>
  <c r="D491" i="3" s="1"/>
  <c r="E491" i="3"/>
  <c r="C491" i="3"/>
  <c r="N487" i="4"/>
  <c r="J487" i="4"/>
  <c r="K487" i="4" s="1"/>
  <c r="L487" i="4" s="1"/>
  <c r="M487" i="4" s="1"/>
  <c r="G487" i="4"/>
  <c r="H487" i="4" s="1"/>
  <c r="B493" i="3"/>
  <c r="D493" i="3" s="1"/>
  <c r="E493" i="3"/>
  <c r="C493" i="3"/>
  <c r="N489" i="4"/>
  <c r="J489" i="4"/>
  <c r="K489" i="4"/>
  <c r="L489" i="4" s="1"/>
  <c r="M489" i="4" s="1"/>
  <c r="G489" i="4"/>
  <c r="H489" i="4" s="1"/>
  <c r="B495" i="3"/>
  <c r="D495" i="3" s="1"/>
  <c r="E495" i="3"/>
  <c r="C495" i="3"/>
  <c r="N491" i="4"/>
  <c r="J491" i="4"/>
  <c r="K491" i="4" s="1"/>
  <c r="L491" i="4" s="1"/>
  <c r="M491" i="4" s="1"/>
  <c r="G491" i="4"/>
  <c r="H491" i="4" s="1"/>
  <c r="B497" i="3"/>
  <c r="D497" i="3" s="1"/>
  <c r="E497" i="3"/>
  <c r="C497" i="3"/>
  <c r="N493" i="4"/>
  <c r="J493" i="4"/>
  <c r="K493" i="4"/>
  <c r="L493" i="4" s="1"/>
  <c r="M493" i="4" s="1"/>
  <c r="G493" i="4"/>
  <c r="H493" i="4" s="1"/>
  <c r="B499" i="3"/>
  <c r="D499" i="3" s="1"/>
  <c r="E499" i="3"/>
  <c r="C499" i="3"/>
  <c r="N495" i="4"/>
  <c r="J495" i="4"/>
  <c r="K495" i="4" s="1"/>
  <c r="L495" i="4" s="1"/>
  <c r="M495" i="4" s="1"/>
  <c r="G495" i="4"/>
  <c r="H495" i="4" s="1"/>
  <c r="B501" i="3"/>
  <c r="D501" i="3" s="1"/>
  <c r="E501" i="3"/>
  <c r="C501" i="3"/>
  <c r="N497" i="4"/>
  <c r="J497" i="4"/>
  <c r="K497" i="4"/>
  <c r="L497" i="4" s="1"/>
  <c r="M497" i="4" s="1"/>
  <c r="G497" i="4"/>
  <c r="H497" i="4" s="1"/>
  <c r="B503" i="3"/>
  <c r="D503" i="3" s="1"/>
  <c r="E503" i="3"/>
  <c r="C503" i="3"/>
  <c r="N499" i="4"/>
  <c r="J499" i="4"/>
  <c r="K499" i="4" s="1"/>
  <c r="L499" i="4" s="1"/>
  <c r="M499" i="4" s="1"/>
  <c r="G499" i="4"/>
  <c r="H499" i="4" s="1"/>
  <c r="B505" i="3"/>
  <c r="D505" i="3" s="1"/>
  <c r="E505" i="3"/>
  <c r="C505" i="3"/>
  <c r="N501" i="4"/>
  <c r="J501" i="4"/>
  <c r="K501" i="4"/>
  <c r="L501" i="4" s="1"/>
  <c r="M501" i="4" s="1"/>
  <c r="G501" i="4"/>
  <c r="H501" i="4" s="1"/>
  <c r="B507" i="3"/>
  <c r="D507" i="3" s="1"/>
  <c r="E507" i="3"/>
  <c r="C507" i="3"/>
  <c r="N503" i="4"/>
  <c r="J503" i="4"/>
  <c r="K503" i="4" s="1"/>
  <c r="L503" i="4" s="1"/>
  <c r="M503" i="4" s="1"/>
  <c r="G503" i="4"/>
  <c r="H503" i="4" s="1"/>
  <c r="B509" i="3"/>
  <c r="D509" i="3" s="1"/>
  <c r="E509" i="3"/>
  <c r="C509" i="3"/>
  <c r="N505" i="4"/>
  <c r="J505" i="4"/>
  <c r="K505" i="4"/>
  <c r="L505" i="4" s="1"/>
  <c r="M505" i="4" s="1"/>
  <c r="G505" i="4"/>
  <c r="H505" i="4" s="1"/>
  <c r="B511" i="3"/>
  <c r="D511" i="3" s="1"/>
  <c r="E511" i="3"/>
  <c r="C511" i="3"/>
  <c r="N507" i="4"/>
  <c r="J507" i="4"/>
  <c r="K507" i="4" s="1"/>
  <c r="L507" i="4" s="1"/>
  <c r="M507" i="4" s="1"/>
  <c r="G507" i="4"/>
  <c r="H507" i="4" s="1"/>
  <c r="B513" i="3"/>
  <c r="D513" i="3" s="1"/>
  <c r="E513" i="3"/>
  <c r="C513" i="3"/>
  <c r="N509" i="4"/>
  <c r="J509" i="4"/>
  <c r="K509" i="4"/>
  <c r="L509" i="4" s="1"/>
  <c r="M509" i="4" s="1"/>
  <c r="G509" i="4"/>
  <c r="H509" i="4" s="1"/>
  <c r="B515" i="3"/>
  <c r="D515" i="3" s="1"/>
  <c r="E515" i="3"/>
  <c r="C515" i="3"/>
  <c r="N511" i="4"/>
  <c r="J511" i="4"/>
  <c r="K511" i="4" s="1"/>
  <c r="L511" i="4" s="1"/>
  <c r="M511" i="4" s="1"/>
  <c r="G511" i="4"/>
  <c r="H511" i="4" s="1"/>
  <c r="B517" i="3"/>
  <c r="D517" i="3" s="1"/>
  <c r="E517" i="3"/>
  <c r="C517" i="3"/>
  <c r="N513" i="4"/>
  <c r="J513" i="4"/>
  <c r="K513" i="4"/>
  <c r="L513" i="4" s="1"/>
  <c r="M513" i="4" s="1"/>
  <c r="G513" i="4"/>
  <c r="H513" i="4" s="1"/>
  <c r="B519" i="3"/>
  <c r="D519" i="3" s="1"/>
  <c r="E519" i="3"/>
  <c r="C519" i="3"/>
  <c r="N515" i="4"/>
  <c r="J515" i="4"/>
  <c r="K515" i="4" s="1"/>
  <c r="L515" i="4" s="1"/>
  <c r="M515" i="4" s="1"/>
  <c r="G515" i="4"/>
  <c r="H515" i="4" s="1"/>
  <c r="B521" i="3"/>
  <c r="D521" i="3" s="1"/>
  <c r="E521" i="3"/>
  <c r="C521" i="3"/>
  <c r="N517" i="4"/>
  <c r="J517" i="4"/>
  <c r="K517" i="4"/>
  <c r="L517" i="4" s="1"/>
  <c r="M517" i="4" s="1"/>
  <c r="G517" i="4"/>
  <c r="H517" i="4" s="1"/>
  <c r="B523" i="3"/>
  <c r="D523" i="3" s="1"/>
  <c r="E523" i="3"/>
  <c r="C523" i="3"/>
  <c r="N519" i="4"/>
  <c r="J519" i="4"/>
  <c r="K519" i="4" s="1"/>
  <c r="L519" i="4" s="1"/>
  <c r="M519" i="4" s="1"/>
  <c r="G519" i="4"/>
  <c r="H519" i="4" s="1"/>
  <c r="B525" i="3"/>
  <c r="D525" i="3" s="1"/>
  <c r="E525" i="3"/>
  <c r="C525" i="3"/>
  <c r="N521" i="4"/>
  <c r="J521" i="4"/>
  <c r="K521" i="4"/>
  <c r="L521" i="4" s="1"/>
  <c r="M521" i="4" s="1"/>
  <c r="G521" i="4"/>
  <c r="H521" i="4" s="1"/>
  <c r="B527" i="3"/>
  <c r="D527" i="3" s="1"/>
  <c r="E527" i="3"/>
  <c r="C527" i="3"/>
  <c r="N523" i="4"/>
  <c r="J523" i="4"/>
  <c r="K523" i="4" s="1"/>
  <c r="L523" i="4" s="1"/>
  <c r="M523" i="4" s="1"/>
  <c r="G523" i="4"/>
  <c r="H523" i="4" s="1"/>
  <c r="B529" i="3"/>
  <c r="D529" i="3" s="1"/>
  <c r="E529" i="3"/>
  <c r="C529" i="3"/>
  <c r="N525" i="4"/>
  <c r="J525" i="4"/>
  <c r="K525" i="4"/>
  <c r="L525" i="4" s="1"/>
  <c r="M525" i="4" s="1"/>
  <c r="G525" i="4"/>
  <c r="H525" i="4" s="1"/>
  <c r="B531" i="3"/>
  <c r="D531" i="3" s="1"/>
  <c r="E531" i="3"/>
  <c r="C531" i="3"/>
  <c r="N527" i="4"/>
  <c r="J527" i="4"/>
  <c r="K527" i="4" s="1"/>
  <c r="L527" i="4" s="1"/>
  <c r="M527" i="4" s="1"/>
  <c r="G527" i="4"/>
  <c r="H527" i="4" s="1"/>
  <c r="B533" i="3"/>
  <c r="D533" i="3" s="1"/>
  <c r="E533" i="3"/>
  <c r="C533" i="3"/>
  <c r="N529" i="4"/>
  <c r="J529" i="4"/>
  <c r="K529" i="4"/>
  <c r="L529" i="4" s="1"/>
  <c r="M529" i="4" s="1"/>
  <c r="G529" i="4"/>
  <c r="H529" i="4" s="1"/>
  <c r="B535" i="3"/>
  <c r="D535" i="3" s="1"/>
  <c r="E535" i="3"/>
  <c r="C535" i="3"/>
  <c r="N531" i="4"/>
  <c r="J531" i="4"/>
  <c r="K531" i="4" s="1"/>
  <c r="L531" i="4" s="1"/>
  <c r="M531" i="4" s="1"/>
  <c r="G531" i="4"/>
  <c r="H531" i="4" s="1"/>
  <c r="B537" i="3"/>
  <c r="D537" i="3" s="1"/>
  <c r="E537" i="3"/>
  <c r="C537" i="3"/>
  <c r="N533" i="4"/>
  <c r="J533" i="4"/>
  <c r="K533" i="4"/>
  <c r="L533" i="4" s="1"/>
  <c r="M533" i="4" s="1"/>
  <c r="G533" i="4"/>
  <c r="H533" i="4" s="1"/>
  <c r="B539" i="3"/>
  <c r="D539" i="3" s="1"/>
  <c r="E539" i="3"/>
  <c r="C539" i="3"/>
  <c r="N535" i="4"/>
  <c r="J535" i="4"/>
  <c r="K535" i="4" s="1"/>
  <c r="L535" i="4" s="1"/>
  <c r="M535" i="4" s="1"/>
  <c r="G535" i="4"/>
  <c r="H535" i="4" s="1"/>
  <c r="B541" i="3"/>
  <c r="D541" i="3" s="1"/>
  <c r="E541" i="3"/>
  <c r="C541" i="3"/>
  <c r="N537" i="4"/>
  <c r="J537" i="4"/>
  <c r="K537" i="4"/>
  <c r="L537" i="4" s="1"/>
  <c r="M537" i="4" s="1"/>
  <c r="G537" i="4"/>
  <c r="H537" i="4" s="1"/>
  <c r="B543" i="3"/>
  <c r="D543" i="3" s="1"/>
  <c r="E543" i="3"/>
  <c r="C543" i="3"/>
  <c r="N539" i="4"/>
  <c r="J539" i="4"/>
  <c r="K539" i="4" s="1"/>
  <c r="L539" i="4" s="1"/>
  <c r="M539" i="4" s="1"/>
  <c r="G539" i="4"/>
  <c r="H539" i="4" s="1"/>
  <c r="B545" i="3"/>
  <c r="D545" i="3" s="1"/>
  <c r="E545" i="3"/>
  <c r="C545" i="3"/>
  <c r="N541" i="4"/>
  <c r="J541" i="4"/>
  <c r="K541" i="4"/>
  <c r="L541" i="4" s="1"/>
  <c r="M541" i="4" s="1"/>
  <c r="G541" i="4"/>
  <c r="H541" i="4" s="1"/>
  <c r="B547" i="3"/>
  <c r="D547" i="3" s="1"/>
  <c r="E547" i="3"/>
  <c r="C547" i="3"/>
  <c r="N543" i="4"/>
  <c r="J543" i="4"/>
  <c r="K543" i="4" s="1"/>
  <c r="L543" i="4" s="1"/>
  <c r="M543" i="4" s="1"/>
  <c r="G543" i="4"/>
  <c r="H543" i="4" s="1"/>
  <c r="B549" i="3"/>
  <c r="D549" i="3" s="1"/>
  <c r="E549" i="3"/>
  <c r="C549" i="3"/>
  <c r="N545" i="4"/>
  <c r="J545" i="4"/>
  <c r="K545" i="4"/>
  <c r="L545" i="4" s="1"/>
  <c r="M545" i="4" s="1"/>
  <c r="G545" i="4"/>
  <c r="H545" i="4" s="1"/>
  <c r="B551" i="3"/>
  <c r="D551" i="3" s="1"/>
  <c r="E551" i="3"/>
  <c r="C551" i="3"/>
  <c r="N547" i="4"/>
  <c r="J547" i="4"/>
  <c r="K547" i="4" s="1"/>
  <c r="L547" i="4" s="1"/>
  <c r="M547" i="4" s="1"/>
  <c r="G547" i="4"/>
  <c r="H547" i="4" s="1"/>
  <c r="B553" i="3"/>
  <c r="D553" i="3" s="1"/>
  <c r="E553" i="3"/>
  <c r="C553" i="3"/>
  <c r="N549" i="4"/>
  <c r="J549" i="4"/>
  <c r="K549" i="4"/>
  <c r="L549" i="4" s="1"/>
  <c r="M549" i="4" s="1"/>
  <c r="G549" i="4"/>
  <c r="H549" i="4" s="1"/>
  <c r="B555" i="3"/>
  <c r="D555" i="3" s="1"/>
  <c r="E555" i="3"/>
  <c r="C555" i="3"/>
  <c r="N551" i="4"/>
  <c r="J551" i="4"/>
  <c r="K551" i="4" s="1"/>
  <c r="L551" i="4" s="1"/>
  <c r="M551" i="4" s="1"/>
  <c r="G551" i="4"/>
  <c r="H551" i="4" s="1"/>
  <c r="B557" i="3"/>
  <c r="D557" i="3" s="1"/>
  <c r="E557" i="3"/>
  <c r="C557" i="3"/>
  <c r="N553" i="4"/>
  <c r="J553" i="4"/>
  <c r="K553" i="4"/>
  <c r="L553" i="4" s="1"/>
  <c r="M553" i="4" s="1"/>
  <c r="G553" i="4"/>
  <c r="H553" i="4" s="1"/>
  <c r="B559" i="3"/>
  <c r="D559" i="3" s="1"/>
  <c r="E559" i="3"/>
  <c r="C559" i="3"/>
  <c r="N555" i="4"/>
  <c r="J555" i="4"/>
  <c r="K555" i="4" s="1"/>
  <c r="L555" i="4" s="1"/>
  <c r="M555" i="4" s="1"/>
  <c r="G555" i="4"/>
  <c r="H555" i="4" s="1"/>
  <c r="B561" i="3"/>
  <c r="D561" i="3" s="1"/>
  <c r="E561" i="3"/>
  <c r="C561" i="3"/>
  <c r="N557" i="4"/>
  <c r="J557" i="4"/>
  <c r="K557" i="4"/>
  <c r="L557" i="4" s="1"/>
  <c r="M557" i="4" s="1"/>
  <c r="G557" i="4"/>
  <c r="H557" i="4" s="1"/>
  <c r="B563" i="3"/>
  <c r="D563" i="3" s="1"/>
  <c r="E563" i="3"/>
  <c r="C563" i="3"/>
  <c r="N559" i="4"/>
  <c r="J559" i="4"/>
  <c r="K559" i="4" s="1"/>
  <c r="L559" i="4" s="1"/>
  <c r="M559" i="4" s="1"/>
  <c r="G559" i="4"/>
  <c r="H559" i="4" s="1"/>
  <c r="B565" i="3"/>
  <c r="D565" i="3" s="1"/>
  <c r="E565" i="3"/>
  <c r="C565" i="3"/>
  <c r="N561" i="4"/>
  <c r="J561" i="4"/>
  <c r="K561" i="4"/>
  <c r="L561" i="4" s="1"/>
  <c r="M561" i="4" s="1"/>
  <c r="G561" i="4"/>
  <c r="H561" i="4" s="1"/>
  <c r="B567" i="3"/>
  <c r="D567" i="3" s="1"/>
  <c r="E567" i="3"/>
  <c r="C567" i="3"/>
  <c r="N563" i="4"/>
  <c r="J563" i="4"/>
  <c r="K563" i="4" s="1"/>
  <c r="L563" i="4" s="1"/>
  <c r="M563" i="4" s="1"/>
  <c r="G563" i="4"/>
  <c r="H563" i="4" s="1"/>
  <c r="B569" i="3"/>
  <c r="D569" i="3" s="1"/>
  <c r="E569" i="3"/>
  <c r="C569" i="3"/>
  <c r="N565" i="4"/>
  <c r="J565" i="4"/>
  <c r="K565" i="4"/>
  <c r="L565" i="4" s="1"/>
  <c r="M565" i="4" s="1"/>
  <c r="G565" i="4"/>
  <c r="H565" i="4" s="1"/>
  <c r="E570" i="3"/>
  <c r="B570" i="3"/>
  <c r="D570" i="3" s="1"/>
  <c r="I566" i="4"/>
  <c r="G566" i="4"/>
  <c r="N566" i="4"/>
  <c r="J566" i="4"/>
  <c r="K566" i="4" s="1"/>
  <c r="L566" i="4" s="1"/>
  <c r="M566" i="4" s="1"/>
  <c r="H566" i="4"/>
  <c r="B571" i="3"/>
  <c r="D571" i="3" s="1"/>
  <c r="E571" i="3"/>
  <c r="C571" i="3"/>
  <c r="N567" i="4"/>
  <c r="J567" i="4"/>
  <c r="K567" i="4"/>
  <c r="L567" i="4" s="1"/>
  <c r="M567" i="4" s="1"/>
  <c r="G567" i="4"/>
  <c r="H567" i="4" s="1"/>
  <c r="E572" i="3"/>
  <c r="B572" i="3"/>
  <c r="D572" i="3" s="1"/>
  <c r="I568" i="4"/>
  <c r="G568" i="4"/>
  <c r="N568" i="4"/>
  <c r="J568" i="4"/>
  <c r="K568" i="4" s="1"/>
  <c r="L568" i="4" s="1"/>
  <c r="M568" i="4" s="1"/>
  <c r="H568" i="4"/>
  <c r="B573" i="3"/>
  <c r="D573" i="3" s="1"/>
  <c r="E573" i="3"/>
  <c r="C573" i="3"/>
  <c r="N569" i="4"/>
  <c r="J569" i="4"/>
  <c r="K569" i="4"/>
  <c r="L569" i="4" s="1"/>
  <c r="M569" i="4" s="1"/>
  <c r="G569" i="4"/>
  <c r="H569" i="4" s="1"/>
  <c r="E574" i="3"/>
  <c r="B574" i="3"/>
  <c r="D574" i="3" s="1"/>
  <c r="I570" i="4"/>
  <c r="G570" i="4"/>
  <c r="N570" i="4"/>
  <c r="J570" i="4"/>
  <c r="K570" i="4" s="1"/>
  <c r="L570" i="4" s="1"/>
  <c r="M570" i="4" s="1"/>
  <c r="H570" i="4"/>
  <c r="B575" i="3"/>
  <c r="D575" i="3" s="1"/>
  <c r="E575" i="3"/>
  <c r="C575" i="3"/>
  <c r="N571" i="4"/>
  <c r="J571" i="4"/>
  <c r="K571" i="4"/>
  <c r="L571" i="4" s="1"/>
  <c r="M571" i="4" s="1"/>
  <c r="G571" i="4"/>
  <c r="H571" i="4" s="1"/>
  <c r="E576" i="3"/>
  <c r="B576" i="3"/>
  <c r="D576" i="3" s="1"/>
  <c r="I572" i="4"/>
  <c r="G572" i="4"/>
  <c r="N572" i="4"/>
  <c r="J572" i="4"/>
  <c r="K572" i="4" s="1"/>
  <c r="L572" i="4" s="1"/>
  <c r="M572" i="4" s="1"/>
  <c r="H572" i="4"/>
  <c r="B577" i="3"/>
  <c r="D577" i="3" s="1"/>
  <c r="E577" i="3"/>
  <c r="C577" i="3"/>
  <c r="N573" i="4"/>
  <c r="J573" i="4"/>
  <c r="K573" i="4"/>
  <c r="L573" i="4" s="1"/>
  <c r="M573" i="4" s="1"/>
  <c r="G573" i="4"/>
  <c r="H573" i="4" s="1"/>
  <c r="E578" i="3"/>
  <c r="B578" i="3"/>
  <c r="D578" i="3" s="1"/>
  <c r="I574" i="4"/>
  <c r="G574" i="4"/>
  <c r="N574" i="4"/>
  <c r="J574" i="4"/>
  <c r="K574" i="4" s="1"/>
  <c r="L574" i="4" s="1"/>
  <c r="M574" i="4" s="1"/>
  <c r="H574" i="4"/>
  <c r="B579" i="3"/>
  <c r="D579" i="3" s="1"/>
  <c r="E579" i="3"/>
  <c r="C579" i="3"/>
  <c r="N575" i="4"/>
  <c r="J575" i="4"/>
  <c r="K575" i="4"/>
  <c r="L575" i="4" s="1"/>
  <c r="M575" i="4" s="1"/>
  <c r="G575" i="4"/>
  <c r="H575" i="4" s="1"/>
  <c r="E580" i="3"/>
  <c r="B580" i="3"/>
  <c r="D580" i="3" s="1"/>
  <c r="I576" i="4"/>
  <c r="G576" i="4"/>
  <c r="N576" i="4"/>
  <c r="J576" i="4"/>
  <c r="K576" i="4" s="1"/>
  <c r="L576" i="4" s="1"/>
  <c r="M576" i="4" s="1"/>
  <c r="H576" i="4"/>
  <c r="B581" i="3"/>
  <c r="D581" i="3" s="1"/>
  <c r="E581" i="3"/>
  <c r="C581" i="3"/>
  <c r="N577" i="4"/>
  <c r="J577" i="4"/>
  <c r="K577" i="4"/>
  <c r="L577" i="4" s="1"/>
  <c r="M577" i="4" s="1"/>
  <c r="G577" i="4"/>
  <c r="H577" i="4" s="1"/>
  <c r="E582" i="3"/>
  <c r="B582" i="3"/>
  <c r="D582" i="3" s="1"/>
  <c r="I578" i="4"/>
  <c r="G578" i="4"/>
  <c r="N578" i="4"/>
  <c r="J578" i="4"/>
  <c r="K578" i="4" s="1"/>
  <c r="L578" i="4" s="1"/>
  <c r="M578" i="4" s="1"/>
  <c r="H578" i="4"/>
  <c r="B583" i="3"/>
  <c r="D583" i="3" s="1"/>
  <c r="E583" i="3"/>
  <c r="C583" i="3"/>
  <c r="N579" i="4"/>
  <c r="J579" i="4"/>
  <c r="K579" i="4"/>
  <c r="L579" i="4" s="1"/>
  <c r="M579" i="4" s="1"/>
  <c r="G579" i="4"/>
  <c r="H579" i="4" s="1"/>
  <c r="E584" i="3"/>
  <c r="B584" i="3"/>
  <c r="D584" i="3" s="1"/>
  <c r="I580" i="4"/>
  <c r="G580" i="4"/>
  <c r="N580" i="4"/>
  <c r="J580" i="4"/>
  <c r="K580" i="4" s="1"/>
  <c r="L580" i="4" s="1"/>
  <c r="M580" i="4" s="1"/>
  <c r="H580" i="4"/>
  <c r="B585" i="3"/>
  <c r="D585" i="3" s="1"/>
  <c r="E585" i="3"/>
  <c r="C585" i="3"/>
  <c r="N581" i="4"/>
  <c r="J581" i="4"/>
  <c r="K581" i="4"/>
  <c r="L581" i="4" s="1"/>
  <c r="M581" i="4" s="1"/>
  <c r="G581" i="4"/>
  <c r="H581" i="4" s="1"/>
  <c r="E586" i="3"/>
  <c r="B586" i="3"/>
  <c r="D586" i="3" s="1"/>
  <c r="I582" i="4"/>
  <c r="G582" i="4"/>
  <c r="N582" i="4"/>
  <c r="J582" i="4"/>
  <c r="K582" i="4" s="1"/>
  <c r="L582" i="4" s="1"/>
  <c r="M582" i="4" s="1"/>
  <c r="H582" i="4"/>
  <c r="B587" i="3"/>
  <c r="D587" i="3" s="1"/>
  <c r="E587" i="3"/>
  <c r="C587" i="3"/>
  <c r="N583" i="4"/>
  <c r="J583" i="4"/>
  <c r="K583" i="4"/>
  <c r="L583" i="4" s="1"/>
  <c r="M583" i="4" s="1"/>
  <c r="G583" i="4"/>
  <c r="H583" i="4" s="1"/>
  <c r="E588" i="3"/>
  <c r="B588" i="3"/>
  <c r="D588" i="3" s="1"/>
  <c r="I584" i="4"/>
  <c r="G584" i="4"/>
  <c r="N584" i="4"/>
  <c r="J584" i="4"/>
  <c r="K584" i="4" s="1"/>
  <c r="L584" i="4" s="1"/>
  <c r="M584" i="4" s="1"/>
  <c r="H584" i="4"/>
  <c r="B589" i="3"/>
  <c r="D589" i="3" s="1"/>
  <c r="E589" i="3"/>
  <c r="C589" i="3"/>
  <c r="N585" i="4"/>
  <c r="J585" i="4"/>
  <c r="K585" i="4"/>
  <c r="L585" i="4" s="1"/>
  <c r="M585" i="4" s="1"/>
  <c r="G585" i="4"/>
  <c r="H585" i="4" s="1"/>
  <c r="E590" i="3"/>
  <c r="B590" i="3"/>
  <c r="D590" i="3" s="1"/>
  <c r="I586" i="4"/>
  <c r="G586" i="4"/>
  <c r="N586" i="4"/>
  <c r="J586" i="4"/>
  <c r="K586" i="4" s="1"/>
  <c r="L586" i="4" s="1"/>
  <c r="M586" i="4" s="1"/>
  <c r="H586" i="4"/>
  <c r="B591" i="3"/>
  <c r="D591" i="3" s="1"/>
  <c r="E591" i="3"/>
  <c r="C591" i="3"/>
  <c r="N587" i="4"/>
  <c r="J587" i="4"/>
  <c r="K587" i="4"/>
  <c r="L587" i="4" s="1"/>
  <c r="M587" i="4" s="1"/>
  <c r="G587" i="4"/>
  <c r="H587" i="4" s="1"/>
  <c r="E592" i="3"/>
  <c r="B592" i="3"/>
  <c r="D592" i="3" s="1"/>
  <c r="I588" i="4"/>
  <c r="G588" i="4"/>
  <c r="N588" i="4"/>
  <c r="J588" i="4"/>
  <c r="K588" i="4" s="1"/>
  <c r="L588" i="4" s="1"/>
  <c r="M588" i="4" s="1"/>
  <c r="H588" i="4"/>
  <c r="B593" i="3"/>
  <c r="D593" i="3" s="1"/>
  <c r="E593" i="3"/>
  <c r="C593" i="3"/>
  <c r="N589" i="4"/>
  <c r="J589" i="4"/>
  <c r="K589" i="4"/>
  <c r="L589" i="4" s="1"/>
  <c r="M589" i="4" s="1"/>
  <c r="G589" i="4"/>
  <c r="H589" i="4" s="1"/>
  <c r="E594" i="3"/>
  <c r="B594" i="3"/>
  <c r="D594" i="3" s="1"/>
  <c r="I590" i="4"/>
  <c r="G590" i="4"/>
  <c r="N590" i="4"/>
  <c r="J590" i="4"/>
  <c r="K590" i="4" s="1"/>
  <c r="L590" i="4" s="1"/>
  <c r="M590" i="4" s="1"/>
  <c r="H590" i="4"/>
  <c r="B595" i="3"/>
  <c r="D595" i="3" s="1"/>
  <c r="E595" i="3"/>
  <c r="C595" i="3"/>
  <c r="N591" i="4"/>
  <c r="J591" i="4"/>
  <c r="K591" i="4"/>
  <c r="L591" i="4" s="1"/>
  <c r="M591" i="4" s="1"/>
  <c r="G591" i="4"/>
  <c r="H591" i="4" s="1"/>
  <c r="E596" i="3"/>
  <c r="B596" i="3"/>
  <c r="D596" i="3" s="1"/>
  <c r="I592" i="4"/>
  <c r="G592" i="4"/>
  <c r="N592" i="4"/>
  <c r="J592" i="4"/>
  <c r="K592" i="4" s="1"/>
  <c r="L592" i="4" s="1"/>
  <c r="M592" i="4" s="1"/>
  <c r="H592" i="4"/>
  <c r="B597" i="3"/>
  <c r="D597" i="3" s="1"/>
  <c r="E597" i="3"/>
  <c r="C597" i="3"/>
  <c r="N593" i="4"/>
  <c r="J593" i="4"/>
  <c r="K593" i="4"/>
  <c r="L593" i="4" s="1"/>
  <c r="M593" i="4" s="1"/>
  <c r="G593" i="4"/>
  <c r="H593" i="4" s="1"/>
  <c r="E598" i="3"/>
  <c r="B598" i="3"/>
  <c r="D598" i="3" s="1"/>
  <c r="I594" i="4"/>
  <c r="G594" i="4"/>
  <c r="N594" i="4"/>
  <c r="J594" i="4"/>
  <c r="K594" i="4" s="1"/>
  <c r="L594" i="4" s="1"/>
  <c r="M594" i="4" s="1"/>
  <c r="H594" i="4"/>
  <c r="B599" i="3"/>
  <c r="D599" i="3" s="1"/>
  <c r="E599" i="3"/>
  <c r="C599" i="3"/>
  <c r="N595" i="4"/>
  <c r="J595" i="4"/>
  <c r="K595" i="4" s="1"/>
  <c r="L595" i="4" s="1"/>
  <c r="M595" i="4" s="1"/>
  <c r="G595" i="4"/>
  <c r="H595" i="4" s="1"/>
  <c r="E600" i="3"/>
  <c r="B600" i="3"/>
  <c r="D600" i="3" s="1"/>
  <c r="N596" i="4"/>
  <c r="J596" i="4"/>
  <c r="K596" i="4" s="1"/>
  <c r="L596" i="4" s="1"/>
  <c r="M596" i="4" s="1"/>
  <c r="G596" i="4"/>
  <c r="H596" i="4" s="1"/>
  <c r="B601" i="3"/>
  <c r="D601" i="3" s="1"/>
  <c r="E601" i="3"/>
  <c r="C601" i="3"/>
  <c r="G597" i="4"/>
  <c r="I597" i="4" s="1"/>
  <c r="N597" i="4"/>
  <c r="J597" i="4"/>
  <c r="K597" i="4" s="1"/>
  <c r="L597" i="4" s="1"/>
  <c r="M597" i="4" s="1"/>
  <c r="E602" i="3"/>
  <c r="B602" i="3"/>
  <c r="D602" i="3" s="1"/>
  <c r="N598" i="4"/>
  <c r="J598" i="4"/>
  <c r="K598" i="4" s="1"/>
  <c r="L598" i="4" s="1"/>
  <c r="M598" i="4" s="1"/>
  <c r="G598" i="4"/>
  <c r="H598" i="4" s="1"/>
  <c r="B603" i="3"/>
  <c r="D603" i="3" s="1"/>
  <c r="E603" i="3"/>
  <c r="C603" i="3"/>
  <c r="I599" i="4"/>
  <c r="G599" i="4"/>
  <c r="H599" i="4"/>
  <c r="N599" i="4"/>
  <c r="J599" i="4"/>
  <c r="K599" i="4" s="1"/>
  <c r="L599" i="4" s="1"/>
  <c r="M599" i="4" s="1"/>
  <c r="E604" i="3"/>
  <c r="B604" i="3"/>
  <c r="D604" i="3" s="1"/>
  <c r="N600" i="4"/>
  <c r="J600" i="4"/>
  <c r="K600" i="4" s="1"/>
  <c r="L600" i="4" s="1"/>
  <c r="M600" i="4" s="1"/>
  <c r="G600" i="4"/>
  <c r="H600" i="4" s="1"/>
  <c r="B605" i="3"/>
  <c r="D605" i="3" s="1"/>
  <c r="E605" i="3"/>
  <c r="C605" i="3"/>
  <c r="G601" i="4"/>
  <c r="I601" i="4" s="1"/>
  <c r="N601" i="4"/>
  <c r="J601" i="4"/>
  <c r="K601" i="4" s="1"/>
  <c r="L601" i="4" s="1"/>
  <c r="M601" i="4" s="1"/>
  <c r="E606" i="3"/>
  <c r="B606" i="3"/>
  <c r="D606" i="3" s="1"/>
  <c r="N602" i="4"/>
  <c r="J602" i="4"/>
  <c r="K602" i="4" s="1"/>
  <c r="L602" i="4" s="1"/>
  <c r="M602" i="4" s="1"/>
  <c r="G602" i="4"/>
  <c r="H602" i="4" s="1"/>
  <c r="B607" i="3"/>
  <c r="D607" i="3" s="1"/>
  <c r="E607" i="3"/>
  <c r="C607" i="3"/>
  <c r="I603" i="4"/>
  <c r="G603" i="4"/>
  <c r="N603" i="4"/>
  <c r="J603" i="4"/>
  <c r="K603" i="4" s="1"/>
  <c r="L603" i="4" s="1"/>
  <c r="M603" i="4" s="1"/>
  <c r="H603" i="4"/>
  <c r="E608" i="3"/>
  <c r="B608" i="3"/>
  <c r="D608" i="3" s="1"/>
  <c r="N604" i="4"/>
  <c r="J604" i="4"/>
  <c r="K604" i="4" s="1"/>
  <c r="L604" i="4" s="1"/>
  <c r="M604" i="4" s="1"/>
  <c r="G604" i="4"/>
  <c r="H604" i="4" s="1"/>
  <c r="B609" i="3"/>
  <c r="D609" i="3" s="1"/>
  <c r="E609" i="3"/>
  <c r="C609" i="3"/>
  <c r="I605" i="4"/>
  <c r="G605" i="4"/>
  <c r="N605" i="4"/>
  <c r="J605" i="4"/>
  <c r="K605" i="4" s="1"/>
  <c r="L605" i="4" s="1"/>
  <c r="M605" i="4" s="1"/>
  <c r="H605" i="4"/>
  <c r="E610" i="3"/>
  <c r="B610" i="3"/>
  <c r="D610" i="3" s="1"/>
  <c r="N606" i="4"/>
  <c r="J606" i="4"/>
  <c r="K606" i="4" s="1"/>
  <c r="L606" i="4" s="1"/>
  <c r="M606" i="4" s="1"/>
  <c r="G606" i="4"/>
  <c r="H606" i="4" s="1"/>
  <c r="B611" i="3"/>
  <c r="D611" i="3" s="1"/>
  <c r="E611" i="3"/>
  <c r="C611" i="3"/>
  <c r="I607" i="4"/>
  <c r="G607" i="4"/>
  <c r="N607" i="4"/>
  <c r="J607" i="4"/>
  <c r="K607" i="4" s="1"/>
  <c r="L607" i="4" s="1"/>
  <c r="M607" i="4" s="1"/>
  <c r="H607" i="4"/>
  <c r="E612" i="3"/>
  <c r="B612" i="3"/>
  <c r="D612" i="3" s="1"/>
  <c r="N608" i="4"/>
  <c r="J608" i="4"/>
  <c r="K608" i="4" s="1"/>
  <c r="L608" i="4" s="1"/>
  <c r="M608" i="4" s="1"/>
  <c r="G608" i="4"/>
  <c r="H608" i="4" s="1"/>
  <c r="B613" i="3"/>
  <c r="D613" i="3" s="1"/>
  <c r="E613" i="3"/>
  <c r="C613" i="3"/>
  <c r="I609" i="4"/>
  <c r="G609" i="4"/>
  <c r="N609" i="4"/>
  <c r="J609" i="4"/>
  <c r="K609" i="4" s="1"/>
  <c r="L609" i="4" s="1"/>
  <c r="M609" i="4" s="1"/>
  <c r="H609" i="4"/>
  <c r="E614" i="3"/>
  <c r="B614" i="3"/>
  <c r="D614" i="3" s="1"/>
  <c r="N610" i="4"/>
  <c r="J610" i="4"/>
  <c r="K610" i="4" s="1"/>
  <c r="L610" i="4" s="1"/>
  <c r="M610" i="4" s="1"/>
  <c r="G610" i="4"/>
  <c r="H610" i="4" s="1"/>
  <c r="B615" i="3"/>
  <c r="D615" i="3" s="1"/>
  <c r="E615" i="3"/>
  <c r="C615" i="3"/>
  <c r="I611" i="4"/>
  <c r="G611" i="4"/>
  <c r="N611" i="4"/>
  <c r="J611" i="4"/>
  <c r="K611" i="4" s="1"/>
  <c r="L611" i="4" s="1"/>
  <c r="M611" i="4" s="1"/>
  <c r="H611" i="4"/>
  <c r="E616" i="3"/>
  <c r="B616" i="3"/>
  <c r="D616" i="3" s="1"/>
  <c r="N612" i="4"/>
  <c r="J612" i="4"/>
  <c r="K612" i="4" s="1"/>
  <c r="L612" i="4" s="1"/>
  <c r="M612" i="4" s="1"/>
  <c r="G612" i="4"/>
  <c r="H612" i="4" s="1"/>
  <c r="B617" i="3"/>
  <c r="D617" i="3" s="1"/>
  <c r="E617" i="3"/>
  <c r="C617" i="3"/>
  <c r="I613" i="4"/>
  <c r="G613" i="4"/>
  <c r="N613" i="4"/>
  <c r="J613" i="4"/>
  <c r="K613" i="4" s="1"/>
  <c r="L613" i="4" s="1"/>
  <c r="M613" i="4" s="1"/>
  <c r="H613" i="4"/>
  <c r="E618" i="3"/>
  <c r="B618" i="3"/>
  <c r="D618" i="3" s="1"/>
  <c r="N614" i="4"/>
  <c r="J614" i="4"/>
  <c r="K614" i="4" s="1"/>
  <c r="L614" i="4" s="1"/>
  <c r="M614" i="4" s="1"/>
  <c r="G614" i="4"/>
  <c r="H614" i="4" s="1"/>
  <c r="B619" i="3"/>
  <c r="D619" i="3" s="1"/>
  <c r="E619" i="3"/>
  <c r="C619" i="3"/>
  <c r="I615" i="4"/>
  <c r="G615" i="4"/>
  <c r="N615" i="4"/>
  <c r="J615" i="4"/>
  <c r="K615" i="4" s="1"/>
  <c r="L615" i="4" s="1"/>
  <c r="M615" i="4" s="1"/>
  <c r="H615" i="4"/>
  <c r="E620" i="3"/>
  <c r="B620" i="3"/>
  <c r="D620" i="3" s="1"/>
  <c r="N616" i="4"/>
  <c r="J616" i="4"/>
  <c r="K616" i="4" s="1"/>
  <c r="L616" i="4" s="1"/>
  <c r="M616" i="4" s="1"/>
  <c r="G616" i="4"/>
  <c r="H616" i="4" s="1"/>
  <c r="B621" i="3"/>
  <c r="D621" i="3" s="1"/>
  <c r="E621" i="3"/>
  <c r="C621" i="3"/>
  <c r="I617" i="4"/>
  <c r="G617" i="4"/>
  <c r="N617" i="4"/>
  <c r="J617" i="4"/>
  <c r="K617" i="4" s="1"/>
  <c r="L617" i="4" s="1"/>
  <c r="M617" i="4" s="1"/>
  <c r="H617" i="4"/>
  <c r="E622" i="3"/>
  <c r="B622" i="3"/>
  <c r="D622" i="3" s="1"/>
  <c r="N618" i="4"/>
  <c r="J618" i="4"/>
  <c r="K618" i="4" s="1"/>
  <c r="L618" i="4" s="1"/>
  <c r="M618" i="4" s="1"/>
  <c r="G618" i="4"/>
  <c r="H618" i="4" s="1"/>
  <c r="B623" i="3"/>
  <c r="D623" i="3" s="1"/>
  <c r="E623" i="3"/>
  <c r="C623" i="3"/>
  <c r="I619" i="4"/>
  <c r="G619" i="4"/>
  <c r="N619" i="4"/>
  <c r="J619" i="4"/>
  <c r="K619" i="4" s="1"/>
  <c r="L619" i="4" s="1"/>
  <c r="M619" i="4" s="1"/>
  <c r="H619" i="4"/>
  <c r="E624" i="3"/>
  <c r="B624" i="3"/>
  <c r="D624" i="3" s="1"/>
  <c r="N620" i="4"/>
  <c r="J620" i="4"/>
  <c r="K620" i="4" s="1"/>
  <c r="L620" i="4" s="1"/>
  <c r="M620" i="4" s="1"/>
  <c r="G620" i="4"/>
  <c r="H620" i="4" s="1"/>
  <c r="B625" i="3"/>
  <c r="D625" i="3" s="1"/>
  <c r="E625" i="3"/>
  <c r="C625" i="3"/>
  <c r="I621" i="4"/>
  <c r="G621" i="4"/>
  <c r="N621" i="4"/>
  <c r="J621" i="4"/>
  <c r="K621" i="4" s="1"/>
  <c r="L621" i="4" s="1"/>
  <c r="M621" i="4" s="1"/>
  <c r="H621" i="4"/>
  <c r="E626" i="3"/>
  <c r="B626" i="3"/>
  <c r="D626" i="3" s="1"/>
  <c r="N622" i="4"/>
  <c r="J622" i="4"/>
  <c r="K622" i="4" s="1"/>
  <c r="L622" i="4" s="1"/>
  <c r="M622" i="4" s="1"/>
  <c r="G622" i="4"/>
  <c r="H622" i="4" s="1"/>
  <c r="B627" i="3"/>
  <c r="D627" i="3" s="1"/>
  <c r="E627" i="3"/>
  <c r="C627" i="3"/>
  <c r="I623" i="4"/>
  <c r="G623" i="4"/>
  <c r="N623" i="4"/>
  <c r="J623" i="4"/>
  <c r="K623" i="4" s="1"/>
  <c r="L623" i="4" s="1"/>
  <c r="M623" i="4" s="1"/>
  <c r="H623" i="4"/>
  <c r="E628" i="3"/>
  <c r="B628" i="3"/>
  <c r="D628" i="3" s="1"/>
  <c r="N624" i="4"/>
  <c r="J624" i="4"/>
  <c r="K624" i="4" s="1"/>
  <c r="L624" i="4" s="1"/>
  <c r="M624" i="4" s="1"/>
  <c r="G624" i="4"/>
  <c r="H624" i="4" s="1"/>
  <c r="B629" i="3"/>
  <c r="D629" i="3" s="1"/>
  <c r="E629" i="3"/>
  <c r="C629" i="3"/>
  <c r="I625" i="4"/>
  <c r="G625" i="4"/>
  <c r="N625" i="4"/>
  <c r="J625" i="4"/>
  <c r="K625" i="4" s="1"/>
  <c r="L625" i="4" s="1"/>
  <c r="M625" i="4" s="1"/>
  <c r="H625" i="4"/>
  <c r="E630" i="3"/>
  <c r="B630" i="3"/>
  <c r="D630" i="3" s="1"/>
  <c r="N626" i="4"/>
  <c r="J626" i="4"/>
  <c r="K626" i="4" s="1"/>
  <c r="L626" i="4" s="1"/>
  <c r="M626" i="4" s="1"/>
  <c r="G626" i="4"/>
  <c r="H626" i="4" s="1"/>
  <c r="B631" i="3"/>
  <c r="D631" i="3" s="1"/>
  <c r="E631" i="3"/>
  <c r="C631" i="3"/>
  <c r="I627" i="4"/>
  <c r="G627" i="4"/>
  <c r="N627" i="4"/>
  <c r="J627" i="4"/>
  <c r="K627" i="4" s="1"/>
  <c r="L627" i="4" s="1"/>
  <c r="M627" i="4" s="1"/>
  <c r="H627" i="4"/>
  <c r="E632" i="3"/>
  <c r="B632" i="3"/>
  <c r="D632" i="3" s="1"/>
  <c r="N628" i="4"/>
  <c r="J628" i="4"/>
  <c r="K628" i="4" s="1"/>
  <c r="L628" i="4" s="1"/>
  <c r="M628" i="4" s="1"/>
  <c r="G628" i="4"/>
  <c r="H628" i="4" s="1"/>
  <c r="B633" i="3"/>
  <c r="D633" i="3" s="1"/>
  <c r="E633" i="3"/>
  <c r="C633" i="3"/>
  <c r="I629" i="4"/>
  <c r="G629" i="4"/>
  <c r="N629" i="4"/>
  <c r="J629" i="4"/>
  <c r="K629" i="4" s="1"/>
  <c r="L629" i="4" s="1"/>
  <c r="M629" i="4" s="1"/>
  <c r="H629" i="4"/>
  <c r="E634" i="3"/>
  <c r="B634" i="3"/>
  <c r="D634" i="3" s="1"/>
  <c r="N630" i="4"/>
  <c r="J630" i="4"/>
  <c r="K630" i="4" s="1"/>
  <c r="L630" i="4" s="1"/>
  <c r="M630" i="4" s="1"/>
  <c r="G630" i="4"/>
  <c r="H630" i="4" s="1"/>
  <c r="B635" i="3"/>
  <c r="D635" i="3" s="1"/>
  <c r="E635" i="3"/>
  <c r="C635" i="3"/>
  <c r="I631" i="4"/>
  <c r="G631" i="4"/>
  <c r="N631" i="4"/>
  <c r="J631" i="4"/>
  <c r="K631" i="4" s="1"/>
  <c r="L631" i="4" s="1"/>
  <c r="M631" i="4" s="1"/>
  <c r="H631" i="4"/>
  <c r="E636" i="3"/>
  <c r="B636" i="3"/>
  <c r="D636" i="3" s="1"/>
  <c r="N632" i="4"/>
  <c r="J632" i="4"/>
  <c r="K632" i="4" s="1"/>
  <c r="L632" i="4" s="1"/>
  <c r="M632" i="4" s="1"/>
  <c r="G632" i="4"/>
  <c r="H632" i="4" s="1"/>
  <c r="B637" i="3"/>
  <c r="D637" i="3" s="1"/>
  <c r="E637" i="3"/>
  <c r="C637" i="3"/>
  <c r="I633" i="4"/>
  <c r="G633" i="4"/>
  <c r="N633" i="4"/>
  <c r="J633" i="4"/>
  <c r="K633" i="4" s="1"/>
  <c r="L633" i="4" s="1"/>
  <c r="M633" i="4" s="1"/>
  <c r="H633" i="4"/>
  <c r="E638" i="3"/>
  <c r="B638" i="3"/>
  <c r="D638" i="3" s="1"/>
  <c r="N634" i="4"/>
  <c r="J634" i="4"/>
  <c r="K634" i="4" s="1"/>
  <c r="L634" i="4" s="1"/>
  <c r="M634" i="4" s="1"/>
  <c r="G634" i="4"/>
  <c r="H634" i="4" s="1"/>
  <c r="B639" i="3"/>
  <c r="D639" i="3" s="1"/>
  <c r="E639" i="3"/>
  <c r="C639" i="3"/>
  <c r="I635" i="4"/>
  <c r="G635" i="4"/>
  <c r="N635" i="4"/>
  <c r="J635" i="4"/>
  <c r="K635" i="4" s="1"/>
  <c r="L635" i="4" s="1"/>
  <c r="M635" i="4" s="1"/>
  <c r="H635" i="4"/>
  <c r="E640" i="3"/>
  <c r="B640" i="3"/>
  <c r="D640" i="3" s="1"/>
  <c r="N636" i="4"/>
  <c r="J636" i="4"/>
  <c r="K636" i="4" s="1"/>
  <c r="L636" i="4" s="1"/>
  <c r="M636" i="4" s="1"/>
  <c r="G636" i="4"/>
  <c r="H636" i="4" s="1"/>
  <c r="B641" i="3"/>
  <c r="D641" i="3" s="1"/>
  <c r="E641" i="3"/>
  <c r="C641" i="3"/>
  <c r="I637" i="4"/>
  <c r="G637" i="4"/>
  <c r="N637" i="4"/>
  <c r="J637" i="4"/>
  <c r="K637" i="4" s="1"/>
  <c r="L637" i="4" s="1"/>
  <c r="M637" i="4" s="1"/>
  <c r="H637" i="4"/>
  <c r="E642" i="3"/>
  <c r="B642" i="3"/>
  <c r="D642" i="3" s="1"/>
  <c r="N638" i="4"/>
  <c r="J638" i="4"/>
  <c r="K638" i="4" s="1"/>
  <c r="L638" i="4" s="1"/>
  <c r="M638" i="4" s="1"/>
  <c r="G638" i="4"/>
  <c r="H638" i="4" s="1"/>
  <c r="B643" i="3"/>
  <c r="D643" i="3" s="1"/>
  <c r="E643" i="3"/>
  <c r="C643" i="3"/>
  <c r="I639" i="4"/>
  <c r="G639" i="4"/>
  <c r="N639" i="4"/>
  <c r="J639" i="4"/>
  <c r="K639" i="4" s="1"/>
  <c r="L639" i="4" s="1"/>
  <c r="M639" i="4" s="1"/>
  <c r="H639" i="4"/>
  <c r="E644" i="3"/>
  <c r="B644" i="3"/>
  <c r="D644" i="3" s="1"/>
  <c r="N640" i="4"/>
  <c r="J640" i="4"/>
  <c r="K640" i="4" s="1"/>
  <c r="L640" i="4" s="1"/>
  <c r="M640" i="4" s="1"/>
  <c r="G640" i="4"/>
  <c r="H640" i="4" s="1"/>
  <c r="B645" i="3"/>
  <c r="D645" i="3" s="1"/>
  <c r="E645" i="3"/>
  <c r="C645" i="3"/>
  <c r="I641" i="4"/>
  <c r="G641" i="4"/>
  <c r="N641" i="4"/>
  <c r="J641" i="4"/>
  <c r="K641" i="4" s="1"/>
  <c r="L641" i="4" s="1"/>
  <c r="M641" i="4" s="1"/>
  <c r="H641" i="4"/>
  <c r="E646" i="3"/>
  <c r="B646" i="3"/>
  <c r="D646" i="3" s="1"/>
  <c r="N642" i="4"/>
  <c r="J642" i="4"/>
  <c r="K642" i="4" s="1"/>
  <c r="L642" i="4" s="1"/>
  <c r="M642" i="4" s="1"/>
  <c r="G642" i="4"/>
  <c r="H642" i="4" s="1"/>
  <c r="B647" i="3"/>
  <c r="D647" i="3" s="1"/>
  <c r="E647" i="3"/>
  <c r="C647" i="3"/>
  <c r="I643" i="4"/>
  <c r="G643" i="4"/>
  <c r="N643" i="4"/>
  <c r="J643" i="4"/>
  <c r="K643" i="4" s="1"/>
  <c r="L643" i="4" s="1"/>
  <c r="M643" i="4" s="1"/>
  <c r="H643" i="4"/>
  <c r="E648" i="3"/>
  <c r="B648" i="3"/>
  <c r="D648" i="3" s="1"/>
  <c r="N644" i="4"/>
  <c r="J644" i="4"/>
  <c r="K644" i="4" s="1"/>
  <c r="L644" i="4" s="1"/>
  <c r="M644" i="4" s="1"/>
  <c r="G644" i="4"/>
  <c r="H644" i="4" s="1"/>
  <c r="B649" i="3"/>
  <c r="D649" i="3" s="1"/>
  <c r="E649" i="3"/>
  <c r="C649" i="3"/>
  <c r="I645" i="4"/>
  <c r="G645" i="4"/>
  <c r="N645" i="4"/>
  <c r="J645" i="4"/>
  <c r="K645" i="4" s="1"/>
  <c r="L645" i="4" s="1"/>
  <c r="M645" i="4" s="1"/>
  <c r="H645" i="4"/>
  <c r="E650" i="3"/>
  <c r="B650" i="3"/>
  <c r="D650" i="3" s="1"/>
  <c r="N646" i="4"/>
  <c r="J646" i="4"/>
  <c r="K646" i="4" s="1"/>
  <c r="L646" i="4" s="1"/>
  <c r="M646" i="4" s="1"/>
  <c r="G646" i="4"/>
  <c r="H646" i="4" s="1"/>
  <c r="B651" i="3"/>
  <c r="D651" i="3" s="1"/>
  <c r="E651" i="3"/>
  <c r="C651" i="3"/>
  <c r="I647" i="4"/>
  <c r="G647" i="4"/>
  <c r="N647" i="4"/>
  <c r="J647" i="4"/>
  <c r="K647" i="4" s="1"/>
  <c r="L647" i="4" s="1"/>
  <c r="M647" i="4" s="1"/>
  <c r="H647" i="4"/>
  <c r="E652" i="3"/>
  <c r="B652" i="3"/>
  <c r="D652" i="3" s="1"/>
  <c r="N648" i="4"/>
  <c r="J648" i="4"/>
  <c r="K648" i="4" s="1"/>
  <c r="L648" i="4" s="1"/>
  <c r="M648" i="4" s="1"/>
  <c r="G648" i="4"/>
  <c r="H648" i="4" s="1"/>
  <c r="B653" i="3"/>
  <c r="D653" i="3" s="1"/>
  <c r="E653" i="3"/>
  <c r="C653" i="3"/>
  <c r="I649" i="4"/>
  <c r="G649" i="4"/>
  <c r="N649" i="4"/>
  <c r="J649" i="4"/>
  <c r="K649" i="4" s="1"/>
  <c r="L649" i="4" s="1"/>
  <c r="M649" i="4" s="1"/>
  <c r="H649" i="4"/>
  <c r="E654" i="3"/>
  <c r="B654" i="3"/>
  <c r="D654" i="3" s="1"/>
  <c r="N650" i="4"/>
  <c r="J650" i="4"/>
  <c r="K650" i="4" s="1"/>
  <c r="L650" i="4" s="1"/>
  <c r="M650" i="4" s="1"/>
  <c r="G650" i="4"/>
  <c r="H650" i="4" s="1"/>
  <c r="B655" i="3"/>
  <c r="D655" i="3" s="1"/>
  <c r="E655" i="3"/>
  <c r="C655" i="3"/>
  <c r="I651" i="4"/>
  <c r="G651" i="4"/>
  <c r="N651" i="4"/>
  <c r="J651" i="4"/>
  <c r="K651" i="4" s="1"/>
  <c r="L651" i="4" s="1"/>
  <c r="M651" i="4" s="1"/>
  <c r="H651" i="4"/>
  <c r="E656" i="3"/>
  <c r="B656" i="3"/>
  <c r="D656" i="3" s="1"/>
  <c r="N652" i="4"/>
  <c r="J652" i="4"/>
  <c r="K652" i="4" s="1"/>
  <c r="L652" i="4" s="1"/>
  <c r="M652" i="4" s="1"/>
  <c r="G652" i="4"/>
  <c r="H652" i="4" s="1"/>
  <c r="B657" i="3"/>
  <c r="D657" i="3" s="1"/>
  <c r="E657" i="3"/>
  <c r="C657" i="3"/>
  <c r="I653" i="4"/>
  <c r="G653" i="4"/>
  <c r="N653" i="4"/>
  <c r="J653" i="4"/>
  <c r="K653" i="4" s="1"/>
  <c r="L653" i="4" s="1"/>
  <c r="M653" i="4" s="1"/>
  <c r="H653" i="4"/>
  <c r="E658" i="3"/>
  <c r="B658" i="3"/>
  <c r="D658" i="3" s="1"/>
  <c r="N654" i="4"/>
  <c r="J654" i="4"/>
  <c r="K654" i="4" s="1"/>
  <c r="L654" i="4" s="1"/>
  <c r="M654" i="4" s="1"/>
  <c r="G654" i="4"/>
  <c r="H654" i="4" s="1"/>
  <c r="B659" i="3"/>
  <c r="D659" i="3" s="1"/>
  <c r="E659" i="3"/>
  <c r="C659" i="3"/>
  <c r="I655" i="4"/>
  <c r="G655" i="4"/>
  <c r="N655" i="4"/>
  <c r="J655" i="4"/>
  <c r="K655" i="4" s="1"/>
  <c r="L655" i="4" s="1"/>
  <c r="M655" i="4" s="1"/>
  <c r="H655" i="4"/>
  <c r="E660" i="3"/>
  <c r="B660" i="3"/>
  <c r="D660" i="3" s="1"/>
  <c r="N656" i="4"/>
  <c r="J656" i="4"/>
  <c r="K656" i="4" s="1"/>
  <c r="L656" i="4" s="1"/>
  <c r="M656" i="4" s="1"/>
  <c r="G656" i="4"/>
  <c r="H656" i="4" s="1"/>
  <c r="B661" i="3"/>
  <c r="D661" i="3" s="1"/>
  <c r="E661" i="3"/>
  <c r="C661" i="3"/>
  <c r="I657" i="4"/>
  <c r="G657" i="4"/>
  <c r="N657" i="4"/>
  <c r="J657" i="4"/>
  <c r="K657" i="4" s="1"/>
  <c r="L657" i="4" s="1"/>
  <c r="M657" i="4" s="1"/>
  <c r="H657" i="4"/>
  <c r="E662" i="3"/>
  <c r="B662" i="3"/>
  <c r="D662" i="3" s="1"/>
  <c r="N658" i="4"/>
  <c r="J658" i="4"/>
  <c r="K658" i="4" s="1"/>
  <c r="L658" i="4" s="1"/>
  <c r="M658" i="4" s="1"/>
  <c r="G658" i="4"/>
  <c r="H658" i="4" s="1"/>
  <c r="B663" i="3"/>
  <c r="D663" i="3" s="1"/>
  <c r="E663" i="3"/>
  <c r="C663" i="3"/>
  <c r="I659" i="4"/>
  <c r="G659" i="4"/>
  <c r="N659" i="4"/>
  <c r="J659" i="4"/>
  <c r="K659" i="4" s="1"/>
  <c r="L659" i="4" s="1"/>
  <c r="M659" i="4" s="1"/>
  <c r="H659" i="4"/>
  <c r="E664" i="3"/>
  <c r="B664" i="3"/>
  <c r="D664" i="3" s="1"/>
  <c r="N660" i="4"/>
  <c r="J660" i="4"/>
  <c r="K660" i="4" s="1"/>
  <c r="L660" i="4" s="1"/>
  <c r="M660" i="4" s="1"/>
  <c r="G660" i="4"/>
  <c r="H660" i="4" s="1"/>
  <c r="B665" i="3"/>
  <c r="D665" i="3" s="1"/>
  <c r="E665" i="3"/>
  <c r="C665" i="3"/>
  <c r="I661" i="4"/>
  <c r="G661" i="4"/>
  <c r="N661" i="4"/>
  <c r="J661" i="4"/>
  <c r="K661" i="4" s="1"/>
  <c r="L661" i="4" s="1"/>
  <c r="M661" i="4" s="1"/>
  <c r="H661" i="4"/>
  <c r="E666" i="3"/>
  <c r="B666" i="3"/>
  <c r="D666" i="3" s="1"/>
  <c r="N662" i="4"/>
  <c r="J662" i="4"/>
  <c r="K662" i="4" s="1"/>
  <c r="L662" i="4" s="1"/>
  <c r="M662" i="4" s="1"/>
  <c r="G662" i="4"/>
  <c r="H662" i="4" s="1"/>
  <c r="B667" i="3"/>
  <c r="D667" i="3" s="1"/>
  <c r="E667" i="3"/>
  <c r="C667" i="3"/>
  <c r="I663" i="4"/>
  <c r="G663" i="4"/>
  <c r="N663" i="4"/>
  <c r="J663" i="4"/>
  <c r="K663" i="4" s="1"/>
  <c r="L663" i="4" s="1"/>
  <c r="M663" i="4" s="1"/>
  <c r="H663" i="4"/>
  <c r="E668" i="3"/>
  <c r="B668" i="3"/>
  <c r="D668" i="3" s="1"/>
  <c r="N664" i="4"/>
  <c r="J664" i="4"/>
  <c r="K664" i="4" s="1"/>
  <c r="L664" i="4" s="1"/>
  <c r="M664" i="4" s="1"/>
  <c r="G664" i="4"/>
  <c r="H664" i="4" s="1"/>
  <c r="B669" i="3"/>
  <c r="D669" i="3" s="1"/>
  <c r="E669" i="3"/>
  <c r="C669" i="3"/>
  <c r="I665" i="4"/>
  <c r="G665" i="4"/>
  <c r="N665" i="4"/>
  <c r="J665" i="4"/>
  <c r="K665" i="4" s="1"/>
  <c r="L665" i="4" s="1"/>
  <c r="M665" i="4" s="1"/>
  <c r="H665" i="4"/>
  <c r="E670" i="3"/>
  <c r="B670" i="3"/>
  <c r="D670" i="3" s="1"/>
  <c r="N666" i="4"/>
  <c r="J666" i="4"/>
  <c r="K666" i="4" s="1"/>
  <c r="L666" i="4" s="1"/>
  <c r="M666" i="4" s="1"/>
  <c r="G666" i="4"/>
  <c r="H666" i="4" s="1"/>
  <c r="B671" i="3"/>
  <c r="D671" i="3" s="1"/>
  <c r="E671" i="3"/>
  <c r="C671" i="3"/>
  <c r="I667" i="4"/>
  <c r="G667" i="4"/>
  <c r="N667" i="4"/>
  <c r="J667" i="4"/>
  <c r="K667" i="4" s="1"/>
  <c r="L667" i="4" s="1"/>
  <c r="M667" i="4" s="1"/>
  <c r="H667" i="4"/>
  <c r="E672" i="3"/>
  <c r="B672" i="3"/>
  <c r="D672" i="3" s="1"/>
  <c r="N668" i="4"/>
  <c r="J668" i="4"/>
  <c r="K668" i="4" s="1"/>
  <c r="L668" i="4" s="1"/>
  <c r="M668" i="4" s="1"/>
  <c r="G668" i="4"/>
  <c r="H668" i="4" s="1"/>
  <c r="B673" i="3"/>
  <c r="D673" i="3" s="1"/>
  <c r="E673" i="3"/>
  <c r="C673" i="3"/>
  <c r="I669" i="4"/>
  <c r="G669" i="4"/>
  <c r="N669" i="4"/>
  <c r="J669" i="4"/>
  <c r="K669" i="4" s="1"/>
  <c r="L669" i="4" s="1"/>
  <c r="M669" i="4" s="1"/>
  <c r="H669" i="4"/>
  <c r="E674" i="3"/>
  <c r="B674" i="3"/>
  <c r="D674" i="3" s="1"/>
  <c r="N670" i="4"/>
  <c r="J670" i="4"/>
  <c r="K670" i="4" s="1"/>
  <c r="L670" i="4" s="1"/>
  <c r="M670" i="4" s="1"/>
  <c r="G670" i="4"/>
  <c r="H670" i="4" s="1"/>
  <c r="B675" i="3"/>
  <c r="D675" i="3" s="1"/>
  <c r="E675" i="3"/>
  <c r="C675" i="3"/>
  <c r="I671" i="4"/>
  <c r="G671" i="4"/>
  <c r="N671" i="4"/>
  <c r="J671" i="4"/>
  <c r="K671" i="4" s="1"/>
  <c r="L671" i="4" s="1"/>
  <c r="M671" i="4" s="1"/>
  <c r="H671" i="4"/>
  <c r="E676" i="3"/>
  <c r="B676" i="3"/>
  <c r="D676" i="3" s="1"/>
  <c r="N672" i="4"/>
  <c r="J672" i="4"/>
  <c r="K672" i="4" s="1"/>
  <c r="L672" i="4" s="1"/>
  <c r="M672" i="4" s="1"/>
  <c r="G672" i="4"/>
  <c r="H672" i="4" s="1"/>
  <c r="B677" i="3"/>
  <c r="D677" i="3" s="1"/>
  <c r="E677" i="3"/>
  <c r="C677" i="3"/>
  <c r="I673" i="4"/>
  <c r="G673" i="4"/>
  <c r="N673" i="4"/>
  <c r="J673" i="4"/>
  <c r="K673" i="4" s="1"/>
  <c r="L673" i="4" s="1"/>
  <c r="M673" i="4" s="1"/>
  <c r="H673" i="4"/>
  <c r="E678" i="3"/>
  <c r="B678" i="3"/>
  <c r="D678" i="3" s="1"/>
  <c r="N674" i="4"/>
  <c r="J674" i="4"/>
  <c r="K674" i="4" s="1"/>
  <c r="L674" i="4" s="1"/>
  <c r="M674" i="4" s="1"/>
  <c r="G674" i="4"/>
  <c r="H674" i="4" s="1"/>
  <c r="B679" i="3"/>
  <c r="D679" i="3" s="1"/>
  <c r="E679" i="3"/>
  <c r="C679" i="3"/>
  <c r="I675" i="4"/>
  <c r="G675" i="4"/>
  <c r="N675" i="4"/>
  <c r="J675" i="4"/>
  <c r="K675" i="4" s="1"/>
  <c r="L675" i="4" s="1"/>
  <c r="M675" i="4" s="1"/>
  <c r="H675" i="4"/>
  <c r="E680" i="3"/>
  <c r="B680" i="3"/>
  <c r="D680" i="3" s="1"/>
  <c r="N676" i="4"/>
  <c r="J676" i="4"/>
  <c r="K676" i="4" s="1"/>
  <c r="L676" i="4" s="1"/>
  <c r="M676" i="4" s="1"/>
  <c r="G676" i="4"/>
  <c r="H676" i="4" s="1"/>
  <c r="B681" i="3"/>
  <c r="D681" i="3" s="1"/>
  <c r="E681" i="3"/>
  <c r="C681" i="3"/>
  <c r="I677" i="4"/>
  <c r="G677" i="4"/>
  <c r="N677" i="4"/>
  <c r="J677" i="4"/>
  <c r="K677" i="4" s="1"/>
  <c r="L677" i="4" s="1"/>
  <c r="M677" i="4" s="1"/>
  <c r="H677" i="4"/>
  <c r="E682" i="3"/>
  <c r="B682" i="3"/>
  <c r="D682" i="3" s="1"/>
  <c r="N678" i="4"/>
  <c r="J678" i="4"/>
  <c r="K678" i="4" s="1"/>
  <c r="L678" i="4" s="1"/>
  <c r="M678" i="4" s="1"/>
  <c r="G678" i="4"/>
  <c r="H678" i="4" s="1"/>
  <c r="B683" i="3"/>
  <c r="D683" i="3" s="1"/>
  <c r="E683" i="3"/>
  <c r="C683" i="3"/>
  <c r="I679" i="4"/>
  <c r="G679" i="4"/>
  <c r="N679" i="4"/>
  <c r="J679" i="4"/>
  <c r="K679" i="4" s="1"/>
  <c r="L679" i="4" s="1"/>
  <c r="M679" i="4" s="1"/>
  <c r="H679" i="4"/>
  <c r="E684" i="3"/>
  <c r="B684" i="3"/>
  <c r="D684" i="3" s="1"/>
  <c r="N680" i="4"/>
  <c r="J680" i="4"/>
  <c r="K680" i="4" s="1"/>
  <c r="L680" i="4" s="1"/>
  <c r="M680" i="4" s="1"/>
  <c r="G680" i="4"/>
  <c r="H680" i="4" s="1"/>
  <c r="B685" i="3"/>
  <c r="D685" i="3" s="1"/>
  <c r="E685" i="3"/>
  <c r="C685" i="3"/>
  <c r="I681" i="4"/>
  <c r="G681" i="4"/>
  <c r="N681" i="4"/>
  <c r="J681" i="4"/>
  <c r="K681" i="4" s="1"/>
  <c r="L681" i="4" s="1"/>
  <c r="M681" i="4" s="1"/>
  <c r="H681" i="4"/>
  <c r="E686" i="3"/>
  <c r="B686" i="3"/>
  <c r="D686" i="3" s="1"/>
  <c r="N682" i="4"/>
  <c r="J682" i="4"/>
  <c r="K682" i="4" s="1"/>
  <c r="L682" i="4" s="1"/>
  <c r="M682" i="4" s="1"/>
  <c r="G682" i="4"/>
  <c r="H682" i="4" s="1"/>
  <c r="B687" i="3"/>
  <c r="D687" i="3" s="1"/>
  <c r="E687" i="3"/>
  <c r="C687" i="3"/>
  <c r="I683" i="4"/>
  <c r="G683" i="4"/>
  <c r="N683" i="4"/>
  <c r="J683" i="4"/>
  <c r="K683" i="4" s="1"/>
  <c r="L683" i="4" s="1"/>
  <c r="M683" i="4" s="1"/>
  <c r="H683" i="4"/>
  <c r="E688" i="3"/>
  <c r="B688" i="3"/>
  <c r="D688" i="3" s="1"/>
  <c r="N684" i="4"/>
  <c r="J684" i="4"/>
  <c r="K684" i="4" s="1"/>
  <c r="L684" i="4" s="1"/>
  <c r="M684" i="4" s="1"/>
  <c r="G684" i="4"/>
  <c r="H684" i="4" s="1"/>
  <c r="B689" i="3"/>
  <c r="D689" i="3" s="1"/>
  <c r="E689" i="3"/>
  <c r="C689" i="3"/>
  <c r="I685" i="4"/>
  <c r="G685" i="4"/>
  <c r="N685" i="4"/>
  <c r="J685" i="4"/>
  <c r="K685" i="4" s="1"/>
  <c r="L685" i="4" s="1"/>
  <c r="M685" i="4" s="1"/>
  <c r="H685" i="4"/>
  <c r="E690" i="3"/>
  <c r="B690" i="3"/>
  <c r="D690" i="3" s="1"/>
  <c r="N686" i="4"/>
  <c r="J686" i="4"/>
  <c r="K686" i="4" s="1"/>
  <c r="L686" i="4" s="1"/>
  <c r="M686" i="4" s="1"/>
  <c r="G686" i="4"/>
  <c r="H686" i="4" s="1"/>
  <c r="B691" i="3"/>
  <c r="D691" i="3" s="1"/>
  <c r="E691" i="3"/>
  <c r="C691" i="3"/>
  <c r="I687" i="4"/>
  <c r="G687" i="4"/>
  <c r="N687" i="4"/>
  <c r="J687" i="4"/>
  <c r="K687" i="4" s="1"/>
  <c r="L687" i="4" s="1"/>
  <c r="M687" i="4" s="1"/>
  <c r="H687" i="4"/>
  <c r="E692" i="3"/>
  <c r="B692" i="3"/>
  <c r="D692" i="3" s="1"/>
  <c r="N688" i="4"/>
  <c r="J688" i="4"/>
  <c r="K688" i="4" s="1"/>
  <c r="L688" i="4" s="1"/>
  <c r="M688" i="4" s="1"/>
  <c r="G688" i="4"/>
  <c r="H688" i="4" s="1"/>
  <c r="B693" i="3"/>
  <c r="D693" i="3" s="1"/>
  <c r="E693" i="3"/>
  <c r="C693" i="3"/>
  <c r="G689" i="4"/>
  <c r="I689" i="4" s="1"/>
  <c r="N689" i="4"/>
  <c r="J689" i="4"/>
  <c r="K689" i="4" s="1"/>
  <c r="L689" i="4" s="1"/>
  <c r="M689" i="4" s="1"/>
  <c r="E694" i="3"/>
  <c r="B694" i="3"/>
  <c r="D694" i="3" s="1"/>
  <c r="N690" i="4"/>
  <c r="J690" i="4"/>
  <c r="K690" i="4"/>
  <c r="L690" i="4" s="1"/>
  <c r="M690" i="4" s="1"/>
  <c r="G690" i="4"/>
  <c r="H690" i="4" s="1"/>
  <c r="B695" i="3"/>
  <c r="D695" i="3" s="1"/>
  <c r="E695" i="3"/>
  <c r="C695" i="3"/>
  <c r="G691" i="4"/>
  <c r="I691" i="4" s="1"/>
  <c r="N691" i="4"/>
  <c r="J691" i="4"/>
  <c r="K691" i="4" s="1"/>
  <c r="L691" i="4" s="1"/>
  <c r="M691" i="4" s="1"/>
  <c r="E696" i="3"/>
  <c r="B696" i="3"/>
  <c r="D696" i="3" s="1"/>
  <c r="N692" i="4"/>
  <c r="J692" i="4"/>
  <c r="K692" i="4"/>
  <c r="L692" i="4" s="1"/>
  <c r="M692" i="4" s="1"/>
  <c r="G692" i="4"/>
  <c r="H692" i="4" s="1"/>
  <c r="B697" i="3"/>
  <c r="D697" i="3" s="1"/>
  <c r="E697" i="3"/>
  <c r="C697" i="3"/>
  <c r="G693" i="4"/>
  <c r="I693" i="4" s="1"/>
  <c r="N693" i="4"/>
  <c r="J693" i="4"/>
  <c r="K693" i="4" s="1"/>
  <c r="L693" i="4" s="1"/>
  <c r="M693" i="4" s="1"/>
  <c r="E698" i="3"/>
  <c r="B698" i="3"/>
  <c r="D698" i="3" s="1"/>
  <c r="N694" i="4"/>
  <c r="J694" i="4"/>
  <c r="K694" i="4"/>
  <c r="L694" i="4" s="1"/>
  <c r="M694" i="4" s="1"/>
  <c r="G694" i="4"/>
  <c r="H694" i="4" s="1"/>
  <c r="B699" i="3"/>
  <c r="D699" i="3" s="1"/>
  <c r="E699" i="3"/>
  <c r="C699" i="3"/>
  <c r="G695" i="4"/>
  <c r="I695" i="4" s="1"/>
  <c r="N695" i="4"/>
  <c r="J695" i="4"/>
  <c r="K695" i="4" s="1"/>
  <c r="L695" i="4" s="1"/>
  <c r="M695" i="4" s="1"/>
  <c r="E700" i="3"/>
  <c r="B700" i="3"/>
  <c r="D700" i="3" s="1"/>
  <c r="N696" i="4"/>
  <c r="J696" i="4"/>
  <c r="K696" i="4"/>
  <c r="L696" i="4" s="1"/>
  <c r="M696" i="4" s="1"/>
  <c r="G696" i="4"/>
  <c r="H696" i="4" s="1"/>
  <c r="B701" i="3"/>
  <c r="D701" i="3" s="1"/>
  <c r="E701" i="3"/>
  <c r="C701" i="3"/>
  <c r="G697" i="4"/>
  <c r="I697" i="4" s="1"/>
  <c r="N697" i="4"/>
  <c r="J697" i="4"/>
  <c r="K697" i="4" s="1"/>
  <c r="L697" i="4" s="1"/>
  <c r="M697" i="4" s="1"/>
  <c r="E702" i="3"/>
  <c r="B702" i="3"/>
  <c r="D702" i="3" s="1"/>
  <c r="N698" i="4"/>
  <c r="J698" i="4"/>
  <c r="K698" i="4"/>
  <c r="L698" i="4" s="1"/>
  <c r="M698" i="4" s="1"/>
  <c r="G698" i="4"/>
  <c r="H698" i="4" s="1"/>
  <c r="B703" i="3"/>
  <c r="D703" i="3" s="1"/>
  <c r="E703" i="3"/>
  <c r="C703" i="3"/>
  <c r="G699" i="4"/>
  <c r="I699" i="4" s="1"/>
  <c r="N699" i="4"/>
  <c r="J699" i="4"/>
  <c r="K699" i="4" s="1"/>
  <c r="L699" i="4" s="1"/>
  <c r="M699" i="4" s="1"/>
  <c r="E704" i="3"/>
  <c r="B704" i="3"/>
  <c r="D704" i="3" s="1"/>
  <c r="N700" i="4"/>
  <c r="J700" i="4"/>
  <c r="K700" i="4"/>
  <c r="L700" i="4" s="1"/>
  <c r="M700" i="4" s="1"/>
  <c r="G700" i="4"/>
  <c r="H700" i="4" s="1"/>
  <c r="B705" i="3"/>
  <c r="D705" i="3" s="1"/>
  <c r="E705" i="3"/>
  <c r="C705" i="3"/>
  <c r="G701" i="4"/>
  <c r="I701" i="4" s="1"/>
  <c r="N701" i="4"/>
  <c r="J701" i="4"/>
  <c r="K701" i="4" s="1"/>
  <c r="L701" i="4" s="1"/>
  <c r="M701" i="4" s="1"/>
  <c r="E706" i="3"/>
  <c r="B706" i="3"/>
  <c r="D706" i="3" s="1"/>
  <c r="N702" i="4"/>
  <c r="J702" i="4"/>
  <c r="K702" i="4"/>
  <c r="L702" i="4" s="1"/>
  <c r="M702" i="4" s="1"/>
  <c r="G702" i="4"/>
  <c r="H702" i="4" s="1"/>
  <c r="B707" i="3"/>
  <c r="D707" i="3" s="1"/>
  <c r="E707" i="3"/>
  <c r="C707" i="3"/>
  <c r="G703" i="4"/>
  <c r="I703" i="4" s="1"/>
  <c r="N703" i="4"/>
  <c r="J703" i="4"/>
  <c r="K703" i="4" s="1"/>
  <c r="L703" i="4" s="1"/>
  <c r="M703" i="4" s="1"/>
  <c r="E708" i="3"/>
  <c r="B708" i="3"/>
  <c r="D708" i="3" s="1"/>
  <c r="N704" i="4"/>
  <c r="J704" i="4"/>
  <c r="K704" i="4"/>
  <c r="L704" i="4" s="1"/>
  <c r="M704" i="4" s="1"/>
  <c r="G704" i="4"/>
  <c r="H704" i="4" s="1"/>
  <c r="B709" i="3"/>
  <c r="D709" i="3" s="1"/>
  <c r="E709" i="3"/>
  <c r="C709" i="3"/>
  <c r="G705" i="4"/>
  <c r="I705" i="4" s="1"/>
  <c r="N705" i="4"/>
  <c r="J705" i="4"/>
  <c r="K705" i="4" s="1"/>
  <c r="L705" i="4" s="1"/>
  <c r="M705" i="4" s="1"/>
  <c r="E710" i="3"/>
  <c r="B710" i="3"/>
  <c r="D710" i="3" s="1"/>
  <c r="N706" i="4"/>
  <c r="J706" i="4"/>
  <c r="K706" i="4"/>
  <c r="L706" i="4" s="1"/>
  <c r="M706" i="4" s="1"/>
  <c r="G706" i="4"/>
  <c r="H706" i="4" s="1"/>
  <c r="B711" i="3"/>
  <c r="D711" i="3" s="1"/>
  <c r="E711" i="3"/>
  <c r="C711" i="3"/>
  <c r="G707" i="4"/>
  <c r="I707" i="4" s="1"/>
  <c r="N707" i="4"/>
  <c r="J707" i="4"/>
  <c r="K707" i="4" s="1"/>
  <c r="L707" i="4" s="1"/>
  <c r="M707" i="4" s="1"/>
  <c r="E712" i="3"/>
  <c r="B712" i="3"/>
  <c r="D712" i="3" s="1"/>
  <c r="N708" i="4"/>
  <c r="J708" i="4"/>
  <c r="K708" i="4"/>
  <c r="L708" i="4" s="1"/>
  <c r="M708" i="4" s="1"/>
  <c r="G708" i="4"/>
  <c r="H708" i="4" s="1"/>
  <c r="B713" i="3"/>
  <c r="D713" i="3" s="1"/>
  <c r="E713" i="3"/>
  <c r="C713" i="3"/>
  <c r="G709" i="4"/>
  <c r="I709" i="4" s="1"/>
  <c r="N709" i="4"/>
  <c r="J709" i="4"/>
  <c r="K709" i="4" s="1"/>
  <c r="L709" i="4" s="1"/>
  <c r="M709" i="4" s="1"/>
  <c r="E714" i="3"/>
  <c r="B714" i="3"/>
  <c r="D714" i="3" s="1"/>
  <c r="N710" i="4"/>
  <c r="J710" i="4"/>
  <c r="K710" i="4"/>
  <c r="L710" i="4" s="1"/>
  <c r="M710" i="4" s="1"/>
  <c r="G710" i="4"/>
  <c r="H710" i="4" s="1"/>
  <c r="B715" i="3"/>
  <c r="D715" i="3" s="1"/>
  <c r="E715" i="3"/>
  <c r="C715" i="3"/>
  <c r="G711" i="4"/>
  <c r="I711" i="4" s="1"/>
  <c r="N711" i="4"/>
  <c r="J711" i="4"/>
  <c r="K711" i="4" s="1"/>
  <c r="L711" i="4" s="1"/>
  <c r="M711" i="4" s="1"/>
  <c r="E716" i="3"/>
  <c r="B716" i="3"/>
  <c r="D716" i="3" s="1"/>
  <c r="N712" i="4"/>
  <c r="J712" i="4"/>
  <c r="K712" i="4"/>
  <c r="L712" i="4" s="1"/>
  <c r="M712" i="4" s="1"/>
  <c r="G712" i="4"/>
  <c r="H712" i="4" s="1"/>
  <c r="B717" i="3"/>
  <c r="D717" i="3" s="1"/>
  <c r="E717" i="3"/>
  <c r="C717" i="3"/>
  <c r="G713" i="4"/>
  <c r="I713" i="4" s="1"/>
  <c r="N713" i="4"/>
  <c r="J713" i="4"/>
  <c r="K713" i="4" s="1"/>
  <c r="L713" i="4" s="1"/>
  <c r="M713" i="4" s="1"/>
  <c r="E718" i="3"/>
  <c r="B718" i="3"/>
  <c r="D718" i="3" s="1"/>
  <c r="N714" i="4"/>
  <c r="J714" i="4"/>
  <c r="K714" i="4"/>
  <c r="L714" i="4" s="1"/>
  <c r="M714" i="4" s="1"/>
  <c r="G714" i="4"/>
  <c r="H714" i="4" s="1"/>
  <c r="B719" i="3"/>
  <c r="D719" i="3" s="1"/>
  <c r="E719" i="3"/>
  <c r="C719" i="3"/>
  <c r="G715" i="4"/>
  <c r="I715" i="4" s="1"/>
  <c r="N715" i="4"/>
  <c r="J715" i="4"/>
  <c r="K715" i="4" s="1"/>
  <c r="L715" i="4" s="1"/>
  <c r="M715" i="4" s="1"/>
  <c r="E720" i="3"/>
  <c r="B720" i="3"/>
  <c r="D720" i="3" s="1"/>
  <c r="N716" i="4"/>
  <c r="J716" i="4"/>
  <c r="K716" i="4"/>
  <c r="L716" i="4" s="1"/>
  <c r="M716" i="4" s="1"/>
  <c r="G716" i="4"/>
  <c r="H716" i="4" s="1"/>
  <c r="B721" i="3"/>
  <c r="D721" i="3" s="1"/>
  <c r="E721" i="3"/>
  <c r="C721" i="3"/>
  <c r="G717" i="4"/>
  <c r="I717" i="4" s="1"/>
  <c r="N717" i="4"/>
  <c r="J717" i="4"/>
  <c r="K717" i="4" s="1"/>
  <c r="L717" i="4" s="1"/>
  <c r="M717" i="4" s="1"/>
  <c r="E722" i="3"/>
  <c r="B722" i="3"/>
  <c r="D722" i="3" s="1"/>
  <c r="N718" i="4"/>
  <c r="J718" i="4"/>
  <c r="K718" i="4"/>
  <c r="L718" i="4" s="1"/>
  <c r="M718" i="4" s="1"/>
  <c r="G718" i="4"/>
  <c r="H718" i="4" s="1"/>
  <c r="B723" i="3"/>
  <c r="D723" i="3" s="1"/>
  <c r="E723" i="3"/>
  <c r="C723" i="3"/>
  <c r="G719" i="4"/>
  <c r="I719" i="4" s="1"/>
  <c r="N719" i="4"/>
  <c r="J719" i="4"/>
  <c r="K719" i="4" s="1"/>
  <c r="L719" i="4" s="1"/>
  <c r="M719" i="4" s="1"/>
  <c r="E724" i="3"/>
  <c r="B724" i="3"/>
  <c r="D724" i="3" s="1"/>
  <c r="N720" i="4"/>
  <c r="J720" i="4"/>
  <c r="K720" i="4"/>
  <c r="L720" i="4" s="1"/>
  <c r="M720" i="4" s="1"/>
  <c r="G720" i="4"/>
  <c r="H720" i="4" s="1"/>
  <c r="B725" i="3"/>
  <c r="D725" i="3" s="1"/>
  <c r="E725" i="3"/>
  <c r="C725" i="3"/>
  <c r="G721" i="4"/>
  <c r="I721" i="4" s="1"/>
  <c r="N721" i="4"/>
  <c r="J721" i="4"/>
  <c r="K721" i="4" s="1"/>
  <c r="L721" i="4" s="1"/>
  <c r="M721" i="4" s="1"/>
  <c r="E726" i="3"/>
  <c r="B726" i="3"/>
  <c r="D726" i="3" s="1"/>
  <c r="N722" i="4"/>
  <c r="J722" i="4"/>
  <c r="K722" i="4"/>
  <c r="L722" i="4" s="1"/>
  <c r="M722" i="4" s="1"/>
  <c r="G722" i="4"/>
  <c r="H722" i="4" s="1"/>
  <c r="B727" i="3"/>
  <c r="D727" i="3" s="1"/>
  <c r="E727" i="3"/>
  <c r="C727" i="3"/>
  <c r="G723" i="4"/>
  <c r="I723" i="4" s="1"/>
  <c r="N723" i="4"/>
  <c r="J723" i="4"/>
  <c r="K723" i="4" s="1"/>
  <c r="L723" i="4" s="1"/>
  <c r="M723" i="4" s="1"/>
  <c r="E728" i="3"/>
  <c r="B728" i="3"/>
  <c r="D728" i="3" s="1"/>
  <c r="N724" i="4"/>
  <c r="J724" i="4"/>
  <c r="K724" i="4"/>
  <c r="L724" i="4" s="1"/>
  <c r="M724" i="4" s="1"/>
  <c r="G724" i="4"/>
  <c r="H724" i="4" s="1"/>
  <c r="B729" i="3"/>
  <c r="D729" i="3" s="1"/>
  <c r="E729" i="3"/>
  <c r="C729" i="3"/>
  <c r="G725" i="4"/>
  <c r="I725" i="4" s="1"/>
  <c r="N725" i="4"/>
  <c r="J725" i="4"/>
  <c r="K725" i="4" s="1"/>
  <c r="L725" i="4" s="1"/>
  <c r="M725" i="4" s="1"/>
  <c r="E730" i="3"/>
  <c r="B730" i="3"/>
  <c r="D730" i="3" s="1"/>
  <c r="N726" i="4"/>
  <c r="J726" i="4"/>
  <c r="K726" i="4"/>
  <c r="L726" i="4" s="1"/>
  <c r="M726" i="4" s="1"/>
  <c r="G726" i="4"/>
  <c r="H726" i="4" s="1"/>
  <c r="B731" i="3"/>
  <c r="D731" i="3" s="1"/>
  <c r="E731" i="3"/>
  <c r="C731" i="3"/>
  <c r="G727" i="4"/>
  <c r="I727" i="4" s="1"/>
  <c r="N727" i="4"/>
  <c r="J727" i="4"/>
  <c r="K727" i="4" s="1"/>
  <c r="L727" i="4" s="1"/>
  <c r="M727" i="4" s="1"/>
  <c r="E732" i="3"/>
  <c r="B732" i="3"/>
  <c r="D732" i="3" s="1"/>
  <c r="N728" i="4"/>
  <c r="J728" i="4"/>
  <c r="K728" i="4"/>
  <c r="L728" i="4" s="1"/>
  <c r="M728" i="4" s="1"/>
  <c r="G728" i="4"/>
  <c r="H728" i="4" s="1"/>
  <c r="B733" i="3"/>
  <c r="D733" i="3" s="1"/>
  <c r="E733" i="3"/>
  <c r="C733" i="3"/>
  <c r="G729" i="4"/>
  <c r="I729" i="4" s="1"/>
  <c r="N729" i="4"/>
  <c r="J729" i="4"/>
  <c r="K729" i="4" s="1"/>
  <c r="L729" i="4" s="1"/>
  <c r="M729" i="4" s="1"/>
  <c r="E734" i="3"/>
  <c r="B734" i="3"/>
  <c r="D734" i="3" s="1"/>
  <c r="N730" i="4"/>
  <c r="J730" i="4"/>
  <c r="K730" i="4"/>
  <c r="L730" i="4" s="1"/>
  <c r="M730" i="4" s="1"/>
  <c r="G730" i="4"/>
  <c r="H730" i="4" s="1"/>
  <c r="B735" i="3"/>
  <c r="D735" i="3" s="1"/>
  <c r="E735" i="3"/>
  <c r="C735" i="3"/>
  <c r="G731" i="4"/>
  <c r="I731" i="4" s="1"/>
  <c r="N731" i="4"/>
  <c r="J731" i="4"/>
  <c r="K731" i="4" s="1"/>
  <c r="L731" i="4" s="1"/>
  <c r="M731" i="4" s="1"/>
  <c r="E736" i="3"/>
  <c r="B736" i="3"/>
  <c r="D736" i="3" s="1"/>
  <c r="N732" i="4"/>
  <c r="J732" i="4"/>
  <c r="K732" i="4"/>
  <c r="L732" i="4" s="1"/>
  <c r="M732" i="4" s="1"/>
  <c r="G732" i="4"/>
  <c r="H732" i="4" s="1"/>
  <c r="B737" i="3"/>
  <c r="D737" i="3" s="1"/>
  <c r="E737" i="3"/>
  <c r="C737" i="3"/>
  <c r="G733" i="4"/>
  <c r="I733" i="4" s="1"/>
  <c r="N733" i="4"/>
  <c r="J733" i="4"/>
  <c r="K733" i="4" s="1"/>
  <c r="L733" i="4" s="1"/>
  <c r="M733" i="4" s="1"/>
  <c r="E738" i="3"/>
  <c r="B738" i="3"/>
  <c r="D738" i="3" s="1"/>
  <c r="N734" i="4"/>
  <c r="J734" i="4"/>
  <c r="K734" i="4"/>
  <c r="L734" i="4" s="1"/>
  <c r="M734" i="4" s="1"/>
  <c r="G734" i="4"/>
  <c r="H734" i="4" s="1"/>
  <c r="B739" i="3"/>
  <c r="D739" i="3" s="1"/>
  <c r="E739" i="3"/>
  <c r="C739" i="3"/>
  <c r="G735" i="4"/>
  <c r="N735" i="4"/>
  <c r="J735" i="4"/>
  <c r="K735" i="4" s="1"/>
  <c r="L735" i="4" s="1"/>
  <c r="M735" i="4" s="1"/>
  <c r="E740" i="3"/>
  <c r="B740" i="3"/>
  <c r="D740" i="3" s="1"/>
  <c r="N736" i="4"/>
  <c r="J736" i="4"/>
  <c r="K736" i="4"/>
  <c r="L736" i="4" s="1"/>
  <c r="M736" i="4" s="1"/>
  <c r="G736" i="4"/>
  <c r="H736" i="4" s="1"/>
  <c r="B741" i="3"/>
  <c r="D741" i="3" s="1"/>
  <c r="E741" i="3"/>
  <c r="C741" i="3"/>
  <c r="G737" i="4"/>
  <c r="N737" i="4"/>
  <c r="J737" i="4"/>
  <c r="K737" i="4" s="1"/>
  <c r="L737" i="4" s="1"/>
  <c r="M737" i="4" s="1"/>
  <c r="E742" i="3"/>
  <c r="B742" i="3"/>
  <c r="D742" i="3" s="1"/>
  <c r="N738" i="4"/>
  <c r="J738" i="4"/>
  <c r="K738" i="4"/>
  <c r="L738" i="4" s="1"/>
  <c r="M738" i="4" s="1"/>
  <c r="G738" i="4"/>
  <c r="H738" i="4" s="1"/>
  <c r="B743" i="3"/>
  <c r="D743" i="3" s="1"/>
  <c r="E743" i="3"/>
  <c r="C743" i="3"/>
  <c r="G739" i="4"/>
  <c r="N739" i="4"/>
  <c r="J739" i="4"/>
  <c r="K739" i="4" s="1"/>
  <c r="L739" i="4" s="1"/>
  <c r="M739" i="4" s="1"/>
  <c r="E744" i="3"/>
  <c r="B744" i="3"/>
  <c r="D744" i="3" s="1"/>
  <c r="N740" i="4"/>
  <c r="J740" i="4"/>
  <c r="K740" i="4"/>
  <c r="L740" i="4" s="1"/>
  <c r="M740" i="4" s="1"/>
  <c r="G740" i="4"/>
  <c r="H740" i="4" s="1"/>
  <c r="B745" i="3"/>
  <c r="D745" i="3" s="1"/>
  <c r="E745" i="3"/>
  <c r="C745" i="3"/>
  <c r="G741" i="4"/>
  <c r="N741" i="4"/>
  <c r="J741" i="4"/>
  <c r="K741" i="4" s="1"/>
  <c r="L741" i="4" s="1"/>
  <c r="M741" i="4" s="1"/>
  <c r="E746" i="3"/>
  <c r="B746" i="3"/>
  <c r="D746" i="3" s="1"/>
  <c r="N742" i="4"/>
  <c r="J742" i="4"/>
  <c r="K742" i="4"/>
  <c r="L742" i="4" s="1"/>
  <c r="M742" i="4" s="1"/>
  <c r="G742" i="4"/>
  <c r="H742" i="4" s="1"/>
  <c r="B747" i="3"/>
  <c r="D747" i="3" s="1"/>
  <c r="E747" i="3"/>
  <c r="C747" i="3"/>
  <c r="G743" i="4"/>
  <c r="N743" i="4"/>
  <c r="J743" i="4"/>
  <c r="K743" i="4" s="1"/>
  <c r="L743" i="4" s="1"/>
  <c r="M743" i="4" s="1"/>
  <c r="E748" i="3"/>
  <c r="B748" i="3"/>
  <c r="D748" i="3" s="1"/>
  <c r="N744" i="4"/>
  <c r="J744" i="4"/>
  <c r="K744" i="4"/>
  <c r="L744" i="4" s="1"/>
  <c r="M744" i="4" s="1"/>
  <c r="G744" i="4"/>
  <c r="H744" i="4" s="1"/>
  <c r="B749" i="3"/>
  <c r="D749" i="3" s="1"/>
  <c r="E749" i="3"/>
  <c r="C749" i="3"/>
  <c r="G745" i="4"/>
  <c r="N745" i="4"/>
  <c r="J745" i="4"/>
  <c r="K745" i="4" s="1"/>
  <c r="L745" i="4" s="1"/>
  <c r="M745" i="4" s="1"/>
  <c r="E750" i="3"/>
  <c r="B750" i="3"/>
  <c r="D750" i="3" s="1"/>
  <c r="N746" i="4"/>
  <c r="J746" i="4"/>
  <c r="K746" i="4"/>
  <c r="L746" i="4" s="1"/>
  <c r="M746" i="4" s="1"/>
  <c r="G746" i="4"/>
  <c r="H746" i="4" s="1"/>
  <c r="B751" i="3"/>
  <c r="D751" i="3" s="1"/>
  <c r="E751" i="3"/>
  <c r="C751" i="3"/>
  <c r="G747" i="4"/>
  <c r="N747" i="4"/>
  <c r="J747" i="4"/>
  <c r="K747" i="4" s="1"/>
  <c r="L747" i="4" s="1"/>
  <c r="M747" i="4" s="1"/>
  <c r="E752" i="3"/>
  <c r="B752" i="3"/>
  <c r="D752" i="3" s="1"/>
  <c r="N748" i="4"/>
  <c r="J748" i="4"/>
  <c r="K748" i="4"/>
  <c r="L748" i="4" s="1"/>
  <c r="M748" i="4" s="1"/>
  <c r="G748" i="4"/>
  <c r="H748" i="4" s="1"/>
  <c r="B753" i="3"/>
  <c r="D753" i="3" s="1"/>
  <c r="E753" i="3"/>
  <c r="C753" i="3"/>
  <c r="G749" i="4"/>
  <c r="N749" i="4"/>
  <c r="J749" i="4"/>
  <c r="K749" i="4" s="1"/>
  <c r="L749" i="4" s="1"/>
  <c r="M749" i="4" s="1"/>
  <c r="E754" i="3"/>
  <c r="B754" i="3"/>
  <c r="D754" i="3" s="1"/>
  <c r="N750" i="4"/>
  <c r="J750" i="4"/>
  <c r="K750" i="4"/>
  <c r="L750" i="4" s="1"/>
  <c r="M750" i="4" s="1"/>
  <c r="G750" i="4"/>
  <c r="H750" i="4" s="1"/>
  <c r="B755" i="3"/>
  <c r="D755" i="3" s="1"/>
  <c r="E755" i="3"/>
  <c r="C755" i="3"/>
  <c r="G751" i="4"/>
  <c r="N751" i="4"/>
  <c r="J751" i="4"/>
  <c r="K751" i="4" s="1"/>
  <c r="L751" i="4" s="1"/>
  <c r="M751" i="4" s="1"/>
  <c r="E756" i="3"/>
  <c r="B756" i="3"/>
  <c r="D756" i="3" s="1"/>
  <c r="N752" i="4"/>
  <c r="J752" i="4"/>
  <c r="K752" i="4"/>
  <c r="L752" i="4" s="1"/>
  <c r="M752" i="4" s="1"/>
  <c r="G752" i="4"/>
  <c r="H752" i="4" s="1"/>
  <c r="B757" i="3"/>
  <c r="D757" i="3" s="1"/>
  <c r="E757" i="3"/>
  <c r="C757" i="3"/>
  <c r="G753" i="4"/>
  <c r="N753" i="4"/>
  <c r="J753" i="4"/>
  <c r="K753" i="4" s="1"/>
  <c r="L753" i="4" s="1"/>
  <c r="M753" i="4" s="1"/>
  <c r="E758" i="3"/>
  <c r="B758" i="3"/>
  <c r="D758" i="3" s="1"/>
  <c r="N754" i="4"/>
  <c r="J754" i="4"/>
  <c r="K754" i="4"/>
  <c r="L754" i="4" s="1"/>
  <c r="M754" i="4" s="1"/>
  <c r="G754" i="4"/>
  <c r="H754" i="4" s="1"/>
  <c r="B759" i="3"/>
  <c r="D759" i="3" s="1"/>
  <c r="E759" i="3"/>
  <c r="C759" i="3"/>
  <c r="G755" i="4"/>
  <c r="N755" i="4"/>
  <c r="J755" i="4"/>
  <c r="K755" i="4" s="1"/>
  <c r="L755" i="4" s="1"/>
  <c r="M755" i="4" s="1"/>
  <c r="E760" i="3"/>
  <c r="B760" i="3"/>
  <c r="D760" i="3" s="1"/>
  <c r="N756" i="4"/>
  <c r="J756" i="4"/>
  <c r="K756" i="4"/>
  <c r="L756" i="4" s="1"/>
  <c r="M756" i="4" s="1"/>
  <c r="G756" i="4"/>
  <c r="H756" i="4" s="1"/>
  <c r="B761" i="3"/>
  <c r="D761" i="3" s="1"/>
  <c r="E761" i="3"/>
  <c r="C761" i="3"/>
  <c r="G757" i="4"/>
  <c r="N757" i="4"/>
  <c r="J757" i="4"/>
  <c r="K757" i="4" s="1"/>
  <c r="L757" i="4" s="1"/>
  <c r="M757" i="4" s="1"/>
  <c r="E762" i="3"/>
  <c r="B762" i="3"/>
  <c r="D762" i="3" s="1"/>
  <c r="N758" i="4"/>
  <c r="J758" i="4"/>
  <c r="K758" i="4"/>
  <c r="L758" i="4" s="1"/>
  <c r="M758" i="4" s="1"/>
  <c r="G758" i="4"/>
  <c r="H758" i="4" s="1"/>
  <c r="B763" i="3"/>
  <c r="D763" i="3" s="1"/>
  <c r="E763" i="3"/>
  <c r="C763" i="3"/>
  <c r="G759" i="4"/>
  <c r="N759" i="4"/>
  <c r="J759" i="4"/>
  <c r="K759" i="4" s="1"/>
  <c r="L759" i="4" s="1"/>
  <c r="M759" i="4" s="1"/>
  <c r="E764" i="3"/>
  <c r="B764" i="3"/>
  <c r="D764" i="3" s="1"/>
  <c r="N760" i="4"/>
  <c r="J760" i="4"/>
  <c r="K760" i="4"/>
  <c r="L760" i="4" s="1"/>
  <c r="M760" i="4" s="1"/>
  <c r="G760" i="4"/>
  <c r="H760" i="4" s="1"/>
  <c r="B765" i="3"/>
  <c r="D765" i="3" s="1"/>
  <c r="E765" i="3"/>
  <c r="C765" i="3"/>
  <c r="G761" i="4"/>
  <c r="N761" i="4"/>
  <c r="J761" i="4"/>
  <c r="K761" i="4" s="1"/>
  <c r="L761" i="4" s="1"/>
  <c r="M761" i="4" s="1"/>
  <c r="E766" i="3"/>
  <c r="B766" i="3"/>
  <c r="D766" i="3" s="1"/>
  <c r="N762" i="4"/>
  <c r="J762" i="4"/>
  <c r="K762" i="4"/>
  <c r="L762" i="4" s="1"/>
  <c r="M762" i="4" s="1"/>
  <c r="G762" i="4"/>
  <c r="H762" i="4" s="1"/>
  <c r="B767" i="3"/>
  <c r="D767" i="3" s="1"/>
  <c r="E767" i="3"/>
  <c r="C767" i="3"/>
  <c r="G763" i="4"/>
  <c r="N763" i="4"/>
  <c r="J763" i="4"/>
  <c r="K763" i="4" s="1"/>
  <c r="L763" i="4" s="1"/>
  <c r="M763" i="4" s="1"/>
  <c r="E768" i="3"/>
  <c r="B768" i="3"/>
  <c r="D768" i="3" s="1"/>
  <c r="N764" i="4"/>
  <c r="J764" i="4"/>
  <c r="K764" i="4"/>
  <c r="L764" i="4" s="1"/>
  <c r="M764" i="4" s="1"/>
  <c r="G764" i="4"/>
  <c r="H764" i="4" s="1"/>
  <c r="B769" i="3"/>
  <c r="D769" i="3" s="1"/>
  <c r="E769" i="3"/>
  <c r="C769" i="3"/>
  <c r="G765" i="4"/>
  <c r="N765" i="4"/>
  <c r="J765" i="4"/>
  <c r="K765" i="4" s="1"/>
  <c r="L765" i="4" s="1"/>
  <c r="M765" i="4" s="1"/>
  <c r="E770" i="3"/>
  <c r="B770" i="3"/>
  <c r="D770" i="3" s="1"/>
  <c r="N766" i="4"/>
  <c r="J766" i="4"/>
  <c r="K766" i="4"/>
  <c r="L766" i="4" s="1"/>
  <c r="M766" i="4" s="1"/>
  <c r="G766" i="4"/>
  <c r="H766" i="4" s="1"/>
  <c r="B771" i="3"/>
  <c r="D771" i="3" s="1"/>
  <c r="E771" i="3"/>
  <c r="C771" i="3"/>
  <c r="G767" i="4"/>
  <c r="N767" i="4"/>
  <c r="J767" i="4"/>
  <c r="K767" i="4" s="1"/>
  <c r="L767" i="4" s="1"/>
  <c r="M767" i="4" s="1"/>
  <c r="E772" i="3"/>
  <c r="B772" i="3"/>
  <c r="D772" i="3" s="1"/>
  <c r="N768" i="4"/>
  <c r="J768" i="4"/>
  <c r="K768" i="4"/>
  <c r="L768" i="4" s="1"/>
  <c r="M768" i="4" s="1"/>
  <c r="G768" i="4"/>
  <c r="H768" i="4" s="1"/>
  <c r="B773" i="3"/>
  <c r="D773" i="3" s="1"/>
  <c r="E773" i="3"/>
  <c r="C773" i="3"/>
  <c r="G769" i="4"/>
  <c r="N769" i="4"/>
  <c r="J769" i="4"/>
  <c r="K769" i="4" s="1"/>
  <c r="L769" i="4" s="1"/>
  <c r="M769" i="4" s="1"/>
  <c r="E774" i="3"/>
  <c r="B774" i="3"/>
  <c r="D774" i="3" s="1"/>
  <c r="N770" i="4"/>
  <c r="J770" i="4"/>
  <c r="K770" i="4"/>
  <c r="L770" i="4" s="1"/>
  <c r="M770" i="4" s="1"/>
  <c r="G770" i="4"/>
  <c r="H770" i="4" s="1"/>
  <c r="B775" i="3"/>
  <c r="D775" i="3" s="1"/>
  <c r="E775" i="3"/>
  <c r="C775" i="3"/>
  <c r="G771" i="4"/>
  <c r="N771" i="4"/>
  <c r="J771" i="4"/>
  <c r="K771" i="4" s="1"/>
  <c r="L771" i="4" s="1"/>
  <c r="M771" i="4" s="1"/>
  <c r="E776" i="3"/>
  <c r="B776" i="3"/>
  <c r="D776" i="3" s="1"/>
  <c r="N772" i="4"/>
  <c r="J772" i="4"/>
  <c r="K772" i="4"/>
  <c r="L772" i="4" s="1"/>
  <c r="M772" i="4" s="1"/>
  <c r="G772" i="4"/>
  <c r="H772" i="4" s="1"/>
  <c r="B777" i="3"/>
  <c r="D777" i="3" s="1"/>
  <c r="E777" i="3"/>
  <c r="C777" i="3"/>
  <c r="G773" i="4"/>
  <c r="I773" i="4" s="1"/>
  <c r="N773" i="4"/>
  <c r="J773" i="4"/>
  <c r="K773" i="4" s="1"/>
  <c r="L773" i="4" s="1"/>
  <c r="M773" i="4" s="1"/>
  <c r="H773" i="4"/>
  <c r="E778" i="3"/>
  <c r="B778" i="3"/>
  <c r="D778" i="3" s="1"/>
  <c r="N774" i="4"/>
  <c r="J774" i="4"/>
  <c r="K774" i="4" s="1"/>
  <c r="L774" i="4" s="1"/>
  <c r="M774" i="4" s="1"/>
  <c r="G774" i="4"/>
  <c r="H774" i="4" s="1"/>
  <c r="B779" i="3"/>
  <c r="D779" i="3" s="1"/>
  <c r="E779" i="3"/>
  <c r="C779" i="3"/>
  <c r="I775" i="4"/>
  <c r="G775" i="4"/>
  <c r="N775" i="4"/>
  <c r="J775" i="4"/>
  <c r="K775" i="4" s="1"/>
  <c r="L775" i="4" s="1"/>
  <c r="M775" i="4" s="1"/>
  <c r="H775" i="4"/>
  <c r="E780" i="3"/>
  <c r="B780" i="3"/>
  <c r="D780" i="3" s="1"/>
  <c r="N776" i="4"/>
  <c r="J776" i="4"/>
  <c r="K776" i="4" s="1"/>
  <c r="L776" i="4" s="1"/>
  <c r="M776" i="4" s="1"/>
  <c r="G776" i="4"/>
  <c r="H776" i="4" s="1"/>
  <c r="B781" i="3"/>
  <c r="D781" i="3" s="1"/>
  <c r="E781" i="3"/>
  <c r="C781" i="3"/>
  <c r="I777" i="4"/>
  <c r="G777" i="4"/>
  <c r="N777" i="4"/>
  <c r="J777" i="4"/>
  <c r="K777" i="4" s="1"/>
  <c r="L777" i="4" s="1"/>
  <c r="M777" i="4" s="1"/>
  <c r="H777" i="4"/>
  <c r="E782" i="3"/>
  <c r="B782" i="3"/>
  <c r="D782" i="3" s="1"/>
  <c r="N778" i="4"/>
  <c r="J778" i="4"/>
  <c r="K778" i="4" s="1"/>
  <c r="L778" i="4" s="1"/>
  <c r="M778" i="4" s="1"/>
  <c r="G778" i="4"/>
  <c r="H778" i="4" s="1"/>
  <c r="B783" i="3"/>
  <c r="D783" i="3" s="1"/>
  <c r="E783" i="3"/>
  <c r="C783" i="3"/>
  <c r="I779" i="4"/>
  <c r="G779" i="4"/>
  <c r="N779" i="4"/>
  <c r="J779" i="4"/>
  <c r="K779" i="4" s="1"/>
  <c r="L779" i="4" s="1"/>
  <c r="M779" i="4" s="1"/>
  <c r="H779" i="4"/>
  <c r="E784" i="3"/>
  <c r="B784" i="3"/>
  <c r="D784" i="3" s="1"/>
  <c r="N780" i="4"/>
  <c r="J780" i="4"/>
  <c r="K780" i="4" s="1"/>
  <c r="L780" i="4" s="1"/>
  <c r="M780" i="4" s="1"/>
  <c r="G780" i="4"/>
  <c r="H780" i="4" s="1"/>
  <c r="B785" i="3"/>
  <c r="D785" i="3" s="1"/>
  <c r="E785" i="3"/>
  <c r="C785" i="3"/>
  <c r="I781" i="4"/>
  <c r="G781" i="4"/>
  <c r="N781" i="4"/>
  <c r="J781" i="4"/>
  <c r="K781" i="4" s="1"/>
  <c r="L781" i="4" s="1"/>
  <c r="M781" i="4" s="1"/>
  <c r="H781" i="4"/>
  <c r="E786" i="3"/>
  <c r="B786" i="3"/>
  <c r="D786" i="3" s="1"/>
  <c r="N782" i="4"/>
  <c r="J782" i="4"/>
  <c r="K782" i="4" s="1"/>
  <c r="L782" i="4" s="1"/>
  <c r="M782" i="4" s="1"/>
  <c r="G782" i="4"/>
  <c r="H782" i="4" s="1"/>
  <c r="B787" i="3"/>
  <c r="D787" i="3" s="1"/>
  <c r="E787" i="3"/>
  <c r="C787" i="3"/>
  <c r="I783" i="4"/>
  <c r="G783" i="4"/>
  <c r="N783" i="4"/>
  <c r="J783" i="4"/>
  <c r="K783" i="4" s="1"/>
  <c r="L783" i="4" s="1"/>
  <c r="M783" i="4" s="1"/>
  <c r="H783" i="4"/>
  <c r="E788" i="3"/>
  <c r="B788" i="3"/>
  <c r="D788" i="3" s="1"/>
  <c r="N784" i="4"/>
  <c r="J784" i="4"/>
  <c r="K784" i="4" s="1"/>
  <c r="L784" i="4" s="1"/>
  <c r="M784" i="4" s="1"/>
  <c r="G784" i="4"/>
  <c r="H784" i="4" s="1"/>
  <c r="B789" i="3"/>
  <c r="D789" i="3" s="1"/>
  <c r="E789" i="3"/>
  <c r="C789" i="3"/>
  <c r="I785" i="4"/>
  <c r="G785" i="4"/>
  <c r="N785" i="4"/>
  <c r="J785" i="4"/>
  <c r="K785" i="4" s="1"/>
  <c r="L785" i="4" s="1"/>
  <c r="M785" i="4" s="1"/>
  <c r="H785" i="4"/>
  <c r="E790" i="3"/>
  <c r="B790" i="3"/>
  <c r="D790" i="3" s="1"/>
  <c r="N786" i="4"/>
  <c r="J786" i="4"/>
  <c r="K786" i="4" s="1"/>
  <c r="L786" i="4" s="1"/>
  <c r="M786" i="4" s="1"/>
  <c r="G786" i="4"/>
  <c r="H786" i="4" s="1"/>
  <c r="B791" i="3"/>
  <c r="D791" i="3" s="1"/>
  <c r="E791" i="3"/>
  <c r="C791" i="3"/>
  <c r="I787" i="4"/>
  <c r="G787" i="4"/>
  <c r="N787" i="4"/>
  <c r="J787" i="4"/>
  <c r="K787" i="4" s="1"/>
  <c r="L787" i="4" s="1"/>
  <c r="M787" i="4" s="1"/>
  <c r="H787" i="4"/>
  <c r="E792" i="3"/>
  <c r="B792" i="3"/>
  <c r="D792" i="3" s="1"/>
  <c r="N788" i="4"/>
  <c r="J788" i="4"/>
  <c r="K788" i="4" s="1"/>
  <c r="L788" i="4" s="1"/>
  <c r="M788" i="4" s="1"/>
  <c r="G788" i="4"/>
  <c r="H788" i="4" s="1"/>
  <c r="B793" i="3"/>
  <c r="D793" i="3" s="1"/>
  <c r="E793" i="3"/>
  <c r="C793" i="3"/>
  <c r="I789" i="4"/>
  <c r="G789" i="4"/>
  <c r="N789" i="4"/>
  <c r="J789" i="4"/>
  <c r="K789" i="4" s="1"/>
  <c r="L789" i="4" s="1"/>
  <c r="M789" i="4" s="1"/>
  <c r="H789" i="4"/>
  <c r="E794" i="3"/>
  <c r="B794" i="3"/>
  <c r="D794" i="3" s="1"/>
  <c r="N790" i="4"/>
  <c r="J790" i="4"/>
  <c r="K790" i="4" s="1"/>
  <c r="L790" i="4" s="1"/>
  <c r="M790" i="4" s="1"/>
  <c r="G790" i="4"/>
  <c r="H790" i="4" s="1"/>
  <c r="B795" i="3"/>
  <c r="D795" i="3" s="1"/>
  <c r="E795" i="3"/>
  <c r="C795" i="3"/>
  <c r="I791" i="4"/>
  <c r="G791" i="4"/>
  <c r="N791" i="4"/>
  <c r="J791" i="4"/>
  <c r="K791" i="4" s="1"/>
  <c r="L791" i="4" s="1"/>
  <c r="M791" i="4" s="1"/>
  <c r="H791" i="4"/>
  <c r="E796" i="3"/>
  <c r="B796" i="3"/>
  <c r="D796" i="3" s="1"/>
  <c r="N792" i="4"/>
  <c r="J792" i="4"/>
  <c r="K792" i="4" s="1"/>
  <c r="L792" i="4" s="1"/>
  <c r="M792" i="4" s="1"/>
  <c r="G792" i="4"/>
  <c r="H792" i="4" s="1"/>
  <c r="B797" i="3"/>
  <c r="D797" i="3" s="1"/>
  <c r="E797" i="3"/>
  <c r="C797" i="3"/>
  <c r="I793" i="4"/>
  <c r="G793" i="4"/>
  <c r="N793" i="4"/>
  <c r="J793" i="4"/>
  <c r="K793" i="4" s="1"/>
  <c r="L793" i="4" s="1"/>
  <c r="M793" i="4" s="1"/>
  <c r="H793" i="4"/>
  <c r="E798" i="3"/>
  <c r="B798" i="3"/>
  <c r="D798" i="3" s="1"/>
  <c r="N794" i="4"/>
  <c r="J794" i="4"/>
  <c r="K794" i="4" s="1"/>
  <c r="L794" i="4" s="1"/>
  <c r="M794" i="4" s="1"/>
  <c r="G794" i="4"/>
  <c r="H794" i="4" s="1"/>
  <c r="B799" i="3"/>
  <c r="D799" i="3" s="1"/>
  <c r="E799" i="3"/>
  <c r="C799" i="3"/>
  <c r="I795" i="4"/>
  <c r="G795" i="4"/>
  <c r="N795" i="4"/>
  <c r="J795" i="4"/>
  <c r="K795" i="4" s="1"/>
  <c r="L795" i="4" s="1"/>
  <c r="M795" i="4" s="1"/>
  <c r="H795" i="4"/>
  <c r="E800" i="3"/>
  <c r="B800" i="3"/>
  <c r="D800" i="3" s="1"/>
  <c r="N796" i="4"/>
  <c r="J796" i="4"/>
  <c r="K796" i="4" s="1"/>
  <c r="L796" i="4" s="1"/>
  <c r="M796" i="4" s="1"/>
  <c r="G796" i="4"/>
  <c r="H796" i="4" s="1"/>
  <c r="B801" i="3"/>
  <c r="D801" i="3" s="1"/>
  <c r="E801" i="3"/>
  <c r="C801" i="3"/>
  <c r="I797" i="4"/>
  <c r="G797" i="4"/>
  <c r="N797" i="4"/>
  <c r="J797" i="4"/>
  <c r="K797" i="4" s="1"/>
  <c r="L797" i="4" s="1"/>
  <c r="M797" i="4" s="1"/>
  <c r="H797" i="4"/>
  <c r="E802" i="3"/>
  <c r="B802" i="3"/>
  <c r="D802" i="3" s="1"/>
  <c r="N798" i="4"/>
  <c r="J798" i="4"/>
  <c r="K798" i="4" s="1"/>
  <c r="L798" i="4" s="1"/>
  <c r="M798" i="4" s="1"/>
  <c r="G798" i="4"/>
  <c r="H798" i="4" s="1"/>
  <c r="B803" i="3"/>
  <c r="D803" i="3" s="1"/>
  <c r="E803" i="3"/>
  <c r="C803" i="3"/>
  <c r="I799" i="4"/>
  <c r="G799" i="4"/>
  <c r="N799" i="4"/>
  <c r="J799" i="4"/>
  <c r="K799" i="4" s="1"/>
  <c r="L799" i="4" s="1"/>
  <c r="M799" i="4" s="1"/>
  <c r="H799" i="4"/>
  <c r="E804" i="3"/>
  <c r="B804" i="3"/>
  <c r="D804" i="3" s="1"/>
  <c r="N800" i="4"/>
  <c r="J800" i="4"/>
  <c r="K800" i="4" s="1"/>
  <c r="L800" i="4" s="1"/>
  <c r="M800" i="4" s="1"/>
  <c r="G800" i="4"/>
  <c r="H800" i="4" s="1"/>
  <c r="B805" i="3"/>
  <c r="D805" i="3" s="1"/>
  <c r="E805" i="3"/>
  <c r="C805" i="3"/>
  <c r="I801" i="4"/>
  <c r="G801" i="4"/>
  <c r="N801" i="4"/>
  <c r="J801" i="4"/>
  <c r="K801" i="4" s="1"/>
  <c r="L801" i="4" s="1"/>
  <c r="M801" i="4" s="1"/>
  <c r="H801" i="4"/>
  <c r="E806" i="3"/>
  <c r="B806" i="3"/>
  <c r="D806" i="3" s="1"/>
  <c r="N802" i="4"/>
  <c r="J802" i="4"/>
  <c r="K802" i="4" s="1"/>
  <c r="L802" i="4" s="1"/>
  <c r="M802" i="4" s="1"/>
  <c r="G802" i="4"/>
  <c r="H802" i="4" s="1"/>
  <c r="B807" i="3"/>
  <c r="D807" i="3" s="1"/>
  <c r="E807" i="3"/>
  <c r="C807" i="3"/>
  <c r="I803" i="4"/>
  <c r="G803" i="4"/>
  <c r="N803" i="4"/>
  <c r="J803" i="4"/>
  <c r="K803" i="4" s="1"/>
  <c r="L803" i="4" s="1"/>
  <c r="M803" i="4" s="1"/>
  <c r="H803" i="4"/>
  <c r="E808" i="3"/>
  <c r="B808" i="3"/>
  <c r="D808" i="3" s="1"/>
  <c r="N804" i="4"/>
  <c r="J804" i="4"/>
  <c r="K804" i="4" s="1"/>
  <c r="L804" i="4" s="1"/>
  <c r="M804" i="4" s="1"/>
  <c r="G804" i="4"/>
  <c r="H804" i="4" s="1"/>
  <c r="B809" i="3"/>
  <c r="D809" i="3" s="1"/>
  <c r="E809" i="3"/>
  <c r="C809" i="3"/>
  <c r="I805" i="4"/>
  <c r="G805" i="4"/>
  <c r="N805" i="4"/>
  <c r="J805" i="4"/>
  <c r="K805" i="4" s="1"/>
  <c r="L805" i="4" s="1"/>
  <c r="M805" i="4" s="1"/>
  <c r="H805" i="4"/>
  <c r="E810" i="3"/>
  <c r="B810" i="3"/>
  <c r="D810" i="3" s="1"/>
  <c r="N806" i="4"/>
  <c r="J806" i="4"/>
  <c r="K806" i="4" s="1"/>
  <c r="L806" i="4" s="1"/>
  <c r="M806" i="4" s="1"/>
  <c r="G806" i="4"/>
  <c r="H806" i="4" s="1"/>
  <c r="B811" i="3"/>
  <c r="D811" i="3" s="1"/>
  <c r="E811" i="3"/>
  <c r="C811" i="3"/>
  <c r="I807" i="4"/>
  <c r="G807" i="4"/>
  <c r="N807" i="4"/>
  <c r="J807" i="4"/>
  <c r="K807" i="4" s="1"/>
  <c r="L807" i="4" s="1"/>
  <c r="M807" i="4" s="1"/>
  <c r="H807" i="4"/>
  <c r="E812" i="3"/>
  <c r="B812" i="3"/>
  <c r="D812" i="3" s="1"/>
  <c r="N808" i="4"/>
  <c r="J808" i="4"/>
  <c r="K808" i="4" s="1"/>
  <c r="L808" i="4" s="1"/>
  <c r="M808" i="4" s="1"/>
  <c r="G808" i="4"/>
  <c r="H808" i="4" s="1"/>
  <c r="B813" i="3"/>
  <c r="D813" i="3" s="1"/>
  <c r="E813" i="3"/>
  <c r="C813" i="3"/>
  <c r="I809" i="4"/>
  <c r="G809" i="4"/>
  <c r="N809" i="4"/>
  <c r="J809" i="4"/>
  <c r="K809" i="4" s="1"/>
  <c r="L809" i="4" s="1"/>
  <c r="M809" i="4" s="1"/>
  <c r="H809" i="4"/>
  <c r="E814" i="3"/>
  <c r="B814" i="3"/>
  <c r="D814" i="3" s="1"/>
  <c r="N810" i="4"/>
  <c r="J810" i="4"/>
  <c r="K810" i="4" s="1"/>
  <c r="L810" i="4" s="1"/>
  <c r="M810" i="4" s="1"/>
  <c r="G810" i="4"/>
  <c r="H810" i="4" s="1"/>
  <c r="B815" i="3"/>
  <c r="D815" i="3" s="1"/>
  <c r="E815" i="3"/>
  <c r="C815" i="3"/>
  <c r="I811" i="4"/>
  <c r="G811" i="4"/>
  <c r="N811" i="4"/>
  <c r="J811" i="4"/>
  <c r="K811" i="4" s="1"/>
  <c r="L811" i="4" s="1"/>
  <c r="M811" i="4" s="1"/>
  <c r="H811" i="4"/>
  <c r="E816" i="3"/>
  <c r="B816" i="3"/>
  <c r="D816" i="3" s="1"/>
  <c r="N812" i="4"/>
  <c r="J812" i="4"/>
  <c r="K812" i="4" s="1"/>
  <c r="L812" i="4" s="1"/>
  <c r="M812" i="4" s="1"/>
  <c r="G812" i="4"/>
  <c r="H812" i="4" s="1"/>
  <c r="B817" i="3"/>
  <c r="D817" i="3" s="1"/>
  <c r="E817" i="3"/>
  <c r="C817" i="3"/>
  <c r="I813" i="4"/>
  <c r="G813" i="4"/>
  <c r="N813" i="4"/>
  <c r="J813" i="4"/>
  <c r="K813" i="4" s="1"/>
  <c r="L813" i="4" s="1"/>
  <c r="M813" i="4" s="1"/>
  <c r="H813" i="4"/>
  <c r="E818" i="3"/>
  <c r="B818" i="3"/>
  <c r="D818" i="3" s="1"/>
  <c r="N814" i="4"/>
  <c r="J814" i="4"/>
  <c r="K814" i="4" s="1"/>
  <c r="L814" i="4" s="1"/>
  <c r="M814" i="4" s="1"/>
  <c r="G814" i="4"/>
  <c r="H814" i="4" s="1"/>
  <c r="B819" i="3"/>
  <c r="D819" i="3" s="1"/>
  <c r="E819" i="3"/>
  <c r="C819" i="3"/>
  <c r="I815" i="4"/>
  <c r="G815" i="4"/>
  <c r="N815" i="4"/>
  <c r="J815" i="4"/>
  <c r="K815" i="4" s="1"/>
  <c r="L815" i="4" s="1"/>
  <c r="M815" i="4" s="1"/>
  <c r="H815" i="4"/>
  <c r="E820" i="3"/>
  <c r="B820" i="3"/>
  <c r="D820" i="3" s="1"/>
  <c r="N816" i="4"/>
  <c r="J816" i="4"/>
  <c r="K816" i="4" s="1"/>
  <c r="L816" i="4" s="1"/>
  <c r="M816" i="4" s="1"/>
  <c r="G816" i="4"/>
  <c r="H816" i="4" s="1"/>
  <c r="B821" i="3"/>
  <c r="D821" i="3" s="1"/>
  <c r="E821" i="3"/>
  <c r="C821" i="3"/>
  <c r="I817" i="4"/>
  <c r="G817" i="4"/>
  <c r="N817" i="4"/>
  <c r="J817" i="4"/>
  <c r="K817" i="4" s="1"/>
  <c r="L817" i="4" s="1"/>
  <c r="M817" i="4" s="1"/>
  <c r="H817" i="4"/>
  <c r="E822" i="3"/>
  <c r="B822" i="3"/>
  <c r="D822" i="3" s="1"/>
  <c r="N818" i="4"/>
  <c r="J818" i="4"/>
  <c r="K818" i="4" s="1"/>
  <c r="L818" i="4" s="1"/>
  <c r="M818" i="4" s="1"/>
  <c r="G818" i="4"/>
  <c r="H818" i="4" s="1"/>
  <c r="B823" i="3"/>
  <c r="D823" i="3" s="1"/>
  <c r="E823" i="3"/>
  <c r="C823" i="3"/>
  <c r="I819" i="4"/>
  <c r="G819" i="4"/>
  <c r="N819" i="4"/>
  <c r="J819" i="4"/>
  <c r="K819" i="4" s="1"/>
  <c r="L819" i="4" s="1"/>
  <c r="M819" i="4" s="1"/>
  <c r="H819" i="4"/>
  <c r="E824" i="3"/>
  <c r="B824" i="3"/>
  <c r="D824" i="3" s="1"/>
  <c r="N820" i="4"/>
  <c r="J820" i="4"/>
  <c r="K820" i="4" s="1"/>
  <c r="L820" i="4" s="1"/>
  <c r="M820" i="4" s="1"/>
  <c r="G820" i="4"/>
  <c r="H820" i="4" s="1"/>
  <c r="B825" i="3"/>
  <c r="D825" i="3" s="1"/>
  <c r="E825" i="3"/>
  <c r="C825" i="3"/>
  <c r="I821" i="4"/>
  <c r="G821" i="4"/>
  <c r="N821" i="4"/>
  <c r="J821" i="4"/>
  <c r="K821" i="4" s="1"/>
  <c r="L821" i="4" s="1"/>
  <c r="M821" i="4" s="1"/>
  <c r="H821" i="4"/>
  <c r="E826" i="3"/>
  <c r="B826" i="3"/>
  <c r="D826" i="3" s="1"/>
  <c r="N822" i="4"/>
  <c r="J822" i="4"/>
  <c r="K822" i="4" s="1"/>
  <c r="L822" i="4" s="1"/>
  <c r="M822" i="4" s="1"/>
  <c r="G822" i="4"/>
  <c r="H822" i="4" s="1"/>
  <c r="B827" i="3"/>
  <c r="D827" i="3" s="1"/>
  <c r="E827" i="3"/>
  <c r="C827" i="3"/>
  <c r="I823" i="4"/>
  <c r="G823" i="4"/>
  <c r="N823" i="4"/>
  <c r="J823" i="4"/>
  <c r="K823" i="4" s="1"/>
  <c r="L823" i="4" s="1"/>
  <c r="M823" i="4" s="1"/>
  <c r="H823" i="4"/>
  <c r="E828" i="3"/>
  <c r="B828" i="3"/>
  <c r="D828" i="3" s="1"/>
  <c r="N824" i="4"/>
  <c r="J824" i="4"/>
  <c r="K824" i="4" s="1"/>
  <c r="L824" i="4" s="1"/>
  <c r="M824" i="4" s="1"/>
  <c r="G824" i="4"/>
  <c r="H824" i="4" s="1"/>
  <c r="B829" i="3"/>
  <c r="D829" i="3" s="1"/>
  <c r="E829" i="3"/>
  <c r="C829" i="3"/>
  <c r="I825" i="4"/>
  <c r="G825" i="4"/>
  <c r="N825" i="4"/>
  <c r="J825" i="4"/>
  <c r="K825" i="4" s="1"/>
  <c r="L825" i="4" s="1"/>
  <c r="M825" i="4" s="1"/>
  <c r="H825" i="4"/>
  <c r="E830" i="3"/>
  <c r="B830" i="3"/>
  <c r="D830" i="3" s="1"/>
  <c r="N826" i="4"/>
  <c r="J826" i="4"/>
  <c r="K826" i="4" s="1"/>
  <c r="L826" i="4" s="1"/>
  <c r="M826" i="4" s="1"/>
  <c r="G826" i="4"/>
  <c r="H826" i="4" s="1"/>
  <c r="B831" i="3"/>
  <c r="D831" i="3" s="1"/>
  <c r="E831" i="3"/>
  <c r="C831" i="3"/>
  <c r="E832" i="3"/>
  <c r="B832" i="3"/>
  <c r="D832" i="3" s="1"/>
  <c r="B833" i="3"/>
  <c r="D833" i="3" s="1"/>
  <c r="E833" i="3"/>
  <c r="C833" i="3"/>
  <c r="E834" i="3"/>
  <c r="B834" i="3"/>
  <c r="D834" i="3" s="1"/>
  <c r="B835" i="3"/>
  <c r="D835" i="3" s="1"/>
  <c r="E835" i="3"/>
  <c r="C835" i="3"/>
  <c r="E836" i="3"/>
  <c r="B836" i="3"/>
  <c r="D836" i="3" s="1"/>
  <c r="B837" i="3"/>
  <c r="D837" i="3" s="1"/>
  <c r="E837" i="3"/>
  <c r="C837" i="3"/>
  <c r="E838" i="3"/>
  <c r="B838" i="3"/>
  <c r="D838" i="3" s="1"/>
  <c r="B839" i="3"/>
  <c r="D839" i="3" s="1"/>
  <c r="E839" i="3"/>
  <c r="C839" i="3"/>
  <c r="E840" i="3"/>
  <c r="B840" i="3"/>
  <c r="D840" i="3" s="1"/>
  <c r="B841" i="3"/>
  <c r="D841" i="3" s="1"/>
  <c r="E841" i="3"/>
  <c r="C841" i="3"/>
  <c r="E842" i="3"/>
  <c r="B842" i="3"/>
  <c r="D842" i="3" s="1"/>
  <c r="B843" i="3"/>
  <c r="D843" i="3" s="1"/>
  <c r="E843" i="3"/>
  <c r="C843" i="3"/>
  <c r="E844" i="3"/>
  <c r="B844" i="3"/>
  <c r="D844" i="3" s="1"/>
  <c r="B845" i="3"/>
  <c r="D845" i="3" s="1"/>
  <c r="E845" i="3"/>
  <c r="C845" i="3"/>
  <c r="E846" i="3"/>
  <c r="B846" i="3"/>
  <c r="D846" i="3" s="1"/>
  <c r="B847" i="3"/>
  <c r="D847" i="3" s="1"/>
  <c r="E847" i="3"/>
  <c r="C847" i="3"/>
  <c r="E848" i="3"/>
  <c r="B848" i="3"/>
  <c r="D848" i="3" s="1"/>
  <c r="B849" i="3"/>
  <c r="D849" i="3" s="1"/>
  <c r="E849" i="3"/>
  <c r="C849" i="3"/>
  <c r="E850" i="3"/>
  <c r="B850" i="3"/>
  <c r="D850" i="3" s="1"/>
  <c r="B851" i="3"/>
  <c r="D851" i="3" s="1"/>
  <c r="E851" i="3"/>
  <c r="C851" i="3"/>
  <c r="E852" i="3"/>
  <c r="B852" i="3"/>
  <c r="D852" i="3" s="1"/>
  <c r="B853" i="3"/>
  <c r="D853" i="3" s="1"/>
  <c r="E853" i="3"/>
  <c r="C853" i="3"/>
  <c r="E854" i="3"/>
  <c r="B854" i="3"/>
  <c r="D854" i="3" s="1"/>
  <c r="B855" i="3"/>
  <c r="D855" i="3" s="1"/>
  <c r="E855" i="3"/>
  <c r="C855" i="3"/>
  <c r="E856" i="3"/>
  <c r="B856" i="3"/>
  <c r="D856" i="3" s="1"/>
  <c r="B857" i="3"/>
  <c r="D857" i="3" s="1"/>
  <c r="E857" i="3"/>
  <c r="C857" i="3"/>
  <c r="E858" i="3"/>
  <c r="B858" i="3"/>
  <c r="D858" i="3" s="1"/>
  <c r="B859" i="3"/>
  <c r="D859" i="3" s="1"/>
  <c r="E859" i="3"/>
  <c r="C859" i="3"/>
  <c r="E860" i="3"/>
  <c r="B860" i="3"/>
  <c r="D860" i="3" s="1"/>
  <c r="B861" i="3"/>
  <c r="D861" i="3" s="1"/>
  <c r="E861" i="3"/>
  <c r="C861" i="3"/>
  <c r="E862" i="3"/>
  <c r="B862" i="3"/>
  <c r="D862" i="3" s="1"/>
  <c r="B863" i="3"/>
  <c r="D863" i="3" s="1"/>
  <c r="E863" i="3"/>
  <c r="C863" i="3"/>
  <c r="E864" i="3"/>
  <c r="B864" i="3"/>
  <c r="D864" i="3" s="1"/>
  <c r="B865" i="3"/>
  <c r="D865" i="3" s="1"/>
  <c r="E865" i="3"/>
  <c r="C865" i="3"/>
  <c r="E866" i="3"/>
  <c r="B866" i="3"/>
  <c r="D866" i="3" s="1"/>
  <c r="B867" i="3"/>
  <c r="D867" i="3" s="1"/>
  <c r="E867" i="3"/>
  <c r="C867" i="3"/>
  <c r="E868" i="3"/>
  <c r="B868" i="3"/>
  <c r="D868" i="3" s="1"/>
  <c r="B869" i="3"/>
  <c r="D869" i="3" s="1"/>
  <c r="E869" i="3"/>
  <c r="C869" i="3"/>
  <c r="E870" i="3"/>
  <c r="B870" i="3"/>
  <c r="D870" i="3" s="1"/>
  <c r="B871" i="3"/>
  <c r="D871" i="3" s="1"/>
  <c r="E871" i="3"/>
  <c r="C871" i="3"/>
  <c r="E872" i="3"/>
  <c r="B872" i="3"/>
  <c r="D872" i="3" s="1"/>
  <c r="B873" i="3"/>
  <c r="D873" i="3" s="1"/>
  <c r="E873" i="3"/>
  <c r="C873" i="3"/>
  <c r="E874" i="3"/>
  <c r="B874" i="3"/>
  <c r="D874" i="3" s="1"/>
  <c r="B875" i="3"/>
  <c r="D875" i="3" s="1"/>
  <c r="E875" i="3"/>
  <c r="C875" i="3"/>
  <c r="E876" i="3"/>
  <c r="B876" i="3"/>
  <c r="D876" i="3" s="1"/>
  <c r="B877" i="3"/>
  <c r="D877" i="3" s="1"/>
  <c r="E877" i="3"/>
  <c r="C877" i="3"/>
  <c r="E878" i="3"/>
  <c r="B878" i="3"/>
  <c r="D878" i="3" s="1"/>
  <c r="B879" i="3"/>
  <c r="D879" i="3" s="1"/>
  <c r="E879" i="3"/>
  <c r="C879" i="3"/>
  <c r="E880" i="3"/>
  <c r="B880" i="3"/>
  <c r="D880" i="3" s="1"/>
  <c r="B881" i="3"/>
  <c r="D881" i="3" s="1"/>
  <c r="E881" i="3"/>
  <c r="C881" i="3"/>
  <c r="E882" i="3"/>
  <c r="B882" i="3"/>
  <c r="D882" i="3" s="1"/>
  <c r="B883" i="3"/>
  <c r="D883" i="3" s="1"/>
  <c r="E883" i="3"/>
  <c r="C883" i="3"/>
  <c r="E884" i="3"/>
  <c r="B884" i="3"/>
  <c r="D884" i="3" s="1"/>
  <c r="B885" i="3"/>
  <c r="D885" i="3" s="1"/>
  <c r="E885" i="3"/>
  <c r="C885" i="3"/>
  <c r="E886" i="3"/>
  <c r="B886" i="3"/>
  <c r="D886" i="3" s="1"/>
  <c r="B887" i="3"/>
  <c r="D887" i="3" s="1"/>
  <c r="E887" i="3"/>
  <c r="C887" i="3"/>
  <c r="E888" i="3"/>
  <c r="B888" i="3"/>
  <c r="D888" i="3" s="1"/>
  <c r="B889" i="3"/>
  <c r="D889" i="3" s="1"/>
  <c r="E889" i="3"/>
  <c r="C889" i="3"/>
  <c r="E890" i="3"/>
  <c r="B890" i="3"/>
  <c r="D890" i="3" s="1"/>
  <c r="B891" i="3"/>
  <c r="D891" i="3" s="1"/>
  <c r="E891" i="3"/>
  <c r="C891" i="3"/>
  <c r="E892" i="3"/>
  <c r="B892" i="3"/>
  <c r="D892" i="3" s="1"/>
  <c r="B893" i="3"/>
  <c r="D893" i="3" s="1"/>
  <c r="E893" i="3"/>
  <c r="C893" i="3"/>
  <c r="E894" i="3"/>
  <c r="B894" i="3"/>
  <c r="D894" i="3" s="1"/>
  <c r="B895" i="3"/>
  <c r="D895" i="3" s="1"/>
  <c r="E895" i="3"/>
  <c r="C895" i="3"/>
  <c r="E896" i="3"/>
  <c r="B896" i="3"/>
  <c r="D896" i="3" s="1"/>
  <c r="B897" i="3"/>
  <c r="D897" i="3" s="1"/>
  <c r="E897" i="3"/>
  <c r="C897" i="3"/>
  <c r="E898" i="3"/>
  <c r="B898" i="3"/>
  <c r="D898" i="3" s="1"/>
  <c r="B899" i="3"/>
  <c r="D899" i="3" s="1"/>
  <c r="E899" i="3"/>
  <c r="C899" i="3"/>
  <c r="E900" i="3"/>
  <c r="B900" i="3"/>
  <c r="D900" i="3" s="1"/>
  <c r="B901" i="3"/>
  <c r="D901" i="3" s="1"/>
  <c r="E901" i="3"/>
  <c r="C901" i="3"/>
  <c r="E902" i="3"/>
  <c r="B902" i="3"/>
  <c r="D902" i="3" s="1"/>
  <c r="B903" i="3"/>
  <c r="D903" i="3" s="1"/>
  <c r="E903" i="3"/>
  <c r="C903" i="3"/>
  <c r="E904" i="3"/>
  <c r="B904" i="3"/>
  <c r="D904" i="3" s="1"/>
  <c r="B905" i="3"/>
  <c r="D905" i="3" s="1"/>
  <c r="E905" i="3"/>
  <c r="C905" i="3"/>
  <c r="E906" i="3"/>
  <c r="B906" i="3"/>
  <c r="D906" i="3" s="1"/>
  <c r="B907" i="3"/>
  <c r="D907" i="3" s="1"/>
  <c r="E907" i="3"/>
  <c r="C907" i="3"/>
  <c r="E908" i="3"/>
  <c r="B908" i="3"/>
  <c r="D908" i="3" s="1"/>
  <c r="B909" i="3"/>
  <c r="D909" i="3" s="1"/>
  <c r="E909" i="3"/>
  <c r="C909" i="3"/>
  <c r="E910" i="3"/>
  <c r="B910" i="3"/>
  <c r="D910" i="3" s="1"/>
  <c r="B911" i="3"/>
  <c r="D911" i="3" s="1"/>
  <c r="E911" i="3"/>
  <c r="C911" i="3"/>
  <c r="E912" i="3"/>
  <c r="B912" i="3"/>
  <c r="D912" i="3" s="1"/>
  <c r="B913" i="3"/>
  <c r="D913" i="3" s="1"/>
  <c r="E913" i="3"/>
  <c r="C913" i="3"/>
  <c r="E914" i="3"/>
  <c r="B914" i="3"/>
  <c r="D914" i="3" s="1"/>
  <c r="B915" i="3"/>
  <c r="D915" i="3" s="1"/>
  <c r="E915" i="3"/>
  <c r="C915" i="3"/>
  <c r="E916" i="3"/>
  <c r="B916" i="3"/>
  <c r="D916" i="3" s="1"/>
  <c r="B917" i="3"/>
  <c r="D917" i="3" s="1"/>
  <c r="E917" i="3"/>
  <c r="C917" i="3"/>
  <c r="E918" i="3"/>
  <c r="B918" i="3"/>
  <c r="D918" i="3" s="1"/>
  <c r="B919" i="3"/>
  <c r="D919" i="3" s="1"/>
  <c r="E919" i="3"/>
  <c r="C919" i="3"/>
  <c r="E920" i="3"/>
  <c r="B920" i="3"/>
  <c r="D920" i="3" s="1"/>
  <c r="B921" i="3"/>
  <c r="D921" i="3" s="1"/>
  <c r="E921" i="3"/>
  <c r="C921" i="3"/>
  <c r="E922" i="3"/>
  <c r="B922" i="3"/>
  <c r="D922" i="3" s="1"/>
  <c r="B923" i="3"/>
  <c r="D923" i="3" s="1"/>
  <c r="E923" i="3"/>
  <c r="C923" i="3"/>
  <c r="E924" i="3"/>
  <c r="B924" i="3"/>
  <c r="D924" i="3" s="1"/>
  <c r="B925" i="3"/>
  <c r="D925" i="3" s="1"/>
  <c r="E925" i="3"/>
  <c r="C925" i="3"/>
  <c r="E926" i="3"/>
  <c r="B926" i="3"/>
  <c r="D926" i="3" s="1"/>
  <c r="B927" i="3"/>
  <c r="D927" i="3" s="1"/>
  <c r="E927" i="3"/>
  <c r="C927" i="3"/>
  <c r="E928" i="3"/>
  <c r="B928" i="3"/>
  <c r="D928" i="3" s="1"/>
  <c r="B929" i="3"/>
  <c r="D929" i="3" s="1"/>
  <c r="E929" i="3"/>
  <c r="C929" i="3"/>
  <c r="E930" i="3"/>
  <c r="B930" i="3"/>
  <c r="D930" i="3" s="1"/>
  <c r="B931" i="3"/>
  <c r="D931" i="3" s="1"/>
  <c r="E931" i="3"/>
  <c r="C931" i="3"/>
  <c r="E932" i="3"/>
  <c r="B932" i="3"/>
  <c r="D932" i="3" s="1"/>
  <c r="B933" i="3"/>
  <c r="D933" i="3" s="1"/>
  <c r="E933" i="3"/>
  <c r="C933" i="3"/>
  <c r="E934" i="3"/>
  <c r="B934" i="3"/>
  <c r="D934" i="3" s="1"/>
  <c r="B935" i="3"/>
  <c r="D935" i="3" s="1"/>
  <c r="E935" i="3"/>
  <c r="C935" i="3"/>
  <c r="E936" i="3"/>
  <c r="B936" i="3"/>
  <c r="D936" i="3" s="1"/>
  <c r="B937" i="3"/>
  <c r="D937" i="3" s="1"/>
  <c r="E937" i="3"/>
  <c r="C937" i="3"/>
  <c r="E938" i="3"/>
  <c r="B938" i="3"/>
  <c r="D938" i="3" s="1"/>
  <c r="B939" i="3"/>
  <c r="D939" i="3" s="1"/>
  <c r="E939" i="3"/>
  <c r="C939" i="3"/>
  <c r="E940" i="3"/>
  <c r="B940" i="3"/>
  <c r="D940" i="3" s="1"/>
  <c r="B941" i="3"/>
  <c r="D941" i="3" s="1"/>
  <c r="E941" i="3"/>
  <c r="C941" i="3"/>
  <c r="E942" i="3"/>
  <c r="B942" i="3"/>
  <c r="D942" i="3" s="1"/>
  <c r="B943" i="3"/>
  <c r="D943" i="3" s="1"/>
  <c r="E943" i="3"/>
  <c r="C943" i="3"/>
  <c r="E944" i="3"/>
  <c r="B944" i="3"/>
  <c r="D944" i="3" s="1"/>
  <c r="B945" i="3"/>
  <c r="D945" i="3" s="1"/>
  <c r="E945" i="3"/>
  <c r="C945" i="3"/>
  <c r="E946" i="3"/>
  <c r="B946" i="3"/>
  <c r="D946" i="3" s="1"/>
  <c r="B947" i="3"/>
  <c r="D947" i="3" s="1"/>
  <c r="E947" i="3"/>
  <c r="C947" i="3"/>
  <c r="E948" i="3"/>
  <c r="B948" i="3"/>
  <c r="D948" i="3" s="1"/>
  <c r="B949" i="3"/>
  <c r="D949" i="3" s="1"/>
  <c r="E949" i="3"/>
  <c r="C949" i="3"/>
  <c r="E950" i="3"/>
  <c r="B950" i="3"/>
  <c r="D950" i="3" s="1"/>
  <c r="B951" i="3"/>
  <c r="D951" i="3" s="1"/>
  <c r="E951" i="3"/>
  <c r="C951" i="3"/>
  <c r="E952" i="3"/>
  <c r="B952" i="3"/>
  <c r="D952" i="3" s="1"/>
  <c r="B953" i="3"/>
  <c r="D953" i="3" s="1"/>
  <c r="E953" i="3"/>
  <c r="C953" i="3"/>
  <c r="E954" i="3"/>
  <c r="B954" i="3"/>
  <c r="D954" i="3" s="1"/>
  <c r="B955" i="3"/>
  <c r="D955" i="3" s="1"/>
  <c r="E955" i="3"/>
  <c r="C955" i="3"/>
  <c r="E956" i="3"/>
  <c r="B956" i="3"/>
  <c r="D956" i="3" s="1"/>
  <c r="B957" i="3"/>
  <c r="D957" i="3" s="1"/>
  <c r="E957" i="3"/>
  <c r="C957" i="3"/>
  <c r="E958" i="3"/>
  <c r="B958" i="3"/>
  <c r="D958" i="3" s="1"/>
  <c r="B959" i="3"/>
  <c r="D959" i="3" s="1"/>
  <c r="E959" i="3"/>
  <c r="C959" i="3"/>
  <c r="E960" i="3"/>
  <c r="B960" i="3"/>
  <c r="D960" i="3" s="1"/>
  <c r="B961" i="3"/>
  <c r="D961" i="3" s="1"/>
  <c r="E961" i="3"/>
  <c r="C961" i="3"/>
  <c r="E962" i="3"/>
  <c r="B962" i="3"/>
  <c r="D962" i="3" s="1"/>
  <c r="B963" i="3"/>
  <c r="D963" i="3" s="1"/>
  <c r="E963" i="3"/>
  <c r="C963" i="3"/>
  <c r="E964" i="3"/>
  <c r="B964" i="3"/>
  <c r="D964" i="3" s="1"/>
  <c r="B965" i="3"/>
  <c r="D965" i="3" s="1"/>
  <c r="E965" i="3"/>
  <c r="C965" i="3"/>
  <c r="E966" i="3"/>
  <c r="B966" i="3"/>
  <c r="D966" i="3" s="1"/>
  <c r="B967" i="3"/>
  <c r="D967" i="3" s="1"/>
  <c r="E967" i="3"/>
  <c r="C967" i="3"/>
  <c r="E968" i="3"/>
  <c r="B968" i="3"/>
  <c r="D968" i="3" s="1"/>
  <c r="B969" i="3"/>
  <c r="D969" i="3" s="1"/>
  <c r="E969" i="3"/>
  <c r="C969" i="3"/>
  <c r="E970" i="3"/>
  <c r="B970" i="3"/>
  <c r="D970" i="3" s="1"/>
  <c r="B971" i="3"/>
  <c r="D971" i="3" s="1"/>
  <c r="E971" i="3"/>
  <c r="C971" i="3"/>
  <c r="E972" i="3"/>
  <c r="B972" i="3"/>
  <c r="D972" i="3" s="1"/>
  <c r="B973" i="3"/>
  <c r="D973" i="3" s="1"/>
  <c r="E973" i="3"/>
  <c r="C973" i="3"/>
  <c r="E974" i="3"/>
  <c r="B974" i="3"/>
  <c r="D974" i="3" s="1"/>
  <c r="B975" i="3"/>
  <c r="D975" i="3" s="1"/>
  <c r="E975" i="3"/>
  <c r="C975" i="3"/>
  <c r="E976" i="3"/>
  <c r="B976" i="3"/>
  <c r="D976" i="3" s="1"/>
  <c r="B977" i="3"/>
  <c r="D977" i="3" s="1"/>
  <c r="E977" i="3"/>
  <c r="C977" i="3"/>
  <c r="E978" i="3"/>
  <c r="B978" i="3"/>
  <c r="D978" i="3" s="1"/>
  <c r="B979" i="3"/>
  <c r="D979" i="3" s="1"/>
  <c r="E979" i="3"/>
  <c r="C979" i="3"/>
  <c r="E980" i="3"/>
  <c r="B980" i="3"/>
  <c r="D980" i="3" s="1"/>
  <c r="B981" i="3"/>
  <c r="D981" i="3" s="1"/>
  <c r="E981" i="3"/>
  <c r="C981" i="3"/>
  <c r="E982" i="3"/>
  <c r="B982" i="3"/>
  <c r="D982" i="3" s="1"/>
  <c r="B983" i="3"/>
  <c r="D983" i="3" s="1"/>
  <c r="E983" i="3"/>
  <c r="C983" i="3"/>
  <c r="E984" i="3"/>
  <c r="B984" i="3"/>
  <c r="D984" i="3" s="1"/>
  <c r="B985" i="3"/>
  <c r="D985" i="3" s="1"/>
  <c r="E985" i="3"/>
  <c r="C985" i="3"/>
  <c r="E986" i="3"/>
  <c r="B986" i="3"/>
  <c r="D986" i="3" s="1"/>
  <c r="B987" i="3"/>
  <c r="D987" i="3" s="1"/>
  <c r="E987" i="3"/>
  <c r="C987" i="3"/>
  <c r="E988" i="3"/>
  <c r="B988" i="3"/>
  <c r="D988" i="3" s="1"/>
  <c r="B989" i="3"/>
  <c r="D989" i="3" s="1"/>
  <c r="E989" i="3"/>
  <c r="C989" i="3"/>
  <c r="E990" i="3"/>
  <c r="B990" i="3"/>
  <c r="D990" i="3" s="1"/>
  <c r="B991" i="3"/>
  <c r="D991" i="3" s="1"/>
  <c r="E991" i="3"/>
  <c r="C991" i="3"/>
  <c r="E992" i="3"/>
  <c r="B992" i="3"/>
  <c r="D992" i="3" s="1"/>
  <c r="B993" i="3"/>
  <c r="D993" i="3" s="1"/>
  <c r="E993" i="3"/>
  <c r="C993" i="3"/>
  <c r="E994" i="3"/>
  <c r="B994" i="3"/>
  <c r="D994" i="3" s="1"/>
  <c r="B995" i="3"/>
  <c r="D995" i="3" s="1"/>
  <c r="E995" i="3"/>
  <c r="C995" i="3"/>
  <c r="E996" i="3"/>
  <c r="B996" i="3"/>
  <c r="D996" i="3" s="1"/>
  <c r="B997" i="3"/>
  <c r="D997" i="3" s="1"/>
  <c r="E997" i="3"/>
  <c r="C997" i="3"/>
  <c r="E998" i="3"/>
  <c r="B998" i="3"/>
  <c r="D998" i="3" s="1"/>
  <c r="B999" i="3"/>
  <c r="D999" i="3" s="1"/>
  <c r="E999" i="3"/>
  <c r="C999" i="3"/>
  <c r="E1000" i="3"/>
  <c r="B1000" i="3"/>
  <c r="D1000" i="3" s="1"/>
  <c r="B1001" i="3"/>
  <c r="D1001" i="3" s="1"/>
  <c r="E1001" i="3"/>
  <c r="C1001" i="3"/>
  <c r="E1002" i="3"/>
  <c r="B1002" i="3"/>
  <c r="D1002" i="3" s="1"/>
  <c r="B1003" i="3"/>
  <c r="D1003" i="3" s="1"/>
  <c r="E1003" i="3"/>
  <c r="C1003" i="3"/>
  <c r="E1004" i="3"/>
  <c r="B1004" i="3"/>
  <c r="D1004" i="3" s="1"/>
  <c r="B1005" i="3"/>
  <c r="D1005" i="3" s="1"/>
  <c r="E1005" i="3"/>
  <c r="C1005" i="3"/>
  <c r="E1006" i="3"/>
  <c r="B1006" i="3"/>
  <c r="D1006" i="3" s="1"/>
  <c r="B1007" i="3"/>
  <c r="D1007" i="3" s="1"/>
  <c r="E1007" i="3"/>
  <c r="C1007" i="3"/>
  <c r="E1008" i="3"/>
  <c r="B1008" i="3"/>
  <c r="D1008" i="3" s="1"/>
  <c r="B1009" i="3"/>
  <c r="D1009" i="3" s="1"/>
  <c r="E1009" i="3"/>
  <c r="C1009" i="3"/>
  <c r="E1010" i="3"/>
  <c r="B1010" i="3"/>
  <c r="D1010" i="3" s="1"/>
  <c r="B1011" i="3"/>
  <c r="D1011" i="3" s="1"/>
  <c r="E1011" i="3"/>
  <c r="C1011" i="3"/>
  <c r="E1012" i="3"/>
  <c r="B1012" i="3"/>
  <c r="D1012" i="3" s="1"/>
  <c r="B1013" i="3"/>
  <c r="D1013" i="3" s="1"/>
  <c r="E1013" i="3"/>
  <c r="C1013" i="3"/>
  <c r="E1014" i="3"/>
  <c r="B1014" i="3"/>
  <c r="D1014" i="3" s="1"/>
  <c r="B1015" i="3"/>
  <c r="D1015" i="3" s="1"/>
  <c r="E1015" i="3"/>
  <c r="C1015" i="3"/>
  <c r="E1016" i="3"/>
  <c r="B1016" i="3"/>
  <c r="D1016" i="3" s="1"/>
  <c r="B1017" i="3"/>
  <c r="D1017" i="3" s="1"/>
  <c r="E1017" i="3"/>
  <c r="C1017" i="3"/>
  <c r="E1018" i="3"/>
  <c r="B1018" i="3"/>
  <c r="D1018" i="3" s="1"/>
  <c r="B1019" i="3"/>
  <c r="D1019" i="3" s="1"/>
  <c r="E1019" i="3"/>
  <c r="C1019" i="3"/>
  <c r="E1020" i="3"/>
  <c r="B1020" i="3"/>
  <c r="D1020" i="3" s="1"/>
  <c r="B1021" i="3"/>
  <c r="D1021" i="3" s="1"/>
  <c r="E1021" i="3"/>
  <c r="C1021" i="3"/>
  <c r="E1022" i="3"/>
  <c r="B1022" i="3"/>
  <c r="D1022" i="3" s="1"/>
  <c r="B1023" i="3"/>
  <c r="D1023" i="3" s="1"/>
  <c r="E1023" i="3"/>
  <c r="C1023" i="3"/>
  <c r="E1024" i="3"/>
  <c r="B1024" i="3"/>
  <c r="D1024" i="3" s="1"/>
  <c r="B1025" i="3"/>
  <c r="D1025" i="3" s="1"/>
  <c r="E1025" i="3"/>
  <c r="C1025" i="3"/>
  <c r="E1026" i="3"/>
  <c r="B1026" i="3"/>
  <c r="D1026" i="3" s="1"/>
  <c r="B1027" i="3"/>
  <c r="D1027" i="3" s="1"/>
  <c r="E1027" i="3"/>
  <c r="C1027" i="3"/>
  <c r="E1028" i="3"/>
  <c r="B1028" i="3"/>
  <c r="D1028" i="3" s="1"/>
  <c r="B1029" i="3"/>
  <c r="D1029" i="3" s="1"/>
  <c r="E1029" i="3"/>
  <c r="C1029" i="3"/>
  <c r="E1030" i="3"/>
  <c r="B1030" i="3"/>
  <c r="D1030" i="3" s="1"/>
  <c r="B1031" i="3"/>
  <c r="D1031" i="3" s="1"/>
  <c r="E1031" i="3"/>
  <c r="C1031" i="3"/>
  <c r="E1032" i="3"/>
  <c r="B1032" i="3"/>
  <c r="D1032" i="3" s="1"/>
  <c r="B1033" i="3"/>
  <c r="D1033" i="3" s="1"/>
  <c r="E1033" i="3"/>
  <c r="C1033" i="3"/>
  <c r="E1034" i="3"/>
  <c r="B1034" i="3"/>
  <c r="D1034" i="3" s="1"/>
  <c r="B1035" i="3"/>
  <c r="D1035" i="3" s="1"/>
  <c r="E1035" i="3"/>
  <c r="C1035" i="3"/>
  <c r="E1036" i="3"/>
  <c r="B1036" i="3"/>
  <c r="D1036" i="3" s="1"/>
  <c r="B1037" i="3"/>
  <c r="D1037" i="3" s="1"/>
  <c r="E1037" i="3"/>
  <c r="C1037" i="3"/>
  <c r="E1038" i="3"/>
  <c r="B1038" i="3"/>
  <c r="D1038" i="3" s="1"/>
  <c r="B1039" i="3"/>
  <c r="D1039" i="3" s="1"/>
  <c r="E1039" i="3"/>
  <c r="C1039" i="3"/>
  <c r="E1040" i="3"/>
  <c r="B1040" i="3"/>
  <c r="D1040" i="3" s="1"/>
  <c r="B1041" i="3"/>
  <c r="D1041" i="3" s="1"/>
  <c r="E1041" i="3"/>
  <c r="C1041" i="3"/>
  <c r="E1042" i="3"/>
  <c r="B1042" i="3"/>
  <c r="D1042" i="3" s="1"/>
  <c r="B1043" i="3"/>
  <c r="D1043" i="3" s="1"/>
  <c r="E1043" i="3"/>
  <c r="C1043" i="3"/>
  <c r="E1044" i="3"/>
  <c r="B1044" i="3"/>
  <c r="D1044" i="3" s="1"/>
  <c r="B1045" i="3"/>
  <c r="D1045" i="3" s="1"/>
  <c r="E1045" i="3"/>
  <c r="C1045" i="3"/>
  <c r="E1046" i="3"/>
  <c r="B1046" i="3"/>
  <c r="D1046" i="3" s="1"/>
  <c r="B1047" i="3"/>
  <c r="D1047" i="3" s="1"/>
  <c r="E1047" i="3"/>
  <c r="C1047" i="3"/>
  <c r="E1048" i="3"/>
  <c r="B1048" i="3"/>
  <c r="D1048" i="3" s="1"/>
  <c r="B1049" i="3"/>
  <c r="D1049" i="3" s="1"/>
  <c r="E1049" i="3"/>
  <c r="C1049" i="3"/>
  <c r="E1050" i="3"/>
  <c r="B1050" i="3"/>
  <c r="D1050" i="3" s="1"/>
  <c r="B1051" i="3"/>
  <c r="D1051" i="3" s="1"/>
  <c r="E1051" i="3"/>
  <c r="C1051" i="3"/>
  <c r="E1052" i="3"/>
  <c r="B1052" i="3"/>
  <c r="D1052" i="3" s="1"/>
  <c r="B1053" i="3"/>
  <c r="D1053" i="3" s="1"/>
  <c r="E1053" i="3"/>
  <c r="C1053" i="3"/>
  <c r="E1054" i="3"/>
  <c r="B1054" i="3"/>
  <c r="D1054" i="3" s="1"/>
  <c r="B1055" i="3"/>
  <c r="D1055" i="3" s="1"/>
  <c r="E1055" i="3"/>
  <c r="C1055" i="3"/>
  <c r="E1056" i="3"/>
  <c r="B1056" i="3"/>
  <c r="D1056" i="3" s="1"/>
  <c r="B1057" i="3"/>
  <c r="D1057" i="3" s="1"/>
  <c r="E1057" i="3"/>
  <c r="C1057" i="3"/>
  <c r="E1058" i="3"/>
  <c r="B1058" i="3"/>
  <c r="D1058" i="3" s="1"/>
  <c r="B1059" i="3"/>
  <c r="D1059" i="3" s="1"/>
  <c r="E1059" i="3"/>
  <c r="C1059" i="3"/>
  <c r="E1060" i="3"/>
  <c r="B1060" i="3"/>
  <c r="D1060" i="3" s="1"/>
  <c r="B1061" i="3"/>
  <c r="D1061" i="3" s="1"/>
  <c r="E1061" i="3"/>
  <c r="C1061" i="3"/>
  <c r="E1062" i="3"/>
  <c r="B1062" i="3"/>
  <c r="D1062" i="3" s="1"/>
  <c r="B1063" i="3"/>
  <c r="D1063" i="3" s="1"/>
  <c r="E1063" i="3"/>
  <c r="C1063" i="3"/>
  <c r="E1064" i="3"/>
  <c r="B1064" i="3"/>
  <c r="D1064" i="3" s="1"/>
  <c r="B1065" i="3"/>
  <c r="D1065" i="3" s="1"/>
  <c r="E1065" i="3"/>
  <c r="C1065" i="3"/>
  <c r="E1066" i="3"/>
  <c r="B1066" i="3"/>
  <c r="D1066" i="3" s="1"/>
  <c r="B1067" i="3"/>
  <c r="D1067" i="3" s="1"/>
  <c r="E1067" i="3"/>
  <c r="C1067" i="3"/>
  <c r="E1068" i="3"/>
  <c r="B1068" i="3"/>
  <c r="D1068" i="3" s="1"/>
  <c r="B1069" i="3"/>
  <c r="D1069" i="3" s="1"/>
  <c r="E1069" i="3"/>
  <c r="C1069" i="3"/>
  <c r="E1070" i="3"/>
  <c r="B1070" i="3"/>
  <c r="D1070" i="3" s="1"/>
  <c r="B1071" i="3"/>
  <c r="D1071" i="3" s="1"/>
  <c r="E1071" i="3"/>
  <c r="C1071" i="3"/>
  <c r="E1072" i="3"/>
  <c r="B1072" i="3"/>
  <c r="D1072" i="3" s="1"/>
  <c r="B1073" i="3"/>
  <c r="D1073" i="3" s="1"/>
  <c r="E1073" i="3"/>
  <c r="C1073" i="3"/>
  <c r="E1074" i="3"/>
  <c r="B1074" i="3"/>
  <c r="D1074" i="3" s="1"/>
  <c r="B1075" i="3"/>
  <c r="D1075" i="3" s="1"/>
  <c r="E1075" i="3"/>
  <c r="C1075" i="3"/>
  <c r="E1076" i="3"/>
  <c r="B1076" i="3"/>
  <c r="D1076" i="3" s="1"/>
  <c r="B1077" i="3"/>
  <c r="D1077" i="3" s="1"/>
  <c r="E1077" i="3"/>
  <c r="C1077" i="3"/>
  <c r="E1078" i="3"/>
  <c r="B1078" i="3"/>
  <c r="D1078" i="3" s="1"/>
  <c r="B1079" i="3"/>
  <c r="D1079" i="3" s="1"/>
  <c r="E1079" i="3"/>
  <c r="C1079" i="3"/>
  <c r="E1080" i="3"/>
  <c r="B1080" i="3"/>
  <c r="D1080" i="3" s="1"/>
  <c r="B1081" i="3"/>
  <c r="D1081" i="3" s="1"/>
  <c r="E1081" i="3"/>
  <c r="C1081" i="3"/>
  <c r="E1082" i="3"/>
  <c r="B1082" i="3"/>
  <c r="D1082" i="3" s="1"/>
  <c r="B1083" i="3"/>
  <c r="D1083" i="3" s="1"/>
  <c r="E1083" i="3"/>
  <c r="C1083" i="3"/>
  <c r="E1084" i="3"/>
  <c r="B1084" i="3"/>
  <c r="D1084" i="3" s="1"/>
  <c r="B1085" i="3"/>
  <c r="D1085" i="3" s="1"/>
  <c r="E1085" i="3"/>
  <c r="C1085" i="3"/>
  <c r="E1086" i="3"/>
  <c r="B1086" i="3"/>
  <c r="D1086" i="3" s="1"/>
  <c r="B1087" i="3"/>
  <c r="D1087" i="3" s="1"/>
  <c r="E1087" i="3"/>
  <c r="C1087" i="3"/>
  <c r="E1088" i="3"/>
  <c r="B1088" i="3"/>
  <c r="D1088" i="3" s="1"/>
  <c r="B1089" i="3"/>
  <c r="D1089" i="3" s="1"/>
  <c r="E1089" i="3"/>
  <c r="C1089" i="3"/>
  <c r="E1090" i="3"/>
  <c r="B1090" i="3"/>
  <c r="D1090" i="3" s="1"/>
  <c r="B1091" i="3"/>
  <c r="D1091" i="3" s="1"/>
  <c r="E1091" i="3"/>
  <c r="C1091" i="3"/>
  <c r="E1092" i="3"/>
  <c r="B1092" i="3"/>
  <c r="D1092" i="3" s="1"/>
  <c r="B1093" i="3"/>
  <c r="D1093" i="3" s="1"/>
  <c r="E1093" i="3"/>
  <c r="C1093" i="3"/>
  <c r="E1094" i="3"/>
  <c r="B1094" i="3"/>
  <c r="D1094" i="3" s="1"/>
  <c r="B1095" i="3"/>
  <c r="D1095" i="3" s="1"/>
  <c r="E1095" i="3"/>
  <c r="C1095" i="3"/>
  <c r="E1096" i="3"/>
  <c r="B1096" i="3"/>
  <c r="D1096" i="3" s="1"/>
  <c r="B1097" i="3"/>
  <c r="D1097" i="3" s="1"/>
  <c r="E1097" i="3"/>
  <c r="C1097" i="3"/>
  <c r="E1098" i="3"/>
  <c r="B1098" i="3"/>
  <c r="D1098" i="3" s="1"/>
  <c r="B1099" i="3"/>
  <c r="D1099" i="3" s="1"/>
  <c r="E1099" i="3"/>
  <c r="C1099" i="3"/>
  <c r="E1100" i="3"/>
  <c r="B1100" i="3"/>
  <c r="D1100" i="3" s="1"/>
  <c r="B1101" i="3"/>
  <c r="D1101" i="3" s="1"/>
  <c r="E1101" i="3"/>
  <c r="C1101" i="3"/>
  <c r="E1102" i="3"/>
  <c r="B1102" i="3"/>
  <c r="D1102" i="3" s="1"/>
  <c r="B1103" i="3"/>
  <c r="D1103" i="3" s="1"/>
  <c r="E1103" i="3"/>
  <c r="C1103" i="3"/>
  <c r="E1104" i="3"/>
  <c r="B1104" i="3"/>
  <c r="D1104" i="3" s="1"/>
  <c r="B1105" i="3"/>
  <c r="D1105" i="3" s="1"/>
  <c r="E1105" i="3"/>
  <c r="C1105" i="3"/>
  <c r="E1106" i="3"/>
  <c r="B1106" i="3"/>
  <c r="D1106" i="3" s="1"/>
  <c r="B1107" i="3"/>
  <c r="D1107" i="3" s="1"/>
  <c r="E1107" i="3"/>
  <c r="C1107" i="3"/>
  <c r="E1108" i="3"/>
  <c r="B1108" i="3"/>
  <c r="D1108" i="3" s="1"/>
  <c r="B1109" i="3"/>
  <c r="D1109" i="3" s="1"/>
  <c r="E1109" i="3"/>
  <c r="C1109" i="3"/>
  <c r="E1110" i="3"/>
  <c r="B1110" i="3"/>
  <c r="D1110" i="3" s="1"/>
  <c r="B1111" i="3"/>
  <c r="D1111" i="3" s="1"/>
  <c r="E1111" i="3"/>
  <c r="C1111" i="3"/>
  <c r="E1112" i="3"/>
  <c r="B1112" i="3"/>
  <c r="D1112" i="3" s="1"/>
  <c r="B1113" i="3"/>
  <c r="D1113" i="3" s="1"/>
  <c r="E1113" i="3"/>
  <c r="C1113" i="3"/>
  <c r="E1114" i="3"/>
  <c r="B1114" i="3"/>
  <c r="D1114" i="3" s="1"/>
  <c r="B1115" i="3"/>
  <c r="D1115" i="3" s="1"/>
  <c r="E1115" i="3"/>
  <c r="C1115" i="3"/>
  <c r="E1116" i="3"/>
  <c r="B1116" i="3"/>
  <c r="D1116" i="3" s="1"/>
  <c r="B1117" i="3"/>
  <c r="D1117" i="3" s="1"/>
  <c r="E1117" i="3"/>
  <c r="C1117" i="3"/>
  <c r="E1118" i="3"/>
  <c r="B1118" i="3"/>
  <c r="D1118" i="3" s="1"/>
  <c r="B1119" i="3"/>
  <c r="D1119" i="3" s="1"/>
  <c r="E1119" i="3"/>
  <c r="C1119" i="3"/>
  <c r="E1120" i="3"/>
  <c r="B1120" i="3"/>
  <c r="D1120" i="3" s="1"/>
  <c r="B1121" i="3"/>
  <c r="D1121" i="3" s="1"/>
  <c r="E1121" i="3"/>
  <c r="C1121" i="3"/>
  <c r="E1122" i="3"/>
  <c r="B1122" i="3"/>
  <c r="D1122" i="3" s="1"/>
  <c r="B1123" i="3"/>
  <c r="D1123" i="3" s="1"/>
  <c r="E1123" i="3"/>
  <c r="C1123" i="3"/>
  <c r="E1124" i="3"/>
  <c r="B1124" i="3"/>
  <c r="D1124" i="3" s="1"/>
  <c r="B1125" i="3"/>
  <c r="D1125" i="3" s="1"/>
  <c r="E1125" i="3"/>
  <c r="C1125" i="3"/>
  <c r="E1126" i="3"/>
  <c r="B1126" i="3"/>
  <c r="D1126" i="3" s="1"/>
  <c r="B1127" i="3"/>
  <c r="D1127" i="3" s="1"/>
  <c r="E1127" i="3"/>
  <c r="C1127" i="3"/>
  <c r="E1128" i="3"/>
  <c r="B1128" i="3"/>
  <c r="D1128" i="3" s="1"/>
  <c r="B1129" i="3"/>
  <c r="D1129" i="3" s="1"/>
  <c r="E1129" i="3"/>
  <c r="C1129" i="3"/>
  <c r="E1130" i="3"/>
  <c r="B1130" i="3"/>
  <c r="D1130" i="3" s="1"/>
  <c r="B1131" i="3"/>
  <c r="D1131" i="3" s="1"/>
  <c r="E1131" i="3"/>
  <c r="C1131" i="3"/>
  <c r="E1132" i="3"/>
  <c r="B1132" i="3"/>
  <c r="D1132" i="3" s="1"/>
  <c r="B1133" i="3"/>
  <c r="D1133" i="3" s="1"/>
  <c r="E1133" i="3"/>
  <c r="C1133" i="3"/>
  <c r="E1134" i="3"/>
  <c r="B1134" i="3"/>
  <c r="D1134" i="3" s="1"/>
  <c r="B1135" i="3"/>
  <c r="D1135" i="3" s="1"/>
  <c r="E1135" i="3"/>
  <c r="C1135" i="3"/>
  <c r="E1136" i="3"/>
  <c r="B1136" i="3"/>
  <c r="D1136" i="3" s="1"/>
  <c r="B1137" i="3"/>
  <c r="D1137" i="3" s="1"/>
  <c r="E1137" i="3"/>
  <c r="C1137" i="3"/>
  <c r="E1138" i="3"/>
  <c r="B1138" i="3"/>
  <c r="D1138" i="3" s="1"/>
  <c r="B1139" i="3"/>
  <c r="D1139" i="3" s="1"/>
  <c r="E1139" i="3"/>
  <c r="C1139" i="3"/>
  <c r="E1140" i="3"/>
  <c r="B1140" i="3"/>
  <c r="D1140" i="3" s="1"/>
  <c r="B1141" i="3"/>
  <c r="D1141" i="3" s="1"/>
  <c r="E1141" i="3"/>
  <c r="C1141" i="3"/>
  <c r="E1142" i="3"/>
  <c r="B1142" i="3"/>
  <c r="D1142" i="3" s="1"/>
  <c r="B1143" i="3"/>
  <c r="D1143" i="3" s="1"/>
  <c r="E1143" i="3"/>
  <c r="C1143" i="3"/>
  <c r="E1144" i="3"/>
  <c r="B1144" i="3"/>
  <c r="D1144" i="3" s="1"/>
  <c r="B1145" i="3"/>
  <c r="D1145" i="3" s="1"/>
  <c r="E1145" i="3"/>
  <c r="C1145" i="3"/>
  <c r="E1146" i="3"/>
  <c r="B1146" i="3"/>
  <c r="D1146" i="3" s="1"/>
  <c r="B1147" i="3"/>
  <c r="D1147" i="3" s="1"/>
  <c r="E1147" i="3"/>
  <c r="C1147" i="3"/>
  <c r="E1148" i="3"/>
  <c r="B1148" i="3"/>
  <c r="D1148" i="3" s="1"/>
  <c r="B1149" i="3"/>
  <c r="D1149" i="3" s="1"/>
  <c r="E1149" i="3"/>
  <c r="C1149" i="3"/>
  <c r="E1150" i="3"/>
  <c r="B1150" i="3"/>
  <c r="D1150" i="3" s="1"/>
  <c r="B1151" i="3"/>
  <c r="D1151" i="3" s="1"/>
  <c r="E1151" i="3"/>
  <c r="C1151" i="3"/>
  <c r="E1152" i="3"/>
  <c r="B1152" i="3"/>
  <c r="D1152" i="3" s="1"/>
  <c r="B1153" i="3"/>
  <c r="D1153" i="3" s="1"/>
  <c r="E1153" i="3"/>
  <c r="C1153" i="3"/>
  <c r="E1154" i="3"/>
  <c r="B1154" i="3"/>
  <c r="D1154" i="3" s="1"/>
  <c r="B1155" i="3"/>
  <c r="D1155" i="3" s="1"/>
  <c r="E1155" i="3"/>
  <c r="C1155" i="3"/>
  <c r="E1156" i="3"/>
  <c r="B1156" i="3"/>
  <c r="D1156" i="3" s="1"/>
  <c r="B1157" i="3"/>
  <c r="D1157" i="3" s="1"/>
  <c r="E1157" i="3"/>
  <c r="C1157" i="3"/>
  <c r="E1158" i="3"/>
  <c r="B1158" i="3"/>
  <c r="D1158" i="3" s="1"/>
  <c r="B1159" i="3"/>
  <c r="D1159" i="3" s="1"/>
  <c r="E1159" i="3"/>
  <c r="C1159" i="3"/>
  <c r="E1160" i="3"/>
  <c r="B1160" i="3"/>
  <c r="D1160" i="3" s="1"/>
  <c r="B1161" i="3"/>
  <c r="D1161" i="3" s="1"/>
  <c r="E1161" i="3"/>
  <c r="C1161" i="3"/>
  <c r="E1162" i="3"/>
  <c r="B1162" i="3"/>
  <c r="D1162" i="3" s="1"/>
  <c r="B1163" i="3"/>
  <c r="D1163" i="3" s="1"/>
  <c r="E1163" i="3"/>
  <c r="C1163" i="3"/>
  <c r="E1164" i="3"/>
  <c r="B1164" i="3"/>
  <c r="D1164" i="3" s="1"/>
  <c r="B1165" i="3"/>
  <c r="D1165" i="3" s="1"/>
  <c r="E1165" i="3"/>
  <c r="C1165" i="3"/>
  <c r="E1166" i="3"/>
  <c r="B1166" i="3"/>
  <c r="D1166" i="3" s="1"/>
  <c r="B1167" i="3"/>
  <c r="D1167" i="3" s="1"/>
  <c r="E1167" i="3"/>
  <c r="C1167" i="3"/>
  <c r="E1168" i="3"/>
  <c r="B1168" i="3"/>
  <c r="D1168" i="3" s="1"/>
  <c r="B1169" i="3"/>
  <c r="D1169" i="3" s="1"/>
  <c r="E1169" i="3"/>
  <c r="C1169" i="3"/>
  <c r="E1170" i="3"/>
  <c r="B1170" i="3"/>
  <c r="D1170" i="3" s="1"/>
  <c r="B1171" i="3"/>
  <c r="D1171" i="3" s="1"/>
  <c r="E1171" i="3"/>
  <c r="C1171" i="3"/>
  <c r="E1172" i="3"/>
  <c r="B1172" i="3"/>
  <c r="D1172" i="3" s="1"/>
  <c r="B1173" i="3"/>
  <c r="D1173" i="3" s="1"/>
  <c r="E1173" i="3"/>
  <c r="C1173" i="3"/>
  <c r="E1174" i="3"/>
  <c r="B1174" i="3"/>
  <c r="D1174" i="3" s="1"/>
  <c r="B1175" i="3"/>
  <c r="D1175" i="3" s="1"/>
  <c r="E1175" i="3"/>
  <c r="C1175" i="3"/>
  <c r="E1176" i="3"/>
  <c r="B1176" i="3"/>
  <c r="D1176" i="3" s="1"/>
  <c r="B1177" i="3"/>
  <c r="D1177" i="3" s="1"/>
  <c r="E1177" i="3"/>
  <c r="C1177" i="3"/>
  <c r="E1178" i="3"/>
  <c r="B1178" i="3"/>
  <c r="D1178" i="3" s="1"/>
  <c r="B1179" i="3"/>
  <c r="D1179" i="3" s="1"/>
  <c r="E1179" i="3"/>
  <c r="C1179" i="3"/>
  <c r="E1180" i="3"/>
  <c r="B1180" i="3"/>
  <c r="D1180" i="3" s="1"/>
  <c r="B1181" i="3"/>
  <c r="D1181" i="3" s="1"/>
  <c r="E1181" i="3"/>
  <c r="C1181" i="3"/>
  <c r="E1182" i="3"/>
  <c r="B1182" i="3"/>
  <c r="D1182" i="3" s="1"/>
  <c r="B1183" i="3"/>
  <c r="D1183" i="3" s="1"/>
  <c r="E1183" i="3"/>
  <c r="C1183" i="3"/>
  <c r="E1184" i="3"/>
  <c r="B1184" i="3"/>
  <c r="D1184" i="3" s="1"/>
  <c r="B1185" i="3"/>
  <c r="D1185" i="3" s="1"/>
  <c r="E1185" i="3"/>
  <c r="C1185" i="3"/>
  <c r="E1186" i="3"/>
  <c r="B1186" i="3"/>
  <c r="D1186" i="3" s="1"/>
  <c r="B1187" i="3"/>
  <c r="D1187" i="3" s="1"/>
  <c r="E1187" i="3"/>
  <c r="C1187" i="3"/>
  <c r="E1188" i="3"/>
  <c r="B1188" i="3"/>
  <c r="D1188" i="3" s="1"/>
  <c r="B1189" i="3"/>
  <c r="D1189" i="3" s="1"/>
  <c r="E1189" i="3"/>
  <c r="C1189" i="3"/>
  <c r="E1190" i="3"/>
  <c r="B1190" i="3"/>
  <c r="D1190" i="3" s="1"/>
  <c r="B1191" i="3"/>
  <c r="D1191" i="3" s="1"/>
  <c r="E1191" i="3"/>
  <c r="C1191" i="3"/>
  <c r="E1192" i="3"/>
  <c r="B1192" i="3"/>
  <c r="D1192" i="3" s="1"/>
  <c r="B1193" i="3"/>
  <c r="D1193" i="3" s="1"/>
  <c r="E1193" i="3"/>
  <c r="C1193" i="3"/>
  <c r="E1194" i="3"/>
  <c r="B1194" i="3"/>
  <c r="D1194" i="3" s="1"/>
  <c r="B1195" i="3"/>
  <c r="D1195" i="3" s="1"/>
  <c r="E1195" i="3"/>
  <c r="C1195" i="3"/>
  <c r="E1196" i="3"/>
  <c r="B1196" i="3"/>
  <c r="D1196" i="3" s="1"/>
  <c r="B1197" i="3"/>
  <c r="D1197" i="3" s="1"/>
  <c r="E1197" i="3"/>
  <c r="C1197" i="3"/>
  <c r="E1198" i="3"/>
  <c r="B1198" i="3"/>
  <c r="D1198" i="3" s="1"/>
  <c r="B1199" i="3"/>
  <c r="D1199" i="3" s="1"/>
  <c r="E1199" i="3"/>
  <c r="C1199" i="3"/>
  <c r="E1200" i="3"/>
  <c r="B1200" i="3"/>
  <c r="D1200" i="3" s="1"/>
  <c r="B1201" i="3"/>
  <c r="D1201" i="3" s="1"/>
  <c r="E1201" i="3"/>
  <c r="C1201" i="3"/>
  <c r="E1202" i="3"/>
  <c r="B1202" i="3"/>
  <c r="D1202" i="3" s="1"/>
  <c r="B1203" i="3"/>
  <c r="D1203" i="3" s="1"/>
  <c r="E1203" i="3"/>
  <c r="C1203" i="3"/>
  <c r="E1204" i="3"/>
  <c r="B1204" i="3"/>
  <c r="D1204" i="3" s="1"/>
  <c r="B1205" i="3"/>
  <c r="D1205" i="3" s="1"/>
  <c r="E1205" i="3"/>
  <c r="C1205" i="3"/>
  <c r="E1206" i="3"/>
  <c r="B1206" i="3"/>
  <c r="D1206" i="3" s="1"/>
  <c r="B1207" i="3"/>
  <c r="D1207" i="3" s="1"/>
  <c r="E1207" i="3"/>
  <c r="C1207" i="3"/>
  <c r="E1208" i="3"/>
  <c r="B1208" i="3"/>
  <c r="D1208" i="3" s="1"/>
  <c r="B1209" i="3"/>
  <c r="D1209" i="3" s="1"/>
  <c r="E1209" i="3"/>
  <c r="C1209" i="3"/>
  <c r="E1210" i="3"/>
  <c r="B1210" i="3"/>
  <c r="D1210" i="3" s="1"/>
  <c r="B1211" i="3"/>
  <c r="D1211" i="3" s="1"/>
  <c r="E1211" i="3"/>
  <c r="C1211" i="3"/>
  <c r="E1212" i="3"/>
  <c r="B1212" i="3"/>
  <c r="D1212" i="3" s="1"/>
  <c r="B1213" i="3"/>
  <c r="D1213" i="3" s="1"/>
  <c r="E1213" i="3"/>
  <c r="C1213" i="3"/>
  <c r="E1214" i="3"/>
  <c r="B1214" i="3"/>
  <c r="D1214" i="3" s="1"/>
  <c r="B1215" i="3"/>
  <c r="D1215" i="3" s="1"/>
  <c r="E1215" i="3"/>
  <c r="C1215" i="3"/>
  <c r="E1216" i="3"/>
  <c r="B1216" i="3"/>
  <c r="D1216" i="3" s="1"/>
  <c r="B1217" i="3"/>
  <c r="D1217" i="3" s="1"/>
  <c r="E1217" i="3"/>
  <c r="C1217" i="3"/>
  <c r="B10" i="3"/>
  <c r="I6" i="4"/>
  <c r="G6" i="4"/>
  <c r="N6" i="4"/>
  <c r="J6" i="4"/>
  <c r="K6" i="4" s="1"/>
  <c r="L6" i="4" s="1"/>
  <c r="M6" i="4" s="1"/>
  <c r="H6" i="4"/>
  <c r="B12" i="3"/>
  <c r="I8" i="4"/>
  <c r="G8" i="4"/>
  <c r="N8" i="4"/>
  <c r="J8" i="4"/>
  <c r="K8" i="4" s="1"/>
  <c r="L8" i="4" s="1"/>
  <c r="M8" i="4" s="1"/>
  <c r="H8" i="4"/>
  <c r="B22" i="3"/>
  <c r="D22" i="3" s="1"/>
  <c r="G18" i="4"/>
  <c r="I18" i="4" s="1"/>
  <c r="N18" i="4"/>
  <c r="J18" i="4"/>
  <c r="K18" i="4" s="1"/>
  <c r="L18" i="4" s="1"/>
  <c r="M18" i="4" s="1"/>
  <c r="B24" i="3"/>
  <c r="D24" i="3" s="1"/>
  <c r="I20" i="4"/>
  <c r="G20" i="4"/>
  <c r="N20" i="4"/>
  <c r="J20" i="4"/>
  <c r="K20" i="4" s="1"/>
  <c r="L20" i="4" s="1"/>
  <c r="M20" i="4" s="1"/>
  <c r="H20" i="4"/>
  <c r="B26" i="3"/>
  <c r="D26" i="3" s="1"/>
  <c r="G22" i="4"/>
  <c r="I22" i="4" s="1"/>
  <c r="N22" i="4"/>
  <c r="J22" i="4"/>
  <c r="K22" i="4" s="1"/>
  <c r="L22" i="4" s="1"/>
  <c r="M22" i="4" s="1"/>
  <c r="B28" i="3"/>
  <c r="D28" i="3" s="1"/>
  <c r="I24" i="4"/>
  <c r="G24" i="4"/>
  <c r="N24" i="4"/>
  <c r="J24" i="4"/>
  <c r="K24" i="4" s="1"/>
  <c r="L24" i="4" s="1"/>
  <c r="M24" i="4" s="1"/>
  <c r="H24" i="4"/>
  <c r="B30" i="3"/>
  <c r="D30" i="3" s="1"/>
  <c r="G26" i="4"/>
  <c r="I26" i="4" s="1"/>
  <c r="N26" i="4"/>
  <c r="J26" i="4"/>
  <c r="K26" i="4" s="1"/>
  <c r="L26" i="4" s="1"/>
  <c r="M26" i="4" s="1"/>
  <c r="B32" i="3"/>
  <c r="D32" i="3" s="1"/>
  <c r="I28" i="4"/>
  <c r="G28" i="4"/>
  <c r="N28" i="4"/>
  <c r="J28" i="4"/>
  <c r="K28" i="4" s="1"/>
  <c r="L28" i="4" s="1"/>
  <c r="M28" i="4" s="1"/>
  <c r="H28" i="4"/>
  <c r="B34" i="3"/>
  <c r="D34" i="3" s="1"/>
  <c r="G30" i="4"/>
  <c r="I30" i="4" s="1"/>
  <c r="N30" i="4"/>
  <c r="J30" i="4"/>
  <c r="K30" i="4" s="1"/>
  <c r="L30" i="4" s="1"/>
  <c r="M30" i="4" s="1"/>
  <c r="B36" i="3"/>
  <c r="D36" i="3" s="1"/>
  <c r="I32" i="4"/>
  <c r="G32" i="4"/>
  <c r="N32" i="4"/>
  <c r="J32" i="4"/>
  <c r="K32" i="4" s="1"/>
  <c r="L32" i="4" s="1"/>
  <c r="M32" i="4" s="1"/>
  <c r="H32" i="4"/>
  <c r="B38" i="3"/>
  <c r="D38" i="3" s="1"/>
  <c r="G34" i="4"/>
  <c r="I34" i="4" s="1"/>
  <c r="N34" i="4"/>
  <c r="J34" i="4"/>
  <c r="K34" i="4" s="1"/>
  <c r="L34" i="4" s="1"/>
  <c r="M34" i="4" s="1"/>
  <c r="B40" i="3"/>
  <c r="D40" i="3" s="1"/>
  <c r="I36" i="4"/>
  <c r="G36" i="4"/>
  <c r="N36" i="4"/>
  <c r="J36" i="4"/>
  <c r="K36" i="4" s="1"/>
  <c r="L36" i="4" s="1"/>
  <c r="M36" i="4" s="1"/>
  <c r="H36" i="4"/>
  <c r="B42" i="3"/>
  <c r="D42" i="3" s="1"/>
  <c r="G38" i="4"/>
  <c r="I38" i="4" s="1"/>
  <c r="N38" i="4"/>
  <c r="J38" i="4"/>
  <c r="K38" i="4" s="1"/>
  <c r="L38" i="4" s="1"/>
  <c r="M38" i="4" s="1"/>
  <c r="B44" i="3"/>
  <c r="D44" i="3" s="1"/>
  <c r="I40" i="4"/>
  <c r="G40" i="4"/>
  <c r="N40" i="4"/>
  <c r="J40" i="4"/>
  <c r="K40" i="4" s="1"/>
  <c r="L40" i="4" s="1"/>
  <c r="M40" i="4" s="1"/>
  <c r="H40" i="4"/>
  <c r="B46" i="3"/>
  <c r="D46" i="3" s="1"/>
  <c r="G42" i="4"/>
  <c r="I42" i="4" s="1"/>
  <c r="N42" i="4"/>
  <c r="J42" i="4"/>
  <c r="K42" i="4" s="1"/>
  <c r="L42" i="4" s="1"/>
  <c r="M42" i="4" s="1"/>
  <c r="B48" i="3"/>
  <c r="D48" i="3" s="1"/>
  <c r="I44" i="4"/>
  <c r="G44" i="4"/>
  <c r="N44" i="4"/>
  <c r="J44" i="4"/>
  <c r="K44" i="4" s="1"/>
  <c r="L44" i="4" s="1"/>
  <c r="M44" i="4" s="1"/>
  <c r="H44" i="4"/>
  <c r="B50" i="3"/>
  <c r="D50" i="3" s="1"/>
  <c r="G46" i="4"/>
  <c r="I46" i="4" s="1"/>
  <c r="N46" i="4"/>
  <c r="J46" i="4"/>
  <c r="K46" i="4" s="1"/>
  <c r="L46" i="4" s="1"/>
  <c r="M46" i="4" s="1"/>
  <c r="B52" i="3"/>
  <c r="D52" i="3" s="1"/>
  <c r="I48" i="4"/>
  <c r="G48" i="4"/>
  <c r="N48" i="4"/>
  <c r="J48" i="4"/>
  <c r="K48" i="4" s="1"/>
  <c r="L48" i="4" s="1"/>
  <c r="M48" i="4" s="1"/>
  <c r="H48" i="4"/>
  <c r="B54" i="3"/>
  <c r="D54" i="3" s="1"/>
  <c r="G50" i="4"/>
  <c r="I50" i="4" s="1"/>
  <c r="N50" i="4"/>
  <c r="J50" i="4"/>
  <c r="K50" i="4" s="1"/>
  <c r="L50" i="4" s="1"/>
  <c r="M50" i="4" s="1"/>
  <c r="B56" i="3"/>
  <c r="D56" i="3" s="1"/>
  <c r="I52" i="4"/>
  <c r="G52" i="4"/>
  <c r="N52" i="4"/>
  <c r="J52" i="4"/>
  <c r="K52" i="4" s="1"/>
  <c r="L52" i="4" s="1"/>
  <c r="M52" i="4" s="1"/>
  <c r="H52" i="4"/>
  <c r="B58" i="3"/>
  <c r="D58" i="3" s="1"/>
  <c r="G54" i="4"/>
  <c r="I54" i="4" s="1"/>
  <c r="N54" i="4"/>
  <c r="J54" i="4"/>
  <c r="K54" i="4" s="1"/>
  <c r="L54" i="4" s="1"/>
  <c r="M54" i="4" s="1"/>
  <c r="B60" i="3"/>
  <c r="D60" i="3" s="1"/>
  <c r="I56" i="4"/>
  <c r="G56" i="4"/>
  <c r="N56" i="4"/>
  <c r="J56" i="4"/>
  <c r="K56" i="4" s="1"/>
  <c r="L56" i="4" s="1"/>
  <c r="M56" i="4" s="1"/>
  <c r="H56" i="4"/>
  <c r="B62" i="3"/>
  <c r="D62" i="3" s="1"/>
  <c r="G58" i="4"/>
  <c r="I58" i="4" s="1"/>
  <c r="N58" i="4"/>
  <c r="J58" i="4"/>
  <c r="K58" i="4" s="1"/>
  <c r="L58" i="4" s="1"/>
  <c r="M58" i="4" s="1"/>
  <c r="B64" i="3"/>
  <c r="D64" i="3" s="1"/>
  <c r="I60" i="4"/>
  <c r="G60" i="4"/>
  <c r="N60" i="4"/>
  <c r="J60" i="4"/>
  <c r="K60" i="4" s="1"/>
  <c r="L60" i="4" s="1"/>
  <c r="M60" i="4" s="1"/>
  <c r="H60" i="4"/>
  <c r="B66" i="3"/>
  <c r="D66" i="3" s="1"/>
  <c r="G62" i="4"/>
  <c r="I62" i="4" s="1"/>
  <c r="N62" i="4"/>
  <c r="J62" i="4"/>
  <c r="K62" i="4" s="1"/>
  <c r="L62" i="4" s="1"/>
  <c r="M62" i="4" s="1"/>
  <c r="B68" i="3"/>
  <c r="D68" i="3" s="1"/>
  <c r="I64" i="4"/>
  <c r="G64" i="4"/>
  <c r="N64" i="4"/>
  <c r="J64" i="4"/>
  <c r="K64" i="4" s="1"/>
  <c r="L64" i="4" s="1"/>
  <c r="M64" i="4" s="1"/>
  <c r="H64" i="4"/>
  <c r="B70" i="3"/>
  <c r="D70" i="3" s="1"/>
  <c r="G66" i="4"/>
  <c r="I66" i="4" s="1"/>
  <c r="N66" i="4"/>
  <c r="J66" i="4"/>
  <c r="K66" i="4" s="1"/>
  <c r="L66" i="4" s="1"/>
  <c r="M66" i="4" s="1"/>
  <c r="B72" i="3"/>
  <c r="D72" i="3" s="1"/>
  <c r="I68" i="4"/>
  <c r="G68" i="4"/>
  <c r="N68" i="4"/>
  <c r="J68" i="4"/>
  <c r="K68" i="4" s="1"/>
  <c r="L68" i="4" s="1"/>
  <c r="M68" i="4" s="1"/>
  <c r="H68" i="4"/>
  <c r="B74" i="3"/>
  <c r="D74" i="3" s="1"/>
  <c r="G70" i="4"/>
  <c r="I70" i="4" s="1"/>
  <c r="N70" i="4"/>
  <c r="J70" i="4"/>
  <c r="K70" i="4" s="1"/>
  <c r="L70" i="4" s="1"/>
  <c r="M70" i="4" s="1"/>
  <c r="B76" i="3"/>
  <c r="D76" i="3" s="1"/>
  <c r="I72" i="4"/>
  <c r="G72" i="4"/>
  <c r="N72" i="4"/>
  <c r="J72" i="4"/>
  <c r="K72" i="4" s="1"/>
  <c r="L72" i="4" s="1"/>
  <c r="M72" i="4" s="1"/>
  <c r="H72" i="4"/>
  <c r="B78" i="3"/>
  <c r="D78" i="3" s="1"/>
  <c r="G74" i="4"/>
  <c r="I74" i="4" s="1"/>
  <c r="N74" i="4"/>
  <c r="J74" i="4"/>
  <c r="K74" i="4" s="1"/>
  <c r="L74" i="4" s="1"/>
  <c r="M74" i="4" s="1"/>
  <c r="B80" i="3"/>
  <c r="D80" i="3" s="1"/>
  <c r="I76" i="4"/>
  <c r="G76" i="4"/>
  <c r="N76" i="4"/>
  <c r="J76" i="4"/>
  <c r="K76" i="4" s="1"/>
  <c r="L76" i="4" s="1"/>
  <c r="M76" i="4" s="1"/>
  <c r="H76" i="4"/>
  <c r="B82" i="3"/>
  <c r="D82" i="3" s="1"/>
  <c r="G78" i="4"/>
  <c r="I78" i="4" s="1"/>
  <c r="N78" i="4"/>
  <c r="J78" i="4"/>
  <c r="K78" i="4" s="1"/>
  <c r="L78" i="4" s="1"/>
  <c r="M78" i="4" s="1"/>
  <c r="B84" i="3"/>
  <c r="D84" i="3" s="1"/>
  <c r="I80" i="4"/>
  <c r="G80" i="4"/>
  <c r="N80" i="4"/>
  <c r="J80" i="4"/>
  <c r="K80" i="4" s="1"/>
  <c r="L80" i="4" s="1"/>
  <c r="M80" i="4" s="1"/>
  <c r="H80" i="4"/>
  <c r="B86" i="3"/>
  <c r="D86" i="3" s="1"/>
  <c r="G82" i="4"/>
  <c r="I82" i="4" s="1"/>
  <c r="N82" i="4"/>
  <c r="J82" i="4"/>
  <c r="K82" i="4" s="1"/>
  <c r="L82" i="4" s="1"/>
  <c r="M82" i="4" s="1"/>
  <c r="B88" i="3"/>
  <c r="D88" i="3" s="1"/>
  <c r="I84" i="4"/>
  <c r="G84" i="4"/>
  <c r="N84" i="4"/>
  <c r="J84" i="4"/>
  <c r="K84" i="4" s="1"/>
  <c r="L84" i="4" s="1"/>
  <c r="M84" i="4" s="1"/>
  <c r="H84" i="4"/>
  <c r="B90" i="3"/>
  <c r="D90" i="3" s="1"/>
  <c r="G86" i="4"/>
  <c r="I86" i="4" s="1"/>
  <c r="N86" i="4"/>
  <c r="J86" i="4"/>
  <c r="K86" i="4" s="1"/>
  <c r="L86" i="4" s="1"/>
  <c r="M86" i="4" s="1"/>
  <c r="B92" i="3"/>
  <c r="D92" i="3" s="1"/>
  <c r="I88" i="4"/>
  <c r="G88" i="4"/>
  <c r="N88" i="4"/>
  <c r="J88" i="4"/>
  <c r="K88" i="4" s="1"/>
  <c r="L88" i="4" s="1"/>
  <c r="M88" i="4" s="1"/>
  <c r="H88" i="4"/>
  <c r="B94" i="3"/>
  <c r="D94" i="3" s="1"/>
  <c r="G90" i="4"/>
  <c r="I90" i="4" s="1"/>
  <c r="N90" i="4"/>
  <c r="J90" i="4"/>
  <c r="K90" i="4" s="1"/>
  <c r="L90" i="4" s="1"/>
  <c r="M90" i="4" s="1"/>
  <c r="B96" i="3"/>
  <c r="D96" i="3" s="1"/>
  <c r="I92" i="4"/>
  <c r="G92" i="4"/>
  <c r="N92" i="4"/>
  <c r="J92" i="4"/>
  <c r="K92" i="4" s="1"/>
  <c r="L92" i="4" s="1"/>
  <c r="M92" i="4" s="1"/>
  <c r="H92" i="4"/>
  <c r="B98" i="3"/>
  <c r="D98" i="3" s="1"/>
  <c r="G94" i="4"/>
  <c r="I94" i="4" s="1"/>
  <c r="N94" i="4"/>
  <c r="J94" i="4"/>
  <c r="K94" i="4" s="1"/>
  <c r="L94" i="4" s="1"/>
  <c r="M94" i="4" s="1"/>
  <c r="B100" i="3"/>
  <c r="D100" i="3" s="1"/>
  <c r="I96" i="4"/>
  <c r="G96" i="4"/>
  <c r="N96" i="4"/>
  <c r="J96" i="4"/>
  <c r="K96" i="4" s="1"/>
  <c r="L96" i="4" s="1"/>
  <c r="M96" i="4" s="1"/>
  <c r="H96" i="4"/>
  <c r="B102" i="3"/>
  <c r="D102" i="3" s="1"/>
  <c r="G98" i="4"/>
  <c r="I98" i="4" s="1"/>
  <c r="N98" i="4"/>
  <c r="J98" i="4"/>
  <c r="K98" i="4" s="1"/>
  <c r="L98" i="4" s="1"/>
  <c r="M98" i="4" s="1"/>
  <c r="B104" i="3"/>
  <c r="D104" i="3" s="1"/>
  <c r="I100" i="4"/>
  <c r="G100" i="4"/>
  <c r="N100" i="4"/>
  <c r="J100" i="4"/>
  <c r="K100" i="4" s="1"/>
  <c r="L100" i="4" s="1"/>
  <c r="M100" i="4" s="1"/>
  <c r="H100" i="4"/>
  <c r="B106" i="3"/>
  <c r="D106" i="3" s="1"/>
  <c r="G102" i="4"/>
  <c r="I102" i="4" s="1"/>
  <c r="N102" i="4"/>
  <c r="J102" i="4"/>
  <c r="K102" i="4" s="1"/>
  <c r="L102" i="4" s="1"/>
  <c r="M102" i="4" s="1"/>
  <c r="B108" i="3"/>
  <c r="D108" i="3" s="1"/>
  <c r="I104" i="4"/>
  <c r="G104" i="4"/>
  <c r="N104" i="4"/>
  <c r="J104" i="4"/>
  <c r="K104" i="4" s="1"/>
  <c r="L104" i="4" s="1"/>
  <c r="M104" i="4" s="1"/>
  <c r="H104" i="4"/>
  <c r="B110" i="3"/>
  <c r="D110" i="3" s="1"/>
  <c r="G106" i="4"/>
  <c r="I106" i="4" s="1"/>
  <c r="N106" i="4"/>
  <c r="J106" i="4"/>
  <c r="K106" i="4" s="1"/>
  <c r="L106" i="4" s="1"/>
  <c r="M106" i="4" s="1"/>
  <c r="B112" i="3"/>
  <c r="D112" i="3" s="1"/>
  <c r="I108" i="4"/>
  <c r="G108" i="4"/>
  <c r="N108" i="4"/>
  <c r="J108" i="4"/>
  <c r="K108" i="4" s="1"/>
  <c r="L108" i="4" s="1"/>
  <c r="M108" i="4" s="1"/>
  <c r="H108" i="4"/>
  <c r="B114" i="3"/>
  <c r="D114" i="3" s="1"/>
  <c r="G110" i="4"/>
  <c r="I110" i="4" s="1"/>
  <c r="N110" i="4"/>
  <c r="J110" i="4"/>
  <c r="K110" i="4" s="1"/>
  <c r="L110" i="4" s="1"/>
  <c r="M110" i="4" s="1"/>
  <c r="B116" i="3"/>
  <c r="D116" i="3" s="1"/>
  <c r="I112" i="4"/>
  <c r="G112" i="4"/>
  <c r="N112" i="4"/>
  <c r="J112" i="4"/>
  <c r="K112" i="4" s="1"/>
  <c r="L112" i="4" s="1"/>
  <c r="M112" i="4" s="1"/>
  <c r="H112" i="4"/>
  <c r="B118" i="3"/>
  <c r="D118" i="3" s="1"/>
  <c r="G114" i="4"/>
  <c r="I114" i="4" s="1"/>
  <c r="N114" i="4"/>
  <c r="J114" i="4"/>
  <c r="K114" i="4" s="1"/>
  <c r="L114" i="4" s="1"/>
  <c r="M114" i="4" s="1"/>
  <c r="B120" i="3"/>
  <c r="D120" i="3" s="1"/>
  <c r="I116" i="4"/>
  <c r="G116" i="4"/>
  <c r="N116" i="4"/>
  <c r="J116" i="4"/>
  <c r="K116" i="4" s="1"/>
  <c r="L116" i="4" s="1"/>
  <c r="M116" i="4" s="1"/>
  <c r="H116" i="4"/>
  <c r="B122" i="3"/>
  <c r="D122" i="3" s="1"/>
  <c r="G118" i="4"/>
  <c r="I118" i="4" s="1"/>
  <c r="N118" i="4"/>
  <c r="J118" i="4"/>
  <c r="K118" i="4" s="1"/>
  <c r="L118" i="4" s="1"/>
  <c r="M118" i="4" s="1"/>
  <c r="B124" i="3"/>
  <c r="D124" i="3" s="1"/>
  <c r="I120" i="4"/>
  <c r="G120" i="4"/>
  <c r="N120" i="4"/>
  <c r="J120" i="4"/>
  <c r="K120" i="4" s="1"/>
  <c r="L120" i="4" s="1"/>
  <c r="M120" i="4" s="1"/>
  <c r="H120" i="4"/>
  <c r="B126" i="3"/>
  <c r="D126" i="3" s="1"/>
  <c r="G122" i="4"/>
  <c r="I122" i="4" s="1"/>
  <c r="N122" i="4"/>
  <c r="J122" i="4"/>
  <c r="K122" i="4" s="1"/>
  <c r="L122" i="4" s="1"/>
  <c r="M122" i="4" s="1"/>
  <c r="B128" i="3"/>
  <c r="D128" i="3" s="1"/>
  <c r="I124" i="4"/>
  <c r="G124" i="4"/>
  <c r="N124" i="4"/>
  <c r="J124" i="4"/>
  <c r="K124" i="4" s="1"/>
  <c r="L124" i="4" s="1"/>
  <c r="M124" i="4" s="1"/>
  <c r="H124" i="4"/>
  <c r="B130" i="3"/>
  <c r="D130" i="3" s="1"/>
  <c r="G126" i="4"/>
  <c r="I126" i="4" s="1"/>
  <c r="N126" i="4"/>
  <c r="J126" i="4"/>
  <c r="K126" i="4" s="1"/>
  <c r="L126" i="4" s="1"/>
  <c r="M126" i="4" s="1"/>
  <c r="B132" i="3"/>
  <c r="D132" i="3" s="1"/>
  <c r="I128" i="4"/>
  <c r="G128" i="4"/>
  <c r="N128" i="4"/>
  <c r="J128" i="4"/>
  <c r="K128" i="4" s="1"/>
  <c r="L128" i="4" s="1"/>
  <c r="M128" i="4" s="1"/>
  <c r="H128" i="4"/>
  <c r="B134" i="3"/>
  <c r="D134" i="3" s="1"/>
  <c r="G130" i="4"/>
  <c r="I130" i="4" s="1"/>
  <c r="N130" i="4"/>
  <c r="J130" i="4"/>
  <c r="K130" i="4" s="1"/>
  <c r="L130" i="4" s="1"/>
  <c r="M130" i="4" s="1"/>
  <c r="B136" i="3"/>
  <c r="D136" i="3" s="1"/>
  <c r="I132" i="4"/>
  <c r="G132" i="4"/>
  <c r="N132" i="4"/>
  <c r="J132" i="4"/>
  <c r="K132" i="4" s="1"/>
  <c r="L132" i="4" s="1"/>
  <c r="M132" i="4" s="1"/>
  <c r="H132" i="4"/>
  <c r="B138" i="3"/>
  <c r="D138" i="3" s="1"/>
  <c r="G134" i="4"/>
  <c r="I134" i="4" s="1"/>
  <c r="N134" i="4"/>
  <c r="J134" i="4"/>
  <c r="K134" i="4" s="1"/>
  <c r="L134" i="4" s="1"/>
  <c r="M134" i="4" s="1"/>
  <c r="B140" i="3"/>
  <c r="D140" i="3" s="1"/>
  <c r="I136" i="4"/>
  <c r="G136" i="4"/>
  <c r="N136" i="4"/>
  <c r="J136" i="4"/>
  <c r="K136" i="4" s="1"/>
  <c r="L136" i="4" s="1"/>
  <c r="M136" i="4" s="1"/>
  <c r="H136" i="4"/>
  <c r="B142" i="3"/>
  <c r="D142" i="3" s="1"/>
  <c r="G138" i="4"/>
  <c r="I138" i="4" s="1"/>
  <c r="N138" i="4"/>
  <c r="J138" i="4"/>
  <c r="K138" i="4" s="1"/>
  <c r="L138" i="4" s="1"/>
  <c r="M138" i="4" s="1"/>
  <c r="B144" i="3"/>
  <c r="D144" i="3" s="1"/>
  <c r="I140" i="4"/>
  <c r="G140" i="4"/>
  <c r="N140" i="4"/>
  <c r="J140" i="4"/>
  <c r="K140" i="4" s="1"/>
  <c r="L140" i="4" s="1"/>
  <c r="M140" i="4" s="1"/>
  <c r="H140" i="4"/>
  <c r="B146" i="3"/>
  <c r="D146" i="3" s="1"/>
  <c r="G142" i="4"/>
  <c r="I142" i="4" s="1"/>
  <c r="N142" i="4"/>
  <c r="J142" i="4"/>
  <c r="K142" i="4" s="1"/>
  <c r="L142" i="4" s="1"/>
  <c r="M142" i="4" s="1"/>
  <c r="B148" i="3"/>
  <c r="D148" i="3" s="1"/>
  <c r="I144" i="4"/>
  <c r="G144" i="4"/>
  <c r="N144" i="4"/>
  <c r="J144" i="4"/>
  <c r="K144" i="4" s="1"/>
  <c r="L144" i="4" s="1"/>
  <c r="M144" i="4" s="1"/>
  <c r="H144" i="4"/>
  <c r="B150" i="3"/>
  <c r="D150" i="3" s="1"/>
  <c r="G146" i="4"/>
  <c r="I146" i="4" s="1"/>
  <c r="N146" i="4"/>
  <c r="J146" i="4"/>
  <c r="K146" i="4" s="1"/>
  <c r="L146" i="4" s="1"/>
  <c r="M146" i="4" s="1"/>
  <c r="B152" i="3"/>
  <c r="D152" i="3" s="1"/>
  <c r="I148" i="4"/>
  <c r="G148" i="4"/>
  <c r="N148" i="4"/>
  <c r="J148" i="4"/>
  <c r="K148" i="4" s="1"/>
  <c r="L148" i="4" s="1"/>
  <c r="M148" i="4" s="1"/>
  <c r="H148" i="4"/>
  <c r="B154" i="3"/>
  <c r="D154" i="3" s="1"/>
  <c r="G150" i="4"/>
  <c r="I150" i="4" s="1"/>
  <c r="N150" i="4"/>
  <c r="J150" i="4"/>
  <c r="K150" i="4" s="1"/>
  <c r="L150" i="4" s="1"/>
  <c r="M150" i="4" s="1"/>
  <c r="B156" i="3"/>
  <c r="D156" i="3" s="1"/>
  <c r="I152" i="4"/>
  <c r="G152" i="4"/>
  <c r="N152" i="4"/>
  <c r="J152" i="4"/>
  <c r="K152" i="4" s="1"/>
  <c r="L152" i="4" s="1"/>
  <c r="M152" i="4" s="1"/>
  <c r="H152" i="4"/>
  <c r="B158" i="3"/>
  <c r="D158" i="3" s="1"/>
  <c r="G154" i="4"/>
  <c r="I154" i="4" s="1"/>
  <c r="N154" i="4"/>
  <c r="J154" i="4"/>
  <c r="K154" i="4" s="1"/>
  <c r="L154" i="4" s="1"/>
  <c r="M154" i="4" s="1"/>
  <c r="B160" i="3"/>
  <c r="D160" i="3" s="1"/>
  <c r="I156" i="4"/>
  <c r="G156" i="4"/>
  <c r="N156" i="4"/>
  <c r="J156" i="4"/>
  <c r="K156" i="4" s="1"/>
  <c r="L156" i="4" s="1"/>
  <c r="M156" i="4" s="1"/>
  <c r="H156" i="4"/>
  <c r="B162" i="3"/>
  <c r="D162" i="3" s="1"/>
  <c r="G158" i="4"/>
  <c r="I158" i="4" s="1"/>
  <c r="N158" i="4"/>
  <c r="J158" i="4"/>
  <c r="K158" i="4" s="1"/>
  <c r="L158" i="4" s="1"/>
  <c r="M158" i="4" s="1"/>
  <c r="B164" i="3"/>
  <c r="D164" i="3" s="1"/>
  <c r="I160" i="4"/>
  <c r="G160" i="4"/>
  <c r="N160" i="4"/>
  <c r="J160" i="4"/>
  <c r="K160" i="4" s="1"/>
  <c r="L160" i="4" s="1"/>
  <c r="M160" i="4" s="1"/>
  <c r="H160" i="4"/>
  <c r="B166" i="3"/>
  <c r="D166" i="3" s="1"/>
  <c r="G162" i="4"/>
  <c r="I162" i="4" s="1"/>
  <c r="N162" i="4"/>
  <c r="J162" i="4"/>
  <c r="K162" i="4" s="1"/>
  <c r="L162" i="4" s="1"/>
  <c r="M162" i="4" s="1"/>
  <c r="B168" i="3"/>
  <c r="D168" i="3" s="1"/>
  <c r="I164" i="4"/>
  <c r="G164" i="4"/>
  <c r="N164" i="4"/>
  <c r="J164" i="4"/>
  <c r="K164" i="4" s="1"/>
  <c r="L164" i="4" s="1"/>
  <c r="M164" i="4" s="1"/>
  <c r="H164" i="4"/>
  <c r="B170" i="3"/>
  <c r="D170" i="3" s="1"/>
  <c r="G166" i="4"/>
  <c r="I166" i="4" s="1"/>
  <c r="N166" i="4"/>
  <c r="J166" i="4"/>
  <c r="K166" i="4" s="1"/>
  <c r="L166" i="4" s="1"/>
  <c r="M166" i="4" s="1"/>
  <c r="B172" i="3"/>
  <c r="D172" i="3" s="1"/>
  <c r="I168" i="4"/>
  <c r="G168" i="4"/>
  <c r="N168" i="4"/>
  <c r="J168" i="4"/>
  <c r="K168" i="4" s="1"/>
  <c r="L168" i="4" s="1"/>
  <c r="M168" i="4" s="1"/>
  <c r="H168" i="4"/>
  <c r="B174" i="3"/>
  <c r="D174" i="3" s="1"/>
  <c r="I170" i="4"/>
  <c r="G170" i="4"/>
  <c r="N170" i="4"/>
  <c r="J170" i="4"/>
  <c r="K170" i="4" s="1"/>
  <c r="L170" i="4" s="1"/>
  <c r="M170" i="4" s="1"/>
  <c r="H170" i="4"/>
  <c r="B176" i="3"/>
  <c r="D176" i="3" s="1"/>
  <c r="G172" i="4"/>
  <c r="I172" i="4" s="1"/>
  <c r="N172" i="4"/>
  <c r="J172" i="4"/>
  <c r="K172" i="4" s="1"/>
  <c r="L172" i="4" s="1"/>
  <c r="M172" i="4" s="1"/>
  <c r="B178" i="3"/>
  <c r="D178" i="3" s="1"/>
  <c r="I174" i="4"/>
  <c r="G174" i="4"/>
  <c r="N174" i="4"/>
  <c r="J174" i="4"/>
  <c r="K174" i="4" s="1"/>
  <c r="L174" i="4" s="1"/>
  <c r="M174" i="4" s="1"/>
  <c r="H174" i="4"/>
  <c r="B180" i="3"/>
  <c r="D180" i="3" s="1"/>
  <c r="G176" i="4"/>
  <c r="I176" i="4" s="1"/>
  <c r="N176" i="4"/>
  <c r="J176" i="4"/>
  <c r="K176" i="4" s="1"/>
  <c r="L176" i="4" s="1"/>
  <c r="M176" i="4" s="1"/>
  <c r="B182" i="3"/>
  <c r="D182" i="3" s="1"/>
  <c r="I178" i="4"/>
  <c r="G178" i="4"/>
  <c r="N178" i="4"/>
  <c r="J178" i="4"/>
  <c r="K178" i="4" s="1"/>
  <c r="L178" i="4" s="1"/>
  <c r="M178" i="4" s="1"/>
  <c r="H178" i="4"/>
  <c r="B184" i="3"/>
  <c r="D184" i="3" s="1"/>
  <c r="G180" i="4"/>
  <c r="I180" i="4" s="1"/>
  <c r="N180" i="4"/>
  <c r="J180" i="4"/>
  <c r="K180" i="4" s="1"/>
  <c r="L180" i="4" s="1"/>
  <c r="M180" i="4" s="1"/>
  <c r="B186" i="3"/>
  <c r="D186" i="3" s="1"/>
  <c r="I182" i="4"/>
  <c r="G182" i="4"/>
  <c r="N182" i="4"/>
  <c r="J182" i="4"/>
  <c r="K182" i="4" s="1"/>
  <c r="L182" i="4" s="1"/>
  <c r="M182" i="4" s="1"/>
  <c r="H182" i="4"/>
  <c r="B188" i="3"/>
  <c r="D188" i="3" s="1"/>
  <c r="G184" i="4"/>
  <c r="I184" i="4" s="1"/>
  <c r="N184" i="4"/>
  <c r="J184" i="4"/>
  <c r="K184" i="4" s="1"/>
  <c r="L184" i="4" s="1"/>
  <c r="M184" i="4" s="1"/>
  <c r="B190" i="3"/>
  <c r="D190" i="3" s="1"/>
  <c r="I186" i="4"/>
  <c r="G186" i="4"/>
  <c r="N186" i="4"/>
  <c r="J186" i="4"/>
  <c r="K186" i="4" s="1"/>
  <c r="L186" i="4" s="1"/>
  <c r="M186" i="4" s="1"/>
  <c r="H186" i="4"/>
  <c r="B192" i="3"/>
  <c r="D192" i="3" s="1"/>
  <c r="G188" i="4"/>
  <c r="I188" i="4" s="1"/>
  <c r="N188" i="4"/>
  <c r="J188" i="4"/>
  <c r="K188" i="4" s="1"/>
  <c r="L188" i="4" s="1"/>
  <c r="M188" i="4" s="1"/>
  <c r="B194" i="3"/>
  <c r="D194" i="3" s="1"/>
  <c r="I190" i="4"/>
  <c r="G190" i="4"/>
  <c r="N190" i="4"/>
  <c r="J190" i="4"/>
  <c r="K190" i="4" s="1"/>
  <c r="L190" i="4" s="1"/>
  <c r="M190" i="4" s="1"/>
  <c r="H190" i="4"/>
  <c r="B196" i="3"/>
  <c r="D196" i="3" s="1"/>
  <c r="G192" i="4"/>
  <c r="I192" i="4" s="1"/>
  <c r="N192" i="4"/>
  <c r="J192" i="4"/>
  <c r="K192" i="4" s="1"/>
  <c r="L192" i="4" s="1"/>
  <c r="M192" i="4" s="1"/>
  <c r="E198" i="3"/>
  <c r="B198" i="3"/>
  <c r="D198" i="3" s="1"/>
  <c r="I194" i="4"/>
  <c r="G194" i="4"/>
  <c r="N194" i="4"/>
  <c r="J194" i="4"/>
  <c r="K194" i="4" s="1"/>
  <c r="L194" i="4" s="1"/>
  <c r="M194" i="4" s="1"/>
  <c r="H194" i="4"/>
  <c r="E200" i="3"/>
  <c r="B200" i="3"/>
  <c r="D200" i="3" s="1"/>
  <c r="G196" i="4"/>
  <c r="I196" i="4" s="1"/>
  <c r="N196" i="4"/>
  <c r="J196" i="4"/>
  <c r="K196" i="4" s="1"/>
  <c r="L196" i="4" s="1"/>
  <c r="M196" i="4" s="1"/>
  <c r="E202" i="3"/>
  <c r="B202" i="3"/>
  <c r="D202" i="3" s="1"/>
  <c r="I198" i="4"/>
  <c r="G198" i="4"/>
  <c r="N198" i="4"/>
  <c r="J198" i="4"/>
  <c r="K198" i="4" s="1"/>
  <c r="L198" i="4" s="1"/>
  <c r="M198" i="4" s="1"/>
  <c r="H198" i="4"/>
  <c r="E204" i="3"/>
  <c r="B204" i="3"/>
  <c r="D204" i="3" s="1"/>
  <c r="G200" i="4"/>
  <c r="I200" i="4" s="1"/>
  <c r="N200" i="4"/>
  <c r="J200" i="4"/>
  <c r="K200" i="4" s="1"/>
  <c r="L200" i="4" s="1"/>
  <c r="M200" i="4" s="1"/>
  <c r="E206" i="3"/>
  <c r="B206" i="3"/>
  <c r="D206" i="3" s="1"/>
  <c r="I202" i="4"/>
  <c r="G202" i="4"/>
  <c r="N202" i="4"/>
  <c r="J202" i="4"/>
  <c r="K202" i="4" s="1"/>
  <c r="L202" i="4" s="1"/>
  <c r="M202" i="4" s="1"/>
  <c r="H202" i="4"/>
  <c r="E208" i="3"/>
  <c r="B208" i="3"/>
  <c r="D208" i="3" s="1"/>
  <c r="G204" i="4"/>
  <c r="I204" i="4" s="1"/>
  <c r="N204" i="4"/>
  <c r="J204" i="4"/>
  <c r="K204" i="4" s="1"/>
  <c r="L204" i="4" s="1"/>
  <c r="M204" i="4" s="1"/>
  <c r="E210" i="3"/>
  <c r="B210" i="3"/>
  <c r="D210" i="3" s="1"/>
  <c r="I206" i="4"/>
  <c r="G206" i="4"/>
  <c r="N206" i="4"/>
  <c r="J206" i="4"/>
  <c r="K206" i="4" s="1"/>
  <c r="L206" i="4" s="1"/>
  <c r="M206" i="4" s="1"/>
  <c r="H206" i="4"/>
  <c r="E212" i="3"/>
  <c r="B212" i="3"/>
  <c r="D212" i="3" s="1"/>
  <c r="G208" i="4"/>
  <c r="I208" i="4" s="1"/>
  <c r="N208" i="4"/>
  <c r="J208" i="4"/>
  <c r="K208" i="4" s="1"/>
  <c r="L208" i="4" s="1"/>
  <c r="M208" i="4" s="1"/>
  <c r="E214" i="3"/>
  <c r="B214" i="3"/>
  <c r="D214" i="3" s="1"/>
  <c r="I210" i="4"/>
  <c r="G210" i="4"/>
  <c r="N210" i="4"/>
  <c r="J210" i="4"/>
  <c r="K210" i="4" s="1"/>
  <c r="L210" i="4" s="1"/>
  <c r="M210" i="4" s="1"/>
  <c r="H210" i="4"/>
  <c r="E216" i="3"/>
  <c r="B216" i="3"/>
  <c r="D216" i="3" s="1"/>
  <c r="G212" i="4"/>
  <c r="I212" i="4" s="1"/>
  <c r="N212" i="4"/>
  <c r="J212" i="4"/>
  <c r="K212" i="4" s="1"/>
  <c r="L212" i="4" s="1"/>
  <c r="M212" i="4" s="1"/>
  <c r="E218" i="3"/>
  <c r="B218" i="3"/>
  <c r="D218" i="3" s="1"/>
  <c r="I214" i="4"/>
  <c r="G214" i="4"/>
  <c r="N214" i="4"/>
  <c r="J214" i="4"/>
  <c r="K214" i="4" s="1"/>
  <c r="L214" i="4" s="1"/>
  <c r="M214" i="4" s="1"/>
  <c r="H214" i="4"/>
  <c r="E220" i="3"/>
  <c r="B220" i="3"/>
  <c r="D220" i="3" s="1"/>
  <c r="G216" i="4"/>
  <c r="I216" i="4" s="1"/>
  <c r="N216" i="4"/>
  <c r="J216" i="4"/>
  <c r="K216" i="4" s="1"/>
  <c r="L216" i="4" s="1"/>
  <c r="M216" i="4" s="1"/>
  <c r="E222" i="3"/>
  <c r="B222" i="3"/>
  <c r="D222" i="3" s="1"/>
  <c r="I218" i="4"/>
  <c r="G218" i="4"/>
  <c r="N218" i="4"/>
  <c r="J218" i="4"/>
  <c r="K218" i="4" s="1"/>
  <c r="L218" i="4" s="1"/>
  <c r="M218" i="4" s="1"/>
  <c r="H218" i="4"/>
  <c r="E224" i="3"/>
  <c r="B224" i="3"/>
  <c r="D224" i="3" s="1"/>
  <c r="G220" i="4"/>
  <c r="I220" i="4" s="1"/>
  <c r="N220" i="4"/>
  <c r="J220" i="4"/>
  <c r="K220" i="4" s="1"/>
  <c r="L220" i="4" s="1"/>
  <c r="M220" i="4" s="1"/>
  <c r="E226" i="3"/>
  <c r="B226" i="3"/>
  <c r="D226" i="3" s="1"/>
  <c r="I222" i="4"/>
  <c r="G222" i="4"/>
  <c r="N222" i="4"/>
  <c r="J222" i="4"/>
  <c r="K222" i="4" s="1"/>
  <c r="L222" i="4" s="1"/>
  <c r="M222" i="4" s="1"/>
  <c r="H222" i="4"/>
  <c r="E228" i="3"/>
  <c r="B228" i="3"/>
  <c r="D228" i="3" s="1"/>
  <c r="G224" i="4"/>
  <c r="I224" i="4" s="1"/>
  <c r="N224" i="4"/>
  <c r="J224" i="4"/>
  <c r="K224" i="4" s="1"/>
  <c r="L224" i="4" s="1"/>
  <c r="M224" i="4" s="1"/>
  <c r="E230" i="3"/>
  <c r="B230" i="3"/>
  <c r="D230" i="3" s="1"/>
  <c r="I226" i="4"/>
  <c r="G226" i="4"/>
  <c r="N226" i="4"/>
  <c r="J226" i="4"/>
  <c r="K226" i="4" s="1"/>
  <c r="L226" i="4" s="1"/>
  <c r="M226" i="4" s="1"/>
  <c r="H226" i="4"/>
  <c r="E232" i="3"/>
  <c r="B232" i="3"/>
  <c r="D232" i="3" s="1"/>
  <c r="G228" i="4"/>
  <c r="I228" i="4" s="1"/>
  <c r="N228" i="4"/>
  <c r="J228" i="4"/>
  <c r="K228" i="4" s="1"/>
  <c r="L228" i="4" s="1"/>
  <c r="M228" i="4" s="1"/>
  <c r="E234" i="3"/>
  <c r="B234" i="3"/>
  <c r="D234" i="3" s="1"/>
  <c r="I230" i="4"/>
  <c r="G230" i="4"/>
  <c r="N230" i="4"/>
  <c r="J230" i="4"/>
  <c r="K230" i="4" s="1"/>
  <c r="L230" i="4" s="1"/>
  <c r="M230" i="4" s="1"/>
  <c r="H230" i="4"/>
  <c r="E236" i="3"/>
  <c r="B236" i="3"/>
  <c r="D236" i="3" s="1"/>
  <c r="G232" i="4"/>
  <c r="I232" i="4" s="1"/>
  <c r="N232" i="4"/>
  <c r="J232" i="4"/>
  <c r="K232" i="4" s="1"/>
  <c r="L232" i="4" s="1"/>
  <c r="M232" i="4" s="1"/>
  <c r="E238" i="3"/>
  <c r="B238" i="3"/>
  <c r="D238" i="3" s="1"/>
  <c r="I234" i="4"/>
  <c r="G234" i="4"/>
  <c r="N234" i="4"/>
  <c r="J234" i="4"/>
  <c r="K234" i="4" s="1"/>
  <c r="L234" i="4" s="1"/>
  <c r="M234" i="4" s="1"/>
  <c r="H234" i="4"/>
  <c r="E240" i="3"/>
  <c r="B240" i="3"/>
  <c r="D240" i="3" s="1"/>
  <c r="G236" i="4"/>
  <c r="I236" i="4" s="1"/>
  <c r="N236" i="4"/>
  <c r="J236" i="4"/>
  <c r="K236" i="4" s="1"/>
  <c r="L236" i="4" s="1"/>
  <c r="M236" i="4" s="1"/>
  <c r="E242" i="3"/>
  <c r="B242" i="3"/>
  <c r="D242" i="3" s="1"/>
  <c r="I238" i="4"/>
  <c r="G238" i="4"/>
  <c r="N238" i="4"/>
  <c r="J238" i="4"/>
  <c r="K238" i="4" s="1"/>
  <c r="L238" i="4" s="1"/>
  <c r="M238" i="4" s="1"/>
  <c r="H238" i="4"/>
  <c r="E244" i="3"/>
  <c r="B244" i="3"/>
  <c r="D244" i="3" s="1"/>
  <c r="G240" i="4"/>
  <c r="I240" i="4" s="1"/>
  <c r="N240" i="4"/>
  <c r="J240" i="4"/>
  <c r="K240" i="4" s="1"/>
  <c r="L240" i="4" s="1"/>
  <c r="M240" i="4" s="1"/>
  <c r="E246" i="3"/>
  <c r="B246" i="3"/>
  <c r="D246" i="3" s="1"/>
  <c r="I242" i="4"/>
  <c r="G242" i="4"/>
  <c r="N242" i="4"/>
  <c r="J242" i="4"/>
  <c r="K242" i="4" s="1"/>
  <c r="L242" i="4" s="1"/>
  <c r="M242" i="4" s="1"/>
  <c r="H242" i="4"/>
  <c r="E248" i="3"/>
  <c r="B248" i="3"/>
  <c r="D248" i="3" s="1"/>
  <c r="G244" i="4"/>
  <c r="I244" i="4" s="1"/>
  <c r="N244" i="4"/>
  <c r="J244" i="4"/>
  <c r="K244" i="4" s="1"/>
  <c r="L244" i="4" s="1"/>
  <c r="M244" i="4" s="1"/>
  <c r="E250" i="3"/>
  <c r="B250" i="3"/>
  <c r="D250" i="3" s="1"/>
  <c r="I246" i="4"/>
  <c r="G246" i="4"/>
  <c r="N246" i="4"/>
  <c r="J246" i="4"/>
  <c r="K246" i="4" s="1"/>
  <c r="L246" i="4" s="1"/>
  <c r="M246" i="4" s="1"/>
  <c r="H246" i="4"/>
  <c r="E252" i="3"/>
  <c r="B252" i="3"/>
  <c r="D252" i="3" s="1"/>
  <c r="G248" i="4"/>
  <c r="I248" i="4" s="1"/>
  <c r="N248" i="4"/>
  <c r="J248" i="4"/>
  <c r="K248" i="4" s="1"/>
  <c r="L248" i="4" s="1"/>
  <c r="M248" i="4" s="1"/>
  <c r="E254" i="3"/>
  <c r="B254" i="3"/>
  <c r="D254" i="3" s="1"/>
  <c r="I250" i="4"/>
  <c r="G250" i="4"/>
  <c r="N250" i="4"/>
  <c r="J250" i="4"/>
  <c r="K250" i="4" s="1"/>
  <c r="L250" i="4" s="1"/>
  <c r="M250" i="4" s="1"/>
  <c r="H250" i="4"/>
  <c r="E256" i="3"/>
  <c r="B256" i="3"/>
  <c r="D256" i="3" s="1"/>
  <c r="G252" i="4"/>
  <c r="I252" i="4" s="1"/>
  <c r="N252" i="4"/>
  <c r="J252" i="4"/>
  <c r="K252" i="4" s="1"/>
  <c r="L252" i="4" s="1"/>
  <c r="M252" i="4" s="1"/>
  <c r="E258" i="3"/>
  <c r="B258" i="3"/>
  <c r="D258" i="3" s="1"/>
  <c r="I254" i="4"/>
  <c r="G254" i="4"/>
  <c r="N254" i="4"/>
  <c r="J254" i="4"/>
  <c r="K254" i="4" s="1"/>
  <c r="L254" i="4" s="1"/>
  <c r="M254" i="4" s="1"/>
  <c r="H254" i="4"/>
  <c r="E260" i="3"/>
  <c r="B260" i="3"/>
  <c r="D260" i="3" s="1"/>
  <c r="G256" i="4"/>
  <c r="I256" i="4" s="1"/>
  <c r="N256" i="4"/>
  <c r="J256" i="4"/>
  <c r="K256" i="4" s="1"/>
  <c r="L256" i="4" s="1"/>
  <c r="M256" i="4" s="1"/>
  <c r="E262" i="3"/>
  <c r="B262" i="3"/>
  <c r="D262" i="3" s="1"/>
  <c r="I258" i="4"/>
  <c r="G258" i="4"/>
  <c r="N258" i="4"/>
  <c r="J258" i="4"/>
  <c r="K258" i="4" s="1"/>
  <c r="L258" i="4" s="1"/>
  <c r="M258" i="4" s="1"/>
  <c r="H258" i="4"/>
  <c r="E264" i="3"/>
  <c r="B264" i="3"/>
  <c r="D264" i="3" s="1"/>
  <c r="G260" i="4"/>
  <c r="I260" i="4" s="1"/>
  <c r="N260" i="4"/>
  <c r="J260" i="4"/>
  <c r="K260" i="4" s="1"/>
  <c r="L260" i="4" s="1"/>
  <c r="M260" i="4" s="1"/>
  <c r="E266" i="3"/>
  <c r="B266" i="3"/>
  <c r="D266" i="3" s="1"/>
  <c r="I262" i="4"/>
  <c r="G262" i="4"/>
  <c r="N262" i="4"/>
  <c r="J262" i="4"/>
  <c r="K262" i="4" s="1"/>
  <c r="L262" i="4" s="1"/>
  <c r="M262" i="4" s="1"/>
  <c r="H262" i="4"/>
  <c r="E268" i="3"/>
  <c r="B268" i="3"/>
  <c r="D268" i="3" s="1"/>
  <c r="G264" i="4"/>
  <c r="I264" i="4" s="1"/>
  <c r="N264" i="4"/>
  <c r="J264" i="4"/>
  <c r="K264" i="4" s="1"/>
  <c r="L264" i="4" s="1"/>
  <c r="M264" i="4" s="1"/>
  <c r="E270" i="3"/>
  <c r="B270" i="3"/>
  <c r="D270" i="3" s="1"/>
  <c r="I266" i="4"/>
  <c r="G266" i="4"/>
  <c r="N266" i="4"/>
  <c r="J266" i="4"/>
  <c r="K266" i="4" s="1"/>
  <c r="L266" i="4" s="1"/>
  <c r="M266" i="4" s="1"/>
  <c r="H266" i="4"/>
  <c r="E272" i="3"/>
  <c r="B272" i="3"/>
  <c r="D272" i="3" s="1"/>
  <c r="G268" i="4"/>
  <c r="I268" i="4" s="1"/>
  <c r="N268" i="4"/>
  <c r="J268" i="4"/>
  <c r="K268" i="4" s="1"/>
  <c r="L268" i="4" s="1"/>
  <c r="M268" i="4" s="1"/>
  <c r="E274" i="3"/>
  <c r="B274" i="3"/>
  <c r="D274" i="3" s="1"/>
  <c r="I270" i="4"/>
  <c r="G270" i="4"/>
  <c r="N270" i="4"/>
  <c r="J270" i="4"/>
  <c r="K270" i="4" s="1"/>
  <c r="L270" i="4" s="1"/>
  <c r="M270" i="4" s="1"/>
  <c r="H270" i="4"/>
  <c r="E276" i="3"/>
  <c r="B276" i="3"/>
  <c r="D276" i="3" s="1"/>
  <c r="G272" i="4"/>
  <c r="I272" i="4" s="1"/>
  <c r="N272" i="4"/>
  <c r="J272" i="4"/>
  <c r="K272" i="4" s="1"/>
  <c r="L272" i="4" s="1"/>
  <c r="M272" i="4" s="1"/>
  <c r="E278" i="3"/>
  <c r="B278" i="3"/>
  <c r="D278" i="3" s="1"/>
  <c r="I274" i="4"/>
  <c r="G274" i="4"/>
  <c r="N274" i="4"/>
  <c r="J274" i="4"/>
  <c r="K274" i="4" s="1"/>
  <c r="L274" i="4" s="1"/>
  <c r="M274" i="4" s="1"/>
  <c r="H274" i="4"/>
  <c r="E280" i="3"/>
  <c r="B280" i="3"/>
  <c r="D280" i="3" s="1"/>
  <c r="G276" i="4"/>
  <c r="I276" i="4" s="1"/>
  <c r="N276" i="4"/>
  <c r="J276" i="4"/>
  <c r="K276" i="4" s="1"/>
  <c r="L276" i="4" s="1"/>
  <c r="M276" i="4" s="1"/>
  <c r="E282" i="3"/>
  <c r="B282" i="3"/>
  <c r="D282" i="3" s="1"/>
  <c r="I278" i="4"/>
  <c r="G278" i="4"/>
  <c r="N278" i="4"/>
  <c r="J278" i="4"/>
  <c r="K278" i="4" s="1"/>
  <c r="L278" i="4" s="1"/>
  <c r="M278" i="4" s="1"/>
  <c r="H278" i="4"/>
  <c r="E284" i="3"/>
  <c r="B284" i="3"/>
  <c r="D284" i="3" s="1"/>
  <c r="G280" i="4"/>
  <c r="I280" i="4" s="1"/>
  <c r="N280" i="4"/>
  <c r="J280" i="4"/>
  <c r="K280" i="4" s="1"/>
  <c r="L280" i="4" s="1"/>
  <c r="M280" i="4" s="1"/>
  <c r="E286" i="3"/>
  <c r="B286" i="3"/>
  <c r="D286" i="3" s="1"/>
  <c r="I282" i="4"/>
  <c r="G282" i="4"/>
  <c r="N282" i="4"/>
  <c r="J282" i="4"/>
  <c r="K282" i="4" s="1"/>
  <c r="L282" i="4" s="1"/>
  <c r="M282" i="4" s="1"/>
  <c r="H282" i="4"/>
  <c r="E288" i="3"/>
  <c r="B288" i="3"/>
  <c r="D288" i="3" s="1"/>
  <c r="G284" i="4"/>
  <c r="I284" i="4" s="1"/>
  <c r="N284" i="4"/>
  <c r="J284" i="4"/>
  <c r="K284" i="4" s="1"/>
  <c r="L284" i="4" s="1"/>
  <c r="M284" i="4" s="1"/>
  <c r="E290" i="3"/>
  <c r="B290" i="3"/>
  <c r="D290" i="3" s="1"/>
  <c r="I286" i="4"/>
  <c r="G286" i="4"/>
  <c r="N286" i="4"/>
  <c r="J286" i="4"/>
  <c r="K286" i="4" s="1"/>
  <c r="L286" i="4" s="1"/>
  <c r="M286" i="4" s="1"/>
  <c r="H286" i="4"/>
  <c r="E292" i="3"/>
  <c r="B292" i="3"/>
  <c r="D292" i="3" s="1"/>
  <c r="G288" i="4"/>
  <c r="I288" i="4" s="1"/>
  <c r="N288" i="4"/>
  <c r="J288" i="4"/>
  <c r="K288" i="4" s="1"/>
  <c r="L288" i="4" s="1"/>
  <c r="M288" i="4" s="1"/>
  <c r="E294" i="3"/>
  <c r="B294" i="3"/>
  <c r="D294" i="3" s="1"/>
  <c r="I290" i="4"/>
  <c r="G290" i="4"/>
  <c r="N290" i="4"/>
  <c r="J290" i="4"/>
  <c r="K290" i="4" s="1"/>
  <c r="L290" i="4" s="1"/>
  <c r="M290" i="4" s="1"/>
  <c r="H290" i="4"/>
  <c r="E296" i="3"/>
  <c r="B296" i="3"/>
  <c r="D296" i="3" s="1"/>
  <c r="G292" i="4"/>
  <c r="I292" i="4" s="1"/>
  <c r="N292" i="4"/>
  <c r="J292" i="4"/>
  <c r="K292" i="4" s="1"/>
  <c r="L292" i="4" s="1"/>
  <c r="M292" i="4" s="1"/>
  <c r="E298" i="3"/>
  <c r="B298" i="3"/>
  <c r="D298" i="3" s="1"/>
  <c r="I294" i="4"/>
  <c r="G294" i="4"/>
  <c r="N294" i="4"/>
  <c r="J294" i="4"/>
  <c r="K294" i="4" s="1"/>
  <c r="L294" i="4" s="1"/>
  <c r="M294" i="4" s="1"/>
  <c r="H294" i="4"/>
  <c r="E300" i="3"/>
  <c r="B300" i="3"/>
  <c r="D300" i="3" s="1"/>
  <c r="G296" i="4"/>
  <c r="I296" i="4" s="1"/>
  <c r="N296" i="4"/>
  <c r="J296" i="4"/>
  <c r="K296" i="4" s="1"/>
  <c r="L296" i="4" s="1"/>
  <c r="M296" i="4" s="1"/>
  <c r="E302" i="3"/>
  <c r="B302" i="3"/>
  <c r="D302" i="3" s="1"/>
  <c r="I298" i="4"/>
  <c r="G298" i="4"/>
  <c r="N298" i="4"/>
  <c r="J298" i="4"/>
  <c r="K298" i="4" s="1"/>
  <c r="L298" i="4" s="1"/>
  <c r="M298" i="4" s="1"/>
  <c r="H298" i="4"/>
  <c r="E304" i="3"/>
  <c r="B304" i="3"/>
  <c r="D304" i="3" s="1"/>
  <c r="G300" i="4"/>
  <c r="I300" i="4" s="1"/>
  <c r="N300" i="4"/>
  <c r="J300" i="4"/>
  <c r="K300" i="4" s="1"/>
  <c r="L300" i="4" s="1"/>
  <c r="M300" i="4" s="1"/>
  <c r="E306" i="3"/>
  <c r="B306" i="3"/>
  <c r="D306" i="3" s="1"/>
  <c r="I302" i="4"/>
  <c r="G302" i="4"/>
  <c r="N302" i="4"/>
  <c r="J302" i="4"/>
  <c r="K302" i="4" s="1"/>
  <c r="L302" i="4" s="1"/>
  <c r="M302" i="4" s="1"/>
  <c r="H302" i="4"/>
  <c r="E308" i="3"/>
  <c r="B308" i="3"/>
  <c r="D308" i="3" s="1"/>
  <c r="G304" i="4"/>
  <c r="I304" i="4" s="1"/>
  <c r="N304" i="4"/>
  <c r="J304" i="4"/>
  <c r="K304" i="4" s="1"/>
  <c r="L304" i="4" s="1"/>
  <c r="M304" i="4" s="1"/>
  <c r="E310" i="3"/>
  <c r="B310" i="3"/>
  <c r="D310" i="3" s="1"/>
  <c r="I306" i="4"/>
  <c r="G306" i="4"/>
  <c r="N306" i="4"/>
  <c r="J306" i="4"/>
  <c r="K306" i="4" s="1"/>
  <c r="L306" i="4" s="1"/>
  <c r="M306" i="4" s="1"/>
  <c r="H306" i="4"/>
  <c r="E312" i="3"/>
  <c r="B312" i="3"/>
  <c r="D312" i="3" s="1"/>
  <c r="G308" i="4"/>
  <c r="I308" i="4" s="1"/>
  <c r="N308" i="4"/>
  <c r="J308" i="4"/>
  <c r="K308" i="4" s="1"/>
  <c r="L308" i="4" s="1"/>
  <c r="M308" i="4" s="1"/>
  <c r="E314" i="3"/>
  <c r="B314" i="3"/>
  <c r="D314" i="3" s="1"/>
  <c r="I310" i="4"/>
  <c r="G310" i="4"/>
  <c r="N310" i="4"/>
  <c r="J310" i="4"/>
  <c r="K310" i="4" s="1"/>
  <c r="L310" i="4" s="1"/>
  <c r="M310" i="4" s="1"/>
  <c r="H310" i="4"/>
  <c r="E316" i="3"/>
  <c r="B316" i="3"/>
  <c r="D316" i="3" s="1"/>
  <c r="G312" i="4"/>
  <c r="I312" i="4" s="1"/>
  <c r="N312" i="4"/>
  <c r="J312" i="4"/>
  <c r="K312" i="4" s="1"/>
  <c r="L312" i="4" s="1"/>
  <c r="M312" i="4" s="1"/>
  <c r="E318" i="3"/>
  <c r="B318" i="3"/>
  <c r="D318" i="3" s="1"/>
  <c r="I314" i="4"/>
  <c r="G314" i="4"/>
  <c r="N314" i="4"/>
  <c r="J314" i="4"/>
  <c r="K314" i="4" s="1"/>
  <c r="L314" i="4" s="1"/>
  <c r="M314" i="4" s="1"/>
  <c r="H314" i="4"/>
  <c r="E320" i="3"/>
  <c r="B320" i="3"/>
  <c r="D320" i="3" s="1"/>
  <c r="G316" i="4"/>
  <c r="I316" i="4" s="1"/>
  <c r="N316" i="4"/>
  <c r="J316" i="4"/>
  <c r="K316" i="4" s="1"/>
  <c r="L316" i="4" s="1"/>
  <c r="M316" i="4" s="1"/>
  <c r="E322" i="3"/>
  <c r="B322" i="3"/>
  <c r="D322" i="3" s="1"/>
  <c r="I318" i="4"/>
  <c r="G318" i="4"/>
  <c r="N318" i="4"/>
  <c r="J318" i="4"/>
  <c r="K318" i="4" s="1"/>
  <c r="L318" i="4" s="1"/>
  <c r="M318" i="4" s="1"/>
  <c r="H318" i="4"/>
  <c r="E324" i="3"/>
  <c r="B324" i="3"/>
  <c r="D324" i="3" s="1"/>
  <c r="G320" i="4"/>
  <c r="I320" i="4" s="1"/>
  <c r="N320" i="4"/>
  <c r="J320" i="4"/>
  <c r="K320" i="4" s="1"/>
  <c r="L320" i="4" s="1"/>
  <c r="M320" i="4" s="1"/>
  <c r="E326" i="3"/>
  <c r="B326" i="3"/>
  <c r="D326" i="3" s="1"/>
  <c r="I322" i="4"/>
  <c r="G322" i="4"/>
  <c r="N322" i="4"/>
  <c r="J322" i="4"/>
  <c r="K322" i="4" s="1"/>
  <c r="L322" i="4" s="1"/>
  <c r="M322" i="4" s="1"/>
  <c r="H322" i="4"/>
  <c r="E328" i="3"/>
  <c r="B328" i="3"/>
  <c r="D328" i="3" s="1"/>
  <c r="G324" i="4"/>
  <c r="I324" i="4" s="1"/>
  <c r="N324" i="4"/>
  <c r="J324" i="4"/>
  <c r="K324" i="4" s="1"/>
  <c r="L324" i="4" s="1"/>
  <c r="M324" i="4" s="1"/>
  <c r="E330" i="3"/>
  <c r="B330" i="3"/>
  <c r="D330" i="3" s="1"/>
  <c r="I326" i="4"/>
  <c r="G326" i="4"/>
  <c r="N326" i="4"/>
  <c r="J326" i="4"/>
  <c r="K326" i="4" s="1"/>
  <c r="L326" i="4" s="1"/>
  <c r="M326" i="4" s="1"/>
  <c r="H326" i="4"/>
  <c r="E332" i="3"/>
  <c r="B332" i="3"/>
  <c r="D332" i="3" s="1"/>
  <c r="G328" i="4"/>
  <c r="I328" i="4" s="1"/>
  <c r="N328" i="4"/>
  <c r="J328" i="4"/>
  <c r="K328" i="4" s="1"/>
  <c r="L328" i="4" s="1"/>
  <c r="M328" i="4" s="1"/>
  <c r="E334" i="3"/>
  <c r="B334" i="3"/>
  <c r="D334" i="3" s="1"/>
  <c r="I330" i="4"/>
  <c r="G330" i="4"/>
  <c r="N330" i="4"/>
  <c r="J330" i="4"/>
  <c r="K330" i="4" s="1"/>
  <c r="L330" i="4" s="1"/>
  <c r="M330" i="4" s="1"/>
  <c r="H330" i="4"/>
  <c r="E336" i="3"/>
  <c r="B336" i="3"/>
  <c r="D336" i="3" s="1"/>
  <c r="G332" i="4"/>
  <c r="I332" i="4" s="1"/>
  <c r="N332" i="4"/>
  <c r="J332" i="4"/>
  <c r="K332" i="4" s="1"/>
  <c r="L332" i="4" s="1"/>
  <c r="M332" i="4" s="1"/>
  <c r="E338" i="3"/>
  <c r="B338" i="3"/>
  <c r="D338" i="3" s="1"/>
  <c r="I334" i="4"/>
  <c r="G334" i="4"/>
  <c r="N334" i="4"/>
  <c r="J334" i="4"/>
  <c r="K334" i="4" s="1"/>
  <c r="L334" i="4" s="1"/>
  <c r="M334" i="4" s="1"/>
  <c r="H334" i="4"/>
  <c r="E340" i="3"/>
  <c r="B340" i="3"/>
  <c r="D340" i="3" s="1"/>
  <c r="G336" i="4"/>
  <c r="I336" i="4" s="1"/>
  <c r="N336" i="4"/>
  <c r="J336" i="4"/>
  <c r="K336" i="4" s="1"/>
  <c r="L336" i="4" s="1"/>
  <c r="M336" i="4" s="1"/>
  <c r="E342" i="3"/>
  <c r="B342" i="3"/>
  <c r="D342" i="3" s="1"/>
  <c r="I338" i="4"/>
  <c r="G338" i="4"/>
  <c r="N338" i="4"/>
  <c r="J338" i="4"/>
  <c r="K338" i="4" s="1"/>
  <c r="L338" i="4" s="1"/>
  <c r="M338" i="4" s="1"/>
  <c r="H338" i="4"/>
  <c r="E344" i="3"/>
  <c r="B344" i="3"/>
  <c r="D344" i="3" s="1"/>
  <c r="G340" i="4"/>
  <c r="I340" i="4" s="1"/>
  <c r="N340" i="4"/>
  <c r="J340" i="4"/>
  <c r="K340" i="4" s="1"/>
  <c r="L340" i="4" s="1"/>
  <c r="M340" i="4" s="1"/>
  <c r="E346" i="3"/>
  <c r="B346" i="3"/>
  <c r="D346" i="3" s="1"/>
  <c r="I342" i="4"/>
  <c r="G342" i="4"/>
  <c r="N342" i="4"/>
  <c r="J342" i="4"/>
  <c r="K342" i="4" s="1"/>
  <c r="L342" i="4" s="1"/>
  <c r="M342" i="4" s="1"/>
  <c r="H342" i="4"/>
  <c r="E348" i="3"/>
  <c r="B348" i="3"/>
  <c r="D348" i="3" s="1"/>
  <c r="G344" i="4"/>
  <c r="I344" i="4" s="1"/>
  <c r="N344" i="4"/>
  <c r="J344" i="4"/>
  <c r="K344" i="4" s="1"/>
  <c r="L344" i="4" s="1"/>
  <c r="M344" i="4" s="1"/>
  <c r="E350" i="3"/>
  <c r="B350" i="3"/>
  <c r="D350" i="3" s="1"/>
  <c r="I346" i="4"/>
  <c r="G346" i="4"/>
  <c r="N346" i="4"/>
  <c r="J346" i="4"/>
  <c r="K346" i="4" s="1"/>
  <c r="L346" i="4" s="1"/>
  <c r="M346" i="4" s="1"/>
  <c r="H346" i="4"/>
  <c r="E352" i="3"/>
  <c r="B352" i="3"/>
  <c r="D352" i="3" s="1"/>
  <c r="G348" i="4"/>
  <c r="I348" i="4" s="1"/>
  <c r="N348" i="4"/>
  <c r="J348" i="4"/>
  <c r="K348" i="4" s="1"/>
  <c r="L348" i="4" s="1"/>
  <c r="M348" i="4" s="1"/>
  <c r="E354" i="3"/>
  <c r="B354" i="3"/>
  <c r="D354" i="3" s="1"/>
  <c r="I350" i="4"/>
  <c r="G350" i="4"/>
  <c r="N350" i="4"/>
  <c r="J350" i="4"/>
  <c r="K350" i="4" s="1"/>
  <c r="L350" i="4" s="1"/>
  <c r="M350" i="4" s="1"/>
  <c r="H350" i="4"/>
  <c r="E356" i="3"/>
  <c r="B356" i="3"/>
  <c r="D356" i="3" s="1"/>
  <c r="G352" i="4"/>
  <c r="I352" i="4" s="1"/>
  <c r="N352" i="4"/>
  <c r="J352" i="4"/>
  <c r="K352" i="4" s="1"/>
  <c r="L352" i="4" s="1"/>
  <c r="M352" i="4" s="1"/>
  <c r="E358" i="3"/>
  <c r="B358" i="3"/>
  <c r="D358" i="3" s="1"/>
  <c r="I354" i="4"/>
  <c r="G354" i="4"/>
  <c r="N354" i="4"/>
  <c r="J354" i="4"/>
  <c r="K354" i="4" s="1"/>
  <c r="L354" i="4" s="1"/>
  <c r="M354" i="4" s="1"/>
  <c r="H354" i="4"/>
  <c r="E360" i="3"/>
  <c r="B360" i="3"/>
  <c r="D360" i="3" s="1"/>
  <c r="G356" i="4"/>
  <c r="I356" i="4" s="1"/>
  <c r="N356" i="4"/>
  <c r="J356" i="4"/>
  <c r="K356" i="4" s="1"/>
  <c r="L356" i="4" s="1"/>
  <c r="M356" i="4" s="1"/>
  <c r="E362" i="3"/>
  <c r="B362" i="3"/>
  <c r="D362" i="3" s="1"/>
  <c r="I358" i="4"/>
  <c r="G358" i="4"/>
  <c r="N358" i="4"/>
  <c r="J358" i="4"/>
  <c r="K358" i="4" s="1"/>
  <c r="L358" i="4" s="1"/>
  <c r="M358" i="4" s="1"/>
  <c r="H358" i="4"/>
  <c r="E364" i="3"/>
  <c r="B364" i="3"/>
  <c r="D364" i="3" s="1"/>
  <c r="G360" i="4"/>
  <c r="I360" i="4" s="1"/>
  <c r="N360" i="4"/>
  <c r="J360" i="4"/>
  <c r="K360" i="4" s="1"/>
  <c r="L360" i="4" s="1"/>
  <c r="M360" i="4" s="1"/>
  <c r="E366" i="3"/>
  <c r="B366" i="3"/>
  <c r="D366" i="3" s="1"/>
  <c r="I362" i="4"/>
  <c r="G362" i="4"/>
  <c r="N362" i="4"/>
  <c r="J362" i="4"/>
  <c r="K362" i="4" s="1"/>
  <c r="L362" i="4" s="1"/>
  <c r="M362" i="4" s="1"/>
  <c r="H362" i="4"/>
  <c r="E368" i="3"/>
  <c r="B368" i="3"/>
  <c r="D368" i="3" s="1"/>
  <c r="G364" i="4"/>
  <c r="I364" i="4" s="1"/>
  <c r="N364" i="4"/>
  <c r="J364" i="4"/>
  <c r="K364" i="4" s="1"/>
  <c r="L364" i="4" s="1"/>
  <c r="M364" i="4" s="1"/>
  <c r="E370" i="3"/>
  <c r="B370" i="3"/>
  <c r="D370" i="3" s="1"/>
  <c r="I366" i="4"/>
  <c r="G366" i="4"/>
  <c r="N366" i="4"/>
  <c r="J366" i="4"/>
  <c r="K366" i="4" s="1"/>
  <c r="L366" i="4" s="1"/>
  <c r="M366" i="4" s="1"/>
  <c r="H366" i="4"/>
  <c r="E372" i="3"/>
  <c r="B372" i="3"/>
  <c r="D372" i="3" s="1"/>
  <c r="G368" i="4"/>
  <c r="I368" i="4" s="1"/>
  <c r="N368" i="4"/>
  <c r="J368" i="4"/>
  <c r="K368" i="4" s="1"/>
  <c r="L368" i="4" s="1"/>
  <c r="M368" i="4" s="1"/>
  <c r="E374" i="3"/>
  <c r="B374" i="3"/>
  <c r="D374" i="3" s="1"/>
  <c r="I370" i="4"/>
  <c r="G370" i="4"/>
  <c r="N370" i="4"/>
  <c r="J370" i="4"/>
  <c r="K370" i="4" s="1"/>
  <c r="L370" i="4" s="1"/>
  <c r="M370" i="4" s="1"/>
  <c r="H370" i="4"/>
  <c r="E376" i="3"/>
  <c r="B376" i="3"/>
  <c r="D376" i="3" s="1"/>
  <c r="G372" i="4"/>
  <c r="I372" i="4" s="1"/>
  <c r="N372" i="4"/>
  <c r="J372" i="4"/>
  <c r="K372" i="4" s="1"/>
  <c r="L372" i="4" s="1"/>
  <c r="M372" i="4" s="1"/>
  <c r="E378" i="3"/>
  <c r="B378" i="3"/>
  <c r="D378" i="3" s="1"/>
  <c r="I374" i="4"/>
  <c r="G374" i="4"/>
  <c r="N374" i="4"/>
  <c r="J374" i="4"/>
  <c r="K374" i="4" s="1"/>
  <c r="L374" i="4" s="1"/>
  <c r="M374" i="4" s="1"/>
  <c r="H374" i="4"/>
  <c r="E380" i="3"/>
  <c r="B380" i="3"/>
  <c r="D380" i="3" s="1"/>
  <c r="G376" i="4"/>
  <c r="I376" i="4" s="1"/>
  <c r="N376" i="4"/>
  <c r="J376" i="4"/>
  <c r="K376" i="4" s="1"/>
  <c r="L376" i="4" s="1"/>
  <c r="M376" i="4" s="1"/>
  <c r="E382" i="3"/>
  <c r="B382" i="3"/>
  <c r="D382" i="3" s="1"/>
  <c r="I378" i="4"/>
  <c r="G378" i="4"/>
  <c r="N378" i="4"/>
  <c r="J378" i="4"/>
  <c r="K378" i="4" s="1"/>
  <c r="L378" i="4" s="1"/>
  <c r="M378" i="4" s="1"/>
  <c r="H378" i="4"/>
  <c r="E384" i="3"/>
  <c r="B384" i="3"/>
  <c r="D384" i="3" s="1"/>
  <c r="G380" i="4"/>
  <c r="I380" i="4" s="1"/>
  <c r="N380" i="4"/>
  <c r="J380" i="4"/>
  <c r="K380" i="4" s="1"/>
  <c r="L380" i="4" s="1"/>
  <c r="M380" i="4" s="1"/>
  <c r="E386" i="3"/>
  <c r="B386" i="3"/>
  <c r="D386" i="3" s="1"/>
  <c r="I382" i="4"/>
  <c r="G382" i="4"/>
  <c r="N382" i="4"/>
  <c r="J382" i="4"/>
  <c r="K382" i="4" s="1"/>
  <c r="L382" i="4" s="1"/>
  <c r="M382" i="4" s="1"/>
  <c r="H382" i="4"/>
  <c r="E388" i="3"/>
  <c r="B388" i="3"/>
  <c r="D388" i="3" s="1"/>
  <c r="G384" i="4"/>
  <c r="I384" i="4" s="1"/>
  <c r="N384" i="4"/>
  <c r="J384" i="4"/>
  <c r="K384" i="4" s="1"/>
  <c r="L384" i="4" s="1"/>
  <c r="M384" i="4" s="1"/>
  <c r="E390" i="3"/>
  <c r="B390" i="3"/>
  <c r="D390" i="3" s="1"/>
  <c r="I386" i="4"/>
  <c r="G386" i="4"/>
  <c r="N386" i="4"/>
  <c r="J386" i="4"/>
  <c r="K386" i="4" s="1"/>
  <c r="L386" i="4" s="1"/>
  <c r="M386" i="4" s="1"/>
  <c r="H386" i="4"/>
  <c r="E392" i="3"/>
  <c r="B392" i="3"/>
  <c r="D392" i="3" s="1"/>
  <c r="G388" i="4"/>
  <c r="I388" i="4" s="1"/>
  <c r="N388" i="4"/>
  <c r="J388" i="4"/>
  <c r="K388" i="4" s="1"/>
  <c r="L388" i="4" s="1"/>
  <c r="M388" i="4" s="1"/>
  <c r="E394" i="3"/>
  <c r="B394" i="3"/>
  <c r="D394" i="3" s="1"/>
  <c r="I390" i="4"/>
  <c r="G390" i="4"/>
  <c r="N390" i="4"/>
  <c r="J390" i="4"/>
  <c r="K390" i="4" s="1"/>
  <c r="L390" i="4" s="1"/>
  <c r="M390" i="4" s="1"/>
  <c r="H390" i="4"/>
  <c r="E396" i="3"/>
  <c r="B396" i="3"/>
  <c r="D396" i="3" s="1"/>
  <c r="G392" i="4"/>
  <c r="I392" i="4" s="1"/>
  <c r="N392" i="4"/>
  <c r="J392" i="4"/>
  <c r="K392" i="4" s="1"/>
  <c r="L392" i="4" s="1"/>
  <c r="M392" i="4" s="1"/>
  <c r="E398" i="3"/>
  <c r="B398" i="3"/>
  <c r="D398" i="3" s="1"/>
  <c r="I394" i="4"/>
  <c r="G394" i="4"/>
  <c r="N394" i="4"/>
  <c r="J394" i="4"/>
  <c r="K394" i="4" s="1"/>
  <c r="L394" i="4" s="1"/>
  <c r="M394" i="4" s="1"/>
  <c r="H394" i="4"/>
  <c r="E400" i="3"/>
  <c r="B400" i="3"/>
  <c r="D400" i="3" s="1"/>
  <c r="G396" i="4"/>
  <c r="I396" i="4" s="1"/>
  <c r="N396" i="4"/>
  <c r="J396" i="4"/>
  <c r="K396" i="4" s="1"/>
  <c r="L396" i="4" s="1"/>
  <c r="M396" i="4" s="1"/>
  <c r="E402" i="3"/>
  <c r="B402" i="3"/>
  <c r="D402" i="3" s="1"/>
  <c r="I398" i="4"/>
  <c r="G398" i="4"/>
  <c r="N398" i="4"/>
  <c r="J398" i="4"/>
  <c r="K398" i="4" s="1"/>
  <c r="L398" i="4" s="1"/>
  <c r="M398" i="4" s="1"/>
  <c r="H398" i="4"/>
  <c r="E404" i="3"/>
  <c r="B404" i="3"/>
  <c r="D404" i="3" s="1"/>
  <c r="G400" i="4"/>
  <c r="I400" i="4" s="1"/>
  <c r="N400" i="4"/>
  <c r="J400" i="4"/>
  <c r="K400" i="4" s="1"/>
  <c r="L400" i="4" s="1"/>
  <c r="M400" i="4" s="1"/>
  <c r="E406" i="3"/>
  <c r="B406" i="3"/>
  <c r="D406" i="3" s="1"/>
  <c r="I402" i="4"/>
  <c r="G402" i="4"/>
  <c r="N402" i="4"/>
  <c r="J402" i="4"/>
  <c r="K402" i="4" s="1"/>
  <c r="L402" i="4" s="1"/>
  <c r="M402" i="4" s="1"/>
  <c r="H402" i="4"/>
  <c r="E408" i="3"/>
  <c r="B408" i="3"/>
  <c r="D408" i="3" s="1"/>
  <c r="G404" i="4"/>
  <c r="I404" i="4" s="1"/>
  <c r="N404" i="4"/>
  <c r="J404" i="4"/>
  <c r="K404" i="4" s="1"/>
  <c r="L404" i="4" s="1"/>
  <c r="M404" i="4" s="1"/>
  <c r="E410" i="3"/>
  <c r="B410" i="3"/>
  <c r="D410" i="3" s="1"/>
  <c r="I406" i="4"/>
  <c r="G406" i="4"/>
  <c r="N406" i="4"/>
  <c r="J406" i="4"/>
  <c r="K406" i="4" s="1"/>
  <c r="L406" i="4" s="1"/>
  <c r="M406" i="4" s="1"/>
  <c r="H406" i="4"/>
  <c r="E412" i="3"/>
  <c r="B412" i="3"/>
  <c r="D412" i="3" s="1"/>
  <c r="G408" i="4"/>
  <c r="I408" i="4" s="1"/>
  <c r="N408" i="4"/>
  <c r="J408" i="4"/>
  <c r="K408" i="4" s="1"/>
  <c r="L408" i="4" s="1"/>
  <c r="M408" i="4" s="1"/>
  <c r="E414" i="3"/>
  <c r="B414" i="3"/>
  <c r="D414" i="3" s="1"/>
  <c r="I410" i="4"/>
  <c r="G410" i="4"/>
  <c r="N410" i="4"/>
  <c r="J410" i="4"/>
  <c r="K410" i="4" s="1"/>
  <c r="L410" i="4" s="1"/>
  <c r="M410" i="4" s="1"/>
  <c r="H410" i="4"/>
  <c r="E416" i="3"/>
  <c r="B416" i="3"/>
  <c r="D416" i="3" s="1"/>
  <c r="G412" i="4"/>
  <c r="I412" i="4" s="1"/>
  <c r="N412" i="4"/>
  <c r="J412" i="4"/>
  <c r="K412" i="4" s="1"/>
  <c r="L412" i="4" s="1"/>
  <c r="M412" i="4" s="1"/>
  <c r="E418" i="3"/>
  <c r="B418" i="3"/>
  <c r="D418" i="3" s="1"/>
  <c r="I414" i="4"/>
  <c r="G414" i="4"/>
  <c r="N414" i="4"/>
  <c r="J414" i="4"/>
  <c r="K414" i="4" s="1"/>
  <c r="L414" i="4" s="1"/>
  <c r="M414" i="4" s="1"/>
  <c r="H414" i="4"/>
  <c r="E420" i="3"/>
  <c r="B420" i="3"/>
  <c r="D420" i="3" s="1"/>
  <c r="G416" i="4"/>
  <c r="I416" i="4" s="1"/>
  <c r="N416" i="4"/>
  <c r="J416" i="4"/>
  <c r="K416" i="4" s="1"/>
  <c r="L416" i="4" s="1"/>
  <c r="M416" i="4" s="1"/>
  <c r="E422" i="3"/>
  <c r="B422" i="3"/>
  <c r="D422" i="3" s="1"/>
  <c r="I418" i="4"/>
  <c r="G418" i="4"/>
  <c r="N418" i="4"/>
  <c r="J418" i="4"/>
  <c r="K418" i="4" s="1"/>
  <c r="L418" i="4" s="1"/>
  <c r="M418" i="4" s="1"/>
  <c r="H418" i="4"/>
  <c r="E424" i="3"/>
  <c r="B424" i="3"/>
  <c r="D424" i="3" s="1"/>
  <c r="G420" i="4"/>
  <c r="I420" i="4" s="1"/>
  <c r="N420" i="4"/>
  <c r="J420" i="4"/>
  <c r="K420" i="4" s="1"/>
  <c r="L420" i="4" s="1"/>
  <c r="M420" i="4" s="1"/>
  <c r="E426" i="3"/>
  <c r="B426" i="3"/>
  <c r="D426" i="3" s="1"/>
  <c r="I422" i="4"/>
  <c r="G422" i="4"/>
  <c r="N422" i="4"/>
  <c r="J422" i="4"/>
  <c r="K422" i="4" s="1"/>
  <c r="L422" i="4" s="1"/>
  <c r="M422" i="4" s="1"/>
  <c r="H422" i="4"/>
  <c r="E428" i="3"/>
  <c r="B428" i="3"/>
  <c r="D428" i="3" s="1"/>
  <c r="G424" i="4"/>
  <c r="I424" i="4" s="1"/>
  <c r="N424" i="4"/>
  <c r="J424" i="4"/>
  <c r="K424" i="4" s="1"/>
  <c r="L424" i="4" s="1"/>
  <c r="M424" i="4" s="1"/>
  <c r="E430" i="3"/>
  <c r="B430" i="3"/>
  <c r="D430" i="3" s="1"/>
  <c r="I426" i="4"/>
  <c r="G426" i="4"/>
  <c r="N426" i="4"/>
  <c r="J426" i="4"/>
  <c r="K426" i="4" s="1"/>
  <c r="L426" i="4" s="1"/>
  <c r="M426" i="4" s="1"/>
  <c r="H426" i="4"/>
  <c r="E432" i="3"/>
  <c r="B432" i="3"/>
  <c r="D432" i="3" s="1"/>
  <c r="G428" i="4"/>
  <c r="I428" i="4" s="1"/>
  <c r="N428" i="4"/>
  <c r="J428" i="4"/>
  <c r="K428" i="4" s="1"/>
  <c r="L428" i="4" s="1"/>
  <c r="M428" i="4" s="1"/>
  <c r="E434" i="3"/>
  <c r="B434" i="3"/>
  <c r="D434" i="3" s="1"/>
  <c r="I430" i="4"/>
  <c r="G430" i="4"/>
  <c r="N430" i="4"/>
  <c r="J430" i="4"/>
  <c r="K430" i="4" s="1"/>
  <c r="L430" i="4" s="1"/>
  <c r="M430" i="4" s="1"/>
  <c r="H430" i="4"/>
  <c r="E436" i="3"/>
  <c r="B436" i="3"/>
  <c r="D436" i="3" s="1"/>
  <c r="G432" i="4"/>
  <c r="I432" i="4" s="1"/>
  <c r="N432" i="4"/>
  <c r="J432" i="4"/>
  <c r="K432" i="4" s="1"/>
  <c r="L432" i="4" s="1"/>
  <c r="M432" i="4" s="1"/>
  <c r="E438" i="3"/>
  <c r="B438" i="3"/>
  <c r="D438" i="3" s="1"/>
  <c r="I434" i="4"/>
  <c r="G434" i="4"/>
  <c r="N434" i="4"/>
  <c r="J434" i="4"/>
  <c r="K434" i="4" s="1"/>
  <c r="L434" i="4" s="1"/>
  <c r="M434" i="4" s="1"/>
  <c r="H434" i="4"/>
  <c r="E440" i="3"/>
  <c r="B440" i="3"/>
  <c r="D440" i="3" s="1"/>
  <c r="G436" i="4"/>
  <c r="I436" i="4" s="1"/>
  <c r="N436" i="4"/>
  <c r="J436" i="4"/>
  <c r="K436" i="4" s="1"/>
  <c r="L436" i="4" s="1"/>
  <c r="M436" i="4" s="1"/>
  <c r="E442" i="3"/>
  <c r="B442" i="3"/>
  <c r="D442" i="3" s="1"/>
  <c r="I438" i="4"/>
  <c r="G438" i="4"/>
  <c r="N438" i="4"/>
  <c r="J438" i="4"/>
  <c r="K438" i="4" s="1"/>
  <c r="L438" i="4" s="1"/>
  <c r="M438" i="4" s="1"/>
  <c r="H438" i="4"/>
  <c r="E444" i="3"/>
  <c r="B444" i="3"/>
  <c r="D444" i="3" s="1"/>
  <c r="G440" i="4"/>
  <c r="I440" i="4" s="1"/>
  <c r="N440" i="4"/>
  <c r="J440" i="4"/>
  <c r="K440" i="4" s="1"/>
  <c r="L440" i="4" s="1"/>
  <c r="M440" i="4" s="1"/>
  <c r="E446" i="3"/>
  <c r="B446" i="3"/>
  <c r="D446" i="3" s="1"/>
  <c r="I442" i="4"/>
  <c r="G442" i="4"/>
  <c r="N442" i="4"/>
  <c r="J442" i="4"/>
  <c r="K442" i="4" s="1"/>
  <c r="L442" i="4" s="1"/>
  <c r="M442" i="4" s="1"/>
  <c r="H442" i="4"/>
  <c r="E448" i="3"/>
  <c r="B448" i="3"/>
  <c r="D448" i="3" s="1"/>
  <c r="G444" i="4"/>
  <c r="I444" i="4" s="1"/>
  <c r="N444" i="4"/>
  <c r="J444" i="4"/>
  <c r="K444" i="4" s="1"/>
  <c r="L444" i="4" s="1"/>
  <c r="M444" i="4" s="1"/>
  <c r="E450" i="3"/>
  <c r="B450" i="3"/>
  <c r="D450" i="3" s="1"/>
  <c r="I446" i="4"/>
  <c r="G446" i="4"/>
  <c r="N446" i="4"/>
  <c r="J446" i="4"/>
  <c r="K446" i="4" s="1"/>
  <c r="L446" i="4" s="1"/>
  <c r="M446" i="4" s="1"/>
  <c r="H446" i="4"/>
  <c r="E452" i="3"/>
  <c r="B452" i="3"/>
  <c r="D452" i="3" s="1"/>
  <c r="G448" i="4"/>
  <c r="I448" i="4" s="1"/>
  <c r="N448" i="4"/>
  <c r="J448" i="4"/>
  <c r="K448" i="4" s="1"/>
  <c r="L448" i="4" s="1"/>
  <c r="M448" i="4" s="1"/>
  <c r="E454" i="3"/>
  <c r="B454" i="3"/>
  <c r="D454" i="3" s="1"/>
  <c r="I450" i="4"/>
  <c r="G450" i="4"/>
  <c r="N450" i="4"/>
  <c r="J450" i="4"/>
  <c r="K450" i="4" s="1"/>
  <c r="L450" i="4" s="1"/>
  <c r="M450" i="4" s="1"/>
  <c r="H450" i="4"/>
  <c r="E456" i="3"/>
  <c r="B456" i="3"/>
  <c r="D456" i="3" s="1"/>
  <c r="G452" i="4"/>
  <c r="I452" i="4" s="1"/>
  <c r="N452" i="4"/>
  <c r="J452" i="4"/>
  <c r="K452" i="4" s="1"/>
  <c r="L452" i="4" s="1"/>
  <c r="M452" i="4" s="1"/>
  <c r="E458" i="3"/>
  <c r="B458" i="3"/>
  <c r="D458" i="3" s="1"/>
  <c r="I454" i="4"/>
  <c r="G454" i="4"/>
  <c r="N454" i="4"/>
  <c r="J454" i="4"/>
  <c r="K454" i="4" s="1"/>
  <c r="L454" i="4" s="1"/>
  <c r="M454" i="4" s="1"/>
  <c r="H454" i="4"/>
  <c r="E460" i="3"/>
  <c r="B460" i="3"/>
  <c r="D460" i="3" s="1"/>
  <c r="G456" i="4"/>
  <c r="I456" i="4" s="1"/>
  <c r="N456" i="4"/>
  <c r="J456" i="4"/>
  <c r="K456" i="4" s="1"/>
  <c r="L456" i="4" s="1"/>
  <c r="M456" i="4" s="1"/>
  <c r="E462" i="3"/>
  <c r="B462" i="3"/>
  <c r="D462" i="3" s="1"/>
  <c r="I458" i="4"/>
  <c r="G458" i="4"/>
  <c r="N458" i="4"/>
  <c r="J458" i="4"/>
  <c r="K458" i="4" s="1"/>
  <c r="L458" i="4" s="1"/>
  <c r="M458" i="4" s="1"/>
  <c r="H458" i="4"/>
  <c r="E464" i="3"/>
  <c r="B464" i="3"/>
  <c r="D464" i="3" s="1"/>
  <c r="G460" i="4"/>
  <c r="I460" i="4" s="1"/>
  <c r="N460" i="4"/>
  <c r="J460" i="4"/>
  <c r="K460" i="4" s="1"/>
  <c r="L460" i="4" s="1"/>
  <c r="M460" i="4" s="1"/>
  <c r="E466" i="3"/>
  <c r="B466" i="3"/>
  <c r="D466" i="3" s="1"/>
  <c r="I462" i="4"/>
  <c r="G462" i="4"/>
  <c r="N462" i="4"/>
  <c r="J462" i="4"/>
  <c r="K462" i="4" s="1"/>
  <c r="L462" i="4" s="1"/>
  <c r="M462" i="4" s="1"/>
  <c r="H462" i="4"/>
  <c r="E468" i="3"/>
  <c r="B468" i="3"/>
  <c r="D468" i="3" s="1"/>
  <c r="G464" i="4"/>
  <c r="I464" i="4" s="1"/>
  <c r="N464" i="4"/>
  <c r="J464" i="4"/>
  <c r="K464" i="4" s="1"/>
  <c r="L464" i="4" s="1"/>
  <c r="M464" i="4" s="1"/>
  <c r="E470" i="3"/>
  <c r="B470" i="3"/>
  <c r="D470" i="3" s="1"/>
  <c r="I466" i="4"/>
  <c r="G466" i="4"/>
  <c r="N466" i="4"/>
  <c r="J466" i="4"/>
  <c r="K466" i="4" s="1"/>
  <c r="L466" i="4" s="1"/>
  <c r="M466" i="4" s="1"/>
  <c r="H466" i="4"/>
  <c r="E472" i="3"/>
  <c r="B472" i="3"/>
  <c r="D472" i="3" s="1"/>
  <c r="G468" i="4"/>
  <c r="I468" i="4" s="1"/>
  <c r="N468" i="4"/>
  <c r="J468" i="4"/>
  <c r="K468" i="4" s="1"/>
  <c r="L468" i="4" s="1"/>
  <c r="M468" i="4" s="1"/>
  <c r="E474" i="3"/>
  <c r="B474" i="3"/>
  <c r="D474" i="3" s="1"/>
  <c r="I470" i="4"/>
  <c r="G470" i="4"/>
  <c r="N470" i="4"/>
  <c r="J470" i="4"/>
  <c r="K470" i="4" s="1"/>
  <c r="L470" i="4" s="1"/>
  <c r="M470" i="4" s="1"/>
  <c r="H470" i="4"/>
  <c r="E476" i="3"/>
  <c r="B476" i="3"/>
  <c r="D476" i="3" s="1"/>
  <c r="G472" i="4"/>
  <c r="I472" i="4" s="1"/>
  <c r="N472" i="4"/>
  <c r="J472" i="4"/>
  <c r="K472" i="4" s="1"/>
  <c r="L472" i="4" s="1"/>
  <c r="M472" i="4" s="1"/>
  <c r="E478" i="3"/>
  <c r="B478" i="3"/>
  <c r="D478" i="3" s="1"/>
  <c r="I474" i="4"/>
  <c r="G474" i="4"/>
  <c r="N474" i="4"/>
  <c r="J474" i="4"/>
  <c r="K474" i="4" s="1"/>
  <c r="L474" i="4" s="1"/>
  <c r="M474" i="4" s="1"/>
  <c r="H474" i="4"/>
  <c r="E480" i="3"/>
  <c r="B480" i="3"/>
  <c r="D480" i="3" s="1"/>
  <c r="G476" i="4"/>
  <c r="I476" i="4" s="1"/>
  <c r="N476" i="4"/>
  <c r="J476" i="4"/>
  <c r="K476" i="4" s="1"/>
  <c r="L476" i="4" s="1"/>
  <c r="M476" i="4" s="1"/>
  <c r="E482" i="3"/>
  <c r="B482" i="3"/>
  <c r="D482" i="3" s="1"/>
  <c r="I478" i="4"/>
  <c r="G478" i="4"/>
  <c r="N478" i="4"/>
  <c r="J478" i="4"/>
  <c r="K478" i="4" s="1"/>
  <c r="L478" i="4" s="1"/>
  <c r="M478" i="4" s="1"/>
  <c r="H478" i="4"/>
  <c r="E484" i="3"/>
  <c r="B484" i="3"/>
  <c r="D484" i="3" s="1"/>
  <c r="G480" i="4"/>
  <c r="I480" i="4" s="1"/>
  <c r="N480" i="4"/>
  <c r="J480" i="4"/>
  <c r="K480" i="4" s="1"/>
  <c r="L480" i="4" s="1"/>
  <c r="M480" i="4" s="1"/>
  <c r="E486" i="3"/>
  <c r="B486" i="3"/>
  <c r="D486" i="3" s="1"/>
  <c r="I482" i="4"/>
  <c r="G482" i="4"/>
  <c r="N482" i="4"/>
  <c r="J482" i="4"/>
  <c r="K482" i="4" s="1"/>
  <c r="L482" i="4" s="1"/>
  <c r="M482" i="4" s="1"/>
  <c r="H482" i="4"/>
  <c r="E488" i="3"/>
  <c r="B488" i="3"/>
  <c r="D488" i="3" s="1"/>
  <c r="G484" i="4"/>
  <c r="I484" i="4" s="1"/>
  <c r="N484" i="4"/>
  <c r="J484" i="4"/>
  <c r="K484" i="4" s="1"/>
  <c r="L484" i="4" s="1"/>
  <c r="M484" i="4" s="1"/>
  <c r="E490" i="3"/>
  <c r="B490" i="3"/>
  <c r="D490" i="3" s="1"/>
  <c r="I486" i="4"/>
  <c r="G486" i="4"/>
  <c r="N486" i="4"/>
  <c r="J486" i="4"/>
  <c r="K486" i="4" s="1"/>
  <c r="L486" i="4" s="1"/>
  <c r="M486" i="4" s="1"/>
  <c r="H486" i="4"/>
  <c r="E492" i="3"/>
  <c r="B492" i="3"/>
  <c r="D492" i="3" s="1"/>
  <c r="G488" i="4"/>
  <c r="I488" i="4" s="1"/>
  <c r="N488" i="4"/>
  <c r="J488" i="4"/>
  <c r="K488" i="4" s="1"/>
  <c r="L488" i="4" s="1"/>
  <c r="M488" i="4" s="1"/>
  <c r="E494" i="3"/>
  <c r="B494" i="3"/>
  <c r="D494" i="3" s="1"/>
  <c r="I490" i="4"/>
  <c r="G490" i="4"/>
  <c r="N490" i="4"/>
  <c r="J490" i="4"/>
  <c r="K490" i="4" s="1"/>
  <c r="L490" i="4" s="1"/>
  <c r="M490" i="4" s="1"/>
  <c r="H490" i="4"/>
  <c r="E496" i="3"/>
  <c r="B496" i="3"/>
  <c r="D496" i="3" s="1"/>
  <c r="G492" i="4"/>
  <c r="I492" i="4" s="1"/>
  <c r="N492" i="4"/>
  <c r="J492" i="4"/>
  <c r="K492" i="4" s="1"/>
  <c r="L492" i="4" s="1"/>
  <c r="M492" i="4" s="1"/>
  <c r="E498" i="3"/>
  <c r="B498" i="3"/>
  <c r="D498" i="3" s="1"/>
  <c r="I494" i="4"/>
  <c r="G494" i="4"/>
  <c r="N494" i="4"/>
  <c r="J494" i="4"/>
  <c r="K494" i="4" s="1"/>
  <c r="L494" i="4" s="1"/>
  <c r="M494" i="4" s="1"/>
  <c r="H494" i="4"/>
  <c r="E500" i="3"/>
  <c r="B500" i="3"/>
  <c r="D500" i="3" s="1"/>
  <c r="G496" i="4"/>
  <c r="I496" i="4" s="1"/>
  <c r="N496" i="4"/>
  <c r="J496" i="4"/>
  <c r="K496" i="4" s="1"/>
  <c r="L496" i="4" s="1"/>
  <c r="M496" i="4" s="1"/>
  <c r="E502" i="3"/>
  <c r="B502" i="3"/>
  <c r="D502" i="3" s="1"/>
  <c r="I498" i="4"/>
  <c r="G498" i="4"/>
  <c r="N498" i="4"/>
  <c r="J498" i="4"/>
  <c r="K498" i="4" s="1"/>
  <c r="L498" i="4" s="1"/>
  <c r="M498" i="4" s="1"/>
  <c r="H498" i="4"/>
  <c r="E504" i="3"/>
  <c r="B504" i="3"/>
  <c r="D504" i="3" s="1"/>
  <c r="G500" i="4"/>
  <c r="I500" i="4" s="1"/>
  <c r="N500" i="4"/>
  <c r="J500" i="4"/>
  <c r="K500" i="4" s="1"/>
  <c r="L500" i="4" s="1"/>
  <c r="M500" i="4" s="1"/>
  <c r="E506" i="3"/>
  <c r="B506" i="3"/>
  <c r="D506" i="3" s="1"/>
  <c r="I502" i="4"/>
  <c r="G502" i="4"/>
  <c r="N502" i="4"/>
  <c r="J502" i="4"/>
  <c r="K502" i="4" s="1"/>
  <c r="L502" i="4" s="1"/>
  <c r="M502" i="4" s="1"/>
  <c r="H502" i="4"/>
  <c r="E508" i="3"/>
  <c r="B508" i="3"/>
  <c r="D508" i="3" s="1"/>
  <c r="G504" i="4"/>
  <c r="I504" i="4" s="1"/>
  <c r="N504" i="4"/>
  <c r="J504" i="4"/>
  <c r="K504" i="4" s="1"/>
  <c r="L504" i="4" s="1"/>
  <c r="M504" i="4" s="1"/>
  <c r="E510" i="3"/>
  <c r="B510" i="3"/>
  <c r="D510" i="3" s="1"/>
  <c r="I506" i="4"/>
  <c r="G506" i="4"/>
  <c r="N506" i="4"/>
  <c r="J506" i="4"/>
  <c r="K506" i="4" s="1"/>
  <c r="L506" i="4" s="1"/>
  <c r="M506" i="4" s="1"/>
  <c r="H506" i="4"/>
  <c r="E512" i="3"/>
  <c r="B512" i="3"/>
  <c r="D512" i="3" s="1"/>
  <c r="G508" i="4"/>
  <c r="I508" i="4" s="1"/>
  <c r="N508" i="4"/>
  <c r="J508" i="4"/>
  <c r="K508" i="4" s="1"/>
  <c r="L508" i="4" s="1"/>
  <c r="M508" i="4" s="1"/>
  <c r="E514" i="3"/>
  <c r="B514" i="3"/>
  <c r="D514" i="3" s="1"/>
  <c r="I510" i="4"/>
  <c r="G510" i="4"/>
  <c r="N510" i="4"/>
  <c r="J510" i="4"/>
  <c r="K510" i="4" s="1"/>
  <c r="L510" i="4" s="1"/>
  <c r="M510" i="4" s="1"/>
  <c r="H510" i="4"/>
  <c r="E516" i="3"/>
  <c r="B516" i="3"/>
  <c r="D516" i="3" s="1"/>
  <c r="G512" i="4"/>
  <c r="I512" i="4" s="1"/>
  <c r="N512" i="4"/>
  <c r="J512" i="4"/>
  <c r="K512" i="4" s="1"/>
  <c r="L512" i="4" s="1"/>
  <c r="M512" i="4" s="1"/>
  <c r="E518" i="3"/>
  <c r="B518" i="3"/>
  <c r="D518" i="3" s="1"/>
  <c r="I514" i="4"/>
  <c r="G514" i="4"/>
  <c r="N514" i="4"/>
  <c r="J514" i="4"/>
  <c r="K514" i="4" s="1"/>
  <c r="L514" i="4" s="1"/>
  <c r="M514" i="4" s="1"/>
  <c r="H514" i="4"/>
  <c r="E520" i="3"/>
  <c r="B520" i="3"/>
  <c r="D520" i="3" s="1"/>
  <c r="G516" i="4"/>
  <c r="I516" i="4" s="1"/>
  <c r="N516" i="4"/>
  <c r="J516" i="4"/>
  <c r="K516" i="4" s="1"/>
  <c r="L516" i="4" s="1"/>
  <c r="M516" i="4" s="1"/>
  <c r="E522" i="3"/>
  <c r="B522" i="3"/>
  <c r="D522" i="3" s="1"/>
  <c r="I518" i="4"/>
  <c r="G518" i="4"/>
  <c r="N518" i="4"/>
  <c r="J518" i="4"/>
  <c r="K518" i="4" s="1"/>
  <c r="L518" i="4" s="1"/>
  <c r="M518" i="4" s="1"/>
  <c r="H518" i="4"/>
  <c r="E524" i="3"/>
  <c r="B524" i="3"/>
  <c r="D524" i="3" s="1"/>
  <c r="G520" i="4"/>
  <c r="I520" i="4" s="1"/>
  <c r="N520" i="4"/>
  <c r="J520" i="4"/>
  <c r="K520" i="4" s="1"/>
  <c r="L520" i="4" s="1"/>
  <c r="M520" i="4" s="1"/>
  <c r="E526" i="3"/>
  <c r="B526" i="3"/>
  <c r="D526" i="3" s="1"/>
  <c r="I522" i="4"/>
  <c r="G522" i="4"/>
  <c r="N522" i="4"/>
  <c r="J522" i="4"/>
  <c r="K522" i="4" s="1"/>
  <c r="L522" i="4" s="1"/>
  <c r="M522" i="4" s="1"/>
  <c r="H522" i="4"/>
  <c r="E528" i="3"/>
  <c r="B528" i="3"/>
  <c r="D528" i="3" s="1"/>
  <c r="G524" i="4"/>
  <c r="I524" i="4" s="1"/>
  <c r="N524" i="4"/>
  <c r="J524" i="4"/>
  <c r="K524" i="4" s="1"/>
  <c r="L524" i="4" s="1"/>
  <c r="M524" i="4" s="1"/>
  <c r="E530" i="3"/>
  <c r="B530" i="3"/>
  <c r="D530" i="3" s="1"/>
  <c r="I526" i="4"/>
  <c r="G526" i="4"/>
  <c r="N526" i="4"/>
  <c r="J526" i="4"/>
  <c r="K526" i="4" s="1"/>
  <c r="L526" i="4" s="1"/>
  <c r="M526" i="4" s="1"/>
  <c r="H526" i="4"/>
  <c r="E532" i="3"/>
  <c r="B532" i="3"/>
  <c r="D532" i="3" s="1"/>
  <c r="G528" i="4"/>
  <c r="I528" i="4" s="1"/>
  <c r="N528" i="4"/>
  <c r="J528" i="4"/>
  <c r="K528" i="4" s="1"/>
  <c r="L528" i="4" s="1"/>
  <c r="M528" i="4" s="1"/>
  <c r="E534" i="3"/>
  <c r="B534" i="3"/>
  <c r="D534" i="3" s="1"/>
  <c r="I530" i="4"/>
  <c r="G530" i="4"/>
  <c r="N530" i="4"/>
  <c r="J530" i="4"/>
  <c r="K530" i="4" s="1"/>
  <c r="L530" i="4" s="1"/>
  <c r="M530" i="4" s="1"/>
  <c r="H530" i="4"/>
  <c r="E536" i="3"/>
  <c r="B536" i="3"/>
  <c r="D536" i="3" s="1"/>
  <c r="G532" i="4"/>
  <c r="I532" i="4" s="1"/>
  <c r="N532" i="4"/>
  <c r="J532" i="4"/>
  <c r="K532" i="4" s="1"/>
  <c r="L532" i="4" s="1"/>
  <c r="M532" i="4" s="1"/>
  <c r="E538" i="3"/>
  <c r="B538" i="3"/>
  <c r="D538" i="3" s="1"/>
  <c r="I534" i="4"/>
  <c r="G534" i="4"/>
  <c r="N534" i="4"/>
  <c r="J534" i="4"/>
  <c r="K534" i="4" s="1"/>
  <c r="L534" i="4" s="1"/>
  <c r="M534" i="4" s="1"/>
  <c r="H534" i="4"/>
  <c r="E540" i="3"/>
  <c r="B540" i="3"/>
  <c r="D540" i="3" s="1"/>
  <c r="G536" i="4"/>
  <c r="I536" i="4" s="1"/>
  <c r="N536" i="4"/>
  <c r="J536" i="4"/>
  <c r="K536" i="4" s="1"/>
  <c r="L536" i="4" s="1"/>
  <c r="M536" i="4" s="1"/>
  <c r="E542" i="3"/>
  <c r="B542" i="3"/>
  <c r="D542" i="3" s="1"/>
  <c r="I538" i="4"/>
  <c r="G538" i="4"/>
  <c r="N538" i="4"/>
  <c r="J538" i="4"/>
  <c r="K538" i="4" s="1"/>
  <c r="L538" i="4" s="1"/>
  <c r="M538" i="4" s="1"/>
  <c r="H538" i="4"/>
  <c r="E544" i="3"/>
  <c r="B544" i="3"/>
  <c r="D544" i="3" s="1"/>
  <c r="G540" i="4"/>
  <c r="I540" i="4" s="1"/>
  <c r="N540" i="4"/>
  <c r="J540" i="4"/>
  <c r="K540" i="4" s="1"/>
  <c r="L540" i="4" s="1"/>
  <c r="M540" i="4" s="1"/>
  <c r="E546" i="3"/>
  <c r="B546" i="3"/>
  <c r="D546" i="3" s="1"/>
  <c r="I542" i="4"/>
  <c r="G542" i="4"/>
  <c r="N542" i="4"/>
  <c r="J542" i="4"/>
  <c r="K542" i="4" s="1"/>
  <c r="L542" i="4" s="1"/>
  <c r="M542" i="4" s="1"/>
  <c r="H542" i="4"/>
  <c r="E548" i="3"/>
  <c r="B548" i="3"/>
  <c r="D548" i="3" s="1"/>
  <c r="G544" i="4"/>
  <c r="I544" i="4" s="1"/>
  <c r="N544" i="4"/>
  <c r="J544" i="4"/>
  <c r="K544" i="4" s="1"/>
  <c r="L544" i="4" s="1"/>
  <c r="M544" i="4" s="1"/>
  <c r="E550" i="3"/>
  <c r="B550" i="3"/>
  <c r="D550" i="3" s="1"/>
  <c r="I546" i="4"/>
  <c r="G546" i="4"/>
  <c r="N546" i="4"/>
  <c r="J546" i="4"/>
  <c r="K546" i="4" s="1"/>
  <c r="L546" i="4" s="1"/>
  <c r="M546" i="4" s="1"/>
  <c r="H546" i="4"/>
  <c r="E552" i="3"/>
  <c r="B552" i="3"/>
  <c r="D552" i="3" s="1"/>
  <c r="G548" i="4"/>
  <c r="I548" i="4" s="1"/>
  <c r="N548" i="4"/>
  <c r="J548" i="4"/>
  <c r="K548" i="4" s="1"/>
  <c r="L548" i="4" s="1"/>
  <c r="M548" i="4" s="1"/>
  <c r="E554" i="3"/>
  <c r="B554" i="3"/>
  <c r="D554" i="3" s="1"/>
  <c r="I550" i="4"/>
  <c r="G550" i="4"/>
  <c r="N550" i="4"/>
  <c r="J550" i="4"/>
  <c r="K550" i="4" s="1"/>
  <c r="L550" i="4" s="1"/>
  <c r="M550" i="4" s="1"/>
  <c r="H550" i="4"/>
  <c r="E556" i="3"/>
  <c r="B556" i="3"/>
  <c r="D556" i="3" s="1"/>
  <c r="G552" i="4"/>
  <c r="I552" i="4" s="1"/>
  <c r="N552" i="4"/>
  <c r="J552" i="4"/>
  <c r="K552" i="4" s="1"/>
  <c r="L552" i="4" s="1"/>
  <c r="M552" i="4" s="1"/>
  <c r="E558" i="3"/>
  <c r="B558" i="3"/>
  <c r="D558" i="3" s="1"/>
  <c r="I554" i="4"/>
  <c r="G554" i="4"/>
  <c r="N554" i="4"/>
  <c r="J554" i="4"/>
  <c r="K554" i="4" s="1"/>
  <c r="L554" i="4" s="1"/>
  <c r="M554" i="4" s="1"/>
  <c r="H554" i="4"/>
  <c r="E560" i="3"/>
  <c r="B560" i="3"/>
  <c r="D560" i="3" s="1"/>
  <c r="E562" i="3"/>
  <c r="B562" i="3"/>
  <c r="D562" i="3" s="1"/>
  <c r="E564" i="3"/>
  <c r="B564" i="3"/>
  <c r="D564" i="3" s="1"/>
  <c r="E566" i="3"/>
  <c r="B566" i="3"/>
  <c r="D566" i="3" s="1"/>
  <c r="E568" i="3"/>
  <c r="B568" i="3"/>
  <c r="D568" i="3" s="1"/>
  <c r="G556" i="4"/>
  <c r="I556" i="4" s="1"/>
  <c r="N556" i="4"/>
  <c r="J556" i="4"/>
  <c r="K556" i="4" s="1"/>
  <c r="L556" i="4" s="1"/>
  <c r="M556" i="4" s="1"/>
  <c r="I558" i="4"/>
  <c r="G558" i="4"/>
  <c r="N558" i="4"/>
  <c r="J558" i="4"/>
  <c r="K558" i="4" s="1"/>
  <c r="L558" i="4" s="1"/>
  <c r="M558" i="4" s="1"/>
  <c r="H558" i="4"/>
  <c r="G560" i="4"/>
  <c r="I560" i="4" s="1"/>
  <c r="N560" i="4"/>
  <c r="J560" i="4"/>
  <c r="K560" i="4" s="1"/>
  <c r="L560" i="4" s="1"/>
  <c r="M560" i="4" s="1"/>
  <c r="I562" i="4"/>
  <c r="G562" i="4"/>
  <c r="N562" i="4"/>
  <c r="J562" i="4"/>
  <c r="K562" i="4" s="1"/>
  <c r="L562" i="4" s="1"/>
  <c r="M562" i="4" s="1"/>
  <c r="H562" i="4"/>
  <c r="G564" i="4"/>
  <c r="I564" i="4" s="1"/>
  <c r="N564" i="4"/>
  <c r="J564" i="4"/>
  <c r="K564" i="4" s="1"/>
  <c r="L564" i="4" s="1"/>
  <c r="M564" i="4" s="1"/>
  <c r="I827" i="4"/>
  <c r="G827" i="4"/>
  <c r="N827" i="4"/>
  <c r="J827" i="4"/>
  <c r="K827" i="4" s="1"/>
  <c r="L827" i="4" s="1"/>
  <c r="M827" i="4" s="1"/>
  <c r="H827" i="4"/>
  <c r="N828" i="4"/>
  <c r="J828" i="4"/>
  <c r="K828" i="4" s="1"/>
  <c r="L828" i="4" s="1"/>
  <c r="M828" i="4" s="1"/>
  <c r="G828" i="4"/>
  <c r="H828" i="4" s="1"/>
  <c r="G829" i="4"/>
  <c r="I829" i="4" s="1"/>
  <c r="N829" i="4"/>
  <c r="J829" i="4"/>
  <c r="K829" i="4" s="1"/>
  <c r="L829" i="4" s="1"/>
  <c r="M829" i="4" s="1"/>
  <c r="N830" i="4"/>
  <c r="J830" i="4"/>
  <c r="K830" i="4"/>
  <c r="L830" i="4" s="1"/>
  <c r="M830" i="4" s="1"/>
  <c r="G830" i="4"/>
  <c r="H830" i="4" s="1"/>
  <c r="I831" i="4"/>
  <c r="G831" i="4"/>
  <c r="N831" i="4"/>
  <c r="J831" i="4"/>
  <c r="K831" i="4" s="1"/>
  <c r="L831" i="4" s="1"/>
  <c r="M831" i="4" s="1"/>
  <c r="H831" i="4"/>
  <c r="N832" i="4"/>
  <c r="J832" i="4"/>
  <c r="K832" i="4" s="1"/>
  <c r="L832" i="4" s="1"/>
  <c r="M832" i="4" s="1"/>
  <c r="G832" i="4"/>
  <c r="H832" i="4" s="1"/>
  <c r="G833" i="4"/>
  <c r="I833" i="4" s="1"/>
  <c r="N833" i="4"/>
  <c r="J833" i="4"/>
  <c r="K833" i="4" s="1"/>
  <c r="L833" i="4" s="1"/>
  <c r="M833" i="4" s="1"/>
  <c r="N834" i="4"/>
  <c r="J834" i="4"/>
  <c r="K834" i="4"/>
  <c r="L834" i="4" s="1"/>
  <c r="M834" i="4" s="1"/>
  <c r="G834" i="4"/>
  <c r="H834" i="4" s="1"/>
  <c r="I835" i="4"/>
  <c r="G835" i="4"/>
  <c r="N835" i="4"/>
  <c r="J835" i="4"/>
  <c r="K835" i="4" s="1"/>
  <c r="L835" i="4" s="1"/>
  <c r="M835" i="4" s="1"/>
  <c r="H835" i="4"/>
  <c r="N836" i="4"/>
  <c r="J836" i="4"/>
  <c r="K836" i="4" s="1"/>
  <c r="L836" i="4" s="1"/>
  <c r="M836" i="4" s="1"/>
  <c r="G836" i="4"/>
  <c r="H836" i="4" s="1"/>
  <c r="G837" i="4"/>
  <c r="I837" i="4" s="1"/>
  <c r="N837" i="4"/>
  <c r="J837" i="4"/>
  <c r="K837" i="4" s="1"/>
  <c r="L837" i="4" s="1"/>
  <c r="M837" i="4" s="1"/>
  <c r="N838" i="4"/>
  <c r="J838" i="4"/>
  <c r="K838" i="4"/>
  <c r="L838" i="4" s="1"/>
  <c r="M838" i="4" s="1"/>
  <c r="G838" i="4"/>
  <c r="H838" i="4" s="1"/>
  <c r="I839" i="4"/>
  <c r="G839" i="4"/>
  <c r="N839" i="4"/>
  <c r="J839" i="4"/>
  <c r="K839" i="4" s="1"/>
  <c r="L839" i="4" s="1"/>
  <c r="M839" i="4" s="1"/>
  <c r="H839" i="4"/>
  <c r="N840" i="4"/>
  <c r="J840" i="4"/>
  <c r="K840" i="4" s="1"/>
  <c r="L840" i="4" s="1"/>
  <c r="M840" i="4" s="1"/>
  <c r="G840" i="4"/>
  <c r="H840" i="4" s="1"/>
  <c r="G841" i="4"/>
  <c r="I841" i="4" s="1"/>
  <c r="N841" i="4"/>
  <c r="J841" i="4"/>
  <c r="K841" i="4" s="1"/>
  <c r="L841" i="4" s="1"/>
  <c r="M841" i="4" s="1"/>
  <c r="N842" i="4"/>
  <c r="J842" i="4"/>
  <c r="K842" i="4"/>
  <c r="L842" i="4" s="1"/>
  <c r="M842" i="4" s="1"/>
  <c r="G842" i="4"/>
  <c r="H842" i="4" s="1"/>
  <c r="I843" i="4"/>
  <c r="G843" i="4"/>
  <c r="N843" i="4"/>
  <c r="J843" i="4"/>
  <c r="K843" i="4" s="1"/>
  <c r="L843" i="4" s="1"/>
  <c r="M843" i="4" s="1"/>
  <c r="H843" i="4"/>
  <c r="N844" i="4"/>
  <c r="J844" i="4"/>
  <c r="K844" i="4" s="1"/>
  <c r="L844" i="4" s="1"/>
  <c r="M844" i="4" s="1"/>
  <c r="G844" i="4"/>
  <c r="H844" i="4" s="1"/>
  <c r="G845" i="4"/>
  <c r="I845" i="4" s="1"/>
  <c r="N845" i="4"/>
  <c r="J845" i="4"/>
  <c r="K845" i="4" s="1"/>
  <c r="L845" i="4" s="1"/>
  <c r="M845" i="4" s="1"/>
  <c r="N846" i="4"/>
  <c r="J846" i="4"/>
  <c r="K846" i="4"/>
  <c r="L846" i="4" s="1"/>
  <c r="M846" i="4" s="1"/>
  <c r="G846" i="4"/>
  <c r="H846" i="4" s="1"/>
  <c r="I847" i="4"/>
  <c r="G847" i="4"/>
  <c r="N847" i="4"/>
  <c r="J847" i="4"/>
  <c r="K847" i="4" s="1"/>
  <c r="L847" i="4" s="1"/>
  <c r="M847" i="4" s="1"/>
  <c r="H847" i="4"/>
  <c r="N848" i="4"/>
  <c r="J848" i="4"/>
  <c r="K848" i="4" s="1"/>
  <c r="L848" i="4" s="1"/>
  <c r="M848" i="4" s="1"/>
  <c r="G848" i="4"/>
  <c r="H848" i="4" s="1"/>
  <c r="G849" i="4"/>
  <c r="I849" i="4" s="1"/>
  <c r="N849" i="4"/>
  <c r="J849" i="4"/>
  <c r="K849" i="4" s="1"/>
  <c r="L849" i="4" s="1"/>
  <c r="M849" i="4" s="1"/>
  <c r="N850" i="4"/>
  <c r="J850" i="4"/>
  <c r="K850" i="4"/>
  <c r="L850" i="4" s="1"/>
  <c r="M850" i="4" s="1"/>
  <c r="G850" i="4"/>
  <c r="H850" i="4" s="1"/>
  <c r="I851" i="4"/>
  <c r="G851" i="4"/>
  <c r="N851" i="4"/>
  <c r="J851" i="4"/>
  <c r="K851" i="4" s="1"/>
  <c r="L851" i="4" s="1"/>
  <c r="M851" i="4" s="1"/>
  <c r="H851" i="4"/>
  <c r="N852" i="4"/>
  <c r="J852" i="4"/>
  <c r="K852" i="4" s="1"/>
  <c r="L852" i="4" s="1"/>
  <c r="M852" i="4" s="1"/>
  <c r="G852" i="4"/>
  <c r="H852" i="4" s="1"/>
  <c r="G853" i="4"/>
  <c r="I853" i="4" s="1"/>
  <c r="N853" i="4"/>
  <c r="J853" i="4"/>
  <c r="K853" i="4" s="1"/>
  <c r="L853" i="4" s="1"/>
  <c r="M853" i="4" s="1"/>
  <c r="N854" i="4"/>
  <c r="J854" i="4"/>
  <c r="K854" i="4"/>
  <c r="L854" i="4" s="1"/>
  <c r="M854" i="4" s="1"/>
  <c r="G854" i="4"/>
  <c r="H854" i="4" s="1"/>
  <c r="I855" i="4"/>
  <c r="G855" i="4"/>
  <c r="N855" i="4"/>
  <c r="J855" i="4"/>
  <c r="K855" i="4" s="1"/>
  <c r="L855" i="4" s="1"/>
  <c r="M855" i="4" s="1"/>
  <c r="H855" i="4"/>
  <c r="N856" i="4"/>
  <c r="J856" i="4"/>
  <c r="K856" i="4" s="1"/>
  <c r="L856" i="4" s="1"/>
  <c r="M856" i="4" s="1"/>
  <c r="G856" i="4"/>
  <c r="H856" i="4" s="1"/>
  <c r="G857" i="4"/>
  <c r="I857" i="4" s="1"/>
  <c r="N857" i="4"/>
  <c r="J857" i="4"/>
  <c r="K857" i="4" s="1"/>
  <c r="L857" i="4" s="1"/>
  <c r="M857" i="4" s="1"/>
  <c r="N858" i="4"/>
  <c r="J858" i="4"/>
  <c r="K858" i="4"/>
  <c r="L858" i="4" s="1"/>
  <c r="M858" i="4" s="1"/>
  <c r="G858" i="4"/>
  <c r="H858" i="4" s="1"/>
  <c r="I859" i="4"/>
  <c r="G859" i="4"/>
  <c r="N859" i="4"/>
  <c r="J859" i="4"/>
  <c r="K859" i="4" s="1"/>
  <c r="L859" i="4" s="1"/>
  <c r="M859" i="4" s="1"/>
  <c r="H859" i="4"/>
  <c r="N860" i="4"/>
  <c r="J860" i="4"/>
  <c r="K860" i="4" s="1"/>
  <c r="L860" i="4" s="1"/>
  <c r="M860" i="4" s="1"/>
  <c r="G860" i="4"/>
  <c r="H860" i="4" s="1"/>
  <c r="G861" i="4"/>
  <c r="N861" i="4"/>
  <c r="J861" i="4"/>
  <c r="K861" i="4" s="1"/>
  <c r="L861" i="4" s="1"/>
  <c r="M861" i="4" s="1"/>
  <c r="N862" i="4"/>
  <c r="J862" i="4"/>
  <c r="K862" i="4"/>
  <c r="L862" i="4" s="1"/>
  <c r="M862" i="4" s="1"/>
  <c r="G862" i="4"/>
  <c r="H862" i="4" s="1"/>
  <c r="I863" i="4"/>
  <c r="G863" i="4"/>
  <c r="N863" i="4"/>
  <c r="J863" i="4"/>
  <c r="K863" i="4" s="1"/>
  <c r="L863" i="4" s="1"/>
  <c r="M863" i="4" s="1"/>
  <c r="H863" i="4"/>
  <c r="N864" i="4"/>
  <c r="J864" i="4"/>
  <c r="K864" i="4" s="1"/>
  <c r="L864" i="4" s="1"/>
  <c r="M864" i="4" s="1"/>
  <c r="G864" i="4"/>
  <c r="H864" i="4" s="1"/>
  <c r="G865" i="4"/>
  <c r="N865" i="4"/>
  <c r="J865" i="4"/>
  <c r="K865" i="4" s="1"/>
  <c r="L865" i="4" s="1"/>
  <c r="M865" i="4" s="1"/>
  <c r="N866" i="4"/>
  <c r="J866" i="4"/>
  <c r="K866" i="4"/>
  <c r="L866" i="4" s="1"/>
  <c r="M866" i="4" s="1"/>
  <c r="G866" i="4"/>
  <c r="H866" i="4" s="1"/>
  <c r="I867" i="4"/>
  <c r="G867" i="4"/>
  <c r="N867" i="4"/>
  <c r="J867" i="4"/>
  <c r="K867" i="4" s="1"/>
  <c r="L867" i="4" s="1"/>
  <c r="M867" i="4" s="1"/>
  <c r="H867" i="4"/>
  <c r="N868" i="4"/>
  <c r="J868" i="4"/>
  <c r="K868" i="4" s="1"/>
  <c r="L868" i="4" s="1"/>
  <c r="M868" i="4" s="1"/>
  <c r="G868" i="4"/>
  <c r="H868" i="4" s="1"/>
  <c r="G869" i="4"/>
  <c r="N869" i="4"/>
  <c r="J869" i="4"/>
  <c r="K869" i="4" s="1"/>
  <c r="L869" i="4" s="1"/>
  <c r="M869" i="4" s="1"/>
  <c r="N870" i="4"/>
  <c r="J870" i="4"/>
  <c r="K870" i="4"/>
  <c r="L870" i="4" s="1"/>
  <c r="M870" i="4" s="1"/>
  <c r="G870" i="4"/>
  <c r="H870" i="4" s="1"/>
  <c r="I871" i="4"/>
  <c r="G871" i="4"/>
  <c r="N871" i="4"/>
  <c r="J871" i="4"/>
  <c r="K871" i="4" s="1"/>
  <c r="L871" i="4" s="1"/>
  <c r="M871" i="4" s="1"/>
  <c r="H871" i="4"/>
  <c r="N872" i="4"/>
  <c r="J872" i="4"/>
  <c r="K872" i="4" s="1"/>
  <c r="L872" i="4" s="1"/>
  <c r="M872" i="4" s="1"/>
  <c r="G872" i="4"/>
  <c r="H872" i="4" s="1"/>
  <c r="G873" i="4"/>
  <c r="N873" i="4"/>
  <c r="J873" i="4"/>
  <c r="K873" i="4" s="1"/>
  <c r="L873" i="4" s="1"/>
  <c r="M873" i="4" s="1"/>
  <c r="N874" i="4"/>
  <c r="J874" i="4"/>
  <c r="K874" i="4"/>
  <c r="L874" i="4" s="1"/>
  <c r="M874" i="4" s="1"/>
  <c r="G874" i="4"/>
  <c r="H874" i="4" s="1"/>
  <c r="I875" i="4"/>
  <c r="G875" i="4"/>
  <c r="N875" i="4"/>
  <c r="J875" i="4"/>
  <c r="K875" i="4" s="1"/>
  <c r="L875" i="4" s="1"/>
  <c r="M875" i="4" s="1"/>
  <c r="H875" i="4"/>
  <c r="N876" i="4"/>
  <c r="J876" i="4"/>
  <c r="K876" i="4" s="1"/>
  <c r="L876" i="4" s="1"/>
  <c r="M876" i="4" s="1"/>
  <c r="G876" i="4"/>
  <c r="H876" i="4" s="1"/>
  <c r="G877" i="4"/>
  <c r="N877" i="4"/>
  <c r="J877" i="4"/>
  <c r="K877" i="4" s="1"/>
  <c r="L877" i="4" s="1"/>
  <c r="M877" i="4" s="1"/>
  <c r="N878" i="4"/>
  <c r="J878" i="4"/>
  <c r="K878" i="4"/>
  <c r="L878" i="4" s="1"/>
  <c r="M878" i="4" s="1"/>
  <c r="G878" i="4"/>
  <c r="H878" i="4" s="1"/>
  <c r="I879" i="4"/>
  <c r="G879" i="4"/>
  <c r="N879" i="4"/>
  <c r="J879" i="4"/>
  <c r="K879" i="4" s="1"/>
  <c r="L879" i="4" s="1"/>
  <c r="M879" i="4" s="1"/>
  <c r="H879" i="4"/>
  <c r="N880" i="4"/>
  <c r="J880" i="4"/>
  <c r="K880" i="4" s="1"/>
  <c r="L880" i="4" s="1"/>
  <c r="M880" i="4" s="1"/>
  <c r="G880" i="4"/>
  <c r="H880" i="4" s="1"/>
  <c r="G881" i="4"/>
  <c r="N881" i="4"/>
  <c r="J881" i="4"/>
  <c r="K881" i="4" s="1"/>
  <c r="L881" i="4" s="1"/>
  <c r="M881" i="4" s="1"/>
  <c r="N882" i="4"/>
  <c r="J882" i="4"/>
  <c r="K882" i="4"/>
  <c r="L882" i="4" s="1"/>
  <c r="M882" i="4" s="1"/>
  <c r="G882" i="4"/>
  <c r="H882" i="4" s="1"/>
  <c r="I883" i="4"/>
  <c r="G883" i="4"/>
  <c r="N883" i="4"/>
  <c r="J883" i="4"/>
  <c r="K883" i="4" s="1"/>
  <c r="L883" i="4" s="1"/>
  <c r="M883" i="4" s="1"/>
  <c r="H883" i="4"/>
  <c r="N884" i="4"/>
  <c r="J884" i="4"/>
  <c r="K884" i="4" s="1"/>
  <c r="L884" i="4" s="1"/>
  <c r="M884" i="4" s="1"/>
  <c r="G884" i="4"/>
  <c r="H884" i="4" s="1"/>
  <c r="G885" i="4"/>
  <c r="N885" i="4"/>
  <c r="J885" i="4"/>
  <c r="K885" i="4" s="1"/>
  <c r="L885" i="4" s="1"/>
  <c r="M885" i="4" s="1"/>
  <c r="N886" i="4"/>
  <c r="J886" i="4"/>
  <c r="K886" i="4"/>
  <c r="L886" i="4" s="1"/>
  <c r="M886" i="4" s="1"/>
  <c r="G886" i="4"/>
  <c r="H886" i="4" s="1"/>
  <c r="I887" i="4"/>
  <c r="G887" i="4"/>
  <c r="N887" i="4"/>
  <c r="J887" i="4"/>
  <c r="K887" i="4" s="1"/>
  <c r="L887" i="4" s="1"/>
  <c r="M887" i="4" s="1"/>
  <c r="H887" i="4"/>
  <c r="N888" i="4"/>
  <c r="J888" i="4"/>
  <c r="K888" i="4" s="1"/>
  <c r="L888" i="4" s="1"/>
  <c r="M888" i="4" s="1"/>
  <c r="G888" i="4"/>
  <c r="H888" i="4" s="1"/>
  <c r="G889" i="4"/>
  <c r="N889" i="4"/>
  <c r="J889" i="4"/>
  <c r="K889" i="4" s="1"/>
  <c r="L889" i="4" s="1"/>
  <c r="M889" i="4" s="1"/>
  <c r="N890" i="4"/>
  <c r="J890" i="4"/>
  <c r="K890" i="4"/>
  <c r="L890" i="4" s="1"/>
  <c r="M890" i="4" s="1"/>
  <c r="G890" i="4"/>
  <c r="H890" i="4" s="1"/>
  <c r="I891" i="4"/>
  <c r="G891" i="4"/>
  <c r="N891" i="4"/>
  <c r="J891" i="4"/>
  <c r="K891" i="4" s="1"/>
  <c r="L891" i="4" s="1"/>
  <c r="M891" i="4" s="1"/>
  <c r="H891" i="4"/>
  <c r="N892" i="4"/>
  <c r="J892" i="4"/>
  <c r="K892" i="4" s="1"/>
  <c r="L892" i="4" s="1"/>
  <c r="M892" i="4" s="1"/>
  <c r="G892" i="4"/>
  <c r="H892" i="4" s="1"/>
  <c r="G893" i="4"/>
  <c r="N893" i="4"/>
  <c r="J893" i="4"/>
  <c r="K893" i="4" s="1"/>
  <c r="L893" i="4" s="1"/>
  <c r="M893" i="4" s="1"/>
  <c r="N894" i="4"/>
  <c r="J894" i="4"/>
  <c r="K894" i="4"/>
  <c r="L894" i="4" s="1"/>
  <c r="M894" i="4" s="1"/>
  <c r="G894" i="4"/>
  <c r="H894" i="4" s="1"/>
  <c r="I895" i="4"/>
  <c r="G895" i="4"/>
  <c r="N895" i="4"/>
  <c r="J895" i="4"/>
  <c r="K895" i="4" s="1"/>
  <c r="L895" i="4" s="1"/>
  <c r="M895" i="4" s="1"/>
  <c r="H895" i="4"/>
  <c r="N896" i="4"/>
  <c r="J896" i="4"/>
  <c r="K896" i="4" s="1"/>
  <c r="L896" i="4" s="1"/>
  <c r="M896" i="4" s="1"/>
  <c r="G896" i="4"/>
  <c r="H896" i="4" s="1"/>
  <c r="G897" i="4"/>
  <c r="N897" i="4"/>
  <c r="J897" i="4"/>
  <c r="K897" i="4" s="1"/>
  <c r="L897" i="4" s="1"/>
  <c r="M897" i="4" s="1"/>
  <c r="N898" i="4"/>
  <c r="J898" i="4"/>
  <c r="K898" i="4"/>
  <c r="L898" i="4" s="1"/>
  <c r="M898" i="4" s="1"/>
  <c r="G898" i="4"/>
  <c r="H898" i="4" s="1"/>
  <c r="I899" i="4"/>
  <c r="G899" i="4"/>
  <c r="N899" i="4"/>
  <c r="J899" i="4"/>
  <c r="K899" i="4" s="1"/>
  <c r="L899" i="4" s="1"/>
  <c r="M899" i="4" s="1"/>
  <c r="H899" i="4"/>
  <c r="N900" i="4"/>
  <c r="J900" i="4"/>
  <c r="K900" i="4" s="1"/>
  <c r="L900" i="4" s="1"/>
  <c r="M900" i="4" s="1"/>
  <c r="G900" i="4"/>
  <c r="H900" i="4" s="1"/>
  <c r="G901" i="4"/>
  <c r="N901" i="4"/>
  <c r="J901" i="4"/>
  <c r="K901" i="4" s="1"/>
  <c r="L901" i="4" s="1"/>
  <c r="M901" i="4" s="1"/>
  <c r="N902" i="4"/>
  <c r="J902" i="4"/>
  <c r="K902" i="4"/>
  <c r="L902" i="4" s="1"/>
  <c r="M902" i="4" s="1"/>
  <c r="G902" i="4"/>
  <c r="H902" i="4" s="1"/>
  <c r="I903" i="4"/>
  <c r="G903" i="4"/>
  <c r="N903" i="4"/>
  <c r="J903" i="4"/>
  <c r="K903" i="4" s="1"/>
  <c r="L903" i="4" s="1"/>
  <c r="M903" i="4" s="1"/>
  <c r="H903" i="4"/>
  <c r="N904" i="4"/>
  <c r="J904" i="4"/>
  <c r="K904" i="4" s="1"/>
  <c r="L904" i="4" s="1"/>
  <c r="M904" i="4" s="1"/>
  <c r="G904" i="4"/>
  <c r="H904" i="4" s="1"/>
  <c r="G905" i="4"/>
  <c r="N905" i="4"/>
  <c r="J905" i="4"/>
  <c r="K905" i="4" s="1"/>
  <c r="L905" i="4" s="1"/>
  <c r="M905" i="4" s="1"/>
  <c r="N906" i="4"/>
  <c r="J906" i="4"/>
  <c r="K906" i="4"/>
  <c r="L906" i="4" s="1"/>
  <c r="M906" i="4" s="1"/>
  <c r="G906" i="4"/>
  <c r="H906" i="4" s="1"/>
  <c r="I907" i="4"/>
  <c r="G907" i="4"/>
  <c r="N907" i="4"/>
  <c r="J907" i="4"/>
  <c r="K907" i="4" s="1"/>
  <c r="L907" i="4" s="1"/>
  <c r="M907" i="4" s="1"/>
  <c r="H907" i="4"/>
  <c r="N908" i="4"/>
  <c r="J908" i="4"/>
  <c r="K908" i="4" s="1"/>
  <c r="L908" i="4" s="1"/>
  <c r="M908" i="4" s="1"/>
  <c r="G908" i="4"/>
  <c r="H908" i="4" s="1"/>
  <c r="G909" i="4"/>
  <c r="N909" i="4"/>
  <c r="J909" i="4"/>
  <c r="K909" i="4" s="1"/>
  <c r="L909" i="4" s="1"/>
  <c r="M909" i="4" s="1"/>
  <c r="N910" i="4"/>
  <c r="J910" i="4"/>
  <c r="K910" i="4"/>
  <c r="L910" i="4" s="1"/>
  <c r="M910" i="4" s="1"/>
  <c r="G910" i="4"/>
  <c r="H910" i="4" s="1"/>
  <c r="I911" i="4"/>
  <c r="G911" i="4"/>
  <c r="N911" i="4"/>
  <c r="J911" i="4"/>
  <c r="K911" i="4" s="1"/>
  <c r="L911" i="4" s="1"/>
  <c r="M911" i="4" s="1"/>
  <c r="H911" i="4"/>
  <c r="N912" i="4"/>
  <c r="J912" i="4"/>
  <c r="K912" i="4" s="1"/>
  <c r="L912" i="4" s="1"/>
  <c r="M912" i="4" s="1"/>
  <c r="G912" i="4"/>
  <c r="H912" i="4" s="1"/>
  <c r="G913" i="4"/>
  <c r="N913" i="4"/>
  <c r="J913" i="4"/>
  <c r="K913" i="4" s="1"/>
  <c r="L913" i="4" s="1"/>
  <c r="M913" i="4" s="1"/>
  <c r="N914" i="4"/>
  <c r="J914" i="4"/>
  <c r="K914" i="4"/>
  <c r="L914" i="4" s="1"/>
  <c r="M914" i="4" s="1"/>
  <c r="G914" i="4"/>
  <c r="H914" i="4" s="1"/>
  <c r="I915" i="4"/>
  <c r="G915" i="4"/>
  <c r="N915" i="4"/>
  <c r="J915" i="4"/>
  <c r="K915" i="4" s="1"/>
  <c r="L915" i="4" s="1"/>
  <c r="M915" i="4" s="1"/>
  <c r="H915" i="4"/>
  <c r="N916" i="4"/>
  <c r="J916" i="4"/>
  <c r="K916" i="4" s="1"/>
  <c r="L916" i="4" s="1"/>
  <c r="M916" i="4" s="1"/>
  <c r="G916" i="4"/>
  <c r="H916" i="4" s="1"/>
  <c r="G917" i="4"/>
  <c r="N917" i="4"/>
  <c r="J917" i="4"/>
  <c r="K917" i="4" s="1"/>
  <c r="L917" i="4" s="1"/>
  <c r="M917" i="4" s="1"/>
  <c r="N918" i="4"/>
  <c r="J918" i="4"/>
  <c r="K918" i="4"/>
  <c r="L918" i="4" s="1"/>
  <c r="M918" i="4" s="1"/>
  <c r="G918" i="4"/>
  <c r="H918" i="4" s="1"/>
  <c r="I919" i="4"/>
  <c r="G919" i="4"/>
  <c r="N919" i="4"/>
  <c r="J919" i="4"/>
  <c r="K919" i="4" s="1"/>
  <c r="L919" i="4" s="1"/>
  <c r="M919" i="4" s="1"/>
  <c r="H919" i="4"/>
  <c r="N920" i="4"/>
  <c r="J920" i="4"/>
  <c r="K920" i="4" s="1"/>
  <c r="L920" i="4" s="1"/>
  <c r="M920" i="4" s="1"/>
  <c r="G920" i="4"/>
  <c r="H920" i="4" s="1"/>
  <c r="G921" i="4"/>
  <c r="N921" i="4"/>
  <c r="J921" i="4"/>
  <c r="K921" i="4" s="1"/>
  <c r="L921" i="4" s="1"/>
  <c r="M921" i="4" s="1"/>
  <c r="N922" i="4"/>
  <c r="J922" i="4"/>
  <c r="K922" i="4"/>
  <c r="L922" i="4" s="1"/>
  <c r="M922" i="4" s="1"/>
  <c r="G922" i="4"/>
  <c r="H922" i="4" s="1"/>
  <c r="I923" i="4"/>
  <c r="G923" i="4"/>
  <c r="N923" i="4"/>
  <c r="J923" i="4"/>
  <c r="K923" i="4" s="1"/>
  <c r="L923" i="4" s="1"/>
  <c r="M923" i="4" s="1"/>
  <c r="H923" i="4"/>
  <c r="N924" i="4"/>
  <c r="J924" i="4"/>
  <c r="K924" i="4" s="1"/>
  <c r="L924" i="4" s="1"/>
  <c r="M924" i="4" s="1"/>
  <c r="G924" i="4"/>
  <c r="H924" i="4" s="1"/>
  <c r="G925" i="4"/>
  <c r="N925" i="4"/>
  <c r="J925" i="4"/>
  <c r="K925" i="4" s="1"/>
  <c r="L925" i="4" s="1"/>
  <c r="M925" i="4" s="1"/>
  <c r="N926" i="4"/>
  <c r="J926" i="4"/>
  <c r="K926" i="4"/>
  <c r="L926" i="4" s="1"/>
  <c r="M926" i="4" s="1"/>
  <c r="G926" i="4"/>
  <c r="H926" i="4" s="1"/>
  <c r="I927" i="4"/>
  <c r="G927" i="4"/>
  <c r="N927" i="4"/>
  <c r="J927" i="4"/>
  <c r="K927" i="4" s="1"/>
  <c r="L927" i="4" s="1"/>
  <c r="M927" i="4" s="1"/>
  <c r="H927" i="4"/>
  <c r="N928" i="4"/>
  <c r="J928" i="4"/>
  <c r="K928" i="4" s="1"/>
  <c r="L928" i="4" s="1"/>
  <c r="M928" i="4" s="1"/>
  <c r="G928" i="4"/>
  <c r="H928" i="4" s="1"/>
  <c r="G929" i="4"/>
  <c r="N929" i="4"/>
  <c r="J929" i="4"/>
  <c r="K929" i="4" s="1"/>
  <c r="L929" i="4" s="1"/>
  <c r="M929" i="4" s="1"/>
  <c r="N930" i="4"/>
  <c r="J930" i="4"/>
  <c r="K930" i="4"/>
  <c r="L930" i="4" s="1"/>
  <c r="M930" i="4" s="1"/>
  <c r="G930" i="4"/>
  <c r="H930" i="4" s="1"/>
  <c r="I931" i="4"/>
  <c r="G931" i="4"/>
  <c r="N931" i="4"/>
  <c r="J931" i="4"/>
  <c r="K931" i="4" s="1"/>
  <c r="L931" i="4" s="1"/>
  <c r="M931" i="4" s="1"/>
  <c r="H931" i="4"/>
  <c r="N932" i="4"/>
  <c r="J932" i="4"/>
  <c r="K932" i="4" s="1"/>
  <c r="L932" i="4" s="1"/>
  <c r="M932" i="4" s="1"/>
  <c r="G932" i="4"/>
  <c r="H932" i="4" s="1"/>
  <c r="G933" i="4"/>
  <c r="N933" i="4"/>
  <c r="J933" i="4"/>
  <c r="K933" i="4" s="1"/>
  <c r="L933" i="4" s="1"/>
  <c r="M933" i="4" s="1"/>
  <c r="N934" i="4"/>
  <c r="J934" i="4"/>
  <c r="K934" i="4"/>
  <c r="L934" i="4" s="1"/>
  <c r="M934" i="4" s="1"/>
  <c r="G934" i="4"/>
  <c r="H934" i="4" s="1"/>
  <c r="I935" i="4"/>
  <c r="G935" i="4"/>
  <c r="N935" i="4"/>
  <c r="J935" i="4"/>
  <c r="K935" i="4" s="1"/>
  <c r="L935" i="4" s="1"/>
  <c r="M935" i="4" s="1"/>
  <c r="H935" i="4"/>
  <c r="N936" i="4"/>
  <c r="J936" i="4"/>
  <c r="K936" i="4" s="1"/>
  <c r="L936" i="4" s="1"/>
  <c r="M936" i="4" s="1"/>
  <c r="G936" i="4"/>
  <c r="H936" i="4" s="1"/>
  <c r="G937" i="4"/>
  <c r="N937" i="4"/>
  <c r="J937" i="4"/>
  <c r="K937" i="4" s="1"/>
  <c r="L937" i="4" s="1"/>
  <c r="M937" i="4" s="1"/>
  <c r="N938" i="4"/>
  <c r="J938" i="4"/>
  <c r="K938" i="4"/>
  <c r="L938" i="4" s="1"/>
  <c r="M938" i="4" s="1"/>
  <c r="G938" i="4"/>
  <c r="H938" i="4" s="1"/>
  <c r="I939" i="4"/>
  <c r="G939" i="4"/>
  <c r="N939" i="4"/>
  <c r="J939" i="4"/>
  <c r="K939" i="4" s="1"/>
  <c r="L939" i="4" s="1"/>
  <c r="M939" i="4" s="1"/>
  <c r="H939" i="4"/>
  <c r="N940" i="4"/>
  <c r="J940" i="4"/>
  <c r="K940" i="4" s="1"/>
  <c r="L940" i="4" s="1"/>
  <c r="M940" i="4" s="1"/>
  <c r="G940" i="4"/>
  <c r="H940" i="4" s="1"/>
  <c r="G941" i="4"/>
  <c r="N941" i="4"/>
  <c r="J941" i="4"/>
  <c r="K941" i="4" s="1"/>
  <c r="L941" i="4" s="1"/>
  <c r="M941" i="4" s="1"/>
  <c r="N942" i="4"/>
  <c r="J942" i="4"/>
  <c r="K942" i="4"/>
  <c r="L942" i="4" s="1"/>
  <c r="M942" i="4" s="1"/>
  <c r="G942" i="4"/>
  <c r="H942" i="4" s="1"/>
  <c r="I943" i="4"/>
  <c r="G943" i="4"/>
  <c r="N943" i="4"/>
  <c r="J943" i="4"/>
  <c r="K943" i="4" s="1"/>
  <c r="L943" i="4" s="1"/>
  <c r="M943" i="4" s="1"/>
  <c r="H943" i="4"/>
  <c r="N944" i="4"/>
  <c r="J944" i="4"/>
  <c r="K944" i="4" s="1"/>
  <c r="L944" i="4" s="1"/>
  <c r="M944" i="4" s="1"/>
  <c r="G944" i="4"/>
  <c r="H944" i="4" s="1"/>
  <c r="G945" i="4"/>
  <c r="N945" i="4"/>
  <c r="J945" i="4"/>
  <c r="K945" i="4" s="1"/>
  <c r="L945" i="4" s="1"/>
  <c r="M945" i="4" s="1"/>
  <c r="N946" i="4"/>
  <c r="J946" i="4"/>
  <c r="K946" i="4"/>
  <c r="L946" i="4" s="1"/>
  <c r="M946" i="4" s="1"/>
  <c r="G946" i="4"/>
  <c r="H946" i="4" s="1"/>
  <c r="I947" i="4"/>
  <c r="G947" i="4"/>
  <c r="N947" i="4"/>
  <c r="J947" i="4"/>
  <c r="K947" i="4" s="1"/>
  <c r="L947" i="4" s="1"/>
  <c r="M947" i="4" s="1"/>
  <c r="H947" i="4"/>
  <c r="N948" i="4"/>
  <c r="J948" i="4"/>
  <c r="K948" i="4" s="1"/>
  <c r="L948" i="4" s="1"/>
  <c r="M948" i="4" s="1"/>
  <c r="G948" i="4"/>
  <c r="H948" i="4" s="1"/>
  <c r="G949" i="4"/>
  <c r="N949" i="4"/>
  <c r="J949" i="4"/>
  <c r="K949" i="4" s="1"/>
  <c r="L949" i="4" s="1"/>
  <c r="M949" i="4" s="1"/>
  <c r="N950" i="4"/>
  <c r="J950" i="4"/>
  <c r="K950" i="4"/>
  <c r="L950" i="4" s="1"/>
  <c r="M950" i="4" s="1"/>
  <c r="G950" i="4"/>
  <c r="H950" i="4" s="1"/>
  <c r="I951" i="4"/>
  <c r="G951" i="4"/>
  <c r="N951" i="4"/>
  <c r="J951" i="4"/>
  <c r="K951" i="4" s="1"/>
  <c r="L951" i="4" s="1"/>
  <c r="M951" i="4" s="1"/>
  <c r="H951" i="4"/>
  <c r="N952" i="4"/>
  <c r="J952" i="4"/>
  <c r="K952" i="4" s="1"/>
  <c r="L952" i="4" s="1"/>
  <c r="M952" i="4" s="1"/>
  <c r="G952" i="4"/>
  <c r="H952" i="4" s="1"/>
  <c r="G953" i="4"/>
  <c r="N953" i="4"/>
  <c r="J953" i="4"/>
  <c r="K953" i="4" s="1"/>
  <c r="L953" i="4" s="1"/>
  <c r="M953" i="4" s="1"/>
  <c r="N954" i="4"/>
  <c r="J954" i="4"/>
  <c r="K954" i="4"/>
  <c r="L954" i="4" s="1"/>
  <c r="M954" i="4" s="1"/>
  <c r="G954" i="4"/>
  <c r="H954" i="4" s="1"/>
  <c r="I955" i="4"/>
  <c r="G955" i="4"/>
  <c r="N955" i="4"/>
  <c r="J955" i="4"/>
  <c r="K955" i="4" s="1"/>
  <c r="L955" i="4" s="1"/>
  <c r="M955" i="4" s="1"/>
  <c r="H955" i="4"/>
  <c r="N956" i="4"/>
  <c r="J956" i="4"/>
  <c r="K956" i="4" s="1"/>
  <c r="L956" i="4" s="1"/>
  <c r="M956" i="4" s="1"/>
  <c r="G956" i="4"/>
  <c r="H956" i="4" s="1"/>
  <c r="G957" i="4"/>
  <c r="N957" i="4"/>
  <c r="J957" i="4"/>
  <c r="K957" i="4" s="1"/>
  <c r="L957" i="4" s="1"/>
  <c r="M957" i="4" s="1"/>
  <c r="N958" i="4"/>
  <c r="J958" i="4"/>
  <c r="K958" i="4"/>
  <c r="L958" i="4" s="1"/>
  <c r="M958" i="4" s="1"/>
  <c r="G958" i="4"/>
  <c r="H958" i="4" s="1"/>
  <c r="I959" i="4"/>
  <c r="G959" i="4"/>
  <c r="N959" i="4"/>
  <c r="J959" i="4"/>
  <c r="K959" i="4" s="1"/>
  <c r="L959" i="4" s="1"/>
  <c r="M959" i="4" s="1"/>
  <c r="H959" i="4"/>
  <c r="N960" i="4"/>
  <c r="J960" i="4"/>
  <c r="K960" i="4" s="1"/>
  <c r="L960" i="4" s="1"/>
  <c r="M960" i="4" s="1"/>
  <c r="G960" i="4"/>
  <c r="H960" i="4" s="1"/>
  <c r="G961" i="4"/>
  <c r="I961" i="4" s="1"/>
  <c r="N961" i="4"/>
  <c r="J961" i="4"/>
  <c r="K961" i="4" s="1"/>
  <c r="L961" i="4" s="1"/>
  <c r="M961" i="4" s="1"/>
  <c r="N962" i="4"/>
  <c r="J962" i="4"/>
  <c r="K962" i="4"/>
  <c r="L962" i="4" s="1"/>
  <c r="M962" i="4" s="1"/>
  <c r="G962" i="4"/>
  <c r="H962" i="4" s="1"/>
  <c r="I963" i="4"/>
  <c r="G963" i="4"/>
  <c r="N963" i="4"/>
  <c r="J963" i="4"/>
  <c r="K963" i="4" s="1"/>
  <c r="L963" i="4" s="1"/>
  <c r="M963" i="4" s="1"/>
  <c r="H963" i="4"/>
  <c r="N964" i="4"/>
  <c r="J964" i="4"/>
  <c r="K964" i="4" s="1"/>
  <c r="L964" i="4" s="1"/>
  <c r="M964" i="4" s="1"/>
  <c r="G964" i="4"/>
  <c r="H964" i="4" s="1"/>
  <c r="G965" i="4"/>
  <c r="I965" i="4" s="1"/>
  <c r="N965" i="4"/>
  <c r="J965" i="4"/>
  <c r="K965" i="4" s="1"/>
  <c r="L965" i="4" s="1"/>
  <c r="M965" i="4" s="1"/>
  <c r="N966" i="4"/>
  <c r="J966" i="4"/>
  <c r="K966" i="4"/>
  <c r="L966" i="4" s="1"/>
  <c r="M966" i="4" s="1"/>
  <c r="G966" i="4"/>
  <c r="H966" i="4" s="1"/>
  <c r="I967" i="4"/>
  <c r="G967" i="4"/>
  <c r="N967" i="4"/>
  <c r="J967" i="4"/>
  <c r="K967" i="4" s="1"/>
  <c r="L967" i="4" s="1"/>
  <c r="M967" i="4" s="1"/>
  <c r="H967" i="4"/>
  <c r="N968" i="4"/>
  <c r="J968" i="4"/>
  <c r="K968" i="4" s="1"/>
  <c r="L968" i="4" s="1"/>
  <c r="M968" i="4" s="1"/>
  <c r="G968" i="4"/>
  <c r="H968" i="4" s="1"/>
  <c r="G969" i="4"/>
  <c r="I969" i="4" s="1"/>
  <c r="N969" i="4"/>
  <c r="J969" i="4"/>
  <c r="K969" i="4" s="1"/>
  <c r="L969" i="4" s="1"/>
  <c r="M969" i="4" s="1"/>
  <c r="N970" i="4"/>
  <c r="J970" i="4"/>
  <c r="K970" i="4"/>
  <c r="L970" i="4" s="1"/>
  <c r="M970" i="4" s="1"/>
  <c r="G970" i="4"/>
  <c r="H970" i="4" s="1"/>
  <c r="I971" i="4"/>
  <c r="G971" i="4"/>
  <c r="N971" i="4"/>
  <c r="J971" i="4"/>
  <c r="K971" i="4" s="1"/>
  <c r="L971" i="4" s="1"/>
  <c r="M971" i="4" s="1"/>
  <c r="H971" i="4"/>
  <c r="N972" i="4"/>
  <c r="J972" i="4"/>
  <c r="K972" i="4" s="1"/>
  <c r="L972" i="4" s="1"/>
  <c r="M972" i="4" s="1"/>
  <c r="G972" i="4"/>
  <c r="H972" i="4" s="1"/>
  <c r="G973" i="4"/>
  <c r="I973" i="4" s="1"/>
  <c r="N973" i="4"/>
  <c r="J973" i="4"/>
  <c r="K973" i="4" s="1"/>
  <c r="L973" i="4" s="1"/>
  <c r="M973" i="4" s="1"/>
  <c r="N974" i="4"/>
  <c r="J974" i="4"/>
  <c r="K974" i="4"/>
  <c r="L974" i="4" s="1"/>
  <c r="M974" i="4" s="1"/>
  <c r="G974" i="4"/>
  <c r="H974" i="4" s="1"/>
  <c r="I975" i="4"/>
  <c r="G975" i="4"/>
  <c r="N975" i="4"/>
  <c r="J975" i="4"/>
  <c r="K975" i="4" s="1"/>
  <c r="L975" i="4" s="1"/>
  <c r="M975" i="4" s="1"/>
  <c r="H975" i="4"/>
  <c r="N976" i="4"/>
  <c r="J976" i="4"/>
  <c r="K976" i="4" s="1"/>
  <c r="L976" i="4" s="1"/>
  <c r="M976" i="4" s="1"/>
  <c r="G976" i="4"/>
  <c r="H976" i="4" s="1"/>
  <c r="G977" i="4"/>
  <c r="I977" i="4" s="1"/>
  <c r="N977" i="4"/>
  <c r="J977" i="4"/>
  <c r="K977" i="4" s="1"/>
  <c r="L977" i="4" s="1"/>
  <c r="M977" i="4" s="1"/>
  <c r="N978" i="4"/>
  <c r="J978" i="4"/>
  <c r="K978" i="4"/>
  <c r="L978" i="4" s="1"/>
  <c r="M978" i="4" s="1"/>
  <c r="G978" i="4"/>
  <c r="H978" i="4" s="1"/>
  <c r="I979" i="4"/>
  <c r="G979" i="4"/>
  <c r="N979" i="4"/>
  <c r="J979" i="4"/>
  <c r="K979" i="4" s="1"/>
  <c r="L979" i="4" s="1"/>
  <c r="M979" i="4" s="1"/>
  <c r="H979" i="4"/>
  <c r="N980" i="4"/>
  <c r="J980" i="4"/>
  <c r="K980" i="4" s="1"/>
  <c r="L980" i="4" s="1"/>
  <c r="M980" i="4" s="1"/>
  <c r="G980" i="4"/>
  <c r="H980" i="4" s="1"/>
  <c r="G981" i="4"/>
  <c r="I981" i="4" s="1"/>
  <c r="N981" i="4"/>
  <c r="J981" i="4"/>
  <c r="K981" i="4" s="1"/>
  <c r="L981" i="4" s="1"/>
  <c r="M981" i="4" s="1"/>
  <c r="N982" i="4"/>
  <c r="J982" i="4"/>
  <c r="K982" i="4"/>
  <c r="L982" i="4" s="1"/>
  <c r="M982" i="4" s="1"/>
  <c r="G982" i="4"/>
  <c r="H982" i="4" s="1"/>
  <c r="I983" i="4"/>
  <c r="G983" i="4"/>
  <c r="N983" i="4"/>
  <c r="J983" i="4"/>
  <c r="K983" i="4" s="1"/>
  <c r="L983" i="4" s="1"/>
  <c r="M983" i="4" s="1"/>
  <c r="H983" i="4"/>
  <c r="N984" i="4"/>
  <c r="J984" i="4"/>
  <c r="K984" i="4" s="1"/>
  <c r="L984" i="4" s="1"/>
  <c r="M984" i="4" s="1"/>
  <c r="G984" i="4"/>
  <c r="H984" i="4" s="1"/>
  <c r="G985" i="4"/>
  <c r="I985" i="4" s="1"/>
  <c r="N985" i="4"/>
  <c r="J985" i="4"/>
  <c r="K985" i="4" s="1"/>
  <c r="L985" i="4" s="1"/>
  <c r="M985" i="4" s="1"/>
  <c r="N986" i="4"/>
  <c r="J986" i="4"/>
  <c r="K986" i="4"/>
  <c r="L986" i="4" s="1"/>
  <c r="M986" i="4" s="1"/>
  <c r="G986" i="4"/>
  <c r="H986" i="4" s="1"/>
  <c r="I987" i="4"/>
  <c r="G987" i="4"/>
  <c r="N987" i="4"/>
  <c r="J987" i="4"/>
  <c r="K987" i="4" s="1"/>
  <c r="L987" i="4" s="1"/>
  <c r="M987" i="4" s="1"/>
  <c r="H987" i="4"/>
  <c r="N988" i="4"/>
  <c r="J988" i="4"/>
  <c r="K988" i="4" s="1"/>
  <c r="L988" i="4" s="1"/>
  <c r="M988" i="4" s="1"/>
  <c r="G988" i="4"/>
  <c r="H988" i="4" s="1"/>
  <c r="G989" i="4"/>
  <c r="I989" i="4" s="1"/>
  <c r="N989" i="4"/>
  <c r="J989" i="4"/>
  <c r="K989" i="4" s="1"/>
  <c r="L989" i="4" s="1"/>
  <c r="M989" i="4" s="1"/>
  <c r="N990" i="4"/>
  <c r="J990" i="4"/>
  <c r="K990" i="4"/>
  <c r="L990" i="4" s="1"/>
  <c r="M990" i="4" s="1"/>
  <c r="G990" i="4"/>
  <c r="H990" i="4" s="1"/>
  <c r="I991" i="4"/>
  <c r="G991" i="4"/>
  <c r="N991" i="4"/>
  <c r="J991" i="4"/>
  <c r="K991" i="4" s="1"/>
  <c r="L991" i="4" s="1"/>
  <c r="M991" i="4" s="1"/>
  <c r="H991" i="4"/>
  <c r="N992" i="4"/>
  <c r="J992" i="4"/>
  <c r="K992" i="4" s="1"/>
  <c r="L992" i="4" s="1"/>
  <c r="M992" i="4" s="1"/>
  <c r="G992" i="4"/>
  <c r="H992" i="4" s="1"/>
  <c r="G993" i="4"/>
  <c r="I993" i="4" s="1"/>
  <c r="N993" i="4"/>
  <c r="J993" i="4"/>
  <c r="K993" i="4" s="1"/>
  <c r="L993" i="4" s="1"/>
  <c r="M993" i="4" s="1"/>
  <c r="N994" i="4"/>
  <c r="J994" i="4"/>
  <c r="K994" i="4"/>
  <c r="L994" i="4" s="1"/>
  <c r="M994" i="4" s="1"/>
  <c r="G994" i="4"/>
  <c r="H994" i="4" s="1"/>
  <c r="I995" i="4"/>
  <c r="G995" i="4"/>
  <c r="N995" i="4"/>
  <c r="J995" i="4"/>
  <c r="K995" i="4" s="1"/>
  <c r="L995" i="4" s="1"/>
  <c r="M995" i="4" s="1"/>
  <c r="H995" i="4"/>
  <c r="N996" i="4"/>
  <c r="J996" i="4"/>
  <c r="K996" i="4" s="1"/>
  <c r="L996" i="4" s="1"/>
  <c r="M996" i="4" s="1"/>
  <c r="G996" i="4"/>
  <c r="H996" i="4" s="1"/>
  <c r="G997" i="4"/>
  <c r="I997" i="4" s="1"/>
  <c r="N997" i="4"/>
  <c r="J997" i="4"/>
  <c r="K997" i="4" s="1"/>
  <c r="L997" i="4" s="1"/>
  <c r="M997" i="4" s="1"/>
  <c r="N998" i="4"/>
  <c r="J998" i="4"/>
  <c r="K998" i="4"/>
  <c r="L998" i="4" s="1"/>
  <c r="M998" i="4" s="1"/>
  <c r="G998" i="4"/>
  <c r="H998" i="4" s="1"/>
  <c r="I999" i="4"/>
  <c r="G999" i="4"/>
  <c r="N999" i="4"/>
  <c r="J999" i="4"/>
  <c r="K999" i="4" s="1"/>
  <c r="L999" i="4" s="1"/>
  <c r="M999" i="4" s="1"/>
  <c r="H999" i="4"/>
  <c r="N1000" i="4"/>
  <c r="J1000" i="4"/>
  <c r="K1000" i="4" s="1"/>
  <c r="L1000" i="4" s="1"/>
  <c r="M1000" i="4" s="1"/>
  <c r="G1000" i="4"/>
  <c r="H1000" i="4" s="1"/>
  <c r="G1001" i="4"/>
  <c r="I1001" i="4" s="1"/>
  <c r="N1001" i="4"/>
  <c r="J1001" i="4"/>
  <c r="K1001" i="4" s="1"/>
  <c r="L1001" i="4" s="1"/>
  <c r="M1001" i="4" s="1"/>
  <c r="N1002" i="4"/>
  <c r="J1002" i="4"/>
  <c r="K1002" i="4"/>
  <c r="L1002" i="4" s="1"/>
  <c r="M1002" i="4" s="1"/>
  <c r="G1002" i="4"/>
  <c r="H1002" i="4" s="1"/>
  <c r="I1003" i="4"/>
  <c r="G1003" i="4"/>
  <c r="N1003" i="4"/>
  <c r="J1003" i="4"/>
  <c r="K1003" i="4" s="1"/>
  <c r="L1003" i="4" s="1"/>
  <c r="M1003" i="4" s="1"/>
  <c r="H1003" i="4"/>
  <c r="N1004" i="4"/>
  <c r="J1004" i="4"/>
  <c r="K1004" i="4" s="1"/>
  <c r="L1004" i="4" s="1"/>
  <c r="M1004" i="4" s="1"/>
  <c r="G1004" i="4"/>
  <c r="H1004" i="4" s="1"/>
  <c r="G1005" i="4"/>
  <c r="I1005" i="4" s="1"/>
  <c r="N1005" i="4"/>
  <c r="J1005" i="4"/>
  <c r="K1005" i="4" s="1"/>
  <c r="L1005" i="4" s="1"/>
  <c r="M1005" i="4" s="1"/>
  <c r="N1006" i="4"/>
  <c r="J1006" i="4"/>
  <c r="K1006" i="4"/>
  <c r="L1006" i="4" s="1"/>
  <c r="M1006" i="4" s="1"/>
  <c r="G1006" i="4"/>
  <c r="H1006" i="4" s="1"/>
  <c r="I1007" i="4"/>
  <c r="G1007" i="4"/>
  <c r="N1007" i="4"/>
  <c r="J1007" i="4"/>
  <c r="K1007" i="4" s="1"/>
  <c r="L1007" i="4" s="1"/>
  <c r="M1007" i="4" s="1"/>
  <c r="H1007" i="4"/>
  <c r="N1008" i="4"/>
  <c r="J1008" i="4"/>
  <c r="K1008" i="4" s="1"/>
  <c r="L1008" i="4" s="1"/>
  <c r="M1008" i="4" s="1"/>
  <c r="G1008" i="4"/>
  <c r="H1008" i="4" s="1"/>
  <c r="G1009" i="4"/>
  <c r="I1009" i="4" s="1"/>
  <c r="N1009" i="4"/>
  <c r="J1009" i="4"/>
  <c r="K1009" i="4" s="1"/>
  <c r="L1009" i="4" s="1"/>
  <c r="M1009" i="4" s="1"/>
  <c r="N1010" i="4"/>
  <c r="J1010" i="4"/>
  <c r="K1010" i="4"/>
  <c r="L1010" i="4" s="1"/>
  <c r="M1010" i="4" s="1"/>
  <c r="G1010" i="4"/>
  <c r="H1010" i="4" s="1"/>
  <c r="I1011" i="4"/>
  <c r="G1011" i="4"/>
  <c r="N1011" i="4"/>
  <c r="J1011" i="4"/>
  <c r="K1011" i="4" s="1"/>
  <c r="L1011" i="4" s="1"/>
  <c r="M1011" i="4" s="1"/>
  <c r="H1011" i="4"/>
  <c r="N1012" i="4"/>
  <c r="J1012" i="4"/>
  <c r="K1012" i="4" s="1"/>
  <c r="L1012" i="4" s="1"/>
  <c r="M1012" i="4" s="1"/>
  <c r="G1012" i="4"/>
  <c r="H1012" i="4" s="1"/>
  <c r="G1013" i="4"/>
  <c r="I1013" i="4" s="1"/>
  <c r="N1013" i="4"/>
  <c r="J1013" i="4"/>
  <c r="K1013" i="4" s="1"/>
  <c r="L1013" i="4" s="1"/>
  <c r="M1013" i="4" s="1"/>
  <c r="N1014" i="4"/>
  <c r="J1014" i="4"/>
  <c r="K1014" i="4"/>
  <c r="L1014" i="4" s="1"/>
  <c r="M1014" i="4" s="1"/>
  <c r="G1014" i="4"/>
  <c r="H1014" i="4" s="1"/>
  <c r="I1015" i="4"/>
  <c r="G1015" i="4"/>
  <c r="N1015" i="4"/>
  <c r="J1015" i="4"/>
  <c r="K1015" i="4" s="1"/>
  <c r="L1015" i="4" s="1"/>
  <c r="M1015" i="4" s="1"/>
  <c r="H1015" i="4"/>
  <c r="N1016" i="4"/>
  <c r="J1016" i="4"/>
  <c r="K1016" i="4" s="1"/>
  <c r="L1016" i="4" s="1"/>
  <c r="M1016" i="4" s="1"/>
  <c r="G1016" i="4"/>
  <c r="H1016" i="4" s="1"/>
  <c r="G1017" i="4"/>
  <c r="I1017" i="4" s="1"/>
  <c r="N1017" i="4"/>
  <c r="J1017" i="4"/>
  <c r="K1017" i="4" s="1"/>
  <c r="L1017" i="4" s="1"/>
  <c r="M1017" i="4" s="1"/>
  <c r="N1018" i="4"/>
  <c r="J1018" i="4"/>
  <c r="K1018" i="4"/>
  <c r="L1018" i="4" s="1"/>
  <c r="M1018" i="4" s="1"/>
  <c r="G1018" i="4"/>
  <c r="H1018" i="4" s="1"/>
  <c r="I1019" i="4"/>
  <c r="G1019" i="4"/>
  <c r="N1019" i="4"/>
  <c r="J1019" i="4"/>
  <c r="K1019" i="4" s="1"/>
  <c r="L1019" i="4" s="1"/>
  <c r="M1019" i="4" s="1"/>
  <c r="H1019" i="4"/>
  <c r="N1020" i="4"/>
  <c r="J1020" i="4"/>
  <c r="K1020" i="4" s="1"/>
  <c r="L1020" i="4" s="1"/>
  <c r="M1020" i="4" s="1"/>
  <c r="G1020" i="4"/>
  <c r="H1020" i="4" s="1"/>
  <c r="G1021" i="4"/>
  <c r="I1021" i="4" s="1"/>
  <c r="N1021" i="4"/>
  <c r="J1021" i="4"/>
  <c r="K1021" i="4" s="1"/>
  <c r="L1021" i="4" s="1"/>
  <c r="M1021" i="4" s="1"/>
  <c r="J1022" i="4"/>
  <c r="N1022" i="4"/>
  <c r="K1022" i="4"/>
  <c r="L1022" i="4" s="1"/>
  <c r="M1022" i="4" s="1"/>
  <c r="G1022" i="4"/>
  <c r="I1022" i="4" s="1"/>
  <c r="I1023" i="4"/>
  <c r="G1023" i="4"/>
  <c r="N1023" i="4"/>
  <c r="J1023" i="4"/>
  <c r="K1023" i="4" s="1"/>
  <c r="L1023" i="4" s="1"/>
  <c r="M1023" i="4" s="1"/>
  <c r="H1023" i="4"/>
  <c r="N1024" i="4"/>
  <c r="J1024" i="4"/>
  <c r="K1024" i="4" s="1"/>
  <c r="L1024" i="4" s="1"/>
  <c r="M1024" i="4" s="1"/>
  <c r="G1024" i="4"/>
  <c r="H1024" i="4" s="1"/>
  <c r="G1025" i="4"/>
  <c r="I1025" i="4" s="1"/>
  <c r="N1025" i="4"/>
  <c r="J1025" i="4"/>
  <c r="K1025" i="4" s="1"/>
  <c r="L1025" i="4" s="1"/>
  <c r="M1025" i="4" s="1"/>
  <c r="N1026" i="4"/>
  <c r="J1026" i="4"/>
  <c r="K1026" i="4"/>
  <c r="L1026" i="4" s="1"/>
  <c r="M1026" i="4" s="1"/>
  <c r="G1026" i="4"/>
  <c r="H1026" i="4" s="1"/>
  <c r="I1027" i="4"/>
  <c r="G1027" i="4"/>
  <c r="N1027" i="4"/>
  <c r="J1027" i="4"/>
  <c r="K1027" i="4" s="1"/>
  <c r="L1027" i="4" s="1"/>
  <c r="M1027" i="4" s="1"/>
  <c r="H1027" i="4"/>
  <c r="N1028" i="4"/>
  <c r="J1028" i="4"/>
  <c r="K1028" i="4" s="1"/>
  <c r="L1028" i="4" s="1"/>
  <c r="M1028" i="4" s="1"/>
  <c r="G1028" i="4"/>
  <c r="H1028" i="4" s="1"/>
  <c r="G1029" i="4"/>
  <c r="I1029" i="4" s="1"/>
  <c r="N1029" i="4"/>
  <c r="J1029" i="4"/>
  <c r="K1029" i="4" s="1"/>
  <c r="L1029" i="4" s="1"/>
  <c r="M1029" i="4" s="1"/>
  <c r="N1030" i="4"/>
  <c r="J1030" i="4"/>
  <c r="K1030" i="4"/>
  <c r="L1030" i="4" s="1"/>
  <c r="M1030" i="4" s="1"/>
  <c r="G1030" i="4"/>
  <c r="H1030" i="4" s="1"/>
  <c r="I1031" i="4"/>
  <c r="G1031" i="4"/>
  <c r="N1031" i="4"/>
  <c r="J1031" i="4"/>
  <c r="K1031" i="4" s="1"/>
  <c r="L1031" i="4" s="1"/>
  <c r="M1031" i="4" s="1"/>
  <c r="H1031" i="4"/>
  <c r="N1032" i="4"/>
  <c r="J1032" i="4"/>
  <c r="K1032" i="4" s="1"/>
  <c r="L1032" i="4" s="1"/>
  <c r="M1032" i="4" s="1"/>
  <c r="G1032" i="4"/>
  <c r="H1032" i="4" s="1"/>
  <c r="G1033" i="4"/>
  <c r="I1033" i="4" s="1"/>
  <c r="N1033" i="4"/>
  <c r="J1033" i="4"/>
  <c r="K1033" i="4" s="1"/>
  <c r="L1033" i="4" s="1"/>
  <c r="M1033" i="4" s="1"/>
  <c r="N1034" i="4"/>
  <c r="J1034" i="4"/>
  <c r="K1034" i="4"/>
  <c r="L1034" i="4" s="1"/>
  <c r="M1034" i="4" s="1"/>
  <c r="G1034" i="4"/>
  <c r="H1034" i="4" s="1"/>
  <c r="I1035" i="4"/>
  <c r="G1035" i="4"/>
  <c r="N1035" i="4"/>
  <c r="J1035" i="4"/>
  <c r="K1035" i="4" s="1"/>
  <c r="L1035" i="4" s="1"/>
  <c r="M1035" i="4" s="1"/>
  <c r="H1035" i="4"/>
  <c r="N1036" i="4"/>
  <c r="J1036" i="4"/>
  <c r="K1036" i="4" s="1"/>
  <c r="L1036" i="4" s="1"/>
  <c r="M1036" i="4" s="1"/>
  <c r="G1036" i="4"/>
  <c r="H1036" i="4" s="1"/>
  <c r="G1037" i="4"/>
  <c r="I1037" i="4" s="1"/>
  <c r="N1037" i="4"/>
  <c r="J1037" i="4"/>
  <c r="K1037" i="4" s="1"/>
  <c r="L1037" i="4" s="1"/>
  <c r="M1037" i="4" s="1"/>
  <c r="N1038" i="4"/>
  <c r="J1038" i="4"/>
  <c r="K1038" i="4"/>
  <c r="L1038" i="4" s="1"/>
  <c r="M1038" i="4" s="1"/>
  <c r="G1038" i="4"/>
  <c r="H1038" i="4" s="1"/>
  <c r="I1039" i="4"/>
  <c r="G1039" i="4"/>
  <c r="N1039" i="4"/>
  <c r="J1039" i="4"/>
  <c r="K1039" i="4" s="1"/>
  <c r="L1039" i="4" s="1"/>
  <c r="M1039" i="4" s="1"/>
  <c r="H1039" i="4"/>
  <c r="N1040" i="4"/>
  <c r="J1040" i="4"/>
  <c r="K1040" i="4" s="1"/>
  <c r="L1040" i="4" s="1"/>
  <c r="M1040" i="4" s="1"/>
  <c r="G1040" i="4"/>
  <c r="H1040" i="4" s="1"/>
  <c r="G1041" i="4"/>
  <c r="I1041" i="4" s="1"/>
  <c r="N1041" i="4"/>
  <c r="J1041" i="4"/>
  <c r="K1041" i="4" s="1"/>
  <c r="L1041" i="4" s="1"/>
  <c r="M1041" i="4" s="1"/>
  <c r="N1042" i="4"/>
  <c r="J1042" i="4"/>
  <c r="K1042" i="4"/>
  <c r="L1042" i="4" s="1"/>
  <c r="M1042" i="4" s="1"/>
  <c r="G1042" i="4"/>
  <c r="H1042" i="4" s="1"/>
  <c r="I1043" i="4"/>
  <c r="G1043" i="4"/>
  <c r="N1043" i="4"/>
  <c r="J1043" i="4"/>
  <c r="K1043" i="4" s="1"/>
  <c r="L1043" i="4" s="1"/>
  <c r="M1043" i="4" s="1"/>
  <c r="H1043" i="4"/>
  <c r="N1044" i="4"/>
  <c r="J1044" i="4"/>
  <c r="K1044" i="4" s="1"/>
  <c r="L1044" i="4" s="1"/>
  <c r="M1044" i="4" s="1"/>
  <c r="G1044" i="4"/>
  <c r="H1044" i="4" s="1"/>
  <c r="G1045" i="4"/>
  <c r="I1045" i="4" s="1"/>
  <c r="N1045" i="4"/>
  <c r="J1045" i="4"/>
  <c r="K1045" i="4" s="1"/>
  <c r="L1045" i="4" s="1"/>
  <c r="M1045" i="4" s="1"/>
  <c r="N1046" i="4"/>
  <c r="J1046" i="4"/>
  <c r="K1046" i="4"/>
  <c r="L1046" i="4" s="1"/>
  <c r="M1046" i="4" s="1"/>
  <c r="G1046" i="4"/>
  <c r="H1046" i="4" s="1"/>
  <c r="I1047" i="4"/>
  <c r="G1047" i="4"/>
  <c r="N1047" i="4"/>
  <c r="J1047" i="4"/>
  <c r="K1047" i="4" s="1"/>
  <c r="L1047" i="4" s="1"/>
  <c r="M1047" i="4" s="1"/>
  <c r="H1047" i="4"/>
  <c r="N1048" i="4"/>
  <c r="J1048" i="4"/>
  <c r="K1048" i="4" s="1"/>
  <c r="L1048" i="4" s="1"/>
  <c r="M1048" i="4" s="1"/>
  <c r="G1048" i="4"/>
  <c r="H1048" i="4" s="1"/>
  <c r="G1049" i="4"/>
  <c r="I1049" i="4" s="1"/>
  <c r="N1049" i="4"/>
  <c r="J1049" i="4"/>
  <c r="K1049" i="4" s="1"/>
  <c r="L1049" i="4" s="1"/>
  <c r="M1049" i="4" s="1"/>
  <c r="N1050" i="4"/>
  <c r="J1050" i="4"/>
  <c r="K1050" i="4"/>
  <c r="L1050" i="4" s="1"/>
  <c r="M1050" i="4" s="1"/>
  <c r="G1050" i="4"/>
  <c r="H1050" i="4" s="1"/>
  <c r="I1051" i="4"/>
  <c r="G1051" i="4"/>
  <c r="N1051" i="4"/>
  <c r="J1051" i="4"/>
  <c r="K1051" i="4" s="1"/>
  <c r="L1051" i="4" s="1"/>
  <c r="M1051" i="4" s="1"/>
  <c r="H1051" i="4"/>
  <c r="N1052" i="4"/>
  <c r="J1052" i="4"/>
  <c r="K1052" i="4" s="1"/>
  <c r="L1052" i="4" s="1"/>
  <c r="M1052" i="4" s="1"/>
  <c r="G1052" i="4"/>
  <c r="H1052" i="4" s="1"/>
  <c r="G1053" i="4"/>
  <c r="I1053" i="4" s="1"/>
  <c r="N1053" i="4"/>
  <c r="J1053" i="4"/>
  <c r="K1053" i="4" s="1"/>
  <c r="L1053" i="4" s="1"/>
  <c r="M1053" i="4" s="1"/>
  <c r="N1054" i="4"/>
  <c r="J1054" i="4"/>
  <c r="K1054" i="4"/>
  <c r="L1054" i="4" s="1"/>
  <c r="M1054" i="4" s="1"/>
  <c r="G1054" i="4"/>
  <c r="H1054" i="4" s="1"/>
  <c r="I1055" i="4"/>
  <c r="G1055" i="4"/>
  <c r="N1055" i="4"/>
  <c r="J1055" i="4"/>
  <c r="K1055" i="4" s="1"/>
  <c r="L1055" i="4" s="1"/>
  <c r="M1055" i="4" s="1"/>
  <c r="H1055" i="4"/>
  <c r="N1056" i="4"/>
  <c r="J1056" i="4"/>
  <c r="K1056" i="4" s="1"/>
  <c r="L1056" i="4" s="1"/>
  <c r="M1056" i="4" s="1"/>
  <c r="G1056" i="4"/>
  <c r="H1056" i="4" s="1"/>
  <c r="G1057" i="4"/>
  <c r="I1057" i="4" s="1"/>
  <c r="N1057" i="4"/>
  <c r="J1057" i="4"/>
  <c r="K1057" i="4" s="1"/>
  <c r="L1057" i="4" s="1"/>
  <c r="M1057" i="4" s="1"/>
  <c r="N1058" i="4"/>
  <c r="J1058" i="4"/>
  <c r="K1058" i="4"/>
  <c r="L1058" i="4" s="1"/>
  <c r="M1058" i="4" s="1"/>
  <c r="G1058" i="4"/>
  <c r="H1058" i="4" s="1"/>
  <c r="I1059" i="4"/>
  <c r="G1059" i="4"/>
  <c r="N1059" i="4"/>
  <c r="J1059" i="4"/>
  <c r="K1059" i="4" s="1"/>
  <c r="L1059" i="4" s="1"/>
  <c r="M1059" i="4" s="1"/>
  <c r="H1059" i="4"/>
  <c r="N1060" i="4"/>
  <c r="J1060" i="4"/>
  <c r="K1060" i="4" s="1"/>
  <c r="L1060" i="4" s="1"/>
  <c r="M1060" i="4" s="1"/>
  <c r="G1060" i="4"/>
  <c r="H1060" i="4" s="1"/>
  <c r="G1061" i="4"/>
  <c r="I1061" i="4" s="1"/>
  <c r="N1061" i="4"/>
  <c r="J1061" i="4"/>
  <c r="K1061" i="4" s="1"/>
  <c r="L1061" i="4" s="1"/>
  <c r="M1061" i="4" s="1"/>
  <c r="N1062" i="4"/>
  <c r="J1062" i="4"/>
  <c r="K1062" i="4"/>
  <c r="L1062" i="4" s="1"/>
  <c r="M1062" i="4" s="1"/>
  <c r="G1062" i="4"/>
  <c r="H1062" i="4" s="1"/>
  <c r="I1063" i="4"/>
  <c r="G1063" i="4"/>
  <c r="N1063" i="4"/>
  <c r="J1063" i="4"/>
  <c r="K1063" i="4" s="1"/>
  <c r="L1063" i="4" s="1"/>
  <c r="M1063" i="4" s="1"/>
  <c r="H1063" i="4"/>
  <c r="N1064" i="4"/>
  <c r="J1064" i="4"/>
  <c r="K1064" i="4" s="1"/>
  <c r="L1064" i="4" s="1"/>
  <c r="M1064" i="4" s="1"/>
  <c r="G1064" i="4"/>
  <c r="H1064" i="4" s="1"/>
  <c r="G1065" i="4"/>
  <c r="I1065" i="4" s="1"/>
  <c r="N1065" i="4"/>
  <c r="J1065" i="4"/>
  <c r="K1065" i="4" s="1"/>
  <c r="L1065" i="4" s="1"/>
  <c r="M1065" i="4" s="1"/>
  <c r="N1066" i="4"/>
  <c r="J1066" i="4"/>
  <c r="K1066" i="4"/>
  <c r="L1066" i="4" s="1"/>
  <c r="M1066" i="4" s="1"/>
  <c r="G1066" i="4"/>
  <c r="H1066" i="4" s="1"/>
  <c r="I1067" i="4"/>
  <c r="G1067" i="4"/>
  <c r="N1067" i="4"/>
  <c r="J1067" i="4"/>
  <c r="K1067" i="4" s="1"/>
  <c r="L1067" i="4" s="1"/>
  <c r="M1067" i="4" s="1"/>
  <c r="H1067" i="4"/>
  <c r="N1068" i="4"/>
  <c r="J1068" i="4"/>
  <c r="K1068" i="4" s="1"/>
  <c r="L1068" i="4" s="1"/>
  <c r="M1068" i="4" s="1"/>
  <c r="G1068" i="4"/>
  <c r="H1068" i="4" s="1"/>
  <c r="G1069" i="4"/>
  <c r="I1069" i="4" s="1"/>
  <c r="N1069" i="4"/>
  <c r="J1069" i="4"/>
  <c r="K1069" i="4" s="1"/>
  <c r="L1069" i="4" s="1"/>
  <c r="M1069" i="4" s="1"/>
  <c r="N1070" i="4"/>
  <c r="J1070" i="4"/>
  <c r="K1070" i="4"/>
  <c r="L1070" i="4" s="1"/>
  <c r="M1070" i="4" s="1"/>
  <c r="G1070" i="4"/>
  <c r="H1070" i="4" s="1"/>
  <c r="I1071" i="4"/>
  <c r="G1071" i="4"/>
  <c r="N1071" i="4"/>
  <c r="J1071" i="4"/>
  <c r="K1071" i="4" s="1"/>
  <c r="L1071" i="4" s="1"/>
  <c r="M1071" i="4" s="1"/>
  <c r="H1071" i="4"/>
  <c r="N1072" i="4"/>
  <c r="J1072" i="4"/>
  <c r="K1072" i="4" s="1"/>
  <c r="L1072" i="4" s="1"/>
  <c r="M1072" i="4" s="1"/>
  <c r="G1072" i="4"/>
  <c r="H1072" i="4" s="1"/>
  <c r="G1073" i="4"/>
  <c r="I1073" i="4" s="1"/>
  <c r="N1073" i="4"/>
  <c r="J1073" i="4"/>
  <c r="K1073" i="4" s="1"/>
  <c r="L1073" i="4" s="1"/>
  <c r="M1073" i="4" s="1"/>
  <c r="N1074" i="4"/>
  <c r="J1074" i="4"/>
  <c r="K1074" i="4"/>
  <c r="L1074" i="4" s="1"/>
  <c r="M1074" i="4" s="1"/>
  <c r="G1074" i="4"/>
  <c r="H1074" i="4" s="1"/>
  <c r="I1075" i="4"/>
  <c r="G1075" i="4"/>
  <c r="N1075" i="4"/>
  <c r="J1075" i="4"/>
  <c r="K1075" i="4" s="1"/>
  <c r="L1075" i="4" s="1"/>
  <c r="M1075" i="4" s="1"/>
  <c r="H1075" i="4"/>
  <c r="N1076" i="4"/>
  <c r="J1076" i="4"/>
  <c r="K1076" i="4" s="1"/>
  <c r="L1076" i="4" s="1"/>
  <c r="M1076" i="4" s="1"/>
  <c r="G1076" i="4"/>
  <c r="H1076" i="4" s="1"/>
  <c r="G1077" i="4"/>
  <c r="I1077" i="4" s="1"/>
  <c r="N1077" i="4"/>
  <c r="J1077" i="4"/>
  <c r="K1077" i="4" s="1"/>
  <c r="L1077" i="4" s="1"/>
  <c r="M1077" i="4" s="1"/>
  <c r="N1078" i="4"/>
  <c r="J1078" i="4"/>
  <c r="K1078" i="4"/>
  <c r="L1078" i="4" s="1"/>
  <c r="M1078" i="4" s="1"/>
  <c r="G1078" i="4"/>
  <c r="H1078" i="4" s="1"/>
  <c r="I1079" i="4"/>
  <c r="G1079" i="4"/>
  <c r="N1079" i="4"/>
  <c r="J1079" i="4"/>
  <c r="K1079" i="4" s="1"/>
  <c r="L1079" i="4" s="1"/>
  <c r="M1079" i="4" s="1"/>
  <c r="H1079" i="4"/>
  <c r="N1080" i="4"/>
  <c r="J1080" i="4"/>
  <c r="K1080" i="4" s="1"/>
  <c r="L1080" i="4" s="1"/>
  <c r="M1080" i="4" s="1"/>
  <c r="G1080" i="4"/>
  <c r="H1080" i="4" s="1"/>
  <c r="G1081" i="4"/>
  <c r="I1081" i="4" s="1"/>
  <c r="N1081" i="4"/>
  <c r="J1081" i="4"/>
  <c r="K1081" i="4" s="1"/>
  <c r="L1081" i="4" s="1"/>
  <c r="M1081" i="4" s="1"/>
  <c r="N1082" i="4"/>
  <c r="J1082" i="4"/>
  <c r="K1082" i="4"/>
  <c r="L1082" i="4" s="1"/>
  <c r="M1082" i="4" s="1"/>
  <c r="G1082" i="4"/>
  <c r="H1082" i="4" s="1"/>
  <c r="I1083" i="4"/>
  <c r="G1083" i="4"/>
  <c r="N1083" i="4"/>
  <c r="J1083" i="4"/>
  <c r="K1083" i="4" s="1"/>
  <c r="L1083" i="4" s="1"/>
  <c r="M1083" i="4" s="1"/>
  <c r="H1083" i="4"/>
  <c r="N1084" i="4"/>
  <c r="J1084" i="4"/>
  <c r="K1084" i="4" s="1"/>
  <c r="L1084" i="4" s="1"/>
  <c r="M1084" i="4" s="1"/>
  <c r="G1084" i="4"/>
  <c r="H1084" i="4" s="1"/>
  <c r="G1085" i="4"/>
  <c r="I1085" i="4" s="1"/>
  <c r="N1085" i="4"/>
  <c r="J1085" i="4"/>
  <c r="K1085" i="4" s="1"/>
  <c r="L1085" i="4" s="1"/>
  <c r="M1085" i="4" s="1"/>
  <c r="N1086" i="4"/>
  <c r="J1086" i="4"/>
  <c r="K1086" i="4" s="1"/>
  <c r="L1086" i="4" s="1"/>
  <c r="M1086" i="4" s="1"/>
  <c r="G1086" i="4"/>
  <c r="H1086" i="4" s="1"/>
  <c r="G1087" i="4"/>
  <c r="I1087" i="4" s="1"/>
  <c r="N1087" i="4"/>
  <c r="J1087" i="4"/>
  <c r="K1087" i="4" s="1"/>
  <c r="L1087" i="4" s="1"/>
  <c r="M1087" i="4" s="1"/>
  <c r="N1088" i="4"/>
  <c r="J1088" i="4"/>
  <c r="K1088" i="4"/>
  <c r="L1088" i="4" s="1"/>
  <c r="M1088" i="4" s="1"/>
  <c r="G1088" i="4"/>
  <c r="H1088" i="4" s="1"/>
  <c r="I1089" i="4"/>
  <c r="G1089" i="4"/>
  <c r="N1089" i="4"/>
  <c r="J1089" i="4"/>
  <c r="K1089" i="4" s="1"/>
  <c r="L1089" i="4" s="1"/>
  <c r="M1089" i="4" s="1"/>
  <c r="H1089" i="4"/>
  <c r="N1090" i="4"/>
  <c r="J1090" i="4"/>
  <c r="K1090" i="4" s="1"/>
  <c r="L1090" i="4" s="1"/>
  <c r="M1090" i="4" s="1"/>
  <c r="G1090" i="4"/>
  <c r="H1090" i="4" s="1"/>
  <c r="G1091" i="4"/>
  <c r="I1091" i="4" s="1"/>
  <c r="N1091" i="4"/>
  <c r="J1091" i="4"/>
  <c r="K1091" i="4" s="1"/>
  <c r="L1091" i="4" s="1"/>
  <c r="M1091" i="4" s="1"/>
  <c r="N1092" i="4"/>
  <c r="J1092" i="4"/>
  <c r="K1092" i="4"/>
  <c r="L1092" i="4" s="1"/>
  <c r="M1092" i="4" s="1"/>
  <c r="G1092" i="4"/>
  <c r="H1092" i="4" s="1"/>
  <c r="I1093" i="4"/>
  <c r="G1093" i="4"/>
  <c r="N1093" i="4"/>
  <c r="J1093" i="4"/>
  <c r="K1093" i="4" s="1"/>
  <c r="L1093" i="4" s="1"/>
  <c r="M1093" i="4" s="1"/>
  <c r="H1093" i="4"/>
  <c r="N1094" i="4"/>
  <c r="J1094" i="4"/>
  <c r="K1094" i="4" s="1"/>
  <c r="L1094" i="4" s="1"/>
  <c r="M1094" i="4" s="1"/>
  <c r="G1094" i="4"/>
  <c r="H1094" i="4" s="1"/>
  <c r="G1095" i="4"/>
  <c r="I1095" i="4" s="1"/>
  <c r="N1095" i="4"/>
  <c r="J1095" i="4"/>
  <c r="K1095" i="4" s="1"/>
  <c r="L1095" i="4" s="1"/>
  <c r="M1095" i="4" s="1"/>
  <c r="N1096" i="4"/>
  <c r="J1096" i="4"/>
  <c r="K1096" i="4"/>
  <c r="L1096" i="4" s="1"/>
  <c r="M1096" i="4" s="1"/>
  <c r="G1096" i="4"/>
  <c r="H1096" i="4" s="1"/>
  <c r="I1097" i="4"/>
  <c r="G1097" i="4"/>
  <c r="N1097" i="4"/>
  <c r="J1097" i="4"/>
  <c r="K1097" i="4" s="1"/>
  <c r="L1097" i="4" s="1"/>
  <c r="M1097" i="4" s="1"/>
  <c r="H1097" i="4"/>
  <c r="N1098" i="4"/>
  <c r="J1098" i="4"/>
  <c r="K1098" i="4" s="1"/>
  <c r="L1098" i="4" s="1"/>
  <c r="M1098" i="4" s="1"/>
  <c r="G1098" i="4"/>
  <c r="H1098" i="4" s="1"/>
  <c r="I1099" i="4"/>
  <c r="G1099" i="4"/>
  <c r="N1099" i="4"/>
  <c r="J1099" i="4"/>
  <c r="K1099" i="4" s="1"/>
  <c r="L1099" i="4" s="1"/>
  <c r="M1099" i="4" s="1"/>
  <c r="H1099" i="4"/>
  <c r="N1100" i="4"/>
  <c r="J1100" i="4"/>
  <c r="K1100" i="4" s="1"/>
  <c r="L1100" i="4" s="1"/>
  <c r="M1100" i="4" s="1"/>
  <c r="G1100" i="4"/>
  <c r="H1100" i="4" s="1"/>
  <c r="G1101" i="4"/>
  <c r="I1101" i="4" s="1"/>
  <c r="N1101" i="4"/>
  <c r="J1101" i="4"/>
  <c r="K1101" i="4" s="1"/>
  <c r="L1101" i="4" s="1"/>
  <c r="M1101" i="4" s="1"/>
  <c r="N1102" i="4"/>
  <c r="J1102" i="4"/>
  <c r="K1102" i="4"/>
  <c r="L1102" i="4" s="1"/>
  <c r="M1102" i="4" s="1"/>
  <c r="G1102" i="4"/>
  <c r="H1102" i="4" s="1"/>
  <c r="I1103" i="4"/>
  <c r="G1103" i="4"/>
  <c r="N1103" i="4"/>
  <c r="J1103" i="4"/>
  <c r="K1103" i="4" s="1"/>
  <c r="L1103" i="4" s="1"/>
  <c r="M1103" i="4" s="1"/>
  <c r="H1103" i="4"/>
  <c r="N1104" i="4"/>
  <c r="J1104" i="4"/>
  <c r="K1104" i="4" s="1"/>
  <c r="L1104" i="4" s="1"/>
  <c r="M1104" i="4" s="1"/>
  <c r="G1104" i="4"/>
  <c r="H1104" i="4" s="1"/>
  <c r="G1105" i="4"/>
  <c r="I1105" i="4" s="1"/>
  <c r="N1105" i="4"/>
  <c r="J1105" i="4"/>
  <c r="K1105" i="4" s="1"/>
  <c r="L1105" i="4" s="1"/>
  <c r="M1105" i="4" s="1"/>
  <c r="N1106" i="4"/>
  <c r="J1106" i="4"/>
  <c r="K1106" i="4"/>
  <c r="L1106" i="4" s="1"/>
  <c r="M1106" i="4" s="1"/>
  <c r="G1106" i="4"/>
  <c r="H1106" i="4" s="1"/>
  <c r="I1107" i="4"/>
  <c r="G1107" i="4"/>
  <c r="N1107" i="4"/>
  <c r="J1107" i="4"/>
  <c r="K1107" i="4" s="1"/>
  <c r="L1107" i="4" s="1"/>
  <c r="M1107" i="4" s="1"/>
  <c r="H1107" i="4"/>
  <c r="N1108" i="4"/>
  <c r="J1108" i="4"/>
  <c r="K1108" i="4" s="1"/>
  <c r="L1108" i="4" s="1"/>
  <c r="M1108" i="4" s="1"/>
  <c r="G1108" i="4"/>
  <c r="H1108" i="4" s="1"/>
  <c r="G1109" i="4"/>
  <c r="I1109" i="4" s="1"/>
  <c r="N1109" i="4"/>
  <c r="J1109" i="4"/>
  <c r="K1109" i="4" s="1"/>
  <c r="L1109" i="4" s="1"/>
  <c r="M1109" i="4" s="1"/>
  <c r="N1110" i="4"/>
  <c r="J1110" i="4"/>
  <c r="K1110" i="4"/>
  <c r="L1110" i="4" s="1"/>
  <c r="M1110" i="4" s="1"/>
  <c r="G1110" i="4"/>
  <c r="H1110" i="4" s="1"/>
  <c r="I1111" i="4"/>
  <c r="G1111" i="4"/>
  <c r="N1111" i="4"/>
  <c r="J1111" i="4"/>
  <c r="K1111" i="4" s="1"/>
  <c r="L1111" i="4" s="1"/>
  <c r="M1111" i="4" s="1"/>
  <c r="H1111" i="4"/>
  <c r="N1112" i="4"/>
  <c r="J1112" i="4"/>
  <c r="K1112" i="4" s="1"/>
  <c r="L1112" i="4" s="1"/>
  <c r="M1112" i="4" s="1"/>
  <c r="G1112" i="4"/>
  <c r="H1112" i="4" s="1"/>
  <c r="G1113" i="4"/>
  <c r="I1113" i="4" s="1"/>
  <c r="N1113" i="4"/>
  <c r="J1113" i="4"/>
  <c r="K1113" i="4" s="1"/>
  <c r="L1113" i="4" s="1"/>
  <c r="M1113" i="4" s="1"/>
  <c r="N1114" i="4"/>
  <c r="J1114" i="4"/>
  <c r="K1114" i="4"/>
  <c r="L1114" i="4" s="1"/>
  <c r="M1114" i="4" s="1"/>
  <c r="G1114" i="4"/>
  <c r="H1114" i="4" s="1"/>
  <c r="I1115" i="4"/>
  <c r="G1115" i="4"/>
  <c r="N1115" i="4"/>
  <c r="J1115" i="4"/>
  <c r="K1115" i="4" s="1"/>
  <c r="L1115" i="4" s="1"/>
  <c r="M1115" i="4" s="1"/>
  <c r="H1115" i="4"/>
  <c r="N1116" i="4"/>
  <c r="J1116" i="4"/>
  <c r="K1116" i="4" s="1"/>
  <c r="L1116" i="4" s="1"/>
  <c r="M1116" i="4" s="1"/>
  <c r="G1116" i="4"/>
  <c r="H1116" i="4" s="1"/>
  <c r="G1117" i="4"/>
  <c r="I1117" i="4" s="1"/>
  <c r="N1117" i="4"/>
  <c r="J1117" i="4"/>
  <c r="K1117" i="4" s="1"/>
  <c r="L1117" i="4" s="1"/>
  <c r="M1117" i="4" s="1"/>
  <c r="N1118" i="4"/>
  <c r="J1118" i="4"/>
  <c r="K1118" i="4"/>
  <c r="L1118" i="4" s="1"/>
  <c r="M1118" i="4" s="1"/>
  <c r="G1118" i="4"/>
  <c r="H1118" i="4" s="1"/>
  <c r="I1119" i="4"/>
  <c r="G1119" i="4"/>
  <c r="N1119" i="4"/>
  <c r="J1119" i="4"/>
  <c r="K1119" i="4" s="1"/>
  <c r="L1119" i="4" s="1"/>
  <c r="M1119" i="4" s="1"/>
  <c r="H1119" i="4"/>
  <c r="N1120" i="4"/>
  <c r="J1120" i="4"/>
  <c r="K1120" i="4" s="1"/>
  <c r="L1120" i="4" s="1"/>
  <c r="M1120" i="4" s="1"/>
  <c r="G1120" i="4"/>
  <c r="H1120" i="4" s="1"/>
  <c r="G1121" i="4"/>
  <c r="I1121" i="4" s="1"/>
  <c r="N1121" i="4"/>
  <c r="J1121" i="4"/>
  <c r="K1121" i="4" s="1"/>
  <c r="L1121" i="4" s="1"/>
  <c r="M1121" i="4" s="1"/>
  <c r="N1122" i="4"/>
  <c r="J1122" i="4"/>
  <c r="K1122" i="4"/>
  <c r="L1122" i="4" s="1"/>
  <c r="M1122" i="4" s="1"/>
  <c r="G1122" i="4"/>
  <c r="H1122" i="4" s="1"/>
  <c r="I1123" i="4"/>
  <c r="G1123" i="4"/>
  <c r="N1123" i="4"/>
  <c r="J1123" i="4"/>
  <c r="K1123" i="4" s="1"/>
  <c r="L1123" i="4" s="1"/>
  <c r="M1123" i="4" s="1"/>
  <c r="H1123" i="4"/>
  <c r="N1124" i="4"/>
  <c r="J1124" i="4"/>
  <c r="K1124" i="4" s="1"/>
  <c r="L1124" i="4" s="1"/>
  <c r="M1124" i="4" s="1"/>
  <c r="G1124" i="4"/>
  <c r="H1124" i="4" s="1"/>
  <c r="G1125" i="4"/>
  <c r="I1125" i="4" s="1"/>
  <c r="N1125" i="4"/>
  <c r="J1125" i="4"/>
  <c r="K1125" i="4" s="1"/>
  <c r="L1125" i="4" s="1"/>
  <c r="M1125" i="4" s="1"/>
  <c r="N1126" i="4"/>
  <c r="J1126" i="4"/>
  <c r="K1126" i="4"/>
  <c r="L1126" i="4" s="1"/>
  <c r="M1126" i="4" s="1"/>
  <c r="G1126" i="4"/>
  <c r="H1126" i="4" s="1"/>
  <c r="I1127" i="4"/>
  <c r="G1127" i="4"/>
  <c r="N1127" i="4"/>
  <c r="J1127" i="4"/>
  <c r="K1127" i="4" s="1"/>
  <c r="L1127" i="4" s="1"/>
  <c r="M1127" i="4" s="1"/>
  <c r="H1127" i="4"/>
  <c r="N1128" i="4"/>
  <c r="J1128" i="4"/>
  <c r="K1128" i="4" s="1"/>
  <c r="L1128" i="4" s="1"/>
  <c r="M1128" i="4" s="1"/>
  <c r="G1128" i="4"/>
  <c r="H1128" i="4" s="1"/>
  <c r="G1129" i="4"/>
  <c r="I1129" i="4" s="1"/>
  <c r="N1129" i="4"/>
  <c r="J1129" i="4"/>
  <c r="K1129" i="4" s="1"/>
  <c r="L1129" i="4" s="1"/>
  <c r="M1129" i="4" s="1"/>
  <c r="N1130" i="4"/>
  <c r="J1130" i="4"/>
  <c r="K1130" i="4"/>
  <c r="L1130" i="4" s="1"/>
  <c r="M1130" i="4" s="1"/>
  <c r="G1130" i="4"/>
  <c r="H1130" i="4" s="1"/>
  <c r="I1131" i="4"/>
  <c r="G1131" i="4"/>
  <c r="N1131" i="4"/>
  <c r="J1131" i="4"/>
  <c r="K1131" i="4" s="1"/>
  <c r="L1131" i="4" s="1"/>
  <c r="M1131" i="4" s="1"/>
  <c r="H1131" i="4"/>
  <c r="N1132" i="4"/>
  <c r="J1132" i="4"/>
  <c r="K1132" i="4" s="1"/>
  <c r="L1132" i="4" s="1"/>
  <c r="M1132" i="4" s="1"/>
  <c r="G1132" i="4"/>
  <c r="H1132" i="4" s="1"/>
  <c r="G1133" i="4"/>
  <c r="I1133" i="4" s="1"/>
  <c r="N1133" i="4"/>
  <c r="J1133" i="4"/>
  <c r="K1133" i="4" s="1"/>
  <c r="L1133" i="4" s="1"/>
  <c r="M1133" i="4" s="1"/>
  <c r="N1134" i="4"/>
  <c r="J1134" i="4"/>
  <c r="K1134" i="4"/>
  <c r="L1134" i="4" s="1"/>
  <c r="M1134" i="4" s="1"/>
  <c r="G1134" i="4"/>
  <c r="H1134" i="4" s="1"/>
  <c r="I1135" i="4"/>
  <c r="G1135" i="4"/>
  <c r="N1135" i="4"/>
  <c r="J1135" i="4"/>
  <c r="K1135" i="4" s="1"/>
  <c r="L1135" i="4" s="1"/>
  <c r="M1135" i="4" s="1"/>
  <c r="H1135" i="4"/>
  <c r="N1136" i="4"/>
  <c r="J1136" i="4"/>
  <c r="K1136" i="4" s="1"/>
  <c r="L1136" i="4" s="1"/>
  <c r="M1136" i="4" s="1"/>
  <c r="G1136" i="4"/>
  <c r="H1136" i="4" s="1"/>
  <c r="G1137" i="4"/>
  <c r="I1137" i="4" s="1"/>
  <c r="N1137" i="4"/>
  <c r="J1137" i="4"/>
  <c r="K1137" i="4" s="1"/>
  <c r="L1137" i="4" s="1"/>
  <c r="M1137" i="4" s="1"/>
  <c r="N1138" i="4"/>
  <c r="J1138" i="4"/>
  <c r="K1138" i="4"/>
  <c r="L1138" i="4" s="1"/>
  <c r="M1138" i="4" s="1"/>
  <c r="G1138" i="4"/>
  <c r="H1138" i="4" s="1"/>
  <c r="I1139" i="4"/>
  <c r="G1139" i="4"/>
  <c r="N1139" i="4"/>
  <c r="J1139" i="4"/>
  <c r="K1139" i="4" s="1"/>
  <c r="L1139" i="4" s="1"/>
  <c r="M1139" i="4" s="1"/>
  <c r="H1139" i="4"/>
  <c r="N1140" i="4"/>
  <c r="J1140" i="4"/>
  <c r="K1140" i="4" s="1"/>
  <c r="L1140" i="4" s="1"/>
  <c r="M1140" i="4" s="1"/>
  <c r="G1140" i="4"/>
  <c r="H1140" i="4" s="1"/>
  <c r="G1141" i="4"/>
  <c r="I1141" i="4" s="1"/>
  <c r="N1141" i="4"/>
  <c r="J1141" i="4"/>
  <c r="K1141" i="4" s="1"/>
  <c r="L1141" i="4" s="1"/>
  <c r="M1141" i="4" s="1"/>
  <c r="N1142" i="4"/>
  <c r="J1142" i="4"/>
  <c r="K1142" i="4"/>
  <c r="L1142" i="4" s="1"/>
  <c r="M1142" i="4" s="1"/>
  <c r="G1142" i="4"/>
  <c r="H1142" i="4" s="1"/>
  <c r="I1143" i="4"/>
  <c r="G1143" i="4"/>
  <c r="N1143" i="4"/>
  <c r="J1143" i="4"/>
  <c r="K1143" i="4" s="1"/>
  <c r="L1143" i="4" s="1"/>
  <c r="M1143" i="4" s="1"/>
  <c r="H1143" i="4"/>
  <c r="N1144" i="4"/>
  <c r="J1144" i="4"/>
  <c r="K1144" i="4" s="1"/>
  <c r="L1144" i="4" s="1"/>
  <c r="M1144" i="4" s="1"/>
  <c r="G1144" i="4"/>
  <c r="H1144" i="4" s="1"/>
  <c r="G1145" i="4"/>
  <c r="I1145" i="4" s="1"/>
  <c r="N1145" i="4"/>
  <c r="J1145" i="4"/>
  <c r="K1145" i="4" s="1"/>
  <c r="L1145" i="4" s="1"/>
  <c r="M1145" i="4" s="1"/>
  <c r="N1146" i="4"/>
  <c r="J1146" i="4"/>
  <c r="K1146" i="4"/>
  <c r="L1146" i="4" s="1"/>
  <c r="M1146" i="4" s="1"/>
  <c r="G1146" i="4"/>
  <c r="H1146" i="4" s="1"/>
  <c r="I1147" i="4"/>
  <c r="G1147" i="4"/>
  <c r="N1147" i="4"/>
  <c r="J1147" i="4"/>
  <c r="K1147" i="4" s="1"/>
  <c r="L1147" i="4" s="1"/>
  <c r="M1147" i="4" s="1"/>
  <c r="H1147" i="4"/>
  <c r="N1148" i="4"/>
  <c r="J1148" i="4"/>
  <c r="K1148" i="4" s="1"/>
  <c r="L1148" i="4" s="1"/>
  <c r="M1148" i="4" s="1"/>
  <c r="G1148" i="4"/>
  <c r="H1148" i="4" s="1"/>
  <c r="G1149" i="4"/>
  <c r="I1149" i="4" s="1"/>
  <c r="N1149" i="4"/>
  <c r="J1149" i="4"/>
  <c r="K1149" i="4" s="1"/>
  <c r="L1149" i="4" s="1"/>
  <c r="M1149" i="4" s="1"/>
  <c r="N1150" i="4"/>
  <c r="J1150" i="4"/>
  <c r="K1150" i="4"/>
  <c r="L1150" i="4" s="1"/>
  <c r="M1150" i="4" s="1"/>
  <c r="G1150" i="4"/>
  <c r="H1150" i="4" s="1"/>
  <c r="I1151" i="4"/>
  <c r="G1151" i="4"/>
  <c r="N1151" i="4"/>
  <c r="J1151" i="4"/>
  <c r="K1151" i="4" s="1"/>
  <c r="L1151" i="4" s="1"/>
  <c r="M1151" i="4" s="1"/>
  <c r="H1151" i="4"/>
  <c r="N1152" i="4"/>
  <c r="J1152" i="4"/>
  <c r="K1152" i="4" s="1"/>
  <c r="L1152" i="4" s="1"/>
  <c r="M1152" i="4" s="1"/>
  <c r="G1152" i="4"/>
  <c r="H1152" i="4" s="1"/>
  <c r="G1153" i="4"/>
  <c r="I1153" i="4" s="1"/>
  <c r="N1153" i="4"/>
  <c r="J1153" i="4"/>
  <c r="K1153" i="4" s="1"/>
  <c r="L1153" i="4" s="1"/>
  <c r="M1153" i="4" s="1"/>
  <c r="N1154" i="4"/>
  <c r="J1154" i="4"/>
  <c r="K1154" i="4"/>
  <c r="L1154" i="4" s="1"/>
  <c r="M1154" i="4" s="1"/>
  <c r="G1154" i="4"/>
  <c r="H1154" i="4" s="1"/>
  <c r="I1155" i="4"/>
  <c r="G1155" i="4"/>
  <c r="N1155" i="4"/>
  <c r="J1155" i="4"/>
  <c r="K1155" i="4" s="1"/>
  <c r="L1155" i="4" s="1"/>
  <c r="M1155" i="4" s="1"/>
  <c r="H1155" i="4"/>
  <c r="N1156" i="4"/>
  <c r="J1156" i="4"/>
  <c r="K1156" i="4" s="1"/>
  <c r="L1156" i="4" s="1"/>
  <c r="M1156" i="4" s="1"/>
  <c r="G1156" i="4"/>
  <c r="H1156" i="4" s="1"/>
  <c r="G1157" i="4"/>
  <c r="I1157" i="4" s="1"/>
  <c r="N1157" i="4"/>
  <c r="J1157" i="4"/>
  <c r="K1157" i="4" s="1"/>
  <c r="L1157" i="4" s="1"/>
  <c r="M1157" i="4" s="1"/>
  <c r="N1158" i="4"/>
  <c r="J1158" i="4"/>
  <c r="K1158" i="4"/>
  <c r="L1158" i="4" s="1"/>
  <c r="M1158" i="4" s="1"/>
  <c r="G1158" i="4"/>
  <c r="H1158" i="4" s="1"/>
  <c r="I1159" i="4"/>
  <c r="G1159" i="4"/>
  <c r="N1159" i="4"/>
  <c r="J1159" i="4"/>
  <c r="K1159" i="4" s="1"/>
  <c r="L1159" i="4" s="1"/>
  <c r="M1159" i="4" s="1"/>
  <c r="H1159" i="4"/>
  <c r="N1160" i="4"/>
  <c r="J1160" i="4"/>
  <c r="K1160" i="4" s="1"/>
  <c r="L1160" i="4" s="1"/>
  <c r="M1160" i="4" s="1"/>
  <c r="G1160" i="4"/>
  <c r="H1160" i="4" s="1"/>
  <c r="G1161" i="4"/>
  <c r="I1161" i="4" s="1"/>
  <c r="N1161" i="4"/>
  <c r="J1161" i="4"/>
  <c r="K1161" i="4" s="1"/>
  <c r="L1161" i="4" s="1"/>
  <c r="M1161" i="4" s="1"/>
  <c r="N1162" i="4"/>
  <c r="J1162" i="4"/>
  <c r="K1162" i="4"/>
  <c r="L1162" i="4" s="1"/>
  <c r="M1162" i="4" s="1"/>
  <c r="G1162" i="4"/>
  <c r="H1162" i="4" s="1"/>
  <c r="I1163" i="4"/>
  <c r="G1163" i="4"/>
  <c r="N1163" i="4"/>
  <c r="J1163" i="4"/>
  <c r="K1163" i="4" s="1"/>
  <c r="L1163" i="4" s="1"/>
  <c r="M1163" i="4" s="1"/>
  <c r="H1163" i="4"/>
  <c r="N1164" i="4"/>
  <c r="J1164" i="4"/>
  <c r="K1164" i="4" s="1"/>
  <c r="L1164" i="4" s="1"/>
  <c r="M1164" i="4" s="1"/>
  <c r="G1164" i="4"/>
  <c r="H1164" i="4" s="1"/>
  <c r="G1165" i="4"/>
  <c r="I1165" i="4" s="1"/>
  <c r="N1165" i="4"/>
  <c r="J1165" i="4"/>
  <c r="K1165" i="4" s="1"/>
  <c r="L1165" i="4" s="1"/>
  <c r="M1165" i="4" s="1"/>
  <c r="N1166" i="4"/>
  <c r="J1166" i="4"/>
  <c r="K1166" i="4"/>
  <c r="L1166" i="4" s="1"/>
  <c r="M1166" i="4" s="1"/>
  <c r="G1166" i="4"/>
  <c r="H1166" i="4" s="1"/>
  <c r="I1167" i="4"/>
  <c r="G1167" i="4"/>
  <c r="N1167" i="4"/>
  <c r="J1167" i="4"/>
  <c r="K1167" i="4" s="1"/>
  <c r="L1167" i="4" s="1"/>
  <c r="M1167" i="4" s="1"/>
  <c r="H1167" i="4"/>
  <c r="N1168" i="4"/>
  <c r="J1168" i="4"/>
  <c r="K1168" i="4" s="1"/>
  <c r="L1168" i="4" s="1"/>
  <c r="M1168" i="4" s="1"/>
  <c r="G1168" i="4"/>
  <c r="H1168" i="4" s="1"/>
  <c r="G1169" i="4"/>
  <c r="I1169" i="4" s="1"/>
  <c r="N1169" i="4"/>
  <c r="J1169" i="4"/>
  <c r="K1169" i="4" s="1"/>
  <c r="L1169" i="4" s="1"/>
  <c r="M1169" i="4" s="1"/>
  <c r="N1170" i="4"/>
  <c r="J1170" i="4"/>
  <c r="K1170" i="4"/>
  <c r="L1170" i="4" s="1"/>
  <c r="M1170" i="4" s="1"/>
  <c r="G1170" i="4"/>
  <c r="H1170" i="4" s="1"/>
  <c r="I1171" i="4"/>
  <c r="G1171" i="4"/>
  <c r="N1171" i="4"/>
  <c r="J1171" i="4"/>
  <c r="K1171" i="4" s="1"/>
  <c r="L1171" i="4" s="1"/>
  <c r="M1171" i="4" s="1"/>
  <c r="H1171" i="4"/>
  <c r="N1172" i="4"/>
  <c r="J1172" i="4"/>
  <c r="K1172" i="4" s="1"/>
  <c r="L1172" i="4" s="1"/>
  <c r="M1172" i="4" s="1"/>
  <c r="G1172" i="4"/>
  <c r="H1172" i="4" s="1"/>
  <c r="G1173" i="4"/>
  <c r="I1173" i="4" s="1"/>
  <c r="N1173" i="4"/>
  <c r="J1173" i="4"/>
  <c r="K1173" i="4" s="1"/>
  <c r="L1173" i="4" s="1"/>
  <c r="M1173" i="4" s="1"/>
  <c r="N1174" i="4"/>
  <c r="J1174" i="4"/>
  <c r="K1174" i="4"/>
  <c r="L1174" i="4" s="1"/>
  <c r="M1174" i="4" s="1"/>
  <c r="G1174" i="4"/>
  <c r="H1174" i="4" s="1"/>
  <c r="I1175" i="4"/>
  <c r="G1175" i="4"/>
  <c r="N1175" i="4"/>
  <c r="J1175" i="4"/>
  <c r="K1175" i="4" s="1"/>
  <c r="L1175" i="4" s="1"/>
  <c r="M1175" i="4" s="1"/>
  <c r="H1175" i="4"/>
  <c r="N1176" i="4"/>
  <c r="J1176" i="4"/>
  <c r="K1176" i="4" s="1"/>
  <c r="L1176" i="4" s="1"/>
  <c r="M1176" i="4" s="1"/>
  <c r="G1176" i="4"/>
  <c r="H1176" i="4" s="1"/>
  <c r="G1177" i="4"/>
  <c r="I1177" i="4" s="1"/>
  <c r="N1177" i="4"/>
  <c r="J1177" i="4"/>
  <c r="K1177" i="4" s="1"/>
  <c r="L1177" i="4" s="1"/>
  <c r="M1177" i="4" s="1"/>
  <c r="N1178" i="4"/>
  <c r="J1178" i="4"/>
  <c r="K1178" i="4"/>
  <c r="L1178" i="4" s="1"/>
  <c r="M1178" i="4" s="1"/>
  <c r="G1178" i="4"/>
  <c r="H1178" i="4" s="1"/>
  <c r="I1179" i="4"/>
  <c r="G1179" i="4"/>
  <c r="N1179" i="4"/>
  <c r="J1179" i="4"/>
  <c r="K1179" i="4" s="1"/>
  <c r="L1179" i="4" s="1"/>
  <c r="M1179" i="4" s="1"/>
  <c r="H1179" i="4"/>
  <c r="N1180" i="4"/>
  <c r="J1180" i="4"/>
  <c r="K1180" i="4" s="1"/>
  <c r="L1180" i="4" s="1"/>
  <c r="M1180" i="4" s="1"/>
  <c r="G1180" i="4"/>
  <c r="H1180" i="4" s="1"/>
  <c r="G1181" i="4"/>
  <c r="I1181" i="4" s="1"/>
  <c r="N1181" i="4"/>
  <c r="J1181" i="4"/>
  <c r="K1181" i="4" s="1"/>
  <c r="L1181" i="4" s="1"/>
  <c r="M1181" i="4" s="1"/>
  <c r="N1182" i="4"/>
  <c r="J1182" i="4"/>
  <c r="K1182" i="4"/>
  <c r="L1182" i="4" s="1"/>
  <c r="M1182" i="4" s="1"/>
  <c r="G1182" i="4"/>
  <c r="H1182" i="4" s="1"/>
  <c r="I1183" i="4"/>
  <c r="G1183" i="4"/>
  <c r="N1183" i="4"/>
  <c r="J1183" i="4"/>
  <c r="K1183" i="4" s="1"/>
  <c r="L1183" i="4" s="1"/>
  <c r="M1183" i="4" s="1"/>
  <c r="H1183" i="4"/>
  <c r="N1184" i="4"/>
  <c r="J1184" i="4"/>
  <c r="K1184" i="4" s="1"/>
  <c r="L1184" i="4" s="1"/>
  <c r="M1184" i="4" s="1"/>
  <c r="G1184" i="4"/>
  <c r="H1184" i="4" s="1"/>
  <c r="G1185" i="4"/>
  <c r="I1185" i="4" s="1"/>
  <c r="N1185" i="4"/>
  <c r="J1185" i="4"/>
  <c r="K1185" i="4" s="1"/>
  <c r="L1185" i="4" s="1"/>
  <c r="M1185" i="4" s="1"/>
  <c r="N1186" i="4"/>
  <c r="J1186" i="4"/>
  <c r="K1186" i="4"/>
  <c r="L1186" i="4" s="1"/>
  <c r="M1186" i="4" s="1"/>
  <c r="G1186" i="4"/>
  <c r="H1186" i="4" s="1"/>
  <c r="I1187" i="4"/>
  <c r="G1187" i="4"/>
  <c r="N1187" i="4"/>
  <c r="J1187" i="4"/>
  <c r="K1187" i="4" s="1"/>
  <c r="L1187" i="4" s="1"/>
  <c r="M1187" i="4" s="1"/>
  <c r="H1187" i="4"/>
  <c r="N1188" i="4"/>
  <c r="J1188" i="4"/>
  <c r="K1188" i="4" s="1"/>
  <c r="L1188" i="4" s="1"/>
  <c r="M1188" i="4" s="1"/>
  <c r="G1188" i="4"/>
  <c r="H1188" i="4" s="1"/>
  <c r="G1189" i="4"/>
  <c r="I1189" i="4" s="1"/>
  <c r="N1189" i="4"/>
  <c r="J1189" i="4"/>
  <c r="K1189" i="4" s="1"/>
  <c r="L1189" i="4" s="1"/>
  <c r="M1189" i="4" s="1"/>
  <c r="N1190" i="4"/>
  <c r="J1190" i="4"/>
  <c r="K1190" i="4"/>
  <c r="L1190" i="4" s="1"/>
  <c r="M1190" i="4" s="1"/>
  <c r="G1190" i="4"/>
  <c r="H1190" i="4" s="1"/>
  <c r="I1191" i="4"/>
  <c r="G1191" i="4"/>
  <c r="N1191" i="4"/>
  <c r="J1191" i="4"/>
  <c r="K1191" i="4" s="1"/>
  <c r="L1191" i="4" s="1"/>
  <c r="M1191" i="4" s="1"/>
  <c r="H1191" i="4"/>
  <c r="N1192" i="4"/>
  <c r="J1192" i="4"/>
  <c r="K1192" i="4" s="1"/>
  <c r="L1192" i="4" s="1"/>
  <c r="M1192" i="4" s="1"/>
  <c r="G1192" i="4"/>
  <c r="H1192" i="4" s="1"/>
  <c r="G1193" i="4"/>
  <c r="I1193" i="4" s="1"/>
  <c r="N1193" i="4"/>
  <c r="J1193" i="4"/>
  <c r="K1193" i="4" s="1"/>
  <c r="L1193" i="4" s="1"/>
  <c r="M1193" i="4" s="1"/>
  <c r="N1194" i="4"/>
  <c r="J1194" i="4"/>
  <c r="K1194" i="4" s="1"/>
  <c r="L1194" i="4" s="1"/>
  <c r="M1194" i="4" s="1"/>
  <c r="G1194" i="4"/>
  <c r="H1194" i="4" s="1"/>
  <c r="G1195" i="4"/>
  <c r="I1195" i="4" s="1"/>
  <c r="N1195" i="4"/>
  <c r="J1195" i="4"/>
  <c r="K1195" i="4" s="1"/>
  <c r="L1195" i="4" s="1"/>
  <c r="M1195" i="4" s="1"/>
  <c r="N1196" i="4"/>
  <c r="J1196" i="4"/>
  <c r="K1196" i="4"/>
  <c r="L1196" i="4" s="1"/>
  <c r="M1196" i="4" s="1"/>
  <c r="G1196" i="4"/>
  <c r="H1196" i="4" s="1"/>
  <c r="I1197" i="4"/>
  <c r="G1197" i="4"/>
  <c r="N1197" i="4"/>
  <c r="J1197" i="4"/>
  <c r="K1197" i="4" s="1"/>
  <c r="L1197" i="4" s="1"/>
  <c r="M1197" i="4" s="1"/>
  <c r="H1197" i="4"/>
  <c r="N1198" i="4"/>
  <c r="J1198" i="4"/>
  <c r="K1198" i="4" s="1"/>
  <c r="L1198" i="4" s="1"/>
  <c r="M1198" i="4" s="1"/>
  <c r="G1198" i="4"/>
  <c r="H1198" i="4" s="1"/>
  <c r="G1199" i="4"/>
  <c r="I1199" i="4" s="1"/>
  <c r="N1199" i="4"/>
  <c r="J1199" i="4"/>
  <c r="K1199" i="4" s="1"/>
  <c r="L1199" i="4" s="1"/>
  <c r="M1199" i="4" s="1"/>
  <c r="N1200" i="4"/>
  <c r="J1200" i="4"/>
  <c r="K1200" i="4"/>
  <c r="L1200" i="4" s="1"/>
  <c r="M1200" i="4" s="1"/>
  <c r="G1200" i="4"/>
  <c r="H1200" i="4" s="1"/>
  <c r="I1201" i="4"/>
  <c r="G1201" i="4"/>
  <c r="N1201" i="4"/>
  <c r="J1201" i="4"/>
  <c r="K1201" i="4" s="1"/>
  <c r="L1201" i="4" s="1"/>
  <c r="M1201" i="4" s="1"/>
  <c r="H1201" i="4"/>
  <c r="N1202" i="4"/>
  <c r="J1202" i="4"/>
  <c r="K1202" i="4" s="1"/>
  <c r="L1202" i="4" s="1"/>
  <c r="M1202" i="4" s="1"/>
  <c r="G1202" i="4"/>
  <c r="H1202" i="4" s="1"/>
  <c r="G1203" i="4"/>
  <c r="I1203" i="4" s="1"/>
  <c r="N1203" i="4"/>
  <c r="J1203" i="4"/>
  <c r="K1203" i="4" s="1"/>
  <c r="L1203" i="4" s="1"/>
  <c r="M1203" i="4" s="1"/>
  <c r="N1204" i="4"/>
  <c r="J1204" i="4"/>
  <c r="K1204" i="4"/>
  <c r="L1204" i="4" s="1"/>
  <c r="M1204" i="4" s="1"/>
  <c r="G1204" i="4"/>
  <c r="H1204" i="4" s="1"/>
  <c r="I1205" i="4"/>
  <c r="G1205" i="4"/>
  <c r="N1205" i="4"/>
  <c r="J1205" i="4"/>
  <c r="K1205" i="4" s="1"/>
  <c r="L1205" i="4" s="1"/>
  <c r="M1205" i="4" s="1"/>
  <c r="H1205" i="4"/>
  <c r="N1206" i="4"/>
  <c r="J1206" i="4"/>
  <c r="K1206" i="4" s="1"/>
  <c r="L1206" i="4" s="1"/>
  <c r="M1206" i="4" s="1"/>
  <c r="G1206" i="4"/>
  <c r="H1206" i="4" s="1"/>
  <c r="G1207" i="4"/>
  <c r="I1207" i="4" s="1"/>
  <c r="N1207" i="4"/>
  <c r="J1207" i="4"/>
  <c r="K1207" i="4" s="1"/>
  <c r="L1207" i="4" s="1"/>
  <c r="M1207" i="4" s="1"/>
  <c r="N1208" i="4"/>
  <c r="J1208" i="4"/>
  <c r="K1208" i="4"/>
  <c r="L1208" i="4" s="1"/>
  <c r="M1208" i="4" s="1"/>
  <c r="G1208" i="4"/>
  <c r="H1208" i="4" s="1"/>
  <c r="I1209" i="4"/>
  <c r="G1209" i="4"/>
  <c r="N1209" i="4"/>
  <c r="J1209" i="4"/>
  <c r="K1209" i="4" s="1"/>
  <c r="L1209" i="4" s="1"/>
  <c r="M1209" i="4" s="1"/>
  <c r="H1209" i="4"/>
  <c r="N1210" i="4"/>
  <c r="J1210" i="4"/>
  <c r="K1210" i="4" s="1"/>
  <c r="L1210" i="4" s="1"/>
  <c r="M1210" i="4" s="1"/>
  <c r="G1210" i="4"/>
  <c r="H1210" i="4" s="1"/>
  <c r="G1211" i="4"/>
  <c r="I1211" i="4" s="1"/>
  <c r="N1211" i="4"/>
  <c r="J1211" i="4"/>
  <c r="K1211" i="4" s="1"/>
  <c r="L1211" i="4" s="1"/>
  <c r="M1211" i="4" s="1"/>
  <c r="N1212" i="4"/>
  <c r="J1212" i="4"/>
  <c r="K1212" i="4"/>
  <c r="L1212" i="4" s="1"/>
  <c r="M1212" i="4" s="1"/>
  <c r="G1212" i="4"/>
  <c r="H1212" i="4" s="1"/>
  <c r="I1213" i="4"/>
  <c r="G1213" i="4"/>
  <c r="N1213" i="4"/>
  <c r="J1213" i="4"/>
  <c r="K1213" i="4" s="1"/>
  <c r="L1213" i="4" s="1"/>
  <c r="M1213" i="4" s="1"/>
  <c r="H1213" i="4"/>
  <c r="E1218" i="3"/>
  <c r="B1218" i="3"/>
  <c r="D1218" i="3" s="1"/>
  <c r="N1214" i="4"/>
  <c r="J1214" i="4"/>
  <c r="K1214" i="4" s="1"/>
  <c r="L1214" i="4" s="1"/>
  <c r="M1214" i="4" s="1"/>
  <c r="G1214" i="4"/>
  <c r="H1214" i="4" s="1"/>
  <c r="B1219" i="3"/>
  <c r="D1219" i="3" s="1"/>
  <c r="E1219" i="3"/>
  <c r="C1219" i="3"/>
  <c r="I1215" i="4"/>
  <c r="G1215" i="4"/>
  <c r="N1215" i="4"/>
  <c r="J1215" i="4"/>
  <c r="K1215" i="4" s="1"/>
  <c r="L1215" i="4" s="1"/>
  <c r="M1215" i="4" s="1"/>
  <c r="H1215" i="4"/>
  <c r="E1220" i="3"/>
  <c r="B1220" i="3"/>
  <c r="D1220" i="3" s="1"/>
  <c r="N1216" i="4"/>
  <c r="J1216" i="4"/>
  <c r="K1216" i="4" s="1"/>
  <c r="L1216" i="4" s="1"/>
  <c r="M1216" i="4" s="1"/>
  <c r="G1216" i="4"/>
  <c r="H1216" i="4" s="1"/>
  <c r="B1221" i="3"/>
  <c r="D1221" i="3" s="1"/>
  <c r="E1221" i="3"/>
  <c r="I1217" i="4"/>
  <c r="G1217" i="4"/>
  <c r="N1217" i="4"/>
  <c r="J1217" i="4"/>
  <c r="K1217" i="4" s="1"/>
  <c r="L1217" i="4" s="1"/>
  <c r="M1217" i="4" s="1"/>
  <c r="H1217" i="4"/>
  <c r="E1222" i="3"/>
  <c r="B1222" i="3"/>
  <c r="D1222" i="3" s="1"/>
  <c r="N1218" i="4"/>
  <c r="J1218" i="4"/>
  <c r="K1218" i="4" s="1"/>
  <c r="L1218" i="4" s="1"/>
  <c r="M1218" i="4" s="1"/>
  <c r="G1218" i="4"/>
  <c r="H1218" i="4" s="1"/>
  <c r="B1223" i="3"/>
  <c r="D1223" i="3" s="1"/>
  <c r="E1223" i="3"/>
  <c r="C1223" i="3"/>
  <c r="G1219" i="4"/>
  <c r="I1219" i="4" s="1"/>
  <c r="N1219" i="4"/>
  <c r="J1219" i="4"/>
  <c r="K1219" i="4" s="1"/>
  <c r="L1219" i="4" s="1"/>
  <c r="M1219" i="4" s="1"/>
  <c r="E1224" i="3"/>
  <c r="B1224" i="3"/>
  <c r="D1224" i="3" s="1"/>
  <c r="N1220" i="4"/>
  <c r="J1220" i="4"/>
  <c r="K1220" i="4"/>
  <c r="L1220" i="4" s="1"/>
  <c r="M1220" i="4" s="1"/>
  <c r="G1220" i="4"/>
  <c r="H1220" i="4" s="1"/>
  <c r="B1225" i="3"/>
  <c r="D1225" i="3" s="1"/>
  <c r="E1225" i="3"/>
  <c r="C1225" i="3"/>
  <c r="G1221" i="4"/>
  <c r="I1221" i="4" s="1"/>
  <c r="N1221" i="4"/>
  <c r="J1221" i="4"/>
  <c r="K1221" i="4" s="1"/>
  <c r="L1221" i="4" s="1"/>
  <c r="M1221" i="4" s="1"/>
  <c r="E1226" i="3"/>
  <c r="B1226" i="3"/>
  <c r="D1226" i="3" s="1"/>
  <c r="N1222" i="4"/>
  <c r="J1222" i="4"/>
  <c r="K1222" i="4" s="1"/>
  <c r="L1222" i="4" s="1"/>
  <c r="M1222" i="4" s="1"/>
  <c r="G1222" i="4"/>
  <c r="H1222" i="4" s="1"/>
  <c r="B1227" i="3"/>
  <c r="D1227" i="3" s="1"/>
  <c r="E1227" i="3"/>
  <c r="G1223" i="4"/>
  <c r="I1223" i="4" s="1"/>
  <c r="N1223" i="4"/>
  <c r="J1223" i="4"/>
  <c r="K1223" i="4" s="1"/>
  <c r="L1223" i="4" s="1"/>
  <c r="M1223" i="4" s="1"/>
  <c r="E1228" i="3"/>
  <c r="B1228" i="3"/>
  <c r="D1228" i="3" s="1"/>
  <c r="N1224" i="4"/>
  <c r="J1224" i="4"/>
  <c r="K1224" i="4" s="1"/>
  <c r="L1224" i="4" s="1"/>
  <c r="M1224" i="4" s="1"/>
  <c r="G1224" i="4"/>
  <c r="H1224" i="4" s="1"/>
  <c r="B1229" i="3"/>
  <c r="D1229" i="3" s="1"/>
  <c r="E1229" i="3"/>
  <c r="G1225" i="4"/>
  <c r="I1225" i="4" s="1"/>
  <c r="N1225" i="4"/>
  <c r="J1225" i="4"/>
  <c r="K1225" i="4" s="1"/>
  <c r="L1225" i="4" s="1"/>
  <c r="M1225" i="4" s="1"/>
  <c r="E1230" i="3"/>
  <c r="B1230" i="3"/>
  <c r="D1230" i="3" s="1"/>
  <c r="N1226" i="4"/>
  <c r="J1226" i="4"/>
  <c r="K1226" i="4" s="1"/>
  <c r="L1226" i="4" s="1"/>
  <c r="M1226" i="4" s="1"/>
  <c r="G1226" i="4"/>
  <c r="H1226" i="4" s="1"/>
  <c r="B1231" i="3"/>
  <c r="D1231" i="3" s="1"/>
  <c r="E1231" i="3"/>
  <c r="C1231" i="3"/>
  <c r="I1227" i="4"/>
  <c r="G1227" i="4"/>
  <c r="N1227" i="4"/>
  <c r="J1227" i="4"/>
  <c r="K1227" i="4" s="1"/>
  <c r="L1227" i="4" s="1"/>
  <c r="M1227" i="4" s="1"/>
  <c r="H1227" i="4"/>
  <c r="E1232" i="3"/>
  <c r="B1232" i="3"/>
  <c r="D1232" i="3" s="1"/>
  <c r="N1228" i="4"/>
  <c r="J1228" i="4"/>
  <c r="K1228" i="4" s="1"/>
  <c r="L1228" i="4" s="1"/>
  <c r="M1228" i="4" s="1"/>
  <c r="G1228" i="4"/>
  <c r="H1228" i="4" s="1"/>
  <c r="B1233" i="3"/>
  <c r="D1233" i="3" s="1"/>
  <c r="E1233" i="3"/>
  <c r="C1233" i="3"/>
  <c r="I1229" i="4"/>
  <c r="G1229" i="4"/>
  <c r="N1229" i="4"/>
  <c r="J1229" i="4"/>
  <c r="K1229" i="4" s="1"/>
  <c r="L1229" i="4" s="1"/>
  <c r="M1229" i="4" s="1"/>
  <c r="H1229" i="4"/>
  <c r="E1234" i="3"/>
  <c r="B1234" i="3"/>
  <c r="D1234" i="3" s="1"/>
  <c r="N1230" i="4"/>
  <c r="J1230" i="4"/>
  <c r="K1230" i="4" s="1"/>
  <c r="L1230" i="4" s="1"/>
  <c r="M1230" i="4" s="1"/>
  <c r="G1230" i="4"/>
  <c r="H1230" i="4" s="1"/>
  <c r="B1235" i="3"/>
  <c r="D1235" i="3" s="1"/>
  <c r="E1235" i="3"/>
  <c r="N1231" i="4"/>
  <c r="G1231" i="4"/>
  <c r="I1231" i="4" s="1"/>
  <c r="J1231" i="4"/>
  <c r="K1231" i="4" s="1"/>
  <c r="L1231" i="4" s="1"/>
  <c r="M1231" i="4" s="1"/>
  <c r="H1231" i="4"/>
  <c r="E1236" i="3"/>
  <c r="B1236" i="3"/>
  <c r="D1236" i="3" s="1"/>
  <c r="G1232" i="4"/>
  <c r="I1232" i="4" s="1"/>
  <c r="N1232" i="4"/>
  <c r="J1232" i="4"/>
  <c r="K1232" i="4" s="1"/>
  <c r="L1232" i="4" s="1"/>
  <c r="M1232" i="4" s="1"/>
  <c r="B1237" i="3"/>
  <c r="D1237" i="3" s="1"/>
  <c r="E1237" i="3"/>
  <c r="N1233" i="4"/>
  <c r="J1233" i="4"/>
  <c r="K1233" i="4" s="1"/>
  <c r="L1233" i="4" s="1"/>
  <c r="M1233" i="4" s="1"/>
  <c r="G1233" i="4"/>
  <c r="H1233" i="4" s="1"/>
  <c r="E1238" i="3"/>
  <c r="B1238" i="3"/>
  <c r="D1238" i="3" s="1"/>
  <c r="I1234" i="4"/>
  <c r="G1234" i="4"/>
  <c r="N1234" i="4"/>
  <c r="J1234" i="4"/>
  <c r="K1234" i="4" s="1"/>
  <c r="L1234" i="4" s="1"/>
  <c r="M1234" i="4" s="1"/>
  <c r="H1234" i="4"/>
  <c r="B1239" i="3"/>
  <c r="D1239" i="3" s="1"/>
  <c r="E1239" i="3"/>
  <c r="C1239" i="3"/>
  <c r="N1235" i="4"/>
  <c r="J1235" i="4"/>
  <c r="K1235" i="4"/>
  <c r="L1235" i="4" s="1"/>
  <c r="M1235" i="4" s="1"/>
  <c r="G1235" i="4"/>
  <c r="H1235" i="4" s="1"/>
  <c r="E1240" i="3"/>
  <c r="B1240" i="3"/>
  <c r="D1240" i="3" s="1"/>
  <c r="I1236" i="4"/>
  <c r="G1236" i="4"/>
  <c r="N1236" i="4"/>
  <c r="J1236" i="4"/>
  <c r="K1236" i="4" s="1"/>
  <c r="L1236" i="4" s="1"/>
  <c r="M1236" i="4" s="1"/>
  <c r="H1236" i="4"/>
  <c r="B1241" i="3"/>
  <c r="D1241" i="3" s="1"/>
  <c r="E1241" i="3"/>
  <c r="N1237" i="4"/>
  <c r="J1237" i="4"/>
  <c r="K1237" i="4" s="1"/>
  <c r="L1237" i="4" s="1"/>
  <c r="M1237" i="4" s="1"/>
  <c r="G1237" i="4"/>
  <c r="H1237" i="4" s="1"/>
  <c r="E1242" i="3"/>
  <c r="B1242" i="3"/>
  <c r="D1242" i="3" s="1"/>
  <c r="I1238" i="4"/>
  <c r="G1238" i="4"/>
  <c r="N1238" i="4"/>
  <c r="J1238" i="4"/>
  <c r="K1238" i="4" s="1"/>
  <c r="L1238" i="4" s="1"/>
  <c r="M1238" i="4" s="1"/>
  <c r="H1238" i="4"/>
  <c r="B1243" i="3"/>
  <c r="D1243" i="3" s="1"/>
  <c r="E1243" i="3"/>
  <c r="C1243" i="3"/>
  <c r="N1239" i="4"/>
  <c r="J1239" i="4"/>
  <c r="K1239" i="4"/>
  <c r="L1239" i="4" s="1"/>
  <c r="M1239" i="4" s="1"/>
  <c r="G1239" i="4"/>
  <c r="H1239" i="4" s="1"/>
  <c r="E1244" i="3"/>
  <c r="B1244" i="3"/>
  <c r="D1244" i="3" s="1"/>
  <c r="I1240" i="4"/>
  <c r="G1240" i="4"/>
  <c r="N1240" i="4"/>
  <c r="J1240" i="4"/>
  <c r="K1240" i="4" s="1"/>
  <c r="L1240" i="4" s="1"/>
  <c r="M1240" i="4" s="1"/>
  <c r="H1240" i="4"/>
  <c r="B1245" i="3"/>
  <c r="D1245" i="3" s="1"/>
  <c r="E1245" i="3"/>
  <c r="C1245" i="3"/>
  <c r="N1241" i="4"/>
  <c r="J1241" i="4"/>
  <c r="K1241" i="4"/>
  <c r="L1241" i="4" s="1"/>
  <c r="M1241" i="4" s="1"/>
  <c r="G1241" i="4"/>
  <c r="H1241" i="4" s="1"/>
  <c r="E1246" i="3"/>
  <c r="B1246" i="3"/>
  <c r="D1246" i="3" s="1"/>
  <c r="I1242" i="4"/>
  <c r="G1242" i="4"/>
  <c r="N1242" i="4"/>
  <c r="J1242" i="4"/>
  <c r="K1242" i="4" s="1"/>
  <c r="L1242" i="4" s="1"/>
  <c r="M1242" i="4" s="1"/>
  <c r="H1242" i="4"/>
  <c r="B1247" i="3"/>
  <c r="D1247" i="3" s="1"/>
  <c r="E1247" i="3"/>
  <c r="C1247" i="3"/>
  <c r="N1243" i="4"/>
  <c r="J1243" i="4"/>
  <c r="K1243" i="4"/>
  <c r="L1243" i="4" s="1"/>
  <c r="M1243" i="4" s="1"/>
  <c r="G1243" i="4"/>
  <c r="H1243" i="4" s="1"/>
  <c r="E1248" i="3"/>
  <c r="B1248" i="3"/>
  <c r="D1248" i="3" s="1"/>
  <c r="I1244" i="4"/>
  <c r="G1244" i="4"/>
  <c r="N1244" i="4"/>
  <c r="J1244" i="4"/>
  <c r="K1244" i="4" s="1"/>
  <c r="L1244" i="4" s="1"/>
  <c r="M1244" i="4" s="1"/>
  <c r="H1244" i="4"/>
  <c r="B1249" i="3"/>
  <c r="D1249" i="3" s="1"/>
  <c r="E1249" i="3"/>
  <c r="C1249" i="3"/>
  <c r="N1245" i="4"/>
  <c r="J1245" i="4"/>
  <c r="K1245" i="4"/>
  <c r="L1245" i="4" s="1"/>
  <c r="M1245" i="4" s="1"/>
  <c r="G1245" i="4"/>
  <c r="H1245" i="4" s="1"/>
  <c r="E1250" i="3"/>
  <c r="B1250" i="3"/>
  <c r="D1250" i="3" s="1"/>
  <c r="I1246" i="4"/>
  <c r="G1246" i="4"/>
  <c r="N1246" i="4"/>
  <c r="J1246" i="4"/>
  <c r="K1246" i="4" s="1"/>
  <c r="L1246" i="4" s="1"/>
  <c r="M1246" i="4" s="1"/>
  <c r="H1246" i="4"/>
  <c r="B1251" i="3"/>
  <c r="D1251" i="3" s="1"/>
  <c r="E1251" i="3"/>
  <c r="C1251" i="3"/>
  <c r="N1247" i="4"/>
  <c r="J1247" i="4"/>
  <c r="K1247" i="4"/>
  <c r="L1247" i="4" s="1"/>
  <c r="M1247" i="4" s="1"/>
  <c r="G1247" i="4"/>
  <c r="H1247" i="4" s="1"/>
  <c r="E1252" i="3"/>
  <c r="B1252" i="3"/>
  <c r="D1252" i="3" s="1"/>
  <c r="I1248" i="4"/>
  <c r="G1248" i="4"/>
  <c r="N1248" i="4"/>
  <c r="J1248" i="4"/>
  <c r="K1248" i="4" s="1"/>
  <c r="L1248" i="4" s="1"/>
  <c r="M1248" i="4" s="1"/>
  <c r="H1248" i="4"/>
  <c r="B1253" i="3"/>
  <c r="D1253" i="3" s="1"/>
  <c r="E1253" i="3"/>
  <c r="C1253" i="3"/>
  <c r="N1249" i="4"/>
  <c r="J1249" i="4"/>
  <c r="K1249" i="4"/>
  <c r="L1249" i="4" s="1"/>
  <c r="M1249" i="4" s="1"/>
  <c r="G1249" i="4"/>
  <c r="H1249" i="4" s="1"/>
  <c r="E1254" i="3"/>
  <c r="B1254" i="3"/>
  <c r="D1254" i="3" s="1"/>
  <c r="I1250" i="4"/>
  <c r="G1250" i="4"/>
  <c r="N1250" i="4"/>
  <c r="J1250" i="4"/>
  <c r="K1250" i="4" s="1"/>
  <c r="L1250" i="4" s="1"/>
  <c r="M1250" i="4" s="1"/>
  <c r="H1250" i="4"/>
  <c r="B1255" i="3"/>
  <c r="D1255" i="3" s="1"/>
  <c r="E1255" i="3"/>
  <c r="C1255" i="3"/>
  <c r="N1251" i="4"/>
  <c r="J1251" i="4"/>
  <c r="K1251" i="4"/>
  <c r="L1251" i="4" s="1"/>
  <c r="M1251" i="4" s="1"/>
  <c r="G1251" i="4"/>
  <c r="H1251" i="4" s="1"/>
  <c r="E1256" i="3"/>
  <c r="B1256" i="3"/>
  <c r="D1256" i="3" s="1"/>
  <c r="I1252" i="4"/>
  <c r="G1252" i="4"/>
  <c r="N1252" i="4"/>
  <c r="J1252" i="4"/>
  <c r="K1252" i="4" s="1"/>
  <c r="L1252" i="4" s="1"/>
  <c r="M1252" i="4" s="1"/>
  <c r="H1252" i="4"/>
  <c r="B1257" i="3"/>
  <c r="D1257" i="3" s="1"/>
  <c r="E1257" i="3"/>
  <c r="C1257" i="3"/>
  <c r="N1253" i="4"/>
  <c r="J1253" i="4"/>
  <c r="K1253" i="4"/>
  <c r="L1253" i="4" s="1"/>
  <c r="M1253" i="4" s="1"/>
  <c r="G1253" i="4"/>
  <c r="H1253" i="4" s="1"/>
  <c r="E1258" i="3"/>
  <c r="B1258" i="3"/>
  <c r="D1258" i="3" s="1"/>
  <c r="I1254" i="4"/>
  <c r="G1254" i="4"/>
  <c r="N1254" i="4"/>
  <c r="J1254" i="4"/>
  <c r="K1254" i="4" s="1"/>
  <c r="L1254" i="4" s="1"/>
  <c r="M1254" i="4" s="1"/>
  <c r="H1254" i="4"/>
  <c r="B1259" i="3"/>
  <c r="D1259" i="3" s="1"/>
  <c r="E1259" i="3"/>
  <c r="C1259" i="3"/>
  <c r="N1255" i="4"/>
  <c r="J1255" i="4"/>
  <c r="K1255" i="4"/>
  <c r="L1255" i="4" s="1"/>
  <c r="M1255" i="4" s="1"/>
  <c r="G1255" i="4"/>
  <c r="H1255" i="4" s="1"/>
  <c r="E1260" i="3"/>
  <c r="B1260" i="3"/>
  <c r="D1260" i="3" s="1"/>
  <c r="I1256" i="4"/>
  <c r="G1256" i="4"/>
  <c r="N1256" i="4"/>
  <c r="J1256" i="4"/>
  <c r="K1256" i="4" s="1"/>
  <c r="L1256" i="4" s="1"/>
  <c r="M1256" i="4" s="1"/>
  <c r="H1256" i="4"/>
  <c r="B1261" i="3"/>
  <c r="D1261" i="3" s="1"/>
  <c r="E1261" i="3"/>
  <c r="C1261" i="3"/>
  <c r="N1257" i="4"/>
  <c r="J1257" i="4"/>
  <c r="K1257" i="4"/>
  <c r="L1257" i="4" s="1"/>
  <c r="M1257" i="4" s="1"/>
  <c r="G1257" i="4"/>
  <c r="H1257" i="4" s="1"/>
  <c r="E1262" i="3"/>
  <c r="B1262" i="3"/>
  <c r="D1262" i="3" s="1"/>
  <c r="I1258" i="4"/>
  <c r="G1258" i="4"/>
  <c r="N1258" i="4"/>
  <c r="J1258" i="4"/>
  <c r="K1258" i="4" s="1"/>
  <c r="L1258" i="4" s="1"/>
  <c r="M1258" i="4" s="1"/>
  <c r="H1258" i="4"/>
  <c r="B1263" i="3"/>
  <c r="D1263" i="3" s="1"/>
  <c r="E1263" i="3"/>
  <c r="N1259" i="4"/>
  <c r="J1259" i="4"/>
  <c r="K1259" i="4" s="1"/>
  <c r="L1259" i="4" s="1"/>
  <c r="M1259" i="4" s="1"/>
  <c r="G1259" i="4"/>
  <c r="H1259" i="4" s="1"/>
  <c r="E1264" i="3"/>
  <c r="B1264" i="3"/>
  <c r="D1264" i="3" s="1"/>
  <c r="I1260" i="4"/>
  <c r="G1260" i="4"/>
  <c r="N1260" i="4"/>
  <c r="J1260" i="4"/>
  <c r="K1260" i="4" s="1"/>
  <c r="L1260" i="4" s="1"/>
  <c r="M1260" i="4" s="1"/>
  <c r="H1260" i="4"/>
  <c r="B1265" i="3"/>
  <c r="D1265" i="3" s="1"/>
  <c r="E1265" i="3"/>
  <c r="C1265" i="3"/>
  <c r="N1261" i="4"/>
  <c r="J1261" i="4"/>
  <c r="K1261" i="4"/>
  <c r="L1261" i="4" s="1"/>
  <c r="M1261" i="4" s="1"/>
  <c r="G1261" i="4"/>
  <c r="H1261" i="4" s="1"/>
  <c r="E1266" i="3"/>
  <c r="B1266" i="3"/>
  <c r="D1266" i="3" s="1"/>
  <c r="I1262" i="4"/>
  <c r="G1262" i="4"/>
  <c r="N1262" i="4"/>
  <c r="J1262" i="4"/>
  <c r="K1262" i="4" s="1"/>
  <c r="L1262" i="4" s="1"/>
  <c r="M1262" i="4" s="1"/>
  <c r="H1262" i="4"/>
  <c r="B1267" i="3"/>
  <c r="D1267" i="3" s="1"/>
  <c r="E1267" i="3"/>
  <c r="C1267" i="3"/>
  <c r="N1263" i="4"/>
  <c r="J1263" i="4"/>
  <c r="K1263" i="4"/>
  <c r="L1263" i="4" s="1"/>
  <c r="M1263" i="4" s="1"/>
  <c r="G1263" i="4"/>
  <c r="H1263" i="4" s="1"/>
  <c r="E1268" i="3"/>
  <c r="B1268" i="3"/>
  <c r="D1268" i="3" s="1"/>
  <c r="N1264" i="4"/>
  <c r="J1264" i="4"/>
  <c r="K1264" i="4" s="1"/>
  <c r="L1264" i="4" s="1"/>
  <c r="M1264" i="4" s="1"/>
  <c r="G1264" i="4"/>
  <c r="H1264" i="4" s="1"/>
  <c r="B1269" i="3"/>
  <c r="D1269" i="3" s="1"/>
  <c r="E1269" i="3"/>
  <c r="C1269" i="3"/>
  <c r="G1265" i="4"/>
  <c r="I1265" i="4" s="1"/>
  <c r="N1265" i="4"/>
  <c r="J1265" i="4"/>
  <c r="K1265" i="4" s="1"/>
  <c r="L1265" i="4" s="1"/>
  <c r="M1265" i="4" s="1"/>
  <c r="E1270" i="3"/>
  <c r="B1270" i="3"/>
  <c r="D1270" i="3" s="1"/>
  <c r="N1266" i="4"/>
  <c r="J1266" i="4"/>
  <c r="K1266" i="4" s="1"/>
  <c r="L1266" i="4" s="1"/>
  <c r="M1266" i="4" s="1"/>
  <c r="G1266" i="4"/>
  <c r="H1266" i="4" s="1"/>
  <c r="B1271" i="3"/>
  <c r="D1271" i="3" s="1"/>
  <c r="E1271" i="3"/>
  <c r="C1271" i="3"/>
  <c r="I1267" i="4"/>
  <c r="G1267" i="4"/>
  <c r="H1267" i="4"/>
  <c r="N1267" i="4"/>
  <c r="J1267" i="4"/>
  <c r="K1267" i="4" s="1"/>
  <c r="L1267" i="4" s="1"/>
  <c r="M1267" i="4" s="1"/>
  <c r="E1272" i="3"/>
  <c r="B1272" i="3"/>
  <c r="D1272" i="3" s="1"/>
  <c r="N1268" i="4"/>
  <c r="J1268" i="4"/>
  <c r="K1268" i="4" s="1"/>
  <c r="L1268" i="4" s="1"/>
  <c r="M1268" i="4" s="1"/>
  <c r="G1268" i="4"/>
  <c r="H1268" i="4" s="1"/>
  <c r="B1273" i="3"/>
  <c r="D1273" i="3" s="1"/>
  <c r="E1273" i="3"/>
  <c r="C1273" i="3"/>
  <c r="G1269" i="4"/>
  <c r="I1269" i="4" s="1"/>
  <c r="N1269" i="4"/>
  <c r="J1269" i="4"/>
  <c r="K1269" i="4" s="1"/>
  <c r="L1269" i="4" s="1"/>
  <c r="M1269" i="4" s="1"/>
  <c r="E1274" i="3"/>
  <c r="B1274" i="3"/>
  <c r="D1274" i="3" s="1"/>
  <c r="N1270" i="4"/>
  <c r="J1270" i="4"/>
  <c r="K1270" i="4" s="1"/>
  <c r="L1270" i="4" s="1"/>
  <c r="M1270" i="4" s="1"/>
  <c r="G1270" i="4"/>
  <c r="H1270" i="4" s="1"/>
  <c r="B1275" i="3"/>
  <c r="D1275" i="3" s="1"/>
  <c r="E1275" i="3"/>
  <c r="C1275" i="3"/>
  <c r="I1271" i="4"/>
  <c r="G1271" i="4"/>
  <c r="H1271" i="4"/>
  <c r="N1271" i="4"/>
  <c r="J1271" i="4"/>
  <c r="K1271" i="4" s="1"/>
  <c r="L1271" i="4" s="1"/>
  <c r="M1271" i="4" s="1"/>
  <c r="E1276" i="3"/>
  <c r="B1276" i="3"/>
  <c r="D1276" i="3" s="1"/>
  <c r="N1272" i="4"/>
  <c r="J1272" i="4"/>
  <c r="K1272" i="4" s="1"/>
  <c r="L1272" i="4" s="1"/>
  <c r="M1272" i="4" s="1"/>
  <c r="G1272" i="4"/>
  <c r="H1272" i="4" s="1"/>
  <c r="B1277" i="3"/>
  <c r="D1277" i="3" s="1"/>
  <c r="E1277" i="3"/>
  <c r="C1277" i="3"/>
  <c r="G1273" i="4"/>
  <c r="I1273" i="4" s="1"/>
  <c r="N1273" i="4"/>
  <c r="J1273" i="4"/>
  <c r="K1273" i="4" s="1"/>
  <c r="L1273" i="4" s="1"/>
  <c r="M1273" i="4" s="1"/>
  <c r="E1278" i="3"/>
  <c r="B1278" i="3"/>
  <c r="D1278" i="3" s="1"/>
  <c r="N1274" i="4"/>
  <c r="J1274" i="4"/>
  <c r="K1274" i="4" s="1"/>
  <c r="L1274" i="4" s="1"/>
  <c r="M1274" i="4" s="1"/>
  <c r="G1274" i="4"/>
  <c r="H1274" i="4" s="1"/>
  <c r="B1279" i="3"/>
  <c r="D1279" i="3" s="1"/>
  <c r="E1279" i="3"/>
  <c r="G1275" i="4"/>
  <c r="I1275" i="4" s="1"/>
  <c r="N1275" i="4"/>
  <c r="J1275" i="4"/>
  <c r="K1275" i="4" s="1"/>
  <c r="L1275" i="4" s="1"/>
  <c r="M1275" i="4" s="1"/>
  <c r="E1280" i="3"/>
  <c r="B1280" i="3"/>
  <c r="D1280" i="3" s="1"/>
  <c r="N1276" i="4"/>
  <c r="J1276" i="4"/>
  <c r="K1276" i="4"/>
  <c r="L1276" i="4" s="1"/>
  <c r="M1276" i="4" s="1"/>
  <c r="G1276" i="4"/>
  <c r="H1276" i="4" s="1"/>
  <c r="I1276" i="4"/>
  <c r="B1281" i="3"/>
  <c r="D1281" i="3" s="1"/>
  <c r="E1281" i="3"/>
  <c r="C1281" i="3"/>
  <c r="I1277" i="4"/>
  <c r="G1277" i="4"/>
  <c r="N1277" i="4"/>
  <c r="J1277" i="4"/>
  <c r="K1277" i="4" s="1"/>
  <c r="L1277" i="4" s="1"/>
  <c r="M1277" i="4" s="1"/>
  <c r="H1277" i="4"/>
  <c r="E1282" i="3"/>
  <c r="B1282" i="3"/>
  <c r="D1282" i="3" s="1"/>
  <c r="N1278" i="4"/>
  <c r="J1278" i="4"/>
  <c r="K1278" i="4" s="1"/>
  <c r="L1278" i="4" s="1"/>
  <c r="M1278" i="4" s="1"/>
  <c r="G1278" i="4"/>
  <c r="H1278" i="4" s="1"/>
  <c r="B1283" i="3"/>
  <c r="D1283" i="3" s="1"/>
  <c r="E1283" i="3"/>
  <c r="C1283" i="3"/>
  <c r="G1279" i="4"/>
  <c r="I1279" i="4" s="1"/>
  <c r="N1279" i="4"/>
  <c r="J1279" i="4"/>
  <c r="K1279" i="4" s="1"/>
  <c r="L1279" i="4" s="1"/>
  <c r="M1279" i="4" s="1"/>
  <c r="E1284" i="3"/>
  <c r="B1284" i="3"/>
  <c r="D1284" i="3" s="1"/>
  <c r="N1280" i="4"/>
  <c r="J1280" i="4"/>
  <c r="K1280" i="4"/>
  <c r="L1280" i="4" s="1"/>
  <c r="M1280" i="4" s="1"/>
  <c r="G1280" i="4"/>
  <c r="H1280" i="4" s="1"/>
  <c r="I1280" i="4"/>
  <c r="B1285" i="3"/>
  <c r="D1285" i="3" s="1"/>
  <c r="E1285" i="3"/>
  <c r="C1285" i="3"/>
  <c r="I1281" i="4"/>
  <c r="G1281" i="4"/>
  <c r="N1281" i="4"/>
  <c r="J1281" i="4"/>
  <c r="K1281" i="4" s="1"/>
  <c r="L1281" i="4" s="1"/>
  <c r="M1281" i="4" s="1"/>
  <c r="H1281" i="4"/>
  <c r="E1286" i="3"/>
  <c r="B1286" i="3"/>
  <c r="D1286" i="3" s="1"/>
  <c r="N1282" i="4"/>
  <c r="J1282" i="4"/>
  <c r="K1282" i="4" s="1"/>
  <c r="L1282" i="4" s="1"/>
  <c r="M1282" i="4" s="1"/>
  <c r="G1282" i="4"/>
  <c r="H1282" i="4" s="1"/>
  <c r="B1287" i="3"/>
  <c r="D1287" i="3" s="1"/>
  <c r="E1287" i="3"/>
  <c r="I1283" i="4"/>
  <c r="G1283" i="4"/>
  <c r="H1283" i="4"/>
  <c r="N1283" i="4"/>
  <c r="J1283" i="4"/>
  <c r="K1283" i="4" s="1"/>
  <c r="L1283" i="4" s="1"/>
  <c r="M1283" i="4" s="1"/>
  <c r="E1288" i="3"/>
  <c r="B1288" i="3"/>
  <c r="D1288" i="3" s="1"/>
  <c r="N1284" i="4"/>
  <c r="J1284" i="4"/>
  <c r="K1284" i="4" s="1"/>
  <c r="L1284" i="4" s="1"/>
  <c r="M1284" i="4" s="1"/>
  <c r="G1284" i="4"/>
  <c r="H1284" i="4" s="1"/>
  <c r="B1289" i="3"/>
  <c r="D1289" i="3" s="1"/>
  <c r="E1289" i="3"/>
  <c r="C1289" i="3"/>
  <c r="G1285" i="4"/>
  <c r="I1285" i="4" s="1"/>
  <c r="N1285" i="4"/>
  <c r="J1285" i="4"/>
  <c r="K1285" i="4" s="1"/>
  <c r="L1285" i="4" s="1"/>
  <c r="M1285" i="4" s="1"/>
  <c r="E1290" i="3"/>
  <c r="B1290" i="3"/>
  <c r="D1290" i="3" s="1"/>
  <c r="N1286" i="4"/>
  <c r="J1286" i="4"/>
  <c r="K1286" i="4" s="1"/>
  <c r="L1286" i="4" s="1"/>
  <c r="M1286" i="4" s="1"/>
  <c r="G1286" i="4"/>
  <c r="H1286" i="4" s="1"/>
  <c r="B1291" i="3"/>
  <c r="D1291" i="3" s="1"/>
  <c r="E1291" i="3"/>
  <c r="C1291" i="3"/>
  <c r="I1287" i="4"/>
  <c r="G1287" i="4"/>
  <c r="H1287" i="4"/>
  <c r="N1287" i="4"/>
  <c r="J1287" i="4"/>
  <c r="K1287" i="4" s="1"/>
  <c r="L1287" i="4" s="1"/>
  <c r="M1287" i="4" s="1"/>
  <c r="E1292" i="3"/>
  <c r="B1292" i="3"/>
  <c r="D1292" i="3" s="1"/>
  <c r="N1288" i="4"/>
  <c r="J1288" i="4"/>
  <c r="K1288" i="4" s="1"/>
  <c r="L1288" i="4" s="1"/>
  <c r="M1288" i="4" s="1"/>
  <c r="G1288" i="4"/>
  <c r="H1288" i="4" s="1"/>
  <c r="B1293" i="3"/>
  <c r="D1293" i="3" s="1"/>
  <c r="E1293" i="3"/>
  <c r="C1293" i="3"/>
  <c r="G1289" i="4"/>
  <c r="I1289" i="4" s="1"/>
  <c r="N1289" i="4"/>
  <c r="J1289" i="4"/>
  <c r="K1289" i="4" s="1"/>
  <c r="L1289" i="4" s="1"/>
  <c r="M1289" i="4" s="1"/>
  <c r="E1294" i="3"/>
  <c r="B1294" i="3"/>
  <c r="D1294" i="3" s="1"/>
  <c r="N1290" i="4"/>
  <c r="J1290" i="4"/>
  <c r="K1290" i="4" s="1"/>
  <c r="L1290" i="4" s="1"/>
  <c r="M1290" i="4" s="1"/>
  <c r="G1290" i="4"/>
  <c r="H1290" i="4" s="1"/>
  <c r="B1295" i="3"/>
  <c r="D1295" i="3" s="1"/>
  <c r="E1295" i="3"/>
  <c r="C1295" i="3"/>
  <c r="I1291" i="4"/>
  <c r="G1291" i="4"/>
  <c r="H1291" i="4"/>
  <c r="N1291" i="4"/>
  <c r="J1291" i="4"/>
  <c r="K1291" i="4" s="1"/>
  <c r="L1291" i="4" s="1"/>
  <c r="M1291" i="4" s="1"/>
  <c r="E1296" i="3"/>
  <c r="B1296" i="3"/>
  <c r="D1296" i="3" s="1"/>
  <c r="N1292" i="4"/>
  <c r="J1292" i="4"/>
  <c r="K1292" i="4" s="1"/>
  <c r="L1292" i="4" s="1"/>
  <c r="M1292" i="4" s="1"/>
  <c r="G1292" i="4"/>
  <c r="H1292" i="4" s="1"/>
  <c r="B1297" i="3"/>
  <c r="D1297" i="3" s="1"/>
  <c r="E1297" i="3"/>
  <c r="C1297" i="3"/>
  <c r="G1293" i="4"/>
  <c r="I1293" i="4" s="1"/>
  <c r="N1293" i="4"/>
  <c r="J1293" i="4"/>
  <c r="K1293" i="4" s="1"/>
  <c r="L1293" i="4" s="1"/>
  <c r="M1293" i="4" s="1"/>
  <c r="E1298" i="3"/>
  <c r="B1298" i="3"/>
  <c r="D1298" i="3" s="1"/>
  <c r="N1294" i="4"/>
  <c r="J1294" i="4"/>
  <c r="K1294" i="4" s="1"/>
  <c r="L1294" i="4" s="1"/>
  <c r="M1294" i="4" s="1"/>
  <c r="G1294" i="4"/>
  <c r="H1294" i="4" s="1"/>
  <c r="B1299" i="3"/>
  <c r="D1299" i="3" s="1"/>
  <c r="E1299" i="3"/>
  <c r="G1295" i="4"/>
  <c r="I1295" i="4" s="1"/>
  <c r="N1295" i="4"/>
  <c r="J1295" i="4"/>
  <c r="K1295" i="4" s="1"/>
  <c r="L1295" i="4" s="1"/>
  <c r="M1295" i="4" s="1"/>
  <c r="E1300" i="3"/>
  <c r="B1300" i="3"/>
  <c r="D1300" i="3" s="1"/>
  <c r="N1296" i="4"/>
  <c r="J1296" i="4"/>
  <c r="K1296" i="4"/>
  <c r="L1296" i="4" s="1"/>
  <c r="M1296" i="4" s="1"/>
  <c r="G1296" i="4"/>
  <c r="H1296" i="4" s="1"/>
  <c r="I1296" i="4"/>
  <c r="B1301" i="3"/>
  <c r="D1301" i="3" s="1"/>
  <c r="E1301" i="3"/>
  <c r="C1301" i="3"/>
  <c r="I1297" i="4"/>
  <c r="G1297" i="4"/>
  <c r="N1297" i="4"/>
  <c r="J1297" i="4"/>
  <c r="K1297" i="4" s="1"/>
  <c r="L1297" i="4" s="1"/>
  <c r="M1297" i="4" s="1"/>
  <c r="H1297" i="4"/>
  <c r="E1302" i="3"/>
  <c r="B1302" i="3"/>
  <c r="D1302" i="3" s="1"/>
  <c r="N1298" i="4"/>
  <c r="J1298" i="4"/>
  <c r="K1298" i="4" s="1"/>
  <c r="L1298" i="4" s="1"/>
  <c r="M1298" i="4" s="1"/>
  <c r="G1298" i="4"/>
  <c r="H1298" i="4" s="1"/>
  <c r="B1303" i="3"/>
  <c r="D1303" i="3" s="1"/>
  <c r="E1303" i="3"/>
  <c r="I1299" i="4"/>
  <c r="G1299" i="4"/>
  <c r="H1299" i="4"/>
  <c r="N1299" i="4"/>
  <c r="J1299" i="4"/>
  <c r="K1299" i="4" s="1"/>
  <c r="L1299" i="4" s="1"/>
  <c r="M1299" i="4" s="1"/>
  <c r="E1304" i="3"/>
  <c r="B1304" i="3"/>
  <c r="D1304" i="3" s="1"/>
  <c r="N1300" i="4"/>
  <c r="J1300" i="4"/>
  <c r="K1300" i="4" s="1"/>
  <c r="L1300" i="4" s="1"/>
  <c r="M1300" i="4" s="1"/>
  <c r="G1300" i="4"/>
  <c r="H1300" i="4" s="1"/>
  <c r="B1305" i="3"/>
  <c r="D1305" i="3" s="1"/>
  <c r="E1305" i="3"/>
  <c r="C1305" i="3"/>
  <c r="G1301" i="4"/>
  <c r="I1301" i="4" s="1"/>
  <c r="N1301" i="4"/>
  <c r="J1301" i="4"/>
  <c r="K1301" i="4" s="1"/>
  <c r="L1301" i="4" s="1"/>
  <c r="M1301" i="4" s="1"/>
  <c r="E1306" i="3"/>
  <c r="B1306" i="3"/>
  <c r="D1306" i="3" s="1"/>
  <c r="N1302" i="4"/>
  <c r="J1302" i="4"/>
  <c r="K1302" i="4" s="1"/>
  <c r="L1302" i="4" s="1"/>
  <c r="M1302" i="4" s="1"/>
  <c r="G1302" i="4"/>
  <c r="H1302" i="4" s="1"/>
  <c r="B1307" i="3"/>
  <c r="D1307" i="3" s="1"/>
  <c r="E1307" i="3"/>
  <c r="G1303" i="4"/>
  <c r="I1303" i="4" s="1"/>
  <c r="N1303" i="4"/>
  <c r="J1303" i="4"/>
  <c r="K1303" i="4" s="1"/>
  <c r="L1303" i="4" s="1"/>
  <c r="M1303" i="4" s="1"/>
  <c r="E1308" i="3"/>
  <c r="B1308" i="3"/>
  <c r="D1308" i="3" s="1"/>
  <c r="N1304" i="4"/>
  <c r="J1304" i="4"/>
  <c r="K1304" i="4"/>
  <c r="L1304" i="4" s="1"/>
  <c r="M1304" i="4" s="1"/>
  <c r="G1304" i="4"/>
  <c r="H1304" i="4" s="1"/>
  <c r="I1304" i="4"/>
  <c r="B1309" i="3"/>
  <c r="D1309" i="3" s="1"/>
  <c r="E1309" i="3"/>
  <c r="C1309" i="3"/>
  <c r="I1305" i="4"/>
  <c r="G1305" i="4"/>
  <c r="N1305" i="4"/>
  <c r="J1305" i="4"/>
  <c r="K1305" i="4" s="1"/>
  <c r="L1305" i="4" s="1"/>
  <c r="M1305" i="4" s="1"/>
  <c r="H1305" i="4"/>
  <c r="E1310" i="3"/>
  <c r="B1310" i="3"/>
  <c r="D1310" i="3" s="1"/>
  <c r="N1306" i="4"/>
  <c r="J1306" i="4"/>
  <c r="K1306" i="4" s="1"/>
  <c r="L1306" i="4" s="1"/>
  <c r="M1306" i="4" s="1"/>
  <c r="G1306" i="4"/>
  <c r="H1306" i="4" s="1"/>
  <c r="B1311" i="3"/>
  <c r="D1311" i="3" s="1"/>
  <c r="E1311" i="3"/>
  <c r="C1311" i="3"/>
  <c r="G1307" i="4"/>
  <c r="I1307" i="4" s="1"/>
  <c r="N1307" i="4"/>
  <c r="J1307" i="4"/>
  <c r="K1307" i="4" s="1"/>
  <c r="L1307" i="4" s="1"/>
  <c r="M1307" i="4" s="1"/>
  <c r="E1312" i="3"/>
  <c r="B1312" i="3"/>
  <c r="D1312" i="3" s="1"/>
  <c r="N1308" i="4"/>
  <c r="J1308" i="4"/>
  <c r="K1308" i="4"/>
  <c r="L1308" i="4" s="1"/>
  <c r="M1308" i="4" s="1"/>
  <c r="G1308" i="4"/>
  <c r="H1308" i="4" s="1"/>
  <c r="I1308" i="4"/>
  <c r="B1313" i="3"/>
  <c r="D1313" i="3" s="1"/>
  <c r="E1313" i="3"/>
  <c r="C1313" i="3"/>
  <c r="I1309" i="4"/>
  <c r="G1309" i="4"/>
  <c r="N1309" i="4"/>
  <c r="J1309" i="4"/>
  <c r="K1309" i="4" s="1"/>
  <c r="L1309" i="4" s="1"/>
  <c r="M1309" i="4" s="1"/>
  <c r="H1309" i="4"/>
  <c r="E1314" i="3"/>
  <c r="B1314" i="3"/>
  <c r="D1314" i="3" s="1"/>
  <c r="N1310" i="4"/>
  <c r="J1310" i="4"/>
  <c r="K1310" i="4" s="1"/>
  <c r="L1310" i="4" s="1"/>
  <c r="M1310" i="4" s="1"/>
  <c r="G1310" i="4"/>
  <c r="H1310" i="4" s="1"/>
  <c r="B1315" i="3"/>
  <c r="D1315" i="3" s="1"/>
  <c r="E1315" i="3"/>
  <c r="C1315" i="3"/>
  <c r="G1311" i="4"/>
  <c r="I1311" i="4" s="1"/>
  <c r="N1311" i="4"/>
  <c r="J1311" i="4"/>
  <c r="K1311" i="4" s="1"/>
  <c r="L1311" i="4" s="1"/>
  <c r="M1311" i="4" s="1"/>
  <c r="E1316" i="3"/>
  <c r="B1316" i="3"/>
  <c r="D1316" i="3" s="1"/>
  <c r="N1312" i="4"/>
  <c r="J1312" i="4"/>
  <c r="K1312" i="4"/>
  <c r="L1312" i="4" s="1"/>
  <c r="M1312" i="4" s="1"/>
  <c r="G1312" i="4"/>
  <c r="H1312" i="4" s="1"/>
  <c r="I1312" i="4"/>
  <c r="B1317" i="3"/>
  <c r="D1317" i="3" s="1"/>
  <c r="E1317" i="3"/>
  <c r="C1317" i="3"/>
  <c r="I1313" i="4"/>
  <c r="G1313" i="4"/>
  <c r="N1313" i="4"/>
  <c r="J1313" i="4"/>
  <c r="K1313" i="4" s="1"/>
  <c r="L1313" i="4" s="1"/>
  <c r="M1313" i="4" s="1"/>
  <c r="H1313" i="4"/>
  <c r="E1318" i="3"/>
  <c r="B1318" i="3"/>
  <c r="D1318" i="3" s="1"/>
  <c r="N1314" i="4"/>
  <c r="J1314" i="4"/>
  <c r="K1314" i="4" s="1"/>
  <c r="L1314" i="4" s="1"/>
  <c r="M1314" i="4" s="1"/>
  <c r="G1314" i="4"/>
  <c r="H1314" i="4" s="1"/>
  <c r="B1319" i="3"/>
  <c r="D1319" i="3" s="1"/>
  <c r="E1319" i="3"/>
  <c r="I1315" i="4"/>
  <c r="G1315" i="4"/>
  <c r="H1315" i="4"/>
  <c r="N1315" i="4"/>
  <c r="J1315" i="4"/>
  <c r="K1315" i="4" s="1"/>
  <c r="L1315" i="4" s="1"/>
  <c r="M1315" i="4" s="1"/>
  <c r="E1320" i="3"/>
  <c r="B1320" i="3"/>
  <c r="D1320" i="3" s="1"/>
  <c r="N1316" i="4"/>
  <c r="J1316" i="4"/>
  <c r="K1316" i="4" s="1"/>
  <c r="L1316" i="4" s="1"/>
  <c r="M1316" i="4" s="1"/>
  <c r="G1316" i="4"/>
  <c r="H1316" i="4" s="1"/>
  <c r="B1321" i="3"/>
  <c r="D1321" i="3" s="1"/>
  <c r="E1321" i="3"/>
  <c r="C1321" i="3"/>
  <c r="G1317" i="4"/>
  <c r="I1317" i="4" s="1"/>
  <c r="N1317" i="4"/>
  <c r="J1317" i="4"/>
  <c r="K1317" i="4" s="1"/>
  <c r="L1317" i="4" s="1"/>
  <c r="M1317" i="4" s="1"/>
  <c r="E1322" i="3"/>
  <c r="B1322" i="3"/>
  <c r="D1322" i="3" s="1"/>
  <c r="N1318" i="4"/>
  <c r="J1318" i="4"/>
  <c r="K1318" i="4" s="1"/>
  <c r="L1318" i="4" s="1"/>
  <c r="M1318" i="4" s="1"/>
  <c r="G1318" i="4"/>
  <c r="H1318" i="4" s="1"/>
  <c r="B1323" i="3"/>
  <c r="D1323" i="3" s="1"/>
  <c r="E1323" i="3"/>
  <c r="C1323" i="3"/>
  <c r="I1319" i="4"/>
  <c r="G1319" i="4"/>
  <c r="H1319" i="4"/>
  <c r="N1319" i="4"/>
  <c r="J1319" i="4"/>
  <c r="K1319" i="4" s="1"/>
  <c r="L1319" i="4" s="1"/>
  <c r="M1319" i="4" s="1"/>
  <c r="E1324" i="3"/>
  <c r="B1324" i="3"/>
  <c r="D1324" i="3" s="1"/>
  <c r="N1320" i="4"/>
  <c r="J1320" i="4"/>
  <c r="K1320" i="4" s="1"/>
  <c r="L1320" i="4" s="1"/>
  <c r="M1320" i="4" s="1"/>
  <c r="G1320" i="4"/>
  <c r="H1320" i="4" s="1"/>
  <c r="B1325" i="3"/>
  <c r="D1325" i="3" s="1"/>
  <c r="E1325" i="3"/>
  <c r="C1325" i="3"/>
  <c r="G1321" i="4"/>
  <c r="I1321" i="4" s="1"/>
  <c r="N1321" i="4"/>
  <c r="J1321" i="4"/>
  <c r="K1321" i="4" s="1"/>
  <c r="L1321" i="4" s="1"/>
  <c r="M1321" i="4" s="1"/>
  <c r="E1326" i="3"/>
  <c r="B1326" i="3"/>
  <c r="D1326" i="3" s="1"/>
  <c r="N1322" i="4"/>
  <c r="J1322" i="4"/>
  <c r="K1322" i="4" s="1"/>
  <c r="L1322" i="4" s="1"/>
  <c r="M1322" i="4" s="1"/>
  <c r="G1322" i="4"/>
  <c r="H1322" i="4" s="1"/>
  <c r="B1327" i="3"/>
  <c r="D1327" i="3" s="1"/>
  <c r="E1327" i="3"/>
  <c r="G1323" i="4"/>
  <c r="I1323" i="4" s="1"/>
  <c r="N1323" i="4"/>
  <c r="J1323" i="4"/>
  <c r="K1323" i="4" s="1"/>
  <c r="L1323" i="4" s="1"/>
  <c r="M1323" i="4" s="1"/>
  <c r="E1328" i="3"/>
  <c r="B1328" i="3"/>
  <c r="D1328" i="3" s="1"/>
  <c r="N1324" i="4"/>
  <c r="J1324" i="4"/>
  <c r="K1324" i="4"/>
  <c r="L1324" i="4" s="1"/>
  <c r="M1324" i="4" s="1"/>
  <c r="G1324" i="4"/>
  <c r="H1324" i="4" s="1"/>
  <c r="I1324" i="4"/>
  <c r="B1329" i="3"/>
  <c r="D1329" i="3" s="1"/>
  <c r="E1329" i="3"/>
  <c r="C1329" i="3"/>
  <c r="I1325" i="4"/>
  <c r="G1325" i="4"/>
  <c r="N1325" i="4"/>
  <c r="J1325" i="4"/>
  <c r="K1325" i="4" s="1"/>
  <c r="L1325" i="4" s="1"/>
  <c r="M1325" i="4" s="1"/>
  <c r="H1325" i="4"/>
  <c r="E1330" i="3"/>
  <c r="B1330" i="3"/>
  <c r="D1330" i="3" s="1"/>
  <c r="N1326" i="4"/>
  <c r="J1326" i="4"/>
  <c r="K1326" i="4" s="1"/>
  <c r="L1326" i="4" s="1"/>
  <c r="M1326" i="4" s="1"/>
  <c r="G1326" i="4"/>
  <c r="H1326" i="4" s="1"/>
  <c r="B1331" i="3"/>
  <c r="D1331" i="3" s="1"/>
  <c r="E1331" i="3"/>
  <c r="I1327" i="4"/>
  <c r="G1327" i="4"/>
  <c r="H1327" i="4"/>
  <c r="N1327" i="4"/>
  <c r="J1327" i="4"/>
  <c r="K1327" i="4" s="1"/>
  <c r="L1327" i="4" s="1"/>
  <c r="M1327" i="4" s="1"/>
  <c r="E1332" i="3"/>
  <c r="B1332" i="3"/>
  <c r="D1332" i="3" s="1"/>
  <c r="N1328" i="4"/>
  <c r="J1328" i="4"/>
  <c r="K1328" i="4" s="1"/>
  <c r="L1328" i="4" s="1"/>
  <c r="M1328" i="4" s="1"/>
  <c r="G1328" i="4"/>
  <c r="H1328" i="4" s="1"/>
  <c r="B1333" i="3"/>
  <c r="D1333" i="3" s="1"/>
  <c r="E1333" i="3"/>
  <c r="C1333" i="3"/>
  <c r="G1329" i="4"/>
  <c r="I1329" i="4" s="1"/>
  <c r="N1329" i="4"/>
  <c r="J1329" i="4"/>
  <c r="K1329" i="4" s="1"/>
  <c r="L1329" i="4" s="1"/>
  <c r="M1329" i="4" s="1"/>
  <c r="E1334" i="3"/>
  <c r="B1334" i="3"/>
  <c r="D1334" i="3" s="1"/>
  <c r="N1330" i="4"/>
  <c r="J1330" i="4"/>
  <c r="K1330" i="4" s="1"/>
  <c r="L1330" i="4" s="1"/>
  <c r="M1330" i="4" s="1"/>
  <c r="G1330" i="4"/>
  <c r="H1330" i="4" s="1"/>
  <c r="B1335" i="3"/>
  <c r="D1335" i="3" s="1"/>
  <c r="E1335" i="3"/>
  <c r="G1331" i="4"/>
  <c r="I1331" i="4" s="1"/>
  <c r="N1331" i="4"/>
  <c r="J1331" i="4"/>
  <c r="K1331" i="4" s="1"/>
  <c r="L1331" i="4" s="1"/>
  <c r="M1331" i="4" s="1"/>
  <c r="E1336" i="3"/>
  <c r="B1336" i="3"/>
  <c r="D1336" i="3" s="1"/>
  <c r="N1332" i="4"/>
  <c r="J1332" i="4"/>
  <c r="K1332" i="4"/>
  <c r="L1332" i="4" s="1"/>
  <c r="M1332" i="4" s="1"/>
  <c r="G1332" i="4"/>
  <c r="H1332" i="4" s="1"/>
  <c r="I1332" i="4"/>
  <c r="B1337" i="3"/>
  <c r="D1337" i="3" s="1"/>
  <c r="E1337" i="3"/>
  <c r="C1337" i="3"/>
  <c r="I1333" i="4"/>
  <c r="G1333" i="4"/>
  <c r="N1333" i="4"/>
  <c r="J1333" i="4"/>
  <c r="K1333" i="4" s="1"/>
  <c r="L1333" i="4" s="1"/>
  <c r="M1333" i="4" s="1"/>
  <c r="H1333" i="4"/>
  <c r="E1338" i="3"/>
  <c r="B1338" i="3"/>
  <c r="D1338" i="3" s="1"/>
  <c r="N1334" i="4"/>
  <c r="J1334" i="4"/>
  <c r="K1334" i="4" s="1"/>
  <c r="L1334" i="4" s="1"/>
  <c r="M1334" i="4" s="1"/>
  <c r="G1334" i="4"/>
  <c r="H1334" i="4" s="1"/>
  <c r="B1339" i="3"/>
  <c r="D1339" i="3" s="1"/>
  <c r="E1339" i="3"/>
  <c r="I1335" i="4"/>
  <c r="G1335" i="4"/>
  <c r="H1335" i="4"/>
  <c r="N1335" i="4"/>
  <c r="J1335" i="4"/>
  <c r="K1335" i="4" s="1"/>
  <c r="L1335" i="4" s="1"/>
  <c r="M1335" i="4" s="1"/>
  <c r="E1340" i="3"/>
  <c r="B1340" i="3"/>
  <c r="D1340" i="3" s="1"/>
  <c r="N1336" i="4"/>
  <c r="J1336" i="4"/>
  <c r="K1336" i="4" s="1"/>
  <c r="L1336" i="4" s="1"/>
  <c r="M1336" i="4" s="1"/>
  <c r="G1336" i="4"/>
  <c r="H1336" i="4" s="1"/>
  <c r="B1341" i="3"/>
  <c r="D1341" i="3" s="1"/>
  <c r="E1341" i="3"/>
  <c r="C1341" i="3"/>
  <c r="G1337" i="4"/>
  <c r="I1337" i="4" s="1"/>
  <c r="N1337" i="4"/>
  <c r="J1337" i="4"/>
  <c r="K1337" i="4" s="1"/>
  <c r="L1337" i="4" s="1"/>
  <c r="M1337" i="4" s="1"/>
  <c r="E1342" i="3"/>
  <c r="B1342" i="3"/>
  <c r="D1342" i="3" s="1"/>
  <c r="N1338" i="4"/>
  <c r="J1338" i="4"/>
  <c r="K1338" i="4" s="1"/>
  <c r="L1338" i="4" s="1"/>
  <c r="M1338" i="4" s="1"/>
  <c r="G1338" i="4"/>
  <c r="H1338" i="4" s="1"/>
  <c r="B1343" i="3"/>
  <c r="D1343" i="3" s="1"/>
  <c r="E1343" i="3"/>
  <c r="G1339" i="4"/>
  <c r="I1339" i="4" s="1"/>
  <c r="N1339" i="4"/>
  <c r="J1339" i="4"/>
  <c r="K1339" i="4" s="1"/>
  <c r="L1339" i="4" s="1"/>
  <c r="M1339" i="4" s="1"/>
  <c r="E1344" i="3"/>
  <c r="B1344" i="3"/>
  <c r="D1344" i="3" s="1"/>
  <c r="N1340" i="4"/>
  <c r="J1340" i="4"/>
  <c r="K1340" i="4"/>
  <c r="L1340" i="4" s="1"/>
  <c r="M1340" i="4" s="1"/>
  <c r="G1340" i="4"/>
  <c r="H1340" i="4" s="1"/>
  <c r="I1340" i="4"/>
  <c r="B1345" i="3"/>
  <c r="D1345" i="3" s="1"/>
  <c r="E1345" i="3"/>
  <c r="C1345" i="3"/>
  <c r="I1341" i="4"/>
  <c r="G1341" i="4"/>
  <c r="N1341" i="4"/>
  <c r="J1341" i="4"/>
  <c r="K1341" i="4" s="1"/>
  <c r="L1341" i="4" s="1"/>
  <c r="M1341" i="4" s="1"/>
  <c r="H1341" i="4"/>
  <c r="E1346" i="3"/>
  <c r="B1346" i="3"/>
  <c r="D1346" i="3" s="1"/>
  <c r="N1342" i="4"/>
  <c r="J1342" i="4"/>
  <c r="K1342" i="4" s="1"/>
  <c r="L1342" i="4" s="1"/>
  <c r="M1342" i="4" s="1"/>
  <c r="G1342" i="4"/>
  <c r="H1342" i="4" s="1"/>
  <c r="B1347" i="3"/>
  <c r="D1347" i="3" s="1"/>
  <c r="E1347" i="3"/>
  <c r="C1347" i="3"/>
  <c r="G1343" i="4"/>
  <c r="I1343" i="4" s="1"/>
  <c r="N1343" i="4"/>
  <c r="J1343" i="4"/>
  <c r="K1343" i="4" s="1"/>
  <c r="L1343" i="4" s="1"/>
  <c r="M1343" i="4" s="1"/>
  <c r="E1348" i="3"/>
  <c r="B1348" i="3"/>
  <c r="D1348" i="3" s="1"/>
  <c r="N1344" i="4"/>
  <c r="J1344" i="4"/>
  <c r="K1344" i="4"/>
  <c r="L1344" i="4" s="1"/>
  <c r="M1344" i="4" s="1"/>
  <c r="G1344" i="4"/>
  <c r="H1344" i="4" s="1"/>
  <c r="I1344" i="4"/>
  <c r="B1349" i="3"/>
  <c r="D1349" i="3" s="1"/>
  <c r="E1349" i="3"/>
  <c r="C1349" i="3"/>
  <c r="I1345" i="4"/>
  <c r="G1345" i="4"/>
  <c r="N1345" i="4"/>
  <c r="J1345" i="4"/>
  <c r="K1345" i="4" s="1"/>
  <c r="L1345" i="4" s="1"/>
  <c r="M1345" i="4" s="1"/>
  <c r="H1345" i="4"/>
  <c r="E1350" i="3"/>
  <c r="B1350" i="3"/>
  <c r="D1350" i="3" s="1"/>
  <c r="N1346" i="4"/>
  <c r="J1346" i="4"/>
  <c r="K1346" i="4" s="1"/>
  <c r="L1346" i="4" s="1"/>
  <c r="M1346" i="4" s="1"/>
  <c r="G1346" i="4"/>
  <c r="H1346" i="4" s="1"/>
  <c r="B1351" i="3"/>
  <c r="D1351" i="3" s="1"/>
  <c r="E1351" i="3"/>
  <c r="I1347" i="4"/>
  <c r="G1347" i="4"/>
  <c r="H1347" i="4"/>
  <c r="N1347" i="4"/>
  <c r="J1347" i="4"/>
  <c r="K1347" i="4" s="1"/>
  <c r="L1347" i="4" s="1"/>
  <c r="M1347" i="4" s="1"/>
  <c r="E1352" i="3"/>
  <c r="B1352" i="3"/>
  <c r="D1352" i="3" s="1"/>
  <c r="N1348" i="4"/>
  <c r="J1348" i="4"/>
  <c r="K1348" i="4" s="1"/>
  <c r="L1348" i="4" s="1"/>
  <c r="M1348" i="4" s="1"/>
  <c r="G1348" i="4"/>
  <c r="H1348" i="4" s="1"/>
  <c r="I1348" i="4"/>
  <c r="B1353" i="3"/>
  <c r="D1353" i="3" s="1"/>
  <c r="E1353" i="3"/>
  <c r="C1353" i="3"/>
  <c r="I1349" i="4"/>
  <c r="G1349" i="4"/>
  <c r="N1349" i="4"/>
  <c r="J1349" i="4"/>
  <c r="K1349" i="4" s="1"/>
  <c r="L1349" i="4" s="1"/>
  <c r="M1349" i="4" s="1"/>
  <c r="H1349" i="4"/>
  <c r="E1354" i="3"/>
  <c r="B1354" i="3"/>
  <c r="D1354" i="3" s="1"/>
  <c r="N1350" i="4"/>
  <c r="J1350" i="4"/>
  <c r="K1350" i="4" s="1"/>
  <c r="L1350" i="4" s="1"/>
  <c r="M1350" i="4" s="1"/>
  <c r="G1350" i="4"/>
  <c r="H1350" i="4" s="1"/>
  <c r="B1355" i="3"/>
  <c r="D1355" i="3" s="1"/>
  <c r="E1355" i="3"/>
  <c r="I1351" i="4"/>
  <c r="G1351" i="4"/>
  <c r="H1351" i="4"/>
  <c r="N1351" i="4"/>
  <c r="J1351" i="4"/>
  <c r="K1351" i="4" s="1"/>
  <c r="L1351" i="4" s="1"/>
  <c r="M1351" i="4" s="1"/>
  <c r="E1356" i="3"/>
  <c r="B1356" i="3"/>
  <c r="D1356" i="3" s="1"/>
  <c r="N1352" i="4"/>
  <c r="J1352" i="4"/>
  <c r="K1352" i="4" s="1"/>
  <c r="L1352" i="4" s="1"/>
  <c r="M1352" i="4" s="1"/>
  <c r="G1352" i="4"/>
  <c r="H1352" i="4" s="1"/>
  <c r="B1357" i="3"/>
  <c r="D1357" i="3" s="1"/>
  <c r="E1357" i="3"/>
  <c r="C1357" i="3"/>
  <c r="G1353" i="4"/>
  <c r="I1353" i="4" s="1"/>
  <c r="N1353" i="4"/>
  <c r="J1353" i="4"/>
  <c r="K1353" i="4" s="1"/>
  <c r="L1353" i="4" s="1"/>
  <c r="M1353" i="4" s="1"/>
  <c r="E1358" i="3"/>
  <c r="B1358" i="3"/>
  <c r="D1358" i="3" s="1"/>
  <c r="N1354" i="4"/>
  <c r="J1354" i="4"/>
  <c r="K1354" i="4" s="1"/>
  <c r="L1354" i="4" s="1"/>
  <c r="M1354" i="4" s="1"/>
  <c r="G1354" i="4"/>
  <c r="H1354" i="4" s="1"/>
  <c r="B1359" i="3"/>
  <c r="D1359" i="3" s="1"/>
  <c r="E1359" i="3"/>
  <c r="G1355" i="4"/>
  <c r="I1355" i="4" s="1"/>
  <c r="N1355" i="4"/>
  <c r="J1355" i="4"/>
  <c r="K1355" i="4" s="1"/>
  <c r="L1355" i="4" s="1"/>
  <c r="M1355" i="4" s="1"/>
  <c r="E1360" i="3"/>
  <c r="B1360" i="3"/>
  <c r="D1360" i="3" s="1"/>
  <c r="N1356" i="4"/>
  <c r="J1356" i="4"/>
  <c r="K1356" i="4" s="1"/>
  <c r="L1356" i="4" s="1"/>
  <c r="M1356" i="4" s="1"/>
  <c r="G1356" i="4"/>
  <c r="H1356" i="4" s="1"/>
  <c r="B1361" i="3"/>
  <c r="D1361" i="3" s="1"/>
  <c r="E1361" i="3"/>
  <c r="C1361" i="3"/>
  <c r="G1357" i="4"/>
  <c r="I1357" i="4" s="1"/>
  <c r="N1357" i="4"/>
  <c r="J1357" i="4"/>
  <c r="K1357" i="4" s="1"/>
  <c r="L1357" i="4" s="1"/>
  <c r="M1357" i="4" s="1"/>
  <c r="E1362" i="3"/>
  <c r="B1362" i="3"/>
  <c r="D1362" i="3" s="1"/>
  <c r="N1358" i="4"/>
  <c r="J1358" i="4"/>
  <c r="K1358" i="4" s="1"/>
  <c r="L1358" i="4" s="1"/>
  <c r="M1358" i="4" s="1"/>
  <c r="G1358" i="4"/>
  <c r="H1358" i="4" s="1"/>
  <c r="B1363" i="3"/>
  <c r="D1363" i="3" s="1"/>
  <c r="E1363" i="3"/>
  <c r="C1363" i="3"/>
  <c r="I1359" i="4"/>
  <c r="G1359" i="4"/>
  <c r="H1359" i="4"/>
  <c r="N1359" i="4"/>
  <c r="J1359" i="4"/>
  <c r="K1359" i="4" s="1"/>
  <c r="L1359" i="4" s="1"/>
  <c r="M1359" i="4" s="1"/>
  <c r="E1364" i="3"/>
  <c r="B1364" i="3"/>
  <c r="D1364" i="3" s="1"/>
  <c r="N1360" i="4"/>
  <c r="J1360" i="4"/>
  <c r="K1360" i="4" s="1"/>
  <c r="L1360" i="4" s="1"/>
  <c r="M1360" i="4" s="1"/>
  <c r="G1360" i="4"/>
  <c r="H1360" i="4" s="1"/>
  <c r="B1365" i="3"/>
  <c r="D1365" i="3" s="1"/>
  <c r="E1365" i="3"/>
  <c r="C1365" i="3"/>
  <c r="G1361" i="4"/>
  <c r="I1361" i="4" s="1"/>
  <c r="N1361" i="4"/>
  <c r="J1361" i="4"/>
  <c r="K1361" i="4" s="1"/>
  <c r="L1361" i="4" s="1"/>
  <c r="M1361" i="4" s="1"/>
  <c r="E1366" i="3"/>
  <c r="B1366" i="3"/>
  <c r="D1366" i="3" s="1"/>
  <c r="N1362" i="4"/>
  <c r="J1362" i="4"/>
  <c r="K1362" i="4" s="1"/>
  <c r="L1362" i="4" s="1"/>
  <c r="M1362" i="4" s="1"/>
  <c r="G1362" i="4"/>
  <c r="H1362" i="4" s="1"/>
  <c r="B1367" i="3"/>
  <c r="D1367" i="3" s="1"/>
  <c r="E1367" i="3"/>
  <c r="G1363" i="4"/>
  <c r="I1363" i="4" s="1"/>
  <c r="N1363" i="4"/>
  <c r="J1363" i="4"/>
  <c r="K1363" i="4" s="1"/>
  <c r="L1363" i="4" s="1"/>
  <c r="M1363" i="4" s="1"/>
  <c r="E1368" i="3"/>
  <c r="B1368" i="3"/>
  <c r="D1368" i="3" s="1"/>
  <c r="N1364" i="4"/>
  <c r="J1364" i="4"/>
  <c r="K1364" i="4" s="1"/>
  <c r="L1364" i="4" s="1"/>
  <c r="M1364" i="4" s="1"/>
  <c r="G1364" i="4"/>
  <c r="H1364" i="4" s="1"/>
  <c r="B1369" i="3"/>
  <c r="D1369" i="3" s="1"/>
  <c r="E1369" i="3"/>
  <c r="C1369" i="3"/>
  <c r="G1365" i="4"/>
  <c r="I1365" i="4" s="1"/>
  <c r="N1365" i="4"/>
  <c r="J1365" i="4"/>
  <c r="K1365" i="4" s="1"/>
  <c r="L1365" i="4" s="1"/>
  <c r="M1365" i="4" s="1"/>
  <c r="E1370" i="3"/>
  <c r="B1370" i="3"/>
  <c r="D1370" i="3" s="1"/>
  <c r="N1366" i="4"/>
  <c r="J1366" i="4"/>
  <c r="K1366" i="4" s="1"/>
  <c r="L1366" i="4" s="1"/>
  <c r="M1366" i="4" s="1"/>
  <c r="G1366" i="4"/>
  <c r="H1366" i="4" s="1"/>
  <c r="B1371" i="3"/>
  <c r="D1371" i="3" s="1"/>
  <c r="E1371" i="3"/>
  <c r="C1371" i="3"/>
  <c r="I1367" i="4"/>
  <c r="G1367" i="4"/>
  <c r="H1367" i="4"/>
  <c r="N1367" i="4"/>
  <c r="J1367" i="4"/>
  <c r="K1367" i="4" s="1"/>
  <c r="L1367" i="4" s="1"/>
  <c r="M1367" i="4" s="1"/>
  <c r="E1372" i="3"/>
  <c r="B1372" i="3"/>
  <c r="D1372" i="3" s="1"/>
  <c r="N1368" i="4"/>
  <c r="J1368" i="4"/>
  <c r="K1368" i="4" s="1"/>
  <c r="L1368" i="4" s="1"/>
  <c r="M1368" i="4" s="1"/>
  <c r="G1368" i="4"/>
  <c r="H1368" i="4" s="1"/>
  <c r="B1373" i="3"/>
  <c r="D1373" i="3" s="1"/>
  <c r="E1373" i="3"/>
  <c r="C1373" i="3"/>
  <c r="G1369" i="4"/>
  <c r="I1369" i="4" s="1"/>
  <c r="N1369" i="4"/>
  <c r="J1369" i="4"/>
  <c r="K1369" i="4" s="1"/>
  <c r="L1369" i="4" s="1"/>
  <c r="M1369" i="4" s="1"/>
  <c r="E1374" i="3"/>
  <c r="B1374" i="3"/>
  <c r="D1374" i="3" s="1"/>
  <c r="N1370" i="4"/>
  <c r="J1370" i="4"/>
  <c r="K1370" i="4" s="1"/>
  <c r="L1370" i="4" s="1"/>
  <c r="M1370" i="4" s="1"/>
  <c r="G1370" i="4"/>
  <c r="H1370" i="4" s="1"/>
  <c r="B1375" i="3"/>
  <c r="D1375" i="3" s="1"/>
  <c r="E1375" i="3"/>
  <c r="G1371" i="4"/>
  <c r="I1371" i="4" s="1"/>
  <c r="N1371" i="4"/>
  <c r="J1371" i="4"/>
  <c r="K1371" i="4" s="1"/>
  <c r="L1371" i="4" s="1"/>
  <c r="M1371" i="4" s="1"/>
  <c r="E1376" i="3"/>
  <c r="B1376" i="3"/>
  <c r="D1376" i="3" s="1"/>
  <c r="N1372" i="4"/>
  <c r="J1372" i="4"/>
  <c r="K1372" i="4" s="1"/>
  <c r="L1372" i="4" s="1"/>
  <c r="M1372" i="4" s="1"/>
  <c r="G1372" i="4"/>
  <c r="H1372" i="4" s="1"/>
  <c r="B1377" i="3"/>
  <c r="D1377" i="3" s="1"/>
  <c r="E1377" i="3"/>
  <c r="C1377" i="3"/>
  <c r="G1373" i="4"/>
  <c r="I1373" i="4" s="1"/>
  <c r="N1373" i="4"/>
  <c r="J1373" i="4"/>
  <c r="K1373" i="4" s="1"/>
  <c r="L1373" i="4" s="1"/>
  <c r="M1373" i="4" s="1"/>
  <c r="E1378" i="3"/>
  <c r="B1378" i="3"/>
  <c r="D1378" i="3" s="1"/>
  <c r="N1374" i="4"/>
  <c r="J1374" i="4"/>
  <c r="K1374" i="4" s="1"/>
  <c r="L1374" i="4" s="1"/>
  <c r="M1374" i="4" s="1"/>
  <c r="G1374" i="4"/>
  <c r="H1374" i="4" s="1"/>
  <c r="B1379" i="3"/>
  <c r="D1379" i="3" s="1"/>
  <c r="E1379" i="3"/>
  <c r="C1379" i="3"/>
  <c r="I1375" i="4"/>
  <c r="G1375" i="4"/>
  <c r="H1375" i="4"/>
  <c r="N1375" i="4"/>
  <c r="J1375" i="4"/>
  <c r="K1375" i="4" s="1"/>
  <c r="L1375" i="4" s="1"/>
  <c r="M1375" i="4" s="1"/>
  <c r="E1380" i="3"/>
  <c r="B1380" i="3"/>
  <c r="D1380" i="3" s="1"/>
  <c r="N1376" i="4"/>
  <c r="J1376" i="4"/>
  <c r="K1376" i="4" s="1"/>
  <c r="L1376" i="4" s="1"/>
  <c r="M1376" i="4" s="1"/>
  <c r="G1376" i="4"/>
  <c r="H1376" i="4" s="1"/>
  <c r="B1381" i="3"/>
  <c r="D1381" i="3" s="1"/>
  <c r="E1381" i="3"/>
  <c r="C1381" i="3"/>
  <c r="G1377" i="4"/>
  <c r="I1377" i="4" s="1"/>
  <c r="N1377" i="4"/>
  <c r="J1377" i="4"/>
  <c r="K1377" i="4" s="1"/>
  <c r="L1377" i="4" s="1"/>
  <c r="M1377" i="4" s="1"/>
  <c r="E1382" i="3"/>
  <c r="B1382" i="3"/>
  <c r="D1382" i="3" s="1"/>
  <c r="N1378" i="4"/>
  <c r="J1378" i="4"/>
  <c r="K1378" i="4" s="1"/>
  <c r="L1378" i="4" s="1"/>
  <c r="M1378" i="4" s="1"/>
  <c r="G1378" i="4"/>
  <c r="H1378" i="4" s="1"/>
  <c r="B1383" i="3"/>
  <c r="D1383" i="3" s="1"/>
  <c r="E1383" i="3"/>
  <c r="G1379" i="4"/>
  <c r="I1379" i="4" s="1"/>
  <c r="N1379" i="4"/>
  <c r="J1379" i="4"/>
  <c r="K1379" i="4" s="1"/>
  <c r="L1379" i="4" s="1"/>
  <c r="M1379" i="4" s="1"/>
  <c r="E1384" i="3"/>
  <c r="B1384" i="3"/>
  <c r="D1384" i="3" s="1"/>
  <c r="N1380" i="4"/>
  <c r="J1380" i="4"/>
  <c r="K1380" i="4"/>
  <c r="L1380" i="4" s="1"/>
  <c r="M1380" i="4" s="1"/>
  <c r="G1380" i="4"/>
  <c r="H1380" i="4" s="1"/>
  <c r="I1380" i="4"/>
  <c r="B1385" i="3"/>
  <c r="D1385" i="3" s="1"/>
  <c r="E1385" i="3"/>
  <c r="C1385" i="3"/>
  <c r="I1381" i="4"/>
  <c r="G1381" i="4"/>
  <c r="N1381" i="4"/>
  <c r="J1381" i="4"/>
  <c r="K1381" i="4" s="1"/>
  <c r="L1381" i="4" s="1"/>
  <c r="M1381" i="4" s="1"/>
  <c r="H1381" i="4"/>
  <c r="E1386" i="3"/>
  <c r="B1386" i="3"/>
  <c r="D1386" i="3" s="1"/>
  <c r="N1382" i="4"/>
  <c r="J1382" i="4"/>
  <c r="K1382" i="4" s="1"/>
  <c r="L1382" i="4" s="1"/>
  <c r="M1382" i="4" s="1"/>
  <c r="G1382" i="4"/>
  <c r="H1382" i="4" s="1"/>
  <c r="B1387" i="3"/>
  <c r="D1387" i="3" s="1"/>
  <c r="E1387" i="3"/>
  <c r="I1383" i="4"/>
  <c r="G1383" i="4"/>
  <c r="H1383" i="4"/>
  <c r="J1383" i="4"/>
  <c r="K1383" i="4" s="1"/>
  <c r="L1383" i="4" s="1"/>
  <c r="M1383" i="4" s="1"/>
  <c r="N1383" i="4"/>
  <c r="E1388" i="3"/>
  <c r="B1388" i="3"/>
  <c r="D1388" i="3" s="1"/>
  <c r="N1384" i="4"/>
  <c r="J1384" i="4"/>
  <c r="K1384" i="4" s="1"/>
  <c r="L1384" i="4" s="1"/>
  <c r="M1384" i="4" s="1"/>
  <c r="G1384" i="4"/>
  <c r="H1384" i="4" s="1"/>
  <c r="I1384" i="4"/>
  <c r="B1389" i="3"/>
  <c r="D1389" i="3" s="1"/>
  <c r="E1389" i="3"/>
  <c r="C1389" i="3"/>
  <c r="I1385" i="4"/>
  <c r="G1385" i="4"/>
  <c r="N1385" i="4"/>
  <c r="J1385" i="4"/>
  <c r="K1385" i="4" s="1"/>
  <c r="L1385" i="4" s="1"/>
  <c r="M1385" i="4" s="1"/>
  <c r="H1385" i="4"/>
  <c r="E1390" i="3"/>
  <c r="B1390" i="3"/>
  <c r="D1390" i="3" s="1"/>
  <c r="N1386" i="4"/>
  <c r="J1386" i="4"/>
  <c r="K1386" i="4" s="1"/>
  <c r="L1386" i="4" s="1"/>
  <c r="M1386" i="4" s="1"/>
  <c r="G1386" i="4"/>
  <c r="H1386" i="4" s="1"/>
  <c r="B1391" i="3"/>
  <c r="D1391" i="3" s="1"/>
  <c r="E1391" i="3"/>
  <c r="C1391" i="3"/>
  <c r="G1387" i="4"/>
  <c r="I1387" i="4" s="1"/>
  <c r="N1387" i="4"/>
  <c r="J1387" i="4"/>
  <c r="K1387" i="4" s="1"/>
  <c r="L1387" i="4" s="1"/>
  <c r="M1387" i="4" s="1"/>
  <c r="E1392" i="3"/>
  <c r="B1392" i="3"/>
  <c r="D1392" i="3" s="1"/>
  <c r="N1388" i="4"/>
  <c r="J1388" i="4"/>
  <c r="K1388" i="4" s="1"/>
  <c r="L1388" i="4" s="1"/>
  <c r="M1388" i="4" s="1"/>
  <c r="G1388" i="4"/>
  <c r="H1388" i="4" s="1"/>
  <c r="B1393" i="3"/>
  <c r="D1393" i="3" s="1"/>
  <c r="E1393" i="3"/>
  <c r="C1393" i="3"/>
  <c r="G1389" i="4"/>
  <c r="I1389" i="4" s="1"/>
  <c r="N1389" i="4"/>
  <c r="J1389" i="4"/>
  <c r="K1389" i="4" s="1"/>
  <c r="L1389" i="4" s="1"/>
  <c r="M1389" i="4" s="1"/>
  <c r="E1394" i="3"/>
  <c r="B1394" i="3"/>
  <c r="D1394" i="3" s="1"/>
  <c r="N1390" i="4"/>
  <c r="J1390" i="4"/>
  <c r="I1390" i="4"/>
  <c r="G1390" i="4"/>
  <c r="H1390" i="4" s="1"/>
  <c r="K1390" i="4"/>
  <c r="L1390" i="4" s="1"/>
  <c r="M1390" i="4" s="1"/>
  <c r="B1395" i="3"/>
  <c r="D1395" i="3" s="1"/>
  <c r="E1395" i="3"/>
  <c r="C1395" i="3"/>
  <c r="I1391" i="4"/>
  <c r="G1391" i="4"/>
  <c r="H1391" i="4"/>
  <c r="J1391" i="4"/>
  <c r="K1391" i="4" s="1"/>
  <c r="L1391" i="4" s="1"/>
  <c r="M1391" i="4" s="1"/>
  <c r="N1391" i="4"/>
  <c r="E1396" i="3"/>
  <c r="B1396" i="3"/>
  <c r="D1396" i="3" s="1"/>
  <c r="N1392" i="4"/>
  <c r="J1392" i="4"/>
  <c r="K1392" i="4" s="1"/>
  <c r="L1392" i="4" s="1"/>
  <c r="M1392" i="4" s="1"/>
  <c r="G1392" i="4"/>
  <c r="H1392" i="4" s="1"/>
  <c r="I1392" i="4"/>
  <c r="B1397" i="3"/>
  <c r="D1397" i="3" s="1"/>
  <c r="E1397" i="3"/>
  <c r="C1397" i="3"/>
  <c r="I1393" i="4"/>
  <c r="G1393" i="4"/>
  <c r="N1393" i="4"/>
  <c r="J1393" i="4"/>
  <c r="K1393" i="4" s="1"/>
  <c r="L1393" i="4" s="1"/>
  <c r="M1393" i="4" s="1"/>
  <c r="H1393" i="4"/>
  <c r="E1398" i="3"/>
  <c r="B1398" i="3"/>
  <c r="D1398" i="3" s="1"/>
  <c r="N1394" i="4"/>
  <c r="J1394" i="4"/>
  <c r="K1394" i="4" s="1"/>
  <c r="L1394" i="4" s="1"/>
  <c r="M1394" i="4" s="1"/>
  <c r="G1394" i="4"/>
  <c r="H1394" i="4" s="1"/>
  <c r="B1399" i="3"/>
  <c r="D1399" i="3" s="1"/>
  <c r="E1399" i="3"/>
  <c r="C1399" i="3"/>
  <c r="G1395" i="4"/>
  <c r="I1395" i="4" s="1"/>
  <c r="N1395" i="4"/>
  <c r="J1395" i="4"/>
  <c r="K1395" i="4" s="1"/>
  <c r="L1395" i="4" s="1"/>
  <c r="M1395" i="4" s="1"/>
  <c r="E1400" i="3"/>
  <c r="B1400" i="3"/>
  <c r="D1400" i="3" s="1"/>
  <c r="N1396" i="4"/>
  <c r="J1396" i="4"/>
  <c r="K1396" i="4"/>
  <c r="L1396" i="4" s="1"/>
  <c r="M1396" i="4" s="1"/>
  <c r="G1396" i="4"/>
  <c r="H1396" i="4" s="1"/>
  <c r="I1396" i="4"/>
  <c r="B1401" i="3"/>
  <c r="D1401" i="3" s="1"/>
  <c r="E1401" i="3"/>
  <c r="C1401" i="3"/>
  <c r="I1397" i="4"/>
  <c r="G1397" i="4"/>
  <c r="N1397" i="4"/>
  <c r="J1397" i="4"/>
  <c r="K1397" i="4" s="1"/>
  <c r="L1397" i="4" s="1"/>
  <c r="M1397" i="4" s="1"/>
  <c r="H1397" i="4"/>
  <c r="E1402" i="3"/>
  <c r="B1402" i="3"/>
  <c r="D1402" i="3" s="1"/>
  <c r="N1398" i="4"/>
  <c r="J1398" i="4"/>
  <c r="K1398" i="4" s="1"/>
  <c r="L1398" i="4" s="1"/>
  <c r="M1398" i="4" s="1"/>
  <c r="G1398" i="4"/>
  <c r="H1398" i="4" s="1"/>
  <c r="B1403" i="3"/>
  <c r="D1403" i="3" s="1"/>
  <c r="E1403" i="3"/>
  <c r="C1403" i="3"/>
  <c r="G1399" i="4"/>
  <c r="I1399" i="4" s="1"/>
  <c r="J1399" i="4"/>
  <c r="K1399" i="4" s="1"/>
  <c r="L1399" i="4" s="1"/>
  <c r="M1399" i="4" s="1"/>
  <c r="N1399" i="4"/>
  <c r="E1404" i="3"/>
  <c r="B1404" i="3"/>
  <c r="D1404" i="3" s="1"/>
  <c r="N1400" i="4"/>
  <c r="J1400" i="4"/>
  <c r="K1400" i="4"/>
  <c r="L1400" i="4" s="1"/>
  <c r="M1400" i="4" s="1"/>
  <c r="G1400" i="4"/>
  <c r="H1400" i="4" s="1"/>
  <c r="I1400" i="4"/>
  <c r="B1405" i="3"/>
  <c r="D1405" i="3" s="1"/>
  <c r="E1405" i="3"/>
  <c r="C1405" i="3"/>
  <c r="I1401" i="4"/>
  <c r="G1401" i="4"/>
  <c r="N1401" i="4"/>
  <c r="J1401" i="4"/>
  <c r="K1401" i="4" s="1"/>
  <c r="L1401" i="4" s="1"/>
  <c r="M1401" i="4" s="1"/>
  <c r="H1401" i="4"/>
  <c r="E1406" i="3"/>
  <c r="B1406" i="3"/>
  <c r="D1406" i="3" s="1"/>
  <c r="N1402" i="4"/>
  <c r="J1402" i="4"/>
  <c r="K1402" i="4" s="1"/>
  <c r="L1402" i="4" s="1"/>
  <c r="M1402" i="4" s="1"/>
  <c r="G1402" i="4"/>
  <c r="H1402" i="4" s="1"/>
  <c r="B1407" i="3"/>
  <c r="D1407" i="3" s="1"/>
  <c r="E1407" i="3"/>
  <c r="I1403" i="4"/>
  <c r="G1403" i="4"/>
  <c r="H1403" i="4"/>
  <c r="N1403" i="4"/>
  <c r="J1403" i="4"/>
  <c r="K1403" i="4" s="1"/>
  <c r="L1403" i="4" s="1"/>
  <c r="M1403" i="4" s="1"/>
  <c r="E1408" i="3"/>
  <c r="B1408" i="3"/>
  <c r="D1408" i="3" s="1"/>
  <c r="N1404" i="4"/>
  <c r="J1404" i="4"/>
  <c r="K1404" i="4" s="1"/>
  <c r="L1404" i="4" s="1"/>
  <c r="M1404" i="4" s="1"/>
  <c r="G1404" i="4"/>
  <c r="H1404" i="4" s="1"/>
  <c r="B1409" i="3"/>
  <c r="D1409" i="3" s="1"/>
  <c r="E1409" i="3"/>
  <c r="C1409" i="3"/>
  <c r="G1405" i="4"/>
  <c r="I1405" i="4" s="1"/>
  <c r="N1405" i="4"/>
  <c r="J1405" i="4"/>
  <c r="K1405" i="4" s="1"/>
  <c r="L1405" i="4" s="1"/>
  <c r="M1405" i="4" s="1"/>
  <c r="E1410" i="3"/>
  <c r="B1410" i="3"/>
  <c r="D1410" i="3" s="1"/>
  <c r="N1406" i="4"/>
  <c r="J1406" i="4"/>
  <c r="I1406" i="4"/>
  <c r="G1406" i="4"/>
  <c r="H1406" i="4" s="1"/>
  <c r="K1406" i="4"/>
  <c r="L1406" i="4" s="1"/>
  <c r="M1406" i="4" s="1"/>
  <c r="B1411" i="3"/>
  <c r="D1411" i="3" s="1"/>
  <c r="E1411" i="3"/>
  <c r="C1411" i="3"/>
  <c r="I1407" i="4"/>
  <c r="G1407" i="4"/>
  <c r="H1407" i="4"/>
  <c r="J1407" i="4"/>
  <c r="K1407" i="4" s="1"/>
  <c r="L1407" i="4" s="1"/>
  <c r="M1407" i="4" s="1"/>
  <c r="N1407" i="4"/>
  <c r="E1412" i="3"/>
  <c r="B1412" i="3"/>
  <c r="D1412" i="3" s="1"/>
  <c r="N1408" i="4"/>
  <c r="J1408" i="4"/>
  <c r="K1408" i="4" s="1"/>
  <c r="L1408" i="4" s="1"/>
  <c r="M1408" i="4" s="1"/>
  <c r="G1408" i="4"/>
  <c r="H1408" i="4" s="1"/>
  <c r="B1413" i="3"/>
  <c r="D1413" i="3" s="1"/>
  <c r="E1413" i="3"/>
  <c r="C1413" i="3"/>
  <c r="G1409" i="4"/>
  <c r="I1409" i="4" s="1"/>
  <c r="N1409" i="4"/>
  <c r="J1409" i="4"/>
  <c r="K1409" i="4" s="1"/>
  <c r="L1409" i="4" s="1"/>
  <c r="M1409" i="4" s="1"/>
  <c r="E1414" i="3"/>
  <c r="B1414" i="3"/>
  <c r="D1414" i="3" s="1"/>
  <c r="N1410" i="4"/>
  <c r="J1410" i="4"/>
  <c r="K1410" i="4" s="1"/>
  <c r="L1410" i="4" s="1"/>
  <c r="M1410" i="4" s="1"/>
  <c r="G1410" i="4"/>
  <c r="H1410" i="4" s="1"/>
  <c r="B1415" i="3"/>
  <c r="D1415" i="3" s="1"/>
  <c r="E1415" i="3"/>
  <c r="G1411" i="4"/>
  <c r="I1411" i="4" s="1"/>
  <c r="N1411" i="4"/>
  <c r="J1411" i="4"/>
  <c r="K1411" i="4" s="1"/>
  <c r="L1411" i="4" s="1"/>
  <c r="M1411" i="4" s="1"/>
  <c r="E1416" i="3"/>
  <c r="B1416" i="3"/>
  <c r="D1416" i="3" s="1"/>
  <c r="N1412" i="4"/>
  <c r="J1412" i="4"/>
  <c r="K1412" i="4" s="1"/>
  <c r="L1412" i="4" s="1"/>
  <c r="M1412" i="4" s="1"/>
  <c r="G1412" i="4"/>
  <c r="H1412" i="4" s="1"/>
  <c r="B1417" i="3"/>
  <c r="D1417" i="3" s="1"/>
  <c r="E1417" i="3"/>
  <c r="C1417" i="3"/>
  <c r="G1413" i="4"/>
  <c r="I1413" i="4" s="1"/>
  <c r="N1413" i="4"/>
  <c r="J1413" i="4"/>
  <c r="K1413" i="4" s="1"/>
  <c r="L1413" i="4" s="1"/>
  <c r="M1413" i="4" s="1"/>
  <c r="E1418" i="3"/>
  <c r="B1418" i="3"/>
  <c r="D1418" i="3" s="1"/>
  <c r="N1414" i="4"/>
  <c r="J1414" i="4"/>
  <c r="I1414" i="4"/>
  <c r="G1414" i="4"/>
  <c r="H1414" i="4" s="1"/>
  <c r="K1414" i="4"/>
  <c r="L1414" i="4" s="1"/>
  <c r="M1414" i="4" s="1"/>
  <c r="B1419" i="3"/>
  <c r="D1419" i="3" s="1"/>
  <c r="E1419" i="3"/>
  <c r="C1419" i="3"/>
  <c r="I1415" i="4"/>
  <c r="G1415" i="4"/>
  <c r="H1415" i="4"/>
  <c r="J1415" i="4"/>
  <c r="K1415" i="4" s="1"/>
  <c r="L1415" i="4" s="1"/>
  <c r="M1415" i="4" s="1"/>
  <c r="N1415" i="4"/>
  <c r="E1420" i="3"/>
  <c r="B1420" i="3"/>
  <c r="D1420" i="3" s="1"/>
  <c r="N1416" i="4"/>
  <c r="J1416" i="4"/>
  <c r="K1416" i="4" s="1"/>
  <c r="L1416" i="4" s="1"/>
  <c r="M1416" i="4" s="1"/>
  <c r="G1416" i="4"/>
  <c r="H1416" i="4" s="1"/>
  <c r="I1416" i="4"/>
  <c r="B1421" i="3"/>
  <c r="D1421" i="3" s="1"/>
  <c r="E1421" i="3"/>
  <c r="C1421" i="3"/>
  <c r="I1417" i="4"/>
  <c r="G1417" i="4"/>
  <c r="N1417" i="4"/>
  <c r="J1417" i="4"/>
  <c r="K1417" i="4" s="1"/>
  <c r="L1417" i="4" s="1"/>
  <c r="M1417" i="4" s="1"/>
  <c r="H1417" i="4"/>
  <c r="E1422" i="3"/>
  <c r="B1422" i="3"/>
  <c r="D1422" i="3" s="1"/>
  <c r="N1418" i="4"/>
  <c r="J1418" i="4"/>
  <c r="K1418" i="4" s="1"/>
  <c r="L1418" i="4" s="1"/>
  <c r="M1418" i="4" s="1"/>
  <c r="G1418" i="4"/>
  <c r="H1418" i="4" s="1"/>
  <c r="B1423" i="3"/>
  <c r="D1423" i="3" s="1"/>
  <c r="E1423" i="3"/>
  <c r="C1423" i="3"/>
  <c r="G1419" i="4"/>
  <c r="I1419" i="4" s="1"/>
  <c r="N1419" i="4"/>
  <c r="J1419" i="4"/>
  <c r="K1419" i="4" s="1"/>
  <c r="L1419" i="4" s="1"/>
  <c r="M1419" i="4" s="1"/>
  <c r="E1424" i="3"/>
  <c r="B1424" i="3"/>
  <c r="D1424" i="3" s="1"/>
  <c r="N1420" i="4"/>
  <c r="J1420" i="4"/>
  <c r="K1420" i="4"/>
  <c r="L1420" i="4" s="1"/>
  <c r="M1420" i="4" s="1"/>
  <c r="G1420" i="4"/>
  <c r="H1420" i="4" s="1"/>
  <c r="I1420" i="4"/>
  <c r="B1425" i="3"/>
  <c r="D1425" i="3" s="1"/>
  <c r="E1425" i="3"/>
  <c r="C1425" i="3"/>
  <c r="I1421" i="4"/>
  <c r="G1421" i="4"/>
  <c r="N1421" i="4"/>
  <c r="J1421" i="4"/>
  <c r="K1421" i="4" s="1"/>
  <c r="L1421" i="4" s="1"/>
  <c r="M1421" i="4" s="1"/>
  <c r="H1421" i="4"/>
  <c r="E1426" i="3"/>
  <c r="B1426" i="3"/>
  <c r="D1426" i="3" s="1"/>
  <c r="N1422" i="4"/>
  <c r="J1422" i="4"/>
  <c r="K1422" i="4" s="1"/>
  <c r="L1422" i="4" s="1"/>
  <c r="M1422" i="4" s="1"/>
  <c r="G1422" i="4"/>
  <c r="H1422" i="4" s="1"/>
  <c r="B1427" i="3"/>
  <c r="D1427" i="3" s="1"/>
  <c r="E1427" i="3"/>
  <c r="C1427" i="3"/>
  <c r="G1423" i="4"/>
  <c r="I1423" i="4" s="1"/>
  <c r="J1423" i="4"/>
  <c r="K1423" i="4" s="1"/>
  <c r="L1423" i="4" s="1"/>
  <c r="M1423" i="4" s="1"/>
  <c r="N1423" i="4"/>
  <c r="E1428" i="3"/>
  <c r="B1428" i="3"/>
  <c r="D1428" i="3" s="1"/>
  <c r="N1424" i="4"/>
  <c r="J1424" i="4"/>
  <c r="K1424" i="4"/>
  <c r="L1424" i="4" s="1"/>
  <c r="M1424" i="4" s="1"/>
  <c r="G1424" i="4"/>
  <c r="H1424" i="4" s="1"/>
  <c r="I1424" i="4"/>
  <c r="B1429" i="3"/>
  <c r="D1429" i="3" s="1"/>
  <c r="E1429" i="3"/>
  <c r="C1429" i="3"/>
  <c r="I1425" i="4"/>
  <c r="G1425" i="4"/>
  <c r="N1425" i="4"/>
  <c r="J1425" i="4"/>
  <c r="K1425" i="4" s="1"/>
  <c r="L1425" i="4" s="1"/>
  <c r="M1425" i="4" s="1"/>
  <c r="H1425" i="4"/>
  <c r="E1430" i="3"/>
  <c r="B1430" i="3"/>
  <c r="D1430" i="3" s="1"/>
  <c r="N1426" i="4"/>
  <c r="J1426" i="4"/>
  <c r="K1426" i="4" s="1"/>
  <c r="L1426" i="4" s="1"/>
  <c r="M1426" i="4" s="1"/>
  <c r="G1426" i="4"/>
  <c r="H1426" i="4" s="1"/>
  <c r="B1431" i="3"/>
  <c r="D1431" i="3" s="1"/>
  <c r="E1431" i="3"/>
  <c r="C1431" i="3"/>
  <c r="G1427" i="4"/>
  <c r="I1427" i="4" s="1"/>
  <c r="N1427" i="4"/>
  <c r="J1427" i="4"/>
  <c r="K1427" i="4" s="1"/>
  <c r="L1427" i="4" s="1"/>
  <c r="M1427" i="4" s="1"/>
  <c r="E1432" i="3"/>
  <c r="B1432" i="3"/>
  <c r="D1432" i="3" s="1"/>
  <c r="N1428" i="4"/>
  <c r="J1428" i="4"/>
  <c r="K1428" i="4"/>
  <c r="L1428" i="4" s="1"/>
  <c r="M1428" i="4" s="1"/>
  <c r="G1428" i="4"/>
  <c r="H1428" i="4" s="1"/>
  <c r="I1428" i="4"/>
  <c r="B1433" i="3"/>
  <c r="D1433" i="3" s="1"/>
  <c r="E1433" i="3"/>
  <c r="C1433" i="3"/>
  <c r="I1429" i="4"/>
  <c r="G1429" i="4"/>
  <c r="N1429" i="4"/>
  <c r="J1429" i="4"/>
  <c r="K1429" i="4" s="1"/>
  <c r="L1429" i="4" s="1"/>
  <c r="M1429" i="4" s="1"/>
  <c r="H1429" i="4"/>
  <c r="E1434" i="3"/>
  <c r="B1434" i="3"/>
  <c r="D1434" i="3" s="1"/>
  <c r="N1430" i="4"/>
  <c r="J1430" i="4"/>
  <c r="K1430" i="4" s="1"/>
  <c r="L1430" i="4" s="1"/>
  <c r="M1430" i="4" s="1"/>
  <c r="G1430" i="4"/>
  <c r="H1430" i="4" s="1"/>
  <c r="B1435" i="3"/>
  <c r="D1435" i="3" s="1"/>
  <c r="E1435" i="3"/>
  <c r="C1435" i="3"/>
  <c r="G1431" i="4"/>
  <c r="I1431" i="4" s="1"/>
  <c r="J1431" i="4"/>
  <c r="K1431" i="4" s="1"/>
  <c r="L1431" i="4" s="1"/>
  <c r="M1431" i="4" s="1"/>
  <c r="N1431" i="4"/>
  <c r="E1436" i="3"/>
  <c r="B1436" i="3"/>
  <c r="D1436" i="3" s="1"/>
  <c r="N1432" i="4"/>
  <c r="J1432" i="4"/>
  <c r="K1432" i="4"/>
  <c r="L1432" i="4" s="1"/>
  <c r="M1432" i="4" s="1"/>
  <c r="G1432" i="4"/>
  <c r="H1432" i="4" s="1"/>
  <c r="I1432" i="4"/>
  <c r="B1437" i="3"/>
  <c r="D1437" i="3" s="1"/>
  <c r="E1437" i="3"/>
  <c r="C1437" i="3"/>
  <c r="I1433" i="4"/>
  <c r="G1433" i="4"/>
  <c r="N1433" i="4"/>
  <c r="J1433" i="4"/>
  <c r="K1433" i="4" s="1"/>
  <c r="L1433" i="4" s="1"/>
  <c r="M1433" i="4" s="1"/>
  <c r="H1433" i="4"/>
  <c r="E1438" i="3"/>
  <c r="B1438" i="3"/>
  <c r="D1438" i="3" s="1"/>
  <c r="N1434" i="4"/>
  <c r="J1434" i="4"/>
  <c r="K1434" i="4" s="1"/>
  <c r="L1434" i="4" s="1"/>
  <c r="M1434" i="4" s="1"/>
  <c r="G1434" i="4"/>
  <c r="H1434" i="4" s="1"/>
  <c r="B1439" i="3"/>
  <c r="D1439" i="3" s="1"/>
  <c r="E1439" i="3"/>
  <c r="C1439" i="3"/>
  <c r="G1435" i="4"/>
  <c r="I1435" i="4" s="1"/>
  <c r="J1435" i="4"/>
  <c r="K1435" i="4" s="1"/>
  <c r="L1435" i="4" s="1"/>
  <c r="M1435" i="4" s="1"/>
  <c r="N1435" i="4"/>
  <c r="E1440" i="3"/>
  <c r="B1440" i="3"/>
  <c r="D1440" i="3" s="1"/>
  <c r="N1436" i="4"/>
  <c r="J1436" i="4"/>
  <c r="K1436" i="4"/>
  <c r="L1436" i="4" s="1"/>
  <c r="M1436" i="4" s="1"/>
  <c r="G1436" i="4"/>
  <c r="H1436" i="4" s="1"/>
  <c r="I1436" i="4"/>
  <c r="B1441" i="3"/>
  <c r="D1441" i="3" s="1"/>
  <c r="E1441" i="3"/>
  <c r="C1441" i="3"/>
  <c r="I1437" i="4"/>
  <c r="G1437" i="4"/>
  <c r="N1437" i="4"/>
  <c r="J1437" i="4"/>
  <c r="K1437" i="4" s="1"/>
  <c r="L1437" i="4" s="1"/>
  <c r="M1437" i="4" s="1"/>
  <c r="H1437" i="4"/>
  <c r="E1442" i="3"/>
  <c r="B1442" i="3"/>
  <c r="D1442" i="3" s="1"/>
  <c r="N1438" i="4"/>
  <c r="J1438" i="4"/>
  <c r="K1438" i="4" s="1"/>
  <c r="L1438" i="4" s="1"/>
  <c r="M1438" i="4" s="1"/>
  <c r="G1438" i="4"/>
  <c r="H1438" i="4" s="1"/>
  <c r="B1443" i="3"/>
  <c r="D1443" i="3" s="1"/>
  <c r="E1443" i="3"/>
  <c r="I1439" i="4"/>
  <c r="G1439" i="4"/>
  <c r="H1439" i="4"/>
  <c r="N1439" i="4"/>
  <c r="J1439" i="4"/>
  <c r="K1439" i="4" s="1"/>
  <c r="L1439" i="4" s="1"/>
  <c r="M1439" i="4" s="1"/>
  <c r="E1444" i="3"/>
  <c r="B1444" i="3"/>
  <c r="D1444" i="3" s="1"/>
  <c r="N1440" i="4"/>
  <c r="J1440" i="4"/>
  <c r="K1440" i="4" s="1"/>
  <c r="L1440" i="4" s="1"/>
  <c r="M1440" i="4" s="1"/>
  <c r="G1440" i="4"/>
  <c r="H1440" i="4" s="1"/>
  <c r="I1440" i="4"/>
  <c r="B1445" i="3"/>
  <c r="D1445" i="3" s="1"/>
  <c r="E1445" i="3"/>
  <c r="C1445" i="3"/>
  <c r="I1441" i="4"/>
  <c r="G1441" i="4"/>
  <c r="N1441" i="4"/>
  <c r="J1441" i="4"/>
  <c r="K1441" i="4" s="1"/>
  <c r="L1441" i="4" s="1"/>
  <c r="M1441" i="4" s="1"/>
  <c r="H1441" i="4"/>
  <c r="E1446" i="3"/>
  <c r="B1446" i="3"/>
  <c r="D1446" i="3" s="1"/>
  <c r="N1442" i="4"/>
  <c r="J1442" i="4"/>
  <c r="K1442" i="4" s="1"/>
  <c r="L1442" i="4" s="1"/>
  <c r="M1442" i="4" s="1"/>
  <c r="G1442" i="4"/>
  <c r="H1442" i="4" s="1"/>
  <c r="B1447" i="3"/>
  <c r="D1447" i="3" s="1"/>
  <c r="E1447" i="3"/>
  <c r="C1447" i="3"/>
  <c r="G1443" i="4"/>
  <c r="I1443" i="4" s="1"/>
  <c r="J1443" i="4"/>
  <c r="K1443" i="4" s="1"/>
  <c r="L1443" i="4" s="1"/>
  <c r="M1443" i="4" s="1"/>
  <c r="N1443" i="4"/>
  <c r="E1448" i="3"/>
  <c r="B1448" i="3"/>
  <c r="D1448" i="3" s="1"/>
  <c r="N1444" i="4"/>
  <c r="J1444" i="4"/>
  <c r="K1444" i="4" s="1"/>
  <c r="L1444" i="4" s="1"/>
  <c r="M1444" i="4" s="1"/>
  <c r="G1444" i="4"/>
  <c r="H1444" i="4" s="1"/>
  <c r="B1449" i="3"/>
  <c r="D1449" i="3" s="1"/>
  <c r="E1449" i="3"/>
  <c r="C1449" i="3"/>
  <c r="G1445" i="4"/>
  <c r="I1445" i="4" s="1"/>
  <c r="N1445" i="4"/>
  <c r="J1445" i="4"/>
  <c r="K1445" i="4" s="1"/>
  <c r="L1445" i="4" s="1"/>
  <c r="M1445" i="4" s="1"/>
  <c r="E1450" i="3"/>
  <c r="B1450" i="3"/>
  <c r="D1450" i="3" s="1"/>
  <c r="N1446" i="4"/>
  <c r="J1446" i="4"/>
  <c r="K1446" i="4" s="1"/>
  <c r="L1446" i="4" s="1"/>
  <c r="M1446" i="4" s="1"/>
  <c r="G1446" i="4"/>
  <c r="H1446" i="4" s="1"/>
  <c r="B1451" i="3"/>
  <c r="D1451" i="3" s="1"/>
  <c r="E1451" i="3"/>
  <c r="G1447" i="4"/>
  <c r="I1447" i="4" s="1"/>
  <c r="N1447" i="4"/>
  <c r="J1447" i="4"/>
  <c r="K1447" i="4" s="1"/>
  <c r="L1447" i="4" s="1"/>
  <c r="M1447" i="4" s="1"/>
  <c r="E1452" i="3"/>
  <c r="B1452" i="3"/>
  <c r="D1452" i="3" s="1"/>
  <c r="N1448" i="4"/>
  <c r="J1448" i="4"/>
  <c r="K1448" i="4"/>
  <c r="L1448" i="4" s="1"/>
  <c r="M1448" i="4" s="1"/>
  <c r="G1448" i="4"/>
  <c r="H1448" i="4" s="1"/>
  <c r="I1448" i="4"/>
  <c r="B1453" i="3"/>
  <c r="D1453" i="3" s="1"/>
  <c r="E1453" i="3"/>
  <c r="C1453" i="3"/>
  <c r="I1449" i="4"/>
  <c r="G1449" i="4"/>
  <c r="N1449" i="4"/>
  <c r="J1449" i="4"/>
  <c r="K1449" i="4" s="1"/>
  <c r="L1449" i="4" s="1"/>
  <c r="M1449" i="4" s="1"/>
  <c r="H1449" i="4"/>
  <c r="E1454" i="3"/>
  <c r="B1454" i="3"/>
  <c r="D1454" i="3" s="1"/>
  <c r="N1450" i="4"/>
  <c r="J1450" i="4"/>
  <c r="K1450" i="4" s="1"/>
  <c r="L1450" i="4" s="1"/>
  <c r="M1450" i="4" s="1"/>
  <c r="G1450" i="4"/>
  <c r="H1450" i="4" s="1"/>
  <c r="B1455" i="3"/>
  <c r="D1455" i="3" s="1"/>
  <c r="E1455" i="3"/>
  <c r="C1455" i="3"/>
  <c r="G1451" i="4"/>
  <c r="I1451" i="4" s="1"/>
  <c r="J1451" i="4"/>
  <c r="K1451" i="4" s="1"/>
  <c r="L1451" i="4" s="1"/>
  <c r="M1451" i="4" s="1"/>
  <c r="N1451" i="4"/>
  <c r="E1456" i="3"/>
  <c r="B1456" i="3"/>
  <c r="D1456" i="3" s="1"/>
  <c r="N1452" i="4"/>
  <c r="J1452" i="4"/>
  <c r="K1452" i="4"/>
  <c r="L1452" i="4" s="1"/>
  <c r="M1452" i="4" s="1"/>
  <c r="G1452" i="4"/>
  <c r="H1452" i="4" s="1"/>
  <c r="I1452" i="4"/>
  <c r="B1457" i="3"/>
  <c r="D1457" i="3" s="1"/>
  <c r="E1457" i="3"/>
  <c r="C1457" i="3"/>
  <c r="I1453" i="4"/>
  <c r="G1453" i="4"/>
  <c r="N1453" i="4"/>
  <c r="J1453" i="4"/>
  <c r="K1453" i="4" s="1"/>
  <c r="L1453" i="4" s="1"/>
  <c r="M1453" i="4" s="1"/>
  <c r="H1453" i="4"/>
  <c r="E1458" i="3"/>
  <c r="B1458" i="3"/>
  <c r="D1458" i="3" s="1"/>
  <c r="N1454" i="4"/>
  <c r="J1454" i="4"/>
  <c r="K1454" i="4" s="1"/>
  <c r="L1454" i="4" s="1"/>
  <c r="M1454" i="4" s="1"/>
  <c r="G1454" i="4"/>
  <c r="H1454" i="4" s="1"/>
  <c r="B1459" i="3"/>
  <c r="D1459" i="3" s="1"/>
  <c r="E1459" i="3"/>
  <c r="I1455" i="4"/>
  <c r="G1455" i="4"/>
  <c r="H1455" i="4"/>
  <c r="N1455" i="4"/>
  <c r="J1455" i="4"/>
  <c r="K1455" i="4" s="1"/>
  <c r="L1455" i="4" s="1"/>
  <c r="M1455" i="4" s="1"/>
  <c r="E1460" i="3"/>
  <c r="B1460" i="3"/>
  <c r="D1460" i="3" s="1"/>
  <c r="N1456" i="4"/>
  <c r="J1456" i="4"/>
  <c r="K1456" i="4" s="1"/>
  <c r="L1456" i="4" s="1"/>
  <c r="M1456" i="4" s="1"/>
  <c r="G1456" i="4"/>
  <c r="H1456" i="4" s="1"/>
  <c r="B1461" i="3"/>
  <c r="D1461" i="3" s="1"/>
  <c r="E1461" i="3"/>
  <c r="C1461" i="3"/>
  <c r="G1457" i="4"/>
  <c r="I1457" i="4" s="1"/>
  <c r="N1457" i="4"/>
  <c r="J1457" i="4"/>
  <c r="K1457" i="4" s="1"/>
  <c r="L1457" i="4" s="1"/>
  <c r="M1457" i="4" s="1"/>
  <c r="E1462" i="3"/>
  <c r="B1462" i="3"/>
  <c r="D1462" i="3" s="1"/>
  <c r="N1458" i="4"/>
  <c r="J1458" i="4"/>
  <c r="I1458" i="4"/>
  <c r="G1458" i="4"/>
  <c r="H1458" i="4" s="1"/>
  <c r="K1458" i="4"/>
  <c r="L1458" i="4" s="1"/>
  <c r="M1458" i="4" s="1"/>
  <c r="B1463" i="3"/>
  <c r="D1463" i="3" s="1"/>
  <c r="E1463" i="3"/>
  <c r="C1463" i="3"/>
  <c r="I1459" i="4"/>
  <c r="G1459" i="4"/>
  <c r="H1459" i="4"/>
  <c r="J1459" i="4"/>
  <c r="K1459" i="4" s="1"/>
  <c r="L1459" i="4" s="1"/>
  <c r="M1459" i="4" s="1"/>
  <c r="N1459" i="4"/>
  <c r="E1464" i="3"/>
  <c r="B1464" i="3"/>
  <c r="D1464" i="3" s="1"/>
  <c r="N1460" i="4"/>
  <c r="J1460" i="4"/>
  <c r="K1460" i="4" s="1"/>
  <c r="L1460" i="4" s="1"/>
  <c r="M1460" i="4" s="1"/>
  <c r="G1460" i="4"/>
  <c r="H1460" i="4" s="1"/>
  <c r="B1465" i="3"/>
  <c r="D1465" i="3" s="1"/>
  <c r="E1465" i="3"/>
  <c r="C1465" i="3"/>
  <c r="G1461" i="4"/>
  <c r="I1461" i="4" s="1"/>
  <c r="N1461" i="4"/>
  <c r="J1461" i="4"/>
  <c r="K1461" i="4" s="1"/>
  <c r="L1461" i="4" s="1"/>
  <c r="M1461" i="4" s="1"/>
  <c r="E1466" i="3"/>
  <c r="B1466" i="3"/>
  <c r="D1466" i="3" s="1"/>
  <c r="N1462" i="4"/>
  <c r="J1462" i="4"/>
  <c r="K1462" i="4" s="1"/>
  <c r="L1462" i="4" s="1"/>
  <c r="M1462" i="4" s="1"/>
  <c r="G1462" i="4"/>
  <c r="H1462" i="4" s="1"/>
  <c r="B1467" i="3"/>
  <c r="D1467" i="3" s="1"/>
  <c r="E1467" i="3"/>
  <c r="C1467" i="3"/>
  <c r="I1463" i="4"/>
  <c r="G1463" i="4"/>
  <c r="H1463" i="4"/>
  <c r="N1463" i="4"/>
  <c r="J1463" i="4"/>
  <c r="K1463" i="4" s="1"/>
  <c r="L1463" i="4" s="1"/>
  <c r="M1463" i="4" s="1"/>
  <c r="E1468" i="3"/>
  <c r="B1468" i="3"/>
  <c r="D1468" i="3" s="1"/>
  <c r="N1464" i="4"/>
  <c r="J1464" i="4"/>
  <c r="K1464" i="4" s="1"/>
  <c r="L1464" i="4" s="1"/>
  <c r="M1464" i="4" s="1"/>
  <c r="G1464" i="4"/>
  <c r="H1464" i="4" s="1"/>
  <c r="I1464" i="4"/>
  <c r="B1469" i="3"/>
  <c r="D1469" i="3" s="1"/>
  <c r="E1469" i="3"/>
  <c r="C1469" i="3"/>
  <c r="I1465" i="4"/>
  <c r="G1465" i="4"/>
  <c r="N1465" i="4"/>
  <c r="J1465" i="4"/>
  <c r="K1465" i="4" s="1"/>
  <c r="L1465" i="4" s="1"/>
  <c r="M1465" i="4" s="1"/>
  <c r="H1465" i="4"/>
  <c r="E1470" i="3"/>
  <c r="B1470" i="3"/>
  <c r="D1470" i="3" s="1"/>
  <c r="N1466" i="4"/>
  <c r="J1466" i="4"/>
  <c r="K1466" i="4" s="1"/>
  <c r="L1466" i="4" s="1"/>
  <c r="M1466" i="4" s="1"/>
  <c r="G1466" i="4"/>
  <c r="H1466" i="4" s="1"/>
  <c r="B1471" i="3"/>
  <c r="D1471" i="3" s="1"/>
  <c r="E1471" i="3"/>
  <c r="C1471" i="3"/>
  <c r="G1467" i="4"/>
  <c r="I1467" i="4" s="1"/>
  <c r="J1467" i="4"/>
  <c r="K1467" i="4" s="1"/>
  <c r="L1467" i="4" s="1"/>
  <c r="M1467" i="4" s="1"/>
  <c r="N1467" i="4"/>
  <c r="E1472" i="3"/>
  <c r="B1472" i="3"/>
  <c r="D1472" i="3" s="1"/>
  <c r="N1468" i="4"/>
  <c r="J1468" i="4"/>
  <c r="K1468" i="4" s="1"/>
  <c r="L1468" i="4" s="1"/>
  <c r="M1468" i="4" s="1"/>
  <c r="G1468" i="4"/>
  <c r="H1468" i="4" s="1"/>
  <c r="B1473" i="3"/>
  <c r="D1473" i="3" s="1"/>
  <c r="E1473" i="3"/>
  <c r="C1473" i="3"/>
  <c r="G1469" i="4"/>
  <c r="I1469" i="4" s="1"/>
  <c r="N1469" i="4"/>
  <c r="J1469" i="4"/>
  <c r="K1469" i="4" s="1"/>
  <c r="L1469" i="4" s="1"/>
  <c r="M1469" i="4" s="1"/>
  <c r="E1474" i="3"/>
  <c r="B1474" i="3"/>
  <c r="D1474" i="3" s="1"/>
  <c r="N1470" i="4"/>
  <c r="J1470" i="4"/>
  <c r="K1470" i="4" s="1"/>
  <c r="L1470" i="4" s="1"/>
  <c r="M1470" i="4" s="1"/>
  <c r="G1470" i="4"/>
  <c r="H1470" i="4" s="1"/>
  <c r="B1475" i="3"/>
  <c r="D1475" i="3" s="1"/>
  <c r="E1475" i="3"/>
  <c r="C1475" i="3"/>
  <c r="I1471" i="4"/>
  <c r="G1471" i="4"/>
  <c r="H1471" i="4"/>
  <c r="N1471" i="4"/>
  <c r="J1471" i="4"/>
  <c r="K1471" i="4" s="1"/>
  <c r="L1471" i="4" s="1"/>
  <c r="M1471" i="4" s="1"/>
  <c r="E1476" i="3"/>
  <c r="B1476" i="3"/>
  <c r="D1476" i="3" s="1"/>
  <c r="N1472" i="4"/>
  <c r="J1472" i="4"/>
  <c r="K1472" i="4" s="1"/>
  <c r="L1472" i="4" s="1"/>
  <c r="M1472" i="4" s="1"/>
  <c r="G1472" i="4"/>
  <c r="H1472" i="4" s="1"/>
  <c r="I1472" i="4"/>
  <c r="B1477" i="3"/>
  <c r="D1477" i="3" s="1"/>
  <c r="E1477" i="3"/>
  <c r="C1477" i="3"/>
  <c r="I1473" i="4"/>
  <c r="G1473" i="4"/>
  <c r="N1473" i="4"/>
  <c r="J1473" i="4"/>
  <c r="K1473" i="4" s="1"/>
  <c r="L1473" i="4" s="1"/>
  <c r="M1473" i="4" s="1"/>
  <c r="H1473" i="4"/>
  <c r="E1478" i="3"/>
  <c r="B1478" i="3"/>
  <c r="D1478" i="3" s="1"/>
  <c r="N1474" i="4"/>
  <c r="J1474" i="4"/>
  <c r="K1474" i="4" s="1"/>
  <c r="L1474" i="4" s="1"/>
  <c r="M1474" i="4" s="1"/>
  <c r="G1474" i="4"/>
  <c r="H1474" i="4" s="1"/>
  <c r="B1479" i="3"/>
  <c r="D1479" i="3" s="1"/>
  <c r="E1479" i="3"/>
  <c r="C1479" i="3"/>
  <c r="G1475" i="4"/>
  <c r="I1475" i="4" s="1"/>
  <c r="J1475" i="4"/>
  <c r="K1475" i="4" s="1"/>
  <c r="L1475" i="4" s="1"/>
  <c r="M1475" i="4" s="1"/>
  <c r="N1475" i="4"/>
  <c r="E1480" i="3"/>
  <c r="B1480" i="3"/>
  <c r="D1480" i="3" s="1"/>
  <c r="N1476" i="4"/>
  <c r="J1476" i="4"/>
  <c r="K1476" i="4" s="1"/>
  <c r="L1476" i="4" s="1"/>
  <c r="M1476" i="4" s="1"/>
  <c r="G1476" i="4"/>
  <c r="H1476" i="4" s="1"/>
  <c r="B1481" i="3"/>
  <c r="D1481" i="3" s="1"/>
  <c r="E1481" i="3"/>
  <c r="C1481" i="3"/>
  <c r="G1477" i="4"/>
  <c r="I1477" i="4" s="1"/>
  <c r="N1477" i="4"/>
  <c r="J1477" i="4"/>
  <c r="K1477" i="4" s="1"/>
  <c r="L1477" i="4" s="1"/>
  <c r="M1477" i="4" s="1"/>
  <c r="E1482" i="3"/>
  <c r="B1482" i="3"/>
  <c r="D1482" i="3" s="1"/>
  <c r="N1478" i="4"/>
  <c r="J1478" i="4"/>
  <c r="K1478" i="4" s="1"/>
  <c r="L1478" i="4" s="1"/>
  <c r="M1478" i="4" s="1"/>
  <c r="G1478" i="4"/>
  <c r="H1478" i="4" s="1"/>
  <c r="B1483" i="3"/>
  <c r="D1483" i="3" s="1"/>
  <c r="E1483" i="3"/>
  <c r="C1483" i="3"/>
  <c r="I1479" i="4"/>
  <c r="G1479" i="4"/>
  <c r="H1479" i="4"/>
  <c r="N1479" i="4"/>
  <c r="J1479" i="4"/>
  <c r="K1479" i="4" s="1"/>
  <c r="L1479" i="4" s="1"/>
  <c r="M1479" i="4" s="1"/>
  <c r="E1484" i="3"/>
  <c r="B1484" i="3"/>
  <c r="D1484" i="3" s="1"/>
  <c r="N1480" i="4"/>
  <c r="J1480" i="4"/>
  <c r="K1480" i="4" s="1"/>
  <c r="L1480" i="4" s="1"/>
  <c r="M1480" i="4" s="1"/>
  <c r="G1480" i="4"/>
  <c r="H1480" i="4" s="1"/>
  <c r="B1485" i="3"/>
  <c r="D1485" i="3" s="1"/>
  <c r="E1485" i="3"/>
  <c r="C1485" i="3"/>
  <c r="G1481" i="4"/>
  <c r="I1481" i="4" s="1"/>
  <c r="N1481" i="4"/>
  <c r="J1481" i="4"/>
  <c r="K1481" i="4" s="1"/>
  <c r="L1481" i="4" s="1"/>
  <c r="M1481" i="4" s="1"/>
  <c r="E1486" i="3"/>
  <c r="B1486" i="3"/>
  <c r="D1486" i="3" s="1"/>
  <c r="N1482" i="4"/>
  <c r="J1482" i="4"/>
  <c r="I1482" i="4"/>
  <c r="G1482" i="4"/>
  <c r="H1482" i="4" s="1"/>
  <c r="K1482" i="4"/>
  <c r="L1482" i="4" s="1"/>
  <c r="M1482" i="4" s="1"/>
  <c r="B1487" i="3"/>
  <c r="D1487" i="3" s="1"/>
  <c r="E1487" i="3"/>
  <c r="C1487" i="3"/>
  <c r="I1483" i="4"/>
  <c r="G1483" i="4"/>
  <c r="H1483" i="4"/>
  <c r="J1483" i="4"/>
  <c r="K1483" i="4" s="1"/>
  <c r="L1483" i="4" s="1"/>
  <c r="M1483" i="4" s="1"/>
  <c r="N1483" i="4"/>
  <c r="E1488" i="3"/>
  <c r="B1488" i="3"/>
  <c r="D1488" i="3" s="1"/>
  <c r="N1484" i="4"/>
  <c r="J1484" i="4"/>
  <c r="K1484" i="4" s="1"/>
  <c r="L1484" i="4" s="1"/>
  <c r="M1484" i="4" s="1"/>
  <c r="G1484" i="4"/>
  <c r="H1484" i="4" s="1"/>
  <c r="I1484" i="4"/>
  <c r="B1489" i="3"/>
  <c r="D1489" i="3" s="1"/>
  <c r="E1489" i="3"/>
  <c r="C1489" i="3"/>
  <c r="I1485" i="4"/>
  <c r="G1485" i="4"/>
  <c r="N1485" i="4"/>
  <c r="J1485" i="4"/>
  <c r="K1485" i="4" s="1"/>
  <c r="L1485" i="4" s="1"/>
  <c r="M1485" i="4" s="1"/>
  <c r="H1485" i="4"/>
  <c r="E1490" i="3"/>
  <c r="B1490" i="3"/>
  <c r="D1490" i="3" s="1"/>
  <c r="N1486" i="4"/>
  <c r="J1486" i="4"/>
  <c r="K1486" i="4" s="1"/>
  <c r="L1486" i="4" s="1"/>
  <c r="M1486" i="4" s="1"/>
  <c r="G1486" i="4"/>
  <c r="H1486" i="4" s="1"/>
  <c r="B1491" i="3"/>
  <c r="D1491" i="3" s="1"/>
  <c r="E1491" i="3"/>
  <c r="C1491" i="3"/>
  <c r="G1487" i="4"/>
  <c r="I1487" i="4" s="1"/>
  <c r="N1487" i="4"/>
  <c r="J1487" i="4"/>
  <c r="K1487" i="4" s="1"/>
  <c r="L1487" i="4" s="1"/>
  <c r="M1487" i="4" s="1"/>
  <c r="E1492" i="3"/>
  <c r="B1492" i="3"/>
  <c r="D1492" i="3" s="1"/>
  <c r="N1488" i="4"/>
  <c r="J1488" i="4"/>
  <c r="K1488" i="4"/>
  <c r="L1488" i="4" s="1"/>
  <c r="M1488" i="4" s="1"/>
  <c r="G1488" i="4"/>
  <c r="H1488" i="4" s="1"/>
  <c r="I1488" i="4"/>
  <c r="B1493" i="3"/>
  <c r="D1493" i="3" s="1"/>
  <c r="E1493" i="3"/>
  <c r="C1493" i="3"/>
  <c r="I1489" i="4"/>
  <c r="G1489" i="4"/>
  <c r="N1489" i="4"/>
  <c r="J1489" i="4"/>
  <c r="K1489" i="4" s="1"/>
  <c r="L1489" i="4" s="1"/>
  <c r="M1489" i="4" s="1"/>
  <c r="H1489" i="4"/>
  <c r="E1494" i="3"/>
  <c r="B1494" i="3"/>
  <c r="D1494" i="3" s="1"/>
  <c r="N1490" i="4"/>
  <c r="J1490" i="4"/>
  <c r="K1490" i="4" s="1"/>
  <c r="L1490" i="4" s="1"/>
  <c r="M1490" i="4" s="1"/>
  <c r="G1490" i="4"/>
  <c r="H1490" i="4" s="1"/>
  <c r="B1495" i="3"/>
  <c r="D1495" i="3" s="1"/>
  <c r="E1495" i="3"/>
  <c r="C1495" i="3"/>
  <c r="G1491" i="4"/>
  <c r="I1491" i="4" s="1"/>
  <c r="J1491" i="4"/>
  <c r="K1491" i="4" s="1"/>
  <c r="L1491" i="4" s="1"/>
  <c r="M1491" i="4" s="1"/>
  <c r="N1491" i="4"/>
  <c r="E1496" i="3"/>
  <c r="B1496" i="3"/>
  <c r="D1496" i="3" s="1"/>
  <c r="N1492" i="4"/>
  <c r="J1492" i="4"/>
  <c r="K1492" i="4"/>
  <c r="L1492" i="4" s="1"/>
  <c r="M1492" i="4" s="1"/>
  <c r="G1492" i="4"/>
  <c r="H1492" i="4" s="1"/>
  <c r="I1492" i="4"/>
  <c r="B1497" i="3"/>
  <c r="D1497" i="3" s="1"/>
  <c r="E1497" i="3"/>
  <c r="C1497" i="3"/>
  <c r="I1493" i="4"/>
  <c r="G1493" i="4"/>
  <c r="N1493" i="4"/>
  <c r="J1493" i="4"/>
  <c r="K1493" i="4" s="1"/>
  <c r="L1493" i="4" s="1"/>
  <c r="M1493" i="4" s="1"/>
  <c r="H1493" i="4"/>
  <c r="E1498" i="3"/>
  <c r="B1498" i="3"/>
  <c r="D1498" i="3" s="1"/>
  <c r="N1494" i="4"/>
  <c r="J1494" i="4"/>
  <c r="K1494" i="4" s="1"/>
  <c r="L1494" i="4" s="1"/>
  <c r="M1494" i="4" s="1"/>
  <c r="G1494" i="4"/>
  <c r="H1494" i="4" s="1"/>
  <c r="B1499" i="3"/>
  <c r="D1499" i="3" s="1"/>
  <c r="E1499" i="3"/>
  <c r="C1499" i="3"/>
  <c r="G1495" i="4"/>
  <c r="I1495" i="4" s="1"/>
  <c r="N1495" i="4"/>
  <c r="J1495" i="4"/>
  <c r="K1495" i="4" s="1"/>
  <c r="L1495" i="4" s="1"/>
  <c r="M1495" i="4" s="1"/>
  <c r="E1500" i="3"/>
  <c r="B1500" i="3"/>
  <c r="D1500" i="3" s="1"/>
  <c r="N1496" i="4"/>
  <c r="J1496" i="4"/>
  <c r="K1496" i="4"/>
  <c r="L1496" i="4" s="1"/>
  <c r="M1496" i="4" s="1"/>
  <c r="G1496" i="4"/>
  <c r="H1496" i="4" s="1"/>
  <c r="I1496" i="4"/>
  <c r="B1501" i="3"/>
  <c r="D1501" i="3" s="1"/>
  <c r="E1501" i="3"/>
  <c r="C1501" i="3"/>
  <c r="I1497" i="4"/>
  <c r="G1497" i="4"/>
  <c r="N1497" i="4"/>
  <c r="J1497" i="4"/>
  <c r="K1497" i="4" s="1"/>
  <c r="L1497" i="4" s="1"/>
  <c r="M1497" i="4" s="1"/>
  <c r="H1497" i="4"/>
  <c r="E1502" i="3"/>
  <c r="B1502" i="3"/>
  <c r="D1502" i="3" s="1"/>
  <c r="N1498" i="4"/>
  <c r="J1498" i="4"/>
  <c r="K1498" i="4" s="1"/>
  <c r="L1498" i="4" s="1"/>
  <c r="M1498" i="4" s="1"/>
  <c r="G1498" i="4"/>
  <c r="H1498" i="4" s="1"/>
  <c r="B1503" i="3"/>
  <c r="D1503" i="3" s="1"/>
  <c r="E1503" i="3"/>
  <c r="C1503" i="3"/>
  <c r="G1499" i="4"/>
  <c r="I1499" i="4" s="1"/>
  <c r="J1499" i="4"/>
  <c r="K1499" i="4" s="1"/>
  <c r="L1499" i="4" s="1"/>
  <c r="M1499" i="4" s="1"/>
  <c r="N1499" i="4"/>
  <c r="E1504" i="3"/>
  <c r="B1504" i="3"/>
  <c r="D1504" i="3" s="1"/>
  <c r="N1500" i="4"/>
  <c r="J1500" i="4"/>
  <c r="K1500" i="4" s="1"/>
  <c r="L1500" i="4" s="1"/>
  <c r="M1500" i="4" s="1"/>
  <c r="G1500" i="4"/>
  <c r="H1500" i="4" s="1"/>
  <c r="B1505" i="3"/>
  <c r="D1505" i="3" s="1"/>
  <c r="E1505" i="3"/>
  <c r="C1505" i="3"/>
  <c r="G1501" i="4"/>
  <c r="I1501" i="4" s="1"/>
  <c r="N1501" i="4"/>
  <c r="J1501" i="4"/>
  <c r="K1501" i="4" s="1"/>
  <c r="L1501" i="4" s="1"/>
  <c r="M1501" i="4" s="1"/>
  <c r="E1506" i="3"/>
  <c r="B1506" i="3"/>
  <c r="D1506" i="3" s="1"/>
  <c r="N1502" i="4"/>
  <c r="J1502" i="4"/>
  <c r="K1502" i="4" s="1"/>
  <c r="L1502" i="4" s="1"/>
  <c r="M1502" i="4" s="1"/>
  <c r="G1502" i="4"/>
  <c r="H1502" i="4" s="1"/>
  <c r="B1507" i="3"/>
  <c r="D1507" i="3" s="1"/>
  <c r="E1507" i="3"/>
  <c r="C1507" i="3"/>
  <c r="I1503" i="4"/>
  <c r="G1503" i="4"/>
  <c r="H1503" i="4"/>
  <c r="N1503" i="4"/>
  <c r="J1503" i="4"/>
  <c r="K1503" i="4" s="1"/>
  <c r="L1503" i="4" s="1"/>
  <c r="M1503" i="4" s="1"/>
  <c r="E1508" i="3"/>
  <c r="B1508" i="3"/>
  <c r="D1508" i="3" s="1"/>
  <c r="N1504" i="4"/>
  <c r="J1504" i="4"/>
  <c r="K1504" i="4" s="1"/>
  <c r="L1504" i="4" s="1"/>
  <c r="M1504" i="4" s="1"/>
  <c r="G1504" i="4"/>
  <c r="H1504" i="4" s="1"/>
  <c r="B1509" i="3"/>
  <c r="D1509" i="3" s="1"/>
  <c r="E1509" i="3"/>
  <c r="C1509" i="3"/>
  <c r="G1505" i="4"/>
  <c r="I1505" i="4" s="1"/>
  <c r="N1505" i="4"/>
  <c r="J1505" i="4"/>
  <c r="K1505" i="4" s="1"/>
  <c r="L1505" i="4" s="1"/>
  <c r="M1505" i="4" s="1"/>
  <c r="E1510" i="3"/>
  <c r="B1510" i="3"/>
  <c r="D1510" i="3" s="1"/>
  <c r="N1506" i="4"/>
  <c r="J1506" i="4"/>
  <c r="I1506" i="4"/>
  <c r="G1506" i="4"/>
  <c r="H1506" i="4" s="1"/>
  <c r="K1506" i="4"/>
  <c r="L1506" i="4" s="1"/>
  <c r="M1506" i="4" s="1"/>
  <c r="B1511" i="3"/>
  <c r="D1511" i="3" s="1"/>
  <c r="E1511" i="3"/>
  <c r="C1511" i="3"/>
  <c r="I1507" i="4"/>
  <c r="G1507" i="4"/>
  <c r="H1507" i="4"/>
  <c r="J1507" i="4"/>
  <c r="K1507" i="4" s="1"/>
  <c r="L1507" i="4" s="1"/>
  <c r="M1507" i="4" s="1"/>
  <c r="N1507" i="4"/>
  <c r="E1512" i="3"/>
  <c r="B1512" i="3"/>
  <c r="D1512" i="3" s="1"/>
  <c r="N1508" i="4"/>
  <c r="J1508" i="4"/>
  <c r="K1508" i="4" s="1"/>
  <c r="L1508" i="4" s="1"/>
  <c r="M1508" i="4" s="1"/>
  <c r="G1508" i="4"/>
  <c r="H1508" i="4" s="1"/>
  <c r="B1513" i="3"/>
  <c r="D1513" i="3" s="1"/>
  <c r="E1513" i="3"/>
  <c r="C1513" i="3"/>
  <c r="G1509" i="4"/>
  <c r="I1509" i="4" s="1"/>
  <c r="N1509" i="4"/>
  <c r="J1509" i="4"/>
  <c r="K1509" i="4" s="1"/>
  <c r="L1509" i="4" s="1"/>
  <c r="M1509" i="4" s="1"/>
  <c r="E1514" i="3"/>
  <c r="B1514" i="3"/>
  <c r="D1514" i="3" s="1"/>
  <c r="N1510" i="4"/>
  <c r="J1510" i="4"/>
  <c r="K1510" i="4" s="1"/>
  <c r="L1510" i="4" s="1"/>
  <c r="M1510" i="4" s="1"/>
  <c r="G1510" i="4"/>
  <c r="H1510" i="4" s="1"/>
  <c r="B1515" i="3"/>
  <c r="D1515" i="3" s="1"/>
  <c r="E1515" i="3"/>
  <c r="G1511" i="4"/>
  <c r="I1511" i="4" s="1"/>
  <c r="N1511" i="4"/>
  <c r="J1511" i="4"/>
  <c r="K1511" i="4" s="1"/>
  <c r="L1511" i="4" s="1"/>
  <c r="M1511" i="4" s="1"/>
  <c r="E1516" i="3"/>
  <c r="B1516" i="3"/>
  <c r="D1516" i="3" s="1"/>
  <c r="N1512" i="4"/>
  <c r="J1512" i="4"/>
  <c r="K1512" i="4"/>
  <c r="L1512" i="4" s="1"/>
  <c r="M1512" i="4" s="1"/>
  <c r="G1512" i="4"/>
  <c r="H1512" i="4" s="1"/>
  <c r="I1512" i="4"/>
  <c r="B1517" i="3"/>
  <c r="D1517" i="3" s="1"/>
  <c r="E1517" i="3"/>
  <c r="C1517" i="3"/>
  <c r="I1513" i="4"/>
  <c r="G1513" i="4"/>
  <c r="N1513" i="4"/>
  <c r="J1513" i="4"/>
  <c r="K1513" i="4" s="1"/>
  <c r="L1513" i="4" s="1"/>
  <c r="M1513" i="4" s="1"/>
  <c r="H1513" i="4"/>
  <c r="E1518" i="3"/>
  <c r="B1518" i="3"/>
  <c r="D1518" i="3" s="1"/>
  <c r="N1514" i="4"/>
  <c r="J1514" i="4"/>
  <c r="K1514" i="4" s="1"/>
  <c r="L1514" i="4" s="1"/>
  <c r="M1514" i="4" s="1"/>
  <c r="G1514" i="4"/>
  <c r="H1514" i="4" s="1"/>
  <c r="B1519" i="3"/>
  <c r="D1519" i="3" s="1"/>
  <c r="E1519" i="3"/>
  <c r="C1519" i="3"/>
  <c r="G1515" i="4"/>
  <c r="I1515" i="4" s="1"/>
  <c r="J1515" i="4"/>
  <c r="K1515" i="4" s="1"/>
  <c r="L1515" i="4" s="1"/>
  <c r="M1515" i="4" s="1"/>
  <c r="N1515" i="4"/>
  <c r="E1520" i="3"/>
  <c r="B1520" i="3"/>
  <c r="D1520" i="3" s="1"/>
  <c r="N1516" i="4"/>
  <c r="J1516" i="4"/>
  <c r="K1516" i="4"/>
  <c r="L1516" i="4" s="1"/>
  <c r="M1516" i="4" s="1"/>
  <c r="G1516" i="4"/>
  <c r="H1516" i="4" s="1"/>
  <c r="I1516" i="4"/>
  <c r="B1521" i="3"/>
  <c r="D1521" i="3" s="1"/>
  <c r="E1521" i="3"/>
  <c r="C1521" i="3"/>
  <c r="I1517" i="4"/>
  <c r="G1517" i="4"/>
  <c r="N1517" i="4"/>
  <c r="J1517" i="4"/>
  <c r="K1517" i="4" s="1"/>
  <c r="L1517" i="4" s="1"/>
  <c r="M1517" i="4" s="1"/>
  <c r="H1517" i="4"/>
  <c r="E1522" i="3"/>
  <c r="B1522" i="3"/>
  <c r="D1522" i="3" s="1"/>
  <c r="N1518" i="4"/>
  <c r="J1518" i="4"/>
  <c r="K1518" i="4" s="1"/>
  <c r="L1518" i="4" s="1"/>
  <c r="M1518" i="4" s="1"/>
  <c r="G1518" i="4"/>
  <c r="H1518" i="4" s="1"/>
  <c r="B1523" i="3"/>
  <c r="D1523" i="3" s="1"/>
  <c r="E1523" i="3"/>
  <c r="I1519" i="4"/>
  <c r="G1519" i="4"/>
  <c r="H1519" i="4"/>
  <c r="N1519" i="4"/>
  <c r="J1519" i="4"/>
  <c r="K1519" i="4" s="1"/>
  <c r="L1519" i="4" s="1"/>
  <c r="M1519" i="4" s="1"/>
  <c r="E1524" i="3"/>
  <c r="B1524" i="3"/>
  <c r="D1524" i="3" s="1"/>
  <c r="N1520" i="4"/>
  <c r="J1520" i="4"/>
  <c r="K1520" i="4" s="1"/>
  <c r="L1520" i="4" s="1"/>
  <c r="M1520" i="4" s="1"/>
  <c r="G1520" i="4"/>
  <c r="H1520" i="4" s="1"/>
  <c r="B1525" i="3"/>
  <c r="D1525" i="3" s="1"/>
  <c r="E1525" i="3"/>
  <c r="C1525" i="3"/>
  <c r="G1521" i="4"/>
  <c r="I1521" i="4" s="1"/>
  <c r="N1521" i="4"/>
  <c r="J1521" i="4"/>
  <c r="K1521" i="4" s="1"/>
  <c r="L1521" i="4" s="1"/>
  <c r="M1521" i="4" s="1"/>
  <c r="E1526" i="3"/>
  <c r="B1526" i="3"/>
  <c r="D1526" i="3" s="1"/>
  <c r="N1522" i="4"/>
  <c r="J1522" i="4"/>
  <c r="I1522" i="4"/>
  <c r="G1522" i="4"/>
  <c r="H1522" i="4" s="1"/>
  <c r="K1522" i="4"/>
  <c r="L1522" i="4" s="1"/>
  <c r="M1522" i="4" s="1"/>
  <c r="B1527" i="3"/>
  <c r="D1527" i="3" s="1"/>
  <c r="E1527" i="3"/>
  <c r="C1527" i="3"/>
  <c r="I1523" i="4"/>
  <c r="G1523" i="4"/>
  <c r="H1523" i="4"/>
  <c r="J1523" i="4"/>
  <c r="K1523" i="4" s="1"/>
  <c r="L1523" i="4" s="1"/>
  <c r="M1523" i="4" s="1"/>
  <c r="N1523" i="4"/>
  <c r="E1528" i="3"/>
  <c r="B1528" i="3"/>
  <c r="D1528" i="3" s="1"/>
  <c r="N1524" i="4"/>
  <c r="J1524" i="4"/>
  <c r="K1524" i="4" s="1"/>
  <c r="L1524" i="4" s="1"/>
  <c r="M1524" i="4" s="1"/>
  <c r="G1524" i="4"/>
  <c r="H1524" i="4" s="1"/>
  <c r="B1529" i="3"/>
  <c r="D1529" i="3" s="1"/>
  <c r="E1529" i="3"/>
  <c r="C1529" i="3"/>
  <c r="G1525" i="4"/>
  <c r="I1525" i="4" s="1"/>
  <c r="N1525" i="4"/>
  <c r="J1525" i="4"/>
  <c r="K1525" i="4" s="1"/>
  <c r="L1525" i="4" s="1"/>
  <c r="M1525" i="4" s="1"/>
  <c r="E1530" i="3"/>
  <c r="B1530" i="3"/>
  <c r="D1530" i="3" s="1"/>
  <c r="N1526" i="4"/>
  <c r="J1526" i="4"/>
  <c r="K1526" i="4" s="1"/>
  <c r="L1526" i="4" s="1"/>
  <c r="M1526" i="4" s="1"/>
  <c r="G1526" i="4"/>
  <c r="H1526" i="4" s="1"/>
  <c r="B1531" i="3"/>
  <c r="D1531" i="3" s="1"/>
  <c r="E1531" i="3"/>
  <c r="G1527" i="4"/>
  <c r="I1527" i="4" s="1"/>
  <c r="N1527" i="4"/>
  <c r="J1527" i="4"/>
  <c r="K1527" i="4" s="1"/>
  <c r="L1527" i="4" s="1"/>
  <c r="M1527" i="4" s="1"/>
  <c r="E1532" i="3"/>
  <c r="B1532" i="3"/>
  <c r="D1532" i="3" s="1"/>
  <c r="N1528" i="4"/>
  <c r="J1528" i="4"/>
  <c r="K1528" i="4" s="1"/>
  <c r="L1528" i="4" s="1"/>
  <c r="M1528" i="4" s="1"/>
  <c r="G1528" i="4"/>
  <c r="H1528" i="4" s="1"/>
  <c r="B1533" i="3"/>
  <c r="D1533" i="3" s="1"/>
  <c r="E1533" i="3"/>
  <c r="C1533" i="3"/>
  <c r="G1529" i="4"/>
  <c r="I1529" i="4" s="1"/>
  <c r="N1529" i="4"/>
  <c r="J1529" i="4"/>
  <c r="K1529" i="4" s="1"/>
  <c r="L1529" i="4" s="1"/>
  <c r="M1529" i="4" s="1"/>
  <c r="E1534" i="3"/>
  <c r="B1534" i="3"/>
  <c r="D1534" i="3" s="1"/>
  <c r="N1530" i="4"/>
  <c r="J1530" i="4"/>
  <c r="I1530" i="4"/>
  <c r="G1530" i="4"/>
  <c r="H1530" i="4" s="1"/>
  <c r="K1530" i="4"/>
  <c r="L1530" i="4" s="1"/>
  <c r="M1530" i="4" s="1"/>
  <c r="B1535" i="3"/>
  <c r="D1535" i="3" s="1"/>
  <c r="E1535" i="3"/>
  <c r="C1535" i="3"/>
  <c r="I1531" i="4"/>
  <c r="G1531" i="4"/>
  <c r="H1531" i="4"/>
  <c r="J1531" i="4"/>
  <c r="K1531" i="4" s="1"/>
  <c r="L1531" i="4" s="1"/>
  <c r="M1531" i="4" s="1"/>
  <c r="N1531" i="4"/>
  <c r="E1536" i="3"/>
  <c r="B1536" i="3"/>
  <c r="D1536" i="3" s="1"/>
  <c r="N1532" i="4"/>
  <c r="J1532" i="4"/>
  <c r="K1532" i="4" s="1"/>
  <c r="L1532" i="4" s="1"/>
  <c r="M1532" i="4" s="1"/>
  <c r="G1532" i="4"/>
  <c r="H1532" i="4" s="1"/>
  <c r="I1532" i="4"/>
  <c r="B1537" i="3"/>
  <c r="D1537" i="3" s="1"/>
  <c r="E1537" i="3"/>
  <c r="C1537" i="3"/>
  <c r="I1533" i="4"/>
  <c r="G1533" i="4"/>
  <c r="N1533" i="4"/>
  <c r="J1533" i="4"/>
  <c r="K1533" i="4" s="1"/>
  <c r="L1533" i="4" s="1"/>
  <c r="M1533" i="4" s="1"/>
  <c r="H1533" i="4"/>
  <c r="E1538" i="3"/>
  <c r="B1538" i="3"/>
  <c r="D1538" i="3" s="1"/>
  <c r="N1534" i="4"/>
  <c r="J1534" i="4"/>
  <c r="K1534" i="4" s="1"/>
  <c r="L1534" i="4" s="1"/>
  <c r="M1534" i="4" s="1"/>
  <c r="G1534" i="4"/>
  <c r="H1534" i="4" s="1"/>
  <c r="B1539" i="3"/>
  <c r="D1539" i="3" s="1"/>
  <c r="E1539" i="3"/>
  <c r="C1539" i="3"/>
  <c r="G1535" i="4"/>
  <c r="I1535" i="4" s="1"/>
  <c r="N1535" i="4"/>
  <c r="J1535" i="4"/>
  <c r="K1535" i="4" s="1"/>
  <c r="L1535" i="4" s="1"/>
  <c r="M1535" i="4" s="1"/>
  <c r="E1540" i="3"/>
  <c r="B1540" i="3"/>
  <c r="D1540" i="3" s="1"/>
  <c r="N1536" i="4"/>
  <c r="J1536" i="4"/>
  <c r="K1536" i="4"/>
  <c r="L1536" i="4" s="1"/>
  <c r="M1536" i="4" s="1"/>
  <c r="G1536" i="4"/>
  <c r="H1536" i="4" s="1"/>
  <c r="I1536" i="4"/>
  <c r="B1541" i="3"/>
  <c r="D1541" i="3" s="1"/>
  <c r="E1541" i="3"/>
  <c r="C1541" i="3"/>
  <c r="I1537" i="4"/>
  <c r="G1537" i="4"/>
  <c r="N1537" i="4"/>
  <c r="J1537" i="4"/>
  <c r="K1537" i="4" s="1"/>
  <c r="L1537" i="4" s="1"/>
  <c r="M1537" i="4" s="1"/>
  <c r="H1537" i="4"/>
  <c r="E1542" i="3"/>
  <c r="B1542" i="3"/>
  <c r="D1542" i="3" s="1"/>
  <c r="N1538" i="4"/>
  <c r="J1538" i="4"/>
  <c r="K1538" i="4" s="1"/>
  <c r="L1538" i="4" s="1"/>
  <c r="M1538" i="4" s="1"/>
  <c r="G1538" i="4"/>
  <c r="H1538" i="4" s="1"/>
  <c r="B1543" i="3"/>
  <c r="D1543" i="3" s="1"/>
  <c r="E1543" i="3"/>
  <c r="C1543" i="3"/>
  <c r="G1539" i="4"/>
  <c r="I1539" i="4" s="1"/>
  <c r="J1539" i="4"/>
  <c r="K1539" i="4" s="1"/>
  <c r="L1539" i="4" s="1"/>
  <c r="M1539" i="4" s="1"/>
  <c r="N1539" i="4"/>
  <c r="E1544" i="3"/>
  <c r="B1544" i="3"/>
  <c r="D1544" i="3" s="1"/>
  <c r="N1540" i="4"/>
  <c r="J1540" i="4"/>
  <c r="K1540" i="4"/>
  <c r="L1540" i="4" s="1"/>
  <c r="M1540" i="4" s="1"/>
  <c r="G1540" i="4"/>
  <c r="H1540" i="4" s="1"/>
  <c r="I1540" i="4"/>
  <c r="B1545" i="3"/>
  <c r="D1545" i="3" s="1"/>
  <c r="E1545" i="3"/>
  <c r="C1545" i="3"/>
  <c r="I1541" i="4"/>
  <c r="G1541" i="4"/>
  <c r="N1541" i="4"/>
  <c r="J1541" i="4"/>
  <c r="K1541" i="4" s="1"/>
  <c r="L1541" i="4" s="1"/>
  <c r="M1541" i="4" s="1"/>
  <c r="H1541" i="4"/>
  <c r="E1546" i="3"/>
  <c r="B1546" i="3"/>
  <c r="D1546" i="3" s="1"/>
  <c r="N1542" i="4"/>
  <c r="J1542" i="4"/>
  <c r="K1542" i="4" s="1"/>
  <c r="L1542" i="4" s="1"/>
  <c r="M1542" i="4" s="1"/>
  <c r="G1542" i="4"/>
  <c r="H1542" i="4" s="1"/>
  <c r="B1547" i="3"/>
  <c r="D1547" i="3" s="1"/>
  <c r="E1547" i="3"/>
  <c r="C1547" i="3"/>
  <c r="G1543" i="4"/>
  <c r="I1543" i="4" s="1"/>
  <c r="N1543" i="4"/>
  <c r="J1543" i="4"/>
  <c r="K1543" i="4" s="1"/>
  <c r="L1543" i="4" s="1"/>
  <c r="M1543" i="4" s="1"/>
  <c r="E1548" i="3"/>
  <c r="B1548" i="3"/>
  <c r="D1548" i="3" s="1"/>
  <c r="N1544" i="4"/>
  <c r="J1544" i="4"/>
  <c r="K1544" i="4"/>
  <c r="L1544" i="4" s="1"/>
  <c r="M1544" i="4" s="1"/>
  <c r="G1544" i="4"/>
  <c r="H1544" i="4" s="1"/>
  <c r="I1544" i="4"/>
  <c r="B1549" i="3"/>
  <c r="D1549" i="3" s="1"/>
  <c r="E1549" i="3"/>
  <c r="C1549" i="3"/>
  <c r="I1545" i="4"/>
  <c r="G1545" i="4"/>
  <c r="N1545" i="4"/>
  <c r="J1545" i="4"/>
  <c r="K1545" i="4" s="1"/>
  <c r="L1545" i="4" s="1"/>
  <c r="M1545" i="4" s="1"/>
  <c r="H1545" i="4"/>
  <c r="E1550" i="3"/>
  <c r="B1550" i="3"/>
  <c r="D1550" i="3" s="1"/>
  <c r="N1546" i="4"/>
  <c r="J1546" i="4"/>
  <c r="K1546" i="4" s="1"/>
  <c r="L1546" i="4" s="1"/>
  <c r="M1546" i="4" s="1"/>
  <c r="G1546" i="4"/>
  <c r="H1546" i="4" s="1"/>
  <c r="B1551" i="3"/>
  <c r="D1551" i="3" s="1"/>
  <c r="E1551" i="3"/>
  <c r="C1551" i="3"/>
  <c r="G1547" i="4"/>
  <c r="I1547" i="4" s="1"/>
  <c r="J1547" i="4"/>
  <c r="K1547" i="4" s="1"/>
  <c r="L1547" i="4" s="1"/>
  <c r="M1547" i="4" s="1"/>
  <c r="N1547" i="4"/>
  <c r="E1552" i="3"/>
  <c r="B1552" i="3"/>
  <c r="D1552" i="3" s="1"/>
  <c r="N1548" i="4"/>
  <c r="J1548" i="4"/>
  <c r="K1548" i="4"/>
  <c r="L1548" i="4" s="1"/>
  <c r="M1548" i="4" s="1"/>
  <c r="G1548" i="4"/>
  <c r="H1548" i="4" s="1"/>
  <c r="I1548" i="4"/>
  <c r="B1553" i="3"/>
  <c r="D1553" i="3" s="1"/>
  <c r="E1553" i="3"/>
  <c r="C1553" i="3"/>
  <c r="I1549" i="4"/>
  <c r="G1549" i="4"/>
  <c r="N1549" i="4"/>
  <c r="J1549" i="4"/>
  <c r="K1549" i="4" s="1"/>
  <c r="L1549" i="4" s="1"/>
  <c r="M1549" i="4" s="1"/>
  <c r="H1549" i="4"/>
  <c r="E1554" i="3"/>
  <c r="B1554" i="3"/>
  <c r="D1554" i="3" s="1"/>
  <c r="N1550" i="4"/>
  <c r="J1550" i="4"/>
  <c r="K1550" i="4" s="1"/>
  <c r="L1550" i="4" s="1"/>
  <c r="M1550" i="4" s="1"/>
  <c r="G1550" i="4"/>
  <c r="H1550" i="4" s="1"/>
  <c r="B1555" i="3"/>
  <c r="D1555" i="3" s="1"/>
  <c r="E1555" i="3"/>
  <c r="C1555" i="3"/>
  <c r="G1551" i="4"/>
  <c r="I1551" i="4" s="1"/>
  <c r="N1551" i="4"/>
  <c r="J1551" i="4"/>
  <c r="K1551" i="4" s="1"/>
  <c r="L1551" i="4" s="1"/>
  <c r="M1551" i="4" s="1"/>
  <c r="E1556" i="3"/>
  <c r="B1556" i="3"/>
  <c r="D1556" i="3" s="1"/>
  <c r="N1552" i="4"/>
  <c r="J1552" i="4"/>
  <c r="K1552" i="4"/>
  <c r="L1552" i="4" s="1"/>
  <c r="M1552" i="4" s="1"/>
  <c r="G1552" i="4"/>
  <c r="H1552" i="4" s="1"/>
  <c r="I1552" i="4"/>
  <c r="B1557" i="3"/>
  <c r="D1557" i="3" s="1"/>
  <c r="E1557" i="3"/>
  <c r="C1557" i="3"/>
  <c r="I1553" i="4"/>
  <c r="G1553" i="4"/>
  <c r="N1553" i="4"/>
  <c r="J1553" i="4"/>
  <c r="K1553" i="4" s="1"/>
  <c r="L1553" i="4" s="1"/>
  <c r="M1553" i="4" s="1"/>
  <c r="H1553" i="4"/>
  <c r="E1558" i="3"/>
  <c r="B1558" i="3"/>
  <c r="D1558" i="3" s="1"/>
  <c r="N1554" i="4"/>
  <c r="J1554" i="4"/>
  <c r="K1554" i="4" s="1"/>
  <c r="L1554" i="4" s="1"/>
  <c r="M1554" i="4" s="1"/>
  <c r="G1554" i="4"/>
  <c r="H1554" i="4" s="1"/>
  <c r="B1559" i="3"/>
  <c r="D1559" i="3" s="1"/>
  <c r="E1559" i="3"/>
  <c r="C1559" i="3"/>
  <c r="G1555" i="4"/>
  <c r="I1555" i="4" s="1"/>
  <c r="J1555" i="4"/>
  <c r="K1555" i="4" s="1"/>
  <c r="L1555" i="4" s="1"/>
  <c r="M1555" i="4" s="1"/>
  <c r="N1555" i="4"/>
  <c r="E1560" i="3"/>
  <c r="B1560" i="3"/>
  <c r="D1560" i="3" s="1"/>
  <c r="N1556" i="4"/>
  <c r="J1556" i="4"/>
  <c r="K1556" i="4" s="1"/>
  <c r="L1556" i="4" s="1"/>
  <c r="M1556" i="4" s="1"/>
  <c r="G1556" i="4"/>
  <c r="H1556" i="4" s="1"/>
  <c r="B1561" i="3"/>
  <c r="D1561" i="3" s="1"/>
  <c r="E1561" i="3"/>
  <c r="I1557" i="4"/>
  <c r="G1557" i="4"/>
  <c r="N1557" i="4"/>
  <c r="J1557" i="4"/>
  <c r="K1557" i="4" s="1"/>
  <c r="L1557" i="4" s="1"/>
  <c r="M1557" i="4" s="1"/>
  <c r="H1557" i="4"/>
  <c r="E1562" i="3"/>
  <c r="B1562" i="3"/>
  <c r="D1562" i="3" s="1"/>
  <c r="N1558" i="4"/>
  <c r="J1558" i="4"/>
  <c r="K1558" i="4" s="1"/>
  <c r="L1558" i="4" s="1"/>
  <c r="M1558" i="4" s="1"/>
  <c r="G1558" i="4"/>
  <c r="H1558" i="4" s="1"/>
  <c r="B1563" i="3"/>
  <c r="D1563" i="3" s="1"/>
  <c r="E1563" i="3"/>
  <c r="I1559" i="4"/>
  <c r="G1559" i="4"/>
  <c r="H1559" i="4"/>
  <c r="N1559" i="4"/>
  <c r="J1559" i="4"/>
  <c r="K1559" i="4" s="1"/>
  <c r="L1559" i="4" s="1"/>
  <c r="M1559" i="4" s="1"/>
  <c r="E1564" i="3"/>
  <c r="B1564" i="3"/>
  <c r="D1564" i="3" s="1"/>
  <c r="N1560" i="4"/>
  <c r="J1560" i="4"/>
  <c r="K1560" i="4" s="1"/>
  <c r="L1560" i="4" s="1"/>
  <c r="M1560" i="4" s="1"/>
  <c r="G1560" i="4"/>
  <c r="H1560" i="4" s="1"/>
  <c r="B1565" i="3"/>
  <c r="D1565" i="3" s="1"/>
  <c r="E1565" i="3"/>
  <c r="C1565" i="3"/>
  <c r="G1561" i="4"/>
  <c r="I1561" i="4" s="1"/>
  <c r="N1561" i="4"/>
  <c r="J1561" i="4"/>
  <c r="K1561" i="4" s="1"/>
  <c r="L1561" i="4" s="1"/>
  <c r="M1561" i="4" s="1"/>
  <c r="E1566" i="3"/>
  <c r="B1566" i="3"/>
  <c r="D1566" i="3" s="1"/>
  <c r="N1562" i="4"/>
  <c r="J1562" i="4"/>
  <c r="I1562" i="4"/>
  <c r="G1562" i="4"/>
  <c r="H1562" i="4" s="1"/>
  <c r="K1562" i="4"/>
  <c r="L1562" i="4" s="1"/>
  <c r="M1562" i="4" s="1"/>
  <c r="B1567" i="3"/>
  <c r="D1567" i="3" s="1"/>
  <c r="E1567" i="3"/>
  <c r="C1567" i="3"/>
  <c r="I1563" i="4"/>
  <c r="G1563" i="4"/>
  <c r="H1563" i="4"/>
  <c r="J1563" i="4"/>
  <c r="K1563" i="4" s="1"/>
  <c r="L1563" i="4" s="1"/>
  <c r="M1563" i="4" s="1"/>
  <c r="N1563" i="4"/>
  <c r="E1568" i="3"/>
  <c r="B1568" i="3"/>
  <c r="D1568" i="3" s="1"/>
  <c r="N1564" i="4"/>
  <c r="J1564" i="4"/>
  <c r="K1564" i="4" s="1"/>
  <c r="L1564" i="4" s="1"/>
  <c r="M1564" i="4" s="1"/>
  <c r="G1564" i="4"/>
  <c r="H1564" i="4" s="1"/>
  <c r="B1569" i="3"/>
  <c r="D1569" i="3" s="1"/>
  <c r="E1569" i="3"/>
  <c r="I1565" i="4"/>
  <c r="G1565" i="4"/>
  <c r="N1565" i="4"/>
  <c r="J1565" i="4"/>
  <c r="K1565" i="4" s="1"/>
  <c r="L1565" i="4" s="1"/>
  <c r="M1565" i="4" s="1"/>
  <c r="H1565" i="4"/>
  <c r="E1570" i="3"/>
  <c r="B1570" i="3"/>
  <c r="D1570" i="3" s="1"/>
  <c r="N1566" i="4"/>
  <c r="J1566" i="4"/>
  <c r="K1566" i="4" s="1"/>
  <c r="L1566" i="4" s="1"/>
  <c r="M1566" i="4" s="1"/>
  <c r="G1566" i="4"/>
  <c r="H1566" i="4" s="1"/>
  <c r="B1571" i="3"/>
  <c r="D1571" i="3" s="1"/>
  <c r="E1571" i="3"/>
  <c r="I1567" i="4"/>
  <c r="G1567" i="4"/>
  <c r="H1567" i="4"/>
  <c r="N1567" i="4"/>
  <c r="J1567" i="4"/>
  <c r="K1567" i="4" s="1"/>
  <c r="L1567" i="4" s="1"/>
  <c r="M1567" i="4" s="1"/>
  <c r="E1572" i="3"/>
  <c r="B1572" i="3"/>
  <c r="D1572" i="3" s="1"/>
  <c r="N1568" i="4"/>
  <c r="J1568" i="4"/>
  <c r="K1568" i="4" s="1"/>
  <c r="L1568" i="4" s="1"/>
  <c r="M1568" i="4" s="1"/>
  <c r="G1568" i="4"/>
  <c r="H1568" i="4" s="1"/>
  <c r="B1573" i="3"/>
  <c r="D1573" i="3" s="1"/>
  <c r="E1573" i="3"/>
  <c r="C1573" i="3"/>
  <c r="G1569" i="4"/>
  <c r="I1569" i="4" s="1"/>
  <c r="N1569" i="4"/>
  <c r="J1569" i="4"/>
  <c r="K1569" i="4" s="1"/>
  <c r="L1569" i="4" s="1"/>
  <c r="M1569" i="4" s="1"/>
  <c r="E1574" i="3"/>
  <c r="B1574" i="3"/>
  <c r="D1574" i="3" s="1"/>
  <c r="N1570" i="4"/>
  <c r="J1570" i="4"/>
  <c r="I1570" i="4"/>
  <c r="G1570" i="4"/>
  <c r="H1570" i="4" s="1"/>
  <c r="K1570" i="4"/>
  <c r="L1570" i="4" s="1"/>
  <c r="M1570" i="4" s="1"/>
  <c r="B1575" i="3"/>
  <c r="D1575" i="3" s="1"/>
  <c r="E1575" i="3"/>
  <c r="C1575" i="3"/>
  <c r="I1571" i="4"/>
  <c r="G1571" i="4"/>
  <c r="H1571" i="4"/>
  <c r="J1571" i="4"/>
  <c r="K1571" i="4" s="1"/>
  <c r="L1571" i="4" s="1"/>
  <c r="M1571" i="4" s="1"/>
  <c r="N1571" i="4"/>
  <c r="E1576" i="3"/>
  <c r="B1576" i="3"/>
  <c r="D1576" i="3" s="1"/>
  <c r="N1572" i="4"/>
  <c r="J1572" i="4"/>
  <c r="K1572" i="4" s="1"/>
  <c r="L1572" i="4" s="1"/>
  <c r="M1572" i="4" s="1"/>
  <c r="G1572" i="4"/>
  <c r="H1572" i="4" s="1"/>
  <c r="B1577" i="3"/>
  <c r="D1577" i="3" s="1"/>
  <c r="E1577" i="3"/>
  <c r="C1577" i="3"/>
  <c r="G1573" i="4"/>
  <c r="I1573" i="4" s="1"/>
  <c r="N1573" i="4"/>
  <c r="J1573" i="4"/>
  <c r="K1573" i="4" s="1"/>
  <c r="L1573" i="4" s="1"/>
  <c r="M1573" i="4" s="1"/>
  <c r="E1578" i="3"/>
  <c r="B1578" i="3"/>
  <c r="D1578" i="3" s="1"/>
  <c r="N1574" i="4"/>
  <c r="J1574" i="4"/>
  <c r="K1574" i="4" s="1"/>
  <c r="L1574" i="4" s="1"/>
  <c r="M1574" i="4" s="1"/>
  <c r="G1574" i="4"/>
  <c r="H1574" i="4" s="1"/>
  <c r="B1579" i="3"/>
  <c r="D1579" i="3" s="1"/>
  <c r="E1579" i="3"/>
  <c r="G1575" i="4"/>
  <c r="I1575" i="4" s="1"/>
  <c r="N1575" i="4"/>
  <c r="J1575" i="4"/>
  <c r="K1575" i="4" s="1"/>
  <c r="L1575" i="4" s="1"/>
  <c r="M1575" i="4" s="1"/>
  <c r="E1580" i="3"/>
  <c r="B1580" i="3"/>
  <c r="D1580" i="3" s="1"/>
  <c r="N1576" i="4"/>
  <c r="J1576" i="4"/>
  <c r="K1576" i="4" s="1"/>
  <c r="L1576" i="4" s="1"/>
  <c r="M1576" i="4" s="1"/>
  <c r="G1576" i="4"/>
  <c r="H1576" i="4" s="1"/>
  <c r="B1581" i="3"/>
  <c r="D1581" i="3" s="1"/>
  <c r="E1581" i="3"/>
  <c r="C1581" i="3"/>
  <c r="G1577" i="4"/>
  <c r="I1577" i="4" s="1"/>
  <c r="N1577" i="4"/>
  <c r="J1577" i="4"/>
  <c r="K1577" i="4" s="1"/>
  <c r="L1577" i="4" s="1"/>
  <c r="M1577" i="4" s="1"/>
  <c r="E1582" i="3"/>
  <c r="B1582" i="3"/>
  <c r="D1582" i="3" s="1"/>
  <c r="N1578" i="4"/>
  <c r="J1578" i="4"/>
  <c r="I1578" i="4"/>
  <c r="G1578" i="4"/>
  <c r="H1578" i="4" s="1"/>
  <c r="K1578" i="4"/>
  <c r="L1578" i="4" s="1"/>
  <c r="M1578" i="4" s="1"/>
  <c r="B1583" i="3"/>
  <c r="D1583" i="3" s="1"/>
  <c r="E1583" i="3"/>
  <c r="C1583" i="3"/>
  <c r="I1579" i="4"/>
  <c r="G1579" i="4"/>
  <c r="H1579" i="4"/>
  <c r="J1579" i="4"/>
  <c r="K1579" i="4" s="1"/>
  <c r="L1579" i="4" s="1"/>
  <c r="M1579" i="4" s="1"/>
  <c r="N1579" i="4"/>
  <c r="E1584" i="3"/>
  <c r="B1584" i="3"/>
  <c r="D1584" i="3" s="1"/>
  <c r="N1580" i="4"/>
  <c r="J1580" i="4"/>
  <c r="K1580" i="4" s="1"/>
  <c r="L1580" i="4" s="1"/>
  <c r="M1580" i="4" s="1"/>
  <c r="G1580" i="4"/>
  <c r="H1580" i="4" s="1"/>
  <c r="I1580" i="4"/>
  <c r="B1585" i="3"/>
  <c r="D1585" i="3" s="1"/>
  <c r="E1585" i="3"/>
  <c r="C1585" i="3"/>
  <c r="I1581" i="4"/>
  <c r="G1581" i="4"/>
  <c r="N1581" i="4"/>
  <c r="J1581" i="4"/>
  <c r="K1581" i="4" s="1"/>
  <c r="L1581" i="4" s="1"/>
  <c r="M1581" i="4" s="1"/>
  <c r="H1581" i="4"/>
  <c r="E1586" i="3"/>
  <c r="B1586" i="3"/>
  <c r="D1586" i="3" s="1"/>
  <c r="N1582" i="4"/>
  <c r="J1582" i="4"/>
  <c r="K1582" i="4" s="1"/>
  <c r="L1582" i="4" s="1"/>
  <c r="M1582" i="4" s="1"/>
  <c r="G1582" i="4"/>
  <c r="H1582" i="4" s="1"/>
  <c r="B1587" i="3"/>
  <c r="D1587" i="3" s="1"/>
  <c r="E1587" i="3"/>
  <c r="C1587" i="3"/>
  <c r="G1583" i="4"/>
  <c r="I1583" i="4" s="1"/>
  <c r="N1583" i="4"/>
  <c r="J1583" i="4"/>
  <c r="K1583" i="4" s="1"/>
  <c r="L1583" i="4" s="1"/>
  <c r="M1583" i="4" s="1"/>
  <c r="E1588" i="3"/>
  <c r="B1588" i="3"/>
  <c r="D1588" i="3" s="1"/>
  <c r="N1584" i="4"/>
  <c r="J1584" i="4"/>
  <c r="K1584" i="4"/>
  <c r="L1584" i="4" s="1"/>
  <c r="M1584" i="4" s="1"/>
  <c r="G1584" i="4"/>
  <c r="H1584" i="4" s="1"/>
  <c r="I1584" i="4"/>
  <c r="B1589" i="3"/>
  <c r="D1589" i="3" s="1"/>
  <c r="E1589" i="3"/>
  <c r="C1589" i="3"/>
  <c r="I1585" i="4"/>
  <c r="G1585" i="4"/>
  <c r="N1585" i="4"/>
  <c r="J1585" i="4"/>
  <c r="K1585" i="4" s="1"/>
  <c r="L1585" i="4" s="1"/>
  <c r="M1585" i="4" s="1"/>
  <c r="H1585" i="4"/>
  <c r="E1590" i="3"/>
  <c r="B1590" i="3"/>
  <c r="D1590" i="3" s="1"/>
  <c r="N1586" i="4"/>
  <c r="J1586" i="4"/>
  <c r="K1586" i="4" s="1"/>
  <c r="L1586" i="4" s="1"/>
  <c r="M1586" i="4" s="1"/>
  <c r="G1586" i="4"/>
  <c r="H1586" i="4" s="1"/>
  <c r="B1591" i="3"/>
  <c r="D1591" i="3" s="1"/>
  <c r="E1591" i="3"/>
  <c r="C1591" i="3"/>
  <c r="G1587" i="4"/>
  <c r="I1587" i="4" s="1"/>
  <c r="J1587" i="4"/>
  <c r="K1587" i="4" s="1"/>
  <c r="L1587" i="4" s="1"/>
  <c r="M1587" i="4" s="1"/>
  <c r="N1587" i="4"/>
  <c r="E1592" i="3"/>
  <c r="B1592" i="3"/>
  <c r="D1592" i="3" s="1"/>
  <c r="N1588" i="4"/>
  <c r="J1588" i="4"/>
  <c r="K1588" i="4"/>
  <c r="L1588" i="4" s="1"/>
  <c r="M1588" i="4" s="1"/>
  <c r="G1588" i="4"/>
  <c r="H1588" i="4" s="1"/>
  <c r="I1588" i="4"/>
  <c r="B1593" i="3"/>
  <c r="D1593" i="3" s="1"/>
  <c r="E1593" i="3"/>
  <c r="C1593" i="3"/>
  <c r="I1589" i="4"/>
  <c r="G1589" i="4"/>
  <c r="N1589" i="4"/>
  <c r="J1589" i="4"/>
  <c r="K1589" i="4" s="1"/>
  <c r="L1589" i="4" s="1"/>
  <c r="M1589" i="4" s="1"/>
  <c r="H1589" i="4"/>
  <c r="E1594" i="3"/>
  <c r="B1594" i="3"/>
  <c r="D1594" i="3" s="1"/>
  <c r="N1590" i="4"/>
  <c r="J1590" i="4"/>
  <c r="K1590" i="4" s="1"/>
  <c r="L1590" i="4" s="1"/>
  <c r="M1590" i="4" s="1"/>
  <c r="G1590" i="4"/>
  <c r="H1590" i="4" s="1"/>
  <c r="B1595" i="3"/>
  <c r="D1595" i="3" s="1"/>
  <c r="E1595" i="3"/>
  <c r="I1591" i="4"/>
  <c r="G1591" i="4"/>
  <c r="H1591" i="4"/>
  <c r="N1591" i="4"/>
  <c r="J1591" i="4"/>
  <c r="K1591" i="4" s="1"/>
  <c r="L1591" i="4" s="1"/>
  <c r="M1591" i="4" s="1"/>
  <c r="E1596" i="3"/>
  <c r="B1596" i="3"/>
  <c r="D1596" i="3" s="1"/>
  <c r="N1592" i="4"/>
  <c r="J1592" i="4"/>
  <c r="K1592" i="4" s="1"/>
  <c r="L1592" i="4" s="1"/>
  <c r="M1592" i="4" s="1"/>
  <c r="G1592" i="4"/>
  <c r="H1592" i="4" s="1"/>
  <c r="I1592" i="4"/>
  <c r="B1597" i="3"/>
  <c r="D1597" i="3" s="1"/>
  <c r="E1597" i="3"/>
  <c r="C1597" i="3"/>
  <c r="I1593" i="4"/>
  <c r="G1593" i="4"/>
  <c r="N1593" i="4"/>
  <c r="J1593" i="4"/>
  <c r="K1593" i="4" s="1"/>
  <c r="L1593" i="4" s="1"/>
  <c r="M1593" i="4" s="1"/>
  <c r="H1593" i="4"/>
  <c r="E1598" i="3"/>
  <c r="B1598" i="3"/>
  <c r="D1598" i="3" s="1"/>
  <c r="N1594" i="4"/>
  <c r="J1594" i="4"/>
  <c r="K1594" i="4" s="1"/>
  <c r="L1594" i="4" s="1"/>
  <c r="M1594" i="4" s="1"/>
  <c r="G1594" i="4"/>
  <c r="H1594" i="4" s="1"/>
  <c r="B1599" i="3"/>
  <c r="D1599" i="3" s="1"/>
  <c r="E1599" i="3"/>
  <c r="C1599" i="3"/>
  <c r="G1595" i="4"/>
  <c r="I1595" i="4" s="1"/>
  <c r="J1595" i="4"/>
  <c r="K1595" i="4" s="1"/>
  <c r="L1595" i="4" s="1"/>
  <c r="M1595" i="4" s="1"/>
  <c r="N1595" i="4"/>
  <c r="E1600" i="3"/>
  <c r="B1600" i="3"/>
  <c r="D1600" i="3" s="1"/>
  <c r="N1596" i="4"/>
  <c r="J1596" i="4"/>
  <c r="K1596" i="4"/>
  <c r="L1596" i="4" s="1"/>
  <c r="M1596" i="4" s="1"/>
  <c r="G1596" i="4"/>
  <c r="H1596" i="4" s="1"/>
  <c r="I1596" i="4"/>
  <c r="B1601" i="3"/>
  <c r="D1601" i="3" s="1"/>
  <c r="E1601" i="3"/>
  <c r="C1601" i="3"/>
  <c r="I1597" i="4"/>
  <c r="G1597" i="4"/>
  <c r="N1597" i="4"/>
  <c r="J1597" i="4"/>
  <c r="K1597" i="4" s="1"/>
  <c r="L1597" i="4" s="1"/>
  <c r="M1597" i="4" s="1"/>
  <c r="H1597" i="4"/>
  <c r="E1602" i="3"/>
  <c r="B1602" i="3"/>
  <c r="D1602" i="3" s="1"/>
  <c r="N1598" i="4"/>
  <c r="J1598" i="4"/>
  <c r="K1598" i="4" s="1"/>
  <c r="L1598" i="4" s="1"/>
  <c r="M1598" i="4" s="1"/>
  <c r="G1598" i="4"/>
  <c r="H1598" i="4" s="1"/>
  <c r="B1603" i="3"/>
  <c r="D1603" i="3" s="1"/>
  <c r="E1603" i="3"/>
  <c r="I1599" i="4"/>
  <c r="G1599" i="4"/>
  <c r="H1599" i="4"/>
  <c r="N1599" i="4"/>
  <c r="J1599" i="4"/>
  <c r="K1599" i="4" s="1"/>
  <c r="L1599" i="4" s="1"/>
  <c r="M1599" i="4" s="1"/>
  <c r="E1604" i="3"/>
  <c r="B1604" i="3"/>
  <c r="D1604" i="3" s="1"/>
  <c r="N1600" i="4"/>
  <c r="J1600" i="4"/>
  <c r="K1600" i="4" s="1"/>
  <c r="L1600" i="4" s="1"/>
  <c r="M1600" i="4" s="1"/>
  <c r="G1600" i="4"/>
  <c r="H1600" i="4" s="1"/>
  <c r="B1605" i="3"/>
  <c r="D1605" i="3" s="1"/>
  <c r="E1605" i="3"/>
  <c r="C1605" i="3"/>
  <c r="G1601" i="4"/>
  <c r="I1601" i="4" s="1"/>
  <c r="N1601" i="4"/>
  <c r="J1601" i="4"/>
  <c r="K1601" i="4" s="1"/>
  <c r="L1601" i="4" s="1"/>
  <c r="M1601" i="4" s="1"/>
  <c r="E1606" i="3"/>
  <c r="B1606" i="3"/>
  <c r="D1606" i="3" s="1"/>
  <c r="N1602" i="4"/>
  <c r="J1602" i="4"/>
  <c r="I1602" i="4"/>
  <c r="G1602" i="4"/>
  <c r="H1602" i="4" s="1"/>
  <c r="K1602" i="4"/>
  <c r="L1602" i="4" s="1"/>
  <c r="M1602" i="4" s="1"/>
  <c r="B1607" i="3"/>
  <c r="D1607" i="3" s="1"/>
  <c r="E1607" i="3"/>
  <c r="C1607" i="3"/>
  <c r="I1603" i="4"/>
  <c r="G1603" i="4"/>
  <c r="H1603" i="4"/>
  <c r="J1603" i="4"/>
  <c r="K1603" i="4" s="1"/>
  <c r="L1603" i="4" s="1"/>
  <c r="M1603" i="4" s="1"/>
  <c r="N1603" i="4"/>
  <c r="E1608" i="3"/>
  <c r="B1608" i="3"/>
  <c r="D1608" i="3" s="1"/>
  <c r="N1604" i="4"/>
  <c r="J1604" i="4"/>
  <c r="K1604" i="4" s="1"/>
  <c r="L1604" i="4" s="1"/>
  <c r="M1604" i="4" s="1"/>
  <c r="G1604" i="4"/>
  <c r="H1604" i="4" s="1"/>
  <c r="B1609" i="3"/>
  <c r="D1609" i="3" s="1"/>
  <c r="E1609" i="3"/>
  <c r="C1609" i="3"/>
  <c r="G1605" i="4"/>
  <c r="I1605" i="4" s="1"/>
  <c r="N1605" i="4"/>
  <c r="J1605" i="4"/>
  <c r="K1605" i="4" s="1"/>
  <c r="L1605" i="4" s="1"/>
  <c r="M1605" i="4" s="1"/>
  <c r="E1610" i="3"/>
  <c r="B1610" i="3"/>
  <c r="D1610" i="3" s="1"/>
  <c r="N1606" i="4"/>
  <c r="J1606" i="4"/>
  <c r="K1606" i="4" s="1"/>
  <c r="L1606" i="4" s="1"/>
  <c r="M1606" i="4" s="1"/>
  <c r="G1606" i="4"/>
  <c r="H1606" i="4" s="1"/>
  <c r="B1611" i="3"/>
  <c r="D1611" i="3" s="1"/>
  <c r="E1611" i="3"/>
  <c r="C1611" i="3"/>
  <c r="I1607" i="4"/>
  <c r="G1607" i="4"/>
  <c r="H1607" i="4"/>
  <c r="N1607" i="4"/>
  <c r="J1607" i="4"/>
  <c r="K1607" i="4" s="1"/>
  <c r="L1607" i="4" s="1"/>
  <c r="M1607" i="4" s="1"/>
  <c r="E1612" i="3"/>
  <c r="B1612" i="3"/>
  <c r="D1612" i="3" s="1"/>
  <c r="N1608" i="4"/>
  <c r="J1608" i="4"/>
  <c r="K1608" i="4" s="1"/>
  <c r="L1608" i="4" s="1"/>
  <c r="M1608" i="4" s="1"/>
  <c r="G1608" i="4"/>
  <c r="H1608" i="4" s="1"/>
  <c r="B1613" i="3"/>
  <c r="D1613" i="3" s="1"/>
  <c r="E1613" i="3"/>
  <c r="C1613" i="3"/>
  <c r="G1609" i="4"/>
  <c r="I1609" i="4" s="1"/>
  <c r="N1609" i="4"/>
  <c r="J1609" i="4"/>
  <c r="K1609" i="4" s="1"/>
  <c r="L1609" i="4" s="1"/>
  <c r="M1609" i="4" s="1"/>
  <c r="E1614" i="3"/>
  <c r="B1614" i="3"/>
  <c r="D1614" i="3" s="1"/>
  <c r="N1610" i="4"/>
  <c r="J1610" i="4"/>
  <c r="I1610" i="4"/>
  <c r="G1610" i="4"/>
  <c r="H1610" i="4" s="1"/>
  <c r="K1610" i="4"/>
  <c r="L1610" i="4" s="1"/>
  <c r="M1610" i="4" s="1"/>
  <c r="B1615" i="3"/>
  <c r="D1615" i="3" s="1"/>
  <c r="E1615" i="3"/>
  <c r="C1615" i="3"/>
  <c r="I1611" i="4"/>
  <c r="G1611" i="4"/>
  <c r="H1611" i="4"/>
  <c r="J1611" i="4"/>
  <c r="K1611" i="4" s="1"/>
  <c r="L1611" i="4" s="1"/>
  <c r="M1611" i="4" s="1"/>
  <c r="N1611" i="4"/>
  <c r="E1616" i="3"/>
  <c r="B1616" i="3"/>
  <c r="D1616" i="3" s="1"/>
  <c r="N1612" i="4"/>
  <c r="J1612" i="4"/>
  <c r="K1612" i="4" s="1"/>
  <c r="L1612" i="4" s="1"/>
  <c r="M1612" i="4" s="1"/>
  <c r="G1612" i="4"/>
  <c r="H1612" i="4" s="1"/>
  <c r="I1612" i="4"/>
  <c r="B1617" i="3"/>
  <c r="D1617" i="3" s="1"/>
  <c r="E1617" i="3"/>
  <c r="G1613" i="4"/>
  <c r="I1613" i="4" s="1"/>
  <c r="N1613" i="4"/>
  <c r="J1613" i="4"/>
  <c r="K1613" i="4" s="1"/>
  <c r="L1613" i="4" s="1"/>
  <c r="M1613" i="4" s="1"/>
  <c r="E1618" i="3"/>
  <c r="B1618" i="3"/>
  <c r="D1618" i="3" s="1"/>
  <c r="N1614" i="4"/>
  <c r="J1614" i="4"/>
  <c r="K1614" i="4" s="1"/>
  <c r="L1614" i="4" s="1"/>
  <c r="M1614" i="4" s="1"/>
  <c r="G1614" i="4"/>
  <c r="H1614" i="4" s="1"/>
  <c r="B1619" i="3"/>
  <c r="D1619" i="3" s="1"/>
  <c r="E1619" i="3"/>
  <c r="C1619" i="3"/>
  <c r="I1615" i="4"/>
  <c r="G1615" i="4"/>
  <c r="H1615" i="4"/>
  <c r="N1615" i="4"/>
  <c r="J1615" i="4"/>
  <c r="K1615" i="4" s="1"/>
  <c r="L1615" i="4" s="1"/>
  <c r="M1615" i="4" s="1"/>
  <c r="E1620" i="3"/>
  <c r="B1620" i="3"/>
  <c r="D1620" i="3" s="1"/>
  <c r="N1616" i="4"/>
  <c r="J1616" i="4"/>
  <c r="K1616" i="4" s="1"/>
  <c r="L1616" i="4" s="1"/>
  <c r="M1616" i="4" s="1"/>
  <c r="G1616" i="4"/>
  <c r="H1616" i="4" s="1"/>
  <c r="B1621" i="3"/>
  <c r="D1621" i="3" s="1"/>
  <c r="E1621" i="3"/>
  <c r="C1621" i="3"/>
  <c r="G1617" i="4"/>
  <c r="I1617" i="4" s="1"/>
  <c r="N1617" i="4"/>
  <c r="J1617" i="4"/>
  <c r="K1617" i="4" s="1"/>
  <c r="L1617" i="4" s="1"/>
  <c r="M1617" i="4" s="1"/>
  <c r="E1622" i="3"/>
  <c r="B1622" i="3"/>
  <c r="D1622" i="3" s="1"/>
  <c r="N1618" i="4"/>
  <c r="J1618" i="4"/>
  <c r="I1618" i="4"/>
  <c r="G1618" i="4"/>
  <c r="H1618" i="4" s="1"/>
  <c r="K1618" i="4"/>
  <c r="L1618" i="4" s="1"/>
  <c r="M1618" i="4" s="1"/>
  <c r="B1623" i="3"/>
  <c r="D1623" i="3" s="1"/>
  <c r="E1623" i="3"/>
  <c r="C1623" i="3"/>
  <c r="I1619" i="4"/>
  <c r="G1619" i="4"/>
  <c r="H1619" i="4"/>
  <c r="J1619" i="4"/>
  <c r="K1619" i="4" s="1"/>
  <c r="L1619" i="4" s="1"/>
  <c r="M1619" i="4" s="1"/>
  <c r="N1619" i="4"/>
  <c r="E1624" i="3"/>
  <c r="B1624" i="3"/>
  <c r="D1624" i="3" s="1"/>
  <c r="N1620" i="4"/>
  <c r="J1620" i="4"/>
  <c r="K1620" i="4" s="1"/>
  <c r="L1620" i="4" s="1"/>
  <c r="M1620" i="4" s="1"/>
  <c r="G1620" i="4"/>
  <c r="H1620" i="4" s="1"/>
  <c r="B1625" i="3"/>
  <c r="D1625" i="3" s="1"/>
  <c r="E1625" i="3"/>
  <c r="C1625" i="3"/>
  <c r="G1621" i="4"/>
  <c r="I1621" i="4" s="1"/>
  <c r="N1621" i="4"/>
  <c r="J1621" i="4"/>
  <c r="K1621" i="4" s="1"/>
  <c r="L1621" i="4" s="1"/>
  <c r="M1621" i="4" s="1"/>
  <c r="E1626" i="3"/>
  <c r="B1626" i="3"/>
  <c r="D1626" i="3" s="1"/>
  <c r="N1622" i="4"/>
  <c r="J1622" i="4"/>
  <c r="K1622" i="4" s="1"/>
  <c r="L1622" i="4" s="1"/>
  <c r="M1622" i="4" s="1"/>
  <c r="G1622" i="4"/>
  <c r="H1622" i="4" s="1"/>
  <c r="B1627" i="3"/>
  <c r="D1627" i="3" s="1"/>
  <c r="E1627" i="3"/>
  <c r="G1623" i="4"/>
  <c r="I1623" i="4" s="1"/>
  <c r="N1623" i="4"/>
  <c r="J1623" i="4"/>
  <c r="K1623" i="4" s="1"/>
  <c r="L1623" i="4" s="1"/>
  <c r="M1623" i="4" s="1"/>
  <c r="E1628" i="3"/>
  <c r="B1628" i="3"/>
  <c r="D1628" i="3" s="1"/>
  <c r="N1624" i="4"/>
  <c r="J1624" i="4"/>
  <c r="K1624" i="4"/>
  <c r="L1624" i="4" s="1"/>
  <c r="M1624" i="4" s="1"/>
  <c r="G1624" i="4"/>
  <c r="H1624" i="4" s="1"/>
  <c r="I1624" i="4"/>
  <c r="B1629" i="3"/>
  <c r="D1629" i="3" s="1"/>
  <c r="E1629" i="3"/>
  <c r="C1629" i="3"/>
  <c r="I1625" i="4"/>
  <c r="G1625" i="4"/>
  <c r="N1625" i="4"/>
  <c r="J1625" i="4"/>
  <c r="K1625" i="4" s="1"/>
  <c r="L1625" i="4" s="1"/>
  <c r="M1625" i="4" s="1"/>
  <c r="H1625" i="4"/>
  <c r="E1630" i="3"/>
  <c r="B1630" i="3"/>
  <c r="D1630" i="3" s="1"/>
  <c r="N1626" i="4"/>
  <c r="J1626" i="4"/>
  <c r="K1626" i="4" s="1"/>
  <c r="L1626" i="4" s="1"/>
  <c r="M1626" i="4" s="1"/>
  <c r="G1626" i="4"/>
  <c r="H1626" i="4" s="1"/>
  <c r="B1631" i="3"/>
  <c r="D1631" i="3" s="1"/>
  <c r="E1631" i="3"/>
  <c r="C1631" i="3"/>
  <c r="G1627" i="4"/>
  <c r="I1627" i="4" s="1"/>
  <c r="J1627" i="4"/>
  <c r="K1627" i="4" s="1"/>
  <c r="L1627" i="4" s="1"/>
  <c r="M1627" i="4" s="1"/>
  <c r="N1627" i="4"/>
  <c r="E1632" i="3"/>
  <c r="B1632" i="3"/>
  <c r="D1632" i="3" s="1"/>
  <c r="N1628" i="4"/>
  <c r="J1628" i="4"/>
  <c r="K1628" i="4"/>
  <c r="L1628" i="4" s="1"/>
  <c r="M1628" i="4" s="1"/>
  <c r="G1628" i="4"/>
  <c r="H1628" i="4" s="1"/>
  <c r="I1628" i="4"/>
  <c r="B1633" i="3"/>
  <c r="D1633" i="3" s="1"/>
  <c r="E1633" i="3"/>
  <c r="C1633" i="3"/>
  <c r="I1629" i="4"/>
  <c r="G1629" i="4"/>
  <c r="N1629" i="4"/>
  <c r="J1629" i="4"/>
  <c r="K1629" i="4" s="1"/>
  <c r="L1629" i="4" s="1"/>
  <c r="M1629" i="4" s="1"/>
  <c r="H1629" i="4"/>
  <c r="E1634" i="3"/>
  <c r="B1634" i="3"/>
  <c r="D1634" i="3" s="1"/>
  <c r="N1630" i="4"/>
  <c r="J1630" i="4"/>
  <c r="K1630" i="4" s="1"/>
  <c r="L1630" i="4" s="1"/>
  <c r="M1630" i="4" s="1"/>
  <c r="G1630" i="4"/>
  <c r="H1630" i="4" s="1"/>
  <c r="B1635" i="3"/>
  <c r="D1635" i="3" s="1"/>
  <c r="E1635" i="3"/>
  <c r="I1631" i="4"/>
  <c r="G1631" i="4"/>
  <c r="H1631" i="4"/>
  <c r="N1631" i="4"/>
  <c r="J1631" i="4"/>
  <c r="K1631" i="4" s="1"/>
  <c r="L1631" i="4" s="1"/>
  <c r="M1631" i="4" s="1"/>
  <c r="E1636" i="3"/>
  <c r="B1636" i="3"/>
  <c r="D1636" i="3" s="1"/>
  <c r="N1632" i="4"/>
  <c r="J1632" i="4"/>
  <c r="K1632" i="4" s="1"/>
  <c r="L1632" i="4" s="1"/>
  <c r="M1632" i="4" s="1"/>
  <c r="G1632" i="4"/>
  <c r="H1632" i="4" s="1"/>
  <c r="B1637" i="3"/>
  <c r="D1637" i="3" s="1"/>
  <c r="E1637" i="3"/>
  <c r="C1637" i="3"/>
  <c r="G1633" i="4"/>
  <c r="I1633" i="4" s="1"/>
  <c r="N1633" i="4"/>
  <c r="J1633" i="4"/>
  <c r="K1633" i="4" s="1"/>
  <c r="L1633" i="4" s="1"/>
  <c r="M1633" i="4" s="1"/>
  <c r="E1638" i="3"/>
  <c r="B1638" i="3"/>
  <c r="D1638" i="3" s="1"/>
  <c r="N1634" i="4"/>
  <c r="J1634" i="4"/>
  <c r="I1634" i="4"/>
  <c r="G1634" i="4"/>
  <c r="H1634" i="4" s="1"/>
  <c r="K1634" i="4"/>
  <c r="L1634" i="4" s="1"/>
  <c r="M1634" i="4" s="1"/>
  <c r="B1639" i="3"/>
  <c r="D1639" i="3" s="1"/>
  <c r="E1639" i="3"/>
  <c r="C1639" i="3"/>
  <c r="I1635" i="4"/>
  <c r="G1635" i="4"/>
  <c r="H1635" i="4"/>
  <c r="J1635" i="4"/>
  <c r="K1635" i="4" s="1"/>
  <c r="L1635" i="4" s="1"/>
  <c r="M1635" i="4" s="1"/>
  <c r="N1635" i="4"/>
  <c r="E1640" i="3"/>
  <c r="B1640" i="3"/>
  <c r="D1640" i="3" s="1"/>
  <c r="N1636" i="4"/>
  <c r="J1636" i="4"/>
  <c r="K1636" i="4" s="1"/>
  <c r="L1636" i="4" s="1"/>
  <c r="M1636" i="4" s="1"/>
  <c r="G1636" i="4"/>
  <c r="H1636" i="4" s="1"/>
  <c r="I1636" i="4"/>
  <c r="B1641" i="3"/>
  <c r="D1641" i="3" s="1"/>
  <c r="E1641" i="3"/>
  <c r="C1641" i="3"/>
  <c r="I1637" i="4"/>
  <c r="G1637" i="4"/>
  <c r="N1637" i="4"/>
  <c r="J1637" i="4"/>
  <c r="K1637" i="4" s="1"/>
  <c r="L1637" i="4" s="1"/>
  <c r="M1637" i="4" s="1"/>
  <c r="H1637" i="4"/>
  <c r="E1642" i="3"/>
  <c r="B1642" i="3"/>
  <c r="D1642" i="3" s="1"/>
  <c r="N1638" i="4"/>
  <c r="J1638" i="4"/>
  <c r="K1638" i="4" s="1"/>
  <c r="L1638" i="4" s="1"/>
  <c r="M1638" i="4" s="1"/>
  <c r="G1638" i="4"/>
  <c r="H1638" i="4" s="1"/>
  <c r="B1643" i="3"/>
  <c r="D1643" i="3" s="1"/>
  <c r="E1643" i="3"/>
  <c r="C1643" i="3"/>
  <c r="G1639" i="4"/>
  <c r="I1639" i="4" s="1"/>
  <c r="N1639" i="4"/>
  <c r="J1639" i="4"/>
  <c r="K1639" i="4" s="1"/>
  <c r="L1639" i="4" s="1"/>
  <c r="M1639" i="4" s="1"/>
  <c r="E1644" i="3"/>
  <c r="B1644" i="3"/>
  <c r="D1644" i="3" s="1"/>
  <c r="N1640" i="4"/>
  <c r="J1640" i="4"/>
  <c r="K1640" i="4"/>
  <c r="L1640" i="4" s="1"/>
  <c r="M1640" i="4" s="1"/>
  <c r="G1640" i="4"/>
  <c r="H1640" i="4" s="1"/>
  <c r="I1640" i="4"/>
  <c r="B1645" i="3"/>
  <c r="D1645" i="3" s="1"/>
  <c r="E1645" i="3"/>
  <c r="C1645" i="3"/>
  <c r="I1641" i="4"/>
  <c r="G1641" i="4"/>
  <c r="N1641" i="4"/>
  <c r="J1641" i="4"/>
  <c r="K1641" i="4" s="1"/>
  <c r="L1641" i="4" s="1"/>
  <c r="M1641" i="4" s="1"/>
  <c r="H1641" i="4"/>
  <c r="E1646" i="3"/>
  <c r="B1646" i="3"/>
  <c r="D1646" i="3" s="1"/>
  <c r="N1642" i="4"/>
  <c r="J1642" i="4"/>
  <c r="K1642" i="4" s="1"/>
  <c r="L1642" i="4" s="1"/>
  <c r="M1642" i="4" s="1"/>
  <c r="G1642" i="4"/>
  <c r="H1642" i="4" s="1"/>
  <c r="B1647" i="3"/>
  <c r="D1647" i="3" s="1"/>
  <c r="E1647" i="3"/>
  <c r="C1647" i="3"/>
  <c r="G1643" i="4"/>
  <c r="I1643" i="4" s="1"/>
  <c r="J1643" i="4"/>
  <c r="K1643" i="4" s="1"/>
  <c r="L1643" i="4" s="1"/>
  <c r="M1643" i="4" s="1"/>
  <c r="N1643" i="4"/>
  <c r="E1648" i="3"/>
  <c r="B1648" i="3"/>
  <c r="D1648" i="3" s="1"/>
  <c r="N1644" i="4"/>
  <c r="J1644" i="4"/>
  <c r="K1644" i="4"/>
  <c r="L1644" i="4" s="1"/>
  <c r="M1644" i="4" s="1"/>
  <c r="G1644" i="4"/>
  <c r="H1644" i="4" s="1"/>
  <c r="I1644" i="4"/>
  <c r="B1649" i="3"/>
  <c r="D1649" i="3" s="1"/>
  <c r="E1649" i="3"/>
  <c r="C1649" i="3"/>
  <c r="I1645" i="4"/>
  <c r="G1645" i="4"/>
  <c r="N1645" i="4"/>
  <c r="J1645" i="4"/>
  <c r="K1645" i="4" s="1"/>
  <c r="L1645" i="4" s="1"/>
  <c r="M1645" i="4" s="1"/>
  <c r="H1645" i="4"/>
  <c r="E1650" i="3"/>
  <c r="B1650" i="3"/>
  <c r="D1650" i="3" s="1"/>
  <c r="N1646" i="4"/>
  <c r="J1646" i="4"/>
  <c r="K1646" i="4" s="1"/>
  <c r="L1646" i="4" s="1"/>
  <c r="M1646" i="4" s="1"/>
  <c r="G1646" i="4"/>
  <c r="H1646" i="4" s="1"/>
  <c r="B1651" i="3"/>
  <c r="D1651" i="3" s="1"/>
  <c r="E1651" i="3"/>
  <c r="I1647" i="4"/>
  <c r="G1647" i="4"/>
  <c r="H1647" i="4"/>
  <c r="N1647" i="4"/>
  <c r="J1647" i="4"/>
  <c r="K1647" i="4" s="1"/>
  <c r="L1647" i="4" s="1"/>
  <c r="M1647" i="4" s="1"/>
  <c r="E1652" i="3"/>
  <c r="B1652" i="3"/>
  <c r="D1652" i="3" s="1"/>
  <c r="N1648" i="4"/>
  <c r="J1648" i="4"/>
  <c r="K1648" i="4" s="1"/>
  <c r="L1648" i="4" s="1"/>
  <c r="M1648" i="4" s="1"/>
  <c r="G1648" i="4"/>
  <c r="H1648" i="4" s="1"/>
  <c r="I1648" i="4"/>
  <c r="B1653" i="3"/>
  <c r="D1653" i="3" s="1"/>
  <c r="E1653" i="3"/>
  <c r="C1653" i="3"/>
  <c r="I1649" i="4"/>
  <c r="G1649" i="4"/>
  <c r="N1649" i="4"/>
  <c r="J1649" i="4"/>
  <c r="K1649" i="4" s="1"/>
  <c r="L1649" i="4" s="1"/>
  <c r="M1649" i="4" s="1"/>
  <c r="H1649" i="4"/>
  <c r="E1654" i="3"/>
  <c r="B1654" i="3"/>
  <c r="D1654" i="3" s="1"/>
  <c r="N1650" i="4"/>
  <c r="J1650" i="4"/>
  <c r="K1650" i="4" s="1"/>
  <c r="L1650" i="4" s="1"/>
  <c r="M1650" i="4" s="1"/>
  <c r="G1650" i="4"/>
  <c r="H1650" i="4" s="1"/>
  <c r="B1655" i="3"/>
  <c r="D1655" i="3" s="1"/>
  <c r="E1655" i="3"/>
  <c r="C1655" i="3"/>
  <c r="G1651" i="4"/>
  <c r="I1651" i="4" s="1"/>
  <c r="J1651" i="4"/>
  <c r="K1651" i="4" s="1"/>
  <c r="L1651" i="4" s="1"/>
  <c r="M1651" i="4" s="1"/>
  <c r="N1651" i="4"/>
  <c r="E1656" i="3"/>
  <c r="B1656" i="3"/>
  <c r="D1656" i="3" s="1"/>
  <c r="N1652" i="4"/>
  <c r="J1652" i="4"/>
  <c r="K1652" i="4" s="1"/>
  <c r="L1652" i="4" s="1"/>
  <c r="M1652" i="4" s="1"/>
  <c r="G1652" i="4"/>
  <c r="H1652" i="4" s="1"/>
  <c r="B1657" i="3"/>
  <c r="D1657" i="3" s="1"/>
  <c r="E1657" i="3"/>
  <c r="C1657" i="3"/>
  <c r="G1653" i="4"/>
  <c r="I1653" i="4" s="1"/>
  <c r="N1653" i="4"/>
  <c r="J1653" i="4"/>
  <c r="K1653" i="4" s="1"/>
  <c r="L1653" i="4" s="1"/>
  <c r="M1653" i="4" s="1"/>
  <c r="E1658" i="3"/>
  <c r="B1658" i="3"/>
  <c r="D1658" i="3" s="1"/>
  <c r="N1654" i="4"/>
  <c r="J1654" i="4"/>
  <c r="I1654" i="4"/>
  <c r="G1654" i="4"/>
  <c r="H1654" i="4" s="1"/>
  <c r="K1654" i="4"/>
  <c r="L1654" i="4" s="1"/>
  <c r="M1654" i="4" s="1"/>
  <c r="B1659" i="3"/>
  <c r="D1659" i="3" s="1"/>
  <c r="E1659" i="3"/>
  <c r="C1659" i="3"/>
  <c r="I1655" i="4"/>
  <c r="G1655" i="4"/>
  <c r="H1655" i="4"/>
  <c r="J1655" i="4"/>
  <c r="K1655" i="4" s="1"/>
  <c r="L1655" i="4" s="1"/>
  <c r="M1655" i="4" s="1"/>
  <c r="N1655" i="4"/>
  <c r="E1660" i="3"/>
  <c r="B1660" i="3"/>
  <c r="D1660" i="3" s="1"/>
  <c r="N1656" i="4"/>
  <c r="J1656" i="4"/>
  <c r="K1656" i="4" s="1"/>
  <c r="L1656" i="4" s="1"/>
  <c r="M1656" i="4" s="1"/>
  <c r="G1656" i="4"/>
  <c r="H1656" i="4" s="1"/>
  <c r="I1656" i="4"/>
  <c r="B1661" i="3"/>
  <c r="D1661" i="3" s="1"/>
  <c r="E1661" i="3"/>
  <c r="C1661" i="3"/>
  <c r="I1657" i="4"/>
  <c r="G1657" i="4"/>
  <c r="N1657" i="4"/>
  <c r="J1657" i="4"/>
  <c r="K1657" i="4" s="1"/>
  <c r="L1657" i="4" s="1"/>
  <c r="M1657" i="4" s="1"/>
  <c r="H1657" i="4"/>
  <c r="E1662" i="3"/>
  <c r="B1662" i="3"/>
  <c r="D1662" i="3" s="1"/>
  <c r="N1658" i="4"/>
  <c r="J1658" i="4"/>
  <c r="K1658" i="4" s="1"/>
  <c r="L1658" i="4" s="1"/>
  <c r="M1658" i="4" s="1"/>
  <c r="G1658" i="4"/>
  <c r="H1658" i="4" s="1"/>
  <c r="B1663" i="3"/>
  <c r="D1663" i="3" s="1"/>
  <c r="E1663" i="3"/>
  <c r="C1663" i="3"/>
  <c r="G1659" i="4"/>
  <c r="I1659" i="4" s="1"/>
  <c r="N1659" i="4"/>
  <c r="J1659" i="4"/>
  <c r="K1659" i="4" s="1"/>
  <c r="L1659" i="4" s="1"/>
  <c r="M1659" i="4" s="1"/>
  <c r="E1664" i="3"/>
  <c r="B1664" i="3"/>
  <c r="D1664" i="3" s="1"/>
  <c r="N1660" i="4"/>
  <c r="J1660" i="4"/>
  <c r="K1660" i="4"/>
  <c r="L1660" i="4" s="1"/>
  <c r="M1660" i="4" s="1"/>
  <c r="G1660" i="4"/>
  <c r="H1660" i="4" s="1"/>
  <c r="I1660" i="4"/>
  <c r="B1665" i="3"/>
  <c r="D1665" i="3" s="1"/>
  <c r="E1665" i="3"/>
  <c r="C1665" i="3"/>
  <c r="I1661" i="4"/>
  <c r="G1661" i="4"/>
  <c r="N1661" i="4"/>
  <c r="J1661" i="4"/>
  <c r="K1661" i="4" s="1"/>
  <c r="L1661" i="4" s="1"/>
  <c r="M1661" i="4" s="1"/>
  <c r="H1661" i="4"/>
  <c r="E1666" i="3"/>
  <c r="B1666" i="3"/>
  <c r="D1666" i="3" s="1"/>
  <c r="N1662" i="4"/>
  <c r="J1662" i="4"/>
  <c r="K1662" i="4" s="1"/>
  <c r="L1662" i="4" s="1"/>
  <c r="M1662" i="4" s="1"/>
  <c r="G1662" i="4"/>
  <c r="H1662" i="4" s="1"/>
  <c r="B1667" i="3"/>
  <c r="D1667" i="3" s="1"/>
  <c r="E1667" i="3"/>
  <c r="C1667" i="3"/>
  <c r="G1663" i="4"/>
  <c r="I1663" i="4" s="1"/>
  <c r="J1663" i="4"/>
  <c r="K1663" i="4" s="1"/>
  <c r="L1663" i="4" s="1"/>
  <c r="M1663" i="4" s="1"/>
  <c r="N1663" i="4"/>
  <c r="E1668" i="3"/>
  <c r="B1668" i="3"/>
  <c r="D1668" i="3" s="1"/>
  <c r="N1664" i="4"/>
  <c r="J1664" i="4"/>
  <c r="K1664" i="4"/>
  <c r="L1664" i="4" s="1"/>
  <c r="M1664" i="4" s="1"/>
  <c r="G1664" i="4"/>
  <c r="H1664" i="4" s="1"/>
  <c r="I1664" i="4"/>
  <c r="B1669" i="3"/>
  <c r="D1669" i="3" s="1"/>
  <c r="E1669" i="3"/>
  <c r="C1669" i="3"/>
  <c r="I1665" i="4"/>
  <c r="G1665" i="4"/>
  <c r="N1665" i="4"/>
  <c r="J1665" i="4"/>
  <c r="K1665" i="4" s="1"/>
  <c r="L1665" i="4" s="1"/>
  <c r="M1665" i="4" s="1"/>
  <c r="H1665" i="4"/>
  <c r="E1670" i="3"/>
  <c r="B1670" i="3"/>
  <c r="D1670" i="3" s="1"/>
  <c r="N1666" i="4"/>
  <c r="J1666" i="4"/>
  <c r="K1666" i="4" s="1"/>
  <c r="L1666" i="4" s="1"/>
  <c r="M1666" i="4" s="1"/>
  <c r="G1666" i="4"/>
  <c r="H1666" i="4" s="1"/>
  <c r="B1671" i="3"/>
  <c r="D1671" i="3" s="1"/>
  <c r="E1671" i="3"/>
  <c r="C1671" i="3"/>
  <c r="G1667" i="4"/>
  <c r="I1667" i="4" s="1"/>
  <c r="N1667" i="4"/>
  <c r="J1667" i="4"/>
  <c r="K1667" i="4" s="1"/>
  <c r="L1667" i="4" s="1"/>
  <c r="M1667" i="4" s="1"/>
  <c r="E1672" i="3"/>
  <c r="B1672" i="3"/>
  <c r="D1672" i="3" s="1"/>
  <c r="N1668" i="4"/>
  <c r="J1668" i="4"/>
  <c r="K1668" i="4"/>
  <c r="L1668" i="4" s="1"/>
  <c r="M1668" i="4" s="1"/>
  <c r="G1668" i="4"/>
  <c r="H1668" i="4" s="1"/>
  <c r="I1668" i="4"/>
  <c r="B1673" i="3"/>
  <c r="D1673" i="3" s="1"/>
  <c r="E1673" i="3"/>
  <c r="C1673" i="3"/>
  <c r="I1669" i="4"/>
  <c r="G1669" i="4"/>
  <c r="N1669" i="4"/>
  <c r="J1669" i="4"/>
  <c r="K1669" i="4" s="1"/>
  <c r="L1669" i="4" s="1"/>
  <c r="M1669" i="4" s="1"/>
  <c r="H1669" i="4"/>
  <c r="E1674" i="3"/>
  <c r="B1674" i="3"/>
  <c r="D1674" i="3" s="1"/>
  <c r="N1670" i="4"/>
  <c r="J1670" i="4"/>
  <c r="K1670" i="4" s="1"/>
  <c r="L1670" i="4" s="1"/>
  <c r="M1670" i="4" s="1"/>
  <c r="G1670" i="4"/>
  <c r="H1670" i="4" s="1"/>
  <c r="B1675" i="3"/>
  <c r="D1675" i="3" s="1"/>
  <c r="E1675" i="3"/>
  <c r="C1675" i="3"/>
  <c r="G1671" i="4"/>
  <c r="I1671" i="4" s="1"/>
  <c r="J1671" i="4"/>
  <c r="K1671" i="4" s="1"/>
  <c r="L1671" i="4" s="1"/>
  <c r="M1671" i="4" s="1"/>
  <c r="N1671" i="4"/>
  <c r="E1676" i="3"/>
  <c r="B1676" i="3"/>
  <c r="D1676" i="3" s="1"/>
  <c r="N1672" i="4"/>
  <c r="J1672" i="4"/>
  <c r="K1672" i="4" s="1"/>
  <c r="L1672" i="4" s="1"/>
  <c r="M1672" i="4" s="1"/>
  <c r="G1672" i="4"/>
  <c r="H1672" i="4" s="1"/>
  <c r="B1677" i="3"/>
  <c r="D1677" i="3" s="1"/>
  <c r="E1677" i="3"/>
  <c r="C1677" i="3"/>
  <c r="G1673" i="4"/>
  <c r="I1673" i="4" s="1"/>
  <c r="N1673" i="4"/>
  <c r="J1673" i="4"/>
  <c r="K1673" i="4" s="1"/>
  <c r="L1673" i="4" s="1"/>
  <c r="M1673" i="4" s="1"/>
  <c r="E1678" i="3"/>
  <c r="B1678" i="3"/>
  <c r="D1678" i="3" s="1"/>
  <c r="N1674" i="4"/>
  <c r="J1674" i="4"/>
  <c r="K1674" i="4" s="1"/>
  <c r="L1674" i="4" s="1"/>
  <c r="M1674" i="4" s="1"/>
  <c r="G1674" i="4"/>
  <c r="H1674" i="4" s="1"/>
  <c r="B1679" i="3"/>
  <c r="D1679" i="3" s="1"/>
  <c r="E1679" i="3"/>
  <c r="C1679" i="3"/>
  <c r="I1675" i="4"/>
  <c r="G1675" i="4"/>
  <c r="H1675" i="4"/>
  <c r="N1675" i="4"/>
  <c r="J1675" i="4"/>
  <c r="K1675" i="4" s="1"/>
  <c r="L1675" i="4" s="1"/>
  <c r="M1675" i="4" s="1"/>
  <c r="E1680" i="3"/>
  <c r="B1680" i="3"/>
  <c r="D1680" i="3" s="1"/>
  <c r="N1676" i="4"/>
  <c r="J1676" i="4"/>
  <c r="K1676" i="4" s="1"/>
  <c r="L1676" i="4" s="1"/>
  <c r="M1676" i="4" s="1"/>
  <c r="G1676" i="4"/>
  <c r="H1676" i="4" s="1"/>
  <c r="B1681" i="3"/>
  <c r="D1681" i="3" s="1"/>
  <c r="E1681" i="3"/>
  <c r="C1681" i="3"/>
  <c r="G1677" i="4"/>
  <c r="I1677" i="4" s="1"/>
  <c r="N1677" i="4"/>
  <c r="J1677" i="4"/>
  <c r="K1677" i="4" s="1"/>
  <c r="L1677" i="4" s="1"/>
  <c r="M1677" i="4" s="1"/>
  <c r="E1682" i="3"/>
  <c r="B1682" i="3"/>
  <c r="D1682" i="3" s="1"/>
  <c r="N1678" i="4"/>
  <c r="J1678" i="4"/>
  <c r="I1678" i="4"/>
  <c r="G1678" i="4"/>
  <c r="H1678" i="4" s="1"/>
  <c r="K1678" i="4"/>
  <c r="L1678" i="4" s="1"/>
  <c r="M1678" i="4" s="1"/>
  <c r="B1683" i="3"/>
  <c r="D1683" i="3" s="1"/>
  <c r="E1683" i="3"/>
  <c r="C1683" i="3"/>
  <c r="I1679" i="4"/>
  <c r="G1679" i="4"/>
  <c r="H1679" i="4"/>
  <c r="J1679" i="4"/>
  <c r="K1679" i="4" s="1"/>
  <c r="L1679" i="4" s="1"/>
  <c r="M1679" i="4" s="1"/>
  <c r="N1679" i="4"/>
  <c r="E1684" i="3"/>
  <c r="B1684" i="3"/>
  <c r="D1684" i="3" s="1"/>
  <c r="N1680" i="4"/>
  <c r="J1680" i="4"/>
  <c r="K1680" i="4" s="1"/>
  <c r="L1680" i="4" s="1"/>
  <c r="M1680" i="4" s="1"/>
  <c r="G1680" i="4"/>
  <c r="H1680" i="4" s="1"/>
  <c r="B1685" i="3"/>
  <c r="D1685" i="3" s="1"/>
  <c r="E1685" i="3"/>
  <c r="C1685" i="3"/>
  <c r="G1681" i="4"/>
  <c r="I1681" i="4" s="1"/>
  <c r="N1681" i="4"/>
  <c r="J1681" i="4"/>
  <c r="K1681" i="4" s="1"/>
  <c r="L1681" i="4" s="1"/>
  <c r="M1681" i="4" s="1"/>
  <c r="E1686" i="3"/>
  <c r="B1686" i="3"/>
  <c r="D1686" i="3" s="1"/>
  <c r="N1682" i="4"/>
  <c r="J1682" i="4"/>
  <c r="K1682" i="4" s="1"/>
  <c r="L1682" i="4" s="1"/>
  <c r="M1682" i="4" s="1"/>
  <c r="G1682" i="4"/>
  <c r="H1682" i="4" s="1"/>
  <c r="B1687" i="3"/>
  <c r="D1687" i="3" s="1"/>
  <c r="E1687" i="3"/>
  <c r="G1683" i="4"/>
  <c r="I1683" i="4" s="1"/>
  <c r="N1683" i="4"/>
  <c r="J1683" i="4"/>
  <c r="K1683" i="4" s="1"/>
  <c r="L1683" i="4" s="1"/>
  <c r="M1683" i="4" s="1"/>
  <c r="E1688" i="3"/>
  <c r="B1688" i="3"/>
  <c r="D1688" i="3" s="1"/>
  <c r="N1684" i="4"/>
  <c r="J1684" i="4"/>
  <c r="K1684" i="4"/>
  <c r="L1684" i="4" s="1"/>
  <c r="M1684" i="4" s="1"/>
  <c r="G1684" i="4"/>
  <c r="H1684" i="4" s="1"/>
  <c r="I1684" i="4"/>
  <c r="B1689" i="3"/>
  <c r="D1689" i="3" s="1"/>
  <c r="E1689" i="3"/>
  <c r="C1689" i="3"/>
  <c r="I1685" i="4"/>
  <c r="G1685" i="4"/>
  <c r="N1685" i="4"/>
  <c r="J1685" i="4"/>
  <c r="K1685" i="4" s="1"/>
  <c r="L1685" i="4" s="1"/>
  <c r="M1685" i="4" s="1"/>
  <c r="H1685" i="4"/>
  <c r="E1690" i="3"/>
  <c r="B1690" i="3"/>
  <c r="D1690" i="3" s="1"/>
  <c r="N1686" i="4"/>
  <c r="J1686" i="4"/>
  <c r="K1686" i="4" s="1"/>
  <c r="L1686" i="4" s="1"/>
  <c r="M1686" i="4" s="1"/>
  <c r="G1686" i="4"/>
  <c r="H1686" i="4" s="1"/>
  <c r="B1691" i="3"/>
  <c r="D1691" i="3" s="1"/>
  <c r="E1691" i="3"/>
  <c r="C1691" i="3"/>
  <c r="G1687" i="4"/>
  <c r="I1687" i="4" s="1"/>
  <c r="J1687" i="4"/>
  <c r="K1687" i="4" s="1"/>
  <c r="L1687" i="4" s="1"/>
  <c r="M1687" i="4" s="1"/>
  <c r="N1687" i="4"/>
  <c r="E1692" i="3"/>
  <c r="B1692" i="3"/>
  <c r="D1692" i="3" s="1"/>
  <c r="N1688" i="4"/>
  <c r="J1688" i="4"/>
  <c r="K1688" i="4"/>
  <c r="L1688" i="4" s="1"/>
  <c r="M1688" i="4" s="1"/>
  <c r="G1688" i="4"/>
  <c r="H1688" i="4" s="1"/>
  <c r="I1688" i="4"/>
  <c r="B1693" i="3"/>
  <c r="D1693" i="3" s="1"/>
  <c r="E1693" i="3"/>
  <c r="C1693" i="3"/>
  <c r="I1689" i="4"/>
  <c r="G1689" i="4"/>
  <c r="N1689" i="4"/>
  <c r="J1689" i="4"/>
  <c r="K1689" i="4" s="1"/>
  <c r="L1689" i="4" s="1"/>
  <c r="M1689" i="4" s="1"/>
  <c r="H1689" i="4"/>
  <c r="E1694" i="3"/>
  <c r="B1694" i="3"/>
  <c r="D1694" i="3" s="1"/>
  <c r="N1690" i="4"/>
  <c r="J1690" i="4"/>
  <c r="K1690" i="4" s="1"/>
  <c r="L1690" i="4" s="1"/>
  <c r="M1690" i="4" s="1"/>
  <c r="G1690" i="4"/>
  <c r="H1690" i="4" s="1"/>
  <c r="B1695" i="3"/>
  <c r="D1695" i="3" s="1"/>
  <c r="E1695" i="3"/>
  <c r="I1691" i="4"/>
  <c r="G1691" i="4"/>
  <c r="H1691" i="4"/>
  <c r="N1691" i="4"/>
  <c r="J1691" i="4"/>
  <c r="K1691" i="4" s="1"/>
  <c r="L1691" i="4" s="1"/>
  <c r="M1691" i="4" s="1"/>
  <c r="E1696" i="3"/>
  <c r="B1696" i="3"/>
  <c r="D1696" i="3" s="1"/>
  <c r="N1692" i="4"/>
  <c r="J1692" i="4"/>
  <c r="K1692" i="4" s="1"/>
  <c r="L1692" i="4" s="1"/>
  <c r="M1692" i="4" s="1"/>
  <c r="G1692" i="4"/>
  <c r="H1692" i="4" s="1"/>
  <c r="B1697" i="3"/>
  <c r="D1697" i="3" s="1"/>
  <c r="E1697" i="3"/>
  <c r="C1697" i="3"/>
  <c r="G1693" i="4"/>
  <c r="I1693" i="4" s="1"/>
  <c r="N1693" i="4"/>
  <c r="J1693" i="4"/>
  <c r="K1693" i="4" s="1"/>
  <c r="L1693" i="4" s="1"/>
  <c r="M1693" i="4" s="1"/>
  <c r="E1698" i="3"/>
  <c r="B1698" i="3"/>
  <c r="D1698" i="3" s="1"/>
  <c r="N1694" i="4"/>
  <c r="J1694" i="4"/>
  <c r="I1694" i="4"/>
  <c r="G1694" i="4"/>
  <c r="H1694" i="4" s="1"/>
  <c r="K1694" i="4"/>
  <c r="L1694" i="4" s="1"/>
  <c r="M1694" i="4" s="1"/>
  <c r="B1699" i="3"/>
  <c r="D1699" i="3" s="1"/>
  <c r="E1699" i="3"/>
  <c r="C1699" i="3"/>
  <c r="I1695" i="4"/>
  <c r="G1695" i="4"/>
  <c r="H1695" i="4"/>
  <c r="J1695" i="4"/>
  <c r="K1695" i="4" s="1"/>
  <c r="L1695" i="4" s="1"/>
  <c r="M1695" i="4" s="1"/>
  <c r="N1695" i="4"/>
  <c r="E1700" i="3"/>
  <c r="B1700" i="3"/>
  <c r="D1700" i="3" s="1"/>
  <c r="N1696" i="4"/>
  <c r="J1696" i="4"/>
  <c r="K1696" i="4" s="1"/>
  <c r="L1696" i="4" s="1"/>
  <c r="M1696" i="4" s="1"/>
  <c r="G1696" i="4"/>
  <c r="H1696" i="4" s="1"/>
  <c r="I1696" i="4"/>
  <c r="B1701" i="3"/>
  <c r="D1701" i="3" s="1"/>
  <c r="E1701" i="3"/>
  <c r="C1701" i="3"/>
  <c r="N1697" i="4"/>
  <c r="G1697" i="4"/>
  <c r="I1697" i="4" s="1"/>
  <c r="J1697" i="4"/>
  <c r="K1697" i="4" s="1"/>
  <c r="L1697" i="4" s="1"/>
  <c r="M1697" i="4" s="1"/>
  <c r="H1697" i="4"/>
  <c r="E1702" i="3"/>
  <c r="B1702" i="3"/>
  <c r="D1702" i="3" s="1"/>
  <c r="G1698" i="4"/>
  <c r="I1698" i="4" s="1"/>
  <c r="N1698" i="4"/>
  <c r="J1698" i="4"/>
  <c r="K1698" i="4" s="1"/>
  <c r="L1698" i="4" s="1"/>
  <c r="M1698" i="4" s="1"/>
  <c r="B1703" i="3"/>
  <c r="D1703" i="3" s="1"/>
  <c r="E1703" i="3"/>
  <c r="C1703" i="3"/>
  <c r="N1699" i="4"/>
  <c r="J1699" i="4"/>
  <c r="K1699" i="4" s="1"/>
  <c r="L1699" i="4" s="1"/>
  <c r="M1699" i="4" s="1"/>
  <c r="G1699" i="4"/>
  <c r="H1699" i="4" s="1"/>
  <c r="E1704" i="3"/>
  <c r="B1704" i="3"/>
  <c r="D1704" i="3" s="1"/>
  <c r="I1700" i="4"/>
  <c r="G1700" i="4"/>
  <c r="H1700" i="4"/>
  <c r="J1700" i="4"/>
  <c r="K1700" i="4" s="1"/>
  <c r="L1700" i="4" s="1"/>
  <c r="M1700" i="4" s="1"/>
  <c r="N1700" i="4"/>
  <c r="B1705" i="3"/>
  <c r="D1705" i="3" s="1"/>
  <c r="E1705" i="3"/>
  <c r="N1701" i="4"/>
  <c r="J1701" i="4"/>
  <c r="K1701" i="4" s="1"/>
  <c r="L1701" i="4" s="1"/>
  <c r="M1701" i="4" s="1"/>
  <c r="G1701" i="4"/>
  <c r="H1701" i="4" s="1"/>
  <c r="I1701" i="4"/>
  <c r="E1706" i="3"/>
  <c r="B1706" i="3"/>
  <c r="D1706" i="3" s="1"/>
  <c r="G1702" i="4"/>
  <c r="I1702" i="4" s="1"/>
  <c r="N1702" i="4"/>
  <c r="J1702" i="4"/>
  <c r="K1702" i="4" s="1"/>
  <c r="L1702" i="4" s="1"/>
  <c r="M1702" i="4" s="1"/>
  <c r="B1707" i="3"/>
  <c r="D1707" i="3" s="1"/>
  <c r="E1707" i="3"/>
  <c r="C1707" i="3"/>
  <c r="N1703" i="4"/>
  <c r="J1703" i="4"/>
  <c r="K1703" i="4" s="1"/>
  <c r="L1703" i="4" s="1"/>
  <c r="M1703" i="4" s="1"/>
  <c r="G1703" i="4"/>
  <c r="H1703" i="4" s="1"/>
  <c r="E1708" i="3"/>
  <c r="B1708" i="3"/>
  <c r="D1708" i="3" s="1"/>
  <c r="I1704" i="4"/>
  <c r="G1704" i="4"/>
  <c r="H1704" i="4"/>
  <c r="N1704" i="4"/>
  <c r="J1704" i="4"/>
  <c r="K1704" i="4" s="1"/>
  <c r="L1704" i="4" s="1"/>
  <c r="M1704" i="4" s="1"/>
  <c r="B1709" i="3"/>
  <c r="D1709" i="3" s="1"/>
  <c r="E1709" i="3"/>
  <c r="N1705" i="4"/>
  <c r="J1705" i="4"/>
  <c r="K1705" i="4" s="1"/>
  <c r="L1705" i="4" s="1"/>
  <c r="M1705" i="4" s="1"/>
  <c r="G1705" i="4"/>
  <c r="H1705" i="4" s="1"/>
  <c r="I1705" i="4"/>
  <c r="E1710" i="3"/>
  <c r="B1710" i="3"/>
  <c r="D1710" i="3" s="1"/>
  <c r="G1706" i="4"/>
  <c r="I1706" i="4" s="1"/>
  <c r="N1706" i="4"/>
  <c r="J1706" i="4"/>
  <c r="K1706" i="4" s="1"/>
  <c r="L1706" i="4" s="1"/>
  <c r="M1706" i="4" s="1"/>
  <c r="B1711" i="3"/>
  <c r="D1711" i="3" s="1"/>
  <c r="E1711" i="3"/>
  <c r="C1711" i="3"/>
  <c r="N1707" i="4"/>
  <c r="J1707" i="4"/>
  <c r="K1707" i="4" s="1"/>
  <c r="L1707" i="4" s="1"/>
  <c r="M1707" i="4" s="1"/>
  <c r="G1707" i="4"/>
  <c r="H1707" i="4" s="1"/>
  <c r="E1712" i="3"/>
  <c r="B1712" i="3"/>
  <c r="D1712" i="3" s="1"/>
  <c r="I1708" i="4"/>
  <c r="G1708" i="4"/>
  <c r="H1708" i="4"/>
  <c r="J1708" i="4"/>
  <c r="K1708" i="4" s="1"/>
  <c r="L1708" i="4" s="1"/>
  <c r="M1708" i="4" s="1"/>
  <c r="N1708" i="4"/>
  <c r="B1713" i="3"/>
  <c r="D1713" i="3" s="1"/>
  <c r="E1713" i="3"/>
  <c r="N1709" i="4"/>
  <c r="J1709" i="4"/>
  <c r="K1709" i="4" s="1"/>
  <c r="L1709" i="4" s="1"/>
  <c r="M1709" i="4" s="1"/>
  <c r="G1709" i="4"/>
  <c r="H1709" i="4" s="1"/>
  <c r="I1709" i="4"/>
  <c r="E1714" i="3"/>
  <c r="B1714" i="3"/>
  <c r="D1714" i="3" s="1"/>
  <c r="G1710" i="4"/>
  <c r="I1710" i="4" s="1"/>
  <c r="N1710" i="4"/>
  <c r="J1710" i="4"/>
  <c r="K1710" i="4" s="1"/>
  <c r="L1710" i="4" s="1"/>
  <c r="M1710" i="4" s="1"/>
  <c r="B1715" i="3"/>
  <c r="D1715" i="3" s="1"/>
  <c r="E1715" i="3"/>
  <c r="C1715" i="3"/>
  <c r="N1711" i="4"/>
  <c r="J1711" i="4"/>
  <c r="K1711" i="4" s="1"/>
  <c r="L1711" i="4" s="1"/>
  <c r="M1711" i="4" s="1"/>
  <c r="G1711" i="4"/>
  <c r="H1711" i="4" s="1"/>
  <c r="E1716" i="3"/>
  <c r="B1716" i="3"/>
  <c r="D1716" i="3" s="1"/>
  <c r="I1712" i="4"/>
  <c r="G1712" i="4"/>
  <c r="H1712" i="4"/>
  <c r="N1712" i="4"/>
  <c r="J1712" i="4"/>
  <c r="K1712" i="4" s="1"/>
  <c r="L1712" i="4" s="1"/>
  <c r="M1712" i="4" s="1"/>
  <c r="B1717" i="3"/>
  <c r="D1717" i="3" s="1"/>
  <c r="E1717" i="3"/>
  <c r="N1713" i="4"/>
  <c r="J1713" i="4"/>
  <c r="K1713" i="4" s="1"/>
  <c r="L1713" i="4" s="1"/>
  <c r="M1713" i="4" s="1"/>
  <c r="G1713" i="4"/>
  <c r="H1713" i="4" s="1"/>
  <c r="I1713" i="4"/>
  <c r="E1718" i="3"/>
  <c r="B1718" i="3"/>
  <c r="D1718" i="3" s="1"/>
  <c r="G1714" i="4"/>
  <c r="I1714" i="4" s="1"/>
  <c r="N1714" i="4"/>
  <c r="J1714" i="4"/>
  <c r="K1714" i="4" s="1"/>
  <c r="L1714" i="4" s="1"/>
  <c r="M1714" i="4" s="1"/>
  <c r="B1719" i="3"/>
  <c r="D1719" i="3" s="1"/>
  <c r="E1719" i="3"/>
  <c r="C1719" i="3"/>
  <c r="N1715" i="4"/>
  <c r="J1715" i="4"/>
  <c r="K1715" i="4" s="1"/>
  <c r="L1715" i="4" s="1"/>
  <c r="M1715" i="4" s="1"/>
  <c r="G1715" i="4"/>
  <c r="H1715" i="4" s="1"/>
  <c r="E1720" i="3"/>
  <c r="B1720" i="3"/>
  <c r="D1720" i="3" s="1"/>
  <c r="I1716" i="4"/>
  <c r="G1716" i="4"/>
  <c r="H1716" i="4"/>
  <c r="J1716" i="4"/>
  <c r="K1716" i="4" s="1"/>
  <c r="L1716" i="4" s="1"/>
  <c r="M1716" i="4" s="1"/>
  <c r="N1716" i="4"/>
  <c r="B1721" i="3"/>
  <c r="D1721" i="3" s="1"/>
  <c r="E1721" i="3"/>
  <c r="N1717" i="4"/>
  <c r="J1717" i="4"/>
  <c r="K1717" i="4" s="1"/>
  <c r="L1717" i="4" s="1"/>
  <c r="M1717" i="4" s="1"/>
  <c r="G1717" i="4"/>
  <c r="H1717" i="4" s="1"/>
  <c r="I1717" i="4"/>
  <c r="E1722" i="3"/>
  <c r="B1722" i="3"/>
  <c r="D1722" i="3" s="1"/>
  <c r="G1718" i="4"/>
  <c r="I1718" i="4" s="1"/>
  <c r="N1718" i="4"/>
  <c r="J1718" i="4"/>
  <c r="K1718" i="4" s="1"/>
  <c r="L1718" i="4" s="1"/>
  <c r="M1718" i="4" s="1"/>
  <c r="B1723" i="3"/>
  <c r="D1723" i="3" s="1"/>
  <c r="E1723" i="3"/>
  <c r="C1723" i="3"/>
  <c r="N1719" i="4"/>
  <c r="J1719" i="4"/>
  <c r="K1719" i="4" s="1"/>
  <c r="L1719" i="4" s="1"/>
  <c r="M1719" i="4" s="1"/>
  <c r="G1719" i="4"/>
  <c r="H1719" i="4" s="1"/>
  <c r="E1724" i="3"/>
  <c r="B1724" i="3"/>
  <c r="D1724" i="3" s="1"/>
  <c r="I1720" i="4"/>
  <c r="G1720" i="4"/>
  <c r="H1720" i="4"/>
  <c r="N1720" i="4"/>
  <c r="J1720" i="4"/>
  <c r="K1720" i="4" s="1"/>
  <c r="L1720" i="4" s="1"/>
  <c r="M1720" i="4" s="1"/>
  <c r="B1725" i="3"/>
  <c r="D1725" i="3" s="1"/>
  <c r="E1725" i="3"/>
  <c r="N1721" i="4"/>
  <c r="J1721" i="4"/>
  <c r="K1721" i="4" s="1"/>
  <c r="L1721" i="4" s="1"/>
  <c r="M1721" i="4" s="1"/>
  <c r="G1721" i="4"/>
  <c r="H1721" i="4" s="1"/>
  <c r="I1721" i="4"/>
  <c r="E1726" i="3"/>
  <c r="B1726" i="3"/>
  <c r="D1726" i="3" s="1"/>
  <c r="G1722" i="4"/>
  <c r="I1722" i="4" s="1"/>
  <c r="N1722" i="4"/>
  <c r="J1722" i="4"/>
  <c r="K1722" i="4" s="1"/>
  <c r="L1722" i="4" s="1"/>
  <c r="M1722" i="4" s="1"/>
  <c r="B1727" i="3"/>
  <c r="D1727" i="3" s="1"/>
  <c r="E1727" i="3"/>
  <c r="C1727" i="3"/>
  <c r="N1723" i="4"/>
  <c r="J1723" i="4"/>
  <c r="K1723" i="4" s="1"/>
  <c r="L1723" i="4" s="1"/>
  <c r="M1723" i="4" s="1"/>
  <c r="G1723" i="4"/>
  <c r="H1723" i="4" s="1"/>
  <c r="E1728" i="3"/>
  <c r="B1728" i="3"/>
  <c r="D1728" i="3" s="1"/>
  <c r="I1724" i="4"/>
  <c r="G1724" i="4"/>
  <c r="H1724" i="4"/>
  <c r="J1724" i="4"/>
  <c r="K1724" i="4" s="1"/>
  <c r="L1724" i="4" s="1"/>
  <c r="M1724" i="4" s="1"/>
  <c r="N1724" i="4"/>
  <c r="B1729" i="3"/>
  <c r="D1729" i="3" s="1"/>
  <c r="E1729" i="3"/>
  <c r="N1725" i="4"/>
  <c r="J1725" i="4"/>
  <c r="K1725" i="4" s="1"/>
  <c r="L1725" i="4" s="1"/>
  <c r="M1725" i="4" s="1"/>
  <c r="G1725" i="4"/>
  <c r="H1725" i="4" s="1"/>
  <c r="I1725" i="4"/>
  <c r="E1730" i="3"/>
  <c r="B1730" i="3"/>
  <c r="D1730" i="3" s="1"/>
  <c r="G1726" i="4"/>
  <c r="I1726" i="4" s="1"/>
  <c r="N1726" i="4"/>
  <c r="J1726" i="4"/>
  <c r="K1726" i="4" s="1"/>
  <c r="L1726" i="4" s="1"/>
  <c r="M1726" i="4" s="1"/>
  <c r="B1731" i="3"/>
  <c r="D1731" i="3" s="1"/>
  <c r="E1731" i="3"/>
  <c r="C1731" i="3"/>
  <c r="N1727" i="4"/>
  <c r="J1727" i="4"/>
  <c r="K1727" i="4" s="1"/>
  <c r="L1727" i="4" s="1"/>
  <c r="M1727" i="4" s="1"/>
  <c r="G1727" i="4"/>
  <c r="H1727" i="4" s="1"/>
  <c r="E1732" i="3"/>
  <c r="B1732" i="3"/>
  <c r="D1732" i="3" s="1"/>
  <c r="I1728" i="4"/>
  <c r="G1728" i="4"/>
  <c r="H1728" i="4"/>
  <c r="N1728" i="4"/>
  <c r="J1728" i="4"/>
  <c r="K1728" i="4" s="1"/>
  <c r="L1728" i="4" s="1"/>
  <c r="M1728" i="4" s="1"/>
  <c r="B1733" i="3"/>
  <c r="D1733" i="3" s="1"/>
  <c r="E1733" i="3"/>
  <c r="N1729" i="4"/>
  <c r="J1729" i="4"/>
  <c r="K1729" i="4" s="1"/>
  <c r="L1729" i="4" s="1"/>
  <c r="M1729" i="4" s="1"/>
  <c r="G1729" i="4"/>
  <c r="H1729" i="4" s="1"/>
  <c r="I1729" i="4"/>
  <c r="E1734" i="3"/>
  <c r="B1734" i="3"/>
  <c r="D1734" i="3" s="1"/>
  <c r="G1730" i="4"/>
  <c r="I1730" i="4" s="1"/>
  <c r="N1730" i="4"/>
  <c r="J1730" i="4"/>
  <c r="K1730" i="4" s="1"/>
  <c r="L1730" i="4" s="1"/>
  <c r="M1730" i="4" s="1"/>
  <c r="B1735" i="3"/>
  <c r="D1735" i="3" s="1"/>
  <c r="E1735" i="3"/>
  <c r="C1735" i="3"/>
  <c r="N1731" i="4"/>
  <c r="J1731" i="4"/>
  <c r="K1731" i="4" s="1"/>
  <c r="L1731" i="4" s="1"/>
  <c r="M1731" i="4" s="1"/>
  <c r="G1731" i="4"/>
  <c r="H1731" i="4" s="1"/>
  <c r="E1736" i="3"/>
  <c r="B1736" i="3"/>
  <c r="D1736" i="3" s="1"/>
  <c r="I1732" i="4"/>
  <c r="G1732" i="4"/>
  <c r="H1732" i="4"/>
  <c r="J1732" i="4"/>
  <c r="K1732" i="4" s="1"/>
  <c r="L1732" i="4" s="1"/>
  <c r="M1732" i="4" s="1"/>
  <c r="N1732" i="4"/>
  <c r="B1737" i="3"/>
  <c r="D1737" i="3" s="1"/>
  <c r="E1737" i="3"/>
  <c r="N1733" i="4"/>
  <c r="J1733" i="4"/>
  <c r="K1733" i="4" s="1"/>
  <c r="L1733" i="4" s="1"/>
  <c r="M1733" i="4" s="1"/>
  <c r="G1733" i="4"/>
  <c r="H1733" i="4" s="1"/>
  <c r="I1733" i="4"/>
  <c r="E1738" i="3"/>
  <c r="B1738" i="3"/>
  <c r="D1738" i="3" s="1"/>
  <c r="G1734" i="4"/>
  <c r="N1734" i="4"/>
  <c r="J1734" i="4"/>
  <c r="K1734" i="4" s="1"/>
  <c r="L1734" i="4" s="1"/>
  <c r="M1734" i="4" s="1"/>
  <c r="B1739" i="3"/>
  <c r="D1739" i="3" s="1"/>
  <c r="E1739" i="3"/>
  <c r="C1739" i="3"/>
  <c r="N1735" i="4"/>
  <c r="J1735" i="4"/>
  <c r="K1735" i="4" s="1"/>
  <c r="L1735" i="4" s="1"/>
  <c r="M1735" i="4" s="1"/>
  <c r="G1735" i="4"/>
  <c r="H1735" i="4" s="1"/>
  <c r="E1740" i="3"/>
  <c r="B1740" i="3"/>
  <c r="D1740" i="3" s="1"/>
  <c r="I1736" i="4"/>
  <c r="G1736" i="4"/>
  <c r="H1736" i="4"/>
  <c r="N1736" i="4"/>
  <c r="J1736" i="4"/>
  <c r="K1736" i="4" s="1"/>
  <c r="L1736" i="4" s="1"/>
  <c r="M1736" i="4" s="1"/>
  <c r="B1741" i="3"/>
  <c r="D1741" i="3" s="1"/>
  <c r="E1741" i="3"/>
  <c r="N1737" i="4"/>
  <c r="J1737" i="4"/>
  <c r="K1737" i="4" s="1"/>
  <c r="L1737" i="4" s="1"/>
  <c r="M1737" i="4" s="1"/>
  <c r="G1737" i="4"/>
  <c r="H1737" i="4" s="1"/>
  <c r="I1737" i="4"/>
  <c r="E1742" i="3"/>
  <c r="B1742" i="3"/>
  <c r="D1742" i="3" s="1"/>
  <c r="G1738" i="4"/>
  <c r="N1738" i="4"/>
  <c r="J1738" i="4"/>
  <c r="K1738" i="4" s="1"/>
  <c r="L1738" i="4" s="1"/>
  <c r="M1738" i="4" s="1"/>
  <c r="B1743" i="3"/>
  <c r="D1743" i="3" s="1"/>
  <c r="E1743" i="3"/>
  <c r="C1743" i="3"/>
  <c r="N1739" i="4"/>
  <c r="J1739" i="4"/>
  <c r="K1739" i="4" s="1"/>
  <c r="L1739" i="4" s="1"/>
  <c r="M1739" i="4" s="1"/>
  <c r="G1739" i="4"/>
  <c r="E1744" i="3"/>
  <c r="B1744" i="3"/>
  <c r="D1744" i="3" s="1"/>
  <c r="I1740" i="4"/>
  <c r="G1740" i="4"/>
  <c r="H1740" i="4"/>
  <c r="J1740" i="4"/>
  <c r="K1740" i="4" s="1"/>
  <c r="L1740" i="4" s="1"/>
  <c r="M1740" i="4" s="1"/>
  <c r="N1740" i="4"/>
  <c r="B1745" i="3"/>
  <c r="D1745" i="3" s="1"/>
  <c r="E1745" i="3"/>
  <c r="N1741" i="4"/>
  <c r="J1741" i="4"/>
  <c r="K1741" i="4" s="1"/>
  <c r="L1741" i="4" s="1"/>
  <c r="M1741" i="4" s="1"/>
  <c r="G1741" i="4"/>
  <c r="H1741" i="4" s="1"/>
  <c r="I1741" i="4"/>
  <c r="E1746" i="3"/>
  <c r="B1746" i="3"/>
  <c r="D1746" i="3" s="1"/>
  <c r="G1742" i="4"/>
  <c r="N1742" i="4"/>
  <c r="J1742" i="4"/>
  <c r="K1742" i="4" s="1"/>
  <c r="L1742" i="4" s="1"/>
  <c r="M1742" i="4" s="1"/>
  <c r="B1747" i="3"/>
  <c r="D1747" i="3" s="1"/>
  <c r="E1747" i="3"/>
  <c r="C1747" i="3"/>
  <c r="N1743" i="4"/>
  <c r="J1743" i="4"/>
  <c r="K1743" i="4" s="1"/>
  <c r="L1743" i="4" s="1"/>
  <c r="M1743" i="4" s="1"/>
  <c r="G1743" i="4"/>
  <c r="H1743" i="4" s="1"/>
  <c r="E1748" i="3"/>
  <c r="B1748" i="3"/>
  <c r="D1748" i="3" s="1"/>
  <c r="I1744" i="4"/>
  <c r="G1744" i="4"/>
  <c r="H1744" i="4"/>
  <c r="N1744" i="4"/>
  <c r="J1744" i="4"/>
  <c r="K1744" i="4" s="1"/>
  <c r="L1744" i="4" s="1"/>
  <c r="M1744" i="4" s="1"/>
  <c r="B1749" i="3"/>
  <c r="D1749" i="3" s="1"/>
  <c r="E1749" i="3"/>
  <c r="N1745" i="4"/>
  <c r="J1745" i="4"/>
  <c r="K1745" i="4" s="1"/>
  <c r="L1745" i="4" s="1"/>
  <c r="M1745" i="4" s="1"/>
  <c r="G1745" i="4"/>
  <c r="H1745" i="4" s="1"/>
  <c r="I1745" i="4"/>
  <c r="E1750" i="3"/>
  <c r="B1750" i="3"/>
  <c r="D1750" i="3" s="1"/>
  <c r="G1746" i="4"/>
  <c r="N1746" i="4"/>
  <c r="J1746" i="4"/>
  <c r="K1746" i="4" s="1"/>
  <c r="L1746" i="4" s="1"/>
  <c r="M1746" i="4" s="1"/>
  <c r="B1751" i="3"/>
  <c r="D1751" i="3" s="1"/>
  <c r="E1751" i="3"/>
  <c r="C1751" i="3"/>
  <c r="N1747" i="4"/>
  <c r="J1747" i="4"/>
  <c r="K1747" i="4" s="1"/>
  <c r="L1747" i="4" s="1"/>
  <c r="M1747" i="4" s="1"/>
  <c r="G1747" i="4"/>
  <c r="E1752" i="3"/>
  <c r="B1752" i="3"/>
  <c r="D1752" i="3" s="1"/>
  <c r="I1748" i="4"/>
  <c r="G1748" i="4"/>
  <c r="H1748" i="4"/>
  <c r="J1748" i="4"/>
  <c r="K1748" i="4" s="1"/>
  <c r="L1748" i="4" s="1"/>
  <c r="M1748" i="4" s="1"/>
  <c r="N1748" i="4"/>
  <c r="B1753" i="3"/>
  <c r="D1753" i="3" s="1"/>
  <c r="E1753" i="3"/>
  <c r="N1749" i="4"/>
  <c r="J1749" i="4"/>
  <c r="K1749" i="4" s="1"/>
  <c r="L1749" i="4" s="1"/>
  <c r="M1749" i="4" s="1"/>
  <c r="G1749" i="4"/>
  <c r="H1749" i="4" s="1"/>
  <c r="I1749" i="4"/>
  <c r="E1754" i="3"/>
  <c r="B1754" i="3"/>
  <c r="D1754" i="3" s="1"/>
  <c r="G1750" i="4"/>
  <c r="N1750" i="4"/>
  <c r="J1750" i="4"/>
  <c r="K1750" i="4" s="1"/>
  <c r="L1750" i="4" s="1"/>
  <c r="M1750" i="4" s="1"/>
  <c r="B1755" i="3"/>
  <c r="D1755" i="3" s="1"/>
  <c r="E1755" i="3"/>
  <c r="C1755" i="3"/>
  <c r="N1751" i="4"/>
  <c r="J1751" i="4"/>
  <c r="K1751" i="4" s="1"/>
  <c r="L1751" i="4" s="1"/>
  <c r="M1751" i="4" s="1"/>
  <c r="G1751" i="4"/>
  <c r="H1751" i="4" s="1"/>
  <c r="E1756" i="3"/>
  <c r="B1756" i="3"/>
  <c r="D1756" i="3" s="1"/>
  <c r="I1752" i="4"/>
  <c r="G1752" i="4"/>
  <c r="H1752" i="4"/>
  <c r="N1752" i="4"/>
  <c r="J1752" i="4"/>
  <c r="K1752" i="4" s="1"/>
  <c r="L1752" i="4" s="1"/>
  <c r="M1752" i="4" s="1"/>
  <c r="B1757" i="3"/>
  <c r="D1757" i="3" s="1"/>
  <c r="E1757" i="3"/>
  <c r="C1757" i="3"/>
  <c r="N1753" i="4"/>
  <c r="J1753" i="4"/>
  <c r="K1753" i="4"/>
  <c r="L1753" i="4" s="1"/>
  <c r="M1753" i="4" s="1"/>
  <c r="G1753" i="4"/>
  <c r="H1753" i="4" s="1"/>
  <c r="I1753" i="4"/>
  <c r="E1758" i="3"/>
  <c r="B1758" i="3"/>
  <c r="D1758" i="3" s="1"/>
  <c r="G1754" i="4"/>
  <c r="N1754" i="4"/>
  <c r="J1754" i="4"/>
  <c r="K1754" i="4" s="1"/>
  <c r="L1754" i="4" s="1"/>
  <c r="M1754" i="4" s="1"/>
  <c r="B1759" i="3"/>
  <c r="D1759" i="3" s="1"/>
  <c r="E1759" i="3"/>
  <c r="N1755" i="4"/>
  <c r="J1755" i="4"/>
  <c r="I1755" i="4"/>
  <c r="G1755" i="4"/>
  <c r="H1755" i="4" s="1"/>
  <c r="K1755" i="4"/>
  <c r="L1755" i="4" s="1"/>
  <c r="M1755" i="4" s="1"/>
  <c r="E1760" i="3"/>
  <c r="B1760" i="3"/>
  <c r="D1760" i="3" s="1"/>
  <c r="G1756" i="4"/>
  <c r="J1756" i="4"/>
  <c r="K1756" i="4" s="1"/>
  <c r="L1756" i="4" s="1"/>
  <c r="M1756" i="4" s="1"/>
  <c r="N1756" i="4"/>
  <c r="B1761" i="3"/>
  <c r="D1761" i="3" s="1"/>
  <c r="E1761" i="3"/>
  <c r="N1757" i="4"/>
  <c r="J1757" i="4"/>
  <c r="K1757" i="4" s="1"/>
  <c r="L1757" i="4" s="1"/>
  <c r="M1757" i="4" s="1"/>
  <c r="G1757" i="4"/>
  <c r="E1762" i="3"/>
  <c r="B1762" i="3"/>
  <c r="D1762" i="3" s="1"/>
  <c r="I1758" i="4"/>
  <c r="G1758" i="4"/>
  <c r="N1758" i="4"/>
  <c r="J1758" i="4"/>
  <c r="K1758" i="4" s="1"/>
  <c r="L1758" i="4" s="1"/>
  <c r="M1758" i="4" s="1"/>
  <c r="H1758" i="4"/>
  <c r="B1763" i="3"/>
  <c r="D1763" i="3" s="1"/>
  <c r="E1763" i="3"/>
  <c r="C1763" i="3"/>
  <c r="N1759" i="4"/>
  <c r="J1759" i="4"/>
  <c r="K1759" i="4" s="1"/>
  <c r="L1759" i="4" s="1"/>
  <c r="M1759" i="4" s="1"/>
  <c r="G1759" i="4"/>
  <c r="H1759" i="4" s="1"/>
  <c r="E1764" i="3"/>
  <c r="B1764" i="3"/>
  <c r="D1764" i="3" s="1"/>
  <c r="G1760" i="4"/>
  <c r="N1760" i="4"/>
  <c r="J1760" i="4"/>
  <c r="K1760" i="4" s="1"/>
  <c r="L1760" i="4" s="1"/>
  <c r="M1760" i="4" s="1"/>
  <c r="B1765" i="3"/>
  <c r="D1765" i="3" s="1"/>
  <c r="E1765" i="3"/>
  <c r="N1761" i="4"/>
  <c r="J1761" i="4"/>
  <c r="K1761" i="4" s="1"/>
  <c r="L1761" i="4" s="1"/>
  <c r="M1761" i="4" s="1"/>
  <c r="G1761" i="4"/>
  <c r="E1766" i="3"/>
  <c r="B1766" i="3"/>
  <c r="D1766" i="3" s="1"/>
  <c r="I1762" i="4"/>
  <c r="G1762" i="4"/>
  <c r="N1762" i="4"/>
  <c r="J1762" i="4"/>
  <c r="K1762" i="4" s="1"/>
  <c r="L1762" i="4" s="1"/>
  <c r="M1762" i="4" s="1"/>
  <c r="H1762" i="4"/>
  <c r="B1767" i="3"/>
  <c r="D1767" i="3" s="1"/>
  <c r="E1767" i="3"/>
  <c r="N1763" i="4"/>
  <c r="J1763" i="4"/>
  <c r="K1763" i="4" s="1"/>
  <c r="L1763" i="4" s="1"/>
  <c r="M1763" i="4" s="1"/>
  <c r="G1763" i="4"/>
  <c r="E1768" i="3"/>
  <c r="B1768" i="3"/>
  <c r="D1768" i="3" s="1"/>
  <c r="I1764" i="4"/>
  <c r="G1764" i="4"/>
  <c r="H1764" i="4"/>
  <c r="J1764" i="4"/>
  <c r="K1764" i="4" s="1"/>
  <c r="L1764" i="4" s="1"/>
  <c r="M1764" i="4" s="1"/>
  <c r="N1764" i="4"/>
  <c r="B1769" i="3"/>
  <c r="D1769" i="3" s="1"/>
  <c r="E1769" i="3"/>
  <c r="N1765" i="4"/>
  <c r="J1765" i="4"/>
  <c r="K1765" i="4" s="1"/>
  <c r="L1765" i="4" s="1"/>
  <c r="M1765" i="4" s="1"/>
  <c r="G1765" i="4"/>
  <c r="H1765" i="4" s="1"/>
  <c r="I1765" i="4"/>
  <c r="E1770" i="3"/>
  <c r="B1770" i="3"/>
  <c r="D1770" i="3" s="1"/>
  <c r="G1766" i="4"/>
  <c r="N1766" i="4"/>
  <c r="J1766" i="4"/>
  <c r="K1766" i="4" s="1"/>
  <c r="L1766" i="4" s="1"/>
  <c r="M1766" i="4" s="1"/>
  <c r="B1771" i="3"/>
  <c r="D1771" i="3" s="1"/>
  <c r="E1771" i="3"/>
  <c r="C1771" i="3"/>
  <c r="N1767" i="4"/>
  <c r="J1767" i="4"/>
  <c r="K1767" i="4" s="1"/>
  <c r="L1767" i="4" s="1"/>
  <c r="M1767" i="4" s="1"/>
  <c r="G1767" i="4"/>
  <c r="H1767" i="4" s="1"/>
  <c r="E1772" i="3"/>
  <c r="B1772" i="3"/>
  <c r="D1772" i="3" s="1"/>
  <c r="I1768" i="4"/>
  <c r="G1768" i="4"/>
  <c r="H1768" i="4"/>
  <c r="N1768" i="4"/>
  <c r="J1768" i="4"/>
  <c r="K1768" i="4" s="1"/>
  <c r="L1768" i="4" s="1"/>
  <c r="M1768" i="4" s="1"/>
  <c r="B1773" i="3"/>
  <c r="D1773" i="3" s="1"/>
  <c r="E1773" i="3"/>
  <c r="N1769" i="4"/>
  <c r="J1769" i="4"/>
  <c r="K1769" i="4" s="1"/>
  <c r="L1769" i="4" s="1"/>
  <c r="M1769" i="4" s="1"/>
  <c r="G1769" i="4"/>
  <c r="H1769" i="4" s="1"/>
  <c r="I1769" i="4"/>
  <c r="E1774" i="3"/>
  <c r="B1774" i="3"/>
  <c r="D1774" i="3" s="1"/>
  <c r="G1770" i="4"/>
  <c r="N1770" i="4"/>
  <c r="J1770" i="4"/>
  <c r="K1770" i="4" s="1"/>
  <c r="L1770" i="4" s="1"/>
  <c r="M1770" i="4" s="1"/>
  <c r="B1775" i="3"/>
  <c r="D1775" i="3" s="1"/>
  <c r="E1775" i="3"/>
  <c r="C1775" i="3"/>
  <c r="N1771" i="4"/>
  <c r="J1771" i="4"/>
  <c r="K1771" i="4" s="1"/>
  <c r="L1771" i="4" s="1"/>
  <c r="M1771" i="4" s="1"/>
  <c r="G1771" i="4"/>
  <c r="E1776" i="3"/>
  <c r="B1776" i="3"/>
  <c r="D1776" i="3" s="1"/>
  <c r="I1772" i="4"/>
  <c r="G1772" i="4"/>
  <c r="H1772" i="4"/>
  <c r="J1772" i="4"/>
  <c r="K1772" i="4" s="1"/>
  <c r="L1772" i="4" s="1"/>
  <c r="M1772" i="4" s="1"/>
  <c r="N1772" i="4"/>
  <c r="B1777" i="3"/>
  <c r="D1777" i="3" s="1"/>
  <c r="E1777" i="3"/>
  <c r="N1773" i="4"/>
  <c r="J1773" i="4"/>
  <c r="K1773" i="4" s="1"/>
  <c r="L1773" i="4" s="1"/>
  <c r="M1773" i="4" s="1"/>
  <c r="G1773" i="4"/>
  <c r="H1773" i="4" s="1"/>
  <c r="I1773" i="4"/>
  <c r="E1778" i="3"/>
  <c r="B1778" i="3"/>
  <c r="D1778" i="3" s="1"/>
  <c r="G1774" i="4"/>
  <c r="N1774" i="4"/>
  <c r="J1774" i="4"/>
  <c r="K1774" i="4" s="1"/>
  <c r="L1774" i="4" s="1"/>
  <c r="M1774" i="4" s="1"/>
  <c r="B1779" i="3"/>
  <c r="D1779" i="3" s="1"/>
  <c r="E1779" i="3"/>
  <c r="C1779" i="3"/>
  <c r="N1775" i="4"/>
  <c r="J1775" i="4"/>
  <c r="K1775" i="4" s="1"/>
  <c r="L1775" i="4" s="1"/>
  <c r="M1775" i="4" s="1"/>
  <c r="G1775" i="4"/>
  <c r="H1775" i="4" s="1"/>
  <c r="E1780" i="3"/>
  <c r="B1780" i="3"/>
  <c r="D1780" i="3" s="1"/>
  <c r="I1776" i="4"/>
  <c r="G1776" i="4"/>
  <c r="H1776" i="4"/>
  <c r="N1776" i="4"/>
  <c r="J1776" i="4"/>
  <c r="K1776" i="4" s="1"/>
  <c r="L1776" i="4" s="1"/>
  <c r="M1776" i="4" s="1"/>
  <c r="B1781" i="3"/>
  <c r="D1781" i="3" s="1"/>
  <c r="E1781" i="3"/>
  <c r="C1781" i="3"/>
  <c r="N1777" i="4"/>
  <c r="J1777" i="4"/>
  <c r="K1777" i="4"/>
  <c r="L1777" i="4" s="1"/>
  <c r="M1777" i="4" s="1"/>
  <c r="G1777" i="4"/>
  <c r="H1777" i="4" s="1"/>
  <c r="I1777" i="4"/>
  <c r="E1782" i="3"/>
  <c r="B1782" i="3"/>
  <c r="D1782" i="3" s="1"/>
  <c r="G1778" i="4"/>
  <c r="N1778" i="4"/>
  <c r="J1778" i="4"/>
  <c r="K1778" i="4" s="1"/>
  <c r="L1778" i="4" s="1"/>
  <c r="M1778" i="4" s="1"/>
  <c r="B1783" i="3"/>
  <c r="D1783" i="3" s="1"/>
  <c r="E1783" i="3"/>
  <c r="C1783" i="3"/>
  <c r="N1779" i="4"/>
  <c r="J1779" i="4"/>
  <c r="K1779" i="4" s="1"/>
  <c r="L1779" i="4" s="1"/>
  <c r="M1779" i="4" s="1"/>
  <c r="G1779" i="4"/>
  <c r="E1784" i="3"/>
  <c r="B1784" i="3"/>
  <c r="D1784" i="3" s="1"/>
  <c r="I1780" i="4"/>
  <c r="G1780" i="4"/>
  <c r="H1780" i="4"/>
  <c r="J1780" i="4"/>
  <c r="K1780" i="4" s="1"/>
  <c r="L1780" i="4" s="1"/>
  <c r="M1780" i="4" s="1"/>
  <c r="N1780" i="4"/>
  <c r="B1785" i="3"/>
  <c r="D1785" i="3" s="1"/>
  <c r="E1785" i="3"/>
  <c r="N1781" i="4"/>
  <c r="J1781" i="4"/>
  <c r="K1781" i="4" s="1"/>
  <c r="L1781" i="4" s="1"/>
  <c r="M1781" i="4" s="1"/>
  <c r="G1781" i="4"/>
  <c r="H1781" i="4" s="1"/>
  <c r="I1781" i="4"/>
  <c r="E1786" i="3"/>
  <c r="B1786" i="3"/>
  <c r="D1786" i="3" s="1"/>
  <c r="G1782" i="4"/>
  <c r="N1782" i="4"/>
  <c r="J1782" i="4"/>
  <c r="K1782" i="4" s="1"/>
  <c r="L1782" i="4" s="1"/>
  <c r="M1782" i="4" s="1"/>
  <c r="B1787" i="3"/>
  <c r="D1787" i="3" s="1"/>
  <c r="E1787" i="3"/>
  <c r="C1787" i="3"/>
  <c r="N1783" i="4"/>
  <c r="J1783" i="4"/>
  <c r="K1783" i="4" s="1"/>
  <c r="L1783" i="4" s="1"/>
  <c r="M1783" i="4" s="1"/>
  <c r="G1783" i="4"/>
  <c r="H1783" i="4" s="1"/>
  <c r="E1788" i="3"/>
  <c r="B1788" i="3"/>
  <c r="D1788" i="3" s="1"/>
  <c r="I1784" i="4"/>
  <c r="G1784" i="4"/>
  <c r="H1784" i="4"/>
  <c r="N1784" i="4"/>
  <c r="J1784" i="4"/>
  <c r="K1784" i="4" s="1"/>
  <c r="L1784" i="4" s="1"/>
  <c r="M1784" i="4" s="1"/>
  <c r="B1789" i="3"/>
  <c r="D1789" i="3" s="1"/>
  <c r="E1789" i="3"/>
  <c r="N1785" i="4"/>
  <c r="J1785" i="4"/>
  <c r="K1785" i="4" s="1"/>
  <c r="L1785" i="4" s="1"/>
  <c r="M1785" i="4" s="1"/>
  <c r="G1785" i="4"/>
  <c r="H1785" i="4" s="1"/>
  <c r="I1785" i="4"/>
  <c r="E1790" i="3"/>
  <c r="B1790" i="3"/>
  <c r="D1790" i="3" s="1"/>
  <c r="G1786" i="4"/>
  <c r="N1786" i="4"/>
  <c r="J1786" i="4"/>
  <c r="K1786" i="4" s="1"/>
  <c r="L1786" i="4" s="1"/>
  <c r="M1786" i="4" s="1"/>
  <c r="B1791" i="3"/>
  <c r="D1791" i="3" s="1"/>
  <c r="E1791" i="3"/>
  <c r="C1791" i="3"/>
  <c r="N1787" i="4"/>
  <c r="J1787" i="4"/>
  <c r="K1787" i="4" s="1"/>
  <c r="L1787" i="4" s="1"/>
  <c r="M1787" i="4" s="1"/>
  <c r="G1787" i="4"/>
  <c r="E1792" i="3"/>
  <c r="B1792" i="3"/>
  <c r="D1792" i="3" s="1"/>
  <c r="I1788" i="4"/>
  <c r="G1788" i="4"/>
  <c r="H1788" i="4"/>
  <c r="J1788" i="4"/>
  <c r="K1788" i="4" s="1"/>
  <c r="L1788" i="4" s="1"/>
  <c r="M1788" i="4" s="1"/>
  <c r="N1788" i="4"/>
  <c r="B1793" i="3"/>
  <c r="D1793" i="3" s="1"/>
  <c r="E1793" i="3"/>
  <c r="N1789" i="4"/>
  <c r="J1789" i="4"/>
  <c r="K1789" i="4" s="1"/>
  <c r="L1789" i="4" s="1"/>
  <c r="M1789" i="4" s="1"/>
  <c r="G1789" i="4"/>
  <c r="H1789" i="4" s="1"/>
  <c r="I1789" i="4"/>
  <c r="E1794" i="3"/>
  <c r="B1794" i="3"/>
  <c r="D1794" i="3" s="1"/>
  <c r="G1790" i="4"/>
  <c r="N1790" i="4"/>
  <c r="J1790" i="4"/>
  <c r="K1790" i="4" s="1"/>
  <c r="L1790" i="4" s="1"/>
  <c r="M1790" i="4" s="1"/>
  <c r="B1795" i="3"/>
  <c r="D1795" i="3" s="1"/>
  <c r="E1795" i="3"/>
  <c r="C1795" i="3"/>
  <c r="N1791" i="4"/>
  <c r="J1791" i="4"/>
  <c r="K1791" i="4" s="1"/>
  <c r="L1791" i="4" s="1"/>
  <c r="M1791" i="4" s="1"/>
  <c r="G1791" i="4"/>
  <c r="H1791" i="4" s="1"/>
  <c r="E1796" i="3"/>
  <c r="B1796" i="3"/>
  <c r="D1796" i="3" s="1"/>
  <c r="I1792" i="4"/>
  <c r="G1792" i="4"/>
  <c r="H1792" i="4"/>
  <c r="N1792" i="4"/>
  <c r="J1792" i="4"/>
  <c r="K1792" i="4" s="1"/>
  <c r="L1792" i="4" s="1"/>
  <c r="M1792" i="4" s="1"/>
  <c r="B1797" i="3"/>
  <c r="D1797" i="3" s="1"/>
  <c r="E1797" i="3"/>
  <c r="N1793" i="4"/>
  <c r="J1793" i="4"/>
  <c r="K1793" i="4" s="1"/>
  <c r="L1793" i="4" s="1"/>
  <c r="M1793" i="4" s="1"/>
  <c r="G1793" i="4"/>
  <c r="H1793" i="4" s="1"/>
  <c r="I1793" i="4"/>
  <c r="E1798" i="3"/>
  <c r="B1798" i="3"/>
  <c r="D1798" i="3" s="1"/>
  <c r="G1794" i="4"/>
  <c r="N1794" i="4"/>
  <c r="J1794" i="4"/>
  <c r="K1794" i="4" s="1"/>
  <c r="L1794" i="4" s="1"/>
  <c r="M1794" i="4" s="1"/>
  <c r="B1799" i="3"/>
  <c r="D1799" i="3" s="1"/>
  <c r="E1799" i="3"/>
  <c r="C1799" i="3"/>
  <c r="N1795" i="4"/>
  <c r="J1795" i="4"/>
  <c r="K1795" i="4" s="1"/>
  <c r="L1795" i="4" s="1"/>
  <c r="M1795" i="4" s="1"/>
  <c r="G1795" i="4"/>
  <c r="E1800" i="3"/>
  <c r="B1800" i="3"/>
  <c r="D1800" i="3" s="1"/>
  <c r="I1796" i="4"/>
  <c r="G1796" i="4"/>
  <c r="H1796" i="4"/>
  <c r="J1796" i="4"/>
  <c r="K1796" i="4" s="1"/>
  <c r="L1796" i="4" s="1"/>
  <c r="M1796" i="4" s="1"/>
  <c r="N1796" i="4"/>
  <c r="B1801" i="3"/>
  <c r="D1801" i="3" s="1"/>
  <c r="E1801" i="3"/>
  <c r="N1797" i="4"/>
  <c r="J1797" i="4"/>
  <c r="K1797" i="4" s="1"/>
  <c r="L1797" i="4" s="1"/>
  <c r="M1797" i="4" s="1"/>
  <c r="G1797" i="4"/>
  <c r="E1802" i="3"/>
  <c r="B1802" i="3"/>
  <c r="D1802" i="3" s="1"/>
  <c r="I1798" i="4"/>
  <c r="G1798" i="4"/>
  <c r="N1798" i="4"/>
  <c r="J1798" i="4"/>
  <c r="K1798" i="4" s="1"/>
  <c r="L1798" i="4" s="1"/>
  <c r="M1798" i="4" s="1"/>
  <c r="H1798" i="4"/>
  <c r="B1803" i="3"/>
  <c r="D1803" i="3" s="1"/>
  <c r="E1803" i="3"/>
  <c r="C1803" i="3"/>
  <c r="N1799" i="4"/>
  <c r="J1799" i="4"/>
  <c r="K1799" i="4" s="1"/>
  <c r="L1799" i="4" s="1"/>
  <c r="M1799" i="4" s="1"/>
  <c r="G1799" i="4"/>
  <c r="H1799" i="4" s="1"/>
  <c r="E1804" i="3"/>
  <c r="B1804" i="3"/>
  <c r="D1804" i="3" s="1"/>
  <c r="G1800" i="4"/>
  <c r="N1800" i="4"/>
  <c r="J1800" i="4"/>
  <c r="K1800" i="4" s="1"/>
  <c r="L1800" i="4" s="1"/>
  <c r="M1800" i="4" s="1"/>
  <c r="B1805" i="3"/>
  <c r="D1805" i="3" s="1"/>
  <c r="E1805" i="3"/>
  <c r="N1801" i="4"/>
  <c r="J1801" i="4"/>
  <c r="K1801" i="4" s="1"/>
  <c r="L1801" i="4" s="1"/>
  <c r="M1801" i="4" s="1"/>
  <c r="G1801" i="4"/>
  <c r="E1806" i="3"/>
  <c r="B1806" i="3"/>
  <c r="D1806" i="3" s="1"/>
  <c r="I1802" i="4"/>
  <c r="G1802" i="4"/>
  <c r="N1802" i="4"/>
  <c r="J1802" i="4"/>
  <c r="K1802" i="4" s="1"/>
  <c r="L1802" i="4" s="1"/>
  <c r="M1802" i="4" s="1"/>
  <c r="H1802" i="4"/>
  <c r="B1807" i="3"/>
  <c r="D1807" i="3" s="1"/>
  <c r="E1807" i="3"/>
  <c r="C1807" i="3"/>
  <c r="N1803" i="4"/>
  <c r="J1803" i="4"/>
  <c r="I1803" i="4"/>
  <c r="G1803" i="4"/>
  <c r="H1803" i="4" s="1"/>
  <c r="K1803" i="4"/>
  <c r="L1803" i="4" s="1"/>
  <c r="M1803" i="4" s="1"/>
  <c r="E1808" i="3"/>
  <c r="B1808" i="3"/>
  <c r="D1808" i="3" s="1"/>
  <c r="G1804" i="4"/>
  <c r="J1804" i="4"/>
  <c r="K1804" i="4" s="1"/>
  <c r="L1804" i="4" s="1"/>
  <c r="M1804" i="4" s="1"/>
  <c r="N1804" i="4"/>
  <c r="B1809" i="3"/>
  <c r="D1809" i="3" s="1"/>
  <c r="E1809" i="3"/>
  <c r="N1805" i="4"/>
  <c r="J1805" i="4"/>
  <c r="K1805" i="4" s="1"/>
  <c r="L1805" i="4" s="1"/>
  <c r="M1805" i="4" s="1"/>
  <c r="G1805" i="4"/>
  <c r="E1810" i="3"/>
  <c r="B1810" i="3"/>
  <c r="D1810" i="3" s="1"/>
  <c r="I1806" i="4"/>
  <c r="G1806" i="4"/>
  <c r="N1806" i="4"/>
  <c r="J1806" i="4"/>
  <c r="K1806" i="4" s="1"/>
  <c r="L1806" i="4" s="1"/>
  <c r="M1806" i="4" s="1"/>
  <c r="H1806" i="4"/>
  <c r="B1811" i="3"/>
  <c r="D1811" i="3" s="1"/>
  <c r="E1811" i="3"/>
  <c r="C1811" i="3"/>
  <c r="N1807" i="4"/>
  <c r="J1807" i="4"/>
  <c r="K1807" i="4" s="1"/>
  <c r="L1807" i="4" s="1"/>
  <c r="M1807" i="4" s="1"/>
  <c r="G1807" i="4"/>
  <c r="H1807" i="4" s="1"/>
  <c r="E1812" i="3"/>
  <c r="B1812" i="3"/>
  <c r="D1812" i="3" s="1"/>
  <c r="G1808" i="4"/>
  <c r="N1808" i="4"/>
  <c r="J1808" i="4"/>
  <c r="K1808" i="4" s="1"/>
  <c r="L1808" i="4" s="1"/>
  <c r="M1808" i="4" s="1"/>
  <c r="B1813" i="3"/>
  <c r="D1813" i="3" s="1"/>
  <c r="E1813" i="3"/>
  <c r="N1809" i="4"/>
  <c r="J1809" i="4"/>
  <c r="K1809" i="4" s="1"/>
  <c r="L1809" i="4" s="1"/>
  <c r="M1809" i="4" s="1"/>
  <c r="G1809" i="4"/>
  <c r="E1814" i="3"/>
  <c r="B1814" i="3"/>
  <c r="D1814" i="3" s="1"/>
  <c r="I1810" i="4"/>
  <c r="G1810" i="4"/>
  <c r="N1810" i="4"/>
  <c r="J1810" i="4"/>
  <c r="K1810" i="4" s="1"/>
  <c r="L1810" i="4" s="1"/>
  <c r="M1810" i="4" s="1"/>
  <c r="H1810" i="4"/>
  <c r="B1815" i="3"/>
  <c r="D1815" i="3" s="1"/>
  <c r="E1815" i="3"/>
  <c r="C1815" i="3"/>
  <c r="N1811" i="4"/>
  <c r="J1811" i="4"/>
  <c r="I1811" i="4"/>
  <c r="G1811" i="4"/>
  <c r="H1811" i="4" s="1"/>
  <c r="K1811" i="4"/>
  <c r="L1811" i="4" s="1"/>
  <c r="M1811" i="4" s="1"/>
  <c r="E1816" i="3"/>
  <c r="B1816" i="3"/>
  <c r="D1816" i="3" s="1"/>
  <c r="G1812" i="4"/>
  <c r="J1812" i="4"/>
  <c r="K1812" i="4" s="1"/>
  <c r="L1812" i="4" s="1"/>
  <c r="M1812" i="4" s="1"/>
  <c r="N1812" i="4"/>
  <c r="B1817" i="3"/>
  <c r="D1817" i="3" s="1"/>
  <c r="E1817" i="3"/>
  <c r="N1813" i="4"/>
  <c r="J1813" i="4"/>
  <c r="K1813" i="4" s="1"/>
  <c r="L1813" i="4" s="1"/>
  <c r="M1813" i="4" s="1"/>
  <c r="G1813" i="4"/>
  <c r="E1818" i="3"/>
  <c r="B1818" i="3"/>
  <c r="D1818" i="3" s="1"/>
  <c r="I1814" i="4"/>
  <c r="G1814" i="4"/>
  <c r="N1814" i="4"/>
  <c r="J1814" i="4"/>
  <c r="K1814" i="4" s="1"/>
  <c r="L1814" i="4" s="1"/>
  <c r="M1814" i="4" s="1"/>
  <c r="H1814" i="4"/>
  <c r="B1819" i="3"/>
  <c r="D1819" i="3" s="1"/>
  <c r="E1819" i="3"/>
  <c r="N1815" i="4"/>
  <c r="J1815" i="4"/>
  <c r="K1815" i="4" s="1"/>
  <c r="L1815" i="4" s="1"/>
  <c r="M1815" i="4" s="1"/>
  <c r="G1815" i="4"/>
  <c r="H1815" i="4" s="1"/>
  <c r="E1820" i="3"/>
  <c r="B1820" i="3"/>
  <c r="D1820" i="3" s="1"/>
  <c r="I1816" i="4"/>
  <c r="G1816" i="4"/>
  <c r="H1816" i="4"/>
  <c r="N1816" i="4"/>
  <c r="J1816" i="4"/>
  <c r="K1816" i="4" s="1"/>
  <c r="L1816" i="4" s="1"/>
  <c r="M1816" i="4" s="1"/>
  <c r="E1821" i="3"/>
  <c r="D1821" i="3"/>
  <c r="B1821" i="3"/>
  <c r="C1821" i="3"/>
  <c r="N1817" i="4"/>
  <c r="J1817" i="4"/>
  <c r="K1817" i="4" s="1"/>
  <c r="L1817" i="4" s="1"/>
  <c r="M1817" i="4" s="1"/>
  <c r="G1817" i="4"/>
  <c r="H1817" i="4" s="1"/>
  <c r="I1817" i="4"/>
  <c r="B1822" i="3"/>
  <c r="D1822" i="3" s="1"/>
  <c r="E1822" i="3"/>
  <c r="G1818" i="4"/>
  <c r="N1818" i="4"/>
  <c r="J1818" i="4"/>
  <c r="K1818" i="4" s="1"/>
  <c r="L1818" i="4" s="1"/>
  <c r="M1818" i="4" s="1"/>
  <c r="E1823" i="3"/>
  <c r="B1823" i="3"/>
  <c r="N1819" i="4"/>
  <c r="J1819" i="4"/>
  <c r="I1819" i="4"/>
  <c r="G1819" i="4"/>
  <c r="H1819" i="4" s="1"/>
  <c r="K1819" i="4"/>
  <c r="L1819" i="4" s="1"/>
  <c r="M1819" i="4" s="1"/>
  <c r="B1824" i="3"/>
  <c r="D1824" i="3" s="1"/>
  <c r="E1824" i="3"/>
  <c r="C1824" i="3"/>
  <c r="I1820" i="4"/>
  <c r="G1820" i="4"/>
  <c r="H1820" i="4"/>
  <c r="J1820" i="4"/>
  <c r="K1820" i="4" s="1"/>
  <c r="L1820" i="4" s="1"/>
  <c r="M1820" i="4" s="1"/>
  <c r="N1820" i="4"/>
  <c r="E1825" i="3"/>
  <c r="B1825" i="3"/>
  <c r="D1825" i="3" s="1"/>
  <c r="N1821" i="4"/>
  <c r="J1821" i="4"/>
  <c r="K1821" i="4" s="1"/>
  <c r="L1821" i="4" s="1"/>
  <c r="M1821" i="4" s="1"/>
  <c r="G1821" i="4"/>
  <c r="B1826" i="3"/>
  <c r="D1826" i="3" s="1"/>
  <c r="E1826" i="3"/>
  <c r="I1822" i="4"/>
  <c r="G1822" i="4"/>
  <c r="N1822" i="4"/>
  <c r="J1822" i="4"/>
  <c r="K1822" i="4" s="1"/>
  <c r="L1822" i="4" s="1"/>
  <c r="M1822" i="4" s="1"/>
  <c r="H1822" i="4"/>
  <c r="E1827" i="3"/>
  <c r="C1827" i="3"/>
  <c r="B1827" i="3"/>
  <c r="D1827" i="3"/>
  <c r="N1823" i="4"/>
  <c r="J1823" i="4"/>
  <c r="K1823" i="4" s="1"/>
  <c r="L1823" i="4" s="1"/>
  <c r="M1823" i="4" s="1"/>
  <c r="G1823" i="4"/>
  <c r="H1823" i="4" s="1"/>
  <c r="B1828" i="3"/>
  <c r="D1828" i="3" s="1"/>
  <c r="E1828" i="3"/>
  <c r="I1824" i="4"/>
  <c r="G1824" i="4"/>
  <c r="H1824" i="4"/>
  <c r="N1824" i="4"/>
  <c r="J1824" i="4"/>
  <c r="K1824" i="4" s="1"/>
  <c r="L1824" i="4" s="1"/>
  <c r="M1824" i="4" s="1"/>
  <c r="E1829" i="3"/>
  <c r="B1829" i="3"/>
  <c r="D1829" i="3" s="1"/>
  <c r="N1825" i="4"/>
  <c r="J1825" i="4"/>
  <c r="K1825" i="4" s="1"/>
  <c r="L1825" i="4" s="1"/>
  <c r="M1825" i="4" s="1"/>
  <c r="G1825" i="4"/>
  <c r="H1825" i="4" s="1"/>
  <c r="I1825" i="4"/>
  <c r="B1830" i="3"/>
  <c r="D1830" i="3" s="1"/>
  <c r="E1830" i="3"/>
  <c r="G1826" i="4"/>
  <c r="N1826" i="4"/>
  <c r="J1826" i="4"/>
  <c r="K1826" i="4" s="1"/>
  <c r="L1826" i="4" s="1"/>
  <c r="M1826" i="4" s="1"/>
  <c r="E1831" i="3"/>
  <c r="B1831" i="3"/>
  <c r="N1827" i="4"/>
  <c r="J1827" i="4"/>
  <c r="I1827" i="4"/>
  <c r="G1827" i="4"/>
  <c r="H1827" i="4" s="1"/>
  <c r="K1827" i="4"/>
  <c r="L1827" i="4" s="1"/>
  <c r="M1827" i="4" s="1"/>
  <c r="B1832" i="3"/>
  <c r="D1832" i="3" s="1"/>
  <c r="E1832" i="3"/>
  <c r="C1832" i="3"/>
  <c r="I1828" i="4"/>
  <c r="G1828" i="4"/>
  <c r="H1828" i="4"/>
  <c r="J1828" i="4"/>
  <c r="K1828" i="4" s="1"/>
  <c r="L1828" i="4" s="1"/>
  <c r="M1828" i="4" s="1"/>
  <c r="N1828" i="4"/>
  <c r="E1833" i="3"/>
  <c r="B1833" i="3"/>
  <c r="D1833" i="3" s="1"/>
  <c r="N1829" i="4"/>
  <c r="J1829" i="4"/>
  <c r="K1829" i="4" s="1"/>
  <c r="L1829" i="4" s="1"/>
  <c r="M1829" i="4" s="1"/>
  <c r="G1829" i="4"/>
  <c r="H1829" i="4" s="1"/>
  <c r="I1829" i="4"/>
  <c r="B1834" i="3"/>
  <c r="D1834" i="3" s="1"/>
  <c r="E1834" i="3"/>
  <c r="G1830" i="4"/>
  <c r="N1830" i="4"/>
  <c r="J1830" i="4"/>
  <c r="K1830" i="4" s="1"/>
  <c r="L1830" i="4" s="1"/>
  <c r="M1830" i="4" s="1"/>
  <c r="E1835" i="3"/>
  <c r="B1835" i="3"/>
  <c r="N1831" i="4"/>
  <c r="J1831" i="4"/>
  <c r="K1831" i="4" s="1"/>
  <c r="L1831" i="4" s="1"/>
  <c r="M1831" i="4" s="1"/>
  <c r="G1831" i="4"/>
  <c r="H1831" i="4" s="1"/>
  <c r="B1836" i="3"/>
  <c r="D1836" i="3" s="1"/>
  <c r="E1836" i="3"/>
  <c r="C1836" i="3"/>
  <c r="I1832" i="4"/>
  <c r="G1832" i="4"/>
  <c r="H1832" i="4"/>
  <c r="N1832" i="4"/>
  <c r="J1832" i="4"/>
  <c r="K1832" i="4" s="1"/>
  <c r="L1832" i="4" s="1"/>
  <c r="M1832" i="4" s="1"/>
  <c r="E1837" i="3"/>
  <c r="B1837" i="3"/>
  <c r="D1837" i="3" s="1"/>
  <c r="N1833" i="4"/>
  <c r="J1833" i="4"/>
  <c r="K1833" i="4" s="1"/>
  <c r="L1833" i="4" s="1"/>
  <c r="M1833" i="4" s="1"/>
  <c r="G1833" i="4"/>
  <c r="B1838" i="3"/>
  <c r="D1838" i="3" s="1"/>
  <c r="E1838" i="3"/>
  <c r="I1834" i="4"/>
  <c r="G1834" i="4"/>
  <c r="N1834" i="4"/>
  <c r="J1834" i="4"/>
  <c r="K1834" i="4" s="1"/>
  <c r="L1834" i="4" s="1"/>
  <c r="M1834" i="4" s="1"/>
  <c r="H1834" i="4"/>
  <c r="E1839" i="3"/>
  <c r="C1839" i="3"/>
  <c r="B1839" i="3"/>
  <c r="D1839" i="3"/>
  <c r="N1835" i="4"/>
  <c r="J1835" i="4"/>
  <c r="K1835" i="4" s="1"/>
  <c r="L1835" i="4" s="1"/>
  <c r="M1835" i="4" s="1"/>
  <c r="G1835" i="4"/>
  <c r="B1840" i="3"/>
  <c r="D1840" i="3" s="1"/>
  <c r="E1840" i="3"/>
  <c r="C1840" i="3"/>
  <c r="G1836" i="4"/>
  <c r="J1836" i="4"/>
  <c r="K1836" i="4" s="1"/>
  <c r="L1836" i="4" s="1"/>
  <c r="M1836" i="4" s="1"/>
  <c r="N1836" i="4"/>
  <c r="E1841" i="3"/>
  <c r="B1841" i="3"/>
  <c r="D1841" i="3" s="1"/>
  <c r="N1837" i="4"/>
  <c r="J1837" i="4"/>
  <c r="K1837" i="4" s="1"/>
  <c r="L1837" i="4" s="1"/>
  <c r="M1837" i="4" s="1"/>
  <c r="G1837" i="4"/>
  <c r="B1842" i="3"/>
  <c r="D1842" i="3" s="1"/>
  <c r="E1842" i="3"/>
  <c r="I1838" i="4"/>
  <c r="G1838" i="4"/>
  <c r="N1838" i="4"/>
  <c r="J1838" i="4"/>
  <c r="K1838" i="4" s="1"/>
  <c r="L1838" i="4" s="1"/>
  <c r="M1838" i="4" s="1"/>
  <c r="H1838" i="4"/>
  <c r="E1843" i="3"/>
  <c r="C1843" i="3"/>
  <c r="B1843" i="3"/>
  <c r="D1843" i="3"/>
  <c r="N1839" i="4"/>
  <c r="J1839" i="4"/>
  <c r="K1839" i="4" s="1"/>
  <c r="L1839" i="4" s="1"/>
  <c r="M1839" i="4" s="1"/>
  <c r="G1839" i="4"/>
  <c r="H1839" i="4" s="1"/>
  <c r="B1844" i="3"/>
  <c r="D1844" i="3" s="1"/>
  <c r="E1844" i="3"/>
  <c r="C1844" i="3"/>
  <c r="G1840" i="4"/>
  <c r="N1840" i="4"/>
  <c r="J1840" i="4"/>
  <c r="K1840" i="4" s="1"/>
  <c r="L1840" i="4" s="1"/>
  <c r="M1840" i="4" s="1"/>
  <c r="E1845" i="3"/>
  <c r="B1845" i="3"/>
  <c r="D1845" i="3" s="1"/>
  <c r="N1841" i="4"/>
  <c r="J1841" i="4"/>
  <c r="K1841" i="4"/>
  <c r="L1841" i="4" s="1"/>
  <c r="M1841" i="4" s="1"/>
  <c r="G1841" i="4"/>
  <c r="H1841" i="4" s="1"/>
  <c r="I1841" i="4"/>
  <c r="B1846" i="3"/>
  <c r="D1846" i="3" s="1"/>
  <c r="E1846" i="3"/>
  <c r="G1842" i="4"/>
  <c r="N1842" i="4"/>
  <c r="J1842" i="4"/>
  <c r="K1842" i="4" s="1"/>
  <c r="L1842" i="4" s="1"/>
  <c r="M1842" i="4" s="1"/>
  <c r="E1847" i="3"/>
  <c r="B1847" i="3"/>
  <c r="N1843" i="4"/>
  <c r="J1843" i="4"/>
  <c r="I1843" i="4"/>
  <c r="G1843" i="4"/>
  <c r="H1843" i="4" s="1"/>
  <c r="K1843" i="4"/>
  <c r="L1843" i="4" s="1"/>
  <c r="M1843" i="4" s="1"/>
  <c r="B1848" i="3"/>
  <c r="D1848" i="3" s="1"/>
  <c r="E1848" i="3"/>
  <c r="C1848" i="3"/>
  <c r="I1844" i="4"/>
  <c r="G1844" i="4"/>
  <c r="H1844" i="4"/>
  <c r="J1844" i="4"/>
  <c r="K1844" i="4" s="1"/>
  <c r="L1844" i="4" s="1"/>
  <c r="M1844" i="4" s="1"/>
  <c r="N1844" i="4"/>
  <c r="E1849" i="3"/>
  <c r="B1849" i="3"/>
  <c r="D1849" i="3" s="1"/>
  <c r="N1845" i="4"/>
  <c r="J1845" i="4"/>
  <c r="K1845" i="4" s="1"/>
  <c r="L1845" i="4" s="1"/>
  <c r="M1845" i="4" s="1"/>
  <c r="G1845" i="4"/>
  <c r="B1850" i="3"/>
  <c r="D1850" i="3" s="1"/>
  <c r="E1850" i="3"/>
  <c r="I1846" i="4"/>
  <c r="G1846" i="4"/>
  <c r="N1846" i="4"/>
  <c r="J1846" i="4"/>
  <c r="K1846" i="4" s="1"/>
  <c r="L1846" i="4" s="1"/>
  <c r="M1846" i="4" s="1"/>
  <c r="H1846" i="4"/>
  <c r="E1851" i="3"/>
  <c r="C1851" i="3"/>
  <c r="B1851" i="3"/>
  <c r="D1851" i="3"/>
  <c r="N1847" i="4"/>
  <c r="J1847" i="4"/>
  <c r="K1847" i="4" s="1"/>
  <c r="L1847" i="4" s="1"/>
  <c r="M1847" i="4" s="1"/>
  <c r="G1847" i="4"/>
  <c r="H1847" i="4" s="1"/>
  <c r="B1852" i="3"/>
  <c r="D1852" i="3" s="1"/>
  <c r="E1852" i="3"/>
  <c r="C1852" i="3"/>
  <c r="G1848" i="4"/>
  <c r="N1848" i="4"/>
  <c r="J1848" i="4"/>
  <c r="K1848" i="4" s="1"/>
  <c r="L1848" i="4" s="1"/>
  <c r="M1848" i="4" s="1"/>
  <c r="E1853" i="3"/>
  <c r="B1853" i="3"/>
  <c r="D1853" i="3" s="1"/>
  <c r="N1849" i="4"/>
  <c r="J1849" i="4"/>
  <c r="K1849" i="4"/>
  <c r="L1849" i="4" s="1"/>
  <c r="M1849" i="4" s="1"/>
  <c r="G1849" i="4"/>
  <c r="H1849" i="4" s="1"/>
  <c r="I1849" i="4"/>
  <c r="B1854" i="3"/>
  <c r="D1854" i="3" s="1"/>
  <c r="E1854" i="3"/>
  <c r="G1850" i="4"/>
  <c r="N1850" i="4"/>
  <c r="J1850" i="4"/>
  <c r="K1850" i="4" s="1"/>
  <c r="L1850" i="4" s="1"/>
  <c r="M1850" i="4" s="1"/>
  <c r="E1855" i="3"/>
  <c r="B1855" i="3"/>
  <c r="N1851" i="4"/>
  <c r="J1851" i="4"/>
  <c r="I1851" i="4"/>
  <c r="G1851" i="4"/>
  <c r="H1851" i="4" s="1"/>
  <c r="K1851" i="4"/>
  <c r="L1851" i="4" s="1"/>
  <c r="M1851" i="4" s="1"/>
  <c r="B1856" i="3"/>
  <c r="D1856" i="3" s="1"/>
  <c r="E1856" i="3"/>
  <c r="C1856" i="3"/>
  <c r="I1852" i="4"/>
  <c r="G1852" i="4"/>
  <c r="H1852" i="4"/>
  <c r="J1852" i="4"/>
  <c r="K1852" i="4" s="1"/>
  <c r="L1852" i="4" s="1"/>
  <c r="M1852" i="4" s="1"/>
  <c r="N1852" i="4"/>
  <c r="E1857" i="3"/>
  <c r="B1857" i="3"/>
  <c r="D1857" i="3" s="1"/>
  <c r="N1853" i="4"/>
  <c r="J1853" i="4"/>
  <c r="K1853" i="4" s="1"/>
  <c r="L1853" i="4" s="1"/>
  <c r="M1853" i="4" s="1"/>
  <c r="G1853" i="4"/>
  <c r="H1853" i="4" s="1"/>
  <c r="I1853" i="4"/>
  <c r="B1858" i="3"/>
  <c r="D1858" i="3" s="1"/>
  <c r="E1858" i="3"/>
  <c r="G1854" i="4"/>
  <c r="N1854" i="4"/>
  <c r="J1854" i="4"/>
  <c r="K1854" i="4" s="1"/>
  <c r="L1854" i="4" s="1"/>
  <c r="M1854" i="4" s="1"/>
  <c r="E1859" i="3"/>
  <c r="B1859" i="3"/>
  <c r="N1855" i="4"/>
  <c r="J1855" i="4"/>
  <c r="K1855" i="4"/>
  <c r="L1855" i="4" s="1"/>
  <c r="M1855" i="4" s="1"/>
  <c r="G1855" i="4"/>
  <c r="H1855" i="4" s="1"/>
  <c r="I1855" i="4"/>
  <c r="B1860" i="3"/>
  <c r="D1860" i="3" s="1"/>
  <c r="E1860" i="3"/>
  <c r="C1860" i="3"/>
  <c r="I1856" i="4"/>
  <c r="G1856" i="4"/>
  <c r="N1856" i="4"/>
  <c r="J1856" i="4"/>
  <c r="K1856" i="4" s="1"/>
  <c r="L1856" i="4" s="1"/>
  <c r="M1856" i="4" s="1"/>
  <c r="H1856" i="4"/>
  <c r="E1861" i="3"/>
  <c r="B1861" i="3"/>
  <c r="D1861" i="3" s="1"/>
  <c r="N1857" i="4"/>
  <c r="J1857" i="4"/>
  <c r="K1857" i="4" s="1"/>
  <c r="L1857" i="4" s="1"/>
  <c r="M1857" i="4" s="1"/>
  <c r="G1857" i="4"/>
  <c r="H1857" i="4" s="1"/>
  <c r="B1862" i="3"/>
  <c r="D1862" i="3" s="1"/>
  <c r="E1862" i="3"/>
  <c r="I1858" i="4"/>
  <c r="G1858" i="4"/>
  <c r="H1858" i="4"/>
  <c r="N1858" i="4"/>
  <c r="J1858" i="4"/>
  <c r="K1858" i="4" s="1"/>
  <c r="L1858" i="4" s="1"/>
  <c r="M1858" i="4" s="1"/>
  <c r="E1863" i="3"/>
  <c r="C1863" i="3"/>
  <c r="B1863" i="3"/>
  <c r="D1863" i="3"/>
  <c r="N1859" i="4"/>
  <c r="J1859" i="4"/>
  <c r="K1859" i="4" s="1"/>
  <c r="L1859" i="4" s="1"/>
  <c r="M1859" i="4" s="1"/>
  <c r="G1859" i="4"/>
  <c r="H1859" i="4" s="1"/>
  <c r="I1859" i="4"/>
  <c r="B1864" i="3"/>
  <c r="D1864" i="3" s="1"/>
  <c r="E1864" i="3"/>
  <c r="C1864" i="3"/>
  <c r="I1860" i="4"/>
  <c r="G1860" i="4"/>
  <c r="N1860" i="4"/>
  <c r="J1860" i="4"/>
  <c r="K1860" i="4" s="1"/>
  <c r="L1860" i="4" s="1"/>
  <c r="M1860" i="4" s="1"/>
  <c r="H1860" i="4"/>
  <c r="E1865" i="3"/>
  <c r="B1865" i="3"/>
  <c r="D1865" i="3" s="1"/>
  <c r="N1861" i="4"/>
  <c r="J1861" i="4"/>
  <c r="K1861" i="4" s="1"/>
  <c r="L1861" i="4" s="1"/>
  <c r="M1861" i="4" s="1"/>
  <c r="G1861" i="4"/>
  <c r="H1861" i="4" s="1"/>
  <c r="B1866" i="3"/>
  <c r="D1866" i="3" s="1"/>
  <c r="E1866" i="3"/>
  <c r="I1862" i="4"/>
  <c r="G1862" i="4"/>
  <c r="H1862" i="4"/>
  <c r="J1862" i="4"/>
  <c r="K1862" i="4" s="1"/>
  <c r="L1862" i="4" s="1"/>
  <c r="M1862" i="4" s="1"/>
  <c r="N1862" i="4"/>
  <c r="E1867" i="3"/>
  <c r="C1867" i="3"/>
  <c r="B1867" i="3"/>
  <c r="D1867" i="3"/>
  <c r="N1863" i="4"/>
  <c r="J1863" i="4"/>
  <c r="K1863" i="4" s="1"/>
  <c r="L1863" i="4" s="1"/>
  <c r="M1863" i="4" s="1"/>
  <c r="G1863" i="4"/>
  <c r="H1863" i="4" s="1"/>
  <c r="I1863" i="4"/>
  <c r="B1868" i="3"/>
  <c r="D1868" i="3" s="1"/>
  <c r="E1868" i="3"/>
  <c r="C1868" i="3"/>
  <c r="I1864" i="4"/>
  <c r="G1864" i="4"/>
  <c r="N1864" i="4"/>
  <c r="J1864" i="4"/>
  <c r="K1864" i="4" s="1"/>
  <c r="L1864" i="4" s="1"/>
  <c r="M1864" i="4" s="1"/>
  <c r="H1864" i="4"/>
  <c r="E1869" i="3"/>
  <c r="B1869" i="3"/>
  <c r="D1869" i="3" s="1"/>
  <c r="N1865" i="4"/>
  <c r="J1865" i="4"/>
  <c r="K1865" i="4" s="1"/>
  <c r="L1865" i="4" s="1"/>
  <c r="M1865" i="4" s="1"/>
  <c r="G1865" i="4"/>
  <c r="H1865" i="4" s="1"/>
  <c r="B1870" i="3"/>
  <c r="D1870" i="3" s="1"/>
  <c r="E1870" i="3"/>
  <c r="I1866" i="4"/>
  <c r="G1866" i="4"/>
  <c r="H1866" i="4"/>
  <c r="N1866" i="4"/>
  <c r="J1866" i="4"/>
  <c r="K1866" i="4" s="1"/>
  <c r="L1866" i="4" s="1"/>
  <c r="M1866" i="4" s="1"/>
  <c r="E1871" i="3"/>
  <c r="C1871" i="3"/>
  <c r="B1871" i="3"/>
  <c r="D1871" i="3"/>
  <c r="N1867" i="4"/>
  <c r="J1867" i="4"/>
  <c r="K1867" i="4" s="1"/>
  <c r="L1867" i="4" s="1"/>
  <c r="M1867" i="4" s="1"/>
  <c r="G1867" i="4"/>
  <c r="H1867" i="4" s="1"/>
  <c r="I1867" i="4"/>
  <c r="B1872" i="3"/>
  <c r="D1872" i="3" s="1"/>
  <c r="E1872" i="3"/>
  <c r="C1872" i="3"/>
  <c r="I1868" i="4"/>
  <c r="G1868" i="4"/>
  <c r="N1868" i="4"/>
  <c r="J1868" i="4"/>
  <c r="K1868" i="4" s="1"/>
  <c r="L1868" i="4" s="1"/>
  <c r="M1868" i="4" s="1"/>
  <c r="H1868" i="4"/>
  <c r="E1873" i="3"/>
  <c r="B1873" i="3"/>
  <c r="D1873" i="3" s="1"/>
  <c r="N1869" i="4"/>
  <c r="J1869" i="4"/>
  <c r="K1869" i="4" s="1"/>
  <c r="L1869" i="4" s="1"/>
  <c r="M1869" i="4" s="1"/>
  <c r="G1869" i="4"/>
  <c r="H1869" i="4" s="1"/>
  <c r="B1874" i="3"/>
  <c r="D1874" i="3" s="1"/>
  <c r="E1874" i="3"/>
  <c r="I1870" i="4"/>
  <c r="G1870" i="4"/>
  <c r="H1870" i="4"/>
  <c r="J1870" i="4"/>
  <c r="K1870" i="4" s="1"/>
  <c r="L1870" i="4" s="1"/>
  <c r="M1870" i="4" s="1"/>
  <c r="N1870" i="4"/>
  <c r="E1875" i="3"/>
  <c r="C1875" i="3"/>
  <c r="B1875" i="3"/>
  <c r="D1875" i="3"/>
  <c r="N1871" i="4"/>
  <c r="J1871" i="4"/>
  <c r="K1871" i="4" s="1"/>
  <c r="L1871" i="4" s="1"/>
  <c r="M1871" i="4" s="1"/>
  <c r="G1871" i="4"/>
  <c r="H1871" i="4" s="1"/>
  <c r="I1871" i="4"/>
  <c r="B1876" i="3"/>
  <c r="D1876" i="3" s="1"/>
  <c r="E1876" i="3"/>
  <c r="C1876" i="3"/>
  <c r="I1872" i="4"/>
  <c r="G1872" i="4"/>
  <c r="N1872" i="4"/>
  <c r="J1872" i="4"/>
  <c r="K1872" i="4" s="1"/>
  <c r="L1872" i="4" s="1"/>
  <c r="M1872" i="4" s="1"/>
  <c r="H1872" i="4"/>
  <c r="E1877" i="3"/>
  <c r="B1877" i="3"/>
  <c r="D1877" i="3" s="1"/>
  <c r="N1873" i="4"/>
  <c r="J1873" i="4"/>
  <c r="K1873" i="4" s="1"/>
  <c r="L1873" i="4" s="1"/>
  <c r="M1873" i="4" s="1"/>
  <c r="G1873" i="4"/>
  <c r="H1873" i="4" s="1"/>
  <c r="B1878" i="3"/>
  <c r="D1878" i="3" s="1"/>
  <c r="E1878" i="3"/>
  <c r="I1874" i="4"/>
  <c r="G1874" i="4"/>
  <c r="H1874" i="4"/>
  <c r="N1874" i="4"/>
  <c r="J1874" i="4"/>
  <c r="K1874" i="4" s="1"/>
  <c r="L1874" i="4" s="1"/>
  <c r="M1874" i="4" s="1"/>
  <c r="E1879" i="3"/>
  <c r="C1879" i="3"/>
  <c r="B1879" i="3"/>
  <c r="D1879" i="3"/>
  <c r="N1875" i="4"/>
  <c r="J1875" i="4"/>
  <c r="K1875" i="4" s="1"/>
  <c r="L1875" i="4" s="1"/>
  <c r="M1875" i="4" s="1"/>
  <c r="G1875" i="4"/>
  <c r="H1875" i="4" s="1"/>
  <c r="I1875" i="4"/>
  <c r="B1880" i="3"/>
  <c r="D1880" i="3" s="1"/>
  <c r="E1880" i="3"/>
  <c r="C1880" i="3"/>
  <c r="I1876" i="4"/>
  <c r="G1876" i="4"/>
  <c r="N1876" i="4"/>
  <c r="J1876" i="4"/>
  <c r="K1876" i="4" s="1"/>
  <c r="L1876" i="4" s="1"/>
  <c r="M1876" i="4" s="1"/>
  <c r="H1876" i="4"/>
  <c r="E1881" i="3"/>
  <c r="B1881" i="3"/>
  <c r="D1881" i="3" s="1"/>
  <c r="N1877" i="4"/>
  <c r="J1877" i="4"/>
  <c r="K1877" i="4" s="1"/>
  <c r="L1877" i="4" s="1"/>
  <c r="M1877" i="4" s="1"/>
  <c r="G1877" i="4"/>
  <c r="H1877" i="4" s="1"/>
  <c r="B1882" i="3"/>
  <c r="D1882" i="3" s="1"/>
  <c r="E1882" i="3"/>
  <c r="I1878" i="4"/>
  <c r="G1878" i="4"/>
  <c r="H1878" i="4"/>
  <c r="J1878" i="4"/>
  <c r="K1878" i="4" s="1"/>
  <c r="L1878" i="4" s="1"/>
  <c r="M1878" i="4" s="1"/>
  <c r="N1878" i="4"/>
  <c r="E1883" i="3"/>
  <c r="C1883" i="3"/>
  <c r="B1883" i="3"/>
  <c r="D1883" i="3"/>
  <c r="N1879" i="4"/>
  <c r="J1879" i="4"/>
  <c r="K1879" i="4" s="1"/>
  <c r="L1879" i="4" s="1"/>
  <c r="M1879" i="4" s="1"/>
  <c r="G1879" i="4"/>
  <c r="H1879" i="4" s="1"/>
  <c r="B1884" i="3"/>
  <c r="D1884" i="3" s="1"/>
  <c r="E1884" i="3"/>
  <c r="C1884" i="3"/>
  <c r="G1880" i="4"/>
  <c r="I1880" i="4" s="1"/>
  <c r="N1880" i="4"/>
  <c r="J1880" i="4"/>
  <c r="K1880" i="4" s="1"/>
  <c r="L1880" i="4" s="1"/>
  <c r="M1880" i="4" s="1"/>
  <c r="E1885" i="3"/>
  <c r="B1885" i="3"/>
  <c r="D1885" i="3" s="1"/>
  <c r="N1881" i="4"/>
  <c r="J1881" i="4"/>
  <c r="K1881" i="4" s="1"/>
  <c r="L1881" i="4" s="1"/>
  <c r="M1881" i="4" s="1"/>
  <c r="G1881" i="4"/>
  <c r="H1881" i="4" s="1"/>
  <c r="B1886" i="3"/>
  <c r="D1886" i="3" s="1"/>
  <c r="E1886" i="3"/>
  <c r="G1882" i="4"/>
  <c r="I1882" i="4" s="1"/>
  <c r="N1882" i="4"/>
  <c r="J1882" i="4"/>
  <c r="K1882" i="4" s="1"/>
  <c r="L1882" i="4" s="1"/>
  <c r="M1882" i="4" s="1"/>
  <c r="E1887" i="3"/>
  <c r="B1887" i="3"/>
  <c r="C1887" i="3" s="1"/>
  <c r="N1883" i="4"/>
  <c r="J1883" i="4"/>
  <c r="K1883" i="4"/>
  <c r="L1883" i="4" s="1"/>
  <c r="M1883" i="4" s="1"/>
  <c r="G1883" i="4"/>
  <c r="H1883" i="4" s="1"/>
  <c r="I1883" i="4"/>
  <c r="B1888" i="3"/>
  <c r="D1888" i="3" s="1"/>
  <c r="E1888" i="3"/>
  <c r="C1888" i="3"/>
  <c r="I1884" i="4"/>
  <c r="G1884" i="4"/>
  <c r="N1884" i="4"/>
  <c r="J1884" i="4"/>
  <c r="K1884" i="4" s="1"/>
  <c r="L1884" i="4" s="1"/>
  <c r="M1884" i="4" s="1"/>
  <c r="H1884" i="4"/>
  <c r="E1889" i="3"/>
  <c r="B1889" i="3"/>
  <c r="D1889" i="3" s="1"/>
  <c r="N1885" i="4"/>
  <c r="J1885" i="4"/>
  <c r="K1885" i="4" s="1"/>
  <c r="L1885" i="4" s="1"/>
  <c r="M1885" i="4" s="1"/>
  <c r="G1885" i="4"/>
  <c r="H1885" i="4" s="1"/>
  <c r="B1890" i="3"/>
  <c r="D1890" i="3" s="1"/>
  <c r="E1890" i="3"/>
  <c r="I1886" i="4"/>
  <c r="G1886" i="4"/>
  <c r="H1886" i="4"/>
  <c r="J1886" i="4"/>
  <c r="K1886" i="4" s="1"/>
  <c r="L1886" i="4" s="1"/>
  <c r="M1886" i="4" s="1"/>
  <c r="N1886" i="4"/>
  <c r="E1891" i="3"/>
  <c r="C1891" i="3"/>
  <c r="B1891" i="3"/>
  <c r="D1891" i="3"/>
  <c r="N1887" i="4"/>
  <c r="J1887" i="4"/>
  <c r="K1887" i="4" s="1"/>
  <c r="L1887" i="4" s="1"/>
  <c r="M1887" i="4" s="1"/>
  <c r="G1887" i="4"/>
  <c r="H1887" i="4" s="1"/>
  <c r="I1887" i="4"/>
  <c r="B1892" i="3"/>
  <c r="D1892" i="3" s="1"/>
  <c r="E1892" i="3"/>
  <c r="C1892" i="3"/>
  <c r="I1888" i="4"/>
  <c r="G1888" i="4"/>
  <c r="N1888" i="4"/>
  <c r="J1888" i="4"/>
  <c r="K1888" i="4" s="1"/>
  <c r="L1888" i="4" s="1"/>
  <c r="M1888" i="4" s="1"/>
  <c r="H1888" i="4"/>
  <c r="E1893" i="3"/>
  <c r="B1893" i="3"/>
  <c r="D1893" i="3" s="1"/>
  <c r="N1889" i="4"/>
  <c r="J1889" i="4"/>
  <c r="K1889" i="4" s="1"/>
  <c r="L1889" i="4" s="1"/>
  <c r="M1889" i="4" s="1"/>
  <c r="G1889" i="4"/>
  <c r="H1889" i="4" s="1"/>
  <c r="B1894" i="3"/>
  <c r="D1894" i="3" s="1"/>
  <c r="E1894" i="3"/>
  <c r="I1890" i="4"/>
  <c r="G1890" i="4"/>
  <c r="H1890" i="4"/>
  <c r="N1890" i="4"/>
  <c r="J1890" i="4"/>
  <c r="K1890" i="4" s="1"/>
  <c r="L1890" i="4" s="1"/>
  <c r="M1890" i="4" s="1"/>
  <c r="E1895" i="3"/>
  <c r="C1895" i="3"/>
  <c r="B1895" i="3"/>
  <c r="D1895" i="3"/>
  <c r="N1891" i="4"/>
  <c r="J1891" i="4"/>
  <c r="K1891" i="4" s="1"/>
  <c r="L1891" i="4" s="1"/>
  <c r="M1891" i="4" s="1"/>
  <c r="G1891" i="4"/>
  <c r="H1891" i="4" s="1"/>
  <c r="I1891" i="4"/>
  <c r="B1896" i="3"/>
  <c r="D1896" i="3" s="1"/>
  <c r="E1896" i="3"/>
  <c r="C1896" i="3"/>
  <c r="I1892" i="4"/>
  <c r="G1892" i="4"/>
  <c r="N1892" i="4"/>
  <c r="J1892" i="4"/>
  <c r="K1892" i="4" s="1"/>
  <c r="L1892" i="4" s="1"/>
  <c r="M1892" i="4" s="1"/>
  <c r="H1892" i="4"/>
  <c r="E1897" i="3"/>
  <c r="B1897" i="3"/>
  <c r="D1897" i="3" s="1"/>
  <c r="N1893" i="4"/>
  <c r="J1893" i="4"/>
  <c r="K1893" i="4" s="1"/>
  <c r="L1893" i="4" s="1"/>
  <c r="M1893" i="4" s="1"/>
  <c r="G1893" i="4"/>
  <c r="H1893" i="4" s="1"/>
  <c r="B1898" i="3"/>
  <c r="D1898" i="3" s="1"/>
  <c r="E1898" i="3"/>
  <c r="I1894" i="4"/>
  <c r="G1894" i="4"/>
  <c r="H1894" i="4"/>
  <c r="J1894" i="4"/>
  <c r="K1894" i="4" s="1"/>
  <c r="L1894" i="4" s="1"/>
  <c r="M1894" i="4" s="1"/>
  <c r="N1894" i="4"/>
  <c r="E1899" i="3"/>
  <c r="B1899" i="3"/>
  <c r="D1899" i="3" s="1"/>
  <c r="N1895" i="4"/>
  <c r="J1895" i="4"/>
  <c r="K1895" i="4" s="1"/>
  <c r="L1895" i="4" s="1"/>
  <c r="M1895" i="4" s="1"/>
  <c r="G1895" i="4"/>
  <c r="H1895" i="4" s="1"/>
  <c r="I1895" i="4"/>
  <c r="B1900" i="3"/>
  <c r="D1900" i="3" s="1"/>
  <c r="E1900" i="3"/>
  <c r="C1900" i="3"/>
  <c r="I1896" i="4"/>
  <c r="G1896" i="4"/>
  <c r="N1896" i="4"/>
  <c r="J1896" i="4"/>
  <c r="K1896" i="4" s="1"/>
  <c r="L1896" i="4" s="1"/>
  <c r="M1896" i="4" s="1"/>
  <c r="H1896" i="4"/>
  <c r="E1901" i="3"/>
  <c r="B1901" i="3"/>
  <c r="D1901" i="3" s="1"/>
  <c r="N1897" i="4"/>
  <c r="J1897" i="4"/>
  <c r="K1897" i="4" s="1"/>
  <c r="L1897" i="4" s="1"/>
  <c r="M1897" i="4" s="1"/>
  <c r="G1897" i="4"/>
  <c r="H1897" i="4" s="1"/>
  <c r="B1902" i="3"/>
  <c r="D1902" i="3" s="1"/>
  <c r="E1902" i="3"/>
  <c r="C1902" i="3"/>
  <c r="G1898" i="4"/>
  <c r="I1898" i="4" s="1"/>
  <c r="N1898" i="4"/>
  <c r="J1898" i="4"/>
  <c r="K1898" i="4" s="1"/>
  <c r="L1898" i="4" s="1"/>
  <c r="M1898" i="4" s="1"/>
  <c r="E1903" i="3"/>
  <c r="B1903" i="3"/>
  <c r="D1903" i="3" s="1"/>
  <c r="N1899" i="4"/>
  <c r="J1899" i="4"/>
  <c r="K1899" i="4"/>
  <c r="L1899" i="4" s="1"/>
  <c r="M1899" i="4" s="1"/>
  <c r="G1899" i="4"/>
  <c r="H1899" i="4" s="1"/>
  <c r="I1899" i="4"/>
  <c r="B1904" i="3"/>
  <c r="D1904" i="3" s="1"/>
  <c r="E1904" i="3"/>
  <c r="C1904" i="3"/>
  <c r="I1900" i="4"/>
  <c r="G1900" i="4"/>
  <c r="N1900" i="4"/>
  <c r="J1900" i="4"/>
  <c r="K1900" i="4" s="1"/>
  <c r="L1900" i="4" s="1"/>
  <c r="M1900" i="4" s="1"/>
  <c r="H1900" i="4"/>
  <c r="E1905" i="3"/>
  <c r="B1905" i="3"/>
  <c r="D1905" i="3" s="1"/>
  <c r="N1901" i="4"/>
  <c r="J1901" i="4"/>
  <c r="K1901" i="4" s="1"/>
  <c r="L1901" i="4" s="1"/>
  <c r="M1901" i="4" s="1"/>
  <c r="G1901" i="4"/>
  <c r="H1901" i="4" s="1"/>
  <c r="B1906" i="3"/>
  <c r="D1906" i="3" s="1"/>
  <c r="E1906" i="3"/>
  <c r="C1906" i="3"/>
  <c r="G1902" i="4"/>
  <c r="I1902" i="4" s="1"/>
  <c r="J1902" i="4"/>
  <c r="K1902" i="4" s="1"/>
  <c r="L1902" i="4" s="1"/>
  <c r="M1902" i="4" s="1"/>
  <c r="N1902" i="4"/>
  <c r="E1907" i="3"/>
  <c r="B1907" i="3"/>
  <c r="D1907" i="3" s="1"/>
  <c r="N1903" i="4"/>
  <c r="J1903" i="4"/>
  <c r="K1903" i="4"/>
  <c r="L1903" i="4" s="1"/>
  <c r="M1903" i="4" s="1"/>
  <c r="G1903" i="4"/>
  <c r="H1903" i="4" s="1"/>
  <c r="I1903" i="4"/>
  <c r="B1908" i="3"/>
  <c r="D1908" i="3" s="1"/>
  <c r="E1908" i="3"/>
  <c r="C1908" i="3"/>
  <c r="I1904" i="4"/>
  <c r="G1904" i="4"/>
  <c r="N1904" i="4"/>
  <c r="J1904" i="4"/>
  <c r="K1904" i="4" s="1"/>
  <c r="L1904" i="4" s="1"/>
  <c r="M1904" i="4" s="1"/>
  <c r="H1904" i="4"/>
  <c r="E1909" i="3"/>
  <c r="B1909" i="3"/>
  <c r="D1909" i="3" s="1"/>
  <c r="N1905" i="4"/>
  <c r="J1905" i="4"/>
  <c r="K1905" i="4" s="1"/>
  <c r="L1905" i="4" s="1"/>
  <c r="M1905" i="4" s="1"/>
  <c r="G1905" i="4"/>
  <c r="H1905" i="4" s="1"/>
  <c r="B1910" i="3"/>
  <c r="D1910" i="3" s="1"/>
  <c r="E1910" i="3"/>
  <c r="I1906" i="4"/>
  <c r="G1906" i="4"/>
  <c r="H1906" i="4"/>
  <c r="N1906" i="4"/>
  <c r="J1906" i="4"/>
  <c r="K1906" i="4" s="1"/>
  <c r="L1906" i="4" s="1"/>
  <c r="M1906" i="4" s="1"/>
  <c r="E1911" i="3"/>
  <c r="B1911" i="3"/>
  <c r="D1911" i="3" s="1"/>
  <c r="N1907" i="4"/>
  <c r="J1907" i="4"/>
  <c r="K1907" i="4" s="1"/>
  <c r="L1907" i="4" s="1"/>
  <c r="M1907" i="4" s="1"/>
  <c r="G1907" i="4"/>
  <c r="H1907" i="4" s="1"/>
  <c r="I1907" i="4"/>
  <c r="B1912" i="3"/>
  <c r="D1912" i="3" s="1"/>
  <c r="E1912" i="3"/>
  <c r="C1912" i="3"/>
  <c r="I1908" i="4"/>
  <c r="G1908" i="4"/>
  <c r="N1908" i="4"/>
  <c r="J1908" i="4"/>
  <c r="K1908" i="4" s="1"/>
  <c r="L1908" i="4" s="1"/>
  <c r="M1908" i="4" s="1"/>
  <c r="H1908" i="4"/>
  <c r="E1913" i="3"/>
  <c r="B1913" i="3"/>
  <c r="D1913" i="3" s="1"/>
  <c r="N1909" i="4"/>
  <c r="J1909" i="4"/>
  <c r="K1909" i="4" s="1"/>
  <c r="L1909" i="4" s="1"/>
  <c r="M1909" i="4" s="1"/>
  <c r="G1909" i="4"/>
  <c r="H1909" i="4" s="1"/>
  <c r="B1914" i="3"/>
  <c r="D1914" i="3" s="1"/>
  <c r="E1914" i="3"/>
  <c r="C1914" i="3"/>
  <c r="G1910" i="4"/>
  <c r="I1910" i="4" s="1"/>
  <c r="J1910" i="4"/>
  <c r="K1910" i="4" s="1"/>
  <c r="L1910" i="4" s="1"/>
  <c r="M1910" i="4" s="1"/>
  <c r="N1910" i="4"/>
  <c r="E1915" i="3"/>
  <c r="B1915" i="3"/>
  <c r="D1915" i="3" s="1"/>
  <c r="N1911" i="4"/>
  <c r="J1911" i="4"/>
  <c r="K1911" i="4" s="1"/>
  <c r="L1911" i="4" s="1"/>
  <c r="M1911" i="4" s="1"/>
  <c r="G1911" i="4"/>
  <c r="H1911" i="4" s="1"/>
  <c r="B1916" i="3"/>
  <c r="D1916" i="3" s="1"/>
  <c r="E1916" i="3"/>
  <c r="C1916" i="3"/>
  <c r="G1912" i="4"/>
  <c r="I1912" i="4" s="1"/>
  <c r="N1912" i="4"/>
  <c r="J1912" i="4"/>
  <c r="K1912" i="4" s="1"/>
  <c r="L1912" i="4" s="1"/>
  <c r="M1912" i="4" s="1"/>
  <c r="E1917" i="3"/>
  <c r="B1917" i="3"/>
  <c r="D1917" i="3" s="1"/>
  <c r="N1913" i="4"/>
  <c r="J1913" i="4"/>
  <c r="K1913" i="4" s="1"/>
  <c r="L1913" i="4" s="1"/>
  <c r="M1913" i="4" s="1"/>
  <c r="G1913" i="4"/>
  <c r="H1913" i="4" s="1"/>
  <c r="B1918" i="3"/>
  <c r="D1918" i="3" s="1"/>
  <c r="E1918" i="3"/>
  <c r="C1918" i="3"/>
  <c r="I1914" i="4"/>
  <c r="G1914" i="4"/>
  <c r="H1914" i="4"/>
  <c r="N1914" i="4"/>
  <c r="J1914" i="4"/>
  <c r="K1914" i="4" s="1"/>
  <c r="L1914" i="4" s="1"/>
  <c r="M1914" i="4" s="1"/>
  <c r="E1919" i="3"/>
  <c r="B1919" i="3"/>
  <c r="D1919" i="3" s="1"/>
  <c r="N1915" i="4"/>
  <c r="J1915" i="4"/>
  <c r="K1915" i="4" s="1"/>
  <c r="L1915" i="4" s="1"/>
  <c r="M1915" i="4" s="1"/>
  <c r="G1915" i="4"/>
  <c r="H1915" i="4" s="1"/>
  <c r="B1920" i="3"/>
  <c r="D1920" i="3" s="1"/>
  <c r="E1920" i="3"/>
  <c r="C1920" i="3"/>
  <c r="G1916" i="4"/>
  <c r="I1916" i="4" s="1"/>
  <c r="N1916" i="4"/>
  <c r="J1916" i="4"/>
  <c r="K1916" i="4" s="1"/>
  <c r="L1916" i="4" s="1"/>
  <c r="M1916" i="4" s="1"/>
  <c r="E1921" i="3"/>
  <c r="B1921" i="3"/>
  <c r="D1921" i="3" s="1"/>
  <c r="N1917" i="4"/>
  <c r="J1917" i="4"/>
  <c r="I1917" i="4"/>
  <c r="G1917" i="4"/>
  <c r="H1917" i="4" s="1"/>
  <c r="K1917" i="4"/>
  <c r="L1917" i="4" s="1"/>
  <c r="M1917" i="4" s="1"/>
  <c r="B1922" i="3"/>
  <c r="D1922" i="3" s="1"/>
  <c r="E1922" i="3"/>
  <c r="C1922" i="3"/>
  <c r="I1918" i="4"/>
  <c r="G1918" i="4"/>
  <c r="H1918" i="4"/>
  <c r="J1918" i="4"/>
  <c r="K1918" i="4" s="1"/>
  <c r="L1918" i="4" s="1"/>
  <c r="M1918" i="4" s="1"/>
  <c r="N1918" i="4"/>
  <c r="E1923" i="3"/>
  <c r="B1923" i="3"/>
  <c r="D1923" i="3" s="1"/>
  <c r="N1919" i="4"/>
  <c r="J1919" i="4"/>
  <c r="K1919" i="4" s="1"/>
  <c r="L1919" i="4" s="1"/>
  <c r="M1919" i="4" s="1"/>
  <c r="G1919" i="4"/>
  <c r="H1919" i="4" s="1"/>
  <c r="B1924" i="3"/>
  <c r="D1924" i="3" s="1"/>
  <c r="E1924" i="3"/>
  <c r="C1924" i="3"/>
  <c r="G1920" i="4"/>
  <c r="I1920" i="4" s="1"/>
  <c r="N1920" i="4"/>
  <c r="J1920" i="4"/>
  <c r="K1920" i="4" s="1"/>
  <c r="L1920" i="4" s="1"/>
  <c r="M1920" i="4" s="1"/>
  <c r="E1925" i="3"/>
  <c r="B1925" i="3"/>
  <c r="D1925" i="3" s="1"/>
  <c r="N1921" i="4"/>
  <c r="J1921" i="4"/>
  <c r="K1921" i="4" s="1"/>
  <c r="L1921" i="4" s="1"/>
  <c r="M1921" i="4" s="1"/>
  <c r="G1921" i="4"/>
  <c r="H1921" i="4" s="1"/>
  <c r="B1926" i="3"/>
  <c r="D1926" i="3" s="1"/>
  <c r="E1926" i="3"/>
  <c r="C1926" i="3"/>
  <c r="I1922" i="4"/>
  <c r="G1922" i="4"/>
  <c r="H1922" i="4"/>
  <c r="N1922" i="4"/>
  <c r="J1922" i="4"/>
  <c r="K1922" i="4" s="1"/>
  <c r="L1922" i="4" s="1"/>
  <c r="M1922" i="4" s="1"/>
  <c r="E1927" i="3"/>
  <c r="B1927" i="3"/>
  <c r="D1927" i="3" s="1"/>
  <c r="N1923" i="4"/>
  <c r="J1923" i="4"/>
  <c r="K1923" i="4" s="1"/>
  <c r="L1923" i="4" s="1"/>
  <c r="M1923" i="4" s="1"/>
  <c r="G1923" i="4"/>
  <c r="H1923" i="4" s="1"/>
  <c r="B1928" i="3"/>
  <c r="D1928" i="3" s="1"/>
  <c r="E1928" i="3"/>
  <c r="C1928" i="3"/>
  <c r="G1924" i="4"/>
  <c r="I1924" i="4" s="1"/>
  <c r="N1924" i="4"/>
  <c r="J1924" i="4"/>
  <c r="K1924" i="4" s="1"/>
  <c r="L1924" i="4" s="1"/>
  <c r="M1924" i="4" s="1"/>
  <c r="E1929" i="3"/>
  <c r="B1929" i="3"/>
  <c r="D1929" i="3" s="1"/>
  <c r="N1925" i="4"/>
  <c r="J1925" i="4"/>
  <c r="I1925" i="4"/>
  <c r="G1925" i="4"/>
  <c r="H1925" i="4" s="1"/>
  <c r="K1925" i="4"/>
  <c r="L1925" i="4" s="1"/>
  <c r="M1925" i="4" s="1"/>
  <c r="B1930" i="3"/>
  <c r="D1930" i="3" s="1"/>
  <c r="E1930" i="3"/>
  <c r="C1930" i="3"/>
  <c r="I1926" i="4"/>
  <c r="G1926" i="4"/>
  <c r="H1926" i="4"/>
  <c r="J1926" i="4"/>
  <c r="K1926" i="4" s="1"/>
  <c r="L1926" i="4" s="1"/>
  <c r="M1926" i="4" s="1"/>
  <c r="N1926" i="4"/>
  <c r="E1931" i="3"/>
  <c r="B1931" i="3"/>
  <c r="D1931" i="3" s="1"/>
  <c r="N1927" i="4"/>
  <c r="J1927" i="4"/>
  <c r="K1927" i="4" s="1"/>
  <c r="L1927" i="4" s="1"/>
  <c r="M1927" i="4" s="1"/>
  <c r="G1927" i="4"/>
  <c r="H1927" i="4" s="1"/>
  <c r="I1927" i="4"/>
  <c r="B1932" i="3"/>
  <c r="D1932" i="3" s="1"/>
  <c r="E1932" i="3"/>
  <c r="C1932" i="3"/>
  <c r="I1928" i="4"/>
  <c r="G1928" i="4"/>
  <c r="N1928" i="4"/>
  <c r="J1928" i="4"/>
  <c r="K1928" i="4" s="1"/>
  <c r="L1928" i="4" s="1"/>
  <c r="M1928" i="4" s="1"/>
  <c r="H1928" i="4"/>
  <c r="E1933" i="3"/>
  <c r="B1933" i="3"/>
  <c r="D1933" i="3" s="1"/>
  <c r="N1929" i="4"/>
  <c r="J1929" i="4"/>
  <c r="K1929" i="4" s="1"/>
  <c r="L1929" i="4" s="1"/>
  <c r="M1929" i="4" s="1"/>
  <c r="G1929" i="4"/>
  <c r="H1929" i="4" s="1"/>
  <c r="B1934" i="3"/>
  <c r="D1934" i="3" s="1"/>
  <c r="E1934" i="3"/>
  <c r="I1930" i="4"/>
  <c r="G1930" i="4"/>
  <c r="H1930" i="4"/>
  <c r="N1930" i="4"/>
  <c r="J1930" i="4"/>
  <c r="K1930" i="4" s="1"/>
  <c r="L1930" i="4" s="1"/>
  <c r="M1930" i="4" s="1"/>
  <c r="E1935" i="3"/>
  <c r="B1935" i="3"/>
  <c r="D1935" i="3" s="1"/>
  <c r="N1931" i="4"/>
  <c r="J1931" i="4"/>
  <c r="K1931" i="4" s="1"/>
  <c r="L1931" i="4" s="1"/>
  <c r="M1931" i="4" s="1"/>
  <c r="G1931" i="4"/>
  <c r="H1931" i="4" s="1"/>
  <c r="I1931" i="4"/>
  <c r="B1936" i="3"/>
  <c r="D1936" i="3" s="1"/>
  <c r="E1936" i="3"/>
  <c r="C1936" i="3"/>
  <c r="I1932" i="4"/>
  <c r="G1932" i="4"/>
  <c r="N1932" i="4"/>
  <c r="J1932" i="4"/>
  <c r="K1932" i="4" s="1"/>
  <c r="L1932" i="4" s="1"/>
  <c r="M1932" i="4" s="1"/>
  <c r="H1932" i="4"/>
  <c r="E1937" i="3"/>
  <c r="B1937" i="3"/>
  <c r="D1937" i="3" s="1"/>
  <c r="N1933" i="4"/>
  <c r="J1933" i="4"/>
  <c r="K1933" i="4" s="1"/>
  <c r="L1933" i="4" s="1"/>
  <c r="M1933" i="4" s="1"/>
  <c r="G1933" i="4"/>
  <c r="H1933" i="4" s="1"/>
  <c r="B1938" i="3"/>
  <c r="D1938" i="3" s="1"/>
  <c r="E1938" i="3"/>
  <c r="C1938" i="3"/>
  <c r="N1934" i="4"/>
  <c r="J1934" i="4"/>
  <c r="K1934" i="4" s="1"/>
  <c r="L1934" i="4" s="1"/>
  <c r="M1934" i="4" s="1"/>
  <c r="G1934" i="4"/>
  <c r="H1934" i="4" s="1"/>
  <c r="E1939" i="3"/>
  <c r="B1939" i="3"/>
  <c r="D1939" i="3" s="1"/>
  <c r="I1935" i="4"/>
  <c r="G1935" i="4"/>
  <c r="H1935" i="4"/>
  <c r="J1935" i="4"/>
  <c r="K1935" i="4" s="1"/>
  <c r="L1935" i="4" s="1"/>
  <c r="M1935" i="4" s="1"/>
  <c r="N1935" i="4"/>
  <c r="B1940" i="3"/>
  <c r="D1940" i="3" s="1"/>
  <c r="E1940" i="3"/>
  <c r="C1940" i="3"/>
  <c r="N1936" i="4"/>
  <c r="J1936" i="4"/>
  <c r="K1936" i="4"/>
  <c r="L1936" i="4" s="1"/>
  <c r="M1936" i="4" s="1"/>
  <c r="G1936" i="4"/>
  <c r="H1936" i="4" s="1"/>
  <c r="I1936" i="4"/>
  <c r="E1941" i="3"/>
  <c r="B1941" i="3"/>
  <c r="D1941" i="3" s="1"/>
  <c r="G1937" i="4"/>
  <c r="I1937" i="4" s="1"/>
  <c r="N1937" i="4"/>
  <c r="J1937" i="4"/>
  <c r="K1937" i="4" s="1"/>
  <c r="L1937" i="4" s="1"/>
  <c r="M1937" i="4" s="1"/>
  <c r="B1942" i="3"/>
  <c r="D1942" i="3" s="1"/>
  <c r="E1942" i="3"/>
  <c r="C1942" i="3"/>
  <c r="N1938" i="4"/>
  <c r="J1938" i="4"/>
  <c r="K1938" i="4" s="1"/>
  <c r="L1938" i="4" s="1"/>
  <c r="M1938" i="4" s="1"/>
  <c r="G1938" i="4"/>
  <c r="H1938" i="4" s="1"/>
  <c r="E1943" i="3"/>
  <c r="B1943" i="3"/>
  <c r="D1943" i="3" s="1"/>
  <c r="I1939" i="4"/>
  <c r="G1939" i="4"/>
  <c r="H1939" i="4"/>
  <c r="N1939" i="4"/>
  <c r="J1939" i="4"/>
  <c r="K1939" i="4" s="1"/>
  <c r="L1939" i="4" s="1"/>
  <c r="M1939" i="4" s="1"/>
  <c r="B1944" i="3"/>
  <c r="D1944" i="3" s="1"/>
  <c r="E1944" i="3"/>
  <c r="N1940" i="4"/>
  <c r="J1940" i="4"/>
  <c r="K1940" i="4" s="1"/>
  <c r="L1940" i="4" s="1"/>
  <c r="M1940" i="4" s="1"/>
  <c r="G1940" i="4"/>
  <c r="H1940" i="4" s="1"/>
  <c r="I1940" i="4"/>
  <c r="E1945" i="3"/>
  <c r="B1945" i="3"/>
  <c r="D1945" i="3" s="1"/>
  <c r="G1941" i="4"/>
  <c r="I1941" i="4" s="1"/>
  <c r="N1941" i="4"/>
  <c r="J1941" i="4"/>
  <c r="K1941" i="4" s="1"/>
  <c r="L1941" i="4" s="1"/>
  <c r="M1941" i="4" s="1"/>
  <c r="B1946" i="3"/>
  <c r="D1946" i="3" s="1"/>
  <c r="E1946" i="3"/>
  <c r="C1946" i="3"/>
  <c r="N1942" i="4"/>
  <c r="J1942" i="4"/>
  <c r="K1942" i="4" s="1"/>
  <c r="L1942" i="4" s="1"/>
  <c r="M1942" i="4" s="1"/>
  <c r="G1942" i="4"/>
  <c r="H1942" i="4" s="1"/>
  <c r="E1947" i="3"/>
  <c r="B1947" i="3"/>
  <c r="D1947" i="3" s="1"/>
  <c r="I1943" i="4"/>
  <c r="G1943" i="4"/>
  <c r="H1943" i="4"/>
  <c r="J1943" i="4"/>
  <c r="K1943" i="4" s="1"/>
  <c r="L1943" i="4" s="1"/>
  <c r="M1943" i="4" s="1"/>
  <c r="N1943" i="4"/>
  <c r="B1948" i="3"/>
  <c r="D1948" i="3" s="1"/>
  <c r="E1948" i="3"/>
  <c r="N1944" i="4"/>
  <c r="J1944" i="4"/>
  <c r="K1944" i="4" s="1"/>
  <c r="L1944" i="4" s="1"/>
  <c r="M1944" i="4" s="1"/>
  <c r="G1944" i="4"/>
  <c r="H1944" i="4" s="1"/>
  <c r="I1944" i="4"/>
  <c r="E1949" i="3"/>
  <c r="B1949" i="3"/>
  <c r="D1949" i="3" s="1"/>
  <c r="G1945" i="4"/>
  <c r="I1945" i="4" s="1"/>
  <c r="N1945" i="4"/>
  <c r="J1945" i="4"/>
  <c r="K1945" i="4" s="1"/>
  <c r="L1945" i="4" s="1"/>
  <c r="M1945" i="4" s="1"/>
  <c r="B1950" i="3"/>
  <c r="D1950" i="3" s="1"/>
  <c r="E1950" i="3"/>
  <c r="C1950" i="3"/>
  <c r="N1946" i="4"/>
  <c r="J1946" i="4"/>
  <c r="K1946" i="4" s="1"/>
  <c r="L1946" i="4" s="1"/>
  <c r="M1946" i="4" s="1"/>
  <c r="G1946" i="4"/>
  <c r="H1946" i="4" s="1"/>
  <c r="E1951" i="3"/>
  <c r="B1951" i="3"/>
  <c r="D1951" i="3" s="1"/>
  <c r="I1947" i="4"/>
  <c r="G1947" i="4"/>
  <c r="H1947" i="4"/>
  <c r="N1947" i="4"/>
  <c r="J1947" i="4"/>
  <c r="K1947" i="4" s="1"/>
  <c r="L1947" i="4" s="1"/>
  <c r="M1947" i="4" s="1"/>
  <c r="B1952" i="3"/>
  <c r="D1952" i="3" s="1"/>
  <c r="E1952" i="3"/>
  <c r="N1948" i="4"/>
  <c r="J1948" i="4"/>
  <c r="K1948" i="4" s="1"/>
  <c r="L1948" i="4" s="1"/>
  <c r="M1948" i="4" s="1"/>
  <c r="G1948" i="4"/>
  <c r="H1948" i="4" s="1"/>
  <c r="I1948" i="4"/>
  <c r="E1953" i="3"/>
  <c r="B1953" i="3"/>
  <c r="D1953" i="3" s="1"/>
  <c r="G1949" i="4"/>
  <c r="I1949" i="4" s="1"/>
  <c r="N1949" i="4"/>
  <c r="J1949" i="4"/>
  <c r="K1949" i="4" s="1"/>
  <c r="L1949" i="4" s="1"/>
  <c r="M1949" i="4" s="1"/>
  <c r="B1954" i="3"/>
  <c r="D1954" i="3" s="1"/>
  <c r="E1954" i="3"/>
  <c r="C1954" i="3"/>
  <c r="N1950" i="4"/>
  <c r="J1950" i="4"/>
  <c r="K1950" i="4" s="1"/>
  <c r="L1950" i="4" s="1"/>
  <c r="M1950" i="4" s="1"/>
  <c r="G1950" i="4"/>
  <c r="H1950" i="4" s="1"/>
  <c r="E1955" i="3"/>
  <c r="B1955" i="3"/>
  <c r="D1955" i="3" s="1"/>
  <c r="I1951" i="4"/>
  <c r="G1951" i="4"/>
  <c r="H1951" i="4"/>
  <c r="J1951" i="4"/>
  <c r="K1951" i="4" s="1"/>
  <c r="L1951" i="4" s="1"/>
  <c r="M1951" i="4" s="1"/>
  <c r="N1951" i="4"/>
  <c r="B1956" i="3"/>
  <c r="D1956" i="3" s="1"/>
  <c r="E1956" i="3"/>
  <c r="N1952" i="4"/>
  <c r="J1952" i="4"/>
  <c r="K1952" i="4" s="1"/>
  <c r="L1952" i="4" s="1"/>
  <c r="M1952" i="4" s="1"/>
  <c r="G1952" i="4"/>
  <c r="H1952" i="4" s="1"/>
  <c r="I1952" i="4"/>
  <c r="E1957" i="3"/>
  <c r="B1957" i="3"/>
  <c r="D1957" i="3" s="1"/>
  <c r="G1953" i="4"/>
  <c r="I1953" i="4" s="1"/>
  <c r="N1953" i="4"/>
  <c r="J1953" i="4"/>
  <c r="K1953" i="4" s="1"/>
  <c r="L1953" i="4" s="1"/>
  <c r="M1953" i="4" s="1"/>
  <c r="B1958" i="3"/>
  <c r="D1958" i="3" s="1"/>
  <c r="E1958" i="3"/>
  <c r="C1958" i="3"/>
  <c r="N1954" i="4"/>
  <c r="J1954" i="4"/>
  <c r="K1954" i="4" s="1"/>
  <c r="L1954" i="4" s="1"/>
  <c r="M1954" i="4" s="1"/>
  <c r="G1954" i="4"/>
  <c r="H1954" i="4" s="1"/>
  <c r="E1959" i="3"/>
  <c r="B1959" i="3"/>
  <c r="D1959" i="3" s="1"/>
  <c r="I1955" i="4"/>
  <c r="G1955" i="4"/>
  <c r="H1955" i="4"/>
  <c r="N1955" i="4"/>
  <c r="J1955" i="4"/>
  <c r="K1955" i="4" s="1"/>
  <c r="L1955" i="4" s="1"/>
  <c r="M1955" i="4" s="1"/>
  <c r="B1960" i="3"/>
  <c r="D1960" i="3" s="1"/>
  <c r="E1960" i="3"/>
  <c r="N1956" i="4"/>
  <c r="J1956" i="4"/>
  <c r="K1956" i="4" s="1"/>
  <c r="L1956" i="4" s="1"/>
  <c r="M1956" i="4" s="1"/>
  <c r="G1956" i="4"/>
  <c r="H1956" i="4" s="1"/>
  <c r="I1956" i="4"/>
  <c r="E1961" i="3"/>
  <c r="B1961" i="3"/>
  <c r="D1961" i="3" s="1"/>
  <c r="G1957" i="4"/>
  <c r="I1957" i="4" s="1"/>
  <c r="N1957" i="4"/>
  <c r="J1957" i="4"/>
  <c r="K1957" i="4" s="1"/>
  <c r="L1957" i="4" s="1"/>
  <c r="M1957" i="4" s="1"/>
  <c r="B1962" i="3"/>
  <c r="D1962" i="3" s="1"/>
  <c r="E1962" i="3"/>
  <c r="C1962" i="3"/>
  <c r="N1958" i="4"/>
  <c r="J1958" i="4"/>
  <c r="K1958" i="4" s="1"/>
  <c r="L1958" i="4" s="1"/>
  <c r="M1958" i="4" s="1"/>
  <c r="G1958" i="4"/>
  <c r="H1958" i="4" s="1"/>
  <c r="E1963" i="3"/>
  <c r="B1963" i="3"/>
  <c r="D1963" i="3" s="1"/>
  <c r="I1959" i="4"/>
  <c r="G1959" i="4"/>
  <c r="H1959" i="4"/>
  <c r="J1959" i="4"/>
  <c r="K1959" i="4" s="1"/>
  <c r="L1959" i="4" s="1"/>
  <c r="M1959" i="4" s="1"/>
  <c r="N1959" i="4"/>
  <c r="B1964" i="3"/>
  <c r="D1964" i="3" s="1"/>
  <c r="E1964" i="3"/>
  <c r="N1960" i="4"/>
  <c r="J1960" i="4"/>
  <c r="K1960" i="4" s="1"/>
  <c r="L1960" i="4" s="1"/>
  <c r="M1960" i="4" s="1"/>
  <c r="G1960" i="4"/>
  <c r="H1960" i="4" s="1"/>
  <c r="I1960" i="4"/>
  <c r="E1965" i="3"/>
  <c r="B1965" i="3"/>
  <c r="D1965" i="3" s="1"/>
  <c r="G1961" i="4"/>
  <c r="I1961" i="4" s="1"/>
  <c r="N1961" i="4"/>
  <c r="J1961" i="4"/>
  <c r="K1961" i="4" s="1"/>
  <c r="L1961" i="4" s="1"/>
  <c r="M1961" i="4" s="1"/>
  <c r="B1966" i="3"/>
  <c r="D1966" i="3" s="1"/>
  <c r="E1966" i="3"/>
  <c r="C1966" i="3"/>
  <c r="N1962" i="4"/>
  <c r="J1962" i="4"/>
  <c r="K1962" i="4" s="1"/>
  <c r="L1962" i="4" s="1"/>
  <c r="M1962" i="4" s="1"/>
  <c r="G1962" i="4"/>
  <c r="H1962" i="4" s="1"/>
  <c r="E1967" i="3"/>
  <c r="B1967" i="3"/>
  <c r="D1967" i="3" s="1"/>
  <c r="I1963" i="4"/>
  <c r="G1963" i="4"/>
  <c r="H1963" i="4"/>
  <c r="N1963" i="4"/>
  <c r="J1963" i="4"/>
  <c r="K1963" i="4" s="1"/>
  <c r="L1963" i="4" s="1"/>
  <c r="M1963" i="4" s="1"/>
  <c r="B1968" i="3"/>
  <c r="D1968" i="3" s="1"/>
  <c r="E1968" i="3"/>
  <c r="N1964" i="4"/>
  <c r="J1964" i="4"/>
  <c r="K1964" i="4" s="1"/>
  <c r="L1964" i="4" s="1"/>
  <c r="M1964" i="4" s="1"/>
  <c r="G1964" i="4"/>
  <c r="H1964" i="4" s="1"/>
  <c r="E1969" i="3"/>
  <c r="B1969" i="3"/>
  <c r="D1969" i="3" s="1"/>
  <c r="I1965" i="4"/>
  <c r="G1965" i="4"/>
  <c r="N1965" i="4"/>
  <c r="J1965" i="4"/>
  <c r="K1965" i="4" s="1"/>
  <c r="L1965" i="4" s="1"/>
  <c r="M1965" i="4" s="1"/>
  <c r="H1965" i="4"/>
  <c r="B1970" i="3"/>
  <c r="D1970" i="3" s="1"/>
  <c r="E1970" i="3"/>
  <c r="C1970" i="3"/>
  <c r="N1966" i="4"/>
  <c r="J1966" i="4"/>
  <c r="I1966" i="4"/>
  <c r="G1966" i="4"/>
  <c r="H1966" i="4" s="1"/>
  <c r="K1966" i="4"/>
  <c r="L1966" i="4" s="1"/>
  <c r="M1966" i="4" s="1"/>
  <c r="E1971" i="3"/>
  <c r="B1971" i="3"/>
  <c r="D1971" i="3" s="1"/>
  <c r="G1967" i="4"/>
  <c r="I1967" i="4" s="1"/>
  <c r="J1967" i="4"/>
  <c r="K1967" i="4" s="1"/>
  <c r="L1967" i="4" s="1"/>
  <c r="M1967" i="4" s="1"/>
  <c r="N1967" i="4"/>
  <c r="B1972" i="3"/>
  <c r="D1972" i="3" s="1"/>
  <c r="E1972" i="3"/>
  <c r="N1968" i="4"/>
  <c r="J1968" i="4"/>
  <c r="K1968" i="4" s="1"/>
  <c r="L1968" i="4" s="1"/>
  <c r="M1968" i="4" s="1"/>
  <c r="G1968" i="4"/>
  <c r="H1968" i="4" s="1"/>
  <c r="E1973" i="3"/>
  <c r="B1973" i="3"/>
  <c r="D1973" i="3" s="1"/>
  <c r="I1969" i="4"/>
  <c r="G1969" i="4"/>
  <c r="N1969" i="4"/>
  <c r="J1969" i="4"/>
  <c r="K1969" i="4" s="1"/>
  <c r="L1969" i="4" s="1"/>
  <c r="M1969" i="4" s="1"/>
  <c r="H1969" i="4"/>
  <c r="B1974" i="3"/>
  <c r="D1974" i="3" s="1"/>
  <c r="E1974" i="3"/>
  <c r="C1974" i="3"/>
  <c r="N1970" i="4"/>
  <c r="J1970" i="4"/>
  <c r="K1970" i="4" s="1"/>
  <c r="L1970" i="4" s="1"/>
  <c r="M1970" i="4" s="1"/>
  <c r="G1970" i="4"/>
  <c r="H1970" i="4" s="1"/>
  <c r="E1975" i="3"/>
  <c r="B1975" i="3"/>
  <c r="D1975" i="3" s="1"/>
  <c r="G1971" i="4"/>
  <c r="I1971" i="4" s="1"/>
  <c r="N1971" i="4"/>
  <c r="J1971" i="4"/>
  <c r="K1971" i="4" s="1"/>
  <c r="L1971" i="4" s="1"/>
  <c r="M1971" i="4" s="1"/>
  <c r="B1976" i="3"/>
  <c r="D1976" i="3" s="1"/>
  <c r="E1976" i="3"/>
  <c r="N1972" i="4"/>
  <c r="J1972" i="4"/>
  <c r="K1972" i="4" s="1"/>
  <c r="L1972" i="4" s="1"/>
  <c r="M1972" i="4" s="1"/>
  <c r="G1972" i="4"/>
  <c r="H1972" i="4" s="1"/>
  <c r="E1977" i="3"/>
  <c r="B1977" i="3"/>
  <c r="D1977" i="3" s="1"/>
  <c r="I1973" i="4"/>
  <c r="G1973" i="4"/>
  <c r="H1973" i="4"/>
  <c r="N1973" i="4"/>
  <c r="J1973" i="4"/>
  <c r="K1973" i="4" s="1"/>
  <c r="L1973" i="4" s="1"/>
  <c r="M1973" i="4" s="1"/>
  <c r="B1978" i="3"/>
  <c r="D1978" i="3" s="1"/>
  <c r="E1978" i="3"/>
  <c r="N1974" i="4"/>
  <c r="J1974" i="4"/>
  <c r="K1974" i="4" s="1"/>
  <c r="L1974" i="4" s="1"/>
  <c r="M1974" i="4" s="1"/>
  <c r="G1974" i="4"/>
  <c r="H1974" i="4" s="1"/>
  <c r="I1974" i="4"/>
  <c r="E1979" i="3"/>
  <c r="B1979" i="3"/>
  <c r="D1979" i="3" s="1"/>
  <c r="G1975" i="4"/>
  <c r="I1975" i="4" s="1"/>
  <c r="N1975" i="4"/>
  <c r="J1975" i="4"/>
  <c r="K1975" i="4" s="1"/>
  <c r="L1975" i="4" s="1"/>
  <c r="M1975" i="4" s="1"/>
  <c r="B1980" i="3"/>
  <c r="D1980" i="3" s="1"/>
  <c r="E1980" i="3"/>
  <c r="C1980" i="3"/>
  <c r="N1976" i="4"/>
  <c r="J1976" i="4"/>
  <c r="K1976" i="4" s="1"/>
  <c r="L1976" i="4" s="1"/>
  <c r="M1976" i="4" s="1"/>
  <c r="G1976" i="4"/>
  <c r="H1976" i="4" s="1"/>
  <c r="E1981" i="3"/>
  <c r="B1981" i="3"/>
  <c r="D1981" i="3" s="1"/>
  <c r="I1977" i="4"/>
  <c r="G1977" i="4"/>
  <c r="H1977" i="4"/>
  <c r="J1977" i="4"/>
  <c r="K1977" i="4" s="1"/>
  <c r="L1977" i="4" s="1"/>
  <c r="M1977" i="4" s="1"/>
  <c r="N1977" i="4"/>
  <c r="B1982" i="3"/>
  <c r="D1982" i="3" s="1"/>
  <c r="E1982" i="3"/>
  <c r="N1978" i="4"/>
  <c r="J1978" i="4"/>
  <c r="K1978" i="4" s="1"/>
  <c r="L1978" i="4" s="1"/>
  <c r="M1978" i="4" s="1"/>
  <c r="G1978" i="4"/>
  <c r="H1978" i="4" s="1"/>
  <c r="I1978" i="4"/>
  <c r="E1983" i="3"/>
  <c r="B1983" i="3"/>
  <c r="D1983" i="3" s="1"/>
  <c r="G1979" i="4"/>
  <c r="I1979" i="4" s="1"/>
  <c r="N1979" i="4"/>
  <c r="J1979" i="4"/>
  <c r="K1979" i="4" s="1"/>
  <c r="L1979" i="4" s="1"/>
  <c r="M1979" i="4" s="1"/>
  <c r="B1984" i="3"/>
  <c r="D1984" i="3" s="1"/>
  <c r="E1984" i="3"/>
  <c r="C1984" i="3"/>
  <c r="N1980" i="4"/>
  <c r="J1980" i="4"/>
  <c r="K1980" i="4" s="1"/>
  <c r="L1980" i="4" s="1"/>
  <c r="M1980" i="4" s="1"/>
  <c r="G1980" i="4"/>
  <c r="H1980" i="4" s="1"/>
  <c r="E1985" i="3"/>
  <c r="B1985" i="3"/>
  <c r="D1985" i="3" s="1"/>
  <c r="I1981" i="4"/>
  <c r="G1981" i="4"/>
  <c r="H1981" i="4"/>
  <c r="N1981" i="4"/>
  <c r="J1981" i="4"/>
  <c r="K1981" i="4" s="1"/>
  <c r="L1981" i="4" s="1"/>
  <c r="M1981" i="4" s="1"/>
  <c r="B1986" i="3"/>
  <c r="D1986" i="3" s="1"/>
  <c r="E1986" i="3"/>
  <c r="C1986" i="3"/>
  <c r="N1982" i="4"/>
  <c r="J1982" i="4"/>
  <c r="K1982" i="4"/>
  <c r="L1982" i="4" s="1"/>
  <c r="M1982" i="4" s="1"/>
  <c r="G1982" i="4"/>
  <c r="H1982" i="4" s="1"/>
  <c r="I1982" i="4"/>
  <c r="E1987" i="3"/>
  <c r="B1987" i="3"/>
  <c r="D1987" i="3" s="1"/>
  <c r="G1983" i="4"/>
  <c r="I1983" i="4" s="1"/>
  <c r="N1983" i="4"/>
  <c r="J1983" i="4"/>
  <c r="K1983" i="4" s="1"/>
  <c r="L1983" i="4" s="1"/>
  <c r="M1983" i="4" s="1"/>
  <c r="B1988" i="3"/>
  <c r="D1988" i="3" s="1"/>
  <c r="E1988" i="3"/>
  <c r="C1988" i="3"/>
  <c r="N1984" i="4"/>
  <c r="J1984" i="4"/>
  <c r="K1984" i="4" s="1"/>
  <c r="L1984" i="4" s="1"/>
  <c r="M1984" i="4" s="1"/>
  <c r="G1984" i="4"/>
  <c r="H1984" i="4" s="1"/>
  <c r="E1989" i="3"/>
  <c r="B1989" i="3"/>
  <c r="D1989" i="3" s="1"/>
  <c r="I1985" i="4"/>
  <c r="G1985" i="4"/>
  <c r="H1985" i="4"/>
  <c r="J1985" i="4"/>
  <c r="K1985" i="4" s="1"/>
  <c r="L1985" i="4" s="1"/>
  <c r="M1985" i="4" s="1"/>
  <c r="N1985" i="4"/>
  <c r="B1990" i="3"/>
  <c r="D1990" i="3" s="1"/>
  <c r="E1990" i="3"/>
  <c r="N1986" i="4"/>
  <c r="J1986" i="4"/>
  <c r="K1986" i="4" s="1"/>
  <c r="L1986" i="4" s="1"/>
  <c r="M1986" i="4" s="1"/>
  <c r="G1986" i="4"/>
  <c r="H1986" i="4" s="1"/>
  <c r="I1986" i="4"/>
  <c r="E1991" i="3"/>
  <c r="B1991" i="3"/>
  <c r="D1991" i="3" s="1"/>
  <c r="G1987" i="4"/>
  <c r="I1987" i="4" s="1"/>
  <c r="N1987" i="4"/>
  <c r="J1987" i="4"/>
  <c r="K1987" i="4" s="1"/>
  <c r="L1987" i="4" s="1"/>
  <c r="M1987" i="4" s="1"/>
  <c r="B1992" i="3"/>
  <c r="D1992" i="3" s="1"/>
  <c r="E1992" i="3"/>
  <c r="N1988" i="4"/>
  <c r="J1988" i="4"/>
  <c r="K1988" i="4" s="1"/>
  <c r="L1988" i="4" s="1"/>
  <c r="M1988" i="4" s="1"/>
  <c r="G1988" i="4"/>
  <c r="H1988" i="4" s="1"/>
  <c r="E1993" i="3"/>
  <c r="B1993" i="3"/>
  <c r="D1993" i="3" s="1"/>
  <c r="G1989" i="4"/>
  <c r="I1989" i="4" s="1"/>
  <c r="N1989" i="4"/>
  <c r="J1989" i="4"/>
  <c r="K1989" i="4" s="1"/>
  <c r="L1989" i="4" s="1"/>
  <c r="M1989" i="4" s="1"/>
  <c r="B1994" i="3"/>
  <c r="D1994" i="3" s="1"/>
  <c r="E1994" i="3"/>
  <c r="N1990" i="4"/>
  <c r="J1990" i="4"/>
  <c r="K1990" i="4" s="1"/>
  <c r="L1990" i="4" s="1"/>
  <c r="M1990" i="4" s="1"/>
  <c r="G1990" i="4"/>
  <c r="H1990" i="4" s="1"/>
  <c r="E1995" i="3"/>
  <c r="B1995" i="3"/>
  <c r="D1995" i="3" s="1"/>
  <c r="I1991" i="4"/>
  <c r="G1991" i="4"/>
  <c r="N1991" i="4"/>
  <c r="J1991" i="4"/>
  <c r="K1991" i="4" s="1"/>
  <c r="L1991" i="4" s="1"/>
  <c r="M1991" i="4" s="1"/>
  <c r="H1991" i="4"/>
  <c r="B1996" i="3"/>
  <c r="D1996" i="3" s="1"/>
  <c r="E1996" i="3"/>
  <c r="C1996" i="3"/>
  <c r="N1992" i="4"/>
  <c r="J1992" i="4"/>
  <c r="I1992" i="4"/>
  <c r="G1992" i="4"/>
  <c r="H1992" i="4" s="1"/>
  <c r="K1992" i="4"/>
  <c r="L1992" i="4" s="1"/>
  <c r="M1992" i="4" s="1"/>
  <c r="E1997" i="3"/>
  <c r="B1997" i="3"/>
  <c r="D1997" i="3" s="1"/>
  <c r="N1993" i="4"/>
  <c r="J1993" i="4"/>
  <c r="K1993" i="4" s="1"/>
  <c r="L1993" i="4" s="1"/>
  <c r="M1993" i="4" s="1"/>
  <c r="G1993" i="4"/>
  <c r="H1993" i="4" s="1"/>
  <c r="B1998" i="3"/>
  <c r="D1998" i="3" s="1"/>
  <c r="E1998" i="3"/>
  <c r="C1998" i="3"/>
  <c r="G1994" i="4"/>
  <c r="I1994" i="4" s="1"/>
  <c r="J1994" i="4"/>
  <c r="K1994" i="4" s="1"/>
  <c r="L1994" i="4" s="1"/>
  <c r="M1994" i="4" s="1"/>
  <c r="N1994" i="4"/>
  <c r="E1999" i="3"/>
  <c r="B1999" i="3"/>
  <c r="D1999" i="3" s="1"/>
  <c r="N1995" i="4"/>
  <c r="J1995" i="4"/>
  <c r="K1995" i="4"/>
  <c r="L1995" i="4" s="1"/>
  <c r="M1995" i="4" s="1"/>
  <c r="G1995" i="4"/>
  <c r="H1995" i="4" s="1"/>
  <c r="I1995" i="4"/>
  <c r="B2000" i="3"/>
  <c r="D2000" i="3" s="1"/>
  <c r="E2000" i="3"/>
  <c r="C2000" i="3"/>
  <c r="I1996" i="4"/>
  <c r="G1996" i="4"/>
  <c r="N1996" i="4"/>
  <c r="J1996" i="4"/>
  <c r="K1996" i="4" s="1"/>
  <c r="L1996" i="4" s="1"/>
  <c r="M1996" i="4" s="1"/>
  <c r="H1996" i="4"/>
  <c r="E2001" i="3"/>
  <c r="B2001" i="3"/>
  <c r="D2001" i="3" s="1"/>
  <c r="N1997" i="4"/>
  <c r="J1997" i="4"/>
  <c r="K1997" i="4" s="1"/>
  <c r="L1997" i="4" s="1"/>
  <c r="M1997" i="4" s="1"/>
  <c r="G1997" i="4"/>
  <c r="H1997" i="4" s="1"/>
  <c r="B2002" i="3"/>
  <c r="D2002" i="3" s="1"/>
  <c r="E2002" i="3"/>
  <c r="C2002" i="3"/>
  <c r="G1998" i="4"/>
  <c r="I1998" i="4" s="1"/>
  <c r="N1998" i="4"/>
  <c r="J1998" i="4"/>
  <c r="K1998" i="4" s="1"/>
  <c r="L1998" i="4" s="1"/>
  <c r="M1998" i="4" s="1"/>
  <c r="E2003" i="3"/>
  <c r="B2003" i="3"/>
  <c r="D2003" i="3" s="1"/>
  <c r="N1999" i="4"/>
  <c r="J1999" i="4"/>
  <c r="K1999" i="4" s="1"/>
  <c r="L1999" i="4" s="1"/>
  <c r="M1999" i="4" s="1"/>
  <c r="G1999" i="4"/>
  <c r="H1999" i="4" s="1"/>
  <c r="B2004" i="3"/>
  <c r="D2004" i="3" s="1"/>
  <c r="E2004" i="3"/>
  <c r="C2004" i="3"/>
  <c r="G2000" i="4"/>
  <c r="I2000" i="4" s="1"/>
  <c r="N2000" i="4"/>
  <c r="J2000" i="4"/>
  <c r="K2000" i="4" s="1"/>
  <c r="L2000" i="4" s="1"/>
  <c r="M2000" i="4" s="1"/>
  <c r="E2005" i="3"/>
  <c r="B2005" i="3"/>
  <c r="D2005" i="3" s="1"/>
  <c r="N2001" i="4"/>
  <c r="J2001" i="4"/>
  <c r="I2001" i="4"/>
  <c r="G2001" i="4"/>
  <c r="H2001" i="4" s="1"/>
  <c r="K2001" i="4"/>
  <c r="L2001" i="4" s="1"/>
  <c r="M2001" i="4" s="1"/>
  <c r="B2006" i="3"/>
  <c r="D2006" i="3" s="1"/>
  <c r="E2006" i="3"/>
  <c r="C2006" i="3"/>
  <c r="I2002" i="4"/>
  <c r="G2002" i="4"/>
  <c r="H2002" i="4"/>
  <c r="J2002" i="4"/>
  <c r="K2002" i="4" s="1"/>
  <c r="L2002" i="4" s="1"/>
  <c r="M2002" i="4" s="1"/>
  <c r="N2002" i="4"/>
  <c r="E2007" i="3"/>
  <c r="B2007" i="3"/>
  <c r="D2007" i="3" s="1"/>
  <c r="N2003" i="4"/>
  <c r="J2003" i="4"/>
  <c r="K2003" i="4" s="1"/>
  <c r="L2003" i="4" s="1"/>
  <c r="M2003" i="4" s="1"/>
  <c r="G2003" i="4"/>
  <c r="H2003" i="4" s="1"/>
  <c r="B2008" i="3"/>
  <c r="D2008" i="3" s="1"/>
  <c r="E2008" i="3"/>
  <c r="C2008" i="3"/>
  <c r="G2004" i="4"/>
  <c r="I2004" i="4" s="1"/>
  <c r="N2004" i="4"/>
  <c r="J2004" i="4"/>
  <c r="K2004" i="4" s="1"/>
  <c r="L2004" i="4" s="1"/>
  <c r="M2004" i="4" s="1"/>
  <c r="E2009" i="3"/>
  <c r="B2009" i="3"/>
  <c r="D2009" i="3" s="1"/>
  <c r="N2005" i="4"/>
  <c r="J2005" i="4"/>
  <c r="K2005" i="4" s="1"/>
  <c r="L2005" i="4" s="1"/>
  <c r="M2005" i="4" s="1"/>
  <c r="G2005" i="4"/>
  <c r="H2005" i="4" s="1"/>
  <c r="I1836" i="4" l="1"/>
  <c r="H1836" i="4"/>
  <c r="H1835" i="4"/>
  <c r="I1835" i="4"/>
  <c r="H1833" i="4"/>
  <c r="I1833" i="4"/>
  <c r="C1835" i="3"/>
  <c r="D1835" i="3"/>
  <c r="I1830" i="4"/>
  <c r="H1830" i="4"/>
  <c r="C1831" i="3"/>
  <c r="D1831" i="3"/>
  <c r="I1826" i="4"/>
  <c r="H1826" i="4"/>
  <c r="H1821" i="4"/>
  <c r="I1821" i="4"/>
  <c r="C1823" i="3"/>
  <c r="D1823" i="3"/>
  <c r="I1818" i="4"/>
  <c r="H1818" i="4"/>
  <c r="H1813" i="4"/>
  <c r="I1813" i="4"/>
  <c r="I1808" i="4"/>
  <c r="H1808" i="4"/>
  <c r="H1805" i="4"/>
  <c r="I1805" i="4"/>
  <c r="I1800" i="4"/>
  <c r="H1800" i="4"/>
  <c r="H1797" i="4"/>
  <c r="I1797" i="4"/>
  <c r="H1795" i="4"/>
  <c r="I1795" i="4"/>
  <c r="I1794" i="4"/>
  <c r="H1794" i="4"/>
  <c r="I1790" i="4"/>
  <c r="H1790" i="4"/>
  <c r="H1787" i="4"/>
  <c r="I1787" i="4"/>
  <c r="I1786" i="4"/>
  <c r="H1786" i="4"/>
  <c r="I1782" i="4"/>
  <c r="H1782" i="4"/>
  <c r="H1779" i="4"/>
  <c r="I1779" i="4"/>
  <c r="I1778" i="4"/>
  <c r="H1778" i="4"/>
  <c r="I1774" i="4"/>
  <c r="H1774" i="4"/>
  <c r="H1771" i="4"/>
  <c r="I1771" i="4"/>
  <c r="I1770" i="4"/>
  <c r="H1770" i="4"/>
  <c r="I1766" i="4"/>
  <c r="H1766" i="4"/>
  <c r="H1763" i="4"/>
  <c r="I1763" i="4"/>
  <c r="H1761" i="4"/>
  <c r="I1761" i="4"/>
  <c r="I1756" i="4"/>
  <c r="H1756" i="4"/>
  <c r="I1754" i="4"/>
  <c r="H1754" i="4"/>
  <c r="I1750" i="4"/>
  <c r="H1750" i="4"/>
  <c r="H1747" i="4"/>
  <c r="I1747" i="4"/>
  <c r="I1746" i="4"/>
  <c r="H1746" i="4"/>
  <c r="I1742" i="4"/>
  <c r="H1742" i="4"/>
  <c r="H1739" i="4"/>
  <c r="I1739" i="4"/>
  <c r="I1738" i="4"/>
  <c r="H1738" i="4"/>
  <c r="I1734" i="4"/>
  <c r="H1734" i="4"/>
  <c r="H2004" i="4"/>
  <c r="I2003" i="4"/>
  <c r="H2000" i="4"/>
  <c r="I1999" i="4"/>
  <c r="H1998" i="4"/>
  <c r="H1994" i="4"/>
  <c r="I1993" i="4"/>
  <c r="I1990" i="4"/>
  <c r="H1989" i="4"/>
  <c r="H1987" i="4"/>
  <c r="I1984" i="4"/>
  <c r="H1983" i="4"/>
  <c r="H1979" i="4"/>
  <c r="I1976" i="4"/>
  <c r="H1975" i="4"/>
  <c r="I1972" i="4"/>
  <c r="H1971" i="4"/>
  <c r="I1968" i="4"/>
  <c r="H1967" i="4"/>
  <c r="I1964" i="4"/>
  <c r="H1961" i="4"/>
  <c r="I1958" i="4"/>
  <c r="H1957" i="4"/>
  <c r="H1953" i="4"/>
  <c r="I1950" i="4"/>
  <c r="H1949" i="4"/>
  <c r="H1945" i="4"/>
  <c r="I1942" i="4"/>
  <c r="H1941" i="4"/>
  <c r="H1937" i="4"/>
  <c r="I1934" i="4"/>
  <c r="I1933" i="4"/>
  <c r="H1924" i="4"/>
  <c r="I1923" i="4"/>
  <c r="H1920" i="4"/>
  <c r="I1919" i="4"/>
  <c r="H1916" i="4"/>
  <c r="I1915" i="4"/>
  <c r="H1912" i="4"/>
  <c r="I1911" i="4"/>
  <c r="H1910" i="4"/>
  <c r="I1909" i="4"/>
  <c r="H1902" i="4"/>
  <c r="I1901" i="4"/>
  <c r="H1898" i="4"/>
  <c r="I1893" i="4"/>
  <c r="I1885" i="4"/>
  <c r="D1887" i="3"/>
  <c r="H1882" i="4"/>
  <c r="H1880" i="4"/>
  <c r="I1879" i="4"/>
  <c r="I1877" i="4"/>
  <c r="I1869" i="4"/>
  <c r="I1861" i="4"/>
  <c r="C1859" i="3"/>
  <c r="D1859" i="3"/>
  <c r="I1854" i="4"/>
  <c r="H1854" i="4"/>
  <c r="C1855" i="3"/>
  <c r="D1855" i="3"/>
  <c r="I1850" i="4"/>
  <c r="H1850" i="4"/>
  <c r="I1848" i="4"/>
  <c r="H1848" i="4"/>
  <c r="H1845" i="4"/>
  <c r="I1845" i="4"/>
  <c r="C1847" i="3"/>
  <c r="D1847" i="3"/>
  <c r="I1842" i="4"/>
  <c r="H1842" i="4"/>
  <c r="I1840" i="4"/>
  <c r="H1840" i="4"/>
  <c r="H1837" i="4"/>
  <c r="I1837" i="4"/>
  <c r="I1812" i="4"/>
  <c r="H1812" i="4"/>
  <c r="H1809" i="4"/>
  <c r="I1809" i="4"/>
  <c r="I1804" i="4"/>
  <c r="H1804" i="4"/>
  <c r="H1801" i="4"/>
  <c r="I1801" i="4"/>
  <c r="I1760" i="4"/>
  <c r="H1760" i="4"/>
  <c r="H1757" i="4"/>
  <c r="I1757" i="4"/>
  <c r="I1731" i="4"/>
  <c r="H1730" i="4"/>
  <c r="H1726" i="4"/>
  <c r="I1723" i="4"/>
  <c r="H1722" i="4"/>
  <c r="H1718" i="4"/>
  <c r="I1715" i="4"/>
  <c r="H1714" i="4"/>
  <c r="H1710" i="4"/>
  <c r="I1707" i="4"/>
  <c r="H1706" i="4"/>
  <c r="H1702" i="4"/>
  <c r="I1699" i="4"/>
  <c r="H1698" i="4"/>
  <c r="H1693" i="4"/>
  <c r="I1692" i="4"/>
  <c r="H1687" i="4"/>
  <c r="I1686" i="4"/>
  <c r="H1683" i="4"/>
  <c r="H1681" i="4"/>
  <c r="I1680" i="4"/>
  <c r="H1677" i="4"/>
  <c r="I1676" i="4"/>
  <c r="H1673" i="4"/>
  <c r="I1672" i="4"/>
  <c r="H1671" i="4"/>
  <c r="I1670" i="4"/>
  <c r="H1667" i="4"/>
  <c r="H1663" i="4"/>
  <c r="I1662" i="4"/>
  <c r="H1659" i="4"/>
  <c r="H1653" i="4"/>
  <c r="I1652" i="4"/>
  <c r="H1651" i="4"/>
  <c r="I1650" i="4"/>
  <c r="H1643" i="4"/>
  <c r="I1642" i="4"/>
  <c r="H1639" i="4"/>
  <c r="H1633" i="4"/>
  <c r="I1632" i="4"/>
  <c r="H1627" i="4"/>
  <c r="I1626" i="4"/>
  <c r="H1623" i="4"/>
  <c r="H1621" i="4"/>
  <c r="I1620" i="4"/>
  <c r="H1617" i="4"/>
  <c r="I1616" i="4"/>
  <c r="H1613" i="4"/>
  <c r="H1609" i="4"/>
  <c r="I1608" i="4"/>
  <c r="H1605" i="4"/>
  <c r="I1604" i="4"/>
  <c r="H1601" i="4"/>
  <c r="I1600" i="4"/>
  <c r="H1595" i="4"/>
  <c r="I1594" i="4"/>
  <c r="H1587" i="4"/>
  <c r="I1586" i="4"/>
  <c r="H1583" i="4"/>
  <c r="H1577" i="4"/>
  <c r="I1576" i="4"/>
  <c r="H1575" i="4"/>
  <c r="H1573" i="4"/>
  <c r="I1572" i="4"/>
  <c r="H1569" i="4"/>
  <c r="I1568" i="4"/>
  <c r="I1564" i="4"/>
  <c r="H1561" i="4"/>
  <c r="I1560" i="4"/>
  <c r="I1556" i="4"/>
  <c r="H1555" i="4"/>
  <c r="I1554" i="4"/>
  <c r="H1551" i="4"/>
  <c r="H1547" i="4"/>
  <c r="I1546" i="4"/>
  <c r="H1543" i="4"/>
  <c r="H1539" i="4"/>
  <c r="I1538" i="4"/>
  <c r="H1535" i="4"/>
  <c r="H1529" i="4"/>
  <c r="I1528" i="4"/>
  <c r="H1527" i="4"/>
  <c r="H1525" i="4"/>
  <c r="I1524" i="4"/>
  <c r="H1521" i="4"/>
  <c r="I1520" i="4"/>
  <c r="H1515" i="4"/>
  <c r="I1514" i="4"/>
  <c r="H1511" i="4"/>
  <c r="H1509" i="4"/>
  <c r="I1508" i="4"/>
  <c r="H1505" i="4"/>
  <c r="I1504" i="4"/>
  <c r="H1501" i="4"/>
  <c r="I1500" i="4"/>
  <c r="H1499" i="4"/>
  <c r="I1498" i="4"/>
  <c r="H1495" i="4"/>
  <c r="H1491" i="4"/>
  <c r="I1490" i="4"/>
  <c r="H1487" i="4"/>
  <c r="H1481" i="4"/>
  <c r="I1480" i="4"/>
  <c r="H1477" i="4"/>
  <c r="I1476" i="4"/>
  <c r="H1475" i="4"/>
  <c r="I1474" i="4"/>
  <c r="H1469" i="4"/>
  <c r="I1468" i="4"/>
  <c r="H1467" i="4"/>
  <c r="I1466" i="4"/>
  <c r="H1461" i="4"/>
  <c r="I1460" i="4"/>
  <c r="H1457" i="4"/>
  <c r="I1456" i="4"/>
  <c r="H1451" i="4"/>
  <c r="I1450" i="4"/>
  <c r="H1447" i="4"/>
  <c r="H1445" i="4"/>
  <c r="I1444" i="4"/>
  <c r="H1443" i="4"/>
  <c r="I1442" i="4"/>
  <c r="H1435" i="4"/>
  <c r="I1434" i="4"/>
  <c r="H1431" i="4"/>
  <c r="I1430" i="4"/>
  <c r="H1427" i="4"/>
  <c r="H1423" i="4"/>
  <c r="I1422" i="4"/>
  <c r="H1419" i="4"/>
  <c r="H1413" i="4"/>
  <c r="I1412" i="4"/>
  <c r="H1411" i="4"/>
  <c r="H1409" i="4"/>
  <c r="I1408" i="4"/>
  <c r="H1405" i="4"/>
  <c r="I1404" i="4"/>
  <c r="H1399" i="4"/>
  <c r="I1398" i="4"/>
  <c r="H1395" i="4"/>
  <c r="H1389" i="4"/>
  <c r="I1388" i="4"/>
  <c r="H1387" i="4"/>
  <c r="H1379" i="4"/>
  <c r="H1377" i="4"/>
  <c r="I1376" i="4"/>
  <c r="H1373" i="4"/>
  <c r="I1372" i="4"/>
  <c r="H1371" i="4"/>
  <c r="H1369" i="4"/>
  <c r="I1368" i="4"/>
  <c r="H1365" i="4"/>
  <c r="I1364" i="4"/>
  <c r="H1363" i="4"/>
  <c r="H1361" i="4"/>
  <c r="I1360" i="4"/>
  <c r="H1357" i="4"/>
  <c r="I1356" i="4"/>
  <c r="H1355" i="4"/>
  <c r="H1353" i="4"/>
  <c r="I1352" i="4"/>
  <c r="H1343" i="4"/>
  <c r="H1339" i="4"/>
  <c r="H1337" i="4"/>
  <c r="I1336" i="4"/>
  <c r="H1331" i="4"/>
  <c r="H1329" i="4"/>
  <c r="I1328" i="4"/>
  <c r="H1323" i="4"/>
  <c r="H1321" i="4"/>
  <c r="I1320" i="4"/>
  <c r="H1317" i="4"/>
  <c r="I1316" i="4"/>
  <c r="H1311" i="4"/>
  <c r="H1307" i="4"/>
  <c r="H1303" i="4"/>
  <c r="H1301" i="4"/>
  <c r="I1300" i="4"/>
  <c r="H1295" i="4"/>
  <c r="H1293" i="4"/>
  <c r="I1292" i="4"/>
  <c r="H1289" i="4"/>
  <c r="I1288" i="4"/>
  <c r="H1285" i="4"/>
  <c r="I1284" i="4"/>
  <c r="H1279" i="4"/>
  <c r="H1275" i="4"/>
  <c r="H1273" i="4"/>
  <c r="I1272" i="4"/>
  <c r="H1269" i="4"/>
  <c r="I1268" i="4"/>
  <c r="H1265" i="4"/>
  <c r="I1264" i="4"/>
  <c r="I1233" i="4"/>
  <c r="H1232" i="4"/>
  <c r="H1225" i="4"/>
  <c r="H1223" i="4"/>
  <c r="H1221" i="4"/>
  <c r="H1219" i="4"/>
  <c r="H1211" i="4"/>
  <c r="H1207" i="4"/>
  <c r="H1203" i="4"/>
  <c r="H1199" i="4"/>
  <c r="H1195" i="4"/>
  <c r="H1193" i="4"/>
  <c r="H1189" i="4"/>
  <c r="H1185" i="4"/>
  <c r="H1181" i="4"/>
  <c r="H1177" i="4"/>
  <c r="H1173" i="4"/>
  <c r="H1169" i="4"/>
  <c r="H1165" i="4"/>
  <c r="H1161" i="4"/>
  <c r="H1157" i="4"/>
  <c r="H1153" i="4"/>
  <c r="H1149" i="4"/>
  <c r="H1145" i="4"/>
  <c r="H1141" i="4"/>
  <c r="H1137" i="4"/>
  <c r="H1133" i="4"/>
  <c r="H1129" i="4"/>
  <c r="H1125" i="4"/>
  <c r="H1121" i="4"/>
  <c r="H1117" i="4"/>
  <c r="H1113" i="4"/>
  <c r="H1109" i="4"/>
  <c r="H1105" i="4"/>
  <c r="H1101" i="4"/>
  <c r="H1095" i="4"/>
  <c r="H1091" i="4"/>
  <c r="H1087" i="4"/>
  <c r="H1085" i="4"/>
  <c r="H1081" i="4"/>
  <c r="H1077" i="4"/>
  <c r="H1073" i="4"/>
  <c r="H1069" i="4"/>
  <c r="H1065" i="4"/>
  <c r="H1061" i="4"/>
  <c r="H1057" i="4"/>
  <c r="H1053" i="4"/>
  <c r="H1049" i="4"/>
  <c r="H1045" i="4"/>
  <c r="H1041" i="4"/>
  <c r="H1037" i="4"/>
  <c r="H1033" i="4"/>
  <c r="H1029" i="4"/>
  <c r="H1025" i="4"/>
  <c r="H1021" i="4"/>
  <c r="H1017" i="4"/>
  <c r="H1013" i="4"/>
  <c r="H1009" i="4"/>
  <c r="H1005" i="4"/>
  <c r="H1001" i="4"/>
  <c r="H997" i="4"/>
  <c r="H993" i="4"/>
  <c r="H989" i="4"/>
  <c r="H985" i="4"/>
  <c r="H981" i="4"/>
  <c r="H977" i="4"/>
  <c r="H973" i="4"/>
  <c r="H969" i="4"/>
  <c r="H965" i="4"/>
  <c r="H961" i="4"/>
  <c r="I957" i="4"/>
  <c r="H957" i="4"/>
  <c r="I949" i="4"/>
  <c r="H949" i="4"/>
  <c r="I941" i="4"/>
  <c r="H941" i="4"/>
  <c r="I933" i="4"/>
  <c r="H933" i="4"/>
  <c r="I925" i="4"/>
  <c r="H925" i="4"/>
  <c r="I917" i="4"/>
  <c r="H917" i="4"/>
  <c r="I909" i="4"/>
  <c r="H909" i="4"/>
  <c r="I901" i="4"/>
  <c r="H901" i="4"/>
  <c r="I893" i="4"/>
  <c r="H893" i="4"/>
  <c r="I885" i="4"/>
  <c r="H885" i="4"/>
  <c r="I877" i="4"/>
  <c r="H877" i="4"/>
  <c r="I869" i="4"/>
  <c r="H869" i="4"/>
  <c r="I861" i="4"/>
  <c r="H861" i="4"/>
  <c r="I953" i="4"/>
  <c r="H953" i="4"/>
  <c r="I945" i="4"/>
  <c r="H945" i="4"/>
  <c r="I937" i="4"/>
  <c r="H937" i="4"/>
  <c r="I929" i="4"/>
  <c r="H929" i="4"/>
  <c r="I921" i="4"/>
  <c r="H921" i="4"/>
  <c r="I913" i="4"/>
  <c r="H913" i="4"/>
  <c r="I905" i="4"/>
  <c r="H905" i="4"/>
  <c r="I897" i="4"/>
  <c r="H897" i="4"/>
  <c r="I889" i="4"/>
  <c r="H889" i="4"/>
  <c r="I881" i="4"/>
  <c r="H881" i="4"/>
  <c r="I873" i="4"/>
  <c r="H873" i="4"/>
  <c r="I865" i="4"/>
  <c r="H865" i="4"/>
  <c r="H857" i="4"/>
  <c r="H853" i="4"/>
  <c r="H849" i="4"/>
  <c r="H845" i="4"/>
  <c r="H841" i="4"/>
  <c r="H837" i="4"/>
  <c r="H833" i="4"/>
  <c r="H829" i="4"/>
  <c r="H564" i="4"/>
  <c r="H560" i="4"/>
  <c r="H556" i="4"/>
  <c r="H552" i="4"/>
  <c r="H548" i="4"/>
  <c r="H544" i="4"/>
  <c r="H540" i="4"/>
  <c r="H536" i="4"/>
  <c r="H532" i="4"/>
  <c r="H528" i="4"/>
  <c r="H524" i="4"/>
  <c r="H520" i="4"/>
  <c r="H516" i="4"/>
  <c r="H512" i="4"/>
  <c r="H508" i="4"/>
  <c r="H504" i="4"/>
  <c r="H500" i="4"/>
  <c r="H496" i="4"/>
  <c r="H492" i="4"/>
  <c r="H488" i="4"/>
  <c r="H484" i="4"/>
  <c r="H480" i="4"/>
  <c r="H476" i="4"/>
  <c r="H472" i="4"/>
  <c r="H468" i="4"/>
  <c r="H464" i="4"/>
  <c r="H460" i="4"/>
  <c r="H456" i="4"/>
  <c r="H452" i="4"/>
  <c r="H448" i="4"/>
  <c r="H444" i="4"/>
  <c r="H440" i="4"/>
  <c r="H436" i="4"/>
  <c r="H432" i="4"/>
  <c r="H428" i="4"/>
  <c r="H424" i="4"/>
  <c r="H420" i="4"/>
  <c r="H416" i="4"/>
  <c r="H412" i="4"/>
  <c r="H408" i="4"/>
  <c r="H404" i="4"/>
  <c r="H400" i="4"/>
  <c r="H396" i="4"/>
  <c r="H392" i="4"/>
  <c r="H388" i="4"/>
  <c r="H384" i="4"/>
  <c r="H380" i="4"/>
  <c r="H376" i="4"/>
  <c r="H372" i="4"/>
  <c r="H368" i="4"/>
  <c r="H364" i="4"/>
  <c r="H360" i="4"/>
  <c r="H356" i="4"/>
  <c r="H352" i="4"/>
  <c r="H348" i="4"/>
  <c r="H344" i="4"/>
  <c r="H340" i="4"/>
  <c r="H336" i="4"/>
  <c r="H332" i="4"/>
  <c r="H328" i="4"/>
  <c r="H324" i="4"/>
  <c r="H320" i="4"/>
  <c r="H316" i="4"/>
  <c r="H312" i="4"/>
  <c r="H308" i="4"/>
  <c r="H304" i="4"/>
  <c r="H300" i="4"/>
  <c r="H296" i="4"/>
  <c r="H292" i="4"/>
  <c r="H288" i="4"/>
  <c r="H284" i="4"/>
  <c r="H280" i="4"/>
  <c r="H276" i="4"/>
  <c r="H272" i="4"/>
  <c r="H268" i="4"/>
  <c r="H264" i="4"/>
  <c r="H260" i="4"/>
  <c r="H256" i="4"/>
  <c r="H252" i="4"/>
  <c r="H248" i="4"/>
  <c r="H244" i="4"/>
  <c r="H240" i="4"/>
  <c r="H236" i="4"/>
  <c r="H232" i="4"/>
  <c r="H228" i="4"/>
  <c r="H224" i="4"/>
  <c r="H220" i="4"/>
  <c r="H216" i="4"/>
  <c r="H212" i="4"/>
  <c r="H208" i="4"/>
  <c r="H204" i="4"/>
  <c r="H200" i="4"/>
  <c r="H196" i="4"/>
  <c r="H192" i="4"/>
  <c r="H188" i="4"/>
  <c r="H184" i="4"/>
  <c r="H180" i="4"/>
  <c r="H176" i="4"/>
  <c r="H172" i="4"/>
  <c r="H166" i="4"/>
  <c r="H162" i="4"/>
  <c r="H158" i="4"/>
  <c r="H154" i="4"/>
  <c r="H150" i="4"/>
  <c r="H146" i="4"/>
  <c r="H142" i="4"/>
  <c r="H138" i="4"/>
  <c r="H134" i="4"/>
  <c r="H130" i="4"/>
  <c r="H126" i="4"/>
  <c r="H122" i="4"/>
  <c r="H118" i="4"/>
  <c r="H114" i="4"/>
  <c r="H110" i="4"/>
  <c r="H106" i="4"/>
  <c r="H102" i="4"/>
  <c r="H98" i="4"/>
  <c r="H94" i="4"/>
  <c r="H90" i="4"/>
  <c r="H86" i="4"/>
  <c r="H82" i="4"/>
  <c r="H78" i="4"/>
  <c r="H74" i="4"/>
  <c r="H70" i="4"/>
  <c r="H66" i="4"/>
  <c r="H62" i="4"/>
  <c r="H58" i="4"/>
  <c r="H54" i="4"/>
  <c r="H50" i="4"/>
  <c r="H46" i="4"/>
  <c r="H42" i="4"/>
  <c r="H38" i="4"/>
  <c r="H34" i="4"/>
  <c r="H30" i="4"/>
  <c r="H26" i="4"/>
  <c r="H22" i="4"/>
  <c r="H18" i="4"/>
  <c r="I771" i="4"/>
  <c r="H771" i="4"/>
  <c r="I769" i="4"/>
  <c r="H769" i="4"/>
  <c r="I767" i="4"/>
  <c r="H767" i="4"/>
  <c r="I765" i="4"/>
  <c r="H765" i="4"/>
  <c r="I763" i="4"/>
  <c r="H763" i="4"/>
  <c r="I761" i="4"/>
  <c r="H761" i="4"/>
  <c r="I759" i="4"/>
  <c r="H759" i="4"/>
  <c r="I757" i="4"/>
  <c r="H757" i="4"/>
  <c r="I755" i="4"/>
  <c r="H755" i="4"/>
  <c r="I753" i="4"/>
  <c r="H753" i="4"/>
  <c r="I751" i="4"/>
  <c r="H751" i="4"/>
  <c r="I749" i="4"/>
  <c r="H749" i="4"/>
  <c r="I747" i="4"/>
  <c r="H747" i="4"/>
  <c r="I745" i="4"/>
  <c r="H745" i="4"/>
  <c r="I743" i="4"/>
  <c r="H743" i="4"/>
  <c r="I741" i="4"/>
  <c r="H741" i="4"/>
  <c r="I739" i="4"/>
  <c r="H739" i="4"/>
  <c r="I737" i="4"/>
  <c r="H737" i="4"/>
  <c r="I735" i="4"/>
  <c r="H735" i="4"/>
  <c r="H733" i="4"/>
  <c r="H731" i="4"/>
  <c r="H729" i="4"/>
  <c r="H727" i="4"/>
  <c r="H725" i="4"/>
  <c r="H723" i="4"/>
  <c r="H721" i="4"/>
  <c r="H719" i="4"/>
  <c r="H717" i="4"/>
  <c r="H715" i="4"/>
  <c r="H713" i="4"/>
  <c r="H711" i="4"/>
  <c r="H709" i="4"/>
  <c r="H707" i="4"/>
  <c r="H705" i="4"/>
  <c r="H703" i="4"/>
  <c r="H701" i="4"/>
  <c r="H699" i="4"/>
  <c r="H697" i="4"/>
  <c r="H695" i="4"/>
  <c r="H693" i="4"/>
  <c r="H691" i="4"/>
  <c r="H689" i="4"/>
  <c r="H601" i="4"/>
  <c r="I600" i="4"/>
  <c r="H597" i="4"/>
  <c r="I596" i="4"/>
  <c r="E195" i="3"/>
  <c r="E191" i="3"/>
  <c r="E187" i="3"/>
  <c r="E183" i="3"/>
  <c r="E179" i="3"/>
  <c r="E175" i="3"/>
  <c r="E171" i="3"/>
  <c r="E167" i="3"/>
  <c r="E163" i="3"/>
  <c r="D161" i="3"/>
  <c r="E161" i="3"/>
  <c r="D157" i="3"/>
  <c r="E157" i="3"/>
  <c r="D153" i="3"/>
  <c r="E153" i="3"/>
  <c r="D149" i="3"/>
  <c r="E149" i="3"/>
  <c r="D145" i="3"/>
  <c r="E145" i="3"/>
  <c r="D141" i="3"/>
  <c r="E141" i="3"/>
  <c r="D137" i="3"/>
  <c r="E137" i="3"/>
  <c r="D133" i="3"/>
  <c r="E133" i="3"/>
  <c r="D129" i="3"/>
  <c r="E129" i="3"/>
  <c r="D125" i="3"/>
  <c r="E125" i="3"/>
  <c r="D121" i="3"/>
  <c r="E121" i="3"/>
  <c r="D117" i="3"/>
  <c r="E117" i="3"/>
  <c r="D113" i="3"/>
  <c r="E113" i="3"/>
  <c r="D109" i="3"/>
  <c r="E109" i="3"/>
  <c r="E105" i="3"/>
  <c r="E101" i="3"/>
  <c r="E97" i="3"/>
  <c r="E93" i="3"/>
  <c r="E89" i="3"/>
  <c r="E85" i="3"/>
  <c r="E81" i="3"/>
  <c r="E77" i="3"/>
  <c r="E73" i="3"/>
  <c r="E69" i="3"/>
  <c r="E65" i="3"/>
  <c r="E61" i="3"/>
  <c r="E57" i="3"/>
  <c r="E53" i="3"/>
  <c r="E49" i="3"/>
  <c r="E45" i="3"/>
  <c r="E41" i="3"/>
  <c r="E37" i="3"/>
  <c r="E33" i="3"/>
  <c r="E29" i="3"/>
  <c r="E25" i="3"/>
  <c r="E21" i="3"/>
  <c r="H16" i="4"/>
  <c r="E19" i="3"/>
  <c r="H14" i="4"/>
  <c r="C15" i="3"/>
  <c r="H10" i="4"/>
  <c r="C13" i="3"/>
  <c r="C11" i="3"/>
  <c r="J12" i="4"/>
  <c r="K12" i="4" s="1"/>
  <c r="I2005" i="4"/>
  <c r="C2009" i="3"/>
  <c r="C2005" i="3"/>
  <c r="C2003" i="3"/>
  <c r="C1995" i="3"/>
  <c r="C1993" i="3"/>
  <c r="C1991" i="3"/>
  <c r="C1989" i="3"/>
  <c r="C1987" i="3"/>
  <c r="C1983" i="3"/>
  <c r="C1982" i="3"/>
  <c r="C1981" i="3"/>
  <c r="C1978" i="3"/>
  <c r="C1975" i="3"/>
  <c r="I1970" i="4"/>
  <c r="C1973" i="3"/>
  <c r="C1971" i="3"/>
  <c r="C1967" i="3"/>
  <c r="C1965" i="3"/>
  <c r="C1964" i="3"/>
  <c r="C1963" i="3"/>
  <c r="C1959" i="3"/>
  <c r="I1954" i="4"/>
  <c r="C1955" i="3"/>
  <c r="C1951" i="3"/>
  <c r="I1946" i="4"/>
  <c r="C1949" i="3"/>
  <c r="C1944" i="3"/>
  <c r="C1941" i="3"/>
  <c r="C1935" i="3"/>
  <c r="C1934" i="3"/>
  <c r="C1931" i="3"/>
  <c r="C1927" i="3"/>
  <c r="C1923" i="3"/>
  <c r="C1919" i="3"/>
  <c r="I1913" i="4"/>
  <c r="C1917" i="3"/>
  <c r="C1915" i="3"/>
  <c r="C1913" i="3"/>
  <c r="C1911" i="3"/>
  <c r="C1905" i="3"/>
  <c r="C1903" i="3"/>
  <c r="I1897" i="4"/>
  <c r="F1898" i="3"/>
  <c r="G1898" i="3"/>
  <c r="F1894" i="3"/>
  <c r="G1894" i="3"/>
  <c r="C1893" i="3"/>
  <c r="C1881" i="3"/>
  <c r="I1873" i="4"/>
  <c r="F1870" i="3"/>
  <c r="G1870" i="3"/>
  <c r="C1869" i="3"/>
  <c r="F1866" i="3"/>
  <c r="G1866" i="3"/>
  <c r="C1865" i="3"/>
  <c r="F1858" i="3"/>
  <c r="G1858" i="3"/>
  <c r="F1854" i="3"/>
  <c r="G1854" i="3"/>
  <c r="C1853" i="3"/>
  <c r="I1847" i="4"/>
  <c r="F1850" i="3"/>
  <c r="G1850" i="3"/>
  <c r="F1846" i="3"/>
  <c r="G1846" i="3"/>
  <c r="I1839" i="4"/>
  <c r="C1841" i="3"/>
  <c r="F1838" i="3"/>
  <c r="G1838" i="3"/>
  <c r="I1831" i="4"/>
  <c r="C1828" i="3"/>
  <c r="F1826" i="3"/>
  <c r="G1826" i="3"/>
  <c r="C1820" i="3"/>
  <c r="C1819" i="3"/>
  <c r="C1816" i="3"/>
  <c r="C1812" i="3"/>
  <c r="I1807" i="4"/>
  <c r="C1810" i="3"/>
  <c r="C1809" i="3"/>
  <c r="C1805" i="3"/>
  <c r="C1802" i="3"/>
  <c r="C1801" i="3"/>
  <c r="C1800" i="3"/>
  <c r="C1798" i="3"/>
  <c r="C1797" i="3"/>
  <c r="C1794" i="3"/>
  <c r="C1793" i="3"/>
  <c r="C1792" i="3"/>
  <c r="C1788" i="3"/>
  <c r="I1783" i="4"/>
  <c r="C1784" i="3"/>
  <c r="C1782" i="3"/>
  <c r="C1777" i="3"/>
  <c r="C1776" i="3"/>
  <c r="C1772" i="3"/>
  <c r="I1767" i="4"/>
  <c r="C1768" i="3"/>
  <c r="C1764" i="3"/>
  <c r="C1762" i="3"/>
  <c r="C1761" i="3"/>
  <c r="C1759" i="3"/>
  <c r="C1756" i="3"/>
  <c r="I1751" i="4"/>
  <c r="C1752" i="3"/>
  <c r="C1750" i="3"/>
  <c r="C1749" i="3"/>
  <c r="I1743" i="4"/>
  <c r="C1745" i="3"/>
  <c r="C1744" i="3"/>
  <c r="C1742" i="3"/>
  <c r="C1741" i="3"/>
  <c r="C1736" i="3"/>
  <c r="C1732" i="3"/>
  <c r="I1727" i="4"/>
  <c r="C1730" i="3"/>
  <c r="C1729" i="3"/>
  <c r="C1726" i="3"/>
  <c r="C1724" i="3"/>
  <c r="I1719" i="4"/>
  <c r="C1722" i="3"/>
  <c r="C1721" i="3"/>
  <c r="C1718" i="3"/>
  <c r="C1717" i="3"/>
  <c r="C1714" i="3"/>
  <c r="C1713" i="3"/>
  <c r="C1712" i="3"/>
  <c r="C1708" i="3"/>
  <c r="I1703" i="4"/>
  <c r="C1704" i="3"/>
  <c r="C1698" i="3"/>
  <c r="C1695" i="3"/>
  <c r="I1690" i="4"/>
  <c r="C1694" i="3"/>
  <c r="C1692" i="3"/>
  <c r="C1690" i="3"/>
  <c r="C1688" i="3"/>
  <c r="C1682" i="3"/>
  <c r="I1674" i="4"/>
  <c r="C1678" i="3"/>
  <c r="C1676" i="3"/>
  <c r="I1666" i="4"/>
  <c r="C1666" i="3"/>
  <c r="C1664" i="3"/>
  <c r="I1658" i="4"/>
  <c r="C1656" i="3"/>
  <c r="C1654" i="3"/>
  <c r="C1652" i="3"/>
  <c r="C1651" i="3"/>
  <c r="I1646" i="4"/>
  <c r="C1650" i="3"/>
  <c r="C1646" i="3"/>
  <c r="C1640" i="3"/>
  <c r="C1636" i="3"/>
  <c r="C1632" i="3"/>
  <c r="C1628" i="3"/>
  <c r="C1622" i="3"/>
  <c r="I1614" i="4"/>
  <c r="C1618" i="3"/>
  <c r="I1606" i="4"/>
  <c r="C1610" i="3"/>
  <c r="C1606" i="3"/>
  <c r="C1604" i="3"/>
  <c r="C1598" i="3"/>
  <c r="C1595" i="3"/>
  <c r="I1590" i="4"/>
  <c r="C1594" i="3"/>
  <c r="C1592" i="3"/>
  <c r="C1588" i="3"/>
  <c r="I1582" i="4"/>
  <c r="C1586" i="3"/>
  <c r="C1584" i="3"/>
  <c r="C1579" i="3"/>
  <c r="I1574" i="4"/>
  <c r="C1578" i="3"/>
  <c r="C1574" i="3"/>
  <c r="C1572" i="3"/>
  <c r="C1571" i="3"/>
  <c r="I1566" i="4"/>
  <c r="C1564" i="3"/>
  <c r="C1558" i="3"/>
  <c r="C1556" i="3"/>
  <c r="C1554" i="3"/>
  <c r="C1552" i="3"/>
  <c r="I1542" i="4"/>
  <c r="C1546" i="3"/>
  <c r="C1544" i="3"/>
  <c r="C1540" i="3"/>
  <c r="C1536" i="3"/>
  <c r="C1531" i="3"/>
  <c r="I1526" i="4"/>
  <c r="C1530" i="3"/>
  <c r="C1528" i="3"/>
  <c r="C1523" i="3"/>
  <c r="I1518" i="4"/>
  <c r="C1522" i="3"/>
  <c r="C1518" i="3"/>
  <c r="C1516" i="3"/>
  <c r="C1512" i="3"/>
  <c r="C1508" i="3"/>
  <c r="C1506" i="3"/>
  <c r="C1500" i="3"/>
  <c r="C1494" i="3"/>
  <c r="C1486" i="3"/>
  <c r="C1484" i="3"/>
  <c r="I1478" i="4"/>
  <c r="C1480" i="3"/>
  <c r="C1478" i="3"/>
  <c r="C1470" i="3"/>
  <c r="C1468" i="3"/>
  <c r="C1462" i="3"/>
  <c r="C1460" i="3"/>
  <c r="C1458" i="3"/>
  <c r="C1452" i="3"/>
  <c r="I1446" i="4"/>
  <c r="C1450" i="3"/>
  <c r="C1444" i="3"/>
  <c r="C1440" i="3"/>
  <c r="C1434" i="3"/>
  <c r="C1432" i="3"/>
  <c r="I1426" i="4"/>
  <c r="C1426" i="3"/>
  <c r="C1422" i="3"/>
  <c r="C1418" i="3"/>
  <c r="C1416" i="3"/>
  <c r="C1412" i="3"/>
  <c r="C1408" i="3"/>
  <c r="C1407" i="3"/>
  <c r="I1402" i="4"/>
  <c r="C1406" i="3"/>
  <c r="C1402" i="3"/>
  <c r="I1394" i="4"/>
  <c r="C1398" i="3"/>
  <c r="C1390" i="3"/>
  <c r="C1387" i="3"/>
  <c r="I1382" i="4"/>
  <c r="C1386" i="3"/>
  <c r="C1383" i="3"/>
  <c r="I1378" i="4"/>
  <c r="C1382" i="3"/>
  <c r="C1376" i="3"/>
  <c r="C1374" i="3"/>
  <c r="C1370" i="3"/>
  <c r="C1367" i="3"/>
  <c r="I1362" i="4"/>
  <c r="C1366" i="3"/>
  <c r="C1359" i="3"/>
  <c r="I1354" i="4"/>
  <c r="C1356" i="3"/>
  <c r="I1350" i="4"/>
  <c r="C1352" i="3"/>
  <c r="C1348" i="3"/>
  <c r="I1342" i="4"/>
  <c r="C1346" i="3"/>
  <c r="C1343" i="3"/>
  <c r="I1338" i="4"/>
  <c r="C1342" i="3"/>
  <c r="C1336" i="3"/>
  <c r="C1331" i="3"/>
  <c r="I1326" i="4"/>
  <c r="C1330" i="3"/>
  <c r="C1327" i="3"/>
  <c r="I1322" i="4"/>
  <c r="C1326" i="3"/>
  <c r="C1324" i="3"/>
  <c r="I1318" i="4"/>
  <c r="C1322" i="3"/>
  <c r="C1320" i="3"/>
  <c r="C1316" i="3"/>
  <c r="C1308" i="3"/>
  <c r="C1303" i="3"/>
  <c r="I1298" i="4"/>
  <c r="C1302" i="3"/>
  <c r="C1299" i="3"/>
  <c r="I1294" i="4"/>
  <c r="C1298" i="3"/>
  <c r="C1296" i="3"/>
  <c r="C1292" i="3"/>
  <c r="C1287" i="3"/>
  <c r="I1282" i="4"/>
  <c r="C1286" i="3"/>
  <c r="C1284" i="3"/>
  <c r="C1280" i="3"/>
  <c r="C1276" i="3"/>
  <c r="C1264" i="3"/>
  <c r="C1256" i="3"/>
  <c r="C1250" i="3"/>
  <c r="C1248" i="3"/>
  <c r="C1246" i="3"/>
  <c r="C1244" i="3"/>
  <c r="C1242" i="3"/>
  <c r="C1241" i="3"/>
  <c r="C1240" i="3"/>
  <c r="C1238" i="3"/>
  <c r="C1237" i="3"/>
  <c r="C1236" i="3"/>
  <c r="C1232" i="3"/>
  <c r="C1230" i="3"/>
  <c r="C1229" i="3"/>
  <c r="C1228" i="3"/>
  <c r="C1227" i="3"/>
  <c r="C1226" i="3"/>
  <c r="C1218" i="3"/>
  <c r="H1022" i="4"/>
  <c r="C568" i="3"/>
  <c r="C566" i="3"/>
  <c r="C564" i="3"/>
  <c r="C562" i="3"/>
  <c r="C560" i="3"/>
  <c r="C558" i="3"/>
  <c r="C556" i="3"/>
  <c r="C554" i="3"/>
  <c r="C552" i="3"/>
  <c r="C550" i="3"/>
  <c r="C548" i="3"/>
  <c r="C546" i="3"/>
  <c r="C544" i="3"/>
  <c r="C542" i="3"/>
  <c r="C540" i="3"/>
  <c r="C538" i="3"/>
  <c r="C536" i="3"/>
  <c r="C534" i="3"/>
  <c r="C532" i="3"/>
  <c r="C530" i="3"/>
  <c r="C528" i="3"/>
  <c r="C526" i="3"/>
  <c r="C524" i="3"/>
  <c r="C522" i="3"/>
  <c r="C520" i="3"/>
  <c r="C518" i="3"/>
  <c r="C516" i="3"/>
  <c r="C514" i="3"/>
  <c r="C512" i="3"/>
  <c r="C510" i="3"/>
  <c r="C508" i="3"/>
  <c r="C506" i="3"/>
  <c r="C504" i="3"/>
  <c r="C502" i="3"/>
  <c r="C500" i="3"/>
  <c r="C498" i="3"/>
  <c r="C496" i="3"/>
  <c r="C494" i="3"/>
  <c r="C492" i="3"/>
  <c r="C490" i="3"/>
  <c r="C488" i="3"/>
  <c r="C486" i="3"/>
  <c r="C484" i="3"/>
  <c r="C482" i="3"/>
  <c r="C480" i="3"/>
  <c r="C478" i="3"/>
  <c r="C476" i="3"/>
  <c r="C474" i="3"/>
  <c r="C472" i="3"/>
  <c r="C470" i="3"/>
  <c r="C468" i="3"/>
  <c r="C466" i="3"/>
  <c r="C464" i="3"/>
  <c r="C462" i="3"/>
  <c r="C460" i="3"/>
  <c r="C458" i="3"/>
  <c r="C456" i="3"/>
  <c r="C454" i="3"/>
  <c r="C452" i="3"/>
  <c r="C450" i="3"/>
  <c r="C448" i="3"/>
  <c r="C446" i="3"/>
  <c r="C444" i="3"/>
  <c r="C442" i="3"/>
  <c r="C440" i="3"/>
  <c r="C438" i="3"/>
  <c r="C436" i="3"/>
  <c r="C434" i="3"/>
  <c r="C432" i="3"/>
  <c r="C430" i="3"/>
  <c r="C428" i="3"/>
  <c r="C426" i="3"/>
  <c r="C424" i="3"/>
  <c r="C422" i="3"/>
  <c r="C420" i="3"/>
  <c r="C418" i="3"/>
  <c r="C416" i="3"/>
  <c r="C414" i="3"/>
  <c r="C412" i="3"/>
  <c r="C410" i="3"/>
  <c r="C408" i="3"/>
  <c r="C406" i="3"/>
  <c r="C404" i="3"/>
  <c r="C402" i="3"/>
  <c r="C400" i="3"/>
  <c r="C398" i="3"/>
  <c r="C396" i="3"/>
  <c r="C394" i="3"/>
  <c r="C392" i="3"/>
  <c r="C390" i="3"/>
  <c r="C388" i="3"/>
  <c r="C386" i="3"/>
  <c r="C384" i="3"/>
  <c r="C382" i="3"/>
  <c r="C380" i="3"/>
  <c r="C378" i="3"/>
  <c r="C376" i="3"/>
  <c r="C374" i="3"/>
  <c r="C372" i="3"/>
  <c r="C370" i="3"/>
  <c r="C368" i="3"/>
  <c r="C366" i="3"/>
  <c r="C364" i="3"/>
  <c r="C362" i="3"/>
  <c r="C360" i="3"/>
  <c r="C358" i="3"/>
  <c r="C356" i="3"/>
  <c r="C354" i="3"/>
  <c r="C352" i="3"/>
  <c r="C350" i="3"/>
  <c r="C348" i="3"/>
  <c r="C346" i="3"/>
  <c r="C344" i="3"/>
  <c r="C342" i="3"/>
  <c r="C340" i="3"/>
  <c r="C338" i="3"/>
  <c r="C336" i="3"/>
  <c r="C334" i="3"/>
  <c r="C332" i="3"/>
  <c r="C330" i="3"/>
  <c r="C328" i="3"/>
  <c r="C326" i="3"/>
  <c r="C324" i="3"/>
  <c r="C322" i="3"/>
  <c r="C320" i="3"/>
  <c r="C318" i="3"/>
  <c r="C316" i="3"/>
  <c r="C314" i="3"/>
  <c r="C312" i="3"/>
  <c r="C310" i="3"/>
  <c r="C308" i="3"/>
  <c r="C306" i="3"/>
  <c r="C304" i="3"/>
  <c r="C302" i="3"/>
  <c r="C300" i="3"/>
  <c r="C298" i="3"/>
  <c r="C296" i="3"/>
  <c r="C294" i="3"/>
  <c r="C292" i="3"/>
  <c r="C290" i="3"/>
  <c r="C288" i="3"/>
  <c r="C286" i="3"/>
  <c r="C284" i="3"/>
  <c r="C282" i="3"/>
  <c r="C280" i="3"/>
  <c r="C278" i="3"/>
  <c r="C276" i="3"/>
  <c r="C274" i="3"/>
  <c r="C272" i="3"/>
  <c r="C270" i="3"/>
  <c r="C268" i="3"/>
  <c r="C266" i="3"/>
  <c r="C264" i="3"/>
  <c r="C262" i="3"/>
  <c r="C260" i="3"/>
  <c r="C258" i="3"/>
  <c r="C256" i="3"/>
  <c r="C254" i="3"/>
  <c r="C252" i="3"/>
  <c r="C250" i="3"/>
  <c r="C248" i="3"/>
  <c r="C246" i="3"/>
  <c r="C244" i="3"/>
  <c r="C242" i="3"/>
  <c r="C240" i="3"/>
  <c r="C238" i="3"/>
  <c r="C236" i="3"/>
  <c r="C234" i="3"/>
  <c r="C232" i="3"/>
  <c r="C230" i="3"/>
  <c r="C228" i="3"/>
  <c r="C226" i="3"/>
  <c r="C224" i="3"/>
  <c r="C222" i="3"/>
  <c r="C220" i="3"/>
  <c r="C218" i="3"/>
  <c r="C216" i="3"/>
  <c r="C214" i="3"/>
  <c r="C212" i="3"/>
  <c r="C210" i="3"/>
  <c r="C208" i="3"/>
  <c r="C206" i="3"/>
  <c r="C204" i="3"/>
  <c r="C202" i="3"/>
  <c r="C200" i="3"/>
  <c r="C198" i="3"/>
  <c r="C196" i="3"/>
  <c r="E196" i="3" s="1"/>
  <c r="C194" i="3"/>
  <c r="E194" i="3" s="1"/>
  <c r="C192" i="3"/>
  <c r="E192" i="3" s="1"/>
  <c r="C190" i="3"/>
  <c r="E190" i="3" s="1"/>
  <c r="C188" i="3"/>
  <c r="E188" i="3" s="1"/>
  <c r="C186" i="3"/>
  <c r="E186" i="3" s="1"/>
  <c r="C184" i="3"/>
  <c r="E184" i="3" s="1"/>
  <c r="C182" i="3"/>
  <c r="E182" i="3" s="1"/>
  <c r="C180" i="3"/>
  <c r="E180" i="3" s="1"/>
  <c r="C178" i="3"/>
  <c r="E178" i="3" s="1"/>
  <c r="C176" i="3"/>
  <c r="E176" i="3" s="1"/>
  <c r="C174" i="3"/>
  <c r="E174" i="3" s="1"/>
  <c r="C172" i="3"/>
  <c r="E172" i="3" s="1"/>
  <c r="C170" i="3"/>
  <c r="E170" i="3" s="1"/>
  <c r="C168" i="3"/>
  <c r="E168" i="3" s="1"/>
  <c r="C166" i="3"/>
  <c r="E166" i="3" s="1"/>
  <c r="C164" i="3"/>
  <c r="E164" i="3" s="1"/>
  <c r="C162" i="3"/>
  <c r="E162" i="3" s="1"/>
  <c r="C160" i="3"/>
  <c r="E160" i="3" s="1"/>
  <c r="C158" i="3"/>
  <c r="E158" i="3" s="1"/>
  <c r="C156" i="3"/>
  <c r="E156" i="3" s="1"/>
  <c r="C154" i="3"/>
  <c r="E154" i="3" s="1"/>
  <c r="C152" i="3"/>
  <c r="E152" i="3" s="1"/>
  <c r="C150" i="3"/>
  <c r="E150" i="3" s="1"/>
  <c r="C148" i="3"/>
  <c r="E148" i="3" s="1"/>
  <c r="C146" i="3"/>
  <c r="E146" i="3" s="1"/>
  <c r="C144" i="3"/>
  <c r="E144" i="3" s="1"/>
  <c r="C142" i="3"/>
  <c r="E142" i="3" s="1"/>
  <c r="C140" i="3"/>
  <c r="E140" i="3" s="1"/>
  <c r="C138" i="3"/>
  <c r="E138" i="3" s="1"/>
  <c r="C136" i="3"/>
  <c r="E136" i="3" s="1"/>
  <c r="C134" i="3"/>
  <c r="E134" i="3" s="1"/>
  <c r="C132" i="3"/>
  <c r="E132" i="3" s="1"/>
  <c r="C130" i="3"/>
  <c r="E130" i="3" s="1"/>
  <c r="C128" i="3"/>
  <c r="E128" i="3" s="1"/>
  <c r="C126" i="3"/>
  <c r="E126" i="3" s="1"/>
  <c r="C124" i="3"/>
  <c r="E124" i="3" s="1"/>
  <c r="C122" i="3"/>
  <c r="E122" i="3" s="1"/>
  <c r="C120" i="3"/>
  <c r="E120" i="3" s="1"/>
  <c r="C118" i="3"/>
  <c r="E118" i="3" s="1"/>
  <c r="C116" i="3"/>
  <c r="E116" i="3" s="1"/>
  <c r="C114" i="3"/>
  <c r="E114" i="3" s="1"/>
  <c r="C112" i="3"/>
  <c r="E112" i="3" s="1"/>
  <c r="C110" i="3"/>
  <c r="E110" i="3" s="1"/>
  <c r="C108" i="3"/>
  <c r="E108" i="3" s="1"/>
  <c r="C106" i="3"/>
  <c r="E106" i="3" s="1"/>
  <c r="C104" i="3"/>
  <c r="E104" i="3" s="1"/>
  <c r="C102" i="3"/>
  <c r="E102" i="3" s="1"/>
  <c r="C100" i="3"/>
  <c r="E100" i="3" s="1"/>
  <c r="C98" i="3"/>
  <c r="E98" i="3" s="1"/>
  <c r="C96" i="3"/>
  <c r="E96" i="3" s="1"/>
  <c r="C94" i="3"/>
  <c r="E94" i="3" s="1"/>
  <c r="C92" i="3"/>
  <c r="E92" i="3" s="1"/>
  <c r="C90" i="3"/>
  <c r="E90" i="3" s="1"/>
  <c r="C88" i="3"/>
  <c r="E88" i="3" s="1"/>
  <c r="C86" i="3"/>
  <c r="E86" i="3" s="1"/>
  <c r="C84" i="3"/>
  <c r="E84" i="3" s="1"/>
  <c r="C82" i="3"/>
  <c r="E82" i="3" s="1"/>
  <c r="C80" i="3"/>
  <c r="E80" i="3" s="1"/>
  <c r="C78" i="3"/>
  <c r="E78" i="3" s="1"/>
  <c r="C76" i="3"/>
  <c r="E76" i="3" s="1"/>
  <c r="C74" i="3"/>
  <c r="E74" i="3" s="1"/>
  <c r="C72" i="3"/>
  <c r="E72" i="3" s="1"/>
  <c r="C70" i="3"/>
  <c r="E70" i="3" s="1"/>
  <c r="C68" i="3"/>
  <c r="E68" i="3" s="1"/>
  <c r="C66" i="3"/>
  <c r="E66" i="3" s="1"/>
  <c r="C64" i="3"/>
  <c r="E64" i="3" s="1"/>
  <c r="C62" i="3"/>
  <c r="E62" i="3" s="1"/>
  <c r="C60" i="3"/>
  <c r="E60" i="3" s="1"/>
  <c r="C58" i="3"/>
  <c r="E58" i="3" s="1"/>
  <c r="C56" i="3"/>
  <c r="E56" i="3" s="1"/>
  <c r="C54" i="3"/>
  <c r="E54" i="3" s="1"/>
  <c r="C52" i="3"/>
  <c r="E52" i="3" s="1"/>
  <c r="C50" i="3"/>
  <c r="E50" i="3" s="1"/>
  <c r="C48" i="3"/>
  <c r="E48" i="3" s="1"/>
  <c r="C46" i="3"/>
  <c r="E46" i="3" s="1"/>
  <c r="C44" i="3"/>
  <c r="E44" i="3" s="1"/>
  <c r="C42" i="3"/>
  <c r="E42" i="3" s="1"/>
  <c r="C40" i="3"/>
  <c r="E40" i="3" s="1"/>
  <c r="C38" i="3"/>
  <c r="E38" i="3" s="1"/>
  <c r="C36" i="3"/>
  <c r="E36" i="3" s="1"/>
  <c r="C34" i="3"/>
  <c r="E34" i="3" s="1"/>
  <c r="C32" i="3"/>
  <c r="E32" i="3" s="1"/>
  <c r="C30" i="3"/>
  <c r="E30" i="3" s="1"/>
  <c r="C28" i="3"/>
  <c r="E28" i="3" s="1"/>
  <c r="C26" i="3"/>
  <c r="E26" i="3" s="1"/>
  <c r="C24" i="3"/>
  <c r="E24" i="3" s="1"/>
  <c r="C22" i="3"/>
  <c r="E22" i="3" s="1"/>
  <c r="C12" i="3"/>
  <c r="C10" i="3"/>
  <c r="C1216" i="3"/>
  <c r="C1214" i="3"/>
  <c r="C1212" i="3"/>
  <c r="C1210" i="3"/>
  <c r="C1208" i="3"/>
  <c r="C1206" i="3"/>
  <c r="C1204" i="3"/>
  <c r="C1202" i="3"/>
  <c r="C1200" i="3"/>
  <c r="C1198" i="3"/>
  <c r="C1196" i="3"/>
  <c r="C1194" i="3"/>
  <c r="C1192" i="3"/>
  <c r="C1190" i="3"/>
  <c r="C1188" i="3"/>
  <c r="C1186" i="3"/>
  <c r="C1184" i="3"/>
  <c r="C1182" i="3"/>
  <c r="C1180" i="3"/>
  <c r="C1178" i="3"/>
  <c r="C1176" i="3"/>
  <c r="C1174" i="3"/>
  <c r="C1172" i="3"/>
  <c r="C1170" i="3"/>
  <c r="C1168" i="3"/>
  <c r="C1166" i="3"/>
  <c r="C1164" i="3"/>
  <c r="C1162" i="3"/>
  <c r="C1160" i="3"/>
  <c r="C1158" i="3"/>
  <c r="C1156" i="3"/>
  <c r="C1154" i="3"/>
  <c r="C1152" i="3"/>
  <c r="C1150" i="3"/>
  <c r="C1148" i="3"/>
  <c r="C1146" i="3"/>
  <c r="C1144" i="3"/>
  <c r="C1142" i="3"/>
  <c r="C1140" i="3"/>
  <c r="C1138" i="3"/>
  <c r="C1136" i="3"/>
  <c r="C1134" i="3"/>
  <c r="C1132" i="3"/>
  <c r="C1130" i="3"/>
  <c r="C1128" i="3"/>
  <c r="C1126" i="3"/>
  <c r="C1124" i="3"/>
  <c r="C1122" i="3"/>
  <c r="C1120" i="3"/>
  <c r="C1118" i="3"/>
  <c r="C1116" i="3"/>
  <c r="C1114" i="3"/>
  <c r="C1112" i="3"/>
  <c r="C1110" i="3"/>
  <c r="C1108" i="3"/>
  <c r="C1106" i="3"/>
  <c r="C1104" i="3"/>
  <c r="C1102" i="3"/>
  <c r="C1100" i="3"/>
  <c r="C1098" i="3"/>
  <c r="C1096" i="3"/>
  <c r="C1094" i="3"/>
  <c r="C1092" i="3"/>
  <c r="C1090" i="3"/>
  <c r="C1088" i="3"/>
  <c r="C1086" i="3"/>
  <c r="C1084" i="3"/>
  <c r="C1082" i="3"/>
  <c r="C1080" i="3"/>
  <c r="C1078" i="3"/>
  <c r="C1076" i="3"/>
  <c r="C1074" i="3"/>
  <c r="C1072" i="3"/>
  <c r="C1070" i="3"/>
  <c r="C1068" i="3"/>
  <c r="C1066" i="3"/>
  <c r="C1064" i="3"/>
  <c r="C1062" i="3"/>
  <c r="C1060" i="3"/>
  <c r="C1058" i="3"/>
  <c r="C1056" i="3"/>
  <c r="C1054" i="3"/>
  <c r="C1052" i="3"/>
  <c r="C1050" i="3"/>
  <c r="C1048" i="3"/>
  <c r="C1046" i="3"/>
  <c r="C1044" i="3"/>
  <c r="C1042" i="3"/>
  <c r="C1040" i="3"/>
  <c r="C1038" i="3"/>
  <c r="C1036" i="3"/>
  <c r="C1034" i="3"/>
  <c r="C1032" i="3"/>
  <c r="C1030" i="3"/>
  <c r="C1028" i="3"/>
  <c r="C1026" i="3"/>
  <c r="C1024" i="3"/>
  <c r="C1022" i="3"/>
  <c r="C1020" i="3"/>
  <c r="C1018" i="3"/>
  <c r="C1016" i="3"/>
  <c r="C1014" i="3"/>
  <c r="C1012" i="3"/>
  <c r="C1010" i="3"/>
  <c r="C1008" i="3"/>
  <c r="C1006" i="3"/>
  <c r="C1004" i="3"/>
  <c r="C1002" i="3"/>
  <c r="C1000" i="3"/>
  <c r="C998" i="3"/>
  <c r="C996" i="3"/>
  <c r="C994" i="3"/>
  <c r="C992" i="3"/>
  <c r="C990" i="3"/>
  <c r="C988" i="3"/>
  <c r="C986" i="3"/>
  <c r="C984" i="3"/>
  <c r="C982" i="3"/>
  <c r="C980" i="3"/>
  <c r="C978" i="3"/>
  <c r="C976" i="3"/>
  <c r="C974" i="3"/>
  <c r="C972" i="3"/>
  <c r="C970" i="3"/>
  <c r="C968" i="3"/>
  <c r="C966" i="3"/>
  <c r="C964" i="3"/>
  <c r="C962" i="3"/>
  <c r="C960" i="3"/>
  <c r="C958" i="3"/>
  <c r="C956" i="3"/>
  <c r="C954" i="3"/>
  <c r="C952" i="3"/>
  <c r="C950" i="3"/>
  <c r="C948" i="3"/>
  <c r="C946" i="3"/>
  <c r="C944" i="3"/>
  <c r="C942" i="3"/>
  <c r="C940" i="3"/>
  <c r="C938" i="3"/>
  <c r="C936" i="3"/>
  <c r="C934" i="3"/>
  <c r="C932" i="3"/>
  <c r="C930" i="3"/>
  <c r="C928" i="3"/>
  <c r="C926" i="3"/>
  <c r="C924" i="3"/>
  <c r="C922" i="3"/>
  <c r="C920" i="3"/>
  <c r="C918" i="3"/>
  <c r="C916" i="3"/>
  <c r="C914" i="3"/>
  <c r="C912" i="3"/>
  <c r="C910" i="3"/>
  <c r="C908" i="3"/>
  <c r="C906" i="3"/>
  <c r="C904" i="3"/>
  <c r="C902" i="3"/>
  <c r="C900" i="3"/>
  <c r="C898" i="3"/>
  <c r="C896" i="3"/>
  <c r="C894" i="3"/>
  <c r="C892" i="3"/>
  <c r="C890" i="3"/>
  <c r="C888" i="3"/>
  <c r="C886" i="3"/>
  <c r="C884" i="3"/>
  <c r="C882" i="3"/>
  <c r="C880" i="3"/>
  <c r="C878" i="3"/>
  <c r="C876" i="3"/>
  <c r="C874" i="3"/>
  <c r="C872" i="3"/>
  <c r="C870" i="3"/>
  <c r="C868" i="3"/>
  <c r="C866" i="3"/>
  <c r="C864" i="3"/>
  <c r="C862" i="3"/>
  <c r="C860" i="3"/>
  <c r="C858" i="3"/>
  <c r="C856" i="3"/>
  <c r="C854" i="3"/>
  <c r="C852" i="3"/>
  <c r="C850" i="3"/>
  <c r="C848" i="3"/>
  <c r="C846" i="3"/>
  <c r="C844" i="3"/>
  <c r="C842" i="3"/>
  <c r="C840" i="3"/>
  <c r="C838" i="3"/>
  <c r="C836" i="3"/>
  <c r="C834" i="3"/>
  <c r="C832" i="3"/>
  <c r="C830" i="3"/>
  <c r="C828" i="3"/>
  <c r="C826" i="3"/>
  <c r="C824" i="3"/>
  <c r="C822" i="3"/>
  <c r="C820" i="3"/>
  <c r="C818" i="3"/>
  <c r="C816" i="3"/>
  <c r="C814" i="3"/>
  <c r="C812" i="3"/>
  <c r="C810" i="3"/>
  <c r="C808" i="3"/>
  <c r="C806" i="3"/>
  <c r="C804" i="3"/>
  <c r="C802" i="3"/>
  <c r="C800" i="3"/>
  <c r="C798" i="3"/>
  <c r="C796" i="3"/>
  <c r="C794" i="3"/>
  <c r="C792" i="3"/>
  <c r="C790" i="3"/>
  <c r="C788" i="3"/>
  <c r="C786" i="3"/>
  <c r="C784" i="3"/>
  <c r="C782" i="3"/>
  <c r="C780" i="3"/>
  <c r="C778" i="3"/>
  <c r="C776" i="3"/>
  <c r="C774" i="3"/>
  <c r="C772" i="3"/>
  <c r="C770" i="3"/>
  <c r="C768" i="3"/>
  <c r="C766" i="3"/>
  <c r="C764" i="3"/>
  <c r="C762" i="3"/>
  <c r="C760" i="3"/>
  <c r="C758" i="3"/>
  <c r="C756" i="3"/>
  <c r="C754" i="3"/>
  <c r="C752" i="3"/>
  <c r="C750" i="3"/>
  <c r="C748" i="3"/>
  <c r="C746" i="3"/>
  <c r="C744" i="3"/>
  <c r="C742" i="3"/>
  <c r="C740" i="3"/>
  <c r="C738" i="3"/>
  <c r="C736" i="3"/>
  <c r="C734" i="3"/>
  <c r="C732" i="3"/>
  <c r="C730" i="3"/>
  <c r="C728" i="3"/>
  <c r="C726" i="3"/>
  <c r="C724" i="3"/>
  <c r="C722" i="3"/>
  <c r="C720" i="3"/>
  <c r="C718" i="3"/>
  <c r="C716" i="3"/>
  <c r="C714" i="3"/>
  <c r="C712" i="3"/>
  <c r="C710" i="3"/>
  <c r="C708" i="3"/>
  <c r="C706" i="3"/>
  <c r="C704" i="3"/>
  <c r="C702" i="3"/>
  <c r="C700" i="3"/>
  <c r="C698" i="3"/>
  <c r="C696" i="3"/>
  <c r="C694" i="3"/>
  <c r="C692" i="3"/>
  <c r="C690" i="3"/>
  <c r="C688" i="3"/>
  <c r="C686" i="3"/>
  <c r="C684" i="3"/>
  <c r="C682" i="3"/>
  <c r="C680" i="3"/>
  <c r="C678" i="3"/>
  <c r="C676" i="3"/>
  <c r="C674" i="3"/>
  <c r="C672" i="3"/>
  <c r="C670" i="3"/>
  <c r="C668" i="3"/>
  <c r="C666" i="3"/>
  <c r="C664" i="3"/>
  <c r="C662" i="3"/>
  <c r="C660" i="3"/>
  <c r="C658" i="3"/>
  <c r="C656" i="3"/>
  <c r="C654" i="3"/>
  <c r="C652" i="3"/>
  <c r="C650" i="3"/>
  <c r="C648" i="3"/>
  <c r="C646" i="3"/>
  <c r="C644" i="3"/>
  <c r="C642" i="3"/>
  <c r="C640" i="3"/>
  <c r="C638" i="3"/>
  <c r="C636" i="3"/>
  <c r="C634" i="3"/>
  <c r="C632" i="3"/>
  <c r="C630" i="3"/>
  <c r="C628" i="3"/>
  <c r="C626" i="3"/>
  <c r="C624" i="3"/>
  <c r="C622" i="3"/>
  <c r="C620" i="3"/>
  <c r="C618" i="3"/>
  <c r="C616" i="3"/>
  <c r="C614" i="3"/>
  <c r="C612" i="3"/>
  <c r="C610" i="3"/>
  <c r="C608" i="3"/>
  <c r="I602" i="4"/>
  <c r="C606" i="3"/>
  <c r="C604" i="3"/>
  <c r="I598" i="4"/>
  <c r="C602" i="3"/>
  <c r="C600" i="3"/>
  <c r="I595" i="4"/>
  <c r="C598" i="3"/>
  <c r="C596" i="3"/>
  <c r="C594" i="3"/>
  <c r="C592" i="3"/>
  <c r="C590" i="3"/>
  <c r="C588" i="3"/>
  <c r="C586" i="3"/>
  <c r="C584" i="3"/>
  <c r="C582" i="3"/>
  <c r="C580" i="3"/>
  <c r="C578" i="3"/>
  <c r="C576" i="3"/>
  <c r="C574" i="3"/>
  <c r="C572" i="3"/>
  <c r="C570" i="3"/>
  <c r="C20" i="3"/>
  <c r="E20" i="3" s="1"/>
  <c r="C18" i="3"/>
  <c r="E18" i="3" s="1"/>
  <c r="C16" i="3"/>
  <c r="C14" i="3"/>
  <c r="C2007" i="3"/>
  <c r="I1997" i="4"/>
  <c r="C2001" i="3"/>
  <c r="C1999" i="3"/>
  <c r="C1997" i="3"/>
  <c r="C1994" i="3"/>
  <c r="I1988" i="4"/>
  <c r="C1992" i="3"/>
  <c r="C1990" i="3"/>
  <c r="C1985" i="3"/>
  <c r="I1980" i="4"/>
  <c r="C1979" i="3"/>
  <c r="C1977" i="3"/>
  <c r="C1976" i="3"/>
  <c r="C1972" i="3"/>
  <c r="C1969" i="3"/>
  <c r="C1968" i="3"/>
  <c r="I1962" i="4"/>
  <c r="C1961" i="3"/>
  <c r="C1960" i="3"/>
  <c r="C1957" i="3"/>
  <c r="C1956" i="3"/>
  <c r="C1953" i="3"/>
  <c r="C1952" i="3"/>
  <c r="C1948" i="3"/>
  <c r="C1947" i="3"/>
  <c r="C1945" i="3"/>
  <c r="C1943" i="3"/>
  <c r="I1938" i="4"/>
  <c r="C1939" i="3"/>
  <c r="C1937" i="3"/>
  <c r="I1929" i="4"/>
  <c r="C1933" i="3"/>
  <c r="C1929" i="3"/>
  <c r="I1921" i="4"/>
  <c r="C1925" i="3"/>
  <c r="C1921" i="3"/>
  <c r="C1910" i="3"/>
  <c r="I1905" i="4"/>
  <c r="C1909" i="3"/>
  <c r="C1907" i="3"/>
  <c r="C1901" i="3"/>
  <c r="C1899" i="3"/>
  <c r="C1897" i="3"/>
  <c r="I1889" i="4"/>
  <c r="F1890" i="3"/>
  <c r="G1890" i="3"/>
  <c r="C1889" i="3"/>
  <c r="F1886" i="3"/>
  <c r="G1886" i="3"/>
  <c r="I1881" i="4"/>
  <c r="C1885" i="3"/>
  <c r="F1882" i="3"/>
  <c r="G1882" i="3"/>
  <c r="F1878" i="3"/>
  <c r="G1878" i="3"/>
  <c r="C1877" i="3"/>
  <c r="F1874" i="3"/>
  <c r="G1874" i="3"/>
  <c r="C1873" i="3"/>
  <c r="I1865" i="4"/>
  <c r="F1862" i="3"/>
  <c r="G1862" i="3"/>
  <c r="I1857" i="4"/>
  <c r="C1861" i="3"/>
  <c r="C1857" i="3"/>
  <c r="C1849" i="3"/>
  <c r="C1845" i="3"/>
  <c r="F1842" i="3"/>
  <c r="G1842" i="3"/>
  <c r="C1837" i="3"/>
  <c r="F1834" i="3"/>
  <c r="G1834" i="3"/>
  <c r="C1833" i="3"/>
  <c r="F1830" i="3"/>
  <c r="G1830" i="3"/>
  <c r="C1829" i="3"/>
  <c r="I1823" i="4"/>
  <c r="C1825" i="3"/>
  <c r="F1822" i="3"/>
  <c r="G1822" i="3"/>
  <c r="I1815" i="4"/>
  <c r="C1818" i="3"/>
  <c r="C1817" i="3"/>
  <c r="C1814" i="3"/>
  <c r="C1813" i="3"/>
  <c r="C1808" i="3"/>
  <c r="C1806" i="3"/>
  <c r="C1804" i="3"/>
  <c r="I1799" i="4"/>
  <c r="C1796" i="3"/>
  <c r="I1791" i="4"/>
  <c r="C1790" i="3"/>
  <c r="C1789" i="3"/>
  <c r="C1786" i="3"/>
  <c r="C1785" i="3"/>
  <c r="C1780" i="3"/>
  <c r="I1775" i="4"/>
  <c r="C1778" i="3"/>
  <c r="C1774" i="3"/>
  <c r="C1773" i="3"/>
  <c r="C1770" i="3"/>
  <c r="C1769" i="3"/>
  <c r="C1767" i="3"/>
  <c r="C1766" i="3"/>
  <c r="C1765" i="3"/>
  <c r="I1759" i="4"/>
  <c r="C1760" i="3"/>
  <c r="C1758" i="3"/>
  <c r="C1754" i="3"/>
  <c r="C1753" i="3"/>
  <c r="C1748" i="3"/>
  <c r="C1746" i="3"/>
  <c r="C1740" i="3"/>
  <c r="I1735" i="4"/>
  <c r="C1738" i="3"/>
  <c r="C1737" i="3"/>
  <c r="C1734" i="3"/>
  <c r="C1733" i="3"/>
  <c r="C1728" i="3"/>
  <c r="C1725" i="3"/>
  <c r="C1720" i="3"/>
  <c r="C1716" i="3"/>
  <c r="I1711" i="4"/>
  <c r="C1710" i="3"/>
  <c r="C1709" i="3"/>
  <c r="C1706" i="3"/>
  <c r="C1705" i="3"/>
  <c r="C1702" i="3"/>
  <c r="C1700" i="3"/>
  <c r="C1696" i="3"/>
  <c r="C1687" i="3"/>
  <c r="I1682" i="4"/>
  <c r="C1686" i="3"/>
  <c r="C1684" i="3"/>
  <c r="C1680" i="3"/>
  <c r="C1674" i="3"/>
  <c r="C1672" i="3"/>
  <c r="C1670" i="3"/>
  <c r="C1668" i="3"/>
  <c r="C1662" i="3"/>
  <c r="C1660" i="3"/>
  <c r="C1658" i="3"/>
  <c r="C1648" i="3"/>
  <c r="C1644" i="3"/>
  <c r="I1638" i="4"/>
  <c r="C1642" i="3"/>
  <c r="C1638" i="3"/>
  <c r="C1635" i="3"/>
  <c r="I1630" i="4"/>
  <c r="C1634" i="3"/>
  <c r="C1630" i="3"/>
  <c r="C1627" i="3"/>
  <c r="I1622" i="4"/>
  <c r="C1626" i="3"/>
  <c r="C1624" i="3"/>
  <c r="C1620" i="3"/>
  <c r="C1617" i="3"/>
  <c r="C1616" i="3"/>
  <c r="C1614" i="3"/>
  <c r="C1612" i="3"/>
  <c r="C1608" i="3"/>
  <c r="C1603" i="3"/>
  <c r="I1598" i="4"/>
  <c r="C1602" i="3"/>
  <c r="C1600" i="3"/>
  <c r="C1596" i="3"/>
  <c r="C1590" i="3"/>
  <c r="C1582" i="3"/>
  <c r="C1580" i="3"/>
  <c r="C1576" i="3"/>
  <c r="C1570" i="3"/>
  <c r="C1569" i="3"/>
  <c r="C1568" i="3"/>
  <c r="C1566" i="3"/>
  <c r="C1563" i="3"/>
  <c r="I1558" i="4"/>
  <c r="C1562" i="3"/>
  <c r="C1561" i="3"/>
  <c r="C1560" i="3"/>
  <c r="I1550" i="4"/>
  <c r="C1550" i="3"/>
  <c r="C1548" i="3"/>
  <c r="C1542" i="3"/>
  <c r="I1534" i="4"/>
  <c r="C1538" i="3"/>
  <c r="C1534" i="3"/>
  <c r="C1532" i="3"/>
  <c r="C1526" i="3"/>
  <c r="C1524" i="3"/>
  <c r="C1520" i="3"/>
  <c r="C1515" i="3"/>
  <c r="I1510" i="4"/>
  <c r="C1514" i="3"/>
  <c r="C1510" i="3"/>
  <c r="I1502" i="4"/>
  <c r="C1504" i="3"/>
  <c r="C1502" i="3"/>
  <c r="I1494" i="4"/>
  <c r="C1498" i="3"/>
  <c r="C1496" i="3"/>
  <c r="C1492" i="3"/>
  <c r="I1486" i="4"/>
  <c r="C1490" i="3"/>
  <c r="C1488" i="3"/>
  <c r="C1482" i="3"/>
  <c r="C1476" i="3"/>
  <c r="I1470" i="4"/>
  <c r="C1474" i="3"/>
  <c r="C1472" i="3"/>
  <c r="I1462" i="4"/>
  <c r="C1466" i="3"/>
  <c r="C1464" i="3"/>
  <c r="C1459" i="3"/>
  <c r="I1454" i="4"/>
  <c r="C1456" i="3"/>
  <c r="C1454" i="3"/>
  <c r="C1451" i="3"/>
  <c r="C1448" i="3"/>
  <c r="C1446" i="3"/>
  <c r="C1443" i="3"/>
  <c r="I1438" i="4"/>
  <c r="C1442" i="3"/>
  <c r="C1438" i="3"/>
  <c r="C1436" i="3"/>
  <c r="C1430" i="3"/>
  <c r="C1428" i="3"/>
  <c r="C1424" i="3"/>
  <c r="I1418" i="4"/>
  <c r="C1420" i="3"/>
  <c r="C1415" i="3"/>
  <c r="I1410" i="4"/>
  <c r="C1414" i="3"/>
  <c r="C1410" i="3"/>
  <c r="C1404" i="3"/>
  <c r="C1400" i="3"/>
  <c r="C1396" i="3"/>
  <c r="C1394" i="3"/>
  <c r="C1392" i="3"/>
  <c r="I1386" i="4"/>
  <c r="C1388" i="3"/>
  <c r="C1384" i="3"/>
  <c r="C1380" i="3"/>
  <c r="I1374" i="4"/>
  <c r="C1378" i="3"/>
  <c r="C1375" i="3"/>
  <c r="I1370" i="4"/>
  <c r="C1372" i="3"/>
  <c r="I1366" i="4"/>
  <c r="C1368" i="3"/>
  <c r="C1364" i="3"/>
  <c r="I1358" i="4"/>
  <c r="C1362" i="3"/>
  <c r="C1360" i="3"/>
  <c r="C1358" i="3"/>
  <c r="C1355" i="3"/>
  <c r="C1354" i="3"/>
  <c r="C1351" i="3"/>
  <c r="I1346" i="4"/>
  <c r="C1350" i="3"/>
  <c r="C1344" i="3"/>
  <c r="C1340" i="3"/>
  <c r="C1339" i="3"/>
  <c r="I1334" i="4"/>
  <c r="C1338" i="3"/>
  <c r="C1335" i="3"/>
  <c r="I1330" i="4"/>
  <c r="C1334" i="3"/>
  <c r="C1332" i="3"/>
  <c r="C1328" i="3"/>
  <c r="C1319" i="3"/>
  <c r="I1314" i="4"/>
  <c r="C1318" i="3"/>
  <c r="I1310" i="4"/>
  <c r="C1314" i="3"/>
  <c r="C1312" i="3"/>
  <c r="I1306" i="4"/>
  <c r="C1310" i="3"/>
  <c r="C1307" i="3"/>
  <c r="I1302" i="4"/>
  <c r="C1306" i="3"/>
  <c r="C1304" i="3"/>
  <c r="C1300" i="3"/>
  <c r="I1290" i="4"/>
  <c r="C1294" i="3"/>
  <c r="I1286" i="4"/>
  <c r="C1290" i="3"/>
  <c r="C1288" i="3"/>
  <c r="I1278" i="4"/>
  <c r="C1282" i="3"/>
  <c r="C1279" i="3"/>
  <c r="I1274" i="4"/>
  <c r="C1278" i="3"/>
  <c r="I1270" i="4"/>
  <c r="C1274" i="3"/>
  <c r="C1272" i="3"/>
  <c r="I1266" i="4"/>
  <c r="C1270" i="3"/>
  <c r="C1268" i="3"/>
  <c r="C1266" i="3"/>
  <c r="C1263" i="3"/>
  <c r="C1262" i="3"/>
  <c r="C1260" i="3"/>
  <c r="C1258" i="3"/>
  <c r="C1254" i="3"/>
  <c r="C1252" i="3"/>
  <c r="C1235" i="3"/>
  <c r="C1234" i="3"/>
  <c r="C1224" i="3"/>
  <c r="C1222" i="3"/>
  <c r="C1221" i="3"/>
  <c r="C1220" i="3"/>
  <c r="G2009" i="3"/>
  <c r="F2009" i="3"/>
  <c r="F2008" i="3"/>
  <c r="G2008" i="3"/>
  <c r="G2007" i="3"/>
  <c r="F2007" i="3"/>
  <c r="F2006" i="3"/>
  <c r="G2006" i="3"/>
  <c r="G2005" i="3"/>
  <c r="F2005" i="3"/>
  <c r="F2004" i="3"/>
  <c r="G2004" i="3"/>
  <c r="G2003" i="3"/>
  <c r="F2003" i="3"/>
  <c r="F2002" i="3"/>
  <c r="G2002" i="3"/>
  <c r="G2001" i="3"/>
  <c r="F2001" i="3"/>
  <c r="F2000" i="3"/>
  <c r="G2000" i="3"/>
  <c r="G1999" i="3"/>
  <c r="F1999" i="3"/>
  <c r="F1998" i="3"/>
  <c r="G1998" i="3"/>
  <c r="G1997" i="3"/>
  <c r="F1997" i="3"/>
  <c r="F1996" i="3"/>
  <c r="G1996" i="3"/>
  <c r="G1995" i="3"/>
  <c r="F1995" i="3"/>
  <c r="F1994" i="3"/>
  <c r="G1994" i="3"/>
  <c r="G1993" i="3"/>
  <c r="F1993" i="3"/>
  <c r="F1992" i="3"/>
  <c r="G1992" i="3"/>
  <c r="G1991" i="3"/>
  <c r="F1991" i="3"/>
  <c r="F1990" i="3"/>
  <c r="G1990" i="3"/>
  <c r="G1989" i="3"/>
  <c r="F1989" i="3"/>
  <c r="F1988" i="3"/>
  <c r="G1988" i="3"/>
  <c r="G1987" i="3"/>
  <c r="F1987" i="3"/>
  <c r="F1986" i="3"/>
  <c r="G1986" i="3"/>
  <c r="G1985" i="3"/>
  <c r="F1985" i="3"/>
  <c r="F1984" i="3"/>
  <c r="G1984" i="3"/>
  <c r="G1983" i="3"/>
  <c r="F1983" i="3"/>
  <c r="F1982" i="3"/>
  <c r="G1982" i="3"/>
  <c r="G1981" i="3"/>
  <c r="F1981" i="3"/>
  <c r="F1980" i="3"/>
  <c r="G1980" i="3"/>
  <c r="G1979" i="3"/>
  <c r="F1979" i="3"/>
  <c r="F1978" i="3"/>
  <c r="G1978" i="3"/>
  <c r="G1977" i="3"/>
  <c r="F1977" i="3"/>
  <c r="F1976" i="3"/>
  <c r="G1976" i="3"/>
  <c r="G1975" i="3"/>
  <c r="F1975" i="3"/>
  <c r="F1974" i="3"/>
  <c r="G1974" i="3"/>
  <c r="G1973" i="3"/>
  <c r="F1973" i="3"/>
  <c r="F1972" i="3"/>
  <c r="G1972" i="3"/>
  <c r="G1971" i="3"/>
  <c r="F1971" i="3"/>
  <c r="F1970" i="3"/>
  <c r="G1970" i="3"/>
  <c r="G1969" i="3"/>
  <c r="F1969" i="3"/>
  <c r="F1968" i="3"/>
  <c r="G1968" i="3"/>
  <c r="G1967" i="3"/>
  <c r="F1967" i="3"/>
  <c r="F1966" i="3"/>
  <c r="G1966" i="3"/>
  <c r="G1965" i="3"/>
  <c r="F1965" i="3"/>
  <c r="F1964" i="3"/>
  <c r="G1964" i="3"/>
  <c r="G1963" i="3"/>
  <c r="F1963" i="3"/>
  <c r="F1962" i="3"/>
  <c r="G1962" i="3"/>
  <c r="G1961" i="3"/>
  <c r="F1961" i="3"/>
  <c r="F1960" i="3"/>
  <c r="G1960" i="3"/>
  <c r="G1959" i="3"/>
  <c r="F1959" i="3"/>
  <c r="F1958" i="3"/>
  <c r="G1958" i="3"/>
  <c r="G1957" i="3"/>
  <c r="F1957" i="3"/>
  <c r="F1956" i="3"/>
  <c r="G1956" i="3"/>
  <c r="G1955" i="3"/>
  <c r="F1955" i="3"/>
  <c r="F1954" i="3"/>
  <c r="G1954" i="3"/>
  <c r="G1953" i="3"/>
  <c r="F1953" i="3"/>
  <c r="F1952" i="3"/>
  <c r="G1952" i="3"/>
  <c r="G1951" i="3"/>
  <c r="F1951" i="3"/>
  <c r="F1950" i="3"/>
  <c r="G1950" i="3"/>
  <c r="G1949" i="3"/>
  <c r="F1949" i="3"/>
  <c r="F1948" i="3"/>
  <c r="G1948" i="3"/>
  <c r="G1947" i="3"/>
  <c r="F1947" i="3"/>
  <c r="F1946" i="3"/>
  <c r="G1946" i="3"/>
  <c r="G1945" i="3"/>
  <c r="F1945" i="3"/>
  <c r="F1944" i="3"/>
  <c r="G1944" i="3"/>
  <c r="G1943" i="3"/>
  <c r="F1943" i="3"/>
  <c r="F1942" i="3"/>
  <c r="G1942" i="3"/>
  <c r="G1941" i="3"/>
  <c r="F1941" i="3"/>
  <c r="F1940" i="3"/>
  <c r="G1940" i="3"/>
  <c r="G1939" i="3"/>
  <c r="F1939" i="3"/>
  <c r="F1938" i="3"/>
  <c r="G1938" i="3"/>
  <c r="G1937" i="3"/>
  <c r="F1937" i="3"/>
  <c r="F1936" i="3"/>
  <c r="G1936" i="3"/>
  <c r="G1935" i="3"/>
  <c r="F1935" i="3"/>
  <c r="F1934" i="3"/>
  <c r="G1934" i="3"/>
  <c r="G1933" i="3"/>
  <c r="F1933" i="3"/>
  <c r="F1932" i="3"/>
  <c r="G1932" i="3"/>
  <c r="G1931" i="3"/>
  <c r="F1931" i="3"/>
  <c r="F1930" i="3"/>
  <c r="G1930" i="3"/>
  <c r="G1929" i="3"/>
  <c r="F1929" i="3"/>
  <c r="F1928" i="3"/>
  <c r="G1928" i="3"/>
  <c r="G1927" i="3"/>
  <c r="F1927" i="3"/>
  <c r="F1926" i="3"/>
  <c r="G1926" i="3"/>
  <c r="G1925" i="3"/>
  <c r="F1925" i="3"/>
  <c r="F1924" i="3"/>
  <c r="G1924" i="3"/>
  <c r="G1923" i="3"/>
  <c r="F1923" i="3"/>
  <c r="F1922" i="3"/>
  <c r="G1922" i="3"/>
  <c r="G1921" i="3"/>
  <c r="F1921" i="3"/>
  <c r="F1920" i="3"/>
  <c r="G1920" i="3"/>
  <c r="G1919" i="3"/>
  <c r="F1919" i="3"/>
  <c r="F1918" i="3"/>
  <c r="G1918" i="3"/>
  <c r="G1917" i="3"/>
  <c r="F1917" i="3"/>
  <c r="F1916" i="3"/>
  <c r="G1916" i="3"/>
  <c r="G1915" i="3"/>
  <c r="F1915" i="3"/>
  <c r="F1914" i="3"/>
  <c r="G1914" i="3"/>
  <c r="G1913" i="3"/>
  <c r="F1913" i="3"/>
  <c r="F1912" i="3"/>
  <c r="G1912" i="3"/>
  <c r="G1911" i="3"/>
  <c r="F1911" i="3"/>
  <c r="F1910" i="3"/>
  <c r="G1910" i="3"/>
  <c r="G1909" i="3"/>
  <c r="F1909" i="3"/>
  <c r="F1908" i="3"/>
  <c r="G1908" i="3"/>
  <c r="G1907" i="3"/>
  <c r="F1907" i="3"/>
  <c r="F1906" i="3"/>
  <c r="G1906" i="3"/>
  <c r="G1905" i="3"/>
  <c r="F1905" i="3"/>
  <c r="F1904" i="3"/>
  <c r="G1904" i="3"/>
  <c r="G1903" i="3"/>
  <c r="F1903" i="3"/>
  <c r="F1902" i="3"/>
  <c r="G1902" i="3"/>
  <c r="G1901" i="3"/>
  <c r="F1901" i="3"/>
  <c r="F1900" i="3"/>
  <c r="G1900" i="3"/>
  <c r="G1899" i="3"/>
  <c r="F1899" i="3"/>
  <c r="C1898" i="3"/>
  <c r="G1897" i="3"/>
  <c r="F1897" i="3"/>
  <c r="F1896" i="3"/>
  <c r="G1896" i="3"/>
  <c r="G1895" i="3"/>
  <c r="F1895" i="3"/>
  <c r="C1894" i="3"/>
  <c r="G1893" i="3"/>
  <c r="F1893" i="3"/>
  <c r="F1892" i="3"/>
  <c r="G1892" i="3"/>
  <c r="G1891" i="3"/>
  <c r="F1891" i="3"/>
  <c r="C1890" i="3"/>
  <c r="G1889" i="3"/>
  <c r="F1889" i="3"/>
  <c r="F1888" i="3"/>
  <c r="G1888" i="3"/>
  <c r="G1887" i="3"/>
  <c r="F1887" i="3"/>
  <c r="C1886" i="3"/>
  <c r="G1885" i="3"/>
  <c r="F1885" i="3"/>
  <c r="F1884" i="3"/>
  <c r="G1884" i="3"/>
  <c r="G1883" i="3"/>
  <c r="F1883" i="3"/>
  <c r="C1882" i="3"/>
  <c r="G1881" i="3"/>
  <c r="F1881" i="3"/>
  <c r="F1880" i="3"/>
  <c r="G1880" i="3"/>
  <c r="G1879" i="3"/>
  <c r="F1879" i="3"/>
  <c r="C1878" i="3"/>
  <c r="G1877" i="3"/>
  <c r="F1877" i="3"/>
  <c r="F1876" i="3"/>
  <c r="G1876" i="3"/>
  <c r="G1875" i="3"/>
  <c r="F1875" i="3"/>
  <c r="C1874" i="3"/>
  <c r="G1873" i="3"/>
  <c r="F1873" i="3"/>
  <c r="F1872" i="3"/>
  <c r="G1872" i="3"/>
  <c r="G1871" i="3"/>
  <c r="F1871" i="3"/>
  <c r="C1870" i="3"/>
  <c r="G1869" i="3"/>
  <c r="F1869" i="3"/>
  <c r="F1868" i="3"/>
  <c r="G1868" i="3"/>
  <c r="G1867" i="3"/>
  <c r="F1867" i="3"/>
  <c r="C1866" i="3"/>
  <c r="G1865" i="3"/>
  <c r="F1865" i="3"/>
  <c r="F1864" i="3"/>
  <c r="G1864" i="3"/>
  <c r="G1863" i="3"/>
  <c r="F1863" i="3"/>
  <c r="C1862" i="3"/>
  <c r="G1861" i="3"/>
  <c r="F1861" i="3"/>
  <c r="F1860" i="3"/>
  <c r="G1860" i="3"/>
  <c r="G1859" i="3"/>
  <c r="F1859" i="3"/>
  <c r="C1858" i="3"/>
  <c r="G1857" i="3"/>
  <c r="F1857" i="3"/>
  <c r="F1856" i="3"/>
  <c r="G1856" i="3"/>
  <c r="G1855" i="3"/>
  <c r="F1855" i="3"/>
  <c r="C1854" i="3"/>
  <c r="G1853" i="3"/>
  <c r="F1853" i="3"/>
  <c r="F1852" i="3"/>
  <c r="G1852" i="3"/>
  <c r="G1851" i="3"/>
  <c r="F1851" i="3"/>
  <c r="C1850" i="3"/>
  <c r="G1849" i="3"/>
  <c r="F1849" i="3"/>
  <c r="F1848" i="3"/>
  <c r="G1848" i="3"/>
  <c r="G1847" i="3"/>
  <c r="F1847" i="3"/>
  <c r="C1846" i="3"/>
  <c r="G1845" i="3"/>
  <c r="F1845" i="3"/>
  <c r="F1844" i="3"/>
  <c r="G1844" i="3"/>
  <c r="G1843" i="3"/>
  <c r="F1843" i="3"/>
  <c r="C1842" i="3"/>
  <c r="G1841" i="3"/>
  <c r="F1841" i="3"/>
  <c r="F1840" i="3"/>
  <c r="G1840" i="3"/>
  <c r="G1839" i="3"/>
  <c r="F1839" i="3"/>
  <c r="C1838" i="3"/>
  <c r="G1837" i="3"/>
  <c r="F1837" i="3"/>
  <c r="F1836" i="3"/>
  <c r="G1836" i="3"/>
  <c r="G1835" i="3"/>
  <c r="F1835" i="3"/>
  <c r="C1834" i="3"/>
  <c r="G1833" i="3"/>
  <c r="F1833" i="3"/>
  <c r="F1832" i="3"/>
  <c r="G1832" i="3"/>
  <c r="G1831" i="3"/>
  <c r="F1831" i="3"/>
  <c r="C1830" i="3"/>
  <c r="G1829" i="3"/>
  <c r="F1829" i="3"/>
  <c r="F1828" i="3"/>
  <c r="G1828" i="3"/>
  <c r="G1827" i="3"/>
  <c r="F1827" i="3"/>
  <c r="C1826" i="3"/>
  <c r="G1825" i="3"/>
  <c r="F1825" i="3"/>
  <c r="F1824" i="3"/>
  <c r="G1824" i="3"/>
  <c r="G1823" i="3"/>
  <c r="F1823" i="3"/>
  <c r="C1822" i="3"/>
  <c r="G1821" i="3"/>
  <c r="F1821" i="3"/>
  <c r="G1820" i="3"/>
  <c r="A1816" i="4" s="1"/>
  <c r="B1816" i="4" s="1"/>
  <c r="C1816" i="4" s="1"/>
  <c r="D1816" i="4" s="1"/>
  <c r="F1820" i="3"/>
  <c r="F1819" i="3"/>
  <c r="G1819" i="3"/>
  <c r="A1814" i="4"/>
  <c r="B1814" i="4" s="1"/>
  <c r="C1814" i="4" s="1"/>
  <c r="D1814" i="4" s="1"/>
  <c r="G1818" i="3"/>
  <c r="F1818" i="3"/>
  <c r="F1817" i="3"/>
  <c r="G1817" i="3"/>
  <c r="G1816" i="3"/>
  <c r="A1812" i="4" s="1"/>
  <c r="B1812" i="4" s="1"/>
  <c r="C1812" i="4" s="1"/>
  <c r="D1812" i="4" s="1"/>
  <c r="F1816" i="3"/>
  <c r="F1815" i="3"/>
  <c r="G1815" i="3"/>
  <c r="A1810" i="4"/>
  <c r="B1810" i="4" s="1"/>
  <c r="C1810" i="4" s="1"/>
  <c r="D1810" i="4" s="1"/>
  <c r="G1814" i="3"/>
  <c r="F1814" i="3"/>
  <c r="F1813" i="3"/>
  <c r="G1813" i="3"/>
  <c r="G1812" i="3"/>
  <c r="A1808" i="4" s="1"/>
  <c r="B1808" i="4" s="1"/>
  <c r="C1808" i="4" s="1"/>
  <c r="D1808" i="4" s="1"/>
  <c r="F1812" i="3"/>
  <c r="F1811" i="3"/>
  <c r="G1811" i="3"/>
  <c r="A1806" i="4"/>
  <c r="B1806" i="4" s="1"/>
  <c r="C1806" i="4" s="1"/>
  <c r="D1806" i="4" s="1"/>
  <c r="G1810" i="3"/>
  <c r="F1810" i="3"/>
  <c r="F1809" i="3"/>
  <c r="G1809" i="3"/>
  <c r="G1808" i="3"/>
  <c r="A1804" i="4" s="1"/>
  <c r="B1804" i="4" s="1"/>
  <c r="C1804" i="4" s="1"/>
  <c r="D1804" i="4" s="1"/>
  <c r="F1808" i="3"/>
  <c r="F1807" i="3"/>
  <c r="G1807" i="3"/>
  <c r="A1802" i="4"/>
  <c r="B1802" i="4" s="1"/>
  <c r="C1802" i="4" s="1"/>
  <c r="D1802" i="4" s="1"/>
  <c r="G1806" i="3"/>
  <c r="F1806" i="3"/>
  <c r="F1805" i="3"/>
  <c r="G1805" i="3"/>
  <c r="G1804" i="3"/>
  <c r="A1800" i="4" s="1"/>
  <c r="B1800" i="4" s="1"/>
  <c r="C1800" i="4" s="1"/>
  <c r="D1800" i="4" s="1"/>
  <c r="F1804" i="3"/>
  <c r="F1803" i="3"/>
  <c r="G1803" i="3"/>
  <c r="A1798" i="4"/>
  <c r="B1798" i="4" s="1"/>
  <c r="C1798" i="4" s="1"/>
  <c r="D1798" i="4" s="1"/>
  <c r="G1802" i="3"/>
  <c r="F1802" i="3"/>
  <c r="F1801" i="3"/>
  <c r="G1801" i="3"/>
  <c r="G1800" i="3"/>
  <c r="A1796" i="4" s="1"/>
  <c r="B1796" i="4" s="1"/>
  <c r="C1796" i="4" s="1"/>
  <c r="D1796" i="4" s="1"/>
  <c r="F1800" i="3"/>
  <c r="F1799" i="3"/>
  <c r="G1799" i="3"/>
  <c r="A1794" i="4"/>
  <c r="B1794" i="4" s="1"/>
  <c r="C1794" i="4" s="1"/>
  <c r="D1794" i="4" s="1"/>
  <c r="G1798" i="3"/>
  <c r="F1798" i="3"/>
  <c r="F1797" i="3"/>
  <c r="G1797" i="3"/>
  <c r="G1796" i="3"/>
  <c r="A1792" i="4" s="1"/>
  <c r="B1792" i="4" s="1"/>
  <c r="C1792" i="4" s="1"/>
  <c r="D1792" i="4" s="1"/>
  <c r="F1796" i="3"/>
  <c r="F1795" i="3"/>
  <c r="G1795" i="3"/>
  <c r="A1790" i="4"/>
  <c r="B1790" i="4" s="1"/>
  <c r="C1790" i="4" s="1"/>
  <c r="D1790" i="4" s="1"/>
  <c r="G1794" i="3"/>
  <c r="F1794" i="3"/>
  <c r="F1793" i="3"/>
  <c r="G1793" i="3"/>
  <c r="G1792" i="3"/>
  <c r="A1788" i="4" s="1"/>
  <c r="B1788" i="4" s="1"/>
  <c r="C1788" i="4" s="1"/>
  <c r="D1788" i="4" s="1"/>
  <c r="F1792" i="3"/>
  <c r="F1791" i="3"/>
  <c r="G1791" i="3"/>
  <c r="A1786" i="4"/>
  <c r="B1786" i="4" s="1"/>
  <c r="C1786" i="4" s="1"/>
  <c r="D1786" i="4" s="1"/>
  <c r="G1790" i="3"/>
  <c r="F1790" i="3"/>
  <c r="F1789" i="3"/>
  <c r="G1789" i="3"/>
  <c r="G1788" i="3"/>
  <c r="A1784" i="4" s="1"/>
  <c r="B1784" i="4" s="1"/>
  <c r="C1784" i="4" s="1"/>
  <c r="D1784" i="4" s="1"/>
  <c r="F1788" i="3"/>
  <c r="F1787" i="3"/>
  <c r="G1787" i="3"/>
  <c r="A1782" i="4"/>
  <c r="B1782" i="4" s="1"/>
  <c r="C1782" i="4" s="1"/>
  <c r="D1782" i="4" s="1"/>
  <c r="G1786" i="3"/>
  <c r="F1786" i="3"/>
  <c r="F1785" i="3"/>
  <c r="G1785" i="3"/>
  <c r="G1784" i="3"/>
  <c r="A1780" i="4" s="1"/>
  <c r="B1780" i="4" s="1"/>
  <c r="C1780" i="4" s="1"/>
  <c r="D1780" i="4" s="1"/>
  <c r="F1784" i="3"/>
  <c r="F1783" i="3"/>
  <c r="G1783" i="3"/>
  <c r="A1778" i="4"/>
  <c r="B1778" i="4" s="1"/>
  <c r="C1778" i="4" s="1"/>
  <c r="D1778" i="4" s="1"/>
  <c r="G1782" i="3"/>
  <c r="F1782" i="3"/>
  <c r="F1781" i="3"/>
  <c r="G1781" i="3"/>
  <c r="G1780" i="3"/>
  <c r="A1776" i="4" s="1"/>
  <c r="B1776" i="4" s="1"/>
  <c r="C1776" i="4" s="1"/>
  <c r="D1776" i="4" s="1"/>
  <c r="F1780" i="3"/>
  <c r="F1779" i="3"/>
  <c r="G1779" i="3"/>
  <c r="A1774" i="4"/>
  <c r="B1774" i="4" s="1"/>
  <c r="C1774" i="4" s="1"/>
  <c r="D1774" i="4" s="1"/>
  <c r="G1778" i="3"/>
  <c r="F1778" i="3"/>
  <c r="F1777" i="3"/>
  <c r="G1777" i="3"/>
  <c r="G1776" i="3"/>
  <c r="A1772" i="4" s="1"/>
  <c r="B1772" i="4" s="1"/>
  <c r="C1772" i="4" s="1"/>
  <c r="D1772" i="4" s="1"/>
  <c r="F1776" i="3"/>
  <c r="F1775" i="3"/>
  <c r="G1775" i="3"/>
  <c r="A1770" i="4"/>
  <c r="B1770" i="4" s="1"/>
  <c r="C1770" i="4" s="1"/>
  <c r="D1770" i="4" s="1"/>
  <c r="G1774" i="3"/>
  <c r="F1774" i="3"/>
  <c r="F1773" i="3"/>
  <c r="G1773" i="3"/>
  <c r="G1772" i="3"/>
  <c r="A1768" i="4" s="1"/>
  <c r="B1768" i="4" s="1"/>
  <c r="C1768" i="4" s="1"/>
  <c r="D1768" i="4" s="1"/>
  <c r="F1772" i="3"/>
  <c r="F1771" i="3"/>
  <c r="G1771" i="3"/>
  <c r="A1766" i="4"/>
  <c r="B1766" i="4" s="1"/>
  <c r="C1766" i="4" s="1"/>
  <c r="D1766" i="4" s="1"/>
  <c r="G1770" i="3"/>
  <c r="F1770" i="3"/>
  <c r="F1769" i="3"/>
  <c r="G1769" i="3"/>
  <c r="G1768" i="3"/>
  <c r="A1764" i="4" s="1"/>
  <c r="B1764" i="4" s="1"/>
  <c r="C1764" i="4" s="1"/>
  <c r="D1764" i="4" s="1"/>
  <c r="F1768" i="3"/>
  <c r="F1767" i="3"/>
  <c r="G1767" i="3"/>
  <c r="A1762" i="4"/>
  <c r="B1762" i="4" s="1"/>
  <c r="C1762" i="4" s="1"/>
  <c r="D1762" i="4" s="1"/>
  <c r="G1766" i="3"/>
  <c r="F1766" i="3"/>
  <c r="F1765" i="3"/>
  <c r="G1765" i="3"/>
  <c r="G1764" i="3"/>
  <c r="A1760" i="4" s="1"/>
  <c r="B1760" i="4" s="1"/>
  <c r="C1760" i="4" s="1"/>
  <c r="D1760" i="4" s="1"/>
  <c r="F1764" i="3"/>
  <c r="F1763" i="3"/>
  <c r="G1763" i="3"/>
  <c r="A1758" i="4"/>
  <c r="B1758" i="4" s="1"/>
  <c r="C1758" i="4" s="1"/>
  <c r="D1758" i="4" s="1"/>
  <c r="G1762" i="3"/>
  <c r="F1762" i="3"/>
  <c r="F1761" i="3"/>
  <c r="G1761" i="3"/>
  <c r="G1760" i="3"/>
  <c r="A1756" i="4" s="1"/>
  <c r="B1756" i="4" s="1"/>
  <c r="C1756" i="4" s="1"/>
  <c r="D1756" i="4" s="1"/>
  <c r="F1760" i="3"/>
  <c r="F1759" i="3"/>
  <c r="G1759" i="3"/>
  <c r="A1754" i="4"/>
  <c r="B1754" i="4" s="1"/>
  <c r="C1754" i="4" s="1"/>
  <c r="D1754" i="4" s="1"/>
  <c r="G1758" i="3"/>
  <c r="F1758" i="3"/>
  <c r="F1757" i="3"/>
  <c r="G1757" i="3"/>
  <c r="G1756" i="3"/>
  <c r="A1752" i="4" s="1"/>
  <c r="B1752" i="4" s="1"/>
  <c r="C1752" i="4" s="1"/>
  <c r="D1752" i="4" s="1"/>
  <c r="F1756" i="3"/>
  <c r="F1755" i="3"/>
  <c r="G1755" i="3"/>
  <c r="A1750" i="4"/>
  <c r="B1750" i="4" s="1"/>
  <c r="C1750" i="4" s="1"/>
  <c r="D1750" i="4" s="1"/>
  <c r="G1754" i="3"/>
  <c r="F1754" i="3"/>
  <c r="F1753" i="3"/>
  <c r="G1753" i="3"/>
  <c r="G1752" i="3"/>
  <c r="A1748" i="4" s="1"/>
  <c r="B1748" i="4" s="1"/>
  <c r="C1748" i="4" s="1"/>
  <c r="D1748" i="4" s="1"/>
  <c r="F1752" i="3"/>
  <c r="F1751" i="3"/>
  <c r="G1751" i="3"/>
  <c r="A1746" i="4"/>
  <c r="B1746" i="4" s="1"/>
  <c r="C1746" i="4" s="1"/>
  <c r="D1746" i="4" s="1"/>
  <c r="G1750" i="3"/>
  <c r="F1750" i="3"/>
  <c r="F1749" i="3"/>
  <c r="G1749" i="3"/>
  <c r="G1748" i="3"/>
  <c r="A1744" i="4" s="1"/>
  <c r="B1744" i="4" s="1"/>
  <c r="C1744" i="4" s="1"/>
  <c r="D1744" i="4" s="1"/>
  <c r="F1748" i="3"/>
  <c r="F1747" i="3"/>
  <c r="G1747" i="3"/>
  <c r="A1742" i="4"/>
  <c r="B1742" i="4" s="1"/>
  <c r="C1742" i="4" s="1"/>
  <c r="D1742" i="4" s="1"/>
  <c r="G1746" i="3"/>
  <c r="F1746" i="3"/>
  <c r="F1745" i="3"/>
  <c r="G1745" i="3"/>
  <c r="G1744" i="3"/>
  <c r="A1740" i="4" s="1"/>
  <c r="B1740" i="4" s="1"/>
  <c r="C1740" i="4" s="1"/>
  <c r="D1740" i="4" s="1"/>
  <c r="F1744" i="3"/>
  <c r="F1743" i="3"/>
  <c r="G1743" i="3"/>
  <c r="A1738" i="4"/>
  <c r="B1738" i="4" s="1"/>
  <c r="C1738" i="4" s="1"/>
  <c r="D1738" i="4" s="1"/>
  <c r="G1742" i="3"/>
  <c r="F1742" i="3"/>
  <c r="F1741" i="3"/>
  <c r="G1741" i="3"/>
  <c r="G1740" i="3"/>
  <c r="A1736" i="4" s="1"/>
  <c r="B1736" i="4" s="1"/>
  <c r="C1736" i="4" s="1"/>
  <c r="D1736" i="4" s="1"/>
  <c r="F1740" i="3"/>
  <c r="F1739" i="3"/>
  <c r="G1739" i="3"/>
  <c r="A1734" i="4"/>
  <c r="B1734" i="4" s="1"/>
  <c r="C1734" i="4" s="1"/>
  <c r="D1734" i="4" s="1"/>
  <c r="G1738" i="3"/>
  <c r="F1738" i="3"/>
  <c r="F1737" i="3"/>
  <c r="G1737" i="3"/>
  <c r="G1736" i="3"/>
  <c r="A1732" i="4" s="1"/>
  <c r="B1732" i="4" s="1"/>
  <c r="C1732" i="4" s="1"/>
  <c r="D1732" i="4" s="1"/>
  <c r="F1736" i="3"/>
  <c r="F1735" i="3"/>
  <c r="G1735" i="3"/>
  <c r="A1730" i="4"/>
  <c r="B1730" i="4" s="1"/>
  <c r="C1730" i="4" s="1"/>
  <c r="D1730" i="4" s="1"/>
  <c r="G1734" i="3"/>
  <c r="F1734" i="3"/>
  <c r="F1733" i="3"/>
  <c r="G1733" i="3"/>
  <c r="G1732" i="3"/>
  <c r="A1728" i="4" s="1"/>
  <c r="B1728" i="4" s="1"/>
  <c r="C1728" i="4" s="1"/>
  <c r="D1728" i="4" s="1"/>
  <c r="F1732" i="3"/>
  <c r="F1731" i="3"/>
  <c r="G1731" i="3"/>
  <c r="A1726" i="4"/>
  <c r="B1726" i="4" s="1"/>
  <c r="C1726" i="4" s="1"/>
  <c r="D1726" i="4" s="1"/>
  <c r="G1730" i="3"/>
  <c r="F1730" i="3"/>
  <c r="F1729" i="3"/>
  <c r="G1729" i="3"/>
  <c r="G1728" i="3"/>
  <c r="A1724" i="4" s="1"/>
  <c r="B1724" i="4" s="1"/>
  <c r="C1724" i="4" s="1"/>
  <c r="D1724" i="4" s="1"/>
  <c r="F1728" i="3"/>
  <c r="F1727" i="3"/>
  <c r="G1727" i="3"/>
  <c r="A1722" i="4"/>
  <c r="B1722" i="4" s="1"/>
  <c r="C1722" i="4" s="1"/>
  <c r="D1722" i="4" s="1"/>
  <c r="G1726" i="3"/>
  <c r="F1726" i="3"/>
  <c r="F1725" i="3"/>
  <c r="G1725" i="3"/>
  <c r="G1724" i="3"/>
  <c r="A1720" i="4" s="1"/>
  <c r="B1720" i="4" s="1"/>
  <c r="C1720" i="4" s="1"/>
  <c r="D1720" i="4" s="1"/>
  <c r="F1724" i="3"/>
  <c r="F1723" i="3"/>
  <c r="G1723" i="3"/>
  <c r="A1718" i="4"/>
  <c r="B1718" i="4" s="1"/>
  <c r="C1718" i="4" s="1"/>
  <c r="D1718" i="4" s="1"/>
  <c r="G1722" i="3"/>
  <c r="F1722" i="3"/>
  <c r="F1721" i="3"/>
  <c r="G1721" i="3"/>
  <c r="G1720" i="3"/>
  <c r="A1716" i="4" s="1"/>
  <c r="B1716" i="4" s="1"/>
  <c r="C1716" i="4" s="1"/>
  <c r="D1716" i="4" s="1"/>
  <c r="F1720" i="3"/>
  <c r="F1719" i="3"/>
  <c r="G1719" i="3"/>
  <c r="A1714" i="4"/>
  <c r="B1714" i="4" s="1"/>
  <c r="C1714" i="4" s="1"/>
  <c r="D1714" i="4" s="1"/>
  <c r="G1718" i="3"/>
  <c r="F1718" i="3"/>
  <c r="F1717" i="3"/>
  <c r="G1717" i="3"/>
  <c r="G1716" i="3"/>
  <c r="A1712" i="4" s="1"/>
  <c r="B1712" i="4" s="1"/>
  <c r="C1712" i="4" s="1"/>
  <c r="D1712" i="4" s="1"/>
  <c r="F1716" i="3"/>
  <c r="F1715" i="3"/>
  <c r="G1715" i="3"/>
  <c r="A1710" i="4"/>
  <c r="B1710" i="4" s="1"/>
  <c r="C1710" i="4" s="1"/>
  <c r="D1710" i="4" s="1"/>
  <c r="G1714" i="3"/>
  <c r="F1714" i="3"/>
  <c r="F1713" i="3"/>
  <c r="G1713" i="3"/>
  <c r="G1712" i="3"/>
  <c r="A1708" i="4" s="1"/>
  <c r="B1708" i="4" s="1"/>
  <c r="C1708" i="4" s="1"/>
  <c r="D1708" i="4" s="1"/>
  <c r="F1712" i="3"/>
  <c r="F1711" i="3"/>
  <c r="G1711" i="3"/>
  <c r="A1706" i="4"/>
  <c r="B1706" i="4" s="1"/>
  <c r="C1706" i="4" s="1"/>
  <c r="D1706" i="4" s="1"/>
  <c r="G1710" i="3"/>
  <c r="F1710" i="3"/>
  <c r="F1709" i="3"/>
  <c r="G1709" i="3"/>
  <c r="G1708" i="3"/>
  <c r="A1704" i="4" s="1"/>
  <c r="B1704" i="4" s="1"/>
  <c r="C1704" i="4" s="1"/>
  <c r="D1704" i="4" s="1"/>
  <c r="F1708" i="3"/>
  <c r="F1707" i="3"/>
  <c r="G1707" i="3"/>
  <c r="A1702" i="4"/>
  <c r="B1702" i="4" s="1"/>
  <c r="C1702" i="4" s="1"/>
  <c r="D1702" i="4" s="1"/>
  <c r="G1706" i="3"/>
  <c r="F1706" i="3"/>
  <c r="F1705" i="3"/>
  <c r="G1705" i="3"/>
  <c r="G1704" i="3"/>
  <c r="A1700" i="4" s="1"/>
  <c r="B1700" i="4" s="1"/>
  <c r="C1700" i="4" s="1"/>
  <c r="D1700" i="4" s="1"/>
  <c r="F1704" i="3"/>
  <c r="F1703" i="3"/>
  <c r="G1703" i="3"/>
  <c r="A1698" i="4"/>
  <c r="B1698" i="4" s="1"/>
  <c r="C1698" i="4" s="1"/>
  <c r="D1698" i="4" s="1"/>
  <c r="G1702" i="3"/>
  <c r="F1702" i="3"/>
  <c r="F1701" i="3"/>
  <c r="G1701" i="3"/>
  <c r="G1700" i="3"/>
  <c r="A1696" i="4" s="1"/>
  <c r="B1696" i="4" s="1"/>
  <c r="C1696" i="4" s="1"/>
  <c r="D1696" i="4" s="1"/>
  <c r="F1700" i="3"/>
  <c r="F1699" i="3"/>
  <c r="G1699" i="3"/>
  <c r="A1694" i="4"/>
  <c r="B1694" i="4" s="1"/>
  <c r="C1694" i="4" s="1"/>
  <c r="D1694" i="4" s="1"/>
  <c r="G1698" i="3"/>
  <c r="F1698" i="3"/>
  <c r="F1697" i="3"/>
  <c r="G1697" i="3"/>
  <c r="G1696" i="3"/>
  <c r="A1692" i="4" s="1"/>
  <c r="B1692" i="4" s="1"/>
  <c r="C1692" i="4" s="1"/>
  <c r="D1692" i="4" s="1"/>
  <c r="F1696" i="3"/>
  <c r="F1695" i="3"/>
  <c r="G1695" i="3"/>
  <c r="A1690" i="4"/>
  <c r="B1690" i="4" s="1"/>
  <c r="C1690" i="4" s="1"/>
  <c r="D1690" i="4" s="1"/>
  <c r="G1694" i="3"/>
  <c r="F1694" i="3"/>
  <c r="F1693" i="3"/>
  <c r="G1693" i="3"/>
  <c r="G1692" i="3"/>
  <c r="A1688" i="4" s="1"/>
  <c r="B1688" i="4" s="1"/>
  <c r="C1688" i="4" s="1"/>
  <c r="D1688" i="4" s="1"/>
  <c r="F1692" i="3"/>
  <c r="F1691" i="3"/>
  <c r="G1691" i="3"/>
  <c r="A1686" i="4"/>
  <c r="B1686" i="4" s="1"/>
  <c r="C1686" i="4" s="1"/>
  <c r="D1686" i="4" s="1"/>
  <c r="G1690" i="3"/>
  <c r="F1690" i="3"/>
  <c r="F1689" i="3"/>
  <c r="G1689" i="3"/>
  <c r="G1688" i="3"/>
  <c r="A1684" i="4" s="1"/>
  <c r="B1684" i="4" s="1"/>
  <c r="C1684" i="4" s="1"/>
  <c r="D1684" i="4" s="1"/>
  <c r="F1688" i="3"/>
  <c r="F1687" i="3"/>
  <c r="G1687" i="3"/>
  <c r="A1682" i="4"/>
  <c r="B1682" i="4" s="1"/>
  <c r="C1682" i="4" s="1"/>
  <c r="D1682" i="4" s="1"/>
  <c r="G1686" i="3"/>
  <c r="F1686" i="3"/>
  <c r="F1685" i="3"/>
  <c r="G1685" i="3"/>
  <c r="G1684" i="3"/>
  <c r="A1680" i="4" s="1"/>
  <c r="B1680" i="4" s="1"/>
  <c r="C1680" i="4" s="1"/>
  <c r="D1680" i="4" s="1"/>
  <c r="F1684" i="3"/>
  <c r="F1683" i="3"/>
  <c r="G1683" i="3"/>
  <c r="A1678" i="4"/>
  <c r="B1678" i="4" s="1"/>
  <c r="C1678" i="4" s="1"/>
  <c r="D1678" i="4" s="1"/>
  <c r="G1682" i="3"/>
  <c r="F1682" i="3"/>
  <c r="F1681" i="3"/>
  <c r="G1681" i="3"/>
  <c r="G1680" i="3"/>
  <c r="A1676" i="4" s="1"/>
  <c r="B1676" i="4" s="1"/>
  <c r="C1676" i="4" s="1"/>
  <c r="D1676" i="4" s="1"/>
  <c r="F1680" i="3"/>
  <c r="F1679" i="3"/>
  <c r="G1679" i="3"/>
  <c r="A1674" i="4"/>
  <c r="B1674" i="4" s="1"/>
  <c r="C1674" i="4" s="1"/>
  <c r="D1674" i="4" s="1"/>
  <c r="G1678" i="3"/>
  <c r="F1678" i="3"/>
  <c r="F1677" i="3"/>
  <c r="G1677" i="3"/>
  <c r="G1676" i="3"/>
  <c r="A1672" i="4" s="1"/>
  <c r="B1672" i="4" s="1"/>
  <c r="C1672" i="4" s="1"/>
  <c r="D1672" i="4" s="1"/>
  <c r="F1676" i="3"/>
  <c r="F1675" i="3"/>
  <c r="G1675" i="3"/>
  <c r="A1670" i="4"/>
  <c r="B1670" i="4" s="1"/>
  <c r="C1670" i="4" s="1"/>
  <c r="D1670" i="4" s="1"/>
  <c r="G1674" i="3"/>
  <c r="F1674" i="3"/>
  <c r="F1673" i="3"/>
  <c r="G1673" i="3"/>
  <c r="G1672" i="3"/>
  <c r="A1668" i="4" s="1"/>
  <c r="B1668" i="4" s="1"/>
  <c r="C1668" i="4" s="1"/>
  <c r="D1668" i="4" s="1"/>
  <c r="F1672" i="3"/>
  <c r="F1671" i="3"/>
  <c r="G1671" i="3"/>
  <c r="A1666" i="4"/>
  <c r="B1666" i="4" s="1"/>
  <c r="C1666" i="4" s="1"/>
  <c r="D1666" i="4" s="1"/>
  <c r="G1670" i="3"/>
  <c r="F1670" i="3"/>
  <c r="F1669" i="3"/>
  <c r="G1669" i="3"/>
  <c r="G1668" i="3"/>
  <c r="A1664" i="4" s="1"/>
  <c r="B1664" i="4" s="1"/>
  <c r="C1664" i="4" s="1"/>
  <c r="D1664" i="4" s="1"/>
  <c r="F1668" i="3"/>
  <c r="F1667" i="3"/>
  <c r="G1667" i="3"/>
  <c r="A1662" i="4"/>
  <c r="B1662" i="4" s="1"/>
  <c r="C1662" i="4" s="1"/>
  <c r="D1662" i="4" s="1"/>
  <c r="G1666" i="3"/>
  <c r="F1666" i="3"/>
  <c r="F1665" i="3"/>
  <c r="G1665" i="3"/>
  <c r="G1664" i="3"/>
  <c r="A1660" i="4" s="1"/>
  <c r="B1660" i="4" s="1"/>
  <c r="C1660" i="4" s="1"/>
  <c r="D1660" i="4" s="1"/>
  <c r="F1664" i="3"/>
  <c r="F1663" i="3"/>
  <c r="G1663" i="3"/>
  <c r="A1658" i="4"/>
  <c r="B1658" i="4" s="1"/>
  <c r="C1658" i="4" s="1"/>
  <c r="D1658" i="4" s="1"/>
  <c r="G1662" i="3"/>
  <c r="F1662" i="3"/>
  <c r="F1661" i="3"/>
  <c r="G1661" i="3"/>
  <c r="G1660" i="3"/>
  <c r="A1656" i="4" s="1"/>
  <c r="B1656" i="4" s="1"/>
  <c r="C1656" i="4" s="1"/>
  <c r="D1656" i="4" s="1"/>
  <c r="F1660" i="3"/>
  <c r="F1659" i="3"/>
  <c r="G1659" i="3"/>
  <c r="A1654" i="4"/>
  <c r="B1654" i="4" s="1"/>
  <c r="C1654" i="4" s="1"/>
  <c r="D1654" i="4" s="1"/>
  <c r="G1658" i="3"/>
  <c r="F1658" i="3"/>
  <c r="F1657" i="3"/>
  <c r="G1657" i="3"/>
  <c r="G1656" i="3"/>
  <c r="A1652" i="4" s="1"/>
  <c r="B1652" i="4" s="1"/>
  <c r="C1652" i="4" s="1"/>
  <c r="D1652" i="4" s="1"/>
  <c r="F1656" i="3"/>
  <c r="F1655" i="3"/>
  <c r="G1655" i="3"/>
  <c r="A1650" i="4"/>
  <c r="B1650" i="4" s="1"/>
  <c r="C1650" i="4" s="1"/>
  <c r="D1650" i="4" s="1"/>
  <c r="G1654" i="3"/>
  <c r="F1654" i="3"/>
  <c r="F1653" i="3"/>
  <c r="G1653" i="3"/>
  <c r="G1652" i="3"/>
  <c r="A1648" i="4" s="1"/>
  <c r="B1648" i="4" s="1"/>
  <c r="C1648" i="4" s="1"/>
  <c r="D1648" i="4" s="1"/>
  <c r="F1652" i="3"/>
  <c r="F1651" i="3"/>
  <c r="G1651" i="3"/>
  <c r="A1646" i="4"/>
  <c r="B1646" i="4" s="1"/>
  <c r="C1646" i="4" s="1"/>
  <c r="D1646" i="4" s="1"/>
  <c r="G1650" i="3"/>
  <c r="F1650" i="3"/>
  <c r="F1649" i="3"/>
  <c r="G1649" i="3"/>
  <c r="G1648" i="3"/>
  <c r="A1644" i="4" s="1"/>
  <c r="B1644" i="4" s="1"/>
  <c r="C1644" i="4" s="1"/>
  <c r="D1644" i="4" s="1"/>
  <c r="F1648" i="3"/>
  <c r="F1647" i="3"/>
  <c r="G1647" i="3"/>
  <c r="A1642" i="4"/>
  <c r="B1642" i="4" s="1"/>
  <c r="C1642" i="4" s="1"/>
  <c r="D1642" i="4" s="1"/>
  <c r="G1646" i="3"/>
  <c r="F1646" i="3"/>
  <c r="F1645" i="3"/>
  <c r="G1645" i="3"/>
  <c r="G1644" i="3"/>
  <c r="A1640" i="4" s="1"/>
  <c r="B1640" i="4" s="1"/>
  <c r="C1640" i="4" s="1"/>
  <c r="D1640" i="4" s="1"/>
  <c r="F1644" i="3"/>
  <c r="F1643" i="3"/>
  <c r="G1643" i="3"/>
  <c r="A1638" i="4"/>
  <c r="B1638" i="4" s="1"/>
  <c r="C1638" i="4" s="1"/>
  <c r="D1638" i="4" s="1"/>
  <c r="G1642" i="3"/>
  <c r="F1642" i="3"/>
  <c r="F1641" i="3"/>
  <c r="G1641" i="3"/>
  <c r="G1640" i="3"/>
  <c r="A1636" i="4" s="1"/>
  <c r="B1636" i="4" s="1"/>
  <c r="C1636" i="4" s="1"/>
  <c r="D1636" i="4" s="1"/>
  <c r="F1640" i="3"/>
  <c r="F1639" i="3"/>
  <c r="G1639" i="3"/>
  <c r="A1634" i="4"/>
  <c r="B1634" i="4" s="1"/>
  <c r="C1634" i="4" s="1"/>
  <c r="D1634" i="4" s="1"/>
  <c r="G1638" i="3"/>
  <c r="F1638" i="3"/>
  <c r="F1637" i="3"/>
  <c r="G1637" i="3"/>
  <c r="G1636" i="3"/>
  <c r="A1632" i="4" s="1"/>
  <c r="B1632" i="4" s="1"/>
  <c r="C1632" i="4" s="1"/>
  <c r="D1632" i="4" s="1"/>
  <c r="F1636" i="3"/>
  <c r="F1635" i="3"/>
  <c r="G1635" i="3"/>
  <c r="A1630" i="4"/>
  <c r="B1630" i="4" s="1"/>
  <c r="C1630" i="4" s="1"/>
  <c r="D1630" i="4" s="1"/>
  <c r="G1634" i="3"/>
  <c r="F1634" i="3"/>
  <c r="F1633" i="3"/>
  <c r="G1633" i="3"/>
  <c r="G1632" i="3"/>
  <c r="A1628" i="4" s="1"/>
  <c r="B1628" i="4" s="1"/>
  <c r="C1628" i="4" s="1"/>
  <c r="D1628" i="4" s="1"/>
  <c r="F1632" i="3"/>
  <c r="F1631" i="3"/>
  <c r="G1631" i="3"/>
  <c r="A1626" i="4"/>
  <c r="B1626" i="4" s="1"/>
  <c r="C1626" i="4" s="1"/>
  <c r="D1626" i="4" s="1"/>
  <c r="G1630" i="3"/>
  <c r="F1630" i="3"/>
  <c r="F1629" i="3"/>
  <c r="G1629" i="3"/>
  <c r="G1628" i="3"/>
  <c r="A1624" i="4" s="1"/>
  <c r="B1624" i="4" s="1"/>
  <c r="C1624" i="4" s="1"/>
  <c r="D1624" i="4" s="1"/>
  <c r="F1628" i="3"/>
  <c r="F1627" i="3"/>
  <c r="G1627" i="3"/>
  <c r="A1622" i="4"/>
  <c r="B1622" i="4" s="1"/>
  <c r="C1622" i="4" s="1"/>
  <c r="D1622" i="4" s="1"/>
  <c r="G1626" i="3"/>
  <c r="F1626" i="3"/>
  <c r="F1625" i="3"/>
  <c r="G1625" i="3"/>
  <c r="G1624" i="3"/>
  <c r="A1620" i="4" s="1"/>
  <c r="B1620" i="4" s="1"/>
  <c r="C1620" i="4" s="1"/>
  <c r="D1620" i="4" s="1"/>
  <c r="F1624" i="3"/>
  <c r="F1623" i="3"/>
  <c r="G1623" i="3"/>
  <c r="A1618" i="4"/>
  <c r="B1618" i="4" s="1"/>
  <c r="C1618" i="4" s="1"/>
  <c r="D1618" i="4" s="1"/>
  <c r="G1622" i="3"/>
  <c r="F1622" i="3"/>
  <c r="F1621" i="3"/>
  <c r="G1621" i="3"/>
  <c r="G1620" i="3"/>
  <c r="A1616" i="4" s="1"/>
  <c r="B1616" i="4" s="1"/>
  <c r="C1616" i="4" s="1"/>
  <c r="D1616" i="4" s="1"/>
  <c r="F1620" i="3"/>
  <c r="F1619" i="3"/>
  <c r="G1619" i="3"/>
  <c r="A1614" i="4"/>
  <c r="B1614" i="4" s="1"/>
  <c r="C1614" i="4" s="1"/>
  <c r="D1614" i="4" s="1"/>
  <c r="G1618" i="3"/>
  <c r="F1618" i="3"/>
  <c r="F1617" i="3"/>
  <c r="G1617" i="3"/>
  <c r="G1616" i="3"/>
  <c r="A1612" i="4" s="1"/>
  <c r="B1612" i="4" s="1"/>
  <c r="C1612" i="4" s="1"/>
  <c r="D1612" i="4" s="1"/>
  <c r="F1616" i="3"/>
  <c r="F1615" i="3"/>
  <c r="G1615" i="3"/>
  <c r="A1610" i="4"/>
  <c r="B1610" i="4" s="1"/>
  <c r="C1610" i="4" s="1"/>
  <c r="D1610" i="4" s="1"/>
  <c r="G1614" i="3"/>
  <c r="F1614" i="3"/>
  <c r="F1613" i="3"/>
  <c r="G1613" i="3"/>
  <c r="G1612" i="3"/>
  <c r="A1608" i="4" s="1"/>
  <c r="B1608" i="4" s="1"/>
  <c r="C1608" i="4" s="1"/>
  <c r="D1608" i="4" s="1"/>
  <c r="F1612" i="3"/>
  <c r="F1611" i="3"/>
  <c r="G1611" i="3"/>
  <c r="A1606" i="4"/>
  <c r="B1606" i="4" s="1"/>
  <c r="C1606" i="4" s="1"/>
  <c r="D1606" i="4" s="1"/>
  <c r="G1610" i="3"/>
  <c r="F1610" i="3"/>
  <c r="F1609" i="3"/>
  <c r="G1609" i="3"/>
  <c r="G1608" i="3"/>
  <c r="A1604" i="4" s="1"/>
  <c r="B1604" i="4" s="1"/>
  <c r="C1604" i="4" s="1"/>
  <c r="D1604" i="4" s="1"/>
  <c r="F1608" i="3"/>
  <c r="F1607" i="3"/>
  <c r="G1607" i="3"/>
  <c r="A1602" i="4"/>
  <c r="B1602" i="4" s="1"/>
  <c r="C1602" i="4" s="1"/>
  <c r="D1602" i="4" s="1"/>
  <c r="G1606" i="3"/>
  <c r="F1606" i="3"/>
  <c r="F1605" i="3"/>
  <c r="G1605" i="3"/>
  <c r="G1604" i="3"/>
  <c r="A1600" i="4" s="1"/>
  <c r="B1600" i="4" s="1"/>
  <c r="C1600" i="4" s="1"/>
  <c r="D1600" i="4" s="1"/>
  <c r="F1604" i="3"/>
  <c r="F1603" i="3"/>
  <c r="G1603" i="3"/>
  <c r="A1598" i="4"/>
  <c r="B1598" i="4" s="1"/>
  <c r="C1598" i="4" s="1"/>
  <c r="D1598" i="4" s="1"/>
  <c r="G1602" i="3"/>
  <c r="F1602" i="3"/>
  <c r="F1601" i="3"/>
  <c r="G1601" i="3"/>
  <c r="G1600" i="3"/>
  <c r="A1596" i="4" s="1"/>
  <c r="B1596" i="4" s="1"/>
  <c r="C1596" i="4" s="1"/>
  <c r="D1596" i="4" s="1"/>
  <c r="F1600" i="3"/>
  <c r="F1599" i="3"/>
  <c r="G1599" i="3"/>
  <c r="A1594" i="4"/>
  <c r="B1594" i="4" s="1"/>
  <c r="C1594" i="4" s="1"/>
  <c r="D1594" i="4" s="1"/>
  <c r="G1598" i="3"/>
  <c r="F1598" i="3"/>
  <c r="F1597" i="3"/>
  <c r="G1597" i="3"/>
  <c r="G1596" i="3"/>
  <c r="A1592" i="4" s="1"/>
  <c r="B1592" i="4" s="1"/>
  <c r="C1592" i="4" s="1"/>
  <c r="D1592" i="4" s="1"/>
  <c r="F1596" i="3"/>
  <c r="F1595" i="3"/>
  <c r="G1595" i="3"/>
  <c r="A1590" i="4"/>
  <c r="B1590" i="4" s="1"/>
  <c r="C1590" i="4" s="1"/>
  <c r="D1590" i="4" s="1"/>
  <c r="G1594" i="3"/>
  <c r="F1594" i="3"/>
  <c r="F1593" i="3"/>
  <c r="G1593" i="3"/>
  <c r="G1592" i="3"/>
  <c r="A1588" i="4" s="1"/>
  <c r="B1588" i="4" s="1"/>
  <c r="C1588" i="4" s="1"/>
  <c r="D1588" i="4" s="1"/>
  <c r="F1592" i="3"/>
  <c r="F1591" i="3"/>
  <c r="G1591" i="3"/>
  <c r="A1586" i="4"/>
  <c r="B1586" i="4" s="1"/>
  <c r="C1586" i="4" s="1"/>
  <c r="D1586" i="4" s="1"/>
  <c r="G1590" i="3"/>
  <c r="F1590" i="3"/>
  <c r="F1589" i="3"/>
  <c r="G1589" i="3"/>
  <c r="G1588" i="3"/>
  <c r="A1584" i="4" s="1"/>
  <c r="B1584" i="4" s="1"/>
  <c r="C1584" i="4" s="1"/>
  <c r="D1584" i="4" s="1"/>
  <c r="F1588" i="3"/>
  <c r="F1587" i="3"/>
  <c r="G1587" i="3"/>
  <c r="A1582" i="4"/>
  <c r="B1582" i="4" s="1"/>
  <c r="C1582" i="4" s="1"/>
  <c r="D1582" i="4" s="1"/>
  <c r="G1586" i="3"/>
  <c r="F1586" i="3"/>
  <c r="F1585" i="3"/>
  <c r="G1585" i="3"/>
  <c r="G1584" i="3"/>
  <c r="A1580" i="4" s="1"/>
  <c r="B1580" i="4" s="1"/>
  <c r="C1580" i="4" s="1"/>
  <c r="D1580" i="4" s="1"/>
  <c r="F1584" i="3"/>
  <c r="F1583" i="3"/>
  <c r="G1583" i="3"/>
  <c r="A1578" i="4"/>
  <c r="B1578" i="4" s="1"/>
  <c r="C1578" i="4" s="1"/>
  <c r="D1578" i="4" s="1"/>
  <c r="G1582" i="3"/>
  <c r="F1582" i="3"/>
  <c r="F1581" i="3"/>
  <c r="G1581" i="3"/>
  <c r="G1580" i="3"/>
  <c r="A1576" i="4" s="1"/>
  <c r="B1576" i="4" s="1"/>
  <c r="C1576" i="4" s="1"/>
  <c r="D1576" i="4" s="1"/>
  <c r="F1580" i="3"/>
  <c r="F1579" i="3"/>
  <c r="G1579" i="3"/>
  <c r="A1574" i="4"/>
  <c r="B1574" i="4" s="1"/>
  <c r="C1574" i="4" s="1"/>
  <c r="D1574" i="4" s="1"/>
  <c r="G1578" i="3"/>
  <c r="F1578" i="3"/>
  <c r="F1577" i="3"/>
  <c r="G1577" i="3"/>
  <c r="G1576" i="3"/>
  <c r="A1572" i="4" s="1"/>
  <c r="B1572" i="4" s="1"/>
  <c r="C1572" i="4" s="1"/>
  <c r="D1572" i="4" s="1"/>
  <c r="F1576" i="3"/>
  <c r="F1575" i="3"/>
  <c r="G1575" i="3"/>
  <c r="A1570" i="4"/>
  <c r="B1570" i="4" s="1"/>
  <c r="C1570" i="4" s="1"/>
  <c r="D1570" i="4" s="1"/>
  <c r="G1574" i="3"/>
  <c r="F1574" i="3"/>
  <c r="F1573" i="3"/>
  <c r="G1573" i="3"/>
  <c r="G1572" i="3"/>
  <c r="A1568" i="4" s="1"/>
  <c r="B1568" i="4" s="1"/>
  <c r="C1568" i="4" s="1"/>
  <c r="D1568" i="4" s="1"/>
  <c r="F1572" i="3"/>
  <c r="F1571" i="3"/>
  <c r="G1571" i="3"/>
  <c r="A1566" i="4"/>
  <c r="B1566" i="4" s="1"/>
  <c r="C1566" i="4" s="1"/>
  <c r="D1566" i="4" s="1"/>
  <c r="G1570" i="3"/>
  <c r="F1570" i="3"/>
  <c r="F1569" i="3"/>
  <c r="G1569" i="3"/>
  <c r="G1568" i="3"/>
  <c r="A1564" i="4" s="1"/>
  <c r="B1564" i="4" s="1"/>
  <c r="C1564" i="4" s="1"/>
  <c r="D1564" i="4" s="1"/>
  <c r="F1568" i="3"/>
  <c r="F1567" i="3"/>
  <c r="G1567" i="3"/>
  <c r="A1562" i="4"/>
  <c r="B1562" i="4" s="1"/>
  <c r="C1562" i="4" s="1"/>
  <c r="D1562" i="4" s="1"/>
  <c r="G1566" i="3"/>
  <c r="F1566" i="3"/>
  <c r="F1565" i="3"/>
  <c r="G1565" i="3"/>
  <c r="G1564" i="3"/>
  <c r="A1560" i="4" s="1"/>
  <c r="B1560" i="4" s="1"/>
  <c r="C1560" i="4" s="1"/>
  <c r="D1560" i="4" s="1"/>
  <c r="F1564" i="3"/>
  <c r="F1563" i="3"/>
  <c r="G1563" i="3"/>
  <c r="A1558" i="4"/>
  <c r="B1558" i="4" s="1"/>
  <c r="C1558" i="4" s="1"/>
  <c r="D1558" i="4" s="1"/>
  <c r="G1562" i="3"/>
  <c r="F1562" i="3"/>
  <c r="F1561" i="3"/>
  <c r="G1561" i="3"/>
  <c r="G1560" i="3"/>
  <c r="A1556" i="4" s="1"/>
  <c r="B1556" i="4" s="1"/>
  <c r="C1556" i="4" s="1"/>
  <c r="D1556" i="4" s="1"/>
  <c r="F1560" i="3"/>
  <c r="F1559" i="3"/>
  <c r="G1559" i="3"/>
  <c r="A1554" i="4"/>
  <c r="B1554" i="4" s="1"/>
  <c r="C1554" i="4" s="1"/>
  <c r="D1554" i="4" s="1"/>
  <c r="G1558" i="3"/>
  <c r="F1558" i="3"/>
  <c r="F1557" i="3"/>
  <c r="G1557" i="3"/>
  <c r="G1556" i="3"/>
  <c r="A1552" i="4" s="1"/>
  <c r="B1552" i="4" s="1"/>
  <c r="C1552" i="4" s="1"/>
  <c r="D1552" i="4" s="1"/>
  <c r="F1556" i="3"/>
  <c r="F1555" i="3"/>
  <c r="G1555" i="3"/>
  <c r="A1550" i="4"/>
  <c r="B1550" i="4" s="1"/>
  <c r="C1550" i="4" s="1"/>
  <c r="D1550" i="4" s="1"/>
  <c r="G1554" i="3"/>
  <c r="F1554" i="3"/>
  <c r="F1553" i="3"/>
  <c r="G1553" i="3"/>
  <c r="G1552" i="3"/>
  <c r="A1548" i="4" s="1"/>
  <c r="B1548" i="4" s="1"/>
  <c r="C1548" i="4" s="1"/>
  <c r="D1548" i="4" s="1"/>
  <c r="F1552" i="3"/>
  <c r="F1551" i="3"/>
  <c r="G1551" i="3"/>
  <c r="A1546" i="4"/>
  <c r="B1546" i="4" s="1"/>
  <c r="C1546" i="4" s="1"/>
  <c r="D1546" i="4" s="1"/>
  <c r="G1550" i="3"/>
  <c r="F1550" i="3"/>
  <c r="F1549" i="3"/>
  <c r="G1549" i="3"/>
  <c r="G1548" i="3"/>
  <c r="A1544" i="4" s="1"/>
  <c r="B1544" i="4" s="1"/>
  <c r="C1544" i="4" s="1"/>
  <c r="D1544" i="4" s="1"/>
  <c r="F1548" i="3"/>
  <c r="F1547" i="3"/>
  <c r="G1547" i="3"/>
  <c r="A1542" i="4"/>
  <c r="B1542" i="4" s="1"/>
  <c r="C1542" i="4" s="1"/>
  <c r="D1542" i="4" s="1"/>
  <c r="G1546" i="3"/>
  <c r="F1546" i="3"/>
  <c r="F1545" i="3"/>
  <c r="G1545" i="3"/>
  <c r="G1544" i="3"/>
  <c r="A1540" i="4" s="1"/>
  <c r="B1540" i="4" s="1"/>
  <c r="C1540" i="4" s="1"/>
  <c r="D1540" i="4" s="1"/>
  <c r="F1544" i="3"/>
  <c r="F1543" i="3"/>
  <c r="G1543" i="3"/>
  <c r="A1538" i="4"/>
  <c r="B1538" i="4" s="1"/>
  <c r="C1538" i="4" s="1"/>
  <c r="D1538" i="4" s="1"/>
  <c r="G1542" i="3"/>
  <c r="F1542" i="3"/>
  <c r="F1541" i="3"/>
  <c r="G1541" i="3"/>
  <c r="G1540" i="3"/>
  <c r="A1536" i="4" s="1"/>
  <c r="B1536" i="4" s="1"/>
  <c r="C1536" i="4" s="1"/>
  <c r="D1536" i="4" s="1"/>
  <c r="F1540" i="3"/>
  <c r="F1539" i="3"/>
  <c r="G1539" i="3"/>
  <c r="A1534" i="4"/>
  <c r="B1534" i="4" s="1"/>
  <c r="C1534" i="4" s="1"/>
  <c r="D1534" i="4" s="1"/>
  <c r="G1538" i="3"/>
  <c r="F1538" i="3"/>
  <c r="F1537" i="3"/>
  <c r="G1537" i="3"/>
  <c r="G1536" i="3"/>
  <c r="A1532" i="4" s="1"/>
  <c r="B1532" i="4" s="1"/>
  <c r="C1532" i="4" s="1"/>
  <c r="D1532" i="4" s="1"/>
  <c r="F1536" i="3"/>
  <c r="F1535" i="3"/>
  <c r="G1535" i="3"/>
  <c r="A1530" i="4"/>
  <c r="B1530" i="4" s="1"/>
  <c r="C1530" i="4" s="1"/>
  <c r="D1530" i="4" s="1"/>
  <c r="G1534" i="3"/>
  <c r="F1534" i="3"/>
  <c r="F1533" i="3"/>
  <c r="G1533" i="3"/>
  <c r="G1532" i="3"/>
  <c r="A1528" i="4" s="1"/>
  <c r="B1528" i="4" s="1"/>
  <c r="C1528" i="4" s="1"/>
  <c r="D1528" i="4" s="1"/>
  <c r="F1532" i="3"/>
  <c r="F1531" i="3"/>
  <c r="G1531" i="3"/>
  <c r="A1526" i="4"/>
  <c r="B1526" i="4" s="1"/>
  <c r="C1526" i="4" s="1"/>
  <c r="D1526" i="4" s="1"/>
  <c r="G1530" i="3"/>
  <c r="F1530" i="3"/>
  <c r="F1529" i="3"/>
  <c r="G1529" i="3"/>
  <c r="G1528" i="3"/>
  <c r="A1524" i="4" s="1"/>
  <c r="B1524" i="4" s="1"/>
  <c r="C1524" i="4" s="1"/>
  <c r="D1524" i="4" s="1"/>
  <c r="F1528" i="3"/>
  <c r="F1527" i="3"/>
  <c r="G1527" i="3"/>
  <c r="A1522" i="4"/>
  <c r="B1522" i="4" s="1"/>
  <c r="C1522" i="4" s="1"/>
  <c r="D1522" i="4" s="1"/>
  <c r="G1526" i="3"/>
  <c r="F1526" i="3"/>
  <c r="F1525" i="3"/>
  <c r="G1525" i="3"/>
  <c r="G1524" i="3"/>
  <c r="A1520" i="4" s="1"/>
  <c r="B1520" i="4" s="1"/>
  <c r="C1520" i="4" s="1"/>
  <c r="D1520" i="4" s="1"/>
  <c r="F1524" i="3"/>
  <c r="F1523" i="3"/>
  <c r="G1523" i="3"/>
  <c r="A1518" i="4"/>
  <c r="B1518" i="4" s="1"/>
  <c r="C1518" i="4" s="1"/>
  <c r="D1518" i="4" s="1"/>
  <c r="G1522" i="3"/>
  <c r="F1522" i="3"/>
  <c r="F1521" i="3"/>
  <c r="G1521" i="3"/>
  <c r="G1520" i="3"/>
  <c r="A1516" i="4" s="1"/>
  <c r="B1516" i="4" s="1"/>
  <c r="C1516" i="4" s="1"/>
  <c r="D1516" i="4" s="1"/>
  <c r="F1520" i="3"/>
  <c r="F1519" i="3"/>
  <c r="G1519" i="3"/>
  <c r="A1514" i="4"/>
  <c r="B1514" i="4" s="1"/>
  <c r="C1514" i="4" s="1"/>
  <c r="D1514" i="4" s="1"/>
  <c r="G1518" i="3"/>
  <c r="F1518" i="3"/>
  <c r="F1517" i="3"/>
  <c r="G1517" i="3"/>
  <c r="G1516" i="3"/>
  <c r="A1512" i="4" s="1"/>
  <c r="B1512" i="4" s="1"/>
  <c r="C1512" i="4" s="1"/>
  <c r="D1512" i="4" s="1"/>
  <c r="F1516" i="3"/>
  <c r="F1515" i="3"/>
  <c r="G1515" i="3"/>
  <c r="A1510" i="4"/>
  <c r="B1510" i="4" s="1"/>
  <c r="C1510" i="4" s="1"/>
  <c r="D1510" i="4" s="1"/>
  <c r="G1514" i="3"/>
  <c r="F1514" i="3"/>
  <c r="F1513" i="3"/>
  <c r="G1513" i="3"/>
  <c r="G1512" i="3"/>
  <c r="A1508" i="4" s="1"/>
  <c r="B1508" i="4" s="1"/>
  <c r="C1508" i="4" s="1"/>
  <c r="D1508" i="4" s="1"/>
  <c r="F1512" i="3"/>
  <c r="F1511" i="3"/>
  <c r="G1511" i="3"/>
  <c r="A1506" i="4"/>
  <c r="B1506" i="4" s="1"/>
  <c r="C1506" i="4" s="1"/>
  <c r="D1506" i="4" s="1"/>
  <c r="G1510" i="3"/>
  <c r="F1510" i="3"/>
  <c r="F1509" i="3"/>
  <c r="G1509" i="3"/>
  <c r="G1508" i="3"/>
  <c r="A1504" i="4" s="1"/>
  <c r="B1504" i="4" s="1"/>
  <c r="C1504" i="4" s="1"/>
  <c r="D1504" i="4" s="1"/>
  <c r="F1508" i="3"/>
  <c r="F1507" i="3"/>
  <c r="G1507" i="3"/>
  <c r="A1502" i="4"/>
  <c r="B1502" i="4" s="1"/>
  <c r="C1502" i="4" s="1"/>
  <c r="D1502" i="4" s="1"/>
  <c r="G1506" i="3"/>
  <c r="F1506" i="3"/>
  <c r="F1505" i="3"/>
  <c r="G1505" i="3"/>
  <c r="G1504" i="3"/>
  <c r="A1500" i="4" s="1"/>
  <c r="B1500" i="4" s="1"/>
  <c r="C1500" i="4" s="1"/>
  <c r="D1500" i="4" s="1"/>
  <c r="F1504" i="3"/>
  <c r="F1503" i="3"/>
  <c r="G1503" i="3"/>
  <c r="A1498" i="4"/>
  <c r="B1498" i="4" s="1"/>
  <c r="C1498" i="4" s="1"/>
  <c r="D1498" i="4" s="1"/>
  <c r="G1502" i="3"/>
  <c r="F1502" i="3"/>
  <c r="F1501" i="3"/>
  <c r="G1501" i="3"/>
  <c r="G1500" i="3"/>
  <c r="A1496" i="4" s="1"/>
  <c r="B1496" i="4" s="1"/>
  <c r="C1496" i="4" s="1"/>
  <c r="D1496" i="4" s="1"/>
  <c r="F1500" i="3"/>
  <c r="F1499" i="3"/>
  <c r="G1499" i="3"/>
  <c r="A1494" i="4"/>
  <c r="B1494" i="4" s="1"/>
  <c r="C1494" i="4" s="1"/>
  <c r="D1494" i="4" s="1"/>
  <c r="G1498" i="3"/>
  <c r="F1498" i="3"/>
  <c r="F1497" i="3"/>
  <c r="G1497" i="3"/>
  <c r="G1496" i="3"/>
  <c r="A1492" i="4" s="1"/>
  <c r="B1492" i="4" s="1"/>
  <c r="C1492" i="4" s="1"/>
  <c r="D1492" i="4" s="1"/>
  <c r="F1496" i="3"/>
  <c r="F1495" i="3"/>
  <c r="G1495" i="3"/>
  <c r="A1490" i="4"/>
  <c r="B1490" i="4" s="1"/>
  <c r="C1490" i="4" s="1"/>
  <c r="D1490" i="4" s="1"/>
  <c r="G1494" i="3"/>
  <c r="F1494" i="3"/>
  <c r="F1493" i="3"/>
  <c r="G1493" i="3"/>
  <c r="G1492" i="3"/>
  <c r="A1488" i="4" s="1"/>
  <c r="B1488" i="4" s="1"/>
  <c r="C1488" i="4" s="1"/>
  <c r="D1488" i="4" s="1"/>
  <c r="F1492" i="3"/>
  <c r="F1491" i="3"/>
  <c r="G1491" i="3"/>
  <c r="A1486" i="4"/>
  <c r="B1486" i="4" s="1"/>
  <c r="C1486" i="4" s="1"/>
  <c r="D1486" i="4" s="1"/>
  <c r="G1490" i="3"/>
  <c r="F1490" i="3"/>
  <c r="F1489" i="3"/>
  <c r="G1489" i="3"/>
  <c r="G1488" i="3"/>
  <c r="A1484" i="4" s="1"/>
  <c r="B1484" i="4" s="1"/>
  <c r="C1484" i="4" s="1"/>
  <c r="D1484" i="4" s="1"/>
  <c r="F1488" i="3"/>
  <c r="F1487" i="3"/>
  <c r="G1487" i="3"/>
  <c r="A1482" i="4"/>
  <c r="B1482" i="4" s="1"/>
  <c r="C1482" i="4" s="1"/>
  <c r="D1482" i="4" s="1"/>
  <c r="G1486" i="3"/>
  <c r="F1486" i="3"/>
  <c r="F1485" i="3"/>
  <c r="G1485" i="3"/>
  <c r="G1484" i="3"/>
  <c r="A1480" i="4" s="1"/>
  <c r="B1480" i="4" s="1"/>
  <c r="C1480" i="4" s="1"/>
  <c r="D1480" i="4" s="1"/>
  <c r="F1484" i="3"/>
  <c r="F1483" i="3"/>
  <c r="G1483" i="3"/>
  <c r="A1478" i="4"/>
  <c r="B1478" i="4" s="1"/>
  <c r="C1478" i="4" s="1"/>
  <c r="D1478" i="4" s="1"/>
  <c r="G1482" i="3"/>
  <c r="F1482" i="3"/>
  <c r="F1481" i="3"/>
  <c r="G1481" i="3"/>
  <c r="G1480" i="3"/>
  <c r="A1476" i="4" s="1"/>
  <c r="B1476" i="4" s="1"/>
  <c r="C1476" i="4" s="1"/>
  <c r="D1476" i="4" s="1"/>
  <c r="F1480" i="3"/>
  <c r="F1479" i="3"/>
  <c r="G1479" i="3"/>
  <c r="A1474" i="4"/>
  <c r="B1474" i="4" s="1"/>
  <c r="C1474" i="4" s="1"/>
  <c r="D1474" i="4" s="1"/>
  <c r="G1478" i="3"/>
  <c r="F1478" i="3"/>
  <c r="F1477" i="3"/>
  <c r="G1477" i="3"/>
  <c r="G1476" i="3"/>
  <c r="A1472" i="4" s="1"/>
  <c r="B1472" i="4" s="1"/>
  <c r="C1472" i="4" s="1"/>
  <c r="D1472" i="4" s="1"/>
  <c r="F1476" i="3"/>
  <c r="F1475" i="3"/>
  <c r="G1475" i="3"/>
  <c r="A1470" i="4"/>
  <c r="B1470" i="4" s="1"/>
  <c r="C1470" i="4" s="1"/>
  <c r="D1470" i="4" s="1"/>
  <c r="G1474" i="3"/>
  <c r="F1474" i="3"/>
  <c r="F1473" i="3"/>
  <c r="G1473" i="3"/>
  <c r="G1472" i="3"/>
  <c r="A1468" i="4" s="1"/>
  <c r="B1468" i="4" s="1"/>
  <c r="C1468" i="4" s="1"/>
  <c r="D1468" i="4" s="1"/>
  <c r="F1472" i="3"/>
  <c r="F1471" i="3"/>
  <c r="G1471" i="3"/>
  <c r="A1466" i="4"/>
  <c r="B1466" i="4" s="1"/>
  <c r="C1466" i="4" s="1"/>
  <c r="D1466" i="4" s="1"/>
  <c r="G1470" i="3"/>
  <c r="F1470" i="3"/>
  <c r="F1469" i="3"/>
  <c r="G1469" i="3"/>
  <c r="G1468" i="3"/>
  <c r="A1464" i="4" s="1"/>
  <c r="B1464" i="4" s="1"/>
  <c r="C1464" i="4" s="1"/>
  <c r="D1464" i="4" s="1"/>
  <c r="F1468" i="3"/>
  <c r="F1467" i="3"/>
  <c r="G1467" i="3"/>
  <c r="A1462" i="4"/>
  <c r="B1462" i="4" s="1"/>
  <c r="C1462" i="4" s="1"/>
  <c r="D1462" i="4" s="1"/>
  <c r="G1466" i="3"/>
  <c r="F1466" i="3"/>
  <c r="F1465" i="3"/>
  <c r="G1465" i="3"/>
  <c r="G1464" i="3"/>
  <c r="A1460" i="4" s="1"/>
  <c r="B1460" i="4" s="1"/>
  <c r="C1460" i="4" s="1"/>
  <c r="D1460" i="4" s="1"/>
  <c r="F1464" i="3"/>
  <c r="F1463" i="3"/>
  <c r="G1463" i="3"/>
  <c r="A1458" i="4"/>
  <c r="B1458" i="4" s="1"/>
  <c r="C1458" i="4" s="1"/>
  <c r="D1458" i="4" s="1"/>
  <c r="G1462" i="3"/>
  <c r="F1462" i="3"/>
  <c r="F1461" i="3"/>
  <c r="G1461" i="3"/>
  <c r="G1460" i="3"/>
  <c r="A1456" i="4" s="1"/>
  <c r="B1456" i="4" s="1"/>
  <c r="C1456" i="4" s="1"/>
  <c r="D1456" i="4" s="1"/>
  <c r="F1460" i="3"/>
  <c r="F1459" i="3"/>
  <c r="G1459" i="3"/>
  <c r="A1454" i="4"/>
  <c r="B1454" i="4" s="1"/>
  <c r="C1454" i="4" s="1"/>
  <c r="D1454" i="4" s="1"/>
  <c r="G1458" i="3"/>
  <c r="F1458" i="3"/>
  <c r="F1457" i="3"/>
  <c r="G1457" i="3"/>
  <c r="G1456" i="3"/>
  <c r="A1452" i="4" s="1"/>
  <c r="B1452" i="4" s="1"/>
  <c r="C1452" i="4" s="1"/>
  <c r="D1452" i="4" s="1"/>
  <c r="F1456" i="3"/>
  <c r="F1455" i="3"/>
  <c r="G1455" i="3"/>
  <c r="A1450" i="4"/>
  <c r="B1450" i="4" s="1"/>
  <c r="C1450" i="4" s="1"/>
  <c r="D1450" i="4" s="1"/>
  <c r="G1454" i="3"/>
  <c r="F1454" i="3"/>
  <c r="F1453" i="3"/>
  <c r="G1453" i="3"/>
  <c r="G1452" i="3"/>
  <c r="A1448" i="4" s="1"/>
  <c r="B1448" i="4" s="1"/>
  <c r="C1448" i="4" s="1"/>
  <c r="D1448" i="4" s="1"/>
  <c r="F1452" i="3"/>
  <c r="F1451" i="3"/>
  <c r="G1451" i="3"/>
  <c r="A1446" i="4"/>
  <c r="B1446" i="4" s="1"/>
  <c r="C1446" i="4" s="1"/>
  <c r="D1446" i="4" s="1"/>
  <c r="G1450" i="3"/>
  <c r="F1450" i="3"/>
  <c r="F1449" i="3"/>
  <c r="G1449" i="3"/>
  <c r="G1448" i="3"/>
  <c r="A1444" i="4" s="1"/>
  <c r="B1444" i="4" s="1"/>
  <c r="C1444" i="4" s="1"/>
  <c r="D1444" i="4" s="1"/>
  <c r="F1448" i="3"/>
  <c r="F1447" i="3"/>
  <c r="G1447" i="3"/>
  <c r="A1442" i="4"/>
  <c r="B1442" i="4" s="1"/>
  <c r="C1442" i="4" s="1"/>
  <c r="D1442" i="4" s="1"/>
  <c r="G1446" i="3"/>
  <c r="F1446" i="3"/>
  <c r="F1445" i="3"/>
  <c r="G1445" i="3"/>
  <c r="G1444" i="3"/>
  <c r="A1440" i="4" s="1"/>
  <c r="B1440" i="4" s="1"/>
  <c r="C1440" i="4" s="1"/>
  <c r="D1440" i="4" s="1"/>
  <c r="F1444" i="3"/>
  <c r="F1443" i="3"/>
  <c r="G1443" i="3"/>
  <c r="A1438" i="4"/>
  <c r="B1438" i="4" s="1"/>
  <c r="C1438" i="4" s="1"/>
  <c r="D1438" i="4" s="1"/>
  <c r="G1442" i="3"/>
  <c r="F1442" i="3"/>
  <c r="F1441" i="3"/>
  <c r="G1441" i="3"/>
  <c r="G1440" i="3"/>
  <c r="A1436" i="4" s="1"/>
  <c r="B1436" i="4" s="1"/>
  <c r="C1436" i="4" s="1"/>
  <c r="D1436" i="4" s="1"/>
  <c r="F1440" i="3"/>
  <c r="F1439" i="3"/>
  <c r="G1439" i="3"/>
  <c r="A1434" i="4"/>
  <c r="B1434" i="4" s="1"/>
  <c r="C1434" i="4" s="1"/>
  <c r="D1434" i="4" s="1"/>
  <c r="G1438" i="3"/>
  <c r="F1438" i="3"/>
  <c r="F1437" i="3"/>
  <c r="G1437" i="3"/>
  <c r="G1436" i="3"/>
  <c r="A1432" i="4" s="1"/>
  <c r="B1432" i="4" s="1"/>
  <c r="C1432" i="4" s="1"/>
  <c r="D1432" i="4" s="1"/>
  <c r="F1436" i="3"/>
  <c r="F1435" i="3"/>
  <c r="G1435" i="3"/>
  <c r="A1430" i="4"/>
  <c r="B1430" i="4" s="1"/>
  <c r="C1430" i="4" s="1"/>
  <c r="D1430" i="4" s="1"/>
  <c r="G1434" i="3"/>
  <c r="F1434" i="3"/>
  <c r="F1433" i="3"/>
  <c r="G1433" i="3"/>
  <c r="G1432" i="3"/>
  <c r="A1428" i="4" s="1"/>
  <c r="B1428" i="4" s="1"/>
  <c r="C1428" i="4" s="1"/>
  <c r="D1428" i="4" s="1"/>
  <c r="F1432" i="3"/>
  <c r="F1431" i="3"/>
  <c r="G1431" i="3"/>
  <c r="A1426" i="4"/>
  <c r="B1426" i="4" s="1"/>
  <c r="C1426" i="4" s="1"/>
  <c r="D1426" i="4" s="1"/>
  <c r="G1430" i="3"/>
  <c r="F1430" i="3"/>
  <c r="F1429" i="3"/>
  <c r="G1429" i="3"/>
  <c r="G1428" i="3"/>
  <c r="A1424" i="4" s="1"/>
  <c r="B1424" i="4" s="1"/>
  <c r="C1424" i="4" s="1"/>
  <c r="D1424" i="4" s="1"/>
  <c r="F1428" i="3"/>
  <c r="F1427" i="3"/>
  <c r="G1427" i="3"/>
  <c r="A1422" i="4"/>
  <c r="B1422" i="4" s="1"/>
  <c r="C1422" i="4" s="1"/>
  <c r="D1422" i="4" s="1"/>
  <c r="G1426" i="3"/>
  <c r="F1426" i="3"/>
  <c r="F1425" i="3"/>
  <c r="G1425" i="3"/>
  <c r="G1424" i="3"/>
  <c r="A1420" i="4" s="1"/>
  <c r="B1420" i="4" s="1"/>
  <c r="C1420" i="4" s="1"/>
  <c r="D1420" i="4" s="1"/>
  <c r="F1424" i="3"/>
  <c r="F1423" i="3"/>
  <c r="G1423" i="3"/>
  <c r="A1418" i="4"/>
  <c r="B1418" i="4" s="1"/>
  <c r="C1418" i="4" s="1"/>
  <c r="D1418" i="4" s="1"/>
  <c r="G1422" i="3"/>
  <c r="F1422" i="3"/>
  <c r="F1421" i="3"/>
  <c r="G1421" i="3"/>
  <c r="G1420" i="3"/>
  <c r="A1416" i="4" s="1"/>
  <c r="B1416" i="4" s="1"/>
  <c r="C1416" i="4" s="1"/>
  <c r="D1416" i="4" s="1"/>
  <c r="F1420" i="3"/>
  <c r="F1419" i="3"/>
  <c r="G1419" i="3"/>
  <c r="A1414" i="4"/>
  <c r="B1414" i="4" s="1"/>
  <c r="C1414" i="4" s="1"/>
  <c r="D1414" i="4" s="1"/>
  <c r="G1418" i="3"/>
  <c r="F1418" i="3"/>
  <c r="F1417" i="3"/>
  <c r="G1417" i="3"/>
  <c r="G1416" i="3"/>
  <c r="A1412" i="4" s="1"/>
  <c r="B1412" i="4" s="1"/>
  <c r="C1412" i="4" s="1"/>
  <c r="D1412" i="4" s="1"/>
  <c r="F1416" i="3"/>
  <c r="F1415" i="3"/>
  <c r="G1415" i="3"/>
  <c r="A1410" i="4"/>
  <c r="B1410" i="4" s="1"/>
  <c r="C1410" i="4" s="1"/>
  <c r="D1410" i="4" s="1"/>
  <c r="G1414" i="3"/>
  <c r="F1414" i="3"/>
  <c r="F1413" i="3"/>
  <c r="G1413" i="3"/>
  <c r="G1412" i="3"/>
  <c r="A1408" i="4" s="1"/>
  <c r="B1408" i="4" s="1"/>
  <c r="C1408" i="4" s="1"/>
  <c r="D1408" i="4" s="1"/>
  <c r="F1412" i="3"/>
  <c r="F1411" i="3"/>
  <c r="G1411" i="3"/>
  <c r="A1406" i="4"/>
  <c r="B1406" i="4" s="1"/>
  <c r="C1406" i="4" s="1"/>
  <c r="D1406" i="4" s="1"/>
  <c r="G1410" i="3"/>
  <c r="F1410" i="3"/>
  <c r="F1409" i="3"/>
  <c r="G1409" i="3"/>
  <c r="G1408" i="3"/>
  <c r="A1404" i="4" s="1"/>
  <c r="B1404" i="4" s="1"/>
  <c r="C1404" i="4" s="1"/>
  <c r="D1404" i="4" s="1"/>
  <c r="F1408" i="3"/>
  <c r="F1407" i="3"/>
  <c r="G1407" i="3"/>
  <c r="A1402" i="4"/>
  <c r="B1402" i="4" s="1"/>
  <c r="C1402" i="4" s="1"/>
  <c r="D1402" i="4" s="1"/>
  <c r="G1406" i="3"/>
  <c r="F1406" i="3"/>
  <c r="F1405" i="3"/>
  <c r="G1405" i="3"/>
  <c r="G1404" i="3"/>
  <c r="A1400" i="4" s="1"/>
  <c r="B1400" i="4" s="1"/>
  <c r="C1400" i="4" s="1"/>
  <c r="D1400" i="4" s="1"/>
  <c r="F1404" i="3"/>
  <c r="F1403" i="3"/>
  <c r="G1403" i="3"/>
  <c r="A1398" i="4"/>
  <c r="B1398" i="4" s="1"/>
  <c r="C1398" i="4" s="1"/>
  <c r="D1398" i="4" s="1"/>
  <c r="G1402" i="3"/>
  <c r="F1402" i="3"/>
  <c r="F1401" i="3"/>
  <c r="G1401" i="3"/>
  <c r="G1400" i="3"/>
  <c r="A1396" i="4" s="1"/>
  <c r="B1396" i="4" s="1"/>
  <c r="C1396" i="4" s="1"/>
  <c r="D1396" i="4" s="1"/>
  <c r="F1400" i="3"/>
  <c r="F1399" i="3"/>
  <c r="G1399" i="3"/>
  <c r="A1394" i="4"/>
  <c r="B1394" i="4" s="1"/>
  <c r="C1394" i="4" s="1"/>
  <c r="D1394" i="4" s="1"/>
  <c r="G1398" i="3"/>
  <c r="F1398" i="3"/>
  <c r="F1397" i="3"/>
  <c r="G1397" i="3"/>
  <c r="G1396" i="3"/>
  <c r="A1392" i="4" s="1"/>
  <c r="B1392" i="4" s="1"/>
  <c r="C1392" i="4" s="1"/>
  <c r="D1392" i="4" s="1"/>
  <c r="F1396" i="3"/>
  <c r="F1395" i="3"/>
  <c r="G1395" i="3"/>
  <c r="A1390" i="4"/>
  <c r="B1390" i="4" s="1"/>
  <c r="C1390" i="4" s="1"/>
  <c r="D1390" i="4" s="1"/>
  <c r="G1394" i="3"/>
  <c r="F1394" i="3"/>
  <c r="F1393" i="3"/>
  <c r="G1393" i="3"/>
  <c r="G1392" i="3"/>
  <c r="A1388" i="4" s="1"/>
  <c r="B1388" i="4" s="1"/>
  <c r="C1388" i="4" s="1"/>
  <c r="D1388" i="4" s="1"/>
  <c r="F1392" i="3"/>
  <c r="F1391" i="3"/>
  <c r="G1391" i="3"/>
  <c r="A1386" i="4"/>
  <c r="B1386" i="4" s="1"/>
  <c r="C1386" i="4" s="1"/>
  <c r="D1386" i="4" s="1"/>
  <c r="G1390" i="3"/>
  <c r="F1390" i="3"/>
  <c r="F1389" i="3"/>
  <c r="G1389" i="3"/>
  <c r="G1388" i="3"/>
  <c r="A1384" i="4" s="1"/>
  <c r="B1384" i="4" s="1"/>
  <c r="C1384" i="4" s="1"/>
  <c r="D1384" i="4" s="1"/>
  <c r="F1388" i="3"/>
  <c r="F1387" i="3"/>
  <c r="G1387" i="3"/>
  <c r="A1382" i="4"/>
  <c r="B1382" i="4" s="1"/>
  <c r="C1382" i="4" s="1"/>
  <c r="D1382" i="4" s="1"/>
  <c r="G1386" i="3"/>
  <c r="F1386" i="3"/>
  <c r="F1385" i="3"/>
  <c r="G1385" i="3"/>
  <c r="G1384" i="3"/>
  <c r="A1380" i="4" s="1"/>
  <c r="B1380" i="4" s="1"/>
  <c r="C1380" i="4" s="1"/>
  <c r="D1380" i="4" s="1"/>
  <c r="F1384" i="3"/>
  <c r="F1383" i="3"/>
  <c r="G1383" i="3"/>
  <c r="A1378" i="4"/>
  <c r="B1378" i="4" s="1"/>
  <c r="C1378" i="4" s="1"/>
  <c r="D1378" i="4" s="1"/>
  <c r="G1382" i="3"/>
  <c r="F1382" i="3"/>
  <c r="F1381" i="3"/>
  <c r="G1381" i="3"/>
  <c r="G1380" i="3"/>
  <c r="A1376" i="4" s="1"/>
  <c r="B1376" i="4" s="1"/>
  <c r="C1376" i="4" s="1"/>
  <c r="D1376" i="4" s="1"/>
  <c r="F1380" i="3"/>
  <c r="F1379" i="3"/>
  <c r="G1379" i="3"/>
  <c r="A1374" i="4"/>
  <c r="B1374" i="4" s="1"/>
  <c r="C1374" i="4" s="1"/>
  <c r="D1374" i="4" s="1"/>
  <c r="G1378" i="3"/>
  <c r="F1378" i="3"/>
  <c r="F1377" i="3"/>
  <c r="G1377" i="3"/>
  <c r="G1376" i="3"/>
  <c r="A1372" i="4" s="1"/>
  <c r="B1372" i="4" s="1"/>
  <c r="C1372" i="4" s="1"/>
  <c r="D1372" i="4" s="1"/>
  <c r="F1376" i="3"/>
  <c r="F1375" i="3"/>
  <c r="G1375" i="3"/>
  <c r="A1370" i="4"/>
  <c r="B1370" i="4" s="1"/>
  <c r="C1370" i="4" s="1"/>
  <c r="D1370" i="4" s="1"/>
  <c r="G1374" i="3"/>
  <c r="F1374" i="3"/>
  <c r="F1373" i="3"/>
  <c r="G1373" i="3"/>
  <c r="G1372" i="3"/>
  <c r="A1368" i="4" s="1"/>
  <c r="B1368" i="4" s="1"/>
  <c r="C1368" i="4" s="1"/>
  <c r="D1368" i="4" s="1"/>
  <c r="F1372" i="3"/>
  <c r="F1371" i="3"/>
  <c r="G1371" i="3"/>
  <c r="A1366" i="4"/>
  <c r="B1366" i="4" s="1"/>
  <c r="C1366" i="4" s="1"/>
  <c r="D1366" i="4" s="1"/>
  <c r="G1370" i="3"/>
  <c r="F1370" i="3"/>
  <c r="F1369" i="3"/>
  <c r="G1369" i="3"/>
  <c r="G1368" i="3"/>
  <c r="A1364" i="4" s="1"/>
  <c r="B1364" i="4" s="1"/>
  <c r="C1364" i="4" s="1"/>
  <c r="D1364" i="4" s="1"/>
  <c r="F1368" i="3"/>
  <c r="F1367" i="3"/>
  <c r="G1367" i="3"/>
  <c r="A1362" i="4"/>
  <c r="B1362" i="4" s="1"/>
  <c r="C1362" i="4" s="1"/>
  <c r="D1362" i="4" s="1"/>
  <c r="G1366" i="3"/>
  <c r="F1366" i="3"/>
  <c r="F1365" i="3"/>
  <c r="G1365" i="3"/>
  <c r="G1364" i="3"/>
  <c r="A1360" i="4" s="1"/>
  <c r="B1360" i="4" s="1"/>
  <c r="C1360" i="4" s="1"/>
  <c r="D1360" i="4" s="1"/>
  <c r="F1364" i="3"/>
  <c r="F1363" i="3"/>
  <c r="G1363" i="3"/>
  <c r="A1358" i="4"/>
  <c r="B1358" i="4" s="1"/>
  <c r="C1358" i="4" s="1"/>
  <c r="D1358" i="4" s="1"/>
  <c r="G1362" i="3"/>
  <c r="F1362" i="3"/>
  <c r="F1361" i="3"/>
  <c r="G1361" i="3"/>
  <c r="G1360" i="3"/>
  <c r="A1356" i="4" s="1"/>
  <c r="B1356" i="4" s="1"/>
  <c r="C1356" i="4" s="1"/>
  <c r="D1356" i="4" s="1"/>
  <c r="F1360" i="3"/>
  <c r="F1359" i="3"/>
  <c r="G1359" i="3"/>
  <c r="A1354" i="4"/>
  <c r="B1354" i="4" s="1"/>
  <c r="C1354" i="4" s="1"/>
  <c r="D1354" i="4" s="1"/>
  <c r="G1358" i="3"/>
  <c r="F1358" i="3"/>
  <c r="F1357" i="3"/>
  <c r="G1357" i="3"/>
  <c r="G1356" i="3"/>
  <c r="A1352" i="4" s="1"/>
  <c r="B1352" i="4" s="1"/>
  <c r="C1352" i="4" s="1"/>
  <c r="D1352" i="4" s="1"/>
  <c r="F1356" i="3"/>
  <c r="F1355" i="3"/>
  <c r="G1355" i="3"/>
  <c r="A1350" i="4"/>
  <c r="B1350" i="4" s="1"/>
  <c r="C1350" i="4" s="1"/>
  <c r="D1350" i="4" s="1"/>
  <c r="G1354" i="3"/>
  <c r="F1354" i="3"/>
  <c r="F1353" i="3"/>
  <c r="G1353" i="3"/>
  <c r="G1352" i="3"/>
  <c r="A1348" i="4" s="1"/>
  <c r="B1348" i="4" s="1"/>
  <c r="C1348" i="4" s="1"/>
  <c r="D1348" i="4" s="1"/>
  <c r="F1352" i="3"/>
  <c r="F1351" i="3"/>
  <c r="G1351" i="3"/>
  <c r="A1346" i="4"/>
  <c r="B1346" i="4" s="1"/>
  <c r="C1346" i="4" s="1"/>
  <c r="D1346" i="4" s="1"/>
  <c r="G1350" i="3"/>
  <c r="F1350" i="3"/>
  <c r="F1349" i="3"/>
  <c r="G1349" i="3"/>
  <c r="G1348" i="3"/>
  <c r="A1344" i="4" s="1"/>
  <c r="B1344" i="4" s="1"/>
  <c r="C1344" i="4" s="1"/>
  <c r="D1344" i="4" s="1"/>
  <c r="F1348" i="3"/>
  <c r="F1347" i="3"/>
  <c r="G1347" i="3"/>
  <c r="A1342" i="4"/>
  <c r="B1342" i="4" s="1"/>
  <c r="C1342" i="4" s="1"/>
  <c r="D1342" i="4" s="1"/>
  <c r="G1346" i="3"/>
  <c r="F1346" i="3"/>
  <c r="F1345" i="3"/>
  <c r="G1345" i="3"/>
  <c r="G1344" i="3"/>
  <c r="A1340" i="4" s="1"/>
  <c r="B1340" i="4" s="1"/>
  <c r="C1340" i="4" s="1"/>
  <c r="D1340" i="4" s="1"/>
  <c r="F1344" i="3"/>
  <c r="F1343" i="3"/>
  <c r="G1343" i="3"/>
  <c r="A1338" i="4"/>
  <c r="B1338" i="4" s="1"/>
  <c r="C1338" i="4" s="1"/>
  <c r="D1338" i="4" s="1"/>
  <c r="G1342" i="3"/>
  <c r="F1342" i="3"/>
  <c r="F1341" i="3"/>
  <c r="G1341" i="3"/>
  <c r="G1340" i="3"/>
  <c r="A1336" i="4" s="1"/>
  <c r="B1336" i="4" s="1"/>
  <c r="C1336" i="4" s="1"/>
  <c r="D1336" i="4" s="1"/>
  <c r="F1340" i="3"/>
  <c r="F1339" i="3"/>
  <c r="G1339" i="3"/>
  <c r="A1334" i="4"/>
  <c r="B1334" i="4" s="1"/>
  <c r="C1334" i="4" s="1"/>
  <c r="D1334" i="4" s="1"/>
  <c r="G1338" i="3"/>
  <c r="F1338" i="3"/>
  <c r="F1337" i="3"/>
  <c r="G1337" i="3"/>
  <c r="G1336" i="3"/>
  <c r="A1332" i="4" s="1"/>
  <c r="B1332" i="4" s="1"/>
  <c r="C1332" i="4" s="1"/>
  <c r="D1332" i="4" s="1"/>
  <c r="F1336" i="3"/>
  <c r="F1335" i="3"/>
  <c r="G1335" i="3"/>
  <c r="A1330" i="4"/>
  <c r="B1330" i="4" s="1"/>
  <c r="C1330" i="4" s="1"/>
  <c r="D1330" i="4" s="1"/>
  <c r="G1334" i="3"/>
  <c r="F1334" i="3"/>
  <c r="F1333" i="3"/>
  <c r="G1333" i="3"/>
  <c r="G1332" i="3"/>
  <c r="A1328" i="4" s="1"/>
  <c r="B1328" i="4" s="1"/>
  <c r="C1328" i="4" s="1"/>
  <c r="D1328" i="4" s="1"/>
  <c r="F1332" i="3"/>
  <c r="F1331" i="3"/>
  <c r="G1331" i="3"/>
  <c r="A1326" i="4"/>
  <c r="B1326" i="4" s="1"/>
  <c r="C1326" i="4" s="1"/>
  <c r="D1326" i="4" s="1"/>
  <c r="G1330" i="3"/>
  <c r="F1330" i="3"/>
  <c r="F1329" i="3"/>
  <c r="G1329" i="3"/>
  <c r="G1328" i="3"/>
  <c r="A1324" i="4" s="1"/>
  <c r="B1324" i="4" s="1"/>
  <c r="C1324" i="4" s="1"/>
  <c r="D1324" i="4" s="1"/>
  <c r="F1328" i="3"/>
  <c r="F1327" i="3"/>
  <c r="G1327" i="3"/>
  <c r="A1322" i="4"/>
  <c r="B1322" i="4" s="1"/>
  <c r="C1322" i="4" s="1"/>
  <c r="D1322" i="4" s="1"/>
  <c r="G1326" i="3"/>
  <c r="F1326" i="3"/>
  <c r="F1325" i="3"/>
  <c r="G1325" i="3"/>
  <c r="G1324" i="3"/>
  <c r="A1320" i="4" s="1"/>
  <c r="B1320" i="4" s="1"/>
  <c r="C1320" i="4" s="1"/>
  <c r="D1320" i="4" s="1"/>
  <c r="F1324" i="3"/>
  <c r="F1323" i="3"/>
  <c r="G1323" i="3"/>
  <c r="A1318" i="4"/>
  <c r="B1318" i="4" s="1"/>
  <c r="C1318" i="4" s="1"/>
  <c r="D1318" i="4" s="1"/>
  <c r="G1322" i="3"/>
  <c r="F1322" i="3"/>
  <c r="F1321" i="3"/>
  <c r="G1321" i="3"/>
  <c r="G1320" i="3"/>
  <c r="A1316" i="4" s="1"/>
  <c r="B1316" i="4" s="1"/>
  <c r="C1316" i="4" s="1"/>
  <c r="D1316" i="4" s="1"/>
  <c r="F1320" i="3"/>
  <c r="F1319" i="3"/>
  <c r="G1319" i="3"/>
  <c r="A1314" i="4"/>
  <c r="B1314" i="4" s="1"/>
  <c r="C1314" i="4" s="1"/>
  <c r="D1314" i="4" s="1"/>
  <c r="G1318" i="3"/>
  <c r="F1318" i="3"/>
  <c r="F1317" i="3"/>
  <c r="G1317" i="3"/>
  <c r="G1316" i="3"/>
  <c r="A1312" i="4" s="1"/>
  <c r="B1312" i="4" s="1"/>
  <c r="C1312" i="4" s="1"/>
  <c r="D1312" i="4" s="1"/>
  <c r="F1316" i="3"/>
  <c r="F1315" i="3"/>
  <c r="G1315" i="3"/>
  <c r="A1310" i="4"/>
  <c r="B1310" i="4" s="1"/>
  <c r="C1310" i="4" s="1"/>
  <c r="D1310" i="4" s="1"/>
  <c r="G1314" i="3"/>
  <c r="F1314" i="3"/>
  <c r="F1313" i="3"/>
  <c r="G1313" i="3"/>
  <c r="G1312" i="3"/>
  <c r="A1308" i="4" s="1"/>
  <c r="B1308" i="4" s="1"/>
  <c r="C1308" i="4" s="1"/>
  <c r="D1308" i="4" s="1"/>
  <c r="F1312" i="3"/>
  <c r="F1311" i="3"/>
  <c r="G1311" i="3"/>
  <c r="A1306" i="4"/>
  <c r="B1306" i="4" s="1"/>
  <c r="C1306" i="4" s="1"/>
  <c r="D1306" i="4" s="1"/>
  <c r="G1310" i="3"/>
  <c r="F1310" i="3"/>
  <c r="F1309" i="3"/>
  <c r="G1309" i="3"/>
  <c r="G1308" i="3"/>
  <c r="A1304" i="4" s="1"/>
  <c r="B1304" i="4" s="1"/>
  <c r="C1304" i="4" s="1"/>
  <c r="D1304" i="4" s="1"/>
  <c r="F1308" i="3"/>
  <c r="F1307" i="3"/>
  <c r="G1307" i="3"/>
  <c r="A1302" i="4"/>
  <c r="B1302" i="4" s="1"/>
  <c r="C1302" i="4" s="1"/>
  <c r="D1302" i="4" s="1"/>
  <c r="G1306" i="3"/>
  <c r="F1306" i="3"/>
  <c r="F1305" i="3"/>
  <c r="G1305" i="3"/>
  <c r="G1304" i="3"/>
  <c r="A1300" i="4" s="1"/>
  <c r="B1300" i="4" s="1"/>
  <c r="C1300" i="4" s="1"/>
  <c r="D1300" i="4" s="1"/>
  <c r="F1304" i="3"/>
  <c r="F1303" i="3"/>
  <c r="G1303" i="3"/>
  <c r="A1298" i="4"/>
  <c r="B1298" i="4" s="1"/>
  <c r="C1298" i="4" s="1"/>
  <c r="D1298" i="4" s="1"/>
  <c r="G1302" i="3"/>
  <c r="F1302" i="3"/>
  <c r="F1301" i="3"/>
  <c r="G1301" i="3"/>
  <c r="G1300" i="3"/>
  <c r="A1296" i="4" s="1"/>
  <c r="B1296" i="4" s="1"/>
  <c r="C1296" i="4" s="1"/>
  <c r="D1296" i="4" s="1"/>
  <c r="F1300" i="3"/>
  <c r="F1299" i="3"/>
  <c r="G1299" i="3"/>
  <c r="A1294" i="4"/>
  <c r="B1294" i="4" s="1"/>
  <c r="C1294" i="4" s="1"/>
  <c r="D1294" i="4" s="1"/>
  <c r="G1298" i="3"/>
  <c r="F1298" i="3"/>
  <c r="F1297" i="3"/>
  <c r="G1297" i="3"/>
  <c r="G1296" i="3"/>
  <c r="A1292" i="4" s="1"/>
  <c r="B1292" i="4" s="1"/>
  <c r="C1292" i="4" s="1"/>
  <c r="D1292" i="4" s="1"/>
  <c r="F1296" i="3"/>
  <c r="F1295" i="3"/>
  <c r="G1295" i="3"/>
  <c r="A1290" i="4"/>
  <c r="B1290" i="4" s="1"/>
  <c r="C1290" i="4" s="1"/>
  <c r="D1290" i="4" s="1"/>
  <c r="G1294" i="3"/>
  <c r="F1294" i="3"/>
  <c r="F1293" i="3"/>
  <c r="G1293" i="3"/>
  <c r="G1292" i="3"/>
  <c r="A1288" i="4" s="1"/>
  <c r="B1288" i="4" s="1"/>
  <c r="C1288" i="4" s="1"/>
  <c r="D1288" i="4" s="1"/>
  <c r="F1292" i="3"/>
  <c r="F1291" i="3"/>
  <c r="G1291" i="3"/>
  <c r="A1286" i="4"/>
  <c r="B1286" i="4" s="1"/>
  <c r="C1286" i="4" s="1"/>
  <c r="D1286" i="4" s="1"/>
  <c r="G1290" i="3"/>
  <c r="F1290" i="3"/>
  <c r="F1289" i="3"/>
  <c r="G1289" i="3"/>
  <c r="G1288" i="3"/>
  <c r="A1284" i="4" s="1"/>
  <c r="B1284" i="4" s="1"/>
  <c r="C1284" i="4" s="1"/>
  <c r="D1284" i="4" s="1"/>
  <c r="F1288" i="3"/>
  <c r="F1287" i="3"/>
  <c r="G1287" i="3"/>
  <c r="A1282" i="4"/>
  <c r="B1282" i="4" s="1"/>
  <c r="C1282" i="4" s="1"/>
  <c r="D1282" i="4" s="1"/>
  <c r="G1286" i="3"/>
  <c r="F1286" i="3"/>
  <c r="F1285" i="3"/>
  <c r="G1285" i="3"/>
  <c r="G1284" i="3"/>
  <c r="A1280" i="4" s="1"/>
  <c r="B1280" i="4" s="1"/>
  <c r="C1280" i="4" s="1"/>
  <c r="D1280" i="4" s="1"/>
  <c r="F1284" i="3"/>
  <c r="F1283" i="3"/>
  <c r="G1283" i="3"/>
  <c r="A1278" i="4"/>
  <c r="B1278" i="4" s="1"/>
  <c r="C1278" i="4" s="1"/>
  <c r="D1278" i="4" s="1"/>
  <c r="G1282" i="3"/>
  <c r="F1282" i="3"/>
  <c r="F1281" i="3"/>
  <c r="G1281" i="3"/>
  <c r="G1280" i="3"/>
  <c r="A1276" i="4" s="1"/>
  <c r="B1276" i="4" s="1"/>
  <c r="C1276" i="4" s="1"/>
  <c r="D1276" i="4" s="1"/>
  <c r="F1280" i="3"/>
  <c r="F1279" i="3"/>
  <c r="G1279" i="3"/>
  <c r="A1274" i="4"/>
  <c r="B1274" i="4" s="1"/>
  <c r="C1274" i="4" s="1"/>
  <c r="D1274" i="4" s="1"/>
  <c r="G1278" i="3"/>
  <c r="F1278" i="3"/>
  <c r="F1277" i="3"/>
  <c r="G1277" i="3"/>
  <c r="G1276" i="3"/>
  <c r="A1272" i="4" s="1"/>
  <c r="B1272" i="4" s="1"/>
  <c r="C1272" i="4" s="1"/>
  <c r="D1272" i="4" s="1"/>
  <c r="F1276" i="3"/>
  <c r="F1275" i="3"/>
  <c r="G1275" i="3"/>
  <c r="A1270" i="4"/>
  <c r="B1270" i="4" s="1"/>
  <c r="C1270" i="4" s="1"/>
  <c r="D1270" i="4" s="1"/>
  <c r="G1274" i="3"/>
  <c r="F1274" i="3"/>
  <c r="F1273" i="3"/>
  <c r="G1273" i="3"/>
  <c r="G1272" i="3"/>
  <c r="A1268" i="4" s="1"/>
  <c r="B1268" i="4" s="1"/>
  <c r="C1268" i="4" s="1"/>
  <c r="D1268" i="4" s="1"/>
  <c r="F1272" i="3"/>
  <c r="F1271" i="3"/>
  <c r="G1271" i="3"/>
  <c r="A1266" i="4"/>
  <c r="B1266" i="4" s="1"/>
  <c r="C1266" i="4" s="1"/>
  <c r="D1266" i="4" s="1"/>
  <c r="G1270" i="3"/>
  <c r="F1270" i="3"/>
  <c r="F1269" i="3"/>
  <c r="G1269" i="3"/>
  <c r="G1268" i="3"/>
  <c r="A1264" i="4" s="1"/>
  <c r="B1264" i="4" s="1"/>
  <c r="C1264" i="4" s="1"/>
  <c r="D1264" i="4" s="1"/>
  <c r="F1268" i="3"/>
  <c r="I1263" i="4"/>
  <c r="F1267" i="3"/>
  <c r="G1267" i="3"/>
  <c r="G1266" i="3"/>
  <c r="F1266" i="3"/>
  <c r="I1261" i="4"/>
  <c r="F1265" i="3"/>
  <c r="G1265" i="3"/>
  <c r="A1260" i="4"/>
  <c r="B1260" i="4" s="1"/>
  <c r="C1260" i="4" s="1"/>
  <c r="D1260" i="4" s="1"/>
  <c r="G1264" i="3"/>
  <c r="F1264" i="3"/>
  <c r="I1259" i="4"/>
  <c r="F1263" i="3"/>
  <c r="G1263" i="3"/>
  <c r="G1262" i="3"/>
  <c r="F1262" i="3"/>
  <c r="I1257" i="4"/>
  <c r="F1261" i="3"/>
  <c r="G1261" i="3"/>
  <c r="G1260" i="3"/>
  <c r="A1256" i="4" s="1"/>
  <c r="B1256" i="4" s="1"/>
  <c r="C1256" i="4" s="1"/>
  <c r="D1256" i="4" s="1"/>
  <c r="F1260" i="3"/>
  <c r="I1255" i="4"/>
  <c r="F1259" i="3"/>
  <c r="G1259" i="3"/>
  <c r="G1258" i="3"/>
  <c r="F1258" i="3"/>
  <c r="I1253" i="4"/>
  <c r="F1257" i="3"/>
  <c r="G1257" i="3"/>
  <c r="A1252" i="4"/>
  <c r="B1252" i="4" s="1"/>
  <c r="C1252" i="4" s="1"/>
  <c r="D1252" i="4" s="1"/>
  <c r="G1256" i="3"/>
  <c r="F1256" i="3"/>
  <c r="I1251" i="4"/>
  <c r="F1255" i="3"/>
  <c r="G1255" i="3"/>
  <c r="G1254" i="3"/>
  <c r="F1254" i="3"/>
  <c r="I1249" i="4"/>
  <c r="F1253" i="3"/>
  <c r="G1253" i="3"/>
  <c r="G1252" i="3"/>
  <c r="A1248" i="4" s="1"/>
  <c r="B1248" i="4" s="1"/>
  <c r="C1248" i="4" s="1"/>
  <c r="D1248" i="4" s="1"/>
  <c r="F1252" i="3"/>
  <c r="I1247" i="4"/>
  <c r="F1251" i="3"/>
  <c r="G1251" i="3"/>
  <c r="G1250" i="3"/>
  <c r="F1250" i="3"/>
  <c r="I1245" i="4"/>
  <c r="F1249" i="3"/>
  <c r="G1249" i="3"/>
  <c r="A1244" i="4"/>
  <c r="B1244" i="4" s="1"/>
  <c r="C1244" i="4" s="1"/>
  <c r="D1244" i="4" s="1"/>
  <c r="G1248" i="3"/>
  <c r="F1248" i="3"/>
  <c r="I1243" i="4"/>
  <c r="F1247" i="3"/>
  <c r="G1247" i="3"/>
  <c r="G1246" i="3"/>
  <c r="F1246" i="3"/>
  <c r="I1241" i="4"/>
  <c r="F1245" i="3"/>
  <c r="G1245" i="3"/>
  <c r="G1244" i="3"/>
  <c r="A1240" i="4" s="1"/>
  <c r="B1240" i="4" s="1"/>
  <c r="C1240" i="4" s="1"/>
  <c r="D1240" i="4" s="1"/>
  <c r="F1244" i="3"/>
  <c r="I1239" i="4"/>
  <c r="F1243" i="3"/>
  <c r="G1243" i="3"/>
  <c r="G1242" i="3"/>
  <c r="F1242" i="3"/>
  <c r="I1237" i="4"/>
  <c r="F1241" i="3"/>
  <c r="G1241" i="3"/>
  <c r="A1236" i="4"/>
  <c r="B1236" i="4" s="1"/>
  <c r="C1236" i="4" s="1"/>
  <c r="D1236" i="4" s="1"/>
  <c r="G1240" i="3"/>
  <c r="F1240" i="3"/>
  <c r="I1235" i="4"/>
  <c r="F1239" i="3"/>
  <c r="G1239" i="3"/>
  <c r="G1238" i="3"/>
  <c r="F1238" i="3"/>
  <c r="F1237" i="3"/>
  <c r="G1237" i="3"/>
  <c r="G1236" i="3"/>
  <c r="F1236" i="3"/>
  <c r="F1235" i="3"/>
  <c r="G1235" i="3"/>
  <c r="I1230" i="4"/>
  <c r="G1234" i="3"/>
  <c r="A1230" i="4" s="1"/>
  <c r="B1230" i="4" s="1"/>
  <c r="C1230" i="4" s="1"/>
  <c r="D1230" i="4" s="1"/>
  <c r="F1234" i="3"/>
  <c r="F1233" i="3"/>
  <c r="G1233" i="3"/>
  <c r="I1228" i="4"/>
  <c r="G1232" i="3"/>
  <c r="F1232" i="3"/>
  <c r="F1231" i="3"/>
  <c r="G1231" i="3"/>
  <c r="I1226" i="4"/>
  <c r="A1226" i="4"/>
  <c r="B1226" i="4" s="1"/>
  <c r="C1226" i="4" s="1"/>
  <c r="D1226" i="4" s="1"/>
  <c r="G1230" i="3"/>
  <c r="F1230" i="3"/>
  <c r="F1229" i="3"/>
  <c r="G1229" i="3"/>
  <c r="I1224" i="4"/>
  <c r="G1228" i="3"/>
  <c r="F1228" i="3"/>
  <c r="F1227" i="3"/>
  <c r="G1227" i="3"/>
  <c r="I1222" i="4"/>
  <c r="G1226" i="3"/>
  <c r="A1222" i="4" s="1"/>
  <c r="B1222" i="4" s="1"/>
  <c r="C1222" i="4" s="1"/>
  <c r="D1222" i="4" s="1"/>
  <c r="F1226" i="3"/>
  <c r="F1225" i="3"/>
  <c r="G1225" i="3"/>
  <c r="I1220" i="4"/>
  <c r="G1224" i="3"/>
  <c r="F1224" i="3"/>
  <c r="F1223" i="3"/>
  <c r="G1223" i="3"/>
  <c r="I1218" i="4"/>
  <c r="A1218" i="4"/>
  <c r="B1218" i="4" s="1"/>
  <c r="C1218" i="4" s="1"/>
  <c r="D1218" i="4" s="1"/>
  <c r="G1222" i="3"/>
  <c r="F1222" i="3"/>
  <c r="F1221" i="3"/>
  <c r="G1221" i="3"/>
  <c r="I1216" i="4"/>
  <c r="G1220" i="3"/>
  <c r="F1220" i="3"/>
  <c r="F1219" i="3"/>
  <c r="G1219" i="3"/>
  <c r="I1214" i="4"/>
  <c r="G1218" i="3"/>
  <c r="A1214" i="4" s="1"/>
  <c r="B1214" i="4" s="1"/>
  <c r="C1214" i="4" s="1"/>
  <c r="D1214" i="4" s="1"/>
  <c r="F1218" i="3"/>
  <c r="I1212" i="4"/>
  <c r="I1210" i="4"/>
  <c r="I1208" i="4"/>
  <c r="I1206" i="4"/>
  <c r="I1204" i="4"/>
  <c r="I1202" i="4"/>
  <c r="I1200" i="4"/>
  <c r="I1198" i="4"/>
  <c r="I1196" i="4"/>
  <c r="I1194" i="4"/>
  <c r="I1192" i="4"/>
  <c r="I1190" i="4"/>
  <c r="I1188" i="4"/>
  <c r="I1186" i="4"/>
  <c r="I1184" i="4"/>
  <c r="I1182" i="4"/>
  <c r="I1180" i="4"/>
  <c r="I1178" i="4"/>
  <c r="I1176" i="4"/>
  <c r="I1174" i="4"/>
  <c r="I1172" i="4"/>
  <c r="I1170" i="4"/>
  <c r="I1168" i="4"/>
  <c r="I1166" i="4"/>
  <c r="I1164" i="4"/>
  <c r="I1162" i="4"/>
  <c r="I1160" i="4"/>
  <c r="I1158" i="4"/>
  <c r="I1156" i="4"/>
  <c r="I1154" i="4"/>
  <c r="I1152" i="4"/>
  <c r="I1150" i="4"/>
  <c r="I1148" i="4"/>
  <c r="I1146" i="4"/>
  <c r="I1144" i="4"/>
  <c r="I1142" i="4"/>
  <c r="I1140" i="4"/>
  <c r="I1138" i="4"/>
  <c r="I1136" i="4"/>
  <c r="I1134" i="4"/>
  <c r="I1132" i="4"/>
  <c r="I1130" i="4"/>
  <c r="I1128" i="4"/>
  <c r="I1126" i="4"/>
  <c r="I1124" i="4"/>
  <c r="I1122" i="4"/>
  <c r="I1120" i="4"/>
  <c r="I1118" i="4"/>
  <c r="I1116" i="4"/>
  <c r="I1114" i="4"/>
  <c r="I1112" i="4"/>
  <c r="I1110" i="4"/>
  <c r="I1108" i="4"/>
  <c r="I1106" i="4"/>
  <c r="I1104" i="4"/>
  <c r="I1102" i="4"/>
  <c r="I1100" i="4"/>
  <c r="I1098" i="4"/>
  <c r="I1096" i="4"/>
  <c r="I1094" i="4"/>
  <c r="I1092" i="4"/>
  <c r="I1090" i="4"/>
  <c r="I1088" i="4"/>
  <c r="I1086" i="4"/>
  <c r="I1084" i="4"/>
  <c r="I1082" i="4"/>
  <c r="I1080" i="4"/>
  <c r="I1078" i="4"/>
  <c r="I1076" i="4"/>
  <c r="I1074" i="4"/>
  <c r="I1072" i="4"/>
  <c r="I1070" i="4"/>
  <c r="I1068" i="4"/>
  <c r="I1066" i="4"/>
  <c r="I1064" i="4"/>
  <c r="I1062" i="4"/>
  <c r="I1060" i="4"/>
  <c r="I1058" i="4"/>
  <c r="I1056" i="4"/>
  <c r="I1054" i="4"/>
  <c r="I1052" i="4"/>
  <c r="I1050" i="4"/>
  <c r="I1048" i="4"/>
  <c r="I1046" i="4"/>
  <c r="I1044" i="4"/>
  <c r="I1042" i="4"/>
  <c r="I1040" i="4"/>
  <c r="I1038" i="4"/>
  <c r="I1036" i="4"/>
  <c r="I1034" i="4"/>
  <c r="I1032" i="4"/>
  <c r="I1030" i="4"/>
  <c r="I1028" i="4"/>
  <c r="I1026" i="4"/>
  <c r="I1024" i="4"/>
  <c r="I1020" i="4"/>
  <c r="I1018" i="4"/>
  <c r="I1016" i="4"/>
  <c r="I1014" i="4"/>
  <c r="I1012" i="4"/>
  <c r="I1010" i="4"/>
  <c r="I1008" i="4"/>
  <c r="I1006" i="4"/>
  <c r="I1004" i="4"/>
  <c r="I1002" i="4"/>
  <c r="I1000" i="4"/>
  <c r="I998" i="4"/>
  <c r="I996" i="4"/>
  <c r="I994" i="4"/>
  <c r="I992" i="4"/>
  <c r="I990" i="4"/>
  <c r="I988" i="4"/>
  <c r="I986" i="4"/>
  <c r="I984" i="4"/>
  <c r="I982" i="4"/>
  <c r="I980" i="4"/>
  <c r="I978" i="4"/>
  <c r="I976" i="4"/>
  <c r="I974" i="4"/>
  <c r="I972" i="4"/>
  <c r="I970" i="4"/>
  <c r="I968" i="4"/>
  <c r="I966" i="4"/>
  <c r="I964" i="4"/>
  <c r="I962" i="4"/>
  <c r="I960" i="4"/>
  <c r="I958" i="4"/>
  <c r="I956" i="4"/>
  <c r="I954" i="4"/>
  <c r="I952" i="4"/>
  <c r="I950" i="4"/>
  <c r="I948" i="4"/>
  <c r="I946" i="4"/>
  <c r="I944" i="4"/>
  <c r="I942" i="4"/>
  <c r="I940" i="4"/>
  <c r="I938" i="4"/>
  <c r="I936" i="4"/>
  <c r="I934" i="4"/>
  <c r="I932" i="4"/>
  <c r="I930" i="4"/>
  <c r="I928" i="4"/>
  <c r="I926" i="4"/>
  <c r="I924" i="4"/>
  <c r="I922" i="4"/>
  <c r="I920" i="4"/>
  <c r="I918" i="4"/>
  <c r="I916" i="4"/>
  <c r="I914" i="4"/>
  <c r="I912" i="4"/>
  <c r="I910" i="4"/>
  <c r="I908" i="4"/>
  <c r="I906" i="4"/>
  <c r="I904" i="4"/>
  <c r="I902" i="4"/>
  <c r="I900" i="4"/>
  <c r="I898" i="4"/>
  <c r="I896" i="4"/>
  <c r="I894" i="4"/>
  <c r="I892" i="4"/>
  <c r="I890" i="4"/>
  <c r="I888" i="4"/>
  <c r="I886" i="4"/>
  <c r="I884" i="4"/>
  <c r="I882" i="4"/>
  <c r="I880" i="4"/>
  <c r="I878" i="4"/>
  <c r="I876" i="4"/>
  <c r="I874" i="4"/>
  <c r="I872" i="4"/>
  <c r="I870" i="4"/>
  <c r="I868" i="4"/>
  <c r="I866" i="4"/>
  <c r="I864" i="4"/>
  <c r="I862" i="4"/>
  <c r="I860" i="4"/>
  <c r="I858" i="4"/>
  <c r="I856" i="4"/>
  <c r="I854" i="4"/>
  <c r="I852" i="4"/>
  <c r="I850" i="4"/>
  <c r="I848" i="4"/>
  <c r="I846" i="4"/>
  <c r="I844" i="4"/>
  <c r="I842" i="4"/>
  <c r="I840" i="4"/>
  <c r="I838" i="4"/>
  <c r="I836" i="4"/>
  <c r="I834" i="4"/>
  <c r="I832" i="4"/>
  <c r="I830" i="4"/>
  <c r="I828" i="4"/>
  <c r="G568" i="3"/>
  <c r="F568" i="3"/>
  <c r="A562" i="4"/>
  <c r="B562" i="4" s="1"/>
  <c r="C562" i="4" s="1"/>
  <c r="D562" i="4" s="1"/>
  <c r="G566" i="3"/>
  <c r="F566" i="3"/>
  <c r="G564" i="3"/>
  <c r="F564" i="3"/>
  <c r="G562" i="3"/>
  <c r="A558" i="4" s="1"/>
  <c r="B558" i="4" s="1"/>
  <c r="C558" i="4" s="1"/>
  <c r="D558" i="4" s="1"/>
  <c r="F562" i="3"/>
  <c r="G560" i="3"/>
  <c r="F560" i="3"/>
  <c r="A554" i="4"/>
  <c r="B554" i="4" s="1"/>
  <c r="C554" i="4" s="1"/>
  <c r="D554" i="4" s="1"/>
  <c r="G558" i="3"/>
  <c r="F558" i="3"/>
  <c r="G556" i="3"/>
  <c r="F556" i="3"/>
  <c r="G554" i="3"/>
  <c r="A550" i="4" s="1"/>
  <c r="B550" i="4" s="1"/>
  <c r="C550" i="4" s="1"/>
  <c r="D550" i="4" s="1"/>
  <c r="F554" i="3"/>
  <c r="G552" i="3"/>
  <c r="F552" i="3"/>
  <c r="A546" i="4"/>
  <c r="B546" i="4" s="1"/>
  <c r="C546" i="4" s="1"/>
  <c r="D546" i="4" s="1"/>
  <c r="G550" i="3"/>
  <c r="F550" i="3"/>
  <c r="G548" i="3"/>
  <c r="F548" i="3"/>
  <c r="G546" i="3"/>
  <c r="A542" i="4" s="1"/>
  <c r="B542" i="4" s="1"/>
  <c r="C542" i="4" s="1"/>
  <c r="D542" i="4" s="1"/>
  <c r="F546" i="3"/>
  <c r="G544" i="3"/>
  <c r="F544" i="3"/>
  <c r="A538" i="4"/>
  <c r="B538" i="4" s="1"/>
  <c r="C538" i="4" s="1"/>
  <c r="D538" i="4" s="1"/>
  <c r="G542" i="3"/>
  <c r="F542" i="3"/>
  <c r="G540" i="3"/>
  <c r="F540" i="3"/>
  <c r="G538" i="3"/>
  <c r="A534" i="4" s="1"/>
  <c r="B534" i="4" s="1"/>
  <c r="C534" i="4" s="1"/>
  <c r="D534" i="4" s="1"/>
  <c r="F538" i="3"/>
  <c r="G536" i="3"/>
  <c r="F536" i="3"/>
  <c r="A530" i="4"/>
  <c r="B530" i="4" s="1"/>
  <c r="C530" i="4" s="1"/>
  <c r="D530" i="4" s="1"/>
  <c r="G534" i="3"/>
  <c r="F534" i="3"/>
  <c r="G532" i="3"/>
  <c r="F532" i="3"/>
  <c r="G530" i="3"/>
  <c r="A526" i="4" s="1"/>
  <c r="B526" i="4" s="1"/>
  <c r="C526" i="4" s="1"/>
  <c r="D526" i="4" s="1"/>
  <c r="F530" i="3"/>
  <c r="G528" i="3"/>
  <c r="F528" i="3"/>
  <c r="A522" i="4"/>
  <c r="B522" i="4" s="1"/>
  <c r="C522" i="4" s="1"/>
  <c r="D522" i="4" s="1"/>
  <c r="G526" i="3"/>
  <c r="F526" i="3"/>
  <c r="G524" i="3"/>
  <c r="F524" i="3"/>
  <c r="G522" i="3"/>
  <c r="A518" i="4" s="1"/>
  <c r="B518" i="4" s="1"/>
  <c r="C518" i="4" s="1"/>
  <c r="D518" i="4" s="1"/>
  <c r="F522" i="3"/>
  <c r="G520" i="3"/>
  <c r="F520" i="3"/>
  <c r="A514" i="4"/>
  <c r="B514" i="4" s="1"/>
  <c r="C514" i="4" s="1"/>
  <c r="D514" i="4" s="1"/>
  <c r="G518" i="3"/>
  <c r="F518" i="3"/>
  <c r="G516" i="3"/>
  <c r="F516" i="3"/>
  <c r="G514" i="3"/>
  <c r="A510" i="4" s="1"/>
  <c r="B510" i="4" s="1"/>
  <c r="C510" i="4" s="1"/>
  <c r="D510" i="4" s="1"/>
  <c r="F514" i="3"/>
  <c r="G512" i="3"/>
  <c r="F512" i="3"/>
  <c r="A506" i="4"/>
  <c r="B506" i="4" s="1"/>
  <c r="C506" i="4" s="1"/>
  <c r="D506" i="4" s="1"/>
  <c r="G510" i="3"/>
  <c r="F510" i="3"/>
  <c r="G508" i="3"/>
  <c r="F508" i="3"/>
  <c r="G506" i="3"/>
  <c r="A502" i="4" s="1"/>
  <c r="B502" i="4" s="1"/>
  <c r="C502" i="4" s="1"/>
  <c r="D502" i="4" s="1"/>
  <c r="F506" i="3"/>
  <c r="G504" i="3"/>
  <c r="F504" i="3"/>
  <c r="A498" i="4"/>
  <c r="B498" i="4" s="1"/>
  <c r="C498" i="4" s="1"/>
  <c r="D498" i="4" s="1"/>
  <c r="G502" i="3"/>
  <c r="F502" i="3"/>
  <c r="G500" i="3"/>
  <c r="F500" i="3"/>
  <c r="G498" i="3"/>
  <c r="A494" i="4" s="1"/>
  <c r="B494" i="4" s="1"/>
  <c r="C494" i="4" s="1"/>
  <c r="D494" i="4" s="1"/>
  <c r="F498" i="3"/>
  <c r="G496" i="3"/>
  <c r="F496" i="3"/>
  <c r="A490" i="4"/>
  <c r="B490" i="4" s="1"/>
  <c r="C490" i="4" s="1"/>
  <c r="D490" i="4" s="1"/>
  <c r="G494" i="3"/>
  <c r="F494" i="3"/>
  <c r="G492" i="3"/>
  <c r="F492" i="3"/>
  <c r="G490" i="3"/>
  <c r="A486" i="4" s="1"/>
  <c r="B486" i="4" s="1"/>
  <c r="C486" i="4" s="1"/>
  <c r="D486" i="4" s="1"/>
  <c r="F490" i="3"/>
  <c r="G488" i="3"/>
  <c r="F488" i="3"/>
  <c r="A482" i="4"/>
  <c r="B482" i="4" s="1"/>
  <c r="C482" i="4" s="1"/>
  <c r="D482" i="4" s="1"/>
  <c r="G486" i="3"/>
  <c r="F486" i="3"/>
  <c r="G484" i="3"/>
  <c r="F484" i="3"/>
  <c r="G482" i="3"/>
  <c r="A478" i="4" s="1"/>
  <c r="B478" i="4" s="1"/>
  <c r="C478" i="4" s="1"/>
  <c r="D478" i="4" s="1"/>
  <c r="F482" i="3"/>
  <c r="G480" i="3"/>
  <c r="F480" i="3"/>
  <c r="A474" i="4"/>
  <c r="B474" i="4" s="1"/>
  <c r="C474" i="4" s="1"/>
  <c r="D474" i="4" s="1"/>
  <c r="G478" i="3"/>
  <c r="F478" i="3"/>
  <c r="G476" i="3"/>
  <c r="F476" i="3"/>
  <c r="G474" i="3"/>
  <c r="A470" i="4" s="1"/>
  <c r="B470" i="4" s="1"/>
  <c r="C470" i="4" s="1"/>
  <c r="D470" i="4" s="1"/>
  <c r="F474" i="3"/>
  <c r="G472" i="3"/>
  <c r="F472" i="3"/>
  <c r="A466" i="4"/>
  <c r="B466" i="4" s="1"/>
  <c r="C466" i="4" s="1"/>
  <c r="D466" i="4" s="1"/>
  <c r="G470" i="3"/>
  <c r="F470" i="3"/>
  <c r="G468" i="3"/>
  <c r="F468" i="3"/>
  <c r="G466" i="3"/>
  <c r="A462" i="4" s="1"/>
  <c r="B462" i="4" s="1"/>
  <c r="C462" i="4" s="1"/>
  <c r="D462" i="4" s="1"/>
  <c r="F466" i="3"/>
  <c r="G464" i="3"/>
  <c r="F464" i="3"/>
  <c r="A458" i="4"/>
  <c r="B458" i="4" s="1"/>
  <c r="C458" i="4" s="1"/>
  <c r="D458" i="4" s="1"/>
  <c r="G462" i="3"/>
  <c r="F462" i="3"/>
  <c r="G460" i="3"/>
  <c r="F460" i="3"/>
  <c r="G458" i="3"/>
  <c r="A454" i="4" s="1"/>
  <c r="B454" i="4" s="1"/>
  <c r="C454" i="4" s="1"/>
  <c r="D454" i="4" s="1"/>
  <c r="F458" i="3"/>
  <c r="G456" i="3"/>
  <c r="F456" i="3"/>
  <c r="A450" i="4"/>
  <c r="B450" i="4" s="1"/>
  <c r="C450" i="4" s="1"/>
  <c r="D450" i="4" s="1"/>
  <c r="G454" i="3"/>
  <c r="F454" i="3"/>
  <c r="G452" i="3"/>
  <c r="F452" i="3"/>
  <c r="G450" i="3"/>
  <c r="A446" i="4" s="1"/>
  <c r="B446" i="4" s="1"/>
  <c r="C446" i="4" s="1"/>
  <c r="D446" i="4" s="1"/>
  <c r="F450" i="3"/>
  <c r="G448" i="3"/>
  <c r="F448" i="3"/>
  <c r="A442" i="4"/>
  <c r="B442" i="4" s="1"/>
  <c r="C442" i="4" s="1"/>
  <c r="D442" i="4" s="1"/>
  <c r="G446" i="3"/>
  <c r="F446" i="3"/>
  <c r="G444" i="3"/>
  <c r="F444" i="3"/>
  <c r="G442" i="3"/>
  <c r="A438" i="4" s="1"/>
  <c r="B438" i="4" s="1"/>
  <c r="C438" i="4" s="1"/>
  <c r="D438" i="4" s="1"/>
  <c r="F442" i="3"/>
  <c r="G440" i="3"/>
  <c r="F440" i="3"/>
  <c r="A434" i="4"/>
  <c r="B434" i="4" s="1"/>
  <c r="C434" i="4" s="1"/>
  <c r="D434" i="4" s="1"/>
  <c r="G438" i="3"/>
  <c r="F438" i="3"/>
  <c r="G436" i="3"/>
  <c r="F436" i="3"/>
  <c r="G434" i="3"/>
  <c r="A430" i="4" s="1"/>
  <c r="B430" i="4" s="1"/>
  <c r="C430" i="4" s="1"/>
  <c r="D430" i="4" s="1"/>
  <c r="F434" i="3"/>
  <c r="G432" i="3"/>
  <c r="F432" i="3"/>
  <c r="A426" i="4"/>
  <c r="B426" i="4" s="1"/>
  <c r="C426" i="4" s="1"/>
  <c r="D426" i="4" s="1"/>
  <c r="G430" i="3"/>
  <c r="F430" i="3"/>
  <c r="G428" i="3"/>
  <c r="F428" i="3"/>
  <c r="G426" i="3"/>
  <c r="A422" i="4" s="1"/>
  <c r="B422" i="4" s="1"/>
  <c r="C422" i="4" s="1"/>
  <c r="D422" i="4" s="1"/>
  <c r="F426" i="3"/>
  <c r="G424" i="3"/>
  <c r="F424" i="3"/>
  <c r="A418" i="4"/>
  <c r="B418" i="4" s="1"/>
  <c r="C418" i="4" s="1"/>
  <c r="D418" i="4" s="1"/>
  <c r="G422" i="3"/>
  <c r="F422" i="3"/>
  <c r="G420" i="3"/>
  <c r="F420" i="3"/>
  <c r="G418" i="3"/>
  <c r="A414" i="4" s="1"/>
  <c r="B414" i="4" s="1"/>
  <c r="C414" i="4" s="1"/>
  <c r="D414" i="4" s="1"/>
  <c r="F418" i="3"/>
  <c r="G416" i="3"/>
  <c r="F416" i="3"/>
  <c r="A410" i="4"/>
  <c r="B410" i="4" s="1"/>
  <c r="C410" i="4" s="1"/>
  <c r="D410" i="4" s="1"/>
  <c r="G414" i="3"/>
  <c r="F414" i="3"/>
  <c r="G412" i="3"/>
  <c r="F412" i="3"/>
  <c r="G410" i="3"/>
  <c r="A406" i="4" s="1"/>
  <c r="B406" i="4" s="1"/>
  <c r="C406" i="4" s="1"/>
  <c r="D406" i="4" s="1"/>
  <c r="F410" i="3"/>
  <c r="G408" i="3"/>
  <c r="F408" i="3"/>
  <c r="A402" i="4"/>
  <c r="B402" i="4" s="1"/>
  <c r="C402" i="4" s="1"/>
  <c r="D402" i="4" s="1"/>
  <c r="G406" i="3"/>
  <c r="F406" i="3"/>
  <c r="G404" i="3"/>
  <c r="F404" i="3"/>
  <c r="G402" i="3"/>
  <c r="A398" i="4" s="1"/>
  <c r="B398" i="4" s="1"/>
  <c r="C398" i="4" s="1"/>
  <c r="D398" i="4" s="1"/>
  <c r="F402" i="3"/>
  <c r="G400" i="3"/>
  <c r="F400" i="3"/>
  <c r="A394" i="4"/>
  <c r="B394" i="4" s="1"/>
  <c r="C394" i="4" s="1"/>
  <c r="D394" i="4" s="1"/>
  <c r="G398" i="3"/>
  <c r="F398" i="3"/>
  <c r="G396" i="3"/>
  <c r="F396" i="3"/>
  <c r="G394" i="3"/>
  <c r="A390" i="4" s="1"/>
  <c r="B390" i="4" s="1"/>
  <c r="C390" i="4" s="1"/>
  <c r="D390" i="4" s="1"/>
  <c r="F394" i="3"/>
  <c r="G392" i="3"/>
  <c r="F392" i="3"/>
  <c r="A386" i="4"/>
  <c r="B386" i="4" s="1"/>
  <c r="C386" i="4" s="1"/>
  <c r="D386" i="4" s="1"/>
  <c r="G390" i="3"/>
  <c r="F390" i="3"/>
  <c r="G388" i="3"/>
  <c r="F388" i="3"/>
  <c r="G386" i="3"/>
  <c r="A382" i="4" s="1"/>
  <c r="B382" i="4" s="1"/>
  <c r="C382" i="4" s="1"/>
  <c r="D382" i="4" s="1"/>
  <c r="F386" i="3"/>
  <c r="G384" i="3"/>
  <c r="F384" i="3"/>
  <c r="G382" i="3"/>
  <c r="A378" i="4" s="1"/>
  <c r="B378" i="4" s="1"/>
  <c r="C378" i="4" s="1"/>
  <c r="D378" i="4" s="1"/>
  <c r="F382" i="3"/>
  <c r="G380" i="3"/>
  <c r="F380" i="3"/>
  <c r="A374" i="4"/>
  <c r="B374" i="4" s="1"/>
  <c r="C374" i="4" s="1"/>
  <c r="D374" i="4" s="1"/>
  <c r="G378" i="3"/>
  <c r="F378" i="3"/>
  <c r="G376" i="3"/>
  <c r="F376" i="3"/>
  <c r="G374" i="3"/>
  <c r="A370" i="4" s="1"/>
  <c r="B370" i="4" s="1"/>
  <c r="C370" i="4" s="1"/>
  <c r="D370" i="4" s="1"/>
  <c r="F374" i="3"/>
  <c r="G372" i="3"/>
  <c r="F372" i="3"/>
  <c r="A366" i="4"/>
  <c r="B366" i="4" s="1"/>
  <c r="C366" i="4" s="1"/>
  <c r="D366" i="4" s="1"/>
  <c r="G370" i="3"/>
  <c r="F370" i="3"/>
  <c r="G368" i="3"/>
  <c r="F368" i="3"/>
  <c r="G366" i="3"/>
  <c r="A362" i="4" s="1"/>
  <c r="B362" i="4" s="1"/>
  <c r="C362" i="4" s="1"/>
  <c r="D362" i="4" s="1"/>
  <c r="F366" i="3"/>
  <c r="G364" i="3"/>
  <c r="F364" i="3"/>
  <c r="A358" i="4"/>
  <c r="B358" i="4" s="1"/>
  <c r="C358" i="4" s="1"/>
  <c r="D358" i="4" s="1"/>
  <c r="G362" i="3"/>
  <c r="F362" i="3"/>
  <c r="G360" i="3"/>
  <c r="F360" i="3"/>
  <c r="G358" i="3"/>
  <c r="A354" i="4" s="1"/>
  <c r="B354" i="4" s="1"/>
  <c r="C354" i="4" s="1"/>
  <c r="D354" i="4" s="1"/>
  <c r="F358" i="3"/>
  <c r="G356" i="3"/>
  <c r="F356" i="3"/>
  <c r="A350" i="4"/>
  <c r="B350" i="4" s="1"/>
  <c r="C350" i="4" s="1"/>
  <c r="D350" i="4" s="1"/>
  <c r="G354" i="3"/>
  <c r="F354" i="3"/>
  <c r="G352" i="3"/>
  <c r="F352" i="3"/>
  <c r="G350" i="3"/>
  <c r="A346" i="4" s="1"/>
  <c r="B346" i="4" s="1"/>
  <c r="C346" i="4" s="1"/>
  <c r="D346" i="4" s="1"/>
  <c r="F350" i="3"/>
  <c r="G348" i="3"/>
  <c r="F348" i="3"/>
  <c r="A342" i="4"/>
  <c r="B342" i="4" s="1"/>
  <c r="C342" i="4" s="1"/>
  <c r="D342" i="4" s="1"/>
  <c r="G346" i="3"/>
  <c r="F346" i="3"/>
  <c r="G344" i="3"/>
  <c r="F344" i="3"/>
  <c r="G342" i="3"/>
  <c r="A338" i="4" s="1"/>
  <c r="B338" i="4" s="1"/>
  <c r="C338" i="4" s="1"/>
  <c r="D338" i="4" s="1"/>
  <c r="F342" i="3"/>
  <c r="G340" i="3"/>
  <c r="F340" i="3"/>
  <c r="A334" i="4"/>
  <c r="B334" i="4" s="1"/>
  <c r="C334" i="4" s="1"/>
  <c r="D334" i="4" s="1"/>
  <c r="G338" i="3"/>
  <c r="F338" i="3"/>
  <c r="G336" i="3"/>
  <c r="F336" i="3"/>
  <c r="G334" i="3"/>
  <c r="A330" i="4" s="1"/>
  <c r="B330" i="4" s="1"/>
  <c r="C330" i="4" s="1"/>
  <c r="D330" i="4" s="1"/>
  <c r="F334" i="3"/>
  <c r="G332" i="3"/>
  <c r="F332" i="3"/>
  <c r="A326" i="4"/>
  <c r="B326" i="4" s="1"/>
  <c r="C326" i="4" s="1"/>
  <c r="D326" i="4" s="1"/>
  <c r="G330" i="3"/>
  <c r="F330" i="3"/>
  <c r="G328" i="3"/>
  <c r="F328" i="3"/>
  <c r="G326" i="3"/>
  <c r="A322" i="4" s="1"/>
  <c r="B322" i="4" s="1"/>
  <c r="C322" i="4" s="1"/>
  <c r="D322" i="4" s="1"/>
  <c r="F326" i="3"/>
  <c r="G324" i="3"/>
  <c r="F324" i="3"/>
  <c r="A318" i="4"/>
  <c r="B318" i="4" s="1"/>
  <c r="C318" i="4" s="1"/>
  <c r="D318" i="4" s="1"/>
  <c r="G322" i="3"/>
  <c r="F322" i="3"/>
  <c r="G320" i="3"/>
  <c r="F320" i="3"/>
  <c r="G318" i="3"/>
  <c r="A314" i="4" s="1"/>
  <c r="B314" i="4" s="1"/>
  <c r="C314" i="4" s="1"/>
  <c r="D314" i="4" s="1"/>
  <c r="F318" i="3"/>
  <c r="G316" i="3"/>
  <c r="F316" i="3"/>
  <c r="A310" i="4"/>
  <c r="B310" i="4" s="1"/>
  <c r="C310" i="4" s="1"/>
  <c r="D310" i="4" s="1"/>
  <c r="G314" i="3"/>
  <c r="F314" i="3"/>
  <c r="G312" i="3"/>
  <c r="F312" i="3"/>
  <c r="G310" i="3"/>
  <c r="A306" i="4" s="1"/>
  <c r="B306" i="4" s="1"/>
  <c r="C306" i="4" s="1"/>
  <c r="D306" i="4" s="1"/>
  <c r="F310" i="3"/>
  <c r="G308" i="3"/>
  <c r="F308" i="3"/>
  <c r="A302" i="4"/>
  <c r="B302" i="4" s="1"/>
  <c r="C302" i="4" s="1"/>
  <c r="D302" i="4" s="1"/>
  <c r="G306" i="3"/>
  <c r="F306" i="3"/>
  <c r="G304" i="3"/>
  <c r="F304" i="3"/>
  <c r="G302" i="3"/>
  <c r="A298" i="4" s="1"/>
  <c r="B298" i="4" s="1"/>
  <c r="C298" i="4" s="1"/>
  <c r="D298" i="4" s="1"/>
  <c r="F302" i="3"/>
  <c r="G300" i="3"/>
  <c r="F300" i="3"/>
  <c r="A294" i="4"/>
  <c r="B294" i="4" s="1"/>
  <c r="C294" i="4" s="1"/>
  <c r="D294" i="4" s="1"/>
  <c r="G298" i="3"/>
  <c r="F298" i="3"/>
  <c r="G296" i="3"/>
  <c r="F296" i="3"/>
  <c r="G294" i="3"/>
  <c r="A290" i="4" s="1"/>
  <c r="B290" i="4" s="1"/>
  <c r="C290" i="4" s="1"/>
  <c r="D290" i="4" s="1"/>
  <c r="F294" i="3"/>
  <c r="G292" i="3"/>
  <c r="F292" i="3"/>
  <c r="A286" i="4"/>
  <c r="B286" i="4" s="1"/>
  <c r="C286" i="4" s="1"/>
  <c r="D286" i="4" s="1"/>
  <c r="G290" i="3"/>
  <c r="F290" i="3"/>
  <c r="G288" i="3"/>
  <c r="F288" i="3"/>
  <c r="G286" i="3"/>
  <c r="A282" i="4" s="1"/>
  <c r="B282" i="4" s="1"/>
  <c r="C282" i="4" s="1"/>
  <c r="D282" i="4" s="1"/>
  <c r="F286" i="3"/>
  <c r="G284" i="3"/>
  <c r="F284" i="3"/>
  <c r="A278" i="4"/>
  <c r="B278" i="4" s="1"/>
  <c r="C278" i="4" s="1"/>
  <c r="D278" i="4" s="1"/>
  <c r="G282" i="3"/>
  <c r="F282" i="3"/>
  <c r="G280" i="3"/>
  <c r="F280" i="3"/>
  <c r="G278" i="3"/>
  <c r="A274" i="4" s="1"/>
  <c r="B274" i="4" s="1"/>
  <c r="C274" i="4" s="1"/>
  <c r="D274" i="4" s="1"/>
  <c r="F278" i="3"/>
  <c r="G276" i="3"/>
  <c r="F276" i="3"/>
  <c r="A270" i="4"/>
  <c r="B270" i="4" s="1"/>
  <c r="C270" i="4" s="1"/>
  <c r="D270" i="4" s="1"/>
  <c r="G274" i="3"/>
  <c r="F274" i="3"/>
  <c r="G272" i="3"/>
  <c r="F272" i="3"/>
  <c r="G270" i="3"/>
  <c r="A266" i="4" s="1"/>
  <c r="B266" i="4" s="1"/>
  <c r="C266" i="4" s="1"/>
  <c r="D266" i="4" s="1"/>
  <c r="F270" i="3"/>
  <c r="G268" i="3"/>
  <c r="F268" i="3"/>
  <c r="A262" i="4"/>
  <c r="B262" i="4" s="1"/>
  <c r="C262" i="4" s="1"/>
  <c r="D262" i="4" s="1"/>
  <c r="G266" i="3"/>
  <c r="F266" i="3"/>
  <c r="G264" i="3"/>
  <c r="F264" i="3"/>
  <c r="G262" i="3"/>
  <c r="A258" i="4" s="1"/>
  <c r="B258" i="4" s="1"/>
  <c r="C258" i="4" s="1"/>
  <c r="D258" i="4" s="1"/>
  <c r="F262" i="3"/>
  <c r="G260" i="3"/>
  <c r="F260" i="3"/>
  <c r="A254" i="4"/>
  <c r="B254" i="4" s="1"/>
  <c r="C254" i="4" s="1"/>
  <c r="D254" i="4" s="1"/>
  <c r="G258" i="3"/>
  <c r="F258" i="3"/>
  <c r="G256" i="3"/>
  <c r="F256" i="3"/>
  <c r="G254" i="3"/>
  <c r="A250" i="4" s="1"/>
  <c r="B250" i="4" s="1"/>
  <c r="C250" i="4" s="1"/>
  <c r="D250" i="4" s="1"/>
  <c r="F254" i="3"/>
  <c r="G252" i="3"/>
  <c r="F252" i="3"/>
  <c r="A246" i="4"/>
  <c r="B246" i="4" s="1"/>
  <c r="C246" i="4" s="1"/>
  <c r="D246" i="4" s="1"/>
  <c r="G250" i="3"/>
  <c r="F250" i="3"/>
  <c r="G248" i="3"/>
  <c r="F248" i="3"/>
  <c r="G246" i="3"/>
  <c r="A242" i="4" s="1"/>
  <c r="B242" i="4" s="1"/>
  <c r="C242" i="4" s="1"/>
  <c r="D242" i="4" s="1"/>
  <c r="F246" i="3"/>
  <c r="G244" i="3"/>
  <c r="F244" i="3"/>
  <c r="A238" i="4"/>
  <c r="B238" i="4" s="1"/>
  <c r="C238" i="4" s="1"/>
  <c r="D238" i="4" s="1"/>
  <c r="G242" i="3"/>
  <c r="F242" i="3"/>
  <c r="G240" i="3"/>
  <c r="F240" i="3"/>
  <c r="G238" i="3"/>
  <c r="A234" i="4" s="1"/>
  <c r="B234" i="4" s="1"/>
  <c r="C234" i="4" s="1"/>
  <c r="D234" i="4" s="1"/>
  <c r="F238" i="3"/>
  <c r="G236" i="3"/>
  <c r="F236" i="3"/>
  <c r="A230" i="4"/>
  <c r="B230" i="4" s="1"/>
  <c r="C230" i="4" s="1"/>
  <c r="D230" i="4" s="1"/>
  <c r="G234" i="3"/>
  <c r="F234" i="3"/>
  <c r="G232" i="3"/>
  <c r="F232" i="3"/>
  <c r="G230" i="3"/>
  <c r="A226" i="4" s="1"/>
  <c r="B226" i="4" s="1"/>
  <c r="C226" i="4" s="1"/>
  <c r="D226" i="4" s="1"/>
  <c r="F230" i="3"/>
  <c r="G228" i="3"/>
  <c r="F228" i="3"/>
  <c r="A222" i="4"/>
  <c r="B222" i="4" s="1"/>
  <c r="C222" i="4" s="1"/>
  <c r="D222" i="4" s="1"/>
  <c r="G226" i="3"/>
  <c r="F226" i="3"/>
  <c r="G224" i="3"/>
  <c r="F224" i="3"/>
  <c r="G222" i="3"/>
  <c r="A218" i="4" s="1"/>
  <c r="B218" i="4" s="1"/>
  <c r="C218" i="4" s="1"/>
  <c r="D218" i="4" s="1"/>
  <c r="F222" i="3"/>
  <c r="G220" i="3"/>
  <c r="F220" i="3"/>
  <c r="A214" i="4"/>
  <c r="B214" i="4" s="1"/>
  <c r="C214" i="4" s="1"/>
  <c r="D214" i="4" s="1"/>
  <c r="G218" i="3"/>
  <c r="F218" i="3"/>
  <c r="G216" i="3"/>
  <c r="F216" i="3"/>
  <c r="G214" i="3"/>
  <c r="A210" i="4" s="1"/>
  <c r="B210" i="4" s="1"/>
  <c r="C210" i="4" s="1"/>
  <c r="D210" i="4" s="1"/>
  <c r="F214" i="3"/>
  <c r="G212" i="3"/>
  <c r="F212" i="3"/>
  <c r="A206" i="4"/>
  <c r="B206" i="4" s="1"/>
  <c r="C206" i="4" s="1"/>
  <c r="D206" i="4" s="1"/>
  <c r="G210" i="3"/>
  <c r="F210" i="3"/>
  <c r="G208" i="3"/>
  <c r="F208" i="3"/>
  <c r="G206" i="3"/>
  <c r="A202" i="4" s="1"/>
  <c r="B202" i="4" s="1"/>
  <c r="C202" i="4" s="1"/>
  <c r="D202" i="4" s="1"/>
  <c r="F206" i="3"/>
  <c r="G204" i="3"/>
  <c r="F204" i="3"/>
  <c r="A198" i="4"/>
  <c r="B198" i="4" s="1"/>
  <c r="C198" i="4" s="1"/>
  <c r="D198" i="4" s="1"/>
  <c r="G202" i="3"/>
  <c r="F202" i="3"/>
  <c r="G200" i="3"/>
  <c r="F200" i="3"/>
  <c r="G198" i="3"/>
  <c r="A194" i="4" s="1"/>
  <c r="B194" i="4" s="1"/>
  <c r="C194" i="4" s="1"/>
  <c r="D194" i="4" s="1"/>
  <c r="F198" i="3"/>
  <c r="G196" i="3"/>
  <c r="F196" i="3"/>
  <c r="A190" i="4"/>
  <c r="B190" i="4" s="1"/>
  <c r="C190" i="4" s="1"/>
  <c r="D190" i="4" s="1"/>
  <c r="G194" i="3"/>
  <c r="F194" i="3"/>
  <c r="G192" i="3"/>
  <c r="F192" i="3"/>
  <c r="G190" i="3"/>
  <c r="A186" i="4" s="1"/>
  <c r="F190" i="3"/>
  <c r="G188" i="3"/>
  <c r="F188" i="3"/>
  <c r="A182" i="4"/>
  <c r="B182" i="4" s="1"/>
  <c r="C182" i="4" s="1"/>
  <c r="D182" i="4" s="1"/>
  <c r="G186" i="3"/>
  <c r="F186" i="3"/>
  <c r="G184" i="3"/>
  <c r="F184" i="3"/>
  <c r="G182" i="3"/>
  <c r="A178" i="4" s="1"/>
  <c r="B178" i="4" s="1"/>
  <c r="C178" i="4" s="1"/>
  <c r="D178" i="4" s="1"/>
  <c r="F182" i="3"/>
  <c r="G180" i="3"/>
  <c r="F180" i="3"/>
  <c r="A174" i="4"/>
  <c r="G178" i="3"/>
  <c r="F178" i="3"/>
  <c r="G176" i="3"/>
  <c r="F176" i="3"/>
  <c r="G174" i="3"/>
  <c r="A170" i="4" s="1"/>
  <c r="B170" i="4" s="1"/>
  <c r="C170" i="4" s="1"/>
  <c r="D170" i="4" s="1"/>
  <c r="F174" i="3"/>
  <c r="G172" i="3"/>
  <c r="F172" i="3"/>
  <c r="A166" i="4"/>
  <c r="B166" i="4" s="1"/>
  <c r="C166" i="4" s="1"/>
  <c r="D166" i="4" s="1"/>
  <c r="G170" i="3"/>
  <c r="F170" i="3"/>
  <c r="G168" i="3"/>
  <c r="F168" i="3"/>
  <c r="G166" i="3"/>
  <c r="A162" i="4" s="1"/>
  <c r="B162" i="4" s="1"/>
  <c r="C162" i="4" s="1"/>
  <c r="D162" i="4" s="1"/>
  <c r="F166" i="3"/>
  <c r="G164" i="3"/>
  <c r="F164" i="3"/>
  <c r="A158" i="4"/>
  <c r="B158" i="4" s="1"/>
  <c r="C158" i="4" s="1"/>
  <c r="D158" i="4" s="1"/>
  <c r="G162" i="3"/>
  <c r="F162" i="3"/>
  <c r="G160" i="3"/>
  <c r="F160" i="3"/>
  <c r="G158" i="3"/>
  <c r="A154" i="4" s="1"/>
  <c r="B154" i="4" s="1"/>
  <c r="C154" i="4" s="1"/>
  <c r="D154" i="4" s="1"/>
  <c r="F158" i="3"/>
  <c r="G156" i="3"/>
  <c r="F156" i="3"/>
  <c r="A150" i="4"/>
  <c r="B150" i="4" s="1"/>
  <c r="C150" i="4" s="1"/>
  <c r="D150" i="4" s="1"/>
  <c r="G154" i="3"/>
  <c r="F154" i="3"/>
  <c r="G152" i="3"/>
  <c r="F152" i="3"/>
  <c r="G150" i="3"/>
  <c r="A146" i="4" s="1"/>
  <c r="B146" i="4" s="1"/>
  <c r="C146" i="4" s="1"/>
  <c r="D146" i="4" s="1"/>
  <c r="F150" i="3"/>
  <c r="G148" i="3"/>
  <c r="F148" i="3"/>
  <c r="A142" i="4"/>
  <c r="B142" i="4" s="1"/>
  <c r="C142" i="4" s="1"/>
  <c r="D142" i="4" s="1"/>
  <c r="G146" i="3"/>
  <c r="F146" i="3"/>
  <c r="G144" i="3"/>
  <c r="F144" i="3"/>
  <c r="G142" i="3"/>
  <c r="A138" i="4" s="1"/>
  <c r="B138" i="4" s="1"/>
  <c r="C138" i="4" s="1"/>
  <c r="D138" i="4" s="1"/>
  <c r="F142" i="3"/>
  <c r="G140" i="3"/>
  <c r="F140" i="3"/>
  <c r="A134" i="4"/>
  <c r="B134" i="4" s="1"/>
  <c r="C134" i="4" s="1"/>
  <c r="D134" i="4" s="1"/>
  <c r="G138" i="3"/>
  <c r="F138" i="3"/>
  <c r="G136" i="3"/>
  <c r="F136" i="3"/>
  <c r="G134" i="3"/>
  <c r="A130" i="4" s="1"/>
  <c r="B130" i="4" s="1"/>
  <c r="C130" i="4" s="1"/>
  <c r="D130" i="4" s="1"/>
  <c r="F134" i="3"/>
  <c r="G132" i="3"/>
  <c r="F132" i="3"/>
  <c r="A126" i="4"/>
  <c r="B126" i="4" s="1"/>
  <c r="C126" i="4" s="1"/>
  <c r="D126" i="4" s="1"/>
  <c r="G130" i="3"/>
  <c r="F130" i="3"/>
  <c r="G128" i="3"/>
  <c r="F128" i="3"/>
  <c r="G126" i="3"/>
  <c r="A122" i="4" s="1"/>
  <c r="B122" i="4" s="1"/>
  <c r="C122" i="4" s="1"/>
  <c r="D122" i="4" s="1"/>
  <c r="F126" i="3"/>
  <c r="G124" i="3"/>
  <c r="F124" i="3"/>
  <c r="A118" i="4"/>
  <c r="B118" i="4" s="1"/>
  <c r="C118" i="4" s="1"/>
  <c r="D118" i="4" s="1"/>
  <c r="G122" i="3"/>
  <c r="F122" i="3"/>
  <c r="G120" i="3"/>
  <c r="F120" i="3"/>
  <c r="G118" i="3"/>
  <c r="A114" i="4" s="1"/>
  <c r="B114" i="4" s="1"/>
  <c r="C114" i="4" s="1"/>
  <c r="D114" i="4" s="1"/>
  <c r="F118" i="3"/>
  <c r="G116" i="3"/>
  <c r="F116" i="3"/>
  <c r="A110" i="4"/>
  <c r="B110" i="4" s="1"/>
  <c r="C110" i="4" s="1"/>
  <c r="D110" i="4" s="1"/>
  <c r="G114" i="3"/>
  <c r="F114" i="3"/>
  <c r="G112" i="3"/>
  <c r="F112" i="3"/>
  <c r="G110" i="3"/>
  <c r="A106" i="4" s="1"/>
  <c r="B106" i="4" s="1"/>
  <c r="C106" i="4" s="1"/>
  <c r="D106" i="4" s="1"/>
  <c r="F110" i="3"/>
  <c r="G108" i="3"/>
  <c r="F108" i="3"/>
  <c r="A102" i="4"/>
  <c r="B102" i="4" s="1"/>
  <c r="C102" i="4" s="1"/>
  <c r="D102" i="4" s="1"/>
  <c r="G106" i="3"/>
  <c r="F106" i="3"/>
  <c r="G104" i="3"/>
  <c r="F104" i="3"/>
  <c r="G102" i="3"/>
  <c r="A98" i="4" s="1"/>
  <c r="B98" i="4" s="1"/>
  <c r="C98" i="4" s="1"/>
  <c r="D98" i="4" s="1"/>
  <c r="F102" i="3"/>
  <c r="G100" i="3"/>
  <c r="F100" i="3"/>
  <c r="A94" i="4"/>
  <c r="B94" i="4" s="1"/>
  <c r="C94" i="4" s="1"/>
  <c r="D94" i="4" s="1"/>
  <c r="G98" i="3"/>
  <c r="F98" i="3"/>
  <c r="G96" i="3"/>
  <c r="F96" i="3"/>
  <c r="G94" i="3"/>
  <c r="A90" i="4" s="1"/>
  <c r="B90" i="4" s="1"/>
  <c r="C90" i="4" s="1"/>
  <c r="D90" i="4" s="1"/>
  <c r="F94" i="3"/>
  <c r="G92" i="3"/>
  <c r="F92" i="3"/>
  <c r="A86" i="4"/>
  <c r="G90" i="3"/>
  <c r="F90" i="3"/>
  <c r="G88" i="3"/>
  <c r="F88" i="3"/>
  <c r="G86" i="3"/>
  <c r="A82" i="4" s="1"/>
  <c r="B82" i="4" s="1"/>
  <c r="C82" i="4" s="1"/>
  <c r="D82" i="4" s="1"/>
  <c r="F86" i="3"/>
  <c r="G84" i="3"/>
  <c r="F84" i="3"/>
  <c r="A78" i="4"/>
  <c r="G82" i="3"/>
  <c r="F82" i="3"/>
  <c r="G80" i="3"/>
  <c r="F80" i="3"/>
  <c r="G78" i="3"/>
  <c r="A74" i="4" s="1"/>
  <c r="B74" i="4" s="1"/>
  <c r="C74" i="4" s="1"/>
  <c r="D74" i="4" s="1"/>
  <c r="F78" i="3"/>
  <c r="G76" i="3"/>
  <c r="F76" i="3"/>
  <c r="A70" i="4"/>
  <c r="B70" i="4" s="1"/>
  <c r="C70" i="4" s="1"/>
  <c r="D70" i="4" s="1"/>
  <c r="G74" i="3"/>
  <c r="F74" i="3"/>
  <c r="G72" i="3"/>
  <c r="F72" i="3"/>
  <c r="G70" i="3"/>
  <c r="A66" i="4" s="1"/>
  <c r="B66" i="4" s="1"/>
  <c r="C66" i="4" s="1"/>
  <c r="D66" i="4" s="1"/>
  <c r="F70" i="3"/>
  <c r="G68" i="3"/>
  <c r="F68" i="3"/>
  <c r="A62" i="4"/>
  <c r="B62" i="4" s="1"/>
  <c r="C62" i="4" s="1"/>
  <c r="D62" i="4" s="1"/>
  <c r="G66" i="3"/>
  <c r="F66" i="3"/>
  <c r="G64" i="3"/>
  <c r="F64" i="3"/>
  <c r="G62" i="3"/>
  <c r="A58" i="4" s="1"/>
  <c r="F62" i="3"/>
  <c r="G60" i="3"/>
  <c r="F60" i="3"/>
  <c r="A54" i="4"/>
  <c r="B54" i="4" s="1"/>
  <c r="C54" i="4" s="1"/>
  <c r="D54" i="4" s="1"/>
  <c r="G58" i="3"/>
  <c r="F58" i="3"/>
  <c r="G56" i="3"/>
  <c r="F56" i="3"/>
  <c r="G54" i="3"/>
  <c r="A50" i="4" s="1"/>
  <c r="B50" i="4" s="1"/>
  <c r="C50" i="4" s="1"/>
  <c r="D50" i="4" s="1"/>
  <c r="F54" i="3"/>
  <c r="G52" i="3"/>
  <c r="F52" i="3"/>
  <c r="A46" i="4"/>
  <c r="B46" i="4" s="1"/>
  <c r="C46" i="4" s="1"/>
  <c r="D46" i="4" s="1"/>
  <c r="G50" i="3"/>
  <c r="F50" i="3"/>
  <c r="G48" i="3"/>
  <c r="F48" i="3"/>
  <c r="G46" i="3"/>
  <c r="A42" i="4" s="1"/>
  <c r="B42" i="4" s="1"/>
  <c r="C42" i="4" s="1"/>
  <c r="D42" i="4" s="1"/>
  <c r="F46" i="3"/>
  <c r="G44" i="3"/>
  <c r="F44" i="3"/>
  <c r="A38" i="4"/>
  <c r="G42" i="3"/>
  <c r="F42" i="3"/>
  <c r="G40" i="3"/>
  <c r="F40" i="3"/>
  <c r="G38" i="3"/>
  <c r="A34" i="4" s="1"/>
  <c r="B34" i="4" s="1"/>
  <c r="C34" i="4" s="1"/>
  <c r="D34" i="4" s="1"/>
  <c r="F38" i="3"/>
  <c r="G36" i="3"/>
  <c r="F36" i="3"/>
  <c r="A30" i="4"/>
  <c r="B30" i="4" s="1"/>
  <c r="C30" i="4" s="1"/>
  <c r="D30" i="4" s="1"/>
  <c r="G34" i="3"/>
  <c r="F34" i="3"/>
  <c r="G32" i="3"/>
  <c r="F32" i="3"/>
  <c r="G30" i="3"/>
  <c r="A26" i="4" s="1"/>
  <c r="B26" i="4" s="1"/>
  <c r="C26" i="4" s="1"/>
  <c r="D26" i="4" s="1"/>
  <c r="F30" i="3"/>
  <c r="G28" i="3"/>
  <c r="F28" i="3"/>
  <c r="A22" i="4"/>
  <c r="B22" i="4" s="1"/>
  <c r="C22" i="4" s="1"/>
  <c r="D22" i="4" s="1"/>
  <c r="G26" i="3"/>
  <c r="F26" i="3"/>
  <c r="G24" i="3"/>
  <c r="F24" i="3"/>
  <c r="G22" i="3"/>
  <c r="A18" i="4" s="1"/>
  <c r="B18" i="4" s="1"/>
  <c r="C18" i="4" s="1"/>
  <c r="D18" i="4" s="1"/>
  <c r="F22" i="3"/>
  <c r="D12" i="3"/>
  <c r="D10" i="3"/>
  <c r="G1217" i="3"/>
  <c r="F1217" i="3"/>
  <c r="A1212" i="4"/>
  <c r="B1212" i="4" s="1"/>
  <c r="C1212" i="4" s="1"/>
  <c r="D1212" i="4" s="1"/>
  <c r="G1216" i="3"/>
  <c r="F1216" i="3"/>
  <c r="F1215" i="3"/>
  <c r="G1215" i="3"/>
  <c r="G1214" i="3"/>
  <c r="A1210" i="4" s="1"/>
  <c r="B1210" i="4" s="1"/>
  <c r="C1210" i="4" s="1"/>
  <c r="D1210" i="4" s="1"/>
  <c r="F1214" i="3"/>
  <c r="F1213" i="3"/>
  <c r="G1213" i="3"/>
  <c r="A1208" i="4"/>
  <c r="B1208" i="4" s="1"/>
  <c r="C1208" i="4" s="1"/>
  <c r="D1208" i="4" s="1"/>
  <c r="G1212" i="3"/>
  <c r="F1212" i="3"/>
  <c r="F1211" i="3"/>
  <c r="G1211" i="3"/>
  <c r="G1210" i="3"/>
  <c r="A1206" i="4" s="1"/>
  <c r="B1206" i="4" s="1"/>
  <c r="C1206" i="4" s="1"/>
  <c r="D1206" i="4" s="1"/>
  <c r="F1210" i="3"/>
  <c r="F1209" i="3"/>
  <c r="G1209" i="3"/>
  <c r="A1204" i="4"/>
  <c r="B1204" i="4" s="1"/>
  <c r="C1204" i="4" s="1"/>
  <c r="D1204" i="4" s="1"/>
  <c r="G1208" i="3"/>
  <c r="F1208" i="3"/>
  <c r="F1207" i="3"/>
  <c r="G1207" i="3"/>
  <c r="G1206" i="3"/>
  <c r="A1202" i="4" s="1"/>
  <c r="B1202" i="4" s="1"/>
  <c r="C1202" i="4" s="1"/>
  <c r="D1202" i="4" s="1"/>
  <c r="F1206" i="3"/>
  <c r="F1205" i="3"/>
  <c r="G1205" i="3"/>
  <c r="A1200" i="4"/>
  <c r="B1200" i="4" s="1"/>
  <c r="C1200" i="4" s="1"/>
  <c r="D1200" i="4" s="1"/>
  <c r="G1204" i="3"/>
  <c r="F1204" i="3"/>
  <c r="F1203" i="3"/>
  <c r="G1203" i="3"/>
  <c r="G1202" i="3"/>
  <c r="A1198" i="4" s="1"/>
  <c r="B1198" i="4" s="1"/>
  <c r="C1198" i="4" s="1"/>
  <c r="D1198" i="4" s="1"/>
  <c r="F1202" i="3"/>
  <c r="F1201" i="3"/>
  <c r="G1201" i="3"/>
  <c r="A1196" i="4"/>
  <c r="B1196" i="4" s="1"/>
  <c r="C1196" i="4" s="1"/>
  <c r="D1196" i="4" s="1"/>
  <c r="G1200" i="3"/>
  <c r="F1200" i="3"/>
  <c r="F1199" i="3"/>
  <c r="G1199" i="3"/>
  <c r="G1198" i="3"/>
  <c r="A1194" i="4" s="1"/>
  <c r="B1194" i="4" s="1"/>
  <c r="C1194" i="4" s="1"/>
  <c r="D1194" i="4" s="1"/>
  <c r="F1198" i="3"/>
  <c r="F1197" i="3"/>
  <c r="G1197" i="3"/>
  <c r="A1192" i="4"/>
  <c r="B1192" i="4" s="1"/>
  <c r="C1192" i="4" s="1"/>
  <c r="D1192" i="4" s="1"/>
  <c r="G1196" i="3"/>
  <c r="F1196" i="3"/>
  <c r="F1195" i="3"/>
  <c r="G1195" i="3"/>
  <c r="G1194" i="3"/>
  <c r="A1190" i="4" s="1"/>
  <c r="B1190" i="4" s="1"/>
  <c r="C1190" i="4" s="1"/>
  <c r="D1190" i="4" s="1"/>
  <c r="F1194" i="3"/>
  <c r="F1193" i="3"/>
  <c r="G1193" i="3"/>
  <c r="A1188" i="4"/>
  <c r="B1188" i="4" s="1"/>
  <c r="C1188" i="4" s="1"/>
  <c r="D1188" i="4" s="1"/>
  <c r="G1192" i="3"/>
  <c r="F1192" i="3"/>
  <c r="F1191" i="3"/>
  <c r="G1191" i="3"/>
  <c r="G1190" i="3"/>
  <c r="A1186" i="4" s="1"/>
  <c r="B1186" i="4" s="1"/>
  <c r="C1186" i="4" s="1"/>
  <c r="D1186" i="4" s="1"/>
  <c r="F1190" i="3"/>
  <c r="F1189" i="3"/>
  <c r="G1189" i="3"/>
  <c r="A1184" i="4"/>
  <c r="B1184" i="4" s="1"/>
  <c r="C1184" i="4" s="1"/>
  <c r="D1184" i="4" s="1"/>
  <c r="G1188" i="3"/>
  <c r="F1188" i="3"/>
  <c r="F1187" i="3"/>
  <c r="G1187" i="3"/>
  <c r="G1186" i="3"/>
  <c r="A1182" i="4" s="1"/>
  <c r="B1182" i="4" s="1"/>
  <c r="C1182" i="4" s="1"/>
  <c r="D1182" i="4" s="1"/>
  <c r="F1186" i="3"/>
  <c r="F1185" i="3"/>
  <c r="G1185" i="3"/>
  <c r="A1180" i="4"/>
  <c r="B1180" i="4" s="1"/>
  <c r="C1180" i="4" s="1"/>
  <c r="D1180" i="4" s="1"/>
  <c r="G1184" i="3"/>
  <c r="F1184" i="3"/>
  <c r="F1183" i="3"/>
  <c r="G1183" i="3"/>
  <c r="G1182" i="3"/>
  <c r="A1178" i="4" s="1"/>
  <c r="B1178" i="4" s="1"/>
  <c r="C1178" i="4" s="1"/>
  <c r="D1178" i="4" s="1"/>
  <c r="F1182" i="3"/>
  <c r="F1181" i="3"/>
  <c r="G1181" i="3"/>
  <c r="A1176" i="4"/>
  <c r="B1176" i="4" s="1"/>
  <c r="C1176" i="4" s="1"/>
  <c r="D1176" i="4" s="1"/>
  <c r="G1180" i="3"/>
  <c r="F1180" i="3"/>
  <c r="F1179" i="3"/>
  <c r="G1179" i="3"/>
  <c r="G1178" i="3"/>
  <c r="A1174" i="4" s="1"/>
  <c r="B1174" i="4" s="1"/>
  <c r="C1174" i="4" s="1"/>
  <c r="D1174" i="4" s="1"/>
  <c r="F1178" i="3"/>
  <c r="F1177" i="3"/>
  <c r="G1177" i="3"/>
  <c r="A1172" i="4"/>
  <c r="B1172" i="4" s="1"/>
  <c r="C1172" i="4" s="1"/>
  <c r="D1172" i="4" s="1"/>
  <c r="G1176" i="3"/>
  <c r="F1176" i="3"/>
  <c r="F1175" i="3"/>
  <c r="G1175" i="3"/>
  <c r="G1174" i="3"/>
  <c r="A1170" i="4" s="1"/>
  <c r="B1170" i="4" s="1"/>
  <c r="C1170" i="4" s="1"/>
  <c r="D1170" i="4" s="1"/>
  <c r="F1174" i="3"/>
  <c r="F1173" i="3"/>
  <c r="G1173" i="3"/>
  <c r="A1168" i="4"/>
  <c r="B1168" i="4" s="1"/>
  <c r="C1168" i="4" s="1"/>
  <c r="D1168" i="4" s="1"/>
  <c r="G1172" i="3"/>
  <c r="F1172" i="3"/>
  <c r="F1171" i="3"/>
  <c r="G1171" i="3"/>
  <c r="G1170" i="3"/>
  <c r="A1166" i="4" s="1"/>
  <c r="B1166" i="4" s="1"/>
  <c r="C1166" i="4" s="1"/>
  <c r="D1166" i="4" s="1"/>
  <c r="F1170" i="3"/>
  <c r="F1169" i="3"/>
  <c r="G1169" i="3"/>
  <c r="A1164" i="4"/>
  <c r="B1164" i="4" s="1"/>
  <c r="C1164" i="4" s="1"/>
  <c r="D1164" i="4" s="1"/>
  <c r="G1168" i="3"/>
  <c r="F1168" i="3"/>
  <c r="F1167" i="3"/>
  <c r="G1167" i="3"/>
  <c r="G1166" i="3"/>
  <c r="A1162" i="4" s="1"/>
  <c r="B1162" i="4" s="1"/>
  <c r="C1162" i="4" s="1"/>
  <c r="D1162" i="4" s="1"/>
  <c r="F1166" i="3"/>
  <c r="F1165" i="3"/>
  <c r="G1165" i="3"/>
  <c r="A1160" i="4"/>
  <c r="B1160" i="4" s="1"/>
  <c r="C1160" i="4" s="1"/>
  <c r="D1160" i="4" s="1"/>
  <c r="G1164" i="3"/>
  <c r="F1164" i="3"/>
  <c r="F1163" i="3"/>
  <c r="G1163" i="3"/>
  <c r="G1162" i="3"/>
  <c r="A1158" i="4" s="1"/>
  <c r="B1158" i="4" s="1"/>
  <c r="C1158" i="4" s="1"/>
  <c r="D1158" i="4" s="1"/>
  <c r="F1162" i="3"/>
  <c r="F1161" i="3"/>
  <c r="G1161" i="3"/>
  <c r="A1156" i="4"/>
  <c r="B1156" i="4" s="1"/>
  <c r="C1156" i="4" s="1"/>
  <c r="D1156" i="4" s="1"/>
  <c r="G1160" i="3"/>
  <c r="F1160" i="3"/>
  <c r="F1159" i="3"/>
  <c r="G1159" i="3"/>
  <c r="G1158" i="3"/>
  <c r="A1154" i="4" s="1"/>
  <c r="B1154" i="4" s="1"/>
  <c r="C1154" i="4" s="1"/>
  <c r="D1154" i="4" s="1"/>
  <c r="F1158" i="3"/>
  <c r="F1157" i="3"/>
  <c r="G1157" i="3"/>
  <c r="A1152" i="4"/>
  <c r="B1152" i="4" s="1"/>
  <c r="C1152" i="4" s="1"/>
  <c r="D1152" i="4" s="1"/>
  <c r="G1156" i="3"/>
  <c r="F1156" i="3"/>
  <c r="F1155" i="3"/>
  <c r="G1155" i="3"/>
  <c r="G1154" i="3"/>
  <c r="A1150" i="4" s="1"/>
  <c r="B1150" i="4" s="1"/>
  <c r="C1150" i="4" s="1"/>
  <c r="D1150" i="4" s="1"/>
  <c r="F1154" i="3"/>
  <c r="F1153" i="3"/>
  <c r="G1153" i="3"/>
  <c r="A1148" i="4"/>
  <c r="B1148" i="4" s="1"/>
  <c r="C1148" i="4" s="1"/>
  <c r="D1148" i="4" s="1"/>
  <c r="G1152" i="3"/>
  <c r="F1152" i="3"/>
  <c r="F1151" i="3"/>
  <c r="G1151" i="3"/>
  <c r="G1150" i="3"/>
  <c r="A1146" i="4" s="1"/>
  <c r="B1146" i="4" s="1"/>
  <c r="C1146" i="4" s="1"/>
  <c r="D1146" i="4" s="1"/>
  <c r="F1150" i="3"/>
  <c r="F1149" i="3"/>
  <c r="G1149" i="3"/>
  <c r="A1144" i="4"/>
  <c r="B1144" i="4" s="1"/>
  <c r="C1144" i="4" s="1"/>
  <c r="D1144" i="4" s="1"/>
  <c r="G1148" i="3"/>
  <c r="F1148" i="3"/>
  <c r="F1147" i="3"/>
  <c r="G1147" i="3"/>
  <c r="G1146" i="3"/>
  <c r="A1142" i="4" s="1"/>
  <c r="B1142" i="4" s="1"/>
  <c r="C1142" i="4" s="1"/>
  <c r="D1142" i="4" s="1"/>
  <c r="F1146" i="3"/>
  <c r="F1145" i="3"/>
  <c r="G1145" i="3"/>
  <c r="A1140" i="4"/>
  <c r="B1140" i="4" s="1"/>
  <c r="C1140" i="4" s="1"/>
  <c r="D1140" i="4" s="1"/>
  <c r="G1144" i="3"/>
  <c r="F1144" i="3"/>
  <c r="F1143" i="3"/>
  <c r="G1143" i="3"/>
  <c r="G1142" i="3"/>
  <c r="A1138" i="4" s="1"/>
  <c r="B1138" i="4" s="1"/>
  <c r="C1138" i="4" s="1"/>
  <c r="D1138" i="4" s="1"/>
  <c r="F1142" i="3"/>
  <c r="F1141" i="3"/>
  <c r="G1141" i="3"/>
  <c r="A1136" i="4"/>
  <c r="B1136" i="4" s="1"/>
  <c r="C1136" i="4" s="1"/>
  <c r="D1136" i="4" s="1"/>
  <c r="G1140" i="3"/>
  <c r="F1140" i="3"/>
  <c r="F1139" i="3"/>
  <c r="G1139" i="3"/>
  <c r="G1138" i="3"/>
  <c r="A1134" i="4" s="1"/>
  <c r="B1134" i="4" s="1"/>
  <c r="C1134" i="4" s="1"/>
  <c r="D1134" i="4" s="1"/>
  <c r="F1138" i="3"/>
  <c r="F1137" i="3"/>
  <c r="G1137" i="3"/>
  <c r="A1132" i="4"/>
  <c r="B1132" i="4" s="1"/>
  <c r="C1132" i="4" s="1"/>
  <c r="D1132" i="4" s="1"/>
  <c r="G1136" i="3"/>
  <c r="F1136" i="3"/>
  <c r="F1135" i="3"/>
  <c r="G1135" i="3"/>
  <c r="G1134" i="3"/>
  <c r="A1130" i="4" s="1"/>
  <c r="B1130" i="4" s="1"/>
  <c r="C1130" i="4" s="1"/>
  <c r="D1130" i="4" s="1"/>
  <c r="F1134" i="3"/>
  <c r="F1133" i="3"/>
  <c r="G1133" i="3"/>
  <c r="A1128" i="4"/>
  <c r="B1128" i="4" s="1"/>
  <c r="C1128" i="4" s="1"/>
  <c r="D1128" i="4" s="1"/>
  <c r="G1132" i="3"/>
  <c r="F1132" i="3"/>
  <c r="F1131" i="3"/>
  <c r="G1131" i="3"/>
  <c r="G1130" i="3"/>
  <c r="A1126" i="4" s="1"/>
  <c r="B1126" i="4" s="1"/>
  <c r="C1126" i="4" s="1"/>
  <c r="D1126" i="4" s="1"/>
  <c r="F1130" i="3"/>
  <c r="F1129" i="3"/>
  <c r="G1129" i="3"/>
  <c r="A1124" i="4"/>
  <c r="B1124" i="4" s="1"/>
  <c r="C1124" i="4" s="1"/>
  <c r="D1124" i="4" s="1"/>
  <c r="G1128" i="3"/>
  <c r="F1128" i="3"/>
  <c r="F1127" i="3"/>
  <c r="G1127" i="3"/>
  <c r="G1126" i="3"/>
  <c r="A1122" i="4" s="1"/>
  <c r="B1122" i="4" s="1"/>
  <c r="C1122" i="4" s="1"/>
  <c r="D1122" i="4" s="1"/>
  <c r="F1126" i="3"/>
  <c r="F1125" i="3"/>
  <c r="G1125" i="3"/>
  <c r="A1120" i="4"/>
  <c r="B1120" i="4" s="1"/>
  <c r="C1120" i="4" s="1"/>
  <c r="D1120" i="4" s="1"/>
  <c r="G1124" i="3"/>
  <c r="F1124" i="3"/>
  <c r="F1123" i="3"/>
  <c r="G1123" i="3"/>
  <c r="G1122" i="3"/>
  <c r="A1118" i="4" s="1"/>
  <c r="B1118" i="4" s="1"/>
  <c r="C1118" i="4" s="1"/>
  <c r="D1118" i="4" s="1"/>
  <c r="F1122" i="3"/>
  <c r="F1121" i="3"/>
  <c r="G1121" i="3"/>
  <c r="A1116" i="4"/>
  <c r="B1116" i="4" s="1"/>
  <c r="C1116" i="4" s="1"/>
  <c r="D1116" i="4" s="1"/>
  <c r="G1120" i="3"/>
  <c r="F1120" i="3"/>
  <c r="F1119" i="3"/>
  <c r="G1119" i="3"/>
  <c r="G1118" i="3"/>
  <c r="A1114" i="4" s="1"/>
  <c r="B1114" i="4" s="1"/>
  <c r="C1114" i="4" s="1"/>
  <c r="D1114" i="4" s="1"/>
  <c r="F1118" i="3"/>
  <c r="F1117" i="3"/>
  <c r="G1117" i="3"/>
  <c r="A1112" i="4"/>
  <c r="B1112" i="4" s="1"/>
  <c r="C1112" i="4" s="1"/>
  <c r="D1112" i="4" s="1"/>
  <c r="G1116" i="3"/>
  <c r="F1116" i="3"/>
  <c r="F1115" i="3"/>
  <c r="G1115" i="3"/>
  <c r="G1114" i="3"/>
  <c r="A1110" i="4" s="1"/>
  <c r="B1110" i="4" s="1"/>
  <c r="C1110" i="4" s="1"/>
  <c r="D1110" i="4" s="1"/>
  <c r="F1114" i="3"/>
  <c r="F1113" i="3"/>
  <c r="G1113" i="3"/>
  <c r="A1108" i="4"/>
  <c r="B1108" i="4" s="1"/>
  <c r="C1108" i="4" s="1"/>
  <c r="D1108" i="4" s="1"/>
  <c r="G1112" i="3"/>
  <c r="F1112" i="3"/>
  <c r="F1111" i="3"/>
  <c r="G1111" i="3"/>
  <c r="G1110" i="3"/>
  <c r="A1106" i="4" s="1"/>
  <c r="B1106" i="4" s="1"/>
  <c r="C1106" i="4" s="1"/>
  <c r="D1106" i="4" s="1"/>
  <c r="F1110" i="3"/>
  <c r="F1109" i="3"/>
  <c r="G1109" i="3"/>
  <c r="A1104" i="4"/>
  <c r="B1104" i="4" s="1"/>
  <c r="C1104" i="4" s="1"/>
  <c r="D1104" i="4" s="1"/>
  <c r="G1108" i="3"/>
  <c r="F1108" i="3"/>
  <c r="F1107" i="3"/>
  <c r="G1107" i="3"/>
  <c r="G1106" i="3"/>
  <c r="A1102" i="4" s="1"/>
  <c r="B1102" i="4" s="1"/>
  <c r="C1102" i="4" s="1"/>
  <c r="D1102" i="4" s="1"/>
  <c r="F1106" i="3"/>
  <c r="F1105" i="3"/>
  <c r="G1105" i="3"/>
  <c r="A1100" i="4"/>
  <c r="B1100" i="4" s="1"/>
  <c r="C1100" i="4" s="1"/>
  <c r="D1100" i="4" s="1"/>
  <c r="G1104" i="3"/>
  <c r="F1104" i="3"/>
  <c r="F1103" i="3"/>
  <c r="G1103" i="3"/>
  <c r="G1102" i="3"/>
  <c r="A1098" i="4" s="1"/>
  <c r="B1098" i="4" s="1"/>
  <c r="C1098" i="4" s="1"/>
  <c r="D1098" i="4" s="1"/>
  <c r="F1102" i="3"/>
  <c r="F1101" i="3"/>
  <c r="G1101" i="3"/>
  <c r="A1096" i="4"/>
  <c r="B1096" i="4" s="1"/>
  <c r="C1096" i="4" s="1"/>
  <c r="D1096" i="4" s="1"/>
  <c r="G1100" i="3"/>
  <c r="F1100" i="3"/>
  <c r="F1099" i="3"/>
  <c r="G1099" i="3"/>
  <c r="G1098" i="3"/>
  <c r="A1094" i="4" s="1"/>
  <c r="B1094" i="4" s="1"/>
  <c r="C1094" i="4" s="1"/>
  <c r="D1094" i="4" s="1"/>
  <c r="F1098" i="3"/>
  <c r="F1097" i="3"/>
  <c r="G1097" i="3"/>
  <c r="A1092" i="4"/>
  <c r="B1092" i="4" s="1"/>
  <c r="C1092" i="4" s="1"/>
  <c r="D1092" i="4" s="1"/>
  <c r="G1096" i="3"/>
  <c r="F1096" i="3"/>
  <c r="F1095" i="3"/>
  <c r="G1095" i="3"/>
  <c r="G1094" i="3"/>
  <c r="A1090" i="4" s="1"/>
  <c r="B1090" i="4" s="1"/>
  <c r="C1090" i="4" s="1"/>
  <c r="D1090" i="4" s="1"/>
  <c r="F1094" i="3"/>
  <c r="F1093" i="3"/>
  <c r="G1093" i="3"/>
  <c r="A1088" i="4"/>
  <c r="B1088" i="4" s="1"/>
  <c r="C1088" i="4" s="1"/>
  <c r="D1088" i="4" s="1"/>
  <c r="G1092" i="3"/>
  <c r="F1092" i="3"/>
  <c r="F1091" i="3"/>
  <c r="G1091" i="3"/>
  <c r="G1090" i="3"/>
  <c r="A1086" i="4" s="1"/>
  <c r="B1086" i="4" s="1"/>
  <c r="C1086" i="4" s="1"/>
  <c r="D1086" i="4" s="1"/>
  <c r="F1090" i="3"/>
  <c r="F1089" i="3"/>
  <c r="G1089" i="3"/>
  <c r="A1084" i="4"/>
  <c r="B1084" i="4" s="1"/>
  <c r="C1084" i="4" s="1"/>
  <c r="D1084" i="4" s="1"/>
  <c r="G1088" i="3"/>
  <c r="F1088" i="3"/>
  <c r="F1087" i="3"/>
  <c r="G1087" i="3"/>
  <c r="G1086" i="3"/>
  <c r="A1082" i="4" s="1"/>
  <c r="B1082" i="4" s="1"/>
  <c r="C1082" i="4" s="1"/>
  <c r="D1082" i="4" s="1"/>
  <c r="F1086" i="3"/>
  <c r="F1085" i="3"/>
  <c r="G1085" i="3"/>
  <c r="A1080" i="4"/>
  <c r="B1080" i="4" s="1"/>
  <c r="C1080" i="4" s="1"/>
  <c r="D1080" i="4" s="1"/>
  <c r="G1084" i="3"/>
  <c r="F1084" i="3"/>
  <c r="F1083" i="3"/>
  <c r="G1083" i="3"/>
  <c r="G1082" i="3"/>
  <c r="A1078" i="4" s="1"/>
  <c r="B1078" i="4" s="1"/>
  <c r="C1078" i="4" s="1"/>
  <c r="D1078" i="4" s="1"/>
  <c r="F1082" i="3"/>
  <c r="F1081" i="3"/>
  <c r="G1081" i="3"/>
  <c r="A1076" i="4"/>
  <c r="B1076" i="4" s="1"/>
  <c r="C1076" i="4" s="1"/>
  <c r="D1076" i="4" s="1"/>
  <c r="G1080" i="3"/>
  <c r="F1080" i="3"/>
  <c r="F1079" i="3"/>
  <c r="G1079" i="3"/>
  <c r="G1078" i="3"/>
  <c r="A1074" i="4" s="1"/>
  <c r="B1074" i="4" s="1"/>
  <c r="C1074" i="4" s="1"/>
  <c r="D1074" i="4" s="1"/>
  <c r="F1078" i="3"/>
  <c r="F1077" i="3"/>
  <c r="G1077" i="3"/>
  <c r="A1072" i="4"/>
  <c r="B1072" i="4" s="1"/>
  <c r="C1072" i="4" s="1"/>
  <c r="D1072" i="4" s="1"/>
  <c r="G1076" i="3"/>
  <c r="F1076" i="3"/>
  <c r="F1075" i="3"/>
  <c r="G1075" i="3"/>
  <c r="G1074" i="3"/>
  <c r="A1070" i="4" s="1"/>
  <c r="B1070" i="4" s="1"/>
  <c r="C1070" i="4" s="1"/>
  <c r="D1070" i="4" s="1"/>
  <c r="F1074" i="3"/>
  <c r="F1073" i="3"/>
  <c r="G1073" i="3"/>
  <c r="A1068" i="4"/>
  <c r="B1068" i="4" s="1"/>
  <c r="C1068" i="4" s="1"/>
  <c r="D1068" i="4" s="1"/>
  <c r="G1072" i="3"/>
  <c r="F1072" i="3"/>
  <c r="F1071" i="3"/>
  <c r="G1071" i="3"/>
  <c r="G1070" i="3"/>
  <c r="A1066" i="4" s="1"/>
  <c r="B1066" i="4" s="1"/>
  <c r="C1066" i="4" s="1"/>
  <c r="D1066" i="4" s="1"/>
  <c r="F1070" i="3"/>
  <c r="F1069" i="3"/>
  <c r="G1069" i="3"/>
  <c r="A1064" i="4"/>
  <c r="B1064" i="4" s="1"/>
  <c r="C1064" i="4" s="1"/>
  <c r="D1064" i="4" s="1"/>
  <c r="G1068" i="3"/>
  <c r="F1068" i="3"/>
  <c r="F1067" i="3"/>
  <c r="G1067" i="3"/>
  <c r="G1066" i="3"/>
  <c r="A1062" i="4" s="1"/>
  <c r="B1062" i="4" s="1"/>
  <c r="C1062" i="4" s="1"/>
  <c r="D1062" i="4" s="1"/>
  <c r="F1066" i="3"/>
  <c r="F1065" i="3"/>
  <c r="G1065" i="3"/>
  <c r="A1060" i="4"/>
  <c r="B1060" i="4" s="1"/>
  <c r="C1060" i="4" s="1"/>
  <c r="D1060" i="4" s="1"/>
  <c r="G1064" i="3"/>
  <c r="F1064" i="3"/>
  <c r="F1063" i="3"/>
  <c r="G1063" i="3"/>
  <c r="G1062" i="3"/>
  <c r="A1058" i="4" s="1"/>
  <c r="B1058" i="4" s="1"/>
  <c r="C1058" i="4" s="1"/>
  <c r="D1058" i="4" s="1"/>
  <c r="F1062" i="3"/>
  <c r="F1061" i="3"/>
  <c r="G1061" i="3"/>
  <c r="A1056" i="4"/>
  <c r="B1056" i="4" s="1"/>
  <c r="C1056" i="4" s="1"/>
  <c r="D1056" i="4" s="1"/>
  <c r="G1060" i="3"/>
  <c r="F1060" i="3"/>
  <c r="F1059" i="3"/>
  <c r="G1059" i="3"/>
  <c r="G1058" i="3"/>
  <c r="A1054" i="4" s="1"/>
  <c r="B1054" i="4" s="1"/>
  <c r="C1054" i="4" s="1"/>
  <c r="D1054" i="4" s="1"/>
  <c r="F1058" i="3"/>
  <c r="F1057" i="3"/>
  <c r="G1057" i="3"/>
  <c r="A1052" i="4"/>
  <c r="B1052" i="4" s="1"/>
  <c r="C1052" i="4" s="1"/>
  <c r="D1052" i="4" s="1"/>
  <c r="G1056" i="3"/>
  <c r="F1056" i="3"/>
  <c r="F1055" i="3"/>
  <c r="G1055" i="3"/>
  <c r="G1054" i="3"/>
  <c r="A1050" i="4" s="1"/>
  <c r="B1050" i="4" s="1"/>
  <c r="C1050" i="4" s="1"/>
  <c r="D1050" i="4" s="1"/>
  <c r="F1054" i="3"/>
  <c r="F1053" i="3"/>
  <c r="G1053" i="3"/>
  <c r="A1048" i="4"/>
  <c r="B1048" i="4" s="1"/>
  <c r="C1048" i="4" s="1"/>
  <c r="D1048" i="4" s="1"/>
  <c r="G1052" i="3"/>
  <c r="F1052" i="3"/>
  <c r="F1051" i="3"/>
  <c r="G1051" i="3"/>
  <c r="G1050" i="3"/>
  <c r="A1046" i="4" s="1"/>
  <c r="B1046" i="4" s="1"/>
  <c r="C1046" i="4" s="1"/>
  <c r="D1046" i="4" s="1"/>
  <c r="F1050" i="3"/>
  <c r="F1049" i="3"/>
  <c r="G1049" i="3"/>
  <c r="A1044" i="4"/>
  <c r="B1044" i="4" s="1"/>
  <c r="C1044" i="4" s="1"/>
  <c r="D1044" i="4" s="1"/>
  <c r="G1048" i="3"/>
  <c r="F1048" i="3"/>
  <c r="F1047" i="3"/>
  <c r="G1047" i="3"/>
  <c r="G1046" i="3"/>
  <c r="A1042" i="4" s="1"/>
  <c r="B1042" i="4" s="1"/>
  <c r="C1042" i="4" s="1"/>
  <c r="D1042" i="4" s="1"/>
  <c r="F1046" i="3"/>
  <c r="F1045" i="3"/>
  <c r="G1045" i="3"/>
  <c r="A1040" i="4"/>
  <c r="B1040" i="4" s="1"/>
  <c r="C1040" i="4" s="1"/>
  <c r="D1040" i="4" s="1"/>
  <c r="G1044" i="3"/>
  <c r="F1044" i="3"/>
  <c r="F1043" i="3"/>
  <c r="G1043" i="3"/>
  <c r="G1042" i="3"/>
  <c r="A1038" i="4" s="1"/>
  <c r="B1038" i="4" s="1"/>
  <c r="C1038" i="4" s="1"/>
  <c r="D1038" i="4" s="1"/>
  <c r="F1042" i="3"/>
  <c r="F1041" i="3"/>
  <c r="G1041" i="3"/>
  <c r="A1036" i="4"/>
  <c r="B1036" i="4" s="1"/>
  <c r="C1036" i="4" s="1"/>
  <c r="D1036" i="4" s="1"/>
  <c r="G1040" i="3"/>
  <c r="F1040" i="3"/>
  <c r="F1039" i="3"/>
  <c r="G1039" i="3"/>
  <c r="G1038" i="3"/>
  <c r="A1034" i="4" s="1"/>
  <c r="B1034" i="4" s="1"/>
  <c r="C1034" i="4" s="1"/>
  <c r="D1034" i="4" s="1"/>
  <c r="F1038" i="3"/>
  <c r="F1037" i="3"/>
  <c r="G1037" i="3"/>
  <c r="A1032" i="4"/>
  <c r="B1032" i="4" s="1"/>
  <c r="C1032" i="4" s="1"/>
  <c r="D1032" i="4" s="1"/>
  <c r="G1036" i="3"/>
  <c r="F1036" i="3"/>
  <c r="F1035" i="3"/>
  <c r="G1035" i="3"/>
  <c r="G1034" i="3"/>
  <c r="A1030" i="4" s="1"/>
  <c r="B1030" i="4" s="1"/>
  <c r="C1030" i="4" s="1"/>
  <c r="D1030" i="4" s="1"/>
  <c r="F1034" i="3"/>
  <c r="F1033" i="3"/>
  <c r="G1033" i="3"/>
  <c r="A1028" i="4"/>
  <c r="B1028" i="4" s="1"/>
  <c r="C1028" i="4" s="1"/>
  <c r="D1028" i="4" s="1"/>
  <c r="G1032" i="3"/>
  <c r="F1032" i="3"/>
  <c r="F1031" i="3"/>
  <c r="G1031" i="3"/>
  <c r="G1030" i="3"/>
  <c r="A1026" i="4" s="1"/>
  <c r="B1026" i="4" s="1"/>
  <c r="C1026" i="4" s="1"/>
  <c r="D1026" i="4" s="1"/>
  <c r="F1030" i="3"/>
  <c r="F1029" i="3"/>
  <c r="G1029" i="3"/>
  <c r="A1024" i="4"/>
  <c r="B1024" i="4" s="1"/>
  <c r="C1024" i="4" s="1"/>
  <c r="D1024" i="4" s="1"/>
  <c r="G1028" i="3"/>
  <c r="F1028" i="3"/>
  <c r="F1027" i="3"/>
  <c r="G1027" i="3"/>
  <c r="G1026" i="3"/>
  <c r="A1022" i="4" s="1"/>
  <c r="B1022" i="4" s="1"/>
  <c r="C1022" i="4" s="1"/>
  <c r="D1022" i="4" s="1"/>
  <c r="F1026" i="3"/>
  <c r="F1025" i="3"/>
  <c r="G1025" i="3"/>
  <c r="A1020" i="4"/>
  <c r="B1020" i="4" s="1"/>
  <c r="C1020" i="4" s="1"/>
  <c r="D1020" i="4" s="1"/>
  <c r="G1024" i="3"/>
  <c r="F1024" i="3"/>
  <c r="F1023" i="3"/>
  <c r="G1023" i="3"/>
  <c r="G1022" i="3"/>
  <c r="A1018" i="4" s="1"/>
  <c r="B1018" i="4" s="1"/>
  <c r="C1018" i="4" s="1"/>
  <c r="D1018" i="4" s="1"/>
  <c r="F1022" i="3"/>
  <c r="F1021" i="3"/>
  <c r="G1021" i="3"/>
  <c r="A1016" i="4"/>
  <c r="B1016" i="4" s="1"/>
  <c r="C1016" i="4" s="1"/>
  <c r="D1016" i="4" s="1"/>
  <c r="G1020" i="3"/>
  <c r="F1020" i="3"/>
  <c r="F1019" i="3"/>
  <c r="G1019" i="3"/>
  <c r="G1018" i="3"/>
  <c r="A1014" i="4" s="1"/>
  <c r="B1014" i="4" s="1"/>
  <c r="C1014" i="4" s="1"/>
  <c r="D1014" i="4" s="1"/>
  <c r="F1018" i="3"/>
  <c r="F1017" i="3"/>
  <c r="G1017" i="3"/>
  <c r="A1012" i="4"/>
  <c r="B1012" i="4" s="1"/>
  <c r="C1012" i="4" s="1"/>
  <c r="D1012" i="4" s="1"/>
  <c r="G1016" i="3"/>
  <c r="F1016" i="3"/>
  <c r="F1015" i="3"/>
  <c r="G1015" i="3"/>
  <c r="G1014" i="3"/>
  <c r="A1010" i="4" s="1"/>
  <c r="B1010" i="4" s="1"/>
  <c r="C1010" i="4" s="1"/>
  <c r="D1010" i="4" s="1"/>
  <c r="F1014" i="3"/>
  <c r="F1013" i="3"/>
  <c r="G1013" i="3"/>
  <c r="A1008" i="4"/>
  <c r="B1008" i="4" s="1"/>
  <c r="C1008" i="4" s="1"/>
  <c r="D1008" i="4" s="1"/>
  <c r="G1012" i="3"/>
  <c r="F1012" i="3"/>
  <c r="F1011" i="3"/>
  <c r="G1011" i="3"/>
  <c r="G1010" i="3"/>
  <c r="A1006" i="4" s="1"/>
  <c r="B1006" i="4" s="1"/>
  <c r="C1006" i="4" s="1"/>
  <c r="D1006" i="4" s="1"/>
  <c r="F1010" i="3"/>
  <c r="F1009" i="3"/>
  <c r="G1009" i="3"/>
  <c r="A1004" i="4"/>
  <c r="B1004" i="4" s="1"/>
  <c r="C1004" i="4" s="1"/>
  <c r="D1004" i="4" s="1"/>
  <c r="G1008" i="3"/>
  <c r="F1008" i="3"/>
  <c r="F1007" i="3"/>
  <c r="G1007" i="3"/>
  <c r="G1006" i="3"/>
  <c r="A1002" i="4" s="1"/>
  <c r="B1002" i="4" s="1"/>
  <c r="C1002" i="4" s="1"/>
  <c r="D1002" i="4" s="1"/>
  <c r="F1006" i="3"/>
  <c r="F1005" i="3"/>
  <c r="G1005" i="3"/>
  <c r="A1000" i="4"/>
  <c r="B1000" i="4" s="1"/>
  <c r="C1000" i="4" s="1"/>
  <c r="D1000" i="4" s="1"/>
  <c r="G1004" i="3"/>
  <c r="F1004" i="3"/>
  <c r="F1003" i="3"/>
  <c r="G1003" i="3"/>
  <c r="G1002" i="3"/>
  <c r="A998" i="4" s="1"/>
  <c r="B998" i="4" s="1"/>
  <c r="C998" i="4" s="1"/>
  <c r="D998" i="4" s="1"/>
  <c r="F1002" i="3"/>
  <c r="F1001" i="3"/>
  <c r="G1001" i="3"/>
  <c r="A996" i="4"/>
  <c r="B996" i="4" s="1"/>
  <c r="C996" i="4" s="1"/>
  <c r="D996" i="4" s="1"/>
  <c r="G1000" i="3"/>
  <c r="F1000" i="3"/>
  <c r="F999" i="3"/>
  <c r="G999" i="3"/>
  <c r="G998" i="3"/>
  <c r="A994" i="4" s="1"/>
  <c r="B994" i="4" s="1"/>
  <c r="C994" i="4" s="1"/>
  <c r="D994" i="4" s="1"/>
  <c r="F998" i="3"/>
  <c r="F997" i="3"/>
  <c r="G997" i="3"/>
  <c r="A992" i="4"/>
  <c r="B992" i="4" s="1"/>
  <c r="C992" i="4" s="1"/>
  <c r="D992" i="4" s="1"/>
  <c r="G996" i="3"/>
  <c r="F996" i="3"/>
  <c r="F995" i="3"/>
  <c r="G995" i="3"/>
  <c r="G994" i="3"/>
  <c r="A990" i="4" s="1"/>
  <c r="B990" i="4" s="1"/>
  <c r="C990" i="4" s="1"/>
  <c r="D990" i="4" s="1"/>
  <c r="F994" i="3"/>
  <c r="F993" i="3"/>
  <c r="G993" i="3"/>
  <c r="A988" i="4"/>
  <c r="B988" i="4" s="1"/>
  <c r="C988" i="4" s="1"/>
  <c r="D988" i="4" s="1"/>
  <c r="G992" i="3"/>
  <c r="F992" i="3"/>
  <c r="F991" i="3"/>
  <c r="G991" i="3"/>
  <c r="G990" i="3"/>
  <c r="A986" i="4" s="1"/>
  <c r="B986" i="4" s="1"/>
  <c r="C986" i="4" s="1"/>
  <c r="D986" i="4" s="1"/>
  <c r="F990" i="3"/>
  <c r="F989" i="3"/>
  <c r="G989" i="3"/>
  <c r="A984" i="4"/>
  <c r="B984" i="4" s="1"/>
  <c r="C984" i="4" s="1"/>
  <c r="D984" i="4" s="1"/>
  <c r="G988" i="3"/>
  <c r="F988" i="3"/>
  <c r="F987" i="3"/>
  <c r="G987" i="3"/>
  <c r="G986" i="3"/>
  <c r="A982" i="4" s="1"/>
  <c r="B982" i="4" s="1"/>
  <c r="C982" i="4" s="1"/>
  <c r="D982" i="4" s="1"/>
  <c r="F986" i="3"/>
  <c r="F985" i="3"/>
  <c r="G985" i="3"/>
  <c r="A980" i="4"/>
  <c r="B980" i="4" s="1"/>
  <c r="C980" i="4" s="1"/>
  <c r="D980" i="4" s="1"/>
  <c r="G984" i="3"/>
  <c r="F984" i="3"/>
  <c r="F983" i="3"/>
  <c r="G983" i="3"/>
  <c r="G982" i="3"/>
  <c r="A978" i="4" s="1"/>
  <c r="B978" i="4" s="1"/>
  <c r="C978" i="4" s="1"/>
  <c r="D978" i="4" s="1"/>
  <c r="F982" i="3"/>
  <c r="F981" i="3"/>
  <c r="G981" i="3"/>
  <c r="A976" i="4"/>
  <c r="B976" i="4" s="1"/>
  <c r="C976" i="4" s="1"/>
  <c r="D976" i="4" s="1"/>
  <c r="G980" i="3"/>
  <c r="F980" i="3"/>
  <c r="F979" i="3"/>
  <c r="G979" i="3"/>
  <c r="G978" i="3"/>
  <c r="A974" i="4" s="1"/>
  <c r="B974" i="4" s="1"/>
  <c r="C974" i="4" s="1"/>
  <c r="D974" i="4" s="1"/>
  <c r="F978" i="3"/>
  <c r="F977" i="3"/>
  <c r="G977" i="3"/>
  <c r="A972" i="4"/>
  <c r="B972" i="4" s="1"/>
  <c r="C972" i="4" s="1"/>
  <c r="D972" i="4" s="1"/>
  <c r="G976" i="3"/>
  <c r="F976" i="3"/>
  <c r="F975" i="3"/>
  <c r="G975" i="3"/>
  <c r="G974" i="3"/>
  <c r="A970" i="4" s="1"/>
  <c r="B970" i="4" s="1"/>
  <c r="C970" i="4" s="1"/>
  <c r="D970" i="4" s="1"/>
  <c r="F974" i="3"/>
  <c r="F973" i="3"/>
  <c r="G973" i="3"/>
  <c r="A968" i="4"/>
  <c r="B968" i="4" s="1"/>
  <c r="C968" i="4" s="1"/>
  <c r="D968" i="4" s="1"/>
  <c r="G972" i="3"/>
  <c r="F972" i="3"/>
  <c r="F971" i="3"/>
  <c r="G971" i="3"/>
  <c r="G970" i="3"/>
  <c r="A966" i="4" s="1"/>
  <c r="B966" i="4" s="1"/>
  <c r="C966" i="4" s="1"/>
  <c r="D966" i="4" s="1"/>
  <c r="F970" i="3"/>
  <c r="F969" i="3"/>
  <c r="G969" i="3"/>
  <c r="A964" i="4"/>
  <c r="B964" i="4" s="1"/>
  <c r="C964" i="4" s="1"/>
  <c r="D964" i="4" s="1"/>
  <c r="G968" i="3"/>
  <c r="F968" i="3"/>
  <c r="F967" i="3"/>
  <c r="G967" i="3"/>
  <c r="G966" i="3"/>
  <c r="A962" i="4" s="1"/>
  <c r="B962" i="4" s="1"/>
  <c r="C962" i="4" s="1"/>
  <c r="D962" i="4" s="1"/>
  <c r="F966" i="3"/>
  <c r="F965" i="3"/>
  <c r="G965" i="3"/>
  <c r="A960" i="4"/>
  <c r="B960" i="4" s="1"/>
  <c r="C960" i="4" s="1"/>
  <c r="D960" i="4" s="1"/>
  <c r="G964" i="3"/>
  <c r="F964" i="3"/>
  <c r="F963" i="3"/>
  <c r="G963" i="3"/>
  <c r="G962" i="3"/>
  <c r="A958" i="4" s="1"/>
  <c r="B958" i="4" s="1"/>
  <c r="C958" i="4" s="1"/>
  <c r="D958" i="4" s="1"/>
  <c r="F962" i="3"/>
  <c r="F961" i="3"/>
  <c r="G961" i="3"/>
  <c r="A956" i="4"/>
  <c r="B956" i="4" s="1"/>
  <c r="C956" i="4" s="1"/>
  <c r="D956" i="4" s="1"/>
  <c r="G960" i="3"/>
  <c r="F960" i="3"/>
  <c r="F959" i="3"/>
  <c r="G959" i="3"/>
  <c r="G958" i="3"/>
  <c r="A954" i="4" s="1"/>
  <c r="B954" i="4" s="1"/>
  <c r="C954" i="4" s="1"/>
  <c r="D954" i="4" s="1"/>
  <c r="F958" i="3"/>
  <c r="F957" i="3"/>
  <c r="G957" i="3"/>
  <c r="A952" i="4"/>
  <c r="B952" i="4" s="1"/>
  <c r="C952" i="4" s="1"/>
  <c r="D952" i="4" s="1"/>
  <c r="G956" i="3"/>
  <c r="F956" i="3"/>
  <c r="F955" i="3"/>
  <c r="G955" i="3"/>
  <c r="G954" i="3"/>
  <c r="A950" i="4" s="1"/>
  <c r="B950" i="4" s="1"/>
  <c r="C950" i="4" s="1"/>
  <c r="D950" i="4" s="1"/>
  <c r="F954" i="3"/>
  <c r="F953" i="3"/>
  <c r="G953" i="3"/>
  <c r="A948" i="4"/>
  <c r="B948" i="4" s="1"/>
  <c r="C948" i="4" s="1"/>
  <c r="D948" i="4" s="1"/>
  <c r="G952" i="3"/>
  <c r="F952" i="3"/>
  <c r="F951" i="3"/>
  <c r="G951" i="3"/>
  <c r="G950" i="3"/>
  <c r="A946" i="4" s="1"/>
  <c r="B946" i="4" s="1"/>
  <c r="C946" i="4" s="1"/>
  <c r="D946" i="4" s="1"/>
  <c r="F950" i="3"/>
  <c r="F949" i="3"/>
  <c r="G949" i="3"/>
  <c r="A944" i="4"/>
  <c r="B944" i="4" s="1"/>
  <c r="C944" i="4" s="1"/>
  <c r="D944" i="4" s="1"/>
  <c r="G948" i="3"/>
  <c r="F948" i="3"/>
  <c r="F947" i="3"/>
  <c r="G947" i="3"/>
  <c r="G946" i="3"/>
  <c r="A942" i="4" s="1"/>
  <c r="B942" i="4" s="1"/>
  <c r="C942" i="4" s="1"/>
  <c r="D942" i="4" s="1"/>
  <c r="F946" i="3"/>
  <c r="F945" i="3"/>
  <c r="G945" i="3"/>
  <c r="A940" i="4"/>
  <c r="B940" i="4" s="1"/>
  <c r="C940" i="4" s="1"/>
  <c r="D940" i="4" s="1"/>
  <c r="G944" i="3"/>
  <c r="F944" i="3"/>
  <c r="F943" i="3"/>
  <c r="G943" i="3"/>
  <c r="G942" i="3"/>
  <c r="A938" i="4" s="1"/>
  <c r="B938" i="4" s="1"/>
  <c r="C938" i="4" s="1"/>
  <c r="D938" i="4" s="1"/>
  <c r="F942" i="3"/>
  <c r="F941" i="3"/>
  <c r="G941" i="3"/>
  <c r="A936" i="4"/>
  <c r="B936" i="4" s="1"/>
  <c r="C936" i="4" s="1"/>
  <c r="D936" i="4" s="1"/>
  <c r="G940" i="3"/>
  <c r="F940" i="3"/>
  <c r="F939" i="3"/>
  <c r="G939" i="3"/>
  <c r="G938" i="3"/>
  <c r="A934" i="4" s="1"/>
  <c r="B934" i="4" s="1"/>
  <c r="C934" i="4" s="1"/>
  <c r="D934" i="4" s="1"/>
  <c r="F938" i="3"/>
  <c r="F937" i="3"/>
  <c r="G937" i="3"/>
  <c r="A932" i="4"/>
  <c r="B932" i="4" s="1"/>
  <c r="C932" i="4" s="1"/>
  <c r="D932" i="4" s="1"/>
  <c r="G936" i="3"/>
  <c r="F936" i="3"/>
  <c r="F935" i="3"/>
  <c r="G935" i="3"/>
  <c r="G934" i="3"/>
  <c r="A930" i="4" s="1"/>
  <c r="B930" i="4" s="1"/>
  <c r="C930" i="4" s="1"/>
  <c r="D930" i="4" s="1"/>
  <c r="F934" i="3"/>
  <c r="F933" i="3"/>
  <c r="G933" i="3"/>
  <c r="A928" i="4"/>
  <c r="B928" i="4" s="1"/>
  <c r="C928" i="4" s="1"/>
  <c r="D928" i="4" s="1"/>
  <c r="G932" i="3"/>
  <c r="F932" i="3"/>
  <c r="F931" i="3"/>
  <c r="G931" i="3"/>
  <c r="G930" i="3"/>
  <c r="A926" i="4" s="1"/>
  <c r="B926" i="4" s="1"/>
  <c r="C926" i="4" s="1"/>
  <c r="D926" i="4" s="1"/>
  <c r="F930" i="3"/>
  <c r="F929" i="3"/>
  <c r="G929" i="3"/>
  <c r="A924" i="4"/>
  <c r="B924" i="4" s="1"/>
  <c r="C924" i="4" s="1"/>
  <c r="D924" i="4" s="1"/>
  <c r="G928" i="3"/>
  <c r="F928" i="3"/>
  <c r="F927" i="3"/>
  <c r="G927" i="3"/>
  <c r="G926" i="3"/>
  <c r="A922" i="4" s="1"/>
  <c r="B922" i="4" s="1"/>
  <c r="C922" i="4" s="1"/>
  <c r="D922" i="4" s="1"/>
  <c r="F926" i="3"/>
  <c r="F925" i="3"/>
  <c r="G925" i="3"/>
  <c r="A920" i="4"/>
  <c r="B920" i="4" s="1"/>
  <c r="C920" i="4" s="1"/>
  <c r="D920" i="4" s="1"/>
  <c r="G924" i="3"/>
  <c r="F924" i="3"/>
  <c r="F923" i="3"/>
  <c r="G923" i="3"/>
  <c r="G922" i="3"/>
  <c r="A918" i="4" s="1"/>
  <c r="B918" i="4" s="1"/>
  <c r="C918" i="4" s="1"/>
  <c r="D918" i="4" s="1"/>
  <c r="F922" i="3"/>
  <c r="F921" i="3"/>
  <c r="G921" i="3"/>
  <c r="A916" i="4"/>
  <c r="B916" i="4" s="1"/>
  <c r="C916" i="4" s="1"/>
  <c r="D916" i="4" s="1"/>
  <c r="G920" i="3"/>
  <c r="F920" i="3"/>
  <c r="F919" i="3"/>
  <c r="G919" i="3"/>
  <c r="G918" i="3"/>
  <c r="A914" i="4" s="1"/>
  <c r="B914" i="4" s="1"/>
  <c r="C914" i="4" s="1"/>
  <c r="D914" i="4" s="1"/>
  <c r="F918" i="3"/>
  <c r="F917" i="3"/>
  <c r="G917" i="3"/>
  <c r="A912" i="4"/>
  <c r="B912" i="4" s="1"/>
  <c r="C912" i="4" s="1"/>
  <c r="D912" i="4" s="1"/>
  <c r="G916" i="3"/>
  <c r="F916" i="3"/>
  <c r="F915" i="3"/>
  <c r="G915" i="3"/>
  <c r="G914" i="3"/>
  <c r="A910" i="4" s="1"/>
  <c r="B910" i="4" s="1"/>
  <c r="C910" i="4" s="1"/>
  <c r="D910" i="4" s="1"/>
  <c r="F914" i="3"/>
  <c r="F913" i="3"/>
  <c r="G913" i="3"/>
  <c r="A908" i="4"/>
  <c r="B908" i="4" s="1"/>
  <c r="C908" i="4" s="1"/>
  <c r="D908" i="4" s="1"/>
  <c r="G912" i="3"/>
  <c r="F912" i="3"/>
  <c r="F911" i="3"/>
  <c r="G911" i="3"/>
  <c r="G910" i="3"/>
  <c r="A906" i="4" s="1"/>
  <c r="B906" i="4" s="1"/>
  <c r="C906" i="4" s="1"/>
  <c r="D906" i="4" s="1"/>
  <c r="F910" i="3"/>
  <c r="F909" i="3"/>
  <c r="G909" i="3"/>
  <c r="A904" i="4"/>
  <c r="B904" i="4" s="1"/>
  <c r="C904" i="4" s="1"/>
  <c r="D904" i="4" s="1"/>
  <c r="G908" i="3"/>
  <c r="F908" i="3"/>
  <c r="F907" i="3"/>
  <c r="G907" i="3"/>
  <c r="G906" i="3"/>
  <c r="A902" i="4" s="1"/>
  <c r="B902" i="4" s="1"/>
  <c r="C902" i="4" s="1"/>
  <c r="D902" i="4" s="1"/>
  <c r="F906" i="3"/>
  <c r="F905" i="3"/>
  <c r="G905" i="3"/>
  <c r="A900" i="4"/>
  <c r="B900" i="4" s="1"/>
  <c r="C900" i="4" s="1"/>
  <c r="D900" i="4" s="1"/>
  <c r="G904" i="3"/>
  <c r="F904" i="3"/>
  <c r="F903" i="3"/>
  <c r="G903" i="3"/>
  <c r="G902" i="3"/>
  <c r="A898" i="4" s="1"/>
  <c r="B898" i="4" s="1"/>
  <c r="C898" i="4" s="1"/>
  <c r="D898" i="4" s="1"/>
  <c r="F902" i="3"/>
  <c r="F901" i="3"/>
  <c r="G901" i="3"/>
  <c r="A896" i="4"/>
  <c r="B896" i="4" s="1"/>
  <c r="C896" i="4" s="1"/>
  <c r="D896" i="4" s="1"/>
  <c r="G900" i="3"/>
  <c r="F900" i="3"/>
  <c r="F899" i="3"/>
  <c r="G899" i="3"/>
  <c r="G898" i="3"/>
  <c r="A894" i="4" s="1"/>
  <c r="B894" i="4" s="1"/>
  <c r="C894" i="4" s="1"/>
  <c r="D894" i="4" s="1"/>
  <c r="F898" i="3"/>
  <c r="F897" i="3"/>
  <c r="G897" i="3"/>
  <c r="A892" i="4"/>
  <c r="B892" i="4" s="1"/>
  <c r="C892" i="4" s="1"/>
  <c r="D892" i="4" s="1"/>
  <c r="G896" i="3"/>
  <c r="F896" i="3"/>
  <c r="F895" i="3"/>
  <c r="G895" i="3"/>
  <c r="G894" i="3"/>
  <c r="A890" i="4" s="1"/>
  <c r="B890" i="4" s="1"/>
  <c r="C890" i="4" s="1"/>
  <c r="D890" i="4" s="1"/>
  <c r="F894" i="3"/>
  <c r="F893" i="3"/>
  <c r="G893" i="3"/>
  <c r="A888" i="4"/>
  <c r="B888" i="4" s="1"/>
  <c r="C888" i="4" s="1"/>
  <c r="D888" i="4" s="1"/>
  <c r="G892" i="3"/>
  <c r="F892" i="3"/>
  <c r="F891" i="3"/>
  <c r="G891" i="3"/>
  <c r="G890" i="3"/>
  <c r="A886" i="4" s="1"/>
  <c r="B886" i="4" s="1"/>
  <c r="C886" i="4" s="1"/>
  <c r="D886" i="4" s="1"/>
  <c r="F890" i="3"/>
  <c r="F889" i="3"/>
  <c r="G889" i="3"/>
  <c r="A884" i="4"/>
  <c r="B884" i="4" s="1"/>
  <c r="C884" i="4" s="1"/>
  <c r="D884" i="4" s="1"/>
  <c r="G888" i="3"/>
  <c r="F888" i="3"/>
  <c r="F887" i="3"/>
  <c r="G887" i="3"/>
  <c r="G886" i="3"/>
  <c r="A882" i="4" s="1"/>
  <c r="B882" i="4" s="1"/>
  <c r="C882" i="4" s="1"/>
  <c r="D882" i="4" s="1"/>
  <c r="F886" i="3"/>
  <c r="F885" i="3"/>
  <c r="G885" i="3"/>
  <c r="A880" i="4"/>
  <c r="B880" i="4" s="1"/>
  <c r="C880" i="4" s="1"/>
  <c r="D880" i="4" s="1"/>
  <c r="G884" i="3"/>
  <c r="F884" i="3"/>
  <c r="F883" i="3"/>
  <c r="G883" i="3"/>
  <c r="G882" i="3"/>
  <c r="A878" i="4" s="1"/>
  <c r="B878" i="4" s="1"/>
  <c r="C878" i="4" s="1"/>
  <c r="D878" i="4" s="1"/>
  <c r="F882" i="3"/>
  <c r="F881" i="3"/>
  <c r="G881" i="3"/>
  <c r="A876" i="4"/>
  <c r="B876" i="4" s="1"/>
  <c r="C876" i="4" s="1"/>
  <c r="D876" i="4" s="1"/>
  <c r="G880" i="3"/>
  <c r="F880" i="3"/>
  <c r="F879" i="3"/>
  <c r="G879" i="3"/>
  <c r="G878" i="3"/>
  <c r="A874" i="4" s="1"/>
  <c r="B874" i="4" s="1"/>
  <c r="C874" i="4" s="1"/>
  <c r="D874" i="4" s="1"/>
  <c r="F878" i="3"/>
  <c r="F877" i="3"/>
  <c r="G877" i="3"/>
  <c r="A872" i="4"/>
  <c r="B872" i="4" s="1"/>
  <c r="C872" i="4" s="1"/>
  <c r="D872" i="4" s="1"/>
  <c r="G876" i="3"/>
  <c r="F876" i="3"/>
  <c r="F875" i="3"/>
  <c r="G875" i="3"/>
  <c r="G874" i="3"/>
  <c r="A870" i="4" s="1"/>
  <c r="B870" i="4" s="1"/>
  <c r="C870" i="4" s="1"/>
  <c r="D870" i="4" s="1"/>
  <c r="F874" i="3"/>
  <c r="F873" i="3"/>
  <c r="G873" i="3"/>
  <c r="A868" i="4"/>
  <c r="B868" i="4" s="1"/>
  <c r="C868" i="4" s="1"/>
  <c r="D868" i="4" s="1"/>
  <c r="G872" i="3"/>
  <c r="F872" i="3"/>
  <c r="F871" i="3"/>
  <c r="G871" i="3"/>
  <c r="G870" i="3"/>
  <c r="A866" i="4" s="1"/>
  <c r="B866" i="4" s="1"/>
  <c r="C866" i="4" s="1"/>
  <c r="D866" i="4" s="1"/>
  <c r="F870" i="3"/>
  <c r="F869" i="3"/>
  <c r="G869" i="3"/>
  <c r="A864" i="4"/>
  <c r="B864" i="4" s="1"/>
  <c r="C864" i="4" s="1"/>
  <c r="D864" i="4" s="1"/>
  <c r="G868" i="3"/>
  <c r="F868" i="3"/>
  <c r="F867" i="3"/>
  <c r="G867" i="3"/>
  <c r="G866" i="3"/>
  <c r="A862" i="4" s="1"/>
  <c r="B862" i="4" s="1"/>
  <c r="C862" i="4" s="1"/>
  <c r="D862" i="4" s="1"/>
  <c r="F866" i="3"/>
  <c r="F865" i="3"/>
  <c r="G865" i="3"/>
  <c r="A860" i="4"/>
  <c r="B860" i="4" s="1"/>
  <c r="C860" i="4" s="1"/>
  <c r="D860" i="4" s="1"/>
  <c r="G864" i="3"/>
  <c r="F864" i="3"/>
  <c r="F863" i="3"/>
  <c r="G863" i="3"/>
  <c r="G862" i="3"/>
  <c r="A858" i="4" s="1"/>
  <c r="B858" i="4" s="1"/>
  <c r="C858" i="4" s="1"/>
  <c r="D858" i="4" s="1"/>
  <c r="F862" i="3"/>
  <c r="F861" i="3"/>
  <c r="G861" i="3"/>
  <c r="A856" i="4"/>
  <c r="B856" i="4" s="1"/>
  <c r="C856" i="4" s="1"/>
  <c r="D856" i="4" s="1"/>
  <c r="G860" i="3"/>
  <c r="F860" i="3"/>
  <c r="F859" i="3"/>
  <c r="G859" i="3"/>
  <c r="G858" i="3"/>
  <c r="A854" i="4" s="1"/>
  <c r="B854" i="4" s="1"/>
  <c r="C854" i="4" s="1"/>
  <c r="D854" i="4" s="1"/>
  <c r="F858" i="3"/>
  <c r="F857" i="3"/>
  <c r="G857" i="3"/>
  <c r="A852" i="4"/>
  <c r="B852" i="4" s="1"/>
  <c r="C852" i="4" s="1"/>
  <c r="D852" i="4" s="1"/>
  <c r="G856" i="3"/>
  <c r="F856" i="3"/>
  <c r="F855" i="3"/>
  <c r="G855" i="3"/>
  <c r="G854" i="3"/>
  <c r="A850" i="4" s="1"/>
  <c r="B850" i="4" s="1"/>
  <c r="C850" i="4" s="1"/>
  <c r="D850" i="4" s="1"/>
  <c r="F854" i="3"/>
  <c r="F853" i="3"/>
  <c r="G853" i="3"/>
  <c r="A848" i="4"/>
  <c r="B848" i="4" s="1"/>
  <c r="C848" i="4" s="1"/>
  <c r="D848" i="4" s="1"/>
  <c r="G852" i="3"/>
  <c r="F852" i="3"/>
  <c r="F851" i="3"/>
  <c r="G851" i="3"/>
  <c r="G850" i="3"/>
  <c r="A846" i="4" s="1"/>
  <c r="B846" i="4" s="1"/>
  <c r="C846" i="4" s="1"/>
  <c r="D846" i="4" s="1"/>
  <c r="F850" i="3"/>
  <c r="F849" i="3"/>
  <c r="G849" i="3"/>
  <c r="A844" i="4"/>
  <c r="B844" i="4" s="1"/>
  <c r="C844" i="4" s="1"/>
  <c r="D844" i="4" s="1"/>
  <c r="G848" i="3"/>
  <c r="F848" i="3"/>
  <c r="F847" i="3"/>
  <c r="G847" i="3"/>
  <c r="G846" i="3"/>
  <c r="A842" i="4" s="1"/>
  <c r="B842" i="4" s="1"/>
  <c r="C842" i="4" s="1"/>
  <c r="D842" i="4" s="1"/>
  <c r="F846" i="3"/>
  <c r="F845" i="3"/>
  <c r="G845" i="3"/>
  <c r="A840" i="4"/>
  <c r="B840" i="4" s="1"/>
  <c r="C840" i="4" s="1"/>
  <c r="D840" i="4" s="1"/>
  <c r="G844" i="3"/>
  <c r="F844" i="3"/>
  <c r="F843" i="3"/>
  <c r="G843" i="3"/>
  <c r="G842" i="3"/>
  <c r="A838" i="4" s="1"/>
  <c r="B838" i="4" s="1"/>
  <c r="C838" i="4" s="1"/>
  <c r="D838" i="4" s="1"/>
  <c r="F842" i="3"/>
  <c r="F841" i="3"/>
  <c r="G841" i="3"/>
  <c r="A836" i="4"/>
  <c r="B836" i="4" s="1"/>
  <c r="C836" i="4" s="1"/>
  <c r="D836" i="4" s="1"/>
  <c r="G840" i="3"/>
  <c r="F840" i="3"/>
  <c r="F839" i="3"/>
  <c r="G839" i="3"/>
  <c r="G838" i="3"/>
  <c r="A834" i="4" s="1"/>
  <c r="B834" i="4" s="1"/>
  <c r="C834" i="4" s="1"/>
  <c r="D834" i="4" s="1"/>
  <c r="F838" i="3"/>
  <c r="F837" i="3"/>
  <c r="G837" i="3"/>
  <c r="A832" i="4"/>
  <c r="B832" i="4" s="1"/>
  <c r="C832" i="4" s="1"/>
  <c r="D832" i="4" s="1"/>
  <c r="G836" i="3"/>
  <c r="F836" i="3"/>
  <c r="F835" i="3"/>
  <c r="G835" i="3"/>
  <c r="G834" i="3"/>
  <c r="A830" i="4" s="1"/>
  <c r="B830" i="4" s="1"/>
  <c r="C830" i="4" s="1"/>
  <c r="D830" i="4" s="1"/>
  <c r="F834" i="3"/>
  <c r="F833" i="3"/>
  <c r="G833" i="3"/>
  <c r="A828" i="4"/>
  <c r="B828" i="4" s="1"/>
  <c r="C828" i="4" s="1"/>
  <c r="D828" i="4" s="1"/>
  <c r="G832" i="3"/>
  <c r="F832" i="3"/>
  <c r="F831" i="3"/>
  <c r="G831" i="3"/>
  <c r="I826" i="4"/>
  <c r="G830" i="3"/>
  <c r="F830" i="3"/>
  <c r="F829" i="3"/>
  <c r="G829" i="3"/>
  <c r="I824" i="4"/>
  <c r="G828" i="3"/>
  <c r="A824" i="4" s="1"/>
  <c r="B824" i="4" s="1"/>
  <c r="C824" i="4" s="1"/>
  <c r="D824" i="4" s="1"/>
  <c r="F828" i="3"/>
  <c r="F827" i="3"/>
  <c r="G827" i="3"/>
  <c r="I822" i="4"/>
  <c r="G826" i="3"/>
  <c r="F826" i="3"/>
  <c r="F825" i="3"/>
  <c r="G825" i="3"/>
  <c r="I820" i="4"/>
  <c r="A820" i="4"/>
  <c r="B820" i="4" s="1"/>
  <c r="C820" i="4" s="1"/>
  <c r="D820" i="4" s="1"/>
  <c r="G824" i="3"/>
  <c r="F824" i="3"/>
  <c r="F823" i="3"/>
  <c r="G823" i="3"/>
  <c r="I818" i="4"/>
  <c r="G822" i="3"/>
  <c r="F822" i="3"/>
  <c r="F821" i="3"/>
  <c r="G821" i="3"/>
  <c r="I816" i="4"/>
  <c r="G820" i="3"/>
  <c r="A816" i="4" s="1"/>
  <c r="B816" i="4" s="1"/>
  <c r="C816" i="4" s="1"/>
  <c r="D816" i="4" s="1"/>
  <c r="F820" i="3"/>
  <c r="F819" i="3"/>
  <c r="G819" i="3"/>
  <c r="I814" i="4"/>
  <c r="G818" i="3"/>
  <c r="F818" i="3"/>
  <c r="F817" i="3"/>
  <c r="G817" i="3"/>
  <c r="I812" i="4"/>
  <c r="A812" i="4"/>
  <c r="B812" i="4" s="1"/>
  <c r="C812" i="4" s="1"/>
  <c r="D812" i="4" s="1"/>
  <c r="G816" i="3"/>
  <c r="F816" i="3"/>
  <c r="F815" i="3"/>
  <c r="G815" i="3"/>
  <c r="I810" i="4"/>
  <c r="G814" i="3"/>
  <c r="F814" i="3"/>
  <c r="F813" i="3"/>
  <c r="G813" i="3"/>
  <c r="I808" i="4"/>
  <c r="G812" i="3"/>
  <c r="A808" i="4" s="1"/>
  <c r="B808" i="4" s="1"/>
  <c r="C808" i="4" s="1"/>
  <c r="D808" i="4" s="1"/>
  <c r="F812" i="3"/>
  <c r="F811" i="3"/>
  <c r="G811" i="3"/>
  <c r="I806" i="4"/>
  <c r="G810" i="3"/>
  <c r="F810" i="3"/>
  <c r="F809" i="3"/>
  <c r="G809" i="3"/>
  <c r="I804" i="4"/>
  <c r="A804" i="4"/>
  <c r="B804" i="4" s="1"/>
  <c r="C804" i="4" s="1"/>
  <c r="D804" i="4" s="1"/>
  <c r="G808" i="3"/>
  <c r="F808" i="3"/>
  <c r="F807" i="3"/>
  <c r="G807" i="3"/>
  <c r="I802" i="4"/>
  <c r="G806" i="3"/>
  <c r="F806" i="3"/>
  <c r="F805" i="3"/>
  <c r="G805" i="3"/>
  <c r="I800" i="4"/>
  <c r="G804" i="3"/>
  <c r="A800" i="4" s="1"/>
  <c r="B800" i="4" s="1"/>
  <c r="C800" i="4" s="1"/>
  <c r="D800" i="4" s="1"/>
  <c r="F804" i="3"/>
  <c r="F803" i="3"/>
  <c r="G803" i="3"/>
  <c r="I798" i="4"/>
  <c r="G802" i="3"/>
  <c r="F802" i="3"/>
  <c r="F801" i="3"/>
  <c r="G801" i="3"/>
  <c r="I796" i="4"/>
  <c r="A796" i="4"/>
  <c r="B796" i="4" s="1"/>
  <c r="C796" i="4" s="1"/>
  <c r="D796" i="4" s="1"/>
  <c r="G800" i="3"/>
  <c r="F800" i="3"/>
  <c r="F799" i="3"/>
  <c r="G799" i="3"/>
  <c r="I794" i="4"/>
  <c r="G798" i="3"/>
  <c r="F798" i="3"/>
  <c r="F797" i="3"/>
  <c r="G797" i="3"/>
  <c r="I792" i="4"/>
  <c r="G796" i="3"/>
  <c r="A792" i="4" s="1"/>
  <c r="B792" i="4" s="1"/>
  <c r="C792" i="4" s="1"/>
  <c r="D792" i="4" s="1"/>
  <c r="F796" i="3"/>
  <c r="F795" i="3"/>
  <c r="G795" i="3"/>
  <c r="I790" i="4"/>
  <c r="G794" i="3"/>
  <c r="F794" i="3"/>
  <c r="F793" i="3"/>
  <c r="G793" i="3"/>
  <c r="I788" i="4"/>
  <c r="A788" i="4"/>
  <c r="B788" i="4" s="1"/>
  <c r="C788" i="4" s="1"/>
  <c r="D788" i="4" s="1"/>
  <c r="G792" i="3"/>
  <c r="F792" i="3"/>
  <c r="F791" i="3"/>
  <c r="G791" i="3"/>
  <c r="I786" i="4"/>
  <c r="G790" i="3"/>
  <c r="F790" i="3"/>
  <c r="F789" i="3"/>
  <c r="G789" i="3"/>
  <c r="A785" i="4" s="1"/>
  <c r="B785" i="4" s="1"/>
  <c r="C785" i="4" s="1"/>
  <c r="D785" i="4" s="1"/>
  <c r="I784" i="4"/>
  <c r="G788" i="3"/>
  <c r="A784" i="4" s="1"/>
  <c r="B784" i="4" s="1"/>
  <c r="C784" i="4" s="1"/>
  <c r="D784" i="4" s="1"/>
  <c r="F788" i="3"/>
  <c r="F787" i="3"/>
  <c r="G787" i="3"/>
  <c r="I782" i="4"/>
  <c r="G786" i="3"/>
  <c r="F786" i="3"/>
  <c r="F785" i="3"/>
  <c r="G785" i="3"/>
  <c r="I780" i="4"/>
  <c r="A780" i="4"/>
  <c r="B780" i="4" s="1"/>
  <c r="C780" i="4" s="1"/>
  <c r="D780" i="4" s="1"/>
  <c r="G784" i="3"/>
  <c r="F784" i="3"/>
  <c r="F783" i="3"/>
  <c r="G783" i="3"/>
  <c r="I778" i="4"/>
  <c r="G782" i="3"/>
  <c r="F782" i="3"/>
  <c r="F781" i="3"/>
  <c r="G781" i="3"/>
  <c r="I776" i="4"/>
  <c r="G780" i="3"/>
  <c r="A776" i="4" s="1"/>
  <c r="B776" i="4" s="1"/>
  <c r="C776" i="4" s="1"/>
  <c r="D776" i="4" s="1"/>
  <c r="F780" i="3"/>
  <c r="F779" i="3"/>
  <c r="G779" i="3"/>
  <c r="I774" i="4"/>
  <c r="G778" i="3"/>
  <c r="F778" i="3"/>
  <c r="F777" i="3"/>
  <c r="G777" i="3"/>
  <c r="I772" i="4"/>
  <c r="A772" i="4"/>
  <c r="B772" i="4" s="1"/>
  <c r="C772" i="4" s="1"/>
  <c r="D772" i="4" s="1"/>
  <c r="G776" i="3"/>
  <c r="F776" i="3"/>
  <c r="F775" i="3"/>
  <c r="G775" i="3"/>
  <c r="I770" i="4"/>
  <c r="G774" i="3"/>
  <c r="F774" i="3"/>
  <c r="F773" i="3"/>
  <c r="G773" i="3"/>
  <c r="I768" i="4"/>
  <c r="G772" i="3"/>
  <c r="A768" i="4" s="1"/>
  <c r="B768" i="4" s="1"/>
  <c r="C768" i="4" s="1"/>
  <c r="D768" i="4" s="1"/>
  <c r="F772" i="3"/>
  <c r="F771" i="3"/>
  <c r="G771" i="3"/>
  <c r="I766" i="4"/>
  <c r="G770" i="3"/>
  <c r="F770" i="3"/>
  <c r="F769" i="3"/>
  <c r="G769" i="3"/>
  <c r="I764" i="4"/>
  <c r="A764" i="4"/>
  <c r="B764" i="4" s="1"/>
  <c r="C764" i="4" s="1"/>
  <c r="D764" i="4" s="1"/>
  <c r="G768" i="3"/>
  <c r="F768" i="3"/>
  <c r="F767" i="3"/>
  <c r="G767" i="3"/>
  <c r="I762" i="4"/>
  <c r="G766" i="3"/>
  <c r="F766" i="3"/>
  <c r="F765" i="3"/>
  <c r="G765" i="3"/>
  <c r="I760" i="4"/>
  <c r="G764" i="3"/>
  <c r="A760" i="4" s="1"/>
  <c r="B760" i="4" s="1"/>
  <c r="C760" i="4" s="1"/>
  <c r="D760" i="4" s="1"/>
  <c r="F764" i="3"/>
  <c r="F763" i="3"/>
  <c r="G763" i="3"/>
  <c r="I758" i="4"/>
  <c r="G762" i="3"/>
  <c r="F762" i="3"/>
  <c r="F761" i="3"/>
  <c r="G761" i="3"/>
  <c r="I756" i="4"/>
  <c r="A756" i="4"/>
  <c r="B756" i="4" s="1"/>
  <c r="C756" i="4" s="1"/>
  <c r="D756" i="4" s="1"/>
  <c r="G760" i="3"/>
  <c r="F760" i="3"/>
  <c r="F759" i="3"/>
  <c r="G759" i="3"/>
  <c r="I754" i="4"/>
  <c r="G758" i="3"/>
  <c r="F758" i="3"/>
  <c r="F757" i="3"/>
  <c r="G757" i="3"/>
  <c r="I752" i="4"/>
  <c r="G756" i="3"/>
  <c r="A752" i="4" s="1"/>
  <c r="B752" i="4" s="1"/>
  <c r="C752" i="4" s="1"/>
  <c r="D752" i="4" s="1"/>
  <c r="F756" i="3"/>
  <c r="F755" i="3"/>
  <c r="G755" i="3"/>
  <c r="I750" i="4"/>
  <c r="G754" i="3"/>
  <c r="F754" i="3"/>
  <c r="F753" i="3"/>
  <c r="G753" i="3"/>
  <c r="I748" i="4"/>
  <c r="A748" i="4"/>
  <c r="B748" i="4" s="1"/>
  <c r="C748" i="4" s="1"/>
  <c r="D748" i="4" s="1"/>
  <c r="G752" i="3"/>
  <c r="F752" i="3"/>
  <c r="F751" i="3"/>
  <c r="G751" i="3"/>
  <c r="I746" i="4"/>
  <c r="G750" i="3"/>
  <c r="F750" i="3"/>
  <c r="F749" i="3"/>
  <c r="G749" i="3"/>
  <c r="I744" i="4"/>
  <c r="G748" i="3"/>
  <c r="A744" i="4" s="1"/>
  <c r="B744" i="4" s="1"/>
  <c r="C744" i="4" s="1"/>
  <c r="D744" i="4" s="1"/>
  <c r="F748" i="3"/>
  <c r="F747" i="3"/>
  <c r="G747" i="3"/>
  <c r="I742" i="4"/>
  <c r="G746" i="3"/>
  <c r="F746" i="3"/>
  <c r="F745" i="3"/>
  <c r="G745" i="3"/>
  <c r="I740" i="4"/>
  <c r="A740" i="4"/>
  <c r="B740" i="4" s="1"/>
  <c r="C740" i="4" s="1"/>
  <c r="D740" i="4" s="1"/>
  <c r="G744" i="3"/>
  <c r="F744" i="3"/>
  <c r="F743" i="3"/>
  <c r="G743" i="3"/>
  <c r="I738" i="4"/>
  <c r="G742" i="3"/>
  <c r="F742" i="3"/>
  <c r="F741" i="3"/>
  <c r="G741" i="3"/>
  <c r="I736" i="4"/>
  <c r="G740" i="3"/>
  <c r="A736" i="4" s="1"/>
  <c r="B736" i="4" s="1"/>
  <c r="C736" i="4" s="1"/>
  <c r="D736" i="4" s="1"/>
  <c r="F740" i="3"/>
  <c r="F739" i="3"/>
  <c r="G739" i="3"/>
  <c r="I734" i="4"/>
  <c r="G738" i="3"/>
  <c r="F738" i="3"/>
  <c r="F737" i="3"/>
  <c r="G737" i="3"/>
  <c r="I732" i="4"/>
  <c r="A732" i="4"/>
  <c r="B732" i="4" s="1"/>
  <c r="C732" i="4" s="1"/>
  <c r="D732" i="4" s="1"/>
  <c r="G736" i="3"/>
  <c r="F736" i="3"/>
  <c r="F735" i="3"/>
  <c r="G735" i="3"/>
  <c r="I730" i="4"/>
  <c r="G734" i="3"/>
  <c r="F734" i="3"/>
  <c r="F733" i="3"/>
  <c r="G733" i="3"/>
  <c r="A729" i="4" s="1"/>
  <c r="B729" i="4" s="1"/>
  <c r="C729" i="4" s="1"/>
  <c r="D729" i="4" s="1"/>
  <c r="I728" i="4"/>
  <c r="G732" i="3"/>
  <c r="A728" i="4" s="1"/>
  <c r="B728" i="4" s="1"/>
  <c r="C728" i="4" s="1"/>
  <c r="D728" i="4" s="1"/>
  <c r="F732" i="3"/>
  <c r="F731" i="3"/>
  <c r="G731" i="3"/>
  <c r="I726" i="4"/>
  <c r="G730" i="3"/>
  <c r="F730" i="3"/>
  <c r="F729" i="3"/>
  <c r="G729" i="3"/>
  <c r="A725" i="4" s="1"/>
  <c r="B725" i="4" s="1"/>
  <c r="C725" i="4" s="1"/>
  <c r="D725" i="4" s="1"/>
  <c r="I724" i="4"/>
  <c r="A724" i="4"/>
  <c r="B724" i="4" s="1"/>
  <c r="C724" i="4" s="1"/>
  <c r="D724" i="4" s="1"/>
  <c r="G728" i="3"/>
  <c r="F728" i="3"/>
  <c r="F727" i="3"/>
  <c r="G727" i="3"/>
  <c r="I722" i="4"/>
  <c r="G726" i="3"/>
  <c r="F726" i="3"/>
  <c r="F725" i="3"/>
  <c r="G725" i="3"/>
  <c r="A721" i="4" s="1"/>
  <c r="B721" i="4" s="1"/>
  <c r="C721" i="4" s="1"/>
  <c r="D721" i="4" s="1"/>
  <c r="I720" i="4"/>
  <c r="G724" i="3"/>
  <c r="A720" i="4" s="1"/>
  <c r="B720" i="4" s="1"/>
  <c r="C720" i="4" s="1"/>
  <c r="D720" i="4" s="1"/>
  <c r="F724" i="3"/>
  <c r="F723" i="3"/>
  <c r="G723" i="3"/>
  <c r="I718" i="4"/>
  <c r="G722" i="3"/>
  <c r="F722" i="3"/>
  <c r="F721" i="3"/>
  <c r="G721" i="3"/>
  <c r="I716" i="4"/>
  <c r="A716" i="4"/>
  <c r="B716" i="4" s="1"/>
  <c r="C716" i="4" s="1"/>
  <c r="D716" i="4" s="1"/>
  <c r="G720" i="3"/>
  <c r="F720" i="3"/>
  <c r="F719" i="3"/>
  <c r="G719" i="3"/>
  <c r="I714" i="4"/>
  <c r="G718" i="3"/>
  <c r="F718" i="3"/>
  <c r="F717" i="3"/>
  <c r="G717" i="3"/>
  <c r="I712" i="4"/>
  <c r="G716" i="3"/>
  <c r="A712" i="4" s="1"/>
  <c r="B712" i="4" s="1"/>
  <c r="C712" i="4" s="1"/>
  <c r="D712" i="4" s="1"/>
  <c r="F716" i="3"/>
  <c r="F715" i="3"/>
  <c r="G715" i="3"/>
  <c r="I710" i="4"/>
  <c r="G714" i="3"/>
  <c r="F714" i="3"/>
  <c r="F713" i="3"/>
  <c r="G713" i="3"/>
  <c r="I708" i="4"/>
  <c r="A708" i="4"/>
  <c r="B708" i="4" s="1"/>
  <c r="C708" i="4" s="1"/>
  <c r="D708" i="4" s="1"/>
  <c r="G712" i="3"/>
  <c r="F712" i="3"/>
  <c r="F711" i="3"/>
  <c r="G711" i="3"/>
  <c r="I706" i="4"/>
  <c r="G710" i="3"/>
  <c r="F710" i="3"/>
  <c r="F709" i="3"/>
  <c r="G709" i="3"/>
  <c r="I704" i="4"/>
  <c r="G708" i="3"/>
  <c r="A704" i="4" s="1"/>
  <c r="B704" i="4" s="1"/>
  <c r="C704" i="4" s="1"/>
  <c r="D704" i="4" s="1"/>
  <c r="F708" i="3"/>
  <c r="F707" i="3"/>
  <c r="G707" i="3"/>
  <c r="I702" i="4"/>
  <c r="G706" i="3"/>
  <c r="F706" i="3"/>
  <c r="F705" i="3"/>
  <c r="G705" i="3"/>
  <c r="I700" i="4"/>
  <c r="A700" i="4"/>
  <c r="B700" i="4" s="1"/>
  <c r="C700" i="4" s="1"/>
  <c r="D700" i="4" s="1"/>
  <c r="G704" i="3"/>
  <c r="F704" i="3"/>
  <c r="F703" i="3"/>
  <c r="G703" i="3"/>
  <c r="I698" i="4"/>
  <c r="G702" i="3"/>
  <c r="F702" i="3"/>
  <c r="F701" i="3"/>
  <c r="G701" i="3"/>
  <c r="I696" i="4"/>
  <c r="G700" i="3"/>
  <c r="A696" i="4" s="1"/>
  <c r="B696" i="4" s="1"/>
  <c r="C696" i="4" s="1"/>
  <c r="D696" i="4" s="1"/>
  <c r="F700" i="3"/>
  <c r="F699" i="3"/>
  <c r="G699" i="3"/>
  <c r="I694" i="4"/>
  <c r="G698" i="3"/>
  <c r="F698" i="3"/>
  <c r="F697" i="3"/>
  <c r="G697" i="3"/>
  <c r="I692" i="4"/>
  <c r="A692" i="4"/>
  <c r="B692" i="4" s="1"/>
  <c r="C692" i="4" s="1"/>
  <c r="D692" i="4" s="1"/>
  <c r="G696" i="3"/>
  <c r="F696" i="3"/>
  <c r="F695" i="3"/>
  <c r="G695" i="3"/>
  <c r="I690" i="4"/>
  <c r="G694" i="3"/>
  <c r="F694" i="3"/>
  <c r="F693" i="3"/>
  <c r="G693" i="3"/>
  <c r="A689" i="4" s="1"/>
  <c r="B689" i="4" s="1"/>
  <c r="C689" i="4" s="1"/>
  <c r="D689" i="4" s="1"/>
  <c r="I688" i="4"/>
  <c r="G692" i="3"/>
  <c r="A688" i="4" s="1"/>
  <c r="B688" i="4" s="1"/>
  <c r="C688" i="4" s="1"/>
  <c r="D688" i="4" s="1"/>
  <c r="F692" i="3"/>
  <c r="F691" i="3"/>
  <c r="G691" i="3"/>
  <c r="I686" i="4"/>
  <c r="G690" i="3"/>
  <c r="F690" i="3"/>
  <c r="F689" i="3"/>
  <c r="G689" i="3"/>
  <c r="A685" i="4" s="1"/>
  <c r="B685" i="4" s="1"/>
  <c r="C685" i="4" s="1"/>
  <c r="D685" i="4" s="1"/>
  <c r="I684" i="4"/>
  <c r="A684" i="4"/>
  <c r="B684" i="4" s="1"/>
  <c r="C684" i="4" s="1"/>
  <c r="D684" i="4" s="1"/>
  <c r="G688" i="3"/>
  <c r="F688" i="3"/>
  <c r="F687" i="3"/>
  <c r="G687" i="3"/>
  <c r="I682" i="4"/>
  <c r="G686" i="3"/>
  <c r="F686" i="3"/>
  <c r="F685" i="3"/>
  <c r="G685" i="3"/>
  <c r="I680" i="4"/>
  <c r="G684" i="3"/>
  <c r="A680" i="4" s="1"/>
  <c r="B680" i="4" s="1"/>
  <c r="C680" i="4" s="1"/>
  <c r="D680" i="4" s="1"/>
  <c r="F684" i="3"/>
  <c r="F683" i="3"/>
  <c r="G683" i="3"/>
  <c r="I678" i="4"/>
  <c r="G682" i="3"/>
  <c r="F682" i="3"/>
  <c r="F681" i="3"/>
  <c r="G681" i="3"/>
  <c r="I676" i="4"/>
  <c r="A676" i="4"/>
  <c r="B676" i="4" s="1"/>
  <c r="C676" i="4" s="1"/>
  <c r="D676" i="4" s="1"/>
  <c r="G680" i="3"/>
  <c r="F680" i="3"/>
  <c r="F679" i="3"/>
  <c r="G679" i="3"/>
  <c r="I674" i="4"/>
  <c r="G678" i="3"/>
  <c r="F678" i="3"/>
  <c r="F677" i="3"/>
  <c r="G677" i="3"/>
  <c r="I672" i="4"/>
  <c r="G676" i="3"/>
  <c r="A672" i="4" s="1"/>
  <c r="B672" i="4" s="1"/>
  <c r="C672" i="4" s="1"/>
  <c r="D672" i="4" s="1"/>
  <c r="F676" i="3"/>
  <c r="F675" i="3"/>
  <c r="G675" i="3"/>
  <c r="I670" i="4"/>
  <c r="G674" i="3"/>
  <c r="F674" i="3"/>
  <c r="F673" i="3"/>
  <c r="G673" i="3"/>
  <c r="I668" i="4"/>
  <c r="A668" i="4"/>
  <c r="B668" i="4" s="1"/>
  <c r="C668" i="4" s="1"/>
  <c r="D668" i="4" s="1"/>
  <c r="G672" i="3"/>
  <c r="F672" i="3"/>
  <c r="F671" i="3"/>
  <c r="G671" i="3"/>
  <c r="I666" i="4"/>
  <c r="G670" i="3"/>
  <c r="F670" i="3"/>
  <c r="F669" i="3"/>
  <c r="G669" i="3"/>
  <c r="I664" i="4"/>
  <c r="G668" i="3"/>
  <c r="A664" i="4" s="1"/>
  <c r="B664" i="4" s="1"/>
  <c r="C664" i="4" s="1"/>
  <c r="D664" i="4" s="1"/>
  <c r="F668" i="3"/>
  <c r="F667" i="3"/>
  <c r="G667" i="3"/>
  <c r="I662" i="4"/>
  <c r="G666" i="3"/>
  <c r="F666" i="3"/>
  <c r="F665" i="3"/>
  <c r="G665" i="3"/>
  <c r="I660" i="4"/>
  <c r="A660" i="4"/>
  <c r="B660" i="4" s="1"/>
  <c r="C660" i="4" s="1"/>
  <c r="D660" i="4" s="1"/>
  <c r="G664" i="3"/>
  <c r="F664" i="3"/>
  <c r="F663" i="3"/>
  <c r="G663" i="3"/>
  <c r="I658" i="4"/>
  <c r="G662" i="3"/>
  <c r="F662" i="3"/>
  <c r="F661" i="3"/>
  <c r="G661" i="3"/>
  <c r="A657" i="4" s="1"/>
  <c r="B657" i="4" s="1"/>
  <c r="C657" i="4" s="1"/>
  <c r="D657" i="4" s="1"/>
  <c r="I656" i="4"/>
  <c r="G660" i="3"/>
  <c r="A656" i="4" s="1"/>
  <c r="B656" i="4" s="1"/>
  <c r="C656" i="4" s="1"/>
  <c r="D656" i="4" s="1"/>
  <c r="F660" i="3"/>
  <c r="F659" i="3"/>
  <c r="G659" i="3"/>
  <c r="I654" i="4"/>
  <c r="G658" i="3"/>
  <c r="F658" i="3"/>
  <c r="F657" i="3"/>
  <c r="G657" i="3"/>
  <c r="A653" i="4" s="1"/>
  <c r="B653" i="4" s="1"/>
  <c r="C653" i="4" s="1"/>
  <c r="D653" i="4" s="1"/>
  <c r="I652" i="4"/>
  <c r="A652" i="4"/>
  <c r="B652" i="4" s="1"/>
  <c r="C652" i="4" s="1"/>
  <c r="D652" i="4" s="1"/>
  <c r="G656" i="3"/>
  <c r="F656" i="3"/>
  <c r="F655" i="3"/>
  <c r="G655" i="3"/>
  <c r="I650" i="4"/>
  <c r="G654" i="3"/>
  <c r="F654" i="3"/>
  <c r="F653" i="3"/>
  <c r="G653" i="3"/>
  <c r="I648" i="4"/>
  <c r="G652" i="3"/>
  <c r="A648" i="4" s="1"/>
  <c r="B648" i="4" s="1"/>
  <c r="C648" i="4" s="1"/>
  <c r="D648" i="4" s="1"/>
  <c r="F652" i="3"/>
  <c r="F651" i="3"/>
  <c r="G651" i="3"/>
  <c r="I646" i="4"/>
  <c r="G650" i="3"/>
  <c r="F650" i="3"/>
  <c r="F649" i="3"/>
  <c r="G649" i="3"/>
  <c r="I644" i="4"/>
  <c r="A644" i="4"/>
  <c r="B644" i="4" s="1"/>
  <c r="C644" i="4" s="1"/>
  <c r="D644" i="4" s="1"/>
  <c r="G648" i="3"/>
  <c r="F648" i="3"/>
  <c r="F647" i="3"/>
  <c r="G647" i="3"/>
  <c r="I642" i="4"/>
  <c r="G646" i="3"/>
  <c r="F646" i="3"/>
  <c r="F645" i="3"/>
  <c r="G645" i="3"/>
  <c r="I640" i="4"/>
  <c r="G644" i="3"/>
  <c r="A640" i="4" s="1"/>
  <c r="B640" i="4" s="1"/>
  <c r="C640" i="4" s="1"/>
  <c r="D640" i="4" s="1"/>
  <c r="F644" i="3"/>
  <c r="F643" i="3"/>
  <c r="G643" i="3"/>
  <c r="I638" i="4"/>
  <c r="G642" i="3"/>
  <c r="F642" i="3"/>
  <c r="F641" i="3"/>
  <c r="G641" i="3"/>
  <c r="I636" i="4"/>
  <c r="A636" i="4"/>
  <c r="B636" i="4" s="1"/>
  <c r="C636" i="4" s="1"/>
  <c r="D636" i="4" s="1"/>
  <c r="G640" i="3"/>
  <c r="F640" i="3"/>
  <c r="F639" i="3"/>
  <c r="G639" i="3"/>
  <c r="I634" i="4"/>
  <c r="G638" i="3"/>
  <c r="F638" i="3"/>
  <c r="F637" i="3"/>
  <c r="G637" i="3"/>
  <c r="I632" i="4"/>
  <c r="G636" i="3"/>
  <c r="A632" i="4" s="1"/>
  <c r="B632" i="4" s="1"/>
  <c r="C632" i="4" s="1"/>
  <c r="D632" i="4" s="1"/>
  <c r="F636" i="3"/>
  <c r="F635" i="3"/>
  <c r="G635" i="3"/>
  <c r="I630" i="4"/>
  <c r="G634" i="3"/>
  <c r="F634" i="3"/>
  <c r="F633" i="3"/>
  <c r="G633" i="3"/>
  <c r="I628" i="4"/>
  <c r="A628" i="4"/>
  <c r="B628" i="4" s="1"/>
  <c r="C628" i="4" s="1"/>
  <c r="D628" i="4" s="1"/>
  <c r="G632" i="3"/>
  <c r="F632" i="3"/>
  <c r="F631" i="3"/>
  <c r="G631" i="3"/>
  <c r="I626" i="4"/>
  <c r="G630" i="3"/>
  <c r="F630" i="3"/>
  <c r="F629" i="3"/>
  <c r="G629" i="3"/>
  <c r="I624" i="4"/>
  <c r="G628" i="3"/>
  <c r="A624" i="4" s="1"/>
  <c r="B624" i="4" s="1"/>
  <c r="C624" i="4" s="1"/>
  <c r="D624" i="4" s="1"/>
  <c r="F628" i="3"/>
  <c r="F627" i="3"/>
  <c r="G627" i="3"/>
  <c r="I622" i="4"/>
  <c r="G626" i="3"/>
  <c r="F626" i="3"/>
  <c r="F625" i="3"/>
  <c r="G625" i="3"/>
  <c r="I620" i="4"/>
  <c r="A620" i="4"/>
  <c r="B620" i="4" s="1"/>
  <c r="C620" i="4" s="1"/>
  <c r="D620" i="4" s="1"/>
  <c r="G624" i="3"/>
  <c r="F624" i="3"/>
  <c r="F623" i="3"/>
  <c r="G623" i="3"/>
  <c r="I618" i="4"/>
  <c r="G622" i="3"/>
  <c r="F622" i="3"/>
  <c r="F621" i="3"/>
  <c r="G621" i="3"/>
  <c r="I616" i="4"/>
  <c r="G620" i="3"/>
  <c r="A616" i="4" s="1"/>
  <c r="B616" i="4" s="1"/>
  <c r="C616" i="4" s="1"/>
  <c r="D616" i="4" s="1"/>
  <c r="F620" i="3"/>
  <c r="F619" i="3"/>
  <c r="G619" i="3"/>
  <c r="I614" i="4"/>
  <c r="G618" i="3"/>
  <c r="F618" i="3"/>
  <c r="F617" i="3"/>
  <c r="G617" i="3"/>
  <c r="I612" i="4"/>
  <c r="A612" i="4"/>
  <c r="B612" i="4" s="1"/>
  <c r="C612" i="4" s="1"/>
  <c r="D612" i="4" s="1"/>
  <c r="G616" i="3"/>
  <c r="F616" i="3"/>
  <c r="F615" i="3"/>
  <c r="G615" i="3"/>
  <c r="I610" i="4"/>
  <c r="G614" i="3"/>
  <c r="F614" i="3"/>
  <c r="F613" i="3"/>
  <c r="G613" i="3"/>
  <c r="I608" i="4"/>
  <c r="G612" i="3"/>
  <c r="A608" i="4" s="1"/>
  <c r="B608" i="4" s="1"/>
  <c r="C608" i="4" s="1"/>
  <c r="D608" i="4" s="1"/>
  <c r="F612" i="3"/>
  <c r="F611" i="3"/>
  <c r="G611" i="3"/>
  <c r="I606" i="4"/>
  <c r="G610" i="3"/>
  <c r="F610" i="3"/>
  <c r="F609" i="3"/>
  <c r="G609" i="3"/>
  <c r="I604" i="4"/>
  <c r="A604" i="4"/>
  <c r="B604" i="4" s="1"/>
  <c r="C604" i="4" s="1"/>
  <c r="D604" i="4" s="1"/>
  <c r="G608" i="3"/>
  <c r="F608" i="3"/>
  <c r="F607" i="3"/>
  <c r="G607" i="3"/>
  <c r="G606" i="3"/>
  <c r="A602" i="4" s="1"/>
  <c r="B602" i="4" s="1"/>
  <c r="C602" i="4" s="1"/>
  <c r="D602" i="4" s="1"/>
  <c r="F606" i="3"/>
  <c r="F605" i="3"/>
  <c r="G605" i="3"/>
  <c r="A600" i="4"/>
  <c r="B600" i="4" s="1"/>
  <c r="C600" i="4" s="1"/>
  <c r="D600" i="4" s="1"/>
  <c r="G604" i="3"/>
  <c r="F604" i="3"/>
  <c r="F603" i="3"/>
  <c r="G603" i="3"/>
  <c r="G602" i="3"/>
  <c r="A598" i="4" s="1"/>
  <c r="B598" i="4" s="1"/>
  <c r="C598" i="4" s="1"/>
  <c r="D598" i="4" s="1"/>
  <c r="F602" i="3"/>
  <c r="F601" i="3"/>
  <c r="G601" i="3"/>
  <c r="A596" i="4"/>
  <c r="B596" i="4" s="1"/>
  <c r="C596" i="4" s="1"/>
  <c r="D596" i="4" s="1"/>
  <c r="G600" i="3"/>
  <c r="F600" i="3"/>
  <c r="F599" i="3"/>
  <c r="G599" i="3"/>
  <c r="G598" i="3"/>
  <c r="A594" i="4" s="1"/>
  <c r="B594" i="4" s="1"/>
  <c r="C594" i="4" s="1"/>
  <c r="D594" i="4" s="1"/>
  <c r="F598" i="3"/>
  <c r="I593" i="4"/>
  <c r="F597" i="3"/>
  <c r="G597" i="3"/>
  <c r="G596" i="3"/>
  <c r="F596" i="3"/>
  <c r="I591" i="4"/>
  <c r="F595" i="3"/>
  <c r="G595" i="3"/>
  <c r="A590" i="4"/>
  <c r="B590" i="4" s="1"/>
  <c r="C590" i="4" s="1"/>
  <c r="D590" i="4" s="1"/>
  <c r="G594" i="3"/>
  <c r="F594" i="3"/>
  <c r="I589" i="4"/>
  <c r="F593" i="3"/>
  <c r="G593" i="3"/>
  <c r="G592" i="3"/>
  <c r="F592" i="3"/>
  <c r="I587" i="4"/>
  <c r="F591" i="3"/>
  <c r="G591" i="3"/>
  <c r="G590" i="3"/>
  <c r="A586" i="4" s="1"/>
  <c r="B586" i="4" s="1"/>
  <c r="C586" i="4" s="1"/>
  <c r="D586" i="4" s="1"/>
  <c r="F590" i="3"/>
  <c r="I585" i="4"/>
  <c r="F589" i="3"/>
  <c r="G589" i="3"/>
  <c r="G588" i="3"/>
  <c r="F588" i="3"/>
  <c r="I583" i="4"/>
  <c r="F587" i="3"/>
  <c r="G587" i="3"/>
  <c r="A582" i="4"/>
  <c r="B582" i="4" s="1"/>
  <c r="C582" i="4" s="1"/>
  <c r="D582" i="4" s="1"/>
  <c r="G586" i="3"/>
  <c r="F586" i="3"/>
  <c r="I581" i="4"/>
  <c r="F585" i="3"/>
  <c r="G585" i="3"/>
  <c r="G584" i="3"/>
  <c r="F584" i="3"/>
  <c r="I579" i="4"/>
  <c r="F583" i="3"/>
  <c r="G583" i="3"/>
  <c r="G582" i="3"/>
  <c r="A578" i="4" s="1"/>
  <c r="B578" i="4" s="1"/>
  <c r="C578" i="4" s="1"/>
  <c r="D578" i="4" s="1"/>
  <c r="F582" i="3"/>
  <c r="I577" i="4"/>
  <c r="F581" i="3"/>
  <c r="G581" i="3"/>
  <c r="G580" i="3"/>
  <c r="F580" i="3"/>
  <c r="I575" i="4"/>
  <c r="F579" i="3"/>
  <c r="G579" i="3"/>
  <c r="A574" i="4"/>
  <c r="B574" i="4" s="1"/>
  <c r="C574" i="4" s="1"/>
  <c r="D574" i="4" s="1"/>
  <c r="G578" i="3"/>
  <c r="F578" i="3"/>
  <c r="I573" i="4"/>
  <c r="F577" i="3"/>
  <c r="G577" i="3"/>
  <c r="G576" i="3"/>
  <c r="F576" i="3"/>
  <c r="I571" i="4"/>
  <c r="F575" i="3"/>
  <c r="G575" i="3"/>
  <c r="G574" i="3"/>
  <c r="A570" i="4" s="1"/>
  <c r="B570" i="4" s="1"/>
  <c r="C570" i="4" s="1"/>
  <c r="D570" i="4" s="1"/>
  <c r="F574" i="3"/>
  <c r="I569" i="4"/>
  <c r="F573" i="3"/>
  <c r="G573" i="3"/>
  <c r="G572" i="3"/>
  <c r="F572" i="3"/>
  <c r="I567" i="4"/>
  <c r="F571" i="3"/>
  <c r="G571" i="3"/>
  <c r="A566" i="4"/>
  <c r="B566" i="4" s="1"/>
  <c r="C566" i="4" s="1"/>
  <c r="D566" i="4" s="1"/>
  <c r="G570" i="3"/>
  <c r="F570" i="3"/>
  <c r="I565" i="4"/>
  <c r="F569" i="3"/>
  <c r="G569" i="3"/>
  <c r="I563" i="4"/>
  <c r="F567" i="3"/>
  <c r="G567" i="3"/>
  <c r="A563" i="4" s="1"/>
  <c r="B563" i="4" s="1"/>
  <c r="C563" i="4" s="1"/>
  <c r="D563" i="4" s="1"/>
  <c r="I561" i="4"/>
  <c r="F565" i="3"/>
  <c r="G565" i="3"/>
  <c r="I559" i="4"/>
  <c r="F563" i="3"/>
  <c r="G563" i="3"/>
  <c r="I557" i="4"/>
  <c r="F561" i="3"/>
  <c r="G561" i="3"/>
  <c r="I555" i="4"/>
  <c r="F559" i="3"/>
  <c r="G559" i="3"/>
  <c r="A555" i="4" s="1"/>
  <c r="B555" i="4" s="1"/>
  <c r="C555" i="4" s="1"/>
  <c r="D555" i="4" s="1"/>
  <c r="I553" i="4"/>
  <c r="F557" i="3"/>
  <c r="G557" i="3"/>
  <c r="I551" i="4"/>
  <c r="F555" i="3"/>
  <c r="G555" i="3"/>
  <c r="I549" i="4"/>
  <c r="F553" i="3"/>
  <c r="G553" i="3"/>
  <c r="I547" i="4"/>
  <c r="F551" i="3"/>
  <c r="G551" i="3"/>
  <c r="I545" i="4"/>
  <c r="F549" i="3"/>
  <c r="G549" i="3"/>
  <c r="I543" i="4"/>
  <c r="F547" i="3"/>
  <c r="G547" i="3"/>
  <c r="I541" i="4"/>
  <c r="F545" i="3"/>
  <c r="G545" i="3"/>
  <c r="I539" i="4"/>
  <c r="F543" i="3"/>
  <c r="G543" i="3"/>
  <c r="I537" i="4"/>
  <c r="F541" i="3"/>
  <c r="G541" i="3"/>
  <c r="I535" i="4"/>
  <c r="F539" i="3"/>
  <c r="G539" i="3"/>
  <c r="I533" i="4"/>
  <c r="F537" i="3"/>
  <c r="G537" i="3"/>
  <c r="I531" i="4"/>
  <c r="F535" i="3"/>
  <c r="G535" i="3"/>
  <c r="I529" i="4"/>
  <c r="F533" i="3"/>
  <c r="G533" i="3"/>
  <c r="I527" i="4"/>
  <c r="F531" i="3"/>
  <c r="G531" i="3"/>
  <c r="I525" i="4"/>
  <c r="F529" i="3"/>
  <c r="G529" i="3"/>
  <c r="I523" i="4"/>
  <c r="F527" i="3"/>
  <c r="G527" i="3"/>
  <c r="I521" i="4"/>
  <c r="F525" i="3"/>
  <c r="G525" i="3"/>
  <c r="I519" i="4"/>
  <c r="F523" i="3"/>
  <c r="G523" i="3"/>
  <c r="I517" i="4"/>
  <c r="F521" i="3"/>
  <c r="G521" i="3"/>
  <c r="A517" i="4" s="1"/>
  <c r="B517" i="4" s="1"/>
  <c r="C517" i="4" s="1"/>
  <c r="D517" i="4" s="1"/>
  <c r="I515" i="4"/>
  <c r="F519" i="3"/>
  <c r="G519" i="3"/>
  <c r="I513" i="4"/>
  <c r="F517" i="3"/>
  <c r="G517" i="3"/>
  <c r="I511" i="4"/>
  <c r="F515" i="3"/>
  <c r="G515" i="3"/>
  <c r="I509" i="4"/>
  <c r="F513" i="3"/>
  <c r="G513" i="3"/>
  <c r="I507" i="4"/>
  <c r="F511" i="3"/>
  <c r="G511" i="3"/>
  <c r="I505" i="4"/>
  <c r="F509" i="3"/>
  <c r="G509" i="3"/>
  <c r="I503" i="4"/>
  <c r="F507" i="3"/>
  <c r="G507" i="3"/>
  <c r="I501" i="4"/>
  <c r="F505" i="3"/>
  <c r="G505" i="3"/>
  <c r="I499" i="4"/>
  <c r="F503" i="3"/>
  <c r="G503" i="3"/>
  <c r="I497" i="4"/>
  <c r="F501" i="3"/>
  <c r="G501" i="3"/>
  <c r="I495" i="4"/>
  <c r="F499" i="3"/>
  <c r="G499" i="3"/>
  <c r="I493" i="4"/>
  <c r="F497" i="3"/>
  <c r="G497" i="3"/>
  <c r="I491" i="4"/>
  <c r="F495" i="3"/>
  <c r="G495" i="3"/>
  <c r="I489" i="4"/>
  <c r="F493" i="3"/>
  <c r="G493" i="3"/>
  <c r="I487" i="4"/>
  <c r="F491" i="3"/>
  <c r="G491" i="3"/>
  <c r="I485" i="4"/>
  <c r="F489" i="3"/>
  <c r="G489" i="3"/>
  <c r="A485" i="4" s="1"/>
  <c r="B485" i="4" s="1"/>
  <c r="C485" i="4" s="1"/>
  <c r="D485" i="4" s="1"/>
  <c r="I483" i="4"/>
  <c r="F487" i="3"/>
  <c r="G487" i="3"/>
  <c r="I481" i="4"/>
  <c r="F485" i="3"/>
  <c r="G485" i="3"/>
  <c r="I479" i="4"/>
  <c r="F483" i="3"/>
  <c r="G483" i="3"/>
  <c r="I477" i="4"/>
  <c r="F481" i="3"/>
  <c r="G481" i="3"/>
  <c r="I475" i="4"/>
  <c r="F479" i="3"/>
  <c r="G479" i="3"/>
  <c r="I473" i="4"/>
  <c r="F477" i="3"/>
  <c r="G477" i="3"/>
  <c r="I471" i="4"/>
  <c r="F475" i="3"/>
  <c r="G475" i="3"/>
  <c r="I469" i="4"/>
  <c r="F473" i="3"/>
  <c r="G473" i="3"/>
  <c r="I467" i="4"/>
  <c r="F471" i="3"/>
  <c r="G471" i="3"/>
  <c r="I465" i="4"/>
  <c r="F469" i="3"/>
  <c r="G469" i="3"/>
  <c r="I463" i="4"/>
  <c r="F467" i="3"/>
  <c r="G467" i="3"/>
  <c r="I461" i="4"/>
  <c r="F465" i="3"/>
  <c r="G465" i="3"/>
  <c r="I459" i="4"/>
  <c r="F463" i="3"/>
  <c r="G463" i="3"/>
  <c r="I457" i="4"/>
  <c r="F461" i="3"/>
  <c r="G461" i="3"/>
  <c r="I455" i="4"/>
  <c r="F459" i="3"/>
  <c r="G459" i="3"/>
  <c r="I453" i="4"/>
  <c r="F457" i="3"/>
  <c r="G457" i="3"/>
  <c r="I451" i="4"/>
  <c r="F455" i="3"/>
  <c r="G455" i="3"/>
  <c r="I449" i="4"/>
  <c r="F453" i="3"/>
  <c r="G453" i="3"/>
  <c r="I447" i="4"/>
  <c r="F451" i="3"/>
  <c r="G451" i="3"/>
  <c r="A447" i="4" s="1"/>
  <c r="B447" i="4" s="1"/>
  <c r="C447" i="4" s="1"/>
  <c r="D447" i="4" s="1"/>
  <c r="I445" i="4"/>
  <c r="F449" i="3"/>
  <c r="G449" i="3"/>
  <c r="I443" i="4"/>
  <c r="F447" i="3"/>
  <c r="G447" i="3"/>
  <c r="I441" i="4"/>
  <c r="F445" i="3"/>
  <c r="G445" i="3"/>
  <c r="I439" i="4"/>
  <c r="F443" i="3"/>
  <c r="G443" i="3"/>
  <c r="I437" i="4"/>
  <c r="F441" i="3"/>
  <c r="G441" i="3"/>
  <c r="I435" i="4"/>
  <c r="F439" i="3"/>
  <c r="G439" i="3"/>
  <c r="I433" i="4"/>
  <c r="F437" i="3"/>
  <c r="G437" i="3"/>
  <c r="I431" i="4"/>
  <c r="F435" i="3"/>
  <c r="G435" i="3"/>
  <c r="I429" i="4"/>
  <c r="F433" i="3"/>
  <c r="G433" i="3"/>
  <c r="I427" i="4"/>
  <c r="F431" i="3"/>
  <c r="G431" i="3"/>
  <c r="I425" i="4"/>
  <c r="F429" i="3"/>
  <c r="G429" i="3"/>
  <c r="I423" i="4"/>
  <c r="F427" i="3"/>
  <c r="G427" i="3"/>
  <c r="I421" i="4"/>
  <c r="F425" i="3"/>
  <c r="G425" i="3"/>
  <c r="I419" i="4"/>
  <c r="F423" i="3"/>
  <c r="G423" i="3"/>
  <c r="I417" i="4"/>
  <c r="F421" i="3"/>
  <c r="G421" i="3"/>
  <c r="I415" i="4"/>
  <c r="F419" i="3"/>
  <c r="G419" i="3"/>
  <c r="I413" i="4"/>
  <c r="F417" i="3"/>
  <c r="G417" i="3"/>
  <c r="A413" i="4" s="1"/>
  <c r="B413" i="4" s="1"/>
  <c r="C413" i="4" s="1"/>
  <c r="D413" i="4" s="1"/>
  <c r="I411" i="4"/>
  <c r="F415" i="3"/>
  <c r="G415" i="3"/>
  <c r="I409" i="4"/>
  <c r="F413" i="3"/>
  <c r="G413" i="3"/>
  <c r="I407" i="4"/>
  <c r="F411" i="3"/>
  <c r="G411" i="3"/>
  <c r="I405" i="4"/>
  <c r="F409" i="3"/>
  <c r="G409" i="3"/>
  <c r="A405" i="4" s="1"/>
  <c r="B405" i="4" s="1"/>
  <c r="C405" i="4" s="1"/>
  <c r="D405" i="4" s="1"/>
  <c r="I403" i="4"/>
  <c r="F407" i="3"/>
  <c r="G407" i="3"/>
  <c r="I401" i="4"/>
  <c r="F405" i="3"/>
  <c r="G405" i="3"/>
  <c r="I399" i="4"/>
  <c r="F403" i="3"/>
  <c r="G403" i="3"/>
  <c r="I397" i="4"/>
  <c r="F401" i="3"/>
  <c r="G401" i="3"/>
  <c r="I395" i="4"/>
  <c r="F399" i="3"/>
  <c r="G399" i="3"/>
  <c r="I393" i="4"/>
  <c r="F397" i="3"/>
  <c r="G397" i="3"/>
  <c r="I391" i="4"/>
  <c r="F395" i="3"/>
  <c r="G395" i="3"/>
  <c r="I389" i="4"/>
  <c r="F393" i="3"/>
  <c r="G393" i="3"/>
  <c r="I387" i="4"/>
  <c r="F391" i="3"/>
  <c r="G391" i="3"/>
  <c r="I385" i="4"/>
  <c r="F389" i="3"/>
  <c r="G389" i="3"/>
  <c r="I383" i="4"/>
  <c r="F387" i="3"/>
  <c r="G387" i="3"/>
  <c r="I381" i="4"/>
  <c r="F385" i="3"/>
  <c r="G385" i="3"/>
  <c r="I379" i="4"/>
  <c r="F383" i="3"/>
  <c r="G383" i="3"/>
  <c r="A379" i="4" s="1"/>
  <c r="B379" i="4" s="1"/>
  <c r="C379" i="4" s="1"/>
  <c r="D379" i="4" s="1"/>
  <c r="I377" i="4"/>
  <c r="F381" i="3"/>
  <c r="G381" i="3"/>
  <c r="I375" i="4"/>
  <c r="F379" i="3"/>
  <c r="G379" i="3"/>
  <c r="I373" i="4"/>
  <c r="F377" i="3"/>
  <c r="G377" i="3"/>
  <c r="I371" i="4"/>
  <c r="F375" i="3"/>
  <c r="G375" i="3"/>
  <c r="I369" i="4"/>
  <c r="F373" i="3"/>
  <c r="G373" i="3"/>
  <c r="I367" i="4"/>
  <c r="F371" i="3"/>
  <c r="G371" i="3"/>
  <c r="I365" i="4"/>
  <c r="F369" i="3"/>
  <c r="G369" i="3"/>
  <c r="I363" i="4"/>
  <c r="F367" i="3"/>
  <c r="G367" i="3"/>
  <c r="I361" i="4"/>
  <c r="F365" i="3"/>
  <c r="G365" i="3"/>
  <c r="I359" i="4"/>
  <c r="F363" i="3"/>
  <c r="G363" i="3"/>
  <c r="I357" i="4"/>
  <c r="F361" i="3"/>
  <c r="G361" i="3"/>
  <c r="I355" i="4"/>
  <c r="F359" i="3"/>
  <c r="G359" i="3"/>
  <c r="I353" i="4"/>
  <c r="F357" i="3"/>
  <c r="G357" i="3"/>
  <c r="I351" i="4"/>
  <c r="F355" i="3"/>
  <c r="G355" i="3"/>
  <c r="I349" i="4"/>
  <c r="F353" i="3"/>
  <c r="G353" i="3"/>
  <c r="I347" i="4"/>
  <c r="F351" i="3"/>
  <c r="G351" i="3"/>
  <c r="I345" i="4"/>
  <c r="F349" i="3"/>
  <c r="G349" i="3"/>
  <c r="I343" i="4"/>
  <c r="F347" i="3"/>
  <c r="G347" i="3"/>
  <c r="I341" i="4"/>
  <c r="F345" i="3"/>
  <c r="G345" i="3"/>
  <c r="I339" i="4"/>
  <c r="F343" i="3"/>
  <c r="G343" i="3"/>
  <c r="I337" i="4"/>
  <c r="F341" i="3"/>
  <c r="G341" i="3"/>
  <c r="A337" i="4" s="1"/>
  <c r="B337" i="4" s="1"/>
  <c r="C337" i="4" s="1"/>
  <c r="D337" i="4" s="1"/>
  <c r="I335" i="4"/>
  <c r="F339" i="3"/>
  <c r="G339" i="3"/>
  <c r="I333" i="4"/>
  <c r="F337" i="3"/>
  <c r="G337" i="3"/>
  <c r="I331" i="4"/>
  <c r="F335" i="3"/>
  <c r="G335" i="3"/>
  <c r="I329" i="4"/>
  <c r="F333" i="3"/>
  <c r="G333" i="3"/>
  <c r="I327" i="4"/>
  <c r="F331" i="3"/>
  <c r="G331" i="3"/>
  <c r="I325" i="4"/>
  <c r="F329" i="3"/>
  <c r="G329" i="3"/>
  <c r="I323" i="4"/>
  <c r="F327" i="3"/>
  <c r="G327" i="3"/>
  <c r="I321" i="4"/>
  <c r="F325" i="3"/>
  <c r="G325" i="3"/>
  <c r="A321" i="4" s="1"/>
  <c r="B321" i="4" s="1"/>
  <c r="C321" i="4" s="1"/>
  <c r="D321" i="4" s="1"/>
  <c r="I319" i="4"/>
  <c r="F323" i="3"/>
  <c r="G323" i="3"/>
  <c r="I317" i="4"/>
  <c r="F321" i="3"/>
  <c r="G321" i="3"/>
  <c r="I315" i="4"/>
  <c r="F319" i="3"/>
  <c r="G319" i="3"/>
  <c r="I313" i="4"/>
  <c r="F317" i="3"/>
  <c r="G317" i="3"/>
  <c r="I311" i="4"/>
  <c r="F315" i="3"/>
  <c r="G315" i="3"/>
  <c r="I309" i="4"/>
  <c r="F313" i="3"/>
  <c r="G313" i="3"/>
  <c r="I307" i="4"/>
  <c r="F311" i="3"/>
  <c r="G311" i="3"/>
  <c r="I305" i="4"/>
  <c r="F309" i="3"/>
  <c r="G309" i="3"/>
  <c r="I303" i="4"/>
  <c r="F307" i="3"/>
  <c r="G307" i="3"/>
  <c r="I301" i="4"/>
  <c r="F305" i="3"/>
  <c r="G305" i="3"/>
  <c r="I299" i="4"/>
  <c r="F303" i="3"/>
  <c r="G303" i="3"/>
  <c r="I297" i="4"/>
  <c r="F301" i="3"/>
  <c r="G301" i="3"/>
  <c r="I295" i="4"/>
  <c r="F299" i="3"/>
  <c r="G299" i="3"/>
  <c r="I293" i="4"/>
  <c r="F297" i="3"/>
  <c r="G297" i="3"/>
  <c r="I291" i="4"/>
  <c r="F295" i="3"/>
  <c r="G295" i="3"/>
  <c r="I289" i="4"/>
  <c r="F293" i="3"/>
  <c r="G293" i="3"/>
  <c r="I287" i="4"/>
  <c r="F291" i="3"/>
  <c r="G291" i="3"/>
  <c r="I285" i="4"/>
  <c r="F289" i="3"/>
  <c r="G289" i="3"/>
  <c r="I283" i="4"/>
  <c r="F287" i="3"/>
  <c r="G287" i="3"/>
  <c r="I281" i="4"/>
  <c r="F285" i="3"/>
  <c r="G285" i="3"/>
  <c r="A281" i="4" s="1"/>
  <c r="B281" i="4" s="1"/>
  <c r="C281" i="4" s="1"/>
  <c r="D281" i="4" s="1"/>
  <c r="I279" i="4"/>
  <c r="F283" i="3"/>
  <c r="G283" i="3"/>
  <c r="I277" i="4"/>
  <c r="F281" i="3"/>
  <c r="G281" i="3"/>
  <c r="I275" i="4"/>
  <c r="F279" i="3"/>
  <c r="G279" i="3"/>
  <c r="I273" i="4"/>
  <c r="F277" i="3"/>
  <c r="G277" i="3"/>
  <c r="I271" i="4"/>
  <c r="F275" i="3"/>
  <c r="G275" i="3"/>
  <c r="I269" i="4"/>
  <c r="F273" i="3"/>
  <c r="G273" i="3"/>
  <c r="I267" i="4"/>
  <c r="F271" i="3"/>
  <c r="G271" i="3"/>
  <c r="I265" i="4"/>
  <c r="F269" i="3"/>
  <c r="G269" i="3"/>
  <c r="I263" i="4"/>
  <c r="F267" i="3"/>
  <c r="G267" i="3"/>
  <c r="I261" i="4"/>
  <c r="F265" i="3"/>
  <c r="G265" i="3"/>
  <c r="I259" i="4"/>
  <c r="F263" i="3"/>
  <c r="G263" i="3"/>
  <c r="I257" i="4"/>
  <c r="F261" i="3"/>
  <c r="G261" i="3"/>
  <c r="I255" i="4"/>
  <c r="F259" i="3"/>
  <c r="G259" i="3"/>
  <c r="I253" i="4"/>
  <c r="F257" i="3"/>
  <c r="G257" i="3"/>
  <c r="I251" i="4"/>
  <c r="F255" i="3"/>
  <c r="G255" i="3"/>
  <c r="I249" i="4"/>
  <c r="F253" i="3"/>
  <c r="G253" i="3"/>
  <c r="I247" i="4"/>
  <c r="F251" i="3"/>
  <c r="G251" i="3"/>
  <c r="I245" i="4"/>
  <c r="F249" i="3"/>
  <c r="G249" i="3"/>
  <c r="I243" i="4"/>
  <c r="F247" i="3"/>
  <c r="G247" i="3"/>
  <c r="I241" i="4"/>
  <c r="F245" i="3"/>
  <c r="G245" i="3"/>
  <c r="I239" i="4"/>
  <c r="F243" i="3"/>
  <c r="G243" i="3"/>
  <c r="I237" i="4"/>
  <c r="F241" i="3"/>
  <c r="G241" i="3"/>
  <c r="I235" i="4"/>
  <c r="F239" i="3"/>
  <c r="G239" i="3"/>
  <c r="A235" i="4" s="1"/>
  <c r="B235" i="4" s="1"/>
  <c r="C235" i="4" s="1"/>
  <c r="D235" i="4" s="1"/>
  <c r="I233" i="4"/>
  <c r="F237" i="3"/>
  <c r="G237" i="3"/>
  <c r="I231" i="4"/>
  <c r="F235" i="3"/>
  <c r="G235" i="3"/>
  <c r="I229" i="4"/>
  <c r="F233" i="3"/>
  <c r="G233" i="3"/>
  <c r="I227" i="4"/>
  <c r="F231" i="3"/>
  <c r="G231" i="3"/>
  <c r="I225" i="4"/>
  <c r="F229" i="3"/>
  <c r="G229" i="3"/>
  <c r="I223" i="4"/>
  <c r="F227" i="3"/>
  <c r="G227" i="3"/>
  <c r="I221" i="4"/>
  <c r="F225" i="3"/>
  <c r="G225" i="3"/>
  <c r="I219" i="4"/>
  <c r="F223" i="3"/>
  <c r="G223" i="3"/>
  <c r="I217" i="4"/>
  <c r="F221" i="3"/>
  <c r="G221" i="3"/>
  <c r="I215" i="4"/>
  <c r="F219" i="3"/>
  <c r="G219" i="3"/>
  <c r="I213" i="4"/>
  <c r="F217" i="3"/>
  <c r="G217" i="3"/>
  <c r="I211" i="4"/>
  <c r="F215" i="3"/>
  <c r="G215" i="3"/>
  <c r="I209" i="4"/>
  <c r="F213" i="3"/>
  <c r="G213" i="3"/>
  <c r="I207" i="4"/>
  <c r="F211" i="3"/>
  <c r="G211" i="3"/>
  <c r="I205" i="4"/>
  <c r="F209" i="3"/>
  <c r="G209" i="3"/>
  <c r="I203" i="4"/>
  <c r="F207" i="3"/>
  <c r="G207" i="3"/>
  <c r="I201" i="4"/>
  <c r="F205" i="3"/>
  <c r="G205" i="3"/>
  <c r="I199" i="4"/>
  <c r="F203" i="3"/>
  <c r="G203" i="3"/>
  <c r="I197" i="4"/>
  <c r="F201" i="3"/>
  <c r="G201" i="3"/>
  <c r="I195" i="4"/>
  <c r="F199" i="3"/>
  <c r="G199" i="3"/>
  <c r="I193" i="4"/>
  <c r="F197" i="3"/>
  <c r="G197" i="3"/>
  <c r="I191" i="4"/>
  <c r="F195" i="3"/>
  <c r="G195" i="3"/>
  <c r="I189" i="4"/>
  <c r="F193" i="3"/>
  <c r="G193" i="3"/>
  <c r="I187" i="4"/>
  <c r="F191" i="3"/>
  <c r="G191" i="3"/>
  <c r="I185" i="4"/>
  <c r="F189" i="3"/>
  <c r="G189" i="3"/>
  <c r="I183" i="4"/>
  <c r="F187" i="3"/>
  <c r="G187" i="3"/>
  <c r="I181" i="4"/>
  <c r="F185" i="3"/>
  <c r="G185" i="3"/>
  <c r="I179" i="4"/>
  <c r="F183" i="3"/>
  <c r="G183" i="3"/>
  <c r="I177" i="4"/>
  <c r="F181" i="3"/>
  <c r="G181" i="3"/>
  <c r="I175" i="4"/>
  <c r="F179" i="3"/>
  <c r="G179" i="3"/>
  <c r="I173" i="4"/>
  <c r="F177" i="3"/>
  <c r="G177" i="3"/>
  <c r="I171" i="4"/>
  <c r="F175" i="3"/>
  <c r="G175" i="3"/>
  <c r="I169" i="4"/>
  <c r="F173" i="3"/>
  <c r="G173" i="3"/>
  <c r="I167" i="4"/>
  <c r="F171" i="3"/>
  <c r="G171" i="3"/>
  <c r="I165" i="4"/>
  <c r="F169" i="3"/>
  <c r="G169" i="3"/>
  <c r="I163" i="4"/>
  <c r="F167" i="3"/>
  <c r="G167" i="3"/>
  <c r="I161" i="4"/>
  <c r="F165" i="3"/>
  <c r="G165" i="3"/>
  <c r="I159" i="4"/>
  <c r="F163" i="3"/>
  <c r="G163" i="3"/>
  <c r="I157" i="4"/>
  <c r="F161" i="3"/>
  <c r="G161" i="3"/>
  <c r="I155" i="4"/>
  <c r="F159" i="3"/>
  <c r="G159" i="3"/>
  <c r="I153" i="4"/>
  <c r="F157" i="3"/>
  <c r="G157" i="3"/>
  <c r="I151" i="4"/>
  <c r="F155" i="3"/>
  <c r="G155" i="3"/>
  <c r="I149" i="4"/>
  <c r="F153" i="3"/>
  <c r="G153" i="3"/>
  <c r="I147" i="4"/>
  <c r="F151" i="3"/>
  <c r="G151" i="3"/>
  <c r="I145" i="4"/>
  <c r="F149" i="3"/>
  <c r="G149" i="3"/>
  <c r="I143" i="4"/>
  <c r="F147" i="3"/>
  <c r="G147" i="3"/>
  <c r="I141" i="4"/>
  <c r="F145" i="3"/>
  <c r="G145" i="3"/>
  <c r="I139" i="4"/>
  <c r="F143" i="3"/>
  <c r="G143" i="3"/>
  <c r="I137" i="4"/>
  <c r="F141" i="3"/>
  <c r="G141" i="3"/>
  <c r="I135" i="4"/>
  <c r="F139" i="3"/>
  <c r="G139" i="3"/>
  <c r="I133" i="4"/>
  <c r="F137" i="3"/>
  <c r="G137" i="3"/>
  <c r="A133" i="4" s="1"/>
  <c r="B133" i="4" s="1"/>
  <c r="C133" i="4" s="1"/>
  <c r="D133" i="4" s="1"/>
  <c r="I131" i="4"/>
  <c r="F135" i="3"/>
  <c r="G135" i="3"/>
  <c r="I129" i="4"/>
  <c r="F133" i="3"/>
  <c r="G133" i="3"/>
  <c r="I127" i="4"/>
  <c r="F131" i="3"/>
  <c r="G131" i="3"/>
  <c r="I125" i="4"/>
  <c r="F129" i="3"/>
  <c r="G129" i="3"/>
  <c r="A125" i="4" s="1"/>
  <c r="B125" i="4" s="1"/>
  <c r="C125" i="4" s="1"/>
  <c r="D125" i="4" s="1"/>
  <c r="I123" i="4"/>
  <c r="F127" i="3"/>
  <c r="G127" i="3"/>
  <c r="I121" i="4"/>
  <c r="F125" i="3"/>
  <c r="G125" i="3"/>
  <c r="I119" i="4"/>
  <c r="F123" i="3"/>
  <c r="G123" i="3"/>
  <c r="I117" i="4"/>
  <c r="F121" i="3"/>
  <c r="G121" i="3"/>
  <c r="I115" i="4"/>
  <c r="F119" i="3"/>
  <c r="G119" i="3"/>
  <c r="I113" i="4"/>
  <c r="F117" i="3"/>
  <c r="G117" i="3"/>
  <c r="I111" i="4"/>
  <c r="F115" i="3"/>
  <c r="G115" i="3"/>
  <c r="I109" i="4"/>
  <c r="F113" i="3"/>
  <c r="G113" i="3"/>
  <c r="I107" i="4"/>
  <c r="F111" i="3"/>
  <c r="G111" i="3"/>
  <c r="I105" i="4"/>
  <c r="F109" i="3"/>
  <c r="G109" i="3"/>
  <c r="I103" i="4"/>
  <c r="F107" i="3"/>
  <c r="G107" i="3"/>
  <c r="I101" i="4"/>
  <c r="F105" i="3"/>
  <c r="G105" i="3"/>
  <c r="I99" i="4"/>
  <c r="F103" i="3"/>
  <c r="G103" i="3"/>
  <c r="I97" i="4"/>
  <c r="F101" i="3"/>
  <c r="G101" i="3"/>
  <c r="I95" i="4"/>
  <c r="F99" i="3"/>
  <c r="G99" i="3"/>
  <c r="I93" i="4"/>
  <c r="F97" i="3"/>
  <c r="G97" i="3"/>
  <c r="I91" i="4"/>
  <c r="F95" i="3"/>
  <c r="G95" i="3"/>
  <c r="I89" i="4"/>
  <c r="F93" i="3"/>
  <c r="G93" i="3"/>
  <c r="I87" i="4"/>
  <c r="F91" i="3"/>
  <c r="G91" i="3"/>
  <c r="I85" i="4"/>
  <c r="F89" i="3"/>
  <c r="G89" i="3"/>
  <c r="I83" i="4"/>
  <c r="F87" i="3"/>
  <c r="G87" i="3"/>
  <c r="I81" i="4"/>
  <c r="F85" i="3"/>
  <c r="G85" i="3"/>
  <c r="A81" i="4" s="1"/>
  <c r="B81" i="4" s="1"/>
  <c r="C81" i="4" s="1"/>
  <c r="D81" i="4" s="1"/>
  <c r="I79" i="4"/>
  <c r="F83" i="3"/>
  <c r="G83" i="3"/>
  <c r="I77" i="4"/>
  <c r="F81" i="3"/>
  <c r="G81" i="3"/>
  <c r="I75" i="4"/>
  <c r="F79" i="3"/>
  <c r="G79" i="3"/>
  <c r="I73" i="4"/>
  <c r="F77" i="3"/>
  <c r="G77" i="3"/>
  <c r="I71" i="4"/>
  <c r="F75" i="3"/>
  <c r="G75" i="3"/>
  <c r="I69" i="4"/>
  <c r="F73" i="3"/>
  <c r="G73" i="3"/>
  <c r="I67" i="4"/>
  <c r="F71" i="3"/>
  <c r="G71" i="3"/>
  <c r="I65" i="4"/>
  <c r="F69" i="3"/>
  <c r="G69" i="3"/>
  <c r="I63" i="4"/>
  <c r="F67" i="3"/>
  <c r="G67" i="3"/>
  <c r="I61" i="4"/>
  <c r="F65" i="3"/>
  <c r="G65" i="3"/>
  <c r="I59" i="4"/>
  <c r="F63" i="3"/>
  <c r="G63" i="3"/>
  <c r="I57" i="4"/>
  <c r="F61" i="3"/>
  <c r="G61" i="3"/>
  <c r="I55" i="4"/>
  <c r="F59" i="3"/>
  <c r="G59" i="3"/>
  <c r="I53" i="4"/>
  <c r="F57" i="3"/>
  <c r="G57" i="3"/>
  <c r="I51" i="4"/>
  <c r="F55" i="3"/>
  <c r="G55" i="3"/>
  <c r="I49" i="4"/>
  <c r="F53" i="3"/>
  <c r="G53" i="3"/>
  <c r="I47" i="4"/>
  <c r="F51" i="3"/>
  <c r="G51" i="3"/>
  <c r="A47" i="4" s="1"/>
  <c r="I45" i="4"/>
  <c r="F49" i="3"/>
  <c r="G49" i="3"/>
  <c r="I43" i="4"/>
  <c r="F47" i="3"/>
  <c r="G47" i="3"/>
  <c r="I41" i="4"/>
  <c r="F45" i="3"/>
  <c r="G45" i="3"/>
  <c r="I39" i="4"/>
  <c r="F43" i="3"/>
  <c r="G43" i="3"/>
  <c r="I37" i="4"/>
  <c r="F41" i="3"/>
  <c r="G41" i="3"/>
  <c r="I35" i="4"/>
  <c r="F39" i="3"/>
  <c r="G39" i="3"/>
  <c r="I33" i="4"/>
  <c r="F37" i="3"/>
  <c r="G37" i="3"/>
  <c r="I31" i="4"/>
  <c r="F35" i="3"/>
  <c r="G35" i="3"/>
  <c r="I29" i="4"/>
  <c r="F33" i="3"/>
  <c r="G33" i="3"/>
  <c r="I27" i="4"/>
  <c r="F31" i="3"/>
  <c r="G31" i="3"/>
  <c r="I25" i="4"/>
  <c r="F29" i="3"/>
  <c r="G29" i="3"/>
  <c r="I23" i="4"/>
  <c r="F27" i="3"/>
  <c r="G27" i="3"/>
  <c r="I21" i="4"/>
  <c r="F25" i="3"/>
  <c r="G25" i="3"/>
  <c r="I19" i="4"/>
  <c r="F23" i="3"/>
  <c r="G23" i="3"/>
  <c r="I17" i="4"/>
  <c r="F21" i="3"/>
  <c r="G21" i="3"/>
  <c r="G20" i="3"/>
  <c r="F20" i="3"/>
  <c r="I15" i="4"/>
  <c r="F19" i="3"/>
  <c r="G19" i="3"/>
  <c r="G18" i="3"/>
  <c r="A14" i="4" s="1"/>
  <c r="B14" i="4" s="1"/>
  <c r="C14" i="4" s="1"/>
  <c r="D14" i="4" s="1"/>
  <c r="F18" i="3"/>
  <c r="I13" i="4"/>
  <c r="J13" i="4" s="1"/>
  <c r="K13" i="4" s="1"/>
  <c r="E17" i="3"/>
  <c r="D16" i="3"/>
  <c r="E16" i="3" s="1"/>
  <c r="I11" i="4"/>
  <c r="E15" i="3"/>
  <c r="D14" i="3"/>
  <c r="I9" i="4"/>
  <c r="E13" i="3"/>
  <c r="I7" i="4"/>
  <c r="E11" i="3"/>
  <c r="E14" i="3" l="1"/>
  <c r="A10" i="4" s="1"/>
  <c r="E12" i="3"/>
  <c r="E10" i="3"/>
  <c r="F10" i="3" s="1"/>
  <c r="G16" i="3"/>
  <c r="F16" i="3"/>
  <c r="G14" i="3"/>
  <c r="G12" i="3"/>
  <c r="F12" i="3"/>
  <c r="G10" i="3"/>
  <c r="F13" i="3"/>
  <c r="G13" i="3"/>
  <c r="F17" i="3"/>
  <c r="G17" i="3"/>
  <c r="Q20" i="3"/>
  <c r="O20" i="3"/>
  <c r="M20" i="3"/>
  <c r="K20" i="3"/>
  <c r="I20" i="3"/>
  <c r="P20" i="3"/>
  <c r="N20" i="3"/>
  <c r="L20" i="3"/>
  <c r="J20" i="3"/>
  <c r="H20" i="3"/>
  <c r="P23" i="3"/>
  <c r="N23" i="3"/>
  <c r="L23" i="3"/>
  <c r="J23" i="3"/>
  <c r="H23" i="3"/>
  <c r="Q23" i="3"/>
  <c r="O23" i="3"/>
  <c r="M23" i="3"/>
  <c r="K23" i="3"/>
  <c r="I23" i="3"/>
  <c r="A19" i="4"/>
  <c r="B19" i="4" s="1"/>
  <c r="C19" i="4" s="1"/>
  <c r="D19" i="4" s="1"/>
  <c r="P27" i="3"/>
  <c r="N27" i="3"/>
  <c r="L27" i="3"/>
  <c r="J27" i="3"/>
  <c r="H27" i="3"/>
  <c r="Q27" i="3"/>
  <c r="O27" i="3"/>
  <c r="M27" i="3"/>
  <c r="K27" i="3"/>
  <c r="I27" i="3"/>
  <c r="A23" i="4"/>
  <c r="B23" i="4" s="1"/>
  <c r="C23" i="4" s="1"/>
  <c r="D23" i="4" s="1"/>
  <c r="P31" i="3"/>
  <c r="N31" i="3"/>
  <c r="L31" i="3"/>
  <c r="J31" i="3"/>
  <c r="H31" i="3"/>
  <c r="Q31" i="3"/>
  <c r="O31" i="3"/>
  <c r="M31" i="3"/>
  <c r="K31" i="3"/>
  <c r="I31" i="3"/>
  <c r="A27" i="4"/>
  <c r="B27" i="4" s="1"/>
  <c r="C27" i="4" s="1"/>
  <c r="D27" i="4" s="1"/>
  <c r="P35" i="3"/>
  <c r="N35" i="3"/>
  <c r="L35" i="3"/>
  <c r="J35" i="3"/>
  <c r="H35" i="3"/>
  <c r="Q35" i="3"/>
  <c r="O35" i="3"/>
  <c r="M35" i="3"/>
  <c r="K35" i="3"/>
  <c r="I35" i="3"/>
  <c r="A31" i="4"/>
  <c r="B31" i="4" s="1"/>
  <c r="C31" i="4" s="1"/>
  <c r="D31" i="4" s="1"/>
  <c r="P39" i="3"/>
  <c r="N39" i="3"/>
  <c r="L39" i="3"/>
  <c r="J39" i="3"/>
  <c r="H39" i="3"/>
  <c r="Q39" i="3"/>
  <c r="O39" i="3"/>
  <c r="M39" i="3"/>
  <c r="K39" i="3"/>
  <c r="I39" i="3"/>
  <c r="A35" i="4"/>
  <c r="B35" i="4" s="1"/>
  <c r="C35" i="4" s="1"/>
  <c r="D35" i="4" s="1"/>
  <c r="P43" i="3"/>
  <c r="N43" i="3"/>
  <c r="L43" i="3"/>
  <c r="J43" i="3"/>
  <c r="H43" i="3"/>
  <c r="Q43" i="3"/>
  <c r="O43" i="3"/>
  <c r="M43" i="3"/>
  <c r="K43" i="3"/>
  <c r="I43" i="3"/>
  <c r="A39" i="4"/>
  <c r="B39" i="4" s="1"/>
  <c r="C39" i="4" s="1"/>
  <c r="D39" i="4" s="1"/>
  <c r="P47" i="3"/>
  <c r="N47" i="3"/>
  <c r="L47" i="3"/>
  <c r="J47" i="3"/>
  <c r="H47" i="3"/>
  <c r="Q47" i="3"/>
  <c r="O47" i="3"/>
  <c r="M47" i="3"/>
  <c r="K47" i="3"/>
  <c r="I47" i="3"/>
  <c r="P49" i="3"/>
  <c r="N49" i="3"/>
  <c r="L49" i="3"/>
  <c r="J49" i="3"/>
  <c r="H49" i="3"/>
  <c r="Q49" i="3"/>
  <c r="O49" i="3"/>
  <c r="M49" i="3"/>
  <c r="K49" i="3"/>
  <c r="I49" i="3"/>
  <c r="A45" i="4"/>
  <c r="B45" i="4" s="1"/>
  <c r="C45" i="4" s="1"/>
  <c r="D45" i="4" s="1"/>
  <c r="P55" i="3"/>
  <c r="N55" i="3"/>
  <c r="L55" i="3"/>
  <c r="J55" i="3"/>
  <c r="H55" i="3"/>
  <c r="Q55" i="3"/>
  <c r="O55" i="3"/>
  <c r="M55" i="3"/>
  <c r="K55" i="3"/>
  <c r="I55" i="3"/>
  <c r="A51" i="4"/>
  <c r="B51" i="4" s="1"/>
  <c r="C51" i="4" s="1"/>
  <c r="D51" i="4" s="1"/>
  <c r="P59" i="3"/>
  <c r="N59" i="3"/>
  <c r="L59" i="3"/>
  <c r="J59" i="3"/>
  <c r="H59" i="3"/>
  <c r="Q59" i="3"/>
  <c r="O59" i="3"/>
  <c r="M59" i="3"/>
  <c r="K59" i="3"/>
  <c r="I59" i="3"/>
  <c r="A55" i="4"/>
  <c r="B55" i="4" s="1"/>
  <c r="C55" i="4" s="1"/>
  <c r="D55" i="4" s="1"/>
  <c r="P63" i="3"/>
  <c r="N63" i="3"/>
  <c r="L63" i="3"/>
  <c r="J63" i="3"/>
  <c r="H63" i="3"/>
  <c r="Q63" i="3"/>
  <c r="O63" i="3"/>
  <c r="M63" i="3"/>
  <c r="K63" i="3"/>
  <c r="I63" i="3"/>
  <c r="A59" i="4"/>
  <c r="B59" i="4" s="1"/>
  <c r="C59" i="4" s="1"/>
  <c r="D59" i="4" s="1"/>
  <c r="P67" i="3"/>
  <c r="N67" i="3"/>
  <c r="L67" i="3"/>
  <c r="J67" i="3"/>
  <c r="H67" i="3"/>
  <c r="Q67" i="3"/>
  <c r="O67" i="3"/>
  <c r="M67" i="3"/>
  <c r="K67" i="3"/>
  <c r="I67" i="3"/>
  <c r="A63" i="4"/>
  <c r="B63" i="4" s="1"/>
  <c r="C63" i="4" s="1"/>
  <c r="D63" i="4" s="1"/>
  <c r="P71" i="3"/>
  <c r="N71" i="3"/>
  <c r="L71" i="3"/>
  <c r="J71" i="3"/>
  <c r="H71" i="3"/>
  <c r="Q71" i="3"/>
  <c r="O71" i="3"/>
  <c r="M71" i="3"/>
  <c r="K71" i="3"/>
  <c r="I71" i="3"/>
  <c r="A67" i="4"/>
  <c r="B67" i="4" s="1"/>
  <c r="C67" i="4" s="1"/>
  <c r="D67" i="4" s="1"/>
  <c r="P75" i="3"/>
  <c r="N75" i="3"/>
  <c r="L75" i="3"/>
  <c r="J75" i="3"/>
  <c r="H75" i="3"/>
  <c r="Q75" i="3"/>
  <c r="O75" i="3"/>
  <c r="M75" i="3"/>
  <c r="K75" i="3"/>
  <c r="I75" i="3"/>
  <c r="A71" i="4"/>
  <c r="B71" i="4" s="1"/>
  <c r="C71" i="4" s="1"/>
  <c r="D71" i="4" s="1"/>
  <c r="P79" i="3"/>
  <c r="N79" i="3"/>
  <c r="L79" i="3"/>
  <c r="J79" i="3"/>
  <c r="H79" i="3"/>
  <c r="Q79" i="3"/>
  <c r="O79" i="3"/>
  <c r="M79" i="3"/>
  <c r="K79" i="3"/>
  <c r="I79" i="3"/>
  <c r="A75" i="4"/>
  <c r="B75" i="4" s="1"/>
  <c r="C75" i="4" s="1"/>
  <c r="D75" i="4" s="1"/>
  <c r="P83" i="3"/>
  <c r="N83" i="3"/>
  <c r="L83" i="3"/>
  <c r="J83" i="3"/>
  <c r="H83" i="3"/>
  <c r="Q83" i="3"/>
  <c r="O83" i="3"/>
  <c r="M83" i="3"/>
  <c r="K83" i="3"/>
  <c r="I83" i="3"/>
  <c r="A79" i="4"/>
  <c r="B79" i="4" s="1"/>
  <c r="C79" i="4" s="1"/>
  <c r="D79" i="4" s="1"/>
  <c r="P89" i="3"/>
  <c r="N89" i="3"/>
  <c r="L89" i="3"/>
  <c r="J89" i="3"/>
  <c r="H89" i="3"/>
  <c r="Q89" i="3"/>
  <c r="O89" i="3"/>
  <c r="M89" i="3"/>
  <c r="K89" i="3"/>
  <c r="I89" i="3"/>
  <c r="A85" i="4"/>
  <c r="B85" i="4" s="1"/>
  <c r="C85" i="4" s="1"/>
  <c r="D85" i="4" s="1"/>
  <c r="P93" i="3"/>
  <c r="N93" i="3"/>
  <c r="L93" i="3"/>
  <c r="J93" i="3"/>
  <c r="H93" i="3"/>
  <c r="Q93" i="3"/>
  <c r="O93" i="3"/>
  <c r="M93" i="3"/>
  <c r="K93" i="3"/>
  <c r="I93" i="3"/>
  <c r="P95" i="3"/>
  <c r="L95" i="3"/>
  <c r="J95" i="3"/>
  <c r="H95" i="3"/>
  <c r="N95" i="3" s="1"/>
  <c r="Q95" i="3"/>
  <c r="O95" i="3"/>
  <c r="K95" i="3"/>
  <c r="I95" i="3"/>
  <c r="A91" i="4"/>
  <c r="B91" i="4" s="1"/>
  <c r="P99" i="3"/>
  <c r="N99" i="3"/>
  <c r="L99" i="3"/>
  <c r="J99" i="3"/>
  <c r="H99" i="3"/>
  <c r="Q99" i="3"/>
  <c r="O99" i="3"/>
  <c r="M99" i="3"/>
  <c r="K99" i="3"/>
  <c r="I99" i="3"/>
  <c r="A95" i="4"/>
  <c r="B95" i="4" s="1"/>
  <c r="C95" i="4" s="1"/>
  <c r="D95" i="4" s="1"/>
  <c r="P103" i="3"/>
  <c r="N103" i="3"/>
  <c r="L103" i="3"/>
  <c r="J103" i="3"/>
  <c r="H103" i="3"/>
  <c r="Q103" i="3"/>
  <c r="O103" i="3"/>
  <c r="M103" i="3"/>
  <c r="K103" i="3"/>
  <c r="I103" i="3"/>
  <c r="A99" i="4"/>
  <c r="B99" i="4" s="1"/>
  <c r="C99" i="4" s="1"/>
  <c r="D99" i="4" s="1"/>
  <c r="P107" i="3"/>
  <c r="N107" i="3"/>
  <c r="L107" i="3"/>
  <c r="J107" i="3"/>
  <c r="H107" i="3"/>
  <c r="Q107" i="3"/>
  <c r="O107" i="3"/>
  <c r="M107" i="3"/>
  <c r="K107" i="3"/>
  <c r="I107" i="3"/>
  <c r="A103" i="4"/>
  <c r="B103" i="4" s="1"/>
  <c r="C103" i="4" s="1"/>
  <c r="D103" i="4" s="1"/>
  <c r="P111" i="3"/>
  <c r="N111" i="3"/>
  <c r="L111" i="3"/>
  <c r="J111" i="3"/>
  <c r="H111" i="3"/>
  <c r="Q111" i="3"/>
  <c r="O111" i="3"/>
  <c r="M111" i="3"/>
  <c r="K111" i="3"/>
  <c r="I111" i="3"/>
  <c r="A107" i="4"/>
  <c r="B107" i="4" s="1"/>
  <c r="C107" i="4" s="1"/>
  <c r="D107" i="4" s="1"/>
  <c r="P115" i="3"/>
  <c r="N115" i="3"/>
  <c r="L115" i="3"/>
  <c r="J115" i="3"/>
  <c r="H115" i="3"/>
  <c r="Q115" i="3"/>
  <c r="O115" i="3"/>
  <c r="M115" i="3"/>
  <c r="K115" i="3"/>
  <c r="I115" i="3"/>
  <c r="A111" i="4"/>
  <c r="P119" i="3"/>
  <c r="N119" i="3"/>
  <c r="L119" i="3"/>
  <c r="J119" i="3"/>
  <c r="H119" i="3"/>
  <c r="Q119" i="3"/>
  <c r="O119" i="3"/>
  <c r="M119" i="3"/>
  <c r="K119" i="3"/>
  <c r="I119" i="3"/>
  <c r="A115" i="4"/>
  <c r="B115" i="4" s="1"/>
  <c r="C115" i="4" s="1"/>
  <c r="D115" i="4" s="1"/>
  <c r="P123" i="3"/>
  <c r="N123" i="3"/>
  <c r="L123" i="3"/>
  <c r="J123" i="3"/>
  <c r="H123" i="3"/>
  <c r="Q123" i="3"/>
  <c r="O123" i="3"/>
  <c r="M123" i="3"/>
  <c r="K123" i="3"/>
  <c r="I123" i="3"/>
  <c r="A119" i="4"/>
  <c r="P127" i="3"/>
  <c r="L127" i="3"/>
  <c r="J127" i="3"/>
  <c r="H127" i="3"/>
  <c r="N127" i="3" s="1"/>
  <c r="Q127" i="3"/>
  <c r="O127" i="3"/>
  <c r="K127" i="3"/>
  <c r="I127" i="3"/>
  <c r="A123" i="4"/>
  <c r="B123" i="4" s="1"/>
  <c r="P133" i="3"/>
  <c r="N133" i="3"/>
  <c r="L133" i="3"/>
  <c r="J133" i="3"/>
  <c r="H133" i="3"/>
  <c r="Q133" i="3"/>
  <c r="O133" i="3"/>
  <c r="M133" i="3"/>
  <c r="K133" i="3"/>
  <c r="I133" i="3"/>
  <c r="P135" i="3"/>
  <c r="N135" i="3"/>
  <c r="L135" i="3"/>
  <c r="J135" i="3"/>
  <c r="H135" i="3"/>
  <c r="Q135" i="3"/>
  <c r="O135" i="3"/>
  <c r="M135" i="3"/>
  <c r="K135" i="3"/>
  <c r="I135" i="3"/>
  <c r="A131" i="4"/>
  <c r="B131" i="4" s="1"/>
  <c r="C131" i="4" s="1"/>
  <c r="D131" i="4" s="1"/>
  <c r="P141" i="3"/>
  <c r="N141" i="3"/>
  <c r="L141" i="3"/>
  <c r="J141" i="3"/>
  <c r="H141" i="3"/>
  <c r="Q141" i="3"/>
  <c r="O141" i="3"/>
  <c r="M141" i="3"/>
  <c r="K141" i="3"/>
  <c r="I141" i="3"/>
  <c r="A137" i="4"/>
  <c r="B137" i="4" s="1"/>
  <c r="C137" i="4" s="1"/>
  <c r="D137" i="4" s="1"/>
  <c r="P145" i="3"/>
  <c r="N145" i="3"/>
  <c r="L145" i="3"/>
  <c r="J145" i="3"/>
  <c r="H145" i="3"/>
  <c r="Q145" i="3"/>
  <c r="O145" i="3"/>
  <c r="M145" i="3"/>
  <c r="K145" i="3"/>
  <c r="I145" i="3"/>
  <c r="A141" i="4"/>
  <c r="P149" i="3"/>
  <c r="L149" i="3"/>
  <c r="J149" i="3"/>
  <c r="H149" i="3"/>
  <c r="N149" i="3" s="1"/>
  <c r="Q149" i="3"/>
  <c r="O149" i="3"/>
  <c r="K149" i="3"/>
  <c r="I149" i="3"/>
  <c r="A145" i="4"/>
  <c r="B145" i="4" s="1"/>
  <c r="P153" i="3"/>
  <c r="N153" i="3"/>
  <c r="L153" i="3"/>
  <c r="J153" i="3"/>
  <c r="H153" i="3"/>
  <c r="Q153" i="3"/>
  <c r="O153" i="3"/>
  <c r="M153" i="3"/>
  <c r="K153" i="3"/>
  <c r="I153" i="3"/>
  <c r="A149" i="4"/>
  <c r="B149" i="4" s="1"/>
  <c r="C149" i="4" s="1"/>
  <c r="D149" i="4" s="1"/>
  <c r="P157" i="3"/>
  <c r="N157" i="3"/>
  <c r="L157" i="3"/>
  <c r="J157" i="3"/>
  <c r="H157" i="3"/>
  <c r="Q157" i="3"/>
  <c r="O157" i="3"/>
  <c r="M157" i="3"/>
  <c r="K157" i="3"/>
  <c r="I157" i="3"/>
  <c r="A153" i="4"/>
  <c r="B153" i="4" s="1"/>
  <c r="C153" i="4" s="1"/>
  <c r="D153" i="4" s="1"/>
  <c r="P161" i="3"/>
  <c r="N161" i="3"/>
  <c r="L161" i="3"/>
  <c r="J161" i="3"/>
  <c r="H161" i="3"/>
  <c r="Q161" i="3"/>
  <c r="O161" i="3"/>
  <c r="M161" i="3"/>
  <c r="K161" i="3"/>
  <c r="I161" i="3"/>
  <c r="A157" i="4"/>
  <c r="B157" i="4" s="1"/>
  <c r="C157" i="4" s="1"/>
  <c r="D157" i="4" s="1"/>
  <c r="P165" i="3"/>
  <c r="L165" i="3"/>
  <c r="J165" i="3"/>
  <c r="H165" i="3"/>
  <c r="N165" i="3" s="1"/>
  <c r="Q165" i="3"/>
  <c r="O165" i="3"/>
  <c r="K165" i="3"/>
  <c r="I165" i="3"/>
  <c r="A161" i="4"/>
  <c r="B161" i="4" s="1"/>
  <c r="P169" i="3"/>
  <c r="N169" i="3"/>
  <c r="L169" i="3"/>
  <c r="J169" i="3"/>
  <c r="H169" i="3"/>
  <c r="Q169" i="3"/>
  <c r="O169" i="3"/>
  <c r="M169" i="3"/>
  <c r="K169" i="3"/>
  <c r="I169" i="3"/>
  <c r="A165" i="4"/>
  <c r="B165" i="4" s="1"/>
  <c r="C165" i="4" s="1"/>
  <c r="D165" i="4" s="1"/>
  <c r="P173" i="3"/>
  <c r="N173" i="3"/>
  <c r="L173" i="3"/>
  <c r="J173" i="3"/>
  <c r="H173" i="3"/>
  <c r="Q173" i="3"/>
  <c r="O173" i="3"/>
  <c r="M173" i="3"/>
  <c r="K173" i="3"/>
  <c r="I173" i="3"/>
  <c r="A169" i="4"/>
  <c r="B169" i="4" s="1"/>
  <c r="C169" i="4" s="1"/>
  <c r="D169" i="4" s="1"/>
  <c r="P177" i="3"/>
  <c r="N177" i="3"/>
  <c r="L177" i="3"/>
  <c r="J177" i="3"/>
  <c r="H177" i="3"/>
  <c r="Q177" i="3"/>
  <c r="O177" i="3"/>
  <c r="M177" i="3"/>
  <c r="K177" i="3"/>
  <c r="I177" i="3"/>
  <c r="A173" i="4"/>
  <c r="P181" i="3"/>
  <c r="N181" i="3"/>
  <c r="L181" i="3"/>
  <c r="J181" i="3"/>
  <c r="H181" i="3"/>
  <c r="Q181" i="3"/>
  <c r="O181" i="3"/>
  <c r="M181" i="3"/>
  <c r="K181" i="3"/>
  <c r="I181" i="3"/>
  <c r="A177" i="4"/>
  <c r="B177" i="4" s="1"/>
  <c r="C177" i="4" s="1"/>
  <c r="D177" i="4" s="1"/>
  <c r="P185" i="3"/>
  <c r="N185" i="3"/>
  <c r="L185" i="3"/>
  <c r="J185" i="3"/>
  <c r="H185" i="3"/>
  <c r="Q185" i="3"/>
  <c r="O185" i="3"/>
  <c r="M185" i="3"/>
  <c r="K185" i="3"/>
  <c r="I185" i="3"/>
  <c r="A181" i="4"/>
  <c r="B181" i="4" s="1"/>
  <c r="C181" i="4" s="1"/>
  <c r="D181" i="4" s="1"/>
  <c r="P189" i="3"/>
  <c r="N189" i="3"/>
  <c r="L189" i="3"/>
  <c r="J189" i="3"/>
  <c r="H189" i="3"/>
  <c r="Q189" i="3"/>
  <c r="O189" i="3"/>
  <c r="M189" i="3"/>
  <c r="K189" i="3"/>
  <c r="I189" i="3"/>
  <c r="A185" i="4"/>
  <c r="B185" i="4" s="1"/>
  <c r="C185" i="4" s="1"/>
  <c r="D185" i="4" s="1"/>
  <c r="P193" i="3"/>
  <c r="N193" i="3"/>
  <c r="L193" i="3"/>
  <c r="J193" i="3"/>
  <c r="H193" i="3"/>
  <c r="Q193" i="3"/>
  <c r="O193" i="3"/>
  <c r="M193" i="3"/>
  <c r="K193" i="3"/>
  <c r="I193" i="3"/>
  <c r="A189" i="4"/>
  <c r="B189" i="4" s="1"/>
  <c r="C189" i="4" s="1"/>
  <c r="D189" i="4" s="1"/>
  <c r="P197" i="3"/>
  <c r="N197" i="3"/>
  <c r="L197" i="3"/>
  <c r="J197" i="3"/>
  <c r="H197" i="3"/>
  <c r="Q197" i="3"/>
  <c r="O197" i="3"/>
  <c r="M197" i="3"/>
  <c r="K197" i="3"/>
  <c r="I197" i="3"/>
  <c r="A193" i="4"/>
  <c r="B193" i="4" s="1"/>
  <c r="C193" i="4" s="1"/>
  <c r="D193" i="4" s="1"/>
  <c r="P201" i="3"/>
  <c r="N201" i="3"/>
  <c r="L201" i="3"/>
  <c r="J201" i="3"/>
  <c r="H201" i="3"/>
  <c r="Q201" i="3"/>
  <c r="O201" i="3"/>
  <c r="M201" i="3"/>
  <c r="K201" i="3"/>
  <c r="I201" i="3"/>
  <c r="A197" i="4"/>
  <c r="B197" i="4" s="1"/>
  <c r="C197" i="4" s="1"/>
  <c r="D197" i="4" s="1"/>
  <c r="P205" i="3"/>
  <c r="N205" i="3"/>
  <c r="L205" i="3"/>
  <c r="J205" i="3"/>
  <c r="H205" i="3"/>
  <c r="Q205" i="3"/>
  <c r="O205" i="3"/>
  <c r="M205" i="3"/>
  <c r="K205" i="3"/>
  <c r="I205" i="3"/>
  <c r="A201" i="4"/>
  <c r="B201" i="4" s="1"/>
  <c r="C201" i="4" s="1"/>
  <c r="D201" i="4" s="1"/>
  <c r="P209" i="3"/>
  <c r="N209" i="3"/>
  <c r="L209" i="3"/>
  <c r="J209" i="3"/>
  <c r="H209" i="3"/>
  <c r="Q209" i="3"/>
  <c r="O209" i="3"/>
  <c r="M209" i="3"/>
  <c r="K209" i="3"/>
  <c r="I209" i="3"/>
  <c r="A205" i="4"/>
  <c r="B205" i="4" s="1"/>
  <c r="C205" i="4" s="1"/>
  <c r="D205" i="4" s="1"/>
  <c r="P213" i="3"/>
  <c r="N213" i="3"/>
  <c r="L213" i="3"/>
  <c r="J213" i="3"/>
  <c r="H213" i="3"/>
  <c r="Q213" i="3"/>
  <c r="O213" i="3"/>
  <c r="M213" i="3"/>
  <c r="K213" i="3"/>
  <c r="I213" i="3"/>
  <c r="A209" i="4"/>
  <c r="B209" i="4" s="1"/>
  <c r="C209" i="4" s="1"/>
  <c r="D209" i="4" s="1"/>
  <c r="P217" i="3"/>
  <c r="N217" i="3"/>
  <c r="L217" i="3"/>
  <c r="J217" i="3"/>
  <c r="H217" i="3"/>
  <c r="Q217" i="3"/>
  <c r="O217" i="3"/>
  <c r="M217" i="3"/>
  <c r="K217" i="3"/>
  <c r="I217" i="3"/>
  <c r="A213" i="4"/>
  <c r="B213" i="4" s="1"/>
  <c r="C213" i="4" s="1"/>
  <c r="D213" i="4" s="1"/>
  <c r="P221" i="3"/>
  <c r="N221" i="3"/>
  <c r="L221" i="3"/>
  <c r="J221" i="3"/>
  <c r="H221" i="3"/>
  <c r="Q221" i="3"/>
  <c r="O221" i="3"/>
  <c r="M221" i="3"/>
  <c r="K221" i="3"/>
  <c r="I221" i="3"/>
  <c r="A217" i="4"/>
  <c r="B217" i="4" s="1"/>
  <c r="C217" i="4" s="1"/>
  <c r="D217" i="4" s="1"/>
  <c r="P225" i="3"/>
  <c r="N225" i="3"/>
  <c r="L225" i="3"/>
  <c r="J225" i="3"/>
  <c r="H225" i="3"/>
  <c r="Q225" i="3"/>
  <c r="O225" i="3"/>
  <c r="M225" i="3"/>
  <c r="K225" i="3"/>
  <c r="I225" i="3"/>
  <c r="A221" i="4"/>
  <c r="B221" i="4" s="1"/>
  <c r="C221" i="4" s="1"/>
  <c r="D221" i="4" s="1"/>
  <c r="P229" i="3"/>
  <c r="N229" i="3"/>
  <c r="L229" i="3"/>
  <c r="J229" i="3"/>
  <c r="H229" i="3"/>
  <c r="Q229" i="3"/>
  <c r="O229" i="3"/>
  <c r="M229" i="3"/>
  <c r="K229" i="3"/>
  <c r="I229" i="3"/>
  <c r="A225" i="4"/>
  <c r="B225" i="4" s="1"/>
  <c r="C225" i="4" s="1"/>
  <c r="D225" i="4" s="1"/>
  <c r="P233" i="3"/>
  <c r="N233" i="3"/>
  <c r="L233" i="3"/>
  <c r="J233" i="3"/>
  <c r="H233" i="3"/>
  <c r="Q233" i="3"/>
  <c r="O233" i="3"/>
  <c r="M233" i="3"/>
  <c r="K233" i="3"/>
  <c r="I233" i="3"/>
  <c r="A229" i="4"/>
  <c r="B229" i="4" s="1"/>
  <c r="C229" i="4" s="1"/>
  <c r="D229" i="4" s="1"/>
  <c r="P237" i="3"/>
  <c r="N237" i="3"/>
  <c r="L237" i="3"/>
  <c r="J237" i="3"/>
  <c r="H237" i="3"/>
  <c r="Q237" i="3"/>
  <c r="O237" i="3"/>
  <c r="M237" i="3"/>
  <c r="K237" i="3"/>
  <c r="I237" i="3"/>
  <c r="A233" i="4"/>
  <c r="B233" i="4" s="1"/>
  <c r="C233" i="4" s="1"/>
  <c r="D233" i="4" s="1"/>
  <c r="P243" i="3"/>
  <c r="N243" i="3"/>
  <c r="L243" i="3"/>
  <c r="J243" i="3"/>
  <c r="H243" i="3"/>
  <c r="Q243" i="3"/>
  <c r="O243" i="3"/>
  <c r="M243" i="3"/>
  <c r="K243" i="3"/>
  <c r="I243" i="3"/>
  <c r="A239" i="4"/>
  <c r="B239" i="4" s="1"/>
  <c r="C239" i="4" s="1"/>
  <c r="D239" i="4" s="1"/>
  <c r="P247" i="3"/>
  <c r="N247" i="3"/>
  <c r="L247" i="3"/>
  <c r="J247" i="3"/>
  <c r="H247" i="3"/>
  <c r="Q247" i="3"/>
  <c r="O247" i="3"/>
  <c r="M247" i="3"/>
  <c r="K247" i="3"/>
  <c r="I247" i="3"/>
  <c r="A243" i="4"/>
  <c r="B243" i="4" s="1"/>
  <c r="C243" i="4" s="1"/>
  <c r="D243" i="4" s="1"/>
  <c r="P251" i="3"/>
  <c r="N251" i="3"/>
  <c r="L251" i="3"/>
  <c r="J251" i="3"/>
  <c r="H251" i="3"/>
  <c r="Q251" i="3"/>
  <c r="O251" i="3"/>
  <c r="M251" i="3"/>
  <c r="K251" i="3"/>
  <c r="I251" i="3"/>
  <c r="A247" i="4"/>
  <c r="B247" i="4" s="1"/>
  <c r="C247" i="4" s="1"/>
  <c r="D247" i="4" s="1"/>
  <c r="P255" i="3"/>
  <c r="N255" i="3"/>
  <c r="L255" i="3"/>
  <c r="J255" i="3"/>
  <c r="H255" i="3"/>
  <c r="Q255" i="3"/>
  <c r="O255" i="3"/>
  <c r="M255" i="3"/>
  <c r="K255" i="3"/>
  <c r="I255" i="3"/>
  <c r="A251" i="4"/>
  <c r="B251" i="4" s="1"/>
  <c r="C251" i="4" s="1"/>
  <c r="D251" i="4" s="1"/>
  <c r="P259" i="3"/>
  <c r="N259" i="3"/>
  <c r="L259" i="3"/>
  <c r="J259" i="3"/>
  <c r="H259" i="3"/>
  <c r="Q259" i="3"/>
  <c r="O259" i="3"/>
  <c r="M259" i="3"/>
  <c r="K259" i="3"/>
  <c r="I259" i="3"/>
  <c r="A255" i="4"/>
  <c r="B255" i="4" s="1"/>
  <c r="C255" i="4" s="1"/>
  <c r="D255" i="4" s="1"/>
  <c r="P263" i="3"/>
  <c r="N263" i="3"/>
  <c r="L263" i="3"/>
  <c r="J263" i="3"/>
  <c r="H263" i="3"/>
  <c r="Q263" i="3"/>
  <c r="O263" i="3"/>
  <c r="M263" i="3"/>
  <c r="K263" i="3"/>
  <c r="I263" i="3"/>
  <c r="A259" i="4"/>
  <c r="B259" i="4" s="1"/>
  <c r="C259" i="4" s="1"/>
  <c r="D259" i="4" s="1"/>
  <c r="P267" i="3"/>
  <c r="N267" i="3"/>
  <c r="L267" i="3"/>
  <c r="J267" i="3"/>
  <c r="H267" i="3"/>
  <c r="Q267" i="3"/>
  <c r="O267" i="3"/>
  <c r="M267" i="3"/>
  <c r="K267" i="3"/>
  <c r="I267" i="3"/>
  <c r="A263" i="4"/>
  <c r="B263" i="4" s="1"/>
  <c r="C263" i="4" s="1"/>
  <c r="D263" i="4" s="1"/>
  <c r="P271" i="3"/>
  <c r="N271" i="3"/>
  <c r="L271" i="3"/>
  <c r="J271" i="3"/>
  <c r="H271" i="3"/>
  <c r="Q271" i="3"/>
  <c r="O271" i="3"/>
  <c r="M271" i="3"/>
  <c r="K271" i="3"/>
  <c r="I271" i="3"/>
  <c r="A267" i="4"/>
  <c r="B267" i="4" s="1"/>
  <c r="C267" i="4" s="1"/>
  <c r="D267" i="4" s="1"/>
  <c r="P275" i="3"/>
  <c r="N275" i="3"/>
  <c r="L275" i="3"/>
  <c r="J275" i="3"/>
  <c r="H275" i="3"/>
  <c r="Q275" i="3"/>
  <c r="O275" i="3"/>
  <c r="M275" i="3"/>
  <c r="K275" i="3"/>
  <c r="I275" i="3"/>
  <c r="A271" i="4"/>
  <c r="B271" i="4" s="1"/>
  <c r="C271" i="4" s="1"/>
  <c r="D271" i="4" s="1"/>
  <c r="P279" i="3"/>
  <c r="N279" i="3"/>
  <c r="L279" i="3"/>
  <c r="J279" i="3"/>
  <c r="H279" i="3"/>
  <c r="Q279" i="3"/>
  <c r="O279" i="3"/>
  <c r="M279" i="3"/>
  <c r="K279" i="3"/>
  <c r="I279" i="3"/>
  <c r="A275" i="4"/>
  <c r="B275" i="4" s="1"/>
  <c r="C275" i="4" s="1"/>
  <c r="D275" i="4" s="1"/>
  <c r="P283" i="3"/>
  <c r="N283" i="3"/>
  <c r="L283" i="3"/>
  <c r="J283" i="3"/>
  <c r="H283" i="3"/>
  <c r="Q283" i="3"/>
  <c r="O283" i="3"/>
  <c r="M283" i="3"/>
  <c r="K283" i="3"/>
  <c r="I283" i="3"/>
  <c r="A279" i="4"/>
  <c r="B279" i="4" s="1"/>
  <c r="C279" i="4" s="1"/>
  <c r="D279" i="4" s="1"/>
  <c r="P289" i="3"/>
  <c r="N289" i="3"/>
  <c r="L289" i="3"/>
  <c r="J289" i="3"/>
  <c r="H289" i="3"/>
  <c r="Q289" i="3"/>
  <c r="O289" i="3"/>
  <c r="M289" i="3"/>
  <c r="K289" i="3"/>
  <c r="I289" i="3"/>
  <c r="A285" i="4"/>
  <c r="B285" i="4" s="1"/>
  <c r="C285" i="4" s="1"/>
  <c r="D285" i="4" s="1"/>
  <c r="P293" i="3"/>
  <c r="N293" i="3"/>
  <c r="L293" i="3"/>
  <c r="J293" i="3"/>
  <c r="H293" i="3"/>
  <c r="Q293" i="3"/>
  <c r="O293" i="3"/>
  <c r="M293" i="3"/>
  <c r="K293" i="3"/>
  <c r="I293" i="3"/>
  <c r="A289" i="4"/>
  <c r="B289" i="4" s="1"/>
  <c r="C289" i="4" s="1"/>
  <c r="D289" i="4" s="1"/>
  <c r="P297" i="3"/>
  <c r="N297" i="3"/>
  <c r="L297" i="3"/>
  <c r="J297" i="3"/>
  <c r="H297" i="3"/>
  <c r="Q297" i="3"/>
  <c r="O297" i="3"/>
  <c r="M297" i="3"/>
  <c r="K297" i="3"/>
  <c r="I297" i="3"/>
  <c r="A293" i="4"/>
  <c r="B293" i="4" s="1"/>
  <c r="C293" i="4" s="1"/>
  <c r="D293" i="4" s="1"/>
  <c r="P301" i="3"/>
  <c r="N301" i="3"/>
  <c r="L301" i="3"/>
  <c r="J301" i="3"/>
  <c r="H301" i="3"/>
  <c r="Q301" i="3"/>
  <c r="O301" i="3"/>
  <c r="M301" i="3"/>
  <c r="K301" i="3"/>
  <c r="I301" i="3"/>
  <c r="A297" i="4"/>
  <c r="B297" i="4" s="1"/>
  <c r="C297" i="4" s="1"/>
  <c r="D297" i="4" s="1"/>
  <c r="P305" i="3"/>
  <c r="N305" i="3"/>
  <c r="L305" i="3"/>
  <c r="J305" i="3"/>
  <c r="H305" i="3"/>
  <c r="Q305" i="3"/>
  <c r="O305" i="3"/>
  <c r="M305" i="3"/>
  <c r="K305" i="3"/>
  <c r="I305" i="3"/>
  <c r="A301" i="4"/>
  <c r="B301" i="4" s="1"/>
  <c r="C301" i="4" s="1"/>
  <c r="D301" i="4" s="1"/>
  <c r="P309" i="3"/>
  <c r="N309" i="3"/>
  <c r="L309" i="3"/>
  <c r="J309" i="3"/>
  <c r="H309" i="3"/>
  <c r="Q309" i="3"/>
  <c r="O309" i="3"/>
  <c r="M309" i="3"/>
  <c r="K309" i="3"/>
  <c r="I309" i="3"/>
  <c r="A305" i="4"/>
  <c r="B305" i="4" s="1"/>
  <c r="C305" i="4" s="1"/>
  <c r="D305" i="4" s="1"/>
  <c r="P313" i="3"/>
  <c r="N313" i="3"/>
  <c r="L313" i="3"/>
  <c r="J313" i="3"/>
  <c r="H313" i="3"/>
  <c r="Q313" i="3"/>
  <c r="O313" i="3"/>
  <c r="M313" i="3"/>
  <c r="K313" i="3"/>
  <c r="I313" i="3"/>
  <c r="A309" i="4"/>
  <c r="B309" i="4" s="1"/>
  <c r="C309" i="4" s="1"/>
  <c r="D309" i="4" s="1"/>
  <c r="P317" i="3"/>
  <c r="N317" i="3"/>
  <c r="L317" i="3"/>
  <c r="J317" i="3"/>
  <c r="H317" i="3"/>
  <c r="Q317" i="3"/>
  <c r="O317" i="3"/>
  <c r="M317" i="3"/>
  <c r="K317" i="3"/>
  <c r="I317" i="3"/>
  <c r="A313" i="4"/>
  <c r="B313" i="4" s="1"/>
  <c r="C313" i="4" s="1"/>
  <c r="D313" i="4" s="1"/>
  <c r="P321" i="3"/>
  <c r="N321" i="3"/>
  <c r="L321" i="3"/>
  <c r="J321" i="3"/>
  <c r="H321" i="3"/>
  <c r="Q321" i="3"/>
  <c r="O321" i="3"/>
  <c r="M321" i="3"/>
  <c r="K321" i="3"/>
  <c r="I321" i="3"/>
  <c r="P323" i="3"/>
  <c r="N323" i="3"/>
  <c r="L323" i="3"/>
  <c r="J323" i="3"/>
  <c r="H323" i="3"/>
  <c r="Q323" i="3"/>
  <c r="O323" i="3"/>
  <c r="M323" i="3"/>
  <c r="K323" i="3"/>
  <c r="I323" i="3"/>
  <c r="A319" i="4"/>
  <c r="B319" i="4" s="1"/>
  <c r="C319" i="4" s="1"/>
  <c r="D319" i="4" s="1"/>
  <c r="P329" i="3"/>
  <c r="N329" i="3"/>
  <c r="L329" i="3"/>
  <c r="J329" i="3"/>
  <c r="H329" i="3"/>
  <c r="Q329" i="3"/>
  <c r="O329" i="3"/>
  <c r="M329" i="3"/>
  <c r="K329" i="3"/>
  <c r="I329" i="3"/>
  <c r="P331" i="3"/>
  <c r="N331" i="3"/>
  <c r="L331" i="3"/>
  <c r="J331" i="3"/>
  <c r="H331" i="3"/>
  <c r="Q331" i="3"/>
  <c r="O331" i="3"/>
  <c r="M331" i="3"/>
  <c r="K331" i="3"/>
  <c r="I331" i="3"/>
  <c r="A327" i="4"/>
  <c r="B327" i="4" s="1"/>
  <c r="C327" i="4" s="1"/>
  <c r="D327" i="4" s="1"/>
  <c r="P335" i="3"/>
  <c r="N335" i="3"/>
  <c r="L335" i="3"/>
  <c r="J335" i="3"/>
  <c r="H335" i="3"/>
  <c r="Q335" i="3"/>
  <c r="O335" i="3"/>
  <c r="M335" i="3"/>
  <c r="K335" i="3"/>
  <c r="I335" i="3"/>
  <c r="A331" i="4"/>
  <c r="B331" i="4" s="1"/>
  <c r="C331" i="4" s="1"/>
  <c r="D331" i="4" s="1"/>
  <c r="P339" i="3"/>
  <c r="N339" i="3"/>
  <c r="L339" i="3"/>
  <c r="J339" i="3"/>
  <c r="H339" i="3"/>
  <c r="Q339" i="3"/>
  <c r="O339" i="3"/>
  <c r="M339" i="3"/>
  <c r="K339" i="3"/>
  <c r="I339" i="3"/>
  <c r="A335" i="4"/>
  <c r="B335" i="4" s="1"/>
  <c r="C335" i="4" s="1"/>
  <c r="D335" i="4" s="1"/>
  <c r="P345" i="3"/>
  <c r="N345" i="3"/>
  <c r="L345" i="3"/>
  <c r="J345" i="3"/>
  <c r="H345" i="3"/>
  <c r="Q345" i="3"/>
  <c r="O345" i="3"/>
  <c r="M345" i="3"/>
  <c r="K345" i="3"/>
  <c r="I345" i="3"/>
  <c r="A341" i="4"/>
  <c r="B341" i="4" s="1"/>
  <c r="C341" i="4" s="1"/>
  <c r="D341" i="4" s="1"/>
  <c r="P349" i="3"/>
  <c r="N349" i="3"/>
  <c r="L349" i="3"/>
  <c r="J349" i="3"/>
  <c r="H349" i="3"/>
  <c r="Q349" i="3"/>
  <c r="O349" i="3"/>
  <c r="M349" i="3"/>
  <c r="K349" i="3"/>
  <c r="I349" i="3"/>
  <c r="A345" i="4"/>
  <c r="B345" i="4" s="1"/>
  <c r="C345" i="4" s="1"/>
  <c r="D345" i="4" s="1"/>
  <c r="P353" i="3"/>
  <c r="N353" i="3"/>
  <c r="L353" i="3"/>
  <c r="J353" i="3"/>
  <c r="H353" i="3"/>
  <c r="Q353" i="3"/>
  <c r="O353" i="3"/>
  <c r="M353" i="3"/>
  <c r="K353" i="3"/>
  <c r="I353" i="3"/>
  <c r="A349" i="4"/>
  <c r="B349" i="4" s="1"/>
  <c r="C349" i="4" s="1"/>
  <c r="D349" i="4" s="1"/>
  <c r="P357" i="3"/>
  <c r="N357" i="3"/>
  <c r="L357" i="3"/>
  <c r="J357" i="3"/>
  <c r="H357" i="3"/>
  <c r="Q357" i="3"/>
  <c r="O357" i="3"/>
  <c r="M357" i="3"/>
  <c r="K357" i="3"/>
  <c r="I357" i="3"/>
  <c r="A353" i="4"/>
  <c r="B353" i="4" s="1"/>
  <c r="C353" i="4" s="1"/>
  <c r="D353" i="4" s="1"/>
  <c r="P361" i="3"/>
  <c r="N361" i="3"/>
  <c r="L361" i="3"/>
  <c r="J361" i="3"/>
  <c r="H361" i="3"/>
  <c r="Q361" i="3"/>
  <c r="O361" i="3"/>
  <c r="M361" i="3"/>
  <c r="K361" i="3"/>
  <c r="I361" i="3"/>
  <c r="A357" i="4"/>
  <c r="B357" i="4" s="1"/>
  <c r="C357" i="4" s="1"/>
  <c r="D357" i="4" s="1"/>
  <c r="P365" i="3"/>
  <c r="N365" i="3"/>
  <c r="L365" i="3"/>
  <c r="J365" i="3"/>
  <c r="H365" i="3"/>
  <c r="Q365" i="3"/>
  <c r="O365" i="3"/>
  <c r="M365" i="3"/>
  <c r="K365" i="3"/>
  <c r="I365" i="3"/>
  <c r="A361" i="4"/>
  <c r="B361" i="4" s="1"/>
  <c r="C361" i="4" s="1"/>
  <c r="D361" i="4" s="1"/>
  <c r="P369" i="3"/>
  <c r="N369" i="3"/>
  <c r="L369" i="3"/>
  <c r="J369" i="3"/>
  <c r="H369" i="3"/>
  <c r="Q369" i="3"/>
  <c r="O369" i="3"/>
  <c r="M369" i="3"/>
  <c r="K369" i="3"/>
  <c r="I369" i="3"/>
  <c r="A365" i="4"/>
  <c r="B365" i="4" s="1"/>
  <c r="C365" i="4" s="1"/>
  <c r="D365" i="4" s="1"/>
  <c r="P373" i="3"/>
  <c r="N373" i="3"/>
  <c r="L373" i="3"/>
  <c r="J373" i="3"/>
  <c r="H373" i="3"/>
  <c r="Q373" i="3"/>
  <c r="O373" i="3"/>
  <c r="M373" i="3"/>
  <c r="K373" i="3"/>
  <c r="I373" i="3"/>
  <c r="A369" i="4"/>
  <c r="B369" i="4" s="1"/>
  <c r="C369" i="4" s="1"/>
  <c r="D369" i="4" s="1"/>
  <c r="P377" i="3"/>
  <c r="N377" i="3"/>
  <c r="L377" i="3"/>
  <c r="J377" i="3"/>
  <c r="H377" i="3"/>
  <c r="Q377" i="3"/>
  <c r="O377" i="3"/>
  <c r="M377" i="3"/>
  <c r="K377" i="3"/>
  <c r="I377" i="3"/>
  <c r="A373" i="4"/>
  <c r="B373" i="4" s="1"/>
  <c r="C373" i="4" s="1"/>
  <c r="D373" i="4" s="1"/>
  <c r="P381" i="3"/>
  <c r="N381" i="3"/>
  <c r="L381" i="3"/>
  <c r="J381" i="3"/>
  <c r="H381" i="3"/>
  <c r="Q381" i="3"/>
  <c r="O381" i="3"/>
  <c r="M381" i="3"/>
  <c r="K381" i="3"/>
  <c r="I381" i="3"/>
  <c r="A377" i="4"/>
  <c r="B377" i="4" s="1"/>
  <c r="C377" i="4" s="1"/>
  <c r="D377" i="4" s="1"/>
  <c r="P387" i="3"/>
  <c r="N387" i="3"/>
  <c r="L387" i="3"/>
  <c r="J387" i="3"/>
  <c r="H387" i="3"/>
  <c r="Q387" i="3"/>
  <c r="O387" i="3"/>
  <c r="M387" i="3"/>
  <c r="K387" i="3"/>
  <c r="I387" i="3"/>
  <c r="A383" i="4"/>
  <c r="B383" i="4" s="1"/>
  <c r="C383" i="4" s="1"/>
  <c r="D383" i="4" s="1"/>
  <c r="P391" i="3"/>
  <c r="N391" i="3"/>
  <c r="L391" i="3"/>
  <c r="J391" i="3"/>
  <c r="H391" i="3"/>
  <c r="Q391" i="3"/>
  <c r="O391" i="3"/>
  <c r="M391" i="3"/>
  <c r="K391" i="3"/>
  <c r="I391" i="3"/>
  <c r="A387" i="4"/>
  <c r="B387" i="4" s="1"/>
  <c r="C387" i="4" s="1"/>
  <c r="D387" i="4" s="1"/>
  <c r="P395" i="3"/>
  <c r="N395" i="3"/>
  <c r="L395" i="3"/>
  <c r="J395" i="3"/>
  <c r="H395" i="3"/>
  <c r="Q395" i="3"/>
  <c r="O395" i="3"/>
  <c r="M395" i="3"/>
  <c r="K395" i="3"/>
  <c r="I395" i="3"/>
  <c r="A391" i="4"/>
  <c r="B391" i="4" s="1"/>
  <c r="C391" i="4" s="1"/>
  <c r="D391" i="4" s="1"/>
  <c r="P399" i="3"/>
  <c r="N399" i="3"/>
  <c r="L399" i="3"/>
  <c r="J399" i="3"/>
  <c r="H399" i="3"/>
  <c r="Q399" i="3"/>
  <c r="O399" i="3"/>
  <c r="M399" i="3"/>
  <c r="K399" i="3"/>
  <c r="I399" i="3"/>
  <c r="A395" i="4"/>
  <c r="B395" i="4" s="1"/>
  <c r="C395" i="4" s="1"/>
  <c r="D395" i="4" s="1"/>
  <c r="P403" i="3"/>
  <c r="N403" i="3"/>
  <c r="L403" i="3"/>
  <c r="J403" i="3"/>
  <c r="H403" i="3"/>
  <c r="Q403" i="3"/>
  <c r="O403" i="3"/>
  <c r="M403" i="3"/>
  <c r="K403" i="3"/>
  <c r="I403" i="3"/>
  <c r="A399" i="4"/>
  <c r="B399" i="4" s="1"/>
  <c r="C399" i="4" s="1"/>
  <c r="D399" i="4" s="1"/>
  <c r="P407" i="3"/>
  <c r="N407" i="3"/>
  <c r="L407" i="3"/>
  <c r="J407" i="3"/>
  <c r="H407" i="3"/>
  <c r="Q407" i="3"/>
  <c r="O407" i="3"/>
  <c r="M407" i="3"/>
  <c r="K407" i="3"/>
  <c r="I407" i="3"/>
  <c r="A403" i="4"/>
  <c r="B403" i="4" s="1"/>
  <c r="C403" i="4" s="1"/>
  <c r="D403" i="4" s="1"/>
  <c r="P413" i="3"/>
  <c r="N413" i="3"/>
  <c r="L413" i="3"/>
  <c r="J413" i="3"/>
  <c r="H413" i="3"/>
  <c r="Q413" i="3"/>
  <c r="O413" i="3"/>
  <c r="M413" i="3"/>
  <c r="K413" i="3"/>
  <c r="I413" i="3"/>
  <c r="P415" i="3"/>
  <c r="N415" i="3"/>
  <c r="L415" i="3"/>
  <c r="J415" i="3"/>
  <c r="H415" i="3"/>
  <c r="Q415" i="3"/>
  <c r="O415" i="3"/>
  <c r="M415" i="3"/>
  <c r="K415" i="3"/>
  <c r="I415" i="3"/>
  <c r="A411" i="4"/>
  <c r="B411" i="4" s="1"/>
  <c r="C411" i="4" s="1"/>
  <c r="D411" i="4" s="1"/>
  <c r="P421" i="3"/>
  <c r="N421" i="3"/>
  <c r="L421" i="3"/>
  <c r="J421" i="3"/>
  <c r="H421" i="3"/>
  <c r="Q421" i="3"/>
  <c r="O421" i="3"/>
  <c r="M421" i="3"/>
  <c r="K421" i="3"/>
  <c r="I421" i="3"/>
  <c r="A417" i="4"/>
  <c r="B417" i="4" s="1"/>
  <c r="C417" i="4" s="1"/>
  <c r="D417" i="4" s="1"/>
  <c r="P425" i="3"/>
  <c r="N425" i="3"/>
  <c r="L425" i="3"/>
  <c r="J425" i="3"/>
  <c r="H425" i="3"/>
  <c r="Q425" i="3"/>
  <c r="O425" i="3"/>
  <c r="M425" i="3"/>
  <c r="K425" i="3"/>
  <c r="I425" i="3"/>
  <c r="A421" i="4"/>
  <c r="B421" i="4" s="1"/>
  <c r="C421" i="4" s="1"/>
  <c r="D421" i="4" s="1"/>
  <c r="P429" i="3"/>
  <c r="N429" i="3"/>
  <c r="L429" i="3"/>
  <c r="J429" i="3"/>
  <c r="H429" i="3"/>
  <c r="Q429" i="3"/>
  <c r="O429" i="3"/>
  <c r="M429" i="3"/>
  <c r="K429" i="3"/>
  <c r="I429" i="3"/>
  <c r="A425" i="4"/>
  <c r="B425" i="4" s="1"/>
  <c r="C425" i="4" s="1"/>
  <c r="D425" i="4" s="1"/>
  <c r="P433" i="3"/>
  <c r="N433" i="3"/>
  <c r="L433" i="3"/>
  <c r="J433" i="3"/>
  <c r="H433" i="3"/>
  <c r="Q433" i="3"/>
  <c r="O433" i="3"/>
  <c r="M433" i="3"/>
  <c r="K433" i="3"/>
  <c r="I433" i="3"/>
  <c r="A429" i="4"/>
  <c r="B429" i="4" s="1"/>
  <c r="C429" i="4" s="1"/>
  <c r="D429" i="4" s="1"/>
  <c r="P437" i="3"/>
  <c r="N437" i="3"/>
  <c r="L437" i="3"/>
  <c r="J437" i="3"/>
  <c r="H437" i="3"/>
  <c r="Q437" i="3"/>
  <c r="O437" i="3"/>
  <c r="M437" i="3"/>
  <c r="K437" i="3"/>
  <c r="I437" i="3"/>
  <c r="A433" i="4"/>
  <c r="B433" i="4" s="1"/>
  <c r="C433" i="4" s="1"/>
  <c r="D433" i="4" s="1"/>
  <c r="P441" i="3"/>
  <c r="N441" i="3"/>
  <c r="L441" i="3"/>
  <c r="J441" i="3"/>
  <c r="H441" i="3"/>
  <c r="Q441" i="3"/>
  <c r="O441" i="3"/>
  <c r="M441" i="3"/>
  <c r="K441" i="3"/>
  <c r="I441" i="3"/>
  <c r="A437" i="4"/>
  <c r="B437" i="4" s="1"/>
  <c r="C437" i="4" s="1"/>
  <c r="D437" i="4" s="1"/>
  <c r="P445" i="3"/>
  <c r="N445" i="3"/>
  <c r="L445" i="3"/>
  <c r="J445" i="3"/>
  <c r="H445" i="3"/>
  <c r="Q445" i="3"/>
  <c r="O445" i="3"/>
  <c r="M445" i="3"/>
  <c r="K445" i="3"/>
  <c r="I445" i="3"/>
  <c r="A441" i="4"/>
  <c r="B441" i="4" s="1"/>
  <c r="C441" i="4" s="1"/>
  <c r="D441" i="4" s="1"/>
  <c r="P449" i="3"/>
  <c r="N449" i="3"/>
  <c r="L449" i="3"/>
  <c r="J449" i="3"/>
  <c r="H449" i="3"/>
  <c r="Q449" i="3"/>
  <c r="O449" i="3"/>
  <c r="M449" i="3"/>
  <c r="K449" i="3"/>
  <c r="I449" i="3"/>
  <c r="A445" i="4"/>
  <c r="B445" i="4" s="1"/>
  <c r="C445" i="4" s="1"/>
  <c r="D445" i="4" s="1"/>
  <c r="P455" i="3"/>
  <c r="N455" i="3"/>
  <c r="L455" i="3"/>
  <c r="J455" i="3"/>
  <c r="H455" i="3"/>
  <c r="Q455" i="3"/>
  <c r="O455" i="3"/>
  <c r="M455" i="3"/>
  <c r="K455" i="3"/>
  <c r="I455" i="3"/>
  <c r="A451" i="4"/>
  <c r="B451" i="4" s="1"/>
  <c r="C451" i="4" s="1"/>
  <c r="D451" i="4" s="1"/>
  <c r="P459" i="3"/>
  <c r="N459" i="3"/>
  <c r="L459" i="3"/>
  <c r="J459" i="3"/>
  <c r="H459" i="3"/>
  <c r="Q459" i="3"/>
  <c r="O459" i="3"/>
  <c r="M459" i="3"/>
  <c r="K459" i="3"/>
  <c r="I459" i="3"/>
  <c r="A455" i="4"/>
  <c r="B455" i="4" s="1"/>
  <c r="C455" i="4" s="1"/>
  <c r="D455" i="4" s="1"/>
  <c r="P463" i="3"/>
  <c r="N463" i="3"/>
  <c r="L463" i="3"/>
  <c r="J463" i="3"/>
  <c r="H463" i="3"/>
  <c r="Q463" i="3"/>
  <c r="O463" i="3"/>
  <c r="M463" i="3"/>
  <c r="K463" i="3"/>
  <c r="I463" i="3"/>
  <c r="A459" i="4"/>
  <c r="B459" i="4" s="1"/>
  <c r="C459" i="4" s="1"/>
  <c r="D459" i="4" s="1"/>
  <c r="P467" i="3"/>
  <c r="N467" i="3"/>
  <c r="L467" i="3"/>
  <c r="J467" i="3"/>
  <c r="H467" i="3"/>
  <c r="Q467" i="3"/>
  <c r="O467" i="3"/>
  <c r="M467" i="3"/>
  <c r="K467" i="3"/>
  <c r="I467" i="3"/>
  <c r="A463" i="4"/>
  <c r="B463" i="4" s="1"/>
  <c r="C463" i="4" s="1"/>
  <c r="D463" i="4" s="1"/>
  <c r="P471" i="3"/>
  <c r="N471" i="3"/>
  <c r="L471" i="3"/>
  <c r="J471" i="3"/>
  <c r="H471" i="3"/>
  <c r="Q471" i="3"/>
  <c r="O471" i="3"/>
  <c r="M471" i="3"/>
  <c r="K471" i="3"/>
  <c r="I471" i="3"/>
  <c r="A467" i="4"/>
  <c r="B467" i="4" s="1"/>
  <c r="C467" i="4" s="1"/>
  <c r="D467" i="4" s="1"/>
  <c r="P475" i="3"/>
  <c r="N475" i="3"/>
  <c r="L475" i="3"/>
  <c r="J475" i="3"/>
  <c r="H475" i="3"/>
  <c r="Q475" i="3"/>
  <c r="O475" i="3"/>
  <c r="M475" i="3"/>
  <c r="K475" i="3"/>
  <c r="I475" i="3"/>
  <c r="A471" i="4"/>
  <c r="B471" i="4" s="1"/>
  <c r="C471" i="4" s="1"/>
  <c r="D471" i="4" s="1"/>
  <c r="P479" i="3"/>
  <c r="N479" i="3"/>
  <c r="L479" i="3"/>
  <c r="J479" i="3"/>
  <c r="H479" i="3"/>
  <c r="Q479" i="3"/>
  <c r="O479" i="3"/>
  <c r="M479" i="3"/>
  <c r="K479" i="3"/>
  <c r="I479" i="3"/>
  <c r="A475" i="4"/>
  <c r="B475" i="4" s="1"/>
  <c r="C475" i="4" s="1"/>
  <c r="D475" i="4" s="1"/>
  <c r="P483" i="3"/>
  <c r="N483" i="3"/>
  <c r="L483" i="3"/>
  <c r="J483" i="3"/>
  <c r="H483" i="3"/>
  <c r="Q483" i="3"/>
  <c r="O483" i="3"/>
  <c r="M483" i="3"/>
  <c r="K483" i="3"/>
  <c r="I483" i="3"/>
  <c r="A479" i="4"/>
  <c r="B479" i="4" s="1"/>
  <c r="C479" i="4" s="1"/>
  <c r="D479" i="4" s="1"/>
  <c r="P487" i="3"/>
  <c r="N487" i="3"/>
  <c r="L487" i="3"/>
  <c r="J487" i="3"/>
  <c r="H487" i="3"/>
  <c r="Q487" i="3"/>
  <c r="O487" i="3"/>
  <c r="M487" i="3"/>
  <c r="K487" i="3"/>
  <c r="I487" i="3"/>
  <c r="A483" i="4"/>
  <c r="B483" i="4" s="1"/>
  <c r="C483" i="4" s="1"/>
  <c r="D483" i="4" s="1"/>
  <c r="P493" i="3"/>
  <c r="N493" i="3"/>
  <c r="L493" i="3"/>
  <c r="J493" i="3"/>
  <c r="H493" i="3"/>
  <c r="Q493" i="3"/>
  <c r="O493" i="3"/>
  <c r="M493" i="3"/>
  <c r="K493" i="3"/>
  <c r="I493" i="3"/>
  <c r="A489" i="4"/>
  <c r="B489" i="4" s="1"/>
  <c r="C489" i="4" s="1"/>
  <c r="D489" i="4" s="1"/>
  <c r="P497" i="3"/>
  <c r="N497" i="3"/>
  <c r="L497" i="3"/>
  <c r="J497" i="3"/>
  <c r="H497" i="3"/>
  <c r="Q497" i="3"/>
  <c r="O497" i="3"/>
  <c r="M497" i="3"/>
  <c r="K497" i="3"/>
  <c r="I497" i="3"/>
  <c r="A493" i="4"/>
  <c r="B493" i="4" s="1"/>
  <c r="C493" i="4" s="1"/>
  <c r="D493" i="4" s="1"/>
  <c r="P501" i="3"/>
  <c r="N501" i="3"/>
  <c r="L501" i="3"/>
  <c r="J501" i="3"/>
  <c r="H501" i="3"/>
  <c r="Q501" i="3"/>
  <c r="O501" i="3"/>
  <c r="M501" i="3"/>
  <c r="K501" i="3"/>
  <c r="I501" i="3"/>
  <c r="A497" i="4"/>
  <c r="B497" i="4" s="1"/>
  <c r="C497" i="4" s="1"/>
  <c r="D497" i="4" s="1"/>
  <c r="P505" i="3"/>
  <c r="N505" i="3"/>
  <c r="L505" i="3"/>
  <c r="J505" i="3"/>
  <c r="H505" i="3"/>
  <c r="Q505" i="3"/>
  <c r="O505" i="3"/>
  <c r="M505" i="3"/>
  <c r="K505" i="3"/>
  <c r="I505" i="3"/>
  <c r="A501" i="4"/>
  <c r="B501" i="4" s="1"/>
  <c r="C501" i="4" s="1"/>
  <c r="D501" i="4" s="1"/>
  <c r="P509" i="3"/>
  <c r="N509" i="3"/>
  <c r="L509" i="3"/>
  <c r="J509" i="3"/>
  <c r="H509" i="3"/>
  <c r="Q509" i="3"/>
  <c r="O509" i="3"/>
  <c r="M509" i="3"/>
  <c r="K509" i="3"/>
  <c r="I509" i="3"/>
  <c r="A505" i="4"/>
  <c r="B505" i="4" s="1"/>
  <c r="C505" i="4" s="1"/>
  <c r="D505" i="4" s="1"/>
  <c r="P513" i="3"/>
  <c r="N513" i="3"/>
  <c r="L513" i="3"/>
  <c r="J513" i="3"/>
  <c r="H513" i="3"/>
  <c r="Q513" i="3"/>
  <c r="O513" i="3"/>
  <c r="M513" i="3"/>
  <c r="K513" i="3"/>
  <c r="I513" i="3"/>
  <c r="P515" i="3"/>
  <c r="N515" i="3"/>
  <c r="L515" i="3"/>
  <c r="J515" i="3"/>
  <c r="H515" i="3"/>
  <c r="Q515" i="3"/>
  <c r="O515" i="3"/>
  <c r="M515" i="3"/>
  <c r="K515" i="3"/>
  <c r="I515" i="3"/>
  <c r="A511" i="4"/>
  <c r="B511" i="4" s="1"/>
  <c r="C511" i="4" s="1"/>
  <c r="D511" i="4" s="1"/>
  <c r="P519" i="3"/>
  <c r="N519" i="3"/>
  <c r="L519" i="3"/>
  <c r="J519" i="3"/>
  <c r="H519" i="3"/>
  <c r="Q519" i="3"/>
  <c r="O519" i="3"/>
  <c r="M519" i="3"/>
  <c r="K519" i="3"/>
  <c r="I519" i="3"/>
  <c r="A515" i="4"/>
  <c r="B515" i="4" s="1"/>
  <c r="C515" i="4" s="1"/>
  <c r="D515" i="4" s="1"/>
  <c r="P525" i="3"/>
  <c r="N525" i="3"/>
  <c r="L525" i="3"/>
  <c r="J525" i="3"/>
  <c r="H525" i="3"/>
  <c r="Q525" i="3"/>
  <c r="O525" i="3"/>
  <c r="M525" i="3"/>
  <c r="K525" i="3"/>
  <c r="I525" i="3"/>
  <c r="A521" i="4"/>
  <c r="B521" i="4" s="1"/>
  <c r="C521" i="4" s="1"/>
  <c r="D521" i="4" s="1"/>
  <c r="P529" i="3"/>
  <c r="N529" i="3"/>
  <c r="L529" i="3"/>
  <c r="J529" i="3"/>
  <c r="H529" i="3"/>
  <c r="Q529" i="3"/>
  <c r="O529" i="3"/>
  <c r="M529" i="3"/>
  <c r="K529" i="3"/>
  <c r="I529" i="3"/>
  <c r="A525" i="4"/>
  <c r="B525" i="4" s="1"/>
  <c r="C525" i="4" s="1"/>
  <c r="D525" i="4" s="1"/>
  <c r="P533" i="3"/>
  <c r="N533" i="3"/>
  <c r="L533" i="3"/>
  <c r="J533" i="3"/>
  <c r="H533" i="3"/>
  <c r="Q533" i="3"/>
  <c r="O533" i="3"/>
  <c r="M533" i="3"/>
  <c r="K533" i="3"/>
  <c r="I533" i="3"/>
  <c r="A529" i="4"/>
  <c r="B529" i="4" s="1"/>
  <c r="C529" i="4" s="1"/>
  <c r="D529" i="4" s="1"/>
  <c r="P537" i="3"/>
  <c r="N537" i="3"/>
  <c r="L537" i="3"/>
  <c r="J537" i="3"/>
  <c r="H537" i="3"/>
  <c r="Q537" i="3"/>
  <c r="O537" i="3"/>
  <c r="M537" i="3"/>
  <c r="K537" i="3"/>
  <c r="I537" i="3"/>
  <c r="A533" i="4"/>
  <c r="B533" i="4" s="1"/>
  <c r="C533" i="4" s="1"/>
  <c r="D533" i="4" s="1"/>
  <c r="P541" i="3"/>
  <c r="N541" i="3"/>
  <c r="L541" i="3"/>
  <c r="J541" i="3"/>
  <c r="H541" i="3"/>
  <c r="Q541" i="3"/>
  <c r="O541" i="3"/>
  <c r="M541" i="3"/>
  <c r="K541" i="3"/>
  <c r="I541" i="3"/>
  <c r="A537" i="4"/>
  <c r="B537" i="4" s="1"/>
  <c r="C537" i="4" s="1"/>
  <c r="D537" i="4" s="1"/>
  <c r="P545" i="3"/>
  <c r="N545" i="3"/>
  <c r="L545" i="3"/>
  <c r="J545" i="3"/>
  <c r="H545" i="3"/>
  <c r="Q545" i="3"/>
  <c r="O545" i="3"/>
  <c r="M545" i="3"/>
  <c r="K545" i="3"/>
  <c r="I545" i="3"/>
  <c r="A541" i="4"/>
  <c r="B541" i="4" s="1"/>
  <c r="C541" i="4" s="1"/>
  <c r="D541" i="4" s="1"/>
  <c r="P549" i="3"/>
  <c r="N549" i="3"/>
  <c r="L549" i="3"/>
  <c r="J549" i="3"/>
  <c r="H549" i="3"/>
  <c r="Q549" i="3"/>
  <c r="O549" i="3"/>
  <c r="M549" i="3"/>
  <c r="K549" i="3"/>
  <c r="I549" i="3"/>
  <c r="A545" i="4"/>
  <c r="B545" i="4" s="1"/>
  <c r="C545" i="4" s="1"/>
  <c r="D545" i="4" s="1"/>
  <c r="P553" i="3"/>
  <c r="N553" i="3"/>
  <c r="L553" i="3"/>
  <c r="J553" i="3"/>
  <c r="H553" i="3"/>
  <c r="Q553" i="3"/>
  <c r="O553" i="3"/>
  <c r="M553" i="3"/>
  <c r="K553" i="3"/>
  <c r="I553" i="3"/>
  <c r="A549" i="4"/>
  <c r="B549" i="4" s="1"/>
  <c r="C549" i="4" s="1"/>
  <c r="D549" i="4" s="1"/>
  <c r="P557" i="3"/>
  <c r="N557" i="3"/>
  <c r="L557" i="3"/>
  <c r="J557" i="3"/>
  <c r="H557" i="3"/>
  <c r="Q557" i="3"/>
  <c r="O557" i="3"/>
  <c r="M557" i="3"/>
  <c r="K557" i="3"/>
  <c r="I557" i="3"/>
  <c r="A553" i="4"/>
  <c r="B553" i="4" s="1"/>
  <c r="C553" i="4" s="1"/>
  <c r="D553" i="4" s="1"/>
  <c r="P563" i="3"/>
  <c r="N563" i="3"/>
  <c r="L563" i="3"/>
  <c r="J563" i="3"/>
  <c r="H563" i="3"/>
  <c r="Q563" i="3"/>
  <c r="O563" i="3"/>
  <c r="M563" i="3"/>
  <c r="K563" i="3"/>
  <c r="I563" i="3"/>
  <c r="P565" i="3"/>
  <c r="N565" i="3"/>
  <c r="L565" i="3"/>
  <c r="J565" i="3"/>
  <c r="H565" i="3"/>
  <c r="Q565" i="3"/>
  <c r="O565" i="3"/>
  <c r="M565" i="3"/>
  <c r="K565" i="3"/>
  <c r="I565" i="3"/>
  <c r="A561" i="4"/>
  <c r="B561" i="4" s="1"/>
  <c r="C561" i="4" s="1"/>
  <c r="D561" i="4" s="1"/>
  <c r="Q572" i="3"/>
  <c r="O572" i="3"/>
  <c r="M572" i="3"/>
  <c r="K572" i="3"/>
  <c r="I572" i="3"/>
  <c r="P572" i="3"/>
  <c r="N572" i="3"/>
  <c r="L572" i="3"/>
  <c r="J572" i="3"/>
  <c r="H572" i="3"/>
  <c r="P577" i="3"/>
  <c r="N577" i="3"/>
  <c r="L577" i="3"/>
  <c r="J577" i="3"/>
  <c r="H577" i="3"/>
  <c r="Q577" i="3"/>
  <c r="O577" i="3"/>
  <c r="M577" i="3"/>
  <c r="K577" i="3"/>
  <c r="I577" i="3"/>
  <c r="A573" i="4"/>
  <c r="B573" i="4" s="1"/>
  <c r="C573" i="4" s="1"/>
  <c r="D573" i="4" s="1"/>
  <c r="P585" i="3"/>
  <c r="N585" i="3"/>
  <c r="L585" i="3"/>
  <c r="J585" i="3"/>
  <c r="H585" i="3"/>
  <c r="Q585" i="3"/>
  <c r="O585" i="3"/>
  <c r="M585" i="3"/>
  <c r="K585" i="3"/>
  <c r="I585" i="3"/>
  <c r="A581" i="4"/>
  <c r="B581" i="4" s="1"/>
  <c r="C581" i="4" s="1"/>
  <c r="D581" i="4" s="1"/>
  <c r="Q588" i="3"/>
  <c r="O588" i="3"/>
  <c r="M588" i="3"/>
  <c r="K588" i="3"/>
  <c r="I588" i="3"/>
  <c r="P588" i="3"/>
  <c r="N588" i="3"/>
  <c r="L588" i="3"/>
  <c r="J588" i="3"/>
  <c r="H588" i="3"/>
  <c r="Q592" i="3"/>
  <c r="O592" i="3"/>
  <c r="M592" i="3"/>
  <c r="K592" i="3"/>
  <c r="I592" i="3"/>
  <c r="P592" i="3"/>
  <c r="N592" i="3"/>
  <c r="L592" i="3"/>
  <c r="J592" i="3"/>
  <c r="H592" i="3"/>
  <c r="Q596" i="3"/>
  <c r="O596" i="3"/>
  <c r="M596" i="3"/>
  <c r="K596" i="3"/>
  <c r="I596" i="3"/>
  <c r="P596" i="3"/>
  <c r="N596" i="3"/>
  <c r="L596" i="3"/>
  <c r="J596" i="3"/>
  <c r="H596" i="3"/>
  <c r="P597" i="3"/>
  <c r="N597" i="3"/>
  <c r="L597" i="3"/>
  <c r="J597" i="3"/>
  <c r="H597" i="3"/>
  <c r="Q597" i="3"/>
  <c r="O597" i="3"/>
  <c r="M597" i="3"/>
  <c r="K597" i="3"/>
  <c r="I597" i="3"/>
  <c r="A593" i="4"/>
  <c r="B593" i="4" s="1"/>
  <c r="C593" i="4" s="1"/>
  <c r="D593" i="4" s="1"/>
  <c r="Q610" i="3"/>
  <c r="O610" i="3"/>
  <c r="M610" i="3"/>
  <c r="K610" i="3"/>
  <c r="I610" i="3"/>
  <c r="P610" i="3"/>
  <c r="N610" i="3"/>
  <c r="L610" i="3"/>
  <c r="J610" i="3"/>
  <c r="H610" i="3"/>
  <c r="P613" i="3"/>
  <c r="N613" i="3"/>
  <c r="L613" i="3"/>
  <c r="J613" i="3"/>
  <c r="H613" i="3"/>
  <c r="Q613" i="3"/>
  <c r="O613" i="3"/>
  <c r="M613" i="3"/>
  <c r="K613" i="3"/>
  <c r="I613" i="3"/>
  <c r="A609" i="4"/>
  <c r="B609" i="4" s="1"/>
  <c r="C609" i="4" s="1"/>
  <c r="D609" i="4" s="1"/>
  <c r="P617" i="3"/>
  <c r="N617" i="3"/>
  <c r="L617" i="3"/>
  <c r="J617" i="3"/>
  <c r="H617" i="3"/>
  <c r="Q617" i="3"/>
  <c r="O617" i="3"/>
  <c r="M617" i="3"/>
  <c r="K617" i="3"/>
  <c r="I617" i="3"/>
  <c r="Q618" i="3"/>
  <c r="O618" i="3"/>
  <c r="M618" i="3"/>
  <c r="K618" i="3"/>
  <c r="I618" i="3"/>
  <c r="P618" i="3"/>
  <c r="N618" i="3"/>
  <c r="L618" i="3"/>
  <c r="J618" i="3"/>
  <c r="H618" i="3"/>
  <c r="Q622" i="3"/>
  <c r="O622" i="3"/>
  <c r="M622" i="3"/>
  <c r="K622" i="3"/>
  <c r="I622" i="3"/>
  <c r="P622" i="3"/>
  <c r="N622" i="3"/>
  <c r="L622" i="3"/>
  <c r="J622" i="3"/>
  <c r="H622" i="3"/>
  <c r="Q626" i="3"/>
  <c r="O626" i="3"/>
  <c r="M626" i="3"/>
  <c r="K626" i="3"/>
  <c r="I626" i="3"/>
  <c r="P626" i="3"/>
  <c r="N626" i="3"/>
  <c r="L626" i="3"/>
  <c r="J626" i="3"/>
  <c r="H626" i="3"/>
  <c r="Q630" i="3"/>
  <c r="O630" i="3"/>
  <c r="M630" i="3"/>
  <c r="K630" i="3"/>
  <c r="I630" i="3"/>
  <c r="P630" i="3"/>
  <c r="N630" i="3"/>
  <c r="L630" i="3"/>
  <c r="J630" i="3"/>
  <c r="H630" i="3"/>
  <c r="Q634" i="3"/>
  <c r="O634" i="3"/>
  <c r="M634" i="3"/>
  <c r="K634" i="3"/>
  <c r="I634" i="3"/>
  <c r="P634" i="3"/>
  <c r="N634" i="3"/>
  <c r="L634" i="3"/>
  <c r="J634" i="3"/>
  <c r="H634" i="3"/>
  <c r="Q638" i="3"/>
  <c r="O638" i="3"/>
  <c r="M638" i="3"/>
  <c r="K638" i="3"/>
  <c r="I638" i="3"/>
  <c r="P638" i="3"/>
  <c r="N638" i="3"/>
  <c r="L638" i="3"/>
  <c r="J638" i="3"/>
  <c r="H638" i="3"/>
  <c r="Q642" i="3"/>
  <c r="O642" i="3"/>
  <c r="M642" i="3"/>
  <c r="K642" i="3"/>
  <c r="I642" i="3"/>
  <c r="P642" i="3"/>
  <c r="N642" i="3"/>
  <c r="L642" i="3"/>
  <c r="J642" i="3"/>
  <c r="H642" i="3"/>
  <c r="P645" i="3"/>
  <c r="N645" i="3"/>
  <c r="L645" i="3"/>
  <c r="J645" i="3"/>
  <c r="H645" i="3"/>
  <c r="Q645" i="3"/>
  <c r="O645" i="3"/>
  <c r="M645" i="3"/>
  <c r="K645" i="3"/>
  <c r="I645" i="3"/>
  <c r="Q646" i="3"/>
  <c r="O646" i="3"/>
  <c r="M646" i="3"/>
  <c r="K646" i="3"/>
  <c r="I646" i="3"/>
  <c r="P646" i="3"/>
  <c r="N646" i="3"/>
  <c r="L646" i="3"/>
  <c r="J646" i="3"/>
  <c r="H646" i="3"/>
  <c r="P649" i="3"/>
  <c r="N649" i="3"/>
  <c r="L649" i="3"/>
  <c r="J649" i="3"/>
  <c r="H649" i="3"/>
  <c r="Q649" i="3"/>
  <c r="O649" i="3"/>
  <c r="M649" i="3"/>
  <c r="K649" i="3"/>
  <c r="I649" i="3"/>
  <c r="Q650" i="3"/>
  <c r="O650" i="3"/>
  <c r="M650" i="3"/>
  <c r="K650" i="3"/>
  <c r="I650" i="3"/>
  <c r="P650" i="3"/>
  <c r="N650" i="3"/>
  <c r="L650" i="3"/>
  <c r="J650" i="3"/>
  <c r="H650" i="3"/>
  <c r="P653" i="3"/>
  <c r="N653" i="3"/>
  <c r="L653" i="3"/>
  <c r="J653" i="3"/>
  <c r="H653" i="3"/>
  <c r="Q653" i="3"/>
  <c r="O653" i="3"/>
  <c r="M653" i="3"/>
  <c r="K653" i="3"/>
  <c r="I653" i="3"/>
  <c r="A649" i="4"/>
  <c r="B649" i="4" s="1"/>
  <c r="C649" i="4" s="1"/>
  <c r="D649" i="4" s="1"/>
  <c r="Q666" i="3"/>
  <c r="O666" i="3"/>
  <c r="M666" i="3"/>
  <c r="K666" i="3"/>
  <c r="I666" i="3"/>
  <c r="P666" i="3"/>
  <c r="N666" i="3"/>
  <c r="L666" i="3"/>
  <c r="J666" i="3"/>
  <c r="H666" i="3"/>
  <c r="Q670" i="3"/>
  <c r="O670" i="3"/>
  <c r="M670" i="3"/>
  <c r="K670" i="3"/>
  <c r="I670" i="3"/>
  <c r="P670" i="3"/>
  <c r="N670" i="3"/>
  <c r="L670" i="3"/>
  <c r="J670" i="3"/>
  <c r="H670" i="3"/>
  <c r="Q674" i="3"/>
  <c r="O674" i="3"/>
  <c r="M674" i="3"/>
  <c r="K674" i="3"/>
  <c r="I674" i="3"/>
  <c r="P674" i="3"/>
  <c r="N674" i="3"/>
  <c r="L674" i="3"/>
  <c r="J674" i="3"/>
  <c r="H674" i="3"/>
  <c r="P677" i="3"/>
  <c r="N677" i="3"/>
  <c r="L677" i="3"/>
  <c r="J677" i="3"/>
  <c r="H677" i="3"/>
  <c r="Q677" i="3"/>
  <c r="O677" i="3"/>
  <c r="M677" i="3"/>
  <c r="K677" i="3"/>
  <c r="I677" i="3"/>
  <c r="Q678" i="3"/>
  <c r="O678" i="3"/>
  <c r="M678" i="3"/>
  <c r="K678" i="3"/>
  <c r="I678" i="3"/>
  <c r="P678" i="3"/>
  <c r="N678" i="3"/>
  <c r="L678" i="3"/>
  <c r="J678" i="3"/>
  <c r="H678" i="3"/>
  <c r="P681" i="3"/>
  <c r="N681" i="3"/>
  <c r="L681" i="3"/>
  <c r="J681" i="3"/>
  <c r="H681" i="3"/>
  <c r="Q681" i="3"/>
  <c r="O681" i="3"/>
  <c r="M681" i="3"/>
  <c r="K681" i="3"/>
  <c r="I681" i="3"/>
  <c r="Q682" i="3"/>
  <c r="O682" i="3"/>
  <c r="M682" i="3"/>
  <c r="K682" i="3"/>
  <c r="I682" i="3"/>
  <c r="P682" i="3"/>
  <c r="N682" i="3"/>
  <c r="L682" i="3"/>
  <c r="J682" i="3"/>
  <c r="H682" i="3"/>
  <c r="Q686" i="3"/>
  <c r="O686" i="3"/>
  <c r="M686" i="3"/>
  <c r="K686" i="3"/>
  <c r="I686" i="3"/>
  <c r="P686" i="3"/>
  <c r="N686" i="3"/>
  <c r="L686" i="3"/>
  <c r="J686" i="3"/>
  <c r="H686" i="3"/>
  <c r="Q698" i="3"/>
  <c r="O698" i="3"/>
  <c r="M698" i="3"/>
  <c r="K698" i="3"/>
  <c r="I698" i="3"/>
  <c r="P698" i="3"/>
  <c r="N698" i="3"/>
  <c r="L698" i="3"/>
  <c r="J698" i="3"/>
  <c r="H698" i="3"/>
  <c r="Q702" i="3"/>
  <c r="O702" i="3"/>
  <c r="M702" i="3"/>
  <c r="K702" i="3"/>
  <c r="I702" i="3"/>
  <c r="P702" i="3"/>
  <c r="N702" i="3"/>
  <c r="L702" i="3"/>
  <c r="J702" i="3"/>
  <c r="H702" i="3"/>
  <c r="Q706" i="3"/>
  <c r="O706" i="3"/>
  <c r="M706" i="3"/>
  <c r="K706" i="3"/>
  <c r="I706" i="3"/>
  <c r="P706" i="3"/>
  <c r="N706" i="3"/>
  <c r="L706" i="3"/>
  <c r="J706" i="3"/>
  <c r="H706" i="3"/>
  <c r="Q710" i="3"/>
  <c r="O710" i="3"/>
  <c r="M710" i="3"/>
  <c r="K710" i="3"/>
  <c r="I710" i="3"/>
  <c r="P710" i="3"/>
  <c r="N710" i="3"/>
  <c r="L710" i="3"/>
  <c r="J710" i="3"/>
  <c r="H710" i="3"/>
  <c r="Q714" i="3"/>
  <c r="O714" i="3"/>
  <c r="M714" i="3"/>
  <c r="K714" i="3"/>
  <c r="I714" i="3"/>
  <c r="P714" i="3"/>
  <c r="N714" i="3"/>
  <c r="L714" i="3"/>
  <c r="J714" i="3"/>
  <c r="H714" i="3"/>
  <c r="P717" i="3"/>
  <c r="N717" i="3"/>
  <c r="L717" i="3"/>
  <c r="J717" i="3"/>
  <c r="H717" i="3"/>
  <c r="Q717" i="3"/>
  <c r="O717" i="3"/>
  <c r="M717" i="3"/>
  <c r="K717" i="3"/>
  <c r="I717" i="3"/>
  <c r="A713" i="4"/>
  <c r="B713" i="4" s="1"/>
  <c r="C713" i="4" s="1"/>
  <c r="D713" i="4" s="1"/>
  <c r="Q722" i="3"/>
  <c r="O722" i="3"/>
  <c r="M722" i="3"/>
  <c r="K722" i="3"/>
  <c r="I722" i="3"/>
  <c r="P722" i="3"/>
  <c r="N722" i="3"/>
  <c r="L722" i="3"/>
  <c r="J722" i="3"/>
  <c r="H722" i="3"/>
  <c r="Q738" i="3"/>
  <c r="O738" i="3"/>
  <c r="M738" i="3"/>
  <c r="K738" i="3"/>
  <c r="I738" i="3"/>
  <c r="P738" i="3"/>
  <c r="N738" i="3"/>
  <c r="L738" i="3"/>
  <c r="J738" i="3"/>
  <c r="H738" i="3"/>
  <c r="Q742" i="3"/>
  <c r="O742" i="3"/>
  <c r="M742" i="3"/>
  <c r="K742" i="3"/>
  <c r="I742" i="3"/>
  <c r="P742" i="3"/>
  <c r="N742" i="3"/>
  <c r="L742" i="3"/>
  <c r="J742" i="3"/>
  <c r="H742" i="3"/>
  <c r="Q746" i="3"/>
  <c r="O746" i="3"/>
  <c r="M746" i="3"/>
  <c r="K746" i="3"/>
  <c r="I746" i="3"/>
  <c r="P746" i="3"/>
  <c r="N746" i="3"/>
  <c r="L746" i="3"/>
  <c r="J746" i="3"/>
  <c r="H746" i="3"/>
  <c r="Q750" i="3"/>
  <c r="O750" i="3"/>
  <c r="M750" i="3"/>
  <c r="K750" i="3"/>
  <c r="I750" i="3"/>
  <c r="P750" i="3"/>
  <c r="N750" i="3"/>
  <c r="L750" i="3"/>
  <c r="J750" i="3"/>
  <c r="H750" i="3"/>
  <c r="P753" i="3"/>
  <c r="N753" i="3"/>
  <c r="L753" i="3"/>
  <c r="J753" i="3"/>
  <c r="H753" i="3"/>
  <c r="Q753" i="3"/>
  <c r="O753" i="3"/>
  <c r="M753" i="3"/>
  <c r="K753" i="3"/>
  <c r="I753" i="3"/>
  <c r="A749" i="4"/>
  <c r="B749" i="4" s="1"/>
  <c r="C749" i="4" s="1"/>
  <c r="D749" i="4" s="1"/>
  <c r="P757" i="3"/>
  <c r="N757" i="3"/>
  <c r="L757" i="3"/>
  <c r="J757" i="3"/>
  <c r="H757" i="3"/>
  <c r="Q757" i="3"/>
  <c r="O757" i="3"/>
  <c r="M757" i="3"/>
  <c r="K757" i="3"/>
  <c r="I757" i="3"/>
  <c r="A753" i="4"/>
  <c r="B753" i="4" s="1"/>
  <c r="C753" i="4" s="1"/>
  <c r="D753" i="4" s="1"/>
  <c r="P761" i="3"/>
  <c r="N761" i="3"/>
  <c r="L761" i="3"/>
  <c r="J761" i="3"/>
  <c r="H761" i="3"/>
  <c r="Q761" i="3"/>
  <c r="O761" i="3"/>
  <c r="M761" i="3"/>
  <c r="K761" i="3"/>
  <c r="I761" i="3"/>
  <c r="A757" i="4"/>
  <c r="B757" i="4" s="1"/>
  <c r="C757" i="4" s="1"/>
  <c r="D757" i="4" s="1"/>
  <c r="Q766" i="3"/>
  <c r="O766" i="3"/>
  <c r="M766" i="3"/>
  <c r="K766" i="3"/>
  <c r="I766" i="3"/>
  <c r="P766" i="3"/>
  <c r="N766" i="3"/>
  <c r="L766" i="3"/>
  <c r="J766" i="3"/>
  <c r="H766" i="3"/>
  <c r="Q770" i="3"/>
  <c r="O770" i="3"/>
  <c r="M770" i="3"/>
  <c r="K770" i="3"/>
  <c r="I770" i="3"/>
  <c r="P770" i="3"/>
  <c r="N770" i="3"/>
  <c r="L770" i="3"/>
  <c r="J770" i="3"/>
  <c r="H770" i="3"/>
  <c r="Q774" i="3"/>
  <c r="O774" i="3"/>
  <c r="M774" i="3"/>
  <c r="K774" i="3"/>
  <c r="I774" i="3"/>
  <c r="P774" i="3"/>
  <c r="N774" i="3"/>
  <c r="L774" i="3"/>
  <c r="J774" i="3"/>
  <c r="H774" i="3"/>
  <c r="Q778" i="3"/>
  <c r="O778" i="3"/>
  <c r="M778" i="3"/>
  <c r="K778" i="3"/>
  <c r="I778" i="3"/>
  <c r="P778" i="3"/>
  <c r="N778" i="3"/>
  <c r="L778" i="3"/>
  <c r="J778" i="3"/>
  <c r="H778" i="3"/>
  <c r="P781" i="3"/>
  <c r="N781" i="3"/>
  <c r="L781" i="3"/>
  <c r="J781" i="3"/>
  <c r="H781" i="3"/>
  <c r="Q781" i="3"/>
  <c r="O781" i="3"/>
  <c r="M781" i="3"/>
  <c r="K781" i="3"/>
  <c r="I781" i="3"/>
  <c r="A777" i="4"/>
  <c r="B777" i="4" s="1"/>
  <c r="C777" i="4" s="1"/>
  <c r="D777" i="4" s="1"/>
  <c r="P785" i="3"/>
  <c r="N785" i="3"/>
  <c r="L785" i="3"/>
  <c r="J785" i="3"/>
  <c r="H785" i="3"/>
  <c r="Q785" i="3"/>
  <c r="O785" i="3"/>
  <c r="M785" i="3"/>
  <c r="K785" i="3"/>
  <c r="I785" i="3"/>
  <c r="A781" i="4"/>
  <c r="B781" i="4" s="1"/>
  <c r="C781" i="4" s="1"/>
  <c r="D781" i="4" s="1"/>
  <c r="Q794" i="3"/>
  <c r="O794" i="3"/>
  <c r="M794" i="3"/>
  <c r="K794" i="3"/>
  <c r="I794" i="3"/>
  <c r="P794" i="3"/>
  <c r="N794" i="3"/>
  <c r="L794" i="3"/>
  <c r="J794" i="3"/>
  <c r="H794" i="3"/>
  <c r="P797" i="3"/>
  <c r="N797" i="3"/>
  <c r="L797" i="3"/>
  <c r="J797" i="3"/>
  <c r="H797" i="3"/>
  <c r="Q797" i="3"/>
  <c r="O797" i="3"/>
  <c r="M797" i="3"/>
  <c r="K797" i="3"/>
  <c r="I797" i="3"/>
  <c r="Q798" i="3"/>
  <c r="O798" i="3"/>
  <c r="M798" i="3"/>
  <c r="K798" i="3"/>
  <c r="I798" i="3"/>
  <c r="P798" i="3"/>
  <c r="N798" i="3"/>
  <c r="L798" i="3"/>
  <c r="J798" i="3"/>
  <c r="H798" i="3"/>
  <c r="P801" i="3"/>
  <c r="N801" i="3"/>
  <c r="L801" i="3"/>
  <c r="J801" i="3"/>
  <c r="H801" i="3"/>
  <c r="Q801" i="3"/>
  <c r="O801" i="3"/>
  <c r="M801" i="3"/>
  <c r="K801" i="3"/>
  <c r="I801" i="3"/>
  <c r="Q802" i="3"/>
  <c r="O802" i="3"/>
  <c r="M802" i="3"/>
  <c r="K802" i="3"/>
  <c r="I802" i="3"/>
  <c r="P802" i="3"/>
  <c r="N802" i="3"/>
  <c r="L802" i="3"/>
  <c r="J802" i="3"/>
  <c r="H802" i="3"/>
  <c r="Q806" i="3"/>
  <c r="O806" i="3"/>
  <c r="M806" i="3"/>
  <c r="K806" i="3"/>
  <c r="I806" i="3"/>
  <c r="P806" i="3"/>
  <c r="N806" i="3"/>
  <c r="L806" i="3"/>
  <c r="J806" i="3"/>
  <c r="H806" i="3"/>
  <c r="Q810" i="3"/>
  <c r="O810" i="3"/>
  <c r="M810" i="3"/>
  <c r="K810" i="3"/>
  <c r="I810" i="3"/>
  <c r="P810" i="3"/>
  <c r="N810" i="3"/>
  <c r="L810" i="3"/>
  <c r="J810" i="3"/>
  <c r="H810" i="3"/>
  <c r="Q814" i="3"/>
  <c r="O814" i="3"/>
  <c r="M814" i="3"/>
  <c r="K814" i="3"/>
  <c r="I814" i="3"/>
  <c r="P814" i="3"/>
  <c r="N814" i="3"/>
  <c r="L814" i="3"/>
  <c r="J814" i="3"/>
  <c r="H814" i="3"/>
  <c r="P817" i="3"/>
  <c r="N817" i="3"/>
  <c r="L817" i="3"/>
  <c r="J817" i="3"/>
  <c r="H817" i="3"/>
  <c r="Q817" i="3"/>
  <c r="O817" i="3"/>
  <c r="M817" i="3"/>
  <c r="K817" i="3"/>
  <c r="I817" i="3"/>
  <c r="Q818" i="3"/>
  <c r="O818" i="3"/>
  <c r="M818" i="3"/>
  <c r="K818" i="3"/>
  <c r="I818" i="3"/>
  <c r="P818" i="3"/>
  <c r="N818" i="3"/>
  <c r="L818" i="3"/>
  <c r="J818" i="3"/>
  <c r="H818" i="3"/>
  <c r="P821" i="3"/>
  <c r="N821" i="3"/>
  <c r="L821" i="3"/>
  <c r="J821" i="3"/>
  <c r="H821" i="3"/>
  <c r="Q821" i="3"/>
  <c r="O821" i="3"/>
  <c r="M821" i="3"/>
  <c r="K821" i="3"/>
  <c r="I821" i="3"/>
  <c r="A817" i="4"/>
  <c r="B817" i="4" s="1"/>
  <c r="C817" i="4" s="1"/>
  <c r="D817" i="4" s="1"/>
  <c r="Q826" i="3"/>
  <c r="O826" i="3"/>
  <c r="M826" i="3"/>
  <c r="K826" i="3"/>
  <c r="I826" i="3"/>
  <c r="P826" i="3"/>
  <c r="N826" i="3"/>
  <c r="L826" i="3"/>
  <c r="J826" i="3"/>
  <c r="H826" i="3"/>
  <c r="Q830" i="3"/>
  <c r="O830" i="3"/>
  <c r="M830" i="3"/>
  <c r="K830" i="3"/>
  <c r="I830" i="3"/>
  <c r="P830" i="3"/>
  <c r="N830" i="3"/>
  <c r="L830" i="3"/>
  <c r="J830" i="3"/>
  <c r="H830" i="3"/>
  <c r="P1217" i="3"/>
  <c r="Q1217" i="3"/>
  <c r="O1217" i="3"/>
  <c r="M1217" i="3"/>
  <c r="K1217" i="3"/>
  <c r="I1217" i="3"/>
  <c r="N1217" i="3"/>
  <c r="J1217" i="3"/>
  <c r="L1217" i="3"/>
  <c r="H1217" i="3"/>
  <c r="Q24" i="3"/>
  <c r="O24" i="3"/>
  <c r="M24" i="3"/>
  <c r="K24" i="3"/>
  <c r="I24" i="3"/>
  <c r="P24" i="3"/>
  <c r="N24" i="3"/>
  <c r="L24" i="3"/>
  <c r="J24" i="3"/>
  <c r="H24" i="3"/>
  <c r="Q28" i="3"/>
  <c r="O28" i="3"/>
  <c r="M28" i="3"/>
  <c r="K28" i="3"/>
  <c r="I28" i="3"/>
  <c r="P28" i="3"/>
  <c r="N28" i="3"/>
  <c r="L28" i="3"/>
  <c r="J28" i="3"/>
  <c r="H28" i="3"/>
  <c r="Q32" i="3"/>
  <c r="O32" i="3"/>
  <c r="M32" i="3"/>
  <c r="K32" i="3"/>
  <c r="I32" i="3"/>
  <c r="P32" i="3"/>
  <c r="N32" i="3"/>
  <c r="L32" i="3"/>
  <c r="J32" i="3"/>
  <c r="H32" i="3"/>
  <c r="Q36" i="3"/>
  <c r="O36" i="3"/>
  <c r="M36" i="3"/>
  <c r="K36" i="3"/>
  <c r="I36" i="3"/>
  <c r="P36" i="3"/>
  <c r="N36" i="3"/>
  <c r="L36" i="3"/>
  <c r="J36" i="3"/>
  <c r="H36" i="3"/>
  <c r="Q40" i="3"/>
  <c r="O40" i="3"/>
  <c r="M40" i="3"/>
  <c r="K40" i="3"/>
  <c r="I40" i="3"/>
  <c r="P40" i="3"/>
  <c r="N40" i="3"/>
  <c r="L40" i="3"/>
  <c r="J40" i="3"/>
  <c r="H40" i="3"/>
  <c r="Q44" i="3"/>
  <c r="O44" i="3"/>
  <c r="M44" i="3"/>
  <c r="K44" i="3"/>
  <c r="I44" i="3"/>
  <c r="P44" i="3"/>
  <c r="N44" i="3"/>
  <c r="L44" i="3"/>
  <c r="J44" i="3"/>
  <c r="H44" i="3"/>
  <c r="Q48" i="3"/>
  <c r="O48" i="3"/>
  <c r="K48" i="3"/>
  <c r="I48" i="3"/>
  <c r="P48" i="3"/>
  <c r="L48" i="3"/>
  <c r="J48" i="3"/>
  <c r="H48" i="3"/>
  <c r="M48" i="3" s="1"/>
  <c r="Q52" i="3"/>
  <c r="O52" i="3"/>
  <c r="K52" i="3"/>
  <c r="I52" i="3"/>
  <c r="P52" i="3"/>
  <c r="L52" i="3"/>
  <c r="J52" i="3"/>
  <c r="H52" i="3"/>
  <c r="M52" i="3" s="1"/>
  <c r="Q56" i="3"/>
  <c r="O56" i="3"/>
  <c r="M56" i="3"/>
  <c r="K56" i="3"/>
  <c r="I56" i="3"/>
  <c r="P56" i="3"/>
  <c r="N56" i="3"/>
  <c r="L56" i="3"/>
  <c r="J56" i="3"/>
  <c r="H56" i="3"/>
  <c r="Q60" i="3"/>
  <c r="O60" i="3"/>
  <c r="M60" i="3"/>
  <c r="K60" i="3"/>
  <c r="I60" i="3"/>
  <c r="P60" i="3"/>
  <c r="N60" i="3"/>
  <c r="L60" i="3"/>
  <c r="J60" i="3"/>
  <c r="H60" i="3"/>
  <c r="Q64" i="3"/>
  <c r="O64" i="3"/>
  <c r="M64" i="3"/>
  <c r="K64" i="3"/>
  <c r="I64" i="3"/>
  <c r="P64" i="3"/>
  <c r="N64" i="3"/>
  <c r="L64" i="3"/>
  <c r="J64" i="3"/>
  <c r="H64" i="3"/>
  <c r="Q68" i="3"/>
  <c r="O68" i="3"/>
  <c r="M68" i="3"/>
  <c r="K68" i="3"/>
  <c r="I68" i="3"/>
  <c r="P68" i="3"/>
  <c r="N68" i="3"/>
  <c r="L68" i="3"/>
  <c r="J68" i="3"/>
  <c r="H68" i="3"/>
  <c r="Q72" i="3"/>
  <c r="O72" i="3"/>
  <c r="M72" i="3"/>
  <c r="K72" i="3"/>
  <c r="I72" i="3"/>
  <c r="P72" i="3"/>
  <c r="N72" i="3"/>
  <c r="L72" i="3"/>
  <c r="J72" i="3"/>
  <c r="H72" i="3"/>
  <c r="Q76" i="3"/>
  <c r="O76" i="3"/>
  <c r="M76" i="3"/>
  <c r="K76" i="3"/>
  <c r="I76" i="3"/>
  <c r="P76" i="3"/>
  <c r="N76" i="3"/>
  <c r="L76" i="3"/>
  <c r="J76" i="3"/>
  <c r="H76" i="3"/>
  <c r="Q80" i="3"/>
  <c r="O80" i="3"/>
  <c r="K80" i="3"/>
  <c r="I80" i="3"/>
  <c r="P80" i="3"/>
  <c r="L80" i="3"/>
  <c r="J80" i="3"/>
  <c r="H80" i="3"/>
  <c r="M80" i="3" s="1"/>
  <c r="Q84" i="3"/>
  <c r="O84" i="3"/>
  <c r="K84" i="3"/>
  <c r="I84" i="3"/>
  <c r="P84" i="3"/>
  <c r="L84" i="3"/>
  <c r="J84" i="3"/>
  <c r="H84" i="3"/>
  <c r="M84" i="3" s="1"/>
  <c r="Q88" i="3"/>
  <c r="O88" i="3"/>
  <c r="M88" i="3"/>
  <c r="K88" i="3"/>
  <c r="I88" i="3"/>
  <c r="P88" i="3"/>
  <c r="N88" i="3"/>
  <c r="L88" i="3"/>
  <c r="J88" i="3"/>
  <c r="H88" i="3"/>
  <c r="Q92" i="3"/>
  <c r="O92" i="3"/>
  <c r="K92" i="3"/>
  <c r="I92" i="3"/>
  <c r="P92" i="3"/>
  <c r="L92" i="3"/>
  <c r="J92" i="3"/>
  <c r="H92" i="3"/>
  <c r="M92" i="3" s="1"/>
  <c r="Q96" i="3"/>
  <c r="O96" i="3"/>
  <c r="K96" i="3"/>
  <c r="I96" i="3"/>
  <c r="P96" i="3"/>
  <c r="L96" i="3"/>
  <c r="J96" i="3"/>
  <c r="H96" i="3"/>
  <c r="M96" i="3" s="1"/>
  <c r="Q100" i="3"/>
  <c r="O100" i="3"/>
  <c r="M100" i="3"/>
  <c r="K100" i="3"/>
  <c r="I100" i="3"/>
  <c r="P100" i="3"/>
  <c r="N100" i="3"/>
  <c r="L100" i="3"/>
  <c r="J100" i="3"/>
  <c r="H100" i="3"/>
  <c r="Q104" i="3"/>
  <c r="O104" i="3"/>
  <c r="M104" i="3"/>
  <c r="K104" i="3"/>
  <c r="I104" i="3"/>
  <c r="P104" i="3"/>
  <c r="N104" i="3"/>
  <c r="L104" i="3"/>
  <c r="J104" i="3"/>
  <c r="H104" i="3"/>
  <c r="Q108" i="3"/>
  <c r="O108" i="3"/>
  <c r="M108" i="3"/>
  <c r="K108" i="3"/>
  <c r="I108" i="3"/>
  <c r="P108" i="3"/>
  <c r="N108" i="3"/>
  <c r="L108" i="3"/>
  <c r="J108" i="3"/>
  <c r="H108" i="3"/>
  <c r="Q112" i="3"/>
  <c r="O112" i="3"/>
  <c r="M112" i="3"/>
  <c r="K112" i="3"/>
  <c r="I112" i="3"/>
  <c r="P112" i="3"/>
  <c r="N112" i="3"/>
  <c r="L112" i="3"/>
  <c r="J112" i="3"/>
  <c r="H112" i="3"/>
  <c r="Q116" i="3"/>
  <c r="O116" i="3"/>
  <c r="M116" i="3"/>
  <c r="K116" i="3"/>
  <c r="I116" i="3"/>
  <c r="P116" i="3"/>
  <c r="N116" i="3"/>
  <c r="L116" i="3"/>
  <c r="J116" i="3"/>
  <c r="H116" i="3"/>
  <c r="Q120" i="3"/>
  <c r="O120" i="3"/>
  <c r="M120" i="3"/>
  <c r="K120" i="3"/>
  <c r="I120" i="3"/>
  <c r="P120" i="3"/>
  <c r="N120" i="3"/>
  <c r="L120" i="3"/>
  <c r="J120" i="3"/>
  <c r="H120" i="3"/>
  <c r="Q124" i="3"/>
  <c r="O124" i="3"/>
  <c r="M124" i="3"/>
  <c r="K124" i="3"/>
  <c r="I124" i="3"/>
  <c r="P124" i="3"/>
  <c r="N124" i="3"/>
  <c r="L124" i="3"/>
  <c r="J124" i="3"/>
  <c r="H124" i="3"/>
  <c r="Q128" i="3"/>
  <c r="O128" i="3"/>
  <c r="M128" i="3"/>
  <c r="K128" i="3"/>
  <c r="I128" i="3"/>
  <c r="P128" i="3"/>
  <c r="N128" i="3"/>
  <c r="L128" i="3"/>
  <c r="J128" i="3"/>
  <c r="H128" i="3"/>
  <c r="Q132" i="3"/>
  <c r="O132" i="3"/>
  <c r="M132" i="3"/>
  <c r="K132" i="3"/>
  <c r="I132" i="3"/>
  <c r="P132" i="3"/>
  <c r="N132" i="3"/>
  <c r="L132" i="3"/>
  <c r="J132" i="3"/>
  <c r="H132" i="3"/>
  <c r="Q136" i="3"/>
  <c r="O136" i="3"/>
  <c r="M136" i="3"/>
  <c r="K136" i="3"/>
  <c r="I136" i="3"/>
  <c r="P136" i="3"/>
  <c r="N136" i="3"/>
  <c r="L136" i="3"/>
  <c r="J136" i="3"/>
  <c r="H136" i="3"/>
  <c r="Q140" i="3"/>
  <c r="O140" i="3"/>
  <c r="M140" i="3"/>
  <c r="K140" i="3"/>
  <c r="I140" i="3"/>
  <c r="P140" i="3"/>
  <c r="N140" i="3"/>
  <c r="L140" i="3"/>
  <c r="J140" i="3"/>
  <c r="H140" i="3"/>
  <c r="Q144" i="3"/>
  <c r="O144" i="3"/>
  <c r="K144" i="3"/>
  <c r="I144" i="3"/>
  <c r="P144" i="3"/>
  <c r="L144" i="3"/>
  <c r="J144" i="3"/>
  <c r="H144" i="3"/>
  <c r="M144" i="3" s="1"/>
  <c r="Q148" i="3"/>
  <c r="O148" i="3"/>
  <c r="M148" i="3"/>
  <c r="K148" i="3"/>
  <c r="I148" i="3"/>
  <c r="P148" i="3"/>
  <c r="N148" i="3"/>
  <c r="L148" i="3"/>
  <c r="J148" i="3"/>
  <c r="H148" i="3"/>
  <c r="Q152" i="3"/>
  <c r="O152" i="3"/>
  <c r="M152" i="3"/>
  <c r="K152" i="3"/>
  <c r="I152" i="3"/>
  <c r="P152" i="3"/>
  <c r="N152" i="3"/>
  <c r="L152" i="3"/>
  <c r="J152" i="3"/>
  <c r="H152" i="3"/>
  <c r="Q156" i="3"/>
  <c r="O156" i="3"/>
  <c r="M156" i="3"/>
  <c r="K156" i="3"/>
  <c r="I156" i="3"/>
  <c r="P156" i="3"/>
  <c r="N156" i="3"/>
  <c r="L156" i="3"/>
  <c r="J156" i="3"/>
  <c r="H156" i="3"/>
  <c r="Q160" i="3"/>
  <c r="O160" i="3"/>
  <c r="K160" i="3"/>
  <c r="I160" i="3"/>
  <c r="P160" i="3"/>
  <c r="L160" i="3"/>
  <c r="J160" i="3"/>
  <c r="H160" i="3"/>
  <c r="M160" i="3" s="1"/>
  <c r="Q164" i="3"/>
  <c r="O164" i="3"/>
  <c r="M164" i="3"/>
  <c r="K164" i="3"/>
  <c r="I164" i="3"/>
  <c r="P164" i="3"/>
  <c r="N164" i="3"/>
  <c r="L164" i="3"/>
  <c r="J164" i="3"/>
  <c r="H164" i="3"/>
  <c r="Q168" i="3"/>
  <c r="O168" i="3"/>
  <c r="K168" i="3"/>
  <c r="I168" i="3"/>
  <c r="P168" i="3"/>
  <c r="L168" i="3"/>
  <c r="J168" i="3"/>
  <c r="H168" i="3"/>
  <c r="M168" i="3" s="1"/>
  <c r="Q172" i="3"/>
  <c r="O172" i="3"/>
  <c r="M172" i="3"/>
  <c r="K172" i="3"/>
  <c r="I172" i="3"/>
  <c r="P172" i="3"/>
  <c r="N172" i="3"/>
  <c r="L172" i="3"/>
  <c r="J172" i="3"/>
  <c r="H172" i="3"/>
  <c r="Q176" i="3"/>
  <c r="O176" i="3"/>
  <c r="M176" i="3"/>
  <c r="K176" i="3"/>
  <c r="I176" i="3"/>
  <c r="P176" i="3"/>
  <c r="N176" i="3"/>
  <c r="L176" i="3"/>
  <c r="J176" i="3"/>
  <c r="H176" i="3"/>
  <c r="Q180" i="3"/>
  <c r="O180" i="3"/>
  <c r="K180" i="3"/>
  <c r="I180" i="3"/>
  <c r="P180" i="3"/>
  <c r="L180" i="3"/>
  <c r="J180" i="3"/>
  <c r="H180" i="3"/>
  <c r="M180" i="3" s="1"/>
  <c r="Q184" i="3"/>
  <c r="O184" i="3"/>
  <c r="M184" i="3"/>
  <c r="K184" i="3"/>
  <c r="I184" i="3"/>
  <c r="P184" i="3"/>
  <c r="N184" i="3"/>
  <c r="L184" i="3"/>
  <c r="J184" i="3"/>
  <c r="H184" i="3"/>
  <c r="Q188" i="3"/>
  <c r="O188" i="3"/>
  <c r="M188" i="3"/>
  <c r="K188" i="3"/>
  <c r="I188" i="3"/>
  <c r="P188" i="3"/>
  <c r="N188" i="3"/>
  <c r="L188" i="3"/>
  <c r="J188" i="3"/>
  <c r="H188" i="3"/>
  <c r="Q192" i="3"/>
  <c r="O192" i="3"/>
  <c r="M192" i="3"/>
  <c r="K192" i="3"/>
  <c r="I192" i="3"/>
  <c r="P192" i="3"/>
  <c r="N192" i="3"/>
  <c r="L192" i="3"/>
  <c r="J192" i="3"/>
  <c r="H192" i="3"/>
  <c r="Q196" i="3"/>
  <c r="O196" i="3"/>
  <c r="M196" i="3"/>
  <c r="K196" i="3"/>
  <c r="I196" i="3"/>
  <c r="P196" i="3"/>
  <c r="N196" i="3"/>
  <c r="L196" i="3"/>
  <c r="J196" i="3"/>
  <c r="H196" i="3"/>
  <c r="Q200" i="3"/>
  <c r="O200" i="3"/>
  <c r="M200" i="3"/>
  <c r="K200" i="3"/>
  <c r="I200" i="3"/>
  <c r="P200" i="3"/>
  <c r="N200" i="3"/>
  <c r="L200" i="3"/>
  <c r="J200" i="3"/>
  <c r="H200" i="3"/>
  <c r="Q204" i="3"/>
  <c r="O204" i="3"/>
  <c r="M204" i="3"/>
  <c r="K204" i="3"/>
  <c r="I204" i="3"/>
  <c r="P204" i="3"/>
  <c r="N204" i="3"/>
  <c r="L204" i="3"/>
  <c r="J204" i="3"/>
  <c r="H204" i="3"/>
  <c r="Q208" i="3"/>
  <c r="O208" i="3"/>
  <c r="M208" i="3"/>
  <c r="K208" i="3"/>
  <c r="I208" i="3"/>
  <c r="P208" i="3"/>
  <c r="N208" i="3"/>
  <c r="L208" i="3"/>
  <c r="J208" i="3"/>
  <c r="H208" i="3"/>
  <c r="Q212" i="3"/>
  <c r="O212" i="3"/>
  <c r="M212" i="3"/>
  <c r="K212" i="3"/>
  <c r="I212" i="3"/>
  <c r="P212" i="3"/>
  <c r="N212" i="3"/>
  <c r="L212" i="3"/>
  <c r="J212" i="3"/>
  <c r="H212" i="3"/>
  <c r="Q216" i="3"/>
  <c r="O216" i="3"/>
  <c r="M216" i="3"/>
  <c r="K216" i="3"/>
  <c r="I216" i="3"/>
  <c r="P216" i="3"/>
  <c r="N216" i="3"/>
  <c r="L216" i="3"/>
  <c r="J216" i="3"/>
  <c r="H216" i="3"/>
  <c r="Q220" i="3"/>
  <c r="O220" i="3"/>
  <c r="M220" i="3"/>
  <c r="K220" i="3"/>
  <c r="I220" i="3"/>
  <c r="P220" i="3"/>
  <c r="N220" i="3"/>
  <c r="L220" i="3"/>
  <c r="J220" i="3"/>
  <c r="H220" i="3"/>
  <c r="Q224" i="3"/>
  <c r="O224" i="3"/>
  <c r="M224" i="3"/>
  <c r="K224" i="3"/>
  <c r="I224" i="3"/>
  <c r="P224" i="3"/>
  <c r="N224" i="3"/>
  <c r="L224" i="3"/>
  <c r="J224" i="3"/>
  <c r="H224" i="3"/>
  <c r="Q228" i="3"/>
  <c r="O228" i="3"/>
  <c r="M228" i="3"/>
  <c r="K228" i="3"/>
  <c r="I228" i="3"/>
  <c r="P228" i="3"/>
  <c r="N228" i="3"/>
  <c r="L228" i="3"/>
  <c r="J228" i="3"/>
  <c r="H228" i="3"/>
  <c r="Q232" i="3"/>
  <c r="O232" i="3"/>
  <c r="M232" i="3"/>
  <c r="K232" i="3"/>
  <c r="I232" i="3"/>
  <c r="P232" i="3"/>
  <c r="N232" i="3"/>
  <c r="L232" i="3"/>
  <c r="J232" i="3"/>
  <c r="H232" i="3"/>
  <c r="Q236" i="3"/>
  <c r="O236" i="3"/>
  <c r="M236" i="3"/>
  <c r="K236" i="3"/>
  <c r="I236" i="3"/>
  <c r="P236" i="3"/>
  <c r="N236" i="3"/>
  <c r="L236" i="3"/>
  <c r="J236" i="3"/>
  <c r="H236" i="3"/>
  <c r="Q240" i="3"/>
  <c r="O240" i="3"/>
  <c r="M240" i="3"/>
  <c r="K240" i="3"/>
  <c r="I240" i="3"/>
  <c r="P240" i="3"/>
  <c r="N240" i="3"/>
  <c r="L240" i="3"/>
  <c r="J240" i="3"/>
  <c r="H240" i="3"/>
  <c r="Q244" i="3"/>
  <c r="O244" i="3"/>
  <c r="M244" i="3"/>
  <c r="K244" i="3"/>
  <c r="I244" i="3"/>
  <c r="P244" i="3"/>
  <c r="N244" i="3"/>
  <c r="L244" i="3"/>
  <c r="J244" i="3"/>
  <c r="H244" i="3"/>
  <c r="Q248" i="3"/>
  <c r="O248" i="3"/>
  <c r="M248" i="3"/>
  <c r="K248" i="3"/>
  <c r="I248" i="3"/>
  <c r="P248" i="3"/>
  <c r="N248" i="3"/>
  <c r="L248" i="3"/>
  <c r="J248" i="3"/>
  <c r="H248" i="3"/>
  <c r="Q252" i="3"/>
  <c r="O252" i="3"/>
  <c r="M252" i="3"/>
  <c r="K252" i="3"/>
  <c r="I252" i="3"/>
  <c r="P252" i="3"/>
  <c r="N252" i="3"/>
  <c r="L252" i="3"/>
  <c r="J252" i="3"/>
  <c r="H252" i="3"/>
  <c r="Q256" i="3"/>
  <c r="O256" i="3"/>
  <c r="M256" i="3"/>
  <c r="K256" i="3"/>
  <c r="I256" i="3"/>
  <c r="P256" i="3"/>
  <c r="N256" i="3"/>
  <c r="L256" i="3"/>
  <c r="J256" i="3"/>
  <c r="H256" i="3"/>
  <c r="Q260" i="3"/>
  <c r="O260" i="3"/>
  <c r="M260" i="3"/>
  <c r="K260" i="3"/>
  <c r="I260" i="3"/>
  <c r="P260" i="3"/>
  <c r="N260" i="3"/>
  <c r="L260" i="3"/>
  <c r="J260" i="3"/>
  <c r="H260" i="3"/>
  <c r="Q264" i="3"/>
  <c r="O264" i="3"/>
  <c r="M264" i="3"/>
  <c r="K264" i="3"/>
  <c r="I264" i="3"/>
  <c r="P264" i="3"/>
  <c r="N264" i="3"/>
  <c r="L264" i="3"/>
  <c r="J264" i="3"/>
  <c r="H264" i="3"/>
  <c r="Q268" i="3"/>
  <c r="O268" i="3"/>
  <c r="M268" i="3"/>
  <c r="K268" i="3"/>
  <c r="I268" i="3"/>
  <c r="P268" i="3"/>
  <c r="N268" i="3"/>
  <c r="L268" i="3"/>
  <c r="J268" i="3"/>
  <c r="H268" i="3"/>
  <c r="Q272" i="3"/>
  <c r="O272" i="3"/>
  <c r="M272" i="3"/>
  <c r="K272" i="3"/>
  <c r="I272" i="3"/>
  <c r="P272" i="3"/>
  <c r="N272" i="3"/>
  <c r="L272" i="3"/>
  <c r="J272" i="3"/>
  <c r="H272" i="3"/>
  <c r="Q276" i="3"/>
  <c r="O276" i="3"/>
  <c r="M276" i="3"/>
  <c r="K276" i="3"/>
  <c r="I276" i="3"/>
  <c r="P276" i="3"/>
  <c r="N276" i="3"/>
  <c r="L276" i="3"/>
  <c r="J276" i="3"/>
  <c r="H276" i="3"/>
  <c r="Q280" i="3"/>
  <c r="O280" i="3"/>
  <c r="M280" i="3"/>
  <c r="K280" i="3"/>
  <c r="I280" i="3"/>
  <c r="P280" i="3"/>
  <c r="N280" i="3"/>
  <c r="L280" i="3"/>
  <c r="J280" i="3"/>
  <c r="H280" i="3"/>
  <c r="Q284" i="3"/>
  <c r="O284" i="3"/>
  <c r="M284" i="3"/>
  <c r="K284" i="3"/>
  <c r="I284" i="3"/>
  <c r="P284" i="3"/>
  <c r="N284" i="3"/>
  <c r="L284" i="3"/>
  <c r="J284" i="3"/>
  <c r="H284" i="3"/>
  <c r="Q288" i="3"/>
  <c r="O288" i="3"/>
  <c r="M288" i="3"/>
  <c r="K288" i="3"/>
  <c r="I288" i="3"/>
  <c r="P288" i="3"/>
  <c r="N288" i="3"/>
  <c r="L288" i="3"/>
  <c r="J288" i="3"/>
  <c r="H288" i="3"/>
  <c r="Q292" i="3"/>
  <c r="O292" i="3"/>
  <c r="M292" i="3"/>
  <c r="K292" i="3"/>
  <c r="I292" i="3"/>
  <c r="P292" i="3"/>
  <c r="N292" i="3"/>
  <c r="L292" i="3"/>
  <c r="J292" i="3"/>
  <c r="H292" i="3"/>
  <c r="Q296" i="3"/>
  <c r="O296" i="3"/>
  <c r="M296" i="3"/>
  <c r="K296" i="3"/>
  <c r="I296" i="3"/>
  <c r="P296" i="3"/>
  <c r="N296" i="3"/>
  <c r="L296" i="3"/>
  <c r="J296" i="3"/>
  <c r="H296" i="3"/>
  <c r="Q300" i="3"/>
  <c r="O300" i="3"/>
  <c r="M300" i="3"/>
  <c r="K300" i="3"/>
  <c r="I300" i="3"/>
  <c r="P300" i="3"/>
  <c r="N300" i="3"/>
  <c r="L300" i="3"/>
  <c r="J300" i="3"/>
  <c r="H300" i="3"/>
  <c r="Q304" i="3"/>
  <c r="O304" i="3"/>
  <c r="M304" i="3"/>
  <c r="K304" i="3"/>
  <c r="I304" i="3"/>
  <c r="P304" i="3"/>
  <c r="N304" i="3"/>
  <c r="L304" i="3"/>
  <c r="J304" i="3"/>
  <c r="H304" i="3"/>
  <c r="Q308" i="3"/>
  <c r="O308" i="3"/>
  <c r="M308" i="3"/>
  <c r="K308" i="3"/>
  <c r="I308" i="3"/>
  <c r="P308" i="3"/>
  <c r="N308" i="3"/>
  <c r="L308" i="3"/>
  <c r="J308" i="3"/>
  <c r="H308" i="3"/>
  <c r="Q312" i="3"/>
  <c r="O312" i="3"/>
  <c r="M312" i="3"/>
  <c r="K312" i="3"/>
  <c r="I312" i="3"/>
  <c r="P312" i="3"/>
  <c r="N312" i="3"/>
  <c r="L312" i="3"/>
  <c r="J312" i="3"/>
  <c r="H312" i="3"/>
  <c r="Q316" i="3"/>
  <c r="O316" i="3"/>
  <c r="M316" i="3"/>
  <c r="K316" i="3"/>
  <c r="I316" i="3"/>
  <c r="P316" i="3"/>
  <c r="N316" i="3"/>
  <c r="L316" i="3"/>
  <c r="J316" i="3"/>
  <c r="H316" i="3"/>
  <c r="Q320" i="3"/>
  <c r="O320" i="3"/>
  <c r="M320" i="3"/>
  <c r="K320" i="3"/>
  <c r="I320" i="3"/>
  <c r="P320" i="3"/>
  <c r="N320" i="3"/>
  <c r="L320" i="3"/>
  <c r="J320" i="3"/>
  <c r="H320" i="3"/>
  <c r="Q324" i="3"/>
  <c r="O324" i="3"/>
  <c r="M324" i="3"/>
  <c r="K324" i="3"/>
  <c r="I324" i="3"/>
  <c r="P324" i="3"/>
  <c r="N324" i="3"/>
  <c r="L324" i="3"/>
  <c r="J324" i="3"/>
  <c r="H324" i="3"/>
  <c r="Q328" i="3"/>
  <c r="O328" i="3"/>
  <c r="M328" i="3"/>
  <c r="K328" i="3"/>
  <c r="I328" i="3"/>
  <c r="P328" i="3"/>
  <c r="N328" i="3"/>
  <c r="L328" i="3"/>
  <c r="J328" i="3"/>
  <c r="H328" i="3"/>
  <c r="Q332" i="3"/>
  <c r="O332" i="3"/>
  <c r="M332" i="3"/>
  <c r="K332" i="3"/>
  <c r="I332" i="3"/>
  <c r="P332" i="3"/>
  <c r="N332" i="3"/>
  <c r="L332" i="3"/>
  <c r="J332" i="3"/>
  <c r="H332" i="3"/>
  <c r="Q336" i="3"/>
  <c r="O336" i="3"/>
  <c r="M336" i="3"/>
  <c r="K336" i="3"/>
  <c r="I336" i="3"/>
  <c r="P336" i="3"/>
  <c r="N336" i="3"/>
  <c r="L336" i="3"/>
  <c r="J336" i="3"/>
  <c r="H336" i="3"/>
  <c r="Q340" i="3"/>
  <c r="O340" i="3"/>
  <c r="M340" i="3"/>
  <c r="K340" i="3"/>
  <c r="I340" i="3"/>
  <c r="P340" i="3"/>
  <c r="N340" i="3"/>
  <c r="L340" i="3"/>
  <c r="J340" i="3"/>
  <c r="H340" i="3"/>
  <c r="Q344" i="3"/>
  <c r="O344" i="3"/>
  <c r="M344" i="3"/>
  <c r="K344" i="3"/>
  <c r="I344" i="3"/>
  <c r="P344" i="3"/>
  <c r="N344" i="3"/>
  <c r="L344" i="3"/>
  <c r="J344" i="3"/>
  <c r="H344" i="3"/>
  <c r="Q348" i="3"/>
  <c r="O348" i="3"/>
  <c r="M348" i="3"/>
  <c r="K348" i="3"/>
  <c r="I348" i="3"/>
  <c r="P348" i="3"/>
  <c r="N348" i="3"/>
  <c r="L348" i="3"/>
  <c r="J348" i="3"/>
  <c r="H348" i="3"/>
  <c r="Q352" i="3"/>
  <c r="O352" i="3"/>
  <c r="M352" i="3"/>
  <c r="K352" i="3"/>
  <c r="I352" i="3"/>
  <c r="P352" i="3"/>
  <c r="N352" i="3"/>
  <c r="L352" i="3"/>
  <c r="J352" i="3"/>
  <c r="H352" i="3"/>
  <c r="Q356" i="3"/>
  <c r="O356" i="3"/>
  <c r="M356" i="3"/>
  <c r="K356" i="3"/>
  <c r="I356" i="3"/>
  <c r="P356" i="3"/>
  <c r="N356" i="3"/>
  <c r="L356" i="3"/>
  <c r="J356" i="3"/>
  <c r="H356" i="3"/>
  <c r="Q360" i="3"/>
  <c r="O360" i="3"/>
  <c r="M360" i="3"/>
  <c r="K360" i="3"/>
  <c r="I360" i="3"/>
  <c r="P360" i="3"/>
  <c r="N360" i="3"/>
  <c r="L360" i="3"/>
  <c r="J360" i="3"/>
  <c r="H360" i="3"/>
  <c r="Q364" i="3"/>
  <c r="O364" i="3"/>
  <c r="M364" i="3"/>
  <c r="K364" i="3"/>
  <c r="I364" i="3"/>
  <c r="P364" i="3"/>
  <c r="N364" i="3"/>
  <c r="L364" i="3"/>
  <c r="J364" i="3"/>
  <c r="H364" i="3"/>
  <c r="Q368" i="3"/>
  <c r="O368" i="3"/>
  <c r="M368" i="3"/>
  <c r="K368" i="3"/>
  <c r="I368" i="3"/>
  <c r="P368" i="3"/>
  <c r="N368" i="3"/>
  <c r="L368" i="3"/>
  <c r="J368" i="3"/>
  <c r="H368" i="3"/>
  <c r="Q372" i="3"/>
  <c r="O372" i="3"/>
  <c r="M372" i="3"/>
  <c r="K372" i="3"/>
  <c r="I372" i="3"/>
  <c r="P372" i="3"/>
  <c r="N372" i="3"/>
  <c r="L372" i="3"/>
  <c r="J372" i="3"/>
  <c r="H372" i="3"/>
  <c r="Q376" i="3"/>
  <c r="O376" i="3"/>
  <c r="M376" i="3"/>
  <c r="K376" i="3"/>
  <c r="I376" i="3"/>
  <c r="P376" i="3"/>
  <c r="N376" i="3"/>
  <c r="L376" i="3"/>
  <c r="J376" i="3"/>
  <c r="H376" i="3"/>
  <c r="Q380" i="3"/>
  <c r="O380" i="3"/>
  <c r="M380" i="3"/>
  <c r="K380" i="3"/>
  <c r="I380" i="3"/>
  <c r="P380" i="3"/>
  <c r="N380" i="3"/>
  <c r="L380" i="3"/>
  <c r="J380" i="3"/>
  <c r="H380" i="3"/>
  <c r="Q384" i="3"/>
  <c r="O384" i="3"/>
  <c r="M384" i="3"/>
  <c r="K384" i="3"/>
  <c r="I384" i="3"/>
  <c r="P384" i="3"/>
  <c r="N384" i="3"/>
  <c r="L384" i="3"/>
  <c r="J384" i="3"/>
  <c r="H384" i="3"/>
  <c r="Q388" i="3"/>
  <c r="O388" i="3"/>
  <c r="M388" i="3"/>
  <c r="K388" i="3"/>
  <c r="I388" i="3"/>
  <c r="P388" i="3"/>
  <c r="N388" i="3"/>
  <c r="L388" i="3"/>
  <c r="J388" i="3"/>
  <c r="H388" i="3"/>
  <c r="Q392" i="3"/>
  <c r="O392" i="3"/>
  <c r="M392" i="3"/>
  <c r="K392" i="3"/>
  <c r="I392" i="3"/>
  <c r="P392" i="3"/>
  <c r="N392" i="3"/>
  <c r="L392" i="3"/>
  <c r="J392" i="3"/>
  <c r="H392" i="3"/>
  <c r="Q396" i="3"/>
  <c r="O396" i="3"/>
  <c r="M396" i="3"/>
  <c r="K396" i="3"/>
  <c r="I396" i="3"/>
  <c r="P396" i="3"/>
  <c r="N396" i="3"/>
  <c r="L396" i="3"/>
  <c r="J396" i="3"/>
  <c r="H396" i="3"/>
  <c r="Q400" i="3"/>
  <c r="O400" i="3"/>
  <c r="M400" i="3"/>
  <c r="K400" i="3"/>
  <c r="I400" i="3"/>
  <c r="P400" i="3"/>
  <c r="N400" i="3"/>
  <c r="L400" i="3"/>
  <c r="J400" i="3"/>
  <c r="H400" i="3"/>
  <c r="Q404" i="3"/>
  <c r="O404" i="3"/>
  <c r="M404" i="3"/>
  <c r="K404" i="3"/>
  <c r="I404" i="3"/>
  <c r="P404" i="3"/>
  <c r="N404" i="3"/>
  <c r="L404" i="3"/>
  <c r="J404" i="3"/>
  <c r="H404" i="3"/>
  <c r="Q408" i="3"/>
  <c r="O408" i="3"/>
  <c r="M408" i="3"/>
  <c r="K408" i="3"/>
  <c r="I408" i="3"/>
  <c r="P408" i="3"/>
  <c r="N408" i="3"/>
  <c r="L408" i="3"/>
  <c r="J408" i="3"/>
  <c r="H408" i="3"/>
  <c r="Q412" i="3"/>
  <c r="O412" i="3"/>
  <c r="M412" i="3"/>
  <c r="K412" i="3"/>
  <c r="I412" i="3"/>
  <c r="P412" i="3"/>
  <c r="N412" i="3"/>
  <c r="L412" i="3"/>
  <c r="J412" i="3"/>
  <c r="H412" i="3"/>
  <c r="Q416" i="3"/>
  <c r="O416" i="3"/>
  <c r="M416" i="3"/>
  <c r="K416" i="3"/>
  <c r="I416" i="3"/>
  <c r="P416" i="3"/>
  <c r="N416" i="3"/>
  <c r="L416" i="3"/>
  <c r="J416" i="3"/>
  <c r="H416" i="3"/>
  <c r="Q420" i="3"/>
  <c r="O420" i="3"/>
  <c r="M420" i="3"/>
  <c r="K420" i="3"/>
  <c r="I420" i="3"/>
  <c r="P420" i="3"/>
  <c r="N420" i="3"/>
  <c r="L420" i="3"/>
  <c r="J420" i="3"/>
  <c r="H420" i="3"/>
  <c r="Q424" i="3"/>
  <c r="O424" i="3"/>
  <c r="M424" i="3"/>
  <c r="K424" i="3"/>
  <c r="I424" i="3"/>
  <c r="P424" i="3"/>
  <c r="N424" i="3"/>
  <c r="L424" i="3"/>
  <c r="J424" i="3"/>
  <c r="H424" i="3"/>
  <c r="Q428" i="3"/>
  <c r="O428" i="3"/>
  <c r="M428" i="3"/>
  <c r="K428" i="3"/>
  <c r="I428" i="3"/>
  <c r="P428" i="3"/>
  <c r="N428" i="3"/>
  <c r="L428" i="3"/>
  <c r="J428" i="3"/>
  <c r="H428" i="3"/>
  <c r="Q432" i="3"/>
  <c r="O432" i="3"/>
  <c r="M432" i="3"/>
  <c r="K432" i="3"/>
  <c r="I432" i="3"/>
  <c r="P432" i="3"/>
  <c r="N432" i="3"/>
  <c r="L432" i="3"/>
  <c r="J432" i="3"/>
  <c r="H432" i="3"/>
  <c r="Q436" i="3"/>
  <c r="O436" i="3"/>
  <c r="M436" i="3"/>
  <c r="K436" i="3"/>
  <c r="I436" i="3"/>
  <c r="P436" i="3"/>
  <c r="N436" i="3"/>
  <c r="L436" i="3"/>
  <c r="J436" i="3"/>
  <c r="H436" i="3"/>
  <c r="Q440" i="3"/>
  <c r="O440" i="3"/>
  <c r="M440" i="3"/>
  <c r="K440" i="3"/>
  <c r="I440" i="3"/>
  <c r="P440" i="3"/>
  <c r="N440" i="3"/>
  <c r="L440" i="3"/>
  <c r="J440" i="3"/>
  <c r="H440" i="3"/>
  <c r="Q444" i="3"/>
  <c r="O444" i="3"/>
  <c r="M444" i="3"/>
  <c r="K444" i="3"/>
  <c r="I444" i="3"/>
  <c r="P444" i="3"/>
  <c r="N444" i="3"/>
  <c r="L444" i="3"/>
  <c r="J444" i="3"/>
  <c r="H444" i="3"/>
  <c r="Q448" i="3"/>
  <c r="O448" i="3"/>
  <c r="M448" i="3"/>
  <c r="K448" i="3"/>
  <c r="I448" i="3"/>
  <c r="P448" i="3"/>
  <c r="N448" i="3"/>
  <c r="L448" i="3"/>
  <c r="J448" i="3"/>
  <c r="H448" i="3"/>
  <c r="Q452" i="3"/>
  <c r="O452" i="3"/>
  <c r="M452" i="3"/>
  <c r="K452" i="3"/>
  <c r="I452" i="3"/>
  <c r="P452" i="3"/>
  <c r="N452" i="3"/>
  <c r="L452" i="3"/>
  <c r="J452" i="3"/>
  <c r="H452" i="3"/>
  <c r="Q456" i="3"/>
  <c r="O456" i="3"/>
  <c r="M456" i="3"/>
  <c r="K456" i="3"/>
  <c r="I456" i="3"/>
  <c r="P456" i="3"/>
  <c r="N456" i="3"/>
  <c r="L456" i="3"/>
  <c r="J456" i="3"/>
  <c r="H456" i="3"/>
  <c r="Q460" i="3"/>
  <c r="O460" i="3"/>
  <c r="M460" i="3"/>
  <c r="K460" i="3"/>
  <c r="I460" i="3"/>
  <c r="P460" i="3"/>
  <c r="N460" i="3"/>
  <c r="L460" i="3"/>
  <c r="J460" i="3"/>
  <c r="H460" i="3"/>
  <c r="Q464" i="3"/>
  <c r="O464" i="3"/>
  <c r="M464" i="3"/>
  <c r="K464" i="3"/>
  <c r="I464" i="3"/>
  <c r="P464" i="3"/>
  <c r="N464" i="3"/>
  <c r="L464" i="3"/>
  <c r="J464" i="3"/>
  <c r="H464" i="3"/>
  <c r="Q468" i="3"/>
  <c r="O468" i="3"/>
  <c r="M468" i="3"/>
  <c r="K468" i="3"/>
  <c r="I468" i="3"/>
  <c r="P468" i="3"/>
  <c r="N468" i="3"/>
  <c r="L468" i="3"/>
  <c r="J468" i="3"/>
  <c r="H468" i="3"/>
  <c r="Q472" i="3"/>
  <c r="O472" i="3"/>
  <c r="M472" i="3"/>
  <c r="K472" i="3"/>
  <c r="I472" i="3"/>
  <c r="P472" i="3"/>
  <c r="N472" i="3"/>
  <c r="L472" i="3"/>
  <c r="J472" i="3"/>
  <c r="H472" i="3"/>
  <c r="Q476" i="3"/>
  <c r="O476" i="3"/>
  <c r="M476" i="3"/>
  <c r="K476" i="3"/>
  <c r="I476" i="3"/>
  <c r="P476" i="3"/>
  <c r="N476" i="3"/>
  <c r="L476" i="3"/>
  <c r="J476" i="3"/>
  <c r="H476" i="3"/>
  <c r="Q480" i="3"/>
  <c r="O480" i="3"/>
  <c r="M480" i="3"/>
  <c r="K480" i="3"/>
  <c r="I480" i="3"/>
  <c r="P480" i="3"/>
  <c r="N480" i="3"/>
  <c r="L480" i="3"/>
  <c r="J480" i="3"/>
  <c r="H480" i="3"/>
  <c r="Q484" i="3"/>
  <c r="O484" i="3"/>
  <c r="M484" i="3"/>
  <c r="K484" i="3"/>
  <c r="I484" i="3"/>
  <c r="P484" i="3"/>
  <c r="N484" i="3"/>
  <c r="L484" i="3"/>
  <c r="J484" i="3"/>
  <c r="H484" i="3"/>
  <c r="Q488" i="3"/>
  <c r="O488" i="3"/>
  <c r="M488" i="3"/>
  <c r="K488" i="3"/>
  <c r="I488" i="3"/>
  <c r="P488" i="3"/>
  <c r="N488" i="3"/>
  <c r="L488" i="3"/>
  <c r="J488" i="3"/>
  <c r="H488" i="3"/>
  <c r="Q492" i="3"/>
  <c r="O492" i="3"/>
  <c r="M492" i="3"/>
  <c r="K492" i="3"/>
  <c r="I492" i="3"/>
  <c r="P492" i="3"/>
  <c r="N492" i="3"/>
  <c r="L492" i="3"/>
  <c r="J492" i="3"/>
  <c r="H492" i="3"/>
  <c r="Q496" i="3"/>
  <c r="O496" i="3"/>
  <c r="M496" i="3"/>
  <c r="K496" i="3"/>
  <c r="I496" i="3"/>
  <c r="P496" i="3"/>
  <c r="N496" i="3"/>
  <c r="L496" i="3"/>
  <c r="J496" i="3"/>
  <c r="H496" i="3"/>
  <c r="Q500" i="3"/>
  <c r="O500" i="3"/>
  <c r="M500" i="3"/>
  <c r="K500" i="3"/>
  <c r="I500" i="3"/>
  <c r="P500" i="3"/>
  <c r="N500" i="3"/>
  <c r="L500" i="3"/>
  <c r="J500" i="3"/>
  <c r="H500" i="3"/>
  <c r="Q504" i="3"/>
  <c r="O504" i="3"/>
  <c r="M504" i="3"/>
  <c r="K504" i="3"/>
  <c r="I504" i="3"/>
  <c r="P504" i="3"/>
  <c r="N504" i="3"/>
  <c r="L504" i="3"/>
  <c r="J504" i="3"/>
  <c r="H504" i="3"/>
  <c r="Q508" i="3"/>
  <c r="O508" i="3"/>
  <c r="M508" i="3"/>
  <c r="K508" i="3"/>
  <c r="I508" i="3"/>
  <c r="P508" i="3"/>
  <c r="N508" i="3"/>
  <c r="L508" i="3"/>
  <c r="J508" i="3"/>
  <c r="H508" i="3"/>
  <c r="Q512" i="3"/>
  <c r="O512" i="3"/>
  <c r="M512" i="3"/>
  <c r="K512" i="3"/>
  <c r="I512" i="3"/>
  <c r="P512" i="3"/>
  <c r="N512" i="3"/>
  <c r="L512" i="3"/>
  <c r="J512" i="3"/>
  <c r="H512" i="3"/>
  <c r="Q516" i="3"/>
  <c r="O516" i="3"/>
  <c r="M516" i="3"/>
  <c r="K516" i="3"/>
  <c r="I516" i="3"/>
  <c r="P516" i="3"/>
  <c r="N516" i="3"/>
  <c r="L516" i="3"/>
  <c r="J516" i="3"/>
  <c r="H516" i="3"/>
  <c r="Q520" i="3"/>
  <c r="O520" i="3"/>
  <c r="M520" i="3"/>
  <c r="K520" i="3"/>
  <c r="I520" i="3"/>
  <c r="P520" i="3"/>
  <c r="N520" i="3"/>
  <c r="L520" i="3"/>
  <c r="J520" i="3"/>
  <c r="H520" i="3"/>
  <c r="Q524" i="3"/>
  <c r="O524" i="3"/>
  <c r="M524" i="3"/>
  <c r="K524" i="3"/>
  <c r="I524" i="3"/>
  <c r="P524" i="3"/>
  <c r="N524" i="3"/>
  <c r="L524" i="3"/>
  <c r="J524" i="3"/>
  <c r="H524" i="3"/>
  <c r="Q528" i="3"/>
  <c r="O528" i="3"/>
  <c r="M528" i="3"/>
  <c r="K528" i="3"/>
  <c r="I528" i="3"/>
  <c r="P528" i="3"/>
  <c r="N528" i="3"/>
  <c r="L528" i="3"/>
  <c r="J528" i="3"/>
  <c r="H528" i="3"/>
  <c r="Q532" i="3"/>
  <c r="O532" i="3"/>
  <c r="M532" i="3"/>
  <c r="K532" i="3"/>
  <c r="I532" i="3"/>
  <c r="P532" i="3"/>
  <c r="N532" i="3"/>
  <c r="L532" i="3"/>
  <c r="J532" i="3"/>
  <c r="H532" i="3"/>
  <c r="Q536" i="3"/>
  <c r="O536" i="3"/>
  <c r="M536" i="3"/>
  <c r="K536" i="3"/>
  <c r="I536" i="3"/>
  <c r="P536" i="3"/>
  <c r="N536" i="3"/>
  <c r="L536" i="3"/>
  <c r="J536" i="3"/>
  <c r="H536" i="3"/>
  <c r="Q540" i="3"/>
  <c r="O540" i="3"/>
  <c r="M540" i="3"/>
  <c r="K540" i="3"/>
  <c r="I540" i="3"/>
  <c r="P540" i="3"/>
  <c r="N540" i="3"/>
  <c r="L540" i="3"/>
  <c r="J540" i="3"/>
  <c r="H540" i="3"/>
  <c r="Q544" i="3"/>
  <c r="O544" i="3"/>
  <c r="M544" i="3"/>
  <c r="K544" i="3"/>
  <c r="I544" i="3"/>
  <c r="P544" i="3"/>
  <c r="N544" i="3"/>
  <c r="L544" i="3"/>
  <c r="J544" i="3"/>
  <c r="H544" i="3"/>
  <c r="Q548" i="3"/>
  <c r="O548" i="3"/>
  <c r="M548" i="3"/>
  <c r="K548" i="3"/>
  <c r="I548" i="3"/>
  <c r="P548" i="3"/>
  <c r="N548" i="3"/>
  <c r="L548" i="3"/>
  <c r="J548" i="3"/>
  <c r="H548" i="3"/>
  <c r="Q552" i="3"/>
  <c r="O552" i="3"/>
  <c r="M552" i="3"/>
  <c r="K552" i="3"/>
  <c r="I552" i="3"/>
  <c r="P552" i="3"/>
  <c r="N552" i="3"/>
  <c r="L552" i="3"/>
  <c r="J552" i="3"/>
  <c r="H552" i="3"/>
  <c r="Q556" i="3"/>
  <c r="O556" i="3"/>
  <c r="M556" i="3"/>
  <c r="K556" i="3"/>
  <c r="I556" i="3"/>
  <c r="P556" i="3"/>
  <c r="N556" i="3"/>
  <c r="L556" i="3"/>
  <c r="J556" i="3"/>
  <c r="H556" i="3"/>
  <c r="Q560" i="3"/>
  <c r="O560" i="3"/>
  <c r="M560" i="3"/>
  <c r="K560" i="3"/>
  <c r="I560" i="3"/>
  <c r="P560" i="3"/>
  <c r="N560" i="3"/>
  <c r="L560" i="3"/>
  <c r="J560" i="3"/>
  <c r="H560" i="3"/>
  <c r="Q564" i="3"/>
  <c r="O564" i="3"/>
  <c r="M564" i="3"/>
  <c r="K564" i="3"/>
  <c r="I564" i="3"/>
  <c r="P564" i="3"/>
  <c r="N564" i="3"/>
  <c r="L564" i="3"/>
  <c r="J564" i="3"/>
  <c r="H564" i="3"/>
  <c r="Q568" i="3"/>
  <c r="O568" i="3"/>
  <c r="M568" i="3"/>
  <c r="K568" i="3"/>
  <c r="I568" i="3"/>
  <c r="P568" i="3"/>
  <c r="N568" i="3"/>
  <c r="L568" i="3"/>
  <c r="J568" i="3"/>
  <c r="H568" i="3"/>
  <c r="P1219" i="3"/>
  <c r="N1219" i="3"/>
  <c r="L1219" i="3"/>
  <c r="J1219" i="3"/>
  <c r="H1219" i="3"/>
  <c r="Q1219" i="3"/>
  <c r="O1219" i="3"/>
  <c r="M1219" i="3"/>
  <c r="K1219" i="3"/>
  <c r="I1219" i="3"/>
  <c r="A1215" i="4"/>
  <c r="B1215" i="4" s="1"/>
  <c r="C1215" i="4" s="1"/>
  <c r="D1215" i="4" s="1"/>
  <c r="Q1220" i="3"/>
  <c r="O1220" i="3"/>
  <c r="M1220" i="3"/>
  <c r="K1220" i="3"/>
  <c r="I1220" i="3"/>
  <c r="P1220" i="3"/>
  <c r="N1220" i="3"/>
  <c r="L1220" i="3"/>
  <c r="J1220" i="3"/>
  <c r="H1220" i="3"/>
  <c r="P1223" i="3"/>
  <c r="N1223" i="3"/>
  <c r="L1223" i="3"/>
  <c r="J1223" i="3"/>
  <c r="H1223" i="3"/>
  <c r="Q1223" i="3"/>
  <c r="O1223" i="3"/>
  <c r="M1223" i="3"/>
  <c r="K1223" i="3"/>
  <c r="I1223" i="3"/>
  <c r="A1219" i="4"/>
  <c r="B1219" i="4" s="1"/>
  <c r="C1219" i="4" s="1"/>
  <c r="D1219" i="4" s="1"/>
  <c r="Q1224" i="3"/>
  <c r="O1224" i="3"/>
  <c r="M1224" i="3"/>
  <c r="K1224" i="3"/>
  <c r="I1224" i="3"/>
  <c r="P1224" i="3"/>
  <c r="N1224" i="3"/>
  <c r="L1224" i="3"/>
  <c r="J1224" i="3"/>
  <c r="H1224" i="3"/>
  <c r="P1227" i="3"/>
  <c r="N1227" i="3"/>
  <c r="L1227" i="3"/>
  <c r="J1227" i="3"/>
  <c r="H1227" i="3"/>
  <c r="Q1227" i="3"/>
  <c r="O1227" i="3"/>
  <c r="M1227" i="3"/>
  <c r="K1227" i="3"/>
  <c r="I1227" i="3"/>
  <c r="A1223" i="4"/>
  <c r="B1223" i="4" s="1"/>
  <c r="C1223" i="4" s="1"/>
  <c r="D1223" i="4" s="1"/>
  <c r="Q1228" i="3"/>
  <c r="O1228" i="3"/>
  <c r="M1228" i="3"/>
  <c r="K1228" i="3"/>
  <c r="I1228" i="3"/>
  <c r="P1228" i="3"/>
  <c r="N1228" i="3"/>
  <c r="L1228" i="3"/>
  <c r="J1228" i="3"/>
  <c r="H1228" i="3"/>
  <c r="P1231" i="3"/>
  <c r="N1231" i="3"/>
  <c r="L1231" i="3"/>
  <c r="J1231" i="3"/>
  <c r="H1231" i="3"/>
  <c r="Q1231" i="3"/>
  <c r="O1231" i="3"/>
  <c r="M1231" i="3"/>
  <c r="K1231" i="3"/>
  <c r="I1231" i="3"/>
  <c r="A1227" i="4"/>
  <c r="B1227" i="4" s="1"/>
  <c r="C1227" i="4" s="1"/>
  <c r="D1227" i="4" s="1"/>
  <c r="Q1232" i="3"/>
  <c r="O1232" i="3"/>
  <c r="M1232" i="3"/>
  <c r="K1232" i="3"/>
  <c r="I1232" i="3"/>
  <c r="P1232" i="3"/>
  <c r="N1232" i="3"/>
  <c r="L1232" i="3"/>
  <c r="J1232" i="3"/>
  <c r="H1232" i="3"/>
  <c r="P1235" i="3"/>
  <c r="N1235" i="3"/>
  <c r="L1235" i="3"/>
  <c r="J1235" i="3"/>
  <c r="H1235" i="3"/>
  <c r="Q1235" i="3"/>
  <c r="O1235" i="3"/>
  <c r="M1235" i="3"/>
  <c r="K1235" i="3"/>
  <c r="I1235" i="3"/>
  <c r="A1231" i="4"/>
  <c r="B1231" i="4" s="1"/>
  <c r="C1231" i="4" s="1"/>
  <c r="D1231" i="4" s="1"/>
  <c r="Q1236" i="3"/>
  <c r="O1236" i="3"/>
  <c r="M1236" i="3"/>
  <c r="K1236" i="3"/>
  <c r="I1236" i="3"/>
  <c r="P1236" i="3"/>
  <c r="N1236" i="3"/>
  <c r="L1236" i="3"/>
  <c r="J1236" i="3"/>
  <c r="H1236" i="3"/>
  <c r="P1237" i="3"/>
  <c r="N1237" i="3"/>
  <c r="L1237" i="3"/>
  <c r="J1237" i="3"/>
  <c r="H1237" i="3"/>
  <c r="Q1237" i="3"/>
  <c r="O1237" i="3"/>
  <c r="M1237" i="3"/>
  <c r="K1237" i="3"/>
  <c r="I1237" i="3"/>
  <c r="A1233" i="4"/>
  <c r="B1233" i="4" s="1"/>
  <c r="C1233" i="4" s="1"/>
  <c r="D1233" i="4" s="1"/>
  <c r="Q1238" i="3"/>
  <c r="O1238" i="3"/>
  <c r="M1238" i="3"/>
  <c r="K1238" i="3"/>
  <c r="I1238" i="3"/>
  <c r="P1238" i="3"/>
  <c r="N1238" i="3"/>
  <c r="L1238" i="3"/>
  <c r="J1238" i="3"/>
  <c r="H1238" i="3"/>
  <c r="P1239" i="3"/>
  <c r="N1239" i="3"/>
  <c r="L1239" i="3"/>
  <c r="J1239" i="3"/>
  <c r="H1239" i="3"/>
  <c r="Q1239" i="3"/>
  <c r="O1239" i="3"/>
  <c r="M1239" i="3"/>
  <c r="K1239" i="3"/>
  <c r="I1239" i="3"/>
  <c r="A1235" i="4"/>
  <c r="B1235" i="4" s="1"/>
  <c r="C1235" i="4" s="1"/>
  <c r="D1235" i="4" s="1"/>
  <c r="Q1242" i="3"/>
  <c r="O1242" i="3"/>
  <c r="M1242" i="3"/>
  <c r="K1242" i="3"/>
  <c r="I1242" i="3"/>
  <c r="P1242" i="3"/>
  <c r="N1242" i="3"/>
  <c r="L1242" i="3"/>
  <c r="J1242" i="3"/>
  <c r="H1242" i="3"/>
  <c r="P1243" i="3"/>
  <c r="N1243" i="3"/>
  <c r="L1243" i="3"/>
  <c r="J1243" i="3"/>
  <c r="H1243" i="3"/>
  <c r="Q1243" i="3"/>
  <c r="O1243" i="3"/>
  <c r="M1243" i="3"/>
  <c r="K1243" i="3"/>
  <c r="I1243" i="3"/>
  <c r="A1239" i="4"/>
  <c r="B1239" i="4" s="1"/>
  <c r="C1239" i="4" s="1"/>
  <c r="D1239" i="4" s="1"/>
  <c r="Q1246" i="3"/>
  <c r="O1246" i="3"/>
  <c r="M1246" i="3"/>
  <c r="K1246" i="3"/>
  <c r="I1246" i="3"/>
  <c r="P1246" i="3"/>
  <c r="N1246" i="3"/>
  <c r="L1246" i="3"/>
  <c r="J1246" i="3"/>
  <c r="H1246" i="3"/>
  <c r="P1247" i="3"/>
  <c r="N1247" i="3"/>
  <c r="L1247" i="3"/>
  <c r="J1247" i="3"/>
  <c r="H1247" i="3"/>
  <c r="Q1247" i="3"/>
  <c r="O1247" i="3"/>
  <c r="M1247" i="3"/>
  <c r="K1247" i="3"/>
  <c r="I1247" i="3"/>
  <c r="A1243" i="4"/>
  <c r="B1243" i="4" s="1"/>
  <c r="C1243" i="4" s="1"/>
  <c r="D1243" i="4" s="1"/>
  <c r="Q1250" i="3"/>
  <c r="O1250" i="3"/>
  <c r="M1250" i="3"/>
  <c r="K1250" i="3"/>
  <c r="I1250" i="3"/>
  <c r="P1250" i="3"/>
  <c r="N1250" i="3"/>
  <c r="L1250" i="3"/>
  <c r="J1250" i="3"/>
  <c r="H1250" i="3"/>
  <c r="P1251" i="3"/>
  <c r="N1251" i="3"/>
  <c r="L1251" i="3"/>
  <c r="J1251" i="3"/>
  <c r="H1251" i="3"/>
  <c r="Q1251" i="3"/>
  <c r="O1251" i="3"/>
  <c r="M1251" i="3"/>
  <c r="K1251" i="3"/>
  <c r="I1251" i="3"/>
  <c r="A1247" i="4"/>
  <c r="B1247" i="4" s="1"/>
  <c r="C1247" i="4" s="1"/>
  <c r="D1247" i="4" s="1"/>
  <c r="Q1254" i="3"/>
  <c r="O1254" i="3"/>
  <c r="M1254" i="3"/>
  <c r="K1254" i="3"/>
  <c r="I1254" i="3"/>
  <c r="P1254" i="3"/>
  <c r="N1254" i="3"/>
  <c r="L1254" i="3"/>
  <c r="J1254" i="3"/>
  <c r="H1254" i="3"/>
  <c r="P1255" i="3"/>
  <c r="N1255" i="3"/>
  <c r="L1255" i="3"/>
  <c r="J1255" i="3"/>
  <c r="H1255" i="3"/>
  <c r="Q1255" i="3"/>
  <c r="O1255" i="3"/>
  <c r="M1255" i="3"/>
  <c r="K1255" i="3"/>
  <c r="I1255" i="3"/>
  <c r="A1251" i="4"/>
  <c r="B1251" i="4" s="1"/>
  <c r="C1251" i="4" s="1"/>
  <c r="D1251" i="4" s="1"/>
  <c r="Q1258" i="3"/>
  <c r="O1258" i="3"/>
  <c r="M1258" i="3"/>
  <c r="K1258" i="3"/>
  <c r="I1258" i="3"/>
  <c r="P1258" i="3"/>
  <c r="N1258" i="3"/>
  <c r="L1258" i="3"/>
  <c r="J1258" i="3"/>
  <c r="H1258" i="3"/>
  <c r="P1259" i="3"/>
  <c r="N1259" i="3"/>
  <c r="L1259" i="3"/>
  <c r="J1259" i="3"/>
  <c r="H1259" i="3"/>
  <c r="Q1259" i="3"/>
  <c r="O1259" i="3"/>
  <c r="M1259" i="3"/>
  <c r="K1259" i="3"/>
  <c r="I1259" i="3"/>
  <c r="A1255" i="4"/>
  <c r="B1255" i="4" s="1"/>
  <c r="C1255" i="4" s="1"/>
  <c r="D1255" i="4" s="1"/>
  <c r="Q1262" i="3"/>
  <c r="O1262" i="3"/>
  <c r="M1262" i="3"/>
  <c r="K1262" i="3"/>
  <c r="I1262" i="3"/>
  <c r="P1262" i="3"/>
  <c r="N1262" i="3"/>
  <c r="L1262" i="3"/>
  <c r="J1262" i="3"/>
  <c r="H1262" i="3"/>
  <c r="P1263" i="3"/>
  <c r="N1263" i="3"/>
  <c r="L1263" i="3"/>
  <c r="J1263" i="3"/>
  <c r="H1263" i="3"/>
  <c r="Q1263" i="3"/>
  <c r="O1263" i="3"/>
  <c r="M1263" i="3"/>
  <c r="K1263" i="3"/>
  <c r="I1263" i="3"/>
  <c r="A1259" i="4"/>
  <c r="B1259" i="4" s="1"/>
  <c r="C1259" i="4" s="1"/>
  <c r="D1259" i="4" s="1"/>
  <c r="Q1266" i="3"/>
  <c r="O1266" i="3"/>
  <c r="M1266" i="3"/>
  <c r="K1266" i="3"/>
  <c r="I1266" i="3"/>
  <c r="P1266" i="3"/>
  <c r="N1266" i="3"/>
  <c r="L1266" i="3"/>
  <c r="J1266" i="3"/>
  <c r="H1266" i="3"/>
  <c r="P1267" i="3"/>
  <c r="N1267" i="3"/>
  <c r="L1267" i="3"/>
  <c r="J1267" i="3"/>
  <c r="H1267" i="3"/>
  <c r="Q1267" i="3"/>
  <c r="O1267" i="3"/>
  <c r="M1267" i="3"/>
  <c r="K1267" i="3"/>
  <c r="I1267" i="3"/>
  <c r="A1263" i="4"/>
  <c r="B1263" i="4" s="1"/>
  <c r="C1263" i="4" s="1"/>
  <c r="D1263" i="4" s="1"/>
  <c r="Q1821" i="3"/>
  <c r="O1821" i="3"/>
  <c r="M1821" i="3"/>
  <c r="K1821" i="3"/>
  <c r="I1821" i="3"/>
  <c r="P1821" i="3"/>
  <c r="L1821" i="3"/>
  <c r="H1821" i="3"/>
  <c r="N1821" i="3"/>
  <c r="J1821" i="3"/>
  <c r="Q1823" i="3"/>
  <c r="O1823" i="3"/>
  <c r="M1823" i="3"/>
  <c r="K1823" i="3"/>
  <c r="I1823" i="3"/>
  <c r="N1823" i="3"/>
  <c r="J1823" i="3"/>
  <c r="P1823" i="3"/>
  <c r="L1823" i="3"/>
  <c r="H1823" i="3"/>
  <c r="P1824" i="3"/>
  <c r="N1824" i="3"/>
  <c r="L1824" i="3"/>
  <c r="J1824" i="3"/>
  <c r="H1824" i="3"/>
  <c r="Q1824" i="3"/>
  <c r="M1824" i="3"/>
  <c r="I1824" i="3"/>
  <c r="O1824" i="3"/>
  <c r="K1824" i="3"/>
  <c r="A1820" i="4"/>
  <c r="B1820" i="4" s="1"/>
  <c r="C1820" i="4" s="1"/>
  <c r="D1820" i="4" s="1"/>
  <c r="Q1825" i="3"/>
  <c r="O1825" i="3"/>
  <c r="M1825" i="3"/>
  <c r="K1825" i="3"/>
  <c r="I1825" i="3"/>
  <c r="P1825" i="3"/>
  <c r="L1825" i="3"/>
  <c r="H1825" i="3"/>
  <c r="N1825" i="3"/>
  <c r="J1825" i="3"/>
  <c r="Q1827" i="3"/>
  <c r="O1827" i="3"/>
  <c r="M1827" i="3"/>
  <c r="K1827" i="3"/>
  <c r="I1827" i="3"/>
  <c r="N1827" i="3"/>
  <c r="J1827" i="3"/>
  <c r="P1827" i="3"/>
  <c r="L1827" i="3"/>
  <c r="H1827" i="3"/>
  <c r="P1828" i="3"/>
  <c r="N1828" i="3"/>
  <c r="L1828" i="3"/>
  <c r="J1828" i="3"/>
  <c r="H1828" i="3"/>
  <c r="Q1828" i="3"/>
  <c r="M1828" i="3"/>
  <c r="I1828" i="3"/>
  <c r="O1828" i="3"/>
  <c r="K1828" i="3"/>
  <c r="A1824" i="4"/>
  <c r="B1824" i="4" s="1"/>
  <c r="C1824" i="4" s="1"/>
  <c r="D1824" i="4" s="1"/>
  <c r="Q1829" i="3"/>
  <c r="O1829" i="3"/>
  <c r="M1829" i="3"/>
  <c r="K1829" i="3"/>
  <c r="I1829" i="3"/>
  <c r="P1829" i="3"/>
  <c r="L1829" i="3"/>
  <c r="H1829" i="3"/>
  <c r="N1829" i="3"/>
  <c r="J1829" i="3"/>
  <c r="Q1831" i="3"/>
  <c r="O1831" i="3"/>
  <c r="M1831" i="3"/>
  <c r="K1831" i="3"/>
  <c r="I1831" i="3"/>
  <c r="N1831" i="3"/>
  <c r="J1831" i="3"/>
  <c r="P1831" i="3"/>
  <c r="L1831" i="3"/>
  <c r="H1831" i="3"/>
  <c r="P1832" i="3"/>
  <c r="N1832" i="3"/>
  <c r="L1832" i="3"/>
  <c r="J1832" i="3"/>
  <c r="H1832" i="3"/>
  <c r="Q1832" i="3"/>
  <c r="M1832" i="3"/>
  <c r="I1832" i="3"/>
  <c r="O1832" i="3"/>
  <c r="K1832" i="3"/>
  <c r="A1828" i="4"/>
  <c r="B1828" i="4" s="1"/>
  <c r="C1828" i="4" s="1"/>
  <c r="D1828" i="4" s="1"/>
  <c r="Q1833" i="3"/>
  <c r="O1833" i="3"/>
  <c r="M1833" i="3"/>
  <c r="K1833" i="3"/>
  <c r="I1833" i="3"/>
  <c r="P1833" i="3"/>
  <c r="L1833" i="3"/>
  <c r="H1833" i="3"/>
  <c r="N1833" i="3"/>
  <c r="J1833" i="3"/>
  <c r="Q1835" i="3"/>
  <c r="O1835" i="3"/>
  <c r="M1835" i="3"/>
  <c r="K1835" i="3"/>
  <c r="I1835" i="3"/>
  <c r="N1835" i="3"/>
  <c r="J1835" i="3"/>
  <c r="P1835" i="3"/>
  <c r="L1835" i="3"/>
  <c r="H1835" i="3"/>
  <c r="P1836" i="3"/>
  <c r="N1836" i="3"/>
  <c r="L1836" i="3"/>
  <c r="J1836" i="3"/>
  <c r="H1836" i="3"/>
  <c r="Q1836" i="3"/>
  <c r="M1836" i="3"/>
  <c r="I1836" i="3"/>
  <c r="O1836" i="3"/>
  <c r="K1836" i="3"/>
  <c r="A1832" i="4"/>
  <c r="B1832" i="4" s="1"/>
  <c r="C1832" i="4" s="1"/>
  <c r="D1832" i="4" s="1"/>
  <c r="Q1837" i="3"/>
  <c r="O1837" i="3"/>
  <c r="M1837" i="3"/>
  <c r="K1837" i="3"/>
  <c r="I1837" i="3"/>
  <c r="P1837" i="3"/>
  <c r="L1837" i="3"/>
  <c r="H1837" i="3"/>
  <c r="N1837" i="3"/>
  <c r="J1837" i="3"/>
  <c r="Q1839" i="3"/>
  <c r="O1839" i="3"/>
  <c r="M1839" i="3"/>
  <c r="K1839" i="3"/>
  <c r="I1839" i="3"/>
  <c r="N1839" i="3"/>
  <c r="J1839" i="3"/>
  <c r="P1839" i="3"/>
  <c r="L1839" i="3"/>
  <c r="H1839" i="3"/>
  <c r="P1840" i="3"/>
  <c r="N1840" i="3"/>
  <c r="L1840" i="3"/>
  <c r="J1840" i="3"/>
  <c r="H1840" i="3"/>
  <c r="Q1840" i="3"/>
  <c r="M1840" i="3"/>
  <c r="I1840" i="3"/>
  <c r="O1840" i="3"/>
  <c r="K1840" i="3"/>
  <c r="A1836" i="4"/>
  <c r="B1836" i="4" s="1"/>
  <c r="C1836" i="4" s="1"/>
  <c r="D1836" i="4" s="1"/>
  <c r="Q1841" i="3"/>
  <c r="O1841" i="3"/>
  <c r="M1841" i="3"/>
  <c r="K1841" i="3"/>
  <c r="I1841" i="3"/>
  <c r="P1841" i="3"/>
  <c r="L1841" i="3"/>
  <c r="H1841" i="3"/>
  <c r="N1841" i="3"/>
  <c r="J1841" i="3"/>
  <c r="Q1843" i="3"/>
  <c r="O1843" i="3"/>
  <c r="M1843" i="3"/>
  <c r="K1843" i="3"/>
  <c r="I1843" i="3"/>
  <c r="N1843" i="3"/>
  <c r="J1843" i="3"/>
  <c r="P1843" i="3"/>
  <c r="L1843" i="3"/>
  <c r="H1843" i="3"/>
  <c r="P1844" i="3"/>
  <c r="N1844" i="3"/>
  <c r="L1844" i="3"/>
  <c r="J1844" i="3"/>
  <c r="H1844" i="3"/>
  <c r="Q1844" i="3"/>
  <c r="M1844" i="3"/>
  <c r="I1844" i="3"/>
  <c r="O1844" i="3"/>
  <c r="K1844" i="3"/>
  <c r="A1840" i="4"/>
  <c r="B1840" i="4" s="1"/>
  <c r="C1840" i="4" s="1"/>
  <c r="D1840" i="4" s="1"/>
  <c r="Q1845" i="3"/>
  <c r="O1845" i="3"/>
  <c r="M1845" i="3"/>
  <c r="K1845" i="3"/>
  <c r="I1845" i="3"/>
  <c r="P1845" i="3"/>
  <c r="L1845" i="3"/>
  <c r="H1845" i="3"/>
  <c r="N1845" i="3"/>
  <c r="J1845" i="3"/>
  <c r="Q1847" i="3"/>
  <c r="O1847" i="3"/>
  <c r="M1847" i="3"/>
  <c r="K1847" i="3"/>
  <c r="I1847" i="3"/>
  <c r="N1847" i="3"/>
  <c r="J1847" i="3"/>
  <c r="P1847" i="3"/>
  <c r="L1847" i="3"/>
  <c r="H1847" i="3"/>
  <c r="P1848" i="3"/>
  <c r="N1848" i="3"/>
  <c r="L1848" i="3"/>
  <c r="J1848" i="3"/>
  <c r="H1848" i="3"/>
  <c r="Q1848" i="3"/>
  <c r="M1848" i="3"/>
  <c r="I1848" i="3"/>
  <c r="O1848" i="3"/>
  <c r="K1848" i="3"/>
  <c r="A1844" i="4"/>
  <c r="B1844" i="4" s="1"/>
  <c r="C1844" i="4" s="1"/>
  <c r="D1844" i="4" s="1"/>
  <c r="Q1849" i="3"/>
  <c r="O1849" i="3"/>
  <c r="M1849" i="3"/>
  <c r="K1849" i="3"/>
  <c r="I1849" i="3"/>
  <c r="P1849" i="3"/>
  <c r="L1849" i="3"/>
  <c r="H1849" i="3"/>
  <c r="N1849" i="3"/>
  <c r="J1849" i="3"/>
  <c r="Q1851" i="3"/>
  <c r="O1851" i="3"/>
  <c r="M1851" i="3"/>
  <c r="K1851" i="3"/>
  <c r="I1851" i="3"/>
  <c r="N1851" i="3"/>
  <c r="J1851" i="3"/>
  <c r="P1851" i="3"/>
  <c r="L1851" i="3"/>
  <c r="H1851" i="3"/>
  <c r="P1852" i="3"/>
  <c r="N1852" i="3"/>
  <c r="L1852" i="3"/>
  <c r="J1852" i="3"/>
  <c r="H1852" i="3"/>
  <c r="Q1852" i="3"/>
  <c r="M1852" i="3"/>
  <c r="I1852" i="3"/>
  <c r="O1852" i="3"/>
  <c r="K1852" i="3"/>
  <c r="A1848" i="4"/>
  <c r="B1848" i="4" s="1"/>
  <c r="C1848" i="4" s="1"/>
  <c r="D1848" i="4" s="1"/>
  <c r="Q1853" i="3"/>
  <c r="O1853" i="3"/>
  <c r="M1853" i="3"/>
  <c r="K1853" i="3"/>
  <c r="I1853" i="3"/>
  <c r="P1853" i="3"/>
  <c r="L1853" i="3"/>
  <c r="H1853" i="3"/>
  <c r="N1853" i="3"/>
  <c r="J1853" i="3"/>
  <c r="Q1855" i="3"/>
  <c r="O1855" i="3"/>
  <c r="M1855" i="3"/>
  <c r="K1855" i="3"/>
  <c r="I1855" i="3"/>
  <c r="N1855" i="3"/>
  <c r="J1855" i="3"/>
  <c r="P1855" i="3"/>
  <c r="L1855" i="3"/>
  <c r="H1855" i="3"/>
  <c r="P1856" i="3"/>
  <c r="N1856" i="3"/>
  <c r="L1856" i="3"/>
  <c r="J1856" i="3"/>
  <c r="H1856" i="3"/>
  <c r="Q1856" i="3"/>
  <c r="M1856" i="3"/>
  <c r="I1856" i="3"/>
  <c r="O1856" i="3"/>
  <c r="K1856" i="3"/>
  <c r="A1852" i="4"/>
  <c r="B1852" i="4" s="1"/>
  <c r="C1852" i="4" s="1"/>
  <c r="D1852" i="4" s="1"/>
  <c r="Q1857" i="3"/>
  <c r="O1857" i="3"/>
  <c r="M1857" i="3"/>
  <c r="K1857" i="3"/>
  <c r="I1857" i="3"/>
  <c r="P1857" i="3"/>
  <c r="L1857" i="3"/>
  <c r="H1857" i="3"/>
  <c r="N1857" i="3"/>
  <c r="J1857" i="3"/>
  <c r="Q1859" i="3"/>
  <c r="O1859" i="3"/>
  <c r="M1859" i="3"/>
  <c r="K1859" i="3"/>
  <c r="I1859" i="3"/>
  <c r="N1859" i="3"/>
  <c r="J1859" i="3"/>
  <c r="P1859" i="3"/>
  <c r="L1859" i="3"/>
  <c r="H1859" i="3"/>
  <c r="P1860" i="3"/>
  <c r="N1860" i="3"/>
  <c r="L1860" i="3"/>
  <c r="J1860" i="3"/>
  <c r="H1860" i="3"/>
  <c r="Q1860" i="3"/>
  <c r="M1860" i="3"/>
  <c r="I1860" i="3"/>
  <c r="O1860" i="3"/>
  <c r="K1860" i="3"/>
  <c r="A1856" i="4"/>
  <c r="B1856" i="4" s="1"/>
  <c r="C1856" i="4" s="1"/>
  <c r="D1856" i="4" s="1"/>
  <c r="Q1861" i="3"/>
  <c r="O1861" i="3"/>
  <c r="M1861" i="3"/>
  <c r="K1861" i="3"/>
  <c r="I1861" i="3"/>
  <c r="P1861" i="3"/>
  <c r="L1861" i="3"/>
  <c r="H1861" i="3"/>
  <c r="N1861" i="3"/>
  <c r="J1861" i="3"/>
  <c r="Q1863" i="3"/>
  <c r="O1863" i="3"/>
  <c r="M1863" i="3"/>
  <c r="K1863" i="3"/>
  <c r="I1863" i="3"/>
  <c r="N1863" i="3"/>
  <c r="J1863" i="3"/>
  <c r="P1863" i="3"/>
  <c r="L1863" i="3"/>
  <c r="H1863" i="3"/>
  <c r="P1864" i="3"/>
  <c r="N1864" i="3"/>
  <c r="L1864" i="3"/>
  <c r="J1864" i="3"/>
  <c r="H1864" i="3"/>
  <c r="Q1864" i="3"/>
  <c r="M1864" i="3"/>
  <c r="I1864" i="3"/>
  <c r="O1864" i="3"/>
  <c r="K1864" i="3"/>
  <c r="A1860" i="4"/>
  <c r="B1860" i="4" s="1"/>
  <c r="C1860" i="4" s="1"/>
  <c r="D1860" i="4" s="1"/>
  <c r="Q1865" i="3"/>
  <c r="O1865" i="3"/>
  <c r="M1865" i="3"/>
  <c r="K1865" i="3"/>
  <c r="I1865" i="3"/>
  <c r="P1865" i="3"/>
  <c r="L1865" i="3"/>
  <c r="H1865" i="3"/>
  <c r="N1865" i="3"/>
  <c r="J1865" i="3"/>
  <c r="Q1867" i="3"/>
  <c r="O1867" i="3"/>
  <c r="M1867" i="3"/>
  <c r="K1867" i="3"/>
  <c r="I1867" i="3"/>
  <c r="N1867" i="3"/>
  <c r="J1867" i="3"/>
  <c r="P1867" i="3"/>
  <c r="L1867" i="3"/>
  <c r="H1867" i="3"/>
  <c r="P1868" i="3"/>
  <c r="N1868" i="3"/>
  <c r="L1868" i="3"/>
  <c r="J1868" i="3"/>
  <c r="H1868" i="3"/>
  <c r="Q1868" i="3"/>
  <c r="M1868" i="3"/>
  <c r="I1868" i="3"/>
  <c r="O1868" i="3"/>
  <c r="K1868" i="3"/>
  <c r="A1864" i="4"/>
  <c r="B1864" i="4" s="1"/>
  <c r="C1864" i="4" s="1"/>
  <c r="D1864" i="4" s="1"/>
  <c r="Q1869" i="3"/>
  <c r="O1869" i="3"/>
  <c r="M1869" i="3"/>
  <c r="K1869" i="3"/>
  <c r="I1869" i="3"/>
  <c r="P1869" i="3"/>
  <c r="L1869" i="3"/>
  <c r="H1869" i="3"/>
  <c r="N1869" i="3"/>
  <c r="J1869" i="3"/>
  <c r="Q1871" i="3"/>
  <c r="O1871" i="3"/>
  <c r="M1871" i="3"/>
  <c r="K1871" i="3"/>
  <c r="I1871" i="3"/>
  <c r="N1871" i="3"/>
  <c r="J1871" i="3"/>
  <c r="P1871" i="3"/>
  <c r="L1871" i="3"/>
  <c r="H1871" i="3"/>
  <c r="P1872" i="3"/>
  <c r="N1872" i="3"/>
  <c r="L1872" i="3"/>
  <c r="J1872" i="3"/>
  <c r="H1872" i="3"/>
  <c r="Q1872" i="3"/>
  <c r="M1872" i="3"/>
  <c r="I1872" i="3"/>
  <c r="O1872" i="3"/>
  <c r="K1872" i="3"/>
  <c r="A1868" i="4"/>
  <c r="B1868" i="4" s="1"/>
  <c r="C1868" i="4" s="1"/>
  <c r="D1868" i="4" s="1"/>
  <c r="Q1873" i="3"/>
  <c r="O1873" i="3"/>
  <c r="M1873" i="3"/>
  <c r="K1873" i="3"/>
  <c r="I1873" i="3"/>
  <c r="P1873" i="3"/>
  <c r="L1873" i="3"/>
  <c r="H1873" i="3"/>
  <c r="N1873" i="3"/>
  <c r="J1873" i="3"/>
  <c r="Q1875" i="3"/>
  <c r="O1875" i="3"/>
  <c r="M1875" i="3"/>
  <c r="K1875" i="3"/>
  <c r="I1875" i="3"/>
  <c r="N1875" i="3"/>
  <c r="J1875" i="3"/>
  <c r="P1875" i="3"/>
  <c r="L1875" i="3"/>
  <c r="H1875" i="3"/>
  <c r="P1876" i="3"/>
  <c r="N1876" i="3"/>
  <c r="L1876" i="3"/>
  <c r="J1876" i="3"/>
  <c r="H1876" i="3"/>
  <c r="Q1876" i="3"/>
  <c r="M1876" i="3"/>
  <c r="I1876" i="3"/>
  <c r="O1876" i="3"/>
  <c r="K1876" i="3"/>
  <c r="A1872" i="4"/>
  <c r="B1872" i="4" s="1"/>
  <c r="C1872" i="4" s="1"/>
  <c r="D1872" i="4" s="1"/>
  <c r="Q1877" i="3"/>
  <c r="O1877" i="3"/>
  <c r="M1877" i="3"/>
  <c r="K1877" i="3"/>
  <c r="I1877" i="3"/>
  <c r="P1877" i="3"/>
  <c r="L1877" i="3"/>
  <c r="H1877" i="3"/>
  <c r="N1877" i="3"/>
  <c r="J1877" i="3"/>
  <c r="Q1879" i="3"/>
  <c r="O1879" i="3"/>
  <c r="M1879" i="3"/>
  <c r="K1879" i="3"/>
  <c r="I1879" i="3"/>
  <c r="N1879" i="3"/>
  <c r="J1879" i="3"/>
  <c r="P1879" i="3"/>
  <c r="L1879" i="3"/>
  <c r="H1879" i="3"/>
  <c r="P1880" i="3"/>
  <c r="N1880" i="3"/>
  <c r="L1880" i="3"/>
  <c r="J1880" i="3"/>
  <c r="H1880" i="3"/>
  <c r="Q1880" i="3"/>
  <c r="M1880" i="3"/>
  <c r="I1880" i="3"/>
  <c r="O1880" i="3"/>
  <c r="K1880" i="3"/>
  <c r="A1876" i="4"/>
  <c r="B1876" i="4" s="1"/>
  <c r="C1876" i="4" s="1"/>
  <c r="D1876" i="4" s="1"/>
  <c r="Q1881" i="3"/>
  <c r="O1881" i="3"/>
  <c r="M1881" i="3"/>
  <c r="K1881" i="3"/>
  <c r="I1881" i="3"/>
  <c r="P1881" i="3"/>
  <c r="L1881" i="3"/>
  <c r="H1881" i="3"/>
  <c r="N1881" i="3"/>
  <c r="J1881" i="3"/>
  <c r="Q1883" i="3"/>
  <c r="O1883" i="3"/>
  <c r="M1883" i="3"/>
  <c r="K1883" i="3"/>
  <c r="I1883" i="3"/>
  <c r="N1883" i="3"/>
  <c r="J1883" i="3"/>
  <c r="P1883" i="3"/>
  <c r="L1883" i="3"/>
  <c r="H1883" i="3"/>
  <c r="P1884" i="3"/>
  <c r="N1884" i="3"/>
  <c r="L1884" i="3"/>
  <c r="J1884" i="3"/>
  <c r="H1884" i="3"/>
  <c r="Q1884" i="3"/>
  <c r="M1884" i="3"/>
  <c r="I1884" i="3"/>
  <c r="O1884" i="3"/>
  <c r="K1884" i="3"/>
  <c r="A1880" i="4"/>
  <c r="B1880" i="4" s="1"/>
  <c r="C1880" i="4" s="1"/>
  <c r="D1880" i="4" s="1"/>
  <c r="Q1885" i="3"/>
  <c r="O1885" i="3"/>
  <c r="M1885" i="3"/>
  <c r="K1885" i="3"/>
  <c r="I1885" i="3"/>
  <c r="P1885" i="3"/>
  <c r="L1885" i="3"/>
  <c r="H1885" i="3"/>
  <c r="N1885" i="3"/>
  <c r="J1885" i="3"/>
  <c r="Q1887" i="3"/>
  <c r="O1887" i="3"/>
  <c r="M1887" i="3"/>
  <c r="K1887" i="3"/>
  <c r="I1887" i="3"/>
  <c r="N1887" i="3"/>
  <c r="J1887" i="3"/>
  <c r="P1887" i="3"/>
  <c r="L1887" i="3"/>
  <c r="H1887" i="3"/>
  <c r="P1888" i="3"/>
  <c r="N1888" i="3"/>
  <c r="L1888" i="3"/>
  <c r="J1888" i="3"/>
  <c r="H1888" i="3"/>
  <c r="Q1888" i="3"/>
  <c r="M1888" i="3"/>
  <c r="I1888" i="3"/>
  <c r="O1888" i="3"/>
  <c r="K1888" i="3"/>
  <c r="A1884" i="4"/>
  <c r="B1884" i="4" s="1"/>
  <c r="C1884" i="4" s="1"/>
  <c r="D1884" i="4" s="1"/>
  <c r="Q1889" i="3"/>
  <c r="O1889" i="3"/>
  <c r="M1889" i="3"/>
  <c r="K1889" i="3"/>
  <c r="I1889" i="3"/>
  <c r="P1889" i="3"/>
  <c r="L1889" i="3"/>
  <c r="H1889" i="3"/>
  <c r="N1889" i="3"/>
  <c r="J1889" i="3"/>
  <c r="Q1891" i="3"/>
  <c r="O1891" i="3"/>
  <c r="M1891" i="3"/>
  <c r="K1891" i="3"/>
  <c r="I1891" i="3"/>
  <c r="N1891" i="3"/>
  <c r="J1891" i="3"/>
  <c r="P1891" i="3"/>
  <c r="L1891" i="3"/>
  <c r="H1891" i="3"/>
  <c r="P1892" i="3"/>
  <c r="N1892" i="3"/>
  <c r="L1892" i="3"/>
  <c r="J1892" i="3"/>
  <c r="H1892" i="3"/>
  <c r="Q1892" i="3"/>
  <c r="M1892" i="3"/>
  <c r="I1892" i="3"/>
  <c r="O1892" i="3"/>
  <c r="K1892" i="3"/>
  <c r="A1888" i="4"/>
  <c r="B1888" i="4" s="1"/>
  <c r="C1888" i="4" s="1"/>
  <c r="D1888" i="4" s="1"/>
  <c r="Q1893" i="3"/>
  <c r="O1893" i="3"/>
  <c r="M1893" i="3"/>
  <c r="K1893" i="3"/>
  <c r="I1893" i="3"/>
  <c r="P1893" i="3"/>
  <c r="L1893" i="3"/>
  <c r="H1893" i="3"/>
  <c r="N1893" i="3"/>
  <c r="J1893" i="3"/>
  <c r="Q1895" i="3"/>
  <c r="O1895" i="3"/>
  <c r="M1895" i="3"/>
  <c r="K1895" i="3"/>
  <c r="I1895" i="3"/>
  <c r="N1895" i="3"/>
  <c r="J1895" i="3"/>
  <c r="P1895" i="3"/>
  <c r="L1895" i="3"/>
  <c r="H1895" i="3"/>
  <c r="P1896" i="3"/>
  <c r="N1896" i="3"/>
  <c r="L1896" i="3"/>
  <c r="J1896" i="3"/>
  <c r="H1896" i="3"/>
  <c r="Q1896" i="3"/>
  <c r="M1896" i="3"/>
  <c r="I1896" i="3"/>
  <c r="O1896" i="3"/>
  <c r="K1896" i="3"/>
  <c r="A1892" i="4"/>
  <c r="B1892" i="4" s="1"/>
  <c r="C1892" i="4" s="1"/>
  <c r="D1892" i="4" s="1"/>
  <c r="Q1897" i="3"/>
  <c r="O1897" i="3"/>
  <c r="M1897" i="3"/>
  <c r="K1897" i="3"/>
  <c r="I1897" i="3"/>
  <c r="P1897" i="3"/>
  <c r="L1897" i="3"/>
  <c r="H1897" i="3"/>
  <c r="N1897" i="3"/>
  <c r="J1897" i="3"/>
  <c r="Q1899" i="3"/>
  <c r="O1899" i="3"/>
  <c r="M1899" i="3"/>
  <c r="K1899" i="3"/>
  <c r="I1899" i="3"/>
  <c r="P1899" i="3"/>
  <c r="N1899" i="3"/>
  <c r="L1899" i="3"/>
  <c r="J1899" i="3"/>
  <c r="H1899" i="3"/>
  <c r="P1900" i="3"/>
  <c r="N1900" i="3"/>
  <c r="L1900" i="3"/>
  <c r="J1900" i="3"/>
  <c r="H1900" i="3"/>
  <c r="Q1900" i="3"/>
  <c r="O1900" i="3"/>
  <c r="M1900" i="3"/>
  <c r="K1900" i="3"/>
  <c r="I1900" i="3"/>
  <c r="A1896" i="4"/>
  <c r="B1896" i="4" s="1"/>
  <c r="C1896" i="4" s="1"/>
  <c r="D1896" i="4" s="1"/>
  <c r="Q1901" i="3"/>
  <c r="O1901" i="3"/>
  <c r="M1901" i="3"/>
  <c r="K1901" i="3"/>
  <c r="I1901" i="3"/>
  <c r="P1901" i="3"/>
  <c r="N1901" i="3"/>
  <c r="L1901" i="3"/>
  <c r="J1901" i="3"/>
  <c r="H1901" i="3"/>
  <c r="P1902" i="3"/>
  <c r="N1902" i="3"/>
  <c r="L1902" i="3"/>
  <c r="J1902" i="3"/>
  <c r="H1902" i="3"/>
  <c r="Q1902" i="3"/>
  <c r="O1902" i="3"/>
  <c r="M1902" i="3"/>
  <c r="K1902" i="3"/>
  <c r="I1902" i="3"/>
  <c r="A1898" i="4"/>
  <c r="B1898" i="4" s="1"/>
  <c r="C1898" i="4" s="1"/>
  <c r="D1898" i="4" s="1"/>
  <c r="Q1903" i="3"/>
  <c r="O1903" i="3"/>
  <c r="M1903" i="3"/>
  <c r="K1903" i="3"/>
  <c r="I1903" i="3"/>
  <c r="P1903" i="3"/>
  <c r="N1903" i="3"/>
  <c r="L1903" i="3"/>
  <c r="J1903" i="3"/>
  <c r="H1903" i="3"/>
  <c r="P1904" i="3"/>
  <c r="N1904" i="3"/>
  <c r="L1904" i="3"/>
  <c r="J1904" i="3"/>
  <c r="H1904" i="3"/>
  <c r="Q1904" i="3"/>
  <c r="O1904" i="3"/>
  <c r="M1904" i="3"/>
  <c r="K1904" i="3"/>
  <c r="I1904" i="3"/>
  <c r="A1900" i="4"/>
  <c r="B1900" i="4" s="1"/>
  <c r="C1900" i="4" s="1"/>
  <c r="D1900" i="4" s="1"/>
  <c r="Q1905" i="3"/>
  <c r="O1905" i="3"/>
  <c r="M1905" i="3"/>
  <c r="K1905" i="3"/>
  <c r="I1905" i="3"/>
  <c r="P1905" i="3"/>
  <c r="N1905" i="3"/>
  <c r="L1905" i="3"/>
  <c r="J1905" i="3"/>
  <c r="H1905" i="3"/>
  <c r="P1906" i="3"/>
  <c r="N1906" i="3"/>
  <c r="L1906" i="3"/>
  <c r="J1906" i="3"/>
  <c r="H1906" i="3"/>
  <c r="Q1906" i="3"/>
  <c r="O1906" i="3"/>
  <c r="M1906" i="3"/>
  <c r="K1906" i="3"/>
  <c r="I1906" i="3"/>
  <c r="A1902" i="4"/>
  <c r="B1902" i="4" s="1"/>
  <c r="C1902" i="4" s="1"/>
  <c r="D1902" i="4" s="1"/>
  <c r="Q1907" i="3"/>
  <c r="O1907" i="3"/>
  <c r="M1907" i="3"/>
  <c r="K1907" i="3"/>
  <c r="I1907" i="3"/>
  <c r="P1907" i="3"/>
  <c r="N1907" i="3"/>
  <c r="L1907" i="3"/>
  <c r="J1907" i="3"/>
  <c r="H1907" i="3"/>
  <c r="P1908" i="3"/>
  <c r="N1908" i="3"/>
  <c r="L1908" i="3"/>
  <c r="J1908" i="3"/>
  <c r="H1908" i="3"/>
  <c r="Q1908" i="3"/>
  <c r="O1908" i="3"/>
  <c r="M1908" i="3"/>
  <c r="K1908" i="3"/>
  <c r="I1908" i="3"/>
  <c r="A1904" i="4"/>
  <c r="B1904" i="4" s="1"/>
  <c r="C1904" i="4" s="1"/>
  <c r="D1904" i="4" s="1"/>
  <c r="Q1909" i="3"/>
  <c r="O1909" i="3"/>
  <c r="M1909" i="3"/>
  <c r="K1909" i="3"/>
  <c r="I1909" i="3"/>
  <c r="P1909" i="3"/>
  <c r="N1909" i="3"/>
  <c r="L1909" i="3"/>
  <c r="J1909" i="3"/>
  <c r="H1909" i="3"/>
  <c r="P1910" i="3"/>
  <c r="N1910" i="3"/>
  <c r="L1910" i="3"/>
  <c r="J1910" i="3"/>
  <c r="H1910" i="3"/>
  <c r="Q1910" i="3"/>
  <c r="O1910" i="3"/>
  <c r="M1910" i="3"/>
  <c r="K1910" i="3"/>
  <c r="I1910" i="3"/>
  <c r="A1906" i="4"/>
  <c r="B1906" i="4" s="1"/>
  <c r="C1906" i="4" s="1"/>
  <c r="D1906" i="4" s="1"/>
  <c r="Q1911" i="3"/>
  <c r="O1911" i="3"/>
  <c r="M1911" i="3"/>
  <c r="K1911" i="3"/>
  <c r="I1911" i="3"/>
  <c r="P1911" i="3"/>
  <c r="N1911" i="3"/>
  <c r="L1911" i="3"/>
  <c r="J1911" i="3"/>
  <c r="H1911" i="3"/>
  <c r="P1912" i="3"/>
  <c r="N1912" i="3"/>
  <c r="L1912" i="3"/>
  <c r="J1912" i="3"/>
  <c r="H1912" i="3"/>
  <c r="Q1912" i="3"/>
  <c r="O1912" i="3"/>
  <c r="M1912" i="3"/>
  <c r="K1912" i="3"/>
  <c r="I1912" i="3"/>
  <c r="A1908" i="4"/>
  <c r="B1908" i="4" s="1"/>
  <c r="C1908" i="4" s="1"/>
  <c r="D1908" i="4" s="1"/>
  <c r="Q1913" i="3"/>
  <c r="O1913" i="3"/>
  <c r="M1913" i="3"/>
  <c r="K1913" i="3"/>
  <c r="I1913" i="3"/>
  <c r="P1913" i="3"/>
  <c r="N1913" i="3"/>
  <c r="L1913" i="3"/>
  <c r="J1913" i="3"/>
  <c r="H1913" i="3"/>
  <c r="P1914" i="3"/>
  <c r="N1914" i="3"/>
  <c r="L1914" i="3"/>
  <c r="J1914" i="3"/>
  <c r="H1914" i="3"/>
  <c r="Q1914" i="3"/>
  <c r="O1914" i="3"/>
  <c r="M1914" i="3"/>
  <c r="K1914" i="3"/>
  <c r="I1914" i="3"/>
  <c r="A1910" i="4"/>
  <c r="B1910" i="4" s="1"/>
  <c r="C1910" i="4" s="1"/>
  <c r="D1910" i="4" s="1"/>
  <c r="Q1915" i="3"/>
  <c r="O1915" i="3"/>
  <c r="M1915" i="3"/>
  <c r="K1915" i="3"/>
  <c r="I1915" i="3"/>
  <c r="P1915" i="3"/>
  <c r="N1915" i="3"/>
  <c r="L1915" i="3"/>
  <c r="J1915" i="3"/>
  <c r="H1915" i="3"/>
  <c r="P1916" i="3"/>
  <c r="N1916" i="3"/>
  <c r="L1916" i="3"/>
  <c r="J1916" i="3"/>
  <c r="H1916" i="3"/>
  <c r="Q1916" i="3"/>
  <c r="O1916" i="3"/>
  <c r="M1916" i="3"/>
  <c r="K1916" i="3"/>
  <c r="I1916" i="3"/>
  <c r="A1912" i="4"/>
  <c r="B1912" i="4" s="1"/>
  <c r="C1912" i="4" s="1"/>
  <c r="D1912" i="4" s="1"/>
  <c r="Q1917" i="3"/>
  <c r="O1917" i="3"/>
  <c r="M1917" i="3"/>
  <c r="K1917" i="3"/>
  <c r="I1917" i="3"/>
  <c r="P1917" i="3"/>
  <c r="N1917" i="3"/>
  <c r="L1917" i="3"/>
  <c r="J1917" i="3"/>
  <c r="H1917" i="3"/>
  <c r="P1918" i="3"/>
  <c r="N1918" i="3"/>
  <c r="L1918" i="3"/>
  <c r="J1918" i="3"/>
  <c r="H1918" i="3"/>
  <c r="Q1918" i="3"/>
  <c r="O1918" i="3"/>
  <c r="M1918" i="3"/>
  <c r="K1918" i="3"/>
  <c r="I1918" i="3"/>
  <c r="A1914" i="4"/>
  <c r="B1914" i="4" s="1"/>
  <c r="C1914" i="4" s="1"/>
  <c r="D1914" i="4" s="1"/>
  <c r="Q1919" i="3"/>
  <c r="O1919" i="3"/>
  <c r="M1919" i="3"/>
  <c r="K1919" i="3"/>
  <c r="I1919" i="3"/>
  <c r="P1919" i="3"/>
  <c r="N1919" i="3"/>
  <c r="L1919" i="3"/>
  <c r="J1919" i="3"/>
  <c r="H1919" i="3"/>
  <c r="P1920" i="3"/>
  <c r="N1920" i="3"/>
  <c r="L1920" i="3"/>
  <c r="J1920" i="3"/>
  <c r="H1920" i="3"/>
  <c r="Q1920" i="3"/>
  <c r="O1920" i="3"/>
  <c r="M1920" i="3"/>
  <c r="K1920" i="3"/>
  <c r="I1920" i="3"/>
  <c r="A1916" i="4"/>
  <c r="B1916" i="4" s="1"/>
  <c r="C1916" i="4" s="1"/>
  <c r="D1916" i="4" s="1"/>
  <c r="Q1921" i="3"/>
  <c r="O1921" i="3"/>
  <c r="M1921" i="3"/>
  <c r="K1921" i="3"/>
  <c r="I1921" i="3"/>
  <c r="P1921" i="3"/>
  <c r="N1921" i="3"/>
  <c r="L1921" i="3"/>
  <c r="J1921" i="3"/>
  <c r="H1921" i="3"/>
  <c r="P1922" i="3"/>
  <c r="N1922" i="3"/>
  <c r="L1922" i="3"/>
  <c r="J1922" i="3"/>
  <c r="H1922" i="3"/>
  <c r="Q1922" i="3"/>
  <c r="O1922" i="3"/>
  <c r="M1922" i="3"/>
  <c r="K1922" i="3"/>
  <c r="I1922" i="3"/>
  <c r="A1918" i="4"/>
  <c r="B1918" i="4" s="1"/>
  <c r="C1918" i="4" s="1"/>
  <c r="D1918" i="4" s="1"/>
  <c r="Q1923" i="3"/>
  <c r="O1923" i="3"/>
  <c r="M1923" i="3"/>
  <c r="K1923" i="3"/>
  <c r="I1923" i="3"/>
  <c r="P1923" i="3"/>
  <c r="N1923" i="3"/>
  <c r="L1923" i="3"/>
  <c r="J1923" i="3"/>
  <c r="H1923" i="3"/>
  <c r="P1924" i="3"/>
  <c r="N1924" i="3"/>
  <c r="L1924" i="3"/>
  <c r="J1924" i="3"/>
  <c r="H1924" i="3"/>
  <c r="Q1924" i="3"/>
  <c r="O1924" i="3"/>
  <c r="M1924" i="3"/>
  <c r="K1924" i="3"/>
  <c r="I1924" i="3"/>
  <c r="A1920" i="4"/>
  <c r="B1920" i="4" s="1"/>
  <c r="C1920" i="4" s="1"/>
  <c r="D1920" i="4" s="1"/>
  <c r="Q1925" i="3"/>
  <c r="O1925" i="3"/>
  <c r="M1925" i="3"/>
  <c r="K1925" i="3"/>
  <c r="I1925" i="3"/>
  <c r="P1925" i="3"/>
  <c r="N1925" i="3"/>
  <c r="L1925" i="3"/>
  <c r="J1925" i="3"/>
  <c r="H1925" i="3"/>
  <c r="P1926" i="3"/>
  <c r="N1926" i="3"/>
  <c r="L1926" i="3"/>
  <c r="J1926" i="3"/>
  <c r="H1926" i="3"/>
  <c r="Q1926" i="3"/>
  <c r="O1926" i="3"/>
  <c r="M1926" i="3"/>
  <c r="K1926" i="3"/>
  <c r="I1926" i="3"/>
  <c r="A1922" i="4"/>
  <c r="B1922" i="4" s="1"/>
  <c r="C1922" i="4" s="1"/>
  <c r="D1922" i="4" s="1"/>
  <c r="Q1927" i="3"/>
  <c r="O1927" i="3"/>
  <c r="M1927" i="3"/>
  <c r="K1927" i="3"/>
  <c r="I1927" i="3"/>
  <c r="P1927" i="3"/>
  <c r="N1927" i="3"/>
  <c r="L1927" i="3"/>
  <c r="J1927" i="3"/>
  <c r="H1927" i="3"/>
  <c r="P1928" i="3"/>
  <c r="N1928" i="3"/>
  <c r="L1928" i="3"/>
  <c r="J1928" i="3"/>
  <c r="H1928" i="3"/>
  <c r="Q1928" i="3"/>
  <c r="O1928" i="3"/>
  <c r="M1928" i="3"/>
  <c r="K1928" i="3"/>
  <c r="I1928" i="3"/>
  <c r="A1924" i="4"/>
  <c r="B1924" i="4" s="1"/>
  <c r="C1924" i="4" s="1"/>
  <c r="D1924" i="4" s="1"/>
  <c r="Q1929" i="3"/>
  <c r="O1929" i="3"/>
  <c r="M1929" i="3"/>
  <c r="K1929" i="3"/>
  <c r="I1929" i="3"/>
  <c r="P1929" i="3"/>
  <c r="N1929" i="3"/>
  <c r="L1929" i="3"/>
  <c r="J1929" i="3"/>
  <c r="H1929" i="3"/>
  <c r="P1930" i="3"/>
  <c r="N1930" i="3"/>
  <c r="L1930" i="3"/>
  <c r="J1930" i="3"/>
  <c r="H1930" i="3"/>
  <c r="Q1930" i="3"/>
  <c r="O1930" i="3"/>
  <c r="M1930" i="3"/>
  <c r="K1930" i="3"/>
  <c r="I1930" i="3"/>
  <c r="A1926" i="4"/>
  <c r="B1926" i="4" s="1"/>
  <c r="C1926" i="4" s="1"/>
  <c r="D1926" i="4" s="1"/>
  <c r="Q1931" i="3"/>
  <c r="O1931" i="3"/>
  <c r="M1931" i="3"/>
  <c r="K1931" i="3"/>
  <c r="I1931" i="3"/>
  <c r="P1931" i="3"/>
  <c r="N1931" i="3"/>
  <c r="L1931" i="3"/>
  <c r="J1931" i="3"/>
  <c r="H1931" i="3"/>
  <c r="P1932" i="3"/>
  <c r="N1932" i="3"/>
  <c r="L1932" i="3"/>
  <c r="J1932" i="3"/>
  <c r="H1932" i="3"/>
  <c r="Q1932" i="3"/>
  <c r="O1932" i="3"/>
  <c r="M1932" i="3"/>
  <c r="K1932" i="3"/>
  <c r="I1932" i="3"/>
  <c r="A1928" i="4"/>
  <c r="B1928" i="4" s="1"/>
  <c r="C1928" i="4" s="1"/>
  <c r="D1928" i="4" s="1"/>
  <c r="Q1933" i="3"/>
  <c r="O1933" i="3"/>
  <c r="M1933" i="3"/>
  <c r="K1933" i="3"/>
  <c r="I1933" i="3"/>
  <c r="P1933" i="3"/>
  <c r="N1933" i="3"/>
  <c r="L1933" i="3"/>
  <c r="J1933" i="3"/>
  <c r="H1933" i="3"/>
  <c r="P1934" i="3"/>
  <c r="N1934" i="3"/>
  <c r="L1934" i="3"/>
  <c r="J1934" i="3"/>
  <c r="H1934" i="3"/>
  <c r="Q1934" i="3"/>
  <c r="O1934" i="3"/>
  <c r="M1934" i="3"/>
  <c r="K1934" i="3"/>
  <c r="I1934" i="3"/>
  <c r="A1930" i="4"/>
  <c r="B1930" i="4" s="1"/>
  <c r="C1930" i="4" s="1"/>
  <c r="D1930" i="4" s="1"/>
  <c r="Q1935" i="3"/>
  <c r="O1935" i="3"/>
  <c r="M1935" i="3"/>
  <c r="K1935" i="3"/>
  <c r="I1935" i="3"/>
  <c r="P1935" i="3"/>
  <c r="N1935" i="3"/>
  <c r="L1935" i="3"/>
  <c r="J1935" i="3"/>
  <c r="H1935" i="3"/>
  <c r="P1936" i="3"/>
  <c r="N1936" i="3"/>
  <c r="L1936" i="3"/>
  <c r="J1936" i="3"/>
  <c r="H1936" i="3"/>
  <c r="Q1936" i="3"/>
  <c r="O1936" i="3"/>
  <c r="M1936" i="3"/>
  <c r="K1936" i="3"/>
  <c r="I1936" i="3"/>
  <c r="A1932" i="4"/>
  <c r="B1932" i="4" s="1"/>
  <c r="C1932" i="4" s="1"/>
  <c r="D1932" i="4" s="1"/>
  <c r="Q1937" i="3"/>
  <c r="O1937" i="3"/>
  <c r="M1937" i="3"/>
  <c r="K1937" i="3"/>
  <c r="I1937" i="3"/>
  <c r="P1937" i="3"/>
  <c r="N1937" i="3"/>
  <c r="L1937" i="3"/>
  <c r="J1937" i="3"/>
  <c r="H1937" i="3"/>
  <c r="P1938" i="3"/>
  <c r="N1938" i="3"/>
  <c r="L1938" i="3"/>
  <c r="J1938" i="3"/>
  <c r="H1938" i="3"/>
  <c r="Q1938" i="3"/>
  <c r="O1938" i="3"/>
  <c r="M1938" i="3"/>
  <c r="K1938" i="3"/>
  <c r="I1938" i="3"/>
  <c r="A1934" i="4"/>
  <c r="B1934" i="4" s="1"/>
  <c r="C1934" i="4" s="1"/>
  <c r="D1934" i="4" s="1"/>
  <c r="Q1939" i="3"/>
  <c r="O1939" i="3"/>
  <c r="M1939" i="3"/>
  <c r="K1939" i="3"/>
  <c r="I1939" i="3"/>
  <c r="P1939" i="3"/>
  <c r="N1939" i="3"/>
  <c r="L1939" i="3"/>
  <c r="J1939" i="3"/>
  <c r="H1939" i="3"/>
  <c r="P1940" i="3"/>
  <c r="N1940" i="3"/>
  <c r="L1940" i="3"/>
  <c r="J1940" i="3"/>
  <c r="H1940" i="3"/>
  <c r="Q1940" i="3"/>
  <c r="O1940" i="3"/>
  <c r="M1940" i="3"/>
  <c r="K1940" i="3"/>
  <c r="I1940" i="3"/>
  <c r="A1936" i="4"/>
  <c r="B1936" i="4" s="1"/>
  <c r="C1936" i="4" s="1"/>
  <c r="D1936" i="4" s="1"/>
  <c r="Q1941" i="3"/>
  <c r="O1941" i="3"/>
  <c r="M1941" i="3"/>
  <c r="K1941" i="3"/>
  <c r="I1941" i="3"/>
  <c r="P1941" i="3"/>
  <c r="N1941" i="3"/>
  <c r="L1941" i="3"/>
  <c r="J1941" i="3"/>
  <c r="H1941" i="3"/>
  <c r="P1942" i="3"/>
  <c r="N1942" i="3"/>
  <c r="L1942" i="3"/>
  <c r="J1942" i="3"/>
  <c r="H1942" i="3"/>
  <c r="Q1942" i="3"/>
  <c r="O1942" i="3"/>
  <c r="M1942" i="3"/>
  <c r="K1942" i="3"/>
  <c r="I1942" i="3"/>
  <c r="A1938" i="4"/>
  <c r="B1938" i="4" s="1"/>
  <c r="C1938" i="4" s="1"/>
  <c r="D1938" i="4" s="1"/>
  <c r="Q1943" i="3"/>
  <c r="O1943" i="3"/>
  <c r="M1943" i="3"/>
  <c r="K1943" i="3"/>
  <c r="I1943" i="3"/>
  <c r="P1943" i="3"/>
  <c r="N1943" i="3"/>
  <c r="L1943" i="3"/>
  <c r="J1943" i="3"/>
  <c r="H1943" i="3"/>
  <c r="P1944" i="3"/>
  <c r="N1944" i="3"/>
  <c r="L1944" i="3"/>
  <c r="J1944" i="3"/>
  <c r="H1944" i="3"/>
  <c r="Q1944" i="3"/>
  <c r="O1944" i="3"/>
  <c r="M1944" i="3"/>
  <c r="K1944" i="3"/>
  <c r="I1944" i="3"/>
  <c r="A1940" i="4"/>
  <c r="B1940" i="4" s="1"/>
  <c r="C1940" i="4" s="1"/>
  <c r="D1940" i="4" s="1"/>
  <c r="Q1945" i="3"/>
  <c r="O1945" i="3"/>
  <c r="M1945" i="3"/>
  <c r="K1945" i="3"/>
  <c r="I1945" i="3"/>
  <c r="P1945" i="3"/>
  <c r="N1945" i="3"/>
  <c r="L1945" i="3"/>
  <c r="J1945" i="3"/>
  <c r="H1945" i="3"/>
  <c r="P1946" i="3"/>
  <c r="N1946" i="3"/>
  <c r="L1946" i="3"/>
  <c r="J1946" i="3"/>
  <c r="H1946" i="3"/>
  <c r="Q1946" i="3"/>
  <c r="O1946" i="3"/>
  <c r="M1946" i="3"/>
  <c r="K1946" i="3"/>
  <c r="I1946" i="3"/>
  <c r="A1942" i="4"/>
  <c r="B1942" i="4" s="1"/>
  <c r="C1942" i="4" s="1"/>
  <c r="D1942" i="4" s="1"/>
  <c r="Q1947" i="3"/>
  <c r="O1947" i="3"/>
  <c r="M1947" i="3"/>
  <c r="K1947" i="3"/>
  <c r="I1947" i="3"/>
  <c r="P1947" i="3"/>
  <c r="N1947" i="3"/>
  <c r="L1947" i="3"/>
  <c r="J1947" i="3"/>
  <c r="H1947" i="3"/>
  <c r="P1948" i="3"/>
  <c r="N1948" i="3"/>
  <c r="L1948" i="3"/>
  <c r="J1948" i="3"/>
  <c r="H1948" i="3"/>
  <c r="Q1948" i="3"/>
  <c r="O1948" i="3"/>
  <c r="M1948" i="3"/>
  <c r="K1948" i="3"/>
  <c r="I1948" i="3"/>
  <c r="A1944" i="4"/>
  <c r="B1944" i="4" s="1"/>
  <c r="C1944" i="4" s="1"/>
  <c r="D1944" i="4" s="1"/>
  <c r="Q1949" i="3"/>
  <c r="O1949" i="3"/>
  <c r="M1949" i="3"/>
  <c r="K1949" i="3"/>
  <c r="I1949" i="3"/>
  <c r="P1949" i="3"/>
  <c r="N1949" i="3"/>
  <c r="L1949" i="3"/>
  <c r="J1949" i="3"/>
  <c r="H1949" i="3"/>
  <c r="P1950" i="3"/>
  <c r="N1950" i="3"/>
  <c r="L1950" i="3"/>
  <c r="J1950" i="3"/>
  <c r="H1950" i="3"/>
  <c r="Q1950" i="3"/>
  <c r="O1950" i="3"/>
  <c r="M1950" i="3"/>
  <c r="K1950" i="3"/>
  <c r="I1950" i="3"/>
  <c r="A1946" i="4"/>
  <c r="B1946" i="4" s="1"/>
  <c r="C1946" i="4" s="1"/>
  <c r="D1946" i="4" s="1"/>
  <c r="Q1951" i="3"/>
  <c r="O1951" i="3"/>
  <c r="M1951" i="3"/>
  <c r="K1951" i="3"/>
  <c r="I1951" i="3"/>
  <c r="P1951" i="3"/>
  <c r="N1951" i="3"/>
  <c r="L1951" i="3"/>
  <c r="J1951" i="3"/>
  <c r="H1951" i="3"/>
  <c r="P1952" i="3"/>
  <c r="N1952" i="3"/>
  <c r="L1952" i="3"/>
  <c r="J1952" i="3"/>
  <c r="H1952" i="3"/>
  <c r="Q1952" i="3"/>
  <c r="O1952" i="3"/>
  <c r="M1952" i="3"/>
  <c r="K1952" i="3"/>
  <c r="I1952" i="3"/>
  <c r="A1948" i="4"/>
  <c r="B1948" i="4" s="1"/>
  <c r="C1948" i="4" s="1"/>
  <c r="D1948" i="4" s="1"/>
  <c r="Q1953" i="3"/>
  <c r="O1953" i="3"/>
  <c r="M1953" i="3"/>
  <c r="K1953" i="3"/>
  <c r="I1953" i="3"/>
  <c r="P1953" i="3"/>
  <c r="N1953" i="3"/>
  <c r="L1953" i="3"/>
  <c r="J1953" i="3"/>
  <c r="H1953" i="3"/>
  <c r="P1954" i="3"/>
  <c r="N1954" i="3"/>
  <c r="L1954" i="3"/>
  <c r="J1954" i="3"/>
  <c r="H1954" i="3"/>
  <c r="Q1954" i="3"/>
  <c r="O1954" i="3"/>
  <c r="M1954" i="3"/>
  <c r="K1954" i="3"/>
  <c r="I1954" i="3"/>
  <c r="A1950" i="4"/>
  <c r="B1950" i="4" s="1"/>
  <c r="C1950" i="4" s="1"/>
  <c r="D1950" i="4" s="1"/>
  <c r="Q1955" i="3"/>
  <c r="O1955" i="3"/>
  <c r="M1955" i="3"/>
  <c r="K1955" i="3"/>
  <c r="I1955" i="3"/>
  <c r="P1955" i="3"/>
  <c r="N1955" i="3"/>
  <c r="L1955" i="3"/>
  <c r="J1955" i="3"/>
  <c r="H1955" i="3"/>
  <c r="P1956" i="3"/>
  <c r="N1956" i="3"/>
  <c r="L1956" i="3"/>
  <c r="J1956" i="3"/>
  <c r="H1956" i="3"/>
  <c r="Q1956" i="3"/>
  <c r="O1956" i="3"/>
  <c r="M1956" i="3"/>
  <c r="K1956" i="3"/>
  <c r="I1956" i="3"/>
  <c r="A1952" i="4"/>
  <c r="B1952" i="4" s="1"/>
  <c r="C1952" i="4" s="1"/>
  <c r="D1952" i="4" s="1"/>
  <c r="Q1957" i="3"/>
  <c r="O1957" i="3"/>
  <c r="M1957" i="3"/>
  <c r="K1957" i="3"/>
  <c r="I1957" i="3"/>
  <c r="P1957" i="3"/>
  <c r="N1957" i="3"/>
  <c r="L1957" i="3"/>
  <c r="J1957" i="3"/>
  <c r="H1957" i="3"/>
  <c r="P1958" i="3"/>
  <c r="N1958" i="3"/>
  <c r="L1958" i="3"/>
  <c r="J1958" i="3"/>
  <c r="H1958" i="3"/>
  <c r="Q1958" i="3"/>
  <c r="O1958" i="3"/>
  <c r="M1958" i="3"/>
  <c r="K1958" i="3"/>
  <c r="I1958" i="3"/>
  <c r="A1954" i="4"/>
  <c r="B1954" i="4" s="1"/>
  <c r="C1954" i="4" s="1"/>
  <c r="D1954" i="4" s="1"/>
  <c r="Q1959" i="3"/>
  <c r="O1959" i="3"/>
  <c r="M1959" i="3"/>
  <c r="K1959" i="3"/>
  <c r="I1959" i="3"/>
  <c r="P1959" i="3"/>
  <c r="N1959" i="3"/>
  <c r="L1959" i="3"/>
  <c r="J1959" i="3"/>
  <c r="H1959" i="3"/>
  <c r="P1960" i="3"/>
  <c r="N1960" i="3"/>
  <c r="L1960" i="3"/>
  <c r="J1960" i="3"/>
  <c r="H1960" i="3"/>
  <c r="Q1960" i="3"/>
  <c r="O1960" i="3"/>
  <c r="M1960" i="3"/>
  <c r="K1960" i="3"/>
  <c r="I1960" i="3"/>
  <c r="A1956" i="4"/>
  <c r="B1956" i="4" s="1"/>
  <c r="C1956" i="4" s="1"/>
  <c r="D1956" i="4" s="1"/>
  <c r="Q1961" i="3"/>
  <c r="O1961" i="3"/>
  <c r="M1961" i="3"/>
  <c r="K1961" i="3"/>
  <c r="I1961" i="3"/>
  <c r="P1961" i="3"/>
  <c r="N1961" i="3"/>
  <c r="L1961" i="3"/>
  <c r="J1961" i="3"/>
  <c r="H1961" i="3"/>
  <c r="P1962" i="3"/>
  <c r="N1962" i="3"/>
  <c r="L1962" i="3"/>
  <c r="J1962" i="3"/>
  <c r="H1962" i="3"/>
  <c r="Q1962" i="3"/>
  <c r="O1962" i="3"/>
  <c r="M1962" i="3"/>
  <c r="K1962" i="3"/>
  <c r="I1962" i="3"/>
  <c r="A1958" i="4"/>
  <c r="B1958" i="4" s="1"/>
  <c r="C1958" i="4" s="1"/>
  <c r="D1958" i="4" s="1"/>
  <c r="Q1963" i="3"/>
  <c r="O1963" i="3"/>
  <c r="M1963" i="3"/>
  <c r="K1963" i="3"/>
  <c r="I1963" i="3"/>
  <c r="P1963" i="3"/>
  <c r="N1963" i="3"/>
  <c r="L1963" i="3"/>
  <c r="J1963" i="3"/>
  <c r="H1963" i="3"/>
  <c r="P1964" i="3"/>
  <c r="N1964" i="3"/>
  <c r="L1964" i="3"/>
  <c r="J1964" i="3"/>
  <c r="H1964" i="3"/>
  <c r="Q1964" i="3"/>
  <c r="O1964" i="3"/>
  <c r="M1964" i="3"/>
  <c r="K1964" i="3"/>
  <c r="I1964" i="3"/>
  <c r="A1960" i="4"/>
  <c r="B1960" i="4" s="1"/>
  <c r="C1960" i="4" s="1"/>
  <c r="D1960" i="4" s="1"/>
  <c r="Q1965" i="3"/>
  <c r="O1965" i="3"/>
  <c r="M1965" i="3"/>
  <c r="K1965" i="3"/>
  <c r="I1965" i="3"/>
  <c r="P1965" i="3"/>
  <c r="N1965" i="3"/>
  <c r="L1965" i="3"/>
  <c r="J1965" i="3"/>
  <c r="H1965" i="3"/>
  <c r="P1966" i="3"/>
  <c r="N1966" i="3"/>
  <c r="L1966" i="3"/>
  <c r="J1966" i="3"/>
  <c r="H1966" i="3"/>
  <c r="Q1966" i="3"/>
  <c r="O1966" i="3"/>
  <c r="M1966" i="3"/>
  <c r="K1966" i="3"/>
  <c r="I1966" i="3"/>
  <c r="A1962" i="4"/>
  <c r="B1962" i="4" s="1"/>
  <c r="C1962" i="4" s="1"/>
  <c r="D1962" i="4" s="1"/>
  <c r="Q1967" i="3"/>
  <c r="O1967" i="3"/>
  <c r="M1967" i="3"/>
  <c r="K1967" i="3"/>
  <c r="I1967" i="3"/>
  <c r="P1967" i="3"/>
  <c r="N1967" i="3"/>
  <c r="L1967" i="3"/>
  <c r="J1967" i="3"/>
  <c r="H1967" i="3"/>
  <c r="P1968" i="3"/>
  <c r="N1968" i="3"/>
  <c r="L1968" i="3"/>
  <c r="J1968" i="3"/>
  <c r="H1968" i="3"/>
  <c r="Q1968" i="3"/>
  <c r="O1968" i="3"/>
  <c r="M1968" i="3"/>
  <c r="K1968" i="3"/>
  <c r="I1968" i="3"/>
  <c r="A1964" i="4"/>
  <c r="B1964" i="4" s="1"/>
  <c r="C1964" i="4" s="1"/>
  <c r="D1964" i="4" s="1"/>
  <c r="Q1969" i="3"/>
  <c r="O1969" i="3"/>
  <c r="M1969" i="3"/>
  <c r="K1969" i="3"/>
  <c r="I1969" i="3"/>
  <c r="P1969" i="3"/>
  <c r="N1969" i="3"/>
  <c r="L1969" i="3"/>
  <c r="J1969" i="3"/>
  <c r="H1969" i="3"/>
  <c r="P1970" i="3"/>
  <c r="N1970" i="3"/>
  <c r="L1970" i="3"/>
  <c r="J1970" i="3"/>
  <c r="H1970" i="3"/>
  <c r="Q1970" i="3"/>
  <c r="O1970" i="3"/>
  <c r="M1970" i="3"/>
  <c r="K1970" i="3"/>
  <c r="I1970" i="3"/>
  <c r="A1966" i="4"/>
  <c r="B1966" i="4" s="1"/>
  <c r="C1966" i="4" s="1"/>
  <c r="D1966" i="4" s="1"/>
  <c r="Q1971" i="3"/>
  <c r="O1971" i="3"/>
  <c r="M1971" i="3"/>
  <c r="K1971" i="3"/>
  <c r="I1971" i="3"/>
  <c r="P1971" i="3"/>
  <c r="N1971" i="3"/>
  <c r="L1971" i="3"/>
  <c r="J1971" i="3"/>
  <c r="H1971" i="3"/>
  <c r="P1972" i="3"/>
  <c r="N1972" i="3"/>
  <c r="L1972" i="3"/>
  <c r="J1972" i="3"/>
  <c r="H1972" i="3"/>
  <c r="Q1972" i="3"/>
  <c r="O1972" i="3"/>
  <c r="M1972" i="3"/>
  <c r="K1972" i="3"/>
  <c r="I1972" i="3"/>
  <c r="A1968" i="4"/>
  <c r="B1968" i="4" s="1"/>
  <c r="C1968" i="4" s="1"/>
  <c r="D1968" i="4" s="1"/>
  <c r="Q1973" i="3"/>
  <c r="O1973" i="3"/>
  <c r="M1973" i="3"/>
  <c r="K1973" i="3"/>
  <c r="I1973" i="3"/>
  <c r="P1973" i="3"/>
  <c r="N1973" i="3"/>
  <c r="L1973" i="3"/>
  <c r="J1973" i="3"/>
  <c r="H1973" i="3"/>
  <c r="P1974" i="3"/>
  <c r="N1974" i="3"/>
  <c r="L1974" i="3"/>
  <c r="J1974" i="3"/>
  <c r="H1974" i="3"/>
  <c r="Q1974" i="3"/>
  <c r="O1974" i="3"/>
  <c r="M1974" i="3"/>
  <c r="K1974" i="3"/>
  <c r="I1974" i="3"/>
  <c r="A1970" i="4"/>
  <c r="B1970" i="4" s="1"/>
  <c r="C1970" i="4" s="1"/>
  <c r="D1970" i="4" s="1"/>
  <c r="Q1975" i="3"/>
  <c r="O1975" i="3"/>
  <c r="M1975" i="3"/>
  <c r="K1975" i="3"/>
  <c r="I1975" i="3"/>
  <c r="P1975" i="3"/>
  <c r="N1975" i="3"/>
  <c r="L1975" i="3"/>
  <c r="J1975" i="3"/>
  <c r="H1975" i="3"/>
  <c r="P1976" i="3"/>
  <c r="N1976" i="3"/>
  <c r="L1976" i="3"/>
  <c r="J1976" i="3"/>
  <c r="H1976" i="3"/>
  <c r="Q1976" i="3"/>
  <c r="O1976" i="3"/>
  <c r="M1976" i="3"/>
  <c r="K1976" i="3"/>
  <c r="I1976" i="3"/>
  <c r="A1972" i="4"/>
  <c r="B1972" i="4" s="1"/>
  <c r="C1972" i="4" s="1"/>
  <c r="D1972" i="4" s="1"/>
  <c r="Q1977" i="3"/>
  <c r="O1977" i="3"/>
  <c r="M1977" i="3"/>
  <c r="K1977" i="3"/>
  <c r="I1977" i="3"/>
  <c r="P1977" i="3"/>
  <c r="N1977" i="3"/>
  <c r="L1977" i="3"/>
  <c r="J1977" i="3"/>
  <c r="H1977" i="3"/>
  <c r="P1978" i="3"/>
  <c r="N1978" i="3"/>
  <c r="L1978" i="3"/>
  <c r="J1978" i="3"/>
  <c r="H1978" i="3"/>
  <c r="Q1978" i="3"/>
  <c r="O1978" i="3"/>
  <c r="M1978" i="3"/>
  <c r="K1978" i="3"/>
  <c r="I1978" i="3"/>
  <c r="A1974" i="4"/>
  <c r="B1974" i="4" s="1"/>
  <c r="C1974" i="4" s="1"/>
  <c r="D1974" i="4" s="1"/>
  <c r="Q1979" i="3"/>
  <c r="O1979" i="3"/>
  <c r="M1979" i="3"/>
  <c r="K1979" i="3"/>
  <c r="I1979" i="3"/>
  <c r="P1979" i="3"/>
  <c r="N1979" i="3"/>
  <c r="L1979" i="3"/>
  <c r="J1979" i="3"/>
  <c r="H1979" i="3"/>
  <c r="P1980" i="3"/>
  <c r="N1980" i="3"/>
  <c r="L1980" i="3"/>
  <c r="J1980" i="3"/>
  <c r="H1980" i="3"/>
  <c r="Q1980" i="3"/>
  <c r="O1980" i="3"/>
  <c r="M1980" i="3"/>
  <c r="K1980" i="3"/>
  <c r="I1980" i="3"/>
  <c r="A1976" i="4"/>
  <c r="B1976" i="4" s="1"/>
  <c r="C1976" i="4" s="1"/>
  <c r="D1976" i="4" s="1"/>
  <c r="Q1981" i="3"/>
  <c r="O1981" i="3"/>
  <c r="M1981" i="3"/>
  <c r="K1981" i="3"/>
  <c r="I1981" i="3"/>
  <c r="P1981" i="3"/>
  <c r="N1981" i="3"/>
  <c r="L1981" i="3"/>
  <c r="J1981" i="3"/>
  <c r="H1981" i="3"/>
  <c r="P1982" i="3"/>
  <c r="N1982" i="3"/>
  <c r="L1982" i="3"/>
  <c r="J1982" i="3"/>
  <c r="H1982" i="3"/>
  <c r="Q1982" i="3"/>
  <c r="O1982" i="3"/>
  <c r="M1982" i="3"/>
  <c r="K1982" i="3"/>
  <c r="I1982" i="3"/>
  <c r="A1978" i="4"/>
  <c r="B1978" i="4" s="1"/>
  <c r="C1978" i="4" s="1"/>
  <c r="D1978" i="4" s="1"/>
  <c r="Q1983" i="3"/>
  <c r="O1983" i="3"/>
  <c r="M1983" i="3"/>
  <c r="K1983" i="3"/>
  <c r="I1983" i="3"/>
  <c r="P1983" i="3"/>
  <c r="N1983" i="3"/>
  <c r="L1983" i="3"/>
  <c r="J1983" i="3"/>
  <c r="H1983" i="3"/>
  <c r="P1984" i="3"/>
  <c r="N1984" i="3"/>
  <c r="L1984" i="3"/>
  <c r="J1984" i="3"/>
  <c r="H1984" i="3"/>
  <c r="Q1984" i="3"/>
  <c r="O1984" i="3"/>
  <c r="M1984" i="3"/>
  <c r="K1984" i="3"/>
  <c r="I1984" i="3"/>
  <c r="A1980" i="4"/>
  <c r="B1980" i="4" s="1"/>
  <c r="C1980" i="4" s="1"/>
  <c r="D1980" i="4" s="1"/>
  <c r="Q1985" i="3"/>
  <c r="O1985" i="3"/>
  <c r="M1985" i="3"/>
  <c r="K1985" i="3"/>
  <c r="I1985" i="3"/>
  <c r="P1985" i="3"/>
  <c r="N1985" i="3"/>
  <c r="L1985" i="3"/>
  <c r="J1985" i="3"/>
  <c r="H1985" i="3"/>
  <c r="P1986" i="3"/>
  <c r="N1986" i="3"/>
  <c r="L1986" i="3"/>
  <c r="J1986" i="3"/>
  <c r="H1986" i="3"/>
  <c r="Q1986" i="3"/>
  <c r="O1986" i="3"/>
  <c r="M1986" i="3"/>
  <c r="K1986" i="3"/>
  <c r="I1986" i="3"/>
  <c r="A1982" i="4"/>
  <c r="B1982" i="4" s="1"/>
  <c r="C1982" i="4" s="1"/>
  <c r="D1982" i="4" s="1"/>
  <c r="Q1987" i="3"/>
  <c r="O1987" i="3"/>
  <c r="M1987" i="3"/>
  <c r="K1987" i="3"/>
  <c r="I1987" i="3"/>
  <c r="P1987" i="3"/>
  <c r="N1987" i="3"/>
  <c r="L1987" i="3"/>
  <c r="J1987" i="3"/>
  <c r="H1987" i="3"/>
  <c r="P1988" i="3"/>
  <c r="N1988" i="3"/>
  <c r="L1988" i="3"/>
  <c r="J1988" i="3"/>
  <c r="H1988" i="3"/>
  <c r="Q1988" i="3"/>
  <c r="O1988" i="3"/>
  <c r="M1988" i="3"/>
  <c r="K1988" i="3"/>
  <c r="I1988" i="3"/>
  <c r="A1984" i="4"/>
  <c r="B1984" i="4" s="1"/>
  <c r="C1984" i="4" s="1"/>
  <c r="D1984" i="4" s="1"/>
  <c r="Q1989" i="3"/>
  <c r="O1989" i="3"/>
  <c r="M1989" i="3"/>
  <c r="K1989" i="3"/>
  <c r="I1989" i="3"/>
  <c r="P1989" i="3"/>
  <c r="N1989" i="3"/>
  <c r="L1989" i="3"/>
  <c r="J1989" i="3"/>
  <c r="H1989" i="3"/>
  <c r="P1990" i="3"/>
  <c r="N1990" i="3"/>
  <c r="L1990" i="3"/>
  <c r="J1990" i="3"/>
  <c r="H1990" i="3"/>
  <c r="Q1990" i="3"/>
  <c r="O1990" i="3"/>
  <c r="M1990" i="3"/>
  <c r="K1990" i="3"/>
  <c r="I1990" i="3"/>
  <c r="A1986" i="4"/>
  <c r="B1986" i="4" s="1"/>
  <c r="C1986" i="4" s="1"/>
  <c r="D1986" i="4" s="1"/>
  <c r="Q1991" i="3"/>
  <c r="O1991" i="3"/>
  <c r="M1991" i="3"/>
  <c r="K1991" i="3"/>
  <c r="I1991" i="3"/>
  <c r="P1991" i="3"/>
  <c r="N1991" i="3"/>
  <c r="L1991" i="3"/>
  <c r="J1991" i="3"/>
  <c r="H1991" i="3"/>
  <c r="P1992" i="3"/>
  <c r="N1992" i="3"/>
  <c r="L1992" i="3"/>
  <c r="J1992" i="3"/>
  <c r="H1992" i="3"/>
  <c r="Q1992" i="3"/>
  <c r="O1992" i="3"/>
  <c r="M1992" i="3"/>
  <c r="K1992" i="3"/>
  <c r="I1992" i="3"/>
  <c r="A1988" i="4"/>
  <c r="B1988" i="4" s="1"/>
  <c r="C1988" i="4" s="1"/>
  <c r="D1988" i="4" s="1"/>
  <c r="Q1993" i="3"/>
  <c r="O1993" i="3"/>
  <c r="M1993" i="3"/>
  <c r="K1993" i="3"/>
  <c r="I1993" i="3"/>
  <c r="P1993" i="3"/>
  <c r="N1993" i="3"/>
  <c r="L1993" i="3"/>
  <c r="J1993" i="3"/>
  <c r="H1993" i="3"/>
  <c r="P1994" i="3"/>
  <c r="N1994" i="3"/>
  <c r="L1994" i="3"/>
  <c r="J1994" i="3"/>
  <c r="H1994" i="3"/>
  <c r="Q1994" i="3"/>
  <c r="O1994" i="3"/>
  <c r="M1994" i="3"/>
  <c r="K1994" i="3"/>
  <c r="I1994" i="3"/>
  <c r="A1990" i="4"/>
  <c r="B1990" i="4" s="1"/>
  <c r="C1990" i="4" s="1"/>
  <c r="D1990" i="4" s="1"/>
  <c r="Q1995" i="3"/>
  <c r="O1995" i="3"/>
  <c r="M1995" i="3"/>
  <c r="K1995" i="3"/>
  <c r="I1995" i="3"/>
  <c r="P1995" i="3"/>
  <c r="N1995" i="3"/>
  <c r="L1995" i="3"/>
  <c r="J1995" i="3"/>
  <c r="H1995" i="3"/>
  <c r="P1996" i="3"/>
  <c r="N1996" i="3"/>
  <c r="L1996" i="3"/>
  <c r="J1996" i="3"/>
  <c r="H1996" i="3"/>
  <c r="Q1996" i="3"/>
  <c r="O1996" i="3"/>
  <c r="M1996" i="3"/>
  <c r="K1996" i="3"/>
  <c r="I1996" i="3"/>
  <c r="A1992" i="4"/>
  <c r="B1992" i="4" s="1"/>
  <c r="C1992" i="4" s="1"/>
  <c r="D1992" i="4" s="1"/>
  <c r="Q1997" i="3"/>
  <c r="O1997" i="3"/>
  <c r="M1997" i="3"/>
  <c r="K1997" i="3"/>
  <c r="I1997" i="3"/>
  <c r="P1997" i="3"/>
  <c r="N1997" i="3"/>
  <c r="L1997" i="3"/>
  <c r="J1997" i="3"/>
  <c r="H1997" i="3"/>
  <c r="P1998" i="3"/>
  <c r="N1998" i="3"/>
  <c r="L1998" i="3"/>
  <c r="J1998" i="3"/>
  <c r="H1998" i="3"/>
  <c r="Q1998" i="3"/>
  <c r="O1998" i="3"/>
  <c r="M1998" i="3"/>
  <c r="K1998" i="3"/>
  <c r="I1998" i="3"/>
  <c r="A1994" i="4"/>
  <c r="B1994" i="4" s="1"/>
  <c r="C1994" i="4" s="1"/>
  <c r="D1994" i="4" s="1"/>
  <c r="Q1999" i="3"/>
  <c r="O1999" i="3"/>
  <c r="M1999" i="3"/>
  <c r="K1999" i="3"/>
  <c r="I1999" i="3"/>
  <c r="P1999" i="3"/>
  <c r="N1999" i="3"/>
  <c r="L1999" i="3"/>
  <c r="J1999" i="3"/>
  <c r="H1999" i="3"/>
  <c r="P2000" i="3"/>
  <c r="N2000" i="3"/>
  <c r="L2000" i="3"/>
  <c r="J2000" i="3"/>
  <c r="H2000" i="3"/>
  <c r="Q2000" i="3"/>
  <c r="O2000" i="3"/>
  <c r="M2000" i="3"/>
  <c r="K2000" i="3"/>
  <c r="I2000" i="3"/>
  <c r="A1996" i="4"/>
  <c r="B1996" i="4" s="1"/>
  <c r="C1996" i="4" s="1"/>
  <c r="D1996" i="4" s="1"/>
  <c r="Q2001" i="3"/>
  <c r="O2001" i="3"/>
  <c r="M2001" i="3"/>
  <c r="K2001" i="3"/>
  <c r="I2001" i="3"/>
  <c r="P2001" i="3"/>
  <c r="N2001" i="3"/>
  <c r="L2001" i="3"/>
  <c r="J2001" i="3"/>
  <c r="H2001" i="3"/>
  <c r="P2002" i="3"/>
  <c r="N2002" i="3"/>
  <c r="L2002" i="3"/>
  <c r="J2002" i="3"/>
  <c r="H2002" i="3"/>
  <c r="Q2002" i="3"/>
  <c r="O2002" i="3"/>
  <c r="M2002" i="3"/>
  <c r="K2002" i="3"/>
  <c r="I2002" i="3"/>
  <c r="A1998" i="4"/>
  <c r="B1998" i="4" s="1"/>
  <c r="C1998" i="4" s="1"/>
  <c r="D1998" i="4" s="1"/>
  <c r="Q2003" i="3"/>
  <c r="O2003" i="3"/>
  <c r="M2003" i="3"/>
  <c r="K2003" i="3"/>
  <c r="I2003" i="3"/>
  <c r="P2003" i="3"/>
  <c r="N2003" i="3"/>
  <c r="L2003" i="3"/>
  <c r="J2003" i="3"/>
  <c r="H2003" i="3"/>
  <c r="P2004" i="3"/>
  <c r="N2004" i="3"/>
  <c r="L2004" i="3"/>
  <c r="J2004" i="3"/>
  <c r="H2004" i="3"/>
  <c r="Q2004" i="3"/>
  <c r="O2004" i="3"/>
  <c r="M2004" i="3"/>
  <c r="K2004" i="3"/>
  <c r="I2004" i="3"/>
  <c r="A2000" i="4"/>
  <c r="B2000" i="4" s="1"/>
  <c r="C2000" i="4" s="1"/>
  <c r="D2000" i="4" s="1"/>
  <c r="Q2005" i="3"/>
  <c r="O2005" i="3"/>
  <c r="M2005" i="3"/>
  <c r="K2005" i="3"/>
  <c r="I2005" i="3"/>
  <c r="P2005" i="3"/>
  <c r="N2005" i="3"/>
  <c r="L2005" i="3"/>
  <c r="J2005" i="3"/>
  <c r="H2005" i="3"/>
  <c r="P2006" i="3"/>
  <c r="N2006" i="3"/>
  <c r="L2006" i="3"/>
  <c r="J2006" i="3"/>
  <c r="H2006" i="3"/>
  <c r="Q2006" i="3"/>
  <c r="O2006" i="3"/>
  <c r="M2006" i="3"/>
  <c r="K2006" i="3"/>
  <c r="I2006" i="3"/>
  <c r="A2002" i="4"/>
  <c r="B2002" i="4" s="1"/>
  <c r="C2002" i="4" s="1"/>
  <c r="D2002" i="4" s="1"/>
  <c r="Q2007" i="3"/>
  <c r="O2007" i="3"/>
  <c r="M2007" i="3"/>
  <c r="K2007" i="3"/>
  <c r="I2007" i="3"/>
  <c r="P2007" i="3"/>
  <c r="N2007" i="3"/>
  <c r="L2007" i="3"/>
  <c r="J2007" i="3"/>
  <c r="H2007" i="3"/>
  <c r="P2008" i="3"/>
  <c r="N2008" i="3"/>
  <c r="L2008" i="3"/>
  <c r="J2008" i="3"/>
  <c r="H2008" i="3"/>
  <c r="Q2008" i="3"/>
  <c r="O2008" i="3"/>
  <c r="M2008" i="3"/>
  <c r="K2008" i="3"/>
  <c r="I2008" i="3"/>
  <c r="A2004" i="4"/>
  <c r="B2004" i="4" s="1"/>
  <c r="C2004" i="4" s="1"/>
  <c r="D2004" i="4" s="1"/>
  <c r="Q2009" i="3"/>
  <c r="O2009" i="3"/>
  <c r="M2009" i="3"/>
  <c r="K2009" i="3"/>
  <c r="I2009" i="3"/>
  <c r="P2009" i="3"/>
  <c r="N2009" i="3"/>
  <c r="L2009" i="3"/>
  <c r="J2009" i="3"/>
  <c r="H2009" i="3"/>
  <c r="P1874" i="3"/>
  <c r="N1874" i="3"/>
  <c r="L1874" i="3"/>
  <c r="J1874" i="3"/>
  <c r="H1874" i="3"/>
  <c r="O1874" i="3"/>
  <c r="K1874" i="3"/>
  <c r="Q1874" i="3"/>
  <c r="M1874" i="3"/>
  <c r="I1874" i="3"/>
  <c r="A1870" i="4"/>
  <c r="B1870" i="4" s="1"/>
  <c r="C1870" i="4" s="1"/>
  <c r="D1870" i="4" s="1"/>
  <c r="P1878" i="3"/>
  <c r="N1878" i="3"/>
  <c r="L1878" i="3"/>
  <c r="J1878" i="3"/>
  <c r="H1878" i="3"/>
  <c r="O1878" i="3"/>
  <c r="K1878" i="3"/>
  <c r="Q1878" i="3"/>
  <c r="M1878" i="3"/>
  <c r="I1878" i="3"/>
  <c r="A1874" i="4"/>
  <c r="B1874" i="4" s="1"/>
  <c r="C1874" i="4" s="1"/>
  <c r="D1874" i="4" s="1"/>
  <c r="P1886" i="3"/>
  <c r="N1886" i="3"/>
  <c r="L1886" i="3"/>
  <c r="J1886" i="3"/>
  <c r="H1886" i="3"/>
  <c r="O1886" i="3"/>
  <c r="K1886" i="3"/>
  <c r="Q1886" i="3"/>
  <c r="M1886" i="3"/>
  <c r="I1886" i="3"/>
  <c r="A1882" i="4"/>
  <c r="B1882" i="4" s="1"/>
  <c r="C1882" i="4" s="1"/>
  <c r="D1882" i="4" s="1"/>
  <c r="P1890" i="3"/>
  <c r="N1890" i="3"/>
  <c r="L1890" i="3"/>
  <c r="J1890" i="3"/>
  <c r="H1890" i="3"/>
  <c r="O1890" i="3"/>
  <c r="K1890" i="3"/>
  <c r="Q1890" i="3"/>
  <c r="M1890" i="3"/>
  <c r="I1890" i="3"/>
  <c r="A1886" i="4"/>
  <c r="B1886" i="4" s="1"/>
  <c r="C1886" i="4" s="1"/>
  <c r="D1886" i="4" s="1"/>
  <c r="P1838" i="3"/>
  <c r="N1838" i="3"/>
  <c r="L1838" i="3"/>
  <c r="J1838" i="3"/>
  <c r="H1838" i="3"/>
  <c r="O1838" i="3"/>
  <c r="K1838" i="3"/>
  <c r="Q1838" i="3"/>
  <c r="M1838" i="3"/>
  <c r="I1838" i="3"/>
  <c r="A1834" i="4"/>
  <c r="B1834" i="4" s="1"/>
  <c r="C1834" i="4" s="1"/>
  <c r="D1834" i="4" s="1"/>
  <c r="P1850" i="3"/>
  <c r="N1850" i="3"/>
  <c r="L1850" i="3"/>
  <c r="J1850" i="3"/>
  <c r="H1850" i="3"/>
  <c r="O1850" i="3"/>
  <c r="K1850" i="3"/>
  <c r="Q1850" i="3"/>
  <c r="M1850" i="3"/>
  <c r="I1850" i="3"/>
  <c r="A1846" i="4"/>
  <c r="B1846" i="4" s="1"/>
  <c r="C1846" i="4" s="1"/>
  <c r="D1846" i="4" s="1"/>
  <c r="P1858" i="3"/>
  <c r="N1858" i="3"/>
  <c r="L1858" i="3"/>
  <c r="J1858" i="3"/>
  <c r="H1858" i="3"/>
  <c r="O1858" i="3"/>
  <c r="K1858" i="3"/>
  <c r="Q1858" i="3"/>
  <c r="M1858" i="3"/>
  <c r="I1858" i="3"/>
  <c r="A1854" i="4"/>
  <c r="B1854" i="4" s="1"/>
  <c r="C1854" i="4" s="1"/>
  <c r="D1854" i="4" s="1"/>
  <c r="P1866" i="3"/>
  <c r="N1866" i="3"/>
  <c r="L1866" i="3"/>
  <c r="J1866" i="3"/>
  <c r="H1866" i="3"/>
  <c r="O1866" i="3"/>
  <c r="K1866" i="3"/>
  <c r="Q1866" i="3"/>
  <c r="M1866" i="3"/>
  <c r="I1866" i="3"/>
  <c r="A1862" i="4"/>
  <c r="B1862" i="4" s="1"/>
  <c r="C1862" i="4" s="1"/>
  <c r="D1862" i="4" s="1"/>
  <c r="P1870" i="3"/>
  <c r="N1870" i="3"/>
  <c r="L1870" i="3"/>
  <c r="J1870" i="3"/>
  <c r="H1870" i="3"/>
  <c r="O1870" i="3"/>
  <c r="K1870" i="3"/>
  <c r="Q1870" i="3"/>
  <c r="M1870" i="3"/>
  <c r="I1870" i="3"/>
  <c r="A1866" i="4"/>
  <c r="B1866" i="4" s="1"/>
  <c r="C1866" i="4" s="1"/>
  <c r="D1866" i="4" s="1"/>
  <c r="P1894" i="3"/>
  <c r="N1894" i="3"/>
  <c r="L1894" i="3"/>
  <c r="J1894" i="3"/>
  <c r="H1894" i="3"/>
  <c r="O1894" i="3"/>
  <c r="K1894" i="3"/>
  <c r="Q1894" i="3"/>
  <c r="M1894" i="3"/>
  <c r="I1894" i="3"/>
  <c r="A1890" i="4"/>
  <c r="B1890" i="4" s="1"/>
  <c r="C1890" i="4" s="1"/>
  <c r="D1890" i="4" s="1"/>
  <c r="F11" i="3"/>
  <c r="G11" i="3"/>
  <c r="P21" i="3"/>
  <c r="N21" i="3"/>
  <c r="L21" i="3"/>
  <c r="J21" i="3"/>
  <c r="H21" i="3"/>
  <c r="Q21" i="3"/>
  <c r="O21" i="3"/>
  <c r="M21" i="3"/>
  <c r="K21" i="3"/>
  <c r="I21" i="3"/>
  <c r="A17" i="4"/>
  <c r="B17" i="4" s="1"/>
  <c r="C17" i="4" s="1"/>
  <c r="D17" i="4" s="1"/>
  <c r="P25" i="3"/>
  <c r="N25" i="3"/>
  <c r="L25" i="3"/>
  <c r="J25" i="3"/>
  <c r="H25" i="3"/>
  <c r="Q25" i="3"/>
  <c r="O25" i="3"/>
  <c r="M25" i="3"/>
  <c r="K25" i="3"/>
  <c r="I25" i="3"/>
  <c r="A21" i="4"/>
  <c r="B21" i="4" s="1"/>
  <c r="C21" i="4" s="1"/>
  <c r="D21" i="4" s="1"/>
  <c r="P29" i="3"/>
  <c r="N29" i="3"/>
  <c r="L29" i="3"/>
  <c r="J29" i="3"/>
  <c r="H29" i="3"/>
  <c r="Q29" i="3"/>
  <c r="O29" i="3"/>
  <c r="M29" i="3"/>
  <c r="K29" i="3"/>
  <c r="I29" i="3"/>
  <c r="A25" i="4"/>
  <c r="B25" i="4" s="1"/>
  <c r="C25" i="4" s="1"/>
  <c r="D25" i="4" s="1"/>
  <c r="P33" i="3"/>
  <c r="N33" i="3"/>
  <c r="L33" i="3"/>
  <c r="J33" i="3"/>
  <c r="H33" i="3"/>
  <c r="Q33" i="3"/>
  <c r="O33" i="3"/>
  <c r="M33" i="3"/>
  <c r="K33" i="3"/>
  <c r="I33" i="3"/>
  <c r="A29" i="4"/>
  <c r="B29" i="4" s="1"/>
  <c r="C29" i="4" s="1"/>
  <c r="D29" i="4" s="1"/>
  <c r="P37" i="3"/>
  <c r="N37" i="3"/>
  <c r="L37" i="3"/>
  <c r="J37" i="3"/>
  <c r="H37" i="3"/>
  <c r="Q37" i="3"/>
  <c r="O37" i="3"/>
  <c r="M37" i="3"/>
  <c r="K37" i="3"/>
  <c r="I37" i="3"/>
  <c r="A33" i="4"/>
  <c r="B33" i="4" s="1"/>
  <c r="C33" i="4" s="1"/>
  <c r="D33" i="4" s="1"/>
  <c r="P41" i="3"/>
  <c r="N41" i="3"/>
  <c r="L41" i="3"/>
  <c r="J41" i="3"/>
  <c r="H41" i="3"/>
  <c r="Q41" i="3"/>
  <c r="O41" i="3"/>
  <c r="M41" i="3"/>
  <c r="K41" i="3"/>
  <c r="I41" i="3"/>
  <c r="A37" i="4"/>
  <c r="B37" i="4" s="1"/>
  <c r="C37" i="4" s="1"/>
  <c r="D37" i="4" s="1"/>
  <c r="P45" i="3"/>
  <c r="N45" i="3"/>
  <c r="L45" i="3"/>
  <c r="J45" i="3"/>
  <c r="H45" i="3"/>
  <c r="Q45" i="3"/>
  <c r="O45" i="3"/>
  <c r="M45" i="3"/>
  <c r="K45" i="3"/>
  <c r="I45" i="3"/>
  <c r="A41" i="4"/>
  <c r="B41" i="4" s="1"/>
  <c r="C41" i="4" s="1"/>
  <c r="D41" i="4" s="1"/>
  <c r="A43" i="4"/>
  <c r="B43" i="4" s="1"/>
  <c r="C43" i="4" s="1"/>
  <c r="D43" i="4" s="1"/>
  <c r="P51" i="3"/>
  <c r="N51" i="3"/>
  <c r="L51" i="3"/>
  <c r="J51" i="3"/>
  <c r="H51" i="3"/>
  <c r="Q51" i="3"/>
  <c r="B47" i="4" s="1"/>
  <c r="O51" i="3"/>
  <c r="M51" i="3"/>
  <c r="K51" i="3"/>
  <c r="I51" i="3"/>
  <c r="P53" i="3"/>
  <c r="N53" i="3"/>
  <c r="L53" i="3"/>
  <c r="J53" i="3"/>
  <c r="H53" i="3"/>
  <c r="Q53" i="3"/>
  <c r="O53" i="3"/>
  <c r="M53" i="3"/>
  <c r="K53" i="3"/>
  <c r="I53" i="3"/>
  <c r="A49" i="4"/>
  <c r="B49" i="4" s="1"/>
  <c r="C49" i="4" s="1"/>
  <c r="D49" i="4" s="1"/>
  <c r="P57" i="3"/>
  <c r="L57" i="3"/>
  <c r="J57" i="3"/>
  <c r="H57" i="3"/>
  <c r="N57" i="3" s="1"/>
  <c r="Q57" i="3"/>
  <c r="O57" i="3"/>
  <c r="K57" i="3"/>
  <c r="I57" i="3"/>
  <c r="A53" i="4"/>
  <c r="B53" i="4" s="1"/>
  <c r="P61" i="3"/>
  <c r="N61" i="3"/>
  <c r="L61" i="3"/>
  <c r="J61" i="3"/>
  <c r="H61" i="3"/>
  <c r="Q61" i="3"/>
  <c r="O61" i="3"/>
  <c r="M61" i="3"/>
  <c r="K61" i="3"/>
  <c r="I61" i="3"/>
  <c r="A57" i="4"/>
  <c r="P65" i="3"/>
  <c r="L65" i="3"/>
  <c r="J65" i="3"/>
  <c r="H65" i="3"/>
  <c r="N65" i="3" s="1"/>
  <c r="Q65" i="3"/>
  <c r="O65" i="3"/>
  <c r="K65" i="3"/>
  <c r="I65" i="3"/>
  <c r="A61" i="4"/>
  <c r="B61" i="4" s="1"/>
  <c r="P69" i="3"/>
  <c r="N69" i="3"/>
  <c r="L69" i="3"/>
  <c r="J69" i="3"/>
  <c r="H69" i="3"/>
  <c r="Q69" i="3"/>
  <c r="O69" i="3"/>
  <c r="M69" i="3"/>
  <c r="K69" i="3"/>
  <c r="I69" i="3"/>
  <c r="A65" i="4"/>
  <c r="B65" i="4" s="1"/>
  <c r="C65" i="4" s="1"/>
  <c r="D65" i="4" s="1"/>
  <c r="P73" i="3"/>
  <c r="N73" i="3"/>
  <c r="L73" i="3"/>
  <c r="J73" i="3"/>
  <c r="H73" i="3"/>
  <c r="Q73" i="3"/>
  <c r="O73" i="3"/>
  <c r="M73" i="3"/>
  <c r="K73" i="3"/>
  <c r="I73" i="3"/>
  <c r="A69" i="4"/>
  <c r="B69" i="4" s="1"/>
  <c r="C69" i="4" s="1"/>
  <c r="D69" i="4" s="1"/>
  <c r="P77" i="3"/>
  <c r="N77" i="3"/>
  <c r="L77" i="3"/>
  <c r="J77" i="3"/>
  <c r="H77" i="3"/>
  <c r="Q77" i="3"/>
  <c r="O77" i="3"/>
  <c r="M77" i="3"/>
  <c r="K77" i="3"/>
  <c r="I77" i="3"/>
  <c r="A73" i="4"/>
  <c r="B73" i="4" s="1"/>
  <c r="C73" i="4" s="1"/>
  <c r="D73" i="4" s="1"/>
  <c r="P81" i="3"/>
  <c r="N81" i="3"/>
  <c r="L81" i="3"/>
  <c r="J81" i="3"/>
  <c r="H81" i="3"/>
  <c r="Q81" i="3"/>
  <c r="O81" i="3"/>
  <c r="M81" i="3"/>
  <c r="K81" i="3"/>
  <c r="I81" i="3"/>
  <c r="A77" i="4"/>
  <c r="B77" i="4" s="1"/>
  <c r="C77" i="4" s="1"/>
  <c r="D77" i="4" s="1"/>
  <c r="P85" i="3"/>
  <c r="N85" i="3"/>
  <c r="L85" i="3"/>
  <c r="J85" i="3"/>
  <c r="H85" i="3"/>
  <c r="Q85" i="3"/>
  <c r="O85" i="3"/>
  <c r="M85" i="3"/>
  <c r="K85" i="3"/>
  <c r="I85" i="3"/>
  <c r="P87" i="3"/>
  <c r="N87" i="3"/>
  <c r="L87" i="3"/>
  <c r="J87" i="3"/>
  <c r="H87" i="3"/>
  <c r="Q87" i="3"/>
  <c r="O87" i="3"/>
  <c r="M87" i="3"/>
  <c r="K87" i="3"/>
  <c r="I87" i="3"/>
  <c r="A83" i="4"/>
  <c r="P91" i="3"/>
  <c r="N91" i="3"/>
  <c r="L91" i="3"/>
  <c r="J91" i="3"/>
  <c r="H91" i="3"/>
  <c r="Q91" i="3"/>
  <c r="O91" i="3"/>
  <c r="M91" i="3"/>
  <c r="K91" i="3"/>
  <c r="I91" i="3"/>
  <c r="A87" i="4"/>
  <c r="B87" i="4" s="1"/>
  <c r="C87" i="4" s="1"/>
  <c r="D87" i="4" s="1"/>
  <c r="A89" i="4"/>
  <c r="B89" i="4" s="1"/>
  <c r="C89" i="4" s="1"/>
  <c r="D89" i="4" s="1"/>
  <c r="P97" i="3"/>
  <c r="N97" i="3"/>
  <c r="L97" i="3"/>
  <c r="J97" i="3"/>
  <c r="H97" i="3"/>
  <c r="Q97" i="3"/>
  <c r="O97" i="3"/>
  <c r="M97" i="3"/>
  <c r="K97" i="3"/>
  <c r="I97" i="3"/>
  <c r="A93" i="4"/>
  <c r="B93" i="4" s="1"/>
  <c r="C93" i="4" s="1"/>
  <c r="D93" i="4" s="1"/>
  <c r="P101" i="3"/>
  <c r="N101" i="3"/>
  <c r="L101" i="3"/>
  <c r="J101" i="3"/>
  <c r="H101" i="3"/>
  <c r="Q101" i="3"/>
  <c r="O101" i="3"/>
  <c r="M101" i="3"/>
  <c r="K101" i="3"/>
  <c r="I101" i="3"/>
  <c r="A97" i="4"/>
  <c r="B97" i="4" s="1"/>
  <c r="C97" i="4" s="1"/>
  <c r="D97" i="4" s="1"/>
  <c r="P105" i="3"/>
  <c r="L105" i="3"/>
  <c r="J105" i="3"/>
  <c r="H105" i="3"/>
  <c r="N105" i="3" s="1"/>
  <c r="Q105" i="3"/>
  <c r="O105" i="3"/>
  <c r="K105" i="3"/>
  <c r="I105" i="3"/>
  <c r="A101" i="4"/>
  <c r="B101" i="4" s="1"/>
  <c r="P109" i="3"/>
  <c r="N109" i="3"/>
  <c r="L109" i="3"/>
  <c r="J109" i="3"/>
  <c r="H109" i="3"/>
  <c r="Q109" i="3"/>
  <c r="O109" i="3"/>
  <c r="M109" i="3"/>
  <c r="K109" i="3"/>
  <c r="I109" i="3"/>
  <c r="A105" i="4"/>
  <c r="B105" i="4" s="1"/>
  <c r="C105" i="4" s="1"/>
  <c r="D105" i="4" s="1"/>
  <c r="P113" i="3"/>
  <c r="N113" i="3"/>
  <c r="L113" i="3"/>
  <c r="J113" i="3"/>
  <c r="H113" i="3"/>
  <c r="Q113" i="3"/>
  <c r="O113" i="3"/>
  <c r="M113" i="3"/>
  <c r="K113" i="3"/>
  <c r="I113" i="3"/>
  <c r="A109" i="4"/>
  <c r="B109" i="4" s="1"/>
  <c r="C109" i="4" s="1"/>
  <c r="D109" i="4" s="1"/>
  <c r="P117" i="3"/>
  <c r="N117" i="3"/>
  <c r="L117" i="3"/>
  <c r="J117" i="3"/>
  <c r="H117" i="3"/>
  <c r="Q117" i="3"/>
  <c r="O117" i="3"/>
  <c r="M117" i="3"/>
  <c r="K117" i="3"/>
  <c r="I117" i="3"/>
  <c r="A113" i="4"/>
  <c r="B113" i="4" s="1"/>
  <c r="C113" i="4" s="1"/>
  <c r="D113" i="4" s="1"/>
  <c r="P121" i="3"/>
  <c r="N121" i="3"/>
  <c r="L121" i="3"/>
  <c r="J121" i="3"/>
  <c r="H121" i="3"/>
  <c r="Q121" i="3"/>
  <c r="O121" i="3"/>
  <c r="M121" i="3"/>
  <c r="K121" i="3"/>
  <c r="I121" i="3"/>
  <c r="A117" i="4"/>
  <c r="B117" i="4" s="1"/>
  <c r="C117" i="4" s="1"/>
  <c r="D117" i="4" s="1"/>
  <c r="P125" i="3"/>
  <c r="N125" i="3"/>
  <c r="L125" i="3"/>
  <c r="J125" i="3"/>
  <c r="H125" i="3"/>
  <c r="Q125" i="3"/>
  <c r="O125" i="3"/>
  <c r="M125" i="3"/>
  <c r="K125" i="3"/>
  <c r="I125" i="3"/>
  <c r="A121" i="4"/>
  <c r="B121" i="4" s="1"/>
  <c r="C121" i="4" s="1"/>
  <c r="D121" i="4" s="1"/>
  <c r="P129" i="3"/>
  <c r="N129" i="3"/>
  <c r="L129" i="3"/>
  <c r="J129" i="3"/>
  <c r="H129" i="3"/>
  <c r="Q129" i="3"/>
  <c r="O129" i="3"/>
  <c r="M129" i="3"/>
  <c r="K129" i="3"/>
  <c r="I129" i="3"/>
  <c r="P131" i="3"/>
  <c r="N131" i="3"/>
  <c r="L131" i="3"/>
  <c r="J131" i="3"/>
  <c r="H131" i="3"/>
  <c r="Q131" i="3"/>
  <c r="O131" i="3"/>
  <c r="M131" i="3"/>
  <c r="K131" i="3"/>
  <c r="I131" i="3"/>
  <c r="A127" i="4"/>
  <c r="B127" i="4" s="1"/>
  <c r="C127" i="4" s="1"/>
  <c r="D127" i="4" s="1"/>
  <c r="A129" i="4"/>
  <c r="B129" i="4" s="1"/>
  <c r="C129" i="4" s="1"/>
  <c r="D129" i="4" s="1"/>
  <c r="P137" i="3"/>
  <c r="N137" i="3"/>
  <c r="L137" i="3"/>
  <c r="J137" i="3"/>
  <c r="H137" i="3"/>
  <c r="Q137" i="3"/>
  <c r="O137" i="3"/>
  <c r="M137" i="3"/>
  <c r="K137" i="3"/>
  <c r="I137" i="3"/>
  <c r="P139" i="3"/>
  <c r="N139" i="3"/>
  <c r="L139" i="3"/>
  <c r="J139" i="3"/>
  <c r="H139" i="3"/>
  <c r="Q139" i="3"/>
  <c r="O139" i="3"/>
  <c r="M139" i="3"/>
  <c r="K139" i="3"/>
  <c r="I139" i="3"/>
  <c r="A135" i="4"/>
  <c r="B135" i="4" s="1"/>
  <c r="C135" i="4" s="1"/>
  <c r="D135" i="4" s="1"/>
  <c r="P143" i="3"/>
  <c r="N143" i="3"/>
  <c r="L143" i="3"/>
  <c r="J143" i="3"/>
  <c r="H143" i="3"/>
  <c r="Q143" i="3"/>
  <c r="O143" i="3"/>
  <c r="M143" i="3"/>
  <c r="K143" i="3"/>
  <c r="I143" i="3"/>
  <c r="A139" i="4"/>
  <c r="B139" i="4" s="1"/>
  <c r="C139" i="4" s="1"/>
  <c r="D139" i="4" s="1"/>
  <c r="P147" i="3"/>
  <c r="L147" i="3"/>
  <c r="J147" i="3"/>
  <c r="H147" i="3"/>
  <c r="N147" i="3" s="1"/>
  <c r="Q147" i="3"/>
  <c r="O147" i="3"/>
  <c r="K147" i="3"/>
  <c r="I147" i="3"/>
  <c r="A143" i="4"/>
  <c r="B143" i="4" s="1"/>
  <c r="P151" i="3"/>
  <c r="N151" i="3"/>
  <c r="L151" i="3"/>
  <c r="J151" i="3"/>
  <c r="H151" i="3"/>
  <c r="Q151" i="3"/>
  <c r="O151" i="3"/>
  <c r="M151" i="3"/>
  <c r="K151" i="3"/>
  <c r="I151" i="3"/>
  <c r="A147" i="4"/>
  <c r="B147" i="4" s="1"/>
  <c r="C147" i="4" s="1"/>
  <c r="D147" i="4" s="1"/>
  <c r="P155" i="3"/>
  <c r="L155" i="3"/>
  <c r="J155" i="3"/>
  <c r="H155" i="3"/>
  <c r="N155" i="3" s="1"/>
  <c r="Q155" i="3"/>
  <c r="O155" i="3"/>
  <c r="K155" i="3"/>
  <c r="I155" i="3"/>
  <c r="A151" i="4"/>
  <c r="B151" i="4" s="1"/>
  <c r="P159" i="3"/>
  <c r="N159" i="3"/>
  <c r="L159" i="3"/>
  <c r="J159" i="3"/>
  <c r="H159" i="3"/>
  <c r="Q159" i="3"/>
  <c r="O159" i="3"/>
  <c r="M159" i="3"/>
  <c r="K159" i="3"/>
  <c r="I159" i="3"/>
  <c r="A155" i="4"/>
  <c r="P163" i="3"/>
  <c r="N163" i="3"/>
  <c r="L163" i="3"/>
  <c r="J163" i="3"/>
  <c r="H163" i="3"/>
  <c r="Q163" i="3"/>
  <c r="O163" i="3"/>
  <c r="M163" i="3"/>
  <c r="K163" i="3"/>
  <c r="I163" i="3"/>
  <c r="A159" i="4"/>
  <c r="B159" i="4" s="1"/>
  <c r="C159" i="4" s="1"/>
  <c r="D159" i="4" s="1"/>
  <c r="P167" i="3"/>
  <c r="N167" i="3"/>
  <c r="L167" i="3"/>
  <c r="J167" i="3"/>
  <c r="H167" i="3"/>
  <c r="Q167" i="3"/>
  <c r="O167" i="3"/>
  <c r="M167" i="3"/>
  <c r="K167" i="3"/>
  <c r="I167" i="3"/>
  <c r="A163" i="4"/>
  <c r="P171" i="3"/>
  <c r="N171" i="3"/>
  <c r="L171" i="3"/>
  <c r="J171" i="3"/>
  <c r="H171" i="3"/>
  <c r="Q171" i="3"/>
  <c r="O171" i="3"/>
  <c r="M171" i="3"/>
  <c r="K171" i="3"/>
  <c r="I171" i="3"/>
  <c r="A167" i="4"/>
  <c r="B167" i="4" s="1"/>
  <c r="C167" i="4" s="1"/>
  <c r="D167" i="4" s="1"/>
  <c r="P175" i="3"/>
  <c r="N175" i="3"/>
  <c r="L175" i="3"/>
  <c r="J175" i="3"/>
  <c r="H175" i="3"/>
  <c r="Q175" i="3"/>
  <c r="O175" i="3"/>
  <c r="M175" i="3"/>
  <c r="K175" i="3"/>
  <c r="I175" i="3"/>
  <c r="A171" i="4"/>
  <c r="B171" i="4" s="1"/>
  <c r="C171" i="4" s="1"/>
  <c r="D171" i="4" s="1"/>
  <c r="P179" i="3"/>
  <c r="N179" i="3"/>
  <c r="L179" i="3"/>
  <c r="J179" i="3"/>
  <c r="H179" i="3"/>
  <c r="Q179" i="3"/>
  <c r="O179" i="3"/>
  <c r="M179" i="3"/>
  <c r="K179" i="3"/>
  <c r="I179" i="3"/>
  <c r="A175" i="4"/>
  <c r="B175" i="4" s="1"/>
  <c r="C175" i="4" s="1"/>
  <c r="D175" i="4" s="1"/>
  <c r="P183" i="3"/>
  <c r="N183" i="3"/>
  <c r="L183" i="3"/>
  <c r="J183" i="3"/>
  <c r="H183" i="3"/>
  <c r="Q183" i="3"/>
  <c r="O183" i="3"/>
  <c r="M183" i="3"/>
  <c r="K183" i="3"/>
  <c r="I183" i="3"/>
  <c r="A179" i="4"/>
  <c r="B179" i="4" s="1"/>
  <c r="C179" i="4" s="1"/>
  <c r="D179" i="4" s="1"/>
  <c r="P187" i="3"/>
  <c r="N187" i="3"/>
  <c r="L187" i="3"/>
  <c r="J187" i="3"/>
  <c r="H187" i="3"/>
  <c r="Q187" i="3"/>
  <c r="O187" i="3"/>
  <c r="M187" i="3"/>
  <c r="K187" i="3"/>
  <c r="I187" i="3"/>
  <c r="A183" i="4"/>
  <c r="B183" i="4" s="1"/>
  <c r="C183" i="4" s="1"/>
  <c r="D183" i="4" s="1"/>
  <c r="P191" i="3"/>
  <c r="N191" i="3"/>
  <c r="L191" i="3"/>
  <c r="J191" i="3"/>
  <c r="H191" i="3"/>
  <c r="Q191" i="3"/>
  <c r="O191" i="3"/>
  <c r="M191" i="3"/>
  <c r="K191" i="3"/>
  <c r="I191" i="3"/>
  <c r="A187" i="4"/>
  <c r="P195" i="3"/>
  <c r="N195" i="3"/>
  <c r="L195" i="3"/>
  <c r="J195" i="3"/>
  <c r="H195" i="3"/>
  <c r="Q195" i="3"/>
  <c r="O195" i="3"/>
  <c r="M195" i="3"/>
  <c r="K195" i="3"/>
  <c r="I195" i="3"/>
  <c r="A191" i="4"/>
  <c r="B191" i="4" s="1"/>
  <c r="C191" i="4" s="1"/>
  <c r="D191" i="4" s="1"/>
  <c r="P199" i="3"/>
  <c r="N199" i="3"/>
  <c r="L199" i="3"/>
  <c r="J199" i="3"/>
  <c r="H199" i="3"/>
  <c r="Q199" i="3"/>
  <c r="O199" i="3"/>
  <c r="M199" i="3"/>
  <c r="K199" i="3"/>
  <c r="I199" i="3"/>
  <c r="A195" i="4"/>
  <c r="B195" i="4" s="1"/>
  <c r="C195" i="4" s="1"/>
  <c r="D195" i="4" s="1"/>
  <c r="P203" i="3"/>
  <c r="N203" i="3"/>
  <c r="L203" i="3"/>
  <c r="J203" i="3"/>
  <c r="H203" i="3"/>
  <c r="Q203" i="3"/>
  <c r="O203" i="3"/>
  <c r="M203" i="3"/>
  <c r="K203" i="3"/>
  <c r="I203" i="3"/>
  <c r="A199" i="4"/>
  <c r="B199" i="4" s="1"/>
  <c r="C199" i="4" s="1"/>
  <c r="D199" i="4" s="1"/>
  <c r="P207" i="3"/>
  <c r="N207" i="3"/>
  <c r="L207" i="3"/>
  <c r="J207" i="3"/>
  <c r="H207" i="3"/>
  <c r="Q207" i="3"/>
  <c r="O207" i="3"/>
  <c r="M207" i="3"/>
  <c r="K207" i="3"/>
  <c r="I207" i="3"/>
  <c r="A203" i="4"/>
  <c r="B203" i="4" s="1"/>
  <c r="C203" i="4" s="1"/>
  <c r="D203" i="4" s="1"/>
  <c r="P211" i="3"/>
  <c r="N211" i="3"/>
  <c r="L211" i="3"/>
  <c r="J211" i="3"/>
  <c r="H211" i="3"/>
  <c r="Q211" i="3"/>
  <c r="O211" i="3"/>
  <c r="M211" i="3"/>
  <c r="K211" i="3"/>
  <c r="I211" i="3"/>
  <c r="A207" i="4"/>
  <c r="B207" i="4" s="1"/>
  <c r="C207" i="4" s="1"/>
  <c r="D207" i="4" s="1"/>
  <c r="P215" i="3"/>
  <c r="N215" i="3"/>
  <c r="L215" i="3"/>
  <c r="J215" i="3"/>
  <c r="H215" i="3"/>
  <c r="Q215" i="3"/>
  <c r="O215" i="3"/>
  <c r="M215" i="3"/>
  <c r="K215" i="3"/>
  <c r="I215" i="3"/>
  <c r="A211" i="4"/>
  <c r="B211" i="4" s="1"/>
  <c r="C211" i="4" s="1"/>
  <c r="D211" i="4" s="1"/>
  <c r="P219" i="3"/>
  <c r="N219" i="3"/>
  <c r="L219" i="3"/>
  <c r="J219" i="3"/>
  <c r="H219" i="3"/>
  <c r="Q219" i="3"/>
  <c r="O219" i="3"/>
  <c r="M219" i="3"/>
  <c r="K219" i="3"/>
  <c r="I219" i="3"/>
  <c r="A215" i="4"/>
  <c r="B215" i="4" s="1"/>
  <c r="C215" i="4" s="1"/>
  <c r="D215" i="4" s="1"/>
  <c r="P223" i="3"/>
  <c r="N223" i="3"/>
  <c r="L223" i="3"/>
  <c r="J223" i="3"/>
  <c r="H223" i="3"/>
  <c r="Q223" i="3"/>
  <c r="O223" i="3"/>
  <c r="M223" i="3"/>
  <c r="K223" i="3"/>
  <c r="I223" i="3"/>
  <c r="A219" i="4"/>
  <c r="B219" i="4" s="1"/>
  <c r="C219" i="4" s="1"/>
  <c r="D219" i="4" s="1"/>
  <c r="P227" i="3"/>
  <c r="N227" i="3"/>
  <c r="L227" i="3"/>
  <c r="J227" i="3"/>
  <c r="H227" i="3"/>
  <c r="Q227" i="3"/>
  <c r="O227" i="3"/>
  <c r="M227" i="3"/>
  <c r="K227" i="3"/>
  <c r="I227" i="3"/>
  <c r="A223" i="4"/>
  <c r="B223" i="4" s="1"/>
  <c r="C223" i="4" s="1"/>
  <c r="D223" i="4" s="1"/>
  <c r="P231" i="3"/>
  <c r="N231" i="3"/>
  <c r="L231" i="3"/>
  <c r="J231" i="3"/>
  <c r="H231" i="3"/>
  <c r="Q231" i="3"/>
  <c r="O231" i="3"/>
  <c r="M231" i="3"/>
  <c r="K231" i="3"/>
  <c r="I231" i="3"/>
  <c r="A227" i="4"/>
  <c r="B227" i="4" s="1"/>
  <c r="C227" i="4" s="1"/>
  <c r="D227" i="4" s="1"/>
  <c r="P235" i="3"/>
  <c r="N235" i="3"/>
  <c r="L235" i="3"/>
  <c r="J235" i="3"/>
  <c r="H235" i="3"/>
  <c r="Q235" i="3"/>
  <c r="O235" i="3"/>
  <c r="M235" i="3"/>
  <c r="K235" i="3"/>
  <c r="I235" i="3"/>
  <c r="A231" i="4"/>
  <c r="B231" i="4" s="1"/>
  <c r="C231" i="4" s="1"/>
  <c r="D231" i="4" s="1"/>
  <c r="P239" i="3"/>
  <c r="N239" i="3"/>
  <c r="L239" i="3"/>
  <c r="J239" i="3"/>
  <c r="H239" i="3"/>
  <c r="Q239" i="3"/>
  <c r="O239" i="3"/>
  <c r="M239" i="3"/>
  <c r="K239" i="3"/>
  <c r="I239" i="3"/>
  <c r="P241" i="3"/>
  <c r="N241" i="3"/>
  <c r="L241" i="3"/>
  <c r="J241" i="3"/>
  <c r="H241" i="3"/>
  <c r="Q241" i="3"/>
  <c r="O241" i="3"/>
  <c r="M241" i="3"/>
  <c r="K241" i="3"/>
  <c r="I241" i="3"/>
  <c r="A237" i="4"/>
  <c r="B237" i="4" s="1"/>
  <c r="C237" i="4" s="1"/>
  <c r="D237" i="4" s="1"/>
  <c r="P245" i="3"/>
  <c r="N245" i="3"/>
  <c r="L245" i="3"/>
  <c r="J245" i="3"/>
  <c r="H245" i="3"/>
  <c r="Q245" i="3"/>
  <c r="O245" i="3"/>
  <c r="M245" i="3"/>
  <c r="K245" i="3"/>
  <c r="I245" i="3"/>
  <c r="A241" i="4"/>
  <c r="B241" i="4" s="1"/>
  <c r="C241" i="4" s="1"/>
  <c r="D241" i="4" s="1"/>
  <c r="P249" i="3"/>
  <c r="N249" i="3"/>
  <c r="L249" i="3"/>
  <c r="J249" i="3"/>
  <c r="H249" i="3"/>
  <c r="Q249" i="3"/>
  <c r="O249" i="3"/>
  <c r="M249" i="3"/>
  <c r="K249" i="3"/>
  <c r="I249" i="3"/>
  <c r="A245" i="4"/>
  <c r="B245" i="4" s="1"/>
  <c r="C245" i="4" s="1"/>
  <c r="D245" i="4" s="1"/>
  <c r="P253" i="3"/>
  <c r="N253" i="3"/>
  <c r="L253" i="3"/>
  <c r="J253" i="3"/>
  <c r="H253" i="3"/>
  <c r="Q253" i="3"/>
  <c r="O253" i="3"/>
  <c r="M253" i="3"/>
  <c r="K253" i="3"/>
  <c r="I253" i="3"/>
  <c r="A249" i="4"/>
  <c r="B249" i="4" s="1"/>
  <c r="C249" i="4" s="1"/>
  <c r="D249" i="4" s="1"/>
  <c r="P257" i="3"/>
  <c r="N257" i="3"/>
  <c r="L257" i="3"/>
  <c r="J257" i="3"/>
  <c r="H257" i="3"/>
  <c r="Q257" i="3"/>
  <c r="O257" i="3"/>
  <c r="M257" i="3"/>
  <c r="K257" i="3"/>
  <c r="I257" i="3"/>
  <c r="A253" i="4"/>
  <c r="B253" i="4" s="1"/>
  <c r="C253" i="4" s="1"/>
  <c r="D253" i="4" s="1"/>
  <c r="P261" i="3"/>
  <c r="N261" i="3"/>
  <c r="L261" i="3"/>
  <c r="J261" i="3"/>
  <c r="H261" i="3"/>
  <c r="Q261" i="3"/>
  <c r="O261" i="3"/>
  <c r="M261" i="3"/>
  <c r="K261" i="3"/>
  <c r="I261" i="3"/>
  <c r="A257" i="4"/>
  <c r="B257" i="4" s="1"/>
  <c r="C257" i="4" s="1"/>
  <c r="D257" i="4" s="1"/>
  <c r="P265" i="3"/>
  <c r="N265" i="3"/>
  <c r="L265" i="3"/>
  <c r="J265" i="3"/>
  <c r="H265" i="3"/>
  <c r="Q265" i="3"/>
  <c r="O265" i="3"/>
  <c r="M265" i="3"/>
  <c r="K265" i="3"/>
  <c r="I265" i="3"/>
  <c r="A261" i="4"/>
  <c r="B261" i="4" s="1"/>
  <c r="C261" i="4" s="1"/>
  <c r="D261" i="4" s="1"/>
  <c r="P269" i="3"/>
  <c r="N269" i="3"/>
  <c r="L269" i="3"/>
  <c r="J269" i="3"/>
  <c r="H269" i="3"/>
  <c r="Q269" i="3"/>
  <c r="O269" i="3"/>
  <c r="M269" i="3"/>
  <c r="K269" i="3"/>
  <c r="I269" i="3"/>
  <c r="A265" i="4"/>
  <c r="B265" i="4" s="1"/>
  <c r="C265" i="4" s="1"/>
  <c r="D265" i="4" s="1"/>
  <c r="P273" i="3"/>
  <c r="N273" i="3"/>
  <c r="L273" i="3"/>
  <c r="J273" i="3"/>
  <c r="H273" i="3"/>
  <c r="Q273" i="3"/>
  <c r="O273" i="3"/>
  <c r="M273" i="3"/>
  <c r="K273" i="3"/>
  <c r="I273" i="3"/>
  <c r="A269" i="4"/>
  <c r="B269" i="4" s="1"/>
  <c r="C269" i="4" s="1"/>
  <c r="D269" i="4" s="1"/>
  <c r="P277" i="3"/>
  <c r="N277" i="3"/>
  <c r="L277" i="3"/>
  <c r="J277" i="3"/>
  <c r="H277" i="3"/>
  <c r="Q277" i="3"/>
  <c r="O277" i="3"/>
  <c r="M277" i="3"/>
  <c r="K277" i="3"/>
  <c r="I277" i="3"/>
  <c r="A273" i="4"/>
  <c r="B273" i="4" s="1"/>
  <c r="C273" i="4" s="1"/>
  <c r="D273" i="4" s="1"/>
  <c r="P281" i="3"/>
  <c r="N281" i="3"/>
  <c r="L281" i="3"/>
  <c r="J281" i="3"/>
  <c r="H281" i="3"/>
  <c r="Q281" i="3"/>
  <c r="O281" i="3"/>
  <c r="M281" i="3"/>
  <c r="K281" i="3"/>
  <c r="I281" i="3"/>
  <c r="A277" i="4"/>
  <c r="B277" i="4" s="1"/>
  <c r="C277" i="4" s="1"/>
  <c r="D277" i="4" s="1"/>
  <c r="P285" i="3"/>
  <c r="N285" i="3"/>
  <c r="L285" i="3"/>
  <c r="J285" i="3"/>
  <c r="H285" i="3"/>
  <c r="Q285" i="3"/>
  <c r="O285" i="3"/>
  <c r="M285" i="3"/>
  <c r="K285" i="3"/>
  <c r="I285" i="3"/>
  <c r="P287" i="3"/>
  <c r="N287" i="3"/>
  <c r="L287" i="3"/>
  <c r="J287" i="3"/>
  <c r="H287" i="3"/>
  <c r="Q287" i="3"/>
  <c r="O287" i="3"/>
  <c r="M287" i="3"/>
  <c r="K287" i="3"/>
  <c r="I287" i="3"/>
  <c r="A283" i="4"/>
  <c r="B283" i="4" s="1"/>
  <c r="C283" i="4" s="1"/>
  <c r="D283" i="4" s="1"/>
  <c r="P291" i="3"/>
  <c r="N291" i="3"/>
  <c r="L291" i="3"/>
  <c r="J291" i="3"/>
  <c r="H291" i="3"/>
  <c r="Q291" i="3"/>
  <c r="O291" i="3"/>
  <c r="M291" i="3"/>
  <c r="K291" i="3"/>
  <c r="I291" i="3"/>
  <c r="A287" i="4"/>
  <c r="B287" i="4" s="1"/>
  <c r="C287" i="4" s="1"/>
  <c r="D287" i="4" s="1"/>
  <c r="P295" i="3"/>
  <c r="N295" i="3"/>
  <c r="L295" i="3"/>
  <c r="J295" i="3"/>
  <c r="H295" i="3"/>
  <c r="Q295" i="3"/>
  <c r="O295" i="3"/>
  <c r="M295" i="3"/>
  <c r="K295" i="3"/>
  <c r="I295" i="3"/>
  <c r="A291" i="4"/>
  <c r="B291" i="4" s="1"/>
  <c r="C291" i="4" s="1"/>
  <c r="D291" i="4" s="1"/>
  <c r="P299" i="3"/>
  <c r="N299" i="3"/>
  <c r="L299" i="3"/>
  <c r="J299" i="3"/>
  <c r="H299" i="3"/>
  <c r="Q299" i="3"/>
  <c r="O299" i="3"/>
  <c r="M299" i="3"/>
  <c r="K299" i="3"/>
  <c r="I299" i="3"/>
  <c r="A295" i="4"/>
  <c r="B295" i="4" s="1"/>
  <c r="C295" i="4" s="1"/>
  <c r="D295" i="4" s="1"/>
  <c r="P303" i="3"/>
  <c r="N303" i="3"/>
  <c r="L303" i="3"/>
  <c r="J303" i="3"/>
  <c r="H303" i="3"/>
  <c r="Q303" i="3"/>
  <c r="O303" i="3"/>
  <c r="M303" i="3"/>
  <c r="K303" i="3"/>
  <c r="I303" i="3"/>
  <c r="A299" i="4"/>
  <c r="B299" i="4" s="1"/>
  <c r="C299" i="4" s="1"/>
  <c r="D299" i="4" s="1"/>
  <c r="P307" i="3"/>
  <c r="N307" i="3"/>
  <c r="L307" i="3"/>
  <c r="J307" i="3"/>
  <c r="H307" i="3"/>
  <c r="Q307" i="3"/>
  <c r="O307" i="3"/>
  <c r="M307" i="3"/>
  <c r="K307" i="3"/>
  <c r="I307" i="3"/>
  <c r="A303" i="4"/>
  <c r="B303" i="4" s="1"/>
  <c r="C303" i="4" s="1"/>
  <c r="D303" i="4" s="1"/>
  <c r="P311" i="3"/>
  <c r="N311" i="3"/>
  <c r="L311" i="3"/>
  <c r="J311" i="3"/>
  <c r="H311" i="3"/>
  <c r="Q311" i="3"/>
  <c r="O311" i="3"/>
  <c r="M311" i="3"/>
  <c r="K311" i="3"/>
  <c r="I311" i="3"/>
  <c r="A307" i="4"/>
  <c r="B307" i="4" s="1"/>
  <c r="C307" i="4" s="1"/>
  <c r="D307" i="4" s="1"/>
  <c r="P315" i="3"/>
  <c r="N315" i="3"/>
  <c r="L315" i="3"/>
  <c r="J315" i="3"/>
  <c r="H315" i="3"/>
  <c r="Q315" i="3"/>
  <c r="O315" i="3"/>
  <c r="M315" i="3"/>
  <c r="K315" i="3"/>
  <c r="I315" i="3"/>
  <c r="A311" i="4"/>
  <c r="B311" i="4" s="1"/>
  <c r="C311" i="4" s="1"/>
  <c r="D311" i="4" s="1"/>
  <c r="P319" i="3"/>
  <c r="N319" i="3"/>
  <c r="L319" i="3"/>
  <c r="J319" i="3"/>
  <c r="H319" i="3"/>
  <c r="Q319" i="3"/>
  <c r="O319" i="3"/>
  <c r="M319" i="3"/>
  <c r="K319" i="3"/>
  <c r="I319" i="3"/>
  <c r="A315" i="4"/>
  <c r="B315" i="4" s="1"/>
  <c r="C315" i="4" s="1"/>
  <c r="D315" i="4" s="1"/>
  <c r="A317" i="4"/>
  <c r="B317" i="4" s="1"/>
  <c r="C317" i="4" s="1"/>
  <c r="D317" i="4" s="1"/>
  <c r="P325" i="3"/>
  <c r="N325" i="3"/>
  <c r="L325" i="3"/>
  <c r="J325" i="3"/>
  <c r="H325" i="3"/>
  <c r="Q325" i="3"/>
  <c r="O325" i="3"/>
  <c r="M325" i="3"/>
  <c r="K325" i="3"/>
  <c r="I325" i="3"/>
  <c r="P327" i="3"/>
  <c r="N327" i="3"/>
  <c r="L327" i="3"/>
  <c r="J327" i="3"/>
  <c r="H327" i="3"/>
  <c r="Q327" i="3"/>
  <c r="O327" i="3"/>
  <c r="M327" i="3"/>
  <c r="K327" i="3"/>
  <c r="I327" i="3"/>
  <c r="A323" i="4"/>
  <c r="B323" i="4" s="1"/>
  <c r="C323" i="4" s="1"/>
  <c r="D323" i="4" s="1"/>
  <c r="A325" i="4"/>
  <c r="B325" i="4" s="1"/>
  <c r="C325" i="4" s="1"/>
  <c r="D325" i="4" s="1"/>
  <c r="P333" i="3"/>
  <c r="N333" i="3"/>
  <c r="L333" i="3"/>
  <c r="J333" i="3"/>
  <c r="H333" i="3"/>
  <c r="Q333" i="3"/>
  <c r="O333" i="3"/>
  <c r="M333" i="3"/>
  <c r="K333" i="3"/>
  <c r="I333" i="3"/>
  <c r="A329" i="4"/>
  <c r="B329" i="4" s="1"/>
  <c r="C329" i="4" s="1"/>
  <c r="D329" i="4" s="1"/>
  <c r="P337" i="3"/>
  <c r="N337" i="3"/>
  <c r="L337" i="3"/>
  <c r="J337" i="3"/>
  <c r="H337" i="3"/>
  <c r="Q337" i="3"/>
  <c r="O337" i="3"/>
  <c r="M337" i="3"/>
  <c r="K337" i="3"/>
  <c r="I337" i="3"/>
  <c r="A333" i="4"/>
  <c r="B333" i="4" s="1"/>
  <c r="C333" i="4" s="1"/>
  <c r="D333" i="4" s="1"/>
  <c r="P341" i="3"/>
  <c r="N341" i="3"/>
  <c r="L341" i="3"/>
  <c r="J341" i="3"/>
  <c r="H341" i="3"/>
  <c r="Q341" i="3"/>
  <c r="O341" i="3"/>
  <c r="M341" i="3"/>
  <c r="K341" i="3"/>
  <c r="I341" i="3"/>
  <c r="P343" i="3"/>
  <c r="N343" i="3"/>
  <c r="L343" i="3"/>
  <c r="J343" i="3"/>
  <c r="H343" i="3"/>
  <c r="Q343" i="3"/>
  <c r="O343" i="3"/>
  <c r="M343" i="3"/>
  <c r="K343" i="3"/>
  <c r="I343" i="3"/>
  <c r="A339" i="4"/>
  <c r="B339" i="4" s="1"/>
  <c r="C339" i="4" s="1"/>
  <c r="D339" i="4" s="1"/>
  <c r="P347" i="3"/>
  <c r="N347" i="3"/>
  <c r="L347" i="3"/>
  <c r="J347" i="3"/>
  <c r="H347" i="3"/>
  <c r="Q347" i="3"/>
  <c r="O347" i="3"/>
  <c r="M347" i="3"/>
  <c r="K347" i="3"/>
  <c r="I347" i="3"/>
  <c r="A343" i="4"/>
  <c r="B343" i="4" s="1"/>
  <c r="C343" i="4" s="1"/>
  <c r="D343" i="4" s="1"/>
  <c r="P351" i="3"/>
  <c r="N351" i="3"/>
  <c r="L351" i="3"/>
  <c r="J351" i="3"/>
  <c r="H351" i="3"/>
  <c r="Q351" i="3"/>
  <c r="O351" i="3"/>
  <c r="M351" i="3"/>
  <c r="K351" i="3"/>
  <c r="I351" i="3"/>
  <c r="A347" i="4"/>
  <c r="B347" i="4" s="1"/>
  <c r="C347" i="4" s="1"/>
  <c r="D347" i="4" s="1"/>
  <c r="P355" i="3"/>
  <c r="N355" i="3"/>
  <c r="L355" i="3"/>
  <c r="J355" i="3"/>
  <c r="H355" i="3"/>
  <c r="Q355" i="3"/>
  <c r="O355" i="3"/>
  <c r="M355" i="3"/>
  <c r="K355" i="3"/>
  <c r="I355" i="3"/>
  <c r="A351" i="4"/>
  <c r="B351" i="4" s="1"/>
  <c r="C351" i="4" s="1"/>
  <c r="D351" i="4" s="1"/>
  <c r="P359" i="3"/>
  <c r="N359" i="3"/>
  <c r="L359" i="3"/>
  <c r="J359" i="3"/>
  <c r="H359" i="3"/>
  <c r="Q359" i="3"/>
  <c r="O359" i="3"/>
  <c r="M359" i="3"/>
  <c r="K359" i="3"/>
  <c r="I359" i="3"/>
  <c r="A355" i="4"/>
  <c r="B355" i="4" s="1"/>
  <c r="C355" i="4" s="1"/>
  <c r="D355" i="4" s="1"/>
  <c r="P363" i="3"/>
  <c r="N363" i="3"/>
  <c r="L363" i="3"/>
  <c r="J363" i="3"/>
  <c r="H363" i="3"/>
  <c r="Q363" i="3"/>
  <c r="O363" i="3"/>
  <c r="M363" i="3"/>
  <c r="K363" i="3"/>
  <c r="I363" i="3"/>
  <c r="A359" i="4"/>
  <c r="B359" i="4" s="1"/>
  <c r="C359" i="4" s="1"/>
  <c r="D359" i="4" s="1"/>
  <c r="P367" i="3"/>
  <c r="N367" i="3"/>
  <c r="L367" i="3"/>
  <c r="J367" i="3"/>
  <c r="H367" i="3"/>
  <c r="Q367" i="3"/>
  <c r="O367" i="3"/>
  <c r="M367" i="3"/>
  <c r="K367" i="3"/>
  <c r="I367" i="3"/>
  <c r="A363" i="4"/>
  <c r="B363" i="4" s="1"/>
  <c r="C363" i="4" s="1"/>
  <c r="D363" i="4" s="1"/>
  <c r="P371" i="3"/>
  <c r="N371" i="3"/>
  <c r="L371" i="3"/>
  <c r="J371" i="3"/>
  <c r="H371" i="3"/>
  <c r="Q371" i="3"/>
  <c r="O371" i="3"/>
  <c r="M371" i="3"/>
  <c r="K371" i="3"/>
  <c r="I371" i="3"/>
  <c r="A367" i="4"/>
  <c r="B367" i="4" s="1"/>
  <c r="C367" i="4" s="1"/>
  <c r="D367" i="4" s="1"/>
  <c r="P375" i="3"/>
  <c r="N375" i="3"/>
  <c r="L375" i="3"/>
  <c r="J375" i="3"/>
  <c r="H375" i="3"/>
  <c r="Q375" i="3"/>
  <c r="O375" i="3"/>
  <c r="M375" i="3"/>
  <c r="K375" i="3"/>
  <c r="I375" i="3"/>
  <c r="A371" i="4"/>
  <c r="B371" i="4" s="1"/>
  <c r="C371" i="4" s="1"/>
  <c r="D371" i="4" s="1"/>
  <c r="P379" i="3"/>
  <c r="N379" i="3"/>
  <c r="L379" i="3"/>
  <c r="J379" i="3"/>
  <c r="H379" i="3"/>
  <c r="Q379" i="3"/>
  <c r="O379" i="3"/>
  <c r="M379" i="3"/>
  <c r="K379" i="3"/>
  <c r="I379" i="3"/>
  <c r="A375" i="4"/>
  <c r="B375" i="4" s="1"/>
  <c r="C375" i="4" s="1"/>
  <c r="D375" i="4" s="1"/>
  <c r="P383" i="3"/>
  <c r="N383" i="3"/>
  <c r="L383" i="3"/>
  <c r="J383" i="3"/>
  <c r="H383" i="3"/>
  <c r="Q383" i="3"/>
  <c r="O383" i="3"/>
  <c r="M383" i="3"/>
  <c r="K383" i="3"/>
  <c r="I383" i="3"/>
  <c r="P385" i="3"/>
  <c r="N385" i="3"/>
  <c r="L385" i="3"/>
  <c r="J385" i="3"/>
  <c r="H385" i="3"/>
  <c r="Q385" i="3"/>
  <c r="O385" i="3"/>
  <c r="M385" i="3"/>
  <c r="K385" i="3"/>
  <c r="I385" i="3"/>
  <c r="A381" i="4"/>
  <c r="B381" i="4" s="1"/>
  <c r="C381" i="4" s="1"/>
  <c r="D381" i="4" s="1"/>
  <c r="P389" i="3"/>
  <c r="N389" i="3"/>
  <c r="L389" i="3"/>
  <c r="J389" i="3"/>
  <c r="H389" i="3"/>
  <c r="Q389" i="3"/>
  <c r="O389" i="3"/>
  <c r="M389" i="3"/>
  <c r="K389" i="3"/>
  <c r="I389" i="3"/>
  <c r="A385" i="4"/>
  <c r="B385" i="4" s="1"/>
  <c r="C385" i="4" s="1"/>
  <c r="D385" i="4" s="1"/>
  <c r="P393" i="3"/>
  <c r="N393" i="3"/>
  <c r="L393" i="3"/>
  <c r="J393" i="3"/>
  <c r="H393" i="3"/>
  <c r="Q393" i="3"/>
  <c r="O393" i="3"/>
  <c r="M393" i="3"/>
  <c r="K393" i="3"/>
  <c r="I393" i="3"/>
  <c r="A389" i="4"/>
  <c r="B389" i="4" s="1"/>
  <c r="C389" i="4" s="1"/>
  <c r="D389" i="4" s="1"/>
  <c r="P397" i="3"/>
  <c r="N397" i="3"/>
  <c r="L397" i="3"/>
  <c r="J397" i="3"/>
  <c r="H397" i="3"/>
  <c r="Q397" i="3"/>
  <c r="O397" i="3"/>
  <c r="M397" i="3"/>
  <c r="K397" i="3"/>
  <c r="I397" i="3"/>
  <c r="A393" i="4"/>
  <c r="B393" i="4" s="1"/>
  <c r="C393" i="4" s="1"/>
  <c r="D393" i="4" s="1"/>
  <c r="P401" i="3"/>
  <c r="N401" i="3"/>
  <c r="L401" i="3"/>
  <c r="J401" i="3"/>
  <c r="H401" i="3"/>
  <c r="Q401" i="3"/>
  <c r="O401" i="3"/>
  <c r="M401" i="3"/>
  <c r="K401" i="3"/>
  <c r="I401" i="3"/>
  <c r="A397" i="4"/>
  <c r="B397" i="4" s="1"/>
  <c r="C397" i="4" s="1"/>
  <c r="D397" i="4" s="1"/>
  <c r="P405" i="3"/>
  <c r="N405" i="3"/>
  <c r="L405" i="3"/>
  <c r="J405" i="3"/>
  <c r="H405" i="3"/>
  <c r="Q405" i="3"/>
  <c r="O405" i="3"/>
  <c r="M405" i="3"/>
  <c r="K405" i="3"/>
  <c r="I405" i="3"/>
  <c r="A401" i="4"/>
  <c r="B401" i="4" s="1"/>
  <c r="C401" i="4" s="1"/>
  <c r="D401" i="4" s="1"/>
  <c r="P409" i="3"/>
  <c r="N409" i="3"/>
  <c r="L409" i="3"/>
  <c r="J409" i="3"/>
  <c r="H409" i="3"/>
  <c r="Q409" i="3"/>
  <c r="O409" i="3"/>
  <c r="M409" i="3"/>
  <c r="K409" i="3"/>
  <c r="I409" i="3"/>
  <c r="P411" i="3"/>
  <c r="N411" i="3"/>
  <c r="L411" i="3"/>
  <c r="J411" i="3"/>
  <c r="H411" i="3"/>
  <c r="Q411" i="3"/>
  <c r="O411" i="3"/>
  <c r="M411" i="3"/>
  <c r="K411" i="3"/>
  <c r="I411" i="3"/>
  <c r="A407" i="4"/>
  <c r="B407" i="4" s="1"/>
  <c r="C407" i="4" s="1"/>
  <c r="D407" i="4" s="1"/>
  <c r="A409" i="4"/>
  <c r="B409" i="4" s="1"/>
  <c r="C409" i="4" s="1"/>
  <c r="D409" i="4" s="1"/>
  <c r="P417" i="3"/>
  <c r="N417" i="3"/>
  <c r="L417" i="3"/>
  <c r="J417" i="3"/>
  <c r="H417" i="3"/>
  <c r="Q417" i="3"/>
  <c r="O417" i="3"/>
  <c r="M417" i="3"/>
  <c r="K417" i="3"/>
  <c r="I417" i="3"/>
  <c r="P419" i="3"/>
  <c r="N419" i="3"/>
  <c r="L419" i="3"/>
  <c r="J419" i="3"/>
  <c r="H419" i="3"/>
  <c r="Q419" i="3"/>
  <c r="O419" i="3"/>
  <c r="M419" i="3"/>
  <c r="K419" i="3"/>
  <c r="I419" i="3"/>
  <c r="A415" i="4"/>
  <c r="B415" i="4" s="1"/>
  <c r="C415" i="4" s="1"/>
  <c r="D415" i="4" s="1"/>
  <c r="P423" i="3"/>
  <c r="N423" i="3"/>
  <c r="L423" i="3"/>
  <c r="J423" i="3"/>
  <c r="H423" i="3"/>
  <c r="Q423" i="3"/>
  <c r="O423" i="3"/>
  <c r="M423" i="3"/>
  <c r="K423" i="3"/>
  <c r="I423" i="3"/>
  <c r="A419" i="4"/>
  <c r="B419" i="4" s="1"/>
  <c r="C419" i="4" s="1"/>
  <c r="D419" i="4" s="1"/>
  <c r="P427" i="3"/>
  <c r="N427" i="3"/>
  <c r="L427" i="3"/>
  <c r="J427" i="3"/>
  <c r="H427" i="3"/>
  <c r="Q427" i="3"/>
  <c r="O427" i="3"/>
  <c r="M427" i="3"/>
  <c r="K427" i="3"/>
  <c r="I427" i="3"/>
  <c r="A423" i="4"/>
  <c r="B423" i="4" s="1"/>
  <c r="C423" i="4" s="1"/>
  <c r="D423" i="4" s="1"/>
  <c r="P431" i="3"/>
  <c r="N431" i="3"/>
  <c r="L431" i="3"/>
  <c r="J431" i="3"/>
  <c r="H431" i="3"/>
  <c r="Q431" i="3"/>
  <c r="O431" i="3"/>
  <c r="M431" i="3"/>
  <c r="K431" i="3"/>
  <c r="I431" i="3"/>
  <c r="A427" i="4"/>
  <c r="B427" i="4" s="1"/>
  <c r="C427" i="4" s="1"/>
  <c r="D427" i="4" s="1"/>
  <c r="P435" i="3"/>
  <c r="N435" i="3"/>
  <c r="L435" i="3"/>
  <c r="J435" i="3"/>
  <c r="H435" i="3"/>
  <c r="Q435" i="3"/>
  <c r="O435" i="3"/>
  <c r="M435" i="3"/>
  <c r="K435" i="3"/>
  <c r="I435" i="3"/>
  <c r="A431" i="4"/>
  <c r="B431" i="4" s="1"/>
  <c r="C431" i="4" s="1"/>
  <c r="D431" i="4" s="1"/>
  <c r="P439" i="3"/>
  <c r="N439" i="3"/>
  <c r="L439" i="3"/>
  <c r="J439" i="3"/>
  <c r="H439" i="3"/>
  <c r="Q439" i="3"/>
  <c r="O439" i="3"/>
  <c r="M439" i="3"/>
  <c r="K439" i="3"/>
  <c r="I439" i="3"/>
  <c r="A435" i="4"/>
  <c r="B435" i="4" s="1"/>
  <c r="C435" i="4" s="1"/>
  <c r="D435" i="4" s="1"/>
  <c r="P443" i="3"/>
  <c r="N443" i="3"/>
  <c r="L443" i="3"/>
  <c r="J443" i="3"/>
  <c r="H443" i="3"/>
  <c r="Q443" i="3"/>
  <c r="O443" i="3"/>
  <c r="M443" i="3"/>
  <c r="K443" i="3"/>
  <c r="I443" i="3"/>
  <c r="A439" i="4"/>
  <c r="B439" i="4" s="1"/>
  <c r="C439" i="4" s="1"/>
  <c r="D439" i="4" s="1"/>
  <c r="P447" i="3"/>
  <c r="N447" i="3"/>
  <c r="L447" i="3"/>
  <c r="J447" i="3"/>
  <c r="H447" i="3"/>
  <c r="Q447" i="3"/>
  <c r="O447" i="3"/>
  <c r="M447" i="3"/>
  <c r="K447" i="3"/>
  <c r="I447" i="3"/>
  <c r="A443" i="4"/>
  <c r="B443" i="4" s="1"/>
  <c r="C443" i="4" s="1"/>
  <c r="D443" i="4" s="1"/>
  <c r="P451" i="3"/>
  <c r="N451" i="3"/>
  <c r="L451" i="3"/>
  <c r="J451" i="3"/>
  <c r="H451" i="3"/>
  <c r="Q451" i="3"/>
  <c r="O451" i="3"/>
  <c r="M451" i="3"/>
  <c r="K451" i="3"/>
  <c r="I451" i="3"/>
  <c r="P453" i="3"/>
  <c r="N453" i="3"/>
  <c r="L453" i="3"/>
  <c r="J453" i="3"/>
  <c r="H453" i="3"/>
  <c r="Q453" i="3"/>
  <c r="O453" i="3"/>
  <c r="M453" i="3"/>
  <c r="K453" i="3"/>
  <c r="I453" i="3"/>
  <c r="A449" i="4"/>
  <c r="B449" i="4" s="1"/>
  <c r="C449" i="4" s="1"/>
  <c r="D449" i="4" s="1"/>
  <c r="P457" i="3"/>
  <c r="N457" i="3"/>
  <c r="L457" i="3"/>
  <c r="J457" i="3"/>
  <c r="H457" i="3"/>
  <c r="Q457" i="3"/>
  <c r="O457" i="3"/>
  <c r="M457" i="3"/>
  <c r="K457" i="3"/>
  <c r="I457" i="3"/>
  <c r="A453" i="4"/>
  <c r="B453" i="4" s="1"/>
  <c r="C453" i="4" s="1"/>
  <c r="D453" i="4" s="1"/>
  <c r="P461" i="3"/>
  <c r="N461" i="3"/>
  <c r="L461" i="3"/>
  <c r="J461" i="3"/>
  <c r="H461" i="3"/>
  <c r="Q461" i="3"/>
  <c r="O461" i="3"/>
  <c r="M461" i="3"/>
  <c r="K461" i="3"/>
  <c r="I461" i="3"/>
  <c r="A457" i="4"/>
  <c r="B457" i="4" s="1"/>
  <c r="C457" i="4" s="1"/>
  <c r="D457" i="4" s="1"/>
  <c r="P465" i="3"/>
  <c r="N465" i="3"/>
  <c r="L465" i="3"/>
  <c r="J465" i="3"/>
  <c r="H465" i="3"/>
  <c r="Q465" i="3"/>
  <c r="O465" i="3"/>
  <c r="M465" i="3"/>
  <c r="K465" i="3"/>
  <c r="I465" i="3"/>
  <c r="A461" i="4"/>
  <c r="B461" i="4" s="1"/>
  <c r="C461" i="4" s="1"/>
  <c r="D461" i="4" s="1"/>
  <c r="P469" i="3"/>
  <c r="N469" i="3"/>
  <c r="L469" i="3"/>
  <c r="J469" i="3"/>
  <c r="H469" i="3"/>
  <c r="Q469" i="3"/>
  <c r="O469" i="3"/>
  <c r="M469" i="3"/>
  <c r="K469" i="3"/>
  <c r="I469" i="3"/>
  <c r="A465" i="4"/>
  <c r="B465" i="4" s="1"/>
  <c r="C465" i="4" s="1"/>
  <c r="D465" i="4" s="1"/>
  <c r="P473" i="3"/>
  <c r="N473" i="3"/>
  <c r="L473" i="3"/>
  <c r="J473" i="3"/>
  <c r="H473" i="3"/>
  <c r="Q473" i="3"/>
  <c r="O473" i="3"/>
  <c r="M473" i="3"/>
  <c r="K473" i="3"/>
  <c r="I473" i="3"/>
  <c r="A469" i="4"/>
  <c r="B469" i="4" s="1"/>
  <c r="C469" i="4" s="1"/>
  <c r="D469" i="4" s="1"/>
  <c r="P477" i="3"/>
  <c r="N477" i="3"/>
  <c r="L477" i="3"/>
  <c r="J477" i="3"/>
  <c r="H477" i="3"/>
  <c r="Q477" i="3"/>
  <c r="O477" i="3"/>
  <c r="M477" i="3"/>
  <c r="K477" i="3"/>
  <c r="I477" i="3"/>
  <c r="A473" i="4"/>
  <c r="B473" i="4" s="1"/>
  <c r="C473" i="4" s="1"/>
  <c r="D473" i="4" s="1"/>
  <c r="P481" i="3"/>
  <c r="N481" i="3"/>
  <c r="L481" i="3"/>
  <c r="J481" i="3"/>
  <c r="H481" i="3"/>
  <c r="Q481" i="3"/>
  <c r="O481" i="3"/>
  <c r="M481" i="3"/>
  <c r="K481" i="3"/>
  <c r="I481" i="3"/>
  <c r="A477" i="4"/>
  <c r="B477" i="4" s="1"/>
  <c r="C477" i="4" s="1"/>
  <c r="D477" i="4" s="1"/>
  <c r="P485" i="3"/>
  <c r="N485" i="3"/>
  <c r="L485" i="3"/>
  <c r="J485" i="3"/>
  <c r="H485" i="3"/>
  <c r="Q485" i="3"/>
  <c r="O485" i="3"/>
  <c r="M485" i="3"/>
  <c r="K485" i="3"/>
  <c r="I485" i="3"/>
  <c r="A481" i="4"/>
  <c r="B481" i="4" s="1"/>
  <c r="C481" i="4" s="1"/>
  <c r="D481" i="4" s="1"/>
  <c r="P489" i="3"/>
  <c r="N489" i="3"/>
  <c r="L489" i="3"/>
  <c r="J489" i="3"/>
  <c r="H489" i="3"/>
  <c r="Q489" i="3"/>
  <c r="O489" i="3"/>
  <c r="M489" i="3"/>
  <c r="K489" i="3"/>
  <c r="I489" i="3"/>
  <c r="P491" i="3"/>
  <c r="N491" i="3"/>
  <c r="L491" i="3"/>
  <c r="J491" i="3"/>
  <c r="H491" i="3"/>
  <c r="Q491" i="3"/>
  <c r="O491" i="3"/>
  <c r="M491" i="3"/>
  <c r="K491" i="3"/>
  <c r="I491" i="3"/>
  <c r="A487" i="4"/>
  <c r="B487" i="4" s="1"/>
  <c r="C487" i="4" s="1"/>
  <c r="D487" i="4" s="1"/>
  <c r="P495" i="3"/>
  <c r="N495" i="3"/>
  <c r="L495" i="3"/>
  <c r="J495" i="3"/>
  <c r="H495" i="3"/>
  <c r="Q495" i="3"/>
  <c r="O495" i="3"/>
  <c r="M495" i="3"/>
  <c r="K495" i="3"/>
  <c r="I495" i="3"/>
  <c r="A491" i="4"/>
  <c r="B491" i="4" s="1"/>
  <c r="C491" i="4" s="1"/>
  <c r="D491" i="4" s="1"/>
  <c r="P499" i="3"/>
  <c r="N499" i="3"/>
  <c r="L499" i="3"/>
  <c r="J499" i="3"/>
  <c r="H499" i="3"/>
  <c r="Q499" i="3"/>
  <c r="O499" i="3"/>
  <c r="M499" i="3"/>
  <c r="K499" i="3"/>
  <c r="I499" i="3"/>
  <c r="A495" i="4"/>
  <c r="B495" i="4" s="1"/>
  <c r="C495" i="4" s="1"/>
  <c r="D495" i="4" s="1"/>
  <c r="P503" i="3"/>
  <c r="N503" i="3"/>
  <c r="L503" i="3"/>
  <c r="J503" i="3"/>
  <c r="H503" i="3"/>
  <c r="Q503" i="3"/>
  <c r="O503" i="3"/>
  <c r="M503" i="3"/>
  <c r="K503" i="3"/>
  <c r="I503" i="3"/>
  <c r="A499" i="4"/>
  <c r="B499" i="4" s="1"/>
  <c r="C499" i="4" s="1"/>
  <c r="D499" i="4" s="1"/>
  <c r="P507" i="3"/>
  <c r="N507" i="3"/>
  <c r="L507" i="3"/>
  <c r="J507" i="3"/>
  <c r="H507" i="3"/>
  <c r="Q507" i="3"/>
  <c r="O507" i="3"/>
  <c r="M507" i="3"/>
  <c r="K507" i="3"/>
  <c r="I507" i="3"/>
  <c r="A503" i="4"/>
  <c r="B503" i="4" s="1"/>
  <c r="C503" i="4" s="1"/>
  <c r="D503" i="4" s="1"/>
  <c r="P511" i="3"/>
  <c r="N511" i="3"/>
  <c r="L511" i="3"/>
  <c r="J511" i="3"/>
  <c r="H511" i="3"/>
  <c r="Q511" i="3"/>
  <c r="O511" i="3"/>
  <c r="M511" i="3"/>
  <c r="K511" i="3"/>
  <c r="I511" i="3"/>
  <c r="A507" i="4"/>
  <c r="B507" i="4" s="1"/>
  <c r="C507" i="4" s="1"/>
  <c r="D507" i="4" s="1"/>
  <c r="A509" i="4"/>
  <c r="B509" i="4" s="1"/>
  <c r="C509" i="4" s="1"/>
  <c r="D509" i="4" s="1"/>
  <c r="P517" i="3"/>
  <c r="N517" i="3"/>
  <c r="L517" i="3"/>
  <c r="J517" i="3"/>
  <c r="H517" i="3"/>
  <c r="Q517" i="3"/>
  <c r="O517" i="3"/>
  <c r="M517" i="3"/>
  <c r="K517" i="3"/>
  <c r="I517" i="3"/>
  <c r="A513" i="4"/>
  <c r="B513" i="4" s="1"/>
  <c r="C513" i="4" s="1"/>
  <c r="D513" i="4" s="1"/>
  <c r="P521" i="3"/>
  <c r="N521" i="3"/>
  <c r="L521" i="3"/>
  <c r="J521" i="3"/>
  <c r="H521" i="3"/>
  <c r="Q521" i="3"/>
  <c r="O521" i="3"/>
  <c r="M521" i="3"/>
  <c r="K521" i="3"/>
  <c r="I521" i="3"/>
  <c r="P523" i="3"/>
  <c r="N523" i="3"/>
  <c r="L523" i="3"/>
  <c r="J523" i="3"/>
  <c r="H523" i="3"/>
  <c r="Q523" i="3"/>
  <c r="O523" i="3"/>
  <c r="M523" i="3"/>
  <c r="K523" i="3"/>
  <c r="I523" i="3"/>
  <c r="A519" i="4"/>
  <c r="B519" i="4" s="1"/>
  <c r="C519" i="4" s="1"/>
  <c r="D519" i="4" s="1"/>
  <c r="P527" i="3"/>
  <c r="N527" i="3"/>
  <c r="L527" i="3"/>
  <c r="J527" i="3"/>
  <c r="H527" i="3"/>
  <c r="Q527" i="3"/>
  <c r="O527" i="3"/>
  <c r="M527" i="3"/>
  <c r="K527" i="3"/>
  <c r="I527" i="3"/>
  <c r="A523" i="4"/>
  <c r="B523" i="4" s="1"/>
  <c r="C523" i="4" s="1"/>
  <c r="D523" i="4" s="1"/>
  <c r="P531" i="3"/>
  <c r="N531" i="3"/>
  <c r="L531" i="3"/>
  <c r="J531" i="3"/>
  <c r="H531" i="3"/>
  <c r="Q531" i="3"/>
  <c r="O531" i="3"/>
  <c r="M531" i="3"/>
  <c r="K531" i="3"/>
  <c r="I531" i="3"/>
  <c r="A527" i="4"/>
  <c r="B527" i="4" s="1"/>
  <c r="C527" i="4" s="1"/>
  <c r="D527" i="4" s="1"/>
  <c r="P535" i="3"/>
  <c r="N535" i="3"/>
  <c r="L535" i="3"/>
  <c r="J535" i="3"/>
  <c r="H535" i="3"/>
  <c r="Q535" i="3"/>
  <c r="O535" i="3"/>
  <c r="M535" i="3"/>
  <c r="K535" i="3"/>
  <c r="I535" i="3"/>
  <c r="A531" i="4"/>
  <c r="B531" i="4" s="1"/>
  <c r="C531" i="4" s="1"/>
  <c r="D531" i="4" s="1"/>
  <c r="P539" i="3"/>
  <c r="N539" i="3"/>
  <c r="L539" i="3"/>
  <c r="J539" i="3"/>
  <c r="H539" i="3"/>
  <c r="Q539" i="3"/>
  <c r="O539" i="3"/>
  <c r="M539" i="3"/>
  <c r="K539" i="3"/>
  <c r="I539" i="3"/>
  <c r="A535" i="4"/>
  <c r="B535" i="4" s="1"/>
  <c r="C535" i="4" s="1"/>
  <c r="D535" i="4" s="1"/>
  <c r="P543" i="3"/>
  <c r="N543" i="3"/>
  <c r="L543" i="3"/>
  <c r="J543" i="3"/>
  <c r="H543" i="3"/>
  <c r="Q543" i="3"/>
  <c r="O543" i="3"/>
  <c r="M543" i="3"/>
  <c r="K543" i="3"/>
  <c r="I543" i="3"/>
  <c r="A539" i="4"/>
  <c r="B539" i="4" s="1"/>
  <c r="C539" i="4" s="1"/>
  <c r="D539" i="4" s="1"/>
  <c r="P547" i="3"/>
  <c r="N547" i="3"/>
  <c r="L547" i="3"/>
  <c r="J547" i="3"/>
  <c r="H547" i="3"/>
  <c r="Q547" i="3"/>
  <c r="O547" i="3"/>
  <c r="M547" i="3"/>
  <c r="K547" i="3"/>
  <c r="I547" i="3"/>
  <c r="A543" i="4"/>
  <c r="B543" i="4" s="1"/>
  <c r="C543" i="4" s="1"/>
  <c r="D543" i="4" s="1"/>
  <c r="P551" i="3"/>
  <c r="N551" i="3"/>
  <c r="L551" i="3"/>
  <c r="J551" i="3"/>
  <c r="H551" i="3"/>
  <c r="Q551" i="3"/>
  <c r="O551" i="3"/>
  <c r="M551" i="3"/>
  <c r="K551" i="3"/>
  <c r="I551" i="3"/>
  <c r="A547" i="4"/>
  <c r="B547" i="4" s="1"/>
  <c r="C547" i="4" s="1"/>
  <c r="D547" i="4" s="1"/>
  <c r="P555" i="3"/>
  <c r="N555" i="3"/>
  <c r="L555" i="3"/>
  <c r="J555" i="3"/>
  <c r="H555" i="3"/>
  <c r="Q555" i="3"/>
  <c r="O555" i="3"/>
  <c r="M555" i="3"/>
  <c r="K555" i="3"/>
  <c r="I555" i="3"/>
  <c r="A551" i="4"/>
  <c r="B551" i="4" s="1"/>
  <c r="C551" i="4" s="1"/>
  <c r="D551" i="4" s="1"/>
  <c r="P559" i="3"/>
  <c r="N559" i="3"/>
  <c r="L559" i="3"/>
  <c r="J559" i="3"/>
  <c r="H559" i="3"/>
  <c r="Q559" i="3"/>
  <c r="O559" i="3"/>
  <c r="M559" i="3"/>
  <c r="K559" i="3"/>
  <c r="I559" i="3"/>
  <c r="P561" i="3"/>
  <c r="N561" i="3"/>
  <c r="L561" i="3"/>
  <c r="J561" i="3"/>
  <c r="H561" i="3"/>
  <c r="Q561" i="3"/>
  <c r="O561" i="3"/>
  <c r="M561" i="3"/>
  <c r="K561" i="3"/>
  <c r="I561" i="3"/>
  <c r="A557" i="4"/>
  <c r="B557" i="4" s="1"/>
  <c r="C557" i="4" s="1"/>
  <c r="D557" i="4" s="1"/>
  <c r="A559" i="4"/>
  <c r="B559" i="4" s="1"/>
  <c r="C559" i="4" s="1"/>
  <c r="D559" i="4" s="1"/>
  <c r="P567" i="3"/>
  <c r="N567" i="3"/>
  <c r="L567" i="3"/>
  <c r="J567" i="3"/>
  <c r="H567" i="3"/>
  <c r="Q567" i="3"/>
  <c r="O567" i="3"/>
  <c r="M567" i="3"/>
  <c r="K567" i="3"/>
  <c r="I567" i="3"/>
  <c r="P569" i="3"/>
  <c r="N569" i="3"/>
  <c r="L569" i="3"/>
  <c r="J569" i="3"/>
  <c r="H569" i="3"/>
  <c r="Q569" i="3"/>
  <c r="O569" i="3"/>
  <c r="M569" i="3"/>
  <c r="K569" i="3"/>
  <c r="I569" i="3"/>
  <c r="A565" i="4"/>
  <c r="B565" i="4" s="1"/>
  <c r="C565" i="4" s="1"/>
  <c r="D565" i="4" s="1"/>
  <c r="P573" i="3"/>
  <c r="N573" i="3"/>
  <c r="L573" i="3"/>
  <c r="J573" i="3"/>
  <c r="H573" i="3"/>
  <c r="Q573" i="3"/>
  <c r="O573" i="3"/>
  <c r="M573" i="3"/>
  <c r="K573" i="3"/>
  <c r="I573" i="3"/>
  <c r="A569" i="4"/>
  <c r="B569" i="4" s="1"/>
  <c r="C569" i="4" s="1"/>
  <c r="D569" i="4" s="1"/>
  <c r="Q576" i="3"/>
  <c r="O576" i="3"/>
  <c r="M576" i="3"/>
  <c r="K576" i="3"/>
  <c r="I576" i="3"/>
  <c r="P576" i="3"/>
  <c r="N576" i="3"/>
  <c r="L576" i="3"/>
  <c r="J576" i="3"/>
  <c r="H576" i="3"/>
  <c r="Q580" i="3"/>
  <c r="O580" i="3"/>
  <c r="M580" i="3"/>
  <c r="K580" i="3"/>
  <c r="I580" i="3"/>
  <c r="P580" i="3"/>
  <c r="N580" i="3"/>
  <c r="L580" i="3"/>
  <c r="J580" i="3"/>
  <c r="H580" i="3"/>
  <c r="P581" i="3"/>
  <c r="N581" i="3"/>
  <c r="L581" i="3"/>
  <c r="J581" i="3"/>
  <c r="H581" i="3"/>
  <c r="Q581" i="3"/>
  <c r="O581" i="3"/>
  <c r="M581" i="3"/>
  <c r="K581" i="3"/>
  <c r="I581" i="3"/>
  <c r="A577" i="4"/>
  <c r="B577" i="4" s="1"/>
  <c r="C577" i="4" s="1"/>
  <c r="D577" i="4" s="1"/>
  <c r="Q584" i="3"/>
  <c r="O584" i="3"/>
  <c r="M584" i="3"/>
  <c r="K584" i="3"/>
  <c r="I584" i="3"/>
  <c r="P584" i="3"/>
  <c r="N584" i="3"/>
  <c r="L584" i="3"/>
  <c r="J584" i="3"/>
  <c r="H584" i="3"/>
  <c r="P589" i="3"/>
  <c r="N589" i="3"/>
  <c r="L589" i="3"/>
  <c r="J589" i="3"/>
  <c r="H589" i="3"/>
  <c r="Q589" i="3"/>
  <c r="O589" i="3"/>
  <c r="M589" i="3"/>
  <c r="K589" i="3"/>
  <c r="I589" i="3"/>
  <c r="A585" i="4"/>
  <c r="B585" i="4" s="1"/>
  <c r="C585" i="4" s="1"/>
  <c r="D585" i="4" s="1"/>
  <c r="P593" i="3"/>
  <c r="N593" i="3"/>
  <c r="L593" i="3"/>
  <c r="J593" i="3"/>
  <c r="H593" i="3"/>
  <c r="Q593" i="3"/>
  <c r="O593" i="3"/>
  <c r="M593" i="3"/>
  <c r="K593" i="3"/>
  <c r="I593" i="3"/>
  <c r="A589" i="4"/>
  <c r="B589" i="4" s="1"/>
  <c r="C589" i="4" s="1"/>
  <c r="D589" i="4" s="1"/>
  <c r="P609" i="3"/>
  <c r="N609" i="3"/>
  <c r="L609" i="3"/>
  <c r="J609" i="3"/>
  <c r="H609" i="3"/>
  <c r="Q609" i="3"/>
  <c r="O609" i="3"/>
  <c r="M609" i="3"/>
  <c r="K609" i="3"/>
  <c r="I609" i="3"/>
  <c r="A605" i="4"/>
  <c r="B605" i="4" s="1"/>
  <c r="C605" i="4" s="1"/>
  <c r="D605" i="4" s="1"/>
  <c r="Q614" i="3"/>
  <c r="O614" i="3"/>
  <c r="M614" i="3"/>
  <c r="K614" i="3"/>
  <c r="I614" i="3"/>
  <c r="P614" i="3"/>
  <c r="N614" i="3"/>
  <c r="L614" i="3"/>
  <c r="J614" i="3"/>
  <c r="H614" i="3"/>
  <c r="A613" i="4"/>
  <c r="B613" i="4" s="1"/>
  <c r="C613" i="4" s="1"/>
  <c r="D613" i="4" s="1"/>
  <c r="P621" i="3"/>
  <c r="N621" i="3"/>
  <c r="L621" i="3"/>
  <c r="J621" i="3"/>
  <c r="H621" i="3"/>
  <c r="Q621" i="3"/>
  <c r="O621" i="3"/>
  <c r="M621" i="3"/>
  <c r="K621" i="3"/>
  <c r="I621" i="3"/>
  <c r="A617" i="4"/>
  <c r="B617" i="4" s="1"/>
  <c r="C617" i="4" s="1"/>
  <c r="D617" i="4" s="1"/>
  <c r="P625" i="3"/>
  <c r="N625" i="3"/>
  <c r="L625" i="3"/>
  <c r="J625" i="3"/>
  <c r="H625" i="3"/>
  <c r="Q625" i="3"/>
  <c r="O625" i="3"/>
  <c r="M625" i="3"/>
  <c r="K625" i="3"/>
  <c r="I625" i="3"/>
  <c r="A621" i="4"/>
  <c r="B621" i="4" s="1"/>
  <c r="C621" i="4" s="1"/>
  <c r="D621" i="4" s="1"/>
  <c r="P629" i="3"/>
  <c r="N629" i="3"/>
  <c r="L629" i="3"/>
  <c r="J629" i="3"/>
  <c r="H629" i="3"/>
  <c r="Q629" i="3"/>
  <c r="O629" i="3"/>
  <c r="M629" i="3"/>
  <c r="K629" i="3"/>
  <c r="I629" i="3"/>
  <c r="A625" i="4"/>
  <c r="B625" i="4" s="1"/>
  <c r="C625" i="4" s="1"/>
  <c r="D625" i="4" s="1"/>
  <c r="P633" i="3"/>
  <c r="N633" i="3"/>
  <c r="L633" i="3"/>
  <c r="J633" i="3"/>
  <c r="H633" i="3"/>
  <c r="Q633" i="3"/>
  <c r="O633" i="3"/>
  <c r="M633" i="3"/>
  <c r="K633" i="3"/>
  <c r="I633" i="3"/>
  <c r="A629" i="4"/>
  <c r="B629" i="4" s="1"/>
  <c r="C629" i="4" s="1"/>
  <c r="D629" i="4" s="1"/>
  <c r="P637" i="3"/>
  <c r="N637" i="3"/>
  <c r="L637" i="3"/>
  <c r="J637" i="3"/>
  <c r="H637" i="3"/>
  <c r="Q637" i="3"/>
  <c r="O637" i="3"/>
  <c r="M637" i="3"/>
  <c r="K637" i="3"/>
  <c r="I637" i="3"/>
  <c r="A633" i="4"/>
  <c r="B633" i="4" s="1"/>
  <c r="C633" i="4" s="1"/>
  <c r="D633" i="4" s="1"/>
  <c r="P641" i="3"/>
  <c r="N641" i="3"/>
  <c r="L641" i="3"/>
  <c r="J641" i="3"/>
  <c r="H641" i="3"/>
  <c r="Q641" i="3"/>
  <c r="O641" i="3"/>
  <c r="M641" i="3"/>
  <c r="K641" i="3"/>
  <c r="I641" i="3"/>
  <c r="A637" i="4"/>
  <c r="B637" i="4" s="1"/>
  <c r="C637" i="4" s="1"/>
  <c r="D637" i="4" s="1"/>
  <c r="A641" i="4"/>
  <c r="B641" i="4" s="1"/>
  <c r="C641" i="4" s="1"/>
  <c r="D641" i="4" s="1"/>
  <c r="A645" i="4"/>
  <c r="B645" i="4" s="1"/>
  <c r="C645" i="4" s="1"/>
  <c r="D645" i="4" s="1"/>
  <c r="Q654" i="3"/>
  <c r="O654" i="3"/>
  <c r="M654" i="3"/>
  <c r="K654" i="3"/>
  <c r="I654" i="3"/>
  <c r="P654" i="3"/>
  <c r="N654" i="3"/>
  <c r="L654" i="3"/>
  <c r="J654" i="3"/>
  <c r="H654" i="3"/>
  <c r="P657" i="3"/>
  <c r="N657" i="3"/>
  <c r="L657" i="3"/>
  <c r="J657" i="3"/>
  <c r="H657" i="3"/>
  <c r="Q657" i="3"/>
  <c r="O657" i="3"/>
  <c r="M657" i="3"/>
  <c r="K657" i="3"/>
  <c r="I657" i="3"/>
  <c r="Q658" i="3"/>
  <c r="O658" i="3"/>
  <c r="M658" i="3"/>
  <c r="K658" i="3"/>
  <c r="I658" i="3"/>
  <c r="P658" i="3"/>
  <c r="N658" i="3"/>
  <c r="L658" i="3"/>
  <c r="J658" i="3"/>
  <c r="H658" i="3"/>
  <c r="P661" i="3"/>
  <c r="N661" i="3"/>
  <c r="L661" i="3"/>
  <c r="J661" i="3"/>
  <c r="H661" i="3"/>
  <c r="Q661" i="3"/>
  <c r="O661" i="3"/>
  <c r="M661" i="3"/>
  <c r="K661" i="3"/>
  <c r="I661" i="3"/>
  <c r="Q662" i="3"/>
  <c r="O662" i="3"/>
  <c r="M662" i="3"/>
  <c r="K662" i="3"/>
  <c r="I662" i="3"/>
  <c r="P662" i="3"/>
  <c r="N662" i="3"/>
  <c r="L662" i="3"/>
  <c r="J662" i="3"/>
  <c r="H662" i="3"/>
  <c r="P665" i="3"/>
  <c r="N665" i="3"/>
  <c r="L665" i="3"/>
  <c r="J665" i="3"/>
  <c r="H665" i="3"/>
  <c r="Q665" i="3"/>
  <c r="O665" i="3"/>
  <c r="M665" i="3"/>
  <c r="K665" i="3"/>
  <c r="I665" i="3"/>
  <c r="A661" i="4"/>
  <c r="B661" i="4" s="1"/>
  <c r="C661" i="4" s="1"/>
  <c r="D661" i="4" s="1"/>
  <c r="P669" i="3"/>
  <c r="N669" i="3"/>
  <c r="L669" i="3"/>
  <c r="J669" i="3"/>
  <c r="H669" i="3"/>
  <c r="Q669" i="3"/>
  <c r="O669" i="3"/>
  <c r="M669" i="3"/>
  <c r="K669" i="3"/>
  <c r="I669" i="3"/>
  <c r="A665" i="4"/>
  <c r="B665" i="4" s="1"/>
  <c r="C665" i="4" s="1"/>
  <c r="D665" i="4" s="1"/>
  <c r="P673" i="3"/>
  <c r="N673" i="3"/>
  <c r="L673" i="3"/>
  <c r="J673" i="3"/>
  <c r="H673" i="3"/>
  <c r="Q673" i="3"/>
  <c r="O673" i="3"/>
  <c r="M673" i="3"/>
  <c r="K673" i="3"/>
  <c r="I673" i="3"/>
  <c r="A669" i="4"/>
  <c r="B669" i="4" s="1"/>
  <c r="C669" i="4" s="1"/>
  <c r="D669" i="4" s="1"/>
  <c r="A673" i="4"/>
  <c r="B673" i="4" s="1"/>
  <c r="C673" i="4" s="1"/>
  <c r="D673" i="4" s="1"/>
  <c r="A677" i="4"/>
  <c r="B677" i="4" s="1"/>
  <c r="C677" i="4" s="1"/>
  <c r="D677" i="4" s="1"/>
  <c r="P685" i="3"/>
  <c r="N685" i="3"/>
  <c r="L685" i="3"/>
  <c r="J685" i="3"/>
  <c r="H685" i="3"/>
  <c r="Q685" i="3"/>
  <c r="O685" i="3"/>
  <c r="M685" i="3"/>
  <c r="K685" i="3"/>
  <c r="I685" i="3"/>
  <c r="A681" i="4"/>
  <c r="B681" i="4" s="1"/>
  <c r="C681" i="4" s="1"/>
  <c r="D681" i="4" s="1"/>
  <c r="P689" i="3"/>
  <c r="N689" i="3"/>
  <c r="L689" i="3"/>
  <c r="J689" i="3"/>
  <c r="H689" i="3"/>
  <c r="Q689" i="3"/>
  <c r="O689" i="3"/>
  <c r="M689" i="3"/>
  <c r="K689" i="3"/>
  <c r="I689" i="3"/>
  <c r="Q690" i="3"/>
  <c r="O690" i="3"/>
  <c r="M690" i="3"/>
  <c r="K690" i="3"/>
  <c r="I690" i="3"/>
  <c r="P690" i="3"/>
  <c r="N690" i="3"/>
  <c r="L690" i="3"/>
  <c r="J690" i="3"/>
  <c r="H690" i="3"/>
  <c r="P693" i="3"/>
  <c r="N693" i="3"/>
  <c r="L693" i="3"/>
  <c r="J693" i="3"/>
  <c r="H693" i="3"/>
  <c r="Q693" i="3"/>
  <c r="O693" i="3"/>
  <c r="M693" i="3"/>
  <c r="K693" i="3"/>
  <c r="I693" i="3"/>
  <c r="Q694" i="3"/>
  <c r="O694" i="3"/>
  <c r="M694" i="3"/>
  <c r="K694" i="3"/>
  <c r="I694" i="3"/>
  <c r="P694" i="3"/>
  <c r="N694" i="3"/>
  <c r="L694" i="3"/>
  <c r="J694" i="3"/>
  <c r="H694" i="3"/>
  <c r="P697" i="3"/>
  <c r="N697" i="3"/>
  <c r="L697" i="3"/>
  <c r="J697" i="3"/>
  <c r="H697" i="3"/>
  <c r="Q697" i="3"/>
  <c r="O697" i="3"/>
  <c r="M697" i="3"/>
  <c r="K697" i="3"/>
  <c r="I697" i="3"/>
  <c r="A693" i="4"/>
  <c r="B693" i="4" s="1"/>
  <c r="C693" i="4" s="1"/>
  <c r="D693" i="4" s="1"/>
  <c r="P701" i="3"/>
  <c r="N701" i="3"/>
  <c r="L701" i="3"/>
  <c r="J701" i="3"/>
  <c r="H701" i="3"/>
  <c r="Q701" i="3"/>
  <c r="O701" i="3"/>
  <c r="M701" i="3"/>
  <c r="K701" i="3"/>
  <c r="I701" i="3"/>
  <c r="A697" i="4"/>
  <c r="B697" i="4" s="1"/>
  <c r="C697" i="4" s="1"/>
  <c r="D697" i="4" s="1"/>
  <c r="P705" i="3"/>
  <c r="N705" i="3"/>
  <c r="L705" i="3"/>
  <c r="J705" i="3"/>
  <c r="H705" i="3"/>
  <c r="Q705" i="3"/>
  <c r="O705" i="3"/>
  <c r="M705" i="3"/>
  <c r="K705" i="3"/>
  <c r="I705" i="3"/>
  <c r="A701" i="4"/>
  <c r="B701" i="4" s="1"/>
  <c r="C701" i="4" s="1"/>
  <c r="D701" i="4" s="1"/>
  <c r="P709" i="3"/>
  <c r="N709" i="3"/>
  <c r="L709" i="3"/>
  <c r="J709" i="3"/>
  <c r="H709" i="3"/>
  <c r="Q709" i="3"/>
  <c r="O709" i="3"/>
  <c r="M709" i="3"/>
  <c r="K709" i="3"/>
  <c r="I709" i="3"/>
  <c r="A705" i="4"/>
  <c r="B705" i="4" s="1"/>
  <c r="C705" i="4" s="1"/>
  <c r="D705" i="4" s="1"/>
  <c r="P713" i="3"/>
  <c r="N713" i="3"/>
  <c r="L713" i="3"/>
  <c r="J713" i="3"/>
  <c r="H713" i="3"/>
  <c r="Q713" i="3"/>
  <c r="O713" i="3"/>
  <c r="M713" i="3"/>
  <c r="K713" i="3"/>
  <c r="I713" i="3"/>
  <c r="A709" i="4"/>
  <c r="B709" i="4" s="1"/>
  <c r="C709" i="4" s="1"/>
  <c r="D709" i="4" s="1"/>
  <c r="Q718" i="3"/>
  <c r="O718" i="3"/>
  <c r="M718" i="3"/>
  <c r="K718" i="3"/>
  <c r="I718" i="3"/>
  <c r="P718" i="3"/>
  <c r="N718" i="3"/>
  <c r="L718" i="3"/>
  <c r="J718" i="3"/>
  <c r="H718" i="3"/>
  <c r="P721" i="3"/>
  <c r="N721" i="3"/>
  <c r="L721" i="3"/>
  <c r="J721" i="3"/>
  <c r="H721" i="3"/>
  <c r="Q721" i="3"/>
  <c r="O721" i="3"/>
  <c r="M721" i="3"/>
  <c r="K721" i="3"/>
  <c r="I721" i="3"/>
  <c r="A717" i="4"/>
  <c r="B717" i="4" s="1"/>
  <c r="C717" i="4" s="1"/>
  <c r="D717" i="4" s="1"/>
  <c r="P725" i="3"/>
  <c r="N725" i="3"/>
  <c r="L725" i="3"/>
  <c r="J725" i="3"/>
  <c r="H725" i="3"/>
  <c r="Q725" i="3"/>
  <c r="O725" i="3"/>
  <c r="M725" i="3"/>
  <c r="K725" i="3"/>
  <c r="I725" i="3"/>
  <c r="Q726" i="3"/>
  <c r="O726" i="3"/>
  <c r="M726" i="3"/>
  <c r="K726" i="3"/>
  <c r="I726" i="3"/>
  <c r="P726" i="3"/>
  <c r="N726" i="3"/>
  <c r="L726" i="3"/>
  <c r="J726" i="3"/>
  <c r="H726" i="3"/>
  <c r="P729" i="3"/>
  <c r="N729" i="3"/>
  <c r="L729" i="3"/>
  <c r="J729" i="3"/>
  <c r="H729" i="3"/>
  <c r="Q729" i="3"/>
  <c r="O729" i="3"/>
  <c r="M729" i="3"/>
  <c r="K729" i="3"/>
  <c r="I729" i="3"/>
  <c r="Q730" i="3"/>
  <c r="O730" i="3"/>
  <c r="M730" i="3"/>
  <c r="K730" i="3"/>
  <c r="I730" i="3"/>
  <c r="P730" i="3"/>
  <c r="N730" i="3"/>
  <c r="L730" i="3"/>
  <c r="J730" i="3"/>
  <c r="H730" i="3"/>
  <c r="P733" i="3"/>
  <c r="N733" i="3"/>
  <c r="L733" i="3"/>
  <c r="J733" i="3"/>
  <c r="H733" i="3"/>
  <c r="Q733" i="3"/>
  <c r="O733" i="3"/>
  <c r="M733" i="3"/>
  <c r="K733" i="3"/>
  <c r="I733" i="3"/>
  <c r="Q734" i="3"/>
  <c r="O734" i="3"/>
  <c r="M734" i="3"/>
  <c r="K734" i="3"/>
  <c r="I734" i="3"/>
  <c r="P734" i="3"/>
  <c r="N734" i="3"/>
  <c r="L734" i="3"/>
  <c r="J734" i="3"/>
  <c r="H734" i="3"/>
  <c r="P737" i="3"/>
  <c r="N737" i="3"/>
  <c r="L737" i="3"/>
  <c r="J737" i="3"/>
  <c r="H737" i="3"/>
  <c r="Q737" i="3"/>
  <c r="O737" i="3"/>
  <c r="M737" i="3"/>
  <c r="K737" i="3"/>
  <c r="I737" i="3"/>
  <c r="A733" i="4"/>
  <c r="B733" i="4" s="1"/>
  <c r="C733" i="4" s="1"/>
  <c r="D733" i="4" s="1"/>
  <c r="P741" i="3"/>
  <c r="N741" i="3"/>
  <c r="L741" i="3"/>
  <c r="J741" i="3"/>
  <c r="H741" i="3"/>
  <c r="Q741" i="3"/>
  <c r="O741" i="3"/>
  <c r="M741" i="3"/>
  <c r="K741" i="3"/>
  <c r="I741" i="3"/>
  <c r="A737" i="4"/>
  <c r="B737" i="4" s="1"/>
  <c r="C737" i="4" s="1"/>
  <c r="D737" i="4" s="1"/>
  <c r="P745" i="3"/>
  <c r="N745" i="3"/>
  <c r="L745" i="3"/>
  <c r="J745" i="3"/>
  <c r="H745" i="3"/>
  <c r="Q745" i="3"/>
  <c r="O745" i="3"/>
  <c r="M745" i="3"/>
  <c r="K745" i="3"/>
  <c r="I745" i="3"/>
  <c r="A741" i="4"/>
  <c r="B741" i="4" s="1"/>
  <c r="C741" i="4" s="1"/>
  <c r="D741" i="4" s="1"/>
  <c r="P749" i="3"/>
  <c r="N749" i="3"/>
  <c r="L749" i="3"/>
  <c r="J749" i="3"/>
  <c r="H749" i="3"/>
  <c r="Q749" i="3"/>
  <c r="O749" i="3"/>
  <c r="M749" i="3"/>
  <c r="K749" i="3"/>
  <c r="I749" i="3"/>
  <c r="A745" i="4"/>
  <c r="B745" i="4" s="1"/>
  <c r="C745" i="4" s="1"/>
  <c r="D745" i="4" s="1"/>
  <c r="Q754" i="3"/>
  <c r="O754" i="3"/>
  <c r="M754" i="3"/>
  <c r="K754" i="3"/>
  <c r="I754" i="3"/>
  <c r="P754" i="3"/>
  <c r="N754" i="3"/>
  <c r="L754" i="3"/>
  <c r="J754" i="3"/>
  <c r="H754" i="3"/>
  <c r="Q758" i="3"/>
  <c r="O758" i="3"/>
  <c r="M758" i="3"/>
  <c r="K758" i="3"/>
  <c r="I758" i="3"/>
  <c r="P758" i="3"/>
  <c r="N758" i="3"/>
  <c r="L758" i="3"/>
  <c r="J758" i="3"/>
  <c r="H758" i="3"/>
  <c r="Q762" i="3"/>
  <c r="O762" i="3"/>
  <c r="M762" i="3"/>
  <c r="K762" i="3"/>
  <c r="I762" i="3"/>
  <c r="P762" i="3"/>
  <c r="N762" i="3"/>
  <c r="L762" i="3"/>
  <c r="J762" i="3"/>
  <c r="H762" i="3"/>
  <c r="P765" i="3"/>
  <c r="N765" i="3"/>
  <c r="L765" i="3"/>
  <c r="J765" i="3"/>
  <c r="H765" i="3"/>
  <c r="Q765" i="3"/>
  <c r="O765" i="3"/>
  <c r="M765" i="3"/>
  <c r="K765" i="3"/>
  <c r="I765" i="3"/>
  <c r="A761" i="4"/>
  <c r="B761" i="4" s="1"/>
  <c r="C761" i="4" s="1"/>
  <c r="D761" i="4" s="1"/>
  <c r="P769" i="3"/>
  <c r="N769" i="3"/>
  <c r="L769" i="3"/>
  <c r="J769" i="3"/>
  <c r="H769" i="3"/>
  <c r="Q769" i="3"/>
  <c r="O769" i="3"/>
  <c r="M769" i="3"/>
  <c r="K769" i="3"/>
  <c r="I769" i="3"/>
  <c r="A765" i="4"/>
  <c r="B765" i="4" s="1"/>
  <c r="C765" i="4" s="1"/>
  <c r="D765" i="4" s="1"/>
  <c r="P773" i="3"/>
  <c r="N773" i="3"/>
  <c r="L773" i="3"/>
  <c r="J773" i="3"/>
  <c r="H773" i="3"/>
  <c r="Q773" i="3"/>
  <c r="O773" i="3"/>
  <c r="M773" i="3"/>
  <c r="K773" i="3"/>
  <c r="I773" i="3"/>
  <c r="A769" i="4"/>
  <c r="B769" i="4" s="1"/>
  <c r="C769" i="4" s="1"/>
  <c r="D769" i="4" s="1"/>
  <c r="P777" i="3"/>
  <c r="N777" i="3"/>
  <c r="L777" i="3"/>
  <c r="J777" i="3"/>
  <c r="H777" i="3"/>
  <c r="Q777" i="3"/>
  <c r="O777" i="3"/>
  <c r="M777" i="3"/>
  <c r="K777" i="3"/>
  <c r="I777" i="3"/>
  <c r="A773" i="4"/>
  <c r="B773" i="4" s="1"/>
  <c r="C773" i="4" s="1"/>
  <c r="D773" i="4" s="1"/>
  <c r="Q782" i="3"/>
  <c r="O782" i="3"/>
  <c r="M782" i="3"/>
  <c r="K782" i="3"/>
  <c r="I782" i="3"/>
  <c r="P782" i="3"/>
  <c r="N782" i="3"/>
  <c r="L782" i="3"/>
  <c r="J782" i="3"/>
  <c r="H782" i="3"/>
  <c r="Q786" i="3"/>
  <c r="O786" i="3"/>
  <c r="M786" i="3"/>
  <c r="K786" i="3"/>
  <c r="I786" i="3"/>
  <c r="P786" i="3"/>
  <c r="N786" i="3"/>
  <c r="L786" i="3"/>
  <c r="J786" i="3"/>
  <c r="H786" i="3"/>
  <c r="P789" i="3"/>
  <c r="N789" i="3"/>
  <c r="L789" i="3"/>
  <c r="J789" i="3"/>
  <c r="H789" i="3"/>
  <c r="Q789" i="3"/>
  <c r="O789" i="3"/>
  <c r="M789" i="3"/>
  <c r="K789" i="3"/>
  <c r="I789" i="3"/>
  <c r="Q790" i="3"/>
  <c r="O790" i="3"/>
  <c r="M790" i="3"/>
  <c r="K790" i="3"/>
  <c r="I790" i="3"/>
  <c r="P790" i="3"/>
  <c r="N790" i="3"/>
  <c r="L790" i="3"/>
  <c r="J790" i="3"/>
  <c r="H790" i="3"/>
  <c r="P793" i="3"/>
  <c r="N793" i="3"/>
  <c r="L793" i="3"/>
  <c r="J793" i="3"/>
  <c r="H793" i="3"/>
  <c r="Q793" i="3"/>
  <c r="O793" i="3"/>
  <c r="M793" i="3"/>
  <c r="K793" i="3"/>
  <c r="I793" i="3"/>
  <c r="A789" i="4"/>
  <c r="B789" i="4" s="1"/>
  <c r="C789" i="4" s="1"/>
  <c r="D789" i="4" s="1"/>
  <c r="A793" i="4"/>
  <c r="B793" i="4" s="1"/>
  <c r="C793" i="4" s="1"/>
  <c r="D793" i="4" s="1"/>
  <c r="A797" i="4"/>
  <c r="B797" i="4" s="1"/>
  <c r="C797" i="4" s="1"/>
  <c r="D797" i="4" s="1"/>
  <c r="P805" i="3"/>
  <c r="N805" i="3"/>
  <c r="L805" i="3"/>
  <c r="J805" i="3"/>
  <c r="H805" i="3"/>
  <c r="Q805" i="3"/>
  <c r="O805" i="3"/>
  <c r="M805" i="3"/>
  <c r="K805" i="3"/>
  <c r="I805" i="3"/>
  <c r="A801" i="4"/>
  <c r="B801" i="4" s="1"/>
  <c r="C801" i="4" s="1"/>
  <c r="D801" i="4" s="1"/>
  <c r="P809" i="3"/>
  <c r="N809" i="3"/>
  <c r="L809" i="3"/>
  <c r="J809" i="3"/>
  <c r="H809" i="3"/>
  <c r="Q809" i="3"/>
  <c r="O809" i="3"/>
  <c r="M809" i="3"/>
  <c r="K809" i="3"/>
  <c r="I809" i="3"/>
  <c r="A805" i="4"/>
  <c r="B805" i="4" s="1"/>
  <c r="C805" i="4" s="1"/>
  <c r="D805" i="4" s="1"/>
  <c r="P813" i="3"/>
  <c r="N813" i="3"/>
  <c r="L813" i="3"/>
  <c r="J813" i="3"/>
  <c r="H813" i="3"/>
  <c r="Q813" i="3"/>
  <c r="O813" i="3"/>
  <c r="M813" i="3"/>
  <c r="K813" i="3"/>
  <c r="I813" i="3"/>
  <c r="A809" i="4"/>
  <c r="B809" i="4" s="1"/>
  <c r="C809" i="4" s="1"/>
  <c r="D809" i="4" s="1"/>
  <c r="A813" i="4"/>
  <c r="B813" i="4" s="1"/>
  <c r="C813" i="4" s="1"/>
  <c r="D813" i="4" s="1"/>
  <c r="Q822" i="3"/>
  <c r="O822" i="3"/>
  <c r="M822" i="3"/>
  <c r="K822" i="3"/>
  <c r="I822" i="3"/>
  <c r="P822" i="3"/>
  <c r="N822" i="3"/>
  <c r="L822" i="3"/>
  <c r="J822" i="3"/>
  <c r="H822" i="3"/>
  <c r="P825" i="3"/>
  <c r="N825" i="3"/>
  <c r="L825" i="3"/>
  <c r="J825" i="3"/>
  <c r="H825" i="3"/>
  <c r="Q825" i="3"/>
  <c r="O825" i="3"/>
  <c r="M825" i="3"/>
  <c r="K825" i="3"/>
  <c r="I825" i="3"/>
  <c r="A821" i="4"/>
  <c r="B821" i="4" s="1"/>
  <c r="C821" i="4" s="1"/>
  <c r="D821" i="4" s="1"/>
  <c r="P829" i="3"/>
  <c r="N829" i="3"/>
  <c r="L829" i="3"/>
  <c r="J829" i="3"/>
  <c r="H829" i="3"/>
  <c r="Q829" i="3"/>
  <c r="O829" i="3"/>
  <c r="M829" i="3"/>
  <c r="K829" i="3"/>
  <c r="I829" i="3"/>
  <c r="A825" i="4"/>
  <c r="B825" i="4" s="1"/>
  <c r="C825" i="4" s="1"/>
  <c r="D825" i="4" s="1"/>
  <c r="F15" i="3"/>
  <c r="G15" i="3"/>
  <c r="Q18" i="3"/>
  <c r="O18" i="3"/>
  <c r="M18" i="3"/>
  <c r="K18" i="3"/>
  <c r="I18" i="3"/>
  <c r="P18" i="3"/>
  <c r="N18" i="3"/>
  <c r="L18" i="3"/>
  <c r="J18" i="3"/>
  <c r="H18" i="3"/>
  <c r="P19" i="3"/>
  <c r="N19" i="3"/>
  <c r="L19" i="3"/>
  <c r="J19" i="3"/>
  <c r="H19" i="3"/>
  <c r="Q19" i="3"/>
  <c r="O19" i="3"/>
  <c r="M19" i="3"/>
  <c r="K19" i="3"/>
  <c r="I19" i="3"/>
  <c r="A15" i="4"/>
  <c r="B15" i="4" s="1"/>
  <c r="C15" i="4" s="1"/>
  <c r="D15" i="4" s="1"/>
  <c r="A16" i="4"/>
  <c r="B16" i="4" s="1"/>
  <c r="C16" i="4" s="1"/>
  <c r="D16" i="4" s="1"/>
  <c r="Q570" i="3"/>
  <c r="O570" i="3"/>
  <c r="M570" i="3"/>
  <c r="K570" i="3"/>
  <c r="I570" i="3"/>
  <c r="P570" i="3"/>
  <c r="N570" i="3"/>
  <c r="L570" i="3"/>
  <c r="J570" i="3"/>
  <c r="H570" i="3"/>
  <c r="P571" i="3"/>
  <c r="N571" i="3"/>
  <c r="L571" i="3"/>
  <c r="J571" i="3"/>
  <c r="H571" i="3"/>
  <c r="Q571" i="3"/>
  <c r="O571" i="3"/>
  <c r="M571" i="3"/>
  <c r="K571" i="3"/>
  <c r="I571" i="3"/>
  <c r="A567" i="4"/>
  <c r="B567" i="4" s="1"/>
  <c r="C567" i="4" s="1"/>
  <c r="D567" i="4" s="1"/>
  <c r="A568" i="4"/>
  <c r="B568" i="4" s="1"/>
  <c r="C568" i="4" s="1"/>
  <c r="D568" i="4" s="1"/>
  <c r="Q574" i="3"/>
  <c r="O574" i="3"/>
  <c r="M574" i="3"/>
  <c r="K574" i="3"/>
  <c r="I574" i="3"/>
  <c r="P574" i="3"/>
  <c r="N574" i="3"/>
  <c r="L574" i="3"/>
  <c r="J574" i="3"/>
  <c r="H574" i="3"/>
  <c r="P575" i="3"/>
  <c r="N575" i="3"/>
  <c r="L575" i="3"/>
  <c r="J575" i="3"/>
  <c r="H575" i="3"/>
  <c r="Q575" i="3"/>
  <c r="O575" i="3"/>
  <c r="M575" i="3"/>
  <c r="K575" i="3"/>
  <c r="I575" i="3"/>
  <c r="A571" i="4"/>
  <c r="B571" i="4" s="1"/>
  <c r="C571" i="4" s="1"/>
  <c r="D571" i="4" s="1"/>
  <c r="A572" i="4"/>
  <c r="B572" i="4" s="1"/>
  <c r="C572" i="4" s="1"/>
  <c r="D572" i="4" s="1"/>
  <c r="Q578" i="3"/>
  <c r="O578" i="3"/>
  <c r="M578" i="3"/>
  <c r="K578" i="3"/>
  <c r="I578" i="3"/>
  <c r="P578" i="3"/>
  <c r="N578" i="3"/>
  <c r="L578" i="3"/>
  <c r="J578" i="3"/>
  <c r="H578" i="3"/>
  <c r="P579" i="3"/>
  <c r="N579" i="3"/>
  <c r="L579" i="3"/>
  <c r="J579" i="3"/>
  <c r="H579" i="3"/>
  <c r="Q579" i="3"/>
  <c r="O579" i="3"/>
  <c r="M579" i="3"/>
  <c r="K579" i="3"/>
  <c r="I579" i="3"/>
  <c r="A575" i="4"/>
  <c r="B575" i="4" s="1"/>
  <c r="C575" i="4" s="1"/>
  <c r="D575" i="4" s="1"/>
  <c r="A576" i="4"/>
  <c r="B576" i="4" s="1"/>
  <c r="C576" i="4" s="1"/>
  <c r="D576" i="4" s="1"/>
  <c r="Q582" i="3"/>
  <c r="O582" i="3"/>
  <c r="M582" i="3"/>
  <c r="K582" i="3"/>
  <c r="I582" i="3"/>
  <c r="P582" i="3"/>
  <c r="N582" i="3"/>
  <c r="L582" i="3"/>
  <c r="J582" i="3"/>
  <c r="H582" i="3"/>
  <c r="P583" i="3"/>
  <c r="N583" i="3"/>
  <c r="L583" i="3"/>
  <c r="J583" i="3"/>
  <c r="H583" i="3"/>
  <c r="Q583" i="3"/>
  <c r="O583" i="3"/>
  <c r="M583" i="3"/>
  <c r="K583" i="3"/>
  <c r="I583" i="3"/>
  <c r="A579" i="4"/>
  <c r="B579" i="4" s="1"/>
  <c r="C579" i="4" s="1"/>
  <c r="D579" i="4" s="1"/>
  <c r="A580" i="4"/>
  <c r="B580" i="4" s="1"/>
  <c r="C580" i="4" s="1"/>
  <c r="D580" i="4" s="1"/>
  <c r="Q586" i="3"/>
  <c r="O586" i="3"/>
  <c r="M586" i="3"/>
  <c r="K586" i="3"/>
  <c r="I586" i="3"/>
  <c r="P586" i="3"/>
  <c r="N586" i="3"/>
  <c r="L586" i="3"/>
  <c r="J586" i="3"/>
  <c r="H586" i="3"/>
  <c r="P587" i="3"/>
  <c r="N587" i="3"/>
  <c r="L587" i="3"/>
  <c r="J587" i="3"/>
  <c r="H587" i="3"/>
  <c r="Q587" i="3"/>
  <c r="O587" i="3"/>
  <c r="M587" i="3"/>
  <c r="K587" i="3"/>
  <c r="I587" i="3"/>
  <c r="A583" i="4"/>
  <c r="B583" i="4" s="1"/>
  <c r="C583" i="4" s="1"/>
  <c r="D583" i="4" s="1"/>
  <c r="A584" i="4"/>
  <c r="B584" i="4" s="1"/>
  <c r="C584" i="4" s="1"/>
  <c r="D584" i="4" s="1"/>
  <c r="Q590" i="3"/>
  <c r="O590" i="3"/>
  <c r="M590" i="3"/>
  <c r="K590" i="3"/>
  <c r="I590" i="3"/>
  <c r="P590" i="3"/>
  <c r="N590" i="3"/>
  <c r="L590" i="3"/>
  <c r="J590" i="3"/>
  <c r="H590" i="3"/>
  <c r="P591" i="3"/>
  <c r="N591" i="3"/>
  <c r="L591" i="3"/>
  <c r="J591" i="3"/>
  <c r="H591" i="3"/>
  <c r="Q591" i="3"/>
  <c r="O591" i="3"/>
  <c r="M591" i="3"/>
  <c r="K591" i="3"/>
  <c r="I591" i="3"/>
  <c r="A587" i="4"/>
  <c r="B587" i="4" s="1"/>
  <c r="C587" i="4" s="1"/>
  <c r="D587" i="4" s="1"/>
  <c r="A588" i="4"/>
  <c r="B588" i="4" s="1"/>
  <c r="C588" i="4" s="1"/>
  <c r="D588" i="4" s="1"/>
  <c r="Q594" i="3"/>
  <c r="O594" i="3"/>
  <c r="M594" i="3"/>
  <c r="K594" i="3"/>
  <c r="I594" i="3"/>
  <c r="P594" i="3"/>
  <c r="N594" i="3"/>
  <c r="L594" i="3"/>
  <c r="J594" i="3"/>
  <c r="H594" i="3"/>
  <c r="P595" i="3"/>
  <c r="N595" i="3"/>
  <c r="L595" i="3"/>
  <c r="J595" i="3"/>
  <c r="H595" i="3"/>
  <c r="Q595" i="3"/>
  <c r="O595" i="3"/>
  <c r="M595" i="3"/>
  <c r="K595" i="3"/>
  <c r="I595" i="3"/>
  <c r="A591" i="4"/>
  <c r="B591" i="4" s="1"/>
  <c r="C591" i="4" s="1"/>
  <c r="D591" i="4" s="1"/>
  <c r="A592" i="4"/>
  <c r="B592" i="4" s="1"/>
  <c r="C592" i="4" s="1"/>
  <c r="D592" i="4" s="1"/>
  <c r="Q598" i="3"/>
  <c r="O598" i="3"/>
  <c r="M598" i="3"/>
  <c r="K598" i="3"/>
  <c r="I598" i="3"/>
  <c r="P598" i="3"/>
  <c r="N598" i="3"/>
  <c r="L598" i="3"/>
  <c r="J598" i="3"/>
  <c r="H598" i="3"/>
  <c r="P599" i="3"/>
  <c r="N599" i="3"/>
  <c r="L599" i="3"/>
  <c r="J599" i="3"/>
  <c r="H599" i="3"/>
  <c r="Q599" i="3"/>
  <c r="O599" i="3"/>
  <c r="M599" i="3"/>
  <c r="K599" i="3"/>
  <c r="I599" i="3"/>
  <c r="A595" i="4"/>
  <c r="B595" i="4" s="1"/>
  <c r="C595" i="4" s="1"/>
  <c r="D595" i="4" s="1"/>
  <c r="Q600" i="3"/>
  <c r="O600" i="3"/>
  <c r="M600" i="3"/>
  <c r="K600" i="3"/>
  <c r="I600" i="3"/>
  <c r="P600" i="3"/>
  <c r="N600" i="3"/>
  <c r="L600" i="3"/>
  <c r="J600" i="3"/>
  <c r="H600" i="3"/>
  <c r="P601" i="3"/>
  <c r="N601" i="3"/>
  <c r="L601" i="3"/>
  <c r="J601" i="3"/>
  <c r="H601" i="3"/>
  <c r="Q601" i="3"/>
  <c r="O601" i="3"/>
  <c r="M601" i="3"/>
  <c r="K601" i="3"/>
  <c r="I601" i="3"/>
  <c r="A597" i="4"/>
  <c r="B597" i="4" s="1"/>
  <c r="C597" i="4" s="1"/>
  <c r="D597" i="4" s="1"/>
  <c r="Q602" i="3"/>
  <c r="O602" i="3"/>
  <c r="M602" i="3"/>
  <c r="K602" i="3"/>
  <c r="I602" i="3"/>
  <c r="P602" i="3"/>
  <c r="N602" i="3"/>
  <c r="L602" i="3"/>
  <c r="J602" i="3"/>
  <c r="H602" i="3"/>
  <c r="P603" i="3"/>
  <c r="N603" i="3"/>
  <c r="L603" i="3"/>
  <c r="J603" i="3"/>
  <c r="H603" i="3"/>
  <c r="Q603" i="3"/>
  <c r="O603" i="3"/>
  <c r="M603" i="3"/>
  <c r="K603" i="3"/>
  <c r="I603" i="3"/>
  <c r="A599" i="4"/>
  <c r="B599" i="4" s="1"/>
  <c r="C599" i="4" s="1"/>
  <c r="D599" i="4" s="1"/>
  <c r="Q604" i="3"/>
  <c r="O604" i="3"/>
  <c r="M604" i="3"/>
  <c r="K604" i="3"/>
  <c r="I604" i="3"/>
  <c r="P604" i="3"/>
  <c r="N604" i="3"/>
  <c r="L604" i="3"/>
  <c r="J604" i="3"/>
  <c r="H604" i="3"/>
  <c r="P605" i="3"/>
  <c r="N605" i="3"/>
  <c r="L605" i="3"/>
  <c r="J605" i="3"/>
  <c r="H605" i="3"/>
  <c r="Q605" i="3"/>
  <c r="O605" i="3"/>
  <c r="M605" i="3"/>
  <c r="K605" i="3"/>
  <c r="I605" i="3"/>
  <c r="A601" i="4"/>
  <c r="B601" i="4" s="1"/>
  <c r="C601" i="4" s="1"/>
  <c r="D601" i="4" s="1"/>
  <c r="Q606" i="3"/>
  <c r="O606" i="3"/>
  <c r="M606" i="3"/>
  <c r="K606" i="3"/>
  <c r="I606" i="3"/>
  <c r="P606" i="3"/>
  <c r="N606" i="3"/>
  <c r="L606" i="3"/>
  <c r="J606" i="3"/>
  <c r="H606" i="3"/>
  <c r="P607" i="3"/>
  <c r="N607" i="3"/>
  <c r="L607" i="3"/>
  <c r="J607" i="3"/>
  <c r="H607" i="3"/>
  <c r="Q607" i="3"/>
  <c r="O607" i="3"/>
  <c r="M607" i="3"/>
  <c r="K607" i="3"/>
  <c r="I607" i="3"/>
  <c r="A603" i="4"/>
  <c r="B603" i="4" s="1"/>
  <c r="C603" i="4" s="1"/>
  <c r="D603" i="4" s="1"/>
  <c r="Q608" i="3"/>
  <c r="O608" i="3"/>
  <c r="M608" i="3"/>
  <c r="K608" i="3"/>
  <c r="I608" i="3"/>
  <c r="P608" i="3"/>
  <c r="N608" i="3"/>
  <c r="L608" i="3"/>
  <c r="J608" i="3"/>
  <c r="H608" i="3"/>
  <c r="A606" i="4"/>
  <c r="B606" i="4" s="1"/>
  <c r="C606" i="4" s="1"/>
  <c r="D606" i="4" s="1"/>
  <c r="P611" i="3"/>
  <c r="N611" i="3"/>
  <c r="L611" i="3"/>
  <c r="J611" i="3"/>
  <c r="H611" i="3"/>
  <c r="Q611" i="3"/>
  <c r="O611" i="3"/>
  <c r="M611" i="3"/>
  <c r="K611" i="3"/>
  <c r="I611" i="3"/>
  <c r="A607" i="4"/>
  <c r="B607" i="4" s="1"/>
  <c r="C607" i="4" s="1"/>
  <c r="D607" i="4" s="1"/>
  <c r="Q612" i="3"/>
  <c r="O612" i="3"/>
  <c r="M612" i="3"/>
  <c r="K612" i="3"/>
  <c r="I612" i="3"/>
  <c r="P612" i="3"/>
  <c r="N612" i="3"/>
  <c r="L612" i="3"/>
  <c r="J612" i="3"/>
  <c r="H612" i="3"/>
  <c r="A610" i="4"/>
  <c r="B610" i="4" s="1"/>
  <c r="C610" i="4" s="1"/>
  <c r="D610" i="4" s="1"/>
  <c r="P615" i="3"/>
  <c r="N615" i="3"/>
  <c r="L615" i="3"/>
  <c r="J615" i="3"/>
  <c r="H615" i="3"/>
  <c r="Q615" i="3"/>
  <c r="O615" i="3"/>
  <c r="M615" i="3"/>
  <c r="K615" i="3"/>
  <c r="I615" i="3"/>
  <c r="A611" i="4"/>
  <c r="B611" i="4" s="1"/>
  <c r="C611" i="4" s="1"/>
  <c r="D611" i="4" s="1"/>
  <c r="Q616" i="3"/>
  <c r="O616" i="3"/>
  <c r="M616" i="3"/>
  <c r="K616" i="3"/>
  <c r="I616" i="3"/>
  <c r="P616" i="3"/>
  <c r="N616" i="3"/>
  <c r="L616" i="3"/>
  <c r="J616" i="3"/>
  <c r="H616" i="3"/>
  <c r="A614" i="4"/>
  <c r="B614" i="4" s="1"/>
  <c r="C614" i="4" s="1"/>
  <c r="D614" i="4" s="1"/>
  <c r="P619" i="3"/>
  <c r="N619" i="3"/>
  <c r="L619" i="3"/>
  <c r="J619" i="3"/>
  <c r="H619" i="3"/>
  <c r="Q619" i="3"/>
  <c r="O619" i="3"/>
  <c r="M619" i="3"/>
  <c r="K619" i="3"/>
  <c r="I619" i="3"/>
  <c r="A615" i="4"/>
  <c r="B615" i="4" s="1"/>
  <c r="C615" i="4" s="1"/>
  <c r="D615" i="4" s="1"/>
  <c r="Q620" i="3"/>
  <c r="O620" i="3"/>
  <c r="M620" i="3"/>
  <c r="K620" i="3"/>
  <c r="I620" i="3"/>
  <c r="P620" i="3"/>
  <c r="N620" i="3"/>
  <c r="L620" i="3"/>
  <c r="J620" i="3"/>
  <c r="H620" i="3"/>
  <c r="A618" i="4"/>
  <c r="B618" i="4" s="1"/>
  <c r="C618" i="4" s="1"/>
  <c r="D618" i="4" s="1"/>
  <c r="P623" i="3"/>
  <c r="N623" i="3"/>
  <c r="L623" i="3"/>
  <c r="J623" i="3"/>
  <c r="H623" i="3"/>
  <c r="Q623" i="3"/>
  <c r="O623" i="3"/>
  <c r="M623" i="3"/>
  <c r="K623" i="3"/>
  <c r="I623" i="3"/>
  <c r="A619" i="4"/>
  <c r="B619" i="4" s="1"/>
  <c r="C619" i="4" s="1"/>
  <c r="D619" i="4" s="1"/>
  <c r="Q624" i="3"/>
  <c r="O624" i="3"/>
  <c r="M624" i="3"/>
  <c r="K624" i="3"/>
  <c r="I624" i="3"/>
  <c r="P624" i="3"/>
  <c r="N624" i="3"/>
  <c r="L624" i="3"/>
  <c r="J624" i="3"/>
  <c r="H624" i="3"/>
  <c r="A622" i="4"/>
  <c r="B622" i="4" s="1"/>
  <c r="C622" i="4" s="1"/>
  <c r="D622" i="4" s="1"/>
  <c r="P627" i="3"/>
  <c r="N627" i="3"/>
  <c r="L627" i="3"/>
  <c r="J627" i="3"/>
  <c r="H627" i="3"/>
  <c r="Q627" i="3"/>
  <c r="O627" i="3"/>
  <c r="M627" i="3"/>
  <c r="K627" i="3"/>
  <c r="I627" i="3"/>
  <c r="A623" i="4"/>
  <c r="B623" i="4" s="1"/>
  <c r="C623" i="4" s="1"/>
  <c r="D623" i="4" s="1"/>
  <c r="Q628" i="3"/>
  <c r="O628" i="3"/>
  <c r="M628" i="3"/>
  <c r="K628" i="3"/>
  <c r="I628" i="3"/>
  <c r="P628" i="3"/>
  <c r="N628" i="3"/>
  <c r="L628" i="3"/>
  <c r="J628" i="3"/>
  <c r="H628" i="3"/>
  <c r="A626" i="4"/>
  <c r="B626" i="4" s="1"/>
  <c r="C626" i="4" s="1"/>
  <c r="D626" i="4" s="1"/>
  <c r="P631" i="3"/>
  <c r="N631" i="3"/>
  <c r="L631" i="3"/>
  <c r="J631" i="3"/>
  <c r="H631" i="3"/>
  <c r="Q631" i="3"/>
  <c r="O631" i="3"/>
  <c r="M631" i="3"/>
  <c r="K631" i="3"/>
  <c r="I631" i="3"/>
  <c r="A627" i="4"/>
  <c r="B627" i="4" s="1"/>
  <c r="C627" i="4" s="1"/>
  <c r="D627" i="4" s="1"/>
  <c r="Q632" i="3"/>
  <c r="O632" i="3"/>
  <c r="M632" i="3"/>
  <c r="K632" i="3"/>
  <c r="I632" i="3"/>
  <c r="P632" i="3"/>
  <c r="N632" i="3"/>
  <c r="L632" i="3"/>
  <c r="J632" i="3"/>
  <c r="H632" i="3"/>
  <c r="A630" i="4"/>
  <c r="B630" i="4" s="1"/>
  <c r="C630" i="4" s="1"/>
  <c r="D630" i="4" s="1"/>
  <c r="P635" i="3"/>
  <c r="N635" i="3"/>
  <c r="L635" i="3"/>
  <c r="J635" i="3"/>
  <c r="H635" i="3"/>
  <c r="Q635" i="3"/>
  <c r="O635" i="3"/>
  <c r="M635" i="3"/>
  <c r="K635" i="3"/>
  <c r="I635" i="3"/>
  <c r="A631" i="4"/>
  <c r="B631" i="4" s="1"/>
  <c r="C631" i="4" s="1"/>
  <c r="D631" i="4" s="1"/>
  <c r="Q636" i="3"/>
  <c r="O636" i="3"/>
  <c r="M636" i="3"/>
  <c r="K636" i="3"/>
  <c r="I636" i="3"/>
  <c r="P636" i="3"/>
  <c r="N636" i="3"/>
  <c r="L636" i="3"/>
  <c r="J636" i="3"/>
  <c r="H636" i="3"/>
  <c r="A634" i="4"/>
  <c r="B634" i="4" s="1"/>
  <c r="C634" i="4" s="1"/>
  <c r="D634" i="4" s="1"/>
  <c r="P639" i="3"/>
  <c r="N639" i="3"/>
  <c r="L639" i="3"/>
  <c r="J639" i="3"/>
  <c r="H639" i="3"/>
  <c r="Q639" i="3"/>
  <c r="O639" i="3"/>
  <c r="M639" i="3"/>
  <c r="K639" i="3"/>
  <c r="I639" i="3"/>
  <c r="A635" i="4"/>
  <c r="B635" i="4" s="1"/>
  <c r="C635" i="4" s="1"/>
  <c r="D635" i="4" s="1"/>
  <c r="Q640" i="3"/>
  <c r="O640" i="3"/>
  <c r="M640" i="3"/>
  <c r="K640" i="3"/>
  <c r="I640" i="3"/>
  <c r="P640" i="3"/>
  <c r="N640" i="3"/>
  <c r="L640" i="3"/>
  <c r="J640" i="3"/>
  <c r="H640" i="3"/>
  <c r="A638" i="4"/>
  <c r="B638" i="4" s="1"/>
  <c r="C638" i="4" s="1"/>
  <c r="D638" i="4" s="1"/>
  <c r="P643" i="3"/>
  <c r="N643" i="3"/>
  <c r="L643" i="3"/>
  <c r="J643" i="3"/>
  <c r="H643" i="3"/>
  <c r="Q643" i="3"/>
  <c r="O643" i="3"/>
  <c r="M643" i="3"/>
  <c r="K643" i="3"/>
  <c r="I643" i="3"/>
  <c r="A639" i="4"/>
  <c r="B639" i="4" s="1"/>
  <c r="C639" i="4" s="1"/>
  <c r="D639" i="4" s="1"/>
  <c r="Q644" i="3"/>
  <c r="O644" i="3"/>
  <c r="M644" i="3"/>
  <c r="K644" i="3"/>
  <c r="I644" i="3"/>
  <c r="P644" i="3"/>
  <c r="N644" i="3"/>
  <c r="L644" i="3"/>
  <c r="J644" i="3"/>
  <c r="H644" i="3"/>
  <c r="A642" i="4"/>
  <c r="B642" i="4" s="1"/>
  <c r="C642" i="4" s="1"/>
  <c r="D642" i="4" s="1"/>
  <c r="P647" i="3"/>
  <c r="N647" i="3"/>
  <c r="L647" i="3"/>
  <c r="J647" i="3"/>
  <c r="H647" i="3"/>
  <c r="Q647" i="3"/>
  <c r="O647" i="3"/>
  <c r="M647" i="3"/>
  <c r="K647" i="3"/>
  <c r="I647" i="3"/>
  <c r="A643" i="4"/>
  <c r="B643" i="4" s="1"/>
  <c r="C643" i="4" s="1"/>
  <c r="D643" i="4" s="1"/>
  <c r="Q648" i="3"/>
  <c r="O648" i="3"/>
  <c r="M648" i="3"/>
  <c r="K648" i="3"/>
  <c r="I648" i="3"/>
  <c r="P648" i="3"/>
  <c r="N648" i="3"/>
  <c r="L648" i="3"/>
  <c r="J648" i="3"/>
  <c r="H648" i="3"/>
  <c r="A646" i="4"/>
  <c r="B646" i="4" s="1"/>
  <c r="C646" i="4" s="1"/>
  <c r="D646" i="4" s="1"/>
  <c r="P651" i="3"/>
  <c r="N651" i="3"/>
  <c r="L651" i="3"/>
  <c r="J651" i="3"/>
  <c r="H651" i="3"/>
  <c r="Q651" i="3"/>
  <c r="O651" i="3"/>
  <c r="M651" i="3"/>
  <c r="K651" i="3"/>
  <c r="I651" i="3"/>
  <c r="A647" i="4"/>
  <c r="B647" i="4" s="1"/>
  <c r="C647" i="4" s="1"/>
  <c r="D647" i="4" s="1"/>
  <c r="Q652" i="3"/>
  <c r="O652" i="3"/>
  <c r="M652" i="3"/>
  <c r="K652" i="3"/>
  <c r="I652" i="3"/>
  <c r="P652" i="3"/>
  <c r="N652" i="3"/>
  <c r="L652" i="3"/>
  <c r="J652" i="3"/>
  <c r="H652" i="3"/>
  <c r="A650" i="4"/>
  <c r="B650" i="4" s="1"/>
  <c r="C650" i="4" s="1"/>
  <c r="D650" i="4" s="1"/>
  <c r="P655" i="3"/>
  <c r="N655" i="3"/>
  <c r="L655" i="3"/>
  <c r="J655" i="3"/>
  <c r="H655" i="3"/>
  <c r="Q655" i="3"/>
  <c r="O655" i="3"/>
  <c r="M655" i="3"/>
  <c r="K655" i="3"/>
  <c r="I655" i="3"/>
  <c r="A651" i="4"/>
  <c r="B651" i="4" s="1"/>
  <c r="C651" i="4" s="1"/>
  <c r="D651" i="4" s="1"/>
  <c r="Q656" i="3"/>
  <c r="O656" i="3"/>
  <c r="M656" i="3"/>
  <c r="K656" i="3"/>
  <c r="I656" i="3"/>
  <c r="P656" i="3"/>
  <c r="N656" i="3"/>
  <c r="L656" i="3"/>
  <c r="J656" i="3"/>
  <c r="H656" i="3"/>
  <c r="A654" i="4"/>
  <c r="B654" i="4" s="1"/>
  <c r="C654" i="4" s="1"/>
  <c r="D654" i="4" s="1"/>
  <c r="P659" i="3"/>
  <c r="N659" i="3"/>
  <c r="L659" i="3"/>
  <c r="J659" i="3"/>
  <c r="H659" i="3"/>
  <c r="Q659" i="3"/>
  <c r="O659" i="3"/>
  <c r="M659" i="3"/>
  <c r="K659" i="3"/>
  <c r="I659" i="3"/>
  <c r="A655" i="4"/>
  <c r="B655" i="4" s="1"/>
  <c r="C655" i="4" s="1"/>
  <c r="D655" i="4" s="1"/>
  <c r="Q660" i="3"/>
  <c r="O660" i="3"/>
  <c r="M660" i="3"/>
  <c r="K660" i="3"/>
  <c r="I660" i="3"/>
  <c r="P660" i="3"/>
  <c r="N660" i="3"/>
  <c r="L660" i="3"/>
  <c r="J660" i="3"/>
  <c r="H660" i="3"/>
  <c r="A658" i="4"/>
  <c r="B658" i="4" s="1"/>
  <c r="C658" i="4" s="1"/>
  <c r="D658" i="4" s="1"/>
  <c r="P663" i="3"/>
  <c r="N663" i="3"/>
  <c r="L663" i="3"/>
  <c r="J663" i="3"/>
  <c r="H663" i="3"/>
  <c r="Q663" i="3"/>
  <c r="O663" i="3"/>
  <c r="M663" i="3"/>
  <c r="K663" i="3"/>
  <c r="I663" i="3"/>
  <c r="A659" i="4"/>
  <c r="B659" i="4" s="1"/>
  <c r="C659" i="4" s="1"/>
  <c r="D659" i="4" s="1"/>
  <c r="Q664" i="3"/>
  <c r="O664" i="3"/>
  <c r="M664" i="3"/>
  <c r="K664" i="3"/>
  <c r="I664" i="3"/>
  <c r="P664" i="3"/>
  <c r="N664" i="3"/>
  <c r="L664" i="3"/>
  <c r="J664" i="3"/>
  <c r="H664" i="3"/>
  <c r="A662" i="4"/>
  <c r="B662" i="4" s="1"/>
  <c r="C662" i="4" s="1"/>
  <c r="D662" i="4" s="1"/>
  <c r="P667" i="3"/>
  <c r="N667" i="3"/>
  <c r="L667" i="3"/>
  <c r="J667" i="3"/>
  <c r="H667" i="3"/>
  <c r="Q667" i="3"/>
  <c r="O667" i="3"/>
  <c r="M667" i="3"/>
  <c r="K667" i="3"/>
  <c r="I667" i="3"/>
  <c r="A663" i="4"/>
  <c r="B663" i="4" s="1"/>
  <c r="C663" i="4" s="1"/>
  <c r="D663" i="4" s="1"/>
  <c r="Q668" i="3"/>
  <c r="O668" i="3"/>
  <c r="M668" i="3"/>
  <c r="K668" i="3"/>
  <c r="I668" i="3"/>
  <c r="P668" i="3"/>
  <c r="N668" i="3"/>
  <c r="L668" i="3"/>
  <c r="J668" i="3"/>
  <c r="H668" i="3"/>
  <c r="A666" i="4"/>
  <c r="B666" i="4" s="1"/>
  <c r="C666" i="4" s="1"/>
  <c r="D666" i="4" s="1"/>
  <c r="P671" i="3"/>
  <c r="N671" i="3"/>
  <c r="L671" i="3"/>
  <c r="J671" i="3"/>
  <c r="H671" i="3"/>
  <c r="Q671" i="3"/>
  <c r="O671" i="3"/>
  <c r="M671" i="3"/>
  <c r="K671" i="3"/>
  <c r="I671" i="3"/>
  <c r="A667" i="4"/>
  <c r="B667" i="4" s="1"/>
  <c r="C667" i="4" s="1"/>
  <c r="D667" i="4" s="1"/>
  <c r="Q672" i="3"/>
  <c r="O672" i="3"/>
  <c r="M672" i="3"/>
  <c r="K672" i="3"/>
  <c r="I672" i="3"/>
  <c r="P672" i="3"/>
  <c r="N672" i="3"/>
  <c r="L672" i="3"/>
  <c r="J672" i="3"/>
  <c r="H672" i="3"/>
  <c r="A670" i="4"/>
  <c r="B670" i="4" s="1"/>
  <c r="C670" i="4" s="1"/>
  <c r="D670" i="4" s="1"/>
  <c r="P675" i="3"/>
  <c r="N675" i="3"/>
  <c r="L675" i="3"/>
  <c r="J675" i="3"/>
  <c r="H675" i="3"/>
  <c r="Q675" i="3"/>
  <c r="O675" i="3"/>
  <c r="M675" i="3"/>
  <c r="K675" i="3"/>
  <c r="I675" i="3"/>
  <c r="A671" i="4"/>
  <c r="B671" i="4" s="1"/>
  <c r="C671" i="4" s="1"/>
  <c r="D671" i="4" s="1"/>
  <c r="Q676" i="3"/>
  <c r="O676" i="3"/>
  <c r="M676" i="3"/>
  <c r="K676" i="3"/>
  <c r="I676" i="3"/>
  <c r="P676" i="3"/>
  <c r="N676" i="3"/>
  <c r="L676" i="3"/>
  <c r="J676" i="3"/>
  <c r="H676" i="3"/>
  <c r="A674" i="4"/>
  <c r="B674" i="4" s="1"/>
  <c r="C674" i="4" s="1"/>
  <c r="D674" i="4" s="1"/>
  <c r="P679" i="3"/>
  <c r="N679" i="3"/>
  <c r="L679" i="3"/>
  <c r="J679" i="3"/>
  <c r="H679" i="3"/>
  <c r="Q679" i="3"/>
  <c r="O679" i="3"/>
  <c r="M679" i="3"/>
  <c r="K679" i="3"/>
  <c r="I679" i="3"/>
  <c r="A675" i="4"/>
  <c r="B675" i="4" s="1"/>
  <c r="C675" i="4" s="1"/>
  <c r="D675" i="4" s="1"/>
  <c r="Q680" i="3"/>
  <c r="O680" i="3"/>
  <c r="M680" i="3"/>
  <c r="K680" i="3"/>
  <c r="I680" i="3"/>
  <c r="P680" i="3"/>
  <c r="N680" i="3"/>
  <c r="L680" i="3"/>
  <c r="J680" i="3"/>
  <c r="H680" i="3"/>
  <c r="A678" i="4"/>
  <c r="B678" i="4" s="1"/>
  <c r="C678" i="4" s="1"/>
  <c r="D678" i="4" s="1"/>
  <c r="P683" i="3"/>
  <c r="N683" i="3"/>
  <c r="L683" i="3"/>
  <c r="J683" i="3"/>
  <c r="H683" i="3"/>
  <c r="Q683" i="3"/>
  <c r="O683" i="3"/>
  <c r="M683" i="3"/>
  <c r="K683" i="3"/>
  <c r="I683" i="3"/>
  <c r="A679" i="4"/>
  <c r="B679" i="4" s="1"/>
  <c r="C679" i="4" s="1"/>
  <c r="D679" i="4" s="1"/>
  <c r="Q684" i="3"/>
  <c r="O684" i="3"/>
  <c r="M684" i="3"/>
  <c r="K684" i="3"/>
  <c r="I684" i="3"/>
  <c r="P684" i="3"/>
  <c r="N684" i="3"/>
  <c r="L684" i="3"/>
  <c r="J684" i="3"/>
  <c r="H684" i="3"/>
  <c r="A682" i="4"/>
  <c r="B682" i="4" s="1"/>
  <c r="C682" i="4" s="1"/>
  <c r="D682" i="4" s="1"/>
  <c r="P687" i="3"/>
  <c r="N687" i="3"/>
  <c r="L687" i="3"/>
  <c r="J687" i="3"/>
  <c r="H687" i="3"/>
  <c r="Q687" i="3"/>
  <c r="O687" i="3"/>
  <c r="M687" i="3"/>
  <c r="K687" i="3"/>
  <c r="I687" i="3"/>
  <c r="A683" i="4"/>
  <c r="B683" i="4" s="1"/>
  <c r="C683" i="4" s="1"/>
  <c r="D683" i="4" s="1"/>
  <c r="Q688" i="3"/>
  <c r="O688" i="3"/>
  <c r="M688" i="3"/>
  <c r="K688" i="3"/>
  <c r="I688" i="3"/>
  <c r="P688" i="3"/>
  <c r="N688" i="3"/>
  <c r="L688" i="3"/>
  <c r="J688" i="3"/>
  <c r="H688" i="3"/>
  <c r="A686" i="4"/>
  <c r="B686" i="4" s="1"/>
  <c r="C686" i="4" s="1"/>
  <c r="D686" i="4" s="1"/>
  <c r="P691" i="3"/>
  <c r="N691" i="3"/>
  <c r="L691" i="3"/>
  <c r="J691" i="3"/>
  <c r="H691" i="3"/>
  <c r="Q691" i="3"/>
  <c r="O691" i="3"/>
  <c r="M691" i="3"/>
  <c r="K691" i="3"/>
  <c r="I691" i="3"/>
  <c r="A687" i="4"/>
  <c r="B687" i="4" s="1"/>
  <c r="C687" i="4" s="1"/>
  <c r="D687" i="4" s="1"/>
  <c r="Q692" i="3"/>
  <c r="O692" i="3"/>
  <c r="M692" i="3"/>
  <c r="K692" i="3"/>
  <c r="I692" i="3"/>
  <c r="P692" i="3"/>
  <c r="N692" i="3"/>
  <c r="L692" i="3"/>
  <c r="J692" i="3"/>
  <c r="H692" i="3"/>
  <c r="A690" i="4"/>
  <c r="B690" i="4" s="1"/>
  <c r="C690" i="4" s="1"/>
  <c r="D690" i="4" s="1"/>
  <c r="P695" i="3"/>
  <c r="N695" i="3"/>
  <c r="L695" i="3"/>
  <c r="J695" i="3"/>
  <c r="H695" i="3"/>
  <c r="Q695" i="3"/>
  <c r="O695" i="3"/>
  <c r="M695" i="3"/>
  <c r="K695" i="3"/>
  <c r="I695" i="3"/>
  <c r="A691" i="4"/>
  <c r="B691" i="4" s="1"/>
  <c r="C691" i="4" s="1"/>
  <c r="D691" i="4" s="1"/>
  <c r="Q696" i="3"/>
  <c r="O696" i="3"/>
  <c r="M696" i="3"/>
  <c r="K696" i="3"/>
  <c r="I696" i="3"/>
  <c r="P696" i="3"/>
  <c r="N696" i="3"/>
  <c r="L696" i="3"/>
  <c r="J696" i="3"/>
  <c r="H696" i="3"/>
  <c r="A694" i="4"/>
  <c r="B694" i="4" s="1"/>
  <c r="C694" i="4" s="1"/>
  <c r="D694" i="4" s="1"/>
  <c r="P699" i="3"/>
  <c r="N699" i="3"/>
  <c r="L699" i="3"/>
  <c r="J699" i="3"/>
  <c r="H699" i="3"/>
  <c r="Q699" i="3"/>
  <c r="O699" i="3"/>
  <c r="M699" i="3"/>
  <c r="K699" i="3"/>
  <c r="I699" i="3"/>
  <c r="A695" i="4"/>
  <c r="B695" i="4" s="1"/>
  <c r="C695" i="4" s="1"/>
  <c r="D695" i="4" s="1"/>
  <c r="Q700" i="3"/>
  <c r="O700" i="3"/>
  <c r="M700" i="3"/>
  <c r="K700" i="3"/>
  <c r="I700" i="3"/>
  <c r="P700" i="3"/>
  <c r="N700" i="3"/>
  <c r="L700" i="3"/>
  <c r="J700" i="3"/>
  <c r="H700" i="3"/>
  <c r="A698" i="4"/>
  <c r="B698" i="4" s="1"/>
  <c r="C698" i="4" s="1"/>
  <c r="D698" i="4" s="1"/>
  <c r="P703" i="3"/>
  <c r="N703" i="3"/>
  <c r="L703" i="3"/>
  <c r="J703" i="3"/>
  <c r="H703" i="3"/>
  <c r="Q703" i="3"/>
  <c r="O703" i="3"/>
  <c r="M703" i="3"/>
  <c r="K703" i="3"/>
  <c r="I703" i="3"/>
  <c r="A699" i="4"/>
  <c r="B699" i="4" s="1"/>
  <c r="C699" i="4" s="1"/>
  <c r="D699" i="4" s="1"/>
  <c r="Q704" i="3"/>
  <c r="O704" i="3"/>
  <c r="M704" i="3"/>
  <c r="K704" i="3"/>
  <c r="I704" i="3"/>
  <c r="P704" i="3"/>
  <c r="N704" i="3"/>
  <c r="L704" i="3"/>
  <c r="J704" i="3"/>
  <c r="H704" i="3"/>
  <c r="A702" i="4"/>
  <c r="B702" i="4" s="1"/>
  <c r="C702" i="4" s="1"/>
  <c r="D702" i="4" s="1"/>
  <c r="P707" i="3"/>
  <c r="N707" i="3"/>
  <c r="L707" i="3"/>
  <c r="J707" i="3"/>
  <c r="H707" i="3"/>
  <c r="Q707" i="3"/>
  <c r="O707" i="3"/>
  <c r="M707" i="3"/>
  <c r="K707" i="3"/>
  <c r="I707" i="3"/>
  <c r="A703" i="4"/>
  <c r="B703" i="4" s="1"/>
  <c r="C703" i="4" s="1"/>
  <c r="D703" i="4" s="1"/>
  <c r="Q708" i="3"/>
  <c r="O708" i="3"/>
  <c r="M708" i="3"/>
  <c r="K708" i="3"/>
  <c r="I708" i="3"/>
  <c r="P708" i="3"/>
  <c r="N708" i="3"/>
  <c r="L708" i="3"/>
  <c r="J708" i="3"/>
  <c r="H708" i="3"/>
  <c r="A706" i="4"/>
  <c r="B706" i="4" s="1"/>
  <c r="C706" i="4" s="1"/>
  <c r="D706" i="4" s="1"/>
  <c r="P711" i="3"/>
  <c r="N711" i="3"/>
  <c r="L711" i="3"/>
  <c r="J711" i="3"/>
  <c r="H711" i="3"/>
  <c r="Q711" i="3"/>
  <c r="O711" i="3"/>
  <c r="M711" i="3"/>
  <c r="K711" i="3"/>
  <c r="I711" i="3"/>
  <c r="A707" i="4"/>
  <c r="B707" i="4" s="1"/>
  <c r="C707" i="4" s="1"/>
  <c r="D707" i="4" s="1"/>
  <c r="Q712" i="3"/>
  <c r="O712" i="3"/>
  <c r="M712" i="3"/>
  <c r="K712" i="3"/>
  <c r="I712" i="3"/>
  <c r="P712" i="3"/>
  <c r="N712" i="3"/>
  <c r="L712" i="3"/>
  <c r="J712" i="3"/>
  <c r="H712" i="3"/>
  <c r="A710" i="4"/>
  <c r="B710" i="4" s="1"/>
  <c r="C710" i="4" s="1"/>
  <c r="D710" i="4" s="1"/>
  <c r="P715" i="3"/>
  <c r="N715" i="3"/>
  <c r="L715" i="3"/>
  <c r="J715" i="3"/>
  <c r="H715" i="3"/>
  <c r="Q715" i="3"/>
  <c r="O715" i="3"/>
  <c r="M715" i="3"/>
  <c r="K715" i="3"/>
  <c r="I715" i="3"/>
  <c r="A711" i="4"/>
  <c r="B711" i="4" s="1"/>
  <c r="C711" i="4" s="1"/>
  <c r="D711" i="4" s="1"/>
  <c r="Q716" i="3"/>
  <c r="O716" i="3"/>
  <c r="M716" i="3"/>
  <c r="K716" i="3"/>
  <c r="I716" i="3"/>
  <c r="P716" i="3"/>
  <c r="N716" i="3"/>
  <c r="L716" i="3"/>
  <c r="J716" i="3"/>
  <c r="H716" i="3"/>
  <c r="A714" i="4"/>
  <c r="B714" i="4" s="1"/>
  <c r="C714" i="4" s="1"/>
  <c r="D714" i="4" s="1"/>
  <c r="P719" i="3"/>
  <c r="N719" i="3"/>
  <c r="L719" i="3"/>
  <c r="J719" i="3"/>
  <c r="H719" i="3"/>
  <c r="Q719" i="3"/>
  <c r="O719" i="3"/>
  <c r="M719" i="3"/>
  <c r="K719" i="3"/>
  <c r="I719" i="3"/>
  <c r="A715" i="4"/>
  <c r="B715" i="4" s="1"/>
  <c r="C715" i="4" s="1"/>
  <c r="D715" i="4" s="1"/>
  <c r="Q720" i="3"/>
  <c r="O720" i="3"/>
  <c r="M720" i="3"/>
  <c r="K720" i="3"/>
  <c r="I720" i="3"/>
  <c r="P720" i="3"/>
  <c r="N720" i="3"/>
  <c r="L720" i="3"/>
  <c r="J720" i="3"/>
  <c r="H720" i="3"/>
  <c r="A718" i="4"/>
  <c r="B718" i="4" s="1"/>
  <c r="C718" i="4" s="1"/>
  <c r="D718" i="4" s="1"/>
  <c r="P723" i="3"/>
  <c r="N723" i="3"/>
  <c r="L723" i="3"/>
  <c r="J723" i="3"/>
  <c r="H723" i="3"/>
  <c r="Q723" i="3"/>
  <c r="O723" i="3"/>
  <c r="M723" i="3"/>
  <c r="K723" i="3"/>
  <c r="I723" i="3"/>
  <c r="A719" i="4"/>
  <c r="B719" i="4" s="1"/>
  <c r="C719" i="4" s="1"/>
  <c r="D719" i="4" s="1"/>
  <c r="Q724" i="3"/>
  <c r="O724" i="3"/>
  <c r="M724" i="3"/>
  <c r="K724" i="3"/>
  <c r="I724" i="3"/>
  <c r="P724" i="3"/>
  <c r="N724" i="3"/>
  <c r="L724" i="3"/>
  <c r="J724" i="3"/>
  <c r="H724" i="3"/>
  <c r="A722" i="4"/>
  <c r="B722" i="4" s="1"/>
  <c r="C722" i="4" s="1"/>
  <c r="D722" i="4" s="1"/>
  <c r="P727" i="3"/>
  <c r="N727" i="3"/>
  <c r="L727" i="3"/>
  <c r="J727" i="3"/>
  <c r="H727" i="3"/>
  <c r="Q727" i="3"/>
  <c r="O727" i="3"/>
  <c r="M727" i="3"/>
  <c r="K727" i="3"/>
  <c r="I727" i="3"/>
  <c r="A723" i="4"/>
  <c r="B723" i="4" s="1"/>
  <c r="C723" i="4" s="1"/>
  <c r="D723" i="4" s="1"/>
  <c r="Q728" i="3"/>
  <c r="O728" i="3"/>
  <c r="M728" i="3"/>
  <c r="K728" i="3"/>
  <c r="I728" i="3"/>
  <c r="P728" i="3"/>
  <c r="N728" i="3"/>
  <c r="L728" i="3"/>
  <c r="J728" i="3"/>
  <c r="H728" i="3"/>
  <c r="A726" i="4"/>
  <c r="B726" i="4" s="1"/>
  <c r="C726" i="4" s="1"/>
  <c r="D726" i="4" s="1"/>
  <c r="P731" i="3"/>
  <c r="N731" i="3"/>
  <c r="L731" i="3"/>
  <c r="J731" i="3"/>
  <c r="H731" i="3"/>
  <c r="Q731" i="3"/>
  <c r="O731" i="3"/>
  <c r="M731" i="3"/>
  <c r="K731" i="3"/>
  <c r="I731" i="3"/>
  <c r="A727" i="4"/>
  <c r="B727" i="4" s="1"/>
  <c r="C727" i="4" s="1"/>
  <c r="D727" i="4" s="1"/>
  <c r="Q732" i="3"/>
  <c r="O732" i="3"/>
  <c r="M732" i="3"/>
  <c r="K732" i="3"/>
  <c r="I732" i="3"/>
  <c r="P732" i="3"/>
  <c r="N732" i="3"/>
  <c r="L732" i="3"/>
  <c r="J732" i="3"/>
  <c r="H732" i="3"/>
  <c r="A730" i="4"/>
  <c r="B730" i="4" s="1"/>
  <c r="C730" i="4" s="1"/>
  <c r="D730" i="4" s="1"/>
  <c r="P735" i="3"/>
  <c r="N735" i="3"/>
  <c r="L735" i="3"/>
  <c r="J735" i="3"/>
  <c r="H735" i="3"/>
  <c r="Q735" i="3"/>
  <c r="O735" i="3"/>
  <c r="M735" i="3"/>
  <c r="K735" i="3"/>
  <c r="I735" i="3"/>
  <c r="A731" i="4"/>
  <c r="B731" i="4" s="1"/>
  <c r="C731" i="4" s="1"/>
  <c r="D731" i="4" s="1"/>
  <c r="Q736" i="3"/>
  <c r="O736" i="3"/>
  <c r="M736" i="3"/>
  <c r="K736" i="3"/>
  <c r="I736" i="3"/>
  <c r="P736" i="3"/>
  <c r="N736" i="3"/>
  <c r="L736" i="3"/>
  <c r="J736" i="3"/>
  <c r="H736" i="3"/>
  <c r="A734" i="4"/>
  <c r="B734" i="4" s="1"/>
  <c r="C734" i="4" s="1"/>
  <c r="D734" i="4" s="1"/>
  <c r="P739" i="3"/>
  <c r="N739" i="3"/>
  <c r="L739" i="3"/>
  <c r="J739" i="3"/>
  <c r="H739" i="3"/>
  <c r="Q739" i="3"/>
  <c r="O739" i="3"/>
  <c r="M739" i="3"/>
  <c r="K739" i="3"/>
  <c r="I739" i="3"/>
  <c r="A735" i="4"/>
  <c r="B735" i="4" s="1"/>
  <c r="C735" i="4" s="1"/>
  <c r="D735" i="4" s="1"/>
  <c r="Q740" i="3"/>
  <c r="O740" i="3"/>
  <c r="M740" i="3"/>
  <c r="K740" i="3"/>
  <c r="I740" i="3"/>
  <c r="P740" i="3"/>
  <c r="N740" i="3"/>
  <c r="L740" i="3"/>
  <c r="J740" i="3"/>
  <c r="H740" i="3"/>
  <c r="A738" i="4"/>
  <c r="B738" i="4" s="1"/>
  <c r="C738" i="4" s="1"/>
  <c r="D738" i="4" s="1"/>
  <c r="P743" i="3"/>
  <c r="N743" i="3"/>
  <c r="L743" i="3"/>
  <c r="J743" i="3"/>
  <c r="H743" i="3"/>
  <c r="Q743" i="3"/>
  <c r="O743" i="3"/>
  <c r="M743" i="3"/>
  <c r="K743" i="3"/>
  <c r="I743" i="3"/>
  <c r="A739" i="4"/>
  <c r="B739" i="4" s="1"/>
  <c r="C739" i="4" s="1"/>
  <c r="D739" i="4" s="1"/>
  <c r="Q744" i="3"/>
  <c r="O744" i="3"/>
  <c r="M744" i="3"/>
  <c r="K744" i="3"/>
  <c r="I744" i="3"/>
  <c r="P744" i="3"/>
  <c r="N744" i="3"/>
  <c r="L744" i="3"/>
  <c r="J744" i="3"/>
  <c r="H744" i="3"/>
  <c r="A742" i="4"/>
  <c r="B742" i="4" s="1"/>
  <c r="C742" i="4" s="1"/>
  <c r="D742" i="4" s="1"/>
  <c r="P747" i="3"/>
  <c r="N747" i="3"/>
  <c r="L747" i="3"/>
  <c r="J747" i="3"/>
  <c r="H747" i="3"/>
  <c r="Q747" i="3"/>
  <c r="O747" i="3"/>
  <c r="M747" i="3"/>
  <c r="K747" i="3"/>
  <c r="I747" i="3"/>
  <c r="A743" i="4"/>
  <c r="B743" i="4" s="1"/>
  <c r="C743" i="4" s="1"/>
  <c r="D743" i="4" s="1"/>
  <c r="Q748" i="3"/>
  <c r="O748" i="3"/>
  <c r="M748" i="3"/>
  <c r="K748" i="3"/>
  <c r="I748" i="3"/>
  <c r="P748" i="3"/>
  <c r="N748" i="3"/>
  <c r="L748" i="3"/>
  <c r="J748" i="3"/>
  <c r="H748" i="3"/>
  <c r="A746" i="4"/>
  <c r="B746" i="4" s="1"/>
  <c r="C746" i="4" s="1"/>
  <c r="D746" i="4" s="1"/>
  <c r="P751" i="3"/>
  <c r="N751" i="3"/>
  <c r="L751" i="3"/>
  <c r="J751" i="3"/>
  <c r="H751" i="3"/>
  <c r="Q751" i="3"/>
  <c r="O751" i="3"/>
  <c r="M751" i="3"/>
  <c r="K751" i="3"/>
  <c r="I751" i="3"/>
  <c r="A747" i="4"/>
  <c r="B747" i="4" s="1"/>
  <c r="C747" i="4" s="1"/>
  <c r="D747" i="4" s="1"/>
  <c r="Q752" i="3"/>
  <c r="O752" i="3"/>
  <c r="M752" i="3"/>
  <c r="K752" i="3"/>
  <c r="I752" i="3"/>
  <c r="P752" i="3"/>
  <c r="N752" i="3"/>
  <c r="L752" i="3"/>
  <c r="J752" i="3"/>
  <c r="H752" i="3"/>
  <c r="A750" i="4"/>
  <c r="B750" i="4" s="1"/>
  <c r="C750" i="4" s="1"/>
  <c r="D750" i="4" s="1"/>
  <c r="P755" i="3"/>
  <c r="N755" i="3"/>
  <c r="L755" i="3"/>
  <c r="J755" i="3"/>
  <c r="H755" i="3"/>
  <c r="Q755" i="3"/>
  <c r="O755" i="3"/>
  <c r="M755" i="3"/>
  <c r="K755" i="3"/>
  <c r="I755" i="3"/>
  <c r="A751" i="4"/>
  <c r="B751" i="4" s="1"/>
  <c r="C751" i="4" s="1"/>
  <c r="D751" i="4" s="1"/>
  <c r="Q756" i="3"/>
  <c r="O756" i="3"/>
  <c r="M756" i="3"/>
  <c r="K756" i="3"/>
  <c r="I756" i="3"/>
  <c r="P756" i="3"/>
  <c r="N756" i="3"/>
  <c r="L756" i="3"/>
  <c r="J756" i="3"/>
  <c r="H756" i="3"/>
  <c r="A754" i="4"/>
  <c r="B754" i="4" s="1"/>
  <c r="C754" i="4" s="1"/>
  <c r="D754" i="4" s="1"/>
  <c r="P759" i="3"/>
  <c r="N759" i="3"/>
  <c r="L759" i="3"/>
  <c r="J759" i="3"/>
  <c r="H759" i="3"/>
  <c r="Q759" i="3"/>
  <c r="O759" i="3"/>
  <c r="M759" i="3"/>
  <c r="K759" i="3"/>
  <c r="I759" i="3"/>
  <c r="A755" i="4"/>
  <c r="B755" i="4" s="1"/>
  <c r="C755" i="4" s="1"/>
  <c r="D755" i="4" s="1"/>
  <c r="Q760" i="3"/>
  <c r="O760" i="3"/>
  <c r="M760" i="3"/>
  <c r="K760" i="3"/>
  <c r="I760" i="3"/>
  <c r="P760" i="3"/>
  <c r="N760" i="3"/>
  <c r="L760" i="3"/>
  <c r="J760" i="3"/>
  <c r="H760" i="3"/>
  <c r="A758" i="4"/>
  <c r="B758" i="4" s="1"/>
  <c r="C758" i="4" s="1"/>
  <c r="D758" i="4" s="1"/>
  <c r="P763" i="3"/>
  <c r="N763" i="3"/>
  <c r="L763" i="3"/>
  <c r="J763" i="3"/>
  <c r="H763" i="3"/>
  <c r="Q763" i="3"/>
  <c r="O763" i="3"/>
  <c r="M763" i="3"/>
  <c r="K763" i="3"/>
  <c r="I763" i="3"/>
  <c r="A759" i="4"/>
  <c r="B759" i="4" s="1"/>
  <c r="C759" i="4" s="1"/>
  <c r="D759" i="4" s="1"/>
  <c r="Q764" i="3"/>
  <c r="O764" i="3"/>
  <c r="M764" i="3"/>
  <c r="K764" i="3"/>
  <c r="I764" i="3"/>
  <c r="P764" i="3"/>
  <c r="N764" i="3"/>
  <c r="L764" i="3"/>
  <c r="J764" i="3"/>
  <c r="H764" i="3"/>
  <c r="A762" i="4"/>
  <c r="B762" i="4" s="1"/>
  <c r="C762" i="4" s="1"/>
  <c r="D762" i="4" s="1"/>
  <c r="P767" i="3"/>
  <c r="N767" i="3"/>
  <c r="L767" i="3"/>
  <c r="J767" i="3"/>
  <c r="H767" i="3"/>
  <c r="Q767" i="3"/>
  <c r="O767" i="3"/>
  <c r="M767" i="3"/>
  <c r="K767" i="3"/>
  <c r="I767" i="3"/>
  <c r="A763" i="4"/>
  <c r="B763" i="4" s="1"/>
  <c r="C763" i="4" s="1"/>
  <c r="D763" i="4" s="1"/>
  <c r="Q768" i="3"/>
  <c r="O768" i="3"/>
  <c r="M768" i="3"/>
  <c r="K768" i="3"/>
  <c r="I768" i="3"/>
  <c r="P768" i="3"/>
  <c r="N768" i="3"/>
  <c r="L768" i="3"/>
  <c r="J768" i="3"/>
  <c r="H768" i="3"/>
  <c r="A766" i="4"/>
  <c r="B766" i="4" s="1"/>
  <c r="C766" i="4" s="1"/>
  <c r="D766" i="4" s="1"/>
  <c r="P771" i="3"/>
  <c r="N771" i="3"/>
  <c r="L771" i="3"/>
  <c r="J771" i="3"/>
  <c r="H771" i="3"/>
  <c r="Q771" i="3"/>
  <c r="O771" i="3"/>
  <c r="M771" i="3"/>
  <c r="K771" i="3"/>
  <c r="I771" i="3"/>
  <c r="A767" i="4"/>
  <c r="B767" i="4" s="1"/>
  <c r="C767" i="4" s="1"/>
  <c r="D767" i="4" s="1"/>
  <c r="Q772" i="3"/>
  <c r="O772" i="3"/>
  <c r="M772" i="3"/>
  <c r="K772" i="3"/>
  <c r="I772" i="3"/>
  <c r="P772" i="3"/>
  <c r="N772" i="3"/>
  <c r="L772" i="3"/>
  <c r="J772" i="3"/>
  <c r="H772" i="3"/>
  <c r="A770" i="4"/>
  <c r="B770" i="4" s="1"/>
  <c r="C770" i="4" s="1"/>
  <c r="D770" i="4" s="1"/>
  <c r="P775" i="3"/>
  <c r="N775" i="3"/>
  <c r="L775" i="3"/>
  <c r="J775" i="3"/>
  <c r="H775" i="3"/>
  <c r="Q775" i="3"/>
  <c r="O775" i="3"/>
  <c r="M775" i="3"/>
  <c r="K775" i="3"/>
  <c r="I775" i="3"/>
  <c r="A771" i="4"/>
  <c r="B771" i="4" s="1"/>
  <c r="C771" i="4" s="1"/>
  <c r="D771" i="4" s="1"/>
  <c r="Q776" i="3"/>
  <c r="O776" i="3"/>
  <c r="M776" i="3"/>
  <c r="K776" i="3"/>
  <c r="I776" i="3"/>
  <c r="P776" i="3"/>
  <c r="N776" i="3"/>
  <c r="L776" i="3"/>
  <c r="J776" i="3"/>
  <c r="H776" i="3"/>
  <c r="A774" i="4"/>
  <c r="B774" i="4" s="1"/>
  <c r="C774" i="4" s="1"/>
  <c r="D774" i="4" s="1"/>
  <c r="P779" i="3"/>
  <c r="N779" i="3"/>
  <c r="L779" i="3"/>
  <c r="J779" i="3"/>
  <c r="H779" i="3"/>
  <c r="Q779" i="3"/>
  <c r="O779" i="3"/>
  <c r="M779" i="3"/>
  <c r="K779" i="3"/>
  <c r="I779" i="3"/>
  <c r="A775" i="4"/>
  <c r="B775" i="4" s="1"/>
  <c r="C775" i="4" s="1"/>
  <c r="D775" i="4" s="1"/>
  <c r="Q780" i="3"/>
  <c r="O780" i="3"/>
  <c r="M780" i="3"/>
  <c r="K780" i="3"/>
  <c r="I780" i="3"/>
  <c r="P780" i="3"/>
  <c r="N780" i="3"/>
  <c r="L780" i="3"/>
  <c r="J780" i="3"/>
  <c r="H780" i="3"/>
  <c r="A778" i="4"/>
  <c r="B778" i="4" s="1"/>
  <c r="C778" i="4" s="1"/>
  <c r="D778" i="4" s="1"/>
  <c r="P783" i="3"/>
  <c r="N783" i="3"/>
  <c r="L783" i="3"/>
  <c r="J783" i="3"/>
  <c r="H783" i="3"/>
  <c r="Q783" i="3"/>
  <c r="O783" i="3"/>
  <c r="M783" i="3"/>
  <c r="K783" i="3"/>
  <c r="I783" i="3"/>
  <c r="A779" i="4"/>
  <c r="B779" i="4" s="1"/>
  <c r="C779" i="4" s="1"/>
  <c r="D779" i="4" s="1"/>
  <c r="Q784" i="3"/>
  <c r="O784" i="3"/>
  <c r="M784" i="3"/>
  <c r="K784" i="3"/>
  <c r="I784" i="3"/>
  <c r="P784" i="3"/>
  <c r="N784" i="3"/>
  <c r="L784" i="3"/>
  <c r="J784" i="3"/>
  <c r="H784" i="3"/>
  <c r="A782" i="4"/>
  <c r="B782" i="4" s="1"/>
  <c r="C782" i="4" s="1"/>
  <c r="D782" i="4" s="1"/>
  <c r="P787" i="3"/>
  <c r="N787" i="3"/>
  <c r="L787" i="3"/>
  <c r="J787" i="3"/>
  <c r="H787" i="3"/>
  <c r="Q787" i="3"/>
  <c r="O787" i="3"/>
  <c r="M787" i="3"/>
  <c r="K787" i="3"/>
  <c r="I787" i="3"/>
  <c r="A783" i="4"/>
  <c r="B783" i="4" s="1"/>
  <c r="C783" i="4" s="1"/>
  <c r="D783" i="4" s="1"/>
  <c r="Q788" i="3"/>
  <c r="O788" i="3"/>
  <c r="M788" i="3"/>
  <c r="K788" i="3"/>
  <c r="I788" i="3"/>
  <c r="P788" i="3"/>
  <c r="N788" i="3"/>
  <c r="L788" i="3"/>
  <c r="J788" i="3"/>
  <c r="H788" i="3"/>
  <c r="A786" i="4"/>
  <c r="B786" i="4" s="1"/>
  <c r="C786" i="4" s="1"/>
  <c r="D786" i="4" s="1"/>
  <c r="P791" i="3"/>
  <c r="N791" i="3"/>
  <c r="L791" i="3"/>
  <c r="J791" i="3"/>
  <c r="H791" i="3"/>
  <c r="Q791" i="3"/>
  <c r="O791" i="3"/>
  <c r="M791" i="3"/>
  <c r="K791" i="3"/>
  <c r="I791" i="3"/>
  <c r="A787" i="4"/>
  <c r="B787" i="4" s="1"/>
  <c r="C787" i="4" s="1"/>
  <c r="D787" i="4" s="1"/>
  <c r="Q792" i="3"/>
  <c r="O792" i="3"/>
  <c r="M792" i="3"/>
  <c r="K792" i="3"/>
  <c r="I792" i="3"/>
  <c r="P792" i="3"/>
  <c r="N792" i="3"/>
  <c r="L792" i="3"/>
  <c r="J792" i="3"/>
  <c r="H792" i="3"/>
  <c r="A790" i="4"/>
  <c r="B790" i="4" s="1"/>
  <c r="C790" i="4" s="1"/>
  <c r="D790" i="4" s="1"/>
  <c r="P795" i="3"/>
  <c r="N795" i="3"/>
  <c r="L795" i="3"/>
  <c r="J795" i="3"/>
  <c r="H795" i="3"/>
  <c r="Q795" i="3"/>
  <c r="O795" i="3"/>
  <c r="M795" i="3"/>
  <c r="K795" i="3"/>
  <c r="I795" i="3"/>
  <c r="A791" i="4"/>
  <c r="B791" i="4" s="1"/>
  <c r="C791" i="4" s="1"/>
  <c r="D791" i="4" s="1"/>
  <c r="Q796" i="3"/>
  <c r="O796" i="3"/>
  <c r="M796" i="3"/>
  <c r="K796" i="3"/>
  <c r="I796" i="3"/>
  <c r="P796" i="3"/>
  <c r="N796" i="3"/>
  <c r="L796" i="3"/>
  <c r="J796" i="3"/>
  <c r="H796" i="3"/>
  <c r="A794" i="4"/>
  <c r="B794" i="4" s="1"/>
  <c r="C794" i="4" s="1"/>
  <c r="D794" i="4" s="1"/>
  <c r="P799" i="3"/>
  <c r="N799" i="3"/>
  <c r="L799" i="3"/>
  <c r="J799" i="3"/>
  <c r="H799" i="3"/>
  <c r="Q799" i="3"/>
  <c r="O799" i="3"/>
  <c r="M799" i="3"/>
  <c r="K799" i="3"/>
  <c r="I799" i="3"/>
  <c r="A795" i="4"/>
  <c r="B795" i="4" s="1"/>
  <c r="C795" i="4" s="1"/>
  <c r="D795" i="4" s="1"/>
  <c r="Q800" i="3"/>
  <c r="O800" i="3"/>
  <c r="M800" i="3"/>
  <c r="K800" i="3"/>
  <c r="I800" i="3"/>
  <c r="P800" i="3"/>
  <c r="N800" i="3"/>
  <c r="L800" i="3"/>
  <c r="J800" i="3"/>
  <c r="H800" i="3"/>
  <c r="A798" i="4"/>
  <c r="B798" i="4" s="1"/>
  <c r="C798" i="4" s="1"/>
  <c r="D798" i="4" s="1"/>
  <c r="P803" i="3"/>
  <c r="N803" i="3"/>
  <c r="L803" i="3"/>
  <c r="J803" i="3"/>
  <c r="H803" i="3"/>
  <c r="Q803" i="3"/>
  <c r="O803" i="3"/>
  <c r="M803" i="3"/>
  <c r="K803" i="3"/>
  <c r="I803" i="3"/>
  <c r="A799" i="4"/>
  <c r="B799" i="4" s="1"/>
  <c r="C799" i="4" s="1"/>
  <c r="D799" i="4" s="1"/>
  <c r="Q804" i="3"/>
  <c r="O804" i="3"/>
  <c r="M804" i="3"/>
  <c r="K804" i="3"/>
  <c r="I804" i="3"/>
  <c r="P804" i="3"/>
  <c r="N804" i="3"/>
  <c r="L804" i="3"/>
  <c r="J804" i="3"/>
  <c r="H804" i="3"/>
  <c r="A802" i="4"/>
  <c r="B802" i="4" s="1"/>
  <c r="C802" i="4" s="1"/>
  <c r="D802" i="4" s="1"/>
  <c r="P807" i="3"/>
  <c r="N807" i="3"/>
  <c r="L807" i="3"/>
  <c r="J807" i="3"/>
  <c r="H807" i="3"/>
  <c r="Q807" i="3"/>
  <c r="O807" i="3"/>
  <c r="M807" i="3"/>
  <c r="K807" i="3"/>
  <c r="I807" i="3"/>
  <c r="A803" i="4"/>
  <c r="B803" i="4" s="1"/>
  <c r="C803" i="4" s="1"/>
  <c r="D803" i="4" s="1"/>
  <c r="Q808" i="3"/>
  <c r="O808" i="3"/>
  <c r="M808" i="3"/>
  <c r="K808" i="3"/>
  <c r="I808" i="3"/>
  <c r="P808" i="3"/>
  <c r="N808" i="3"/>
  <c r="L808" i="3"/>
  <c r="J808" i="3"/>
  <c r="H808" i="3"/>
  <c r="A806" i="4"/>
  <c r="B806" i="4" s="1"/>
  <c r="C806" i="4" s="1"/>
  <c r="D806" i="4" s="1"/>
  <c r="P811" i="3"/>
  <c r="N811" i="3"/>
  <c r="L811" i="3"/>
  <c r="J811" i="3"/>
  <c r="H811" i="3"/>
  <c r="Q811" i="3"/>
  <c r="O811" i="3"/>
  <c r="M811" i="3"/>
  <c r="K811" i="3"/>
  <c r="I811" i="3"/>
  <c r="A807" i="4"/>
  <c r="B807" i="4" s="1"/>
  <c r="C807" i="4" s="1"/>
  <c r="D807" i="4" s="1"/>
  <c r="Q812" i="3"/>
  <c r="O812" i="3"/>
  <c r="M812" i="3"/>
  <c r="K812" i="3"/>
  <c r="I812" i="3"/>
  <c r="P812" i="3"/>
  <c r="N812" i="3"/>
  <c r="L812" i="3"/>
  <c r="J812" i="3"/>
  <c r="H812" i="3"/>
  <c r="A810" i="4"/>
  <c r="B810" i="4" s="1"/>
  <c r="C810" i="4" s="1"/>
  <c r="D810" i="4" s="1"/>
  <c r="P815" i="3"/>
  <c r="N815" i="3"/>
  <c r="L815" i="3"/>
  <c r="J815" i="3"/>
  <c r="H815" i="3"/>
  <c r="Q815" i="3"/>
  <c r="O815" i="3"/>
  <c r="M815" i="3"/>
  <c r="K815" i="3"/>
  <c r="I815" i="3"/>
  <c r="A811" i="4"/>
  <c r="B811" i="4" s="1"/>
  <c r="C811" i="4" s="1"/>
  <c r="D811" i="4" s="1"/>
  <c r="Q816" i="3"/>
  <c r="O816" i="3"/>
  <c r="M816" i="3"/>
  <c r="K816" i="3"/>
  <c r="I816" i="3"/>
  <c r="P816" i="3"/>
  <c r="N816" i="3"/>
  <c r="L816" i="3"/>
  <c r="J816" i="3"/>
  <c r="H816" i="3"/>
  <c r="A814" i="4"/>
  <c r="B814" i="4" s="1"/>
  <c r="C814" i="4" s="1"/>
  <c r="D814" i="4" s="1"/>
  <c r="P819" i="3"/>
  <c r="N819" i="3"/>
  <c r="L819" i="3"/>
  <c r="J819" i="3"/>
  <c r="H819" i="3"/>
  <c r="Q819" i="3"/>
  <c r="O819" i="3"/>
  <c r="M819" i="3"/>
  <c r="K819" i="3"/>
  <c r="I819" i="3"/>
  <c r="A815" i="4"/>
  <c r="B815" i="4" s="1"/>
  <c r="C815" i="4" s="1"/>
  <c r="D815" i="4" s="1"/>
  <c r="Q820" i="3"/>
  <c r="O820" i="3"/>
  <c r="M820" i="3"/>
  <c r="K820" i="3"/>
  <c r="I820" i="3"/>
  <c r="P820" i="3"/>
  <c r="N820" i="3"/>
  <c r="L820" i="3"/>
  <c r="J820" i="3"/>
  <c r="H820" i="3"/>
  <c r="A818" i="4"/>
  <c r="B818" i="4" s="1"/>
  <c r="C818" i="4" s="1"/>
  <c r="D818" i="4" s="1"/>
  <c r="P823" i="3"/>
  <c r="N823" i="3"/>
  <c r="L823" i="3"/>
  <c r="J823" i="3"/>
  <c r="H823" i="3"/>
  <c r="Q823" i="3"/>
  <c r="O823" i="3"/>
  <c r="M823" i="3"/>
  <c r="K823" i="3"/>
  <c r="I823" i="3"/>
  <c r="A819" i="4"/>
  <c r="B819" i="4" s="1"/>
  <c r="C819" i="4" s="1"/>
  <c r="D819" i="4" s="1"/>
  <c r="Q824" i="3"/>
  <c r="O824" i="3"/>
  <c r="M824" i="3"/>
  <c r="K824" i="3"/>
  <c r="I824" i="3"/>
  <c r="P824" i="3"/>
  <c r="N824" i="3"/>
  <c r="L824" i="3"/>
  <c r="J824" i="3"/>
  <c r="H824" i="3"/>
  <c r="A822" i="4"/>
  <c r="B822" i="4" s="1"/>
  <c r="C822" i="4" s="1"/>
  <c r="D822" i="4" s="1"/>
  <c r="P827" i="3"/>
  <c r="N827" i="3"/>
  <c r="L827" i="3"/>
  <c r="J827" i="3"/>
  <c r="H827" i="3"/>
  <c r="Q827" i="3"/>
  <c r="O827" i="3"/>
  <c r="M827" i="3"/>
  <c r="K827" i="3"/>
  <c r="I827" i="3"/>
  <c r="A823" i="4"/>
  <c r="B823" i="4" s="1"/>
  <c r="C823" i="4" s="1"/>
  <c r="D823" i="4" s="1"/>
  <c r="Q828" i="3"/>
  <c r="O828" i="3"/>
  <c r="M828" i="3"/>
  <c r="K828" i="3"/>
  <c r="I828" i="3"/>
  <c r="P828" i="3"/>
  <c r="N828" i="3"/>
  <c r="L828" i="3"/>
  <c r="J828" i="3"/>
  <c r="H828" i="3"/>
  <c r="A826" i="4"/>
  <c r="B826" i="4" s="1"/>
  <c r="C826" i="4" s="1"/>
  <c r="D826" i="4" s="1"/>
  <c r="P831" i="3"/>
  <c r="N831" i="3"/>
  <c r="L831" i="3"/>
  <c r="J831" i="3"/>
  <c r="H831" i="3"/>
  <c r="Q831" i="3"/>
  <c r="O831" i="3"/>
  <c r="M831" i="3"/>
  <c r="K831" i="3"/>
  <c r="I831" i="3"/>
  <c r="A827" i="4"/>
  <c r="B827" i="4" s="1"/>
  <c r="C827" i="4" s="1"/>
  <c r="D827" i="4" s="1"/>
  <c r="Q832" i="3"/>
  <c r="O832" i="3"/>
  <c r="M832" i="3"/>
  <c r="K832" i="3"/>
  <c r="I832" i="3"/>
  <c r="P832" i="3"/>
  <c r="N832" i="3"/>
  <c r="L832" i="3"/>
  <c r="J832" i="3"/>
  <c r="H832" i="3"/>
  <c r="P833" i="3"/>
  <c r="N833" i="3"/>
  <c r="L833" i="3"/>
  <c r="J833" i="3"/>
  <c r="H833" i="3"/>
  <c r="Q833" i="3"/>
  <c r="O833" i="3"/>
  <c r="M833" i="3"/>
  <c r="K833" i="3"/>
  <c r="I833" i="3"/>
  <c r="A829" i="4"/>
  <c r="B829" i="4" s="1"/>
  <c r="C829" i="4" s="1"/>
  <c r="D829" i="4" s="1"/>
  <c r="Q834" i="3"/>
  <c r="O834" i="3"/>
  <c r="M834" i="3"/>
  <c r="K834" i="3"/>
  <c r="I834" i="3"/>
  <c r="P834" i="3"/>
  <c r="N834" i="3"/>
  <c r="L834" i="3"/>
  <c r="J834" i="3"/>
  <c r="H834" i="3"/>
  <c r="P835" i="3"/>
  <c r="N835" i="3"/>
  <c r="L835" i="3"/>
  <c r="J835" i="3"/>
  <c r="H835" i="3"/>
  <c r="Q835" i="3"/>
  <c r="O835" i="3"/>
  <c r="M835" i="3"/>
  <c r="K835" i="3"/>
  <c r="I835" i="3"/>
  <c r="A831" i="4"/>
  <c r="B831" i="4" s="1"/>
  <c r="C831" i="4" s="1"/>
  <c r="D831" i="4" s="1"/>
  <c r="Q836" i="3"/>
  <c r="O836" i="3"/>
  <c r="M836" i="3"/>
  <c r="K836" i="3"/>
  <c r="I836" i="3"/>
  <c r="P836" i="3"/>
  <c r="N836" i="3"/>
  <c r="L836" i="3"/>
  <c r="J836" i="3"/>
  <c r="H836" i="3"/>
  <c r="P837" i="3"/>
  <c r="N837" i="3"/>
  <c r="L837" i="3"/>
  <c r="J837" i="3"/>
  <c r="H837" i="3"/>
  <c r="Q837" i="3"/>
  <c r="O837" i="3"/>
  <c r="M837" i="3"/>
  <c r="K837" i="3"/>
  <c r="I837" i="3"/>
  <c r="A833" i="4"/>
  <c r="B833" i="4" s="1"/>
  <c r="C833" i="4" s="1"/>
  <c r="D833" i="4" s="1"/>
  <c r="Q838" i="3"/>
  <c r="O838" i="3"/>
  <c r="M838" i="3"/>
  <c r="K838" i="3"/>
  <c r="I838" i="3"/>
  <c r="P838" i="3"/>
  <c r="N838" i="3"/>
  <c r="L838" i="3"/>
  <c r="J838" i="3"/>
  <c r="H838" i="3"/>
  <c r="P839" i="3"/>
  <c r="N839" i="3"/>
  <c r="L839" i="3"/>
  <c r="J839" i="3"/>
  <c r="H839" i="3"/>
  <c r="Q839" i="3"/>
  <c r="O839" i="3"/>
  <c r="M839" i="3"/>
  <c r="K839" i="3"/>
  <c r="I839" i="3"/>
  <c r="A835" i="4"/>
  <c r="B835" i="4" s="1"/>
  <c r="C835" i="4" s="1"/>
  <c r="D835" i="4" s="1"/>
  <c r="Q840" i="3"/>
  <c r="O840" i="3"/>
  <c r="M840" i="3"/>
  <c r="K840" i="3"/>
  <c r="I840" i="3"/>
  <c r="P840" i="3"/>
  <c r="N840" i="3"/>
  <c r="L840" i="3"/>
  <c r="J840" i="3"/>
  <c r="H840" i="3"/>
  <c r="P841" i="3"/>
  <c r="N841" i="3"/>
  <c r="L841" i="3"/>
  <c r="J841" i="3"/>
  <c r="H841" i="3"/>
  <c r="Q841" i="3"/>
  <c r="O841" i="3"/>
  <c r="M841" i="3"/>
  <c r="K841" i="3"/>
  <c r="I841" i="3"/>
  <c r="A837" i="4"/>
  <c r="B837" i="4" s="1"/>
  <c r="C837" i="4" s="1"/>
  <c r="D837" i="4" s="1"/>
  <c r="Q842" i="3"/>
  <c r="O842" i="3"/>
  <c r="M842" i="3"/>
  <c r="K842" i="3"/>
  <c r="I842" i="3"/>
  <c r="P842" i="3"/>
  <c r="N842" i="3"/>
  <c r="L842" i="3"/>
  <c r="J842" i="3"/>
  <c r="H842" i="3"/>
  <c r="P843" i="3"/>
  <c r="N843" i="3"/>
  <c r="L843" i="3"/>
  <c r="J843" i="3"/>
  <c r="H843" i="3"/>
  <c r="Q843" i="3"/>
  <c r="O843" i="3"/>
  <c r="M843" i="3"/>
  <c r="K843" i="3"/>
  <c r="I843" i="3"/>
  <c r="A839" i="4"/>
  <c r="B839" i="4" s="1"/>
  <c r="C839" i="4" s="1"/>
  <c r="D839" i="4" s="1"/>
  <c r="Q844" i="3"/>
  <c r="O844" i="3"/>
  <c r="M844" i="3"/>
  <c r="K844" i="3"/>
  <c r="I844" i="3"/>
  <c r="P844" i="3"/>
  <c r="N844" i="3"/>
  <c r="L844" i="3"/>
  <c r="J844" i="3"/>
  <c r="H844" i="3"/>
  <c r="P845" i="3"/>
  <c r="N845" i="3"/>
  <c r="L845" i="3"/>
  <c r="J845" i="3"/>
  <c r="H845" i="3"/>
  <c r="Q845" i="3"/>
  <c r="O845" i="3"/>
  <c r="M845" i="3"/>
  <c r="K845" i="3"/>
  <c r="I845" i="3"/>
  <c r="A841" i="4"/>
  <c r="B841" i="4" s="1"/>
  <c r="C841" i="4" s="1"/>
  <c r="D841" i="4" s="1"/>
  <c r="Q846" i="3"/>
  <c r="O846" i="3"/>
  <c r="M846" i="3"/>
  <c r="K846" i="3"/>
  <c r="I846" i="3"/>
  <c r="P846" i="3"/>
  <c r="N846" i="3"/>
  <c r="L846" i="3"/>
  <c r="J846" i="3"/>
  <c r="H846" i="3"/>
  <c r="P847" i="3"/>
  <c r="N847" i="3"/>
  <c r="L847" i="3"/>
  <c r="J847" i="3"/>
  <c r="H847" i="3"/>
  <c r="Q847" i="3"/>
  <c r="O847" i="3"/>
  <c r="M847" i="3"/>
  <c r="K847" i="3"/>
  <c r="I847" i="3"/>
  <c r="A843" i="4"/>
  <c r="B843" i="4" s="1"/>
  <c r="C843" i="4" s="1"/>
  <c r="D843" i="4" s="1"/>
  <c r="Q848" i="3"/>
  <c r="O848" i="3"/>
  <c r="M848" i="3"/>
  <c r="K848" i="3"/>
  <c r="I848" i="3"/>
  <c r="P848" i="3"/>
  <c r="N848" i="3"/>
  <c r="L848" i="3"/>
  <c r="J848" i="3"/>
  <c r="H848" i="3"/>
  <c r="P849" i="3"/>
  <c r="N849" i="3"/>
  <c r="L849" i="3"/>
  <c r="J849" i="3"/>
  <c r="H849" i="3"/>
  <c r="Q849" i="3"/>
  <c r="O849" i="3"/>
  <c r="M849" i="3"/>
  <c r="K849" i="3"/>
  <c r="I849" i="3"/>
  <c r="A845" i="4"/>
  <c r="B845" i="4" s="1"/>
  <c r="C845" i="4" s="1"/>
  <c r="D845" i="4" s="1"/>
  <c r="Q850" i="3"/>
  <c r="O850" i="3"/>
  <c r="M850" i="3"/>
  <c r="K850" i="3"/>
  <c r="I850" i="3"/>
  <c r="P850" i="3"/>
  <c r="N850" i="3"/>
  <c r="L850" i="3"/>
  <c r="J850" i="3"/>
  <c r="H850" i="3"/>
  <c r="P851" i="3"/>
  <c r="N851" i="3"/>
  <c r="L851" i="3"/>
  <c r="J851" i="3"/>
  <c r="H851" i="3"/>
  <c r="Q851" i="3"/>
  <c r="O851" i="3"/>
  <c r="M851" i="3"/>
  <c r="K851" i="3"/>
  <c r="I851" i="3"/>
  <c r="A847" i="4"/>
  <c r="B847" i="4" s="1"/>
  <c r="C847" i="4" s="1"/>
  <c r="D847" i="4" s="1"/>
  <c r="Q852" i="3"/>
  <c r="O852" i="3"/>
  <c r="M852" i="3"/>
  <c r="K852" i="3"/>
  <c r="I852" i="3"/>
  <c r="P852" i="3"/>
  <c r="N852" i="3"/>
  <c r="L852" i="3"/>
  <c r="J852" i="3"/>
  <c r="H852" i="3"/>
  <c r="P853" i="3"/>
  <c r="N853" i="3"/>
  <c r="L853" i="3"/>
  <c r="J853" i="3"/>
  <c r="H853" i="3"/>
  <c r="Q853" i="3"/>
  <c r="O853" i="3"/>
  <c r="M853" i="3"/>
  <c r="K853" i="3"/>
  <c r="I853" i="3"/>
  <c r="A849" i="4"/>
  <c r="B849" i="4" s="1"/>
  <c r="C849" i="4" s="1"/>
  <c r="D849" i="4" s="1"/>
  <c r="Q854" i="3"/>
  <c r="O854" i="3"/>
  <c r="M854" i="3"/>
  <c r="K854" i="3"/>
  <c r="I854" i="3"/>
  <c r="P854" i="3"/>
  <c r="N854" i="3"/>
  <c r="L854" i="3"/>
  <c r="J854" i="3"/>
  <c r="H854" i="3"/>
  <c r="P855" i="3"/>
  <c r="N855" i="3"/>
  <c r="L855" i="3"/>
  <c r="J855" i="3"/>
  <c r="H855" i="3"/>
  <c r="Q855" i="3"/>
  <c r="O855" i="3"/>
  <c r="M855" i="3"/>
  <c r="K855" i="3"/>
  <c r="I855" i="3"/>
  <c r="A851" i="4"/>
  <c r="B851" i="4" s="1"/>
  <c r="C851" i="4" s="1"/>
  <c r="D851" i="4" s="1"/>
  <c r="Q856" i="3"/>
  <c r="O856" i="3"/>
  <c r="M856" i="3"/>
  <c r="K856" i="3"/>
  <c r="I856" i="3"/>
  <c r="P856" i="3"/>
  <c r="N856" i="3"/>
  <c r="L856" i="3"/>
  <c r="J856" i="3"/>
  <c r="H856" i="3"/>
  <c r="P857" i="3"/>
  <c r="N857" i="3"/>
  <c r="L857" i="3"/>
  <c r="J857" i="3"/>
  <c r="H857" i="3"/>
  <c r="Q857" i="3"/>
  <c r="O857" i="3"/>
  <c r="M857" i="3"/>
  <c r="K857" i="3"/>
  <c r="I857" i="3"/>
  <c r="A853" i="4"/>
  <c r="B853" i="4" s="1"/>
  <c r="C853" i="4" s="1"/>
  <c r="D853" i="4" s="1"/>
  <c r="Q858" i="3"/>
  <c r="O858" i="3"/>
  <c r="M858" i="3"/>
  <c r="K858" i="3"/>
  <c r="I858" i="3"/>
  <c r="P858" i="3"/>
  <c r="N858" i="3"/>
  <c r="L858" i="3"/>
  <c r="J858" i="3"/>
  <c r="H858" i="3"/>
  <c r="P859" i="3"/>
  <c r="N859" i="3"/>
  <c r="L859" i="3"/>
  <c r="J859" i="3"/>
  <c r="H859" i="3"/>
  <c r="Q859" i="3"/>
  <c r="O859" i="3"/>
  <c r="M859" i="3"/>
  <c r="K859" i="3"/>
  <c r="I859" i="3"/>
  <c r="A855" i="4"/>
  <c r="B855" i="4" s="1"/>
  <c r="C855" i="4" s="1"/>
  <c r="D855" i="4" s="1"/>
  <c r="Q860" i="3"/>
  <c r="O860" i="3"/>
  <c r="M860" i="3"/>
  <c r="K860" i="3"/>
  <c r="I860" i="3"/>
  <c r="P860" i="3"/>
  <c r="N860" i="3"/>
  <c r="L860" i="3"/>
  <c r="J860" i="3"/>
  <c r="H860" i="3"/>
  <c r="P861" i="3"/>
  <c r="N861" i="3"/>
  <c r="L861" i="3"/>
  <c r="J861" i="3"/>
  <c r="H861" i="3"/>
  <c r="Q861" i="3"/>
  <c r="O861" i="3"/>
  <c r="M861" i="3"/>
  <c r="K861" i="3"/>
  <c r="I861" i="3"/>
  <c r="A857" i="4"/>
  <c r="B857" i="4" s="1"/>
  <c r="C857" i="4" s="1"/>
  <c r="D857" i="4" s="1"/>
  <c r="Q862" i="3"/>
  <c r="O862" i="3"/>
  <c r="M862" i="3"/>
  <c r="K862" i="3"/>
  <c r="I862" i="3"/>
  <c r="P862" i="3"/>
  <c r="N862" i="3"/>
  <c r="L862" i="3"/>
  <c r="J862" i="3"/>
  <c r="H862" i="3"/>
  <c r="P863" i="3"/>
  <c r="N863" i="3"/>
  <c r="L863" i="3"/>
  <c r="J863" i="3"/>
  <c r="H863" i="3"/>
  <c r="Q863" i="3"/>
  <c r="O863" i="3"/>
  <c r="M863" i="3"/>
  <c r="K863" i="3"/>
  <c r="I863" i="3"/>
  <c r="A859" i="4"/>
  <c r="B859" i="4" s="1"/>
  <c r="C859" i="4" s="1"/>
  <c r="D859" i="4" s="1"/>
  <c r="Q864" i="3"/>
  <c r="O864" i="3"/>
  <c r="M864" i="3"/>
  <c r="K864" i="3"/>
  <c r="I864" i="3"/>
  <c r="P864" i="3"/>
  <c r="N864" i="3"/>
  <c r="L864" i="3"/>
  <c r="J864" i="3"/>
  <c r="H864" i="3"/>
  <c r="P865" i="3"/>
  <c r="N865" i="3"/>
  <c r="L865" i="3"/>
  <c r="J865" i="3"/>
  <c r="H865" i="3"/>
  <c r="Q865" i="3"/>
  <c r="O865" i="3"/>
  <c r="M865" i="3"/>
  <c r="K865" i="3"/>
  <c r="I865" i="3"/>
  <c r="A861" i="4"/>
  <c r="B861" i="4" s="1"/>
  <c r="C861" i="4" s="1"/>
  <c r="D861" i="4" s="1"/>
  <c r="Q866" i="3"/>
  <c r="O866" i="3"/>
  <c r="M866" i="3"/>
  <c r="K866" i="3"/>
  <c r="I866" i="3"/>
  <c r="P866" i="3"/>
  <c r="N866" i="3"/>
  <c r="L866" i="3"/>
  <c r="J866" i="3"/>
  <c r="H866" i="3"/>
  <c r="P867" i="3"/>
  <c r="N867" i="3"/>
  <c r="L867" i="3"/>
  <c r="J867" i="3"/>
  <c r="H867" i="3"/>
  <c r="Q867" i="3"/>
  <c r="O867" i="3"/>
  <c r="M867" i="3"/>
  <c r="K867" i="3"/>
  <c r="I867" i="3"/>
  <c r="A863" i="4"/>
  <c r="B863" i="4" s="1"/>
  <c r="C863" i="4" s="1"/>
  <c r="D863" i="4" s="1"/>
  <c r="Q868" i="3"/>
  <c r="O868" i="3"/>
  <c r="M868" i="3"/>
  <c r="K868" i="3"/>
  <c r="I868" i="3"/>
  <c r="P868" i="3"/>
  <c r="N868" i="3"/>
  <c r="L868" i="3"/>
  <c r="J868" i="3"/>
  <c r="H868" i="3"/>
  <c r="P869" i="3"/>
  <c r="N869" i="3"/>
  <c r="L869" i="3"/>
  <c r="J869" i="3"/>
  <c r="H869" i="3"/>
  <c r="Q869" i="3"/>
  <c r="O869" i="3"/>
  <c r="M869" i="3"/>
  <c r="K869" i="3"/>
  <c r="I869" i="3"/>
  <c r="A865" i="4"/>
  <c r="B865" i="4" s="1"/>
  <c r="C865" i="4" s="1"/>
  <c r="D865" i="4" s="1"/>
  <c r="Q870" i="3"/>
  <c r="O870" i="3"/>
  <c r="M870" i="3"/>
  <c r="K870" i="3"/>
  <c r="I870" i="3"/>
  <c r="P870" i="3"/>
  <c r="N870" i="3"/>
  <c r="L870" i="3"/>
  <c r="J870" i="3"/>
  <c r="H870" i="3"/>
  <c r="P871" i="3"/>
  <c r="N871" i="3"/>
  <c r="L871" i="3"/>
  <c r="J871" i="3"/>
  <c r="H871" i="3"/>
  <c r="Q871" i="3"/>
  <c r="O871" i="3"/>
  <c r="M871" i="3"/>
  <c r="K871" i="3"/>
  <c r="I871" i="3"/>
  <c r="A867" i="4"/>
  <c r="B867" i="4" s="1"/>
  <c r="C867" i="4" s="1"/>
  <c r="D867" i="4" s="1"/>
  <c r="Q872" i="3"/>
  <c r="O872" i="3"/>
  <c r="M872" i="3"/>
  <c r="K872" i="3"/>
  <c r="I872" i="3"/>
  <c r="P872" i="3"/>
  <c r="N872" i="3"/>
  <c r="L872" i="3"/>
  <c r="J872" i="3"/>
  <c r="H872" i="3"/>
  <c r="P873" i="3"/>
  <c r="N873" i="3"/>
  <c r="L873" i="3"/>
  <c r="J873" i="3"/>
  <c r="H873" i="3"/>
  <c r="Q873" i="3"/>
  <c r="O873" i="3"/>
  <c r="M873" i="3"/>
  <c r="K873" i="3"/>
  <c r="I873" i="3"/>
  <c r="A869" i="4"/>
  <c r="B869" i="4" s="1"/>
  <c r="C869" i="4" s="1"/>
  <c r="D869" i="4" s="1"/>
  <c r="Q874" i="3"/>
  <c r="O874" i="3"/>
  <c r="M874" i="3"/>
  <c r="K874" i="3"/>
  <c r="I874" i="3"/>
  <c r="P874" i="3"/>
  <c r="N874" i="3"/>
  <c r="L874" i="3"/>
  <c r="J874" i="3"/>
  <c r="H874" i="3"/>
  <c r="P875" i="3"/>
  <c r="N875" i="3"/>
  <c r="L875" i="3"/>
  <c r="J875" i="3"/>
  <c r="H875" i="3"/>
  <c r="Q875" i="3"/>
  <c r="O875" i="3"/>
  <c r="M875" i="3"/>
  <c r="K875" i="3"/>
  <c r="I875" i="3"/>
  <c r="A871" i="4"/>
  <c r="B871" i="4" s="1"/>
  <c r="C871" i="4" s="1"/>
  <c r="D871" i="4" s="1"/>
  <c r="Q876" i="3"/>
  <c r="O876" i="3"/>
  <c r="M876" i="3"/>
  <c r="K876" i="3"/>
  <c r="I876" i="3"/>
  <c r="P876" i="3"/>
  <c r="N876" i="3"/>
  <c r="L876" i="3"/>
  <c r="J876" i="3"/>
  <c r="H876" i="3"/>
  <c r="P877" i="3"/>
  <c r="N877" i="3"/>
  <c r="L877" i="3"/>
  <c r="J877" i="3"/>
  <c r="H877" i="3"/>
  <c r="Q877" i="3"/>
  <c r="O877" i="3"/>
  <c r="M877" i="3"/>
  <c r="K877" i="3"/>
  <c r="I877" i="3"/>
  <c r="A873" i="4"/>
  <c r="B873" i="4" s="1"/>
  <c r="C873" i="4" s="1"/>
  <c r="D873" i="4" s="1"/>
  <c r="Q878" i="3"/>
  <c r="O878" i="3"/>
  <c r="M878" i="3"/>
  <c r="K878" i="3"/>
  <c r="I878" i="3"/>
  <c r="P878" i="3"/>
  <c r="N878" i="3"/>
  <c r="L878" i="3"/>
  <c r="J878" i="3"/>
  <c r="H878" i="3"/>
  <c r="P879" i="3"/>
  <c r="N879" i="3"/>
  <c r="L879" i="3"/>
  <c r="J879" i="3"/>
  <c r="H879" i="3"/>
  <c r="Q879" i="3"/>
  <c r="O879" i="3"/>
  <c r="M879" i="3"/>
  <c r="K879" i="3"/>
  <c r="I879" i="3"/>
  <c r="A875" i="4"/>
  <c r="B875" i="4" s="1"/>
  <c r="C875" i="4" s="1"/>
  <c r="D875" i="4" s="1"/>
  <c r="Q880" i="3"/>
  <c r="O880" i="3"/>
  <c r="M880" i="3"/>
  <c r="K880" i="3"/>
  <c r="I880" i="3"/>
  <c r="P880" i="3"/>
  <c r="N880" i="3"/>
  <c r="L880" i="3"/>
  <c r="J880" i="3"/>
  <c r="H880" i="3"/>
  <c r="P881" i="3"/>
  <c r="N881" i="3"/>
  <c r="L881" i="3"/>
  <c r="J881" i="3"/>
  <c r="H881" i="3"/>
  <c r="Q881" i="3"/>
  <c r="O881" i="3"/>
  <c r="M881" i="3"/>
  <c r="K881" i="3"/>
  <c r="I881" i="3"/>
  <c r="A877" i="4"/>
  <c r="B877" i="4" s="1"/>
  <c r="C877" i="4" s="1"/>
  <c r="D877" i="4" s="1"/>
  <c r="Q882" i="3"/>
  <c r="O882" i="3"/>
  <c r="M882" i="3"/>
  <c r="K882" i="3"/>
  <c r="I882" i="3"/>
  <c r="P882" i="3"/>
  <c r="N882" i="3"/>
  <c r="L882" i="3"/>
  <c r="J882" i="3"/>
  <c r="H882" i="3"/>
  <c r="P883" i="3"/>
  <c r="N883" i="3"/>
  <c r="L883" i="3"/>
  <c r="J883" i="3"/>
  <c r="H883" i="3"/>
  <c r="Q883" i="3"/>
  <c r="O883" i="3"/>
  <c r="M883" i="3"/>
  <c r="K883" i="3"/>
  <c r="I883" i="3"/>
  <c r="A879" i="4"/>
  <c r="B879" i="4" s="1"/>
  <c r="C879" i="4" s="1"/>
  <c r="D879" i="4" s="1"/>
  <c r="Q884" i="3"/>
  <c r="O884" i="3"/>
  <c r="M884" i="3"/>
  <c r="K884" i="3"/>
  <c r="I884" i="3"/>
  <c r="P884" i="3"/>
  <c r="N884" i="3"/>
  <c r="L884" i="3"/>
  <c r="J884" i="3"/>
  <c r="H884" i="3"/>
  <c r="P885" i="3"/>
  <c r="N885" i="3"/>
  <c r="L885" i="3"/>
  <c r="J885" i="3"/>
  <c r="H885" i="3"/>
  <c r="Q885" i="3"/>
  <c r="O885" i="3"/>
  <c r="M885" i="3"/>
  <c r="K885" i="3"/>
  <c r="I885" i="3"/>
  <c r="A881" i="4"/>
  <c r="B881" i="4" s="1"/>
  <c r="C881" i="4" s="1"/>
  <c r="D881" i="4" s="1"/>
  <c r="Q886" i="3"/>
  <c r="O886" i="3"/>
  <c r="M886" i="3"/>
  <c r="K886" i="3"/>
  <c r="I886" i="3"/>
  <c r="P886" i="3"/>
  <c r="N886" i="3"/>
  <c r="L886" i="3"/>
  <c r="J886" i="3"/>
  <c r="H886" i="3"/>
  <c r="P887" i="3"/>
  <c r="N887" i="3"/>
  <c r="L887" i="3"/>
  <c r="J887" i="3"/>
  <c r="H887" i="3"/>
  <c r="Q887" i="3"/>
  <c r="O887" i="3"/>
  <c r="M887" i="3"/>
  <c r="K887" i="3"/>
  <c r="I887" i="3"/>
  <c r="A883" i="4"/>
  <c r="B883" i="4" s="1"/>
  <c r="C883" i="4" s="1"/>
  <c r="D883" i="4" s="1"/>
  <c r="Q888" i="3"/>
  <c r="O888" i="3"/>
  <c r="M888" i="3"/>
  <c r="K888" i="3"/>
  <c r="I888" i="3"/>
  <c r="P888" i="3"/>
  <c r="N888" i="3"/>
  <c r="L888" i="3"/>
  <c r="J888" i="3"/>
  <c r="H888" i="3"/>
  <c r="P889" i="3"/>
  <c r="N889" i="3"/>
  <c r="L889" i="3"/>
  <c r="J889" i="3"/>
  <c r="H889" i="3"/>
  <c r="Q889" i="3"/>
  <c r="O889" i="3"/>
  <c r="M889" i="3"/>
  <c r="K889" i="3"/>
  <c r="I889" i="3"/>
  <c r="A885" i="4"/>
  <c r="B885" i="4" s="1"/>
  <c r="C885" i="4" s="1"/>
  <c r="D885" i="4" s="1"/>
  <c r="Q890" i="3"/>
  <c r="O890" i="3"/>
  <c r="M890" i="3"/>
  <c r="K890" i="3"/>
  <c r="I890" i="3"/>
  <c r="P890" i="3"/>
  <c r="N890" i="3"/>
  <c r="L890" i="3"/>
  <c r="J890" i="3"/>
  <c r="H890" i="3"/>
  <c r="P891" i="3"/>
  <c r="N891" i="3"/>
  <c r="L891" i="3"/>
  <c r="J891" i="3"/>
  <c r="H891" i="3"/>
  <c r="Q891" i="3"/>
  <c r="O891" i="3"/>
  <c r="M891" i="3"/>
  <c r="K891" i="3"/>
  <c r="I891" i="3"/>
  <c r="A887" i="4"/>
  <c r="B887" i="4" s="1"/>
  <c r="C887" i="4" s="1"/>
  <c r="D887" i="4" s="1"/>
  <c r="Q892" i="3"/>
  <c r="O892" i="3"/>
  <c r="M892" i="3"/>
  <c r="K892" i="3"/>
  <c r="I892" i="3"/>
  <c r="P892" i="3"/>
  <c r="N892" i="3"/>
  <c r="L892" i="3"/>
  <c r="J892" i="3"/>
  <c r="H892" i="3"/>
  <c r="P893" i="3"/>
  <c r="N893" i="3"/>
  <c r="L893" i="3"/>
  <c r="J893" i="3"/>
  <c r="H893" i="3"/>
  <c r="Q893" i="3"/>
  <c r="O893" i="3"/>
  <c r="M893" i="3"/>
  <c r="K893" i="3"/>
  <c r="I893" i="3"/>
  <c r="A889" i="4"/>
  <c r="B889" i="4" s="1"/>
  <c r="C889" i="4" s="1"/>
  <c r="D889" i="4" s="1"/>
  <c r="Q894" i="3"/>
  <c r="O894" i="3"/>
  <c r="M894" i="3"/>
  <c r="K894" i="3"/>
  <c r="I894" i="3"/>
  <c r="P894" i="3"/>
  <c r="N894" i="3"/>
  <c r="L894" i="3"/>
  <c r="J894" i="3"/>
  <c r="H894" i="3"/>
  <c r="P895" i="3"/>
  <c r="N895" i="3"/>
  <c r="L895" i="3"/>
  <c r="J895" i="3"/>
  <c r="H895" i="3"/>
  <c r="Q895" i="3"/>
  <c r="O895" i="3"/>
  <c r="M895" i="3"/>
  <c r="K895" i="3"/>
  <c r="I895" i="3"/>
  <c r="A891" i="4"/>
  <c r="B891" i="4" s="1"/>
  <c r="C891" i="4" s="1"/>
  <c r="D891" i="4" s="1"/>
  <c r="Q896" i="3"/>
  <c r="O896" i="3"/>
  <c r="M896" i="3"/>
  <c r="K896" i="3"/>
  <c r="I896" i="3"/>
  <c r="P896" i="3"/>
  <c r="N896" i="3"/>
  <c r="L896" i="3"/>
  <c r="J896" i="3"/>
  <c r="H896" i="3"/>
  <c r="P897" i="3"/>
  <c r="N897" i="3"/>
  <c r="L897" i="3"/>
  <c r="J897" i="3"/>
  <c r="H897" i="3"/>
  <c r="Q897" i="3"/>
  <c r="O897" i="3"/>
  <c r="M897" i="3"/>
  <c r="K897" i="3"/>
  <c r="I897" i="3"/>
  <c r="A893" i="4"/>
  <c r="B893" i="4" s="1"/>
  <c r="C893" i="4" s="1"/>
  <c r="D893" i="4" s="1"/>
  <c r="Q898" i="3"/>
  <c r="O898" i="3"/>
  <c r="M898" i="3"/>
  <c r="K898" i="3"/>
  <c r="I898" i="3"/>
  <c r="P898" i="3"/>
  <c r="N898" i="3"/>
  <c r="L898" i="3"/>
  <c r="J898" i="3"/>
  <c r="H898" i="3"/>
  <c r="P899" i="3"/>
  <c r="N899" i="3"/>
  <c r="L899" i="3"/>
  <c r="J899" i="3"/>
  <c r="H899" i="3"/>
  <c r="Q899" i="3"/>
  <c r="O899" i="3"/>
  <c r="M899" i="3"/>
  <c r="K899" i="3"/>
  <c r="I899" i="3"/>
  <c r="A895" i="4"/>
  <c r="B895" i="4" s="1"/>
  <c r="C895" i="4" s="1"/>
  <c r="D895" i="4" s="1"/>
  <c r="Q900" i="3"/>
  <c r="O900" i="3"/>
  <c r="M900" i="3"/>
  <c r="K900" i="3"/>
  <c r="I900" i="3"/>
  <c r="P900" i="3"/>
  <c r="N900" i="3"/>
  <c r="L900" i="3"/>
  <c r="J900" i="3"/>
  <c r="H900" i="3"/>
  <c r="P901" i="3"/>
  <c r="N901" i="3"/>
  <c r="L901" i="3"/>
  <c r="J901" i="3"/>
  <c r="H901" i="3"/>
  <c r="Q901" i="3"/>
  <c r="O901" i="3"/>
  <c r="M901" i="3"/>
  <c r="K901" i="3"/>
  <c r="I901" i="3"/>
  <c r="A897" i="4"/>
  <c r="B897" i="4" s="1"/>
  <c r="C897" i="4" s="1"/>
  <c r="D897" i="4" s="1"/>
  <c r="Q902" i="3"/>
  <c r="O902" i="3"/>
  <c r="M902" i="3"/>
  <c r="K902" i="3"/>
  <c r="I902" i="3"/>
  <c r="P902" i="3"/>
  <c r="N902" i="3"/>
  <c r="L902" i="3"/>
  <c r="J902" i="3"/>
  <c r="H902" i="3"/>
  <c r="P903" i="3"/>
  <c r="N903" i="3"/>
  <c r="L903" i="3"/>
  <c r="J903" i="3"/>
  <c r="H903" i="3"/>
  <c r="Q903" i="3"/>
  <c r="O903" i="3"/>
  <c r="M903" i="3"/>
  <c r="K903" i="3"/>
  <c r="I903" i="3"/>
  <c r="A899" i="4"/>
  <c r="B899" i="4" s="1"/>
  <c r="C899" i="4" s="1"/>
  <c r="D899" i="4" s="1"/>
  <c r="Q904" i="3"/>
  <c r="O904" i="3"/>
  <c r="M904" i="3"/>
  <c r="K904" i="3"/>
  <c r="I904" i="3"/>
  <c r="P904" i="3"/>
  <c r="N904" i="3"/>
  <c r="L904" i="3"/>
  <c r="J904" i="3"/>
  <c r="H904" i="3"/>
  <c r="P905" i="3"/>
  <c r="N905" i="3"/>
  <c r="L905" i="3"/>
  <c r="J905" i="3"/>
  <c r="H905" i="3"/>
  <c r="Q905" i="3"/>
  <c r="O905" i="3"/>
  <c r="M905" i="3"/>
  <c r="K905" i="3"/>
  <c r="I905" i="3"/>
  <c r="A901" i="4"/>
  <c r="B901" i="4" s="1"/>
  <c r="C901" i="4" s="1"/>
  <c r="D901" i="4" s="1"/>
  <c r="Q906" i="3"/>
  <c r="O906" i="3"/>
  <c r="M906" i="3"/>
  <c r="K906" i="3"/>
  <c r="I906" i="3"/>
  <c r="P906" i="3"/>
  <c r="N906" i="3"/>
  <c r="L906" i="3"/>
  <c r="J906" i="3"/>
  <c r="H906" i="3"/>
  <c r="P907" i="3"/>
  <c r="N907" i="3"/>
  <c r="L907" i="3"/>
  <c r="J907" i="3"/>
  <c r="H907" i="3"/>
  <c r="Q907" i="3"/>
  <c r="O907" i="3"/>
  <c r="M907" i="3"/>
  <c r="K907" i="3"/>
  <c r="I907" i="3"/>
  <c r="A903" i="4"/>
  <c r="B903" i="4" s="1"/>
  <c r="C903" i="4" s="1"/>
  <c r="D903" i="4" s="1"/>
  <c r="Q908" i="3"/>
  <c r="O908" i="3"/>
  <c r="M908" i="3"/>
  <c r="K908" i="3"/>
  <c r="I908" i="3"/>
  <c r="P908" i="3"/>
  <c r="N908" i="3"/>
  <c r="L908" i="3"/>
  <c r="J908" i="3"/>
  <c r="H908" i="3"/>
  <c r="P909" i="3"/>
  <c r="N909" i="3"/>
  <c r="L909" i="3"/>
  <c r="J909" i="3"/>
  <c r="H909" i="3"/>
  <c r="Q909" i="3"/>
  <c r="O909" i="3"/>
  <c r="M909" i="3"/>
  <c r="K909" i="3"/>
  <c r="I909" i="3"/>
  <c r="A905" i="4"/>
  <c r="B905" i="4" s="1"/>
  <c r="C905" i="4" s="1"/>
  <c r="D905" i="4" s="1"/>
  <c r="Q910" i="3"/>
  <c r="O910" i="3"/>
  <c r="M910" i="3"/>
  <c r="K910" i="3"/>
  <c r="I910" i="3"/>
  <c r="P910" i="3"/>
  <c r="N910" i="3"/>
  <c r="L910" i="3"/>
  <c r="J910" i="3"/>
  <c r="H910" i="3"/>
  <c r="P911" i="3"/>
  <c r="N911" i="3"/>
  <c r="L911" i="3"/>
  <c r="J911" i="3"/>
  <c r="H911" i="3"/>
  <c r="Q911" i="3"/>
  <c r="O911" i="3"/>
  <c r="M911" i="3"/>
  <c r="K911" i="3"/>
  <c r="I911" i="3"/>
  <c r="A907" i="4"/>
  <c r="B907" i="4" s="1"/>
  <c r="C907" i="4" s="1"/>
  <c r="D907" i="4" s="1"/>
  <c r="Q912" i="3"/>
  <c r="O912" i="3"/>
  <c r="M912" i="3"/>
  <c r="K912" i="3"/>
  <c r="I912" i="3"/>
  <c r="P912" i="3"/>
  <c r="N912" i="3"/>
  <c r="L912" i="3"/>
  <c r="J912" i="3"/>
  <c r="H912" i="3"/>
  <c r="P913" i="3"/>
  <c r="N913" i="3"/>
  <c r="L913" i="3"/>
  <c r="J913" i="3"/>
  <c r="H913" i="3"/>
  <c r="Q913" i="3"/>
  <c r="O913" i="3"/>
  <c r="M913" i="3"/>
  <c r="K913" i="3"/>
  <c r="I913" i="3"/>
  <c r="A909" i="4"/>
  <c r="B909" i="4" s="1"/>
  <c r="C909" i="4" s="1"/>
  <c r="D909" i="4" s="1"/>
  <c r="Q914" i="3"/>
  <c r="O914" i="3"/>
  <c r="M914" i="3"/>
  <c r="K914" i="3"/>
  <c r="I914" i="3"/>
  <c r="P914" i="3"/>
  <c r="N914" i="3"/>
  <c r="L914" i="3"/>
  <c r="J914" i="3"/>
  <c r="H914" i="3"/>
  <c r="P915" i="3"/>
  <c r="N915" i="3"/>
  <c r="L915" i="3"/>
  <c r="J915" i="3"/>
  <c r="H915" i="3"/>
  <c r="Q915" i="3"/>
  <c r="O915" i="3"/>
  <c r="M915" i="3"/>
  <c r="K915" i="3"/>
  <c r="I915" i="3"/>
  <c r="A911" i="4"/>
  <c r="B911" i="4" s="1"/>
  <c r="C911" i="4" s="1"/>
  <c r="D911" i="4" s="1"/>
  <c r="Q916" i="3"/>
  <c r="O916" i="3"/>
  <c r="M916" i="3"/>
  <c r="K916" i="3"/>
  <c r="I916" i="3"/>
  <c r="P916" i="3"/>
  <c r="N916" i="3"/>
  <c r="L916" i="3"/>
  <c r="J916" i="3"/>
  <c r="H916" i="3"/>
  <c r="P917" i="3"/>
  <c r="N917" i="3"/>
  <c r="L917" i="3"/>
  <c r="J917" i="3"/>
  <c r="H917" i="3"/>
  <c r="Q917" i="3"/>
  <c r="O917" i="3"/>
  <c r="M917" i="3"/>
  <c r="K917" i="3"/>
  <c r="I917" i="3"/>
  <c r="A913" i="4"/>
  <c r="B913" i="4" s="1"/>
  <c r="C913" i="4" s="1"/>
  <c r="D913" i="4" s="1"/>
  <c r="Q918" i="3"/>
  <c r="O918" i="3"/>
  <c r="M918" i="3"/>
  <c r="K918" i="3"/>
  <c r="I918" i="3"/>
  <c r="P918" i="3"/>
  <c r="N918" i="3"/>
  <c r="L918" i="3"/>
  <c r="J918" i="3"/>
  <c r="H918" i="3"/>
  <c r="P919" i="3"/>
  <c r="N919" i="3"/>
  <c r="L919" i="3"/>
  <c r="J919" i="3"/>
  <c r="H919" i="3"/>
  <c r="Q919" i="3"/>
  <c r="O919" i="3"/>
  <c r="M919" i="3"/>
  <c r="K919" i="3"/>
  <c r="I919" i="3"/>
  <c r="A915" i="4"/>
  <c r="B915" i="4" s="1"/>
  <c r="C915" i="4" s="1"/>
  <c r="D915" i="4" s="1"/>
  <c r="Q920" i="3"/>
  <c r="O920" i="3"/>
  <c r="M920" i="3"/>
  <c r="K920" i="3"/>
  <c r="I920" i="3"/>
  <c r="P920" i="3"/>
  <c r="N920" i="3"/>
  <c r="L920" i="3"/>
  <c r="J920" i="3"/>
  <c r="H920" i="3"/>
  <c r="P921" i="3"/>
  <c r="N921" i="3"/>
  <c r="L921" i="3"/>
  <c r="J921" i="3"/>
  <c r="H921" i="3"/>
  <c r="Q921" i="3"/>
  <c r="O921" i="3"/>
  <c r="M921" i="3"/>
  <c r="K921" i="3"/>
  <c r="I921" i="3"/>
  <c r="A917" i="4"/>
  <c r="B917" i="4" s="1"/>
  <c r="C917" i="4" s="1"/>
  <c r="D917" i="4" s="1"/>
  <c r="Q922" i="3"/>
  <c r="O922" i="3"/>
  <c r="M922" i="3"/>
  <c r="K922" i="3"/>
  <c r="I922" i="3"/>
  <c r="P922" i="3"/>
  <c r="N922" i="3"/>
  <c r="L922" i="3"/>
  <c r="J922" i="3"/>
  <c r="H922" i="3"/>
  <c r="P923" i="3"/>
  <c r="N923" i="3"/>
  <c r="L923" i="3"/>
  <c r="J923" i="3"/>
  <c r="H923" i="3"/>
  <c r="Q923" i="3"/>
  <c r="O923" i="3"/>
  <c r="M923" i="3"/>
  <c r="K923" i="3"/>
  <c r="I923" i="3"/>
  <c r="A919" i="4"/>
  <c r="B919" i="4" s="1"/>
  <c r="C919" i="4" s="1"/>
  <c r="D919" i="4" s="1"/>
  <c r="Q924" i="3"/>
  <c r="O924" i="3"/>
  <c r="M924" i="3"/>
  <c r="K924" i="3"/>
  <c r="I924" i="3"/>
  <c r="P924" i="3"/>
  <c r="N924" i="3"/>
  <c r="L924" i="3"/>
  <c r="J924" i="3"/>
  <c r="H924" i="3"/>
  <c r="P925" i="3"/>
  <c r="N925" i="3"/>
  <c r="L925" i="3"/>
  <c r="J925" i="3"/>
  <c r="H925" i="3"/>
  <c r="Q925" i="3"/>
  <c r="O925" i="3"/>
  <c r="M925" i="3"/>
  <c r="K925" i="3"/>
  <c r="I925" i="3"/>
  <c r="A921" i="4"/>
  <c r="B921" i="4" s="1"/>
  <c r="C921" i="4" s="1"/>
  <c r="D921" i="4" s="1"/>
  <c r="Q926" i="3"/>
  <c r="O926" i="3"/>
  <c r="M926" i="3"/>
  <c r="K926" i="3"/>
  <c r="I926" i="3"/>
  <c r="P926" i="3"/>
  <c r="N926" i="3"/>
  <c r="L926" i="3"/>
  <c r="J926" i="3"/>
  <c r="H926" i="3"/>
  <c r="P927" i="3"/>
  <c r="N927" i="3"/>
  <c r="L927" i="3"/>
  <c r="J927" i="3"/>
  <c r="H927" i="3"/>
  <c r="Q927" i="3"/>
  <c r="O927" i="3"/>
  <c r="M927" i="3"/>
  <c r="K927" i="3"/>
  <c r="I927" i="3"/>
  <c r="A923" i="4"/>
  <c r="B923" i="4" s="1"/>
  <c r="C923" i="4" s="1"/>
  <c r="D923" i="4" s="1"/>
  <c r="Q928" i="3"/>
  <c r="O928" i="3"/>
  <c r="M928" i="3"/>
  <c r="K928" i="3"/>
  <c r="I928" i="3"/>
  <c r="P928" i="3"/>
  <c r="N928" i="3"/>
  <c r="L928" i="3"/>
  <c r="J928" i="3"/>
  <c r="H928" i="3"/>
  <c r="P929" i="3"/>
  <c r="N929" i="3"/>
  <c r="L929" i="3"/>
  <c r="J929" i="3"/>
  <c r="H929" i="3"/>
  <c r="Q929" i="3"/>
  <c r="O929" i="3"/>
  <c r="M929" i="3"/>
  <c r="K929" i="3"/>
  <c r="I929" i="3"/>
  <c r="A925" i="4"/>
  <c r="B925" i="4" s="1"/>
  <c r="C925" i="4" s="1"/>
  <c r="D925" i="4" s="1"/>
  <c r="Q930" i="3"/>
  <c r="O930" i="3"/>
  <c r="M930" i="3"/>
  <c r="K930" i="3"/>
  <c r="I930" i="3"/>
  <c r="P930" i="3"/>
  <c r="N930" i="3"/>
  <c r="L930" i="3"/>
  <c r="J930" i="3"/>
  <c r="H930" i="3"/>
  <c r="P931" i="3"/>
  <c r="N931" i="3"/>
  <c r="L931" i="3"/>
  <c r="J931" i="3"/>
  <c r="H931" i="3"/>
  <c r="Q931" i="3"/>
  <c r="O931" i="3"/>
  <c r="M931" i="3"/>
  <c r="K931" i="3"/>
  <c r="I931" i="3"/>
  <c r="A927" i="4"/>
  <c r="B927" i="4" s="1"/>
  <c r="C927" i="4" s="1"/>
  <c r="D927" i="4" s="1"/>
  <c r="Q932" i="3"/>
  <c r="O932" i="3"/>
  <c r="M932" i="3"/>
  <c r="K932" i="3"/>
  <c r="I932" i="3"/>
  <c r="P932" i="3"/>
  <c r="N932" i="3"/>
  <c r="L932" i="3"/>
  <c r="J932" i="3"/>
  <c r="H932" i="3"/>
  <c r="P933" i="3"/>
  <c r="N933" i="3"/>
  <c r="L933" i="3"/>
  <c r="J933" i="3"/>
  <c r="H933" i="3"/>
  <c r="Q933" i="3"/>
  <c r="O933" i="3"/>
  <c r="M933" i="3"/>
  <c r="K933" i="3"/>
  <c r="I933" i="3"/>
  <c r="A929" i="4"/>
  <c r="B929" i="4" s="1"/>
  <c r="C929" i="4" s="1"/>
  <c r="D929" i="4" s="1"/>
  <c r="Q934" i="3"/>
  <c r="O934" i="3"/>
  <c r="M934" i="3"/>
  <c r="K934" i="3"/>
  <c r="I934" i="3"/>
  <c r="P934" i="3"/>
  <c r="N934" i="3"/>
  <c r="L934" i="3"/>
  <c r="J934" i="3"/>
  <c r="H934" i="3"/>
  <c r="P935" i="3"/>
  <c r="N935" i="3"/>
  <c r="L935" i="3"/>
  <c r="J935" i="3"/>
  <c r="H935" i="3"/>
  <c r="Q935" i="3"/>
  <c r="O935" i="3"/>
  <c r="M935" i="3"/>
  <c r="K935" i="3"/>
  <c r="I935" i="3"/>
  <c r="A931" i="4"/>
  <c r="B931" i="4" s="1"/>
  <c r="C931" i="4" s="1"/>
  <c r="D931" i="4" s="1"/>
  <c r="Q936" i="3"/>
  <c r="O936" i="3"/>
  <c r="M936" i="3"/>
  <c r="K936" i="3"/>
  <c r="I936" i="3"/>
  <c r="P936" i="3"/>
  <c r="N936" i="3"/>
  <c r="L936" i="3"/>
  <c r="J936" i="3"/>
  <c r="H936" i="3"/>
  <c r="P937" i="3"/>
  <c r="N937" i="3"/>
  <c r="L937" i="3"/>
  <c r="J937" i="3"/>
  <c r="H937" i="3"/>
  <c r="Q937" i="3"/>
  <c r="O937" i="3"/>
  <c r="M937" i="3"/>
  <c r="K937" i="3"/>
  <c r="I937" i="3"/>
  <c r="A933" i="4"/>
  <c r="B933" i="4" s="1"/>
  <c r="C933" i="4" s="1"/>
  <c r="D933" i="4" s="1"/>
  <c r="Q938" i="3"/>
  <c r="O938" i="3"/>
  <c r="M938" i="3"/>
  <c r="K938" i="3"/>
  <c r="I938" i="3"/>
  <c r="P938" i="3"/>
  <c r="N938" i="3"/>
  <c r="L938" i="3"/>
  <c r="J938" i="3"/>
  <c r="H938" i="3"/>
  <c r="P939" i="3"/>
  <c r="N939" i="3"/>
  <c r="L939" i="3"/>
  <c r="J939" i="3"/>
  <c r="H939" i="3"/>
  <c r="Q939" i="3"/>
  <c r="O939" i="3"/>
  <c r="M939" i="3"/>
  <c r="K939" i="3"/>
  <c r="I939" i="3"/>
  <c r="A935" i="4"/>
  <c r="B935" i="4" s="1"/>
  <c r="C935" i="4" s="1"/>
  <c r="D935" i="4" s="1"/>
  <c r="Q940" i="3"/>
  <c r="O940" i="3"/>
  <c r="M940" i="3"/>
  <c r="K940" i="3"/>
  <c r="I940" i="3"/>
  <c r="P940" i="3"/>
  <c r="N940" i="3"/>
  <c r="L940" i="3"/>
  <c r="J940" i="3"/>
  <c r="H940" i="3"/>
  <c r="P941" i="3"/>
  <c r="N941" i="3"/>
  <c r="L941" i="3"/>
  <c r="J941" i="3"/>
  <c r="H941" i="3"/>
  <c r="Q941" i="3"/>
  <c r="O941" i="3"/>
  <c r="M941" i="3"/>
  <c r="K941" i="3"/>
  <c r="I941" i="3"/>
  <c r="A937" i="4"/>
  <c r="B937" i="4" s="1"/>
  <c r="C937" i="4" s="1"/>
  <c r="D937" i="4" s="1"/>
  <c r="Q942" i="3"/>
  <c r="O942" i="3"/>
  <c r="M942" i="3"/>
  <c r="K942" i="3"/>
  <c r="I942" i="3"/>
  <c r="P942" i="3"/>
  <c r="N942" i="3"/>
  <c r="L942" i="3"/>
  <c r="J942" i="3"/>
  <c r="H942" i="3"/>
  <c r="P943" i="3"/>
  <c r="N943" i="3"/>
  <c r="L943" i="3"/>
  <c r="J943" i="3"/>
  <c r="H943" i="3"/>
  <c r="Q943" i="3"/>
  <c r="O943" i="3"/>
  <c r="M943" i="3"/>
  <c r="K943" i="3"/>
  <c r="I943" i="3"/>
  <c r="A939" i="4"/>
  <c r="B939" i="4" s="1"/>
  <c r="C939" i="4" s="1"/>
  <c r="D939" i="4" s="1"/>
  <c r="Q944" i="3"/>
  <c r="O944" i="3"/>
  <c r="M944" i="3"/>
  <c r="K944" i="3"/>
  <c r="I944" i="3"/>
  <c r="P944" i="3"/>
  <c r="N944" i="3"/>
  <c r="L944" i="3"/>
  <c r="J944" i="3"/>
  <c r="H944" i="3"/>
  <c r="P945" i="3"/>
  <c r="N945" i="3"/>
  <c r="L945" i="3"/>
  <c r="J945" i="3"/>
  <c r="H945" i="3"/>
  <c r="Q945" i="3"/>
  <c r="O945" i="3"/>
  <c r="M945" i="3"/>
  <c r="K945" i="3"/>
  <c r="I945" i="3"/>
  <c r="A941" i="4"/>
  <c r="B941" i="4" s="1"/>
  <c r="C941" i="4" s="1"/>
  <c r="D941" i="4" s="1"/>
  <c r="Q946" i="3"/>
  <c r="O946" i="3"/>
  <c r="M946" i="3"/>
  <c r="K946" i="3"/>
  <c r="I946" i="3"/>
  <c r="P946" i="3"/>
  <c r="N946" i="3"/>
  <c r="L946" i="3"/>
  <c r="J946" i="3"/>
  <c r="H946" i="3"/>
  <c r="P947" i="3"/>
  <c r="N947" i="3"/>
  <c r="L947" i="3"/>
  <c r="J947" i="3"/>
  <c r="H947" i="3"/>
  <c r="Q947" i="3"/>
  <c r="O947" i="3"/>
  <c r="M947" i="3"/>
  <c r="K947" i="3"/>
  <c r="I947" i="3"/>
  <c r="A943" i="4"/>
  <c r="B943" i="4" s="1"/>
  <c r="C943" i="4" s="1"/>
  <c r="D943" i="4" s="1"/>
  <c r="Q948" i="3"/>
  <c r="O948" i="3"/>
  <c r="M948" i="3"/>
  <c r="K948" i="3"/>
  <c r="I948" i="3"/>
  <c r="P948" i="3"/>
  <c r="N948" i="3"/>
  <c r="L948" i="3"/>
  <c r="J948" i="3"/>
  <c r="H948" i="3"/>
  <c r="P949" i="3"/>
  <c r="N949" i="3"/>
  <c r="L949" i="3"/>
  <c r="J949" i="3"/>
  <c r="H949" i="3"/>
  <c r="Q949" i="3"/>
  <c r="O949" i="3"/>
  <c r="M949" i="3"/>
  <c r="K949" i="3"/>
  <c r="I949" i="3"/>
  <c r="A945" i="4"/>
  <c r="B945" i="4" s="1"/>
  <c r="C945" i="4" s="1"/>
  <c r="D945" i="4" s="1"/>
  <c r="Q950" i="3"/>
  <c r="O950" i="3"/>
  <c r="M950" i="3"/>
  <c r="K950" i="3"/>
  <c r="I950" i="3"/>
  <c r="P950" i="3"/>
  <c r="N950" i="3"/>
  <c r="L950" i="3"/>
  <c r="J950" i="3"/>
  <c r="H950" i="3"/>
  <c r="P951" i="3"/>
  <c r="N951" i="3"/>
  <c r="L951" i="3"/>
  <c r="J951" i="3"/>
  <c r="H951" i="3"/>
  <c r="Q951" i="3"/>
  <c r="O951" i="3"/>
  <c r="M951" i="3"/>
  <c r="K951" i="3"/>
  <c r="I951" i="3"/>
  <c r="A947" i="4"/>
  <c r="B947" i="4" s="1"/>
  <c r="C947" i="4" s="1"/>
  <c r="D947" i="4" s="1"/>
  <c r="Q952" i="3"/>
  <c r="O952" i="3"/>
  <c r="M952" i="3"/>
  <c r="K952" i="3"/>
  <c r="I952" i="3"/>
  <c r="P952" i="3"/>
  <c r="N952" i="3"/>
  <c r="L952" i="3"/>
  <c r="J952" i="3"/>
  <c r="H952" i="3"/>
  <c r="P953" i="3"/>
  <c r="N953" i="3"/>
  <c r="L953" i="3"/>
  <c r="J953" i="3"/>
  <c r="H953" i="3"/>
  <c r="Q953" i="3"/>
  <c r="O953" i="3"/>
  <c r="M953" i="3"/>
  <c r="K953" i="3"/>
  <c r="I953" i="3"/>
  <c r="A949" i="4"/>
  <c r="B949" i="4" s="1"/>
  <c r="C949" i="4" s="1"/>
  <c r="D949" i="4" s="1"/>
  <c r="Q954" i="3"/>
  <c r="O954" i="3"/>
  <c r="M954" i="3"/>
  <c r="K954" i="3"/>
  <c r="I954" i="3"/>
  <c r="P954" i="3"/>
  <c r="N954" i="3"/>
  <c r="L954" i="3"/>
  <c r="J954" i="3"/>
  <c r="H954" i="3"/>
  <c r="P955" i="3"/>
  <c r="N955" i="3"/>
  <c r="L955" i="3"/>
  <c r="J955" i="3"/>
  <c r="H955" i="3"/>
  <c r="Q955" i="3"/>
  <c r="O955" i="3"/>
  <c r="M955" i="3"/>
  <c r="K955" i="3"/>
  <c r="I955" i="3"/>
  <c r="A951" i="4"/>
  <c r="B951" i="4" s="1"/>
  <c r="C951" i="4" s="1"/>
  <c r="D951" i="4" s="1"/>
  <c r="Q956" i="3"/>
  <c r="O956" i="3"/>
  <c r="M956" i="3"/>
  <c r="K956" i="3"/>
  <c r="I956" i="3"/>
  <c r="P956" i="3"/>
  <c r="N956" i="3"/>
  <c r="L956" i="3"/>
  <c r="J956" i="3"/>
  <c r="H956" i="3"/>
  <c r="P957" i="3"/>
  <c r="N957" i="3"/>
  <c r="L957" i="3"/>
  <c r="J957" i="3"/>
  <c r="H957" i="3"/>
  <c r="Q957" i="3"/>
  <c r="O957" i="3"/>
  <c r="M957" i="3"/>
  <c r="K957" i="3"/>
  <c r="I957" i="3"/>
  <c r="A953" i="4"/>
  <c r="B953" i="4" s="1"/>
  <c r="C953" i="4" s="1"/>
  <c r="D953" i="4" s="1"/>
  <c r="Q958" i="3"/>
  <c r="O958" i="3"/>
  <c r="M958" i="3"/>
  <c r="K958" i="3"/>
  <c r="I958" i="3"/>
  <c r="P958" i="3"/>
  <c r="N958" i="3"/>
  <c r="L958" i="3"/>
  <c r="J958" i="3"/>
  <c r="H958" i="3"/>
  <c r="P959" i="3"/>
  <c r="N959" i="3"/>
  <c r="L959" i="3"/>
  <c r="J959" i="3"/>
  <c r="H959" i="3"/>
  <c r="Q959" i="3"/>
  <c r="O959" i="3"/>
  <c r="M959" i="3"/>
  <c r="K959" i="3"/>
  <c r="I959" i="3"/>
  <c r="A955" i="4"/>
  <c r="B955" i="4" s="1"/>
  <c r="C955" i="4" s="1"/>
  <c r="D955" i="4" s="1"/>
  <c r="Q960" i="3"/>
  <c r="O960" i="3"/>
  <c r="M960" i="3"/>
  <c r="K960" i="3"/>
  <c r="I960" i="3"/>
  <c r="P960" i="3"/>
  <c r="N960" i="3"/>
  <c r="L960" i="3"/>
  <c r="J960" i="3"/>
  <c r="H960" i="3"/>
  <c r="P961" i="3"/>
  <c r="N961" i="3"/>
  <c r="L961" i="3"/>
  <c r="J961" i="3"/>
  <c r="H961" i="3"/>
  <c r="Q961" i="3"/>
  <c r="O961" i="3"/>
  <c r="M961" i="3"/>
  <c r="K961" i="3"/>
  <c r="I961" i="3"/>
  <c r="A957" i="4"/>
  <c r="B957" i="4" s="1"/>
  <c r="C957" i="4" s="1"/>
  <c r="D957" i="4" s="1"/>
  <c r="Q962" i="3"/>
  <c r="O962" i="3"/>
  <c r="M962" i="3"/>
  <c r="K962" i="3"/>
  <c r="I962" i="3"/>
  <c r="P962" i="3"/>
  <c r="N962" i="3"/>
  <c r="L962" i="3"/>
  <c r="J962" i="3"/>
  <c r="H962" i="3"/>
  <c r="P963" i="3"/>
  <c r="N963" i="3"/>
  <c r="L963" i="3"/>
  <c r="J963" i="3"/>
  <c r="H963" i="3"/>
  <c r="Q963" i="3"/>
  <c r="O963" i="3"/>
  <c r="M963" i="3"/>
  <c r="K963" i="3"/>
  <c r="I963" i="3"/>
  <c r="A959" i="4"/>
  <c r="B959" i="4" s="1"/>
  <c r="C959" i="4" s="1"/>
  <c r="D959" i="4" s="1"/>
  <c r="Q964" i="3"/>
  <c r="O964" i="3"/>
  <c r="M964" i="3"/>
  <c r="K964" i="3"/>
  <c r="I964" i="3"/>
  <c r="P964" i="3"/>
  <c r="N964" i="3"/>
  <c r="L964" i="3"/>
  <c r="J964" i="3"/>
  <c r="H964" i="3"/>
  <c r="P965" i="3"/>
  <c r="N965" i="3"/>
  <c r="L965" i="3"/>
  <c r="J965" i="3"/>
  <c r="H965" i="3"/>
  <c r="Q965" i="3"/>
  <c r="O965" i="3"/>
  <c r="M965" i="3"/>
  <c r="K965" i="3"/>
  <c r="I965" i="3"/>
  <c r="A961" i="4"/>
  <c r="B961" i="4" s="1"/>
  <c r="C961" i="4" s="1"/>
  <c r="D961" i="4" s="1"/>
  <c r="Q966" i="3"/>
  <c r="O966" i="3"/>
  <c r="M966" i="3"/>
  <c r="K966" i="3"/>
  <c r="I966" i="3"/>
  <c r="P966" i="3"/>
  <c r="N966" i="3"/>
  <c r="L966" i="3"/>
  <c r="J966" i="3"/>
  <c r="H966" i="3"/>
  <c r="P967" i="3"/>
  <c r="N967" i="3"/>
  <c r="L967" i="3"/>
  <c r="J967" i="3"/>
  <c r="H967" i="3"/>
  <c r="Q967" i="3"/>
  <c r="O967" i="3"/>
  <c r="M967" i="3"/>
  <c r="K967" i="3"/>
  <c r="I967" i="3"/>
  <c r="A963" i="4"/>
  <c r="B963" i="4" s="1"/>
  <c r="C963" i="4" s="1"/>
  <c r="D963" i="4" s="1"/>
  <c r="Q968" i="3"/>
  <c r="O968" i="3"/>
  <c r="M968" i="3"/>
  <c r="K968" i="3"/>
  <c r="I968" i="3"/>
  <c r="P968" i="3"/>
  <c r="N968" i="3"/>
  <c r="L968" i="3"/>
  <c r="J968" i="3"/>
  <c r="H968" i="3"/>
  <c r="P969" i="3"/>
  <c r="N969" i="3"/>
  <c r="L969" i="3"/>
  <c r="J969" i="3"/>
  <c r="H969" i="3"/>
  <c r="Q969" i="3"/>
  <c r="O969" i="3"/>
  <c r="M969" i="3"/>
  <c r="K969" i="3"/>
  <c r="I969" i="3"/>
  <c r="A965" i="4"/>
  <c r="B965" i="4" s="1"/>
  <c r="C965" i="4" s="1"/>
  <c r="D965" i="4" s="1"/>
  <c r="Q970" i="3"/>
  <c r="O970" i="3"/>
  <c r="M970" i="3"/>
  <c r="K970" i="3"/>
  <c r="I970" i="3"/>
  <c r="P970" i="3"/>
  <c r="N970" i="3"/>
  <c r="L970" i="3"/>
  <c r="J970" i="3"/>
  <c r="H970" i="3"/>
  <c r="P971" i="3"/>
  <c r="N971" i="3"/>
  <c r="L971" i="3"/>
  <c r="J971" i="3"/>
  <c r="H971" i="3"/>
  <c r="Q971" i="3"/>
  <c r="O971" i="3"/>
  <c r="M971" i="3"/>
  <c r="K971" i="3"/>
  <c r="I971" i="3"/>
  <c r="A967" i="4"/>
  <c r="B967" i="4" s="1"/>
  <c r="C967" i="4" s="1"/>
  <c r="D967" i="4" s="1"/>
  <c r="Q972" i="3"/>
  <c r="O972" i="3"/>
  <c r="M972" i="3"/>
  <c r="K972" i="3"/>
  <c r="I972" i="3"/>
  <c r="P972" i="3"/>
  <c r="N972" i="3"/>
  <c r="L972" i="3"/>
  <c r="J972" i="3"/>
  <c r="H972" i="3"/>
  <c r="P973" i="3"/>
  <c r="N973" i="3"/>
  <c r="L973" i="3"/>
  <c r="J973" i="3"/>
  <c r="H973" i="3"/>
  <c r="Q973" i="3"/>
  <c r="O973" i="3"/>
  <c r="M973" i="3"/>
  <c r="K973" i="3"/>
  <c r="I973" i="3"/>
  <c r="A969" i="4"/>
  <c r="B969" i="4" s="1"/>
  <c r="C969" i="4" s="1"/>
  <c r="D969" i="4" s="1"/>
  <c r="Q974" i="3"/>
  <c r="O974" i="3"/>
  <c r="M974" i="3"/>
  <c r="K974" i="3"/>
  <c r="I974" i="3"/>
  <c r="P974" i="3"/>
  <c r="N974" i="3"/>
  <c r="L974" i="3"/>
  <c r="J974" i="3"/>
  <c r="H974" i="3"/>
  <c r="P975" i="3"/>
  <c r="N975" i="3"/>
  <c r="L975" i="3"/>
  <c r="J975" i="3"/>
  <c r="H975" i="3"/>
  <c r="Q975" i="3"/>
  <c r="O975" i="3"/>
  <c r="M975" i="3"/>
  <c r="K975" i="3"/>
  <c r="I975" i="3"/>
  <c r="A971" i="4"/>
  <c r="B971" i="4" s="1"/>
  <c r="C971" i="4" s="1"/>
  <c r="D971" i="4" s="1"/>
  <c r="Q976" i="3"/>
  <c r="O976" i="3"/>
  <c r="M976" i="3"/>
  <c r="K976" i="3"/>
  <c r="I976" i="3"/>
  <c r="P976" i="3"/>
  <c r="N976" i="3"/>
  <c r="L976" i="3"/>
  <c r="J976" i="3"/>
  <c r="H976" i="3"/>
  <c r="P977" i="3"/>
  <c r="N977" i="3"/>
  <c r="L977" i="3"/>
  <c r="J977" i="3"/>
  <c r="H977" i="3"/>
  <c r="Q977" i="3"/>
  <c r="O977" i="3"/>
  <c r="M977" i="3"/>
  <c r="K977" i="3"/>
  <c r="I977" i="3"/>
  <c r="A973" i="4"/>
  <c r="B973" i="4" s="1"/>
  <c r="C973" i="4" s="1"/>
  <c r="D973" i="4" s="1"/>
  <c r="Q978" i="3"/>
  <c r="O978" i="3"/>
  <c r="M978" i="3"/>
  <c r="K978" i="3"/>
  <c r="I978" i="3"/>
  <c r="P978" i="3"/>
  <c r="N978" i="3"/>
  <c r="L978" i="3"/>
  <c r="J978" i="3"/>
  <c r="H978" i="3"/>
  <c r="P979" i="3"/>
  <c r="N979" i="3"/>
  <c r="L979" i="3"/>
  <c r="J979" i="3"/>
  <c r="H979" i="3"/>
  <c r="Q979" i="3"/>
  <c r="O979" i="3"/>
  <c r="M979" i="3"/>
  <c r="K979" i="3"/>
  <c r="I979" i="3"/>
  <c r="A975" i="4"/>
  <c r="B975" i="4" s="1"/>
  <c r="C975" i="4" s="1"/>
  <c r="D975" i="4" s="1"/>
  <c r="Q980" i="3"/>
  <c r="O980" i="3"/>
  <c r="M980" i="3"/>
  <c r="K980" i="3"/>
  <c r="I980" i="3"/>
  <c r="P980" i="3"/>
  <c r="N980" i="3"/>
  <c r="L980" i="3"/>
  <c r="J980" i="3"/>
  <c r="H980" i="3"/>
  <c r="P981" i="3"/>
  <c r="N981" i="3"/>
  <c r="L981" i="3"/>
  <c r="J981" i="3"/>
  <c r="H981" i="3"/>
  <c r="Q981" i="3"/>
  <c r="O981" i="3"/>
  <c r="M981" i="3"/>
  <c r="K981" i="3"/>
  <c r="I981" i="3"/>
  <c r="A977" i="4"/>
  <c r="B977" i="4" s="1"/>
  <c r="C977" i="4" s="1"/>
  <c r="D977" i="4" s="1"/>
  <c r="Q982" i="3"/>
  <c r="O982" i="3"/>
  <c r="M982" i="3"/>
  <c r="K982" i="3"/>
  <c r="I982" i="3"/>
  <c r="P982" i="3"/>
  <c r="N982" i="3"/>
  <c r="L982" i="3"/>
  <c r="J982" i="3"/>
  <c r="H982" i="3"/>
  <c r="P983" i="3"/>
  <c r="N983" i="3"/>
  <c r="L983" i="3"/>
  <c r="J983" i="3"/>
  <c r="H983" i="3"/>
  <c r="Q983" i="3"/>
  <c r="O983" i="3"/>
  <c r="M983" i="3"/>
  <c r="K983" i="3"/>
  <c r="I983" i="3"/>
  <c r="A979" i="4"/>
  <c r="B979" i="4" s="1"/>
  <c r="C979" i="4" s="1"/>
  <c r="D979" i="4" s="1"/>
  <c r="Q984" i="3"/>
  <c r="O984" i="3"/>
  <c r="M984" i="3"/>
  <c r="K984" i="3"/>
  <c r="I984" i="3"/>
  <c r="P984" i="3"/>
  <c r="N984" i="3"/>
  <c r="L984" i="3"/>
  <c r="J984" i="3"/>
  <c r="H984" i="3"/>
  <c r="P985" i="3"/>
  <c r="N985" i="3"/>
  <c r="L985" i="3"/>
  <c r="J985" i="3"/>
  <c r="H985" i="3"/>
  <c r="Q985" i="3"/>
  <c r="O985" i="3"/>
  <c r="M985" i="3"/>
  <c r="K985" i="3"/>
  <c r="I985" i="3"/>
  <c r="A981" i="4"/>
  <c r="B981" i="4" s="1"/>
  <c r="C981" i="4" s="1"/>
  <c r="D981" i="4" s="1"/>
  <c r="Q986" i="3"/>
  <c r="O986" i="3"/>
  <c r="M986" i="3"/>
  <c r="K986" i="3"/>
  <c r="I986" i="3"/>
  <c r="P986" i="3"/>
  <c r="N986" i="3"/>
  <c r="L986" i="3"/>
  <c r="J986" i="3"/>
  <c r="H986" i="3"/>
  <c r="P987" i="3"/>
  <c r="N987" i="3"/>
  <c r="L987" i="3"/>
  <c r="J987" i="3"/>
  <c r="H987" i="3"/>
  <c r="Q987" i="3"/>
  <c r="O987" i="3"/>
  <c r="M987" i="3"/>
  <c r="K987" i="3"/>
  <c r="I987" i="3"/>
  <c r="A983" i="4"/>
  <c r="B983" i="4" s="1"/>
  <c r="C983" i="4" s="1"/>
  <c r="D983" i="4" s="1"/>
  <c r="Q988" i="3"/>
  <c r="O988" i="3"/>
  <c r="M988" i="3"/>
  <c r="K988" i="3"/>
  <c r="I988" i="3"/>
  <c r="P988" i="3"/>
  <c r="N988" i="3"/>
  <c r="L988" i="3"/>
  <c r="J988" i="3"/>
  <c r="H988" i="3"/>
  <c r="P989" i="3"/>
  <c r="N989" i="3"/>
  <c r="L989" i="3"/>
  <c r="J989" i="3"/>
  <c r="H989" i="3"/>
  <c r="Q989" i="3"/>
  <c r="O989" i="3"/>
  <c r="M989" i="3"/>
  <c r="K989" i="3"/>
  <c r="I989" i="3"/>
  <c r="A985" i="4"/>
  <c r="B985" i="4" s="1"/>
  <c r="C985" i="4" s="1"/>
  <c r="D985" i="4" s="1"/>
  <c r="Q990" i="3"/>
  <c r="O990" i="3"/>
  <c r="M990" i="3"/>
  <c r="K990" i="3"/>
  <c r="I990" i="3"/>
  <c r="P990" i="3"/>
  <c r="N990" i="3"/>
  <c r="L990" i="3"/>
  <c r="J990" i="3"/>
  <c r="H990" i="3"/>
  <c r="P991" i="3"/>
  <c r="N991" i="3"/>
  <c r="L991" i="3"/>
  <c r="J991" i="3"/>
  <c r="H991" i="3"/>
  <c r="Q991" i="3"/>
  <c r="O991" i="3"/>
  <c r="M991" i="3"/>
  <c r="K991" i="3"/>
  <c r="I991" i="3"/>
  <c r="A987" i="4"/>
  <c r="B987" i="4" s="1"/>
  <c r="C987" i="4" s="1"/>
  <c r="D987" i="4" s="1"/>
  <c r="Q992" i="3"/>
  <c r="O992" i="3"/>
  <c r="M992" i="3"/>
  <c r="K992" i="3"/>
  <c r="I992" i="3"/>
  <c r="P992" i="3"/>
  <c r="N992" i="3"/>
  <c r="L992" i="3"/>
  <c r="J992" i="3"/>
  <c r="H992" i="3"/>
  <c r="P993" i="3"/>
  <c r="N993" i="3"/>
  <c r="L993" i="3"/>
  <c r="J993" i="3"/>
  <c r="H993" i="3"/>
  <c r="Q993" i="3"/>
  <c r="O993" i="3"/>
  <c r="M993" i="3"/>
  <c r="K993" i="3"/>
  <c r="I993" i="3"/>
  <c r="A989" i="4"/>
  <c r="B989" i="4" s="1"/>
  <c r="C989" i="4" s="1"/>
  <c r="D989" i="4" s="1"/>
  <c r="Q994" i="3"/>
  <c r="O994" i="3"/>
  <c r="M994" i="3"/>
  <c r="K994" i="3"/>
  <c r="I994" i="3"/>
  <c r="P994" i="3"/>
  <c r="N994" i="3"/>
  <c r="L994" i="3"/>
  <c r="J994" i="3"/>
  <c r="H994" i="3"/>
  <c r="P995" i="3"/>
  <c r="N995" i="3"/>
  <c r="L995" i="3"/>
  <c r="J995" i="3"/>
  <c r="H995" i="3"/>
  <c r="Q995" i="3"/>
  <c r="O995" i="3"/>
  <c r="M995" i="3"/>
  <c r="K995" i="3"/>
  <c r="I995" i="3"/>
  <c r="A991" i="4"/>
  <c r="B991" i="4" s="1"/>
  <c r="C991" i="4" s="1"/>
  <c r="D991" i="4" s="1"/>
  <c r="Q996" i="3"/>
  <c r="O996" i="3"/>
  <c r="M996" i="3"/>
  <c r="K996" i="3"/>
  <c r="I996" i="3"/>
  <c r="P996" i="3"/>
  <c r="N996" i="3"/>
  <c r="L996" i="3"/>
  <c r="J996" i="3"/>
  <c r="H996" i="3"/>
  <c r="P997" i="3"/>
  <c r="N997" i="3"/>
  <c r="L997" i="3"/>
  <c r="J997" i="3"/>
  <c r="H997" i="3"/>
  <c r="Q997" i="3"/>
  <c r="O997" i="3"/>
  <c r="M997" i="3"/>
  <c r="K997" i="3"/>
  <c r="I997" i="3"/>
  <c r="A993" i="4"/>
  <c r="B993" i="4" s="1"/>
  <c r="C993" i="4" s="1"/>
  <c r="D993" i="4" s="1"/>
  <c r="Q998" i="3"/>
  <c r="O998" i="3"/>
  <c r="M998" i="3"/>
  <c r="K998" i="3"/>
  <c r="I998" i="3"/>
  <c r="P998" i="3"/>
  <c r="N998" i="3"/>
  <c r="L998" i="3"/>
  <c r="J998" i="3"/>
  <c r="H998" i="3"/>
  <c r="P999" i="3"/>
  <c r="N999" i="3"/>
  <c r="L999" i="3"/>
  <c r="J999" i="3"/>
  <c r="H999" i="3"/>
  <c r="Q999" i="3"/>
  <c r="O999" i="3"/>
  <c r="M999" i="3"/>
  <c r="K999" i="3"/>
  <c r="I999" i="3"/>
  <c r="A995" i="4"/>
  <c r="B995" i="4" s="1"/>
  <c r="C995" i="4" s="1"/>
  <c r="D995" i="4" s="1"/>
  <c r="Q1000" i="3"/>
  <c r="O1000" i="3"/>
  <c r="M1000" i="3"/>
  <c r="K1000" i="3"/>
  <c r="I1000" i="3"/>
  <c r="P1000" i="3"/>
  <c r="N1000" i="3"/>
  <c r="L1000" i="3"/>
  <c r="J1000" i="3"/>
  <c r="H1000" i="3"/>
  <c r="P1001" i="3"/>
  <c r="N1001" i="3"/>
  <c r="L1001" i="3"/>
  <c r="J1001" i="3"/>
  <c r="H1001" i="3"/>
  <c r="Q1001" i="3"/>
  <c r="O1001" i="3"/>
  <c r="M1001" i="3"/>
  <c r="K1001" i="3"/>
  <c r="I1001" i="3"/>
  <c r="A997" i="4"/>
  <c r="B997" i="4" s="1"/>
  <c r="C997" i="4" s="1"/>
  <c r="D997" i="4" s="1"/>
  <c r="Q1002" i="3"/>
  <c r="O1002" i="3"/>
  <c r="M1002" i="3"/>
  <c r="K1002" i="3"/>
  <c r="I1002" i="3"/>
  <c r="P1002" i="3"/>
  <c r="N1002" i="3"/>
  <c r="L1002" i="3"/>
  <c r="J1002" i="3"/>
  <c r="H1002" i="3"/>
  <c r="P1003" i="3"/>
  <c r="N1003" i="3"/>
  <c r="L1003" i="3"/>
  <c r="J1003" i="3"/>
  <c r="H1003" i="3"/>
  <c r="Q1003" i="3"/>
  <c r="O1003" i="3"/>
  <c r="M1003" i="3"/>
  <c r="K1003" i="3"/>
  <c r="I1003" i="3"/>
  <c r="A999" i="4"/>
  <c r="B999" i="4" s="1"/>
  <c r="C999" i="4" s="1"/>
  <c r="D999" i="4" s="1"/>
  <c r="Q1004" i="3"/>
  <c r="O1004" i="3"/>
  <c r="M1004" i="3"/>
  <c r="K1004" i="3"/>
  <c r="I1004" i="3"/>
  <c r="P1004" i="3"/>
  <c r="N1004" i="3"/>
  <c r="L1004" i="3"/>
  <c r="J1004" i="3"/>
  <c r="H1004" i="3"/>
  <c r="P1005" i="3"/>
  <c r="N1005" i="3"/>
  <c r="L1005" i="3"/>
  <c r="J1005" i="3"/>
  <c r="H1005" i="3"/>
  <c r="Q1005" i="3"/>
  <c r="O1005" i="3"/>
  <c r="M1005" i="3"/>
  <c r="K1005" i="3"/>
  <c r="I1005" i="3"/>
  <c r="A1001" i="4"/>
  <c r="B1001" i="4" s="1"/>
  <c r="C1001" i="4" s="1"/>
  <c r="D1001" i="4" s="1"/>
  <c r="Q1006" i="3"/>
  <c r="O1006" i="3"/>
  <c r="M1006" i="3"/>
  <c r="K1006" i="3"/>
  <c r="I1006" i="3"/>
  <c r="P1006" i="3"/>
  <c r="N1006" i="3"/>
  <c r="L1006" i="3"/>
  <c r="J1006" i="3"/>
  <c r="H1006" i="3"/>
  <c r="P1007" i="3"/>
  <c r="N1007" i="3"/>
  <c r="L1007" i="3"/>
  <c r="J1007" i="3"/>
  <c r="H1007" i="3"/>
  <c r="Q1007" i="3"/>
  <c r="O1007" i="3"/>
  <c r="M1007" i="3"/>
  <c r="K1007" i="3"/>
  <c r="I1007" i="3"/>
  <c r="A1003" i="4"/>
  <c r="B1003" i="4" s="1"/>
  <c r="C1003" i="4" s="1"/>
  <c r="D1003" i="4" s="1"/>
  <c r="Q1008" i="3"/>
  <c r="O1008" i="3"/>
  <c r="M1008" i="3"/>
  <c r="K1008" i="3"/>
  <c r="I1008" i="3"/>
  <c r="P1008" i="3"/>
  <c r="N1008" i="3"/>
  <c r="L1008" i="3"/>
  <c r="J1008" i="3"/>
  <c r="H1008" i="3"/>
  <c r="P1009" i="3"/>
  <c r="N1009" i="3"/>
  <c r="L1009" i="3"/>
  <c r="J1009" i="3"/>
  <c r="H1009" i="3"/>
  <c r="Q1009" i="3"/>
  <c r="O1009" i="3"/>
  <c r="M1009" i="3"/>
  <c r="K1009" i="3"/>
  <c r="I1009" i="3"/>
  <c r="A1005" i="4"/>
  <c r="B1005" i="4" s="1"/>
  <c r="C1005" i="4" s="1"/>
  <c r="D1005" i="4" s="1"/>
  <c r="Q1010" i="3"/>
  <c r="O1010" i="3"/>
  <c r="M1010" i="3"/>
  <c r="K1010" i="3"/>
  <c r="I1010" i="3"/>
  <c r="P1010" i="3"/>
  <c r="N1010" i="3"/>
  <c r="L1010" i="3"/>
  <c r="J1010" i="3"/>
  <c r="H1010" i="3"/>
  <c r="P1011" i="3"/>
  <c r="N1011" i="3"/>
  <c r="L1011" i="3"/>
  <c r="J1011" i="3"/>
  <c r="H1011" i="3"/>
  <c r="Q1011" i="3"/>
  <c r="O1011" i="3"/>
  <c r="M1011" i="3"/>
  <c r="K1011" i="3"/>
  <c r="I1011" i="3"/>
  <c r="A1007" i="4"/>
  <c r="B1007" i="4" s="1"/>
  <c r="C1007" i="4" s="1"/>
  <c r="D1007" i="4" s="1"/>
  <c r="Q1012" i="3"/>
  <c r="O1012" i="3"/>
  <c r="M1012" i="3"/>
  <c r="K1012" i="3"/>
  <c r="I1012" i="3"/>
  <c r="P1012" i="3"/>
  <c r="N1012" i="3"/>
  <c r="L1012" i="3"/>
  <c r="J1012" i="3"/>
  <c r="H1012" i="3"/>
  <c r="P1013" i="3"/>
  <c r="N1013" i="3"/>
  <c r="L1013" i="3"/>
  <c r="J1013" i="3"/>
  <c r="H1013" i="3"/>
  <c r="Q1013" i="3"/>
  <c r="O1013" i="3"/>
  <c r="M1013" i="3"/>
  <c r="K1013" i="3"/>
  <c r="I1013" i="3"/>
  <c r="A1009" i="4"/>
  <c r="B1009" i="4" s="1"/>
  <c r="C1009" i="4" s="1"/>
  <c r="D1009" i="4" s="1"/>
  <c r="Q1014" i="3"/>
  <c r="O1014" i="3"/>
  <c r="M1014" i="3"/>
  <c r="K1014" i="3"/>
  <c r="I1014" i="3"/>
  <c r="P1014" i="3"/>
  <c r="N1014" i="3"/>
  <c r="L1014" i="3"/>
  <c r="J1014" i="3"/>
  <c r="H1014" i="3"/>
  <c r="P1015" i="3"/>
  <c r="N1015" i="3"/>
  <c r="L1015" i="3"/>
  <c r="J1015" i="3"/>
  <c r="H1015" i="3"/>
  <c r="Q1015" i="3"/>
  <c r="O1015" i="3"/>
  <c r="M1015" i="3"/>
  <c r="K1015" i="3"/>
  <c r="I1015" i="3"/>
  <c r="A1011" i="4"/>
  <c r="B1011" i="4" s="1"/>
  <c r="C1011" i="4" s="1"/>
  <c r="D1011" i="4" s="1"/>
  <c r="Q1016" i="3"/>
  <c r="O1016" i="3"/>
  <c r="M1016" i="3"/>
  <c r="K1016" i="3"/>
  <c r="I1016" i="3"/>
  <c r="P1016" i="3"/>
  <c r="N1016" i="3"/>
  <c r="L1016" i="3"/>
  <c r="J1016" i="3"/>
  <c r="H1016" i="3"/>
  <c r="P1017" i="3"/>
  <c r="N1017" i="3"/>
  <c r="L1017" i="3"/>
  <c r="J1017" i="3"/>
  <c r="H1017" i="3"/>
  <c r="Q1017" i="3"/>
  <c r="O1017" i="3"/>
  <c r="M1017" i="3"/>
  <c r="K1017" i="3"/>
  <c r="I1017" i="3"/>
  <c r="A1013" i="4"/>
  <c r="B1013" i="4" s="1"/>
  <c r="C1013" i="4" s="1"/>
  <c r="D1013" i="4" s="1"/>
  <c r="Q1018" i="3"/>
  <c r="O1018" i="3"/>
  <c r="M1018" i="3"/>
  <c r="K1018" i="3"/>
  <c r="I1018" i="3"/>
  <c r="P1018" i="3"/>
  <c r="N1018" i="3"/>
  <c r="L1018" i="3"/>
  <c r="J1018" i="3"/>
  <c r="H1018" i="3"/>
  <c r="P1019" i="3"/>
  <c r="N1019" i="3"/>
  <c r="L1019" i="3"/>
  <c r="J1019" i="3"/>
  <c r="H1019" i="3"/>
  <c r="Q1019" i="3"/>
  <c r="O1019" i="3"/>
  <c r="M1019" i="3"/>
  <c r="K1019" i="3"/>
  <c r="I1019" i="3"/>
  <c r="A1015" i="4"/>
  <c r="B1015" i="4" s="1"/>
  <c r="C1015" i="4" s="1"/>
  <c r="D1015" i="4" s="1"/>
  <c r="Q1020" i="3"/>
  <c r="O1020" i="3"/>
  <c r="M1020" i="3"/>
  <c r="K1020" i="3"/>
  <c r="I1020" i="3"/>
  <c r="P1020" i="3"/>
  <c r="N1020" i="3"/>
  <c r="L1020" i="3"/>
  <c r="J1020" i="3"/>
  <c r="H1020" i="3"/>
  <c r="P1021" i="3"/>
  <c r="N1021" i="3"/>
  <c r="L1021" i="3"/>
  <c r="J1021" i="3"/>
  <c r="H1021" i="3"/>
  <c r="Q1021" i="3"/>
  <c r="O1021" i="3"/>
  <c r="M1021" i="3"/>
  <c r="K1021" i="3"/>
  <c r="I1021" i="3"/>
  <c r="A1017" i="4"/>
  <c r="B1017" i="4" s="1"/>
  <c r="C1017" i="4" s="1"/>
  <c r="D1017" i="4" s="1"/>
  <c r="Q1022" i="3"/>
  <c r="O1022" i="3"/>
  <c r="M1022" i="3"/>
  <c r="K1022" i="3"/>
  <c r="I1022" i="3"/>
  <c r="P1022" i="3"/>
  <c r="N1022" i="3"/>
  <c r="L1022" i="3"/>
  <c r="J1022" i="3"/>
  <c r="H1022" i="3"/>
  <c r="P1023" i="3"/>
  <c r="N1023" i="3"/>
  <c r="L1023" i="3"/>
  <c r="J1023" i="3"/>
  <c r="H1023" i="3"/>
  <c r="Q1023" i="3"/>
  <c r="O1023" i="3"/>
  <c r="M1023" i="3"/>
  <c r="K1023" i="3"/>
  <c r="I1023" i="3"/>
  <c r="A1019" i="4"/>
  <c r="B1019" i="4" s="1"/>
  <c r="C1019" i="4" s="1"/>
  <c r="D1019" i="4" s="1"/>
  <c r="Q1024" i="3"/>
  <c r="O1024" i="3"/>
  <c r="M1024" i="3"/>
  <c r="K1024" i="3"/>
  <c r="I1024" i="3"/>
  <c r="P1024" i="3"/>
  <c r="N1024" i="3"/>
  <c r="L1024" i="3"/>
  <c r="J1024" i="3"/>
  <c r="H1024" i="3"/>
  <c r="P1025" i="3"/>
  <c r="N1025" i="3"/>
  <c r="L1025" i="3"/>
  <c r="J1025" i="3"/>
  <c r="H1025" i="3"/>
  <c r="Q1025" i="3"/>
  <c r="O1025" i="3"/>
  <c r="M1025" i="3"/>
  <c r="K1025" i="3"/>
  <c r="I1025" i="3"/>
  <c r="A1021" i="4"/>
  <c r="B1021" i="4" s="1"/>
  <c r="C1021" i="4" s="1"/>
  <c r="D1021" i="4" s="1"/>
  <c r="Q1026" i="3"/>
  <c r="O1026" i="3"/>
  <c r="M1026" i="3"/>
  <c r="K1026" i="3"/>
  <c r="I1026" i="3"/>
  <c r="P1026" i="3"/>
  <c r="N1026" i="3"/>
  <c r="L1026" i="3"/>
  <c r="J1026" i="3"/>
  <c r="H1026" i="3"/>
  <c r="P1027" i="3"/>
  <c r="N1027" i="3"/>
  <c r="L1027" i="3"/>
  <c r="J1027" i="3"/>
  <c r="H1027" i="3"/>
  <c r="Q1027" i="3"/>
  <c r="O1027" i="3"/>
  <c r="M1027" i="3"/>
  <c r="K1027" i="3"/>
  <c r="I1027" i="3"/>
  <c r="A1023" i="4"/>
  <c r="B1023" i="4" s="1"/>
  <c r="C1023" i="4" s="1"/>
  <c r="D1023" i="4" s="1"/>
  <c r="Q1028" i="3"/>
  <c r="O1028" i="3"/>
  <c r="M1028" i="3"/>
  <c r="K1028" i="3"/>
  <c r="I1028" i="3"/>
  <c r="P1028" i="3"/>
  <c r="N1028" i="3"/>
  <c r="L1028" i="3"/>
  <c r="J1028" i="3"/>
  <c r="H1028" i="3"/>
  <c r="P1029" i="3"/>
  <c r="N1029" i="3"/>
  <c r="L1029" i="3"/>
  <c r="J1029" i="3"/>
  <c r="H1029" i="3"/>
  <c r="Q1029" i="3"/>
  <c r="O1029" i="3"/>
  <c r="M1029" i="3"/>
  <c r="K1029" i="3"/>
  <c r="I1029" i="3"/>
  <c r="A1025" i="4"/>
  <c r="B1025" i="4" s="1"/>
  <c r="C1025" i="4" s="1"/>
  <c r="D1025" i="4" s="1"/>
  <c r="Q1030" i="3"/>
  <c r="O1030" i="3"/>
  <c r="M1030" i="3"/>
  <c r="K1030" i="3"/>
  <c r="I1030" i="3"/>
  <c r="P1030" i="3"/>
  <c r="N1030" i="3"/>
  <c r="L1030" i="3"/>
  <c r="J1030" i="3"/>
  <c r="H1030" i="3"/>
  <c r="P1031" i="3"/>
  <c r="N1031" i="3"/>
  <c r="L1031" i="3"/>
  <c r="J1031" i="3"/>
  <c r="H1031" i="3"/>
  <c r="Q1031" i="3"/>
  <c r="O1031" i="3"/>
  <c r="M1031" i="3"/>
  <c r="K1031" i="3"/>
  <c r="I1031" i="3"/>
  <c r="A1027" i="4"/>
  <c r="B1027" i="4" s="1"/>
  <c r="C1027" i="4" s="1"/>
  <c r="D1027" i="4" s="1"/>
  <c r="Q1032" i="3"/>
  <c r="O1032" i="3"/>
  <c r="M1032" i="3"/>
  <c r="K1032" i="3"/>
  <c r="I1032" i="3"/>
  <c r="P1032" i="3"/>
  <c r="N1032" i="3"/>
  <c r="L1032" i="3"/>
  <c r="J1032" i="3"/>
  <c r="H1032" i="3"/>
  <c r="P1033" i="3"/>
  <c r="N1033" i="3"/>
  <c r="L1033" i="3"/>
  <c r="J1033" i="3"/>
  <c r="H1033" i="3"/>
  <c r="Q1033" i="3"/>
  <c r="O1033" i="3"/>
  <c r="M1033" i="3"/>
  <c r="K1033" i="3"/>
  <c r="I1033" i="3"/>
  <c r="A1029" i="4"/>
  <c r="B1029" i="4" s="1"/>
  <c r="C1029" i="4" s="1"/>
  <c r="D1029" i="4" s="1"/>
  <c r="Q1034" i="3"/>
  <c r="O1034" i="3"/>
  <c r="M1034" i="3"/>
  <c r="K1034" i="3"/>
  <c r="I1034" i="3"/>
  <c r="P1034" i="3"/>
  <c r="N1034" i="3"/>
  <c r="L1034" i="3"/>
  <c r="J1034" i="3"/>
  <c r="H1034" i="3"/>
  <c r="P1035" i="3"/>
  <c r="N1035" i="3"/>
  <c r="L1035" i="3"/>
  <c r="J1035" i="3"/>
  <c r="H1035" i="3"/>
  <c r="Q1035" i="3"/>
  <c r="O1035" i="3"/>
  <c r="M1035" i="3"/>
  <c r="K1035" i="3"/>
  <c r="I1035" i="3"/>
  <c r="A1031" i="4"/>
  <c r="B1031" i="4" s="1"/>
  <c r="C1031" i="4" s="1"/>
  <c r="D1031" i="4" s="1"/>
  <c r="Q1036" i="3"/>
  <c r="O1036" i="3"/>
  <c r="M1036" i="3"/>
  <c r="K1036" i="3"/>
  <c r="I1036" i="3"/>
  <c r="P1036" i="3"/>
  <c r="N1036" i="3"/>
  <c r="L1036" i="3"/>
  <c r="J1036" i="3"/>
  <c r="H1036" i="3"/>
  <c r="P1037" i="3"/>
  <c r="N1037" i="3"/>
  <c r="L1037" i="3"/>
  <c r="J1037" i="3"/>
  <c r="H1037" i="3"/>
  <c r="Q1037" i="3"/>
  <c r="O1037" i="3"/>
  <c r="M1037" i="3"/>
  <c r="K1037" i="3"/>
  <c r="I1037" i="3"/>
  <c r="A1033" i="4"/>
  <c r="B1033" i="4" s="1"/>
  <c r="C1033" i="4" s="1"/>
  <c r="D1033" i="4" s="1"/>
  <c r="Q1038" i="3"/>
  <c r="O1038" i="3"/>
  <c r="M1038" i="3"/>
  <c r="K1038" i="3"/>
  <c r="I1038" i="3"/>
  <c r="P1038" i="3"/>
  <c r="N1038" i="3"/>
  <c r="L1038" i="3"/>
  <c r="J1038" i="3"/>
  <c r="H1038" i="3"/>
  <c r="P1039" i="3"/>
  <c r="N1039" i="3"/>
  <c r="L1039" i="3"/>
  <c r="J1039" i="3"/>
  <c r="H1039" i="3"/>
  <c r="Q1039" i="3"/>
  <c r="O1039" i="3"/>
  <c r="M1039" i="3"/>
  <c r="K1039" i="3"/>
  <c r="I1039" i="3"/>
  <c r="A1035" i="4"/>
  <c r="B1035" i="4" s="1"/>
  <c r="C1035" i="4" s="1"/>
  <c r="D1035" i="4" s="1"/>
  <c r="Q1040" i="3"/>
  <c r="O1040" i="3"/>
  <c r="M1040" i="3"/>
  <c r="K1040" i="3"/>
  <c r="I1040" i="3"/>
  <c r="P1040" i="3"/>
  <c r="N1040" i="3"/>
  <c r="L1040" i="3"/>
  <c r="J1040" i="3"/>
  <c r="H1040" i="3"/>
  <c r="P1041" i="3"/>
  <c r="N1041" i="3"/>
  <c r="L1041" i="3"/>
  <c r="J1041" i="3"/>
  <c r="H1041" i="3"/>
  <c r="Q1041" i="3"/>
  <c r="O1041" i="3"/>
  <c r="M1041" i="3"/>
  <c r="K1041" i="3"/>
  <c r="I1041" i="3"/>
  <c r="A1037" i="4"/>
  <c r="B1037" i="4" s="1"/>
  <c r="C1037" i="4" s="1"/>
  <c r="D1037" i="4" s="1"/>
  <c r="Q1042" i="3"/>
  <c r="O1042" i="3"/>
  <c r="M1042" i="3"/>
  <c r="K1042" i="3"/>
  <c r="I1042" i="3"/>
  <c r="P1042" i="3"/>
  <c r="N1042" i="3"/>
  <c r="L1042" i="3"/>
  <c r="J1042" i="3"/>
  <c r="H1042" i="3"/>
  <c r="P1043" i="3"/>
  <c r="N1043" i="3"/>
  <c r="L1043" i="3"/>
  <c r="J1043" i="3"/>
  <c r="H1043" i="3"/>
  <c r="Q1043" i="3"/>
  <c r="O1043" i="3"/>
  <c r="M1043" i="3"/>
  <c r="K1043" i="3"/>
  <c r="I1043" i="3"/>
  <c r="A1039" i="4"/>
  <c r="B1039" i="4" s="1"/>
  <c r="C1039" i="4" s="1"/>
  <c r="D1039" i="4" s="1"/>
  <c r="Q1044" i="3"/>
  <c r="O1044" i="3"/>
  <c r="M1044" i="3"/>
  <c r="K1044" i="3"/>
  <c r="I1044" i="3"/>
  <c r="P1044" i="3"/>
  <c r="N1044" i="3"/>
  <c r="L1044" i="3"/>
  <c r="J1044" i="3"/>
  <c r="H1044" i="3"/>
  <c r="P1045" i="3"/>
  <c r="N1045" i="3"/>
  <c r="L1045" i="3"/>
  <c r="J1045" i="3"/>
  <c r="H1045" i="3"/>
  <c r="Q1045" i="3"/>
  <c r="O1045" i="3"/>
  <c r="M1045" i="3"/>
  <c r="K1045" i="3"/>
  <c r="I1045" i="3"/>
  <c r="A1041" i="4"/>
  <c r="B1041" i="4" s="1"/>
  <c r="C1041" i="4" s="1"/>
  <c r="D1041" i="4" s="1"/>
  <c r="Q1046" i="3"/>
  <c r="O1046" i="3"/>
  <c r="M1046" i="3"/>
  <c r="K1046" i="3"/>
  <c r="I1046" i="3"/>
  <c r="P1046" i="3"/>
  <c r="N1046" i="3"/>
  <c r="L1046" i="3"/>
  <c r="J1046" i="3"/>
  <c r="H1046" i="3"/>
  <c r="P1047" i="3"/>
  <c r="N1047" i="3"/>
  <c r="L1047" i="3"/>
  <c r="J1047" i="3"/>
  <c r="H1047" i="3"/>
  <c r="Q1047" i="3"/>
  <c r="O1047" i="3"/>
  <c r="M1047" i="3"/>
  <c r="K1047" i="3"/>
  <c r="I1047" i="3"/>
  <c r="A1043" i="4"/>
  <c r="B1043" i="4" s="1"/>
  <c r="C1043" i="4" s="1"/>
  <c r="D1043" i="4" s="1"/>
  <c r="Q1048" i="3"/>
  <c r="O1048" i="3"/>
  <c r="M1048" i="3"/>
  <c r="K1048" i="3"/>
  <c r="I1048" i="3"/>
  <c r="P1048" i="3"/>
  <c r="N1048" i="3"/>
  <c r="L1048" i="3"/>
  <c r="J1048" i="3"/>
  <c r="H1048" i="3"/>
  <c r="P1049" i="3"/>
  <c r="N1049" i="3"/>
  <c r="L1049" i="3"/>
  <c r="J1049" i="3"/>
  <c r="H1049" i="3"/>
  <c r="Q1049" i="3"/>
  <c r="O1049" i="3"/>
  <c r="M1049" i="3"/>
  <c r="K1049" i="3"/>
  <c r="I1049" i="3"/>
  <c r="A1045" i="4"/>
  <c r="B1045" i="4" s="1"/>
  <c r="C1045" i="4" s="1"/>
  <c r="D1045" i="4" s="1"/>
  <c r="Q1050" i="3"/>
  <c r="O1050" i="3"/>
  <c r="M1050" i="3"/>
  <c r="K1050" i="3"/>
  <c r="I1050" i="3"/>
  <c r="P1050" i="3"/>
  <c r="N1050" i="3"/>
  <c r="L1050" i="3"/>
  <c r="J1050" i="3"/>
  <c r="H1050" i="3"/>
  <c r="P1051" i="3"/>
  <c r="N1051" i="3"/>
  <c r="L1051" i="3"/>
  <c r="J1051" i="3"/>
  <c r="H1051" i="3"/>
  <c r="Q1051" i="3"/>
  <c r="O1051" i="3"/>
  <c r="M1051" i="3"/>
  <c r="K1051" i="3"/>
  <c r="I1051" i="3"/>
  <c r="A1047" i="4"/>
  <c r="B1047" i="4" s="1"/>
  <c r="C1047" i="4" s="1"/>
  <c r="D1047" i="4" s="1"/>
  <c r="Q1052" i="3"/>
  <c r="O1052" i="3"/>
  <c r="M1052" i="3"/>
  <c r="K1052" i="3"/>
  <c r="I1052" i="3"/>
  <c r="P1052" i="3"/>
  <c r="N1052" i="3"/>
  <c r="L1052" i="3"/>
  <c r="J1052" i="3"/>
  <c r="H1052" i="3"/>
  <c r="P1053" i="3"/>
  <c r="N1053" i="3"/>
  <c r="L1053" i="3"/>
  <c r="J1053" i="3"/>
  <c r="H1053" i="3"/>
  <c r="Q1053" i="3"/>
  <c r="O1053" i="3"/>
  <c r="M1053" i="3"/>
  <c r="K1053" i="3"/>
  <c r="I1053" i="3"/>
  <c r="A1049" i="4"/>
  <c r="B1049" i="4" s="1"/>
  <c r="C1049" i="4" s="1"/>
  <c r="D1049" i="4" s="1"/>
  <c r="Q1054" i="3"/>
  <c r="O1054" i="3"/>
  <c r="M1054" i="3"/>
  <c r="K1054" i="3"/>
  <c r="I1054" i="3"/>
  <c r="P1054" i="3"/>
  <c r="N1054" i="3"/>
  <c r="L1054" i="3"/>
  <c r="J1054" i="3"/>
  <c r="H1054" i="3"/>
  <c r="P1055" i="3"/>
  <c r="N1055" i="3"/>
  <c r="L1055" i="3"/>
  <c r="J1055" i="3"/>
  <c r="H1055" i="3"/>
  <c r="Q1055" i="3"/>
  <c r="O1055" i="3"/>
  <c r="M1055" i="3"/>
  <c r="K1055" i="3"/>
  <c r="I1055" i="3"/>
  <c r="A1051" i="4"/>
  <c r="B1051" i="4" s="1"/>
  <c r="C1051" i="4" s="1"/>
  <c r="D1051" i="4" s="1"/>
  <c r="Q1056" i="3"/>
  <c r="O1056" i="3"/>
  <c r="M1056" i="3"/>
  <c r="K1056" i="3"/>
  <c r="I1056" i="3"/>
  <c r="P1056" i="3"/>
  <c r="N1056" i="3"/>
  <c r="L1056" i="3"/>
  <c r="J1056" i="3"/>
  <c r="H1056" i="3"/>
  <c r="P1057" i="3"/>
  <c r="N1057" i="3"/>
  <c r="L1057" i="3"/>
  <c r="J1057" i="3"/>
  <c r="H1057" i="3"/>
  <c r="Q1057" i="3"/>
  <c r="O1057" i="3"/>
  <c r="M1057" i="3"/>
  <c r="K1057" i="3"/>
  <c r="I1057" i="3"/>
  <c r="A1053" i="4"/>
  <c r="B1053" i="4" s="1"/>
  <c r="C1053" i="4" s="1"/>
  <c r="D1053" i="4" s="1"/>
  <c r="Q1058" i="3"/>
  <c r="O1058" i="3"/>
  <c r="M1058" i="3"/>
  <c r="K1058" i="3"/>
  <c r="I1058" i="3"/>
  <c r="P1058" i="3"/>
  <c r="N1058" i="3"/>
  <c r="L1058" i="3"/>
  <c r="J1058" i="3"/>
  <c r="H1058" i="3"/>
  <c r="P1059" i="3"/>
  <c r="N1059" i="3"/>
  <c r="L1059" i="3"/>
  <c r="J1059" i="3"/>
  <c r="H1059" i="3"/>
  <c r="Q1059" i="3"/>
  <c r="O1059" i="3"/>
  <c r="M1059" i="3"/>
  <c r="K1059" i="3"/>
  <c r="I1059" i="3"/>
  <c r="A1055" i="4"/>
  <c r="B1055" i="4" s="1"/>
  <c r="C1055" i="4" s="1"/>
  <c r="D1055" i="4" s="1"/>
  <c r="Q1060" i="3"/>
  <c r="O1060" i="3"/>
  <c r="M1060" i="3"/>
  <c r="K1060" i="3"/>
  <c r="I1060" i="3"/>
  <c r="P1060" i="3"/>
  <c r="N1060" i="3"/>
  <c r="L1060" i="3"/>
  <c r="J1060" i="3"/>
  <c r="H1060" i="3"/>
  <c r="P1061" i="3"/>
  <c r="N1061" i="3"/>
  <c r="L1061" i="3"/>
  <c r="J1061" i="3"/>
  <c r="H1061" i="3"/>
  <c r="Q1061" i="3"/>
  <c r="O1061" i="3"/>
  <c r="M1061" i="3"/>
  <c r="K1061" i="3"/>
  <c r="I1061" i="3"/>
  <c r="A1057" i="4"/>
  <c r="B1057" i="4" s="1"/>
  <c r="C1057" i="4" s="1"/>
  <c r="D1057" i="4" s="1"/>
  <c r="Q1062" i="3"/>
  <c r="O1062" i="3"/>
  <c r="M1062" i="3"/>
  <c r="K1062" i="3"/>
  <c r="I1062" i="3"/>
  <c r="P1062" i="3"/>
  <c r="N1062" i="3"/>
  <c r="L1062" i="3"/>
  <c r="J1062" i="3"/>
  <c r="H1062" i="3"/>
  <c r="P1063" i="3"/>
  <c r="N1063" i="3"/>
  <c r="L1063" i="3"/>
  <c r="J1063" i="3"/>
  <c r="H1063" i="3"/>
  <c r="Q1063" i="3"/>
  <c r="O1063" i="3"/>
  <c r="M1063" i="3"/>
  <c r="K1063" i="3"/>
  <c r="I1063" i="3"/>
  <c r="A1059" i="4"/>
  <c r="B1059" i="4" s="1"/>
  <c r="C1059" i="4" s="1"/>
  <c r="D1059" i="4" s="1"/>
  <c r="Q1064" i="3"/>
  <c r="O1064" i="3"/>
  <c r="M1064" i="3"/>
  <c r="K1064" i="3"/>
  <c r="I1064" i="3"/>
  <c r="P1064" i="3"/>
  <c r="N1064" i="3"/>
  <c r="L1064" i="3"/>
  <c r="J1064" i="3"/>
  <c r="H1064" i="3"/>
  <c r="P1065" i="3"/>
  <c r="N1065" i="3"/>
  <c r="L1065" i="3"/>
  <c r="J1065" i="3"/>
  <c r="H1065" i="3"/>
  <c r="Q1065" i="3"/>
  <c r="O1065" i="3"/>
  <c r="M1065" i="3"/>
  <c r="K1065" i="3"/>
  <c r="I1065" i="3"/>
  <c r="A1061" i="4"/>
  <c r="B1061" i="4" s="1"/>
  <c r="C1061" i="4" s="1"/>
  <c r="D1061" i="4" s="1"/>
  <c r="Q1066" i="3"/>
  <c r="O1066" i="3"/>
  <c r="M1066" i="3"/>
  <c r="K1066" i="3"/>
  <c r="I1066" i="3"/>
  <c r="P1066" i="3"/>
  <c r="N1066" i="3"/>
  <c r="L1066" i="3"/>
  <c r="J1066" i="3"/>
  <c r="H1066" i="3"/>
  <c r="P1067" i="3"/>
  <c r="N1067" i="3"/>
  <c r="L1067" i="3"/>
  <c r="J1067" i="3"/>
  <c r="H1067" i="3"/>
  <c r="Q1067" i="3"/>
  <c r="O1067" i="3"/>
  <c r="M1067" i="3"/>
  <c r="K1067" i="3"/>
  <c r="I1067" i="3"/>
  <c r="A1063" i="4"/>
  <c r="B1063" i="4" s="1"/>
  <c r="C1063" i="4" s="1"/>
  <c r="D1063" i="4" s="1"/>
  <c r="Q1068" i="3"/>
  <c r="O1068" i="3"/>
  <c r="M1068" i="3"/>
  <c r="K1068" i="3"/>
  <c r="I1068" i="3"/>
  <c r="P1068" i="3"/>
  <c r="N1068" i="3"/>
  <c r="L1068" i="3"/>
  <c r="J1068" i="3"/>
  <c r="H1068" i="3"/>
  <c r="P1069" i="3"/>
  <c r="N1069" i="3"/>
  <c r="L1069" i="3"/>
  <c r="J1069" i="3"/>
  <c r="H1069" i="3"/>
  <c r="Q1069" i="3"/>
  <c r="O1069" i="3"/>
  <c r="M1069" i="3"/>
  <c r="K1069" i="3"/>
  <c r="I1069" i="3"/>
  <c r="A1065" i="4"/>
  <c r="B1065" i="4" s="1"/>
  <c r="C1065" i="4" s="1"/>
  <c r="D1065" i="4" s="1"/>
  <c r="Q1070" i="3"/>
  <c r="O1070" i="3"/>
  <c r="M1070" i="3"/>
  <c r="K1070" i="3"/>
  <c r="I1070" i="3"/>
  <c r="P1070" i="3"/>
  <c r="N1070" i="3"/>
  <c r="L1070" i="3"/>
  <c r="J1070" i="3"/>
  <c r="H1070" i="3"/>
  <c r="P1071" i="3"/>
  <c r="N1071" i="3"/>
  <c r="L1071" i="3"/>
  <c r="J1071" i="3"/>
  <c r="H1071" i="3"/>
  <c r="Q1071" i="3"/>
  <c r="O1071" i="3"/>
  <c r="M1071" i="3"/>
  <c r="K1071" i="3"/>
  <c r="I1071" i="3"/>
  <c r="A1067" i="4"/>
  <c r="B1067" i="4" s="1"/>
  <c r="C1067" i="4" s="1"/>
  <c r="D1067" i="4" s="1"/>
  <c r="Q1072" i="3"/>
  <c r="O1072" i="3"/>
  <c r="M1072" i="3"/>
  <c r="K1072" i="3"/>
  <c r="I1072" i="3"/>
  <c r="P1072" i="3"/>
  <c r="N1072" i="3"/>
  <c r="L1072" i="3"/>
  <c r="J1072" i="3"/>
  <c r="H1072" i="3"/>
  <c r="P1073" i="3"/>
  <c r="N1073" i="3"/>
  <c r="L1073" i="3"/>
  <c r="J1073" i="3"/>
  <c r="H1073" i="3"/>
  <c r="Q1073" i="3"/>
  <c r="O1073" i="3"/>
  <c r="M1073" i="3"/>
  <c r="K1073" i="3"/>
  <c r="I1073" i="3"/>
  <c r="A1069" i="4"/>
  <c r="B1069" i="4" s="1"/>
  <c r="C1069" i="4" s="1"/>
  <c r="D1069" i="4" s="1"/>
  <c r="Q1074" i="3"/>
  <c r="O1074" i="3"/>
  <c r="M1074" i="3"/>
  <c r="K1074" i="3"/>
  <c r="I1074" i="3"/>
  <c r="P1074" i="3"/>
  <c r="N1074" i="3"/>
  <c r="L1074" i="3"/>
  <c r="J1074" i="3"/>
  <c r="H1074" i="3"/>
  <c r="P1075" i="3"/>
  <c r="N1075" i="3"/>
  <c r="L1075" i="3"/>
  <c r="J1075" i="3"/>
  <c r="H1075" i="3"/>
  <c r="Q1075" i="3"/>
  <c r="O1075" i="3"/>
  <c r="M1075" i="3"/>
  <c r="K1075" i="3"/>
  <c r="I1075" i="3"/>
  <c r="A1071" i="4"/>
  <c r="B1071" i="4" s="1"/>
  <c r="C1071" i="4" s="1"/>
  <c r="D1071" i="4" s="1"/>
  <c r="Q1076" i="3"/>
  <c r="O1076" i="3"/>
  <c r="M1076" i="3"/>
  <c r="K1076" i="3"/>
  <c r="I1076" i="3"/>
  <c r="P1076" i="3"/>
  <c r="N1076" i="3"/>
  <c r="L1076" i="3"/>
  <c r="J1076" i="3"/>
  <c r="H1076" i="3"/>
  <c r="P1077" i="3"/>
  <c r="N1077" i="3"/>
  <c r="L1077" i="3"/>
  <c r="J1077" i="3"/>
  <c r="H1077" i="3"/>
  <c r="Q1077" i="3"/>
  <c r="O1077" i="3"/>
  <c r="M1077" i="3"/>
  <c r="K1077" i="3"/>
  <c r="I1077" i="3"/>
  <c r="A1073" i="4"/>
  <c r="B1073" i="4" s="1"/>
  <c r="C1073" i="4" s="1"/>
  <c r="D1073" i="4" s="1"/>
  <c r="Q1078" i="3"/>
  <c r="O1078" i="3"/>
  <c r="M1078" i="3"/>
  <c r="K1078" i="3"/>
  <c r="I1078" i="3"/>
  <c r="P1078" i="3"/>
  <c r="N1078" i="3"/>
  <c r="L1078" i="3"/>
  <c r="J1078" i="3"/>
  <c r="H1078" i="3"/>
  <c r="P1079" i="3"/>
  <c r="N1079" i="3"/>
  <c r="L1079" i="3"/>
  <c r="J1079" i="3"/>
  <c r="H1079" i="3"/>
  <c r="Q1079" i="3"/>
  <c r="O1079" i="3"/>
  <c r="M1079" i="3"/>
  <c r="K1079" i="3"/>
  <c r="I1079" i="3"/>
  <c r="A1075" i="4"/>
  <c r="B1075" i="4" s="1"/>
  <c r="C1075" i="4" s="1"/>
  <c r="D1075" i="4" s="1"/>
  <c r="Q1080" i="3"/>
  <c r="O1080" i="3"/>
  <c r="M1080" i="3"/>
  <c r="K1080" i="3"/>
  <c r="I1080" i="3"/>
  <c r="P1080" i="3"/>
  <c r="N1080" i="3"/>
  <c r="L1080" i="3"/>
  <c r="J1080" i="3"/>
  <c r="H1080" i="3"/>
  <c r="P1081" i="3"/>
  <c r="N1081" i="3"/>
  <c r="L1081" i="3"/>
  <c r="J1081" i="3"/>
  <c r="H1081" i="3"/>
  <c r="Q1081" i="3"/>
  <c r="O1081" i="3"/>
  <c r="M1081" i="3"/>
  <c r="K1081" i="3"/>
  <c r="I1081" i="3"/>
  <c r="A1077" i="4"/>
  <c r="B1077" i="4" s="1"/>
  <c r="C1077" i="4" s="1"/>
  <c r="D1077" i="4" s="1"/>
  <c r="Q1082" i="3"/>
  <c r="O1082" i="3"/>
  <c r="M1082" i="3"/>
  <c r="K1082" i="3"/>
  <c r="I1082" i="3"/>
  <c r="P1082" i="3"/>
  <c r="N1082" i="3"/>
  <c r="L1082" i="3"/>
  <c r="J1082" i="3"/>
  <c r="H1082" i="3"/>
  <c r="P1083" i="3"/>
  <c r="N1083" i="3"/>
  <c r="L1083" i="3"/>
  <c r="J1083" i="3"/>
  <c r="H1083" i="3"/>
  <c r="Q1083" i="3"/>
  <c r="O1083" i="3"/>
  <c r="M1083" i="3"/>
  <c r="K1083" i="3"/>
  <c r="I1083" i="3"/>
  <c r="A1079" i="4"/>
  <c r="B1079" i="4" s="1"/>
  <c r="C1079" i="4" s="1"/>
  <c r="D1079" i="4" s="1"/>
  <c r="Q1084" i="3"/>
  <c r="O1084" i="3"/>
  <c r="M1084" i="3"/>
  <c r="K1084" i="3"/>
  <c r="I1084" i="3"/>
  <c r="P1084" i="3"/>
  <c r="N1084" i="3"/>
  <c r="L1084" i="3"/>
  <c r="J1084" i="3"/>
  <c r="H1084" i="3"/>
  <c r="P1085" i="3"/>
  <c r="N1085" i="3"/>
  <c r="L1085" i="3"/>
  <c r="J1085" i="3"/>
  <c r="H1085" i="3"/>
  <c r="Q1085" i="3"/>
  <c r="O1085" i="3"/>
  <c r="M1085" i="3"/>
  <c r="K1085" i="3"/>
  <c r="I1085" i="3"/>
  <c r="A1081" i="4"/>
  <c r="B1081" i="4" s="1"/>
  <c r="C1081" i="4" s="1"/>
  <c r="D1081" i="4" s="1"/>
  <c r="Q1086" i="3"/>
  <c r="O1086" i="3"/>
  <c r="M1086" i="3"/>
  <c r="K1086" i="3"/>
  <c r="I1086" i="3"/>
  <c r="P1086" i="3"/>
  <c r="N1086" i="3"/>
  <c r="L1086" i="3"/>
  <c r="J1086" i="3"/>
  <c r="H1086" i="3"/>
  <c r="P1087" i="3"/>
  <c r="N1087" i="3"/>
  <c r="L1087" i="3"/>
  <c r="J1087" i="3"/>
  <c r="H1087" i="3"/>
  <c r="Q1087" i="3"/>
  <c r="O1087" i="3"/>
  <c r="M1087" i="3"/>
  <c r="K1087" i="3"/>
  <c r="I1087" i="3"/>
  <c r="A1083" i="4"/>
  <c r="B1083" i="4" s="1"/>
  <c r="C1083" i="4" s="1"/>
  <c r="D1083" i="4" s="1"/>
  <c r="Q1088" i="3"/>
  <c r="O1088" i="3"/>
  <c r="M1088" i="3"/>
  <c r="K1088" i="3"/>
  <c r="I1088" i="3"/>
  <c r="P1088" i="3"/>
  <c r="N1088" i="3"/>
  <c r="L1088" i="3"/>
  <c r="J1088" i="3"/>
  <c r="H1088" i="3"/>
  <c r="P1089" i="3"/>
  <c r="N1089" i="3"/>
  <c r="L1089" i="3"/>
  <c r="J1089" i="3"/>
  <c r="H1089" i="3"/>
  <c r="Q1089" i="3"/>
  <c r="O1089" i="3"/>
  <c r="M1089" i="3"/>
  <c r="K1089" i="3"/>
  <c r="I1089" i="3"/>
  <c r="A1085" i="4"/>
  <c r="B1085" i="4" s="1"/>
  <c r="C1085" i="4" s="1"/>
  <c r="D1085" i="4" s="1"/>
  <c r="Q1090" i="3"/>
  <c r="O1090" i="3"/>
  <c r="M1090" i="3"/>
  <c r="K1090" i="3"/>
  <c r="I1090" i="3"/>
  <c r="P1090" i="3"/>
  <c r="N1090" i="3"/>
  <c r="L1090" i="3"/>
  <c r="J1090" i="3"/>
  <c r="H1090" i="3"/>
  <c r="P1091" i="3"/>
  <c r="N1091" i="3"/>
  <c r="L1091" i="3"/>
  <c r="J1091" i="3"/>
  <c r="H1091" i="3"/>
  <c r="Q1091" i="3"/>
  <c r="O1091" i="3"/>
  <c r="M1091" i="3"/>
  <c r="K1091" i="3"/>
  <c r="I1091" i="3"/>
  <c r="A1087" i="4"/>
  <c r="B1087" i="4" s="1"/>
  <c r="C1087" i="4" s="1"/>
  <c r="D1087" i="4" s="1"/>
  <c r="Q1092" i="3"/>
  <c r="O1092" i="3"/>
  <c r="M1092" i="3"/>
  <c r="K1092" i="3"/>
  <c r="I1092" i="3"/>
  <c r="P1092" i="3"/>
  <c r="N1092" i="3"/>
  <c r="L1092" i="3"/>
  <c r="J1092" i="3"/>
  <c r="H1092" i="3"/>
  <c r="P1093" i="3"/>
  <c r="N1093" i="3"/>
  <c r="L1093" i="3"/>
  <c r="J1093" i="3"/>
  <c r="H1093" i="3"/>
  <c r="Q1093" i="3"/>
  <c r="O1093" i="3"/>
  <c r="M1093" i="3"/>
  <c r="K1093" i="3"/>
  <c r="I1093" i="3"/>
  <c r="A1089" i="4"/>
  <c r="B1089" i="4" s="1"/>
  <c r="C1089" i="4" s="1"/>
  <c r="D1089" i="4" s="1"/>
  <c r="Q1094" i="3"/>
  <c r="O1094" i="3"/>
  <c r="M1094" i="3"/>
  <c r="K1094" i="3"/>
  <c r="I1094" i="3"/>
  <c r="P1094" i="3"/>
  <c r="N1094" i="3"/>
  <c r="L1094" i="3"/>
  <c r="J1094" i="3"/>
  <c r="H1094" i="3"/>
  <c r="P1095" i="3"/>
  <c r="N1095" i="3"/>
  <c r="L1095" i="3"/>
  <c r="J1095" i="3"/>
  <c r="H1095" i="3"/>
  <c r="Q1095" i="3"/>
  <c r="O1095" i="3"/>
  <c r="M1095" i="3"/>
  <c r="K1095" i="3"/>
  <c r="I1095" i="3"/>
  <c r="A1091" i="4"/>
  <c r="B1091" i="4" s="1"/>
  <c r="C1091" i="4" s="1"/>
  <c r="D1091" i="4" s="1"/>
  <c r="Q1096" i="3"/>
  <c r="O1096" i="3"/>
  <c r="M1096" i="3"/>
  <c r="K1096" i="3"/>
  <c r="I1096" i="3"/>
  <c r="P1096" i="3"/>
  <c r="N1096" i="3"/>
  <c r="L1096" i="3"/>
  <c r="J1096" i="3"/>
  <c r="H1096" i="3"/>
  <c r="P1097" i="3"/>
  <c r="N1097" i="3"/>
  <c r="L1097" i="3"/>
  <c r="J1097" i="3"/>
  <c r="H1097" i="3"/>
  <c r="Q1097" i="3"/>
  <c r="O1097" i="3"/>
  <c r="M1097" i="3"/>
  <c r="K1097" i="3"/>
  <c r="I1097" i="3"/>
  <c r="A1093" i="4"/>
  <c r="B1093" i="4" s="1"/>
  <c r="C1093" i="4" s="1"/>
  <c r="D1093" i="4" s="1"/>
  <c r="Q1098" i="3"/>
  <c r="O1098" i="3"/>
  <c r="M1098" i="3"/>
  <c r="K1098" i="3"/>
  <c r="I1098" i="3"/>
  <c r="P1098" i="3"/>
  <c r="N1098" i="3"/>
  <c r="L1098" i="3"/>
  <c r="J1098" i="3"/>
  <c r="H1098" i="3"/>
  <c r="P1099" i="3"/>
  <c r="N1099" i="3"/>
  <c r="L1099" i="3"/>
  <c r="J1099" i="3"/>
  <c r="H1099" i="3"/>
  <c r="Q1099" i="3"/>
  <c r="O1099" i="3"/>
  <c r="M1099" i="3"/>
  <c r="K1099" i="3"/>
  <c r="I1099" i="3"/>
  <c r="A1095" i="4"/>
  <c r="B1095" i="4" s="1"/>
  <c r="C1095" i="4" s="1"/>
  <c r="D1095" i="4" s="1"/>
  <c r="Q1100" i="3"/>
  <c r="O1100" i="3"/>
  <c r="M1100" i="3"/>
  <c r="K1100" i="3"/>
  <c r="I1100" i="3"/>
  <c r="P1100" i="3"/>
  <c r="N1100" i="3"/>
  <c r="L1100" i="3"/>
  <c r="J1100" i="3"/>
  <c r="H1100" i="3"/>
  <c r="P1101" i="3"/>
  <c r="N1101" i="3"/>
  <c r="L1101" i="3"/>
  <c r="J1101" i="3"/>
  <c r="H1101" i="3"/>
  <c r="Q1101" i="3"/>
  <c r="O1101" i="3"/>
  <c r="M1101" i="3"/>
  <c r="K1101" i="3"/>
  <c r="I1101" i="3"/>
  <c r="A1097" i="4"/>
  <c r="B1097" i="4" s="1"/>
  <c r="C1097" i="4" s="1"/>
  <c r="D1097" i="4" s="1"/>
  <c r="Q1102" i="3"/>
  <c r="O1102" i="3"/>
  <c r="M1102" i="3"/>
  <c r="K1102" i="3"/>
  <c r="I1102" i="3"/>
  <c r="P1102" i="3"/>
  <c r="N1102" i="3"/>
  <c r="L1102" i="3"/>
  <c r="J1102" i="3"/>
  <c r="H1102" i="3"/>
  <c r="P1103" i="3"/>
  <c r="N1103" i="3"/>
  <c r="L1103" i="3"/>
  <c r="J1103" i="3"/>
  <c r="H1103" i="3"/>
  <c r="Q1103" i="3"/>
  <c r="O1103" i="3"/>
  <c r="M1103" i="3"/>
  <c r="K1103" i="3"/>
  <c r="I1103" i="3"/>
  <c r="A1099" i="4"/>
  <c r="B1099" i="4" s="1"/>
  <c r="C1099" i="4" s="1"/>
  <c r="D1099" i="4" s="1"/>
  <c r="Q1104" i="3"/>
  <c r="O1104" i="3"/>
  <c r="M1104" i="3"/>
  <c r="K1104" i="3"/>
  <c r="I1104" i="3"/>
  <c r="P1104" i="3"/>
  <c r="N1104" i="3"/>
  <c r="L1104" i="3"/>
  <c r="J1104" i="3"/>
  <c r="H1104" i="3"/>
  <c r="P1105" i="3"/>
  <c r="N1105" i="3"/>
  <c r="L1105" i="3"/>
  <c r="J1105" i="3"/>
  <c r="H1105" i="3"/>
  <c r="Q1105" i="3"/>
  <c r="O1105" i="3"/>
  <c r="M1105" i="3"/>
  <c r="K1105" i="3"/>
  <c r="I1105" i="3"/>
  <c r="A1101" i="4"/>
  <c r="B1101" i="4" s="1"/>
  <c r="C1101" i="4" s="1"/>
  <c r="D1101" i="4" s="1"/>
  <c r="Q1106" i="3"/>
  <c r="O1106" i="3"/>
  <c r="M1106" i="3"/>
  <c r="K1106" i="3"/>
  <c r="I1106" i="3"/>
  <c r="P1106" i="3"/>
  <c r="N1106" i="3"/>
  <c r="L1106" i="3"/>
  <c r="J1106" i="3"/>
  <c r="H1106" i="3"/>
  <c r="P1107" i="3"/>
  <c r="N1107" i="3"/>
  <c r="L1107" i="3"/>
  <c r="J1107" i="3"/>
  <c r="H1107" i="3"/>
  <c r="Q1107" i="3"/>
  <c r="O1107" i="3"/>
  <c r="M1107" i="3"/>
  <c r="K1107" i="3"/>
  <c r="I1107" i="3"/>
  <c r="A1103" i="4"/>
  <c r="B1103" i="4" s="1"/>
  <c r="C1103" i="4" s="1"/>
  <c r="D1103" i="4" s="1"/>
  <c r="Q1108" i="3"/>
  <c r="O1108" i="3"/>
  <c r="M1108" i="3"/>
  <c r="K1108" i="3"/>
  <c r="I1108" i="3"/>
  <c r="P1108" i="3"/>
  <c r="N1108" i="3"/>
  <c r="L1108" i="3"/>
  <c r="J1108" i="3"/>
  <c r="H1108" i="3"/>
  <c r="P1109" i="3"/>
  <c r="N1109" i="3"/>
  <c r="L1109" i="3"/>
  <c r="J1109" i="3"/>
  <c r="H1109" i="3"/>
  <c r="Q1109" i="3"/>
  <c r="O1109" i="3"/>
  <c r="M1109" i="3"/>
  <c r="K1109" i="3"/>
  <c r="I1109" i="3"/>
  <c r="A1105" i="4"/>
  <c r="B1105" i="4" s="1"/>
  <c r="C1105" i="4" s="1"/>
  <c r="D1105" i="4" s="1"/>
  <c r="Q1110" i="3"/>
  <c r="O1110" i="3"/>
  <c r="M1110" i="3"/>
  <c r="K1110" i="3"/>
  <c r="I1110" i="3"/>
  <c r="P1110" i="3"/>
  <c r="N1110" i="3"/>
  <c r="L1110" i="3"/>
  <c r="J1110" i="3"/>
  <c r="H1110" i="3"/>
  <c r="P1111" i="3"/>
  <c r="N1111" i="3"/>
  <c r="L1111" i="3"/>
  <c r="J1111" i="3"/>
  <c r="H1111" i="3"/>
  <c r="Q1111" i="3"/>
  <c r="O1111" i="3"/>
  <c r="M1111" i="3"/>
  <c r="K1111" i="3"/>
  <c r="I1111" i="3"/>
  <c r="A1107" i="4"/>
  <c r="B1107" i="4" s="1"/>
  <c r="C1107" i="4" s="1"/>
  <c r="D1107" i="4" s="1"/>
  <c r="Q1112" i="3"/>
  <c r="O1112" i="3"/>
  <c r="M1112" i="3"/>
  <c r="K1112" i="3"/>
  <c r="I1112" i="3"/>
  <c r="P1112" i="3"/>
  <c r="N1112" i="3"/>
  <c r="L1112" i="3"/>
  <c r="J1112" i="3"/>
  <c r="H1112" i="3"/>
  <c r="P1113" i="3"/>
  <c r="N1113" i="3"/>
  <c r="L1113" i="3"/>
  <c r="J1113" i="3"/>
  <c r="H1113" i="3"/>
  <c r="Q1113" i="3"/>
  <c r="O1113" i="3"/>
  <c r="M1113" i="3"/>
  <c r="K1113" i="3"/>
  <c r="I1113" i="3"/>
  <c r="A1109" i="4"/>
  <c r="B1109" i="4" s="1"/>
  <c r="C1109" i="4" s="1"/>
  <c r="D1109" i="4" s="1"/>
  <c r="Q1114" i="3"/>
  <c r="O1114" i="3"/>
  <c r="M1114" i="3"/>
  <c r="K1114" i="3"/>
  <c r="I1114" i="3"/>
  <c r="P1114" i="3"/>
  <c r="N1114" i="3"/>
  <c r="L1114" i="3"/>
  <c r="J1114" i="3"/>
  <c r="H1114" i="3"/>
  <c r="P1115" i="3"/>
  <c r="N1115" i="3"/>
  <c r="L1115" i="3"/>
  <c r="J1115" i="3"/>
  <c r="H1115" i="3"/>
  <c r="Q1115" i="3"/>
  <c r="O1115" i="3"/>
  <c r="M1115" i="3"/>
  <c r="K1115" i="3"/>
  <c r="I1115" i="3"/>
  <c r="A1111" i="4"/>
  <c r="B1111" i="4" s="1"/>
  <c r="C1111" i="4" s="1"/>
  <c r="D1111" i="4" s="1"/>
  <c r="Q1116" i="3"/>
  <c r="O1116" i="3"/>
  <c r="M1116" i="3"/>
  <c r="K1116" i="3"/>
  <c r="I1116" i="3"/>
  <c r="P1116" i="3"/>
  <c r="N1116" i="3"/>
  <c r="L1116" i="3"/>
  <c r="J1116" i="3"/>
  <c r="H1116" i="3"/>
  <c r="P1117" i="3"/>
  <c r="N1117" i="3"/>
  <c r="L1117" i="3"/>
  <c r="J1117" i="3"/>
  <c r="H1117" i="3"/>
  <c r="Q1117" i="3"/>
  <c r="O1117" i="3"/>
  <c r="M1117" i="3"/>
  <c r="K1117" i="3"/>
  <c r="I1117" i="3"/>
  <c r="A1113" i="4"/>
  <c r="B1113" i="4" s="1"/>
  <c r="C1113" i="4" s="1"/>
  <c r="D1113" i="4" s="1"/>
  <c r="Q1118" i="3"/>
  <c r="O1118" i="3"/>
  <c r="M1118" i="3"/>
  <c r="K1118" i="3"/>
  <c r="I1118" i="3"/>
  <c r="P1118" i="3"/>
  <c r="N1118" i="3"/>
  <c r="L1118" i="3"/>
  <c r="J1118" i="3"/>
  <c r="H1118" i="3"/>
  <c r="P1119" i="3"/>
  <c r="N1119" i="3"/>
  <c r="L1119" i="3"/>
  <c r="J1119" i="3"/>
  <c r="H1119" i="3"/>
  <c r="Q1119" i="3"/>
  <c r="O1119" i="3"/>
  <c r="M1119" i="3"/>
  <c r="K1119" i="3"/>
  <c r="I1119" i="3"/>
  <c r="A1115" i="4"/>
  <c r="B1115" i="4" s="1"/>
  <c r="C1115" i="4" s="1"/>
  <c r="D1115" i="4" s="1"/>
  <c r="Q1120" i="3"/>
  <c r="O1120" i="3"/>
  <c r="M1120" i="3"/>
  <c r="K1120" i="3"/>
  <c r="I1120" i="3"/>
  <c r="P1120" i="3"/>
  <c r="N1120" i="3"/>
  <c r="L1120" i="3"/>
  <c r="J1120" i="3"/>
  <c r="H1120" i="3"/>
  <c r="P1121" i="3"/>
  <c r="N1121" i="3"/>
  <c r="L1121" i="3"/>
  <c r="J1121" i="3"/>
  <c r="H1121" i="3"/>
  <c r="Q1121" i="3"/>
  <c r="O1121" i="3"/>
  <c r="M1121" i="3"/>
  <c r="K1121" i="3"/>
  <c r="I1121" i="3"/>
  <c r="A1117" i="4"/>
  <c r="B1117" i="4" s="1"/>
  <c r="C1117" i="4" s="1"/>
  <c r="D1117" i="4" s="1"/>
  <c r="Q1122" i="3"/>
  <c r="O1122" i="3"/>
  <c r="M1122" i="3"/>
  <c r="K1122" i="3"/>
  <c r="I1122" i="3"/>
  <c r="P1122" i="3"/>
  <c r="N1122" i="3"/>
  <c r="L1122" i="3"/>
  <c r="J1122" i="3"/>
  <c r="H1122" i="3"/>
  <c r="P1123" i="3"/>
  <c r="N1123" i="3"/>
  <c r="L1123" i="3"/>
  <c r="J1123" i="3"/>
  <c r="H1123" i="3"/>
  <c r="Q1123" i="3"/>
  <c r="O1123" i="3"/>
  <c r="M1123" i="3"/>
  <c r="K1123" i="3"/>
  <c r="I1123" i="3"/>
  <c r="A1119" i="4"/>
  <c r="B1119" i="4" s="1"/>
  <c r="C1119" i="4" s="1"/>
  <c r="D1119" i="4" s="1"/>
  <c r="Q1124" i="3"/>
  <c r="O1124" i="3"/>
  <c r="M1124" i="3"/>
  <c r="K1124" i="3"/>
  <c r="I1124" i="3"/>
  <c r="P1124" i="3"/>
  <c r="N1124" i="3"/>
  <c r="L1124" i="3"/>
  <c r="J1124" i="3"/>
  <c r="H1124" i="3"/>
  <c r="P1125" i="3"/>
  <c r="N1125" i="3"/>
  <c r="L1125" i="3"/>
  <c r="J1125" i="3"/>
  <c r="H1125" i="3"/>
  <c r="Q1125" i="3"/>
  <c r="O1125" i="3"/>
  <c r="M1125" i="3"/>
  <c r="K1125" i="3"/>
  <c r="I1125" i="3"/>
  <c r="A1121" i="4"/>
  <c r="B1121" i="4" s="1"/>
  <c r="C1121" i="4" s="1"/>
  <c r="D1121" i="4" s="1"/>
  <c r="Q1126" i="3"/>
  <c r="O1126" i="3"/>
  <c r="M1126" i="3"/>
  <c r="K1126" i="3"/>
  <c r="I1126" i="3"/>
  <c r="P1126" i="3"/>
  <c r="N1126" i="3"/>
  <c r="L1126" i="3"/>
  <c r="J1126" i="3"/>
  <c r="H1126" i="3"/>
  <c r="P1127" i="3"/>
  <c r="N1127" i="3"/>
  <c r="L1127" i="3"/>
  <c r="J1127" i="3"/>
  <c r="H1127" i="3"/>
  <c r="Q1127" i="3"/>
  <c r="O1127" i="3"/>
  <c r="M1127" i="3"/>
  <c r="K1127" i="3"/>
  <c r="I1127" i="3"/>
  <c r="A1123" i="4"/>
  <c r="B1123" i="4" s="1"/>
  <c r="C1123" i="4" s="1"/>
  <c r="D1123" i="4" s="1"/>
  <c r="Q1128" i="3"/>
  <c r="O1128" i="3"/>
  <c r="M1128" i="3"/>
  <c r="K1128" i="3"/>
  <c r="I1128" i="3"/>
  <c r="P1128" i="3"/>
  <c r="N1128" i="3"/>
  <c r="L1128" i="3"/>
  <c r="J1128" i="3"/>
  <c r="H1128" i="3"/>
  <c r="P1129" i="3"/>
  <c r="N1129" i="3"/>
  <c r="L1129" i="3"/>
  <c r="J1129" i="3"/>
  <c r="H1129" i="3"/>
  <c r="Q1129" i="3"/>
  <c r="O1129" i="3"/>
  <c r="M1129" i="3"/>
  <c r="K1129" i="3"/>
  <c r="I1129" i="3"/>
  <c r="A1125" i="4"/>
  <c r="B1125" i="4" s="1"/>
  <c r="C1125" i="4" s="1"/>
  <c r="D1125" i="4" s="1"/>
  <c r="Q1130" i="3"/>
  <c r="O1130" i="3"/>
  <c r="M1130" i="3"/>
  <c r="K1130" i="3"/>
  <c r="I1130" i="3"/>
  <c r="P1130" i="3"/>
  <c r="N1130" i="3"/>
  <c r="L1130" i="3"/>
  <c r="J1130" i="3"/>
  <c r="H1130" i="3"/>
  <c r="P1131" i="3"/>
  <c r="N1131" i="3"/>
  <c r="L1131" i="3"/>
  <c r="J1131" i="3"/>
  <c r="H1131" i="3"/>
  <c r="Q1131" i="3"/>
  <c r="O1131" i="3"/>
  <c r="M1131" i="3"/>
  <c r="K1131" i="3"/>
  <c r="I1131" i="3"/>
  <c r="A1127" i="4"/>
  <c r="B1127" i="4" s="1"/>
  <c r="C1127" i="4" s="1"/>
  <c r="D1127" i="4" s="1"/>
  <c r="Q1132" i="3"/>
  <c r="O1132" i="3"/>
  <c r="M1132" i="3"/>
  <c r="K1132" i="3"/>
  <c r="I1132" i="3"/>
  <c r="P1132" i="3"/>
  <c r="N1132" i="3"/>
  <c r="L1132" i="3"/>
  <c r="J1132" i="3"/>
  <c r="H1132" i="3"/>
  <c r="P1133" i="3"/>
  <c r="N1133" i="3"/>
  <c r="L1133" i="3"/>
  <c r="J1133" i="3"/>
  <c r="H1133" i="3"/>
  <c r="Q1133" i="3"/>
  <c r="O1133" i="3"/>
  <c r="M1133" i="3"/>
  <c r="K1133" i="3"/>
  <c r="I1133" i="3"/>
  <c r="A1129" i="4"/>
  <c r="B1129" i="4" s="1"/>
  <c r="C1129" i="4" s="1"/>
  <c r="D1129" i="4" s="1"/>
  <c r="Q1134" i="3"/>
  <c r="O1134" i="3"/>
  <c r="M1134" i="3"/>
  <c r="K1134" i="3"/>
  <c r="I1134" i="3"/>
  <c r="P1134" i="3"/>
  <c r="N1134" i="3"/>
  <c r="L1134" i="3"/>
  <c r="J1134" i="3"/>
  <c r="H1134" i="3"/>
  <c r="P1135" i="3"/>
  <c r="N1135" i="3"/>
  <c r="L1135" i="3"/>
  <c r="J1135" i="3"/>
  <c r="H1135" i="3"/>
  <c r="Q1135" i="3"/>
  <c r="O1135" i="3"/>
  <c r="M1135" i="3"/>
  <c r="K1135" i="3"/>
  <c r="I1135" i="3"/>
  <c r="A1131" i="4"/>
  <c r="B1131" i="4" s="1"/>
  <c r="C1131" i="4" s="1"/>
  <c r="D1131" i="4" s="1"/>
  <c r="Q1136" i="3"/>
  <c r="O1136" i="3"/>
  <c r="M1136" i="3"/>
  <c r="K1136" i="3"/>
  <c r="I1136" i="3"/>
  <c r="P1136" i="3"/>
  <c r="N1136" i="3"/>
  <c r="L1136" i="3"/>
  <c r="J1136" i="3"/>
  <c r="H1136" i="3"/>
  <c r="P1137" i="3"/>
  <c r="N1137" i="3"/>
  <c r="L1137" i="3"/>
  <c r="J1137" i="3"/>
  <c r="H1137" i="3"/>
  <c r="Q1137" i="3"/>
  <c r="O1137" i="3"/>
  <c r="M1137" i="3"/>
  <c r="K1137" i="3"/>
  <c r="I1137" i="3"/>
  <c r="A1133" i="4"/>
  <c r="B1133" i="4" s="1"/>
  <c r="C1133" i="4" s="1"/>
  <c r="D1133" i="4" s="1"/>
  <c r="Q1138" i="3"/>
  <c r="O1138" i="3"/>
  <c r="M1138" i="3"/>
  <c r="K1138" i="3"/>
  <c r="I1138" i="3"/>
  <c r="P1138" i="3"/>
  <c r="N1138" i="3"/>
  <c r="L1138" i="3"/>
  <c r="J1138" i="3"/>
  <c r="H1138" i="3"/>
  <c r="P1139" i="3"/>
  <c r="N1139" i="3"/>
  <c r="L1139" i="3"/>
  <c r="J1139" i="3"/>
  <c r="H1139" i="3"/>
  <c r="Q1139" i="3"/>
  <c r="O1139" i="3"/>
  <c r="M1139" i="3"/>
  <c r="K1139" i="3"/>
  <c r="I1139" i="3"/>
  <c r="A1135" i="4"/>
  <c r="B1135" i="4" s="1"/>
  <c r="C1135" i="4" s="1"/>
  <c r="D1135" i="4" s="1"/>
  <c r="Q1140" i="3"/>
  <c r="O1140" i="3"/>
  <c r="M1140" i="3"/>
  <c r="K1140" i="3"/>
  <c r="I1140" i="3"/>
  <c r="P1140" i="3"/>
  <c r="N1140" i="3"/>
  <c r="L1140" i="3"/>
  <c r="J1140" i="3"/>
  <c r="H1140" i="3"/>
  <c r="P1141" i="3"/>
  <c r="N1141" i="3"/>
  <c r="L1141" i="3"/>
  <c r="J1141" i="3"/>
  <c r="H1141" i="3"/>
  <c r="Q1141" i="3"/>
  <c r="O1141" i="3"/>
  <c r="M1141" i="3"/>
  <c r="K1141" i="3"/>
  <c r="I1141" i="3"/>
  <c r="A1137" i="4"/>
  <c r="B1137" i="4" s="1"/>
  <c r="C1137" i="4" s="1"/>
  <c r="D1137" i="4" s="1"/>
  <c r="Q1142" i="3"/>
  <c r="O1142" i="3"/>
  <c r="M1142" i="3"/>
  <c r="K1142" i="3"/>
  <c r="I1142" i="3"/>
  <c r="P1142" i="3"/>
  <c r="N1142" i="3"/>
  <c r="L1142" i="3"/>
  <c r="J1142" i="3"/>
  <c r="H1142" i="3"/>
  <c r="P1143" i="3"/>
  <c r="N1143" i="3"/>
  <c r="L1143" i="3"/>
  <c r="J1143" i="3"/>
  <c r="H1143" i="3"/>
  <c r="Q1143" i="3"/>
  <c r="O1143" i="3"/>
  <c r="M1143" i="3"/>
  <c r="K1143" i="3"/>
  <c r="I1143" i="3"/>
  <c r="A1139" i="4"/>
  <c r="B1139" i="4" s="1"/>
  <c r="C1139" i="4" s="1"/>
  <c r="D1139" i="4" s="1"/>
  <c r="Q1144" i="3"/>
  <c r="O1144" i="3"/>
  <c r="M1144" i="3"/>
  <c r="K1144" i="3"/>
  <c r="I1144" i="3"/>
  <c r="P1144" i="3"/>
  <c r="N1144" i="3"/>
  <c r="L1144" i="3"/>
  <c r="J1144" i="3"/>
  <c r="H1144" i="3"/>
  <c r="P1145" i="3"/>
  <c r="N1145" i="3"/>
  <c r="L1145" i="3"/>
  <c r="J1145" i="3"/>
  <c r="H1145" i="3"/>
  <c r="Q1145" i="3"/>
  <c r="O1145" i="3"/>
  <c r="M1145" i="3"/>
  <c r="K1145" i="3"/>
  <c r="I1145" i="3"/>
  <c r="A1141" i="4"/>
  <c r="B1141" i="4" s="1"/>
  <c r="C1141" i="4" s="1"/>
  <c r="D1141" i="4" s="1"/>
  <c r="Q1146" i="3"/>
  <c r="O1146" i="3"/>
  <c r="M1146" i="3"/>
  <c r="K1146" i="3"/>
  <c r="I1146" i="3"/>
  <c r="P1146" i="3"/>
  <c r="N1146" i="3"/>
  <c r="L1146" i="3"/>
  <c r="J1146" i="3"/>
  <c r="H1146" i="3"/>
  <c r="P1147" i="3"/>
  <c r="N1147" i="3"/>
  <c r="L1147" i="3"/>
  <c r="J1147" i="3"/>
  <c r="H1147" i="3"/>
  <c r="Q1147" i="3"/>
  <c r="O1147" i="3"/>
  <c r="M1147" i="3"/>
  <c r="K1147" i="3"/>
  <c r="I1147" i="3"/>
  <c r="A1143" i="4"/>
  <c r="B1143" i="4" s="1"/>
  <c r="C1143" i="4" s="1"/>
  <c r="D1143" i="4" s="1"/>
  <c r="Q1148" i="3"/>
  <c r="O1148" i="3"/>
  <c r="M1148" i="3"/>
  <c r="K1148" i="3"/>
  <c r="I1148" i="3"/>
  <c r="P1148" i="3"/>
  <c r="N1148" i="3"/>
  <c r="L1148" i="3"/>
  <c r="J1148" i="3"/>
  <c r="H1148" i="3"/>
  <c r="P1149" i="3"/>
  <c r="N1149" i="3"/>
  <c r="L1149" i="3"/>
  <c r="J1149" i="3"/>
  <c r="H1149" i="3"/>
  <c r="Q1149" i="3"/>
  <c r="O1149" i="3"/>
  <c r="M1149" i="3"/>
  <c r="K1149" i="3"/>
  <c r="I1149" i="3"/>
  <c r="A1145" i="4"/>
  <c r="B1145" i="4" s="1"/>
  <c r="C1145" i="4" s="1"/>
  <c r="D1145" i="4" s="1"/>
  <c r="Q1150" i="3"/>
  <c r="O1150" i="3"/>
  <c r="M1150" i="3"/>
  <c r="K1150" i="3"/>
  <c r="I1150" i="3"/>
  <c r="P1150" i="3"/>
  <c r="N1150" i="3"/>
  <c r="L1150" i="3"/>
  <c r="J1150" i="3"/>
  <c r="H1150" i="3"/>
  <c r="P1151" i="3"/>
  <c r="N1151" i="3"/>
  <c r="L1151" i="3"/>
  <c r="J1151" i="3"/>
  <c r="H1151" i="3"/>
  <c r="Q1151" i="3"/>
  <c r="O1151" i="3"/>
  <c r="M1151" i="3"/>
  <c r="K1151" i="3"/>
  <c r="I1151" i="3"/>
  <c r="A1147" i="4"/>
  <c r="B1147" i="4" s="1"/>
  <c r="C1147" i="4" s="1"/>
  <c r="D1147" i="4" s="1"/>
  <c r="Q1152" i="3"/>
  <c r="O1152" i="3"/>
  <c r="M1152" i="3"/>
  <c r="K1152" i="3"/>
  <c r="I1152" i="3"/>
  <c r="P1152" i="3"/>
  <c r="N1152" i="3"/>
  <c r="L1152" i="3"/>
  <c r="J1152" i="3"/>
  <c r="H1152" i="3"/>
  <c r="P1153" i="3"/>
  <c r="N1153" i="3"/>
  <c r="L1153" i="3"/>
  <c r="J1153" i="3"/>
  <c r="H1153" i="3"/>
  <c r="Q1153" i="3"/>
  <c r="O1153" i="3"/>
  <c r="M1153" i="3"/>
  <c r="K1153" i="3"/>
  <c r="I1153" i="3"/>
  <c r="A1149" i="4"/>
  <c r="B1149" i="4" s="1"/>
  <c r="C1149" i="4" s="1"/>
  <c r="D1149" i="4" s="1"/>
  <c r="Q1154" i="3"/>
  <c r="O1154" i="3"/>
  <c r="M1154" i="3"/>
  <c r="K1154" i="3"/>
  <c r="I1154" i="3"/>
  <c r="P1154" i="3"/>
  <c r="N1154" i="3"/>
  <c r="L1154" i="3"/>
  <c r="J1154" i="3"/>
  <c r="H1154" i="3"/>
  <c r="P1155" i="3"/>
  <c r="N1155" i="3"/>
  <c r="L1155" i="3"/>
  <c r="J1155" i="3"/>
  <c r="H1155" i="3"/>
  <c r="Q1155" i="3"/>
  <c r="O1155" i="3"/>
  <c r="M1155" i="3"/>
  <c r="K1155" i="3"/>
  <c r="I1155" i="3"/>
  <c r="A1151" i="4"/>
  <c r="B1151" i="4" s="1"/>
  <c r="C1151" i="4" s="1"/>
  <c r="D1151" i="4" s="1"/>
  <c r="Q1156" i="3"/>
  <c r="O1156" i="3"/>
  <c r="M1156" i="3"/>
  <c r="K1156" i="3"/>
  <c r="I1156" i="3"/>
  <c r="P1156" i="3"/>
  <c r="N1156" i="3"/>
  <c r="L1156" i="3"/>
  <c r="J1156" i="3"/>
  <c r="H1156" i="3"/>
  <c r="P1157" i="3"/>
  <c r="N1157" i="3"/>
  <c r="L1157" i="3"/>
  <c r="J1157" i="3"/>
  <c r="H1157" i="3"/>
  <c r="Q1157" i="3"/>
  <c r="O1157" i="3"/>
  <c r="M1157" i="3"/>
  <c r="K1157" i="3"/>
  <c r="I1157" i="3"/>
  <c r="A1153" i="4"/>
  <c r="B1153" i="4" s="1"/>
  <c r="C1153" i="4" s="1"/>
  <c r="D1153" i="4" s="1"/>
  <c r="Q1158" i="3"/>
  <c r="O1158" i="3"/>
  <c r="M1158" i="3"/>
  <c r="K1158" i="3"/>
  <c r="I1158" i="3"/>
  <c r="P1158" i="3"/>
  <c r="N1158" i="3"/>
  <c r="L1158" i="3"/>
  <c r="J1158" i="3"/>
  <c r="H1158" i="3"/>
  <c r="P1159" i="3"/>
  <c r="N1159" i="3"/>
  <c r="L1159" i="3"/>
  <c r="J1159" i="3"/>
  <c r="H1159" i="3"/>
  <c r="Q1159" i="3"/>
  <c r="O1159" i="3"/>
  <c r="M1159" i="3"/>
  <c r="K1159" i="3"/>
  <c r="I1159" i="3"/>
  <c r="A1155" i="4"/>
  <c r="B1155" i="4" s="1"/>
  <c r="C1155" i="4" s="1"/>
  <c r="D1155" i="4" s="1"/>
  <c r="Q1160" i="3"/>
  <c r="O1160" i="3"/>
  <c r="M1160" i="3"/>
  <c r="K1160" i="3"/>
  <c r="I1160" i="3"/>
  <c r="P1160" i="3"/>
  <c r="N1160" i="3"/>
  <c r="L1160" i="3"/>
  <c r="J1160" i="3"/>
  <c r="H1160" i="3"/>
  <c r="P1161" i="3"/>
  <c r="N1161" i="3"/>
  <c r="L1161" i="3"/>
  <c r="J1161" i="3"/>
  <c r="H1161" i="3"/>
  <c r="Q1161" i="3"/>
  <c r="O1161" i="3"/>
  <c r="M1161" i="3"/>
  <c r="K1161" i="3"/>
  <c r="I1161" i="3"/>
  <c r="A1157" i="4"/>
  <c r="B1157" i="4" s="1"/>
  <c r="C1157" i="4" s="1"/>
  <c r="D1157" i="4" s="1"/>
  <c r="Q1162" i="3"/>
  <c r="O1162" i="3"/>
  <c r="M1162" i="3"/>
  <c r="K1162" i="3"/>
  <c r="I1162" i="3"/>
  <c r="P1162" i="3"/>
  <c r="N1162" i="3"/>
  <c r="L1162" i="3"/>
  <c r="J1162" i="3"/>
  <c r="H1162" i="3"/>
  <c r="P1163" i="3"/>
  <c r="N1163" i="3"/>
  <c r="L1163" i="3"/>
  <c r="J1163" i="3"/>
  <c r="H1163" i="3"/>
  <c r="Q1163" i="3"/>
  <c r="O1163" i="3"/>
  <c r="M1163" i="3"/>
  <c r="K1163" i="3"/>
  <c r="I1163" i="3"/>
  <c r="A1159" i="4"/>
  <c r="B1159" i="4" s="1"/>
  <c r="C1159" i="4" s="1"/>
  <c r="D1159" i="4" s="1"/>
  <c r="Q1164" i="3"/>
  <c r="O1164" i="3"/>
  <c r="M1164" i="3"/>
  <c r="K1164" i="3"/>
  <c r="I1164" i="3"/>
  <c r="P1164" i="3"/>
  <c r="N1164" i="3"/>
  <c r="L1164" i="3"/>
  <c r="J1164" i="3"/>
  <c r="H1164" i="3"/>
  <c r="P1165" i="3"/>
  <c r="N1165" i="3"/>
  <c r="L1165" i="3"/>
  <c r="J1165" i="3"/>
  <c r="H1165" i="3"/>
  <c r="Q1165" i="3"/>
  <c r="O1165" i="3"/>
  <c r="M1165" i="3"/>
  <c r="K1165" i="3"/>
  <c r="I1165" i="3"/>
  <c r="A1161" i="4"/>
  <c r="B1161" i="4" s="1"/>
  <c r="C1161" i="4" s="1"/>
  <c r="D1161" i="4" s="1"/>
  <c r="Q1166" i="3"/>
  <c r="O1166" i="3"/>
  <c r="M1166" i="3"/>
  <c r="K1166" i="3"/>
  <c r="I1166" i="3"/>
  <c r="P1166" i="3"/>
  <c r="N1166" i="3"/>
  <c r="L1166" i="3"/>
  <c r="J1166" i="3"/>
  <c r="H1166" i="3"/>
  <c r="P1167" i="3"/>
  <c r="N1167" i="3"/>
  <c r="L1167" i="3"/>
  <c r="J1167" i="3"/>
  <c r="H1167" i="3"/>
  <c r="Q1167" i="3"/>
  <c r="O1167" i="3"/>
  <c r="M1167" i="3"/>
  <c r="K1167" i="3"/>
  <c r="I1167" i="3"/>
  <c r="A1163" i="4"/>
  <c r="B1163" i="4" s="1"/>
  <c r="C1163" i="4" s="1"/>
  <c r="D1163" i="4" s="1"/>
  <c r="Q1168" i="3"/>
  <c r="O1168" i="3"/>
  <c r="M1168" i="3"/>
  <c r="K1168" i="3"/>
  <c r="I1168" i="3"/>
  <c r="P1168" i="3"/>
  <c r="N1168" i="3"/>
  <c r="L1168" i="3"/>
  <c r="J1168" i="3"/>
  <c r="H1168" i="3"/>
  <c r="P1169" i="3"/>
  <c r="N1169" i="3"/>
  <c r="L1169" i="3"/>
  <c r="J1169" i="3"/>
  <c r="H1169" i="3"/>
  <c r="Q1169" i="3"/>
  <c r="O1169" i="3"/>
  <c r="M1169" i="3"/>
  <c r="K1169" i="3"/>
  <c r="I1169" i="3"/>
  <c r="A1165" i="4"/>
  <c r="B1165" i="4" s="1"/>
  <c r="C1165" i="4" s="1"/>
  <c r="D1165" i="4" s="1"/>
  <c r="Q1170" i="3"/>
  <c r="O1170" i="3"/>
  <c r="M1170" i="3"/>
  <c r="K1170" i="3"/>
  <c r="I1170" i="3"/>
  <c r="P1170" i="3"/>
  <c r="N1170" i="3"/>
  <c r="L1170" i="3"/>
  <c r="J1170" i="3"/>
  <c r="H1170" i="3"/>
  <c r="P1171" i="3"/>
  <c r="N1171" i="3"/>
  <c r="L1171" i="3"/>
  <c r="J1171" i="3"/>
  <c r="H1171" i="3"/>
  <c r="Q1171" i="3"/>
  <c r="O1171" i="3"/>
  <c r="M1171" i="3"/>
  <c r="K1171" i="3"/>
  <c r="I1171" i="3"/>
  <c r="A1167" i="4"/>
  <c r="B1167" i="4" s="1"/>
  <c r="C1167" i="4" s="1"/>
  <c r="D1167" i="4" s="1"/>
  <c r="Q1172" i="3"/>
  <c r="O1172" i="3"/>
  <c r="M1172" i="3"/>
  <c r="K1172" i="3"/>
  <c r="I1172" i="3"/>
  <c r="P1172" i="3"/>
  <c r="N1172" i="3"/>
  <c r="L1172" i="3"/>
  <c r="J1172" i="3"/>
  <c r="H1172" i="3"/>
  <c r="P1173" i="3"/>
  <c r="N1173" i="3"/>
  <c r="L1173" i="3"/>
  <c r="J1173" i="3"/>
  <c r="H1173" i="3"/>
  <c r="Q1173" i="3"/>
  <c r="O1173" i="3"/>
  <c r="M1173" i="3"/>
  <c r="K1173" i="3"/>
  <c r="I1173" i="3"/>
  <c r="A1169" i="4"/>
  <c r="B1169" i="4" s="1"/>
  <c r="C1169" i="4" s="1"/>
  <c r="D1169" i="4" s="1"/>
  <c r="Q1174" i="3"/>
  <c r="O1174" i="3"/>
  <c r="M1174" i="3"/>
  <c r="K1174" i="3"/>
  <c r="I1174" i="3"/>
  <c r="P1174" i="3"/>
  <c r="N1174" i="3"/>
  <c r="L1174" i="3"/>
  <c r="J1174" i="3"/>
  <c r="H1174" i="3"/>
  <c r="P1175" i="3"/>
  <c r="N1175" i="3"/>
  <c r="L1175" i="3"/>
  <c r="J1175" i="3"/>
  <c r="H1175" i="3"/>
  <c r="Q1175" i="3"/>
  <c r="O1175" i="3"/>
  <c r="M1175" i="3"/>
  <c r="K1175" i="3"/>
  <c r="I1175" i="3"/>
  <c r="A1171" i="4"/>
  <c r="B1171" i="4" s="1"/>
  <c r="C1171" i="4" s="1"/>
  <c r="D1171" i="4" s="1"/>
  <c r="Q1176" i="3"/>
  <c r="O1176" i="3"/>
  <c r="M1176" i="3"/>
  <c r="K1176" i="3"/>
  <c r="I1176" i="3"/>
  <c r="P1176" i="3"/>
  <c r="N1176" i="3"/>
  <c r="L1176" i="3"/>
  <c r="J1176" i="3"/>
  <c r="H1176" i="3"/>
  <c r="P1177" i="3"/>
  <c r="N1177" i="3"/>
  <c r="L1177" i="3"/>
  <c r="J1177" i="3"/>
  <c r="H1177" i="3"/>
  <c r="Q1177" i="3"/>
  <c r="O1177" i="3"/>
  <c r="M1177" i="3"/>
  <c r="K1177" i="3"/>
  <c r="I1177" i="3"/>
  <c r="A1173" i="4"/>
  <c r="B1173" i="4" s="1"/>
  <c r="C1173" i="4" s="1"/>
  <c r="D1173" i="4" s="1"/>
  <c r="Q1178" i="3"/>
  <c r="O1178" i="3"/>
  <c r="M1178" i="3"/>
  <c r="K1178" i="3"/>
  <c r="I1178" i="3"/>
  <c r="P1178" i="3"/>
  <c r="N1178" i="3"/>
  <c r="L1178" i="3"/>
  <c r="J1178" i="3"/>
  <c r="H1178" i="3"/>
  <c r="P1179" i="3"/>
  <c r="N1179" i="3"/>
  <c r="L1179" i="3"/>
  <c r="J1179" i="3"/>
  <c r="H1179" i="3"/>
  <c r="Q1179" i="3"/>
  <c r="O1179" i="3"/>
  <c r="M1179" i="3"/>
  <c r="K1179" i="3"/>
  <c r="I1179" i="3"/>
  <c r="A1175" i="4"/>
  <c r="B1175" i="4" s="1"/>
  <c r="C1175" i="4" s="1"/>
  <c r="D1175" i="4" s="1"/>
  <c r="Q1180" i="3"/>
  <c r="O1180" i="3"/>
  <c r="M1180" i="3"/>
  <c r="K1180" i="3"/>
  <c r="I1180" i="3"/>
  <c r="P1180" i="3"/>
  <c r="N1180" i="3"/>
  <c r="L1180" i="3"/>
  <c r="J1180" i="3"/>
  <c r="H1180" i="3"/>
  <c r="P1181" i="3"/>
  <c r="N1181" i="3"/>
  <c r="L1181" i="3"/>
  <c r="J1181" i="3"/>
  <c r="H1181" i="3"/>
  <c r="Q1181" i="3"/>
  <c r="O1181" i="3"/>
  <c r="M1181" i="3"/>
  <c r="K1181" i="3"/>
  <c r="I1181" i="3"/>
  <c r="A1177" i="4"/>
  <c r="B1177" i="4" s="1"/>
  <c r="C1177" i="4" s="1"/>
  <c r="D1177" i="4" s="1"/>
  <c r="Q1182" i="3"/>
  <c r="O1182" i="3"/>
  <c r="M1182" i="3"/>
  <c r="K1182" i="3"/>
  <c r="I1182" i="3"/>
  <c r="P1182" i="3"/>
  <c r="N1182" i="3"/>
  <c r="L1182" i="3"/>
  <c r="J1182" i="3"/>
  <c r="H1182" i="3"/>
  <c r="P1183" i="3"/>
  <c r="N1183" i="3"/>
  <c r="L1183" i="3"/>
  <c r="J1183" i="3"/>
  <c r="H1183" i="3"/>
  <c r="Q1183" i="3"/>
  <c r="O1183" i="3"/>
  <c r="M1183" i="3"/>
  <c r="K1183" i="3"/>
  <c r="I1183" i="3"/>
  <c r="A1179" i="4"/>
  <c r="B1179" i="4" s="1"/>
  <c r="C1179" i="4" s="1"/>
  <c r="D1179" i="4" s="1"/>
  <c r="Q1184" i="3"/>
  <c r="O1184" i="3"/>
  <c r="M1184" i="3"/>
  <c r="K1184" i="3"/>
  <c r="I1184" i="3"/>
  <c r="P1184" i="3"/>
  <c r="N1184" i="3"/>
  <c r="L1184" i="3"/>
  <c r="J1184" i="3"/>
  <c r="H1184" i="3"/>
  <c r="P1185" i="3"/>
  <c r="N1185" i="3"/>
  <c r="L1185" i="3"/>
  <c r="J1185" i="3"/>
  <c r="H1185" i="3"/>
  <c r="Q1185" i="3"/>
  <c r="O1185" i="3"/>
  <c r="M1185" i="3"/>
  <c r="K1185" i="3"/>
  <c r="I1185" i="3"/>
  <c r="A1181" i="4"/>
  <c r="B1181" i="4" s="1"/>
  <c r="C1181" i="4" s="1"/>
  <c r="D1181" i="4" s="1"/>
  <c r="Q1186" i="3"/>
  <c r="O1186" i="3"/>
  <c r="M1186" i="3"/>
  <c r="K1186" i="3"/>
  <c r="I1186" i="3"/>
  <c r="P1186" i="3"/>
  <c r="N1186" i="3"/>
  <c r="L1186" i="3"/>
  <c r="J1186" i="3"/>
  <c r="H1186" i="3"/>
  <c r="P1187" i="3"/>
  <c r="N1187" i="3"/>
  <c r="L1187" i="3"/>
  <c r="J1187" i="3"/>
  <c r="H1187" i="3"/>
  <c r="Q1187" i="3"/>
  <c r="O1187" i="3"/>
  <c r="M1187" i="3"/>
  <c r="K1187" i="3"/>
  <c r="I1187" i="3"/>
  <c r="A1183" i="4"/>
  <c r="B1183" i="4" s="1"/>
  <c r="C1183" i="4" s="1"/>
  <c r="D1183" i="4" s="1"/>
  <c r="Q1188" i="3"/>
  <c r="O1188" i="3"/>
  <c r="M1188" i="3"/>
  <c r="K1188" i="3"/>
  <c r="I1188" i="3"/>
  <c r="P1188" i="3"/>
  <c r="N1188" i="3"/>
  <c r="L1188" i="3"/>
  <c r="J1188" i="3"/>
  <c r="H1188" i="3"/>
  <c r="P1189" i="3"/>
  <c r="N1189" i="3"/>
  <c r="L1189" i="3"/>
  <c r="J1189" i="3"/>
  <c r="H1189" i="3"/>
  <c r="Q1189" i="3"/>
  <c r="O1189" i="3"/>
  <c r="M1189" i="3"/>
  <c r="K1189" i="3"/>
  <c r="I1189" i="3"/>
  <c r="A1185" i="4"/>
  <c r="B1185" i="4" s="1"/>
  <c r="C1185" i="4" s="1"/>
  <c r="D1185" i="4" s="1"/>
  <c r="Q1190" i="3"/>
  <c r="O1190" i="3"/>
  <c r="M1190" i="3"/>
  <c r="K1190" i="3"/>
  <c r="I1190" i="3"/>
  <c r="P1190" i="3"/>
  <c r="N1190" i="3"/>
  <c r="L1190" i="3"/>
  <c r="J1190" i="3"/>
  <c r="H1190" i="3"/>
  <c r="P1191" i="3"/>
  <c r="N1191" i="3"/>
  <c r="L1191" i="3"/>
  <c r="J1191" i="3"/>
  <c r="H1191" i="3"/>
  <c r="Q1191" i="3"/>
  <c r="O1191" i="3"/>
  <c r="M1191" i="3"/>
  <c r="K1191" i="3"/>
  <c r="I1191" i="3"/>
  <c r="A1187" i="4"/>
  <c r="B1187" i="4" s="1"/>
  <c r="C1187" i="4" s="1"/>
  <c r="D1187" i="4" s="1"/>
  <c r="Q1192" i="3"/>
  <c r="O1192" i="3"/>
  <c r="M1192" i="3"/>
  <c r="K1192" i="3"/>
  <c r="I1192" i="3"/>
  <c r="P1192" i="3"/>
  <c r="N1192" i="3"/>
  <c r="L1192" i="3"/>
  <c r="J1192" i="3"/>
  <c r="H1192" i="3"/>
  <c r="P1193" i="3"/>
  <c r="N1193" i="3"/>
  <c r="L1193" i="3"/>
  <c r="J1193" i="3"/>
  <c r="H1193" i="3"/>
  <c r="Q1193" i="3"/>
  <c r="O1193" i="3"/>
  <c r="M1193" i="3"/>
  <c r="K1193" i="3"/>
  <c r="I1193" i="3"/>
  <c r="A1189" i="4"/>
  <c r="B1189" i="4" s="1"/>
  <c r="C1189" i="4" s="1"/>
  <c r="D1189" i="4" s="1"/>
  <c r="Q1194" i="3"/>
  <c r="O1194" i="3"/>
  <c r="M1194" i="3"/>
  <c r="K1194" i="3"/>
  <c r="I1194" i="3"/>
  <c r="P1194" i="3"/>
  <c r="N1194" i="3"/>
  <c r="L1194" i="3"/>
  <c r="J1194" i="3"/>
  <c r="H1194" i="3"/>
  <c r="P1195" i="3"/>
  <c r="N1195" i="3"/>
  <c r="L1195" i="3"/>
  <c r="J1195" i="3"/>
  <c r="H1195" i="3"/>
  <c r="Q1195" i="3"/>
  <c r="O1195" i="3"/>
  <c r="M1195" i="3"/>
  <c r="K1195" i="3"/>
  <c r="I1195" i="3"/>
  <c r="A1191" i="4"/>
  <c r="B1191" i="4" s="1"/>
  <c r="C1191" i="4" s="1"/>
  <c r="D1191" i="4" s="1"/>
  <c r="Q1196" i="3"/>
  <c r="O1196" i="3"/>
  <c r="M1196" i="3"/>
  <c r="K1196" i="3"/>
  <c r="I1196" i="3"/>
  <c r="P1196" i="3"/>
  <c r="N1196" i="3"/>
  <c r="L1196" i="3"/>
  <c r="J1196" i="3"/>
  <c r="H1196" i="3"/>
  <c r="P1197" i="3"/>
  <c r="N1197" i="3"/>
  <c r="L1197" i="3"/>
  <c r="J1197" i="3"/>
  <c r="H1197" i="3"/>
  <c r="Q1197" i="3"/>
  <c r="O1197" i="3"/>
  <c r="M1197" i="3"/>
  <c r="K1197" i="3"/>
  <c r="I1197" i="3"/>
  <c r="A1193" i="4"/>
  <c r="B1193" i="4" s="1"/>
  <c r="C1193" i="4" s="1"/>
  <c r="D1193" i="4" s="1"/>
  <c r="Q1198" i="3"/>
  <c r="O1198" i="3"/>
  <c r="M1198" i="3"/>
  <c r="K1198" i="3"/>
  <c r="I1198" i="3"/>
  <c r="P1198" i="3"/>
  <c r="N1198" i="3"/>
  <c r="L1198" i="3"/>
  <c r="J1198" i="3"/>
  <c r="H1198" i="3"/>
  <c r="P1199" i="3"/>
  <c r="N1199" i="3"/>
  <c r="L1199" i="3"/>
  <c r="J1199" i="3"/>
  <c r="H1199" i="3"/>
  <c r="Q1199" i="3"/>
  <c r="O1199" i="3"/>
  <c r="M1199" i="3"/>
  <c r="K1199" i="3"/>
  <c r="I1199" i="3"/>
  <c r="A1195" i="4"/>
  <c r="B1195" i="4" s="1"/>
  <c r="C1195" i="4" s="1"/>
  <c r="D1195" i="4" s="1"/>
  <c r="Q1200" i="3"/>
  <c r="O1200" i="3"/>
  <c r="M1200" i="3"/>
  <c r="K1200" i="3"/>
  <c r="I1200" i="3"/>
  <c r="P1200" i="3"/>
  <c r="N1200" i="3"/>
  <c r="L1200" i="3"/>
  <c r="J1200" i="3"/>
  <c r="H1200" i="3"/>
  <c r="P1201" i="3"/>
  <c r="N1201" i="3"/>
  <c r="L1201" i="3"/>
  <c r="J1201" i="3"/>
  <c r="H1201" i="3"/>
  <c r="Q1201" i="3"/>
  <c r="O1201" i="3"/>
  <c r="M1201" i="3"/>
  <c r="K1201" i="3"/>
  <c r="I1201" i="3"/>
  <c r="A1197" i="4"/>
  <c r="B1197" i="4" s="1"/>
  <c r="C1197" i="4" s="1"/>
  <c r="D1197" i="4" s="1"/>
  <c r="Q1202" i="3"/>
  <c r="O1202" i="3"/>
  <c r="M1202" i="3"/>
  <c r="K1202" i="3"/>
  <c r="I1202" i="3"/>
  <c r="P1202" i="3"/>
  <c r="N1202" i="3"/>
  <c r="L1202" i="3"/>
  <c r="J1202" i="3"/>
  <c r="H1202" i="3"/>
  <c r="P1203" i="3"/>
  <c r="N1203" i="3"/>
  <c r="L1203" i="3"/>
  <c r="J1203" i="3"/>
  <c r="H1203" i="3"/>
  <c r="Q1203" i="3"/>
  <c r="O1203" i="3"/>
  <c r="M1203" i="3"/>
  <c r="K1203" i="3"/>
  <c r="I1203" i="3"/>
  <c r="A1199" i="4"/>
  <c r="B1199" i="4" s="1"/>
  <c r="C1199" i="4" s="1"/>
  <c r="D1199" i="4" s="1"/>
  <c r="Q1204" i="3"/>
  <c r="O1204" i="3"/>
  <c r="M1204" i="3"/>
  <c r="K1204" i="3"/>
  <c r="I1204" i="3"/>
  <c r="P1204" i="3"/>
  <c r="N1204" i="3"/>
  <c r="L1204" i="3"/>
  <c r="J1204" i="3"/>
  <c r="H1204" i="3"/>
  <c r="P1205" i="3"/>
  <c r="N1205" i="3"/>
  <c r="L1205" i="3"/>
  <c r="J1205" i="3"/>
  <c r="H1205" i="3"/>
  <c r="Q1205" i="3"/>
  <c r="O1205" i="3"/>
  <c r="M1205" i="3"/>
  <c r="K1205" i="3"/>
  <c r="I1205" i="3"/>
  <c r="A1201" i="4"/>
  <c r="B1201" i="4" s="1"/>
  <c r="C1201" i="4" s="1"/>
  <c r="D1201" i="4" s="1"/>
  <c r="Q1206" i="3"/>
  <c r="O1206" i="3"/>
  <c r="M1206" i="3"/>
  <c r="K1206" i="3"/>
  <c r="I1206" i="3"/>
  <c r="P1206" i="3"/>
  <c r="N1206" i="3"/>
  <c r="L1206" i="3"/>
  <c r="J1206" i="3"/>
  <c r="H1206" i="3"/>
  <c r="P1207" i="3"/>
  <c r="N1207" i="3"/>
  <c r="L1207" i="3"/>
  <c r="J1207" i="3"/>
  <c r="H1207" i="3"/>
  <c r="Q1207" i="3"/>
  <c r="O1207" i="3"/>
  <c r="M1207" i="3"/>
  <c r="K1207" i="3"/>
  <c r="I1207" i="3"/>
  <c r="A1203" i="4"/>
  <c r="B1203" i="4" s="1"/>
  <c r="C1203" i="4" s="1"/>
  <c r="D1203" i="4" s="1"/>
  <c r="Q1208" i="3"/>
  <c r="O1208" i="3"/>
  <c r="M1208" i="3"/>
  <c r="K1208" i="3"/>
  <c r="I1208" i="3"/>
  <c r="P1208" i="3"/>
  <c r="N1208" i="3"/>
  <c r="L1208" i="3"/>
  <c r="J1208" i="3"/>
  <c r="H1208" i="3"/>
  <c r="P1209" i="3"/>
  <c r="N1209" i="3"/>
  <c r="L1209" i="3"/>
  <c r="J1209" i="3"/>
  <c r="H1209" i="3"/>
  <c r="Q1209" i="3"/>
  <c r="O1209" i="3"/>
  <c r="M1209" i="3"/>
  <c r="K1209" i="3"/>
  <c r="I1209" i="3"/>
  <c r="A1205" i="4"/>
  <c r="B1205" i="4" s="1"/>
  <c r="C1205" i="4" s="1"/>
  <c r="D1205" i="4" s="1"/>
  <c r="Q1210" i="3"/>
  <c r="O1210" i="3"/>
  <c r="M1210" i="3"/>
  <c r="K1210" i="3"/>
  <c r="I1210" i="3"/>
  <c r="P1210" i="3"/>
  <c r="N1210" i="3"/>
  <c r="L1210" i="3"/>
  <c r="J1210" i="3"/>
  <c r="H1210" i="3"/>
  <c r="P1211" i="3"/>
  <c r="N1211" i="3"/>
  <c r="L1211" i="3"/>
  <c r="J1211" i="3"/>
  <c r="H1211" i="3"/>
  <c r="Q1211" i="3"/>
  <c r="O1211" i="3"/>
  <c r="M1211" i="3"/>
  <c r="K1211" i="3"/>
  <c r="I1211" i="3"/>
  <c r="A1207" i="4"/>
  <c r="B1207" i="4" s="1"/>
  <c r="C1207" i="4" s="1"/>
  <c r="D1207" i="4" s="1"/>
  <c r="Q1212" i="3"/>
  <c r="O1212" i="3"/>
  <c r="M1212" i="3"/>
  <c r="K1212" i="3"/>
  <c r="I1212" i="3"/>
  <c r="P1212" i="3"/>
  <c r="N1212" i="3"/>
  <c r="L1212" i="3"/>
  <c r="J1212" i="3"/>
  <c r="H1212" i="3"/>
  <c r="P1213" i="3"/>
  <c r="N1213" i="3"/>
  <c r="L1213" i="3"/>
  <c r="J1213" i="3"/>
  <c r="H1213" i="3"/>
  <c r="Q1213" i="3"/>
  <c r="O1213" i="3"/>
  <c r="M1213" i="3"/>
  <c r="K1213" i="3"/>
  <c r="I1213" i="3"/>
  <c r="A1209" i="4"/>
  <c r="B1209" i="4" s="1"/>
  <c r="C1209" i="4" s="1"/>
  <c r="D1209" i="4" s="1"/>
  <c r="Q1214" i="3"/>
  <c r="O1214" i="3"/>
  <c r="M1214" i="3"/>
  <c r="K1214" i="3"/>
  <c r="I1214" i="3"/>
  <c r="P1214" i="3"/>
  <c r="N1214" i="3"/>
  <c r="L1214" i="3"/>
  <c r="J1214" i="3"/>
  <c r="H1214" i="3"/>
  <c r="P1215" i="3"/>
  <c r="N1215" i="3"/>
  <c r="L1215" i="3"/>
  <c r="J1215" i="3"/>
  <c r="H1215" i="3"/>
  <c r="Q1215" i="3"/>
  <c r="O1215" i="3"/>
  <c r="M1215" i="3"/>
  <c r="K1215" i="3"/>
  <c r="I1215" i="3"/>
  <c r="A1211" i="4"/>
  <c r="B1211" i="4" s="1"/>
  <c r="C1211" i="4" s="1"/>
  <c r="D1211" i="4" s="1"/>
  <c r="Q1216" i="3"/>
  <c r="O1216" i="3"/>
  <c r="M1216" i="3"/>
  <c r="K1216" i="3"/>
  <c r="I1216" i="3"/>
  <c r="P1216" i="3"/>
  <c r="N1216" i="3"/>
  <c r="L1216" i="3"/>
  <c r="J1216" i="3"/>
  <c r="H1216" i="3"/>
  <c r="A1213" i="4"/>
  <c r="B1213" i="4" s="1"/>
  <c r="C1213" i="4" s="1"/>
  <c r="D1213" i="4" s="1"/>
  <c r="Q22" i="3"/>
  <c r="O22" i="3"/>
  <c r="M22" i="3"/>
  <c r="K22" i="3"/>
  <c r="I22" i="3"/>
  <c r="P22" i="3"/>
  <c r="N22" i="3"/>
  <c r="L22" i="3"/>
  <c r="J22" i="3"/>
  <c r="H22" i="3"/>
  <c r="A20" i="4"/>
  <c r="B20" i="4" s="1"/>
  <c r="C20" i="4" s="1"/>
  <c r="D20" i="4" s="1"/>
  <c r="Q26" i="3"/>
  <c r="O26" i="3"/>
  <c r="M26" i="3"/>
  <c r="K26" i="3"/>
  <c r="I26" i="3"/>
  <c r="P26" i="3"/>
  <c r="N26" i="3"/>
  <c r="L26" i="3"/>
  <c r="J26" i="3"/>
  <c r="H26" i="3"/>
  <c r="A24" i="4"/>
  <c r="B24" i="4" s="1"/>
  <c r="C24" i="4" s="1"/>
  <c r="D24" i="4" s="1"/>
  <c r="Q30" i="3"/>
  <c r="O30" i="3"/>
  <c r="M30" i="3"/>
  <c r="K30" i="3"/>
  <c r="I30" i="3"/>
  <c r="P30" i="3"/>
  <c r="N30" i="3"/>
  <c r="L30" i="3"/>
  <c r="J30" i="3"/>
  <c r="H30" i="3"/>
  <c r="A28" i="4"/>
  <c r="B28" i="4" s="1"/>
  <c r="C28" i="4" s="1"/>
  <c r="D28" i="4" s="1"/>
  <c r="Q34" i="3"/>
  <c r="O34" i="3"/>
  <c r="M34" i="3"/>
  <c r="K34" i="3"/>
  <c r="I34" i="3"/>
  <c r="P34" i="3"/>
  <c r="N34" i="3"/>
  <c r="L34" i="3"/>
  <c r="J34" i="3"/>
  <c r="H34" i="3"/>
  <c r="A32" i="4"/>
  <c r="B32" i="4" s="1"/>
  <c r="C32" i="4" s="1"/>
  <c r="D32" i="4" s="1"/>
  <c r="Q38" i="3"/>
  <c r="O38" i="3"/>
  <c r="M38" i="3"/>
  <c r="K38" i="3"/>
  <c r="I38" i="3"/>
  <c r="P38" i="3"/>
  <c r="N38" i="3"/>
  <c r="L38" i="3"/>
  <c r="J38" i="3"/>
  <c r="H38" i="3"/>
  <c r="A36" i="4"/>
  <c r="B36" i="4" s="1"/>
  <c r="C36" i="4" s="1"/>
  <c r="D36" i="4" s="1"/>
  <c r="Q42" i="3"/>
  <c r="B38" i="4" s="1"/>
  <c r="O42" i="3"/>
  <c r="K42" i="3"/>
  <c r="I42" i="3"/>
  <c r="P42" i="3"/>
  <c r="L42" i="3"/>
  <c r="J42" i="3"/>
  <c r="H42" i="3"/>
  <c r="M42" i="3" s="1"/>
  <c r="A40" i="4"/>
  <c r="B40" i="4" s="1"/>
  <c r="C40" i="4" s="1"/>
  <c r="D40" i="4" s="1"/>
  <c r="Q46" i="3"/>
  <c r="O46" i="3"/>
  <c r="M46" i="3"/>
  <c r="K46" i="3"/>
  <c r="I46" i="3"/>
  <c r="P46" i="3"/>
  <c r="N46" i="3"/>
  <c r="L46" i="3"/>
  <c r="J46" i="3"/>
  <c r="H46" i="3"/>
  <c r="A44" i="4"/>
  <c r="B44" i="4" s="1"/>
  <c r="Q50" i="3"/>
  <c r="O50" i="3"/>
  <c r="M50" i="3"/>
  <c r="K50" i="3"/>
  <c r="I50" i="3"/>
  <c r="P50" i="3"/>
  <c r="N50" i="3"/>
  <c r="L50" i="3"/>
  <c r="J50" i="3"/>
  <c r="H50" i="3"/>
  <c r="A48" i="4"/>
  <c r="B48" i="4" s="1"/>
  <c r="Q54" i="3"/>
  <c r="O54" i="3"/>
  <c r="M54" i="3"/>
  <c r="K54" i="3"/>
  <c r="I54" i="3"/>
  <c r="P54" i="3"/>
  <c r="N54" i="3"/>
  <c r="L54" i="3"/>
  <c r="J54" i="3"/>
  <c r="H54" i="3"/>
  <c r="A52" i="4"/>
  <c r="B52" i="4" s="1"/>
  <c r="C52" i="4" s="1"/>
  <c r="D52" i="4" s="1"/>
  <c r="Q58" i="3"/>
  <c r="O58" i="3"/>
  <c r="M58" i="3"/>
  <c r="K58" i="3"/>
  <c r="I58" i="3"/>
  <c r="P58" i="3"/>
  <c r="N58" i="3"/>
  <c r="L58" i="3"/>
  <c r="J58" i="3"/>
  <c r="H58" i="3"/>
  <c r="A56" i="4"/>
  <c r="B56" i="4" s="1"/>
  <c r="C56" i="4" s="1"/>
  <c r="D56" i="4" s="1"/>
  <c r="Q62" i="3"/>
  <c r="B58" i="4" s="1"/>
  <c r="O62" i="3"/>
  <c r="K62" i="3"/>
  <c r="I62" i="3"/>
  <c r="P62" i="3"/>
  <c r="L62" i="3"/>
  <c r="J62" i="3"/>
  <c r="H62" i="3"/>
  <c r="M62" i="3" s="1"/>
  <c r="A60" i="4"/>
  <c r="B60" i="4" s="1"/>
  <c r="C60" i="4" s="1"/>
  <c r="D60" i="4" s="1"/>
  <c r="Q66" i="3"/>
  <c r="O66" i="3"/>
  <c r="M66" i="3"/>
  <c r="K66" i="3"/>
  <c r="I66" i="3"/>
  <c r="P66" i="3"/>
  <c r="N66" i="3"/>
  <c r="L66" i="3"/>
  <c r="J66" i="3"/>
  <c r="H66" i="3"/>
  <c r="A64" i="4"/>
  <c r="B64" i="4" s="1"/>
  <c r="C64" i="4" s="1"/>
  <c r="D64" i="4" s="1"/>
  <c r="Q70" i="3"/>
  <c r="O70" i="3"/>
  <c r="M70" i="3"/>
  <c r="K70" i="3"/>
  <c r="I70" i="3"/>
  <c r="P70" i="3"/>
  <c r="N70" i="3"/>
  <c r="L70" i="3"/>
  <c r="J70" i="3"/>
  <c r="H70" i="3"/>
  <c r="A68" i="4"/>
  <c r="B68" i="4" s="1"/>
  <c r="C68" i="4" s="1"/>
  <c r="D68" i="4" s="1"/>
  <c r="Q74" i="3"/>
  <c r="O74" i="3"/>
  <c r="M74" i="3"/>
  <c r="K74" i="3"/>
  <c r="I74" i="3"/>
  <c r="P74" i="3"/>
  <c r="N74" i="3"/>
  <c r="L74" i="3"/>
  <c r="J74" i="3"/>
  <c r="H74" i="3"/>
  <c r="A72" i="4"/>
  <c r="B72" i="4" s="1"/>
  <c r="C72" i="4" s="1"/>
  <c r="D72" i="4" s="1"/>
  <c r="Q78" i="3"/>
  <c r="O78" i="3"/>
  <c r="M78" i="3"/>
  <c r="K78" i="3"/>
  <c r="I78" i="3"/>
  <c r="P78" i="3"/>
  <c r="N78" i="3"/>
  <c r="L78" i="3"/>
  <c r="J78" i="3"/>
  <c r="H78" i="3"/>
  <c r="A76" i="4"/>
  <c r="B76" i="4" s="1"/>
  <c r="Q82" i="3"/>
  <c r="B78" i="4" s="1"/>
  <c r="O82" i="3"/>
  <c r="K82" i="3"/>
  <c r="I82" i="3"/>
  <c r="P82" i="3"/>
  <c r="L82" i="3"/>
  <c r="J82" i="3"/>
  <c r="H82" i="3"/>
  <c r="M82" i="3" s="1"/>
  <c r="A80" i="4"/>
  <c r="B80" i="4" s="1"/>
  <c r="Q86" i="3"/>
  <c r="O86" i="3"/>
  <c r="M86" i="3"/>
  <c r="K86" i="3"/>
  <c r="I86" i="3"/>
  <c r="P86" i="3"/>
  <c r="N86" i="3"/>
  <c r="L86" i="3"/>
  <c r="J86" i="3"/>
  <c r="H86" i="3"/>
  <c r="A84" i="4"/>
  <c r="B84" i="4" s="1"/>
  <c r="C84" i="4" s="1"/>
  <c r="D84" i="4" s="1"/>
  <c r="Q90" i="3"/>
  <c r="B86" i="4" s="1"/>
  <c r="O90" i="3"/>
  <c r="K90" i="3"/>
  <c r="I90" i="3"/>
  <c r="P90" i="3"/>
  <c r="L90" i="3"/>
  <c r="J90" i="3"/>
  <c r="H90" i="3"/>
  <c r="M90" i="3" s="1"/>
  <c r="A88" i="4"/>
  <c r="B88" i="4" s="1"/>
  <c r="Q94" i="3"/>
  <c r="O94" i="3"/>
  <c r="M94" i="3"/>
  <c r="K94" i="3"/>
  <c r="I94" i="3"/>
  <c r="P94" i="3"/>
  <c r="N94" i="3"/>
  <c r="L94" i="3"/>
  <c r="J94" i="3"/>
  <c r="H94" i="3"/>
  <c r="A92" i="4"/>
  <c r="B92" i="4" s="1"/>
  <c r="Q98" i="3"/>
  <c r="O98" i="3"/>
  <c r="M98" i="3"/>
  <c r="K98" i="3"/>
  <c r="I98" i="3"/>
  <c r="P98" i="3"/>
  <c r="N98" i="3"/>
  <c r="L98" i="3"/>
  <c r="J98" i="3"/>
  <c r="H98" i="3"/>
  <c r="A96" i="4"/>
  <c r="B96" i="4" s="1"/>
  <c r="C96" i="4" s="1"/>
  <c r="D96" i="4" s="1"/>
  <c r="Q102" i="3"/>
  <c r="O102" i="3"/>
  <c r="M102" i="3"/>
  <c r="K102" i="3"/>
  <c r="I102" i="3"/>
  <c r="P102" i="3"/>
  <c r="N102" i="3"/>
  <c r="L102" i="3"/>
  <c r="J102" i="3"/>
  <c r="H102" i="3"/>
  <c r="A100" i="4"/>
  <c r="B100" i="4" s="1"/>
  <c r="C100" i="4" s="1"/>
  <c r="D100" i="4" s="1"/>
  <c r="Q106" i="3"/>
  <c r="O106" i="3"/>
  <c r="M106" i="3"/>
  <c r="K106" i="3"/>
  <c r="I106" i="3"/>
  <c r="P106" i="3"/>
  <c r="N106" i="3"/>
  <c r="L106" i="3"/>
  <c r="J106" i="3"/>
  <c r="H106" i="3"/>
  <c r="A104" i="4"/>
  <c r="B104" i="4" s="1"/>
  <c r="C104" i="4" s="1"/>
  <c r="D104" i="4" s="1"/>
  <c r="Q110" i="3"/>
  <c r="O110" i="3"/>
  <c r="M110" i="3"/>
  <c r="K110" i="3"/>
  <c r="I110" i="3"/>
  <c r="P110" i="3"/>
  <c r="N110" i="3"/>
  <c r="L110" i="3"/>
  <c r="J110" i="3"/>
  <c r="H110" i="3"/>
  <c r="A108" i="4"/>
  <c r="B108" i="4" s="1"/>
  <c r="C108" i="4" s="1"/>
  <c r="D108" i="4" s="1"/>
  <c r="Q114" i="3"/>
  <c r="O114" i="3"/>
  <c r="M114" i="3"/>
  <c r="K114" i="3"/>
  <c r="I114" i="3"/>
  <c r="P114" i="3"/>
  <c r="N114" i="3"/>
  <c r="L114" i="3"/>
  <c r="J114" i="3"/>
  <c r="H114" i="3"/>
  <c r="A112" i="4"/>
  <c r="B112" i="4" s="1"/>
  <c r="C112" i="4" s="1"/>
  <c r="D112" i="4" s="1"/>
  <c r="Q118" i="3"/>
  <c r="O118" i="3"/>
  <c r="M118" i="3"/>
  <c r="K118" i="3"/>
  <c r="I118" i="3"/>
  <c r="P118" i="3"/>
  <c r="N118" i="3"/>
  <c r="L118" i="3"/>
  <c r="J118" i="3"/>
  <c r="H118" i="3"/>
  <c r="A116" i="4"/>
  <c r="B116" i="4" s="1"/>
  <c r="C116" i="4" s="1"/>
  <c r="D116" i="4" s="1"/>
  <c r="Q122" i="3"/>
  <c r="O122" i="3"/>
  <c r="M122" i="3"/>
  <c r="K122" i="3"/>
  <c r="I122" i="3"/>
  <c r="P122" i="3"/>
  <c r="N122" i="3"/>
  <c r="L122" i="3"/>
  <c r="J122" i="3"/>
  <c r="H122" i="3"/>
  <c r="A120" i="4"/>
  <c r="B120" i="4" s="1"/>
  <c r="C120" i="4" s="1"/>
  <c r="D120" i="4" s="1"/>
  <c r="Q126" i="3"/>
  <c r="O126" i="3"/>
  <c r="M126" i="3"/>
  <c r="K126" i="3"/>
  <c r="I126" i="3"/>
  <c r="P126" i="3"/>
  <c r="N126" i="3"/>
  <c r="L126" i="3"/>
  <c r="J126" i="3"/>
  <c r="H126" i="3"/>
  <c r="A124" i="4"/>
  <c r="B124" i="4" s="1"/>
  <c r="C124" i="4" s="1"/>
  <c r="D124" i="4" s="1"/>
  <c r="Q130" i="3"/>
  <c r="O130" i="3"/>
  <c r="M130" i="3"/>
  <c r="K130" i="3"/>
  <c r="I130" i="3"/>
  <c r="P130" i="3"/>
  <c r="N130" i="3"/>
  <c r="L130" i="3"/>
  <c r="J130" i="3"/>
  <c r="H130" i="3"/>
  <c r="A128" i="4"/>
  <c r="B128" i="4" s="1"/>
  <c r="C128" i="4" s="1"/>
  <c r="D128" i="4" s="1"/>
  <c r="Q134" i="3"/>
  <c r="O134" i="3"/>
  <c r="M134" i="3"/>
  <c r="K134" i="3"/>
  <c r="I134" i="3"/>
  <c r="P134" i="3"/>
  <c r="N134" i="3"/>
  <c r="L134" i="3"/>
  <c r="J134" i="3"/>
  <c r="H134" i="3"/>
  <c r="A132" i="4"/>
  <c r="B132" i="4" s="1"/>
  <c r="C132" i="4" s="1"/>
  <c r="D132" i="4" s="1"/>
  <c r="Q138" i="3"/>
  <c r="O138" i="3"/>
  <c r="M138" i="3"/>
  <c r="K138" i="3"/>
  <c r="I138" i="3"/>
  <c r="P138" i="3"/>
  <c r="N138" i="3"/>
  <c r="L138" i="3"/>
  <c r="J138" i="3"/>
  <c r="H138" i="3"/>
  <c r="A136" i="4"/>
  <c r="B136" i="4" s="1"/>
  <c r="C136" i="4" s="1"/>
  <c r="D136" i="4" s="1"/>
  <c r="Q142" i="3"/>
  <c r="O142" i="3"/>
  <c r="M142" i="3"/>
  <c r="K142" i="3"/>
  <c r="I142" i="3"/>
  <c r="P142" i="3"/>
  <c r="N142" i="3"/>
  <c r="L142" i="3"/>
  <c r="J142" i="3"/>
  <c r="H142" i="3"/>
  <c r="A140" i="4"/>
  <c r="B140" i="4" s="1"/>
  <c r="Q146" i="3"/>
  <c r="O146" i="3"/>
  <c r="M146" i="3"/>
  <c r="K146" i="3"/>
  <c r="I146" i="3"/>
  <c r="P146" i="3"/>
  <c r="N146" i="3"/>
  <c r="L146" i="3"/>
  <c r="J146" i="3"/>
  <c r="H146" i="3"/>
  <c r="A144" i="4"/>
  <c r="B144" i="4" s="1"/>
  <c r="C144" i="4" s="1"/>
  <c r="D144" i="4" s="1"/>
  <c r="Q150" i="3"/>
  <c r="O150" i="3"/>
  <c r="M150" i="3"/>
  <c r="K150" i="3"/>
  <c r="I150" i="3"/>
  <c r="P150" i="3"/>
  <c r="N150" i="3"/>
  <c r="L150" i="3"/>
  <c r="J150" i="3"/>
  <c r="H150" i="3"/>
  <c r="A148" i="4"/>
  <c r="B148" i="4" s="1"/>
  <c r="C148" i="4" s="1"/>
  <c r="D148" i="4" s="1"/>
  <c r="Q154" i="3"/>
  <c r="O154" i="3"/>
  <c r="M154" i="3"/>
  <c r="K154" i="3"/>
  <c r="I154" i="3"/>
  <c r="P154" i="3"/>
  <c r="N154" i="3"/>
  <c r="L154" i="3"/>
  <c r="J154" i="3"/>
  <c r="H154" i="3"/>
  <c r="A152" i="4"/>
  <c r="B152" i="4" s="1"/>
  <c r="C152" i="4" s="1"/>
  <c r="D152" i="4" s="1"/>
  <c r="Q158" i="3"/>
  <c r="O158" i="3"/>
  <c r="M158" i="3"/>
  <c r="K158" i="3"/>
  <c r="I158" i="3"/>
  <c r="P158" i="3"/>
  <c r="N158" i="3"/>
  <c r="L158" i="3"/>
  <c r="J158" i="3"/>
  <c r="H158" i="3"/>
  <c r="A156" i="4"/>
  <c r="B156" i="4" s="1"/>
  <c r="Q162" i="3"/>
  <c r="O162" i="3"/>
  <c r="M162" i="3"/>
  <c r="K162" i="3"/>
  <c r="I162" i="3"/>
  <c r="P162" i="3"/>
  <c r="N162" i="3"/>
  <c r="L162" i="3"/>
  <c r="J162" i="3"/>
  <c r="H162" i="3"/>
  <c r="A160" i="4"/>
  <c r="B160" i="4" s="1"/>
  <c r="C160" i="4" s="1"/>
  <c r="D160" i="4" s="1"/>
  <c r="Q166" i="3"/>
  <c r="O166" i="3"/>
  <c r="M166" i="3"/>
  <c r="K166" i="3"/>
  <c r="I166" i="3"/>
  <c r="P166" i="3"/>
  <c r="N166" i="3"/>
  <c r="L166" i="3"/>
  <c r="J166" i="3"/>
  <c r="H166" i="3"/>
  <c r="A164" i="4"/>
  <c r="B164" i="4" s="1"/>
  <c r="Q170" i="3"/>
  <c r="O170" i="3"/>
  <c r="M170" i="3"/>
  <c r="K170" i="3"/>
  <c r="I170" i="3"/>
  <c r="P170" i="3"/>
  <c r="N170" i="3"/>
  <c r="L170" i="3"/>
  <c r="J170" i="3"/>
  <c r="H170" i="3"/>
  <c r="A168" i="4"/>
  <c r="B168" i="4" s="1"/>
  <c r="C168" i="4" s="1"/>
  <c r="D168" i="4" s="1"/>
  <c r="Q174" i="3"/>
  <c r="O174" i="3"/>
  <c r="M174" i="3"/>
  <c r="K174" i="3"/>
  <c r="I174" i="3"/>
  <c r="P174" i="3"/>
  <c r="N174" i="3"/>
  <c r="L174" i="3"/>
  <c r="J174" i="3"/>
  <c r="H174" i="3"/>
  <c r="A172" i="4"/>
  <c r="B172" i="4" s="1"/>
  <c r="C172" i="4" s="1"/>
  <c r="D172" i="4" s="1"/>
  <c r="Q178" i="3"/>
  <c r="B174" i="4" s="1"/>
  <c r="O178" i="3"/>
  <c r="K178" i="3"/>
  <c r="I178" i="3"/>
  <c r="P178" i="3"/>
  <c r="L178" i="3"/>
  <c r="J178" i="3"/>
  <c r="H178" i="3"/>
  <c r="M178" i="3" s="1"/>
  <c r="A176" i="4"/>
  <c r="B176" i="4" s="1"/>
  <c r="Q182" i="3"/>
  <c r="O182" i="3"/>
  <c r="M182" i="3"/>
  <c r="K182" i="3"/>
  <c r="I182" i="3"/>
  <c r="P182" i="3"/>
  <c r="N182" i="3"/>
  <c r="L182" i="3"/>
  <c r="J182" i="3"/>
  <c r="H182" i="3"/>
  <c r="A180" i="4"/>
  <c r="B180" i="4" s="1"/>
  <c r="C180" i="4" s="1"/>
  <c r="D180" i="4" s="1"/>
  <c r="Q186" i="3"/>
  <c r="O186" i="3"/>
  <c r="M186" i="3"/>
  <c r="K186" i="3"/>
  <c r="I186" i="3"/>
  <c r="P186" i="3"/>
  <c r="N186" i="3"/>
  <c r="L186" i="3"/>
  <c r="J186" i="3"/>
  <c r="H186" i="3"/>
  <c r="A184" i="4"/>
  <c r="B184" i="4" s="1"/>
  <c r="C184" i="4" s="1"/>
  <c r="D184" i="4" s="1"/>
  <c r="Q190" i="3"/>
  <c r="B186" i="4" s="1"/>
  <c r="O190" i="3"/>
  <c r="M190" i="3"/>
  <c r="K190" i="3"/>
  <c r="I190" i="3"/>
  <c r="P190" i="3"/>
  <c r="N190" i="3"/>
  <c r="L190" i="3"/>
  <c r="J190" i="3"/>
  <c r="H190" i="3"/>
  <c r="A188" i="4"/>
  <c r="B188" i="4" s="1"/>
  <c r="C188" i="4" s="1"/>
  <c r="D188" i="4" s="1"/>
  <c r="Q194" i="3"/>
  <c r="O194" i="3"/>
  <c r="M194" i="3"/>
  <c r="K194" i="3"/>
  <c r="I194" i="3"/>
  <c r="P194" i="3"/>
  <c r="N194" i="3"/>
  <c r="L194" i="3"/>
  <c r="J194" i="3"/>
  <c r="H194" i="3"/>
  <c r="A192" i="4"/>
  <c r="B192" i="4" s="1"/>
  <c r="C192" i="4" s="1"/>
  <c r="D192" i="4" s="1"/>
  <c r="Q198" i="3"/>
  <c r="O198" i="3"/>
  <c r="M198" i="3"/>
  <c r="K198" i="3"/>
  <c r="I198" i="3"/>
  <c r="P198" i="3"/>
  <c r="N198" i="3"/>
  <c r="L198" i="3"/>
  <c r="J198" i="3"/>
  <c r="H198" i="3"/>
  <c r="A196" i="4"/>
  <c r="B196" i="4" s="1"/>
  <c r="C196" i="4" s="1"/>
  <c r="D196" i="4" s="1"/>
  <c r="Q202" i="3"/>
  <c r="O202" i="3"/>
  <c r="M202" i="3"/>
  <c r="K202" i="3"/>
  <c r="I202" i="3"/>
  <c r="P202" i="3"/>
  <c r="N202" i="3"/>
  <c r="L202" i="3"/>
  <c r="J202" i="3"/>
  <c r="H202" i="3"/>
  <c r="A200" i="4"/>
  <c r="B200" i="4" s="1"/>
  <c r="C200" i="4" s="1"/>
  <c r="D200" i="4" s="1"/>
  <c r="Q206" i="3"/>
  <c r="O206" i="3"/>
  <c r="M206" i="3"/>
  <c r="K206" i="3"/>
  <c r="I206" i="3"/>
  <c r="P206" i="3"/>
  <c r="N206" i="3"/>
  <c r="L206" i="3"/>
  <c r="J206" i="3"/>
  <c r="H206" i="3"/>
  <c r="A204" i="4"/>
  <c r="B204" i="4" s="1"/>
  <c r="C204" i="4" s="1"/>
  <c r="D204" i="4" s="1"/>
  <c r="Q210" i="3"/>
  <c r="O210" i="3"/>
  <c r="M210" i="3"/>
  <c r="K210" i="3"/>
  <c r="I210" i="3"/>
  <c r="P210" i="3"/>
  <c r="N210" i="3"/>
  <c r="L210" i="3"/>
  <c r="J210" i="3"/>
  <c r="H210" i="3"/>
  <c r="A208" i="4"/>
  <c r="B208" i="4" s="1"/>
  <c r="C208" i="4" s="1"/>
  <c r="D208" i="4" s="1"/>
  <c r="Q214" i="3"/>
  <c r="O214" i="3"/>
  <c r="M214" i="3"/>
  <c r="K214" i="3"/>
  <c r="I214" i="3"/>
  <c r="P214" i="3"/>
  <c r="N214" i="3"/>
  <c r="L214" i="3"/>
  <c r="J214" i="3"/>
  <c r="H214" i="3"/>
  <c r="A212" i="4"/>
  <c r="B212" i="4" s="1"/>
  <c r="C212" i="4" s="1"/>
  <c r="D212" i="4" s="1"/>
  <c r="Q218" i="3"/>
  <c r="O218" i="3"/>
  <c r="M218" i="3"/>
  <c r="K218" i="3"/>
  <c r="I218" i="3"/>
  <c r="P218" i="3"/>
  <c r="N218" i="3"/>
  <c r="L218" i="3"/>
  <c r="J218" i="3"/>
  <c r="H218" i="3"/>
  <c r="A216" i="4"/>
  <c r="B216" i="4" s="1"/>
  <c r="C216" i="4" s="1"/>
  <c r="D216" i="4" s="1"/>
  <c r="Q222" i="3"/>
  <c r="O222" i="3"/>
  <c r="M222" i="3"/>
  <c r="K222" i="3"/>
  <c r="I222" i="3"/>
  <c r="P222" i="3"/>
  <c r="N222" i="3"/>
  <c r="L222" i="3"/>
  <c r="J222" i="3"/>
  <c r="H222" i="3"/>
  <c r="A220" i="4"/>
  <c r="B220" i="4" s="1"/>
  <c r="C220" i="4" s="1"/>
  <c r="D220" i="4" s="1"/>
  <c r="Q226" i="3"/>
  <c r="O226" i="3"/>
  <c r="M226" i="3"/>
  <c r="K226" i="3"/>
  <c r="I226" i="3"/>
  <c r="P226" i="3"/>
  <c r="N226" i="3"/>
  <c r="L226" i="3"/>
  <c r="J226" i="3"/>
  <c r="H226" i="3"/>
  <c r="A224" i="4"/>
  <c r="B224" i="4" s="1"/>
  <c r="C224" i="4" s="1"/>
  <c r="D224" i="4" s="1"/>
  <c r="Q230" i="3"/>
  <c r="O230" i="3"/>
  <c r="M230" i="3"/>
  <c r="K230" i="3"/>
  <c r="I230" i="3"/>
  <c r="P230" i="3"/>
  <c r="N230" i="3"/>
  <c r="L230" i="3"/>
  <c r="J230" i="3"/>
  <c r="H230" i="3"/>
  <c r="A228" i="4"/>
  <c r="B228" i="4" s="1"/>
  <c r="C228" i="4" s="1"/>
  <c r="D228" i="4" s="1"/>
  <c r="Q234" i="3"/>
  <c r="O234" i="3"/>
  <c r="M234" i="3"/>
  <c r="K234" i="3"/>
  <c r="I234" i="3"/>
  <c r="P234" i="3"/>
  <c r="N234" i="3"/>
  <c r="L234" i="3"/>
  <c r="J234" i="3"/>
  <c r="H234" i="3"/>
  <c r="A232" i="4"/>
  <c r="B232" i="4" s="1"/>
  <c r="C232" i="4" s="1"/>
  <c r="D232" i="4" s="1"/>
  <c r="Q238" i="3"/>
  <c r="O238" i="3"/>
  <c r="M238" i="3"/>
  <c r="K238" i="3"/>
  <c r="I238" i="3"/>
  <c r="P238" i="3"/>
  <c r="N238" i="3"/>
  <c r="L238" i="3"/>
  <c r="J238" i="3"/>
  <c r="H238" i="3"/>
  <c r="A236" i="4"/>
  <c r="B236" i="4" s="1"/>
  <c r="C236" i="4" s="1"/>
  <c r="D236" i="4" s="1"/>
  <c r="Q242" i="3"/>
  <c r="O242" i="3"/>
  <c r="M242" i="3"/>
  <c r="K242" i="3"/>
  <c r="I242" i="3"/>
  <c r="P242" i="3"/>
  <c r="N242" i="3"/>
  <c r="L242" i="3"/>
  <c r="J242" i="3"/>
  <c r="H242" i="3"/>
  <c r="A240" i="4"/>
  <c r="B240" i="4" s="1"/>
  <c r="C240" i="4" s="1"/>
  <c r="D240" i="4" s="1"/>
  <c r="Q246" i="3"/>
  <c r="O246" i="3"/>
  <c r="M246" i="3"/>
  <c r="K246" i="3"/>
  <c r="I246" i="3"/>
  <c r="P246" i="3"/>
  <c r="N246" i="3"/>
  <c r="L246" i="3"/>
  <c r="J246" i="3"/>
  <c r="H246" i="3"/>
  <c r="A244" i="4"/>
  <c r="B244" i="4" s="1"/>
  <c r="C244" i="4" s="1"/>
  <c r="D244" i="4" s="1"/>
  <c r="Q250" i="3"/>
  <c r="O250" i="3"/>
  <c r="M250" i="3"/>
  <c r="K250" i="3"/>
  <c r="I250" i="3"/>
  <c r="P250" i="3"/>
  <c r="N250" i="3"/>
  <c r="L250" i="3"/>
  <c r="J250" i="3"/>
  <c r="H250" i="3"/>
  <c r="A248" i="4"/>
  <c r="B248" i="4" s="1"/>
  <c r="C248" i="4" s="1"/>
  <c r="D248" i="4" s="1"/>
  <c r="Q254" i="3"/>
  <c r="O254" i="3"/>
  <c r="M254" i="3"/>
  <c r="K254" i="3"/>
  <c r="I254" i="3"/>
  <c r="P254" i="3"/>
  <c r="N254" i="3"/>
  <c r="L254" i="3"/>
  <c r="J254" i="3"/>
  <c r="H254" i="3"/>
  <c r="A252" i="4"/>
  <c r="B252" i="4" s="1"/>
  <c r="C252" i="4" s="1"/>
  <c r="D252" i="4" s="1"/>
  <c r="Q258" i="3"/>
  <c r="O258" i="3"/>
  <c r="M258" i="3"/>
  <c r="K258" i="3"/>
  <c r="I258" i="3"/>
  <c r="P258" i="3"/>
  <c r="N258" i="3"/>
  <c r="L258" i="3"/>
  <c r="J258" i="3"/>
  <c r="H258" i="3"/>
  <c r="A256" i="4"/>
  <c r="B256" i="4" s="1"/>
  <c r="C256" i="4" s="1"/>
  <c r="D256" i="4" s="1"/>
  <c r="Q262" i="3"/>
  <c r="O262" i="3"/>
  <c r="M262" i="3"/>
  <c r="K262" i="3"/>
  <c r="I262" i="3"/>
  <c r="P262" i="3"/>
  <c r="N262" i="3"/>
  <c r="L262" i="3"/>
  <c r="J262" i="3"/>
  <c r="H262" i="3"/>
  <c r="A260" i="4"/>
  <c r="B260" i="4" s="1"/>
  <c r="C260" i="4" s="1"/>
  <c r="D260" i="4" s="1"/>
  <c r="Q266" i="3"/>
  <c r="O266" i="3"/>
  <c r="M266" i="3"/>
  <c r="K266" i="3"/>
  <c r="I266" i="3"/>
  <c r="P266" i="3"/>
  <c r="N266" i="3"/>
  <c r="L266" i="3"/>
  <c r="J266" i="3"/>
  <c r="H266" i="3"/>
  <c r="A264" i="4"/>
  <c r="B264" i="4" s="1"/>
  <c r="C264" i="4" s="1"/>
  <c r="D264" i="4" s="1"/>
  <c r="Q270" i="3"/>
  <c r="O270" i="3"/>
  <c r="M270" i="3"/>
  <c r="K270" i="3"/>
  <c r="I270" i="3"/>
  <c r="P270" i="3"/>
  <c r="N270" i="3"/>
  <c r="L270" i="3"/>
  <c r="J270" i="3"/>
  <c r="H270" i="3"/>
  <c r="A268" i="4"/>
  <c r="B268" i="4" s="1"/>
  <c r="C268" i="4" s="1"/>
  <c r="D268" i="4" s="1"/>
  <c r="Q274" i="3"/>
  <c r="O274" i="3"/>
  <c r="M274" i="3"/>
  <c r="K274" i="3"/>
  <c r="I274" i="3"/>
  <c r="P274" i="3"/>
  <c r="N274" i="3"/>
  <c r="L274" i="3"/>
  <c r="J274" i="3"/>
  <c r="H274" i="3"/>
  <c r="A272" i="4"/>
  <c r="B272" i="4" s="1"/>
  <c r="C272" i="4" s="1"/>
  <c r="D272" i="4" s="1"/>
  <c r="Q278" i="3"/>
  <c r="O278" i="3"/>
  <c r="M278" i="3"/>
  <c r="K278" i="3"/>
  <c r="I278" i="3"/>
  <c r="P278" i="3"/>
  <c r="N278" i="3"/>
  <c r="L278" i="3"/>
  <c r="J278" i="3"/>
  <c r="H278" i="3"/>
  <c r="A276" i="4"/>
  <c r="B276" i="4" s="1"/>
  <c r="C276" i="4" s="1"/>
  <c r="D276" i="4" s="1"/>
  <c r="Q282" i="3"/>
  <c r="O282" i="3"/>
  <c r="M282" i="3"/>
  <c r="K282" i="3"/>
  <c r="I282" i="3"/>
  <c r="P282" i="3"/>
  <c r="N282" i="3"/>
  <c r="L282" i="3"/>
  <c r="J282" i="3"/>
  <c r="H282" i="3"/>
  <c r="A280" i="4"/>
  <c r="B280" i="4" s="1"/>
  <c r="C280" i="4" s="1"/>
  <c r="D280" i="4" s="1"/>
  <c r="Q286" i="3"/>
  <c r="O286" i="3"/>
  <c r="M286" i="3"/>
  <c r="K286" i="3"/>
  <c r="I286" i="3"/>
  <c r="P286" i="3"/>
  <c r="N286" i="3"/>
  <c r="L286" i="3"/>
  <c r="J286" i="3"/>
  <c r="H286" i="3"/>
  <c r="A284" i="4"/>
  <c r="B284" i="4" s="1"/>
  <c r="C284" i="4" s="1"/>
  <c r="D284" i="4" s="1"/>
  <c r="Q290" i="3"/>
  <c r="O290" i="3"/>
  <c r="M290" i="3"/>
  <c r="K290" i="3"/>
  <c r="I290" i="3"/>
  <c r="P290" i="3"/>
  <c r="N290" i="3"/>
  <c r="L290" i="3"/>
  <c r="J290" i="3"/>
  <c r="H290" i="3"/>
  <c r="A288" i="4"/>
  <c r="B288" i="4" s="1"/>
  <c r="C288" i="4" s="1"/>
  <c r="D288" i="4" s="1"/>
  <c r="Q294" i="3"/>
  <c r="O294" i="3"/>
  <c r="M294" i="3"/>
  <c r="K294" i="3"/>
  <c r="I294" i="3"/>
  <c r="P294" i="3"/>
  <c r="N294" i="3"/>
  <c r="L294" i="3"/>
  <c r="J294" i="3"/>
  <c r="H294" i="3"/>
  <c r="A292" i="4"/>
  <c r="B292" i="4" s="1"/>
  <c r="C292" i="4" s="1"/>
  <c r="D292" i="4" s="1"/>
  <c r="Q298" i="3"/>
  <c r="O298" i="3"/>
  <c r="M298" i="3"/>
  <c r="K298" i="3"/>
  <c r="I298" i="3"/>
  <c r="P298" i="3"/>
  <c r="N298" i="3"/>
  <c r="L298" i="3"/>
  <c r="J298" i="3"/>
  <c r="H298" i="3"/>
  <c r="A296" i="4"/>
  <c r="B296" i="4" s="1"/>
  <c r="C296" i="4" s="1"/>
  <c r="D296" i="4" s="1"/>
  <c r="Q302" i="3"/>
  <c r="O302" i="3"/>
  <c r="M302" i="3"/>
  <c r="K302" i="3"/>
  <c r="I302" i="3"/>
  <c r="P302" i="3"/>
  <c r="N302" i="3"/>
  <c r="L302" i="3"/>
  <c r="J302" i="3"/>
  <c r="H302" i="3"/>
  <c r="A300" i="4"/>
  <c r="B300" i="4" s="1"/>
  <c r="C300" i="4" s="1"/>
  <c r="D300" i="4" s="1"/>
  <c r="Q306" i="3"/>
  <c r="O306" i="3"/>
  <c r="M306" i="3"/>
  <c r="K306" i="3"/>
  <c r="I306" i="3"/>
  <c r="P306" i="3"/>
  <c r="N306" i="3"/>
  <c r="L306" i="3"/>
  <c r="J306" i="3"/>
  <c r="H306" i="3"/>
  <c r="A304" i="4"/>
  <c r="B304" i="4" s="1"/>
  <c r="C304" i="4" s="1"/>
  <c r="D304" i="4" s="1"/>
  <c r="Q310" i="3"/>
  <c r="O310" i="3"/>
  <c r="M310" i="3"/>
  <c r="K310" i="3"/>
  <c r="I310" i="3"/>
  <c r="P310" i="3"/>
  <c r="N310" i="3"/>
  <c r="L310" i="3"/>
  <c r="J310" i="3"/>
  <c r="H310" i="3"/>
  <c r="A308" i="4"/>
  <c r="B308" i="4" s="1"/>
  <c r="C308" i="4" s="1"/>
  <c r="D308" i="4" s="1"/>
  <c r="Q314" i="3"/>
  <c r="O314" i="3"/>
  <c r="M314" i="3"/>
  <c r="K314" i="3"/>
  <c r="I314" i="3"/>
  <c r="P314" i="3"/>
  <c r="N314" i="3"/>
  <c r="L314" i="3"/>
  <c r="J314" i="3"/>
  <c r="H314" i="3"/>
  <c r="A312" i="4"/>
  <c r="B312" i="4" s="1"/>
  <c r="C312" i="4" s="1"/>
  <c r="D312" i="4" s="1"/>
  <c r="Q318" i="3"/>
  <c r="O318" i="3"/>
  <c r="M318" i="3"/>
  <c r="K318" i="3"/>
  <c r="I318" i="3"/>
  <c r="P318" i="3"/>
  <c r="N318" i="3"/>
  <c r="L318" i="3"/>
  <c r="J318" i="3"/>
  <c r="H318" i="3"/>
  <c r="A316" i="4"/>
  <c r="B316" i="4" s="1"/>
  <c r="C316" i="4" s="1"/>
  <c r="D316" i="4" s="1"/>
  <c r="Q322" i="3"/>
  <c r="O322" i="3"/>
  <c r="M322" i="3"/>
  <c r="K322" i="3"/>
  <c r="I322" i="3"/>
  <c r="P322" i="3"/>
  <c r="N322" i="3"/>
  <c r="L322" i="3"/>
  <c r="J322" i="3"/>
  <c r="H322" i="3"/>
  <c r="A320" i="4"/>
  <c r="B320" i="4" s="1"/>
  <c r="C320" i="4" s="1"/>
  <c r="D320" i="4" s="1"/>
  <c r="Q326" i="3"/>
  <c r="O326" i="3"/>
  <c r="M326" i="3"/>
  <c r="K326" i="3"/>
  <c r="I326" i="3"/>
  <c r="P326" i="3"/>
  <c r="N326" i="3"/>
  <c r="L326" i="3"/>
  <c r="J326" i="3"/>
  <c r="H326" i="3"/>
  <c r="A324" i="4"/>
  <c r="B324" i="4" s="1"/>
  <c r="C324" i="4" s="1"/>
  <c r="D324" i="4" s="1"/>
  <c r="Q330" i="3"/>
  <c r="O330" i="3"/>
  <c r="M330" i="3"/>
  <c r="K330" i="3"/>
  <c r="I330" i="3"/>
  <c r="P330" i="3"/>
  <c r="N330" i="3"/>
  <c r="L330" i="3"/>
  <c r="J330" i="3"/>
  <c r="H330" i="3"/>
  <c r="A328" i="4"/>
  <c r="B328" i="4" s="1"/>
  <c r="C328" i="4" s="1"/>
  <c r="D328" i="4" s="1"/>
  <c r="Q334" i="3"/>
  <c r="O334" i="3"/>
  <c r="M334" i="3"/>
  <c r="K334" i="3"/>
  <c r="I334" i="3"/>
  <c r="P334" i="3"/>
  <c r="N334" i="3"/>
  <c r="L334" i="3"/>
  <c r="J334" i="3"/>
  <c r="H334" i="3"/>
  <c r="A332" i="4"/>
  <c r="B332" i="4" s="1"/>
  <c r="C332" i="4" s="1"/>
  <c r="D332" i="4" s="1"/>
  <c r="Q338" i="3"/>
  <c r="O338" i="3"/>
  <c r="M338" i="3"/>
  <c r="K338" i="3"/>
  <c r="I338" i="3"/>
  <c r="P338" i="3"/>
  <c r="N338" i="3"/>
  <c r="L338" i="3"/>
  <c r="J338" i="3"/>
  <c r="H338" i="3"/>
  <c r="A336" i="4"/>
  <c r="B336" i="4" s="1"/>
  <c r="C336" i="4" s="1"/>
  <c r="D336" i="4" s="1"/>
  <c r="Q342" i="3"/>
  <c r="O342" i="3"/>
  <c r="M342" i="3"/>
  <c r="K342" i="3"/>
  <c r="I342" i="3"/>
  <c r="P342" i="3"/>
  <c r="N342" i="3"/>
  <c r="L342" i="3"/>
  <c r="J342" i="3"/>
  <c r="H342" i="3"/>
  <c r="A340" i="4"/>
  <c r="B340" i="4" s="1"/>
  <c r="C340" i="4" s="1"/>
  <c r="D340" i="4" s="1"/>
  <c r="Q346" i="3"/>
  <c r="O346" i="3"/>
  <c r="M346" i="3"/>
  <c r="K346" i="3"/>
  <c r="I346" i="3"/>
  <c r="P346" i="3"/>
  <c r="N346" i="3"/>
  <c r="L346" i="3"/>
  <c r="J346" i="3"/>
  <c r="H346" i="3"/>
  <c r="A344" i="4"/>
  <c r="B344" i="4" s="1"/>
  <c r="C344" i="4" s="1"/>
  <c r="D344" i="4" s="1"/>
  <c r="Q350" i="3"/>
  <c r="O350" i="3"/>
  <c r="M350" i="3"/>
  <c r="K350" i="3"/>
  <c r="I350" i="3"/>
  <c r="P350" i="3"/>
  <c r="N350" i="3"/>
  <c r="L350" i="3"/>
  <c r="J350" i="3"/>
  <c r="H350" i="3"/>
  <c r="A348" i="4"/>
  <c r="B348" i="4" s="1"/>
  <c r="C348" i="4" s="1"/>
  <c r="D348" i="4" s="1"/>
  <c r="Q354" i="3"/>
  <c r="O354" i="3"/>
  <c r="M354" i="3"/>
  <c r="K354" i="3"/>
  <c r="I354" i="3"/>
  <c r="P354" i="3"/>
  <c r="N354" i="3"/>
  <c r="L354" i="3"/>
  <c r="J354" i="3"/>
  <c r="H354" i="3"/>
  <c r="A352" i="4"/>
  <c r="B352" i="4" s="1"/>
  <c r="C352" i="4" s="1"/>
  <c r="D352" i="4" s="1"/>
  <c r="Q358" i="3"/>
  <c r="O358" i="3"/>
  <c r="M358" i="3"/>
  <c r="K358" i="3"/>
  <c r="I358" i="3"/>
  <c r="P358" i="3"/>
  <c r="N358" i="3"/>
  <c r="L358" i="3"/>
  <c r="J358" i="3"/>
  <c r="H358" i="3"/>
  <c r="A356" i="4"/>
  <c r="B356" i="4" s="1"/>
  <c r="C356" i="4" s="1"/>
  <c r="D356" i="4" s="1"/>
  <c r="Q362" i="3"/>
  <c r="O362" i="3"/>
  <c r="M362" i="3"/>
  <c r="K362" i="3"/>
  <c r="I362" i="3"/>
  <c r="P362" i="3"/>
  <c r="N362" i="3"/>
  <c r="L362" i="3"/>
  <c r="J362" i="3"/>
  <c r="H362" i="3"/>
  <c r="A360" i="4"/>
  <c r="B360" i="4" s="1"/>
  <c r="C360" i="4" s="1"/>
  <c r="D360" i="4" s="1"/>
  <c r="Q366" i="3"/>
  <c r="O366" i="3"/>
  <c r="M366" i="3"/>
  <c r="K366" i="3"/>
  <c r="I366" i="3"/>
  <c r="P366" i="3"/>
  <c r="N366" i="3"/>
  <c r="L366" i="3"/>
  <c r="J366" i="3"/>
  <c r="H366" i="3"/>
  <c r="A364" i="4"/>
  <c r="B364" i="4" s="1"/>
  <c r="C364" i="4" s="1"/>
  <c r="D364" i="4" s="1"/>
  <c r="Q370" i="3"/>
  <c r="O370" i="3"/>
  <c r="M370" i="3"/>
  <c r="K370" i="3"/>
  <c r="I370" i="3"/>
  <c r="P370" i="3"/>
  <c r="N370" i="3"/>
  <c r="L370" i="3"/>
  <c r="J370" i="3"/>
  <c r="H370" i="3"/>
  <c r="A368" i="4"/>
  <c r="B368" i="4" s="1"/>
  <c r="C368" i="4" s="1"/>
  <c r="D368" i="4" s="1"/>
  <c r="Q374" i="3"/>
  <c r="O374" i="3"/>
  <c r="M374" i="3"/>
  <c r="K374" i="3"/>
  <c r="I374" i="3"/>
  <c r="P374" i="3"/>
  <c r="N374" i="3"/>
  <c r="L374" i="3"/>
  <c r="J374" i="3"/>
  <c r="H374" i="3"/>
  <c r="A372" i="4"/>
  <c r="B372" i="4" s="1"/>
  <c r="C372" i="4" s="1"/>
  <c r="D372" i="4" s="1"/>
  <c r="Q378" i="3"/>
  <c r="O378" i="3"/>
  <c r="M378" i="3"/>
  <c r="K378" i="3"/>
  <c r="I378" i="3"/>
  <c r="P378" i="3"/>
  <c r="N378" i="3"/>
  <c r="L378" i="3"/>
  <c r="J378" i="3"/>
  <c r="H378" i="3"/>
  <c r="A376" i="4"/>
  <c r="B376" i="4" s="1"/>
  <c r="C376" i="4" s="1"/>
  <c r="D376" i="4" s="1"/>
  <c r="Q382" i="3"/>
  <c r="O382" i="3"/>
  <c r="M382" i="3"/>
  <c r="K382" i="3"/>
  <c r="I382" i="3"/>
  <c r="P382" i="3"/>
  <c r="N382" i="3"/>
  <c r="L382" i="3"/>
  <c r="J382" i="3"/>
  <c r="H382" i="3"/>
  <c r="A380" i="4"/>
  <c r="B380" i="4" s="1"/>
  <c r="C380" i="4" s="1"/>
  <c r="D380" i="4" s="1"/>
  <c r="Q386" i="3"/>
  <c r="O386" i="3"/>
  <c r="M386" i="3"/>
  <c r="K386" i="3"/>
  <c r="I386" i="3"/>
  <c r="P386" i="3"/>
  <c r="N386" i="3"/>
  <c r="L386" i="3"/>
  <c r="J386" i="3"/>
  <c r="H386" i="3"/>
  <c r="A384" i="4"/>
  <c r="B384" i="4" s="1"/>
  <c r="C384" i="4" s="1"/>
  <c r="D384" i="4" s="1"/>
  <c r="Q390" i="3"/>
  <c r="O390" i="3"/>
  <c r="M390" i="3"/>
  <c r="K390" i="3"/>
  <c r="I390" i="3"/>
  <c r="P390" i="3"/>
  <c r="N390" i="3"/>
  <c r="L390" i="3"/>
  <c r="J390" i="3"/>
  <c r="H390" i="3"/>
  <c r="A388" i="4"/>
  <c r="B388" i="4" s="1"/>
  <c r="C388" i="4" s="1"/>
  <c r="D388" i="4" s="1"/>
  <c r="Q394" i="3"/>
  <c r="O394" i="3"/>
  <c r="M394" i="3"/>
  <c r="K394" i="3"/>
  <c r="I394" i="3"/>
  <c r="P394" i="3"/>
  <c r="N394" i="3"/>
  <c r="L394" i="3"/>
  <c r="J394" i="3"/>
  <c r="H394" i="3"/>
  <c r="A392" i="4"/>
  <c r="B392" i="4" s="1"/>
  <c r="C392" i="4" s="1"/>
  <c r="D392" i="4" s="1"/>
  <c r="Q398" i="3"/>
  <c r="O398" i="3"/>
  <c r="M398" i="3"/>
  <c r="K398" i="3"/>
  <c r="I398" i="3"/>
  <c r="P398" i="3"/>
  <c r="N398" i="3"/>
  <c r="L398" i="3"/>
  <c r="J398" i="3"/>
  <c r="H398" i="3"/>
  <c r="A396" i="4"/>
  <c r="B396" i="4" s="1"/>
  <c r="C396" i="4" s="1"/>
  <c r="D396" i="4" s="1"/>
  <c r="Q402" i="3"/>
  <c r="O402" i="3"/>
  <c r="M402" i="3"/>
  <c r="K402" i="3"/>
  <c r="I402" i="3"/>
  <c r="P402" i="3"/>
  <c r="N402" i="3"/>
  <c r="L402" i="3"/>
  <c r="J402" i="3"/>
  <c r="H402" i="3"/>
  <c r="A400" i="4"/>
  <c r="B400" i="4" s="1"/>
  <c r="C400" i="4" s="1"/>
  <c r="D400" i="4" s="1"/>
  <c r="Q406" i="3"/>
  <c r="O406" i="3"/>
  <c r="M406" i="3"/>
  <c r="K406" i="3"/>
  <c r="I406" i="3"/>
  <c r="P406" i="3"/>
  <c r="N406" i="3"/>
  <c r="L406" i="3"/>
  <c r="J406" i="3"/>
  <c r="H406" i="3"/>
  <c r="A404" i="4"/>
  <c r="B404" i="4" s="1"/>
  <c r="C404" i="4" s="1"/>
  <c r="D404" i="4" s="1"/>
  <c r="Q410" i="3"/>
  <c r="O410" i="3"/>
  <c r="M410" i="3"/>
  <c r="K410" i="3"/>
  <c r="I410" i="3"/>
  <c r="P410" i="3"/>
  <c r="N410" i="3"/>
  <c r="L410" i="3"/>
  <c r="J410" i="3"/>
  <c r="H410" i="3"/>
  <c r="A408" i="4"/>
  <c r="B408" i="4" s="1"/>
  <c r="C408" i="4" s="1"/>
  <c r="D408" i="4" s="1"/>
  <c r="Q414" i="3"/>
  <c r="O414" i="3"/>
  <c r="M414" i="3"/>
  <c r="K414" i="3"/>
  <c r="I414" i="3"/>
  <c r="P414" i="3"/>
  <c r="N414" i="3"/>
  <c r="L414" i="3"/>
  <c r="J414" i="3"/>
  <c r="H414" i="3"/>
  <c r="A412" i="4"/>
  <c r="B412" i="4" s="1"/>
  <c r="C412" i="4" s="1"/>
  <c r="D412" i="4" s="1"/>
  <c r="Q418" i="3"/>
  <c r="O418" i="3"/>
  <c r="M418" i="3"/>
  <c r="K418" i="3"/>
  <c r="I418" i="3"/>
  <c r="P418" i="3"/>
  <c r="N418" i="3"/>
  <c r="L418" i="3"/>
  <c r="J418" i="3"/>
  <c r="H418" i="3"/>
  <c r="A416" i="4"/>
  <c r="B416" i="4" s="1"/>
  <c r="C416" i="4" s="1"/>
  <c r="D416" i="4" s="1"/>
  <c r="Q422" i="3"/>
  <c r="O422" i="3"/>
  <c r="M422" i="3"/>
  <c r="K422" i="3"/>
  <c r="I422" i="3"/>
  <c r="P422" i="3"/>
  <c r="N422" i="3"/>
  <c r="L422" i="3"/>
  <c r="J422" i="3"/>
  <c r="H422" i="3"/>
  <c r="A420" i="4"/>
  <c r="B420" i="4" s="1"/>
  <c r="C420" i="4" s="1"/>
  <c r="D420" i="4" s="1"/>
  <c r="Q426" i="3"/>
  <c r="O426" i="3"/>
  <c r="M426" i="3"/>
  <c r="K426" i="3"/>
  <c r="I426" i="3"/>
  <c r="P426" i="3"/>
  <c r="N426" i="3"/>
  <c r="L426" i="3"/>
  <c r="J426" i="3"/>
  <c r="H426" i="3"/>
  <c r="A424" i="4"/>
  <c r="B424" i="4" s="1"/>
  <c r="C424" i="4" s="1"/>
  <c r="D424" i="4" s="1"/>
  <c r="Q430" i="3"/>
  <c r="O430" i="3"/>
  <c r="M430" i="3"/>
  <c r="K430" i="3"/>
  <c r="I430" i="3"/>
  <c r="P430" i="3"/>
  <c r="N430" i="3"/>
  <c r="L430" i="3"/>
  <c r="J430" i="3"/>
  <c r="H430" i="3"/>
  <c r="A428" i="4"/>
  <c r="B428" i="4" s="1"/>
  <c r="C428" i="4" s="1"/>
  <c r="D428" i="4" s="1"/>
  <c r="Q434" i="3"/>
  <c r="O434" i="3"/>
  <c r="M434" i="3"/>
  <c r="K434" i="3"/>
  <c r="I434" i="3"/>
  <c r="P434" i="3"/>
  <c r="N434" i="3"/>
  <c r="L434" i="3"/>
  <c r="J434" i="3"/>
  <c r="H434" i="3"/>
  <c r="A432" i="4"/>
  <c r="B432" i="4" s="1"/>
  <c r="C432" i="4" s="1"/>
  <c r="D432" i="4" s="1"/>
  <c r="Q438" i="3"/>
  <c r="O438" i="3"/>
  <c r="M438" i="3"/>
  <c r="K438" i="3"/>
  <c r="I438" i="3"/>
  <c r="P438" i="3"/>
  <c r="N438" i="3"/>
  <c r="L438" i="3"/>
  <c r="J438" i="3"/>
  <c r="H438" i="3"/>
  <c r="A436" i="4"/>
  <c r="B436" i="4" s="1"/>
  <c r="C436" i="4" s="1"/>
  <c r="D436" i="4" s="1"/>
  <c r="Q442" i="3"/>
  <c r="O442" i="3"/>
  <c r="M442" i="3"/>
  <c r="K442" i="3"/>
  <c r="I442" i="3"/>
  <c r="P442" i="3"/>
  <c r="N442" i="3"/>
  <c r="L442" i="3"/>
  <c r="J442" i="3"/>
  <c r="H442" i="3"/>
  <c r="A440" i="4"/>
  <c r="B440" i="4" s="1"/>
  <c r="C440" i="4" s="1"/>
  <c r="D440" i="4" s="1"/>
  <c r="Q446" i="3"/>
  <c r="O446" i="3"/>
  <c r="M446" i="3"/>
  <c r="K446" i="3"/>
  <c r="I446" i="3"/>
  <c r="P446" i="3"/>
  <c r="N446" i="3"/>
  <c r="L446" i="3"/>
  <c r="J446" i="3"/>
  <c r="H446" i="3"/>
  <c r="A444" i="4"/>
  <c r="B444" i="4" s="1"/>
  <c r="C444" i="4" s="1"/>
  <c r="D444" i="4" s="1"/>
  <c r="Q450" i="3"/>
  <c r="O450" i="3"/>
  <c r="M450" i="3"/>
  <c r="K450" i="3"/>
  <c r="I450" i="3"/>
  <c r="P450" i="3"/>
  <c r="N450" i="3"/>
  <c r="L450" i="3"/>
  <c r="J450" i="3"/>
  <c r="H450" i="3"/>
  <c r="A448" i="4"/>
  <c r="B448" i="4" s="1"/>
  <c r="C448" i="4" s="1"/>
  <c r="D448" i="4" s="1"/>
  <c r="Q454" i="3"/>
  <c r="O454" i="3"/>
  <c r="M454" i="3"/>
  <c r="K454" i="3"/>
  <c r="I454" i="3"/>
  <c r="P454" i="3"/>
  <c r="N454" i="3"/>
  <c r="L454" i="3"/>
  <c r="J454" i="3"/>
  <c r="H454" i="3"/>
  <c r="A452" i="4"/>
  <c r="B452" i="4" s="1"/>
  <c r="C452" i="4" s="1"/>
  <c r="D452" i="4" s="1"/>
  <c r="Q458" i="3"/>
  <c r="O458" i="3"/>
  <c r="M458" i="3"/>
  <c r="K458" i="3"/>
  <c r="I458" i="3"/>
  <c r="P458" i="3"/>
  <c r="N458" i="3"/>
  <c r="L458" i="3"/>
  <c r="J458" i="3"/>
  <c r="H458" i="3"/>
  <c r="A456" i="4"/>
  <c r="B456" i="4" s="1"/>
  <c r="C456" i="4" s="1"/>
  <c r="D456" i="4" s="1"/>
  <c r="Q462" i="3"/>
  <c r="O462" i="3"/>
  <c r="M462" i="3"/>
  <c r="K462" i="3"/>
  <c r="I462" i="3"/>
  <c r="P462" i="3"/>
  <c r="N462" i="3"/>
  <c r="L462" i="3"/>
  <c r="J462" i="3"/>
  <c r="H462" i="3"/>
  <c r="A460" i="4"/>
  <c r="B460" i="4" s="1"/>
  <c r="C460" i="4" s="1"/>
  <c r="D460" i="4" s="1"/>
  <c r="Q466" i="3"/>
  <c r="O466" i="3"/>
  <c r="M466" i="3"/>
  <c r="K466" i="3"/>
  <c r="I466" i="3"/>
  <c r="P466" i="3"/>
  <c r="N466" i="3"/>
  <c r="L466" i="3"/>
  <c r="J466" i="3"/>
  <c r="H466" i="3"/>
  <c r="A464" i="4"/>
  <c r="B464" i="4" s="1"/>
  <c r="C464" i="4" s="1"/>
  <c r="D464" i="4" s="1"/>
  <c r="Q470" i="3"/>
  <c r="O470" i="3"/>
  <c r="M470" i="3"/>
  <c r="K470" i="3"/>
  <c r="I470" i="3"/>
  <c r="P470" i="3"/>
  <c r="N470" i="3"/>
  <c r="L470" i="3"/>
  <c r="J470" i="3"/>
  <c r="H470" i="3"/>
  <c r="A468" i="4"/>
  <c r="B468" i="4" s="1"/>
  <c r="C468" i="4" s="1"/>
  <c r="D468" i="4" s="1"/>
  <c r="Q474" i="3"/>
  <c r="O474" i="3"/>
  <c r="M474" i="3"/>
  <c r="K474" i="3"/>
  <c r="I474" i="3"/>
  <c r="P474" i="3"/>
  <c r="N474" i="3"/>
  <c r="L474" i="3"/>
  <c r="J474" i="3"/>
  <c r="H474" i="3"/>
  <c r="A472" i="4"/>
  <c r="B472" i="4" s="1"/>
  <c r="C472" i="4" s="1"/>
  <c r="D472" i="4" s="1"/>
  <c r="Q478" i="3"/>
  <c r="O478" i="3"/>
  <c r="M478" i="3"/>
  <c r="K478" i="3"/>
  <c r="I478" i="3"/>
  <c r="P478" i="3"/>
  <c r="N478" i="3"/>
  <c r="L478" i="3"/>
  <c r="J478" i="3"/>
  <c r="H478" i="3"/>
  <c r="A476" i="4"/>
  <c r="B476" i="4" s="1"/>
  <c r="C476" i="4" s="1"/>
  <c r="D476" i="4" s="1"/>
  <c r="Q482" i="3"/>
  <c r="O482" i="3"/>
  <c r="M482" i="3"/>
  <c r="K482" i="3"/>
  <c r="I482" i="3"/>
  <c r="P482" i="3"/>
  <c r="N482" i="3"/>
  <c r="L482" i="3"/>
  <c r="J482" i="3"/>
  <c r="H482" i="3"/>
  <c r="A480" i="4"/>
  <c r="B480" i="4" s="1"/>
  <c r="C480" i="4" s="1"/>
  <c r="D480" i="4" s="1"/>
  <c r="Q486" i="3"/>
  <c r="O486" i="3"/>
  <c r="M486" i="3"/>
  <c r="K486" i="3"/>
  <c r="I486" i="3"/>
  <c r="P486" i="3"/>
  <c r="N486" i="3"/>
  <c r="L486" i="3"/>
  <c r="J486" i="3"/>
  <c r="H486" i="3"/>
  <c r="A484" i="4"/>
  <c r="B484" i="4" s="1"/>
  <c r="C484" i="4" s="1"/>
  <c r="D484" i="4" s="1"/>
  <c r="Q490" i="3"/>
  <c r="O490" i="3"/>
  <c r="M490" i="3"/>
  <c r="K490" i="3"/>
  <c r="I490" i="3"/>
  <c r="P490" i="3"/>
  <c r="N490" i="3"/>
  <c r="L490" i="3"/>
  <c r="J490" i="3"/>
  <c r="H490" i="3"/>
  <c r="A488" i="4"/>
  <c r="B488" i="4" s="1"/>
  <c r="C488" i="4" s="1"/>
  <c r="D488" i="4" s="1"/>
  <c r="Q494" i="3"/>
  <c r="O494" i="3"/>
  <c r="M494" i="3"/>
  <c r="K494" i="3"/>
  <c r="I494" i="3"/>
  <c r="P494" i="3"/>
  <c r="N494" i="3"/>
  <c r="L494" i="3"/>
  <c r="J494" i="3"/>
  <c r="H494" i="3"/>
  <c r="A492" i="4"/>
  <c r="B492" i="4" s="1"/>
  <c r="C492" i="4" s="1"/>
  <c r="D492" i="4" s="1"/>
  <c r="Q498" i="3"/>
  <c r="O498" i="3"/>
  <c r="M498" i="3"/>
  <c r="K498" i="3"/>
  <c r="I498" i="3"/>
  <c r="P498" i="3"/>
  <c r="N498" i="3"/>
  <c r="L498" i="3"/>
  <c r="J498" i="3"/>
  <c r="H498" i="3"/>
  <c r="A496" i="4"/>
  <c r="B496" i="4" s="1"/>
  <c r="C496" i="4" s="1"/>
  <c r="D496" i="4" s="1"/>
  <c r="Q502" i="3"/>
  <c r="O502" i="3"/>
  <c r="M502" i="3"/>
  <c r="K502" i="3"/>
  <c r="I502" i="3"/>
  <c r="P502" i="3"/>
  <c r="N502" i="3"/>
  <c r="L502" i="3"/>
  <c r="J502" i="3"/>
  <c r="H502" i="3"/>
  <c r="A500" i="4"/>
  <c r="B500" i="4" s="1"/>
  <c r="C500" i="4" s="1"/>
  <c r="D500" i="4" s="1"/>
  <c r="Q506" i="3"/>
  <c r="O506" i="3"/>
  <c r="M506" i="3"/>
  <c r="K506" i="3"/>
  <c r="I506" i="3"/>
  <c r="P506" i="3"/>
  <c r="N506" i="3"/>
  <c r="L506" i="3"/>
  <c r="J506" i="3"/>
  <c r="H506" i="3"/>
  <c r="A504" i="4"/>
  <c r="B504" i="4" s="1"/>
  <c r="C504" i="4" s="1"/>
  <c r="D504" i="4" s="1"/>
  <c r="Q510" i="3"/>
  <c r="O510" i="3"/>
  <c r="M510" i="3"/>
  <c r="K510" i="3"/>
  <c r="I510" i="3"/>
  <c r="P510" i="3"/>
  <c r="N510" i="3"/>
  <c r="L510" i="3"/>
  <c r="J510" i="3"/>
  <c r="H510" i="3"/>
  <c r="A508" i="4"/>
  <c r="B508" i="4" s="1"/>
  <c r="C508" i="4" s="1"/>
  <c r="D508" i="4" s="1"/>
  <c r="Q514" i="3"/>
  <c r="O514" i="3"/>
  <c r="M514" i="3"/>
  <c r="K514" i="3"/>
  <c r="I514" i="3"/>
  <c r="P514" i="3"/>
  <c r="N514" i="3"/>
  <c r="L514" i="3"/>
  <c r="J514" i="3"/>
  <c r="H514" i="3"/>
  <c r="A512" i="4"/>
  <c r="B512" i="4" s="1"/>
  <c r="C512" i="4" s="1"/>
  <c r="D512" i="4" s="1"/>
  <c r="Q518" i="3"/>
  <c r="O518" i="3"/>
  <c r="M518" i="3"/>
  <c r="K518" i="3"/>
  <c r="I518" i="3"/>
  <c r="P518" i="3"/>
  <c r="N518" i="3"/>
  <c r="L518" i="3"/>
  <c r="J518" i="3"/>
  <c r="H518" i="3"/>
  <c r="A516" i="4"/>
  <c r="B516" i="4" s="1"/>
  <c r="C516" i="4" s="1"/>
  <c r="D516" i="4" s="1"/>
  <c r="Q522" i="3"/>
  <c r="O522" i="3"/>
  <c r="M522" i="3"/>
  <c r="K522" i="3"/>
  <c r="I522" i="3"/>
  <c r="P522" i="3"/>
  <c r="N522" i="3"/>
  <c r="L522" i="3"/>
  <c r="J522" i="3"/>
  <c r="H522" i="3"/>
  <c r="A520" i="4"/>
  <c r="B520" i="4" s="1"/>
  <c r="C520" i="4" s="1"/>
  <c r="D520" i="4" s="1"/>
  <c r="Q526" i="3"/>
  <c r="O526" i="3"/>
  <c r="M526" i="3"/>
  <c r="K526" i="3"/>
  <c r="I526" i="3"/>
  <c r="P526" i="3"/>
  <c r="N526" i="3"/>
  <c r="L526" i="3"/>
  <c r="J526" i="3"/>
  <c r="H526" i="3"/>
  <c r="A524" i="4"/>
  <c r="B524" i="4" s="1"/>
  <c r="C524" i="4" s="1"/>
  <c r="D524" i="4" s="1"/>
  <c r="Q530" i="3"/>
  <c r="O530" i="3"/>
  <c r="M530" i="3"/>
  <c r="K530" i="3"/>
  <c r="I530" i="3"/>
  <c r="P530" i="3"/>
  <c r="N530" i="3"/>
  <c r="L530" i="3"/>
  <c r="J530" i="3"/>
  <c r="H530" i="3"/>
  <c r="A528" i="4"/>
  <c r="B528" i="4" s="1"/>
  <c r="C528" i="4" s="1"/>
  <c r="D528" i="4" s="1"/>
  <c r="Q534" i="3"/>
  <c r="O534" i="3"/>
  <c r="M534" i="3"/>
  <c r="K534" i="3"/>
  <c r="I534" i="3"/>
  <c r="P534" i="3"/>
  <c r="N534" i="3"/>
  <c r="L534" i="3"/>
  <c r="J534" i="3"/>
  <c r="H534" i="3"/>
  <c r="A532" i="4"/>
  <c r="B532" i="4" s="1"/>
  <c r="C532" i="4" s="1"/>
  <c r="D532" i="4" s="1"/>
  <c r="Q538" i="3"/>
  <c r="O538" i="3"/>
  <c r="M538" i="3"/>
  <c r="K538" i="3"/>
  <c r="I538" i="3"/>
  <c r="P538" i="3"/>
  <c r="N538" i="3"/>
  <c r="L538" i="3"/>
  <c r="J538" i="3"/>
  <c r="H538" i="3"/>
  <c r="A536" i="4"/>
  <c r="B536" i="4" s="1"/>
  <c r="C536" i="4" s="1"/>
  <c r="D536" i="4" s="1"/>
  <c r="Q542" i="3"/>
  <c r="O542" i="3"/>
  <c r="M542" i="3"/>
  <c r="K542" i="3"/>
  <c r="I542" i="3"/>
  <c r="P542" i="3"/>
  <c r="N542" i="3"/>
  <c r="L542" i="3"/>
  <c r="J542" i="3"/>
  <c r="H542" i="3"/>
  <c r="A540" i="4"/>
  <c r="B540" i="4" s="1"/>
  <c r="C540" i="4" s="1"/>
  <c r="D540" i="4" s="1"/>
  <c r="Q546" i="3"/>
  <c r="O546" i="3"/>
  <c r="M546" i="3"/>
  <c r="K546" i="3"/>
  <c r="I546" i="3"/>
  <c r="P546" i="3"/>
  <c r="N546" i="3"/>
  <c r="L546" i="3"/>
  <c r="J546" i="3"/>
  <c r="H546" i="3"/>
  <c r="A544" i="4"/>
  <c r="B544" i="4" s="1"/>
  <c r="C544" i="4" s="1"/>
  <c r="D544" i="4" s="1"/>
  <c r="Q550" i="3"/>
  <c r="O550" i="3"/>
  <c r="M550" i="3"/>
  <c r="K550" i="3"/>
  <c r="I550" i="3"/>
  <c r="P550" i="3"/>
  <c r="N550" i="3"/>
  <c r="L550" i="3"/>
  <c r="J550" i="3"/>
  <c r="H550" i="3"/>
  <c r="A548" i="4"/>
  <c r="B548" i="4" s="1"/>
  <c r="C548" i="4" s="1"/>
  <c r="D548" i="4" s="1"/>
  <c r="Q554" i="3"/>
  <c r="O554" i="3"/>
  <c r="M554" i="3"/>
  <c r="K554" i="3"/>
  <c r="I554" i="3"/>
  <c r="P554" i="3"/>
  <c r="N554" i="3"/>
  <c r="L554" i="3"/>
  <c r="J554" i="3"/>
  <c r="H554" i="3"/>
  <c r="A552" i="4"/>
  <c r="B552" i="4" s="1"/>
  <c r="C552" i="4" s="1"/>
  <c r="D552" i="4" s="1"/>
  <c r="Q558" i="3"/>
  <c r="O558" i="3"/>
  <c r="M558" i="3"/>
  <c r="K558" i="3"/>
  <c r="I558" i="3"/>
  <c r="P558" i="3"/>
  <c r="N558" i="3"/>
  <c r="L558" i="3"/>
  <c r="J558" i="3"/>
  <c r="H558" i="3"/>
  <c r="A556" i="4"/>
  <c r="B556" i="4" s="1"/>
  <c r="C556" i="4" s="1"/>
  <c r="D556" i="4" s="1"/>
  <c r="Q562" i="3"/>
  <c r="O562" i="3"/>
  <c r="M562" i="3"/>
  <c r="K562" i="3"/>
  <c r="I562" i="3"/>
  <c r="P562" i="3"/>
  <c r="N562" i="3"/>
  <c r="L562" i="3"/>
  <c r="J562" i="3"/>
  <c r="H562" i="3"/>
  <c r="A560" i="4"/>
  <c r="B560" i="4" s="1"/>
  <c r="C560" i="4" s="1"/>
  <c r="D560" i="4" s="1"/>
  <c r="Q566" i="3"/>
  <c r="O566" i="3"/>
  <c r="M566" i="3"/>
  <c r="K566" i="3"/>
  <c r="I566" i="3"/>
  <c r="P566" i="3"/>
  <c r="N566" i="3"/>
  <c r="L566" i="3"/>
  <c r="J566" i="3"/>
  <c r="H566" i="3"/>
  <c r="A564" i="4"/>
  <c r="B564" i="4" s="1"/>
  <c r="C564" i="4" s="1"/>
  <c r="D564" i="4" s="1"/>
  <c r="Q1218" i="3"/>
  <c r="O1218" i="3"/>
  <c r="M1218" i="3"/>
  <c r="K1218" i="3"/>
  <c r="I1218" i="3"/>
  <c r="P1218" i="3"/>
  <c r="N1218" i="3"/>
  <c r="L1218" i="3"/>
  <c r="J1218" i="3"/>
  <c r="H1218" i="3"/>
  <c r="A1216" i="4"/>
  <c r="B1216" i="4" s="1"/>
  <c r="C1216" i="4" s="1"/>
  <c r="D1216" i="4" s="1"/>
  <c r="P1221" i="3"/>
  <c r="N1221" i="3"/>
  <c r="L1221" i="3"/>
  <c r="J1221" i="3"/>
  <c r="H1221" i="3"/>
  <c r="Q1221" i="3"/>
  <c r="O1221" i="3"/>
  <c r="M1221" i="3"/>
  <c r="K1221" i="3"/>
  <c r="I1221" i="3"/>
  <c r="A1217" i="4"/>
  <c r="B1217" i="4" s="1"/>
  <c r="C1217" i="4" s="1"/>
  <c r="D1217" i="4" s="1"/>
  <c r="Q1222" i="3"/>
  <c r="O1222" i="3"/>
  <c r="M1222" i="3"/>
  <c r="K1222" i="3"/>
  <c r="I1222" i="3"/>
  <c r="P1222" i="3"/>
  <c r="N1222" i="3"/>
  <c r="L1222" i="3"/>
  <c r="J1222" i="3"/>
  <c r="H1222" i="3"/>
  <c r="A1220" i="4"/>
  <c r="B1220" i="4" s="1"/>
  <c r="C1220" i="4" s="1"/>
  <c r="D1220" i="4" s="1"/>
  <c r="P1225" i="3"/>
  <c r="N1225" i="3"/>
  <c r="L1225" i="3"/>
  <c r="J1225" i="3"/>
  <c r="H1225" i="3"/>
  <c r="Q1225" i="3"/>
  <c r="O1225" i="3"/>
  <c r="M1225" i="3"/>
  <c r="K1225" i="3"/>
  <c r="I1225" i="3"/>
  <c r="A1221" i="4"/>
  <c r="B1221" i="4" s="1"/>
  <c r="C1221" i="4" s="1"/>
  <c r="D1221" i="4" s="1"/>
  <c r="Q1226" i="3"/>
  <c r="O1226" i="3"/>
  <c r="M1226" i="3"/>
  <c r="K1226" i="3"/>
  <c r="I1226" i="3"/>
  <c r="P1226" i="3"/>
  <c r="N1226" i="3"/>
  <c r="L1226" i="3"/>
  <c r="J1226" i="3"/>
  <c r="H1226" i="3"/>
  <c r="A1224" i="4"/>
  <c r="B1224" i="4" s="1"/>
  <c r="C1224" i="4" s="1"/>
  <c r="D1224" i="4" s="1"/>
  <c r="P1229" i="3"/>
  <c r="N1229" i="3"/>
  <c r="L1229" i="3"/>
  <c r="J1229" i="3"/>
  <c r="H1229" i="3"/>
  <c r="Q1229" i="3"/>
  <c r="O1229" i="3"/>
  <c r="M1229" i="3"/>
  <c r="K1229" i="3"/>
  <c r="I1229" i="3"/>
  <c r="A1225" i="4"/>
  <c r="B1225" i="4" s="1"/>
  <c r="C1225" i="4" s="1"/>
  <c r="D1225" i="4" s="1"/>
  <c r="Q1230" i="3"/>
  <c r="O1230" i="3"/>
  <c r="M1230" i="3"/>
  <c r="K1230" i="3"/>
  <c r="I1230" i="3"/>
  <c r="P1230" i="3"/>
  <c r="N1230" i="3"/>
  <c r="L1230" i="3"/>
  <c r="J1230" i="3"/>
  <c r="H1230" i="3"/>
  <c r="A1228" i="4"/>
  <c r="B1228" i="4" s="1"/>
  <c r="C1228" i="4" s="1"/>
  <c r="D1228" i="4" s="1"/>
  <c r="P1233" i="3"/>
  <c r="N1233" i="3"/>
  <c r="L1233" i="3"/>
  <c r="J1233" i="3"/>
  <c r="H1233" i="3"/>
  <c r="Q1233" i="3"/>
  <c r="O1233" i="3"/>
  <c r="M1233" i="3"/>
  <c r="K1233" i="3"/>
  <c r="I1233" i="3"/>
  <c r="A1229" i="4"/>
  <c r="B1229" i="4" s="1"/>
  <c r="C1229" i="4" s="1"/>
  <c r="D1229" i="4" s="1"/>
  <c r="Q1234" i="3"/>
  <c r="O1234" i="3"/>
  <c r="M1234" i="3"/>
  <c r="K1234" i="3"/>
  <c r="I1234" i="3"/>
  <c r="P1234" i="3"/>
  <c r="N1234" i="3"/>
  <c r="L1234" i="3"/>
  <c r="J1234" i="3"/>
  <c r="H1234" i="3"/>
  <c r="A1232" i="4"/>
  <c r="B1232" i="4" s="1"/>
  <c r="C1232" i="4" s="1"/>
  <c r="D1232" i="4" s="1"/>
  <c r="A1234" i="4"/>
  <c r="B1234" i="4" s="1"/>
  <c r="C1234" i="4" s="1"/>
  <c r="D1234" i="4" s="1"/>
  <c r="Q1240" i="3"/>
  <c r="O1240" i="3"/>
  <c r="M1240" i="3"/>
  <c r="K1240" i="3"/>
  <c r="I1240" i="3"/>
  <c r="P1240" i="3"/>
  <c r="N1240" i="3"/>
  <c r="L1240" i="3"/>
  <c r="J1240" i="3"/>
  <c r="H1240" i="3"/>
  <c r="P1241" i="3"/>
  <c r="N1241" i="3"/>
  <c r="L1241" i="3"/>
  <c r="J1241" i="3"/>
  <c r="H1241" i="3"/>
  <c r="Q1241" i="3"/>
  <c r="O1241" i="3"/>
  <c r="M1241" i="3"/>
  <c r="K1241" i="3"/>
  <c r="I1241" i="3"/>
  <c r="A1237" i="4"/>
  <c r="B1237" i="4" s="1"/>
  <c r="C1237" i="4" s="1"/>
  <c r="D1237" i="4" s="1"/>
  <c r="A1238" i="4"/>
  <c r="B1238" i="4" s="1"/>
  <c r="C1238" i="4" s="1"/>
  <c r="D1238" i="4" s="1"/>
  <c r="Q1244" i="3"/>
  <c r="O1244" i="3"/>
  <c r="M1244" i="3"/>
  <c r="K1244" i="3"/>
  <c r="I1244" i="3"/>
  <c r="P1244" i="3"/>
  <c r="N1244" i="3"/>
  <c r="L1244" i="3"/>
  <c r="J1244" i="3"/>
  <c r="H1244" i="3"/>
  <c r="P1245" i="3"/>
  <c r="N1245" i="3"/>
  <c r="L1245" i="3"/>
  <c r="J1245" i="3"/>
  <c r="H1245" i="3"/>
  <c r="Q1245" i="3"/>
  <c r="O1245" i="3"/>
  <c r="M1245" i="3"/>
  <c r="K1245" i="3"/>
  <c r="I1245" i="3"/>
  <c r="A1241" i="4"/>
  <c r="B1241" i="4" s="1"/>
  <c r="C1241" i="4" s="1"/>
  <c r="D1241" i="4" s="1"/>
  <c r="A1242" i="4"/>
  <c r="B1242" i="4" s="1"/>
  <c r="C1242" i="4" s="1"/>
  <c r="D1242" i="4" s="1"/>
  <c r="Q1248" i="3"/>
  <c r="O1248" i="3"/>
  <c r="M1248" i="3"/>
  <c r="K1248" i="3"/>
  <c r="I1248" i="3"/>
  <c r="P1248" i="3"/>
  <c r="N1248" i="3"/>
  <c r="L1248" i="3"/>
  <c r="J1248" i="3"/>
  <c r="H1248" i="3"/>
  <c r="P1249" i="3"/>
  <c r="N1249" i="3"/>
  <c r="L1249" i="3"/>
  <c r="J1249" i="3"/>
  <c r="H1249" i="3"/>
  <c r="Q1249" i="3"/>
  <c r="O1249" i="3"/>
  <c r="M1249" i="3"/>
  <c r="K1249" i="3"/>
  <c r="I1249" i="3"/>
  <c r="A1245" i="4"/>
  <c r="B1245" i="4" s="1"/>
  <c r="C1245" i="4" s="1"/>
  <c r="D1245" i="4" s="1"/>
  <c r="A1246" i="4"/>
  <c r="B1246" i="4" s="1"/>
  <c r="C1246" i="4" s="1"/>
  <c r="D1246" i="4" s="1"/>
  <c r="Q1252" i="3"/>
  <c r="O1252" i="3"/>
  <c r="M1252" i="3"/>
  <c r="K1252" i="3"/>
  <c r="I1252" i="3"/>
  <c r="P1252" i="3"/>
  <c r="N1252" i="3"/>
  <c r="L1252" i="3"/>
  <c r="J1252" i="3"/>
  <c r="H1252" i="3"/>
  <c r="P1253" i="3"/>
  <c r="N1253" i="3"/>
  <c r="L1253" i="3"/>
  <c r="J1253" i="3"/>
  <c r="H1253" i="3"/>
  <c r="Q1253" i="3"/>
  <c r="O1253" i="3"/>
  <c r="M1253" i="3"/>
  <c r="K1253" i="3"/>
  <c r="I1253" i="3"/>
  <c r="A1249" i="4"/>
  <c r="B1249" i="4" s="1"/>
  <c r="C1249" i="4" s="1"/>
  <c r="D1249" i="4" s="1"/>
  <c r="A1250" i="4"/>
  <c r="B1250" i="4" s="1"/>
  <c r="C1250" i="4" s="1"/>
  <c r="D1250" i="4" s="1"/>
  <c r="Q1256" i="3"/>
  <c r="O1256" i="3"/>
  <c r="M1256" i="3"/>
  <c r="K1256" i="3"/>
  <c r="I1256" i="3"/>
  <c r="P1256" i="3"/>
  <c r="N1256" i="3"/>
  <c r="L1256" i="3"/>
  <c r="J1256" i="3"/>
  <c r="H1256" i="3"/>
  <c r="P1257" i="3"/>
  <c r="N1257" i="3"/>
  <c r="L1257" i="3"/>
  <c r="J1257" i="3"/>
  <c r="H1257" i="3"/>
  <c r="Q1257" i="3"/>
  <c r="O1257" i="3"/>
  <c r="M1257" i="3"/>
  <c r="K1257" i="3"/>
  <c r="I1257" i="3"/>
  <c r="A1253" i="4"/>
  <c r="B1253" i="4" s="1"/>
  <c r="C1253" i="4" s="1"/>
  <c r="D1253" i="4" s="1"/>
  <c r="A1254" i="4"/>
  <c r="B1254" i="4" s="1"/>
  <c r="C1254" i="4" s="1"/>
  <c r="D1254" i="4" s="1"/>
  <c r="Q1260" i="3"/>
  <c r="O1260" i="3"/>
  <c r="M1260" i="3"/>
  <c r="K1260" i="3"/>
  <c r="I1260" i="3"/>
  <c r="P1260" i="3"/>
  <c r="N1260" i="3"/>
  <c r="L1260" i="3"/>
  <c r="J1260" i="3"/>
  <c r="H1260" i="3"/>
  <c r="P1261" i="3"/>
  <c r="N1261" i="3"/>
  <c r="L1261" i="3"/>
  <c r="J1261" i="3"/>
  <c r="H1261" i="3"/>
  <c r="Q1261" i="3"/>
  <c r="O1261" i="3"/>
  <c r="M1261" i="3"/>
  <c r="K1261" i="3"/>
  <c r="I1261" i="3"/>
  <c r="A1257" i="4"/>
  <c r="B1257" i="4" s="1"/>
  <c r="C1257" i="4" s="1"/>
  <c r="D1257" i="4" s="1"/>
  <c r="A1258" i="4"/>
  <c r="B1258" i="4" s="1"/>
  <c r="C1258" i="4" s="1"/>
  <c r="D1258" i="4" s="1"/>
  <c r="Q1264" i="3"/>
  <c r="O1264" i="3"/>
  <c r="M1264" i="3"/>
  <c r="K1264" i="3"/>
  <c r="I1264" i="3"/>
  <c r="P1264" i="3"/>
  <c r="N1264" i="3"/>
  <c r="L1264" i="3"/>
  <c r="J1264" i="3"/>
  <c r="H1264" i="3"/>
  <c r="P1265" i="3"/>
  <c r="N1265" i="3"/>
  <c r="L1265" i="3"/>
  <c r="J1265" i="3"/>
  <c r="H1265" i="3"/>
  <c r="Q1265" i="3"/>
  <c r="O1265" i="3"/>
  <c r="M1265" i="3"/>
  <c r="K1265" i="3"/>
  <c r="I1265" i="3"/>
  <c r="A1261" i="4"/>
  <c r="B1261" i="4" s="1"/>
  <c r="C1261" i="4" s="1"/>
  <c r="D1261" i="4" s="1"/>
  <c r="A1262" i="4"/>
  <c r="B1262" i="4" s="1"/>
  <c r="C1262" i="4" s="1"/>
  <c r="D1262" i="4" s="1"/>
  <c r="Q1268" i="3"/>
  <c r="O1268" i="3"/>
  <c r="M1268" i="3"/>
  <c r="K1268" i="3"/>
  <c r="I1268" i="3"/>
  <c r="P1268" i="3"/>
  <c r="N1268" i="3"/>
  <c r="L1268" i="3"/>
  <c r="J1268" i="3"/>
  <c r="H1268" i="3"/>
  <c r="P1269" i="3"/>
  <c r="N1269" i="3"/>
  <c r="L1269" i="3"/>
  <c r="J1269" i="3"/>
  <c r="H1269" i="3"/>
  <c r="Q1269" i="3"/>
  <c r="O1269" i="3"/>
  <c r="M1269" i="3"/>
  <c r="K1269" i="3"/>
  <c r="I1269" i="3"/>
  <c r="A1265" i="4"/>
  <c r="B1265" i="4" s="1"/>
  <c r="C1265" i="4" s="1"/>
  <c r="D1265" i="4" s="1"/>
  <c r="Q1270" i="3"/>
  <c r="O1270" i="3"/>
  <c r="M1270" i="3"/>
  <c r="K1270" i="3"/>
  <c r="I1270" i="3"/>
  <c r="P1270" i="3"/>
  <c r="N1270" i="3"/>
  <c r="L1270" i="3"/>
  <c r="J1270" i="3"/>
  <c r="H1270" i="3"/>
  <c r="P1271" i="3"/>
  <c r="N1271" i="3"/>
  <c r="L1271" i="3"/>
  <c r="J1271" i="3"/>
  <c r="H1271" i="3"/>
  <c r="Q1271" i="3"/>
  <c r="O1271" i="3"/>
  <c r="M1271" i="3"/>
  <c r="K1271" i="3"/>
  <c r="I1271" i="3"/>
  <c r="A1267" i="4"/>
  <c r="B1267" i="4" s="1"/>
  <c r="C1267" i="4" s="1"/>
  <c r="D1267" i="4" s="1"/>
  <c r="Q1272" i="3"/>
  <c r="O1272" i="3"/>
  <c r="M1272" i="3"/>
  <c r="K1272" i="3"/>
  <c r="I1272" i="3"/>
  <c r="P1272" i="3"/>
  <c r="N1272" i="3"/>
  <c r="L1272" i="3"/>
  <c r="J1272" i="3"/>
  <c r="H1272" i="3"/>
  <c r="P1273" i="3"/>
  <c r="N1273" i="3"/>
  <c r="L1273" i="3"/>
  <c r="J1273" i="3"/>
  <c r="H1273" i="3"/>
  <c r="Q1273" i="3"/>
  <c r="O1273" i="3"/>
  <c r="M1273" i="3"/>
  <c r="K1273" i="3"/>
  <c r="I1273" i="3"/>
  <c r="A1269" i="4"/>
  <c r="B1269" i="4" s="1"/>
  <c r="C1269" i="4" s="1"/>
  <c r="D1269" i="4" s="1"/>
  <c r="Q1274" i="3"/>
  <c r="O1274" i="3"/>
  <c r="M1274" i="3"/>
  <c r="K1274" i="3"/>
  <c r="I1274" i="3"/>
  <c r="P1274" i="3"/>
  <c r="N1274" i="3"/>
  <c r="L1274" i="3"/>
  <c r="J1274" i="3"/>
  <c r="H1274" i="3"/>
  <c r="P1275" i="3"/>
  <c r="N1275" i="3"/>
  <c r="L1275" i="3"/>
  <c r="J1275" i="3"/>
  <c r="H1275" i="3"/>
  <c r="Q1275" i="3"/>
  <c r="O1275" i="3"/>
  <c r="M1275" i="3"/>
  <c r="K1275" i="3"/>
  <c r="I1275" i="3"/>
  <c r="A1271" i="4"/>
  <c r="B1271" i="4" s="1"/>
  <c r="C1271" i="4" s="1"/>
  <c r="D1271" i="4" s="1"/>
  <c r="Q1276" i="3"/>
  <c r="O1276" i="3"/>
  <c r="M1276" i="3"/>
  <c r="K1276" i="3"/>
  <c r="I1276" i="3"/>
  <c r="P1276" i="3"/>
  <c r="N1276" i="3"/>
  <c r="L1276" i="3"/>
  <c r="J1276" i="3"/>
  <c r="H1276" i="3"/>
  <c r="P1277" i="3"/>
  <c r="N1277" i="3"/>
  <c r="L1277" i="3"/>
  <c r="J1277" i="3"/>
  <c r="H1277" i="3"/>
  <c r="Q1277" i="3"/>
  <c r="O1277" i="3"/>
  <c r="M1277" i="3"/>
  <c r="K1277" i="3"/>
  <c r="I1277" i="3"/>
  <c r="A1273" i="4"/>
  <c r="B1273" i="4" s="1"/>
  <c r="C1273" i="4" s="1"/>
  <c r="D1273" i="4" s="1"/>
  <c r="Q1278" i="3"/>
  <c r="O1278" i="3"/>
  <c r="M1278" i="3"/>
  <c r="K1278" i="3"/>
  <c r="I1278" i="3"/>
  <c r="P1278" i="3"/>
  <c r="N1278" i="3"/>
  <c r="L1278" i="3"/>
  <c r="J1278" i="3"/>
  <c r="H1278" i="3"/>
  <c r="P1279" i="3"/>
  <c r="N1279" i="3"/>
  <c r="L1279" i="3"/>
  <c r="J1279" i="3"/>
  <c r="H1279" i="3"/>
  <c r="Q1279" i="3"/>
  <c r="O1279" i="3"/>
  <c r="M1279" i="3"/>
  <c r="K1279" i="3"/>
  <c r="I1279" i="3"/>
  <c r="A1275" i="4"/>
  <c r="B1275" i="4" s="1"/>
  <c r="C1275" i="4" s="1"/>
  <c r="D1275" i="4" s="1"/>
  <c r="Q1280" i="3"/>
  <c r="O1280" i="3"/>
  <c r="M1280" i="3"/>
  <c r="K1280" i="3"/>
  <c r="I1280" i="3"/>
  <c r="P1280" i="3"/>
  <c r="N1280" i="3"/>
  <c r="L1280" i="3"/>
  <c r="J1280" i="3"/>
  <c r="H1280" i="3"/>
  <c r="P1281" i="3"/>
  <c r="N1281" i="3"/>
  <c r="L1281" i="3"/>
  <c r="J1281" i="3"/>
  <c r="H1281" i="3"/>
  <c r="Q1281" i="3"/>
  <c r="O1281" i="3"/>
  <c r="M1281" i="3"/>
  <c r="K1281" i="3"/>
  <c r="I1281" i="3"/>
  <c r="A1277" i="4"/>
  <c r="B1277" i="4" s="1"/>
  <c r="C1277" i="4" s="1"/>
  <c r="D1277" i="4" s="1"/>
  <c r="Q1282" i="3"/>
  <c r="O1282" i="3"/>
  <c r="M1282" i="3"/>
  <c r="K1282" i="3"/>
  <c r="I1282" i="3"/>
  <c r="P1282" i="3"/>
  <c r="N1282" i="3"/>
  <c r="L1282" i="3"/>
  <c r="J1282" i="3"/>
  <c r="H1282" i="3"/>
  <c r="P1283" i="3"/>
  <c r="N1283" i="3"/>
  <c r="L1283" i="3"/>
  <c r="J1283" i="3"/>
  <c r="H1283" i="3"/>
  <c r="Q1283" i="3"/>
  <c r="O1283" i="3"/>
  <c r="M1283" i="3"/>
  <c r="K1283" i="3"/>
  <c r="I1283" i="3"/>
  <c r="A1279" i="4"/>
  <c r="B1279" i="4" s="1"/>
  <c r="C1279" i="4" s="1"/>
  <c r="D1279" i="4" s="1"/>
  <c r="Q1284" i="3"/>
  <c r="O1284" i="3"/>
  <c r="M1284" i="3"/>
  <c r="K1284" i="3"/>
  <c r="I1284" i="3"/>
  <c r="P1284" i="3"/>
  <c r="N1284" i="3"/>
  <c r="L1284" i="3"/>
  <c r="J1284" i="3"/>
  <c r="H1284" i="3"/>
  <c r="P1285" i="3"/>
  <c r="N1285" i="3"/>
  <c r="L1285" i="3"/>
  <c r="J1285" i="3"/>
  <c r="H1285" i="3"/>
  <c r="Q1285" i="3"/>
  <c r="O1285" i="3"/>
  <c r="M1285" i="3"/>
  <c r="K1285" i="3"/>
  <c r="I1285" i="3"/>
  <c r="A1281" i="4"/>
  <c r="B1281" i="4" s="1"/>
  <c r="C1281" i="4" s="1"/>
  <c r="D1281" i="4" s="1"/>
  <c r="Q1286" i="3"/>
  <c r="O1286" i="3"/>
  <c r="M1286" i="3"/>
  <c r="K1286" i="3"/>
  <c r="I1286" i="3"/>
  <c r="P1286" i="3"/>
  <c r="N1286" i="3"/>
  <c r="L1286" i="3"/>
  <c r="J1286" i="3"/>
  <c r="H1286" i="3"/>
  <c r="P1287" i="3"/>
  <c r="N1287" i="3"/>
  <c r="L1287" i="3"/>
  <c r="J1287" i="3"/>
  <c r="H1287" i="3"/>
  <c r="Q1287" i="3"/>
  <c r="O1287" i="3"/>
  <c r="M1287" i="3"/>
  <c r="K1287" i="3"/>
  <c r="I1287" i="3"/>
  <c r="A1283" i="4"/>
  <c r="B1283" i="4" s="1"/>
  <c r="C1283" i="4" s="1"/>
  <c r="D1283" i="4" s="1"/>
  <c r="Q1288" i="3"/>
  <c r="O1288" i="3"/>
  <c r="M1288" i="3"/>
  <c r="K1288" i="3"/>
  <c r="I1288" i="3"/>
  <c r="P1288" i="3"/>
  <c r="N1288" i="3"/>
  <c r="L1288" i="3"/>
  <c r="J1288" i="3"/>
  <c r="H1288" i="3"/>
  <c r="P1289" i="3"/>
  <c r="N1289" i="3"/>
  <c r="L1289" i="3"/>
  <c r="J1289" i="3"/>
  <c r="H1289" i="3"/>
  <c r="Q1289" i="3"/>
  <c r="O1289" i="3"/>
  <c r="M1289" i="3"/>
  <c r="K1289" i="3"/>
  <c r="I1289" i="3"/>
  <c r="A1285" i="4"/>
  <c r="B1285" i="4" s="1"/>
  <c r="C1285" i="4" s="1"/>
  <c r="D1285" i="4" s="1"/>
  <c r="Q1290" i="3"/>
  <c r="O1290" i="3"/>
  <c r="M1290" i="3"/>
  <c r="K1290" i="3"/>
  <c r="I1290" i="3"/>
  <c r="P1290" i="3"/>
  <c r="N1290" i="3"/>
  <c r="L1290" i="3"/>
  <c r="J1290" i="3"/>
  <c r="H1290" i="3"/>
  <c r="P1291" i="3"/>
  <c r="N1291" i="3"/>
  <c r="L1291" i="3"/>
  <c r="J1291" i="3"/>
  <c r="H1291" i="3"/>
  <c r="Q1291" i="3"/>
  <c r="O1291" i="3"/>
  <c r="M1291" i="3"/>
  <c r="K1291" i="3"/>
  <c r="I1291" i="3"/>
  <c r="A1287" i="4"/>
  <c r="B1287" i="4" s="1"/>
  <c r="C1287" i="4" s="1"/>
  <c r="D1287" i="4" s="1"/>
  <c r="Q1292" i="3"/>
  <c r="O1292" i="3"/>
  <c r="M1292" i="3"/>
  <c r="K1292" i="3"/>
  <c r="I1292" i="3"/>
  <c r="P1292" i="3"/>
  <c r="N1292" i="3"/>
  <c r="L1292" i="3"/>
  <c r="J1292" i="3"/>
  <c r="H1292" i="3"/>
  <c r="P1293" i="3"/>
  <c r="N1293" i="3"/>
  <c r="L1293" i="3"/>
  <c r="J1293" i="3"/>
  <c r="H1293" i="3"/>
  <c r="Q1293" i="3"/>
  <c r="O1293" i="3"/>
  <c r="M1293" i="3"/>
  <c r="K1293" i="3"/>
  <c r="I1293" i="3"/>
  <c r="A1289" i="4"/>
  <c r="B1289" i="4" s="1"/>
  <c r="C1289" i="4" s="1"/>
  <c r="D1289" i="4" s="1"/>
  <c r="Q1294" i="3"/>
  <c r="O1294" i="3"/>
  <c r="M1294" i="3"/>
  <c r="K1294" i="3"/>
  <c r="I1294" i="3"/>
  <c r="P1294" i="3"/>
  <c r="N1294" i="3"/>
  <c r="L1294" i="3"/>
  <c r="J1294" i="3"/>
  <c r="H1294" i="3"/>
  <c r="P1295" i="3"/>
  <c r="N1295" i="3"/>
  <c r="L1295" i="3"/>
  <c r="J1295" i="3"/>
  <c r="H1295" i="3"/>
  <c r="Q1295" i="3"/>
  <c r="O1295" i="3"/>
  <c r="M1295" i="3"/>
  <c r="K1295" i="3"/>
  <c r="I1295" i="3"/>
  <c r="A1291" i="4"/>
  <c r="B1291" i="4" s="1"/>
  <c r="C1291" i="4" s="1"/>
  <c r="D1291" i="4" s="1"/>
  <c r="Q1296" i="3"/>
  <c r="O1296" i="3"/>
  <c r="M1296" i="3"/>
  <c r="K1296" i="3"/>
  <c r="I1296" i="3"/>
  <c r="P1296" i="3"/>
  <c r="N1296" i="3"/>
  <c r="L1296" i="3"/>
  <c r="J1296" i="3"/>
  <c r="H1296" i="3"/>
  <c r="P1297" i="3"/>
  <c r="N1297" i="3"/>
  <c r="L1297" i="3"/>
  <c r="J1297" i="3"/>
  <c r="H1297" i="3"/>
  <c r="Q1297" i="3"/>
  <c r="O1297" i="3"/>
  <c r="M1297" i="3"/>
  <c r="K1297" i="3"/>
  <c r="I1297" i="3"/>
  <c r="A1293" i="4"/>
  <c r="B1293" i="4" s="1"/>
  <c r="C1293" i="4" s="1"/>
  <c r="D1293" i="4" s="1"/>
  <c r="Q1298" i="3"/>
  <c r="O1298" i="3"/>
  <c r="M1298" i="3"/>
  <c r="K1298" i="3"/>
  <c r="I1298" i="3"/>
  <c r="P1298" i="3"/>
  <c r="N1298" i="3"/>
  <c r="L1298" i="3"/>
  <c r="J1298" i="3"/>
  <c r="H1298" i="3"/>
  <c r="P1299" i="3"/>
  <c r="N1299" i="3"/>
  <c r="L1299" i="3"/>
  <c r="J1299" i="3"/>
  <c r="H1299" i="3"/>
  <c r="Q1299" i="3"/>
  <c r="O1299" i="3"/>
  <c r="M1299" i="3"/>
  <c r="K1299" i="3"/>
  <c r="I1299" i="3"/>
  <c r="A1295" i="4"/>
  <c r="B1295" i="4" s="1"/>
  <c r="C1295" i="4" s="1"/>
  <c r="D1295" i="4" s="1"/>
  <c r="Q1300" i="3"/>
  <c r="O1300" i="3"/>
  <c r="M1300" i="3"/>
  <c r="K1300" i="3"/>
  <c r="I1300" i="3"/>
  <c r="P1300" i="3"/>
  <c r="N1300" i="3"/>
  <c r="L1300" i="3"/>
  <c r="J1300" i="3"/>
  <c r="H1300" i="3"/>
  <c r="P1301" i="3"/>
  <c r="N1301" i="3"/>
  <c r="L1301" i="3"/>
  <c r="J1301" i="3"/>
  <c r="H1301" i="3"/>
  <c r="Q1301" i="3"/>
  <c r="O1301" i="3"/>
  <c r="M1301" i="3"/>
  <c r="K1301" i="3"/>
  <c r="I1301" i="3"/>
  <c r="A1297" i="4"/>
  <c r="B1297" i="4" s="1"/>
  <c r="C1297" i="4" s="1"/>
  <c r="D1297" i="4" s="1"/>
  <c r="Q1302" i="3"/>
  <c r="O1302" i="3"/>
  <c r="M1302" i="3"/>
  <c r="K1302" i="3"/>
  <c r="I1302" i="3"/>
  <c r="P1302" i="3"/>
  <c r="N1302" i="3"/>
  <c r="L1302" i="3"/>
  <c r="J1302" i="3"/>
  <c r="H1302" i="3"/>
  <c r="P1303" i="3"/>
  <c r="N1303" i="3"/>
  <c r="L1303" i="3"/>
  <c r="J1303" i="3"/>
  <c r="H1303" i="3"/>
  <c r="Q1303" i="3"/>
  <c r="O1303" i="3"/>
  <c r="M1303" i="3"/>
  <c r="K1303" i="3"/>
  <c r="I1303" i="3"/>
  <c r="A1299" i="4"/>
  <c r="B1299" i="4" s="1"/>
  <c r="C1299" i="4" s="1"/>
  <c r="D1299" i="4" s="1"/>
  <c r="Q1304" i="3"/>
  <c r="O1304" i="3"/>
  <c r="M1304" i="3"/>
  <c r="K1304" i="3"/>
  <c r="I1304" i="3"/>
  <c r="P1304" i="3"/>
  <c r="N1304" i="3"/>
  <c r="L1304" i="3"/>
  <c r="J1304" i="3"/>
  <c r="H1304" i="3"/>
  <c r="P1305" i="3"/>
  <c r="N1305" i="3"/>
  <c r="L1305" i="3"/>
  <c r="J1305" i="3"/>
  <c r="H1305" i="3"/>
  <c r="Q1305" i="3"/>
  <c r="O1305" i="3"/>
  <c r="M1305" i="3"/>
  <c r="K1305" i="3"/>
  <c r="I1305" i="3"/>
  <c r="A1301" i="4"/>
  <c r="B1301" i="4" s="1"/>
  <c r="C1301" i="4" s="1"/>
  <c r="D1301" i="4" s="1"/>
  <c r="Q1306" i="3"/>
  <c r="O1306" i="3"/>
  <c r="M1306" i="3"/>
  <c r="K1306" i="3"/>
  <c r="I1306" i="3"/>
  <c r="P1306" i="3"/>
  <c r="N1306" i="3"/>
  <c r="L1306" i="3"/>
  <c r="J1306" i="3"/>
  <c r="H1306" i="3"/>
  <c r="P1307" i="3"/>
  <c r="N1307" i="3"/>
  <c r="L1307" i="3"/>
  <c r="J1307" i="3"/>
  <c r="H1307" i="3"/>
  <c r="Q1307" i="3"/>
  <c r="O1307" i="3"/>
  <c r="M1307" i="3"/>
  <c r="K1307" i="3"/>
  <c r="I1307" i="3"/>
  <c r="A1303" i="4"/>
  <c r="B1303" i="4" s="1"/>
  <c r="C1303" i="4" s="1"/>
  <c r="D1303" i="4" s="1"/>
  <c r="Q1308" i="3"/>
  <c r="O1308" i="3"/>
  <c r="M1308" i="3"/>
  <c r="K1308" i="3"/>
  <c r="I1308" i="3"/>
  <c r="P1308" i="3"/>
  <c r="N1308" i="3"/>
  <c r="L1308" i="3"/>
  <c r="J1308" i="3"/>
  <c r="H1308" i="3"/>
  <c r="P1309" i="3"/>
  <c r="N1309" i="3"/>
  <c r="L1309" i="3"/>
  <c r="J1309" i="3"/>
  <c r="H1309" i="3"/>
  <c r="Q1309" i="3"/>
  <c r="O1309" i="3"/>
  <c r="M1309" i="3"/>
  <c r="K1309" i="3"/>
  <c r="I1309" i="3"/>
  <c r="A1305" i="4"/>
  <c r="B1305" i="4" s="1"/>
  <c r="C1305" i="4" s="1"/>
  <c r="D1305" i="4" s="1"/>
  <c r="Q1310" i="3"/>
  <c r="O1310" i="3"/>
  <c r="M1310" i="3"/>
  <c r="K1310" i="3"/>
  <c r="I1310" i="3"/>
  <c r="P1310" i="3"/>
  <c r="N1310" i="3"/>
  <c r="L1310" i="3"/>
  <c r="J1310" i="3"/>
  <c r="H1310" i="3"/>
  <c r="P1311" i="3"/>
  <c r="N1311" i="3"/>
  <c r="L1311" i="3"/>
  <c r="J1311" i="3"/>
  <c r="H1311" i="3"/>
  <c r="Q1311" i="3"/>
  <c r="O1311" i="3"/>
  <c r="M1311" i="3"/>
  <c r="K1311" i="3"/>
  <c r="I1311" i="3"/>
  <c r="A1307" i="4"/>
  <c r="B1307" i="4" s="1"/>
  <c r="C1307" i="4" s="1"/>
  <c r="D1307" i="4" s="1"/>
  <c r="Q1312" i="3"/>
  <c r="O1312" i="3"/>
  <c r="M1312" i="3"/>
  <c r="K1312" i="3"/>
  <c r="I1312" i="3"/>
  <c r="P1312" i="3"/>
  <c r="N1312" i="3"/>
  <c r="L1312" i="3"/>
  <c r="J1312" i="3"/>
  <c r="H1312" i="3"/>
  <c r="P1313" i="3"/>
  <c r="N1313" i="3"/>
  <c r="L1313" i="3"/>
  <c r="J1313" i="3"/>
  <c r="H1313" i="3"/>
  <c r="Q1313" i="3"/>
  <c r="O1313" i="3"/>
  <c r="M1313" i="3"/>
  <c r="K1313" i="3"/>
  <c r="I1313" i="3"/>
  <c r="A1309" i="4"/>
  <c r="B1309" i="4" s="1"/>
  <c r="C1309" i="4" s="1"/>
  <c r="D1309" i="4" s="1"/>
  <c r="Q1314" i="3"/>
  <c r="O1314" i="3"/>
  <c r="M1314" i="3"/>
  <c r="K1314" i="3"/>
  <c r="I1314" i="3"/>
  <c r="P1314" i="3"/>
  <c r="N1314" i="3"/>
  <c r="L1314" i="3"/>
  <c r="J1314" i="3"/>
  <c r="H1314" i="3"/>
  <c r="P1315" i="3"/>
  <c r="N1315" i="3"/>
  <c r="L1315" i="3"/>
  <c r="J1315" i="3"/>
  <c r="H1315" i="3"/>
  <c r="Q1315" i="3"/>
  <c r="O1315" i="3"/>
  <c r="M1315" i="3"/>
  <c r="K1315" i="3"/>
  <c r="I1315" i="3"/>
  <c r="A1311" i="4"/>
  <c r="B1311" i="4" s="1"/>
  <c r="C1311" i="4" s="1"/>
  <c r="D1311" i="4" s="1"/>
  <c r="Q1316" i="3"/>
  <c r="O1316" i="3"/>
  <c r="M1316" i="3"/>
  <c r="K1316" i="3"/>
  <c r="I1316" i="3"/>
  <c r="P1316" i="3"/>
  <c r="N1316" i="3"/>
  <c r="L1316" i="3"/>
  <c r="J1316" i="3"/>
  <c r="H1316" i="3"/>
  <c r="P1317" i="3"/>
  <c r="N1317" i="3"/>
  <c r="L1317" i="3"/>
  <c r="J1317" i="3"/>
  <c r="H1317" i="3"/>
  <c r="Q1317" i="3"/>
  <c r="O1317" i="3"/>
  <c r="M1317" i="3"/>
  <c r="K1317" i="3"/>
  <c r="I1317" i="3"/>
  <c r="A1313" i="4"/>
  <c r="B1313" i="4" s="1"/>
  <c r="C1313" i="4" s="1"/>
  <c r="D1313" i="4" s="1"/>
  <c r="Q1318" i="3"/>
  <c r="O1318" i="3"/>
  <c r="M1318" i="3"/>
  <c r="K1318" i="3"/>
  <c r="I1318" i="3"/>
  <c r="P1318" i="3"/>
  <c r="N1318" i="3"/>
  <c r="L1318" i="3"/>
  <c r="J1318" i="3"/>
  <c r="H1318" i="3"/>
  <c r="P1319" i="3"/>
  <c r="N1319" i="3"/>
  <c r="L1319" i="3"/>
  <c r="J1319" i="3"/>
  <c r="H1319" i="3"/>
  <c r="Q1319" i="3"/>
  <c r="O1319" i="3"/>
  <c r="M1319" i="3"/>
  <c r="K1319" i="3"/>
  <c r="I1319" i="3"/>
  <c r="A1315" i="4"/>
  <c r="B1315" i="4" s="1"/>
  <c r="C1315" i="4" s="1"/>
  <c r="D1315" i="4" s="1"/>
  <c r="Q1320" i="3"/>
  <c r="O1320" i="3"/>
  <c r="M1320" i="3"/>
  <c r="K1320" i="3"/>
  <c r="I1320" i="3"/>
  <c r="P1320" i="3"/>
  <c r="N1320" i="3"/>
  <c r="L1320" i="3"/>
  <c r="J1320" i="3"/>
  <c r="H1320" i="3"/>
  <c r="P1321" i="3"/>
  <c r="N1321" i="3"/>
  <c r="L1321" i="3"/>
  <c r="J1321" i="3"/>
  <c r="H1321" i="3"/>
  <c r="Q1321" i="3"/>
  <c r="O1321" i="3"/>
  <c r="M1321" i="3"/>
  <c r="K1321" i="3"/>
  <c r="I1321" i="3"/>
  <c r="A1317" i="4"/>
  <c r="B1317" i="4" s="1"/>
  <c r="C1317" i="4" s="1"/>
  <c r="D1317" i="4" s="1"/>
  <c r="Q1322" i="3"/>
  <c r="O1322" i="3"/>
  <c r="M1322" i="3"/>
  <c r="K1322" i="3"/>
  <c r="I1322" i="3"/>
  <c r="P1322" i="3"/>
  <c r="N1322" i="3"/>
  <c r="L1322" i="3"/>
  <c r="J1322" i="3"/>
  <c r="H1322" i="3"/>
  <c r="P1323" i="3"/>
  <c r="N1323" i="3"/>
  <c r="L1323" i="3"/>
  <c r="J1323" i="3"/>
  <c r="H1323" i="3"/>
  <c r="Q1323" i="3"/>
  <c r="O1323" i="3"/>
  <c r="M1323" i="3"/>
  <c r="K1323" i="3"/>
  <c r="I1323" i="3"/>
  <c r="A1319" i="4"/>
  <c r="B1319" i="4" s="1"/>
  <c r="C1319" i="4" s="1"/>
  <c r="D1319" i="4" s="1"/>
  <c r="Q1324" i="3"/>
  <c r="O1324" i="3"/>
  <c r="M1324" i="3"/>
  <c r="K1324" i="3"/>
  <c r="I1324" i="3"/>
  <c r="P1324" i="3"/>
  <c r="N1324" i="3"/>
  <c r="L1324" i="3"/>
  <c r="J1324" i="3"/>
  <c r="H1324" i="3"/>
  <c r="P1325" i="3"/>
  <c r="N1325" i="3"/>
  <c r="L1325" i="3"/>
  <c r="J1325" i="3"/>
  <c r="H1325" i="3"/>
  <c r="Q1325" i="3"/>
  <c r="O1325" i="3"/>
  <c r="M1325" i="3"/>
  <c r="K1325" i="3"/>
  <c r="I1325" i="3"/>
  <c r="A1321" i="4"/>
  <c r="B1321" i="4" s="1"/>
  <c r="C1321" i="4" s="1"/>
  <c r="D1321" i="4" s="1"/>
  <c r="Q1326" i="3"/>
  <c r="O1326" i="3"/>
  <c r="M1326" i="3"/>
  <c r="K1326" i="3"/>
  <c r="I1326" i="3"/>
  <c r="P1326" i="3"/>
  <c r="N1326" i="3"/>
  <c r="L1326" i="3"/>
  <c r="J1326" i="3"/>
  <c r="H1326" i="3"/>
  <c r="P1327" i="3"/>
  <c r="N1327" i="3"/>
  <c r="L1327" i="3"/>
  <c r="J1327" i="3"/>
  <c r="H1327" i="3"/>
  <c r="Q1327" i="3"/>
  <c r="O1327" i="3"/>
  <c r="M1327" i="3"/>
  <c r="K1327" i="3"/>
  <c r="I1327" i="3"/>
  <c r="A1323" i="4"/>
  <c r="B1323" i="4" s="1"/>
  <c r="C1323" i="4" s="1"/>
  <c r="D1323" i="4" s="1"/>
  <c r="Q1328" i="3"/>
  <c r="O1328" i="3"/>
  <c r="M1328" i="3"/>
  <c r="K1328" i="3"/>
  <c r="I1328" i="3"/>
  <c r="P1328" i="3"/>
  <c r="N1328" i="3"/>
  <c r="L1328" i="3"/>
  <c r="J1328" i="3"/>
  <c r="H1328" i="3"/>
  <c r="P1329" i="3"/>
  <c r="N1329" i="3"/>
  <c r="L1329" i="3"/>
  <c r="J1329" i="3"/>
  <c r="H1329" i="3"/>
  <c r="Q1329" i="3"/>
  <c r="O1329" i="3"/>
  <c r="M1329" i="3"/>
  <c r="K1329" i="3"/>
  <c r="I1329" i="3"/>
  <c r="A1325" i="4"/>
  <c r="B1325" i="4" s="1"/>
  <c r="C1325" i="4" s="1"/>
  <c r="D1325" i="4" s="1"/>
  <c r="Q1330" i="3"/>
  <c r="O1330" i="3"/>
  <c r="M1330" i="3"/>
  <c r="K1330" i="3"/>
  <c r="I1330" i="3"/>
  <c r="P1330" i="3"/>
  <c r="N1330" i="3"/>
  <c r="L1330" i="3"/>
  <c r="J1330" i="3"/>
  <c r="H1330" i="3"/>
  <c r="P1331" i="3"/>
  <c r="N1331" i="3"/>
  <c r="L1331" i="3"/>
  <c r="J1331" i="3"/>
  <c r="H1331" i="3"/>
  <c r="Q1331" i="3"/>
  <c r="O1331" i="3"/>
  <c r="M1331" i="3"/>
  <c r="K1331" i="3"/>
  <c r="I1331" i="3"/>
  <c r="A1327" i="4"/>
  <c r="B1327" i="4" s="1"/>
  <c r="C1327" i="4" s="1"/>
  <c r="D1327" i="4" s="1"/>
  <c r="Q1332" i="3"/>
  <c r="O1332" i="3"/>
  <c r="M1332" i="3"/>
  <c r="K1332" i="3"/>
  <c r="I1332" i="3"/>
  <c r="P1332" i="3"/>
  <c r="N1332" i="3"/>
  <c r="L1332" i="3"/>
  <c r="J1332" i="3"/>
  <c r="H1332" i="3"/>
  <c r="P1333" i="3"/>
  <c r="N1333" i="3"/>
  <c r="L1333" i="3"/>
  <c r="J1333" i="3"/>
  <c r="H1333" i="3"/>
  <c r="Q1333" i="3"/>
  <c r="O1333" i="3"/>
  <c r="M1333" i="3"/>
  <c r="K1333" i="3"/>
  <c r="I1333" i="3"/>
  <c r="A1329" i="4"/>
  <c r="B1329" i="4" s="1"/>
  <c r="C1329" i="4" s="1"/>
  <c r="D1329" i="4" s="1"/>
  <c r="Q1334" i="3"/>
  <c r="O1334" i="3"/>
  <c r="M1334" i="3"/>
  <c r="K1334" i="3"/>
  <c r="I1334" i="3"/>
  <c r="P1334" i="3"/>
  <c r="N1334" i="3"/>
  <c r="L1334" i="3"/>
  <c r="J1334" i="3"/>
  <c r="H1334" i="3"/>
  <c r="P1335" i="3"/>
  <c r="N1335" i="3"/>
  <c r="L1335" i="3"/>
  <c r="J1335" i="3"/>
  <c r="H1335" i="3"/>
  <c r="Q1335" i="3"/>
  <c r="O1335" i="3"/>
  <c r="M1335" i="3"/>
  <c r="K1335" i="3"/>
  <c r="I1335" i="3"/>
  <c r="A1331" i="4"/>
  <c r="B1331" i="4" s="1"/>
  <c r="C1331" i="4" s="1"/>
  <c r="D1331" i="4" s="1"/>
  <c r="Q1336" i="3"/>
  <c r="O1336" i="3"/>
  <c r="M1336" i="3"/>
  <c r="K1336" i="3"/>
  <c r="I1336" i="3"/>
  <c r="P1336" i="3"/>
  <c r="N1336" i="3"/>
  <c r="L1336" i="3"/>
  <c r="J1336" i="3"/>
  <c r="H1336" i="3"/>
  <c r="P1337" i="3"/>
  <c r="N1337" i="3"/>
  <c r="L1337" i="3"/>
  <c r="J1337" i="3"/>
  <c r="H1337" i="3"/>
  <c r="Q1337" i="3"/>
  <c r="O1337" i="3"/>
  <c r="M1337" i="3"/>
  <c r="K1337" i="3"/>
  <c r="I1337" i="3"/>
  <c r="A1333" i="4"/>
  <c r="B1333" i="4" s="1"/>
  <c r="C1333" i="4" s="1"/>
  <c r="D1333" i="4" s="1"/>
  <c r="Q1338" i="3"/>
  <c r="O1338" i="3"/>
  <c r="M1338" i="3"/>
  <c r="K1338" i="3"/>
  <c r="I1338" i="3"/>
  <c r="P1338" i="3"/>
  <c r="N1338" i="3"/>
  <c r="L1338" i="3"/>
  <c r="J1338" i="3"/>
  <c r="H1338" i="3"/>
  <c r="P1339" i="3"/>
  <c r="N1339" i="3"/>
  <c r="L1339" i="3"/>
  <c r="J1339" i="3"/>
  <c r="H1339" i="3"/>
  <c r="Q1339" i="3"/>
  <c r="O1339" i="3"/>
  <c r="M1339" i="3"/>
  <c r="K1339" i="3"/>
  <c r="I1339" i="3"/>
  <c r="A1335" i="4"/>
  <c r="B1335" i="4" s="1"/>
  <c r="C1335" i="4" s="1"/>
  <c r="D1335" i="4" s="1"/>
  <c r="Q1340" i="3"/>
  <c r="O1340" i="3"/>
  <c r="M1340" i="3"/>
  <c r="K1340" i="3"/>
  <c r="I1340" i="3"/>
  <c r="P1340" i="3"/>
  <c r="N1340" i="3"/>
  <c r="L1340" i="3"/>
  <c r="J1340" i="3"/>
  <c r="H1340" i="3"/>
  <c r="P1341" i="3"/>
  <c r="N1341" i="3"/>
  <c r="L1341" i="3"/>
  <c r="J1341" i="3"/>
  <c r="H1341" i="3"/>
  <c r="Q1341" i="3"/>
  <c r="O1341" i="3"/>
  <c r="M1341" i="3"/>
  <c r="K1341" i="3"/>
  <c r="I1341" i="3"/>
  <c r="A1337" i="4"/>
  <c r="B1337" i="4" s="1"/>
  <c r="C1337" i="4" s="1"/>
  <c r="D1337" i="4" s="1"/>
  <c r="Q1342" i="3"/>
  <c r="O1342" i="3"/>
  <c r="M1342" i="3"/>
  <c r="K1342" i="3"/>
  <c r="I1342" i="3"/>
  <c r="P1342" i="3"/>
  <c r="N1342" i="3"/>
  <c r="L1342" i="3"/>
  <c r="J1342" i="3"/>
  <c r="H1342" i="3"/>
  <c r="P1343" i="3"/>
  <c r="N1343" i="3"/>
  <c r="L1343" i="3"/>
  <c r="J1343" i="3"/>
  <c r="H1343" i="3"/>
  <c r="Q1343" i="3"/>
  <c r="O1343" i="3"/>
  <c r="M1343" i="3"/>
  <c r="K1343" i="3"/>
  <c r="I1343" i="3"/>
  <c r="A1339" i="4"/>
  <c r="B1339" i="4" s="1"/>
  <c r="C1339" i="4" s="1"/>
  <c r="D1339" i="4" s="1"/>
  <c r="Q1344" i="3"/>
  <c r="O1344" i="3"/>
  <c r="M1344" i="3"/>
  <c r="K1344" i="3"/>
  <c r="I1344" i="3"/>
  <c r="P1344" i="3"/>
  <c r="N1344" i="3"/>
  <c r="L1344" i="3"/>
  <c r="J1344" i="3"/>
  <c r="H1344" i="3"/>
  <c r="P1345" i="3"/>
  <c r="N1345" i="3"/>
  <c r="L1345" i="3"/>
  <c r="J1345" i="3"/>
  <c r="H1345" i="3"/>
  <c r="Q1345" i="3"/>
  <c r="O1345" i="3"/>
  <c r="M1345" i="3"/>
  <c r="K1345" i="3"/>
  <c r="I1345" i="3"/>
  <c r="A1341" i="4"/>
  <c r="B1341" i="4" s="1"/>
  <c r="C1341" i="4" s="1"/>
  <c r="D1341" i="4" s="1"/>
  <c r="Q1346" i="3"/>
  <c r="O1346" i="3"/>
  <c r="M1346" i="3"/>
  <c r="K1346" i="3"/>
  <c r="I1346" i="3"/>
  <c r="P1346" i="3"/>
  <c r="N1346" i="3"/>
  <c r="L1346" i="3"/>
  <c r="J1346" i="3"/>
  <c r="H1346" i="3"/>
  <c r="P1347" i="3"/>
  <c r="N1347" i="3"/>
  <c r="L1347" i="3"/>
  <c r="J1347" i="3"/>
  <c r="H1347" i="3"/>
  <c r="Q1347" i="3"/>
  <c r="O1347" i="3"/>
  <c r="M1347" i="3"/>
  <c r="K1347" i="3"/>
  <c r="I1347" i="3"/>
  <c r="A1343" i="4"/>
  <c r="B1343" i="4" s="1"/>
  <c r="C1343" i="4" s="1"/>
  <c r="D1343" i="4" s="1"/>
  <c r="Q1348" i="3"/>
  <c r="O1348" i="3"/>
  <c r="M1348" i="3"/>
  <c r="K1348" i="3"/>
  <c r="I1348" i="3"/>
  <c r="P1348" i="3"/>
  <c r="N1348" i="3"/>
  <c r="L1348" i="3"/>
  <c r="J1348" i="3"/>
  <c r="H1348" i="3"/>
  <c r="P1349" i="3"/>
  <c r="N1349" i="3"/>
  <c r="L1349" i="3"/>
  <c r="J1349" i="3"/>
  <c r="H1349" i="3"/>
  <c r="Q1349" i="3"/>
  <c r="O1349" i="3"/>
  <c r="M1349" i="3"/>
  <c r="K1349" i="3"/>
  <c r="I1349" i="3"/>
  <c r="A1345" i="4"/>
  <c r="B1345" i="4" s="1"/>
  <c r="C1345" i="4" s="1"/>
  <c r="D1345" i="4" s="1"/>
  <c r="Q1350" i="3"/>
  <c r="O1350" i="3"/>
  <c r="M1350" i="3"/>
  <c r="K1350" i="3"/>
  <c r="I1350" i="3"/>
  <c r="P1350" i="3"/>
  <c r="N1350" i="3"/>
  <c r="L1350" i="3"/>
  <c r="J1350" i="3"/>
  <c r="H1350" i="3"/>
  <c r="P1351" i="3"/>
  <c r="N1351" i="3"/>
  <c r="L1351" i="3"/>
  <c r="J1351" i="3"/>
  <c r="H1351" i="3"/>
  <c r="Q1351" i="3"/>
  <c r="O1351" i="3"/>
  <c r="M1351" i="3"/>
  <c r="K1351" i="3"/>
  <c r="I1351" i="3"/>
  <c r="A1347" i="4"/>
  <c r="B1347" i="4" s="1"/>
  <c r="C1347" i="4" s="1"/>
  <c r="D1347" i="4" s="1"/>
  <c r="Q1352" i="3"/>
  <c r="O1352" i="3"/>
  <c r="M1352" i="3"/>
  <c r="K1352" i="3"/>
  <c r="I1352" i="3"/>
  <c r="P1352" i="3"/>
  <c r="N1352" i="3"/>
  <c r="L1352" i="3"/>
  <c r="J1352" i="3"/>
  <c r="H1352" i="3"/>
  <c r="P1353" i="3"/>
  <c r="N1353" i="3"/>
  <c r="L1353" i="3"/>
  <c r="J1353" i="3"/>
  <c r="H1353" i="3"/>
  <c r="Q1353" i="3"/>
  <c r="O1353" i="3"/>
  <c r="M1353" i="3"/>
  <c r="K1353" i="3"/>
  <c r="I1353" i="3"/>
  <c r="A1349" i="4"/>
  <c r="B1349" i="4" s="1"/>
  <c r="C1349" i="4" s="1"/>
  <c r="D1349" i="4" s="1"/>
  <c r="Q1354" i="3"/>
  <c r="O1354" i="3"/>
  <c r="M1354" i="3"/>
  <c r="K1354" i="3"/>
  <c r="I1354" i="3"/>
  <c r="P1354" i="3"/>
  <c r="N1354" i="3"/>
  <c r="L1354" i="3"/>
  <c r="J1354" i="3"/>
  <c r="H1354" i="3"/>
  <c r="P1355" i="3"/>
  <c r="N1355" i="3"/>
  <c r="L1355" i="3"/>
  <c r="J1355" i="3"/>
  <c r="H1355" i="3"/>
  <c r="Q1355" i="3"/>
  <c r="O1355" i="3"/>
  <c r="M1355" i="3"/>
  <c r="K1355" i="3"/>
  <c r="I1355" i="3"/>
  <c r="A1351" i="4"/>
  <c r="B1351" i="4" s="1"/>
  <c r="C1351" i="4" s="1"/>
  <c r="D1351" i="4" s="1"/>
  <c r="Q1356" i="3"/>
  <c r="O1356" i="3"/>
  <c r="M1356" i="3"/>
  <c r="K1356" i="3"/>
  <c r="I1356" i="3"/>
  <c r="P1356" i="3"/>
  <c r="N1356" i="3"/>
  <c r="L1356" i="3"/>
  <c r="J1356" i="3"/>
  <c r="H1356" i="3"/>
  <c r="P1357" i="3"/>
  <c r="N1357" i="3"/>
  <c r="L1357" i="3"/>
  <c r="J1357" i="3"/>
  <c r="H1357" i="3"/>
  <c r="Q1357" i="3"/>
  <c r="O1357" i="3"/>
  <c r="M1357" i="3"/>
  <c r="K1357" i="3"/>
  <c r="I1357" i="3"/>
  <c r="A1353" i="4"/>
  <c r="B1353" i="4" s="1"/>
  <c r="C1353" i="4" s="1"/>
  <c r="D1353" i="4" s="1"/>
  <c r="Q1358" i="3"/>
  <c r="O1358" i="3"/>
  <c r="M1358" i="3"/>
  <c r="K1358" i="3"/>
  <c r="I1358" i="3"/>
  <c r="P1358" i="3"/>
  <c r="N1358" i="3"/>
  <c r="L1358" i="3"/>
  <c r="J1358" i="3"/>
  <c r="H1358" i="3"/>
  <c r="P1359" i="3"/>
  <c r="N1359" i="3"/>
  <c r="L1359" i="3"/>
  <c r="J1359" i="3"/>
  <c r="H1359" i="3"/>
  <c r="Q1359" i="3"/>
  <c r="O1359" i="3"/>
  <c r="M1359" i="3"/>
  <c r="K1359" i="3"/>
  <c r="I1359" i="3"/>
  <c r="A1355" i="4"/>
  <c r="B1355" i="4" s="1"/>
  <c r="C1355" i="4" s="1"/>
  <c r="D1355" i="4" s="1"/>
  <c r="Q1360" i="3"/>
  <c r="O1360" i="3"/>
  <c r="M1360" i="3"/>
  <c r="K1360" i="3"/>
  <c r="I1360" i="3"/>
  <c r="P1360" i="3"/>
  <c r="N1360" i="3"/>
  <c r="L1360" i="3"/>
  <c r="J1360" i="3"/>
  <c r="H1360" i="3"/>
  <c r="P1361" i="3"/>
  <c r="N1361" i="3"/>
  <c r="L1361" i="3"/>
  <c r="J1361" i="3"/>
  <c r="H1361" i="3"/>
  <c r="Q1361" i="3"/>
  <c r="O1361" i="3"/>
  <c r="M1361" i="3"/>
  <c r="K1361" i="3"/>
  <c r="I1361" i="3"/>
  <c r="A1357" i="4"/>
  <c r="B1357" i="4" s="1"/>
  <c r="C1357" i="4" s="1"/>
  <c r="D1357" i="4" s="1"/>
  <c r="Q1362" i="3"/>
  <c r="O1362" i="3"/>
  <c r="M1362" i="3"/>
  <c r="K1362" i="3"/>
  <c r="I1362" i="3"/>
  <c r="P1362" i="3"/>
  <c r="N1362" i="3"/>
  <c r="L1362" i="3"/>
  <c r="J1362" i="3"/>
  <c r="H1362" i="3"/>
  <c r="P1363" i="3"/>
  <c r="N1363" i="3"/>
  <c r="L1363" i="3"/>
  <c r="J1363" i="3"/>
  <c r="H1363" i="3"/>
  <c r="Q1363" i="3"/>
  <c r="O1363" i="3"/>
  <c r="M1363" i="3"/>
  <c r="K1363" i="3"/>
  <c r="I1363" i="3"/>
  <c r="A1359" i="4"/>
  <c r="B1359" i="4" s="1"/>
  <c r="C1359" i="4" s="1"/>
  <c r="D1359" i="4" s="1"/>
  <c r="Q1364" i="3"/>
  <c r="O1364" i="3"/>
  <c r="M1364" i="3"/>
  <c r="K1364" i="3"/>
  <c r="I1364" i="3"/>
  <c r="P1364" i="3"/>
  <c r="N1364" i="3"/>
  <c r="L1364" i="3"/>
  <c r="J1364" i="3"/>
  <c r="H1364" i="3"/>
  <c r="P1365" i="3"/>
  <c r="N1365" i="3"/>
  <c r="L1365" i="3"/>
  <c r="J1365" i="3"/>
  <c r="H1365" i="3"/>
  <c r="Q1365" i="3"/>
  <c r="O1365" i="3"/>
  <c r="M1365" i="3"/>
  <c r="K1365" i="3"/>
  <c r="I1365" i="3"/>
  <c r="A1361" i="4"/>
  <c r="B1361" i="4" s="1"/>
  <c r="C1361" i="4" s="1"/>
  <c r="D1361" i="4" s="1"/>
  <c r="Q1366" i="3"/>
  <c r="O1366" i="3"/>
  <c r="M1366" i="3"/>
  <c r="K1366" i="3"/>
  <c r="I1366" i="3"/>
  <c r="P1366" i="3"/>
  <c r="N1366" i="3"/>
  <c r="L1366" i="3"/>
  <c r="J1366" i="3"/>
  <c r="H1366" i="3"/>
  <c r="P1367" i="3"/>
  <c r="N1367" i="3"/>
  <c r="L1367" i="3"/>
  <c r="J1367" i="3"/>
  <c r="H1367" i="3"/>
  <c r="Q1367" i="3"/>
  <c r="O1367" i="3"/>
  <c r="M1367" i="3"/>
  <c r="K1367" i="3"/>
  <c r="I1367" i="3"/>
  <c r="A1363" i="4"/>
  <c r="B1363" i="4" s="1"/>
  <c r="C1363" i="4" s="1"/>
  <c r="D1363" i="4" s="1"/>
  <c r="Q1368" i="3"/>
  <c r="O1368" i="3"/>
  <c r="M1368" i="3"/>
  <c r="K1368" i="3"/>
  <c r="I1368" i="3"/>
  <c r="P1368" i="3"/>
  <c r="N1368" i="3"/>
  <c r="L1368" i="3"/>
  <c r="J1368" i="3"/>
  <c r="H1368" i="3"/>
  <c r="P1369" i="3"/>
  <c r="N1369" i="3"/>
  <c r="L1369" i="3"/>
  <c r="J1369" i="3"/>
  <c r="H1369" i="3"/>
  <c r="Q1369" i="3"/>
  <c r="O1369" i="3"/>
  <c r="M1369" i="3"/>
  <c r="K1369" i="3"/>
  <c r="I1369" i="3"/>
  <c r="A1365" i="4"/>
  <c r="B1365" i="4" s="1"/>
  <c r="C1365" i="4" s="1"/>
  <c r="D1365" i="4" s="1"/>
  <c r="Q1370" i="3"/>
  <c r="O1370" i="3"/>
  <c r="M1370" i="3"/>
  <c r="K1370" i="3"/>
  <c r="I1370" i="3"/>
  <c r="P1370" i="3"/>
  <c r="N1370" i="3"/>
  <c r="L1370" i="3"/>
  <c r="J1370" i="3"/>
  <c r="H1370" i="3"/>
  <c r="P1371" i="3"/>
  <c r="N1371" i="3"/>
  <c r="L1371" i="3"/>
  <c r="J1371" i="3"/>
  <c r="H1371" i="3"/>
  <c r="Q1371" i="3"/>
  <c r="O1371" i="3"/>
  <c r="M1371" i="3"/>
  <c r="K1371" i="3"/>
  <c r="I1371" i="3"/>
  <c r="A1367" i="4"/>
  <c r="B1367" i="4" s="1"/>
  <c r="C1367" i="4" s="1"/>
  <c r="D1367" i="4" s="1"/>
  <c r="Q1372" i="3"/>
  <c r="O1372" i="3"/>
  <c r="M1372" i="3"/>
  <c r="K1372" i="3"/>
  <c r="I1372" i="3"/>
  <c r="P1372" i="3"/>
  <c r="N1372" i="3"/>
  <c r="L1372" i="3"/>
  <c r="J1372" i="3"/>
  <c r="H1372" i="3"/>
  <c r="P1373" i="3"/>
  <c r="N1373" i="3"/>
  <c r="L1373" i="3"/>
  <c r="J1373" i="3"/>
  <c r="H1373" i="3"/>
  <c r="Q1373" i="3"/>
  <c r="O1373" i="3"/>
  <c r="M1373" i="3"/>
  <c r="K1373" i="3"/>
  <c r="I1373" i="3"/>
  <c r="A1369" i="4"/>
  <c r="B1369" i="4" s="1"/>
  <c r="C1369" i="4" s="1"/>
  <c r="D1369" i="4" s="1"/>
  <c r="Q1374" i="3"/>
  <c r="O1374" i="3"/>
  <c r="M1374" i="3"/>
  <c r="K1374" i="3"/>
  <c r="I1374" i="3"/>
  <c r="P1374" i="3"/>
  <c r="N1374" i="3"/>
  <c r="L1374" i="3"/>
  <c r="J1374" i="3"/>
  <c r="H1374" i="3"/>
  <c r="P1375" i="3"/>
  <c r="N1375" i="3"/>
  <c r="L1375" i="3"/>
  <c r="J1375" i="3"/>
  <c r="H1375" i="3"/>
  <c r="Q1375" i="3"/>
  <c r="O1375" i="3"/>
  <c r="M1375" i="3"/>
  <c r="K1375" i="3"/>
  <c r="I1375" i="3"/>
  <c r="A1371" i="4"/>
  <c r="B1371" i="4" s="1"/>
  <c r="C1371" i="4" s="1"/>
  <c r="D1371" i="4" s="1"/>
  <c r="Q1376" i="3"/>
  <c r="O1376" i="3"/>
  <c r="M1376" i="3"/>
  <c r="K1376" i="3"/>
  <c r="I1376" i="3"/>
  <c r="P1376" i="3"/>
  <c r="N1376" i="3"/>
  <c r="L1376" i="3"/>
  <c r="J1376" i="3"/>
  <c r="H1376" i="3"/>
  <c r="P1377" i="3"/>
  <c r="N1377" i="3"/>
  <c r="L1377" i="3"/>
  <c r="J1377" i="3"/>
  <c r="H1377" i="3"/>
  <c r="Q1377" i="3"/>
  <c r="O1377" i="3"/>
  <c r="M1377" i="3"/>
  <c r="K1377" i="3"/>
  <c r="I1377" i="3"/>
  <c r="A1373" i="4"/>
  <c r="B1373" i="4" s="1"/>
  <c r="C1373" i="4" s="1"/>
  <c r="D1373" i="4" s="1"/>
  <c r="Q1378" i="3"/>
  <c r="O1378" i="3"/>
  <c r="M1378" i="3"/>
  <c r="K1378" i="3"/>
  <c r="I1378" i="3"/>
  <c r="P1378" i="3"/>
  <c r="N1378" i="3"/>
  <c r="L1378" i="3"/>
  <c r="J1378" i="3"/>
  <c r="H1378" i="3"/>
  <c r="P1379" i="3"/>
  <c r="N1379" i="3"/>
  <c r="L1379" i="3"/>
  <c r="J1379" i="3"/>
  <c r="H1379" i="3"/>
  <c r="Q1379" i="3"/>
  <c r="O1379" i="3"/>
  <c r="M1379" i="3"/>
  <c r="K1379" i="3"/>
  <c r="I1379" i="3"/>
  <c r="A1375" i="4"/>
  <c r="B1375" i="4" s="1"/>
  <c r="C1375" i="4" s="1"/>
  <c r="D1375" i="4" s="1"/>
  <c r="Q1380" i="3"/>
  <c r="O1380" i="3"/>
  <c r="M1380" i="3"/>
  <c r="K1380" i="3"/>
  <c r="I1380" i="3"/>
  <c r="P1380" i="3"/>
  <c r="N1380" i="3"/>
  <c r="L1380" i="3"/>
  <c r="J1380" i="3"/>
  <c r="H1380" i="3"/>
  <c r="P1381" i="3"/>
  <c r="N1381" i="3"/>
  <c r="L1381" i="3"/>
  <c r="J1381" i="3"/>
  <c r="H1381" i="3"/>
  <c r="Q1381" i="3"/>
  <c r="O1381" i="3"/>
  <c r="M1381" i="3"/>
  <c r="K1381" i="3"/>
  <c r="I1381" i="3"/>
  <c r="A1377" i="4"/>
  <c r="B1377" i="4" s="1"/>
  <c r="C1377" i="4" s="1"/>
  <c r="D1377" i="4" s="1"/>
  <c r="Q1382" i="3"/>
  <c r="O1382" i="3"/>
  <c r="M1382" i="3"/>
  <c r="K1382" i="3"/>
  <c r="I1382" i="3"/>
  <c r="P1382" i="3"/>
  <c r="N1382" i="3"/>
  <c r="L1382" i="3"/>
  <c r="J1382" i="3"/>
  <c r="H1382" i="3"/>
  <c r="P1383" i="3"/>
  <c r="N1383" i="3"/>
  <c r="L1383" i="3"/>
  <c r="J1383" i="3"/>
  <c r="H1383" i="3"/>
  <c r="Q1383" i="3"/>
  <c r="O1383" i="3"/>
  <c r="M1383" i="3"/>
  <c r="K1383" i="3"/>
  <c r="I1383" i="3"/>
  <c r="A1379" i="4"/>
  <c r="B1379" i="4" s="1"/>
  <c r="C1379" i="4" s="1"/>
  <c r="D1379" i="4" s="1"/>
  <c r="Q1384" i="3"/>
  <c r="O1384" i="3"/>
  <c r="M1384" i="3"/>
  <c r="K1384" i="3"/>
  <c r="I1384" i="3"/>
  <c r="P1384" i="3"/>
  <c r="N1384" i="3"/>
  <c r="L1384" i="3"/>
  <c r="J1384" i="3"/>
  <c r="H1384" i="3"/>
  <c r="P1385" i="3"/>
  <c r="N1385" i="3"/>
  <c r="L1385" i="3"/>
  <c r="J1385" i="3"/>
  <c r="H1385" i="3"/>
  <c r="Q1385" i="3"/>
  <c r="O1385" i="3"/>
  <c r="M1385" i="3"/>
  <c r="K1385" i="3"/>
  <c r="I1385" i="3"/>
  <c r="A1381" i="4"/>
  <c r="B1381" i="4" s="1"/>
  <c r="C1381" i="4" s="1"/>
  <c r="D1381" i="4" s="1"/>
  <c r="Q1386" i="3"/>
  <c r="O1386" i="3"/>
  <c r="M1386" i="3"/>
  <c r="K1386" i="3"/>
  <c r="I1386" i="3"/>
  <c r="P1386" i="3"/>
  <c r="N1386" i="3"/>
  <c r="L1386" i="3"/>
  <c r="J1386" i="3"/>
  <c r="H1386" i="3"/>
  <c r="P1387" i="3"/>
  <c r="N1387" i="3"/>
  <c r="L1387" i="3"/>
  <c r="J1387" i="3"/>
  <c r="H1387" i="3"/>
  <c r="Q1387" i="3"/>
  <c r="O1387" i="3"/>
  <c r="M1387" i="3"/>
  <c r="K1387" i="3"/>
  <c r="I1387" i="3"/>
  <c r="A1383" i="4"/>
  <c r="B1383" i="4" s="1"/>
  <c r="C1383" i="4" s="1"/>
  <c r="D1383" i="4" s="1"/>
  <c r="Q1388" i="3"/>
  <c r="O1388" i="3"/>
  <c r="M1388" i="3"/>
  <c r="K1388" i="3"/>
  <c r="I1388" i="3"/>
  <c r="P1388" i="3"/>
  <c r="N1388" i="3"/>
  <c r="L1388" i="3"/>
  <c r="J1388" i="3"/>
  <c r="H1388" i="3"/>
  <c r="P1389" i="3"/>
  <c r="N1389" i="3"/>
  <c r="L1389" i="3"/>
  <c r="J1389" i="3"/>
  <c r="H1389" i="3"/>
  <c r="Q1389" i="3"/>
  <c r="O1389" i="3"/>
  <c r="M1389" i="3"/>
  <c r="K1389" i="3"/>
  <c r="I1389" i="3"/>
  <c r="A1385" i="4"/>
  <c r="B1385" i="4" s="1"/>
  <c r="C1385" i="4" s="1"/>
  <c r="D1385" i="4" s="1"/>
  <c r="Q1390" i="3"/>
  <c r="O1390" i="3"/>
  <c r="M1390" i="3"/>
  <c r="K1390" i="3"/>
  <c r="I1390" i="3"/>
  <c r="P1390" i="3"/>
  <c r="N1390" i="3"/>
  <c r="L1390" i="3"/>
  <c r="J1390" i="3"/>
  <c r="H1390" i="3"/>
  <c r="P1391" i="3"/>
  <c r="N1391" i="3"/>
  <c r="L1391" i="3"/>
  <c r="J1391" i="3"/>
  <c r="H1391" i="3"/>
  <c r="Q1391" i="3"/>
  <c r="O1391" i="3"/>
  <c r="M1391" i="3"/>
  <c r="K1391" i="3"/>
  <c r="I1391" i="3"/>
  <c r="A1387" i="4"/>
  <c r="B1387" i="4" s="1"/>
  <c r="C1387" i="4" s="1"/>
  <c r="D1387" i="4" s="1"/>
  <c r="Q1392" i="3"/>
  <c r="O1392" i="3"/>
  <c r="M1392" i="3"/>
  <c r="K1392" i="3"/>
  <c r="I1392" i="3"/>
  <c r="P1392" i="3"/>
  <c r="N1392" i="3"/>
  <c r="L1392" i="3"/>
  <c r="J1392" i="3"/>
  <c r="H1392" i="3"/>
  <c r="P1393" i="3"/>
  <c r="N1393" i="3"/>
  <c r="L1393" i="3"/>
  <c r="J1393" i="3"/>
  <c r="H1393" i="3"/>
  <c r="Q1393" i="3"/>
  <c r="O1393" i="3"/>
  <c r="M1393" i="3"/>
  <c r="K1393" i="3"/>
  <c r="I1393" i="3"/>
  <c r="A1389" i="4"/>
  <c r="B1389" i="4" s="1"/>
  <c r="C1389" i="4" s="1"/>
  <c r="D1389" i="4" s="1"/>
  <c r="Q1394" i="3"/>
  <c r="O1394" i="3"/>
  <c r="M1394" i="3"/>
  <c r="K1394" i="3"/>
  <c r="I1394" i="3"/>
  <c r="P1394" i="3"/>
  <c r="N1394" i="3"/>
  <c r="L1394" i="3"/>
  <c r="J1394" i="3"/>
  <c r="H1394" i="3"/>
  <c r="P1395" i="3"/>
  <c r="N1395" i="3"/>
  <c r="L1395" i="3"/>
  <c r="J1395" i="3"/>
  <c r="H1395" i="3"/>
  <c r="Q1395" i="3"/>
  <c r="O1395" i="3"/>
  <c r="M1395" i="3"/>
  <c r="K1395" i="3"/>
  <c r="I1395" i="3"/>
  <c r="A1391" i="4"/>
  <c r="B1391" i="4" s="1"/>
  <c r="C1391" i="4" s="1"/>
  <c r="D1391" i="4" s="1"/>
  <c r="Q1396" i="3"/>
  <c r="O1396" i="3"/>
  <c r="M1396" i="3"/>
  <c r="K1396" i="3"/>
  <c r="I1396" i="3"/>
  <c r="P1396" i="3"/>
  <c r="N1396" i="3"/>
  <c r="L1396" i="3"/>
  <c r="J1396" i="3"/>
  <c r="H1396" i="3"/>
  <c r="P1397" i="3"/>
  <c r="N1397" i="3"/>
  <c r="L1397" i="3"/>
  <c r="J1397" i="3"/>
  <c r="H1397" i="3"/>
  <c r="Q1397" i="3"/>
  <c r="O1397" i="3"/>
  <c r="M1397" i="3"/>
  <c r="K1397" i="3"/>
  <c r="I1397" i="3"/>
  <c r="A1393" i="4"/>
  <c r="B1393" i="4" s="1"/>
  <c r="C1393" i="4" s="1"/>
  <c r="D1393" i="4" s="1"/>
  <c r="Q1398" i="3"/>
  <c r="O1398" i="3"/>
  <c r="M1398" i="3"/>
  <c r="K1398" i="3"/>
  <c r="I1398" i="3"/>
  <c r="P1398" i="3"/>
  <c r="N1398" i="3"/>
  <c r="L1398" i="3"/>
  <c r="J1398" i="3"/>
  <c r="H1398" i="3"/>
  <c r="P1399" i="3"/>
  <c r="N1399" i="3"/>
  <c r="L1399" i="3"/>
  <c r="J1399" i="3"/>
  <c r="H1399" i="3"/>
  <c r="Q1399" i="3"/>
  <c r="O1399" i="3"/>
  <c r="M1399" i="3"/>
  <c r="K1399" i="3"/>
  <c r="I1399" i="3"/>
  <c r="A1395" i="4"/>
  <c r="B1395" i="4" s="1"/>
  <c r="C1395" i="4" s="1"/>
  <c r="D1395" i="4" s="1"/>
  <c r="Q1400" i="3"/>
  <c r="O1400" i="3"/>
  <c r="M1400" i="3"/>
  <c r="K1400" i="3"/>
  <c r="I1400" i="3"/>
  <c r="P1400" i="3"/>
  <c r="N1400" i="3"/>
  <c r="L1400" i="3"/>
  <c r="J1400" i="3"/>
  <c r="H1400" i="3"/>
  <c r="P1401" i="3"/>
  <c r="N1401" i="3"/>
  <c r="L1401" i="3"/>
  <c r="J1401" i="3"/>
  <c r="H1401" i="3"/>
  <c r="Q1401" i="3"/>
  <c r="O1401" i="3"/>
  <c r="M1401" i="3"/>
  <c r="K1401" i="3"/>
  <c r="I1401" i="3"/>
  <c r="A1397" i="4"/>
  <c r="B1397" i="4" s="1"/>
  <c r="C1397" i="4" s="1"/>
  <c r="D1397" i="4" s="1"/>
  <c r="Q1402" i="3"/>
  <c r="O1402" i="3"/>
  <c r="M1402" i="3"/>
  <c r="K1402" i="3"/>
  <c r="I1402" i="3"/>
  <c r="P1402" i="3"/>
  <c r="N1402" i="3"/>
  <c r="L1402" i="3"/>
  <c r="J1402" i="3"/>
  <c r="H1402" i="3"/>
  <c r="P1403" i="3"/>
  <c r="N1403" i="3"/>
  <c r="L1403" i="3"/>
  <c r="J1403" i="3"/>
  <c r="H1403" i="3"/>
  <c r="Q1403" i="3"/>
  <c r="O1403" i="3"/>
  <c r="M1403" i="3"/>
  <c r="K1403" i="3"/>
  <c r="I1403" i="3"/>
  <c r="A1399" i="4"/>
  <c r="B1399" i="4" s="1"/>
  <c r="C1399" i="4" s="1"/>
  <c r="D1399" i="4" s="1"/>
  <c r="Q1404" i="3"/>
  <c r="O1404" i="3"/>
  <c r="M1404" i="3"/>
  <c r="K1404" i="3"/>
  <c r="I1404" i="3"/>
  <c r="P1404" i="3"/>
  <c r="N1404" i="3"/>
  <c r="L1404" i="3"/>
  <c r="J1404" i="3"/>
  <c r="H1404" i="3"/>
  <c r="P1405" i="3"/>
  <c r="N1405" i="3"/>
  <c r="L1405" i="3"/>
  <c r="J1405" i="3"/>
  <c r="H1405" i="3"/>
  <c r="Q1405" i="3"/>
  <c r="O1405" i="3"/>
  <c r="M1405" i="3"/>
  <c r="K1405" i="3"/>
  <c r="I1405" i="3"/>
  <c r="A1401" i="4"/>
  <c r="B1401" i="4" s="1"/>
  <c r="C1401" i="4" s="1"/>
  <c r="D1401" i="4" s="1"/>
  <c r="Q1406" i="3"/>
  <c r="O1406" i="3"/>
  <c r="M1406" i="3"/>
  <c r="K1406" i="3"/>
  <c r="I1406" i="3"/>
  <c r="P1406" i="3"/>
  <c r="N1406" i="3"/>
  <c r="L1406" i="3"/>
  <c r="J1406" i="3"/>
  <c r="H1406" i="3"/>
  <c r="P1407" i="3"/>
  <c r="N1407" i="3"/>
  <c r="L1407" i="3"/>
  <c r="J1407" i="3"/>
  <c r="H1407" i="3"/>
  <c r="Q1407" i="3"/>
  <c r="O1407" i="3"/>
  <c r="M1407" i="3"/>
  <c r="K1407" i="3"/>
  <c r="I1407" i="3"/>
  <c r="A1403" i="4"/>
  <c r="B1403" i="4" s="1"/>
  <c r="C1403" i="4" s="1"/>
  <c r="D1403" i="4" s="1"/>
  <c r="Q1408" i="3"/>
  <c r="O1408" i="3"/>
  <c r="M1408" i="3"/>
  <c r="K1408" i="3"/>
  <c r="I1408" i="3"/>
  <c r="P1408" i="3"/>
  <c r="N1408" i="3"/>
  <c r="L1408" i="3"/>
  <c r="J1408" i="3"/>
  <c r="H1408" i="3"/>
  <c r="P1409" i="3"/>
  <c r="N1409" i="3"/>
  <c r="L1409" i="3"/>
  <c r="J1409" i="3"/>
  <c r="H1409" i="3"/>
  <c r="Q1409" i="3"/>
  <c r="O1409" i="3"/>
  <c r="M1409" i="3"/>
  <c r="K1409" i="3"/>
  <c r="I1409" i="3"/>
  <c r="A1405" i="4"/>
  <c r="B1405" i="4" s="1"/>
  <c r="C1405" i="4" s="1"/>
  <c r="D1405" i="4" s="1"/>
  <c r="Q1410" i="3"/>
  <c r="O1410" i="3"/>
  <c r="M1410" i="3"/>
  <c r="K1410" i="3"/>
  <c r="I1410" i="3"/>
  <c r="P1410" i="3"/>
  <c r="N1410" i="3"/>
  <c r="L1410" i="3"/>
  <c r="J1410" i="3"/>
  <c r="H1410" i="3"/>
  <c r="P1411" i="3"/>
  <c r="N1411" i="3"/>
  <c r="L1411" i="3"/>
  <c r="J1411" i="3"/>
  <c r="H1411" i="3"/>
  <c r="Q1411" i="3"/>
  <c r="O1411" i="3"/>
  <c r="M1411" i="3"/>
  <c r="K1411" i="3"/>
  <c r="I1411" i="3"/>
  <c r="A1407" i="4"/>
  <c r="B1407" i="4" s="1"/>
  <c r="C1407" i="4" s="1"/>
  <c r="D1407" i="4" s="1"/>
  <c r="Q1412" i="3"/>
  <c r="O1412" i="3"/>
  <c r="M1412" i="3"/>
  <c r="K1412" i="3"/>
  <c r="I1412" i="3"/>
  <c r="P1412" i="3"/>
  <c r="N1412" i="3"/>
  <c r="L1412" i="3"/>
  <c r="J1412" i="3"/>
  <c r="H1412" i="3"/>
  <c r="P1413" i="3"/>
  <c r="N1413" i="3"/>
  <c r="L1413" i="3"/>
  <c r="J1413" i="3"/>
  <c r="H1413" i="3"/>
  <c r="Q1413" i="3"/>
  <c r="O1413" i="3"/>
  <c r="M1413" i="3"/>
  <c r="K1413" i="3"/>
  <c r="I1413" i="3"/>
  <c r="A1409" i="4"/>
  <c r="B1409" i="4" s="1"/>
  <c r="C1409" i="4" s="1"/>
  <c r="D1409" i="4" s="1"/>
  <c r="Q1414" i="3"/>
  <c r="O1414" i="3"/>
  <c r="M1414" i="3"/>
  <c r="K1414" i="3"/>
  <c r="I1414" i="3"/>
  <c r="P1414" i="3"/>
  <c r="N1414" i="3"/>
  <c r="L1414" i="3"/>
  <c r="J1414" i="3"/>
  <c r="H1414" i="3"/>
  <c r="P1415" i="3"/>
  <c r="N1415" i="3"/>
  <c r="L1415" i="3"/>
  <c r="J1415" i="3"/>
  <c r="H1415" i="3"/>
  <c r="Q1415" i="3"/>
  <c r="O1415" i="3"/>
  <c r="M1415" i="3"/>
  <c r="K1415" i="3"/>
  <c r="I1415" i="3"/>
  <c r="A1411" i="4"/>
  <c r="B1411" i="4" s="1"/>
  <c r="C1411" i="4" s="1"/>
  <c r="D1411" i="4" s="1"/>
  <c r="Q1416" i="3"/>
  <c r="O1416" i="3"/>
  <c r="M1416" i="3"/>
  <c r="K1416" i="3"/>
  <c r="I1416" i="3"/>
  <c r="P1416" i="3"/>
  <c r="N1416" i="3"/>
  <c r="L1416" i="3"/>
  <c r="J1416" i="3"/>
  <c r="H1416" i="3"/>
  <c r="P1417" i="3"/>
  <c r="N1417" i="3"/>
  <c r="L1417" i="3"/>
  <c r="J1417" i="3"/>
  <c r="H1417" i="3"/>
  <c r="Q1417" i="3"/>
  <c r="O1417" i="3"/>
  <c r="M1417" i="3"/>
  <c r="K1417" i="3"/>
  <c r="I1417" i="3"/>
  <c r="A1413" i="4"/>
  <c r="B1413" i="4" s="1"/>
  <c r="C1413" i="4" s="1"/>
  <c r="D1413" i="4" s="1"/>
  <c r="Q1418" i="3"/>
  <c r="O1418" i="3"/>
  <c r="M1418" i="3"/>
  <c r="K1418" i="3"/>
  <c r="I1418" i="3"/>
  <c r="P1418" i="3"/>
  <c r="N1418" i="3"/>
  <c r="L1418" i="3"/>
  <c r="J1418" i="3"/>
  <c r="H1418" i="3"/>
  <c r="P1419" i="3"/>
  <c r="N1419" i="3"/>
  <c r="L1419" i="3"/>
  <c r="J1419" i="3"/>
  <c r="H1419" i="3"/>
  <c r="Q1419" i="3"/>
  <c r="O1419" i="3"/>
  <c r="M1419" i="3"/>
  <c r="K1419" i="3"/>
  <c r="I1419" i="3"/>
  <c r="A1415" i="4"/>
  <c r="B1415" i="4" s="1"/>
  <c r="C1415" i="4" s="1"/>
  <c r="D1415" i="4" s="1"/>
  <c r="Q1420" i="3"/>
  <c r="O1420" i="3"/>
  <c r="M1420" i="3"/>
  <c r="K1420" i="3"/>
  <c r="I1420" i="3"/>
  <c r="P1420" i="3"/>
  <c r="N1420" i="3"/>
  <c r="L1420" i="3"/>
  <c r="J1420" i="3"/>
  <c r="H1420" i="3"/>
  <c r="P1421" i="3"/>
  <c r="N1421" i="3"/>
  <c r="L1421" i="3"/>
  <c r="J1421" i="3"/>
  <c r="H1421" i="3"/>
  <c r="Q1421" i="3"/>
  <c r="O1421" i="3"/>
  <c r="M1421" i="3"/>
  <c r="K1421" i="3"/>
  <c r="I1421" i="3"/>
  <c r="A1417" i="4"/>
  <c r="B1417" i="4" s="1"/>
  <c r="C1417" i="4" s="1"/>
  <c r="D1417" i="4" s="1"/>
  <c r="Q1422" i="3"/>
  <c r="O1422" i="3"/>
  <c r="M1422" i="3"/>
  <c r="K1422" i="3"/>
  <c r="I1422" i="3"/>
  <c r="P1422" i="3"/>
  <c r="N1422" i="3"/>
  <c r="L1422" i="3"/>
  <c r="J1422" i="3"/>
  <c r="H1422" i="3"/>
  <c r="P1423" i="3"/>
  <c r="N1423" i="3"/>
  <c r="L1423" i="3"/>
  <c r="J1423" i="3"/>
  <c r="H1423" i="3"/>
  <c r="Q1423" i="3"/>
  <c r="O1423" i="3"/>
  <c r="M1423" i="3"/>
  <c r="K1423" i="3"/>
  <c r="I1423" i="3"/>
  <c r="A1419" i="4"/>
  <c r="B1419" i="4" s="1"/>
  <c r="C1419" i="4" s="1"/>
  <c r="D1419" i="4" s="1"/>
  <c r="Q1424" i="3"/>
  <c r="O1424" i="3"/>
  <c r="M1424" i="3"/>
  <c r="K1424" i="3"/>
  <c r="I1424" i="3"/>
  <c r="P1424" i="3"/>
  <c r="N1424" i="3"/>
  <c r="L1424" i="3"/>
  <c r="J1424" i="3"/>
  <c r="H1424" i="3"/>
  <c r="P1425" i="3"/>
  <c r="N1425" i="3"/>
  <c r="L1425" i="3"/>
  <c r="J1425" i="3"/>
  <c r="H1425" i="3"/>
  <c r="Q1425" i="3"/>
  <c r="O1425" i="3"/>
  <c r="M1425" i="3"/>
  <c r="K1425" i="3"/>
  <c r="I1425" i="3"/>
  <c r="A1421" i="4"/>
  <c r="B1421" i="4" s="1"/>
  <c r="C1421" i="4" s="1"/>
  <c r="D1421" i="4" s="1"/>
  <c r="Q1426" i="3"/>
  <c r="O1426" i="3"/>
  <c r="M1426" i="3"/>
  <c r="K1426" i="3"/>
  <c r="I1426" i="3"/>
  <c r="P1426" i="3"/>
  <c r="N1426" i="3"/>
  <c r="L1426" i="3"/>
  <c r="J1426" i="3"/>
  <c r="H1426" i="3"/>
  <c r="P1427" i="3"/>
  <c r="N1427" i="3"/>
  <c r="L1427" i="3"/>
  <c r="J1427" i="3"/>
  <c r="H1427" i="3"/>
  <c r="Q1427" i="3"/>
  <c r="O1427" i="3"/>
  <c r="M1427" i="3"/>
  <c r="K1427" i="3"/>
  <c r="I1427" i="3"/>
  <c r="A1423" i="4"/>
  <c r="B1423" i="4" s="1"/>
  <c r="C1423" i="4" s="1"/>
  <c r="D1423" i="4" s="1"/>
  <c r="Q1428" i="3"/>
  <c r="O1428" i="3"/>
  <c r="M1428" i="3"/>
  <c r="K1428" i="3"/>
  <c r="I1428" i="3"/>
  <c r="P1428" i="3"/>
  <c r="N1428" i="3"/>
  <c r="L1428" i="3"/>
  <c r="J1428" i="3"/>
  <c r="H1428" i="3"/>
  <c r="P1429" i="3"/>
  <c r="N1429" i="3"/>
  <c r="L1429" i="3"/>
  <c r="J1429" i="3"/>
  <c r="H1429" i="3"/>
  <c r="Q1429" i="3"/>
  <c r="O1429" i="3"/>
  <c r="M1429" i="3"/>
  <c r="K1429" i="3"/>
  <c r="I1429" i="3"/>
  <c r="A1425" i="4"/>
  <c r="B1425" i="4" s="1"/>
  <c r="C1425" i="4" s="1"/>
  <c r="D1425" i="4" s="1"/>
  <c r="Q1430" i="3"/>
  <c r="O1430" i="3"/>
  <c r="M1430" i="3"/>
  <c r="K1430" i="3"/>
  <c r="I1430" i="3"/>
  <c r="P1430" i="3"/>
  <c r="N1430" i="3"/>
  <c r="L1430" i="3"/>
  <c r="J1430" i="3"/>
  <c r="H1430" i="3"/>
  <c r="P1431" i="3"/>
  <c r="N1431" i="3"/>
  <c r="L1431" i="3"/>
  <c r="J1431" i="3"/>
  <c r="H1431" i="3"/>
  <c r="Q1431" i="3"/>
  <c r="O1431" i="3"/>
  <c r="M1431" i="3"/>
  <c r="K1431" i="3"/>
  <c r="I1431" i="3"/>
  <c r="A1427" i="4"/>
  <c r="B1427" i="4" s="1"/>
  <c r="C1427" i="4" s="1"/>
  <c r="D1427" i="4" s="1"/>
  <c r="Q1432" i="3"/>
  <c r="O1432" i="3"/>
  <c r="M1432" i="3"/>
  <c r="K1432" i="3"/>
  <c r="I1432" i="3"/>
  <c r="P1432" i="3"/>
  <c r="N1432" i="3"/>
  <c r="L1432" i="3"/>
  <c r="J1432" i="3"/>
  <c r="H1432" i="3"/>
  <c r="P1433" i="3"/>
  <c r="N1433" i="3"/>
  <c r="L1433" i="3"/>
  <c r="J1433" i="3"/>
  <c r="H1433" i="3"/>
  <c r="Q1433" i="3"/>
  <c r="O1433" i="3"/>
  <c r="M1433" i="3"/>
  <c r="K1433" i="3"/>
  <c r="I1433" i="3"/>
  <c r="A1429" i="4"/>
  <c r="B1429" i="4" s="1"/>
  <c r="C1429" i="4" s="1"/>
  <c r="D1429" i="4" s="1"/>
  <c r="Q1434" i="3"/>
  <c r="O1434" i="3"/>
  <c r="M1434" i="3"/>
  <c r="K1434" i="3"/>
  <c r="I1434" i="3"/>
  <c r="P1434" i="3"/>
  <c r="N1434" i="3"/>
  <c r="L1434" i="3"/>
  <c r="J1434" i="3"/>
  <c r="H1434" i="3"/>
  <c r="P1435" i="3"/>
  <c r="N1435" i="3"/>
  <c r="L1435" i="3"/>
  <c r="J1435" i="3"/>
  <c r="H1435" i="3"/>
  <c r="Q1435" i="3"/>
  <c r="O1435" i="3"/>
  <c r="M1435" i="3"/>
  <c r="K1435" i="3"/>
  <c r="I1435" i="3"/>
  <c r="A1431" i="4"/>
  <c r="B1431" i="4" s="1"/>
  <c r="C1431" i="4" s="1"/>
  <c r="D1431" i="4" s="1"/>
  <c r="Q1436" i="3"/>
  <c r="O1436" i="3"/>
  <c r="M1436" i="3"/>
  <c r="K1436" i="3"/>
  <c r="I1436" i="3"/>
  <c r="P1436" i="3"/>
  <c r="N1436" i="3"/>
  <c r="L1436" i="3"/>
  <c r="J1436" i="3"/>
  <c r="H1436" i="3"/>
  <c r="P1437" i="3"/>
  <c r="N1437" i="3"/>
  <c r="L1437" i="3"/>
  <c r="J1437" i="3"/>
  <c r="H1437" i="3"/>
  <c r="Q1437" i="3"/>
  <c r="O1437" i="3"/>
  <c r="M1437" i="3"/>
  <c r="K1437" i="3"/>
  <c r="I1437" i="3"/>
  <c r="A1433" i="4"/>
  <c r="B1433" i="4" s="1"/>
  <c r="C1433" i="4" s="1"/>
  <c r="D1433" i="4" s="1"/>
  <c r="Q1438" i="3"/>
  <c r="O1438" i="3"/>
  <c r="M1438" i="3"/>
  <c r="K1438" i="3"/>
  <c r="I1438" i="3"/>
  <c r="P1438" i="3"/>
  <c r="N1438" i="3"/>
  <c r="L1438" i="3"/>
  <c r="J1438" i="3"/>
  <c r="H1438" i="3"/>
  <c r="P1439" i="3"/>
  <c r="N1439" i="3"/>
  <c r="L1439" i="3"/>
  <c r="J1439" i="3"/>
  <c r="H1439" i="3"/>
  <c r="Q1439" i="3"/>
  <c r="O1439" i="3"/>
  <c r="M1439" i="3"/>
  <c r="K1439" i="3"/>
  <c r="I1439" i="3"/>
  <c r="A1435" i="4"/>
  <c r="B1435" i="4" s="1"/>
  <c r="C1435" i="4" s="1"/>
  <c r="D1435" i="4" s="1"/>
  <c r="Q1440" i="3"/>
  <c r="O1440" i="3"/>
  <c r="M1440" i="3"/>
  <c r="K1440" i="3"/>
  <c r="I1440" i="3"/>
  <c r="P1440" i="3"/>
  <c r="N1440" i="3"/>
  <c r="L1440" i="3"/>
  <c r="J1440" i="3"/>
  <c r="H1440" i="3"/>
  <c r="P1441" i="3"/>
  <c r="N1441" i="3"/>
  <c r="L1441" i="3"/>
  <c r="J1441" i="3"/>
  <c r="H1441" i="3"/>
  <c r="Q1441" i="3"/>
  <c r="O1441" i="3"/>
  <c r="M1441" i="3"/>
  <c r="K1441" i="3"/>
  <c r="I1441" i="3"/>
  <c r="A1437" i="4"/>
  <c r="B1437" i="4" s="1"/>
  <c r="C1437" i="4" s="1"/>
  <c r="D1437" i="4" s="1"/>
  <c r="Q1442" i="3"/>
  <c r="O1442" i="3"/>
  <c r="M1442" i="3"/>
  <c r="K1442" i="3"/>
  <c r="I1442" i="3"/>
  <c r="P1442" i="3"/>
  <c r="N1442" i="3"/>
  <c r="L1442" i="3"/>
  <c r="J1442" i="3"/>
  <c r="H1442" i="3"/>
  <c r="P1443" i="3"/>
  <c r="N1443" i="3"/>
  <c r="L1443" i="3"/>
  <c r="J1443" i="3"/>
  <c r="H1443" i="3"/>
  <c r="Q1443" i="3"/>
  <c r="O1443" i="3"/>
  <c r="M1443" i="3"/>
  <c r="K1443" i="3"/>
  <c r="I1443" i="3"/>
  <c r="A1439" i="4"/>
  <c r="B1439" i="4" s="1"/>
  <c r="C1439" i="4" s="1"/>
  <c r="D1439" i="4" s="1"/>
  <c r="Q1444" i="3"/>
  <c r="O1444" i="3"/>
  <c r="M1444" i="3"/>
  <c r="K1444" i="3"/>
  <c r="I1444" i="3"/>
  <c r="P1444" i="3"/>
  <c r="N1444" i="3"/>
  <c r="L1444" i="3"/>
  <c r="J1444" i="3"/>
  <c r="H1444" i="3"/>
  <c r="P1445" i="3"/>
  <c r="N1445" i="3"/>
  <c r="L1445" i="3"/>
  <c r="J1445" i="3"/>
  <c r="H1445" i="3"/>
  <c r="Q1445" i="3"/>
  <c r="O1445" i="3"/>
  <c r="M1445" i="3"/>
  <c r="K1445" i="3"/>
  <c r="I1445" i="3"/>
  <c r="A1441" i="4"/>
  <c r="B1441" i="4" s="1"/>
  <c r="C1441" i="4" s="1"/>
  <c r="D1441" i="4" s="1"/>
  <c r="Q1446" i="3"/>
  <c r="O1446" i="3"/>
  <c r="M1446" i="3"/>
  <c r="K1446" i="3"/>
  <c r="I1446" i="3"/>
  <c r="P1446" i="3"/>
  <c r="N1446" i="3"/>
  <c r="L1446" i="3"/>
  <c r="J1446" i="3"/>
  <c r="H1446" i="3"/>
  <c r="P1447" i="3"/>
  <c r="N1447" i="3"/>
  <c r="L1447" i="3"/>
  <c r="J1447" i="3"/>
  <c r="H1447" i="3"/>
  <c r="Q1447" i="3"/>
  <c r="O1447" i="3"/>
  <c r="M1447" i="3"/>
  <c r="K1447" i="3"/>
  <c r="I1447" i="3"/>
  <c r="A1443" i="4"/>
  <c r="B1443" i="4" s="1"/>
  <c r="C1443" i="4" s="1"/>
  <c r="D1443" i="4" s="1"/>
  <c r="Q1448" i="3"/>
  <c r="O1448" i="3"/>
  <c r="M1448" i="3"/>
  <c r="K1448" i="3"/>
  <c r="I1448" i="3"/>
  <c r="P1448" i="3"/>
  <c r="N1448" i="3"/>
  <c r="L1448" i="3"/>
  <c r="J1448" i="3"/>
  <c r="H1448" i="3"/>
  <c r="P1449" i="3"/>
  <c r="N1449" i="3"/>
  <c r="L1449" i="3"/>
  <c r="J1449" i="3"/>
  <c r="H1449" i="3"/>
  <c r="Q1449" i="3"/>
  <c r="O1449" i="3"/>
  <c r="M1449" i="3"/>
  <c r="K1449" i="3"/>
  <c r="I1449" i="3"/>
  <c r="A1445" i="4"/>
  <c r="B1445" i="4" s="1"/>
  <c r="C1445" i="4" s="1"/>
  <c r="D1445" i="4" s="1"/>
  <c r="Q1450" i="3"/>
  <c r="O1450" i="3"/>
  <c r="M1450" i="3"/>
  <c r="K1450" i="3"/>
  <c r="I1450" i="3"/>
  <c r="P1450" i="3"/>
  <c r="N1450" i="3"/>
  <c r="L1450" i="3"/>
  <c r="J1450" i="3"/>
  <c r="H1450" i="3"/>
  <c r="P1451" i="3"/>
  <c r="N1451" i="3"/>
  <c r="L1451" i="3"/>
  <c r="J1451" i="3"/>
  <c r="H1451" i="3"/>
  <c r="Q1451" i="3"/>
  <c r="O1451" i="3"/>
  <c r="M1451" i="3"/>
  <c r="K1451" i="3"/>
  <c r="I1451" i="3"/>
  <c r="A1447" i="4"/>
  <c r="B1447" i="4" s="1"/>
  <c r="C1447" i="4" s="1"/>
  <c r="D1447" i="4" s="1"/>
  <c r="Q1452" i="3"/>
  <c r="O1452" i="3"/>
  <c r="M1452" i="3"/>
  <c r="K1452" i="3"/>
  <c r="I1452" i="3"/>
  <c r="P1452" i="3"/>
  <c r="N1452" i="3"/>
  <c r="L1452" i="3"/>
  <c r="J1452" i="3"/>
  <c r="H1452" i="3"/>
  <c r="P1453" i="3"/>
  <c r="N1453" i="3"/>
  <c r="L1453" i="3"/>
  <c r="J1453" i="3"/>
  <c r="H1453" i="3"/>
  <c r="Q1453" i="3"/>
  <c r="O1453" i="3"/>
  <c r="M1453" i="3"/>
  <c r="K1453" i="3"/>
  <c r="I1453" i="3"/>
  <c r="A1449" i="4"/>
  <c r="B1449" i="4" s="1"/>
  <c r="C1449" i="4" s="1"/>
  <c r="D1449" i="4" s="1"/>
  <c r="Q1454" i="3"/>
  <c r="O1454" i="3"/>
  <c r="M1454" i="3"/>
  <c r="K1454" i="3"/>
  <c r="I1454" i="3"/>
  <c r="P1454" i="3"/>
  <c r="N1454" i="3"/>
  <c r="L1454" i="3"/>
  <c r="J1454" i="3"/>
  <c r="H1454" i="3"/>
  <c r="P1455" i="3"/>
  <c r="N1455" i="3"/>
  <c r="L1455" i="3"/>
  <c r="J1455" i="3"/>
  <c r="H1455" i="3"/>
  <c r="Q1455" i="3"/>
  <c r="O1455" i="3"/>
  <c r="M1455" i="3"/>
  <c r="K1455" i="3"/>
  <c r="I1455" i="3"/>
  <c r="A1451" i="4"/>
  <c r="B1451" i="4" s="1"/>
  <c r="C1451" i="4" s="1"/>
  <c r="D1451" i="4" s="1"/>
  <c r="Q1456" i="3"/>
  <c r="O1456" i="3"/>
  <c r="M1456" i="3"/>
  <c r="K1456" i="3"/>
  <c r="I1456" i="3"/>
  <c r="P1456" i="3"/>
  <c r="N1456" i="3"/>
  <c r="L1456" i="3"/>
  <c r="J1456" i="3"/>
  <c r="H1456" i="3"/>
  <c r="P1457" i="3"/>
  <c r="N1457" i="3"/>
  <c r="L1457" i="3"/>
  <c r="J1457" i="3"/>
  <c r="H1457" i="3"/>
  <c r="Q1457" i="3"/>
  <c r="O1457" i="3"/>
  <c r="M1457" i="3"/>
  <c r="K1457" i="3"/>
  <c r="I1457" i="3"/>
  <c r="A1453" i="4"/>
  <c r="B1453" i="4" s="1"/>
  <c r="C1453" i="4" s="1"/>
  <c r="D1453" i="4" s="1"/>
  <c r="Q1458" i="3"/>
  <c r="O1458" i="3"/>
  <c r="M1458" i="3"/>
  <c r="K1458" i="3"/>
  <c r="I1458" i="3"/>
  <c r="P1458" i="3"/>
  <c r="N1458" i="3"/>
  <c r="L1458" i="3"/>
  <c r="J1458" i="3"/>
  <c r="H1458" i="3"/>
  <c r="P1459" i="3"/>
  <c r="N1459" i="3"/>
  <c r="L1459" i="3"/>
  <c r="J1459" i="3"/>
  <c r="H1459" i="3"/>
  <c r="Q1459" i="3"/>
  <c r="O1459" i="3"/>
  <c r="M1459" i="3"/>
  <c r="K1459" i="3"/>
  <c r="I1459" i="3"/>
  <c r="A1455" i="4"/>
  <c r="B1455" i="4" s="1"/>
  <c r="C1455" i="4" s="1"/>
  <c r="D1455" i="4" s="1"/>
  <c r="Q1460" i="3"/>
  <c r="O1460" i="3"/>
  <c r="M1460" i="3"/>
  <c r="K1460" i="3"/>
  <c r="I1460" i="3"/>
  <c r="P1460" i="3"/>
  <c r="N1460" i="3"/>
  <c r="L1460" i="3"/>
  <c r="J1460" i="3"/>
  <c r="H1460" i="3"/>
  <c r="P1461" i="3"/>
  <c r="N1461" i="3"/>
  <c r="L1461" i="3"/>
  <c r="J1461" i="3"/>
  <c r="H1461" i="3"/>
  <c r="Q1461" i="3"/>
  <c r="O1461" i="3"/>
  <c r="M1461" i="3"/>
  <c r="K1461" i="3"/>
  <c r="I1461" i="3"/>
  <c r="A1457" i="4"/>
  <c r="B1457" i="4" s="1"/>
  <c r="C1457" i="4" s="1"/>
  <c r="D1457" i="4" s="1"/>
  <c r="Q1462" i="3"/>
  <c r="O1462" i="3"/>
  <c r="M1462" i="3"/>
  <c r="K1462" i="3"/>
  <c r="I1462" i="3"/>
  <c r="P1462" i="3"/>
  <c r="N1462" i="3"/>
  <c r="L1462" i="3"/>
  <c r="J1462" i="3"/>
  <c r="H1462" i="3"/>
  <c r="P1463" i="3"/>
  <c r="N1463" i="3"/>
  <c r="L1463" i="3"/>
  <c r="J1463" i="3"/>
  <c r="H1463" i="3"/>
  <c r="Q1463" i="3"/>
  <c r="O1463" i="3"/>
  <c r="M1463" i="3"/>
  <c r="K1463" i="3"/>
  <c r="I1463" i="3"/>
  <c r="A1459" i="4"/>
  <c r="B1459" i="4" s="1"/>
  <c r="C1459" i="4" s="1"/>
  <c r="D1459" i="4" s="1"/>
  <c r="Q1464" i="3"/>
  <c r="O1464" i="3"/>
  <c r="M1464" i="3"/>
  <c r="K1464" i="3"/>
  <c r="I1464" i="3"/>
  <c r="P1464" i="3"/>
  <c r="N1464" i="3"/>
  <c r="L1464" i="3"/>
  <c r="J1464" i="3"/>
  <c r="H1464" i="3"/>
  <c r="P1465" i="3"/>
  <c r="N1465" i="3"/>
  <c r="L1465" i="3"/>
  <c r="J1465" i="3"/>
  <c r="H1465" i="3"/>
  <c r="Q1465" i="3"/>
  <c r="O1465" i="3"/>
  <c r="M1465" i="3"/>
  <c r="K1465" i="3"/>
  <c r="I1465" i="3"/>
  <c r="A1461" i="4"/>
  <c r="B1461" i="4" s="1"/>
  <c r="C1461" i="4" s="1"/>
  <c r="D1461" i="4" s="1"/>
  <c r="Q1466" i="3"/>
  <c r="O1466" i="3"/>
  <c r="M1466" i="3"/>
  <c r="K1466" i="3"/>
  <c r="I1466" i="3"/>
  <c r="P1466" i="3"/>
  <c r="N1466" i="3"/>
  <c r="L1466" i="3"/>
  <c r="J1466" i="3"/>
  <c r="H1466" i="3"/>
  <c r="P1467" i="3"/>
  <c r="N1467" i="3"/>
  <c r="L1467" i="3"/>
  <c r="J1467" i="3"/>
  <c r="H1467" i="3"/>
  <c r="Q1467" i="3"/>
  <c r="O1467" i="3"/>
  <c r="M1467" i="3"/>
  <c r="K1467" i="3"/>
  <c r="I1467" i="3"/>
  <c r="A1463" i="4"/>
  <c r="B1463" i="4" s="1"/>
  <c r="C1463" i="4" s="1"/>
  <c r="D1463" i="4" s="1"/>
  <c r="Q1468" i="3"/>
  <c r="O1468" i="3"/>
  <c r="M1468" i="3"/>
  <c r="K1468" i="3"/>
  <c r="I1468" i="3"/>
  <c r="P1468" i="3"/>
  <c r="N1468" i="3"/>
  <c r="L1468" i="3"/>
  <c r="J1468" i="3"/>
  <c r="H1468" i="3"/>
  <c r="P1469" i="3"/>
  <c r="N1469" i="3"/>
  <c r="L1469" i="3"/>
  <c r="J1469" i="3"/>
  <c r="H1469" i="3"/>
  <c r="Q1469" i="3"/>
  <c r="O1469" i="3"/>
  <c r="M1469" i="3"/>
  <c r="K1469" i="3"/>
  <c r="I1469" i="3"/>
  <c r="A1465" i="4"/>
  <c r="B1465" i="4" s="1"/>
  <c r="C1465" i="4" s="1"/>
  <c r="D1465" i="4" s="1"/>
  <c r="Q1470" i="3"/>
  <c r="O1470" i="3"/>
  <c r="M1470" i="3"/>
  <c r="K1470" i="3"/>
  <c r="I1470" i="3"/>
  <c r="P1470" i="3"/>
  <c r="N1470" i="3"/>
  <c r="L1470" i="3"/>
  <c r="J1470" i="3"/>
  <c r="H1470" i="3"/>
  <c r="P1471" i="3"/>
  <c r="N1471" i="3"/>
  <c r="L1471" i="3"/>
  <c r="J1471" i="3"/>
  <c r="H1471" i="3"/>
  <c r="Q1471" i="3"/>
  <c r="O1471" i="3"/>
  <c r="M1471" i="3"/>
  <c r="K1471" i="3"/>
  <c r="I1471" i="3"/>
  <c r="A1467" i="4"/>
  <c r="B1467" i="4" s="1"/>
  <c r="C1467" i="4" s="1"/>
  <c r="D1467" i="4" s="1"/>
  <c r="Q1472" i="3"/>
  <c r="O1472" i="3"/>
  <c r="M1472" i="3"/>
  <c r="K1472" i="3"/>
  <c r="I1472" i="3"/>
  <c r="P1472" i="3"/>
  <c r="N1472" i="3"/>
  <c r="L1472" i="3"/>
  <c r="J1472" i="3"/>
  <c r="H1472" i="3"/>
  <c r="P1473" i="3"/>
  <c r="N1473" i="3"/>
  <c r="L1473" i="3"/>
  <c r="J1473" i="3"/>
  <c r="H1473" i="3"/>
  <c r="Q1473" i="3"/>
  <c r="O1473" i="3"/>
  <c r="M1473" i="3"/>
  <c r="K1473" i="3"/>
  <c r="I1473" i="3"/>
  <c r="A1469" i="4"/>
  <c r="B1469" i="4" s="1"/>
  <c r="C1469" i="4" s="1"/>
  <c r="D1469" i="4" s="1"/>
  <c r="Q1474" i="3"/>
  <c r="O1474" i="3"/>
  <c r="M1474" i="3"/>
  <c r="K1474" i="3"/>
  <c r="I1474" i="3"/>
  <c r="P1474" i="3"/>
  <c r="N1474" i="3"/>
  <c r="L1474" i="3"/>
  <c r="J1474" i="3"/>
  <c r="H1474" i="3"/>
  <c r="P1475" i="3"/>
  <c r="N1475" i="3"/>
  <c r="L1475" i="3"/>
  <c r="J1475" i="3"/>
  <c r="H1475" i="3"/>
  <c r="Q1475" i="3"/>
  <c r="O1475" i="3"/>
  <c r="M1475" i="3"/>
  <c r="K1475" i="3"/>
  <c r="I1475" i="3"/>
  <c r="A1471" i="4"/>
  <c r="B1471" i="4" s="1"/>
  <c r="C1471" i="4" s="1"/>
  <c r="D1471" i="4" s="1"/>
  <c r="Q1476" i="3"/>
  <c r="O1476" i="3"/>
  <c r="M1476" i="3"/>
  <c r="K1476" i="3"/>
  <c r="I1476" i="3"/>
  <c r="P1476" i="3"/>
  <c r="N1476" i="3"/>
  <c r="L1476" i="3"/>
  <c r="J1476" i="3"/>
  <c r="H1476" i="3"/>
  <c r="P1477" i="3"/>
  <c r="N1477" i="3"/>
  <c r="L1477" i="3"/>
  <c r="J1477" i="3"/>
  <c r="H1477" i="3"/>
  <c r="Q1477" i="3"/>
  <c r="O1477" i="3"/>
  <c r="M1477" i="3"/>
  <c r="K1477" i="3"/>
  <c r="I1477" i="3"/>
  <c r="A1473" i="4"/>
  <c r="B1473" i="4" s="1"/>
  <c r="C1473" i="4" s="1"/>
  <c r="D1473" i="4" s="1"/>
  <c r="Q1478" i="3"/>
  <c r="O1478" i="3"/>
  <c r="M1478" i="3"/>
  <c r="K1478" i="3"/>
  <c r="I1478" i="3"/>
  <c r="P1478" i="3"/>
  <c r="N1478" i="3"/>
  <c r="L1478" i="3"/>
  <c r="J1478" i="3"/>
  <c r="H1478" i="3"/>
  <c r="P1479" i="3"/>
  <c r="N1479" i="3"/>
  <c r="L1479" i="3"/>
  <c r="J1479" i="3"/>
  <c r="H1479" i="3"/>
  <c r="Q1479" i="3"/>
  <c r="O1479" i="3"/>
  <c r="M1479" i="3"/>
  <c r="K1479" i="3"/>
  <c r="I1479" i="3"/>
  <c r="A1475" i="4"/>
  <c r="B1475" i="4" s="1"/>
  <c r="C1475" i="4" s="1"/>
  <c r="D1475" i="4" s="1"/>
  <c r="Q1480" i="3"/>
  <c r="O1480" i="3"/>
  <c r="M1480" i="3"/>
  <c r="K1480" i="3"/>
  <c r="I1480" i="3"/>
  <c r="P1480" i="3"/>
  <c r="N1480" i="3"/>
  <c r="L1480" i="3"/>
  <c r="J1480" i="3"/>
  <c r="H1480" i="3"/>
  <c r="P1481" i="3"/>
  <c r="N1481" i="3"/>
  <c r="L1481" i="3"/>
  <c r="J1481" i="3"/>
  <c r="H1481" i="3"/>
  <c r="Q1481" i="3"/>
  <c r="O1481" i="3"/>
  <c r="M1481" i="3"/>
  <c r="K1481" i="3"/>
  <c r="I1481" i="3"/>
  <c r="A1477" i="4"/>
  <c r="B1477" i="4" s="1"/>
  <c r="C1477" i="4" s="1"/>
  <c r="D1477" i="4" s="1"/>
  <c r="Q1482" i="3"/>
  <c r="O1482" i="3"/>
  <c r="M1482" i="3"/>
  <c r="K1482" i="3"/>
  <c r="I1482" i="3"/>
  <c r="P1482" i="3"/>
  <c r="N1482" i="3"/>
  <c r="L1482" i="3"/>
  <c r="J1482" i="3"/>
  <c r="H1482" i="3"/>
  <c r="P1483" i="3"/>
  <c r="N1483" i="3"/>
  <c r="L1483" i="3"/>
  <c r="J1483" i="3"/>
  <c r="H1483" i="3"/>
  <c r="Q1483" i="3"/>
  <c r="O1483" i="3"/>
  <c r="M1483" i="3"/>
  <c r="K1483" i="3"/>
  <c r="I1483" i="3"/>
  <c r="A1479" i="4"/>
  <c r="B1479" i="4" s="1"/>
  <c r="C1479" i="4" s="1"/>
  <c r="D1479" i="4" s="1"/>
  <c r="Q1484" i="3"/>
  <c r="O1484" i="3"/>
  <c r="M1484" i="3"/>
  <c r="K1484" i="3"/>
  <c r="I1484" i="3"/>
  <c r="P1484" i="3"/>
  <c r="N1484" i="3"/>
  <c r="L1484" i="3"/>
  <c r="J1484" i="3"/>
  <c r="H1484" i="3"/>
  <c r="P1485" i="3"/>
  <c r="N1485" i="3"/>
  <c r="L1485" i="3"/>
  <c r="J1485" i="3"/>
  <c r="H1485" i="3"/>
  <c r="Q1485" i="3"/>
  <c r="O1485" i="3"/>
  <c r="M1485" i="3"/>
  <c r="K1485" i="3"/>
  <c r="I1485" i="3"/>
  <c r="A1481" i="4"/>
  <c r="B1481" i="4" s="1"/>
  <c r="C1481" i="4" s="1"/>
  <c r="D1481" i="4" s="1"/>
  <c r="Q1486" i="3"/>
  <c r="O1486" i="3"/>
  <c r="M1486" i="3"/>
  <c r="K1486" i="3"/>
  <c r="I1486" i="3"/>
  <c r="P1486" i="3"/>
  <c r="N1486" i="3"/>
  <c r="L1486" i="3"/>
  <c r="J1486" i="3"/>
  <c r="H1486" i="3"/>
  <c r="P1487" i="3"/>
  <c r="N1487" i="3"/>
  <c r="L1487" i="3"/>
  <c r="J1487" i="3"/>
  <c r="H1487" i="3"/>
  <c r="Q1487" i="3"/>
  <c r="O1487" i="3"/>
  <c r="M1487" i="3"/>
  <c r="K1487" i="3"/>
  <c r="I1487" i="3"/>
  <c r="A1483" i="4"/>
  <c r="B1483" i="4" s="1"/>
  <c r="C1483" i="4" s="1"/>
  <c r="D1483" i="4" s="1"/>
  <c r="Q1488" i="3"/>
  <c r="O1488" i="3"/>
  <c r="M1488" i="3"/>
  <c r="K1488" i="3"/>
  <c r="I1488" i="3"/>
  <c r="P1488" i="3"/>
  <c r="N1488" i="3"/>
  <c r="L1488" i="3"/>
  <c r="J1488" i="3"/>
  <c r="H1488" i="3"/>
  <c r="P1489" i="3"/>
  <c r="N1489" i="3"/>
  <c r="L1489" i="3"/>
  <c r="J1489" i="3"/>
  <c r="H1489" i="3"/>
  <c r="Q1489" i="3"/>
  <c r="O1489" i="3"/>
  <c r="M1489" i="3"/>
  <c r="K1489" i="3"/>
  <c r="I1489" i="3"/>
  <c r="A1485" i="4"/>
  <c r="B1485" i="4" s="1"/>
  <c r="C1485" i="4" s="1"/>
  <c r="D1485" i="4" s="1"/>
  <c r="Q1490" i="3"/>
  <c r="O1490" i="3"/>
  <c r="M1490" i="3"/>
  <c r="K1490" i="3"/>
  <c r="I1490" i="3"/>
  <c r="P1490" i="3"/>
  <c r="N1490" i="3"/>
  <c r="L1490" i="3"/>
  <c r="J1490" i="3"/>
  <c r="H1490" i="3"/>
  <c r="P1491" i="3"/>
  <c r="N1491" i="3"/>
  <c r="L1491" i="3"/>
  <c r="J1491" i="3"/>
  <c r="H1491" i="3"/>
  <c r="Q1491" i="3"/>
  <c r="O1491" i="3"/>
  <c r="M1491" i="3"/>
  <c r="K1491" i="3"/>
  <c r="I1491" i="3"/>
  <c r="A1487" i="4"/>
  <c r="B1487" i="4" s="1"/>
  <c r="C1487" i="4" s="1"/>
  <c r="D1487" i="4" s="1"/>
  <c r="Q1492" i="3"/>
  <c r="O1492" i="3"/>
  <c r="M1492" i="3"/>
  <c r="K1492" i="3"/>
  <c r="I1492" i="3"/>
  <c r="P1492" i="3"/>
  <c r="N1492" i="3"/>
  <c r="L1492" i="3"/>
  <c r="J1492" i="3"/>
  <c r="H1492" i="3"/>
  <c r="P1493" i="3"/>
  <c r="N1493" i="3"/>
  <c r="L1493" i="3"/>
  <c r="J1493" i="3"/>
  <c r="H1493" i="3"/>
  <c r="Q1493" i="3"/>
  <c r="O1493" i="3"/>
  <c r="M1493" i="3"/>
  <c r="K1493" i="3"/>
  <c r="I1493" i="3"/>
  <c r="A1489" i="4"/>
  <c r="B1489" i="4" s="1"/>
  <c r="C1489" i="4" s="1"/>
  <c r="D1489" i="4" s="1"/>
  <c r="Q1494" i="3"/>
  <c r="O1494" i="3"/>
  <c r="M1494" i="3"/>
  <c r="K1494" i="3"/>
  <c r="I1494" i="3"/>
  <c r="P1494" i="3"/>
  <c r="N1494" i="3"/>
  <c r="L1494" i="3"/>
  <c r="J1494" i="3"/>
  <c r="H1494" i="3"/>
  <c r="P1495" i="3"/>
  <c r="N1495" i="3"/>
  <c r="L1495" i="3"/>
  <c r="J1495" i="3"/>
  <c r="H1495" i="3"/>
  <c r="Q1495" i="3"/>
  <c r="O1495" i="3"/>
  <c r="M1495" i="3"/>
  <c r="K1495" i="3"/>
  <c r="I1495" i="3"/>
  <c r="A1491" i="4"/>
  <c r="B1491" i="4" s="1"/>
  <c r="C1491" i="4" s="1"/>
  <c r="D1491" i="4" s="1"/>
  <c r="Q1496" i="3"/>
  <c r="O1496" i="3"/>
  <c r="M1496" i="3"/>
  <c r="K1496" i="3"/>
  <c r="I1496" i="3"/>
  <c r="P1496" i="3"/>
  <c r="N1496" i="3"/>
  <c r="L1496" i="3"/>
  <c r="J1496" i="3"/>
  <c r="H1496" i="3"/>
  <c r="P1497" i="3"/>
  <c r="N1497" i="3"/>
  <c r="L1497" i="3"/>
  <c r="J1497" i="3"/>
  <c r="H1497" i="3"/>
  <c r="Q1497" i="3"/>
  <c r="O1497" i="3"/>
  <c r="M1497" i="3"/>
  <c r="K1497" i="3"/>
  <c r="I1497" i="3"/>
  <c r="A1493" i="4"/>
  <c r="B1493" i="4" s="1"/>
  <c r="C1493" i="4" s="1"/>
  <c r="D1493" i="4" s="1"/>
  <c r="Q1498" i="3"/>
  <c r="O1498" i="3"/>
  <c r="M1498" i="3"/>
  <c r="K1498" i="3"/>
  <c r="I1498" i="3"/>
  <c r="P1498" i="3"/>
  <c r="N1498" i="3"/>
  <c r="L1498" i="3"/>
  <c r="J1498" i="3"/>
  <c r="H1498" i="3"/>
  <c r="P1499" i="3"/>
  <c r="N1499" i="3"/>
  <c r="L1499" i="3"/>
  <c r="J1499" i="3"/>
  <c r="H1499" i="3"/>
  <c r="Q1499" i="3"/>
  <c r="O1499" i="3"/>
  <c r="M1499" i="3"/>
  <c r="K1499" i="3"/>
  <c r="I1499" i="3"/>
  <c r="A1495" i="4"/>
  <c r="B1495" i="4" s="1"/>
  <c r="C1495" i="4" s="1"/>
  <c r="D1495" i="4" s="1"/>
  <c r="Q1500" i="3"/>
  <c r="O1500" i="3"/>
  <c r="M1500" i="3"/>
  <c r="K1500" i="3"/>
  <c r="I1500" i="3"/>
  <c r="P1500" i="3"/>
  <c r="N1500" i="3"/>
  <c r="L1500" i="3"/>
  <c r="J1500" i="3"/>
  <c r="H1500" i="3"/>
  <c r="P1501" i="3"/>
  <c r="N1501" i="3"/>
  <c r="L1501" i="3"/>
  <c r="J1501" i="3"/>
  <c r="H1501" i="3"/>
  <c r="Q1501" i="3"/>
  <c r="O1501" i="3"/>
  <c r="M1501" i="3"/>
  <c r="K1501" i="3"/>
  <c r="I1501" i="3"/>
  <c r="A1497" i="4"/>
  <c r="B1497" i="4" s="1"/>
  <c r="C1497" i="4" s="1"/>
  <c r="D1497" i="4" s="1"/>
  <c r="Q1502" i="3"/>
  <c r="O1502" i="3"/>
  <c r="M1502" i="3"/>
  <c r="K1502" i="3"/>
  <c r="I1502" i="3"/>
  <c r="P1502" i="3"/>
  <c r="N1502" i="3"/>
  <c r="L1502" i="3"/>
  <c r="J1502" i="3"/>
  <c r="H1502" i="3"/>
  <c r="P1503" i="3"/>
  <c r="N1503" i="3"/>
  <c r="L1503" i="3"/>
  <c r="J1503" i="3"/>
  <c r="H1503" i="3"/>
  <c r="Q1503" i="3"/>
  <c r="O1503" i="3"/>
  <c r="M1503" i="3"/>
  <c r="K1503" i="3"/>
  <c r="I1503" i="3"/>
  <c r="A1499" i="4"/>
  <c r="B1499" i="4" s="1"/>
  <c r="C1499" i="4" s="1"/>
  <c r="D1499" i="4" s="1"/>
  <c r="Q1504" i="3"/>
  <c r="O1504" i="3"/>
  <c r="M1504" i="3"/>
  <c r="K1504" i="3"/>
  <c r="I1504" i="3"/>
  <c r="P1504" i="3"/>
  <c r="N1504" i="3"/>
  <c r="L1504" i="3"/>
  <c r="J1504" i="3"/>
  <c r="H1504" i="3"/>
  <c r="P1505" i="3"/>
  <c r="N1505" i="3"/>
  <c r="L1505" i="3"/>
  <c r="J1505" i="3"/>
  <c r="H1505" i="3"/>
  <c r="Q1505" i="3"/>
  <c r="O1505" i="3"/>
  <c r="M1505" i="3"/>
  <c r="K1505" i="3"/>
  <c r="I1505" i="3"/>
  <c r="A1501" i="4"/>
  <c r="B1501" i="4" s="1"/>
  <c r="C1501" i="4" s="1"/>
  <c r="D1501" i="4" s="1"/>
  <c r="Q1506" i="3"/>
  <c r="O1506" i="3"/>
  <c r="M1506" i="3"/>
  <c r="K1506" i="3"/>
  <c r="I1506" i="3"/>
  <c r="P1506" i="3"/>
  <c r="N1506" i="3"/>
  <c r="L1506" i="3"/>
  <c r="J1506" i="3"/>
  <c r="H1506" i="3"/>
  <c r="P1507" i="3"/>
  <c r="N1507" i="3"/>
  <c r="L1507" i="3"/>
  <c r="J1507" i="3"/>
  <c r="H1507" i="3"/>
  <c r="Q1507" i="3"/>
  <c r="O1507" i="3"/>
  <c r="M1507" i="3"/>
  <c r="K1507" i="3"/>
  <c r="I1507" i="3"/>
  <c r="A1503" i="4"/>
  <c r="B1503" i="4" s="1"/>
  <c r="C1503" i="4" s="1"/>
  <c r="D1503" i="4" s="1"/>
  <c r="Q1508" i="3"/>
  <c r="O1508" i="3"/>
  <c r="M1508" i="3"/>
  <c r="K1508" i="3"/>
  <c r="I1508" i="3"/>
  <c r="P1508" i="3"/>
  <c r="N1508" i="3"/>
  <c r="L1508" i="3"/>
  <c r="J1508" i="3"/>
  <c r="H1508" i="3"/>
  <c r="P1509" i="3"/>
  <c r="N1509" i="3"/>
  <c r="L1509" i="3"/>
  <c r="J1509" i="3"/>
  <c r="H1509" i="3"/>
  <c r="Q1509" i="3"/>
  <c r="O1509" i="3"/>
  <c r="M1509" i="3"/>
  <c r="K1509" i="3"/>
  <c r="I1509" i="3"/>
  <c r="A1505" i="4"/>
  <c r="B1505" i="4" s="1"/>
  <c r="C1505" i="4" s="1"/>
  <c r="D1505" i="4" s="1"/>
  <c r="Q1510" i="3"/>
  <c r="O1510" i="3"/>
  <c r="M1510" i="3"/>
  <c r="K1510" i="3"/>
  <c r="I1510" i="3"/>
  <c r="P1510" i="3"/>
  <c r="N1510" i="3"/>
  <c r="L1510" i="3"/>
  <c r="J1510" i="3"/>
  <c r="H1510" i="3"/>
  <c r="P1511" i="3"/>
  <c r="N1511" i="3"/>
  <c r="L1511" i="3"/>
  <c r="J1511" i="3"/>
  <c r="H1511" i="3"/>
  <c r="Q1511" i="3"/>
  <c r="O1511" i="3"/>
  <c r="M1511" i="3"/>
  <c r="K1511" i="3"/>
  <c r="I1511" i="3"/>
  <c r="A1507" i="4"/>
  <c r="B1507" i="4" s="1"/>
  <c r="C1507" i="4" s="1"/>
  <c r="D1507" i="4" s="1"/>
  <c r="Q1512" i="3"/>
  <c r="O1512" i="3"/>
  <c r="M1512" i="3"/>
  <c r="K1512" i="3"/>
  <c r="I1512" i="3"/>
  <c r="P1512" i="3"/>
  <c r="N1512" i="3"/>
  <c r="L1512" i="3"/>
  <c r="J1512" i="3"/>
  <c r="H1512" i="3"/>
  <c r="P1513" i="3"/>
  <c r="N1513" i="3"/>
  <c r="L1513" i="3"/>
  <c r="J1513" i="3"/>
  <c r="H1513" i="3"/>
  <c r="Q1513" i="3"/>
  <c r="O1513" i="3"/>
  <c r="M1513" i="3"/>
  <c r="K1513" i="3"/>
  <c r="I1513" i="3"/>
  <c r="A1509" i="4"/>
  <c r="B1509" i="4" s="1"/>
  <c r="C1509" i="4" s="1"/>
  <c r="D1509" i="4" s="1"/>
  <c r="Q1514" i="3"/>
  <c r="O1514" i="3"/>
  <c r="M1514" i="3"/>
  <c r="K1514" i="3"/>
  <c r="I1514" i="3"/>
  <c r="P1514" i="3"/>
  <c r="N1514" i="3"/>
  <c r="L1514" i="3"/>
  <c r="J1514" i="3"/>
  <c r="H1514" i="3"/>
  <c r="P1515" i="3"/>
  <c r="N1515" i="3"/>
  <c r="L1515" i="3"/>
  <c r="J1515" i="3"/>
  <c r="H1515" i="3"/>
  <c r="Q1515" i="3"/>
  <c r="O1515" i="3"/>
  <c r="M1515" i="3"/>
  <c r="K1515" i="3"/>
  <c r="I1515" i="3"/>
  <c r="A1511" i="4"/>
  <c r="B1511" i="4" s="1"/>
  <c r="C1511" i="4" s="1"/>
  <c r="D1511" i="4" s="1"/>
  <c r="Q1516" i="3"/>
  <c r="O1516" i="3"/>
  <c r="M1516" i="3"/>
  <c r="K1516" i="3"/>
  <c r="I1516" i="3"/>
  <c r="P1516" i="3"/>
  <c r="N1516" i="3"/>
  <c r="L1516" i="3"/>
  <c r="J1516" i="3"/>
  <c r="H1516" i="3"/>
  <c r="P1517" i="3"/>
  <c r="N1517" i="3"/>
  <c r="L1517" i="3"/>
  <c r="J1517" i="3"/>
  <c r="H1517" i="3"/>
  <c r="Q1517" i="3"/>
  <c r="O1517" i="3"/>
  <c r="M1517" i="3"/>
  <c r="K1517" i="3"/>
  <c r="I1517" i="3"/>
  <c r="A1513" i="4"/>
  <c r="B1513" i="4" s="1"/>
  <c r="C1513" i="4" s="1"/>
  <c r="D1513" i="4" s="1"/>
  <c r="Q1518" i="3"/>
  <c r="O1518" i="3"/>
  <c r="M1518" i="3"/>
  <c r="K1518" i="3"/>
  <c r="I1518" i="3"/>
  <c r="P1518" i="3"/>
  <c r="N1518" i="3"/>
  <c r="L1518" i="3"/>
  <c r="J1518" i="3"/>
  <c r="H1518" i="3"/>
  <c r="P1519" i="3"/>
  <c r="N1519" i="3"/>
  <c r="L1519" i="3"/>
  <c r="J1519" i="3"/>
  <c r="H1519" i="3"/>
  <c r="Q1519" i="3"/>
  <c r="O1519" i="3"/>
  <c r="M1519" i="3"/>
  <c r="K1519" i="3"/>
  <c r="I1519" i="3"/>
  <c r="A1515" i="4"/>
  <c r="B1515" i="4" s="1"/>
  <c r="C1515" i="4" s="1"/>
  <c r="D1515" i="4" s="1"/>
  <c r="Q1520" i="3"/>
  <c r="O1520" i="3"/>
  <c r="M1520" i="3"/>
  <c r="K1520" i="3"/>
  <c r="I1520" i="3"/>
  <c r="P1520" i="3"/>
  <c r="N1520" i="3"/>
  <c r="L1520" i="3"/>
  <c r="J1520" i="3"/>
  <c r="H1520" i="3"/>
  <c r="P1521" i="3"/>
  <c r="N1521" i="3"/>
  <c r="L1521" i="3"/>
  <c r="J1521" i="3"/>
  <c r="H1521" i="3"/>
  <c r="Q1521" i="3"/>
  <c r="O1521" i="3"/>
  <c r="M1521" i="3"/>
  <c r="K1521" i="3"/>
  <c r="I1521" i="3"/>
  <c r="A1517" i="4"/>
  <c r="B1517" i="4" s="1"/>
  <c r="C1517" i="4" s="1"/>
  <c r="D1517" i="4" s="1"/>
  <c r="Q1522" i="3"/>
  <c r="O1522" i="3"/>
  <c r="M1522" i="3"/>
  <c r="K1522" i="3"/>
  <c r="I1522" i="3"/>
  <c r="P1522" i="3"/>
  <c r="N1522" i="3"/>
  <c r="L1522" i="3"/>
  <c r="J1522" i="3"/>
  <c r="H1522" i="3"/>
  <c r="P1523" i="3"/>
  <c r="N1523" i="3"/>
  <c r="L1523" i="3"/>
  <c r="J1523" i="3"/>
  <c r="H1523" i="3"/>
  <c r="Q1523" i="3"/>
  <c r="O1523" i="3"/>
  <c r="M1523" i="3"/>
  <c r="K1523" i="3"/>
  <c r="I1523" i="3"/>
  <c r="A1519" i="4"/>
  <c r="B1519" i="4" s="1"/>
  <c r="C1519" i="4" s="1"/>
  <c r="D1519" i="4" s="1"/>
  <c r="Q1524" i="3"/>
  <c r="O1524" i="3"/>
  <c r="M1524" i="3"/>
  <c r="K1524" i="3"/>
  <c r="I1524" i="3"/>
  <c r="P1524" i="3"/>
  <c r="N1524" i="3"/>
  <c r="L1524" i="3"/>
  <c r="J1524" i="3"/>
  <c r="H1524" i="3"/>
  <c r="P1525" i="3"/>
  <c r="N1525" i="3"/>
  <c r="L1525" i="3"/>
  <c r="J1525" i="3"/>
  <c r="H1525" i="3"/>
  <c r="Q1525" i="3"/>
  <c r="O1525" i="3"/>
  <c r="M1525" i="3"/>
  <c r="K1525" i="3"/>
  <c r="I1525" i="3"/>
  <c r="A1521" i="4"/>
  <c r="B1521" i="4" s="1"/>
  <c r="C1521" i="4" s="1"/>
  <c r="D1521" i="4" s="1"/>
  <c r="Q1526" i="3"/>
  <c r="O1526" i="3"/>
  <c r="M1526" i="3"/>
  <c r="K1526" i="3"/>
  <c r="I1526" i="3"/>
  <c r="P1526" i="3"/>
  <c r="N1526" i="3"/>
  <c r="L1526" i="3"/>
  <c r="J1526" i="3"/>
  <c r="H1526" i="3"/>
  <c r="P1527" i="3"/>
  <c r="N1527" i="3"/>
  <c r="L1527" i="3"/>
  <c r="J1527" i="3"/>
  <c r="H1527" i="3"/>
  <c r="Q1527" i="3"/>
  <c r="O1527" i="3"/>
  <c r="M1527" i="3"/>
  <c r="K1527" i="3"/>
  <c r="I1527" i="3"/>
  <c r="A1523" i="4"/>
  <c r="B1523" i="4" s="1"/>
  <c r="C1523" i="4" s="1"/>
  <c r="D1523" i="4" s="1"/>
  <c r="Q1528" i="3"/>
  <c r="O1528" i="3"/>
  <c r="M1528" i="3"/>
  <c r="K1528" i="3"/>
  <c r="I1528" i="3"/>
  <c r="P1528" i="3"/>
  <c r="N1528" i="3"/>
  <c r="L1528" i="3"/>
  <c r="J1528" i="3"/>
  <c r="H1528" i="3"/>
  <c r="P1529" i="3"/>
  <c r="N1529" i="3"/>
  <c r="L1529" i="3"/>
  <c r="J1529" i="3"/>
  <c r="H1529" i="3"/>
  <c r="Q1529" i="3"/>
  <c r="O1529" i="3"/>
  <c r="M1529" i="3"/>
  <c r="K1529" i="3"/>
  <c r="I1529" i="3"/>
  <c r="A1525" i="4"/>
  <c r="B1525" i="4" s="1"/>
  <c r="C1525" i="4" s="1"/>
  <c r="D1525" i="4" s="1"/>
  <c r="Q1530" i="3"/>
  <c r="O1530" i="3"/>
  <c r="M1530" i="3"/>
  <c r="K1530" i="3"/>
  <c r="I1530" i="3"/>
  <c r="P1530" i="3"/>
  <c r="N1530" i="3"/>
  <c r="L1530" i="3"/>
  <c r="J1530" i="3"/>
  <c r="H1530" i="3"/>
  <c r="P1531" i="3"/>
  <c r="N1531" i="3"/>
  <c r="L1531" i="3"/>
  <c r="J1531" i="3"/>
  <c r="H1531" i="3"/>
  <c r="Q1531" i="3"/>
  <c r="O1531" i="3"/>
  <c r="M1531" i="3"/>
  <c r="K1531" i="3"/>
  <c r="I1531" i="3"/>
  <c r="A1527" i="4"/>
  <c r="B1527" i="4" s="1"/>
  <c r="C1527" i="4" s="1"/>
  <c r="D1527" i="4" s="1"/>
  <c r="Q1532" i="3"/>
  <c r="O1532" i="3"/>
  <c r="M1532" i="3"/>
  <c r="K1532" i="3"/>
  <c r="I1532" i="3"/>
  <c r="P1532" i="3"/>
  <c r="N1532" i="3"/>
  <c r="L1532" i="3"/>
  <c r="J1532" i="3"/>
  <c r="H1532" i="3"/>
  <c r="P1533" i="3"/>
  <c r="N1533" i="3"/>
  <c r="L1533" i="3"/>
  <c r="J1533" i="3"/>
  <c r="H1533" i="3"/>
  <c r="Q1533" i="3"/>
  <c r="O1533" i="3"/>
  <c r="M1533" i="3"/>
  <c r="K1533" i="3"/>
  <c r="I1533" i="3"/>
  <c r="A1529" i="4"/>
  <c r="B1529" i="4" s="1"/>
  <c r="C1529" i="4" s="1"/>
  <c r="D1529" i="4" s="1"/>
  <c r="Q1534" i="3"/>
  <c r="O1534" i="3"/>
  <c r="M1534" i="3"/>
  <c r="K1534" i="3"/>
  <c r="I1534" i="3"/>
  <c r="P1534" i="3"/>
  <c r="N1534" i="3"/>
  <c r="L1534" i="3"/>
  <c r="J1534" i="3"/>
  <c r="H1534" i="3"/>
  <c r="P1535" i="3"/>
  <c r="N1535" i="3"/>
  <c r="L1535" i="3"/>
  <c r="J1535" i="3"/>
  <c r="H1535" i="3"/>
  <c r="Q1535" i="3"/>
  <c r="O1535" i="3"/>
  <c r="M1535" i="3"/>
  <c r="K1535" i="3"/>
  <c r="I1535" i="3"/>
  <c r="A1531" i="4"/>
  <c r="B1531" i="4" s="1"/>
  <c r="C1531" i="4" s="1"/>
  <c r="D1531" i="4" s="1"/>
  <c r="Q1536" i="3"/>
  <c r="O1536" i="3"/>
  <c r="M1536" i="3"/>
  <c r="K1536" i="3"/>
  <c r="I1536" i="3"/>
  <c r="P1536" i="3"/>
  <c r="N1536" i="3"/>
  <c r="L1536" i="3"/>
  <c r="J1536" i="3"/>
  <c r="H1536" i="3"/>
  <c r="P1537" i="3"/>
  <c r="N1537" i="3"/>
  <c r="L1537" i="3"/>
  <c r="J1537" i="3"/>
  <c r="H1537" i="3"/>
  <c r="Q1537" i="3"/>
  <c r="O1537" i="3"/>
  <c r="M1537" i="3"/>
  <c r="K1537" i="3"/>
  <c r="I1537" i="3"/>
  <c r="A1533" i="4"/>
  <c r="B1533" i="4" s="1"/>
  <c r="C1533" i="4" s="1"/>
  <c r="D1533" i="4" s="1"/>
  <c r="Q1538" i="3"/>
  <c r="O1538" i="3"/>
  <c r="M1538" i="3"/>
  <c r="K1538" i="3"/>
  <c r="I1538" i="3"/>
  <c r="P1538" i="3"/>
  <c r="N1538" i="3"/>
  <c r="L1538" i="3"/>
  <c r="J1538" i="3"/>
  <c r="H1538" i="3"/>
  <c r="P1539" i="3"/>
  <c r="N1539" i="3"/>
  <c r="L1539" i="3"/>
  <c r="J1539" i="3"/>
  <c r="H1539" i="3"/>
  <c r="Q1539" i="3"/>
  <c r="O1539" i="3"/>
  <c r="M1539" i="3"/>
  <c r="K1539" i="3"/>
  <c r="I1539" i="3"/>
  <c r="A1535" i="4"/>
  <c r="B1535" i="4" s="1"/>
  <c r="C1535" i="4" s="1"/>
  <c r="D1535" i="4" s="1"/>
  <c r="Q1540" i="3"/>
  <c r="O1540" i="3"/>
  <c r="M1540" i="3"/>
  <c r="K1540" i="3"/>
  <c r="I1540" i="3"/>
  <c r="P1540" i="3"/>
  <c r="N1540" i="3"/>
  <c r="L1540" i="3"/>
  <c r="J1540" i="3"/>
  <c r="H1540" i="3"/>
  <c r="P1541" i="3"/>
  <c r="N1541" i="3"/>
  <c r="L1541" i="3"/>
  <c r="J1541" i="3"/>
  <c r="H1541" i="3"/>
  <c r="Q1541" i="3"/>
  <c r="O1541" i="3"/>
  <c r="M1541" i="3"/>
  <c r="K1541" i="3"/>
  <c r="I1541" i="3"/>
  <c r="A1537" i="4"/>
  <c r="B1537" i="4" s="1"/>
  <c r="C1537" i="4" s="1"/>
  <c r="D1537" i="4" s="1"/>
  <c r="Q1542" i="3"/>
  <c r="O1542" i="3"/>
  <c r="M1542" i="3"/>
  <c r="K1542" i="3"/>
  <c r="I1542" i="3"/>
  <c r="P1542" i="3"/>
  <c r="N1542" i="3"/>
  <c r="L1542" i="3"/>
  <c r="J1542" i="3"/>
  <c r="H1542" i="3"/>
  <c r="P1543" i="3"/>
  <c r="N1543" i="3"/>
  <c r="L1543" i="3"/>
  <c r="J1543" i="3"/>
  <c r="H1543" i="3"/>
  <c r="Q1543" i="3"/>
  <c r="O1543" i="3"/>
  <c r="M1543" i="3"/>
  <c r="K1543" i="3"/>
  <c r="I1543" i="3"/>
  <c r="A1539" i="4"/>
  <c r="B1539" i="4" s="1"/>
  <c r="C1539" i="4" s="1"/>
  <c r="D1539" i="4" s="1"/>
  <c r="Q1544" i="3"/>
  <c r="O1544" i="3"/>
  <c r="M1544" i="3"/>
  <c r="K1544" i="3"/>
  <c r="I1544" i="3"/>
  <c r="P1544" i="3"/>
  <c r="N1544" i="3"/>
  <c r="L1544" i="3"/>
  <c r="J1544" i="3"/>
  <c r="H1544" i="3"/>
  <c r="P1545" i="3"/>
  <c r="N1545" i="3"/>
  <c r="L1545" i="3"/>
  <c r="J1545" i="3"/>
  <c r="H1545" i="3"/>
  <c r="Q1545" i="3"/>
  <c r="O1545" i="3"/>
  <c r="M1545" i="3"/>
  <c r="K1545" i="3"/>
  <c r="I1545" i="3"/>
  <c r="A1541" i="4"/>
  <c r="B1541" i="4" s="1"/>
  <c r="C1541" i="4" s="1"/>
  <c r="D1541" i="4" s="1"/>
  <c r="Q1546" i="3"/>
  <c r="O1546" i="3"/>
  <c r="M1546" i="3"/>
  <c r="K1546" i="3"/>
  <c r="I1546" i="3"/>
  <c r="P1546" i="3"/>
  <c r="N1546" i="3"/>
  <c r="L1546" i="3"/>
  <c r="J1546" i="3"/>
  <c r="H1546" i="3"/>
  <c r="P1547" i="3"/>
  <c r="N1547" i="3"/>
  <c r="L1547" i="3"/>
  <c r="J1547" i="3"/>
  <c r="H1547" i="3"/>
  <c r="Q1547" i="3"/>
  <c r="O1547" i="3"/>
  <c r="M1547" i="3"/>
  <c r="K1547" i="3"/>
  <c r="I1547" i="3"/>
  <c r="A1543" i="4"/>
  <c r="B1543" i="4" s="1"/>
  <c r="C1543" i="4" s="1"/>
  <c r="D1543" i="4" s="1"/>
  <c r="Q1548" i="3"/>
  <c r="O1548" i="3"/>
  <c r="M1548" i="3"/>
  <c r="K1548" i="3"/>
  <c r="I1548" i="3"/>
  <c r="P1548" i="3"/>
  <c r="N1548" i="3"/>
  <c r="L1548" i="3"/>
  <c r="J1548" i="3"/>
  <c r="H1548" i="3"/>
  <c r="P1549" i="3"/>
  <c r="N1549" i="3"/>
  <c r="L1549" i="3"/>
  <c r="J1549" i="3"/>
  <c r="H1549" i="3"/>
  <c r="Q1549" i="3"/>
  <c r="O1549" i="3"/>
  <c r="M1549" i="3"/>
  <c r="K1549" i="3"/>
  <c r="I1549" i="3"/>
  <c r="A1545" i="4"/>
  <c r="B1545" i="4" s="1"/>
  <c r="C1545" i="4" s="1"/>
  <c r="D1545" i="4" s="1"/>
  <c r="Q1550" i="3"/>
  <c r="O1550" i="3"/>
  <c r="M1550" i="3"/>
  <c r="K1550" i="3"/>
  <c r="I1550" i="3"/>
  <c r="P1550" i="3"/>
  <c r="N1550" i="3"/>
  <c r="L1550" i="3"/>
  <c r="J1550" i="3"/>
  <c r="H1550" i="3"/>
  <c r="P1551" i="3"/>
  <c r="N1551" i="3"/>
  <c r="L1551" i="3"/>
  <c r="J1551" i="3"/>
  <c r="H1551" i="3"/>
  <c r="Q1551" i="3"/>
  <c r="O1551" i="3"/>
  <c r="M1551" i="3"/>
  <c r="K1551" i="3"/>
  <c r="I1551" i="3"/>
  <c r="A1547" i="4"/>
  <c r="B1547" i="4" s="1"/>
  <c r="C1547" i="4" s="1"/>
  <c r="D1547" i="4" s="1"/>
  <c r="Q1552" i="3"/>
  <c r="O1552" i="3"/>
  <c r="M1552" i="3"/>
  <c r="K1552" i="3"/>
  <c r="I1552" i="3"/>
  <c r="P1552" i="3"/>
  <c r="N1552" i="3"/>
  <c r="L1552" i="3"/>
  <c r="J1552" i="3"/>
  <c r="H1552" i="3"/>
  <c r="P1553" i="3"/>
  <c r="N1553" i="3"/>
  <c r="L1553" i="3"/>
  <c r="J1553" i="3"/>
  <c r="H1553" i="3"/>
  <c r="Q1553" i="3"/>
  <c r="O1553" i="3"/>
  <c r="M1553" i="3"/>
  <c r="K1553" i="3"/>
  <c r="I1553" i="3"/>
  <c r="A1549" i="4"/>
  <c r="B1549" i="4" s="1"/>
  <c r="C1549" i="4" s="1"/>
  <c r="D1549" i="4" s="1"/>
  <c r="Q1554" i="3"/>
  <c r="O1554" i="3"/>
  <c r="M1554" i="3"/>
  <c r="K1554" i="3"/>
  <c r="I1554" i="3"/>
  <c r="P1554" i="3"/>
  <c r="N1554" i="3"/>
  <c r="L1554" i="3"/>
  <c r="J1554" i="3"/>
  <c r="H1554" i="3"/>
  <c r="P1555" i="3"/>
  <c r="N1555" i="3"/>
  <c r="L1555" i="3"/>
  <c r="J1555" i="3"/>
  <c r="H1555" i="3"/>
  <c r="Q1555" i="3"/>
  <c r="O1555" i="3"/>
  <c r="M1555" i="3"/>
  <c r="K1555" i="3"/>
  <c r="I1555" i="3"/>
  <c r="A1551" i="4"/>
  <c r="B1551" i="4" s="1"/>
  <c r="C1551" i="4" s="1"/>
  <c r="D1551" i="4" s="1"/>
  <c r="Q1556" i="3"/>
  <c r="O1556" i="3"/>
  <c r="M1556" i="3"/>
  <c r="K1556" i="3"/>
  <c r="I1556" i="3"/>
  <c r="P1556" i="3"/>
  <c r="N1556" i="3"/>
  <c r="L1556" i="3"/>
  <c r="J1556" i="3"/>
  <c r="H1556" i="3"/>
  <c r="P1557" i="3"/>
  <c r="N1557" i="3"/>
  <c r="L1557" i="3"/>
  <c r="J1557" i="3"/>
  <c r="H1557" i="3"/>
  <c r="Q1557" i="3"/>
  <c r="O1557" i="3"/>
  <c r="M1557" i="3"/>
  <c r="K1557" i="3"/>
  <c r="I1557" i="3"/>
  <c r="A1553" i="4"/>
  <c r="B1553" i="4" s="1"/>
  <c r="C1553" i="4" s="1"/>
  <c r="D1553" i="4" s="1"/>
  <c r="Q1558" i="3"/>
  <c r="O1558" i="3"/>
  <c r="M1558" i="3"/>
  <c r="K1558" i="3"/>
  <c r="I1558" i="3"/>
  <c r="P1558" i="3"/>
  <c r="N1558" i="3"/>
  <c r="L1558" i="3"/>
  <c r="J1558" i="3"/>
  <c r="H1558" i="3"/>
  <c r="P1559" i="3"/>
  <c r="N1559" i="3"/>
  <c r="L1559" i="3"/>
  <c r="J1559" i="3"/>
  <c r="H1559" i="3"/>
  <c r="Q1559" i="3"/>
  <c r="O1559" i="3"/>
  <c r="M1559" i="3"/>
  <c r="K1559" i="3"/>
  <c r="I1559" i="3"/>
  <c r="A1555" i="4"/>
  <c r="B1555" i="4" s="1"/>
  <c r="C1555" i="4" s="1"/>
  <c r="D1555" i="4" s="1"/>
  <c r="Q1560" i="3"/>
  <c r="O1560" i="3"/>
  <c r="M1560" i="3"/>
  <c r="K1560" i="3"/>
  <c r="I1560" i="3"/>
  <c r="P1560" i="3"/>
  <c r="N1560" i="3"/>
  <c r="L1560" i="3"/>
  <c r="J1560" i="3"/>
  <c r="H1560" i="3"/>
  <c r="P1561" i="3"/>
  <c r="N1561" i="3"/>
  <c r="L1561" i="3"/>
  <c r="J1561" i="3"/>
  <c r="H1561" i="3"/>
  <c r="Q1561" i="3"/>
  <c r="O1561" i="3"/>
  <c r="M1561" i="3"/>
  <c r="K1561" i="3"/>
  <c r="I1561" i="3"/>
  <c r="A1557" i="4"/>
  <c r="B1557" i="4" s="1"/>
  <c r="C1557" i="4" s="1"/>
  <c r="D1557" i="4" s="1"/>
  <c r="Q1562" i="3"/>
  <c r="O1562" i="3"/>
  <c r="M1562" i="3"/>
  <c r="K1562" i="3"/>
  <c r="I1562" i="3"/>
  <c r="P1562" i="3"/>
  <c r="N1562" i="3"/>
  <c r="L1562" i="3"/>
  <c r="J1562" i="3"/>
  <c r="H1562" i="3"/>
  <c r="P1563" i="3"/>
  <c r="N1563" i="3"/>
  <c r="L1563" i="3"/>
  <c r="J1563" i="3"/>
  <c r="H1563" i="3"/>
  <c r="Q1563" i="3"/>
  <c r="O1563" i="3"/>
  <c r="M1563" i="3"/>
  <c r="K1563" i="3"/>
  <c r="I1563" i="3"/>
  <c r="A1559" i="4"/>
  <c r="B1559" i="4" s="1"/>
  <c r="C1559" i="4" s="1"/>
  <c r="D1559" i="4" s="1"/>
  <c r="Q1564" i="3"/>
  <c r="O1564" i="3"/>
  <c r="M1564" i="3"/>
  <c r="K1564" i="3"/>
  <c r="I1564" i="3"/>
  <c r="P1564" i="3"/>
  <c r="N1564" i="3"/>
  <c r="L1564" i="3"/>
  <c r="J1564" i="3"/>
  <c r="H1564" i="3"/>
  <c r="P1565" i="3"/>
  <c r="N1565" i="3"/>
  <c r="L1565" i="3"/>
  <c r="J1565" i="3"/>
  <c r="H1565" i="3"/>
  <c r="Q1565" i="3"/>
  <c r="O1565" i="3"/>
  <c r="M1565" i="3"/>
  <c r="K1565" i="3"/>
  <c r="I1565" i="3"/>
  <c r="A1561" i="4"/>
  <c r="B1561" i="4" s="1"/>
  <c r="C1561" i="4" s="1"/>
  <c r="D1561" i="4" s="1"/>
  <c r="Q1566" i="3"/>
  <c r="O1566" i="3"/>
  <c r="M1566" i="3"/>
  <c r="K1566" i="3"/>
  <c r="I1566" i="3"/>
  <c r="P1566" i="3"/>
  <c r="N1566" i="3"/>
  <c r="L1566" i="3"/>
  <c r="J1566" i="3"/>
  <c r="H1566" i="3"/>
  <c r="P1567" i="3"/>
  <c r="N1567" i="3"/>
  <c r="L1567" i="3"/>
  <c r="J1567" i="3"/>
  <c r="H1567" i="3"/>
  <c r="Q1567" i="3"/>
  <c r="O1567" i="3"/>
  <c r="M1567" i="3"/>
  <c r="K1567" i="3"/>
  <c r="I1567" i="3"/>
  <c r="A1563" i="4"/>
  <c r="B1563" i="4" s="1"/>
  <c r="C1563" i="4" s="1"/>
  <c r="D1563" i="4" s="1"/>
  <c r="Q1568" i="3"/>
  <c r="O1568" i="3"/>
  <c r="M1568" i="3"/>
  <c r="K1568" i="3"/>
  <c r="I1568" i="3"/>
  <c r="P1568" i="3"/>
  <c r="N1568" i="3"/>
  <c r="L1568" i="3"/>
  <c r="J1568" i="3"/>
  <c r="H1568" i="3"/>
  <c r="P1569" i="3"/>
  <c r="N1569" i="3"/>
  <c r="L1569" i="3"/>
  <c r="J1569" i="3"/>
  <c r="H1569" i="3"/>
  <c r="Q1569" i="3"/>
  <c r="O1569" i="3"/>
  <c r="M1569" i="3"/>
  <c r="K1569" i="3"/>
  <c r="I1569" i="3"/>
  <c r="A1565" i="4"/>
  <c r="B1565" i="4" s="1"/>
  <c r="C1565" i="4" s="1"/>
  <c r="D1565" i="4" s="1"/>
  <c r="Q1570" i="3"/>
  <c r="O1570" i="3"/>
  <c r="M1570" i="3"/>
  <c r="K1570" i="3"/>
  <c r="I1570" i="3"/>
  <c r="P1570" i="3"/>
  <c r="N1570" i="3"/>
  <c r="L1570" i="3"/>
  <c r="J1570" i="3"/>
  <c r="H1570" i="3"/>
  <c r="P1571" i="3"/>
  <c r="N1571" i="3"/>
  <c r="L1571" i="3"/>
  <c r="J1571" i="3"/>
  <c r="H1571" i="3"/>
  <c r="Q1571" i="3"/>
  <c r="O1571" i="3"/>
  <c r="M1571" i="3"/>
  <c r="K1571" i="3"/>
  <c r="I1571" i="3"/>
  <c r="A1567" i="4"/>
  <c r="B1567" i="4" s="1"/>
  <c r="C1567" i="4" s="1"/>
  <c r="D1567" i="4" s="1"/>
  <c r="Q1572" i="3"/>
  <c r="O1572" i="3"/>
  <c r="M1572" i="3"/>
  <c r="K1572" i="3"/>
  <c r="I1572" i="3"/>
  <c r="P1572" i="3"/>
  <c r="N1572" i="3"/>
  <c r="L1572" i="3"/>
  <c r="J1572" i="3"/>
  <c r="H1572" i="3"/>
  <c r="P1573" i="3"/>
  <c r="N1573" i="3"/>
  <c r="L1573" i="3"/>
  <c r="J1573" i="3"/>
  <c r="H1573" i="3"/>
  <c r="Q1573" i="3"/>
  <c r="O1573" i="3"/>
  <c r="M1573" i="3"/>
  <c r="K1573" i="3"/>
  <c r="I1573" i="3"/>
  <c r="A1569" i="4"/>
  <c r="B1569" i="4" s="1"/>
  <c r="C1569" i="4" s="1"/>
  <c r="D1569" i="4" s="1"/>
  <c r="Q1574" i="3"/>
  <c r="O1574" i="3"/>
  <c r="M1574" i="3"/>
  <c r="K1574" i="3"/>
  <c r="I1574" i="3"/>
  <c r="P1574" i="3"/>
  <c r="N1574" i="3"/>
  <c r="L1574" i="3"/>
  <c r="J1574" i="3"/>
  <c r="H1574" i="3"/>
  <c r="P1575" i="3"/>
  <c r="N1575" i="3"/>
  <c r="L1575" i="3"/>
  <c r="J1575" i="3"/>
  <c r="H1575" i="3"/>
  <c r="Q1575" i="3"/>
  <c r="O1575" i="3"/>
  <c r="M1575" i="3"/>
  <c r="K1575" i="3"/>
  <c r="I1575" i="3"/>
  <c r="A1571" i="4"/>
  <c r="B1571" i="4" s="1"/>
  <c r="C1571" i="4" s="1"/>
  <c r="D1571" i="4" s="1"/>
  <c r="Q1576" i="3"/>
  <c r="O1576" i="3"/>
  <c r="M1576" i="3"/>
  <c r="K1576" i="3"/>
  <c r="I1576" i="3"/>
  <c r="P1576" i="3"/>
  <c r="N1576" i="3"/>
  <c r="L1576" i="3"/>
  <c r="J1576" i="3"/>
  <c r="H1576" i="3"/>
  <c r="P1577" i="3"/>
  <c r="N1577" i="3"/>
  <c r="L1577" i="3"/>
  <c r="J1577" i="3"/>
  <c r="H1577" i="3"/>
  <c r="Q1577" i="3"/>
  <c r="O1577" i="3"/>
  <c r="M1577" i="3"/>
  <c r="K1577" i="3"/>
  <c r="I1577" i="3"/>
  <c r="A1573" i="4"/>
  <c r="B1573" i="4" s="1"/>
  <c r="C1573" i="4" s="1"/>
  <c r="D1573" i="4" s="1"/>
  <c r="Q1578" i="3"/>
  <c r="O1578" i="3"/>
  <c r="M1578" i="3"/>
  <c r="K1578" i="3"/>
  <c r="I1578" i="3"/>
  <c r="P1578" i="3"/>
  <c r="N1578" i="3"/>
  <c r="L1578" i="3"/>
  <c r="J1578" i="3"/>
  <c r="H1578" i="3"/>
  <c r="P1579" i="3"/>
  <c r="N1579" i="3"/>
  <c r="L1579" i="3"/>
  <c r="J1579" i="3"/>
  <c r="H1579" i="3"/>
  <c r="Q1579" i="3"/>
  <c r="O1579" i="3"/>
  <c r="M1579" i="3"/>
  <c r="K1579" i="3"/>
  <c r="I1579" i="3"/>
  <c r="A1575" i="4"/>
  <c r="B1575" i="4" s="1"/>
  <c r="C1575" i="4" s="1"/>
  <c r="D1575" i="4" s="1"/>
  <c r="Q1580" i="3"/>
  <c r="O1580" i="3"/>
  <c r="M1580" i="3"/>
  <c r="K1580" i="3"/>
  <c r="I1580" i="3"/>
  <c r="P1580" i="3"/>
  <c r="N1580" i="3"/>
  <c r="L1580" i="3"/>
  <c r="J1580" i="3"/>
  <c r="H1580" i="3"/>
  <c r="P1581" i="3"/>
  <c r="N1581" i="3"/>
  <c r="L1581" i="3"/>
  <c r="J1581" i="3"/>
  <c r="H1581" i="3"/>
  <c r="Q1581" i="3"/>
  <c r="O1581" i="3"/>
  <c r="M1581" i="3"/>
  <c r="K1581" i="3"/>
  <c r="I1581" i="3"/>
  <c r="A1577" i="4"/>
  <c r="B1577" i="4" s="1"/>
  <c r="C1577" i="4" s="1"/>
  <c r="D1577" i="4" s="1"/>
  <c r="Q1582" i="3"/>
  <c r="O1582" i="3"/>
  <c r="M1582" i="3"/>
  <c r="K1582" i="3"/>
  <c r="I1582" i="3"/>
  <c r="P1582" i="3"/>
  <c r="N1582" i="3"/>
  <c r="L1582" i="3"/>
  <c r="J1582" i="3"/>
  <c r="H1582" i="3"/>
  <c r="P1583" i="3"/>
  <c r="N1583" i="3"/>
  <c r="L1583" i="3"/>
  <c r="J1583" i="3"/>
  <c r="H1583" i="3"/>
  <c r="Q1583" i="3"/>
  <c r="O1583" i="3"/>
  <c r="M1583" i="3"/>
  <c r="K1583" i="3"/>
  <c r="I1583" i="3"/>
  <c r="A1579" i="4"/>
  <c r="B1579" i="4" s="1"/>
  <c r="C1579" i="4" s="1"/>
  <c r="D1579" i="4" s="1"/>
  <c r="Q1584" i="3"/>
  <c r="O1584" i="3"/>
  <c r="M1584" i="3"/>
  <c r="K1584" i="3"/>
  <c r="I1584" i="3"/>
  <c r="P1584" i="3"/>
  <c r="N1584" i="3"/>
  <c r="L1584" i="3"/>
  <c r="J1584" i="3"/>
  <c r="H1584" i="3"/>
  <c r="P1585" i="3"/>
  <c r="N1585" i="3"/>
  <c r="L1585" i="3"/>
  <c r="J1585" i="3"/>
  <c r="H1585" i="3"/>
  <c r="Q1585" i="3"/>
  <c r="O1585" i="3"/>
  <c r="M1585" i="3"/>
  <c r="K1585" i="3"/>
  <c r="I1585" i="3"/>
  <c r="A1581" i="4"/>
  <c r="B1581" i="4" s="1"/>
  <c r="C1581" i="4" s="1"/>
  <c r="D1581" i="4" s="1"/>
  <c r="Q1586" i="3"/>
  <c r="O1586" i="3"/>
  <c r="M1586" i="3"/>
  <c r="K1586" i="3"/>
  <c r="I1586" i="3"/>
  <c r="P1586" i="3"/>
  <c r="N1586" i="3"/>
  <c r="L1586" i="3"/>
  <c r="J1586" i="3"/>
  <c r="H1586" i="3"/>
  <c r="P1587" i="3"/>
  <c r="N1587" i="3"/>
  <c r="L1587" i="3"/>
  <c r="J1587" i="3"/>
  <c r="H1587" i="3"/>
  <c r="Q1587" i="3"/>
  <c r="O1587" i="3"/>
  <c r="M1587" i="3"/>
  <c r="K1587" i="3"/>
  <c r="I1587" i="3"/>
  <c r="A1583" i="4"/>
  <c r="B1583" i="4" s="1"/>
  <c r="C1583" i="4" s="1"/>
  <c r="D1583" i="4" s="1"/>
  <c r="Q1588" i="3"/>
  <c r="O1588" i="3"/>
  <c r="M1588" i="3"/>
  <c r="K1588" i="3"/>
  <c r="I1588" i="3"/>
  <c r="P1588" i="3"/>
  <c r="N1588" i="3"/>
  <c r="L1588" i="3"/>
  <c r="J1588" i="3"/>
  <c r="H1588" i="3"/>
  <c r="P1589" i="3"/>
  <c r="N1589" i="3"/>
  <c r="L1589" i="3"/>
  <c r="J1589" i="3"/>
  <c r="H1589" i="3"/>
  <c r="Q1589" i="3"/>
  <c r="O1589" i="3"/>
  <c r="M1589" i="3"/>
  <c r="K1589" i="3"/>
  <c r="I1589" i="3"/>
  <c r="A1585" i="4"/>
  <c r="B1585" i="4" s="1"/>
  <c r="C1585" i="4" s="1"/>
  <c r="D1585" i="4" s="1"/>
  <c r="Q1590" i="3"/>
  <c r="O1590" i="3"/>
  <c r="M1590" i="3"/>
  <c r="K1590" i="3"/>
  <c r="I1590" i="3"/>
  <c r="P1590" i="3"/>
  <c r="N1590" i="3"/>
  <c r="L1590" i="3"/>
  <c r="J1590" i="3"/>
  <c r="H1590" i="3"/>
  <c r="P1591" i="3"/>
  <c r="N1591" i="3"/>
  <c r="L1591" i="3"/>
  <c r="J1591" i="3"/>
  <c r="H1591" i="3"/>
  <c r="Q1591" i="3"/>
  <c r="O1591" i="3"/>
  <c r="M1591" i="3"/>
  <c r="K1591" i="3"/>
  <c r="I1591" i="3"/>
  <c r="A1587" i="4"/>
  <c r="B1587" i="4" s="1"/>
  <c r="C1587" i="4" s="1"/>
  <c r="D1587" i="4" s="1"/>
  <c r="Q1592" i="3"/>
  <c r="O1592" i="3"/>
  <c r="M1592" i="3"/>
  <c r="K1592" i="3"/>
  <c r="I1592" i="3"/>
  <c r="P1592" i="3"/>
  <c r="N1592" i="3"/>
  <c r="L1592" i="3"/>
  <c r="J1592" i="3"/>
  <c r="H1592" i="3"/>
  <c r="P1593" i="3"/>
  <c r="N1593" i="3"/>
  <c r="L1593" i="3"/>
  <c r="J1593" i="3"/>
  <c r="H1593" i="3"/>
  <c r="Q1593" i="3"/>
  <c r="O1593" i="3"/>
  <c r="M1593" i="3"/>
  <c r="K1593" i="3"/>
  <c r="I1593" i="3"/>
  <c r="A1589" i="4"/>
  <c r="B1589" i="4" s="1"/>
  <c r="C1589" i="4" s="1"/>
  <c r="D1589" i="4" s="1"/>
  <c r="Q1594" i="3"/>
  <c r="O1594" i="3"/>
  <c r="M1594" i="3"/>
  <c r="K1594" i="3"/>
  <c r="I1594" i="3"/>
  <c r="P1594" i="3"/>
  <c r="N1594" i="3"/>
  <c r="L1594" i="3"/>
  <c r="J1594" i="3"/>
  <c r="H1594" i="3"/>
  <c r="P1595" i="3"/>
  <c r="N1595" i="3"/>
  <c r="L1595" i="3"/>
  <c r="J1595" i="3"/>
  <c r="H1595" i="3"/>
  <c r="Q1595" i="3"/>
  <c r="O1595" i="3"/>
  <c r="M1595" i="3"/>
  <c r="K1595" i="3"/>
  <c r="I1595" i="3"/>
  <c r="A1591" i="4"/>
  <c r="B1591" i="4" s="1"/>
  <c r="C1591" i="4" s="1"/>
  <c r="D1591" i="4" s="1"/>
  <c r="Q1596" i="3"/>
  <c r="O1596" i="3"/>
  <c r="M1596" i="3"/>
  <c r="K1596" i="3"/>
  <c r="I1596" i="3"/>
  <c r="P1596" i="3"/>
  <c r="N1596" i="3"/>
  <c r="L1596" i="3"/>
  <c r="J1596" i="3"/>
  <c r="H1596" i="3"/>
  <c r="P1597" i="3"/>
  <c r="N1597" i="3"/>
  <c r="L1597" i="3"/>
  <c r="J1597" i="3"/>
  <c r="H1597" i="3"/>
  <c r="Q1597" i="3"/>
  <c r="O1597" i="3"/>
  <c r="M1597" i="3"/>
  <c r="K1597" i="3"/>
  <c r="I1597" i="3"/>
  <c r="A1593" i="4"/>
  <c r="B1593" i="4" s="1"/>
  <c r="C1593" i="4" s="1"/>
  <c r="D1593" i="4" s="1"/>
  <c r="Q1598" i="3"/>
  <c r="O1598" i="3"/>
  <c r="M1598" i="3"/>
  <c r="K1598" i="3"/>
  <c r="I1598" i="3"/>
  <c r="P1598" i="3"/>
  <c r="N1598" i="3"/>
  <c r="L1598" i="3"/>
  <c r="J1598" i="3"/>
  <c r="H1598" i="3"/>
  <c r="P1599" i="3"/>
  <c r="N1599" i="3"/>
  <c r="L1599" i="3"/>
  <c r="J1599" i="3"/>
  <c r="H1599" i="3"/>
  <c r="Q1599" i="3"/>
  <c r="O1599" i="3"/>
  <c r="M1599" i="3"/>
  <c r="K1599" i="3"/>
  <c r="I1599" i="3"/>
  <c r="A1595" i="4"/>
  <c r="B1595" i="4" s="1"/>
  <c r="C1595" i="4" s="1"/>
  <c r="D1595" i="4" s="1"/>
  <c r="Q1600" i="3"/>
  <c r="O1600" i="3"/>
  <c r="M1600" i="3"/>
  <c r="K1600" i="3"/>
  <c r="I1600" i="3"/>
  <c r="P1600" i="3"/>
  <c r="N1600" i="3"/>
  <c r="L1600" i="3"/>
  <c r="J1600" i="3"/>
  <c r="H1600" i="3"/>
  <c r="P1601" i="3"/>
  <c r="N1601" i="3"/>
  <c r="L1601" i="3"/>
  <c r="J1601" i="3"/>
  <c r="H1601" i="3"/>
  <c r="Q1601" i="3"/>
  <c r="O1601" i="3"/>
  <c r="M1601" i="3"/>
  <c r="K1601" i="3"/>
  <c r="I1601" i="3"/>
  <c r="A1597" i="4"/>
  <c r="B1597" i="4" s="1"/>
  <c r="C1597" i="4" s="1"/>
  <c r="D1597" i="4" s="1"/>
  <c r="Q1602" i="3"/>
  <c r="O1602" i="3"/>
  <c r="M1602" i="3"/>
  <c r="K1602" i="3"/>
  <c r="I1602" i="3"/>
  <c r="P1602" i="3"/>
  <c r="N1602" i="3"/>
  <c r="L1602" i="3"/>
  <c r="J1602" i="3"/>
  <c r="H1602" i="3"/>
  <c r="P1603" i="3"/>
  <c r="N1603" i="3"/>
  <c r="L1603" i="3"/>
  <c r="J1603" i="3"/>
  <c r="H1603" i="3"/>
  <c r="Q1603" i="3"/>
  <c r="O1603" i="3"/>
  <c r="M1603" i="3"/>
  <c r="K1603" i="3"/>
  <c r="I1603" i="3"/>
  <c r="A1599" i="4"/>
  <c r="B1599" i="4" s="1"/>
  <c r="C1599" i="4" s="1"/>
  <c r="D1599" i="4" s="1"/>
  <c r="Q1604" i="3"/>
  <c r="O1604" i="3"/>
  <c r="M1604" i="3"/>
  <c r="K1604" i="3"/>
  <c r="I1604" i="3"/>
  <c r="P1604" i="3"/>
  <c r="N1604" i="3"/>
  <c r="L1604" i="3"/>
  <c r="J1604" i="3"/>
  <c r="H1604" i="3"/>
  <c r="P1605" i="3"/>
  <c r="N1605" i="3"/>
  <c r="L1605" i="3"/>
  <c r="J1605" i="3"/>
  <c r="H1605" i="3"/>
  <c r="Q1605" i="3"/>
  <c r="O1605" i="3"/>
  <c r="M1605" i="3"/>
  <c r="K1605" i="3"/>
  <c r="I1605" i="3"/>
  <c r="A1601" i="4"/>
  <c r="B1601" i="4" s="1"/>
  <c r="C1601" i="4" s="1"/>
  <c r="D1601" i="4" s="1"/>
  <c r="Q1606" i="3"/>
  <c r="O1606" i="3"/>
  <c r="M1606" i="3"/>
  <c r="K1606" i="3"/>
  <c r="I1606" i="3"/>
  <c r="P1606" i="3"/>
  <c r="N1606" i="3"/>
  <c r="L1606" i="3"/>
  <c r="J1606" i="3"/>
  <c r="H1606" i="3"/>
  <c r="P1607" i="3"/>
  <c r="N1607" i="3"/>
  <c r="L1607" i="3"/>
  <c r="J1607" i="3"/>
  <c r="H1607" i="3"/>
  <c r="Q1607" i="3"/>
  <c r="O1607" i="3"/>
  <c r="M1607" i="3"/>
  <c r="K1607" i="3"/>
  <c r="I1607" i="3"/>
  <c r="A1603" i="4"/>
  <c r="B1603" i="4" s="1"/>
  <c r="C1603" i="4" s="1"/>
  <c r="D1603" i="4" s="1"/>
  <c r="Q1608" i="3"/>
  <c r="O1608" i="3"/>
  <c r="M1608" i="3"/>
  <c r="K1608" i="3"/>
  <c r="I1608" i="3"/>
  <c r="P1608" i="3"/>
  <c r="N1608" i="3"/>
  <c r="L1608" i="3"/>
  <c r="J1608" i="3"/>
  <c r="H1608" i="3"/>
  <c r="P1609" i="3"/>
  <c r="N1609" i="3"/>
  <c r="L1609" i="3"/>
  <c r="J1609" i="3"/>
  <c r="H1609" i="3"/>
  <c r="Q1609" i="3"/>
  <c r="O1609" i="3"/>
  <c r="M1609" i="3"/>
  <c r="K1609" i="3"/>
  <c r="I1609" i="3"/>
  <c r="A1605" i="4"/>
  <c r="B1605" i="4" s="1"/>
  <c r="C1605" i="4" s="1"/>
  <c r="D1605" i="4" s="1"/>
  <c r="Q1610" i="3"/>
  <c r="O1610" i="3"/>
  <c r="M1610" i="3"/>
  <c r="K1610" i="3"/>
  <c r="I1610" i="3"/>
  <c r="P1610" i="3"/>
  <c r="N1610" i="3"/>
  <c r="L1610" i="3"/>
  <c r="J1610" i="3"/>
  <c r="H1610" i="3"/>
  <c r="P1611" i="3"/>
  <c r="N1611" i="3"/>
  <c r="L1611" i="3"/>
  <c r="J1611" i="3"/>
  <c r="H1611" i="3"/>
  <c r="Q1611" i="3"/>
  <c r="O1611" i="3"/>
  <c r="M1611" i="3"/>
  <c r="K1611" i="3"/>
  <c r="I1611" i="3"/>
  <c r="A1607" i="4"/>
  <c r="B1607" i="4" s="1"/>
  <c r="C1607" i="4" s="1"/>
  <c r="D1607" i="4" s="1"/>
  <c r="Q1612" i="3"/>
  <c r="O1612" i="3"/>
  <c r="M1612" i="3"/>
  <c r="K1612" i="3"/>
  <c r="I1612" i="3"/>
  <c r="P1612" i="3"/>
  <c r="N1612" i="3"/>
  <c r="L1612" i="3"/>
  <c r="J1612" i="3"/>
  <c r="H1612" i="3"/>
  <c r="P1613" i="3"/>
  <c r="N1613" i="3"/>
  <c r="L1613" i="3"/>
  <c r="J1613" i="3"/>
  <c r="H1613" i="3"/>
  <c r="Q1613" i="3"/>
  <c r="O1613" i="3"/>
  <c r="M1613" i="3"/>
  <c r="K1613" i="3"/>
  <c r="I1613" i="3"/>
  <c r="A1609" i="4"/>
  <c r="B1609" i="4" s="1"/>
  <c r="C1609" i="4" s="1"/>
  <c r="D1609" i="4" s="1"/>
  <c r="Q1614" i="3"/>
  <c r="O1614" i="3"/>
  <c r="M1614" i="3"/>
  <c r="K1614" i="3"/>
  <c r="I1614" i="3"/>
  <c r="P1614" i="3"/>
  <c r="N1614" i="3"/>
  <c r="L1614" i="3"/>
  <c r="J1614" i="3"/>
  <c r="H1614" i="3"/>
  <c r="P1615" i="3"/>
  <c r="N1615" i="3"/>
  <c r="L1615" i="3"/>
  <c r="J1615" i="3"/>
  <c r="H1615" i="3"/>
  <c r="Q1615" i="3"/>
  <c r="O1615" i="3"/>
  <c r="M1615" i="3"/>
  <c r="K1615" i="3"/>
  <c r="I1615" i="3"/>
  <c r="A1611" i="4"/>
  <c r="B1611" i="4" s="1"/>
  <c r="C1611" i="4" s="1"/>
  <c r="D1611" i="4" s="1"/>
  <c r="Q1616" i="3"/>
  <c r="O1616" i="3"/>
  <c r="M1616" i="3"/>
  <c r="K1616" i="3"/>
  <c r="I1616" i="3"/>
  <c r="P1616" i="3"/>
  <c r="N1616" i="3"/>
  <c r="L1616" i="3"/>
  <c r="J1616" i="3"/>
  <c r="H1616" i="3"/>
  <c r="P1617" i="3"/>
  <c r="N1617" i="3"/>
  <c r="L1617" i="3"/>
  <c r="J1617" i="3"/>
  <c r="H1617" i="3"/>
  <c r="Q1617" i="3"/>
  <c r="O1617" i="3"/>
  <c r="M1617" i="3"/>
  <c r="K1617" i="3"/>
  <c r="I1617" i="3"/>
  <c r="A1613" i="4"/>
  <c r="B1613" i="4" s="1"/>
  <c r="C1613" i="4" s="1"/>
  <c r="D1613" i="4" s="1"/>
  <c r="Q1618" i="3"/>
  <c r="O1618" i="3"/>
  <c r="M1618" i="3"/>
  <c r="K1618" i="3"/>
  <c r="I1618" i="3"/>
  <c r="P1618" i="3"/>
  <c r="N1618" i="3"/>
  <c r="L1618" i="3"/>
  <c r="J1618" i="3"/>
  <c r="H1618" i="3"/>
  <c r="P1619" i="3"/>
  <c r="N1619" i="3"/>
  <c r="L1619" i="3"/>
  <c r="J1619" i="3"/>
  <c r="H1619" i="3"/>
  <c r="Q1619" i="3"/>
  <c r="O1619" i="3"/>
  <c r="M1619" i="3"/>
  <c r="K1619" i="3"/>
  <c r="I1619" i="3"/>
  <c r="A1615" i="4"/>
  <c r="B1615" i="4" s="1"/>
  <c r="C1615" i="4" s="1"/>
  <c r="D1615" i="4" s="1"/>
  <c r="Q1620" i="3"/>
  <c r="O1620" i="3"/>
  <c r="M1620" i="3"/>
  <c r="K1620" i="3"/>
  <c r="I1620" i="3"/>
  <c r="P1620" i="3"/>
  <c r="N1620" i="3"/>
  <c r="L1620" i="3"/>
  <c r="J1620" i="3"/>
  <c r="H1620" i="3"/>
  <c r="P1621" i="3"/>
  <c r="N1621" i="3"/>
  <c r="L1621" i="3"/>
  <c r="J1621" i="3"/>
  <c r="H1621" i="3"/>
  <c r="Q1621" i="3"/>
  <c r="O1621" i="3"/>
  <c r="M1621" i="3"/>
  <c r="K1621" i="3"/>
  <c r="I1621" i="3"/>
  <c r="A1617" i="4"/>
  <c r="B1617" i="4" s="1"/>
  <c r="C1617" i="4" s="1"/>
  <c r="D1617" i="4" s="1"/>
  <c r="Q1622" i="3"/>
  <c r="O1622" i="3"/>
  <c r="M1622" i="3"/>
  <c r="K1622" i="3"/>
  <c r="I1622" i="3"/>
  <c r="P1622" i="3"/>
  <c r="N1622" i="3"/>
  <c r="L1622" i="3"/>
  <c r="J1622" i="3"/>
  <c r="H1622" i="3"/>
  <c r="P1623" i="3"/>
  <c r="N1623" i="3"/>
  <c r="L1623" i="3"/>
  <c r="J1623" i="3"/>
  <c r="H1623" i="3"/>
  <c r="Q1623" i="3"/>
  <c r="O1623" i="3"/>
  <c r="M1623" i="3"/>
  <c r="K1623" i="3"/>
  <c r="I1623" i="3"/>
  <c r="A1619" i="4"/>
  <c r="B1619" i="4" s="1"/>
  <c r="C1619" i="4" s="1"/>
  <c r="D1619" i="4" s="1"/>
  <c r="Q1624" i="3"/>
  <c r="O1624" i="3"/>
  <c r="M1624" i="3"/>
  <c r="K1624" i="3"/>
  <c r="I1624" i="3"/>
  <c r="P1624" i="3"/>
  <c r="N1624" i="3"/>
  <c r="L1624" i="3"/>
  <c r="J1624" i="3"/>
  <c r="H1624" i="3"/>
  <c r="P1625" i="3"/>
  <c r="N1625" i="3"/>
  <c r="L1625" i="3"/>
  <c r="J1625" i="3"/>
  <c r="H1625" i="3"/>
  <c r="Q1625" i="3"/>
  <c r="O1625" i="3"/>
  <c r="M1625" i="3"/>
  <c r="K1625" i="3"/>
  <c r="I1625" i="3"/>
  <c r="A1621" i="4"/>
  <c r="B1621" i="4" s="1"/>
  <c r="C1621" i="4" s="1"/>
  <c r="D1621" i="4" s="1"/>
  <c r="Q1626" i="3"/>
  <c r="O1626" i="3"/>
  <c r="M1626" i="3"/>
  <c r="K1626" i="3"/>
  <c r="I1626" i="3"/>
  <c r="P1626" i="3"/>
  <c r="N1626" i="3"/>
  <c r="L1626" i="3"/>
  <c r="J1626" i="3"/>
  <c r="H1626" i="3"/>
  <c r="P1627" i="3"/>
  <c r="N1627" i="3"/>
  <c r="L1627" i="3"/>
  <c r="J1627" i="3"/>
  <c r="H1627" i="3"/>
  <c r="Q1627" i="3"/>
  <c r="O1627" i="3"/>
  <c r="M1627" i="3"/>
  <c r="K1627" i="3"/>
  <c r="I1627" i="3"/>
  <c r="A1623" i="4"/>
  <c r="B1623" i="4" s="1"/>
  <c r="C1623" i="4" s="1"/>
  <c r="D1623" i="4" s="1"/>
  <c r="Q1628" i="3"/>
  <c r="O1628" i="3"/>
  <c r="M1628" i="3"/>
  <c r="K1628" i="3"/>
  <c r="I1628" i="3"/>
  <c r="P1628" i="3"/>
  <c r="N1628" i="3"/>
  <c r="L1628" i="3"/>
  <c r="J1628" i="3"/>
  <c r="H1628" i="3"/>
  <c r="P1629" i="3"/>
  <c r="N1629" i="3"/>
  <c r="L1629" i="3"/>
  <c r="J1629" i="3"/>
  <c r="H1629" i="3"/>
  <c r="Q1629" i="3"/>
  <c r="O1629" i="3"/>
  <c r="M1629" i="3"/>
  <c r="K1629" i="3"/>
  <c r="I1629" i="3"/>
  <c r="A1625" i="4"/>
  <c r="B1625" i="4" s="1"/>
  <c r="C1625" i="4" s="1"/>
  <c r="D1625" i="4" s="1"/>
  <c r="Q1630" i="3"/>
  <c r="O1630" i="3"/>
  <c r="M1630" i="3"/>
  <c r="K1630" i="3"/>
  <c r="I1630" i="3"/>
  <c r="P1630" i="3"/>
  <c r="N1630" i="3"/>
  <c r="L1630" i="3"/>
  <c r="J1630" i="3"/>
  <c r="H1630" i="3"/>
  <c r="P1631" i="3"/>
  <c r="N1631" i="3"/>
  <c r="L1631" i="3"/>
  <c r="J1631" i="3"/>
  <c r="H1631" i="3"/>
  <c r="Q1631" i="3"/>
  <c r="O1631" i="3"/>
  <c r="M1631" i="3"/>
  <c r="K1631" i="3"/>
  <c r="I1631" i="3"/>
  <c r="A1627" i="4"/>
  <c r="B1627" i="4" s="1"/>
  <c r="C1627" i="4" s="1"/>
  <c r="D1627" i="4" s="1"/>
  <c r="Q1632" i="3"/>
  <c r="O1632" i="3"/>
  <c r="M1632" i="3"/>
  <c r="K1632" i="3"/>
  <c r="I1632" i="3"/>
  <c r="P1632" i="3"/>
  <c r="N1632" i="3"/>
  <c r="L1632" i="3"/>
  <c r="J1632" i="3"/>
  <c r="H1632" i="3"/>
  <c r="P1633" i="3"/>
  <c r="N1633" i="3"/>
  <c r="L1633" i="3"/>
  <c r="J1633" i="3"/>
  <c r="H1633" i="3"/>
  <c r="Q1633" i="3"/>
  <c r="O1633" i="3"/>
  <c r="M1633" i="3"/>
  <c r="K1633" i="3"/>
  <c r="I1633" i="3"/>
  <c r="A1629" i="4"/>
  <c r="B1629" i="4" s="1"/>
  <c r="C1629" i="4" s="1"/>
  <c r="D1629" i="4" s="1"/>
  <c r="Q1634" i="3"/>
  <c r="O1634" i="3"/>
  <c r="M1634" i="3"/>
  <c r="K1634" i="3"/>
  <c r="I1634" i="3"/>
  <c r="P1634" i="3"/>
  <c r="N1634" i="3"/>
  <c r="L1634" i="3"/>
  <c r="J1634" i="3"/>
  <c r="H1634" i="3"/>
  <c r="P1635" i="3"/>
  <c r="N1635" i="3"/>
  <c r="L1635" i="3"/>
  <c r="J1635" i="3"/>
  <c r="H1635" i="3"/>
  <c r="Q1635" i="3"/>
  <c r="O1635" i="3"/>
  <c r="M1635" i="3"/>
  <c r="K1635" i="3"/>
  <c r="I1635" i="3"/>
  <c r="A1631" i="4"/>
  <c r="B1631" i="4" s="1"/>
  <c r="C1631" i="4" s="1"/>
  <c r="D1631" i="4" s="1"/>
  <c r="Q1636" i="3"/>
  <c r="O1636" i="3"/>
  <c r="M1636" i="3"/>
  <c r="K1636" i="3"/>
  <c r="I1636" i="3"/>
  <c r="P1636" i="3"/>
  <c r="N1636" i="3"/>
  <c r="L1636" i="3"/>
  <c r="J1636" i="3"/>
  <c r="H1636" i="3"/>
  <c r="P1637" i="3"/>
  <c r="N1637" i="3"/>
  <c r="L1637" i="3"/>
  <c r="J1637" i="3"/>
  <c r="H1637" i="3"/>
  <c r="Q1637" i="3"/>
  <c r="O1637" i="3"/>
  <c r="M1637" i="3"/>
  <c r="K1637" i="3"/>
  <c r="I1637" i="3"/>
  <c r="A1633" i="4"/>
  <c r="B1633" i="4" s="1"/>
  <c r="C1633" i="4" s="1"/>
  <c r="D1633" i="4" s="1"/>
  <c r="Q1638" i="3"/>
  <c r="O1638" i="3"/>
  <c r="M1638" i="3"/>
  <c r="K1638" i="3"/>
  <c r="I1638" i="3"/>
  <c r="P1638" i="3"/>
  <c r="N1638" i="3"/>
  <c r="L1638" i="3"/>
  <c r="J1638" i="3"/>
  <c r="H1638" i="3"/>
  <c r="P1639" i="3"/>
  <c r="N1639" i="3"/>
  <c r="L1639" i="3"/>
  <c r="J1639" i="3"/>
  <c r="H1639" i="3"/>
  <c r="Q1639" i="3"/>
  <c r="O1639" i="3"/>
  <c r="M1639" i="3"/>
  <c r="K1639" i="3"/>
  <c r="I1639" i="3"/>
  <c r="A1635" i="4"/>
  <c r="B1635" i="4" s="1"/>
  <c r="C1635" i="4" s="1"/>
  <c r="D1635" i="4" s="1"/>
  <c r="Q1640" i="3"/>
  <c r="O1640" i="3"/>
  <c r="M1640" i="3"/>
  <c r="K1640" i="3"/>
  <c r="I1640" i="3"/>
  <c r="P1640" i="3"/>
  <c r="N1640" i="3"/>
  <c r="L1640" i="3"/>
  <c r="J1640" i="3"/>
  <c r="H1640" i="3"/>
  <c r="P1641" i="3"/>
  <c r="N1641" i="3"/>
  <c r="L1641" i="3"/>
  <c r="J1641" i="3"/>
  <c r="H1641" i="3"/>
  <c r="Q1641" i="3"/>
  <c r="O1641" i="3"/>
  <c r="M1641" i="3"/>
  <c r="K1641" i="3"/>
  <c r="I1641" i="3"/>
  <c r="A1637" i="4"/>
  <c r="B1637" i="4" s="1"/>
  <c r="C1637" i="4" s="1"/>
  <c r="D1637" i="4" s="1"/>
  <c r="Q1642" i="3"/>
  <c r="O1642" i="3"/>
  <c r="M1642" i="3"/>
  <c r="K1642" i="3"/>
  <c r="I1642" i="3"/>
  <c r="P1642" i="3"/>
  <c r="N1642" i="3"/>
  <c r="L1642" i="3"/>
  <c r="J1642" i="3"/>
  <c r="H1642" i="3"/>
  <c r="P1643" i="3"/>
  <c r="N1643" i="3"/>
  <c r="L1643" i="3"/>
  <c r="J1643" i="3"/>
  <c r="H1643" i="3"/>
  <c r="Q1643" i="3"/>
  <c r="O1643" i="3"/>
  <c r="M1643" i="3"/>
  <c r="K1643" i="3"/>
  <c r="I1643" i="3"/>
  <c r="A1639" i="4"/>
  <c r="B1639" i="4" s="1"/>
  <c r="C1639" i="4" s="1"/>
  <c r="D1639" i="4" s="1"/>
  <c r="Q1644" i="3"/>
  <c r="O1644" i="3"/>
  <c r="M1644" i="3"/>
  <c r="K1644" i="3"/>
  <c r="I1644" i="3"/>
  <c r="P1644" i="3"/>
  <c r="N1644" i="3"/>
  <c r="L1644" i="3"/>
  <c r="J1644" i="3"/>
  <c r="H1644" i="3"/>
  <c r="P1645" i="3"/>
  <c r="N1645" i="3"/>
  <c r="L1645" i="3"/>
  <c r="J1645" i="3"/>
  <c r="H1645" i="3"/>
  <c r="Q1645" i="3"/>
  <c r="O1645" i="3"/>
  <c r="M1645" i="3"/>
  <c r="K1645" i="3"/>
  <c r="I1645" i="3"/>
  <c r="A1641" i="4"/>
  <c r="B1641" i="4" s="1"/>
  <c r="C1641" i="4" s="1"/>
  <c r="D1641" i="4" s="1"/>
  <c r="Q1646" i="3"/>
  <c r="O1646" i="3"/>
  <c r="M1646" i="3"/>
  <c r="K1646" i="3"/>
  <c r="I1646" i="3"/>
  <c r="P1646" i="3"/>
  <c r="N1646" i="3"/>
  <c r="L1646" i="3"/>
  <c r="J1646" i="3"/>
  <c r="H1646" i="3"/>
  <c r="P1647" i="3"/>
  <c r="N1647" i="3"/>
  <c r="L1647" i="3"/>
  <c r="J1647" i="3"/>
  <c r="H1647" i="3"/>
  <c r="Q1647" i="3"/>
  <c r="O1647" i="3"/>
  <c r="M1647" i="3"/>
  <c r="K1647" i="3"/>
  <c r="I1647" i="3"/>
  <c r="A1643" i="4"/>
  <c r="B1643" i="4" s="1"/>
  <c r="C1643" i="4" s="1"/>
  <c r="D1643" i="4" s="1"/>
  <c r="Q1648" i="3"/>
  <c r="O1648" i="3"/>
  <c r="M1648" i="3"/>
  <c r="K1648" i="3"/>
  <c r="I1648" i="3"/>
  <c r="P1648" i="3"/>
  <c r="N1648" i="3"/>
  <c r="L1648" i="3"/>
  <c r="J1648" i="3"/>
  <c r="H1648" i="3"/>
  <c r="P1649" i="3"/>
  <c r="N1649" i="3"/>
  <c r="L1649" i="3"/>
  <c r="J1649" i="3"/>
  <c r="H1649" i="3"/>
  <c r="Q1649" i="3"/>
  <c r="O1649" i="3"/>
  <c r="M1649" i="3"/>
  <c r="K1649" i="3"/>
  <c r="I1649" i="3"/>
  <c r="A1645" i="4"/>
  <c r="B1645" i="4" s="1"/>
  <c r="C1645" i="4" s="1"/>
  <c r="D1645" i="4" s="1"/>
  <c r="Q1650" i="3"/>
  <c r="O1650" i="3"/>
  <c r="M1650" i="3"/>
  <c r="K1650" i="3"/>
  <c r="I1650" i="3"/>
  <c r="P1650" i="3"/>
  <c r="N1650" i="3"/>
  <c r="L1650" i="3"/>
  <c r="J1650" i="3"/>
  <c r="H1650" i="3"/>
  <c r="P1651" i="3"/>
  <c r="N1651" i="3"/>
  <c r="L1651" i="3"/>
  <c r="J1651" i="3"/>
  <c r="H1651" i="3"/>
  <c r="Q1651" i="3"/>
  <c r="O1651" i="3"/>
  <c r="M1651" i="3"/>
  <c r="K1651" i="3"/>
  <c r="I1651" i="3"/>
  <c r="A1647" i="4"/>
  <c r="B1647" i="4" s="1"/>
  <c r="C1647" i="4" s="1"/>
  <c r="D1647" i="4" s="1"/>
  <c r="Q1652" i="3"/>
  <c r="O1652" i="3"/>
  <c r="M1652" i="3"/>
  <c r="K1652" i="3"/>
  <c r="I1652" i="3"/>
  <c r="P1652" i="3"/>
  <c r="N1652" i="3"/>
  <c r="L1652" i="3"/>
  <c r="J1652" i="3"/>
  <c r="H1652" i="3"/>
  <c r="P1653" i="3"/>
  <c r="N1653" i="3"/>
  <c r="L1653" i="3"/>
  <c r="J1653" i="3"/>
  <c r="H1653" i="3"/>
  <c r="Q1653" i="3"/>
  <c r="O1653" i="3"/>
  <c r="M1653" i="3"/>
  <c r="K1653" i="3"/>
  <c r="I1653" i="3"/>
  <c r="A1649" i="4"/>
  <c r="B1649" i="4" s="1"/>
  <c r="C1649" i="4" s="1"/>
  <c r="D1649" i="4" s="1"/>
  <c r="Q1654" i="3"/>
  <c r="O1654" i="3"/>
  <c r="M1654" i="3"/>
  <c r="K1654" i="3"/>
  <c r="I1654" i="3"/>
  <c r="P1654" i="3"/>
  <c r="N1654" i="3"/>
  <c r="L1654" i="3"/>
  <c r="J1654" i="3"/>
  <c r="H1654" i="3"/>
  <c r="P1655" i="3"/>
  <c r="N1655" i="3"/>
  <c r="L1655" i="3"/>
  <c r="J1655" i="3"/>
  <c r="H1655" i="3"/>
  <c r="Q1655" i="3"/>
  <c r="O1655" i="3"/>
  <c r="M1655" i="3"/>
  <c r="K1655" i="3"/>
  <c r="I1655" i="3"/>
  <c r="A1651" i="4"/>
  <c r="B1651" i="4" s="1"/>
  <c r="C1651" i="4" s="1"/>
  <c r="D1651" i="4" s="1"/>
  <c r="Q1656" i="3"/>
  <c r="O1656" i="3"/>
  <c r="M1656" i="3"/>
  <c r="K1656" i="3"/>
  <c r="I1656" i="3"/>
  <c r="P1656" i="3"/>
  <c r="N1656" i="3"/>
  <c r="L1656" i="3"/>
  <c r="J1656" i="3"/>
  <c r="H1656" i="3"/>
  <c r="P1657" i="3"/>
  <c r="N1657" i="3"/>
  <c r="L1657" i="3"/>
  <c r="J1657" i="3"/>
  <c r="H1657" i="3"/>
  <c r="Q1657" i="3"/>
  <c r="O1657" i="3"/>
  <c r="M1657" i="3"/>
  <c r="K1657" i="3"/>
  <c r="I1657" i="3"/>
  <c r="A1653" i="4"/>
  <c r="B1653" i="4" s="1"/>
  <c r="C1653" i="4" s="1"/>
  <c r="D1653" i="4" s="1"/>
  <c r="Q1658" i="3"/>
  <c r="O1658" i="3"/>
  <c r="M1658" i="3"/>
  <c r="K1658" i="3"/>
  <c r="I1658" i="3"/>
  <c r="P1658" i="3"/>
  <c r="N1658" i="3"/>
  <c r="L1658" i="3"/>
  <c r="J1658" i="3"/>
  <c r="H1658" i="3"/>
  <c r="P1659" i="3"/>
  <c r="N1659" i="3"/>
  <c r="L1659" i="3"/>
  <c r="J1659" i="3"/>
  <c r="H1659" i="3"/>
  <c r="Q1659" i="3"/>
  <c r="O1659" i="3"/>
  <c r="M1659" i="3"/>
  <c r="K1659" i="3"/>
  <c r="I1659" i="3"/>
  <c r="A1655" i="4"/>
  <c r="B1655" i="4" s="1"/>
  <c r="C1655" i="4" s="1"/>
  <c r="D1655" i="4" s="1"/>
  <c r="Q1660" i="3"/>
  <c r="O1660" i="3"/>
  <c r="M1660" i="3"/>
  <c r="K1660" i="3"/>
  <c r="I1660" i="3"/>
  <c r="P1660" i="3"/>
  <c r="N1660" i="3"/>
  <c r="L1660" i="3"/>
  <c r="J1660" i="3"/>
  <c r="H1660" i="3"/>
  <c r="P1661" i="3"/>
  <c r="N1661" i="3"/>
  <c r="L1661" i="3"/>
  <c r="J1661" i="3"/>
  <c r="H1661" i="3"/>
  <c r="Q1661" i="3"/>
  <c r="O1661" i="3"/>
  <c r="M1661" i="3"/>
  <c r="K1661" i="3"/>
  <c r="I1661" i="3"/>
  <c r="A1657" i="4"/>
  <c r="B1657" i="4" s="1"/>
  <c r="C1657" i="4" s="1"/>
  <c r="D1657" i="4" s="1"/>
  <c r="Q1662" i="3"/>
  <c r="O1662" i="3"/>
  <c r="M1662" i="3"/>
  <c r="K1662" i="3"/>
  <c r="I1662" i="3"/>
  <c r="P1662" i="3"/>
  <c r="N1662" i="3"/>
  <c r="L1662" i="3"/>
  <c r="J1662" i="3"/>
  <c r="H1662" i="3"/>
  <c r="P1663" i="3"/>
  <c r="N1663" i="3"/>
  <c r="L1663" i="3"/>
  <c r="J1663" i="3"/>
  <c r="H1663" i="3"/>
  <c r="Q1663" i="3"/>
  <c r="O1663" i="3"/>
  <c r="M1663" i="3"/>
  <c r="K1663" i="3"/>
  <c r="I1663" i="3"/>
  <c r="A1659" i="4"/>
  <c r="B1659" i="4" s="1"/>
  <c r="C1659" i="4" s="1"/>
  <c r="D1659" i="4" s="1"/>
  <c r="Q1664" i="3"/>
  <c r="O1664" i="3"/>
  <c r="M1664" i="3"/>
  <c r="K1664" i="3"/>
  <c r="I1664" i="3"/>
  <c r="P1664" i="3"/>
  <c r="N1664" i="3"/>
  <c r="L1664" i="3"/>
  <c r="J1664" i="3"/>
  <c r="H1664" i="3"/>
  <c r="P1665" i="3"/>
  <c r="N1665" i="3"/>
  <c r="L1665" i="3"/>
  <c r="J1665" i="3"/>
  <c r="H1665" i="3"/>
  <c r="Q1665" i="3"/>
  <c r="O1665" i="3"/>
  <c r="M1665" i="3"/>
  <c r="K1665" i="3"/>
  <c r="I1665" i="3"/>
  <c r="A1661" i="4"/>
  <c r="B1661" i="4" s="1"/>
  <c r="C1661" i="4" s="1"/>
  <c r="D1661" i="4" s="1"/>
  <c r="Q1666" i="3"/>
  <c r="O1666" i="3"/>
  <c r="M1666" i="3"/>
  <c r="K1666" i="3"/>
  <c r="I1666" i="3"/>
  <c r="P1666" i="3"/>
  <c r="N1666" i="3"/>
  <c r="L1666" i="3"/>
  <c r="J1666" i="3"/>
  <c r="H1666" i="3"/>
  <c r="P1667" i="3"/>
  <c r="N1667" i="3"/>
  <c r="L1667" i="3"/>
  <c r="J1667" i="3"/>
  <c r="H1667" i="3"/>
  <c r="Q1667" i="3"/>
  <c r="O1667" i="3"/>
  <c r="M1667" i="3"/>
  <c r="K1667" i="3"/>
  <c r="I1667" i="3"/>
  <c r="A1663" i="4"/>
  <c r="B1663" i="4" s="1"/>
  <c r="C1663" i="4" s="1"/>
  <c r="D1663" i="4" s="1"/>
  <c r="Q1668" i="3"/>
  <c r="O1668" i="3"/>
  <c r="M1668" i="3"/>
  <c r="K1668" i="3"/>
  <c r="I1668" i="3"/>
  <c r="P1668" i="3"/>
  <c r="N1668" i="3"/>
  <c r="L1668" i="3"/>
  <c r="J1668" i="3"/>
  <c r="H1668" i="3"/>
  <c r="P1669" i="3"/>
  <c r="N1669" i="3"/>
  <c r="L1669" i="3"/>
  <c r="J1669" i="3"/>
  <c r="H1669" i="3"/>
  <c r="Q1669" i="3"/>
  <c r="O1669" i="3"/>
  <c r="M1669" i="3"/>
  <c r="K1669" i="3"/>
  <c r="I1669" i="3"/>
  <c r="A1665" i="4"/>
  <c r="B1665" i="4" s="1"/>
  <c r="C1665" i="4" s="1"/>
  <c r="D1665" i="4" s="1"/>
  <c r="Q1670" i="3"/>
  <c r="O1670" i="3"/>
  <c r="M1670" i="3"/>
  <c r="K1670" i="3"/>
  <c r="I1670" i="3"/>
  <c r="P1670" i="3"/>
  <c r="N1670" i="3"/>
  <c r="L1670" i="3"/>
  <c r="J1670" i="3"/>
  <c r="H1670" i="3"/>
  <c r="P1671" i="3"/>
  <c r="N1671" i="3"/>
  <c r="L1671" i="3"/>
  <c r="J1671" i="3"/>
  <c r="H1671" i="3"/>
  <c r="Q1671" i="3"/>
  <c r="O1671" i="3"/>
  <c r="M1671" i="3"/>
  <c r="K1671" i="3"/>
  <c r="I1671" i="3"/>
  <c r="A1667" i="4"/>
  <c r="B1667" i="4" s="1"/>
  <c r="C1667" i="4" s="1"/>
  <c r="D1667" i="4" s="1"/>
  <c r="Q1672" i="3"/>
  <c r="O1672" i="3"/>
  <c r="M1672" i="3"/>
  <c r="K1672" i="3"/>
  <c r="I1672" i="3"/>
  <c r="P1672" i="3"/>
  <c r="N1672" i="3"/>
  <c r="L1672" i="3"/>
  <c r="J1672" i="3"/>
  <c r="H1672" i="3"/>
  <c r="P1673" i="3"/>
  <c r="N1673" i="3"/>
  <c r="L1673" i="3"/>
  <c r="J1673" i="3"/>
  <c r="H1673" i="3"/>
  <c r="Q1673" i="3"/>
  <c r="O1673" i="3"/>
  <c r="M1673" i="3"/>
  <c r="K1673" i="3"/>
  <c r="I1673" i="3"/>
  <c r="A1669" i="4"/>
  <c r="B1669" i="4" s="1"/>
  <c r="C1669" i="4" s="1"/>
  <c r="D1669" i="4" s="1"/>
  <c r="Q1674" i="3"/>
  <c r="O1674" i="3"/>
  <c r="M1674" i="3"/>
  <c r="K1674" i="3"/>
  <c r="I1674" i="3"/>
  <c r="P1674" i="3"/>
  <c r="N1674" i="3"/>
  <c r="L1674" i="3"/>
  <c r="J1674" i="3"/>
  <c r="H1674" i="3"/>
  <c r="P1675" i="3"/>
  <c r="N1675" i="3"/>
  <c r="L1675" i="3"/>
  <c r="J1675" i="3"/>
  <c r="H1675" i="3"/>
  <c r="Q1675" i="3"/>
  <c r="O1675" i="3"/>
  <c r="M1675" i="3"/>
  <c r="K1675" i="3"/>
  <c r="I1675" i="3"/>
  <c r="A1671" i="4"/>
  <c r="B1671" i="4" s="1"/>
  <c r="C1671" i="4" s="1"/>
  <c r="D1671" i="4" s="1"/>
  <c r="Q1676" i="3"/>
  <c r="O1676" i="3"/>
  <c r="M1676" i="3"/>
  <c r="K1676" i="3"/>
  <c r="I1676" i="3"/>
  <c r="P1676" i="3"/>
  <c r="N1676" i="3"/>
  <c r="L1676" i="3"/>
  <c r="J1676" i="3"/>
  <c r="H1676" i="3"/>
  <c r="P1677" i="3"/>
  <c r="N1677" i="3"/>
  <c r="L1677" i="3"/>
  <c r="J1677" i="3"/>
  <c r="H1677" i="3"/>
  <c r="Q1677" i="3"/>
  <c r="O1677" i="3"/>
  <c r="M1677" i="3"/>
  <c r="K1677" i="3"/>
  <c r="I1677" i="3"/>
  <c r="A1673" i="4"/>
  <c r="B1673" i="4" s="1"/>
  <c r="C1673" i="4" s="1"/>
  <c r="D1673" i="4" s="1"/>
  <c r="Q1678" i="3"/>
  <c r="O1678" i="3"/>
  <c r="M1678" i="3"/>
  <c r="K1678" i="3"/>
  <c r="I1678" i="3"/>
  <c r="P1678" i="3"/>
  <c r="N1678" i="3"/>
  <c r="L1678" i="3"/>
  <c r="J1678" i="3"/>
  <c r="H1678" i="3"/>
  <c r="P1679" i="3"/>
  <c r="N1679" i="3"/>
  <c r="L1679" i="3"/>
  <c r="J1679" i="3"/>
  <c r="H1679" i="3"/>
  <c r="Q1679" i="3"/>
  <c r="O1679" i="3"/>
  <c r="M1679" i="3"/>
  <c r="K1679" i="3"/>
  <c r="I1679" i="3"/>
  <c r="A1675" i="4"/>
  <c r="B1675" i="4" s="1"/>
  <c r="C1675" i="4" s="1"/>
  <c r="D1675" i="4" s="1"/>
  <c r="Q1680" i="3"/>
  <c r="O1680" i="3"/>
  <c r="M1680" i="3"/>
  <c r="K1680" i="3"/>
  <c r="I1680" i="3"/>
  <c r="P1680" i="3"/>
  <c r="N1680" i="3"/>
  <c r="L1680" i="3"/>
  <c r="J1680" i="3"/>
  <c r="H1680" i="3"/>
  <c r="P1681" i="3"/>
  <c r="N1681" i="3"/>
  <c r="L1681" i="3"/>
  <c r="J1681" i="3"/>
  <c r="H1681" i="3"/>
  <c r="Q1681" i="3"/>
  <c r="O1681" i="3"/>
  <c r="M1681" i="3"/>
  <c r="K1681" i="3"/>
  <c r="I1681" i="3"/>
  <c r="A1677" i="4"/>
  <c r="B1677" i="4" s="1"/>
  <c r="C1677" i="4" s="1"/>
  <c r="D1677" i="4" s="1"/>
  <c r="Q1682" i="3"/>
  <c r="O1682" i="3"/>
  <c r="M1682" i="3"/>
  <c r="K1682" i="3"/>
  <c r="I1682" i="3"/>
  <c r="P1682" i="3"/>
  <c r="N1682" i="3"/>
  <c r="L1682" i="3"/>
  <c r="J1682" i="3"/>
  <c r="H1682" i="3"/>
  <c r="P1683" i="3"/>
  <c r="N1683" i="3"/>
  <c r="L1683" i="3"/>
  <c r="J1683" i="3"/>
  <c r="H1683" i="3"/>
  <c r="Q1683" i="3"/>
  <c r="O1683" i="3"/>
  <c r="M1683" i="3"/>
  <c r="K1683" i="3"/>
  <c r="I1683" i="3"/>
  <c r="A1679" i="4"/>
  <c r="B1679" i="4" s="1"/>
  <c r="C1679" i="4" s="1"/>
  <c r="D1679" i="4" s="1"/>
  <c r="Q1684" i="3"/>
  <c r="O1684" i="3"/>
  <c r="M1684" i="3"/>
  <c r="K1684" i="3"/>
  <c r="I1684" i="3"/>
  <c r="P1684" i="3"/>
  <c r="N1684" i="3"/>
  <c r="L1684" i="3"/>
  <c r="J1684" i="3"/>
  <c r="H1684" i="3"/>
  <c r="P1685" i="3"/>
  <c r="N1685" i="3"/>
  <c r="L1685" i="3"/>
  <c r="J1685" i="3"/>
  <c r="H1685" i="3"/>
  <c r="Q1685" i="3"/>
  <c r="O1685" i="3"/>
  <c r="M1685" i="3"/>
  <c r="K1685" i="3"/>
  <c r="I1685" i="3"/>
  <c r="A1681" i="4"/>
  <c r="B1681" i="4" s="1"/>
  <c r="C1681" i="4" s="1"/>
  <c r="D1681" i="4" s="1"/>
  <c r="Q1686" i="3"/>
  <c r="O1686" i="3"/>
  <c r="M1686" i="3"/>
  <c r="K1686" i="3"/>
  <c r="I1686" i="3"/>
  <c r="P1686" i="3"/>
  <c r="N1686" i="3"/>
  <c r="L1686" i="3"/>
  <c r="J1686" i="3"/>
  <c r="H1686" i="3"/>
  <c r="P1687" i="3"/>
  <c r="N1687" i="3"/>
  <c r="L1687" i="3"/>
  <c r="J1687" i="3"/>
  <c r="H1687" i="3"/>
  <c r="Q1687" i="3"/>
  <c r="O1687" i="3"/>
  <c r="M1687" i="3"/>
  <c r="K1687" i="3"/>
  <c r="I1687" i="3"/>
  <c r="A1683" i="4"/>
  <c r="B1683" i="4" s="1"/>
  <c r="C1683" i="4" s="1"/>
  <c r="D1683" i="4" s="1"/>
  <c r="Q1688" i="3"/>
  <c r="O1688" i="3"/>
  <c r="M1688" i="3"/>
  <c r="K1688" i="3"/>
  <c r="I1688" i="3"/>
  <c r="P1688" i="3"/>
  <c r="N1688" i="3"/>
  <c r="L1688" i="3"/>
  <c r="J1688" i="3"/>
  <c r="H1688" i="3"/>
  <c r="P1689" i="3"/>
  <c r="N1689" i="3"/>
  <c r="L1689" i="3"/>
  <c r="J1689" i="3"/>
  <c r="H1689" i="3"/>
  <c r="Q1689" i="3"/>
  <c r="O1689" i="3"/>
  <c r="M1689" i="3"/>
  <c r="K1689" i="3"/>
  <c r="I1689" i="3"/>
  <c r="A1685" i="4"/>
  <c r="B1685" i="4" s="1"/>
  <c r="C1685" i="4" s="1"/>
  <c r="D1685" i="4" s="1"/>
  <c r="Q1690" i="3"/>
  <c r="O1690" i="3"/>
  <c r="M1690" i="3"/>
  <c r="K1690" i="3"/>
  <c r="I1690" i="3"/>
  <c r="P1690" i="3"/>
  <c r="N1690" i="3"/>
  <c r="L1690" i="3"/>
  <c r="J1690" i="3"/>
  <c r="H1690" i="3"/>
  <c r="P1691" i="3"/>
  <c r="N1691" i="3"/>
  <c r="L1691" i="3"/>
  <c r="J1691" i="3"/>
  <c r="H1691" i="3"/>
  <c r="Q1691" i="3"/>
  <c r="O1691" i="3"/>
  <c r="M1691" i="3"/>
  <c r="K1691" i="3"/>
  <c r="I1691" i="3"/>
  <c r="A1687" i="4"/>
  <c r="B1687" i="4" s="1"/>
  <c r="C1687" i="4" s="1"/>
  <c r="D1687" i="4" s="1"/>
  <c r="Q1692" i="3"/>
  <c r="O1692" i="3"/>
  <c r="M1692" i="3"/>
  <c r="K1692" i="3"/>
  <c r="I1692" i="3"/>
  <c r="P1692" i="3"/>
  <c r="N1692" i="3"/>
  <c r="L1692" i="3"/>
  <c r="J1692" i="3"/>
  <c r="H1692" i="3"/>
  <c r="P1693" i="3"/>
  <c r="N1693" i="3"/>
  <c r="L1693" i="3"/>
  <c r="J1693" i="3"/>
  <c r="H1693" i="3"/>
  <c r="Q1693" i="3"/>
  <c r="O1693" i="3"/>
  <c r="M1693" i="3"/>
  <c r="K1693" i="3"/>
  <c r="I1693" i="3"/>
  <c r="A1689" i="4"/>
  <c r="B1689" i="4" s="1"/>
  <c r="C1689" i="4" s="1"/>
  <c r="D1689" i="4" s="1"/>
  <c r="Q1694" i="3"/>
  <c r="O1694" i="3"/>
  <c r="M1694" i="3"/>
  <c r="K1694" i="3"/>
  <c r="I1694" i="3"/>
  <c r="P1694" i="3"/>
  <c r="N1694" i="3"/>
  <c r="L1694" i="3"/>
  <c r="J1694" i="3"/>
  <c r="H1694" i="3"/>
  <c r="P1695" i="3"/>
  <c r="N1695" i="3"/>
  <c r="L1695" i="3"/>
  <c r="J1695" i="3"/>
  <c r="H1695" i="3"/>
  <c r="Q1695" i="3"/>
  <c r="O1695" i="3"/>
  <c r="M1695" i="3"/>
  <c r="K1695" i="3"/>
  <c r="I1695" i="3"/>
  <c r="A1691" i="4"/>
  <c r="B1691" i="4" s="1"/>
  <c r="C1691" i="4" s="1"/>
  <c r="D1691" i="4" s="1"/>
  <c r="Q1696" i="3"/>
  <c r="O1696" i="3"/>
  <c r="M1696" i="3"/>
  <c r="K1696" i="3"/>
  <c r="I1696" i="3"/>
  <c r="P1696" i="3"/>
  <c r="N1696" i="3"/>
  <c r="L1696" i="3"/>
  <c r="J1696" i="3"/>
  <c r="H1696" i="3"/>
  <c r="P1697" i="3"/>
  <c r="N1697" i="3"/>
  <c r="L1697" i="3"/>
  <c r="J1697" i="3"/>
  <c r="H1697" i="3"/>
  <c r="Q1697" i="3"/>
  <c r="O1697" i="3"/>
  <c r="M1697" i="3"/>
  <c r="K1697" i="3"/>
  <c r="I1697" i="3"/>
  <c r="A1693" i="4"/>
  <c r="B1693" i="4" s="1"/>
  <c r="C1693" i="4" s="1"/>
  <c r="D1693" i="4" s="1"/>
  <c r="Q1698" i="3"/>
  <c r="O1698" i="3"/>
  <c r="M1698" i="3"/>
  <c r="K1698" i="3"/>
  <c r="I1698" i="3"/>
  <c r="P1698" i="3"/>
  <c r="N1698" i="3"/>
  <c r="L1698" i="3"/>
  <c r="J1698" i="3"/>
  <c r="H1698" i="3"/>
  <c r="P1699" i="3"/>
  <c r="N1699" i="3"/>
  <c r="L1699" i="3"/>
  <c r="J1699" i="3"/>
  <c r="H1699" i="3"/>
  <c r="Q1699" i="3"/>
  <c r="O1699" i="3"/>
  <c r="M1699" i="3"/>
  <c r="K1699" i="3"/>
  <c r="I1699" i="3"/>
  <c r="A1695" i="4"/>
  <c r="B1695" i="4" s="1"/>
  <c r="C1695" i="4" s="1"/>
  <c r="D1695" i="4" s="1"/>
  <c r="Q1700" i="3"/>
  <c r="O1700" i="3"/>
  <c r="M1700" i="3"/>
  <c r="K1700" i="3"/>
  <c r="I1700" i="3"/>
  <c r="P1700" i="3"/>
  <c r="N1700" i="3"/>
  <c r="L1700" i="3"/>
  <c r="J1700" i="3"/>
  <c r="H1700" i="3"/>
  <c r="P1701" i="3"/>
  <c r="N1701" i="3"/>
  <c r="L1701" i="3"/>
  <c r="J1701" i="3"/>
  <c r="H1701" i="3"/>
  <c r="Q1701" i="3"/>
  <c r="O1701" i="3"/>
  <c r="M1701" i="3"/>
  <c r="K1701" i="3"/>
  <c r="I1701" i="3"/>
  <c r="A1697" i="4"/>
  <c r="B1697" i="4" s="1"/>
  <c r="C1697" i="4" s="1"/>
  <c r="D1697" i="4" s="1"/>
  <c r="Q1702" i="3"/>
  <c r="O1702" i="3"/>
  <c r="M1702" i="3"/>
  <c r="K1702" i="3"/>
  <c r="I1702" i="3"/>
  <c r="P1702" i="3"/>
  <c r="N1702" i="3"/>
  <c r="L1702" i="3"/>
  <c r="J1702" i="3"/>
  <c r="H1702" i="3"/>
  <c r="P1703" i="3"/>
  <c r="N1703" i="3"/>
  <c r="L1703" i="3"/>
  <c r="J1703" i="3"/>
  <c r="H1703" i="3"/>
  <c r="Q1703" i="3"/>
  <c r="O1703" i="3"/>
  <c r="M1703" i="3"/>
  <c r="K1703" i="3"/>
  <c r="I1703" i="3"/>
  <c r="A1699" i="4"/>
  <c r="B1699" i="4" s="1"/>
  <c r="C1699" i="4" s="1"/>
  <c r="D1699" i="4" s="1"/>
  <c r="Q1704" i="3"/>
  <c r="O1704" i="3"/>
  <c r="M1704" i="3"/>
  <c r="K1704" i="3"/>
  <c r="I1704" i="3"/>
  <c r="P1704" i="3"/>
  <c r="N1704" i="3"/>
  <c r="L1704" i="3"/>
  <c r="J1704" i="3"/>
  <c r="H1704" i="3"/>
  <c r="P1705" i="3"/>
  <c r="N1705" i="3"/>
  <c r="L1705" i="3"/>
  <c r="J1705" i="3"/>
  <c r="H1705" i="3"/>
  <c r="Q1705" i="3"/>
  <c r="O1705" i="3"/>
  <c r="M1705" i="3"/>
  <c r="K1705" i="3"/>
  <c r="I1705" i="3"/>
  <c r="A1701" i="4"/>
  <c r="B1701" i="4" s="1"/>
  <c r="C1701" i="4" s="1"/>
  <c r="D1701" i="4" s="1"/>
  <c r="Q1706" i="3"/>
  <c r="O1706" i="3"/>
  <c r="M1706" i="3"/>
  <c r="K1706" i="3"/>
  <c r="I1706" i="3"/>
  <c r="P1706" i="3"/>
  <c r="N1706" i="3"/>
  <c r="L1706" i="3"/>
  <c r="J1706" i="3"/>
  <c r="H1706" i="3"/>
  <c r="P1707" i="3"/>
  <c r="N1707" i="3"/>
  <c r="L1707" i="3"/>
  <c r="J1707" i="3"/>
  <c r="H1707" i="3"/>
  <c r="Q1707" i="3"/>
  <c r="O1707" i="3"/>
  <c r="M1707" i="3"/>
  <c r="K1707" i="3"/>
  <c r="I1707" i="3"/>
  <c r="A1703" i="4"/>
  <c r="B1703" i="4" s="1"/>
  <c r="C1703" i="4" s="1"/>
  <c r="D1703" i="4" s="1"/>
  <c r="Q1708" i="3"/>
  <c r="O1708" i="3"/>
  <c r="M1708" i="3"/>
  <c r="K1708" i="3"/>
  <c r="I1708" i="3"/>
  <c r="P1708" i="3"/>
  <c r="N1708" i="3"/>
  <c r="L1708" i="3"/>
  <c r="J1708" i="3"/>
  <c r="H1708" i="3"/>
  <c r="P1709" i="3"/>
  <c r="N1709" i="3"/>
  <c r="L1709" i="3"/>
  <c r="J1709" i="3"/>
  <c r="H1709" i="3"/>
  <c r="Q1709" i="3"/>
  <c r="O1709" i="3"/>
  <c r="M1709" i="3"/>
  <c r="K1709" i="3"/>
  <c r="I1709" i="3"/>
  <c r="A1705" i="4"/>
  <c r="B1705" i="4" s="1"/>
  <c r="C1705" i="4" s="1"/>
  <c r="D1705" i="4" s="1"/>
  <c r="Q1710" i="3"/>
  <c r="O1710" i="3"/>
  <c r="M1710" i="3"/>
  <c r="K1710" i="3"/>
  <c r="I1710" i="3"/>
  <c r="P1710" i="3"/>
  <c r="N1710" i="3"/>
  <c r="L1710" i="3"/>
  <c r="J1710" i="3"/>
  <c r="H1710" i="3"/>
  <c r="P1711" i="3"/>
  <c r="N1711" i="3"/>
  <c r="L1711" i="3"/>
  <c r="J1711" i="3"/>
  <c r="H1711" i="3"/>
  <c r="Q1711" i="3"/>
  <c r="O1711" i="3"/>
  <c r="M1711" i="3"/>
  <c r="K1711" i="3"/>
  <c r="I1711" i="3"/>
  <c r="A1707" i="4"/>
  <c r="B1707" i="4" s="1"/>
  <c r="C1707" i="4" s="1"/>
  <c r="D1707" i="4" s="1"/>
  <c r="Q1712" i="3"/>
  <c r="O1712" i="3"/>
  <c r="M1712" i="3"/>
  <c r="K1712" i="3"/>
  <c r="I1712" i="3"/>
  <c r="P1712" i="3"/>
  <c r="N1712" i="3"/>
  <c r="L1712" i="3"/>
  <c r="J1712" i="3"/>
  <c r="H1712" i="3"/>
  <c r="P1713" i="3"/>
  <c r="N1713" i="3"/>
  <c r="L1713" i="3"/>
  <c r="J1713" i="3"/>
  <c r="H1713" i="3"/>
  <c r="Q1713" i="3"/>
  <c r="O1713" i="3"/>
  <c r="M1713" i="3"/>
  <c r="K1713" i="3"/>
  <c r="I1713" i="3"/>
  <c r="A1709" i="4"/>
  <c r="B1709" i="4" s="1"/>
  <c r="C1709" i="4" s="1"/>
  <c r="D1709" i="4" s="1"/>
  <c r="Q1714" i="3"/>
  <c r="O1714" i="3"/>
  <c r="M1714" i="3"/>
  <c r="K1714" i="3"/>
  <c r="I1714" i="3"/>
  <c r="P1714" i="3"/>
  <c r="N1714" i="3"/>
  <c r="L1714" i="3"/>
  <c r="J1714" i="3"/>
  <c r="H1714" i="3"/>
  <c r="P1715" i="3"/>
  <c r="N1715" i="3"/>
  <c r="L1715" i="3"/>
  <c r="J1715" i="3"/>
  <c r="H1715" i="3"/>
  <c r="Q1715" i="3"/>
  <c r="O1715" i="3"/>
  <c r="M1715" i="3"/>
  <c r="K1715" i="3"/>
  <c r="I1715" i="3"/>
  <c r="A1711" i="4"/>
  <c r="B1711" i="4" s="1"/>
  <c r="C1711" i="4" s="1"/>
  <c r="D1711" i="4" s="1"/>
  <c r="Q1716" i="3"/>
  <c r="O1716" i="3"/>
  <c r="M1716" i="3"/>
  <c r="K1716" i="3"/>
  <c r="I1716" i="3"/>
  <c r="P1716" i="3"/>
  <c r="N1716" i="3"/>
  <c r="L1716" i="3"/>
  <c r="J1716" i="3"/>
  <c r="H1716" i="3"/>
  <c r="P1717" i="3"/>
  <c r="N1717" i="3"/>
  <c r="L1717" i="3"/>
  <c r="J1717" i="3"/>
  <c r="H1717" i="3"/>
  <c r="Q1717" i="3"/>
  <c r="O1717" i="3"/>
  <c r="M1717" i="3"/>
  <c r="K1717" i="3"/>
  <c r="I1717" i="3"/>
  <c r="A1713" i="4"/>
  <c r="B1713" i="4" s="1"/>
  <c r="C1713" i="4" s="1"/>
  <c r="D1713" i="4" s="1"/>
  <c r="Q1718" i="3"/>
  <c r="O1718" i="3"/>
  <c r="M1718" i="3"/>
  <c r="K1718" i="3"/>
  <c r="I1718" i="3"/>
  <c r="P1718" i="3"/>
  <c r="N1718" i="3"/>
  <c r="L1718" i="3"/>
  <c r="J1718" i="3"/>
  <c r="H1718" i="3"/>
  <c r="P1719" i="3"/>
  <c r="N1719" i="3"/>
  <c r="L1719" i="3"/>
  <c r="J1719" i="3"/>
  <c r="H1719" i="3"/>
  <c r="Q1719" i="3"/>
  <c r="O1719" i="3"/>
  <c r="M1719" i="3"/>
  <c r="K1719" i="3"/>
  <c r="I1719" i="3"/>
  <c r="A1715" i="4"/>
  <c r="B1715" i="4" s="1"/>
  <c r="C1715" i="4" s="1"/>
  <c r="D1715" i="4" s="1"/>
  <c r="Q1720" i="3"/>
  <c r="O1720" i="3"/>
  <c r="M1720" i="3"/>
  <c r="K1720" i="3"/>
  <c r="I1720" i="3"/>
  <c r="P1720" i="3"/>
  <c r="N1720" i="3"/>
  <c r="L1720" i="3"/>
  <c r="J1720" i="3"/>
  <c r="H1720" i="3"/>
  <c r="P1721" i="3"/>
  <c r="N1721" i="3"/>
  <c r="L1721" i="3"/>
  <c r="J1721" i="3"/>
  <c r="H1721" i="3"/>
  <c r="Q1721" i="3"/>
  <c r="O1721" i="3"/>
  <c r="M1721" i="3"/>
  <c r="K1721" i="3"/>
  <c r="I1721" i="3"/>
  <c r="A1717" i="4"/>
  <c r="B1717" i="4" s="1"/>
  <c r="C1717" i="4" s="1"/>
  <c r="D1717" i="4" s="1"/>
  <c r="Q1722" i="3"/>
  <c r="O1722" i="3"/>
  <c r="M1722" i="3"/>
  <c r="K1722" i="3"/>
  <c r="I1722" i="3"/>
  <c r="P1722" i="3"/>
  <c r="N1722" i="3"/>
  <c r="L1722" i="3"/>
  <c r="J1722" i="3"/>
  <c r="H1722" i="3"/>
  <c r="P1723" i="3"/>
  <c r="N1723" i="3"/>
  <c r="L1723" i="3"/>
  <c r="J1723" i="3"/>
  <c r="H1723" i="3"/>
  <c r="Q1723" i="3"/>
  <c r="O1723" i="3"/>
  <c r="M1723" i="3"/>
  <c r="K1723" i="3"/>
  <c r="I1723" i="3"/>
  <c r="A1719" i="4"/>
  <c r="B1719" i="4" s="1"/>
  <c r="C1719" i="4" s="1"/>
  <c r="D1719" i="4" s="1"/>
  <c r="Q1724" i="3"/>
  <c r="O1724" i="3"/>
  <c r="M1724" i="3"/>
  <c r="K1724" i="3"/>
  <c r="I1724" i="3"/>
  <c r="P1724" i="3"/>
  <c r="N1724" i="3"/>
  <c r="L1724" i="3"/>
  <c r="J1724" i="3"/>
  <c r="H1724" i="3"/>
  <c r="P1725" i="3"/>
  <c r="N1725" i="3"/>
  <c r="L1725" i="3"/>
  <c r="J1725" i="3"/>
  <c r="H1725" i="3"/>
  <c r="Q1725" i="3"/>
  <c r="O1725" i="3"/>
  <c r="M1725" i="3"/>
  <c r="K1725" i="3"/>
  <c r="I1725" i="3"/>
  <c r="A1721" i="4"/>
  <c r="B1721" i="4" s="1"/>
  <c r="C1721" i="4" s="1"/>
  <c r="D1721" i="4" s="1"/>
  <c r="Q1726" i="3"/>
  <c r="O1726" i="3"/>
  <c r="M1726" i="3"/>
  <c r="K1726" i="3"/>
  <c r="I1726" i="3"/>
  <c r="P1726" i="3"/>
  <c r="N1726" i="3"/>
  <c r="L1726" i="3"/>
  <c r="J1726" i="3"/>
  <c r="H1726" i="3"/>
  <c r="P1727" i="3"/>
  <c r="N1727" i="3"/>
  <c r="L1727" i="3"/>
  <c r="J1727" i="3"/>
  <c r="H1727" i="3"/>
  <c r="Q1727" i="3"/>
  <c r="O1727" i="3"/>
  <c r="M1727" i="3"/>
  <c r="K1727" i="3"/>
  <c r="I1727" i="3"/>
  <c r="A1723" i="4"/>
  <c r="B1723" i="4" s="1"/>
  <c r="C1723" i="4" s="1"/>
  <c r="D1723" i="4" s="1"/>
  <c r="Q1728" i="3"/>
  <c r="O1728" i="3"/>
  <c r="M1728" i="3"/>
  <c r="K1728" i="3"/>
  <c r="I1728" i="3"/>
  <c r="P1728" i="3"/>
  <c r="N1728" i="3"/>
  <c r="L1728" i="3"/>
  <c r="J1728" i="3"/>
  <c r="H1728" i="3"/>
  <c r="P1729" i="3"/>
  <c r="N1729" i="3"/>
  <c r="L1729" i="3"/>
  <c r="J1729" i="3"/>
  <c r="H1729" i="3"/>
  <c r="Q1729" i="3"/>
  <c r="O1729" i="3"/>
  <c r="M1729" i="3"/>
  <c r="K1729" i="3"/>
  <c r="I1729" i="3"/>
  <c r="A1725" i="4"/>
  <c r="B1725" i="4" s="1"/>
  <c r="C1725" i="4" s="1"/>
  <c r="D1725" i="4" s="1"/>
  <c r="Q1730" i="3"/>
  <c r="O1730" i="3"/>
  <c r="M1730" i="3"/>
  <c r="K1730" i="3"/>
  <c r="I1730" i="3"/>
  <c r="P1730" i="3"/>
  <c r="N1730" i="3"/>
  <c r="L1730" i="3"/>
  <c r="J1730" i="3"/>
  <c r="H1730" i="3"/>
  <c r="P1731" i="3"/>
  <c r="N1731" i="3"/>
  <c r="L1731" i="3"/>
  <c r="J1731" i="3"/>
  <c r="H1731" i="3"/>
  <c r="Q1731" i="3"/>
  <c r="O1731" i="3"/>
  <c r="M1731" i="3"/>
  <c r="K1731" i="3"/>
  <c r="I1731" i="3"/>
  <c r="A1727" i="4"/>
  <c r="B1727" i="4" s="1"/>
  <c r="C1727" i="4" s="1"/>
  <c r="D1727" i="4" s="1"/>
  <c r="Q1732" i="3"/>
  <c r="O1732" i="3"/>
  <c r="M1732" i="3"/>
  <c r="K1732" i="3"/>
  <c r="I1732" i="3"/>
  <c r="P1732" i="3"/>
  <c r="N1732" i="3"/>
  <c r="L1732" i="3"/>
  <c r="J1732" i="3"/>
  <c r="H1732" i="3"/>
  <c r="P1733" i="3"/>
  <c r="N1733" i="3"/>
  <c r="L1733" i="3"/>
  <c r="J1733" i="3"/>
  <c r="H1733" i="3"/>
  <c r="Q1733" i="3"/>
  <c r="O1733" i="3"/>
  <c r="M1733" i="3"/>
  <c r="K1733" i="3"/>
  <c r="I1733" i="3"/>
  <c r="A1729" i="4"/>
  <c r="B1729" i="4" s="1"/>
  <c r="C1729" i="4" s="1"/>
  <c r="D1729" i="4" s="1"/>
  <c r="Q1734" i="3"/>
  <c r="O1734" i="3"/>
  <c r="M1734" i="3"/>
  <c r="K1734" i="3"/>
  <c r="I1734" i="3"/>
  <c r="P1734" i="3"/>
  <c r="N1734" i="3"/>
  <c r="L1734" i="3"/>
  <c r="J1734" i="3"/>
  <c r="H1734" i="3"/>
  <c r="P1735" i="3"/>
  <c r="N1735" i="3"/>
  <c r="L1735" i="3"/>
  <c r="J1735" i="3"/>
  <c r="H1735" i="3"/>
  <c r="Q1735" i="3"/>
  <c r="O1735" i="3"/>
  <c r="M1735" i="3"/>
  <c r="K1735" i="3"/>
  <c r="I1735" i="3"/>
  <c r="A1731" i="4"/>
  <c r="B1731" i="4" s="1"/>
  <c r="C1731" i="4" s="1"/>
  <c r="D1731" i="4" s="1"/>
  <c r="Q1736" i="3"/>
  <c r="O1736" i="3"/>
  <c r="M1736" i="3"/>
  <c r="K1736" i="3"/>
  <c r="I1736" i="3"/>
  <c r="P1736" i="3"/>
  <c r="N1736" i="3"/>
  <c r="L1736" i="3"/>
  <c r="J1736" i="3"/>
  <c r="H1736" i="3"/>
  <c r="P1737" i="3"/>
  <c r="N1737" i="3"/>
  <c r="L1737" i="3"/>
  <c r="J1737" i="3"/>
  <c r="H1737" i="3"/>
  <c r="Q1737" i="3"/>
  <c r="O1737" i="3"/>
  <c r="M1737" i="3"/>
  <c r="K1737" i="3"/>
  <c r="I1737" i="3"/>
  <c r="A1733" i="4"/>
  <c r="B1733" i="4" s="1"/>
  <c r="C1733" i="4" s="1"/>
  <c r="D1733" i="4" s="1"/>
  <c r="Q1738" i="3"/>
  <c r="O1738" i="3"/>
  <c r="M1738" i="3"/>
  <c r="K1738" i="3"/>
  <c r="I1738" i="3"/>
  <c r="P1738" i="3"/>
  <c r="N1738" i="3"/>
  <c r="L1738" i="3"/>
  <c r="J1738" i="3"/>
  <c r="H1738" i="3"/>
  <c r="P1739" i="3"/>
  <c r="N1739" i="3"/>
  <c r="L1739" i="3"/>
  <c r="J1739" i="3"/>
  <c r="H1739" i="3"/>
  <c r="Q1739" i="3"/>
  <c r="O1739" i="3"/>
  <c r="M1739" i="3"/>
  <c r="K1739" i="3"/>
  <c r="I1739" i="3"/>
  <c r="A1735" i="4"/>
  <c r="B1735" i="4" s="1"/>
  <c r="C1735" i="4" s="1"/>
  <c r="D1735" i="4" s="1"/>
  <c r="Q1740" i="3"/>
  <c r="O1740" i="3"/>
  <c r="M1740" i="3"/>
  <c r="K1740" i="3"/>
  <c r="I1740" i="3"/>
  <c r="P1740" i="3"/>
  <c r="N1740" i="3"/>
  <c r="L1740" i="3"/>
  <c r="J1740" i="3"/>
  <c r="H1740" i="3"/>
  <c r="P1741" i="3"/>
  <c r="N1741" i="3"/>
  <c r="L1741" i="3"/>
  <c r="J1741" i="3"/>
  <c r="H1741" i="3"/>
  <c r="Q1741" i="3"/>
  <c r="O1741" i="3"/>
  <c r="M1741" i="3"/>
  <c r="K1741" i="3"/>
  <c r="I1741" i="3"/>
  <c r="A1737" i="4"/>
  <c r="B1737" i="4" s="1"/>
  <c r="C1737" i="4" s="1"/>
  <c r="D1737" i="4" s="1"/>
  <c r="Q1742" i="3"/>
  <c r="O1742" i="3"/>
  <c r="M1742" i="3"/>
  <c r="K1742" i="3"/>
  <c r="I1742" i="3"/>
  <c r="P1742" i="3"/>
  <c r="N1742" i="3"/>
  <c r="L1742" i="3"/>
  <c r="J1742" i="3"/>
  <c r="H1742" i="3"/>
  <c r="P1743" i="3"/>
  <c r="N1743" i="3"/>
  <c r="L1743" i="3"/>
  <c r="J1743" i="3"/>
  <c r="H1743" i="3"/>
  <c r="Q1743" i="3"/>
  <c r="O1743" i="3"/>
  <c r="M1743" i="3"/>
  <c r="K1743" i="3"/>
  <c r="I1743" i="3"/>
  <c r="A1739" i="4"/>
  <c r="B1739" i="4" s="1"/>
  <c r="C1739" i="4" s="1"/>
  <c r="D1739" i="4" s="1"/>
  <c r="Q1744" i="3"/>
  <c r="O1744" i="3"/>
  <c r="M1744" i="3"/>
  <c r="K1744" i="3"/>
  <c r="I1744" i="3"/>
  <c r="P1744" i="3"/>
  <c r="N1744" i="3"/>
  <c r="L1744" i="3"/>
  <c r="J1744" i="3"/>
  <c r="H1744" i="3"/>
  <c r="P1745" i="3"/>
  <c r="N1745" i="3"/>
  <c r="L1745" i="3"/>
  <c r="J1745" i="3"/>
  <c r="H1745" i="3"/>
  <c r="Q1745" i="3"/>
  <c r="O1745" i="3"/>
  <c r="M1745" i="3"/>
  <c r="K1745" i="3"/>
  <c r="I1745" i="3"/>
  <c r="A1741" i="4"/>
  <c r="B1741" i="4" s="1"/>
  <c r="C1741" i="4" s="1"/>
  <c r="D1741" i="4" s="1"/>
  <c r="Q1746" i="3"/>
  <c r="O1746" i="3"/>
  <c r="M1746" i="3"/>
  <c r="K1746" i="3"/>
  <c r="I1746" i="3"/>
  <c r="P1746" i="3"/>
  <c r="N1746" i="3"/>
  <c r="L1746" i="3"/>
  <c r="J1746" i="3"/>
  <c r="H1746" i="3"/>
  <c r="P1747" i="3"/>
  <c r="N1747" i="3"/>
  <c r="L1747" i="3"/>
  <c r="J1747" i="3"/>
  <c r="H1747" i="3"/>
  <c r="Q1747" i="3"/>
  <c r="O1747" i="3"/>
  <c r="M1747" i="3"/>
  <c r="K1747" i="3"/>
  <c r="I1747" i="3"/>
  <c r="A1743" i="4"/>
  <c r="B1743" i="4" s="1"/>
  <c r="C1743" i="4" s="1"/>
  <c r="D1743" i="4" s="1"/>
  <c r="Q1748" i="3"/>
  <c r="O1748" i="3"/>
  <c r="M1748" i="3"/>
  <c r="K1748" i="3"/>
  <c r="I1748" i="3"/>
  <c r="P1748" i="3"/>
  <c r="N1748" i="3"/>
  <c r="L1748" i="3"/>
  <c r="J1748" i="3"/>
  <c r="H1748" i="3"/>
  <c r="P1749" i="3"/>
  <c r="N1749" i="3"/>
  <c r="L1749" i="3"/>
  <c r="J1749" i="3"/>
  <c r="H1749" i="3"/>
  <c r="Q1749" i="3"/>
  <c r="O1749" i="3"/>
  <c r="M1749" i="3"/>
  <c r="K1749" i="3"/>
  <c r="I1749" i="3"/>
  <c r="A1745" i="4"/>
  <c r="B1745" i="4" s="1"/>
  <c r="C1745" i="4" s="1"/>
  <c r="D1745" i="4" s="1"/>
  <c r="Q1750" i="3"/>
  <c r="O1750" i="3"/>
  <c r="M1750" i="3"/>
  <c r="K1750" i="3"/>
  <c r="I1750" i="3"/>
  <c r="P1750" i="3"/>
  <c r="N1750" i="3"/>
  <c r="L1750" i="3"/>
  <c r="J1750" i="3"/>
  <c r="H1750" i="3"/>
  <c r="P1751" i="3"/>
  <c r="N1751" i="3"/>
  <c r="L1751" i="3"/>
  <c r="J1751" i="3"/>
  <c r="H1751" i="3"/>
  <c r="Q1751" i="3"/>
  <c r="O1751" i="3"/>
  <c r="M1751" i="3"/>
  <c r="K1751" i="3"/>
  <c r="I1751" i="3"/>
  <c r="A1747" i="4"/>
  <c r="B1747" i="4" s="1"/>
  <c r="C1747" i="4" s="1"/>
  <c r="D1747" i="4" s="1"/>
  <c r="Q1752" i="3"/>
  <c r="O1752" i="3"/>
  <c r="M1752" i="3"/>
  <c r="K1752" i="3"/>
  <c r="I1752" i="3"/>
  <c r="P1752" i="3"/>
  <c r="N1752" i="3"/>
  <c r="L1752" i="3"/>
  <c r="J1752" i="3"/>
  <c r="H1752" i="3"/>
  <c r="P1753" i="3"/>
  <c r="N1753" i="3"/>
  <c r="L1753" i="3"/>
  <c r="J1753" i="3"/>
  <c r="H1753" i="3"/>
  <c r="Q1753" i="3"/>
  <c r="O1753" i="3"/>
  <c r="M1753" i="3"/>
  <c r="K1753" i="3"/>
  <c r="I1753" i="3"/>
  <c r="A1749" i="4"/>
  <c r="B1749" i="4" s="1"/>
  <c r="C1749" i="4" s="1"/>
  <c r="D1749" i="4" s="1"/>
  <c r="Q1754" i="3"/>
  <c r="O1754" i="3"/>
  <c r="M1754" i="3"/>
  <c r="K1754" i="3"/>
  <c r="I1754" i="3"/>
  <c r="P1754" i="3"/>
  <c r="N1754" i="3"/>
  <c r="L1754" i="3"/>
  <c r="J1754" i="3"/>
  <c r="H1754" i="3"/>
  <c r="P1755" i="3"/>
  <c r="N1755" i="3"/>
  <c r="L1755" i="3"/>
  <c r="J1755" i="3"/>
  <c r="H1755" i="3"/>
  <c r="Q1755" i="3"/>
  <c r="O1755" i="3"/>
  <c r="M1755" i="3"/>
  <c r="K1755" i="3"/>
  <c r="I1755" i="3"/>
  <c r="A1751" i="4"/>
  <c r="B1751" i="4" s="1"/>
  <c r="C1751" i="4" s="1"/>
  <c r="D1751" i="4" s="1"/>
  <c r="Q1756" i="3"/>
  <c r="O1756" i="3"/>
  <c r="M1756" i="3"/>
  <c r="K1756" i="3"/>
  <c r="I1756" i="3"/>
  <c r="P1756" i="3"/>
  <c r="N1756" i="3"/>
  <c r="L1756" i="3"/>
  <c r="J1756" i="3"/>
  <c r="H1756" i="3"/>
  <c r="P1757" i="3"/>
  <c r="N1757" i="3"/>
  <c r="L1757" i="3"/>
  <c r="J1757" i="3"/>
  <c r="H1757" i="3"/>
  <c r="Q1757" i="3"/>
  <c r="O1757" i="3"/>
  <c r="M1757" i="3"/>
  <c r="K1757" i="3"/>
  <c r="I1757" i="3"/>
  <c r="A1753" i="4"/>
  <c r="B1753" i="4" s="1"/>
  <c r="C1753" i="4" s="1"/>
  <c r="D1753" i="4" s="1"/>
  <c r="Q1758" i="3"/>
  <c r="O1758" i="3"/>
  <c r="M1758" i="3"/>
  <c r="K1758" i="3"/>
  <c r="I1758" i="3"/>
  <c r="P1758" i="3"/>
  <c r="N1758" i="3"/>
  <c r="L1758" i="3"/>
  <c r="J1758" i="3"/>
  <c r="H1758" i="3"/>
  <c r="P1759" i="3"/>
  <c r="N1759" i="3"/>
  <c r="L1759" i="3"/>
  <c r="J1759" i="3"/>
  <c r="H1759" i="3"/>
  <c r="Q1759" i="3"/>
  <c r="O1759" i="3"/>
  <c r="M1759" i="3"/>
  <c r="K1759" i="3"/>
  <c r="I1759" i="3"/>
  <c r="A1755" i="4"/>
  <c r="B1755" i="4" s="1"/>
  <c r="C1755" i="4" s="1"/>
  <c r="D1755" i="4" s="1"/>
  <c r="Q1760" i="3"/>
  <c r="O1760" i="3"/>
  <c r="M1760" i="3"/>
  <c r="K1760" i="3"/>
  <c r="I1760" i="3"/>
  <c r="P1760" i="3"/>
  <c r="N1760" i="3"/>
  <c r="L1760" i="3"/>
  <c r="J1760" i="3"/>
  <c r="H1760" i="3"/>
  <c r="P1761" i="3"/>
  <c r="N1761" i="3"/>
  <c r="L1761" i="3"/>
  <c r="J1761" i="3"/>
  <c r="H1761" i="3"/>
  <c r="Q1761" i="3"/>
  <c r="O1761" i="3"/>
  <c r="M1761" i="3"/>
  <c r="K1761" i="3"/>
  <c r="I1761" i="3"/>
  <c r="A1757" i="4"/>
  <c r="B1757" i="4" s="1"/>
  <c r="C1757" i="4" s="1"/>
  <c r="D1757" i="4" s="1"/>
  <c r="Q1762" i="3"/>
  <c r="O1762" i="3"/>
  <c r="M1762" i="3"/>
  <c r="K1762" i="3"/>
  <c r="I1762" i="3"/>
  <c r="P1762" i="3"/>
  <c r="N1762" i="3"/>
  <c r="L1762" i="3"/>
  <c r="J1762" i="3"/>
  <c r="H1762" i="3"/>
  <c r="P1763" i="3"/>
  <c r="N1763" i="3"/>
  <c r="L1763" i="3"/>
  <c r="J1763" i="3"/>
  <c r="H1763" i="3"/>
  <c r="Q1763" i="3"/>
  <c r="O1763" i="3"/>
  <c r="M1763" i="3"/>
  <c r="K1763" i="3"/>
  <c r="I1763" i="3"/>
  <c r="A1759" i="4"/>
  <c r="B1759" i="4" s="1"/>
  <c r="C1759" i="4" s="1"/>
  <c r="D1759" i="4" s="1"/>
  <c r="Q1764" i="3"/>
  <c r="O1764" i="3"/>
  <c r="M1764" i="3"/>
  <c r="K1764" i="3"/>
  <c r="I1764" i="3"/>
  <c r="P1764" i="3"/>
  <c r="N1764" i="3"/>
  <c r="L1764" i="3"/>
  <c r="J1764" i="3"/>
  <c r="H1764" i="3"/>
  <c r="P1765" i="3"/>
  <c r="N1765" i="3"/>
  <c r="L1765" i="3"/>
  <c r="J1765" i="3"/>
  <c r="H1765" i="3"/>
  <c r="Q1765" i="3"/>
  <c r="O1765" i="3"/>
  <c r="M1765" i="3"/>
  <c r="K1765" i="3"/>
  <c r="I1765" i="3"/>
  <c r="A1761" i="4"/>
  <c r="B1761" i="4" s="1"/>
  <c r="C1761" i="4" s="1"/>
  <c r="D1761" i="4" s="1"/>
  <c r="Q1766" i="3"/>
  <c r="O1766" i="3"/>
  <c r="M1766" i="3"/>
  <c r="K1766" i="3"/>
  <c r="I1766" i="3"/>
  <c r="P1766" i="3"/>
  <c r="N1766" i="3"/>
  <c r="L1766" i="3"/>
  <c r="J1766" i="3"/>
  <c r="H1766" i="3"/>
  <c r="P1767" i="3"/>
  <c r="N1767" i="3"/>
  <c r="L1767" i="3"/>
  <c r="J1767" i="3"/>
  <c r="H1767" i="3"/>
  <c r="Q1767" i="3"/>
  <c r="O1767" i="3"/>
  <c r="M1767" i="3"/>
  <c r="K1767" i="3"/>
  <c r="I1767" i="3"/>
  <c r="A1763" i="4"/>
  <c r="B1763" i="4" s="1"/>
  <c r="C1763" i="4" s="1"/>
  <c r="D1763" i="4" s="1"/>
  <c r="Q1768" i="3"/>
  <c r="O1768" i="3"/>
  <c r="M1768" i="3"/>
  <c r="K1768" i="3"/>
  <c r="I1768" i="3"/>
  <c r="P1768" i="3"/>
  <c r="N1768" i="3"/>
  <c r="L1768" i="3"/>
  <c r="J1768" i="3"/>
  <c r="H1768" i="3"/>
  <c r="P1769" i="3"/>
  <c r="N1769" i="3"/>
  <c r="L1769" i="3"/>
  <c r="J1769" i="3"/>
  <c r="H1769" i="3"/>
  <c r="Q1769" i="3"/>
  <c r="O1769" i="3"/>
  <c r="M1769" i="3"/>
  <c r="K1769" i="3"/>
  <c r="I1769" i="3"/>
  <c r="A1765" i="4"/>
  <c r="B1765" i="4" s="1"/>
  <c r="C1765" i="4" s="1"/>
  <c r="D1765" i="4" s="1"/>
  <c r="Q1770" i="3"/>
  <c r="O1770" i="3"/>
  <c r="M1770" i="3"/>
  <c r="K1770" i="3"/>
  <c r="I1770" i="3"/>
  <c r="P1770" i="3"/>
  <c r="N1770" i="3"/>
  <c r="L1770" i="3"/>
  <c r="J1770" i="3"/>
  <c r="H1770" i="3"/>
  <c r="P1771" i="3"/>
  <c r="N1771" i="3"/>
  <c r="L1771" i="3"/>
  <c r="J1771" i="3"/>
  <c r="H1771" i="3"/>
  <c r="Q1771" i="3"/>
  <c r="O1771" i="3"/>
  <c r="M1771" i="3"/>
  <c r="K1771" i="3"/>
  <c r="I1771" i="3"/>
  <c r="A1767" i="4"/>
  <c r="B1767" i="4" s="1"/>
  <c r="C1767" i="4" s="1"/>
  <c r="D1767" i="4" s="1"/>
  <c r="Q1772" i="3"/>
  <c r="O1772" i="3"/>
  <c r="M1772" i="3"/>
  <c r="K1772" i="3"/>
  <c r="I1772" i="3"/>
  <c r="P1772" i="3"/>
  <c r="N1772" i="3"/>
  <c r="L1772" i="3"/>
  <c r="J1772" i="3"/>
  <c r="H1772" i="3"/>
  <c r="P1773" i="3"/>
  <c r="N1773" i="3"/>
  <c r="L1773" i="3"/>
  <c r="J1773" i="3"/>
  <c r="H1773" i="3"/>
  <c r="Q1773" i="3"/>
  <c r="O1773" i="3"/>
  <c r="M1773" i="3"/>
  <c r="K1773" i="3"/>
  <c r="I1773" i="3"/>
  <c r="A1769" i="4"/>
  <c r="B1769" i="4" s="1"/>
  <c r="C1769" i="4" s="1"/>
  <c r="D1769" i="4" s="1"/>
  <c r="Q1774" i="3"/>
  <c r="O1774" i="3"/>
  <c r="M1774" i="3"/>
  <c r="K1774" i="3"/>
  <c r="I1774" i="3"/>
  <c r="P1774" i="3"/>
  <c r="N1774" i="3"/>
  <c r="L1774" i="3"/>
  <c r="J1774" i="3"/>
  <c r="H1774" i="3"/>
  <c r="P1775" i="3"/>
  <c r="N1775" i="3"/>
  <c r="L1775" i="3"/>
  <c r="J1775" i="3"/>
  <c r="H1775" i="3"/>
  <c r="Q1775" i="3"/>
  <c r="O1775" i="3"/>
  <c r="M1775" i="3"/>
  <c r="K1775" i="3"/>
  <c r="I1775" i="3"/>
  <c r="A1771" i="4"/>
  <c r="B1771" i="4" s="1"/>
  <c r="C1771" i="4" s="1"/>
  <c r="D1771" i="4" s="1"/>
  <c r="Q1776" i="3"/>
  <c r="O1776" i="3"/>
  <c r="M1776" i="3"/>
  <c r="K1776" i="3"/>
  <c r="I1776" i="3"/>
  <c r="P1776" i="3"/>
  <c r="N1776" i="3"/>
  <c r="L1776" i="3"/>
  <c r="J1776" i="3"/>
  <c r="H1776" i="3"/>
  <c r="P1777" i="3"/>
  <c r="N1777" i="3"/>
  <c r="L1777" i="3"/>
  <c r="J1777" i="3"/>
  <c r="H1777" i="3"/>
  <c r="Q1777" i="3"/>
  <c r="O1777" i="3"/>
  <c r="M1777" i="3"/>
  <c r="K1777" i="3"/>
  <c r="I1777" i="3"/>
  <c r="A1773" i="4"/>
  <c r="B1773" i="4" s="1"/>
  <c r="C1773" i="4" s="1"/>
  <c r="D1773" i="4" s="1"/>
  <c r="Q1778" i="3"/>
  <c r="O1778" i="3"/>
  <c r="M1778" i="3"/>
  <c r="K1778" i="3"/>
  <c r="I1778" i="3"/>
  <c r="P1778" i="3"/>
  <c r="N1778" i="3"/>
  <c r="L1778" i="3"/>
  <c r="J1778" i="3"/>
  <c r="H1778" i="3"/>
  <c r="P1779" i="3"/>
  <c r="N1779" i="3"/>
  <c r="L1779" i="3"/>
  <c r="J1779" i="3"/>
  <c r="H1779" i="3"/>
  <c r="Q1779" i="3"/>
  <c r="O1779" i="3"/>
  <c r="M1779" i="3"/>
  <c r="K1779" i="3"/>
  <c r="I1779" i="3"/>
  <c r="A1775" i="4"/>
  <c r="B1775" i="4" s="1"/>
  <c r="C1775" i="4" s="1"/>
  <c r="D1775" i="4" s="1"/>
  <c r="Q1780" i="3"/>
  <c r="O1780" i="3"/>
  <c r="M1780" i="3"/>
  <c r="K1780" i="3"/>
  <c r="I1780" i="3"/>
  <c r="P1780" i="3"/>
  <c r="N1780" i="3"/>
  <c r="L1780" i="3"/>
  <c r="J1780" i="3"/>
  <c r="H1780" i="3"/>
  <c r="P1781" i="3"/>
  <c r="N1781" i="3"/>
  <c r="L1781" i="3"/>
  <c r="J1781" i="3"/>
  <c r="H1781" i="3"/>
  <c r="Q1781" i="3"/>
  <c r="O1781" i="3"/>
  <c r="M1781" i="3"/>
  <c r="K1781" i="3"/>
  <c r="I1781" i="3"/>
  <c r="A1777" i="4"/>
  <c r="B1777" i="4" s="1"/>
  <c r="C1777" i="4" s="1"/>
  <c r="D1777" i="4" s="1"/>
  <c r="Q1782" i="3"/>
  <c r="O1782" i="3"/>
  <c r="M1782" i="3"/>
  <c r="K1782" i="3"/>
  <c r="I1782" i="3"/>
  <c r="P1782" i="3"/>
  <c r="N1782" i="3"/>
  <c r="L1782" i="3"/>
  <c r="J1782" i="3"/>
  <c r="H1782" i="3"/>
  <c r="P1783" i="3"/>
  <c r="N1783" i="3"/>
  <c r="L1783" i="3"/>
  <c r="J1783" i="3"/>
  <c r="H1783" i="3"/>
  <c r="Q1783" i="3"/>
  <c r="O1783" i="3"/>
  <c r="M1783" i="3"/>
  <c r="K1783" i="3"/>
  <c r="I1783" i="3"/>
  <c r="A1779" i="4"/>
  <c r="B1779" i="4" s="1"/>
  <c r="C1779" i="4" s="1"/>
  <c r="D1779" i="4" s="1"/>
  <c r="Q1784" i="3"/>
  <c r="O1784" i="3"/>
  <c r="M1784" i="3"/>
  <c r="K1784" i="3"/>
  <c r="I1784" i="3"/>
  <c r="P1784" i="3"/>
  <c r="N1784" i="3"/>
  <c r="L1784" i="3"/>
  <c r="J1784" i="3"/>
  <c r="H1784" i="3"/>
  <c r="P1785" i="3"/>
  <c r="N1785" i="3"/>
  <c r="L1785" i="3"/>
  <c r="J1785" i="3"/>
  <c r="H1785" i="3"/>
  <c r="Q1785" i="3"/>
  <c r="O1785" i="3"/>
  <c r="M1785" i="3"/>
  <c r="K1785" i="3"/>
  <c r="I1785" i="3"/>
  <c r="A1781" i="4"/>
  <c r="B1781" i="4" s="1"/>
  <c r="C1781" i="4" s="1"/>
  <c r="D1781" i="4" s="1"/>
  <c r="Q1786" i="3"/>
  <c r="O1786" i="3"/>
  <c r="M1786" i="3"/>
  <c r="K1786" i="3"/>
  <c r="I1786" i="3"/>
  <c r="P1786" i="3"/>
  <c r="N1786" i="3"/>
  <c r="L1786" i="3"/>
  <c r="J1786" i="3"/>
  <c r="H1786" i="3"/>
  <c r="P1787" i="3"/>
  <c r="N1787" i="3"/>
  <c r="L1787" i="3"/>
  <c r="J1787" i="3"/>
  <c r="H1787" i="3"/>
  <c r="Q1787" i="3"/>
  <c r="O1787" i="3"/>
  <c r="M1787" i="3"/>
  <c r="K1787" i="3"/>
  <c r="I1787" i="3"/>
  <c r="A1783" i="4"/>
  <c r="B1783" i="4" s="1"/>
  <c r="C1783" i="4" s="1"/>
  <c r="D1783" i="4" s="1"/>
  <c r="Q1788" i="3"/>
  <c r="O1788" i="3"/>
  <c r="M1788" i="3"/>
  <c r="K1788" i="3"/>
  <c r="I1788" i="3"/>
  <c r="P1788" i="3"/>
  <c r="N1788" i="3"/>
  <c r="L1788" i="3"/>
  <c r="J1788" i="3"/>
  <c r="H1788" i="3"/>
  <c r="P1789" i="3"/>
  <c r="N1789" i="3"/>
  <c r="L1789" i="3"/>
  <c r="J1789" i="3"/>
  <c r="H1789" i="3"/>
  <c r="Q1789" i="3"/>
  <c r="O1789" i="3"/>
  <c r="M1789" i="3"/>
  <c r="K1789" i="3"/>
  <c r="I1789" i="3"/>
  <c r="A1785" i="4"/>
  <c r="B1785" i="4" s="1"/>
  <c r="C1785" i="4" s="1"/>
  <c r="D1785" i="4" s="1"/>
  <c r="Q1790" i="3"/>
  <c r="O1790" i="3"/>
  <c r="M1790" i="3"/>
  <c r="K1790" i="3"/>
  <c r="I1790" i="3"/>
  <c r="P1790" i="3"/>
  <c r="N1790" i="3"/>
  <c r="L1790" i="3"/>
  <c r="J1790" i="3"/>
  <c r="H1790" i="3"/>
  <c r="P1791" i="3"/>
  <c r="N1791" i="3"/>
  <c r="L1791" i="3"/>
  <c r="J1791" i="3"/>
  <c r="H1791" i="3"/>
  <c r="Q1791" i="3"/>
  <c r="O1791" i="3"/>
  <c r="M1791" i="3"/>
  <c r="K1791" i="3"/>
  <c r="I1791" i="3"/>
  <c r="A1787" i="4"/>
  <c r="B1787" i="4" s="1"/>
  <c r="C1787" i="4" s="1"/>
  <c r="D1787" i="4" s="1"/>
  <c r="Q1792" i="3"/>
  <c r="O1792" i="3"/>
  <c r="M1792" i="3"/>
  <c r="K1792" i="3"/>
  <c r="I1792" i="3"/>
  <c r="P1792" i="3"/>
  <c r="N1792" i="3"/>
  <c r="L1792" i="3"/>
  <c r="J1792" i="3"/>
  <c r="H1792" i="3"/>
  <c r="P1793" i="3"/>
  <c r="N1793" i="3"/>
  <c r="L1793" i="3"/>
  <c r="J1793" i="3"/>
  <c r="H1793" i="3"/>
  <c r="Q1793" i="3"/>
  <c r="O1793" i="3"/>
  <c r="M1793" i="3"/>
  <c r="K1793" i="3"/>
  <c r="I1793" i="3"/>
  <c r="A1789" i="4"/>
  <c r="B1789" i="4" s="1"/>
  <c r="C1789" i="4" s="1"/>
  <c r="D1789" i="4" s="1"/>
  <c r="Q1794" i="3"/>
  <c r="O1794" i="3"/>
  <c r="M1794" i="3"/>
  <c r="K1794" i="3"/>
  <c r="I1794" i="3"/>
  <c r="P1794" i="3"/>
  <c r="N1794" i="3"/>
  <c r="L1794" i="3"/>
  <c r="J1794" i="3"/>
  <c r="H1794" i="3"/>
  <c r="P1795" i="3"/>
  <c r="N1795" i="3"/>
  <c r="L1795" i="3"/>
  <c r="J1795" i="3"/>
  <c r="H1795" i="3"/>
  <c r="Q1795" i="3"/>
  <c r="O1795" i="3"/>
  <c r="M1795" i="3"/>
  <c r="K1795" i="3"/>
  <c r="I1795" i="3"/>
  <c r="A1791" i="4"/>
  <c r="B1791" i="4" s="1"/>
  <c r="C1791" i="4" s="1"/>
  <c r="D1791" i="4" s="1"/>
  <c r="Q1796" i="3"/>
  <c r="O1796" i="3"/>
  <c r="M1796" i="3"/>
  <c r="K1796" i="3"/>
  <c r="I1796" i="3"/>
  <c r="P1796" i="3"/>
  <c r="N1796" i="3"/>
  <c r="L1796" i="3"/>
  <c r="J1796" i="3"/>
  <c r="H1796" i="3"/>
  <c r="P1797" i="3"/>
  <c r="N1797" i="3"/>
  <c r="L1797" i="3"/>
  <c r="J1797" i="3"/>
  <c r="H1797" i="3"/>
  <c r="Q1797" i="3"/>
  <c r="O1797" i="3"/>
  <c r="M1797" i="3"/>
  <c r="K1797" i="3"/>
  <c r="I1797" i="3"/>
  <c r="A1793" i="4"/>
  <c r="B1793" i="4" s="1"/>
  <c r="C1793" i="4" s="1"/>
  <c r="D1793" i="4" s="1"/>
  <c r="Q1798" i="3"/>
  <c r="O1798" i="3"/>
  <c r="M1798" i="3"/>
  <c r="K1798" i="3"/>
  <c r="I1798" i="3"/>
  <c r="P1798" i="3"/>
  <c r="N1798" i="3"/>
  <c r="L1798" i="3"/>
  <c r="J1798" i="3"/>
  <c r="H1798" i="3"/>
  <c r="P1799" i="3"/>
  <c r="N1799" i="3"/>
  <c r="L1799" i="3"/>
  <c r="J1799" i="3"/>
  <c r="H1799" i="3"/>
  <c r="Q1799" i="3"/>
  <c r="O1799" i="3"/>
  <c r="M1799" i="3"/>
  <c r="K1799" i="3"/>
  <c r="I1799" i="3"/>
  <c r="A1795" i="4"/>
  <c r="B1795" i="4" s="1"/>
  <c r="C1795" i="4" s="1"/>
  <c r="D1795" i="4" s="1"/>
  <c r="Q1800" i="3"/>
  <c r="O1800" i="3"/>
  <c r="M1800" i="3"/>
  <c r="K1800" i="3"/>
  <c r="I1800" i="3"/>
  <c r="P1800" i="3"/>
  <c r="N1800" i="3"/>
  <c r="L1800" i="3"/>
  <c r="J1800" i="3"/>
  <c r="H1800" i="3"/>
  <c r="P1801" i="3"/>
  <c r="N1801" i="3"/>
  <c r="L1801" i="3"/>
  <c r="J1801" i="3"/>
  <c r="H1801" i="3"/>
  <c r="Q1801" i="3"/>
  <c r="O1801" i="3"/>
  <c r="M1801" i="3"/>
  <c r="K1801" i="3"/>
  <c r="I1801" i="3"/>
  <c r="A1797" i="4"/>
  <c r="B1797" i="4" s="1"/>
  <c r="C1797" i="4" s="1"/>
  <c r="D1797" i="4" s="1"/>
  <c r="Q1802" i="3"/>
  <c r="O1802" i="3"/>
  <c r="M1802" i="3"/>
  <c r="K1802" i="3"/>
  <c r="I1802" i="3"/>
  <c r="P1802" i="3"/>
  <c r="N1802" i="3"/>
  <c r="L1802" i="3"/>
  <c r="J1802" i="3"/>
  <c r="H1802" i="3"/>
  <c r="P1803" i="3"/>
  <c r="N1803" i="3"/>
  <c r="L1803" i="3"/>
  <c r="J1803" i="3"/>
  <c r="H1803" i="3"/>
  <c r="Q1803" i="3"/>
  <c r="O1803" i="3"/>
  <c r="M1803" i="3"/>
  <c r="K1803" i="3"/>
  <c r="I1803" i="3"/>
  <c r="A1799" i="4"/>
  <c r="B1799" i="4" s="1"/>
  <c r="C1799" i="4" s="1"/>
  <c r="D1799" i="4" s="1"/>
  <c r="Q1804" i="3"/>
  <c r="O1804" i="3"/>
  <c r="M1804" i="3"/>
  <c r="K1804" i="3"/>
  <c r="I1804" i="3"/>
  <c r="P1804" i="3"/>
  <c r="N1804" i="3"/>
  <c r="L1804" i="3"/>
  <c r="J1804" i="3"/>
  <c r="H1804" i="3"/>
  <c r="P1805" i="3"/>
  <c r="N1805" i="3"/>
  <c r="L1805" i="3"/>
  <c r="J1805" i="3"/>
  <c r="H1805" i="3"/>
  <c r="Q1805" i="3"/>
  <c r="O1805" i="3"/>
  <c r="M1805" i="3"/>
  <c r="K1805" i="3"/>
  <c r="I1805" i="3"/>
  <c r="A1801" i="4"/>
  <c r="B1801" i="4" s="1"/>
  <c r="C1801" i="4" s="1"/>
  <c r="D1801" i="4" s="1"/>
  <c r="Q1806" i="3"/>
  <c r="O1806" i="3"/>
  <c r="M1806" i="3"/>
  <c r="K1806" i="3"/>
  <c r="I1806" i="3"/>
  <c r="P1806" i="3"/>
  <c r="N1806" i="3"/>
  <c r="L1806" i="3"/>
  <c r="J1806" i="3"/>
  <c r="H1806" i="3"/>
  <c r="P1807" i="3"/>
  <c r="N1807" i="3"/>
  <c r="L1807" i="3"/>
  <c r="J1807" i="3"/>
  <c r="H1807" i="3"/>
  <c r="Q1807" i="3"/>
  <c r="O1807" i="3"/>
  <c r="M1807" i="3"/>
  <c r="K1807" i="3"/>
  <c r="I1807" i="3"/>
  <c r="A1803" i="4"/>
  <c r="B1803" i="4" s="1"/>
  <c r="C1803" i="4" s="1"/>
  <c r="D1803" i="4" s="1"/>
  <c r="Q1808" i="3"/>
  <c r="O1808" i="3"/>
  <c r="M1808" i="3"/>
  <c r="K1808" i="3"/>
  <c r="I1808" i="3"/>
  <c r="P1808" i="3"/>
  <c r="N1808" i="3"/>
  <c r="L1808" i="3"/>
  <c r="J1808" i="3"/>
  <c r="H1808" i="3"/>
  <c r="P1809" i="3"/>
  <c r="N1809" i="3"/>
  <c r="L1809" i="3"/>
  <c r="J1809" i="3"/>
  <c r="H1809" i="3"/>
  <c r="Q1809" i="3"/>
  <c r="O1809" i="3"/>
  <c r="M1809" i="3"/>
  <c r="K1809" i="3"/>
  <c r="I1809" i="3"/>
  <c r="A1805" i="4"/>
  <c r="B1805" i="4" s="1"/>
  <c r="C1805" i="4" s="1"/>
  <c r="D1805" i="4" s="1"/>
  <c r="Q1810" i="3"/>
  <c r="O1810" i="3"/>
  <c r="M1810" i="3"/>
  <c r="K1810" i="3"/>
  <c r="I1810" i="3"/>
  <c r="P1810" i="3"/>
  <c r="N1810" i="3"/>
  <c r="L1810" i="3"/>
  <c r="J1810" i="3"/>
  <c r="H1810" i="3"/>
  <c r="P1811" i="3"/>
  <c r="N1811" i="3"/>
  <c r="L1811" i="3"/>
  <c r="J1811" i="3"/>
  <c r="H1811" i="3"/>
  <c r="Q1811" i="3"/>
  <c r="O1811" i="3"/>
  <c r="M1811" i="3"/>
  <c r="K1811" i="3"/>
  <c r="I1811" i="3"/>
  <c r="A1807" i="4"/>
  <c r="B1807" i="4" s="1"/>
  <c r="C1807" i="4" s="1"/>
  <c r="D1807" i="4" s="1"/>
  <c r="Q1812" i="3"/>
  <c r="O1812" i="3"/>
  <c r="M1812" i="3"/>
  <c r="K1812" i="3"/>
  <c r="I1812" i="3"/>
  <c r="P1812" i="3"/>
  <c r="N1812" i="3"/>
  <c r="L1812" i="3"/>
  <c r="J1812" i="3"/>
  <c r="H1812" i="3"/>
  <c r="P1813" i="3"/>
  <c r="N1813" i="3"/>
  <c r="L1813" i="3"/>
  <c r="J1813" i="3"/>
  <c r="H1813" i="3"/>
  <c r="Q1813" i="3"/>
  <c r="O1813" i="3"/>
  <c r="M1813" i="3"/>
  <c r="K1813" i="3"/>
  <c r="I1813" i="3"/>
  <c r="A1809" i="4"/>
  <c r="B1809" i="4" s="1"/>
  <c r="C1809" i="4" s="1"/>
  <c r="D1809" i="4" s="1"/>
  <c r="Q1814" i="3"/>
  <c r="O1814" i="3"/>
  <c r="M1814" i="3"/>
  <c r="K1814" i="3"/>
  <c r="I1814" i="3"/>
  <c r="P1814" i="3"/>
  <c r="N1814" i="3"/>
  <c r="L1814" i="3"/>
  <c r="J1814" i="3"/>
  <c r="H1814" i="3"/>
  <c r="P1815" i="3"/>
  <c r="N1815" i="3"/>
  <c r="L1815" i="3"/>
  <c r="J1815" i="3"/>
  <c r="H1815" i="3"/>
  <c r="Q1815" i="3"/>
  <c r="O1815" i="3"/>
  <c r="M1815" i="3"/>
  <c r="K1815" i="3"/>
  <c r="I1815" i="3"/>
  <c r="A1811" i="4"/>
  <c r="B1811" i="4" s="1"/>
  <c r="C1811" i="4" s="1"/>
  <c r="D1811" i="4" s="1"/>
  <c r="Q1816" i="3"/>
  <c r="O1816" i="3"/>
  <c r="M1816" i="3"/>
  <c r="K1816" i="3"/>
  <c r="I1816" i="3"/>
  <c r="P1816" i="3"/>
  <c r="N1816" i="3"/>
  <c r="L1816" i="3"/>
  <c r="J1816" i="3"/>
  <c r="H1816" i="3"/>
  <c r="P1817" i="3"/>
  <c r="N1817" i="3"/>
  <c r="L1817" i="3"/>
  <c r="J1817" i="3"/>
  <c r="H1817" i="3"/>
  <c r="Q1817" i="3"/>
  <c r="O1817" i="3"/>
  <c r="M1817" i="3"/>
  <c r="K1817" i="3"/>
  <c r="I1817" i="3"/>
  <c r="A1813" i="4"/>
  <c r="B1813" i="4" s="1"/>
  <c r="C1813" i="4" s="1"/>
  <c r="D1813" i="4" s="1"/>
  <c r="Q1818" i="3"/>
  <c r="O1818" i="3"/>
  <c r="M1818" i="3"/>
  <c r="K1818" i="3"/>
  <c r="I1818" i="3"/>
  <c r="P1818" i="3"/>
  <c r="N1818" i="3"/>
  <c r="L1818" i="3"/>
  <c r="J1818" i="3"/>
  <c r="H1818" i="3"/>
  <c r="P1819" i="3"/>
  <c r="N1819" i="3"/>
  <c r="L1819" i="3"/>
  <c r="J1819" i="3"/>
  <c r="H1819" i="3"/>
  <c r="Q1819" i="3"/>
  <c r="O1819" i="3"/>
  <c r="M1819" i="3"/>
  <c r="K1819" i="3"/>
  <c r="I1819" i="3"/>
  <c r="A1815" i="4"/>
  <c r="B1815" i="4" s="1"/>
  <c r="C1815" i="4" s="1"/>
  <c r="D1815" i="4" s="1"/>
  <c r="Q1820" i="3"/>
  <c r="O1820" i="3"/>
  <c r="M1820" i="3"/>
  <c r="K1820" i="3"/>
  <c r="I1820" i="3"/>
  <c r="P1820" i="3"/>
  <c r="N1820" i="3"/>
  <c r="L1820" i="3"/>
  <c r="J1820" i="3"/>
  <c r="H1820" i="3"/>
  <c r="A1817" i="4"/>
  <c r="B1817" i="4" s="1"/>
  <c r="C1817" i="4" s="1"/>
  <c r="D1817" i="4" s="1"/>
  <c r="A1819" i="4"/>
  <c r="B1819" i="4" s="1"/>
  <c r="C1819" i="4" s="1"/>
  <c r="D1819" i="4" s="1"/>
  <c r="A1821" i="4"/>
  <c r="B1821" i="4" s="1"/>
  <c r="C1821" i="4" s="1"/>
  <c r="D1821" i="4" s="1"/>
  <c r="A1823" i="4"/>
  <c r="B1823" i="4" s="1"/>
  <c r="C1823" i="4" s="1"/>
  <c r="D1823" i="4" s="1"/>
  <c r="A1825" i="4"/>
  <c r="B1825" i="4" s="1"/>
  <c r="C1825" i="4" s="1"/>
  <c r="D1825" i="4" s="1"/>
  <c r="A1827" i="4"/>
  <c r="B1827" i="4" s="1"/>
  <c r="C1827" i="4" s="1"/>
  <c r="D1827" i="4" s="1"/>
  <c r="A1829" i="4"/>
  <c r="B1829" i="4" s="1"/>
  <c r="C1829" i="4" s="1"/>
  <c r="D1829" i="4" s="1"/>
  <c r="A1831" i="4"/>
  <c r="B1831" i="4" s="1"/>
  <c r="C1831" i="4" s="1"/>
  <c r="D1831" i="4" s="1"/>
  <c r="A1833" i="4"/>
  <c r="B1833" i="4" s="1"/>
  <c r="C1833" i="4" s="1"/>
  <c r="D1833" i="4" s="1"/>
  <c r="A1835" i="4"/>
  <c r="B1835" i="4" s="1"/>
  <c r="C1835" i="4" s="1"/>
  <c r="D1835" i="4" s="1"/>
  <c r="A1837" i="4"/>
  <c r="B1837" i="4" s="1"/>
  <c r="C1837" i="4" s="1"/>
  <c r="D1837" i="4" s="1"/>
  <c r="A1839" i="4"/>
  <c r="B1839" i="4" s="1"/>
  <c r="C1839" i="4" s="1"/>
  <c r="D1839" i="4" s="1"/>
  <c r="A1841" i="4"/>
  <c r="B1841" i="4" s="1"/>
  <c r="C1841" i="4" s="1"/>
  <c r="D1841" i="4" s="1"/>
  <c r="A1843" i="4"/>
  <c r="B1843" i="4" s="1"/>
  <c r="C1843" i="4" s="1"/>
  <c r="D1843" i="4" s="1"/>
  <c r="A1845" i="4"/>
  <c r="B1845" i="4" s="1"/>
  <c r="C1845" i="4" s="1"/>
  <c r="D1845" i="4" s="1"/>
  <c r="A1847" i="4"/>
  <c r="B1847" i="4" s="1"/>
  <c r="C1847" i="4" s="1"/>
  <c r="D1847" i="4" s="1"/>
  <c r="A1849" i="4"/>
  <c r="B1849" i="4" s="1"/>
  <c r="C1849" i="4" s="1"/>
  <c r="D1849" i="4" s="1"/>
  <c r="A1851" i="4"/>
  <c r="B1851" i="4" s="1"/>
  <c r="C1851" i="4" s="1"/>
  <c r="D1851" i="4" s="1"/>
  <c r="A1853" i="4"/>
  <c r="B1853" i="4" s="1"/>
  <c r="C1853" i="4" s="1"/>
  <c r="D1853" i="4" s="1"/>
  <c r="A1855" i="4"/>
  <c r="B1855" i="4" s="1"/>
  <c r="C1855" i="4" s="1"/>
  <c r="D1855" i="4" s="1"/>
  <c r="A1857" i="4"/>
  <c r="B1857" i="4" s="1"/>
  <c r="C1857" i="4" s="1"/>
  <c r="D1857" i="4" s="1"/>
  <c r="A1859" i="4"/>
  <c r="B1859" i="4" s="1"/>
  <c r="C1859" i="4" s="1"/>
  <c r="D1859" i="4" s="1"/>
  <c r="A1861" i="4"/>
  <c r="B1861" i="4" s="1"/>
  <c r="C1861" i="4" s="1"/>
  <c r="D1861" i="4" s="1"/>
  <c r="A1863" i="4"/>
  <c r="B1863" i="4" s="1"/>
  <c r="C1863" i="4" s="1"/>
  <c r="D1863" i="4" s="1"/>
  <c r="A1865" i="4"/>
  <c r="B1865" i="4" s="1"/>
  <c r="C1865" i="4" s="1"/>
  <c r="D1865" i="4" s="1"/>
  <c r="A1867" i="4"/>
  <c r="B1867" i="4" s="1"/>
  <c r="C1867" i="4" s="1"/>
  <c r="D1867" i="4" s="1"/>
  <c r="A1869" i="4"/>
  <c r="B1869" i="4" s="1"/>
  <c r="C1869" i="4" s="1"/>
  <c r="D1869" i="4" s="1"/>
  <c r="A1871" i="4"/>
  <c r="B1871" i="4" s="1"/>
  <c r="C1871" i="4" s="1"/>
  <c r="D1871" i="4" s="1"/>
  <c r="A1873" i="4"/>
  <c r="B1873" i="4" s="1"/>
  <c r="C1873" i="4" s="1"/>
  <c r="D1873" i="4" s="1"/>
  <c r="A1875" i="4"/>
  <c r="B1875" i="4" s="1"/>
  <c r="C1875" i="4" s="1"/>
  <c r="D1875" i="4" s="1"/>
  <c r="A1877" i="4"/>
  <c r="B1877" i="4" s="1"/>
  <c r="C1877" i="4" s="1"/>
  <c r="D1877" i="4" s="1"/>
  <c r="A1879" i="4"/>
  <c r="B1879" i="4" s="1"/>
  <c r="C1879" i="4" s="1"/>
  <c r="D1879" i="4" s="1"/>
  <c r="A1881" i="4"/>
  <c r="B1881" i="4" s="1"/>
  <c r="C1881" i="4" s="1"/>
  <c r="D1881" i="4" s="1"/>
  <c r="A1883" i="4"/>
  <c r="B1883" i="4" s="1"/>
  <c r="C1883" i="4" s="1"/>
  <c r="D1883" i="4" s="1"/>
  <c r="A1885" i="4"/>
  <c r="B1885" i="4" s="1"/>
  <c r="C1885" i="4" s="1"/>
  <c r="D1885" i="4" s="1"/>
  <c r="A1887" i="4"/>
  <c r="B1887" i="4" s="1"/>
  <c r="C1887" i="4" s="1"/>
  <c r="D1887" i="4" s="1"/>
  <c r="A1889" i="4"/>
  <c r="B1889" i="4" s="1"/>
  <c r="C1889" i="4" s="1"/>
  <c r="D1889" i="4" s="1"/>
  <c r="A1891" i="4"/>
  <c r="B1891" i="4" s="1"/>
  <c r="C1891" i="4" s="1"/>
  <c r="D1891" i="4" s="1"/>
  <c r="A1893" i="4"/>
  <c r="B1893" i="4" s="1"/>
  <c r="C1893" i="4" s="1"/>
  <c r="D1893" i="4" s="1"/>
  <c r="A1895" i="4"/>
  <c r="B1895" i="4" s="1"/>
  <c r="C1895" i="4" s="1"/>
  <c r="D1895" i="4" s="1"/>
  <c r="A1897" i="4"/>
  <c r="B1897" i="4" s="1"/>
  <c r="C1897" i="4" s="1"/>
  <c r="D1897" i="4" s="1"/>
  <c r="A1899" i="4"/>
  <c r="B1899" i="4" s="1"/>
  <c r="C1899" i="4" s="1"/>
  <c r="D1899" i="4" s="1"/>
  <c r="A1901" i="4"/>
  <c r="B1901" i="4" s="1"/>
  <c r="C1901" i="4" s="1"/>
  <c r="D1901" i="4" s="1"/>
  <c r="A1903" i="4"/>
  <c r="B1903" i="4" s="1"/>
  <c r="C1903" i="4" s="1"/>
  <c r="D1903" i="4" s="1"/>
  <c r="A1905" i="4"/>
  <c r="B1905" i="4" s="1"/>
  <c r="C1905" i="4" s="1"/>
  <c r="D1905" i="4" s="1"/>
  <c r="A1907" i="4"/>
  <c r="B1907" i="4" s="1"/>
  <c r="C1907" i="4" s="1"/>
  <c r="D1907" i="4" s="1"/>
  <c r="A1909" i="4"/>
  <c r="B1909" i="4" s="1"/>
  <c r="C1909" i="4" s="1"/>
  <c r="D1909" i="4" s="1"/>
  <c r="A1911" i="4"/>
  <c r="B1911" i="4" s="1"/>
  <c r="C1911" i="4" s="1"/>
  <c r="D1911" i="4" s="1"/>
  <c r="A1913" i="4"/>
  <c r="B1913" i="4" s="1"/>
  <c r="C1913" i="4" s="1"/>
  <c r="D1913" i="4" s="1"/>
  <c r="A1915" i="4"/>
  <c r="B1915" i="4" s="1"/>
  <c r="C1915" i="4" s="1"/>
  <c r="D1915" i="4" s="1"/>
  <c r="A1917" i="4"/>
  <c r="B1917" i="4" s="1"/>
  <c r="C1917" i="4" s="1"/>
  <c r="D1917" i="4" s="1"/>
  <c r="A1919" i="4"/>
  <c r="B1919" i="4" s="1"/>
  <c r="C1919" i="4" s="1"/>
  <c r="D1919" i="4" s="1"/>
  <c r="A1921" i="4"/>
  <c r="B1921" i="4" s="1"/>
  <c r="C1921" i="4" s="1"/>
  <c r="D1921" i="4" s="1"/>
  <c r="A1923" i="4"/>
  <c r="B1923" i="4" s="1"/>
  <c r="C1923" i="4" s="1"/>
  <c r="D1923" i="4" s="1"/>
  <c r="A1925" i="4"/>
  <c r="B1925" i="4" s="1"/>
  <c r="C1925" i="4" s="1"/>
  <c r="D1925" i="4" s="1"/>
  <c r="A1927" i="4"/>
  <c r="B1927" i="4" s="1"/>
  <c r="C1927" i="4" s="1"/>
  <c r="D1927" i="4" s="1"/>
  <c r="A1929" i="4"/>
  <c r="B1929" i="4" s="1"/>
  <c r="C1929" i="4" s="1"/>
  <c r="D1929" i="4" s="1"/>
  <c r="A1931" i="4"/>
  <c r="B1931" i="4" s="1"/>
  <c r="C1931" i="4" s="1"/>
  <c r="D1931" i="4" s="1"/>
  <c r="A1933" i="4"/>
  <c r="B1933" i="4" s="1"/>
  <c r="C1933" i="4" s="1"/>
  <c r="D1933" i="4" s="1"/>
  <c r="A1935" i="4"/>
  <c r="B1935" i="4" s="1"/>
  <c r="C1935" i="4" s="1"/>
  <c r="D1935" i="4" s="1"/>
  <c r="A1937" i="4"/>
  <c r="B1937" i="4" s="1"/>
  <c r="C1937" i="4" s="1"/>
  <c r="D1937" i="4" s="1"/>
  <c r="A1939" i="4"/>
  <c r="B1939" i="4" s="1"/>
  <c r="C1939" i="4" s="1"/>
  <c r="D1939" i="4" s="1"/>
  <c r="A1941" i="4"/>
  <c r="B1941" i="4" s="1"/>
  <c r="C1941" i="4" s="1"/>
  <c r="D1941" i="4" s="1"/>
  <c r="A1943" i="4"/>
  <c r="B1943" i="4" s="1"/>
  <c r="C1943" i="4" s="1"/>
  <c r="D1943" i="4" s="1"/>
  <c r="A1945" i="4"/>
  <c r="B1945" i="4" s="1"/>
  <c r="C1945" i="4" s="1"/>
  <c r="D1945" i="4" s="1"/>
  <c r="A1947" i="4"/>
  <c r="B1947" i="4" s="1"/>
  <c r="C1947" i="4" s="1"/>
  <c r="D1947" i="4" s="1"/>
  <c r="A1949" i="4"/>
  <c r="B1949" i="4" s="1"/>
  <c r="C1949" i="4" s="1"/>
  <c r="D1949" i="4" s="1"/>
  <c r="A1951" i="4"/>
  <c r="B1951" i="4" s="1"/>
  <c r="C1951" i="4" s="1"/>
  <c r="D1951" i="4" s="1"/>
  <c r="A1953" i="4"/>
  <c r="B1953" i="4" s="1"/>
  <c r="C1953" i="4" s="1"/>
  <c r="D1953" i="4" s="1"/>
  <c r="A1955" i="4"/>
  <c r="B1955" i="4" s="1"/>
  <c r="C1955" i="4" s="1"/>
  <c r="D1955" i="4" s="1"/>
  <c r="A1957" i="4"/>
  <c r="B1957" i="4" s="1"/>
  <c r="C1957" i="4" s="1"/>
  <c r="D1957" i="4" s="1"/>
  <c r="A1959" i="4"/>
  <c r="B1959" i="4" s="1"/>
  <c r="C1959" i="4" s="1"/>
  <c r="D1959" i="4" s="1"/>
  <c r="A1961" i="4"/>
  <c r="B1961" i="4" s="1"/>
  <c r="C1961" i="4" s="1"/>
  <c r="D1961" i="4" s="1"/>
  <c r="A1963" i="4"/>
  <c r="B1963" i="4" s="1"/>
  <c r="C1963" i="4" s="1"/>
  <c r="D1963" i="4" s="1"/>
  <c r="A1965" i="4"/>
  <c r="B1965" i="4" s="1"/>
  <c r="C1965" i="4" s="1"/>
  <c r="D1965" i="4" s="1"/>
  <c r="A1967" i="4"/>
  <c r="B1967" i="4" s="1"/>
  <c r="C1967" i="4" s="1"/>
  <c r="D1967" i="4" s="1"/>
  <c r="A1969" i="4"/>
  <c r="B1969" i="4" s="1"/>
  <c r="C1969" i="4" s="1"/>
  <c r="D1969" i="4" s="1"/>
  <c r="A1971" i="4"/>
  <c r="B1971" i="4" s="1"/>
  <c r="C1971" i="4" s="1"/>
  <c r="D1971" i="4" s="1"/>
  <c r="A1973" i="4"/>
  <c r="B1973" i="4" s="1"/>
  <c r="C1973" i="4" s="1"/>
  <c r="D1973" i="4" s="1"/>
  <c r="A1975" i="4"/>
  <c r="B1975" i="4" s="1"/>
  <c r="C1975" i="4" s="1"/>
  <c r="D1975" i="4" s="1"/>
  <c r="A1977" i="4"/>
  <c r="B1977" i="4" s="1"/>
  <c r="C1977" i="4" s="1"/>
  <c r="D1977" i="4" s="1"/>
  <c r="A1979" i="4"/>
  <c r="B1979" i="4" s="1"/>
  <c r="C1979" i="4" s="1"/>
  <c r="D1979" i="4" s="1"/>
  <c r="A1981" i="4"/>
  <c r="B1981" i="4" s="1"/>
  <c r="C1981" i="4" s="1"/>
  <c r="D1981" i="4" s="1"/>
  <c r="A1983" i="4"/>
  <c r="B1983" i="4" s="1"/>
  <c r="C1983" i="4" s="1"/>
  <c r="D1983" i="4" s="1"/>
  <c r="A1985" i="4"/>
  <c r="B1985" i="4" s="1"/>
  <c r="C1985" i="4" s="1"/>
  <c r="D1985" i="4" s="1"/>
  <c r="A1987" i="4"/>
  <c r="B1987" i="4" s="1"/>
  <c r="C1987" i="4" s="1"/>
  <c r="D1987" i="4" s="1"/>
  <c r="A1989" i="4"/>
  <c r="B1989" i="4" s="1"/>
  <c r="C1989" i="4" s="1"/>
  <c r="D1989" i="4" s="1"/>
  <c r="A1991" i="4"/>
  <c r="B1991" i="4" s="1"/>
  <c r="C1991" i="4" s="1"/>
  <c r="D1991" i="4" s="1"/>
  <c r="A1993" i="4"/>
  <c r="B1993" i="4" s="1"/>
  <c r="C1993" i="4" s="1"/>
  <c r="D1993" i="4" s="1"/>
  <c r="A1995" i="4"/>
  <c r="B1995" i="4" s="1"/>
  <c r="C1995" i="4" s="1"/>
  <c r="D1995" i="4" s="1"/>
  <c r="A1997" i="4"/>
  <c r="B1997" i="4" s="1"/>
  <c r="C1997" i="4" s="1"/>
  <c r="D1997" i="4" s="1"/>
  <c r="A1999" i="4"/>
  <c r="B1999" i="4" s="1"/>
  <c r="C1999" i="4" s="1"/>
  <c r="D1999" i="4" s="1"/>
  <c r="A2001" i="4"/>
  <c r="B2001" i="4" s="1"/>
  <c r="C2001" i="4" s="1"/>
  <c r="D2001" i="4" s="1"/>
  <c r="A2003" i="4"/>
  <c r="B2003" i="4" s="1"/>
  <c r="C2003" i="4" s="1"/>
  <c r="D2003" i="4" s="1"/>
  <c r="A2005" i="4"/>
  <c r="B2005" i="4" s="1"/>
  <c r="C2005" i="4" s="1"/>
  <c r="D2005" i="4" s="1"/>
  <c r="P1822" i="3"/>
  <c r="N1822" i="3"/>
  <c r="L1822" i="3"/>
  <c r="J1822" i="3"/>
  <c r="H1822" i="3"/>
  <c r="O1822" i="3"/>
  <c r="K1822" i="3"/>
  <c r="Q1822" i="3"/>
  <c r="M1822" i="3"/>
  <c r="I1822" i="3"/>
  <c r="A1818" i="4"/>
  <c r="B1818" i="4" s="1"/>
  <c r="C1818" i="4" s="1"/>
  <c r="D1818" i="4" s="1"/>
  <c r="P1830" i="3"/>
  <c r="N1830" i="3"/>
  <c r="L1830" i="3"/>
  <c r="J1830" i="3"/>
  <c r="H1830" i="3"/>
  <c r="O1830" i="3"/>
  <c r="K1830" i="3"/>
  <c r="Q1830" i="3"/>
  <c r="M1830" i="3"/>
  <c r="I1830" i="3"/>
  <c r="A1826" i="4"/>
  <c r="B1826" i="4" s="1"/>
  <c r="C1826" i="4" s="1"/>
  <c r="D1826" i="4" s="1"/>
  <c r="P1834" i="3"/>
  <c r="N1834" i="3"/>
  <c r="L1834" i="3"/>
  <c r="J1834" i="3"/>
  <c r="H1834" i="3"/>
  <c r="O1834" i="3"/>
  <c r="K1834" i="3"/>
  <c r="Q1834" i="3"/>
  <c r="M1834" i="3"/>
  <c r="I1834" i="3"/>
  <c r="A1830" i="4"/>
  <c r="B1830" i="4" s="1"/>
  <c r="C1830" i="4" s="1"/>
  <c r="D1830" i="4" s="1"/>
  <c r="P1842" i="3"/>
  <c r="N1842" i="3"/>
  <c r="L1842" i="3"/>
  <c r="J1842" i="3"/>
  <c r="H1842" i="3"/>
  <c r="O1842" i="3"/>
  <c r="K1842" i="3"/>
  <c r="Q1842" i="3"/>
  <c r="M1842" i="3"/>
  <c r="I1842" i="3"/>
  <c r="A1838" i="4"/>
  <c r="B1838" i="4" s="1"/>
  <c r="C1838" i="4" s="1"/>
  <c r="D1838" i="4" s="1"/>
  <c r="P1862" i="3"/>
  <c r="N1862" i="3"/>
  <c r="L1862" i="3"/>
  <c r="J1862" i="3"/>
  <c r="H1862" i="3"/>
  <c r="O1862" i="3"/>
  <c r="K1862" i="3"/>
  <c r="Q1862" i="3"/>
  <c r="M1862" i="3"/>
  <c r="I1862" i="3"/>
  <c r="A1858" i="4"/>
  <c r="B1858" i="4" s="1"/>
  <c r="C1858" i="4" s="1"/>
  <c r="D1858" i="4" s="1"/>
  <c r="P1882" i="3"/>
  <c r="N1882" i="3"/>
  <c r="L1882" i="3"/>
  <c r="J1882" i="3"/>
  <c r="H1882" i="3"/>
  <c r="O1882" i="3"/>
  <c r="K1882" i="3"/>
  <c r="Q1882" i="3"/>
  <c r="M1882" i="3"/>
  <c r="I1882" i="3"/>
  <c r="A1878" i="4"/>
  <c r="B1878" i="4" s="1"/>
  <c r="C1878" i="4" s="1"/>
  <c r="D1878" i="4" s="1"/>
  <c r="P1826" i="3"/>
  <c r="N1826" i="3"/>
  <c r="L1826" i="3"/>
  <c r="J1826" i="3"/>
  <c r="H1826" i="3"/>
  <c r="O1826" i="3"/>
  <c r="K1826" i="3"/>
  <c r="Q1826" i="3"/>
  <c r="M1826" i="3"/>
  <c r="I1826" i="3"/>
  <c r="A1822" i="4"/>
  <c r="B1822" i="4" s="1"/>
  <c r="C1822" i="4" s="1"/>
  <c r="D1822" i="4" s="1"/>
  <c r="P1846" i="3"/>
  <c r="N1846" i="3"/>
  <c r="L1846" i="3"/>
  <c r="J1846" i="3"/>
  <c r="H1846" i="3"/>
  <c r="O1846" i="3"/>
  <c r="K1846" i="3"/>
  <c r="Q1846" i="3"/>
  <c r="M1846" i="3"/>
  <c r="I1846" i="3"/>
  <c r="A1842" i="4"/>
  <c r="B1842" i="4" s="1"/>
  <c r="C1842" i="4" s="1"/>
  <c r="D1842" i="4" s="1"/>
  <c r="P1854" i="3"/>
  <c r="N1854" i="3"/>
  <c r="L1854" i="3"/>
  <c r="J1854" i="3"/>
  <c r="H1854" i="3"/>
  <c r="O1854" i="3"/>
  <c r="K1854" i="3"/>
  <c r="Q1854" i="3"/>
  <c r="M1854" i="3"/>
  <c r="I1854" i="3"/>
  <c r="A1850" i="4"/>
  <c r="B1850" i="4" s="1"/>
  <c r="C1850" i="4" s="1"/>
  <c r="D1850" i="4" s="1"/>
  <c r="P1898" i="3"/>
  <c r="N1898" i="3"/>
  <c r="L1898" i="3"/>
  <c r="J1898" i="3"/>
  <c r="H1898" i="3"/>
  <c r="Q1898" i="3"/>
  <c r="O1898" i="3"/>
  <c r="M1898" i="3"/>
  <c r="K1898" i="3"/>
  <c r="I1898" i="3"/>
  <c r="A1894" i="4"/>
  <c r="B1894" i="4" s="1"/>
  <c r="C1894" i="4" s="1"/>
  <c r="D1894" i="4" s="1"/>
  <c r="N62" i="3" l="1"/>
  <c r="N178" i="3"/>
  <c r="N90" i="3"/>
  <c r="N82" i="3"/>
  <c r="N42" i="3"/>
  <c r="B187" i="4"/>
  <c r="B163" i="4"/>
  <c r="B155" i="4"/>
  <c r="M155" i="3"/>
  <c r="M147" i="3"/>
  <c r="M105" i="3"/>
  <c r="B83" i="4"/>
  <c r="M65" i="3"/>
  <c r="B57" i="4"/>
  <c r="M57" i="3"/>
  <c r="N180" i="3"/>
  <c r="N168" i="3"/>
  <c r="N160" i="3"/>
  <c r="N144" i="3"/>
  <c r="N96" i="3"/>
  <c r="N92" i="3"/>
  <c r="N84" i="3"/>
  <c r="N80" i="3"/>
  <c r="N52" i="3"/>
  <c r="N48" i="3"/>
  <c r="B173" i="4"/>
  <c r="M165" i="3"/>
  <c r="M149" i="3"/>
  <c r="B141" i="4"/>
  <c r="M127" i="3"/>
  <c r="B119" i="4"/>
  <c r="B111" i="4"/>
  <c r="M95" i="3"/>
  <c r="F14" i="3"/>
  <c r="P13" i="3"/>
  <c r="N13" i="3"/>
  <c r="L13" i="3"/>
  <c r="J13" i="3"/>
  <c r="H13" i="3"/>
  <c r="Q13" i="3"/>
  <c r="O13" i="3"/>
  <c r="M13" i="3"/>
  <c r="K13" i="3"/>
  <c r="I13" i="3"/>
  <c r="A9" i="4"/>
  <c r="B9" i="4" s="1"/>
  <c r="C9" i="4" s="1"/>
  <c r="D9" i="4" s="1"/>
  <c r="Q10" i="3"/>
  <c r="O10" i="3"/>
  <c r="M10" i="3"/>
  <c r="K10" i="3"/>
  <c r="I10" i="3"/>
  <c r="P10" i="3"/>
  <c r="N10" i="3"/>
  <c r="L10" i="3"/>
  <c r="J10" i="3"/>
  <c r="H10" i="3"/>
  <c r="Q12" i="3"/>
  <c r="O12" i="3"/>
  <c r="M12" i="3"/>
  <c r="K12" i="3"/>
  <c r="I12" i="3"/>
  <c r="P12" i="3"/>
  <c r="N12" i="3"/>
  <c r="L12" i="3"/>
  <c r="J12" i="3"/>
  <c r="H12" i="3"/>
  <c r="Q16" i="3"/>
  <c r="O16" i="3"/>
  <c r="M16" i="3"/>
  <c r="K16" i="3"/>
  <c r="I16" i="3"/>
  <c r="P16" i="3"/>
  <c r="N16" i="3"/>
  <c r="L16" i="3"/>
  <c r="J16" i="3"/>
  <c r="H16" i="3"/>
  <c r="P15" i="3"/>
  <c r="L15" i="3"/>
  <c r="J15" i="3"/>
  <c r="H15" i="3"/>
  <c r="N15" i="3" s="1"/>
  <c r="Q15" i="3"/>
  <c r="O15" i="3"/>
  <c r="K15" i="3"/>
  <c r="I15" i="3"/>
  <c r="A11" i="4"/>
  <c r="B11" i="4" s="1"/>
  <c r="P11" i="3"/>
  <c r="N11" i="3"/>
  <c r="L11" i="3"/>
  <c r="J11" i="3"/>
  <c r="H11" i="3"/>
  <c r="Q11" i="3"/>
  <c r="O11" i="3"/>
  <c r="M11" i="3"/>
  <c r="K11" i="3"/>
  <c r="I11" i="3"/>
  <c r="A7" i="4"/>
  <c r="B7" i="4" s="1"/>
  <c r="C7" i="4" s="1"/>
  <c r="D7" i="4" s="1"/>
  <c r="P17" i="3"/>
  <c r="L17" i="3"/>
  <c r="J17" i="3"/>
  <c r="H17" i="3"/>
  <c r="N17" i="3" s="1"/>
  <c r="Q17" i="3"/>
  <c r="O17" i="3"/>
  <c r="K17" i="3"/>
  <c r="I17" i="3"/>
  <c r="A13" i="4"/>
  <c r="B13" i="4" s="1"/>
  <c r="C13" i="4" s="1"/>
  <c r="D13" i="4" s="1"/>
  <c r="A6" i="4"/>
  <c r="C186" i="4" s="1"/>
  <c r="D186" i="4" s="1"/>
  <c r="A8" i="4"/>
  <c r="B8" i="4" s="1"/>
  <c r="C8" i="4" s="1"/>
  <c r="D8" i="4" s="1"/>
  <c r="Q14" i="3"/>
  <c r="B10" i="4" s="1"/>
  <c r="C10" i="4" s="1"/>
  <c r="D10" i="4" s="1"/>
  <c r="O14" i="3"/>
  <c r="K14" i="3"/>
  <c r="I14" i="3"/>
  <c r="P14" i="3"/>
  <c r="L14" i="3"/>
  <c r="J14" i="3"/>
  <c r="H14" i="3"/>
  <c r="M14" i="3" s="1"/>
  <c r="A12" i="4"/>
  <c r="B12" i="4" s="1"/>
  <c r="C119" i="4" l="1"/>
  <c r="D119" i="4" s="1"/>
  <c r="C111" i="4"/>
  <c r="D111" i="4" s="1"/>
  <c r="C173" i="4"/>
  <c r="D173" i="4" s="1"/>
  <c r="C57" i="4"/>
  <c r="D57" i="4" s="1"/>
  <c r="C83" i="4"/>
  <c r="D83" i="4" s="1"/>
  <c r="C155" i="4"/>
  <c r="D155" i="4" s="1"/>
  <c r="C187" i="4"/>
  <c r="D187" i="4" s="1"/>
  <c r="C48" i="4"/>
  <c r="D48" i="4" s="1"/>
  <c r="C80" i="4"/>
  <c r="D80" i="4" s="1"/>
  <c r="C88" i="4"/>
  <c r="D88" i="4" s="1"/>
  <c r="C176" i="4"/>
  <c r="D176" i="4" s="1"/>
  <c r="C123" i="4"/>
  <c r="D123" i="4" s="1"/>
  <c r="C161" i="4"/>
  <c r="D161" i="4" s="1"/>
  <c r="C61" i="4"/>
  <c r="D61" i="4" s="1"/>
  <c r="C143" i="4"/>
  <c r="D143" i="4" s="1"/>
  <c r="C44" i="4"/>
  <c r="D44" i="4" s="1"/>
  <c r="C76" i="4"/>
  <c r="D76" i="4" s="1"/>
  <c r="C140" i="4"/>
  <c r="D140" i="4" s="1"/>
  <c r="C164" i="4"/>
  <c r="D164" i="4" s="1"/>
  <c r="C78" i="4"/>
  <c r="D78" i="4" s="1"/>
  <c r="C174" i="4"/>
  <c r="D174" i="4" s="1"/>
  <c r="C58" i="4"/>
  <c r="D58" i="4" s="1"/>
  <c r="C141" i="4"/>
  <c r="D141" i="4" s="1"/>
  <c r="C163" i="4"/>
  <c r="D163" i="4" s="1"/>
  <c r="C91" i="4"/>
  <c r="D91" i="4" s="1"/>
  <c r="C145" i="4"/>
  <c r="D145" i="4" s="1"/>
  <c r="C53" i="4"/>
  <c r="D53" i="4" s="1"/>
  <c r="C101" i="4"/>
  <c r="D101" i="4" s="1"/>
  <c r="C151" i="4"/>
  <c r="D151" i="4" s="1"/>
  <c r="C92" i="4"/>
  <c r="D92" i="4" s="1"/>
  <c r="C156" i="4"/>
  <c r="D156" i="4" s="1"/>
  <c r="C38" i="4"/>
  <c r="D38" i="4" s="1"/>
  <c r="C86" i="4"/>
  <c r="D86" i="4" s="1"/>
  <c r="C47" i="4"/>
  <c r="D47" i="4" s="1"/>
  <c r="C12" i="4"/>
  <c r="D12" i="4" s="1"/>
  <c r="N14" i="3"/>
  <c r="B6" i="4"/>
  <c r="C6" i="4" s="1"/>
  <c r="D6" i="4" s="1"/>
  <c r="L12" i="4"/>
  <c r="M12" i="4" s="1"/>
  <c r="L13" i="4"/>
  <c r="M13" i="4" s="1"/>
  <c r="M17" i="3"/>
  <c r="M15" i="3"/>
  <c r="C11" i="4"/>
  <c r="D11" i="4" s="1"/>
  <c r="M2015" i="1" l="1"/>
  <c r="M2013" i="1"/>
  <c r="M2011" i="1"/>
  <c r="M2009" i="1"/>
  <c r="M2007" i="1"/>
  <c r="M2005" i="1"/>
  <c r="M2003" i="1"/>
  <c r="M2001" i="1"/>
  <c r="M1999" i="1"/>
  <c r="M1997" i="1"/>
  <c r="M1995" i="1"/>
  <c r="M1993" i="1"/>
  <c r="M1991" i="1"/>
  <c r="M1989" i="1"/>
  <c r="M1987" i="1"/>
  <c r="M1985" i="1"/>
  <c r="M1983" i="1"/>
  <c r="M1981" i="1"/>
  <c r="M1979" i="1"/>
  <c r="M1977" i="1"/>
  <c r="M1975" i="1"/>
  <c r="M1973" i="1"/>
  <c r="M1971" i="1"/>
  <c r="M1969" i="1"/>
  <c r="M1967" i="1"/>
  <c r="M1965" i="1"/>
  <c r="M1963" i="1"/>
  <c r="M1961" i="1"/>
  <c r="M1959" i="1"/>
  <c r="M1957" i="1"/>
  <c r="M1955" i="1"/>
  <c r="M1953" i="1"/>
  <c r="M1951" i="1"/>
  <c r="M1949" i="1"/>
  <c r="M1947" i="1"/>
  <c r="M1945" i="1"/>
  <c r="M1943" i="1"/>
  <c r="M1941" i="1"/>
  <c r="M1939" i="1"/>
  <c r="M1937" i="1"/>
  <c r="M1935" i="1"/>
  <c r="M1933" i="1"/>
  <c r="M1931" i="1"/>
  <c r="M1929" i="1"/>
  <c r="M1927" i="1"/>
  <c r="M1925" i="1"/>
  <c r="M1923" i="1"/>
  <c r="M1921" i="1"/>
  <c r="M1919" i="1"/>
  <c r="M1917" i="1"/>
  <c r="M1915" i="1"/>
  <c r="M1913" i="1"/>
  <c r="M1911" i="1"/>
  <c r="M1909" i="1"/>
  <c r="M1907" i="1"/>
  <c r="M1905" i="1"/>
  <c r="M1903" i="1"/>
  <c r="M1901" i="1"/>
  <c r="M1899" i="1"/>
  <c r="M1897" i="1"/>
  <c r="M1895" i="1"/>
  <c r="M1893" i="1"/>
  <c r="M1891" i="1"/>
  <c r="M1889" i="1"/>
  <c r="M1887" i="1"/>
  <c r="M1885" i="1"/>
  <c r="M1883" i="1"/>
  <c r="M1881" i="1"/>
  <c r="M1879" i="1"/>
  <c r="M1877" i="1"/>
  <c r="M1875" i="1"/>
  <c r="M1873" i="1"/>
  <c r="M1871" i="1"/>
  <c r="M1869" i="1"/>
  <c r="M1867" i="1"/>
  <c r="M1865" i="1"/>
  <c r="M1863" i="1"/>
  <c r="M1861" i="1"/>
  <c r="M1859" i="1"/>
  <c r="M1857" i="1"/>
  <c r="M1855" i="1"/>
  <c r="M1853" i="1"/>
  <c r="M1851" i="1"/>
  <c r="M1849" i="1"/>
  <c r="M1847" i="1"/>
  <c r="M1845" i="1"/>
  <c r="M1843" i="1"/>
  <c r="M1841" i="1"/>
  <c r="M1839" i="1"/>
  <c r="M1837" i="1"/>
  <c r="M1835" i="1"/>
  <c r="M1833" i="1"/>
  <c r="M1831" i="1"/>
  <c r="M1829" i="1"/>
  <c r="M1827" i="1"/>
  <c r="M1825" i="1"/>
  <c r="M1823" i="1"/>
  <c r="M1821" i="1"/>
  <c r="M1819" i="1"/>
  <c r="M1817" i="1"/>
  <c r="M1815" i="1"/>
  <c r="M1813" i="1"/>
  <c r="M1811" i="1"/>
  <c r="M1809" i="1"/>
  <c r="M1807" i="1"/>
  <c r="M1805" i="1"/>
  <c r="M1803" i="1"/>
  <c r="M1801" i="1"/>
  <c r="M1799" i="1"/>
  <c r="M1797" i="1"/>
  <c r="M1795" i="1"/>
  <c r="M1793" i="1"/>
  <c r="M1791" i="1"/>
  <c r="M1789" i="1"/>
  <c r="M1787" i="1"/>
  <c r="M1785" i="1"/>
  <c r="M1783" i="1"/>
  <c r="M1781" i="1"/>
  <c r="M1779" i="1"/>
  <c r="M1777" i="1"/>
  <c r="M1775" i="1"/>
  <c r="M1773" i="1"/>
  <c r="M1771" i="1"/>
  <c r="M1769" i="1"/>
  <c r="M1767" i="1"/>
  <c r="M1765" i="1"/>
  <c r="M1763" i="1"/>
  <c r="M1761" i="1"/>
  <c r="M1759" i="1"/>
  <c r="M1757" i="1"/>
  <c r="M1755" i="1"/>
  <c r="M1753" i="1"/>
  <c r="M1751" i="1"/>
  <c r="M1749" i="1"/>
  <c r="M1747" i="1"/>
  <c r="M1745" i="1"/>
  <c r="M1743" i="1"/>
  <c r="M1741" i="1"/>
  <c r="M1739" i="1"/>
  <c r="M1737" i="1"/>
  <c r="M1735" i="1"/>
  <c r="M1733" i="1"/>
  <c r="M1731" i="1"/>
  <c r="M1729" i="1"/>
  <c r="M1727" i="1"/>
  <c r="M1725" i="1"/>
  <c r="M1723" i="1"/>
  <c r="M1721" i="1"/>
  <c r="M1719" i="1"/>
  <c r="M1717" i="1"/>
  <c r="M1715" i="1"/>
  <c r="M1713" i="1"/>
  <c r="M1711" i="1"/>
  <c r="M1709" i="1"/>
  <c r="M1707" i="1"/>
  <c r="M1705" i="1"/>
  <c r="M1703" i="1"/>
  <c r="M1701" i="1"/>
  <c r="M1699" i="1"/>
  <c r="M1697" i="1"/>
  <c r="M1695" i="1"/>
  <c r="M1693" i="1"/>
  <c r="M1691" i="1"/>
  <c r="M1689" i="1"/>
  <c r="M1687" i="1"/>
  <c r="M1685" i="1"/>
  <c r="M1683" i="1"/>
  <c r="M1681" i="1"/>
  <c r="M1679" i="1"/>
  <c r="M1677" i="1"/>
  <c r="M1675" i="1"/>
  <c r="M1673" i="1"/>
  <c r="M1671" i="1"/>
  <c r="M1669" i="1"/>
  <c r="M1667" i="1"/>
  <c r="M1665" i="1"/>
  <c r="M1663" i="1"/>
  <c r="M1661" i="1"/>
  <c r="M1659" i="1"/>
  <c r="M1657" i="1"/>
  <c r="M1655" i="1"/>
  <c r="M1653" i="1"/>
  <c r="M1651" i="1"/>
  <c r="M1649" i="1"/>
  <c r="M1647" i="1"/>
  <c r="M1645" i="1"/>
  <c r="M1643" i="1"/>
  <c r="M1641" i="1"/>
  <c r="M1639" i="1"/>
  <c r="M1637" i="1"/>
  <c r="M1635" i="1"/>
  <c r="M1633" i="1"/>
  <c r="M1631" i="1"/>
  <c r="M1629" i="1"/>
  <c r="M1627" i="1"/>
  <c r="M1625" i="1"/>
  <c r="M1623" i="1"/>
  <c r="M1621" i="1"/>
  <c r="M1619" i="1"/>
  <c r="M1617" i="1"/>
  <c r="M1615" i="1"/>
  <c r="M1613" i="1"/>
  <c r="M1611" i="1"/>
  <c r="M1609" i="1"/>
  <c r="M1607" i="1"/>
  <c r="M1605" i="1"/>
  <c r="M1603" i="1"/>
  <c r="M1601" i="1"/>
  <c r="M1599" i="1"/>
  <c r="M1597" i="1"/>
  <c r="M1595" i="1"/>
  <c r="M1593" i="1"/>
  <c r="M1591" i="1"/>
  <c r="M1589" i="1"/>
  <c r="M1587" i="1"/>
  <c r="M1585" i="1"/>
  <c r="M1583" i="1"/>
  <c r="M1581" i="1"/>
  <c r="M1579" i="1"/>
  <c r="M1577" i="1"/>
  <c r="M1575" i="1"/>
  <c r="M1573" i="1"/>
  <c r="M1571" i="1"/>
  <c r="M1569" i="1"/>
  <c r="M1567" i="1"/>
  <c r="M1565" i="1"/>
  <c r="M1563" i="1"/>
  <c r="M1561" i="1"/>
  <c r="M1559" i="1"/>
  <c r="M1557" i="1"/>
  <c r="M1555" i="1"/>
  <c r="M1553" i="1"/>
  <c r="M1551" i="1"/>
  <c r="M1549" i="1"/>
  <c r="M1547" i="1"/>
  <c r="M1545" i="1"/>
  <c r="M1543" i="1"/>
  <c r="M1541" i="1"/>
  <c r="M1539" i="1"/>
  <c r="M1537" i="1"/>
  <c r="M1535" i="1"/>
  <c r="M1533" i="1"/>
  <c r="M1531" i="1"/>
  <c r="M1529" i="1"/>
  <c r="M1527" i="1"/>
  <c r="M1525" i="1"/>
  <c r="M1523" i="1"/>
  <c r="M1521" i="1"/>
  <c r="M1519" i="1"/>
  <c r="M1517" i="1"/>
  <c r="M1515" i="1"/>
  <c r="M1513" i="1"/>
  <c r="M1511" i="1"/>
  <c r="M1509" i="1"/>
  <c r="M1507" i="1"/>
  <c r="M1505" i="1"/>
  <c r="M1503" i="1"/>
  <c r="M1501" i="1"/>
  <c r="M1499" i="1"/>
  <c r="M1497" i="1"/>
  <c r="M1495" i="1"/>
  <c r="M1493" i="1"/>
  <c r="M1491" i="1"/>
  <c r="M1489" i="1"/>
  <c r="M1487" i="1"/>
  <c r="M1485" i="1"/>
  <c r="M1483" i="1"/>
  <c r="M1481" i="1"/>
  <c r="M1479" i="1"/>
  <c r="M1477" i="1"/>
  <c r="M1475" i="1"/>
  <c r="M1473" i="1"/>
  <c r="M1471" i="1"/>
  <c r="M1469" i="1"/>
  <c r="M1467" i="1"/>
  <c r="M1465" i="1"/>
  <c r="M1463" i="1"/>
  <c r="M1461" i="1"/>
  <c r="M1459" i="1"/>
  <c r="M1457" i="1"/>
  <c r="M1455" i="1"/>
  <c r="M1453" i="1"/>
  <c r="M1451" i="1"/>
  <c r="M1449" i="1"/>
  <c r="M1447" i="1"/>
  <c r="M1445" i="1"/>
  <c r="M1443" i="1"/>
  <c r="M1441" i="1"/>
  <c r="M1439" i="1"/>
  <c r="M1437" i="1"/>
  <c r="M1435" i="1"/>
  <c r="M1433" i="1"/>
  <c r="M1431" i="1"/>
  <c r="M1429" i="1"/>
  <c r="M1427" i="1"/>
  <c r="M1425" i="1"/>
  <c r="M1423" i="1"/>
  <c r="M1421" i="1"/>
  <c r="M1419" i="1"/>
  <c r="M1417" i="1"/>
  <c r="M1415" i="1"/>
  <c r="M1413" i="1"/>
  <c r="M1411" i="1"/>
  <c r="M1409" i="1"/>
  <c r="M1407" i="1"/>
  <c r="M1405" i="1"/>
  <c r="M1403" i="1"/>
  <c r="M1401" i="1"/>
  <c r="M1399" i="1"/>
  <c r="M1397" i="1"/>
  <c r="M1395" i="1"/>
  <c r="M1393" i="1"/>
  <c r="M1391" i="1"/>
  <c r="M1389" i="1"/>
  <c r="M1387" i="1"/>
  <c r="M1385" i="1"/>
  <c r="M1383" i="1"/>
  <c r="M1381" i="1"/>
  <c r="M1379" i="1"/>
  <c r="M1377" i="1"/>
  <c r="M1375" i="1"/>
  <c r="M1373" i="1"/>
  <c r="M1371" i="1"/>
  <c r="M1369" i="1"/>
  <c r="M1367" i="1"/>
  <c r="M1365" i="1"/>
  <c r="M1363" i="1"/>
  <c r="M1361" i="1"/>
  <c r="M1359" i="1"/>
  <c r="M1357" i="1"/>
  <c r="M1355" i="1"/>
  <c r="M1353" i="1"/>
  <c r="M1351" i="1"/>
  <c r="M1349" i="1"/>
  <c r="M1347" i="1"/>
  <c r="M1345" i="1"/>
  <c r="M1343" i="1"/>
  <c r="M1341" i="1"/>
  <c r="M1339" i="1"/>
  <c r="M1337" i="1"/>
  <c r="M1335" i="1"/>
  <c r="M1333" i="1"/>
  <c r="M1331" i="1"/>
  <c r="M1329" i="1"/>
  <c r="M1327" i="1"/>
  <c r="M1325" i="1"/>
  <c r="M1323" i="1"/>
  <c r="M1321" i="1"/>
  <c r="M1319" i="1"/>
  <c r="M1317" i="1"/>
  <c r="M1315" i="1"/>
  <c r="M1313" i="1"/>
  <c r="M1311" i="1"/>
  <c r="M1309" i="1"/>
  <c r="M1307" i="1"/>
  <c r="M1305" i="1"/>
  <c r="M1303" i="1"/>
  <c r="M1301" i="1"/>
  <c r="M1299" i="1"/>
  <c r="M1297" i="1"/>
  <c r="M1295" i="1"/>
  <c r="M1293" i="1"/>
  <c r="M1291" i="1"/>
  <c r="M1289" i="1"/>
  <c r="M1287" i="1"/>
  <c r="M1285" i="1"/>
  <c r="M1283" i="1"/>
  <c r="M1281" i="1"/>
  <c r="M1279" i="1"/>
  <c r="M1277" i="1"/>
  <c r="M1275" i="1"/>
  <c r="M1273" i="1"/>
  <c r="M1271" i="1"/>
  <c r="M1269" i="1"/>
  <c r="M1267" i="1"/>
  <c r="M1265" i="1"/>
  <c r="M1263" i="1"/>
  <c r="M1261" i="1"/>
  <c r="M1259" i="1"/>
  <c r="M1257" i="1"/>
  <c r="M1255" i="1"/>
  <c r="M1253" i="1"/>
  <c r="M1251" i="1"/>
  <c r="M1249" i="1"/>
  <c r="M1247" i="1"/>
  <c r="M1245" i="1"/>
  <c r="M1243" i="1"/>
  <c r="M1241" i="1"/>
  <c r="M1239" i="1"/>
  <c r="M1237" i="1"/>
  <c r="M1235" i="1"/>
  <c r="M1233" i="1"/>
  <c r="M1231" i="1"/>
  <c r="M1229" i="1"/>
  <c r="M1227" i="1"/>
  <c r="M1225" i="1"/>
  <c r="M1223" i="1"/>
  <c r="M1221" i="1"/>
  <c r="M1219" i="1"/>
  <c r="M1217" i="1"/>
  <c r="M1215" i="1"/>
  <c r="M1213" i="1"/>
  <c r="M1211" i="1"/>
  <c r="M1209" i="1"/>
  <c r="M1207" i="1"/>
  <c r="M1205" i="1"/>
  <c r="M1203" i="1"/>
  <c r="M1201" i="1"/>
  <c r="M1199" i="1"/>
  <c r="M1197" i="1"/>
  <c r="M1195" i="1"/>
  <c r="M1193" i="1"/>
  <c r="M1191" i="1"/>
  <c r="M1189" i="1"/>
  <c r="M1187" i="1"/>
  <c r="M1185" i="1"/>
  <c r="M1183" i="1"/>
  <c r="M1181" i="1"/>
  <c r="M1179" i="1"/>
  <c r="M1177" i="1"/>
  <c r="M1175" i="1"/>
  <c r="M1173" i="1"/>
  <c r="M1171" i="1"/>
  <c r="M1169" i="1"/>
  <c r="M1167" i="1"/>
  <c r="M1165" i="1"/>
  <c r="M1163" i="1"/>
  <c r="M1161" i="1"/>
  <c r="M1159" i="1"/>
  <c r="M1157" i="1"/>
  <c r="M1155" i="1"/>
  <c r="M1153" i="1"/>
  <c r="M1151" i="1"/>
  <c r="M1149" i="1"/>
  <c r="M1147" i="1"/>
  <c r="M1145" i="1"/>
  <c r="M1143" i="1"/>
  <c r="M1141" i="1"/>
  <c r="M1139" i="1"/>
  <c r="M1137" i="1"/>
  <c r="M1135" i="1"/>
  <c r="M1133" i="1"/>
  <c r="M1131" i="1"/>
  <c r="M1129" i="1"/>
  <c r="M1127" i="1"/>
  <c r="M1125" i="1"/>
  <c r="M1123" i="1"/>
  <c r="M1121" i="1"/>
  <c r="M1119" i="1"/>
  <c r="M1117" i="1"/>
  <c r="M1115" i="1"/>
  <c r="M1113" i="1"/>
  <c r="M1111" i="1"/>
  <c r="M1109" i="1"/>
  <c r="M1107" i="1"/>
  <c r="M1105" i="1"/>
  <c r="M1103" i="1"/>
  <c r="M1101" i="1"/>
  <c r="M1099" i="1"/>
  <c r="M1097" i="1"/>
  <c r="M1095" i="1"/>
  <c r="M1093" i="1"/>
  <c r="M1091" i="1"/>
  <c r="M1089" i="1"/>
  <c r="M1087" i="1"/>
  <c r="M1085" i="1"/>
  <c r="M1083" i="1"/>
  <c r="M1081" i="1"/>
  <c r="M1079" i="1"/>
  <c r="M1077" i="1"/>
  <c r="M1075" i="1"/>
  <c r="M1073" i="1"/>
  <c r="M1071" i="1"/>
  <c r="M1069" i="1"/>
  <c r="M1067" i="1"/>
  <c r="M1065" i="1"/>
  <c r="M1063" i="1"/>
  <c r="M1061" i="1"/>
  <c r="M1059" i="1"/>
  <c r="M1057" i="1"/>
  <c r="M1055" i="1"/>
  <c r="M1053" i="1"/>
  <c r="M1051" i="1"/>
  <c r="M1049" i="1"/>
  <c r="M1047" i="1"/>
  <c r="M1045" i="1"/>
  <c r="M1043" i="1"/>
  <c r="M1041" i="1"/>
  <c r="M1039" i="1"/>
  <c r="M1037" i="1"/>
  <c r="M1035" i="1"/>
  <c r="M1033" i="1"/>
  <c r="M1031" i="1"/>
  <c r="M1029" i="1"/>
  <c r="M1027" i="1"/>
  <c r="M1025" i="1"/>
  <c r="M1023" i="1"/>
  <c r="M1021" i="1"/>
  <c r="M1019" i="1"/>
  <c r="M1017" i="1"/>
  <c r="M1015" i="1"/>
  <c r="M1013" i="1"/>
  <c r="M1011" i="1"/>
  <c r="M1009" i="1"/>
  <c r="M1007" i="1"/>
  <c r="M1005" i="1"/>
  <c r="M1003" i="1"/>
  <c r="M1001" i="1"/>
  <c r="M999" i="1"/>
  <c r="M997" i="1"/>
  <c r="M995" i="1"/>
  <c r="M993" i="1"/>
  <c r="M991" i="1"/>
  <c r="M989" i="1"/>
  <c r="M987" i="1"/>
  <c r="M985" i="1"/>
  <c r="M983" i="1"/>
  <c r="M981" i="1"/>
  <c r="M979" i="1"/>
  <c r="M977" i="1"/>
  <c r="M975" i="1"/>
  <c r="M973" i="1"/>
  <c r="M971" i="1"/>
  <c r="M969" i="1"/>
  <c r="M967" i="1"/>
  <c r="M965" i="1"/>
  <c r="M963" i="1"/>
  <c r="M961" i="1"/>
  <c r="M959" i="1"/>
  <c r="M957" i="1"/>
  <c r="M955" i="1"/>
  <c r="M953" i="1"/>
  <c r="M951" i="1"/>
  <c r="M949" i="1"/>
  <c r="M947" i="1"/>
  <c r="M945" i="1"/>
  <c r="M943" i="1"/>
  <c r="M941" i="1"/>
  <c r="M939" i="1"/>
  <c r="M937" i="1"/>
  <c r="M935" i="1"/>
  <c r="M933" i="1"/>
  <c r="M931" i="1"/>
  <c r="M929" i="1"/>
  <c r="M927" i="1"/>
  <c r="M925" i="1"/>
  <c r="M923" i="1"/>
  <c r="M921" i="1"/>
  <c r="M919" i="1"/>
  <c r="M917" i="1"/>
  <c r="M915" i="1"/>
  <c r="M913" i="1"/>
  <c r="M911" i="1"/>
  <c r="M909" i="1"/>
  <c r="M907" i="1"/>
  <c r="M905" i="1"/>
  <c r="M903" i="1"/>
  <c r="M901" i="1"/>
  <c r="M899" i="1"/>
  <c r="M897" i="1"/>
  <c r="M895" i="1"/>
  <c r="M893" i="1"/>
  <c r="M891" i="1"/>
  <c r="M889" i="1"/>
  <c r="M887" i="1"/>
  <c r="M885" i="1"/>
  <c r="M883" i="1"/>
  <c r="M881" i="1"/>
  <c r="M879" i="1"/>
  <c r="M877" i="1"/>
  <c r="M875" i="1"/>
  <c r="M873" i="1"/>
  <c r="M871" i="1"/>
  <c r="M869" i="1"/>
  <c r="M867" i="1"/>
  <c r="M865" i="1"/>
  <c r="M863" i="1"/>
  <c r="M861" i="1"/>
  <c r="M859" i="1"/>
  <c r="M857" i="1"/>
  <c r="M855" i="1"/>
  <c r="M853" i="1"/>
  <c r="M851" i="1"/>
  <c r="M849" i="1"/>
  <c r="M847" i="1"/>
  <c r="M845" i="1"/>
  <c r="M843" i="1"/>
  <c r="M841" i="1"/>
  <c r="M839" i="1"/>
  <c r="M837" i="1"/>
  <c r="M835" i="1"/>
  <c r="M833" i="1"/>
  <c r="M831" i="1"/>
  <c r="M829" i="1"/>
  <c r="M827" i="1"/>
  <c r="M825" i="1"/>
  <c r="M823" i="1"/>
  <c r="M821" i="1"/>
  <c r="M819" i="1"/>
  <c r="M817" i="1"/>
  <c r="M815" i="1"/>
  <c r="M813" i="1"/>
  <c r="M811" i="1"/>
  <c r="M809" i="1"/>
  <c r="M807" i="1"/>
  <c r="M805" i="1"/>
  <c r="M803" i="1"/>
  <c r="M801" i="1"/>
  <c r="M799" i="1"/>
  <c r="M797" i="1"/>
  <c r="M795" i="1"/>
  <c r="M793" i="1"/>
  <c r="M791" i="1"/>
  <c r="M789" i="1"/>
  <c r="M787" i="1"/>
  <c r="M785" i="1"/>
  <c r="M783" i="1"/>
  <c r="M781" i="1"/>
  <c r="M779" i="1"/>
  <c r="M777" i="1"/>
  <c r="M775" i="1"/>
  <c r="M773" i="1"/>
  <c r="M771" i="1"/>
  <c r="M769" i="1"/>
  <c r="M767" i="1"/>
  <c r="M765" i="1"/>
  <c r="M763" i="1"/>
  <c r="M761" i="1"/>
  <c r="M759" i="1"/>
  <c r="M757" i="1"/>
  <c r="M755" i="1"/>
  <c r="M753" i="1"/>
  <c r="M751" i="1"/>
  <c r="M749" i="1"/>
  <c r="M747" i="1"/>
  <c r="M745" i="1"/>
  <c r="M743" i="1"/>
  <c r="M741" i="1"/>
  <c r="M739" i="1"/>
  <c r="M737" i="1"/>
  <c r="M735" i="1"/>
  <c r="M733" i="1"/>
  <c r="M731" i="1"/>
  <c r="M729" i="1"/>
  <c r="M727" i="1"/>
  <c r="M725" i="1"/>
  <c r="M723" i="1"/>
  <c r="M721" i="1"/>
  <c r="M719" i="1"/>
  <c r="M717" i="1"/>
  <c r="M715" i="1"/>
  <c r="M713" i="1"/>
  <c r="M711" i="1"/>
  <c r="M709" i="1"/>
  <c r="M707" i="1"/>
  <c r="M705" i="1"/>
  <c r="M703" i="1"/>
  <c r="M701" i="1"/>
  <c r="M699" i="1"/>
  <c r="M697" i="1"/>
  <c r="M695" i="1"/>
  <c r="M693" i="1"/>
  <c r="M691" i="1"/>
  <c r="M689" i="1"/>
  <c r="M687" i="1"/>
  <c r="M685" i="1"/>
  <c r="M683" i="1"/>
  <c r="M681" i="1"/>
  <c r="M679" i="1"/>
  <c r="M677" i="1"/>
  <c r="M675" i="1"/>
  <c r="M673" i="1"/>
  <c r="M671" i="1"/>
  <c r="M669" i="1"/>
  <c r="M667" i="1"/>
  <c r="M665" i="1"/>
  <c r="M663" i="1"/>
  <c r="M661" i="1"/>
  <c r="M659" i="1"/>
  <c r="M657" i="1"/>
  <c r="M655" i="1"/>
  <c r="M653" i="1"/>
  <c r="M651" i="1"/>
  <c r="M649" i="1"/>
  <c r="M647" i="1"/>
  <c r="M645" i="1"/>
  <c r="M643" i="1"/>
  <c r="M641" i="1"/>
  <c r="M639" i="1"/>
  <c r="M637" i="1"/>
  <c r="M635" i="1"/>
  <c r="M633" i="1"/>
  <c r="M631" i="1"/>
  <c r="M629" i="1"/>
  <c r="M627" i="1"/>
  <c r="M625" i="1"/>
  <c r="M623" i="1"/>
  <c r="M621" i="1"/>
  <c r="M619" i="1"/>
  <c r="M617" i="1"/>
  <c r="M615" i="1"/>
  <c r="M613" i="1"/>
  <c r="M611" i="1"/>
  <c r="M609" i="1"/>
  <c r="M607" i="1"/>
  <c r="M605" i="1"/>
  <c r="M603" i="1"/>
  <c r="M601" i="1"/>
  <c r="M599" i="1"/>
  <c r="M597" i="1"/>
  <c r="M595" i="1"/>
  <c r="M593" i="1"/>
  <c r="M591" i="1"/>
  <c r="M589" i="1"/>
  <c r="M587" i="1"/>
  <c r="M585" i="1"/>
  <c r="M583" i="1"/>
  <c r="M581" i="1"/>
  <c r="M579" i="1"/>
  <c r="M577" i="1"/>
  <c r="M575" i="1"/>
  <c r="M573" i="1"/>
  <c r="M571" i="1"/>
  <c r="M569" i="1"/>
  <c r="M567" i="1"/>
  <c r="M565" i="1"/>
  <c r="M563" i="1"/>
  <c r="M561" i="1"/>
  <c r="M559" i="1"/>
  <c r="M557" i="1"/>
  <c r="M555" i="1"/>
  <c r="M553" i="1"/>
  <c r="M551" i="1"/>
  <c r="M549" i="1"/>
  <c r="M547" i="1"/>
  <c r="M545" i="1"/>
  <c r="M543" i="1"/>
  <c r="M541" i="1"/>
  <c r="M539" i="1"/>
  <c r="M537" i="1"/>
  <c r="M535" i="1"/>
  <c r="M533" i="1"/>
  <c r="M531" i="1"/>
  <c r="M529" i="1"/>
  <c r="M527" i="1"/>
  <c r="M525" i="1"/>
  <c r="M523" i="1"/>
  <c r="M521" i="1"/>
  <c r="M519" i="1"/>
  <c r="M517" i="1"/>
  <c r="M515" i="1"/>
  <c r="M513" i="1"/>
  <c r="M511" i="1"/>
  <c r="M509" i="1"/>
  <c r="M507" i="1"/>
  <c r="M505" i="1"/>
  <c r="M503" i="1"/>
  <c r="M501" i="1"/>
  <c r="M499" i="1"/>
  <c r="M497" i="1"/>
  <c r="M495" i="1"/>
  <c r="M493" i="1"/>
  <c r="M491" i="1"/>
  <c r="M489" i="1"/>
  <c r="M487" i="1"/>
  <c r="M485" i="1"/>
  <c r="M483" i="1"/>
  <c r="M481" i="1"/>
  <c r="M479" i="1"/>
  <c r="M477" i="1"/>
  <c r="M475" i="1"/>
  <c r="M473" i="1"/>
  <c r="M471" i="1"/>
  <c r="M469" i="1"/>
  <c r="M467" i="1"/>
  <c r="M465" i="1"/>
  <c r="M463" i="1"/>
  <c r="M461" i="1"/>
  <c r="M459" i="1"/>
  <c r="M457" i="1"/>
  <c r="M455" i="1"/>
  <c r="M453" i="1"/>
  <c r="M451" i="1"/>
  <c r="M449" i="1"/>
  <c r="M447" i="1"/>
  <c r="M445" i="1"/>
  <c r="M443" i="1"/>
  <c r="M441" i="1"/>
  <c r="M439" i="1"/>
  <c r="M437" i="1"/>
  <c r="M435" i="1"/>
  <c r="M433" i="1"/>
  <c r="M431" i="1"/>
  <c r="M429" i="1"/>
  <c r="M427" i="1"/>
  <c r="M425" i="1"/>
  <c r="M423" i="1"/>
  <c r="M421" i="1"/>
  <c r="M419" i="1"/>
  <c r="M417" i="1"/>
  <c r="M415" i="1"/>
  <c r="M413" i="1"/>
  <c r="M411" i="1"/>
  <c r="M409" i="1"/>
  <c r="M407" i="1"/>
  <c r="M405" i="1"/>
  <c r="M403" i="1"/>
  <c r="M401" i="1"/>
  <c r="M399" i="1"/>
  <c r="M397" i="1"/>
  <c r="M395" i="1"/>
  <c r="M393" i="1"/>
  <c r="M391" i="1"/>
  <c r="M389" i="1"/>
  <c r="M387" i="1"/>
  <c r="M385" i="1"/>
  <c r="M383" i="1"/>
  <c r="M381" i="1"/>
  <c r="M379" i="1"/>
  <c r="M377" i="1"/>
  <c r="M375" i="1"/>
  <c r="M373" i="1"/>
  <c r="M371" i="1"/>
  <c r="M369" i="1"/>
  <c r="M367" i="1"/>
  <c r="M365" i="1"/>
  <c r="M363" i="1"/>
  <c r="M361" i="1"/>
  <c r="M359" i="1"/>
  <c r="M357" i="1"/>
  <c r="M355" i="1"/>
  <c r="M353" i="1"/>
  <c r="M351" i="1"/>
  <c r="M349" i="1"/>
  <c r="M347" i="1"/>
  <c r="M345" i="1"/>
  <c r="M343" i="1"/>
  <c r="M341" i="1"/>
  <c r="M339" i="1"/>
  <c r="M337" i="1"/>
  <c r="M335" i="1"/>
  <c r="M333" i="1"/>
  <c r="M331" i="1"/>
  <c r="M329" i="1"/>
  <c r="M327" i="1"/>
  <c r="M325" i="1"/>
  <c r="M323" i="1"/>
  <c r="M321" i="1"/>
  <c r="M319" i="1"/>
  <c r="M317" i="1"/>
  <c r="M315" i="1"/>
  <c r="M313" i="1"/>
  <c r="M311" i="1"/>
  <c r="M309" i="1"/>
  <c r="M307" i="1"/>
  <c r="M305" i="1"/>
  <c r="M303" i="1"/>
  <c r="M301" i="1"/>
  <c r="M299" i="1"/>
  <c r="M297" i="1"/>
  <c r="M295" i="1"/>
  <c r="M293" i="1"/>
  <c r="M291" i="1"/>
  <c r="M289" i="1"/>
  <c r="M287" i="1"/>
  <c r="M285" i="1"/>
  <c r="M283" i="1"/>
  <c r="M281" i="1"/>
  <c r="M279" i="1"/>
  <c r="M277" i="1"/>
  <c r="M275" i="1"/>
  <c r="M273" i="1"/>
  <c r="M271" i="1"/>
  <c r="M269" i="1"/>
  <c r="M267" i="1"/>
  <c r="M265" i="1"/>
  <c r="M263" i="1"/>
  <c r="M261" i="1"/>
  <c r="M259" i="1"/>
  <c r="M257" i="1"/>
  <c r="M255" i="1"/>
  <c r="M253" i="1"/>
  <c r="M251" i="1"/>
  <c r="M249" i="1"/>
  <c r="M247" i="1"/>
  <c r="M245" i="1"/>
  <c r="M243" i="1"/>
  <c r="M241" i="1"/>
  <c r="M239" i="1"/>
  <c r="M237" i="1"/>
  <c r="M235" i="1"/>
  <c r="M233" i="1"/>
  <c r="M231" i="1"/>
  <c r="M229" i="1"/>
  <c r="M227" i="1"/>
  <c r="M225" i="1"/>
  <c r="M223" i="1"/>
  <c r="M221" i="1"/>
  <c r="M219" i="1"/>
  <c r="M217" i="1"/>
  <c r="M215" i="1"/>
  <c r="M213" i="1"/>
  <c r="M211" i="1"/>
  <c r="M209" i="1"/>
  <c r="M207" i="1"/>
  <c r="M205" i="1"/>
  <c r="M203" i="1"/>
  <c r="M201" i="1"/>
  <c r="M199" i="1"/>
  <c r="M197" i="1"/>
  <c r="M195" i="1"/>
  <c r="M193" i="1"/>
  <c r="M191" i="1"/>
  <c r="M189" i="1"/>
  <c r="M187" i="1"/>
  <c r="M185" i="1"/>
  <c r="M183" i="1"/>
  <c r="M181" i="1"/>
  <c r="M179" i="1"/>
  <c r="M177" i="1"/>
  <c r="M175" i="1"/>
  <c r="M173" i="1"/>
  <c r="M171" i="1"/>
  <c r="M169" i="1"/>
  <c r="M167" i="1"/>
  <c r="M165" i="1"/>
  <c r="M163" i="1"/>
  <c r="M161" i="1"/>
  <c r="M159" i="1"/>
  <c r="M157" i="1"/>
  <c r="M155" i="1"/>
  <c r="M153" i="1"/>
  <c r="M151" i="1"/>
  <c r="M149" i="1"/>
  <c r="M147" i="1"/>
  <c r="M145" i="1"/>
  <c r="M143" i="1"/>
  <c r="M141" i="1"/>
  <c r="M139" i="1"/>
  <c r="M137" i="1"/>
  <c r="M135" i="1"/>
  <c r="M133" i="1"/>
  <c r="M131" i="1"/>
  <c r="M129" i="1"/>
  <c r="M127" i="1"/>
  <c r="M125" i="1"/>
  <c r="M123" i="1"/>
  <c r="M121" i="1"/>
  <c r="M119" i="1"/>
  <c r="M117" i="1"/>
  <c r="M115" i="1"/>
  <c r="M113" i="1"/>
  <c r="M111" i="1"/>
  <c r="M109" i="1"/>
  <c r="M107" i="1"/>
  <c r="M105" i="1"/>
  <c r="M103" i="1"/>
  <c r="M101" i="1"/>
  <c r="M99" i="1"/>
  <c r="M97" i="1"/>
  <c r="M95" i="1"/>
  <c r="M93" i="1"/>
  <c r="M91" i="1"/>
  <c r="M89" i="1"/>
  <c r="M87" i="1"/>
  <c r="M85" i="1"/>
  <c r="M83" i="1"/>
  <c r="M81" i="1"/>
  <c r="M79" i="1"/>
  <c r="M77" i="1"/>
  <c r="M75" i="1"/>
  <c r="M73" i="1"/>
  <c r="M71" i="1"/>
  <c r="M69" i="1"/>
  <c r="M67" i="1"/>
  <c r="M65" i="1"/>
  <c r="M63" i="1"/>
  <c r="M61" i="1"/>
  <c r="M59" i="1"/>
  <c r="M57" i="1"/>
  <c r="M55" i="1"/>
  <c r="M53" i="1"/>
  <c r="M51" i="1"/>
  <c r="M49" i="1"/>
  <c r="M47" i="1"/>
  <c r="M45" i="1"/>
  <c r="M43" i="1"/>
  <c r="M41" i="1"/>
  <c r="M39" i="1"/>
  <c r="M37" i="1"/>
  <c r="M35" i="1"/>
  <c r="M33" i="1"/>
  <c r="M31" i="1"/>
  <c r="M29" i="1"/>
  <c r="M27" i="1"/>
  <c r="M25" i="1"/>
  <c r="M23" i="1"/>
  <c r="M21" i="1"/>
  <c r="M19" i="1"/>
  <c r="M17" i="1"/>
  <c r="M2016" i="1"/>
  <c r="M2014" i="1"/>
  <c r="M2012" i="1"/>
  <c r="M2010" i="1"/>
  <c r="M2008" i="1"/>
  <c r="M2006" i="1"/>
  <c r="M2004" i="1"/>
  <c r="M2002" i="1"/>
  <c r="M2000" i="1"/>
  <c r="M1998" i="1"/>
  <c r="M1996" i="1"/>
  <c r="M1994" i="1"/>
  <c r="M1992" i="1"/>
  <c r="M1990" i="1"/>
  <c r="M1988" i="1"/>
  <c r="M1986" i="1"/>
  <c r="M1984" i="1"/>
  <c r="M1982" i="1"/>
  <c r="M1980" i="1"/>
  <c r="M1978" i="1"/>
  <c r="M1976" i="1"/>
  <c r="M1974" i="1"/>
  <c r="M1972" i="1"/>
  <c r="M1970" i="1"/>
  <c r="M1968" i="1"/>
  <c r="M1966" i="1"/>
  <c r="M1964" i="1"/>
  <c r="M1962" i="1"/>
  <c r="M1960" i="1"/>
  <c r="M1958" i="1"/>
  <c r="M1956" i="1"/>
  <c r="M1954" i="1"/>
  <c r="M1952" i="1"/>
  <c r="M1950" i="1"/>
  <c r="M1948" i="1"/>
  <c r="M1946" i="1"/>
  <c r="M1944" i="1"/>
  <c r="M1942" i="1"/>
  <c r="M1940" i="1"/>
  <c r="M1938" i="1"/>
  <c r="M1936" i="1"/>
  <c r="M1934" i="1"/>
  <c r="M1932" i="1"/>
  <c r="M1930" i="1"/>
  <c r="M1928" i="1"/>
  <c r="M1926" i="1"/>
  <c r="M1924" i="1"/>
  <c r="M1922" i="1"/>
  <c r="M1920" i="1"/>
  <c r="M1918" i="1"/>
  <c r="M1916" i="1"/>
  <c r="M1914" i="1"/>
  <c r="M1912" i="1"/>
  <c r="M1910" i="1"/>
  <c r="M1908" i="1"/>
  <c r="M1906" i="1"/>
  <c r="M1904" i="1"/>
  <c r="M1902" i="1"/>
  <c r="M1900" i="1"/>
  <c r="M1898" i="1"/>
  <c r="M1896" i="1"/>
  <c r="M1894" i="1"/>
  <c r="M1892" i="1"/>
  <c r="M1890" i="1"/>
  <c r="M1888" i="1"/>
  <c r="M1886" i="1"/>
  <c r="M1884" i="1"/>
  <c r="M1882" i="1"/>
  <c r="M1880" i="1"/>
  <c r="M1878" i="1"/>
  <c r="M1876" i="1"/>
  <c r="M1874" i="1"/>
  <c r="M1872" i="1"/>
  <c r="M1870" i="1"/>
  <c r="M1868" i="1"/>
  <c r="M1866" i="1"/>
  <c r="M1864" i="1"/>
  <c r="M1862" i="1"/>
  <c r="M1860" i="1"/>
  <c r="M1858" i="1"/>
  <c r="M1856" i="1"/>
  <c r="M1854" i="1"/>
  <c r="M1852" i="1"/>
  <c r="M1850" i="1"/>
  <c r="M1848" i="1"/>
  <c r="M1846" i="1"/>
  <c r="M1844" i="1"/>
  <c r="M1842" i="1"/>
  <c r="M1840" i="1"/>
  <c r="M1838" i="1"/>
  <c r="M1836" i="1"/>
  <c r="M1834" i="1"/>
  <c r="M1832" i="1"/>
  <c r="M1830" i="1"/>
  <c r="M1828" i="1"/>
  <c r="M1826" i="1"/>
  <c r="M1824" i="1"/>
  <c r="M1822" i="1"/>
  <c r="M1820" i="1"/>
  <c r="M1818" i="1"/>
  <c r="M1816" i="1"/>
  <c r="M1814" i="1"/>
  <c r="M1812" i="1"/>
  <c r="M1810" i="1"/>
  <c r="M1808" i="1"/>
  <c r="M1806" i="1"/>
  <c r="M1804" i="1"/>
  <c r="M1802" i="1"/>
  <c r="M1800" i="1"/>
  <c r="M1798" i="1"/>
  <c r="M1796" i="1"/>
  <c r="M1794" i="1"/>
  <c r="M1792" i="1"/>
  <c r="M1790" i="1"/>
  <c r="M1788" i="1"/>
  <c r="M1786" i="1"/>
  <c r="M1784" i="1"/>
  <c r="M1782" i="1"/>
  <c r="M1780" i="1"/>
  <c r="M1778" i="1"/>
  <c r="M1776" i="1"/>
  <c r="M1774" i="1"/>
  <c r="M1772" i="1"/>
  <c r="M1770" i="1"/>
  <c r="M1768" i="1"/>
  <c r="M1766" i="1"/>
  <c r="M1764" i="1"/>
  <c r="M1762" i="1"/>
  <c r="M1760" i="1"/>
  <c r="M1758" i="1"/>
  <c r="M1756" i="1"/>
  <c r="M1754" i="1"/>
  <c r="M1752" i="1"/>
  <c r="M1750" i="1"/>
  <c r="M1748" i="1"/>
  <c r="M1746" i="1"/>
  <c r="M1744" i="1"/>
  <c r="M1742" i="1"/>
  <c r="M1740" i="1"/>
  <c r="M1738" i="1"/>
  <c r="M1736" i="1"/>
  <c r="M1734" i="1"/>
  <c r="M1732" i="1"/>
  <c r="M1730" i="1"/>
  <c r="M1728" i="1"/>
  <c r="M1726" i="1"/>
  <c r="M1724" i="1"/>
  <c r="M1722" i="1"/>
  <c r="M1720" i="1"/>
  <c r="M1718" i="1"/>
  <c r="M1716" i="1"/>
  <c r="M1714" i="1"/>
  <c r="M1712" i="1"/>
  <c r="M1710" i="1"/>
  <c r="M1708" i="1"/>
  <c r="M1706" i="1"/>
  <c r="M1704" i="1"/>
  <c r="M1702" i="1"/>
  <c r="M1700" i="1"/>
  <c r="M1698" i="1"/>
  <c r="M1696" i="1"/>
  <c r="M1694" i="1"/>
  <c r="M1692" i="1"/>
  <c r="M1690" i="1"/>
  <c r="M1688" i="1"/>
  <c r="M1686" i="1"/>
  <c r="M1684" i="1"/>
  <c r="M1682" i="1"/>
  <c r="M1680" i="1"/>
  <c r="M1678" i="1"/>
  <c r="M1676" i="1"/>
  <c r="M1674" i="1"/>
  <c r="M1672" i="1"/>
  <c r="M1670" i="1"/>
  <c r="M1668" i="1"/>
  <c r="M1666" i="1"/>
  <c r="M1664" i="1"/>
  <c r="M1662" i="1"/>
  <c r="M1660" i="1"/>
  <c r="M1658" i="1"/>
  <c r="M1656" i="1"/>
  <c r="M1654" i="1"/>
  <c r="M1652" i="1"/>
  <c r="M1650" i="1"/>
  <c r="M1648" i="1"/>
  <c r="M1646" i="1"/>
  <c r="M1644" i="1"/>
  <c r="M1642" i="1"/>
  <c r="M1640" i="1"/>
  <c r="M1638" i="1"/>
  <c r="M1636" i="1"/>
  <c r="M1634" i="1"/>
  <c r="M1632" i="1"/>
  <c r="M1630" i="1"/>
  <c r="M1628" i="1"/>
  <c r="M1626" i="1"/>
  <c r="M1624" i="1"/>
  <c r="M1622" i="1"/>
  <c r="M1620" i="1"/>
  <c r="M1618" i="1"/>
  <c r="M1616" i="1"/>
  <c r="M1614" i="1"/>
  <c r="M1612" i="1"/>
  <c r="M1610" i="1"/>
  <c r="M1608" i="1"/>
  <c r="M1606" i="1"/>
  <c r="M1604" i="1"/>
  <c r="M1602" i="1"/>
  <c r="M1600" i="1"/>
  <c r="M1598" i="1"/>
  <c r="M1596" i="1"/>
  <c r="M1594" i="1"/>
  <c r="M1592" i="1"/>
  <c r="M1590" i="1"/>
  <c r="M1588" i="1"/>
  <c r="M1586" i="1"/>
  <c r="M1584" i="1"/>
  <c r="M1582" i="1"/>
  <c r="M1580" i="1"/>
  <c r="M1578" i="1"/>
  <c r="M1576" i="1"/>
  <c r="M1574" i="1"/>
  <c r="M1572" i="1"/>
  <c r="M1570" i="1"/>
  <c r="M1568" i="1"/>
  <c r="M1566" i="1"/>
  <c r="M1564" i="1"/>
  <c r="M1562" i="1"/>
  <c r="M1560" i="1"/>
  <c r="M1558" i="1"/>
  <c r="M1556" i="1"/>
  <c r="M1554" i="1"/>
  <c r="M1552" i="1"/>
  <c r="M1550" i="1"/>
  <c r="M1548" i="1"/>
  <c r="M1546" i="1"/>
  <c r="M1544" i="1"/>
  <c r="M1542" i="1"/>
  <c r="M1540" i="1"/>
  <c r="M1538" i="1"/>
  <c r="M1536" i="1"/>
  <c r="M1534" i="1"/>
  <c r="M1532" i="1"/>
  <c r="M1530" i="1"/>
  <c r="M1528" i="1"/>
  <c r="M1526" i="1"/>
  <c r="M1524" i="1"/>
  <c r="M1522" i="1"/>
  <c r="M1520" i="1"/>
  <c r="M1518" i="1"/>
  <c r="M1516" i="1"/>
  <c r="M1514" i="1"/>
  <c r="M1512" i="1"/>
  <c r="M1510" i="1"/>
  <c r="M1508" i="1"/>
  <c r="M1506" i="1"/>
  <c r="M1504" i="1"/>
  <c r="M1502" i="1"/>
  <c r="M1500" i="1"/>
  <c r="M1498" i="1"/>
  <c r="M1496" i="1"/>
  <c r="M1494" i="1"/>
  <c r="M1492" i="1"/>
  <c r="M1490" i="1"/>
  <c r="M1488" i="1"/>
  <c r="M1486" i="1"/>
  <c r="M1484" i="1"/>
  <c r="M1482" i="1"/>
  <c r="M1480" i="1"/>
  <c r="M1478" i="1"/>
  <c r="M1476" i="1"/>
  <c r="M1474" i="1"/>
  <c r="M1472" i="1"/>
  <c r="M1470" i="1"/>
  <c r="M1468" i="1"/>
  <c r="M1466" i="1"/>
  <c r="M1464" i="1"/>
  <c r="M1462" i="1"/>
  <c r="M1460" i="1"/>
  <c r="M1458" i="1"/>
  <c r="M1456" i="1"/>
  <c r="M1454" i="1"/>
  <c r="M1452" i="1"/>
  <c r="M1450" i="1"/>
  <c r="M1448" i="1"/>
  <c r="M1446" i="1"/>
  <c r="M1444" i="1"/>
  <c r="M1442" i="1"/>
  <c r="M1440" i="1"/>
  <c r="M1438" i="1"/>
  <c r="M1436" i="1"/>
  <c r="M1434" i="1"/>
  <c r="M1432" i="1"/>
  <c r="M1430" i="1"/>
  <c r="M1428" i="1"/>
  <c r="M1426" i="1"/>
  <c r="M1424" i="1"/>
  <c r="M1422" i="1"/>
  <c r="M1420" i="1"/>
  <c r="M1418" i="1"/>
  <c r="M1416" i="1"/>
  <c r="M1414" i="1"/>
  <c r="M1412" i="1"/>
  <c r="M1410" i="1"/>
  <c r="M1408" i="1"/>
  <c r="M1406" i="1"/>
  <c r="M1404" i="1"/>
  <c r="M1402" i="1"/>
  <c r="M1400" i="1"/>
  <c r="M1398" i="1"/>
  <c r="M1396" i="1"/>
  <c r="M1394" i="1"/>
  <c r="M1392" i="1"/>
  <c r="M1390" i="1"/>
  <c r="M1388" i="1"/>
  <c r="M1386" i="1"/>
  <c r="M1384" i="1"/>
  <c r="M1382" i="1"/>
  <c r="M1380" i="1"/>
  <c r="M1378" i="1"/>
  <c r="M1376" i="1"/>
  <c r="M1374" i="1"/>
  <c r="M1372" i="1"/>
  <c r="M1370" i="1"/>
  <c r="M1368" i="1"/>
  <c r="M1366" i="1"/>
  <c r="M1364" i="1"/>
  <c r="M1362" i="1"/>
  <c r="M1360" i="1"/>
  <c r="M1358" i="1"/>
  <c r="M1356" i="1"/>
  <c r="M1354" i="1"/>
  <c r="M1352" i="1"/>
  <c r="M1350" i="1"/>
  <c r="M1348" i="1"/>
  <c r="M1346" i="1"/>
  <c r="M1344" i="1"/>
  <c r="M1342" i="1"/>
  <c r="M1340" i="1"/>
  <c r="M1338" i="1"/>
  <c r="M1336" i="1"/>
  <c r="M1334" i="1"/>
  <c r="M1332" i="1"/>
  <c r="M1330" i="1"/>
  <c r="M1328" i="1"/>
  <c r="M1326" i="1"/>
  <c r="M1324" i="1"/>
  <c r="M1322" i="1"/>
  <c r="M1320" i="1"/>
  <c r="M1318" i="1"/>
  <c r="M1316" i="1"/>
  <c r="M1314" i="1"/>
  <c r="M1312" i="1"/>
  <c r="M1310" i="1"/>
  <c r="M1308" i="1"/>
  <c r="M1306" i="1"/>
  <c r="M1304" i="1"/>
  <c r="M1302" i="1"/>
  <c r="M1300" i="1"/>
  <c r="M1298" i="1"/>
  <c r="M1296" i="1"/>
  <c r="M1294" i="1"/>
  <c r="M1292" i="1"/>
  <c r="M1290" i="1"/>
  <c r="M1288" i="1"/>
  <c r="M1286" i="1"/>
  <c r="M1284" i="1"/>
  <c r="M1282" i="1"/>
  <c r="M1280" i="1"/>
  <c r="M1278" i="1"/>
  <c r="M1276" i="1"/>
  <c r="M1274" i="1"/>
  <c r="M1272" i="1"/>
  <c r="M1270" i="1"/>
  <c r="M1268" i="1"/>
  <c r="M1266" i="1"/>
  <c r="M1264" i="1"/>
  <c r="M1262" i="1"/>
  <c r="M1260" i="1"/>
  <c r="M1258" i="1"/>
  <c r="M1256" i="1"/>
  <c r="M1254" i="1"/>
  <c r="M1252" i="1"/>
  <c r="M1250" i="1"/>
  <c r="M1248" i="1"/>
  <c r="M1246" i="1"/>
  <c r="M1244" i="1"/>
  <c r="M1242" i="1"/>
  <c r="M1240" i="1"/>
  <c r="M1238" i="1"/>
  <c r="M1236" i="1"/>
  <c r="M1234" i="1"/>
  <c r="M1232" i="1"/>
  <c r="M1230" i="1"/>
  <c r="M1228" i="1"/>
  <c r="M1226" i="1"/>
  <c r="M1224" i="1"/>
  <c r="M1222" i="1"/>
  <c r="M1220" i="1"/>
  <c r="M1218" i="1"/>
  <c r="M1216" i="1"/>
  <c r="M1214" i="1"/>
  <c r="M1212" i="1"/>
  <c r="M1210" i="1"/>
  <c r="M1208" i="1"/>
  <c r="M1206" i="1"/>
  <c r="M1204" i="1"/>
  <c r="M1202" i="1"/>
  <c r="M1200" i="1"/>
  <c r="M1198" i="1"/>
  <c r="M1196" i="1"/>
  <c r="M1194" i="1"/>
  <c r="M1192" i="1"/>
  <c r="M1190" i="1"/>
  <c r="M1188" i="1"/>
  <c r="M1186" i="1"/>
  <c r="M1184" i="1"/>
  <c r="M1182" i="1"/>
  <c r="M1180" i="1"/>
  <c r="M1178" i="1"/>
  <c r="M1176" i="1"/>
  <c r="M1174" i="1"/>
  <c r="M1172" i="1"/>
  <c r="M1170" i="1"/>
  <c r="M1168" i="1"/>
  <c r="M1166" i="1"/>
  <c r="M1164" i="1"/>
  <c r="M1162" i="1"/>
  <c r="M1160" i="1"/>
  <c r="M1158" i="1"/>
  <c r="M1156" i="1"/>
  <c r="M1154" i="1"/>
  <c r="M1152" i="1"/>
  <c r="M1150" i="1"/>
  <c r="M1148" i="1"/>
  <c r="M1146" i="1"/>
  <c r="M1144" i="1"/>
  <c r="M1142" i="1"/>
  <c r="M1140" i="1"/>
  <c r="M1138" i="1"/>
  <c r="M1136" i="1"/>
  <c r="M1134" i="1"/>
  <c r="M1132" i="1"/>
  <c r="M1130" i="1"/>
  <c r="M1128" i="1"/>
  <c r="M1126" i="1"/>
  <c r="M1124" i="1"/>
  <c r="M1122" i="1"/>
  <c r="M1120" i="1"/>
  <c r="M1118" i="1"/>
  <c r="M1116" i="1"/>
  <c r="M1114" i="1"/>
  <c r="M1112" i="1"/>
  <c r="M1110" i="1"/>
  <c r="M1108" i="1"/>
  <c r="M1106" i="1"/>
  <c r="M1104" i="1"/>
  <c r="M1102" i="1"/>
  <c r="M1100" i="1"/>
  <c r="M1098" i="1"/>
  <c r="M1096" i="1"/>
  <c r="M1094" i="1"/>
  <c r="M1092" i="1"/>
  <c r="M1090" i="1"/>
  <c r="M1088" i="1"/>
  <c r="M1086" i="1"/>
  <c r="M1084" i="1"/>
  <c r="M1082" i="1"/>
  <c r="M1080" i="1"/>
  <c r="M1078" i="1"/>
  <c r="M1076" i="1"/>
  <c r="M1074" i="1"/>
  <c r="M1072" i="1"/>
  <c r="M1070" i="1"/>
  <c r="M1068" i="1"/>
  <c r="M1066" i="1"/>
  <c r="M1064" i="1"/>
  <c r="M1062" i="1"/>
  <c r="M1060" i="1"/>
  <c r="M1058" i="1"/>
  <c r="M1056" i="1"/>
  <c r="M1054" i="1"/>
  <c r="M1052" i="1"/>
  <c r="M1050" i="1"/>
  <c r="M1048" i="1"/>
  <c r="M1046" i="1"/>
  <c r="M1044" i="1"/>
  <c r="M1042" i="1"/>
  <c r="M1040" i="1"/>
  <c r="M1038" i="1"/>
  <c r="M1036" i="1"/>
  <c r="M1034" i="1"/>
  <c r="M1032" i="1"/>
  <c r="M1030" i="1"/>
  <c r="M1028" i="1"/>
  <c r="M1026" i="1"/>
  <c r="M1024" i="1"/>
  <c r="M1022" i="1"/>
  <c r="M1020" i="1"/>
  <c r="M1018" i="1"/>
  <c r="M1016" i="1"/>
  <c r="M1014" i="1"/>
  <c r="M1012" i="1"/>
  <c r="M1010" i="1"/>
  <c r="M1008" i="1"/>
  <c r="M1006" i="1"/>
  <c r="M1004" i="1"/>
  <c r="M1002" i="1"/>
  <c r="M1000" i="1"/>
  <c r="M998" i="1"/>
  <c r="M996" i="1"/>
  <c r="M994" i="1"/>
  <c r="M992" i="1"/>
  <c r="M990" i="1"/>
  <c r="M988" i="1"/>
  <c r="M986" i="1"/>
  <c r="M984" i="1"/>
  <c r="M982" i="1"/>
  <c r="M980" i="1"/>
  <c r="M978" i="1"/>
  <c r="M976" i="1"/>
  <c r="M974" i="1"/>
  <c r="M972" i="1"/>
  <c r="M970" i="1"/>
  <c r="M968" i="1"/>
  <c r="M966" i="1"/>
  <c r="M964" i="1"/>
  <c r="M962" i="1"/>
  <c r="M960" i="1"/>
  <c r="M958" i="1"/>
  <c r="M956" i="1"/>
  <c r="M954" i="1"/>
  <c r="M952" i="1"/>
  <c r="M950" i="1"/>
  <c r="M948" i="1"/>
  <c r="M946" i="1"/>
  <c r="M944" i="1"/>
  <c r="M942" i="1"/>
  <c r="M940" i="1"/>
  <c r="M938" i="1"/>
  <c r="M936" i="1"/>
  <c r="M934" i="1"/>
  <c r="M932" i="1"/>
  <c r="M930" i="1"/>
  <c r="M928" i="1"/>
  <c r="M926" i="1"/>
  <c r="M924" i="1"/>
  <c r="M922" i="1"/>
  <c r="M920" i="1"/>
  <c r="M918" i="1"/>
  <c r="M916" i="1"/>
  <c r="M914" i="1"/>
  <c r="M912" i="1"/>
  <c r="M910" i="1"/>
  <c r="M908" i="1"/>
  <c r="M906" i="1"/>
  <c r="M904" i="1"/>
  <c r="M902" i="1"/>
  <c r="M900" i="1"/>
  <c r="M898" i="1"/>
  <c r="M896" i="1"/>
  <c r="M894" i="1"/>
  <c r="M892" i="1"/>
  <c r="M890" i="1"/>
  <c r="M888" i="1"/>
  <c r="M886" i="1"/>
  <c r="M884" i="1"/>
  <c r="M882" i="1"/>
  <c r="M880" i="1"/>
  <c r="M878" i="1"/>
  <c r="M876" i="1"/>
  <c r="M874" i="1"/>
  <c r="M872" i="1"/>
  <c r="M870" i="1"/>
  <c r="M868" i="1"/>
  <c r="M866" i="1"/>
  <c r="M864" i="1"/>
  <c r="M862" i="1"/>
  <c r="M860" i="1"/>
  <c r="M858" i="1"/>
  <c r="M856" i="1"/>
  <c r="M854" i="1"/>
  <c r="M852" i="1"/>
  <c r="M850" i="1"/>
  <c r="M848" i="1"/>
  <c r="M846" i="1"/>
  <c r="M844" i="1"/>
  <c r="M842" i="1"/>
  <c r="M840" i="1"/>
  <c r="M838" i="1"/>
  <c r="M836" i="1"/>
  <c r="M834" i="1"/>
  <c r="M832" i="1"/>
  <c r="M830" i="1"/>
  <c r="M828" i="1"/>
  <c r="M826" i="1"/>
  <c r="M824" i="1"/>
  <c r="M822" i="1"/>
  <c r="M820" i="1"/>
  <c r="M818" i="1"/>
  <c r="M816" i="1"/>
  <c r="M814" i="1"/>
  <c r="M812" i="1"/>
  <c r="M810" i="1"/>
  <c r="M808" i="1"/>
  <c r="M806" i="1"/>
  <c r="M804" i="1"/>
  <c r="M802" i="1"/>
  <c r="M800" i="1"/>
  <c r="M798" i="1"/>
  <c r="M796" i="1"/>
  <c r="M794" i="1"/>
  <c r="M792" i="1"/>
  <c r="M790" i="1"/>
  <c r="M788" i="1"/>
  <c r="M786" i="1"/>
  <c r="M784" i="1"/>
  <c r="M782" i="1"/>
  <c r="M780" i="1"/>
  <c r="M778" i="1"/>
  <c r="M776" i="1"/>
  <c r="M774" i="1"/>
  <c r="M772" i="1"/>
  <c r="M770" i="1"/>
  <c r="M768" i="1"/>
  <c r="M766" i="1"/>
  <c r="M764" i="1"/>
  <c r="M762" i="1"/>
  <c r="M760" i="1"/>
  <c r="M758" i="1"/>
  <c r="M756" i="1"/>
  <c r="M754" i="1"/>
  <c r="M752" i="1"/>
  <c r="M750" i="1"/>
  <c r="M748" i="1"/>
  <c r="M746" i="1"/>
  <c r="M744" i="1"/>
  <c r="M742" i="1"/>
  <c r="M740" i="1"/>
  <c r="M738" i="1"/>
  <c r="M736" i="1"/>
  <c r="M734" i="1"/>
  <c r="M732" i="1"/>
  <c r="M730" i="1"/>
  <c r="M728" i="1"/>
  <c r="M726" i="1"/>
  <c r="M724" i="1"/>
  <c r="M722" i="1"/>
  <c r="M720" i="1"/>
  <c r="M718" i="1"/>
  <c r="M716" i="1"/>
  <c r="M714" i="1"/>
  <c r="M712" i="1"/>
  <c r="M710" i="1"/>
  <c r="M708" i="1"/>
  <c r="M706" i="1"/>
  <c r="M704" i="1"/>
  <c r="M702" i="1"/>
  <c r="M700" i="1"/>
  <c r="M698" i="1"/>
  <c r="M696" i="1"/>
  <c r="M694" i="1"/>
  <c r="M692" i="1"/>
  <c r="M690" i="1"/>
  <c r="M688" i="1"/>
  <c r="M686" i="1"/>
  <c r="M684" i="1"/>
  <c r="M682" i="1"/>
  <c r="M680" i="1"/>
  <c r="M678" i="1"/>
  <c r="M676" i="1"/>
  <c r="M674" i="1"/>
  <c r="M672" i="1"/>
  <c r="M670" i="1"/>
  <c r="M668" i="1"/>
  <c r="M666" i="1"/>
  <c r="M664" i="1"/>
  <c r="M662" i="1"/>
  <c r="M660" i="1"/>
  <c r="M658" i="1"/>
  <c r="M656" i="1"/>
  <c r="M654" i="1"/>
  <c r="M652" i="1"/>
  <c r="M650" i="1"/>
  <c r="M648" i="1"/>
  <c r="M646" i="1"/>
  <c r="M644" i="1"/>
  <c r="M642" i="1"/>
  <c r="M640" i="1"/>
  <c r="M638" i="1"/>
  <c r="M636" i="1"/>
  <c r="M634" i="1"/>
  <c r="M632" i="1"/>
  <c r="M630" i="1"/>
  <c r="M628" i="1"/>
  <c r="M626" i="1"/>
  <c r="M624" i="1"/>
  <c r="M622" i="1"/>
  <c r="M620" i="1"/>
  <c r="M618" i="1"/>
  <c r="M616" i="1"/>
  <c r="M614" i="1"/>
  <c r="M612" i="1"/>
  <c r="M610" i="1"/>
  <c r="M608" i="1"/>
  <c r="M606" i="1"/>
  <c r="M604" i="1"/>
  <c r="M602" i="1"/>
  <c r="M600" i="1"/>
  <c r="M598" i="1"/>
  <c r="M596" i="1"/>
  <c r="M594" i="1"/>
  <c r="M592" i="1"/>
  <c r="M590" i="1"/>
  <c r="M588" i="1"/>
  <c r="M586" i="1"/>
  <c r="M584" i="1"/>
  <c r="M582" i="1"/>
  <c r="M580" i="1"/>
  <c r="M578" i="1"/>
  <c r="M576" i="1"/>
  <c r="M574" i="1"/>
  <c r="M572" i="1"/>
  <c r="M570" i="1"/>
  <c r="M568" i="1"/>
  <c r="M566" i="1"/>
  <c r="M564" i="1"/>
  <c r="M562" i="1"/>
  <c r="M560" i="1"/>
  <c r="M558" i="1"/>
  <c r="M556" i="1"/>
  <c r="M554" i="1"/>
  <c r="M552" i="1"/>
  <c r="M550" i="1"/>
  <c r="M548" i="1"/>
  <c r="M546" i="1"/>
  <c r="M544" i="1"/>
  <c r="M542" i="1"/>
  <c r="M540" i="1"/>
  <c r="M538" i="1"/>
  <c r="M536" i="1"/>
  <c r="M534" i="1"/>
  <c r="M532" i="1"/>
  <c r="M530" i="1"/>
  <c r="M528" i="1"/>
  <c r="M526" i="1"/>
  <c r="M524" i="1"/>
  <c r="M522" i="1"/>
  <c r="M520" i="1"/>
  <c r="M518" i="1"/>
  <c r="M516" i="1"/>
  <c r="M514" i="1"/>
  <c r="M512" i="1"/>
  <c r="M510" i="1"/>
  <c r="M508" i="1"/>
  <c r="M506" i="1"/>
  <c r="M504" i="1"/>
  <c r="M502" i="1"/>
  <c r="M500" i="1"/>
  <c r="M498" i="1"/>
  <c r="M496" i="1"/>
  <c r="M494" i="1"/>
  <c r="M492" i="1"/>
  <c r="M490" i="1"/>
  <c r="M488" i="1"/>
  <c r="M486" i="1"/>
  <c r="M484" i="1"/>
  <c r="M482" i="1"/>
  <c r="M480" i="1"/>
  <c r="M478" i="1"/>
  <c r="M476" i="1"/>
  <c r="M474" i="1"/>
  <c r="M472" i="1"/>
  <c r="M470" i="1"/>
  <c r="M468" i="1"/>
  <c r="M466" i="1"/>
  <c r="M464" i="1"/>
  <c r="M462" i="1"/>
  <c r="M460" i="1"/>
  <c r="M458" i="1"/>
  <c r="M456" i="1"/>
  <c r="M454" i="1"/>
  <c r="M452" i="1"/>
  <c r="M450" i="1"/>
  <c r="M448" i="1"/>
  <c r="M446" i="1"/>
  <c r="M444" i="1"/>
  <c r="M442" i="1"/>
  <c r="M440" i="1"/>
  <c r="M438" i="1"/>
  <c r="M436" i="1"/>
  <c r="M434" i="1"/>
  <c r="M432" i="1"/>
  <c r="M430" i="1"/>
  <c r="M428" i="1"/>
  <c r="M426" i="1"/>
  <c r="M424" i="1"/>
  <c r="M422" i="1"/>
  <c r="M420" i="1"/>
  <c r="M418" i="1"/>
  <c r="M416" i="1"/>
  <c r="M414" i="1"/>
  <c r="M412" i="1"/>
  <c r="M410" i="1"/>
  <c r="M408" i="1"/>
  <c r="M406" i="1"/>
  <c r="M404" i="1"/>
  <c r="M402" i="1"/>
  <c r="M400" i="1"/>
  <c r="M398" i="1"/>
  <c r="M396" i="1"/>
  <c r="M394" i="1"/>
  <c r="M392" i="1"/>
  <c r="M390" i="1"/>
  <c r="M388" i="1"/>
  <c r="M386" i="1"/>
  <c r="M384" i="1"/>
  <c r="M382" i="1"/>
  <c r="M380" i="1"/>
  <c r="M378" i="1"/>
  <c r="M376" i="1"/>
  <c r="M374" i="1"/>
  <c r="M372" i="1"/>
  <c r="M370" i="1"/>
  <c r="M368" i="1"/>
  <c r="M366" i="1"/>
  <c r="M364" i="1"/>
  <c r="M362" i="1"/>
  <c r="M360" i="1"/>
  <c r="M358" i="1"/>
  <c r="M356" i="1"/>
  <c r="M354" i="1"/>
  <c r="M352" i="1"/>
  <c r="M350" i="1"/>
  <c r="M348" i="1"/>
  <c r="M346" i="1"/>
  <c r="M344" i="1"/>
  <c r="M342" i="1"/>
  <c r="M340" i="1"/>
  <c r="M338" i="1"/>
  <c r="M336" i="1"/>
  <c r="M334" i="1"/>
  <c r="M332" i="1"/>
  <c r="M330" i="1"/>
  <c r="M328" i="1"/>
  <c r="M326" i="1"/>
  <c r="M324" i="1"/>
  <c r="M322" i="1"/>
  <c r="M320" i="1"/>
  <c r="M318" i="1"/>
  <c r="M316" i="1"/>
  <c r="M314" i="1"/>
  <c r="M312" i="1"/>
  <c r="M310" i="1"/>
  <c r="M308" i="1"/>
  <c r="M306" i="1"/>
  <c r="M304" i="1"/>
  <c r="M302" i="1"/>
  <c r="M300" i="1"/>
  <c r="M298" i="1"/>
  <c r="M296" i="1"/>
  <c r="M294" i="1"/>
  <c r="M292" i="1"/>
  <c r="M290" i="1"/>
  <c r="M288" i="1"/>
  <c r="M286" i="1"/>
  <c r="M284" i="1"/>
  <c r="M282" i="1"/>
  <c r="M280" i="1"/>
  <c r="M278" i="1"/>
  <c r="M276" i="1"/>
  <c r="M274" i="1"/>
  <c r="M272" i="1"/>
  <c r="M270" i="1"/>
  <c r="M268" i="1"/>
  <c r="M266" i="1"/>
  <c r="M264" i="1"/>
  <c r="M262" i="1"/>
  <c r="M260" i="1"/>
  <c r="M258" i="1"/>
  <c r="M256" i="1"/>
  <c r="M254" i="1"/>
  <c r="M252" i="1"/>
  <c r="M250" i="1"/>
  <c r="M248" i="1"/>
  <c r="M246" i="1"/>
  <c r="M244" i="1"/>
  <c r="M242" i="1"/>
  <c r="M240" i="1"/>
  <c r="M238" i="1"/>
  <c r="M236" i="1"/>
  <c r="M234" i="1"/>
  <c r="M232" i="1"/>
  <c r="M230" i="1"/>
  <c r="M228" i="1"/>
  <c r="M226" i="1"/>
  <c r="M224" i="1"/>
  <c r="M222" i="1"/>
  <c r="M220" i="1"/>
  <c r="M218" i="1"/>
  <c r="M216" i="1"/>
  <c r="M214" i="1"/>
  <c r="M212" i="1"/>
  <c r="M210" i="1"/>
  <c r="M208" i="1"/>
  <c r="M206" i="1"/>
  <c r="M204" i="1"/>
  <c r="M202" i="1"/>
  <c r="M200" i="1"/>
  <c r="M198" i="1"/>
  <c r="M196" i="1"/>
  <c r="M194" i="1"/>
  <c r="M192" i="1"/>
  <c r="M190" i="1"/>
  <c r="M188" i="1"/>
  <c r="M186" i="1"/>
  <c r="M184" i="1"/>
  <c r="M182" i="1"/>
  <c r="M180" i="1"/>
  <c r="M178" i="1"/>
  <c r="M176" i="1"/>
  <c r="M174" i="1"/>
  <c r="M172" i="1"/>
  <c r="M170" i="1"/>
  <c r="M168" i="1"/>
  <c r="M166" i="1"/>
  <c r="M164" i="1"/>
  <c r="M162" i="1"/>
  <c r="M160" i="1"/>
  <c r="M158" i="1"/>
  <c r="M156" i="1"/>
  <c r="M154" i="1"/>
  <c r="M152" i="1"/>
  <c r="M150" i="1"/>
  <c r="M148" i="1"/>
  <c r="M146" i="1"/>
  <c r="M144" i="1"/>
  <c r="M142" i="1"/>
  <c r="M140" i="1"/>
  <c r="M138" i="1"/>
  <c r="M136" i="1"/>
  <c r="M134" i="1"/>
  <c r="M132" i="1"/>
  <c r="M130" i="1"/>
  <c r="M128" i="1"/>
  <c r="M126" i="1"/>
  <c r="M124" i="1"/>
  <c r="M122" i="1"/>
  <c r="M120" i="1"/>
  <c r="M118" i="1"/>
  <c r="M116" i="1"/>
  <c r="M114" i="1"/>
  <c r="M112" i="1"/>
  <c r="M110" i="1"/>
  <c r="M108" i="1"/>
  <c r="M106" i="1"/>
  <c r="M104" i="1"/>
  <c r="M102" i="1"/>
  <c r="M100" i="1"/>
  <c r="M98" i="1"/>
  <c r="M96" i="1"/>
  <c r="M94" i="1"/>
  <c r="M92" i="1"/>
  <c r="M90" i="1"/>
  <c r="M88" i="1"/>
  <c r="M86" i="1"/>
  <c r="M84" i="1"/>
  <c r="M82" i="1"/>
  <c r="M80" i="1"/>
  <c r="M78" i="1"/>
  <c r="M76" i="1"/>
  <c r="M74" i="1"/>
  <c r="M72" i="1"/>
  <c r="M70" i="1"/>
  <c r="M68" i="1"/>
  <c r="M66" i="1"/>
  <c r="M64" i="1"/>
  <c r="M62" i="1"/>
  <c r="M60" i="1"/>
  <c r="M58" i="1"/>
  <c r="M56" i="1"/>
  <c r="M54" i="1"/>
  <c r="M52" i="1"/>
  <c r="M50" i="1"/>
  <c r="M48" i="1"/>
  <c r="M46" i="1"/>
  <c r="M44" i="1"/>
  <c r="M42" i="1"/>
  <c r="M40" i="1"/>
  <c r="M38" i="1"/>
  <c r="M36" i="1"/>
  <c r="M34" i="1"/>
  <c r="M32" i="1"/>
  <c r="M30" i="1"/>
  <c r="M28" i="1"/>
  <c r="M26" i="1"/>
  <c r="M24" i="1"/>
  <c r="M22" i="1"/>
  <c r="M20" i="1"/>
  <c r="M18" i="1"/>
  <c r="L1161" i="1"/>
  <c r="L1159" i="1"/>
  <c r="L1156" i="1"/>
  <c r="L1154" i="1"/>
  <c r="L1152" i="1"/>
  <c r="L1150" i="1"/>
  <c r="L1149" i="1"/>
  <c r="L1147" i="1"/>
  <c r="L1145" i="1"/>
  <c r="L1143" i="1"/>
  <c r="L1141" i="1"/>
  <c r="L1139" i="1"/>
  <c r="L1137" i="1"/>
  <c r="L1135" i="1"/>
  <c r="L1133" i="1"/>
  <c r="L1132" i="1"/>
  <c r="L1130" i="1"/>
  <c r="L1128" i="1"/>
  <c r="L1126" i="1"/>
  <c r="L1124" i="1"/>
  <c r="L1122" i="1"/>
  <c r="L1120" i="1"/>
  <c r="L1119" i="1"/>
  <c r="L1117" i="1"/>
  <c r="L1115" i="1"/>
  <c r="L1113" i="1"/>
  <c r="L1111" i="1"/>
  <c r="L1110" i="1"/>
  <c r="L1108" i="1"/>
  <c r="L1106" i="1"/>
  <c r="L1104" i="1"/>
  <c r="L1102" i="1"/>
  <c r="L1100" i="1"/>
  <c r="L1098" i="1"/>
  <c r="L1097" i="1"/>
  <c r="L1095" i="1"/>
  <c r="L1093" i="1"/>
  <c r="L1091" i="1"/>
  <c r="L1089" i="1"/>
  <c r="L1088" i="1"/>
  <c r="L1086" i="1"/>
  <c r="L1084" i="1"/>
  <c r="L1082" i="1"/>
  <c r="L1080" i="1"/>
  <c r="L1078" i="1"/>
  <c r="L1076" i="1"/>
  <c r="L1074" i="1"/>
  <c r="L1072" i="1"/>
  <c r="L1071" i="1"/>
  <c r="L1069" i="1"/>
  <c r="L1067" i="1"/>
  <c r="L1065" i="1"/>
  <c r="L1063" i="1"/>
  <c r="L1061" i="1"/>
  <c r="L1059" i="1"/>
  <c r="L1058" i="1"/>
  <c r="L1056" i="1"/>
  <c r="L1053" i="1"/>
  <c r="L1051" i="1"/>
  <c r="L1049" i="1"/>
  <c r="L1047" i="1"/>
  <c r="L1045" i="1"/>
  <c r="L1044" i="1"/>
  <c r="L1042" i="1"/>
  <c r="L1040" i="1"/>
  <c r="L1036" i="1"/>
  <c r="L1033" i="1"/>
  <c r="L1032" i="1"/>
  <c r="L1030" i="1"/>
  <c r="L1028" i="1"/>
  <c r="L1026" i="1"/>
  <c r="L1024" i="1"/>
  <c r="L1022" i="1"/>
  <c r="L1020" i="1"/>
  <c r="L1018" i="1"/>
  <c r="L1016" i="1"/>
  <c r="L1014" i="1"/>
  <c r="L1012" i="1"/>
  <c r="L1011" i="1"/>
  <c r="L1009" i="1"/>
  <c r="L1007" i="1"/>
  <c r="L1005" i="1"/>
  <c r="L1003" i="1"/>
  <c r="L1001" i="1"/>
  <c r="L1000" i="1"/>
  <c r="L998" i="1"/>
  <c r="L996" i="1"/>
  <c r="L994" i="1"/>
  <c r="L992" i="1"/>
  <c r="L991" i="1"/>
  <c r="L989" i="1"/>
  <c r="L987" i="1"/>
  <c r="L985" i="1"/>
  <c r="L982" i="1"/>
  <c r="L979" i="1"/>
  <c r="L977" i="1"/>
  <c r="L976" i="1"/>
  <c r="L974" i="1"/>
  <c r="L972" i="1"/>
  <c r="L970" i="1"/>
  <c r="L968" i="1"/>
  <c r="L966" i="1"/>
  <c r="L964" i="1"/>
  <c r="L962" i="1"/>
  <c r="L960" i="1"/>
  <c r="L958" i="1"/>
  <c r="L956" i="1"/>
  <c r="L954" i="1"/>
  <c r="L952" i="1"/>
  <c r="L951" i="1"/>
  <c r="L949" i="1"/>
  <c r="L947" i="1"/>
  <c r="L945" i="1"/>
  <c r="L943" i="1"/>
  <c r="L942" i="1"/>
  <c r="L940" i="1"/>
  <c r="L938" i="1"/>
  <c r="L936" i="1"/>
  <c r="L934" i="1"/>
  <c r="L932" i="1"/>
  <c r="L931" i="1"/>
  <c r="L929" i="1"/>
  <c r="L927" i="1"/>
  <c r="L925" i="1"/>
  <c r="L923" i="1"/>
  <c r="L921" i="1"/>
  <c r="L919" i="1"/>
  <c r="L918" i="1"/>
  <c r="L916" i="1"/>
  <c r="L914" i="1"/>
  <c r="L912" i="1"/>
  <c r="L911" i="1"/>
  <c r="L909" i="1"/>
  <c r="L907" i="1"/>
  <c r="L905" i="1"/>
  <c r="L904" i="1"/>
  <c r="L902" i="1"/>
  <c r="L900" i="1"/>
  <c r="L898" i="1"/>
  <c r="L896" i="1"/>
  <c r="L892" i="1"/>
  <c r="L890" i="1"/>
  <c r="L888" i="1"/>
  <c r="L886" i="1"/>
  <c r="L884" i="1"/>
  <c r="L882" i="1"/>
  <c r="L880" i="1"/>
  <c r="L878" i="1"/>
  <c r="L876" i="1"/>
  <c r="L874" i="1"/>
  <c r="L872" i="1"/>
  <c r="L870" i="1"/>
  <c r="L868" i="1"/>
  <c r="L866" i="1"/>
  <c r="L864" i="1"/>
  <c r="L862" i="1"/>
  <c r="L860" i="1"/>
  <c r="L859" i="1"/>
  <c r="L857" i="1"/>
  <c r="L855" i="1"/>
  <c r="L853" i="1"/>
  <c r="L851" i="1"/>
  <c r="L850" i="1"/>
  <c r="L848" i="1"/>
  <c r="L847" i="1"/>
  <c r="L844" i="1"/>
  <c r="L842" i="1"/>
  <c r="L840" i="1"/>
  <c r="L838" i="1"/>
  <c r="L836" i="1"/>
  <c r="L835" i="1"/>
  <c r="L833" i="1"/>
  <c r="L831" i="1"/>
  <c r="L829" i="1"/>
  <c r="L827" i="1"/>
  <c r="L825" i="1"/>
  <c r="L823" i="1"/>
  <c r="L822" i="1"/>
  <c r="L820" i="1"/>
  <c r="L818" i="1"/>
  <c r="L816" i="1"/>
  <c r="L814" i="1"/>
  <c r="L812" i="1"/>
  <c r="L810" i="1"/>
  <c r="L808" i="1"/>
  <c r="L806" i="1"/>
  <c r="L804" i="1"/>
  <c r="L802" i="1"/>
  <c r="L801" i="1"/>
  <c r="L799" i="1"/>
  <c r="L797" i="1"/>
  <c r="L795" i="1"/>
  <c r="L793" i="1"/>
  <c r="L791" i="1"/>
  <c r="L789" i="1"/>
  <c r="L787" i="1"/>
  <c r="L786" i="1"/>
  <c r="L783" i="1"/>
  <c r="L781" i="1"/>
  <c r="L779" i="1"/>
  <c r="L778" i="1"/>
  <c r="L776" i="1"/>
  <c r="L774" i="1"/>
  <c r="L772" i="1"/>
  <c r="L770" i="1"/>
  <c r="L768" i="1"/>
  <c r="L766" i="1"/>
  <c r="L764" i="1"/>
  <c r="L762" i="1"/>
  <c r="L760" i="1"/>
  <c r="L758" i="1"/>
  <c r="L757" i="1"/>
  <c r="L754" i="1"/>
  <c r="L751" i="1"/>
  <c r="L749" i="1"/>
  <c r="L747" i="1"/>
  <c r="L745" i="1"/>
  <c r="L743" i="1"/>
  <c r="L741" i="1"/>
  <c r="L740" i="1"/>
  <c r="L738" i="1"/>
  <c r="L736" i="1"/>
  <c r="L734" i="1"/>
  <c r="L732" i="1"/>
  <c r="L730" i="1"/>
  <c r="L728" i="1"/>
  <c r="L726" i="1"/>
  <c r="L724" i="1"/>
  <c r="L723" i="1"/>
  <c r="L721" i="1"/>
  <c r="L719" i="1"/>
  <c r="L717" i="1"/>
  <c r="L715" i="1"/>
  <c r="L714" i="1"/>
  <c r="L712" i="1"/>
  <c r="L710" i="1"/>
  <c r="L708" i="1"/>
  <c r="L706" i="1"/>
  <c r="L704" i="1"/>
  <c r="L702" i="1"/>
  <c r="L700" i="1"/>
  <c r="L698" i="1"/>
  <c r="L696" i="1"/>
  <c r="L694" i="1"/>
  <c r="L692" i="1"/>
  <c r="L691" i="1"/>
  <c r="L689" i="1"/>
  <c r="L687" i="1"/>
  <c r="L685" i="1"/>
  <c r="L683" i="1"/>
  <c r="L681" i="1"/>
  <c r="L679" i="1"/>
  <c r="L677" i="1"/>
  <c r="L676" i="1"/>
  <c r="L674" i="1"/>
  <c r="L672" i="1"/>
  <c r="L670" i="1"/>
  <c r="L668" i="1"/>
  <c r="L666" i="1"/>
  <c r="L664" i="1"/>
  <c r="L662" i="1"/>
  <c r="L661" i="1"/>
  <c r="L659" i="1"/>
  <c r="L657" i="1"/>
  <c r="L654" i="1"/>
  <c r="L653" i="1"/>
  <c r="L651" i="1"/>
  <c r="L649" i="1"/>
  <c r="L647" i="1"/>
  <c r="L645" i="1"/>
  <c r="L643" i="1"/>
  <c r="L641" i="1"/>
  <c r="L639" i="1"/>
  <c r="L637" i="1"/>
  <c r="L636" i="1"/>
  <c r="L633" i="1"/>
  <c r="L631" i="1"/>
  <c r="L629" i="1"/>
  <c r="L628" i="1"/>
  <c r="L626" i="1"/>
  <c r="L624" i="1"/>
  <c r="L622" i="1"/>
  <c r="L620" i="1"/>
  <c r="L618" i="1"/>
  <c r="L617" i="1"/>
  <c r="L614" i="1"/>
  <c r="L612" i="1"/>
  <c r="L610" i="1"/>
  <c r="L608" i="1"/>
  <c r="L606" i="1"/>
  <c r="L604" i="1"/>
  <c r="L602" i="1"/>
  <c r="L601" i="1"/>
  <c r="L599" i="1"/>
  <c r="L597" i="1"/>
  <c r="L595" i="1"/>
  <c r="L593" i="1"/>
  <c r="L591" i="1"/>
  <c r="L589" i="1"/>
  <c r="L587" i="1"/>
  <c r="L586" i="1"/>
  <c r="L584" i="1"/>
  <c r="L582" i="1"/>
  <c r="L580" i="1"/>
  <c r="L578" i="1"/>
  <c r="L576" i="1"/>
  <c r="L574" i="1"/>
  <c r="L572" i="1"/>
  <c r="L570" i="1"/>
  <c r="L568" i="1"/>
  <c r="L566" i="1"/>
  <c r="L565" i="1"/>
  <c r="L563" i="1"/>
  <c r="L561" i="1"/>
  <c r="L558" i="1"/>
  <c r="L555" i="1"/>
  <c r="L554" i="1"/>
  <c r="L552" i="1"/>
  <c r="L550" i="1"/>
  <c r="L548" i="1"/>
  <c r="L546" i="1"/>
  <c r="L544" i="1"/>
  <c r="L542" i="1"/>
  <c r="L541" i="1"/>
  <c r="L539" i="1"/>
  <c r="L537" i="1"/>
  <c r="L535" i="1"/>
  <c r="L533" i="1"/>
  <c r="L532" i="1"/>
  <c r="L530" i="1"/>
  <c r="L528" i="1"/>
  <c r="L526" i="1"/>
  <c r="L524" i="1"/>
  <c r="L522" i="1"/>
  <c r="L520" i="1"/>
  <c r="L518" i="1"/>
  <c r="L517" i="1"/>
  <c r="L515" i="1"/>
  <c r="L513" i="1"/>
  <c r="L511" i="1"/>
  <c r="L509" i="1"/>
  <c r="L507" i="1"/>
  <c r="L505" i="1"/>
  <c r="L504" i="1"/>
  <c r="L502" i="1"/>
  <c r="L500" i="1"/>
  <c r="L498" i="1"/>
  <c r="L496" i="1"/>
  <c r="L494" i="1"/>
  <c r="L492" i="1"/>
  <c r="L491" i="1"/>
  <c r="L489" i="1"/>
  <c r="L487" i="1"/>
  <c r="L485" i="1"/>
  <c r="L483" i="1"/>
  <c r="L481" i="1"/>
  <c r="L479" i="1"/>
  <c r="L478" i="1"/>
  <c r="L476" i="1"/>
  <c r="L474" i="1"/>
  <c r="L472" i="1"/>
  <c r="L468" i="1"/>
  <c r="L466" i="1"/>
  <c r="L464" i="1"/>
  <c r="L463" i="1"/>
  <c r="L461" i="1"/>
  <c r="L459" i="1"/>
  <c r="L457" i="1"/>
  <c r="L455" i="1"/>
  <c r="L453" i="1"/>
  <c r="L451" i="1"/>
  <c r="L450" i="1"/>
  <c r="L448" i="1"/>
  <c r="L446" i="1"/>
  <c r="L444" i="1"/>
  <c r="L442" i="1"/>
  <c r="L441" i="1"/>
  <c r="L439" i="1"/>
  <c r="L437" i="1"/>
  <c r="L435" i="1"/>
  <c r="L433" i="1"/>
  <c r="L431" i="1"/>
  <c r="L429" i="1"/>
  <c r="L427" i="1"/>
  <c r="L425" i="1"/>
  <c r="L423" i="1"/>
  <c r="L422" i="1"/>
  <c r="L420" i="1"/>
  <c r="L418" i="1"/>
  <c r="L416" i="1"/>
  <c r="L414" i="1"/>
  <c r="L412" i="1"/>
  <c r="L410" i="1"/>
  <c r="L408" i="1"/>
  <c r="L406" i="1"/>
  <c r="L404" i="1"/>
  <c r="L403" i="1"/>
  <c r="L401" i="1"/>
  <c r="L399" i="1"/>
  <c r="L397" i="1"/>
  <c r="L395" i="1"/>
  <c r="L394" i="1"/>
  <c r="L392" i="1"/>
  <c r="L390" i="1"/>
  <c r="L388" i="1"/>
  <c r="L386" i="1"/>
  <c r="L384" i="1"/>
  <c r="L382" i="1"/>
  <c r="L381" i="1"/>
  <c r="L379" i="1"/>
  <c r="L377" i="1"/>
  <c r="L375" i="1"/>
  <c r="L374" i="1"/>
  <c r="L372" i="1"/>
  <c r="L370" i="1"/>
  <c r="L368" i="1"/>
  <c r="L366" i="1"/>
  <c r="L364" i="1"/>
  <c r="L362" i="1"/>
  <c r="L360" i="1"/>
  <c r="L358" i="1"/>
  <c r="L356" i="1"/>
  <c r="L354" i="1"/>
  <c r="L352" i="1"/>
  <c r="L350" i="1"/>
  <c r="L349" i="1"/>
  <c r="L347" i="1"/>
  <c r="L345" i="1"/>
  <c r="L343" i="1"/>
  <c r="L342" i="1"/>
  <c r="L340" i="1"/>
  <c r="L338" i="1"/>
  <c r="L336" i="1"/>
  <c r="L334" i="1"/>
  <c r="L332" i="1"/>
  <c r="L330" i="1"/>
  <c r="L327" i="1"/>
  <c r="L325" i="1"/>
  <c r="L323" i="1"/>
  <c r="L321" i="1"/>
  <c r="L319" i="1"/>
  <c r="L318" i="1"/>
  <c r="L316" i="1"/>
  <c r="L313" i="1"/>
  <c r="L312" i="1"/>
  <c r="L310" i="1"/>
  <c r="L308" i="1"/>
  <c r="L306" i="1"/>
  <c r="L304" i="1"/>
  <c r="L302" i="1"/>
  <c r="L300" i="1"/>
  <c r="L298" i="1"/>
  <c r="L296" i="1"/>
  <c r="L294" i="1"/>
  <c r="L293" i="1"/>
  <c r="L291" i="1"/>
  <c r="L289" i="1"/>
  <c r="L287" i="1"/>
  <c r="L285" i="1"/>
  <c r="L283" i="1"/>
  <c r="L282" i="1"/>
  <c r="L280" i="1"/>
  <c r="L278" i="1"/>
  <c r="L276" i="1"/>
  <c r="L275" i="1"/>
  <c r="L273" i="1"/>
  <c r="L270" i="1"/>
  <c r="L269" i="1"/>
  <c r="L267" i="1"/>
  <c r="L265" i="1"/>
  <c r="L263" i="1"/>
  <c r="L261" i="1"/>
  <c r="L260" i="1"/>
  <c r="L258" i="1"/>
  <c r="L256" i="1"/>
  <c r="L254" i="1"/>
  <c r="L252" i="1"/>
  <c r="L250" i="1"/>
  <c r="L248" i="1"/>
  <c r="L247" i="1"/>
  <c r="L245" i="1"/>
  <c r="L243" i="1"/>
  <c r="L241" i="1"/>
  <c r="L239" i="1"/>
  <c r="L238" i="1"/>
  <c r="L236" i="1"/>
  <c r="L234" i="1"/>
  <c r="L232" i="1"/>
  <c r="L230" i="1"/>
  <c r="L228" i="1"/>
  <c r="L227" i="1"/>
  <c r="L225" i="1"/>
  <c r="L223" i="1"/>
  <c r="L222" i="1"/>
  <c r="L220" i="1"/>
  <c r="L218" i="1"/>
  <c r="L216" i="1"/>
  <c r="L214" i="1"/>
  <c r="L212" i="1"/>
  <c r="L210" i="1"/>
  <c r="L208" i="1"/>
  <c r="L206" i="1"/>
  <c r="L204" i="1"/>
  <c r="L202" i="1"/>
  <c r="L200" i="1"/>
  <c r="L198" i="1"/>
  <c r="L197" i="1"/>
  <c r="L195" i="1"/>
  <c r="L193" i="1"/>
  <c r="L191" i="1"/>
  <c r="L189" i="1"/>
  <c r="L188" i="1"/>
  <c r="L185" i="1"/>
  <c r="L182" i="1"/>
  <c r="L181" i="1"/>
  <c r="L178" i="1"/>
  <c r="L177" i="1"/>
  <c r="L175" i="1"/>
  <c r="L173" i="1"/>
  <c r="L171" i="1"/>
  <c r="L169" i="1"/>
  <c r="L167" i="1"/>
  <c r="L165" i="1"/>
  <c r="L164" i="1"/>
  <c r="L162" i="1"/>
  <c r="L160" i="1"/>
  <c r="L158" i="1"/>
  <c r="L156" i="1"/>
  <c r="L154" i="1"/>
  <c r="L152" i="1"/>
  <c r="L150" i="1"/>
  <c r="L148" i="1"/>
  <c r="L147" i="1"/>
  <c r="L145" i="1"/>
  <c r="L142" i="1"/>
  <c r="L140" i="1"/>
  <c r="L139" i="1"/>
  <c r="L137" i="1"/>
  <c r="L135" i="1"/>
  <c r="L133" i="1"/>
  <c r="L130" i="1"/>
  <c r="L128" i="1"/>
  <c r="L126" i="1"/>
  <c r="L124" i="1"/>
  <c r="L122" i="1"/>
  <c r="L120" i="1"/>
  <c r="L118" i="1"/>
  <c r="L116" i="1"/>
  <c r="L114" i="1"/>
  <c r="L113" i="1"/>
  <c r="L111" i="1"/>
  <c r="L109" i="1"/>
  <c r="L107" i="1"/>
  <c r="L105" i="1"/>
  <c r="L103" i="1"/>
  <c r="L101" i="1"/>
  <c r="L99" i="1"/>
  <c r="L97" i="1"/>
  <c r="L95" i="1"/>
  <c r="L93" i="1"/>
  <c r="L91" i="1"/>
  <c r="L90" i="1"/>
  <c r="L88" i="1"/>
  <c r="L86" i="1"/>
  <c r="L84" i="1"/>
  <c r="L82" i="1"/>
  <c r="L80" i="1"/>
  <c r="L79" i="1"/>
  <c r="L77" i="1"/>
  <c r="L75" i="1"/>
  <c r="L73" i="1"/>
  <c r="L71" i="1"/>
  <c r="L69" i="1"/>
  <c r="L67" i="1"/>
  <c r="L65" i="1"/>
  <c r="L63" i="1"/>
  <c r="L61" i="1"/>
  <c r="L59" i="1"/>
  <c r="L58" i="1"/>
  <c r="L56" i="1"/>
  <c r="L53" i="1"/>
  <c r="L51" i="1"/>
  <c r="L49" i="1"/>
  <c r="L47" i="1"/>
  <c r="L44" i="1"/>
  <c r="L42" i="1"/>
  <c r="L40" i="1"/>
  <c r="L38" i="1"/>
  <c r="L36" i="1"/>
  <c r="L34" i="1"/>
  <c r="L32" i="1"/>
  <c r="L30" i="1"/>
  <c r="L28" i="1"/>
  <c r="L26" i="1"/>
  <c r="L24" i="1"/>
  <c r="L22" i="1"/>
  <c r="L20" i="1"/>
  <c r="L18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0" i="1"/>
  <c r="L1158" i="1"/>
  <c r="L1157" i="1"/>
  <c r="L1155" i="1"/>
  <c r="L1153" i="1"/>
  <c r="L1151" i="1"/>
  <c r="L1148" i="1"/>
  <c r="L1146" i="1"/>
  <c r="L1144" i="1"/>
  <c r="L1142" i="1"/>
  <c r="L1140" i="1"/>
  <c r="L1138" i="1"/>
  <c r="L1136" i="1"/>
  <c r="L1134" i="1"/>
  <c r="L1131" i="1"/>
  <c r="L1129" i="1"/>
  <c r="L1127" i="1"/>
  <c r="L1125" i="1"/>
  <c r="L1123" i="1"/>
  <c r="L1121" i="1"/>
  <c r="L1118" i="1"/>
  <c r="L1116" i="1"/>
  <c r="L1114" i="1"/>
  <c r="L1112" i="1"/>
  <c r="L1109" i="1"/>
  <c r="L1107" i="1"/>
  <c r="L1105" i="1"/>
  <c r="L1103" i="1"/>
  <c r="L1101" i="1"/>
  <c r="L1099" i="1"/>
  <c r="L1096" i="1"/>
  <c r="L1094" i="1"/>
  <c r="L1092" i="1"/>
  <c r="L1090" i="1"/>
  <c r="L1087" i="1"/>
  <c r="L1085" i="1"/>
  <c r="L1083" i="1"/>
  <c r="L1081" i="1"/>
  <c r="L1079" i="1"/>
  <c r="L1077" i="1"/>
  <c r="L1075" i="1"/>
  <c r="L1073" i="1"/>
  <c r="L1070" i="1"/>
  <c r="L1068" i="1"/>
  <c r="L1066" i="1"/>
  <c r="L1064" i="1"/>
  <c r="L1062" i="1"/>
  <c r="L1060" i="1"/>
  <c r="L1057" i="1"/>
  <c r="L1055" i="1"/>
  <c r="L1054" i="1"/>
  <c r="L1052" i="1"/>
  <c r="L1050" i="1"/>
  <c r="L1048" i="1"/>
  <c r="L1046" i="1"/>
  <c r="L1043" i="1"/>
  <c r="L1041" i="1"/>
  <c r="L1039" i="1"/>
  <c r="L1038" i="1"/>
  <c r="L1037" i="1"/>
  <c r="L1035" i="1"/>
  <c r="L1034" i="1"/>
  <c r="L1031" i="1"/>
  <c r="L1029" i="1"/>
  <c r="L1027" i="1"/>
  <c r="L1025" i="1"/>
  <c r="L1023" i="1"/>
  <c r="L1021" i="1"/>
  <c r="L1019" i="1"/>
  <c r="L1017" i="1"/>
  <c r="L1015" i="1"/>
  <c r="L1013" i="1"/>
  <c r="L1010" i="1"/>
  <c r="L1008" i="1"/>
  <c r="L1006" i="1"/>
  <c r="L1004" i="1"/>
  <c r="L1002" i="1"/>
  <c r="L999" i="1"/>
  <c r="L997" i="1"/>
  <c r="L995" i="1"/>
  <c r="L993" i="1"/>
  <c r="L990" i="1"/>
  <c r="L988" i="1"/>
  <c r="L986" i="1"/>
  <c r="L984" i="1"/>
  <c r="L983" i="1"/>
  <c r="L981" i="1"/>
  <c r="L980" i="1"/>
  <c r="L978" i="1"/>
  <c r="L975" i="1"/>
  <c r="L973" i="1"/>
  <c r="L971" i="1"/>
  <c r="L969" i="1"/>
  <c r="L967" i="1"/>
  <c r="L965" i="1"/>
  <c r="L963" i="1"/>
  <c r="L961" i="1"/>
  <c r="L959" i="1"/>
  <c r="L957" i="1"/>
  <c r="L955" i="1"/>
  <c r="L953" i="1"/>
  <c r="L950" i="1"/>
  <c r="L948" i="1"/>
  <c r="L946" i="1"/>
  <c r="L944" i="1"/>
  <c r="L941" i="1"/>
  <c r="L939" i="1"/>
  <c r="L937" i="1"/>
  <c r="L935" i="1"/>
  <c r="L933" i="1"/>
  <c r="L930" i="1"/>
  <c r="L928" i="1"/>
  <c r="L926" i="1"/>
  <c r="L924" i="1"/>
  <c r="L922" i="1"/>
  <c r="L920" i="1"/>
  <c r="L917" i="1"/>
  <c r="L915" i="1"/>
  <c r="L913" i="1"/>
  <c r="L910" i="1"/>
  <c r="L908" i="1"/>
  <c r="L906" i="1"/>
  <c r="L903" i="1"/>
  <c r="L901" i="1"/>
  <c r="L899" i="1"/>
  <c r="L897" i="1"/>
  <c r="L895" i="1"/>
  <c r="L894" i="1"/>
  <c r="L893" i="1"/>
  <c r="L891" i="1"/>
  <c r="L889" i="1"/>
  <c r="L887" i="1"/>
  <c r="L885" i="1"/>
  <c r="L883" i="1"/>
  <c r="L881" i="1"/>
  <c r="L879" i="1"/>
  <c r="L877" i="1"/>
  <c r="L875" i="1"/>
  <c r="L873" i="1"/>
  <c r="L871" i="1"/>
  <c r="L869" i="1"/>
  <c r="L867" i="1"/>
  <c r="L865" i="1"/>
  <c r="L863" i="1"/>
  <c r="L861" i="1"/>
  <c r="L858" i="1"/>
  <c r="L856" i="1"/>
  <c r="L854" i="1"/>
  <c r="L852" i="1"/>
  <c r="L849" i="1"/>
  <c r="L846" i="1"/>
  <c r="L845" i="1"/>
  <c r="L843" i="1"/>
  <c r="L841" i="1"/>
  <c r="L839" i="1"/>
  <c r="L837" i="1"/>
  <c r="L834" i="1"/>
  <c r="L832" i="1"/>
  <c r="L830" i="1"/>
  <c r="L828" i="1"/>
  <c r="L826" i="1"/>
  <c r="L824" i="1"/>
  <c r="L821" i="1"/>
  <c r="L819" i="1"/>
  <c r="L817" i="1"/>
  <c r="L815" i="1"/>
  <c r="L813" i="1"/>
  <c r="L811" i="1"/>
  <c r="L809" i="1"/>
  <c r="L807" i="1"/>
  <c r="L805" i="1"/>
  <c r="L803" i="1"/>
  <c r="L800" i="1"/>
  <c r="L798" i="1"/>
  <c r="L796" i="1"/>
  <c r="L794" i="1"/>
  <c r="L792" i="1"/>
  <c r="L790" i="1"/>
  <c r="L788" i="1"/>
  <c r="L785" i="1"/>
  <c r="L784" i="1"/>
  <c r="L782" i="1"/>
  <c r="L780" i="1"/>
  <c r="L777" i="1"/>
  <c r="L775" i="1"/>
  <c r="L773" i="1"/>
  <c r="L771" i="1"/>
  <c r="L769" i="1"/>
  <c r="L767" i="1"/>
  <c r="L765" i="1"/>
  <c r="L763" i="1"/>
  <c r="L761" i="1"/>
  <c r="L759" i="1"/>
  <c r="L756" i="1"/>
  <c r="L755" i="1"/>
  <c r="L753" i="1"/>
  <c r="L752" i="1"/>
  <c r="L750" i="1"/>
  <c r="L748" i="1"/>
  <c r="L746" i="1"/>
  <c r="L744" i="1"/>
  <c r="L742" i="1"/>
  <c r="L739" i="1"/>
  <c r="L737" i="1"/>
  <c r="L735" i="1"/>
  <c r="L733" i="1"/>
  <c r="L731" i="1"/>
  <c r="L729" i="1"/>
  <c r="L727" i="1"/>
  <c r="L725" i="1"/>
  <c r="L722" i="1"/>
  <c r="L720" i="1"/>
  <c r="L718" i="1"/>
  <c r="L716" i="1"/>
  <c r="L713" i="1"/>
  <c r="L711" i="1"/>
  <c r="L709" i="1"/>
  <c r="L707" i="1"/>
  <c r="L705" i="1"/>
  <c r="L703" i="1"/>
  <c r="L701" i="1"/>
  <c r="L699" i="1"/>
  <c r="L697" i="1"/>
  <c r="L695" i="1"/>
  <c r="L693" i="1"/>
  <c r="L690" i="1"/>
  <c r="L688" i="1"/>
  <c r="L686" i="1"/>
  <c r="L684" i="1"/>
  <c r="L682" i="1"/>
  <c r="L680" i="1"/>
  <c r="L678" i="1"/>
  <c r="L675" i="1"/>
  <c r="L673" i="1"/>
  <c r="L671" i="1"/>
  <c r="L669" i="1"/>
  <c r="L667" i="1"/>
  <c r="L665" i="1"/>
  <c r="L663" i="1"/>
  <c r="L660" i="1"/>
  <c r="L658" i="1"/>
  <c r="L656" i="1"/>
  <c r="L655" i="1"/>
  <c r="L652" i="1"/>
  <c r="L650" i="1"/>
  <c r="L648" i="1"/>
  <c r="L646" i="1"/>
  <c r="L644" i="1"/>
  <c r="L642" i="1"/>
  <c r="L640" i="1"/>
  <c r="L638" i="1"/>
  <c r="L635" i="1"/>
  <c r="L634" i="1"/>
  <c r="L632" i="1"/>
  <c r="L630" i="1"/>
  <c r="L627" i="1"/>
  <c r="L625" i="1"/>
  <c r="L623" i="1"/>
  <c r="L621" i="1"/>
  <c r="L619" i="1"/>
  <c r="L616" i="1"/>
  <c r="L615" i="1"/>
  <c r="L613" i="1"/>
  <c r="L611" i="1"/>
  <c r="L609" i="1"/>
  <c r="L607" i="1"/>
  <c r="L605" i="1"/>
  <c r="L603" i="1"/>
  <c r="L600" i="1"/>
  <c r="L598" i="1"/>
  <c r="L596" i="1"/>
  <c r="L594" i="1"/>
  <c r="L592" i="1"/>
  <c r="L590" i="1"/>
  <c r="L588" i="1"/>
  <c r="L585" i="1"/>
  <c r="L583" i="1"/>
  <c r="L581" i="1"/>
  <c r="L579" i="1"/>
  <c r="L577" i="1"/>
  <c r="L575" i="1"/>
  <c r="L573" i="1"/>
  <c r="L571" i="1"/>
  <c r="L569" i="1"/>
  <c r="L567" i="1"/>
  <c r="L564" i="1"/>
  <c r="L562" i="1"/>
  <c r="L560" i="1"/>
  <c r="L559" i="1"/>
  <c r="L557" i="1"/>
  <c r="L556" i="1"/>
  <c r="L553" i="1"/>
  <c r="L551" i="1"/>
  <c r="L549" i="1"/>
  <c r="L547" i="1"/>
  <c r="L545" i="1"/>
  <c r="L543" i="1"/>
  <c r="L540" i="1"/>
  <c r="L538" i="1"/>
  <c r="L536" i="1"/>
  <c r="L534" i="1"/>
  <c r="L531" i="1"/>
  <c r="L529" i="1"/>
  <c r="L527" i="1"/>
  <c r="L525" i="1"/>
  <c r="L523" i="1"/>
  <c r="L521" i="1"/>
  <c r="L519" i="1"/>
  <c r="L516" i="1"/>
  <c r="L514" i="1"/>
  <c r="L512" i="1"/>
  <c r="L510" i="1"/>
  <c r="L508" i="1"/>
  <c r="L506" i="1"/>
  <c r="L503" i="1"/>
  <c r="L501" i="1"/>
  <c r="L499" i="1"/>
  <c r="L497" i="1"/>
  <c r="L495" i="1"/>
  <c r="L493" i="1"/>
  <c r="L490" i="1"/>
  <c r="L488" i="1"/>
  <c r="L486" i="1"/>
  <c r="L484" i="1"/>
  <c r="L482" i="1"/>
  <c r="L480" i="1"/>
  <c r="L477" i="1"/>
  <c r="L475" i="1"/>
  <c r="L473" i="1"/>
  <c r="L471" i="1"/>
  <c r="L470" i="1"/>
  <c r="L469" i="1"/>
  <c r="L467" i="1"/>
  <c r="L465" i="1"/>
  <c r="L462" i="1"/>
  <c r="L460" i="1"/>
  <c r="L458" i="1"/>
  <c r="L456" i="1"/>
  <c r="L454" i="1"/>
  <c r="L452" i="1"/>
  <c r="L449" i="1"/>
  <c r="L447" i="1"/>
  <c r="L445" i="1"/>
  <c r="L443" i="1"/>
  <c r="L440" i="1"/>
  <c r="L438" i="1"/>
  <c r="L436" i="1"/>
  <c r="L434" i="1"/>
  <c r="L432" i="1"/>
  <c r="L430" i="1"/>
  <c r="L428" i="1"/>
  <c r="L426" i="1"/>
  <c r="L424" i="1"/>
  <c r="L421" i="1"/>
  <c r="L419" i="1"/>
  <c r="L417" i="1"/>
  <c r="L415" i="1"/>
  <c r="L413" i="1"/>
  <c r="L411" i="1"/>
  <c r="L409" i="1"/>
  <c r="L407" i="1"/>
  <c r="L405" i="1"/>
  <c r="L402" i="1"/>
  <c r="L400" i="1"/>
  <c r="L398" i="1"/>
  <c r="L396" i="1"/>
  <c r="L393" i="1"/>
  <c r="L391" i="1"/>
  <c r="L389" i="1"/>
  <c r="L387" i="1"/>
  <c r="L385" i="1"/>
  <c r="L383" i="1"/>
  <c r="L380" i="1"/>
  <c r="L378" i="1"/>
  <c r="L376" i="1"/>
  <c r="L373" i="1"/>
  <c r="L371" i="1"/>
  <c r="L369" i="1"/>
  <c r="L367" i="1"/>
  <c r="L365" i="1"/>
  <c r="L363" i="1"/>
  <c r="L361" i="1"/>
  <c r="L359" i="1"/>
  <c r="L357" i="1"/>
  <c r="L355" i="1"/>
  <c r="L353" i="1"/>
  <c r="L351" i="1"/>
  <c r="L348" i="1"/>
  <c r="L346" i="1"/>
  <c r="L344" i="1"/>
  <c r="L341" i="1"/>
  <c r="L339" i="1"/>
  <c r="L337" i="1"/>
  <c r="L335" i="1"/>
  <c r="L333" i="1"/>
  <c r="L331" i="1"/>
  <c r="L329" i="1"/>
  <c r="L328" i="1"/>
  <c r="L326" i="1"/>
  <c r="L324" i="1"/>
  <c r="L322" i="1"/>
  <c r="L320" i="1"/>
  <c r="L317" i="1"/>
  <c r="L315" i="1"/>
  <c r="L314" i="1"/>
  <c r="L311" i="1"/>
  <c r="L309" i="1"/>
  <c r="L307" i="1"/>
  <c r="L305" i="1"/>
  <c r="L303" i="1"/>
  <c r="L301" i="1"/>
  <c r="L299" i="1"/>
  <c r="L297" i="1"/>
  <c r="L295" i="1"/>
  <c r="L292" i="1"/>
  <c r="L290" i="1"/>
  <c r="L288" i="1"/>
  <c r="L286" i="1"/>
  <c r="L284" i="1"/>
  <c r="L281" i="1"/>
  <c r="L279" i="1"/>
  <c r="L277" i="1"/>
  <c r="L274" i="1"/>
  <c r="L272" i="1"/>
  <c r="L271" i="1"/>
  <c r="L268" i="1"/>
  <c r="L266" i="1"/>
  <c r="L264" i="1"/>
  <c r="L262" i="1"/>
  <c r="L259" i="1"/>
  <c r="L257" i="1"/>
  <c r="L255" i="1"/>
  <c r="L253" i="1"/>
  <c r="L251" i="1"/>
  <c r="L249" i="1"/>
  <c r="L246" i="1"/>
  <c r="L244" i="1"/>
  <c r="L242" i="1"/>
  <c r="L240" i="1"/>
  <c r="L237" i="1"/>
  <c r="L235" i="1"/>
  <c r="L233" i="1"/>
  <c r="L231" i="1"/>
  <c r="L229" i="1"/>
  <c r="L226" i="1"/>
  <c r="L224" i="1"/>
  <c r="L221" i="1"/>
  <c r="L219" i="1"/>
  <c r="L217" i="1"/>
  <c r="L215" i="1"/>
  <c r="L213" i="1"/>
  <c r="L211" i="1"/>
  <c r="L209" i="1"/>
  <c r="L207" i="1"/>
  <c r="L205" i="1"/>
  <c r="L203" i="1"/>
  <c r="L201" i="1"/>
  <c r="L199" i="1"/>
  <c r="L196" i="1"/>
  <c r="L194" i="1"/>
  <c r="L192" i="1"/>
  <c r="L190" i="1"/>
  <c r="L187" i="1"/>
  <c r="L186" i="1"/>
  <c r="L184" i="1"/>
  <c r="L183" i="1"/>
  <c r="L180" i="1"/>
  <c r="L179" i="1"/>
  <c r="L176" i="1"/>
  <c r="L174" i="1"/>
  <c r="L172" i="1"/>
  <c r="L170" i="1"/>
  <c r="L168" i="1"/>
  <c r="L166" i="1"/>
  <c r="L163" i="1"/>
  <c r="L161" i="1"/>
  <c r="L159" i="1"/>
  <c r="L157" i="1"/>
  <c r="L155" i="1"/>
  <c r="L153" i="1"/>
  <c r="L151" i="1"/>
  <c r="L149" i="1"/>
  <c r="L146" i="1"/>
  <c r="L144" i="1"/>
  <c r="L143" i="1"/>
  <c r="L141" i="1"/>
  <c r="L138" i="1"/>
  <c r="L136" i="1"/>
  <c r="L134" i="1"/>
  <c r="L132" i="1"/>
  <c r="L131" i="1"/>
  <c r="L129" i="1"/>
  <c r="L127" i="1"/>
  <c r="L125" i="1"/>
  <c r="L123" i="1"/>
  <c r="L121" i="1"/>
  <c r="L119" i="1"/>
  <c r="L117" i="1"/>
  <c r="L115" i="1"/>
  <c r="L112" i="1"/>
  <c r="L110" i="1"/>
  <c r="L108" i="1"/>
  <c r="L106" i="1"/>
  <c r="L104" i="1"/>
  <c r="L102" i="1"/>
  <c r="L100" i="1"/>
  <c r="L98" i="1"/>
  <c r="L96" i="1"/>
  <c r="L94" i="1"/>
  <c r="L92" i="1"/>
  <c r="L89" i="1"/>
  <c r="L87" i="1"/>
  <c r="L85" i="1"/>
  <c r="L83" i="1"/>
  <c r="L81" i="1"/>
  <c r="L78" i="1"/>
  <c r="L76" i="1"/>
  <c r="L74" i="1"/>
  <c r="L72" i="1"/>
  <c r="L70" i="1"/>
  <c r="L68" i="1"/>
  <c r="L66" i="1"/>
  <c r="L64" i="1"/>
  <c r="L62" i="1"/>
  <c r="L60" i="1"/>
  <c r="L57" i="1"/>
  <c r="L55" i="1"/>
  <c r="L54" i="1"/>
  <c r="L52" i="1"/>
  <c r="L50" i="1"/>
  <c r="L48" i="1"/>
  <c r="L46" i="1"/>
  <c r="L45" i="1"/>
  <c r="L43" i="1"/>
  <c r="L41" i="1"/>
  <c r="L39" i="1"/>
  <c r="L37" i="1"/>
  <c r="L35" i="1"/>
  <c r="L33" i="1"/>
  <c r="L31" i="1"/>
  <c r="L29" i="1"/>
  <c r="L27" i="1"/>
  <c r="L25" i="1"/>
  <c r="L23" i="1"/>
  <c r="L21" i="1"/>
  <c r="L19" i="1"/>
  <c r="L17" i="1"/>
  <c r="G21" i="1" l="1"/>
  <c r="E21" i="1"/>
  <c r="C21" i="1"/>
  <c r="H21" i="1"/>
  <c r="F21" i="1"/>
  <c r="D21" i="1"/>
  <c r="B21" i="1"/>
  <c r="G29" i="1"/>
  <c r="E29" i="1"/>
  <c r="C29" i="1"/>
  <c r="H29" i="1"/>
  <c r="F29" i="1"/>
  <c r="D29" i="1"/>
  <c r="B29" i="1"/>
  <c r="I29" i="1" s="1"/>
  <c r="G37" i="1"/>
  <c r="E37" i="1"/>
  <c r="C37" i="1"/>
  <c r="H37" i="1"/>
  <c r="F37" i="1"/>
  <c r="D37" i="1"/>
  <c r="B37" i="1"/>
  <c r="I37" i="1" s="1"/>
  <c r="G45" i="1"/>
  <c r="E45" i="1"/>
  <c r="C45" i="1"/>
  <c r="H45" i="1"/>
  <c r="F45" i="1"/>
  <c r="D45" i="1"/>
  <c r="B45" i="1"/>
  <c r="I45" i="1" s="1"/>
  <c r="G52" i="1"/>
  <c r="E52" i="1"/>
  <c r="C52" i="1"/>
  <c r="H52" i="1"/>
  <c r="F52" i="1"/>
  <c r="D52" i="1"/>
  <c r="B52" i="1"/>
  <c r="I52" i="1" s="1"/>
  <c r="G60" i="1"/>
  <c r="E60" i="1"/>
  <c r="C60" i="1"/>
  <c r="H60" i="1"/>
  <c r="F60" i="1"/>
  <c r="D60" i="1"/>
  <c r="B60" i="1"/>
  <c r="I60" i="1" s="1"/>
  <c r="G68" i="1"/>
  <c r="E68" i="1"/>
  <c r="C68" i="1"/>
  <c r="H68" i="1"/>
  <c r="F68" i="1"/>
  <c r="D68" i="1"/>
  <c r="B68" i="1"/>
  <c r="I68" i="1" s="1"/>
  <c r="G76" i="1"/>
  <c r="E76" i="1"/>
  <c r="C76" i="1"/>
  <c r="H76" i="1"/>
  <c r="F76" i="1"/>
  <c r="D76" i="1"/>
  <c r="B76" i="1"/>
  <c r="I76" i="1" s="1"/>
  <c r="G85" i="1"/>
  <c r="E85" i="1"/>
  <c r="C85" i="1"/>
  <c r="H85" i="1"/>
  <c r="F85" i="1"/>
  <c r="D85" i="1"/>
  <c r="B85" i="1"/>
  <c r="I85" i="1" s="1"/>
  <c r="G94" i="1"/>
  <c r="E94" i="1"/>
  <c r="C94" i="1"/>
  <c r="H94" i="1"/>
  <c r="F94" i="1"/>
  <c r="D94" i="1"/>
  <c r="B94" i="1"/>
  <c r="I94" i="1" s="1"/>
  <c r="G102" i="1"/>
  <c r="E102" i="1"/>
  <c r="C102" i="1"/>
  <c r="H102" i="1"/>
  <c r="F102" i="1"/>
  <c r="D102" i="1"/>
  <c r="B102" i="1"/>
  <c r="I102" i="1" s="1"/>
  <c r="G110" i="1"/>
  <c r="E110" i="1"/>
  <c r="C110" i="1"/>
  <c r="H110" i="1"/>
  <c r="F110" i="1"/>
  <c r="D110" i="1"/>
  <c r="B110" i="1"/>
  <c r="I110" i="1" s="1"/>
  <c r="G119" i="1"/>
  <c r="E119" i="1"/>
  <c r="C119" i="1"/>
  <c r="H119" i="1"/>
  <c r="F119" i="1"/>
  <c r="D119" i="1"/>
  <c r="B119" i="1"/>
  <c r="I119" i="1" s="1"/>
  <c r="G123" i="1"/>
  <c r="E123" i="1"/>
  <c r="C123" i="1"/>
  <c r="H123" i="1"/>
  <c r="F123" i="1"/>
  <c r="D123" i="1"/>
  <c r="B123" i="1"/>
  <c r="I123" i="1" s="1"/>
  <c r="G127" i="1"/>
  <c r="E127" i="1"/>
  <c r="C127" i="1"/>
  <c r="H127" i="1"/>
  <c r="F127" i="1"/>
  <c r="D127" i="1"/>
  <c r="B127" i="1"/>
  <c r="I127" i="1" s="1"/>
  <c r="G131" i="1"/>
  <c r="E131" i="1"/>
  <c r="C131" i="1"/>
  <c r="H131" i="1"/>
  <c r="F131" i="1"/>
  <c r="D131" i="1"/>
  <c r="B131" i="1"/>
  <c r="I131" i="1" s="1"/>
  <c r="G134" i="1"/>
  <c r="E134" i="1"/>
  <c r="C134" i="1"/>
  <c r="H134" i="1"/>
  <c r="F134" i="1"/>
  <c r="D134" i="1"/>
  <c r="B134" i="1"/>
  <c r="I134" i="1" s="1"/>
  <c r="G138" i="1"/>
  <c r="E138" i="1"/>
  <c r="C138" i="1"/>
  <c r="H138" i="1"/>
  <c r="F138" i="1"/>
  <c r="D138" i="1"/>
  <c r="B138" i="1"/>
  <c r="I138" i="1" s="1"/>
  <c r="G143" i="1"/>
  <c r="E143" i="1"/>
  <c r="C143" i="1"/>
  <c r="H143" i="1"/>
  <c r="F143" i="1"/>
  <c r="D143" i="1"/>
  <c r="B143" i="1"/>
  <c r="I143" i="1" s="1"/>
  <c r="G146" i="1"/>
  <c r="E146" i="1"/>
  <c r="C146" i="1"/>
  <c r="H146" i="1"/>
  <c r="F146" i="1"/>
  <c r="D146" i="1"/>
  <c r="B146" i="1"/>
  <c r="I146" i="1" s="1"/>
  <c r="G151" i="1"/>
  <c r="E151" i="1"/>
  <c r="C151" i="1"/>
  <c r="H151" i="1"/>
  <c r="F151" i="1"/>
  <c r="D151" i="1"/>
  <c r="B151" i="1"/>
  <c r="I151" i="1" s="1"/>
  <c r="G155" i="1"/>
  <c r="E155" i="1"/>
  <c r="C155" i="1"/>
  <c r="H155" i="1"/>
  <c r="F155" i="1"/>
  <c r="D155" i="1"/>
  <c r="B155" i="1"/>
  <c r="I155" i="1" s="1"/>
  <c r="G159" i="1"/>
  <c r="E159" i="1"/>
  <c r="C159" i="1"/>
  <c r="H159" i="1"/>
  <c r="F159" i="1"/>
  <c r="D159" i="1"/>
  <c r="B159" i="1"/>
  <c r="I159" i="1" s="1"/>
  <c r="G163" i="1"/>
  <c r="E163" i="1"/>
  <c r="C163" i="1"/>
  <c r="H163" i="1"/>
  <c r="F163" i="1"/>
  <c r="D163" i="1"/>
  <c r="B163" i="1"/>
  <c r="I163" i="1" s="1"/>
  <c r="G168" i="1"/>
  <c r="E168" i="1"/>
  <c r="C168" i="1"/>
  <c r="H168" i="1"/>
  <c r="F168" i="1"/>
  <c r="D168" i="1"/>
  <c r="B168" i="1"/>
  <c r="I168" i="1" s="1"/>
  <c r="G172" i="1"/>
  <c r="E172" i="1"/>
  <c r="C172" i="1"/>
  <c r="H172" i="1"/>
  <c r="F172" i="1"/>
  <c r="D172" i="1"/>
  <c r="B172" i="1"/>
  <c r="I172" i="1" s="1"/>
  <c r="G176" i="1"/>
  <c r="E176" i="1"/>
  <c r="C176" i="1"/>
  <c r="H176" i="1"/>
  <c r="F176" i="1"/>
  <c r="D176" i="1"/>
  <c r="B176" i="1"/>
  <c r="I176" i="1" s="1"/>
  <c r="G180" i="1"/>
  <c r="E180" i="1"/>
  <c r="C180" i="1"/>
  <c r="H180" i="1"/>
  <c r="F180" i="1"/>
  <c r="D180" i="1"/>
  <c r="B180" i="1"/>
  <c r="I180" i="1" s="1"/>
  <c r="G184" i="1"/>
  <c r="E184" i="1"/>
  <c r="C184" i="1"/>
  <c r="H184" i="1"/>
  <c r="F184" i="1"/>
  <c r="D184" i="1"/>
  <c r="B184" i="1"/>
  <c r="I184" i="1" s="1"/>
  <c r="G187" i="1"/>
  <c r="E187" i="1"/>
  <c r="C187" i="1"/>
  <c r="H187" i="1"/>
  <c r="F187" i="1"/>
  <c r="D187" i="1"/>
  <c r="B187" i="1"/>
  <c r="I187" i="1" s="1"/>
  <c r="G192" i="1"/>
  <c r="E192" i="1"/>
  <c r="C192" i="1"/>
  <c r="H192" i="1"/>
  <c r="F192" i="1"/>
  <c r="D192" i="1"/>
  <c r="B192" i="1"/>
  <c r="I192" i="1" s="1"/>
  <c r="G196" i="1"/>
  <c r="E196" i="1"/>
  <c r="C196" i="1"/>
  <c r="H196" i="1"/>
  <c r="F196" i="1"/>
  <c r="D196" i="1"/>
  <c r="B196" i="1"/>
  <c r="I196" i="1" s="1"/>
  <c r="G201" i="1"/>
  <c r="E201" i="1"/>
  <c r="C201" i="1"/>
  <c r="H201" i="1"/>
  <c r="F201" i="1"/>
  <c r="D201" i="1"/>
  <c r="B201" i="1"/>
  <c r="I201" i="1" s="1"/>
  <c r="G205" i="1"/>
  <c r="E205" i="1"/>
  <c r="C205" i="1"/>
  <c r="H205" i="1"/>
  <c r="F205" i="1"/>
  <c r="D205" i="1"/>
  <c r="B205" i="1"/>
  <c r="I205" i="1" s="1"/>
  <c r="G209" i="1"/>
  <c r="E209" i="1"/>
  <c r="C209" i="1"/>
  <c r="H209" i="1"/>
  <c r="F209" i="1"/>
  <c r="D209" i="1"/>
  <c r="B209" i="1"/>
  <c r="I209" i="1" s="1"/>
  <c r="G213" i="1"/>
  <c r="E213" i="1"/>
  <c r="C213" i="1"/>
  <c r="H213" i="1"/>
  <c r="F213" i="1"/>
  <c r="D213" i="1"/>
  <c r="B213" i="1"/>
  <c r="I213" i="1" s="1"/>
  <c r="G217" i="1"/>
  <c r="E217" i="1"/>
  <c r="C217" i="1"/>
  <c r="H217" i="1"/>
  <c r="F217" i="1"/>
  <c r="D217" i="1"/>
  <c r="B217" i="1"/>
  <c r="I217" i="1" s="1"/>
  <c r="G221" i="1"/>
  <c r="E221" i="1"/>
  <c r="C221" i="1"/>
  <c r="H221" i="1"/>
  <c r="F221" i="1"/>
  <c r="D221" i="1"/>
  <c r="B221" i="1"/>
  <c r="I221" i="1" s="1"/>
  <c r="G226" i="1"/>
  <c r="E226" i="1"/>
  <c r="C226" i="1"/>
  <c r="H226" i="1"/>
  <c r="F226" i="1"/>
  <c r="D226" i="1"/>
  <c r="B226" i="1"/>
  <c r="I226" i="1" s="1"/>
  <c r="G231" i="1"/>
  <c r="E231" i="1"/>
  <c r="C231" i="1"/>
  <c r="H231" i="1"/>
  <c r="F231" i="1"/>
  <c r="D231" i="1"/>
  <c r="B231" i="1"/>
  <c r="I231" i="1" s="1"/>
  <c r="G235" i="1"/>
  <c r="E235" i="1"/>
  <c r="C235" i="1"/>
  <c r="H235" i="1"/>
  <c r="F235" i="1"/>
  <c r="D235" i="1"/>
  <c r="B235" i="1"/>
  <c r="I235" i="1" s="1"/>
  <c r="G240" i="1"/>
  <c r="E240" i="1"/>
  <c r="C240" i="1"/>
  <c r="H240" i="1"/>
  <c r="F240" i="1"/>
  <c r="D240" i="1"/>
  <c r="B240" i="1"/>
  <c r="I240" i="1" s="1"/>
  <c r="G244" i="1"/>
  <c r="E244" i="1"/>
  <c r="C244" i="1"/>
  <c r="H244" i="1"/>
  <c r="F244" i="1"/>
  <c r="D244" i="1"/>
  <c r="B244" i="1"/>
  <c r="I244" i="1" s="1"/>
  <c r="G249" i="1"/>
  <c r="E249" i="1"/>
  <c r="C249" i="1"/>
  <c r="H249" i="1"/>
  <c r="F249" i="1"/>
  <c r="D249" i="1"/>
  <c r="B249" i="1"/>
  <c r="I249" i="1" s="1"/>
  <c r="G253" i="1"/>
  <c r="E253" i="1"/>
  <c r="C253" i="1"/>
  <c r="H253" i="1"/>
  <c r="F253" i="1"/>
  <c r="D253" i="1"/>
  <c r="B253" i="1"/>
  <c r="I253" i="1" s="1"/>
  <c r="G257" i="1"/>
  <c r="E257" i="1"/>
  <c r="C257" i="1"/>
  <c r="H257" i="1"/>
  <c r="F257" i="1"/>
  <c r="D257" i="1"/>
  <c r="B257" i="1"/>
  <c r="I257" i="1" s="1"/>
  <c r="G262" i="1"/>
  <c r="E262" i="1"/>
  <c r="C262" i="1"/>
  <c r="H262" i="1"/>
  <c r="F262" i="1"/>
  <c r="D262" i="1"/>
  <c r="B262" i="1"/>
  <c r="I262" i="1" s="1"/>
  <c r="G266" i="1"/>
  <c r="E266" i="1"/>
  <c r="C266" i="1"/>
  <c r="H266" i="1"/>
  <c r="F266" i="1"/>
  <c r="D266" i="1"/>
  <c r="B266" i="1"/>
  <c r="I266" i="1" s="1"/>
  <c r="G271" i="1"/>
  <c r="E271" i="1"/>
  <c r="C271" i="1"/>
  <c r="H271" i="1"/>
  <c r="F271" i="1"/>
  <c r="D271" i="1"/>
  <c r="B271" i="1"/>
  <c r="I271" i="1" s="1"/>
  <c r="G274" i="1"/>
  <c r="E274" i="1"/>
  <c r="C274" i="1"/>
  <c r="H274" i="1"/>
  <c r="F274" i="1"/>
  <c r="D274" i="1"/>
  <c r="B274" i="1"/>
  <c r="I274" i="1" s="1"/>
  <c r="G279" i="1"/>
  <c r="E279" i="1"/>
  <c r="C279" i="1"/>
  <c r="H279" i="1"/>
  <c r="F279" i="1"/>
  <c r="D279" i="1"/>
  <c r="B279" i="1"/>
  <c r="I279" i="1" s="1"/>
  <c r="G284" i="1"/>
  <c r="E284" i="1"/>
  <c r="C284" i="1"/>
  <c r="H284" i="1"/>
  <c r="F284" i="1"/>
  <c r="D284" i="1"/>
  <c r="B284" i="1"/>
  <c r="I284" i="1" s="1"/>
  <c r="G288" i="1"/>
  <c r="E288" i="1"/>
  <c r="C288" i="1"/>
  <c r="H288" i="1"/>
  <c r="F288" i="1"/>
  <c r="D288" i="1"/>
  <c r="B288" i="1"/>
  <c r="I288" i="1" s="1"/>
  <c r="G292" i="1"/>
  <c r="E292" i="1"/>
  <c r="C292" i="1"/>
  <c r="H292" i="1"/>
  <c r="F292" i="1"/>
  <c r="D292" i="1"/>
  <c r="B292" i="1"/>
  <c r="I292" i="1" s="1"/>
  <c r="G297" i="1"/>
  <c r="E297" i="1"/>
  <c r="C297" i="1"/>
  <c r="H297" i="1"/>
  <c r="F297" i="1"/>
  <c r="D297" i="1"/>
  <c r="B297" i="1"/>
  <c r="I297" i="1" s="1"/>
  <c r="G301" i="1"/>
  <c r="E301" i="1"/>
  <c r="C301" i="1"/>
  <c r="H301" i="1"/>
  <c r="F301" i="1"/>
  <c r="D301" i="1"/>
  <c r="B301" i="1"/>
  <c r="I301" i="1" s="1"/>
  <c r="G305" i="1"/>
  <c r="E305" i="1"/>
  <c r="C305" i="1"/>
  <c r="H305" i="1"/>
  <c r="F305" i="1"/>
  <c r="D305" i="1"/>
  <c r="B305" i="1"/>
  <c r="I305" i="1" s="1"/>
  <c r="G309" i="1"/>
  <c r="E309" i="1"/>
  <c r="C309" i="1"/>
  <c r="H309" i="1"/>
  <c r="F309" i="1"/>
  <c r="D309" i="1"/>
  <c r="B309" i="1"/>
  <c r="I309" i="1" s="1"/>
  <c r="G314" i="1"/>
  <c r="E314" i="1"/>
  <c r="C314" i="1"/>
  <c r="H314" i="1"/>
  <c r="F314" i="1"/>
  <c r="D314" i="1"/>
  <c r="B314" i="1"/>
  <c r="I314" i="1" s="1"/>
  <c r="G317" i="1"/>
  <c r="E317" i="1"/>
  <c r="C317" i="1"/>
  <c r="H317" i="1"/>
  <c r="F317" i="1"/>
  <c r="D317" i="1"/>
  <c r="B317" i="1"/>
  <c r="I317" i="1" s="1"/>
  <c r="G322" i="1"/>
  <c r="E322" i="1"/>
  <c r="C322" i="1"/>
  <c r="H322" i="1"/>
  <c r="F322" i="1"/>
  <c r="D322" i="1"/>
  <c r="B322" i="1"/>
  <c r="I322" i="1" s="1"/>
  <c r="G326" i="1"/>
  <c r="E326" i="1"/>
  <c r="C326" i="1"/>
  <c r="H326" i="1"/>
  <c r="F326" i="1"/>
  <c r="D326" i="1"/>
  <c r="B326" i="1"/>
  <c r="I326" i="1" s="1"/>
  <c r="G329" i="1"/>
  <c r="E329" i="1"/>
  <c r="C329" i="1"/>
  <c r="H329" i="1"/>
  <c r="F329" i="1"/>
  <c r="D329" i="1"/>
  <c r="B329" i="1"/>
  <c r="I329" i="1" s="1"/>
  <c r="G333" i="1"/>
  <c r="E333" i="1"/>
  <c r="C333" i="1"/>
  <c r="H333" i="1"/>
  <c r="F333" i="1"/>
  <c r="D333" i="1"/>
  <c r="B333" i="1"/>
  <c r="I333" i="1" s="1"/>
  <c r="G337" i="1"/>
  <c r="E337" i="1"/>
  <c r="C337" i="1"/>
  <c r="H337" i="1"/>
  <c r="F337" i="1"/>
  <c r="D337" i="1"/>
  <c r="B337" i="1"/>
  <c r="I337" i="1" s="1"/>
  <c r="G341" i="1"/>
  <c r="E341" i="1"/>
  <c r="C341" i="1"/>
  <c r="H341" i="1"/>
  <c r="F341" i="1"/>
  <c r="D341" i="1"/>
  <c r="B341" i="1"/>
  <c r="I341" i="1" s="1"/>
  <c r="G346" i="1"/>
  <c r="E346" i="1"/>
  <c r="C346" i="1"/>
  <c r="H346" i="1"/>
  <c r="F346" i="1"/>
  <c r="D346" i="1"/>
  <c r="B346" i="1"/>
  <c r="I346" i="1" s="1"/>
  <c r="G351" i="1"/>
  <c r="E351" i="1"/>
  <c r="C351" i="1"/>
  <c r="H351" i="1"/>
  <c r="F351" i="1"/>
  <c r="D351" i="1"/>
  <c r="B351" i="1"/>
  <c r="I351" i="1" s="1"/>
  <c r="G355" i="1"/>
  <c r="E355" i="1"/>
  <c r="C355" i="1"/>
  <c r="H355" i="1"/>
  <c r="F355" i="1"/>
  <c r="D355" i="1"/>
  <c r="B355" i="1"/>
  <c r="I355" i="1" s="1"/>
  <c r="G359" i="1"/>
  <c r="E359" i="1"/>
  <c r="C359" i="1"/>
  <c r="H359" i="1"/>
  <c r="F359" i="1"/>
  <c r="D359" i="1"/>
  <c r="B359" i="1"/>
  <c r="I359" i="1" s="1"/>
  <c r="G363" i="1"/>
  <c r="E363" i="1"/>
  <c r="C363" i="1"/>
  <c r="H363" i="1"/>
  <c r="F363" i="1"/>
  <c r="D363" i="1"/>
  <c r="B363" i="1"/>
  <c r="I363" i="1" s="1"/>
  <c r="G367" i="1"/>
  <c r="E367" i="1"/>
  <c r="C367" i="1"/>
  <c r="H367" i="1"/>
  <c r="F367" i="1"/>
  <c r="D367" i="1"/>
  <c r="B367" i="1"/>
  <c r="I367" i="1" s="1"/>
  <c r="G371" i="1"/>
  <c r="E371" i="1"/>
  <c r="C371" i="1"/>
  <c r="H371" i="1"/>
  <c r="F371" i="1"/>
  <c r="D371" i="1"/>
  <c r="B371" i="1"/>
  <c r="I371" i="1" s="1"/>
  <c r="G376" i="1"/>
  <c r="E376" i="1"/>
  <c r="C376" i="1"/>
  <c r="H376" i="1"/>
  <c r="F376" i="1"/>
  <c r="D376" i="1"/>
  <c r="B376" i="1"/>
  <c r="I376" i="1" s="1"/>
  <c r="G380" i="1"/>
  <c r="E380" i="1"/>
  <c r="C380" i="1"/>
  <c r="H380" i="1"/>
  <c r="F380" i="1"/>
  <c r="D380" i="1"/>
  <c r="B380" i="1"/>
  <c r="I380" i="1" s="1"/>
  <c r="G385" i="1"/>
  <c r="E385" i="1"/>
  <c r="C385" i="1"/>
  <c r="H385" i="1"/>
  <c r="F385" i="1"/>
  <c r="D385" i="1"/>
  <c r="B385" i="1"/>
  <c r="I385" i="1" s="1"/>
  <c r="G389" i="1"/>
  <c r="E389" i="1"/>
  <c r="C389" i="1"/>
  <c r="H389" i="1"/>
  <c r="F389" i="1"/>
  <c r="D389" i="1"/>
  <c r="B389" i="1"/>
  <c r="I389" i="1" s="1"/>
  <c r="G393" i="1"/>
  <c r="E393" i="1"/>
  <c r="C393" i="1"/>
  <c r="H393" i="1"/>
  <c r="F393" i="1"/>
  <c r="D393" i="1"/>
  <c r="B393" i="1"/>
  <c r="I393" i="1" s="1"/>
  <c r="G398" i="1"/>
  <c r="E398" i="1"/>
  <c r="C398" i="1"/>
  <c r="H398" i="1"/>
  <c r="F398" i="1"/>
  <c r="D398" i="1"/>
  <c r="B398" i="1"/>
  <c r="I398" i="1" s="1"/>
  <c r="G402" i="1"/>
  <c r="E402" i="1"/>
  <c r="C402" i="1"/>
  <c r="H402" i="1"/>
  <c r="F402" i="1"/>
  <c r="D402" i="1"/>
  <c r="B402" i="1"/>
  <c r="I402" i="1" s="1"/>
  <c r="G407" i="1"/>
  <c r="E407" i="1"/>
  <c r="C407" i="1"/>
  <c r="H407" i="1"/>
  <c r="F407" i="1"/>
  <c r="D407" i="1"/>
  <c r="B407" i="1"/>
  <c r="I407" i="1" s="1"/>
  <c r="G411" i="1"/>
  <c r="E411" i="1"/>
  <c r="C411" i="1"/>
  <c r="H411" i="1"/>
  <c r="F411" i="1"/>
  <c r="D411" i="1"/>
  <c r="B411" i="1"/>
  <c r="I411" i="1" s="1"/>
  <c r="G415" i="1"/>
  <c r="E415" i="1"/>
  <c r="C415" i="1"/>
  <c r="H415" i="1"/>
  <c r="F415" i="1"/>
  <c r="D415" i="1"/>
  <c r="B415" i="1"/>
  <c r="I415" i="1" s="1"/>
  <c r="G419" i="1"/>
  <c r="E419" i="1"/>
  <c r="C419" i="1"/>
  <c r="H419" i="1"/>
  <c r="F419" i="1"/>
  <c r="D419" i="1"/>
  <c r="B419" i="1"/>
  <c r="I419" i="1" s="1"/>
  <c r="G424" i="1"/>
  <c r="E424" i="1"/>
  <c r="C424" i="1"/>
  <c r="H424" i="1"/>
  <c r="F424" i="1"/>
  <c r="D424" i="1"/>
  <c r="B424" i="1"/>
  <c r="I424" i="1" s="1"/>
  <c r="G428" i="1"/>
  <c r="E428" i="1"/>
  <c r="C428" i="1"/>
  <c r="H428" i="1"/>
  <c r="F428" i="1"/>
  <c r="D428" i="1"/>
  <c r="B428" i="1"/>
  <c r="I428" i="1" s="1"/>
  <c r="G432" i="1"/>
  <c r="E432" i="1"/>
  <c r="C432" i="1"/>
  <c r="H432" i="1"/>
  <c r="F432" i="1"/>
  <c r="D432" i="1"/>
  <c r="B432" i="1"/>
  <c r="I432" i="1" s="1"/>
  <c r="G436" i="1"/>
  <c r="E436" i="1"/>
  <c r="C436" i="1"/>
  <c r="H436" i="1"/>
  <c r="F436" i="1"/>
  <c r="D436" i="1"/>
  <c r="B436" i="1"/>
  <c r="I436" i="1" s="1"/>
  <c r="G440" i="1"/>
  <c r="E440" i="1"/>
  <c r="C440" i="1"/>
  <c r="H440" i="1"/>
  <c r="F440" i="1"/>
  <c r="D440" i="1"/>
  <c r="B440" i="1"/>
  <c r="I440" i="1" s="1"/>
  <c r="G445" i="1"/>
  <c r="E445" i="1"/>
  <c r="C445" i="1"/>
  <c r="H445" i="1"/>
  <c r="F445" i="1"/>
  <c r="D445" i="1"/>
  <c r="B445" i="1"/>
  <c r="I445" i="1" s="1"/>
  <c r="G449" i="1"/>
  <c r="E449" i="1"/>
  <c r="C449" i="1"/>
  <c r="H449" i="1"/>
  <c r="F449" i="1"/>
  <c r="D449" i="1"/>
  <c r="B449" i="1"/>
  <c r="I449" i="1" s="1"/>
  <c r="G454" i="1"/>
  <c r="E454" i="1"/>
  <c r="C454" i="1"/>
  <c r="H454" i="1"/>
  <c r="F454" i="1"/>
  <c r="D454" i="1"/>
  <c r="B454" i="1"/>
  <c r="I454" i="1" s="1"/>
  <c r="G458" i="1"/>
  <c r="E458" i="1"/>
  <c r="C458" i="1"/>
  <c r="H458" i="1"/>
  <c r="F458" i="1"/>
  <c r="D458" i="1"/>
  <c r="B458" i="1"/>
  <c r="I458" i="1" s="1"/>
  <c r="G462" i="1"/>
  <c r="E462" i="1"/>
  <c r="C462" i="1"/>
  <c r="H462" i="1"/>
  <c r="F462" i="1"/>
  <c r="D462" i="1"/>
  <c r="B462" i="1"/>
  <c r="I462" i="1" s="1"/>
  <c r="G467" i="1"/>
  <c r="E467" i="1"/>
  <c r="C467" i="1"/>
  <c r="H467" i="1"/>
  <c r="F467" i="1"/>
  <c r="D467" i="1"/>
  <c r="B467" i="1"/>
  <c r="I467" i="1" s="1"/>
  <c r="G470" i="1"/>
  <c r="E470" i="1"/>
  <c r="C470" i="1"/>
  <c r="H470" i="1"/>
  <c r="D470" i="1"/>
  <c r="B470" i="1"/>
  <c r="I470" i="1" s="1"/>
  <c r="F470" i="1"/>
  <c r="G473" i="1"/>
  <c r="E473" i="1"/>
  <c r="C473" i="1"/>
  <c r="H473" i="1"/>
  <c r="F473" i="1"/>
  <c r="D473" i="1"/>
  <c r="B473" i="1"/>
  <c r="I473" i="1" s="1"/>
  <c r="G477" i="1"/>
  <c r="E477" i="1"/>
  <c r="C477" i="1"/>
  <c r="H477" i="1"/>
  <c r="F477" i="1"/>
  <c r="D477" i="1"/>
  <c r="B477" i="1"/>
  <c r="I477" i="1" s="1"/>
  <c r="G482" i="1"/>
  <c r="E482" i="1"/>
  <c r="C482" i="1"/>
  <c r="H482" i="1"/>
  <c r="F482" i="1"/>
  <c r="D482" i="1"/>
  <c r="B482" i="1"/>
  <c r="I482" i="1" s="1"/>
  <c r="G486" i="1"/>
  <c r="E486" i="1"/>
  <c r="C486" i="1"/>
  <c r="H486" i="1"/>
  <c r="F486" i="1"/>
  <c r="D486" i="1"/>
  <c r="B486" i="1"/>
  <c r="I486" i="1" s="1"/>
  <c r="G490" i="1"/>
  <c r="E490" i="1"/>
  <c r="C490" i="1"/>
  <c r="H490" i="1"/>
  <c r="F490" i="1"/>
  <c r="D490" i="1"/>
  <c r="B490" i="1"/>
  <c r="I490" i="1" s="1"/>
  <c r="G495" i="1"/>
  <c r="E495" i="1"/>
  <c r="C495" i="1"/>
  <c r="H495" i="1"/>
  <c r="F495" i="1"/>
  <c r="D495" i="1"/>
  <c r="B495" i="1"/>
  <c r="I495" i="1" s="1"/>
  <c r="G499" i="1"/>
  <c r="E499" i="1"/>
  <c r="C499" i="1"/>
  <c r="H499" i="1"/>
  <c r="F499" i="1"/>
  <c r="D499" i="1"/>
  <c r="B499" i="1"/>
  <c r="I499" i="1" s="1"/>
  <c r="G503" i="1"/>
  <c r="E503" i="1"/>
  <c r="C503" i="1"/>
  <c r="H503" i="1"/>
  <c r="F503" i="1"/>
  <c r="D503" i="1"/>
  <c r="B503" i="1"/>
  <c r="I503" i="1" s="1"/>
  <c r="G508" i="1"/>
  <c r="E508" i="1"/>
  <c r="C508" i="1"/>
  <c r="H508" i="1"/>
  <c r="F508" i="1"/>
  <c r="D508" i="1"/>
  <c r="B508" i="1"/>
  <c r="I508" i="1" s="1"/>
  <c r="G512" i="1"/>
  <c r="E512" i="1"/>
  <c r="C512" i="1"/>
  <c r="H512" i="1"/>
  <c r="F512" i="1"/>
  <c r="D512" i="1"/>
  <c r="B512" i="1"/>
  <c r="I512" i="1" s="1"/>
  <c r="G516" i="1"/>
  <c r="E516" i="1"/>
  <c r="C516" i="1"/>
  <c r="H516" i="1"/>
  <c r="F516" i="1"/>
  <c r="D516" i="1"/>
  <c r="B516" i="1"/>
  <c r="I516" i="1" s="1"/>
  <c r="G521" i="1"/>
  <c r="E521" i="1"/>
  <c r="C521" i="1"/>
  <c r="H521" i="1"/>
  <c r="F521" i="1"/>
  <c r="D521" i="1"/>
  <c r="B521" i="1"/>
  <c r="I521" i="1" s="1"/>
  <c r="G525" i="1"/>
  <c r="E525" i="1"/>
  <c r="C525" i="1"/>
  <c r="H525" i="1"/>
  <c r="F525" i="1"/>
  <c r="D525" i="1"/>
  <c r="B525" i="1"/>
  <c r="I525" i="1" s="1"/>
  <c r="G529" i="1"/>
  <c r="E529" i="1"/>
  <c r="C529" i="1"/>
  <c r="H529" i="1"/>
  <c r="F529" i="1"/>
  <c r="D529" i="1"/>
  <c r="B529" i="1"/>
  <c r="I529" i="1" s="1"/>
  <c r="G534" i="1"/>
  <c r="E534" i="1"/>
  <c r="C534" i="1"/>
  <c r="H534" i="1"/>
  <c r="F534" i="1"/>
  <c r="D534" i="1"/>
  <c r="B534" i="1"/>
  <c r="I534" i="1" s="1"/>
  <c r="G538" i="1"/>
  <c r="E538" i="1"/>
  <c r="C538" i="1"/>
  <c r="H538" i="1"/>
  <c r="F538" i="1"/>
  <c r="D538" i="1"/>
  <c r="B538" i="1"/>
  <c r="I538" i="1" s="1"/>
  <c r="G543" i="1"/>
  <c r="E543" i="1"/>
  <c r="C543" i="1"/>
  <c r="H543" i="1"/>
  <c r="F543" i="1"/>
  <c r="D543" i="1"/>
  <c r="B543" i="1"/>
  <c r="I543" i="1" s="1"/>
  <c r="G547" i="1"/>
  <c r="E547" i="1"/>
  <c r="C547" i="1"/>
  <c r="H547" i="1"/>
  <c r="F547" i="1"/>
  <c r="D547" i="1"/>
  <c r="B547" i="1"/>
  <c r="I547" i="1" s="1"/>
  <c r="G551" i="1"/>
  <c r="E551" i="1"/>
  <c r="C551" i="1"/>
  <c r="H551" i="1"/>
  <c r="F551" i="1"/>
  <c r="D551" i="1"/>
  <c r="B551" i="1"/>
  <c r="I551" i="1" s="1"/>
  <c r="G556" i="1"/>
  <c r="E556" i="1"/>
  <c r="C556" i="1"/>
  <c r="H556" i="1"/>
  <c r="F556" i="1"/>
  <c r="D556" i="1"/>
  <c r="B556" i="1"/>
  <c r="I556" i="1" s="1"/>
  <c r="G559" i="1"/>
  <c r="E559" i="1"/>
  <c r="C559" i="1"/>
  <c r="H559" i="1"/>
  <c r="F559" i="1"/>
  <c r="D559" i="1"/>
  <c r="B559" i="1"/>
  <c r="I559" i="1" s="1"/>
  <c r="G562" i="1"/>
  <c r="E562" i="1"/>
  <c r="C562" i="1"/>
  <c r="H562" i="1"/>
  <c r="F562" i="1"/>
  <c r="D562" i="1"/>
  <c r="B562" i="1"/>
  <c r="I562" i="1" s="1"/>
  <c r="G567" i="1"/>
  <c r="E567" i="1"/>
  <c r="C567" i="1"/>
  <c r="H567" i="1"/>
  <c r="F567" i="1"/>
  <c r="D567" i="1"/>
  <c r="B567" i="1"/>
  <c r="I567" i="1" s="1"/>
  <c r="G571" i="1"/>
  <c r="E571" i="1"/>
  <c r="C571" i="1"/>
  <c r="H571" i="1"/>
  <c r="F571" i="1"/>
  <c r="D571" i="1"/>
  <c r="B571" i="1"/>
  <c r="I571" i="1" s="1"/>
  <c r="G575" i="1"/>
  <c r="E575" i="1"/>
  <c r="C575" i="1"/>
  <c r="H575" i="1"/>
  <c r="F575" i="1"/>
  <c r="D575" i="1"/>
  <c r="B575" i="1"/>
  <c r="I575" i="1" s="1"/>
  <c r="G579" i="1"/>
  <c r="E579" i="1"/>
  <c r="C579" i="1"/>
  <c r="H579" i="1"/>
  <c r="F579" i="1"/>
  <c r="D579" i="1"/>
  <c r="B579" i="1"/>
  <c r="I579" i="1" s="1"/>
  <c r="G583" i="1"/>
  <c r="E583" i="1"/>
  <c r="C583" i="1"/>
  <c r="H583" i="1"/>
  <c r="F583" i="1"/>
  <c r="D583" i="1"/>
  <c r="B583" i="1"/>
  <c r="I583" i="1" s="1"/>
  <c r="G588" i="1"/>
  <c r="E588" i="1"/>
  <c r="C588" i="1"/>
  <c r="H588" i="1"/>
  <c r="F588" i="1"/>
  <c r="D588" i="1"/>
  <c r="B588" i="1"/>
  <c r="I588" i="1" s="1"/>
  <c r="G592" i="1"/>
  <c r="E592" i="1"/>
  <c r="C592" i="1"/>
  <c r="H592" i="1"/>
  <c r="F592" i="1"/>
  <c r="D592" i="1"/>
  <c r="B592" i="1"/>
  <c r="I592" i="1" s="1"/>
  <c r="G596" i="1"/>
  <c r="E596" i="1"/>
  <c r="C596" i="1"/>
  <c r="H596" i="1"/>
  <c r="F596" i="1"/>
  <c r="D596" i="1"/>
  <c r="B596" i="1"/>
  <c r="I596" i="1" s="1"/>
  <c r="G600" i="1"/>
  <c r="E600" i="1"/>
  <c r="C600" i="1"/>
  <c r="H600" i="1"/>
  <c r="F600" i="1"/>
  <c r="D600" i="1"/>
  <c r="B600" i="1"/>
  <c r="I600" i="1" s="1"/>
  <c r="G605" i="1"/>
  <c r="E605" i="1"/>
  <c r="C605" i="1"/>
  <c r="H605" i="1"/>
  <c r="F605" i="1"/>
  <c r="D605" i="1"/>
  <c r="B605" i="1"/>
  <c r="I605" i="1" s="1"/>
  <c r="G609" i="1"/>
  <c r="E609" i="1"/>
  <c r="C609" i="1"/>
  <c r="H609" i="1"/>
  <c r="F609" i="1"/>
  <c r="D609" i="1"/>
  <c r="B609" i="1"/>
  <c r="I609" i="1" s="1"/>
  <c r="G613" i="1"/>
  <c r="E613" i="1"/>
  <c r="C613" i="1"/>
  <c r="H613" i="1"/>
  <c r="F613" i="1"/>
  <c r="D613" i="1"/>
  <c r="B613" i="1"/>
  <c r="I613" i="1" s="1"/>
  <c r="G616" i="1"/>
  <c r="E616" i="1"/>
  <c r="C616" i="1"/>
  <c r="H616" i="1"/>
  <c r="F616" i="1"/>
  <c r="D616" i="1"/>
  <c r="B616" i="1"/>
  <c r="I616" i="1" s="1"/>
  <c r="G621" i="1"/>
  <c r="E621" i="1"/>
  <c r="C621" i="1"/>
  <c r="H621" i="1"/>
  <c r="F621" i="1"/>
  <c r="D621" i="1"/>
  <c r="B621" i="1"/>
  <c r="I621" i="1" s="1"/>
  <c r="G625" i="1"/>
  <c r="E625" i="1"/>
  <c r="C625" i="1"/>
  <c r="H625" i="1"/>
  <c r="F625" i="1"/>
  <c r="D625" i="1"/>
  <c r="B625" i="1"/>
  <c r="I625" i="1" s="1"/>
  <c r="G630" i="1"/>
  <c r="E630" i="1"/>
  <c r="C630" i="1"/>
  <c r="H630" i="1"/>
  <c r="F630" i="1"/>
  <c r="D630" i="1"/>
  <c r="B630" i="1"/>
  <c r="I630" i="1" s="1"/>
  <c r="G634" i="1"/>
  <c r="E634" i="1"/>
  <c r="C634" i="1"/>
  <c r="H634" i="1"/>
  <c r="F634" i="1"/>
  <c r="D634" i="1"/>
  <c r="B634" i="1"/>
  <c r="I634" i="1" s="1"/>
  <c r="G638" i="1"/>
  <c r="E638" i="1"/>
  <c r="C638" i="1"/>
  <c r="H638" i="1"/>
  <c r="F638" i="1"/>
  <c r="D638" i="1"/>
  <c r="B638" i="1"/>
  <c r="I638" i="1" s="1"/>
  <c r="G642" i="1"/>
  <c r="E642" i="1"/>
  <c r="C642" i="1"/>
  <c r="H642" i="1"/>
  <c r="F642" i="1"/>
  <c r="D642" i="1"/>
  <c r="B642" i="1"/>
  <c r="I642" i="1" s="1"/>
  <c r="G646" i="1"/>
  <c r="E646" i="1"/>
  <c r="C646" i="1"/>
  <c r="H646" i="1"/>
  <c r="F646" i="1"/>
  <c r="D646" i="1"/>
  <c r="B646" i="1"/>
  <c r="I646" i="1" s="1"/>
  <c r="G650" i="1"/>
  <c r="E650" i="1"/>
  <c r="C650" i="1"/>
  <c r="H650" i="1"/>
  <c r="F650" i="1"/>
  <c r="D650" i="1"/>
  <c r="B650" i="1"/>
  <c r="I650" i="1" s="1"/>
  <c r="G655" i="1"/>
  <c r="E655" i="1"/>
  <c r="C655" i="1"/>
  <c r="H655" i="1"/>
  <c r="F655" i="1"/>
  <c r="D655" i="1"/>
  <c r="B655" i="1"/>
  <c r="I655" i="1" s="1"/>
  <c r="G658" i="1"/>
  <c r="E658" i="1"/>
  <c r="C658" i="1"/>
  <c r="H658" i="1"/>
  <c r="F658" i="1"/>
  <c r="D658" i="1"/>
  <c r="B658" i="1"/>
  <c r="I658" i="1" s="1"/>
  <c r="G663" i="1"/>
  <c r="E663" i="1"/>
  <c r="C663" i="1"/>
  <c r="H663" i="1"/>
  <c r="F663" i="1"/>
  <c r="D663" i="1"/>
  <c r="B663" i="1"/>
  <c r="I663" i="1" s="1"/>
  <c r="G667" i="1"/>
  <c r="E667" i="1"/>
  <c r="C667" i="1"/>
  <c r="H667" i="1"/>
  <c r="F667" i="1"/>
  <c r="D667" i="1"/>
  <c r="B667" i="1"/>
  <c r="I667" i="1" s="1"/>
  <c r="G671" i="1"/>
  <c r="E671" i="1"/>
  <c r="C671" i="1"/>
  <c r="H671" i="1"/>
  <c r="F671" i="1"/>
  <c r="D671" i="1"/>
  <c r="B671" i="1"/>
  <c r="I671" i="1" s="1"/>
  <c r="G675" i="1"/>
  <c r="E675" i="1"/>
  <c r="C675" i="1"/>
  <c r="H675" i="1"/>
  <c r="F675" i="1"/>
  <c r="D675" i="1"/>
  <c r="B675" i="1"/>
  <c r="I675" i="1" s="1"/>
  <c r="G680" i="1"/>
  <c r="E680" i="1"/>
  <c r="C680" i="1"/>
  <c r="H680" i="1"/>
  <c r="F680" i="1"/>
  <c r="D680" i="1"/>
  <c r="B680" i="1"/>
  <c r="I680" i="1" s="1"/>
  <c r="G684" i="1"/>
  <c r="E684" i="1"/>
  <c r="C684" i="1"/>
  <c r="H684" i="1"/>
  <c r="F684" i="1"/>
  <c r="D684" i="1"/>
  <c r="B684" i="1"/>
  <c r="I684" i="1" s="1"/>
  <c r="G688" i="1"/>
  <c r="E688" i="1"/>
  <c r="C688" i="1"/>
  <c r="H688" i="1"/>
  <c r="F688" i="1"/>
  <c r="D688" i="1"/>
  <c r="B688" i="1"/>
  <c r="I688" i="1" s="1"/>
  <c r="G693" i="1"/>
  <c r="E693" i="1"/>
  <c r="C693" i="1"/>
  <c r="H693" i="1"/>
  <c r="F693" i="1"/>
  <c r="D693" i="1"/>
  <c r="B693" i="1"/>
  <c r="I693" i="1" s="1"/>
  <c r="G697" i="1"/>
  <c r="E697" i="1"/>
  <c r="C697" i="1"/>
  <c r="H697" i="1"/>
  <c r="F697" i="1"/>
  <c r="D697" i="1"/>
  <c r="B697" i="1"/>
  <c r="I697" i="1" s="1"/>
  <c r="G701" i="1"/>
  <c r="E701" i="1"/>
  <c r="C701" i="1"/>
  <c r="H701" i="1"/>
  <c r="F701" i="1"/>
  <c r="D701" i="1"/>
  <c r="B701" i="1"/>
  <c r="I701" i="1" s="1"/>
  <c r="G705" i="1"/>
  <c r="E705" i="1"/>
  <c r="C705" i="1"/>
  <c r="H705" i="1"/>
  <c r="F705" i="1"/>
  <c r="D705" i="1"/>
  <c r="B705" i="1"/>
  <c r="I705" i="1" s="1"/>
  <c r="G709" i="1"/>
  <c r="E709" i="1"/>
  <c r="C709" i="1"/>
  <c r="H709" i="1"/>
  <c r="F709" i="1"/>
  <c r="D709" i="1"/>
  <c r="B709" i="1"/>
  <c r="I709" i="1" s="1"/>
  <c r="G713" i="1"/>
  <c r="E713" i="1"/>
  <c r="C713" i="1"/>
  <c r="H713" i="1"/>
  <c r="F713" i="1"/>
  <c r="D713" i="1"/>
  <c r="B713" i="1"/>
  <c r="I713" i="1" s="1"/>
  <c r="G718" i="1"/>
  <c r="E718" i="1"/>
  <c r="C718" i="1"/>
  <c r="H718" i="1"/>
  <c r="F718" i="1"/>
  <c r="D718" i="1"/>
  <c r="B718" i="1"/>
  <c r="I718" i="1" s="1"/>
  <c r="G722" i="1"/>
  <c r="E722" i="1"/>
  <c r="C722" i="1"/>
  <c r="H722" i="1"/>
  <c r="F722" i="1"/>
  <c r="D722" i="1"/>
  <c r="B722" i="1"/>
  <c r="I722" i="1" s="1"/>
  <c r="G727" i="1"/>
  <c r="E727" i="1"/>
  <c r="C727" i="1"/>
  <c r="H727" i="1"/>
  <c r="F727" i="1"/>
  <c r="D727" i="1"/>
  <c r="B727" i="1"/>
  <c r="I727" i="1" s="1"/>
  <c r="G731" i="1"/>
  <c r="E731" i="1"/>
  <c r="C731" i="1"/>
  <c r="H731" i="1"/>
  <c r="F731" i="1"/>
  <c r="D731" i="1"/>
  <c r="B731" i="1"/>
  <c r="I731" i="1" s="1"/>
  <c r="G735" i="1"/>
  <c r="E735" i="1"/>
  <c r="C735" i="1"/>
  <c r="H735" i="1"/>
  <c r="F735" i="1"/>
  <c r="D735" i="1"/>
  <c r="B735" i="1"/>
  <c r="I735" i="1" s="1"/>
  <c r="G739" i="1"/>
  <c r="E739" i="1"/>
  <c r="C739" i="1"/>
  <c r="H739" i="1"/>
  <c r="F739" i="1"/>
  <c r="D739" i="1"/>
  <c r="B739" i="1"/>
  <c r="I739" i="1" s="1"/>
  <c r="G744" i="1"/>
  <c r="E744" i="1"/>
  <c r="C744" i="1"/>
  <c r="H744" i="1"/>
  <c r="F744" i="1"/>
  <c r="D744" i="1"/>
  <c r="B744" i="1"/>
  <c r="I744" i="1" s="1"/>
  <c r="G748" i="1"/>
  <c r="E748" i="1"/>
  <c r="C748" i="1"/>
  <c r="H748" i="1"/>
  <c r="F748" i="1"/>
  <c r="D748" i="1"/>
  <c r="B748" i="1"/>
  <c r="I748" i="1" s="1"/>
  <c r="G752" i="1"/>
  <c r="E752" i="1"/>
  <c r="C752" i="1"/>
  <c r="H752" i="1"/>
  <c r="F752" i="1"/>
  <c r="D752" i="1"/>
  <c r="B752" i="1"/>
  <c r="I752" i="1" s="1"/>
  <c r="G755" i="1"/>
  <c r="E755" i="1"/>
  <c r="C755" i="1"/>
  <c r="H755" i="1"/>
  <c r="F755" i="1"/>
  <c r="D755" i="1"/>
  <c r="B755" i="1"/>
  <c r="I755" i="1" s="1"/>
  <c r="G759" i="1"/>
  <c r="E759" i="1"/>
  <c r="C759" i="1"/>
  <c r="H759" i="1"/>
  <c r="F759" i="1"/>
  <c r="D759" i="1"/>
  <c r="B759" i="1"/>
  <c r="I759" i="1" s="1"/>
  <c r="G763" i="1"/>
  <c r="E763" i="1"/>
  <c r="C763" i="1"/>
  <c r="H763" i="1"/>
  <c r="F763" i="1"/>
  <c r="D763" i="1"/>
  <c r="B763" i="1"/>
  <c r="I763" i="1" s="1"/>
  <c r="G767" i="1"/>
  <c r="E767" i="1"/>
  <c r="C767" i="1"/>
  <c r="H767" i="1"/>
  <c r="F767" i="1"/>
  <c r="D767" i="1"/>
  <c r="B767" i="1"/>
  <c r="I767" i="1" s="1"/>
  <c r="G771" i="1"/>
  <c r="E771" i="1"/>
  <c r="C771" i="1"/>
  <c r="H771" i="1"/>
  <c r="F771" i="1"/>
  <c r="D771" i="1"/>
  <c r="B771" i="1"/>
  <c r="I771" i="1" s="1"/>
  <c r="G775" i="1"/>
  <c r="E775" i="1"/>
  <c r="C775" i="1"/>
  <c r="H775" i="1"/>
  <c r="F775" i="1"/>
  <c r="D775" i="1"/>
  <c r="B775" i="1"/>
  <c r="I775" i="1" s="1"/>
  <c r="G780" i="1"/>
  <c r="E780" i="1"/>
  <c r="C780" i="1"/>
  <c r="H780" i="1"/>
  <c r="F780" i="1"/>
  <c r="D780" i="1"/>
  <c r="B780" i="1"/>
  <c r="I780" i="1" s="1"/>
  <c r="G784" i="1"/>
  <c r="E784" i="1"/>
  <c r="C784" i="1"/>
  <c r="H784" i="1"/>
  <c r="F784" i="1"/>
  <c r="D784" i="1"/>
  <c r="B784" i="1"/>
  <c r="I784" i="1" s="1"/>
  <c r="G788" i="1"/>
  <c r="E788" i="1"/>
  <c r="C788" i="1"/>
  <c r="H788" i="1"/>
  <c r="F788" i="1"/>
  <c r="D788" i="1"/>
  <c r="B788" i="1"/>
  <c r="I788" i="1" s="1"/>
  <c r="G792" i="1"/>
  <c r="E792" i="1"/>
  <c r="C792" i="1"/>
  <c r="H792" i="1"/>
  <c r="F792" i="1"/>
  <c r="D792" i="1"/>
  <c r="B792" i="1"/>
  <c r="I792" i="1" s="1"/>
  <c r="G796" i="1"/>
  <c r="E796" i="1"/>
  <c r="C796" i="1"/>
  <c r="H796" i="1"/>
  <c r="F796" i="1"/>
  <c r="D796" i="1"/>
  <c r="B796" i="1"/>
  <c r="I796" i="1" s="1"/>
  <c r="G800" i="1"/>
  <c r="E800" i="1"/>
  <c r="C800" i="1"/>
  <c r="H800" i="1"/>
  <c r="F800" i="1"/>
  <c r="D800" i="1"/>
  <c r="B800" i="1"/>
  <c r="I800" i="1" s="1"/>
  <c r="G805" i="1"/>
  <c r="E805" i="1"/>
  <c r="C805" i="1"/>
  <c r="H805" i="1"/>
  <c r="F805" i="1"/>
  <c r="D805" i="1"/>
  <c r="B805" i="1"/>
  <c r="I805" i="1" s="1"/>
  <c r="G809" i="1"/>
  <c r="E809" i="1"/>
  <c r="C809" i="1"/>
  <c r="H809" i="1"/>
  <c r="F809" i="1"/>
  <c r="D809" i="1"/>
  <c r="B809" i="1"/>
  <c r="I809" i="1" s="1"/>
  <c r="G813" i="1"/>
  <c r="E813" i="1"/>
  <c r="C813" i="1"/>
  <c r="H813" i="1"/>
  <c r="F813" i="1"/>
  <c r="D813" i="1"/>
  <c r="B813" i="1"/>
  <c r="I813" i="1" s="1"/>
  <c r="G817" i="1"/>
  <c r="E817" i="1"/>
  <c r="C817" i="1"/>
  <c r="H817" i="1"/>
  <c r="F817" i="1"/>
  <c r="D817" i="1"/>
  <c r="B817" i="1"/>
  <c r="I817" i="1" s="1"/>
  <c r="G821" i="1"/>
  <c r="E821" i="1"/>
  <c r="C821" i="1"/>
  <c r="H821" i="1"/>
  <c r="F821" i="1"/>
  <c r="D821" i="1"/>
  <c r="B821" i="1"/>
  <c r="I821" i="1" s="1"/>
  <c r="G826" i="1"/>
  <c r="E826" i="1"/>
  <c r="C826" i="1"/>
  <c r="H826" i="1"/>
  <c r="F826" i="1"/>
  <c r="D826" i="1"/>
  <c r="B826" i="1"/>
  <c r="I826" i="1" s="1"/>
  <c r="G830" i="1"/>
  <c r="E830" i="1"/>
  <c r="C830" i="1"/>
  <c r="H830" i="1"/>
  <c r="F830" i="1"/>
  <c r="D830" i="1"/>
  <c r="B830" i="1"/>
  <c r="I830" i="1" s="1"/>
  <c r="G834" i="1"/>
  <c r="E834" i="1"/>
  <c r="C834" i="1"/>
  <c r="H834" i="1"/>
  <c r="F834" i="1"/>
  <c r="D834" i="1"/>
  <c r="B834" i="1"/>
  <c r="I834" i="1" s="1"/>
  <c r="G839" i="1"/>
  <c r="E839" i="1"/>
  <c r="C839" i="1"/>
  <c r="H839" i="1"/>
  <c r="F839" i="1"/>
  <c r="D839" i="1"/>
  <c r="B839" i="1"/>
  <c r="I839" i="1" s="1"/>
  <c r="G843" i="1"/>
  <c r="E843" i="1"/>
  <c r="C843" i="1"/>
  <c r="H843" i="1"/>
  <c r="F843" i="1"/>
  <c r="D843" i="1"/>
  <c r="B843" i="1"/>
  <c r="I843" i="1" s="1"/>
  <c r="G846" i="1"/>
  <c r="E846" i="1"/>
  <c r="C846" i="1"/>
  <c r="H846" i="1"/>
  <c r="F846" i="1"/>
  <c r="D846" i="1"/>
  <c r="B846" i="1"/>
  <c r="I846" i="1" s="1"/>
  <c r="G852" i="1"/>
  <c r="E852" i="1"/>
  <c r="C852" i="1"/>
  <c r="H852" i="1"/>
  <c r="F852" i="1"/>
  <c r="D852" i="1"/>
  <c r="B852" i="1"/>
  <c r="I852" i="1" s="1"/>
  <c r="G856" i="1"/>
  <c r="E856" i="1"/>
  <c r="C856" i="1"/>
  <c r="H856" i="1"/>
  <c r="F856" i="1"/>
  <c r="D856" i="1"/>
  <c r="B856" i="1"/>
  <c r="I856" i="1" s="1"/>
  <c r="G861" i="1"/>
  <c r="E861" i="1"/>
  <c r="C861" i="1"/>
  <c r="H861" i="1"/>
  <c r="F861" i="1"/>
  <c r="D861" i="1"/>
  <c r="B861" i="1"/>
  <c r="I861" i="1" s="1"/>
  <c r="G865" i="1"/>
  <c r="E865" i="1"/>
  <c r="C865" i="1"/>
  <c r="H865" i="1"/>
  <c r="F865" i="1"/>
  <c r="D865" i="1"/>
  <c r="B865" i="1"/>
  <c r="I865" i="1" s="1"/>
  <c r="G869" i="1"/>
  <c r="E869" i="1"/>
  <c r="C869" i="1"/>
  <c r="H869" i="1"/>
  <c r="F869" i="1"/>
  <c r="D869" i="1"/>
  <c r="B869" i="1"/>
  <c r="I869" i="1" s="1"/>
  <c r="G873" i="1"/>
  <c r="E873" i="1"/>
  <c r="C873" i="1"/>
  <c r="H873" i="1"/>
  <c r="F873" i="1"/>
  <c r="D873" i="1"/>
  <c r="B873" i="1"/>
  <c r="I873" i="1" s="1"/>
  <c r="G877" i="1"/>
  <c r="E877" i="1"/>
  <c r="C877" i="1"/>
  <c r="H877" i="1"/>
  <c r="F877" i="1"/>
  <c r="D877" i="1"/>
  <c r="B877" i="1"/>
  <c r="I877" i="1" s="1"/>
  <c r="G881" i="1"/>
  <c r="E881" i="1"/>
  <c r="C881" i="1"/>
  <c r="H881" i="1"/>
  <c r="F881" i="1"/>
  <c r="D881" i="1"/>
  <c r="B881" i="1"/>
  <c r="I881" i="1" s="1"/>
  <c r="G885" i="1"/>
  <c r="E885" i="1"/>
  <c r="C885" i="1"/>
  <c r="H885" i="1"/>
  <c r="F885" i="1"/>
  <c r="D885" i="1"/>
  <c r="B885" i="1"/>
  <c r="I885" i="1" s="1"/>
  <c r="G889" i="1"/>
  <c r="E889" i="1"/>
  <c r="C889" i="1"/>
  <c r="H889" i="1"/>
  <c r="F889" i="1"/>
  <c r="D889" i="1"/>
  <c r="B889" i="1"/>
  <c r="I889" i="1" s="1"/>
  <c r="G893" i="1"/>
  <c r="E893" i="1"/>
  <c r="C893" i="1"/>
  <c r="H893" i="1"/>
  <c r="F893" i="1"/>
  <c r="D893" i="1"/>
  <c r="B893" i="1"/>
  <c r="I893" i="1" s="1"/>
  <c r="G895" i="1"/>
  <c r="E895" i="1"/>
  <c r="C895" i="1"/>
  <c r="H895" i="1"/>
  <c r="F895" i="1"/>
  <c r="D895" i="1"/>
  <c r="B895" i="1"/>
  <c r="I895" i="1" s="1"/>
  <c r="G899" i="1"/>
  <c r="E899" i="1"/>
  <c r="C899" i="1"/>
  <c r="H899" i="1"/>
  <c r="F899" i="1"/>
  <c r="D899" i="1"/>
  <c r="B899" i="1"/>
  <c r="I899" i="1" s="1"/>
  <c r="G903" i="1"/>
  <c r="E903" i="1"/>
  <c r="C903" i="1"/>
  <c r="H903" i="1"/>
  <c r="F903" i="1"/>
  <c r="D903" i="1"/>
  <c r="B903" i="1"/>
  <c r="I903" i="1" s="1"/>
  <c r="G908" i="1"/>
  <c r="E908" i="1"/>
  <c r="C908" i="1"/>
  <c r="H908" i="1"/>
  <c r="F908" i="1"/>
  <c r="D908" i="1"/>
  <c r="B908" i="1"/>
  <c r="I908" i="1" s="1"/>
  <c r="G913" i="1"/>
  <c r="E913" i="1"/>
  <c r="C913" i="1"/>
  <c r="H913" i="1"/>
  <c r="F913" i="1"/>
  <c r="D913" i="1"/>
  <c r="B913" i="1"/>
  <c r="I913" i="1" s="1"/>
  <c r="G917" i="1"/>
  <c r="E917" i="1"/>
  <c r="C917" i="1"/>
  <c r="H917" i="1"/>
  <c r="F917" i="1"/>
  <c r="D917" i="1"/>
  <c r="B917" i="1"/>
  <c r="I917" i="1" s="1"/>
  <c r="G922" i="1"/>
  <c r="E922" i="1"/>
  <c r="C922" i="1"/>
  <c r="H922" i="1"/>
  <c r="F922" i="1"/>
  <c r="D922" i="1"/>
  <c r="B922" i="1"/>
  <c r="I922" i="1" s="1"/>
  <c r="G926" i="1"/>
  <c r="E926" i="1"/>
  <c r="C926" i="1"/>
  <c r="H926" i="1"/>
  <c r="F926" i="1"/>
  <c r="D926" i="1"/>
  <c r="B926" i="1"/>
  <c r="I926" i="1" s="1"/>
  <c r="G930" i="1"/>
  <c r="E930" i="1"/>
  <c r="C930" i="1"/>
  <c r="H930" i="1"/>
  <c r="F930" i="1"/>
  <c r="D930" i="1"/>
  <c r="B930" i="1"/>
  <c r="I930" i="1" s="1"/>
  <c r="G935" i="1"/>
  <c r="E935" i="1"/>
  <c r="C935" i="1"/>
  <c r="H935" i="1"/>
  <c r="F935" i="1"/>
  <c r="D935" i="1"/>
  <c r="B935" i="1"/>
  <c r="I935" i="1" s="1"/>
  <c r="G939" i="1"/>
  <c r="E939" i="1"/>
  <c r="C939" i="1"/>
  <c r="H939" i="1"/>
  <c r="F939" i="1"/>
  <c r="D939" i="1"/>
  <c r="B939" i="1"/>
  <c r="I939" i="1" s="1"/>
  <c r="G944" i="1"/>
  <c r="E944" i="1"/>
  <c r="C944" i="1"/>
  <c r="H944" i="1"/>
  <c r="F944" i="1"/>
  <c r="D944" i="1"/>
  <c r="B944" i="1"/>
  <c r="I944" i="1" s="1"/>
  <c r="G948" i="1"/>
  <c r="E948" i="1"/>
  <c r="C948" i="1"/>
  <c r="H948" i="1"/>
  <c r="F948" i="1"/>
  <c r="D948" i="1"/>
  <c r="B948" i="1"/>
  <c r="I948" i="1" s="1"/>
  <c r="G953" i="1"/>
  <c r="E953" i="1"/>
  <c r="C953" i="1"/>
  <c r="H953" i="1"/>
  <c r="F953" i="1"/>
  <c r="D953" i="1"/>
  <c r="B953" i="1"/>
  <c r="I953" i="1" s="1"/>
  <c r="G957" i="1"/>
  <c r="E957" i="1"/>
  <c r="C957" i="1"/>
  <c r="H957" i="1"/>
  <c r="F957" i="1"/>
  <c r="D957" i="1"/>
  <c r="B957" i="1"/>
  <c r="I957" i="1" s="1"/>
  <c r="G961" i="1"/>
  <c r="E961" i="1"/>
  <c r="C961" i="1"/>
  <c r="H961" i="1"/>
  <c r="F961" i="1"/>
  <c r="D961" i="1"/>
  <c r="B961" i="1"/>
  <c r="I961" i="1" s="1"/>
  <c r="G965" i="1"/>
  <c r="E965" i="1"/>
  <c r="C965" i="1"/>
  <c r="H965" i="1"/>
  <c r="F965" i="1"/>
  <c r="D965" i="1"/>
  <c r="B965" i="1"/>
  <c r="I965" i="1" s="1"/>
  <c r="G969" i="1"/>
  <c r="E969" i="1"/>
  <c r="C969" i="1"/>
  <c r="H969" i="1"/>
  <c r="F969" i="1"/>
  <c r="D969" i="1"/>
  <c r="B969" i="1"/>
  <c r="I969" i="1" s="1"/>
  <c r="G973" i="1"/>
  <c r="E973" i="1"/>
  <c r="C973" i="1"/>
  <c r="H973" i="1"/>
  <c r="F973" i="1"/>
  <c r="D973" i="1"/>
  <c r="B973" i="1"/>
  <c r="I973" i="1" s="1"/>
  <c r="G978" i="1"/>
  <c r="E978" i="1"/>
  <c r="C978" i="1"/>
  <c r="H978" i="1"/>
  <c r="F978" i="1"/>
  <c r="D978" i="1"/>
  <c r="B978" i="1"/>
  <c r="I978" i="1" s="1"/>
  <c r="G981" i="1"/>
  <c r="E981" i="1"/>
  <c r="C981" i="1"/>
  <c r="H981" i="1"/>
  <c r="F981" i="1"/>
  <c r="D981" i="1"/>
  <c r="B981" i="1"/>
  <c r="I981" i="1" s="1"/>
  <c r="G984" i="1"/>
  <c r="E984" i="1"/>
  <c r="C984" i="1"/>
  <c r="H984" i="1"/>
  <c r="F984" i="1"/>
  <c r="D984" i="1"/>
  <c r="B984" i="1"/>
  <c r="I984" i="1" s="1"/>
  <c r="G988" i="1"/>
  <c r="E988" i="1"/>
  <c r="C988" i="1"/>
  <c r="H988" i="1"/>
  <c r="F988" i="1"/>
  <c r="D988" i="1"/>
  <c r="B988" i="1"/>
  <c r="I988" i="1" s="1"/>
  <c r="G993" i="1"/>
  <c r="E993" i="1"/>
  <c r="C993" i="1"/>
  <c r="H993" i="1"/>
  <c r="F993" i="1"/>
  <c r="D993" i="1"/>
  <c r="B993" i="1"/>
  <c r="I993" i="1" s="1"/>
  <c r="G997" i="1"/>
  <c r="E997" i="1"/>
  <c r="C997" i="1"/>
  <c r="H997" i="1"/>
  <c r="F997" i="1"/>
  <c r="D997" i="1"/>
  <c r="B997" i="1"/>
  <c r="I997" i="1" s="1"/>
  <c r="G1002" i="1"/>
  <c r="E1002" i="1"/>
  <c r="C1002" i="1"/>
  <c r="H1002" i="1"/>
  <c r="F1002" i="1"/>
  <c r="D1002" i="1"/>
  <c r="B1002" i="1"/>
  <c r="I1002" i="1" s="1"/>
  <c r="G1006" i="1"/>
  <c r="E1006" i="1"/>
  <c r="C1006" i="1"/>
  <c r="H1006" i="1"/>
  <c r="F1006" i="1"/>
  <c r="D1006" i="1"/>
  <c r="B1006" i="1"/>
  <c r="I1006" i="1" s="1"/>
  <c r="G1010" i="1"/>
  <c r="E1010" i="1"/>
  <c r="C1010" i="1"/>
  <c r="H1010" i="1"/>
  <c r="F1010" i="1"/>
  <c r="D1010" i="1"/>
  <c r="B1010" i="1"/>
  <c r="I1010" i="1" s="1"/>
  <c r="G1015" i="1"/>
  <c r="E1015" i="1"/>
  <c r="C1015" i="1"/>
  <c r="H1015" i="1"/>
  <c r="F1015" i="1"/>
  <c r="D1015" i="1"/>
  <c r="B1015" i="1"/>
  <c r="I1015" i="1" s="1"/>
  <c r="G1019" i="1"/>
  <c r="E1019" i="1"/>
  <c r="C1019" i="1"/>
  <c r="H1019" i="1"/>
  <c r="F1019" i="1"/>
  <c r="D1019" i="1"/>
  <c r="B1019" i="1"/>
  <c r="I1019" i="1" s="1"/>
  <c r="G1023" i="1"/>
  <c r="E1023" i="1"/>
  <c r="C1023" i="1"/>
  <c r="H1023" i="1"/>
  <c r="F1023" i="1"/>
  <c r="D1023" i="1"/>
  <c r="B1023" i="1"/>
  <c r="I1023" i="1" s="1"/>
  <c r="G1027" i="1"/>
  <c r="E1027" i="1"/>
  <c r="C1027" i="1"/>
  <c r="H1027" i="1"/>
  <c r="F1027" i="1"/>
  <c r="D1027" i="1"/>
  <c r="B1027" i="1"/>
  <c r="I1027" i="1" s="1"/>
  <c r="G1031" i="1"/>
  <c r="E1031" i="1"/>
  <c r="C1031" i="1"/>
  <c r="H1031" i="1"/>
  <c r="F1031" i="1"/>
  <c r="D1031" i="1"/>
  <c r="B1031" i="1"/>
  <c r="I1031" i="1" s="1"/>
  <c r="G1035" i="1"/>
  <c r="E1035" i="1"/>
  <c r="C1035" i="1"/>
  <c r="H1035" i="1"/>
  <c r="F1035" i="1"/>
  <c r="B1035" i="1"/>
  <c r="I1035" i="1" s="1"/>
  <c r="D1035" i="1"/>
  <c r="G1038" i="1"/>
  <c r="E1038" i="1"/>
  <c r="C1038" i="1"/>
  <c r="H1038" i="1"/>
  <c r="F1038" i="1"/>
  <c r="D1038" i="1"/>
  <c r="B1038" i="1"/>
  <c r="I1038" i="1" s="1"/>
  <c r="G1041" i="1"/>
  <c r="E1041" i="1"/>
  <c r="C1041" i="1"/>
  <c r="H1041" i="1"/>
  <c r="F1041" i="1"/>
  <c r="D1041" i="1"/>
  <c r="B1041" i="1"/>
  <c r="I1041" i="1" s="1"/>
  <c r="G1046" i="1"/>
  <c r="E1046" i="1"/>
  <c r="C1046" i="1"/>
  <c r="H1046" i="1"/>
  <c r="F1046" i="1"/>
  <c r="D1046" i="1"/>
  <c r="B1046" i="1"/>
  <c r="I1046" i="1" s="1"/>
  <c r="G1050" i="1"/>
  <c r="E1050" i="1"/>
  <c r="C1050" i="1"/>
  <c r="H1050" i="1"/>
  <c r="F1050" i="1"/>
  <c r="D1050" i="1"/>
  <c r="B1050" i="1"/>
  <c r="I1050" i="1" s="1"/>
  <c r="G1054" i="1"/>
  <c r="E1054" i="1"/>
  <c r="C1054" i="1"/>
  <c r="H1054" i="1"/>
  <c r="F1054" i="1"/>
  <c r="D1054" i="1"/>
  <c r="B1054" i="1"/>
  <c r="I1054" i="1" s="1"/>
  <c r="G1057" i="1"/>
  <c r="E1057" i="1"/>
  <c r="C1057" i="1"/>
  <c r="H1057" i="1"/>
  <c r="F1057" i="1"/>
  <c r="D1057" i="1"/>
  <c r="B1057" i="1"/>
  <c r="I1057" i="1" s="1"/>
  <c r="G1062" i="1"/>
  <c r="E1062" i="1"/>
  <c r="C1062" i="1"/>
  <c r="H1062" i="1"/>
  <c r="F1062" i="1"/>
  <c r="D1062" i="1"/>
  <c r="B1062" i="1"/>
  <c r="I1062" i="1" s="1"/>
  <c r="G1066" i="1"/>
  <c r="E1066" i="1"/>
  <c r="C1066" i="1"/>
  <c r="H1066" i="1"/>
  <c r="F1066" i="1"/>
  <c r="D1066" i="1"/>
  <c r="B1066" i="1"/>
  <c r="I1066" i="1" s="1"/>
  <c r="G1070" i="1"/>
  <c r="E1070" i="1"/>
  <c r="C1070" i="1"/>
  <c r="H1070" i="1"/>
  <c r="F1070" i="1"/>
  <c r="D1070" i="1"/>
  <c r="B1070" i="1"/>
  <c r="I1070" i="1" s="1"/>
  <c r="G1075" i="1"/>
  <c r="E1075" i="1"/>
  <c r="C1075" i="1"/>
  <c r="H1075" i="1"/>
  <c r="F1075" i="1"/>
  <c r="D1075" i="1"/>
  <c r="B1075" i="1"/>
  <c r="I1075" i="1" s="1"/>
  <c r="G1079" i="1"/>
  <c r="E1079" i="1"/>
  <c r="C1079" i="1"/>
  <c r="H1079" i="1"/>
  <c r="F1079" i="1"/>
  <c r="D1079" i="1"/>
  <c r="B1079" i="1"/>
  <c r="I1079" i="1" s="1"/>
  <c r="G1083" i="1"/>
  <c r="E1083" i="1"/>
  <c r="C1083" i="1"/>
  <c r="H1083" i="1"/>
  <c r="F1083" i="1"/>
  <c r="D1083" i="1"/>
  <c r="B1083" i="1"/>
  <c r="I1083" i="1" s="1"/>
  <c r="G1087" i="1"/>
  <c r="E1087" i="1"/>
  <c r="C1087" i="1"/>
  <c r="H1087" i="1"/>
  <c r="F1087" i="1"/>
  <c r="D1087" i="1"/>
  <c r="B1087" i="1"/>
  <c r="I1087" i="1" s="1"/>
  <c r="G1092" i="1"/>
  <c r="E1092" i="1"/>
  <c r="C1092" i="1"/>
  <c r="H1092" i="1"/>
  <c r="F1092" i="1"/>
  <c r="D1092" i="1"/>
  <c r="B1092" i="1"/>
  <c r="I1092" i="1" s="1"/>
  <c r="G1096" i="1"/>
  <c r="E1096" i="1"/>
  <c r="C1096" i="1"/>
  <c r="H1096" i="1"/>
  <c r="F1096" i="1"/>
  <c r="D1096" i="1"/>
  <c r="B1096" i="1"/>
  <c r="I1096" i="1" s="1"/>
  <c r="G1101" i="1"/>
  <c r="E1101" i="1"/>
  <c r="C1101" i="1"/>
  <c r="H1101" i="1"/>
  <c r="F1101" i="1"/>
  <c r="D1101" i="1"/>
  <c r="B1101" i="1"/>
  <c r="I1101" i="1" s="1"/>
  <c r="G1105" i="1"/>
  <c r="E1105" i="1"/>
  <c r="C1105" i="1"/>
  <c r="H1105" i="1"/>
  <c r="F1105" i="1"/>
  <c r="D1105" i="1"/>
  <c r="B1105" i="1"/>
  <c r="I1105" i="1" s="1"/>
  <c r="G1109" i="1"/>
  <c r="E1109" i="1"/>
  <c r="C1109" i="1"/>
  <c r="H1109" i="1"/>
  <c r="F1109" i="1"/>
  <c r="D1109" i="1"/>
  <c r="B1109" i="1"/>
  <c r="I1109" i="1" s="1"/>
  <c r="G1114" i="1"/>
  <c r="E1114" i="1"/>
  <c r="C1114" i="1"/>
  <c r="H1114" i="1"/>
  <c r="F1114" i="1"/>
  <c r="D1114" i="1"/>
  <c r="B1114" i="1"/>
  <c r="I1114" i="1" s="1"/>
  <c r="G1118" i="1"/>
  <c r="E1118" i="1"/>
  <c r="C1118" i="1"/>
  <c r="H1118" i="1"/>
  <c r="F1118" i="1"/>
  <c r="D1118" i="1"/>
  <c r="B1118" i="1"/>
  <c r="I1118" i="1" s="1"/>
  <c r="G1123" i="1"/>
  <c r="E1123" i="1"/>
  <c r="C1123" i="1"/>
  <c r="H1123" i="1"/>
  <c r="F1123" i="1"/>
  <c r="D1123" i="1"/>
  <c r="B1123" i="1"/>
  <c r="I1123" i="1" s="1"/>
  <c r="G1127" i="1"/>
  <c r="E1127" i="1"/>
  <c r="C1127" i="1"/>
  <c r="H1127" i="1"/>
  <c r="F1127" i="1"/>
  <c r="D1127" i="1"/>
  <c r="B1127" i="1"/>
  <c r="I1127" i="1" s="1"/>
  <c r="G1131" i="1"/>
  <c r="E1131" i="1"/>
  <c r="C1131" i="1"/>
  <c r="H1131" i="1"/>
  <c r="F1131" i="1"/>
  <c r="D1131" i="1"/>
  <c r="B1131" i="1"/>
  <c r="I1131" i="1" s="1"/>
  <c r="G1136" i="1"/>
  <c r="E1136" i="1"/>
  <c r="C1136" i="1"/>
  <c r="H1136" i="1"/>
  <c r="F1136" i="1"/>
  <c r="D1136" i="1"/>
  <c r="B1136" i="1"/>
  <c r="I1136" i="1" s="1"/>
  <c r="G1140" i="1"/>
  <c r="E1140" i="1"/>
  <c r="C1140" i="1"/>
  <c r="H1140" i="1"/>
  <c r="F1140" i="1"/>
  <c r="D1140" i="1"/>
  <c r="B1140" i="1"/>
  <c r="I1140" i="1" s="1"/>
  <c r="G1144" i="1"/>
  <c r="E1144" i="1"/>
  <c r="C1144" i="1"/>
  <c r="H1144" i="1"/>
  <c r="F1144" i="1"/>
  <c r="D1144" i="1"/>
  <c r="B1144" i="1"/>
  <c r="I1144" i="1" s="1"/>
  <c r="G1148" i="1"/>
  <c r="E1148" i="1"/>
  <c r="C1148" i="1"/>
  <c r="H1148" i="1"/>
  <c r="F1148" i="1"/>
  <c r="D1148" i="1"/>
  <c r="B1148" i="1"/>
  <c r="I1148" i="1" s="1"/>
  <c r="G1153" i="1"/>
  <c r="E1153" i="1"/>
  <c r="C1153" i="1"/>
  <c r="H1153" i="1"/>
  <c r="F1153" i="1"/>
  <c r="D1153" i="1"/>
  <c r="B1153" i="1"/>
  <c r="I1153" i="1" s="1"/>
  <c r="G1157" i="1"/>
  <c r="E1157" i="1"/>
  <c r="C1157" i="1"/>
  <c r="H1157" i="1"/>
  <c r="F1157" i="1"/>
  <c r="D1157" i="1"/>
  <c r="B1157" i="1"/>
  <c r="I1157" i="1" s="1"/>
  <c r="G1160" i="1"/>
  <c r="E1160" i="1"/>
  <c r="C1160" i="1"/>
  <c r="H1160" i="1"/>
  <c r="F1160" i="1"/>
  <c r="D1160" i="1"/>
  <c r="B1160" i="1"/>
  <c r="I1160" i="1" s="1"/>
  <c r="G1163" i="1"/>
  <c r="E1163" i="1"/>
  <c r="C1163" i="1"/>
  <c r="H1163" i="1"/>
  <c r="F1163" i="1"/>
  <c r="B1163" i="1"/>
  <c r="I1163" i="1" s="1"/>
  <c r="D1163" i="1"/>
  <c r="G1165" i="1"/>
  <c r="E1165" i="1"/>
  <c r="C1165" i="1"/>
  <c r="H1165" i="1"/>
  <c r="F1165" i="1"/>
  <c r="D1165" i="1"/>
  <c r="B1165" i="1"/>
  <c r="I1165" i="1" s="1"/>
  <c r="G1167" i="1"/>
  <c r="E1167" i="1"/>
  <c r="C1167" i="1"/>
  <c r="H1167" i="1"/>
  <c r="F1167" i="1"/>
  <c r="D1167" i="1"/>
  <c r="B1167" i="1"/>
  <c r="I1167" i="1" s="1"/>
  <c r="G1169" i="1"/>
  <c r="E1169" i="1"/>
  <c r="C1169" i="1"/>
  <c r="H1169" i="1"/>
  <c r="F1169" i="1"/>
  <c r="D1169" i="1"/>
  <c r="B1169" i="1"/>
  <c r="I1169" i="1" s="1"/>
  <c r="G1171" i="1"/>
  <c r="E1171" i="1"/>
  <c r="C1171" i="1"/>
  <c r="H1171" i="1"/>
  <c r="F1171" i="1"/>
  <c r="D1171" i="1"/>
  <c r="B1171" i="1"/>
  <c r="I1171" i="1" s="1"/>
  <c r="G1173" i="1"/>
  <c r="E1173" i="1"/>
  <c r="C1173" i="1"/>
  <c r="H1173" i="1"/>
  <c r="F1173" i="1"/>
  <c r="D1173" i="1"/>
  <c r="B1173" i="1"/>
  <c r="I1173" i="1" s="1"/>
  <c r="G1175" i="1"/>
  <c r="E1175" i="1"/>
  <c r="C1175" i="1"/>
  <c r="H1175" i="1"/>
  <c r="F1175" i="1"/>
  <c r="D1175" i="1"/>
  <c r="B1175" i="1"/>
  <c r="I1175" i="1" s="1"/>
  <c r="G1177" i="1"/>
  <c r="E1177" i="1"/>
  <c r="C1177" i="1"/>
  <c r="H1177" i="1"/>
  <c r="F1177" i="1"/>
  <c r="D1177" i="1"/>
  <c r="B1177" i="1"/>
  <c r="I1177" i="1" s="1"/>
  <c r="G1179" i="1"/>
  <c r="E1179" i="1"/>
  <c r="C1179" i="1"/>
  <c r="H1179" i="1"/>
  <c r="F1179" i="1"/>
  <c r="D1179" i="1"/>
  <c r="B1179" i="1"/>
  <c r="I1179" i="1" s="1"/>
  <c r="G1181" i="1"/>
  <c r="E1181" i="1"/>
  <c r="C1181" i="1"/>
  <c r="H1181" i="1"/>
  <c r="F1181" i="1"/>
  <c r="D1181" i="1"/>
  <c r="B1181" i="1"/>
  <c r="I1181" i="1" s="1"/>
  <c r="G1183" i="1"/>
  <c r="E1183" i="1"/>
  <c r="C1183" i="1"/>
  <c r="H1183" i="1"/>
  <c r="F1183" i="1"/>
  <c r="D1183" i="1"/>
  <c r="B1183" i="1"/>
  <c r="I1183" i="1" s="1"/>
  <c r="G1185" i="1"/>
  <c r="E1185" i="1"/>
  <c r="C1185" i="1"/>
  <c r="H1185" i="1"/>
  <c r="F1185" i="1"/>
  <c r="D1185" i="1"/>
  <c r="B1185" i="1"/>
  <c r="I1185" i="1" s="1"/>
  <c r="G1187" i="1"/>
  <c r="E1187" i="1"/>
  <c r="C1187" i="1"/>
  <c r="H1187" i="1"/>
  <c r="F1187" i="1"/>
  <c r="D1187" i="1"/>
  <c r="B1187" i="1"/>
  <c r="I1187" i="1" s="1"/>
  <c r="G1189" i="1"/>
  <c r="E1189" i="1"/>
  <c r="C1189" i="1"/>
  <c r="H1189" i="1"/>
  <c r="F1189" i="1"/>
  <c r="D1189" i="1"/>
  <c r="B1189" i="1"/>
  <c r="I1189" i="1" s="1"/>
  <c r="G1191" i="1"/>
  <c r="E1191" i="1"/>
  <c r="C1191" i="1"/>
  <c r="H1191" i="1"/>
  <c r="F1191" i="1"/>
  <c r="D1191" i="1"/>
  <c r="B1191" i="1"/>
  <c r="I1191" i="1" s="1"/>
  <c r="G1193" i="1"/>
  <c r="E1193" i="1"/>
  <c r="C1193" i="1"/>
  <c r="H1193" i="1"/>
  <c r="F1193" i="1"/>
  <c r="D1193" i="1"/>
  <c r="B1193" i="1"/>
  <c r="I1193" i="1" s="1"/>
  <c r="G1195" i="1"/>
  <c r="E1195" i="1"/>
  <c r="C1195" i="1"/>
  <c r="H1195" i="1"/>
  <c r="F1195" i="1"/>
  <c r="D1195" i="1"/>
  <c r="B1195" i="1"/>
  <c r="I1195" i="1" s="1"/>
  <c r="G1197" i="1"/>
  <c r="E1197" i="1"/>
  <c r="C1197" i="1"/>
  <c r="H1197" i="1"/>
  <c r="F1197" i="1"/>
  <c r="D1197" i="1"/>
  <c r="B1197" i="1"/>
  <c r="I1197" i="1" s="1"/>
  <c r="G1199" i="1"/>
  <c r="E1199" i="1"/>
  <c r="C1199" i="1"/>
  <c r="H1199" i="1"/>
  <c r="F1199" i="1"/>
  <c r="D1199" i="1"/>
  <c r="B1199" i="1"/>
  <c r="I1199" i="1" s="1"/>
  <c r="G1201" i="1"/>
  <c r="E1201" i="1"/>
  <c r="C1201" i="1"/>
  <c r="H1201" i="1"/>
  <c r="F1201" i="1"/>
  <c r="D1201" i="1"/>
  <c r="B1201" i="1"/>
  <c r="I1201" i="1" s="1"/>
  <c r="G1203" i="1"/>
  <c r="E1203" i="1"/>
  <c r="C1203" i="1"/>
  <c r="H1203" i="1"/>
  <c r="F1203" i="1"/>
  <c r="D1203" i="1"/>
  <c r="B1203" i="1"/>
  <c r="I1203" i="1" s="1"/>
  <c r="G1205" i="1"/>
  <c r="E1205" i="1"/>
  <c r="C1205" i="1"/>
  <c r="H1205" i="1"/>
  <c r="F1205" i="1"/>
  <c r="D1205" i="1"/>
  <c r="B1205" i="1"/>
  <c r="I1205" i="1" s="1"/>
  <c r="G1207" i="1"/>
  <c r="E1207" i="1"/>
  <c r="C1207" i="1"/>
  <c r="H1207" i="1"/>
  <c r="F1207" i="1"/>
  <c r="D1207" i="1"/>
  <c r="B1207" i="1"/>
  <c r="I1207" i="1" s="1"/>
  <c r="G1209" i="1"/>
  <c r="E1209" i="1"/>
  <c r="C1209" i="1"/>
  <c r="H1209" i="1"/>
  <c r="F1209" i="1"/>
  <c r="D1209" i="1"/>
  <c r="B1209" i="1"/>
  <c r="I1209" i="1" s="1"/>
  <c r="G1211" i="1"/>
  <c r="E1211" i="1"/>
  <c r="C1211" i="1"/>
  <c r="H1211" i="1"/>
  <c r="F1211" i="1"/>
  <c r="D1211" i="1"/>
  <c r="B1211" i="1"/>
  <c r="I1211" i="1" s="1"/>
  <c r="G1213" i="1"/>
  <c r="E1213" i="1"/>
  <c r="C1213" i="1"/>
  <c r="H1213" i="1"/>
  <c r="F1213" i="1"/>
  <c r="D1213" i="1"/>
  <c r="B1213" i="1"/>
  <c r="I1213" i="1" s="1"/>
  <c r="G1215" i="1"/>
  <c r="E1215" i="1"/>
  <c r="C1215" i="1"/>
  <c r="H1215" i="1"/>
  <c r="F1215" i="1"/>
  <c r="D1215" i="1"/>
  <c r="B1215" i="1"/>
  <c r="I1215" i="1" s="1"/>
  <c r="G1217" i="1"/>
  <c r="E1217" i="1"/>
  <c r="C1217" i="1"/>
  <c r="H1217" i="1"/>
  <c r="F1217" i="1"/>
  <c r="D1217" i="1"/>
  <c r="B1217" i="1"/>
  <c r="I1217" i="1" s="1"/>
  <c r="G1219" i="1"/>
  <c r="E1219" i="1"/>
  <c r="C1219" i="1"/>
  <c r="H1219" i="1"/>
  <c r="F1219" i="1"/>
  <c r="D1219" i="1"/>
  <c r="B1219" i="1"/>
  <c r="I1219" i="1" s="1"/>
  <c r="G1221" i="1"/>
  <c r="E1221" i="1"/>
  <c r="C1221" i="1"/>
  <c r="H1221" i="1"/>
  <c r="F1221" i="1"/>
  <c r="D1221" i="1"/>
  <c r="B1221" i="1"/>
  <c r="I1221" i="1" s="1"/>
  <c r="G1223" i="1"/>
  <c r="E1223" i="1"/>
  <c r="C1223" i="1"/>
  <c r="H1223" i="1"/>
  <c r="F1223" i="1"/>
  <c r="D1223" i="1"/>
  <c r="B1223" i="1"/>
  <c r="I1223" i="1" s="1"/>
  <c r="G1225" i="1"/>
  <c r="E1225" i="1"/>
  <c r="C1225" i="1"/>
  <c r="H1225" i="1"/>
  <c r="F1225" i="1"/>
  <c r="D1225" i="1"/>
  <c r="B1225" i="1"/>
  <c r="I1225" i="1" s="1"/>
  <c r="G1227" i="1"/>
  <c r="E1227" i="1"/>
  <c r="C1227" i="1"/>
  <c r="H1227" i="1"/>
  <c r="F1227" i="1"/>
  <c r="D1227" i="1"/>
  <c r="B1227" i="1"/>
  <c r="I1227" i="1" s="1"/>
  <c r="G1229" i="1"/>
  <c r="E1229" i="1"/>
  <c r="C1229" i="1"/>
  <c r="H1229" i="1"/>
  <c r="F1229" i="1"/>
  <c r="D1229" i="1"/>
  <c r="B1229" i="1"/>
  <c r="I1229" i="1" s="1"/>
  <c r="G1231" i="1"/>
  <c r="E1231" i="1"/>
  <c r="C1231" i="1"/>
  <c r="H1231" i="1"/>
  <c r="F1231" i="1"/>
  <c r="D1231" i="1"/>
  <c r="B1231" i="1"/>
  <c r="I1231" i="1" s="1"/>
  <c r="G1233" i="1"/>
  <c r="E1233" i="1"/>
  <c r="C1233" i="1"/>
  <c r="H1233" i="1"/>
  <c r="F1233" i="1"/>
  <c r="D1233" i="1"/>
  <c r="B1233" i="1"/>
  <c r="I1233" i="1" s="1"/>
  <c r="G1235" i="1"/>
  <c r="E1235" i="1"/>
  <c r="C1235" i="1"/>
  <c r="H1235" i="1"/>
  <c r="F1235" i="1"/>
  <c r="D1235" i="1"/>
  <c r="B1235" i="1"/>
  <c r="I1235" i="1" s="1"/>
  <c r="G1237" i="1"/>
  <c r="E1237" i="1"/>
  <c r="C1237" i="1"/>
  <c r="H1237" i="1"/>
  <c r="F1237" i="1"/>
  <c r="D1237" i="1"/>
  <c r="B1237" i="1"/>
  <c r="I1237" i="1" s="1"/>
  <c r="G1239" i="1"/>
  <c r="E1239" i="1"/>
  <c r="C1239" i="1"/>
  <c r="H1239" i="1"/>
  <c r="F1239" i="1"/>
  <c r="D1239" i="1"/>
  <c r="B1239" i="1"/>
  <c r="I1239" i="1" s="1"/>
  <c r="G1241" i="1"/>
  <c r="E1241" i="1"/>
  <c r="C1241" i="1"/>
  <c r="H1241" i="1"/>
  <c r="F1241" i="1"/>
  <c r="D1241" i="1"/>
  <c r="B1241" i="1"/>
  <c r="I1241" i="1" s="1"/>
  <c r="G1243" i="1"/>
  <c r="E1243" i="1"/>
  <c r="C1243" i="1"/>
  <c r="H1243" i="1"/>
  <c r="F1243" i="1"/>
  <c r="D1243" i="1"/>
  <c r="B1243" i="1"/>
  <c r="I1243" i="1" s="1"/>
  <c r="G1245" i="1"/>
  <c r="E1245" i="1"/>
  <c r="C1245" i="1"/>
  <c r="H1245" i="1"/>
  <c r="F1245" i="1"/>
  <c r="D1245" i="1"/>
  <c r="B1245" i="1"/>
  <c r="I1245" i="1" s="1"/>
  <c r="G1247" i="1"/>
  <c r="E1247" i="1"/>
  <c r="C1247" i="1"/>
  <c r="H1247" i="1"/>
  <c r="F1247" i="1"/>
  <c r="D1247" i="1"/>
  <c r="B1247" i="1"/>
  <c r="I1247" i="1" s="1"/>
  <c r="G1249" i="1"/>
  <c r="E1249" i="1"/>
  <c r="C1249" i="1"/>
  <c r="H1249" i="1"/>
  <c r="F1249" i="1"/>
  <c r="D1249" i="1"/>
  <c r="B1249" i="1"/>
  <c r="I1249" i="1" s="1"/>
  <c r="G1251" i="1"/>
  <c r="E1251" i="1"/>
  <c r="C1251" i="1"/>
  <c r="H1251" i="1"/>
  <c r="F1251" i="1"/>
  <c r="D1251" i="1"/>
  <c r="B1251" i="1"/>
  <c r="I1251" i="1" s="1"/>
  <c r="G1253" i="1"/>
  <c r="E1253" i="1"/>
  <c r="C1253" i="1"/>
  <c r="H1253" i="1"/>
  <c r="F1253" i="1"/>
  <c r="D1253" i="1"/>
  <c r="B1253" i="1"/>
  <c r="I1253" i="1" s="1"/>
  <c r="G1255" i="1"/>
  <c r="E1255" i="1"/>
  <c r="C1255" i="1"/>
  <c r="H1255" i="1"/>
  <c r="F1255" i="1"/>
  <c r="D1255" i="1"/>
  <c r="B1255" i="1"/>
  <c r="I1255" i="1" s="1"/>
  <c r="G1257" i="1"/>
  <c r="E1257" i="1"/>
  <c r="C1257" i="1"/>
  <c r="H1257" i="1"/>
  <c r="F1257" i="1"/>
  <c r="D1257" i="1"/>
  <c r="B1257" i="1"/>
  <c r="I1257" i="1" s="1"/>
  <c r="G1259" i="1"/>
  <c r="E1259" i="1"/>
  <c r="C1259" i="1"/>
  <c r="H1259" i="1"/>
  <c r="F1259" i="1"/>
  <c r="D1259" i="1"/>
  <c r="B1259" i="1"/>
  <c r="I1259" i="1" s="1"/>
  <c r="G1261" i="1"/>
  <c r="E1261" i="1"/>
  <c r="C1261" i="1"/>
  <c r="H1261" i="1"/>
  <c r="F1261" i="1"/>
  <c r="D1261" i="1"/>
  <c r="B1261" i="1"/>
  <c r="I1261" i="1" s="1"/>
  <c r="G1263" i="1"/>
  <c r="E1263" i="1"/>
  <c r="C1263" i="1"/>
  <c r="H1263" i="1"/>
  <c r="F1263" i="1"/>
  <c r="D1263" i="1"/>
  <c r="B1263" i="1"/>
  <c r="I1263" i="1" s="1"/>
  <c r="G1265" i="1"/>
  <c r="E1265" i="1"/>
  <c r="C1265" i="1"/>
  <c r="H1265" i="1"/>
  <c r="F1265" i="1"/>
  <c r="D1265" i="1"/>
  <c r="B1265" i="1"/>
  <c r="I1265" i="1" s="1"/>
  <c r="G1267" i="1"/>
  <c r="E1267" i="1"/>
  <c r="C1267" i="1"/>
  <c r="H1267" i="1"/>
  <c r="F1267" i="1"/>
  <c r="D1267" i="1"/>
  <c r="B1267" i="1"/>
  <c r="I1267" i="1" s="1"/>
  <c r="G1269" i="1"/>
  <c r="E1269" i="1"/>
  <c r="C1269" i="1"/>
  <c r="H1269" i="1"/>
  <c r="F1269" i="1"/>
  <c r="D1269" i="1"/>
  <c r="B1269" i="1"/>
  <c r="I1269" i="1" s="1"/>
  <c r="G1271" i="1"/>
  <c r="E1271" i="1"/>
  <c r="C1271" i="1"/>
  <c r="H1271" i="1"/>
  <c r="F1271" i="1"/>
  <c r="D1271" i="1"/>
  <c r="B1271" i="1"/>
  <c r="I1271" i="1" s="1"/>
  <c r="G1273" i="1"/>
  <c r="E1273" i="1"/>
  <c r="C1273" i="1"/>
  <c r="H1273" i="1"/>
  <c r="F1273" i="1"/>
  <c r="D1273" i="1"/>
  <c r="B1273" i="1"/>
  <c r="I1273" i="1" s="1"/>
  <c r="G1275" i="1"/>
  <c r="E1275" i="1"/>
  <c r="C1275" i="1"/>
  <c r="H1275" i="1"/>
  <c r="F1275" i="1"/>
  <c r="D1275" i="1"/>
  <c r="B1275" i="1"/>
  <c r="I1275" i="1" s="1"/>
  <c r="G1277" i="1"/>
  <c r="E1277" i="1"/>
  <c r="C1277" i="1"/>
  <c r="H1277" i="1"/>
  <c r="F1277" i="1"/>
  <c r="D1277" i="1"/>
  <c r="B1277" i="1"/>
  <c r="I1277" i="1" s="1"/>
  <c r="G1279" i="1"/>
  <c r="E1279" i="1"/>
  <c r="C1279" i="1"/>
  <c r="H1279" i="1"/>
  <c r="F1279" i="1"/>
  <c r="D1279" i="1"/>
  <c r="B1279" i="1"/>
  <c r="I1279" i="1" s="1"/>
  <c r="G1281" i="1"/>
  <c r="E1281" i="1"/>
  <c r="C1281" i="1"/>
  <c r="H1281" i="1"/>
  <c r="F1281" i="1"/>
  <c r="D1281" i="1"/>
  <c r="B1281" i="1"/>
  <c r="I1281" i="1" s="1"/>
  <c r="G1283" i="1"/>
  <c r="E1283" i="1"/>
  <c r="C1283" i="1"/>
  <c r="H1283" i="1"/>
  <c r="F1283" i="1"/>
  <c r="D1283" i="1"/>
  <c r="B1283" i="1"/>
  <c r="I1283" i="1" s="1"/>
  <c r="G1285" i="1"/>
  <c r="E1285" i="1"/>
  <c r="C1285" i="1"/>
  <c r="H1285" i="1"/>
  <c r="F1285" i="1"/>
  <c r="D1285" i="1"/>
  <c r="B1285" i="1"/>
  <c r="I1285" i="1" s="1"/>
  <c r="G1287" i="1"/>
  <c r="E1287" i="1"/>
  <c r="C1287" i="1"/>
  <c r="H1287" i="1"/>
  <c r="F1287" i="1"/>
  <c r="D1287" i="1"/>
  <c r="B1287" i="1"/>
  <c r="I1287" i="1" s="1"/>
  <c r="G1289" i="1"/>
  <c r="E1289" i="1"/>
  <c r="C1289" i="1"/>
  <c r="H1289" i="1"/>
  <c r="F1289" i="1"/>
  <c r="D1289" i="1"/>
  <c r="B1289" i="1"/>
  <c r="I1289" i="1" s="1"/>
  <c r="G1291" i="1"/>
  <c r="E1291" i="1"/>
  <c r="C1291" i="1"/>
  <c r="H1291" i="1"/>
  <c r="F1291" i="1"/>
  <c r="D1291" i="1"/>
  <c r="B1291" i="1"/>
  <c r="I1291" i="1" s="1"/>
  <c r="G1293" i="1"/>
  <c r="E1293" i="1"/>
  <c r="C1293" i="1"/>
  <c r="H1293" i="1"/>
  <c r="F1293" i="1"/>
  <c r="D1293" i="1"/>
  <c r="B1293" i="1"/>
  <c r="I1293" i="1" s="1"/>
  <c r="G1295" i="1"/>
  <c r="E1295" i="1"/>
  <c r="C1295" i="1"/>
  <c r="H1295" i="1"/>
  <c r="F1295" i="1"/>
  <c r="D1295" i="1"/>
  <c r="B1295" i="1"/>
  <c r="I1295" i="1" s="1"/>
  <c r="G1297" i="1"/>
  <c r="E1297" i="1"/>
  <c r="C1297" i="1"/>
  <c r="H1297" i="1"/>
  <c r="F1297" i="1"/>
  <c r="D1297" i="1"/>
  <c r="B1297" i="1"/>
  <c r="I1297" i="1" s="1"/>
  <c r="G1299" i="1"/>
  <c r="E1299" i="1"/>
  <c r="C1299" i="1"/>
  <c r="H1299" i="1"/>
  <c r="F1299" i="1"/>
  <c r="D1299" i="1"/>
  <c r="B1299" i="1"/>
  <c r="I1299" i="1" s="1"/>
  <c r="G1301" i="1"/>
  <c r="E1301" i="1"/>
  <c r="C1301" i="1"/>
  <c r="H1301" i="1"/>
  <c r="F1301" i="1"/>
  <c r="D1301" i="1"/>
  <c r="B1301" i="1"/>
  <c r="I1301" i="1" s="1"/>
  <c r="G1303" i="1"/>
  <c r="E1303" i="1"/>
  <c r="C1303" i="1"/>
  <c r="H1303" i="1"/>
  <c r="F1303" i="1"/>
  <c r="D1303" i="1"/>
  <c r="B1303" i="1"/>
  <c r="I1303" i="1" s="1"/>
  <c r="G1305" i="1"/>
  <c r="E1305" i="1"/>
  <c r="C1305" i="1"/>
  <c r="H1305" i="1"/>
  <c r="F1305" i="1"/>
  <c r="D1305" i="1"/>
  <c r="B1305" i="1"/>
  <c r="I1305" i="1" s="1"/>
  <c r="G1307" i="1"/>
  <c r="E1307" i="1"/>
  <c r="C1307" i="1"/>
  <c r="H1307" i="1"/>
  <c r="F1307" i="1"/>
  <c r="D1307" i="1"/>
  <c r="B1307" i="1"/>
  <c r="I1307" i="1" s="1"/>
  <c r="G1309" i="1"/>
  <c r="E1309" i="1"/>
  <c r="C1309" i="1"/>
  <c r="H1309" i="1"/>
  <c r="F1309" i="1"/>
  <c r="D1309" i="1"/>
  <c r="B1309" i="1"/>
  <c r="I1309" i="1" s="1"/>
  <c r="G1311" i="1"/>
  <c r="E1311" i="1"/>
  <c r="C1311" i="1"/>
  <c r="H1311" i="1"/>
  <c r="F1311" i="1"/>
  <c r="D1311" i="1"/>
  <c r="B1311" i="1"/>
  <c r="I1311" i="1" s="1"/>
  <c r="G1313" i="1"/>
  <c r="E1313" i="1"/>
  <c r="C1313" i="1"/>
  <c r="H1313" i="1"/>
  <c r="F1313" i="1"/>
  <c r="D1313" i="1"/>
  <c r="B1313" i="1"/>
  <c r="I1313" i="1" s="1"/>
  <c r="G1315" i="1"/>
  <c r="E1315" i="1"/>
  <c r="C1315" i="1"/>
  <c r="H1315" i="1"/>
  <c r="F1315" i="1"/>
  <c r="D1315" i="1"/>
  <c r="B1315" i="1"/>
  <c r="I1315" i="1" s="1"/>
  <c r="G1317" i="1"/>
  <c r="E1317" i="1"/>
  <c r="C1317" i="1"/>
  <c r="H1317" i="1"/>
  <c r="F1317" i="1"/>
  <c r="D1317" i="1"/>
  <c r="B1317" i="1"/>
  <c r="I1317" i="1" s="1"/>
  <c r="G1319" i="1"/>
  <c r="E1319" i="1"/>
  <c r="C1319" i="1"/>
  <c r="H1319" i="1"/>
  <c r="F1319" i="1"/>
  <c r="D1319" i="1"/>
  <c r="B1319" i="1"/>
  <c r="I1319" i="1" s="1"/>
  <c r="G1321" i="1"/>
  <c r="E1321" i="1"/>
  <c r="C1321" i="1"/>
  <c r="H1321" i="1"/>
  <c r="F1321" i="1"/>
  <c r="D1321" i="1"/>
  <c r="B1321" i="1"/>
  <c r="I1321" i="1" s="1"/>
  <c r="G1323" i="1"/>
  <c r="E1323" i="1"/>
  <c r="C1323" i="1"/>
  <c r="H1323" i="1"/>
  <c r="F1323" i="1"/>
  <c r="D1323" i="1"/>
  <c r="B1323" i="1"/>
  <c r="I1323" i="1" s="1"/>
  <c r="G1325" i="1"/>
  <c r="E1325" i="1"/>
  <c r="C1325" i="1"/>
  <c r="H1325" i="1"/>
  <c r="F1325" i="1"/>
  <c r="D1325" i="1"/>
  <c r="B1325" i="1"/>
  <c r="I1325" i="1" s="1"/>
  <c r="G1327" i="1"/>
  <c r="E1327" i="1"/>
  <c r="C1327" i="1"/>
  <c r="H1327" i="1"/>
  <c r="F1327" i="1"/>
  <c r="D1327" i="1"/>
  <c r="B1327" i="1"/>
  <c r="I1327" i="1" s="1"/>
  <c r="G1329" i="1"/>
  <c r="E1329" i="1"/>
  <c r="C1329" i="1"/>
  <c r="H1329" i="1"/>
  <c r="F1329" i="1"/>
  <c r="D1329" i="1"/>
  <c r="B1329" i="1"/>
  <c r="I1329" i="1" s="1"/>
  <c r="G1331" i="1"/>
  <c r="E1331" i="1"/>
  <c r="C1331" i="1"/>
  <c r="H1331" i="1"/>
  <c r="F1331" i="1"/>
  <c r="D1331" i="1"/>
  <c r="B1331" i="1"/>
  <c r="I1331" i="1" s="1"/>
  <c r="G1333" i="1"/>
  <c r="E1333" i="1"/>
  <c r="C1333" i="1"/>
  <c r="H1333" i="1"/>
  <c r="F1333" i="1"/>
  <c r="D1333" i="1"/>
  <c r="B1333" i="1"/>
  <c r="I1333" i="1" s="1"/>
  <c r="G1335" i="1"/>
  <c r="E1335" i="1"/>
  <c r="C1335" i="1"/>
  <c r="H1335" i="1"/>
  <c r="F1335" i="1"/>
  <c r="D1335" i="1"/>
  <c r="B1335" i="1"/>
  <c r="I1335" i="1" s="1"/>
  <c r="G1337" i="1"/>
  <c r="E1337" i="1"/>
  <c r="C1337" i="1"/>
  <c r="H1337" i="1"/>
  <c r="F1337" i="1"/>
  <c r="D1337" i="1"/>
  <c r="B1337" i="1"/>
  <c r="I1337" i="1" s="1"/>
  <c r="G1339" i="1"/>
  <c r="E1339" i="1"/>
  <c r="C1339" i="1"/>
  <c r="H1339" i="1"/>
  <c r="F1339" i="1"/>
  <c r="D1339" i="1"/>
  <c r="B1339" i="1"/>
  <c r="I1339" i="1" s="1"/>
  <c r="G1341" i="1"/>
  <c r="E1341" i="1"/>
  <c r="C1341" i="1"/>
  <c r="H1341" i="1"/>
  <c r="F1341" i="1"/>
  <c r="D1341" i="1"/>
  <c r="B1341" i="1"/>
  <c r="I1341" i="1" s="1"/>
  <c r="G1343" i="1"/>
  <c r="E1343" i="1"/>
  <c r="C1343" i="1"/>
  <c r="H1343" i="1"/>
  <c r="F1343" i="1"/>
  <c r="D1343" i="1"/>
  <c r="B1343" i="1"/>
  <c r="I1343" i="1" s="1"/>
  <c r="G1345" i="1"/>
  <c r="E1345" i="1"/>
  <c r="C1345" i="1"/>
  <c r="H1345" i="1"/>
  <c r="F1345" i="1"/>
  <c r="D1345" i="1"/>
  <c r="B1345" i="1"/>
  <c r="I1345" i="1" s="1"/>
  <c r="G1347" i="1"/>
  <c r="E1347" i="1"/>
  <c r="C1347" i="1"/>
  <c r="H1347" i="1"/>
  <c r="F1347" i="1"/>
  <c r="D1347" i="1"/>
  <c r="B1347" i="1"/>
  <c r="I1347" i="1" s="1"/>
  <c r="G1349" i="1"/>
  <c r="E1349" i="1"/>
  <c r="C1349" i="1"/>
  <c r="H1349" i="1"/>
  <c r="F1349" i="1"/>
  <c r="D1349" i="1"/>
  <c r="B1349" i="1"/>
  <c r="I1349" i="1" s="1"/>
  <c r="G1351" i="1"/>
  <c r="E1351" i="1"/>
  <c r="C1351" i="1"/>
  <c r="H1351" i="1"/>
  <c r="F1351" i="1"/>
  <c r="D1351" i="1"/>
  <c r="B1351" i="1"/>
  <c r="I1351" i="1" s="1"/>
  <c r="G1353" i="1"/>
  <c r="E1353" i="1"/>
  <c r="C1353" i="1"/>
  <c r="H1353" i="1"/>
  <c r="F1353" i="1"/>
  <c r="D1353" i="1"/>
  <c r="B1353" i="1"/>
  <c r="I1353" i="1" s="1"/>
  <c r="G1355" i="1"/>
  <c r="E1355" i="1"/>
  <c r="C1355" i="1"/>
  <c r="H1355" i="1"/>
  <c r="F1355" i="1"/>
  <c r="D1355" i="1"/>
  <c r="B1355" i="1"/>
  <c r="I1355" i="1" s="1"/>
  <c r="G1357" i="1"/>
  <c r="E1357" i="1"/>
  <c r="C1357" i="1"/>
  <c r="H1357" i="1"/>
  <c r="F1357" i="1"/>
  <c r="D1357" i="1"/>
  <c r="B1357" i="1"/>
  <c r="I1357" i="1" s="1"/>
  <c r="G1359" i="1"/>
  <c r="E1359" i="1"/>
  <c r="C1359" i="1"/>
  <c r="H1359" i="1"/>
  <c r="F1359" i="1"/>
  <c r="D1359" i="1"/>
  <c r="B1359" i="1"/>
  <c r="I1359" i="1" s="1"/>
  <c r="G1361" i="1"/>
  <c r="E1361" i="1"/>
  <c r="C1361" i="1"/>
  <c r="H1361" i="1"/>
  <c r="F1361" i="1"/>
  <c r="D1361" i="1"/>
  <c r="B1361" i="1"/>
  <c r="I1361" i="1" s="1"/>
  <c r="G1363" i="1"/>
  <c r="E1363" i="1"/>
  <c r="C1363" i="1"/>
  <c r="H1363" i="1"/>
  <c r="F1363" i="1"/>
  <c r="D1363" i="1"/>
  <c r="B1363" i="1"/>
  <c r="I1363" i="1" s="1"/>
  <c r="G1365" i="1"/>
  <c r="E1365" i="1"/>
  <c r="C1365" i="1"/>
  <c r="H1365" i="1"/>
  <c r="F1365" i="1"/>
  <c r="D1365" i="1"/>
  <c r="B1365" i="1"/>
  <c r="I1365" i="1" s="1"/>
  <c r="G1367" i="1"/>
  <c r="E1367" i="1"/>
  <c r="C1367" i="1"/>
  <c r="H1367" i="1"/>
  <c r="F1367" i="1"/>
  <c r="D1367" i="1"/>
  <c r="B1367" i="1"/>
  <c r="I1367" i="1" s="1"/>
  <c r="G1369" i="1"/>
  <c r="E1369" i="1"/>
  <c r="C1369" i="1"/>
  <c r="H1369" i="1"/>
  <c r="F1369" i="1"/>
  <c r="D1369" i="1"/>
  <c r="B1369" i="1"/>
  <c r="I1369" i="1" s="1"/>
  <c r="G1371" i="1"/>
  <c r="E1371" i="1"/>
  <c r="C1371" i="1"/>
  <c r="H1371" i="1"/>
  <c r="F1371" i="1"/>
  <c r="D1371" i="1"/>
  <c r="B1371" i="1"/>
  <c r="I1371" i="1" s="1"/>
  <c r="G1373" i="1"/>
  <c r="E1373" i="1"/>
  <c r="C1373" i="1"/>
  <c r="H1373" i="1"/>
  <c r="F1373" i="1"/>
  <c r="D1373" i="1"/>
  <c r="B1373" i="1"/>
  <c r="I1373" i="1" s="1"/>
  <c r="G1375" i="1"/>
  <c r="E1375" i="1"/>
  <c r="C1375" i="1"/>
  <c r="H1375" i="1"/>
  <c r="F1375" i="1"/>
  <c r="D1375" i="1"/>
  <c r="B1375" i="1"/>
  <c r="I1375" i="1" s="1"/>
  <c r="G1377" i="1"/>
  <c r="E1377" i="1"/>
  <c r="C1377" i="1"/>
  <c r="H1377" i="1"/>
  <c r="F1377" i="1"/>
  <c r="D1377" i="1"/>
  <c r="B1377" i="1"/>
  <c r="I1377" i="1" s="1"/>
  <c r="G1379" i="1"/>
  <c r="E1379" i="1"/>
  <c r="C1379" i="1"/>
  <c r="H1379" i="1"/>
  <c r="F1379" i="1"/>
  <c r="D1379" i="1"/>
  <c r="B1379" i="1"/>
  <c r="I1379" i="1" s="1"/>
  <c r="G1381" i="1"/>
  <c r="E1381" i="1"/>
  <c r="C1381" i="1"/>
  <c r="H1381" i="1"/>
  <c r="F1381" i="1"/>
  <c r="D1381" i="1"/>
  <c r="B1381" i="1"/>
  <c r="I1381" i="1" s="1"/>
  <c r="G1383" i="1"/>
  <c r="E1383" i="1"/>
  <c r="C1383" i="1"/>
  <c r="H1383" i="1"/>
  <c r="F1383" i="1"/>
  <c r="D1383" i="1"/>
  <c r="B1383" i="1"/>
  <c r="I1383" i="1" s="1"/>
  <c r="G1385" i="1"/>
  <c r="E1385" i="1"/>
  <c r="C1385" i="1"/>
  <c r="H1385" i="1"/>
  <c r="F1385" i="1"/>
  <c r="D1385" i="1"/>
  <c r="B1385" i="1"/>
  <c r="I1385" i="1" s="1"/>
  <c r="G1387" i="1"/>
  <c r="E1387" i="1"/>
  <c r="C1387" i="1"/>
  <c r="H1387" i="1"/>
  <c r="F1387" i="1"/>
  <c r="D1387" i="1"/>
  <c r="B1387" i="1"/>
  <c r="I1387" i="1" s="1"/>
  <c r="G1389" i="1"/>
  <c r="E1389" i="1"/>
  <c r="C1389" i="1"/>
  <c r="H1389" i="1"/>
  <c r="F1389" i="1"/>
  <c r="D1389" i="1"/>
  <c r="B1389" i="1"/>
  <c r="I1389" i="1" s="1"/>
  <c r="G1391" i="1"/>
  <c r="E1391" i="1"/>
  <c r="C1391" i="1"/>
  <c r="H1391" i="1"/>
  <c r="F1391" i="1"/>
  <c r="D1391" i="1"/>
  <c r="B1391" i="1"/>
  <c r="I1391" i="1" s="1"/>
  <c r="G1393" i="1"/>
  <c r="E1393" i="1"/>
  <c r="C1393" i="1"/>
  <c r="H1393" i="1"/>
  <c r="F1393" i="1"/>
  <c r="D1393" i="1"/>
  <c r="B1393" i="1"/>
  <c r="I1393" i="1" s="1"/>
  <c r="G1395" i="1"/>
  <c r="E1395" i="1"/>
  <c r="C1395" i="1"/>
  <c r="H1395" i="1"/>
  <c r="F1395" i="1"/>
  <c r="D1395" i="1"/>
  <c r="B1395" i="1"/>
  <c r="I1395" i="1" s="1"/>
  <c r="G1397" i="1"/>
  <c r="E1397" i="1"/>
  <c r="C1397" i="1"/>
  <c r="H1397" i="1"/>
  <c r="F1397" i="1"/>
  <c r="D1397" i="1"/>
  <c r="B1397" i="1"/>
  <c r="I1397" i="1" s="1"/>
  <c r="G1399" i="1"/>
  <c r="E1399" i="1"/>
  <c r="C1399" i="1"/>
  <c r="H1399" i="1"/>
  <c r="F1399" i="1"/>
  <c r="D1399" i="1"/>
  <c r="B1399" i="1"/>
  <c r="I1399" i="1" s="1"/>
  <c r="G1401" i="1"/>
  <c r="E1401" i="1"/>
  <c r="C1401" i="1"/>
  <c r="H1401" i="1"/>
  <c r="F1401" i="1"/>
  <c r="D1401" i="1"/>
  <c r="B1401" i="1"/>
  <c r="I1401" i="1" s="1"/>
  <c r="G1403" i="1"/>
  <c r="E1403" i="1"/>
  <c r="C1403" i="1"/>
  <c r="H1403" i="1"/>
  <c r="F1403" i="1"/>
  <c r="D1403" i="1"/>
  <c r="B1403" i="1"/>
  <c r="I1403" i="1" s="1"/>
  <c r="G1405" i="1"/>
  <c r="E1405" i="1"/>
  <c r="C1405" i="1"/>
  <c r="H1405" i="1"/>
  <c r="F1405" i="1"/>
  <c r="D1405" i="1"/>
  <c r="B1405" i="1"/>
  <c r="I1405" i="1" s="1"/>
  <c r="G1407" i="1"/>
  <c r="E1407" i="1"/>
  <c r="C1407" i="1"/>
  <c r="H1407" i="1"/>
  <c r="F1407" i="1"/>
  <c r="D1407" i="1"/>
  <c r="B1407" i="1"/>
  <c r="I1407" i="1" s="1"/>
  <c r="G1409" i="1"/>
  <c r="E1409" i="1"/>
  <c r="C1409" i="1"/>
  <c r="H1409" i="1"/>
  <c r="F1409" i="1"/>
  <c r="D1409" i="1"/>
  <c r="B1409" i="1"/>
  <c r="I1409" i="1" s="1"/>
  <c r="G1411" i="1"/>
  <c r="E1411" i="1"/>
  <c r="C1411" i="1"/>
  <c r="H1411" i="1"/>
  <c r="F1411" i="1"/>
  <c r="D1411" i="1"/>
  <c r="B1411" i="1"/>
  <c r="I1411" i="1" s="1"/>
  <c r="G1413" i="1"/>
  <c r="E1413" i="1"/>
  <c r="C1413" i="1"/>
  <c r="H1413" i="1"/>
  <c r="F1413" i="1"/>
  <c r="D1413" i="1"/>
  <c r="B1413" i="1"/>
  <c r="I1413" i="1" s="1"/>
  <c r="G1415" i="1"/>
  <c r="E1415" i="1"/>
  <c r="C1415" i="1"/>
  <c r="H1415" i="1"/>
  <c r="F1415" i="1"/>
  <c r="D1415" i="1"/>
  <c r="B1415" i="1"/>
  <c r="I1415" i="1" s="1"/>
  <c r="G1417" i="1"/>
  <c r="E1417" i="1"/>
  <c r="C1417" i="1"/>
  <c r="H1417" i="1"/>
  <c r="F1417" i="1"/>
  <c r="D1417" i="1"/>
  <c r="B1417" i="1"/>
  <c r="I1417" i="1" s="1"/>
  <c r="G1419" i="1"/>
  <c r="E1419" i="1"/>
  <c r="C1419" i="1"/>
  <c r="H1419" i="1"/>
  <c r="F1419" i="1"/>
  <c r="D1419" i="1"/>
  <c r="B1419" i="1"/>
  <c r="I1419" i="1" s="1"/>
  <c r="G1421" i="1"/>
  <c r="E1421" i="1"/>
  <c r="C1421" i="1"/>
  <c r="H1421" i="1"/>
  <c r="F1421" i="1"/>
  <c r="D1421" i="1"/>
  <c r="B1421" i="1"/>
  <c r="I1421" i="1" s="1"/>
  <c r="G1423" i="1"/>
  <c r="E1423" i="1"/>
  <c r="C1423" i="1"/>
  <c r="H1423" i="1"/>
  <c r="F1423" i="1"/>
  <c r="D1423" i="1"/>
  <c r="B1423" i="1"/>
  <c r="I1423" i="1" s="1"/>
  <c r="G1425" i="1"/>
  <c r="E1425" i="1"/>
  <c r="C1425" i="1"/>
  <c r="H1425" i="1"/>
  <c r="F1425" i="1"/>
  <c r="D1425" i="1"/>
  <c r="B1425" i="1"/>
  <c r="I1425" i="1" s="1"/>
  <c r="G1427" i="1"/>
  <c r="E1427" i="1"/>
  <c r="C1427" i="1"/>
  <c r="H1427" i="1"/>
  <c r="F1427" i="1"/>
  <c r="D1427" i="1"/>
  <c r="B1427" i="1"/>
  <c r="I1427" i="1" s="1"/>
  <c r="G1429" i="1"/>
  <c r="E1429" i="1"/>
  <c r="C1429" i="1"/>
  <c r="H1429" i="1"/>
  <c r="F1429" i="1"/>
  <c r="D1429" i="1"/>
  <c r="B1429" i="1"/>
  <c r="I1429" i="1" s="1"/>
  <c r="G1431" i="1"/>
  <c r="E1431" i="1"/>
  <c r="C1431" i="1"/>
  <c r="H1431" i="1"/>
  <c r="F1431" i="1"/>
  <c r="D1431" i="1"/>
  <c r="B1431" i="1"/>
  <c r="I1431" i="1" s="1"/>
  <c r="G1433" i="1"/>
  <c r="E1433" i="1"/>
  <c r="C1433" i="1"/>
  <c r="H1433" i="1"/>
  <c r="F1433" i="1"/>
  <c r="D1433" i="1"/>
  <c r="B1433" i="1"/>
  <c r="I1433" i="1" s="1"/>
  <c r="G1435" i="1"/>
  <c r="E1435" i="1"/>
  <c r="C1435" i="1"/>
  <c r="H1435" i="1"/>
  <c r="F1435" i="1"/>
  <c r="D1435" i="1"/>
  <c r="B1435" i="1"/>
  <c r="I1435" i="1" s="1"/>
  <c r="G1437" i="1"/>
  <c r="E1437" i="1"/>
  <c r="C1437" i="1"/>
  <c r="H1437" i="1"/>
  <c r="F1437" i="1"/>
  <c r="D1437" i="1"/>
  <c r="B1437" i="1"/>
  <c r="I1437" i="1" s="1"/>
  <c r="G1439" i="1"/>
  <c r="E1439" i="1"/>
  <c r="C1439" i="1"/>
  <c r="H1439" i="1"/>
  <c r="F1439" i="1"/>
  <c r="D1439" i="1"/>
  <c r="B1439" i="1"/>
  <c r="I1439" i="1" s="1"/>
  <c r="G1441" i="1"/>
  <c r="E1441" i="1"/>
  <c r="C1441" i="1"/>
  <c r="H1441" i="1"/>
  <c r="F1441" i="1"/>
  <c r="D1441" i="1"/>
  <c r="B1441" i="1"/>
  <c r="I1441" i="1" s="1"/>
  <c r="G1443" i="1"/>
  <c r="E1443" i="1"/>
  <c r="C1443" i="1"/>
  <c r="H1443" i="1"/>
  <c r="F1443" i="1"/>
  <c r="D1443" i="1"/>
  <c r="B1443" i="1"/>
  <c r="I1443" i="1" s="1"/>
  <c r="G1445" i="1"/>
  <c r="E1445" i="1"/>
  <c r="C1445" i="1"/>
  <c r="H1445" i="1"/>
  <c r="F1445" i="1"/>
  <c r="D1445" i="1"/>
  <c r="B1445" i="1"/>
  <c r="I1445" i="1" s="1"/>
  <c r="G1447" i="1"/>
  <c r="E1447" i="1"/>
  <c r="C1447" i="1"/>
  <c r="H1447" i="1"/>
  <c r="F1447" i="1"/>
  <c r="D1447" i="1"/>
  <c r="B1447" i="1"/>
  <c r="I1447" i="1" s="1"/>
  <c r="G1449" i="1"/>
  <c r="E1449" i="1"/>
  <c r="C1449" i="1"/>
  <c r="H1449" i="1"/>
  <c r="F1449" i="1"/>
  <c r="D1449" i="1"/>
  <c r="B1449" i="1"/>
  <c r="I1449" i="1" s="1"/>
  <c r="G1451" i="1"/>
  <c r="E1451" i="1"/>
  <c r="C1451" i="1"/>
  <c r="H1451" i="1"/>
  <c r="F1451" i="1"/>
  <c r="D1451" i="1"/>
  <c r="B1451" i="1"/>
  <c r="I1451" i="1" s="1"/>
  <c r="G1453" i="1"/>
  <c r="E1453" i="1"/>
  <c r="C1453" i="1"/>
  <c r="H1453" i="1"/>
  <c r="F1453" i="1"/>
  <c r="D1453" i="1"/>
  <c r="B1453" i="1"/>
  <c r="I1453" i="1" s="1"/>
  <c r="G1455" i="1"/>
  <c r="E1455" i="1"/>
  <c r="C1455" i="1"/>
  <c r="H1455" i="1"/>
  <c r="F1455" i="1"/>
  <c r="D1455" i="1"/>
  <c r="B1455" i="1"/>
  <c r="I1455" i="1" s="1"/>
  <c r="G1457" i="1"/>
  <c r="E1457" i="1"/>
  <c r="C1457" i="1"/>
  <c r="H1457" i="1"/>
  <c r="F1457" i="1"/>
  <c r="D1457" i="1"/>
  <c r="B1457" i="1"/>
  <c r="I1457" i="1" s="1"/>
  <c r="G1459" i="1"/>
  <c r="E1459" i="1"/>
  <c r="C1459" i="1"/>
  <c r="H1459" i="1"/>
  <c r="F1459" i="1"/>
  <c r="D1459" i="1"/>
  <c r="B1459" i="1"/>
  <c r="I1459" i="1" s="1"/>
  <c r="G1461" i="1"/>
  <c r="E1461" i="1"/>
  <c r="C1461" i="1"/>
  <c r="H1461" i="1"/>
  <c r="F1461" i="1"/>
  <c r="D1461" i="1"/>
  <c r="B1461" i="1"/>
  <c r="I1461" i="1" s="1"/>
  <c r="G1463" i="1"/>
  <c r="E1463" i="1"/>
  <c r="C1463" i="1"/>
  <c r="H1463" i="1"/>
  <c r="F1463" i="1"/>
  <c r="D1463" i="1"/>
  <c r="B1463" i="1"/>
  <c r="I1463" i="1" s="1"/>
  <c r="G1465" i="1"/>
  <c r="E1465" i="1"/>
  <c r="C1465" i="1"/>
  <c r="H1465" i="1"/>
  <c r="F1465" i="1"/>
  <c r="D1465" i="1"/>
  <c r="B1465" i="1"/>
  <c r="I1465" i="1" s="1"/>
  <c r="G1467" i="1"/>
  <c r="E1467" i="1"/>
  <c r="C1467" i="1"/>
  <c r="H1467" i="1"/>
  <c r="F1467" i="1"/>
  <c r="D1467" i="1"/>
  <c r="B1467" i="1"/>
  <c r="I1467" i="1" s="1"/>
  <c r="G1469" i="1"/>
  <c r="E1469" i="1"/>
  <c r="C1469" i="1"/>
  <c r="H1469" i="1"/>
  <c r="F1469" i="1"/>
  <c r="D1469" i="1"/>
  <c r="B1469" i="1"/>
  <c r="I1469" i="1" s="1"/>
  <c r="G1471" i="1"/>
  <c r="E1471" i="1"/>
  <c r="C1471" i="1"/>
  <c r="H1471" i="1"/>
  <c r="F1471" i="1"/>
  <c r="D1471" i="1"/>
  <c r="B1471" i="1"/>
  <c r="I1471" i="1" s="1"/>
  <c r="G1473" i="1"/>
  <c r="E1473" i="1"/>
  <c r="C1473" i="1"/>
  <c r="H1473" i="1"/>
  <c r="F1473" i="1"/>
  <c r="D1473" i="1"/>
  <c r="B1473" i="1"/>
  <c r="I1473" i="1" s="1"/>
  <c r="G1475" i="1"/>
  <c r="E1475" i="1"/>
  <c r="C1475" i="1"/>
  <c r="H1475" i="1"/>
  <c r="F1475" i="1"/>
  <c r="D1475" i="1"/>
  <c r="B1475" i="1"/>
  <c r="I1475" i="1" s="1"/>
  <c r="G1477" i="1"/>
  <c r="E1477" i="1"/>
  <c r="C1477" i="1"/>
  <c r="H1477" i="1"/>
  <c r="F1477" i="1"/>
  <c r="D1477" i="1"/>
  <c r="B1477" i="1"/>
  <c r="I1477" i="1" s="1"/>
  <c r="G1479" i="1"/>
  <c r="E1479" i="1"/>
  <c r="C1479" i="1"/>
  <c r="H1479" i="1"/>
  <c r="F1479" i="1"/>
  <c r="D1479" i="1"/>
  <c r="B1479" i="1"/>
  <c r="I1479" i="1" s="1"/>
  <c r="G1481" i="1"/>
  <c r="E1481" i="1"/>
  <c r="C1481" i="1"/>
  <c r="H1481" i="1"/>
  <c r="F1481" i="1"/>
  <c r="D1481" i="1"/>
  <c r="B1481" i="1"/>
  <c r="I1481" i="1" s="1"/>
  <c r="G1483" i="1"/>
  <c r="E1483" i="1"/>
  <c r="C1483" i="1"/>
  <c r="H1483" i="1"/>
  <c r="F1483" i="1"/>
  <c r="D1483" i="1"/>
  <c r="B1483" i="1"/>
  <c r="I1483" i="1" s="1"/>
  <c r="G1485" i="1"/>
  <c r="E1485" i="1"/>
  <c r="C1485" i="1"/>
  <c r="H1485" i="1"/>
  <c r="F1485" i="1"/>
  <c r="D1485" i="1"/>
  <c r="B1485" i="1"/>
  <c r="I1485" i="1" s="1"/>
  <c r="G1487" i="1"/>
  <c r="E1487" i="1"/>
  <c r="C1487" i="1"/>
  <c r="H1487" i="1"/>
  <c r="F1487" i="1"/>
  <c r="D1487" i="1"/>
  <c r="B1487" i="1"/>
  <c r="I1487" i="1" s="1"/>
  <c r="G1489" i="1"/>
  <c r="E1489" i="1"/>
  <c r="C1489" i="1"/>
  <c r="H1489" i="1"/>
  <c r="F1489" i="1"/>
  <c r="D1489" i="1"/>
  <c r="B1489" i="1"/>
  <c r="I1489" i="1" s="1"/>
  <c r="G1491" i="1"/>
  <c r="E1491" i="1"/>
  <c r="C1491" i="1"/>
  <c r="H1491" i="1"/>
  <c r="F1491" i="1"/>
  <c r="D1491" i="1"/>
  <c r="B1491" i="1"/>
  <c r="I1491" i="1" s="1"/>
  <c r="G1493" i="1"/>
  <c r="E1493" i="1"/>
  <c r="C1493" i="1"/>
  <c r="H1493" i="1"/>
  <c r="F1493" i="1"/>
  <c r="D1493" i="1"/>
  <c r="B1493" i="1"/>
  <c r="I1493" i="1" s="1"/>
  <c r="G1495" i="1"/>
  <c r="E1495" i="1"/>
  <c r="C1495" i="1"/>
  <c r="H1495" i="1"/>
  <c r="F1495" i="1"/>
  <c r="D1495" i="1"/>
  <c r="B1495" i="1"/>
  <c r="I1495" i="1" s="1"/>
  <c r="G1497" i="1"/>
  <c r="E1497" i="1"/>
  <c r="C1497" i="1"/>
  <c r="H1497" i="1"/>
  <c r="F1497" i="1"/>
  <c r="D1497" i="1"/>
  <c r="B1497" i="1"/>
  <c r="I1497" i="1" s="1"/>
  <c r="G1499" i="1"/>
  <c r="E1499" i="1"/>
  <c r="C1499" i="1"/>
  <c r="H1499" i="1"/>
  <c r="F1499" i="1"/>
  <c r="D1499" i="1"/>
  <c r="B1499" i="1"/>
  <c r="I1499" i="1" s="1"/>
  <c r="G1501" i="1"/>
  <c r="E1501" i="1"/>
  <c r="C1501" i="1"/>
  <c r="H1501" i="1"/>
  <c r="F1501" i="1"/>
  <c r="D1501" i="1"/>
  <c r="B1501" i="1"/>
  <c r="I1501" i="1" s="1"/>
  <c r="G1503" i="1"/>
  <c r="E1503" i="1"/>
  <c r="C1503" i="1"/>
  <c r="H1503" i="1"/>
  <c r="F1503" i="1"/>
  <c r="D1503" i="1"/>
  <c r="B1503" i="1"/>
  <c r="I1503" i="1" s="1"/>
  <c r="G1505" i="1"/>
  <c r="E1505" i="1"/>
  <c r="C1505" i="1"/>
  <c r="H1505" i="1"/>
  <c r="F1505" i="1"/>
  <c r="D1505" i="1"/>
  <c r="B1505" i="1"/>
  <c r="I1505" i="1" s="1"/>
  <c r="G1507" i="1"/>
  <c r="E1507" i="1"/>
  <c r="C1507" i="1"/>
  <c r="H1507" i="1"/>
  <c r="F1507" i="1"/>
  <c r="D1507" i="1"/>
  <c r="B1507" i="1"/>
  <c r="I1507" i="1" s="1"/>
  <c r="G1509" i="1"/>
  <c r="E1509" i="1"/>
  <c r="C1509" i="1"/>
  <c r="H1509" i="1"/>
  <c r="F1509" i="1"/>
  <c r="D1509" i="1"/>
  <c r="B1509" i="1"/>
  <c r="I1509" i="1" s="1"/>
  <c r="G1511" i="1"/>
  <c r="E1511" i="1"/>
  <c r="C1511" i="1"/>
  <c r="H1511" i="1"/>
  <c r="F1511" i="1"/>
  <c r="D1511" i="1"/>
  <c r="B1511" i="1"/>
  <c r="I1511" i="1" s="1"/>
  <c r="G1513" i="1"/>
  <c r="E1513" i="1"/>
  <c r="C1513" i="1"/>
  <c r="H1513" i="1"/>
  <c r="F1513" i="1"/>
  <c r="D1513" i="1"/>
  <c r="B1513" i="1"/>
  <c r="I1513" i="1" s="1"/>
  <c r="G1515" i="1"/>
  <c r="E1515" i="1"/>
  <c r="C1515" i="1"/>
  <c r="H1515" i="1"/>
  <c r="F1515" i="1"/>
  <c r="D1515" i="1"/>
  <c r="B1515" i="1"/>
  <c r="I1515" i="1" s="1"/>
  <c r="G1517" i="1"/>
  <c r="E1517" i="1"/>
  <c r="C1517" i="1"/>
  <c r="H1517" i="1"/>
  <c r="F1517" i="1"/>
  <c r="D1517" i="1"/>
  <c r="B1517" i="1"/>
  <c r="I1517" i="1" s="1"/>
  <c r="G1519" i="1"/>
  <c r="E1519" i="1"/>
  <c r="C1519" i="1"/>
  <c r="H1519" i="1"/>
  <c r="F1519" i="1"/>
  <c r="D1519" i="1"/>
  <c r="B1519" i="1"/>
  <c r="I1519" i="1" s="1"/>
  <c r="G1521" i="1"/>
  <c r="E1521" i="1"/>
  <c r="C1521" i="1"/>
  <c r="H1521" i="1"/>
  <c r="F1521" i="1"/>
  <c r="D1521" i="1"/>
  <c r="B1521" i="1"/>
  <c r="I1521" i="1" s="1"/>
  <c r="G1523" i="1"/>
  <c r="E1523" i="1"/>
  <c r="C1523" i="1"/>
  <c r="H1523" i="1"/>
  <c r="F1523" i="1"/>
  <c r="D1523" i="1"/>
  <c r="B1523" i="1"/>
  <c r="I1523" i="1" s="1"/>
  <c r="G1525" i="1"/>
  <c r="E1525" i="1"/>
  <c r="C1525" i="1"/>
  <c r="H1525" i="1"/>
  <c r="F1525" i="1"/>
  <c r="D1525" i="1"/>
  <c r="B1525" i="1"/>
  <c r="I1525" i="1" s="1"/>
  <c r="G1527" i="1"/>
  <c r="E1527" i="1"/>
  <c r="C1527" i="1"/>
  <c r="H1527" i="1"/>
  <c r="F1527" i="1"/>
  <c r="D1527" i="1"/>
  <c r="B1527" i="1"/>
  <c r="I1527" i="1" s="1"/>
  <c r="G1529" i="1"/>
  <c r="E1529" i="1"/>
  <c r="C1529" i="1"/>
  <c r="H1529" i="1"/>
  <c r="F1529" i="1"/>
  <c r="D1529" i="1"/>
  <c r="B1529" i="1"/>
  <c r="I1529" i="1" s="1"/>
  <c r="G1531" i="1"/>
  <c r="E1531" i="1"/>
  <c r="C1531" i="1"/>
  <c r="H1531" i="1"/>
  <c r="F1531" i="1"/>
  <c r="D1531" i="1"/>
  <c r="B1531" i="1"/>
  <c r="I1531" i="1" s="1"/>
  <c r="G1533" i="1"/>
  <c r="E1533" i="1"/>
  <c r="C1533" i="1"/>
  <c r="H1533" i="1"/>
  <c r="F1533" i="1"/>
  <c r="D1533" i="1"/>
  <c r="B1533" i="1"/>
  <c r="I1533" i="1" s="1"/>
  <c r="G1535" i="1"/>
  <c r="E1535" i="1"/>
  <c r="C1535" i="1"/>
  <c r="H1535" i="1"/>
  <c r="F1535" i="1"/>
  <c r="D1535" i="1"/>
  <c r="B1535" i="1"/>
  <c r="I1535" i="1" s="1"/>
  <c r="G1537" i="1"/>
  <c r="E1537" i="1"/>
  <c r="C1537" i="1"/>
  <c r="H1537" i="1"/>
  <c r="F1537" i="1"/>
  <c r="D1537" i="1"/>
  <c r="B1537" i="1"/>
  <c r="I1537" i="1" s="1"/>
  <c r="G1539" i="1"/>
  <c r="E1539" i="1"/>
  <c r="C1539" i="1"/>
  <c r="H1539" i="1"/>
  <c r="F1539" i="1"/>
  <c r="D1539" i="1"/>
  <c r="B1539" i="1"/>
  <c r="I1539" i="1" s="1"/>
  <c r="G1541" i="1"/>
  <c r="E1541" i="1"/>
  <c r="C1541" i="1"/>
  <c r="H1541" i="1"/>
  <c r="F1541" i="1"/>
  <c r="D1541" i="1"/>
  <c r="B1541" i="1"/>
  <c r="I1541" i="1" s="1"/>
  <c r="G1543" i="1"/>
  <c r="E1543" i="1"/>
  <c r="C1543" i="1"/>
  <c r="H1543" i="1"/>
  <c r="F1543" i="1"/>
  <c r="D1543" i="1"/>
  <c r="B1543" i="1"/>
  <c r="I1543" i="1" s="1"/>
  <c r="G1545" i="1"/>
  <c r="E1545" i="1"/>
  <c r="C1545" i="1"/>
  <c r="H1545" i="1"/>
  <c r="F1545" i="1"/>
  <c r="D1545" i="1"/>
  <c r="B1545" i="1"/>
  <c r="I1545" i="1" s="1"/>
  <c r="G1547" i="1"/>
  <c r="E1547" i="1"/>
  <c r="C1547" i="1"/>
  <c r="H1547" i="1"/>
  <c r="F1547" i="1"/>
  <c r="D1547" i="1"/>
  <c r="B1547" i="1"/>
  <c r="I1547" i="1" s="1"/>
  <c r="G1549" i="1"/>
  <c r="E1549" i="1"/>
  <c r="C1549" i="1"/>
  <c r="H1549" i="1"/>
  <c r="F1549" i="1"/>
  <c r="D1549" i="1"/>
  <c r="B1549" i="1"/>
  <c r="I1549" i="1" s="1"/>
  <c r="G1551" i="1"/>
  <c r="E1551" i="1"/>
  <c r="C1551" i="1"/>
  <c r="H1551" i="1"/>
  <c r="F1551" i="1"/>
  <c r="D1551" i="1"/>
  <c r="B1551" i="1"/>
  <c r="I1551" i="1" s="1"/>
  <c r="G1553" i="1"/>
  <c r="E1553" i="1"/>
  <c r="C1553" i="1"/>
  <c r="H1553" i="1"/>
  <c r="F1553" i="1"/>
  <c r="D1553" i="1"/>
  <c r="B1553" i="1"/>
  <c r="I1553" i="1" s="1"/>
  <c r="G1555" i="1"/>
  <c r="E1555" i="1"/>
  <c r="C1555" i="1"/>
  <c r="H1555" i="1"/>
  <c r="F1555" i="1"/>
  <c r="D1555" i="1"/>
  <c r="B1555" i="1"/>
  <c r="I1555" i="1" s="1"/>
  <c r="G1557" i="1"/>
  <c r="E1557" i="1"/>
  <c r="C1557" i="1"/>
  <c r="H1557" i="1"/>
  <c r="F1557" i="1"/>
  <c r="D1557" i="1"/>
  <c r="B1557" i="1"/>
  <c r="I1557" i="1" s="1"/>
  <c r="G1559" i="1"/>
  <c r="E1559" i="1"/>
  <c r="C1559" i="1"/>
  <c r="H1559" i="1"/>
  <c r="F1559" i="1"/>
  <c r="D1559" i="1"/>
  <c r="B1559" i="1"/>
  <c r="I1559" i="1" s="1"/>
  <c r="G1561" i="1"/>
  <c r="E1561" i="1"/>
  <c r="C1561" i="1"/>
  <c r="H1561" i="1"/>
  <c r="F1561" i="1"/>
  <c r="D1561" i="1"/>
  <c r="B1561" i="1"/>
  <c r="I1561" i="1" s="1"/>
  <c r="G1563" i="1"/>
  <c r="E1563" i="1"/>
  <c r="C1563" i="1"/>
  <c r="H1563" i="1"/>
  <c r="F1563" i="1"/>
  <c r="D1563" i="1"/>
  <c r="B1563" i="1"/>
  <c r="I1563" i="1" s="1"/>
  <c r="G1565" i="1"/>
  <c r="E1565" i="1"/>
  <c r="C1565" i="1"/>
  <c r="H1565" i="1"/>
  <c r="F1565" i="1"/>
  <c r="D1565" i="1"/>
  <c r="B1565" i="1"/>
  <c r="I1565" i="1" s="1"/>
  <c r="G1567" i="1"/>
  <c r="E1567" i="1"/>
  <c r="C1567" i="1"/>
  <c r="H1567" i="1"/>
  <c r="F1567" i="1"/>
  <c r="D1567" i="1"/>
  <c r="B1567" i="1"/>
  <c r="I1567" i="1" s="1"/>
  <c r="G1569" i="1"/>
  <c r="E1569" i="1"/>
  <c r="C1569" i="1"/>
  <c r="H1569" i="1"/>
  <c r="F1569" i="1"/>
  <c r="D1569" i="1"/>
  <c r="B1569" i="1"/>
  <c r="I1569" i="1" s="1"/>
  <c r="G1571" i="1"/>
  <c r="E1571" i="1"/>
  <c r="C1571" i="1"/>
  <c r="H1571" i="1"/>
  <c r="F1571" i="1"/>
  <c r="D1571" i="1"/>
  <c r="B1571" i="1"/>
  <c r="I1571" i="1" s="1"/>
  <c r="G1573" i="1"/>
  <c r="E1573" i="1"/>
  <c r="C1573" i="1"/>
  <c r="H1573" i="1"/>
  <c r="F1573" i="1"/>
  <c r="D1573" i="1"/>
  <c r="B1573" i="1"/>
  <c r="I1573" i="1" s="1"/>
  <c r="G1575" i="1"/>
  <c r="E1575" i="1"/>
  <c r="C1575" i="1"/>
  <c r="H1575" i="1"/>
  <c r="F1575" i="1"/>
  <c r="D1575" i="1"/>
  <c r="B1575" i="1"/>
  <c r="I1575" i="1" s="1"/>
  <c r="G1577" i="1"/>
  <c r="E1577" i="1"/>
  <c r="C1577" i="1"/>
  <c r="H1577" i="1"/>
  <c r="F1577" i="1"/>
  <c r="D1577" i="1"/>
  <c r="B1577" i="1"/>
  <c r="I1577" i="1" s="1"/>
  <c r="G1579" i="1"/>
  <c r="E1579" i="1"/>
  <c r="C1579" i="1"/>
  <c r="H1579" i="1"/>
  <c r="F1579" i="1"/>
  <c r="D1579" i="1"/>
  <c r="B1579" i="1"/>
  <c r="I1579" i="1" s="1"/>
  <c r="G1581" i="1"/>
  <c r="E1581" i="1"/>
  <c r="C1581" i="1"/>
  <c r="H1581" i="1"/>
  <c r="F1581" i="1"/>
  <c r="D1581" i="1"/>
  <c r="B1581" i="1"/>
  <c r="I1581" i="1" s="1"/>
  <c r="G1583" i="1"/>
  <c r="E1583" i="1"/>
  <c r="C1583" i="1"/>
  <c r="H1583" i="1"/>
  <c r="F1583" i="1"/>
  <c r="D1583" i="1"/>
  <c r="B1583" i="1"/>
  <c r="I1583" i="1" s="1"/>
  <c r="G1585" i="1"/>
  <c r="E1585" i="1"/>
  <c r="C1585" i="1"/>
  <c r="H1585" i="1"/>
  <c r="F1585" i="1"/>
  <c r="D1585" i="1"/>
  <c r="B1585" i="1"/>
  <c r="I1585" i="1" s="1"/>
  <c r="G1587" i="1"/>
  <c r="E1587" i="1"/>
  <c r="C1587" i="1"/>
  <c r="H1587" i="1"/>
  <c r="F1587" i="1"/>
  <c r="D1587" i="1"/>
  <c r="B1587" i="1"/>
  <c r="I1587" i="1" s="1"/>
  <c r="G1589" i="1"/>
  <c r="E1589" i="1"/>
  <c r="C1589" i="1"/>
  <c r="H1589" i="1"/>
  <c r="F1589" i="1"/>
  <c r="D1589" i="1"/>
  <c r="B1589" i="1"/>
  <c r="I1589" i="1" s="1"/>
  <c r="G1591" i="1"/>
  <c r="E1591" i="1"/>
  <c r="C1591" i="1"/>
  <c r="H1591" i="1"/>
  <c r="F1591" i="1"/>
  <c r="D1591" i="1"/>
  <c r="B1591" i="1"/>
  <c r="I1591" i="1" s="1"/>
  <c r="G1593" i="1"/>
  <c r="E1593" i="1"/>
  <c r="C1593" i="1"/>
  <c r="H1593" i="1"/>
  <c r="F1593" i="1"/>
  <c r="D1593" i="1"/>
  <c r="B1593" i="1"/>
  <c r="I1593" i="1" s="1"/>
  <c r="G1595" i="1"/>
  <c r="E1595" i="1"/>
  <c r="C1595" i="1"/>
  <c r="H1595" i="1"/>
  <c r="F1595" i="1"/>
  <c r="D1595" i="1"/>
  <c r="B1595" i="1"/>
  <c r="I1595" i="1" s="1"/>
  <c r="G1597" i="1"/>
  <c r="E1597" i="1"/>
  <c r="C1597" i="1"/>
  <c r="H1597" i="1"/>
  <c r="F1597" i="1"/>
  <c r="D1597" i="1"/>
  <c r="B1597" i="1"/>
  <c r="I1597" i="1" s="1"/>
  <c r="G1599" i="1"/>
  <c r="E1599" i="1"/>
  <c r="C1599" i="1"/>
  <c r="H1599" i="1"/>
  <c r="F1599" i="1"/>
  <c r="D1599" i="1"/>
  <c r="B1599" i="1"/>
  <c r="I1599" i="1" s="1"/>
  <c r="G1601" i="1"/>
  <c r="E1601" i="1"/>
  <c r="C1601" i="1"/>
  <c r="H1601" i="1"/>
  <c r="F1601" i="1"/>
  <c r="D1601" i="1"/>
  <c r="B1601" i="1"/>
  <c r="I1601" i="1" s="1"/>
  <c r="G1603" i="1"/>
  <c r="E1603" i="1"/>
  <c r="C1603" i="1"/>
  <c r="H1603" i="1"/>
  <c r="F1603" i="1"/>
  <c r="D1603" i="1"/>
  <c r="B1603" i="1"/>
  <c r="I1603" i="1" s="1"/>
  <c r="G1605" i="1"/>
  <c r="E1605" i="1"/>
  <c r="C1605" i="1"/>
  <c r="H1605" i="1"/>
  <c r="F1605" i="1"/>
  <c r="D1605" i="1"/>
  <c r="B1605" i="1"/>
  <c r="I1605" i="1" s="1"/>
  <c r="G1607" i="1"/>
  <c r="E1607" i="1"/>
  <c r="C1607" i="1"/>
  <c r="H1607" i="1"/>
  <c r="F1607" i="1"/>
  <c r="D1607" i="1"/>
  <c r="B1607" i="1"/>
  <c r="I1607" i="1" s="1"/>
  <c r="G1609" i="1"/>
  <c r="E1609" i="1"/>
  <c r="C1609" i="1"/>
  <c r="H1609" i="1"/>
  <c r="F1609" i="1"/>
  <c r="D1609" i="1"/>
  <c r="B1609" i="1"/>
  <c r="I1609" i="1" s="1"/>
  <c r="G1611" i="1"/>
  <c r="E1611" i="1"/>
  <c r="C1611" i="1"/>
  <c r="H1611" i="1"/>
  <c r="F1611" i="1"/>
  <c r="D1611" i="1"/>
  <c r="B1611" i="1"/>
  <c r="I1611" i="1" s="1"/>
  <c r="G1613" i="1"/>
  <c r="E1613" i="1"/>
  <c r="C1613" i="1"/>
  <c r="H1613" i="1"/>
  <c r="F1613" i="1"/>
  <c r="D1613" i="1"/>
  <c r="B1613" i="1"/>
  <c r="I1613" i="1" s="1"/>
  <c r="G1615" i="1"/>
  <c r="E1615" i="1"/>
  <c r="C1615" i="1"/>
  <c r="H1615" i="1"/>
  <c r="F1615" i="1"/>
  <c r="D1615" i="1"/>
  <c r="B1615" i="1"/>
  <c r="I1615" i="1" s="1"/>
  <c r="G1617" i="1"/>
  <c r="E1617" i="1"/>
  <c r="C1617" i="1"/>
  <c r="H1617" i="1"/>
  <c r="F1617" i="1"/>
  <c r="D1617" i="1"/>
  <c r="B1617" i="1"/>
  <c r="I1617" i="1" s="1"/>
  <c r="G1619" i="1"/>
  <c r="E1619" i="1"/>
  <c r="C1619" i="1"/>
  <c r="H1619" i="1"/>
  <c r="F1619" i="1"/>
  <c r="D1619" i="1"/>
  <c r="B1619" i="1"/>
  <c r="I1619" i="1" s="1"/>
  <c r="G1621" i="1"/>
  <c r="E1621" i="1"/>
  <c r="C1621" i="1"/>
  <c r="H1621" i="1"/>
  <c r="F1621" i="1"/>
  <c r="D1621" i="1"/>
  <c r="B1621" i="1"/>
  <c r="I1621" i="1" s="1"/>
  <c r="G1623" i="1"/>
  <c r="E1623" i="1"/>
  <c r="C1623" i="1"/>
  <c r="H1623" i="1"/>
  <c r="F1623" i="1"/>
  <c r="D1623" i="1"/>
  <c r="B1623" i="1"/>
  <c r="I1623" i="1" s="1"/>
  <c r="G1625" i="1"/>
  <c r="E1625" i="1"/>
  <c r="C1625" i="1"/>
  <c r="H1625" i="1"/>
  <c r="F1625" i="1"/>
  <c r="D1625" i="1"/>
  <c r="B1625" i="1"/>
  <c r="I1625" i="1" s="1"/>
  <c r="G1627" i="1"/>
  <c r="E1627" i="1"/>
  <c r="C1627" i="1"/>
  <c r="H1627" i="1"/>
  <c r="F1627" i="1"/>
  <c r="D1627" i="1"/>
  <c r="B1627" i="1"/>
  <c r="I1627" i="1" s="1"/>
  <c r="G1629" i="1"/>
  <c r="E1629" i="1"/>
  <c r="C1629" i="1"/>
  <c r="H1629" i="1"/>
  <c r="F1629" i="1"/>
  <c r="D1629" i="1"/>
  <c r="B1629" i="1"/>
  <c r="I1629" i="1" s="1"/>
  <c r="G1631" i="1"/>
  <c r="E1631" i="1"/>
  <c r="C1631" i="1"/>
  <c r="H1631" i="1"/>
  <c r="F1631" i="1"/>
  <c r="D1631" i="1"/>
  <c r="B1631" i="1"/>
  <c r="I1631" i="1" s="1"/>
  <c r="G1633" i="1"/>
  <c r="E1633" i="1"/>
  <c r="C1633" i="1"/>
  <c r="H1633" i="1"/>
  <c r="F1633" i="1"/>
  <c r="D1633" i="1"/>
  <c r="B1633" i="1"/>
  <c r="I1633" i="1" s="1"/>
  <c r="G1635" i="1"/>
  <c r="E1635" i="1"/>
  <c r="C1635" i="1"/>
  <c r="H1635" i="1"/>
  <c r="F1635" i="1"/>
  <c r="D1635" i="1"/>
  <c r="B1635" i="1"/>
  <c r="I1635" i="1" s="1"/>
  <c r="G1637" i="1"/>
  <c r="E1637" i="1"/>
  <c r="C1637" i="1"/>
  <c r="H1637" i="1"/>
  <c r="F1637" i="1"/>
  <c r="D1637" i="1"/>
  <c r="B1637" i="1"/>
  <c r="I1637" i="1" s="1"/>
  <c r="G1639" i="1"/>
  <c r="E1639" i="1"/>
  <c r="C1639" i="1"/>
  <c r="H1639" i="1"/>
  <c r="F1639" i="1"/>
  <c r="D1639" i="1"/>
  <c r="B1639" i="1"/>
  <c r="I1639" i="1" s="1"/>
  <c r="G1641" i="1"/>
  <c r="E1641" i="1"/>
  <c r="C1641" i="1"/>
  <c r="H1641" i="1"/>
  <c r="F1641" i="1"/>
  <c r="D1641" i="1"/>
  <c r="B1641" i="1"/>
  <c r="I1641" i="1" s="1"/>
  <c r="G1643" i="1"/>
  <c r="E1643" i="1"/>
  <c r="C1643" i="1"/>
  <c r="H1643" i="1"/>
  <c r="F1643" i="1"/>
  <c r="D1643" i="1"/>
  <c r="B1643" i="1"/>
  <c r="I1643" i="1" s="1"/>
  <c r="G1645" i="1"/>
  <c r="E1645" i="1"/>
  <c r="C1645" i="1"/>
  <c r="H1645" i="1"/>
  <c r="F1645" i="1"/>
  <c r="D1645" i="1"/>
  <c r="B1645" i="1"/>
  <c r="I1645" i="1" s="1"/>
  <c r="G1647" i="1"/>
  <c r="E1647" i="1"/>
  <c r="C1647" i="1"/>
  <c r="H1647" i="1"/>
  <c r="F1647" i="1"/>
  <c r="D1647" i="1"/>
  <c r="B1647" i="1"/>
  <c r="I1647" i="1" s="1"/>
  <c r="G1649" i="1"/>
  <c r="E1649" i="1"/>
  <c r="C1649" i="1"/>
  <c r="H1649" i="1"/>
  <c r="F1649" i="1"/>
  <c r="D1649" i="1"/>
  <c r="B1649" i="1"/>
  <c r="I1649" i="1" s="1"/>
  <c r="G1651" i="1"/>
  <c r="E1651" i="1"/>
  <c r="C1651" i="1"/>
  <c r="H1651" i="1"/>
  <c r="F1651" i="1"/>
  <c r="D1651" i="1"/>
  <c r="B1651" i="1"/>
  <c r="I1651" i="1" s="1"/>
  <c r="G1653" i="1"/>
  <c r="E1653" i="1"/>
  <c r="C1653" i="1"/>
  <c r="H1653" i="1"/>
  <c r="F1653" i="1"/>
  <c r="D1653" i="1"/>
  <c r="B1653" i="1"/>
  <c r="I1653" i="1" s="1"/>
  <c r="G1655" i="1"/>
  <c r="E1655" i="1"/>
  <c r="C1655" i="1"/>
  <c r="H1655" i="1"/>
  <c r="F1655" i="1"/>
  <c r="D1655" i="1"/>
  <c r="B1655" i="1"/>
  <c r="I1655" i="1" s="1"/>
  <c r="G1657" i="1"/>
  <c r="E1657" i="1"/>
  <c r="C1657" i="1"/>
  <c r="H1657" i="1"/>
  <c r="F1657" i="1"/>
  <c r="D1657" i="1"/>
  <c r="B1657" i="1"/>
  <c r="I1657" i="1" s="1"/>
  <c r="G1659" i="1"/>
  <c r="E1659" i="1"/>
  <c r="C1659" i="1"/>
  <c r="H1659" i="1"/>
  <c r="F1659" i="1"/>
  <c r="D1659" i="1"/>
  <c r="B1659" i="1"/>
  <c r="I1659" i="1" s="1"/>
  <c r="G1661" i="1"/>
  <c r="E1661" i="1"/>
  <c r="C1661" i="1"/>
  <c r="H1661" i="1"/>
  <c r="F1661" i="1"/>
  <c r="D1661" i="1"/>
  <c r="B1661" i="1"/>
  <c r="I1661" i="1" s="1"/>
  <c r="G1663" i="1"/>
  <c r="E1663" i="1"/>
  <c r="C1663" i="1"/>
  <c r="H1663" i="1"/>
  <c r="F1663" i="1"/>
  <c r="D1663" i="1"/>
  <c r="B1663" i="1"/>
  <c r="I1663" i="1" s="1"/>
  <c r="G1665" i="1"/>
  <c r="E1665" i="1"/>
  <c r="C1665" i="1"/>
  <c r="H1665" i="1"/>
  <c r="F1665" i="1"/>
  <c r="D1665" i="1"/>
  <c r="B1665" i="1"/>
  <c r="I1665" i="1" s="1"/>
  <c r="G1667" i="1"/>
  <c r="E1667" i="1"/>
  <c r="C1667" i="1"/>
  <c r="H1667" i="1"/>
  <c r="F1667" i="1"/>
  <c r="D1667" i="1"/>
  <c r="B1667" i="1"/>
  <c r="I1667" i="1" s="1"/>
  <c r="G1669" i="1"/>
  <c r="E1669" i="1"/>
  <c r="C1669" i="1"/>
  <c r="H1669" i="1"/>
  <c r="F1669" i="1"/>
  <c r="D1669" i="1"/>
  <c r="B1669" i="1"/>
  <c r="I1669" i="1" s="1"/>
  <c r="G1671" i="1"/>
  <c r="E1671" i="1"/>
  <c r="C1671" i="1"/>
  <c r="H1671" i="1"/>
  <c r="F1671" i="1"/>
  <c r="D1671" i="1"/>
  <c r="B1671" i="1"/>
  <c r="I1671" i="1" s="1"/>
  <c r="G1673" i="1"/>
  <c r="E1673" i="1"/>
  <c r="C1673" i="1"/>
  <c r="H1673" i="1"/>
  <c r="F1673" i="1"/>
  <c r="D1673" i="1"/>
  <c r="B1673" i="1"/>
  <c r="I1673" i="1" s="1"/>
  <c r="G1675" i="1"/>
  <c r="E1675" i="1"/>
  <c r="C1675" i="1"/>
  <c r="H1675" i="1"/>
  <c r="F1675" i="1"/>
  <c r="D1675" i="1"/>
  <c r="B1675" i="1"/>
  <c r="I1675" i="1" s="1"/>
  <c r="G1677" i="1"/>
  <c r="E1677" i="1"/>
  <c r="C1677" i="1"/>
  <c r="H1677" i="1"/>
  <c r="F1677" i="1"/>
  <c r="D1677" i="1"/>
  <c r="B1677" i="1"/>
  <c r="I1677" i="1" s="1"/>
  <c r="G1679" i="1"/>
  <c r="E1679" i="1"/>
  <c r="C1679" i="1"/>
  <c r="H1679" i="1"/>
  <c r="F1679" i="1"/>
  <c r="D1679" i="1"/>
  <c r="B1679" i="1"/>
  <c r="I1679" i="1" s="1"/>
  <c r="G1681" i="1"/>
  <c r="E1681" i="1"/>
  <c r="C1681" i="1"/>
  <c r="H1681" i="1"/>
  <c r="F1681" i="1"/>
  <c r="D1681" i="1"/>
  <c r="B1681" i="1"/>
  <c r="I1681" i="1" s="1"/>
  <c r="G1683" i="1"/>
  <c r="E1683" i="1"/>
  <c r="C1683" i="1"/>
  <c r="H1683" i="1"/>
  <c r="F1683" i="1"/>
  <c r="D1683" i="1"/>
  <c r="B1683" i="1"/>
  <c r="I1683" i="1" s="1"/>
  <c r="G1685" i="1"/>
  <c r="E1685" i="1"/>
  <c r="C1685" i="1"/>
  <c r="H1685" i="1"/>
  <c r="F1685" i="1"/>
  <c r="D1685" i="1"/>
  <c r="B1685" i="1"/>
  <c r="I1685" i="1" s="1"/>
  <c r="G1687" i="1"/>
  <c r="E1687" i="1"/>
  <c r="C1687" i="1"/>
  <c r="H1687" i="1"/>
  <c r="F1687" i="1"/>
  <c r="D1687" i="1"/>
  <c r="B1687" i="1"/>
  <c r="I1687" i="1" s="1"/>
  <c r="G1689" i="1"/>
  <c r="E1689" i="1"/>
  <c r="C1689" i="1"/>
  <c r="H1689" i="1"/>
  <c r="F1689" i="1"/>
  <c r="D1689" i="1"/>
  <c r="B1689" i="1"/>
  <c r="I1689" i="1" s="1"/>
  <c r="G1691" i="1"/>
  <c r="E1691" i="1"/>
  <c r="C1691" i="1"/>
  <c r="H1691" i="1"/>
  <c r="F1691" i="1"/>
  <c r="D1691" i="1"/>
  <c r="B1691" i="1"/>
  <c r="I1691" i="1" s="1"/>
  <c r="G1693" i="1"/>
  <c r="E1693" i="1"/>
  <c r="C1693" i="1"/>
  <c r="H1693" i="1"/>
  <c r="F1693" i="1"/>
  <c r="D1693" i="1"/>
  <c r="B1693" i="1"/>
  <c r="I1693" i="1" s="1"/>
  <c r="G1695" i="1"/>
  <c r="E1695" i="1"/>
  <c r="C1695" i="1"/>
  <c r="H1695" i="1"/>
  <c r="F1695" i="1"/>
  <c r="D1695" i="1"/>
  <c r="B1695" i="1"/>
  <c r="I1695" i="1" s="1"/>
  <c r="G1697" i="1"/>
  <c r="E1697" i="1"/>
  <c r="C1697" i="1"/>
  <c r="H1697" i="1"/>
  <c r="F1697" i="1"/>
  <c r="D1697" i="1"/>
  <c r="B1697" i="1"/>
  <c r="I1697" i="1" s="1"/>
  <c r="G1699" i="1"/>
  <c r="E1699" i="1"/>
  <c r="C1699" i="1"/>
  <c r="H1699" i="1"/>
  <c r="F1699" i="1"/>
  <c r="D1699" i="1"/>
  <c r="B1699" i="1"/>
  <c r="I1699" i="1" s="1"/>
  <c r="G1701" i="1"/>
  <c r="E1701" i="1"/>
  <c r="C1701" i="1"/>
  <c r="H1701" i="1"/>
  <c r="F1701" i="1"/>
  <c r="D1701" i="1"/>
  <c r="B1701" i="1"/>
  <c r="I1701" i="1" s="1"/>
  <c r="G1703" i="1"/>
  <c r="E1703" i="1"/>
  <c r="C1703" i="1"/>
  <c r="H1703" i="1"/>
  <c r="F1703" i="1"/>
  <c r="D1703" i="1"/>
  <c r="B1703" i="1"/>
  <c r="I1703" i="1" s="1"/>
  <c r="G1705" i="1"/>
  <c r="E1705" i="1"/>
  <c r="C1705" i="1"/>
  <c r="H1705" i="1"/>
  <c r="F1705" i="1"/>
  <c r="D1705" i="1"/>
  <c r="B1705" i="1"/>
  <c r="I1705" i="1" s="1"/>
  <c r="G1707" i="1"/>
  <c r="E1707" i="1"/>
  <c r="C1707" i="1"/>
  <c r="H1707" i="1"/>
  <c r="F1707" i="1"/>
  <c r="D1707" i="1"/>
  <c r="B1707" i="1"/>
  <c r="I1707" i="1" s="1"/>
  <c r="G1709" i="1"/>
  <c r="E1709" i="1"/>
  <c r="C1709" i="1"/>
  <c r="H1709" i="1"/>
  <c r="F1709" i="1"/>
  <c r="D1709" i="1"/>
  <c r="B1709" i="1"/>
  <c r="I1709" i="1" s="1"/>
  <c r="G1711" i="1"/>
  <c r="E1711" i="1"/>
  <c r="C1711" i="1"/>
  <c r="H1711" i="1"/>
  <c r="F1711" i="1"/>
  <c r="D1711" i="1"/>
  <c r="B1711" i="1"/>
  <c r="I1711" i="1" s="1"/>
  <c r="G1713" i="1"/>
  <c r="E1713" i="1"/>
  <c r="C1713" i="1"/>
  <c r="H1713" i="1"/>
  <c r="F1713" i="1"/>
  <c r="D1713" i="1"/>
  <c r="B1713" i="1"/>
  <c r="I1713" i="1" s="1"/>
  <c r="G1715" i="1"/>
  <c r="E1715" i="1"/>
  <c r="C1715" i="1"/>
  <c r="H1715" i="1"/>
  <c r="F1715" i="1"/>
  <c r="D1715" i="1"/>
  <c r="B1715" i="1"/>
  <c r="I1715" i="1" s="1"/>
  <c r="G1717" i="1"/>
  <c r="E1717" i="1"/>
  <c r="C1717" i="1"/>
  <c r="H1717" i="1"/>
  <c r="F1717" i="1"/>
  <c r="D1717" i="1"/>
  <c r="B1717" i="1"/>
  <c r="I1717" i="1" s="1"/>
  <c r="G1719" i="1"/>
  <c r="E1719" i="1"/>
  <c r="C1719" i="1"/>
  <c r="H1719" i="1"/>
  <c r="F1719" i="1"/>
  <c r="D1719" i="1"/>
  <c r="B1719" i="1"/>
  <c r="I1719" i="1" s="1"/>
  <c r="G1721" i="1"/>
  <c r="E1721" i="1"/>
  <c r="C1721" i="1"/>
  <c r="H1721" i="1"/>
  <c r="F1721" i="1"/>
  <c r="D1721" i="1"/>
  <c r="B1721" i="1"/>
  <c r="I1721" i="1" s="1"/>
  <c r="G1723" i="1"/>
  <c r="E1723" i="1"/>
  <c r="C1723" i="1"/>
  <c r="H1723" i="1"/>
  <c r="F1723" i="1"/>
  <c r="D1723" i="1"/>
  <c r="B1723" i="1"/>
  <c r="I1723" i="1" s="1"/>
  <c r="G1725" i="1"/>
  <c r="E1725" i="1"/>
  <c r="C1725" i="1"/>
  <c r="H1725" i="1"/>
  <c r="F1725" i="1"/>
  <c r="D1725" i="1"/>
  <c r="B1725" i="1"/>
  <c r="I1725" i="1" s="1"/>
  <c r="G1727" i="1"/>
  <c r="E1727" i="1"/>
  <c r="C1727" i="1"/>
  <c r="H1727" i="1"/>
  <c r="F1727" i="1"/>
  <c r="D1727" i="1"/>
  <c r="B1727" i="1"/>
  <c r="I1727" i="1" s="1"/>
  <c r="G1729" i="1"/>
  <c r="E1729" i="1"/>
  <c r="C1729" i="1"/>
  <c r="H1729" i="1"/>
  <c r="F1729" i="1"/>
  <c r="D1729" i="1"/>
  <c r="B1729" i="1"/>
  <c r="I1729" i="1" s="1"/>
  <c r="G1731" i="1"/>
  <c r="E1731" i="1"/>
  <c r="C1731" i="1"/>
  <c r="H1731" i="1"/>
  <c r="F1731" i="1"/>
  <c r="D1731" i="1"/>
  <c r="B1731" i="1"/>
  <c r="I1731" i="1" s="1"/>
  <c r="G1733" i="1"/>
  <c r="E1733" i="1"/>
  <c r="C1733" i="1"/>
  <c r="H1733" i="1"/>
  <c r="F1733" i="1"/>
  <c r="D1733" i="1"/>
  <c r="B1733" i="1"/>
  <c r="I1733" i="1" s="1"/>
  <c r="G1735" i="1"/>
  <c r="E1735" i="1"/>
  <c r="C1735" i="1"/>
  <c r="H1735" i="1"/>
  <c r="F1735" i="1"/>
  <c r="D1735" i="1"/>
  <c r="B1735" i="1"/>
  <c r="I1735" i="1" s="1"/>
  <c r="G1737" i="1"/>
  <c r="E1737" i="1"/>
  <c r="C1737" i="1"/>
  <c r="H1737" i="1"/>
  <c r="F1737" i="1"/>
  <c r="D1737" i="1"/>
  <c r="B1737" i="1"/>
  <c r="I1737" i="1" s="1"/>
  <c r="G1739" i="1"/>
  <c r="E1739" i="1"/>
  <c r="C1739" i="1"/>
  <c r="H1739" i="1"/>
  <c r="F1739" i="1"/>
  <c r="D1739" i="1"/>
  <c r="B1739" i="1"/>
  <c r="I1739" i="1" s="1"/>
  <c r="G1741" i="1"/>
  <c r="E1741" i="1"/>
  <c r="C1741" i="1"/>
  <c r="H1741" i="1"/>
  <c r="F1741" i="1"/>
  <c r="D1741" i="1"/>
  <c r="B1741" i="1"/>
  <c r="I1741" i="1" s="1"/>
  <c r="G1743" i="1"/>
  <c r="E1743" i="1"/>
  <c r="C1743" i="1"/>
  <c r="H1743" i="1"/>
  <c r="F1743" i="1"/>
  <c r="D1743" i="1"/>
  <c r="B1743" i="1"/>
  <c r="I1743" i="1" s="1"/>
  <c r="G1745" i="1"/>
  <c r="E1745" i="1"/>
  <c r="C1745" i="1"/>
  <c r="H1745" i="1"/>
  <c r="F1745" i="1"/>
  <c r="D1745" i="1"/>
  <c r="B1745" i="1"/>
  <c r="I1745" i="1" s="1"/>
  <c r="G1747" i="1"/>
  <c r="E1747" i="1"/>
  <c r="C1747" i="1"/>
  <c r="H1747" i="1"/>
  <c r="F1747" i="1"/>
  <c r="D1747" i="1"/>
  <c r="B1747" i="1"/>
  <c r="I1747" i="1" s="1"/>
  <c r="G1749" i="1"/>
  <c r="E1749" i="1"/>
  <c r="C1749" i="1"/>
  <c r="H1749" i="1"/>
  <c r="F1749" i="1"/>
  <c r="D1749" i="1"/>
  <c r="B1749" i="1"/>
  <c r="I1749" i="1" s="1"/>
  <c r="G1751" i="1"/>
  <c r="E1751" i="1"/>
  <c r="C1751" i="1"/>
  <c r="H1751" i="1"/>
  <c r="F1751" i="1"/>
  <c r="D1751" i="1"/>
  <c r="B1751" i="1"/>
  <c r="I1751" i="1" s="1"/>
  <c r="G1753" i="1"/>
  <c r="E1753" i="1"/>
  <c r="C1753" i="1"/>
  <c r="H1753" i="1"/>
  <c r="F1753" i="1"/>
  <c r="D1753" i="1"/>
  <c r="B1753" i="1"/>
  <c r="I1753" i="1" s="1"/>
  <c r="G1755" i="1"/>
  <c r="E1755" i="1"/>
  <c r="C1755" i="1"/>
  <c r="H1755" i="1"/>
  <c r="F1755" i="1"/>
  <c r="D1755" i="1"/>
  <c r="B1755" i="1"/>
  <c r="I1755" i="1" s="1"/>
  <c r="G1757" i="1"/>
  <c r="E1757" i="1"/>
  <c r="C1757" i="1"/>
  <c r="H1757" i="1"/>
  <c r="F1757" i="1"/>
  <c r="D1757" i="1"/>
  <c r="B1757" i="1"/>
  <c r="I1757" i="1" s="1"/>
  <c r="G1759" i="1"/>
  <c r="E1759" i="1"/>
  <c r="C1759" i="1"/>
  <c r="H1759" i="1"/>
  <c r="F1759" i="1"/>
  <c r="D1759" i="1"/>
  <c r="B1759" i="1"/>
  <c r="I1759" i="1" s="1"/>
  <c r="G1761" i="1"/>
  <c r="E1761" i="1"/>
  <c r="C1761" i="1"/>
  <c r="H1761" i="1"/>
  <c r="F1761" i="1"/>
  <c r="D1761" i="1"/>
  <c r="B1761" i="1"/>
  <c r="I1761" i="1" s="1"/>
  <c r="G1763" i="1"/>
  <c r="E1763" i="1"/>
  <c r="C1763" i="1"/>
  <c r="H1763" i="1"/>
  <c r="F1763" i="1"/>
  <c r="D1763" i="1"/>
  <c r="B1763" i="1"/>
  <c r="I1763" i="1" s="1"/>
  <c r="G1765" i="1"/>
  <c r="E1765" i="1"/>
  <c r="C1765" i="1"/>
  <c r="H1765" i="1"/>
  <c r="F1765" i="1"/>
  <c r="D1765" i="1"/>
  <c r="B1765" i="1"/>
  <c r="I1765" i="1" s="1"/>
  <c r="G1767" i="1"/>
  <c r="E1767" i="1"/>
  <c r="C1767" i="1"/>
  <c r="H1767" i="1"/>
  <c r="F1767" i="1"/>
  <c r="D1767" i="1"/>
  <c r="B1767" i="1"/>
  <c r="I1767" i="1" s="1"/>
  <c r="G1769" i="1"/>
  <c r="E1769" i="1"/>
  <c r="C1769" i="1"/>
  <c r="H1769" i="1"/>
  <c r="F1769" i="1"/>
  <c r="D1769" i="1"/>
  <c r="B1769" i="1"/>
  <c r="I1769" i="1" s="1"/>
  <c r="G1771" i="1"/>
  <c r="E1771" i="1"/>
  <c r="C1771" i="1"/>
  <c r="H1771" i="1"/>
  <c r="F1771" i="1"/>
  <c r="D1771" i="1"/>
  <c r="B1771" i="1"/>
  <c r="I1771" i="1" s="1"/>
  <c r="G1773" i="1"/>
  <c r="E1773" i="1"/>
  <c r="C1773" i="1"/>
  <c r="H1773" i="1"/>
  <c r="F1773" i="1"/>
  <c r="D1773" i="1"/>
  <c r="B1773" i="1"/>
  <c r="I1773" i="1" s="1"/>
  <c r="G1775" i="1"/>
  <c r="E1775" i="1"/>
  <c r="C1775" i="1"/>
  <c r="H1775" i="1"/>
  <c r="F1775" i="1"/>
  <c r="D1775" i="1"/>
  <c r="B1775" i="1"/>
  <c r="I1775" i="1" s="1"/>
  <c r="G1777" i="1"/>
  <c r="E1777" i="1"/>
  <c r="C1777" i="1"/>
  <c r="H1777" i="1"/>
  <c r="F1777" i="1"/>
  <c r="D1777" i="1"/>
  <c r="B1777" i="1"/>
  <c r="I1777" i="1" s="1"/>
  <c r="G1779" i="1"/>
  <c r="E1779" i="1"/>
  <c r="C1779" i="1"/>
  <c r="H1779" i="1"/>
  <c r="F1779" i="1"/>
  <c r="D1779" i="1"/>
  <c r="B1779" i="1"/>
  <c r="I1779" i="1" s="1"/>
  <c r="G1781" i="1"/>
  <c r="E1781" i="1"/>
  <c r="C1781" i="1"/>
  <c r="H1781" i="1"/>
  <c r="F1781" i="1"/>
  <c r="D1781" i="1"/>
  <c r="B1781" i="1"/>
  <c r="I1781" i="1" s="1"/>
  <c r="G1783" i="1"/>
  <c r="E1783" i="1"/>
  <c r="C1783" i="1"/>
  <c r="H1783" i="1"/>
  <c r="F1783" i="1"/>
  <c r="D1783" i="1"/>
  <c r="B1783" i="1"/>
  <c r="I1783" i="1" s="1"/>
  <c r="G1785" i="1"/>
  <c r="E1785" i="1"/>
  <c r="C1785" i="1"/>
  <c r="H1785" i="1"/>
  <c r="F1785" i="1"/>
  <c r="D1785" i="1"/>
  <c r="B1785" i="1"/>
  <c r="I1785" i="1" s="1"/>
  <c r="G1787" i="1"/>
  <c r="E1787" i="1"/>
  <c r="C1787" i="1"/>
  <c r="H1787" i="1"/>
  <c r="F1787" i="1"/>
  <c r="D1787" i="1"/>
  <c r="B1787" i="1"/>
  <c r="I1787" i="1" s="1"/>
  <c r="G1789" i="1"/>
  <c r="E1789" i="1"/>
  <c r="C1789" i="1"/>
  <c r="H1789" i="1"/>
  <c r="F1789" i="1"/>
  <c r="D1789" i="1"/>
  <c r="B1789" i="1"/>
  <c r="I1789" i="1" s="1"/>
  <c r="G1791" i="1"/>
  <c r="E1791" i="1"/>
  <c r="C1791" i="1"/>
  <c r="H1791" i="1"/>
  <c r="F1791" i="1"/>
  <c r="D1791" i="1"/>
  <c r="B1791" i="1"/>
  <c r="I1791" i="1" s="1"/>
  <c r="G1793" i="1"/>
  <c r="E1793" i="1"/>
  <c r="C1793" i="1"/>
  <c r="H1793" i="1"/>
  <c r="F1793" i="1"/>
  <c r="D1793" i="1"/>
  <c r="B1793" i="1"/>
  <c r="I1793" i="1" s="1"/>
  <c r="G1795" i="1"/>
  <c r="E1795" i="1"/>
  <c r="C1795" i="1"/>
  <c r="H1795" i="1"/>
  <c r="F1795" i="1"/>
  <c r="D1795" i="1"/>
  <c r="B1795" i="1"/>
  <c r="I1795" i="1" s="1"/>
  <c r="G1797" i="1"/>
  <c r="E1797" i="1"/>
  <c r="C1797" i="1"/>
  <c r="H1797" i="1"/>
  <c r="F1797" i="1"/>
  <c r="D1797" i="1"/>
  <c r="B1797" i="1"/>
  <c r="I1797" i="1" s="1"/>
  <c r="G1799" i="1"/>
  <c r="E1799" i="1"/>
  <c r="C1799" i="1"/>
  <c r="H1799" i="1"/>
  <c r="F1799" i="1"/>
  <c r="D1799" i="1"/>
  <c r="B1799" i="1"/>
  <c r="I1799" i="1" s="1"/>
  <c r="G1801" i="1"/>
  <c r="E1801" i="1"/>
  <c r="C1801" i="1"/>
  <c r="H1801" i="1"/>
  <c r="F1801" i="1"/>
  <c r="D1801" i="1"/>
  <c r="B1801" i="1"/>
  <c r="I1801" i="1" s="1"/>
  <c r="G1803" i="1"/>
  <c r="E1803" i="1"/>
  <c r="C1803" i="1"/>
  <c r="H1803" i="1"/>
  <c r="F1803" i="1"/>
  <c r="D1803" i="1"/>
  <c r="B1803" i="1"/>
  <c r="I1803" i="1" s="1"/>
  <c r="G1805" i="1"/>
  <c r="E1805" i="1"/>
  <c r="C1805" i="1"/>
  <c r="H1805" i="1"/>
  <c r="F1805" i="1"/>
  <c r="D1805" i="1"/>
  <c r="B1805" i="1"/>
  <c r="I1805" i="1" s="1"/>
  <c r="G1807" i="1"/>
  <c r="E1807" i="1"/>
  <c r="C1807" i="1"/>
  <c r="H1807" i="1"/>
  <c r="F1807" i="1"/>
  <c r="D1807" i="1"/>
  <c r="B1807" i="1"/>
  <c r="I1807" i="1" s="1"/>
  <c r="G1809" i="1"/>
  <c r="E1809" i="1"/>
  <c r="C1809" i="1"/>
  <c r="H1809" i="1"/>
  <c r="F1809" i="1"/>
  <c r="D1809" i="1"/>
  <c r="B1809" i="1"/>
  <c r="I1809" i="1" s="1"/>
  <c r="G1811" i="1"/>
  <c r="E1811" i="1"/>
  <c r="C1811" i="1"/>
  <c r="H1811" i="1"/>
  <c r="F1811" i="1"/>
  <c r="D1811" i="1"/>
  <c r="B1811" i="1"/>
  <c r="I1811" i="1" s="1"/>
  <c r="G1813" i="1"/>
  <c r="E1813" i="1"/>
  <c r="C1813" i="1"/>
  <c r="H1813" i="1"/>
  <c r="F1813" i="1"/>
  <c r="D1813" i="1"/>
  <c r="B1813" i="1"/>
  <c r="I1813" i="1" s="1"/>
  <c r="G1815" i="1"/>
  <c r="E1815" i="1"/>
  <c r="C1815" i="1"/>
  <c r="H1815" i="1"/>
  <c r="F1815" i="1"/>
  <c r="D1815" i="1"/>
  <c r="B1815" i="1"/>
  <c r="I1815" i="1" s="1"/>
  <c r="G1817" i="1"/>
  <c r="E1817" i="1"/>
  <c r="C1817" i="1"/>
  <c r="H1817" i="1"/>
  <c r="F1817" i="1"/>
  <c r="D1817" i="1"/>
  <c r="B1817" i="1"/>
  <c r="I1817" i="1" s="1"/>
  <c r="G1819" i="1"/>
  <c r="E1819" i="1"/>
  <c r="C1819" i="1"/>
  <c r="H1819" i="1"/>
  <c r="F1819" i="1"/>
  <c r="D1819" i="1"/>
  <c r="B1819" i="1"/>
  <c r="I1819" i="1" s="1"/>
  <c r="G1821" i="1"/>
  <c r="E1821" i="1"/>
  <c r="C1821" i="1"/>
  <c r="H1821" i="1"/>
  <c r="F1821" i="1"/>
  <c r="D1821" i="1"/>
  <c r="B1821" i="1"/>
  <c r="I1821" i="1" s="1"/>
  <c r="G1823" i="1"/>
  <c r="E1823" i="1"/>
  <c r="C1823" i="1"/>
  <c r="H1823" i="1"/>
  <c r="F1823" i="1"/>
  <c r="D1823" i="1"/>
  <c r="B1823" i="1"/>
  <c r="I1823" i="1" s="1"/>
  <c r="G1825" i="1"/>
  <c r="E1825" i="1"/>
  <c r="C1825" i="1"/>
  <c r="H1825" i="1"/>
  <c r="F1825" i="1"/>
  <c r="D1825" i="1"/>
  <c r="B1825" i="1"/>
  <c r="I1825" i="1" s="1"/>
  <c r="G1827" i="1"/>
  <c r="E1827" i="1"/>
  <c r="C1827" i="1"/>
  <c r="H1827" i="1"/>
  <c r="F1827" i="1"/>
  <c r="D1827" i="1"/>
  <c r="B1827" i="1"/>
  <c r="I1827" i="1" s="1"/>
  <c r="G1829" i="1"/>
  <c r="E1829" i="1"/>
  <c r="C1829" i="1"/>
  <c r="H1829" i="1"/>
  <c r="F1829" i="1"/>
  <c r="D1829" i="1"/>
  <c r="B1829" i="1"/>
  <c r="I1829" i="1" s="1"/>
  <c r="G1831" i="1"/>
  <c r="E1831" i="1"/>
  <c r="C1831" i="1"/>
  <c r="H1831" i="1"/>
  <c r="F1831" i="1"/>
  <c r="D1831" i="1"/>
  <c r="B1831" i="1"/>
  <c r="I1831" i="1" s="1"/>
  <c r="G1833" i="1"/>
  <c r="E1833" i="1"/>
  <c r="C1833" i="1"/>
  <c r="H1833" i="1"/>
  <c r="F1833" i="1"/>
  <c r="D1833" i="1"/>
  <c r="B1833" i="1"/>
  <c r="I1833" i="1" s="1"/>
  <c r="G1835" i="1"/>
  <c r="E1835" i="1"/>
  <c r="C1835" i="1"/>
  <c r="H1835" i="1"/>
  <c r="F1835" i="1"/>
  <c r="D1835" i="1"/>
  <c r="B1835" i="1"/>
  <c r="I1835" i="1" s="1"/>
  <c r="G1837" i="1"/>
  <c r="E1837" i="1"/>
  <c r="C1837" i="1"/>
  <c r="H1837" i="1"/>
  <c r="F1837" i="1"/>
  <c r="D1837" i="1"/>
  <c r="B1837" i="1"/>
  <c r="I1837" i="1" s="1"/>
  <c r="G1839" i="1"/>
  <c r="E1839" i="1"/>
  <c r="C1839" i="1"/>
  <c r="H1839" i="1"/>
  <c r="F1839" i="1"/>
  <c r="D1839" i="1"/>
  <c r="B1839" i="1"/>
  <c r="I1839" i="1" s="1"/>
  <c r="G1841" i="1"/>
  <c r="E1841" i="1"/>
  <c r="C1841" i="1"/>
  <c r="H1841" i="1"/>
  <c r="F1841" i="1"/>
  <c r="D1841" i="1"/>
  <c r="B1841" i="1"/>
  <c r="I1841" i="1" s="1"/>
  <c r="G1843" i="1"/>
  <c r="E1843" i="1"/>
  <c r="C1843" i="1"/>
  <c r="H1843" i="1"/>
  <c r="F1843" i="1"/>
  <c r="D1843" i="1"/>
  <c r="B1843" i="1"/>
  <c r="I1843" i="1" s="1"/>
  <c r="G1845" i="1"/>
  <c r="E1845" i="1"/>
  <c r="C1845" i="1"/>
  <c r="H1845" i="1"/>
  <c r="F1845" i="1"/>
  <c r="D1845" i="1"/>
  <c r="B1845" i="1"/>
  <c r="I1845" i="1" s="1"/>
  <c r="G1847" i="1"/>
  <c r="E1847" i="1"/>
  <c r="C1847" i="1"/>
  <c r="H1847" i="1"/>
  <c r="F1847" i="1"/>
  <c r="D1847" i="1"/>
  <c r="B1847" i="1"/>
  <c r="I1847" i="1" s="1"/>
  <c r="G1849" i="1"/>
  <c r="E1849" i="1"/>
  <c r="C1849" i="1"/>
  <c r="H1849" i="1"/>
  <c r="F1849" i="1"/>
  <c r="D1849" i="1"/>
  <c r="B1849" i="1"/>
  <c r="I1849" i="1" s="1"/>
  <c r="G1851" i="1"/>
  <c r="E1851" i="1"/>
  <c r="C1851" i="1"/>
  <c r="H1851" i="1"/>
  <c r="F1851" i="1"/>
  <c r="D1851" i="1"/>
  <c r="B1851" i="1"/>
  <c r="I1851" i="1" s="1"/>
  <c r="G1853" i="1"/>
  <c r="E1853" i="1"/>
  <c r="C1853" i="1"/>
  <c r="H1853" i="1"/>
  <c r="F1853" i="1"/>
  <c r="D1853" i="1"/>
  <c r="B1853" i="1"/>
  <c r="I1853" i="1" s="1"/>
  <c r="G1855" i="1"/>
  <c r="E1855" i="1"/>
  <c r="C1855" i="1"/>
  <c r="H1855" i="1"/>
  <c r="F1855" i="1"/>
  <c r="D1855" i="1"/>
  <c r="B1855" i="1"/>
  <c r="I1855" i="1" s="1"/>
  <c r="G1857" i="1"/>
  <c r="E1857" i="1"/>
  <c r="C1857" i="1"/>
  <c r="H1857" i="1"/>
  <c r="F1857" i="1"/>
  <c r="D1857" i="1"/>
  <c r="B1857" i="1"/>
  <c r="I1857" i="1" s="1"/>
  <c r="G1859" i="1"/>
  <c r="E1859" i="1"/>
  <c r="C1859" i="1"/>
  <c r="H1859" i="1"/>
  <c r="F1859" i="1"/>
  <c r="D1859" i="1"/>
  <c r="B1859" i="1"/>
  <c r="I1859" i="1" s="1"/>
  <c r="G1861" i="1"/>
  <c r="E1861" i="1"/>
  <c r="C1861" i="1"/>
  <c r="H1861" i="1"/>
  <c r="F1861" i="1"/>
  <c r="D1861" i="1"/>
  <c r="B1861" i="1"/>
  <c r="I1861" i="1" s="1"/>
  <c r="G1863" i="1"/>
  <c r="E1863" i="1"/>
  <c r="C1863" i="1"/>
  <c r="H1863" i="1"/>
  <c r="F1863" i="1"/>
  <c r="D1863" i="1"/>
  <c r="B1863" i="1"/>
  <c r="I1863" i="1" s="1"/>
  <c r="G1865" i="1"/>
  <c r="E1865" i="1"/>
  <c r="C1865" i="1"/>
  <c r="H1865" i="1"/>
  <c r="F1865" i="1"/>
  <c r="D1865" i="1"/>
  <c r="B1865" i="1"/>
  <c r="I1865" i="1" s="1"/>
  <c r="G1867" i="1"/>
  <c r="E1867" i="1"/>
  <c r="C1867" i="1"/>
  <c r="H1867" i="1"/>
  <c r="F1867" i="1"/>
  <c r="D1867" i="1"/>
  <c r="B1867" i="1"/>
  <c r="I1867" i="1" s="1"/>
  <c r="G1869" i="1"/>
  <c r="E1869" i="1"/>
  <c r="C1869" i="1"/>
  <c r="H1869" i="1"/>
  <c r="F1869" i="1"/>
  <c r="D1869" i="1"/>
  <c r="B1869" i="1"/>
  <c r="I1869" i="1" s="1"/>
  <c r="G1871" i="1"/>
  <c r="E1871" i="1"/>
  <c r="C1871" i="1"/>
  <c r="H1871" i="1"/>
  <c r="F1871" i="1"/>
  <c r="D1871" i="1"/>
  <c r="B1871" i="1"/>
  <c r="I1871" i="1" s="1"/>
  <c r="G1873" i="1"/>
  <c r="E1873" i="1"/>
  <c r="C1873" i="1"/>
  <c r="H1873" i="1"/>
  <c r="F1873" i="1"/>
  <c r="D1873" i="1"/>
  <c r="B1873" i="1"/>
  <c r="I1873" i="1" s="1"/>
  <c r="G1875" i="1"/>
  <c r="E1875" i="1"/>
  <c r="C1875" i="1"/>
  <c r="H1875" i="1"/>
  <c r="F1875" i="1"/>
  <c r="D1875" i="1"/>
  <c r="B1875" i="1"/>
  <c r="I1875" i="1" s="1"/>
  <c r="G1877" i="1"/>
  <c r="E1877" i="1"/>
  <c r="C1877" i="1"/>
  <c r="H1877" i="1"/>
  <c r="F1877" i="1"/>
  <c r="D1877" i="1"/>
  <c r="B1877" i="1"/>
  <c r="I1877" i="1" s="1"/>
  <c r="G1879" i="1"/>
  <c r="E1879" i="1"/>
  <c r="C1879" i="1"/>
  <c r="H1879" i="1"/>
  <c r="F1879" i="1"/>
  <c r="D1879" i="1"/>
  <c r="B1879" i="1"/>
  <c r="I1879" i="1" s="1"/>
  <c r="G1881" i="1"/>
  <c r="E1881" i="1"/>
  <c r="C1881" i="1"/>
  <c r="H1881" i="1"/>
  <c r="F1881" i="1"/>
  <c r="D1881" i="1"/>
  <c r="B1881" i="1"/>
  <c r="I1881" i="1" s="1"/>
  <c r="G1883" i="1"/>
  <c r="E1883" i="1"/>
  <c r="C1883" i="1"/>
  <c r="H1883" i="1"/>
  <c r="F1883" i="1"/>
  <c r="D1883" i="1"/>
  <c r="B1883" i="1"/>
  <c r="I1883" i="1" s="1"/>
  <c r="G1885" i="1"/>
  <c r="E1885" i="1"/>
  <c r="C1885" i="1"/>
  <c r="H1885" i="1"/>
  <c r="F1885" i="1"/>
  <c r="D1885" i="1"/>
  <c r="B1885" i="1"/>
  <c r="I1885" i="1" s="1"/>
  <c r="G1887" i="1"/>
  <c r="E1887" i="1"/>
  <c r="C1887" i="1"/>
  <c r="H1887" i="1"/>
  <c r="F1887" i="1"/>
  <c r="D1887" i="1"/>
  <c r="B1887" i="1"/>
  <c r="I1887" i="1" s="1"/>
  <c r="G1889" i="1"/>
  <c r="E1889" i="1"/>
  <c r="C1889" i="1"/>
  <c r="H1889" i="1"/>
  <c r="F1889" i="1"/>
  <c r="D1889" i="1"/>
  <c r="B1889" i="1"/>
  <c r="I1889" i="1" s="1"/>
  <c r="G1891" i="1"/>
  <c r="E1891" i="1"/>
  <c r="C1891" i="1"/>
  <c r="H1891" i="1"/>
  <c r="F1891" i="1"/>
  <c r="D1891" i="1"/>
  <c r="B1891" i="1"/>
  <c r="I1891" i="1" s="1"/>
  <c r="G1893" i="1"/>
  <c r="E1893" i="1"/>
  <c r="C1893" i="1"/>
  <c r="H1893" i="1"/>
  <c r="F1893" i="1"/>
  <c r="D1893" i="1"/>
  <c r="B1893" i="1"/>
  <c r="I1893" i="1" s="1"/>
  <c r="G1895" i="1"/>
  <c r="E1895" i="1"/>
  <c r="C1895" i="1"/>
  <c r="H1895" i="1"/>
  <c r="F1895" i="1"/>
  <c r="D1895" i="1"/>
  <c r="B1895" i="1"/>
  <c r="I1895" i="1" s="1"/>
  <c r="G1897" i="1"/>
  <c r="E1897" i="1"/>
  <c r="C1897" i="1"/>
  <c r="H1897" i="1"/>
  <c r="F1897" i="1"/>
  <c r="D1897" i="1"/>
  <c r="B1897" i="1"/>
  <c r="I1897" i="1" s="1"/>
  <c r="G1899" i="1"/>
  <c r="E1899" i="1"/>
  <c r="C1899" i="1"/>
  <c r="H1899" i="1"/>
  <c r="F1899" i="1"/>
  <c r="D1899" i="1"/>
  <c r="B1899" i="1"/>
  <c r="I1899" i="1" s="1"/>
  <c r="G1901" i="1"/>
  <c r="E1901" i="1"/>
  <c r="C1901" i="1"/>
  <c r="H1901" i="1"/>
  <c r="F1901" i="1"/>
  <c r="D1901" i="1"/>
  <c r="B1901" i="1"/>
  <c r="I1901" i="1" s="1"/>
  <c r="G1903" i="1"/>
  <c r="E1903" i="1"/>
  <c r="C1903" i="1"/>
  <c r="H1903" i="1"/>
  <c r="F1903" i="1"/>
  <c r="D1903" i="1"/>
  <c r="B1903" i="1"/>
  <c r="I1903" i="1" s="1"/>
  <c r="G1905" i="1"/>
  <c r="E1905" i="1"/>
  <c r="C1905" i="1"/>
  <c r="H1905" i="1"/>
  <c r="F1905" i="1"/>
  <c r="D1905" i="1"/>
  <c r="B1905" i="1"/>
  <c r="I1905" i="1" s="1"/>
  <c r="G1907" i="1"/>
  <c r="E1907" i="1"/>
  <c r="C1907" i="1"/>
  <c r="H1907" i="1"/>
  <c r="F1907" i="1"/>
  <c r="D1907" i="1"/>
  <c r="B1907" i="1"/>
  <c r="I1907" i="1" s="1"/>
  <c r="G1909" i="1"/>
  <c r="E1909" i="1"/>
  <c r="C1909" i="1"/>
  <c r="H1909" i="1"/>
  <c r="F1909" i="1"/>
  <c r="D1909" i="1"/>
  <c r="B1909" i="1"/>
  <c r="I1909" i="1" s="1"/>
  <c r="G1911" i="1"/>
  <c r="E1911" i="1"/>
  <c r="C1911" i="1"/>
  <c r="H1911" i="1"/>
  <c r="F1911" i="1"/>
  <c r="D1911" i="1"/>
  <c r="B1911" i="1"/>
  <c r="I1911" i="1" s="1"/>
  <c r="G1913" i="1"/>
  <c r="E1913" i="1"/>
  <c r="C1913" i="1"/>
  <c r="H1913" i="1"/>
  <c r="F1913" i="1"/>
  <c r="D1913" i="1"/>
  <c r="B1913" i="1"/>
  <c r="I1913" i="1" s="1"/>
  <c r="G1915" i="1"/>
  <c r="E1915" i="1"/>
  <c r="C1915" i="1"/>
  <c r="H1915" i="1"/>
  <c r="F1915" i="1"/>
  <c r="D1915" i="1"/>
  <c r="B1915" i="1"/>
  <c r="I1915" i="1" s="1"/>
  <c r="G1917" i="1"/>
  <c r="E1917" i="1"/>
  <c r="C1917" i="1"/>
  <c r="H1917" i="1"/>
  <c r="F1917" i="1"/>
  <c r="D1917" i="1"/>
  <c r="B1917" i="1"/>
  <c r="I1917" i="1" s="1"/>
  <c r="G1919" i="1"/>
  <c r="E1919" i="1"/>
  <c r="C1919" i="1"/>
  <c r="H1919" i="1"/>
  <c r="F1919" i="1"/>
  <c r="D1919" i="1"/>
  <c r="B1919" i="1"/>
  <c r="I1919" i="1" s="1"/>
  <c r="G1921" i="1"/>
  <c r="E1921" i="1"/>
  <c r="C1921" i="1"/>
  <c r="H1921" i="1"/>
  <c r="F1921" i="1"/>
  <c r="D1921" i="1"/>
  <c r="B1921" i="1"/>
  <c r="I1921" i="1" s="1"/>
  <c r="G1923" i="1"/>
  <c r="E1923" i="1"/>
  <c r="C1923" i="1"/>
  <c r="H1923" i="1"/>
  <c r="F1923" i="1"/>
  <c r="D1923" i="1"/>
  <c r="B1923" i="1"/>
  <c r="I1923" i="1" s="1"/>
  <c r="G1925" i="1"/>
  <c r="E1925" i="1"/>
  <c r="C1925" i="1"/>
  <c r="H1925" i="1"/>
  <c r="F1925" i="1"/>
  <c r="D1925" i="1"/>
  <c r="B1925" i="1"/>
  <c r="I1925" i="1" s="1"/>
  <c r="G1927" i="1"/>
  <c r="E1927" i="1"/>
  <c r="C1927" i="1"/>
  <c r="H1927" i="1"/>
  <c r="F1927" i="1"/>
  <c r="D1927" i="1"/>
  <c r="B1927" i="1"/>
  <c r="I1927" i="1" s="1"/>
  <c r="G1929" i="1"/>
  <c r="E1929" i="1"/>
  <c r="C1929" i="1"/>
  <c r="H1929" i="1"/>
  <c r="F1929" i="1"/>
  <c r="D1929" i="1"/>
  <c r="B1929" i="1"/>
  <c r="I1929" i="1" s="1"/>
  <c r="G1931" i="1"/>
  <c r="E1931" i="1"/>
  <c r="C1931" i="1"/>
  <c r="H1931" i="1"/>
  <c r="F1931" i="1"/>
  <c r="D1931" i="1"/>
  <c r="B1931" i="1"/>
  <c r="I1931" i="1" s="1"/>
  <c r="G1933" i="1"/>
  <c r="E1933" i="1"/>
  <c r="C1933" i="1"/>
  <c r="H1933" i="1"/>
  <c r="F1933" i="1"/>
  <c r="D1933" i="1"/>
  <c r="B1933" i="1"/>
  <c r="I1933" i="1" s="1"/>
  <c r="G1935" i="1"/>
  <c r="E1935" i="1"/>
  <c r="C1935" i="1"/>
  <c r="H1935" i="1"/>
  <c r="F1935" i="1"/>
  <c r="D1935" i="1"/>
  <c r="B1935" i="1"/>
  <c r="I1935" i="1" s="1"/>
  <c r="G1937" i="1"/>
  <c r="E1937" i="1"/>
  <c r="C1937" i="1"/>
  <c r="H1937" i="1"/>
  <c r="F1937" i="1"/>
  <c r="D1937" i="1"/>
  <c r="B1937" i="1"/>
  <c r="I1937" i="1" s="1"/>
  <c r="G1939" i="1"/>
  <c r="E1939" i="1"/>
  <c r="C1939" i="1"/>
  <c r="H1939" i="1"/>
  <c r="F1939" i="1"/>
  <c r="D1939" i="1"/>
  <c r="B1939" i="1"/>
  <c r="I1939" i="1" s="1"/>
  <c r="G1941" i="1"/>
  <c r="E1941" i="1"/>
  <c r="C1941" i="1"/>
  <c r="H1941" i="1"/>
  <c r="F1941" i="1"/>
  <c r="D1941" i="1"/>
  <c r="B1941" i="1"/>
  <c r="I1941" i="1" s="1"/>
  <c r="G1943" i="1"/>
  <c r="E1943" i="1"/>
  <c r="C1943" i="1"/>
  <c r="H1943" i="1"/>
  <c r="F1943" i="1"/>
  <c r="D1943" i="1"/>
  <c r="B1943" i="1"/>
  <c r="I1943" i="1" s="1"/>
  <c r="G1945" i="1"/>
  <c r="E1945" i="1"/>
  <c r="C1945" i="1"/>
  <c r="H1945" i="1"/>
  <c r="F1945" i="1"/>
  <c r="D1945" i="1"/>
  <c r="B1945" i="1"/>
  <c r="I1945" i="1" s="1"/>
  <c r="G1947" i="1"/>
  <c r="E1947" i="1"/>
  <c r="C1947" i="1"/>
  <c r="H1947" i="1"/>
  <c r="F1947" i="1"/>
  <c r="D1947" i="1"/>
  <c r="B1947" i="1"/>
  <c r="I1947" i="1" s="1"/>
  <c r="G1949" i="1"/>
  <c r="E1949" i="1"/>
  <c r="C1949" i="1"/>
  <c r="H1949" i="1"/>
  <c r="F1949" i="1"/>
  <c r="D1949" i="1"/>
  <c r="B1949" i="1"/>
  <c r="I1949" i="1" s="1"/>
  <c r="G1951" i="1"/>
  <c r="E1951" i="1"/>
  <c r="C1951" i="1"/>
  <c r="H1951" i="1"/>
  <c r="F1951" i="1"/>
  <c r="D1951" i="1"/>
  <c r="B1951" i="1"/>
  <c r="I1951" i="1" s="1"/>
  <c r="G1953" i="1"/>
  <c r="E1953" i="1"/>
  <c r="C1953" i="1"/>
  <c r="H1953" i="1"/>
  <c r="F1953" i="1"/>
  <c r="D1953" i="1"/>
  <c r="B1953" i="1"/>
  <c r="I1953" i="1" s="1"/>
  <c r="G1955" i="1"/>
  <c r="E1955" i="1"/>
  <c r="C1955" i="1"/>
  <c r="H1955" i="1"/>
  <c r="F1955" i="1"/>
  <c r="D1955" i="1"/>
  <c r="B1955" i="1"/>
  <c r="I1955" i="1" s="1"/>
  <c r="G1957" i="1"/>
  <c r="E1957" i="1"/>
  <c r="C1957" i="1"/>
  <c r="H1957" i="1"/>
  <c r="F1957" i="1"/>
  <c r="D1957" i="1"/>
  <c r="B1957" i="1"/>
  <c r="I1957" i="1" s="1"/>
  <c r="G1959" i="1"/>
  <c r="E1959" i="1"/>
  <c r="C1959" i="1"/>
  <c r="H1959" i="1"/>
  <c r="F1959" i="1"/>
  <c r="D1959" i="1"/>
  <c r="B1959" i="1"/>
  <c r="I1959" i="1" s="1"/>
  <c r="G1961" i="1"/>
  <c r="E1961" i="1"/>
  <c r="C1961" i="1"/>
  <c r="H1961" i="1"/>
  <c r="F1961" i="1"/>
  <c r="D1961" i="1"/>
  <c r="B1961" i="1"/>
  <c r="I1961" i="1" s="1"/>
  <c r="G1963" i="1"/>
  <c r="E1963" i="1"/>
  <c r="C1963" i="1"/>
  <c r="H1963" i="1"/>
  <c r="F1963" i="1"/>
  <c r="D1963" i="1"/>
  <c r="B1963" i="1"/>
  <c r="I1963" i="1" s="1"/>
  <c r="G1965" i="1"/>
  <c r="E1965" i="1"/>
  <c r="C1965" i="1"/>
  <c r="H1965" i="1"/>
  <c r="F1965" i="1"/>
  <c r="D1965" i="1"/>
  <c r="B1965" i="1"/>
  <c r="I1965" i="1" s="1"/>
  <c r="G1967" i="1"/>
  <c r="E1967" i="1"/>
  <c r="C1967" i="1"/>
  <c r="H1967" i="1"/>
  <c r="F1967" i="1"/>
  <c r="D1967" i="1"/>
  <c r="B1967" i="1"/>
  <c r="I1967" i="1" s="1"/>
  <c r="G1969" i="1"/>
  <c r="E1969" i="1"/>
  <c r="C1969" i="1"/>
  <c r="H1969" i="1"/>
  <c r="F1969" i="1"/>
  <c r="D1969" i="1"/>
  <c r="B1969" i="1"/>
  <c r="I1969" i="1" s="1"/>
  <c r="G1971" i="1"/>
  <c r="E1971" i="1"/>
  <c r="C1971" i="1"/>
  <c r="H1971" i="1"/>
  <c r="F1971" i="1"/>
  <c r="D1971" i="1"/>
  <c r="B1971" i="1"/>
  <c r="I1971" i="1" s="1"/>
  <c r="G1973" i="1"/>
  <c r="E1973" i="1"/>
  <c r="C1973" i="1"/>
  <c r="H1973" i="1"/>
  <c r="F1973" i="1"/>
  <c r="D1973" i="1"/>
  <c r="B1973" i="1"/>
  <c r="I1973" i="1" s="1"/>
  <c r="G1975" i="1"/>
  <c r="E1975" i="1"/>
  <c r="C1975" i="1"/>
  <c r="H1975" i="1"/>
  <c r="F1975" i="1"/>
  <c r="D1975" i="1"/>
  <c r="B1975" i="1"/>
  <c r="I1975" i="1" s="1"/>
  <c r="G1977" i="1"/>
  <c r="E1977" i="1"/>
  <c r="C1977" i="1"/>
  <c r="H1977" i="1"/>
  <c r="F1977" i="1"/>
  <c r="D1977" i="1"/>
  <c r="B1977" i="1"/>
  <c r="I1977" i="1" s="1"/>
  <c r="G1979" i="1"/>
  <c r="E1979" i="1"/>
  <c r="C1979" i="1"/>
  <c r="H1979" i="1"/>
  <c r="F1979" i="1"/>
  <c r="D1979" i="1"/>
  <c r="B1979" i="1"/>
  <c r="I1979" i="1" s="1"/>
  <c r="G1981" i="1"/>
  <c r="E1981" i="1"/>
  <c r="C1981" i="1"/>
  <c r="H1981" i="1"/>
  <c r="F1981" i="1"/>
  <c r="D1981" i="1"/>
  <c r="B1981" i="1"/>
  <c r="I1981" i="1" s="1"/>
  <c r="G1983" i="1"/>
  <c r="E1983" i="1"/>
  <c r="C1983" i="1"/>
  <c r="H1983" i="1"/>
  <c r="F1983" i="1"/>
  <c r="D1983" i="1"/>
  <c r="B1983" i="1"/>
  <c r="I1983" i="1" s="1"/>
  <c r="G1985" i="1"/>
  <c r="E1985" i="1"/>
  <c r="C1985" i="1"/>
  <c r="H1985" i="1"/>
  <c r="F1985" i="1"/>
  <c r="D1985" i="1"/>
  <c r="B1985" i="1"/>
  <c r="I1985" i="1" s="1"/>
  <c r="G1987" i="1"/>
  <c r="E1987" i="1"/>
  <c r="C1987" i="1"/>
  <c r="H1987" i="1"/>
  <c r="F1987" i="1"/>
  <c r="D1987" i="1"/>
  <c r="B1987" i="1"/>
  <c r="I1987" i="1" s="1"/>
  <c r="G1989" i="1"/>
  <c r="E1989" i="1"/>
  <c r="C1989" i="1"/>
  <c r="H1989" i="1"/>
  <c r="F1989" i="1"/>
  <c r="D1989" i="1"/>
  <c r="B1989" i="1"/>
  <c r="I1989" i="1" s="1"/>
  <c r="G1991" i="1"/>
  <c r="E1991" i="1"/>
  <c r="C1991" i="1"/>
  <c r="H1991" i="1"/>
  <c r="F1991" i="1"/>
  <c r="D1991" i="1"/>
  <c r="B1991" i="1"/>
  <c r="I1991" i="1" s="1"/>
  <c r="G1993" i="1"/>
  <c r="E1993" i="1"/>
  <c r="C1993" i="1"/>
  <c r="H1993" i="1"/>
  <c r="F1993" i="1"/>
  <c r="D1993" i="1"/>
  <c r="B1993" i="1"/>
  <c r="I1993" i="1" s="1"/>
  <c r="G1995" i="1"/>
  <c r="E1995" i="1"/>
  <c r="C1995" i="1"/>
  <c r="H1995" i="1"/>
  <c r="F1995" i="1"/>
  <c r="D1995" i="1"/>
  <c r="B1995" i="1"/>
  <c r="I1995" i="1" s="1"/>
  <c r="G1997" i="1"/>
  <c r="E1997" i="1"/>
  <c r="C1997" i="1"/>
  <c r="H1997" i="1"/>
  <c r="F1997" i="1"/>
  <c r="D1997" i="1"/>
  <c r="B1997" i="1"/>
  <c r="I1997" i="1" s="1"/>
  <c r="G1999" i="1"/>
  <c r="E1999" i="1"/>
  <c r="C1999" i="1"/>
  <c r="H1999" i="1"/>
  <c r="F1999" i="1"/>
  <c r="D1999" i="1"/>
  <c r="B1999" i="1"/>
  <c r="I1999" i="1" s="1"/>
  <c r="G2001" i="1"/>
  <c r="E2001" i="1"/>
  <c r="C2001" i="1"/>
  <c r="H2001" i="1"/>
  <c r="F2001" i="1"/>
  <c r="D2001" i="1"/>
  <c r="B2001" i="1"/>
  <c r="I2001" i="1" s="1"/>
  <c r="G2003" i="1"/>
  <c r="E2003" i="1"/>
  <c r="C2003" i="1"/>
  <c r="H2003" i="1"/>
  <c r="F2003" i="1"/>
  <c r="D2003" i="1"/>
  <c r="B2003" i="1"/>
  <c r="I2003" i="1" s="1"/>
  <c r="G2005" i="1"/>
  <c r="E2005" i="1"/>
  <c r="C2005" i="1"/>
  <c r="H2005" i="1"/>
  <c r="F2005" i="1"/>
  <c r="D2005" i="1"/>
  <c r="B2005" i="1"/>
  <c r="I2005" i="1" s="1"/>
  <c r="G2007" i="1"/>
  <c r="E2007" i="1"/>
  <c r="C2007" i="1"/>
  <c r="H2007" i="1"/>
  <c r="F2007" i="1"/>
  <c r="D2007" i="1"/>
  <c r="B2007" i="1"/>
  <c r="I2007" i="1" s="1"/>
  <c r="G2009" i="1"/>
  <c r="E2009" i="1"/>
  <c r="C2009" i="1"/>
  <c r="H2009" i="1"/>
  <c r="F2009" i="1"/>
  <c r="D2009" i="1"/>
  <c r="B2009" i="1"/>
  <c r="I2009" i="1" s="1"/>
  <c r="G2011" i="1"/>
  <c r="E2011" i="1"/>
  <c r="C2011" i="1"/>
  <c r="H2011" i="1"/>
  <c r="F2011" i="1"/>
  <c r="D2011" i="1"/>
  <c r="B2011" i="1"/>
  <c r="I2011" i="1" s="1"/>
  <c r="G2013" i="1"/>
  <c r="E2013" i="1"/>
  <c r="C2013" i="1"/>
  <c r="H2013" i="1"/>
  <c r="F2013" i="1"/>
  <c r="D2013" i="1"/>
  <c r="B2013" i="1"/>
  <c r="I2013" i="1" s="1"/>
  <c r="G2015" i="1"/>
  <c r="E2015" i="1"/>
  <c r="C2015" i="1"/>
  <c r="H2015" i="1"/>
  <c r="F2015" i="1"/>
  <c r="D2015" i="1"/>
  <c r="B2015" i="1"/>
  <c r="I2015" i="1" s="1"/>
  <c r="G18" i="1"/>
  <c r="E18" i="1"/>
  <c r="C18" i="1"/>
  <c r="H18" i="1"/>
  <c r="F18" i="1"/>
  <c r="D18" i="1"/>
  <c r="B18" i="1"/>
  <c r="G22" i="1"/>
  <c r="E22" i="1"/>
  <c r="C22" i="1"/>
  <c r="H22" i="1"/>
  <c r="F22" i="1"/>
  <c r="D22" i="1"/>
  <c r="B22" i="1"/>
  <c r="G26" i="1"/>
  <c r="E26" i="1"/>
  <c r="C26" i="1"/>
  <c r="H26" i="1"/>
  <c r="F26" i="1"/>
  <c r="D26" i="1"/>
  <c r="B26" i="1"/>
  <c r="G30" i="1"/>
  <c r="E30" i="1"/>
  <c r="C30" i="1"/>
  <c r="H30" i="1"/>
  <c r="F30" i="1"/>
  <c r="D30" i="1"/>
  <c r="B30" i="1"/>
  <c r="I30" i="1" s="1"/>
  <c r="G34" i="1"/>
  <c r="E34" i="1"/>
  <c r="C34" i="1"/>
  <c r="H34" i="1"/>
  <c r="F34" i="1"/>
  <c r="D34" i="1"/>
  <c r="B34" i="1"/>
  <c r="I34" i="1" s="1"/>
  <c r="G38" i="1"/>
  <c r="E38" i="1"/>
  <c r="C38" i="1"/>
  <c r="H38" i="1"/>
  <c r="F38" i="1"/>
  <c r="D38" i="1"/>
  <c r="B38" i="1"/>
  <c r="I38" i="1" s="1"/>
  <c r="G42" i="1"/>
  <c r="E42" i="1"/>
  <c r="C42" i="1"/>
  <c r="H42" i="1"/>
  <c r="F42" i="1"/>
  <c r="D42" i="1"/>
  <c r="B42" i="1"/>
  <c r="I42" i="1" s="1"/>
  <c r="G47" i="1"/>
  <c r="E47" i="1"/>
  <c r="C47" i="1"/>
  <c r="H47" i="1"/>
  <c r="F47" i="1"/>
  <c r="D47" i="1"/>
  <c r="B47" i="1"/>
  <c r="I47" i="1" s="1"/>
  <c r="G51" i="1"/>
  <c r="E51" i="1"/>
  <c r="C51" i="1"/>
  <c r="H51" i="1"/>
  <c r="F51" i="1"/>
  <c r="D51" i="1"/>
  <c r="B51" i="1"/>
  <c r="I51" i="1" s="1"/>
  <c r="G56" i="1"/>
  <c r="E56" i="1"/>
  <c r="C56" i="1"/>
  <c r="H56" i="1"/>
  <c r="F56" i="1"/>
  <c r="D56" i="1"/>
  <c r="B56" i="1"/>
  <c r="I56" i="1" s="1"/>
  <c r="G59" i="1"/>
  <c r="E59" i="1"/>
  <c r="C59" i="1"/>
  <c r="H59" i="1"/>
  <c r="F59" i="1"/>
  <c r="D59" i="1"/>
  <c r="B59" i="1"/>
  <c r="I59" i="1" s="1"/>
  <c r="G63" i="1"/>
  <c r="E63" i="1"/>
  <c r="C63" i="1"/>
  <c r="H63" i="1"/>
  <c r="F63" i="1"/>
  <c r="D63" i="1"/>
  <c r="B63" i="1"/>
  <c r="I63" i="1" s="1"/>
  <c r="G67" i="1"/>
  <c r="E67" i="1"/>
  <c r="C67" i="1"/>
  <c r="H67" i="1"/>
  <c r="F67" i="1"/>
  <c r="D67" i="1"/>
  <c r="B67" i="1"/>
  <c r="I67" i="1" s="1"/>
  <c r="G71" i="1"/>
  <c r="E71" i="1"/>
  <c r="C71" i="1"/>
  <c r="H71" i="1"/>
  <c r="F71" i="1"/>
  <c r="D71" i="1"/>
  <c r="B71" i="1"/>
  <c r="I71" i="1" s="1"/>
  <c r="G75" i="1"/>
  <c r="E75" i="1"/>
  <c r="C75" i="1"/>
  <c r="H75" i="1"/>
  <c r="F75" i="1"/>
  <c r="D75" i="1"/>
  <c r="B75" i="1"/>
  <c r="I75" i="1" s="1"/>
  <c r="G79" i="1"/>
  <c r="E79" i="1"/>
  <c r="C79" i="1"/>
  <c r="H79" i="1"/>
  <c r="F79" i="1"/>
  <c r="D79" i="1"/>
  <c r="B79" i="1"/>
  <c r="I79" i="1" s="1"/>
  <c r="G82" i="1"/>
  <c r="E82" i="1"/>
  <c r="C82" i="1"/>
  <c r="H82" i="1"/>
  <c r="F82" i="1"/>
  <c r="D82" i="1"/>
  <c r="B82" i="1"/>
  <c r="I82" i="1" s="1"/>
  <c r="G86" i="1"/>
  <c r="E86" i="1"/>
  <c r="C86" i="1"/>
  <c r="H86" i="1"/>
  <c r="F86" i="1"/>
  <c r="D86" i="1"/>
  <c r="B86" i="1"/>
  <c r="I86" i="1" s="1"/>
  <c r="G90" i="1"/>
  <c r="E90" i="1"/>
  <c r="C90" i="1"/>
  <c r="H90" i="1"/>
  <c r="F90" i="1"/>
  <c r="D90" i="1"/>
  <c r="B90" i="1"/>
  <c r="I90" i="1" s="1"/>
  <c r="G93" i="1"/>
  <c r="E93" i="1"/>
  <c r="C93" i="1"/>
  <c r="H93" i="1"/>
  <c r="F93" i="1"/>
  <c r="D93" i="1"/>
  <c r="B93" i="1"/>
  <c r="I93" i="1" s="1"/>
  <c r="G97" i="1"/>
  <c r="E97" i="1"/>
  <c r="C97" i="1"/>
  <c r="H97" i="1"/>
  <c r="F97" i="1"/>
  <c r="D97" i="1"/>
  <c r="B97" i="1"/>
  <c r="I97" i="1" s="1"/>
  <c r="G101" i="1"/>
  <c r="E101" i="1"/>
  <c r="C101" i="1"/>
  <c r="H101" i="1"/>
  <c r="F101" i="1"/>
  <c r="D101" i="1"/>
  <c r="B101" i="1"/>
  <c r="I101" i="1" s="1"/>
  <c r="G105" i="1"/>
  <c r="E105" i="1"/>
  <c r="C105" i="1"/>
  <c r="H105" i="1"/>
  <c r="F105" i="1"/>
  <c r="D105" i="1"/>
  <c r="B105" i="1"/>
  <c r="I105" i="1" s="1"/>
  <c r="G109" i="1"/>
  <c r="E109" i="1"/>
  <c r="C109" i="1"/>
  <c r="H109" i="1"/>
  <c r="F109" i="1"/>
  <c r="D109" i="1"/>
  <c r="B109" i="1"/>
  <c r="I109" i="1" s="1"/>
  <c r="G113" i="1"/>
  <c r="E113" i="1"/>
  <c r="C113" i="1"/>
  <c r="H113" i="1"/>
  <c r="F113" i="1"/>
  <c r="D113" i="1"/>
  <c r="B113" i="1"/>
  <c r="I113" i="1" s="1"/>
  <c r="G116" i="1"/>
  <c r="E116" i="1"/>
  <c r="C116" i="1"/>
  <c r="H116" i="1"/>
  <c r="F116" i="1"/>
  <c r="D116" i="1"/>
  <c r="B116" i="1"/>
  <c r="I116" i="1" s="1"/>
  <c r="G120" i="1"/>
  <c r="E120" i="1"/>
  <c r="C120" i="1"/>
  <c r="H120" i="1"/>
  <c r="F120" i="1"/>
  <c r="D120" i="1"/>
  <c r="B120" i="1"/>
  <c r="I120" i="1" s="1"/>
  <c r="G124" i="1"/>
  <c r="E124" i="1"/>
  <c r="C124" i="1"/>
  <c r="H124" i="1"/>
  <c r="F124" i="1"/>
  <c r="D124" i="1"/>
  <c r="B124" i="1"/>
  <c r="I124" i="1" s="1"/>
  <c r="G128" i="1"/>
  <c r="E128" i="1"/>
  <c r="C128" i="1"/>
  <c r="H128" i="1"/>
  <c r="F128" i="1"/>
  <c r="D128" i="1"/>
  <c r="B128" i="1"/>
  <c r="I128" i="1" s="1"/>
  <c r="G133" i="1"/>
  <c r="E133" i="1"/>
  <c r="C133" i="1"/>
  <c r="H133" i="1"/>
  <c r="F133" i="1"/>
  <c r="D133" i="1"/>
  <c r="B133" i="1"/>
  <c r="I133" i="1" s="1"/>
  <c r="G137" i="1"/>
  <c r="E137" i="1"/>
  <c r="C137" i="1"/>
  <c r="H137" i="1"/>
  <c r="F137" i="1"/>
  <c r="D137" i="1"/>
  <c r="B137" i="1"/>
  <c r="I137" i="1" s="1"/>
  <c r="G140" i="1"/>
  <c r="E140" i="1"/>
  <c r="C140" i="1"/>
  <c r="H140" i="1"/>
  <c r="F140" i="1"/>
  <c r="D140" i="1"/>
  <c r="B140" i="1"/>
  <c r="I140" i="1" s="1"/>
  <c r="G145" i="1"/>
  <c r="E145" i="1"/>
  <c r="C145" i="1"/>
  <c r="H145" i="1"/>
  <c r="F145" i="1"/>
  <c r="D145" i="1"/>
  <c r="B145" i="1"/>
  <c r="I145" i="1" s="1"/>
  <c r="G148" i="1"/>
  <c r="E148" i="1"/>
  <c r="C148" i="1"/>
  <c r="H148" i="1"/>
  <c r="F148" i="1"/>
  <c r="D148" i="1"/>
  <c r="B148" i="1"/>
  <c r="I148" i="1" s="1"/>
  <c r="G152" i="1"/>
  <c r="E152" i="1"/>
  <c r="C152" i="1"/>
  <c r="H152" i="1"/>
  <c r="F152" i="1"/>
  <c r="D152" i="1"/>
  <c r="B152" i="1"/>
  <c r="I152" i="1" s="1"/>
  <c r="G156" i="1"/>
  <c r="E156" i="1"/>
  <c r="C156" i="1"/>
  <c r="H156" i="1"/>
  <c r="F156" i="1"/>
  <c r="D156" i="1"/>
  <c r="B156" i="1"/>
  <c r="I156" i="1" s="1"/>
  <c r="G160" i="1"/>
  <c r="E160" i="1"/>
  <c r="C160" i="1"/>
  <c r="H160" i="1"/>
  <c r="F160" i="1"/>
  <c r="D160" i="1"/>
  <c r="B160" i="1"/>
  <c r="I160" i="1" s="1"/>
  <c r="G164" i="1"/>
  <c r="E164" i="1"/>
  <c r="C164" i="1"/>
  <c r="H164" i="1"/>
  <c r="F164" i="1"/>
  <c r="D164" i="1"/>
  <c r="B164" i="1"/>
  <c r="I164" i="1" s="1"/>
  <c r="G167" i="1"/>
  <c r="E167" i="1"/>
  <c r="C167" i="1"/>
  <c r="H167" i="1"/>
  <c r="F167" i="1"/>
  <c r="D167" i="1"/>
  <c r="B167" i="1"/>
  <c r="I167" i="1" s="1"/>
  <c r="G171" i="1"/>
  <c r="E171" i="1"/>
  <c r="C171" i="1"/>
  <c r="H171" i="1"/>
  <c r="F171" i="1"/>
  <c r="D171" i="1"/>
  <c r="B171" i="1"/>
  <c r="I171" i="1" s="1"/>
  <c r="G175" i="1"/>
  <c r="E175" i="1"/>
  <c r="C175" i="1"/>
  <c r="H175" i="1"/>
  <c r="F175" i="1"/>
  <c r="D175" i="1"/>
  <c r="B175" i="1"/>
  <c r="I175" i="1" s="1"/>
  <c r="G178" i="1"/>
  <c r="E178" i="1"/>
  <c r="C178" i="1"/>
  <c r="H178" i="1"/>
  <c r="F178" i="1"/>
  <c r="D178" i="1"/>
  <c r="B178" i="1"/>
  <c r="I178" i="1" s="1"/>
  <c r="G182" i="1"/>
  <c r="E182" i="1"/>
  <c r="C182" i="1"/>
  <c r="H182" i="1"/>
  <c r="F182" i="1"/>
  <c r="D182" i="1"/>
  <c r="B182" i="1"/>
  <c r="I182" i="1" s="1"/>
  <c r="G188" i="1"/>
  <c r="E188" i="1"/>
  <c r="C188" i="1"/>
  <c r="H188" i="1"/>
  <c r="F188" i="1"/>
  <c r="D188" i="1"/>
  <c r="B188" i="1"/>
  <c r="I188" i="1" s="1"/>
  <c r="G191" i="1"/>
  <c r="E191" i="1"/>
  <c r="C191" i="1"/>
  <c r="H191" i="1"/>
  <c r="F191" i="1"/>
  <c r="D191" i="1"/>
  <c r="B191" i="1"/>
  <c r="I191" i="1" s="1"/>
  <c r="G195" i="1"/>
  <c r="E195" i="1"/>
  <c r="C195" i="1"/>
  <c r="H195" i="1"/>
  <c r="F195" i="1"/>
  <c r="D195" i="1"/>
  <c r="B195" i="1"/>
  <c r="I195" i="1" s="1"/>
  <c r="G198" i="1"/>
  <c r="E198" i="1"/>
  <c r="C198" i="1"/>
  <c r="H198" i="1"/>
  <c r="F198" i="1"/>
  <c r="D198" i="1"/>
  <c r="B198" i="1"/>
  <c r="I198" i="1" s="1"/>
  <c r="G202" i="1"/>
  <c r="E202" i="1"/>
  <c r="C202" i="1"/>
  <c r="H202" i="1"/>
  <c r="F202" i="1"/>
  <c r="D202" i="1"/>
  <c r="B202" i="1"/>
  <c r="I202" i="1" s="1"/>
  <c r="G206" i="1"/>
  <c r="E206" i="1"/>
  <c r="C206" i="1"/>
  <c r="H206" i="1"/>
  <c r="F206" i="1"/>
  <c r="D206" i="1"/>
  <c r="B206" i="1"/>
  <c r="I206" i="1" s="1"/>
  <c r="G210" i="1"/>
  <c r="E210" i="1"/>
  <c r="C210" i="1"/>
  <c r="H210" i="1"/>
  <c r="F210" i="1"/>
  <c r="D210" i="1"/>
  <c r="B210" i="1"/>
  <c r="I210" i="1" s="1"/>
  <c r="G214" i="1"/>
  <c r="E214" i="1"/>
  <c r="C214" i="1"/>
  <c r="H214" i="1"/>
  <c r="F214" i="1"/>
  <c r="D214" i="1"/>
  <c r="B214" i="1"/>
  <c r="I214" i="1" s="1"/>
  <c r="G218" i="1"/>
  <c r="E218" i="1"/>
  <c r="C218" i="1"/>
  <c r="H218" i="1"/>
  <c r="F218" i="1"/>
  <c r="D218" i="1"/>
  <c r="B218" i="1"/>
  <c r="I218" i="1" s="1"/>
  <c r="G222" i="1"/>
  <c r="E222" i="1"/>
  <c r="C222" i="1"/>
  <c r="H222" i="1"/>
  <c r="F222" i="1"/>
  <c r="D222" i="1"/>
  <c r="B222" i="1"/>
  <c r="I222" i="1" s="1"/>
  <c r="G225" i="1"/>
  <c r="E225" i="1"/>
  <c r="C225" i="1"/>
  <c r="H225" i="1"/>
  <c r="F225" i="1"/>
  <c r="D225" i="1"/>
  <c r="B225" i="1"/>
  <c r="I225" i="1" s="1"/>
  <c r="G228" i="1"/>
  <c r="E228" i="1"/>
  <c r="C228" i="1"/>
  <c r="H228" i="1"/>
  <c r="F228" i="1"/>
  <c r="D228" i="1"/>
  <c r="B228" i="1"/>
  <c r="I228" i="1" s="1"/>
  <c r="G232" i="1"/>
  <c r="E232" i="1"/>
  <c r="C232" i="1"/>
  <c r="H232" i="1"/>
  <c r="F232" i="1"/>
  <c r="D232" i="1"/>
  <c r="B232" i="1"/>
  <c r="I232" i="1" s="1"/>
  <c r="G236" i="1"/>
  <c r="E236" i="1"/>
  <c r="C236" i="1"/>
  <c r="H236" i="1"/>
  <c r="F236" i="1"/>
  <c r="D236" i="1"/>
  <c r="B236" i="1"/>
  <c r="I236" i="1" s="1"/>
  <c r="G239" i="1"/>
  <c r="E239" i="1"/>
  <c r="C239" i="1"/>
  <c r="H239" i="1"/>
  <c r="F239" i="1"/>
  <c r="D239" i="1"/>
  <c r="B239" i="1"/>
  <c r="I239" i="1" s="1"/>
  <c r="G243" i="1"/>
  <c r="E243" i="1"/>
  <c r="C243" i="1"/>
  <c r="H243" i="1"/>
  <c r="F243" i="1"/>
  <c r="D243" i="1"/>
  <c r="B243" i="1"/>
  <c r="I243" i="1" s="1"/>
  <c r="G247" i="1"/>
  <c r="E247" i="1"/>
  <c r="C247" i="1"/>
  <c r="H247" i="1"/>
  <c r="F247" i="1"/>
  <c r="D247" i="1"/>
  <c r="B247" i="1"/>
  <c r="I247" i="1" s="1"/>
  <c r="G250" i="1"/>
  <c r="E250" i="1"/>
  <c r="C250" i="1"/>
  <c r="H250" i="1"/>
  <c r="F250" i="1"/>
  <c r="D250" i="1"/>
  <c r="B250" i="1"/>
  <c r="I250" i="1" s="1"/>
  <c r="G254" i="1"/>
  <c r="E254" i="1"/>
  <c r="C254" i="1"/>
  <c r="H254" i="1"/>
  <c r="F254" i="1"/>
  <c r="D254" i="1"/>
  <c r="B254" i="1"/>
  <c r="I254" i="1" s="1"/>
  <c r="G258" i="1"/>
  <c r="E258" i="1"/>
  <c r="C258" i="1"/>
  <c r="H258" i="1"/>
  <c r="F258" i="1"/>
  <c r="D258" i="1"/>
  <c r="B258" i="1"/>
  <c r="I258" i="1" s="1"/>
  <c r="G261" i="1"/>
  <c r="E261" i="1"/>
  <c r="C261" i="1"/>
  <c r="H261" i="1"/>
  <c r="F261" i="1"/>
  <c r="D261" i="1"/>
  <c r="B261" i="1"/>
  <c r="I261" i="1" s="1"/>
  <c r="G265" i="1"/>
  <c r="E265" i="1"/>
  <c r="C265" i="1"/>
  <c r="H265" i="1"/>
  <c r="F265" i="1"/>
  <c r="D265" i="1"/>
  <c r="B265" i="1"/>
  <c r="I265" i="1" s="1"/>
  <c r="G269" i="1"/>
  <c r="E269" i="1"/>
  <c r="C269" i="1"/>
  <c r="H269" i="1"/>
  <c r="F269" i="1"/>
  <c r="D269" i="1"/>
  <c r="B269" i="1"/>
  <c r="I269" i="1" s="1"/>
  <c r="G273" i="1"/>
  <c r="E273" i="1"/>
  <c r="C273" i="1"/>
  <c r="H273" i="1"/>
  <c r="F273" i="1"/>
  <c r="D273" i="1"/>
  <c r="B273" i="1"/>
  <c r="I273" i="1" s="1"/>
  <c r="G276" i="1"/>
  <c r="E276" i="1"/>
  <c r="C276" i="1"/>
  <c r="H276" i="1"/>
  <c r="F276" i="1"/>
  <c r="D276" i="1"/>
  <c r="B276" i="1"/>
  <c r="I276" i="1" s="1"/>
  <c r="G280" i="1"/>
  <c r="E280" i="1"/>
  <c r="C280" i="1"/>
  <c r="H280" i="1"/>
  <c r="F280" i="1"/>
  <c r="D280" i="1"/>
  <c r="B280" i="1"/>
  <c r="I280" i="1" s="1"/>
  <c r="G283" i="1"/>
  <c r="E283" i="1"/>
  <c r="C283" i="1"/>
  <c r="H283" i="1"/>
  <c r="F283" i="1"/>
  <c r="D283" i="1"/>
  <c r="B283" i="1"/>
  <c r="I283" i="1" s="1"/>
  <c r="G287" i="1"/>
  <c r="E287" i="1"/>
  <c r="C287" i="1"/>
  <c r="H287" i="1"/>
  <c r="F287" i="1"/>
  <c r="D287" i="1"/>
  <c r="B287" i="1"/>
  <c r="I287" i="1" s="1"/>
  <c r="G291" i="1"/>
  <c r="E291" i="1"/>
  <c r="C291" i="1"/>
  <c r="H291" i="1"/>
  <c r="F291" i="1"/>
  <c r="D291" i="1"/>
  <c r="B291" i="1"/>
  <c r="I291" i="1" s="1"/>
  <c r="G294" i="1"/>
  <c r="E294" i="1"/>
  <c r="C294" i="1"/>
  <c r="H294" i="1"/>
  <c r="F294" i="1"/>
  <c r="D294" i="1"/>
  <c r="B294" i="1"/>
  <c r="I294" i="1" s="1"/>
  <c r="G298" i="1"/>
  <c r="E298" i="1"/>
  <c r="C298" i="1"/>
  <c r="H298" i="1"/>
  <c r="F298" i="1"/>
  <c r="D298" i="1"/>
  <c r="B298" i="1"/>
  <c r="I298" i="1" s="1"/>
  <c r="G302" i="1"/>
  <c r="E302" i="1"/>
  <c r="C302" i="1"/>
  <c r="B302" i="1"/>
  <c r="I302" i="1" s="1"/>
  <c r="H302" i="1"/>
  <c r="F302" i="1"/>
  <c r="D302" i="1"/>
  <c r="G306" i="1"/>
  <c r="E306" i="1"/>
  <c r="C306" i="1"/>
  <c r="H306" i="1"/>
  <c r="F306" i="1"/>
  <c r="D306" i="1"/>
  <c r="B306" i="1"/>
  <c r="I306" i="1" s="1"/>
  <c r="G310" i="1"/>
  <c r="E310" i="1"/>
  <c r="C310" i="1"/>
  <c r="H310" i="1"/>
  <c r="F310" i="1"/>
  <c r="D310" i="1"/>
  <c r="B310" i="1"/>
  <c r="I310" i="1" s="1"/>
  <c r="G313" i="1"/>
  <c r="E313" i="1"/>
  <c r="C313" i="1"/>
  <c r="H313" i="1"/>
  <c r="F313" i="1"/>
  <c r="D313" i="1"/>
  <c r="B313" i="1"/>
  <c r="I313" i="1" s="1"/>
  <c r="G318" i="1"/>
  <c r="E318" i="1"/>
  <c r="C318" i="1"/>
  <c r="H318" i="1"/>
  <c r="F318" i="1"/>
  <c r="D318" i="1"/>
  <c r="B318" i="1"/>
  <c r="I318" i="1" s="1"/>
  <c r="G321" i="1"/>
  <c r="E321" i="1"/>
  <c r="C321" i="1"/>
  <c r="H321" i="1"/>
  <c r="F321" i="1"/>
  <c r="D321" i="1"/>
  <c r="B321" i="1"/>
  <c r="I321" i="1" s="1"/>
  <c r="G325" i="1"/>
  <c r="E325" i="1"/>
  <c r="C325" i="1"/>
  <c r="H325" i="1"/>
  <c r="F325" i="1"/>
  <c r="D325" i="1"/>
  <c r="B325" i="1"/>
  <c r="I325" i="1" s="1"/>
  <c r="G330" i="1"/>
  <c r="E330" i="1"/>
  <c r="C330" i="1"/>
  <c r="H330" i="1"/>
  <c r="F330" i="1"/>
  <c r="D330" i="1"/>
  <c r="B330" i="1"/>
  <c r="I330" i="1" s="1"/>
  <c r="G334" i="1"/>
  <c r="E334" i="1"/>
  <c r="C334" i="1"/>
  <c r="H334" i="1"/>
  <c r="F334" i="1"/>
  <c r="D334" i="1"/>
  <c r="B334" i="1"/>
  <c r="I334" i="1" s="1"/>
  <c r="G338" i="1"/>
  <c r="E338" i="1"/>
  <c r="C338" i="1"/>
  <c r="H338" i="1"/>
  <c r="F338" i="1"/>
  <c r="D338" i="1"/>
  <c r="B338" i="1"/>
  <c r="I338" i="1" s="1"/>
  <c r="G342" i="1"/>
  <c r="E342" i="1"/>
  <c r="C342" i="1"/>
  <c r="H342" i="1"/>
  <c r="F342" i="1"/>
  <c r="D342" i="1"/>
  <c r="B342" i="1"/>
  <c r="I342" i="1" s="1"/>
  <c r="G345" i="1"/>
  <c r="E345" i="1"/>
  <c r="C345" i="1"/>
  <c r="H345" i="1"/>
  <c r="F345" i="1"/>
  <c r="D345" i="1"/>
  <c r="B345" i="1"/>
  <c r="I345" i="1" s="1"/>
  <c r="G349" i="1"/>
  <c r="E349" i="1"/>
  <c r="C349" i="1"/>
  <c r="H349" i="1"/>
  <c r="F349" i="1"/>
  <c r="D349" i="1"/>
  <c r="B349" i="1"/>
  <c r="I349" i="1" s="1"/>
  <c r="G352" i="1"/>
  <c r="E352" i="1"/>
  <c r="C352" i="1"/>
  <c r="H352" i="1"/>
  <c r="F352" i="1"/>
  <c r="D352" i="1"/>
  <c r="B352" i="1"/>
  <c r="I352" i="1" s="1"/>
  <c r="G356" i="1"/>
  <c r="E356" i="1"/>
  <c r="C356" i="1"/>
  <c r="H356" i="1"/>
  <c r="F356" i="1"/>
  <c r="D356" i="1"/>
  <c r="B356" i="1"/>
  <c r="I356" i="1" s="1"/>
  <c r="G360" i="1"/>
  <c r="E360" i="1"/>
  <c r="C360" i="1"/>
  <c r="H360" i="1"/>
  <c r="F360" i="1"/>
  <c r="D360" i="1"/>
  <c r="B360" i="1"/>
  <c r="I360" i="1" s="1"/>
  <c r="G364" i="1"/>
  <c r="E364" i="1"/>
  <c r="C364" i="1"/>
  <c r="H364" i="1"/>
  <c r="F364" i="1"/>
  <c r="D364" i="1"/>
  <c r="B364" i="1"/>
  <c r="I364" i="1" s="1"/>
  <c r="G368" i="1"/>
  <c r="E368" i="1"/>
  <c r="C368" i="1"/>
  <c r="H368" i="1"/>
  <c r="F368" i="1"/>
  <c r="D368" i="1"/>
  <c r="B368" i="1"/>
  <c r="I368" i="1" s="1"/>
  <c r="G372" i="1"/>
  <c r="E372" i="1"/>
  <c r="C372" i="1"/>
  <c r="H372" i="1"/>
  <c r="F372" i="1"/>
  <c r="D372" i="1"/>
  <c r="B372" i="1"/>
  <c r="I372" i="1" s="1"/>
  <c r="G375" i="1"/>
  <c r="E375" i="1"/>
  <c r="C375" i="1"/>
  <c r="H375" i="1"/>
  <c r="F375" i="1"/>
  <c r="D375" i="1"/>
  <c r="B375" i="1"/>
  <c r="I375" i="1" s="1"/>
  <c r="G379" i="1"/>
  <c r="E379" i="1"/>
  <c r="C379" i="1"/>
  <c r="H379" i="1"/>
  <c r="F379" i="1"/>
  <c r="D379" i="1"/>
  <c r="B379" i="1"/>
  <c r="I379" i="1" s="1"/>
  <c r="G382" i="1"/>
  <c r="E382" i="1"/>
  <c r="C382" i="1"/>
  <c r="H382" i="1"/>
  <c r="F382" i="1"/>
  <c r="D382" i="1"/>
  <c r="B382" i="1"/>
  <c r="I382" i="1" s="1"/>
  <c r="G386" i="1"/>
  <c r="E386" i="1"/>
  <c r="C386" i="1"/>
  <c r="H386" i="1"/>
  <c r="F386" i="1"/>
  <c r="D386" i="1"/>
  <c r="B386" i="1"/>
  <c r="I386" i="1" s="1"/>
  <c r="G390" i="1"/>
  <c r="E390" i="1"/>
  <c r="C390" i="1"/>
  <c r="H390" i="1"/>
  <c r="F390" i="1"/>
  <c r="D390" i="1"/>
  <c r="B390" i="1"/>
  <c r="I390" i="1" s="1"/>
  <c r="G394" i="1"/>
  <c r="E394" i="1"/>
  <c r="C394" i="1"/>
  <c r="H394" i="1"/>
  <c r="F394" i="1"/>
  <c r="D394" i="1"/>
  <c r="B394" i="1"/>
  <c r="I394" i="1" s="1"/>
  <c r="G397" i="1"/>
  <c r="E397" i="1"/>
  <c r="C397" i="1"/>
  <c r="H397" i="1"/>
  <c r="F397" i="1"/>
  <c r="D397" i="1"/>
  <c r="B397" i="1"/>
  <c r="I397" i="1" s="1"/>
  <c r="G401" i="1"/>
  <c r="E401" i="1"/>
  <c r="C401" i="1"/>
  <c r="H401" i="1"/>
  <c r="F401" i="1"/>
  <c r="D401" i="1"/>
  <c r="B401" i="1"/>
  <c r="I401" i="1" s="1"/>
  <c r="G404" i="1"/>
  <c r="E404" i="1"/>
  <c r="C404" i="1"/>
  <c r="H404" i="1"/>
  <c r="F404" i="1"/>
  <c r="D404" i="1"/>
  <c r="B404" i="1"/>
  <c r="I404" i="1" s="1"/>
  <c r="G408" i="1"/>
  <c r="E408" i="1"/>
  <c r="C408" i="1"/>
  <c r="H408" i="1"/>
  <c r="F408" i="1"/>
  <c r="D408" i="1"/>
  <c r="B408" i="1"/>
  <c r="I408" i="1" s="1"/>
  <c r="G412" i="1"/>
  <c r="E412" i="1"/>
  <c r="C412" i="1"/>
  <c r="H412" i="1"/>
  <c r="F412" i="1"/>
  <c r="D412" i="1"/>
  <c r="B412" i="1"/>
  <c r="I412" i="1" s="1"/>
  <c r="G416" i="1"/>
  <c r="E416" i="1"/>
  <c r="C416" i="1"/>
  <c r="H416" i="1"/>
  <c r="F416" i="1"/>
  <c r="D416" i="1"/>
  <c r="B416" i="1"/>
  <c r="I416" i="1" s="1"/>
  <c r="G420" i="1"/>
  <c r="E420" i="1"/>
  <c r="C420" i="1"/>
  <c r="H420" i="1"/>
  <c r="F420" i="1"/>
  <c r="D420" i="1"/>
  <c r="B420" i="1"/>
  <c r="I420" i="1" s="1"/>
  <c r="G423" i="1"/>
  <c r="E423" i="1"/>
  <c r="C423" i="1"/>
  <c r="H423" i="1"/>
  <c r="F423" i="1"/>
  <c r="D423" i="1"/>
  <c r="B423" i="1"/>
  <c r="I423" i="1" s="1"/>
  <c r="G427" i="1"/>
  <c r="E427" i="1"/>
  <c r="C427" i="1"/>
  <c r="H427" i="1"/>
  <c r="F427" i="1"/>
  <c r="D427" i="1"/>
  <c r="B427" i="1"/>
  <c r="I427" i="1" s="1"/>
  <c r="G431" i="1"/>
  <c r="E431" i="1"/>
  <c r="C431" i="1"/>
  <c r="H431" i="1"/>
  <c r="F431" i="1"/>
  <c r="D431" i="1"/>
  <c r="B431" i="1"/>
  <c r="I431" i="1" s="1"/>
  <c r="G435" i="1"/>
  <c r="E435" i="1"/>
  <c r="C435" i="1"/>
  <c r="H435" i="1"/>
  <c r="F435" i="1"/>
  <c r="D435" i="1"/>
  <c r="B435" i="1"/>
  <c r="I435" i="1" s="1"/>
  <c r="G439" i="1"/>
  <c r="E439" i="1"/>
  <c r="C439" i="1"/>
  <c r="H439" i="1"/>
  <c r="F439" i="1"/>
  <c r="D439" i="1"/>
  <c r="B439" i="1"/>
  <c r="I439" i="1" s="1"/>
  <c r="G442" i="1"/>
  <c r="E442" i="1"/>
  <c r="C442" i="1"/>
  <c r="H442" i="1"/>
  <c r="F442" i="1"/>
  <c r="D442" i="1"/>
  <c r="B442" i="1"/>
  <c r="I442" i="1" s="1"/>
  <c r="G446" i="1"/>
  <c r="E446" i="1"/>
  <c r="C446" i="1"/>
  <c r="H446" i="1"/>
  <c r="F446" i="1"/>
  <c r="D446" i="1"/>
  <c r="B446" i="1"/>
  <c r="I446" i="1" s="1"/>
  <c r="G450" i="1"/>
  <c r="E450" i="1"/>
  <c r="C450" i="1"/>
  <c r="H450" i="1"/>
  <c r="F450" i="1"/>
  <c r="D450" i="1"/>
  <c r="B450" i="1"/>
  <c r="I450" i="1" s="1"/>
  <c r="G453" i="1"/>
  <c r="E453" i="1"/>
  <c r="C453" i="1"/>
  <c r="B453" i="1"/>
  <c r="I453" i="1" s="1"/>
  <c r="H453" i="1"/>
  <c r="F453" i="1"/>
  <c r="D453" i="1"/>
  <c r="G457" i="1"/>
  <c r="E457" i="1"/>
  <c r="C457" i="1"/>
  <c r="H457" i="1"/>
  <c r="F457" i="1"/>
  <c r="D457" i="1"/>
  <c r="B457" i="1"/>
  <c r="I457" i="1" s="1"/>
  <c r="G461" i="1"/>
  <c r="E461" i="1"/>
  <c r="C461" i="1"/>
  <c r="H461" i="1"/>
  <c r="F461" i="1"/>
  <c r="D461" i="1"/>
  <c r="B461" i="1"/>
  <c r="I461" i="1" s="1"/>
  <c r="G464" i="1"/>
  <c r="E464" i="1"/>
  <c r="C464" i="1"/>
  <c r="H464" i="1"/>
  <c r="F464" i="1"/>
  <c r="D464" i="1"/>
  <c r="B464" i="1"/>
  <c r="I464" i="1" s="1"/>
  <c r="G468" i="1"/>
  <c r="E468" i="1"/>
  <c r="C468" i="1"/>
  <c r="H468" i="1"/>
  <c r="F468" i="1"/>
  <c r="D468" i="1"/>
  <c r="B468" i="1"/>
  <c r="I468" i="1" s="1"/>
  <c r="G474" i="1"/>
  <c r="E474" i="1"/>
  <c r="C474" i="1"/>
  <c r="H474" i="1"/>
  <c r="F474" i="1"/>
  <c r="D474" i="1"/>
  <c r="B474" i="1"/>
  <c r="I474" i="1" s="1"/>
  <c r="G478" i="1"/>
  <c r="E478" i="1"/>
  <c r="C478" i="1"/>
  <c r="H478" i="1"/>
  <c r="F478" i="1"/>
  <c r="D478" i="1"/>
  <c r="B478" i="1"/>
  <c r="I478" i="1" s="1"/>
  <c r="G481" i="1"/>
  <c r="E481" i="1"/>
  <c r="C481" i="1"/>
  <c r="H481" i="1"/>
  <c r="F481" i="1"/>
  <c r="D481" i="1"/>
  <c r="B481" i="1"/>
  <c r="I481" i="1" s="1"/>
  <c r="G485" i="1"/>
  <c r="E485" i="1"/>
  <c r="C485" i="1"/>
  <c r="H485" i="1"/>
  <c r="F485" i="1"/>
  <c r="D485" i="1"/>
  <c r="B485" i="1"/>
  <c r="I485" i="1" s="1"/>
  <c r="G489" i="1"/>
  <c r="E489" i="1"/>
  <c r="C489" i="1"/>
  <c r="H489" i="1"/>
  <c r="F489" i="1"/>
  <c r="D489" i="1"/>
  <c r="B489" i="1"/>
  <c r="I489" i="1" s="1"/>
  <c r="G492" i="1"/>
  <c r="E492" i="1"/>
  <c r="C492" i="1"/>
  <c r="H492" i="1"/>
  <c r="F492" i="1"/>
  <c r="D492" i="1"/>
  <c r="B492" i="1"/>
  <c r="I492" i="1" s="1"/>
  <c r="G496" i="1"/>
  <c r="E496" i="1"/>
  <c r="C496" i="1"/>
  <c r="H496" i="1"/>
  <c r="F496" i="1"/>
  <c r="D496" i="1"/>
  <c r="B496" i="1"/>
  <c r="I496" i="1" s="1"/>
  <c r="G500" i="1"/>
  <c r="E500" i="1"/>
  <c r="C500" i="1"/>
  <c r="H500" i="1"/>
  <c r="F500" i="1"/>
  <c r="D500" i="1"/>
  <c r="B500" i="1"/>
  <c r="I500" i="1" s="1"/>
  <c r="G504" i="1"/>
  <c r="E504" i="1"/>
  <c r="C504" i="1"/>
  <c r="H504" i="1"/>
  <c r="F504" i="1"/>
  <c r="D504" i="1"/>
  <c r="B504" i="1"/>
  <c r="I504" i="1" s="1"/>
  <c r="G507" i="1"/>
  <c r="E507" i="1"/>
  <c r="C507" i="1"/>
  <c r="H507" i="1"/>
  <c r="F507" i="1"/>
  <c r="D507" i="1"/>
  <c r="B507" i="1"/>
  <c r="I507" i="1" s="1"/>
  <c r="G511" i="1"/>
  <c r="E511" i="1"/>
  <c r="C511" i="1"/>
  <c r="H511" i="1"/>
  <c r="F511" i="1"/>
  <c r="D511" i="1"/>
  <c r="B511" i="1"/>
  <c r="I511" i="1" s="1"/>
  <c r="G515" i="1"/>
  <c r="E515" i="1"/>
  <c r="C515" i="1"/>
  <c r="H515" i="1"/>
  <c r="F515" i="1"/>
  <c r="D515" i="1"/>
  <c r="B515" i="1"/>
  <c r="I515" i="1" s="1"/>
  <c r="G518" i="1"/>
  <c r="E518" i="1"/>
  <c r="C518" i="1"/>
  <c r="H518" i="1"/>
  <c r="F518" i="1"/>
  <c r="D518" i="1"/>
  <c r="B518" i="1"/>
  <c r="I518" i="1" s="1"/>
  <c r="G522" i="1"/>
  <c r="E522" i="1"/>
  <c r="C522" i="1"/>
  <c r="H522" i="1"/>
  <c r="F522" i="1"/>
  <c r="D522" i="1"/>
  <c r="B522" i="1"/>
  <c r="I522" i="1" s="1"/>
  <c r="G526" i="1"/>
  <c r="E526" i="1"/>
  <c r="C526" i="1"/>
  <c r="H526" i="1"/>
  <c r="F526" i="1"/>
  <c r="D526" i="1"/>
  <c r="B526" i="1"/>
  <c r="I526" i="1" s="1"/>
  <c r="G530" i="1"/>
  <c r="E530" i="1"/>
  <c r="C530" i="1"/>
  <c r="H530" i="1"/>
  <c r="F530" i="1"/>
  <c r="D530" i="1"/>
  <c r="B530" i="1"/>
  <c r="I530" i="1" s="1"/>
  <c r="G533" i="1"/>
  <c r="E533" i="1"/>
  <c r="C533" i="1"/>
  <c r="H533" i="1"/>
  <c r="F533" i="1"/>
  <c r="D533" i="1"/>
  <c r="B533" i="1"/>
  <c r="I533" i="1" s="1"/>
  <c r="G537" i="1"/>
  <c r="E537" i="1"/>
  <c r="C537" i="1"/>
  <c r="H537" i="1"/>
  <c r="F537" i="1"/>
  <c r="D537" i="1"/>
  <c r="B537" i="1"/>
  <c r="I537" i="1" s="1"/>
  <c r="G541" i="1"/>
  <c r="E541" i="1"/>
  <c r="C541" i="1"/>
  <c r="H541" i="1"/>
  <c r="F541" i="1"/>
  <c r="D541" i="1"/>
  <c r="B541" i="1"/>
  <c r="I541" i="1" s="1"/>
  <c r="G544" i="1"/>
  <c r="E544" i="1"/>
  <c r="C544" i="1"/>
  <c r="H544" i="1"/>
  <c r="F544" i="1"/>
  <c r="D544" i="1"/>
  <c r="B544" i="1"/>
  <c r="I544" i="1" s="1"/>
  <c r="G548" i="1"/>
  <c r="E548" i="1"/>
  <c r="C548" i="1"/>
  <c r="H548" i="1"/>
  <c r="F548" i="1"/>
  <c r="D548" i="1"/>
  <c r="B548" i="1"/>
  <c r="I548" i="1" s="1"/>
  <c r="G552" i="1"/>
  <c r="E552" i="1"/>
  <c r="C552" i="1"/>
  <c r="H552" i="1"/>
  <c r="F552" i="1"/>
  <c r="D552" i="1"/>
  <c r="B552" i="1"/>
  <c r="I552" i="1" s="1"/>
  <c r="G555" i="1"/>
  <c r="E555" i="1"/>
  <c r="C555" i="1"/>
  <c r="H555" i="1"/>
  <c r="F555" i="1"/>
  <c r="D555" i="1"/>
  <c r="B555" i="1"/>
  <c r="I555" i="1" s="1"/>
  <c r="G561" i="1"/>
  <c r="E561" i="1"/>
  <c r="C561" i="1"/>
  <c r="H561" i="1"/>
  <c r="F561" i="1"/>
  <c r="D561" i="1"/>
  <c r="B561" i="1"/>
  <c r="I561" i="1" s="1"/>
  <c r="G565" i="1"/>
  <c r="E565" i="1"/>
  <c r="C565" i="1"/>
  <c r="H565" i="1"/>
  <c r="F565" i="1"/>
  <c r="D565" i="1"/>
  <c r="B565" i="1"/>
  <c r="I565" i="1" s="1"/>
  <c r="G568" i="1"/>
  <c r="E568" i="1"/>
  <c r="C568" i="1"/>
  <c r="H568" i="1"/>
  <c r="F568" i="1"/>
  <c r="D568" i="1"/>
  <c r="B568" i="1"/>
  <c r="I568" i="1" s="1"/>
  <c r="G572" i="1"/>
  <c r="E572" i="1"/>
  <c r="C572" i="1"/>
  <c r="H572" i="1"/>
  <c r="F572" i="1"/>
  <c r="D572" i="1"/>
  <c r="B572" i="1"/>
  <c r="I572" i="1" s="1"/>
  <c r="G576" i="1"/>
  <c r="E576" i="1"/>
  <c r="C576" i="1"/>
  <c r="H576" i="1"/>
  <c r="F576" i="1"/>
  <c r="D576" i="1"/>
  <c r="B576" i="1"/>
  <c r="I576" i="1" s="1"/>
  <c r="G580" i="1"/>
  <c r="E580" i="1"/>
  <c r="C580" i="1"/>
  <c r="H580" i="1"/>
  <c r="F580" i="1"/>
  <c r="D580" i="1"/>
  <c r="B580" i="1"/>
  <c r="I580" i="1" s="1"/>
  <c r="G584" i="1"/>
  <c r="E584" i="1"/>
  <c r="C584" i="1"/>
  <c r="H584" i="1"/>
  <c r="F584" i="1"/>
  <c r="D584" i="1"/>
  <c r="B584" i="1"/>
  <c r="I584" i="1" s="1"/>
  <c r="G587" i="1"/>
  <c r="E587" i="1"/>
  <c r="C587" i="1"/>
  <c r="H587" i="1"/>
  <c r="F587" i="1"/>
  <c r="D587" i="1"/>
  <c r="B587" i="1"/>
  <c r="I587" i="1" s="1"/>
  <c r="G591" i="1"/>
  <c r="E591" i="1"/>
  <c r="C591" i="1"/>
  <c r="H591" i="1"/>
  <c r="F591" i="1"/>
  <c r="D591" i="1"/>
  <c r="B591" i="1"/>
  <c r="I591" i="1" s="1"/>
  <c r="G595" i="1"/>
  <c r="E595" i="1"/>
  <c r="C595" i="1"/>
  <c r="H595" i="1"/>
  <c r="F595" i="1"/>
  <c r="D595" i="1"/>
  <c r="B595" i="1"/>
  <c r="I595" i="1" s="1"/>
  <c r="G599" i="1"/>
  <c r="E599" i="1"/>
  <c r="C599" i="1"/>
  <c r="H599" i="1"/>
  <c r="F599" i="1"/>
  <c r="D599" i="1"/>
  <c r="B599" i="1"/>
  <c r="I599" i="1" s="1"/>
  <c r="G602" i="1"/>
  <c r="E602" i="1"/>
  <c r="C602" i="1"/>
  <c r="H602" i="1"/>
  <c r="F602" i="1"/>
  <c r="D602" i="1"/>
  <c r="B602" i="1"/>
  <c r="I602" i="1" s="1"/>
  <c r="G606" i="1"/>
  <c r="E606" i="1"/>
  <c r="C606" i="1"/>
  <c r="H606" i="1"/>
  <c r="F606" i="1"/>
  <c r="D606" i="1"/>
  <c r="B606" i="1"/>
  <c r="I606" i="1" s="1"/>
  <c r="G610" i="1"/>
  <c r="E610" i="1"/>
  <c r="C610" i="1"/>
  <c r="H610" i="1"/>
  <c r="F610" i="1"/>
  <c r="D610" i="1"/>
  <c r="B610" i="1"/>
  <c r="I610" i="1" s="1"/>
  <c r="G614" i="1"/>
  <c r="E614" i="1"/>
  <c r="C614" i="1"/>
  <c r="H614" i="1"/>
  <c r="F614" i="1"/>
  <c r="D614" i="1"/>
  <c r="B614" i="1"/>
  <c r="I614" i="1" s="1"/>
  <c r="G618" i="1"/>
  <c r="E618" i="1"/>
  <c r="C618" i="1"/>
  <c r="H618" i="1"/>
  <c r="F618" i="1"/>
  <c r="D618" i="1"/>
  <c r="B618" i="1"/>
  <c r="I618" i="1" s="1"/>
  <c r="G622" i="1"/>
  <c r="E622" i="1"/>
  <c r="C622" i="1"/>
  <c r="H622" i="1"/>
  <c r="F622" i="1"/>
  <c r="D622" i="1"/>
  <c r="B622" i="1"/>
  <c r="I622" i="1" s="1"/>
  <c r="G626" i="1"/>
  <c r="E626" i="1"/>
  <c r="C626" i="1"/>
  <c r="H626" i="1"/>
  <c r="F626" i="1"/>
  <c r="D626" i="1"/>
  <c r="B626" i="1"/>
  <c r="I626" i="1" s="1"/>
  <c r="G629" i="1"/>
  <c r="E629" i="1"/>
  <c r="C629" i="1"/>
  <c r="H629" i="1"/>
  <c r="F629" i="1"/>
  <c r="D629" i="1"/>
  <c r="B629" i="1"/>
  <c r="I629" i="1" s="1"/>
  <c r="G633" i="1"/>
  <c r="E633" i="1"/>
  <c r="C633" i="1"/>
  <c r="H633" i="1"/>
  <c r="F633" i="1"/>
  <c r="D633" i="1"/>
  <c r="B633" i="1"/>
  <c r="I633" i="1" s="1"/>
  <c r="G637" i="1"/>
  <c r="E637" i="1"/>
  <c r="C637" i="1"/>
  <c r="H637" i="1"/>
  <c r="F637" i="1"/>
  <c r="D637" i="1"/>
  <c r="B637" i="1"/>
  <c r="I637" i="1" s="1"/>
  <c r="G641" i="1"/>
  <c r="E641" i="1"/>
  <c r="C641" i="1"/>
  <c r="H641" i="1"/>
  <c r="F641" i="1"/>
  <c r="D641" i="1"/>
  <c r="B641" i="1"/>
  <c r="I641" i="1" s="1"/>
  <c r="G645" i="1"/>
  <c r="E645" i="1"/>
  <c r="C645" i="1"/>
  <c r="H645" i="1"/>
  <c r="F645" i="1"/>
  <c r="D645" i="1"/>
  <c r="B645" i="1"/>
  <c r="I645" i="1" s="1"/>
  <c r="G649" i="1"/>
  <c r="E649" i="1"/>
  <c r="C649" i="1"/>
  <c r="H649" i="1"/>
  <c r="F649" i="1"/>
  <c r="D649" i="1"/>
  <c r="B649" i="1"/>
  <c r="I649" i="1" s="1"/>
  <c r="G653" i="1"/>
  <c r="E653" i="1"/>
  <c r="C653" i="1"/>
  <c r="H653" i="1"/>
  <c r="F653" i="1"/>
  <c r="D653" i="1"/>
  <c r="B653" i="1"/>
  <c r="I653" i="1" s="1"/>
  <c r="G657" i="1"/>
  <c r="E657" i="1"/>
  <c r="C657" i="1"/>
  <c r="H657" i="1"/>
  <c r="F657" i="1"/>
  <c r="D657" i="1"/>
  <c r="B657" i="1"/>
  <c r="I657" i="1" s="1"/>
  <c r="G661" i="1"/>
  <c r="E661" i="1"/>
  <c r="C661" i="1"/>
  <c r="H661" i="1"/>
  <c r="F661" i="1"/>
  <c r="D661" i="1"/>
  <c r="B661" i="1"/>
  <c r="I661" i="1" s="1"/>
  <c r="G664" i="1"/>
  <c r="E664" i="1"/>
  <c r="C664" i="1"/>
  <c r="H664" i="1"/>
  <c r="F664" i="1"/>
  <c r="D664" i="1"/>
  <c r="B664" i="1"/>
  <c r="I664" i="1" s="1"/>
  <c r="G668" i="1"/>
  <c r="E668" i="1"/>
  <c r="C668" i="1"/>
  <c r="H668" i="1"/>
  <c r="F668" i="1"/>
  <c r="D668" i="1"/>
  <c r="B668" i="1"/>
  <c r="I668" i="1" s="1"/>
  <c r="G672" i="1"/>
  <c r="E672" i="1"/>
  <c r="C672" i="1"/>
  <c r="H672" i="1"/>
  <c r="F672" i="1"/>
  <c r="D672" i="1"/>
  <c r="B672" i="1"/>
  <c r="I672" i="1" s="1"/>
  <c r="G676" i="1"/>
  <c r="E676" i="1"/>
  <c r="C676" i="1"/>
  <c r="H676" i="1"/>
  <c r="F676" i="1"/>
  <c r="D676" i="1"/>
  <c r="B676" i="1"/>
  <c r="I676" i="1" s="1"/>
  <c r="G679" i="1"/>
  <c r="E679" i="1"/>
  <c r="C679" i="1"/>
  <c r="H679" i="1"/>
  <c r="F679" i="1"/>
  <c r="D679" i="1"/>
  <c r="B679" i="1"/>
  <c r="I679" i="1" s="1"/>
  <c r="G683" i="1"/>
  <c r="E683" i="1"/>
  <c r="C683" i="1"/>
  <c r="H683" i="1"/>
  <c r="F683" i="1"/>
  <c r="D683" i="1"/>
  <c r="B683" i="1"/>
  <c r="I683" i="1" s="1"/>
  <c r="G687" i="1"/>
  <c r="E687" i="1"/>
  <c r="C687" i="1"/>
  <c r="H687" i="1"/>
  <c r="F687" i="1"/>
  <c r="D687" i="1"/>
  <c r="B687" i="1"/>
  <c r="I687" i="1" s="1"/>
  <c r="G691" i="1"/>
  <c r="E691" i="1"/>
  <c r="C691" i="1"/>
  <c r="H691" i="1"/>
  <c r="F691" i="1"/>
  <c r="D691" i="1"/>
  <c r="B691" i="1"/>
  <c r="I691" i="1" s="1"/>
  <c r="G694" i="1"/>
  <c r="E694" i="1"/>
  <c r="C694" i="1"/>
  <c r="H694" i="1"/>
  <c r="F694" i="1"/>
  <c r="D694" i="1"/>
  <c r="B694" i="1"/>
  <c r="I694" i="1" s="1"/>
  <c r="G698" i="1"/>
  <c r="E698" i="1"/>
  <c r="C698" i="1"/>
  <c r="H698" i="1"/>
  <c r="F698" i="1"/>
  <c r="D698" i="1"/>
  <c r="B698" i="1"/>
  <c r="I698" i="1" s="1"/>
  <c r="G702" i="1"/>
  <c r="E702" i="1"/>
  <c r="C702" i="1"/>
  <c r="H702" i="1"/>
  <c r="F702" i="1"/>
  <c r="D702" i="1"/>
  <c r="B702" i="1"/>
  <c r="I702" i="1" s="1"/>
  <c r="G706" i="1"/>
  <c r="E706" i="1"/>
  <c r="C706" i="1"/>
  <c r="H706" i="1"/>
  <c r="F706" i="1"/>
  <c r="D706" i="1"/>
  <c r="B706" i="1"/>
  <c r="I706" i="1" s="1"/>
  <c r="G710" i="1"/>
  <c r="E710" i="1"/>
  <c r="C710" i="1"/>
  <c r="H710" i="1"/>
  <c r="F710" i="1"/>
  <c r="D710" i="1"/>
  <c r="B710" i="1"/>
  <c r="I710" i="1" s="1"/>
  <c r="G714" i="1"/>
  <c r="E714" i="1"/>
  <c r="C714" i="1"/>
  <c r="H714" i="1"/>
  <c r="F714" i="1"/>
  <c r="D714" i="1"/>
  <c r="B714" i="1"/>
  <c r="I714" i="1" s="1"/>
  <c r="G717" i="1"/>
  <c r="E717" i="1"/>
  <c r="C717" i="1"/>
  <c r="H717" i="1"/>
  <c r="F717" i="1"/>
  <c r="D717" i="1"/>
  <c r="B717" i="1"/>
  <c r="I717" i="1" s="1"/>
  <c r="G721" i="1"/>
  <c r="E721" i="1"/>
  <c r="C721" i="1"/>
  <c r="H721" i="1"/>
  <c r="F721" i="1"/>
  <c r="D721" i="1"/>
  <c r="B721" i="1"/>
  <c r="I721" i="1" s="1"/>
  <c r="G724" i="1"/>
  <c r="E724" i="1"/>
  <c r="C724" i="1"/>
  <c r="H724" i="1"/>
  <c r="F724" i="1"/>
  <c r="D724" i="1"/>
  <c r="B724" i="1"/>
  <c r="I724" i="1" s="1"/>
  <c r="G728" i="1"/>
  <c r="E728" i="1"/>
  <c r="C728" i="1"/>
  <c r="H728" i="1"/>
  <c r="F728" i="1"/>
  <c r="D728" i="1"/>
  <c r="B728" i="1"/>
  <c r="I728" i="1" s="1"/>
  <c r="G732" i="1"/>
  <c r="E732" i="1"/>
  <c r="C732" i="1"/>
  <c r="H732" i="1"/>
  <c r="F732" i="1"/>
  <c r="D732" i="1"/>
  <c r="B732" i="1"/>
  <c r="I732" i="1" s="1"/>
  <c r="G736" i="1"/>
  <c r="E736" i="1"/>
  <c r="C736" i="1"/>
  <c r="H736" i="1"/>
  <c r="F736" i="1"/>
  <c r="D736" i="1"/>
  <c r="B736" i="1"/>
  <c r="I736" i="1" s="1"/>
  <c r="G740" i="1"/>
  <c r="E740" i="1"/>
  <c r="C740" i="1"/>
  <c r="H740" i="1"/>
  <c r="F740" i="1"/>
  <c r="D740" i="1"/>
  <c r="B740" i="1"/>
  <c r="I740" i="1" s="1"/>
  <c r="G743" i="1"/>
  <c r="E743" i="1"/>
  <c r="C743" i="1"/>
  <c r="H743" i="1"/>
  <c r="F743" i="1"/>
  <c r="D743" i="1"/>
  <c r="B743" i="1"/>
  <c r="I743" i="1" s="1"/>
  <c r="G747" i="1"/>
  <c r="E747" i="1"/>
  <c r="C747" i="1"/>
  <c r="H747" i="1"/>
  <c r="F747" i="1"/>
  <c r="D747" i="1"/>
  <c r="B747" i="1"/>
  <c r="I747" i="1" s="1"/>
  <c r="G751" i="1"/>
  <c r="E751" i="1"/>
  <c r="C751" i="1"/>
  <c r="H751" i="1"/>
  <c r="F751" i="1"/>
  <c r="D751" i="1"/>
  <c r="B751" i="1"/>
  <c r="I751" i="1" s="1"/>
  <c r="G757" i="1"/>
  <c r="E757" i="1"/>
  <c r="C757" i="1"/>
  <c r="H757" i="1"/>
  <c r="F757" i="1"/>
  <c r="D757" i="1"/>
  <c r="B757" i="1"/>
  <c r="I757" i="1" s="1"/>
  <c r="G760" i="1"/>
  <c r="E760" i="1"/>
  <c r="C760" i="1"/>
  <c r="H760" i="1"/>
  <c r="F760" i="1"/>
  <c r="D760" i="1"/>
  <c r="B760" i="1"/>
  <c r="I760" i="1" s="1"/>
  <c r="G764" i="1"/>
  <c r="E764" i="1"/>
  <c r="C764" i="1"/>
  <c r="H764" i="1"/>
  <c r="F764" i="1"/>
  <c r="D764" i="1"/>
  <c r="B764" i="1"/>
  <c r="I764" i="1" s="1"/>
  <c r="G768" i="1"/>
  <c r="E768" i="1"/>
  <c r="C768" i="1"/>
  <c r="H768" i="1"/>
  <c r="F768" i="1"/>
  <c r="D768" i="1"/>
  <c r="B768" i="1"/>
  <c r="I768" i="1" s="1"/>
  <c r="G772" i="1"/>
  <c r="E772" i="1"/>
  <c r="C772" i="1"/>
  <c r="H772" i="1"/>
  <c r="F772" i="1"/>
  <c r="D772" i="1"/>
  <c r="B772" i="1"/>
  <c r="I772" i="1" s="1"/>
  <c r="G776" i="1"/>
  <c r="E776" i="1"/>
  <c r="C776" i="1"/>
  <c r="H776" i="1"/>
  <c r="F776" i="1"/>
  <c r="D776" i="1"/>
  <c r="B776" i="1"/>
  <c r="I776" i="1" s="1"/>
  <c r="G779" i="1"/>
  <c r="E779" i="1"/>
  <c r="C779" i="1"/>
  <c r="H779" i="1"/>
  <c r="F779" i="1"/>
  <c r="D779" i="1"/>
  <c r="B779" i="1"/>
  <c r="I779" i="1" s="1"/>
  <c r="G783" i="1"/>
  <c r="E783" i="1"/>
  <c r="C783" i="1"/>
  <c r="H783" i="1"/>
  <c r="F783" i="1"/>
  <c r="D783" i="1"/>
  <c r="B783" i="1"/>
  <c r="I783" i="1" s="1"/>
  <c r="G787" i="1"/>
  <c r="E787" i="1"/>
  <c r="C787" i="1"/>
  <c r="H787" i="1"/>
  <c r="F787" i="1"/>
  <c r="D787" i="1"/>
  <c r="B787" i="1"/>
  <c r="I787" i="1" s="1"/>
  <c r="G791" i="1"/>
  <c r="E791" i="1"/>
  <c r="C791" i="1"/>
  <c r="B791" i="1"/>
  <c r="I791" i="1" s="1"/>
  <c r="H791" i="1"/>
  <c r="F791" i="1"/>
  <c r="D791" i="1"/>
  <c r="G795" i="1"/>
  <c r="E795" i="1"/>
  <c r="C795" i="1"/>
  <c r="H795" i="1"/>
  <c r="F795" i="1"/>
  <c r="D795" i="1"/>
  <c r="B795" i="1"/>
  <c r="I795" i="1" s="1"/>
  <c r="G799" i="1"/>
  <c r="E799" i="1"/>
  <c r="C799" i="1"/>
  <c r="H799" i="1"/>
  <c r="F799" i="1"/>
  <c r="D799" i="1"/>
  <c r="B799" i="1"/>
  <c r="I799" i="1" s="1"/>
  <c r="G802" i="1"/>
  <c r="E802" i="1"/>
  <c r="C802" i="1"/>
  <c r="H802" i="1"/>
  <c r="F802" i="1"/>
  <c r="D802" i="1"/>
  <c r="B802" i="1"/>
  <c r="I802" i="1" s="1"/>
  <c r="G806" i="1"/>
  <c r="E806" i="1"/>
  <c r="C806" i="1"/>
  <c r="H806" i="1"/>
  <c r="F806" i="1"/>
  <c r="D806" i="1"/>
  <c r="B806" i="1"/>
  <c r="I806" i="1" s="1"/>
  <c r="G810" i="1"/>
  <c r="E810" i="1"/>
  <c r="C810" i="1"/>
  <c r="H810" i="1"/>
  <c r="F810" i="1"/>
  <c r="D810" i="1"/>
  <c r="B810" i="1"/>
  <c r="I810" i="1" s="1"/>
  <c r="G814" i="1"/>
  <c r="E814" i="1"/>
  <c r="C814" i="1"/>
  <c r="H814" i="1"/>
  <c r="F814" i="1"/>
  <c r="D814" i="1"/>
  <c r="B814" i="1"/>
  <c r="I814" i="1" s="1"/>
  <c r="G818" i="1"/>
  <c r="E818" i="1"/>
  <c r="C818" i="1"/>
  <c r="H818" i="1"/>
  <c r="F818" i="1"/>
  <c r="D818" i="1"/>
  <c r="B818" i="1"/>
  <c r="I818" i="1" s="1"/>
  <c r="G822" i="1"/>
  <c r="E822" i="1"/>
  <c r="C822" i="1"/>
  <c r="H822" i="1"/>
  <c r="F822" i="1"/>
  <c r="D822" i="1"/>
  <c r="B822" i="1"/>
  <c r="I822" i="1" s="1"/>
  <c r="G825" i="1"/>
  <c r="E825" i="1"/>
  <c r="C825" i="1"/>
  <c r="H825" i="1"/>
  <c r="F825" i="1"/>
  <c r="D825" i="1"/>
  <c r="B825" i="1"/>
  <c r="I825" i="1" s="1"/>
  <c r="G829" i="1"/>
  <c r="E829" i="1"/>
  <c r="C829" i="1"/>
  <c r="H829" i="1"/>
  <c r="F829" i="1"/>
  <c r="D829" i="1"/>
  <c r="B829" i="1"/>
  <c r="I829" i="1" s="1"/>
  <c r="G833" i="1"/>
  <c r="E833" i="1"/>
  <c r="C833" i="1"/>
  <c r="H833" i="1"/>
  <c r="F833" i="1"/>
  <c r="D833" i="1"/>
  <c r="B833" i="1"/>
  <c r="I833" i="1" s="1"/>
  <c r="G836" i="1"/>
  <c r="E836" i="1"/>
  <c r="C836" i="1"/>
  <c r="H836" i="1"/>
  <c r="F836" i="1"/>
  <c r="D836" i="1"/>
  <c r="B836" i="1"/>
  <c r="I836" i="1" s="1"/>
  <c r="G840" i="1"/>
  <c r="E840" i="1"/>
  <c r="C840" i="1"/>
  <c r="H840" i="1"/>
  <c r="F840" i="1"/>
  <c r="D840" i="1"/>
  <c r="B840" i="1"/>
  <c r="I840" i="1" s="1"/>
  <c r="G844" i="1"/>
  <c r="E844" i="1"/>
  <c r="C844" i="1"/>
  <c r="D844" i="1"/>
  <c r="H844" i="1"/>
  <c r="F844" i="1"/>
  <c r="B844" i="1"/>
  <c r="I844" i="1" s="1"/>
  <c r="G848" i="1"/>
  <c r="E848" i="1"/>
  <c r="C848" i="1"/>
  <c r="H848" i="1"/>
  <c r="F848" i="1"/>
  <c r="D848" i="1"/>
  <c r="B848" i="1"/>
  <c r="I848" i="1" s="1"/>
  <c r="G851" i="1"/>
  <c r="E851" i="1"/>
  <c r="C851" i="1"/>
  <c r="H851" i="1"/>
  <c r="F851" i="1"/>
  <c r="D851" i="1"/>
  <c r="B851" i="1"/>
  <c r="I851" i="1" s="1"/>
  <c r="G855" i="1"/>
  <c r="E855" i="1"/>
  <c r="C855" i="1"/>
  <c r="H855" i="1"/>
  <c r="F855" i="1"/>
  <c r="D855" i="1"/>
  <c r="B855" i="1"/>
  <c r="I855" i="1" s="1"/>
  <c r="G859" i="1"/>
  <c r="E859" i="1"/>
  <c r="C859" i="1"/>
  <c r="H859" i="1"/>
  <c r="F859" i="1"/>
  <c r="D859" i="1"/>
  <c r="B859" i="1"/>
  <c r="I859" i="1" s="1"/>
  <c r="G862" i="1"/>
  <c r="E862" i="1"/>
  <c r="C862" i="1"/>
  <c r="B862" i="1"/>
  <c r="I862" i="1" s="1"/>
  <c r="H862" i="1"/>
  <c r="F862" i="1"/>
  <c r="D862" i="1"/>
  <c r="G866" i="1"/>
  <c r="E866" i="1"/>
  <c r="C866" i="1"/>
  <c r="H866" i="1"/>
  <c r="F866" i="1"/>
  <c r="D866" i="1"/>
  <c r="B866" i="1"/>
  <c r="I866" i="1" s="1"/>
  <c r="G870" i="1"/>
  <c r="E870" i="1"/>
  <c r="C870" i="1"/>
  <c r="H870" i="1"/>
  <c r="F870" i="1"/>
  <c r="D870" i="1"/>
  <c r="B870" i="1"/>
  <c r="I870" i="1" s="1"/>
  <c r="G874" i="1"/>
  <c r="E874" i="1"/>
  <c r="C874" i="1"/>
  <c r="H874" i="1"/>
  <c r="F874" i="1"/>
  <c r="D874" i="1"/>
  <c r="B874" i="1"/>
  <c r="I874" i="1" s="1"/>
  <c r="G878" i="1"/>
  <c r="E878" i="1"/>
  <c r="C878" i="1"/>
  <c r="H878" i="1"/>
  <c r="F878" i="1"/>
  <c r="D878" i="1"/>
  <c r="B878" i="1"/>
  <c r="I878" i="1" s="1"/>
  <c r="G882" i="1"/>
  <c r="E882" i="1"/>
  <c r="C882" i="1"/>
  <c r="H882" i="1"/>
  <c r="F882" i="1"/>
  <c r="D882" i="1"/>
  <c r="B882" i="1"/>
  <c r="I882" i="1" s="1"/>
  <c r="G886" i="1"/>
  <c r="E886" i="1"/>
  <c r="C886" i="1"/>
  <c r="H886" i="1"/>
  <c r="F886" i="1"/>
  <c r="D886" i="1"/>
  <c r="B886" i="1"/>
  <c r="I886" i="1" s="1"/>
  <c r="G890" i="1"/>
  <c r="E890" i="1"/>
  <c r="C890" i="1"/>
  <c r="H890" i="1"/>
  <c r="F890" i="1"/>
  <c r="D890" i="1"/>
  <c r="B890" i="1"/>
  <c r="I890" i="1" s="1"/>
  <c r="G896" i="1"/>
  <c r="E896" i="1"/>
  <c r="C896" i="1"/>
  <c r="H896" i="1"/>
  <c r="F896" i="1"/>
  <c r="D896" i="1"/>
  <c r="B896" i="1"/>
  <c r="I896" i="1" s="1"/>
  <c r="G900" i="1"/>
  <c r="E900" i="1"/>
  <c r="C900" i="1"/>
  <c r="H900" i="1"/>
  <c r="F900" i="1"/>
  <c r="D900" i="1"/>
  <c r="B900" i="1"/>
  <c r="I900" i="1" s="1"/>
  <c r="G904" i="1"/>
  <c r="E904" i="1"/>
  <c r="C904" i="1"/>
  <c r="H904" i="1"/>
  <c r="F904" i="1"/>
  <c r="D904" i="1"/>
  <c r="B904" i="1"/>
  <c r="I904" i="1" s="1"/>
  <c r="G907" i="1"/>
  <c r="E907" i="1"/>
  <c r="C907" i="1"/>
  <c r="H907" i="1"/>
  <c r="F907" i="1"/>
  <c r="D907" i="1"/>
  <c r="B907" i="1"/>
  <c r="I907" i="1" s="1"/>
  <c r="G911" i="1"/>
  <c r="E911" i="1"/>
  <c r="C911" i="1"/>
  <c r="H911" i="1"/>
  <c r="F911" i="1"/>
  <c r="D911" i="1"/>
  <c r="B911" i="1"/>
  <c r="I911" i="1" s="1"/>
  <c r="G914" i="1"/>
  <c r="E914" i="1"/>
  <c r="C914" i="1"/>
  <c r="H914" i="1"/>
  <c r="F914" i="1"/>
  <c r="D914" i="1"/>
  <c r="B914" i="1"/>
  <c r="I914" i="1" s="1"/>
  <c r="G918" i="1"/>
  <c r="E918" i="1"/>
  <c r="C918" i="1"/>
  <c r="H918" i="1"/>
  <c r="F918" i="1"/>
  <c r="D918" i="1"/>
  <c r="B918" i="1"/>
  <c r="I918" i="1" s="1"/>
  <c r="G921" i="1"/>
  <c r="E921" i="1"/>
  <c r="C921" i="1"/>
  <c r="B921" i="1"/>
  <c r="I921" i="1" s="1"/>
  <c r="H921" i="1"/>
  <c r="F921" i="1"/>
  <c r="D921" i="1"/>
  <c r="G925" i="1"/>
  <c r="E925" i="1"/>
  <c r="C925" i="1"/>
  <c r="H925" i="1"/>
  <c r="F925" i="1"/>
  <c r="D925" i="1"/>
  <c r="B925" i="1"/>
  <c r="I925" i="1" s="1"/>
  <c r="G929" i="1"/>
  <c r="E929" i="1"/>
  <c r="C929" i="1"/>
  <c r="H929" i="1"/>
  <c r="F929" i="1"/>
  <c r="D929" i="1"/>
  <c r="B929" i="1"/>
  <c r="I929" i="1" s="1"/>
  <c r="G932" i="1"/>
  <c r="E932" i="1"/>
  <c r="C932" i="1"/>
  <c r="H932" i="1"/>
  <c r="F932" i="1"/>
  <c r="D932" i="1"/>
  <c r="B932" i="1"/>
  <c r="I932" i="1" s="1"/>
  <c r="G936" i="1"/>
  <c r="E936" i="1"/>
  <c r="C936" i="1"/>
  <c r="H936" i="1"/>
  <c r="F936" i="1"/>
  <c r="D936" i="1"/>
  <c r="B936" i="1"/>
  <c r="I936" i="1" s="1"/>
  <c r="G940" i="1"/>
  <c r="E940" i="1"/>
  <c r="C940" i="1"/>
  <c r="H940" i="1"/>
  <c r="F940" i="1"/>
  <c r="D940" i="1"/>
  <c r="B940" i="1"/>
  <c r="I940" i="1" s="1"/>
  <c r="G943" i="1"/>
  <c r="E943" i="1"/>
  <c r="C943" i="1"/>
  <c r="H943" i="1"/>
  <c r="F943" i="1"/>
  <c r="D943" i="1"/>
  <c r="B943" i="1"/>
  <c r="I943" i="1" s="1"/>
  <c r="G947" i="1"/>
  <c r="E947" i="1"/>
  <c r="C947" i="1"/>
  <c r="H947" i="1"/>
  <c r="F947" i="1"/>
  <c r="D947" i="1"/>
  <c r="B947" i="1"/>
  <c r="I947" i="1" s="1"/>
  <c r="G951" i="1"/>
  <c r="E951" i="1"/>
  <c r="C951" i="1"/>
  <c r="H951" i="1"/>
  <c r="F951" i="1"/>
  <c r="D951" i="1"/>
  <c r="B951" i="1"/>
  <c r="I951" i="1" s="1"/>
  <c r="G954" i="1"/>
  <c r="E954" i="1"/>
  <c r="C954" i="1"/>
  <c r="H954" i="1"/>
  <c r="F954" i="1"/>
  <c r="D954" i="1"/>
  <c r="B954" i="1"/>
  <c r="I954" i="1" s="1"/>
  <c r="G958" i="1"/>
  <c r="E958" i="1"/>
  <c r="C958" i="1"/>
  <c r="H958" i="1"/>
  <c r="F958" i="1"/>
  <c r="D958" i="1"/>
  <c r="B958" i="1"/>
  <c r="I958" i="1" s="1"/>
  <c r="G962" i="1"/>
  <c r="E962" i="1"/>
  <c r="C962" i="1"/>
  <c r="H962" i="1"/>
  <c r="F962" i="1"/>
  <c r="D962" i="1"/>
  <c r="B962" i="1"/>
  <c r="I962" i="1" s="1"/>
  <c r="G966" i="1"/>
  <c r="E966" i="1"/>
  <c r="C966" i="1"/>
  <c r="H966" i="1"/>
  <c r="F966" i="1"/>
  <c r="D966" i="1"/>
  <c r="B966" i="1"/>
  <c r="I966" i="1" s="1"/>
  <c r="G970" i="1"/>
  <c r="E970" i="1"/>
  <c r="C970" i="1"/>
  <c r="H970" i="1"/>
  <c r="F970" i="1"/>
  <c r="D970" i="1"/>
  <c r="B970" i="1"/>
  <c r="I970" i="1" s="1"/>
  <c r="G974" i="1"/>
  <c r="E974" i="1"/>
  <c r="C974" i="1"/>
  <c r="H974" i="1"/>
  <c r="F974" i="1"/>
  <c r="D974" i="1"/>
  <c r="B974" i="1"/>
  <c r="I974" i="1" s="1"/>
  <c r="G977" i="1"/>
  <c r="E977" i="1"/>
  <c r="C977" i="1"/>
  <c r="H977" i="1"/>
  <c r="F977" i="1"/>
  <c r="D977" i="1"/>
  <c r="B977" i="1"/>
  <c r="I977" i="1" s="1"/>
  <c r="G982" i="1"/>
  <c r="E982" i="1"/>
  <c r="C982" i="1"/>
  <c r="H982" i="1"/>
  <c r="F982" i="1"/>
  <c r="D982" i="1"/>
  <c r="B982" i="1"/>
  <c r="I982" i="1" s="1"/>
  <c r="G987" i="1"/>
  <c r="E987" i="1"/>
  <c r="C987" i="1"/>
  <c r="H987" i="1"/>
  <c r="F987" i="1"/>
  <c r="D987" i="1"/>
  <c r="B987" i="1"/>
  <c r="I987" i="1" s="1"/>
  <c r="G991" i="1"/>
  <c r="E991" i="1"/>
  <c r="C991" i="1"/>
  <c r="H991" i="1"/>
  <c r="F991" i="1"/>
  <c r="D991" i="1"/>
  <c r="B991" i="1"/>
  <c r="I991" i="1" s="1"/>
  <c r="G994" i="1"/>
  <c r="E994" i="1"/>
  <c r="C994" i="1"/>
  <c r="H994" i="1"/>
  <c r="F994" i="1"/>
  <c r="D994" i="1"/>
  <c r="B994" i="1"/>
  <c r="I994" i="1" s="1"/>
  <c r="G998" i="1"/>
  <c r="E998" i="1"/>
  <c r="C998" i="1"/>
  <c r="H998" i="1"/>
  <c r="F998" i="1"/>
  <c r="D998" i="1"/>
  <c r="B998" i="1"/>
  <c r="I998" i="1" s="1"/>
  <c r="G1001" i="1"/>
  <c r="E1001" i="1"/>
  <c r="C1001" i="1"/>
  <c r="H1001" i="1"/>
  <c r="F1001" i="1"/>
  <c r="D1001" i="1"/>
  <c r="B1001" i="1"/>
  <c r="I1001" i="1" s="1"/>
  <c r="G1005" i="1"/>
  <c r="E1005" i="1"/>
  <c r="C1005" i="1"/>
  <c r="H1005" i="1"/>
  <c r="F1005" i="1"/>
  <c r="D1005" i="1"/>
  <c r="B1005" i="1"/>
  <c r="I1005" i="1" s="1"/>
  <c r="G1009" i="1"/>
  <c r="E1009" i="1"/>
  <c r="C1009" i="1"/>
  <c r="H1009" i="1"/>
  <c r="F1009" i="1"/>
  <c r="D1009" i="1"/>
  <c r="B1009" i="1"/>
  <c r="I1009" i="1" s="1"/>
  <c r="G1012" i="1"/>
  <c r="E1012" i="1"/>
  <c r="C1012" i="1"/>
  <c r="H1012" i="1"/>
  <c r="F1012" i="1"/>
  <c r="D1012" i="1"/>
  <c r="B1012" i="1"/>
  <c r="I1012" i="1" s="1"/>
  <c r="G1016" i="1"/>
  <c r="E1016" i="1"/>
  <c r="C1016" i="1"/>
  <c r="H1016" i="1"/>
  <c r="F1016" i="1"/>
  <c r="D1016" i="1"/>
  <c r="B1016" i="1"/>
  <c r="I1016" i="1" s="1"/>
  <c r="G1020" i="1"/>
  <c r="E1020" i="1"/>
  <c r="C1020" i="1"/>
  <c r="H1020" i="1"/>
  <c r="F1020" i="1"/>
  <c r="D1020" i="1"/>
  <c r="B1020" i="1"/>
  <c r="I1020" i="1" s="1"/>
  <c r="G1024" i="1"/>
  <c r="E1024" i="1"/>
  <c r="C1024" i="1"/>
  <c r="H1024" i="1"/>
  <c r="F1024" i="1"/>
  <c r="D1024" i="1"/>
  <c r="B1024" i="1"/>
  <c r="I1024" i="1" s="1"/>
  <c r="G1028" i="1"/>
  <c r="E1028" i="1"/>
  <c r="C1028" i="1"/>
  <c r="H1028" i="1"/>
  <c r="F1028" i="1"/>
  <c r="D1028" i="1"/>
  <c r="B1028" i="1"/>
  <c r="I1028" i="1" s="1"/>
  <c r="G1032" i="1"/>
  <c r="E1032" i="1"/>
  <c r="C1032" i="1"/>
  <c r="H1032" i="1"/>
  <c r="F1032" i="1"/>
  <c r="D1032" i="1"/>
  <c r="B1032" i="1"/>
  <c r="I1032" i="1" s="1"/>
  <c r="G1036" i="1"/>
  <c r="E1036" i="1"/>
  <c r="C1036" i="1"/>
  <c r="H1036" i="1"/>
  <c r="F1036" i="1"/>
  <c r="D1036" i="1"/>
  <c r="B1036" i="1"/>
  <c r="I1036" i="1" s="1"/>
  <c r="G1042" i="1"/>
  <c r="E1042" i="1"/>
  <c r="C1042" i="1"/>
  <c r="H1042" i="1"/>
  <c r="F1042" i="1"/>
  <c r="D1042" i="1"/>
  <c r="B1042" i="1"/>
  <c r="I1042" i="1" s="1"/>
  <c r="G1045" i="1"/>
  <c r="E1045" i="1"/>
  <c r="C1045" i="1"/>
  <c r="H1045" i="1"/>
  <c r="F1045" i="1"/>
  <c r="D1045" i="1"/>
  <c r="B1045" i="1"/>
  <c r="I1045" i="1" s="1"/>
  <c r="G1049" i="1"/>
  <c r="E1049" i="1"/>
  <c r="C1049" i="1"/>
  <c r="H1049" i="1"/>
  <c r="F1049" i="1"/>
  <c r="D1049" i="1"/>
  <c r="B1049" i="1"/>
  <c r="I1049" i="1" s="1"/>
  <c r="G1053" i="1"/>
  <c r="E1053" i="1"/>
  <c r="C1053" i="1"/>
  <c r="H1053" i="1"/>
  <c r="F1053" i="1"/>
  <c r="D1053" i="1"/>
  <c r="B1053" i="1"/>
  <c r="I1053" i="1" s="1"/>
  <c r="G1058" i="1"/>
  <c r="E1058" i="1"/>
  <c r="C1058" i="1"/>
  <c r="H1058" i="1"/>
  <c r="F1058" i="1"/>
  <c r="D1058" i="1"/>
  <c r="B1058" i="1"/>
  <c r="I1058" i="1" s="1"/>
  <c r="G1061" i="1"/>
  <c r="E1061" i="1"/>
  <c r="C1061" i="1"/>
  <c r="H1061" i="1"/>
  <c r="F1061" i="1"/>
  <c r="D1061" i="1"/>
  <c r="B1061" i="1"/>
  <c r="I1061" i="1" s="1"/>
  <c r="G1065" i="1"/>
  <c r="E1065" i="1"/>
  <c r="C1065" i="1"/>
  <c r="H1065" i="1"/>
  <c r="F1065" i="1"/>
  <c r="D1065" i="1"/>
  <c r="B1065" i="1"/>
  <c r="I1065" i="1" s="1"/>
  <c r="G1069" i="1"/>
  <c r="E1069" i="1"/>
  <c r="C1069" i="1"/>
  <c r="H1069" i="1"/>
  <c r="F1069" i="1"/>
  <c r="D1069" i="1"/>
  <c r="B1069" i="1"/>
  <c r="I1069" i="1" s="1"/>
  <c r="G1072" i="1"/>
  <c r="E1072" i="1"/>
  <c r="C1072" i="1"/>
  <c r="H1072" i="1"/>
  <c r="F1072" i="1"/>
  <c r="D1072" i="1"/>
  <c r="B1072" i="1"/>
  <c r="I1072" i="1" s="1"/>
  <c r="G1076" i="1"/>
  <c r="E1076" i="1"/>
  <c r="C1076" i="1"/>
  <c r="H1076" i="1"/>
  <c r="F1076" i="1"/>
  <c r="D1076" i="1"/>
  <c r="B1076" i="1"/>
  <c r="I1076" i="1" s="1"/>
  <c r="G1080" i="1"/>
  <c r="E1080" i="1"/>
  <c r="C1080" i="1"/>
  <c r="H1080" i="1"/>
  <c r="F1080" i="1"/>
  <c r="D1080" i="1"/>
  <c r="B1080" i="1"/>
  <c r="I1080" i="1" s="1"/>
  <c r="G1084" i="1"/>
  <c r="E1084" i="1"/>
  <c r="C1084" i="1"/>
  <c r="H1084" i="1"/>
  <c r="F1084" i="1"/>
  <c r="D1084" i="1"/>
  <c r="B1084" i="1"/>
  <c r="I1084" i="1" s="1"/>
  <c r="G1088" i="1"/>
  <c r="E1088" i="1"/>
  <c r="C1088" i="1"/>
  <c r="H1088" i="1"/>
  <c r="F1088" i="1"/>
  <c r="D1088" i="1"/>
  <c r="B1088" i="1"/>
  <c r="I1088" i="1" s="1"/>
  <c r="G1091" i="1"/>
  <c r="E1091" i="1"/>
  <c r="C1091" i="1"/>
  <c r="H1091" i="1"/>
  <c r="F1091" i="1"/>
  <c r="D1091" i="1"/>
  <c r="B1091" i="1"/>
  <c r="I1091" i="1" s="1"/>
  <c r="G1095" i="1"/>
  <c r="E1095" i="1"/>
  <c r="C1095" i="1"/>
  <c r="H1095" i="1"/>
  <c r="F1095" i="1"/>
  <c r="D1095" i="1"/>
  <c r="B1095" i="1"/>
  <c r="I1095" i="1" s="1"/>
  <c r="G1098" i="1"/>
  <c r="E1098" i="1"/>
  <c r="C1098" i="1"/>
  <c r="H1098" i="1"/>
  <c r="F1098" i="1"/>
  <c r="D1098" i="1"/>
  <c r="B1098" i="1"/>
  <c r="I1098" i="1" s="1"/>
  <c r="G1102" i="1"/>
  <c r="E1102" i="1"/>
  <c r="C1102" i="1"/>
  <c r="H1102" i="1"/>
  <c r="F1102" i="1"/>
  <c r="D1102" i="1"/>
  <c r="B1102" i="1"/>
  <c r="I1102" i="1" s="1"/>
  <c r="G1106" i="1"/>
  <c r="E1106" i="1"/>
  <c r="C1106" i="1"/>
  <c r="H1106" i="1"/>
  <c r="F1106" i="1"/>
  <c r="D1106" i="1"/>
  <c r="B1106" i="1"/>
  <c r="I1106" i="1" s="1"/>
  <c r="G1110" i="1"/>
  <c r="E1110" i="1"/>
  <c r="C1110" i="1"/>
  <c r="H1110" i="1"/>
  <c r="F1110" i="1"/>
  <c r="D1110" i="1"/>
  <c r="B1110" i="1"/>
  <c r="I1110" i="1" s="1"/>
  <c r="G1113" i="1"/>
  <c r="E1113" i="1"/>
  <c r="C1113" i="1"/>
  <c r="H1113" i="1"/>
  <c r="F1113" i="1"/>
  <c r="D1113" i="1"/>
  <c r="B1113" i="1"/>
  <c r="I1113" i="1" s="1"/>
  <c r="G1117" i="1"/>
  <c r="E1117" i="1"/>
  <c r="C1117" i="1"/>
  <c r="H1117" i="1"/>
  <c r="F1117" i="1"/>
  <c r="D1117" i="1"/>
  <c r="B1117" i="1"/>
  <c r="I1117" i="1" s="1"/>
  <c r="G1120" i="1"/>
  <c r="E1120" i="1"/>
  <c r="C1120" i="1"/>
  <c r="H1120" i="1"/>
  <c r="F1120" i="1"/>
  <c r="D1120" i="1"/>
  <c r="B1120" i="1"/>
  <c r="I1120" i="1" s="1"/>
  <c r="G1124" i="1"/>
  <c r="E1124" i="1"/>
  <c r="C1124" i="1"/>
  <c r="H1124" i="1"/>
  <c r="F1124" i="1"/>
  <c r="D1124" i="1"/>
  <c r="B1124" i="1"/>
  <c r="I1124" i="1" s="1"/>
  <c r="G1128" i="1"/>
  <c r="E1128" i="1"/>
  <c r="C1128" i="1"/>
  <c r="H1128" i="1"/>
  <c r="F1128" i="1"/>
  <c r="D1128" i="1"/>
  <c r="B1128" i="1"/>
  <c r="I1128" i="1" s="1"/>
  <c r="G1132" i="1"/>
  <c r="E1132" i="1"/>
  <c r="C1132" i="1"/>
  <c r="H1132" i="1"/>
  <c r="F1132" i="1"/>
  <c r="D1132" i="1"/>
  <c r="B1132" i="1"/>
  <c r="I1132" i="1" s="1"/>
  <c r="G1135" i="1"/>
  <c r="E1135" i="1"/>
  <c r="C1135" i="1"/>
  <c r="B1135" i="1"/>
  <c r="I1135" i="1" s="1"/>
  <c r="H1135" i="1"/>
  <c r="F1135" i="1"/>
  <c r="D1135" i="1"/>
  <c r="G1139" i="1"/>
  <c r="E1139" i="1"/>
  <c r="C1139" i="1"/>
  <c r="H1139" i="1"/>
  <c r="F1139" i="1"/>
  <c r="D1139" i="1"/>
  <c r="B1139" i="1"/>
  <c r="I1139" i="1" s="1"/>
  <c r="G1143" i="1"/>
  <c r="E1143" i="1"/>
  <c r="C1143" i="1"/>
  <c r="H1143" i="1"/>
  <c r="F1143" i="1"/>
  <c r="D1143" i="1"/>
  <c r="B1143" i="1"/>
  <c r="I1143" i="1" s="1"/>
  <c r="G1147" i="1"/>
  <c r="E1147" i="1"/>
  <c r="C1147" i="1"/>
  <c r="H1147" i="1"/>
  <c r="F1147" i="1"/>
  <c r="D1147" i="1"/>
  <c r="B1147" i="1"/>
  <c r="I1147" i="1" s="1"/>
  <c r="G1150" i="1"/>
  <c r="E1150" i="1"/>
  <c r="C1150" i="1"/>
  <c r="H1150" i="1"/>
  <c r="F1150" i="1"/>
  <c r="D1150" i="1"/>
  <c r="B1150" i="1"/>
  <c r="I1150" i="1" s="1"/>
  <c r="G1154" i="1"/>
  <c r="E1154" i="1"/>
  <c r="C1154" i="1"/>
  <c r="H1154" i="1"/>
  <c r="F1154" i="1"/>
  <c r="D1154" i="1"/>
  <c r="B1154" i="1"/>
  <c r="I1154" i="1" s="1"/>
  <c r="G1159" i="1"/>
  <c r="E1159" i="1"/>
  <c r="C1159" i="1"/>
  <c r="H1159" i="1"/>
  <c r="F1159" i="1"/>
  <c r="D1159" i="1"/>
  <c r="B1159" i="1"/>
  <c r="I1159" i="1" s="1"/>
  <c r="G17" i="1"/>
  <c r="E17" i="1"/>
  <c r="C17" i="1"/>
  <c r="H17" i="1"/>
  <c r="F17" i="1"/>
  <c r="D17" i="1"/>
  <c r="B17" i="1"/>
  <c r="I17" i="1" s="1"/>
  <c r="G25" i="1"/>
  <c r="E25" i="1"/>
  <c r="C25" i="1"/>
  <c r="H25" i="1"/>
  <c r="F25" i="1"/>
  <c r="D25" i="1"/>
  <c r="B25" i="1"/>
  <c r="G33" i="1"/>
  <c r="E33" i="1"/>
  <c r="C33" i="1"/>
  <c r="H33" i="1"/>
  <c r="F33" i="1"/>
  <c r="D33" i="1"/>
  <c r="B33" i="1"/>
  <c r="I33" i="1" s="1"/>
  <c r="G41" i="1"/>
  <c r="E41" i="1"/>
  <c r="C41" i="1"/>
  <c r="H41" i="1"/>
  <c r="F41" i="1"/>
  <c r="D41" i="1"/>
  <c r="B41" i="1"/>
  <c r="I41" i="1" s="1"/>
  <c r="G48" i="1"/>
  <c r="E48" i="1"/>
  <c r="C48" i="1"/>
  <c r="H48" i="1"/>
  <c r="F48" i="1"/>
  <c r="D48" i="1"/>
  <c r="B48" i="1"/>
  <c r="I48" i="1" s="1"/>
  <c r="G55" i="1"/>
  <c r="E55" i="1"/>
  <c r="C55" i="1"/>
  <c r="H55" i="1"/>
  <c r="F55" i="1"/>
  <c r="D55" i="1"/>
  <c r="B55" i="1"/>
  <c r="I55" i="1" s="1"/>
  <c r="G64" i="1"/>
  <c r="E64" i="1"/>
  <c r="C64" i="1"/>
  <c r="H64" i="1"/>
  <c r="F64" i="1"/>
  <c r="D64" i="1"/>
  <c r="B64" i="1"/>
  <c r="I64" i="1" s="1"/>
  <c r="G72" i="1"/>
  <c r="E72" i="1"/>
  <c r="C72" i="1"/>
  <c r="H72" i="1"/>
  <c r="F72" i="1"/>
  <c r="D72" i="1"/>
  <c r="B72" i="1"/>
  <c r="I72" i="1" s="1"/>
  <c r="G81" i="1"/>
  <c r="E81" i="1"/>
  <c r="C81" i="1"/>
  <c r="H81" i="1"/>
  <c r="F81" i="1"/>
  <c r="D81" i="1"/>
  <c r="B81" i="1"/>
  <c r="I81" i="1" s="1"/>
  <c r="G89" i="1"/>
  <c r="E89" i="1"/>
  <c r="C89" i="1"/>
  <c r="H89" i="1"/>
  <c r="F89" i="1"/>
  <c r="D89" i="1"/>
  <c r="B89" i="1"/>
  <c r="I89" i="1" s="1"/>
  <c r="G98" i="1"/>
  <c r="E98" i="1"/>
  <c r="C98" i="1"/>
  <c r="H98" i="1"/>
  <c r="F98" i="1"/>
  <c r="D98" i="1"/>
  <c r="B98" i="1"/>
  <c r="I98" i="1" s="1"/>
  <c r="G106" i="1"/>
  <c r="E106" i="1"/>
  <c r="C106" i="1"/>
  <c r="H106" i="1"/>
  <c r="F106" i="1"/>
  <c r="D106" i="1"/>
  <c r="B106" i="1"/>
  <c r="I106" i="1" s="1"/>
  <c r="G115" i="1"/>
  <c r="E115" i="1"/>
  <c r="C115" i="1"/>
  <c r="H115" i="1"/>
  <c r="F115" i="1"/>
  <c r="D115" i="1"/>
  <c r="B115" i="1"/>
  <c r="I115" i="1" s="1"/>
  <c r="G19" i="1"/>
  <c r="E19" i="1"/>
  <c r="C19" i="1"/>
  <c r="H19" i="1"/>
  <c r="F19" i="1"/>
  <c r="D19" i="1"/>
  <c r="B19" i="1"/>
  <c r="G23" i="1"/>
  <c r="E23" i="1"/>
  <c r="C23" i="1"/>
  <c r="H23" i="1"/>
  <c r="F23" i="1"/>
  <c r="D23" i="1"/>
  <c r="B23" i="1"/>
  <c r="G27" i="1"/>
  <c r="E27" i="1"/>
  <c r="C27" i="1"/>
  <c r="H27" i="1"/>
  <c r="F27" i="1"/>
  <c r="D27" i="1"/>
  <c r="B27" i="1"/>
  <c r="G31" i="1"/>
  <c r="E31" i="1"/>
  <c r="C31" i="1"/>
  <c r="H31" i="1"/>
  <c r="F31" i="1"/>
  <c r="D31" i="1"/>
  <c r="B31" i="1"/>
  <c r="I31" i="1" s="1"/>
  <c r="G35" i="1"/>
  <c r="E35" i="1"/>
  <c r="C35" i="1"/>
  <c r="H35" i="1"/>
  <c r="F35" i="1"/>
  <c r="D35" i="1"/>
  <c r="B35" i="1"/>
  <c r="I35" i="1" s="1"/>
  <c r="G39" i="1"/>
  <c r="E39" i="1"/>
  <c r="C39" i="1"/>
  <c r="H39" i="1"/>
  <c r="F39" i="1"/>
  <c r="D39" i="1"/>
  <c r="B39" i="1"/>
  <c r="I39" i="1" s="1"/>
  <c r="G43" i="1"/>
  <c r="E43" i="1"/>
  <c r="C43" i="1"/>
  <c r="H43" i="1"/>
  <c r="F43" i="1"/>
  <c r="D43" i="1"/>
  <c r="B43" i="1"/>
  <c r="I43" i="1" s="1"/>
  <c r="G46" i="1"/>
  <c r="E46" i="1"/>
  <c r="C46" i="1"/>
  <c r="H46" i="1"/>
  <c r="F46" i="1"/>
  <c r="D46" i="1"/>
  <c r="B46" i="1"/>
  <c r="I46" i="1" s="1"/>
  <c r="G50" i="1"/>
  <c r="E50" i="1"/>
  <c r="C50" i="1"/>
  <c r="H50" i="1"/>
  <c r="F50" i="1"/>
  <c r="D50" i="1"/>
  <c r="B50" i="1"/>
  <c r="I50" i="1" s="1"/>
  <c r="G54" i="1"/>
  <c r="E54" i="1"/>
  <c r="C54" i="1"/>
  <c r="H54" i="1"/>
  <c r="F54" i="1"/>
  <c r="D54" i="1"/>
  <c r="B54" i="1"/>
  <c r="I54" i="1" s="1"/>
  <c r="G57" i="1"/>
  <c r="E57" i="1"/>
  <c r="C57" i="1"/>
  <c r="H57" i="1"/>
  <c r="F57" i="1"/>
  <c r="D57" i="1"/>
  <c r="B57" i="1"/>
  <c r="I57" i="1" s="1"/>
  <c r="G62" i="1"/>
  <c r="E62" i="1"/>
  <c r="C62" i="1"/>
  <c r="H62" i="1"/>
  <c r="F62" i="1"/>
  <c r="D62" i="1"/>
  <c r="B62" i="1"/>
  <c r="I62" i="1" s="1"/>
  <c r="G66" i="1"/>
  <c r="E66" i="1"/>
  <c r="C66" i="1"/>
  <c r="H66" i="1"/>
  <c r="F66" i="1"/>
  <c r="D66" i="1"/>
  <c r="B66" i="1"/>
  <c r="I66" i="1" s="1"/>
  <c r="G70" i="1"/>
  <c r="E70" i="1"/>
  <c r="C70" i="1"/>
  <c r="H70" i="1"/>
  <c r="F70" i="1"/>
  <c r="D70" i="1"/>
  <c r="B70" i="1"/>
  <c r="I70" i="1" s="1"/>
  <c r="G74" i="1"/>
  <c r="E74" i="1"/>
  <c r="C74" i="1"/>
  <c r="H74" i="1"/>
  <c r="F74" i="1"/>
  <c r="D74" i="1"/>
  <c r="B74" i="1"/>
  <c r="I74" i="1" s="1"/>
  <c r="G78" i="1"/>
  <c r="E78" i="1"/>
  <c r="C78" i="1"/>
  <c r="H78" i="1"/>
  <c r="F78" i="1"/>
  <c r="D78" i="1"/>
  <c r="B78" i="1"/>
  <c r="I78" i="1" s="1"/>
  <c r="G83" i="1"/>
  <c r="E83" i="1"/>
  <c r="C83" i="1"/>
  <c r="H83" i="1"/>
  <c r="F83" i="1"/>
  <c r="D83" i="1"/>
  <c r="B83" i="1"/>
  <c r="I83" i="1" s="1"/>
  <c r="G87" i="1"/>
  <c r="E87" i="1"/>
  <c r="C87" i="1"/>
  <c r="H87" i="1"/>
  <c r="F87" i="1"/>
  <c r="D87" i="1"/>
  <c r="B87" i="1"/>
  <c r="I87" i="1" s="1"/>
  <c r="G92" i="1"/>
  <c r="E92" i="1"/>
  <c r="C92" i="1"/>
  <c r="H92" i="1"/>
  <c r="F92" i="1"/>
  <c r="D92" i="1"/>
  <c r="B92" i="1"/>
  <c r="I92" i="1" s="1"/>
  <c r="G96" i="1"/>
  <c r="E96" i="1"/>
  <c r="C96" i="1"/>
  <c r="H96" i="1"/>
  <c r="F96" i="1"/>
  <c r="D96" i="1"/>
  <c r="B96" i="1"/>
  <c r="I96" i="1" s="1"/>
  <c r="G100" i="1"/>
  <c r="E100" i="1"/>
  <c r="C100" i="1"/>
  <c r="H100" i="1"/>
  <c r="F100" i="1"/>
  <c r="D100" i="1"/>
  <c r="B100" i="1"/>
  <c r="I100" i="1" s="1"/>
  <c r="G104" i="1"/>
  <c r="E104" i="1"/>
  <c r="C104" i="1"/>
  <c r="H104" i="1"/>
  <c r="F104" i="1"/>
  <c r="D104" i="1"/>
  <c r="B104" i="1"/>
  <c r="I104" i="1" s="1"/>
  <c r="G108" i="1"/>
  <c r="E108" i="1"/>
  <c r="C108" i="1"/>
  <c r="H108" i="1"/>
  <c r="F108" i="1"/>
  <c r="D108" i="1"/>
  <c r="B108" i="1"/>
  <c r="I108" i="1" s="1"/>
  <c r="G112" i="1"/>
  <c r="E112" i="1"/>
  <c r="C112" i="1"/>
  <c r="H112" i="1"/>
  <c r="F112" i="1"/>
  <c r="D112" i="1"/>
  <c r="B112" i="1"/>
  <c r="I112" i="1" s="1"/>
  <c r="G117" i="1"/>
  <c r="E117" i="1"/>
  <c r="C117" i="1"/>
  <c r="H117" i="1"/>
  <c r="F117" i="1"/>
  <c r="D117" i="1"/>
  <c r="B117" i="1"/>
  <c r="I117" i="1" s="1"/>
  <c r="G121" i="1"/>
  <c r="E121" i="1"/>
  <c r="C121" i="1"/>
  <c r="H121" i="1"/>
  <c r="F121" i="1"/>
  <c r="D121" i="1"/>
  <c r="B121" i="1"/>
  <c r="I121" i="1" s="1"/>
  <c r="G125" i="1"/>
  <c r="E125" i="1"/>
  <c r="C125" i="1"/>
  <c r="H125" i="1"/>
  <c r="F125" i="1"/>
  <c r="D125" i="1"/>
  <c r="B125" i="1"/>
  <c r="I125" i="1" s="1"/>
  <c r="G129" i="1"/>
  <c r="E129" i="1"/>
  <c r="C129" i="1"/>
  <c r="H129" i="1"/>
  <c r="F129" i="1"/>
  <c r="D129" i="1"/>
  <c r="B129" i="1"/>
  <c r="I129" i="1" s="1"/>
  <c r="G132" i="1"/>
  <c r="E132" i="1"/>
  <c r="C132" i="1"/>
  <c r="H132" i="1"/>
  <c r="F132" i="1"/>
  <c r="D132" i="1"/>
  <c r="B132" i="1"/>
  <c r="I132" i="1" s="1"/>
  <c r="G136" i="1"/>
  <c r="E136" i="1"/>
  <c r="C136" i="1"/>
  <c r="H136" i="1"/>
  <c r="F136" i="1"/>
  <c r="D136" i="1"/>
  <c r="B136" i="1"/>
  <c r="I136" i="1" s="1"/>
  <c r="G141" i="1"/>
  <c r="E141" i="1"/>
  <c r="C141" i="1"/>
  <c r="H141" i="1"/>
  <c r="F141" i="1"/>
  <c r="D141" i="1"/>
  <c r="B141" i="1"/>
  <c r="I141" i="1" s="1"/>
  <c r="G144" i="1"/>
  <c r="E144" i="1"/>
  <c r="C144" i="1"/>
  <c r="H144" i="1"/>
  <c r="F144" i="1"/>
  <c r="D144" i="1"/>
  <c r="B144" i="1"/>
  <c r="I144" i="1" s="1"/>
  <c r="G149" i="1"/>
  <c r="E149" i="1"/>
  <c r="C149" i="1"/>
  <c r="H149" i="1"/>
  <c r="F149" i="1"/>
  <c r="D149" i="1"/>
  <c r="B149" i="1"/>
  <c r="I149" i="1" s="1"/>
  <c r="G153" i="1"/>
  <c r="E153" i="1"/>
  <c r="C153" i="1"/>
  <c r="H153" i="1"/>
  <c r="F153" i="1"/>
  <c r="D153" i="1"/>
  <c r="B153" i="1"/>
  <c r="I153" i="1" s="1"/>
  <c r="G157" i="1"/>
  <c r="E157" i="1"/>
  <c r="C157" i="1"/>
  <c r="H157" i="1"/>
  <c r="F157" i="1"/>
  <c r="D157" i="1"/>
  <c r="B157" i="1"/>
  <c r="I157" i="1" s="1"/>
  <c r="G161" i="1"/>
  <c r="E161" i="1"/>
  <c r="C161" i="1"/>
  <c r="H161" i="1"/>
  <c r="F161" i="1"/>
  <c r="D161" i="1"/>
  <c r="B161" i="1"/>
  <c r="I161" i="1" s="1"/>
  <c r="G166" i="1"/>
  <c r="E166" i="1"/>
  <c r="C166" i="1"/>
  <c r="H166" i="1"/>
  <c r="F166" i="1"/>
  <c r="D166" i="1"/>
  <c r="B166" i="1"/>
  <c r="I166" i="1" s="1"/>
  <c r="G170" i="1"/>
  <c r="E170" i="1"/>
  <c r="C170" i="1"/>
  <c r="H170" i="1"/>
  <c r="F170" i="1"/>
  <c r="D170" i="1"/>
  <c r="B170" i="1"/>
  <c r="I170" i="1" s="1"/>
  <c r="G174" i="1"/>
  <c r="E174" i="1"/>
  <c r="C174" i="1"/>
  <c r="H174" i="1"/>
  <c r="F174" i="1"/>
  <c r="D174" i="1"/>
  <c r="B174" i="1"/>
  <c r="I174" i="1" s="1"/>
  <c r="G179" i="1"/>
  <c r="E179" i="1"/>
  <c r="C179" i="1"/>
  <c r="H179" i="1"/>
  <c r="F179" i="1"/>
  <c r="D179" i="1"/>
  <c r="B179" i="1"/>
  <c r="I179" i="1" s="1"/>
  <c r="G183" i="1"/>
  <c r="E183" i="1"/>
  <c r="C183" i="1"/>
  <c r="H183" i="1"/>
  <c r="F183" i="1"/>
  <c r="D183" i="1"/>
  <c r="B183" i="1"/>
  <c r="I183" i="1" s="1"/>
  <c r="G186" i="1"/>
  <c r="E186" i="1"/>
  <c r="C186" i="1"/>
  <c r="D186" i="1"/>
  <c r="H186" i="1"/>
  <c r="F186" i="1"/>
  <c r="B186" i="1"/>
  <c r="I186" i="1" s="1"/>
  <c r="G190" i="1"/>
  <c r="E190" i="1"/>
  <c r="C190" i="1"/>
  <c r="H190" i="1"/>
  <c r="F190" i="1"/>
  <c r="D190" i="1"/>
  <c r="B190" i="1"/>
  <c r="I190" i="1" s="1"/>
  <c r="G194" i="1"/>
  <c r="E194" i="1"/>
  <c r="C194" i="1"/>
  <c r="H194" i="1"/>
  <c r="F194" i="1"/>
  <c r="D194" i="1"/>
  <c r="B194" i="1"/>
  <c r="I194" i="1" s="1"/>
  <c r="G199" i="1"/>
  <c r="E199" i="1"/>
  <c r="C199" i="1"/>
  <c r="H199" i="1"/>
  <c r="F199" i="1"/>
  <c r="D199" i="1"/>
  <c r="B199" i="1"/>
  <c r="I199" i="1" s="1"/>
  <c r="G203" i="1"/>
  <c r="E203" i="1"/>
  <c r="C203" i="1"/>
  <c r="H203" i="1"/>
  <c r="F203" i="1"/>
  <c r="D203" i="1"/>
  <c r="B203" i="1"/>
  <c r="I203" i="1" s="1"/>
  <c r="G207" i="1"/>
  <c r="E207" i="1"/>
  <c r="C207" i="1"/>
  <c r="H207" i="1"/>
  <c r="F207" i="1"/>
  <c r="D207" i="1"/>
  <c r="B207" i="1"/>
  <c r="I207" i="1" s="1"/>
  <c r="G211" i="1"/>
  <c r="E211" i="1"/>
  <c r="C211" i="1"/>
  <c r="H211" i="1"/>
  <c r="F211" i="1"/>
  <c r="D211" i="1"/>
  <c r="B211" i="1"/>
  <c r="I211" i="1" s="1"/>
  <c r="G215" i="1"/>
  <c r="E215" i="1"/>
  <c r="C215" i="1"/>
  <c r="H215" i="1"/>
  <c r="F215" i="1"/>
  <c r="D215" i="1"/>
  <c r="B215" i="1"/>
  <c r="I215" i="1" s="1"/>
  <c r="G219" i="1"/>
  <c r="E219" i="1"/>
  <c r="C219" i="1"/>
  <c r="H219" i="1"/>
  <c r="F219" i="1"/>
  <c r="D219" i="1"/>
  <c r="B219" i="1"/>
  <c r="I219" i="1" s="1"/>
  <c r="G224" i="1"/>
  <c r="E224" i="1"/>
  <c r="C224" i="1"/>
  <c r="H224" i="1"/>
  <c r="F224" i="1"/>
  <c r="D224" i="1"/>
  <c r="B224" i="1"/>
  <c r="I224" i="1" s="1"/>
  <c r="G229" i="1"/>
  <c r="E229" i="1"/>
  <c r="C229" i="1"/>
  <c r="H229" i="1"/>
  <c r="F229" i="1"/>
  <c r="D229" i="1"/>
  <c r="B229" i="1"/>
  <c r="I229" i="1" s="1"/>
  <c r="G233" i="1"/>
  <c r="E233" i="1"/>
  <c r="C233" i="1"/>
  <c r="H233" i="1"/>
  <c r="F233" i="1"/>
  <c r="D233" i="1"/>
  <c r="B233" i="1"/>
  <c r="I233" i="1" s="1"/>
  <c r="G237" i="1"/>
  <c r="E237" i="1"/>
  <c r="C237" i="1"/>
  <c r="H237" i="1"/>
  <c r="F237" i="1"/>
  <c r="D237" i="1"/>
  <c r="B237" i="1"/>
  <c r="I237" i="1" s="1"/>
  <c r="G242" i="1"/>
  <c r="E242" i="1"/>
  <c r="C242" i="1"/>
  <c r="H242" i="1"/>
  <c r="F242" i="1"/>
  <c r="D242" i="1"/>
  <c r="B242" i="1"/>
  <c r="I242" i="1" s="1"/>
  <c r="G246" i="1"/>
  <c r="E246" i="1"/>
  <c r="C246" i="1"/>
  <c r="H246" i="1"/>
  <c r="F246" i="1"/>
  <c r="D246" i="1"/>
  <c r="B246" i="1"/>
  <c r="I246" i="1" s="1"/>
  <c r="G251" i="1"/>
  <c r="E251" i="1"/>
  <c r="C251" i="1"/>
  <c r="H251" i="1"/>
  <c r="F251" i="1"/>
  <c r="D251" i="1"/>
  <c r="B251" i="1"/>
  <c r="I251" i="1" s="1"/>
  <c r="G255" i="1"/>
  <c r="E255" i="1"/>
  <c r="C255" i="1"/>
  <c r="H255" i="1"/>
  <c r="F255" i="1"/>
  <c r="D255" i="1"/>
  <c r="B255" i="1"/>
  <c r="I255" i="1" s="1"/>
  <c r="G259" i="1"/>
  <c r="E259" i="1"/>
  <c r="C259" i="1"/>
  <c r="H259" i="1"/>
  <c r="F259" i="1"/>
  <c r="D259" i="1"/>
  <c r="B259" i="1"/>
  <c r="I259" i="1" s="1"/>
  <c r="G264" i="1"/>
  <c r="E264" i="1"/>
  <c r="C264" i="1"/>
  <c r="H264" i="1"/>
  <c r="F264" i="1"/>
  <c r="D264" i="1"/>
  <c r="B264" i="1"/>
  <c r="I264" i="1" s="1"/>
  <c r="G268" i="1"/>
  <c r="E268" i="1"/>
  <c r="C268" i="1"/>
  <c r="H268" i="1"/>
  <c r="F268" i="1"/>
  <c r="D268" i="1"/>
  <c r="B268" i="1"/>
  <c r="I268" i="1" s="1"/>
  <c r="G272" i="1"/>
  <c r="E272" i="1"/>
  <c r="C272" i="1"/>
  <c r="H272" i="1"/>
  <c r="F272" i="1"/>
  <c r="D272" i="1"/>
  <c r="B272" i="1"/>
  <c r="I272" i="1" s="1"/>
  <c r="G277" i="1"/>
  <c r="E277" i="1"/>
  <c r="C277" i="1"/>
  <c r="H277" i="1"/>
  <c r="F277" i="1"/>
  <c r="D277" i="1"/>
  <c r="B277" i="1"/>
  <c r="I277" i="1" s="1"/>
  <c r="G281" i="1"/>
  <c r="E281" i="1"/>
  <c r="C281" i="1"/>
  <c r="H281" i="1"/>
  <c r="F281" i="1"/>
  <c r="D281" i="1"/>
  <c r="B281" i="1"/>
  <c r="I281" i="1" s="1"/>
  <c r="G286" i="1"/>
  <c r="E286" i="1"/>
  <c r="C286" i="1"/>
  <c r="H286" i="1"/>
  <c r="F286" i="1"/>
  <c r="D286" i="1"/>
  <c r="B286" i="1"/>
  <c r="I286" i="1" s="1"/>
  <c r="G290" i="1"/>
  <c r="E290" i="1"/>
  <c r="C290" i="1"/>
  <c r="H290" i="1"/>
  <c r="F290" i="1"/>
  <c r="D290" i="1"/>
  <c r="B290" i="1"/>
  <c r="I290" i="1" s="1"/>
  <c r="G295" i="1"/>
  <c r="E295" i="1"/>
  <c r="C295" i="1"/>
  <c r="H295" i="1"/>
  <c r="F295" i="1"/>
  <c r="D295" i="1"/>
  <c r="B295" i="1"/>
  <c r="I295" i="1" s="1"/>
  <c r="G299" i="1"/>
  <c r="E299" i="1"/>
  <c r="C299" i="1"/>
  <c r="H299" i="1"/>
  <c r="F299" i="1"/>
  <c r="D299" i="1"/>
  <c r="B299" i="1"/>
  <c r="I299" i="1" s="1"/>
  <c r="G303" i="1"/>
  <c r="E303" i="1"/>
  <c r="C303" i="1"/>
  <c r="H303" i="1"/>
  <c r="F303" i="1"/>
  <c r="D303" i="1"/>
  <c r="B303" i="1"/>
  <c r="I303" i="1" s="1"/>
  <c r="G307" i="1"/>
  <c r="E307" i="1"/>
  <c r="C307" i="1"/>
  <c r="H307" i="1"/>
  <c r="F307" i="1"/>
  <c r="D307" i="1"/>
  <c r="B307" i="1"/>
  <c r="I307" i="1" s="1"/>
  <c r="G311" i="1"/>
  <c r="E311" i="1"/>
  <c r="C311" i="1"/>
  <c r="H311" i="1"/>
  <c r="F311" i="1"/>
  <c r="D311" i="1"/>
  <c r="B311" i="1"/>
  <c r="I311" i="1" s="1"/>
  <c r="G315" i="1"/>
  <c r="E315" i="1"/>
  <c r="C315" i="1"/>
  <c r="H315" i="1"/>
  <c r="F315" i="1"/>
  <c r="D315" i="1"/>
  <c r="B315" i="1"/>
  <c r="I315" i="1" s="1"/>
  <c r="G320" i="1"/>
  <c r="E320" i="1"/>
  <c r="C320" i="1"/>
  <c r="H320" i="1"/>
  <c r="F320" i="1"/>
  <c r="D320" i="1"/>
  <c r="B320" i="1"/>
  <c r="I320" i="1" s="1"/>
  <c r="G324" i="1"/>
  <c r="E324" i="1"/>
  <c r="C324" i="1"/>
  <c r="H324" i="1"/>
  <c r="F324" i="1"/>
  <c r="D324" i="1"/>
  <c r="B324" i="1"/>
  <c r="I324" i="1" s="1"/>
  <c r="G328" i="1"/>
  <c r="E328" i="1"/>
  <c r="C328" i="1"/>
  <c r="H328" i="1"/>
  <c r="F328" i="1"/>
  <c r="D328" i="1"/>
  <c r="B328" i="1"/>
  <c r="I328" i="1" s="1"/>
  <c r="G331" i="1"/>
  <c r="E331" i="1"/>
  <c r="C331" i="1"/>
  <c r="H331" i="1"/>
  <c r="F331" i="1"/>
  <c r="D331" i="1"/>
  <c r="B331" i="1"/>
  <c r="I331" i="1" s="1"/>
  <c r="G335" i="1"/>
  <c r="E335" i="1"/>
  <c r="C335" i="1"/>
  <c r="H335" i="1"/>
  <c r="F335" i="1"/>
  <c r="D335" i="1"/>
  <c r="B335" i="1"/>
  <c r="I335" i="1" s="1"/>
  <c r="G339" i="1"/>
  <c r="E339" i="1"/>
  <c r="C339" i="1"/>
  <c r="H339" i="1"/>
  <c r="F339" i="1"/>
  <c r="D339" i="1"/>
  <c r="B339" i="1"/>
  <c r="I339" i="1" s="1"/>
  <c r="G344" i="1"/>
  <c r="E344" i="1"/>
  <c r="C344" i="1"/>
  <c r="H344" i="1"/>
  <c r="F344" i="1"/>
  <c r="D344" i="1"/>
  <c r="B344" i="1"/>
  <c r="I344" i="1" s="1"/>
  <c r="G348" i="1"/>
  <c r="E348" i="1"/>
  <c r="C348" i="1"/>
  <c r="H348" i="1"/>
  <c r="F348" i="1"/>
  <c r="D348" i="1"/>
  <c r="B348" i="1"/>
  <c r="I348" i="1" s="1"/>
  <c r="G353" i="1"/>
  <c r="E353" i="1"/>
  <c r="C353" i="1"/>
  <c r="H353" i="1"/>
  <c r="F353" i="1"/>
  <c r="D353" i="1"/>
  <c r="B353" i="1"/>
  <c r="I353" i="1" s="1"/>
  <c r="G357" i="1"/>
  <c r="E357" i="1"/>
  <c r="C357" i="1"/>
  <c r="H357" i="1"/>
  <c r="F357" i="1"/>
  <c r="D357" i="1"/>
  <c r="B357" i="1"/>
  <c r="I357" i="1" s="1"/>
  <c r="G361" i="1"/>
  <c r="E361" i="1"/>
  <c r="C361" i="1"/>
  <c r="H361" i="1"/>
  <c r="F361" i="1"/>
  <c r="D361" i="1"/>
  <c r="B361" i="1"/>
  <c r="I361" i="1" s="1"/>
  <c r="G365" i="1"/>
  <c r="E365" i="1"/>
  <c r="C365" i="1"/>
  <c r="H365" i="1"/>
  <c r="F365" i="1"/>
  <c r="D365" i="1"/>
  <c r="B365" i="1"/>
  <c r="I365" i="1" s="1"/>
  <c r="G369" i="1"/>
  <c r="E369" i="1"/>
  <c r="C369" i="1"/>
  <c r="H369" i="1"/>
  <c r="F369" i="1"/>
  <c r="D369" i="1"/>
  <c r="B369" i="1"/>
  <c r="I369" i="1" s="1"/>
  <c r="G373" i="1"/>
  <c r="E373" i="1"/>
  <c r="C373" i="1"/>
  <c r="H373" i="1"/>
  <c r="F373" i="1"/>
  <c r="D373" i="1"/>
  <c r="B373" i="1"/>
  <c r="I373" i="1" s="1"/>
  <c r="G378" i="1"/>
  <c r="E378" i="1"/>
  <c r="C378" i="1"/>
  <c r="H378" i="1"/>
  <c r="F378" i="1"/>
  <c r="D378" i="1"/>
  <c r="B378" i="1"/>
  <c r="I378" i="1" s="1"/>
  <c r="G383" i="1"/>
  <c r="E383" i="1"/>
  <c r="C383" i="1"/>
  <c r="H383" i="1"/>
  <c r="F383" i="1"/>
  <c r="D383" i="1"/>
  <c r="B383" i="1"/>
  <c r="I383" i="1" s="1"/>
  <c r="G387" i="1"/>
  <c r="E387" i="1"/>
  <c r="C387" i="1"/>
  <c r="H387" i="1"/>
  <c r="F387" i="1"/>
  <c r="D387" i="1"/>
  <c r="B387" i="1"/>
  <c r="I387" i="1" s="1"/>
  <c r="G391" i="1"/>
  <c r="E391" i="1"/>
  <c r="C391" i="1"/>
  <c r="H391" i="1"/>
  <c r="F391" i="1"/>
  <c r="D391" i="1"/>
  <c r="B391" i="1"/>
  <c r="I391" i="1" s="1"/>
  <c r="G396" i="1"/>
  <c r="E396" i="1"/>
  <c r="C396" i="1"/>
  <c r="H396" i="1"/>
  <c r="F396" i="1"/>
  <c r="D396" i="1"/>
  <c r="B396" i="1"/>
  <c r="I396" i="1" s="1"/>
  <c r="G400" i="1"/>
  <c r="E400" i="1"/>
  <c r="C400" i="1"/>
  <c r="H400" i="1"/>
  <c r="F400" i="1"/>
  <c r="D400" i="1"/>
  <c r="B400" i="1"/>
  <c r="I400" i="1" s="1"/>
  <c r="G405" i="1"/>
  <c r="E405" i="1"/>
  <c r="C405" i="1"/>
  <c r="H405" i="1"/>
  <c r="F405" i="1"/>
  <c r="D405" i="1"/>
  <c r="B405" i="1"/>
  <c r="I405" i="1" s="1"/>
  <c r="G409" i="1"/>
  <c r="E409" i="1"/>
  <c r="C409" i="1"/>
  <c r="H409" i="1"/>
  <c r="F409" i="1"/>
  <c r="D409" i="1"/>
  <c r="B409" i="1"/>
  <c r="I409" i="1" s="1"/>
  <c r="G413" i="1"/>
  <c r="E413" i="1"/>
  <c r="C413" i="1"/>
  <c r="H413" i="1"/>
  <c r="F413" i="1"/>
  <c r="D413" i="1"/>
  <c r="B413" i="1"/>
  <c r="I413" i="1" s="1"/>
  <c r="G417" i="1"/>
  <c r="E417" i="1"/>
  <c r="C417" i="1"/>
  <c r="H417" i="1"/>
  <c r="F417" i="1"/>
  <c r="D417" i="1"/>
  <c r="B417" i="1"/>
  <c r="I417" i="1" s="1"/>
  <c r="G421" i="1"/>
  <c r="E421" i="1"/>
  <c r="C421" i="1"/>
  <c r="H421" i="1"/>
  <c r="F421" i="1"/>
  <c r="D421" i="1"/>
  <c r="B421" i="1"/>
  <c r="I421" i="1" s="1"/>
  <c r="G426" i="1"/>
  <c r="E426" i="1"/>
  <c r="C426" i="1"/>
  <c r="H426" i="1"/>
  <c r="F426" i="1"/>
  <c r="D426" i="1"/>
  <c r="B426" i="1"/>
  <c r="I426" i="1" s="1"/>
  <c r="G430" i="1"/>
  <c r="E430" i="1"/>
  <c r="C430" i="1"/>
  <c r="H430" i="1"/>
  <c r="F430" i="1"/>
  <c r="D430" i="1"/>
  <c r="B430" i="1"/>
  <c r="I430" i="1" s="1"/>
  <c r="G434" i="1"/>
  <c r="E434" i="1"/>
  <c r="C434" i="1"/>
  <c r="H434" i="1"/>
  <c r="F434" i="1"/>
  <c r="D434" i="1"/>
  <c r="B434" i="1"/>
  <c r="I434" i="1" s="1"/>
  <c r="G438" i="1"/>
  <c r="E438" i="1"/>
  <c r="C438" i="1"/>
  <c r="H438" i="1"/>
  <c r="F438" i="1"/>
  <c r="D438" i="1"/>
  <c r="B438" i="1"/>
  <c r="I438" i="1" s="1"/>
  <c r="G443" i="1"/>
  <c r="E443" i="1"/>
  <c r="C443" i="1"/>
  <c r="H443" i="1"/>
  <c r="F443" i="1"/>
  <c r="D443" i="1"/>
  <c r="B443" i="1"/>
  <c r="I443" i="1" s="1"/>
  <c r="G447" i="1"/>
  <c r="E447" i="1"/>
  <c r="C447" i="1"/>
  <c r="H447" i="1"/>
  <c r="F447" i="1"/>
  <c r="D447" i="1"/>
  <c r="B447" i="1"/>
  <c r="I447" i="1" s="1"/>
  <c r="G452" i="1"/>
  <c r="E452" i="1"/>
  <c r="C452" i="1"/>
  <c r="H452" i="1"/>
  <c r="F452" i="1"/>
  <c r="D452" i="1"/>
  <c r="B452" i="1"/>
  <c r="I452" i="1" s="1"/>
  <c r="G456" i="1"/>
  <c r="E456" i="1"/>
  <c r="C456" i="1"/>
  <c r="H456" i="1"/>
  <c r="F456" i="1"/>
  <c r="D456" i="1"/>
  <c r="B456" i="1"/>
  <c r="I456" i="1" s="1"/>
  <c r="G460" i="1"/>
  <c r="E460" i="1"/>
  <c r="C460" i="1"/>
  <c r="H460" i="1"/>
  <c r="F460" i="1"/>
  <c r="D460" i="1"/>
  <c r="B460" i="1"/>
  <c r="I460" i="1" s="1"/>
  <c r="G465" i="1"/>
  <c r="E465" i="1"/>
  <c r="C465" i="1"/>
  <c r="H465" i="1"/>
  <c r="F465" i="1"/>
  <c r="D465" i="1"/>
  <c r="B465" i="1"/>
  <c r="I465" i="1" s="1"/>
  <c r="G469" i="1"/>
  <c r="E469" i="1"/>
  <c r="C469" i="1"/>
  <c r="H469" i="1"/>
  <c r="F469" i="1"/>
  <c r="D469" i="1"/>
  <c r="B469" i="1"/>
  <c r="I469" i="1" s="1"/>
  <c r="G471" i="1"/>
  <c r="E471" i="1"/>
  <c r="C471" i="1"/>
  <c r="H471" i="1"/>
  <c r="F471" i="1"/>
  <c r="D471" i="1"/>
  <c r="B471" i="1"/>
  <c r="I471" i="1" s="1"/>
  <c r="G475" i="1"/>
  <c r="E475" i="1"/>
  <c r="C475" i="1"/>
  <c r="H475" i="1"/>
  <c r="F475" i="1"/>
  <c r="D475" i="1"/>
  <c r="B475" i="1"/>
  <c r="I475" i="1" s="1"/>
  <c r="G480" i="1"/>
  <c r="E480" i="1"/>
  <c r="C480" i="1"/>
  <c r="H480" i="1"/>
  <c r="F480" i="1"/>
  <c r="D480" i="1"/>
  <c r="B480" i="1"/>
  <c r="I480" i="1" s="1"/>
  <c r="G484" i="1"/>
  <c r="E484" i="1"/>
  <c r="C484" i="1"/>
  <c r="H484" i="1"/>
  <c r="F484" i="1"/>
  <c r="D484" i="1"/>
  <c r="B484" i="1"/>
  <c r="I484" i="1" s="1"/>
  <c r="G488" i="1"/>
  <c r="E488" i="1"/>
  <c r="C488" i="1"/>
  <c r="H488" i="1"/>
  <c r="F488" i="1"/>
  <c r="D488" i="1"/>
  <c r="B488" i="1"/>
  <c r="I488" i="1" s="1"/>
  <c r="G493" i="1"/>
  <c r="E493" i="1"/>
  <c r="C493" i="1"/>
  <c r="H493" i="1"/>
  <c r="F493" i="1"/>
  <c r="D493" i="1"/>
  <c r="B493" i="1"/>
  <c r="I493" i="1" s="1"/>
  <c r="G497" i="1"/>
  <c r="E497" i="1"/>
  <c r="C497" i="1"/>
  <c r="H497" i="1"/>
  <c r="F497" i="1"/>
  <c r="D497" i="1"/>
  <c r="B497" i="1"/>
  <c r="I497" i="1" s="1"/>
  <c r="G501" i="1"/>
  <c r="E501" i="1"/>
  <c r="C501" i="1"/>
  <c r="H501" i="1"/>
  <c r="F501" i="1"/>
  <c r="D501" i="1"/>
  <c r="B501" i="1"/>
  <c r="I501" i="1" s="1"/>
  <c r="G506" i="1"/>
  <c r="E506" i="1"/>
  <c r="C506" i="1"/>
  <c r="H506" i="1"/>
  <c r="F506" i="1"/>
  <c r="D506" i="1"/>
  <c r="B506" i="1"/>
  <c r="I506" i="1" s="1"/>
  <c r="G510" i="1"/>
  <c r="E510" i="1"/>
  <c r="C510" i="1"/>
  <c r="H510" i="1"/>
  <c r="F510" i="1"/>
  <c r="D510" i="1"/>
  <c r="B510" i="1"/>
  <c r="I510" i="1" s="1"/>
  <c r="G514" i="1"/>
  <c r="E514" i="1"/>
  <c r="C514" i="1"/>
  <c r="H514" i="1"/>
  <c r="F514" i="1"/>
  <c r="D514" i="1"/>
  <c r="B514" i="1"/>
  <c r="I514" i="1" s="1"/>
  <c r="G519" i="1"/>
  <c r="E519" i="1"/>
  <c r="C519" i="1"/>
  <c r="H519" i="1"/>
  <c r="F519" i="1"/>
  <c r="D519" i="1"/>
  <c r="B519" i="1"/>
  <c r="I519" i="1" s="1"/>
  <c r="G523" i="1"/>
  <c r="E523" i="1"/>
  <c r="C523" i="1"/>
  <c r="H523" i="1"/>
  <c r="F523" i="1"/>
  <c r="D523" i="1"/>
  <c r="B523" i="1"/>
  <c r="I523" i="1" s="1"/>
  <c r="G527" i="1"/>
  <c r="E527" i="1"/>
  <c r="C527" i="1"/>
  <c r="H527" i="1"/>
  <c r="F527" i="1"/>
  <c r="D527" i="1"/>
  <c r="B527" i="1"/>
  <c r="I527" i="1" s="1"/>
  <c r="G531" i="1"/>
  <c r="E531" i="1"/>
  <c r="C531" i="1"/>
  <c r="H531" i="1"/>
  <c r="F531" i="1"/>
  <c r="D531" i="1"/>
  <c r="B531" i="1"/>
  <c r="I531" i="1" s="1"/>
  <c r="G536" i="1"/>
  <c r="E536" i="1"/>
  <c r="C536" i="1"/>
  <c r="H536" i="1"/>
  <c r="F536" i="1"/>
  <c r="D536" i="1"/>
  <c r="B536" i="1"/>
  <c r="I536" i="1" s="1"/>
  <c r="G540" i="1"/>
  <c r="E540" i="1"/>
  <c r="C540" i="1"/>
  <c r="H540" i="1"/>
  <c r="F540" i="1"/>
  <c r="D540" i="1"/>
  <c r="B540" i="1"/>
  <c r="I540" i="1" s="1"/>
  <c r="G545" i="1"/>
  <c r="E545" i="1"/>
  <c r="C545" i="1"/>
  <c r="H545" i="1"/>
  <c r="F545" i="1"/>
  <c r="D545" i="1"/>
  <c r="B545" i="1"/>
  <c r="I545" i="1" s="1"/>
  <c r="G549" i="1"/>
  <c r="E549" i="1"/>
  <c r="C549" i="1"/>
  <c r="H549" i="1"/>
  <c r="F549" i="1"/>
  <c r="D549" i="1"/>
  <c r="B549" i="1"/>
  <c r="I549" i="1" s="1"/>
  <c r="G553" i="1"/>
  <c r="E553" i="1"/>
  <c r="C553" i="1"/>
  <c r="H553" i="1"/>
  <c r="F553" i="1"/>
  <c r="D553" i="1"/>
  <c r="B553" i="1"/>
  <c r="I553" i="1" s="1"/>
  <c r="G557" i="1"/>
  <c r="E557" i="1"/>
  <c r="C557" i="1"/>
  <c r="H557" i="1"/>
  <c r="F557" i="1"/>
  <c r="D557" i="1"/>
  <c r="B557" i="1"/>
  <c r="I557" i="1" s="1"/>
  <c r="G560" i="1"/>
  <c r="E560" i="1"/>
  <c r="C560" i="1"/>
  <c r="H560" i="1"/>
  <c r="F560" i="1"/>
  <c r="D560" i="1"/>
  <c r="B560" i="1"/>
  <c r="I560" i="1" s="1"/>
  <c r="G564" i="1"/>
  <c r="E564" i="1"/>
  <c r="C564" i="1"/>
  <c r="H564" i="1"/>
  <c r="F564" i="1"/>
  <c r="D564" i="1"/>
  <c r="B564" i="1"/>
  <c r="I564" i="1" s="1"/>
  <c r="G569" i="1"/>
  <c r="E569" i="1"/>
  <c r="C569" i="1"/>
  <c r="H569" i="1"/>
  <c r="F569" i="1"/>
  <c r="D569" i="1"/>
  <c r="B569" i="1"/>
  <c r="I569" i="1" s="1"/>
  <c r="G573" i="1"/>
  <c r="E573" i="1"/>
  <c r="C573" i="1"/>
  <c r="H573" i="1"/>
  <c r="F573" i="1"/>
  <c r="D573" i="1"/>
  <c r="B573" i="1"/>
  <c r="I573" i="1" s="1"/>
  <c r="G577" i="1"/>
  <c r="E577" i="1"/>
  <c r="C577" i="1"/>
  <c r="H577" i="1"/>
  <c r="F577" i="1"/>
  <c r="D577" i="1"/>
  <c r="B577" i="1"/>
  <c r="I577" i="1" s="1"/>
  <c r="G581" i="1"/>
  <c r="E581" i="1"/>
  <c r="C581" i="1"/>
  <c r="H581" i="1"/>
  <c r="F581" i="1"/>
  <c r="D581" i="1"/>
  <c r="B581" i="1"/>
  <c r="I581" i="1" s="1"/>
  <c r="G585" i="1"/>
  <c r="E585" i="1"/>
  <c r="C585" i="1"/>
  <c r="H585" i="1"/>
  <c r="F585" i="1"/>
  <c r="D585" i="1"/>
  <c r="B585" i="1"/>
  <c r="I585" i="1" s="1"/>
  <c r="G590" i="1"/>
  <c r="E590" i="1"/>
  <c r="C590" i="1"/>
  <c r="H590" i="1"/>
  <c r="F590" i="1"/>
  <c r="D590" i="1"/>
  <c r="B590" i="1"/>
  <c r="I590" i="1" s="1"/>
  <c r="G594" i="1"/>
  <c r="E594" i="1"/>
  <c r="C594" i="1"/>
  <c r="H594" i="1"/>
  <c r="F594" i="1"/>
  <c r="D594" i="1"/>
  <c r="B594" i="1"/>
  <c r="I594" i="1" s="1"/>
  <c r="G598" i="1"/>
  <c r="E598" i="1"/>
  <c r="C598" i="1"/>
  <c r="H598" i="1"/>
  <c r="F598" i="1"/>
  <c r="D598" i="1"/>
  <c r="B598" i="1"/>
  <c r="I598" i="1" s="1"/>
  <c r="G603" i="1"/>
  <c r="E603" i="1"/>
  <c r="C603" i="1"/>
  <c r="H603" i="1"/>
  <c r="F603" i="1"/>
  <c r="D603" i="1"/>
  <c r="B603" i="1"/>
  <c r="I603" i="1" s="1"/>
  <c r="G607" i="1"/>
  <c r="E607" i="1"/>
  <c r="C607" i="1"/>
  <c r="H607" i="1"/>
  <c r="F607" i="1"/>
  <c r="D607" i="1"/>
  <c r="B607" i="1"/>
  <c r="I607" i="1" s="1"/>
  <c r="G611" i="1"/>
  <c r="E611" i="1"/>
  <c r="C611" i="1"/>
  <c r="H611" i="1"/>
  <c r="F611" i="1"/>
  <c r="D611" i="1"/>
  <c r="B611" i="1"/>
  <c r="I611" i="1" s="1"/>
  <c r="G615" i="1"/>
  <c r="E615" i="1"/>
  <c r="C615" i="1"/>
  <c r="H615" i="1"/>
  <c r="F615" i="1"/>
  <c r="D615" i="1"/>
  <c r="B615" i="1"/>
  <c r="I615" i="1" s="1"/>
  <c r="G619" i="1"/>
  <c r="E619" i="1"/>
  <c r="C619" i="1"/>
  <c r="H619" i="1"/>
  <c r="F619" i="1"/>
  <c r="D619" i="1"/>
  <c r="B619" i="1"/>
  <c r="I619" i="1" s="1"/>
  <c r="G623" i="1"/>
  <c r="E623" i="1"/>
  <c r="C623" i="1"/>
  <c r="H623" i="1"/>
  <c r="F623" i="1"/>
  <c r="D623" i="1"/>
  <c r="B623" i="1"/>
  <c r="I623" i="1" s="1"/>
  <c r="G627" i="1"/>
  <c r="E627" i="1"/>
  <c r="C627" i="1"/>
  <c r="H627" i="1"/>
  <c r="F627" i="1"/>
  <c r="D627" i="1"/>
  <c r="B627" i="1"/>
  <c r="I627" i="1" s="1"/>
  <c r="G632" i="1"/>
  <c r="E632" i="1"/>
  <c r="C632" i="1"/>
  <c r="H632" i="1"/>
  <c r="F632" i="1"/>
  <c r="D632" i="1"/>
  <c r="B632" i="1"/>
  <c r="I632" i="1" s="1"/>
  <c r="G635" i="1"/>
  <c r="E635" i="1"/>
  <c r="C635" i="1"/>
  <c r="H635" i="1"/>
  <c r="F635" i="1"/>
  <c r="D635" i="1"/>
  <c r="B635" i="1"/>
  <c r="I635" i="1" s="1"/>
  <c r="G640" i="1"/>
  <c r="E640" i="1"/>
  <c r="C640" i="1"/>
  <c r="H640" i="1"/>
  <c r="F640" i="1"/>
  <c r="D640" i="1"/>
  <c r="B640" i="1"/>
  <c r="I640" i="1" s="1"/>
  <c r="G644" i="1"/>
  <c r="E644" i="1"/>
  <c r="C644" i="1"/>
  <c r="H644" i="1"/>
  <c r="F644" i="1"/>
  <c r="D644" i="1"/>
  <c r="B644" i="1"/>
  <c r="I644" i="1" s="1"/>
  <c r="G648" i="1"/>
  <c r="E648" i="1"/>
  <c r="C648" i="1"/>
  <c r="H648" i="1"/>
  <c r="F648" i="1"/>
  <c r="D648" i="1"/>
  <c r="B648" i="1"/>
  <c r="I648" i="1" s="1"/>
  <c r="G652" i="1"/>
  <c r="E652" i="1"/>
  <c r="C652" i="1"/>
  <c r="H652" i="1"/>
  <c r="F652" i="1"/>
  <c r="D652" i="1"/>
  <c r="B652" i="1"/>
  <c r="I652" i="1" s="1"/>
  <c r="G656" i="1"/>
  <c r="E656" i="1"/>
  <c r="C656" i="1"/>
  <c r="H656" i="1"/>
  <c r="F656" i="1"/>
  <c r="D656" i="1"/>
  <c r="B656" i="1"/>
  <c r="I656" i="1" s="1"/>
  <c r="G660" i="1"/>
  <c r="E660" i="1"/>
  <c r="C660" i="1"/>
  <c r="H660" i="1"/>
  <c r="F660" i="1"/>
  <c r="D660" i="1"/>
  <c r="B660" i="1"/>
  <c r="I660" i="1" s="1"/>
  <c r="G665" i="1"/>
  <c r="E665" i="1"/>
  <c r="C665" i="1"/>
  <c r="H665" i="1"/>
  <c r="F665" i="1"/>
  <c r="D665" i="1"/>
  <c r="B665" i="1"/>
  <c r="I665" i="1" s="1"/>
  <c r="G669" i="1"/>
  <c r="E669" i="1"/>
  <c r="C669" i="1"/>
  <c r="H669" i="1"/>
  <c r="F669" i="1"/>
  <c r="D669" i="1"/>
  <c r="B669" i="1"/>
  <c r="I669" i="1" s="1"/>
  <c r="G673" i="1"/>
  <c r="E673" i="1"/>
  <c r="C673" i="1"/>
  <c r="H673" i="1"/>
  <c r="F673" i="1"/>
  <c r="D673" i="1"/>
  <c r="B673" i="1"/>
  <c r="I673" i="1" s="1"/>
  <c r="G678" i="1"/>
  <c r="E678" i="1"/>
  <c r="C678" i="1"/>
  <c r="H678" i="1"/>
  <c r="F678" i="1"/>
  <c r="D678" i="1"/>
  <c r="B678" i="1"/>
  <c r="I678" i="1" s="1"/>
  <c r="G682" i="1"/>
  <c r="E682" i="1"/>
  <c r="C682" i="1"/>
  <c r="H682" i="1"/>
  <c r="F682" i="1"/>
  <c r="D682" i="1"/>
  <c r="B682" i="1"/>
  <c r="I682" i="1" s="1"/>
  <c r="G686" i="1"/>
  <c r="E686" i="1"/>
  <c r="C686" i="1"/>
  <c r="H686" i="1"/>
  <c r="F686" i="1"/>
  <c r="D686" i="1"/>
  <c r="B686" i="1"/>
  <c r="I686" i="1" s="1"/>
  <c r="G690" i="1"/>
  <c r="E690" i="1"/>
  <c r="C690" i="1"/>
  <c r="H690" i="1"/>
  <c r="F690" i="1"/>
  <c r="D690" i="1"/>
  <c r="B690" i="1"/>
  <c r="I690" i="1" s="1"/>
  <c r="G695" i="1"/>
  <c r="E695" i="1"/>
  <c r="C695" i="1"/>
  <c r="H695" i="1"/>
  <c r="F695" i="1"/>
  <c r="D695" i="1"/>
  <c r="B695" i="1"/>
  <c r="I695" i="1" s="1"/>
  <c r="G699" i="1"/>
  <c r="E699" i="1"/>
  <c r="C699" i="1"/>
  <c r="H699" i="1"/>
  <c r="F699" i="1"/>
  <c r="D699" i="1"/>
  <c r="B699" i="1"/>
  <c r="I699" i="1" s="1"/>
  <c r="G703" i="1"/>
  <c r="E703" i="1"/>
  <c r="C703" i="1"/>
  <c r="H703" i="1"/>
  <c r="F703" i="1"/>
  <c r="D703" i="1"/>
  <c r="B703" i="1"/>
  <c r="I703" i="1" s="1"/>
  <c r="G707" i="1"/>
  <c r="E707" i="1"/>
  <c r="C707" i="1"/>
  <c r="H707" i="1"/>
  <c r="F707" i="1"/>
  <c r="D707" i="1"/>
  <c r="B707" i="1"/>
  <c r="I707" i="1" s="1"/>
  <c r="G711" i="1"/>
  <c r="E711" i="1"/>
  <c r="C711" i="1"/>
  <c r="H711" i="1"/>
  <c r="F711" i="1"/>
  <c r="D711" i="1"/>
  <c r="B711" i="1"/>
  <c r="I711" i="1" s="1"/>
  <c r="G716" i="1"/>
  <c r="E716" i="1"/>
  <c r="C716" i="1"/>
  <c r="H716" i="1"/>
  <c r="F716" i="1"/>
  <c r="D716" i="1"/>
  <c r="B716" i="1"/>
  <c r="I716" i="1" s="1"/>
  <c r="G720" i="1"/>
  <c r="E720" i="1"/>
  <c r="C720" i="1"/>
  <c r="H720" i="1"/>
  <c r="F720" i="1"/>
  <c r="D720" i="1"/>
  <c r="B720" i="1"/>
  <c r="I720" i="1" s="1"/>
  <c r="G725" i="1"/>
  <c r="E725" i="1"/>
  <c r="C725" i="1"/>
  <c r="H725" i="1"/>
  <c r="F725" i="1"/>
  <c r="D725" i="1"/>
  <c r="B725" i="1"/>
  <c r="I725" i="1" s="1"/>
  <c r="G729" i="1"/>
  <c r="E729" i="1"/>
  <c r="C729" i="1"/>
  <c r="H729" i="1"/>
  <c r="F729" i="1"/>
  <c r="D729" i="1"/>
  <c r="B729" i="1"/>
  <c r="I729" i="1" s="1"/>
  <c r="G733" i="1"/>
  <c r="E733" i="1"/>
  <c r="C733" i="1"/>
  <c r="H733" i="1"/>
  <c r="F733" i="1"/>
  <c r="D733" i="1"/>
  <c r="B733" i="1"/>
  <c r="I733" i="1" s="1"/>
  <c r="G737" i="1"/>
  <c r="E737" i="1"/>
  <c r="C737" i="1"/>
  <c r="H737" i="1"/>
  <c r="F737" i="1"/>
  <c r="D737" i="1"/>
  <c r="B737" i="1"/>
  <c r="I737" i="1" s="1"/>
  <c r="G742" i="1"/>
  <c r="E742" i="1"/>
  <c r="C742" i="1"/>
  <c r="H742" i="1"/>
  <c r="F742" i="1"/>
  <c r="D742" i="1"/>
  <c r="B742" i="1"/>
  <c r="I742" i="1" s="1"/>
  <c r="G746" i="1"/>
  <c r="E746" i="1"/>
  <c r="C746" i="1"/>
  <c r="H746" i="1"/>
  <c r="F746" i="1"/>
  <c r="D746" i="1"/>
  <c r="B746" i="1"/>
  <c r="I746" i="1" s="1"/>
  <c r="G750" i="1"/>
  <c r="E750" i="1"/>
  <c r="C750" i="1"/>
  <c r="H750" i="1"/>
  <c r="F750" i="1"/>
  <c r="D750" i="1"/>
  <c r="B750" i="1"/>
  <c r="I750" i="1" s="1"/>
  <c r="G753" i="1"/>
  <c r="E753" i="1"/>
  <c r="C753" i="1"/>
  <c r="H753" i="1"/>
  <c r="F753" i="1"/>
  <c r="D753" i="1"/>
  <c r="B753" i="1"/>
  <c r="I753" i="1" s="1"/>
  <c r="G756" i="1"/>
  <c r="E756" i="1"/>
  <c r="C756" i="1"/>
  <c r="H756" i="1"/>
  <c r="F756" i="1"/>
  <c r="D756" i="1"/>
  <c r="B756" i="1"/>
  <c r="I756" i="1" s="1"/>
  <c r="G761" i="1"/>
  <c r="E761" i="1"/>
  <c r="C761" i="1"/>
  <c r="H761" i="1"/>
  <c r="F761" i="1"/>
  <c r="D761" i="1"/>
  <c r="B761" i="1"/>
  <c r="I761" i="1" s="1"/>
  <c r="G765" i="1"/>
  <c r="E765" i="1"/>
  <c r="C765" i="1"/>
  <c r="H765" i="1"/>
  <c r="F765" i="1"/>
  <c r="D765" i="1"/>
  <c r="B765" i="1"/>
  <c r="I765" i="1" s="1"/>
  <c r="G769" i="1"/>
  <c r="E769" i="1"/>
  <c r="C769" i="1"/>
  <c r="H769" i="1"/>
  <c r="F769" i="1"/>
  <c r="D769" i="1"/>
  <c r="B769" i="1"/>
  <c r="I769" i="1" s="1"/>
  <c r="G773" i="1"/>
  <c r="E773" i="1"/>
  <c r="C773" i="1"/>
  <c r="H773" i="1"/>
  <c r="F773" i="1"/>
  <c r="D773" i="1"/>
  <c r="B773" i="1"/>
  <c r="I773" i="1" s="1"/>
  <c r="G777" i="1"/>
  <c r="E777" i="1"/>
  <c r="C777" i="1"/>
  <c r="H777" i="1"/>
  <c r="F777" i="1"/>
  <c r="D777" i="1"/>
  <c r="B777" i="1"/>
  <c r="I777" i="1" s="1"/>
  <c r="G782" i="1"/>
  <c r="E782" i="1"/>
  <c r="C782" i="1"/>
  <c r="H782" i="1"/>
  <c r="F782" i="1"/>
  <c r="D782" i="1"/>
  <c r="B782" i="1"/>
  <c r="I782" i="1" s="1"/>
  <c r="G785" i="1"/>
  <c r="E785" i="1"/>
  <c r="C785" i="1"/>
  <c r="H785" i="1"/>
  <c r="F785" i="1"/>
  <c r="D785" i="1"/>
  <c r="B785" i="1"/>
  <c r="I785" i="1" s="1"/>
  <c r="G790" i="1"/>
  <c r="E790" i="1"/>
  <c r="C790" i="1"/>
  <c r="H790" i="1"/>
  <c r="F790" i="1"/>
  <c r="D790" i="1"/>
  <c r="B790" i="1"/>
  <c r="I790" i="1" s="1"/>
  <c r="G794" i="1"/>
  <c r="E794" i="1"/>
  <c r="C794" i="1"/>
  <c r="H794" i="1"/>
  <c r="F794" i="1"/>
  <c r="D794" i="1"/>
  <c r="B794" i="1"/>
  <c r="I794" i="1" s="1"/>
  <c r="G798" i="1"/>
  <c r="E798" i="1"/>
  <c r="C798" i="1"/>
  <c r="H798" i="1"/>
  <c r="F798" i="1"/>
  <c r="D798" i="1"/>
  <c r="B798" i="1"/>
  <c r="I798" i="1" s="1"/>
  <c r="G803" i="1"/>
  <c r="E803" i="1"/>
  <c r="C803" i="1"/>
  <c r="H803" i="1"/>
  <c r="F803" i="1"/>
  <c r="D803" i="1"/>
  <c r="B803" i="1"/>
  <c r="I803" i="1" s="1"/>
  <c r="G807" i="1"/>
  <c r="E807" i="1"/>
  <c r="C807" i="1"/>
  <c r="H807" i="1"/>
  <c r="F807" i="1"/>
  <c r="D807" i="1"/>
  <c r="B807" i="1"/>
  <c r="I807" i="1" s="1"/>
  <c r="G811" i="1"/>
  <c r="E811" i="1"/>
  <c r="C811" i="1"/>
  <c r="H811" i="1"/>
  <c r="F811" i="1"/>
  <c r="D811" i="1"/>
  <c r="B811" i="1"/>
  <c r="I811" i="1" s="1"/>
  <c r="G815" i="1"/>
  <c r="E815" i="1"/>
  <c r="C815" i="1"/>
  <c r="H815" i="1"/>
  <c r="F815" i="1"/>
  <c r="D815" i="1"/>
  <c r="B815" i="1"/>
  <c r="I815" i="1" s="1"/>
  <c r="G819" i="1"/>
  <c r="E819" i="1"/>
  <c r="C819" i="1"/>
  <c r="H819" i="1"/>
  <c r="F819" i="1"/>
  <c r="D819" i="1"/>
  <c r="B819" i="1"/>
  <c r="I819" i="1" s="1"/>
  <c r="G824" i="1"/>
  <c r="E824" i="1"/>
  <c r="C824" i="1"/>
  <c r="H824" i="1"/>
  <c r="F824" i="1"/>
  <c r="D824" i="1"/>
  <c r="B824" i="1"/>
  <c r="I824" i="1" s="1"/>
  <c r="G828" i="1"/>
  <c r="E828" i="1"/>
  <c r="C828" i="1"/>
  <c r="H828" i="1"/>
  <c r="F828" i="1"/>
  <c r="D828" i="1"/>
  <c r="B828" i="1"/>
  <c r="I828" i="1" s="1"/>
  <c r="G832" i="1"/>
  <c r="E832" i="1"/>
  <c r="C832" i="1"/>
  <c r="H832" i="1"/>
  <c r="F832" i="1"/>
  <c r="D832" i="1"/>
  <c r="B832" i="1"/>
  <c r="I832" i="1" s="1"/>
  <c r="G837" i="1"/>
  <c r="E837" i="1"/>
  <c r="C837" i="1"/>
  <c r="H837" i="1"/>
  <c r="F837" i="1"/>
  <c r="D837" i="1"/>
  <c r="B837" i="1"/>
  <c r="I837" i="1" s="1"/>
  <c r="G841" i="1"/>
  <c r="E841" i="1"/>
  <c r="C841" i="1"/>
  <c r="H841" i="1"/>
  <c r="F841" i="1"/>
  <c r="D841" i="1"/>
  <c r="B841" i="1"/>
  <c r="I841" i="1" s="1"/>
  <c r="G845" i="1"/>
  <c r="E845" i="1"/>
  <c r="C845" i="1"/>
  <c r="H845" i="1"/>
  <c r="F845" i="1"/>
  <c r="D845" i="1"/>
  <c r="B845" i="1"/>
  <c r="I845" i="1" s="1"/>
  <c r="G849" i="1"/>
  <c r="E849" i="1"/>
  <c r="C849" i="1"/>
  <c r="H849" i="1"/>
  <c r="F849" i="1"/>
  <c r="D849" i="1"/>
  <c r="B849" i="1"/>
  <c r="I849" i="1" s="1"/>
  <c r="G854" i="1"/>
  <c r="E854" i="1"/>
  <c r="C854" i="1"/>
  <c r="H854" i="1"/>
  <c r="F854" i="1"/>
  <c r="D854" i="1"/>
  <c r="B854" i="1"/>
  <c r="I854" i="1" s="1"/>
  <c r="G858" i="1"/>
  <c r="E858" i="1"/>
  <c r="C858" i="1"/>
  <c r="H858" i="1"/>
  <c r="F858" i="1"/>
  <c r="D858" i="1"/>
  <c r="B858" i="1"/>
  <c r="I858" i="1" s="1"/>
  <c r="G863" i="1"/>
  <c r="E863" i="1"/>
  <c r="C863" i="1"/>
  <c r="H863" i="1"/>
  <c r="F863" i="1"/>
  <c r="D863" i="1"/>
  <c r="B863" i="1"/>
  <c r="I863" i="1" s="1"/>
  <c r="G867" i="1"/>
  <c r="E867" i="1"/>
  <c r="C867" i="1"/>
  <c r="H867" i="1"/>
  <c r="F867" i="1"/>
  <c r="D867" i="1"/>
  <c r="B867" i="1"/>
  <c r="I867" i="1" s="1"/>
  <c r="G871" i="1"/>
  <c r="E871" i="1"/>
  <c r="C871" i="1"/>
  <c r="H871" i="1"/>
  <c r="F871" i="1"/>
  <c r="D871" i="1"/>
  <c r="B871" i="1"/>
  <c r="I871" i="1" s="1"/>
  <c r="G875" i="1"/>
  <c r="E875" i="1"/>
  <c r="C875" i="1"/>
  <c r="H875" i="1"/>
  <c r="F875" i="1"/>
  <c r="D875" i="1"/>
  <c r="B875" i="1"/>
  <c r="I875" i="1" s="1"/>
  <c r="G879" i="1"/>
  <c r="E879" i="1"/>
  <c r="C879" i="1"/>
  <c r="H879" i="1"/>
  <c r="F879" i="1"/>
  <c r="D879" i="1"/>
  <c r="B879" i="1"/>
  <c r="I879" i="1" s="1"/>
  <c r="G883" i="1"/>
  <c r="E883" i="1"/>
  <c r="C883" i="1"/>
  <c r="H883" i="1"/>
  <c r="F883" i="1"/>
  <c r="D883" i="1"/>
  <c r="B883" i="1"/>
  <c r="I883" i="1" s="1"/>
  <c r="G887" i="1"/>
  <c r="E887" i="1"/>
  <c r="C887" i="1"/>
  <c r="H887" i="1"/>
  <c r="F887" i="1"/>
  <c r="D887" i="1"/>
  <c r="B887" i="1"/>
  <c r="I887" i="1" s="1"/>
  <c r="G891" i="1"/>
  <c r="E891" i="1"/>
  <c r="C891" i="1"/>
  <c r="H891" i="1"/>
  <c r="F891" i="1"/>
  <c r="D891" i="1"/>
  <c r="B891" i="1"/>
  <c r="I891" i="1" s="1"/>
  <c r="G894" i="1"/>
  <c r="E894" i="1"/>
  <c r="C894" i="1"/>
  <c r="H894" i="1"/>
  <c r="F894" i="1"/>
  <c r="B894" i="1"/>
  <c r="I894" i="1" s="1"/>
  <c r="D894" i="1"/>
  <c r="G897" i="1"/>
  <c r="E897" i="1"/>
  <c r="C897" i="1"/>
  <c r="H897" i="1"/>
  <c r="F897" i="1"/>
  <c r="D897" i="1"/>
  <c r="B897" i="1"/>
  <c r="I897" i="1" s="1"/>
  <c r="G901" i="1"/>
  <c r="E901" i="1"/>
  <c r="C901" i="1"/>
  <c r="H901" i="1"/>
  <c r="F901" i="1"/>
  <c r="D901" i="1"/>
  <c r="B901" i="1"/>
  <c r="I901" i="1" s="1"/>
  <c r="G906" i="1"/>
  <c r="E906" i="1"/>
  <c r="C906" i="1"/>
  <c r="H906" i="1"/>
  <c r="F906" i="1"/>
  <c r="D906" i="1"/>
  <c r="B906" i="1"/>
  <c r="I906" i="1" s="1"/>
  <c r="G910" i="1"/>
  <c r="E910" i="1"/>
  <c r="C910" i="1"/>
  <c r="H910" i="1"/>
  <c r="F910" i="1"/>
  <c r="D910" i="1"/>
  <c r="B910" i="1"/>
  <c r="I910" i="1" s="1"/>
  <c r="G915" i="1"/>
  <c r="E915" i="1"/>
  <c r="C915" i="1"/>
  <c r="H915" i="1"/>
  <c r="F915" i="1"/>
  <c r="D915" i="1"/>
  <c r="B915" i="1"/>
  <c r="I915" i="1" s="1"/>
  <c r="G920" i="1"/>
  <c r="E920" i="1"/>
  <c r="C920" i="1"/>
  <c r="H920" i="1"/>
  <c r="F920" i="1"/>
  <c r="D920" i="1"/>
  <c r="B920" i="1"/>
  <c r="I920" i="1" s="1"/>
  <c r="G924" i="1"/>
  <c r="E924" i="1"/>
  <c r="C924" i="1"/>
  <c r="H924" i="1"/>
  <c r="F924" i="1"/>
  <c r="D924" i="1"/>
  <c r="B924" i="1"/>
  <c r="I924" i="1" s="1"/>
  <c r="G928" i="1"/>
  <c r="E928" i="1"/>
  <c r="C928" i="1"/>
  <c r="H928" i="1"/>
  <c r="F928" i="1"/>
  <c r="D928" i="1"/>
  <c r="B928" i="1"/>
  <c r="I928" i="1" s="1"/>
  <c r="G933" i="1"/>
  <c r="E933" i="1"/>
  <c r="C933" i="1"/>
  <c r="H933" i="1"/>
  <c r="F933" i="1"/>
  <c r="D933" i="1"/>
  <c r="B933" i="1"/>
  <c r="I933" i="1" s="1"/>
  <c r="G937" i="1"/>
  <c r="E937" i="1"/>
  <c r="C937" i="1"/>
  <c r="H937" i="1"/>
  <c r="F937" i="1"/>
  <c r="D937" i="1"/>
  <c r="B937" i="1"/>
  <c r="I937" i="1" s="1"/>
  <c r="G941" i="1"/>
  <c r="E941" i="1"/>
  <c r="C941" i="1"/>
  <c r="H941" i="1"/>
  <c r="F941" i="1"/>
  <c r="D941" i="1"/>
  <c r="B941" i="1"/>
  <c r="I941" i="1" s="1"/>
  <c r="G946" i="1"/>
  <c r="E946" i="1"/>
  <c r="C946" i="1"/>
  <c r="H946" i="1"/>
  <c r="F946" i="1"/>
  <c r="D946" i="1"/>
  <c r="B946" i="1"/>
  <c r="I946" i="1" s="1"/>
  <c r="G950" i="1"/>
  <c r="E950" i="1"/>
  <c r="C950" i="1"/>
  <c r="H950" i="1"/>
  <c r="F950" i="1"/>
  <c r="D950" i="1"/>
  <c r="B950" i="1"/>
  <c r="I950" i="1" s="1"/>
  <c r="G955" i="1"/>
  <c r="E955" i="1"/>
  <c r="C955" i="1"/>
  <c r="H955" i="1"/>
  <c r="F955" i="1"/>
  <c r="D955" i="1"/>
  <c r="B955" i="1"/>
  <c r="I955" i="1" s="1"/>
  <c r="G959" i="1"/>
  <c r="E959" i="1"/>
  <c r="C959" i="1"/>
  <c r="H959" i="1"/>
  <c r="F959" i="1"/>
  <c r="D959" i="1"/>
  <c r="B959" i="1"/>
  <c r="I959" i="1" s="1"/>
  <c r="G963" i="1"/>
  <c r="E963" i="1"/>
  <c r="C963" i="1"/>
  <c r="H963" i="1"/>
  <c r="F963" i="1"/>
  <c r="D963" i="1"/>
  <c r="B963" i="1"/>
  <c r="I963" i="1" s="1"/>
  <c r="G967" i="1"/>
  <c r="E967" i="1"/>
  <c r="C967" i="1"/>
  <c r="H967" i="1"/>
  <c r="F967" i="1"/>
  <c r="D967" i="1"/>
  <c r="B967" i="1"/>
  <c r="I967" i="1" s="1"/>
  <c r="G971" i="1"/>
  <c r="E971" i="1"/>
  <c r="C971" i="1"/>
  <c r="H971" i="1"/>
  <c r="F971" i="1"/>
  <c r="D971" i="1"/>
  <c r="B971" i="1"/>
  <c r="I971" i="1" s="1"/>
  <c r="G975" i="1"/>
  <c r="E975" i="1"/>
  <c r="C975" i="1"/>
  <c r="H975" i="1"/>
  <c r="F975" i="1"/>
  <c r="D975" i="1"/>
  <c r="B975" i="1"/>
  <c r="I975" i="1" s="1"/>
  <c r="G980" i="1"/>
  <c r="E980" i="1"/>
  <c r="C980" i="1"/>
  <c r="H980" i="1"/>
  <c r="F980" i="1"/>
  <c r="D980" i="1"/>
  <c r="B980" i="1"/>
  <c r="I980" i="1" s="1"/>
  <c r="G983" i="1"/>
  <c r="E983" i="1"/>
  <c r="C983" i="1"/>
  <c r="D983" i="1"/>
  <c r="H983" i="1"/>
  <c r="F983" i="1"/>
  <c r="B983" i="1"/>
  <c r="I983" i="1" s="1"/>
  <c r="G986" i="1"/>
  <c r="E986" i="1"/>
  <c r="C986" i="1"/>
  <c r="H986" i="1"/>
  <c r="F986" i="1"/>
  <c r="D986" i="1"/>
  <c r="B986" i="1"/>
  <c r="I986" i="1" s="1"/>
  <c r="G990" i="1"/>
  <c r="E990" i="1"/>
  <c r="C990" i="1"/>
  <c r="H990" i="1"/>
  <c r="F990" i="1"/>
  <c r="D990" i="1"/>
  <c r="B990" i="1"/>
  <c r="I990" i="1" s="1"/>
  <c r="G995" i="1"/>
  <c r="E995" i="1"/>
  <c r="C995" i="1"/>
  <c r="H995" i="1"/>
  <c r="F995" i="1"/>
  <c r="D995" i="1"/>
  <c r="B995" i="1"/>
  <c r="I995" i="1" s="1"/>
  <c r="G999" i="1"/>
  <c r="E999" i="1"/>
  <c r="C999" i="1"/>
  <c r="H999" i="1"/>
  <c r="F999" i="1"/>
  <c r="D999" i="1"/>
  <c r="B999" i="1"/>
  <c r="I999" i="1" s="1"/>
  <c r="G1004" i="1"/>
  <c r="E1004" i="1"/>
  <c r="C1004" i="1"/>
  <c r="H1004" i="1"/>
  <c r="F1004" i="1"/>
  <c r="D1004" i="1"/>
  <c r="B1004" i="1"/>
  <c r="I1004" i="1" s="1"/>
  <c r="G1008" i="1"/>
  <c r="E1008" i="1"/>
  <c r="C1008" i="1"/>
  <c r="H1008" i="1"/>
  <c r="F1008" i="1"/>
  <c r="D1008" i="1"/>
  <c r="B1008" i="1"/>
  <c r="I1008" i="1" s="1"/>
  <c r="G1013" i="1"/>
  <c r="E1013" i="1"/>
  <c r="C1013" i="1"/>
  <c r="H1013" i="1"/>
  <c r="F1013" i="1"/>
  <c r="D1013" i="1"/>
  <c r="B1013" i="1"/>
  <c r="I1013" i="1" s="1"/>
  <c r="G1017" i="1"/>
  <c r="E1017" i="1"/>
  <c r="C1017" i="1"/>
  <c r="H1017" i="1"/>
  <c r="F1017" i="1"/>
  <c r="D1017" i="1"/>
  <c r="B1017" i="1"/>
  <c r="I1017" i="1" s="1"/>
  <c r="G1021" i="1"/>
  <c r="E1021" i="1"/>
  <c r="C1021" i="1"/>
  <c r="H1021" i="1"/>
  <c r="F1021" i="1"/>
  <c r="D1021" i="1"/>
  <c r="B1021" i="1"/>
  <c r="I1021" i="1" s="1"/>
  <c r="G1025" i="1"/>
  <c r="E1025" i="1"/>
  <c r="C1025" i="1"/>
  <c r="H1025" i="1"/>
  <c r="F1025" i="1"/>
  <c r="D1025" i="1"/>
  <c r="B1025" i="1"/>
  <c r="I1025" i="1" s="1"/>
  <c r="G1029" i="1"/>
  <c r="E1029" i="1"/>
  <c r="C1029" i="1"/>
  <c r="H1029" i="1"/>
  <c r="F1029" i="1"/>
  <c r="D1029" i="1"/>
  <c r="B1029" i="1"/>
  <c r="I1029" i="1" s="1"/>
  <c r="G1034" i="1"/>
  <c r="E1034" i="1"/>
  <c r="C1034" i="1"/>
  <c r="H1034" i="1"/>
  <c r="F1034" i="1"/>
  <c r="D1034" i="1"/>
  <c r="B1034" i="1"/>
  <c r="I1034" i="1" s="1"/>
  <c r="G1037" i="1"/>
  <c r="E1037" i="1"/>
  <c r="C1037" i="1"/>
  <c r="H1037" i="1"/>
  <c r="D1037" i="1"/>
  <c r="F1037" i="1"/>
  <c r="B1037" i="1"/>
  <c r="I1037" i="1" s="1"/>
  <c r="G1039" i="1"/>
  <c r="E1039" i="1"/>
  <c r="C1039" i="1"/>
  <c r="H1039" i="1"/>
  <c r="F1039" i="1"/>
  <c r="D1039" i="1"/>
  <c r="B1039" i="1"/>
  <c r="I1039" i="1" s="1"/>
  <c r="G1043" i="1"/>
  <c r="E1043" i="1"/>
  <c r="C1043" i="1"/>
  <c r="H1043" i="1"/>
  <c r="F1043" i="1"/>
  <c r="D1043" i="1"/>
  <c r="B1043" i="1"/>
  <c r="I1043" i="1" s="1"/>
  <c r="G1048" i="1"/>
  <c r="E1048" i="1"/>
  <c r="C1048" i="1"/>
  <c r="H1048" i="1"/>
  <c r="F1048" i="1"/>
  <c r="D1048" i="1"/>
  <c r="B1048" i="1"/>
  <c r="I1048" i="1" s="1"/>
  <c r="G1052" i="1"/>
  <c r="E1052" i="1"/>
  <c r="C1052" i="1"/>
  <c r="H1052" i="1"/>
  <c r="F1052" i="1"/>
  <c r="D1052" i="1"/>
  <c r="B1052" i="1"/>
  <c r="I1052" i="1" s="1"/>
  <c r="G1055" i="1"/>
  <c r="E1055" i="1"/>
  <c r="C1055" i="1"/>
  <c r="H1055" i="1"/>
  <c r="F1055" i="1"/>
  <c r="D1055" i="1"/>
  <c r="B1055" i="1"/>
  <c r="I1055" i="1" s="1"/>
  <c r="G1060" i="1"/>
  <c r="E1060" i="1"/>
  <c r="C1060" i="1"/>
  <c r="H1060" i="1"/>
  <c r="F1060" i="1"/>
  <c r="D1060" i="1"/>
  <c r="B1060" i="1"/>
  <c r="I1060" i="1" s="1"/>
  <c r="G1064" i="1"/>
  <c r="E1064" i="1"/>
  <c r="C1064" i="1"/>
  <c r="H1064" i="1"/>
  <c r="F1064" i="1"/>
  <c r="D1064" i="1"/>
  <c r="B1064" i="1"/>
  <c r="I1064" i="1" s="1"/>
  <c r="G1068" i="1"/>
  <c r="E1068" i="1"/>
  <c r="C1068" i="1"/>
  <c r="H1068" i="1"/>
  <c r="F1068" i="1"/>
  <c r="D1068" i="1"/>
  <c r="B1068" i="1"/>
  <c r="I1068" i="1" s="1"/>
  <c r="G1073" i="1"/>
  <c r="E1073" i="1"/>
  <c r="C1073" i="1"/>
  <c r="H1073" i="1"/>
  <c r="F1073" i="1"/>
  <c r="D1073" i="1"/>
  <c r="B1073" i="1"/>
  <c r="I1073" i="1" s="1"/>
  <c r="G1077" i="1"/>
  <c r="E1077" i="1"/>
  <c r="C1077" i="1"/>
  <c r="H1077" i="1"/>
  <c r="F1077" i="1"/>
  <c r="D1077" i="1"/>
  <c r="B1077" i="1"/>
  <c r="I1077" i="1" s="1"/>
  <c r="G1081" i="1"/>
  <c r="E1081" i="1"/>
  <c r="C1081" i="1"/>
  <c r="H1081" i="1"/>
  <c r="F1081" i="1"/>
  <c r="D1081" i="1"/>
  <c r="B1081" i="1"/>
  <c r="I1081" i="1" s="1"/>
  <c r="G1085" i="1"/>
  <c r="E1085" i="1"/>
  <c r="C1085" i="1"/>
  <c r="H1085" i="1"/>
  <c r="F1085" i="1"/>
  <c r="D1085" i="1"/>
  <c r="B1085" i="1"/>
  <c r="I1085" i="1" s="1"/>
  <c r="G1090" i="1"/>
  <c r="E1090" i="1"/>
  <c r="C1090" i="1"/>
  <c r="H1090" i="1"/>
  <c r="F1090" i="1"/>
  <c r="D1090" i="1"/>
  <c r="B1090" i="1"/>
  <c r="I1090" i="1" s="1"/>
  <c r="G1094" i="1"/>
  <c r="E1094" i="1"/>
  <c r="C1094" i="1"/>
  <c r="H1094" i="1"/>
  <c r="F1094" i="1"/>
  <c r="D1094" i="1"/>
  <c r="B1094" i="1"/>
  <c r="I1094" i="1" s="1"/>
  <c r="G1099" i="1"/>
  <c r="E1099" i="1"/>
  <c r="C1099" i="1"/>
  <c r="H1099" i="1"/>
  <c r="F1099" i="1"/>
  <c r="D1099" i="1"/>
  <c r="B1099" i="1"/>
  <c r="I1099" i="1" s="1"/>
  <c r="G1103" i="1"/>
  <c r="E1103" i="1"/>
  <c r="C1103" i="1"/>
  <c r="H1103" i="1"/>
  <c r="F1103" i="1"/>
  <c r="D1103" i="1"/>
  <c r="B1103" i="1"/>
  <c r="I1103" i="1" s="1"/>
  <c r="G1107" i="1"/>
  <c r="E1107" i="1"/>
  <c r="C1107" i="1"/>
  <c r="H1107" i="1"/>
  <c r="F1107" i="1"/>
  <c r="D1107" i="1"/>
  <c r="B1107" i="1"/>
  <c r="I1107" i="1" s="1"/>
  <c r="G1112" i="1"/>
  <c r="E1112" i="1"/>
  <c r="C1112" i="1"/>
  <c r="H1112" i="1"/>
  <c r="F1112" i="1"/>
  <c r="D1112" i="1"/>
  <c r="B1112" i="1"/>
  <c r="I1112" i="1" s="1"/>
  <c r="G1116" i="1"/>
  <c r="E1116" i="1"/>
  <c r="C1116" i="1"/>
  <c r="H1116" i="1"/>
  <c r="F1116" i="1"/>
  <c r="D1116" i="1"/>
  <c r="B1116" i="1"/>
  <c r="I1116" i="1" s="1"/>
  <c r="G1121" i="1"/>
  <c r="E1121" i="1"/>
  <c r="C1121" i="1"/>
  <c r="H1121" i="1"/>
  <c r="F1121" i="1"/>
  <c r="D1121" i="1"/>
  <c r="B1121" i="1"/>
  <c r="I1121" i="1" s="1"/>
  <c r="G1125" i="1"/>
  <c r="E1125" i="1"/>
  <c r="C1125" i="1"/>
  <c r="H1125" i="1"/>
  <c r="F1125" i="1"/>
  <c r="D1125" i="1"/>
  <c r="B1125" i="1"/>
  <c r="I1125" i="1" s="1"/>
  <c r="G1129" i="1"/>
  <c r="E1129" i="1"/>
  <c r="C1129" i="1"/>
  <c r="H1129" i="1"/>
  <c r="F1129" i="1"/>
  <c r="D1129" i="1"/>
  <c r="B1129" i="1"/>
  <c r="I1129" i="1" s="1"/>
  <c r="G1134" i="1"/>
  <c r="E1134" i="1"/>
  <c r="C1134" i="1"/>
  <c r="H1134" i="1"/>
  <c r="F1134" i="1"/>
  <c r="D1134" i="1"/>
  <c r="B1134" i="1"/>
  <c r="I1134" i="1" s="1"/>
  <c r="G1138" i="1"/>
  <c r="E1138" i="1"/>
  <c r="C1138" i="1"/>
  <c r="H1138" i="1"/>
  <c r="F1138" i="1"/>
  <c r="D1138" i="1"/>
  <c r="B1138" i="1"/>
  <c r="I1138" i="1" s="1"/>
  <c r="G1142" i="1"/>
  <c r="E1142" i="1"/>
  <c r="C1142" i="1"/>
  <c r="H1142" i="1"/>
  <c r="F1142" i="1"/>
  <c r="D1142" i="1"/>
  <c r="B1142" i="1"/>
  <c r="I1142" i="1" s="1"/>
  <c r="G1146" i="1"/>
  <c r="E1146" i="1"/>
  <c r="C1146" i="1"/>
  <c r="H1146" i="1"/>
  <c r="F1146" i="1"/>
  <c r="D1146" i="1"/>
  <c r="B1146" i="1"/>
  <c r="I1146" i="1" s="1"/>
  <c r="G1151" i="1"/>
  <c r="E1151" i="1"/>
  <c r="C1151" i="1"/>
  <c r="H1151" i="1"/>
  <c r="F1151" i="1"/>
  <c r="D1151" i="1"/>
  <c r="B1151" i="1"/>
  <c r="I1151" i="1" s="1"/>
  <c r="G1155" i="1"/>
  <c r="E1155" i="1"/>
  <c r="C1155" i="1"/>
  <c r="H1155" i="1"/>
  <c r="F1155" i="1"/>
  <c r="D1155" i="1"/>
  <c r="B1155" i="1"/>
  <c r="I1155" i="1" s="1"/>
  <c r="G1158" i="1"/>
  <c r="E1158" i="1"/>
  <c r="C1158" i="1"/>
  <c r="H1158" i="1"/>
  <c r="F1158" i="1"/>
  <c r="B1158" i="1"/>
  <c r="I1158" i="1" s="1"/>
  <c r="D1158" i="1"/>
  <c r="G1162" i="1"/>
  <c r="E1162" i="1"/>
  <c r="C1162" i="1"/>
  <c r="H1162" i="1"/>
  <c r="F1162" i="1"/>
  <c r="D1162" i="1"/>
  <c r="B1162" i="1"/>
  <c r="I1162" i="1" s="1"/>
  <c r="G1164" i="1"/>
  <c r="E1164" i="1"/>
  <c r="C1164" i="1"/>
  <c r="H1164" i="1"/>
  <c r="F1164" i="1"/>
  <c r="D1164" i="1"/>
  <c r="B1164" i="1"/>
  <c r="I1164" i="1" s="1"/>
  <c r="G1166" i="1"/>
  <c r="E1166" i="1"/>
  <c r="C1166" i="1"/>
  <c r="H1166" i="1"/>
  <c r="F1166" i="1"/>
  <c r="D1166" i="1"/>
  <c r="B1166" i="1"/>
  <c r="I1166" i="1" s="1"/>
  <c r="G1168" i="1"/>
  <c r="E1168" i="1"/>
  <c r="C1168" i="1"/>
  <c r="H1168" i="1"/>
  <c r="F1168" i="1"/>
  <c r="D1168" i="1"/>
  <c r="B1168" i="1"/>
  <c r="I1168" i="1" s="1"/>
  <c r="G1170" i="1"/>
  <c r="E1170" i="1"/>
  <c r="C1170" i="1"/>
  <c r="H1170" i="1"/>
  <c r="F1170" i="1"/>
  <c r="D1170" i="1"/>
  <c r="B1170" i="1"/>
  <c r="I1170" i="1" s="1"/>
  <c r="G1172" i="1"/>
  <c r="E1172" i="1"/>
  <c r="C1172" i="1"/>
  <c r="H1172" i="1"/>
  <c r="F1172" i="1"/>
  <c r="D1172" i="1"/>
  <c r="B1172" i="1"/>
  <c r="I1172" i="1" s="1"/>
  <c r="G1174" i="1"/>
  <c r="E1174" i="1"/>
  <c r="C1174" i="1"/>
  <c r="H1174" i="1"/>
  <c r="F1174" i="1"/>
  <c r="D1174" i="1"/>
  <c r="B1174" i="1"/>
  <c r="I1174" i="1" s="1"/>
  <c r="G1176" i="1"/>
  <c r="E1176" i="1"/>
  <c r="C1176" i="1"/>
  <c r="H1176" i="1"/>
  <c r="F1176" i="1"/>
  <c r="D1176" i="1"/>
  <c r="B1176" i="1"/>
  <c r="I1176" i="1" s="1"/>
  <c r="G1178" i="1"/>
  <c r="E1178" i="1"/>
  <c r="C1178" i="1"/>
  <c r="H1178" i="1"/>
  <c r="F1178" i="1"/>
  <c r="D1178" i="1"/>
  <c r="B1178" i="1"/>
  <c r="I1178" i="1" s="1"/>
  <c r="G1180" i="1"/>
  <c r="E1180" i="1"/>
  <c r="C1180" i="1"/>
  <c r="H1180" i="1"/>
  <c r="F1180" i="1"/>
  <c r="D1180" i="1"/>
  <c r="B1180" i="1"/>
  <c r="I1180" i="1" s="1"/>
  <c r="G1182" i="1"/>
  <c r="E1182" i="1"/>
  <c r="C1182" i="1"/>
  <c r="H1182" i="1"/>
  <c r="F1182" i="1"/>
  <c r="D1182" i="1"/>
  <c r="B1182" i="1"/>
  <c r="I1182" i="1" s="1"/>
  <c r="G1184" i="1"/>
  <c r="E1184" i="1"/>
  <c r="C1184" i="1"/>
  <c r="H1184" i="1"/>
  <c r="F1184" i="1"/>
  <c r="D1184" i="1"/>
  <c r="B1184" i="1"/>
  <c r="I1184" i="1" s="1"/>
  <c r="G1186" i="1"/>
  <c r="E1186" i="1"/>
  <c r="C1186" i="1"/>
  <c r="H1186" i="1"/>
  <c r="F1186" i="1"/>
  <c r="D1186" i="1"/>
  <c r="B1186" i="1"/>
  <c r="I1186" i="1" s="1"/>
  <c r="G1188" i="1"/>
  <c r="E1188" i="1"/>
  <c r="C1188" i="1"/>
  <c r="H1188" i="1"/>
  <c r="F1188" i="1"/>
  <c r="D1188" i="1"/>
  <c r="B1188" i="1"/>
  <c r="I1188" i="1" s="1"/>
  <c r="G1190" i="1"/>
  <c r="E1190" i="1"/>
  <c r="C1190" i="1"/>
  <c r="H1190" i="1"/>
  <c r="F1190" i="1"/>
  <c r="D1190" i="1"/>
  <c r="B1190" i="1"/>
  <c r="I1190" i="1" s="1"/>
  <c r="G1192" i="1"/>
  <c r="E1192" i="1"/>
  <c r="C1192" i="1"/>
  <c r="H1192" i="1"/>
  <c r="F1192" i="1"/>
  <c r="D1192" i="1"/>
  <c r="B1192" i="1"/>
  <c r="I1192" i="1" s="1"/>
  <c r="G1194" i="1"/>
  <c r="E1194" i="1"/>
  <c r="C1194" i="1"/>
  <c r="H1194" i="1"/>
  <c r="F1194" i="1"/>
  <c r="D1194" i="1"/>
  <c r="B1194" i="1"/>
  <c r="I1194" i="1" s="1"/>
  <c r="G1196" i="1"/>
  <c r="E1196" i="1"/>
  <c r="C1196" i="1"/>
  <c r="H1196" i="1"/>
  <c r="F1196" i="1"/>
  <c r="D1196" i="1"/>
  <c r="B1196" i="1"/>
  <c r="I1196" i="1" s="1"/>
  <c r="G1198" i="1"/>
  <c r="E1198" i="1"/>
  <c r="C1198" i="1"/>
  <c r="H1198" i="1"/>
  <c r="F1198" i="1"/>
  <c r="D1198" i="1"/>
  <c r="B1198" i="1"/>
  <c r="I1198" i="1" s="1"/>
  <c r="G1200" i="1"/>
  <c r="E1200" i="1"/>
  <c r="C1200" i="1"/>
  <c r="H1200" i="1"/>
  <c r="F1200" i="1"/>
  <c r="D1200" i="1"/>
  <c r="B1200" i="1"/>
  <c r="I1200" i="1" s="1"/>
  <c r="G1202" i="1"/>
  <c r="E1202" i="1"/>
  <c r="C1202" i="1"/>
  <c r="H1202" i="1"/>
  <c r="F1202" i="1"/>
  <c r="D1202" i="1"/>
  <c r="B1202" i="1"/>
  <c r="I1202" i="1" s="1"/>
  <c r="G1204" i="1"/>
  <c r="E1204" i="1"/>
  <c r="C1204" i="1"/>
  <c r="H1204" i="1"/>
  <c r="F1204" i="1"/>
  <c r="D1204" i="1"/>
  <c r="B1204" i="1"/>
  <c r="I1204" i="1" s="1"/>
  <c r="G1206" i="1"/>
  <c r="E1206" i="1"/>
  <c r="C1206" i="1"/>
  <c r="H1206" i="1"/>
  <c r="F1206" i="1"/>
  <c r="D1206" i="1"/>
  <c r="B1206" i="1"/>
  <c r="I1206" i="1" s="1"/>
  <c r="G1208" i="1"/>
  <c r="E1208" i="1"/>
  <c r="C1208" i="1"/>
  <c r="H1208" i="1"/>
  <c r="F1208" i="1"/>
  <c r="D1208" i="1"/>
  <c r="B1208" i="1"/>
  <c r="I1208" i="1" s="1"/>
  <c r="G1210" i="1"/>
  <c r="E1210" i="1"/>
  <c r="C1210" i="1"/>
  <c r="H1210" i="1"/>
  <c r="F1210" i="1"/>
  <c r="D1210" i="1"/>
  <c r="B1210" i="1"/>
  <c r="I1210" i="1" s="1"/>
  <c r="G1212" i="1"/>
  <c r="E1212" i="1"/>
  <c r="C1212" i="1"/>
  <c r="H1212" i="1"/>
  <c r="F1212" i="1"/>
  <c r="D1212" i="1"/>
  <c r="B1212" i="1"/>
  <c r="I1212" i="1" s="1"/>
  <c r="G1214" i="1"/>
  <c r="E1214" i="1"/>
  <c r="C1214" i="1"/>
  <c r="H1214" i="1"/>
  <c r="F1214" i="1"/>
  <c r="D1214" i="1"/>
  <c r="B1214" i="1"/>
  <c r="I1214" i="1" s="1"/>
  <c r="G1216" i="1"/>
  <c r="E1216" i="1"/>
  <c r="C1216" i="1"/>
  <c r="H1216" i="1"/>
  <c r="F1216" i="1"/>
  <c r="D1216" i="1"/>
  <c r="B1216" i="1"/>
  <c r="I1216" i="1" s="1"/>
  <c r="G1218" i="1"/>
  <c r="E1218" i="1"/>
  <c r="C1218" i="1"/>
  <c r="H1218" i="1"/>
  <c r="F1218" i="1"/>
  <c r="D1218" i="1"/>
  <c r="B1218" i="1"/>
  <c r="I1218" i="1" s="1"/>
  <c r="G1220" i="1"/>
  <c r="E1220" i="1"/>
  <c r="C1220" i="1"/>
  <c r="H1220" i="1"/>
  <c r="F1220" i="1"/>
  <c r="D1220" i="1"/>
  <c r="B1220" i="1"/>
  <c r="I1220" i="1" s="1"/>
  <c r="G1222" i="1"/>
  <c r="E1222" i="1"/>
  <c r="C1222" i="1"/>
  <c r="H1222" i="1"/>
  <c r="F1222" i="1"/>
  <c r="D1222" i="1"/>
  <c r="B1222" i="1"/>
  <c r="I1222" i="1" s="1"/>
  <c r="G1224" i="1"/>
  <c r="E1224" i="1"/>
  <c r="C1224" i="1"/>
  <c r="H1224" i="1"/>
  <c r="F1224" i="1"/>
  <c r="D1224" i="1"/>
  <c r="B1224" i="1"/>
  <c r="I1224" i="1" s="1"/>
  <c r="G1226" i="1"/>
  <c r="E1226" i="1"/>
  <c r="C1226" i="1"/>
  <c r="H1226" i="1"/>
  <c r="F1226" i="1"/>
  <c r="D1226" i="1"/>
  <c r="B1226" i="1"/>
  <c r="I1226" i="1" s="1"/>
  <c r="G1228" i="1"/>
  <c r="E1228" i="1"/>
  <c r="C1228" i="1"/>
  <c r="H1228" i="1"/>
  <c r="F1228" i="1"/>
  <c r="D1228" i="1"/>
  <c r="B1228" i="1"/>
  <c r="I1228" i="1" s="1"/>
  <c r="G1230" i="1"/>
  <c r="E1230" i="1"/>
  <c r="C1230" i="1"/>
  <c r="H1230" i="1"/>
  <c r="F1230" i="1"/>
  <c r="D1230" i="1"/>
  <c r="B1230" i="1"/>
  <c r="I1230" i="1" s="1"/>
  <c r="G1232" i="1"/>
  <c r="E1232" i="1"/>
  <c r="C1232" i="1"/>
  <c r="H1232" i="1"/>
  <c r="F1232" i="1"/>
  <c r="D1232" i="1"/>
  <c r="B1232" i="1"/>
  <c r="I1232" i="1" s="1"/>
  <c r="G1234" i="1"/>
  <c r="E1234" i="1"/>
  <c r="C1234" i="1"/>
  <c r="H1234" i="1"/>
  <c r="F1234" i="1"/>
  <c r="D1234" i="1"/>
  <c r="B1234" i="1"/>
  <c r="I1234" i="1" s="1"/>
  <c r="G1236" i="1"/>
  <c r="E1236" i="1"/>
  <c r="C1236" i="1"/>
  <c r="H1236" i="1"/>
  <c r="F1236" i="1"/>
  <c r="D1236" i="1"/>
  <c r="B1236" i="1"/>
  <c r="I1236" i="1" s="1"/>
  <c r="G1238" i="1"/>
  <c r="E1238" i="1"/>
  <c r="C1238" i="1"/>
  <c r="H1238" i="1"/>
  <c r="F1238" i="1"/>
  <c r="D1238" i="1"/>
  <c r="B1238" i="1"/>
  <c r="I1238" i="1" s="1"/>
  <c r="G1240" i="1"/>
  <c r="E1240" i="1"/>
  <c r="C1240" i="1"/>
  <c r="H1240" i="1"/>
  <c r="F1240" i="1"/>
  <c r="D1240" i="1"/>
  <c r="B1240" i="1"/>
  <c r="I1240" i="1" s="1"/>
  <c r="G1242" i="1"/>
  <c r="E1242" i="1"/>
  <c r="C1242" i="1"/>
  <c r="H1242" i="1"/>
  <c r="F1242" i="1"/>
  <c r="D1242" i="1"/>
  <c r="B1242" i="1"/>
  <c r="I1242" i="1" s="1"/>
  <c r="G1244" i="1"/>
  <c r="E1244" i="1"/>
  <c r="C1244" i="1"/>
  <c r="H1244" i="1"/>
  <c r="F1244" i="1"/>
  <c r="D1244" i="1"/>
  <c r="B1244" i="1"/>
  <c r="I1244" i="1" s="1"/>
  <c r="G1246" i="1"/>
  <c r="E1246" i="1"/>
  <c r="C1246" i="1"/>
  <c r="H1246" i="1"/>
  <c r="F1246" i="1"/>
  <c r="D1246" i="1"/>
  <c r="B1246" i="1"/>
  <c r="I1246" i="1" s="1"/>
  <c r="G1248" i="1"/>
  <c r="E1248" i="1"/>
  <c r="C1248" i="1"/>
  <c r="H1248" i="1"/>
  <c r="F1248" i="1"/>
  <c r="D1248" i="1"/>
  <c r="B1248" i="1"/>
  <c r="I1248" i="1" s="1"/>
  <c r="G1250" i="1"/>
  <c r="E1250" i="1"/>
  <c r="C1250" i="1"/>
  <c r="H1250" i="1"/>
  <c r="F1250" i="1"/>
  <c r="D1250" i="1"/>
  <c r="B1250" i="1"/>
  <c r="I1250" i="1" s="1"/>
  <c r="G1252" i="1"/>
  <c r="E1252" i="1"/>
  <c r="C1252" i="1"/>
  <c r="H1252" i="1"/>
  <c r="F1252" i="1"/>
  <c r="D1252" i="1"/>
  <c r="B1252" i="1"/>
  <c r="I1252" i="1" s="1"/>
  <c r="G1254" i="1"/>
  <c r="E1254" i="1"/>
  <c r="C1254" i="1"/>
  <c r="H1254" i="1"/>
  <c r="F1254" i="1"/>
  <c r="D1254" i="1"/>
  <c r="B1254" i="1"/>
  <c r="I1254" i="1" s="1"/>
  <c r="G1256" i="1"/>
  <c r="E1256" i="1"/>
  <c r="C1256" i="1"/>
  <c r="H1256" i="1"/>
  <c r="F1256" i="1"/>
  <c r="D1256" i="1"/>
  <c r="B1256" i="1"/>
  <c r="I1256" i="1" s="1"/>
  <c r="G1258" i="1"/>
  <c r="E1258" i="1"/>
  <c r="C1258" i="1"/>
  <c r="H1258" i="1"/>
  <c r="F1258" i="1"/>
  <c r="D1258" i="1"/>
  <c r="B1258" i="1"/>
  <c r="I1258" i="1" s="1"/>
  <c r="G1260" i="1"/>
  <c r="E1260" i="1"/>
  <c r="C1260" i="1"/>
  <c r="H1260" i="1"/>
  <c r="F1260" i="1"/>
  <c r="D1260" i="1"/>
  <c r="B1260" i="1"/>
  <c r="I1260" i="1" s="1"/>
  <c r="G1262" i="1"/>
  <c r="E1262" i="1"/>
  <c r="C1262" i="1"/>
  <c r="H1262" i="1"/>
  <c r="F1262" i="1"/>
  <c r="D1262" i="1"/>
  <c r="B1262" i="1"/>
  <c r="I1262" i="1" s="1"/>
  <c r="G1264" i="1"/>
  <c r="E1264" i="1"/>
  <c r="C1264" i="1"/>
  <c r="H1264" i="1"/>
  <c r="F1264" i="1"/>
  <c r="D1264" i="1"/>
  <c r="B1264" i="1"/>
  <c r="I1264" i="1" s="1"/>
  <c r="G1266" i="1"/>
  <c r="E1266" i="1"/>
  <c r="C1266" i="1"/>
  <c r="H1266" i="1"/>
  <c r="F1266" i="1"/>
  <c r="D1266" i="1"/>
  <c r="B1266" i="1"/>
  <c r="I1266" i="1" s="1"/>
  <c r="G1268" i="1"/>
  <c r="E1268" i="1"/>
  <c r="C1268" i="1"/>
  <c r="H1268" i="1"/>
  <c r="F1268" i="1"/>
  <c r="D1268" i="1"/>
  <c r="B1268" i="1"/>
  <c r="I1268" i="1" s="1"/>
  <c r="G1270" i="1"/>
  <c r="E1270" i="1"/>
  <c r="C1270" i="1"/>
  <c r="H1270" i="1"/>
  <c r="F1270" i="1"/>
  <c r="D1270" i="1"/>
  <c r="B1270" i="1"/>
  <c r="I1270" i="1" s="1"/>
  <c r="G1272" i="1"/>
  <c r="E1272" i="1"/>
  <c r="C1272" i="1"/>
  <c r="H1272" i="1"/>
  <c r="F1272" i="1"/>
  <c r="D1272" i="1"/>
  <c r="B1272" i="1"/>
  <c r="I1272" i="1" s="1"/>
  <c r="G1274" i="1"/>
  <c r="E1274" i="1"/>
  <c r="C1274" i="1"/>
  <c r="H1274" i="1"/>
  <c r="F1274" i="1"/>
  <c r="D1274" i="1"/>
  <c r="B1274" i="1"/>
  <c r="I1274" i="1" s="1"/>
  <c r="G1276" i="1"/>
  <c r="E1276" i="1"/>
  <c r="C1276" i="1"/>
  <c r="H1276" i="1"/>
  <c r="F1276" i="1"/>
  <c r="D1276" i="1"/>
  <c r="B1276" i="1"/>
  <c r="I1276" i="1" s="1"/>
  <c r="G1278" i="1"/>
  <c r="E1278" i="1"/>
  <c r="C1278" i="1"/>
  <c r="H1278" i="1"/>
  <c r="F1278" i="1"/>
  <c r="D1278" i="1"/>
  <c r="B1278" i="1"/>
  <c r="I1278" i="1" s="1"/>
  <c r="G1280" i="1"/>
  <c r="E1280" i="1"/>
  <c r="C1280" i="1"/>
  <c r="H1280" i="1"/>
  <c r="F1280" i="1"/>
  <c r="D1280" i="1"/>
  <c r="B1280" i="1"/>
  <c r="I1280" i="1" s="1"/>
  <c r="G1282" i="1"/>
  <c r="E1282" i="1"/>
  <c r="C1282" i="1"/>
  <c r="H1282" i="1"/>
  <c r="F1282" i="1"/>
  <c r="D1282" i="1"/>
  <c r="B1282" i="1"/>
  <c r="I1282" i="1" s="1"/>
  <c r="G1284" i="1"/>
  <c r="E1284" i="1"/>
  <c r="C1284" i="1"/>
  <c r="H1284" i="1"/>
  <c r="F1284" i="1"/>
  <c r="D1284" i="1"/>
  <c r="B1284" i="1"/>
  <c r="I1284" i="1" s="1"/>
  <c r="G1286" i="1"/>
  <c r="E1286" i="1"/>
  <c r="C1286" i="1"/>
  <c r="H1286" i="1"/>
  <c r="F1286" i="1"/>
  <c r="D1286" i="1"/>
  <c r="B1286" i="1"/>
  <c r="I1286" i="1" s="1"/>
  <c r="G1288" i="1"/>
  <c r="E1288" i="1"/>
  <c r="C1288" i="1"/>
  <c r="H1288" i="1"/>
  <c r="F1288" i="1"/>
  <c r="D1288" i="1"/>
  <c r="B1288" i="1"/>
  <c r="I1288" i="1" s="1"/>
  <c r="G1290" i="1"/>
  <c r="E1290" i="1"/>
  <c r="C1290" i="1"/>
  <c r="H1290" i="1"/>
  <c r="F1290" i="1"/>
  <c r="D1290" i="1"/>
  <c r="B1290" i="1"/>
  <c r="I1290" i="1" s="1"/>
  <c r="G1292" i="1"/>
  <c r="E1292" i="1"/>
  <c r="C1292" i="1"/>
  <c r="H1292" i="1"/>
  <c r="F1292" i="1"/>
  <c r="D1292" i="1"/>
  <c r="B1292" i="1"/>
  <c r="I1292" i="1" s="1"/>
  <c r="G1294" i="1"/>
  <c r="E1294" i="1"/>
  <c r="C1294" i="1"/>
  <c r="H1294" i="1"/>
  <c r="F1294" i="1"/>
  <c r="D1294" i="1"/>
  <c r="B1294" i="1"/>
  <c r="I1294" i="1" s="1"/>
  <c r="G1296" i="1"/>
  <c r="E1296" i="1"/>
  <c r="C1296" i="1"/>
  <c r="H1296" i="1"/>
  <c r="F1296" i="1"/>
  <c r="D1296" i="1"/>
  <c r="B1296" i="1"/>
  <c r="I1296" i="1" s="1"/>
  <c r="G1298" i="1"/>
  <c r="E1298" i="1"/>
  <c r="C1298" i="1"/>
  <c r="H1298" i="1"/>
  <c r="F1298" i="1"/>
  <c r="D1298" i="1"/>
  <c r="B1298" i="1"/>
  <c r="I1298" i="1" s="1"/>
  <c r="G1300" i="1"/>
  <c r="E1300" i="1"/>
  <c r="C1300" i="1"/>
  <c r="H1300" i="1"/>
  <c r="F1300" i="1"/>
  <c r="D1300" i="1"/>
  <c r="B1300" i="1"/>
  <c r="I1300" i="1" s="1"/>
  <c r="G1302" i="1"/>
  <c r="E1302" i="1"/>
  <c r="C1302" i="1"/>
  <c r="H1302" i="1"/>
  <c r="F1302" i="1"/>
  <c r="D1302" i="1"/>
  <c r="B1302" i="1"/>
  <c r="I1302" i="1" s="1"/>
  <c r="G1304" i="1"/>
  <c r="E1304" i="1"/>
  <c r="C1304" i="1"/>
  <c r="H1304" i="1"/>
  <c r="F1304" i="1"/>
  <c r="D1304" i="1"/>
  <c r="B1304" i="1"/>
  <c r="I1304" i="1" s="1"/>
  <c r="G1306" i="1"/>
  <c r="E1306" i="1"/>
  <c r="C1306" i="1"/>
  <c r="H1306" i="1"/>
  <c r="F1306" i="1"/>
  <c r="D1306" i="1"/>
  <c r="B1306" i="1"/>
  <c r="I1306" i="1" s="1"/>
  <c r="G1308" i="1"/>
  <c r="E1308" i="1"/>
  <c r="C1308" i="1"/>
  <c r="H1308" i="1"/>
  <c r="F1308" i="1"/>
  <c r="D1308" i="1"/>
  <c r="B1308" i="1"/>
  <c r="I1308" i="1" s="1"/>
  <c r="G1310" i="1"/>
  <c r="E1310" i="1"/>
  <c r="C1310" i="1"/>
  <c r="H1310" i="1"/>
  <c r="F1310" i="1"/>
  <c r="D1310" i="1"/>
  <c r="B1310" i="1"/>
  <c r="I1310" i="1" s="1"/>
  <c r="G1312" i="1"/>
  <c r="E1312" i="1"/>
  <c r="C1312" i="1"/>
  <c r="H1312" i="1"/>
  <c r="F1312" i="1"/>
  <c r="D1312" i="1"/>
  <c r="B1312" i="1"/>
  <c r="I1312" i="1" s="1"/>
  <c r="G1314" i="1"/>
  <c r="E1314" i="1"/>
  <c r="C1314" i="1"/>
  <c r="H1314" i="1"/>
  <c r="F1314" i="1"/>
  <c r="D1314" i="1"/>
  <c r="B1314" i="1"/>
  <c r="I1314" i="1" s="1"/>
  <c r="G1316" i="1"/>
  <c r="E1316" i="1"/>
  <c r="C1316" i="1"/>
  <c r="H1316" i="1"/>
  <c r="F1316" i="1"/>
  <c r="D1316" i="1"/>
  <c r="B1316" i="1"/>
  <c r="I1316" i="1" s="1"/>
  <c r="G1318" i="1"/>
  <c r="E1318" i="1"/>
  <c r="C1318" i="1"/>
  <c r="H1318" i="1"/>
  <c r="F1318" i="1"/>
  <c r="D1318" i="1"/>
  <c r="B1318" i="1"/>
  <c r="I1318" i="1" s="1"/>
  <c r="G1320" i="1"/>
  <c r="E1320" i="1"/>
  <c r="C1320" i="1"/>
  <c r="H1320" i="1"/>
  <c r="F1320" i="1"/>
  <c r="D1320" i="1"/>
  <c r="B1320" i="1"/>
  <c r="I1320" i="1" s="1"/>
  <c r="G1322" i="1"/>
  <c r="E1322" i="1"/>
  <c r="C1322" i="1"/>
  <c r="H1322" i="1"/>
  <c r="F1322" i="1"/>
  <c r="D1322" i="1"/>
  <c r="B1322" i="1"/>
  <c r="I1322" i="1" s="1"/>
  <c r="G1324" i="1"/>
  <c r="E1324" i="1"/>
  <c r="C1324" i="1"/>
  <c r="H1324" i="1"/>
  <c r="F1324" i="1"/>
  <c r="D1324" i="1"/>
  <c r="B1324" i="1"/>
  <c r="I1324" i="1" s="1"/>
  <c r="G1326" i="1"/>
  <c r="E1326" i="1"/>
  <c r="C1326" i="1"/>
  <c r="H1326" i="1"/>
  <c r="F1326" i="1"/>
  <c r="D1326" i="1"/>
  <c r="B1326" i="1"/>
  <c r="I1326" i="1" s="1"/>
  <c r="G1328" i="1"/>
  <c r="E1328" i="1"/>
  <c r="C1328" i="1"/>
  <c r="H1328" i="1"/>
  <c r="F1328" i="1"/>
  <c r="D1328" i="1"/>
  <c r="B1328" i="1"/>
  <c r="I1328" i="1" s="1"/>
  <c r="G1330" i="1"/>
  <c r="E1330" i="1"/>
  <c r="C1330" i="1"/>
  <c r="H1330" i="1"/>
  <c r="F1330" i="1"/>
  <c r="D1330" i="1"/>
  <c r="B1330" i="1"/>
  <c r="I1330" i="1" s="1"/>
  <c r="G1332" i="1"/>
  <c r="E1332" i="1"/>
  <c r="C1332" i="1"/>
  <c r="H1332" i="1"/>
  <c r="F1332" i="1"/>
  <c r="D1332" i="1"/>
  <c r="B1332" i="1"/>
  <c r="I1332" i="1" s="1"/>
  <c r="G1334" i="1"/>
  <c r="E1334" i="1"/>
  <c r="C1334" i="1"/>
  <c r="H1334" i="1"/>
  <c r="F1334" i="1"/>
  <c r="D1334" i="1"/>
  <c r="B1334" i="1"/>
  <c r="I1334" i="1" s="1"/>
  <c r="G1336" i="1"/>
  <c r="E1336" i="1"/>
  <c r="C1336" i="1"/>
  <c r="H1336" i="1"/>
  <c r="F1336" i="1"/>
  <c r="D1336" i="1"/>
  <c r="B1336" i="1"/>
  <c r="I1336" i="1" s="1"/>
  <c r="G1338" i="1"/>
  <c r="E1338" i="1"/>
  <c r="C1338" i="1"/>
  <c r="H1338" i="1"/>
  <c r="F1338" i="1"/>
  <c r="D1338" i="1"/>
  <c r="B1338" i="1"/>
  <c r="I1338" i="1" s="1"/>
  <c r="G1340" i="1"/>
  <c r="E1340" i="1"/>
  <c r="C1340" i="1"/>
  <c r="H1340" i="1"/>
  <c r="F1340" i="1"/>
  <c r="D1340" i="1"/>
  <c r="B1340" i="1"/>
  <c r="I1340" i="1" s="1"/>
  <c r="G1342" i="1"/>
  <c r="E1342" i="1"/>
  <c r="C1342" i="1"/>
  <c r="H1342" i="1"/>
  <c r="F1342" i="1"/>
  <c r="D1342" i="1"/>
  <c r="B1342" i="1"/>
  <c r="I1342" i="1" s="1"/>
  <c r="G1344" i="1"/>
  <c r="E1344" i="1"/>
  <c r="C1344" i="1"/>
  <c r="H1344" i="1"/>
  <c r="F1344" i="1"/>
  <c r="D1344" i="1"/>
  <c r="B1344" i="1"/>
  <c r="I1344" i="1" s="1"/>
  <c r="G1346" i="1"/>
  <c r="E1346" i="1"/>
  <c r="C1346" i="1"/>
  <c r="H1346" i="1"/>
  <c r="F1346" i="1"/>
  <c r="D1346" i="1"/>
  <c r="B1346" i="1"/>
  <c r="I1346" i="1" s="1"/>
  <c r="G1348" i="1"/>
  <c r="E1348" i="1"/>
  <c r="C1348" i="1"/>
  <c r="H1348" i="1"/>
  <c r="F1348" i="1"/>
  <c r="D1348" i="1"/>
  <c r="B1348" i="1"/>
  <c r="I1348" i="1" s="1"/>
  <c r="G1350" i="1"/>
  <c r="E1350" i="1"/>
  <c r="C1350" i="1"/>
  <c r="H1350" i="1"/>
  <c r="F1350" i="1"/>
  <c r="D1350" i="1"/>
  <c r="B1350" i="1"/>
  <c r="I1350" i="1" s="1"/>
  <c r="G1352" i="1"/>
  <c r="E1352" i="1"/>
  <c r="C1352" i="1"/>
  <c r="H1352" i="1"/>
  <c r="F1352" i="1"/>
  <c r="D1352" i="1"/>
  <c r="B1352" i="1"/>
  <c r="I1352" i="1" s="1"/>
  <c r="G1354" i="1"/>
  <c r="E1354" i="1"/>
  <c r="C1354" i="1"/>
  <c r="H1354" i="1"/>
  <c r="F1354" i="1"/>
  <c r="D1354" i="1"/>
  <c r="B1354" i="1"/>
  <c r="I1354" i="1" s="1"/>
  <c r="G1356" i="1"/>
  <c r="E1356" i="1"/>
  <c r="C1356" i="1"/>
  <c r="H1356" i="1"/>
  <c r="F1356" i="1"/>
  <c r="D1356" i="1"/>
  <c r="B1356" i="1"/>
  <c r="I1356" i="1" s="1"/>
  <c r="G1358" i="1"/>
  <c r="E1358" i="1"/>
  <c r="C1358" i="1"/>
  <c r="H1358" i="1"/>
  <c r="F1358" i="1"/>
  <c r="D1358" i="1"/>
  <c r="B1358" i="1"/>
  <c r="I1358" i="1" s="1"/>
  <c r="G1360" i="1"/>
  <c r="E1360" i="1"/>
  <c r="C1360" i="1"/>
  <c r="H1360" i="1"/>
  <c r="F1360" i="1"/>
  <c r="D1360" i="1"/>
  <c r="B1360" i="1"/>
  <c r="I1360" i="1" s="1"/>
  <c r="G1362" i="1"/>
  <c r="E1362" i="1"/>
  <c r="C1362" i="1"/>
  <c r="H1362" i="1"/>
  <c r="F1362" i="1"/>
  <c r="D1362" i="1"/>
  <c r="B1362" i="1"/>
  <c r="I1362" i="1" s="1"/>
  <c r="G1364" i="1"/>
  <c r="E1364" i="1"/>
  <c r="C1364" i="1"/>
  <c r="H1364" i="1"/>
  <c r="F1364" i="1"/>
  <c r="D1364" i="1"/>
  <c r="B1364" i="1"/>
  <c r="I1364" i="1" s="1"/>
  <c r="G1366" i="1"/>
  <c r="E1366" i="1"/>
  <c r="C1366" i="1"/>
  <c r="H1366" i="1"/>
  <c r="F1366" i="1"/>
  <c r="D1366" i="1"/>
  <c r="B1366" i="1"/>
  <c r="I1366" i="1" s="1"/>
  <c r="G1368" i="1"/>
  <c r="E1368" i="1"/>
  <c r="C1368" i="1"/>
  <c r="H1368" i="1"/>
  <c r="F1368" i="1"/>
  <c r="D1368" i="1"/>
  <c r="B1368" i="1"/>
  <c r="I1368" i="1" s="1"/>
  <c r="G1370" i="1"/>
  <c r="E1370" i="1"/>
  <c r="C1370" i="1"/>
  <c r="H1370" i="1"/>
  <c r="F1370" i="1"/>
  <c r="D1370" i="1"/>
  <c r="B1370" i="1"/>
  <c r="I1370" i="1" s="1"/>
  <c r="G1372" i="1"/>
  <c r="E1372" i="1"/>
  <c r="C1372" i="1"/>
  <c r="H1372" i="1"/>
  <c r="F1372" i="1"/>
  <c r="D1372" i="1"/>
  <c r="B1372" i="1"/>
  <c r="I1372" i="1" s="1"/>
  <c r="G1374" i="1"/>
  <c r="E1374" i="1"/>
  <c r="C1374" i="1"/>
  <c r="H1374" i="1"/>
  <c r="F1374" i="1"/>
  <c r="D1374" i="1"/>
  <c r="B1374" i="1"/>
  <c r="I1374" i="1" s="1"/>
  <c r="G1376" i="1"/>
  <c r="E1376" i="1"/>
  <c r="C1376" i="1"/>
  <c r="H1376" i="1"/>
  <c r="F1376" i="1"/>
  <c r="D1376" i="1"/>
  <c r="B1376" i="1"/>
  <c r="I1376" i="1" s="1"/>
  <c r="G1378" i="1"/>
  <c r="E1378" i="1"/>
  <c r="C1378" i="1"/>
  <c r="H1378" i="1"/>
  <c r="F1378" i="1"/>
  <c r="D1378" i="1"/>
  <c r="B1378" i="1"/>
  <c r="I1378" i="1" s="1"/>
  <c r="G1380" i="1"/>
  <c r="E1380" i="1"/>
  <c r="C1380" i="1"/>
  <c r="H1380" i="1"/>
  <c r="F1380" i="1"/>
  <c r="D1380" i="1"/>
  <c r="B1380" i="1"/>
  <c r="I1380" i="1" s="1"/>
  <c r="G1382" i="1"/>
  <c r="E1382" i="1"/>
  <c r="C1382" i="1"/>
  <c r="H1382" i="1"/>
  <c r="F1382" i="1"/>
  <c r="D1382" i="1"/>
  <c r="B1382" i="1"/>
  <c r="I1382" i="1" s="1"/>
  <c r="G1384" i="1"/>
  <c r="E1384" i="1"/>
  <c r="C1384" i="1"/>
  <c r="H1384" i="1"/>
  <c r="F1384" i="1"/>
  <c r="D1384" i="1"/>
  <c r="B1384" i="1"/>
  <c r="I1384" i="1" s="1"/>
  <c r="G1386" i="1"/>
  <c r="E1386" i="1"/>
  <c r="C1386" i="1"/>
  <c r="H1386" i="1"/>
  <c r="F1386" i="1"/>
  <c r="D1386" i="1"/>
  <c r="B1386" i="1"/>
  <c r="I1386" i="1" s="1"/>
  <c r="G1388" i="1"/>
  <c r="E1388" i="1"/>
  <c r="C1388" i="1"/>
  <c r="H1388" i="1"/>
  <c r="F1388" i="1"/>
  <c r="D1388" i="1"/>
  <c r="B1388" i="1"/>
  <c r="I1388" i="1" s="1"/>
  <c r="G1390" i="1"/>
  <c r="E1390" i="1"/>
  <c r="C1390" i="1"/>
  <c r="H1390" i="1"/>
  <c r="F1390" i="1"/>
  <c r="D1390" i="1"/>
  <c r="B1390" i="1"/>
  <c r="I1390" i="1" s="1"/>
  <c r="G1392" i="1"/>
  <c r="E1392" i="1"/>
  <c r="C1392" i="1"/>
  <c r="H1392" i="1"/>
  <c r="F1392" i="1"/>
  <c r="D1392" i="1"/>
  <c r="B1392" i="1"/>
  <c r="I1392" i="1" s="1"/>
  <c r="G1394" i="1"/>
  <c r="E1394" i="1"/>
  <c r="C1394" i="1"/>
  <c r="H1394" i="1"/>
  <c r="F1394" i="1"/>
  <c r="D1394" i="1"/>
  <c r="B1394" i="1"/>
  <c r="I1394" i="1" s="1"/>
  <c r="G1396" i="1"/>
  <c r="E1396" i="1"/>
  <c r="C1396" i="1"/>
  <c r="H1396" i="1"/>
  <c r="F1396" i="1"/>
  <c r="D1396" i="1"/>
  <c r="B1396" i="1"/>
  <c r="I1396" i="1" s="1"/>
  <c r="G1398" i="1"/>
  <c r="E1398" i="1"/>
  <c r="C1398" i="1"/>
  <c r="H1398" i="1"/>
  <c r="F1398" i="1"/>
  <c r="D1398" i="1"/>
  <c r="B1398" i="1"/>
  <c r="I1398" i="1" s="1"/>
  <c r="G1400" i="1"/>
  <c r="E1400" i="1"/>
  <c r="C1400" i="1"/>
  <c r="H1400" i="1"/>
  <c r="F1400" i="1"/>
  <c r="D1400" i="1"/>
  <c r="B1400" i="1"/>
  <c r="I1400" i="1" s="1"/>
  <c r="G1402" i="1"/>
  <c r="E1402" i="1"/>
  <c r="C1402" i="1"/>
  <c r="H1402" i="1"/>
  <c r="F1402" i="1"/>
  <c r="D1402" i="1"/>
  <c r="B1402" i="1"/>
  <c r="I1402" i="1" s="1"/>
  <c r="G1404" i="1"/>
  <c r="E1404" i="1"/>
  <c r="C1404" i="1"/>
  <c r="H1404" i="1"/>
  <c r="F1404" i="1"/>
  <c r="D1404" i="1"/>
  <c r="B1404" i="1"/>
  <c r="I1404" i="1" s="1"/>
  <c r="G1406" i="1"/>
  <c r="E1406" i="1"/>
  <c r="C1406" i="1"/>
  <c r="H1406" i="1"/>
  <c r="F1406" i="1"/>
  <c r="D1406" i="1"/>
  <c r="B1406" i="1"/>
  <c r="I1406" i="1" s="1"/>
  <c r="G1408" i="1"/>
  <c r="E1408" i="1"/>
  <c r="C1408" i="1"/>
  <c r="H1408" i="1"/>
  <c r="F1408" i="1"/>
  <c r="D1408" i="1"/>
  <c r="B1408" i="1"/>
  <c r="I1408" i="1" s="1"/>
  <c r="G1410" i="1"/>
  <c r="E1410" i="1"/>
  <c r="C1410" i="1"/>
  <c r="H1410" i="1"/>
  <c r="F1410" i="1"/>
  <c r="D1410" i="1"/>
  <c r="B1410" i="1"/>
  <c r="I1410" i="1" s="1"/>
  <c r="G1412" i="1"/>
  <c r="E1412" i="1"/>
  <c r="C1412" i="1"/>
  <c r="H1412" i="1"/>
  <c r="F1412" i="1"/>
  <c r="D1412" i="1"/>
  <c r="B1412" i="1"/>
  <c r="I1412" i="1" s="1"/>
  <c r="G1414" i="1"/>
  <c r="E1414" i="1"/>
  <c r="C1414" i="1"/>
  <c r="H1414" i="1"/>
  <c r="F1414" i="1"/>
  <c r="D1414" i="1"/>
  <c r="B1414" i="1"/>
  <c r="I1414" i="1" s="1"/>
  <c r="G1416" i="1"/>
  <c r="E1416" i="1"/>
  <c r="C1416" i="1"/>
  <c r="H1416" i="1"/>
  <c r="F1416" i="1"/>
  <c r="D1416" i="1"/>
  <c r="B1416" i="1"/>
  <c r="I1416" i="1" s="1"/>
  <c r="G1418" i="1"/>
  <c r="E1418" i="1"/>
  <c r="C1418" i="1"/>
  <c r="H1418" i="1"/>
  <c r="F1418" i="1"/>
  <c r="D1418" i="1"/>
  <c r="B1418" i="1"/>
  <c r="I1418" i="1" s="1"/>
  <c r="G1420" i="1"/>
  <c r="E1420" i="1"/>
  <c r="C1420" i="1"/>
  <c r="H1420" i="1"/>
  <c r="F1420" i="1"/>
  <c r="D1420" i="1"/>
  <c r="B1420" i="1"/>
  <c r="I1420" i="1" s="1"/>
  <c r="G1422" i="1"/>
  <c r="E1422" i="1"/>
  <c r="C1422" i="1"/>
  <c r="H1422" i="1"/>
  <c r="F1422" i="1"/>
  <c r="D1422" i="1"/>
  <c r="B1422" i="1"/>
  <c r="I1422" i="1" s="1"/>
  <c r="G1424" i="1"/>
  <c r="E1424" i="1"/>
  <c r="C1424" i="1"/>
  <c r="H1424" i="1"/>
  <c r="F1424" i="1"/>
  <c r="D1424" i="1"/>
  <c r="B1424" i="1"/>
  <c r="I1424" i="1" s="1"/>
  <c r="G1426" i="1"/>
  <c r="E1426" i="1"/>
  <c r="C1426" i="1"/>
  <c r="H1426" i="1"/>
  <c r="F1426" i="1"/>
  <c r="D1426" i="1"/>
  <c r="B1426" i="1"/>
  <c r="I1426" i="1" s="1"/>
  <c r="G1428" i="1"/>
  <c r="E1428" i="1"/>
  <c r="C1428" i="1"/>
  <c r="H1428" i="1"/>
  <c r="F1428" i="1"/>
  <c r="D1428" i="1"/>
  <c r="B1428" i="1"/>
  <c r="I1428" i="1" s="1"/>
  <c r="G1430" i="1"/>
  <c r="E1430" i="1"/>
  <c r="C1430" i="1"/>
  <c r="H1430" i="1"/>
  <c r="F1430" i="1"/>
  <c r="D1430" i="1"/>
  <c r="B1430" i="1"/>
  <c r="I1430" i="1" s="1"/>
  <c r="G1432" i="1"/>
  <c r="E1432" i="1"/>
  <c r="C1432" i="1"/>
  <c r="H1432" i="1"/>
  <c r="F1432" i="1"/>
  <c r="D1432" i="1"/>
  <c r="B1432" i="1"/>
  <c r="I1432" i="1" s="1"/>
  <c r="G1434" i="1"/>
  <c r="E1434" i="1"/>
  <c r="C1434" i="1"/>
  <c r="H1434" i="1"/>
  <c r="F1434" i="1"/>
  <c r="D1434" i="1"/>
  <c r="B1434" i="1"/>
  <c r="I1434" i="1" s="1"/>
  <c r="G1436" i="1"/>
  <c r="E1436" i="1"/>
  <c r="C1436" i="1"/>
  <c r="H1436" i="1"/>
  <c r="F1436" i="1"/>
  <c r="D1436" i="1"/>
  <c r="B1436" i="1"/>
  <c r="I1436" i="1" s="1"/>
  <c r="G1438" i="1"/>
  <c r="E1438" i="1"/>
  <c r="C1438" i="1"/>
  <c r="H1438" i="1"/>
  <c r="F1438" i="1"/>
  <c r="D1438" i="1"/>
  <c r="B1438" i="1"/>
  <c r="I1438" i="1" s="1"/>
  <c r="G1440" i="1"/>
  <c r="E1440" i="1"/>
  <c r="C1440" i="1"/>
  <c r="H1440" i="1"/>
  <c r="F1440" i="1"/>
  <c r="D1440" i="1"/>
  <c r="B1440" i="1"/>
  <c r="I1440" i="1" s="1"/>
  <c r="G1442" i="1"/>
  <c r="E1442" i="1"/>
  <c r="C1442" i="1"/>
  <c r="H1442" i="1"/>
  <c r="F1442" i="1"/>
  <c r="D1442" i="1"/>
  <c r="B1442" i="1"/>
  <c r="I1442" i="1" s="1"/>
  <c r="G1444" i="1"/>
  <c r="E1444" i="1"/>
  <c r="C1444" i="1"/>
  <c r="H1444" i="1"/>
  <c r="F1444" i="1"/>
  <c r="D1444" i="1"/>
  <c r="B1444" i="1"/>
  <c r="I1444" i="1" s="1"/>
  <c r="G1446" i="1"/>
  <c r="E1446" i="1"/>
  <c r="C1446" i="1"/>
  <c r="H1446" i="1"/>
  <c r="F1446" i="1"/>
  <c r="D1446" i="1"/>
  <c r="B1446" i="1"/>
  <c r="I1446" i="1" s="1"/>
  <c r="G1448" i="1"/>
  <c r="E1448" i="1"/>
  <c r="C1448" i="1"/>
  <c r="H1448" i="1"/>
  <c r="F1448" i="1"/>
  <c r="D1448" i="1"/>
  <c r="B1448" i="1"/>
  <c r="I1448" i="1" s="1"/>
  <c r="G1450" i="1"/>
  <c r="E1450" i="1"/>
  <c r="C1450" i="1"/>
  <c r="H1450" i="1"/>
  <c r="F1450" i="1"/>
  <c r="D1450" i="1"/>
  <c r="B1450" i="1"/>
  <c r="I1450" i="1" s="1"/>
  <c r="G1452" i="1"/>
  <c r="E1452" i="1"/>
  <c r="C1452" i="1"/>
  <c r="H1452" i="1"/>
  <c r="F1452" i="1"/>
  <c r="D1452" i="1"/>
  <c r="B1452" i="1"/>
  <c r="I1452" i="1" s="1"/>
  <c r="G1454" i="1"/>
  <c r="E1454" i="1"/>
  <c r="C1454" i="1"/>
  <c r="H1454" i="1"/>
  <c r="F1454" i="1"/>
  <c r="D1454" i="1"/>
  <c r="B1454" i="1"/>
  <c r="I1454" i="1" s="1"/>
  <c r="G1456" i="1"/>
  <c r="E1456" i="1"/>
  <c r="C1456" i="1"/>
  <c r="H1456" i="1"/>
  <c r="F1456" i="1"/>
  <c r="D1456" i="1"/>
  <c r="B1456" i="1"/>
  <c r="I1456" i="1" s="1"/>
  <c r="G1458" i="1"/>
  <c r="E1458" i="1"/>
  <c r="C1458" i="1"/>
  <c r="H1458" i="1"/>
  <c r="F1458" i="1"/>
  <c r="D1458" i="1"/>
  <c r="B1458" i="1"/>
  <c r="I1458" i="1" s="1"/>
  <c r="G1460" i="1"/>
  <c r="E1460" i="1"/>
  <c r="C1460" i="1"/>
  <c r="H1460" i="1"/>
  <c r="F1460" i="1"/>
  <c r="D1460" i="1"/>
  <c r="B1460" i="1"/>
  <c r="I1460" i="1" s="1"/>
  <c r="G1462" i="1"/>
  <c r="E1462" i="1"/>
  <c r="C1462" i="1"/>
  <c r="H1462" i="1"/>
  <c r="F1462" i="1"/>
  <c r="D1462" i="1"/>
  <c r="B1462" i="1"/>
  <c r="I1462" i="1" s="1"/>
  <c r="G1464" i="1"/>
  <c r="E1464" i="1"/>
  <c r="C1464" i="1"/>
  <c r="H1464" i="1"/>
  <c r="F1464" i="1"/>
  <c r="D1464" i="1"/>
  <c r="B1464" i="1"/>
  <c r="I1464" i="1" s="1"/>
  <c r="G1466" i="1"/>
  <c r="E1466" i="1"/>
  <c r="C1466" i="1"/>
  <c r="H1466" i="1"/>
  <c r="F1466" i="1"/>
  <c r="D1466" i="1"/>
  <c r="B1466" i="1"/>
  <c r="I1466" i="1" s="1"/>
  <c r="G1468" i="1"/>
  <c r="E1468" i="1"/>
  <c r="C1468" i="1"/>
  <c r="H1468" i="1"/>
  <c r="F1468" i="1"/>
  <c r="D1468" i="1"/>
  <c r="B1468" i="1"/>
  <c r="I1468" i="1" s="1"/>
  <c r="G1470" i="1"/>
  <c r="E1470" i="1"/>
  <c r="C1470" i="1"/>
  <c r="H1470" i="1"/>
  <c r="F1470" i="1"/>
  <c r="D1470" i="1"/>
  <c r="B1470" i="1"/>
  <c r="I1470" i="1" s="1"/>
  <c r="G1472" i="1"/>
  <c r="E1472" i="1"/>
  <c r="C1472" i="1"/>
  <c r="H1472" i="1"/>
  <c r="F1472" i="1"/>
  <c r="D1472" i="1"/>
  <c r="B1472" i="1"/>
  <c r="I1472" i="1" s="1"/>
  <c r="G1474" i="1"/>
  <c r="E1474" i="1"/>
  <c r="C1474" i="1"/>
  <c r="H1474" i="1"/>
  <c r="F1474" i="1"/>
  <c r="D1474" i="1"/>
  <c r="B1474" i="1"/>
  <c r="I1474" i="1" s="1"/>
  <c r="G1476" i="1"/>
  <c r="E1476" i="1"/>
  <c r="C1476" i="1"/>
  <c r="H1476" i="1"/>
  <c r="F1476" i="1"/>
  <c r="D1476" i="1"/>
  <c r="B1476" i="1"/>
  <c r="I1476" i="1" s="1"/>
  <c r="G1478" i="1"/>
  <c r="E1478" i="1"/>
  <c r="C1478" i="1"/>
  <c r="H1478" i="1"/>
  <c r="F1478" i="1"/>
  <c r="D1478" i="1"/>
  <c r="B1478" i="1"/>
  <c r="I1478" i="1" s="1"/>
  <c r="G1480" i="1"/>
  <c r="E1480" i="1"/>
  <c r="C1480" i="1"/>
  <c r="H1480" i="1"/>
  <c r="F1480" i="1"/>
  <c r="D1480" i="1"/>
  <c r="B1480" i="1"/>
  <c r="I1480" i="1" s="1"/>
  <c r="G1482" i="1"/>
  <c r="E1482" i="1"/>
  <c r="C1482" i="1"/>
  <c r="H1482" i="1"/>
  <c r="F1482" i="1"/>
  <c r="D1482" i="1"/>
  <c r="B1482" i="1"/>
  <c r="I1482" i="1" s="1"/>
  <c r="G1484" i="1"/>
  <c r="E1484" i="1"/>
  <c r="C1484" i="1"/>
  <c r="H1484" i="1"/>
  <c r="F1484" i="1"/>
  <c r="D1484" i="1"/>
  <c r="B1484" i="1"/>
  <c r="I1484" i="1" s="1"/>
  <c r="G1486" i="1"/>
  <c r="E1486" i="1"/>
  <c r="C1486" i="1"/>
  <c r="H1486" i="1"/>
  <c r="F1486" i="1"/>
  <c r="D1486" i="1"/>
  <c r="B1486" i="1"/>
  <c r="I1486" i="1" s="1"/>
  <c r="G1488" i="1"/>
  <c r="E1488" i="1"/>
  <c r="C1488" i="1"/>
  <c r="H1488" i="1"/>
  <c r="F1488" i="1"/>
  <c r="D1488" i="1"/>
  <c r="B1488" i="1"/>
  <c r="I1488" i="1" s="1"/>
  <c r="G1490" i="1"/>
  <c r="E1490" i="1"/>
  <c r="C1490" i="1"/>
  <c r="H1490" i="1"/>
  <c r="F1490" i="1"/>
  <c r="D1490" i="1"/>
  <c r="B1490" i="1"/>
  <c r="I1490" i="1" s="1"/>
  <c r="G1492" i="1"/>
  <c r="E1492" i="1"/>
  <c r="C1492" i="1"/>
  <c r="H1492" i="1"/>
  <c r="F1492" i="1"/>
  <c r="D1492" i="1"/>
  <c r="B1492" i="1"/>
  <c r="I1492" i="1" s="1"/>
  <c r="G1494" i="1"/>
  <c r="E1494" i="1"/>
  <c r="C1494" i="1"/>
  <c r="H1494" i="1"/>
  <c r="F1494" i="1"/>
  <c r="D1494" i="1"/>
  <c r="B1494" i="1"/>
  <c r="I1494" i="1" s="1"/>
  <c r="G1496" i="1"/>
  <c r="E1496" i="1"/>
  <c r="C1496" i="1"/>
  <c r="H1496" i="1"/>
  <c r="F1496" i="1"/>
  <c r="D1496" i="1"/>
  <c r="B1496" i="1"/>
  <c r="I1496" i="1" s="1"/>
  <c r="G1498" i="1"/>
  <c r="E1498" i="1"/>
  <c r="C1498" i="1"/>
  <c r="H1498" i="1"/>
  <c r="F1498" i="1"/>
  <c r="D1498" i="1"/>
  <c r="B1498" i="1"/>
  <c r="I1498" i="1" s="1"/>
  <c r="G1500" i="1"/>
  <c r="E1500" i="1"/>
  <c r="C1500" i="1"/>
  <c r="H1500" i="1"/>
  <c r="F1500" i="1"/>
  <c r="D1500" i="1"/>
  <c r="B1500" i="1"/>
  <c r="I1500" i="1" s="1"/>
  <c r="G1502" i="1"/>
  <c r="E1502" i="1"/>
  <c r="C1502" i="1"/>
  <c r="H1502" i="1"/>
  <c r="F1502" i="1"/>
  <c r="D1502" i="1"/>
  <c r="B1502" i="1"/>
  <c r="I1502" i="1" s="1"/>
  <c r="G1504" i="1"/>
  <c r="E1504" i="1"/>
  <c r="C1504" i="1"/>
  <c r="H1504" i="1"/>
  <c r="F1504" i="1"/>
  <c r="D1504" i="1"/>
  <c r="B1504" i="1"/>
  <c r="I1504" i="1" s="1"/>
  <c r="G1506" i="1"/>
  <c r="E1506" i="1"/>
  <c r="C1506" i="1"/>
  <c r="H1506" i="1"/>
  <c r="F1506" i="1"/>
  <c r="D1506" i="1"/>
  <c r="B1506" i="1"/>
  <c r="I1506" i="1" s="1"/>
  <c r="G1508" i="1"/>
  <c r="E1508" i="1"/>
  <c r="C1508" i="1"/>
  <c r="H1508" i="1"/>
  <c r="F1508" i="1"/>
  <c r="D1508" i="1"/>
  <c r="B1508" i="1"/>
  <c r="I1508" i="1" s="1"/>
  <c r="G1510" i="1"/>
  <c r="E1510" i="1"/>
  <c r="C1510" i="1"/>
  <c r="H1510" i="1"/>
  <c r="F1510" i="1"/>
  <c r="D1510" i="1"/>
  <c r="B1510" i="1"/>
  <c r="I1510" i="1" s="1"/>
  <c r="G1512" i="1"/>
  <c r="E1512" i="1"/>
  <c r="C1512" i="1"/>
  <c r="H1512" i="1"/>
  <c r="F1512" i="1"/>
  <c r="D1512" i="1"/>
  <c r="B1512" i="1"/>
  <c r="I1512" i="1" s="1"/>
  <c r="G1514" i="1"/>
  <c r="E1514" i="1"/>
  <c r="C1514" i="1"/>
  <c r="H1514" i="1"/>
  <c r="F1514" i="1"/>
  <c r="D1514" i="1"/>
  <c r="B1514" i="1"/>
  <c r="I1514" i="1" s="1"/>
  <c r="G1516" i="1"/>
  <c r="E1516" i="1"/>
  <c r="C1516" i="1"/>
  <c r="H1516" i="1"/>
  <c r="F1516" i="1"/>
  <c r="D1516" i="1"/>
  <c r="B1516" i="1"/>
  <c r="I1516" i="1" s="1"/>
  <c r="G1518" i="1"/>
  <c r="E1518" i="1"/>
  <c r="C1518" i="1"/>
  <c r="H1518" i="1"/>
  <c r="F1518" i="1"/>
  <c r="D1518" i="1"/>
  <c r="B1518" i="1"/>
  <c r="I1518" i="1" s="1"/>
  <c r="G1520" i="1"/>
  <c r="E1520" i="1"/>
  <c r="C1520" i="1"/>
  <c r="H1520" i="1"/>
  <c r="F1520" i="1"/>
  <c r="D1520" i="1"/>
  <c r="B1520" i="1"/>
  <c r="I1520" i="1" s="1"/>
  <c r="G1522" i="1"/>
  <c r="E1522" i="1"/>
  <c r="C1522" i="1"/>
  <c r="H1522" i="1"/>
  <c r="F1522" i="1"/>
  <c r="D1522" i="1"/>
  <c r="B1522" i="1"/>
  <c r="I1522" i="1" s="1"/>
  <c r="G1524" i="1"/>
  <c r="E1524" i="1"/>
  <c r="C1524" i="1"/>
  <c r="H1524" i="1"/>
  <c r="F1524" i="1"/>
  <c r="D1524" i="1"/>
  <c r="B1524" i="1"/>
  <c r="I1524" i="1" s="1"/>
  <c r="G1526" i="1"/>
  <c r="E1526" i="1"/>
  <c r="C1526" i="1"/>
  <c r="H1526" i="1"/>
  <c r="F1526" i="1"/>
  <c r="D1526" i="1"/>
  <c r="B1526" i="1"/>
  <c r="I1526" i="1" s="1"/>
  <c r="G1528" i="1"/>
  <c r="E1528" i="1"/>
  <c r="C1528" i="1"/>
  <c r="H1528" i="1"/>
  <c r="F1528" i="1"/>
  <c r="D1528" i="1"/>
  <c r="B1528" i="1"/>
  <c r="I1528" i="1" s="1"/>
  <c r="G1530" i="1"/>
  <c r="E1530" i="1"/>
  <c r="C1530" i="1"/>
  <c r="H1530" i="1"/>
  <c r="F1530" i="1"/>
  <c r="D1530" i="1"/>
  <c r="B1530" i="1"/>
  <c r="I1530" i="1" s="1"/>
  <c r="G1532" i="1"/>
  <c r="E1532" i="1"/>
  <c r="C1532" i="1"/>
  <c r="H1532" i="1"/>
  <c r="F1532" i="1"/>
  <c r="D1532" i="1"/>
  <c r="B1532" i="1"/>
  <c r="I1532" i="1" s="1"/>
  <c r="G1534" i="1"/>
  <c r="E1534" i="1"/>
  <c r="C1534" i="1"/>
  <c r="H1534" i="1"/>
  <c r="F1534" i="1"/>
  <c r="D1534" i="1"/>
  <c r="B1534" i="1"/>
  <c r="I1534" i="1" s="1"/>
  <c r="G1536" i="1"/>
  <c r="E1536" i="1"/>
  <c r="C1536" i="1"/>
  <c r="H1536" i="1"/>
  <c r="F1536" i="1"/>
  <c r="D1536" i="1"/>
  <c r="B1536" i="1"/>
  <c r="I1536" i="1" s="1"/>
  <c r="G1538" i="1"/>
  <c r="E1538" i="1"/>
  <c r="C1538" i="1"/>
  <c r="H1538" i="1"/>
  <c r="F1538" i="1"/>
  <c r="D1538" i="1"/>
  <c r="B1538" i="1"/>
  <c r="I1538" i="1" s="1"/>
  <c r="G1540" i="1"/>
  <c r="E1540" i="1"/>
  <c r="C1540" i="1"/>
  <c r="H1540" i="1"/>
  <c r="F1540" i="1"/>
  <c r="D1540" i="1"/>
  <c r="B1540" i="1"/>
  <c r="I1540" i="1" s="1"/>
  <c r="G1542" i="1"/>
  <c r="E1542" i="1"/>
  <c r="C1542" i="1"/>
  <c r="H1542" i="1"/>
  <c r="F1542" i="1"/>
  <c r="D1542" i="1"/>
  <c r="B1542" i="1"/>
  <c r="I1542" i="1" s="1"/>
  <c r="G1544" i="1"/>
  <c r="E1544" i="1"/>
  <c r="C1544" i="1"/>
  <c r="H1544" i="1"/>
  <c r="F1544" i="1"/>
  <c r="D1544" i="1"/>
  <c r="B1544" i="1"/>
  <c r="I1544" i="1" s="1"/>
  <c r="G1546" i="1"/>
  <c r="E1546" i="1"/>
  <c r="C1546" i="1"/>
  <c r="H1546" i="1"/>
  <c r="F1546" i="1"/>
  <c r="D1546" i="1"/>
  <c r="B1546" i="1"/>
  <c r="I1546" i="1" s="1"/>
  <c r="G1548" i="1"/>
  <c r="E1548" i="1"/>
  <c r="C1548" i="1"/>
  <c r="H1548" i="1"/>
  <c r="F1548" i="1"/>
  <c r="D1548" i="1"/>
  <c r="B1548" i="1"/>
  <c r="I1548" i="1" s="1"/>
  <c r="G1550" i="1"/>
  <c r="E1550" i="1"/>
  <c r="C1550" i="1"/>
  <c r="H1550" i="1"/>
  <c r="F1550" i="1"/>
  <c r="D1550" i="1"/>
  <c r="B1550" i="1"/>
  <c r="I1550" i="1" s="1"/>
  <c r="G1552" i="1"/>
  <c r="E1552" i="1"/>
  <c r="C1552" i="1"/>
  <c r="H1552" i="1"/>
  <c r="F1552" i="1"/>
  <c r="D1552" i="1"/>
  <c r="B1552" i="1"/>
  <c r="I1552" i="1" s="1"/>
  <c r="G1554" i="1"/>
  <c r="E1554" i="1"/>
  <c r="C1554" i="1"/>
  <c r="H1554" i="1"/>
  <c r="F1554" i="1"/>
  <c r="D1554" i="1"/>
  <c r="B1554" i="1"/>
  <c r="I1554" i="1" s="1"/>
  <c r="G1556" i="1"/>
  <c r="E1556" i="1"/>
  <c r="C1556" i="1"/>
  <c r="H1556" i="1"/>
  <c r="F1556" i="1"/>
  <c r="D1556" i="1"/>
  <c r="B1556" i="1"/>
  <c r="I1556" i="1" s="1"/>
  <c r="G1558" i="1"/>
  <c r="E1558" i="1"/>
  <c r="C1558" i="1"/>
  <c r="H1558" i="1"/>
  <c r="F1558" i="1"/>
  <c r="D1558" i="1"/>
  <c r="B1558" i="1"/>
  <c r="I1558" i="1" s="1"/>
  <c r="G1560" i="1"/>
  <c r="E1560" i="1"/>
  <c r="C1560" i="1"/>
  <c r="H1560" i="1"/>
  <c r="F1560" i="1"/>
  <c r="D1560" i="1"/>
  <c r="B1560" i="1"/>
  <c r="I1560" i="1" s="1"/>
  <c r="G1562" i="1"/>
  <c r="E1562" i="1"/>
  <c r="C1562" i="1"/>
  <c r="H1562" i="1"/>
  <c r="F1562" i="1"/>
  <c r="D1562" i="1"/>
  <c r="B1562" i="1"/>
  <c r="I1562" i="1" s="1"/>
  <c r="G1564" i="1"/>
  <c r="E1564" i="1"/>
  <c r="C1564" i="1"/>
  <c r="H1564" i="1"/>
  <c r="F1564" i="1"/>
  <c r="D1564" i="1"/>
  <c r="B1564" i="1"/>
  <c r="I1564" i="1" s="1"/>
  <c r="G1566" i="1"/>
  <c r="E1566" i="1"/>
  <c r="C1566" i="1"/>
  <c r="H1566" i="1"/>
  <c r="F1566" i="1"/>
  <c r="D1566" i="1"/>
  <c r="B1566" i="1"/>
  <c r="I1566" i="1" s="1"/>
  <c r="G1568" i="1"/>
  <c r="E1568" i="1"/>
  <c r="C1568" i="1"/>
  <c r="H1568" i="1"/>
  <c r="F1568" i="1"/>
  <c r="D1568" i="1"/>
  <c r="B1568" i="1"/>
  <c r="I1568" i="1" s="1"/>
  <c r="G1570" i="1"/>
  <c r="E1570" i="1"/>
  <c r="C1570" i="1"/>
  <c r="H1570" i="1"/>
  <c r="F1570" i="1"/>
  <c r="D1570" i="1"/>
  <c r="B1570" i="1"/>
  <c r="I1570" i="1" s="1"/>
  <c r="G1572" i="1"/>
  <c r="E1572" i="1"/>
  <c r="C1572" i="1"/>
  <c r="H1572" i="1"/>
  <c r="F1572" i="1"/>
  <c r="D1572" i="1"/>
  <c r="B1572" i="1"/>
  <c r="I1572" i="1" s="1"/>
  <c r="G1574" i="1"/>
  <c r="E1574" i="1"/>
  <c r="C1574" i="1"/>
  <c r="H1574" i="1"/>
  <c r="F1574" i="1"/>
  <c r="D1574" i="1"/>
  <c r="B1574" i="1"/>
  <c r="I1574" i="1" s="1"/>
  <c r="G1576" i="1"/>
  <c r="E1576" i="1"/>
  <c r="C1576" i="1"/>
  <c r="H1576" i="1"/>
  <c r="F1576" i="1"/>
  <c r="D1576" i="1"/>
  <c r="B1576" i="1"/>
  <c r="I1576" i="1" s="1"/>
  <c r="G1578" i="1"/>
  <c r="E1578" i="1"/>
  <c r="C1578" i="1"/>
  <c r="H1578" i="1"/>
  <c r="F1578" i="1"/>
  <c r="D1578" i="1"/>
  <c r="B1578" i="1"/>
  <c r="I1578" i="1" s="1"/>
  <c r="G1580" i="1"/>
  <c r="E1580" i="1"/>
  <c r="C1580" i="1"/>
  <c r="H1580" i="1"/>
  <c r="F1580" i="1"/>
  <c r="D1580" i="1"/>
  <c r="B1580" i="1"/>
  <c r="I1580" i="1" s="1"/>
  <c r="G1582" i="1"/>
  <c r="E1582" i="1"/>
  <c r="C1582" i="1"/>
  <c r="H1582" i="1"/>
  <c r="F1582" i="1"/>
  <c r="D1582" i="1"/>
  <c r="B1582" i="1"/>
  <c r="I1582" i="1" s="1"/>
  <c r="G1584" i="1"/>
  <c r="E1584" i="1"/>
  <c r="C1584" i="1"/>
  <c r="H1584" i="1"/>
  <c r="F1584" i="1"/>
  <c r="D1584" i="1"/>
  <c r="B1584" i="1"/>
  <c r="I1584" i="1" s="1"/>
  <c r="G1586" i="1"/>
  <c r="E1586" i="1"/>
  <c r="C1586" i="1"/>
  <c r="H1586" i="1"/>
  <c r="F1586" i="1"/>
  <c r="D1586" i="1"/>
  <c r="B1586" i="1"/>
  <c r="I1586" i="1" s="1"/>
  <c r="G1588" i="1"/>
  <c r="E1588" i="1"/>
  <c r="C1588" i="1"/>
  <c r="H1588" i="1"/>
  <c r="F1588" i="1"/>
  <c r="D1588" i="1"/>
  <c r="B1588" i="1"/>
  <c r="I1588" i="1" s="1"/>
  <c r="G1590" i="1"/>
  <c r="E1590" i="1"/>
  <c r="C1590" i="1"/>
  <c r="H1590" i="1"/>
  <c r="F1590" i="1"/>
  <c r="D1590" i="1"/>
  <c r="B1590" i="1"/>
  <c r="I1590" i="1" s="1"/>
  <c r="G1592" i="1"/>
  <c r="E1592" i="1"/>
  <c r="C1592" i="1"/>
  <c r="H1592" i="1"/>
  <c r="F1592" i="1"/>
  <c r="D1592" i="1"/>
  <c r="B1592" i="1"/>
  <c r="I1592" i="1" s="1"/>
  <c r="G1594" i="1"/>
  <c r="E1594" i="1"/>
  <c r="C1594" i="1"/>
  <c r="H1594" i="1"/>
  <c r="F1594" i="1"/>
  <c r="D1594" i="1"/>
  <c r="B1594" i="1"/>
  <c r="I1594" i="1" s="1"/>
  <c r="G1596" i="1"/>
  <c r="E1596" i="1"/>
  <c r="C1596" i="1"/>
  <c r="H1596" i="1"/>
  <c r="F1596" i="1"/>
  <c r="D1596" i="1"/>
  <c r="B1596" i="1"/>
  <c r="I1596" i="1" s="1"/>
  <c r="G1598" i="1"/>
  <c r="E1598" i="1"/>
  <c r="C1598" i="1"/>
  <c r="H1598" i="1"/>
  <c r="F1598" i="1"/>
  <c r="D1598" i="1"/>
  <c r="B1598" i="1"/>
  <c r="I1598" i="1" s="1"/>
  <c r="G1600" i="1"/>
  <c r="E1600" i="1"/>
  <c r="C1600" i="1"/>
  <c r="H1600" i="1"/>
  <c r="F1600" i="1"/>
  <c r="D1600" i="1"/>
  <c r="B1600" i="1"/>
  <c r="I1600" i="1" s="1"/>
  <c r="G1602" i="1"/>
  <c r="E1602" i="1"/>
  <c r="C1602" i="1"/>
  <c r="H1602" i="1"/>
  <c r="F1602" i="1"/>
  <c r="D1602" i="1"/>
  <c r="B1602" i="1"/>
  <c r="I1602" i="1" s="1"/>
  <c r="G1604" i="1"/>
  <c r="E1604" i="1"/>
  <c r="C1604" i="1"/>
  <c r="H1604" i="1"/>
  <c r="F1604" i="1"/>
  <c r="D1604" i="1"/>
  <c r="B1604" i="1"/>
  <c r="I1604" i="1" s="1"/>
  <c r="G1606" i="1"/>
  <c r="E1606" i="1"/>
  <c r="C1606" i="1"/>
  <c r="H1606" i="1"/>
  <c r="F1606" i="1"/>
  <c r="D1606" i="1"/>
  <c r="B1606" i="1"/>
  <c r="I1606" i="1" s="1"/>
  <c r="G1608" i="1"/>
  <c r="E1608" i="1"/>
  <c r="C1608" i="1"/>
  <c r="H1608" i="1"/>
  <c r="F1608" i="1"/>
  <c r="D1608" i="1"/>
  <c r="B1608" i="1"/>
  <c r="I1608" i="1" s="1"/>
  <c r="G1610" i="1"/>
  <c r="E1610" i="1"/>
  <c r="C1610" i="1"/>
  <c r="H1610" i="1"/>
  <c r="F1610" i="1"/>
  <c r="D1610" i="1"/>
  <c r="B1610" i="1"/>
  <c r="I1610" i="1" s="1"/>
  <c r="G1612" i="1"/>
  <c r="E1612" i="1"/>
  <c r="C1612" i="1"/>
  <c r="H1612" i="1"/>
  <c r="F1612" i="1"/>
  <c r="D1612" i="1"/>
  <c r="B1612" i="1"/>
  <c r="I1612" i="1" s="1"/>
  <c r="G1614" i="1"/>
  <c r="E1614" i="1"/>
  <c r="C1614" i="1"/>
  <c r="H1614" i="1"/>
  <c r="F1614" i="1"/>
  <c r="D1614" i="1"/>
  <c r="B1614" i="1"/>
  <c r="I1614" i="1" s="1"/>
  <c r="G1616" i="1"/>
  <c r="E1616" i="1"/>
  <c r="C1616" i="1"/>
  <c r="H1616" i="1"/>
  <c r="F1616" i="1"/>
  <c r="D1616" i="1"/>
  <c r="B1616" i="1"/>
  <c r="I1616" i="1" s="1"/>
  <c r="G1618" i="1"/>
  <c r="E1618" i="1"/>
  <c r="C1618" i="1"/>
  <c r="H1618" i="1"/>
  <c r="F1618" i="1"/>
  <c r="D1618" i="1"/>
  <c r="B1618" i="1"/>
  <c r="I1618" i="1" s="1"/>
  <c r="G1620" i="1"/>
  <c r="E1620" i="1"/>
  <c r="C1620" i="1"/>
  <c r="H1620" i="1"/>
  <c r="F1620" i="1"/>
  <c r="D1620" i="1"/>
  <c r="B1620" i="1"/>
  <c r="I1620" i="1" s="1"/>
  <c r="G1622" i="1"/>
  <c r="E1622" i="1"/>
  <c r="C1622" i="1"/>
  <c r="H1622" i="1"/>
  <c r="F1622" i="1"/>
  <c r="D1622" i="1"/>
  <c r="B1622" i="1"/>
  <c r="I1622" i="1" s="1"/>
  <c r="G1624" i="1"/>
  <c r="E1624" i="1"/>
  <c r="C1624" i="1"/>
  <c r="H1624" i="1"/>
  <c r="F1624" i="1"/>
  <c r="D1624" i="1"/>
  <c r="B1624" i="1"/>
  <c r="I1624" i="1" s="1"/>
  <c r="G1626" i="1"/>
  <c r="E1626" i="1"/>
  <c r="C1626" i="1"/>
  <c r="H1626" i="1"/>
  <c r="F1626" i="1"/>
  <c r="D1626" i="1"/>
  <c r="B1626" i="1"/>
  <c r="I1626" i="1" s="1"/>
  <c r="G1628" i="1"/>
  <c r="E1628" i="1"/>
  <c r="C1628" i="1"/>
  <c r="H1628" i="1"/>
  <c r="F1628" i="1"/>
  <c r="D1628" i="1"/>
  <c r="B1628" i="1"/>
  <c r="I1628" i="1" s="1"/>
  <c r="G1630" i="1"/>
  <c r="E1630" i="1"/>
  <c r="C1630" i="1"/>
  <c r="H1630" i="1"/>
  <c r="F1630" i="1"/>
  <c r="D1630" i="1"/>
  <c r="B1630" i="1"/>
  <c r="I1630" i="1" s="1"/>
  <c r="G1632" i="1"/>
  <c r="E1632" i="1"/>
  <c r="C1632" i="1"/>
  <c r="H1632" i="1"/>
  <c r="F1632" i="1"/>
  <c r="D1632" i="1"/>
  <c r="B1632" i="1"/>
  <c r="I1632" i="1" s="1"/>
  <c r="G1634" i="1"/>
  <c r="E1634" i="1"/>
  <c r="C1634" i="1"/>
  <c r="H1634" i="1"/>
  <c r="F1634" i="1"/>
  <c r="D1634" i="1"/>
  <c r="B1634" i="1"/>
  <c r="I1634" i="1" s="1"/>
  <c r="G1636" i="1"/>
  <c r="E1636" i="1"/>
  <c r="C1636" i="1"/>
  <c r="H1636" i="1"/>
  <c r="F1636" i="1"/>
  <c r="D1636" i="1"/>
  <c r="B1636" i="1"/>
  <c r="I1636" i="1" s="1"/>
  <c r="G1638" i="1"/>
  <c r="E1638" i="1"/>
  <c r="C1638" i="1"/>
  <c r="H1638" i="1"/>
  <c r="F1638" i="1"/>
  <c r="D1638" i="1"/>
  <c r="B1638" i="1"/>
  <c r="I1638" i="1" s="1"/>
  <c r="G1640" i="1"/>
  <c r="E1640" i="1"/>
  <c r="C1640" i="1"/>
  <c r="H1640" i="1"/>
  <c r="F1640" i="1"/>
  <c r="D1640" i="1"/>
  <c r="B1640" i="1"/>
  <c r="I1640" i="1" s="1"/>
  <c r="G1642" i="1"/>
  <c r="E1642" i="1"/>
  <c r="C1642" i="1"/>
  <c r="H1642" i="1"/>
  <c r="F1642" i="1"/>
  <c r="D1642" i="1"/>
  <c r="B1642" i="1"/>
  <c r="I1642" i="1" s="1"/>
  <c r="G1644" i="1"/>
  <c r="E1644" i="1"/>
  <c r="C1644" i="1"/>
  <c r="H1644" i="1"/>
  <c r="F1644" i="1"/>
  <c r="D1644" i="1"/>
  <c r="B1644" i="1"/>
  <c r="I1644" i="1" s="1"/>
  <c r="G1646" i="1"/>
  <c r="E1646" i="1"/>
  <c r="C1646" i="1"/>
  <c r="H1646" i="1"/>
  <c r="F1646" i="1"/>
  <c r="D1646" i="1"/>
  <c r="B1646" i="1"/>
  <c r="I1646" i="1" s="1"/>
  <c r="G1648" i="1"/>
  <c r="E1648" i="1"/>
  <c r="C1648" i="1"/>
  <c r="H1648" i="1"/>
  <c r="F1648" i="1"/>
  <c r="D1648" i="1"/>
  <c r="B1648" i="1"/>
  <c r="I1648" i="1" s="1"/>
  <c r="G1650" i="1"/>
  <c r="E1650" i="1"/>
  <c r="C1650" i="1"/>
  <c r="H1650" i="1"/>
  <c r="F1650" i="1"/>
  <c r="D1650" i="1"/>
  <c r="B1650" i="1"/>
  <c r="I1650" i="1" s="1"/>
  <c r="G1652" i="1"/>
  <c r="E1652" i="1"/>
  <c r="C1652" i="1"/>
  <c r="H1652" i="1"/>
  <c r="F1652" i="1"/>
  <c r="D1652" i="1"/>
  <c r="B1652" i="1"/>
  <c r="I1652" i="1" s="1"/>
  <c r="G1654" i="1"/>
  <c r="E1654" i="1"/>
  <c r="C1654" i="1"/>
  <c r="H1654" i="1"/>
  <c r="F1654" i="1"/>
  <c r="D1654" i="1"/>
  <c r="B1654" i="1"/>
  <c r="I1654" i="1" s="1"/>
  <c r="G1656" i="1"/>
  <c r="E1656" i="1"/>
  <c r="C1656" i="1"/>
  <c r="H1656" i="1"/>
  <c r="F1656" i="1"/>
  <c r="D1656" i="1"/>
  <c r="B1656" i="1"/>
  <c r="I1656" i="1" s="1"/>
  <c r="G1658" i="1"/>
  <c r="E1658" i="1"/>
  <c r="C1658" i="1"/>
  <c r="H1658" i="1"/>
  <c r="F1658" i="1"/>
  <c r="D1658" i="1"/>
  <c r="B1658" i="1"/>
  <c r="I1658" i="1" s="1"/>
  <c r="G1660" i="1"/>
  <c r="E1660" i="1"/>
  <c r="C1660" i="1"/>
  <c r="H1660" i="1"/>
  <c r="F1660" i="1"/>
  <c r="D1660" i="1"/>
  <c r="B1660" i="1"/>
  <c r="I1660" i="1" s="1"/>
  <c r="G1662" i="1"/>
  <c r="E1662" i="1"/>
  <c r="C1662" i="1"/>
  <c r="H1662" i="1"/>
  <c r="F1662" i="1"/>
  <c r="D1662" i="1"/>
  <c r="B1662" i="1"/>
  <c r="I1662" i="1" s="1"/>
  <c r="G1664" i="1"/>
  <c r="E1664" i="1"/>
  <c r="C1664" i="1"/>
  <c r="H1664" i="1"/>
  <c r="F1664" i="1"/>
  <c r="D1664" i="1"/>
  <c r="B1664" i="1"/>
  <c r="I1664" i="1" s="1"/>
  <c r="G1666" i="1"/>
  <c r="E1666" i="1"/>
  <c r="C1666" i="1"/>
  <c r="H1666" i="1"/>
  <c r="F1666" i="1"/>
  <c r="D1666" i="1"/>
  <c r="B1666" i="1"/>
  <c r="I1666" i="1" s="1"/>
  <c r="G1668" i="1"/>
  <c r="E1668" i="1"/>
  <c r="C1668" i="1"/>
  <c r="H1668" i="1"/>
  <c r="F1668" i="1"/>
  <c r="D1668" i="1"/>
  <c r="B1668" i="1"/>
  <c r="I1668" i="1" s="1"/>
  <c r="G1670" i="1"/>
  <c r="E1670" i="1"/>
  <c r="C1670" i="1"/>
  <c r="H1670" i="1"/>
  <c r="F1670" i="1"/>
  <c r="D1670" i="1"/>
  <c r="B1670" i="1"/>
  <c r="I1670" i="1" s="1"/>
  <c r="G1672" i="1"/>
  <c r="E1672" i="1"/>
  <c r="C1672" i="1"/>
  <c r="H1672" i="1"/>
  <c r="F1672" i="1"/>
  <c r="D1672" i="1"/>
  <c r="B1672" i="1"/>
  <c r="I1672" i="1" s="1"/>
  <c r="G1674" i="1"/>
  <c r="E1674" i="1"/>
  <c r="C1674" i="1"/>
  <c r="H1674" i="1"/>
  <c r="F1674" i="1"/>
  <c r="D1674" i="1"/>
  <c r="B1674" i="1"/>
  <c r="I1674" i="1" s="1"/>
  <c r="G1676" i="1"/>
  <c r="E1676" i="1"/>
  <c r="C1676" i="1"/>
  <c r="H1676" i="1"/>
  <c r="F1676" i="1"/>
  <c r="D1676" i="1"/>
  <c r="B1676" i="1"/>
  <c r="I1676" i="1" s="1"/>
  <c r="G1678" i="1"/>
  <c r="E1678" i="1"/>
  <c r="C1678" i="1"/>
  <c r="H1678" i="1"/>
  <c r="F1678" i="1"/>
  <c r="D1678" i="1"/>
  <c r="B1678" i="1"/>
  <c r="I1678" i="1" s="1"/>
  <c r="G1680" i="1"/>
  <c r="E1680" i="1"/>
  <c r="C1680" i="1"/>
  <c r="H1680" i="1"/>
  <c r="F1680" i="1"/>
  <c r="D1680" i="1"/>
  <c r="B1680" i="1"/>
  <c r="I1680" i="1" s="1"/>
  <c r="G1682" i="1"/>
  <c r="E1682" i="1"/>
  <c r="C1682" i="1"/>
  <c r="H1682" i="1"/>
  <c r="F1682" i="1"/>
  <c r="D1682" i="1"/>
  <c r="B1682" i="1"/>
  <c r="I1682" i="1" s="1"/>
  <c r="G1684" i="1"/>
  <c r="E1684" i="1"/>
  <c r="C1684" i="1"/>
  <c r="H1684" i="1"/>
  <c r="F1684" i="1"/>
  <c r="D1684" i="1"/>
  <c r="B1684" i="1"/>
  <c r="I1684" i="1" s="1"/>
  <c r="G1686" i="1"/>
  <c r="E1686" i="1"/>
  <c r="C1686" i="1"/>
  <c r="H1686" i="1"/>
  <c r="F1686" i="1"/>
  <c r="D1686" i="1"/>
  <c r="B1686" i="1"/>
  <c r="I1686" i="1" s="1"/>
  <c r="G1688" i="1"/>
  <c r="E1688" i="1"/>
  <c r="C1688" i="1"/>
  <c r="H1688" i="1"/>
  <c r="F1688" i="1"/>
  <c r="D1688" i="1"/>
  <c r="B1688" i="1"/>
  <c r="I1688" i="1" s="1"/>
  <c r="G1690" i="1"/>
  <c r="E1690" i="1"/>
  <c r="C1690" i="1"/>
  <c r="H1690" i="1"/>
  <c r="F1690" i="1"/>
  <c r="D1690" i="1"/>
  <c r="B1690" i="1"/>
  <c r="I1690" i="1" s="1"/>
  <c r="G1692" i="1"/>
  <c r="E1692" i="1"/>
  <c r="C1692" i="1"/>
  <c r="H1692" i="1"/>
  <c r="F1692" i="1"/>
  <c r="D1692" i="1"/>
  <c r="B1692" i="1"/>
  <c r="I1692" i="1" s="1"/>
  <c r="G1694" i="1"/>
  <c r="E1694" i="1"/>
  <c r="C1694" i="1"/>
  <c r="H1694" i="1"/>
  <c r="F1694" i="1"/>
  <c r="D1694" i="1"/>
  <c r="B1694" i="1"/>
  <c r="I1694" i="1" s="1"/>
  <c r="G1696" i="1"/>
  <c r="E1696" i="1"/>
  <c r="C1696" i="1"/>
  <c r="H1696" i="1"/>
  <c r="F1696" i="1"/>
  <c r="D1696" i="1"/>
  <c r="B1696" i="1"/>
  <c r="I1696" i="1" s="1"/>
  <c r="G1698" i="1"/>
  <c r="E1698" i="1"/>
  <c r="C1698" i="1"/>
  <c r="H1698" i="1"/>
  <c r="F1698" i="1"/>
  <c r="D1698" i="1"/>
  <c r="B1698" i="1"/>
  <c r="I1698" i="1" s="1"/>
  <c r="G1700" i="1"/>
  <c r="E1700" i="1"/>
  <c r="C1700" i="1"/>
  <c r="H1700" i="1"/>
  <c r="F1700" i="1"/>
  <c r="D1700" i="1"/>
  <c r="B1700" i="1"/>
  <c r="I1700" i="1" s="1"/>
  <c r="G1702" i="1"/>
  <c r="E1702" i="1"/>
  <c r="C1702" i="1"/>
  <c r="H1702" i="1"/>
  <c r="F1702" i="1"/>
  <c r="D1702" i="1"/>
  <c r="B1702" i="1"/>
  <c r="I1702" i="1" s="1"/>
  <c r="G1704" i="1"/>
  <c r="E1704" i="1"/>
  <c r="C1704" i="1"/>
  <c r="H1704" i="1"/>
  <c r="F1704" i="1"/>
  <c r="D1704" i="1"/>
  <c r="B1704" i="1"/>
  <c r="I1704" i="1" s="1"/>
  <c r="G1706" i="1"/>
  <c r="E1706" i="1"/>
  <c r="C1706" i="1"/>
  <c r="H1706" i="1"/>
  <c r="F1706" i="1"/>
  <c r="D1706" i="1"/>
  <c r="B1706" i="1"/>
  <c r="I1706" i="1" s="1"/>
  <c r="G1708" i="1"/>
  <c r="E1708" i="1"/>
  <c r="C1708" i="1"/>
  <c r="H1708" i="1"/>
  <c r="F1708" i="1"/>
  <c r="D1708" i="1"/>
  <c r="B1708" i="1"/>
  <c r="I1708" i="1" s="1"/>
  <c r="G1710" i="1"/>
  <c r="E1710" i="1"/>
  <c r="C1710" i="1"/>
  <c r="H1710" i="1"/>
  <c r="F1710" i="1"/>
  <c r="D1710" i="1"/>
  <c r="B1710" i="1"/>
  <c r="I1710" i="1" s="1"/>
  <c r="G1712" i="1"/>
  <c r="E1712" i="1"/>
  <c r="C1712" i="1"/>
  <c r="H1712" i="1"/>
  <c r="F1712" i="1"/>
  <c r="D1712" i="1"/>
  <c r="B1712" i="1"/>
  <c r="I1712" i="1" s="1"/>
  <c r="G1714" i="1"/>
  <c r="E1714" i="1"/>
  <c r="C1714" i="1"/>
  <c r="H1714" i="1"/>
  <c r="F1714" i="1"/>
  <c r="D1714" i="1"/>
  <c r="B1714" i="1"/>
  <c r="I1714" i="1" s="1"/>
  <c r="G1716" i="1"/>
  <c r="E1716" i="1"/>
  <c r="C1716" i="1"/>
  <c r="H1716" i="1"/>
  <c r="F1716" i="1"/>
  <c r="D1716" i="1"/>
  <c r="B1716" i="1"/>
  <c r="I1716" i="1" s="1"/>
  <c r="G1718" i="1"/>
  <c r="E1718" i="1"/>
  <c r="C1718" i="1"/>
  <c r="H1718" i="1"/>
  <c r="F1718" i="1"/>
  <c r="D1718" i="1"/>
  <c r="B1718" i="1"/>
  <c r="I1718" i="1" s="1"/>
  <c r="G1720" i="1"/>
  <c r="E1720" i="1"/>
  <c r="C1720" i="1"/>
  <c r="H1720" i="1"/>
  <c r="F1720" i="1"/>
  <c r="D1720" i="1"/>
  <c r="B1720" i="1"/>
  <c r="I1720" i="1" s="1"/>
  <c r="G1722" i="1"/>
  <c r="E1722" i="1"/>
  <c r="C1722" i="1"/>
  <c r="H1722" i="1"/>
  <c r="F1722" i="1"/>
  <c r="D1722" i="1"/>
  <c r="B1722" i="1"/>
  <c r="I1722" i="1" s="1"/>
  <c r="G1724" i="1"/>
  <c r="E1724" i="1"/>
  <c r="C1724" i="1"/>
  <c r="H1724" i="1"/>
  <c r="F1724" i="1"/>
  <c r="D1724" i="1"/>
  <c r="B1724" i="1"/>
  <c r="I1724" i="1" s="1"/>
  <c r="G1726" i="1"/>
  <c r="E1726" i="1"/>
  <c r="C1726" i="1"/>
  <c r="H1726" i="1"/>
  <c r="F1726" i="1"/>
  <c r="D1726" i="1"/>
  <c r="B1726" i="1"/>
  <c r="I1726" i="1" s="1"/>
  <c r="G1728" i="1"/>
  <c r="E1728" i="1"/>
  <c r="C1728" i="1"/>
  <c r="H1728" i="1"/>
  <c r="F1728" i="1"/>
  <c r="D1728" i="1"/>
  <c r="B1728" i="1"/>
  <c r="I1728" i="1" s="1"/>
  <c r="G1730" i="1"/>
  <c r="E1730" i="1"/>
  <c r="C1730" i="1"/>
  <c r="H1730" i="1"/>
  <c r="F1730" i="1"/>
  <c r="D1730" i="1"/>
  <c r="B1730" i="1"/>
  <c r="I1730" i="1" s="1"/>
  <c r="G1732" i="1"/>
  <c r="E1732" i="1"/>
  <c r="C1732" i="1"/>
  <c r="H1732" i="1"/>
  <c r="F1732" i="1"/>
  <c r="D1732" i="1"/>
  <c r="B1732" i="1"/>
  <c r="I1732" i="1" s="1"/>
  <c r="G1734" i="1"/>
  <c r="E1734" i="1"/>
  <c r="C1734" i="1"/>
  <c r="H1734" i="1"/>
  <c r="F1734" i="1"/>
  <c r="D1734" i="1"/>
  <c r="B1734" i="1"/>
  <c r="I1734" i="1" s="1"/>
  <c r="G1736" i="1"/>
  <c r="E1736" i="1"/>
  <c r="C1736" i="1"/>
  <c r="H1736" i="1"/>
  <c r="F1736" i="1"/>
  <c r="D1736" i="1"/>
  <c r="B1736" i="1"/>
  <c r="I1736" i="1" s="1"/>
  <c r="G1738" i="1"/>
  <c r="E1738" i="1"/>
  <c r="C1738" i="1"/>
  <c r="H1738" i="1"/>
  <c r="F1738" i="1"/>
  <c r="D1738" i="1"/>
  <c r="B1738" i="1"/>
  <c r="I1738" i="1" s="1"/>
  <c r="G1740" i="1"/>
  <c r="E1740" i="1"/>
  <c r="C1740" i="1"/>
  <c r="H1740" i="1"/>
  <c r="F1740" i="1"/>
  <c r="D1740" i="1"/>
  <c r="B1740" i="1"/>
  <c r="I1740" i="1" s="1"/>
  <c r="G1742" i="1"/>
  <c r="E1742" i="1"/>
  <c r="C1742" i="1"/>
  <c r="H1742" i="1"/>
  <c r="F1742" i="1"/>
  <c r="D1742" i="1"/>
  <c r="B1742" i="1"/>
  <c r="I1742" i="1" s="1"/>
  <c r="G1744" i="1"/>
  <c r="E1744" i="1"/>
  <c r="C1744" i="1"/>
  <c r="H1744" i="1"/>
  <c r="F1744" i="1"/>
  <c r="D1744" i="1"/>
  <c r="B1744" i="1"/>
  <c r="I1744" i="1" s="1"/>
  <c r="G1746" i="1"/>
  <c r="E1746" i="1"/>
  <c r="C1746" i="1"/>
  <c r="H1746" i="1"/>
  <c r="F1746" i="1"/>
  <c r="D1746" i="1"/>
  <c r="B1746" i="1"/>
  <c r="I1746" i="1" s="1"/>
  <c r="G1748" i="1"/>
  <c r="E1748" i="1"/>
  <c r="C1748" i="1"/>
  <c r="H1748" i="1"/>
  <c r="F1748" i="1"/>
  <c r="D1748" i="1"/>
  <c r="B1748" i="1"/>
  <c r="I1748" i="1" s="1"/>
  <c r="G1750" i="1"/>
  <c r="E1750" i="1"/>
  <c r="C1750" i="1"/>
  <c r="H1750" i="1"/>
  <c r="F1750" i="1"/>
  <c r="D1750" i="1"/>
  <c r="B1750" i="1"/>
  <c r="I1750" i="1" s="1"/>
  <c r="G1752" i="1"/>
  <c r="E1752" i="1"/>
  <c r="C1752" i="1"/>
  <c r="H1752" i="1"/>
  <c r="F1752" i="1"/>
  <c r="D1752" i="1"/>
  <c r="B1752" i="1"/>
  <c r="I1752" i="1" s="1"/>
  <c r="G1754" i="1"/>
  <c r="E1754" i="1"/>
  <c r="C1754" i="1"/>
  <c r="H1754" i="1"/>
  <c r="F1754" i="1"/>
  <c r="D1754" i="1"/>
  <c r="B1754" i="1"/>
  <c r="I1754" i="1" s="1"/>
  <c r="G1756" i="1"/>
  <c r="E1756" i="1"/>
  <c r="C1756" i="1"/>
  <c r="H1756" i="1"/>
  <c r="F1756" i="1"/>
  <c r="D1756" i="1"/>
  <c r="B1756" i="1"/>
  <c r="I1756" i="1" s="1"/>
  <c r="G1758" i="1"/>
  <c r="E1758" i="1"/>
  <c r="C1758" i="1"/>
  <c r="H1758" i="1"/>
  <c r="F1758" i="1"/>
  <c r="D1758" i="1"/>
  <c r="B1758" i="1"/>
  <c r="I1758" i="1" s="1"/>
  <c r="G1760" i="1"/>
  <c r="E1760" i="1"/>
  <c r="C1760" i="1"/>
  <c r="H1760" i="1"/>
  <c r="F1760" i="1"/>
  <c r="D1760" i="1"/>
  <c r="B1760" i="1"/>
  <c r="I1760" i="1" s="1"/>
  <c r="G1762" i="1"/>
  <c r="E1762" i="1"/>
  <c r="C1762" i="1"/>
  <c r="H1762" i="1"/>
  <c r="F1762" i="1"/>
  <c r="D1762" i="1"/>
  <c r="B1762" i="1"/>
  <c r="I1762" i="1" s="1"/>
  <c r="G1764" i="1"/>
  <c r="E1764" i="1"/>
  <c r="C1764" i="1"/>
  <c r="H1764" i="1"/>
  <c r="F1764" i="1"/>
  <c r="D1764" i="1"/>
  <c r="B1764" i="1"/>
  <c r="I1764" i="1" s="1"/>
  <c r="G1766" i="1"/>
  <c r="E1766" i="1"/>
  <c r="C1766" i="1"/>
  <c r="H1766" i="1"/>
  <c r="F1766" i="1"/>
  <c r="D1766" i="1"/>
  <c r="B1766" i="1"/>
  <c r="I1766" i="1" s="1"/>
  <c r="G1768" i="1"/>
  <c r="E1768" i="1"/>
  <c r="C1768" i="1"/>
  <c r="H1768" i="1"/>
  <c r="F1768" i="1"/>
  <c r="D1768" i="1"/>
  <c r="B1768" i="1"/>
  <c r="I1768" i="1" s="1"/>
  <c r="G1770" i="1"/>
  <c r="E1770" i="1"/>
  <c r="C1770" i="1"/>
  <c r="H1770" i="1"/>
  <c r="F1770" i="1"/>
  <c r="D1770" i="1"/>
  <c r="B1770" i="1"/>
  <c r="I1770" i="1" s="1"/>
  <c r="G1772" i="1"/>
  <c r="E1772" i="1"/>
  <c r="C1772" i="1"/>
  <c r="H1772" i="1"/>
  <c r="F1772" i="1"/>
  <c r="D1772" i="1"/>
  <c r="B1772" i="1"/>
  <c r="I1772" i="1" s="1"/>
  <c r="G1774" i="1"/>
  <c r="E1774" i="1"/>
  <c r="C1774" i="1"/>
  <c r="H1774" i="1"/>
  <c r="F1774" i="1"/>
  <c r="D1774" i="1"/>
  <c r="B1774" i="1"/>
  <c r="I1774" i="1" s="1"/>
  <c r="G1776" i="1"/>
  <c r="E1776" i="1"/>
  <c r="C1776" i="1"/>
  <c r="H1776" i="1"/>
  <c r="F1776" i="1"/>
  <c r="D1776" i="1"/>
  <c r="B1776" i="1"/>
  <c r="I1776" i="1" s="1"/>
  <c r="G1778" i="1"/>
  <c r="E1778" i="1"/>
  <c r="C1778" i="1"/>
  <c r="H1778" i="1"/>
  <c r="F1778" i="1"/>
  <c r="D1778" i="1"/>
  <c r="B1778" i="1"/>
  <c r="I1778" i="1" s="1"/>
  <c r="G1780" i="1"/>
  <c r="E1780" i="1"/>
  <c r="C1780" i="1"/>
  <c r="H1780" i="1"/>
  <c r="F1780" i="1"/>
  <c r="D1780" i="1"/>
  <c r="B1780" i="1"/>
  <c r="I1780" i="1" s="1"/>
  <c r="G1782" i="1"/>
  <c r="E1782" i="1"/>
  <c r="C1782" i="1"/>
  <c r="H1782" i="1"/>
  <c r="F1782" i="1"/>
  <c r="D1782" i="1"/>
  <c r="B1782" i="1"/>
  <c r="I1782" i="1" s="1"/>
  <c r="G1784" i="1"/>
  <c r="E1784" i="1"/>
  <c r="C1784" i="1"/>
  <c r="H1784" i="1"/>
  <c r="F1784" i="1"/>
  <c r="D1784" i="1"/>
  <c r="B1784" i="1"/>
  <c r="I1784" i="1" s="1"/>
  <c r="G1786" i="1"/>
  <c r="E1786" i="1"/>
  <c r="C1786" i="1"/>
  <c r="H1786" i="1"/>
  <c r="F1786" i="1"/>
  <c r="D1786" i="1"/>
  <c r="B1786" i="1"/>
  <c r="I1786" i="1" s="1"/>
  <c r="G1788" i="1"/>
  <c r="E1788" i="1"/>
  <c r="C1788" i="1"/>
  <c r="H1788" i="1"/>
  <c r="F1788" i="1"/>
  <c r="D1788" i="1"/>
  <c r="B1788" i="1"/>
  <c r="I1788" i="1" s="1"/>
  <c r="G1790" i="1"/>
  <c r="E1790" i="1"/>
  <c r="C1790" i="1"/>
  <c r="H1790" i="1"/>
  <c r="F1790" i="1"/>
  <c r="D1790" i="1"/>
  <c r="B1790" i="1"/>
  <c r="I1790" i="1" s="1"/>
  <c r="G1792" i="1"/>
  <c r="E1792" i="1"/>
  <c r="C1792" i="1"/>
  <c r="H1792" i="1"/>
  <c r="F1792" i="1"/>
  <c r="D1792" i="1"/>
  <c r="B1792" i="1"/>
  <c r="I1792" i="1" s="1"/>
  <c r="G1794" i="1"/>
  <c r="E1794" i="1"/>
  <c r="C1794" i="1"/>
  <c r="H1794" i="1"/>
  <c r="F1794" i="1"/>
  <c r="D1794" i="1"/>
  <c r="B1794" i="1"/>
  <c r="I1794" i="1" s="1"/>
  <c r="G1796" i="1"/>
  <c r="E1796" i="1"/>
  <c r="C1796" i="1"/>
  <c r="H1796" i="1"/>
  <c r="F1796" i="1"/>
  <c r="D1796" i="1"/>
  <c r="B1796" i="1"/>
  <c r="I1796" i="1" s="1"/>
  <c r="G1798" i="1"/>
  <c r="E1798" i="1"/>
  <c r="C1798" i="1"/>
  <c r="H1798" i="1"/>
  <c r="F1798" i="1"/>
  <c r="D1798" i="1"/>
  <c r="B1798" i="1"/>
  <c r="I1798" i="1" s="1"/>
  <c r="G1800" i="1"/>
  <c r="E1800" i="1"/>
  <c r="C1800" i="1"/>
  <c r="H1800" i="1"/>
  <c r="F1800" i="1"/>
  <c r="D1800" i="1"/>
  <c r="B1800" i="1"/>
  <c r="I1800" i="1" s="1"/>
  <c r="G1802" i="1"/>
  <c r="E1802" i="1"/>
  <c r="C1802" i="1"/>
  <c r="H1802" i="1"/>
  <c r="F1802" i="1"/>
  <c r="D1802" i="1"/>
  <c r="B1802" i="1"/>
  <c r="I1802" i="1" s="1"/>
  <c r="G1804" i="1"/>
  <c r="E1804" i="1"/>
  <c r="C1804" i="1"/>
  <c r="H1804" i="1"/>
  <c r="F1804" i="1"/>
  <c r="D1804" i="1"/>
  <c r="B1804" i="1"/>
  <c r="I1804" i="1" s="1"/>
  <c r="G1806" i="1"/>
  <c r="E1806" i="1"/>
  <c r="C1806" i="1"/>
  <c r="H1806" i="1"/>
  <c r="F1806" i="1"/>
  <c r="D1806" i="1"/>
  <c r="B1806" i="1"/>
  <c r="I1806" i="1" s="1"/>
  <c r="G1808" i="1"/>
  <c r="E1808" i="1"/>
  <c r="C1808" i="1"/>
  <c r="H1808" i="1"/>
  <c r="F1808" i="1"/>
  <c r="D1808" i="1"/>
  <c r="B1808" i="1"/>
  <c r="I1808" i="1" s="1"/>
  <c r="G1810" i="1"/>
  <c r="E1810" i="1"/>
  <c r="C1810" i="1"/>
  <c r="H1810" i="1"/>
  <c r="F1810" i="1"/>
  <c r="D1810" i="1"/>
  <c r="B1810" i="1"/>
  <c r="I1810" i="1" s="1"/>
  <c r="G1812" i="1"/>
  <c r="E1812" i="1"/>
  <c r="C1812" i="1"/>
  <c r="H1812" i="1"/>
  <c r="F1812" i="1"/>
  <c r="D1812" i="1"/>
  <c r="B1812" i="1"/>
  <c r="I1812" i="1" s="1"/>
  <c r="G1814" i="1"/>
  <c r="E1814" i="1"/>
  <c r="C1814" i="1"/>
  <c r="H1814" i="1"/>
  <c r="F1814" i="1"/>
  <c r="D1814" i="1"/>
  <c r="B1814" i="1"/>
  <c r="I1814" i="1" s="1"/>
  <c r="G1816" i="1"/>
  <c r="E1816" i="1"/>
  <c r="C1816" i="1"/>
  <c r="H1816" i="1"/>
  <c r="F1816" i="1"/>
  <c r="D1816" i="1"/>
  <c r="B1816" i="1"/>
  <c r="I1816" i="1" s="1"/>
  <c r="G1818" i="1"/>
  <c r="E1818" i="1"/>
  <c r="C1818" i="1"/>
  <c r="H1818" i="1"/>
  <c r="F1818" i="1"/>
  <c r="D1818" i="1"/>
  <c r="B1818" i="1"/>
  <c r="I1818" i="1" s="1"/>
  <c r="G1820" i="1"/>
  <c r="E1820" i="1"/>
  <c r="C1820" i="1"/>
  <c r="H1820" i="1"/>
  <c r="F1820" i="1"/>
  <c r="D1820" i="1"/>
  <c r="B1820" i="1"/>
  <c r="I1820" i="1" s="1"/>
  <c r="G1822" i="1"/>
  <c r="E1822" i="1"/>
  <c r="C1822" i="1"/>
  <c r="H1822" i="1"/>
  <c r="F1822" i="1"/>
  <c r="D1822" i="1"/>
  <c r="B1822" i="1"/>
  <c r="I1822" i="1" s="1"/>
  <c r="G1824" i="1"/>
  <c r="E1824" i="1"/>
  <c r="C1824" i="1"/>
  <c r="H1824" i="1"/>
  <c r="F1824" i="1"/>
  <c r="D1824" i="1"/>
  <c r="B1824" i="1"/>
  <c r="I1824" i="1" s="1"/>
  <c r="G1826" i="1"/>
  <c r="E1826" i="1"/>
  <c r="C1826" i="1"/>
  <c r="H1826" i="1"/>
  <c r="F1826" i="1"/>
  <c r="D1826" i="1"/>
  <c r="B1826" i="1"/>
  <c r="I1826" i="1" s="1"/>
  <c r="G1828" i="1"/>
  <c r="E1828" i="1"/>
  <c r="C1828" i="1"/>
  <c r="H1828" i="1"/>
  <c r="F1828" i="1"/>
  <c r="D1828" i="1"/>
  <c r="B1828" i="1"/>
  <c r="I1828" i="1" s="1"/>
  <c r="G1830" i="1"/>
  <c r="E1830" i="1"/>
  <c r="C1830" i="1"/>
  <c r="H1830" i="1"/>
  <c r="F1830" i="1"/>
  <c r="D1830" i="1"/>
  <c r="B1830" i="1"/>
  <c r="I1830" i="1" s="1"/>
  <c r="G1832" i="1"/>
  <c r="E1832" i="1"/>
  <c r="C1832" i="1"/>
  <c r="H1832" i="1"/>
  <c r="F1832" i="1"/>
  <c r="D1832" i="1"/>
  <c r="B1832" i="1"/>
  <c r="I1832" i="1" s="1"/>
  <c r="G1834" i="1"/>
  <c r="E1834" i="1"/>
  <c r="C1834" i="1"/>
  <c r="H1834" i="1"/>
  <c r="F1834" i="1"/>
  <c r="D1834" i="1"/>
  <c r="B1834" i="1"/>
  <c r="I1834" i="1" s="1"/>
  <c r="G1836" i="1"/>
  <c r="E1836" i="1"/>
  <c r="C1836" i="1"/>
  <c r="H1836" i="1"/>
  <c r="F1836" i="1"/>
  <c r="D1836" i="1"/>
  <c r="B1836" i="1"/>
  <c r="I1836" i="1" s="1"/>
  <c r="G1838" i="1"/>
  <c r="E1838" i="1"/>
  <c r="C1838" i="1"/>
  <c r="H1838" i="1"/>
  <c r="F1838" i="1"/>
  <c r="D1838" i="1"/>
  <c r="B1838" i="1"/>
  <c r="I1838" i="1" s="1"/>
  <c r="G1840" i="1"/>
  <c r="E1840" i="1"/>
  <c r="C1840" i="1"/>
  <c r="H1840" i="1"/>
  <c r="F1840" i="1"/>
  <c r="D1840" i="1"/>
  <c r="B1840" i="1"/>
  <c r="I1840" i="1" s="1"/>
  <c r="G1842" i="1"/>
  <c r="E1842" i="1"/>
  <c r="C1842" i="1"/>
  <c r="H1842" i="1"/>
  <c r="F1842" i="1"/>
  <c r="D1842" i="1"/>
  <c r="B1842" i="1"/>
  <c r="I1842" i="1" s="1"/>
  <c r="G1844" i="1"/>
  <c r="E1844" i="1"/>
  <c r="C1844" i="1"/>
  <c r="H1844" i="1"/>
  <c r="F1844" i="1"/>
  <c r="D1844" i="1"/>
  <c r="B1844" i="1"/>
  <c r="I1844" i="1" s="1"/>
  <c r="G1846" i="1"/>
  <c r="E1846" i="1"/>
  <c r="C1846" i="1"/>
  <c r="H1846" i="1"/>
  <c r="F1846" i="1"/>
  <c r="D1846" i="1"/>
  <c r="B1846" i="1"/>
  <c r="I1846" i="1" s="1"/>
  <c r="G1848" i="1"/>
  <c r="E1848" i="1"/>
  <c r="C1848" i="1"/>
  <c r="H1848" i="1"/>
  <c r="F1848" i="1"/>
  <c r="D1848" i="1"/>
  <c r="B1848" i="1"/>
  <c r="I1848" i="1" s="1"/>
  <c r="G1850" i="1"/>
  <c r="E1850" i="1"/>
  <c r="C1850" i="1"/>
  <c r="H1850" i="1"/>
  <c r="F1850" i="1"/>
  <c r="D1850" i="1"/>
  <c r="B1850" i="1"/>
  <c r="I1850" i="1" s="1"/>
  <c r="G1852" i="1"/>
  <c r="E1852" i="1"/>
  <c r="C1852" i="1"/>
  <c r="H1852" i="1"/>
  <c r="F1852" i="1"/>
  <c r="D1852" i="1"/>
  <c r="B1852" i="1"/>
  <c r="I1852" i="1" s="1"/>
  <c r="G1854" i="1"/>
  <c r="E1854" i="1"/>
  <c r="C1854" i="1"/>
  <c r="H1854" i="1"/>
  <c r="F1854" i="1"/>
  <c r="D1854" i="1"/>
  <c r="B1854" i="1"/>
  <c r="I1854" i="1" s="1"/>
  <c r="G1856" i="1"/>
  <c r="E1856" i="1"/>
  <c r="C1856" i="1"/>
  <c r="H1856" i="1"/>
  <c r="F1856" i="1"/>
  <c r="D1856" i="1"/>
  <c r="B1856" i="1"/>
  <c r="I1856" i="1" s="1"/>
  <c r="G1858" i="1"/>
  <c r="E1858" i="1"/>
  <c r="C1858" i="1"/>
  <c r="H1858" i="1"/>
  <c r="F1858" i="1"/>
  <c r="D1858" i="1"/>
  <c r="B1858" i="1"/>
  <c r="I1858" i="1" s="1"/>
  <c r="G1860" i="1"/>
  <c r="E1860" i="1"/>
  <c r="C1860" i="1"/>
  <c r="H1860" i="1"/>
  <c r="F1860" i="1"/>
  <c r="D1860" i="1"/>
  <c r="B1860" i="1"/>
  <c r="I1860" i="1" s="1"/>
  <c r="G1862" i="1"/>
  <c r="E1862" i="1"/>
  <c r="C1862" i="1"/>
  <c r="H1862" i="1"/>
  <c r="F1862" i="1"/>
  <c r="D1862" i="1"/>
  <c r="B1862" i="1"/>
  <c r="I1862" i="1" s="1"/>
  <c r="G1864" i="1"/>
  <c r="E1864" i="1"/>
  <c r="C1864" i="1"/>
  <c r="H1864" i="1"/>
  <c r="F1864" i="1"/>
  <c r="D1864" i="1"/>
  <c r="B1864" i="1"/>
  <c r="I1864" i="1" s="1"/>
  <c r="G1866" i="1"/>
  <c r="E1866" i="1"/>
  <c r="C1866" i="1"/>
  <c r="H1866" i="1"/>
  <c r="F1866" i="1"/>
  <c r="D1866" i="1"/>
  <c r="B1866" i="1"/>
  <c r="I1866" i="1" s="1"/>
  <c r="G1868" i="1"/>
  <c r="E1868" i="1"/>
  <c r="C1868" i="1"/>
  <c r="H1868" i="1"/>
  <c r="F1868" i="1"/>
  <c r="D1868" i="1"/>
  <c r="B1868" i="1"/>
  <c r="I1868" i="1" s="1"/>
  <c r="G1870" i="1"/>
  <c r="E1870" i="1"/>
  <c r="C1870" i="1"/>
  <c r="H1870" i="1"/>
  <c r="F1870" i="1"/>
  <c r="D1870" i="1"/>
  <c r="B1870" i="1"/>
  <c r="I1870" i="1" s="1"/>
  <c r="G1872" i="1"/>
  <c r="E1872" i="1"/>
  <c r="C1872" i="1"/>
  <c r="H1872" i="1"/>
  <c r="F1872" i="1"/>
  <c r="D1872" i="1"/>
  <c r="B1872" i="1"/>
  <c r="I1872" i="1" s="1"/>
  <c r="G1874" i="1"/>
  <c r="E1874" i="1"/>
  <c r="C1874" i="1"/>
  <c r="H1874" i="1"/>
  <c r="F1874" i="1"/>
  <c r="D1874" i="1"/>
  <c r="B1874" i="1"/>
  <c r="I1874" i="1" s="1"/>
  <c r="G1876" i="1"/>
  <c r="E1876" i="1"/>
  <c r="C1876" i="1"/>
  <c r="H1876" i="1"/>
  <c r="F1876" i="1"/>
  <c r="D1876" i="1"/>
  <c r="B1876" i="1"/>
  <c r="I1876" i="1" s="1"/>
  <c r="G1878" i="1"/>
  <c r="E1878" i="1"/>
  <c r="C1878" i="1"/>
  <c r="H1878" i="1"/>
  <c r="F1878" i="1"/>
  <c r="D1878" i="1"/>
  <c r="B1878" i="1"/>
  <c r="I1878" i="1" s="1"/>
  <c r="G1880" i="1"/>
  <c r="E1880" i="1"/>
  <c r="C1880" i="1"/>
  <c r="H1880" i="1"/>
  <c r="F1880" i="1"/>
  <c r="D1880" i="1"/>
  <c r="B1880" i="1"/>
  <c r="I1880" i="1" s="1"/>
  <c r="G1882" i="1"/>
  <c r="E1882" i="1"/>
  <c r="C1882" i="1"/>
  <c r="H1882" i="1"/>
  <c r="F1882" i="1"/>
  <c r="D1882" i="1"/>
  <c r="B1882" i="1"/>
  <c r="I1882" i="1" s="1"/>
  <c r="G1884" i="1"/>
  <c r="E1884" i="1"/>
  <c r="C1884" i="1"/>
  <c r="H1884" i="1"/>
  <c r="F1884" i="1"/>
  <c r="D1884" i="1"/>
  <c r="B1884" i="1"/>
  <c r="I1884" i="1" s="1"/>
  <c r="G1886" i="1"/>
  <c r="E1886" i="1"/>
  <c r="C1886" i="1"/>
  <c r="H1886" i="1"/>
  <c r="F1886" i="1"/>
  <c r="D1886" i="1"/>
  <c r="B1886" i="1"/>
  <c r="I1886" i="1" s="1"/>
  <c r="G1888" i="1"/>
  <c r="E1888" i="1"/>
  <c r="C1888" i="1"/>
  <c r="H1888" i="1"/>
  <c r="F1888" i="1"/>
  <c r="D1888" i="1"/>
  <c r="B1888" i="1"/>
  <c r="I1888" i="1" s="1"/>
  <c r="G1890" i="1"/>
  <c r="E1890" i="1"/>
  <c r="C1890" i="1"/>
  <c r="H1890" i="1"/>
  <c r="F1890" i="1"/>
  <c r="D1890" i="1"/>
  <c r="B1890" i="1"/>
  <c r="I1890" i="1" s="1"/>
  <c r="G1892" i="1"/>
  <c r="E1892" i="1"/>
  <c r="C1892" i="1"/>
  <c r="H1892" i="1"/>
  <c r="F1892" i="1"/>
  <c r="D1892" i="1"/>
  <c r="B1892" i="1"/>
  <c r="I1892" i="1" s="1"/>
  <c r="G1894" i="1"/>
  <c r="E1894" i="1"/>
  <c r="C1894" i="1"/>
  <c r="H1894" i="1"/>
  <c r="F1894" i="1"/>
  <c r="D1894" i="1"/>
  <c r="B1894" i="1"/>
  <c r="I1894" i="1" s="1"/>
  <c r="G1896" i="1"/>
  <c r="E1896" i="1"/>
  <c r="C1896" i="1"/>
  <c r="H1896" i="1"/>
  <c r="F1896" i="1"/>
  <c r="D1896" i="1"/>
  <c r="B1896" i="1"/>
  <c r="I1896" i="1" s="1"/>
  <c r="G1898" i="1"/>
  <c r="E1898" i="1"/>
  <c r="C1898" i="1"/>
  <c r="H1898" i="1"/>
  <c r="F1898" i="1"/>
  <c r="D1898" i="1"/>
  <c r="B1898" i="1"/>
  <c r="I1898" i="1" s="1"/>
  <c r="G1900" i="1"/>
  <c r="E1900" i="1"/>
  <c r="C1900" i="1"/>
  <c r="H1900" i="1"/>
  <c r="F1900" i="1"/>
  <c r="D1900" i="1"/>
  <c r="B1900" i="1"/>
  <c r="I1900" i="1" s="1"/>
  <c r="G1902" i="1"/>
  <c r="E1902" i="1"/>
  <c r="C1902" i="1"/>
  <c r="H1902" i="1"/>
  <c r="F1902" i="1"/>
  <c r="D1902" i="1"/>
  <c r="B1902" i="1"/>
  <c r="I1902" i="1" s="1"/>
  <c r="G1904" i="1"/>
  <c r="E1904" i="1"/>
  <c r="C1904" i="1"/>
  <c r="H1904" i="1"/>
  <c r="F1904" i="1"/>
  <c r="D1904" i="1"/>
  <c r="B1904" i="1"/>
  <c r="I1904" i="1" s="1"/>
  <c r="G1906" i="1"/>
  <c r="E1906" i="1"/>
  <c r="C1906" i="1"/>
  <c r="H1906" i="1"/>
  <c r="F1906" i="1"/>
  <c r="D1906" i="1"/>
  <c r="B1906" i="1"/>
  <c r="I1906" i="1" s="1"/>
  <c r="G1908" i="1"/>
  <c r="E1908" i="1"/>
  <c r="C1908" i="1"/>
  <c r="H1908" i="1"/>
  <c r="F1908" i="1"/>
  <c r="D1908" i="1"/>
  <c r="B1908" i="1"/>
  <c r="I1908" i="1" s="1"/>
  <c r="G1910" i="1"/>
  <c r="E1910" i="1"/>
  <c r="C1910" i="1"/>
  <c r="H1910" i="1"/>
  <c r="F1910" i="1"/>
  <c r="D1910" i="1"/>
  <c r="B1910" i="1"/>
  <c r="I1910" i="1" s="1"/>
  <c r="G1912" i="1"/>
  <c r="E1912" i="1"/>
  <c r="C1912" i="1"/>
  <c r="H1912" i="1"/>
  <c r="F1912" i="1"/>
  <c r="D1912" i="1"/>
  <c r="B1912" i="1"/>
  <c r="I1912" i="1" s="1"/>
  <c r="G1914" i="1"/>
  <c r="E1914" i="1"/>
  <c r="C1914" i="1"/>
  <c r="H1914" i="1"/>
  <c r="F1914" i="1"/>
  <c r="D1914" i="1"/>
  <c r="B1914" i="1"/>
  <c r="I1914" i="1" s="1"/>
  <c r="G1916" i="1"/>
  <c r="E1916" i="1"/>
  <c r="C1916" i="1"/>
  <c r="H1916" i="1"/>
  <c r="F1916" i="1"/>
  <c r="D1916" i="1"/>
  <c r="B1916" i="1"/>
  <c r="I1916" i="1" s="1"/>
  <c r="G1918" i="1"/>
  <c r="E1918" i="1"/>
  <c r="C1918" i="1"/>
  <c r="H1918" i="1"/>
  <c r="F1918" i="1"/>
  <c r="D1918" i="1"/>
  <c r="B1918" i="1"/>
  <c r="I1918" i="1" s="1"/>
  <c r="G1920" i="1"/>
  <c r="E1920" i="1"/>
  <c r="C1920" i="1"/>
  <c r="H1920" i="1"/>
  <c r="F1920" i="1"/>
  <c r="D1920" i="1"/>
  <c r="B1920" i="1"/>
  <c r="I1920" i="1" s="1"/>
  <c r="G1922" i="1"/>
  <c r="E1922" i="1"/>
  <c r="C1922" i="1"/>
  <c r="H1922" i="1"/>
  <c r="F1922" i="1"/>
  <c r="D1922" i="1"/>
  <c r="B1922" i="1"/>
  <c r="I1922" i="1" s="1"/>
  <c r="G1924" i="1"/>
  <c r="E1924" i="1"/>
  <c r="C1924" i="1"/>
  <c r="H1924" i="1"/>
  <c r="F1924" i="1"/>
  <c r="D1924" i="1"/>
  <c r="B1924" i="1"/>
  <c r="I1924" i="1" s="1"/>
  <c r="G1926" i="1"/>
  <c r="E1926" i="1"/>
  <c r="C1926" i="1"/>
  <c r="H1926" i="1"/>
  <c r="F1926" i="1"/>
  <c r="D1926" i="1"/>
  <c r="B1926" i="1"/>
  <c r="I1926" i="1" s="1"/>
  <c r="G1928" i="1"/>
  <c r="E1928" i="1"/>
  <c r="C1928" i="1"/>
  <c r="H1928" i="1"/>
  <c r="F1928" i="1"/>
  <c r="D1928" i="1"/>
  <c r="B1928" i="1"/>
  <c r="I1928" i="1" s="1"/>
  <c r="G1930" i="1"/>
  <c r="E1930" i="1"/>
  <c r="C1930" i="1"/>
  <c r="H1930" i="1"/>
  <c r="F1930" i="1"/>
  <c r="D1930" i="1"/>
  <c r="B1930" i="1"/>
  <c r="I1930" i="1" s="1"/>
  <c r="G1932" i="1"/>
  <c r="E1932" i="1"/>
  <c r="C1932" i="1"/>
  <c r="H1932" i="1"/>
  <c r="F1932" i="1"/>
  <c r="D1932" i="1"/>
  <c r="B1932" i="1"/>
  <c r="I1932" i="1" s="1"/>
  <c r="G1934" i="1"/>
  <c r="E1934" i="1"/>
  <c r="C1934" i="1"/>
  <c r="H1934" i="1"/>
  <c r="F1934" i="1"/>
  <c r="D1934" i="1"/>
  <c r="B1934" i="1"/>
  <c r="I1934" i="1" s="1"/>
  <c r="G1936" i="1"/>
  <c r="E1936" i="1"/>
  <c r="C1936" i="1"/>
  <c r="H1936" i="1"/>
  <c r="F1936" i="1"/>
  <c r="D1936" i="1"/>
  <c r="B1936" i="1"/>
  <c r="I1936" i="1" s="1"/>
  <c r="G1938" i="1"/>
  <c r="E1938" i="1"/>
  <c r="C1938" i="1"/>
  <c r="H1938" i="1"/>
  <c r="F1938" i="1"/>
  <c r="D1938" i="1"/>
  <c r="B1938" i="1"/>
  <c r="I1938" i="1" s="1"/>
  <c r="G1940" i="1"/>
  <c r="E1940" i="1"/>
  <c r="C1940" i="1"/>
  <c r="H1940" i="1"/>
  <c r="F1940" i="1"/>
  <c r="D1940" i="1"/>
  <c r="B1940" i="1"/>
  <c r="I1940" i="1" s="1"/>
  <c r="G1942" i="1"/>
  <c r="E1942" i="1"/>
  <c r="C1942" i="1"/>
  <c r="H1942" i="1"/>
  <c r="F1942" i="1"/>
  <c r="D1942" i="1"/>
  <c r="B1942" i="1"/>
  <c r="I1942" i="1" s="1"/>
  <c r="G1944" i="1"/>
  <c r="E1944" i="1"/>
  <c r="C1944" i="1"/>
  <c r="H1944" i="1"/>
  <c r="F1944" i="1"/>
  <c r="D1944" i="1"/>
  <c r="B1944" i="1"/>
  <c r="I1944" i="1" s="1"/>
  <c r="G1946" i="1"/>
  <c r="E1946" i="1"/>
  <c r="C1946" i="1"/>
  <c r="H1946" i="1"/>
  <c r="F1946" i="1"/>
  <c r="D1946" i="1"/>
  <c r="B1946" i="1"/>
  <c r="I1946" i="1" s="1"/>
  <c r="G1948" i="1"/>
  <c r="E1948" i="1"/>
  <c r="C1948" i="1"/>
  <c r="H1948" i="1"/>
  <c r="F1948" i="1"/>
  <c r="D1948" i="1"/>
  <c r="B1948" i="1"/>
  <c r="I1948" i="1" s="1"/>
  <c r="G1950" i="1"/>
  <c r="E1950" i="1"/>
  <c r="C1950" i="1"/>
  <c r="H1950" i="1"/>
  <c r="F1950" i="1"/>
  <c r="D1950" i="1"/>
  <c r="B1950" i="1"/>
  <c r="I1950" i="1" s="1"/>
  <c r="G1952" i="1"/>
  <c r="E1952" i="1"/>
  <c r="C1952" i="1"/>
  <c r="H1952" i="1"/>
  <c r="F1952" i="1"/>
  <c r="D1952" i="1"/>
  <c r="B1952" i="1"/>
  <c r="I1952" i="1" s="1"/>
  <c r="G1954" i="1"/>
  <c r="E1954" i="1"/>
  <c r="C1954" i="1"/>
  <c r="H1954" i="1"/>
  <c r="F1954" i="1"/>
  <c r="D1954" i="1"/>
  <c r="B1954" i="1"/>
  <c r="I1954" i="1" s="1"/>
  <c r="G1956" i="1"/>
  <c r="E1956" i="1"/>
  <c r="C1956" i="1"/>
  <c r="H1956" i="1"/>
  <c r="F1956" i="1"/>
  <c r="D1956" i="1"/>
  <c r="B1956" i="1"/>
  <c r="I1956" i="1" s="1"/>
  <c r="G1958" i="1"/>
  <c r="E1958" i="1"/>
  <c r="C1958" i="1"/>
  <c r="H1958" i="1"/>
  <c r="F1958" i="1"/>
  <c r="D1958" i="1"/>
  <c r="B1958" i="1"/>
  <c r="I1958" i="1" s="1"/>
  <c r="G1960" i="1"/>
  <c r="E1960" i="1"/>
  <c r="C1960" i="1"/>
  <c r="H1960" i="1"/>
  <c r="F1960" i="1"/>
  <c r="D1960" i="1"/>
  <c r="B1960" i="1"/>
  <c r="I1960" i="1" s="1"/>
  <c r="G1962" i="1"/>
  <c r="E1962" i="1"/>
  <c r="C1962" i="1"/>
  <c r="H1962" i="1"/>
  <c r="F1962" i="1"/>
  <c r="D1962" i="1"/>
  <c r="B1962" i="1"/>
  <c r="I1962" i="1" s="1"/>
  <c r="G1964" i="1"/>
  <c r="E1964" i="1"/>
  <c r="C1964" i="1"/>
  <c r="H1964" i="1"/>
  <c r="F1964" i="1"/>
  <c r="D1964" i="1"/>
  <c r="B1964" i="1"/>
  <c r="I1964" i="1" s="1"/>
  <c r="G1966" i="1"/>
  <c r="E1966" i="1"/>
  <c r="C1966" i="1"/>
  <c r="H1966" i="1"/>
  <c r="F1966" i="1"/>
  <c r="D1966" i="1"/>
  <c r="B1966" i="1"/>
  <c r="I1966" i="1" s="1"/>
  <c r="G1968" i="1"/>
  <c r="E1968" i="1"/>
  <c r="C1968" i="1"/>
  <c r="H1968" i="1"/>
  <c r="F1968" i="1"/>
  <c r="D1968" i="1"/>
  <c r="B1968" i="1"/>
  <c r="I1968" i="1" s="1"/>
  <c r="G1970" i="1"/>
  <c r="E1970" i="1"/>
  <c r="C1970" i="1"/>
  <c r="H1970" i="1"/>
  <c r="F1970" i="1"/>
  <c r="D1970" i="1"/>
  <c r="B1970" i="1"/>
  <c r="I1970" i="1" s="1"/>
  <c r="G1972" i="1"/>
  <c r="E1972" i="1"/>
  <c r="C1972" i="1"/>
  <c r="H1972" i="1"/>
  <c r="F1972" i="1"/>
  <c r="D1972" i="1"/>
  <c r="B1972" i="1"/>
  <c r="I1972" i="1" s="1"/>
  <c r="G1974" i="1"/>
  <c r="E1974" i="1"/>
  <c r="C1974" i="1"/>
  <c r="H1974" i="1"/>
  <c r="F1974" i="1"/>
  <c r="D1974" i="1"/>
  <c r="B1974" i="1"/>
  <c r="I1974" i="1" s="1"/>
  <c r="G1976" i="1"/>
  <c r="E1976" i="1"/>
  <c r="C1976" i="1"/>
  <c r="H1976" i="1"/>
  <c r="F1976" i="1"/>
  <c r="D1976" i="1"/>
  <c r="B1976" i="1"/>
  <c r="I1976" i="1" s="1"/>
  <c r="G1978" i="1"/>
  <c r="E1978" i="1"/>
  <c r="C1978" i="1"/>
  <c r="H1978" i="1"/>
  <c r="F1978" i="1"/>
  <c r="D1978" i="1"/>
  <c r="B1978" i="1"/>
  <c r="I1978" i="1" s="1"/>
  <c r="G1980" i="1"/>
  <c r="E1980" i="1"/>
  <c r="C1980" i="1"/>
  <c r="H1980" i="1"/>
  <c r="F1980" i="1"/>
  <c r="D1980" i="1"/>
  <c r="B1980" i="1"/>
  <c r="I1980" i="1" s="1"/>
  <c r="G1982" i="1"/>
  <c r="E1982" i="1"/>
  <c r="C1982" i="1"/>
  <c r="H1982" i="1"/>
  <c r="F1982" i="1"/>
  <c r="D1982" i="1"/>
  <c r="B1982" i="1"/>
  <c r="I1982" i="1" s="1"/>
  <c r="G1984" i="1"/>
  <c r="E1984" i="1"/>
  <c r="C1984" i="1"/>
  <c r="H1984" i="1"/>
  <c r="F1984" i="1"/>
  <c r="D1984" i="1"/>
  <c r="B1984" i="1"/>
  <c r="I1984" i="1" s="1"/>
  <c r="G1986" i="1"/>
  <c r="E1986" i="1"/>
  <c r="C1986" i="1"/>
  <c r="H1986" i="1"/>
  <c r="F1986" i="1"/>
  <c r="D1986" i="1"/>
  <c r="B1986" i="1"/>
  <c r="I1986" i="1" s="1"/>
  <c r="G1988" i="1"/>
  <c r="E1988" i="1"/>
  <c r="C1988" i="1"/>
  <c r="H1988" i="1"/>
  <c r="F1988" i="1"/>
  <c r="D1988" i="1"/>
  <c r="B1988" i="1"/>
  <c r="I1988" i="1" s="1"/>
  <c r="G1990" i="1"/>
  <c r="E1990" i="1"/>
  <c r="C1990" i="1"/>
  <c r="H1990" i="1"/>
  <c r="F1990" i="1"/>
  <c r="D1990" i="1"/>
  <c r="B1990" i="1"/>
  <c r="I1990" i="1" s="1"/>
  <c r="G1992" i="1"/>
  <c r="E1992" i="1"/>
  <c r="C1992" i="1"/>
  <c r="H1992" i="1"/>
  <c r="F1992" i="1"/>
  <c r="D1992" i="1"/>
  <c r="B1992" i="1"/>
  <c r="I1992" i="1" s="1"/>
  <c r="G1994" i="1"/>
  <c r="E1994" i="1"/>
  <c r="C1994" i="1"/>
  <c r="H1994" i="1"/>
  <c r="F1994" i="1"/>
  <c r="D1994" i="1"/>
  <c r="B1994" i="1"/>
  <c r="I1994" i="1" s="1"/>
  <c r="G1996" i="1"/>
  <c r="E1996" i="1"/>
  <c r="C1996" i="1"/>
  <c r="H1996" i="1"/>
  <c r="F1996" i="1"/>
  <c r="D1996" i="1"/>
  <c r="B1996" i="1"/>
  <c r="I1996" i="1" s="1"/>
  <c r="G1998" i="1"/>
  <c r="E1998" i="1"/>
  <c r="C1998" i="1"/>
  <c r="H1998" i="1"/>
  <c r="F1998" i="1"/>
  <c r="D1998" i="1"/>
  <c r="B1998" i="1"/>
  <c r="I1998" i="1" s="1"/>
  <c r="G2000" i="1"/>
  <c r="E2000" i="1"/>
  <c r="C2000" i="1"/>
  <c r="H2000" i="1"/>
  <c r="F2000" i="1"/>
  <c r="D2000" i="1"/>
  <c r="B2000" i="1"/>
  <c r="I2000" i="1" s="1"/>
  <c r="G2002" i="1"/>
  <c r="E2002" i="1"/>
  <c r="C2002" i="1"/>
  <c r="H2002" i="1"/>
  <c r="F2002" i="1"/>
  <c r="D2002" i="1"/>
  <c r="B2002" i="1"/>
  <c r="I2002" i="1" s="1"/>
  <c r="G2004" i="1"/>
  <c r="E2004" i="1"/>
  <c r="C2004" i="1"/>
  <c r="H2004" i="1"/>
  <c r="F2004" i="1"/>
  <c r="D2004" i="1"/>
  <c r="B2004" i="1"/>
  <c r="I2004" i="1" s="1"/>
  <c r="G2006" i="1"/>
  <c r="E2006" i="1"/>
  <c r="C2006" i="1"/>
  <c r="H2006" i="1"/>
  <c r="F2006" i="1"/>
  <c r="D2006" i="1"/>
  <c r="B2006" i="1"/>
  <c r="I2006" i="1" s="1"/>
  <c r="G2008" i="1"/>
  <c r="E2008" i="1"/>
  <c r="C2008" i="1"/>
  <c r="H2008" i="1"/>
  <c r="F2008" i="1"/>
  <c r="D2008" i="1"/>
  <c r="B2008" i="1"/>
  <c r="I2008" i="1" s="1"/>
  <c r="G2010" i="1"/>
  <c r="E2010" i="1"/>
  <c r="C2010" i="1"/>
  <c r="H2010" i="1"/>
  <c r="F2010" i="1"/>
  <c r="D2010" i="1"/>
  <c r="B2010" i="1"/>
  <c r="I2010" i="1" s="1"/>
  <c r="G2012" i="1"/>
  <c r="E2012" i="1"/>
  <c r="C2012" i="1"/>
  <c r="H2012" i="1"/>
  <c r="F2012" i="1"/>
  <c r="D2012" i="1"/>
  <c r="B2012" i="1"/>
  <c r="I2012" i="1" s="1"/>
  <c r="G2014" i="1"/>
  <c r="E2014" i="1"/>
  <c r="C2014" i="1"/>
  <c r="H2014" i="1"/>
  <c r="F2014" i="1"/>
  <c r="D2014" i="1"/>
  <c r="B2014" i="1"/>
  <c r="I2014" i="1" s="1"/>
  <c r="G2016" i="1"/>
  <c r="E2016" i="1"/>
  <c r="C2016" i="1"/>
  <c r="H2016" i="1"/>
  <c r="F2016" i="1"/>
  <c r="D2016" i="1"/>
  <c r="B2016" i="1"/>
  <c r="I2016" i="1" s="1"/>
  <c r="G20" i="1"/>
  <c r="E20" i="1"/>
  <c r="C20" i="1"/>
  <c r="H20" i="1"/>
  <c r="F20" i="1"/>
  <c r="D20" i="1"/>
  <c r="B20" i="1"/>
  <c r="G24" i="1"/>
  <c r="E24" i="1"/>
  <c r="C24" i="1"/>
  <c r="H24" i="1"/>
  <c r="F24" i="1"/>
  <c r="D24" i="1"/>
  <c r="B24" i="1"/>
  <c r="G28" i="1"/>
  <c r="E28" i="1"/>
  <c r="C28" i="1"/>
  <c r="H28" i="1"/>
  <c r="F28" i="1"/>
  <c r="D28" i="1"/>
  <c r="B28" i="1"/>
  <c r="G32" i="1"/>
  <c r="E32" i="1"/>
  <c r="C32" i="1"/>
  <c r="H32" i="1"/>
  <c r="F32" i="1"/>
  <c r="D32" i="1"/>
  <c r="B32" i="1"/>
  <c r="I32" i="1" s="1"/>
  <c r="G36" i="1"/>
  <c r="E36" i="1"/>
  <c r="C36" i="1"/>
  <c r="H36" i="1"/>
  <c r="F36" i="1"/>
  <c r="D36" i="1"/>
  <c r="B36" i="1"/>
  <c r="I36" i="1" s="1"/>
  <c r="G40" i="1"/>
  <c r="E40" i="1"/>
  <c r="C40" i="1"/>
  <c r="H40" i="1"/>
  <c r="F40" i="1"/>
  <c r="D40" i="1"/>
  <c r="B40" i="1"/>
  <c r="I40" i="1" s="1"/>
  <c r="G44" i="1"/>
  <c r="E44" i="1"/>
  <c r="C44" i="1"/>
  <c r="H44" i="1"/>
  <c r="F44" i="1"/>
  <c r="D44" i="1"/>
  <c r="B44" i="1"/>
  <c r="I44" i="1" s="1"/>
  <c r="G49" i="1"/>
  <c r="E49" i="1"/>
  <c r="C49" i="1"/>
  <c r="H49" i="1"/>
  <c r="F49" i="1"/>
  <c r="D49" i="1"/>
  <c r="B49" i="1"/>
  <c r="I49" i="1" s="1"/>
  <c r="G53" i="1"/>
  <c r="E53" i="1"/>
  <c r="C53" i="1"/>
  <c r="B53" i="1"/>
  <c r="I53" i="1" s="1"/>
  <c r="H53" i="1"/>
  <c r="F53" i="1"/>
  <c r="D53" i="1"/>
  <c r="G58" i="1"/>
  <c r="E58" i="1"/>
  <c r="C58" i="1"/>
  <c r="H58" i="1"/>
  <c r="F58" i="1"/>
  <c r="D58" i="1"/>
  <c r="B58" i="1"/>
  <c r="I58" i="1" s="1"/>
  <c r="G61" i="1"/>
  <c r="E61" i="1"/>
  <c r="C61" i="1"/>
  <c r="B61" i="1"/>
  <c r="I61" i="1" s="1"/>
  <c r="H61" i="1"/>
  <c r="F61" i="1"/>
  <c r="D61" i="1"/>
  <c r="G65" i="1"/>
  <c r="E65" i="1"/>
  <c r="C65" i="1"/>
  <c r="B65" i="1"/>
  <c r="I65" i="1" s="1"/>
  <c r="H65" i="1"/>
  <c r="F65" i="1"/>
  <c r="D65" i="1"/>
  <c r="G69" i="1"/>
  <c r="E69" i="1"/>
  <c r="C69" i="1"/>
  <c r="H69" i="1"/>
  <c r="F69" i="1"/>
  <c r="D69" i="1"/>
  <c r="B69" i="1"/>
  <c r="I69" i="1" s="1"/>
  <c r="G73" i="1"/>
  <c r="E73" i="1"/>
  <c r="C73" i="1"/>
  <c r="H73" i="1"/>
  <c r="F73" i="1"/>
  <c r="D73" i="1"/>
  <c r="B73" i="1"/>
  <c r="I73" i="1" s="1"/>
  <c r="G77" i="1"/>
  <c r="E77" i="1"/>
  <c r="C77" i="1"/>
  <c r="H77" i="1"/>
  <c r="F77" i="1"/>
  <c r="D77" i="1"/>
  <c r="B77" i="1"/>
  <c r="I77" i="1" s="1"/>
  <c r="G80" i="1"/>
  <c r="E80" i="1"/>
  <c r="C80" i="1"/>
  <c r="H80" i="1"/>
  <c r="F80" i="1"/>
  <c r="D80" i="1"/>
  <c r="B80" i="1"/>
  <c r="I80" i="1" s="1"/>
  <c r="G84" i="1"/>
  <c r="E84" i="1"/>
  <c r="C84" i="1"/>
  <c r="H84" i="1"/>
  <c r="F84" i="1"/>
  <c r="D84" i="1"/>
  <c r="B84" i="1"/>
  <c r="I84" i="1" s="1"/>
  <c r="G88" i="1"/>
  <c r="E88" i="1"/>
  <c r="C88" i="1"/>
  <c r="H88" i="1"/>
  <c r="F88" i="1"/>
  <c r="D88" i="1"/>
  <c r="B88" i="1"/>
  <c r="I88" i="1" s="1"/>
  <c r="G91" i="1"/>
  <c r="E91" i="1"/>
  <c r="C91" i="1"/>
  <c r="H91" i="1"/>
  <c r="F91" i="1"/>
  <c r="D91" i="1"/>
  <c r="B91" i="1"/>
  <c r="I91" i="1" s="1"/>
  <c r="G95" i="1"/>
  <c r="E95" i="1"/>
  <c r="C95" i="1"/>
  <c r="B95" i="1"/>
  <c r="I95" i="1" s="1"/>
  <c r="H95" i="1"/>
  <c r="F95" i="1"/>
  <c r="D95" i="1"/>
  <c r="G99" i="1"/>
  <c r="E99" i="1"/>
  <c r="C99" i="1"/>
  <c r="H99" i="1"/>
  <c r="F99" i="1"/>
  <c r="D99" i="1"/>
  <c r="B99" i="1"/>
  <c r="I99" i="1" s="1"/>
  <c r="G103" i="1"/>
  <c r="E103" i="1"/>
  <c r="C103" i="1"/>
  <c r="H103" i="1"/>
  <c r="F103" i="1"/>
  <c r="D103" i="1"/>
  <c r="B103" i="1"/>
  <c r="I103" i="1" s="1"/>
  <c r="G107" i="1"/>
  <c r="E107" i="1"/>
  <c r="C107" i="1"/>
  <c r="H107" i="1"/>
  <c r="F107" i="1"/>
  <c r="D107" i="1"/>
  <c r="B107" i="1"/>
  <c r="I107" i="1" s="1"/>
  <c r="G111" i="1"/>
  <c r="E111" i="1"/>
  <c r="C111" i="1"/>
  <c r="H111" i="1"/>
  <c r="F111" i="1"/>
  <c r="D111" i="1"/>
  <c r="B111" i="1"/>
  <c r="I111" i="1" s="1"/>
  <c r="G114" i="1"/>
  <c r="E114" i="1"/>
  <c r="C114" i="1"/>
  <c r="H114" i="1"/>
  <c r="F114" i="1"/>
  <c r="D114" i="1"/>
  <c r="B114" i="1"/>
  <c r="I114" i="1" s="1"/>
  <c r="G118" i="1"/>
  <c r="E118" i="1"/>
  <c r="C118" i="1"/>
  <c r="H118" i="1"/>
  <c r="F118" i="1"/>
  <c r="D118" i="1"/>
  <c r="B118" i="1"/>
  <c r="I118" i="1" s="1"/>
  <c r="G122" i="1"/>
  <c r="E122" i="1"/>
  <c r="C122" i="1"/>
  <c r="H122" i="1"/>
  <c r="F122" i="1"/>
  <c r="D122" i="1"/>
  <c r="B122" i="1"/>
  <c r="I122" i="1" s="1"/>
  <c r="G126" i="1"/>
  <c r="E126" i="1"/>
  <c r="C126" i="1"/>
  <c r="H126" i="1"/>
  <c r="F126" i="1"/>
  <c r="D126" i="1"/>
  <c r="B126" i="1"/>
  <c r="I126" i="1" s="1"/>
  <c r="G130" i="1"/>
  <c r="E130" i="1"/>
  <c r="C130" i="1"/>
  <c r="H130" i="1"/>
  <c r="F130" i="1"/>
  <c r="D130" i="1"/>
  <c r="B130" i="1"/>
  <c r="I130" i="1" s="1"/>
  <c r="G135" i="1"/>
  <c r="E135" i="1"/>
  <c r="C135" i="1"/>
  <c r="H135" i="1"/>
  <c r="F135" i="1"/>
  <c r="D135" i="1"/>
  <c r="B135" i="1"/>
  <c r="I135" i="1" s="1"/>
  <c r="G139" i="1"/>
  <c r="E139" i="1"/>
  <c r="C139" i="1"/>
  <c r="H139" i="1"/>
  <c r="F139" i="1"/>
  <c r="D139" i="1"/>
  <c r="B139" i="1"/>
  <c r="I139" i="1" s="1"/>
  <c r="G142" i="1"/>
  <c r="E142" i="1"/>
  <c r="C142" i="1"/>
  <c r="B142" i="1"/>
  <c r="I142" i="1" s="1"/>
  <c r="H142" i="1"/>
  <c r="F142" i="1"/>
  <c r="D142" i="1"/>
  <c r="G147" i="1"/>
  <c r="E147" i="1"/>
  <c r="C147" i="1"/>
  <c r="H147" i="1"/>
  <c r="F147" i="1"/>
  <c r="D147" i="1"/>
  <c r="B147" i="1"/>
  <c r="I147" i="1" s="1"/>
  <c r="G150" i="1"/>
  <c r="E150" i="1"/>
  <c r="C150" i="1"/>
  <c r="H150" i="1"/>
  <c r="F150" i="1"/>
  <c r="D150" i="1"/>
  <c r="B150" i="1"/>
  <c r="I150" i="1" s="1"/>
  <c r="G154" i="1"/>
  <c r="E154" i="1"/>
  <c r="C154" i="1"/>
  <c r="H154" i="1"/>
  <c r="F154" i="1"/>
  <c r="D154" i="1"/>
  <c r="B154" i="1"/>
  <c r="I154" i="1" s="1"/>
  <c r="G158" i="1"/>
  <c r="E158" i="1"/>
  <c r="C158" i="1"/>
  <c r="H158" i="1"/>
  <c r="F158" i="1"/>
  <c r="D158" i="1"/>
  <c r="B158" i="1"/>
  <c r="I158" i="1" s="1"/>
  <c r="G162" i="1"/>
  <c r="E162" i="1"/>
  <c r="C162" i="1"/>
  <c r="H162" i="1"/>
  <c r="F162" i="1"/>
  <c r="D162" i="1"/>
  <c r="B162" i="1"/>
  <c r="I162" i="1" s="1"/>
  <c r="G165" i="1"/>
  <c r="E165" i="1"/>
  <c r="C165" i="1"/>
  <c r="H165" i="1"/>
  <c r="F165" i="1"/>
  <c r="D165" i="1"/>
  <c r="B165" i="1"/>
  <c r="I165" i="1" s="1"/>
  <c r="G169" i="1"/>
  <c r="E169" i="1"/>
  <c r="C169" i="1"/>
  <c r="H169" i="1"/>
  <c r="F169" i="1"/>
  <c r="D169" i="1"/>
  <c r="B169" i="1"/>
  <c r="I169" i="1" s="1"/>
  <c r="G173" i="1"/>
  <c r="E173" i="1"/>
  <c r="C173" i="1"/>
  <c r="H173" i="1"/>
  <c r="F173" i="1"/>
  <c r="D173" i="1"/>
  <c r="B173" i="1"/>
  <c r="I173" i="1" s="1"/>
  <c r="G177" i="1"/>
  <c r="E177" i="1"/>
  <c r="C177" i="1"/>
  <c r="H177" i="1"/>
  <c r="F177" i="1"/>
  <c r="D177" i="1"/>
  <c r="B177" i="1"/>
  <c r="I177" i="1" s="1"/>
  <c r="G181" i="1"/>
  <c r="E181" i="1"/>
  <c r="C181" i="1"/>
  <c r="H181" i="1"/>
  <c r="F181" i="1"/>
  <c r="D181" i="1"/>
  <c r="B181" i="1"/>
  <c r="I181" i="1" s="1"/>
  <c r="G185" i="1"/>
  <c r="E185" i="1"/>
  <c r="C185" i="1"/>
  <c r="H185" i="1"/>
  <c r="F185" i="1"/>
  <c r="D185" i="1"/>
  <c r="B185" i="1"/>
  <c r="I185" i="1" s="1"/>
  <c r="G189" i="1"/>
  <c r="E189" i="1"/>
  <c r="C189" i="1"/>
  <c r="H189" i="1"/>
  <c r="F189" i="1"/>
  <c r="D189" i="1"/>
  <c r="B189" i="1"/>
  <c r="I189" i="1" s="1"/>
  <c r="G193" i="1"/>
  <c r="E193" i="1"/>
  <c r="C193" i="1"/>
  <c r="H193" i="1"/>
  <c r="F193" i="1"/>
  <c r="D193" i="1"/>
  <c r="B193" i="1"/>
  <c r="I193" i="1" s="1"/>
  <c r="G197" i="1"/>
  <c r="E197" i="1"/>
  <c r="C197" i="1"/>
  <c r="H197" i="1"/>
  <c r="F197" i="1"/>
  <c r="D197" i="1"/>
  <c r="B197" i="1"/>
  <c r="I197" i="1" s="1"/>
  <c r="G200" i="1"/>
  <c r="E200" i="1"/>
  <c r="C200" i="1"/>
  <c r="H200" i="1"/>
  <c r="F200" i="1"/>
  <c r="D200" i="1"/>
  <c r="B200" i="1"/>
  <c r="I200" i="1" s="1"/>
  <c r="G204" i="1"/>
  <c r="E204" i="1"/>
  <c r="C204" i="1"/>
  <c r="H204" i="1"/>
  <c r="F204" i="1"/>
  <c r="D204" i="1"/>
  <c r="B204" i="1"/>
  <c r="I204" i="1" s="1"/>
  <c r="G208" i="1"/>
  <c r="E208" i="1"/>
  <c r="C208" i="1"/>
  <c r="B208" i="1"/>
  <c r="I208" i="1" s="1"/>
  <c r="H208" i="1"/>
  <c r="F208" i="1"/>
  <c r="D208" i="1"/>
  <c r="G212" i="1"/>
  <c r="E212" i="1"/>
  <c r="C212" i="1"/>
  <c r="H212" i="1"/>
  <c r="F212" i="1"/>
  <c r="D212" i="1"/>
  <c r="B212" i="1"/>
  <c r="I212" i="1" s="1"/>
  <c r="G216" i="1"/>
  <c r="E216" i="1"/>
  <c r="C216" i="1"/>
  <c r="H216" i="1"/>
  <c r="F216" i="1"/>
  <c r="D216" i="1"/>
  <c r="B216" i="1"/>
  <c r="I216" i="1" s="1"/>
  <c r="G220" i="1"/>
  <c r="E220" i="1"/>
  <c r="C220" i="1"/>
  <c r="H220" i="1"/>
  <c r="F220" i="1"/>
  <c r="D220" i="1"/>
  <c r="B220" i="1"/>
  <c r="I220" i="1" s="1"/>
  <c r="G223" i="1"/>
  <c r="E223" i="1"/>
  <c r="C223" i="1"/>
  <c r="H223" i="1"/>
  <c r="F223" i="1"/>
  <c r="D223" i="1"/>
  <c r="B223" i="1"/>
  <c r="I223" i="1" s="1"/>
  <c r="G227" i="1"/>
  <c r="E227" i="1"/>
  <c r="C227" i="1"/>
  <c r="H227" i="1"/>
  <c r="F227" i="1"/>
  <c r="D227" i="1"/>
  <c r="B227" i="1"/>
  <c r="I227" i="1" s="1"/>
  <c r="G230" i="1"/>
  <c r="E230" i="1"/>
  <c r="C230" i="1"/>
  <c r="H230" i="1"/>
  <c r="F230" i="1"/>
  <c r="D230" i="1"/>
  <c r="B230" i="1"/>
  <c r="I230" i="1" s="1"/>
  <c r="G234" i="1"/>
  <c r="E234" i="1"/>
  <c r="C234" i="1"/>
  <c r="H234" i="1"/>
  <c r="F234" i="1"/>
  <c r="D234" i="1"/>
  <c r="B234" i="1"/>
  <c r="I234" i="1" s="1"/>
  <c r="G238" i="1"/>
  <c r="E238" i="1"/>
  <c r="C238" i="1"/>
  <c r="H238" i="1"/>
  <c r="F238" i="1"/>
  <c r="D238" i="1"/>
  <c r="B238" i="1"/>
  <c r="I238" i="1" s="1"/>
  <c r="G241" i="1"/>
  <c r="E241" i="1"/>
  <c r="C241" i="1"/>
  <c r="H241" i="1"/>
  <c r="F241" i="1"/>
  <c r="D241" i="1"/>
  <c r="B241" i="1"/>
  <c r="I241" i="1" s="1"/>
  <c r="G245" i="1"/>
  <c r="E245" i="1"/>
  <c r="C245" i="1"/>
  <c r="H245" i="1"/>
  <c r="F245" i="1"/>
  <c r="D245" i="1"/>
  <c r="B245" i="1"/>
  <c r="I245" i="1" s="1"/>
  <c r="G248" i="1"/>
  <c r="E248" i="1"/>
  <c r="C248" i="1"/>
  <c r="H248" i="1"/>
  <c r="F248" i="1"/>
  <c r="D248" i="1"/>
  <c r="B248" i="1"/>
  <c r="I248" i="1" s="1"/>
  <c r="G252" i="1"/>
  <c r="E252" i="1"/>
  <c r="C252" i="1"/>
  <c r="H252" i="1"/>
  <c r="F252" i="1"/>
  <c r="D252" i="1"/>
  <c r="B252" i="1"/>
  <c r="I252" i="1" s="1"/>
  <c r="G256" i="1"/>
  <c r="E256" i="1"/>
  <c r="C256" i="1"/>
  <c r="H256" i="1"/>
  <c r="F256" i="1"/>
  <c r="D256" i="1"/>
  <c r="B256" i="1"/>
  <c r="I256" i="1" s="1"/>
  <c r="G260" i="1"/>
  <c r="E260" i="1"/>
  <c r="C260" i="1"/>
  <c r="H260" i="1"/>
  <c r="F260" i="1"/>
  <c r="D260" i="1"/>
  <c r="B260" i="1"/>
  <c r="I260" i="1" s="1"/>
  <c r="G263" i="1"/>
  <c r="E263" i="1"/>
  <c r="C263" i="1"/>
  <c r="H263" i="1"/>
  <c r="F263" i="1"/>
  <c r="D263" i="1"/>
  <c r="B263" i="1"/>
  <c r="I263" i="1" s="1"/>
  <c r="G267" i="1"/>
  <c r="E267" i="1"/>
  <c r="C267" i="1"/>
  <c r="H267" i="1"/>
  <c r="F267" i="1"/>
  <c r="D267" i="1"/>
  <c r="B267" i="1"/>
  <c r="I267" i="1" s="1"/>
  <c r="G270" i="1"/>
  <c r="E270" i="1"/>
  <c r="C270" i="1"/>
  <c r="D270" i="1"/>
  <c r="H270" i="1"/>
  <c r="F270" i="1"/>
  <c r="B270" i="1"/>
  <c r="I270" i="1" s="1"/>
  <c r="G275" i="1"/>
  <c r="E275" i="1"/>
  <c r="C275" i="1"/>
  <c r="H275" i="1"/>
  <c r="F275" i="1"/>
  <c r="D275" i="1"/>
  <c r="B275" i="1"/>
  <c r="I275" i="1" s="1"/>
  <c r="G278" i="1"/>
  <c r="E278" i="1"/>
  <c r="C278" i="1"/>
  <c r="B278" i="1"/>
  <c r="I278" i="1" s="1"/>
  <c r="H278" i="1"/>
  <c r="F278" i="1"/>
  <c r="D278" i="1"/>
  <c r="G282" i="1"/>
  <c r="E282" i="1"/>
  <c r="C282" i="1"/>
  <c r="H282" i="1"/>
  <c r="F282" i="1"/>
  <c r="D282" i="1"/>
  <c r="B282" i="1"/>
  <c r="I282" i="1" s="1"/>
  <c r="G285" i="1"/>
  <c r="E285" i="1"/>
  <c r="C285" i="1"/>
  <c r="H285" i="1"/>
  <c r="F285" i="1"/>
  <c r="D285" i="1"/>
  <c r="B285" i="1"/>
  <c r="I285" i="1" s="1"/>
  <c r="G289" i="1"/>
  <c r="E289" i="1"/>
  <c r="C289" i="1"/>
  <c r="H289" i="1"/>
  <c r="F289" i="1"/>
  <c r="D289" i="1"/>
  <c r="B289" i="1"/>
  <c r="I289" i="1" s="1"/>
  <c r="G293" i="1"/>
  <c r="E293" i="1"/>
  <c r="C293" i="1"/>
  <c r="H293" i="1"/>
  <c r="F293" i="1"/>
  <c r="D293" i="1"/>
  <c r="B293" i="1"/>
  <c r="I293" i="1" s="1"/>
  <c r="G296" i="1"/>
  <c r="E296" i="1"/>
  <c r="C296" i="1"/>
  <c r="H296" i="1"/>
  <c r="F296" i="1"/>
  <c r="D296" i="1"/>
  <c r="B296" i="1"/>
  <c r="I296" i="1" s="1"/>
  <c r="G300" i="1"/>
  <c r="E300" i="1"/>
  <c r="C300" i="1"/>
  <c r="H300" i="1"/>
  <c r="F300" i="1"/>
  <c r="D300" i="1"/>
  <c r="B300" i="1"/>
  <c r="I300" i="1" s="1"/>
  <c r="G304" i="1"/>
  <c r="E304" i="1"/>
  <c r="C304" i="1"/>
  <c r="H304" i="1"/>
  <c r="F304" i="1"/>
  <c r="D304" i="1"/>
  <c r="B304" i="1"/>
  <c r="I304" i="1" s="1"/>
  <c r="G308" i="1"/>
  <c r="E308" i="1"/>
  <c r="C308" i="1"/>
  <c r="H308" i="1"/>
  <c r="F308" i="1"/>
  <c r="D308" i="1"/>
  <c r="B308" i="1"/>
  <c r="I308" i="1" s="1"/>
  <c r="G312" i="1"/>
  <c r="E312" i="1"/>
  <c r="C312" i="1"/>
  <c r="H312" i="1"/>
  <c r="F312" i="1"/>
  <c r="D312" i="1"/>
  <c r="B312" i="1"/>
  <c r="I312" i="1" s="1"/>
  <c r="G316" i="1"/>
  <c r="E316" i="1"/>
  <c r="C316" i="1"/>
  <c r="H316" i="1"/>
  <c r="F316" i="1"/>
  <c r="D316" i="1"/>
  <c r="B316" i="1"/>
  <c r="I316" i="1" s="1"/>
  <c r="G319" i="1"/>
  <c r="E319" i="1"/>
  <c r="C319" i="1"/>
  <c r="H319" i="1"/>
  <c r="F319" i="1"/>
  <c r="D319" i="1"/>
  <c r="B319" i="1"/>
  <c r="I319" i="1" s="1"/>
  <c r="G323" i="1"/>
  <c r="E323" i="1"/>
  <c r="C323" i="1"/>
  <c r="H323" i="1"/>
  <c r="F323" i="1"/>
  <c r="D323" i="1"/>
  <c r="B323" i="1"/>
  <c r="I323" i="1" s="1"/>
  <c r="G327" i="1"/>
  <c r="E327" i="1"/>
  <c r="C327" i="1"/>
  <c r="H327" i="1"/>
  <c r="F327" i="1"/>
  <c r="D327" i="1"/>
  <c r="B327" i="1"/>
  <c r="I327" i="1" s="1"/>
  <c r="G332" i="1"/>
  <c r="E332" i="1"/>
  <c r="C332" i="1"/>
  <c r="H332" i="1"/>
  <c r="F332" i="1"/>
  <c r="D332" i="1"/>
  <c r="B332" i="1"/>
  <c r="I332" i="1" s="1"/>
  <c r="G336" i="1"/>
  <c r="E336" i="1"/>
  <c r="C336" i="1"/>
  <c r="H336" i="1"/>
  <c r="F336" i="1"/>
  <c r="D336" i="1"/>
  <c r="B336" i="1"/>
  <c r="I336" i="1" s="1"/>
  <c r="G340" i="1"/>
  <c r="E340" i="1"/>
  <c r="C340" i="1"/>
  <c r="H340" i="1"/>
  <c r="F340" i="1"/>
  <c r="D340" i="1"/>
  <c r="B340" i="1"/>
  <c r="I340" i="1" s="1"/>
  <c r="G343" i="1"/>
  <c r="E343" i="1"/>
  <c r="C343" i="1"/>
  <c r="H343" i="1"/>
  <c r="F343" i="1"/>
  <c r="D343" i="1"/>
  <c r="B343" i="1"/>
  <c r="I343" i="1" s="1"/>
  <c r="G347" i="1"/>
  <c r="E347" i="1"/>
  <c r="C347" i="1"/>
  <c r="H347" i="1"/>
  <c r="F347" i="1"/>
  <c r="D347" i="1"/>
  <c r="B347" i="1"/>
  <c r="I347" i="1" s="1"/>
  <c r="G350" i="1"/>
  <c r="E350" i="1"/>
  <c r="C350" i="1"/>
  <c r="H350" i="1"/>
  <c r="F350" i="1"/>
  <c r="D350" i="1"/>
  <c r="B350" i="1"/>
  <c r="I350" i="1" s="1"/>
  <c r="G354" i="1"/>
  <c r="E354" i="1"/>
  <c r="C354" i="1"/>
  <c r="H354" i="1"/>
  <c r="F354" i="1"/>
  <c r="D354" i="1"/>
  <c r="B354" i="1"/>
  <c r="I354" i="1" s="1"/>
  <c r="G358" i="1"/>
  <c r="E358" i="1"/>
  <c r="C358" i="1"/>
  <c r="H358" i="1"/>
  <c r="F358" i="1"/>
  <c r="D358" i="1"/>
  <c r="B358" i="1"/>
  <c r="I358" i="1" s="1"/>
  <c r="G362" i="1"/>
  <c r="E362" i="1"/>
  <c r="C362" i="1"/>
  <c r="H362" i="1"/>
  <c r="F362" i="1"/>
  <c r="D362" i="1"/>
  <c r="B362" i="1"/>
  <c r="I362" i="1" s="1"/>
  <c r="G366" i="1"/>
  <c r="E366" i="1"/>
  <c r="C366" i="1"/>
  <c r="H366" i="1"/>
  <c r="F366" i="1"/>
  <c r="D366" i="1"/>
  <c r="B366" i="1"/>
  <c r="I366" i="1" s="1"/>
  <c r="G370" i="1"/>
  <c r="E370" i="1"/>
  <c r="C370" i="1"/>
  <c r="H370" i="1"/>
  <c r="F370" i="1"/>
  <c r="D370" i="1"/>
  <c r="B370" i="1"/>
  <c r="I370" i="1" s="1"/>
  <c r="G374" i="1"/>
  <c r="E374" i="1"/>
  <c r="C374" i="1"/>
  <c r="H374" i="1"/>
  <c r="F374" i="1"/>
  <c r="D374" i="1"/>
  <c r="B374" i="1"/>
  <c r="I374" i="1" s="1"/>
  <c r="G377" i="1"/>
  <c r="E377" i="1"/>
  <c r="C377" i="1"/>
  <c r="H377" i="1"/>
  <c r="F377" i="1"/>
  <c r="D377" i="1"/>
  <c r="B377" i="1"/>
  <c r="I377" i="1" s="1"/>
  <c r="G381" i="1"/>
  <c r="E381" i="1"/>
  <c r="C381" i="1"/>
  <c r="H381" i="1"/>
  <c r="F381" i="1"/>
  <c r="D381" i="1"/>
  <c r="B381" i="1"/>
  <c r="I381" i="1" s="1"/>
  <c r="G384" i="1"/>
  <c r="E384" i="1"/>
  <c r="C384" i="1"/>
  <c r="H384" i="1"/>
  <c r="F384" i="1"/>
  <c r="D384" i="1"/>
  <c r="B384" i="1"/>
  <c r="I384" i="1" s="1"/>
  <c r="G388" i="1"/>
  <c r="E388" i="1"/>
  <c r="C388" i="1"/>
  <c r="H388" i="1"/>
  <c r="F388" i="1"/>
  <c r="D388" i="1"/>
  <c r="B388" i="1"/>
  <c r="I388" i="1" s="1"/>
  <c r="G392" i="1"/>
  <c r="E392" i="1"/>
  <c r="C392" i="1"/>
  <c r="H392" i="1"/>
  <c r="F392" i="1"/>
  <c r="D392" i="1"/>
  <c r="B392" i="1"/>
  <c r="I392" i="1" s="1"/>
  <c r="G395" i="1"/>
  <c r="E395" i="1"/>
  <c r="C395" i="1"/>
  <c r="H395" i="1"/>
  <c r="F395" i="1"/>
  <c r="D395" i="1"/>
  <c r="B395" i="1"/>
  <c r="I395" i="1" s="1"/>
  <c r="G399" i="1"/>
  <c r="E399" i="1"/>
  <c r="C399" i="1"/>
  <c r="H399" i="1"/>
  <c r="F399" i="1"/>
  <c r="D399" i="1"/>
  <c r="B399" i="1"/>
  <c r="I399" i="1" s="1"/>
  <c r="G403" i="1"/>
  <c r="E403" i="1"/>
  <c r="C403" i="1"/>
  <c r="H403" i="1"/>
  <c r="F403" i="1"/>
  <c r="D403" i="1"/>
  <c r="B403" i="1"/>
  <c r="I403" i="1" s="1"/>
  <c r="G406" i="1"/>
  <c r="E406" i="1"/>
  <c r="C406" i="1"/>
  <c r="H406" i="1"/>
  <c r="F406" i="1"/>
  <c r="D406" i="1"/>
  <c r="B406" i="1"/>
  <c r="I406" i="1" s="1"/>
  <c r="G410" i="1"/>
  <c r="E410" i="1"/>
  <c r="C410" i="1"/>
  <c r="H410" i="1"/>
  <c r="F410" i="1"/>
  <c r="D410" i="1"/>
  <c r="B410" i="1"/>
  <c r="I410" i="1" s="1"/>
  <c r="G414" i="1"/>
  <c r="E414" i="1"/>
  <c r="C414" i="1"/>
  <c r="H414" i="1"/>
  <c r="F414" i="1"/>
  <c r="D414" i="1"/>
  <c r="B414" i="1"/>
  <c r="I414" i="1" s="1"/>
  <c r="G418" i="1"/>
  <c r="E418" i="1"/>
  <c r="C418" i="1"/>
  <c r="H418" i="1"/>
  <c r="F418" i="1"/>
  <c r="D418" i="1"/>
  <c r="B418" i="1"/>
  <c r="I418" i="1" s="1"/>
  <c r="G422" i="1"/>
  <c r="E422" i="1"/>
  <c r="C422" i="1"/>
  <c r="H422" i="1"/>
  <c r="F422" i="1"/>
  <c r="D422" i="1"/>
  <c r="B422" i="1"/>
  <c r="I422" i="1" s="1"/>
  <c r="G425" i="1"/>
  <c r="E425" i="1"/>
  <c r="C425" i="1"/>
  <c r="B425" i="1"/>
  <c r="I425" i="1" s="1"/>
  <c r="H425" i="1"/>
  <c r="F425" i="1"/>
  <c r="D425" i="1"/>
  <c r="G429" i="1"/>
  <c r="E429" i="1"/>
  <c r="C429" i="1"/>
  <c r="H429" i="1"/>
  <c r="F429" i="1"/>
  <c r="D429" i="1"/>
  <c r="B429" i="1"/>
  <c r="I429" i="1" s="1"/>
  <c r="G433" i="1"/>
  <c r="E433" i="1"/>
  <c r="C433" i="1"/>
  <c r="H433" i="1"/>
  <c r="F433" i="1"/>
  <c r="D433" i="1"/>
  <c r="B433" i="1"/>
  <c r="I433" i="1" s="1"/>
  <c r="G437" i="1"/>
  <c r="E437" i="1"/>
  <c r="C437" i="1"/>
  <c r="H437" i="1"/>
  <c r="F437" i="1"/>
  <c r="D437" i="1"/>
  <c r="B437" i="1"/>
  <c r="I437" i="1" s="1"/>
  <c r="G441" i="1"/>
  <c r="E441" i="1"/>
  <c r="C441" i="1"/>
  <c r="H441" i="1"/>
  <c r="F441" i="1"/>
  <c r="D441" i="1"/>
  <c r="B441" i="1"/>
  <c r="I441" i="1" s="1"/>
  <c r="G444" i="1"/>
  <c r="E444" i="1"/>
  <c r="C444" i="1"/>
  <c r="H444" i="1"/>
  <c r="F444" i="1"/>
  <c r="D444" i="1"/>
  <c r="B444" i="1"/>
  <c r="I444" i="1" s="1"/>
  <c r="G448" i="1"/>
  <c r="E448" i="1"/>
  <c r="C448" i="1"/>
  <c r="H448" i="1"/>
  <c r="F448" i="1"/>
  <c r="D448" i="1"/>
  <c r="B448" i="1"/>
  <c r="I448" i="1" s="1"/>
  <c r="G451" i="1"/>
  <c r="E451" i="1"/>
  <c r="C451" i="1"/>
  <c r="H451" i="1"/>
  <c r="F451" i="1"/>
  <c r="D451" i="1"/>
  <c r="B451" i="1"/>
  <c r="I451" i="1" s="1"/>
  <c r="G455" i="1"/>
  <c r="E455" i="1"/>
  <c r="C455" i="1"/>
  <c r="H455" i="1"/>
  <c r="F455" i="1"/>
  <c r="D455" i="1"/>
  <c r="B455" i="1"/>
  <c r="I455" i="1" s="1"/>
  <c r="G459" i="1"/>
  <c r="E459" i="1"/>
  <c r="C459" i="1"/>
  <c r="H459" i="1"/>
  <c r="F459" i="1"/>
  <c r="D459" i="1"/>
  <c r="B459" i="1"/>
  <c r="I459" i="1" s="1"/>
  <c r="G463" i="1"/>
  <c r="E463" i="1"/>
  <c r="C463" i="1"/>
  <c r="H463" i="1"/>
  <c r="F463" i="1"/>
  <c r="D463" i="1"/>
  <c r="B463" i="1"/>
  <c r="I463" i="1" s="1"/>
  <c r="G466" i="1"/>
  <c r="E466" i="1"/>
  <c r="C466" i="1"/>
  <c r="H466" i="1"/>
  <c r="F466" i="1"/>
  <c r="D466" i="1"/>
  <c r="B466" i="1"/>
  <c r="I466" i="1" s="1"/>
  <c r="G472" i="1"/>
  <c r="E472" i="1"/>
  <c r="C472" i="1"/>
  <c r="H472" i="1"/>
  <c r="F472" i="1"/>
  <c r="D472" i="1"/>
  <c r="B472" i="1"/>
  <c r="I472" i="1" s="1"/>
  <c r="G476" i="1"/>
  <c r="E476" i="1"/>
  <c r="C476" i="1"/>
  <c r="H476" i="1"/>
  <c r="F476" i="1"/>
  <c r="D476" i="1"/>
  <c r="B476" i="1"/>
  <c r="I476" i="1" s="1"/>
  <c r="G479" i="1"/>
  <c r="E479" i="1"/>
  <c r="C479" i="1"/>
  <c r="H479" i="1"/>
  <c r="F479" i="1"/>
  <c r="D479" i="1"/>
  <c r="B479" i="1"/>
  <c r="I479" i="1" s="1"/>
  <c r="G483" i="1"/>
  <c r="E483" i="1"/>
  <c r="C483" i="1"/>
  <c r="H483" i="1"/>
  <c r="F483" i="1"/>
  <c r="D483" i="1"/>
  <c r="B483" i="1"/>
  <c r="I483" i="1" s="1"/>
  <c r="G487" i="1"/>
  <c r="E487" i="1"/>
  <c r="C487" i="1"/>
  <c r="H487" i="1"/>
  <c r="F487" i="1"/>
  <c r="D487" i="1"/>
  <c r="B487" i="1"/>
  <c r="I487" i="1" s="1"/>
  <c r="G491" i="1"/>
  <c r="E491" i="1"/>
  <c r="C491" i="1"/>
  <c r="H491" i="1"/>
  <c r="F491" i="1"/>
  <c r="D491" i="1"/>
  <c r="B491" i="1"/>
  <c r="I491" i="1" s="1"/>
  <c r="G494" i="1"/>
  <c r="E494" i="1"/>
  <c r="C494" i="1"/>
  <c r="H494" i="1"/>
  <c r="F494" i="1"/>
  <c r="D494" i="1"/>
  <c r="B494" i="1"/>
  <c r="I494" i="1" s="1"/>
  <c r="G498" i="1"/>
  <c r="E498" i="1"/>
  <c r="C498" i="1"/>
  <c r="H498" i="1"/>
  <c r="F498" i="1"/>
  <c r="D498" i="1"/>
  <c r="B498" i="1"/>
  <c r="I498" i="1" s="1"/>
  <c r="G502" i="1"/>
  <c r="E502" i="1"/>
  <c r="C502" i="1"/>
  <c r="H502" i="1"/>
  <c r="F502" i="1"/>
  <c r="D502" i="1"/>
  <c r="B502" i="1"/>
  <c r="I502" i="1" s="1"/>
  <c r="G505" i="1"/>
  <c r="E505" i="1"/>
  <c r="C505" i="1"/>
  <c r="H505" i="1"/>
  <c r="F505" i="1"/>
  <c r="D505" i="1"/>
  <c r="B505" i="1"/>
  <c r="I505" i="1" s="1"/>
  <c r="G509" i="1"/>
  <c r="E509" i="1"/>
  <c r="C509" i="1"/>
  <c r="H509" i="1"/>
  <c r="F509" i="1"/>
  <c r="D509" i="1"/>
  <c r="B509" i="1"/>
  <c r="I509" i="1" s="1"/>
  <c r="G513" i="1"/>
  <c r="E513" i="1"/>
  <c r="C513" i="1"/>
  <c r="H513" i="1"/>
  <c r="F513" i="1"/>
  <c r="D513" i="1"/>
  <c r="B513" i="1"/>
  <c r="I513" i="1" s="1"/>
  <c r="G517" i="1"/>
  <c r="E517" i="1"/>
  <c r="C517" i="1"/>
  <c r="H517" i="1"/>
  <c r="F517" i="1"/>
  <c r="D517" i="1"/>
  <c r="B517" i="1"/>
  <c r="I517" i="1" s="1"/>
  <c r="G520" i="1"/>
  <c r="E520" i="1"/>
  <c r="C520" i="1"/>
  <c r="H520" i="1"/>
  <c r="F520" i="1"/>
  <c r="D520" i="1"/>
  <c r="B520" i="1"/>
  <c r="I520" i="1" s="1"/>
  <c r="G524" i="1"/>
  <c r="E524" i="1"/>
  <c r="C524" i="1"/>
  <c r="H524" i="1"/>
  <c r="F524" i="1"/>
  <c r="D524" i="1"/>
  <c r="B524" i="1"/>
  <c r="I524" i="1" s="1"/>
  <c r="G528" i="1"/>
  <c r="E528" i="1"/>
  <c r="C528" i="1"/>
  <c r="B528" i="1"/>
  <c r="I528" i="1" s="1"/>
  <c r="H528" i="1"/>
  <c r="F528" i="1"/>
  <c r="D528" i="1"/>
  <c r="G532" i="1"/>
  <c r="E532" i="1"/>
  <c r="C532" i="1"/>
  <c r="H532" i="1"/>
  <c r="F532" i="1"/>
  <c r="D532" i="1"/>
  <c r="B532" i="1"/>
  <c r="I532" i="1" s="1"/>
  <c r="G535" i="1"/>
  <c r="E535" i="1"/>
  <c r="C535" i="1"/>
  <c r="H535" i="1"/>
  <c r="F535" i="1"/>
  <c r="D535" i="1"/>
  <c r="B535" i="1"/>
  <c r="I535" i="1" s="1"/>
  <c r="G539" i="1"/>
  <c r="E539" i="1"/>
  <c r="C539" i="1"/>
  <c r="H539" i="1"/>
  <c r="F539" i="1"/>
  <c r="D539" i="1"/>
  <c r="B539" i="1"/>
  <c r="I539" i="1" s="1"/>
  <c r="G542" i="1"/>
  <c r="E542" i="1"/>
  <c r="C542" i="1"/>
  <c r="H542" i="1"/>
  <c r="F542" i="1"/>
  <c r="D542" i="1"/>
  <c r="B542" i="1"/>
  <c r="I542" i="1" s="1"/>
  <c r="G546" i="1"/>
  <c r="E546" i="1"/>
  <c r="C546" i="1"/>
  <c r="H546" i="1"/>
  <c r="F546" i="1"/>
  <c r="D546" i="1"/>
  <c r="B546" i="1"/>
  <c r="I546" i="1" s="1"/>
  <c r="G550" i="1"/>
  <c r="E550" i="1"/>
  <c r="C550" i="1"/>
  <c r="H550" i="1"/>
  <c r="F550" i="1"/>
  <c r="D550" i="1"/>
  <c r="B550" i="1"/>
  <c r="I550" i="1" s="1"/>
  <c r="G554" i="1"/>
  <c r="E554" i="1"/>
  <c r="C554" i="1"/>
  <c r="H554" i="1"/>
  <c r="F554" i="1"/>
  <c r="D554" i="1"/>
  <c r="B554" i="1"/>
  <c r="I554" i="1" s="1"/>
  <c r="G558" i="1"/>
  <c r="E558" i="1"/>
  <c r="C558" i="1"/>
  <c r="H558" i="1"/>
  <c r="F558" i="1"/>
  <c r="D558" i="1"/>
  <c r="B558" i="1"/>
  <c r="I558" i="1" s="1"/>
  <c r="G563" i="1"/>
  <c r="E563" i="1"/>
  <c r="C563" i="1"/>
  <c r="H563" i="1"/>
  <c r="F563" i="1"/>
  <c r="D563" i="1"/>
  <c r="B563" i="1"/>
  <c r="I563" i="1" s="1"/>
  <c r="G566" i="1"/>
  <c r="E566" i="1"/>
  <c r="C566" i="1"/>
  <c r="H566" i="1"/>
  <c r="F566" i="1"/>
  <c r="D566" i="1"/>
  <c r="B566" i="1"/>
  <c r="I566" i="1" s="1"/>
  <c r="G570" i="1"/>
  <c r="E570" i="1"/>
  <c r="C570" i="1"/>
  <c r="H570" i="1"/>
  <c r="F570" i="1"/>
  <c r="D570" i="1"/>
  <c r="B570" i="1"/>
  <c r="I570" i="1" s="1"/>
  <c r="G574" i="1"/>
  <c r="E574" i="1"/>
  <c r="C574" i="1"/>
  <c r="H574" i="1"/>
  <c r="F574" i="1"/>
  <c r="D574" i="1"/>
  <c r="B574" i="1"/>
  <c r="I574" i="1" s="1"/>
  <c r="G578" i="1"/>
  <c r="E578" i="1"/>
  <c r="C578" i="1"/>
  <c r="H578" i="1"/>
  <c r="F578" i="1"/>
  <c r="D578" i="1"/>
  <c r="B578" i="1"/>
  <c r="I578" i="1" s="1"/>
  <c r="G582" i="1"/>
  <c r="E582" i="1"/>
  <c r="C582" i="1"/>
  <c r="H582" i="1"/>
  <c r="F582" i="1"/>
  <c r="D582" i="1"/>
  <c r="B582" i="1"/>
  <c r="I582" i="1" s="1"/>
  <c r="G586" i="1"/>
  <c r="E586" i="1"/>
  <c r="C586" i="1"/>
  <c r="H586" i="1"/>
  <c r="F586" i="1"/>
  <c r="D586" i="1"/>
  <c r="B586" i="1"/>
  <c r="I586" i="1" s="1"/>
  <c r="G589" i="1"/>
  <c r="E589" i="1"/>
  <c r="C589" i="1"/>
  <c r="H589" i="1"/>
  <c r="F589" i="1"/>
  <c r="D589" i="1"/>
  <c r="B589" i="1"/>
  <c r="I589" i="1" s="1"/>
  <c r="G593" i="1"/>
  <c r="E593" i="1"/>
  <c r="C593" i="1"/>
  <c r="B593" i="1"/>
  <c r="I593" i="1" s="1"/>
  <c r="H593" i="1"/>
  <c r="F593" i="1"/>
  <c r="D593" i="1"/>
  <c r="G597" i="1"/>
  <c r="E597" i="1"/>
  <c r="C597" i="1"/>
  <c r="H597" i="1"/>
  <c r="F597" i="1"/>
  <c r="D597" i="1"/>
  <c r="B597" i="1"/>
  <c r="I597" i="1" s="1"/>
  <c r="G601" i="1"/>
  <c r="E601" i="1"/>
  <c r="C601" i="1"/>
  <c r="H601" i="1"/>
  <c r="F601" i="1"/>
  <c r="D601" i="1"/>
  <c r="B601" i="1"/>
  <c r="I601" i="1" s="1"/>
  <c r="G604" i="1"/>
  <c r="E604" i="1"/>
  <c r="C604" i="1"/>
  <c r="H604" i="1"/>
  <c r="F604" i="1"/>
  <c r="D604" i="1"/>
  <c r="B604" i="1"/>
  <c r="I604" i="1" s="1"/>
  <c r="G608" i="1"/>
  <c r="E608" i="1"/>
  <c r="C608" i="1"/>
  <c r="H608" i="1"/>
  <c r="F608" i="1"/>
  <c r="D608" i="1"/>
  <c r="B608" i="1"/>
  <c r="I608" i="1" s="1"/>
  <c r="G612" i="1"/>
  <c r="E612" i="1"/>
  <c r="C612" i="1"/>
  <c r="H612" i="1"/>
  <c r="F612" i="1"/>
  <c r="D612" i="1"/>
  <c r="B612" i="1"/>
  <c r="I612" i="1" s="1"/>
  <c r="G617" i="1"/>
  <c r="E617" i="1"/>
  <c r="C617" i="1"/>
  <c r="H617" i="1"/>
  <c r="F617" i="1"/>
  <c r="D617" i="1"/>
  <c r="B617" i="1"/>
  <c r="I617" i="1" s="1"/>
  <c r="G620" i="1"/>
  <c r="E620" i="1"/>
  <c r="C620" i="1"/>
  <c r="H620" i="1"/>
  <c r="F620" i="1"/>
  <c r="D620" i="1"/>
  <c r="B620" i="1"/>
  <c r="I620" i="1" s="1"/>
  <c r="G624" i="1"/>
  <c r="E624" i="1"/>
  <c r="C624" i="1"/>
  <c r="H624" i="1"/>
  <c r="F624" i="1"/>
  <c r="D624" i="1"/>
  <c r="B624" i="1"/>
  <c r="I624" i="1" s="1"/>
  <c r="G628" i="1"/>
  <c r="E628" i="1"/>
  <c r="C628" i="1"/>
  <c r="H628" i="1"/>
  <c r="F628" i="1"/>
  <c r="D628" i="1"/>
  <c r="B628" i="1"/>
  <c r="I628" i="1" s="1"/>
  <c r="G631" i="1"/>
  <c r="E631" i="1"/>
  <c r="C631" i="1"/>
  <c r="H631" i="1"/>
  <c r="F631" i="1"/>
  <c r="D631" i="1"/>
  <c r="B631" i="1"/>
  <c r="I631" i="1" s="1"/>
  <c r="G636" i="1"/>
  <c r="E636" i="1"/>
  <c r="C636" i="1"/>
  <c r="H636" i="1"/>
  <c r="F636" i="1"/>
  <c r="D636" i="1"/>
  <c r="B636" i="1"/>
  <c r="I636" i="1" s="1"/>
  <c r="G639" i="1"/>
  <c r="E639" i="1"/>
  <c r="C639" i="1"/>
  <c r="H639" i="1"/>
  <c r="F639" i="1"/>
  <c r="D639" i="1"/>
  <c r="B639" i="1"/>
  <c r="I639" i="1" s="1"/>
  <c r="G643" i="1"/>
  <c r="E643" i="1"/>
  <c r="C643" i="1"/>
  <c r="H643" i="1"/>
  <c r="F643" i="1"/>
  <c r="D643" i="1"/>
  <c r="B643" i="1"/>
  <c r="I643" i="1" s="1"/>
  <c r="G647" i="1"/>
  <c r="E647" i="1"/>
  <c r="C647" i="1"/>
  <c r="H647" i="1"/>
  <c r="F647" i="1"/>
  <c r="D647" i="1"/>
  <c r="B647" i="1"/>
  <c r="I647" i="1" s="1"/>
  <c r="G651" i="1"/>
  <c r="E651" i="1"/>
  <c r="C651" i="1"/>
  <c r="H651" i="1"/>
  <c r="F651" i="1"/>
  <c r="D651" i="1"/>
  <c r="B651" i="1"/>
  <c r="I651" i="1" s="1"/>
  <c r="G654" i="1"/>
  <c r="E654" i="1"/>
  <c r="C654" i="1"/>
  <c r="H654" i="1"/>
  <c r="F654" i="1"/>
  <c r="D654" i="1"/>
  <c r="B654" i="1"/>
  <c r="I654" i="1" s="1"/>
  <c r="G659" i="1"/>
  <c r="E659" i="1"/>
  <c r="C659" i="1"/>
  <c r="H659" i="1"/>
  <c r="F659" i="1"/>
  <c r="D659" i="1"/>
  <c r="B659" i="1"/>
  <c r="I659" i="1" s="1"/>
  <c r="G662" i="1"/>
  <c r="E662" i="1"/>
  <c r="C662" i="1"/>
  <c r="H662" i="1"/>
  <c r="F662" i="1"/>
  <c r="D662" i="1"/>
  <c r="B662" i="1"/>
  <c r="I662" i="1" s="1"/>
  <c r="G666" i="1"/>
  <c r="E666" i="1"/>
  <c r="C666" i="1"/>
  <c r="H666" i="1"/>
  <c r="F666" i="1"/>
  <c r="D666" i="1"/>
  <c r="B666" i="1"/>
  <c r="I666" i="1" s="1"/>
  <c r="G670" i="1"/>
  <c r="E670" i="1"/>
  <c r="C670" i="1"/>
  <c r="H670" i="1"/>
  <c r="F670" i="1"/>
  <c r="D670" i="1"/>
  <c r="B670" i="1"/>
  <c r="I670" i="1" s="1"/>
  <c r="G674" i="1"/>
  <c r="E674" i="1"/>
  <c r="C674" i="1"/>
  <c r="H674" i="1"/>
  <c r="F674" i="1"/>
  <c r="D674" i="1"/>
  <c r="B674" i="1"/>
  <c r="I674" i="1" s="1"/>
  <c r="G677" i="1"/>
  <c r="E677" i="1"/>
  <c r="C677" i="1"/>
  <c r="H677" i="1"/>
  <c r="F677" i="1"/>
  <c r="D677" i="1"/>
  <c r="B677" i="1"/>
  <c r="I677" i="1" s="1"/>
  <c r="G681" i="1"/>
  <c r="E681" i="1"/>
  <c r="C681" i="1"/>
  <c r="H681" i="1"/>
  <c r="F681" i="1"/>
  <c r="D681" i="1"/>
  <c r="B681" i="1"/>
  <c r="I681" i="1" s="1"/>
  <c r="G685" i="1"/>
  <c r="E685" i="1"/>
  <c r="C685" i="1"/>
  <c r="B685" i="1"/>
  <c r="I685" i="1" s="1"/>
  <c r="H685" i="1"/>
  <c r="F685" i="1"/>
  <c r="D685" i="1"/>
  <c r="G689" i="1"/>
  <c r="E689" i="1"/>
  <c r="C689" i="1"/>
  <c r="H689" i="1"/>
  <c r="F689" i="1"/>
  <c r="D689" i="1"/>
  <c r="B689" i="1"/>
  <c r="I689" i="1" s="1"/>
  <c r="G692" i="1"/>
  <c r="E692" i="1"/>
  <c r="C692" i="1"/>
  <c r="H692" i="1"/>
  <c r="F692" i="1"/>
  <c r="D692" i="1"/>
  <c r="B692" i="1"/>
  <c r="I692" i="1" s="1"/>
  <c r="G696" i="1"/>
  <c r="E696" i="1"/>
  <c r="C696" i="1"/>
  <c r="H696" i="1"/>
  <c r="F696" i="1"/>
  <c r="D696" i="1"/>
  <c r="B696" i="1"/>
  <c r="I696" i="1" s="1"/>
  <c r="G700" i="1"/>
  <c r="E700" i="1"/>
  <c r="C700" i="1"/>
  <c r="H700" i="1"/>
  <c r="F700" i="1"/>
  <c r="D700" i="1"/>
  <c r="B700" i="1"/>
  <c r="I700" i="1" s="1"/>
  <c r="G704" i="1"/>
  <c r="E704" i="1"/>
  <c r="C704" i="1"/>
  <c r="H704" i="1"/>
  <c r="F704" i="1"/>
  <c r="D704" i="1"/>
  <c r="B704" i="1"/>
  <c r="I704" i="1" s="1"/>
  <c r="G708" i="1"/>
  <c r="E708" i="1"/>
  <c r="C708" i="1"/>
  <c r="H708" i="1"/>
  <c r="F708" i="1"/>
  <c r="D708" i="1"/>
  <c r="B708" i="1"/>
  <c r="I708" i="1" s="1"/>
  <c r="G712" i="1"/>
  <c r="E712" i="1"/>
  <c r="C712" i="1"/>
  <c r="H712" i="1"/>
  <c r="F712" i="1"/>
  <c r="D712" i="1"/>
  <c r="B712" i="1"/>
  <c r="I712" i="1" s="1"/>
  <c r="G715" i="1"/>
  <c r="E715" i="1"/>
  <c r="C715" i="1"/>
  <c r="H715" i="1"/>
  <c r="F715" i="1"/>
  <c r="D715" i="1"/>
  <c r="B715" i="1"/>
  <c r="I715" i="1" s="1"/>
  <c r="G719" i="1"/>
  <c r="E719" i="1"/>
  <c r="C719" i="1"/>
  <c r="H719" i="1"/>
  <c r="F719" i="1"/>
  <c r="D719" i="1"/>
  <c r="B719" i="1"/>
  <c r="I719" i="1" s="1"/>
  <c r="G723" i="1"/>
  <c r="E723" i="1"/>
  <c r="C723" i="1"/>
  <c r="H723" i="1"/>
  <c r="F723" i="1"/>
  <c r="D723" i="1"/>
  <c r="B723" i="1"/>
  <c r="I723" i="1" s="1"/>
  <c r="G726" i="1"/>
  <c r="E726" i="1"/>
  <c r="C726" i="1"/>
  <c r="H726" i="1"/>
  <c r="F726" i="1"/>
  <c r="D726" i="1"/>
  <c r="B726" i="1"/>
  <c r="I726" i="1" s="1"/>
  <c r="G730" i="1"/>
  <c r="E730" i="1"/>
  <c r="C730" i="1"/>
  <c r="H730" i="1"/>
  <c r="F730" i="1"/>
  <c r="D730" i="1"/>
  <c r="B730" i="1"/>
  <c r="I730" i="1" s="1"/>
  <c r="G734" i="1"/>
  <c r="E734" i="1"/>
  <c r="C734" i="1"/>
  <c r="H734" i="1"/>
  <c r="F734" i="1"/>
  <c r="D734" i="1"/>
  <c r="B734" i="1"/>
  <c r="I734" i="1" s="1"/>
  <c r="G738" i="1"/>
  <c r="E738" i="1"/>
  <c r="C738" i="1"/>
  <c r="H738" i="1"/>
  <c r="F738" i="1"/>
  <c r="D738" i="1"/>
  <c r="B738" i="1"/>
  <c r="I738" i="1" s="1"/>
  <c r="G741" i="1"/>
  <c r="E741" i="1"/>
  <c r="C741" i="1"/>
  <c r="H741" i="1"/>
  <c r="F741" i="1"/>
  <c r="D741" i="1"/>
  <c r="B741" i="1"/>
  <c r="I741" i="1" s="1"/>
  <c r="G745" i="1"/>
  <c r="E745" i="1"/>
  <c r="C745" i="1"/>
  <c r="B745" i="1"/>
  <c r="I745" i="1" s="1"/>
  <c r="H745" i="1"/>
  <c r="F745" i="1"/>
  <c r="D745" i="1"/>
  <c r="G749" i="1"/>
  <c r="E749" i="1"/>
  <c r="C749" i="1"/>
  <c r="H749" i="1"/>
  <c r="F749" i="1"/>
  <c r="D749" i="1"/>
  <c r="B749" i="1"/>
  <c r="I749" i="1" s="1"/>
  <c r="G754" i="1"/>
  <c r="E754" i="1"/>
  <c r="C754" i="1"/>
  <c r="H754" i="1"/>
  <c r="F754" i="1"/>
  <c r="D754" i="1"/>
  <c r="B754" i="1"/>
  <c r="I754" i="1" s="1"/>
  <c r="G758" i="1"/>
  <c r="E758" i="1"/>
  <c r="C758" i="1"/>
  <c r="H758" i="1"/>
  <c r="F758" i="1"/>
  <c r="D758" i="1"/>
  <c r="B758" i="1"/>
  <c r="I758" i="1" s="1"/>
  <c r="G762" i="1"/>
  <c r="E762" i="1"/>
  <c r="C762" i="1"/>
  <c r="H762" i="1"/>
  <c r="F762" i="1"/>
  <c r="D762" i="1"/>
  <c r="B762" i="1"/>
  <c r="I762" i="1" s="1"/>
  <c r="G766" i="1"/>
  <c r="E766" i="1"/>
  <c r="C766" i="1"/>
  <c r="H766" i="1"/>
  <c r="F766" i="1"/>
  <c r="D766" i="1"/>
  <c r="B766" i="1"/>
  <c r="I766" i="1" s="1"/>
  <c r="G770" i="1"/>
  <c r="E770" i="1"/>
  <c r="C770" i="1"/>
  <c r="H770" i="1"/>
  <c r="F770" i="1"/>
  <c r="D770" i="1"/>
  <c r="B770" i="1"/>
  <c r="I770" i="1" s="1"/>
  <c r="G774" i="1"/>
  <c r="E774" i="1"/>
  <c r="C774" i="1"/>
  <c r="H774" i="1"/>
  <c r="F774" i="1"/>
  <c r="D774" i="1"/>
  <c r="B774" i="1"/>
  <c r="I774" i="1" s="1"/>
  <c r="G778" i="1"/>
  <c r="E778" i="1"/>
  <c r="C778" i="1"/>
  <c r="H778" i="1"/>
  <c r="F778" i="1"/>
  <c r="D778" i="1"/>
  <c r="B778" i="1"/>
  <c r="I778" i="1" s="1"/>
  <c r="G781" i="1"/>
  <c r="E781" i="1"/>
  <c r="C781" i="1"/>
  <c r="H781" i="1"/>
  <c r="F781" i="1"/>
  <c r="D781" i="1"/>
  <c r="B781" i="1"/>
  <c r="I781" i="1" s="1"/>
  <c r="G786" i="1"/>
  <c r="E786" i="1"/>
  <c r="C786" i="1"/>
  <c r="H786" i="1"/>
  <c r="F786" i="1"/>
  <c r="D786" i="1"/>
  <c r="B786" i="1"/>
  <c r="I786" i="1" s="1"/>
  <c r="G789" i="1"/>
  <c r="E789" i="1"/>
  <c r="C789" i="1"/>
  <c r="H789" i="1"/>
  <c r="F789" i="1"/>
  <c r="D789" i="1"/>
  <c r="B789" i="1"/>
  <c r="I789" i="1" s="1"/>
  <c r="G793" i="1"/>
  <c r="E793" i="1"/>
  <c r="C793" i="1"/>
  <c r="H793" i="1"/>
  <c r="F793" i="1"/>
  <c r="D793" i="1"/>
  <c r="B793" i="1"/>
  <c r="I793" i="1" s="1"/>
  <c r="G797" i="1"/>
  <c r="E797" i="1"/>
  <c r="C797" i="1"/>
  <c r="H797" i="1"/>
  <c r="F797" i="1"/>
  <c r="D797" i="1"/>
  <c r="B797" i="1"/>
  <c r="I797" i="1" s="1"/>
  <c r="G801" i="1"/>
  <c r="E801" i="1"/>
  <c r="C801" i="1"/>
  <c r="H801" i="1"/>
  <c r="F801" i="1"/>
  <c r="D801" i="1"/>
  <c r="B801" i="1"/>
  <c r="I801" i="1" s="1"/>
  <c r="G804" i="1"/>
  <c r="E804" i="1"/>
  <c r="C804" i="1"/>
  <c r="H804" i="1"/>
  <c r="F804" i="1"/>
  <c r="D804" i="1"/>
  <c r="B804" i="1"/>
  <c r="I804" i="1" s="1"/>
  <c r="G808" i="1"/>
  <c r="E808" i="1"/>
  <c r="C808" i="1"/>
  <c r="H808" i="1"/>
  <c r="F808" i="1"/>
  <c r="D808" i="1"/>
  <c r="B808" i="1"/>
  <c r="I808" i="1" s="1"/>
  <c r="G812" i="1"/>
  <c r="E812" i="1"/>
  <c r="C812" i="1"/>
  <c r="H812" i="1"/>
  <c r="F812" i="1"/>
  <c r="D812" i="1"/>
  <c r="B812" i="1"/>
  <c r="I812" i="1" s="1"/>
  <c r="G816" i="1"/>
  <c r="E816" i="1"/>
  <c r="C816" i="1"/>
  <c r="H816" i="1"/>
  <c r="F816" i="1"/>
  <c r="D816" i="1"/>
  <c r="B816" i="1"/>
  <c r="I816" i="1" s="1"/>
  <c r="G820" i="1"/>
  <c r="E820" i="1"/>
  <c r="C820" i="1"/>
  <c r="H820" i="1"/>
  <c r="F820" i="1"/>
  <c r="D820" i="1"/>
  <c r="B820" i="1"/>
  <c r="I820" i="1" s="1"/>
  <c r="G823" i="1"/>
  <c r="E823" i="1"/>
  <c r="C823" i="1"/>
  <c r="H823" i="1"/>
  <c r="F823" i="1"/>
  <c r="D823" i="1"/>
  <c r="B823" i="1"/>
  <c r="I823" i="1" s="1"/>
  <c r="G827" i="1"/>
  <c r="E827" i="1"/>
  <c r="C827" i="1"/>
  <c r="H827" i="1"/>
  <c r="F827" i="1"/>
  <c r="D827" i="1"/>
  <c r="B827" i="1"/>
  <c r="I827" i="1" s="1"/>
  <c r="G831" i="1"/>
  <c r="E831" i="1"/>
  <c r="C831" i="1"/>
  <c r="H831" i="1"/>
  <c r="F831" i="1"/>
  <c r="D831" i="1"/>
  <c r="B831" i="1"/>
  <c r="I831" i="1" s="1"/>
  <c r="G835" i="1"/>
  <c r="E835" i="1"/>
  <c r="C835" i="1"/>
  <c r="H835" i="1"/>
  <c r="F835" i="1"/>
  <c r="D835" i="1"/>
  <c r="B835" i="1"/>
  <c r="I835" i="1" s="1"/>
  <c r="G838" i="1"/>
  <c r="E838" i="1"/>
  <c r="C838" i="1"/>
  <c r="H838" i="1"/>
  <c r="F838" i="1"/>
  <c r="D838" i="1"/>
  <c r="B838" i="1"/>
  <c r="I838" i="1" s="1"/>
  <c r="G842" i="1"/>
  <c r="E842" i="1"/>
  <c r="C842" i="1"/>
  <c r="B842" i="1"/>
  <c r="I842" i="1" s="1"/>
  <c r="H842" i="1"/>
  <c r="F842" i="1"/>
  <c r="D842" i="1"/>
  <c r="G847" i="1"/>
  <c r="E847" i="1"/>
  <c r="C847" i="1"/>
  <c r="H847" i="1"/>
  <c r="F847" i="1"/>
  <c r="D847" i="1"/>
  <c r="B847" i="1"/>
  <c r="I847" i="1" s="1"/>
  <c r="G850" i="1"/>
  <c r="E850" i="1"/>
  <c r="C850" i="1"/>
  <c r="H850" i="1"/>
  <c r="F850" i="1"/>
  <c r="D850" i="1"/>
  <c r="B850" i="1"/>
  <c r="I850" i="1" s="1"/>
  <c r="G853" i="1"/>
  <c r="E853" i="1"/>
  <c r="C853" i="1"/>
  <c r="H853" i="1"/>
  <c r="F853" i="1"/>
  <c r="D853" i="1"/>
  <c r="B853" i="1"/>
  <c r="I853" i="1" s="1"/>
  <c r="G857" i="1"/>
  <c r="E857" i="1"/>
  <c r="C857" i="1"/>
  <c r="H857" i="1"/>
  <c r="F857" i="1"/>
  <c r="D857" i="1"/>
  <c r="B857" i="1"/>
  <c r="I857" i="1" s="1"/>
  <c r="G860" i="1"/>
  <c r="E860" i="1"/>
  <c r="C860" i="1"/>
  <c r="H860" i="1"/>
  <c r="F860" i="1"/>
  <c r="D860" i="1"/>
  <c r="B860" i="1"/>
  <c r="I860" i="1" s="1"/>
  <c r="G864" i="1"/>
  <c r="E864" i="1"/>
  <c r="C864" i="1"/>
  <c r="H864" i="1"/>
  <c r="F864" i="1"/>
  <c r="D864" i="1"/>
  <c r="B864" i="1"/>
  <c r="I864" i="1" s="1"/>
  <c r="G868" i="1"/>
  <c r="E868" i="1"/>
  <c r="C868" i="1"/>
  <c r="H868" i="1"/>
  <c r="F868" i="1"/>
  <c r="D868" i="1"/>
  <c r="B868" i="1"/>
  <c r="I868" i="1" s="1"/>
  <c r="G872" i="1"/>
  <c r="E872" i="1"/>
  <c r="C872" i="1"/>
  <c r="H872" i="1"/>
  <c r="F872" i="1"/>
  <c r="D872" i="1"/>
  <c r="B872" i="1"/>
  <c r="I872" i="1" s="1"/>
  <c r="G876" i="1"/>
  <c r="E876" i="1"/>
  <c r="C876" i="1"/>
  <c r="H876" i="1"/>
  <c r="F876" i="1"/>
  <c r="D876" i="1"/>
  <c r="B876" i="1"/>
  <c r="I876" i="1" s="1"/>
  <c r="G880" i="1"/>
  <c r="E880" i="1"/>
  <c r="C880" i="1"/>
  <c r="B880" i="1"/>
  <c r="I880" i="1" s="1"/>
  <c r="H880" i="1"/>
  <c r="F880" i="1"/>
  <c r="D880" i="1"/>
  <c r="G884" i="1"/>
  <c r="E884" i="1"/>
  <c r="C884" i="1"/>
  <c r="H884" i="1"/>
  <c r="F884" i="1"/>
  <c r="D884" i="1"/>
  <c r="B884" i="1"/>
  <c r="I884" i="1" s="1"/>
  <c r="G888" i="1"/>
  <c r="E888" i="1"/>
  <c r="C888" i="1"/>
  <c r="H888" i="1"/>
  <c r="F888" i="1"/>
  <c r="D888" i="1"/>
  <c r="B888" i="1"/>
  <c r="I888" i="1" s="1"/>
  <c r="G892" i="1"/>
  <c r="E892" i="1"/>
  <c r="C892" i="1"/>
  <c r="H892" i="1"/>
  <c r="F892" i="1"/>
  <c r="D892" i="1"/>
  <c r="B892" i="1"/>
  <c r="I892" i="1" s="1"/>
  <c r="G898" i="1"/>
  <c r="E898" i="1"/>
  <c r="C898" i="1"/>
  <c r="H898" i="1"/>
  <c r="F898" i="1"/>
  <c r="D898" i="1"/>
  <c r="B898" i="1"/>
  <c r="I898" i="1" s="1"/>
  <c r="G902" i="1"/>
  <c r="E902" i="1"/>
  <c r="C902" i="1"/>
  <c r="H902" i="1"/>
  <c r="F902" i="1"/>
  <c r="D902" i="1"/>
  <c r="B902" i="1"/>
  <c r="I902" i="1" s="1"/>
  <c r="G905" i="1"/>
  <c r="E905" i="1"/>
  <c r="C905" i="1"/>
  <c r="H905" i="1"/>
  <c r="F905" i="1"/>
  <c r="D905" i="1"/>
  <c r="B905" i="1"/>
  <c r="I905" i="1" s="1"/>
  <c r="G909" i="1"/>
  <c r="E909" i="1"/>
  <c r="C909" i="1"/>
  <c r="H909" i="1"/>
  <c r="F909" i="1"/>
  <c r="D909" i="1"/>
  <c r="B909" i="1"/>
  <c r="I909" i="1" s="1"/>
  <c r="G912" i="1"/>
  <c r="E912" i="1"/>
  <c r="C912" i="1"/>
  <c r="H912" i="1"/>
  <c r="F912" i="1"/>
  <c r="D912" i="1"/>
  <c r="B912" i="1"/>
  <c r="I912" i="1" s="1"/>
  <c r="G916" i="1"/>
  <c r="E916" i="1"/>
  <c r="C916" i="1"/>
  <c r="H916" i="1"/>
  <c r="F916" i="1"/>
  <c r="D916" i="1"/>
  <c r="B916" i="1"/>
  <c r="I916" i="1" s="1"/>
  <c r="G919" i="1"/>
  <c r="E919" i="1"/>
  <c r="C919" i="1"/>
  <c r="H919" i="1"/>
  <c r="F919" i="1"/>
  <c r="D919" i="1"/>
  <c r="B919" i="1"/>
  <c r="I919" i="1" s="1"/>
  <c r="G923" i="1"/>
  <c r="E923" i="1"/>
  <c r="C923" i="1"/>
  <c r="H923" i="1"/>
  <c r="F923" i="1"/>
  <c r="D923" i="1"/>
  <c r="B923" i="1"/>
  <c r="I923" i="1" s="1"/>
  <c r="G927" i="1"/>
  <c r="E927" i="1"/>
  <c r="C927" i="1"/>
  <c r="H927" i="1"/>
  <c r="F927" i="1"/>
  <c r="D927" i="1"/>
  <c r="B927" i="1"/>
  <c r="I927" i="1" s="1"/>
  <c r="G931" i="1"/>
  <c r="E931" i="1"/>
  <c r="C931" i="1"/>
  <c r="H931" i="1"/>
  <c r="F931" i="1"/>
  <c r="D931" i="1"/>
  <c r="B931" i="1"/>
  <c r="I931" i="1" s="1"/>
  <c r="G934" i="1"/>
  <c r="E934" i="1"/>
  <c r="C934" i="1"/>
  <c r="H934" i="1"/>
  <c r="F934" i="1"/>
  <c r="D934" i="1"/>
  <c r="B934" i="1"/>
  <c r="I934" i="1" s="1"/>
  <c r="G938" i="1"/>
  <c r="E938" i="1"/>
  <c r="C938" i="1"/>
  <c r="H938" i="1"/>
  <c r="F938" i="1"/>
  <c r="D938" i="1"/>
  <c r="B938" i="1"/>
  <c r="I938" i="1" s="1"/>
  <c r="G942" i="1"/>
  <c r="E942" i="1"/>
  <c r="C942" i="1"/>
  <c r="H942" i="1"/>
  <c r="F942" i="1"/>
  <c r="D942" i="1"/>
  <c r="B942" i="1"/>
  <c r="I942" i="1" s="1"/>
  <c r="G945" i="1"/>
  <c r="E945" i="1"/>
  <c r="C945" i="1"/>
  <c r="H945" i="1"/>
  <c r="F945" i="1"/>
  <c r="D945" i="1"/>
  <c r="B945" i="1"/>
  <c r="I945" i="1" s="1"/>
  <c r="G949" i="1"/>
  <c r="E949" i="1"/>
  <c r="C949" i="1"/>
  <c r="H949" i="1"/>
  <c r="F949" i="1"/>
  <c r="D949" i="1"/>
  <c r="B949" i="1"/>
  <c r="I949" i="1" s="1"/>
  <c r="G952" i="1"/>
  <c r="E952" i="1"/>
  <c r="C952" i="1"/>
  <c r="H952" i="1"/>
  <c r="F952" i="1"/>
  <c r="D952" i="1"/>
  <c r="B952" i="1"/>
  <c r="I952" i="1" s="1"/>
  <c r="G956" i="1"/>
  <c r="E956" i="1"/>
  <c r="C956" i="1"/>
  <c r="H956" i="1"/>
  <c r="F956" i="1"/>
  <c r="D956" i="1"/>
  <c r="B956" i="1"/>
  <c r="I956" i="1" s="1"/>
  <c r="G960" i="1"/>
  <c r="E960" i="1"/>
  <c r="C960" i="1"/>
  <c r="H960" i="1"/>
  <c r="F960" i="1"/>
  <c r="D960" i="1"/>
  <c r="B960" i="1"/>
  <c r="I960" i="1" s="1"/>
  <c r="G964" i="1"/>
  <c r="E964" i="1"/>
  <c r="C964" i="1"/>
  <c r="H964" i="1"/>
  <c r="F964" i="1"/>
  <c r="D964" i="1"/>
  <c r="B964" i="1"/>
  <c r="I964" i="1" s="1"/>
  <c r="G968" i="1"/>
  <c r="E968" i="1"/>
  <c r="C968" i="1"/>
  <c r="H968" i="1"/>
  <c r="F968" i="1"/>
  <c r="D968" i="1"/>
  <c r="B968" i="1"/>
  <c r="I968" i="1" s="1"/>
  <c r="G972" i="1"/>
  <c r="E972" i="1"/>
  <c r="C972" i="1"/>
  <c r="H972" i="1"/>
  <c r="F972" i="1"/>
  <c r="D972" i="1"/>
  <c r="B972" i="1"/>
  <c r="I972" i="1" s="1"/>
  <c r="G976" i="1"/>
  <c r="E976" i="1"/>
  <c r="C976" i="1"/>
  <c r="H976" i="1"/>
  <c r="F976" i="1"/>
  <c r="D976" i="1"/>
  <c r="B976" i="1"/>
  <c r="I976" i="1" s="1"/>
  <c r="G979" i="1"/>
  <c r="E979" i="1"/>
  <c r="C979" i="1"/>
  <c r="B979" i="1"/>
  <c r="I979" i="1" s="1"/>
  <c r="H979" i="1"/>
  <c r="F979" i="1"/>
  <c r="D979" i="1"/>
  <c r="G985" i="1"/>
  <c r="E985" i="1"/>
  <c r="C985" i="1"/>
  <c r="H985" i="1"/>
  <c r="F985" i="1"/>
  <c r="D985" i="1"/>
  <c r="B985" i="1"/>
  <c r="I985" i="1" s="1"/>
  <c r="G989" i="1"/>
  <c r="E989" i="1"/>
  <c r="C989" i="1"/>
  <c r="H989" i="1"/>
  <c r="F989" i="1"/>
  <c r="D989" i="1"/>
  <c r="B989" i="1"/>
  <c r="I989" i="1" s="1"/>
  <c r="G992" i="1"/>
  <c r="E992" i="1"/>
  <c r="C992" i="1"/>
  <c r="H992" i="1"/>
  <c r="F992" i="1"/>
  <c r="D992" i="1"/>
  <c r="B992" i="1"/>
  <c r="I992" i="1" s="1"/>
  <c r="G996" i="1"/>
  <c r="E996" i="1"/>
  <c r="C996" i="1"/>
  <c r="H996" i="1"/>
  <c r="F996" i="1"/>
  <c r="D996" i="1"/>
  <c r="B996" i="1"/>
  <c r="I996" i="1" s="1"/>
  <c r="G1000" i="1"/>
  <c r="E1000" i="1"/>
  <c r="C1000" i="1"/>
  <c r="H1000" i="1"/>
  <c r="F1000" i="1"/>
  <c r="D1000" i="1"/>
  <c r="B1000" i="1"/>
  <c r="I1000" i="1" s="1"/>
  <c r="G1003" i="1"/>
  <c r="E1003" i="1"/>
  <c r="C1003" i="1"/>
  <c r="H1003" i="1"/>
  <c r="F1003" i="1"/>
  <c r="D1003" i="1"/>
  <c r="B1003" i="1"/>
  <c r="I1003" i="1" s="1"/>
  <c r="G1007" i="1"/>
  <c r="E1007" i="1"/>
  <c r="C1007" i="1"/>
  <c r="H1007" i="1"/>
  <c r="F1007" i="1"/>
  <c r="D1007" i="1"/>
  <c r="B1007" i="1"/>
  <c r="I1007" i="1" s="1"/>
  <c r="G1011" i="1"/>
  <c r="E1011" i="1"/>
  <c r="C1011" i="1"/>
  <c r="H1011" i="1"/>
  <c r="F1011" i="1"/>
  <c r="D1011" i="1"/>
  <c r="B1011" i="1"/>
  <c r="I1011" i="1" s="1"/>
  <c r="G1014" i="1"/>
  <c r="E1014" i="1"/>
  <c r="C1014" i="1"/>
  <c r="B1014" i="1"/>
  <c r="I1014" i="1" s="1"/>
  <c r="H1014" i="1"/>
  <c r="F1014" i="1"/>
  <c r="D1014" i="1"/>
  <c r="G1018" i="1"/>
  <c r="E1018" i="1"/>
  <c r="C1018" i="1"/>
  <c r="H1018" i="1"/>
  <c r="F1018" i="1"/>
  <c r="D1018" i="1"/>
  <c r="B1018" i="1"/>
  <c r="I1018" i="1" s="1"/>
  <c r="G1022" i="1"/>
  <c r="E1022" i="1"/>
  <c r="C1022" i="1"/>
  <c r="H1022" i="1"/>
  <c r="F1022" i="1"/>
  <c r="D1022" i="1"/>
  <c r="B1022" i="1"/>
  <c r="I1022" i="1" s="1"/>
  <c r="G1026" i="1"/>
  <c r="E1026" i="1"/>
  <c r="C1026" i="1"/>
  <c r="H1026" i="1"/>
  <c r="F1026" i="1"/>
  <c r="D1026" i="1"/>
  <c r="B1026" i="1"/>
  <c r="I1026" i="1" s="1"/>
  <c r="G1030" i="1"/>
  <c r="E1030" i="1"/>
  <c r="C1030" i="1"/>
  <c r="H1030" i="1"/>
  <c r="F1030" i="1"/>
  <c r="D1030" i="1"/>
  <c r="B1030" i="1"/>
  <c r="I1030" i="1" s="1"/>
  <c r="G1033" i="1"/>
  <c r="E1033" i="1"/>
  <c r="C1033" i="1"/>
  <c r="H1033" i="1"/>
  <c r="F1033" i="1"/>
  <c r="D1033" i="1"/>
  <c r="B1033" i="1"/>
  <c r="I1033" i="1" s="1"/>
  <c r="G1040" i="1"/>
  <c r="E1040" i="1"/>
  <c r="C1040" i="1"/>
  <c r="H1040" i="1"/>
  <c r="F1040" i="1"/>
  <c r="D1040" i="1"/>
  <c r="B1040" i="1"/>
  <c r="I1040" i="1" s="1"/>
  <c r="G1044" i="1"/>
  <c r="E1044" i="1"/>
  <c r="C1044" i="1"/>
  <c r="H1044" i="1"/>
  <c r="F1044" i="1"/>
  <c r="D1044" i="1"/>
  <c r="B1044" i="1"/>
  <c r="I1044" i="1" s="1"/>
  <c r="G1047" i="1"/>
  <c r="E1047" i="1"/>
  <c r="C1047" i="1"/>
  <c r="H1047" i="1"/>
  <c r="F1047" i="1"/>
  <c r="D1047" i="1"/>
  <c r="B1047" i="1"/>
  <c r="I1047" i="1" s="1"/>
  <c r="G1051" i="1"/>
  <c r="E1051" i="1"/>
  <c r="C1051" i="1"/>
  <c r="H1051" i="1"/>
  <c r="F1051" i="1"/>
  <c r="D1051" i="1"/>
  <c r="B1051" i="1"/>
  <c r="I1051" i="1" s="1"/>
  <c r="G1056" i="1"/>
  <c r="E1056" i="1"/>
  <c r="C1056" i="1"/>
  <c r="H1056" i="1"/>
  <c r="F1056" i="1"/>
  <c r="D1056" i="1"/>
  <c r="B1056" i="1"/>
  <c r="I1056" i="1" s="1"/>
  <c r="G1059" i="1"/>
  <c r="E1059" i="1"/>
  <c r="C1059" i="1"/>
  <c r="H1059" i="1"/>
  <c r="F1059" i="1"/>
  <c r="D1059" i="1"/>
  <c r="B1059" i="1"/>
  <c r="I1059" i="1" s="1"/>
  <c r="G1063" i="1"/>
  <c r="E1063" i="1"/>
  <c r="C1063" i="1"/>
  <c r="H1063" i="1"/>
  <c r="F1063" i="1"/>
  <c r="D1063" i="1"/>
  <c r="B1063" i="1"/>
  <c r="I1063" i="1" s="1"/>
  <c r="G1067" i="1"/>
  <c r="E1067" i="1"/>
  <c r="C1067" i="1"/>
  <c r="H1067" i="1"/>
  <c r="F1067" i="1"/>
  <c r="D1067" i="1"/>
  <c r="B1067" i="1"/>
  <c r="I1067" i="1" s="1"/>
  <c r="G1071" i="1"/>
  <c r="E1071" i="1"/>
  <c r="C1071" i="1"/>
  <c r="H1071" i="1"/>
  <c r="F1071" i="1"/>
  <c r="D1071" i="1"/>
  <c r="B1071" i="1"/>
  <c r="I1071" i="1" s="1"/>
  <c r="G1074" i="1"/>
  <c r="E1074" i="1"/>
  <c r="C1074" i="1"/>
  <c r="B1074" i="1"/>
  <c r="I1074" i="1" s="1"/>
  <c r="H1074" i="1"/>
  <c r="F1074" i="1"/>
  <c r="D1074" i="1"/>
  <c r="G1078" i="1"/>
  <c r="E1078" i="1"/>
  <c r="C1078" i="1"/>
  <c r="H1078" i="1"/>
  <c r="F1078" i="1"/>
  <c r="D1078" i="1"/>
  <c r="B1078" i="1"/>
  <c r="I1078" i="1" s="1"/>
  <c r="G1082" i="1"/>
  <c r="E1082" i="1"/>
  <c r="C1082" i="1"/>
  <c r="H1082" i="1"/>
  <c r="F1082" i="1"/>
  <c r="D1082" i="1"/>
  <c r="B1082" i="1"/>
  <c r="I1082" i="1" s="1"/>
  <c r="G1086" i="1"/>
  <c r="E1086" i="1"/>
  <c r="C1086" i="1"/>
  <c r="H1086" i="1"/>
  <c r="F1086" i="1"/>
  <c r="D1086" i="1"/>
  <c r="B1086" i="1"/>
  <c r="I1086" i="1" s="1"/>
  <c r="G1089" i="1"/>
  <c r="E1089" i="1"/>
  <c r="C1089" i="1"/>
  <c r="H1089" i="1"/>
  <c r="F1089" i="1"/>
  <c r="D1089" i="1"/>
  <c r="B1089" i="1"/>
  <c r="I1089" i="1" s="1"/>
  <c r="G1093" i="1"/>
  <c r="E1093" i="1"/>
  <c r="C1093" i="1"/>
  <c r="H1093" i="1"/>
  <c r="F1093" i="1"/>
  <c r="D1093" i="1"/>
  <c r="B1093" i="1"/>
  <c r="I1093" i="1" s="1"/>
  <c r="G1097" i="1"/>
  <c r="E1097" i="1"/>
  <c r="C1097" i="1"/>
  <c r="H1097" i="1"/>
  <c r="F1097" i="1"/>
  <c r="D1097" i="1"/>
  <c r="B1097" i="1"/>
  <c r="I1097" i="1" s="1"/>
  <c r="G1100" i="1"/>
  <c r="E1100" i="1"/>
  <c r="C1100" i="1"/>
  <c r="H1100" i="1"/>
  <c r="F1100" i="1"/>
  <c r="D1100" i="1"/>
  <c r="B1100" i="1"/>
  <c r="I1100" i="1" s="1"/>
  <c r="G1104" i="1"/>
  <c r="E1104" i="1"/>
  <c r="C1104" i="1"/>
  <c r="H1104" i="1"/>
  <c r="F1104" i="1"/>
  <c r="D1104" i="1"/>
  <c r="B1104" i="1"/>
  <c r="I1104" i="1" s="1"/>
  <c r="G1108" i="1"/>
  <c r="E1108" i="1"/>
  <c r="C1108" i="1"/>
  <c r="H1108" i="1"/>
  <c r="F1108" i="1"/>
  <c r="D1108" i="1"/>
  <c r="B1108" i="1"/>
  <c r="I1108" i="1" s="1"/>
  <c r="G1111" i="1"/>
  <c r="E1111" i="1"/>
  <c r="C1111" i="1"/>
  <c r="H1111" i="1"/>
  <c r="F1111" i="1"/>
  <c r="D1111" i="1"/>
  <c r="B1111" i="1"/>
  <c r="I1111" i="1" s="1"/>
  <c r="G1115" i="1"/>
  <c r="E1115" i="1"/>
  <c r="C1115" i="1"/>
  <c r="H1115" i="1"/>
  <c r="F1115" i="1"/>
  <c r="D1115" i="1"/>
  <c r="B1115" i="1"/>
  <c r="I1115" i="1" s="1"/>
  <c r="G1119" i="1"/>
  <c r="E1119" i="1"/>
  <c r="C1119" i="1"/>
  <c r="H1119" i="1"/>
  <c r="F1119" i="1"/>
  <c r="D1119" i="1"/>
  <c r="B1119" i="1"/>
  <c r="I1119" i="1" s="1"/>
  <c r="G1122" i="1"/>
  <c r="E1122" i="1"/>
  <c r="C1122" i="1"/>
  <c r="H1122" i="1"/>
  <c r="F1122" i="1"/>
  <c r="D1122" i="1"/>
  <c r="B1122" i="1"/>
  <c r="I1122" i="1" s="1"/>
  <c r="G1126" i="1"/>
  <c r="E1126" i="1"/>
  <c r="C1126" i="1"/>
  <c r="H1126" i="1"/>
  <c r="F1126" i="1"/>
  <c r="D1126" i="1"/>
  <c r="B1126" i="1"/>
  <c r="I1126" i="1" s="1"/>
  <c r="G1130" i="1"/>
  <c r="E1130" i="1"/>
  <c r="C1130" i="1"/>
  <c r="H1130" i="1"/>
  <c r="F1130" i="1"/>
  <c r="D1130" i="1"/>
  <c r="B1130" i="1"/>
  <c r="I1130" i="1" s="1"/>
  <c r="G1133" i="1"/>
  <c r="E1133" i="1"/>
  <c r="C1133" i="1"/>
  <c r="H1133" i="1"/>
  <c r="F1133" i="1"/>
  <c r="D1133" i="1"/>
  <c r="B1133" i="1"/>
  <c r="I1133" i="1" s="1"/>
  <c r="G1137" i="1"/>
  <c r="E1137" i="1"/>
  <c r="C1137" i="1"/>
  <c r="H1137" i="1"/>
  <c r="F1137" i="1"/>
  <c r="D1137" i="1"/>
  <c r="B1137" i="1"/>
  <c r="I1137" i="1" s="1"/>
  <c r="G1141" i="1"/>
  <c r="E1141" i="1"/>
  <c r="C1141" i="1"/>
  <c r="H1141" i="1"/>
  <c r="F1141" i="1"/>
  <c r="D1141" i="1"/>
  <c r="B1141" i="1"/>
  <c r="I1141" i="1" s="1"/>
  <c r="G1145" i="1"/>
  <c r="E1145" i="1"/>
  <c r="C1145" i="1"/>
  <c r="H1145" i="1"/>
  <c r="F1145" i="1"/>
  <c r="D1145" i="1"/>
  <c r="B1145" i="1"/>
  <c r="I1145" i="1" s="1"/>
  <c r="G1149" i="1"/>
  <c r="E1149" i="1"/>
  <c r="C1149" i="1"/>
  <c r="H1149" i="1"/>
  <c r="F1149" i="1"/>
  <c r="D1149" i="1"/>
  <c r="B1149" i="1"/>
  <c r="I1149" i="1" s="1"/>
  <c r="G1152" i="1"/>
  <c r="E1152" i="1"/>
  <c r="C1152" i="1"/>
  <c r="H1152" i="1"/>
  <c r="F1152" i="1"/>
  <c r="D1152" i="1"/>
  <c r="B1152" i="1"/>
  <c r="I1152" i="1" s="1"/>
  <c r="G1156" i="1"/>
  <c r="E1156" i="1"/>
  <c r="C1156" i="1"/>
  <c r="H1156" i="1"/>
  <c r="F1156" i="1"/>
  <c r="D1156" i="1"/>
  <c r="B1156" i="1"/>
  <c r="I1156" i="1" s="1"/>
  <c r="G1161" i="1"/>
  <c r="E1161" i="1"/>
  <c r="C1161" i="1"/>
  <c r="H1161" i="1"/>
  <c r="F1161" i="1"/>
  <c r="D1161" i="1"/>
  <c r="B1161" i="1"/>
  <c r="I1161" i="1" s="1"/>
  <c r="C14" i="1" l="1"/>
  <c r="E14" i="1"/>
  <c r="A14" i="1"/>
  <c r="A12" i="1"/>
  <c r="C12" i="1"/>
  <c r="I18" i="1"/>
  <c r="G14" i="1" l="1"/>
  <c r="I19" i="1"/>
  <c r="I20" i="1" s="1"/>
  <c r="I21" i="1" s="1"/>
  <c r="I22" i="1" s="1"/>
  <c r="I23" i="1" s="1"/>
  <c r="I24" i="1" s="1"/>
  <c r="I25" i="1" s="1"/>
  <c r="I26" i="1" s="1"/>
  <c r="I27" i="1" s="1"/>
  <c r="I28" i="1" s="1"/>
  <c r="E12" i="1"/>
  <c r="G12" i="1" s="1"/>
</calcChain>
</file>

<file path=xl/comments1.xml><?xml version="1.0" encoding="utf-8"?>
<comments xmlns="http://schemas.openxmlformats.org/spreadsheetml/2006/main">
  <authors>
    <author>راهنمای مازندشت</author>
  </authors>
  <commentList>
    <comment ref="C5" authorId="0" shapeId="0">
      <text>
        <r>
          <rPr>
            <sz val="11"/>
            <color theme="1"/>
            <rFont val="Arial"/>
            <family val="2"/>
            <scheme val="minor"/>
          </rPr>
          <t>کد فروشنده (SL…) را از INFO ← Accounts وارد کنید — سربرگ، کارت‌ها و همه رویدادها خودکار می‌آیند.
برای فروشنده دیگر: راست‌کلیک روی شیت ← Move or Copy ← کپی شیت ← فقط همین کد را عوض کنید.</t>
        </r>
      </text>
    </comment>
  </commentList>
</comments>
</file>

<file path=xl/sharedStrings.xml><?xml version="1.0" encoding="utf-8"?>
<sst xmlns="http://schemas.openxmlformats.org/spreadsheetml/2006/main" count="131" uniqueCount="124">
  <si>
    <t>کد حساب (ورود دستی):</t>
  </si>
  <si>
    <t>SL001</t>
  </si>
  <si>
    <t>کد را از فایل INFO (شیت Accounts) وارد کنید — همه‌چیز این شیت خودکار به‌روز می‌شود. برای حساب دیگر، همین شیت را کپی و کد را عوض کنید.</t>
  </si>
  <si>
    <t>نام صاحب حساب:</t>
  </si>
  <si>
    <t>نوع حساب:</t>
  </si>
  <si>
    <t>تلفن / همراه:</t>
  </si>
  <si>
    <t>نشانی:</t>
  </si>
  <si>
    <t>مانده اولیه حساب (دستی):</t>
  </si>
  <si>
    <t>اگر حساب از قبل مانده دارد اینجا بنویسید (مثبت = بدهکار) — در مانده‌ها اثر می‌گذارد.</t>
  </si>
  <si>
    <t>جمع بدهکار (ریال)</t>
  </si>
  <si>
    <t>جمع بستانکار (ریال)</t>
  </si>
  <si>
    <t>مانده نهایی حساب</t>
  </si>
  <si>
    <t>ماهیت حساب</t>
  </si>
  <si>
    <t>تعداد توزین فروش</t>
  </si>
  <si>
    <t>تعداد پرداخت بانکی</t>
  </si>
  <si>
    <t>جمع وزن خالص فروش (kg)</t>
  </si>
  <si>
    <t>آخرین تراکنش</t>
  </si>
  <si>
    <t>ردیف</t>
  </si>
  <si>
    <t>تاریخ</t>
  </si>
  <si>
    <t>نوع عملیات</t>
  </si>
  <si>
    <t>مرجع</t>
  </si>
  <si>
    <t>توضیحات</t>
  </si>
  <si>
    <t>وزن خالص (kg)</t>
  </si>
  <si>
    <t>بدهکار (ریال)</t>
  </si>
  <si>
    <t>بستانکار (ریال)</t>
  </si>
  <si>
    <t>مانده (ریال)</t>
  </si>
  <si>
    <t>No.</t>
  </si>
  <si>
    <t>Date</t>
  </si>
  <si>
    <t>Type</t>
  </si>
  <si>
    <t>Ref</t>
  </si>
  <si>
    <t>Description</t>
  </si>
  <si>
    <t>Net Weight</t>
  </si>
  <si>
    <t>Debit</t>
  </si>
  <si>
    <t>Credit</t>
  </si>
  <si>
    <t>Balance</t>
  </si>
  <si>
    <t>مازندشت — سورتینگ و بسته‌بندی مرکبات</t>
  </si>
  <si>
    <t>باغدشت، بخش مرکزی، شهرستان قائم‌شهر، استان مازندران، ایران     |     MAZANDASHT · CITRUS SORTING &amp; PACKING</t>
  </si>
  <si>
    <t>برگه فنی — آینه‌ی فایل مادر (INFO)، دفتر باسکول (Baskol) و فایل واریز/برداشت (Transactions) برای صورت‌حساب حساب‌ها. فرمول‌ها را تغییر ندهید. اگر همه سلول‌ها خالی شدند یعنی لینک به‌روز نشده: Data ← Edit Links ← Update Values.</t>
  </si>
  <si>
    <t>Accounts · Code</t>
  </si>
  <si>
    <t>· Nature</t>
  </si>
  <si>
    <t>· Subgroup</t>
  </si>
  <si>
    <t>· Name</t>
  </si>
  <si>
    <t>· Phone</t>
  </si>
  <si>
    <t>· Mobile</t>
  </si>
  <si>
    <t>· Address</t>
  </si>
  <si>
    <t>Ops · Code</t>
  </si>
  <si>
    <t>· Title</t>
  </si>
  <si>
    <t>· Direction</t>
  </si>
  <si>
    <t>· Group</t>
  </si>
  <si>
    <t>Params · Code</t>
  </si>
  <si>
    <t>· Value</t>
  </si>
  <si>
    <t>Company</t>
  </si>
  <si>
    <t>Baskol · Date</t>
  </si>
  <si>
    <t>· Time</t>
  </si>
  <si>
    <t>· Doc</t>
  </si>
  <si>
    <t>· Op</t>
  </si>
  <si>
    <t>· Party</t>
  </si>
  <si>
    <t>· Sub</t>
  </si>
  <si>
    <t>· Citrus</t>
  </si>
  <si>
    <t>· Scale</t>
  </si>
  <si>
    <t>· Baskets</t>
  </si>
  <si>
    <t>· Amount</t>
  </si>
  <si>
    <t>· Notes</t>
  </si>
  <si>
    <t>Txn Entry · C</t>
  </si>
  <si>
    <t>Txn Entry · D</t>
  </si>
  <si>
    <t>Txn Entry · E</t>
  </si>
  <si>
    <t>Txn Entry · G</t>
  </si>
  <si>
    <t>Txn Entry · K</t>
  </si>
  <si>
    <t>Txn Entry · L</t>
  </si>
  <si>
    <t>Txn Entry · M</t>
  </si>
  <si>
    <t>Txn Entry · N</t>
  </si>
  <si>
    <t>Txn Entry · R</t>
  </si>
  <si>
    <t>برگه فنی — موتور محاسبات فایل فروش (نرمال‌سازی تاریخ، فیلتر فروشندگان و وزن خالص پارامتری). فرمول‌ها را تغییر ندهید.</t>
  </si>
  <si>
    <t>تاریخ خام · Raw</t>
  </si>
  <si>
    <t>سال · Y</t>
  </si>
  <si>
    <t>ماه · M</t>
  </si>
  <si>
    <t>روز · D</t>
  </si>
  <si>
    <t>تاریخ استاندارد · Norm</t>
  </si>
  <si>
    <t>سال/ماه · YM</t>
  </si>
  <si>
    <t>کد فروشنده · Seller</t>
  </si>
  <si>
    <t>عملیات · Op</t>
  </si>
  <si>
    <t>زیرگروه · Sub</t>
  </si>
  <si>
    <t>نوع مرکبات · Citrus</t>
  </si>
  <si>
    <t>باسکول · Scale</t>
  </si>
  <si>
    <t>سبد · Baskets</t>
  </si>
  <si>
    <t>خالص · Net</t>
  </si>
  <si>
    <t>مبلغ · Amount</t>
  </si>
  <si>
    <t>سند · Doc</t>
  </si>
  <si>
    <t>توضیح · Note</t>
  </si>
  <si>
    <t>ساعت · hhmm</t>
  </si>
  <si>
    <t>برگه فنی — موتور صورت‌حساب (ترکیب توزین‌های فروش باسکول و پرداخت‌های بانکی + رتبه‌بندی). فرمول‌ها را تغییر ندهید.</t>
  </si>
  <si>
    <t>A·Seller</t>
  </si>
  <si>
    <t>A·Key</t>
  </si>
  <si>
    <t>A·Rank</t>
  </si>
  <si>
    <t>A·RankKey</t>
  </si>
  <si>
    <t>B·Seller</t>
  </si>
  <si>
    <t>B·Y</t>
  </si>
  <si>
    <t>B·M</t>
  </si>
  <si>
    <t>B·D</t>
  </si>
  <si>
    <t>B·Date</t>
  </si>
  <si>
    <t>B·Key</t>
  </si>
  <si>
    <t>B·Rank</t>
  </si>
  <si>
    <t>B·RankKey</t>
  </si>
  <si>
    <t>B·Time</t>
  </si>
  <si>
    <t>راهنمای فایل فروش (Sales.xlsx)</t>
  </si>
  <si>
    <t>۱) این فایل چیست؟</t>
  </si>
  <si>
    <t>• صورت‌حساب گزارشی هر حساب — بدون هیچ ورود داده‌ای به‌جز «کد حساب».</t>
  </si>
  <si>
    <t>• منابع: دفتر باسکول (Baskol.xlsx — توزین‌های فروش) + فایل واریز/برداشت (Transactions.xlsx — پرداخت‌های بانکی) + فایل مادر (INFO.xlsx — مشخصات حساب‌ها).</t>
  </si>
  <si>
    <t>• ثبت فروش: در باسکول ردیفی با عملیات «فروش» و کد فروشنده SLxxx ثبت کنید؛ ثبت پرداخت: در Transactions واریز با کد SLxxx.</t>
  </si>
  <si>
    <t>۲) شیت Report — کار با آن</t>
  </si>
  <si>
    <t>• در خانه زردرنگ «کد حساب» (بالا-راست شیت) کد را وارد کنید (مثل SL001) — سربرگ، کارت‌ها و کل دفتر خودکار به‌روز می‌شوند.</t>
  </si>
  <si>
    <t>• برای حساب دیگر، همین شیت را کپی کنید (راست‌کلیک ← Move or Copy ← Create a copy) و فقط کد را عوض کنید.</t>
  </si>
  <si>
    <t>• ردیف‌ها خودکار به تاریخ و ساعت مرتب می‌شوند؛ چیزی داخل جدول تایپ نکنید. «مانده اولیه» دستی است.</t>
  </si>
  <si>
    <t>۳) سربرگ و کارت‌ها</t>
  </si>
  <si>
    <t>• سربرگ: نام، نوع حساب، تلفن/همراه و نشانی — خودکار از INFO ← Accounts.</t>
  </si>
  <si>
    <t>• کارت‌ها: جمع بدهکار، جمع بستانکار، مانده نهایی، ماهیت حساب (▲ بدهکار / ▼ بستانکار / = تسویه)، تعداد توزین فروش و پرداخت، جمع وزن خالص فروش، آخرین تراکنش.</t>
  </si>
  <si>
    <t>۴) ردیف‌های دفتر</t>
  </si>
  <si>
    <t>• تاریخ | نوع عملیات (فروش/مرجوعی فروش/پرداخت بانکی) | مرجع (شماره سند یا بانک) | توضیحات | وزن خالص (kg) | بدهکار | بستانکار | مانده.</t>
  </si>
  <si>
    <t>• فروش = مبلغ توزین در بدهکار؛ مرجوعی فروش = بستانکار؛ پرداخت بانکی (واریز با کد SL…) = بستانکار.</t>
  </si>
  <si>
    <t>• ظرفیت هر صورت‌حساب: 2000 ردیف.</t>
  </si>
  <si>
    <t>۵) اتصال‌ها</t>
  </si>
  <si>
    <t>• این فایل، Baskol.xlsx، Transactions.xlsx و INFO.xlsx همیشه در یک پوشه باشند.</t>
  </si>
  <si>
    <t>• پس از تغییر هر فایل منبع: Data ← Edit Links ← Update Values.</t>
  </si>
  <si>
    <t>• حساب جدید: در INFO ← Accounts ردیف را کامل کنید؛ در شیت Report کد او را وارد کنید (یا شیت را کپی کنید).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</si>
</sst>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21" x14ac:knownFonts="1">
    <font>
      <sz val="11"/>
      <color theme="1"/>
      <name val="Arial"/>
      <family val="2"/>
      <scheme val="minor"/>
    </font>
    <font>
      <b/>
      <sz val="15"/>
      <color rgb="FFFFFFFF"/>
      <name val="Tahoma"/>
    </font>
    <font>
      <sz val="8"/>
      <color rgb="FFC8E6C9"/>
      <name val="Tahoma"/>
    </font>
    <font>
      <b/>
      <sz val="8"/>
      <color rgb="FFC62828"/>
      <name val="Tahoma"/>
    </font>
    <font>
      <b/>
      <sz val="8"/>
      <color rgb="FFFFFFFF"/>
      <name val="Tahoma"/>
    </font>
    <font>
      <b/>
      <sz val="7.5"/>
      <color rgb="FFFFFFFF"/>
      <name val="Tahoma"/>
    </font>
    <font>
      <b/>
      <sz val="13"/>
      <color rgb="FFE65100"/>
      <name val="Tahoma"/>
    </font>
    <font>
      <b/>
      <sz val="9"/>
      <color rgb="FF607D8B"/>
      <name val="Tahoma"/>
    </font>
    <font>
      <b/>
      <sz val="12"/>
      <color rgb="FFE65100"/>
      <name val="Tahoma"/>
    </font>
    <font>
      <i/>
      <sz val="7.5"/>
      <color rgb="FF607D8B"/>
      <name val="Tahoma"/>
    </font>
    <font>
      <b/>
      <sz val="8.5"/>
      <color rgb="FF607D8B"/>
      <name val="Tahoma"/>
    </font>
    <font>
      <sz val="10"/>
      <color rgb="FF263238"/>
      <name val="Tahoma"/>
    </font>
    <font>
      <b/>
      <sz val="10"/>
      <color rgb="FF263238"/>
      <name val="Tahoma"/>
    </font>
    <font>
      <b/>
      <sz val="7.5"/>
      <color rgb="FF607D8B"/>
      <name val="Tahoma"/>
    </font>
    <font>
      <b/>
      <sz val="11"/>
      <color rgb="FF263238"/>
      <name val="Tahoma"/>
    </font>
    <font>
      <b/>
      <sz val="9.5"/>
      <color rgb="FFFFFFFF"/>
      <name val="Tahoma"/>
    </font>
    <font>
      <sz val="6.5"/>
      <color rgb="FF546E7A"/>
      <name val="Tahoma"/>
    </font>
    <font>
      <sz val="9"/>
      <color rgb="FF607D8B"/>
      <name val="Tahoma"/>
    </font>
    <font>
      <sz val="9"/>
      <color rgb="FF263238"/>
      <name val="Tahoma"/>
    </font>
    <font>
      <b/>
      <sz val="9"/>
      <color rgb="FF263238"/>
      <name val="Tahoma"/>
    </font>
    <font>
      <b/>
      <sz val="10.5"/>
      <color rgb="FFFFFFFF"/>
      <name val="Tahoma"/>
    </font>
  </fonts>
  <fills count="12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FFE0B2"/>
      </patternFill>
    </fill>
    <fill>
      <patternFill patternType="solid">
        <fgColor rgb="FF607D8B"/>
      </patternFill>
    </fill>
    <fill>
      <patternFill patternType="solid">
        <fgColor rgb="FFF1F8F2"/>
      </patternFill>
    </fill>
    <fill>
      <patternFill patternType="solid">
        <fgColor rgb="FFE8F5E9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rgb="FFEEF3F1"/>
      </patternFill>
    </fill>
    <fill>
      <patternFill patternType="solid">
        <fgColor rgb="FFF3F8F3"/>
      </patternFill>
    </fill>
  </fills>
  <borders count="5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medium">
        <color rgb="FFEF6C00"/>
      </bottom>
      <diagonal/>
    </border>
    <border>
      <left style="medium">
        <color rgb="FF78909C"/>
      </left>
      <right style="medium">
        <color rgb="FF78909C"/>
      </right>
      <top style="medium">
        <color rgb="FF78909C"/>
      </top>
      <bottom style="medium">
        <color rgb="FF78909C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medium">
        <color rgb="FF78909C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5" fillId="3" borderId="2" xfId="0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right" vertical="center"/>
    </xf>
    <xf numFmtId="164" fontId="18" fillId="9" borderId="1" xfId="0" applyNumberFormat="1" applyFont="1" applyFill="1" applyBorder="1" applyAlignment="1">
      <alignment horizontal="center" vertical="center"/>
    </xf>
    <xf numFmtId="3" fontId="18" fillId="9" borderId="1" xfId="0" applyNumberFormat="1" applyFont="1" applyFill="1" applyBorder="1" applyAlignment="1">
      <alignment horizontal="center" vertical="center"/>
    </xf>
    <xf numFmtId="3" fontId="19" fillId="9" borderId="1" xfId="0" applyNumberFormat="1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right" vertical="center"/>
    </xf>
    <xf numFmtId="164" fontId="18" fillId="11" borderId="1" xfId="0" applyNumberFormat="1" applyFont="1" applyFill="1" applyBorder="1" applyAlignment="1">
      <alignment horizontal="center" vertical="center"/>
    </xf>
    <xf numFmtId="3" fontId="18" fillId="11" borderId="1" xfId="0" applyNumberFormat="1" applyFont="1" applyFill="1" applyBorder="1" applyAlignment="1">
      <alignment horizontal="center" vertical="center"/>
    </xf>
    <xf numFmtId="3" fontId="19" fillId="11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4" fillId="9" borderId="1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1" fillId="10" borderId="1" xfId="0" applyFont="1" applyFill="1" applyBorder="1" applyAlignment="1">
      <alignment horizontal="right" vertical="center"/>
    </xf>
    <xf numFmtId="0" fontId="6" fillId="6" borderId="2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1" fontId="14" fillId="9" borderId="1" xfId="0" applyNumberFormat="1" applyFont="1" applyFill="1" applyBorder="1" applyAlignment="1">
      <alignment horizontal="center" vertical="center"/>
    </xf>
    <xf numFmtId="164" fontId="14" fillId="9" borderId="1" xfId="0" applyNumberFormat="1" applyFont="1" applyFill="1" applyBorder="1" applyAlignment="1">
      <alignment horizontal="center" vertical="center"/>
    </xf>
    <xf numFmtId="3" fontId="12" fillId="8" borderId="3" xfId="0" applyNumberFormat="1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49" fontId="8" fillId="8" borderId="3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18" fillId="9" borderId="1" xfId="0" applyFont="1" applyFill="1" applyBorder="1" applyAlignment="1">
      <alignment horizontal="right" vertical="center" wrapText="1"/>
    </xf>
    <xf numFmtId="0" fontId="18" fillId="11" borderId="1" xfId="0" applyFont="1" applyFill="1" applyBorder="1" applyAlignment="1">
      <alignment horizontal="right" vertical="center" wrapText="1"/>
    </xf>
    <xf numFmtId="0" fontId="8" fillId="6" borderId="2" xfId="0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right" vertical="center"/>
    </xf>
  </cellXfs>
  <cellStyles count="1">
    <cellStyle name="Normal" xfId="0" builtinId="0"/>
  </cellStyles>
  <dxfs count="12">
    <dxf>
      <font>
        <b/>
        <sz val="11"/>
        <color rgb="FF2E7D32"/>
        <name val="Tahoma"/>
      </font>
    </dxf>
    <dxf>
      <font>
        <b/>
        <sz val="11"/>
        <color rgb="FFC62828"/>
        <name val="Tahoma"/>
      </font>
    </dxf>
    <dxf>
      <font>
        <b/>
        <sz val="11"/>
        <color rgb="FFE65100"/>
        <name val="Tahoma"/>
      </font>
    </dxf>
    <dxf>
      <font>
        <b/>
        <sz val="10"/>
        <color rgb="FF2E7D32"/>
        <name val="Tahoma"/>
      </font>
      <fill>
        <patternFill patternType="solid">
          <fgColor rgb="FFC8E6C9"/>
        </patternFill>
      </fill>
    </dxf>
    <dxf>
      <font>
        <b/>
        <sz val="10"/>
        <color rgb="FFC62828"/>
        <name val="Tahoma"/>
      </font>
      <fill>
        <patternFill patternType="solid">
          <fgColor rgb="FFFFCDD2"/>
        </patternFill>
      </fill>
    </dxf>
    <dxf>
      <font>
        <b/>
        <sz val="10"/>
        <color rgb="FFE65100"/>
        <name val="Tahoma"/>
      </font>
      <fill>
        <patternFill patternType="solid">
          <fgColor rgb="FFFFE0B2"/>
        </patternFill>
      </fill>
    </dxf>
    <dxf>
      <font>
        <b/>
        <sz val="9"/>
        <color rgb="FFC62828"/>
        <name val="Tahoma"/>
      </font>
    </dxf>
    <dxf>
      <font>
        <b/>
        <sz val="9"/>
        <color rgb="FF2E7D32"/>
        <name val="Tahoma"/>
      </font>
    </dxf>
    <dxf>
      <font>
        <b/>
        <sz val="9"/>
        <color rgb="FFE65100"/>
        <name val="Tahoma"/>
      </font>
    </dxf>
    <dxf>
      <font>
        <b/>
        <sz val="9"/>
        <color rgb="FF2E7D32"/>
        <name val="Tahoma"/>
      </font>
      <fill>
        <patternFill patternType="solid">
          <fgColor rgb="FFC8E6C9"/>
        </patternFill>
      </fill>
    </dxf>
    <dxf>
      <font>
        <b/>
        <sz val="9"/>
        <color rgb="FFC62828"/>
        <name val="Tahoma"/>
      </font>
      <fill>
        <patternFill patternType="solid">
          <fgColor rgb="FFFFCDD2"/>
        </patternFill>
      </fill>
    </dxf>
    <dxf>
      <font>
        <b/>
        <sz val="9"/>
        <color rgb="FFE65100"/>
        <name val="Tahoma"/>
      </font>
      <fill>
        <patternFill patternType="solid">
          <fgColor rgb="FFFFE0B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F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asko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Transac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Company"/>
      <sheetName val="Params"/>
      <sheetName val="Groups"/>
      <sheetName val="MainGroups"/>
      <sheetName val="SubGroups"/>
      <sheetName val="WorkGroups"/>
      <sheetName val="Staff"/>
      <sheetName val="Accounts"/>
      <sheetName val="Banks"/>
      <sheetName val="Cheques"/>
      <sheetName val="TxnTypes"/>
      <sheetName val="Ops"/>
      <sheetName val="Products_Buy"/>
      <sheetName val="Products_Sell"/>
      <sheetName val="Baskets"/>
      <sheetName val="Warehouses"/>
      <sheetName val="Help"/>
      <sheetName val="Lists"/>
    </sheetNames>
    <sheetDataSet>
      <sheetData sheetId="0"/>
      <sheetData sheetId="1">
        <row r="5">
          <cell r="C5" t="str">
            <v>سورتینگ و بسته‌بندی مرکبات مازندشت</v>
          </cell>
        </row>
        <row r="7">
          <cell r="C7" t="str">
            <v>سورتینگ، بسته‌بندی و بازرگانی مرکبات</v>
          </cell>
        </row>
        <row r="8">
          <cell r="C8" t="str">
            <v>باغدشت، بخش مرکزی، شهرستان قائم‌شهر، استان مازندران، ایران</v>
          </cell>
        </row>
        <row r="9">
          <cell r="C9" t="str">
            <v>011-42116449</v>
          </cell>
        </row>
      </sheetData>
      <sheetData sheetId="2">
        <row r="7">
          <cell r="A7" t="str">
            <v>P01</v>
          </cell>
          <cell r="B7" t="str">
            <v>وزن هر سبد (تار)</v>
          </cell>
          <cell r="C7">
            <v>1.5</v>
          </cell>
        </row>
        <row r="8">
          <cell r="A8" t="str">
            <v>P02</v>
          </cell>
          <cell r="B8" t="str">
            <v>درصد افت</v>
          </cell>
          <cell r="C8">
            <v>1</v>
          </cell>
        </row>
        <row r="9">
          <cell r="A9" t="str">
            <v>P03</v>
          </cell>
          <cell r="B9"/>
          <cell r="C9"/>
        </row>
        <row r="10">
          <cell r="A10" t="str">
            <v>P04</v>
          </cell>
          <cell r="B10"/>
          <cell r="C10"/>
        </row>
        <row r="11">
          <cell r="A11" t="str">
            <v>P05</v>
          </cell>
          <cell r="B11"/>
          <cell r="C11"/>
        </row>
        <row r="12">
          <cell r="A12" t="str">
            <v>P06</v>
          </cell>
          <cell r="B12"/>
          <cell r="C12"/>
        </row>
        <row r="13">
          <cell r="A13" t="str">
            <v>P07</v>
          </cell>
          <cell r="B13"/>
          <cell r="C13"/>
        </row>
        <row r="14">
          <cell r="A14" t="str">
            <v>P08</v>
          </cell>
          <cell r="B14"/>
          <cell r="C14"/>
        </row>
        <row r="15">
          <cell r="A15" t="str">
            <v>P09</v>
          </cell>
          <cell r="B15"/>
          <cell r="C15"/>
        </row>
        <row r="16">
          <cell r="A16" t="str">
            <v>P10</v>
          </cell>
          <cell r="B16"/>
          <cell r="C16"/>
        </row>
        <row r="17">
          <cell r="A17" t="str">
            <v>P11</v>
          </cell>
          <cell r="B17"/>
          <cell r="C17"/>
        </row>
        <row r="18">
          <cell r="A18" t="str">
            <v>P12</v>
          </cell>
          <cell r="B18"/>
          <cell r="C18"/>
        </row>
      </sheetData>
      <sheetData sheetId="3"/>
      <sheetData sheetId="4"/>
      <sheetData sheetId="5"/>
      <sheetData sheetId="6"/>
      <sheetData sheetId="7"/>
      <sheetData sheetId="8">
        <row r="7">
          <cell r="A7" t="str">
            <v>C001</v>
          </cell>
          <cell r="B7" t="str">
            <v>فروشنده</v>
          </cell>
          <cell r="C7" t="str">
            <v>عمده</v>
          </cell>
          <cell r="D7" t="str">
            <v>زینب زاهدی</v>
          </cell>
          <cell r="E7" t="str">
            <v>011-33330001</v>
          </cell>
          <cell r="F7" t="str">
            <v>09110000001</v>
          </cell>
          <cell r="G7" t="str">
            <v>بابل — میدان مرکبات</v>
          </cell>
        </row>
        <row r="8">
          <cell r="A8" t="str">
            <v>C002</v>
          </cell>
          <cell r="B8" t="str">
            <v>فروشنده</v>
          </cell>
          <cell r="C8" t="str">
            <v>صادراتی</v>
          </cell>
          <cell r="D8" t="str">
            <v>سید عباس موسوی</v>
          </cell>
          <cell r="E8" t="str">
            <v>011-33330002</v>
          </cell>
          <cell r="F8" t="str">
            <v>09110000002</v>
          </cell>
          <cell r="G8" t="str">
            <v>ساری — شهرک صنعتی</v>
          </cell>
        </row>
        <row r="9">
          <cell r="A9" t="str">
            <v>C003</v>
          </cell>
          <cell r="B9" t="str">
            <v>فروشنده</v>
          </cell>
          <cell r="C9" t="str">
            <v>خرده‌فروش</v>
          </cell>
          <cell r="D9" t="str">
            <v>حاج احمد عیسی پور</v>
          </cell>
          <cell r="E9" t="str">
            <v>011-33330003</v>
          </cell>
          <cell r="F9" t="str">
            <v>09110000003</v>
          </cell>
          <cell r="G9" t="str">
            <v>قائم‌شهر — خیابان طالب آملی</v>
          </cell>
        </row>
        <row r="10">
          <cell r="A10" t="str">
            <v>C004</v>
          </cell>
          <cell r="B10" t="str">
            <v>فروشنده</v>
          </cell>
          <cell r="C10"/>
          <cell r="D10" t="str">
            <v>امید زاهدی</v>
          </cell>
          <cell r="E10"/>
          <cell r="F10"/>
          <cell r="G10"/>
        </row>
        <row r="11">
          <cell r="A11" t="str">
            <v>C005</v>
          </cell>
          <cell r="B11" t="str">
            <v>فروشنده</v>
          </cell>
          <cell r="C11"/>
          <cell r="D11" t="str">
            <v>بار شخصی قاسم زاهدی</v>
          </cell>
          <cell r="E11"/>
          <cell r="F11"/>
          <cell r="G11"/>
        </row>
        <row r="12">
          <cell r="A12" t="str">
            <v>C006</v>
          </cell>
          <cell r="B12" t="str">
            <v>فروشنده</v>
          </cell>
          <cell r="C12"/>
          <cell r="D12" t="str">
            <v>هوشنگ عیسی پور</v>
          </cell>
          <cell r="E12"/>
          <cell r="F12"/>
          <cell r="G12"/>
        </row>
        <row r="13">
          <cell r="A13" t="str">
            <v>C007</v>
          </cell>
          <cell r="B13" t="str">
            <v>فروشنده</v>
          </cell>
          <cell r="C13"/>
          <cell r="D13" t="str">
            <v>علی آهنگر</v>
          </cell>
          <cell r="E13"/>
          <cell r="F13"/>
          <cell r="G13"/>
        </row>
        <row r="14">
          <cell r="A14" t="str">
            <v>C008</v>
          </cell>
          <cell r="B14" t="str">
            <v>فروشنده</v>
          </cell>
          <cell r="C14"/>
          <cell r="D14" t="str">
            <v>صفدر مسلمی</v>
          </cell>
          <cell r="E14"/>
          <cell r="F14"/>
          <cell r="G14"/>
        </row>
        <row r="15">
          <cell r="A15" t="str">
            <v>C009</v>
          </cell>
          <cell r="B15" t="str">
            <v>فروشنده</v>
          </cell>
          <cell r="C15"/>
          <cell r="D15" t="str">
            <v>همایون بابایی</v>
          </cell>
          <cell r="E15"/>
          <cell r="F15"/>
          <cell r="G15"/>
        </row>
        <row r="16">
          <cell r="A16" t="str">
            <v>C010</v>
          </cell>
          <cell r="B16" t="str">
            <v>فروشنده</v>
          </cell>
          <cell r="C16"/>
          <cell r="D16" t="str">
            <v>دبیر فرجی</v>
          </cell>
          <cell r="E16"/>
          <cell r="F16"/>
          <cell r="G16"/>
        </row>
        <row r="17">
          <cell r="A17" t="str">
            <v>C011</v>
          </cell>
          <cell r="B17" t="str">
            <v>فروشنده</v>
          </cell>
          <cell r="C17"/>
          <cell r="D17" t="str">
            <v>محمود علیجانی</v>
          </cell>
          <cell r="E17"/>
          <cell r="F17"/>
          <cell r="G17"/>
        </row>
        <row r="18">
          <cell r="A18" t="str">
            <v>C012</v>
          </cell>
          <cell r="B18" t="str">
            <v>فروشنده</v>
          </cell>
          <cell r="C18"/>
          <cell r="D18" t="str">
            <v>افشین بشتکار</v>
          </cell>
          <cell r="E18"/>
          <cell r="F18"/>
          <cell r="G18"/>
        </row>
        <row r="19">
          <cell r="A19" t="str">
            <v>C013</v>
          </cell>
          <cell r="B19" t="str">
            <v>فروشنده</v>
          </cell>
          <cell r="C19"/>
          <cell r="D19" t="str">
            <v>میرقربان موسویان</v>
          </cell>
          <cell r="E19"/>
          <cell r="F19"/>
          <cell r="G19"/>
        </row>
        <row r="20">
          <cell r="A20" t="str">
            <v>C014</v>
          </cell>
          <cell r="B20" t="str">
            <v>فروشنده</v>
          </cell>
          <cell r="C20"/>
          <cell r="D20" t="str">
            <v>باباجانی (تراجیکلا)</v>
          </cell>
          <cell r="E20"/>
          <cell r="F20"/>
          <cell r="G20"/>
        </row>
        <row r="21">
          <cell r="A21" t="str">
            <v>C015</v>
          </cell>
          <cell r="B21" t="str">
            <v>فروشنده</v>
          </cell>
          <cell r="C21"/>
          <cell r="D21" t="str">
            <v>کاظم میرزازاده</v>
          </cell>
          <cell r="E21"/>
          <cell r="F21"/>
          <cell r="G21"/>
        </row>
        <row r="22">
          <cell r="A22" t="str">
            <v>C016</v>
          </cell>
          <cell r="B22" t="str">
            <v>فروشنده</v>
          </cell>
          <cell r="C22"/>
          <cell r="D22" t="str">
            <v>علی جانبرارپور</v>
          </cell>
          <cell r="E22"/>
          <cell r="F22"/>
          <cell r="G22"/>
        </row>
        <row r="23">
          <cell r="A23" t="str">
            <v>C017</v>
          </cell>
          <cell r="B23" t="str">
            <v>فروشنده</v>
          </cell>
          <cell r="C23"/>
          <cell r="D23" t="str">
            <v>لیلا محمودنیا</v>
          </cell>
          <cell r="E23"/>
          <cell r="F23"/>
          <cell r="G23"/>
        </row>
        <row r="24">
          <cell r="A24" t="str">
            <v>C018</v>
          </cell>
          <cell r="B24" t="str">
            <v>فروشنده</v>
          </cell>
          <cell r="C24"/>
          <cell r="D24" t="str">
            <v>اسماعیل خانیا</v>
          </cell>
          <cell r="E24"/>
          <cell r="F24"/>
          <cell r="G24"/>
        </row>
        <row r="25">
          <cell r="A25" t="str">
            <v>C019</v>
          </cell>
          <cell r="B25" t="str">
            <v>فروشنده</v>
          </cell>
          <cell r="C25"/>
          <cell r="D25" t="str">
            <v>یوسف یوسف نژاد</v>
          </cell>
          <cell r="E25"/>
          <cell r="F25"/>
          <cell r="G25"/>
        </row>
        <row r="26">
          <cell r="A26" t="str">
            <v>C020</v>
          </cell>
          <cell r="B26" t="str">
            <v>فروشنده</v>
          </cell>
          <cell r="C26"/>
          <cell r="D26" t="str">
            <v>علی نوایی</v>
          </cell>
          <cell r="E26"/>
          <cell r="F26"/>
          <cell r="G26"/>
        </row>
        <row r="27">
          <cell r="A27" t="str">
            <v>C021</v>
          </cell>
          <cell r="B27" t="str">
            <v>فروشنده</v>
          </cell>
          <cell r="C27"/>
          <cell r="D27" t="str">
            <v>دومیری</v>
          </cell>
          <cell r="E27"/>
          <cell r="F27"/>
          <cell r="G27"/>
        </row>
        <row r="28">
          <cell r="A28" t="str">
            <v>C022</v>
          </cell>
          <cell r="B28" t="str">
            <v>فروشنده</v>
          </cell>
          <cell r="C28"/>
          <cell r="D28" t="str">
            <v>شمسعلی علیجانی</v>
          </cell>
          <cell r="E28"/>
          <cell r="F28"/>
          <cell r="G28"/>
        </row>
        <row r="29">
          <cell r="A29" t="str">
            <v>C023</v>
          </cell>
          <cell r="B29" t="str">
            <v>فروشنده</v>
          </cell>
          <cell r="C29"/>
          <cell r="D29" t="str">
            <v>یوسف نیا(موزیج)</v>
          </cell>
          <cell r="E29"/>
          <cell r="F29"/>
          <cell r="G29"/>
        </row>
        <row r="30">
          <cell r="A30" t="str">
            <v>C024</v>
          </cell>
          <cell r="B30" t="str">
            <v>فروشنده</v>
          </cell>
          <cell r="C30"/>
          <cell r="D30" t="str">
            <v>کاظم ذبیح پور</v>
          </cell>
          <cell r="E30"/>
          <cell r="F30"/>
          <cell r="G30"/>
        </row>
        <row r="31">
          <cell r="A31" t="str">
            <v>C025</v>
          </cell>
          <cell r="B31" t="str">
            <v>فروشنده</v>
          </cell>
          <cell r="C31"/>
          <cell r="D31" t="str">
            <v>علی غلام رضاپور</v>
          </cell>
          <cell r="E31"/>
          <cell r="F31"/>
          <cell r="G31"/>
        </row>
        <row r="32">
          <cell r="A32" t="str">
            <v>C026</v>
          </cell>
          <cell r="B32" t="str">
            <v>فروشنده</v>
          </cell>
          <cell r="C32"/>
          <cell r="D32" t="str">
            <v>حسین شکرالله نیا</v>
          </cell>
          <cell r="E32"/>
          <cell r="F32"/>
          <cell r="G32"/>
        </row>
        <row r="33">
          <cell r="A33" t="str">
            <v>C027</v>
          </cell>
          <cell r="B33" t="str">
            <v>فروشنده</v>
          </cell>
          <cell r="C33"/>
          <cell r="D33" t="str">
            <v>سید مهدی حسینی(دوست حاج هوشنگ)</v>
          </cell>
          <cell r="E33"/>
          <cell r="F33"/>
          <cell r="G33"/>
        </row>
        <row r="34">
          <cell r="A34" t="str">
            <v>C028</v>
          </cell>
          <cell r="B34" t="str">
            <v>فروشنده</v>
          </cell>
          <cell r="C34"/>
          <cell r="D34" t="str">
            <v>آقای عزیزی</v>
          </cell>
          <cell r="E34"/>
          <cell r="F34"/>
          <cell r="G34"/>
        </row>
        <row r="35">
          <cell r="A35" t="str">
            <v>C029</v>
          </cell>
          <cell r="B35" t="str">
            <v>فروشنده</v>
          </cell>
          <cell r="C35"/>
          <cell r="D35" t="str">
            <v>آقای حبیبی(بانک صادرات)</v>
          </cell>
          <cell r="E35"/>
          <cell r="F35"/>
          <cell r="G35"/>
        </row>
        <row r="36">
          <cell r="A36" t="str">
            <v>C030</v>
          </cell>
          <cell r="B36" t="str">
            <v>فروشنده</v>
          </cell>
          <cell r="C36"/>
          <cell r="D36" t="str">
            <v>محمد علی اصغرزاده</v>
          </cell>
          <cell r="E36"/>
          <cell r="F36"/>
          <cell r="G36"/>
        </row>
        <row r="37">
          <cell r="A37" t="str">
            <v>C031</v>
          </cell>
          <cell r="B37" t="str">
            <v>فروشنده</v>
          </cell>
          <cell r="C37"/>
          <cell r="D37" t="str">
            <v>فغان پور</v>
          </cell>
          <cell r="E37"/>
          <cell r="F37"/>
          <cell r="G37"/>
        </row>
        <row r="38">
          <cell r="A38" t="str">
            <v>C032</v>
          </cell>
          <cell r="B38" t="str">
            <v>فروشنده</v>
          </cell>
          <cell r="C38"/>
          <cell r="D38" t="str">
            <v>عباس پور(بهنمیر)</v>
          </cell>
          <cell r="E38"/>
          <cell r="F38"/>
          <cell r="G38"/>
        </row>
        <row r="39">
          <cell r="A39" t="str">
            <v>C033</v>
          </cell>
          <cell r="B39" t="str">
            <v>فروشنده</v>
          </cell>
          <cell r="C39"/>
          <cell r="D39" t="str">
            <v>رمضان خانیا(فرهاد پلنگ)</v>
          </cell>
          <cell r="E39"/>
          <cell r="F39"/>
          <cell r="G39"/>
        </row>
        <row r="40">
          <cell r="A40" t="str">
            <v>C034</v>
          </cell>
          <cell r="B40" t="str">
            <v>فروشنده</v>
          </cell>
          <cell r="C40"/>
          <cell r="D40" t="str">
            <v>محمد رضایی</v>
          </cell>
          <cell r="E40"/>
          <cell r="F40"/>
          <cell r="G40"/>
        </row>
        <row r="41">
          <cell r="A41" t="str">
            <v>C035</v>
          </cell>
          <cell r="B41" t="str">
            <v>فروشنده</v>
          </cell>
          <cell r="C41"/>
          <cell r="D41" t="str">
            <v>داریوش اسماعیلی</v>
          </cell>
          <cell r="E41"/>
          <cell r="F41"/>
          <cell r="G41"/>
        </row>
        <row r="42">
          <cell r="A42" t="str">
            <v>C036</v>
          </cell>
          <cell r="B42" t="str">
            <v>فروشنده</v>
          </cell>
          <cell r="C42"/>
          <cell r="D42" t="str">
            <v>محسن قبادی</v>
          </cell>
          <cell r="E42"/>
          <cell r="F42"/>
          <cell r="G42"/>
        </row>
        <row r="43">
          <cell r="A43" t="str">
            <v>C037</v>
          </cell>
          <cell r="B43" t="str">
            <v>فروشنده</v>
          </cell>
          <cell r="C43"/>
          <cell r="D43" t="str">
            <v>خانم قلی پور(یوسف نیا)</v>
          </cell>
          <cell r="E43"/>
          <cell r="F43"/>
          <cell r="G43"/>
        </row>
        <row r="44">
          <cell r="A44" t="str">
            <v>C038</v>
          </cell>
          <cell r="B44" t="str">
            <v>فروشنده</v>
          </cell>
          <cell r="C44"/>
          <cell r="D44" t="str">
            <v>مهدی ولیپور</v>
          </cell>
          <cell r="E44"/>
          <cell r="F44"/>
          <cell r="G44"/>
        </row>
        <row r="45">
          <cell r="A45" t="str">
            <v>C039</v>
          </cell>
          <cell r="B45" t="str">
            <v>فروشنده</v>
          </cell>
          <cell r="C45"/>
          <cell r="D45" t="str">
            <v>رمضان علی محمدیان</v>
          </cell>
          <cell r="E45"/>
          <cell r="F45"/>
          <cell r="G45"/>
        </row>
        <row r="46">
          <cell r="A46" t="str">
            <v>C040</v>
          </cell>
          <cell r="B46" t="str">
            <v>فروشنده</v>
          </cell>
          <cell r="C46"/>
          <cell r="D46" t="str">
            <v>محمود آهنگر</v>
          </cell>
          <cell r="E46"/>
          <cell r="F46"/>
          <cell r="G46"/>
        </row>
        <row r="47">
          <cell r="A47" t="str">
            <v>C041</v>
          </cell>
          <cell r="B47" t="str">
            <v>فروشنده</v>
          </cell>
          <cell r="C47"/>
          <cell r="D47" t="str">
            <v>محمد حسین عزیزی</v>
          </cell>
          <cell r="E47"/>
          <cell r="F47"/>
          <cell r="G47"/>
        </row>
        <row r="48">
          <cell r="A48" t="str">
            <v>C042</v>
          </cell>
          <cell r="B48" t="str">
            <v>فروشنده</v>
          </cell>
          <cell r="C48"/>
          <cell r="D48" t="str">
            <v>مغداد طلایی</v>
          </cell>
          <cell r="E48"/>
          <cell r="F48"/>
          <cell r="G48"/>
        </row>
        <row r="49">
          <cell r="A49" t="str">
            <v>C043</v>
          </cell>
          <cell r="B49" t="str">
            <v>فروشنده</v>
          </cell>
          <cell r="C49"/>
          <cell r="D49" t="str">
            <v>سید عبدالله میراقازاده</v>
          </cell>
          <cell r="E49"/>
          <cell r="F49"/>
          <cell r="G49"/>
        </row>
        <row r="50">
          <cell r="A50" t="str">
            <v>C044</v>
          </cell>
          <cell r="B50" t="str">
            <v>فروشنده</v>
          </cell>
          <cell r="C50"/>
          <cell r="D50" t="str">
            <v>رجب پور</v>
          </cell>
          <cell r="E50"/>
          <cell r="F50"/>
          <cell r="G50"/>
        </row>
        <row r="51">
          <cell r="A51" t="str">
            <v>C045</v>
          </cell>
          <cell r="B51" t="str">
            <v>فروشنده</v>
          </cell>
          <cell r="C51"/>
          <cell r="D51" t="str">
            <v>سعید بابایی</v>
          </cell>
          <cell r="E51"/>
          <cell r="F51"/>
          <cell r="G51"/>
        </row>
        <row r="52">
          <cell r="A52" t="str">
            <v>C046</v>
          </cell>
          <cell r="B52" t="str">
            <v>فروشنده</v>
          </cell>
          <cell r="C52"/>
          <cell r="D52" t="str">
            <v>مطلب عیسی پور</v>
          </cell>
          <cell r="E52"/>
          <cell r="F52"/>
          <cell r="G52"/>
        </row>
        <row r="53">
          <cell r="A53" t="str">
            <v>C047</v>
          </cell>
          <cell r="B53" t="str">
            <v>فروشنده</v>
          </cell>
          <cell r="C53"/>
          <cell r="D53" t="str">
            <v>عزیز زاده</v>
          </cell>
          <cell r="E53"/>
          <cell r="F53"/>
          <cell r="G53"/>
        </row>
        <row r="54">
          <cell r="A54" t="str">
            <v>C048</v>
          </cell>
          <cell r="B54" t="str">
            <v>فروشنده</v>
          </cell>
          <cell r="C54"/>
          <cell r="D54" t="str">
            <v>تقی اصغرنیا</v>
          </cell>
          <cell r="E54"/>
          <cell r="F54"/>
          <cell r="G54"/>
        </row>
        <row r="55">
          <cell r="A55" t="str">
            <v>C049</v>
          </cell>
          <cell r="B55" t="str">
            <v>فروشنده</v>
          </cell>
          <cell r="C55"/>
          <cell r="D55" t="str">
            <v>مدانلو</v>
          </cell>
          <cell r="E55"/>
          <cell r="F55"/>
          <cell r="G55"/>
        </row>
        <row r="56">
          <cell r="A56" t="str">
            <v>C050</v>
          </cell>
          <cell r="B56" t="str">
            <v>فروشنده</v>
          </cell>
          <cell r="C56"/>
          <cell r="D56" t="str">
            <v>خدیجه اصغرنیا</v>
          </cell>
          <cell r="E56"/>
          <cell r="F56"/>
          <cell r="G56"/>
        </row>
        <row r="57">
          <cell r="A57" t="str">
            <v>C051</v>
          </cell>
          <cell r="B57" t="str">
            <v>فروشنده</v>
          </cell>
          <cell r="C57"/>
          <cell r="D57" t="str">
            <v>اصغر عزیزی</v>
          </cell>
          <cell r="E57"/>
          <cell r="F57"/>
          <cell r="G57"/>
        </row>
        <row r="58">
          <cell r="A58" t="str">
            <v>C052</v>
          </cell>
          <cell r="B58" t="str">
            <v>فروشنده</v>
          </cell>
          <cell r="C58"/>
          <cell r="D58" t="str">
            <v>غلامی</v>
          </cell>
          <cell r="E58"/>
          <cell r="F58"/>
          <cell r="G58"/>
        </row>
        <row r="59">
          <cell r="A59" t="str">
            <v>C053</v>
          </cell>
          <cell r="B59" t="str">
            <v>فروشنده</v>
          </cell>
          <cell r="C59"/>
          <cell r="D59" t="str">
            <v>علی عزیزنژاد</v>
          </cell>
          <cell r="E59"/>
          <cell r="F59"/>
          <cell r="G59"/>
        </row>
        <row r="60">
          <cell r="A60" t="str">
            <v>C054</v>
          </cell>
          <cell r="B60" t="str">
            <v>فروشنده</v>
          </cell>
          <cell r="C60"/>
          <cell r="D60" t="str">
            <v>حسن عیسی پور</v>
          </cell>
          <cell r="E60"/>
          <cell r="F60"/>
          <cell r="G60"/>
        </row>
        <row r="61">
          <cell r="A61" t="str">
            <v>C055</v>
          </cell>
          <cell r="B61" t="str">
            <v>فروشنده</v>
          </cell>
          <cell r="C61"/>
          <cell r="D61" t="str">
            <v>عسگری محمودی</v>
          </cell>
          <cell r="E61"/>
          <cell r="F61"/>
          <cell r="G61"/>
        </row>
        <row r="62">
          <cell r="A62" t="str">
            <v>C056</v>
          </cell>
          <cell r="B62" t="str">
            <v>فروشنده</v>
          </cell>
          <cell r="C62"/>
          <cell r="D62" t="str">
            <v>اسماعیل حیدری</v>
          </cell>
          <cell r="E62"/>
          <cell r="F62"/>
          <cell r="G62"/>
        </row>
        <row r="63">
          <cell r="A63" t="str">
            <v>C057</v>
          </cell>
          <cell r="B63" t="str">
            <v>فروشنده</v>
          </cell>
          <cell r="C63"/>
          <cell r="D63" t="str">
            <v>کبری اصغرنیا</v>
          </cell>
          <cell r="E63"/>
          <cell r="F63"/>
          <cell r="G63"/>
        </row>
        <row r="64">
          <cell r="A64" t="str">
            <v>C058</v>
          </cell>
          <cell r="B64" t="str">
            <v>فروشنده</v>
          </cell>
          <cell r="C64"/>
          <cell r="D64"/>
          <cell r="E64"/>
          <cell r="F64"/>
          <cell r="G64"/>
        </row>
        <row r="65">
          <cell r="A65" t="str">
            <v>C059</v>
          </cell>
          <cell r="B65" t="str">
            <v>فروشنده</v>
          </cell>
          <cell r="C65"/>
          <cell r="D65"/>
          <cell r="E65"/>
          <cell r="F65"/>
          <cell r="G65"/>
        </row>
        <row r="66">
          <cell r="A66" t="str">
            <v>C060</v>
          </cell>
          <cell r="B66" t="str">
            <v>فروشنده</v>
          </cell>
          <cell r="C66"/>
          <cell r="D66"/>
          <cell r="E66"/>
          <cell r="F66"/>
          <cell r="G66"/>
        </row>
        <row r="67">
          <cell r="A67" t="str">
            <v>C061</v>
          </cell>
          <cell r="B67" t="str">
            <v>فروشنده</v>
          </cell>
          <cell r="C67"/>
          <cell r="D67"/>
          <cell r="E67"/>
          <cell r="F67"/>
          <cell r="G67"/>
        </row>
        <row r="68">
          <cell r="A68" t="str">
            <v>C062</v>
          </cell>
          <cell r="B68" t="str">
            <v>فروشنده</v>
          </cell>
          <cell r="C68"/>
          <cell r="D68"/>
          <cell r="E68"/>
          <cell r="F68"/>
          <cell r="G68"/>
        </row>
        <row r="69">
          <cell r="A69" t="str">
            <v>C063</v>
          </cell>
          <cell r="B69" t="str">
            <v>فروشنده</v>
          </cell>
          <cell r="C69"/>
          <cell r="D69"/>
          <cell r="E69"/>
          <cell r="F69"/>
          <cell r="G69"/>
        </row>
        <row r="70">
          <cell r="A70" t="str">
            <v>C064</v>
          </cell>
          <cell r="B70"/>
          <cell r="C70"/>
          <cell r="D70"/>
          <cell r="E70"/>
          <cell r="F70"/>
          <cell r="G70"/>
        </row>
        <row r="71">
          <cell r="A71" t="str">
            <v>C065</v>
          </cell>
          <cell r="B71"/>
          <cell r="C71"/>
          <cell r="D71"/>
          <cell r="E71"/>
          <cell r="F71"/>
          <cell r="G71"/>
        </row>
        <row r="72">
          <cell r="A72" t="str">
            <v>C066</v>
          </cell>
          <cell r="B72"/>
          <cell r="C72"/>
          <cell r="D72"/>
          <cell r="E72"/>
          <cell r="F72"/>
          <cell r="G72"/>
        </row>
        <row r="73">
          <cell r="A73" t="str">
            <v>C067</v>
          </cell>
          <cell r="B73"/>
          <cell r="C73"/>
          <cell r="D73"/>
          <cell r="E73"/>
          <cell r="F73"/>
          <cell r="G73"/>
        </row>
        <row r="74">
          <cell r="A74" t="str">
            <v>C068</v>
          </cell>
          <cell r="B74"/>
          <cell r="C74"/>
          <cell r="D74"/>
          <cell r="E74"/>
          <cell r="F74"/>
          <cell r="G74"/>
        </row>
        <row r="75">
          <cell r="A75" t="str">
            <v>C069</v>
          </cell>
          <cell r="B75"/>
          <cell r="C75"/>
          <cell r="D75"/>
          <cell r="E75"/>
          <cell r="F75"/>
          <cell r="G75"/>
        </row>
        <row r="76">
          <cell r="A76" t="str">
            <v>C070</v>
          </cell>
          <cell r="B76"/>
          <cell r="C76"/>
          <cell r="D76"/>
          <cell r="E76"/>
          <cell r="F76"/>
          <cell r="G76"/>
        </row>
        <row r="77">
          <cell r="A77" t="str">
            <v>C071</v>
          </cell>
          <cell r="B77"/>
          <cell r="C77"/>
          <cell r="D77"/>
          <cell r="E77"/>
          <cell r="F77"/>
          <cell r="G77"/>
        </row>
        <row r="78">
          <cell r="A78" t="str">
            <v>C072</v>
          </cell>
          <cell r="B78"/>
          <cell r="C78"/>
          <cell r="D78"/>
          <cell r="E78"/>
          <cell r="F78"/>
          <cell r="G78"/>
        </row>
        <row r="79">
          <cell r="A79" t="str">
            <v>C073</v>
          </cell>
          <cell r="B79"/>
          <cell r="C79"/>
          <cell r="D79"/>
          <cell r="E79"/>
          <cell r="F79"/>
          <cell r="G79"/>
        </row>
        <row r="80">
          <cell r="A80" t="str">
            <v>C074</v>
          </cell>
          <cell r="B80"/>
          <cell r="C80"/>
          <cell r="D80"/>
          <cell r="E80"/>
          <cell r="F80"/>
          <cell r="G80"/>
        </row>
        <row r="81">
          <cell r="A81" t="str">
            <v>C075</v>
          </cell>
          <cell r="B81"/>
          <cell r="C81"/>
          <cell r="D81"/>
          <cell r="E81"/>
          <cell r="F81"/>
          <cell r="G81"/>
        </row>
        <row r="82">
          <cell r="A82" t="str">
            <v>C076</v>
          </cell>
          <cell r="B82"/>
          <cell r="C82"/>
          <cell r="D82"/>
          <cell r="E82"/>
          <cell r="F82"/>
          <cell r="G82"/>
        </row>
        <row r="83">
          <cell r="A83" t="str">
            <v>C077</v>
          </cell>
          <cell r="B83"/>
          <cell r="C83"/>
          <cell r="D83"/>
          <cell r="E83"/>
          <cell r="F83"/>
          <cell r="G83"/>
        </row>
        <row r="84">
          <cell r="A84" t="str">
            <v>C078</v>
          </cell>
          <cell r="B84"/>
          <cell r="C84"/>
          <cell r="D84"/>
          <cell r="E84"/>
          <cell r="F84"/>
          <cell r="G84"/>
        </row>
        <row r="85">
          <cell r="A85" t="str">
            <v>C079</v>
          </cell>
          <cell r="B85"/>
          <cell r="C85"/>
          <cell r="D85"/>
          <cell r="E85"/>
          <cell r="F85"/>
          <cell r="G85"/>
        </row>
        <row r="86">
          <cell r="A86" t="str">
            <v>C080</v>
          </cell>
          <cell r="B86"/>
          <cell r="C86"/>
          <cell r="D86"/>
          <cell r="E86"/>
          <cell r="F86"/>
          <cell r="G86"/>
        </row>
        <row r="87">
          <cell r="A87" t="str">
            <v>C081</v>
          </cell>
          <cell r="B87"/>
          <cell r="C87"/>
          <cell r="D87"/>
          <cell r="E87"/>
          <cell r="F87"/>
          <cell r="G87"/>
        </row>
        <row r="88">
          <cell r="A88" t="str">
            <v>C082</v>
          </cell>
          <cell r="B88"/>
          <cell r="C88"/>
          <cell r="D88"/>
          <cell r="E88"/>
          <cell r="F88"/>
          <cell r="G88"/>
        </row>
        <row r="89">
          <cell r="A89" t="str">
            <v>C083</v>
          </cell>
          <cell r="B89"/>
          <cell r="C89"/>
          <cell r="D89"/>
          <cell r="E89"/>
          <cell r="F89"/>
          <cell r="G89"/>
        </row>
        <row r="90">
          <cell r="A90" t="str">
            <v>C084</v>
          </cell>
          <cell r="B90"/>
          <cell r="C90"/>
          <cell r="D90"/>
          <cell r="E90"/>
          <cell r="F90"/>
          <cell r="G90"/>
        </row>
        <row r="91">
          <cell r="A91" t="str">
            <v>C085</v>
          </cell>
          <cell r="B91"/>
          <cell r="C91"/>
          <cell r="D91"/>
          <cell r="E91"/>
          <cell r="F91"/>
          <cell r="G91"/>
        </row>
        <row r="92">
          <cell r="A92" t="str">
            <v>C086</v>
          </cell>
          <cell r="B92"/>
          <cell r="C92"/>
          <cell r="D92"/>
          <cell r="E92"/>
          <cell r="F92"/>
          <cell r="G92"/>
        </row>
        <row r="93">
          <cell r="A93" t="str">
            <v>C087</v>
          </cell>
          <cell r="B93"/>
          <cell r="C93"/>
          <cell r="D93"/>
          <cell r="E93"/>
          <cell r="F93"/>
          <cell r="G93"/>
        </row>
        <row r="94">
          <cell r="A94" t="str">
            <v>C088</v>
          </cell>
          <cell r="B94"/>
          <cell r="C94"/>
          <cell r="D94"/>
          <cell r="E94"/>
          <cell r="F94"/>
          <cell r="G94"/>
        </row>
        <row r="95">
          <cell r="A95" t="str">
            <v>C089</v>
          </cell>
          <cell r="B95"/>
          <cell r="C95"/>
          <cell r="D95"/>
          <cell r="E95"/>
          <cell r="F95"/>
          <cell r="G95"/>
        </row>
        <row r="96">
          <cell r="A96" t="str">
            <v>C090</v>
          </cell>
          <cell r="B96"/>
          <cell r="C96"/>
          <cell r="D96"/>
          <cell r="E96"/>
          <cell r="F96"/>
          <cell r="G96"/>
        </row>
        <row r="97">
          <cell r="A97" t="str">
            <v>C091</v>
          </cell>
          <cell r="B97"/>
          <cell r="C97"/>
          <cell r="D97"/>
          <cell r="E97"/>
          <cell r="F97"/>
          <cell r="G97"/>
        </row>
        <row r="98">
          <cell r="A98" t="str">
            <v>C092</v>
          </cell>
          <cell r="B98"/>
          <cell r="C98"/>
          <cell r="D98"/>
          <cell r="E98"/>
          <cell r="F98"/>
          <cell r="G98"/>
        </row>
        <row r="99">
          <cell r="A99" t="str">
            <v>C093</v>
          </cell>
          <cell r="B99"/>
          <cell r="C99"/>
          <cell r="D99"/>
          <cell r="E99"/>
          <cell r="F99"/>
          <cell r="G99"/>
        </row>
        <row r="100">
          <cell r="A100" t="str">
            <v>C094</v>
          </cell>
          <cell r="B100"/>
          <cell r="C100"/>
          <cell r="D100"/>
          <cell r="E100"/>
          <cell r="F100"/>
          <cell r="G100"/>
        </row>
        <row r="101">
          <cell r="A101" t="str">
            <v>C095</v>
          </cell>
          <cell r="B101"/>
          <cell r="C101"/>
          <cell r="D101"/>
          <cell r="E101"/>
          <cell r="F101"/>
          <cell r="G101"/>
        </row>
        <row r="102">
          <cell r="A102" t="str">
            <v>C096</v>
          </cell>
          <cell r="B102"/>
          <cell r="C102"/>
          <cell r="D102"/>
          <cell r="E102"/>
          <cell r="F102"/>
          <cell r="G102"/>
        </row>
        <row r="103">
          <cell r="A103" t="str">
            <v>C097</v>
          </cell>
          <cell r="B103"/>
          <cell r="C103"/>
          <cell r="D103"/>
          <cell r="E103"/>
          <cell r="F103"/>
          <cell r="G103"/>
        </row>
        <row r="104">
          <cell r="A104" t="str">
            <v>C098</v>
          </cell>
          <cell r="B104"/>
          <cell r="C104"/>
          <cell r="D104"/>
          <cell r="E104"/>
          <cell r="F104"/>
          <cell r="G104"/>
        </row>
        <row r="105">
          <cell r="A105" t="str">
            <v>C099</v>
          </cell>
          <cell r="B105"/>
          <cell r="C105"/>
          <cell r="D105"/>
          <cell r="E105"/>
          <cell r="F105"/>
          <cell r="G105"/>
        </row>
        <row r="106">
          <cell r="A106" t="str">
            <v>C100</v>
          </cell>
          <cell r="B106"/>
          <cell r="C106"/>
          <cell r="D106"/>
          <cell r="E106"/>
          <cell r="F106"/>
          <cell r="G106"/>
        </row>
        <row r="107">
          <cell r="A107" t="str">
            <v>C101</v>
          </cell>
          <cell r="B107"/>
          <cell r="C107"/>
          <cell r="D107"/>
          <cell r="E107"/>
          <cell r="F107"/>
          <cell r="G107"/>
        </row>
        <row r="108">
          <cell r="A108" t="str">
            <v>C102</v>
          </cell>
          <cell r="B108"/>
          <cell r="C108"/>
          <cell r="D108"/>
          <cell r="E108"/>
          <cell r="F108"/>
          <cell r="G108"/>
        </row>
        <row r="109">
          <cell r="A109" t="str">
            <v>C103</v>
          </cell>
          <cell r="B109"/>
          <cell r="C109"/>
          <cell r="D109"/>
          <cell r="E109"/>
          <cell r="F109"/>
          <cell r="G109"/>
        </row>
        <row r="110">
          <cell r="A110" t="str">
            <v>C104</v>
          </cell>
          <cell r="B110"/>
          <cell r="C110"/>
          <cell r="D110"/>
          <cell r="E110"/>
          <cell r="F110"/>
          <cell r="G110"/>
        </row>
        <row r="111">
          <cell r="A111" t="str">
            <v>C105</v>
          </cell>
          <cell r="B111"/>
          <cell r="C111"/>
          <cell r="D111"/>
          <cell r="E111"/>
          <cell r="F111"/>
          <cell r="G111"/>
        </row>
        <row r="112">
          <cell r="A112" t="str">
            <v>C106</v>
          </cell>
          <cell r="B112"/>
          <cell r="C112"/>
          <cell r="D112"/>
          <cell r="E112"/>
          <cell r="F112"/>
          <cell r="G112"/>
        </row>
        <row r="113">
          <cell r="A113" t="str">
            <v>C107</v>
          </cell>
          <cell r="B113"/>
          <cell r="C113"/>
          <cell r="D113"/>
          <cell r="E113"/>
          <cell r="F113"/>
          <cell r="G113"/>
        </row>
        <row r="114">
          <cell r="A114" t="str">
            <v>C108</v>
          </cell>
          <cell r="B114"/>
          <cell r="C114"/>
          <cell r="D114"/>
          <cell r="E114"/>
          <cell r="F114"/>
          <cell r="G114"/>
        </row>
        <row r="115">
          <cell r="A115" t="str">
            <v>C109</v>
          </cell>
          <cell r="B115"/>
          <cell r="C115"/>
          <cell r="D115"/>
          <cell r="E115"/>
          <cell r="F115"/>
          <cell r="G115"/>
        </row>
        <row r="116">
          <cell r="A116" t="str">
            <v>C110</v>
          </cell>
          <cell r="B116"/>
          <cell r="C116"/>
          <cell r="D116"/>
          <cell r="E116"/>
          <cell r="F116"/>
          <cell r="G116"/>
        </row>
        <row r="117">
          <cell r="A117" t="str">
            <v>C111</v>
          </cell>
          <cell r="B117"/>
          <cell r="C117"/>
          <cell r="D117"/>
          <cell r="E117"/>
          <cell r="F117"/>
          <cell r="G117"/>
        </row>
        <row r="118">
          <cell r="A118" t="str">
            <v>C112</v>
          </cell>
          <cell r="B118"/>
          <cell r="C118"/>
          <cell r="D118"/>
          <cell r="E118"/>
          <cell r="F118"/>
          <cell r="G118"/>
        </row>
        <row r="119">
          <cell r="A119" t="str">
            <v>C113</v>
          </cell>
          <cell r="B119"/>
          <cell r="C119"/>
          <cell r="D119"/>
          <cell r="E119"/>
          <cell r="F119"/>
          <cell r="G119"/>
        </row>
        <row r="120">
          <cell r="A120" t="str">
            <v>C114</v>
          </cell>
          <cell r="B120"/>
          <cell r="C120"/>
          <cell r="D120"/>
          <cell r="E120"/>
          <cell r="F120"/>
          <cell r="G120"/>
        </row>
        <row r="121">
          <cell r="A121" t="str">
            <v>C115</v>
          </cell>
          <cell r="B121"/>
          <cell r="C121"/>
          <cell r="D121"/>
          <cell r="E121"/>
          <cell r="F121"/>
          <cell r="G121"/>
        </row>
        <row r="122">
          <cell r="A122" t="str">
            <v>C116</v>
          </cell>
          <cell r="B122"/>
          <cell r="C122"/>
          <cell r="D122"/>
          <cell r="E122"/>
          <cell r="F122"/>
          <cell r="G122"/>
        </row>
        <row r="123">
          <cell r="A123" t="str">
            <v>C117</v>
          </cell>
          <cell r="B123"/>
          <cell r="C123"/>
          <cell r="D123"/>
          <cell r="E123"/>
          <cell r="F123"/>
          <cell r="G123"/>
        </row>
        <row r="124">
          <cell r="A124" t="str">
            <v>C118</v>
          </cell>
          <cell r="B124"/>
          <cell r="C124"/>
          <cell r="D124"/>
          <cell r="E124"/>
          <cell r="F124"/>
          <cell r="G124"/>
        </row>
        <row r="125">
          <cell r="A125" t="str">
            <v>C119</v>
          </cell>
          <cell r="B125"/>
          <cell r="C125"/>
          <cell r="D125"/>
          <cell r="E125"/>
          <cell r="F125"/>
          <cell r="G125"/>
        </row>
        <row r="126">
          <cell r="A126" t="str">
            <v>C120</v>
          </cell>
          <cell r="B126"/>
          <cell r="C126"/>
          <cell r="D126"/>
          <cell r="E126"/>
          <cell r="F126"/>
          <cell r="G126"/>
        </row>
        <row r="127">
          <cell r="A127" t="str">
            <v>C121</v>
          </cell>
          <cell r="B127"/>
          <cell r="C127"/>
          <cell r="D127"/>
          <cell r="E127"/>
          <cell r="F127"/>
          <cell r="G127"/>
        </row>
        <row r="128">
          <cell r="A128" t="str">
            <v>C122</v>
          </cell>
          <cell r="B128"/>
          <cell r="C128"/>
          <cell r="D128"/>
          <cell r="E128"/>
          <cell r="F128"/>
          <cell r="G128"/>
        </row>
        <row r="129">
          <cell r="A129" t="str">
            <v>C123</v>
          </cell>
          <cell r="B129"/>
          <cell r="C129"/>
          <cell r="D129"/>
          <cell r="E129"/>
          <cell r="F129"/>
          <cell r="G129"/>
        </row>
        <row r="130">
          <cell r="A130" t="str">
            <v>C124</v>
          </cell>
          <cell r="B130"/>
          <cell r="C130"/>
          <cell r="D130"/>
          <cell r="E130"/>
          <cell r="F130"/>
          <cell r="G130"/>
        </row>
        <row r="131">
          <cell r="A131" t="str">
            <v>C125</v>
          </cell>
          <cell r="B131"/>
          <cell r="C131"/>
          <cell r="D131"/>
          <cell r="E131"/>
          <cell r="F131"/>
          <cell r="G131"/>
        </row>
        <row r="132">
          <cell r="A132" t="str">
            <v>C126</v>
          </cell>
          <cell r="B132"/>
          <cell r="C132"/>
          <cell r="D132"/>
          <cell r="E132"/>
          <cell r="F132"/>
          <cell r="G132"/>
        </row>
        <row r="133">
          <cell r="A133" t="str">
            <v>C127</v>
          </cell>
          <cell r="B133"/>
          <cell r="C133"/>
          <cell r="D133"/>
          <cell r="E133"/>
          <cell r="F133"/>
          <cell r="G133"/>
        </row>
        <row r="134">
          <cell r="A134" t="str">
            <v>C128</v>
          </cell>
          <cell r="B134"/>
          <cell r="C134"/>
          <cell r="D134"/>
          <cell r="E134"/>
          <cell r="F134"/>
          <cell r="G134"/>
        </row>
        <row r="135">
          <cell r="A135" t="str">
            <v>C129</v>
          </cell>
          <cell r="B135"/>
          <cell r="C135"/>
          <cell r="D135"/>
          <cell r="E135"/>
          <cell r="F135"/>
          <cell r="G135"/>
        </row>
        <row r="136">
          <cell r="A136" t="str">
            <v>C130</v>
          </cell>
          <cell r="B136"/>
          <cell r="C136"/>
          <cell r="D136"/>
          <cell r="E136"/>
          <cell r="F136"/>
          <cell r="G136"/>
        </row>
        <row r="137">
          <cell r="A137" t="str">
            <v>C131</v>
          </cell>
          <cell r="B137"/>
          <cell r="C137"/>
          <cell r="D137"/>
          <cell r="E137"/>
          <cell r="F137"/>
          <cell r="G137"/>
        </row>
        <row r="138">
          <cell r="A138" t="str">
            <v>C132</v>
          </cell>
          <cell r="B138"/>
          <cell r="C138"/>
          <cell r="D138"/>
          <cell r="E138"/>
          <cell r="F138"/>
          <cell r="G138"/>
        </row>
        <row r="139">
          <cell r="A139" t="str">
            <v>C133</v>
          </cell>
          <cell r="B139"/>
          <cell r="C139"/>
          <cell r="D139"/>
          <cell r="E139"/>
          <cell r="F139"/>
          <cell r="G139"/>
        </row>
        <row r="140">
          <cell r="A140" t="str">
            <v>C134</v>
          </cell>
          <cell r="B140"/>
          <cell r="C140"/>
          <cell r="D140"/>
          <cell r="E140"/>
          <cell r="F140"/>
          <cell r="G140"/>
        </row>
        <row r="141">
          <cell r="A141" t="str">
            <v>C135</v>
          </cell>
          <cell r="B141"/>
          <cell r="C141"/>
          <cell r="D141"/>
          <cell r="E141"/>
          <cell r="F141"/>
          <cell r="G141"/>
        </row>
        <row r="142">
          <cell r="A142" t="str">
            <v>C136</v>
          </cell>
          <cell r="B142"/>
          <cell r="C142"/>
          <cell r="D142"/>
          <cell r="E142"/>
          <cell r="F142"/>
          <cell r="G142"/>
        </row>
        <row r="143">
          <cell r="A143" t="str">
            <v>C137</v>
          </cell>
          <cell r="B143"/>
          <cell r="C143"/>
          <cell r="D143"/>
          <cell r="E143"/>
          <cell r="F143"/>
          <cell r="G143"/>
        </row>
        <row r="144">
          <cell r="A144" t="str">
            <v>C138</v>
          </cell>
          <cell r="B144"/>
          <cell r="C144"/>
          <cell r="D144"/>
          <cell r="E144"/>
          <cell r="F144"/>
          <cell r="G144"/>
        </row>
        <row r="145">
          <cell r="A145" t="str">
            <v>C139</v>
          </cell>
          <cell r="B145"/>
          <cell r="C145"/>
          <cell r="D145"/>
          <cell r="E145"/>
          <cell r="F145"/>
          <cell r="G145"/>
        </row>
        <row r="146">
          <cell r="A146" t="str">
            <v>C140</v>
          </cell>
          <cell r="B146"/>
          <cell r="C146"/>
          <cell r="D146"/>
          <cell r="E146"/>
          <cell r="F146"/>
          <cell r="G146"/>
        </row>
        <row r="147">
          <cell r="A147" t="str">
            <v>C141</v>
          </cell>
          <cell r="B147"/>
          <cell r="C147"/>
          <cell r="D147"/>
          <cell r="E147"/>
          <cell r="F147"/>
          <cell r="G147"/>
        </row>
        <row r="148">
          <cell r="A148" t="str">
            <v>C142</v>
          </cell>
          <cell r="B148"/>
          <cell r="C148"/>
          <cell r="D148"/>
          <cell r="E148"/>
          <cell r="F148"/>
          <cell r="G148"/>
        </row>
        <row r="149">
          <cell r="A149" t="str">
            <v>C143</v>
          </cell>
          <cell r="B149"/>
          <cell r="C149"/>
          <cell r="D149"/>
          <cell r="E149"/>
          <cell r="F149"/>
          <cell r="G149"/>
        </row>
        <row r="150">
          <cell r="A150" t="str">
            <v>C144</v>
          </cell>
          <cell r="B150"/>
          <cell r="C150"/>
          <cell r="D150"/>
          <cell r="E150"/>
          <cell r="F150"/>
          <cell r="G150"/>
        </row>
        <row r="151">
          <cell r="A151" t="str">
            <v>C145</v>
          </cell>
          <cell r="B151"/>
          <cell r="C151"/>
          <cell r="D151"/>
          <cell r="E151"/>
          <cell r="F151"/>
          <cell r="G151"/>
        </row>
        <row r="152">
          <cell r="A152" t="str">
            <v>C146</v>
          </cell>
          <cell r="B152"/>
          <cell r="C152"/>
          <cell r="D152"/>
          <cell r="E152"/>
          <cell r="F152"/>
          <cell r="G152"/>
        </row>
        <row r="153">
          <cell r="A153" t="str">
            <v>C147</v>
          </cell>
          <cell r="B153"/>
          <cell r="C153"/>
          <cell r="D153"/>
          <cell r="E153"/>
          <cell r="F153"/>
          <cell r="G153"/>
        </row>
        <row r="154">
          <cell r="A154" t="str">
            <v>C148</v>
          </cell>
          <cell r="B154"/>
          <cell r="C154"/>
          <cell r="D154"/>
          <cell r="E154"/>
          <cell r="F154"/>
          <cell r="G154"/>
        </row>
        <row r="155">
          <cell r="A155" t="str">
            <v>C149</v>
          </cell>
          <cell r="B155"/>
          <cell r="C155"/>
          <cell r="D155"/>
          <cell r="E155"/>
          <cell r="F155"/>
          <cell r="G155"/>
        </row>
        <row r="156">
          <cell r="A156" t="str">
            <v>C150</v>
          </cell>
          <cell r="B156"/>
          <cell r="C156"/>
          <cell r="D156"/>
          <cell r="E156"/>
          <cell r="F156"/>
          <cell r="G156"/>
        </row>
        <row r="157">
          <cell r="A157" t="str">
            <v>C151</v>
          </cell>
          <cell r="B157"/>
          <cell r="C157"/>
          <cell r="D157"/>
          <cell r="E157"/>
          <cell r="F157"/>
          <cell r="G157"/>
        </row>
        <row r="158">
          <cell r="A158" t="str">
            <v>C152</v>
          </cell>
          <cell r="B158"/>
          <cell r="C158"/>
          <cell r="D158"/>
          <cell r="E158"/>
          <cell r="F158"/>
          <cell r="G158"/>
        </row>
        <row r="159">
          <cell r="A159" t="str">
            <v>C153</v>
          </cell>
          <cell r="B159"/>
          <cell r="C159"/>
          <cell r="D159"/>
          <cell r="E159"/>
          <cell r="F159"/>
          <cell r="G159"/>
        </row>
        <row r="160">
          <cell r="A160" t="str">
            <v>C154</v>
          </cell>
          <cell r="B160"/>
          <cell r="C160"/>
          <cell r="D160"/>
          <cell r="E160"/>
          <cell r="F160"/>
          <cell r="G160"/>
        </row>
        <row r="161">
          <cell r="A161" t="str">
            <v>C155</v>
          </cell>
          <cell r="B161"/>
          <cell r="C161"/>
          <cell r="D161"/>
          <cell r="E161"/>
          <cell r="F161"/>
          <cell r="G161"/>
        </row>
        <row r="162">
          <cell r="A162" t="str">
            <v>C156</v>
          </cell>
          <cell r="B162"/>
          <cell r="C162"/>
          <cell r="D162"/>
          <cell r="E162"/>
          <cell r="F162"/>
          <cell r="G162"/>
        </row>
        <row r="163">
          <cell r="A163" t="str">
            <v>C157</v>
          </cell>
          <cell r="B163"/>
          <cell r="C163"/>
          <cell r="D163"/>
          <cell r="E163"/>
          <cell r="F163"/>
          <cell r="G163"/>
        </row>
        <row r="164">
          <cell r="A164" t="str">
            <v>C158</v>
          </cell>
          <cell r="B164"/>
          <cell r="C164"/>
          <cell r="D164"/>
          <cell r="E164"/>
          <cell r="F164"/>
          <cell r="G164"/>
        </row>
        <row r="165">
          <cell r="A165" t="str">
            <v>C159</v>
          </cell>
          <cell r="B165"/>
          <cell r="C165"/>
          <cell r="D165"/>
          <cell r="E165"/>
          <cell r="F165"/>
          <cell r="G165"/>
        </row>
        <row r="166">
          <cell r="A166" t="str">
            <v>C160</v>
          </cell>
          <cell r="B166"/>
          <cell r="C166"/>
          <cell r="D166"/>
          <cell r="E166"/>
          <cell r="F166"/>
          <cell r="G166"/>
        </row>
        <row r="167">
          <cell r="A167" t="str">
            <v>C161</v>
          </cell>
          <cell r="B167"/>
          <cell r="C167"/>
          <cell r="D167"/>
          <cell r="E167"/>
          <cell r="F167"/>
          <cell r="G167"/>
        </row>
        <row r="168">
          <cell r="A168" t="str">
            <v>C162</v>
          </cell>
          <cell r="B168"/>
          <cell r="C168"/>
          <cell r="D168"/>
          <cell r="E168"/>
          <cell r="F168"/>
          <cell r="G168"/>
        </row>
        <row r="169">
          <cell r="A169" t="str">
            <v>C163</v>
          </cell>
          <cell r="B169"/>
          <cell r="C169"/>
          <cell r="D169"/>
          <cell r="E169"/>
          <cell r="F169"/>
          <cell r="G169"/>
        </row>
        <row r="170">
          <cell r="A170" t="str">
            <v>C164</v>
          </cell>
          <cell r="B170"/>
          <cell r="C170"/>
          <cell r="D170"/>
          <cell r="E170"/>
          <cell r="F170"/>
          <cell r="G170"/>
        </row>
        <row r="171">
          <cell r="A171" t="str">
            <v>C165</v>
          </cell>
          <cell r="B171"/>
          <cell r="C171"/>
          <cell r="D171"/>
          <cell r="E171"/>
          <cell r="F171"/>
          <cell r="G171"/>
        </row>
        <row r="172">
          <cell r="A172" t="str">
            <v>C166</v>
          </cell>
          <cell r="B172"/>
          <cell r="C172"/>
          <cell r="D172"/>
          <cell r="E172"/>
          <cell r="F172"/>
          <cell r="G172"/>
        </row>
        <row r="173">
          <cell r="A173" t="str">
            <v>C167</v>
          </cell>
          <cell r="B173"/>
          <cell r="C173"/>
          <cell r="D173"/>
          <cell r="E173"/>
          <cell r="F173"/>
          <cell r="G173"/>
        </row>
        <row r="174">
          <cell r="A174" t="str">
            <v>C168</v>
          </cell>
          <cell r="B174"/>
          <cell r="C174"/>
          <cell r="D174"/>
          <cell r="E174"/>
          <cell r="F174"/>
          <cell r="G174"/>
        </row>
        <row r="175">
          <cell r="A175" t="str">
            <v>C169</v>
          </cell>
          <cell r="B175"/>
          <cell r="C175"/>
          <cell r="D175"/>
          <cell r="E175"/>
          <cell r="F175"/>
          <cell r="G175"/>
        </row>
        <row r="176">
          <cell r="A176" t="str">
            <v>C170</v>
          </cell>
          <cell r="B176"/>
          <cell r="C176"/>
          <cell r="D176"/>
          <cell r="E176"/>
          <cell r="F176"/>
          <cell r="G176"/>
        </row>
        <row r="177">
          <cell r="A177" t="str">
            <v>C171</v>
          </cell>
          <cell r="B177"/>
          <cell r="C177"/>
          <cell r="D177"/>
          <cell r="E177"/>
          <cell r="F177"/>
          <cell r="G177"/>
        </row>
        <row r="178">
          <cell r="A178" t="str">
            <v>C172</v>
          </cell>
          <cell r="B178"/>
          <cell r="C178"/>
          <cell r="D178"/>
          <cell r="E178"/>
          <cell r="F178"/>
          <cell r="G178"/>
        </row>
        <row r="179">
          <cell r="A179" t="str">
            <v>C173</v>
          </cell>
          <cell r="B179"/>
          <cell r="C179"/>
          <cell r="D179"/>
          <cell r="E179"/>
          <cell r="F179"/>
          <cell r="G179"/>
        </row>
        <row r="180">
          <cell r="A180" t="str">
            <v>C174</v>
          </cell>
          <cell r="B180"/>
          <cell r="C180"/>
          <cell r="D180"/>
          <cell r="E180"/>
          <cell r="F180"/>
          <cell r="G180"/>
        </row>
        <row r="181">
          <cell r="A181" t="str">
            <v>C175</v>
          </cell>
          <cell r="B181"/>
          <cell r="C181"/>
          <cell r="D181"/>
          <cell r="E181"/>
          <cell r="F181"/>
          <cell r="G181"/>
        </row>
        <row r="182">
          <cell r="A182" t="str">
            <v>C176</v>
          </cell>
          <cell r="B182"/>
          <cell r="C182"/>
          <cell r="D182"/>
          <cell r="E182"/>
          <cell r="F182"/>
          <cell r="G182"/>
        </row>
        <row r="183">
          <cell r="A183" t="str">
            <v>C177</v>
          </cell>
          <cell r="B183"/>
          <cell r="C183"/>
          <cell r="D183"/>
          <cell r="E183"/>
          <cell r="F183"/>
          <cell r="G183"/>
        </row>
        <row r="184">
          <cell r="A184" t="str">
            <v>C178</v>
          </cell>
          <cell r="B184"/>
          <cell r="C184"/>
          <cell r="D184"/>
          <cell r="E184"/>
          <cell r="F184"/>
          <cell r="G184"/>
        </row>
        <row r="185">
          <cell r="A185" t="str">
            <v>C179</v>
          </cell>
          <cell r="B185"/>
          <cell r="C185"/>
          <cell r="D185"/>
          <cell r="E185"/>
          <cell r="F185"/>
          <cell r="G185"/>
        </row>
        <row r="186">
          <cell r="A186" t="str">
            <v>C180</v>
          </cell>
          <cell r="B186"/>
          <cell r="C186"/>
          <cell r="D186"/>
          <cell r="E186"/>
          <cell r="F186"/>
          <cell r="G186"/>
        </row>
        <row r="187">
          <cell r="A187" t="str">
            <v>C181</v>
          </cell>
          <cell r="B187"/>
          <cell r="C187"/>
          <cell r="D187"/>
          <cell r="E187"/>
          <cell r="F187"/>
          <cell r="G187"/>
        </row>
        <row r="188">
          <cell r="A188" t="str">
            <v>C182</v>
          </cell>
          <cell r="B188"/>
          <cell r="C188"/>
          <cell r="D188"/>
          <cell r="E188"/>
          <cell r="F188"/>
          <cell r="G188"/>
        </row>
        <row r="189">
          <cell r="A189" t="str">
            <v>C183</v>
          </cell>
          <cell r="B189"/>
          <cell r="C189"/>
          <cell r="D189"/>
          <cell r="E189"/>
          <cell r="F189"/>
          <cell r="G189"/>
        </row>
        <row r="190">
          <cell r="A190" t="str">
            <v>C184</v>
          </cell>
          <cell r="B190"/>
          <cell r="C190"/>
          <cell r="D190"/>
          <cell r="E190"/>
          <cell r="F190"/>
          <cell r="G190"/>
        </row>
        <row r="191">
          <cell r="A191" t="str">
            <v>C185</v>
          </cell>
          <cell r="B191"/>
          <cell r="C191"/>
          <cell r="D191"/>
          <cell r="E191"/>
          <cell r="F191"/>
          <cell r="G191"/>
        </row>
        <row r="192">
          <cell r="A192" t="str">
            <v>C186</v>
          </cell>
          <cell r="B192"/>
          <cell r="C192"/>
          <cell r="D192"/>
          <cell r="E192"/>
          <cell r="F192"/>
          <cell r="G192"/>
        </row>
        <row r="193">
          <cell r="A193" t="str">
            <v>C187</v>
          </cell>
          <cell r="B193"/>
          <cell r="C193"/>
          <cell r="D193"/>
          <cell r="E193"/>
          <cell r="F193"/>
          <cell r="G193"/>
        </row>
        <row r="194">
          <cell r="A194" t="str">
            <v>C188</v>
          </cell>
          <cell r="B194"/>
          <cell r="C194"/>
          <cell r="D194"/>
          <cell r="E194"/>
          <cell r="F194"/>
          <cell r="G194"/>
        </row>
        <row r="195">
          <cell r="A195" t="str">
            <v>C189</v>
          </cell>
          <cell r="B195"/>
          <cell r="C195"/>
          <cell r="D195"/>
          <cell r="E195"/>
          <cell r="F195"/>
          <cell r="G195"/>
        </row>
        <row r="196">
          <cell r="A196" t="str">
            <v>C190</v>
          </cell>
          <cell r="B196"/>
          <cell r="C196"/>
          <cell r="D196"/>
          <cell r="E196"/>
          <cell r="F196"/>
          <cell r="G196"/>
        </row>
        <row r="197">
          <cell r="A197" t="str">
            <v>C191</v>
          </cell>
          <cell r="B197"/>
          <cell r="C197"/>
          <cell r="D197"/>
          <cell r="E197"/>
          <cell r="F197"/>
          <cell r="G197"/>
        </row>
        <row r="198">
          <cell r="A198" t="str">
            <v>C192</v>
          </cell>
          <cell r="B198"/>
          <cell r="C198"/>
          <cell r="D198"/>
          <cell r="E198"/>
          <cell r="F198"/>
          <cell r="G198"/>
        </row>
        <row r="199">
          <cell r="A199" t="str">
            <v>C193</v>
          </cell>
          <cell r="B199"/>
          <cell r="C199"/>
          <cell r="D199"/>
          <cell r="E199"/>
          <cell r="F199"/>
          <cell r="G199"/>
        </row>
        <row r="200">
          <cell r="A200" t="str">
            <v>C194</v>
          </cell>
          <cell r="B200"/>
          <cell r="C200"/>
          <cell r="D200"/>
          <cell r="E200"/>
          <cell r="F200"/>
          <cell r="G200"/>
        </row>
        <row r="201">
          <cell r="A201" t="str">
            <v>C195</v>
          </cell>
          <cell r="B201"/>
          <cell r="C201"/>
          <cell r="D201"/>
          <cell r="E201"/>
          <cell r="F201"/>
          <cell r="G201"/>
        </row>
        <row r="202">
          <cell r="A202" t="str">
            <v>C196</v>
          </cell>
          <cell r="B202"/>
          <cell r="C202"/>
          <cell r="D202"/>
          <cell r="E202"/>
          <cell r="F202"/>
          <cell r="G202"/>
        </row>
        <row r="203">
          <cell r="A203" t="str">
            <v>C197</v>
          </cell>
          <cell r="B203"/>
          <cell r="C203"/>
          <cell r="D203"/>
          <cell r="E203"/>
          <cell r="F203"/>
          <cell r="G203"/>
        </row>
        <row r="204">
          <cell r="A204" t="str">
            <v>C198</v>
          </cell>
          <cell r="B204"/>
          <cell r="C204"/>
          <cell r="D204"/>
          <cell r="E204"/>
          <cell r="F204"/>
          <cell r="G204"/>
        </row>
        <row r="205">
          <cell r="A205" t="str">
            <v>C199</v>
          </cell>
          <cell r="B205"/>
          <cell r="C205"/>
          <cell r="D205"/>
          <cell r="E205"/>
          <cell r="F205"/>
          <cell r="G205"/>
        </row>
        <row r="206">
          <cell r="A206" t="str">
            <v>C200</v>
          </cell>
          <cell r="B206"/>
          <cell r="C206"/>
          <cell r="D206"/>
          <cell r="E206"/>
          <cell r="F206"/>
          <cell r="G206"/>
        </row>
        <row r="207">
          <cell r="A207" t="str">
            <v>SL001</v>
          </cell>
          <cell r="B207" t="str">
            <v>فروشنده</v>
          </cell>
          <cell r="C207"/>
          <cell r="D207" t="str">
            <v>قم-سید حسین حسینی</v>
          </cell>
          <cell r="E207"/>
          <cell r="F207">
            <v>9125528445</v>
          </cell>
          <cell r="G207" t="str">
            <v>قم-میدان تره بار-بلوک4-غرفه22</v>
          </cell>
        </row>
        <row r="208">
          <cell r="A208" t="str">
            <v>SL002</v>
          </cell>
          <cell r="B208" t="str">
            <v>فروشنده</v>
          </cell>
          <cell r="C208"/>
          <cell r="D208" t="str">
            <v>مشهد-محمد توکلی</v>
          </cell>
          <cell r="E208"/>
          <cell r="F208">
            <v>9154018185</v>
          </cell>
          <cell r="G208" t="str">
            <v>مشهد-میدان بارسپاد-تالار6-حجره15</v>
          </cell>
        </row>
        <row r="209">
          <cell r="A209" t="str">
            <v>SL003</v>
          </cell>
          <cell r="B209" t="str">
            <v>فروشنده</v>
          </cell>
          <cell r="C209"/>
          <cell r="D209" t="str">
            <v>اراک-پوریا خوشنمکیان</v>
          </cell>
          <cell r="E209"/>
          <cell r="F209">
            <v>9369182495</v>
          </cell>
          <cell r="G209" t="str">
            <v>اراک-میدان بار-فاز2-سالن شهید رجایی-حجره6</v>
          </cell>
        </row>
        <row r="210">
          <cell r="A210" t="str">
            <v>SL004</v>
          </cell>
          <cell r="B210" t="str">
            <v>فروشنده</v>
          </cell>
          <cell r="C210"/>
          <cell r="D210" t="str">
            <v>نورزاده-تبریز</v>
          </cell>
          <cell r="E210"/>
          <cell r="F210"/>
          <cell r="G210"/>
        </row>
        <row r="211">
          <cell r="A211" t="str">
            <v>SL005</v>
          </cell>
          <cell r="B211" t="str">
            <v>فروشنده</v>
          </cell>
          <cell r="C211"/>
          <cell r="D211" t="str">
            <v>زنجان-خانی</v>
          </cell>
          <cell r="E211"/>
          <cell r="F211"/>
          <cell r="G211"/>
        </row>
        <row r="212">
          <cell r="A212" t="str">
            <v>SL006</v>
          </cell>
          <cell r="B212"/>
          <cell r="C212"/>
          <cell r="D212"/>
          <cell r="E212"/>
          <cell r="F212"/>
          <cell r="G212"/>
        </row>
        <row r="213">
          <cell r="A213" t="str">
            <v>SL007</v>
          </cell>
          <cell r="B213"/>
          <cell r="C213"/>
          <cell r="D213"/>
          <cell r="E213"/>
          <cell r="F213"/>
          <cell r="G213"/>
        </row>
        <row r="214">
          <cell r="A214" t="str">
            <v>SL008</v>
          </cell>
          <cell r="B214"/>
          <cell r="C214"/>
          <cell r="D214"/>
          <cell r="E214"/>
          <cell r="F214"/>
          <cell r="G214"/>
        </row>
        <row r="215">
          <cell r="A215" t="str">
            <v>SL009</v>
          </cell>
          <cell r="B215"/>
          <cell r="C215"/>
          <cell r="D215"/>
          <cell r="E215"/>
          <cell r="F215"/>
          <cell r="G215"/>
        </row>
        <row r="216">
          <cell r="A216" t="str">
            <v>SL010</v>
          </cell>
          <cell r="B216"/>
          <cell r="C216"/>
          <cell r="D216"/>
          <cell r="E216"/>
          <cell r="F216"/>
          <cell r="G216"/>
        </row>
        <row r="217">
          <cell r="A217" t="str">
            <v>SL011</v>
          </cell>
          <cell r="B217"/>
          <cell r="C217"/>
          <cell r="D217"/>
          <cell r="E217"/>
          <cell r="F217"/>
          <cell r="G217"/>
        </row>
        <row r="218">
          <cell r="A218" t="str">
            <v>SL012</v>
          </cell>
          <cell r="B218"/>
          <cell r="C218"/>
          <cell r="D218"/>
          <cell r="E218"/>
          <cell r="F218"/>
          <cell r="G218"/>
        </row>
        <row r="219">
          <cell r="A219" t="str">
            <v>SL013</v>
          </cell>
          <cell r="B219"/>
          <cell r="C219"/>
          <cell r="D219"/>
          <cell r="E219"/>
          <cell r="F219"/>
          <cell r="G219"/>
        </row>
        <row r="220">
          <cell r="A220" t="str">
            <v>SL014</v>
          </cell>
          <cell r="B220"/>
          <cell r="C220"/>
          <cell r="D220"/>
          <cell r="E220"/>
          <cell r="F220"/>
          <cell r="G220"/>
        </row>
        <row r="221">
          <cell r="A221" t="str">
            <v>SL015</v>
          </cell>
          <cell r="B221"/>
          <cell r="C221"/>
          <cell r="D221"/>
          <cell r="E221"/>
          <cell r="F221"/>
          <cell r="G221"/>
        </row>
        <row r="222">
          <cell r="A222" t="str">
            <v>SL016</v>
          </cell>
          <cell r="B222"/>
          <cell r="C222"/>
          <cell r="D222"/>
          <cell r="E222"/>
          <cell r="F222"/>
          <cell r="G222"/>
        </row>
        <row r="223">
          <cell r="A223" t="str">
            <v>SL017</v>
          </cell>
          <cell r="B223"/>
          <cell r="C223"/>
          <cell r="D223"/>
          <cell r="E223"/>
          <cell r="F223"/>
          <cell r="G223"/>
        </row>
        <row r="224">
          <cell r="A224" t="str">
            <v>SL018</v>
          </cell>
          <cell r="B224"/>
          <cell r="C224"/>
          <cell r="D224"/>
          <cell r="E224"/>
          <cell r="F224"/>
          <cell r="G224"/>
        </row>
        <row r="225">
          <cell r="A225" t="str">
            <v>SL019</v>
          </cell>
          <cell r="B225"/>
          <cell r="C225"/>
          <cell r="D225"/>
          <cell r="E225"/>
          <cell r="F225"/>
          <cell r="G225"/>
        </row>
        <row r="226">
          <cell r="A226" t="str">
            <v>SL020</v>
          </cell>
          <cell r="B226"/>
          <cell r="C226"/>
          <cell r="D226"/>
          <cell r="E226"/>
          <cell r="F226"/>
          <cell r="G226"/>
        </row>
        <row r="227">
          <cell r="A227" t="str">
            <v>SL021</v>
          </cell>
          <cell r="B227"/>
          <cell r="C227"/>
          <cell r="D227"/>
          <cell r="E227"/>
          <cell r="F227"/>
          <cell r="G227"/>
        </row>
        <row r="228">
          <cell r="A228" t="str">
            <v>SL022</v>
          </cell>
          <cell r="B228"/>
          <cell r="C228"/>
          <cell r="D228"/>
          <cell r="E228"/>
          <cell r="F228"/>
          <cell r="G228"/>
        </row>
        <row r="229">
          <cell r="A229" t="str">
            <v>SL023</v>
          </cell>
          <cell r="B229"/>
          <cell r="C229"/>
          <cell r="D229"/>
          <cell r="E229"/>
          <cell r="F229"/>
          <cell r="G229"/>
        </row>
        <row r="230">
          <cell r="A230" t="str">
            <v>SL024</v>
          </cell>
          <cell r="B230"/>
          <cell r="C230"/>
          <cell r="D230"/>
          <cell r="E230"/>
          <cell r="F230"/>
          <cell r="G230"/>
        </row>
        <row r="231">
          <cell r="A231" t="str">
            <v>SL025</v>
          </cell>
          <cell r="B231"/>
          <cell r="C231"/>
          <cell r="D231"/>
          <cell r="E231"/>
          <cell r="F231"/>
          <cell r="G231"/>
        </row>
        <row r="232">
          <cell r="A232" t="str">
            <v>SL026</v>
          </cell>
          <cell r="B232"/>
          <cell r="C232"/>
          <cell r="D232"/>
          <cell r="E232"/>
          <cell r="F232"/>
          <cell r="G232"/>
        </row>
        <row r="233">
          <cell r="A233" t="str">
            <v>SL027</v>
          </cell>
          <cell r="B233"/>
          <cell r="C233"/>
          <cell r="D233"/>
          <cell r="E233"/>
          <cell r="F233"/>
          <cell r="G233"/>
        </row>
        <row r="234">
          <cell r="A234" t="str">
            <v>SL028</v>
          </cell>
          <cell r="B234"/>
          <cell r="C234"/>
          <cell r="D234"/>
          <cell r="E234"/>
          <cell r="F234"/>
          <cell r="G234"/>
        </row>
        <row r="235">
          <cell r="A235" t="str">
            <v>SL029</v>
          </cell>
          <cell r="B235"/>
          <cell r="C235"/>
          <cell r="D235"/>
          <cell r="E235"/>
          <cell r="F235"/>
          <cell r="G235"/>
        </row>
        <row r="236">
          <cell r="A236" t="str">
            <v>SL030</v>
          </cell>
          <cell r="B236"/>
          <cell r="C236"/>
          <cell r="D236"/>
          <cell r="E236"/>
          <cell r="F236"/>
          <cell r="G236"/>
        </row>
        <row r="237">
          <cell r="A237" t="str">
            <v>SL031</v>
          </cell>
          <cell r="B237"/>
          <cell r="C237"/>
          <cell r="D237"/>
          <cell r="E237"/>
          <cell r="F237"/>
          <cell r="G237"/>
        </row>
        <row r="238">
          <cell r="A238" t="str">
            <v>SL032</v>
          </cell>
          <cell r="B238"/>
          <cell r="C238"/>
          <cell r="D238"/>
          <cell r="E238"/>
          <cell r="F238"/>
          <cell r="G238"/>
        </row>
        <row r="239">
          <cell r="A239" t="str">
            <v>SL033</v>
          </cell>
          <cell r="B239"/>
          <cell r="C239"/>
          <cell r="D239"/>
          <cell r="E239"/>
          <cell r="F239"/>
          <cell r="G239"/>
        </row>
        <row r="240">
          <cell r="A240" t="str">
            <v>SL034</v>
          </cell>
          <cell r="B240"/>
          <cell r="C240"/>
          <cell r="D240"/>
          <cell r="E240"/>
          <cell r="F240"/>
          <cell r="G240"/>
        </row>
        <row r="241">
          <cell r="A241" t="str">
            <v>SL035</v>
          </cell>
          <cell r="B241"/>
          <cell r="C241"/>
          <cell r="D241"/>
          <cell r="E241"/>
          <cell r="F241"/>
          <cell r="G241"/>
        </row>
        <row r="242">
          <cell r="A242" t="str">
            <v>SL036</v>
          </cell>
          <cell r="B242"/>
          <cell r="C242"/>
          <cell r="D242"/>
          <cell r="E242"/>
          <cell r="F242"/>
          <cell r="G242"/>
        </row>
        <row r="243">
          <cell r="A243" t="str">
            <v>SL037</v>
          </cell>
          <cell r="B243"/>
          <cell r="C243"/>
          <cell r="D243"/>
          <cell r="E243"/>
          <cell r="F243"/>
          <cell r="G243"/>
        </row>
        <row r="244">
          <cell r="A244" t="str">
            <v>SL038</v>
          </cell>
          <cell r="B244"/>
          <cell r="C244"/>
          <cell r="D244"/>
          <cell r="E244"/>
          <cell r="F244"/>
          <cell r="G244"/>
        </row>
        <row r="245">
          <cell r="A245" t="str">
            <v>SL039</v>
          </cell>
          <cell r="B245"/>
          <cell r="C245"/>
          <cell r="D245"/>
          <cell r="E245"/>
          <cell r="F245"/>
          <cell r="G245"/>
        </row>
        <row r="246">
          <cell r="A246" t="str">
            <v>SL040</v>
          </cell>
          <cell r="B246"/>
          <cell r="C246"/>
          <cell r="D246"/>
          <cell r="E246"/>
          <cell r="F246"/>
          <cell r="G246"/>
        </row>
        <row r="247">
          <cell r="A247" t="str">
            <v>SL041</v>
          </cell>
          <cell r="B247"/>
          <cell r="C247"/>
          <cell r="D247"/>
          <cell r="E247"/>
          <cell r="F247"/>
          <cell r="G247"/>
        </row>
        <row r="248">
          <cell r="A248" t="str">
            <v>SL042</v>
          </cell>
          <cell r="B248"/>
          <cell r="C248"/>
          <cell r="D248"/>
          <cell r="E248"/>
          <cell r="F248"/>
          <cell r="G248"/>
        </row>
        <row r="249">
          <cell r="A249" t="str">
            <v>SL043</v>
          </cell>
          <cell r="B249"/>
          <cell r="C249"/>
          <cell r="D249"/>
          <cell r="E249"/>
          <cell r="F249"/>
          <cell r="G249"/>
        </row>
        <row r="250">
          <cell r="A250" t="str">
            <v>SL044</v>
          </cell>
          <cell r="B250"/>
          <cell r="C250"/>
          <cell r="D250"/>
          <cell r="E250"/>
          <cell r="F250"/>
          <cell r="G250"/>
        </row>
        <row r="251">
          <cell r="A251" t="str">
            <v>SL045</v>
          </cell>
          <cell r="B251"/>
          <cell r="C251"/>
          <cell r="D251"/>
          <cell r="E251"/>
          <cell r="F251"/>
          <cell r="G251"/>
        </row>
        <row r="252">
          <cell r="A252" t="str">
            <v>SL046</v>
          </cell>
          <cell r="B252"/>
          <cell r="C252"/>
          <cell r="D252"/>
          <cell r="E252"/>
          <cell r="F252"/>
          <cell r="G252"/>
        </row>
        <row r="253">
          <cell r="A253" t="str">
            <v>SL047</v>
          </cell>
          <cell r="B253"/>
          <cell r="C253"/>
          <cell r="D253"/>
          <cell r="E253"/>
          <cell r="F253"/>
          <cell r="G253"/>
        </row>
        <row r="254">
          <cell r="A254" t="str">
            <v>SL048</v>
          </cell>
          <cell r="B254"/>
          <cell r="C254"/>
          <cell r="D254"/>
          <cell r="E254"/>
          <cell r="F254"/>
          <cell r="G254"/>
        </row>
        <row r="255">
          <cell r="A255" t="str">
            <v>SL049</v>
          </cell>
          <cell r="B255"/>
          <cell r="C255"/>
          <cell r="D255"/>
          <cell r="E255"/>
          <cell r="F255"/>
          <cell r="G255"/>
        </row>
        <row r="256">
          <cell r="A256" t="str">
            <v>SL050</v>
          </cell>
          <cell r="B256"/>
          <cell r="C256"/>
          <cell r="D256"/>
          <cell r="E256"/>
          <cell r="F256"/>
          <cell r="G256"/>
        </row>
        <row r="257">
          <cell r="A257" t="str">
            <v>SL051</v>
          </cell>
          <cell r="B257"/>
          <cell r="C257"/>
          <cell r="D257"/>
          <cell r="E257"/>
          <cell r="F257"/>
          <cell r="G257"/>
        </row>
        <row r="258">
          <cell r="A258" t="str">
            <v>SL052</v>
          </cell>
          <cell r="B258"/>
          <cell r="C258"/>
          <cell r="D258"/>
          <cell r="E258"/>
          <cell r="F258"/>
          <cell r="G258"/>
        </row>
        <row r="259">
          <cell r="A259" t="str">
            <v>SL053</v>
          </cell>
          <cell r="B259"/>
          <cell r="C259"/>
          <cell r="D259"/>
          <cell r="E259"/>
          <cell r="F259"/>
          <cell r="G259"/>
        </row>
        <row r="260">
          <cell r="A260" t="str">
            <v>SL054</v>
          </cell>
          <cell r="B260"/>
          <cell r="C260"/>
          <cell r="D260"/>
          <cell r="E260"/>
          <cell r="F260"/>
          <cell r="G260"/>
        </row>
        <row r="261">
          <cell r="A261" t="str">
            <v>SL055</v>
          </cell>
          <cell r="B261"/>
          <cell r="C261"/>
          <cell r="D261"/>
          <cell r="E261"/>
          <cell r="F261"/>
          <cell r="G261"/>
        </row>
        <row r="262">
          <cell r="A262" t="str">
            <v>SL056</v>
          </cell>
          <cell r="B262"/>
          <cell r="C262"/>
          <cell r="D262"/>
          <cell r="E262"/>
          <cell r="F262"/>
          <cell r="G262"/>
        </row>
        <row r="263">
          <cell r="A263" t="str">
            <v>SL057</v>
          </cell>
          <cell r="B263"/>
          <cell r="C263"/>
          <cell r="D263"/>
          <cell r="E263"/>
          <cell r="F263"/>
          <cell r="G263"/>
        </row>
        <row r="264">
          <cell r="A264" t="str">
            <v>SL058</v>
          </cell>
          <cell r="B264"/>
          <cell r="C264"/>
          <cell r="D264"/>
          <cell r="E264"/>
          <cell r="F264"/>
          <cell r="G264"/>
        </row>
        <row r="265">
          <cell r="A265" t="str">
            <v>SL059</v>
          </cell>
          <cell r="B265"/>
          <cell r="C265"/>
          <cell r="D265"/>
          <cell r="E265"/>
          <cell r="F265"/>
          <cell r="G265"/>
        </row>
        <row r="266">
          <cell r="A266" t="str">
            <v>SL060</v>
          </cell>
          <cell r="B266"/>
          <cell r="C266"/>
          <cell r="D266"/>
          <cell r="E266"/>
          <cell r="F266"/>
          <cell r="G266"/>
        </row>
        <row r="267">
          <cell r="A267" t="str">
            <v>SL061</v>
          </cell>
          <cell r="B267"/>
          <cell r="C267"/>
          <cell r="D267"/>
          <cell r="E267"/>
          <cell r="F267"/>
          <cell r="G267"/>
        </row>
        <row r="268">
          <cell r="A268" t="str">
            <v>SL062</v>
          </cell>
          <cell r="B268"/>
          <cell r="C268"/>
          <cell r="D268"/>
          <cell r="E268"/>
          <cell r="F268"/>
          <cell r="G268"/>
        </row>
        <row r="269">
          <cell r="A269" t="str">
            <v>SL063</v>
          </cell>
          <cell r="B269"/>
          <cell r="C269"/>
          <cell r="D269"/>
          <cell r="E269"/>
          <cell r="F269"/>
          <cell r="G269"/>
        </row>
        <row r="270">
          <cell r="A270" t="str">
            <v>SL064</v>
          </cell>
          <cell r="B270"/>
          <cell r="C270"/>
          <cell r="D270"/>
          <cell r="E270"/>
          <cell r="F270"/>
          <cell r="G270"/>
        </row>
        <row r="271">
          <cell r="A271" t="str">
            <v>SL065</v>
          </cell>
          <cell r="B271"/>
          <cell r="C271"/>
          <cell r="D271"/>
          <cell r="E271"/>
          <cell r="F271"/>
          <cell r="G271"/>
        </row>
        <row r="272">
          <cell r="A272" t="str">
            <v>SL066</v>
          </cell>
          <cell r="B272"/>
          <cell r="C272"/>
          <cell r="D272"/>
          <cell r="E272"/>
          <cell r="F272"/>
          <cell r="G272"/>
        </row>
        <row r="273">
          <cell r="A273" t="str">
            <v>SL067</v>
          </cell>
          <cell r="B273"/>
          <cell r="C273"/>
          <cell r="D273"/>
          <cell r="E273"/>
          <cell r="F273"/>
          <cell r="G273"/>
        </row>
        <row r="274">
          <cell r="A274" t="str">
            <v>SL068</v>
          </cell>
          <cell r="B274"/>
          <cell r="C274"/>
          <cell r="D274"/>
          <cell r="E274"/>
          <cell r="F274"/>
          <cell r="G274"/>
        </row>
        <row r="275">
          <cell r="A275" t="str">
            <v>SL069</v>
          </cell>
          <cell r="B275"/>
          <cell r="C275"/>
          <cell r="D275"/>
          <cell r="E275"/>
          <cell r="F275"/>
          <cell r="G275"/>
        </row>
        <row r="276">
          <cell r="A276" t="str">
            <v>SL070</v>
          </cell>
          <cell r="B276"/>
          <cell r="C276"/>
          <cell r="D276"/>
          <cell r="E276"/>
          <cell r="F276"/>
          <cell r="G276"/>
        </row>
        <row r="277">
          <cell r="A277" t="str">
            <v>SL071</v>
          </cell>
          <cell r="B277"/>
          <cell r="C277"/>
          <cell r="D277"/>
          <cell r="E277"/>
          <cell r="F277"/>
          <cell r="G277"/>
        </row>
        <row r="278">
          <cell r="A278" t="str">
            <v>SL072</v>
          </cell>
          <cell r="B278"/>
          <cell r="C278"/>
          <cell r="D278"/>
          <cell r="E278"/>
          <cell r="F278"/>
          <cell r="G278"/>
        </row>
        <row r="279">
          <cell r="A279" t="str">
            <v>SL073</v>
          </cell>
          <cell r="B279"/>
          <cell r="C279"/>
          <cell r="D279"/>
          <cell r="E279"/>
          <cell r="F279"/>
          <cell r="G279"/>
        </row>
        <row r="280">
          <cell r="A280" t="str">
            <v>SL074</v>
          </cell>
          <cell r="B280"/>
          <cell r="C280"/>
          <cell r="D280"/>
          <cell r="E280"/>
          <cell r="F280"/>
          <cell r="G280"/>
        </row>
        <row r="281">
          <cell r="A281" t="str">
            <v>SL075</v>
          </cell>
          <cell r="B281"/>
          <cell r="C281"/>
          <cell r="D281"/>
          <cell r="E281"/>
          <cell r="F281"/>
          <cell r="G281"/>
        </row>
        <row r="282">
          <cell r="A282" t="str">
            <v>SL076</v>
          </cell>
          <cell r="B282"/>
          <cell r="C282"/>
          <cell r="D282"/>
          <cell r="E282"/>
          <cell r="F282"/>
          <cell r="G282"/>
        </row>
        <row r="283">
          <cell r="A283" t="str">
            <v>SL077</v>
          </cell>
          <cell r="B283"/>
          <cell r="C283"/>
          <cell r="D283"/>
          <cell r="E283"/>
          <cell r="F283"/>
          <cell r="G283"/>
        </row>
        <row r="284">
          <cell r="A284" t="str">
            <v>SL078</v>
          </cell>
          <cell r="B284"/>
          <cell r="C284"/>
          <cell r="D284"/>
          <cell r="E284"/>
          <cell r="F284"/>
          <cell r="G284"/>
        </row>
        <row r="285">
          <cell r="A285" t="str">
            <v>SL079</v>
          </cell>
          <cell r="B285"/>
          <cell r="C285"/>
          <cell r="D285"/>
          <cell r="E285"/>
          <cell r="F285"/>
          <cell r="G285"/>
        </row>
        <row r="286">
          <cell r="A286" t="str">
            <v>SL080</v>
          </cell>
          <cell r="B286"/>
          <cell r="C286"/>
          <cell r="D286"/>
          <cell r="E286"/>
          <cell r="F286"/>
          <cell r="G286"/>
        </row>
        <row r="287">
          <cell r="A287" t="str">
            <v>SL081</v>
          </cell>
          <cell r="B287"/>
          <cell r="C287"/>
          <cell r="D287"/>
          <cell r="E287"/>
          <cell r="F287"/>
          <cell r="G287"/>
        </row>
        <row r="288">
          <cell r="A288" t="str">
            <v>SL082</v>
          </cell>
          <cell r="B288"/>
          <cell r="C288"/>
          <cell r="D288"/>
          <cell r="E288"/>
          <cell r="F288"/>
          <cell r="G288"/>
        </row>
        <row r="289">
          <cell r="A289" t="str">
            <v>SL083</v>
          </cell>
          <cell r="B289"/>
          <cell r="C289"/>
          <cell r="D289"/>
          <cell r="E289"/>
          <cell r="F289"/>
          <cell r="G289"/>
        </row>
        <row r="290">
          <cell r="A290" t="str">
            <v>SL084</v>
          </cell>
          <cell r="B290"/>
          <cell r="C290"/>
          <cell r="D290"/>
          <cell r="E290"/>
          <cell r="F290"/>
          <cell r="G290"/>
        </row>
        <row r="291">
          <cell r="A291" t="str">
            <v>SL085</v>
          </cell>
          <cell r="B291"/>
          <cell r="C291"/>
          <cell r="D291"/>
          <cell r="E291"/>
          <cell r="F291"/>
          <cell r="G291"/>
        </row>
        <row r="292">
          <cell r="A292" t="str">
            <v>SL086</v>
          </cell>
          <cell r="B292"/>
          <cell r="C292"/>
          <cell r="D292"/>
          <cell r="E292"/>
          <cell r="F292"/>
          <cell r="G292"/>
        </row>
        <row r="293">
          <cell r="A293" t="str">
            <v>SL087</v>
          </cell>
          <cell r="B293"/>
          <cell r="C293"/>
          <cell r="D293"/>
          <cell r="E293"/>
          <cell r="F293"/>
          <cell r="G293"/>
        </row>
        <row r="294">
          <cell r="A294" t="str">
            <v>SL088</v>
          </cell>
          <cell r="B294"/>
          <cell r="C294"/>
          <cell r="D294"/>
          <cell r="E294"/>
          <cell r="F294"/>
          <cell r="G294"/>
        </row>
        <row r="295">
          <cell r="A295" t="str">
            <v>SL089</v>
          </cell>
          <cell r="B295"/>
          <cell r="C295"/>
          <cell r="D295"/>
          <cell r="E295"/>
          <cell r="F295"/>
          <cell r="G295"/>
        </row>
        <row r="296">
          <cell r="A296" t="str">
            <v>SL090</v>
          </cell>
          <cell r="B296"/>
          <cell r="C296"/>
          <cell r="D296"/>
          <cell r="E296"/>
          <cell r="F296"/>
          <cell r="G296"/>
        </row>
        <row r="297">
          <cell r="A297" t="str">
            <v>SL091</v>
          </cell>
          <cell r="B297"/>
          <cell r="C297"/>
          <cell r="D297"/>
          <cell r="E297"/>
          <cell r="F297"/>
          <cell r="G297"/>
        </row>
        <row r="298">
          <cell r="A298" t="str">
            <v>SL092</v>
          </cell>
          <cell r="B298"/>
          <cell r="C298"/>
          <cell r="D298"/>
          <cell r="E298"/>
          <cell r="F298"/>
          <cell r="G298"/>
        </row>
        <row r="299">
          <cell r="A299" t="str">
            <v>SL093</v>
          </cell>
          <cell r="B299"/>
          <cell r="C299"/>
          <cell r="D299"/>
          <cell r="E299"/>
          <cell r="F299"/>
          <cell r="G299"/>
        </row>
        <row r="300">
          <cell r="A300" t="str">
            <v>SL094</v>
          </cell>
          <cell r="B300"/>
          <cell r="C300"/>
          <cell r="D300"/>
          <cell r="E300"/>
          <cell r="F300"/>
          <cell r="G300"/>
        </row>
        <row r="301">
          <cell r="A301" t="str">
            <v>SL095</v>
          </cell>
          <cell r="B301"/>
          <cell r="C301"/>
          <cell r="D301"/>
          <cell r="E301"/>
          <cell r="F301"/>
          <cell r="G301"/>
        </row>
        <row r="302">
          <cell r="A302" t="str">
            <v>SL096</v>
          </cell>
          <cell r="B302"/>
          <cell r="C302"/>
          <cell r="D302"/>
          <cell r="E302"/>
          <cell r="F302"/>
          <cell r="G302"/>
        </row>
        <row r="303">
          <cell r="A303" t="str">
            <v>SL097</v>
          </cell>
          <cell r="B303"/>
          <cell r="C303"/>
          <cell r="D303"/>
          <cell r="E303"/>
          <cell r="F303"/>
          <cell r="G303"/>
        </row>
        <row r="304">
          <cell r="A304" t="str">
            <v>SL098</v>
          </cell>
          <cell r="B304"/>
          <cell r="C304"/>
          <cell r="D304"/>
          <cell r="E304"/>
          <cell r="F304"/>
          <cell r="G304"/>
        </row>
        <row r="305">
          <cell r="A305" t="str">
            <v>SL099</v>
          </cell>
          <cell r="B305"/>
          <cell r="C305"/>
          <cell r="D305"/>
          <cell r="E305"/>
          <cell r="F305"/>
          <cell r="G305"/>
        </row>
        <row r="306">
          <cell r="A306" t="str">
            <v>SL100</v>
          </cell>
          <cell r="B306"/>
          <cell r="C306"/>
          <cell r="D306"/>
          <cell r="E306"/>
          <cell r="F306"/>
          <cell r="G306"/>
        </row>
        <row r="307">
          <cell r="A307" t="str">
            <v>S001</v>
          </cell>
          <cell r="B307" t="str">
            <v>تأمین‌کننده</v>
          </cell>
          <cell r="C307" t="str">
            <v>فروشنده سبد</v>
          </cell>
          <cell r="D307" t="str">
            <v>حسن کوچکزاده</v>
          </cell>
          <cell r="E307" t="str">
            <v>011-44440001</v>
          </cell>
          <cell r="F307" t="str">
            <v>09110000004</v>
          </cell>
          <cell r="G307" t="str">
            <v>باغدشت</v>
          </cell>
        </row>
        <row r="308">
          <cell r="A308" t="str">
            <v>S002</v>
          </cell>
          <cell r="B308" t="str">
            <v>تأمین‌کننده</v>
          </cell>
          <cell r="C308" t="str">
            <v>فروشنده سبد</v>
          </cell>
          <cell r="D308" t="str">
            <v>سید محمد موسویان</v>
          </cell>
          <cell r="E308" t="str">
            <v>011-44440002</v>
          </cell>
          <cell r="F308" t="str">
            <v>09110000005</v>
          </cell>
          <cell r="G308" t="str">
            <v>قائم‌شهر — میدان بار</v>
          </cell>
        </row>
        <row r="309">
          <cell r="A309" t="str">
            <v>S003</v>
          </cell>
          <cell r="B309" t="str">
            <v>تأمین‌کننده</v>
          </cell>
          <cell r="C309" t="str">
            <v>فروشنده سبد</v>
          </cell>
          <cell r="D309" t="str">
            <v>سید ربیع موسویان</v>
          </cell>
          <cell r="E309"/>
          <cell r="F309"/>
          <cell r="G309"/>
        </row>
        <row r="310">
          <cell r="A310" t="str">
            <v>S004</v>
          </cell>
          <cell r="B310" t="str">
            <v>تأمین‌کننده</v>
          </cell>
          <cell r="C310" t="str">
            <v>فروشنده سبد</v>
          </cell>
          <cell r="D310"/>
          <cell r="E310"/>
          <cell r="F310"/>
          <cell r="G310"/>
        </row>
        <row r="311">
          <cell r="A311" t="str">
            <v>S005</v>
          </cell>
          <cell r="B311"/>
          <cell r="C311"/>
          <cell r="D311"/>
          <cell r="E311"/>
          <cell r="F311"/>
          <cell r="G311"/>
        </row>
        <row r="312">
          <cell r="A312" t="str">
            <v>S006</v>
          </cell>
          <cell r="B312"/>
          <cell r="C312"/>
          <cell r="D312"/>
          <cell r="E312"/>
          <cell r="F312"/>
          <cell r="G312"/>
        </row>
        <row r="313">
          <cell r="A313" t="str">
            <v>S007</v>
          </cell>
          <cell r="B313"/>
          <cell r="C313"/>
          <cell r="D313"/>
          <cell r="E313"/>
          <cell r="F313"/>
          <cell r="G313"/>
        </row>
        <row r="314">
          <cell r="A314" t="str">
            <v>S008</v>
          </cell>
          <cell r="B314"/>
          <cell r="C314"/>
          <cell r="D314"/>
          <cell r="E314"/>
          <cell r="F314"/>
          <cell r="G314"/>
        </row>
        <row r="315">
          <cell r="A315" t="str">
            <v>S009</v>
          </cell>
          <cell r="B315"/>
          <cell r="C315"/>
          <cell r="D315"/>
          <cell r="E315"/>
          <cell r="F315"/>
          <cell r="G315"/>
        </row>
        <row r="316">
          <cell r="A316" t="str">
            <v>S010</v>
          </cell>
          <cell r="B316"/>
          <cell r="C316"/>
          <cell r="D316"/>
          <cell r="E316"/>
          <cell r="F316"/>
          <cell r="G316"/>
        </row>
        <row r="317">
          <cell r="A317" t="str">
            <v>S011</v>
          </cell>
          <cell r="B317"/>
          <cell r="C317"/>
          <cell r="D317"/>
          <cell r="E317"/>
          <cell r="F317"/>
          <cell r="G317"/>
        </row>
        <row r="318">
          <cell r="A318" t="str">
            <v>S012</v>
          </cell>
          <cell r="B318"/>
          <cell r="C318"/>
          <cell r="D318"/>
          <cell r="E318"/>
          <cell r="F318"/>
          <cell r="G318"/>
        </row>
        <row r="319">
          <cell r="A319" t="str">
            <v>S013</v>
          </cell>
          <cell r="B319"/>
          <cell r="C319"/>
          <cell r="D319"/>
          <cell r="E319"/>
          <cell r="F319"/>
          <cell r="G319"/>
        </row>
        <row r="320">
          <cell r="A320" t="str">
            <v>S014</v>
          </cell>
          <cell r="B320"/>
          <cell r="C320"/>
          <cell r="D320"/>
          <cell r="E320"/>
          <cell r="F320"/>
          <cell r="G320"/>
        </row>
        <row r="321">
          <cell r="A321" t="str">
            <v>S015</v>
          </cell>
          <cell r="B321"/>
          <cell r="C321"/>
          <cell r="D321"/>
          <cell r="E321"/>
          <cell r="F321"/>
          <cell r="G321"/>
        </row>
        <row r="322">
          <cell r="A322" t="str">
            <v>S016</v>
          </cell>
          <cell r="B322"/>
          <cell r="C322"/>
          <cell r="D322"/>
          <cell r="E322"/>
          <cell r="F322"/>
          <cell r="G322"/>
        </row>
        <row r="323">
          <cell r="A323" t="str">
            <v>S017</v>
          </cell>
          <cell r="B323"/>
          <cell r="C323"/>
          <cell r="D323"/>
          <cell r="E323"/>
          <cell r="F323"/>
          <cell r="G323"/>
        </row>
        <row r="324">
          <cell r="A324" t="str">
            <v>S018</v>
          </cell>
          <cell r="B324"/>
          <cell r="C324"/>
          <cell r="D324"/>
          <cell r="E324"/>
          <cell r="F324"/>
          <cell r="G324"/>
        </row>
        <row r="325">
          <cell r="A325" t="str">
            <v>S019</v>
          </cell>
          <cell r="B325"/>
          <cell r="C325"/>
          <cell r="D325"/>
          <cell r="E325"/>
          <cell r="F325"/>
          <cell r="G325"/>
        </row>
        <row r="326">
          <cell r="A326" t="str">
            <v>S020</v>
          </cell>
          <cell r="B326"/>
          <cell r="C326"/>
          <cell r="D326"/>
          <cell r="E326"/>
          <cell r="F326"/>
          <cell r="G326"/>
        </row>
        <row r="327">
          <cell r="A327" t="str">
            <v>S021</v>
          </cell>
          <cell r="B327"/>
          <cell r="C327"/>
          <cell r="D327"/>
          <cell r="E327"/>
          <cell r="F327"/>
          <cell r="G327"/>
        </row>
        <row r="328">
          <cell r="A328" t="str">
            <v>S022</v>
          </cell>
          <cell r="B328"/>
          <cell r="C328"/>
          <cell r="D328"/>
          <cell r="E328"/>
          <cell r="F328"/>
          <cell r="G328"/>
        </row>
        <row r="329">
          <cell r="A329" t="str">
            <v>S023</v>
          </cell>
          <cell r="B329"/>
          <cell r="C329"/>
          <cell r="D329"/>
          <cell r="E329"/>
          <cell r="F329"/>
          <cell r="G329"/>
        </row>
        <row r="330">
          <cell r="A330" t="str">
            <v>S024</v>
          </cell>
          <cell r="B330"/>
          <cell r="C330"/>
          <cell r="D330"/>
          <cell r="E330"/>
          <cell r="F330"/>
          <cell r="G330"/>
        </row>
        <row r="331">
          <cell r="A331" t="str">
            <v>S025</v>
          </cell>
          <cell r="B331"/>
          <cell r="C331"/>
          <cell r="D331"/>
          <cell r="E331"/>
          <cell r="F331"/>
          <cell r="G331"/>
        </row>
        <row r="332">
          <cell r="A332" t="str">
            <v>S026</v>
          </cell>
          <cell r="B332"/>
          <cell r="C332"/>
          <cell r="D332"/>
          <cell r="E332"/>
          <cell r="F332"/>
          <cell r="G332"/>
        </row>
        <row r="333">
          <cell r="A333" t="str">
            <v>S027</v>
          </cell>
          <cell r="B333"/>
          <cell r="C333"/>
          <cell r="D333"/>
          <cell r="E333"/>
          <cell r="F333"/>
          <cell r="G333"/>
        </row>
        <row r="334">
          <cell r="A334" t="str">
            <v>S028</v>
          </cell>
          <cell r="B334"/>
          <cell r="C334"/>
          <cell r="D334"/>
          <cell r="E334"/>
          <cell r="F334"/>
          <cell r="G334"/>
        </row>
        <row r="335">
          <cell r="A335" t="str">
            <v>S029</v>
          </cell>
          <cell r="B335"/>
          <cell r="C335"/>
          <cell r="D335"/>
          <cell r="E335"/>
          <cell r="F335"/>
          <cell r="G335"/>
        </row>
        <row r="336">
          <cell r="A336" t="str">
            <v>S030</v>
          </cell>
          <cell r="B336"/>
          <cell r="C336"/>
          <cell r="D336"/>
          <cell r="E336"/>
          <cell r="F336"/>
          <cell r="G336"/>
        </row>
        <row r="337">
          <cell r="A337" t="str">
            <v>S031</v>
          </cell>
          <cell r="B337"/>
          <cell r="C337"/>
          <cell r="D337"/>
          <cell r="E337"/>
          <cell r="F337"/>
          <cell r="G337"/>
        </row>
        <row r="338">
          <cell r="A338" t="str">
            <v>S032</v>
          </cell>
          <cell r="B338"/>
          <cell r="C338"/>
          <cell r="D338"/>
          <cell r="E338"/>
          <cell r="F338"/>
          <cell r="G338"/>
        </row>
        <row r="339">
          <cell r="A339" t="str">
            <v>S033</v>
          </cell>
          <cell r="B339"/>
          <cell r="C339"/>
          <cell r="D339"/>
          <cell r="E339"/>
          <cell r="F339"/>
          <cell r="G339"/>
        </row>
        <row r="340">
          <cell r="A340" t="str">
            <v>S034</v>
          </cell>
          <cell r="B340"/>
          <cell r="C340"/>
          <cell r="D340"/>
          <cell r="E340"/>
          <cell r="F340"/>
          <cell r="G340"/>
        </row>
        <row r="341">
          <cell r="A341" t="str">
            <v>S035</v>
          </cell>
          <cell r="B341"/>
          <cell r="C341"/>
          <cell r="D341"/>
          <cell r="E341"/>
          <cell r="F341"/>
          <cell r="G341"/>
        </row>
        <row r="342">
          <cell r="A342" t="str">
            <v>S036</v>
          </cell>
          <cell r="B342"/>
          <cell r="C342"/>
          <cell r="D342"/>
          <cell r="E342"/>
          <cell r="F342"/>
          <cell r="G342"/>
        </row>
        <row r="343">
          <cell r="A343" t="str">
            <v>S037</v>
          </cell>
          <cell r="B343"/>
          <cell r="C343"/>
          <cell r="D343"/>
          <cell r="E343"/>
          <cell r="F343"/>
          <cell r="G343"/>
        </row>
        <row r="344">
          <cell r="A344" t="str">
            <v>S038</v>
          </cell>
          <cell r="B344"/>
          <cell r="C344"/>
          <cell r="D344"/>
          <cell r="E344"/>
          <cell r="F344"/>
          <cell r="G344"/>
        </row>
        <row r="345">
          <cell r="A345" t="str">
            <v>S039</v>
          </cell>
          <cell r="B345"/>
          <cell r="C345"/>
          <cell r="D345"/>
          <cell r="E345"/>
          <cell r="F345"/>
          <cell r="G345"/>
        </row>
        <row r="346">
          <cell r="A346" t="str">
            <v>S040</v>
          </cell>
          <cell r="B346"/>
          <cell r="C346"/>
          <cell r="D346"/>
          <cell r="E346"/>
          <cell r="F346"/>
          <cell r="G346"/>
        </row>
        <row r="347">
          <cell r="A347" t="str">
            <v>S041</v>
          </cell>
          <cell r="B347"/>
          <cell r="C347"/>
          <cell r="D347"/>
          <cell r="E347"/>
          <cell r="F347"/>
          <cell r="G347"/>
        </row>
        <row r="348">
          <cell r="A348" t="str">
            <v>S042</v>
          </cell>
          <cell r="B348"/>
          <cell r="C348"/>
          <cell r="D348"/>
          <cell r="E348"/>
          <cell r="F348"/>
          <cell r="G348"/>
        </row>
        <row r="349">
          <cell r="A349" t="str">
            <v>S043</v>
          </cell>
          <cell r="B349"/>
          <cell r="C349"/>
          <cell r="D349"/>
          <cell r="E349"/>
          <cell r="F349"/>
          <cell r="G349"/>
        </row>
        <row r="350">
          <cell r="A350" t="str">
            <v>S044</v>
          </cell>
          <cell r="B350"/>
          <cell r="C350"/>
          <cell r="D350"/>
          <cell r="E350"/>
          <cell r="F350"/>
          <cell r="G350"/>
        </row>
        <row r="351">
          <cell r="A351" t="str">
            <v>S045</v>
          </cell>
          <cell r="B351"/>
          <cell r="C351"/>
          <cell r="D351"/>
          <cell r="E351"/>
          <cell r="F351"/>
          <cell r="G351"/>
        </row>
        <row r="352">
          <cell r="A352" t="str">
            <v>S046</v>
          </cell>
          <cell r="B352"/>
          <cell r="C352"/>
          <cell r="D352"/>
          <cell r="E352"/>
          <cell r="F352"/>
          <cell r="G352"/>
        </row>
        <row r="353">
          <cell r="A353" t="str">
            <v>S047</v>
          </cell>
          <cell r="B353"/>
          <cell r="C353"/>
          <cell r="D353"/>
          <cell r="E353"/>
          <cell r="F353"/>
          <cell r="G353"/>
        </row>
        <row r="354">
          <cell r="A354" t="str">
            <v>S048</v>
          </cell>
          <cell r="B354"/>
          <cell r="C354"/>
          <cell r="D354"/>
          <cell r="E354"/>
          <cell r="F354"/>
          <cell r="G354"/>
        </row>
        <row r="355">
          <cell r="A355" t="str">
            <v>S049</v>
          </cell>
          <cell r="B355"/>
          <cell r="C355"/>
          <cell r="D355"/>
          <cell r="E355"/>
          <cell r="F355"/>
          <cell r="G355"/>
        </row>
        <row r="356">
          <cell r="A356" t="str">
            <v>S050</v>
          </cell>
          <cell r="B356"/>
          <cell r="C356"/>
          <cell r="D356"/>
          <cell r="E356"/>
          <cell r="F356"/>
          <cell r="G356"/>
        </row>
        <row r="357">
          <cell r="A357" t="str">
            <v>S051</v>
          </cell>
          <cell r="B357"/>
          <cell r="C357"/>
          <cell r="D357"/>
          <cell r="E357"/>
          <cell r="F357"/>
          <cell r="G357"/>
        </row>
        <row r="358">
          <cell r="A358" t="str">
            <v>S052</v>
          </cell>
          <cell r="B358"/>
          <cell r="C358"/>
          <cell r="D358"/>
          <cell r="E358"/>
          <cell r="F358"/>
          <cell r="G358"/>
        </row>
        <row r="359">
          <cell r="A359" t="str">
            <v>S053</v>
          </cell>
          <cell r="B359"/>
          <cell r="C359"/>
          <cell r="D359"/>
          <cell r="E359"/>
          <cell r="F359"/>
          <cell r="G359"/>
        </row>
        <row r="360">
          <cell r="A360" t="str">
            <v>S054</v>
          </cell>
          <cell r="B360"/>
          <cell r="C360"/>
          <cell r="D360"/>
          <cell r="E360"/>
          <cell r="F360"/>
          <cell r="G360"/>
        </row>
        <row r="361">
          <cell r="A361" t="str">
            <v>S055</v>
          </cell>
          <cell r="B361"/>
          <cell r="C361"/>
          <cell r="D361"/>
          <cell r="E361"/>
          <cell r="F361"/>
          <cell r="G361"/>
        </row>
        <row r="362">
          <cell r="A362" t="str">
            <v>S056</v>
          </cell>
          <cell r="B362"/>
          <cell r="C362"/>
          <cell r="D362"/>
          <cell r="E362"/>
          <cell r="F362"/>
          <cell r="G362"/>
        </row>
        <row r="363">
          <cell r="A363" t="str">
            <v>S057</v>
          </cell>
          <cell r="B363"/>
          <cell r="C363"/>
          <cell r="D363"/>
          <cell r="E363"/>
          <cell r="F363"/>
          <cell r="G363"/>
        </row>
        <row r="364">
          <cell r="A364" t="str">
            <v>S058</v>
          </cell>
          <cell r="B364"/>
          <cell r="C364"/>
          <cell r="D364"/>
          <cell r="E364"/>
          <cell r="F364"/>
          <cell r="G364"/>
        </row>
        <row r="365">
          <cell r="A365" t="str">
            <v>S059</v>
          </cell>
          <cell r="B365"/>
          <cell r="C365"/>
          <cell r="D365"/>
          <cell r="E365"/>
          <cell r="F365"/>
          <cell r="G365"/>
        </row>
        <row r="366">
          <cell r="A366" t="str">
            <v>S060</v>
          </cell>
          <cell r="B366"/>
          <cell r="C366"/>
          <cell r="D366"/>
          <cell r="E366"/>
          <cell r="F366"/>
          <cell r="G366"/>
        </row>
        <row r="367">
          <cell r="A367" t="str">
            <v>S061</v>
          </cell>
          <cell r="B367"/>
          <cell r="C367"/>
          <cell r="D367"/>
          <cell r="E367"/>
          <cell r="F367"/>
          <cell r="G367"/>
        </row>
        <row r="368">
          <cell r="A368" t="str">
            <v>S062</v>
          </cell>
          <cell r="B368"/>
          <cell r="C368"/>
          <cell r="D368"/>
          <cell r="E368"/>
          <cell r="F368"/>
          <cell r="G368"/>
        </row>
        <row r="369">
          <cell r="A369" t="str">
            <v>S063</v>
          </cell>
          <cell r="B369"/>
          <cell r="C369"/>
          <cell r="D369"/>
          <cell r="E369"/>
          <cell r="F369"/>
          <cell r="G369"/>
        </row>
        <row r="370">
          <cell r="A370" t="str">
            <v>S064</v>
          </cell>
          <cell r="B370"/>
          <cell r="C370"/>
          <cell r="D370"/>
          <cell r="E370"/>
          <cell r="F370"/>
          <cell r="G370"/>
        </row>
        <row r="371">
          <cell r="A371" t="str">
            <v>S065</v>
          </cell>
          <cell r="B371"/>
          <cell r="C371"/>
          <cell r="D371"/>
          <cell r="E371"/>
          <cell r="F371"/>
          <cell r="G371"/>
        </row>
        <row r="372">
          <cell r="A372" t="str">
            <v>S066</v>
          </cell>
          <cell r="B372"/>
          <cell r="C372"/>
          <cell r="D372"/>
          <cell r="E372"/>
          <cell r="F372"/>
          <cell r="G372"/>
        </row>
        <row r="373">
          <cell r="A373" t="str">
            <v>S067</v>
          </cell>
          <cell r="B373"/>
          <cell r="C373"/>
          <cell r="D373"/>
          <cell r="E373"/>
          <cell r="F373"/>
          <cell r="G373"/>
        </row>
        <row r="374">
          <cell r="A374" t="str">
            <v>S068</v>
          </cell>
          <cell r="B374"/>
          <cell r="C374"/>
          <cell r="D374"/>
          <cell r="E374"/>
          <cell r="F374"/>
          <cell r="G374"/>
        </row>
        <row r="375">
          <cell r="A375" t="str">
            <v>S069</v>
          </cell>
          <cell r="B375"/>
          <cell r="C375"/>
          <cell r="D375"/>
          <cell r="E375"/>
          <cell r="F375"/>
          <cell r="G375"/>
        </row>
        <row r="376">
          <cell r="A376" t="str">
            <v>S070</v>
          </cell>
          <cell r="B376"/>
          <cell r="C376"/>
          <cell r="D376"/>
          <cell r="E376"/>
          <cell r="F376"/>
          <cell r="G376"/>
        </row>
        <row r="377">
          <cell r="A377" t="str">
            <v>S071</v>
          </cell>
          <cell r="B377"/>
          <cell r="C377"/>
          <cell r="D377"/>
          <cell r="E377"/>
          <cell r="F377"/>
          <cell r="G377"/>
        </row>
        <row r="378">
          <cell r="A378" t="str">
            <v>S072</v>
          </cell>
          <cell r="B378"/>
          <cell r="C378"/>
          <cell r="D378"/>
          <cell r="E378"/>
          <cell r="F378"/>
          <cell r="G378"/>
        </row>
        <row r="379">
          <cell r="A379" t="str">
            <v>S073</v>
          </cell>
          <cell r="B379"/>
          <cell r="C379"/>
          <cell r="D379"/>
          <cell r="E379"/>
          <cell r="F379"/>
          <cell r="G379"/>
        </row>
        <row r="380">
          <cell r="A380" t="str">
            <v>S074</v>
          </cell>
          <cell r="B380"/>
          <cell r="C380"/>
          <cell r="D380"/>
          <cell r="E380"/>
          <cell r="F380"/>
          <cell r="G380"/>
        </row>
        <row r="381">
          <cell r="A381" t="str">
            <v>S075</v>
          </cell>
          <cell r="B381"/>
          <cell r="C381"/>
          <cell r="D381"/>
          <cell r="E381"/>
          <cell r="F381"/>
          <cell r="G381"/>
        </row>
        <row r="382">
          <cell r="A382" t="str">
            <v>S076</v>
          </cell>
          <cell r="B382"/>
          <cell r="C382"/>
          <cell r="D382"/>
          <cell r="E382"/>
          <cell r="F382"/>
          <cell r="G382"/>
        </row>
        <row r="383">
          <cell r="A383" t="str">
            <v>S077</v>
          </cell>
          <cell r="B383"/>
          <cell r="C383"/>
          <cell r="D383"/>
          <cell r="E383"/>
          <cell r="F383"/>
          <cell r="G383"/>
        </row>
        <row r="384">
          <cell r="A384" t="str">
            <v>S078</v>
          </cell>
          <cell r="B384"/>
          <cell r="C384"/>
          <cell r="D384"/>
          <cell r="E384"/>
          <cell r="F384"/>
          <cell r="G384"/>
        </row>
        <row r="385">
          <cell r="A385" t="str">
            <v>S079</v>
          </cell>
          <cell r="B385"/>
          <cell r="C385"/>
          <cell r="D385"/>
          <cell r="E385"/>
          <cell r="F385"/>
          <cell r="G385"/>
        </row>
        <row r="386">
          <cell r="A386" t="str">
            <v>S080</v>
          </cell>
          <cell r="B386"/>
          <cell r="C386"/>
          <cell r="D386"/>
          <cell r="E386"/>
          <cell r="F386"/>
          <cell r="G386"/>
        </row>
        <row r="387">
          <cell r="A387" t="str">
            <v>S081</v>
          </cell>
          <cell r="B387"/>
          <cell r="C387"/>
          <cell r="D387"/>
          <cell r="E387"/>
          <cell r="F387"/>
          <cell r="G387"/>
        </row>
        <row r="388">
          <cell r="A388" t="str">
            <v>S082</v>
          </cell>
          <cell r="B388"/>
          <cell r="C388"/>
          <cell r="D388"/>
          <cell r="E388"/>
          <cell r="F388"/>
          <cell r="G388"/>
        </row>
        <row r="389">
          <cell r="A389" t="str">
            <v>S083</v>
          </cell>
          <cell r="B389"/>
          <cell r="C389"/>
          <cell r="D389"/>
          <cell r="E389"/>
          <cell r="F389"/>
          <cell r="G389"/>
        </row>
        <row r="390">
          <cell r="A390" t="str">
            <v>S084</v>
          </cell>
          <cell r="B390"/>
          <cell r="C390"/>
          <cell r="D390"/>
          <cell r="E390"/>
          <cell r="F390"/>
          <cell r="G390"/>
        </row>
        <row r="391">
          <cell r="A391" t="str">
            <v>S085</v>
          </cell>
          <cell r="B391"/>
          <cell r="C391"/>
          <cell r="D391"/>
          <cell r="E391"/>
          <cell r="F391"/>
          <cell r="G391"/>
        </row>
        <row r="392">
          <cell r="A392" t="str">
            <v>S086</v>
          </cell>
          <cell r="B392"/>
          <cell r="C392"/>
          <cell r="D392"/>
          <cell r="E392"/>
          <cell r="F392"/>
          <cell r="G392"/>
        </row>
        <row r="393">
          <cell r="A393" t="str">
            <v>S087</v>
          </cell>
          <cell r="B393"/>
          <cell r="C393"/>
          <cell r="D393"/>
          <cell r="E393"/>
          <cell r="F393"/>
          <cell r="G393"/>
        </row>
        <row r="394">
          <cell r="A394" t="str">
            <v>S088</v>
          </cell>
          <cell r="B394"/>
          <cell r="C394"/>
          <cell r="D394"/>
          <cell r="E394"/>
          <cell r="F394"/>
          <cell r="G394"/>
        </row>
        <row r="395">
          <cell r="A395" t="str">
            <v>S089</v>
          </cell>
          <cell r="B395"/>
          <cell r="C395"/>
          <cell r="D395"/>
          <cell r="E395"/>
          <cell r="F395"/>
          <cell r="G395"/>
        </row>
        <row r="396">
          <cell r="A396" t="str">
            <v>S090</v>
          </cell>
          <cell r="B396"/>
          <cell r="C396"/>
          <cell r="D396"/>
          <cell r="E396"/>
          <cell r="F396"/>
          <cell r="G396"/>
        </row>
        <row r="397">
          <cell r="A397" t="str">
            <v>S091</v>
          </cell>
          <cell r="B397"/>
          <cell r="C397"/>
          <cell r="D397"/>
          <cell r="E397"/>
          <cell r="F397"/>
          <cell r="G397"/>
        </row>
        <row r="398">
          <cell r="A398" t="str">
            <v>S092</v>
          </cell>
          <cell r="B398"/>
          <cell r="C398"/>
          <cell r="D398"/>
          <cell r="E398"/>
          <cell r="F398"/>
          <cell r="G398"/>
        </row>
        <row r="399">
          <cell r="A399" t="str">
            <v>S093</v>
          </cell>
          <cell r="B399"/>
          <cell r="C399"/>
          <cell r="D399"/>
          <cell r="E399"/>
          <cell r="F399"/>
          <cell r="G399"/>
        </row>
        <row r="400">
          <cell r="A400" t="str">
            <v>S094</v>
          </cell>
          <cell r="B400"/>
          <cell r="C400"/>
          <cell r="D400"/>
          <cell r="E400"/>
          <cell r="F400"/>
          <cell r="G400"/>
        </row>
        <row r="401">
          <cell r="A401" t="str">
            <v>S095</v>
          </cell>
          <cell r="B401"/>
          <cell r="C401"/>
          <cell r="D401"/>
          <cell r="E401"/>
          <cell r="F401"/>
          <cell r="G401"/>
        </row>
        <row r="402">
          <cell r="A402" t="str">
            <v>S096</v>
          </cell>
          <cell r="B402"/>
          <cell r="C402"/>
          <cell r="D402"/>
          <cell r="E402"/>
          <cell r="F402"/>
          <cell r="G402"/>
        </row>
        <row r="403">
          <cell r="A403" t="str">
            <v>S097</v>
          </cell>
          <cell r="B403"/>
          <cell r="C403"/>
          <cell r="D403"/>
          <cell r="E403"/>
          <cell r="F403"/>
          <cell r="G403"/>
        </row>
        <row r="404">
          <cell r="A404" t="str">
            <v>S098</v>
          </cell>
          <cell r="B404"/>
          <cell r="C404"/>
          <cell r="D404"/>
          <cell r="E404"/>
          <cell r="F404"/>
          <cell r="G404"/>
        </row>
        <row r="405">
          <cell r="A405" t="str">
            <v>S099</v>
          </cell>
          <cell r="B405"/>
          <cell r="C405"/>
          <cell r="D405"/>
          <cell r="E405"/>
          <cell r="F405"/>
          <cell r="G405"/>
        </row>
        <row r="406">
          <cell r="A406" t="str">
            <v>S100</v>
          </cell>
          <cell r="B406"/>
          <cell r="C406"/>
          <cell r="D406"/>
          <cell r="E406"/>
          <cell r="F406"/>
          <cell r="G406"/>
        </row>
        <row r="407">
          <cell r="A407" t="str">
            <v>E001</v>
          </cell>
          <cell r="B407" t="str">
            <v>کارمند</v>
          </cell>
          <cell r="C407" t="str">
            <v>مدیرعامل</v>
          </cell>
          <cell r="D407" t="str">
            <v>(نام مدیرعامل)</v>
          </cell>
          <cell r="E407"/>
          <cell r="F407" t="str">
            <v>09110000010</v>
          </cell>
          <cell r="G407"/>
        </row>
        <row r="408">
          <cell r="A408" t="str">
            <v>E002</v>
          </cell>
          <cell r="B408" t="str">
            <v>کارمند</v>
          </cell>
          <cell r="C408" t="str">
            <v>حسابدار</v>
          </cell>
          <cell r="D408" t="str">
            <v>(نام حسابدار)</v>
          </cell>
          <cell r="E408"/>
          <cell r="F408" t="str">
            <v>09110000011</v>
          </cell>
          <cell r="G408"/>
        </row>
        <row r="409">
          <cell r="A409" t="str">
            <v>E003</v>
          </cell>
          <cell r="B409" t="str">
            <v>کارمند</v>
          </cell>
          <cell r="C409" t="str">
            <v>فروشنده</v>
          </cell>
          <cell r="D409" t="str">
            <v>(نام فروشنده ۱)</v>
          </cell>
          <cell r="E409"/>
          <cell r="F409" t="str">
            <v>09110000012</v>
          </cell>
          <cell r="G409"/>
        </row>
        <row r="410">
          <cell r="A410" t="str">
            <v>E004</v>
          </cell>
          <cell r="B410" t="str">
            <v>کارمند</v>
          </cell>
          <cell r="C410" t="str">
            <v>انباردار</v>
          </cell>
          <cell r="D410" t="str">
            <v>(نام انباردار)</v>
          </cell>
          <cell r="E410"/>
          <cell r="F410" t="str">
            <v>09110000013</v>
          </cell>
          <cell r="G410"/>
        </row>
        <row r="411">
          <cell r="A411" t="str">
            <v>E005</v>
          </cell>
          <cell r="B411" t="str">
            <v>کارمند</v>
          </cell>
          <cell r="C411" t="str">
            <v>سرپرست خط</v>
          </cell>
          <cell r="D411" t="str">
            <v>رضا کاظمی (نمونه)</v>
          </cell>
          <cell r="E411"/>
          <cell r="F411" t="str">
            <v>09110000014</v>
          </cell>
          <cell r="G411" t="str">
            <v>قائم‌شهر</v>
          </cell>
        </row>
        <row r="412">
          <cell r="A412" t="str">
            <v>E006</v>
          </cell>
          <cell r="B412" t="str">
            <v>کارمند</v>
          </cell>
          <cell r="C412" t="str">
            <v>کارگر</v>
          </cell>
          <cell r="D412" t="str">
            <v>علی احمدی (نمونه)</v>
          </cell>
          <cell r="E412"/>
          <cell r="F412" t="str">
            <v>09110000015</v>
          </cell>
          <cell r="G412" t="str">
            <v>قائم‌شهر</v>
          </cell>
        </row>
        <row r="413">
          <cell r="A413" t="str">
            <v>E007</v>
          </cell>
          <cell r="B413"/>
          <cell r="C413"/>
          <cell r="D413"/>
          <cell r="E413"/>
          <cell r="F413"/>
          <cell r="G413"/>
        </row>
        <row r="414">
          <cell r="A414" t="str">
            <v>E008</v>
          </cell>
          <cell r="B414"/>
          <cell r="C414"/>
          <cell r="D414"/>
          <cell r="E414"/>
          <cell r="F414"/>
          <cell r="G414"/>
        </row>
        <row r="415">
          <cell r="A415" t="str">
            <v>E009</v>
          </cell>
          <cell r="B415"/>
          <cell r="C415"/>
          <cell r="D415"/>
          <cell r="E415"/>
          <cell r="F415"/>
          <cell r="G415"/>
        </row>
        <row r="416">
          <cell r="A416" t="str">
            <v>E010</v>
          </cell>
          <cell r="B416"/>
          <cell r="C416"/>
          <cell r="D416"/>
          <cell r="E416"/>
          <cell r="F416"/>
          <cell r="G416"/>
        </row>
        <row r="417">
          <cell r="A417" t="str">
            <v>E011</v>
          </cell>
          <cell r="B417"/>
          <cell r="C417"/>
          <cell r="D417"/>
          <cell r="E417"/>
          <cell r="F417"/>
          <cell r="G417"/>
        </row>
        <row r="418">
          <cell r="A418" t="str">
            <v>E012</v>
          </cell>
          <cell r="B418"/>
          <cell r="C418"/>
          <cell r="D418"/>
          <cell r="E418"/>
          <cell r="F418"/>
          <cell r="G418"/>
        </row>
        <row r="419">
          <cell r="A419" t="str">
            <v>E013</v>
          </cell>
          <cell r="B419"/>
          <cell r="C419"/>
          <cell r="D419"/>
          <cell r="E419"/>
          <cell r="F419"/>
          <cell r="G419"/>
        </row>
        <row r="420">
          <cell r="A420" t="str">
            <v>E014</v>
          </cell>
          <cell r="B420"/>
          <cell r="C420"/>
          <cell r="D420"/>
          <cell r="E420"/>
          <cell r="F420"/>
          <cell r="G420"/>
        </row>
        <row r="421">
          <cell r="A421" t="str">
            <v>E015</v>
          </cell>
          <cell r="B421"/>
          <cell r="C421"/>
          <cell r="D421"/>
          <cell r="E421"/>
          <cell r="F421"/>
          <cell r="G421"/>
        </row>
        <row r="422">
          <cell r="A422" t="str">
            <v>E016</v>
          </cell>
          <cell r="B422"/>
          <cell r="C422"/>
          <cell r="D422"/>
          <cell r="E422"/>
          <cell r="F422"/>
          <cell r="G422"/>
        </row>
        <row r="423">
          <cell r="A423" t="str">
            <v>E017</v>
          </cell>
          <cell r="B423"/>
          <cell r="C423"/>
          <cell r="D423"/>
          <cell r="E423"/>
          <cell r="F423"/>
          <cell r="G423"/>
        </row>
        <row r="424">
          <cell r="A424" t="str">
            <v>E018</v>
          </cell>
          <cell r="B424"/>
          <cell r="C424"/>
          <cell r="D424"/>
          <cell r="E424"/>
          <cell r="F424"/>
          <cell r="G424"/>
        </row>
        <row r="425">
          <cell r="A425" t="str">
            <v>E019</v>
          </cell>
          <cell r="B425"/>
          <cell r="C425"/>
          <cell r="D425"/>
          <cell r="E425"/>
          <cell r="F425"/>
          <cell r="G425"/>
        </row>
        <row r="426">
          <cell r="A426" t="str">
            <v>E020</v>
          </cell>
          <cell r="B426"/>
          <cell r="C426"/>
          <cell r="D426"/>
          <cell r="E426"/>
          <cell r="F426"/>
          <cell r="G426"/>
        </row>
        <row r="427">
          <cell r="A427" t="str">
            <v>E021</v>
          </cell>
          <cell r="B427"/>
          <cell r="C427"/>
          <cell r="D427"/>
          <cell r="E427"/>
          <cell r="F427"/>
          <cell r="G427"/>
        </row>
        <row r="428">
          <cell r="A428" t="str">
            <v>E022</v>
          </cell>
          <cell r="B428"/>
          <cell r="C428"/>
          <cell r="D428"/>
          <cell r="E428"/>
          <cell r="F428"/>
          <cell r="G428"/>
        </row>
        <row r="429">
          <cell r="A429" t="str">
            <v>E023</v>
          </cell>
          <cell r="B429"/>
          <cell r="C429"/>
          <cell r="D429"/>
          <cell r="E429"/>
          <cell r="F429"/>
          <cell r="G429"/>
        </row>
        <row r="430">
          <cell r="A430" t="str">
            <v>E024</v>
          </cell>
          <cell r="B430"/>
          <cell r="C430"/>
          <cell r="D430"/>
          <cell r="E430"/>
          <cell r="F430"/>
          <cell r="G430"/>
        </row>
        <row r="431">
          <cell r="A431" t="str">
            <v>E025</v>
          </cell>
          <cell r="B431"/>
          <cell r="C431"/>
          <cell r="D431"/>
          <cell r="E431"/>
          <cell r="F431"/>
          <cell r="G431"/>
        </row>
        <row r="432">
          <cell r="A432" t="str">
            <v>E026</v>
          </cell>
          <cell r="B432"/>
          <cell r="C432"/>
          <cell r="D432"/>
          <cell r="E432"/>
          <cell r="F432"/>
          <cell r="G432"/>
        </row>
        <row r="433">
          <cell r="A433" t="str">
            <v>E027</v>
          </cell>
          <cell r="B433"/>
          <cell r="C433"/>
          <cell r="D433"/>
          <cell r="E433"/>
          <cell r="F433"/>
          <cell r="G433"/>
        </row>
        <row r="434">
          <cell r="A434" t="str">
            <v>E028</v>
          </cell>
          <cell r="B434"/>
          <cell r="C434"/>
          <cell r="D434"/>
          <cell r="E434"/>
          <cell r="F434"/>
          <cell r="G434"/>
        </row>
        <row r="435">
          <cell r="A435" t="str">
            <v>E029</v>
          </cell>
          <cell r="B435"/>
          <cell r="C435"/>
          <cell r="D435"/>
          <cell r="E435"/>
          <cell r="F435"/>
          <cell r="G435"/>
        </row>
        <row r="436">
          <cell r="A436" t="str">
            <v>E030</v>
          </cell>
          <cell r="B436"/>
          <cell r="C436"/>
          <cell r="D436"/>
          <cell r="E436"/>
          <cell r="F436"/>
          <cell r="G436"/>
        </row>
        <row r="437">
          <cell r="A437" t="str">
            <v>E031</v>
          </cell>
          <cell r="B437"/>
          <cell r="C437"/>
          <cell r="D437"/>
          <cell r="E437"/>
          <cell r="F437"/>
          <cell r="G437"/>
        </row>
        <row r="438">
          <cell r="A438" t="str">
            <v>E032</v>
          </cell>
          <cell r="B438"/>
          <cell r="C438"/>
          <cell r="D438"/>
          <cell r="E438"/>
          <cell r="F438"/>
          <cell r="G438"/>
        </row>
        <row r="439">
          <cell r="A439" t="str">
            <v>E033</v>
          </cell>
          <cell r="B439"/>
          <cell r="C439"/>
          <cell r="D439"/>
          <cell r="E439"/>
          <cell r="F439"/>
          <cell r="G439"/>
        </row>
        <row r="440">
          <cell r="A440" t="str">
            <v>E034</v>
          </cell>
          <cell r="B440"/>
          <cell r="C440"/>
          <cell r="D440"/>
          <cell r="E440"/>
          <cell r="F440"/>
          <cell r="G440"/>
        </row>
        <row r="441">
          <cell r="A441" t="str">
            <v>E035</v>
          </cell>
          <cell r="B441"/>
          <cell r="C441"/>
          <cell r="D441"/>
          <cell r="E441"/>
          <cell r="F441"/>
          <cell r="G441"/>
        </row>
        <row r="442">
          <cell r="A442" t="str">
            <v>E036</v>
          </cell>
          <cell r="B442"/>
          <cell r="C442"/>
          <cell r="D442"/>
          <cell r="E442"/>
          <cell r="F442"/>
          <cell r="G442"/>
        </row>
        <row r="443">
          <cell r="A443" t="str">
            <v>E037</v>
          </cell>
          <cell r="B443"/>
          <cell r="C443"/>
          <cell r="D443"/>
          <cell r="E443"/>
          <cell r="F443"/>
          <cell r="G443"/>
        </row>
        <row r="444">
          <cell r="A444" t="str">
            <v>E038</v>
          </cell>
          <cell r="B444"/>
          <cell r="C444"/>
          <cell r="D444"/>
          <cell r="E444"/>
          <cell r="F444"/>
          <cell r="G444"/>
        </row>
        <row r="445">
          <cell r="A445" t="str">
            <v>E039</v>
          </cell>
          <cell r="B445"/>
          <cell r="C445"/>
          <cell r="D445"/>
          <cell r="E445"/>
          <cell r="F445"/>
          <cell r="G445"/>
        </row>
        <row r="446">
          <cell r="A446" t="str">
            <v>E040</v>
          </cell>
          <cell r="B446"/>
          <cell r="C446"/>
          <cell r="D446"/>
          <cell r="E446"/>
          <cell r="F446"/>
          <cell r="G446"/>
        </row>
        <row r="447">
          <cell r="A447" t="str">
            <v>E041</v>
          </cell>
          <cell r="B447"/>
          <cell r="C447"/>
          <cell r="D447"/>
          <cell r="E447"/>
          <cell r="F447"/>
          <cell r="G447"/>
        </row>
        <row r="448">
          <cell r="A448" t="str">
            <v>E042</v>
          </cell>
          <cell r="B448"/>
          <cell r="C448"/>
          <cell r="D448"/>
          <cell r="E448"/>
          <cell r="F448"/>
          <cell r="G448"/>
        </row>
        <row r="449">
          <cell r="A449" t="str">
            <v>E043</v>
          </cell>
          <cell r="B449"/>
          <cell r="C449"/>
          <cell r="D449"/>
          <cell r="E449"/>
          <cell r="F449"/>
          <cell r="G449"/>
        </row>
        <row r="450">
          <cell r="A450" t="str">
            <v>E044</v>
          </cell>
          <cell r="B450"/>
          <cell r="C450"/>
          <cell r="D450"/>
          <cell r="E450"/>
          <cell r="F450"/>
          <cell r="G450"/>
        </row>
        <row r="451">
          <cell r="A451" t="str">
            <v>E045</v>
          </cell>
          <cell r="B451"/>
          <cell r="C451"/>
          <cell r="D451"/>
          <cell r="E451"/>
          <cell r="F451"/>
          <cell r="G451"/>
        </row>
        <row r="452">
          <cell r="A452" t="str">
            <v>E046</v>
          </cell>
          <cell r="B452"/>
          <cell r="C452"/>
          <cell r="D452"/>
          <cell r="E452"/>
          <cell r="F452"/>
          <cell r="G452"/>
        </row>
        <row r="453">
          <cell r="A453" t="str">
            <v>E047</v>
          </cell>
          <cell r="B453"/>
          <cell r="C453"/>
          <cell r="D453"/>
          <cell r="E453"/>
          <cell r="F453"/>
          <cell r="G453"/>
        </row>
        <row r="454">
          <cell r="A454" t="str">
            <v>E048</v>
          </cell>
          <cell r="B454"/>
          <cell r="C454"/>
          <cell r="D454"/>
          <cell r="E454"/>
          <cell r="F454"/>
          <cell r="G454"/>
        </row>
        <row r="455">
          <cell r="A455" t="str">
            <v>E049</v>
          </cell>
          <cell r="B455"/>
          <cell r="C455"/>
          <cell r="D455"/>
          <cell r="E455"/>
          <cell r="F455"/>
          <cell r="G455"/>
        </row>
        <row r="456">
          <cell r="A456" t="str">
            <v>E050</v>
          </cell>
          <cell r="B456"/>
          <cell r="C456"/>
          <cell r="D456"/>
          <cell r="E456"/>
          <cell r="F456"/>
          <cell r="G456"/>
        </row>
        <row r="457">
          <cell r="A457" t="str">
            <v>X001</v>
          </cell>
          <cell r="B457"/>
          <cell r="C457"/>
          <cell r="D457" t="str">
            <v>انعام مصطفی</v>
          </cell>
          <cell r="E457"/>
          <cell r="F457"/>
          <cell r="G457"/>
        </row>
        <row r="458">
          <cell r="A458" t="str">
            <v>X002</v>
          </cell>
          <cell r="B458"/>
          <cell r="C458"/>
          <cell r="D458" t="str">
            <v>درامد باسکول(احمد زاهدی)</v>
          </cell>
          <cell r="E458"/>
          <cell r="F458"/>
          <cell r="G458"/>
        </row>
        <row r="459">
          <cell r="A459" t="str">
            <v>X003</v>
          </cell>
          <cell r="B459"/>
          <cell r="C459"/>
          <cell r="D459"/>
          <cell r="E459"/>
          <cell r="F459"/>
          <cell r="G459"/>
        </row>
        <row r="460">
          <cell r="A460" t="str">
            <v>X004</v>
          </cell>
          <cell r="B460"/>
          <cell r="C460"/>
          <cell r="D460"/>
          <cell r="E460"/>
          <cell r="F460"/>
          <cell r="G460"/>
        </row>
        <row r="461">
          <cell r="A461" t="str">
            <v>X005</v>
          </cell>
          <cell r="B461"/>
          <cell r="C461"/>
          <cell r="D461"/>
          <cell r="E461"/>
          <cell r="F461"/>
          <cell r="G461"/>
        </row>
        <row r="462">
          <cell r="A462" t="str">
            <v>X006</v>
          </cell>
          <cell r="B462"/>
          <cell r="C462"/>
          <cell r="D462"/>
          <cell r="E462"/>
          <cell r="F462"/>
          <cell r="G462"/>
        </row>
        <row r="463">
          <cell r="A463" t="str">
            <v>X007</v>
          </cell>
          <cell r="B463"/>
          <cell r="C463"/>
          <cell r="D463"/>
          <cell r="E463"/>
          <cell r="F463"/>
          <cell r="G463"/>
        </row>
        <row r="464">
          <cell r="A464" t="str">
            <v>X008</v>
          </cell>
          <cell r="B464"/>
          <cell r="C464"/>
          <cell r="D464"/>
          <cell r="E464"/>
          <cell r="F464"/>
          <cell r="G464"/>
        </row>
        <row r="465">
          <cell r="A465" t="str">
            <v>X009</v>
          </cell>
          <cell r="B465"/>
          <cell r="C465"/>
          <cell r="D465"/>
          <cell r="E465"/>
          <cell r="F465"/>
          <cell r="G465"/>
        </row>
        <row r="466">
          <cell r="A466" t="str">
            <v>X010</v>
          </cell>
          <cell r="B466"/>
          <cell r="C466"/>
          <cell r="D466"/>
          <cell r="E466"/>
          <cell r="F466"/>
          <cell r="G466"/>
        </row>
        <row r="467">
          <cell r="A467" t="str">
            <v>X011</v>
          </cell>
          <cell r="B467"/>
          <cell r="C467"/>
          <cell r="D467"/>
          <cell r="E467"/>
          <cell r="F467"/>
          <cell r="G467"/>
        </row>
        <row r="468">
          <cell r="A468" t="str">
            <v>X012</v>
          </cell>
          <cell r="B468"/>
          <cell r="C468"/>
          <cell r="D468"/>
          <cell r="E468"/>
          <cell r="F468"/>
          <cell r="G468"/>
        </row>
        <row r="469">
          <cell r="A469" t="str">
            <v>X013</v>
          </cell>
          <cell r="B469"/>
          <cell r="C469"/>
          <cell r="D469"/>
          <cell r="E469"/>
          <cell r="F469"/>
          <cell r="G469"/>
        </row>
        <row r="470">
          <cell r="A470" t="str">
            <v>X014</v>
          </cell>
          <cell r="B470"/>
          <cell r="C470"/>
          <cell r="D470"/>
          <cell r="E470"/>
          <cell r="F470"/>
          <cell r="G470"/>
        </row>
        <row r="471">
          <cell r="A471" t="str">
            <v>X015</v>
          </cell>
          <cell r="B471"/>
          <cell r="C471"/>
          <cell r="D471"/>
          <cell r="E471"/>
          <cell r="F471"/>
          <cell r="G471"/>
        </row>
        <row r="472">
          <cell r="A472" t="str">
            <v>X016</v>
          </cell>
          <cell r="B472"/>
          <cell r="C472"/>
          <cell r="D472"/>
          <cell r="E472"/>
          <cell r="F472"/>
          <cell r="G472"/>
        </row>
        <row r="473">
          <cell r="A473" t="str">
            <v>X017</v>
          </cell>
          <cell r="B473"/>
          <cell r="C473"/>
          <cell r="D473"/>
          <cell r="E473"/>
          <cell r="F473"/>
          <cell r="G473"/>
        </row>
        <row r="474">
          <cell r="A474" t="str">
            <v>X018</v>
          </cell>
          <cell r="B474"/>
          <cell r="C474"/>
          <cell r="D474"/>
          <cell r="E474"/>
          <cell r="F474"/>
          <cell r="G474"/>
        </row>
        <row r="475">
          <cell r="A475" t="str">
            <v>X019</v>
          </cell>
          <cell r="B475"/>
          <cell r="C475"/>
          <cell r="D475"/>
          <cell r="E475"/>
          <cell r="F475"/>
          <cell r="G475"/>
        </row>
        <row r="476">
          <cell r="A476" t="str">
            <v>X020</v>
          </cell>
          <cell r="B476"/>
          <cell r="C476"/>
          <cell r="D476"/>
          <cell r="E476"/>
          <cell r="F476"/>
          <cell r="G476"/>
        </row>
        <row r="477">
          <cell r="A477" t="str">
            <v>X021</v>
          </cell>
          <cell r="B477"/>
          <cell r="C477"/>
          <cell r="D477"/>
          <cell r="E477"/>
          <cell r="F477"/>
          <cell r="G477"/>
        </row>
        <row r="478">
          <cell r="A478" t="str">
            <v>X022</v>
          </cell>
          <cell r="B478"/>
          <cell r="C478"/>
          <cell r="D478"/>
          <cell r="E478"/>
          <cell r="F478"/>
          <cell r="G478"/>
        </row>
        <row r="479">
          <cell r="A479" t="str">
            <v>X023</v>
          </cell>
          <cell r="B479"/>
          <cell r="C479"/>
          <cell r="D479"/>
          <cell r="E479"/>
          <cell r="F479"/>
          <cell r="G479"/>
        </row>
        <row r="480">
          <cell r="A480" t="str">
            <v>X024</v>
          </cell>
          <cell r="B480"/>
          <cell r="C480"/>
          <cell r="D480"/>
          <cell r="E480"/>
          <cell r="F480"/>
          <cell r="G480"/>
        </row>
        <row r="481">
          <cell r="A481" t="str">
            <v>X025</v>
          </cell>
          <cell r="B481"/>
          <cell r="C481"/>
          <cell r="D481"/>
          <cell r="E481"/>
          <cell r="F481"/>
          <cell r="G481"/>
        </row>
        <row r="482">
          <cell r="A482" t="str">
            <v>X026</v>
          </cell>
          <cell r="B482"/>
          <cell r="C482"/>
          <cell r="D482"/>
          <cell r="E482"/>
          <cell r="F482"/>
          <cell r="G482"/>
        </row>
        <row r="483">
          <cell r="A483" t="str">
            <v>X027</v>
          </cell>
          <cell r="B483"/>
          <cell r="C483"/>
          <cell r="D483"/>
          <cell r="E483"/>
          <cell r="F483"/>
          <cell r="G483"/>
        </row>
        <row r="484">
          <cell r="A484" t="str">
            <v>X028</v>
          </cell>
          <cell r="B484"/>
          <cell r="C484"/>
          <cell r="D484"/>
          <cell r="E484"/>
          <cell r="F484"/>
          <cell r="G484"/>
        </row>
        <row r="485">
          <cell r="A485" t="str">
            <v>X029</v>
          </cell>
          <cell r="B485"/>
          <cell r="C485"/>
          <cell r="D485"/>
          <cell r="E485"/>
          <cell r="F485"/>
          <cell r="G485"/>
        </row>
        <row r="486">
          <cell r="A486" t="str">
            <v>X030</v>
          </cell>
          <cell r="B486"/>
          <cell r="C486"/>
          <cell r="D486"/>
          <cell r="E486"/>
          <cell r="F486"/>
          <cell r="G486"/>
        </row>
        <row r="487">
          <cell r="A487" t="str">
            <v>X031</v>
          </cell>
          <cell r="B487"/>
          <cell r="C487"/>
          <cell r="D487"/>
          <cell r="E487"/>
          <cell r="F487"/>
          <cell r="G487"/>
        </row>
        <row r="488">
          <cell r="A488" t="str">
            <v>X032</v>
          </cell>
          <cell r="B488"/>
          <cell r="C488"/>
          <cell r="D488"/>
          <cell r="E488"/>
          <cell r="F488"/>
          <cell r="G488"/>
        </row>
        <row r="489">
          <cell r="A489" t="str">
            <v>X033</v>
          </cell>
          <cell r="B489"/>
          <cell r="C489"/>
          <cell r="D489"/>
          <cell r="E489"/>
          <cell r="F489"/>
          <cell r="G489"/>
        </row>
        <row r="490">
          <cell r="A490" t="str">
            <v>X034</v>
          </cell>
          <cell r="B490"/>
          <cell r="C490"/>
          <cell r="D490"/>
          <cell r="E490"/>
          <cell r="F490"/>
          <cell r="G490"/>
        </row>
        <row r="491">
          <cell r="A491" t="str">
            <v>X035</v>
          </cell>
          <cell r="B491"/>
          <cell r="C491"/>
          <cell r="D491"/>
          <cell r="E491"/>
          <cell r="F491"/>
          <cell r="G491"/>
        </row>
        <row r="492">
          <cell r="A492" t="str">
            <v>X036</v>
          </cell>
          <cell r="B492"/>
          <cell r="C492"/>
          <cell r="D492"/>
          <cell r="E492"/>
          <cell r="F492"/>
          <cell r="G492"/>
        </row>
        <row r="493">
          <cell r="A493" t="str">
            <v>X037</v>
          </cell>
          <cell r="B493"/>
          <cell r="C493"/>
          <cell r="D493"/>
          <cell r="E493"/>
          <cell r="F493"/>
          <cell r="G493"/>
        </row>
        <row r="494">
          <cell r="A494" t="str">
            <v>X038</v>
          </cell>
          <cell r="B494"/>
          <cell r="C494"/>
          <cell r="D494"/>
          <cell r="E494"/>
          <cell r="F494"/>
          <cell r="G494"/>
        </row>
        <row r="495">
          <cell r="A495" t="str">
            <v>X039</v>
          </cell>
          <cell r="B495"/>
          <cell r="C495"/>
          <cell r="D495"/>
          <cell r="E495"/>
          <cell r="F495"/>
          <cell r="G495"/>
        </row>
        <row r="496">
          <cell r="A496" t="str">
            <v>X040</v>
          </cell>
          <cell r="B496"/>
          <cell r="C496"/>
          <cell r="D496"/>
          <cell r="E496"/>
          <cell r="F496"/>
          <cell r="G496"/>
        </row>
        <row r="497">
          <cell r="A497" t="str">
            <v>X041</v>
          </cell>
          <cell r="B497"/>
          <cell r="C497"/>
          <cell r="D497"/>
          <cell r="E497"/>
          <cell r="F497"/>
          <cell r="G497"/>
        </row>
        <row r="498">
          <cell r="A498" t="str">
            <v>X042</v>
          </cell>
          <cell r="B498"/>
          <cell r="C498"/>
          <cell r="D498"/>
          <cell r="E498"/>
          <cell r="F498"/>
          <cell r="G498"/>
        </row>
        <row r="499">
          <cell r="A499" t="str">
            <v>X043</v>
          </cell>
          <cell r="B499"/>
          <cell r="C499"/>
          <cell r="D499"/>
          <cell r="E499"/>
          <cell r="F499"/>
          <cell r="G499"/>
        </row>
        <row r="500">
          <cell r="A500" t="str">
            <v>X044</v>
          </cell>
          <cell r="B500"/>
          <cell r="C500"/>
          <cell r="D500"/>
          <cell r="E500"/>
          <cell r="F500"/>
          <cell r="G500"/>
        </row>
        <row r="501">
          <cell r="A501" t="str">
            <v>X045</v>
          </cell>
          <cell r="B501"/>
          <cell r="C501"/>
          <cell r="D501"/>
          <cell r="E501"/>
          <cell r="F501"/>
          <cell r="G501"/>
        </row>
        <row r="502">
          <cell r="A502" t="str">
            <v>X046</v>
          </cell>
          <cell r="B502"/>
          <cell r="C502"/>
          <cell r="D502"/>
          <cell r="E502"/>
          <cell r="F502"/>
          <cell r="G502"/>
        </row>
        <row r="503">
          <cell r="A503" t="str">
            <v>X047</v>
          </cell>
          <cell r="B503"/>
          <cell r="C503"/>
          <cell r="D503"/>
          <cell r="E503"/>
          <cell r="F503"/>
          <cell r="G503"/>
        </row>
        <row r="504">
          <cell r="A504" t="str">
            <v>X048</v>
          </cell>
          <cell r="B504"/>
          <cell r="C504"/>
          <cell r="D504"/>
          <cell r="E504"/>
          <cell r="F504"/>
          <cell r="G504"/>
        </row>
        <row r="505">
          <cell r="A505" t="str">
            <v>X049</v>
          </cell>
          <cell r="B505"/>
          <cell r="C505"/>
          <cell r="D505"/>
          <cell r="E505"/>
          <cell r="F505"/>
          <cell r="G505"/>
        </row>
        <row r="506">
          <cell r="A506" t="str">
            <v>X050</v>
          </cell>
          <cell r="B506"/>
          <cell r="C506"/>
          <cell r="D506"/>
          <cell r="E506"/>
          <cell r="F506"/>
          <cell r="G506"/>
        </row>
        <row r="507">
          <cell r="A507" t="str">
            <v>F001</v>
          </cell>
          <cell r="B507" t="str">
            <v>دارایی ثابت</v>
          </cell>
          <cell r="C507" t="str">
            <v>زمین و ساختمان</v>
          </cell>
          <cell r="D507" t="str">
            <v>زمین باغدشت (نمونه)</v>
          </cell>
          <cell r="E507"/>
          <cell r="F507"/>
          <cell r="G507" t="str">
            <v>باغدشت</v>
          </cell>
        </row>
        <row r="508">
          <cell r="A508" t="str">
            <v>F002</v>
          </cell>
          <cell r="B508" t="str">
            <v>دارایی ثابت</v>
          </cell>
          <cell r="C508" t="str">
            <v>خودرو و حمل‌ونقل</v>
          </cell>
          <cell r="D508" t="str">
            <v>خودرو وانت حمل بار (نمونه)</v>
          </cell>
          <cell r="E508"/>
          <cell r="F508"/>
          <cell r="G508"/>
        </row>
        <row r="509">
          <cell r="A509" t="str">
            <v>F003</v>
          </cell>
          <cell r="B509" t="str">
            <v>دارایی ثابت</v>
          </cell>
          <cell r="C509" t="str">
            <v>ماشین‌آلات و تجهیزات</v>
          </cell>
          <cell r="D509" t="str">
            <v>ماشین‌آلات خط سورتینگ (نمونه)</v>
          </cell>
          <cell r="E509"/>
          <cell r="F509"/>
          <cell r="G509"/>
        </row>
        <row r="510">
          <cell r="A510" t="str">
            <v>F004</v>
          </cell>
          <cell r="B510"/>
          <cell r="C510"/>
          <cell r="D510"/>
          <cell r="E510"/>
          <cell r="F510"/>
          <cell r="G510"/>
        </row>
        <row r="511">
          <cell r="A511" t="str">
            <v>F005</v>
          </cell>
          <cell r="B511"/>
          <cell r="C511"/>
          <cell r="D511"/>
          <cell r="E511"/>
          <cell r="F511"/>
          <cell r="G511"/>
        </row>
        <row r="512">
          <cell r="A512" t="str">
            <v>F006</v>
          </cell>
          <cell r="B512"/>
          <cell r="C512"/>
          <cell r="D512"/>
          <cell r="E512"/>
          <cell r="F512"/>
          <cell r="G512"/>
        </row>
        <row r="513">
          <cell r="A513" t="str">
            <v>F007</v>
          </cell>
          <cell r="B513"/>
          <cell r="C513"/>
          <cell r="D513"/>
          <cell r="E513"/>
          <cell r="F513"/>
          <cell r="G513"/>
        </row>
        <row r="514">
          <cell r="A514" t="str">
            <v>F008</v>
          </cell>
          <cell r="B514"/>
          <cell r="C514"/>
          <cell r="D514"/>
          <cell r="E514"/>
          <cell r="F514"/>
          <cell r="G514"/>
        </row>
        <row r="515">
          <cell r="A515" t="str">
            <v>F009</v>
          </cell>
          <cell r="B515"/>
          <cell r="C515"/>
          <cell r="D515"/>
          <cell r="E515"/>
          <cell r="F515"/>
          <cell r="G515"/>
        </row>
        <row r="516">
          <cell r="A516" t="str">
            <v>F010</v>
          </cell>
          <cell r="B516"/>
          <cell r="C516"/>
          <cell r="D516"/>
          <cell r="E516"/>
          <cell r="F516"/>
          <cell r="G516"/>
        </row>
        <row r="517">
          <cell r="A517" t="str">
            <v>F011</v>
          </cell>
          <cell r="B517"/>
          <cell r="C517"/>
          <cell r="D517"/>
          <cell r="E517"/>
          <cell r="F517"/>
          <cell r="G517"/>
        </row>
        <row r="518">
          <cell r="A518" t="str">
            <v>F012</v>
          </cell>
          <cell r="B518"/>
          <cell r="C518"/>
          <cell r="D518"/>
          <cell r="E518"/>
          <cell r="F518"/>
          <cell r="G518"/>
        </row>
        <row r="519">
          <cell r="A519" t="str">
            <v>F013</v>
          </cell>
          <cell r="B519"/>
          <cell r="C519"/>
          <cell r="D519"/>
          <cell r="E519"/>
          <cell r="F519"/>
          <cell r="G519"/>
        </row>
        <row r="520">
          <cell r="A520" t="str">
            <v>F014</v>
          </cell>
          <cell r="B520"/>
          <cell r="C520"/>
          <cell r="D520"/>
          <cell r="E520"/>
          <cell r="F520"/>
          <cell r="G520"/>
        </row>
        <row r="521">
          <cell r="A521" t="str">
            <v>F015</v>
          </cell>
          <cell r="B521"/>
          <cell r="C521"/>
          <cell r="D521"/>
          <cell r="E521"/>
          <cell r="F521"/>
          <cell r="G521"/>
        </row>
        <row r="522">
          <cell r="A522" t="str">
            <v>F016</v>
          </cell>
          <cell r="B522"/>
          <cell r="C522"/>
          <cell r="D522"/>
          <cell r="E522"/>
          <cell r="F522"/>
          <cell r="G522"/>
        </row>
        <row r="523">
          <cell r="A523" t="str">
            <v>F017</v>
          </cell>
          <cell r="B523"/>
          <cell r="C523"/>
          <cell r="D523"/>
          <cell r="E523"/>
          <cell r="F523"/>
          <cell r="G523"/>
        </row>
        <row r="524">
          <cell r="A524" t="str">
            <v>F018</v>
          </cell>
          <cell r="B524"/>
          <cell r="C524"/>
          <cell r="D524"/>
          <cell r="E524"/>
          <cell r="F524"/>
          <cell r="G524"/>
        </row>
        <row r="525">
          <cell r="A525" t="str">
            <v>F019</v>
          </cell>
          <cell r="B525"/>
          <cell r="C525"/>
          <cell r="D525"/>
          <cell r="E525"/>
          <cell r="F525"/>
          <cell r="G525"/>
        </row>
        <row r="526">
          <cell r="A526" t="str">
            <v>F020</v>
          </cell>
          <cell r="B526"/>
          <cell r="C526"/>
          <cell r="D526"/>
          <cell r="E526"/>
          <cell r="F526"/>
          <cell r="G526"/>
        </row>
        <row r="527">
          <cell r="A527" t="str">
            <v>F021</v>
          </cell>
          <cell r="B527"/>
          <cell r="C527"/>
          <cell r="D527"/>
          <cell r="E527"/>
          <cell r="F527"/>
          <cell r="G527"/>
        </row>
        <row r="528">
          <cell r="A528" t="str">
            <v>F022</v>
          </cell>
          <cell r="B528"/>
          <cell r="C528"/>
          <cell r="D528"/>
          <cell r="E528"/>
          <cell r="F528"/>
          <cell r="G528"/>
        </row>
        <row r="529">
          <cell r="A529" t="str">
            <v>F023</v>
          </cell>
          <cell r="B529"/>
          <cell r="C529"/>
          <cell r="D529"/>
          <cell r="E529"/>
          <cell r="F529"/>
          <cell r="G529"/>
        </row>
        <row r="530">
          <cell r="A530" t="str">
            <v>F024</v>
          </cell>
          <cell r="B530"/>
          <cell r="C530"/>
          <cell r="D530"/>
          <cell r="E530"/>
          <cell r="F530"/>
          <cell r="G530"/>
        </row>
        <row r="531">
          <cell r="A531" t="str">
            <v>F025</v>
          </cell>
          <cell r="B531"/>
          <cell r="C531"/>
          <cell r="D531"/>
          <cell r="E531"/>
          <cell r="F531"/>
          <cell r="G531"/>
        </row>
        <row r="532">
          <cell r="A532" t="str">
            <v>F026</v>
          </cell>
          <cell r="B532"/>
          <cell r="C532"/>
          <cell r="D532"/>
          <cell r="E532"/>
          <cell r="F532"/>
          <cell r="G532"/>
        </row>
        <row r="533">
          <cell r="A533" t="str">
            <v>F027</v>
          </cell>
          <cell r="B533"/>
          <cell r="C533"/>
          <cell r="D533"/>
          <cell r="E533"/>
          <cell r="F533"/>
          <cell r="G533"/>
        </row>
        <row r="534">
          <cell r="A534" t="str">
            <v>F028</v>
          </cell>
          <cell r="B534"/>
          <cell r="C534"/>
          <cell r="D534"/>
          <cell r="E534"/>
          <cell r="F534"/>
          <cell r="G534"/>
        </row>
        <row r="535">
          <cell r="A535" t="str">
            <v>F029</v>
          </cell>
          <cell r="B535"/>
          <cell r="C535"/>
          <cell r="D535"/>
          <cell r="E535"/>
          <cell r="F535"/>
          <cell r="G535"/>
        </row>
        <row r="536">
          <cell r="A536" t="str">
            <v>F030</v>
          </cell>
          <cell r="B536"/>
          <cell r="C536"/>
          <cell r="D536"/>
          <cell r="E536"/>
          <cell r="F536"/>
          <cell r="G536"/>
        </row>
        <row r="537">
          <cell r="A537" t="str">
            <v>L001</v>
          </cell>
          <cell r="B537" t="str">
            <v>وام و تسهیلات</v>
          </cell>
          <cell r="C537" t="str">
            <v>وام بانکی</v>
          </cell>
          <cell r="D537" t="str">
            <v>وام بانک ملت (نمونه)</v>
          </cell>
          <cell r="E537"/>
          <cell r="F537"/>
          <cell r="G537"/>
        </row>
        <row r="538">
          <cell r="A538" t="str">
            <v>L002</v>
          </cell>
          <cell r="B538"/>
          <cell r="C538"/>
          <cell r="D538"/>
          <cell r="E538"/>
          <cell r="F538"/>
          <cell r="G538"/>
        </row>
        <row r="539">
          <cell r="A539" t="str">
            <v>L003</v>
          </cell>
          <cell r="B539"/>
          <cell r="C539"/>
          <cell r="D539"/>
          <cell r="E539"/>
          <cell r="F539"/>
          <cell r="G539"/>
        </row>
        <row r="540">
          <cell r="A540" t="str">
            <v>L004</v>
          </cell>
          <cell r="B540"/>
          <cell r="C540"/>
          <cell r="D540"/>
          <cell r="E540"/>
          <cell r="F540"/>
          <cell r="G540"/>
        </row>
        <row r="541">
          <cell r="A541" t="str">
            <v>L005</v>
          </cell>
          <cell r="B541"/>
          <cell r="C541"/>
          <cell r="D541"/>
          <cell r="E541"/>
          <cell r="F541"/>
          <cell r="G541"/>
        </row>
        <row r="542">
          <cell r="A542" t="str">
            <v>L006</v>
          </cell>
          <cell r="B542"/>
          <cell r="C542"/>
          <cell r="D542"/>
          <cell r="E542"/>
          <cell r="F542"/>
          <cell r="G542"/>
        </row>
        <row r="543">
          <cell r="A543" t="str">
            <v>L007</v>
          </cell>
          <cell r="B543"/>
          <cell r="C543"/>
          <cell r="D543"/>
          <cell r="E543"/>
          <cell r="F543"/>
          <cell r="G543"/>
        </row>
        <row r="544">
          <cell r="A544" t="str">
            <v>L008</v>
          </cell>
          <cell r="B544"/>
          <cell r="C544"/>
          <cell r="D544"/>
          <cell r="E544"/>
          <cell r="F544"/>
          <cell r="G544"/>
        </row>
        <row r="545">
          <cell r="A545" t="str">
            <v>L009</v>
          </cell>
          <cell r="B545"/>
          <cell r="C545"/>
          <cell r="D545"/>
          <cell r="E545"/>
          <cell r="F545"/>
          <cell r="G545"/>
        </row>
        <row r="546">
          <cell r="A546" t="str">
            <v>L010</v>
          </cell>
          <cell r="B546"/>
          <cell r="C546"/>
          <cell r="D546"/>
          <cell r="E546"/>
          <cell r="F546"/>
          <cell r="G546"/>
        </row>
        <row r="547">
          <cell r="A547" t="str">
            <v>L011</v>
          </cell>
          <cell r="B547"/>
          <cell r="C547"/>
          <cell r="D547"/>
          <cell r="E547"/>
          <cell r="F547"/>
          <cell r="G547"/>
        </row>
        <row r="548">
          <cell r="A548" t="str">
            <v>L012</v>
          </cell>
          <cell r="B548"/>
          <cell r="C548"/>
          <cell r="D548"/>
          <cell r="E548"/>
          <cell r="F548"/>
          <cell r="G548"/>
        </row>
        <row r="549">
          <cell r="A549" t="str">
            <v>L013</v>
          </cell>
          <cell r="B549"/>
          <cell r="C549"/>
          <cell r="D549"/>
          <cell r="E549"/>
          <cell r="F549"/>
          <cell r="G549"/>
        </row>
        <row r="550">
          <cell r="A550" t="str">
            <v>L014</v>
          </cell>
          <cell r="B550"/>
          <cell r="C550"/>
          <cell r="D550"/>
          <cell r="E550"/>
          <cell r="F550"/>
          <cell r="G550"/>
        </row>
        <row r="551">
          <cell r="A551" t="str">
            <v>L015</v>
          </cell>
          <cell r="B551"/>
          <cell r="C551"/>
          <cell r="D551"/>
          <cell r="E551"/>
          <cell r="F551"/>
          <cell r="G551"/>
        </row>
        <row r="552">
          <cell r="A552" t="str">
            <v>L016</v>
          </cell>
          <cell r="B552"/>
          <cell r="C552"/>
          <cell r="D552"/>
          <cell r="E552"/>
          <cell r="F552"/>
          <cell r="G552"/>
        </row>
        <row r="553">
          <cell r="A553" t="str">
            <v>L017</v>
          </cell>
          <cell r="B553"/>
          <cell r="C553"/>
          <cell r="D553"/>
          <cell r="E553"/>
          <cell r="F553"/>
          <cell r="G553"/>
        </row>
        <row r="554">
          <cell r="A554" t="str">
            <v>L018</v>
          </cell>
          <cell r="B554"/>
          <cell r="C554"/>
          <cell r="D554"/>
          <cell r="E554"/>
          <cell r="F554"/>
          <cell r="G554"/>
        </row>
        <row r="555">
          <cell r="A555" t="str">
            <v>L019</v>
          </cell>
          <cell r="B555"/>
          <cell r="C555"/>
          <cell r="D555"/>
          <cell r="E555"/>
          <cell r="F555"/>
          <cell r="G555"/>
        </row>
        <row r="556">
          <cell r="A556" t="str">
            <v>L020</v>
          </cell>
          <cell r="B556"/>
          <cell r="C556"/>
          <cell r="D556"/>
          <cell r="E556"/>
          <cell r="F556"/>
          <cell r="G556"/>
        </row>
        <row r="557">
          <cell r="A557" t="str">
            <v>CAP001</v>
          </cell>
          <cell r="B557" t="str">
            <v>سرمایه و آورده صاحبان</v>
          </cell>
          <cell r="C557" t="str">
            <v>سرمایه اولیه و آورده نقدی</v>
          </cell>
          <cell r="D557" t="str">
            <v>سرمایه و آورده صاحبان (نمونه)</v>
          </cell>
          <cell r="E557"/>
          <cell r="F557"/>
          <cell r="G557"/>
        </row>
        <row r="558">
          <cell r="A558" t="str">
            <v>CAP002</v>
          </cell>
          <cell r="B558"/>
          <cell r="C558"/>
          <cell r="D558"/>
          <cell r="E558"/>
          <cell r="F558"/>
          <cell r="G558"/>
        </row>
        <row r="559">
          <cell r="A559" t="str">
            <v>CAP003</v>
          </cell>
          <cell r="B559"/>
          <cell r="C559"/>
          <cell r="D559"/>
          <cell r="E559"/>
          <cell r="F559"/>
          <cell r="G559"/>
        </row>
        <row r="560">
          <cell r="A560" t="str">
            <v>CAP004</v>
          </cell>
          <cell r="B560"/>
          <cell r="C560"/>
          <cell r="D560"/>
          <cell r="E560"/>
          <cell r="F560"/>
          <cell r="G560"/>
        </row>
        <row r="561">
          <cell r="A561" t="str">
            <v>CAP005</v>
          </cell>
          <cell r="B561"/>
          <cell r="C561"/>
          <cell r="D561"/>
          <cell r="E561"/>
          <cell r="F561"/>
          <cell r="G561"/>
        </row>
        <row r="562">
          <cell r="A562" t="str">
            <v>CAP006</v>
          </cell>
          <cell r="B562"/>
          <cell r="C562"/>
          <cell r="D562"/>
          <cell r="E562"/>
          <cell r="F562"/>
          <cell r="G562"/>
        </row>
        <row r="563">
          <cell r="A563" t="str">
            <v>CAP007</v>
          </cell>
          <cell r="B563"/>
          <cell r="C563"/>
          <cell r="D563"/>
          <cell r="E563"/>
          <cell r="F563"/>
          <cell r="G563"/>
        </row>
        <row r="564">
          <cell r="A564" t="str">
            <v>CAP008</v>
          </cell>
          <cell r="B564"/>
          <cell r="C564"/>
          <cell r="D564"/>
          <cell r="E564"/>
          <cell r="F564"/>
          <cell r="G564"/>
        </row>
        <row r="565">
          <cell r="A565" t="str">
            <v>CAP009</v>
          </cell>
          <cell r="B565"/>
          <cell r="C565"/>
          <cell r="D565"/>
          <cell r="E565"/>
          <cell r="F565"/>
          <cell r="G565"/>
        </row>
        <row r="566">
          <cell r="A566" t="str">
            <v>CAP010</v>
          </cell>
          <cell r="B566"/>
          <cell r="C566"/>
          <cell r="D566"/>
          <cell r="E566"/>
          <cell r="F566"/>
          <cell r="G566"/>
        </row>
      </sheetData>
      <sheetData sheetId="9"/>
      <sheetData sheetId="10"/>
      <sheetData sheetId="11"/>
      <sheetData sheetId="12">
        <row r="7">
          <cell r="A7" t="str">
            <v>OP01</v>
          </cell>
          <cell r="B7" t="str">
            <v>خرید مرکبات</v>
          </cell>
          <cell r="C7" t="str">
            <v>ورود</v>
          </cell>
          <cell r="D7" t="str">
            <v>خرید</v>
          </cell>
        </row>
        <row r="8">
          <cell r="A8" t="str">
            <v>OP02</v>
          </cell>
          <cell r="B8" t="str">
            <v>فروش</v>
          </cell>
          <cell r="C8" t="str">
            <v>خروج</v>
          </cell>
          <cell r="D8" t="str">
            <v>فروش</v>
          </cell>
        </row>
        <row r="9">
          <cell r="A9" t="str">
            <v>OP03</v>
          </cell>
          <cell r="B9" t="str">
            <v>مرجوعی خرید</v>
          </cell>
          <cell r="C9" t="str">
            <v>خروج</v>
          </cell>
          <cell r="D9" t="str">
            <v>خرید</v>
          </cell>
        </row>
        <row r="10">
          <cell r="A10" t="str">
            <v>OP04</v>
          </cell>
          <cell r="B10" t="str">
            <v>مرجوعی فروش</v>
          </cell>
          <cell r="C10" t="str">
            <v>ورود</v>
          </cell>
          <cell r="D10" t="str">
            <v>فروش</v>
          </cell>
        </row>
        <row r="11">
          <cell r="A11" t="str">
            <v>OP05</v>
          </cell>
          <cell r="B11" t="str">
            <v>انتقال به انبار دیگر</v>
          </cell>
          <cell r="C11" t="str">
            <v>خروج</v>
          </cell>
          <cell r="D11"/>
        </row>
        <row r="12">
          <cell r="A12" t="str">
            <v>OP06</v>
          </cell>
          <cell r="B12" t="str">
            <v>انتقال از انبار دیگر</v>
          </cell>
          <cell r="C12" t="str">
            <v>ورود</v>
          </cell>
          <cell r="D12"/>
        </row>
        <row r="13">
          <cell r="A13" t="str">
            <v>OP07</v>
          </cell>
          <cell r="B13" t="str">
            <v>سایر ورود</v>
          </cell>
          <cell r="C13" t="str">
            <v>ورود</v>
          </cell>
          <cell r="D13"/>
        </row>
        <row r="14">
          <cell r="A14" t="str">
            <v>OP08</v>
          </cell>
          <cell r="B14" t="str">
            <v>سایر خروج</v>
          </cell>
          <cell r="C14" t="str">
            <v>خروج</v>
          </cell>
          <cell r="D14"/>
        </row>
        <row r="15">
          <cell r="A15" t="str">
            <v>OP09</v>
          </cell>
          <cell r="B15"/>
          <cell r="C15"/>
          <cell r="D15"/>
        </row>
        <row r="16">
          <cell r="A16" t="str">
            <v>OP10</v>
          </cell>
          <cell r="B16"/>
          <cell r="C16"/>
          <cell r="D16"/>
        </row>
        <row r="17">
          <cell r="A17" t="str">
            <v>OP11</v>
          </cell>
          <cell r="B17"/>
          <cell r="C17"/>
          <cell r="D17"/>
        </row>
        <row r="18">
          <cell r="A18" t="str">
            <v>OP12</v>
          </cell>
          <cell r="B18"/>
          <cell r="C18"/>
          <cell r="D18"/>
        </row>
        <row r="19">
          <cell r="A19" t="str">
            <v>OP13</v>
          </cell>
          <cell r="B19"/>
          <cell r="C19"/>
          <cell r="D19"/>
        </row>
        <row r="20">
          <cell r="A20" t="str">
            <v>OP14</v>
          </cell>
          <cell r="B20"/>
          <cell r="C20"/>
          <cell r="D20"/>
        </row>
        <row r="21">
          <cell r="A21" t="str">
            <v>OP15</v>
          </cell>
          <cell r="B21"/>
          <cell r="C21"/>
          <cell r="D21"/>
        </row>
        <row r="22">
          <cell r="A22" t="str">
            <v>OP16</v>
          </cell>
          <cell r="B22"/>
          <cell r="C22"/>
          <cell r="D22"/>
        </row>
        <row r="23">
          <cell r="A23" t="str">
            <v>OP17</v>
          </cell>
          <cell r="B23"/>
          <cell r="C23"/>
          <cell r="D23"/>
        </row>
        <row r="24">
          <cell r="A24" t="str">
            <v>OP18</v>
          </cell>
          <cell r="B24"/>
          <cell r="C24"/>
          <cell r="D24"/>
        </row>
        <row r="25">
          <cell r="A25" t="str">
            <v>OP19</v>
          </cell>
          <cell r="B25"/>
          <cell r="C25"/>
          <cell r="D25"/>
        </row>
        <row r="26">
          <cell r="A26" t="str">
            <v>OP20</v>
          </cell>
          <cell r="B26"/>
          <cell r="C26"/>
          <cell r="D26"/>
        </row>
      </sheetData>
      <sheetData sheetId="13"/>
      <sheetData sheetId="14"/>
      <sheetData sheetId="15"/>
      <sheetData sheetId="16"/>
      <sheetData sheetId="17"/>
      <sheetData sheetId="18">
        <row r="7">
          <cell r="C7" t="str">
            <v>پرتقال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kol"/>
      <sheetName val="Sync"/>
      <sheetName val="Help"/>
    </sheetNames>
    <sheetDataSet>
      <sheetData sheetId="0">
        <row r="9">
          <cell r="B9" t="str">
            <v>1405/07/06</v>
          </cell>
          <cell r="C9" t="str">
            <v>07:45</v>
          </cell>
          <cell r="D9" t="str">
            <v>BS-001</v>
          </cell>
          <cell r="E9" t="str">
            <v>خرید مرکبات</v>
          </cell>
          <cell r="G9" t="str">
            <v>c001</v>
          </cell>
          <cell r="I9"/>
          <cell r="J9" t="str">
            <v>نارنگی</v>
          </cell>
          <cell r="K9">
            <v>2290</v>
          </cell>
          <cell r="L9">
            <v>139</v>
          </cell>
          <cell r="N9"/>
          <cell r="O9"/>
        </row>
        <row r="10">
          <cell r="B10" t="str">
            <v>1405/07/06</v>
          </cell>
          <cell r="C10" t="str">
            <v>09:10</v>
          </cell>
          <cell r="D10" t="str">
            <v>BS-002</v>
          </cell>
          <cell r="E10" t="str">
            <v>خرید مرکبات</v>
          </cell>
          <cell r="G10" t="str">
            <v>c001</v>
          </cell>
          <cell r="I10"/>
          <cell r="J10" t="str">
            <v>نارنگی</v>
          </cell>
          <cell r="K10">
            <v>910</v>
          </cell>
          <cell r="L10">
            <v>53</v>
          </cell>
          <cell r="N10"/>
          <cell r="O10"/>
        </row>
        <row r="11">
          <cell r="B11" t="str">
            <v>1405/07/07</v>
          </cell>
          <cell r="C11" t="str">
            <v>11:30</v>
          </cell>
          <cell r="D11" t="str">
            <v>BS-003</v>
          </cell>
          <cell r="E11" t="str">
            <v>خرید مرکبات</v>
          </cell>
          <cell r="G11" t="str">
            <v>c002</v>
          </cell>
          <cell r="I11"/>
          <cell r="J11" t="str">
            <v>نارنگی</v>
          </cell>
          <cell r="K11">
            <v>1385</v>
          </cell>
          <cell r="L11">
            <v>85</v>
          </cell>
          <cell r="N11"/>
          <cell r="O11"/>
        </row>
        <row r="12">
          <cell r="B12" t="str">
            <v>1405/07/08</v>
          </cell>
          <cell r="C12" t="str">
            <v>08:20</v>
          </cell>
          <cell r="D12" t="str">
            <v>BS-004</v>
          </cell>
          <cell r="E12" t="str">
            <v>خرید مرکبات</v>
          </cell>
          <cell r="G12" t="str">
            <v>c003</v>
          </cell>
          <cell r="I12"/>
          <cell r="J12" t="str">
            <v>نارنگی</v>
          </cell>
          <cell r="K12">
            <v>605</v>
          </cell>
          <cell r="L12">
            <v>36</v>
          </cell>
          <cell r="N12"/>
          <cell r="O12"/>
        </row>
        <row r="13">
          <cell r="B13" t="str">
            <v>1405/07/08</v>
          </cell>
          <cell r="C13" t="str">
            <v>10:00</v>
          </cell>
          <cell r="D13" t="str">
            <v>1001</v>
          </cell>
          <cell r="E13" t="str">
            <v>خرید مرکبات</v>
          </cell>
          <cell r="G13" t="str">
            <v>c002</v>
          </cell>
          <cell r="I13"/>
          <cell r="J13" t="str">
            <v>نارنگی</v>
          </cell>
          <cell r="K13">
            <v>805</v>
          </cell>
          <cell r="L13">
            <v>49</v>
          </cell>
          <cell r="N13"/>
          <cell r="O13"/>
        </row>
        <row r="14">
          <cell r="B14" t="str">
            <v>1405/07/08</v>
          </cell>
          <cell r="C14" t="str">
            <v>11:20</v>
          </cell>
          <cell r="D14" t="str">
            <v>1002</v>
          </cell>
          <cell r="E14" t="str">
            <v>خرید مرکبات</v>
          </cell>
          <cell r="G14" t="str">
            <v>c004</v>
          </cell>
          <cell r="I14"/>
          <cell r="J14" t="str">
            <v>نارنگی</v>
          </cell>
          <cell r="K14">
            <v>865</v>
          </cell>
          <cell r="L14">
            <v>51</v>
          </cell>
          <cell r="N14"/>
          <cell r="O14"/>
        </row>
        <row r="15">
          <cell r="B15" t="str">
            <v>1405/07/08</v>
          </cell>
          <cell r="C15" t="str">
            <v>09:40</v>
          </cell>
          <cell r="D15" t="str">
            <v>1003</v>
          </cell>
          <cell r="E15" t="str">
            <v>خرید مرکبات</v>
          </cell>
          <cell r="G15" t="str">
            <v>c003</v>
          </cell>
          <cell r="I15"/>
          <cell r="J15" t="str">
            <v>نارنگی</v>
          </cell>
          <cell r="K15">
            <v>650</v>
          </cell>
          <cell r="L15">
            <v>40</v>
          </cell>
          <cell r="N15"/>
          <cell r="O15"/>
        </row>
        <row r="16">
          <cell r="B16" t="str">
            <v>1405/07/09</v>
          </cell>
          <cell r="C16" t="str">
            <v>08:50</v>
          </cell>
          <cell r="D16" t="str">
            <v>1005</v>
          </cell>
          <cell r="E16" t="str">
            <v>خرید مرکبات</v>
          </cell>
          <cell r="G16" t="str">
            <v>c005</v>
          </cell>
          <cell r="I16"/>
          <cell r="J16" t="str">
            <v>نارنگی</v>
          </cell>
          <cell r="K16">
            <v>1105</v>
          </cell>
          <cell r="L16">
            <v>66</v>
          </cell>
          <cell r="N16"/>
          <cell r="O16"/>
        </row>
        <row r="17">
          <cell r="B17" t="str">
            <v>1405/07/09</v>
          </cell>
          <cell r="C17"/>
          <cell r="D17"/>
          <cell r="E17" t="str">
            <v>خرید مرکبات</v>
          </cell>
          <cell r="G17" t="str">
            <v>c006</v>
          </cell>
          <cell r="I17"/>
          <cell r="J17" t="str">
            <v>نارنگی</v>
          </cell>
          <cell r="K17">
            <v>1595</v>
          </cell>
          <cell r="L17">
            <v>101</v>
          </cell>
          <cell r="N17"/>
          <cell r="O17"/>
        </row>
        <row r="18">
          <cell r="B18" t="str">
            <v>1405/07/09</v>
          </cell>
          <cell r="C18"/>
          <cell r="D18"/>
          <cell r="E18" t="str">
            <v>خرید مرکبات</v>
          </cell>
          <cell r="G18" t="str">
            <v>c006</v>
          </cell>
          <cell r="I18"/>
          <cell r="J18" t="str">
            <v>نارنگی</v>
          </cell>
          <cell r="K18">
            <v>700</v>
          </cell>
          <cell r="L18">
            <v>43</v>
          </cell>
          <cell r="N18"/>
          <cell r="O18"/>
        </row>
        <row r="19">
          <cell r="B19" t="str">
            <v>1405/07/09</v>
          </cell>
          <cell r="C19"/>
          <cell r="D19"/>
          <cell r="E19" t="str">
            <v>خرید مرکبات</v>
          </cell>
          <cell r="G19" t="str">
            <v>c007</v>
          </cell>
          <cell r="I19"/>
          <cell r="J19" t="str">
            <v>نارنگی</v>
          </cell>
          <cell r="K19">
            <v>2085</v>
          </cell>
          <cell r="L19">
            <v>120</v>
          </cell>
          <cell r="N19"/>
          <cell r="O19"/>
        </row>
        <row r="20">
          <cell r="B20" t="str">
            <v>1405/07/09</v>
          </cell>
          <cell r="C20"/>
          <cell r="D20"/>
          <cell r="E20" t="str">
            <v>خرید مرکبات</v>
          </cell>
          <cell r="G20" t="str">
            <v>c006</v>
          </cell>
          <cell r="I20"/>
          <cell r="J20" t="str">
            <v>نارنگی</v>
          </cell>
          <cell r="K20">
            <v>1762</v>
          </cell>
          <cell r="L20">
            <v>108</v>
          </cell>
          <cell r="N20"/>
          <cell r="O20"/>
        </row>
        <row r="21">
          <cell r="B21" t="str">
            <v>1405/07/09</v>
          </cell>
          <cell r="C21"/>
          <cell r="D21"/>
          <cell r="E21" t="str">
            <v>خرید مرکبات</v>
          </cell>
          <cell r="G21" t="str">
            <v>c003</v>
          </cell>
          <cell r="I21"/>
          <cell r="J21" t="str">
            <v>نارنگی</v>
          </cell>
          <cell r="K21">
            <v>733</v>
          </cell>
          <cell r="L21">
            <v>45</v>
          </cell>
          <cell r="N21"/>
          <cell r="O21"/>
        </row>
        <row r="22">
          <cell r="B22" t="str">
            <v>1405/07/09</v>
          </cell>
          <cell r="C22"/>
          <cell r="D22"/>
          <cell r="E22" t="str">
            <v>خرید مرکبات</v>
          </cell>
          <cell r="G22" t="str">
            <v>c008</v>
          </cell>
          <cell r="I22"/>
          <cell r="J22" t="str">
            <v>نارنگی</v>
          </cell>
          <cell r="K22">
            <v>605</v>
          </cell>
          <cell r="L22">
            <v>36</v>
          </cell>
          <cell r="N22"/>
          <cell r="O22"/>
        </row>
        <row r="23">
          <cell r="B23" t="str">
            <v>1405/07/10</v>
          </cell>
          <cell r="C23"/>
          <cell r="D23"/>
          <cell r="E23" t="str">
            <v>خرید مرکبات</v>
          </cell>
          <cell r="G23" t="str">
            <v>c009</v>
          </cell>
          <cell r="I23"/>
          <cell r="J23" t="str">
            <v>نارنگی</v>
          </cell>
          <cell r="K23">
            <v>3065</v>
          </cell>
          <cell r="L23">
            <v>190</v>
          </cell>
          <cell r="N23"/>
          <cell r="O23"/>
        </row>
        <row r="24">
          <cell r="B24" t="str">
            <v>1405/07/10</v>
          </cell>
          <cell r="C24"/>
          <cell r="D24"/>
          <cell r="E24" t="str">
            <v>خرید مرکبات</v>
          </cell>
          <cell r="G24" t="str">
            <v>c010</v>
          </cell>
          <cell r="I24"/>
          <cell r="J24" t="str">
            <v>خرمالو</v>
          </cell>
          <cell r="K24">
            <v>95</v>
          </cell>
          <cell r="L24">
            <v>0</v>
          </cell>
          <cell r="N24"/>
          <cell r="O24"/>
        </row>
        <row r="25">
          <cell r="B25" t="str">
            <v>1405/07/10</v>
          </cell>
          <cell r="C25"/>
          <cell r="D25"/>
          <cell r="E25" t="str">
            <v>خرید مرکبات</v>
          </cell>
          <cell r="G25" t="str">
            <v>c011</v>
          </cell>
          <cell r="I25"/>
          <cell r="J25" t="str">
            <v>نارنگی</v>
          </cell>
          <cell r="K25">
            <v>585</v>
          </cell>
          <cell r="L25">
            <v>33</v>
          </cell>
          <cell r="N25"/>
          <cell r="O25"/>
        </row>
        <row r="26">
          <cell r="B26" t="str">
            <v>1405/07/10</v>
          </cell>
          <cell r="C26"/>
          <cell r="D26"/>
          <cell r="E26" t="str">
            <v>خرید مرکبات</v>
          </cell>
          <cell r="G26" t="str">
            <v>c008</v>
          </cell>
          <cell r="I26"/>
          <cell r="J26" t="str">
            <v>نارنگی</v>
          </cell>
          <cell r="K26">
            <v>40</v>
          </cell>
          <cell r="L26">
            <v>3</v>
          </cell>
          <cell r="N26"/>
          <cell r="O26"/>
        </row>
        <row r="27">
          <cell r="B27" t="str">
            <v>1405/07/10</v>
          </cell>
          <cell r="C27"/>
          <cell r="D27"/>
          <cell r="E27" t="str">
            <v>خرید مرکبات</v>
          </cell>
          <cell r="G27" t="str">
            <v>c009</v>
          </cell>
          <cell r="I27"/>
          <cell r="J27" t="str">
            <v>نارنگی</v>
          </cell>
          <cell r="K27">
            <v>1400</v>
          </cell>
          <cell r="L27">
            <v>87</v>
          </cell>
          <cell r="N27"/>
          <cell r="O27"/>
        </row>
        <row r="28">
          <cell r="B28" t="str">
            <v>1405/07/11</v>
          </cell>
          <cell r="C28"/>
          <cell r="D28"/>
          <cell r="E28" t="str">
            <v>خرید مرکبات</v>
          </cell>
          <cell r="G28" t="str">
            <v>c006</v>
          </cell>
          <cell r="I28"/>
          <cell r="J28" t="str">
            <v>نارنگی</v>
          </cell>
          <cell r="K28">
            <v>650</v>
          </cell>
          <cell r="L28">
            <v>39</v>
          </cell>
          <cell r="N28"/>
          <cell r="O28"/>
        </row>
        <row r="29">
          <cell r="B29" t="str">
            <v>1405/07/11</v>
          </cell>
          <cell r="C29"/>
          <cell r="D29"/>
          <cell r="E29" t="str">
            <v>خرید مرکبات</v>
          </cell>
          <cell r="G29" t="str">
            <v>c012</v>
          </cell>
          <cell r="I29"/>
          <cell r="J29" t="str">
            <v>نارنگی</v>
          </cell>
          <cell r="K29">
            <v>3130</v>
          </cell>
          <cell r="L29">
            <v>195</v>
          </cell>
          <cell r="N29"/>
          <cell r="O29"/>
        </row>
        <row r="30">
          <cell r="B30" t="str">
            <v>1405/07/11</v>
          </cell>
          <cell r="C30"/>
          <cell r="D30"/>
          <cell r="E30" t="str">
            <v>خرید مرکبات</v>
          </cell>
          <cell r="G30" t="str">
            <v>c020</v>
          </cell>
          <cell r="I30"/>
          <cell r="J30" t="str">
            <v>نارنگی</v>
          </cell>
          <cell r="K30">
            <v>117</v>
          </cell>
          <cell r="L30">
            <v>7</v>
          </cell>
          <cell r="N30"/>
          <cell r="O30"/>
        </row>
        <row r="31">
          <cell r="B31" t="str">
            <v>1405/07/11</v>
          </cell>
          <cell r="C31"/>
          <cell r="D31"/>
          <cell r="E31" t="str">
            <v>خرید مرکبات</v>
          </cell>
          <cell r="G31" t="str">
            <v>c018</v>
          </cell>
          <cell r="I31"/>
          <cell r="J31" t="str">
            <v>نارنگی</v>
          </cell>
          <cell r="K31">
            <v>129</v>
          </cell>
          <cell r="L31">
            <v>7</v>
          </cell>
          <cell r="N31"/>
          <cell r="O31"/>
        </row>
        <row r="32">
          <cell r="B32" t="str">
            <v>1405/07/11</v>
          </cell>
          <cell r="C32"/>
          <cell r="D32"/>
          <cell r="E32" t="str">
            <v>خرید مرکبات</v>
          </cell>
          <cell r="G32" t="str">
            <v>c012</v>
          </cell>
          <cell r="I32"/>
          <cell r="J32" t="str">
            <v>نارنگی</v>
          </cell>
          <cell r="K32">
            <v>2690</v>
          </cell>
          <cell r="L32">
            <v>167</v>
          </cell>
          <cell r="N32"/>
          <cell r="O32"/>
        </row>
        <row r="33">
          <cell r="B33" t="str">
            <v>1405/07/11</v>
          </cell>
          <cell r="C33"/>
          <cell r="D33"/>
          <cell r="E33" t="str">
            <v>خرید مرکبات</v>
          </cell>
          <cell r="G33" t="str">
            <v>c013</v>
          </cell>
          <cell r="I33"/>
          <cell r="J33" t="str">
            <v>نارنگی</v>
          </cell>
          <cell r="K33">
            <v>1415</v>
          </cell>
          <cell r="L33">
            <v>85</v>
          </cell>
          <cell r="N33"/>
          <cell r="O33"/>
        </row>
        <row r="34">
          <cell r="B34" t="str">
            <v>1405/07/11</v>
          </cell>
          <cell r="C34"/>
          <cell r="D34"/>
          <cell r="E34" t="str">
            <v>خرید مرکبات</v>
          </cell>
          <cell r="G34" t="str">
            <v>c012</v>
          </cell>
          <cell r="I34"/>
          <cell r="J34" t="str">
            <v>نارنگی</v>
          </cell>
          <cell r="K34">
            <v>1035</v>
          </cell>
          <cell r="L34">
            <v>64</v>
          </cell>
          <cell r="N34"/>
          <cell r="O34"/>
        </row>
        <row r="35">
          <cell r="B35" t="str">
            <v>1405/07/11</v>
          </cell>
          <cell r="C35"/>
          <cell r="D35"/>
          <cell r="E35" t="str">
            <v>خرید مرکبات</v>
          </cell>
          <cell r="G35" t="str">
            <v>c012</v>
          </cell>
          <cell r="I35"/>
          <cell r="J35" t="str">
            <v>خرمالو</v>
          </cell>
          <cell r="K35">
            <v>345</v>
          </cell>
          <cell r="L35">
            <v>22</v>
          </cell>
          <cell r="N35"/>
          <cell r="O35"/>
        </row>
        <row r="36">
          <cell r="B36" t="str">
            <v>1405/07/11</v>
          </cell>
          <cell r="C36"/>
          <cell r="D36"/>
          <cell r="E36" t="str">
            <v>خرید مرکبات</v>
          </cell>
          <cell r="G36" t="str">
            <v>c014</v>
          </cell>
          <cell r="I36"/>
          <cell r="J36" t="str">
            <v>نارنگی</v>
          </cell>
          <cell r="K36">
            <v>385</v>
          </cell>
          <cell r="L36">
            <v>26</v>
          </cell>
          <cell r="N36"/>
          <cell r="O36"/>
        </row>
        <row r="37">
          <cell r="B37" t="str">
            <v>1405/07/13</v>
          </cell>
          <cell r="C37"/>
          <cell r="D37"/>
          <cell r="E37" t="str">
            <v>خرید مرکبات</v>
          </cell>
          <cell r="G37" t="str">
            <v>c012</v>
          </cell>
          <cell r="I37"/>
          <cell r="J37" t="str">
            <v>نارنگی</v>
          </cell>
          <cell r="K37">
            <v>1065</v>
          </cell>
          <cell r="L37">
            <v>67</v>
          </cell>
          <cell r="N37"/>
          <cell r="O37"/>
        </row>
        <row r="38">
          <cell r="B38" t="str">
            <v>1405/07/13</v>
          </cell>
          <cell r="C38"/>
          <cell r="D38"/>
          <cell r="E38" t="str">
            <v>خرید مرکبات</v>
          </cell>
          <cell r="G38" t="str">
            <v>c013</v>
          </cell>
          <cell r="I38"/>
          <cell r="J38" t="str">
            <v>نارنگی</v>
          </cell>
          <cell r="K38">
            <v>3040</v>
          </cell>
          <cell r="L38">
            <v>190</v>
          </cell>
          <cell r="N38"/>
          <cell r="O38"/>
        </row>
        <row r="39">
          <cell r="B39" t="str">
            <v>1405/07/13</v>
          </cell>
          <cell r="C39"/>
          <cell r="D39"/>
          <cell r="E39" t="str">
            <v>خرید مرکبات</v>
          </cell>
          <cell r="G39" t="str">
            <v>c013</v>
          </cell>
          <cell r="I39"/>
          <cell r="J39" t="str">
            <v>نارنگی</v>
          </cell>
          <cell r="K39">
            <v>3080</v>
          </cell>
          <cell r="L39">
            <v>190</v>
          </cell>
          <cell r="N39"/>
          <cell r="O39"/>
        </row>
        <row r="40">
          <cell r="B40" t="str">
            <v>1405/07/13</v>
          </cell>
          <cell r="C40"/>
          <cell r="D40"/>
          <cell r="E40" t="str">
            <v>خرید مرکبات</v>
          </cell>
          <cell r="G40" t="str">
            <v>c013</v>
          </cell>
          <cell r="I40"/>
          <cell r="J40" t="str">
            <v>نارنگی</v>
          </cell>
          <cell r="K40">
            <v>660</v>
          </cell>
          <cell r="L40">
            <v>43</v>
          </cell>
          <cell r="N40"/>
          <cell r="O40"/>
        </row>
        <row r="41">
          <cell r="B41" t="str">
            <v>1405/07/14</v>
          </cell>
          <cell r="C41"/>
          <cell r="D41"/>
          <cell r="E41" t="str">
            <v>فروش</v>
          </cell>
          <cell r="G41" t="str">
            <v>SL001</v>
          </cell>
          <cell r="I41"/>
          <cell r="J41"/>
          <cell r="K41">
            <v>3020</v>
          </cell>
          <cell r="L41"/>
          <cell r="N41"/>
          <cell r="O41"/>
        </row>
        <row r="42">
          <cell r="B42" t="str">
            <v>1405/07/14</v>
          </cell>
          <cell r="C42"/>
          <cell r="D42"/>
          <cell r="E42" t="str">
            <v>خرید مرکبات</v>
          </cell>
          <cell r="G42" t="str">
            <v>c013</v>
          </cell>
          <cell r="I42"/>
          <cell r="J42" t="str">
            <v>نارنگی</v>
          </cell>
          <cell r="K42">
            <v>2115</v>
          </cell>
          <cell r="L42">
            <v>139</v>
          </cell>
          <cell r="N42"/>
          <cell r="O42"/>
        </row>
        <row r="43">
          <cell r="B43" t="str">
            <v>1405/07/14</v>
          </cell>
          <cell r="C43"/>
          <cell r="D43"/>
          <cell r="E43" t="str">
            <v>خرید مرکبات</v>
          </cell>
          <cell r="G43" t="str">
            <v>c013</v>
          </cell>
          <cell r="I43"/>
          <cell r="J43" t="str">
            <v>نارنگی</v>
          </cell>
          <cell r="K43">
            <v>570</v>
          </cell>
          <cell r="L43">
            <v>33</v>
          </cell>
          <cell r="N43"/>
          <cell r="O43"/>
        </row>
        <row r="44">
          <cell r="B44" t="str">
            <v>1405/07/14</v>
          </cell>
          <cell r="C44"/>
          <cell r="D44"/>
          <cell r="E44" t="str">
            <v>خرید مرکبات</v>
          </cell>
          <cell r="G44" t="str">
            <v>c015</v>
          </cell>
          <cell r="I44"/>
          <cell r="J44" t="str">
            <v>خرمالو</v>
          </cell>
          <cell r="K44">
            <v>205</v>
          </cell>
          <cell r="L44">
            <v>11</v>
          </cell>
          <cell r="N44"/>
          <cell r="O44"/>
        </row>
        <row r="45">
          <cell r="B45" t="str">
            <v>1405/07/14</v>
          </cell>
          <cell r="C45"/>
          <cell r="D45"/>
          <cell r="E45" t="str">
            <v>خرید مرکبات</v>
          </cell>
          <cell r="G45" t="str">
            <v>c016</v>
          </cell>
          <cell r="I45"/>
          <cell r="J45" t="str">
            <v>خرمالو</v>
          </cell>
          <cell r="K45">
            <v>390</v>
          </cell>
          <cell r="L45">
            <v>21</v>
          </cell>
          <cell r="N45"/>
          <cell r="O45"/>
        </row>
        <row r="46">
          <cell r="B46" t="str">
            <v>1405/07/14</v>
          </cell>
          <cell r="C46"/>
          <cell r="D46"/>
          <cell r="E46" t="str">
            <v>خرید مرکبات</v>
          </cell>
          <cell r="G46" t="str">
            <v>c015</v>
          </cell>
          <cell r="I46"/>
          <cell r="J46" t="str">
            <v>نارنگی</v>
          </cell>
          <cell r="K46">
            <v>935</v>
          </cell>
          <cell r="L46">
            <v>55</v>
          </cell>
          <cell r="N46"/>
          <cell r="O46"/>
        </row>
        <row r="47">
          <cell r="B47" t="str">
            <v>1405/07/15</v>
          </cell>
          <cell r="C47"/>
          <cell r="D47"/>
          <cell r="E47" t="str">
            <v>فروش</v>
          </cell>
          <cell r="G47" t="str">
            <v>SL002</v>
          </cell>
          <cell r="I47"/>
          <cell r="J47"/>
          <cell r="K47">
            <v>3065</v>
          </cell>
          <cell r="L47"/>
          <cell r="N47"/>
          <cell r="O47"/>
        </row>
        <row r="48">
          <cell r="B48" t="str">
            <v>1405/07/15</v>
          </cell>
          <cell r="C48"/>
          <cell r="D48"/>
          <cell r="E48" t="str">
            <v>خرید مرکبات</v>
          </cell>
          <cell r="G48" t="str">
            <v>c019</v>
          </cell>
          <cell r="I48"/>
          <cell r="J48" t="str">
            <v>نارنگی</v>
          </cell>
          <cell r="K48">
            <v>1185</v>
          </cell>
          <cell r="L48">
            <v>71</v>
          </cell>
          <cell r="N48"/>
          <cell r="O48"/>
        </row>
        <row r="49">
          <cell r="B49" t="str">
            <v>1405/07/15</v>
          </cell>
          <cell r="C49"/>
          <cell r="D49"/>
          <cell r="E49" t="str">
            <v>خرید مرکبات</v>
          </cell>
          <cell r="G49" t="str">
            <v>c019</v>
          </cell>
          <cell r="I49"/>
          <cell r="J49" t="str">
            <v>نارنگی</v>
          </cell>
          <cell r="K49">
            <v>770</v>
          </cell>
          <cell r="L49">
            <v>50</v>
          </cell>
          <cell r="N49"/>
          <cell r="O49"/>
        </row>
        <row r="50">
          <cell r="B50" t="str">
            <v>1405/07/15</v>
          </cell>
          <cell r="C50"/>
          <cell r="D50"/>
          <cell r="E50" t="str">
            <v>فروش</v>
          </cell>
          <cell r="G50" t="str">
            <v>SL003</v>
          </cell>
          <cell r="I50"/>
          <cell r="J50"/>
          <cell r="K50">
            <v>3035</v>
          </cell>
          <cell r="L50"/>
          <cell r="N50"/>
          <cell r="O50"/>
        </row>
        <row r="51">
          <cell r="B51" t="str">
            <v>1405/07/15</v>
          </cell>
          <cell r="C51"/>
          <cell r="D51"/>
          <cell r="E51" t="str">
            <v>فروش</v>
          </cell>
          <cell r="G51" t="str">
            <v>SL001</v>
          </cell>
          <cell r="I51"/>
          <cell r="J51"/>
          <cell r="K51">
            <v>2210</v>
          </cell>
          <cell r="L51"/>
          <cell r="N51"/>
          <cell r="O51"/>
        </row>
        <row r="52">
          <cell r="B52" t="str">
            <v>1405/07/15</v>
          </cell>
          <cell r="C52"/>
          <cell r="D52"/>
          <cell r="E52" t="str">
            <v>خرید مرکبات</v>
          </cell>
          <cell r="G52" t="str">
            <v>c024</v>
          </cell>
          <cell r="I52"/>
          <cell r="J52" t="str">
            <v>نارنگی</v>
          </cell>
          <cell r="K52">
            <v>665</v>
          </cell>
          <cell r="L52">
            <v>37</v>
          </cell>
          <cell r="N52"/>
          <cell r="O52"/>
        </row>
        <row r="53">
          <cell r="B53" t="str">
            <v>1405/07/15</v>
          </cell>
          <cell r="C53"/>
          <cell r="D53"/>
          <cell r="E53" t="str">
            <v>خرید مرکبات</v>
          </cell>
          <cell r="G53" t="str">
            <v>c021</v>
          </cell>
          <cell r="I53"/>
          <cell r="J53" t="str">
            <v>نارنگی</v>
          </cell>
          <cell r="K53">
            <v>710</v>
          </cell>
          <cell r="L53">
            <v>64</v>
          </cell>
          <cell r="N53"/>
          <cell r="O53"/>
        </row>
        <row r="54">
          <cell r="B54" t="str">
            <v>1405/07/15</v>
          </cell>
          <cell r="C54"/>
          <cell r="D54"/>
          <cell r="E54" t="str">
            <v>خرید مرکبات</v>
          </cell>
          <cell r="G54" t="str">
            <v>c022</v>
          </cell>
          <cell r="I54"/>
          <cell r="J54" t="str">
            <v>خرمالو</v>
          </cell>
          <cell r="K54">
            <v>340</v>
          </cell>
          <cell r="L54">
            <v>19</v>
          </cell>
          <cell r="N54"/>
          <cell r="O54"/>
        </row>
        <row r="55">
          <cell r="B55" t="str">
            <v>1405/07/16</v>
          </cell>
          <cell r="C55"/>
          <cell r="D55"/>
          <cell r="E55" t="str">
            <v>خرید مرکبات</v>
          </cell>
          <cell r="G55" t="str">
            <v>c023</v>
          </cell>
          <cell r="I55"/>
          <cell r="J55" t="str">
            <v>نارنگی</v>
          </cell>
          <cell r="K55">
            <v>2345</v>
          </cell>
          <cell r="L55">
            <v>142</v>
          </cell>
          <cell r="N55"/>
          <cell r="O55"/>
        </row>
        <row r="56">
          <cell r="B56" t="str">
            <v>1405/07/16</v>
          </cell>
          <cell r="C56"/>
          <cell r="D56"/>
          <cell r="E56" t="str">
            <v>فروش</v>
          </cell>
          <cell r="G56" t="str">
            <v>SL004</v>
          </cell>
          <cell r="I56"/>
          <cell r="J56"/>
          <cell r="K56">
            <v>4755</v>
          </cell>
          <cell r="L56"/>
          <cell r="N56"/>
          <cell r="O56"/>
        </row>
        <row r="57">
          <cell r="B57" t="str">
            <v>1405/07/16</v>
          </cell>
          <cell r="C57"/>
          <cell r="D57"/>
          <cell r="E57" t="str">
            <v>خرید مرکبات</v>
          </cell>
          <cell r="G57" t="str">
            <v>c024</v>
          </cell>
          <cell r="I57"/>
          <cell r="J57" t="str">
            <v>خرمالو</v>
          </cell>
          <cell r="K57">
            <v>555</v>
          </cell>
          <cell r="L57">
            <v>31</v>
          </cell>
          <cell r="N57"/>
          <cell r="O57"/>
        </row>
        <row r="58">
          <cell r="B58" t="str">
            <v>1405/07/16</v>
          </cell>
          <cell r="C58"/>
          <cell r="D58"/>
          <cell r="E58" t="str">
            <v>خرید مرکبات</v>
          </cell>
          <cell r="G58" t="str">
            <v>c010</v>
          </cell>
          <cell r="I58"/>
          <cell r="J58" t="str">
            <v>نارنگی</v>
          </cell>
          <cell r="K58">
            <v>1335</v>
          </cell>
          <cell r="L58">
            <v>80</v>
          </cell>
          <cell r="N58"/>
          <cell r="O58"/>
        </row>
        <row r="59">
          <cell r="B59" t="str">
            <v>1405/07/16</v>
          </cell>
          <cell r="C59"/>
          <cell r="D59"/>
          <cell r="E59" t="str">
            <v>خرید مرکبات</v>
          </cell>
          <cell r="G59" t="str">
            <v>c024</v>
          </cell>
          <cell r="I59"/>
          <cell r="J59" t="str">
            <v>نارنگی</v>
          </cell>
          <cell r="K59"/>
          <cell r="L59">
            <v>28</v>
          </cell>
          <cell r="N59"/>
          <cell r="O59"/>
        </row>
        <row r="60">
          <cell r="B60" t="str">
            <v>1405/07/17</v>
          </cell>
          <cell r="C60"/>
          <cell r="D60"/>
          <cell r="E60" t="str">
            <v>فروش</v>
          </cell>
          <cell r="G60" t="str">
            <v>SL001</v>
          </cell>
          <cell r="I60"/>
          <cell r="J60"/>
          <cell r="K60">
            <v>3035</v>
          </cell>
          <cell r="L60">
            <v>0</v>
          </cell>
          <cell r="N60"/>
          <cell r="O60"/>
        </row>
        <row r="61">
          <cell r="B61" t="str">
            <v>1405/07/17</v>
          </cell>
          <cell r="C61"/>
          <cell r="D61"/>
          <cell r="E61" t="str">
            <v>فروش</v>
          </cell>
          <cell r="G61" t="str">
            <v>SL003</v>
          </cell>
          <cell r="I61"/>
          <cell r="J61"/>
          <cell r="K61">
            <v>3190</v>
          </cell>
          <cell r="L61">
            <v>0</v>
          </cell>
          <cell r="N61"/>
          <cell r="O61"/>
        </row>
        <row r="62">
          <cell r="B62" t="str">
            <v>1405/07/17</v>
          </cell>
          <cell r="C62"/>
          <cell r="D62"/>
          <cell r="E62" t="str">
            <v>خرید مرکبات</v>
          </cell>
          <cell r="G62" t="str">
            <v>C025</v>
          </cell>
          <cell r="I62"/>
          <cell r="J62" t="str">
            <v>خرمالو</v>
          </cell>
          <cell r="K62">
            <v>62</v>
          </cell>
          <cell r="L62">
            <v>4</v>
          </cell>
          <cell r="N62"/>
          <cell r="O62"/>
        </row>
        <row r="63">
          <cell r="B63" t="str">
            <v>1405/07/17</v>
          </cell>
          <cell r="C63"/>
          <cell r="D63"/>
          <cell r="E63" t="str">
            <v>خرید مرکبات</v>
          </cell>
          <cell r="G63" t="str">
            <v>C001</v>
          </cell>
          <cell r="I63"/>
          <cell r="J63" t="str">
            <v>نارنگی</v>
          </cell>
          <cell r="K63">
            <v>65</v>
          </cell>
          <cell r="L63">
            <v>4</v>
          </cell>
          <cell r="N63"/>
          <cell r="O63"/>
        </row>
        <row r="64">
          <cell r="B64" t="str">
            <v>1405/07/17</v>
          </cell>
          <cell r="C64"/>
          <cell r="D64"/>
          <cell r="E64" t="str">
            <v>فروش</v>
          </cell>
          <cell r="G64" t="str">
            <v>SL002</v>
          </cell>
          <cell r="I64"/>
          <cell r="J64"/>
          <cell r="K64">
            <v>2220</v>
          </cell>
          <cell r="L64">
            <v>0</v>
          </cell>
          <cell r="N64"/>
          <cell r="O64"/>
        </row>
        <row r="65">
          <cell r="B65" t="str">
            <v>1405/07/17</v>
          </cell>
          <cell r="C65"/>
          <cell r="D65"/>
          <cell r="E65" t="str">
            <v>خرید مرکبات</v>
          </cell>
          <cell r="G65" t="str">
            <v>c010</v>
          </cell>
          <cell r="I65"/>
          <cell r="J65" t="str">
            <v>نارنگی</v>
          </cell>
          <cell r="K65">
            <v>132</v>
          </cell>
          <cell r="L65">
            <v>8</v>
          </cell>
          <cell r="N65"/>
          <cell r="O65"/>
        </row>
        <row r="66">
          <cell r="B66" t="str">
            <v>1405/07/17</v>
          </cell>
          <cell r="C66"/>
          <cell r="D66"/>
          <cell r="E66" t="str">
            <v>خرید مرکبات</v>
          </cell>
          <cell r="G66" t="str">
            <v>c010</v>
          </cell>
          <cell r="I66"/>
          <cell r="J66" t="str">
            <v>خرمالو</v>
          </cell>
          <cell r="K66">
            <v>235</v>
          </cell>
          <cell r="L66">
            <v>14</v>
          </cell>
          <cell r="N66"/>
          <cell r="O66"/>
        </row>
        <row r="67">
          <cell r="B67" t="str">
            <v>1405/07/17</v>
          </cell>
          <cell r="C67"/>
          <cell r="D67"/>
          <cell r="E67" t="str">
            <v>خرید مرکبات</v>
          </cell>
          <cell r="G67" t="str">
            <v>c026</v>
          </cell>
          <cell r="I67"/>
          <cell r="J67" t="str">
            <v>نارنگی</v>
          </cell>
          <cell r="K67">
            <v>1130</v>
          </cell>
          <cell r="L67">
            <v>71</v>
          </cell>
          <cell r="N67"/>
          <cell r="O67"/>
        </row>
        <row r="68">
          <cell r="B68" t="str">
            <v>1405/07/17</v>
          </cell>
          <cell r="C68"/>
          <cell r="D68"/>
          <cell r="E68" t="str">
            <v>خرید مرکبات</v>
          </cell>
          <cell r="G68" t="str">
            <v>c026</v>
          </cell>
          <cell r="I68"/>
          <cell r="J68" t="str">
            <v>خرمالو</v>
          </cell>
          <cell r="K68">
            <v>260</v>
          </cell>
          <cell r="L68">
            <v>16</v>
          </cell>
          <cell r="N68"/>
          <cell r="O68"/>
        </row>
        <row r="69">
          <cell r="B69" t="str">
            <v>1405/07/17</v>
          </cell>
          <cell r="C69"/>
          <cell r="D69"/>
          <cell r="E69" t="str">
            <v>خرید مرکبات</v>
          </cell>
          <cell r="G69" t="str">
            <v>c027</v>
          </cell>
          <cell r="I69"/>
          <cell r="J69" t="str">
            <v>خرمالو</v>
          </cell>
          <cell r="K69">
            <v>210</v>
          </cell>
          <cell r="L69">
            <v>10</v>
          </cell>
          <cell r="N69"/>
          <cell r="O69"/>
        </row>
        <row r="70">
          <cell r="B70" t="str">
            <v>1405/07/17</v>
          </cell>
          <cell r="C70"/>
          <cell r="D70"/>
          <cell r="E70" t="str">
            <v>خرید مرکبات</v>
          </cell>
          <cell r="G70" t="str">
            <v>c028</v>
          </cell>
          <cell r="I70"/>
          <cell r="J70" t="str">
            <v>خرمالو و نارنگی</v>
          </cell>
          <cell r="K70">
            <v>42</v>
          </cell>
          <cell r="L70">
            <v>2</v>
          </cell>
          <cell r="N70"/>
          <cell r="O70"/>
        </row>
        <row r="71">
          <cell r="B71" t="str">
            <v>1405/07/17</v>
          </cell>
          <cell r="C71"/>
          <cell r="D71"/>
          <cell r="E71" t="str">
            <v>خرید مرکبات</v>
          </cell>
          <cell r="G71" t="str">
            <v>c029</v>
          </cell>
          <cell r="I71"/>
          <cell r="J71" t="str">
            <v>نارنگی</v>
          </cell>
          <cell r="K71">
            <v>710</v>
          </cell>
          <cell r="L71">
            <v>41</v>
          </cell>
          <cell r="N71"/>
          <cell r="O71"/>
        </row>
        <row r="72">
          <cell r="B72" t="str">
            <v>1405/07/17</v>
          </cell>
          <cell r="C72"/>
          <cell r="D72"/>
          <cell r="E72" t="str">
            <v>خرید مرکبات</v>
          </cell>
          <cell r="G72" t="str">
            <v>c030</v>
          </cell>
          <cell r="I72"/>
          <cell r="J72" t="str">
            <v>خرمالو</v>
          </cell>
          <cell r="K72">
            <v>35</v>
          </cell>
          <cell r="L72">
            <v>2</v>
          </cell>
          <cell r="N72"/>
          <cell r="O72"/>
        </row>
        <row r="73">
          <cell r="B73" t="str">
            <v>1405/07/17</v>
          </cell>
          <cell r="C73"/>
          <cell r="D73"/>
          <cell r="E73" t="str">
            <v>خرید مرکبات</v>
          </cell>
          <cell r="G73" t="str">
            <v>c030</v>
          </cell>
          <cell r="I73"/>
          <cell r="J73" t="str">
            <v>نارنگی</v>
          </cell>
          <cell r="K73">
            <v>465</v>
          </cell>
          <cell r="L73">
            <v>29</v>
          </cell>
          <cell r="N73"/>
          <cell r="O73"/>
        </row>
        <row r="74">
          <cell r="B74" t="str">
            <v>1405/07/17</v>
          </cell>
          <cell r="C74"/>
          <cell r="D74"/>
          <cell r="E74" t="str">
            <v>خرید مرکبات</v>
          </cell>
          <cell r="G74" t="str">
            <v>c031</v>
          </cell>
          <cell r="I74"/>
          <cell r="J74" t="str">
            <v>خرمالو</v>
          </cell>
          <cell r="K74">
            <v>21</v>
          </cell>
          <cell r="L74">
            <v>0</v>
          </cell>
          <cell r="N74"/>
          <cell r="O74"/>
        </row>
        <row r="75">
          <cell r="B75" t="str">
            <v>1405/07/17</v>
          </cell>
          <cell r="C75"/>
          <cell r="D75"/>
          <cell r="E75" t="str">
            <v>خرید مرکبات</v>
          </cell>
          <cell r="G75" t="str">
            <v>c031</v>
          </cell>
          <cell r="I75"/>
          <cell r="J75" t="str">
            <v>خرمالو</v>
          </cell>
          <cell r="K75">
            <v>75</v>
          </cell>
          <cell r="L75">
            <v>0</v>
          </cell>
          <cell r="N75"/>
          <cell r="O75"/>
        </row>
        <row r="76">
          <cell r="B76" t="str">
            <v>1405/07/17</v>
          </cell>
          <cell r="C76"/>
          <cell r="D76"/>
          <cell r="E76" t="str">
            <v>خرید مرکبات</v>
          </cell>
          <cell r="G76" t="str">
            <v>c001</v>
          </cell>
          <cell r="I76"/>
          <cell r="J76" t="str">
            <v>خرمالو</v>
          </cell>
          <cell r="K76">
            <v>55</v>
          </cell>
          <cell r="L76">
            <v>3</v>
          </cell>
          <cell r="N76"/>
          <cell r="O76"/>
        </row>
        <row r="77">
          <cell r="B77" t="str">
            <v>1405/07/18</v>
          </cell>
          <cell r="C77"/>
          <cell r="D77"/>
          <cell r="E77" t="str">
            <v>خرید مرکبات</v>
          </cell>
          <cell r="G77" t="str">
            <v>c032</v>
          </cell>
          <cell r="I77"/>
          <cell r="J77" t="str">
            <v>نارنگی</v>
          </cell>
          <cell r="K77">
            <v>2285</v>
          </cell>
          <cell r="L77">
            <v>147</v>
          </cell>
          <cell r="N77"/>
          <cell r="O77"/>
        </row>
        <row r="78">
          <cell r="B78" t="str">
            <v>1405/07/18</v>
          </cell>
          <cell r="C78"/>
          <cell r="D78"/>
          <cell r="E78" t="str">
            <v>خرید مرکبات</v>
          </cell>
          <cell r="G78" t="str">
            <v>c033</v>
          </cell>
          <cell r="I78"/>
          <cell r="J78" t="str">
            <v>خرمالو</v>
          </cell>
          <cell r="K78">
            <v>35</v>
          </cell>
          <cell r="L78"/>
          <cell r="N78"/>
          <cell r="O78"/>
        </row>
        <row r="79">
          <cell r="B79" t="str">
            <v>1405/07/18</v>
          </cell>
          <cell r="C79"/>
          <cell r="D79"/>
          <cell r="E79" t="str">
            <v>فروش</v>
          </cell>
          <cell r="G79" t="str">
            <v>SL003</v>
          </cell>
          <cell r="I79"/>
          <cell r="J79"/>
          <cell r="K79">
            <v>3045</v>
          </cell>
          <cell r="L79"/>
          <cell r="N79"/>
          <cell r="O79"/>
        </row>
        <row r="80">
          <cell r="B80" t="str">
            <v>1405/07/18</v>
          </cell>
          <cell r="C80"/>
          <cell r="D80"/>
          <cell r="E80" t="str">
            <v>خرید مرکبات</v>
          </cell>
          <cell r="G80" t="str">
            <v>c032</v>
          </cell>
          <cell r="I80"/>
          <cell r="J80" t="str">
            <v>نارنگی</v>
          </cell>
          <cell r="K80">
            <v>3140</v>
          </cell>
          <cell r="L80">
            <v>187</v>
          </cell>
          <cell r="N80"/>
          <cell r="O80"/>
        </row>
        <row r="81">
          <cell r="B81" t="str">
            <v>1405/07/18</v>
          </cell>
          <cell r="C81"/>
          <cell r="D81"/>
          <cell r="E81" t="str">
            <v>فروش</v>
          </cell>
          <cell r="G81" t="str">
            <v>SL001</v>
          </cell>
          <cell r="I81"/>
          <cell r="J81"/>
          <cell r="K81">
            <v>2195</v>
          </cell>
          <cell r="L81"/>
          <cell r="N81"/>
          <cell r="O81"/>
        </row>
        <row r="82">
          <cell r="B82" t="str">
            <v>1405/07/18</v>
          </cell>
          <cell r="C82"/>
          <cell r="D82"/>
          <cell r="E82" t="str">
            <v>خرید مرکبات</v>
          </cell>
          <cell r="G82" t="str">
            <v>c006</v>
          </cell>
          <cell r="I82"/>
          <cell r="J82" t="str">
            <v>خرمالو</v>
          </cell>
          <cell r="K82">
            <v>175</v>
          </cell>
          <cell r="L82">
            <v>9</v>
          </cell>
          <cell r="N82"/>
          <cell r="O82"/>
        </row>
        <row r="83">
          <cell r="B83" t="str">
            <v>1405/07/18</v>
          </cell>
          <cell r="C83"/>
          <cell r="D83"/>
          <cell r="E83" t="str">
            <v>فروش</v>
          </cell>
          <cell r="G83" t="str">
            <v>SL005</v>
          </cell>
          <cell r="I83"/>
          <cell r="J83"/>
          <cell r="K83">
            <v>2155</v>
          </cell>
          <cell r="L83"/>
          <cell r="N83"/>
          <cell r="O83"/>
        </row>
        <row r="84">
          <cell r="B84" t="str">
            <v>1405/07/18</v>
          </cell>
          <cell r="C84"/>
          <cell r="D84"/>
          <cell r="E84" t="str">
            <v>خرید مرکبات</v>
          </cell>
          <cell r="G84" t="str">
            <v>c032</v>
          </cell>
          <cell r="I84"/>
          <cell r="J84" t="str">
            <v>نارنگی</v>
          </cell>
          <cell r="K84">
            <v>1235</v>
          </cell>
          <cell r="L84">
            <v>77</v>
          </cell>
          <cell r="N84"/>
          <cell r="O84"/>
        </row>
        <row r="85">
          <cell r="B85" t="str">
            <v>1405/07/19</v>
          </cell>
          <cell r="C85"/>
          <cell r="D85"/>
          <cell r="E85" t="str">
            <v>خرید مرکبات</v>
          </cell>
          <cell r="G85" t="str">
            <v>c034</v>
          </cell>
          <cell r="I85"/>
          <cell r="J85" t="str">
            <v>نارنگی</v>
          </cell>
          <cell r="K85">
            <v>2665</v>
          </cell>
          <cell r="L85">
            <v>129</v>
          </cell>
          <cell r="N85"/>
          <cell r="O85"/>
        </row>
        <row r="86">
          <cell r="B86" t="str">
            <v>1405/07/19</v>
          </cell>
          <cell r="C86"/>
          <cell r="D86"/>
          <cell r="E86" t="str">
            <v>فروش</v>
          </cell>
          <cell r="G86" t="str">
            <v>SL005</v>
          </cell>
          <cell r="I86"/>
          <cell r="J86"/>
          <cell r="K86">
            <v>2975</v>
          </cell>
          <cell r="L86"/>
          <cell r="N86"/>
          <cell r="O86"/>
        </row>
        <row r="87">
          <cell r="B87" t="str">
            <v>1405/07/19</v>
          </cell>
          <cell r="C87"/>
          <cell r="D87"/>
          <cell r="E87" t="str">
            <v>خرید مرکبات</v>
          </cell>
          <cell r="G87" t="str">
            <v>c035</v>
          </cell>
          <cell r="I87"/>
          <cell r="J87" t="str">
            <v>خرمالو</v>
          </cell>
          <cell r="K87">
            <v>73</v>
          </cell>
          <cell r="L87">
            <v>4</v>
          </cell>
          <cell r="N87"/>
          <cell r="O87"/>
        </row>
        <row r="88">
          <cell r="B88" t="str">
            <v>1405/07/19</v>
          </cell>
          <cell r="C88"/>
          <cell r="D88"/>
          <cell r="E88" t="str">
            <v>خرید مرکبات</v>
          </cell>
          <cell r="G88" t="str">
            <v>c036</v>
          </cell>
          <cell r="I88"/>
          <cell r="J88" t="str">
            <v>نارنگی</v>
          </cell>
          <cell r="K88">
            <v>840</v>
          </cell>
          <cell r="L88">
            <v>54</v>
          </cell>
          <cell r="N88"/>
          <cell r="O88"/>
        </row>
        <row r="89">
          <cell r="B89" t="str">
            <v>1405/07/19</v>
          </cell>
          <cell r="C89"/>
          <cell r="D89"/>
          <cell r="E89" t="str">
            <v>فروش</v>
          </cell>
          <cell r="G89" t="str">
            <v>SL003</v>
          </cell>
          <cell r="I89"/>
          <cell r="J89"/>
          <cell r="K89">
            <v>3105</v>
          </cell>
          <cell r="L89"/>
          <cell r="N89"/>
          <cell r="O89"/>
        </row>
        <row r="90">
          <cell r="B90" t="str">
            <v>1405/07/19</v>
          </cell>
          <cell r="C90"/>
          <cell r="D90"/>
          <cell r="E90" t="str">
            <v>خرید مرکبات</v>
          </cell>
          <cell r="G90" t="str">
            <v>c036</v>
          </cell>
          <cell r="I90"/>
          <cell r="J90" t="str">
            <v>نارنگی</v>
          </cell>
          <cell r="K90">
            <v>790</v>
          </cell>
          <cell r="L90">
            <v>52</v>
          </cell>
          <cell r="N90"/>
          <cell r="O90"/>
        </row>
        <row r="91">
          <cell r="B91" t="str">
            <v>1405/07/19</v>
          </cell>
          <cell r="C91"/>
          <cell r="D91"/>
          <cell r="E91" t="str">
            <v>فروش</v>
          </cell>
          <cell r="G91" t="str">
            <v>SL001</v>
          </cell>
          <cell r="I91"/>
          <cell r="J91"/>
          <cell r="K91">
            <v>3025</v>
          </cell>
          <cell r="L91"/>
          <cell r="N91"/>
          <cell r="O91"/>
        </row>
        <row r="92">
          <cell r="B92" t="str">
            <v>1405/07/20</v>
          </cell>
          <cell r="C92"/>
          <cell r="D92"/>
          <cell r="E92" t="str">
            <v>خرید مرکبات</v>
          </cell>
          <cell r="G92" t="str">
            <v>c032</v>
          </cell>
          <cell r="I92"/>
          <cell r="J92" t="str">
            <v>نارنگی</v>
          </cell>
          <cell r="K92">
            <v>1915</v>
          </cell>
          <cell r="L92">
            <v>116</v>
          </cell>
          <cell r="N92"/>
          <cell r="O92"/>
        </row>
        <row r="93">
          <cell r="B93" t="str">
            <v>1405/07/20</v>
          </cell>
          <cell r="C93"/>
          <cell r="D93"/>
          <cell r="E93" t="str">
            <v>خرید مرکبات</v>
          </cell>
          <cell r="G93" t="str">
            <v>c032</v>
          </cell>
          <cell r="I93"/>
          <cell r="J93" t="str">
            <v>نارنگی</v>
          </cell>
          <cell r="K93">
            <v>2915</v>
          </cell>
          <cell r="L93">
            <v>187</v>
          </cell>
          <cell r="N93"/>
          <cell r="O93"/>
        </row>
        <row r="94">
          <cell r="B94" t="str">
            <v>1405/07/20</v>
          </cell>
          <cell r="C94"/>
          <cell r="D94"/>
          <cell r="E94" t="str">
            <v>فروش</v>
          </cell>
          <cell r="G94" t="str">
            <v>SL001</v>
          </cell>
          <cell r="I94"/>
          <cell r="J94"/>
          <cell r="K94">
            <v>3045</v>
          </cell>
          <cell r="L94"/>
          <cell r="N94"/>
          <cell r="O94"/>
        </row>
        <row r="95">
          <cell r="B95" t="str">
            <v>1405/07/20</v>
          </cell>
          <cell r="C95"/>
          <cell r="D95"/>
          <cell r="E95" t="str">
            <v>فروش</v>
          </cell>
          <cell r="G95" t="str">
            <v>SL003</v>
          </cell>
          <cell r="I95"/>
          <cell r="J95"/>
          <cell r="K95">
            <v>3035</v>
          </cell>
          <cell r="L95"/>
          <cell r="N95"/>
          <cell r="O95"/>
        </row>
        <row r="96">
          <cell r="B96" t="str">
            <v>1405/07/20</v>
          </cell>
          <cell r="C96"/>
          <cell r="D96"/>
          <cell r="E96" t="str">
            <v>خرید مرکبات</v>
          </cell>
          <cell r="G96" t="str">
            <v>c037</v>
          </cell>
          <cell r="I96"/>
          <cell r="J96" t="str">
            <v>نارنگی</v>
          </cell>
          <cell r="K96">
            <v>107</v>
          </cell>
          <cell r="L96">
            <v>6</v>
          </cell>
          <cell r="N96"/>
          <cell r="O96"/>
        </row>
        <row r="97">
          <cell r="B97" t="str">
            <v>1405/07/20</v>
          </cell>
          <cell r="C97"/>
          <cell r="D97"/>
          <cell r="E97" t="str">
            <v>خرید مرکبات</v>
          </cell>
          <cell r="G97" t="str">
            <v>c032</v>
          </cell>
          <cell r="I97"/>
          <cell r="J97" t="str">
            <v>نارنگی</v>
          </cell>
          <cell r="K97">
            <v>2875</v>
          </cell>
          <cell r="L97">
            <v>187</v>
          </cell>
          <cell r="N97"/>
          <cell r="O97"/>
        </row>
        <row r="98">
          <cell r="B98" t="str">
            <v>1405/07/20</v>
          </cell>
          <cell r="C98"/>
          <cell r="D98"/>
          <cell r="E98" t="str">
            <v>خرید مرکبات</v>
          </cell>
          <cell r="G98" t="str">
            <v>c038</v>
          </cell>
          <cell r="I98"/>
          <cell r="J98" t="str">
            <v>خرمالو</v>
          </cell>
          <cell r="K98">
            <v>130</v>
          </cell>
          <cell r="L98">
            <v>7</v>
          </cell>
          <cell r="N98"/>
          <cell r="O98"/>
        </row>
        <row r="99">
          <cell r="B99" t="str">
            <v>1405/07/19</v>
          </cell>
          <cell r="C99"/>
          <cell r="D99"/>
          <cell r="E99" t="str">
            <v>خرید مرکبات</v>
          </cell>
          <cell r="G99" t="str">
            <v>c032</v>
          </cell>
          <cell r="I99"/>
          <cell r="J99" t="str">
            <v>نارنگی</v>
          </cell>
          <cell r="K99">
            <v>2285</v>
          </cell>
          <cell r="L99">
            <v>147</v>
          </cell>
          <cell r="N99"/>
          <cell r="O99"/>
        </row>
        <row r="100">
          <cell r="B100" t="str">
            <v>1405/07/21</v>
          </cell>
          <cell r="C100"/>
          <cell r="D100"/>
          <cell r="E100" t="str">
            <v>خرید مرکبات</v>
          </cell>
          <cell r="G100" t="str">
            <v>c032</v>
          </cell>
          <cell r="I100"/>
          <cell r="J100" t="str">
            <v>نارنگی</v>
          </cell>
          <cell r="K100">
            <v>2260</v>
          </cell>
          <cell r="L100">
            <v>149</v>
          </cell>
          <cell r="N100"/>
          <cell r="O100"/>
        </row>
        <row r="101">
          <cell r="B101" t="str">
            <v>1405/07/21</v>
          </cell>
          <cell r="C101"/>
          <cell r="D101"/>
          <cell r="E101" t="str">
            <v>خرید مرکبات</v>
          </cell>
          <cell r="G101" t="str">
            <v>c039</v>
          </cell>
          <cell r="I101"/>
          <cell r="J101" t="str">
            <v>خرمالو</v>
          </cell>
          <cell r="K101">
            <v>364</v>
          </cell>
          <cell r="L101">
            <v>20</v>
          </cell>
          <cell r="N101"/>
          <cell r="O101"/>
        </row>
        <row r="102">
          <cell r="B102" t="str">
            <v>1405/07/21</v>
          </cell>
          <cell r="C102"/>
          <cell r="D102"/>
          <cell r="E102" t="str">
            <v>خرید مرکبات</v>
          </cell>
          <cell r="G102" t="str">
            <v>c016</v>
          </cell>
          <cell r="I102"/>
          <cell r="J102" t="str">
            <v>خرمالو</v>
          </cell>
          <cell r="K102">
            <v>495</v>
          </cell>
          <cell r="L102">
            <v>34</v>
          </cell>
          <cell r="N102"/>
          <cell r="O102"/>
        </row>
        <row r="103">
          <cell r="B103" t="str">
            <v>1405/07/21</v>
          </cell>
          <cell r="C103"/>
          <cell r="D103"/>
          <cell r="E103" t="str">
            <v>خرید مرکبات</v>
          </cell>
          <cell r="G103" t="str">
            <v>c040</v>
          </cell>
          <cell r="I103"/>
          <cell r="J103" t="str">
            <v>خرمالو</v>
          </cell>
          <cell r="K103">
            <v>885</v>
          </cell>
          <cell r="L103">
            <v>54</v>
          </cell>
          <cell r="N103"/>
          <cell r="O103"/>
        </row>
        <row r="104">
          <cell r="B104" t="str">
            <v>1405/07/21</v>
          </cell>
          <cell r="C104"/>
          <cell r="D104"/>
          <cell r="E104" t="str">
            <v>فروش</v>
          </cell>
          <cell r="G104" t="str">
            <v>SL001</v>
          </cell>
          <cell r="I104"/>
          <cell r="J104"/>
          <cell r="K104">
            <v>2170</v>
          </cell>
          <cell r="L104"/>
          <cell r="N104"/>
          <cell r="O104"/>
        </row>
        <row r="105">
          <cell r="B105" t="str">
            <v>1405/07/21</v>
          </cell>
          <cell r="C105"/>
          <cell r="D105"/>
          <cell r="E105" t="str">
            <v>خرید مرکبات</v>
          </cell>
          <cell r="G105" t="str">
            <v>c041</v>
          </cell>
          <cell r="I105"/>
          <cell r="J105" t="str">
            <v>خرمالو</v>
          </cell>
          <cell r="K105">
            <v>518</v>
          </cell>
          <cell r="L105">
            <v>31</v>
          </cell>
          <cell r="N105"/>
          <cell r="O105"/>
        </row>
        <row r="106">
          <cell r="B106" t="str">
            <v>1405/07/21</v>
          </cell>
          <cell r="C106"/>
          <cell r="D106"/>
          <cell r="E106" t="str">
            <v>خرید مرکبات</v>
          </cell>
          <cell r="G106" t="str">
            <v>c042</v>
          </cell>
          <cell r="I106"/>
          <cell r="J106" t="str">
            <v>نارنگی</v>
          </cell>
          <cell r="K106">
            <v>2415</v>
          </cell>
          <cell r="L106">
            <v>147</v>
          </cell>
          <cell r="N106"/>
          <cell r="O106"/>
        </row>
        <row r="107">
          <cell r="B107" t="str">
            <v>1405/07/21</v>
          </cell>
          <cell r="C107"/>
          <cell r="D107"/>
          <cell r="E107" t="str">
            <v>خرید مرکبات</v>
          </cell>
          <cell r="G107" t="str">
            <v>c015</v>
          </cell>
          <cell r="I107"/>
          <cell r="J107" t="str">
            <v>خرمالو</v>
          </cell>
          <cell r="K107">
            <v>875</v>
          </cell>
          <cell r="L107">
            <v>60</v>
          </cell>
          <cell r="N107"/>
          <cell r="O107"/>
        </row>
        <row r="108">
          <cell r="B108" t="str">
            <v>1405/07/21</v>
          </cell>
          <cell r="C108"/>
          <cell r="D108"/>
          <cell r="E108" t="str">
            <v>خرید مرکبات</v>
          </cell>
          <cell r="G108" t="str">
            <v>c015</v>
          </cell>
          <cell r="I108"/>
          <cell r="J108" t="str">
            <v>نارنگی</v>
          </cell>
          <cell r="K108">
            <v>35</v>
          </cell>
          <cell r="L108">
            <v>3</v>
          </cell>
          <cell r="N108"/>
          <cell r="O108"/>
        </row>
        <row r="109">
          <cell r="B109" t="str">
            <v>1405/07/21</v>
          </cell>
          <cell r="C109"/>
          <cell r="D109"/>
          <cell r="E109" t="str">
            <v>خرید مرکبات</v>
          </cell>
          <cell r="G109" t="str">
            <v>c040</v>
          </cell>
          <cell r="I109"/>
          <cell r="J109" t="str">
            <v>خرمالو</v>
          </cell>
          <cell r="K109">
            <v>110</v>
          </cell>
          <cell r="L109">
            <v>8</v>
          </cell>
          <cell r="N109"/>
          <cell r="O109"/>
        </row>
        <row r="110">
          <cell r="B110" t="str">
            <v>1405/07/21</v>
          </cell>
          <cell r="C110"/>
          <cell r="D110"/>
          <cell r="E110" t="str">
            <v>خرید مرکبات</v>
          </cell>
          <cell r="G110" t="str">
            <v>c042</v>
          </cell>
          <cell r="I110"/>
          <cell r="J110" t="str">
            <v>نارنگی</v>
          </cell>
          <cell r="K110">
            <v>2860</v>
          </cell>
          <cell r="L110">
            <v>182</v>
          </cell>
          <cell r="N110"/>
          <cell r="O110"/>
        </row>
        <row r="111">
          <cell r="B111" t="str">
            <v>1405/07/21</v>
          </cell>
          <cell r="C111"/>
          <cell r="D111"/>
          <cell r="E111" t="str">
            <v>خرید مرکبات</v>
          </cell>
          <cell r="G111" t="str">
            <v>c043</v>
          </cell>
          <cell r="I111"/>
          <cell r="J111" t="str">
            <v>خرمالو</v>
          </cell>
          <cell r="K111">
            <v>550</v>
          </cell>
          <cell r="L111">
            <v>42</v>
          </cell>
          <cell r="N111"/>
          <cell r="O111"/>
        </row>
        <row r="112">
          <cell r="B112" t="str">
            <v>1405/07/21</v>
          </cell>
          <cell r="C112"/>
          <cell r="D112"/>
          <cell r="E112" t="str">
            <v>خرید مرکبات</v>
          </cell>
          <cell r="G112" t="str">
            <v>c005</v>
          </cell>
          <cell r="I112"/>
          <cell r="J112" t="str">
            <v>خرمالو</v>
          </cell>
          <cell r="K112">
            <v>144</v>
          </cell>
          <cell r="L112">
            <v>9</v>
          </cell>
          <cell r="N112"/>
          <cell r="O112"/>
        </row>
        <row r="113">
          <cell r="B113" t="str">
            <v>1405/07/21</v>
          </cell>
          <cell r="C113"/>
          <cell r="D113"/>
          <cell r="E113" t="str">
            <v>خرید مرکبات</v>
          </cell>
          <cell r="G113" t="str">
            <v>c034</v>
          </cell>
          <cell r="I113"/>
          <cell r="J113" t="str">
            <v>نارنگی</v>
          </cell>
          <cell r="K113">
            <v>1955</v>
          </cell>
          <cell r="L113">
            <v>85</v>
          </cell>
          <cell r="N113"/>
          <cell r="O113"/>
        </row>
        <row r="114">
          <cell r="B114" t="str">
            <v>1405/07/22</v>
          </cell>
          <cell r="C114"/>
          <cell r="D114"/>
          <cell r="E114" t="str">
            <v>فروش</v>
          </cell>
          <cell r="G114" t="str">
            <v>SL002</v>
          </cell>
          <cell r="I114"/>
          <cell r="J114"/>
          <cell r="K114">
            <v>3030</v>
          </cell>
          <cell r="L114"/>
          <cell r="N114"/>
          <cell r="O114"/>
        </row>
        <row r="115">
          <cell r="B115" t="str">
            <v>1405/07/22</v>
          </cell>
          <cell r="C115"/>
          <cell r="D115"/>
          <cell r="E115" t="str">
            <v>خرید مرکبات</v>
          </cell>
          <cell r="G115" t="str">
            <v>c042</v>
          </cell>
          <cell r="I115"/>
          <cell r="J115" t="str">
            <v>نارنگی</v>
          </cell>
          <cell r="K115">
            <v>2850</v>
          </cell>
          <cell r="L115">
            <v>185</v>
          </cell>
          <cell r="N115"/>
          <cell r="O115"/>
        </row>
        <row r="116">
          <cell r="B116" t="str">
            <v>1405/07/22</v>
          </cell>
          <cell r="C116"/>
          <cell r="D116"/>
          <cell r="E116" t="str">
            <v>خرید مرکبات</v>
          </cell>
          <cell r="G116" t="str">
            <v>c026</v>
          </cell>
          <cell r="I116"/>
          <cell r="J116" t="str">
            <v>خرمالو</v>
          </cell>
          <cell r="K116">
            <v>260</v>
          </cell>
          <cell r="L116">
            <v>20</v>
          </cell>
          <cell r="N116"/>
          <cell r="O116"/>
        </row>
        <row r="117">
          <cell r="B117" t="str">
            <v>1405/07/22</v>
          </cell>
          <cell r="C117"/>
          <cell r="D117"/>
          <cell r="E117" t="str">
            <v>خرید مرکبات</v>
          </cell>
          <cell r="G117" t="str">
            <v>c044</v>
          </cell>
          <cell r="I117"/>
          <cell r="J117" t="str">
            <v>خرمالو</v>
          </cell>
          <cell r="K117">
            <v>255</v>
          </cell>
          <cell r="L117">
            <v>16</v>
          </cell>
          <cell r="N117"/>
          <cell r="O117"/>
        </row>
        <row r="118">
          <cell r="B118" t="str">
            <v>1405/07/22</v>
          </cell>
          <cell r="C118"/>
          <cell r="D118"/>
          <cell r="E118" t="str">
            <v>خرید مرکبات</v>
          </cell>
          <cell r="G118" t="str">
            <v>c015</v>
          </cell>
          <cell r="I118"/>
          <cell r="J118" t="str">
            <v>خرمالو</v>
          </cell>
          <cell r="K118">
            <v>84</v>
          </cell>
          <cell r="L118">
            <v>5</v>
          </cell>
          <cell r="N118"/>
          <cell r="O118"/>
        </row>
        <row r="119">
          <cell r="B119" t="str">
            <v>1405/07/22</v>
          </cell>
          <cell r="C119"/>
          <cell r="D119"/>
          <cell r="E119" t="str">
            <v>خرید مرکبات</v>
          </cell>
          <cell r="G119" t="str">
            <v>c041</v>
          </cell>
          <cell r="I119"/>
          <cell r="J119" t="str">
            <v>نارنگی</v>
          </cell>
          <cell r="K119">
            <v>1515</v>
          </cell>
          <cell r="L119">
            <v>86</v>
          </cell>
          <cell r="N119"/>
          <cell r="O119"/>
        </row>
        <row r="120">
          <cell r="B120" t="str">
            <v>1405/07/22</v>
          </cell>
          <cell r="C120"/>
          <cell r="D120"/>
          <cell r="E120" t="str">
            <v>خرید مرکبات</v>
          </cell>
          <cell r="G120" t="str">
            <v>c042</v>
          </cell>
          <cell r="I120"/>
          <cell r="J120" t="str">
            <v>نارنگی</v>
          </cell>
          <cell r="K120">
            <v>2375</v>
          </cell>
          <cell r="L120">
            <v>147</v>
          </cell>
          <cell r="N120"/>
          <cell r="O120"/>
        </row>
        <row r="121">
          <cell r="B121" t="str">
            <v>1405/07/22</v>
          </cell>
          <cell r="C121"/>
          <cell r="D121"/>
          <cell r="E121" t="str">
            <v>خرید مرکبات</v>
          </cell>
          <cell r="G121" t="str">
            <v>c034</v>
          </cell>
          <cell r="I121"/>
          <cell r="J121" t="str">
            <v>نارنگی</v>
          </cell>
          <cell r="K121">
            <v>1250</v>
          </cell>
          <cell r="L121">
            <v>66</v>
          </cell>
          <cell r="N121"/>
          <cell r="O121"/>
        </row>
        <row r="122">
          <cell r="B122" t="str">
            <v>1405/07/22</v>
          </cell>
          <cell r="C122"/>
          <cell r="D122"/>
          <cell r="E122" t="str">
            <v>فروش</v>
          </cell>
          <cell r="G122" t="str">
            <v>SL003</v>
          </cell>
          <cell r="I122"/>
          <cell r="J122"/>
          <cell r="K122">
            <v>2015</v>
          </cell>
          <cell r="L122"/>
          <cell r="N122"/>
          <cell r="O122"/>
        </row>
        <row r="123">
          <cell r="B123" t="str">
            <v>1405/07/22</v>
          </cell>
          <cell r="C123"/>
          <cell r="D123"/>
          <cell r="E123" t="str">
            <v>خرید مرکبات</v>
          </cell>
          <cell r="G123" t="str">
            <v>c042</v>
          </cell>
          <cell r="I123"/>
          <cell r="J123" t="str">
            <v>نارنگی</v>
          </cell>
          <cell r="K123">
            <v>3030</v>
          </cell>
          <cell r="L123">
            <v>189</v>
          </cell>
          <cell r="N123"/>
          <cell r="O123"/>
        </row>
        <row r="124">
          <cell r="B124" t="str">
            <v>1405/07/22</v>
          </cell>
          <cell r="C124"/>
          <cell r="D124"/>
          <cell r="E124" t="str">
            <v>خرید مرکبات</v>
          </cell>
          <cell r="G124" t="str">
            <v>c026</v>
          </cell>
          <cell r="I124"/>
          <cell r="J124" t="str">
            <v>خرمالو</v>
          </cell>
          <cell r="K124">
            <v>405</v>
          </cell>
          <cell r="L124">
            <v>28</v>
          </cell>
          <cell r="N124"/>
          <cell r="O124"/>
        </row>
        <row r="125">
          <cell r="B125" t="str">
            <v>1405/07/22</v>
          </cell>
          <cell r="C125"/>
          <cell r="D125"/>
          <cell r="E125" t="str">
            <v>خرید مرکبات</v>
          </cell>
          <cell r="G125" t="str">
            <v>c045</v>
          </cell>
          <cell r="I125"/>
          <cell r="J125" t="str">
            <v>خرمالو</v>
          </cell>
          <cell r="K125">
            <v>225</v>
          </cell>
          <cell r="L125">
            <v>12</v>
          </cell>
          <cell r="N125"/>
          <cell r="O125"/>
        </row>
        <row r="126">
          <cell r="B126" t="str">
            <v>1405/07/22</v>
          </cell>
          <cell r="C126"/>
          <cell r="D126"/>
          <cell r="E126" t="str">
            <v>فروش</v>
          </cell>
          <cell r="G126" t="str">
            <v>SL001</v>
          </cell>
          <cell r="I126"/>
          <cell r="J126"/>
          <cell r="K126">
            <v>2175</v>
          </cell>
          <cell r="L126"/>
          <cell r="N126"/>
          <cell r="O126"/>
        </row>
        <row r="127">
          <cell r="B127" t="str">
            <v>1405/07/22</v>
          </cell>
          <cell r="C127"/>
          <cell r="D127"/>
          <cell r="E127" t="str">
            <v>خرید مرکبات</v>
          </cell>
          <cell r="G127" t="str">
            <v>c041</v>
          </cell>
          <cell r="I127"/>
          <cell r="J127" t="str">
            <v>نارنگی</v>
          </cell>
          <cell r="K127">
            <v>1430</v>
          </cell>
          <cell r="L127">
            <v>80</v>
          </cell>
          <cell r="N127"/>
          <cell r="O127"/>
        </row>
        <row r="128">
          <cell r="B128" t="str">
            <v>1405/07/22</v>
          </cell>
          <cell r="C128"/>
          <cell r="D128"/>
          <cell r="E128" t="str">
            <v>خرید مرکبات</v>
          </cell>
          <cell r="G128" t="str">
            <v>c046</v>
          </cell>
          <cell r="I128"/>
          <cell r="J128"/>
          <cell r="K128">
            <v>75</v>
          </cell>
          <cell r="L128"/>
          <cell r="N128"/>
          <cell r="O128"/>
        </row>
        <row r="129">
          <cell r="B129" t="str">
            <v>1405/07/22</v>
          </cell>
          <cell r="C129"/>
          <cell r="D129"/>
          <cell r="E129" t="str">
            <v>خرید مرکبات</v>
          </cell>
          <cell r="G129" t="str">
            <v>c034</v>
          </cell>
          <cell r="I129"/>
          <cell r="J129" t="str">
            <v>خرمالو</v>
          </cell>
          <cell r="K129">
            <v>445</v>
          </cell>
          <cell r="L129"/>
          <cell r="N129"/>
          <cell r="O129"/>
        </row>
        <row r="130">
          <cell r="B130" t="str">
            <v>1405/07/22</v>
          </cell>
          <cell r="C130"/>
          <cell r="D130"/>
          <cell r="E130" t="str">
            <v>خرید مرکبات</v>
          </cell>
          <cell r="G130" t="str">
            <v>c047</v>
          </cell>
          <cell r="I130"/>
          <cell r="J130" t="str">
            <v>نارنگی</v>
          </cell>
          <cell r="K130">
            <v>255</v>
          </cell>
          <cell r="L130"/>
          <cell r="N130"/>
          <cell r="O130"/>
        </row>
        <row r="131">
          <cell r="B131" t="str">
            <v>1405/07/23</v>
          </cell>
          <cell r="C131"/>
          <cell r="D131"/>
          <cell r="E131" t="str">
            <v>خرید مرکبات</v>
          </cell>
          <cell r="G131" t="str">
            <v>c048</v>
          </cell>
          <cell r="I131"/>
          <cell r="J131" t="str">
            <v>نارنگی</v>
          </cell>
          <cell r="K131">
            <v>410</v>
          </cell>
          <cell r="L131">
            <v>28</v>
          </cell>
          <cell r="N131"/>
          <cell r="O131"/>
        </row>
        <row r="132">
          <cell r="B132" t="str">
            <v>1405/07/23</v>
          </cell>
          <cell r="C132"/>
          <cell r="D132"/>
          <cell r="E132" t="str">
            <v>خرید مرکبات</v>
          </cell>
          <cell r="G132" t="str">
            <v>c049</v>
          </cell>
          <cell r="I132"/>
          <cell r="J132" t="str">
            <v>نارنگی</v>
          </cell>
          <cell r="K132">
            <v>2820</v>
          </cell>
          <cell r="L132">
            <v>173</v>
          </cell>
          <cell r="N132"/>
          <cell r="O132"/>
        </row>
        <row r="133">
          <cell r="B133" t="str">
            <v>1405/07/23</v>
          </cell>
          <cell r="C133"/>
          <cell r="D133"/>
          <cell r="E133" t="str">
            <v>خرید مرکبات</v>
          </cell>
          <cell r="G133" t="str">
            <v>c049</v>
          </cell>
          <cell r="I133"/>
          <cell r="J133" t="str">
            <v>نارنگی</v>
          </cell>
          <cell r="K133">
            <v>1125</v>
          </cell>
          <cell r="L133">
            <v>73</v>
          </cell>
          <cell r="N133"/>
          <cell r="O133"/>
        </row>
        <row r="134">
          <cell r="B134" t="str">
            <v>1405/07/23</v>
          </cell>
          <cell r="C134"/>
          <cell r="D134"/>
          <cell r="E134" t="str">
            <v>خرید مرکبات</v>
          </cell>
          <cell r="G134" t="str">
            <v>c050</v>
          </cell>
          <cell r="I134"/>
          <cell r="J134" t="str">
            <v>نارنگی</v>
          </cell>
          <cell r="K134">
            <v>860</v>
          </cell>
          <cell r="L134">
            <v>58</v>
          </cell>
          <cell r="N134"/>
          <cell r="O134"/>
        </row>
        <row r="135">
          <cell r="B135" t="str">
            <v>1405/07/23</v>
          </cell>
          <cell r="C135"/>
          <cell r="D135"/>
          <cell r="E135" t="str">
            <v>خرید مرکبات</v>
          </cell>
          <cell r="G135" t="str">
            <v>c051</v>
          </cell>
          <cell r="I135"/>
          <cell r="J135" t="str">
            <v>نارنگی</v>
          </cell>
          <cell r="K135">
            <v>380</v>
          </cell>
          <cell r="L135"/>
          <cell r="N135"/>
          <cell r="O135"/>
        </row>
        <row r="136">
          <cell r="B136" t="str">
            <v>1405/07/23</v>
          </cell>
          <cell r="C136"/>
          <cell r="D136"/>
          <cell r="E136" t="str">
            <v>خرید مرکبات</v>
          </cell>
          <cell r="G136" t="str">
            <v>c048</v>
          </cell>
          <cell r="I136"/>
          <cell r="J136" t="str">
            <v>خرمالو</v>
          </cell>
          <cell r="K136">
            <v>500</v>
          </cell>
          <cell r="L136">
            <v>30</v>
          </cell>
          <cell r="N136"/>
          <cell r="O136"/>
        </row>
        <row r="137">
          <cell r="B137" t="str">
            <v>1405/07/23</v>
          </cell>
          <cell r="C137"/>
          <cell r="D137"/>
          <cell r="E137" t="str">
            <v>خرید مرکبات</v>
          </cell>
          <cell r="G137" t="str">
            <v>c041</v>
          </cell>
          <cell r="I137"/>
          <cell r="J137" t="str">
            <v>نارنگی</v>
          </cell>
          <cell r="K137">
            <v>445</v>
          </cell>
          <cell r="L137">
            <v>29</v>
          </cell>
          <cell r="N137"/>
          <cell r="O137"/>
        </row>
        <row r="138">
          <cell r="B138" t="str">
            <v>1405/07/23</v>
          </cell>
          <cell r="C138"/>
          <cell r="D138"/>
          <cell r="E138" t="str">
            <v>خرید مرکبات</v>
          </cell>
          <cell r="G138" t="str">
            <v>c049</v>
          </cell>
          <cell r="I138"/>
          <cell r="J138" t="str">
            <v>نارنگی</v>
          </cell>
          <cell r="K138">
            <v>3035</v>
          </cell>
          <cell r="L138">
            <v>187</v>
          </cell>
          <cell r="N138"/>
          <cell r="O138"/>
        </row>
        <row r="139">
          <cell r="B139" t="str">
            <v>1405/07/23</v>
          </cell>
          <cell r="C139"/>
          <cell r="D139"/>
          <cell r="E139" t="str">
            <v>خرید مرکبات</v>
          </cell>
          <cell r="G139" t="str">
            <v>c013</v>
          </cell>
          <cell r="I139"/>
          <cell r="J139" t="str">
            <v>خرمالو</v>
          </cell>
          <cell r="K139">
            <v>260</v>
          </cell>
          <cell r="L139">
            <v>30</v>
          </cell>
          <cell r="N139"/>
          <cell r="O139"/>
        </row>
        <row r="140">
          <cell r="B140" t="str">
            <v>1405/07/23</v>
          </cell>
          <cell r="C140"/>
          <cell r="D140"/>
          <cell r="E140" t="str">
            <v>خرید مرکبات</v>
          </cell>
          <cell r="G140" t="str">
            <v>c041</v>
          </cell>
          <cell r="I140"/>
          <cell r="J140" t="str">
            <v>نارنگی</v>
          </cell>
          <cell r="K140">
            <v>920</v>
          </cell>
          <cell r="L140">
            <v>52</v>
          </cell>
          <cell r="N140"/>
          <cell r="O140"/>
        </row>
        <row r="141">
          <cell r="B141" t="str">
            <v>1405/07/23</v>
          </cell>
          <cell r="C141"/>
          <cell r="D141"/>
          <cell r="E141" t="str">
            <v>خرید مرکبات</v>
          </cell>
          <cell r="G141" t="str">
            <v>c049</v>
          </cell>
          <cell r="I141"/>
          <cell r="J141" t="str">
            <v>نارنگی</v>
          </cell>
          <cell r="K141">
            <v>945</v>
          </cell>
          <cell r="L141">
            <v>56</v>
          </cell>
          <cell r="N141"/>
          <cell r="O141"/>
        </row>
        <row r="142">
          <cell r="B142" t="str">
            <v>1405/07/23</v>
          </cell>
          <cell r="C142"/>
          <cell r="D142"/>
          <cell r="E142" t="str">
            <v>خرید مرکبات</v>
          </cell>
          <cell r="G142" t="str">
            <v>c041</v>
          </cell>
          <cell r="I142"/>
          <cell r="J142" t="str">
            <v>نارنگی</v>
          </cell>
          <cell r="K142">
            <v>310</v>
          </cell>
          <cell r="L142">
            <v>18</v>
          </cell>
          <cell r="N142"/>
          <cell r="O142"/>
        </row>
        <row r="143">
          <cell r="B143" t="str">
            <v>1405/07/24</v>
          </cell>
          <cell r="C143"/>
          <cell r="D143"/>
          <cell r="E143" t="str">
            <v>فروش</v>
          </cell>
          <cell r="G143" t="str">
            <v>SL002</v>
          </cell>
          <cell r="I143"/>
          <cell r="J143"/>
          <cell r="K143">
            <v>2640</v>
          </cell>
          <cell r="L143"/>
          <cell r="N143"/>
          <cell r="O143"/>
        </row>
        <row r="144">
          <cell r="B144" t="str">
            <v>1405/07/24</v>
          </cell>
          <cell r="C144"/>
          <cell r="D144"/>
          <cell r="E144" t="str">
            <v>فروش</v>
          </cell>
          <cell r="G144" t="str">
            <v>SL005</v>
          </cell>
          <cell r="I144"/>
          <cell r="J144"/>
          <cell r="K144">
            <v>3135</v>
          </cell>
          <cell r="L144"/>
          <cell r="N144"/>
          <cell r="O144"/>
        </row>
        <row r="145">
          <cell r="B145" t="str">
            <v>1405/07/24</v>
          </cell>
          <cell r="C145"/>
          <cell r="D145"/>
          <cell r="E145" t="str">
            <v>خرید مرکبات</v>
          </cell>
          <cell r="G145" t="str">
            <v>c052</v>
          </cell>
          <cell r="I145"/>
          <cell r="J145"/>
          <cell r="K145">
            <v>3440</v>
          </cell>
          <cell r="L145">
            <v>190</v>
          </cell>
          <cell r="N145"/>
          <cell r="O145"/>
        </row>
        <row r="146">
          <cell r="B146" t="str">
            <v>1405/07/24</v>
          </cell>
          <cell r="C146"/>
          <cell r="D146"/>
          <cell r="E146" t="str">
            <v>فروش</v>
          </cell>
          <cell r="G146" t="str">
            <v>SL003</v>
          </cell>
          <cell r="I146"/>
          <cell r="J146"/>
          <cell r="K146">
            <v>3060</v>
          </cell>
          <cell r="L146"/>
          <cell r="N146"/>
          <cell r="O146"/>
        </row>
        <row r="147">
          <cell r="B147" t="str">
            <v>1405/07/24</v>
          </cell>
          <cell r="C147"/>
          <cell r="D147"/>
          <cell r="E147" t="str">
            <v>خرید مرکبات</v>
          </cell>
          <cell r="G147" t="str">
            <v>c041</v>
          </cell>
          <cell r="I147"/>
          <cell r="J147" t="str">
            <v>نارنگی</v>
          </cell>
          <cell r="K147">
            <v>1435</v>
          </cell>
          <cell r="L147">
            <v>82</v>
          </cell>
          <cell r="N147"/>
          <cell r="O147"/>
        </row>
        <row r="148">
          <cell r="B148" t="str">
            <v>1405/07/24</v>
          </cell>
          <cell r="C148"/>
          <cell r="D148"/>
          <cell r="E148" t="str">
            <v>فروش</v>
          </cell>
          <cell r="G148" t="str">
            <v>SL001</v>
          </cell>
          <cell r="I148"/>
          <cell r="J148"/>
          <cell r="K148">
            <v>2130</v>
          </cell>
          <cell r="L148"/>
          <cell r="N148"/>
          <cell r="O148"/>
        </row>
        <row r="149">
          <cell r="B149" t="str">
            <v>1405/07/24</v>
          </cell>
          <cell r="C149"/>
          <cell r="D149"/>
          <cell r="E149" t="str">
            <v>خرید مرکبات</v>
          </cell>
          <cell r="G149" t="str">
            <v>c041</v>
          </cell>
          <cell r="I149"/>
          <cell r="J149" t="str">
            <v>نارنگی</v>
          </cell>
          <cell r="K149">
            <v>415</v>
          </cell>
          <cell r="L149">
            <v>25</v>
          </cell>
          <cell r="N149"/>
          <cell r="O149"/>
        </row>
        <row r="150">
          <cell r="B150" t="str">
            <v>1405/07/24</v>
          </cell>
          <cell r="C150"/>
          <cell r="D150"/>
          <cell r="E150" t="str">
            <v>خرید مرکبات</v>
          </cell>
          <cell r="G150" t="str">
            <v>c052</v>
          </cell>
          <cell r="I150"/>
          <cell r="J150" t="str">
            <v>نارنگی</v>
          </cell>
          <cell r="K150">
            <v>365</v>
          </cell>
          <cell r="L150">
            <v>20</v>
          </cell>
          <cell r="N150"/>
          <cell r="O150"/>
        </row>
        <row r="151">
          <cell r="B151" t="str">
            <v>1405/07/24</v>
          </cell>
          <cell r="C151"/>
          <cell r="D151"/>
          <cell r="E151" t="str">
            <v>خرید مرکبات</v>
          </cell>
          <cell r="G151" t="str">
            <v>c052</v>
          </cell>
          <cell r="I151"/>
          <cell r="J151" t="str">
            <v>نارنگی</v>
          </cell>
          <cell r="K151">
            <v>2800</v>
          </cell>
          <cell r="L151">
            <v>150</v>
          </cell>
          <cell r="N151"/>
          <cell r="O151"/>
        </row>
        <row r="152">
          <cell r="B152" t="str">
            <v>1405/07/24</v>
          </cell>
          <cell r="C152"/>
          <cell r="D152"/>
          <cell r="E152" t="str">
            <v>خرید مرکبات</v>
          </cell>
          <cell r="G152" t="str">
            <v>c054</v>
          </cell>
          <cell r="I152"/>
          <cell r="J152" t="str">
            <v>خرمالو</v>
          </cell>
          <cell r="K152">
            <v>225</v>
          </cell>
          <cell r="L152">
            <v>13</v>
          </cell>
          <cell r="N152"/>
          <cell r="O152"/>
        </row>
        <row r="153">
          <cell r="B153" t="str">
            <v>1405/07/24</v>
          </cell>
          <cell r="C153"/>
          <cell r="D153"/>
          <cell r="E153" t="str">
            <v>خرید مرکبات</v>
          </cell>
          <cell r="G153" t="str">
            <v>c052</v>
          </cell>
          <cell r="I153"/>
          <cell r="J153" t="str">
            <v>نارنگی</v>
          </cell>
          <cell r="K153">
            <v>1900</v>
          </cell>
          <cell r="L153">
            <v>100</v>
          </cell>
          <cell r="N153"/>
          <cell r="O153"/>
        </row>
        <row r="154">
          <cell r="B154" t="str">
            <v>1405/07/25</v>
          </cell>
          <cell r="C154"/>
          <cell r="D154"/>
          <cell r="E154" t="str">
            <v>فروش</v>
          </cell>
          <cell r="G154" t="str">
            <v>SL005</v>
          </cell>
          <cell r="I154"/>
          <cell r="J154"/>
          <cell r="K154">
            <v>4405</v>
          </cell>
          <cell r="L154"/>
          <cell r="N154"/>
          <cell r="O154"/>
        </row>
        <row r="155">
          <cell r="B155" t="str">
            <v>1405/07/25</v>
          </cell>
          <cell r="C155"/>
          <cell r="D155"/>
          <cell r="E155" t="str">
            <v>خرید مرکبات</v>
          </cell>
          <cell r="G155" t="str">
            <v>c013</v>
          </cell>
          <cell r="I155"/>
          <cell r="J155" t="str">
            <v>خرمالو</v>
          </cell>
          <cell r="K155">
            <v>735</v>
          </cell>
          <cell r="L155">
            <v>58</v>
          </cell>
          <cell r="N155"/>
          <cell r="O155"/>
        </row>
        <row r="156">
          <cell r="B156" t="str">
            <v>1405/07/25</v>
          </cell>
          <cell r="C156"/>
          <cell r="D156"/>
          <cell r="E156" t="str">
            <v>خرید مرکبات</v>
          </cell>
          <cell r="G156" t="str">
            <v>c052</v>
          </cell>
          <cell r="I156"/>
          <cell r="J156" t="str">
            <v>نارنگی</v>
          </cell>
          <cell r="K156">
            <v>2100</v>
          </cell>
          <cell r="L156">
            <v>147</v>
          </cell>
          <cell r="N156"/>
          <cell r="O156"/>
        </row>
        <row r="157">
          <cell r="B157" t="str">
            <v>1405/07/25</v>
          </cell>
          <cell r="C157"/>
          <cell r="D157"/>
          <cell r="E157" t="str">
            <v>خرید مرکبات</v>
          </cell>
          <cell r="G157" t="str">
            <v>c052</v>
          </cell>
          <cell r="I157"/>
          <cell r="J157" t="str">
            <v>نارنگی</v>
          </cell>
          <cell r="K157">
            <v>2030</v>
          </cell>
          <cell r="L157">
            <v>116</v>
          </cell>
          <cell r="N157"/>
          <cell r="O157"/>
        </row>
        <row r="158">
          <cell r="B158" t="str">
            <v>1405/07/25</v>
          </cell>
          <cell r="C158"/>
          <cell r="D158"/>
          <cell r="E158" t="str">
            <v>فروش</v>
          </cell>
          <cell r="G158" t="str">
            <v>SL001</v>
          </cell>
          <cell r="I158"/>
          <cell r="J158"/>
          <cell r="K158">
            <v>2165</v>
          </cell>
          <cell r="L158"/>
          <cell r="N158"/>
          <cell r="O158"/>
        </row>
        <row r="159">
          <cell r="B159" t="str">
            <v>1405/07/25</v>
          </cell>
          <cell r="C159"/>
          <cell r="D159"/>
          <cell r="E159" t="str">
            <v>فروش</v>
          </cell>
          <cell r="G159" t="str">
            <v>SL003</v>
          </cell>
          <cell r="I159"/>
          <cell r="J159"/>
          <cell r="K159">
            <v>2175</v>
          </cell>
          <cell r="L159"/>
          <cell r="N159"/>
          <cell r="O159"/>
        </row>
        <row r="160">
          <cell r="B160" t="str">
            <v>1405/07/25</v>
          </cell>
          <cell r="C160"/>
          <cell r="D160"/>
          <cell r="E160" t="str">
            <v>خرید مرکبات</v>
          </cell>
          <cell r="G160" t="str">
            <v>c034</v>
          </cell>
          <cell r="I160"/>
          <cell r="J160" t="str">
            <v>خرمالو</v>
          </cell>
          <cell r="K160">
            <v>415</v>
          </cell>
          <cell r="L160"/>
          <cell r="N160"/>
          <cell r="O160"/>
        </row>
        <row r="161">
          <cell r="B161" t="str">
            <v>1405/07/25</v>
          </cell>
          <cell r="C161"/>
          <cell r="D161"/>
          <cell r="E161" t="str">
            <v>خرید مرکبات</v>
          </cell>
          <cell r="G161" t="str">
            <v>c052</v>
          </cell>
          <cell r="I161"/>
          <cell r="J161" t="str">
            <v>نارنگی</v>
          </cell>
          <cell r="K161">
            <v>3280</v>
          </cell>
          <cell r="L161">
            <v>190</v>
          </cell>
          <cell r="N161"/>
          <cell r="O161"/>
        </row>
        <row r="162">
          <cell r="B162" t="str">
            <v>1405/07/26</v>
          </cell>
          <cell r="C162"/>
          <cell r="D162"/>
          <cell r="E162" t="str">
            <v>خرید مرکبات</v>
          </cell>
          <cell r="G162" t="str">
            <v>c052</v>
          </cell>
          <cell r="I162"/>
          <cell r="J162" t="str">
            <v>نارنگی</v>
          </cell>
          <cell r="K162">
            <v>1965</v>
          </cell>
          <cell r="L162">
            <v>147</v>
          </cell>
          <cell r="N162"/>
          <cell r="O162"/>
        </row>
        <row r="163">
          <cell r="B163" t="str">
            <v>1405/07/26</v>
          </cell>
          <cell r="C163"/>
          <cell r="D163"/>
          <cell r="E163" t="str">
            <v>خرید مرکبات</v>
          </cell>
          <cell r="G163" t="str">
            <v>c053</v>
          </cell>
          <cell r="I163"/>
          <cell r="J163" t="str">
            <v>تامسون</v>
          </cell>
          <cell r="K163">
            <v>1780</v>
          </cell>
          <cell r="L163">
            <v>125</v>
          </cell>
          <cell r="N163"/>
          <cell r="O163"/>
        </row>
        <row r="164">
          <cell r="B164" t="str">
            <v>1405/07/26</v>
          </cell>
          <cell r="C164"/>
          <cell r="D164"/>
          <cell r="E164" t="str">
            <v>فروش</v>
          </cell>
          <cell r="G164" t="str">
            <v>SL002</v>
          </cell>
          <cell r="I164"/>
          <cell r="J164"/>
          <cell r="K164">
            <v>3000</v>
          </cell>
          <cell r="L164"/>
          <cell r="N164"/>
          <cell r="O164"/>
        </row>
        <row r="165">
          <cell r="B165" t="str">
            <v>1405/07/26</v>
          </cell>
          <cell r="C165"/>
          <cell r="D165"/>
          <cell r="E165" t="str">
            <v>خرید مرکبات</v>
          </cell>
          <cell r="G165" t="str">
            <v>c052</v>
          </cell>
          <cell r="I165"/>
          <cell r="J165" t="str">
            <v>نارنگی</v>
          </cell>
          <cell r="K165">
            <v>3220</v>
          </cell>
          <cell r="L165">
            <v>190</v>
          </cell>
          <cell r="N165"/>
          <cell r="O165"/>
        </row>
        <row r="166">
          <cell r="B166" t="str">
            <v>1405/07/26</v>
          </cell>
          <cell r="C166"/>
          <cell r="D166"/>
          <cell r="E166" t="str">
            <v>فروش</v>
          </cell>
          <cell r="G166" t="str">
            <v>SL003</v>
          </cell>
          <cell r="I166"/>
          <cell r="J166"/>
          <cell r="K166">
            <v>2250</v>
          </cell>
          <cell r="L166"/>
          <cell r="N166"/>
          <cell r="O166"/>
        </row>
        <row r="167">
          <cell r="B167" t="str">
            <v>1405/07/26</v>
          </cell>
          <cell r="C167"/>
          <cell r="D167"/>
          <cell r="E167" t="str">
            <v>فروش</v>
          </cell>
          <cell r="G167" t="str">
            <v>SL001</v>
          </cell>
          <cell r="I167"/>
          <cell r="J167"/>
          <cell r="K167">
            <v>2245</v>
          </cell>
          <cell r="L167"/>
          <cell r="N167"/>
          <cell r="O167"/>
        </row>
        <row r="168">
          <cell r="B168" t="str">
            <v>1405/07/26</v>
          </cell>
          <cell r="C168"/>
          <cell r="D168"/>
          <cell r="E168" t="str">
            <v>خرید مرکبات</v>
          </cell>
          <cell r="G168" t="str">
            <v>c053</v>
          </cell>
          <cell r="I168"/>
          <cell r="J168" t="str">
            <v>تامسون</v>
          </cell>
          <cell r="K168">
            <v>2000</v>
          </cell>
          <cell r="L168">
            <v>140</v>
          </cell>
          <cell r="N168"/>
          <cell r="O168"/>
        </row>
        <row r="169">
          <cell r="B169" t="str">
            <v>1405/07/26</v>
          </cell>
          <cell r="C169"/>
          <cell r="D169"/>
          <cell r="E169" t="str">
            <v>خرید مرکبات</v>
          </cell>
          <cell r="G169" t="str">
            <v>c041</v>
          </cell>
          <cell r="I169"/>
          <cell r="J169" t="str">
            <v>نارنگی</v>
          </cell>
          <cell r="K169">
            <v>1165</v>
          </cell>
          <cell r="L169">
            <v>78</v>
          </cell>
          <cell r="N169"/>
          <cell r="O169"/>
        </row>
        <row r="170">
          <cell r="B170" t="str">
            <v>1405/07/26</v>
          </cell>
          <cell r="C170"/>
          <cell r="D170"/>
          <cell r="E170" t="str">
            <v>خرید مرکبات</v>
          </cell>
          <cell r="G170" t="str">
            <v>c041</v>
          </cell>
          <cell r="I170"/>
          <cell r="J170" t="str">
            <v>نارنگی</v>
          </cell>
          <cell r="K170">
            <v>460</v>
          </cell>
          <cell r="L170">
            <v>27</v>
          </cell>
          <cell r="N170"/>
          <cell r="O170"/>
        </row>
        <row r="171">
          <cell r="B171" t="str">
            <v>1405/07/26</v>
          </cell>
          <cell r="C171"/>
          <cell r="D171"/>
          <cell r="E171" t="str">
            <v>خرید مرکبات</v>
          </cell>
          <cell r="G171" t="str">
            <v>c052</v>
          </cell>
          <cell r="I171"/>
          <cell r="J171" t="str">
            <v>نارنگی</v>
          </cell>
          <cell r="K171">
            <v>3310</v>
          </cell>
          <cell r="L171">
            <v>190</v>
          </cell>
          <cell r="N171"/>
          <cell r="O171"/>
        </row>
        <row r="172">
          <cell r="B172" t="str">
            <v>1405/07/26</v>
          </cell>
          <cell r="C172"/>
          <cell r="D172"/>
          <cell r="E172" t="str">
            <v>خرید مرکبات</v>
          </cell>
          <cell r="G172" t="str">
            <v>c034</v>
          </cell>
          <cell r="I172"/>
          <cell r="J172" t="str">
            <v>خرمالو</v>
          </cell>
          <cell r="K172">
            <v>805</v>
          </cell>
          <cell r="L172"/>
          <cell r="N172"/>
          <cell r="O172"/>
        </row>
        <row r="173">
          <cell r="B173" t="str">
            <v>1405/07/27</v>
          </cell>
          <cell r="C173"/>
          <cell r="D173"/>
          <cell r="E173" t="str">
            <v>خرید مرکبات</v>
          </cell>
          <cell r="G173" t="str">
            <v>c052</v>
          </cell>
          <cell r="I173"/>
          <cell r="J173" t="str">
            <v>نارنگی</v>
          </cell>
          <cell r="K173">
            <v>290</v>
          </cell>
          <cell r="L173">
            <v>174</v>
          </cell>
          <cell r="N173"/>
          <cell r="O173"/>
        </row>
        <row r="174">
          <cell r="B174" t="str">
            <v>1405/07/27</v>
          </cell>
          <cell r="C174"/>
          <cell r="D174"/>
          <cell r="E174" t="str">
            <v>خرید مرکبات</v>
          </cell>
          <cell r="G174" t="str">
            <v>c052</v>
          </cell>
          <cell r="I174"/>
          <cell r="J174" t="str">
            <v>نارنگی</v>
          </cell>
          <cell r="K174">
            <v>990</v>
          </cell>
          <cell r="L174">
            <v>65</v>
          </cell>
          <cell r="N174"/>
          <cell r="O174"/>
        </row>
        <row r="175">
          <cell r="B175" t="str">
            <v>1405/07/27</v>
          </cell>
          <cell r="C175"/>
          <cell r="D175"/>
          <cell r="E175" t="str">
            <v>خرید مرکبات</v>
          </cell>
          <cell r="G175" t="str">
            <v>c053</v>
          </cell>
          <cell r="I175"/>
          <cell r="J175" t="str">
            <v>نارنگی</v>
          </cell>
          <cell r="K175">
            <v>1180</v>
          </cell>
          <cell r="L175">
            <v>85</v>
          </cell>
          <cell r="N175"/>
          <cell r="O175"/>
        </row>
        <row r="176">
          <cell r="B176" t="str">
            <v>1405/07/27</v>
          </cell>
          <cell r="C176"/>
          <cell r="D176"/>
          <cell r="E176" t="str">
            <v>فروش</v>
          </cell>
          <cell r="G176" t="str">
            <v>SL005</v>
          </cell>
          <cell r="I176"/>
          <cell r="J176"/>
          <cell r="K176">
            <v>4680</v>
          </cell>
          <cell r="L176"/>
          <cell r="N176"/>
          <cell r="O176"/>
        </row>
        <row r="177">
          <cell r="B177" t="str">
            <v>1405/07/27</v>
          </cell>
          <cell r="C177"/>
          <cell r="D177"/>
          <cell r="E177" t="str">
            <v>فروش</v>
          </cell>
          <cell r="G177" t="str">
            <v>SL004</v>
          </cell>
          <cell r="I177"/>
          <cell r="J177"/>
          <cell r="K177">
            <v>4675</v>
          </cell>
          <cell r="L177"/>
          <cell r="N177"/>
          <cell r="O177"/>
        </row>
        <row r="178">
          <cell r="B178" t="str">
            <v>1405/07/27</v>
          </cell>
          <cell r="C178"/>
          <cell r="D178"/>
          <cell r="E178" t="str">
            <v>خرید مرکبات</v>
          </cell>
          <cell r="G178" t="str">
            <v>c052</v>
          </cell>
          <cell r="I178"/>
          <cell r="J178" t="str">
            <v>نارنگی</v>
          </cell>
          <cell r="K178">
            <v>3165</v>
          </cell>
          <cell r="L178">
            <v>175</v>
          </cell>
          <cell r="N178"/>
          <cell r="O178"/>
        </row>
        <row r="179">
          <cell r="B179" t="str">
            <v>1405/07/27</v>
          </cell>
          <cell r="C179"/>
          <cell r="D179"/>
          <cell r="E179" t="str">
            <v>فروش</v>
          </cell>
          <cell r="G179" t="str">
            <v>SL003</v>
          </cell>
          <cell r="I179"/>
          <cell r="J179"/>
          <cell r="K179">
            <v>2150</v>
          </cell>
          <cell r="L179"/>
          <cell r="N179"/>
          <cell r="O179"/>
        </row>
        <row r="180">
          <cell r="B180" t="str">
            <v>1405/07/27</v>
          </cell>
          <cell r="C180"/>
          <cell r="D180"/>
          <cell r="E180" t="str">
            <v>خرید مرکبات</v>
          </cell>
          <cell r="G180" t="str">
            <v>c055</v>
          </cell>
          <cell r="I180"/>
          <cell r="J180" t="str">
            <v>خرمالو</v>
          </cell>
          <cell r="K180">
            <v>270</v>
          </cell>
          <cell r="L180"/>
          <cell r="N180"/>
          <cell r="O180"/>
        </row>
        <row r="181">
          <cell r="B181" t="str">
            <v>1405/07/27</v>
          </cell>
          <cell r="C181"/>
          <cell r="D181"/>
          <cell r="E181" t="str">
            <v>خرید مرکبات</v>
          </cell>
          <cell r="G181" t="str">
            <v>c050</v>
          </cell>
          <cell r="I181"/>
          <cell r="J181" t="str">
            <v>خرمالو</v>
          </cell>
          <cell r="K181">
            <v>60</v>
          </cell>
          <cell r="L181">
            <v>4</v>
          </cell>
          <cell r="N181"/>
          <cell r="O181"/>
        </row>
        <row r="182">
          <cell r="B182" t="str">
            <v>1405/07/27</v>
          </cell>
          <cell r="C182"/>
          <cell r="D182"/>
          <cell r="E182" t="str">
            <v>خرید مرکبات</v>
          </cell>
          <cell r="G182" t="str">
            <v>c048</v>
          </cell>
          <cell r="I182"/>
          <cell r="J182" t="str">
            <v>خرمالو</v>
          </cell>
          <cell r="K182">
            <v>170</v>
          </cell>
          <cell r="L182">
            <v>15</v>
          </cell>
          <cell r="N182"/>
          <cell r="O182"/>
        </row>
        <row r="183">
          <cell r="B183" t="str">
            <v>1405/07/27</v>
          </cell>
          <cell r="C183"/>
          <cell r="D183"/>
          <cell r="E183" t="str">
            <v>خرید مرکبات</v>
          </cell>
          <cell r="G183" t="str">
            <v>c048</v>
          </cell>
          <cell r="I183"/>
          <cell r="J183" t="str">
            <v>نارنگی</v>
          </cell>
          <cell r="K183">
            <v>855</v>
          </cell>
          <cell r="L183">
            <v>47</v>
          </cell>
          <cell r="N183"/>
          <cell r="O183"/>
        </row>
        <row r="184">
          <cell r="B184" t="str">
            <v>1405/07/27</v>
          </cell>
          <cell r="C184"/>
          <cell r="D184"/>
          <cell r="E184" t="str">
            <v>خرید مرکبات</v>
          </cell>
          <cell r="G184" t="str">
            <v>c034</v>
          </cell>
          <cell r="I184"/>
          <cell r="J184"/>
          <cell r="K184">
            <v>1075</v>
          </cell>
          <cell r="L184">
            <v>56</v>
          </cell>
          <cell r="N184"/>
          <cell r="O184"/>
        </row>
        <row r="185">
          <cell r="B185" t="str">
            <v>1405/07/27</v>
          </cell>
          <cell r="C185"/>
          <cell r="D185"/>
          <cell r="E185" t="str">
            <v>خرید مرکبات</v>
          </cell>
          <cell r="G185" t="str">
            <v>c041</v>
          </cell>
          <cell r="I185"/>
          <cell r="J185"/>
          <cell r="K185">
            <v>380</v>
          </cell>
          <cell r="L185">
            <v>21</v>
          </cell>
          <cell r="N185"/>
          <cell r="O185"/>
        </row>
        <row r="186">
          <cell r="B186" t="str">
            <v>1405/07/28</v>
          </cell>
          <cell r="C186"/>
          <cell r="D186"/>
          <cell r="E186" t="str">
            <v>خرید مرکبات</v>
          </cell>
          <cell r="G186" t="str">
            <v>c056</v>
          </cell>
          <cell r="I186"/>
          <cell r="J186" t="str">
            <v>خرمالو</v>
          </cell>
          <cell r="K186">
            <v>185</v>
          </cell>
          <cell r="L186">
            <v>11</v>
          </cell>
          <cell r="N186"/>
          <cell r="O186"/>
        </row>
        <row r="187">
          <cell r="B187" t="str">
            <v>1405/07/28</v>
          </cell>
          <cell r="C187"/>
          <cell r="D187"/>
          <cell r="E187" t="str">
            <v>خرید مرکبات</v>
          </cell>
          <cell r="G187" t="str">
            <v>c052</v>
          </cell>
          <cell r="I187"/>
          <cell r="J187" t="str">
            <v>نارنگی</v>
          </cell>
          <cell r="K187">
            <v>2760</v>
          </cell>
          <cell r="L187">
            <v>160</v>
          </cell>
          <cell r="N187"/>
          <cell r="O187"/>
        </row>
        <row r="188">
          <cell r="B188" t="str">
            <v>1405/07/28</v>
          </cell>
          <cell r="C188"/>
          <cell r="D188"/>
          <cell r="E188" t="str">
            <v>خرید مرکبات</v>
          </cell>
          <cell r="G188" t="str">
            <v>c052</v>
          </cell>
          <cell r="I188"/>
          <cell r="J188" t="str">
            <v>نارنگی</v>
          </cell>
          <cell r="K188">
            <v>1315</v>
          </cell>
          <cell r="L188">
            <v>79</v>
          </cell>
          <cell r="N188"/>
          <cell r="O188"/>
        </row>
        <row r="189">
          <cell r="B189" t="str">
            <v>1405/07/28</v>
          </cell>
          <cell r="C189"/>
          <cell r="D189"/>
          <cell r="E189" t="str">
            <v>فروش</v>
          </cell>
          <cell r="G189" t="str">
            <v>SL004</v>
          </cell>
          <cell r="I189"/>
          <cell r="J189"/>
          <cell r="K189">
            <v>4545</v>
          </cell>
          <cell r="L189"/>
          <cell r="N189"/>
          <cell r="O189"/>
        </row>
        <row r="190">
          <cell r="B190" t="str">
            <v>1405/07/28</v>
          </cell>
          <cell r="C190"/>
          <cell r="D190"/>
          <cell r="E190" t="str">
            <v>فروش</v>
          </cell>
          <cell r="G190" t="str">
            <v>SL003</v>
          </cell>
          <cell r="I190"/>
          <cell r="J190"/>
          <cell r="K190">
            <v>2995</v>
          </cell>
          <cell r="L190"/>
          <cell r="N190"/>
          <cell r="O190"/>
        </row>
        <row r="191">
          <cell r="B191" t="str">
            <v>1405/07/28</v>
          </cell>
          <cell r="C191"/>
          <cell r="D191"/>
          <cell r="E191" t="str">
            <v>خرید مرکبات</v>
          </cell>
          <cell r="G191" t="str">
            <v>c052</v>
          </cell>
          <cell r="I191"/>
          <cell r="J191" t="str">
            <v>نارنگی</v>
          </cell>
          <cell r="K191">
            <v>3070</v>
          </cell>
          <cell r="L191">
            <v>170</v>
          </cell>
          <cell r="N191"/>
          <cell r="O191"/>
        </row>
        <row r="192">
          <cell r="B192" t="str">
            <v>1405/07/28</v>
          </cell>
          <cell r="C192"/>
          <cell r="D192"/>
          <cell r="E192" t="str">
            <v>خرید مرکبات</v>
          </cell>
          <cell r="G192" t="str">
            <v>c050</v>
          </cell>
          <cell r="I192"/>
          <cell r="J192" t="str">
            <v>خرمالو</v>
          </cell>
          <cell r="K192">
            <v>420</v>
          </cell>
          <cell r="L192">
            <v>37</v>
          </cell>
          <cell r="N192"/>
          <cell r="O192"/>
        </row>
        <row r="193">
          <cell r="B193" t="str">
            <v>1405/07/28</v>
          </cell>
          <cell r="C193"/>
          <cell r="D193"/>
          <cell r="E193" t="str">
            <v>خرید مرکبات</v>
          </cell>
          <cell r="G193" t="str">
            <v>c057</v>
          </cell>
          <cell r="I193"/>
          <cell r="J193" t="str">
            <v>خرمالو</v>
          </cell>
          <cell r="K193">
            <v>1275</v>
          </cell>
          <cell r="L193">
            <v>74</v>
          </cell>
          <cell r="N193"/>
          <cell r="O193"/>
        </row>
        <row r="194">
          <cell r="B194" t="str">
            <v>1405/07/28</v>
          </cell>
          <cell r="C194"/>
          <cell r="D194"/>
          <cell r="E194" t="str">
            <v>خرید مرکبات</v>
          </cell>
          <cell r="G194" t="str">
            <v>c027</v>
          </cell>
          <cell r="I194"/>
          <cell r="J194" t="str">
            <v>خرمالو</v>
          </cell>
          <cell r="K194">
            <v>219</v>
          </cell>
          <cell r="L194"/>
          <cell r="N194"/>
          <cell r="O194"/>
        </row>
        <row r="195">
          <cell r="B195" t="str">
            <v>1405/07/29</v>
          </cell>
          <cell r="C195"/>
          <cell r="D195"/>
          <cell r="E195"/>
          <cell r="G195"/>
          <cell r="I195"/>
          <cell r="J195"/>
          <cell r="K195"/>
          <cell r="L195"/>
          <cell r="N195"/>
          <cell r="O195"/>
        </row>
        <row r="196">
          <cell r="B196"/>
          <cell r="C196"/>
          <cell r="D196"/>
          <cell r="E196"/>
          <cell r="G196"/>
          <cell r="I196"/>
          <cell r="J196"/>
          <cell r="K196"/>
          <cell r="L196"/>
          <cell r="N196"/>
          <cell r="O196"/>
        </row>
        <row r="197">
          <cell r="B197"/>
          <cell r="C197"/>
          <cell r="D197"/>
          <cell r="E197"/>
          <cell r="G197"/>
          <cell r="I197"/>
          <cell r="J197"/>
          <cell r="K197"/>
          <cell r="L197"/>
          <cell r="N197"/>
          <cell r="O197"/>
        </row>
        <row r="198">
          <cell r="B198"/>
          <cell r="C198"/>
          <cell r="D198"/>
          <cell r="E198"/>
          <cell r="G198"/>
          <cell r="I198"/>
          <cell r="J198"/>
          <cell r="K198"/>
          <cell r="L198"/>
          <cell r="N198"/>
          <cell r="O198"/>
        </row>
        <row r="199">
          <cell r="B199"/>
          <cell r="C199"/>
          <cell r="D199"/>
          <cell r="E199"/>
          <cell r="G199"/>
          <cell r="I199"/>
          <cell r="J199"/>
          <cell r="K199"/>
          <cell r="L199"/>
          <cell r="N199"/>
          <cell r="O199"/>
        </row>
        <row r="200">
          <cell r="B200"/>
          <cell r="C200"/>
          <cell r="D200"/>
          <cell r="E200"/>
          <cell r="G200"/>
          <cell r="I200"/>
          <cell r="J200"/>
          <cell r="K200"/>
          <cell r="L200"/>
          <cell r="N200"/>
          <cell r="O200"/>
        </row>
        <row r="201">
          <cell r="B201"/>
          <cell r="C201"/>
          <cell r="D201"/>
          <cell r="E201"/>
          <cell r="G201"/>
          <cell r="I201"/>
          <cell r="J201"/>
          <cell r="K201"/>
          <cell r="L201"/>
          <cell r="N201"/>
          <cell r="O201"/>
        </row>
        <row r="202">
          <cell r="B202"/>
          <cell r="C202"/>
          <cell r="D202"/>
          <cell r="E202"/>
          <cell r="G202"/>
          <cell r="I202"/>
          <cell r="J202"/>
          <cell r="K202"/>
          <cell r="L202"/>
          <cell r="N202"/>
          <cell r="O202"/>
        </row>
        <row r="203">
          <cell r="B203"/>
          <cell r="C203"/>
          <cell r="D203"/>
          <cell r="E203"/>
          <cell r="G203"/>
          <cell r="I203"/>
          <cell r="J203"/>
          <cell r="K203"/>
          <cell r="L203"/>
          <cell r="N203"/>
          <cell r="O203"/>
        </row>
        <row r="204">
          <cell r="B204"/>
          <cell r="C204"/>
          <cell r="D204"/>
          <cell r="E204"/>
          <cell r="G204"/>
          <cell r="I204"/>
          <cell r="J204"/>
          <cell r="K204"/>
          <cell r="L204"/>
          <cell r="N204"/>
          <cell r="O204"/>
        </row>
        <row r="205">
          <cell r="B205"/>
          <cell r="C205"/>
          <cell r="D205"/>
          <cell r="E205"/>
          <cell r="G205"/>
          <cell r="I205"/>
          <cell r="J205"/>
          <cell r="K205"/>
          <cell r="L205"/>
          <cell r="N205"/>
          <cell r="O205"/>
        </row>
        <row r="206">
          <cell r="B206"/>
          <cell r="C206"/>
          <cell r="D206"/>
          <cell r="E206"/>
          <cell r="G206"/>
          <cell r="I206"/>
          <cell r="J206"/>
          <cell r="K206"/>
          <cell r="L206"/>
          <cell r="N206"/>
          <cell r="O206"/>
        </row>
        <row r="207">
          <cell r="B207"/>
          <cell r="C207"/>
          <cell r="D207"/>
          <cell r="E207"/>
          <cell r="G207"/>
          <cell r="I207"/>
          <cell r="J207"/>
          <cell r="K207"/>
          <cell r="L207"/>
          <cell r="N207"/>
          <cell r="O207"/>
        </row>
        <row r="208">
          <cell r="B208"/>
          <cell r="C208"/>
          <cell r="D208"/>
          <cell r="E208"/>
          <cell r="G208"/>
          <cell r="I208"/>
          <cell r="J208"/>
          <cell r="K208"/>
          <cell r="L208"/>
          <cell r="N208"/>
          <cell r="O208"/>
        </row>
        <row r="209">
          <cell r="B209"/>
          <cell r="C209"/>
          <cell r="D209"/>
          <cell r="E209"/>
          <cell r="G209"/>
          <cell r="I209"/>
          <cell r="J209"/>
          <cell r="K209"/>
          <cell r="L209"/>
          <cell r="N209"/>
          <cell r="O209"/>
        </row>
        <row r="210">
          <cell r="B210"/>
          <cell r="C210"/>
          <cell r="D210"/>
          <cell r="E210"/>
          <cell r="G210"/>
          <cell r="I210"/>
          <cell r="J210"/>
          <cell r="K210"/>
          <cell r="L210"/>
          <cell r="N210"/>
          <cell r="O210"/>
        </row>
        <row r="211">
          <cell r="B211"/>
          <cell r="C211"/>
          <cell r="D211"/>
          <cell r="E211"/>
          <cell r="G211"/>
          <cell r="I211"/>
          <cell r="J211"/>
          <cell r="K211"/>
          <cell r="L211"/>
          <cell r="N211"/>
          <cell r="O211"/>
        </row>
        <row r="212">
          <cell r="B212"/>
          <cell r="C212"/>
          <cell r="D212"/>
          <cell r="E212"/>
          <cell r="G212"/>
          <cell r="I212"/>
          <cell r="J212"/>
          <cell r="K212"/>
          <cell r="L212"/>
          <cell r="N212"/>
          <cell r="O212"/>
        </row>
        <row r="213">
          <cell r="B213"/>
          <cell r="C213"/>
          <cell r="D213"/>
          <cell r="E213"/>
          <cell r="G213"/>
          <cell r="I213"/>
          <cell r="J213"/>
          <cell r="K213"/>
          <cell r="L213"/>
          <cell r="N213"/>
          <cell r="O213"/>
        </row>
        <row r="214">
          <cell r="B214"/>
          <cell r="C214"/>
          <cell r="D214"/>
          <cell r="E214"/>
          <cell r="G214"/>
          <cell r="I214"/>
          <cell r="J214"/>
          <cell r="K214"/>
          <cell r="L214"/>
          <cell r="N214"/>
          <cell r="O214"/>
        </row>
        <row r="215">
          <cell r="B215"/>
          <cell r="C215"/>
          <cell r="D215"/>
          <cell r="E215"/>
          <cell r="G215"/>
          <cell r="I215"/>
          <cell r="J215"/>
          <cell r="K215"/>
          <cell r="L215"/>
          <cell r="N215"/>
          <cell r="O215"/>
        </row>
        <row r="216">
          <cell r="B216"/>
          <cell r="C216"/>
          <cell r="D216"/>
          <cell r="E216"/>
          <cell r="G216"/>
          <cell r="I216"/>
          <cell r="J216"/>
          <cell r="K216"/>
          <cell r="L216"/>
          <cell r="N216"/>
          <cell r="O216"/>
        </row>
        <row r="217">
          <cell r="B217"/>
          <cell r="C217"/>
          <cell r="D217"/>
          <cell r="E217"/>
          <cell r="G217"/>
          <cell r="I217"/>
          <cell r="J217"/>
          <cell r="K217"/>
          <cell r="L217"/>
          <cell r="N217"/>
          <cell r="O217"/>
        </row>
        <row r="218">
          <cell r="B218"/>
          <cell r="C218"/>
          <cell r="D218"/>
          <cell r="E218"/>
          <cell r="G218"/>
          <cell r="I218"/>
          <cell r="J218"/>
          <cell r="K218"/>
          <cell r="L218"/>
          <cell r="N218"/>
          <cell r="O218"/>
        </row>
        <row r="219">
          <cell r="B219"/>
          <cell r="C219"/>
          <cell r="D219"/>
          <cell r="E219"/>
          <cell r="G219"/>
          <cell r="I219"/>
          <cell r="J219"/>
          <cell r="K219"/>
          <cell r="L219"/>
          <cell r="N219"/>
          <cell r="O219"/>
        </row>
        <row r="220">
          <cell r="B220"/>
          <cell r="C220"/>
          <cell r="D220"/>
          <cell r="E220"/>
          <cell r="G220"/>
          <cell r="I220"/>
          <cell r="J220"/>
          <cell r="K220"/>
          <cell r="L220"/>
          <cell r="N220"/>
          <cell r="O220"/>
        </row>
        <row r="221">
          <cell r="B221"/>
          <cell r="C221"/>
          <cell r="D221"/>
          <cell r="E221"/>
          <cell r="G221"/>
          <cell r="I221"/>
          <cell r="J221"/>
          <cell r="K221"/>
          <cell r="L221"/>
          <cell r="N221"/>
          <cell r="O221"/>
        </row>
        <row r="222">
          <cell r="B222"/>
          <cell r="C222"/>
          <cell r="D222"/>
          <cell r="E222"/>
          <cell r="G222"/>
          <cell r="I222"/>
          <cell r="J222"/>
          <cell r="K222"/>
          <cell r="L222"/>
          <cell r="N222"/>
          <cell r="O222"/>
        </row>
        <row r="223">
          <cell r="B223"/>
          <cell r="C223"/>
          <cell r="D223"/>
          <cell r="E223"/>
          <cell r="G223"/>
          <cell r="I223"/>
          <cell r="J223"/>
          <cell r="K223"/>
          <cell r="L223"/>
          <cell r="N223"/>
          <cell r="O223"/>
        </row>
        <row r="224">
          <cell r="B224"/>
          <cell r="C224"/>
          <cell r="D224"/>
          <cell r="E224"/>
          <cell r="G224"/>
          <cell r="I224"/>
          <cell r="J224"/>
          <cell r="K224"/>
          <cell r="L224"/>
          <cell r="N224"/>
          <cell r="O224"/>
        </row>
        <row r="225">
          <cell r="B225"/>
          <cell r="C225"/>
          <cell r="D225"/>
          <cell r="E225"/>
          <cell r="G225"/>
          <cell r="I225"/>
          <cell r="J225"/>
          <cell r="K225"/>
          <cell r="L225"/>
          <cell r="N225"/>
          <cell r="O225"/>
        </row>
        <row r="226">
          <cell r="B226"/>
          <cell r="C226"/>
          <cell r="D226"/>
          <cell r="E226"/>
          <cell r="G226"/>
          <cell r="I226"/>
          <cell r="J226"/>
          <cell r="K226"/>
          <cell r="L226"/>
          <cell r="N226"/>
          <cell r="O226"/>
        </row>
        <row r="227">
          <cell r="B227"/>
          <cell r="C227"/>
          <cell r="D227"/>
          <cell r="E227"/>
          <cell r="G227"/>
          <cell r="I227"/>
          <cell r="J227"/>
          <cell r="K227"/>
          <cell r="L227"/>
          <cell r="N227"/>
          <cell r="O227"/>
        </row>
        <row r="228">
          <cell r="B228"/>
          <cell r="C228"/>
          <cell r="D228"/>
          <cell r="E228"/>
          <cell r="G228"/>
          <cell r="I228"/>
          <cell r="J228"/>
          <cell r="K228"/>
          <cell r="L228"/>
          <cell r="N228"/>
          <cell r="O228"/>
        </row>
        <row r="229">
          <cell r="B229"/>
          <cell r="C229"/>
          <cell r="D229"/>
          <cell r="E229"/>
          <cell r="G229"/>
          <cell r="I229"/>
          <cell r="J229"/>
          <cell r="K229"/>
          <cell r="L229"/>
          <cell r="N229"/>
          <cell r="O229"/>
        </row>
        <row r="230">
          <cell r="B230"/>
          <cell r="C230"/>
          <cell r="D230"/>
          <cell r="E230"/>
          <cell r="G230"/>
          <cell r="I230"/>
          <cell r="J230"/>
          <cell r="K230"/>
          <cell r="L230"/>
          <cell r="N230"/>
          <cell r="O230"/>
        </row>
        <row r="231">
          <cell r="B231"/>
          <cell r="C231"/>
          <cell r="D231"/>
          <cell r="E231"/>
          <cell r="G231"/>
          <cell r="I231"/>
          <cell r="J231"/>
          <cell r="K231"/>
          <cell r="L231"/>
          <cell r="N231"/>
          <cell r="O231"/>
        </row>
        <row r="232">
          <cell r="B232"/>
          <cell r="C232"/>
          <cell r="D232"/>
          <cell r="E232"/>
          <cell r="G232"/>
          <cell r="I232"/>
          <cell r="J232"/>
          <cell r="K232"/>
          <cell r="L232"/>
          <cell r="N232"/>
          <cell r="O232"/>
        </row>
        <row r="233">
          <cell r="B233"/>
          <cell r="C233"/>
          <cell r="D233"/>
          <cell r="E233"/>
          <cell r="G233"/>
          <cell r="I233"/>
          <cell r="J233"/>
          <cell r="K233"/>
          <cell r="L233"/>
          <cell r="N233"/>
          <cell r="O233"/>
        </row>
        <row r="234">
          <cell r="B234"/>
          <cell r="C234"/>
          <cell r="D234"/>
          <cell r="E234"/>
          <cell r="G234"/>
          <cell r="I234"/>
          <cell r="J234"/>
          <cell r="K234"/>
          <cell r="L234"/>
          <cell r="N234"/>
          <cell r="O234"/>
        </row>
        <row r="235">
          <cell r="B235"/>
          <cell r="C235"/>
          <cell r="D235"/>
          <cell r="E235"/>
          <cell r="G235"/>
          <cell r="I235"/>
          <cell r="J235"/>
          <cell r="K235"/>
          <cell r="L235"/>
          <cell r="N235"/>
          <cell r="O235"/>
        </row>
        <row r="236">
          <cell r="B236"/>
          <cell r="C236"/>
          <cell r="D236"/>
          <cell r="E236"/>
          <cell r="G236"/>
          <cell r="I236"/>
          <cell r="J236"/>
          <cell r="K236"/>
          <cell r="L236"/>
          <cell r="N236"/>
          <cell r="O236"/>
        </row>
        <row r="237">
          <cell r="B237"/>
          <cell r="C237"/>
          <cell r="D237"/>
          <cell r="E237"/>
          <cell r="G237"/>
          <cell r="I237"/>
          <cell r="J237"/>
          <cell r="K237"/>
          <cell r="L237"/>
          <cell r="N237"/>
          <cell r="O237"/>
        </row>
        <row r="238">
          <cell r="B238"/>
          <cell r="C238"/>
          <cell r="D238"/>
          <cell r="E238"/>
          <cell r="G238"/>
          <cell r="I238"/>
          <cell r="J238"/>
          <cell r="K238"/>
          <cell r="L238"/>
          <cell r="N238"/>
          <cell r="O238"/>
        </row>
        <row r="239">
          <cell r="B239"/>
          <cell r="C239"/>
          <cell r="D239"/>
          <cell r="E239"/>
          <cell r="G239"/>
          <cell r="I239"/>
          <cell r="J239"/>
          <cell r="K239"/>
          <cell r="L239"/>
          <cell r="N239"/>
          <cell r="O239"/>
        </row>
        <row r="240">
          <cell r="B240"/>
          <cell r="C240"/>
          <cell r="D240"/>
          <cell r="E240"/>
          <cell r="G240"/>
          <cell r="I240"/>
          <cell r="J240"/>
          <cell r="K240"/>
          <cell r="L240"/>
          <cell r="N240"/>
          <cell r="O240"/>
        </row>
        <row r="241">
          <cell r="B241"/>
          <cell r="C241"/>
          <cell r="D241"/>
          <cell r="E241"/>
          <cell r="G241"/>
          <cell r="I241"/>
          <cell r="J241"/>
          <cell r="K241"/>
          <cell r="L241"/>
          <cell r="N241"/>
          <cell r="O241"/>
        </row>
        <row r="242">
          <cell r="B242"/>
          <cell r="C242"/>
          <cell r="D242"/>
          <cell r="E242"/>
          <cell r="G242"/>
          <cell r="I242"/>
          <cell r="J242"/>
          <cell r="K242"/>
          <cell r="L242"/>
          <cell r="N242"/>
          <cell r="O242"/>
        </row>
        <row r="243">
          <cell r="B243"/>
          <cell r="C243"/>
          <cell r="D243"/>
          <cell r="E243"/>
          <cell r="G243"/>
          <cell r="I243"/>
          <cell r="J243"/>
          <cell r="K243"/>
          <cell r="L243"/>
          <cell r="N243"/>
          <cell r="O243"/>
        </row>
        <row r="244">
          <cell r="B244"/>
          <cell r="C244"/>
          <cell r="D244"/>
          <cell r="E244"/>
          <cell r="G244"/>
          <cell r="I244"/>
          <cell r="J244"/>
          <cell r="K244"/>
          <cell r="L244"/>
          <cell r="N244"/>
          <cell r="O244"/>
        </row>
        <row r="245">
          <cell r="B245"/>
          <cell r="C245"/>
          <cell r="D245"/>
          <cell r="E245"/>
          <cell r="G245"/>
          <cell r="I245"/>
          <cell r="J245"/>
          <cell r="K245"/>
          <cell r="L245"/>
          <cell r="N245"/>
          <cell r="O245"/>
        </row>
        <row r="246">
          <cell r="B246"/>
          <cell r="C246"/>
          <cell r="D246"/>
          <cell r="E246"/>
          <cell r="G246"/>
          <cell r="I246"/>
          <cell r="J246"/>
          <cell r="K246"/>
          <cell r="L246"/>
          <cell r="N246"/>
          <cell r="O246"/>
        </row>
        <row r="247">
          <cell r="B247"/>
          <cell r="C247"/>
          <cell r="D247"/>
          <cell r="E247"/>
          <cell r="G247"/>
          <cell r="I247"/>
          <cell r="J247"/>
          <cell r="K247"/>
          <cell r="L247"/>
          <cell r="N247"/>
          <cell r="O247"/>
        </row>
        <row r="248">
          <cell r="B248"/>
          <cell r="C248"/>
          <cell r="D248"/>
          <cell r="E248"/>
          <cell r="G248"/>
          <cell r="I248"/>
          <cell r="J248"/>
          <cell r="K248"/>
          <cell r="L248"/>
          <cell r="N248"/>
          <cell r="O248"/>
        </row>
        <row r="249">
          <cell r="B249"/>
          <cell r="C249"/>
          <cell r="D249"/>
          <cell r="E249"/>
          <cell r="G249"/>
          <cell r="I249"/>
          <cell r="J249"/>
          <cell r="K249"/>
          <cell r="L249"/>
          <cell r="N249"/>
          <cell r="O249"/>
        </row>
        <row r="250">
          <cell r="B250"/>
          <cell r="C250"/>
          <cell r="D250"/>
          <cell r="E250"/>
          <cell r="G250"/>
          <cell r="I250"/>
          <cell r="J250"/>
          <cell r="K250"/>
          <cell r="L250"/>
          <cell r="N250"/>
          <cell r="O250"/>
        </row>
        <row r="251">
          <cell r="B251"/>
          <cell r="C251"/>
          <cell r="D251"/>
          <cell r="E251"/>
          <cell r="G251"/>
          <cell r="I251"/>
          <cell r="J251"/>
          <cell r="K251"/>
          <cell r="L251"/>
          <cell r="N251"/>
          <cell r="O251"/>
        </row>
        <row r="252">
          <cell r="B252"/>
          <cell r="C252"/>
          <cell r="D252"/>
          <cell r="E252"/>
          <cell r="G252"/>
          <cell r="I252"/>
          <cell r="J252"/>
          <cell r="K252"/>
          <cell r="L252"/>
          <cell r="N252"/>
          <cell r="O252"/>
        </row>
        <row r="253">
          <cell r="B253"/>
          <cell r="C253"/>
          <cell r="D253"/>
          <cell r="E253"/>
          <cell r="G253"/>
          <cell r="I253"/>
          <cell r="J253"/>
          <cell r="K253"/>
          <cell r="L253"/>
          <cell r="N253"/>
          <cell r="O253"/>
        </row>
        <row r="254">
          <cell r="B254"/>
          <cell r="C254"/>
          <cell r="D254"/>
          <cell r="E254"/>
          <cell r="G254"/>
          <cell r="I254"/>
          <cell r="J254"/>
          <cell r="K254"/>
          <cell r="L254"/>
          <cell r="N254"/>
          <cell r="O254"/>
        </row>
        <row r="255">
          <cell r="B255"/>
          <cell r="C255"/>
          <cell r="D255"/>
          <cell r="E255"/>
          <cell r="G255"/>
          <cell r="I255"/>
          <cell r="J255"/>
          <cell r="K255"/>
          <cell r="L255"/>
          <cell r="N255"/>
          <cell r="O255"/>
        </row>
        <row r="256">
          <cell r="B256"/>
          <cell r="C256"/>
          <cell r="D256"/>
          <cell r="E256"/>
          <cell r="G256"/>
          <cell r="I256"/>
          <cell r="J256"/>
          <cell r="K256"/>
          <cell r="L256"/>
          <cell r="N256"/>
          <cell r="O256"/>
        </row>
        <row r="257">
          <cell r="B257"/>
          <cell r="C257"/>
          <cell r="D257"/>
          <cell r="E257"/>
          <cell r="G257"/>
          <cell r="I257"/>
          <cell r="J257"/>
          <cell r="K257"/>
          <cell r="L257"/>
          <cell r="N257"/>
          <cell r="O257"/>
        </row>
        <row r="258">
          <cell r="B258"/>
          <cell r="C258"/>
          <cell r="D258"/>
          <cell r="E258"/>
          <cell r="G258"/>
          <cell r="I258"/>
          <cell r="J258"/>
          <cell r="K258"/>
          <cell r="L258"/>
          <cell r="N258"/>
          <cell r="O258"/>
        </row>
        <row r="259">
          <cell r="B259"/>
          <cell r="C259"/>
          <cell r="D259"/>
          <cell r="E259"/>
          <cell r="G259"/>
          <cell r="I259"/>
          <cell r="J259"/>
          <cell r="K259"/>
          <cell r="L259"/>
          <cell r="N259"/>
          <cell r="O259"/>
        </row>
        <row r="260">
          <cell r="B260"/>
          <cell r="C260"/>
          <cell r="D260"/>
          <cell r="E260"/>
          <cell r="G260"/>
          <cell r="I260"/>
          <cell r="J260"/>
          <cell r="K260"/>
          <cell r="L260"/>
          <cell r="N260"/>
          <cell r="O260"/>
        </row>
        <row r="261">
          <cell r="B261"/>
          <cell r="C261"/>
          <cell r="D261"/>
          <cell r="E261"/>
          <cell r="G261"/>
          <cell r="I261"/>
          <cell r="J261"/>
          <cell r="K261"/>
          <cell r="L261"/>
          <cell r="N261"/>
          <cell r="O261"/>
        </row>
        <row r="262">
          <cell r="B262"/>
          <cell r="C262"/>
          <cell r="D262"/>
          <cell r="E262"/>
          <cell r="G262"/>
          <cell r="I262"/>
          <cell r="J262"/>
          <cell r="K262"/>
          <cell r="L262"/>
          <cell r="N262"/>
          <cell r="O262"/>
        </row>
        <row r="263">
          <cell r="B263"/>
          <cell r="C263"/>
          <cell r="D263"/>
          <cell r="E263"/>
          <cell r="G263"/>
          <cell r="I263"/>
          <cell r="J263"/>
          <cell r="K263"/>
          <cell r="L263"/>
          <cell r="N263"/>
          <cell r="O263"/>
        </row>
        <row r="264">
          <cell r="B264"/>
          <cell r="C264"/>
          <cell r="D264"/>
          <cell r="E264"/>
          <cell r="G264"/>
          <cell r="I264"/>
          <cell r="J264"/>
          <cell r="K264"/>
          <cell r="L264"/>
          <cell r="N264"/>
          <cell r="O264"/>
        </row>
        <row r="265">
          <cell r="B265"/>
          <cell r="C265"/>
          <cell r="D265"/>
          <cell r="E265"/>
          <cell r="G265"/>
          <cell r="I265"/>
          <cell r="J265"/>
          <cell r="K265"/>
          <cell r="L265"/>
          <cell r="N265"/>
          <cell r="O265"/>
        </row>
        <row r="266">
          <cell r="B266"/>
          <cell r="C266"/>
          <cell r="D266"/>
          <cell r="E266"/>
          <cell r="G266"/>
          <cell r="I266"/>
          <cell r="J266"/>
          <cell r="K266"/>
          <cell r="L266"/>
          <cell r="N266"/>
          <cell r="O266"/>
        </row>
        <row r="267">
          <cell r="B267"/>
          <cell r="C267"/>
          <cell r="D267"/>
          <cell r="E267"/>
          <cell r="G267"/>
          <cell r="I267"/>
          <cell r="J267"/>
          <cell r="K267"/>
          <cell r="L267"/>
          <cell r="N267"/>
          <cell r="O267"/>
        </row>
        <row r="268">
          <cell r="B268"/>
          <cell r="C268"/>
          <cell r="D268"/>
          <cell r="E268"/>
          <cell r="G268"/>
          <cell r="I268"/>
          <cell r="J268"/>
          <cell r="K268"/>
          <cell r="L268"/>
          <cell r="N268"/>
          <cell r="O268"/>
        </row>
        <row r="269">
          <cell r="B269"/>
          <cell r="C269"/>
          <cell r="D269"/>
          <cell r="E269"/>
          <cell r="G269"/>
          <cell r="I269"/>
          <cell r="J269"/>
          <cell r="K269"/>
          <cell r="L269"/>
          <cell r="N269"/>
          <cell r="O269"/>
        </row>
        <row r="270">
          <cell r="B270"/>
          <cell r="C270"/>
          <cell r="D270"/>
          <cell r="E270"/>
          <cell r="G270"/>
          <cell r="I270"/>
          <cell r="J270"/>
          <cell r="K270"/>
          <cell r="L270"/>
          <cell r="N270"/>
          <cell r="O270"/>
        </row>
        <row r="271">
          <cell r="B271"/>
          <cell r="C271"/>
          <cell r="D271"/>
          <cell r="E271"/>
          <cell r="G271"/>
          <cell r="I271"/>
          <cell r="J271"/>
          <cell r="K271"/>
          <cell r="L271"/>
          <cell r="N271"/>
          <cell r="O271"/>
        </row>
        <row r="272">
          <cell r="B272"/>
          <cell r="C272"/>
          <cell r="D272"/>
          <cell r="E272"/>
          <cell r="G272"/>
          <cell r="I272"/>
          <cell r="J272"/>
          <cell r="K272"/>
          <cell r="L272"/>
          <cell r="N272"/>
          <cell r="O272"/>
        </row>
        <row r="273">
          <cell r="B273"/>
          <cell r="C273"/>
          <cell r="D273"/>
          <cell r="E273"/>
          <cell r="G273"/>
          <cell r="I273"/>
          <cell r="J273"/>
          <cell r="K273"/>
          <cell r="L273"/>
          <cell r="N273"/>
          <cell r="O273"/>
        </row>
        <row r="274">
          <cell r="B274"/>
          <cell r="C274"/>
          <cell r="D274"/>
          <cell r="E274"/>
          <cell r="G274"/>
          <cell r="I274"/>
          <cell r="J274"/>
          <cell r="K274"/>
          <cell r="L274"/>
          <cell r="N274"/>
          <cell r="O274"/>
        </row>
        <row r="275">
          <cell r="B275"/>
          <cell r="C275"/>
          <cell r="D275"/>
          <cell r="E275"/>
          <cell r="G275"/>
          <cell r="I275"/>
          <cell r="J275"/>
          <cell r="K275"/>
          <cell r="L275"/>
          <cell r="N275"/>
          <cell r="O275"/>
        </row>
        <row r="276">
          <cell r="B276"/>
          <cell r="C276"/>
          <cell r="D276"/>
          <cell r="E276"/>
          <cell r="G276"/>
          <cell r="I276"/>
          <cell r="J276"/>
          <cell r="K276"/>
          <cell r="L276"/>
          <cell r="N276"/>
          <cell r="O276"/>
        </row>
        <row r="277">
          <cell r="B277"/>
          <cell r="C277"/>
          <cell r="D277"/>
          <cell r="E277"/>
          <cell r="G277"/>
          <cell r="I277"/>
          <cell r="J277"/>
          <cell r="K277"/>
          <cell r="L277"/>
          <cell r="N277"/>
          <cell r="O277"/>
        </row>
        <row r="278">
          <cell r="B278"/>
          <cell r="C278"/>
          <cell r="D278"/>
          <cell r="E278"/>
          <cell r="G278"/>
          <cell r="I278"/>
          <cell r="J278"/>
          <cell r="K278"/>
          <cell r="L278"/>
          <cell r="N278"/>
          <cell r="O278"/>
        </row>
        <row r="279">
          <cell r="B279"/>
          <cell r="C279"/>
          <cell r="D279"/>
          <cell r="E279"/>
          <cell r="G279"/>
          <cell r="I279"/>
          <cell r="J279"/>
          <cell r="K279"/>
          <cell r="L279"/>
          <cell r="N279"/>
          <cell r="O279"/>
        </row>
        <row r="280">
          <cell r="B280"/>
          <cell r="C280"/>
          <cell r="D280"/>
          <cell r="E280"/>
          <cell r="G280"/>
          <cell r="I280"/>
          <cell r="J280"/>
          <cell r="K280"/>
          <cell r="L280"/>
          <cell r="N280"/>
          <cell r="O280"/>
        </row>
        <row r="281">
          <cell r="B281"/>
          <cell r="C281"/>
          <cell r="D281"/>
          <cell r="E281"/>
          <cell r="G281"/>
          <cell r="I281"/>
          <cell r="J281"/>
          <cell r="K281"/>
          <cell r="L281"/>
          <cell r="N281"/>
          <cell r="O281"/>
        </row>
        <row r="282">
          <cell r="B282"/>
          <cell r="C282"/>
          <cell r="D282"/>
          <cell r="E282"/>
          <cell r="G282"/>
          <cell r="I282"/>
          <cell r="J282"/>
          <cell r="K282"/>
          <cell r="L282"/>
          <cell r="N282"/>
          <cell r="O282"/>
        </row>
        <row r="283">
          <cell r="B283"/>
          <cell r="C283"/>
          <cell r="D283"/>
          <cell r="E283"/>
          <cell r="G283"/>
          <cell r="I283"/>
          <cell r="J283"/>
          <cell r="K283"/>
          <cell r="L283"/>
          <cell r="N283"/>
          <cell r="O283"/>
        </row>
        <row r="284">
          <cell r="B284"/>
          <cell r="C284"/>
          <cell r="D284"/>
          <cell r="E284"/>
          <cell r="G284"/>
          <cell r="I284"/>
          <cell r="J284"/>
          <cell r="K284"/>
          <cell r="L284"/>
          <cell r="N284"/>
          <cell r="O284"/>
        </row>
        <row r="285">
          <cell r="B285"/>
          <cell r="C285"/>
          <cell r="D285"/>
          <cell r="E285"/>
          <cell r="G285"/>
          <cell r="I285"/>
          <cell r="J285"/>
          <cell r="K285"/>
          <cell r="L285"/>
          <cell r="N285"/>
          <cell r="O285"/>
        </row>
        <row r="286">
          <cell r="B286"/>
          <cell r="C286"/>
          <cell r="D286"/>
          <cell r="E286"/>
          <cell r="G286"/>
          <cell r="I286"/>
          <cell r="J286"/>
          <cell r="K286"/>
          <cell r="L286"/>
          <cell r="N286"/>
          <cell r="O286"/>
        </row>
        <row r="287">
          <cell r="B287"/>
          <cell r="C287"/>
          <cell r="D287"/>
          <cell r="E287"/>
          <cell r="G287"/>
          <cell r="I287"/>
          <cell r="J287"/>
          <cell r="K287"/>
          <cell r="L287"/>
          <cell r="N287"/>
          <cell r="O287"/>
        </row>
        <row r="288">
          <cell r="B288"/>
          <cell r="C288"/>
          <cell r="D288"/>
          <cell r="E288"/>
          <cell r="G288"/>
          <cell r="I288"/>
          <cell r="J288"/>
          <cell r="K288"/>
          <cell r="L288"/>
          <cell r="N288"/>
          <cell r="O288"/>
        </row>
        <row r="289">
          <cell r="B289"/>
          <cell r="C289"/>
          <cell r="D289"/>
          <cell r="E289"/>
          <cell r="G289"/>
          <cell r="I289"/>
          <cell r="J289"/>
          <cell r="K289"/>
          <cell r="L289"/>
          <cell r="N289"/>
          <cell r="O289"/>
        </row>
        <row r="290">
          <cell r="B290"/>
          <cell r="C290"/>
          <cell r="D290"/>
          <cell r="E290"/>
          <cell r="G290"/>
          <cell r="I290"/>
          <cell r="J290"/>
          <cell r="K290"/>
          <cell r="L290"/>
          <cell r="N290"/>
          <cell r="O290"/>
        </row>
        <row r="291">
          <cell r="B291"/>
          <cell r="C291"/>
          <cell r="D291"/>
          <cell r="E291"/>
          <cell r="G291"/>
          <cell r="I291"/>
          <cell r="J291"/>
          <cell r="K291"/>
          <cell r="L291"/>
          <cell r="N291"/>
          <cell r="O291"/>
        </row>
        <row r="292">
          <cell r="B292"/>
          <cell r="C292"/>
          <cell r="D292"/>
          <cell r="E292"/>
          <cell r="G292"/>
          <cell r="I292"/>
          <cell r="J292"/>
          <cell r="K292"/>
          <cell r="L292"/>
          <cell r="N292"/>
          <cell r="O292"/>
        </row>
        <row r="293">
          <cell r="B293"/>
          <cell r="C293"/>
          <cell r="D293"/>
          <cell r="E293"/>
          <cell r="G293"/>
          <cell r="I293"/>
          <cell r="J293"/>
          <cell r="K293"/>
          <cell r="L293"/>
          <cell r="N293"/>
          <cell r="O293"/>
        </row>
        <row r="294">
          <cell r="B294"/>
          <cell r="C294"/>
          <cell r="D294"/>
          <cell r="E294"/>
          <cell r="G294"/>
          <cell r="I294"/>
          <cell r="J294"/>
          <cell r="K294"/>
          <cell r="L294"/>
          <cell r="N294"/>
          <cell r="O294"/>
        </row>
        <row r="295">
          <cell r="B295"/>
          <cell r="C295"/>
          <cell r="D295"/>
          <cell r="E295"/>
          <cell r="G295"/>
          <cell r="I295"/>
          <cell r="J295"/>
          <cell r="K295"/>
          <cell r="L295"/>
          <cell r="N295"/>
          <cell r="O295"/>
        </row>
        <row r="296">
          <cell r="B296"/>
          <cell r="C296"/>
          <cell r="D296"/>
          <cell r="E296"/>
          <cell r="G296"/>
          <cell r="I296"/>
          <cell r="J296"/>
          <cell r="K296"/>
          <cell r="L296"/>
          <cell r="N296"/>
          <cell r="O296"/>
        </row>
        <row r="297">
          <cell r="B297"/>
          <cell r="C297"/>
          <cell r="D297"/>
          <cell r="E297"/>
          <cell r="G297"/>
          <cell r="I297"/>
          <cell r="J297"/>
          <cell r="K297"/>
          <cell r="L297"/>
          <cell r="N297"/>
          <cell r="O297"/>
        </row>
        <row r="298">
          <cell r="B298"/>
          <cell r="C298"/>
          <cell r="D298"/>
          <cell r="E298"/>
          <cell r="G298"/>
          <cell r="I298"/>
          <cell r="J298"/>
          <cell r="K298"/>
          <cell r="L298"/>
          <cell r="N298"/>
          <cell r="O298"/>
        </row>
        <row r="299">
          <cell r="B299"/>
          <cell r="C299"/>
          <cell r="D299"/>
          <cell r="E299"/>
          <cell r="G299"/>
          <cell r="I299"/>
          <cell r="J299"/>
          <cell r="K299"/>
          <cell r="L299"/>
          <cell r="N299"/>
          <cell r="O299"/>
        </row>
        <row r="300">
          <cell r="B300"/>
          <cell r="C300"/>
          <cell r="D300"/>
          <cell r="E300"/>
          <cell r="G300"/>
          <cell r="I300"/>
          <cell r="J300"/>
          <cell r="K300"/>
          <cell r="L300"/>
          <cell r="N300"/>
          <cell r="O300"/>
        </row>
        <row r="301">
          <cell r="B301"/>
          <cell r="C301"/>
          <cell r="D301"/>
          <cell r="E301"/>
          <cell r="G301"/>
          <cell r="I301"/>
          <cell r="J301"/>
          <cell r="K301"/>
          <cell r="L301"/>
          <cell r="N301"/>
          <cell r="O301"/>
        </row>
        <row r="302">
          <cell r="B302"/>
          <cell r="C302"/>
          <cell r="D302"/>
          <cell r="E302"/>
          <cell r="G302"/>
          <cell r="I302"/>
          <cell r="J302"/>
          <cell r="K302"/>
          <cell r="L302"/>
          <cell r="N302"/>
          <cell r="O302"/>
        </row>
        <row r="303">
          <cell r="B303"/>
          <cell r="C303"/>
          <cell r="D303"/>
          <cell r="E303"/>
          <cell r="G303"/>
          <cell r="I303"/>
          <cell r="J303"/>
          <cell r="K303"/>
          <cell r="L303"/>
          <cell r="N303"/>
          <cell r="O303"/>
        </row>
        <row r="304">
          <cell r="B304"/>
          <cell r="C304"/>
          <cell r="D304"/>
          <cell r="E304"/>
          <cell r="G304"/>
          <cell r="I304"/>
          <cell r="J304"/>
          <cell r="K304"/>
          <cell r="L304"/>
          <cell r="N304"/>
          <cell r="O304"/>
        </row>
        <row r="305">
          <cell r="B305"/>
          <cell r="C305"/>
          <cell r="D305"/>
          <cell r="E305"/>
          <cell r="G305"/>
          <cell r="I305"/>
          <cell r="J305"/>
          <cell r="K305"/>
          <cell r="L305"/>
          <cell r="N305"/>
          <cell r="O305"/>
        </row>
        <row r="306">
          <cell r="B306"/>
          <cell r="C306"/>
          <cell r="D306"/>
          <cell r="E306"/>
          <cell r="G306"/>
          <cell r="I306"/>
          <cell r="J306"/>
          <cell r="K306"/>
          <cell r="L306"/>
          <cell r="N306"/>
          <cell r="O306"/>
        </row>
        <row r="307">
          <cell r="B307"/>
          <cell r="C307"/>
          <cell r="D307"/>
          <cell r="E307"/>
          <cell r="G307"/>
          <cell r="I307"/>
          <cell r="J307"/>
          <cell r="K307"/>
          <cell r="L307"/>
          <cell r="N307"/>
          <cell r="O307"/>
        </row>
        <row r="308">
          <cell r="B308"/>
          <cell r="C308"/>
          <cell r="D308"/>
          <cell r="E308"/>
          <cell r="G308"/>
          <cell r="I308"/>
          <cell r="J308"/>
          <cell r="K308"/>
          <cell r="L308"/>
          <cell r="N308"/>
          <cell r="O308"/>
        </row>
        <row r="309">
          <cell r="B309"/>
          <cell r="C309"/>
          <cell r="D309"/>
          <cell r="E309"/>
          <cell r="G309"/>
          <cell r="I309"/>
          <cell r="J309"/>
          <cell r="K309"/>
          <cell r="L309"/>
          <cell r="N309"/>
          <cell r="O309"/>
        </row>
        <row r="310">
          <cell r="B310"/>
          <cell r="C310"/>
          <cell r="D310"/>
          <cell r="E310"/>
          <cell r="G310"/>
          <cell r="I310"/>
          <cell r="J310"/>
          <cell r="K310"/>
          <cell r="L310"/>
          <cell r="N310"/>
          <cell r="O310"/>
        </row>
        <row r="311">
          <cell r="B311"/>
          <cell r="C311"/>
          <cell r="D311"/>
          <cell r="E311"/>
          <cell r="G311"/>
          <cell r="I311"/>
          <cell r="J311"/>
          <cell r="K311"/>
          <cell r="L311"/>
          <cell r="N311"/>
          <cell r="O311"/>
        </row>
        <row r="312">
          <cell r="B312"/>
          <cell r="C312"/>
          <cell r="D312"/>
          <cell r="E312"/>
          <cell r="G312"/>
          <cell r="I312"/>
          <cell r="J312"/>
          <cell r="K312"/>
          <cell r="L312"/>
          <cell r="N312"/>
          <cell r="O312"/>
        </row>
        <row r="313">
          <cell r="B313"/>
          <cell r="C313"/>
          <cell r="D313"/>
          <cell r="E313"/>
          <cell r="G313"/>
          <cell r="I313"/>
          <cell r="J313"/>
          <cell r="K313"/>
          <cell r="L313"/>
          <cell r="N313"/>
          <cell r="O313"/>
        </row>
        <row r="314">
          <cell r="B314"/>
          <cell r="C314"/>
          <cell r="D314"/>
          <cell r="E314"/>
          <cell r="G314"/>
          <cell r="I314"/>
          <cell r="J314"/>
          <cell r="K314"/>
          <cell r="L314"/>
          <cell r="N314"/>
          <cell r="O314"/>
        </row>
        <row r="315">
          <cell r="B315"/>
          <cell r="C315"/>
          <cell r="D315"/>
          <cell r="E315"/>
          <cell r="G315"/>
          <cell r="I315"/>
          <cell r="J315"/>
          <cell r="K315"/>
          <cell r="L315"/>
          <cell r="N315"/>
          <cell r="O315"/>
        </row>
        <row r="316">
          <cell r="B316"/>
          <cell r="C316"/>
          <cell r="D316"/>
          <cell r="E316"/>
          <cell r="G316"/>
          <cell r="I316"/>
          <cell r="J316"/>
          <cell r="K316"/>
          <cell r="L316"/>
          <cell r="N316"/>
          <cell r="O316"/>
        </row>
        <row r="317">
          <cell r="B317"/>
          <cell r="C317"/>
          <cell r="D317"/>
          <cell r="E317"/>
          <cell r="G317"/>
          <cell r="I317"/>
          <cell r="J317"/>
          <cell r="K317"/>
          <cell r="L317"/>
          <cell r="N317"/>
          <cell r="O317"/>
        </row>
        <row r="318">
          <cell r="B318"/>
          <cell r="C318"/>
          <cell r="D318"/>
          <cell r="E318"/>
          <cell r="G318"/>
          <cell r="I318"/>
          <cell r="J318"/>
          <cell r="K318"/>
          <cell r="L318"/>
          <cell r="N318"/>
          <cell r="O318"/>
        </row>
        <row r="319">
          <cell r="B319"/>
          <cell r="C319"/>
          <cell r="D319"/>
          <cell r="E319"/>
          <cell r="G319"/>
          <cell r="I319"/>
          <cell r="J319"/>
          <cell r="K319"/>
          <cell r="L319"/>
          <cell r="N319"/>
          <cell r="O319"/>
        </row>
        <row r="320">
          <cell r="B320"/>
          <cell r="C320"/>
          <cell r="D320"/>
          <cell r="E320"/>
          <cell r="G320"/>
          <cell r="I320"/>
          <cell r="J320"/>
          <cell r="K320"/>
          <cell r="L320"/>
          <cell r="N320"/>
          <cell r="O320"/>
        </row>
        <row r="321">
          <cell r="B321"/>
          <cell r="C321"/>
          <cell r="D321"/>
          <cell r="E321"/>
          <cell r="G321"/>
          <cell r="I321"/>
          <cell r="J321"/>
          <cell r="K321"/>
          <cell r="L321"/>
          <cell r="N321"/>
          <cell r="O321"/>
        </row>
        <row r="322">
          <cell r="B322"/>
          <cell r="C322"/>
          <cell r="D322"/>
          <cell r="E322"/>
          <cell r="G322"/>
          <cell r="I322"/>
          <cell r="J322"/>
          <cell r="K322"/>
          <cell r="L322"/>
          <cell r="N322"/>
          <cell r="O322"/>
        </row>
        <row r="323">
          <cell r="B323"/>
          <cell r="C323"/>
          <cell r="D323"/>
          <cell r="E323"/>
          <cell r="G323"/>
          <cell r="I323"/>
          <cell r="J323"/>
          <cell r="K323"/>
          <cell r="L323"/>
          <cell r="N323"/>
          <cell r="O323"/>
        </row>
        <row r="324">
          <cell r="B324"/>
          <cell r="C324"/>
          <cell r="D324"/>
          <cell r="E324"/>
          <cell r="G324"/>
          <cell r="I324"/>
          <cell r="J324"/>
          <cell r="K324"/>
          <cell r="L324"/>
          <cell r="N324"/>
          <cell r="O324"/>
        </row>
        <row r="325">
          <cell r="B325"/>
          <cell r="C325"/>
          <cell r="D325"/>
          <cell r="E325"/>
          <cell r="G325"/>
          <cell r="I325"/>
          <cell r="J325"/>
          <cell r="K325"/>
          <cell r="L325"/>
          <cell r="N325"/>
          <cell r="O325"/>
        </row>
        <row r="326">
          <cell r="B326"/>
          <cell r="C326"/>
          <cell r="D326"/>
          <cell r="E326"/>
          <cell r="G326"/>
          <cell r="I326"/>
          <cell r="J326"/>
          <cell r="K326"/>
          <cell r="L326"/>
          <cell r="N326"/>
          <cell r="O326"/>
        </row>
        <row r="327">
          <cell r="B327"/>
          <cell r="C327"/>
          <cell r="D327"/>
          <cell r="E327"/>
          <cell r="G327"/>
          <cell r="I327"/>
          <cell r="J327"/>
          <cell r="K327"/>
          <cell r="L327"/>
          <cell r="N327"/>
          <cell r="O327"/>
        </row>
        <row r="328">
          <cell r="B328"/>
          <cell r="C328"/>
          <cell r="D328"/>
          <cell r="E328"/>
          <cell r="G328"/>
          <cell r="I328"/>
          <cell r="J328"/>
          <cell r="K328"/>
          <cell r="L328"/>
          <cell r="N328"/>
          <cell r="O328"/>
        </row>
        <row r="329">
          <cell r="B329"/>
          <cell r="C329"/>
          <cell r="D329"/>
          <cell r="E329"/>
          <cell r="G329"/>
          <cell r="I329"/>
          <cell r="J329"/>
          <cell r="K329"/>
          <cell r="L329"/>
          <cell r="N329"/>
          <cell r="O329"/>
        </row>
        <row r="330">
          <cell r="B330"/>
          <cell r="C330"/>
          <cell r="D330"/>
          <cell r="E330"/>
          <cell r="G330"/>
          <cell r="I330"/>
          <cell r="J330"/>
          <cell r="K330"/>
          <cell r="L330"/>
          <cell r="N330"/>
          <cell r="O330"/>
        </row>
        <row r="331">
          <cell r="B331"/>
          <cell r="C331"/>
          <cell r="D331"/>
          <cell r="E331"/>
          <cell r="G331"/>
          <cell r="I331"/>
          <cell r="J331"/>
          <cell r="K331"/>
          <cell r="L331"/>
          <cell r="N331"/>
          <cell r="O331"/>
        </row>
        <row r="332">
          <cell r="B332"/>
          <cell r="C332"/>
          <cell r="D332"/>
          <cell r="E332"/>
          <cell r="G332"/>
          <cell r="I332"/>
          <cell r="J332"/>
          <cell r="K332"/>
          <cell r="L332"/>
          <cell r="N332"/>
          <cell r="O332"/>
        </row>
        <row r="333">
          <cell r="B333"/>
          <cell r="C333"/>
          <cell r="D333"/>
          <cell r="E333"/>
          <cell r="G333"/>
          <cell r="I333"/>
          <cell r="J333"/>
          <cell r="K333"/>
          <cell r="L333"/>
          <cell r="N333"/>
          <cell r="O333"/>
        </row>
        <row r="334">
          <cell r="B334"/>
          <cell r="C334"/>
          <cell r="D334"/>
          <cell r="E334"/>
          <cell r="G334"/>
          <cell r="I334"/>
          <cell r="J334"/>
          <cell r="K334"/>
          <cell r="L334"/>
          <cell r="N334"/>
          <cell r="O334"/>
        </row>
        <row r="335">
          <cell r="B335"/>
          <cell r="C335"/>
          <cell r="D335"/>
          <cell r="E335"/>
          <cell r="G335"/>
          <cell r="I335"/>
          <cell r="J335"/>
          <cell r="K335"/>
          <cell r="L335"/>
          <cell r="N335"/>
          <cell r="O335"/>
        </row>
        <row r="336">
          <cell r="B336"/>
          <cell r="C336"/>
          <cell r="D336"/>
          <cell r="E336"/>
          <cell r="G336"/>
          <cell r="I336"/>
          <cell r="J336"/>
          <cell r="K336"/>
          <cell r="L336"/>
          <cell r="N336"/>
          <cell r="O336"/>
        </row>
        <row r="337">
          <cell r="B337"/>
          <cell r="C337"/>
          <cell r="D337"/>
          <cell r="E337"/>
          <cell r="G337"/>
          <cell r="I337"/>
          <cell r="J337"/>
          <cell r="K337"/>
          <cell r="L337"/>
          <cell r="N337"/>
          <cell r="O337"/>
        </row>
        <row r="338">
          <cell r="B338"/>
          <cell r="C338"/>
          <cell r="D338"/>
          <cell r="E338"/>
          <cell r="G338"/>
          <cell r="I338"/>
          <cell r="J338"/>
          <cell r="K338"/>
          <cell r="L338"/>
          <cell r="N338"/>
          <cell r="O338"/>
        </row>
        <row r="339">
          <cell r="B339"/>
          <cell r="C339"/>
          <cell r="D339"/>
          <cell r="E339"/>
          <cell r="G339"/>
          <cell r="I339"/>
          <cell r="J339"/>
          <cell r="K339"/>
          <cell r="L339"/>
          <cell r="N339"/>
          <cell r="O339"/>
        </row>
        <row r="340">
          <cell r="B340"/>
          <cell r="C340"/>
          <cell r="D340"/>
          <cell r="E340"/>
          <cell r="G340"/>
          <cell r="I340"/>
          <cell r="J340"/>
          <cell r="K340"/>
          <cell r="L340"/>
          <cell r="N340"/>
          <cell r="O340"/>
        </row>
        <row r="341">
          <cell r="B341"/>
          <cell r="C341"/>
          <cell r="D341"/>
          <cell r="E341"/>
          <cell r="G341"/>
          <cell r="I341"/>
          <cell r="J341"/>
          <cell r="K341"/>
          <cell r="L341"/>
          <cell r="N341"/>
          <cell r="O341"/>
        </row>
        <row r="342">
          <cell r="B342"/>
          <cell r="C342"/>
          <cell r="D342"/>
          <cell r="E342"/>
          <cell r="G342"/>
          <cell r="I342"/>
          <cell r="J342"/>
          <cell r="K342"/>
          <cell r="L342"/>
          <cell r="N342"/>
          <cell r="O342"/>
        </row>
        <row r="343">
          <cell r="B343"/>
          <cell r="C343"/>
          <cell r="D343"/>
          <cell r="E343"/>
          <cell r="G343"/>
          <cell r="I343"/>
          <cell r="J343"/>
          <cell r="K343"/>
          <cell r="L343"/>
          <cell r="N343"/>
          <cell r="O343"/>
        </row>
        <row r="344">
          <cell r="B344"/>
          <cell r="C344"/>
          <cell r="D344"/>
          <cell r="E344"/>
          <cell r="G344"/>
          <cell r="I344"/>
          <cell r="J344"/>
          <cell r="K344"/>
          <cell r="L344"/>
          <cell r="N344"/>
          <cell r="O344"/>
        </row>
        <row r="345">
          <cell r="B345"/>
          <cell r="C345"/>
          <cell r="D345"/>
          <cell r="E345"/>
          <cell r="G345"/>
          <cell r="I345"/>
          <cell r="J345"/>
          <cell r="K345"/>
          <cell r="L345"/>
          <cell r="N345"/>
          <cell r="O345"/>
        </row>
        <row r="346">
          <cell r="B346"/>
          <cell r="C346"/>
          <cell r="D346"/>
          <cell r="E346"/>
          <cell r="G346"/>
          <cell r="I346"/>
          <cell r="J346"/>
          <cell r="K346"/>
          <cell r="L346"/>
          <cell r="N346"/>
          <cell r="O346"/>
        </row>
        <row r="347">
          <cell r="B347"/>
          <cell r="C347"/>
          <cell r="D347"/>
          <cell r="E347"/>
          <cell r="G347"/>
          <cell r="I347"/>
          <cell r="J347"/>
          <cell r="K347"/>
          <cell r="L347"/>
          <cell r="N347"/>
          <cell r="O347"/>
        </row>
        <row r="348">
          <cell r="B348"/>
          <cell r="C348"/>
          <cell r="D348"/>
          <cell r="E348"/>
          <cell r="G348"/>
          <cell r="I348"/>
          <cell r="J348"/>
          <cell r="K348"/>
          <cell r="L348"/>
          <cell r="N348"/>
          <cell r="O348"/>
        </row>
        <row r="349">
          <cell r="B349"/>
          <cell r="C349"/>
          <cell r="D349"/>
          <cell r="E349"/>
          <cell r="G349"/>
          <cell r="I349"/>
          <cell r="J349"/>
          <cell r="K349"/>
          <cell r="L349"/>
          <cell r="N349"/>
          <cell r="O349"/>
        </row>
        <row r="350">
          <cell r="B350"/>
          <cell r="C350"/>
          <cell r="D350"/>
          <cell r="E350"/>
          <cell r="G350"/>
          <cell r="I350"/>
          <cell r="J350"/>
          <cell r="K350"/>
          <cell r="L350"/>
          <cell r="N350"/>
          <cell r="O350"/>
        </row>
        <row r="351">
          <cell r="B351"/>
          <cell r="C351"/>
          <cell r="D351"/>
          <cell r="E351"/>
          <cell r="G351"/>
          <cell r="I351"/>
          <cell r="J351"/>
          <cell r="K351"/>
          <cell r="L351"/>
          <cell r="N351"/>
          <cell r="O351"/>
        </row>
        <row r="352">
          <cell r="B352"/>
          <cell r="C352"/>
          <cell r="D352"/>
          <cell r="E352"/>
          <cell r="G352"/>
          <cell r="I352"/>
          <cell r="J352"/>
          <cell r="K352"/>
          <cell r="L352"/>
          <cell r="N352"/>
          <cell r="O352"/>
        </row>
        <row r="353">
          <cell r="B353"/>
          <cell r="C353"/>
          <cell r="D353"/>
          <cell r="E353"/>
          <cell r="G353"/>
          <cell r="I353"/>
          <cell r="J353"/>
          <cell r="K353"/>
          <cell r="L353"/>
          <cell r="N353"/>
          <cell r="O353"/>
        </row>
        <row r="354">
          <cell r="B354"/>
          <cell r="C354"/>
          <cell r="D354"/>
          <cell r="E354"/>
          <cell r="G354"/>
          <cell r="I354"/>
          <cell r="J354"/>
          <cell r="K354"/>
          <cell r="L354"/>
          <cell r="N354"/>
          <cell r="O354"/>
        </row>
        <row r="355">
          <cell r="B355"/>
          <cell r="C355"/>
          <cell r="D355"/>
          <cell r="E355"/>
          <cell r="G355"/>
          <cell r="I355"/>
          <cell r="J355"/>
          <cell r="K355"/>
          <cell r="L355"/>
          <cell r="N355"/>
          <cell r="O355"/>
        </row>
        <row r="356">
          <cell r="B356"/>
          <cell r="C356"/>
          <cell r="D356"/>
          <cell r="E356"/>
          <cell r="G356"/>
          <cell r="I356"/>
          <cell r="J356"/>
          <cell r="K356"/>
          <cell r="L356"/>
          <cell r="N356"/>
          <cell r="O356"/>
        </row>
        <row r="357">
          <cell r="B357"/>
          <cell r="C357"/>
          <cell r="D357"/>
          <cell r="E357"/>
          <cell r="G357"/>
          <cell r="I357"/>
          <cell r="J357"/>
          <cell r="K357"/>
          <cell r="L357"/>
          <cell r="N357"/>
          <cell r="O357"/>
        </row>
        <row r="358">
          <cell r="B358"/>
          <cell r="C358"/>
          <cell r="D358"/>
          <cell r="E358"/>
          <cell r="G358"/>
          <cell r="I358"/>
          <cell r="J358"/>
          <cell r="K358"/>
          <cell r="L358"/>
          <cell r="N358"/>
          <cell r="O358"/>
        </row>
        <row r="359">
          <cell r="B359"/>
          <cell r="C359"/>
          <cell r="D359"/>
          <cell r="E359"/>
          <cell r="G359"/>
          <cell r="I359"/>
          <cell r="J359"/>
          <cell r="K359"/>
          <cell r="L359"/>
          <cell r="N359"/>
          <cell r="O359"/>
        </row>
        <row r="360">
          <cell r="B360"/>
          <cell r="C360"/>
          <cell r="D360"/>
          <cell r="E360"/>
          <cell r="G360"/>
          <cell r="I360"/>
          <cell r="J360"/>
          <cell r="K360"/>
          <cell r="L360"/>
          <cell r="N360"/>
          <cell r="O360"/>
        </row>
        <row r="361">
          <cell r="B361"/>
          <cell r="C361"/>
          <cell r="D361"/>
          <cell r="E361"/>
          <cell r="G361"/>
          <cell r="I361"/>
          <cell r="J361"/>
          <cell r="K361"/>
          <cell r="L361"/>
          <cell r="N361"/>
          <cell r="O361"/>
        </row>
        <row r="362">
          <cell r="B362"/>
          <cell r="C362"/>
          <cell r="D362"/>
          <cell r="E362"/>
          <cell r="G362"/>
          <cell r="I362"/>
          <cell r="J362"/>
          <cell r="K362"/>
          <cell r="L362"/>
          <cell r="N362"/>
          <cell r="O362"/>
        </row>
        <row r="363">
          <cell r="B363"/>
          <cell r="C363"/>
          <cell r="D363"/>
          <cell r="E363"/>
          <cell r="G363"/>
          <cell r="I363"/>
          <cell r="J363"/>
          <cell r="K363"/>
          <cell r="L363"/>
          <cell r="N363"/>
          <cell r="O363"/>
        </row>
        <row r="364">
          <cell r="B364"/>
          <cell r="C364"/>
          <cell r="D364"/>
          <cell r="E364"/>
          <cell r="G364"/>
          <cell r="I364"/>
          <cell r="J364"/>
          <cell r="K364"/>
          <cell r="L364"/>
          <cell r="N364"/>
          <cell r="O364"/>
        </row>
        <row r="365">
          <cell r="B365"/>
          <cell r="C365"/>
          <cell r="D365"/>
          <cell r="E365"/>
          <cell r="G365"/>
          <cell r="I365"/>
          <cell r="J365"/>
          <cell r="K365"/>
          <cell r="L365"/>
          <cell r="N365"/>
          <cell r="O365"/>
        </row>
        <row r="366">
          <cell r="B366"/>
          <cell r="C366"/>
          <cell r="D366"/>
          <cell r="E366"/>
          <cell r="G366"/>
          <cell r="I366"/>
          <cell r="J366"/>
          <cell r="K366"/>
          <cell r="L366"/>
          <cell r="N366"/>
          <cell r="O366"/>
        </row>
        <row r="367">
          <cell r="B367"/>
          <cell r="C367"/>
          <cell r="D367"/>
          <cell r="E367"/>
          <cell r="G367"/>
          <cell r="I367"/>
          <cell r="J367"/>
          <cell r="K367"/>
          <cell r="L367"/>
          <cell r="N367"/>
          <cell r="O367"/>
        </row>
        <row r="368">
          <cell r="B368"/>
          <cell r="C368"/>
          <cell r="D368"/>
          <cell r="E368"/>
          <cell r="G368"/>
          <cell r="I368"/>
          <cell r="J368"/>
          <cell r="K368"/>
          <cell r="L368"/>
          <cell r="N368"/>
          <cell r="O368"/>
        </row>
        <row r="369">
          <cell r="B369"/>
          <cell r="C369"/>
          <cell r="D369"/>
          <cell r="E369"/>
          <cell r="G369"/>
          <cell r="I369"/>
          <cell r="J369"/>
          <cell r="K369"/>
          <cell r="L369"/>
          <cell r="N369"/>
          <cell r="O369"/>
        </row>
        <row r="370">
          <cell r="B370"/>
          <cell r="C370"/>
          <cell r="D370"/>
          <cell r="E370"/>
          <cell r="G370"/>
          <cell r="I370"/>
          <cell r="J370"/>
          <cell r="K370"/>
          <cell r="L370"/>
          <cell r="N370"/>
          <cell r="O370"/>
        </row>
        <row r="371">
          <cell r="B371"/>
          <cell r="C371"/>
          <cell r="D371"/>
          <cell r="E371"/>
          <cell r="G371"/>
          <cell r="I371"/>
          <cell r="J371"/>
          <cell r="K371"/>
          <cell r="L371"/>
          <cell r="N371"/>
          <cell r="O371"/>
        </row>
        <row r="372">
          <cell r="B372"/>
          <cell r="C372"/>
          <cell r="D372"/>
          <cell r="E372"/>
          <cell r="G372"/>
          <cell r="I372"/>
          <cell r="J372"/>
          <cell r="K372"/>
          <cell r="L372"/>
          <cell r="N372"/>
          <cell r="O372"/>
        </row>
        <row r="373">
          <cell r="B373"/>
          <cell r="C373"/>
          <cell r="D373"/>
          <cell r="E373"/>
          <cell r="G373"/>
          <cell r="I373"/>
          <cell r="J373"/>
          <cell r="K373"/>
          <cell r="L373"/>
          <cell r="N373"/>
          <cell r="O373"/>
        </row>
        <row r="374">
          <cell r="B374"/>
          <cell r="C374"/>
          <cell r="D374"/>
          <cell r="E374"/>
          <cell r="G374"/>
          <cell r="I374"/>
          <cell r="J374"/>
          <cell r="K374"/>
          <cell r="L374"/>
          <cell r="N374"/>
          <cell r="O374"/>
        </row>
        <row r="375">
          <cell r="B375"/>
          <cell r="C375"/>
          <cell r="D375"/>
          <cell r="E375"/>
          <cell r="G375"/>
          <cell r="I375"/>
          <cell r="J375"/>
          <cell r="K375"/>
          <cell r="L375"/>
          <cell r="N375"/>
          <cell r="O375"/>
        </row>
        <row r="376">
          <cell r="B376"/>
          <cell r="C376"/>
          <cell r="D376"/>
          <cell r="E376"/>
          <cell r="G376"/>
          <cell r="I376"/>
          <cell r="J376"/>
          <cell r="K376"/>
          <cell r="L376"/>
          <cell r="N376"/>
          <cell r="O376"/>
        </row>
        <row r="377">
          <cell r="B377"/>
          <cell r="C377"/>
          <cell r="D377"/>
          <cell r="E377"/>
          <cell r="G377"/>
          <cell r="I377"/>
          <cell r="J377"/>
          <cell r="K377"/>
          <cell r="L377"/>
          <cell r="N377"/>
          <cell r="O377"/>
        </row>
        <row r="378">
          <cell r="B378"/>
          <cell r="C378"/>
          <cell r="D378"/>
          <cell r="E378"/>
          <cell r="G378"/>
          <cell r="I378"/>
          <cell r="J378"/>
          <cell r="K378"/>
          <cell r="L378"/>
          <cell r="N378"/>
          <cell r="O378"/>
        </row>
        <row r="379">
          <cell r="B379"/>
          <cell r="C379"/>
          <cell r="D379"/>
          <cell r="E379"/>
          <cell r="G379"/>
          <cell r="I379"/>
          <cell r="J379"/>
          <cell r="K379"/>
          <cell r="L379"/>
          <cell r="N379"/>
          <cell r="O379"/>
        </row>
        <row r="380">
          <cell r="B380"/>
          <cell r="C380"/>
          <cell r="D380"/>
          <cell r="E380"/>
          <cell r="G380"/>
          <cell r="I380"/>
          <cell r="J380"/>
          <cell r="K380"/>
          <cell r="L380"/>
          <cell r="N380"/>
          <cell r="O380"/>
        </row>
        <row r="381">
          <cell r="B381"/>
          <cell r="C381"/>
          <cell r="D381"/>
          <cell r="E381"/>
          <cell r="G381"/>
          <cell r="I381"/>
          <cell r="J381"/>
          <cell r="K381"/>
          <cell r="L381"/>
          <cell r="N381"/>
          <cell r="O381"/>
        </row>
        <row r="382">
          <cell r="B382"/>
          <cell r="C382"/>
          <cell r="D382"/>
          <cell r="E382"/>
          <cell r="G382"/>
          <cell r="I382"/>
          <cell r="J382"/>
          <cell r="K382"/>
          <cell r="L382"/>
          <cell r="N382"/>
          <cell r="O382"/>
        </row>
        <row r="383">
          <cell r="B383"/>
          <cell r="C383"/>
          <cell r="D383"/>
          <cell r="E383"/>
          <cell r="G383"/>
          <cell r="I383"/>
          <cell r="J383"/>
          <cell r="K383"/>
          <cell r="L383"/>
          <cell r="N383"/>
          <cell r="O383"/>
        </row>
        <row r="384">
          <cell r="B384"/>
          <cell r="C384"/>
          <cell r="D384"/>
          <cell r="E384"/>
          <cell r="G384"/>
          <cell r="I384"/>
          <cell r="J384"/>
          <cell r="K384"/>
          <cell r="L384"/>
          <cell r="N384"/>
          <cell r="O384"/>
        </row>
        <row r="385">
          <cell r="B385"/>
          <cell r="C385"/>
          <cell r="D385"/>
          <cell r="E385"/>
          <cell r="G385"/>
          <cell r="I385"/>
          <cell r="J385"/>
          <cell r="K385"/>
          <cell r="L385"/>
          <cell r="N385"/>
          <cell r="O385"/>
        </row>
        <row r="386">
          <cell r="B386"/>
          <cell r="C386"/>
          <cell r="D386"/>
          <cell r="E386"/>
          <cell r="G386"/>
          <cell r="I386"/>
          <cell r="J386"/>
          <cell r="K386"/>
          <cell r="L386"/>
          <cell r="N386"/>
          <cell r="O386"/>
        </row>
        <row r="387">
          <cell r="B387"/>
          <cell r="C387"/>
          <cell r="D387"/>
          <cell r="E387"/>
          <cell r="G387"/>
          <cell r="I387"/>
          <cell r="J387"/>
          <cell r="K387"/>
          <cell r="L387"/>
          <cell r="N387"/>
          <cell r="O387"/>
        </row>
        <row r="388">
          <cell r="B388"/>
          <cell r="C388"/>
          <cell r="D388"/>
          <cell r="E388"/>
          <cell r="G388"/>
          <cell r="I388"/>
          <cell r="J388"/>
          <cell r="K388"/>
          <cell r="L388"/>
          <cell r="N388"/>
          <cell r="O388"/>
        </row>
        <row r="389">
          <cell r="B389"/>
          <cell r="C389"/>
          <cell r="D389"/>
          <cell r="E389"/>
          <cell r="G389"/>
          <cell r="I389"/>
          <cell r="J389"/>
          <cell r="K389"/>
          <cell r="L389"/>
          <cell r="N389"/>
          <cell r="O389"/>
        </row>
        <row r="390">
          <cell r="B390"/>
          <cell r="C390"/>
          <cell r="D390"/>
          <cell r="E390"/>
          <cell r="G390"/>
          <cell r="I390"/>
          <cell r="J390"/>
          <cell r="K390"/>
          <cell r="L390"/>
          <cell r="N390"/>
          <cell r="O390"/>
        </row>
        <row r="391">
          <cell r="B391"/>
          <cell r="C391"/>
          <cell r="D391"/>
          <cell r="E391"/>
          <cell r="G391"/>
          <cell r="I391"/>
          <cell r="J391"/>
          <cell r="K391"/>
          <cell r="L391"/>
          <cell r="N391"/>
          <cell r="O391"/>
        </row>
        <row r="392">
          <cell r="B392"/>
          <cell r="C392"/>
          <cell r="D392"/>
          <cell r="E392"/>
          <cell r="G392"/>
          <cell r="I392"/>
          <cell r="J392"/>
          <cell r="K392"/>
          <cell r="L392"/>
          <cell r="N392"/>
          <cell r="O392"/>
        </row>
        <row r="393">
          <cell r="B393"/>
          <cell r="C393"/>
          <cell r="D393"/>
          <cell r="E393"/>
          <cell r="G393"/>
          <cell r="I393"/>
          <cell r="J393"/>
          <cell r="K393"/>
          <cell r="L393"/>
          <cell r="N393"/>
          <cell r="O393"/>
        </row>
        <row r="394">
          <cell r="B394"/>
          <cell r="C394"/>
          <cell r="D394"/>
          <cell r="E394"/>
          <cell r="G394"/>
          <cell r="I394"/>
          <cell r="J394"/>
          <cell r="K394"/>
          <cell r="L394"/>
          <cell r="N394"/>
          <cell r="O394"/>
        </row>
        <row r="395">
          <cell r="B395"/>
          <cell r="C395"/>
          <cell r="D395"/>
          <cell r="E395"/>
          <cell r="G395"/>
          <cell r="I395"/>
          <cell r="J395"/>
          <cell r="K395"/>
          <cell r="L395"/>
          <cell r="N395"/>
          <cell r="O395"/>
        </row>
        <row r="396">
          <cell r="B396"/>
          <cell r="C396"/>
          <cell r="D396"/>
          <cell r="E396"/>
          <cell r="G396"/>
          <cell r="I396"/>
          <cell r="J396"/>
          <cell r="K396"/>
          <cell r="L396"/>
          <cell r="N396"/>
          <cell r="O396"/>
        </row>
        <row r="397">
          <cell r="B397"/>
          <cell r="C397"/>
          <cell r="D397"/>
          <cell r="E397"/>
          <cell r="G397"/>
          <cell r="I397"/>
          <cell r="J397"/>
          <cell r="K397"/>
          <cell r="L397"/>
          <cell r="N397"/>
          <cell r="O397"/>
        </row>
        <row r="398">
          <cell r="B398"/>
          <cell r="C398"/>
          <cell r="D398"/>
          <cell r="E398"/>
          <cell r="G398"/>
          <cell r="I398"/>
          <cell r="J398"/>
          <cell r="K398"/>
          <cell r="L398"/>
          <cell r="N398"/>
          <cell r="O398"/>
        </row>
        <row r="399">
          <cell r="B399"/>
          <cell r="C399"/>
          <cell r="D399"/>
          <cell r="E399"/>
          <cell r="G399"/>
          <cell r="I399"/>
          <cell r="J399"/>
          <cell r="K399"/>
          <cell r="L399"/>
          <cell r="N399"/>
          <cell r="O399"/>
        </row>
        <row r="400">
          <cell r="B400"/>
          <cell r="C400"/>
          <cell r="D400"/>
          <cell r="E400"/>
          <cell r="G400"/>
          <cell r="I400"/>
          <cell r="J400"/>
          <cell r="K400"/>
          <cell r="L400"/>
          <cell r="N400"/>
          <cell r="O400"/>
        </row>
        <row r="401">
          <cell r="B401"/>
          <cell r="C401"/>
          <cell r="D401"/>
          <cell r="E401"/>
          <cell r="G401"/>
          <cell r="I401"/>
          <cell r="J401"/>
          <cell r="K401"/>
          <cell r="L401"/>
          <cell r="N401"/>
          <cell r="O401"/>
        </row>
        <row r="402">
          <cell r="B402"/>
          <cell r="C402"/>
          <cell r="D402"/>
          <cell r="E402"/>
          <cell r="G402"/>
          <cell r="I402"/>
          <cell r="J402"/>
          <cell r="K402"/>
          <cell r="L402"/>
          <cell r="N402"/>
          <cell r="O402"/>
        </row>
        <row r="403">
          <cell r="B403"/>
          <cell r="C403"/>
          <cell r="D403"/>
          <cell r="E403"/>
          <cell r="G403"/>
          <cell r="I403"/>
          <cell r="J403"/>
          <cell r="K403"/>
          <cell r="L403"/>
          <cell r="N403"/>
          <cell r="O403"/>
        </row>
        <row r="404">
          <cell r="B404"/>
          <cell r="C404"/>
          <cell r="D404"/>
          <cell r="E404"/>
          <cell r="G404"/>
          <cell r="I404"/>
          <cell r="J404"/>
          <cell r="K404"/>
          <cell r="L404"/>
          <cell r="N404"/>
          <cell r="O404"/>
        </row>
        <row r="405">
          <cell r="B405"/>
          <cell r="C405"/>
          <cell r="D405"/>
          <cell r="E405"/>
          <cell r="G405"/>
          <cell r="I405"/>
          <cell r="J405"/>
          <cell r="K405"/>
          <cell r="L405"/>
          <cell r="N405"/>
          <cell r="O405"/>
        </row>
        <row r="406">
          <cell r="B406"/>
          <cell r="C406"/>
          <cell r="D406"/>
          <cell r="E406"/>
          <cell r="G406"/>
          <cell r="I406"/>
          <cell r="J406"/>
          <cell r="K406"/>
          <cell r="L406"/>
          <cell r="N406"/>
          <cell r="O406"/>
        </row>
        <row r="407">
          <cell r="B407"/>
          <cell r="C407"/>
          <cell r="D407"/>
          <cell r="E407"/>
          <cell r="G407"/>
          <cell r="I407"/>
          <cell r="J407"/>
          <cell r="K407"/>
          <cell r="L407"/>
          <cell r="N407"/>
          <cell r="O407"/>
        </row>
        <row r="408">
          <cell r="B408"/>
          <cell r="C408"/>
          <cell r="D408"/>
          <cell r="E408"/>
          <cell r="G408"/>
          <cell r="I408"/>
          <cell r="J408"/>
          <cell r="K408"/>
          <cell r="L408"/>
          <cell r="N408"/>
          <cell r="O408"/>
        </row>
        <row r="409">
          <cell r="B409"/>
          <cell r="C409"/>
          <cell r="D409"/>
          <cell r="E409"/>
          <cell r="G409"/>
          <cell r="I409"/>
          <cell r="J409"/>
          <cell r="K409"/>
          <cell r="L409"/>
          <cell r="N409"/>
          <cell r="O409"/>
        </row>
        <row r="410">
          <cell r="B410"/>
          <cell r="C410"/>
          <cell r="D410"/>
          <cell r="E410"/>
          <cell r="G410"/>
          <cell r="I410"/>
          <cell r="J410"/>
          <cell r="K410"/>
          <cell r="L410"/>
          <cell r="N410"/>
          <cell r="O410"/>
        </row>
        <row r="411">
          <cell r="B411"/>
          <cell r="C411"/>
          <cell r="D411"/>
          <cell r="E411"/>
          <cell r="G411"/>
          <cell r="I411"/>
          <cell r="J411"/>
          <cell r="K411"/>
          <cell r="L411"/>
          <cell r="N411"/>
          <cell r="O411"/>
        </row>
        <row r="412">
          <cell r="B412"/>
          <cell r="C412"/>
          <cell r="D412"/>
          <cell r="E412"/>
          <cell r="G412"/>
          <cell r="I412"/>
          <cell r="J412"/>
          <cell r="K412"/>
          <cell r="L412"/>
          <cell r="N412"/>
          <cell r="O412"/>
        </row>
        <row r="413">
          <cell r="B413"/>
          <cell r="C413"/>
          <cell r="D413"/>
          <cell r="E413"/>
          <cell r="G413"/>
          <cell r="I413"/>
          <cell r="J413"/>
          <cell r="K413"/>
          <cell r="L413"/>
          <cell r="N413"/>
          <cell r="O413"/>
        </row>
        <row r="414">
          <cell r="B414"/>
          <cell r="C414"/>
          <cell r="D414"/>
          <cell r="E414"/>
          <cell r="G414"/>
          <cell r="I414"/>
          <cell r="J414"/>
          <cell r="K414"/>
          <cell r="L414"/>
          <cell r="N414"/>
          <cell r="O414"/>
        </row>
        <row r="415">
          <cell r="B415"/>
          <cell r="C415"/>
          <cell r="D415"/>
          <cell r="E415"/>
          <cell r="G415"/>
          <cell r="I415"/>
          <cell r="J415"/>
          <cell r="K415"/>
          <cell r="L415"/>
          <cell r="N415"/>
          <cell r="O415"/>
        </row>
        <row r="416">
          <cell r="B416"/>
          <cell r="C416"/>
          <cell r="D416"/>
          <cell r="E416"/>
          <cell r="G416"/>
          <cell r="I416"/>
          <cell r="J416"/>
          <cell r="K416"/>
          <cell r="L416"/>
          <cell r="N416"/>
          <cell r="O416"/>
        </row>
        <row r="417">
          <cell r="B417"/>
          <cell r="C417"/>
          <cell r="D417"/>
          <cell r="E417"/>
          <cell r="G417"/>
          <cell r="I417"/>
          <cell r="J417"/>
          <cell r="K417"/>
          <cell r="L417"/>
          <cell r="N417"/>
          <cell r="O417"/>
        </row>
        <row r="418">
          <cell r="B418"/>
          <cell r="C418"/>
          <cell r="D418"/>
          <cell r="E418"/>
          <cell r="G418"/>
          <cell r="I418"/>
          <cell r="J418"/>
          <cell r="K418"/>
          <cell r="L418"/>
          <cell r="N418"/>
          <cell r="O418"/>
        </row>
        <row r="419">
          <cell r="B419"/>
          <cell r="C419"/>
          <cell r="D419"/>
          <cell r="E419"/>
          <cell r="G419"/>
          <cell r="I419"/>
          <cell r="J419"/>
          <cell r="K419"/>
          <cell r="L419"/>
          <cell r="N419"/>
          <cell r="O419"/>
        </row>
        <row r="420">
          <cell r="B420"/>
          <cell r="C420"/>
          <cell r="D420"/>
          <cell r="E420"/>
          <cell r="G420"/>
          <cell r="I420"/>
          <cell r="J420"/>
          <cell r="K420"/>
          <cell r="L420"/>
          <cell r="N420"/>
          <cell r="O420"/>
        </row>
        <row r="421">
          <cell r="B421"/>
          <cell r="C421"/>
          <cell r="D421"/>
          <cell r="E421"/>
          <cell r="G421"/>
          <cell r="I421"/>
          <cell r="J421"/>
          <cell r="K421"/>
          <cell r="L421"/>
          <cell r="N421"/>
          <cell r="O421"/>
        </row>
        <row r="422">
          <cell r="B422"/>
          <cell r="C422"/>
          <cell r="D422"/>
          <cell r="E422"/>
          <cell r="G422"/>
          <cell r="I422"/>
          <cell r="J422"/>
          <cell r="K422"/>
          <cell r="L422"/>
          <cell r="N422"/>
          <cell r="O422"/>
        </row>
        <row r="423">
          <cell r="B423"/>
          <cell r="C423"/>
          <cell r="D423"/>
          <cell r="E423"/>
          <cell r="G423"/>
          <cell r="I423"/>
          <cell r="J423"/>
          <cell r="K423"/>
          <cell r="L423"/>
          <cell r="N423"/>
          <cell r="O423"/>
        </row>
        <row r="424">
          <cell r="B424"/>
          <cell r="C424"/>
          <cell r="D424"/>
          <cell r="E424"/>
          <cell r="G424"/>
          <cell r="I424"/>
          <cell r="J424"/>
          <cell r="K424"/>
          <cell r="L424"/>
          <cell r="N424"/>
          <cell r="O424"/>
        </row>
        <row r="425">
          <cell r="B425"/>
          <cell r="C425"/>
          <cell r="D425"/>
          <cell r="E425"/>
          <cell r="G425"/>
          <cell r="I425"/>
          <cell r="J425"/>
          <cell r="K425"/>
          <cell r="L425"/>
          <cell r="N425"/>
          <cell r="O425"/>
        </row>
        <row r="426">
          <cell r="B426"/>
          <cell r="C426"/>
          <cell r="D426"/>
          <cell r="E426"/>
          <cell r="G426"/>
          <cell r="I426"/>
          <cell r="J426"/>
          <cell r="K426"/>
          <cell r="L426"/>
          <cell r="N426"/>
          <cell r="O426"/>
        </row>
        <row r="427">
          <cell r="B427"/>
          <cell r="C427"/>
          <cell r="D427"/>
          <cell r="E427"/>
          <cell r="G427"/>
          <cell r="I427"/>
          <cell r="J427"/>
          <cell r="K427"/>
          <cell r="L427"/>
          <cell r="N427"/>
          <cell r="O427"/>
        </row>
        <row r="428">
          <cell r="B428"/>
          <cell r="C428"/>
          <cell r="D428"/>
          <cell r="E428"/>
          <cell r="G428"/>
          <cell r="I428"/>
          <cell r="J428"/>
          <cell r="K428"/>
          <cell r="L428"/>
          <cell r="N428"/>
          <cell r="O428"/>
        </row>
        <row r="429">
          <cell r="B429"/>
          <cell r="C429"/>
          <cell r="D429"/>
          <cell r="E429"/>
          <cell r="G429"/>
          <cell r="I429"/>
          <cell r="J429"/>
          <cell r="K429"/>
          <cell r="L429"/>
          <cell r="N429"/>
          <cell r="O429"/>
        </row>
        <row r="430">
          <cell r="B430"/>
          <cell r="C430"/>
          <cell r="D430"/>
          <cell r="E430"/>
          <cell r="G430"/>
          <cell r="I430"/>
          <cell r="J430"/>
          <cell r="K430"/>
          <cell r="L430"/>
          <cell r="N430"/>
          <cell r="O430"/>
        </row>
        <row r="431">
          <cell r="B431"/>
          <cell r="C431"/>
          <cell r="D431"/>
          <cell r="E431"/>
          <cell r="G431"/>
          <cell r="I431"/>
          <cell r="J431"/>
          <cell r="K431"/>
          <cell r="L431"/>
          <cell r="N431"/>
          <cell r="O431"/>
        </row>
        <row r="432">
          <cell r="B432"/>
          <cell r="C432"/>
          <cell r="D432"/>
          <cell r="E432"/>
          <cell r="G432"/>
          <cell r="I432"/>
          <cell r="J432"/>
          <cell r="K432"/>
          <cell r="L432"/>
          <cell r="N432"/>
          <cell r="O432"/>
        </row>
        <row r="433">
          <cell r="B433"/>
          <cell r="C433"/>
          <cell r="D433"/>
          <cell r="E433"/>
          <cell r="G433"/>
          <cell r="I433"/>
          <cell r="J433"/>
          <cell r="K433"/>
          <cell r="L433"/>
          <cell r="N433"/>
          <cell r="O433"/>
        </row>
        <row r="434">
          <cell r="B434"/>
          <cell r="C434"/>
          <cell r="D434"/>
          <cell r="E434"/>
          <cell r="G434"/>
          <cell r="I434"/>
          <cell r="J434"/>
          <cell r="K434"/>
          <cell r="L434"/>
          <cell r="N434"/>
          <cell r="O434"/>
        </row>
        <row r="435">
          <cell r="B435"/>
          <cell r="C435"/>
          <cell r="D435"/>
          <cell r="E435"/>
          <cell r="G435"/>
          <cell r="I435"/>
          <cell r="J435"/>
          <cell r="K435"/>
          <cell r="L435"/>
          <cell r="N435"/>
          <cell r="O435"/>
        </row>
        <row r="436">
          <cell r="B436"/>
          <cell r="C436"/>
          <cell r="D436"/>
          <cell r="E436"/>
          <cell r="G436"/>
          <cell r="I436"/>
          <cell r="J436"/>
          <cell r="K436"/>
          <cell r="L436"/>
          <cell r="N436"/>
          <cell r="O436"/>
        </row>
        <row r="437">
          <cell r="B437"/>
          <cell r="C437"/>
          <cell r="D437"/>
          <cell r="E437"/>
          <cell r="G437"/>
          <cell r="I437"/>
          <cell r="J437"/>
          <cell r="K437"/>
          <cell r="L437"/>
          <cell r="N437"/>
          <cell r="O437"/>
        </row>
        <row r="438">
          <cell r="B438"/>
          <cell r="C438"/>
          <cell r="D438"/>
          <cell r="E438"/>
          <cell r="G438"/>
          <cell r="I438"/>
          <cell r="J438"/>
          <cell r="K438"/>
          <cell r="L438"/>
          <cell r="N438"/>
          <cell r="O438"/>
        </row>
        <row r="439">
          <cell r="B439"/>
          <cell r="C439"/>
          <cell r="D439"/>
          <cell r="E439"/>
          <cell r="G439"/>
          <cell r="I439"/>
          <cell r="J439"/>
          <cell r="K439"/>
          <cell r="L439"/>
          <cell r="N439"/>
          <cell r="O439"/>
        </row>
        <row r="440">
          <cell r="B440"/>
          <cell r="C440"/>
          <cell r="D440"/>
          <cell r="E440"/>
          <cell r="G440"/>
          <cell r="I440"/>
          <cell r="J440"/>
          <cell r="K440"/>
          <cell r="L440"/>
          <cell r="N440"/>
          <cell r="O440"/>
        </row>
        <row r="441">
          <cell r="B441"/>
          <cell r="C441"/>
          <cell r="D441"/>
          <cell r="E441"/>
          <cell r="G441"/>
          <cell r="I441"/>
          <cell r="J441"/>
          <cell r="K441"/>
          <cell r="L441"/>
          <cell r="N441"/>
          <cell r="O441"/>
        </row>
        <row r="442">
          <cell r="B442"/>
          <cell r="C442"/>
          <cell r="D442"/>
          <cell r="E442"/>
          <cell r="G442"/>
          <cell r="I442"/>
          <cell r="J442"/>
          <cell r="K442"/>
          <cell r="L442"/>
          <cell r="N442"/>
          <cell r="O442"/>
        </row>
        <row r="443">
          <cell r="B443"/>
          <cell r="C443"/>
          <cell r="D443"/>
          <cell r="E443"/>
          <cell r="G443"/>
          <cell r="I443"/>
          <cell r="J443"/>
          <cell r="K443"/>
          <cell r="L443"/>
          <cell r="N443"/>
          <cell r="O443"/>
        </row>
        <row r="444">
          <cell r="B444"/>
          <cell r="C444"/>
          <cell r="D444"/>
          <cell r="E444"/>
          <cell r="G444"/>
          <cell r="I444"/>
          <cell r="J444"/>
          <cell r="K444"/>
          <cell r="L444"/>
          <cell r="N444"/>
          <cell r="O444"/>
        </row>
        <row r="445">
          <cell r="B445"/>
          <cell r="C445"/>
          <cell r="D445"/>
          <cell r="E445"/>
          <cell r="G445"/>
          <cell r="I445"/>
          <cell r="J445"/>
          <cell r="K445"/>
          <cell r="L445"/>
          <cell r="N445"/>
          <cell r="O445"/>
        </row>
        <row r="446">
          <cell r="B446"/>
          <cell r="C446"/>
          <cell r="D446"/>
          <cell r="E446"/>
          <cell r="G446"/>
          <cell r="I446"/>
          <cell r="J446"/>
          <cell r="K446"/>
          <cell r="L446"/>
          <cell r="N446"/>
          <cell r="O446"/>
        </row>
        <row r="447">
          <cell r="B447"/>
          <cell r="C447"/>
          <cell r="D447"/>
          <cell r="E447"/>
          <cell r="G447"/>
          <cell r="I447"/>
          <cell r="J447"/>
          <cell r="K447"/>
          <cell r="L447"/>
          <cell r="N447"/>
          <cell r="O447"/>
        </row>
        <row r="448">
          <cell r="B448"/>
          <cell r="C448"/>
          <cell r="D448"/>
          <cell r="E448"/>
          <cell r="G448"/>
          <cell r="I448"/>
          <cell r="J448"/>
          <cell r="K448"/>
          <cell r="L448"/>
          <cell r="N448"/>
          <cell r="O448"/>
        </row>
        <row r="449">
          <cell r="B449"/>
          <cell r="C449"/>
          <cell r="D449"/>
          <cell r="E449"/>
          <cell r="G449"/>
          <cell r="I449"/>
          <cell r="J449"/>
          <cell r="K449"/>
          <cell r="L449"/>
          <cell r="N449"/>
          <cell r="O449"/>
        </row>
        <row r="450">
          <cell r="B450"/>
          <cell r="C450"/>
          <cell r="D450"/>
          <cell r="E450"/>
          <cell r="G450"/>
          <cell r="I450"/>
          <cell r="J450"/>
          <cell r="K450"/>
          <cell r="L450"/>
          <cell r="N450"/>
          <cell r="O450"/>
        </row>
        <row r="451">
          <cell r="B451"/>
          <cell r="C451"/>
          <cell r="D451"/>
          <cell r="E451"/>
          <cell r="G451"/>
          <cell r="I451"/>
          <cell r="J451"/>
          <cell r="K451"/>
          <cell r="L451"/>
          <cell r="N451"/>
          <cell r="O451"/>
        </row>
        <row r="452">
          <cell r="B452"/>
          <cell r="C452"/>
          <cell r="D452"/>
          <cell r="E452"/>
          <cell r="G452"/>
          <cell r="I452"/>
          <cell r="J452"/>
          <cell r="K452"/>
          <cell r="L452"/>
          <cell r="N452"/>
          <cell r="O452"/>
        </row>
        <row r="453">
          <cell r="B453"/>
          <cell r="C453"/>
          <cell r="D453"/>
          <cell r="E453"/>
          <cell r="G453"/>
          <cell r="I453"/>
          <cell r="J453"/>
          <cell r="K453"/>
          <cell r="L453"/>
          <cell r="N453"/>
          <cell r="O453"/>
        </row>
        <row r="454">
          <cell r="B454"/>
          <cell r="C454"/>
          <cell r="D454"/>
          <cell r="E454"/>
          <cell r="G454"/>
          <cell r="I454"/>
          <cell r="J454"/>
          <cell r="K454"/>
          <cell r="L454"/>
          <cell r="N454"/>
          <cell r="O454"/>
        </row>
        <row r="455">
          <cell r="B455"/>
          <cell r="C455"/>
          <cell r="D455"/>
          <cell r="E455"/>
          <cell r="G455"/>
          <cell r="I455"/>
          <cell r="J455"/>
          <cell r="K455"/>
          <cell r="L455"/>
          <cell r="N455"/>
          <cell r="O455"/>
        </row>
        <row r="456">
          <cell r="B456"/>
          <cell r="C456"/>
          <cell r="D456"/>
          <cell r="E456"/>
          <cell r="G456"/>
          <cell r="I456"/>
          <cell r="J456"/>
          <cell r="K456"/>
          <cell r="L456"/>
          <cell r="N456"/>
          <cell r="O456"/>
        </row>
        <row r="457">
          <cell r="B457"/>
          <cell r="C457"/>
          <cell r="D457"/>
          <cell r="E457"/>
          <cell r="G457"/>
          <cell r="I457"/>
          <cell r="J457"/>
          <cell r="K457"/>
          <cell r="L457"/>
          <cell r="N457"/>
          <cell r="O457"/>
        </row>
        <row r="458">
          <cell r="B458"/>
          <cell r="C458"/>
          <cell r="D458"/>
          <cell r="E458"/>
          <cell r="G458"/>
          <cell r="I458"/>
          <cell r="J458"/>
          <cell r="K458"/>
          <cell r="L458"/>
          <cell r="N458"/>
          <cell r="O458"/>
        </row>
        <row r="459">
          <cell r="B459"/>
          <cell r="C459"/>
          <cell r="D459"/>
          <cell r="E459"/>
          <cell r="G459"/>
          <cell r="I459"/>
          <cell r="J459"/>
          <cell r="K459"/>
          <cell r="L459"/>
          <cell r="N459"/>
          <cell r="O459"/>
        </row>
        <row r="460">
          <cell r="B460"/>
          <cell r="C460"/>
          <cell r="D460"/>
          <cell r="E460"/>
          <cell r="G460"/>
          <cell r="I460"/>
          <cell r="J460"/>
          <cell r="K460"/>
          <cell r="L460"/>
          <cell r="N460"/>
          <cell r="O460"/>
        </row>
        <row r="461">
          <cell r="B461"/>
          <cell r="C461"/>
          <cell r="D461"/>
          <cell r="E461"/>
          <cell r="G461"/>
          <cell r="I461"/>
          <cell r="J461"/>
          <cell r="K461"/>
          <cell r="L461"/>
          <cell r="N461"/>
          <cell r="O461"/>
        </row>
        <row r="462">
          <cell r="B462"/>
          <cell r="C462"/>
          <cell r="D462"/>
          <cell r="E462"/>
          <cell r="G462"/>
          <cell r="I462"/>
          <cell r="J462"/>
          <cell r="K462"/>
          <cell r="L462"/>
          <cell r="N462"/>
          <cell r="O462"/>
        </row>
        <row r="463">
          <cell r="B463"/>
          <cell r="C463"/>
          <cell r="D463"/>
          <cell r="E463"/>
          <cell r="G463"/>
          <cell r="I463"/>
          <cell r="J463"/>
          <cell r="K463"/>
          <cell r="L463"/>
          <cell r="N463"/>
          <cell r="O463"/>
        </row>
        <row r="464">
          <cell r="B464"/>
          <cell r="C464"/>
          <cell r="D464"/>
          <cell r="E464"/>
          <cell r="G464"/>
          <cell r="I464"/>
          <cell r="J464"/>
          <cell r="K464"/>
          <cell r="L464"/>
          <cell r="N464"/>
          <cell r="O464"/>
        </row>
        <row r="465">
          <cell r="B465"/>
          <cell r="C465"/>
          <cell r="D465"/>
          <cell r="E465"/>
          <cell r="G465"/>
          <cell r="I465"/>
          <cell r="J465"/>
          <cell r="K465"/>
          <cell r="L465"/>
          <cell r="N465"/>
          <cell r="O465"/>
        </row>
        <row r="466">
          <cell r="B466"/>
          <cell r="C466"/>
          <cell r="D466"/>
          <cell r="E466"/>
          <cell r="G466"/>
          <cell r="I466"/>
          <cell r="J466"/>
          <cell r="K466"/>
          <cell r="L466"/>
          <cell r="N466"/>
          <cell r="O466"/>
        </row>
        <row r="467">
          <cell r="B467"/>
          <cell r="C467"/>
          <cell r="D467"/>
          <cell r="E467"/>
          <cell r="G467"/>
          <cell r="I467"/>
          <cell r="J467"/>
          <cell r="K467"/>
          <cell r="L467"/>
          <cell r="N467"/>
          <cell r="O467"/>
        </row>
        <row r="468">
          <cell r="B468"/>
          <cell r="C468"/>
          <cell r="D468"/>
          <cell r="E468"/>
          <cell r="G468"/>
          <cell r="I468"/>
          <cell r="J468"/>
          <cell r="K468"/>
          <cell r="L468"/>
          <cell r="N468"/>
          <cell r="O468"/>
        </row>
        <row r="469">
          <cell r="B469"/>
          <cell r="C469"/>
          <cell r="D469"/>
          <cell r="E469"/>
          <cell r="G469"/>
          <cell r="I469"/>
          <cell r="J469"/>
          <cell r="K469"/>
          <cell r="L469"/>
          <cell r="N469"/>
          <cell r="O469"/>
        </row>
        <row r="470">
          <cell r="B470"/>
          <cell r="C470"/>
          <cell r="D470"/>
          <cell r="E470"/>
          <cell r="G470"/>
          <cell r="I470"/>
          <cell r="J470"/>
          <cell r="K470"/>
          <cell r="L470"/>
          <cell r="N470"/>
          <cell r="O470"/>
        </row>
        <row r="471">
          <cell r="B471"/>
          <cell r="C471"/>
          <cell r="D471"/>
          <cell r="E471"/>
          <cell r="G471"/>
          <cell r="I471"/>
          <cell r="J471"/>
          <cell r="K471"/>
          <cell r="L471"/>
          <cell r="N471"/>
          <cell r="O471"/>
        </row>
        <row r="472">
          <cell r="B472"/>
          <cell r="C472"/>
          <cell r="D472"/>
          <cell r="E472"/>
          <cell r="G472"/>
          <cell r="I472"/>
          <cell r="J472"/>
          <cell r="K472"/>
          <cell r="L472"/>
          <cell r="N472"/>
          <cell r="O472"/>
        </row>
        <row r="473">
          <cell r="B473"/>
          <cell r="C473"/>
          <cell r="D473"/>
          <cell r="E473"/>
          <cell r="G473"/>
          <cell r="I473"/>
          <cell r="J473"/>
          <cell r="K473"/>
          <cell r="L473"/>
          <cell r="N473"/>
          <cell r="O473"/>
        </row>
        <row r="474">
          <cell r="B474"/>
          <cell r="C474"/>
          <cell r="D474"/>
          <cell r="E474"/>
          <cell r="G474"/>
          <cell r="I474"/>
          <cell r="J474"/>
          <cell r="K474"/>
          <cell r="L474"/>
          <cell r="N474"/>
          <cell r="O474"/>
        </row>
        <row r="475">
          <cell r="B475"/>
          <cell r="C475"/>
          <cell r="D475"/>
          <cell r="E475"/>
          <cell r="G475"/>
          <cell r="I475"/>
          <cell r="J475"/>
          <cell r="K475"/>
          <cell r="L475"/>
          <cell r="N475"/>
          <cell r="O475"/>
        </row>
        <row r="476">
          <cell r="B476"/>
          <cell r="C476"/>
          <cell r="D476"/>
          <cell r="E476"/>
          <cell r="G476"/>
          <cell r="I476"/>
          <cell r="J476"/>
          <cell r="K476"/>
          <cell r="L476"/>
          <cell r="N476"/>
          <cell r="O476"/>
        </row>
        <row r="477">
          <cell r="B477"/>
          <cell r="C477"/>
          <cell r="D477"/>
          <cell r="E477"/>
          <cell r="G477"/>
          <cell r="I477"/>
          <cell r="J477"/>
          <cell r="K477"/>
          <cell r="L477"/>
          <cell r="N477"/>
          <cell r="O477"/>
        </row>
        <row r="478">
          <cell r="B478"/>
          <cell r="C478"/>
          <cell r="D478"/>
          <cell r="E478"/>
          <cell r="G478"/>
          <cell r="I478"/>
          <cell r="J478"/>
          <cell r="K478"/>
          <cell r="L478"/>
          <cell r="N478"/>
          <cell r="O478"/>
        </row>
        <row r="479">
          <cell r="B479"/>
          <cell r="C479"/>
          <cell r="D479"/>
          <cell r="E479"/>
          <cell r="G479"/>
          <cell r="I479"/>
          <cell r="J479"/>
          <cell r="K479"/>
          <cell r="L479"/>
          <cell r="N479"/>
          <cell r="O479"/>
        </row>
        <row r="480">
          <cell r="B480"/>
          <cell r="C480"/>
          <cell r="D480"/>
          <cell r="E480"/>
          <cell r="G480"/>
          <cell r="I480"/>
          <cell r="J480"/>
          <cell r="K480"/>
          <cell r="L480"/>
          <cell r="N480"/>
          <cell r="O480"/>
        </row>
        <row r="481">
          <cell r="B481"/>
          <cell r="C481"/>
          <cell r="D481"/>
          <cell r="E481"/>
          <cell r="G481"/>
          <cell r="I481"/>
          <cell r="J481"/>
          <cell r="K481"/>
          <cell r="L481"/>
          <cell r="N481"/>
          <cell r="O481"/>
        </row>
        <row r="482">
          <cell r="B482"/>
          <cell r="C482"/>
          <cell r="D482"/>
          <cell r="E482"/>
          <cell r="G482"/>
          <cell r="I482"/>
          <cell r="J482"/>
          <cell r="K482"/>
          <cell r="L482"/>
          <cell r="N482"/>
          <cell r="O482"/>
        </row>
        <row r="483">
          <cell r="B483"/>
          <cell r="C483"/>
          <cell r="D483"/>
          <cell r="E483"/>
          <cell r="G483"/>
          <cell r="I483"/>
          <cell r="J483"/>
          <cell r="K483"/>
          <cell r="L483"/>
          <cell r="N483"/>
          <cell r="O483"/>
        </row>
        <row r="484">
          <cell r="B484"/>
          <cell r="C484"/>
          <cell r="D484"/>
          <cell r="E484"/>
          <cell r="G484"/>
          <cell r="I484"/>
          <cell r="J484"/>
          <cell r="K484"/>
          <cell r="L484"/>
          <cell r="N484"/>
          <cell r="O484"/>
        </row>
        <row r="485">
          <cell r="B485"/>
          <cell r="C485"/>
          <cell r="D485"/>
          <cell r="E485"/>
          <cell r="G485"/>
          <cell r="I485"/>
          <cell r="J485"/>
          <cell r="K485"/>
          <cell r="L485"/>
          <cell r="N485"/>
          <cell r="O485"/>
        </row>
        <row r="486">
          <cell r="B486"/>
          <cell r="C486"/>
          <cell r="D486"/>
          <cell r="E486"/>
          <cell r="G486"/>
          <cell r="I486"/>
          <cell r="J486"/>
          <cell r="K486"/>
          <cell r="L486"/>
          <cell r="N486"/>
          <cell r="O486"/>
        </row>
        <row r="487">
          <cell r="B487"/>
          <cell r="C487"/>
          <cell r="D487"/>
          <cell r="E487"/>
          <cell r="G487"/>
          <cell r="I487"/>
          <cell r="J487"/>
          <cell r="K487"/>
          <cell r="L487"/>
          <cell r="N487"/>
          <cell r="O487"/>
        </row>
        <row r="488">
          <cell r="B488"/>
          <cell r="C488"/>
          <cell r="D488"/>
          <cell r="E488"/>
          <cell r="G488"/>
          <cell r="I488"/>
          <cell r="J488"/>
          <cell r="K488"/>
          <cell r="L488"/>
          <cell r="N488"/>
          <cell r="O488"/>
        </row>
        <row r="489">
          <cell r="B489"/>
          <cell r="C489"/>
          <cell r="D489"/>
          <cell r="E489"/>
          <cell r="G489"/>
          <cell r="I489"/>
          <cell r="J489"/>
          <cell r="K489"/>
          <cell r="L489"/>
          <cell r="N489"/>
          <cell r="O489"/>
        </row>
        <row r="490">
          <cell r="B490"/>
          <cell r="C490"/>
          <cell r="D490"/>
          <cell r="E490"/>
          <cell r="G490"/>
          <cell r="I490"/>
          <cell r="J490"/>
          <cell r="K490"/>
          <cell r="L490"/>
          <cell r="N490"/>
          <cell r="O490"/>
        </row>
        <row r="491">
          <cell r="B491"/>
          <cell r="C491"/>
          <cell r="D491"/>
          <cell r="E491"/>
          <cell r="G491"/>
          <cell r="I491"/>
          <cell r="J491"/>
          <cell r="K491"/>
          <cell r="L491"/>
          <cell r="N491"/>
          <cell r="O491"/>
        </row>
        <row r="492">
          <cell r="B492"/>
          <cell r="C492"/>
          <cell r="D492"/>
          <cell r="E492"/>
          <cell r="G492"/>
          <cell r="I492"/>
          <cell r="J492"/>
          <cell r="K492"/>
          <cell r="L492"/>
          <cell r="N492"/>
          <cell r="O492"/>
        </row>
        <row r="493">
          <cell r="B493"/>
          <cell r="C493"/>
          <cell r="D493"/>
          <cell r="E493"/>
          <cell r="G493"/>
          <cell r="I493"/>
          <cell r="J493"/>
          <cell r="K493"/>
          <cell r="L493"/>
          <cell r="N493"/>
          <cell r="O493"/>
        </row>
        <row r="494">
          <cell r="B494"/>
          <cell r="C494"/>
          <cell r="D494"/>
          <cell r="E494"/>
          <cell r="G494"/>
          <cell r="I494"/>
          <cell r="J494"/>
          <cell r="K494"/>
          <cell r="L494"/>
          <cell r="N494"/>
          <cell r="O494"/>
        </row>
        <row r="495">
          <cell r="B495"/>
          <cell r="C495"/>
          <cell r="D495"/>
          <cell r="E495"/>
          <cell r="G495"/>
          <cell r="I495"/>
          <cell r="J495"/>
          <cell r="K495"/>
          <cell r="L495"/>
          <cell r="N495"/>
          <cell r="O495"/>
        </row>
        <row r="496">
          <cell r="B496"/>
          <cell r="C496"/>
          <cell r="D496"/>
          <cell r="E496"/>
          <cell r="G496"/>
          <cell r="I496"/>
          <cell r="J496"/>
          <cell r="K496"/>
          <cell r="L496"/>
          <cell r="N496"/>
          <cell r="O496"/>
        </row>
        <row r="497">
          <cell r="B497"/>
          <cell r="C497"/>
          <cell r="D497"/>
          <cell r="E497"/>
          <cell r="G497"/>
          <cell r="I497"/>
          <cell r="J497"/>
          <cell r="K497"/>
          <cell r="L497"/>
          <cell r="N497"/>
          <cell r="O497"/>
        </row>
        <row r="498">
          <cell r="B498"/>
          <cell r="C498"/>
          <cell r="D498"/>
          <cell r="E498"/>
          <cell r="G498"/>
          <cell r="I498"/>
          <cell r="J498"/>
          <cell r="K498"/>
          <cell r="L498"/>
          <cell r="N498"/>
          <cell r="O498"/>
        </row>
        <row r="499">
          <cell r="B499"/>
          <cell r="C499"/>
          <cell r="D499"/>
          <cell r="E499"/>
          <cell r="G499"/>
          <cell r="I499"/>
          <cell r="J499"/>
          <cell r="K499"/>
          <cell r="L499"/>
          <cell r="N499"/>
          <cell r="O499"/>
        </row>
        <row r="500">
          <cell r="B500"/>
          <cell r="C500"/>
          <cell r="D500"/>
          <cell r="E500"/>
          <cell r="G500"/>
          <cell r="I500"/>
          <cell r="J500"/>
          <cell r="K500"/>
          <cell r="L500"/>
          <cell r="N500"/>
          <cell r="O500"/>
        </row>
        <row r="501">
          <cell r="B501"/>
          <cell r="C501"/>
          <cell r="D501"/>
          <cell r="E501"/>
          <cell r="G501"/>
          <cell r="I501"/>
          <cell r="J501"/>
          <cell r="K501"/>
          <cell r="L501"/>
          <cell r="N501"/>
          <cell r="O501"/>
        </row>
        <row r="502">
          <cell r="B502"/>
          <cell r="C502"/>
          <cell r="D502"/>
          <cell r="E502"/>
          <cell r="G502"/>
          <cell r="I502"/>
          <cell r="J502"/>
          <cell r="K502"/>
          <cell r="L502"/>
          <cell r="N502"/>
          <cell r="O502"/>
        </row>
        <row r="503">
          <cell r="B503"/>
          <cell r="C503"/>
          <cell r="D503"/>
          <cell r="E503"/>
          <cell r="G503"/>
          <cell r="I503"/>
          <cell r="J503"/>
          <cell r="K503"/>
          <cell r="L503"/>
          <cell r="N503"/>
          <cell r="O503"/>
        </row>
        <row r="504">
          <cell r="B504"/>
          <cell r="C504"/>
          <cell r="D504"/>
          <cell r="E504"/>
          <cell r="G504"/>
          <cell r="I504"/>
          <cell r="J504"/>
          <cell r="K504"/>
          <cell r="L504"/>
          <cell r="N504"/>
          <cell r="O504"/>
        </row>
        <row r="505">
          <cell r="B505"/>
          <cell r="C505"/>
          <cell r="D505"/>
          <cell r="E505"/>
          <cell r="G505"/>
          <cell r="I505"/>
          <cell r="J505"/>
          <cell r="K505"/>
          <cell r="L505"/>
          <cell r="N505"/>
          <cell r="O505"/>
        </row>
        <row r="506">
          <cell r="B506"/>
          <cell r="C506"/>
          <cell r="D506"/>
          <cell r="E506"/>
          <cell r="G506"/>
          <cell r="I506"/>
          <cell r="J506"/>
          <cell r="K506"/>
          <cell r="L506"/>
          <cell r="N506"/>
          <cell r="O506"/>
        </row>
        <row r="507">
          <cell r="B507"/>
          <cell r="C507"/>
          <cell r="D507"/>
          <cell r="E507"/>
          <cell r="G507"/>
          <cell r="I507"/>
          <cell r="J507"/>
          <cell r="K507"/>
          <cell r="L507"/>
          <cell r="N507"/>
          <cell r="O507"/>
        </row>
        <row r="508">
          <cell r="B508"/>
          <cell r="C508"/>
          <cell r="D508"/>
          <cell r="E508"/>
          <cell r="G508"/>
          <cell r="I508"/>
          <cell r="J508"/>
          <cell r="K508"/>
          <cell r="L508"/>
          <cell r="N508"/>
          <cell r="O508"/>
        </row>
        <row r="509">
          <cell r="B509"/>
          <cell r="C509"/>
          <cell r="D509"/>
          <cell r="E509"/>
          <cell r="G509"/>
          <cell r="I509"/>
          <cell r="J509"/>
          <cell r="K509"/>
          <cell r="L509"/>
          <cell r="N509"/>
          <cell r="O509"/>
        </row>
        <row r="510">
          <cell r="B510"/>
          <cell r="C510"/>
          <cell r="D510"/>
          <cell r="E510"/>
          <cell r="G510"/>
          <cell r="I510"/>
          <cell r="J510"/>
          <cell r="K510"/>
          <cell r="L510"/>
          <cell r="N510"/>
          <cell r="O510"/>
        </row>
        <row r="511">
          <cell r="B511"/>
          <cell r="C511"/>
          <cell r="D511"/>
          <cell r="E511"/>
          <cell r="G511"/>
          <cell r="I511"/>
          <cell r="J511"/>
          <cell r="K511"/>
          <cell r="L511"/>
          <cell r="N511"/>
          <cell r="O511"/>
        </row>
        <row r="512">
          <cell r="B512"/>
          <cell r="C512"/>
          <cell r="D512"/>
          <cell r="E512"/>
          <cell r="G512"/>
          <cell r="I512"/>
          <cell r="J512"/>
          <cell r="K512"/>
          <cell r="L512"/>
          <cell r="N512"/>
          <cell r="O512"/>
        </row>
        <row r="513">
          <cell r="B513"/>
          <cell r="C513"/>
          <cell r="D513"/>
          <cell r="E513"/>
          <cell r="G513"/>
          <cell r="I513"/>
          <cell r="J513"/>
          <cell r="K513"/>
          <cell r="L513"/>
          <cell r="N513"/>
          <cell r="O513"/>
        </row>
        <row r="514">
          <cell r="B514"/>
          <cell r="C514"/>
          <cell r="D514"/>
          <cell r="E514"/>
          <cell r="G514"/>
          <cell r="I514"/>
          <cell r="J514"/>
          <cell r="K514"/>
          <cell r="L514"/>
          <cell r="N514"/>
          <cell r="O514"/>
        </row>
        <row r="515">
          <cell r="B515"/>
          <cell r="C515"/>
          <cell r="D515"/>
          <cell r="E515"/>
          <cell r="G515"/>
          <cell r="I515"/>
          <cell r="J515"/>
          <cell r="K515"/>
          <cell r="L515"/>
          <cell r="N515"/>
          <cell r="O515"/>
        </row>
        <row r="516">
          <cell r="B516"/>
          <cell r="C516"/>
          <cell r="D516"/>
          <cell r="E516"/>
          <cell r="G516"/>
          <cell r="I516"/>
          <cell r="J516"/>
          <cell r="K516"/>
          <cell r="L516"/>
          <cell r="N516"/>
          <cell r="O516"/>
        </row>
        <row r="517">
          <cell r="B517"/>
          <cell r="C517"/>
          <cell r="D517"/>
          <cell r="E517"/>
          <cell r="G517"/>
          <cell r="I517"/>
          <cell r="J517"/>
          <cell r="K517"/>
          <cell r="L517"/>
          <cell r="N517"/>
          <cell r="O517"/>
        </row>
        <row r="518">
          <cell r="B518"/>
          <cell r="C518"/>
          <cell r="D518"/>
          <cell r="E518"/>
          <cell r="G518"/>
          <cell r="I518"/>
          <cell r="J518"/>
          <cell r="K518"/>
          <cell r="L518"/>
          <cell r="N518"/>
          <cell r="O518"/>
        </row>
        <row r="519">
          <cell r="B519"/>
          <cell r="C519"/>
          <cell r="D519"/>
          <cell r="E519"/>
          <cell r="G519"/>
          <cell r="I519"/>
          <cell r="J519"/>
          <cell r="K519"/>
          <cell r="L519"/>
          <cell r="N519"/>
          <cell r="O519"/>
        </row>
        <row r="520">
          <cell r="B520"/>
          <cell r="C520"/>
          <cell r="D520"/>
          <cell r="E520"/>
          <cell r="G520"/>
          <cell r="I520"/>
          <cell r="J520"/>
          <cell r="K520"/>
          <cell r="L520"/>
          <cell r="N520"/>
          <cell r="O520"/>
        </row>
        <row r="521">
          <cell r="B521"/>
          <cell r="C521"/>
          <cell r="D521"/>
          <cell r="E521"/>
          <cell r="G521"/>
          <cell r="I521"/>
          <cell r="J521"/>
          <cell r="K521"/>
          <cell r="L521"/>
          <cell r="N521"/>
          <cell r="O521"/>
        </row>
        <row r="522">
          <cell r="B522"/>
          <cell r="C522"/>
          <cell r="D522"/>
          <cell r="E522"/>
          <cell r="G522"/>
          <cell r="I522"/>
          <cell r="J522"/>
          <cell r="K522"/>
          <cell r="L522"/>
          <cell r="N522"/>
          <cell r="O522"/>
        </row>
        <row r="523">
          <cell r="B523"/>
          <cell r="C523"/>
          <cell r="D523"/>
          <cell r="E523"/>
          <cell r="G523"/>
          <cell r="I523"/>
          <cell r="J523"/>
          <cell r="K523"/>
          <cell r="L523"/>
          <cell r="N523"/>
          <cell r="O523"/>
        </row>
        <row r="524">
          <cell r="B524"/>
          <cell r="C524"/>
          <cell r="D524"/>
          <cell r="E524"/>
          <cell r="G524"/>
          <cell r="I524"/>
          <cell r="J524"/>
          <cell r="K524"/>
          <cell r="L524"/>
          <cell r="N524"/>
          <cell r="O524"/>
        </row>
        <row r="525">
          <cell r="B525"/>
          <cell r="C525"/>
          <cell r="D525"/>
          <cell r="E525"/>
          <cell r="G525"/>
          <cell r="I525"/>
          <cell r="J525"/>
          <cell r="K525"/>
          <cell r="L525"/>
          <cell r="N525"/>
          <cell r="O525"/>
        </row>
        <row r="526">
          <cell r="B526"/>
          <cell r="C526"/>
          <cell r="D526"/>
          <cell r="E526"/>
          <cell r="G526"/>
          <cell r="I526"/>
          <cell r="J526"/>
          <cell r="K526"/>
          <cell r="L526"/>
          <cell r="N526"/>
          <cell r="O526"/>
        </row>
        <row r="527">
          <cell r="B527"/>
          <cell r="C527"/>
          <cell r="D527"/>
          <cell r="E527"/>
          <cell r="G527"/>
          <cell r="I527"/>
          <cell r="J527"/>
          <cell r="K527"/>
          <cell r="L527"/>
          <cell r="N527"/>
          <cell r="O527"/>
        </row>
        <row r="528">
          <cell r="B528"/>
          <cell r="C528"/>
          <cell r="D528"/>
          <cell r="E528"/>
          <cell r="G528"/>
          <cell r="I528"/>
          <cell r="J528"/>
          <cell r="K528"/>
          <cell r="L528"/>
          <cell r="N528"/>
          <cell r="O528"/>
        </row>
        <row r="529">
          <cell r="B529"/>
          <cell r="C529"/>
          <cell r="D529"/>
          <cell r="E529"/>
          <cell r="G529"/>
          <cell r="I529"/>
          <cell r="J529"/>
          <cell r="K529"/>
          <cell r="L529"/>
          <cell r="N529"/>
          <cell r="O529"/>
        </row>
        <row r="530">
          <cell r="B530"/>
          <cell r="C530"/>
          <cell r="D530"/>
          <cell r="E530"/>
          <cell r="G530"/>
          <cell r="I530"/>
          <cell r="J530"/>
          <cell r="K530"/>
          <cell r="L530"/>
          <cell r="N530"/>
          <cell r="O530"/>
        </row>
        <row r="531">
          <cell r="B531"/>
          <cell r="C531"/>
          <cell r="D531"/>
          <cell r="E531"/>
          <cell r="G531"/>
          <cell r="I531"/>
          <cell r="J531"/>
          <cell r="K531"/>
          <cell r="L531"/>
          <cell r="N531"/>
          <cell r="O531"/>
        </row>
        <row r="532">
          <cell r="B532"/>
          <cell r="C532"/>
          <cell r="D532"/>
          <cell r="E532"/>
          <cell r="G532"/>
          <cell r="I532"/>
          <cell r="J532"/>
          <cell r="K532"/>
          <cell r="L532"/>
          <cell r="N532"/>
          <cell r="O532"/>
        </row>
        <row r="533">
          <cell r="B533"/>
          <cell r="C533"/>
          <cell r="D533"/>
          <cell r="E533"/>
          <cell r="G533"/>
          <cell r="I533"/>
          <cell r="J533"/>
          <cell r="K533"/>
          <cell r="L533"/>
          <cell r="N533"/>
          <cell r="O533"/>
        </row>
        <row r="534">
          <cell r="B534"/>
          <cell r="C534"/>
          <cell r="D534"/>
          <cell r="E534"/>
          <cell r="G534"/>
          <cell r="I534"/>
          <cell r="J534"/>
          <cell r="K534"/>
          <cell r="L534"/>
          <cell r="N534"/>
          <cell r="O534"/>
        </row>
        <row r="535">
          <cell r="B535"/>
          <cell r="C535"/>
          <cell r="D535"/>
          <cell r="E535"/>
          <cell r="G535"/>
          <cell r="I535"/>
          <cell r="J535"/>
          <cell r="K535"/>
          <cell r="L535"/>
          <cell r="N535"/>
          <cell r="O535"/>
        </row>
        <row r="536">
          <cell r="B536"/>
          <cell r="C536"/>
          <cell r="D536"/>
          <cell r="E536"/>
          <cell r="G536"/>
          <cell r="I536"/>
          <cell r="J536"/>
          <cell r="K536"/>
          <cell r="L536"/>
          <cell r="N536"/>
          <cell r="O536"/>
        </row>
        <row r="537">
          <cell r="B537"/>
          <cell r="C537"/>
          <cell r="D537"/>
          <cell r="E537"/>
          <cell r="G537"/>
          <cell r="I537"/>
          <cell r="J537"/>
          <cell r="K537"/>
          <cell r="L537"/>
          <cell r="N537"/>
          <cell r="O537"/>
        </row>
        <row r="538">
          <cell r="B538"/>
          <cell r="C538"/>
          <cell r="D538"/>
          <cell r="E538"/>
          <cell r="G538"/>
          <cell r="I538"/>
          <cell r="J538"/>
          <cell r="K538"/>
          <cell r="L538"/>
          <cell r="N538"/>
          <cell r="O538"/>
        </row>
        <row r="539">
          <cell r="B539"/>
          <cell r="C539"/>
          <cell r="D539"/>
          <cell r="E539"/>
          <cell r="G539"/>
          <cell r="I539"/>
          <cell r="J539"/>
          <cell r="K539"/>
          <cell r="L539"/>
          <cell r="N539"/>
          <cell r="O539"/>
        </row>
        <row r="540">
          <cell r="B540"/>
          <cell r="C540"/>
          <cell r="D540"/>
          <cell r="E540"/>
          <cell r="G540"/>
          <cell r="I540"/>
          <cell r="J540"/>
          <cell r="K540"/>
          <cell r="L540"/>
          <cell r="N540"/>
          <cell r="O540"/>
        </row>
        <row r="541">
          <cell r="B541"/>
          <cell r="C541"/>
          <cell r="D541"/>
          <cell r="E541"/>
          <cell r="G541"/>
          <cell r="I541"/>
          <cell r="J541"/>
          <cell r="K541"/>
          <cell r="L541"/>
          <cell r="N541"/>
          <cell r="O541"/>
        </row>
        <row r="542">
          <cell r="B542"/>
          <cell r="C542"/>
          <cell r="D542"/>
          <cell r="E542"/>
          <cell r="G542"/>
          <cell r="I542"/>
          <cell r="J542"/>
          <cell r="K542"/>
          <cell r="L542"/>
          <cell r="N542"/>
          <cell r="O542"/>
        </row>
        <row r="543">
          <cell r="B543"/>
          <cell r="C543"/>
          <cell r="D543"/>
          <cell r="E543"/>
          <cell r="G543"/>
          <cell r="I543"/>
          <cell r="J543"/>
          <cell r="K543"/>
          <cell r="L543"/>
          <cell r="N543"/>
          <cell r="O543"/>
        </row>
        <row r="544">
          <cell r="B544"/>
          <cell r="C544"/>
          <cell r="D544"/>
          <cell r="E544"/>
          <cell r="G544"/>
          <cell r="I544"/>
          <cell r="J544"/>
          <cell r="K544"/>
          <cell r="L544"/>
          <cell r="N544"/>
          <cell r="O544"/>
        </row>
        <row r="545">
          <cell r="B545"/>
          <cell r="C545"/>
          <cell r="D545"/>
          <cell r="E545"/>
          <cell r="G545"/>
          <cell r="I545"/>
          <cell r="J545"/>
          <cell r="K545"/>
          <cell r="L545"/>
          <cell r="N545"/>
          <cell r="O545"/>
        </row>
        <row r="546">
          <cell r="B546"/>
          <cell r="C546"/>
          <cell r="D546"/>
          <cell r="E546"/>
          <cell r="G546"/>
          <cell r="I546"/>
          <cell r="J546"/>
          <cell r="K546"/>
          <cell r="L546"/>
          <cell r="N546"/>
          <cell r="O546"/>
        </row>
        <row r="547">
          <cell r="B547"/>
          <cell r="C547"/>
          <cell r="D547"/>
          <cell r="E547"/>
          <cell r="G547"/>
          <cell r="I547"/>
          <cell r="J547"/>
          <cell r="K547"/>
          <cell r="L547"/>
          <cell r="N547"/>
          <cell r="O547"/>
        </row>
        <row r="548">
          <cell r="B548"/>
          <cell r="C548"/>
          <cell r="D548"/>
          <cell r="E548"/>
          <cell r="G548"/>
          <cell r="I548"/>
          <cell r="J548"/>
          <cell r="K548"/>
          <cell r="L548"/>
          <cell r="N548"/>
          <cell r="O548"/>
        </row>
        <row r="549">
          <cell r="B549"/>
          <cell r="C549"/>
          <cell r="D549"/>
          <cell r="E549"/>
          <cell r="G549"/>
          <cell r="I549"/>
          <cell r="J549"/>
          <cell r="K549"/>
          <cell r="L549"/>
          <cell r="N549"/>
          <cell r="O549"/>
        </row>
        <row r="550">
          <cell r="B550"/>
          <cell r="C550"/>
          <cell r="D550"/>
          <cell r="E550"/>
          <cell r="G550"/>
          <cell r="I550"/>
          <cell r="J550"/>
          <cell r="K550"/>
          <cell r="L550"/>
          <cell r="N550"/>
          <cell r="O550"/>
        </row>
        <row r="551">
          <cell r="B551"/>
          <cell r="C551"/>
          <cell r="D551"/>
          <cell r="E551"/>
          <cell r="G551"/>
          <cell r="I551"/>
          <cell r="J551"/>
          <cell r="K551"/>
          <cell r="L551"/>
          <cell r="N551"/>
          <cell r="O551"/>
        </row>
        <row r="552">
          <cell r="B552"/>
          <cell r="C552"/>
          <cell r="D552"/>
          <cell r="E552"/>
          <cell r="G552"/>
          <cell r="I552"/>
          <cell r="J552"/>
          <cell r="K552"/>
          <cell r="L552"/>
          <cell r="N552"/>
          <cell r="O552"/>
        </row>
        <row r="553">
          <cell r="B553"/>
          <cell r="C553"/>
          <cell r="D553"/>
          <cell r="E553"/>
          <cell r="G553"/>
          <cell r="I553"/>
          <cell r="J553"/>
          <cell r="K553"/>
          <cell r="L553"/>
          <cell r="N553"/>
          <cell r="O553"/>
        </row>
        <row r="554">
          <cell r="B554"/>
          <cell r="C554"/>
          <cell r="D554"/>
          <cell r="E554"/>
          <cell r="G554"/>
          <cell r="I554"/>
          <cell r="J554"/>
          <cell r="K554"/>
          <cell r="L554"/>
          <cell r="N554"/>
          <cell r="O554"/>
        </row>
        <row r="555">
          <cell r="B555"/>
          <cell r="C555"/>
          <cell r="D555"/>
          <cell r="E555"/>
          <cell r="G555"/>
          <cell r="I555"/>
          <cell r="J555"/>
          <cell r="K555"/>
          <cell r="L555"/>
          <cell r="N555"/>
          <cell r="O555"/>
        </row>
        <row r="556">
          <cell r="B556"/>
          <cell r="C556"/>
          <cell r="D556"/>
          <cell r="E556"/>
          <cell r="G556"/>
          <cell r="I556"/>
          <cell r="J556"/>
          <cell r="K556"/>
          <cell r="L556"/>
          <cell r="N556"/>
          <cell r="O556"/>
        </row>
        <row r="557">
          <cell r="B557"/>
          <cell r="C557"/>
          <cell r="D557"/>
          <cell r="E557"/>
          <cell r="G557"/>
          <cell r="I557"/>
          <cell r="J557"/>
          <cell r="K557"/>
          <cell r="L557"/>
          <cell r="N557"/>
          <cell r="O557"/>
        </row>
        <row r="558">
          <cell r="B558"/>
          <cell r="C558"/>
          <cell r="D558"/>
          <cell r="E558"/>
          <cell r="G558"/>
          <cell r="I558"/>
          <cell r="J558"/>
          <cell r="K558"/>
          <cell r="L558"/>
          <cell r="N558"/>
          <cell r="O558"/>
        </row>
        <row r="559">
          <cell r="B559"/>
          <cell r="C559"/>
          <cell r="D559"/>
          <cell r="E559"/>
          <cell r="G559"/>
          <cell r="I559"/>
          <cell r="J559"/>
          <cell r="K559"/>
          <cell r="L559"/>
          <cell r="N559"/>
          <cell r="O559"/>
        </row>
        <row r="560">
          <cell r="B560"/>
          <cell r="C560"/>
          <cell r="D560"/>
          <cell r="E560"/>
          <cell r="G560"/>
          <cell r="I560"/>
          <cell r="J560"/>
          <cell r="K560"/>
          <cell r="L560"/>
          <cell r="N560"/>
          <cell r="O560"/>
        </row>
        <row r="561">
          <cell r="B561"/>
          <cell r="C561"/>
          <cell r="D561"/>
          <cell r="E561"/>
          <cell r="G561"/>
          <cell r="I561"/>
          <cell r="J561"/>
          <cell r="K561"/>
          <cell r="L561"/>
          <cell r="N561"/>
          <cell r="O561"/>
        </row>
        <row r="562">
          <cell r="B562"/>
          <cell r="C562"/>
          <cell r="D562"/>
          <cell r="E562"/>
          <cell r="G562"/>
          <cell r="I562"/>
          <cell r="J562"/>
          <cell r="K562"/>
          <cell r="L562"/>
          <cell r="N562"/>
          <cell r="O562"/>
        </row>
        <row r="563">
          <cell r="B563"/>
          <cell r="C563"/>
          <cell r="D563"/>
          <cell r="E563"/>
          <cell r="G563"/>
          <cell r="I563"/>
          <cell r="J563"/>
          <cell r="K563"/>
          <cell r="L563"/>
          <cell r="N563"/>
          <cell r="O563"/>
        </row>
        <row r="564">
          <cell r="B564"/>
          <cell r="C564"/>
          <cell r="D564"/>
          <cell r="E564"/>
          <cell r="G564"/>
          <cell r="I564"/>
          <cell r="J564"/>
          <cell r="K564"/>
          <cell r="L564"/>
          <cell r="N564"/>
          <cell r="O564"/>
        </row>
        <row r="565">
          <cell r="B565"/>
          <cell r="C565"/>
          <cell r="D565"/>
          <cell r="E565"/>
          <cell r="G565"/>
          <cell r="I565"/>
          <cell r="J565"/>
          <cell r="K565"/>
          <cell r="L565"/>
          <cell r="N565"/>
          <cell r="O565"/>
        </row>
        <row r="566">
          <cell r="B566"/>
          <cell r="C566"/>
          <cell r="D566"/>
          <cell r="E566"/>
          <cell r="G566"/>
          <cell r="I566"/>
          <cell r="J566"/>
          <cell r="K566"/>
          <cell r="L566"/>
          <cell r="N566"/>
          <cell r="O566"/>
        </row>
        <row r="567">
          <cell r="B567"/>
          <cell r="C567"/>
          <cell r="D567"/>
          <cell r="E567"/>
          <cell r="G567"/>
          <cell r="I567"/>
          <cell r="J567"/>
          <cell r="K567"/>
          <cell r="L567"/>
          <cell r="N567"/>
          <cell r="O567"/>
        </row>
        <row r="568">
          <cell r="B568"/>
          <cell r="C568"/>
          <cell r="D568"/>
          <cell r="E568"/>
          <cell r="G568"/>
          <cell r="I568"/>
          <cell r="J568"/>
          <cell r="K568"/>
          <cell r="L568"/>
          <cell r="N568"/>
          <cell r="O568"/>
        </row>
        <row r="569">
          <cell r="B569"/>
          <cell r="C569"/>
          <cell r="D569"/>
          <cell r="E569"/>
          <cell r="G569"/>
          <cell r="I569"/>
          <cell r="J569"/>
          <cell r="K569"/>
          <cell r="L569"/>
          <cell r="N569"/>
          <cell r="O569"/>
        </row>
        <row r="570">
          <cell r="B570"/>
          <cell r="C570"/>
          <cell r="D570"/>
          <cell r="E570"/>
          <cell r="G570"/>
          <cell r="I570"/>
          <cell r="J570"/>
          <cell r="K570"/>
          <cell r="L570"/>
          <cell r="N570"/>
          <cell r="O570"/>
        </row>
        <row r="571">
          <cell r="B571"/>
          <cell r="C571"/>
          <cell r="D571"/>
          <cell r="E571"/>
          <cell r="G571"/>
          <cell r="I571"/>
          <cell r="J571"/>
          <cell r="K571"/>
          <cell r="L571"/>
          <cell r="N571"/>
          <cell r="O571"/>
        </row>
        <row r="572">
          <cell r="B572"/>
          <cell r="C572"/>
          <cell r="D572"/>
          <cell r="E572"/>
          <cell r="G572"/>
          <cell r="I572"/>
          <cell r="J572"/>
          <cell r="K572"/>
          <cell r="L572"/>
          <cell r="N572"/>
          <cell r="O572"/>
        </row>
        <row r="573">
          <cell r="B573"/>
          <cell r="C573"/>
          <cell r="D573"/>
          <cell r="E573"/>
          <cell r="G573"/>
          <cell r="I573"/>
          <cell r="J573"/>
          <cell r="K573"/>
          <cell r="L573"/>
          <cell r="N573"/>
          <cell r="O573"/>
        </row>
        <row r="574">
          <cell r="B574"/>
          <cell r="C574"/>
          <cell r="D574"/>
          <cell r="E574"/>
          <cell r="G574"/>
          <cell r="I574"/>
          <cell r="J574"/>
          <cell r="K574"/>
          <cell r="L574"/>
          <cell r="N574"/>
          <cell r="O574"/>
        </row>
        <row r="575">
          <cell r="B575"/>
          <cell r="C575"/>
          <cell r="D575"/>
          <cell r="E575"/>
          <cell r="G575"/>
          <cell r="I575"/>
          <cell r="J575"/>
          <cell r="K575"/>
          <cell r="L575"/>
          <cell r="N575"/>
          <cell r="O575"/>
        </row>
        <row r="576">
          <cell r="B576"/>
          <cell r="C576"/>
          <cell r="D576"/>
          <cell r="E576"/>
          <cell r="G576"/>
          <cell r="I576"/>
          <cell r="J576"/>
          <cell r="K576"/>
          <cell r="L576"/>
          <cell r="N576"/>
          <cell r="O576"/>
        </row>
        <row r="577">
          <cell r="B577"/>
          <cell r="C577"/>
          <cell r="D577"/>
          <cell r="E577"/>
          <cell r="G577"/>
          <cell r="I577"/>
          <cell r="J577"/>
          <cell r="K577"/>
          <cell r="L577"/>
          <cell r="N577"/>
          <cell r="O577"/>
        </row>
        <row r="578">
          <cell r="B578"/>
          <cell r="C578"/>
          <cell r="D578"/>
          <cell r="E578"/>
          <cell r="G578"/>
          <cell r="I578"/>
          <cell r="J578"/>
          <cell r="K578"/>
          <cell r="L578"/>
          <cell r="N578"/>
          <cell r="O578"/>
        </row>
        <row r="579">
          <cell r="B579"/>
          <cell r="C579"/>
          <cell r="D579"/>
          <cell r="E579"/>
          <cell r="G579"/>
          <cell r="I579"/>
          <cell r="J579"/>
          <cell r="K579"/>
          <cell r="L579"/>
          <cell r="N579"/>
          <cell r="O579"/>
        </row>
        <row r="580">
          <cell r="B580"/>
          <cell r="C580"/>
          <cell r="D580"/>
          <cell r="E580"/>
          <cell r="G580"/>
          <cell r="I580"/>
          <cell r="J580"/>
          <cell r="K580"/>
          <cell r="L580"/>
          <cell r="N580"/>
          <cell r="O580"/>
        </row>
        <row r="581">
          <cell r="B581"/>
          <cell r="C581"/>
          <cell r="D581"/>
          <cell r="E581"/>
          <cell r="G581"/>
          <cell r="I581"/>
          <cell r="J581"/>
          <cell r="K581"/>
          <cell r="L581"/>
          <cell r="N581"/>
          <cell r="O581"/>
        </row>
        <row r="582">
          <cell r="B582"/>
          <cell r="C582"/>
          <cell r="D582"/>
          <cell r="E582"/>
          <cell r="G582"/>
          <cell r="I582"/>
          <cell r="J582"/>
          <cell r="K582"/>
          <cell r="L582"/>
          <cell r="N582"/>
          <cell r="O582"/>
        </row>
        <row r="583">
          <cell r="B583"/>
          <cell r="C583"/>
          <cell r="D583"/>
          <cell r="E583"/>
          <cell r="G583"/>
          <cell r="I583"/>
          <cell r="J583"/>
          <cell r="K583"/>
          <cell r="L583"/>
          <cell r="N583"/>
          <cell r="O583"/>
        </row>
        <row r="584">
          <cell r="B584"/>
          <cell r="C584"/>
          <cell r="D584"/>
          <cell r="E584"/>
          <cell r="G584"/>
          <cell r="I584"/>
          <cell r="J584"/>
          <cell r="K584"/>
          <cell r="L584"/>
          <cell r="N584"/>
          <cell r="O584"/>
        </row>
        <row r="585">
          <cell r="B585"/>
          <cell r="C585"/>
          <cell r="D585"/>
          <cell r="E585"/>
          <cell r="G585"/>
          <cell r="I585"/>
          <cell r="J585"/>
          <cell r="K585"/>
          <cell r="L585"/>
          <cell r="N585"/>
          <cell r="O585"/>
        </row>
        <row r="586">
          <cell r="B586"/>
          <cell r="C586"/>
          <cell r="D586"/>
          <cell r="E586"/>
          <cell r="G586"/>
          <cell r="I586"/>
          <cell r="J586"/>
          <cell r="K586"/>
          <cell r="L586"/>
          <cell r="N586"/>
          <cell r="O586"/>
        </row>
        <row r="587">
          <cell r="B587"/>
          <cell r="C587"/>
          <cell r="D587"/>
          <cell r="E587"/>
          <cell r="G587"/>
          <cell r="I587"/>
          <cell r="J587"/>
          <cell r="K587"/>
          <cell r="L587"/>
          <cell r="N587"/>
          <cell r="O587"/>
        </row>
        <row r="588">
          <cell r="B588"/>
          <cell r="C588"/>
          <cell r="D588"/>
          <cell r="E588"/>
          <cell r="G588"/>
          <cell r="I588"/>
          <cell r="J588"/>
          <cell r="K588"/>
          <cell r="L588"/>
          <cell r="N588"/>
          <cell r="O588"/>
        </row>
        <row r="589">
          <cell r="B589"/>
          <cell r="C589"/>
          <cell r="D589"/>
          <cell r="E589"/>
          <cell r="G589"/>
          <cell r="I589"/>
          <cell r="J589"/>
          <cell r="K589"/>
          <cell r="L589"/>
          <cell r="N589"/>
          <cell r="O589"/>
        </row>
        <row r="590">
          <cell r="B590"/>
          <cell r="C590"/>
          <cell r="D590"/>
          <cell r="E590"/>
          <cell r="G590"/>
          <cell r="I590"/>
          <cell r="J590"/>
          <cell r="K590"/>
          <cell r="L590"/>
          <cell r="N590"/>
          <cell r="O590"/>
        </row>
        <row r="591">
          <cell r="B591"/>
          <cell r="C591"/>
          <cell r="D591"/>
          <cell r="E591"/>
          <cell r="G591"/>
          <cell r="I591"/>
          <cell r="J591"/>
          <cell r="K591"/>
          <cell r="L591"/>
          <cell r="N591"/>
          <cell r="O591"/>
        </row>
        <row r="592">
          <cell r="B592"/>
          <cell r="C592"/>
          <cell r="D592"/>
          <cell r="E592"/>
          <cell r="G592"/>
          <cell r="I592"/>
          <cell r="J592"/>
          <cell r="K592"/>
          <cell r="L592"/>
          <cell r="N592"/>
          <cell r="O592"/>
        </row>
        <row r="593">
          <cell r="B593"/>
          <cell r="C593"/>
          <cell r="D593"/>
          <cell r="E593"/>
          <cell r="G593"/>
          <cell r="I593"/>
          <cell r="J593"/>
          <cell r="K593"/>
          <cell r="L593"/>
          <cell r="N593"/>
          <cell r="O593"/>
        </row>
        <row r="594">
          <cell r="B594"/>
          <cell r="C594"/>
          <cell r="D594"/>
          <cell r="E594"/>
          <cell r="G594"/>
          <cell r="I594"/>
          <cell r="J594"/>
          <cell r="K594"/>
          <cell r="L594"/>
          <cell r="N594"/>
          <cell r="O594"/>
        </row>
        <row r="595">
          <cell r="B595"/>
          <cell r="C595"/>
          <cell r="D595"/>
          <cell r="E595"/>
          <cell r="G595"/>
          <cell r="I595"/>
          <cell r="J595"/>
          <cell r="K595"/>
          <cell r="L595"/>
          <cell r="N595"/>
          <cell r="O595"/>
        </row>
        <row r="596">
          <cell r="B596"/>
          <cell r="C596"/>
          <cell r="D596"/>
          <cell r="E596"/>
          <cell r="G596"/>
          <cell r="I596"/>
          <cell r="J596"/>
          <cell r="K596"/>
          <cell r="L596"/>
          <cell r="N596"/>
          <cell r="O596"/>
        </row>
        <row r="597">
          <cell r="B597"/>
          <cell r="C597"/>
          <cell r="D597"/>
          <cell r="E597"/>
          <cell r="G597"/>
          <cell r="I597"/>
          <cell r="J597"/>
          <cell r="K597"/>
          <cell r="L597"/>
          <cell r="N597"/>
          <cell r="O597"/>
        </row>
        <row r="598">
          <cell r="B598"/>
          <cell r="C598"/>
          <cell r="D598"/>
          <cell r="E598"/>
          <cell r="G598"/>
          <cell r="I598"/>
          <cell r="J598"/>
          <cell r="K598"/>
          <cell r="L598"/>
          <cell r="N598"/>
          <cell r="O598"/>
        </row>
        <row r="599">
          <cell r="B599"/>
          <cell r="C599"/>
          <cell r="D599"/>
          <cell r="E599"/>
          <cell r="G599"/>
          <cell r="I599"/>
          <cell r="J599"/>
          <cell r="K599"/>
          <cell r="L599"/>
          <cell r="N599"/>
          <cell r="O599"/>
        </row>
        <row r="600">
          <cell r="B600"/>
          <cell r="C600"/>
          <cell r="D600"/>
          <cell r="E600"/>
          <cell r="G600"/>
          <cell r="I600"/>
          <cell r="J600"/>
          <cell r="K600"/>
          <cell r="L600"/>
          <cell r="N600"/>
          <cell r="O600"/>
        </row>
        <row r="601">
          <cell r="B601"/>
          <cell r="C601"/>
          <cell r="D601"/>
          <cell r="E601"/>
          <cell r="G601"/>
          <cell r="I601"/>
          <cell r="J601"/>
          <cell r="K601"/>
          <cell r="L601"/>
          <cell r="N601"/>
          <cell r="O601"/>
        </row>
        <row r="602">
          <cell r="B602"/>
          <cell r="C602"/>
          <cell r="D602"/>
          <cell r="E602"/>
          <cell r="G602"/>
          <cell r="I602"/>
          <cell r="J602"/>
          <cell r="K602"/>
          <cell r="L602"/>
          <cell r="N602"/>
          <cell r="O602"/>
        </row>
        <row r="603">
          <cell r="B603"/>
          <cell r="C603"/>
          <cell r="D603"/>
          <cell r="E603"/>
          <cell r="G603"/>
          <cell r="I603"/>
          <cell r="J603"/>
          <cell r="K603"/>
          <cell r="L603"/>
          <cell r="N603"/>
          <cell r="O603"/>
        </row>
        <row r="604">
          <cell r="B604"/>
          <cell r="C604"/>
          <cell r="D604"/>
          <cell r="E604"/>
          <cell r="G604"/>
          <cell r="I604"/>
          <cell r="J604"/>
          <cell r="K604"/>
          <cell r="L604"/>
          <cell r="N604"/>
          <cell r="O604"/>
        </row>
        <row r="605">
          <cell r="B605"/>
          <cell r="C605"/>
          <cell r="D605"/>
          <cell r="E605"/>
          <cell r="G605"/>
          <cell r="I605"/>
          <cell r="J605"/>
          <cell r="K605"/>
          <cell r="L605"/>
          <cell r="N605"/>
          <cell r="O605"/>
        </row>
        <row r="606">
          <cell r="B606"/>
          <cell r="C606"/>
          <cell r="D606"/>
          <cell r="E606"/>
          <cell r="G606"/>
          <cell r="I606"/>
          <cell r="J606"/>
          <cell r="K606"/>
          <cell r="L606"/>
          <cell r="N606"/>
          <cell r="O606"/>
        </row>
        <row r="607">
          <cell r="B607"/>
          <cell r="C607"/>
          <cell r="D607"/>
          <cell r="E607"/>
          <cell r="G607"/>
          <cell r="I607"/>
          <cell r="J607"/>
          <cell r="K607"/>
          <cell r="L607"/>
          <cell r="N607"/>
          <cell r="O607"/>
        </row>
        <row r="608">
          <cell r="B608"/>
          <cell r="C608"/>
          <cell r="D608"/>
          <cell r="E608"/>
          <cell r="G608"/>
          <cell r="I608"/>
          <cell r="J608"/>
          <cell r="K608"/>
          <cell r="L608"/>
          <cell r="N608"/>
          <cell r="O608"/>
        </row>
        <row r="609">
          <cell r="B609"/>
          <cell r="C609"/>
          <cell r="D609"/>
          <cell r="E609"/>
          <cell r="G609"/>
          <cell r="I609"/>
          <cell r="J609"/>
          <cell r="K609"/>
          <cell r="L609"/>
          <cell r="N609"/>
          <cell r="O609"/>
        </row>
        <row r="610">
          <cell r="B610"/>
          <cell r="C610"/>
          <cell r="D610"/>
          <cell r="E610"/>
          <cell r="G610"/>
          <cell r="I610"/>
          <cell r="J610"/>
          <cell r="K610"/>
          <cell r="L610"/>
          <cell r="N610"/>
          <cell r="O610"/>
        </row>
        <row r="611">
          <cell r="B611"/>
          <cell r="C611"/>
          <cell r="D611"/>
          <cell r="E611"/>
          <cell r="G611"/>
          <cell r="I611"/>
          <cell r="J611"/>
          <cell r="K611"/>
          <cell r="L611"/>
          <cell r="N611"/>
          <cell r="O611"/>
        </row>
        <row r="612">
          <cell r="B612"/>
          <cell r="C612"/>
          <cell r="D612"/>
          <cell r="E612"/>
          <cell r="G612"/>
          <cell r="I612"/>
          <cell r="J612"/>
          <cell r="K612"/>
          <cell r="L612"/>
          <cell r="N612"/>
          <cell r="O612"/>
        </row>
        <row r="613">
          <cell r="B613"/>
          <cell r="C613"/>
          <cell r="D613"/>
          <cell r="E613"/>
          <cell r="G613"/>
          <cell r="I613"/>
          <cell r="J613"/>
          <cell r="K613"/>
          <cell r="L613"/>
          <cell r="N613"/>
          <cell r="O613"/>
        </row>
        <row r="614">
          <cell r="B614"/>
          <cell r="C614"/>
          <cell r="D614"/>
          <cell r="E614"/>
          <cell r="G614"/>
          <cell r="I614"/>
          <cell r="J614"/>
          <cell r="K614"/>
          <cell r="L614"/>
          <cell r="N614"/>
          <cell r="O614"/>
        </row>
        <row r="615">
          <cell r="B615"/>
          <cell r="C615"/>
          <cell r="D615"/>
          <cell r="E615"/>
          <cell r="G615"/>
          <cell r="I615"/>
          <cell r="J615"/>
          <cell r="K615"/>
          <cell r="L615"/>
          <cell r="N615"/>
          <cell r="O615"/>
        </row>
        <row r="616">
          <cell r="B616"/>
          <cell r="C616"/>
          <cell r="D616"/>
          <cell r="E616"/>
          <cell r="G616"/>
          <cell r="I616"/>
          <cell r="J616"/>
          <cell r="K616"/>
          <cell r="L616"/>
          <cell r="N616"/>
          <cell r="O616"/>
        </row>
        <row r="617">
          <cell r="B617"/>
          <cell r="C617"/>
          <cell r="D617"/>
          <cell r="E617"/>
          <cell r="G617"/>
          <cell r="I617"/>
          <cell r="J617"/>
          <cell r="K617"/>
          <cell r="L617"/>
          <cell r="N617"/>
          <cell r="O617"/>
        </row>
        <row r="618">
          <cell r="B618"/>
          <cell r="C618"/>
          <cell r="D618"/>
          <cell r="E618"/>
          <cell r="G618"/>
          <cell r="I618"/>
          <cell r="J618"/>
          <cell r="K618"/>
          <cell r="L618"/>
          <cell r="N618"/>
          <cell r="O618"/>
        </row>
        <row r="619">
          <cell r="B619"/>
          <cell r="C619"/>
          <cell r="D619"/>
          <cell r="E619"/>
          <cell r="G619"/>
          <cell r="I619"/>
          <cell r="J619"/>
          <cell r="K619"/>
          <cell r="L619"/>
          <cell r="N619"/>
          <cell r="O619"/>
        </row>
        <row r="620">
          <cell r="B620"/>
          <cell r="C620"/>
          <cell r="D620"/>
          <cell r="E620"/>
          <cell r="G620"/>
          <cell r="I620"/>
          <cell r="J620"/>
          <cell r="K620"/>
          <cell r="L620"/>
          <cell r="N620"/>
          <cell r="O620"/>
        </row>
        <row r="621">
          <cell r="B621"/>
          <cell r="C621"/>
          <cell r="D621"/>
          <cell r="E621"/>
          <cell r="G621"/>
          <cell r="I621"/>
          <cell r="J621"/>
          <cell r="K621"/>
          <cell r="L621"/>
          <cell r="N621"/>
          <cell r="O621"/>
        </row>
        <row r="622">
          <cell r="B622"/>
          <cell r="C622"/>
          <cell r="D622"/>
          <cell r="E622"/>
          <cell r="G622"/>
          <cell r="I622"/>
          <cell r="J622"/>
          <cell r="K622"/>
          <cell r="L622"/>
          <cell r="N622"/>
          <cell r="O622"/>
        </row>
        <row r="623">
          <cell r="B623"/>
          <cell r="C623"/>
          <cell r="D623"/>
          <cell r="E623"/>
          <cell r="G623"/>
          <cell r="I623"/>
          <cell r="J623"/>
          <cell r="K623"/>
          <cell r="L623"/>
          <cell r="N623"/>
          <cell r="O623"/>
        </row>
        <row r="624">
          <cell r="B624"/>
          <cell r="C624"/>
          <cell r="D624"/>
          <cell r="E624"/>
          <cell r="G624"/>
          <cell r="I624"/>
          <cell r="J624"/>
          <cell r="K624"/>
          <cell r="L624"/>
          <cell r="N624"/>
          <cell r="O624"/>
        </row>
        <row r="625">
          <cell r="B625"/>
          <cell r="C625"/>
          <cell r="D625"/>
          <cell r="E625"/>
          <cell r="G625"/>
          <cell r="I625"/>
          <cell r="J625"/>
          <cell r="K625"/>
          <cell r="L625"/>
          <cell r="N625"/>
          <cell r="O625"/>
        </row>
        <row r="626">
          <cell r="B626"/>
          <cell r="C626"/>
          <cell r="D626"/>
          <cell r="E626"/>
          <cell r="G626"/>
          <cell r="I626"/>
          <cell r="J626"/>
          <cell r="K626"/>
          <cell r="L626"/>
          <cell r="N626"/>
          <cell r="O626"/>
        </row>
        <row r="627">
          <cell r="B627"/>
          <cell r="C627"/>
          <cell r="D627"/>
          <cell r="E627"/>
          <cell r="G627"/>
          <cell r="I627"/>
          <cell r="J627"/>
          <cell r="K627"/>
          <cell r="L627"/>
          <cell r="N627"/>
          <cell r="O627"/>
        </row>
        <row r="628">
          <cell r="B628"/>
          <cell r="C628"/>
          <cell r="D628"/>
          <cell r="E628"/>
          <cell r="G628"/>
          <cell r="I628"/>
          <cell r="J628"/>
          <cell r="K628"/>
          <cell r="L628"/>
          <cell r="N628"/>
          <cell r="O628"/>
        </row>
        <row r="629">
          <cell r="B629"/>
          <cell r="C629"/>
          <cell r="D629"/>
          <cell r="E629"/>
          <cell r="G629"/>
          <cell r="I629"/>
          <cell r="J629"/>
          <cell r="K629"/>
          <cell r="L629"/>
          <cell r="N629"/>
          <cell r="O629"/>
        </row>
        <row r="630">
          <cell r="B630"/>
          <cell r="C630"/>
          <cell r="D630"/>
          <cell r="E630"/>
          <cell r="G630"/>
          <cell r="I630"/>
          <cell r="J630"/>
          <cell r="K630"/>
          <cell r="L630"/>
          <cell r="N630"/>
          <cell r="O630"/>
        </row>
        <row r="631">
          <cell r="B631"/>
          <cell r="C631"/>
          <cell r="D631"/>
          <cell r="E631"/>
          <cell r="G631"/>
          <cell r="I631"/>
          <cell r="J631"/>
          <cell r="K631"/>
          <cell r="L631"/>
          <cell r="N631"/>
          <cell r="O631"/>
        </row>
        <row r="632">
          <cell r="B632"/>
          <cell r="C632"/>
          <cell r="D632"/>
          <cell r="E632"/>
          <cell r="G632"/>
          <cell r="I632"/>
          <cell r="J632"/>
          <cell r="K632"/>
          <cell r="L632"/>
          <cell r="N632"/>
          <cell r="O632"/>
        </row>
        <row r="633">
          <cell r="B633"/>
          <cell r="C633"/>
          <cell r="D633"/>
          <cell r="E633"/>
          <cell r="G633"/>
          <cell r="I633"/>
          <cell r="J633"/>
          <cell r="K633"/>
          <cell r="L633"/>
          <cell r="N633"/>
          <cell r="O633"/>
        </row>
        <row r="634">
          <cell r="B634"/>
          <cell r="C634"/>
          <cell r="D634"/>
          <cell r="E634"/>
          <cell r="G634"/>
          <cell r="I634"/>
          <cell r="J634"/>
          <cell r="K634"/>
          <cell r="L634"/>
          <cell r="N634"/>
          <cell r="O634"/>
        </row>
        <row r="635">
          <cell r="B635"/>
          <cell r="C635"/>
          <cell r="D635"/>
          <cell r="E635"/>
          <cell r="G635"/>
          <cell r="I635"/>
          <cell r="J635"/>
          <cell r="K635"/>
          <cell r="L635"/>
          <cell r="N635"/>
          <cell r="O635"/>
        </row>
        <row r="636">
          <cell r="B636"/>
          <cell r="C636"/>
          <cell r="D636"/>
          <cell r="E636"/>
          <cell r="G636"/>
          <cell r="I636"/>
          <cell r="J636"/>
          <cell r="K636"/>
          <cell r="L636"/>
          <cell r="N636"/>
          <cell r="O636"/>
        </row>
        <row r="637">
          <cell r="B637"/>
          <cell r="C637"/>
          <cell r="D637"/>
          <cell r="E637"/>
          <cell r="G637"/>
          <cell r="I637"/>
          <cell r="J637"/>
          <cell r="K637"/>
          <cell r="L637"/>
          <cell r="N637"/>
          <cell r="O637"/>
        </row>
        <row r="638">
          <cell r="B638"/>
          <cell r="C638"/>
          <cell r="D638"/>
          <cell r="E638"/>
          <cell r="G638"/>
          <cell r="I638"/>
          <cell r="J638"/>
          <cell r="K638"/>
          <cell r="L638"/>
          <cell r="N638"/>
          <cell r="O638"/>
        </row>
        <row r="639">
          <cell r="B639"/>
          <cell r="C639"/>
          <cell r="D639"/>
          <cell r="E639"/>
          <cell r="G639"/>
          <cell r="I639"/>
          <cell r="J639"/>
          <cell r="K639"/>
          <cell r="L639"/>
          <cell r="N639"/>
          <cell r="O639"/>
        </row>
        <row r="640">
          <cell r="B640"/>
          <cell r="C640"/>
          <cell r="D640"/>
          <cell r="E640"/>
          <cell r="G640"/>
          <cell r="I640"/>
          <cell r="J640"/>
          <cell r="K640"/>
          <cell r="L640"/>
          <cell r="N640"/>
          <cell r="O640"/>
        </row>
        <row r="641">
          <cell r="B641"/>
          <cell r="C641"/>
          <cell r="D641"/>
          <cell r="E641"/>
          <cell r="G641"/>
          <cell r="I641"/>
          <cell r="J641"/>
          <cell r="K641"/>
          <cell r="L641"/>
          <cell r="N641"/>
          <cell r="O641"/>
        </row>
        <row r="642">
          <cell r="B642"/>
          <cell r="C642"/>
          <cell r="D642"/>
          <cell r="E642"/>
          <cell r="G642"/>
          <cell r="I642"/>
          <cell r="J642"/>
          <cell r="K642"/>
          <cell r="L642"/>
          <cell r="N642"/>
          <cell r="O642"/>
        </row>
        <row r="643">
          <cell r="B643"/>
          <cell r="C643"/>
          <cell r="D643"/>
          <cell r="E643"/>
          <cell r="G643"/>
          <cell r="I643"/>
          <cell r="J643"/>
          <cell r="K643"/>
          <cell r="L643"/>
          <cell r="N643"/>
          <cell r="O643"/>
        </row>
        <row r="644">
          <cell r="B644"/>
          <cell r="C644"/>
          <cell r="D644"/>
          <cell r="E644"/>
          <cell r="G644"/>
          <cell r="I644"/>
          <cell r="J644"/>
          <cell r="K644"/>
          <cell r="L644"/>
          <cell r="N644"/>
          <cell r="O644"/>
        </row>
        <row r="645">
          <cell r="B645"/>
          <cell r="C645"/>
          <cell r="D645"/>
          <cell r="E645"/>
          <cell r="G645"/>
          <cell r="I645"/>
          <cell r="J645"/>
          <cell r="K645"/>
          <cell r="L645"/>
          <cell r="N645"/>
          <cell r="O645"/>
        </row>
        <row r="646">
          <cell r="B646"/>
          <cell r="C646"/>
          <cell r="D646"/>
          <cell r="E646"/>
          <cell r="G646"/>
          <cell r="I646"/>
          <cell r="J646"/>
          <cell r="K646"/>
          <cell r="L646"/>
          <cell r="N646"/>
          <cell r="O646"/>
        </row>
        <row r="647">
          <cell r="B647"/>
          <cell r="C647"/>
          <cell r="D647"/>
          <cell r="E647"/>
          <cell r="G647"/>
          <cell r="I647"/>
          <cell r="J647"/>
          <cell r="K647"/>
          <cell r="L647"/>
          <cell r="N647"/>
          <cell r="O647"/>
        </row>
        <row r="648">
          <cell r="B648"/>
          <cell r="C648"/>
          <cell r="D648"/>
          <cell r="E648"/>
          <cell r="G648"/>
          <cell r="I648"/>
          <cell r="J648"/>
          <cell r="K648"/>
          <cell r="L648"/>
          <cell r="N648"/>
          <cell r="O648"/>
        </row>
        <row r="649">
          <cell r="B649"/>
          <cell r="C649"/>
          <cell r="D649"/>
          <cell r="E649"/>
          <cell r="G649"/>
          <cell r="I649"/>
          <cell r="J649"/>
          <cell r="K649"/>
          <cell r="L649"/>
          <cell r="N649"/>
          <cell r="O649"/>
        </row>
        <row r="650">
          <cell r="B650"/>
          <cell r="C650"/>
          <cell r="D650"/>
          <cell r="E650"/>
          <cell r="G650"/>
          <cell r="I650"/>
          <cell r="J650"/>
          <cell r="K650"/>
          <cell r="L650"/>
          <cell r="N650"/>
          <cell r="O650"/>
        </row>
        <row r="651">
          <cell r="B651"/>
          <cell r="C651"/>
          <cell r="D651"/>
          <cell r="E651"/>
          <cell r="G651"/>
          <cell r="I651"/>
          <cell r="J651"/>
          <cell r="K651"/>
          <cell r="L651"/>
          <cell r="N651"/>
          <cell r="O651"/>
        </row>
        <row r="652">
          <cell r="B652"/>
          <cell r="C652"/>
          <cell r="D652"/>
          <cell r="E652"/>
          <cell r="G652"/>
          <cell r="I652"/>
          <cell r="J652"/>
          <cell r="K652"/>
          <cell r="L652"/>
          <cell r="N652"/>
          <cell r="O652"/>
        </row>
        <row r="653">
          <cell r="B653"/>
          <cell r="C653"/>
          <cell r="D653"/>
          <cell r="E653"/>
          <cell r="G653"/>
          <cell r="I653"/>
          <cell r="J653"/>
          <cell r="K653"/>
          <cell r="L653"/>
          <cell r="N653"/>
          <cell r="O653"/>
        </row>
        <row r="654">
          <cell r="B654"/>
          <cell r="C654"/>
          <cell r="D654"/>
          <cell r="E654"/>
          <cell r="G654"/>
          <cell r="I654"/>
          <cell r="J654"/>
          <cell r="K654"/>
          <cell r="L654"/>
          <cell r="N654"/>
          <cell r="O654"/>
        </row>
        <row r="655">
          <cell r="B655"/>
          <cell r="C655"/>
          <cell r="D655"/>
          <cell r="E655"/>
          <cell r="G655"/>
          <cell r="I655"/>
          <cell r="J655"/>
          <cell r="K655"/>
          <cell r="L655"/>
          <cell r="N655"/>
          <cell r="O655"/>
        </row>
        <row r="656">
          <cell r="B656"/>
          <cell r="C656"/>
          <cell r="D656"/>
          <cell r="E656"/>
          <cell r="G656"/>
          <cell r="I656"/>
          <cell r="J656"/>
          <cell r="K656"/>
          <cell r="L656"/>
          <cell r="N656"/>
          <cell r="O656"/>
        </row>
        <row r="657">
          <cell r="B657"/>
          <cell r="C657"/>
          <cell r="D657"/>
          <cell r="E657"/>
          <cell r="G657"/>
          <cell r="I657"/>
          <cell r="J657"/>
          <cell r="K657"/>
          <cell r="L657"/>
          <cell r="N657"/>
          <cell r="O657"/>
        </row>
        <row r="658">
          <cell r="B658"/>
          <cell r="C658"/>
          <cell r="D658"/>
          <cell r="E658"/>
          <cell r="G658"/>
          <cell r="I658"/>
          <cell r="J658"/>
          <cell r="K658"/>
          <cell r="L658"/>
          <cell r="N658"/>
          <cell r="O658"/>
        </row>
        <row r="659">
          <cell r="B659"/>
          <cell r="C659"/>
          <cell r="D659"/>
          <cell r="E659"/>
          <cell r="G659"/>
          <cell r="I659"/>
          <cell r="J659"/>
          <cell r="K659"/>
          <cell r="L659"/>
          <cell r="N659"/>
          <cell r="O659"/>
        </row>
        <row r="660">
          <cell r="B660"/>
          <cell r="C660"/>
          <cell r="D660"/>
          <cell r="E660"/>
          <cell r="G660"/>
          <cell r="I660"/>
          <cell r="J660"/>
          <cell r="K660"/>
          <cell r="L660"/>
          <cell r="N660"/>
          <cell r="O660"/>
        </row>
        <row r="661">
          <cell r="B661"/>
          <cell r="C661"/>
          <cell r="D661"/>
          <cell r="E661"/>
          <cell r="G661"/>
          <cell r="I661"/>
          <cell r="J661"/>
          <cell r="K661"/>
          <cell r="L661"/>
          <cell r="N661"/>
          <cell r="O661"/>
        </row>
        <row r="662">
          <cell r="B662"/>
          <cell r="C662"/>
          <cell r="D662"/>
          <cell r="E662"/>
          <cell r="G662"/>
          <cell r="I662"/>
          <cell r="J662"/>
          <cell r="K662"/>
          <cell r="L662"/>
          <cell r="N662"/>
          <cell r="O662"/>
        </row>
        <row r="663">
          <cell r="B663"/>
          <cell r="C663"/>
          <cell r="D663"/>
          <cell r="E663"/>
          <cell r="G663"/>
          <cell r="I663"/>
          <cell r="J663"/>
          <cell r="K663"/>
          <cell r="L663"/>
          <cell r="N663"/>
          <cell r="O663"/>
        </row>
        <row r="664">
          <cell r="B664"/>
          <cell r="C664"/>
          <cell r="D664"/>
          <cell r="E664"/>
          <cell r="G664"/>
          <cell r="I664"/>
          <cell r="J664"/>
          <cell r="K664"/>
          <cell r="L664"/>
          <cell r="N664"/>
          <cell r="O664"/>
        </row>
        <row r="665">
          <cell r="B665"/>
          <cell r="C665"/>
          <cell r="D665"/>
          <cell r="E665"/>
          <cell r="G665"/>
          <cell r="I665"/>
          <cell r="J665"/>
          <cell r="K665"/>
          <cell r="L665"/>
          <cell r="N665"/>
          <cell r="O665"/>
        </row>
        <row r="666">
          <cell r="B666"/>
          <cell r="C666"/>
          <cell r="D666"/>
          <cell r="E666"/>
          <cell r="G666"/>
          <cell r="I666"/>
          <cell r="J666"/>
          <cell r="K666"/>
          <cell r="L666"/>
          <cell r="N666"/>
          <cell r="O666"/>
        </row>
        <row r="667">
          <cell r="B667"/>
          <cell r="C667"/>
          <cell r="D667"/>
          <cell r="E667"/>
          <cell r="G667"/>
          <cell r="I667"/>
          <cell r="J667"/>
          <cell r="K667"/>
          <cell r="L667"/>
          <cell r="N667"/>
          <cell r="O667"/>
        </row>
        <row r="668">
          <cell r="B668"/>
          <cell r="C668"/>
          <cell r="D668"/>
          <cell r="E668"/>
          <cell r="G668"/>
          <cell r="I668"/>
          <cell r="J668"/>
          <cell r="K668"/>
          <cell r="L668"/>
          <cell r="N668"/>
          <cell r="O668"/>
        </row>
        <row r="669">
          <cell r="B669"/>
          <cell r="C669"/>
          <cell r="D669"/>
          <cell r="E669"/>
          <cell r="G669"/>
          <cell r="I669"/>
          <cell r="J669"/>
          <cell r="K669"/>
          <cell r="L669"/>
          <cell r="N669"/>
          <cell r="O669"/>
        </row>
        <row r="670">
          <cell r="B670"/>
          <cell r="C670"/>
          <cell r="D670"/>
          <cell r="E670"/>
          <cell r="G670"/>
          <cell r="I670"/>
          <cell r="J670"/>
          <cell r="K670"/>
          <cell r="L670"/>
          <cell r="N670"/>
          <cell r="O670"/>
        </row>
        <row r="671">
          <cell r="B671"/>
          <cell r="C671"/>
          <cell r="D671"/>
          <cell r="E671"/>
          <cell r="G671"/>
          <cell r="I671"/>
          <cell r="J671"/>
          <cell r="K671"/>
          <cell r="L671"/>
          <cell r="N671"/>
          <cell r="O671"/>
        </row>
        <row r="672">
          <cell r="B672"/>
          <cell r="C672"/>
          <cell r="D672"/>
          <cell r="E672"/>
          <cell r="G672"/>
          <cell r="I672"/>
          <cell r="J672"/>
          <cell r="K672"/>
          <cell r="L672"/>
          <cell r="N672"/>
          <cell r="O672"/>
        </row>
        <row r="673">
          <cell r="B673"/>
          <cell r="C673"/>
          <cell r="D673"/>
          <cell r="E673"/>
          <cell r="G673"/>
          <cell r="I673"/>
          <cell r="J673"/>
          <cell r="K673"/>
          <cell r="L673"/>
          <cell r="N673"/>
          <cell r="O673"/>
        </row>
        <row r="674">
          <cell r="B674"/>
          <cell r="C674"/>
          <cell r="D674"/>
          <cell r="E674"/>
          <cell r="G674"/>
          <cell r="I674"/>
          <cell r="J674"/>
          <cell r="K674"/>
          <cell r="L674"/>
          <cell r="N674"/>
          <cell r="O674"/>
        </row>
        <row r="675">
          <cell r="B675"/>
          <cell r="C675"/>
          <cell r="D675"/>
          <cell r="E675"/>
          <cell r="G675"/>
          <cell r="I675"/>
          <cell r="J675"/>
          <cell r="K675"/>
          <cell r="L675"/>
          <cell r="N675"/>
          <cell r="O675"/>
        </row>
        <row r="676">
          <cell r="B676"/>
          <cell r="C676"/>
          <cell r="D676"/>
          <cell r="E676"/>
          <cell r="G676"/>
          <cell r="I676"/>
          <cell r="J676"/>
          <cell r="K676"/>
          <cell r="L676"/>
          <cell r="N676"/>
          <cell r="O676"/>
        </row>
        <row r="677">
          <cell r="B677"/>
          <cell r="C677"/>
          <cell r="D677"/>
          <cell r="E677"/>
          <cell r="G677"/>
          <cell r="I677"/>
          <cell r="J677"/>
          <cell r="K677"/>
          <cell r="L677"/>
          <cell r="N677"/>
          <cell r="O677"/>
        </row>
        <row r="678">
          <cell r="B678"/>
          <cell r="C678"/>
          <cell r="D678"/>
          <cell r="E678"/>
          <cell r="G678"/>
          <cell r="I678"/>
          <cell r="J678"/>
          <cell r="K678"/>
          <cell r="L678"/>
          <cell r="N678"/>
          <cell r="O678"/>
        </row>
        <row r="679">
          <cell r="B679"/>
          <cell r="C679"/>
          <cell r="D679"/>
          <cell r="E679"/>
          <cell r="G679"/>
          <cell r="I679"/>
          <cell r="J679"/>
          <cell r="K679"/>
          <cell r="L679"/>
          <cell r="N679"/>
          <cell r="O679"/>
        </row>
        <row r="680">
          <cell r="B680"/>
          <cell r="C680"/>
          <cell r="D680"/>
          <cell r="E680"/>
          <cell r="G680"/>
          <cell r="I680"/>
          <cell r="J680"/>
          <cell r="K680"/>
          <cell r="L680"/>
          <cell r="N680"/>
          <cell r="O680"/>
        </row>
        <row r="681">
          <cell r="B681"/>
          <cell r="C681"/>
          <cell r="D681"/>
          <cell r="E681"/>
          <cell r="G681"/>
          <cell r="I681"/>
          <cell r="J681"/>
          <cell r="K681"/>
          <cell r="L681"/>
          <cell r="N681"/>
          <cell r="O681"/>
        </row>
        <row r="682">
          <cell r="B682"/>
          <cell r="C682"/>
          <cell r="D682"/>
          <cell r="E682"/>
          <cell r="G682"/>
          <cell r="I682"/>
          <cell r="J682"/>
          <cell r="K682"/>
          <cell r="L682"/>
          <cell r="N682"/>
          <cell r="O682"/>
        </row>
        <row r="683">
          <cell r="B683"/>
          <cell r="C683"/>
          <cell r="D683"/>
          <cell r="E683"/>
          <cell r="G683"/>
          <cell r="I683"/>
          <cell r="J683"/>
          <cell r="K683"/>
          <cell r="L683"/>
          <cell r="N683"/>
          <cell r="O683"/>
        </row>
        <row r="684">
          <cell r="B684"/>
          <cell r="C684"/>
          <cell r="D684"/>
          <cell r="E684"/>
          <cell r="G684"/>
          <cell r="I684"/>
          <cell r="J684"/>
          <cell r="K684"/>
          <cell r="L684"/>
          <cell r="N684"/>
          <cell r="O684"/>
        </row>
        <row r="685">
          <cell r="B685"/>
          <cell r="C685"/>
          <cell r="D685"/>
          <cell r="E685"/>
          <cell r="G685"/>
          <cell r="I685"/>
          <cell r="J685"/>
          <cell r="K685"/>
          <cell r="L685"/>
          <cell r="N685"/>
          <cell r="O685"/>
        </row>
        <row r="686">
          <cell r="B686"/>
          <cell r="C686"/>
          <cell r="D686"/>
          <cell r="E686"/>
          <cell r="G686"/>
          <cell r="I686"/>
          <cell r="J686"/>
          <cell r="K686"/>
          <cell r="L686"/>
          <cell r="N686"/>
          <cell r="O686"/>
        </row>
        <row r="687">
          <cell r="B687"/>
          <cell r="C687"/>
          <cell r="D687"/>
          <cell r="E687"/>
          <cell r="G687"/>
          <cell r="I687"/>
          <cell r="J687"/>
          <cell r="K687"/>
          <cell r="L687"/>
          <cell r="N687"/>
          <cell r="O687"/>
        </row>
        <row r="688">
          <cell r="B688"/>
          <cell r="C688"/>
          <cell r="D688"/>
          <cell r="E688"/>
          <cell r="G688"/>
          <cell r="I688"/>
          <cell r="J688"/>
          <cell r="K688"/>
          <cell r="L688"/>
          <cell r="N688"/>
          <cell r="O688"/>
        </row>
        <row r="689">
          <cell r="B689"/>
          <cell r="C689"/>
          <cell r="D689"/>
          <cell r="E689"/>
          <cell r="G689"/>
          <cell r="I689"/>
          <cell r="J689"/>
          <cell r="K689"/>
          <cell r="L689"/>
          <cell r="N689"/>
          <cell r="O689"/>
        </row>
        <row r="690">
          <cell r="B690"/>
          <cell r="C690"/>
          <cell r="D690"/>
          <cell r="E690"/>
          <cell r="G690"/>
          <cell r="I690"/>
          <cell r="J690"/>
          <cell r="K690"/>
          <cell r="L690"/>
          <cell r="N690"/>
          <cell r="O690"/>
        </row>
        <row r="691">
          <cell r="B691"/>
          <cell r="C691"/>
          <cell r="D691"/>
          <cell r="E691"/>
          <cell r="G691"/>
          <cell r="I691"/>
          <cell r="J691"/>
          <cell r="K691"/>
          <cell r="L691"/>
          <cell r="N691"/>
          <cell r="O691"/>
        </row>
        <row r="692">
          <cell r="B692"/>
          <cell r="C692"/>
          <cell r="D692"/>
          <cell r="E692"/>
          <cell r="G692"/>
          <cell r="I692"/>
          <cell r="J692"/>
          <cell r="K692"/>
          <cell r="L692"/>
          <cell r="N692"/>
          <cell r="O692"/>
        </row>
        <row r="693">
          <cell r="B693"/>
          <cell r="C693"/>
          <cell r="D693"/>
          <cell r="E693"/>
          <cell r="G693"/>
          <cell r="I693"/>
          <cell r="J693"/>
          <cell r="K693"/>
          <cell r="L693"/>
          <cell r="N693"/>
          <cell r="O693"/>
        </row>
        <row r="694">
          <cell r="B694"/>
          <cell r="C694"/>
          <cell r="D694"/>
          <cell r="E694"/>
          <cell r="G694"/>
          <cell r="I694"/>
          <cell r="J694"/>
          <cell r="K694"/>
          <cell r="L694"/>
          <cell r="N694"/>
          <cell r="O694"/>
        </row>
        <row r="695">
          <cell r="B695"/>
          <cell r="C695"/>
          <cell r="D695"/>
          <cell r="E695"/>
          <cell r="G695"/>
          <cell r="I695"/>
          <cell r="J695"/>
          <cell r="K695"/>
          <cell r="L695"/>
          <cell r="N695"/>
          <cell r="O695"/>
        </row>
        <row r="696">
          <cell r="B696"/>
          <cell r="C696"/>
          <cell r="D696"/>
          <cell r="E696"/>
          <cell r="G696"/>
          <cell r="I696"/>
          <cell r="J696"/>
          <cell r="K696"/>
          <cell r="L696"/>
          <cell r="N696"/>
          <cell r="O696"/>
        </row>
        <row r="697">
          <cell r="B697"/>
          <cell r="C697"/>
          <cell r="D697"/>
          <cell r="E697"/>
          <cell r="G697"/>
          <cell r="I697"/>
          <cell r="J697"/>
          <cell r="K697"/>
          <cell r="L697"/>
          <cell r="N697"/>
          <cell r="O697"/>
        </row>
        <row r="698">
          <cell r="B698"/>
          <cell r="C698"/>
          <cell r="D698"/>
          <cell r="E698"/>
          <cell r="G698"/>
          <cell r="I698"/>
          <cell r="J698"/>
          <cell r="K698"/>
          <cell r="L698"/>
          <cell r="N698"/>
          <cell r="O698"/>
        </row>
        <row r="699">
          <cell r="B699"/>
          <cell r="C699"/>
          <cell r="D699"/>
          <cell r="E699"/>
          <cell r="G699"/>
          <cell r="I699"/>
          <cell r="J699"/>
          <cell r="K699"/>
          <cell r="L699"/>
          <cell r="N699"/>
          <cell r="O699"/>
        </row>
        <row r="700">
          <cell r="B700"/>
          <cell r="C700"/>
          <cell r="D700"/>
          <cell r="E700"/>
          <cell r="G700"/>
          <cell r="I700"/>
          <cell r="J700"/>
          <cell r="K700"/>
          <cell r="L700"/>
          <cell r="N700"/>
          <cell r="O700"/>
        </row>
        <row r="701">
          <cell r="B701"/>
          <cell r="C701"/>
          <cell r="D701"/>
          <cell r="E701"/>
          <cell r="G701"/>
          <cell r="I701"/>
          <cell r="J701"/>
          <cell r="K701"/>
          <cell r="L701"/>
          <cell r="N701"/>
          <cell r="O701"/>
        </row>
        <row r="702">
          <cell r="B702"/>
          <cell r="C702"/>
          <cell r="D702"/>
          <cell r="E702"/>
          <cell r="G702"/>
          <cell r="I702"/>
          <cell r="J702"/>
          <cell r="K702"/>
          <cell r="L702"/>
          <cell r="N702"/>
          <cell r="O702"/>
        </row>
        <row r="703">
          <cell r="B703"/>
          <cell r="C703"/>
          <cell r="D703"/>
          <cell r="E703"/>
          <cell r="G703"/>
          <cell r="I703"/>
          <cell r="J703"/>
          <cell r="K703"/>
          <cell r="L703"/>
          <cell r="N703"/>
          <cell r="O703"/>
        </row>
        <row r="704">
          <cell r="B704"/>
          <cell r="C704"/>
          <cell r="D704"/>
          <cell r="E704"/>
          <cell r="G704"/>
          <cell r="I704"/>
          <cell r="J704"/>
          <cell r="K704"/>
          <cell r="L704"/>
          <cell r="N704"/>
          <cell r="O704"/>
        </row>
        <row r="705">
          <cell r="B705"/>
          <cell r="C705"/>
          <cell r="D705"/>
          <cell r="E705"/>
          <cell r="G705"/>
          <cell r="I705"/>
          <cell r="J705"/>
          <cell r="K705"/>
          <cell r="L705"/>
          <cell r="N705"/>
          <cell r="O705"/>
        </row>
        <row r="706">
          <cell r="B706"/>
          <cell r="C706"/>
          <cell r="D706"/>
          <cell r="E706"/>
          <cell r="G706"/>
          <cell r="I706"/>
          <cell r="J706"/>
          <cell r="K706"/>
          <cell r="L706"/>
          <cell r="N706"/>
          <cell r="O706"/>
        </row>
        <row r="707">
          <cell r="B707"/>
          <cell r="C707"/>
          <cell r="D707"/>
          <cell r="E707"/>
          <cell r="G707"/>
          <cell r="I707"/>
          <cell r="J707"/>
          <cell r="K707"/>
          <cell r="L707"/>
          <cell r="N707"/>
          <cell r="O707"/>
        </row>
        <row r="708">
          <cell r="B708"/>
          <cell r="C708"/>
          <cell r="D708"/>
          <cell r="E708"/>
          <cell r="G708"/>
          <cell r="I708"/>
          <cell r="J708"/>
          <cell r="K708"/>
          <cell r="L708"/>
          <cell r="N708"/>
          <cell r="O708"/>
        </row>
        <row r="709">
          <cell r="B709"/>
          <cell r="C709"/>
          <cell r="D709"/>
          <cell r="E709"/>
          <cell r="G709"/>
          <cell r="I709"/>
          <cell r="J709"/>
          <cell r="K709"/>
          <cell r="L709"/>
          <cell r="N709"/>
          <cell r="O709"/>
        </row>
        <row r="710">
          <cell r="B710"/>
          <cell r="C710"/>
          <cell r="D710"/>
          <cell r="E710"/>
          <cell r="G710"/>
          <cell r="I710"/>
          <cell r="J710"/>
          <cell r="K710"/>
          <cell r="L710"/>
          <cell r="N710"/>
          <cell r="O710"/>
        </row>
        <row r="711">
          <cell r="B711"/>
          <cell r="C711"/>
          <cell r="D711"/>
          <cell r="E711"/>
          <cell r="G711"/>
          <cell r="I711"/>
          <cell r="J711"/>
          <cell r="K711"/>
          <cell r="L711"/>
          <cell r="N711"/>
          <cell r="O711"/>
        </row>
        <row r="712">
          <cell r="B712"/>
          <cell r="C712"/>
          <cell r="D712"/>
          <cell r="E712"/>
          <cell r="G712"/>
          <cell r="I712"/>
          <cell r="J712"/>
          <cell r="K712"/>
          <cell r="L712"/>
          <cell r="N712"/>
          <cell r="O712"/>
        </row>
        <row r="713">
          <cell r="B713"/>
          <cell r="C713"/>
          <cell r="D713"/>
          <cell r="E713"/>
          <cell r="G713"/>
          <cell r="I713"/>
          <cell r="J713"/>
          <cell r="K713"/>
          <cell r="L713"/>
          <cell r="N713"/>
          <cell r="O713"/>
        </row>
        <row r="714">
          <cell r="B714"/>
          <cell r="C714"/>
          <cell r="D714"/>
          <cell r="E714"/>
          <cell r="G714"/>
          <cell r="I714"/>
          <cell r="J714"/>
          <cell r="K714"/>
          <cell r="L714"/>
          <cell r="N714"/>
          <cell r="O714"/>
        </row>
        <row r="715">
          <cell r="B715"/>
          <cell r="C715"/>
          <cell r="D715"/>
          <cell r="E715"/>
          <cell r="G715"/>
          <cell r="I715"/>
          <cell r="J715"/>
          <cell r="K715"/>
          <cell r="L715"/>
          <cell r="N715"/>
          <cell r="O715"/>
        </row>
        <row r="716">
          <cell r="B716"/>
          <cell r="C716"/>
          <cell r="D716"/>
          <cell r="E716"/>
          <cell r="G716"/>
          <cell r="I716"/>
          <cell r="J716"/>
          <cell r="K716"/>
          <cell r="L716"/>
          <cell r="N716"/>
          <cell r="O716"/>
        </row>
        <row r="717">
          <cell r="B717"/>
          <cell r="C717"/>
          <cell r="D717"/>
          <cell r="E717"/>
          <cell r="G717"/>
          <cell r="I717"/>
          <cell r="J717"/>
          <cell r="K717"/>
          <cell r="L717"/>
          <cell r="N717"/>
          <cell r="O717"/>
        </row>
        <row r="718">
          <cell r="B718"/>
          <cell r="C718"/>
          <cell r="D718"/>
          <cell r="E718"/>
          <cell r="G718"/>
          <cell r="I718"/>
          <cell r="J718"/>
          <cell r="K718"/>
          <cell r="L718"/>
          <cell r="N718"/>
          <cell r="O718"/>
        </row>
        <row r="719">
          <cell r="B719"/>
          <cell r="C719"/>
          <cell r="D719"/>
          <cell r="E719"/>
          <cell r="G719"/>
          <cell r="I719"/>
          <cell r="J719"/>
          <cell r="K719"/>
          <cell r="L719"/>
          <cell r="N719"/>
          <cell r="O719"/>
        </row>
        <row r="720">
          <cell r="B720"/>
          <cell r="C720"/>
          <cell r="D720"/>
          <cell r="E720"/>
          <cell r="G720"/>
          <cell r="I720"/>
          <cell r="J720"/>
          <cell r="K720"/>
          <cell r="L720"/>
          <cell r="N720"/>
          <cell r="O720"/>
        </row>
        <row r="721">
          <cell r="B721"/>
          <cell r="C721"/>
          <cell r="D721"/>
          <cell r="E721"/>
          <cell r="G721"/>
          <cell r="I721"/>
          <cell r="J721"/>
          <cell r="K721"/>
          <cell r="L721"/>
          <cell r="N721"/>
          <cell r="O721"/>
        </row>
        <row r="722">
          <cell r="B722"/>
          <cell r="C722"/>
          <cell r="D722"/>
          <cell r="E722"/>
          <cell r="G722"/>
          <cell r="I722"/>
          <cell r="J722"/>
          <cell r="K722"/>
          <cell r="L722"/>
          <cell r="N722"/>
          <cell r="O722"/>
        </row>
        <row r="723">
          <cell r="B723"/>
          <cell r="C723"/>
          <cell r="D723"/>
          <cell r="E723"/>
          <cell r="G723"/>
          <cell r="I723"/>
          <cell r="J723"/>
          <cell r="K723"/>
          <cell r="L723"/>
          <cell r="N723"/>
          <cell r="O723"/>
        </row>
        <row r="724">
          <cell r="B724"/>
          <cell r="C724"/>
          <cell r="D724"/>
          <cell r="E724"/>
          <cell r="G724"/>
          <cell r="I724"/>
          <cell r="J724"/>
          <cell r="K724"/>
          <cell r="L724"/>
          <cell r="N724"/>
          <cell r="O724"/>
        </row>
        <row r="725">
          <cell r="B725"/>
          <cell r="C725"/>
          <cell r="D725"/>
          <cell r="E725"/>
          <cell r="G725"/>
          <cell r="I725"/>
          <cell r="J725"/>
          <cell r="K725"/>
          <cell r="L725"/>
          <cell r="N725"/>
          <cell r="O725"/>
        </row>
        <row r="726">
          <cell r="B726"/>
          <cell r="C726"/>
          <cell r="D726"/>
          <cell r="E726"/>
          <cell r="G726"/>
          <cell r="I726"/>
          <cell r="J726"/>
          <cell r="K726"/>
          <cell r="L726"/>
          <cell r="N726"/>
          <cell r="O726"/>
        </row>
        <row r="727">
          <cell r="B727"/>
          <cell r="C727"/>
          <cell r="D727"/>
          <cell r="E727"/>
          <cell r="G727"/>
          <cell r="I727"/>
          <cell r="J727"/>
          <cell r="K727"/>
          <cell r="L727"/>
          <cell r="N727"/>
          <cell r="O727"/>
        </row>
        <row r="728">
          <cell r="B728"/>
          <cell r="C728"/>
          <cell r="D728"/>
          <cell r="E728"/>
          <cell r="G728"/>
          <cell r="I728"/>
          <cell r="J728"/>
          <cell r="K728"/>
          <cell r="L728"/>
          <cell r="N728"/>
          <cell r="O728"/>
        </row>
        <row r="729">
          <cell r="B729"/>
          <cell r="C729"/>
          <cell r="D729"/>
          <cell r="E729"/>
          <cell r="G729"/>
          <cell r="I729"/>
          <cell r="J729"/>
          <cell r="K729"/>
          <cell r="L729"/>
          <cell r="N729"/>
          <cell r="O729"/>
        </row>
        <row r="730">
          <cell r="B730"/>
          <cell r="C730"/>
          <cell r="D730"/>
          <cell r="E730"/>
          <cell r="G730"/>
          <cell r="I730"/>
          <cell r="J730"/>
          <cell r="K730"/>
          <cell r="L730"/>
          <cell r="N730"/>
          <cell r="O730"/>
        </row>
        <row r="731">
          <cell r="B731"/>
          <cell r="C731"/>
          <cell r="D731"/>
          <cell r="E731"/>
          <cell r="G731"/>
          <cell r="I731"/>
          <cell r="J731"/>
          <cell r="K731"/>
          <cell r="L731"/>
          <cell r="N731"/>
          <cell r="O731"/>
        </row>
        <row r="732">
          <cell r="B732"/>
          <cell r="C732"/>
          <cell r="D732"/>
          <cell r="E732"/>
          <cell r="G732"/>
          <cell r="I732"/>
          <cell r="J732"/>
          <cell r="K732"/>
          <cell r="L732"/>
          <cell r="N732"/>
          <cell r="O732"/>
        </row>
        <row r="733">
          <cell r="B733"/>
          <cell r="C733"/>
          <cell r="D733"/>
          <cell r="E733"/>
          <cell r="G733"/>
          <cell r="I733"/>
          <cell r="J733"/>
          <cell r="K733"/>
          <cell r="L733"/>
          <cell r="N733"/>
          <cell r="O733"/>
        </row>
        <row r="734">
          <cell r="B734"/>
          <cell r="C734"/>
          <cell r="D734"/>
          <cell r="E734"/>
          <cell r="G734"/>
          <cell r="I734"/>
          <cell r="J734"/>
          <cell r="K734"/>
          <cell r="L734"/>
          <cell r="N734"/>
          <cell r="O734"/>
        </row>
        <row r="735">
          <cell r="B735"/>
          <cell r="C735"/>
          <cell r="D735"/>
          <cell r="E735"/>
          <cell r="G735"/>
          <cell r="I735"/>
          <cell r="J735"/>
          <cell r="K735"/>
          <cell r="L735"/>
          <cell r="N735"/>
          <cell r="O735"/>
        </row>
        <row r="736">
          <cell r="B736"/>
          <cell r="C736"/>
          <cell r="D736"/>
          <cell r="E736"/>
          <cell r="G736"/>
          <cell r="I736"/>
          <cell r="J736"/>
          <cell r="K736"/>
          <cell r="L736"/>
          <cell r="N736"/>
          <cell r="O736"/>
        </row>
        <row r="737">
          <cell r="B737"/>
          <cell r="C737"/>
          <cell r="D737"/>
          <cell r="E737"/>
          <cell r="G737"/>
          <cell r="I737"/>
          <cell r="J737"/>
          <cell r="K737"/>
          <cell r="L737"/>
          <cell r="N737"/>
          <cell r="O737"/>
        </row>
        <row r="738">
          <cell r="B738"/>
          <cell r="C738"/>
          <cell r="D738"/>
          <cell r="E738"/>
          <cell r="G738"/>
          <cell r="I738"/>
          <cell r="J738"/>
          <cell r="K738"/>
          <cell r="L738"/>
          <cell r="N738"/>
          <cell r="O738"/>
        </row>
        <row r="739">
          <cell r="B739"/>
          <cell r="C739"/>
          <cell r="D739"/>
          <cell r="E739"/>
          <cell r="G739"/>
          <cell r="I739"/>
          <cell r="J739"/>
          <cell r="K739"/>
          <cell r="L739"/>
          <cell r="N739"/>
          <cell r="O739"/>
        </row>
        <row r="740">
          <cell r="B740"/>
          <cell r="C740"/>
          <cell r="D740"/>
          <cell r="E740"/>
          <cell r="G740"/>
          <cell r="I740"/>
          <cell r="J740"/>
          <cell r="K740"/>
          <cell r="L740"/>
          <cell r="N740"/>
          <cell r="O740"/>
        </row>
        <row r="741">
          <cell r="B741"/>
          <cell r="C741"/>
          <cell r="D741"/>
          <cell r="E741"/>
          <cell r="G741"/>
          <cell r="I741"/>
          <cell r="J741"/>
          <cell r="K741"/>
          <cell r="L741"/>
          <cell r="N741"/>
          <cell r="O741"/>
        </row>
        <row r="742">
          <cell r="B742"/>
          <cell r="C742"/>
          <cell r="D742"/>
          <cell r="E742"/>
          <cell r="G742"/>
          <cell r="I742"/>
          <cell r="J742"/>
          <cell r="K742"/>
          <cell r="L742"/>
          <cell r="N742"/>
          <cell r="O742"/>
        </row>
        <row r="743">
          <cell r="B743"/>
          <cell r="C743"/>
          <cell r="D743"/>
          <cell r="E743"/>
          <cell r="G743"/>
          <cell r="I743"/>
          <cell r="J743"/>
          <cell r="K743"/>
          <cell r="L743"/>
          <cell r="N743"/>
          <cell r="O743"/>
        </row>
        <row r="744">
          <cell r="B744"/>
          <cell r="C744"/>
          <cell r="D744"/>
          <cell r="E744"/>
          <cell r="G744"/>
          <cell r="I744"/>
          <cell r="J744"/>
          <cell r="K744"/>
          <cell r="L744"/>
          <cell r="N744"/>
          <cell r="O744"/>
        </row>
        <row r="745">
          <cell r="B745"/>
          <cell r="C745"/>
          <cell r="D745"/>
          <cell r="E745"/>
          <cell r="G745"/>
          <cell r="I745"/>
          <cell r="J745"/>
          <cell r="K745"/>
          <cell r="L745"/>
          <cell r="N745"/>
          <cell r="O745"/>
        </row>
        <row r="746">
          <cell r="B746"/>
          <cell r="C746"/>
          <cell r="D746"/>
          <cell r="E746"/>
          <cell r="G746"/>
          <cell r="I746"/>
          <cell r="J746"/>
          <cell r="K746"/>
          <cell r="L746"/>
          <cell r="N746"/>
          <cell r="O746"/>
        </row>
        <row r="747">
          <cell r="B747"/>
          <cell r="C747"/>
          <cell r="D747"/>
          <cell r="E747"/>
          <cell r="G747"/>
          <cell r="I747"/>
          <cell r="J747"/>
          <cell r="K747"/>
          <cell r="L747"/>
          <cell r="N747"/>
          <cell r="O747"/>
        </row>
        <row r="748">
          <cell r="B748"/>
          <cell r="C748"/>
          <cell r="D748"/>
          <cell r="E748"/>
          <cell r="G748"/>
          <cell r="I748"/>
          <cell r="J748"/>
          <cell r="K748"/>
          <cell r="L748"/>
          <cell r="N748"/>
          <cell r="O748"/>
        </row>
        <row r="749">
          <cell r="B749"/>
          <cell r="C749"/>
          <cell r="D749"/>
          <cell r="E749"/>
          <cell r="G749"/>
          <cell r="I749"/>
          <cell r="J749"/>
          <cell r="K749"/>
          <cell r="L749"/>
          <cell r="N749"/>
          <cell r="O749"/>
        </row>
        <row r="750">
          <cell r="B750"/>
          <cell r="C750"/>
          <cell r="D750"/>
          <cell r="E750"/>
          <cell r="G750"/>
          <cell r="I750"/>
          <cell r="J750"/>
          <cell r="K750"/>
          <cell r="L750"/>
          <cell r="N750"/>
          <cell r="O750"/>
        </row>
        <row r="751">
          <cell r="B751"/>
          <cell r="C751"/>
          <cell r="D751"/>
          <cell r="E751"/>
          <cell r="G751"/>
          <cell r="I751"/>
          <cell r="J751"/>
          <cell r="K751"/>
          <cell r="L751"/>
          <cell r="N751"/>
          <cell r="O751"/>
        </row>
        <row r="752">
          <cell r="B752"/>
          <cell r="C752"/>
          <cell r="D752"/>
          <cell r="E752"/>
          <cell r="G752"/>
          <cell r="I752"/>
          <cell r="J752"/>
          <cell r="K752"/>
          <cell r="L752"/>
          <cell r="N752"/>
          <cell r="O752"/>
        </row>
        <row r="753">
          <cell r="B753"/>
          <cell r="C753"/>
          <cell r="D753"/>
          <cell r="E753"/>
          <cell r="G753"/>
          <cell r="I753"/>
          <cell r="J753"/>
          <cell r="K753"/>
          <cell r="L753"/>
          <cell r="N753"/>
          <cell r="O753"/>
        </row>
        <row r="754">
          <cell r="B754"/>
          <cell r="C754"/>
          <cell r="D754"/>
          <cell r="E754"/>
          <cell r="G754"/>
          <cell r="I754"/>
          <cell r="J754"/>
          <cell r="K754"/>
          <cell r="L754"/>
          <cell r="N754"/>
          <cell r="O754"/>
        </row>
        <row r="755">
          <cell r="B755"/>
          <cell r="C755"/>
          <cell r="D755"/>
          <cell r="E755"/>
          <cell r="G755"/>
          <cell r="I755"/>
          <cell r="J755"/>
          <cell r="K755"/>
          <cell r="L755"/>
          <cell r="N755"/>
          <cell r="O755"/>
        </row>
        <row r="756">
          <cell r="B756"/>
          <cell r="C756"/>
          <cell r="D756"/>
          <cell r="E756"/>
          <cell r="G756"/>
          <cell r="I756"/>
          <cell r="J756"/>
          <cell r="K756"/>
          <cell r="L756"/>
          <cell r="N756"/>
          <cell r="O756"/>
        </row>
        <row r="757">
          <cell r="B757"/>
          <cell r="C757"/>
          <cell r="D757"/>
          <cell r="E757"/>
          <cell r="G757"/>
          <cell r="I757"/>
          <cell r="J757"/>
          <cell r="K757"/>
          <cell r="L757"/>
          <cell r="N757"/>
          <cell r="O757"/>
        </row>
        <row r="758">
          <cell r="B758"/>
          <cell r="C758"/>
          <cell r="D758"/>
          <cell r="E758"/>
          <cell r="G758"/>
          <cell r="I758"/>
          <cell r="J758"/>
          <cell r="K758"/>
          <cell r="L758"/>
          <cell r="N758"/>
          <cell r="O758"/>
        </row>
        <row r="759">
          <cell r="B759"/>
          <cell r="C759"/>
          <cell r="D759"/>
          <cell r="E759"/>
          <cell r="G759"/>
          <cell r="I759"/>
          <cell r="J759"/>
          <cell r="K759"/>
          <cell r="L759"/>
          <cell r="N759"/>
          <cell r="O759"/>
        </row>
        <row r="760">
          <cell r="B760"/>
          <cell r="C760"/>
          <cell r="D760"/>
          <cell r="E760"/>
          <cell r="G760"/>
          <cell r="I760"/>
          <cell r="J760"/>
          <cell r="K760"/>
          <cell r="L760"/>
          <cell r="N760"/>
          <cell r="O760"/>
        </row>
        <row r="761">
          <cell r="B761"/>
          <cell r="C761"/>
          <cell r="D761"/>
          <cell r="E761"/>
          <cell r="G761"/>
          <cell r="I761"/>
          <cell r="J761"/>
          <cell r="K761"/>
          <cell r="L761"/>
          <cell r="N761"/>
          <cell r="O761"/>
        </row>
        <row r="762">
          <cell r="B762"/>
          <cell r="C762"/>
          <cell r="D762"/>
          <cell r="E762"/>
          <cell r="G762"/>
          <cell r="I762"/>
          <cell r="J762"/>
          <cell r="K762"/>
          <cell r="L762"/>
          <cell r="N762"/>
          <cell r="O762"/>
        </row>
        <row r="763">
          <cell r="B763"/>
          <cell r="C763"/>
          <cell r="D763"/>
          <cell r="E763"/>
          <cell r="G763"/>
          <cell r="I763"/>
          <cell r="J763"/>
          <cell r="K763"/>
          <cell r="L763"/>
          <cell r="N763"/>
          <cell r="O763"/>
        </row>
        <row r="764">
          <cell r="B764"/>
          <cell r="C764"/>
          <cell r="D764"/>
          <cell r="E764"/>
          <cell r="G764"/>
          <cell r="I764"/>
          <cell r="J764"/>
          <cell r="K764"/>
          <cell r="L764"/>
          <cell r="N764"/>
          <cell r="O764"/>
        </row>
        <row r="765">
          <cell r="B765"/>
          <cell r="C765"/>
          <cell r="D765"/>
          <cell r="E765"/>
          <cell r="G765"/>
          <cell r="I765"/>
          <cell r="J765"/>
          <cell r="K765"/>
          <cell r="L765"/>
          <cell r="N765"/>
          <cell r="O765"/>
        </row>
        <row r="766">
          <cell r="B766"/>
          <cell r="C766"/>
          <cell r="D766"/>
          <cell r="E766"/>
          <cell r="G766"/>
          <cell r="I766"/>
          <cell r="J766"/>
          <cell r="K766"/>
          <cell r="L766"/>
          <cell r="N766"/>
          <cell r="O766"/>
        </row>
        <row r="767">
          <cell r="B767"/>
          <cell r="C767"/>
          <cell r="D767"/>
          <cell r="E767"/>
          <cell r="G767"/>
          <cell r="I767"/>
          <cell r="J767"/>
          <cell r="K767"/>
          <cell r="L767"/>
          <cell r="N767"/>
          <cell r="O767"/>
        </row>
        <row r="768">
          <cell r="B768"/>
          <cell r="C768"/>
          <cell r="D768"/>
          <cell r="E768"/>
          <cell r="G768"/>
          <cell r="I768"/>
          <cell r="J768"/>
          <cell r="K768"/>
          <cell r="L768"/>
          <cell r="N768"/>
          <cell r="O768"/>
        </row>
        <row r="769">
          <cell r="B769"/>
          <cell r="C769"/>
          <cell r="D769"/>
          <cell r="E769"/>
          <cell r="G769"/>
          <cell r="I769"/>
          <cell r="J769"/>
          <cell r="K769"/>
          <cell r="L769"/>
          <cell r="N769"/>
          <cell r="O769"/>
        </row>
        <row r="770">
          <cell r="B770"/>
          <cell r="C770"/>
          <cell r="D770"/>
          <cell r="E770"/>
          <cell r="G770"/>
          <cell r="I770"/>
          <cell r="J770"/>
          <cell r="K770"/>
          <cell r="L770"/>
          <cell r="N770"/>
          <cell r="O770"/>
        </row>
        <row r="771">
          <cell r="B771"/>
          <cell r="C771"/>
          <cell r="D771"/>
          <cell r="E771"/>
          <cell r="G771"/>
          <cell r="I771"/>
          <cell r="J771"/>
          <cell r="K771"/>
          <cell r="L771"/>
          <cell r="N771"/>
          <cell r="O771"/>
        </row>
        <row r="772">
          <cell r="B772"/>
          <cell r="C772"/>
          <cell r="D772"/>
          <cell r="E772"/>
          <cell r="G772"/>
          <cell r="I772"/>
          <cell r="J772"/>
          <cell r="K772"/>
          <cell r="L772"/>
          <cell r="N772"/>
          <cell r="O772"/>
        </row>
        <row r="773">
          <cell r="B773"/>
          <cell r="C773"/>
          <cell r="D773"/>
          <cell r="E773"/>
          <cell r="G773"/>
          <cell r="I773"/>
          <cell r="J773"/>
          <cell r="K773"/>
          <cell r="L773"/>
          <cell r="N773"/>
          <cell r="O773"/>
        </row>
        <row r="774">
          <cell r="B774"/>
          <cell r="C774"/>
          <cell r="D774"/>
          <cell r="E774"/>
          <cell r="G774"/>
          <cell r="I774"/>
          <cell r="J774"/>
          <cell r="K774"/>
          <cell r="L774"/>
          <cell r="N774"/>
          <cell r="O774"/>
        </row>
        <row r="775">
          <cell r="B775"/>
          <cell r="C775"/>
          <cell r="D775"/>
          <cell r="E775"/>
          <cell r="G775"/>
          <cell r="I775"/>
          <cell r="J775"/>
          <cell r="K775"/>
          <cell r="L775"/>
          <cell r="N775"/>
          <cell r="O775"/>
        </row>
        <row r="776">
          <cell r="B776"/>
          <cell r="C776"/>
          <cell r="D776"/>
          <cell r="E776"/>
          <cell r="G776"/>
          <cell r="I776"/>
          <cell r="J776"/>
          <cell r="K776"/>
          <cell r="L776"/>
          <cell r="N776"/>
          <cell r="O776"/>
        </row>
        <row r="777">
          <cell r="B777"/>
          <cell r="C777"/>
          <cell r="D777"/>
          <cell r="E777"/>
          <cell r="G777"/>
          <cell r="I777"/>
          <cell r="J777"/>
          <cell r="K777"/>
          <cell r="L777"/>
          <cell r="N777"/>
          <cell r="O777"/>
        </row>
        <row r="778">
          <cell r="B778"/>
          <cell r="C778"/>
          <cell r="D778"/>
          <cell r="E778"/>
          <cell r="G778"/>
          <cell r="I778"/>
          <cell r="J778"/>
          <cell r="K778"/>
          <cell r="L778"/>
          <cell r="N778"/>
          <cell r="O778"/>
        </row>
        <row r="779">
          <cell r="B779"/>
          <cell r="C779"/>
          <cell r="D779"/>
          <cell r="E779"/>
          <cell r="G779"/>
          <cell r="I779"/>
          <cell r="J779"/>
          <cell r="K779"/>
          <cell r="L779"/>
          <cell r="N779"/>
          <cell r="O779"/>
        </row>
        <row r="780">
          <cell r="B780"/>
          <cell r="C780"/>
          <cell r="D780"/>
          <cell r="E780"/>
          <cell r="G780"/>
          <cell r="I780"/>
          <cell r="J780"/>
          <cell r="K780"/>
          <cell r="L780"/>
          <cell r="N780"/>
          <cell r="O780"/>
        </row>
        <row r="781">
          <cell r="B781"/>
          <cell r="C781"/>
          <cell r="D781"/>
          <cell r="E781"/>
          <cell r="G781"/>
          <cell r="I781"/>
          <cell r="J781"/>
          <cell r="K781"/>
          <cell r="L781"/>
          <cell r="N781"/>
          <cell r="O781"/>
        </row>
        <row r="782">
          <cell r="B782"/>
          <cell r="C782"/>
          <cell r="D782"/>
          <cell r="E782"/>
          <cell r="G782"/>
          <cell r="I782"/>
          <cell r="J782"/>
          <cell r="K782"/>
          <cell r="L782"/>
          <cell r="N782"/>
          <cell r="O782"/>
        </row>
        <row r="783">
          <cell r="B783"/>
          <cell r="C783"/>
          <cell r="D783"/>
          <cell r="E783"/>
          <cell r="G783"/>
          <cell r="I783"/>
          <cell r="J783"/>
          <cell r="K783"/>
          <cell r="L783"/>
          <cell r="N783"/>
          <cell r="O783"/>
        </row>
        <row r="784">
          <cell r="B784"/>
          <cell r="C784"/>
          <cell r="D784"/>
          <cell r="E784"/>
          <cell r="G784"/>
          <cell r="I784"/>
          <cell r="J784"/>
          <cell r="K784"/>
          <cell r="L784"/>
          <cell r="N784"/>
          <cell r="O784"/>
        </row>
        <row r="785">
          <cell r="B785"/>
          <cell r="C785"/>
          <cell r="D785"/>
          <cell r="E785"/>
          <cell r="G785"/>
          <cell r="I785"/>
          <cell r="J785"/>
          <cell r="K785"/>
          <cell r="L785"/>
          <cell r="N785"/>
          <cell r="O785"/>
        </row>
        <row r="786">
          <cell r="B786"/>
          <cell r="C786"/>
          <cell r="D786"/>
          <cell r="E786"/>
          <cell r="G786"/>
          <cell r="I786"/>
          <cell r="J786"/>
          <cell r="K786"/>
          <cell r="L786"/>
          <cell r="N786"/>
          <cell r="O786"/>
        </row>
        <row r="787">
          <cell r="B787"/>
          <cell r="C787"/>
          <cell r="D787"/>
          <cell r="E787"/>
          <cell r="G787"/>
          <cell r="I787"/>
          <cell r="J787"/>
          <cell r="K787"/>
          <cell r="L787"/>
          <cell r="N787"/>
          <cell r="O787"/>
        </row>
        <row r="788">
          <cell r="B788"/>
          <cell r="C788"/>
          <cell r="D788"/>
          <cell r="E788"/>
          <cell r="G788"/>
          <cell r="I788"/>
          <cell r="J788"/>
          <cell r="K788"/>
          <cell r="L788"/>
          <cell r="N788"/>
          <cell r="O788"/>
        </row>
        <row r="789">
          <cell r="B789"/>
          <cell r="C789"/>
          <cell r="D789"/>
          <cell r="E789"/>
          <cell r="G789"/>
          <cell r="I789"/>
          <cell r="J789"/>
          <cell r="K789"/>
          <cell r="L789"/>
          <cell r="N789"/>
          <cell r="O789"/>
        </row>
        <row r="790">
          <cell r="B790"/>
          <cell r="C790"/>
          <cell r="D790"/>
          <cell r="E790"/>
          <cell r="G790"/>
          <cell r="I790"/>
          <cell r="J790"/>
          <cell r="K790"/>
          <cell r="L790"/>
          <cell r="N790"/>
          <cell r="O790"/>
        </row>
        <row r="791">
          <cell r="B791"/>
          <cell r="C791"/>
          <cell r="D791"/>
          <cell r="E791"/>
          <cell r="G791"/>
          <cell r="I791"/>
          <cell r="J791"/>
          <cell r="K791"/>
          <cell r="L791"/>
          <cell r="N791"/>
          <cell r="O791"/>
        </row>
        <row r="792">
          <cell r="B792"/>
          <cell r="C792"/>
          <cell r="D792"/>
          <cell r="E792"/>
          <cell r="G792"/>
          <cell r="I792"/>
          <cell r="J792"/>
          <cell r="K792"/>
          <cell r="L792"/>
          <cell r="N792"/>
          <cell r="O792"/>
        </row>
        <row r="793">
          <cell r="B793"/>
          <cell r="C793"/>
          <cell r="D793"/>
          <cell r="E793"/>
          <cell r="G793"/>
          <cell r="I793"/>
          <cell r="J793"/>
          <cell r="K793"/>
          <cell r="L793"/>
          <cell r="N793"/>
          <cell r="O793"/>
        </row>
        <row r="794">
          <cell r="B794"/>
          <cell r="C794"/>
          <cell r="D794"/>
          <cell r="E794"/>
          <cell r="G794"/>
          <cell r="I794"/>
          <cell r="J794"/>
          <cell r="K794"/>
          <cell r="L794"/>
          <cell r="N794"/>
          <cell r="O794"/>
        </row>
        <row r="795">
          <cell r="B795"/>
          <cell r="C795"/>
          <cell r="D795"/>
          <cell r="E795"/>
          <cell r="G795"/>
          <cell r="I795"/>
          <cell r="J795"/>
          <cell r="K795"/>
          <cell r="L795"/>
          <cell r="N795"/>
          <cell r="O795"/>
        </row>
        <row r="796">
          <cell r="B796"/>
          <cell r="C796"/>
          <cell r="D796"/>
          <cell r="E796"/>
          <cell r="G796"/>
          <cell r="I796"/>
          <cell r="J796"/>
          <cell r="K796"/>
          <cell r="L796"/>
          <cell r="N796"/>
          <cell r="O796"/>
        </row>
        <row r="797">
          <cell r="B797"/>
          <cell r="C797"/>
          <cell r="D797"/>
          <cell r="E797"/>
          <cell r="G797"/>
          <cell r="I797"/>
          <cell r="J797"/>
          <cell r="K797"/>
          <cell r="L797"/>
          <cell r="N797"/>
          <cell r="O797"/>
        </row>
        <row r="798">
          <cell r="B798"/>
          <cell r="C798"/>
          <cell r="D798"/>
          <cell r="E798"/>
          <cell r="G798"/>
          <cell r="I798"/>
          <cell r="J798"/>
          <cell r="K798"/>
          <cell r="L798"/>
          <cell r="N798"/>
          <cell r="O798"/>
        </row>
        <row r="799">
          <cell r="B799"/>
          <cell r="C799"/>
          <cell r="D799"/>
          <cell r="E799"/>
          <cell r="G799"/>
          <cell r="I799"/>
          <cell r="J799"/>
          <cell r="K799"/>
          <cell r="L799"/>
          <cell r="N799"/>
          <cell r="O799"/>
        </row>
        <row r="800">
          <cell r="B800"/>
          <cell r="C800"/>
          <cell r="D800"/>
          <cell r="E800"/>
          <cell r="G800"/>
          <cell r="I800"/>
          <cell r="J800"/>
          <cell r="K800"/>
          <cell r="L800"/>
          <cell r="N800"/>
          <cell r="O800"/>
        </row>
        <row r="801">
          <cell r="B801"/>
          <cell r="C801"/>
          <cell r="D801"/>
          <cell r="E801"/>
          <cell r="G801"/>
          <cell r="I801"/>
          <cell r="J801"/>
          <cell r="K801"/>
          <cell r="L801"/>
          <cell r="N801"/>
          <cell r="O801"/>
        </row>
        <row r="802">
          <cell r="B802"/>
          <cell r="C802"/>
          <cell r="D802"/>
          <cell r="E802"/>
          <cell r="G802"/>
          <cell r="I802"/>
          <cell r="J802"/>
          <cell r="K802"/>
          <cell r="L802"/>
          <cell r="N802"/>
          <cell r="O802"/>
        </row>
        <row r="803">
          <cell r="B803"/>
          <cell r="C803"/>
          <cell r="D803"/>
          <cell r="E803"/>
          <cell r="G803"/>
          <cell r="I803"/>
          <cell r="J803"/>
          <cell r="K803"/>
          <cell r="L803"/>
          <cell r="N803"/>
          <cell r="O803"/>
        </row>
        <row r="804">
          <cell r="B804"/>
          <cell r="C804"/>
          <cell r="D804"/>
          <cell r="E804"/>
          <cell r="G804"/>
          <cell r="I804"/>
          <cell r="J804"/>
          <cell r="K804"/>
          <cell r="L804"/>
          <cell r="N804"/>
          <cell r="O804"/>
        </row>
        <row r="805">
          <cell r="B805"/>
          <cell r="C805"/>
          <cell r="D805"/>
          <cell r="E805"/>
          <cell r="G805"/>
          <cell r="I805"/>
          <cell r="J805"/>
          <cell r="K805"/>
          <cell r="L805"/>
          <cell r="N805"/>
          <cell r="O805"/>
        </row>
        <row r="806">
          <cell r="B806"/>
          <cell r="C806"/>
          <cell r="D806"/>
          <cell r="E806"/>
          <cell r="G806"/>
          <cell r="I806"/>
          <cell r="J806"/>
          <cell r="K806"/>
          <cell r="L806"/>
          <cell r="N806"/>
          <cell r="O806"/>
        </row>
        <row r="807">
          <cell r="B807"/>
          <cell r="C807"/>
          <cell r="D807"/>
          <cell r="E807"/>
          <cell r="G807"/>
          <cell r="I807"/>
          <cell r="J807"/>
          <cell r="K807"/>
          <cell r="L807"/>
          <cell r="N807"/>
          <cell r="O807"/>
        </row>
        <row r="808">
          <cell r="B808"/>
          <cell r="C808"/>
          <cell r="D808"/>
          <cell r="E808"/>
          <cell r="G808"/>
          <cell r="I808"/>
          <cell r="J808"/>
          <cell r="K808"/>
          <cell r="L808"/>
          <cell r="N808"/>
          <cell r="O808"/>
        </row>
        <row r="809">
          <cell r="B809"/>
          <cell r="C809"/>
          <cell r="D809"/>
          <cell r="E809"/>
          <cell r="G809"/>
          <cell r="I809"/>
          <cell r="J809"/>
          <cell r="K809"/>
          <cell r="L809"/>
          <cell r="N809"/>
          <cell r="O809"/>
        </row>
        <row r="810">
          <cell r="B810"/>
          <cell r="C810"/>
          <cell r="D810"/>
          <cell r="E810"/>
          <cell r="G810"/>
          <cell r="I810"/>
          <cell r="J810"/>
          <cell r="K810"/>
          <cell r="L810"/>
          <cell r="N810"/>
          <cell r="O810"/>
        </row>
        <row r="811">
          <cell r="B811"/>
          <cell r="C811"/>
          <cell r="D811"/>
          <cell r="E811"/>
          <cell r="G811"/>
          <cell r="I811"/>
          <cell r="J811"/>
          <cell r="K811"/>
          <cell r="L811"/>
          <cell r="N811"/>
          <cell r="O811"/>
        </row>
        <row r="812">
          <cell r="B812"/>
          <cell r="C812"/>
          <cell r="D812"/>
          <cell r="E812"/>
          <cell r="G812"/>
          <cell r="I812"/>
          <cell r="J812"/>
          <cell r="K812"/>
          <cell r="L812"/>
          <cell r="N812"/>
          <cell r="O812"/>
        </row>
        <row r="813">
          <cell r="B813"/>
          <cell r="C813"/>
          <cell r="D813"/>
          <cell r="E813"/>
          <cell r="G813"/>
          <cell r="I813"/>
          <cell r="J813"/>
          <cell r="K813"/>
          <cell r="L813"/>
          <cell r="N813"/>
          <cell r="O813"/>
        </row>
        <row r="814">
          <cell r="B814"/>
          <cell r="C814"/>
          <cell r="D814"/>
          <cell r="E814"/>
          <cell r="G814"/>
          <cell r="I814"/>
          <cell r="J814"/>
          <cell r="K814"/>
          <cell r="L814"/>
          <cell r="N814"/>
          <cell r="O814"/>
        </row>
        <row r="815">
          <cell r="B815"/>
          <cell r="C815"/>
          <cell r="D815"/>
          <cell r="E815"/>
          <cell r="G815"/>
          <cell r="I815"/>
          <cell r="J815"/>
          <cell r="K815"/>
          <cell r="L815"/>
          <cell r="N815"/>
          <cell r="O815"/>
        </row>
        <row r="816">
          <cell r="B816"/>
          <cell r="C816"/>
          <cell r="D816"/>
          <cell r="E816"/>
          <cell r="G816"/>
          <cell r="I816"/>
          <cell r="J816"/>
          <cell r="K816"/>
          <cell r="L816"/>
          <cell r="N816"/>
          <cell r="O816"/>
        </row>
        <row r="817">
          <cell r="B817"/>
          <cell r="C817"/>
          <cell r="D817"/>
          <cell r="E817"/>
          <cell r="G817"/>
          <cell r="I817"/>
          <cell r="J817"/>
          <cell r="K817"/>
          <cell r="L817"/>
          <cell r="N817"/>
          <cell r="O817"/>
        </row>
        <row r="818">
          <cell r="B818"/>
          <cell r="C818"/>
          <cell r="D818"/>
          <cell r="E818"/>
          <cell r="G818"/>
          <cell r="I818"/>
          <cell r="J818"/>
          <cell r="K818"/>
          <cell r="L818"/>
          <cell r="N818"/>
          <cell r="O818"/>
        </row>
        <row r="819">
          <cell r="B819"/>
          <cell r="C819"/>
          <cell r="D819"/>
          <cell r="E819"/>
          <cell r="G819"/>
          <cell r="I819"/>
          <cell r="J819"/>
          <cell r="K819"/>
          <cell r="L819"/>
          <cell r="N819"/>
          <cell r="O819"/>
        </row>
        <row r="820">
          <cell r="B820"/>
          <cell r="C820"/>
          <cell r="D820"/>
          <cell r="E820"/>
          <cell r="G820"/>
          <cell r="I820"/>
          <cell r="J820"/>
          <cell r="K820"/>
          <cell r="L820"/>
          <cell r="N820"/>
          <cell r="O820"/>
        </row>
        <row r="821">
          <cell r="B821"/>
          <cell r="C821"/>
          <cell r="D821"/>
          <cell r="E821"/>
          <cell r="G821"/>
          <cell r="I821"/>
          <cell r="J821"/>
          <cell r="K821"/>
          <cell r="L821"/>
          <cell r="N821"/>
          <cell r="O821"/>
        </row>
        <row r="822">
          <cell r="B822"/>
          <cell r="C822"/>
          <cell r="D822"/>
          <cell r="E822"/>
          <cell r="G822"/>
          <cell r="I822"/>
          <cell r="J822"/>
          <cell r="K822"/>
          <cell r="L822"/>
          <cell r="N822"/>
          <cell r="O822"/>
        </row>
        <row r="823">
          <cell r="B823"/>
          <cell r="C823"/>
          <cell r="D823"/>
          <cell r="E823"/>
          <cell r="G823"/>
          <cell r="I823"/>
          <cell r="J823"/>
          <cell r="K823"/>
          <cell r="L823"/>
          <cell r="N823"/>
          <cell r="O823"/>
        </row>
        <row r="824">
          <cell r="B824"/>
          <cell r="C824"/>
          <cell r="D824"/>
          <cell r="E824"/>
          <cell r="G824"/>
          <cell r="I824"/>
          <cell r="J824"/>
          <cell r="K824"/>
          <cell r="L824"/>
          <cell r="N824"/>
          <cell r="O824"/>
        </row>
        <row r="825">
          <cell r="B825"/>
          <cell r="C825"/>
          <cell r="D825"/>
          <cell r="E825"/>
          <cell r="G825"/>
          <cell r="I825"/>
          <cell r="J825"/>
          <cell r="K825"/>
          <cell r="L825"/>
          <cell r="N825"/>
          <cell r="O825"/>
        </row>
        <row r="826">
          <cell r="B826"/>
          <cell r="C826"/>
          <cell r="D826"/>
          <cell r="E826"/>
          <cell r="G826"/>
          <cell r="I826"/>
          <cell r="J826"/>
          <cell r="K826"/>
          <cell r="L826"/>
          <cell r="N826"/>
          <cell r="O826"/>
        </row>
        <row r="827">
          <cell r="B827"/>
          <cell r="C827"/>
          <cell r="D827"/>
          <cell r="E827"/>
          <cell r="G827"/>
          <cell r="I827"/>
          <cell r="J827"/>
          <cell r="K827"/>
          <cell r="L827"/>
          <cell r="N827"/>
          <cell r="O827"/>
        </row>
        <row r="828">
          <cell r="B828"/>
          <cell r="C828"/>
          <cell r="D828"/>
          <cell r="E828"/>
          <cell r="G828"/>
          <cell r="I828"/>
          <cell r="J828"/>
          <cell r="K828"/>
          <cell r="L828"/>
          <cell r="N828"/>
          <cell r="O828"/>
        </row>
        <row r="829">
          <cell r="B829"/>
          <cell r="C829"/>
          <cell r="D829"/>
          <cell r="E829"/>
          <cell r="G829"/>
          <cell r="I829"/>
          <cell r="J829"/>
          <cell r="K829"/>
          <cell r="L829"/>
          <cell r="N829"/>
          <cell r="O829"/>
        </row>
        <row r="830">
          <cell r="B830"/>
          <cell r="C830"/>
          <cell r="D830"/>
          <cell r="E830"/>
          <cell r="G830"/>
          <cell r="I830"/>
          <cell r="J830"/>
          <cell r="K830"/>
          <cell r="L830"/>
          <cell r="N830"/>
          <cell r="O830"/>
        </row>
        <row r="831">
          <cell r="B831"/>
          <cell r="C831"/>
          <cell r="D831"/>
          <cell r="E831"/>
          <cell r="G831"/>
          <cell r="I831"/>
          <cell r="J831"/>
          <cell r="K831"/>
          <cell r="L831"/>
          <cell r="N831"/>
          <cell r="O831"/>
        </row>
        <row r="832">
          <cell r="B832"/>
          <cell r="C832"/>
          <cell r="D832"/>
          <cell r="E832"/>
          <cell r="G832"/>
          <cell r="I832"/>
          <cell r="J832"/>
          <cell r="K832"/>
          <cell r="L832"/>
          <cell r="N832"/>
          <cell r="O832"/>
        </row>
        <row r="833">
          <cell r="B833"/>
          <cell r="C833"/>
          <cell r="D833"/>
          <cell r="E833"/>
          <cell r="G833"/>
          <cell r="I833"/>
          <cell r="J833"/>
          <cell r="K833"/>
          <cell r="L833"/>
          <cell r="N833"/>
          <cell r="O833"/>
        </row>
        <row r="834">
          <cell r="B834"/>
          <cell r="C834"/>
          <cell r="D834"/>
          <cell r="E834"/>
          <cell r="G834"/>
          <cell r="I834"/>
          <cell r="J834"/>
          <cell r="K834"/>
          <cell r="L834"/>
          <cell r="N834"/>
          <cell r="O834"/>
        </row>
        <row r="835">
          <cell r="B835"/>
          <cell r="C835"/>
          <cell r="D835"/>
          <cell r="E835"/>
          <cell r="G835"/>
          <cell r="I835"/>
          <cell r="J835"/>
          <cell r="K835"/>
          <cell r="L835"/>
          <cell r="N835"/>
          <cell r="O835"/>
        </row>
        <row r="836">
          <cell r="B836"/>
          <cell r="C836"/>
          <cell r="D836"/>
          <cell r="E836"/>
          <cell r="G836"/>
          <cell r="I836"/>
          <cell r="J836"/>
          <cell r="K836"/>
          <cell r="L836"/>
          <cell r="N836"/>
          <cell r="O836"/>
        </row>
        <row r="837">
          <cell r="B837"/>
          <cell r="C837"/>
          <cell r="D837"/>
          <cell r="E837"/>
          <cell r="G837"/>
          <cell r="I837"/>
          <cell r="J837"/>
          <cell r="K837"/>
          <cell r="L837"/>
          <cell r="N837"/>
          <cell r="O837"/>
        </row>
        <row r="838">
          <cell r="B838"/>
          <cell r="C838"/>
          <cell r="D838"/>
          <cell r="E838"/>
          <cell r="G838"/>
          <cell r="I838"/>
          <cell r="J838"/>
          <cell r="K838"/>
          <cell r="L838"/>
          <cell r="N838"/>
          <cell r="O838"/>
        </row>
        <row r="839">
          <cell r="B839"/>
          <cell r="C839"/>
          <cell r="D839"/>
          <cell r="E839"/>
          <cell r="G839"/>
          <cell r="I839"/>
          <cell r="J839"/>
          <cell r="K839"/>
          <cell r="L839"/>
          <cell r="N839"/>
          <cell r="O839"/>
        </row>
        <row r="840">
          <cell r="B840"/>
          <cell r="C840"/>
          <cell r="D840"/>
          <cell r="E840"/>
          <cell r="G840"/>
          <cell r="I840"/>
          <cell r="J840"/>
          <cell r="K840"/>
          <cell r="L840"/>
          <cell r="N840"/>
          <cell r="O840"/>
        </row>
        <row r="841">
          <cell r="B841"/>
          <cell r="C841"/>
          <cell r="D841"/>
          <cell r="E841"/>
          <cell r="G841"/>
          <cell r="I841"/>
          <cell r="J841"/>
          <cell r="K841"/>
          <cell r="L841"/>
          <cell r="N841"/>
          <cell r="O841"/>
        </row>
        <row r="842">
          <cell r="B842"/>
          <cell r="C842"/>
          <cell r="D842"/>
          <cell r="E842"/>
          <cell r="G842"/>
          <cell r="I842"/>
          <cell r="J842"/>
          <cell r="K842"/>
          <cell r="L842"/>
          <cell r="N842"/>
          <cell r="O842"/>
        </row>
        <row r="843">
          <cell r="B843"/>
          <cell r="C843"/>
          <cell r="D843"/>
          <cell r="E843"/>
          <cell r="G843"/>
          <cell r="I843"/>
          <cell r="J843"/>
          <cell r="K843"/>
          <cell r="L843"/>
          <cell r="N843"/>
          <cell r="O843"/>
        </row>
        <row r="844">
          <cell r="B844"/>
          <cell r="C844"/>
          <cell r="D844"/>
          <cell r="E844"/>
          <cell r="G844"/>
          <cell r="I844"/>
          <cell r="J844"/>
          <cell r="K844"/>
          <cell r="L844"/>
          <cell r="N844"/>
          <cell r="O844"/>
        </row>
        <row r="845">
          <cell r="B845"/>
          <cell r="C845"/>
          <cell r="D845"/>
          <cell r="E845"/>
          <cell r="G845"/>
          <cell r="I845"/>
          <cell r="J845"/>
          <cell r="K845"/>
          <cell r="L845"/>
          <cell r="N845"/>
          <cell r="O845"/>
        </row>
        <row r="846">
          <cell r="B846"/>
          <cell r="C846"/>
          <cell r="D846"/>
          <cell r="E846"/>
          <cell r="G846"/>
          <cell r="I846"/>
          <cell r="J846"/>
          <cell r="K846"/>
          <cell r="L846"/>
          <cell r="N846"/>
          <cell r="O846"/>
        </row>
        <row r="847">
          <cell r="B847"/>
          <cell r="C847"/>
          <cell r="D847"/>
          <cell r="E847"/>
          <cell r="G847"/>
          <cell r="I847"/>
          <cell r="J847"/>
          <cell r="K847"/>
          <cell r="L847"/>
          <cell r="N847"/>
          <cell r="O847"/>
        </row>
        <row r="848">
          <cell r="B848"/>
          <cell r="C848"/>
          <cell r="D848"/>
          <cell r="E848"/>
          <cell r="G848"/>
          <cell r="I848"/>
          <cell r="J848"/>
          <cell r="K848"/>
          <cell r="L848"/>
          <cell r="N848"/>
          <cell r="O848"/>
        </row>
        <row r="849">
          <cell r="B849"/>
          <cell r="C849"/>
          <cell r="D849"/>
          <cell r="E849"/>
          <cell r="G849"/>
          <cell r="I849"/>
          <cell r="J849"/>
          <cell r="K849"/>
          <cell r="L849"/>
          <cell r="N849"/>
          <cell r="O849"/>
        </row>
        <row r="850">
          <cell r="B850"/>
          <cell r="C850"/>
          <cell r="D850"/>
          <cell r="E850"/>
          <cell r="G850"/>
          <cell r="I850"/>
          <cell r="J850"/>
          <cell r="K850"/>
          <cell r="L850"/>
          <cell r="N850"/>
          <cell r="O850"/>
        </row>
        <row r="851">
          <cell r="B851"/>
          <cell r="C851"/>
          <cell r="D851"/>
          <cell r="E851"/>
          <cell r="G851"/>
          <cell r="I851"/>
          <cell r="J851"/>
          <cell r="K851"/>
          <cell r="L851"/>
          <cell r="N851"/>
          <cell r="O851"/>
        </row>
        <row r="852">
          <cell r="B852"/>
          <cell r="C852"/>
          <cell r="D852"/>
          <cell r="E852"/>
          <cell r="G852"/>
          <cell r="I852"/>
          <cell r="J852"/>
          <cell r="K852"/>
          <cell r="L852"/>
          <cell r="N852"/>
          <cell r="O852"/>
        </row>
        <row r="853">
          <cell r="B853"/>
          <cell r="C853"/>
          <cell r="D853"/>
          <cell r="E853"/>
          <cell r="G853"/>
          <cell r="I853"/>
          <cell r="J853"/>
          <cell r="K853"/>
          <cell r="L853"/>
          <cell r="N853"/>
          <cell r="O853"/>
        </row>
        <row r="854">
          <cell r="B854"/>
          <cell r="C854"/>
          <cell r="D854"/>
          <cell r="E854"/>
          <cell r="G854"/>
          <cell r="I854"/>
          <cell r="J854"/>
          <cell r="K854"/>
          <cell r="L854"/>
          <cell r="N854"/>
          <cell r="O854"/>
        </row>
        <row r="855">
          <cell r="B855"/>
          <cell r="C855"/>
          <cell r="D855"/>
          <cell r="E855"/>
          <cell r="G855"/>
          <cell r="I855"/>
          <cell r="J855"/>
          <cell r="K855"/>
          <cell r="L855"/>
          <cell r="N855"/>
          <cell r="O855"/>
        </row>
        <row r="856">
          <cell r="B856"/>
          <cell r="C856"/>
          <cell r="D856"/>
          <cell r="E856"/>
          <cell r="G856"/>
          <cell r="I856"/>
          <cell r="J856"/>
          <cell r="K856"/>
          <cell r="L856"/>
          <cell r="N856"/>
          <cell r="O856"/>
        </row>
        <row r="857">
          <cell r="B857"/>
          <cell r="C857"/>
          <cell r="D857"/>
          <cell r="E857"/>
          <cell r="G857"/>
          <cell r="I857"/>
          <cell r="J857"/>
          <cell r="K857"/>
          <cell r="L857"/>
          <cell r="N857"/>
          <cell r="O857"/>
        </row>
        <row r="858">
          <cell r="B858"/>
          <cell r="C858"/>
          <cell r="D858"/>
          <cell r="E858"/>
          <cell r="G858"/>
          <cell r="I858"/>
          <cell r="J858"/>
          <cell r="K858"/>
          <cell r="L858"/>
          <cell r="N858"/>
          <cell r="O858"/>
        </row>
        <row r="859">
          <cell r="B859"/>
          <cell r="C859"/>
          <cell r="D859"/>
          <cell r="E859"/>
          <cell r="G859"/>
          <cell r="I859"/>
          <cell r="J859"/>
          <cell r="K859"/>
          <cell r="L859"/>
          <cell r="N859"/>
          <cell r="O859"/>
        </row>
        <row r="860">
          <cell r="B860"/>
          <cell r="C860"/>
          <cell r="D860"/>
          <cell r="E860"/>
          <cell r="G860"/>
          <cell r="I860"/>
          <cell r="J860"/>
          <cell r="K860"/>
          <cell r="L860"/>
          <cell r="N860"/>
          <cell r="O860"/>
        </row>
        <row r="861">
          <cell r="B861"/>
          <cell r="C861"/>
          <cell r="D861"/>
          <cell r="E861"/>
          <cell r="G861"/>
          <cell r="I861"/>
          <cell r="J861"/>
          <cell r="K861"/>
          <cell r="L861"/>
          <cell r="N861"/>
          <cell r="O861"/>
        </row>
        <row r="862">
          <cell r="B862"/>
          <cell r="C862"/>
          <cell r="D862"/>
          <cell r="E862"/>
          <cell r="G862"/>
          <cell r="I862"/>
          <cell r="J862"/>
          <cell r="K862"/>
          <cell r="L862"/>
          <cell r="N862"/>
          <cell r="O862"/>
        </row>
        <row r="863">
          <cell r="B863"/>
          <cell r="C863"/>
          <cell r="D863"/>
          <cell r="E863"/>
          <cell r="G863"/>
          <cell r="I863"/>
          <cell r="J863"/>
          <cell r="K863"/>
          <cell r="L863"/>
          <cell r="N863"/>
          <cell r="O863"/>
        </row>
        <row r="864">
          <cell r="B864"/>
          <cell r="C864"/>
          <cell r="D864"/>
          <cell r="E864"/>
          <cell r="G864"/>
          <cell r="I864"/>
          <cell r="J864"/>
          <cell r="K864"/>
          <cell r="L864"/>
          <cell r="N864"/>
          <cell r="O864"/>
        </row>
        <row r="865">
          <cell r="B865"/>
          <cell r="C865"/>
          <cell r="D865"/>
          <cell r="E865"/>
          <cell r="G865"/>
          <cell r="I865"/>
          <cell r="J865"/>
          <cell r="K865"/>
          <cell r="L865"/>
          <cell r="N865"/>
          <cell r="O865"/>
        </row>
        <row r="866">
          <cell r="B866"/>
          <cell r="C866"/>
          <cell r="D866"/>
          <cell r="E866"/>
          <cell r="G866"/>
          <cell r="I866"/>
          <cell r="J866"/>
          <cell r="K866"/>
          <cell r="L866"/>
          <cell r="N866"/>
          <cell r="O866"/>
        </row>
        <row r="867">
          <cell r="B867"/>
          <cell r="C867"/>
          <cell r="D867"/>
          <cell r="E867"/>
          <cell r="G867"/>
          <cell r="I867"/>
          <cell r="J867"/>
          <cell r="K867"/>
          <cell r="L867"/>
          <cell r="N867"/>
          <cell r="O867"/>
        </row>
        <row r="868">
          <cell r="B868"/>
          <cell r="C868"/>
          <cell r="D868"/>
          <cell r="E868"/>
          <cell r="G868"/>
          <cell r="I868"/>
          <cell r="J868"/>
          <cell r="K868"/>
          <cell r="L868"/>
          <cell r="N868"/>
          <cell r="O868"/>
        </row>
        <row r="869">
          <cell r="B869"/>
          <cell r="C869"/>
          <cell r="D869"/>
          <cell r="E869"/>
          <cell r="G869"/>
          <cell r="I869"/>
          <cell r="J869"/>
          <cell r="K869"/>
          <cell r="L869"/>
          <cell r="N869"/>
          <cell r="O869"/>
        </row>
        <row r="870">
          <cell r="B870"/>
          <cell r="C870"/>
          <cell r="D870"/>
          <cell r="E870"/>
          <cell r="G870"/>
          <cell r="I870"/>
          <cell r="J870"/>
          <cell r="K870"/>
          <cell r="L870"/>
          <cell r="N870"/>
          <cell r="O870"/>
        </row>
        <row r="871">
          <cell r="B871"/>
          <cell r="C871"/>
          <cell r="D871"/>
          <cell r="E871"/>
          <cell r="G871"/>
          <cell r="I871"/>
          <cell r="J871"/>
          <cell r="K871"/>
          <cell r="L871"/>
          <cell r="N871"/>
          <cell r="O871"/>
        </row>
        <row r="872">
          <cell r="B872"/>
          <cell r="C872"/>
          <cell r="D872"/>
          <cell r="E872"/>
          <cell r="G872"/>
          <cell r="I872"/>
          <cell r="J872"/>
          <cell r="K872"/>
          <cell r="L872"/>
          <cell r="N872"/>
          <cell r="O872"/>
        </row>
        <row r="873">
          <cell r="B873"/>
          <cell r="C873"/>
          <cell r="D873"/>
          <cell r="E873"/>
          <cell r="G873"/>
          <cell r="I873"/>
          <cell r="J873"/>
          <cell r="K873"/>
          <cell r="L873"/>
          <cell r="N873"/>
          <cell r="O873"/>
        </row>
        <row r="874">
          <cell r="B874"/>
          <cell r="C874"/>
          <cell r="D874"/>
          <cell r="E874"/>
          <cell r="G874"/>
          <cell r="I874"/>
          <cell r="J874"/>
          <cell r="K874"/>
          <cell r="L874"/>
          <cell r="N874"/>
          <cell r="O874"/>
        </row>
        <row r="875">
          <cell r="B875"/>
          <cell r="C875"/>
          <cell r="D875"/>
          <cell r="E875"/>
          <cell r="G875"/>
          <cell r="I875"/>
          <cell r="J875"/>
          <cell r="K875"/>
          <cell r="L875"/>
          <cell r="N875"/>
          <cell r="O875"/>
        </row>
        <row r="876">
          <cell r="B876"/>
          <cell r="C876"/>
          <cell r="D876"/>
          <cell r="E876"/>
          <cell r="G876"/>
          <cell r="I876"/>
          <cell r="J876"/>
          <cell r="K876"/>
          <cell r="L876"/>
          <cell r="N876"/>
          <cell r="O876"/>
        </row>
        <row r="877">
          <cell r="B877"/>
          <cell r="C877"/>
          <cell r="D877"/>
          <cell r="E877"/>
          <cell r="G877"/>
          <cell r="I877"/>
          <cell r="J877"/>
          <cell r="K877"/>
          <cell r="L877"/>
          <cell r="N877"/>
          <cell r="O877"/>
        </row>
        <row r="878">
          <cell r="B878"/>
          <cell r="C878"/>
          <cell r="D878"/>
          <cell r="E878"/>
          <cell r="G878"/>
          <cell r="I878"/>
          <cell r="J878"/>
          <cell r="K878"/>
          <cell r="L878"/>
          <cell r="N878"/>
          <cell r="O878"/>
        </row>
        <row r="879">
          <cell r="B879"/>
          <cell r="C879"/>
          <cell r="D879"/>
          <cell r="E879"/>
          <cell r="G879"/>
          <cell r="I879"/>
          <cell r="J879"/>
          <cell r="K879"/>
          <cell r="L879"/>
          <cell r="N879"/>
          <cell r="O879"/>
        </row>
        <row r="880">
          <cell r="B880"/>
          <cell r="C880"/>
          <cell r="D880"/>
          <cell r="E880"/>
          <cell r="G880"/>
          <cell r="I880"/>
          <cell r="J880"/>
          <cell r="K880"/>
          <cell r="L880"/>
          <cell r="N880"/>
          <cell r="O880"/>
        </row>
        <row r="881">
          <cell r="B881"/>
          <cell r="C881"/>
          <cell r="D881"/>
          <cell r="E881"/>
          <cell r="G881"/>
          <cell r="I881"/>
          <cell r="J881"/>
          <cell r="K881"/>
          <cell r="L881"/>
          <cell r="N881"/>
          <cell r="O881"/>
        </row>
        <row r="882">
          <cell r="B882"/>
          <cell r="C882"/>
          <cell r="D882"/>
          <cell r="E882"/>
          <cell r="G882"/>
          <cell r="I882"/>
          <cell r="J882"/>
          <cell r="K882"/>
          <cell r="L882"/>
          <cell r="N882"/>
          <cell r="O882"/>
        </row>
        <row r="883">
          <cell r="B883"/>
          <cell r="C883"/>
          <cell r="D883"/>
          <cell r="E883"/>
          <cell r="G883"/>
          <cell r="I883"/>
          <cell r="J883"/>
          <cell r="K883"/>
          <cell r="L883"/>
          <cell r="N883"/>
          <cell r="O883"/>
        </row>
        <row r="884">
          <cell r="B884"/>
          <cell r="C884"/>
          <cell r="D884"/>
          <cell r="E884"/>
          <cell r="G884"/>
          <cell r="I884"/>
          <cell r="J884"/>
          <cell r="K884"/>
          <cell r="L884"/>
          <cell r="N884"/>
          <cell r="O884"/>
        </row>
        <row r="885">
          <cell r="B885"/>
          <cell r="C885"/>
          <cell r="D885"/>
          <cell r="E885"/>
          <cell r="G885"/>
          <cell r="I885"/>
          <cell r="J885"/>
          <cell r="K885"/>
          <cell r="L885"/>
          <cell r="N885"/>
          <cell r="O885"/>
        </row>
        <row r="886">
          <cell r="B886"/>
          <cell r="C886"/>
          <cell r="D886"/>
          <cell r="E886"/>
          <cell r="G886"/>
          <cell r="I886"/>
          <cell r="J886"/>
          <cell r="K886"/>
          <cell r="L886"/>
          <cell r="N886"/>
          <cell r="O886"/>
        </row>
        <row r="887">
          <cell r="B887"/>
          <cell r="C887"/>
          <cell r="D887"/>
          <cell r="E887"/>
          <cell r="G887"/>
          <cell r="I887"/>
          <cell r="J887"/>
          <cell r="K887"/>
          <cell r="L887"/>
          <cell r="N887"/>
          <cell r="O887"/>
        </row>
        <row r="888">
          <cell r="B888"/>
          <cell r="C888"/>
          <cell r="D888"/>
          <cell r="E888"/>
          <cell r="G888"/>
          <cell r="I888"/>
          <cell r="J888"/>
          <cell r="K888"/>
          <cell r="L888"/>
          <cell r="N888"/>
          <cell r="O888"/>
        </row>
        <row r="889">
          <cell r="B889"/>
          <cell r="C889"/>
          <cell r="D889"/>
          <cell r="E889"/>
          <cell r="G889"/>
          <cell r="I889"/>
          <cell r="J889"/>
          <cell r="K889"/>
          <cell r="L889"/>
          <cell r="N889"/>
          <cell r="O889"/>
        </row>
        <row r="890">
          <cell r="B890"/>
          <cell r="C890"/>
          <cell r="D890"/>
          <cell r="E890"/>
          <cell r="G890"/>
          <cell r="I890"/>
          <cell r="J890"/>
          <cell r="K890"/>
          <cell r="L890"/>
          <cell r="N890"/>
          <cell r="O890"/>
        </row>
        <row r="891">
          <cell r="B891"/>
          <cell r="C891"/>
          <cell r="D891"/>
          <cell r="E891"/>
          <cell r="G891"/>
          <cell r="I891"/>
          <cell r="J891"/>
          <cell r="K891"/>
          <cell r="L891"/>
          <cell r="N891"/>
          <cell r="O891"/>
        </row>
        <row r="892">
          <cell r="B892"/>
          <cell r="C892"/>
          <cell r="D892"/>
          <cell r="E892"/>
          <cell r="G892"/>
          <cell r="I892"/>
          <cell r="J892"/>
          <cell r="K892"/>
          <cell r="L892"/>
          <cell r="N892"/>
          <cell r="O892"/>
        </row>
        <row r="893">
          <cell r="B893"/>
          <cell r="C893"/>
          <cell r="D893"/>
          <cell r="E893"/>
          <cell r="G893"/>
          <cell r="I893"/>
          <cell r="J893"/>
          <cell r="K893"/>
          <cell r="L893"/>
          <cell r="N893"/>
          <cell r="O893"/>
        </row>
        <row r="894">
          <cell r="B894"/>
          <cell r="C894"/>
          <cell r="D894"/>
          <cell r="E894"/>
          <cell r="G894"/>
          <cell r="I894"/>
          <cell r="J894"/>
          <cell r="K894"/>
          <cell r="L894"/>
          <cell r="N894"/>
          <cell r="O894"/>
        </row>
        <row r="895">
          <cell r="B895"/>
          <cell r="C895"/>
          <cell r="D895"/>
          <cell r="E895"/>
          <cell r="G895"/>
          <cell r="I895"/>
          <cell r="J895"/>
          <cell r="K895"/>
          <cell r="L895"/>
          <cell r="N895"/>
          <cell r="O895"/>
        </row>
        <row r="896">
          <cell r="B896"/>
          <cell r="C896"/>
          <cell r="D896"/>
          <cell r="E896"/>
          <cell r="G896"/>
          <cell r="I896"/>
          <cell r="J896"/>
          <cell r="K896"/>
          <cell r="L896"/>
          <cell r="N896"/>
          <cell r="O896"/>
        </row>
        <row r="897">
          <cell r="B897"/>
          <cell r="C897"/>
          <cell r="D897"/>
          <cell r="E897"/>
          <cell r="G897"/>
          <cell r="I897"/>
          <cell r="J897"/>
          <cell r="K897"/>
          <cell r="L897"/>
          <cell r="N897"/>
          <cell r="O897"/>
        </row>
        <row r="898">
          <cell r="B898"/>
          <cell r="C898"/>
          <cell r="D898"/>
          <cell r="E898"/>
          <cell r="G898"/>
          <cell r="I898"/>
          <cell r="J898"/>
          <cell r="K898"/>
          <cell r="L898"/>
          <cell r="N898"/>
          <cell r="O898"/>
        </row>
        <row r="899">
          <cell r="B899"/>
          <cell r="C899"/>
          <cell r="D899"/>
          <cell r="E899"/>
          <cell r="G899"/>
          <cell r="I899"/>
          <cell r="J899"/>
          <cell r="K899"/>
          <cell r="L899"/>
          <cell r="N899"/>
          <cell r="O899"/>
        </row>
        <row r="900">
          <cell r="B900"/>
          <cell r="C900"/>
          <cell r="D900"/>
          <cell r="E900"/>
          <cell r="G900"/>
          <cell r="I900"/>
          <cell r="J900"/>
          <cell r="K900"/>
          <cell r="L900"/>
          <cell r="N900"/>
          <cell r="O900"/>
        </row>
        <row r="901">
          <cell r="B901"/>
          <cell r="C901"/>
          <cell r="D901"/>
          <cell r="E901"/>
          <cell r="G901"/>
          <cell r="I901"/>
          <cell r="J901"/>
          <cell r="K901"/>
          <cell r="L901"/>
          <cell r="N901"/>
          <cell r="O901"/>
        </row>
        <row r="902">
          <cell r="B902"/>
          <cell r="C902"/>
          <cell r="D902"/>
          <cell r="E902"/>
          <cell r="G902"/>
          <cell r="I902"/>
          <cell r="J902"/>
          <cell r="K902"/>
          <cell r="L902"/>
          <cell r="N902"/>
          <cell r="O902"/>
        </row>
        <row r="903">
          <cell r="B903"/>
          <cell r="C903"/>
          <cell r="D903"/>
          <cell r="E903"/>
          <cell r="G903"/>
          <cell r="I903"/>
          <cell r="J903"/>
          <cell r="K903"/>
          <cell r="L903"/>
          <cell r="N903"/>
          <cell r="O903"/>
        </row>
        <row r="904">
          <cell r="B904"/>
          <cell r="C904"/>
          <cell r="D904"/>
          <cell r="E904"/>
          <cell r="G904"/>
          <cell r="I904"/>
          <cell r="J904"/>
          <cell r="K904"/>
          <cell r="L904"/>
          <cell r="N904"/>
          <cell r="O904"/>
        </row>
        <row r="905">
          <cell r="B905"/>
          <cell r="C905"/>
          <cell r="D905"/>
          <cell r="E905"/>
          <cell r="G905"/>
          <cell r="I905"/>
          <cell r="J905"/>
          <cell r="K905"/>
          <cell r="L905"/>
          <cell r="N905"/>
          <cell r="O905"/>
        </row>
        <row r="906">
          <cell r="B906"/>
          <cell r="C906"/>
          <cell r="D906"/>
          <cell r="E906"/>
          <cell r="G906"/>
          <cell r="I906"/>
          <cell r="J906"/>
          <cell r="K906"/>
          <cell r="L906"/>
          <cell r="N906"/>
          <cell r="O906"/>
        </row>
        <row r="907">
          <cell r="B907"/>
          <cell r="C907"/>
          <cell r="D907"/>
          <cell r="E907"/>
          <cell r="G907"/>
          <cell r="I907"/>
          <cell r="J907"/>
          <cell r="K907"/>
          <cell r="L907"/>
          <cell r="N907"/>
          <cell r="O907"/>
        </row>
        <row r="908">
          <cell r="B908"/>
          <cell r="C908"/>
          <cell r="D908"/>
          <cell r="E908"/>
          <cell r="G908"/>
          <cell r="I908"/>
          <cell r="J908"/>
          <cell r="K908"/>
          <cell r="L908"/>
          <cell r="N908"/>
          <cell r="O908"/>
        </row>
        <row r="909">
          <cell r="B909"/>
          <cell r="C909"/>
          <cell r="D909"/>
          <cell r="E909"/>
          <cell r="G909"/>
          <cell r="I909"/>
          <cell r="J909"/>
          <cell r="K909"/>
          <cell r="L909"/>
          <cell r="N909"/>
          <cell r="O909"/>
        </row>
        <row r="910">
          <cell r="B910"/>
          <cell r="C910"/>
          <cell r="D910"/>
          <cell r="E910"/>
          <cell r="G910"/>
          <cell r="I910"/>
          <cell r="J910"/>
          <cell r="K910"/>
          <cell r="L910"/>
          <cell r="N910"/>
          <cell r="O910"/>
        </row>
        <row r="911">
          <cell r="B911"/>
          <cell r="C911"/>
          <cell r="D911"/>
          <cell r="E911"/>
          <cell r="G911"/>
          <cell r="I911"/>
          <cell r="J911"/>
          <cell r="K911"/>
          <cell r="L911"/>
          <cell r="N911"/>
          <cell r="O911"/>
        </row>
        <row r="912">
          <cell r="B912"/>
          <cell r="C912"/>
          <cell r="D912"/>
          <cell r="E912"/>
          <cell r="G912"/>
          <cell r="I912"/>
          <cell r="J912"/>
          <cell r="K912"/>
          <cell r="L912"/>
          <cell r="N912"/>
          <cell r="O912"/>
        </row>
        <row r="913">
          <cell r="B913"/>
          <cell r="C913"/>
          <cell r="D913"/>
          <cell r="E913"/>
          <cell r="G913"/>
          <cell r="I913"/>
          <cell r="J913"/>
          <cell r="K913"/>
          <cell r="L913"/>
          <cell r="N913"/>
          <cell r="O913"/>
        </row>
        <row r="914">
          <cell r="B914"/>
          <cell r="C914"/>
          <cell r="D914"/>
          <cell r="E914"/>
          <cell r="G914"/>
          <cell r="I914"/>
          <cell r="J914"/>
          <cell r="K914"/>
          <cell r="L914"/>
          <cell r="N914"/>
          <cell r="O914"/>
        </row>
        <row r="915">
          <cell r="B915"/>
          <cell r="C915"/>
          <cell r="D915"/>
          <cell r="E915"/>
          <cell r="G915"/>
          <cell r="I915"/>
          <cell r="J915"/>
          <cell r="K915"/>
          <cell r="L915"/>
          <cell r="N915"/>
          <cell r="O915"/>
        </row>
        <row r="916">
          <cell r="B916"/>
          <cell r="C916"/>
          <cell r="D916"/>
          <cell r="E916"/>
          <cell r="G916"/>
          <cell r="I916"/>
          <cell r="J916"/>
          <cell r="K916"/>
          <cell r="L916"/>
          <cell r="N916"/>
          <cell r="O916"/>
        </row>
        <row r="917">
          <cell r="B917"/>
          <cell r="C917"/>
          <cell r="D917"/>
          <cell r="E917"/>
          <cell r="G917"/>
          <cell r="I917"/>
          <cell r="J917"/>
          <cell r="K917"/>
          <cell r="L917"/>
          <cell r="N917"/>
          <cell r="O917"/>
        </row>
        <row r="918">
          <cell r="B918"/>
          <cell r="C918"/>
          <cell r="D918"/>
          <cell r="E918"/>
          <cell r="G918"/>
          <cell r="I918"/>
          <cell r="J918"/>
          <cell r="K918"/>
          <cell r="L918"/>
          <cell r="N918"/>
          <cell r="O918"/>
        </row>
        <row r="919">
          <cell r="B919"/>
          <cell r="C919"/>
          <cell r="D919"/>
          <cell r="E919"/>
          <cell r="G919"/>
          <cell r="I919"/>
          <cell r="J919"/>
          <cell r="K919"/>
          <cell r="L919"/>
          <cell r="N919"/>
          <cell r="O919"/>
        </row>
        <row r="920">
          <cell r="B920"/>
          <cell r="C920"/>
          <cell r="D920"/>
          <cell r="E920"/>
          <cell r="G920"/>
          <cell r="I920"/>
          <cell r="J920"/>
          <cell r="K920"/>
          <cell r="L920"/>
          <cell r="N920"/>
          <cell r="O920"/>
        </row>
        <row r="921">
          <cell r="B921"/>
          <cell r="C921"/>
          <cell r="D921"/>
          <cell r="E921"/>
          <cell r="G921"/>
          <cell r="I921"/>
          <cell r="J921"/>
          <cell r="K921"/>
          <cell r="L921"/>
          <cell r="N921"/>
          <cell r="O921"/>
        </row>
        <row r="922">
          <cell r="B922"/>
          <cell r="C922"/>
          <cell r="D922"/>
          <cell r="E922"/>
          <cell r="G922"/>
          <cell r="I922"/>
          <cell r="J922"/>
          <cell r="K922"/>
          <cell r="L922"/>
          <cell r="N922"/>
          <cell r="O922"/>
        </row>
        <row r="923">
          <cell r="B923"/>
          <cell r="C923"/>
          <cell r="D923"/>
          <cell r="E923"/>
          <cell r="G923"/>
          <cell r="I923"/>
          <cell r="J923"/>
          <cell r="K923"/>
          <cell r="L923"/>
          <cell r="N923"/>
          <cell r="O923"/>
        </row>
        <row r="924">
          <cell r="B924"/>
          <cell r="C924"/>
          <cell r="D924"/>
          <cell r="E924"/>
          <cell r="G924"/>
          <cell r="I924"/>
          <cell r="J924"/>
          <cell r="K924"/>
          <cell r="L924"/>
          <cell r="N924"/>
          <cell r="O924"/>
        </row>
        <row r="925">
          <cell r="B925"/>
          <cell r="C925"/>
          <cell r="D925"/>
          <cell r="E925"/>
          <cell r="G925"/>
          <cell r="I925"/>
          <cell r="J925"/>
          <cell r="K925"/>
          <cell r="L925"/>
          <cell r="N925"/>
          <cell r="O925"/>
        </row>
        <row r="926">
          <cell r="B926"/>
          <cell r="C926"/>
          <cell r="D926"/>
          <cell r="E926"/>
          <cell r="G926"/>
          <cell r="I926"/>
          <cell r="J926"/>
          <cell r="K926"/>
          <cell r="L926"/>
          <cell r="N926"/>
          <cell r="O926"/>
        </row>
        <row r="927">
          <cell r="B927"/>
          <cell r="C927"/>
          <cell r="D927"/>
          <cell r="E927"/>
          <cell r="G927"/>
          <cell r="I927"/>
          <cell r="J927"/>
          <cell r="K927"/>
          <cell r="L927"/>
          <cell r="N927"/>
          <cell r="O927"/>
        </row>
        <row r="928">
          <cell r="B928"/>
          <cell r="C928"/>
          <cell r="D928"/>
          <cell r="E928"/>
          <cell r="G928"/>
          <cell r="I928"/>
          <cell r="J928"/>
          <cell r="K928"/>
          <cell r="L928"/>
          <cell r="N928"/>
          <cell r="O928"/>
        </row>
        <row r="929">
          <cell r="B929"/>
          <cell r="C929"/>
          <cell r="D929"/>
          <cell r="E929"/>
          <cell r="G929"/>
          <cell r="I929"/>
          <cell r="J929"/>
          <cell r="K929"/>
          <cell r="L929"/>
          <cell r="N929"/>
          <cell r="O929"/>
        </row>
        <row r="930">
          <cell r="B930"/>
          <cell r="C930"/>
          <cell r="D930"/>
          <cell r="E930"/>
          <cell r="G930"/>
          <cell r="I930"/>
          <cell r="J930"/>
          <cell r="K930"/>
          <cell r="L930"/>
          <cell r="N930"/>
          <cell r="O930"/>
        </row>
        <row r="931">
          <cell r="B931"/>
          <cell r="C931"/>
          <cell r="D931"/>
          <cell r="E931"/>
          <cell r="G931"/>
          <cell r="I931"/>
          <cell r="J931"/>
          <cell r="K931"/>
          <cell r="L931"/>
          <cell r="N931"/>
          <cell r="O931"/>
        </row>
        <row r="932">
          <cell r="B932"/>
          <cell r="C932"/>
          <cell r="D932"/>
          <cell r="E932"/>
          <cell r="G932"/>
          <cell r="I932"/>
          <cell r="J932"/>
          <cell r="K932"/>
          <cell r="L932"/>
          <cell r="N932"/>
          <cell r="O932"/>
        </row>
        <row r="933">
          <cell r="B933"/>
          <cell r="C933"/>
          <cell r="D933"/>
          <cell r="E933"/>
          <cell r="G933"/>
          <cell r="I933"/>
          <cell r="J933"/>
          <cell r="K933"/>
          <cell r="L933"/>
          <cell r="N933"/>
          <cell r="O933"/>
        </row>
        <row r="934">
          <cell r="B934"/>
          <cell r="C934"/>
          <cell r="D934"/>
          <cell r="E934"/>
          <cell r="G934"/>
          <cell r="I934"/>
          <cell r="J934"/>
          <cell r="K934"/>
          <cell r="L934"/>
          <cell r="N934"/>
          <cell r="O934"/>
        </row>
        <row r="935">
          <cell r="B935"/>
          <cell r="C935"/>
          <cell r="D935"/>
          <cell r="E935"/>
          <cell r="G935"/>
          <cell r="I935"/>
          <cell r="J935"/>
          <cell r="K935"/>
          <cell r="L935"/>
          <cell r="N935"/>
          <cell r="O935"/>
        </row>
        <row r="936">
          <cell r="B936"/>
          <cell r="C936"/>
          <cell r="D936"/>
          <cell r="E936"/>
          <cell r="G936"/>
          <cell r="I936"/>
          <cell r="J936"/>
          <cell r="K936"/>
          <cell r="L936"/>
          <cell r="N936"/>
          <cell r="O936"/>
        </row>
        <row r="937">
          <cell r="B937"/>
          <cell r="C937"/>
          <cell r="D937"/>
          <cell r="E937"/>
          <cell r="G937"/>
          <cell r="I937"/>
          <cell r="J937"/>
          <cell r="K937"/>
          <cell r="L937"/>
          <cell r="N937"/>
          <cell r="O937"/>
        </row>
        <row r="938">
          <cell r="B938"/>
          <cell r="C938"/>
          <cell r="D938"/>
          <cell r="E938"/>
          <cell r="G938"/>
          <cell r="I938"/>
          <cell r="J938"/>
          <cell r="K938"/>
          <cell r="L938"/>
          <cell r="N938"/>
          <cell r="O938"/>
        </row>
        <row r="939">
          <cell r="B939"/>
          <cell r="C939"/>
          <cell r="D939"/>
          <cell r="E939"/>
          <cell r="G939"/>
          <cell r="I939"/>
          <cell r="J939"/>
          <cell r="K939"/>
          <cell r="L939"/>
          <cell r="N939"/>
          <cell r="O939"/>
        </row>
        <row r="940">
          <cell r="B940"/>
          <cell r="C940"/>
          <cell r="D940"/>
          <cell r="E940"/>
          <cell r="G940"/>
          <cell r="I940"/>
          <cell r="J940"/>
          <cell r="K940"/>
          <cell r="L940"/>
          <cell r="N940"/>
          <cell r="O940"/>
        </row>
        <row r="941">
          <cell r="B941"/>
          <cell r="C941"/>
          <cell r="D941"/>
          <cell r="E941"/>
          <cell r="G941"/>
          <cell r="I941"/>
          <cell r="J941"/>
          <cell r="K941"/>
          <cell r="L941"/>
          <cell r="N941"/>
          <cell r="O941"/>
        </row>
        <row r="942">
          <cell r="B942"/>
          <cell r="C942"/>
          <cell r="D942"/>
          <cell r="E942"/>
          <cell r="G942"/>
          <cell r="I942"/>
          <cell r="J942"/>
          <cell r="K942"/>
          <cell r="L942"/>
          <cell r="N942"/>
          <cell r="O942"/>
        </row>
        <row r="943">
          <cell r="B943"/>
          <cell r="C943"/>
          <cell r="D943"/>
          <cell r="E943"/>
          <cell r="G943"/>
          <cell r="I943"/>
          <cell r="J943"/>
          <cell r="K943"/>
          <cell r="L943"/>
          <cell r="N943"/>
          <cell r="O943"/>
        </row>
        <row r="944">
          <cell r="B944"/>
          <cell r="C944"/>
          <cell r="D944"/>
          <cell r="E944"/>
          <cell r="G944"/>
          <cell r="I944"/>
          <cell r="J944"/>
          <cell r="K944"/>
          <cell r="L944"/>
          <cell r="N944"/>
          <cell r="O944"/>
        </row>
        <row r="945">
          <cell r="B945"/>
          <cell r="C945"/>
          <cell r="D945"/>
          <cell r="E945"/>
          <cell r="G945"/>
          <cell r="I945"/>
          <cell r="J945"/>
          <cell r="K945"/>
          <cell r="L945"/>
          <cell r="N945"/>
          <cell r="O945"/>
        </row>
        <row r="946">
          <cell r="B946"/>
          <cell r="C946"/>
          <cell r="D946"/>
          <cell r="E946"/>
          <cell r="G946"/>
          <cell r="I946"/>
          <cell r="J946"/>
          <cell r="K946"/>
          <cell r="L946"/>
          <cell r="N946"/>
          <cell r="O946"/>
        </row>
        <row r="947">
          <cell r="B947"/>
          <cell r="C947"/>
          <cell r="D947"/>
          <cell r="E947"/>
          <cell r="G947"/>
          <cell r="I947"/>
          <cell r="J947"/>
          <cell r="K947"/>
          <cell r="L947"/>
          <cell r="N947"/>
          <cell r="O947"/>
        </row>
        <row r="948">
          <cell r="B948"/>
          <cell r="C948"/>
          <cell r="D948"/>
          <cell r="E948"/>
          <cell r="G948"/>
          <cell r="I948"/>
          <cell r="J948"/>
          <cell r="K948"/>
          <cell r="L948"/>
          <cell r="N948"/>
          <cell r="O948"/>
        </row>
        <row r="949">
          <cell r="B949"/>
          <cell r="C949"/>
          <cell r="D949"/>
          <cell r="E949"/>
          <cell r="G949"/>
          <cell r="I949"/>
          <cell r="J949"/>
          <cell r="K949"/>
          <cell r="L949"/>
          <cell r="N949"/>
          <cell r="O949"/>
        </row>
        <row r="950">
          <cell r="B950"/>
          <cell r="C950"/>
          <cell r="D950"/>
          <cell r="E950"/>
          <cell r="G950"/>
          <cell r="I950"/>
          <cell r="J950"/>
          <cell r="K950"/>
          <cell r="L950"/>
          <cell r="N950"/>
          <cell r="O950"/>
        </row>
        <row r="951">
          <cell r="B951"/>
          <cell r="C951"/>
          <cell r="D951"/>
          <cell r="E951"/>
          <cell r="G951"/>
          <cell r="I951"/>
          <cell r="J951"/>
          <cell r="K951"/>
          <cell r="L951"/>
          <cell r="N951"/>
          <cell r="O951"/>
        </row>
        <row r="952">
          <cell r="B952"/>
          <cell r="C952"/>
          <cell r="D952"/>
          <cell r="E952"/>
          <cell r="G952"/>
          <cell r="I952"/>
          <cell r="J952"/>
          <cell r="K952"/>
          <cell r="L952"/>
          <cell r="N952"/>
          <cell r="O952"/>
        </row>
        <row r="953">
          <cell r="B953"/>
          <cell r="C953"/>
          <cell r="D953"/>
          <cell r="E953"/>
          <cell r="G953"/>
          <cell r="I953"/>
          <cell r="J953"/>
          <cell r="K953"/>
          <cell r="L953"/>
          <cell r="N953"/>
          <cell r="O953"/>
        </row>
        <row r="954">
          <cell r="B954"/>
          <cell r="C954"/>
          <cell r="D954"/>
          <cell r="E954"/>
          <cell r="G954"/>
          <cell r="I954"/>
          <cell r="J954"/>
          <cell r="K954"/>
          <cell r="L954"/>
          <cell r="N954"/>
          <cell r="O954"/>
        </row>
        <row r="955">
          <cell r="B955"/>
          <cell r="C955"/>
          <cell r="D955"/>
          <cell r="E955"/>
          <cell r="G955"/>
          <cell r="I955"/>
          <cell r="J955"/>
          <cell r="K955"/>
          <cell r="L955"/>
          <cell r="N955"/>
          <cell r="O955"/>
        </row>
        <row r="956">
          <cell r="B956"/>
          <cell r="C956"/>
          <cell r="D956"/>
          <cell r="E956"/>
          <cell r="G956"/>
          <cell r="I956"/>
          <cell r="J956"/>
          <cell r="K956"/>
          <cell r="L956"/>
          <cell r="N956"/>
          <cell r="O956"/>
        </row>
        <row r="957">
          <cell r="B957"/>
          <cell r="C957"/>
          <cell r="D957"/>
          <cell r="E957"/>
          <cell r="G957"/>
          <cell r="I957"/>
          <cell r="J957"/>
          <cell r="K957"/>
          <cell r="L957"/>
          <cell r="N957"/>
          <cell r="O957"/>
        </row>
        <row r="958">
          <cell r="B958"/>
          <cell r="C958"/>
          <cell r="D958"/>
          <cell r="E958"/>
          <cell r="G958"/>
          <cell r="I958"/>
          <cell r="J958"/>
          <cell r="K958"/>
          <cell r="L958"/>
          <cell r="N958"/>
          <cell r="O958"/>
        </row>
        <row r="959">
          <cell r="B959"/>
          <cell r="C959"/>
          <cell r="D959"/>
          <cell r="E959"/>
          <cell r="G959"/>
          <cell r="I959"/>
          <cell r="J959"/>
          <cell r="K959"/>
          <cell r="L959"/>
          <cell r="N959"/>
          <cell r="O959"/>
        </row>
        <row r="960">
          <cell r="B960"/>
          <cell r="C960"/>
          <cell r="D960"/>
          <cell r="E960"/>
          <cell r="G960"/>
          <cell r="I960"/>
          <cell r="J960"/>
          <cell r="K960"/>
          <cell r="L960"/>
          <cell r="N960"/>
          <cell r="O960"/>
        </row>
        <row r="961">
          <cell r="B961"/>
          <cell r="C961"/>
          <cell r="D961"/>
          <cell r="E961"/>
          <cell r="G961"/>
          <cell r="I961"/>
          <cell r="J961"/>
          <cell r="K961"/>
          <cell r="L961"/>
          <cell r="N961"/>
          <cell r="O961"/>
        </row>
        <row r="962">
          <cell r="B962"/>
          <cell r="C962"/>
          <cell r="D962"/>
          <cell r="E962"/>
          <cell r="G962"/>
          <cell r="I962"/>
          <cell r="J962"/>
          <cell r="K962"/>
          <cell r="L962"/>
          <cell r="N962"/>
          <cell r="O962"/>
        </row>
        <row r="963">
          <cell r="B963"/>
          <cell r="C963"/>
          <cell r="D963"/>
          <cell r="E963"/>
          <cell r="G963"/>
          <cell r="I963"/>
          <cell r="J963"/>
          <cell r="K963"/>
          <cell r="L963"/>
          <cell r="N963"/>
          <cell r="O963"/>
        </row>
        <row r="964">
          <cell r="B964"/>
          <cell r="C964"/>
          <cell r="D964"/>
          <cell r="E964"/>
          <cell r="G964"/>
          <cell r="I964"/>
          <cell r="J964"/>
          <cell r="K964"/>
          <cell r="L964"/>
          <cell r="N964"/>
          <cell r="O964"/>
        </row>
        <row r="965">
          <cell r="B965"/>
          <cell r="C965"/>
          <cell r="D965"/>
          <cell r="E965"/>
          <cell r="G965"/>
          <cell r="I965"/>
          <cell r="J965"/>
          <cell r="K965"/>
          <cell r="L965"/>
          <cell r="N965"/>
          <cell r="O965"/>
        </row>
        <row r="966">
          <cell r="B966"/>
          <cell r="C966"/>
          <cell r="D966"/>
          <cell r="E966"/>
          <cell r="G966"/>
          <cell r="I966"/>
          <cell r="J966"/>
          <cell r="K966"/>
          <cell r="L966"/>
          <cell r="N966"/>
          <cell r="O966"/>
        </row>
        <row r="967">
          <cell r="B967"/>
          <cell r="C967"/>
          <cell r="D967"/>
          <cell r="E967"/>
          <cell r="G967"/>
          <cell r="I967"/>
          <cell r="J967"/>
          <cell r="K967"/>
          <cell r="L967"/>
          <cell r="N967"/>
          <cell r="O967"/>
        </row>
        <row r="968">
          <cell r="B968"/>
          <cell r="C968"/>
          <cell r="D968"/>
          <cell r="E968"/>
          <cell r="G968"/>
          <cell r="I968"/>
          <cell r="J968"/>
          <cell r="K968"/>
          <cell r="L968"/>
          <cell r="N968"/>
          <cell r="O968"/>
        </row>
        <row r="969">
          <cell r="B969"/>
          <cell r="C969"/>
          <cell r="D969"/>
          <cell r="E969"/>
          <cell r="G969"/>
          <cell r="I969"/>
          <cell r="J969"/>
          <cell r="K969"/>
          <cell r="L969"/>
          <cell r="N969"/>
          <cell r="O969"/>
        </row>
        <row r="970">
          <cell r="B970"/>
          <cell r="C970"/>
          <cell r="D970"/>
          <cell r="E970"/>
          <cell r="G970"/>
          <cell r="I970"/>
          <cell r="J970"/>
          <cell r="K970"/>
          <cell r="L970"/>
          <cell r="N970"/>
          <cell r="O970"/>
        </row>
        <row r="971">
          <cell r="B971"/>
          <cell r="C971"/>
          <cell r="D971"/>
          <cell r="E971"/>
          <cell r="G971"/>
          <cell r="I971"/>
          <cell r="J971"/>
          <cell r="K971"/>
          <cell r="L971"/>
          <cell r="N971"/>
          <cell r="O971"/>
        </row>
        <row r="972">
          <cell r="B972"/>
          <cell r="C972"/>
          <cell r="D972"/>
          <cell r="E972"/>
          <cell r="G972"/>
          <cell r="I972"/>
          <cell r="J972"/>
          <cell r="K972"/>
          <cell r="L972"/>
          <cell r="N972"/>
          <cell r="O972"/>
        </row>
        <row r="973">
          <cell r="B973"/>
          <cell r="C973"/>
          <cell r="D973"/>
          <cell r="E973"/>
          <cell r="G973"/>
          <cell r="I973"/>
          <cell r="J973"/>
          <cell r="K973"/>
          <cell r="L973"/>
          <cell r="N973"/>
          <cell r="O973"/>
        </row>
        <row r="974">
          <cell r="B974"/>
          <cell r="C974"/>
          <cell r="D974"/>
          <cell r="E974"/>
          <cell r="G974"/>
          <cell r="I974"/>
          <cell r="J974"/>
          <cell r="K974"/>
          <cell r="L974"/>
          <cell r="N974"/>
          <cell r="O974"/>
        </row>
        <row r="975">
          <cell r="B975"/>
          <cell r="C975"/>
          <cell r="D975"/>
          <cell r="E975"/>
          <cell r="G975"/>
          <cell r="I975"/>
          <cell r="J975"/>
          <cell r="K975"/>
          <cell r="L975"/>
          <cell r="N975"/>
          <cell r="O975"/>
        </row>
        <row r="976">
          <cell r="B976"/>
          <cell r="C976"/>
          <cell r="D976"/>
          <cell r="E976"/>
          <cell r="G976"/>
          <cell r="I976"/>
          <cell r="J976"/>
          <cell r="K976"/>
          <cell r="L976"/>
          <cell r="N976"/>
          <cell r="O976"/>
        </row>
        <row r="977">
          <cell r="B977"/>
          <cell r="C977"/>
          <cell r="D977"/>
          <cell r="E977"/>
          <cell r="G977"/>
          <cell r="I977"/>
          <cell r="J977"/>
          <cell r="K977"/>
          <cell r="L977"/>
          <cell r="N977"/>
          <cell r="O977"/>
        </row>
        <row r="978">
          <cell r="B978"/>
          <cell r="C978"/>
          <cell r="D978"/>
          <cell r="E978"/>
          <cell r="G978"/>
          <cell r="I978"/>
          <cell r="J978"/>
          <cell r="K978"/>
          <cell r="L978"/>
          <cell r="N978"/>
          <cell r="O978"/>
        </row>
        <row r="979">
          <cell r="B979"/>
          <cell r="C979"/>
          <cell r="D979"/>
          <cell r="E979"/>
          <cell r="G979"/>
          <cell r="I979"/>
          <cell r="J979"/>
          <cell r="K979"/>
          <cell r="L979"/>
          <cell r="N979"/>
          <cell r="O979"/>
        </row>
        <row r="980">
          <cell r="B980"/>
          <cell r="C980"/>
          <cell r="D980"/>
          <cell r="E980"/>
          <cell r="G980"/>
          <cell r="I980"/>
          <cell r="J980"/>
          <cell r="K980"/>
          <cell r="L980"/>
          <cell r="N980"/>
          <cell r="O980"/>
        </row>
        <row r="981">
          <cell r="B981"/>
          <cell r="C981"/>
          <cell r="D981"/>
          <cell r="E981"/>
          <cell r="G981"/>
          <cell r="I981"/>
          <cell r="J981"/>
          <cell r="K981"/>
          <cell r="L981"/>
          <cell r="N981"/>
          <cell r="O981"/>
        </row>
        <row r="982">
          <cell r="B982"/>
          <cell r="C982"/>
          <cell r="D982"/>
          <cell r="E982"/>
          <cell r="G982"/>
          <cell r="I982"/>
          <cell r="J982"/>
          <cell r="K982"/>
          <cell r="L982"/>
          <cell r="N982"/>
          <cell r="O982"/>
        </row>
        <row r="983">
          <cell r="B983"/>
          <cell r="C983"/>
          <cell r="D983"/>
          <cell r="E983"/>
          <cell r="G983"/>
          <cell r="I983"/>
          <cell r="J983"/>
          <cell r="K983"/>
          <cell r="L983"/>
          <cell r="N983"/>
          <cell r="O983"/>
        </row>
        <row r="984">
          <cell r="B984"/>
          <cell r="C984"/>
          <cell r="D984"/>
          <cell r="E984"/>
          <cell r="G984"/>
          <cell r="I984"/>
          <cell r="J984"/>
          <cell r="K984"/>
          <cell r="L984"/>
          <cell r="N984"/>
          <cell r="O984"/>
        </row>
        <row r="985">
          <cell r="B985"/>
          <cell r="C985"/>
          <cell r="D985"/>
          <cell r="E985"/>
          <cell r="G985"/>
          <cell r="I985"/>
          <cell r="J985"/>
          <cell r="K985"/>
          <cell r="L985"/>
          <cell r="N985"/>
          <cell r="O985"/>
        </row>
        <row r="986">
          <cell r="B986"/>
          <cell r="C986"/>
          <cell r="D986"/>
          <cell r="E986"/>
          <cell r="G986"/>
          <cell r="I986"/>
          <cell r="J986"/>
          <cell r="K986"/>
          <cell r="L986"/>
          <cell r="N986"/>
          <cell r="O986"/>
        </row>
        <row r="987">
          <cell r="B987"/>
          <cell r="C987"/>
          <cell r="D987"/>
          <cell r="E987"/>
          <cell r="G987"/>
          <cell r="I987"/>
          <cell r="J987"/>
          <cell r="K987"/>
          <cell r="L987"/>
          <cell r="N987"/>
          <cell r="O987"/>
        </row>
        <row r="988">
          <cell r="B988"/>
          <cell r="C988"/>
          <cell r="D988"/>
          <cell r="E988"/>
          <cell r="G988"/>
          <cell r="I988"/>
          <cell r="J988"/>
          <cell r="K988"/>
          <cell r="L988"/>
          <cell r="N988"/>
          <cell r="O988"/>
        </row>
        <row r="989">
          <cell r="B989"/>
          <cell r="C989"/>
          <cell r="D989"/>
          <cell r="E989"/>
          <cell r="G989"/>
          <cell r="I989"/>
          <cell r="J989"/>
          <cell r="K989"/>
          <cell r="L989"/>
          <cell r="N989"/>
          <cell r="O989"/>
        </row>
        <row r="990">
          <cell r="B990"/>
          <cell r="C990"/>
          <cell r="D990"/>
          <cell r="E990"/>
          <cell r="G990"/>
          <cell r="I990"/>
          <cell r="J990"/>
          <cell r="K990"/>
          <cell r="L990"/>
          <cell r="N990"/>
          <cell r="O990"/>
        </row>
        <row r="991">
          <cell r="B991"/>
          <cell r="C991"/>
          <cell r="D991"/>
          <cell r="E991"/>
          <cell r="G991"/>
          <cell r="I991"/>
          <cell r="J991"/>
          <cell r="K991"/>
          <cell r="L991"/>
          <cell r="N991"/>
          <cell r="O991"/>
        </row>
        <row r="992">
          <cell r="B992"/>
          <cell r="C992"/>
          <cell r="D992"/>
          <cell r="E992"/>
          <cell r="G992"/>
          <cell r="I992"/>
          <cell r="J992"/>
          <cell r="K992"/>
          <cell r="L992"/>
          <cell r="N992"/>
          <cell r="O992"/>
        </row>
        <row r="993">
          <cell r="B993"/>
          <cell r="C993"/>
          <cell r="D993"/>
          <cell r="E993"/>
          <cell r="G993"/>
          <cell r="I993"/>
          <cell r="J993"/>
          <cell r="K993"/>
          <cell r="L993"/>
          <cell r="N993"/>
          <cell r="O993"/>
        </row>
        <row r="994">
          <cell r="B994"/>
          <cell r="C994"/>
          <cell r="D994"/>
          <cell r="E994"/>
          <cell r="G994"/>
          <cell r="I994"/>
          <cell r="J994"/>
          <cell r="K994"/>
          <cell r="L994"/>
          <cell r="N994"/>
          <cell r="O994"/>
        </row>
        <row r="995">
          <cell r="B995"/>
          <cell r="C995"/>
          <cell r="D995"/>
          <cell r="E995"/>
          <cell r="G995"/>
          <cell r="I995"/>
          <cell r="J995"/>
          <cell r="K995"/>
          <cell r="L995"/>
          <cell r="N995"/>
          <cell r="O995"/>
        </row>
        <row r="996">
          <cell r="B996"/>
          <cell r="C996"/>
          <cell r="D996"/>
          <cell r="E996"/>
          <cell r="G996"/>
          <cell r="I996"/>
          <cell r="J996"/>
          <cell r="K996"/>
          <cell r="L996"/>
          <cell r="N996"/>
          <cell r="O996"/>
        </row>
        <row r="997">
          <cell r="B997"/>
          <cell r="C997"/>
          <cell r="D997"/>
          <cell r="E997"/>
          <cell r="G997"/>
          <cell r="I997"/>
          <cell r="J997"/>
          <cell r="K997"/>
          <cell r="L997"/>
          <cell r="N997"/>
          <cell r="O997"/>
        </row>
        <row r="998">
          <cell r="B998"/>
          <cell r="C998"/>
          <cell r="D998"/>
          <cell r="E998"/>
          <cell r="G998"/>
          <cell r="I998"/>
          <cell r="J998"/>
          <cell r="K998"/>
          <cell r="L998"/>
          <cell r="N998"/>
          <cell r="O998"/>
        </row>
        <row r="999">
          <cell r="B999"/>
          <cell r="C999"/>
          <cell r="D999"/>
          <cell r="E999"/>
          <cell r="G999"/>
          <cell r="I999"/>
          <cell r="J999"/>
          <cell r="K999"/>
          <cell r="L999"/>
          <cell r="N999"/>
          <cell r="O999"/>
        </row>
        <row r="1000">
          <cell r="B1000"/>
          <cell r="C1000"/>
          <cell r="D1000"/>
          <cell r="E1000"/>
          <cell r="G1000"/>
          <cell r="I1000"/>
          <cell r="J1000"/>
          <cell r="K1000"/>
          <cell r="L1000"/>
          <cell r="N1000"/>
          <cell r="O1000"/>
        </row>
        <row r="1001">
          <cell r="B1001"/>
          <cell r="C1001"/>
          <cell r="D1001"/>
          <cell r="E1001"/>
          <cell r="G1001"/>
          <cell r="I1001"/>
          <cell r="J1001"/>
          <cell r="K1001"/>
          <cell r="L1001"/>
          <cell r="N1001"/>
          <cell r="O1001"/>
        </row>
        <row r="1002">
          <cell r="B1002"/>
          <cell r="C1002"/>
          <cell r="D1002"/>
          <cell r="E1002"/>
          <cell r="G1002"/>
          <cell r="I1002"/>
          <cell r="J1002"/>
          <cell r="K1002"/>
          <cell r="L1002"/>
          <cell r="N1002"/>
          <cell r="O1002"/>
        </row>
        <row r="1003">
          <cell r="B1003"/>
          <cell r="C1003"/>
          <cell r="D1003"/>
          <cell r="E1003"/>
          <cell r="G1003"/>
          <cell r="I1003"/>
          <cell r="J1003"/>
          <cell r="K1003"/>
          <cell r="L1003"/>
          <cell r="N1003"/>
          <cell r="O1003"/>
        </row>
        <row r="1004">
          <cell r="B1004"/>
          <cell r="C1004"/>
          <cell r="D1004"/>
          <cell r="E1004"/>
          <cell r="G1004"/>
          <cell r="I1004"/>
          <cell r="J1004"/>
          <cell r="K1004"/>
          <cell r="L1004"/>
          <cell r="N1004"/>
          <cell r="O1004"/>
        </row>
        <row r="1005">
          <cell r="B1005"/>
          <cell r="C1005"/>
          <cell r="D1005"/>
          <cell r="E1005"/>
          <cell r="G1005"/>
          <cell r="I1005"/>
          <cell r="J1005"/>
          <cell r="K1005"/>
          <cell r="L1005"/>
          <cell r="N1005"/>
          <cell r="O1005"/>
        </row>
        <row r="1006">
          <cell r="B1006"/>
          <cell r="C1006"/>
          <cell r="D1006"/>
          <cell r="E1006"/>
          <cell r="G1006"/>
          <cell r="I1006"/>
          <cell r="J1006"/>
          <cell r="K1006"/>
          <cell r="L1006"/>
          <cell r="N1006"/>
          <cell r="O1006"/>
        </row>
        <row r="1007">
          <cell r="B1007"/>
          <cell r="C1007"/>
          <cell r="D1007"/>
          <cell r="E1007"/>
          <cell r="G1007"/>
          <cell r="I1007"/>
          <cell r="J1007"/>
          <cell r="K1007"/>
          <cell r="L1007"/>
          <cell r="N1007"/>
          <cell r="O1007"/>
        </row>
        <row r="1008">
          <cell r="B1008"/>
          <cell r="C1008"/>
          <cell r="D1008"/>
          <cell r="E1008"/>
          <cell r="G1008"/>
          <cell r="I1008"/>
          <cell r="J1008"/>
          <cell r="K1008"/>
          <cell r="L1008"/>
          <cell r="N1008"/>
          <cell r="O1008"/>
        </row>
        <row r="1009">
          <cell r="B1009"/>
          <cell r="C1009"/>
          <cell r="D1009"/>
          <cell r="E1009"/>
          <cell r="G1009"/>
          <cell r="I1009"/>
          <cell r="J1009"/>
          <cell r="K1009"/>
          <cell r="L1009"/>
          <cell r="N1009"/>
          <cell r="O1009"/>
        </row>
        <row r="1010">
          <cell r="B1010"/>
          <cell r="C1010"/>
          <cell r="D1010"/>
          <cell r="E1010"/>
          <cell r="G1010"/>
          <cell r="I1010"/>
          <cell r="J1010"/>
          <cell r="K1010"/>
          <cell r="L1010"/>
          <cell r="N1010"/>
          <cell r="O1010"/>
        </row>
        <row r="1011">
          <cell r="B1011"/>
          <cell r="C1011"/>
          <cell r="D1011"/>
          <cell r="E1011"/>
          <cell r="G1011"/>
          <cell r="I1011"/>
          <cell r="J1011"/>
          <cell r="K1011"/>
          <cell r="L1011"/>
          <cell r="N1011"/>
          <cell r="O1011"/>
        </row>
        <row r="1012">
          <cell r="B1012"/>
          <cell r="C1012"/>
          <cell r="D1012"/>
          <cell r="E1012"/>
          <cell r="G1012"/>
          <cell r="I1012"/>
          <cell r="J1012"/>
          <cell r="K1012"/>
          <cell r="L1012"/>
          <cell r="N1012"/>
          <cell r="O1012"/>
        </row>
        <row r="1013">
          <cell r="B1013"/>
          <cell r="C1013"/>
          <cell r="D1013"/>
          <cell r="E1013"/>
          <cell r="G1013"/>
          <cell r="I1013"/>
          <cell r="J1013"/>
          <cell r="K1013"/>
          <cell r="L1013"/>
          <cell r="N1013"/>
          <cell r="O1013"/>
        </row>
        <row r="1014">
          <cell r="B1014"/>
          <cell r="C1014"/>
          <cell r="D1014"/>
          <cell r="E1014"/>
          <cell r="G1014"/>
          <cell r="I1014"/>
          <cell r="J1014"/>
          <cell r="K1014"/>
          <cell r="L1014"/>
          <cell r="N1014"/>
          <cell r="O1014"/>
        </row>
        <row r="1015">
          <cell r="B1015"/>
          <cell r="C1015"/>
          <cell r="D1015"/>
          <cell r="E1015"/>
          <cell r="G1015"/>
          <cell r="I1015"/>
          <cell r="J1015"/>
          <cell r="K1015"/>
          <cell r="L1015"/>
          <cell r="N1015"/>
          <cell r="O1015"/>
        </row>
        <row r="1016">
          <cell r="B1016"/>
          <cell r="C1016"/>
          <cell r="D1016"/>
          <cell r="E1016"/>
          <cell r="G1016"/>
          <cell r="I1016"/>
          <cell r="J1016"/>
          <cell r="K1016"/>
          <cell r="L1016"/>
          <cell r="N1016"/>
          <cell r="O1016"/>
        </row>
        <row r="1017">
          <cell r="B1017"/>
          <cell r="C1017"/>
          <cell r="D1017"/>
          <cell r="E1017"/>
          <cell r="G1017"/>
          <cell r="I1017"/>
          <cell r="J1017"/>
          <cell r="K1017"/>
          <cell r="L1017"/>
          <cell r="N1017"/>
          <cell r="O1017"/>
        </row>
        <row r="1018">
          <cell r="B1018"/>
          <cell r="C1018"/>
          <cell r="D1018"/>
          <cell r="E1018"/>
          <cell r="G1018"/>
          <cell r="I1018"/>
          <cell r="J1018"/>
          <cell r="K1018"/>
          <cell r="L1018"/>
          <cell r="N1018"/>
          <cell r="O1018"/>
        </row>
        <row r="1019">
          <cell r="B1019"/>
          <cell r="C1019"/>
          <cell r="D1019"/>
          <cell r="E1019"/>
          <cell r="G1019"/>
          <cell r="I1019"/>
          <cell r="J1019"/>
          <cell r="K1019"/>
          <cell r="L1019"/>
          <cell r="N1019"/>
          <cell r="O1019"/>
        </row>
        <row r="1020">
          <cell r="B1020"/>
          <cell r="C1020"/>
          <cell r="D1020"/>
          <cell r="E1020"/>
          <cell r="G1020"/>
          <cell r="I1020"/>
          <cell r="J1020"/>
          <cell r="K1020"/>
          <cell r="L1020"/>
          <cell r="N1020"/>
          <cell r="O1020"/>
        </row>
        <row r="1021">
          <cell r="B1021"/>
          <cell r="C1021"/>
          <cell r="D1021"/>
          <cell r="E1021"/>
          <cell r="G1021"/>
          <cell r="I1021"/>
          <cell r="J1021"/>
          <cell r="K1021"/>
          <cell r="L1021"/>
          <cell r="N1021"/>
          <cell r="O1021"/>
        </row>
        <row r="1022">
          <cell r="B1022"/>
          <cell r="C1022"/>
          <cell r="D1022"/>
          <cell r="E1022"/>
          <cell r="G1022"/>
          <cell r="I1022"/>
          <cell r="J1022"/>
          <cell r="K1022"/>
          <cell r="L1022"/>
          <cell r="N1022"/>
          <cell r="O1022"/>
        </row>
        <row r="1023">
          <cell r="B1023"/>
          <cell r="C1023"/>
          <cell r="D1023"/>
          <cell r="E1023"/>
          <cell r="G1023"/>
          <cell r="I1023"/>
          <cell r="J1023"/>
          <cell r="K1023"/>
          <cell r="L1023"/>
          <cell r="N1023"/>
          <cell r="O1023"/>
        </row>
        <row r="1024">
          <cell r="B1024"/>
          <cell r="C1024"/>
          <cell r="D1024"/>
          <cell r="E1024"/>
          <cell r="G1024"/>
          <cell r="I1024"/>
          <cell r="J1024"/>
          <cell r="K1024"/>
          <cell r="L1024"/>
          <cell r="N1024"/>
          <cell r="O1024"/>
        </row>
        <row r="1025">
          <cell r="B1025"/>
          <cell r="C1025"/>
          <cell r="D1025"/>
          <cell r="E1025"/>
          <cell r="G1025"/>
          <cell r="I1025"/>
          <cell r="J1025"/>
          <cell r="K1025"/>
          <cell r="L1025"/>
          <cell r="N1025"/>
          <cell r="O1025"/>
        </row>
        <row r="1026">
          <cell r="B1026"/>
          <cell r="C1026"/>
          <cell r="D1026"/>
          <cell r="E1026"/>
          <cell r="G1026"/>
          <cell r="I1026"/>
          <cell r="J1026"/>
          <cell r="K1026"/>
          <cell r="L1026"/>
          <cell r="N1026"/>
          <cell r="O1026"/>
        </row>
        <row r="1027">
          <cell r="B1027"/>
          <cell r="C1027"/>
          <cell r="D1027"/>
          <cell r="E1027"/>
          <cell r="G1027"/>
          <cell r="I1027"/>
          <cell r="J1027"/>
          <cell r="K1027"/>
          <cell r="L1027"/>
          <cell r="N1027"/>
          <cell r="O1027"/>
        </row>
        <row r="1028">
          <cell r="B1028"/>
          <cell r="C1028"/>
          <cell r="D1028"/>
          <cell r="E1028"/>
          <cell r="G1028"/>
          <cell r="I1028"/>
          <cell r="J1028"/>
          <cell r="K1028"/>
          <cell r="L1028"/>
          <cell r="N1028"/>
          <cell r="O1028"/>
        </row>
        <row r="1029">
          <cell r="B1029"/>
          <cell r="C1029"/>
          <cell r="D1029"/>
          <cell r="E1029"/>
          <cell r="G1029"/>
          <cell r="I1029"/>
          <cell r="J1029"/>
          <cell r="K1029"/>
          <cell r="L1029"/>
          <cell r="N1029"/>
          <cell r="O1029"/>
        </row>
        <row r="1030">
          <cell r="B1030"/>
          <cell r="C1030"/>
          <cell r="D1030"/>
          <cell r="E1030"/>
          <cell r="G1030"/>
          <cell r="I1030"/>
          <cell r="J1030"/>
          <cell r="K1030"/>
          <cell r="L1030"/>
          <cell r="N1030"/>
          <cell r="O1030"/>
        </row>
        <row r="1031">
          <cell r="B1031"/>
          <cell r="C1031"/>
          <cell r="D1031"/>
          <cell r="E1031"/>
          <cell r="G1031"/>
          <cell r="I1031"/>
          <cell r="J1031"/>
          <cell r="K1031"/>
          <cell r="L1031"/>
          <cell r="N1031"/>
          <cell r="O1031"/>
        </row>
        <row r="1032">
          <cell r="B1032"/>
          <cell r="C1032"/>
          <cell r="D1032"/>
          <cell r="E1032"/>
          <cell r="G1032"/>
          <cell r="I1032"/>
          <cell r="J1032"/>
          <cell r="K1032"/>
          <cell r="L1032"/>
          <cell r="N1032"/>
          <cell r="O1032"/>
        </row>
        <row r="1033">
          <cell r="B1033"/>
          <cell r="C1033"/>
          <cell r="D1033"/>
          <cell r="E1033"/>
          <cell r="G1033"/>
          <cell r="I1033"/>
          <cell r="J1033"/>
          <cell r="K1033"/>
          <cell r="L1033"/>
          <cell r="N1033"/>
          <cell r="O1033"/>
        </row>
        <row r="1034">
          <cell r="B1034"/>
          <cell r="C1034"/>
          <cell r="D1034"/>
          <cell r="E1034"/>
          <cell r="G1034"/>
          <cell r="I1034"/>
          <cell r="J1034"/>
          <cell r="K1034"/>
          <cell r="L1034"/>
          <cell r="N1034"/>
          <cell r="O1034"/>
        </row>
        <row r="1035">
          <cell r="B1035"/>
          <cell r="C1035"/>
          <cell r="D1035"/>
          <cell r="E1035"/>
          <cell r="G1035"/>
          <cell r="I1035"/>
          <cell r="J1035"/>
          <cell r="K1035"/>
          <cell r="L1035"/>
          <cell r="N1035"/>
          <cell r="O1035"/>
        </row>
        <row r="1036">
          <cell r="B1036"/>
          <cell r="C1036"/>
          <cell r="D1036"/>
          <cell r="E1036"/>
          <cell r="G1036"/>
          <cell r="I1036"/>
          <cell r="J1036"/>
          <cell r="K1036"/>
          <cell r="L1036"/>
          <cell r="N1036"/>
          <cell r="O1036"/>
        </row>
        <row r="1037">
          <cell r="B1037"/>
          <cell r="C1037"/>
          <cell r="D1037"/>
          <cell r="E1037"/>
          <cell r="G1037"/>
          <cell r="I1037"/>
          <cell r="J1037"/>
          <cell r="K1037"/>
          <cell r="L1037"/>
          <cell r="N1037"/>
          <cell r="O1037"/>
        </row>
        <row r="1038">
          <cell r="B1038"/>
          <cell r="C1038"/>
          <cell r="D1038"/>
          <cell r="E1038"/>
          <cell r="G1038"/>
          <cell r="I1038"/>
          <cell r="J1038"/>
          <cell r="K1038"/>
          <cell r="L1038"/>
          <cell r="N1038"/>
          <cell r="O1038"/>
        </row>
        <row r="1039">
          <cell r="B1039"/>
          <cell r="C1039"/>
          <cell r="D1039"/>
          <cell r="E1039"/>
          <cell r="G1039"/>
          <cell r="I1039"/>
          <cell r="J1039"/>
          <cell r="K1039"/>
          <cell r="L1039"/>
          <cell r="N1039"/>
          <cell r="O1039"/>
        </row>
        <row r="1040">
          <cell r="B1040"/>
          <cell r="C1040"/>
          <cell r="D1040"/>
          <cell r="E1040"/>
          <cell r="G1040"/>
          <cell r="I1040"/>
          <cell r="J1040"/>
          <cell r="K1040"/>
          <cell r="L1040"/>
          <cell r="N1040"/>
          <cell r="O1040"/>
        </row>
        <row r="1041">
          <cell r="B1041"/>
          <cell r="C1041"/>
          <cell r="D1041"/>
          <cell r="E1041"/>
          <cell r="G1041"/>
          <cell r="I1041"/>
          <cell r="J1041"/>
          <cell r="K1041"/>
          <cell r="L1041"/>
          <cell r="N1041"/>
          <cell r="O1041"/>
        </row>
        <row r="1042">
          <cell r="B1042"/>
          <cell r="C1042"/>
          <cell r="D1042"/>
          <cell r="E1042"/>
          <cell r="G1042"/>
          <cell r="I1042"/>
          <cell r="J1042"/>
          <cell r="K1042"/>
          <cell r="L1042"/>
          <cell r="N1042"/>
          <cell r="O1042"/>
        </row>
        <row r="1043">
          <cell r="B1043"/>
          <cell r="C1043"/>
          <cell r="D1043"/>
          <cell r="E1043"/>
          <cell r="G1043"/>
          <cell r="I1043"/>
          <cell r="J1043"/>
          <cell r="K1043"/>
          <cell r="L1043"/>
          <cell r="N1043"/>
          <cell r="O1043"/>
        </row>
        <row r="1044">
          <cell r="B1044"/>
          <cell r="C1044"/>
          <cell r="D1044"/>
          <cell r="E1044"/>
          <cell r="G1044"/>
          <cell r="I1044"/>
          <cell r="J1044"/>
          <cell r="K1044"/>
          <cell r="L1044"/>
          <cell r="N1044"/>
          <cell r="O1044"/>
        </row>
        <row r="1045">
          <cell r="B1045"/>
          <cell r="C1045"/>
          <cell r="D1045"/>
          <cell r="E1045"/>
          <cell r="G1045"/>
          <cell r="I1045"/>
          <cell r="J1045"/>
          <cell r="K1045"/>
          <cell r="L1045"/>
          <cell r="N1045"/>
          <cell r="O1045"/>
        </row>
        <row r="1046">
          <cell r="B1046"/>
          <cell r="C1046"/>
          <cell r="D1046"/>
          <cell r="E1046"/>
          <cell r="G1046"/>
          <cell r="I1046"/>
          <cell r="J1046"/>
          <cell r="K1046"/>
          <cell r="L1046"/>
          <cell r="N1046"/>
          <cell r="O1046"/>
        </row>
        <row r="1047">
          <cell r="B1047"/>
          <cell r="C1047"/>
          <cell r="D1047"/>
          <cell r="E1047"/>
          <cell r="G1047"/>
          <cell r="I1047"/>
          <cell r="J1047"/>
          <cell r="K1047"/>
          <cell r="L1047"/>
          <cell r="N1047"/>
          <cell r="O1047"/>
        </row>
        <row r="1048">
          <cell r="B1048"/>
          <cell r="C1048"/>
          <cell r="D1048"/>
          <cell r="E1048"/>
          <cell r="G1048"/>
          <cell r="I1048"/>
          <cell r="J1048"/>
          <cell r="K1048"/>
          <cell r="L1048"/>
          <cell r="N1048"/>
          <cell r="O1048"/>
        </row>
        <row r="1049">
          <cell r="B1049"/>
          <cell r="C1049"/>
          <cell r="D1049"/>
          <cell r="E1049"/>
          <cell r="G1049"/>
          <cell r="I1049"/>
          <cell r="J1049"/>
          <cell r="K1049"/>
          <cell r="L1049"/>
          <cell r="N1049"/>
          <cell r="O1049"/>
        </row>
        <row r="1050">
          <cell r="B1050"/>
          <cell r="C1050"/>
          <cell r="D1050"/>
          <cell r="E1050"/>
          <cell r="G1050"/>
          <cell r="I1050"/>
          <cell r="J1050"/>
          <cell r="K1050"/>
          <cell r="L1050"/>
          <cell r="N1050"/>
          <cell r="O1050"/>
        </row>
        <row r="1051">
          <cell r="B1051"/>
          <cell r="C1051"/>
          <cell r="D1051"/>
          <cell r="E1051"/>
          <cell r="G1051"/>
          <cell r="I1051"/>
          <cell r="J1051"/>
          <cell r="K1051"/>
          <cell r="L1051"/>
          <cell r="N1051"/>
          <cell r="O1051"/>
        </row>
        <row r="1052">
          <cell r="B1052"/>
          <cell r="C1052"/>
          <cell r="D1052"/>
          <cell r="E1052"/>
          <cell r="G1052"/>
          <cell r="I1052"/>
          <cell r="J1052"/>
          <cell r="K1052"/>
          <cell r="L1052"/>
          <cell r="N1052"/>
          <cell r="O1052"/>
        </row>
        <row r="1053">
          <cell r="B1053"/>
          <cell r="C1053"/>
          <cell r="D1053"/>
          <cell r="E1053"/>
          <cell r="G1053"/>
          <cell r="I1053"/>
          <cell r="J1053"/>
          <cell r="K1053"/>
          <cell r="L1053"/>
          <cell r="N1053"/>
          <cell r="O1053"/>
        </row>
        <row r="1054">
          <cell r="B1054"/>
          <cell r="C1054"/>
          <cell r="D1054"/>
          <cell r="E1054"/>
          <cell r="G1054"/>
          <cell r="I1054"/>
          <cell r="J1054"/>
          <cell r="K1054"/>
          <cell r="L1054"/>
          <cell r="N1054"/>
          <cell r="O1054"/>
        </row>
        <row r="1055">
          <cell r="B1055"/>
          <cell r="C1055"/>
          <cell r="D1055"/>
          <cell r="E1055"/>
          <cell r="G1055"/>
          <cell r="I1055"/>
          <cell r="J1055"/>
          <cell r="K1055"/>
          <cell r="L1055"/>
          <cell r="N1055"/>
          <cell r="O1055"/>
        </row>
        <row r="1056">
          <cell r="B1056"/>
          <cell r="C1056"/>
          <cell r="D1056"/>
          <cell r="E1056"/>
          <cell r="G1056"/>
          <cell r="I1056"/>
          <cell r="J1056"/>
          <cell r="K1056"/>
          <cell r="L1056"/>
          <cell r="N1056"/>
          <cell r="O1056"/>
        </row>
        <row r="1057">
          <cell r="B1057"/>
          <cell r="C1057"/>
          <cell r="D1057"/>
          <cell r="E1057"/>
          <cell r="G1057"/>
          <cell r="I1057"/>
          <cell r="J1057"/>
          <cell r="K1057"/>
          <cell r="L1057"/>
          <cell r="N1057"/>
          <cell r="O1057"/>
        </row>
        <row r="1058">
          <cell r="B1058"/>
          <cell r="C1058"/>
          <cell r="D1058"/>
          <cell r="E1058"/>
          <cell r="G1058"/>
          <cell r="I1058"/>
          <cell r="J1058"/>
          <cell r="K1058"/>
          <cell r="L1058"/>
          <cell r="N1058"/>
          <cell r="O1058"/>
        </row>
        <row r="1059">
          <cell r="B1059"/>
          <cell r="C1059"/>
          <cell r="D1059"/>
          <cell r="E1059"/>
          <cell r="G1059"/>
          <cell r="I1059"/>
          <cell r="J1059"/>
          <cell r="K1059"/>
          <cell r="L1059"/>
          <cell r="N1059"/>
          <cell r="O1059"/>
        </row>
        <row r="1060">
          <cell r="B1060"/>
          <cell r="C1060"/>
          <cell r="D1060"/>
          <cell r="E1060"/>
          <cell r="G1060"/>
          <cell r="I1060"/>
          <cell r="J1060"/>
          <cell r="K1060"/>
          <cell r="L1060"/>
          <cell r="N1060"/>
          <cell r="O1060"/>
        </row>
        <row r="1061">
          <cell r="B1061"/>
          <cell r="C1061"/>
          <cell r="D1061"/>
          <cell r="E1061"/>
          <cell r="G1061"/>
          <cell r="I1061"/>
          <cell r="J1061"/>
          <cell r="K1061"/>
          <cell r="L1061"/>
          <cell r="N1061"/>
          <cell r="O1061"/>
        </row>
        <row r="1062">
          <cell r="B1062"/>
          <cell r="C1062"/>
          <cell r="D1062"/>
          <cell r="E1062"/>
          <cell r="G1062"/>
          <cell r="I1062"/>
          <cell r="J1062"/>
          <cell r="K1062"/>
          <cell r="L1062"/>
          <cell r="N1062"/>
          <cell r="O1062"/>
        </row>
        <row r="1063">
          <cell r="B1063"/>
          <cell r="C1063"/>
          <cell r="D1063"/>
          <cell r="E1063"/>
          <cell r="G1063"/>
          <cell r="I1063"/>
          <cell r="J1063"/>
          <cell r="K1063"/>
          <cell r="L1063"/>
          <cell r="N1063"/>
          <cell r="O1063"/>
        </row>
        <row r="1064">
          <cell r="B1064"/>
          <cell r="C1064"/>
          <cell r="D1064"/>
          <cell r="E1064"/>
          <cell r="G1064"/>
          <cell r="I1064"/>
          <cell r="J1064"/>
          <cell r="K1064"/>
          <cell r="L1064"/>
          <cell r="N1064"/>
          <cell r="O1064"/>
        </row>
        <row r="1065">
          <cell r="B1065"/>
          <cell r="C1065"/>
          <cell r="D1065"/>
          <cell r="E1065"/>
          <cell r="G1065"/>
          <cell r="I1065"/>
          <cell r="J1065"/>
          <cell r="K1065"/>
          <cell r="L1065"/>
          <cell r="N1065"/>
          <cell r="O1065"/>
        </row>
        <row r="1066">
          <cell r="B1066"/>
          <cell r="C1066"/>
          <cell r="D1066"/>
          <cell r="E1066"/>
          <cell r="G1066"/>
          <cell r="I1066"/>
          <cell r="J1066"/>
          <cell r="K1066"/>
          <cell r="L1066"/>
          <cell r="N1066"/>
          <cell r="O1066"/>
        </row>
        <row r="1067">
          <cell r="B1067"/>
          <cell r="C1067"/>
          <cell r="D1067"/>
          <cell r="E1067"/>
          <cell r="G1067"/>
          <cell r="I1067"/>
          <cell r="J1067"/>
          <cell r="K1067"/>
          <cell r="L1067"/>
          <cell r="N1067"/>
          <cell r="O1067"/>
        </row>
        <row r="1068">
          <cell r="B1068"/>
          <cell r="C1068"/>
          <cell r="D1068"/>
          <cell r="E1068"/>
          <cell r="G1068"/>
          <cell r="I1068"/>
          <cell r="J1068"/>
          <cell r="K1068"/>
          <cell r="L1068"/>
          <cell r="N1068"/>
          <cell r="O1068"/>
        </row>
        <row r="1069">
          <cell r="B1069"/>
          <cell r="C1069"/>
          <cell r="D1069"/>
          <cell r="E1069"/>
          <cell r="G1069"/>
          <cell r="I1069"/>
          <cell r="J1069"/>
          <cell r="K1069"/>
          <cell r="L1069"/>
          <cell r="N1069"/>
          <cell r="O1069"/>
        </row>
        <row r="1070">
          <cell r="B1070"/>
          <cell r="C1070"/>
          <cell r="D1070"/>
          <cell r="E1070"/>
          <cell r="G1070"/>
          <cell r="I1070"/>
          <cell r="J1070"/>
          <cell r="K1070"/>
          <cell r="L1070"/>
          <cell r="N1070"/>
          <cell r="O1070"/>
        </row>
        <row r="1071">
          <cell r="B1071"/>
          <cell r="C1071"/>
          <cell r="D1071"/>
          <cell r="E1071"/>
          <cell r="G1071"/>
          <cell r="I1071"/>
          <cell r="J1071"/>
          <cell r="K1071"/>
          <cell r="L1071"/>
          <cell r="N1071"/>
          <cell r="O1071"/>
        </row>
        <row r="1072">
          <cell r="B1072"/>
          <cell r="C1072"/>
          <cell r="D1072"/>
          <cell r="E1072"/>
          <cell r="G1072"/>
          <cell r="I1072"/>
          <cell r="J1072"/>
          <cell r="K1072"/>
          <cell r="L1072"/>
          <cell r="N1072"/>
          <cell r="O1072"/>
        </row>
        <row r="1073">
          <cell r="B1073"/>
          <cell r="C1073"/>
          <cell r="D1073"/>
          <cell r="E1073"/>
          <cell r="G1073"/>
          <cell r="I1073"/>
          <cell r="J1073"/>
          <cell r="K1073"/>
          <cell r="L1073"/>
          <cell r="N1073"/>
          <cell r="O1073"/>
        </row>
        <row r="1074">
          <cell r="B1074"/>
          <cell r="C1074"/>
          <cell r="D1074"/>
          <cell r="E1074"/>
          <cell r="G1074"/>
          <cell r="I1074"/>
          <cell r="J1074"/>
          <cell r="K1074"/>
          <cell r="L1074"/>
          <cell r="N1074"/>
          <cell r="O1074"/>
        </row>
        <row r="1075">
          <cell r="B1075"/>
          <cell r="C1075"/>
          <cell r="D1075"/>
          <cell r="E1075"/>
          <cell r="G1075"/>
          <cell r="I1075"/>
          <cell r="J1075"/>
          <cell r="K1075"/>
          <cell r="L1075"/>
          <cell r="N1075"/>
          <cell r="O1075"/>
        </row>
        <row r="1076">
          <cell r="B1076"/>
          <cell r="C1076"/>
          <cell r="D1076"/>
          <cell r="E1076"/>
          <cell r="G1076"/>
          <cell r="I1076"/>
          <cell r="J1076"/>
          <cell r="K1076"/>
          <cell r="L1076"/>
          <cell r="N1076"/>
          <cell r="O1076"/>
        </row>
        <row r="1077">
          <cell r="B1077"/>
          <cell r="C1077"/>
          <cell r="D1077"/>
          <cell r="E1077"/>
          <cell r="G1077"/>
          <cell r="I1077"/>
          <cell r="J1077"/>
          <cell r="K1077"/>
          <cell r="L1077"/>
          <cell r="N1077"/>
          <cell r="O1077"/>
        </row>
        <row r="1078">
          <cell r="B1078"/>
          <cell r="C1078"/>
          <cell r="D1078"/>
          <cell r="E1078"/>
          <cell r="G1078"/>
          <cell r="I1078"/>
          <cell r="J1078"/>
          <cell r="K1078"/>
          <cell r="L1078"/>
          <cell r="N1078"/>
          <cell r="O1078"/>
        </row>
        <row r="1079">
          <cell r="B1079"/>
          <cell r="C1079"/>
          <cell r="D1079"/>
          <cell r="E1079"/>
          <cell r="G1079"/>
          <cell r="I1079"/>
          <cell r="J1079"/>
          <cell r="K1079"/>
          <cell r="L1079"/>
          <cell r="N1079"/>
          <cell r="O1079"/>
        </row>
        <row r="1080">
          <cell r="B1080"/>
          <cell r="C1080"/>
          <cell r="D1080"/>
          <cell r="E1080"/>
          <cell r="G1080"/>
          <cell r="I1080"/>
          <cell r="J1080"/>
          <cell r="K1080"/>
          <cell r="L1080"/>
          <cell r="N1080"/>
          <cell r="O1080"/>
        </row>
        <row r="1081">
          <cell r="B1081"/>
          <cell r="C1081"/>
          <cell r="D1081"/>
          <cell r="E1081"/>
          <cell r="G1081"/>
          <cell r="I1081"/>
          <cell r="J1081"/>
          <cell r="K1081"/>
          <cell r="L1081"/>
          <cell r="N1081"/>
          <cell r="O1081"/>
        </row>
        <row r="1082">
          <cell r="B1082"/>
          <cell r="C1082"/>
          <cell r="D1082"/>
          <cell r="E1082"/>
          <cell r="G1082"/>
          <cell r="I1082"/>
          <cell r="J1082"/>
          <cell r="K1082"/>
          <cell r="L1082"/>
          <cell r="N1082"/>
          <cell r="O1082"/>
        </row>
        <row r="1083">
          <cell r="B1083"/>
          <cell r="C1083"/>
          <cell r="D1083"/>
          <cell r="E1083"/>
          <cell r="G1083"/>
          <cell r="I1083"/>
          <cell r="J1083"/>
          <cell r="K1083"/>
          <cell r="L1083"/>
          <cell r="N1083"/>
          <cell r="O1083"/>
        </row>
        <row r="1084">
          <cell r="B1084"/>
          <cell r="C1084"/>
          <cell r="D1084"/>
          <cell r="E1084"/>
          <cell r="G1084"/>
          <cell r="I1084"/>
          <cell r="J1084"/>
          <cell r="K1084"/>
          <cell r="L1084"/>
          <cell r="N1084"/>
          <cell r="O1084"/>
        </row>
        <row r="1085">
          <cell r="B1085"/>
          <cell r="C1085"/>
          <cell r="D1085"/>
          <cell r="E1085"/>
          <cell r="G1085"/>
          <cell r="I1085"/>
          <cell r="J1085"/>
          <cell r="K1085"/>
          <cell r="L1085"/>
          <cell r="N1085"/>
          <cell r="O1085"/>
        </row>
        <row r="1086">
          <cell r="B1086"/>
          <cell r="C1086"/>
          <cell r="D1086"/>
          <cell r="E1086"/>
          <cell r="G1086"/>
          <cell r="I1086"/>
          <cell r="J1086"/>
          <cell r="K1086"/>
          <cell r="L1086"/>
          <cell r="N1086"/>
          <cell r="O1086"/>
        </row>
        <row r="1087">
          <cell r="B1087"/>
          <cell r="C1087"/>
          <cell r="D1087"/>
          <cell r="E1087"/>
          <cell r="G1087"/>
          <cell r="I1087"/>
          <cell r="J1087"/>
          <cell r="K1087"/>
          <cell r="L1087"/>
          <cell r="N1087"/>
          <cell r="O1087"/>
        </row>
        <row r="1088">
          <cell r="B1088"/>
          <cell r="C1088"/>
          <cell r="D1088"/>
          <cell r="E1088"/>
          <cell r="G1088"/>
          <cell r="I1088"/>
          <cell r="J1088"/>
          <cell r="K1088"/>
          <cell r="L1088"/>
          <cell r="N1088"/>
          <cell r="O1088"/>
        </row>
        <row r="1089">
          <cell r="B1089"/>
          <cell r="C1089"/>
          <cell r="D1089"/>
          <cell r="E1089"/>
          <cell r="G1089"/>
          <cell r="I1089"/>
          <cell r="J1089"/>
          <cell r="K1089"/>
          <cell r="L1089"/>
          <cell r="N1089"/>
          <cell r="O1089"/>
        </row>
        <row r="1090">
          <cell r="B1090"/>
          <cell r="C1090"/>
          <cell r="D1090"/>
          <cell r="E1090"/>
          <cell r="G1090"/>
          <cell r="I1090"/>
          <cell r="J1090"/>
          <cell r="K1090"/>
          <cell r="L1090"/>
          <cell r="N1090"/>
          <cell r="O1090"/>
        </row>
        <row r="1091">
          <cell r="B1091"/>
          <cell r="C1091"/>
          <cell r="D1091"/>
          <cell r="E1091"/>
          <cell r="G1091"/>
          <cell r="I1091"/>
          <cell r="J1091"/>
          <cell r="K1091"/>
          <cell r="L1091"/>
          <cell r="N1091"/>
          <cell r="O1091"/>
        </row>
        <row r="1092">
          <cell r="B1092"/>
          <cell r="C1092"/>
          <cell r="D1092"/>
          <cell r="E1092"/>
          <cell r="G1092"/>
          <cell r="I1092"/>
          <cell r="J1092"/>
          <cell r="K1092"/>
          <cell r="L1092"/>
          <cell r="N1092"/>
          <cell r="O1092"/>
        </row>
        <row r="1093">
          <cell r="B1093"/>
          <cell r="C1093"/>
          <cell r="D1093"/>
          <cell r="E1093"/>
          <cell r="G1093"/>
          <cell r="I1093"/>
          <cell r="J1093"/>
          <cell r="K1093"/>
          <cell r="L1093"/>
          <cell r="N1093"/>
          <cell r="O1093"/>
        </row>
        <row r="1094">
          <cell r="B1094"/>
          <cell r="C1094"/>
          <cell r="D1094"/>
          <cell r="E1094"/>
          <cell r="G1094"/>
          <cell r="I1094"/>
          <cell r="J1094"/>
          <cell r="K1094"/>
          <cell r="L1094"/>
          <cell r="N1094"/>
          <cell r="O1094"/>
        </row>
        <row r="1095">
          <cell r="B1095"/>
          <cell r="C1095"/>
          <cell r="D1095"/>
          <cell r="E1095"/>
          <cell r="G1095"/>
          <cell r="I1095"/>
          <cell r="J1095"/>
          <cell r="K1095"/>
          <cell r="L1095"/>
          <cell r="N1095"/>
          <cell r="O1095"/>
        </row>
        <row r="1096">
          <cell r="B1096"/>
          <cell r="C1096"/>
          <cell r="D1096"/>
          <cell r="E1096"/>
          <cell r="G1096"/>
          <cell r="I1096"/>
          <cell r="J1096"/>
          <cell r="K1096"/>
          <cell r="L1096"/>
          <cell r="N1096"/>
          <cell r="O1096"/>
        </row>
        <row r="1097">
          <cell r="B1097"/>
          <cell r="C1097"/>
          <cell r="D1097"/>
          <cell r="E1097"/>
          <cell r="G1097"/>
          <cell r="I1097"/>
          <cell r="J1097"/>
          <cell r="K1097"/>
          <cell r="L1097"/>
          <cell r="N1097"/>
          <cell r="O1097"/>
        </row>
        <row r="1098">
          <cell r="B1098"/>
          <cell r="C1098"/>
          <cell r="D1098"/>
          <cell r="E1098"/>
          <cell r="G1098"/>
          <cell r="I1098"/>
          <cell r="J1098"/>
          <cell r="K1098"/>
          <cell r="L1098"/>
          <cell r="N1098"/>
          <cell r="O1098"/>
        </row>
        <row r="1099">
          <cell r="B1099"/>
          <cell r="C1099"/>
          <cell r="D1099"/>
          <cell r="E1099"/>
          <cell r="G1099"/>
          <cell r="I1099"/>
          <cell r="J1099"/>
          <cell r="K1099"/>
          <cell r="L1099"/>
          <cell r="N1099"/>
          <cell r="O1099"/>
        </row>
        <row r="1100">
          <cell r="B1100"/>
          <cell r="C1100"/>
          <cell r="D1100"/>
          <cell r="E1100"/>
          <cell r="G1100"/>
          <cell r="I1100"/>
          <cell r="J1100"/>
          <cell r="K1100"/>
          <cell r="L1100"/>
          <cell r="N1100"/>
          <cell r="O1100"/>
        </row>
        <row r="1101">
          <cell r="B1101"/>
          <cell r="C1101"/>
          <cell r="D1101"/>
          <cell r="E1101"/>
          <cell r="G1101"/>
          <cell r="I1101"/>
          <cell r="J1101"/>
          <cell r="K1101"/>
          <cell r="L1101"/>
          <cell r="N1101"/>
          <cell r="O1101"/>
        </row>
        <row r="1102">
          <cell r="B1102"/>
          <cell r="C1102"/>
          <cell r="D1102"/>
          <cell r="E1102"/>
          <cell r="G1102"/>
          <cell r="I1102"/>
          <cell r="J1102"/>
          <cell r="K1102"/>
          <cell r="L1102"/>
          <cell r="N1102"/>
          <cell r="O1102"/>
        </row>
        <row r="1103">
          <cell r="B1103"/>
          <cell r="C1103"/>
          <cell r="D1103"/>
          <cell r="E1103"/>
          <cell r="G1103"/>
          <cell r="I1103"/>
          <cell r="J1103"/>
          <cell r="K1103"/>
          <cell r="L1103"/>
          <cell r="N1103"/>
          <cell r="O1103"/>
        </row>
        <row r="1104">
          <cell r="B1104"/>
          <cell r="C1104"/>
          <cell r="D1104"/>
          <cell r="E1104"/>
          <cell r="G1104"/>
          <cell r="I1104"/>
          <cell r="J1104"/>
          <cell r="K1104"/>
          <cell r="L1104"/>
          <cell r="N1104"/>
          <cell r="O1104"/>
        </row>
        <row r="1105">
          <cell r="B1105"/>
          <cell r="C1105"/>
          <cell r="D1105"/>
          <cell r="E1105"/>
          <cell r="G1105"/>
          <cell r="I1105"/>
          <cell r="J1105"/>
          <cell r="K1105"/>
          <cell r="L1105"/>
          <cell r="N1105"/>
          <cell r="O1105"/>
        </row>
        <row r="1106">
          <cell r="B1106"/>
          <cell r="C1106"/>
          <cell r="D1106"/>
          <cell r="E1106"/>
          <cell r="G1106"/>
          <cell r="I1106"/>
          <cell r="J1106"/>
          <cell r="K1106"/>
          <cell r="L1106"/>
          <cell r="N1106"/>
          <cell r="O1106"/>
        </row>
        <row r="1107">
          <cell r="B1107"/>
          <cell r="C1107"/>
          <cell r="D1107"/>
          <cell r="E1107"/>
          <cell r="G1107"/>
          <cell r="I1107"/>
          <cell r="J1107"/>
          <cell r="K1107"/>
          <cell r="L1107"/>
          <cell r="N1107"/>
          <cell r="O1107"/>
        </row>
        <row r="1108">
          <cell r="B1108"/>
          <cell r="C1108"/>
          <cell r="D1108"/>
          <cell r="E1108"/>
          <cell r="G1108"/>
          <cell r="I1108"/>
          <cell r="J1108"/>
          <cell r="K1108"/>
          <cell r="L1108"/>
          <cell r="N1108"/>
          <cell r="O1108"/>
        </row>
        <row r="1109">
          <cell r="B1109"/>
          <cell r="C1109"/>
          <cell r="D1109"/>
          <cell r="E1109"/>
          <cell r="G1109"/>
          <cell r="I1109"/>
          <cell r="J1109"/>
          <cell r="K1109"/>
          <cell r="L1109"/>
          <cell r="N1109"/>
          <cell r="O1109"/>
        </row>
        <row r="1110">
          <cell r="B1110"/>
          <cell r="C1110"/>
          <cell r="D1110"/>
          <cell r="E1110"/>
          <cell r="G1110"/>
          <cell r="I1110"/>
          <cell r="J1110"/>
          <cell r="K1110"/>
          <cell r="L1110"/>
          <cell r="N1110"/>
          <cell r="O1110"/>
        </row>
        <row r="1111">
          <cell r="B1111"/>
          <cell r="C1111"/>
          <cell r="D1111"/>
          <cell r="E1111"/>
          <cell r="G1111"/>
          <cell r="I1111"/>
          <cell r="J1111"/>
          <cell r="K1111"/>
          <cell r="L1111"/>
          <cell r="N1111"/>
          <cell r="O1111"/>
        </row>
        <row r="1112">
          <cell r="B1112"/>
          <cell r="C1112"/>
          <cell r="D1112"/>
          <cell r="E1112"/>
          <cell r="G1112"/>
          <cell r="I1112"/>
          <cell r="J1112"/>
          <cell r="K1112"/>
          <cell r="L1112"/>
          <cell r="N1112"/>
          <cell r="O1112"/>
        </row>
        <row r="1113">
          <cell r="B1113"/>
          <cell r="C1113"/>
          <cell r="D1113"/>
          <cell r="E1113"/>
          <cell r="G1113"/>
          <cell r="I1113"/>
          <cell r="J1113"/>
          <cell r="K1113"/>
          <cell r="L1113"/>
          <cell r="N1113"/>
          <cell r="O1113"/>
        </row>
        <row r="1114">
          <cell r="B1114"/>
          <cell r="C1114"/>
          <cell r="D1114"/>
          <cell r="E1114"/>
          <cell r="G1114"/>
          <cell r="I1114"/>
          <cell r="J1114"/>
          <cell r="K1114"/>
          <cell r="L1114"/>
          <cell r="N1114"/>
          <cell r="O1114"/>
        </row>
        <row r="1115">
          <cell r="B1115"/>
          <cell r="C1115"/>
          <cell r="D1115"/>
          <cell r="E1115"/>
          <cell r="G1115"/>
          <cell r="I1115"/>
          <cell r="J1115"/>
          <cell r="K1115"/>
          <cell r="L1115"/>
          <cell r="N1115"/>
          <cell r="O1115"/>
        </row>
        <row r="1116">
          <cell r="B1116"/>
          <cell r="C1116"/>
          <cell r="D1116"/>
          <cell r="E1116"/>
          <cell r="G1116"/>
          <cell r="I1116"/>
          <cell r="J1116"/>
          <cell r="K1116"/>
          <cell r="L1116"/>
          <cell r="N1116"/>
          <cell r="O1116"/>
        </row>
        <row r="1117">
          <cell r="B1117"/>
          <cell r="C1117"/>
          <cell r="D1117"/>
          <cell r="E1117"/>
          <cell r="G1117"/>
          <cell r="I1117"/>
          <cell r="J1117"/>
          <cell r="K1117"/>
          <cell r="L1117"/>
          <cell r="N1117"/>
          <cell r="O1117"/>
        </row>
        <row r="1118">
          <cell r="B1118"/>
          <cell r="C1118"/>
          <cell r="D1118"/>
          <cell r="E1118"/>
          <cell r="G1118"/>
          <cell r="I1118"/>
          <cell r="J1118"/>
          <cell r="K1118"/>
          <cell r="L1118"/>
          <cell r="N1118"/>
          <cell r="O1118"/>
        </row>
        <row r="1119">
          <cell r="B1119"/>
          <cell r="C1119"/>
          <cell r="D1119"/>
          <cell r="E1119"/>
          <cell r="G1119"/>
          <cell r="I1119"/>
          <cell r="J1119"/>
          <cell r="K1119"/>
          <cell r="L1119"/>
          <cell r="N1119"/>
          <cell r="O1119"/>
        </row>
        <row r="1120">
          <cell r="B1120"/>
          <cell r="C1120"/>
          <cell r="D1120"/>
          <cell r="E1120"/>
          <cell r="G1120"/>
          <cell r="I1120"/>
          <cell r="J1120"/>
          <cell r="K1120"/>
          <cell r="L1120"/>
          <cell r="N1120"/>
          <cell r="O1120"/>
        </row>
        <row r="1121">
          <cell r="B1121"/>
          <cell r="C1121"/>
          <cell r="D1121"/>
          <cell r="E1121"/>
          <cell r="G1121"/>
          <cell r="I1121"/>
          <cell r="J1121"/>
          <cell r="K1121"/>
          <cell r="L1121"/>
          <cell r="N1121"/>
          <cell r="O1121"/>
        </row>
        <row r="1122">
          <cell r="B1122"/>
          <cell r="C1122"/>
          <cell r="D1122"/>
          <cell r="E1122"/>
          <cell r="G1122"/>
          <cell r="I1122"/>
          <cell r="J1122"/>
          <cell r="K1122"/>
          <cell r="L1122"/>
          <cell r="N1122"/>
          <cell r="O1122"/>
        </row>
        <row r="1123">
          <cell r="B1123"/>
          <cell r="C1123"/>
          <cell r="D1123"/>
          <cell r="E1123"/>
          <cell r="G1123"/>
          <cell r="I1123"/>
          <cell r="J1123"/>
          <cell r="K1123"/>
          <cell r="L1123"/>
          <cell r="N1123"/>
          <cell r="O1123"/>
        </row>
        <row r="1124">
          <cell r="B1124"/>
          <cell r="C1124"/>
          <cell r="D1124"/>
          <cell r="E1124"/>
          <cell r="G1124"/>
          <cell r="I1124"/>
          <cell r="J1124"/>
          <cell r="K1124"/>
          <cell r="L1124"/>
          <cell r="N1124"/>
          <cell r="O1124"/>
        </row>
        <row r="1125">
          <cell r="B1125"/>
          <cell r="C1125"/>
          <cell r="D1125"/>
          <cell r="E1125"/>
          <cell r="G1125"/>
          <cell r="I1125"/>
          <cell r="J1125"/>
          <cell r="K1125"/>
          <cell r="L1125"/>
          <cell r="N1125"/>
          <cell r="O1125"/>
        </row>
        <row r="1126">
          <cell r="B1126"/>
          <cell r="C1126"/>
          <cell r="D1126"/>
          <cell r="E1126"/>
          <cell r="G1126"/>
          <cell r="I1126"/>
          <cell r="J1126"/>
          <cell r="K1126"/>
          <cell r="L1126"/>
          <cell r="N1126"/>
          <cell r="O1126"/>
        </row>
        <row r="1127">
          <cell r="B1127"/>
          <cell r="C1127"/>
          <cell r="D1127"/>
          <cell r="E1127"/>
          <cell r="G1127"/>
          <cell r="I1127"/>
          <cell r="J1127"/>
          <cell r="K1127"/>
          <cell r="L1127"/>
          <cell r="N1127"/>
          <cell r="O1127"/>
        </row>
        <row r="1128">
          <cell r="B1128"/>
          <cell r="C1128"/>
          <cell r="D1128"/>
          <cell r="E1128"/>
          <cell r="G1128"/>
          <cell r="I1128"/>
          <cell r="J1128"/>
          <cell r="K1128"/>
          <cell r="L1128"/>
          <cell r="N1128"/>
          <cell r="O1128"/>
        </row>
        <row r="1129">
          <cell r="B1129"/>
          <cell r="C1129"/>
          <cell r="D1129"/>
          <cell r="E1129"/>
          <cell r="G1129"/>
          <cell r="I1129"/>
          <cell r="J1129"/>
          <cell r="K1129"/>
          <cell r="L1129"/>
          <cell r="N1129"/>
          <cell r="O1129"/>
        </row>
        <row r="1130">
          <cell r="B1130"/>
          <cell r="C1130"/>
          <cell r="D1130"/>
          <cell r="E1130"/>
          <cell r="G1130"/>
          <cell r="I1130"/>
          <cell r="J1130"/>
          <cell r="K1130"/>
          <cell r="L1130"/>
          <cell r="N1130"/>
          <cell r="O1130"/>
        </row>
        <row r="1131">
          <cell r="B1131"/>
          <cell r="C1131"/>
          <cell r="D1131"/>
          <cell r="E1131"/>
          <cell r="G1131"/>
          <cell r="I1131"/>
          <cell r="J1131"/>
          <cell r="K1131"/>
          <cell r="L1131"/>
          <cell r="N1131"/>
          <cell r="O1131"/>
        </row>
        <row r="1132">
          <cell r="B1132"/>
          <cell r="C1132"/>
          <cell r="D1132"/>
          <cell r="E1132"/>
          <cell r="G1132"/>
          <cell r="I1132"/>
          <cell r="J1132"/>
          <cell r="K1132"/>
          <cell r="L1132"/>
          <cell r="N1132"/>
          <cell r="O1132"/>
        </row>
        <row r="1133">
          <cell r="B1133"/>
          <cell r="C1133"/>
          <cell r="D1133"/>
          <cell r="E1133"/>
          <cell r="G1133"/>
          <cell r="I1133"/>
          <cell r="J1133"/>
          <cell r="K1133"/>
          <cell r="L1133"/>
          <cell r="N1133"/>
          <cell r="O1133"/>
        </row>
        <row r="1134">
          <cell r="B1134"/>
          <cell r="C1134"/>
          <cell r="D1134"/>
          <cell r="E1134"/>
          <cell r="G1134"/>
          <cell r="I1134"/>
          <cell r="J1134"/>
          <cell r="K1134"/>
          <cell r="L1134"/>
          <cell r="N1134"/>
          <cell r="O1134"/>
        </row>
        <row r="1135">
          <cell r="B1135"/>
          <cell r="C1135"/>
          <cell r="D1135"/>
          <cell r="E1135"/>
          <cell r="G1135"/>
          <cell r="I1135"/>
          <cell r="J1135"/>
          <cell r="K1135"/>
          <cell r="L1135"/>
          <cell r="N1135"/>
          <cell r="O1135"/>
        </row>
        <row r="1136">
          <cell r="B1136"/>
          <cell r="C1136"/>
          <cell r="D1136"/>
          <cell r="E1136"/>
          <cell r="G1136"/>
          <cell r="I1136"/>
          <cell r="J1136"/>
          <cell r="K1136"/>
          <cell r="L1136"/>
          <cell r="N1136"/>
          <cell r="O1136"/>
        </row>
        <row r="1137">
          <cell r="B1137"/>
          <cell r="C1137"/>
          <cell r="D1137"/>
          <cell r="E1137"/>
          <cell r="G1137"/>
          <cell r="I1137"/>
          <cell r="J1137"/>
          <cell r="K1137"/>
          <cell r="L1137"/>
          <cell r="N1137"/>
          <cell r="O1137"/>
        </row>
        <row r="1138">
          <cell r="B1138"/>
          <cell r="C1138"/>
          <cell r="D1138"/>
          <cell r="E1138"/>
          <cell r="G1138"/>
          <cell r="I1138"/>
          <cell r="J1138"/>
          <cell r="K1138"/>
          <cell r="L1138"/>
          <cell r="N1138"/>
          <cell r="O1138"/>
        </row>
        <row r="1139">
          <cell r="B1139"/>
          <cell r="C1139"/>
          <cell r="D1139"/>
          <cell r="E1139"/>
          <cell r="G1139"/>
          <cell r="I1139"/>
          <cell r="J1139"/>
          <cell r="K1139"/>
          <cell r="L1139"/>
          <cell r="N1139"/>
          <cell r="O1139"/>
        </row>
        <row r="1140">
          <cell r="B1140"/>
          <cell r="C1140"/>
          <cell r="D1140"/>
          <cell r="E1140"/>
          <cell r="G1140"/>
          <cell r="I1140"/>
          <cell r="J1140"/>
          <cell r="K1140"/>
          <cell r="L1140"/>
          <cell r="N1140"/>
          <cell r="O1140"/>
        </row>
        <row r="1141">
          <cell r="B1141"/>
          <cell r="C1141"/>
          <cell r="D1141"/>
          <cell r="E1141"/>
          <cell r="G1141"/>
          <cell r="I1141"/>
          <cell r="J1141"/>
          <cell r="K1141"/>
          <cell r="L1141"/>
          <cell r="N1141"/>
          <cell r="O1141"/>
        </row>
        <row r="1142">
          <cell r="B1142"/>
          <cell r="C1142"/>
          <cell r="D1142"/>
          <cell r="E1142"/>
          <cell r="G1142"/>
          <cell r="I1142"/>
          <cell r="J1142"/>
          <cell r="K1142"/>
          <cell r="L1142"/>
          <cell r="N1142"/>
          <cell r="O1142"/>
        </row>
        <row r="1143">
          <cell r="B1143"/>
          <cell r="C1143"/>
          <cell r="D1143"/>
          <cell r="E1143"/>
          <cell r="G1143"/>
          <cell r="I1143"/>
          <cell r="J1143"/>
          <cell r="K1143"/>
          <cell r="L1143"/>
          <cell r="N1143"/>
          <cell r="O1143"/>
        </row>
        <row r="1144">
          <cell r="B1144"/>
          <cell r="C1144"/>
          <cell r="D1144"/>
          <cell r="E1144"/>
          <cell r="G1144"/>
          <cell r="I1144"/>
          <cell r="J1144"/>
          <cell r="K1144"/>
          <cell r="L1144"/>
          <cell r="N1144"/>
          <cell r="O1144"/>
        </row>
        <row r="1145">
          <cell r="B1145"/>
          <cell r="C1145"/>
          <cell r="D1145"/>
          <cell r="E1145"/>
          <cell r="G1145"/>
          <cell r="I1145"/>
          <cell r="J1145"/>
          <cell r="K1145"/>
          <cell r="L1145"/>
          <cell r="N1145"/>
          <cell r="O1145"/>
        </row>
        <row r="1146">
          <cell r="B1146"/>
          <cell r="C1146"/>
          <cell r="D1146"/>
          <cell r="E1146"/>
          <cell r="G1146"/>
          <cell r="I1146"/>
          <cell r="J1146"/>
          <cell r="K1146"/>
          <cell r="L1146"/>
          <cell r="N1146"/>
          <cell r="O1146"/>
        </row>
        <row r="1147">
          <cell r="B1147"/>
          <cell r="C1147"/>
          <cell r="D1147"/>
          <cell r="E1147"/>
          <cell r="G1147"/>
          <cell r="I1147"/>
          <cell r="J1147"/>
          <cell r="K1147"/>
          <cell r="L1147"/>
          <cell r="N1147"/>
          <cell r="O1147"/>
        </row>
        <row r="1148">
          <cell r="B1148"/>
          <cell r="C1148"/>
          <cell r="D1148"/>
          <cell r="E1148"/>
          <cell r="G1148"/>
          <cell r="I1148"/>
          <cell r="J1148"/>
          <cell r="K1148"/>
          <cell r="L1148"/>
          <cell r="N1148"/>
          <cell r="O1148"/>
        </row>
        <row r="1149">
          <cell r="B1149"/>
          <cell r="C1149"/>
          <cell r="D1149"/>
          <cell r="E1149"/>
          <cell r="G1149"/>
          <cell r="I1149"/>
          <cell r="J1149"/>
          <cell r="K1149"/>
          <cell r="L1149"/>
          <cell r="N1149"/>
          <cell r="O1149"/>
        </row>
        <row r="1150">
          <cell r="B1150"/>
          <cell r="C1150"/>
          <cell r="D1150"/>
          <cell r="E1150"/>
          <cell r="G1150"/>
          <cell r="I1150"/>
          <cell r="J1150"/>
          <cell r="K1150"/>
          <cell r="L1150"/>
          <cell r="N1150"/>
          <cell r="O1150"/>
        </row>
        <row r="1151">
          <cell r="B1151"/>
          <cell r="C1151"/>
          <cell r="D1151"/>
          <cell r="E1151"/>
          <cell r="G1151"/>
          <cell r="I1151"/>
          <cell r="J1151"/>
          <cell r="K1151"/>
          <cell r="L1151"/>
          <cell r="N1151"/>
          <cell r="O1151"/>
        </row>
        <row r="1152">
          <cell r="B1152"/>
          <cell r="C1152"/>
          <cell r="D1152"/>
          <cell r="E1152"/>
          <cell r="G1152"/>
          <cell r="I1152"/>
          <cell r="J1152"/>
          <cell r="K1152"/>
          <cell r="L1152"/>
          <cell r="N1152"/>
          <cell r="O1152"/>
        </row>
        <row r="1153">
          <cell r="B1153"/>
          <cell r="C1153"/>
          <cell r="D1153"/>
          <cell r="E1153"/>
          <cell r="G1153"/>
          <cell r="I1153"/>
          <cell r="J1153"/>
          <cell r="K1153"/>
          <cell r="L1153"/>
          <cell r="N1153"/>
          <cell r="O1153"/>
        </row>
        <row r="1154">
          <cell r="B1154"/>
          <cell r="C1154"/>
          <cell r="D1154"/>
          <cell r="E1154"/>
          <cell r="G1154"/>
          <cell r="I1154"/>
          <cell r="J1154"/>
          <cell r="K1154"/>
          <cell r="L1154"/>
          <cell r="N1154"/>
          <cell r="O1154"/>
        </row>
        <row r="1155">
          <cell r="B1155"/>
          <cell r="C1155"/>
          <cell r="D1155"/>
          <cell r="E1155"/>
          <cell r="G1155"/>
          <cell r="I1155"/>
          <cell r="J1155"/>
          <cell r="K1155"/>
          <cell r="L1155"/>
          <cell r="N1155"/>
          <cell r="O1155"/>
        </row>
        <row r="1156">
          <cell r="B1156"/>
          <cell r="C1156"/>
          <cell r="D1156"/>
          <cell r="E1156"/>
          <cell r="G1156"/>
          <cell r="I1156"/>
          <cell r="J1156"/>
          <cell r="K1156"/>
          <cell r="L1156"/>
          <cell r="N1156"/>
          <cell r="O1156"/>
        </row>
        <row r="1157">
          <cell r="B1157"/>
          <cell r="C1157"/>
          <cell r="D1157"/>
          <cell r="E1157"/>
          <cell r="G1157"/>
          <cell r="I1157"/>
          <cell r="J1157"/>
          <cell r="K1157"/>
          <cell r="L1157"/>
          <cell r="N1157"/>
          <cell r="O1157"/>
        </row>
        <row r="1158">
          <cell r="B1158"/>
          <cell r="C1158"/>
          <cell r="D1158"/>
          <cell r="E1158"/>
          <cell r="G1158"/>
          <cell r="I1158"/>
          <cell r="J1158"/>
          <cell r="K1158"/>
          <cell r="L1158"/>
          <cell r="N1158"/>
          <cell r="O1158"/>
        </row>
        <row r="1159">
          <cell r="B1159"/>
          <cell r="C1159"/>
          <cell r="D1159"/>
          <cell r="E1159"/>
          <cell r="G1159"/>
          <cell r="I1159"/>
          <cell r="J1159"/>
          <cell r="K1159"/>
          <cell r="L1159"/>
          <cell r="N1159"/>
          <cell r="O1159"/>
        </row>
        <row r="1160">
          <cell r="B1160"/>
          <cell r="C1160"/>
          <cell r="D1160"/>
          <cell r="E1160"/>
          <cell r="G1160"/>
          <cell r="I1160"/>
          <cell r="J1160"/>
          <cell r="K1160"/>
          <cell r="L1160"/>
          <cell r="N1160"/>
          <cell r="O1160"/>
        </row>
        <row r="1161">
          <cell r="B1161"/>
          <cell r="C1161"/>
          <cell r="D1161"/>
          <cell r="E1161"/>
          <cell r="G1161"/>
          <cell r="I1161"/>
          <cell r="J1161"/>
          <cell r="K1161"/>
          <cell r="L1161"/>
          <cell r="N1161"/>
          <cell r="O1161"/>
        </row>
        <row r="1162">
          <cell r="B1162"/>
          <cell r="C1162"/>
          <cell r="D1162"/>
          <cell r="E1162"/>
          <cell r="G1162"/>
          <cell r="I1162"/>
          <cell r="J1162"/>
          <cell r="K1162"/>
          <cell r="L1162"/>
          <cell r="N1162"/>
          <cell r="O1162"/>
        </row>
        <row r="1163">
          <cell r="B1163"/>
          <cell r="C1163"/>
          <cell r="D1163"/>
          <cell r="E1163"/>
          <cell r="G1163"/>
          <cell r="I1163"/>
          <cell r="J1163"/>
          <cell r="K1163"/>
          <cell r="L1163"/>
          <cell r="N1163"/>
          <cell r="O1163"/>
        </row>
        <row r="1164">
          <cell r="B1164"/>
          <cell r="C1164"/>
          <cell r="D1164"/>
          <cell r="E1164"/>
          <cell r="G1164"/>
          <cell r="I1164"/>
          <cell r="J1164"/>
          <cell r="K1164"/>
          <cell r="L1164"/>
          <cell r="N1164"/>
          <cell r="O1164"/>
        </row>
        <row r="1165">
          <cell r="B1165"/>
          <cell r="C1165"/>
          <cell r="D1165"/>
          <cell r="E1165"/>
          <cell r="G1165"/>
          <cell r="I1165"/>
          <cell r="J1165"/>
          <cell r="K1165"/>
          <cell r="L1165"/>
          <cell r="N1165"/>
          <cell r="O1165"/>
        </row>
        <row r="1166">
          <cell r="B1166"/>
          <cell r="C1166"/>
          <cell r="D1166"/>
          <cell r="E1166"/>
          <cell r="G1166"/>
          <cell r="I1166"/>
          <cell r="J1166"/>
          <cell r="K1166"/>
          <cell r="L1166"/>
          <cell r="N1166"/>
          <cell r="O1166"/>
        </row>
        <row r="1167">
          <cell r="B1167"/>
          <cell r="C1167"/>
          <cell r="D1167"/>
          <cell r="E1167"/>
          <cell r="G1167"/>
          <cell r="I1167"/>
          <cell r="J1167"/>
          <cell r="K1167"/>
          <cell r="L1167"/>
          <cell r="N1167"/>
          <cell r="O1167"/>
        </row>
        <row r="1168">
          <cell r="B1168"/>
          <cell r="C1168"/>
          <cell r="D1168"/>
          <cell r="E1168"/>
          <cell r="G1168"/>
          <cell r="I1168"/>
          <cell r="J1168"/>
          <cell r="K1168"/>
          <cell r="L1168"/>
          <cell r="N1168"/>
          <cell r="O1168"/>
        </row>
        <row r="1169">
          <cell r="B1169"/>
          <cell r="C1169"/>
          <cell r="D1169"/>
          <cell r="E1169"/>
          <cell r="G1169"/>
          <cell r="I1169"/>
          <cell r="J1169"/>
          <cell r="K1169"/>
          <cell r="L1169"/>
          <cell r="N1169"/>
          <cell r="O1169"/>
        </row>
        <row r="1170">
          <cell r="B1170"/>
          <cell r="C1170"/>
          <cell r="D1170"/>
          <cell r="E1170"/>
          <cell r="G1170"/>
          <cell r="I1170"/>
          <cell r="J1170"/>
          <cell r="K1170"/>
          <cell r="L1170"/>
          <cell r="N1170"/>
          <cell r="O1170"/>
        </row>
        <row r="1171">
          <cell r="B1171"/>
          <cell r="C1171"/>
          <cell r="D1171"/>
          <cell r="E1171"/>
          <cell r="G1171"/>
          <cell r="I1171"/>
          <cell r="J1171"/>
          <cell r="K1171"/>
          <cell r="L1171"/>
          <cell r="N1171"/>
          <cell r="O1171"/>
        </row>
        <row r="1172">
          <cell r="B1172"/>
          <cell r="C1172"/>
          <cell r="D1172"/>
          <cell r="E1172"/>
          <cell r="G1172"/>
          <cell r="I1172"/>
          <cell r="J1172"/>
          <cell r="K1172"/>
          <cell r="L1172"/>
          <cell r="N1172"/>
          <cell r="O1172"/>
        </row>
        <row r="1173">
          <cell r="B1173"/>
          <cell r="C1173"/>
          <cell r="D1173"/>
          <cell r="E1173"/>
          <cell r="G1173"/>
          <cell r="I1173"/>
          <cell r="J1173"/>
          <cell r="K1173"/>
          <cell r="L1173"/>
          <cell r="N1173"/>
          <cell r="O1173"/>
        </row>
        <row r="1174">
          <cell r="B1174"/>
          <cell r="C1174"/>
          <cell r="D1174"/>
          <cell r="E1174"/>
          <cell r="G1174"/>
          <cell r="I1174"/>
          <cell r="J1174"/>
          <cell r="K1174"/>
          <cell r="L1174"/>
          <cell r="N1174"/>
          <cell r="O1174"/>
        </row>
        <row r="1175">
          <cell r="B1175"/>
          <cell r="C1175"/>
          <cell r="D1175"/>
          <cell r="E1175"/>
          <cell r="G1175"/>
          <cell r="I1175"/>
          <cell r="J1175"/>
          <cell r="K1175"/>
          <cell r="L1175"/>
          <cell r="N1175"/>
          <cell r="O1175"/>
        </row>
        <row r="1176">
          <cell r="B1176"/>
          <cell r="C1176"/>
          <cell r="D1176"/>
          <cell r="E1176"/>
          <cell r="G1176"/>
          <cell r="I1176"/>
          <cell r="J1176"/>
          <cell r="K1176"/>
          <cell r="L1176"/>
          <cell r="N1176"/>
          <cell r="O1176"/>
        </row>
        <row r="1177">
          <cell r="B1177"/>
          <cell r="C1177"/>
          <cell r="D1177"/>
          <cell r="E1177"/>
          <cell r="G1177"/>
          <cell r="I1177"/>
          <cell r="J1177"/>
          <cell r="K1177"/>
          <cell r="L1177"/>
          <cell r="N1177"/>
          <cell r="O1177"/>
        </row>
        <row r="1178">
          <cell r="B1178"/>
          <cell r="C1178"/>
          <cell r="D1178"/>
          <cell r="E1178"/>
          <cell r="G1178"/>
          <cell r="I1178"/>
          <cell r="J1178"/>
          <cell r="K1178"/>
          <cell r="L1178"/>
          <cell r="N1178"/>
          <cell r="O1178"/>
        </row>
        <row r="1179">
          <cell r="B1179"/>
          <cell r="C1179"/>
          <cell r="D1179"/>
          <cell r="E1179"/>
          <cell r="G1179"/>
          <cell r="I1179"/>
          <cell r="J1179"/>
          <cell r="K1179"/>
          <cell r="L1179"/>
          <cell r="N1179"/>
          <cell r="O1179"/>
        </row>
        <row r="1180">
          <cell r="B1180"/>
          <cell r="C1180"/>
          <cell r="D1180"/>
          <cell r="E1180"/>
          <cell r="G1180"/>
          <cell r="I1180"/>
          <cell r="J1180"/>
          <cell r="K1180"/>
          <cell r="L1180"/>
          <cell r="N1180"/>
          <cell r="O1180"/>
        </row>
        <row r="1181">
          <cell r="B1181"/>
          <cell r="C1181"/>
          <cell r="D1181"/>
          <cell r="E1181"/>
          <cell r="G1181"/>
          <cell r="I1181"/>
          <cell r="J1181"/>
          <cell r="K1181"/>
          <cell r="L1181"/>
          <cell r="N1181"/>
          <cell r="O1181"/>
        </row>
        <row r="1182">
          <cell r="B1182"/>
          <cell r="C1182"/>
          <cell r="D1182"/>
          <cell r="E1182"/>
          <cell r="G1182"/>
          <cell r="I1182"/>
          <cell r="J1182"/>
          <cell r="K1182"/>
          <cell r="L1182"/>
          <cell r="N1182"/>
          <cell r="O1182"/>
        </row>
        <row r="1183">
          <cell r="B1183"/>
          <cell r="C1183"/>
          <cell r="D1183"/>
          <cell r="E1183"/>
          <cell r="G1183"/>
          <cell r="I1183"/>
          <cell r="J1183"/>
          <cell r="K1183"/>
          <cell r="L1183"/>
          <cell r="N1183"/>
          <cell r="O1183"/>
        </row>
        <row r="1184">
          <cell r="B1184"/>
          <cell r="C1184"/>
          <cell r="D1184"/>
          <cell r="E1184"/>
          <cell r="G1184"/>
          <cell r="I1184"/>
          <cell r="J1184"/>
          <cell r="K1184"/>
          <cell r="L1184"/>
          <cell r="N1184"/>
          <cell r="O1184"/>
        </row>
        <row r="1185">
          <cell r="B1185"/>
          <cell r="C1185"/>
          <cell r="D1185"/>
          <cell r="E1185"/>
          <cell r="G1185"/>
          <cell r="I1185"/>
          <cell r="J1185"/>
          <cell r="K1185"/>
          <cell r="L1185"/>
          <cell r="N1185"/>
          <cell r="O1185"/>
        </row>
        <row r="1186">
          <cell r="B1186"/>
          <cell r="C1186"/>
          <cell r="D1186"/>
          <cell r="E1186"/>
          <cell r="G1186"/>
          <cell r="I1186"/>
          <cell r="J1186"/>
          <cell r="K1186"/>
          <cell r="L1186"/>
          <cell r="N1186"/>
          <cell r="O1186"/>
        </row>
        <row r="1187">
          <cell r="B1187"/>
          <cell r="C1187"/>
          <cell r="D1187"/>
          <cell r="E1187"/>
          <cell r="G1187"/>
          <cell r="I1187"/>
          <cell r="J1187"/>
          <cell r="K1187"/>
          <cell r="L1187"/>
          <cell r="N1187"/>
          <cell r="O1187"/>
        </row>
        <row r="1188">
          <cell r="B1188"/>
          <cell r="C1188"/>
          <cell r="D1188"/>
          <cell r="E1188"/>
          <cell r="G1188"/>
          <cell r="I1188"/>
          <cell r="J1188"/>
          <cell r="K1188"/>
          <cell r="L1188"/>
          <cell r="N1188"/>
          <cell r="O1188"/>
        </row>
        <row r="1189">
          <cell r="B1189"/>
          <cell r="C1189"/>
          <cell r="D1189"/>
          <cell r="E1189"/>
          <cell r="G1189"/>
          <cell r="I1189"/>
          <cell r="J1189"/>
          <cell r="K1189"/>
          <cell r="L1189"/>
          <cell r="N1189"/>
          <cell r="O1189"/>
        </row>
        <row r="1190">
          <cell r="B1190"/>
          <cell r="C1190"/>
          <cell r="D1190"/>
          <cell r="E1190"/>
          <cell r="G1190"/>
          <cell r="I1190"/>
          <cell r="J1190"/>
          <cell r="K1190"/>
          <cell r="L1190"/>
          <cell r="N1190"/>
          <cell r="O1190"/>
        </row>
        <row r="1191">
          <cell r="B1191"/>
          <cell r="C1191"/>
          <cell r="D1191"/>
          <cell r="E1191"/>
          <cell r="G1191"/>
          <cell r="I1191"/>
          <cell r="J1191"/>
          <cell r="K1191"/>
          <cell r="L1191"/>
          <cell r="N1191"/>
          <cell r="O1191"/>
        </row>
        <row r="1192">
          <cell r="B1192"/>
          <cell r="C1192"/>
          <cell r="D1192"/>
          <cell r="E1192"/>
          <cell r="G1192"/>
          <cell r="I1192"/>
          <cell r="J1192"/>
          <cell r="K1192"/>
          <cell r="L1192"/>
          <cell r="N1192"/>
          <cell r="O1192"/>
        </row>
        <row r="1193">
          <cell r="B1193"/>
          <cell r="C1193"/>
          <cell r="D1193"/>
          <cell r="E1193"/>
          <cell r="G1193"/>
          <cell r="I1193"/>
          <cell r="J1193"/>
          <cell r="K1193"/>
          <cell r="L1193"/>
          <cell r="N1193"/>
          <cell r="O1193"/>
        </row>
        <row r="1194">
          <cell r="B1194"/>
          <cell r="C1194"/>
          <cell r="D1194"/>
          <cell r="E1194"/>
          <cell r="G1194"/>
          <cell r="I1194"/>
          <cell r="J1194"/>
          <cell r="K1194"/>
          <cell r="L1194"/>
          <cell r="N1194"/>
          <cell r="O1194"/>
        </row>
        <row r="1195">
          <cell r="B1195"/>
          <cell r="C1195"/>
          <cell r="D1195"/>
          <cell r="E1195"/>
          <cell r="G1195"/>
          <cell r="I1195"/>
          <cell r="J1195"/>
          <cell r="K1195"/>
          <cell r="L1195"/>
          <cell r="N1195"/>
          <cell r="O1195"/>
        </row>
        <row r="1196">
          <cell r="B1196"/>
          <cell r="C1196"/>
          <cell r="D1196"/>
          <cell r="E1196"/>
          <cell r="G1196"/>
          <cell r="I1196"/>
          <cell r="J1196"/>
          <cell r="K1196"/>
          <cell r="L1196"/>
          <cell r="N1196"/>
          <cell r="O1196"/>
        </row>
        <row r="1197">
          <cell r="B1197"/>
          <cell r="C1197"/>
          <cell r="D1197"/>
          <cell r="E1197"/>
          <cell r="G1197"/>
          <cell r="I1197"/>
          <cell r="J1197"/>
          <cell r="K1197"/>
          <cell r="L1197"/>
          <cell r="N1197"/>
          <cell r="O1197"/>
        </row>
        <row r="1198">
          <cell r="B1198"/>
          <cell r="C1198"/>
          <cell r="D1198"/>
          <cell r="E1198"/>
          <cell r="G1198"/>
          <cell r="I1198"/>
          <cell r="J1198"/>
          <cell r="K1198"/>
          <cell r="L1198"/>
          <cell r="N1198"/>
          <cell r="O1198"/>
        </row>
        <row r="1199">
          <cell r="B1199"/>
          <cell r="C1199"/>
          <cell r="D1199"/>
          <cell r="E1199"/>
          <cell r="G1199"/>
          <cell r="I1199"/>
          <cell r="J1199"/>
          <cell r="K1199"/>
          <cell r="L1199"/>
          <cell r="N1199"/>
          <cell r="O1199"/>
        </row>
        <row r="1200">
          <cell r="B1200"/>
          <cell r="C1200"/>
          <cell r="D1200"/>
          <cell r="E1200"/>
          <cell r="G1200"/>
          <cell r="I1200"/>
          <cell r="J1200"/>
          <cell r="K1200"/>
          <cell r="L1200"/>
          <cell r="N1200"/>
          <cell r="O1200"/>
        </row>
        <row r="1201">
          <cell r="B1201"/>
          <cell r="C1201"/>
          <cell r="D1201"/>
          <cell r="E1201"/>
          <cell r="G1201"/>
          <cell r="I1201"/>
          <cell r="J1201"/>
          <cell r="K1201"/>
          <cell r="L1201"/>
          <cell r="N1201"/>
          <cell r="O1201"/>
        </row>
        <row r="1202">
          <cell r="B1202"/>
          <cell r="C1202"/>
          <cell r="D1202"/>
          <cell r="E1202"/>
          <cell r="G1202"/>
          <cell r="I1202"/>
          <cell r="J1202"/>
          <cell r="K1202"/>
          <cell r="L1202"/>
          <cell r="N1202"/>
          <cell r="O1202"/>
        </row>
        <row r="1203">
          <cell r="B1203"/>
          <cell r="C1203"/>
          <cell r="D1203"/>
          <cell r="E1203"/>
          <cell r="G1203"/>
          <cell r="I1203"/>
          <cell r="J1203"/>
          <cell r="K1203"/>
          <cell r="L1203"/>
          <cell r="N1203"/>
          <cell r="O1203"/>
        </row>
        <row r="1204">
          <cell r="B1204"/>
          <cell r="C1204"/>
          <cell r="D1204"/>
          <cell r="E1204"/>
          <cell r="G1204"/>
          <cell r="I1204"/>
          <cell r="J1204"/>
          <cell r="K1204"/>
          <cell r="L1204"/>
          <cell r="N1204"/>
          <cell r="O1204"/>
        </row>
        <row r="1205">
          <cell r="B1205"/>
          <cell r="C1205"/>
          <cell r="D1205"/>
          <cell r="E1205"/>
          <cell r="G1205"/>
          <cell r="I1205"/>
          <cell r="J1205"/>
          <cell r="K1205"/>
          <cell r="L1205"/>
          <cell r="N1205"/>
          <cell r="O1205"/>
        </row>
        <row r="1206">
          <cell r="B1206"/>
          <cell r="C1206"/>
          <cell r="D1206"/>
          <cell r="E1206"/>
          <cell r="G1206"/>
          <cell r="I1206"/>
          <cell r="J1206"/>
          <cell r="K1206"/>
          <cell r="L1206"/>
          <cell r="N1206"/>
          <cell r="O1206"/>
        </row>
        <row r="1207">
          <cell r="B1207"/>
          <cell r="C1207"/>
          <cell r="D1207"/>
          <cell r="E1207"/>
          <cell r="G1207"/>
          <cell r="I1207"/>
          <cell r="J1207"/>
          <cell r="K1207"/>
          <cell r="L1207"/>
          <cell r="N1207"/>
          <cell r="O1207"/>
        </row>
        <row r="1208">
          <cell r="B1208"/>
          <cell r="C1208"/>
          <cell r="D1208"/>
          <cell r="E1208"/>
          <cell r="G1208"/>
          <cell r="I1208"/>
          <cell r="J1208"/>
          <cell r="K1208"/>
          <cell r="L1208"/>
          <cell r="N1208"/>
          <cell r="O1208"/>
        </row>
        <row r="1209">
          <cell r="B1209"/>
          <cell r="C1209"/>
          <cell r="D1209"/>
          <cell r="E1209"/>
          <cell r="G1209"/>
          <cell r="I1209"/>
          <cell r="J1209"/>
          <cell r="K1209"/>
          <cell r="L1209"/>
          <cell r="N1209"/>
          <cell r="O1209"/>
        </row>
        <row r="1210">
          <cell r="B1210"/>
          <cell r="C1210"/>
          <cell r="D1210"/>
          <cell r="E1210"/>
          <cell r="G1210"/>
          <cell r="I1210"/>
          <cell r="J1210"/>
          <cell r="K1210"/>
          <cell r="L1210"/>
          <cell r="N1210"/>
          <cell r="O1210"/>
        </row>
        <row r="1211">
          <cell r="B1211"/>
          <cell r="C1211"/>
          <cell r="D1211"/>
          <cell r="E1211"/>
          <cell r="G1211"/>
          <cell r="I1211"/>
          <cell r="J1211"/>
          <cell r="K1211"/>
          <cell r="L1211"/>
          <cell r="N1211"/>
          <cell r="O1211"/>
        </row>
        <row r="1212">
          <cell r="B1212"/>
          <cell r="C1212"/>
          <cell r="D1212"/>
          <cell r="E1212"/>
          <cell r="G1212"/>
          <cell r="I1212"/>
          <cell r="J1212"/>
          <cell r="K1212"/>
          <cell r="L1212"/>
          <cell r="N1212"/>
          <cell r="O1212"/>
        </row>
        <row r="1213">
          <cell r="B1213"/>
          <cell r="C1213"/>
          <cell r="D1213"/>
          <cell r="E1213"/>
          <cell r="G1213"/>
          <cell r="I1213"/>
          <cell r="J1213"/>
          <cell r="K1213"/>
          <cell r="L1213"/>
          <cell r="N1213"/>
          <cell r="O1213"/>
        </row>
        <row r="1214">
          <cell r="B1214"/>
          <cell r="C1214"/>
          <cell r="D1214"/>
          <cell r="E1214"/>
          <cell r="G1214"/>
          <cell r="I1214"/>
          <cell r="J1214"/>
          <cell r="K1214"/>
          <cell r="L1214"/>
          <cell r="N1214"/>
          <cell r="O1214"/>
        </row>
        <row r="1215">
          <cell r="B1215"/>
          <cell r="C1215"/>
          <cell r="D1215"/>
          <cell r="E1215"/>
          <cell r="G1215"/>
          <cell r="I1215"/>
          <cell r="J1215"/>
          <cell r="K1215"/>
          <cell r="L1215"/>
          <cell r="N1215"/>
          <cell r="O1215"/>
        </row>
        <row r="1216">
          <cell r="B1216"/>
          <cell r="C1216"/>
          <cell r="D1216"/>
          <cell r="E1216"/>
          <cell r="G1216"/>
          <cell r="I1216"/>
          <cell r="J1216"/>
          <cell r="K1216"/>
          <cell r="L1216"/>
          <cell r="N1216"/>
          <cell r="O1216"/>
        </row>
        <row r="1217">
          <cell r="B1217"/>
          <cell r="C1217"/>
          <cell r="D1217"/>
          <cell r="E1217"/>
          <cell r="G1217"/>
          <cell r="I1217"/>
          <cell r="J1217"/>
          <cell r="K1217"/>
          <cell r="L1217"/>
          <cell r="N1217"/>
          <cell r="O1217"/>
        </row>
        <row r="1218">
          <cell r="B1218"/>
          <cell r="C1218"/>
          <cell r="D1218"/>
          <cell r="E1218"/>
          <cell r="G1218"/>
          <cell r="I1218"/>
          <cell r="J1218"/>
          <cell r="K1218"/>
          <cell r="L1218"/>
          <cell r="N1218"/>
          <cell r="O1218"/>
        </row>
        <row r="1219">
          <cell r="B1219"/>
          <cell r="C1219"/>
          <cell r="D1219"/>
          <cell r="E1219"/>
          <cell r="G1219"/>
          <cell r="I1219"/>
          <cell r="J1219"/>
          <cell r="K1219"/>
          <cell r="L1219"/>
          <cell r="N1219"/>
          <cell r="O1219"/>
        </row>
        <row r="1220">
          <cell r="B1220"/>
          <cell r="C1220"/>
          <cell r="D1220"/>
          <cell r="E1220"/>
          <cell r="G1220"/>
          <cell r="I1220"/>
          <cell r="J1220"/>
          <cell r="K1220"/>
          <cell r="L1220"/>
          <cell r="N1220"/>
          <cell r="O1220"/>
        </row>
        <row r="1221">
          <cell r="B1221"/>
          <cell r="C1221"/>
          <cell r="D1221"/>
          <cell r="E1221"/>
          <cell r="G1221"/>
          <cell r="I1221"/>
          <cell r="J1221"/>
          <cell r="K1221"/>
          <cell r="L1221"/>
          <cell r="N1221"/>
          <cell r="O1221"/>
        </row>
        <row r="1222">
          <cell r="B1222"/>
          <cell r="C1222"/>
          <cell r="D1222"/>
          <cell r="E1222"/>
          <cell r="G1222"/>
          <cell r="I1222"/>
          <cell r="J1222"/>
          <cell r="K1222"/>
          <cell r="L1222"/>
          <cell r="N1222"/>
          <cell r="O1222"/>
        </row>
        <row r="1223">
          <cell r="B1223"/>
          <cell r="C1223"/>
          <cell r="D1223"/>
          <cell r="E1223"/>
          <cell r="G1223"/>
          <cell r="I1223"/>
          <cell r="J1223"/>
          <cell r="K1223"/>
          <cell r="L1223"/>
          <cell r="N1223"/>
          <cell r="O1223"/>
        </row>
        <row r="1224">
          <cell r="B1224"/>
          <cell r="C1224"/>
          <cell r="D1224"/>
          <cell r="E1224"/>
          <cell r="G1224"/>
          <cell r="I1224"/>
          <cell r="J1224"/>
          <cell r="K1224"/>
          <cell r="L1224"/>
          <cell r="N1224"/>
          <cell r="O1224"/>
        </row>
        <row r="1225">
          <cell r="B1225"/>
          <cell r="C1225"/>
          <cell r="D1225"/>
          <cell r="E1225"/>
          <cell r="G1225"/>
          <cell r="I1225"/>
          <cell r="J1225"/>
          <cell r="K1225"/>
          <cell r="L1225"/>
          <cell r="N1225"/>
          <cell r="O1225"/>
        </row>
        <row r="1226">
          <cell r="B1226"/>
          <cell r="C1226"/>
          <cell r="D1226"/>
          <cell r="E1226"/>
          <cell r="G1226"/>
          <cell r="I1226"/>
          <cell r="J1226"/>
          <cell r="K1226"/>
          <cell r="L1226"/>
          <cell r="N1226"/>
          <cell r="O1226"/>
        </row>
        <row r="1227">
          <cell r="B1227"/>
          <cell r="C1227"/>
          <cell r="D1227"/>
          <cell r="E1227"/>
          <cell r="G1227"/>
          <cell r="I1227"/>
          <cell r="J1227"/>
          <cell r="K1227"/>
          <cell r="L1227"/>
          <cell r="N1227"/>
          <cell r="O1227"/>
        </row>
        <row r="1228">
          <cell r="B1228"/>
          <cell r="C1228"/>
          <cell r="D1228"/>
          <cell r="E1228"/>
          <cell r="G1228"/>
          <cell r="I1228"/>
          <cell r="J1228"/>
          <cell r="K1228"/>
          <cell r="L1228"/>
          <cell r="N1228"/>
          <cell r="O1228"/>
        </row>
        <row r="1229">
          <cell r="B1229"/>
          <cell r="C1229"/>
          <cell r="D1229"/>
          <cell r="E1229"/>
          <cell r="G1229"/>
          <cell r="I1229"/>
          <cell r="J1229"/>
          <cell r="K1229"/>
          <cell r="L1229"/>
          <cell r="N1229"/>
          <cell r="O1229"/>
        </row>
        <row r="1230">
          <cell r="B1230"/>
          <cell r="C1230"/>
          <cell r="D1230"/>
          <cell r="E1230"/>
          <cell r="G1230"/>
          <cell r="I1230"/>
          <cell r="J1230"/>
          <cell r="K1230"/>
          <cell r="L1230"/>
          <cell r="N1230"/>
          <cell r="O1230"/>
        </row>
        <row r="1231">
          <cell r="B1231"/>
          <cell r="C1231"/>
          <cell r="D1231"/>
          <cell r="E1231"/>
          <cell r="G1231"/>
          <cell r="I1231"/>
          <cell r="J1231"/>
          <cell r="K1231"/>
          <cell r="L1231"/>
          <cell r="N1231"/>
          <cell r="O1231"/>
        </row>
        <row r="1232">
          <cell r="B1232"/>
          <cell r="C1232"/>
          <cell r="D1232"/>
          <cell r="E1232"/>
          <cell r="G1232"/>
          <cell r="I1232"/>
          <cell r="J1232"/>
          <cell r="K1232"/>
          <cell r="L1232"/>
          <cell r="N1232"/>
          <cell r="O1232"/>
        </row>
        <row r="1233">
          <cell r="B1233"/>
          <cell r="C1233"/>
          <cell r="D1233"/>
          <cell r="E1233"/>
          <cell r="G1233"/>
          <cell r="I1233"/>
          <cell r="J1233"/>
          <cell r="K1233"/>
          <cell r="L1233"/>
          <cell r="N1233"/>
          <cell r="O1233"/>
        </row>
        <row r="1234">
          <cell r="B1234"/>
          <cell r="C1234"/>
          <cell r="D1234"/>
          <cell r="E1234"/>
          <cell r="G1234"/>
          <cell r="I1234"/>
          <cell r="J1234"/>
          <cell r="K1234"/>
          <cell r="L1234"/>
          <cell r="N1234"/>
          <cell r="O1234"/>
        </row>
        <row r="1235">
          <cell r="B1235"/>
          <cell r="C1235"/>
          <cell r="D1235"/>
          <cell r="E1235"/>
          <cell r="G1235"/>
          <cell r="I1235"/>
          <cell r="J1235"/>
          <cell r="K1235"/>
          <cell r="L1235"/>
          <cell r="N1235"/>
          <cell r="O1235"/>
        </row>
        <row r="1236">
          <cell r="B1236"/>
          <cell r="C1236"/>
          <cell r="D1236"/>
          <cell r="E1236"/>
          <cell r="G1236"/>
          <cell r="I1236"/>
          <cell r="J1236"/>
          <cell r="K1236"/>
          <cell r="L1236"/>
          <cell r="N1236"/>
          <cell r="O1236"/>
        </row>
        <row r="1237">
          <cell r="B1237"/>
          <cell r="C1237"/>
          <cell r="D1237"/>
          <cell r="E1237"/>
          <cell r="G1237"/>
          <cell r="I1237"/>
          <cell r="J1237"/>
          <cell r="K1237"/>
          <cell r="L1237"/>
          <cell r="N1237"/>
          <cell r="O1237"/>
        </row>
        <row r="1238">
          <cell r="B1238"/>
          <cell r="C1238"/>
          <cell r="D1238"/>
          <cell r="E1238"/>
          <cell r="G1238"/>
          <cell r="I1238"/>
          <cell r="J1238"/>
          <cell r="K1238"/>
          <cell r="L1238"/>
          <cell r="N1238"/>
          <cell r="O1238"/>
        </row>
        <row r="1239">
          <cell r="B1239"/>
          <cell r="C1239"/>
          <cell r="D1239"/>
          <cell r="E1239"/>
          <cell r="G1239"/>
          <cell r="I1239"/>
          <cell r="J1239"/>
          <cell r="K1239"/>
          <cell r="L1239"/>
          <cell r="N1239"/>
          <cell r="O1239"/>
        </row>
        <row r="1240">
          <cell r="B1240"/>
          <cell r="C1240"/>
          <cell r="D1240"/>
          <cell r="E1240"/>
          <cell r="G1240"/>
          <cell r="I1240"/>
          <cell r="J1240"/>
          <cell r="K1240"/>
          <cell r="L1240"/>
          <cell r="N1240"/>
          <cell r="O1240"/>
        </row>
        <row r="1241">
          <cell r="B1241"/>
          <cell r="C1241"/>
          <cell r="D1241"/>
          <cell r="E1241"/>
          <cell r="G1241"/>
          <cell r="I1241"/>
          <cell r="J1241"/>
          <cell r="K1241"/>
          <cell r="L1241"/>
          <cell r="N1241"/>
          <cell r="O1241"/>
        </row>
        <row r="1242">
          <cell r="B1242"/>
          <cell r="C1242"/>
          <cell r="D1242"/>
          <cell r="E1242"/>
          <cell r="G1242"/>
          <cell r="I1242"/>
          <cell r="J1242"/>
          <cell r="K1242"/>
          <cell r="L1242"/>
          <cell r="N1242"/>
          <cell r="O1242"/>
        </row>
        <row r="1243">
          <cell r="B1243"/>
          <cell r="C1243"/>
          <cell r="D1243"/>
          <cell r="E1243"/>
          <cell r="G1243"/>
          <cell r="I1243"/>
          <cell r="J1243"/>
          <cell r="K1243"/>
          <cell r="L1243"/>
          <cell r="N1243"/>
          <cell r="O1243"/>
        </row>
        <row r="1244">
          <cell r="B1244"/>
          <cell r="C1244"/>
          <cell r="D1244"/>
          <cell r="E1244"/>
          <cell r="G1244"/>
          <cell r="I1244"/>
          <cell r="J1244"/>
          <cell r="K1244"/>
          <cell r="L1244"/>
          <cell r="N1244"/>
          <cell r="O1244"/>
        </row>
        <row r="1245">
          <cell r="B1245"/>
          <cell r="C1245"/>
          <cell r="D1245"/>
          <cell r="E1245"/>
          <cell r="G1245"/>
          <cell r="I1245"/>
          <cell r="J1245"/>
          <cell r="K1245"/>
          <cell r="L1245"/>
          <cell r="N1245"/>
          <cell r="O1245"/>
        </row>
        <row r="1246">
          <cell r="B1246"/>
          <cell r="C1246"/>
          <cell r="D1246"/>
          <cell r="E1246"/>
          <cell r="G1246"/>
          <cell r="I1246"/>
          <cell r="J1246"/>
          <cell r="K1246"/>
          <cell r="L1246"/>
          <cell r="N1246"/>
          <cell r="O1246"/>
        </row>
        <row r="1247">
          <cell r="B1247"/>
          <cell r="C1247"/>
          <cell r="D1247"/>
          <cell r="E1247"/>
          <cell r="G1247"/>
          <cell r="I1247"/>
          <cell r="J1247"/>
          <cell r="K1247"/>
          <cell r="L1247"/>
          <cell r="N1247"/>
          <cell r="O1247"/>
        </row>
        <row r="1248">
          <cell r="B1248"/>
          <cell r="C1248"/>
          <cell r="D1248"/>
          <cell r="E1248"/>
          <cell r="G1248"/>
          <cell r="I1248"/>
          <cell r="J1248"/>
          <cell r="K1248"/>
          <cell r="L1248"/>
          <cell r="N1248"/>
          <cell r="O1248"/>
        </row>
        <row r="1249">
          <cell r="B1249"/>
          <cell r="C1249"/>
          <cell r="D1249"/>
          <cell r="E1249"/>
          <cell r="G1249"/>
          <cell r="I1249"/>
          <cell r="J1249"/>
          <cell r="K1249"/>
          <cell r="L1249"/>
          <cell r="N1249"/>
          <cell r="O1249"/>
        </row>
        <row r="1250">
          <cell r="B1250"/>
          <cell r="C1250"/>
          <cell r="D1250"/>
          <cell r="E1250"/>
          <cell r="G1250"/>
          <cell r="I1250"/>
          <cell r="J1250"/>
          <cell r="K1250"/>
          <cell r="L1250"/>
          <cell r="N1250"/>
          <cell r="O1250"/>
        </row>
        <row r="1251">
          <cell r="B1251"/>
          <cell r="C1251"/>
          <cell r="D1251"/>
          <cell r="E1251"/>
          <cell r="G1251"/>
          <cell r="I1251"/>
          <cell r="J1251"/>
          <cell r="K1251"/>
          <cell r="L1251"/>
          <cell r="N1251"/>
          <cell r="O1251"/>
        </row>
        <row r="1252">
          <cell r="B1252"/>
          <cell r="C1252"/>
          <cell r="D1252"/>
          <cell r="E1252"/>
          <cell r="G1252"/>
          <cell r="I1252"/>
          <cell r="J1252"/>
          <cell r="K1252"/>
          <cell r="L1252"/>
          <cell r="N1252"/>
          <cell r="O1252"/>
        </row>
        <row r="1253">
          <cell r="B1253"/>
          <cell r="C1253"/>
          <cell r="D1253"/>
          <cell r="E1253"/>
          <cell r="G1253"/>
          <cell r="I1253"/>
          <cell r="J1253"/>
          <cell r="K1253"/>
          <cell r="L1253"/>
          <cell r="N1253"/>
          <cell r="O1253"/>
        </row>
        <row r="1254">
          <cell r="B1254"/>
          <cell r="C1254"/>
          <cell r="D1254"/>
          <cell r="E1254"/>
          <cell r="G1254"/>
          <cell r="I1254"/>
          <cell r="J1254"/>
          <cell r="K1254"/>
          <cell r="L1254"/>
          <cell r="N1254"/>
          <cell r="O1254"/>
        </row>
        <row r="1255">
          <cell r="B1255"/>
          <cell r="C1255"/>
          <cell r="D1255"/>
          <cell r="E1255"/>
          <cell r="G1255"/>
          <cell r="I1255"/>
          <cell r="J1255"/>
          <cell r="K1255"/>
          <cell r="L1255"/>
          <cell r="N1255"/>
          <cell r="O1255"/>
        </row>
        <row r="1256">
          <cell r="B1256"/>
          <cell r="C1256"/>
          <cell r="D1256"/>
          <cell r="E1256"/>
          <cell r="G1256"/>
          <cell r="I1256"/>
          <cell r="J1256"/>
          <cell r="K1256"/>
          <cell r="L1256"/>
          <cell r="N1256"/>
          <cell r="O1256"/>
        </row>
        <row r="1257">
          <cell r="B1257"/>
          <cell r="C1257"/>
          <cell r="D1257"/>
          <cell r="E1257"/>
          <cell r="G1257"/>
          <cell r="I1257"/>
          <cell r="J1257"/>
          <cell r="K1257"/>
          <cell r="L1257"/>
          <cell r="N1257"/>
          <cell r="O1257"/>
        </row>
        <row r="1258">
          <cell r="B1258"/>
          <cell r="C1258"/>
          <cell r="D1258"/>
          <cell r="E1258"/>
          <cell r="G1258"/>
          <cell r="I1258"/>
          <cell r="J1258"/>
          <cell r="K1258"/>
          <cell r="L1258"/>
          <cell r="N1258"/>
          <cell r="O1258"/>
        </row>
        <row r="1259">
          <cell r="B1259"/>
          <cell r="C1259"/>
          <cell r="D1259"/>
          <cell r="E1259"/>
          <cell r="G1259"/>
          <cell r="I1259"/>
          <cell r="J1259"/>
          <cell r="K1259"/>
          <cell r="L1259"/>
          <cell r="N1259"/>
          <cell r="O1259"/>
        </row>
        <row r="1260">
          <cell r="B1260"/>
          <cell r="C1260"/>
          <cell r="D1260"/>
          <cell r="E1260"/>
          <cell r="G1260"/>
          <cell r="I1260"/>
          <cell r="J1260"/>
          <cell r="K1260"/>
          <cell r="L1260"/>
          <cell r="N1260"/>
          <cell r="O1260"/>
        </row>
        <row r="1261">
          <cell r="B1261"/>
          <cell r="C1261"/>
          <cell r="D1261"/>
          <cell r="E1261"/>
          <cell r="G1261"/>
          <cell r="I1261"/>
          <cell r="J1261"/>
          <cell r="K1261"/>
          <cell r="L1261"/>
          <cell r="N1261"/>
          <cell r="O1261"/>
        </row>
        <row r="1262">
          <cell r="B1262"/>
          <cell r="C1262"/>
          <cell r="D1262"/>
          <cell r="E1262"/>
          <cell r="G1262"/>
          <cell r="I1262"/>
          <cell r="J1262"/>
          <cell r="K1262"/>
          <cell r="L1262"/>
          <cell r="N1262"/>
          <cell r="O1262"/>
        </row>
        <row r="1263">
          <cell r="B1263"/>
          <cell r="C1263"/>
          <cell r="D1263"/>
          <cell r="E1263"/>
          <cell r="G1263"/>
          <cell r="I1263"/>
          <cell r="J1263"/>
          <cell r="K1263"/>
          <cell r="L1263"/>
          <cell r="N1263"/>
          <cell r="O1263"/>
        </row>
        <row r="1264">
          <cell r="B1264"/>
          <cell r="C1264"/>
          <cell r="D1264"/>
          <cell r="E1264"/>
          <cell r="G1264"/>
          <cell r="I1264"/>
          <cell r="J1264"/>
          <cell r="K1264"/>
          <cell r="L1264"/>
          <cell r="N1264"/>
          <cell r="O1264"/>
        </row>
        <row r="1265">
          <cell r="B1265"/>
          <cell r="C1265"/>
          <cell r="D1265"/>
          <cell r="E1265"/>
          <cell r="G1265"/>
          <cell r="I1265"/>
          <cell r="J1265"/>
          <cell r="K1265"/>
          <cell r="L1265"/>
          <cell r="N1265"/>
          <cell r="O1265"/>
        </row>
        <row r="1266">
          <cell r="B1266"/>
          <cell r="C1266"/>
          <cell r="D1266"/>
          <cell r="E1266"/>
          <cell r="G1266"/>
          <cell r="I1266"/>
          <cell r="J1266"/>
          <cell r="K1266"/>
          <cell r="L1266"/>
          <cell r="N1266"/>
          <cell r="O1266"/>
        </row>
        <row r="1267">
          <cell r="B1267"/>
          <cell r="C1267"/>
          <cell r="D1267"/>
          <cell r="E1267"/>
          <cell r="G1267"/>
          <cell r="I1267"/>
          <cell r="J1267"/>
          <cell r="K1267"/>
          <cell r="L1267"/>
          <cell r="N1267"/>
          <cell r="O1267"/>
        </row>
        <row r="1268">
          <cell r="B1268"/>
          <cell r="C1268"/>
          <cell r="D1268"/>
          <cell r="E1268"/>
          <cell r="G1268"/>
          <cell r="I1268"/>
          <cell r="J1268"/>
          <cell r="K1268"/>
          <cell r="L1268"/>
          <cell r="N1268"/>
          <cell r="O1268"/>
        </row>
        <row r="1269">
          <cell r="B1269"/>
          <cell r="C1269"/>
          <cell r="D1269"/>
          <cell r="E1269"/>
          <cell r="G1269"/>
          <cell r="I1269"/>
          <cell r="J1269"/>
          <cell r="K1269"/>
          <cell r="L1269"/>
          <cell r="N1269"/>
          <cell r="O1269"/>
        </row>
        <row r="1270">
          <cell r="B1270"/>
          <cell r="C1270"/>
          <cell r="D1270"/>
          <cell r="E1270"/>
          <cell r="G1270"/>
          <cell r="I1270"/>
          <cell r="J1270"/>
          <cell r="K1270"/>
          <cell r="L1270"/>
          <cell r="N1270"/>
          <cell r="O1270"/>
        </row>
        <row r="1271">
          <cell r="B1271"/>
          <cell r="C1271"/>
          <cell r="D1271"/>
          <cell r="E1271"/>
          <cell r="G1271"/>
          <cell r="I1271"/>
          <cell r="J1271"/>
          <cell r="K1271"/>
          <cell r="L1271"/>
          <cell r="N1271"/>
          <cell r="O1271"/>
        </row>
        <row r="1272">
          <cell r="B1272"/>
          <cell r="C1272"/>
          <cell r="D1272"/>
          <cell r="E1272"/>
          <cell r="G1272"/>
          <cell r="I1272"/>
          <cell r="J1272"/>
          <cell r="K1272"/>
          <cell r="L1272"/>
          <cell r="N1272"/>
          <cell r="O1272"/>
        </row>
        <row r="1273">
          <cell r="B1273"/>
          <cell r="C1273"/>
          <cell r="D1273"/>
          <cell r="E1273"/>
          <cell r="G1273"/>
          <cell r="I1273"/>
          <cell r="J1273"/>
          <cell r="K1273"/>
          <cell r="L1273"/>
          <cell r="N1273"/>
          <cell r="O1273"/>
        </row>
        <row r="1274">
          <cell r="B1274"/>
          <cell r="C1274"/>
          <cell r="D1274"/>
          <cell r="E1274"/>
          <cell r="G1274"/>
          <cell r="I1274"/>
          <cell r="J1274"/>
          <cell r="K1274"/>
          <cell r="L1274"/>
          <cell r="N1274"/>
          <cell r="O1274"/>
        </row>
        <row r="1275">
          <cell r="B1275"/>
          <cell r="C1275"/>
          <cell r="D1275"/>
          <cell r="E1275"/>
          <cell r="G1275"/>
          <cell r="I1275"/>
          <cell r="J1275"/>
          <cell r="K1275"/>
          <cell r="L1275"/>
          <cell r="N1275"/>
          <cell r="O1275"/>
        </row>
        <row r="1276">
          <cell r="B1276"/>
          <cell r="C1276"/>
          <cell r="D1276"/>
          <cell r="E1276"/>
          <cell r="G1276"/>
          <cell r="I1276"/>
          <cell r="J1276"/>
          <cell r="K1276"/>
          <cell r="L1276"/>
          <cell r="N1276"/>
          <cell r="O1276"/>
        </row>
        <row r="1277">
          <cell r="B1277"/>
          <cell r="C1277"/>
          <cell r="D1277"/>
          <cell r="E1277"/>
          <cell r="G1277"/>
          <cell r="I1277"/>
          <cell r="J1277"/>
          <cell r="K1277"/>
          <cell r="L1277"/>
          <cell r="N1277"/>
          <cell r="O1277"/>
        </row>
        <row r="1278">
          <cell r="B1278"/>
          <cell r="C1278"/>
          <cell r="D1278"/>
          <cell r="E1278"/>
          <cell r="G1278"/>
          <cell r="I1278"/>
          <cell r="J1278"/>
          <cell r="K1278"/>
          <cell r="L1278"/>
          <cell r="N1278"/>
          <cell r="O1278"/>
        </row>
        <row r="1279">
          <cell r="B1279"/>
          <cell r="C1279"/>
          <cell r="D1279"/>
          <cell r="E1279"/>
          <cell r="G1279"/>
          <cell r="I1279"/>
          <cell r="J1279"/>
          <cell r="K1279"/>
          <cell r="L1279"/>
          <cell r="N1279"/>
          <cell r="O1279"/>
        </row>
        <row r="1280">
          <cell r="B1280"/>
          <cell r="C1280"/>
          <cell r="D1280"/>
          <cell r="E1280"/>
          <cell r="G1280"/>
          <cell r="I1280"/>
          <cell r="J1280"/>
          <cell r="K1280"/>
          <cell r="L1280"/>
          <cell r="N1280"/>
          <cell r="O1280"/>
        </row>
        <row r="1281">
          <cell r="B1281"/>
          <cell r="C1281"/>
          <cell r="D1281"/>
          <cell r="E1281"/>
          <cell r="G1281"/>
          <cell r="I1281"/>
          <cell r="J1281"/>
          <cell r="K1281"/>
          <cell r="L1281"/>
          <cell r="N1281"/>
          <cell r="O1281"/>
        </row>
        <row r="1282">
          <cell r="B1282"/>
          <cell r="C1282"/>
          <cell r="D1282"/>
          <cell r="E1282"/>
          <cell r="G1282"/>
          <cell r="I1282"/>
          <cell r="J1282"/>
          <cell r="K1282"/>
          <cell r="L1282"/>
          <cell r="N1282"/>
          <cell r="O1282"/>
        </row>
        <row r="1283">
          <cell r="B1283"/>
          <cell r="C1283"/>
          <cell r="D1283"/>
          <cell r="E1283"/>
          <cell r="G1283"/>
          <cell r="I1283"/>
          <cell r="J1283"/>
          <cell r="K1283"/>
          <cell r="L1283"/>
          <cell r="N1283"/>
          <cell r="O1283"/>
        </row>
        <row r="1284">
          <cell r="B1284"/>
          <cell r="C1284"/>
          <cell r="D1284"/>
          <cell r="E1284"/>
          <cell r="G1284"/>
          <cell r="I1284"/>
          <cell r="J1284"/>
          <cell r="K1284"/>
          <cell r="L1284"/>
          <cell r="N1284"/>
          <cell r="O1284"/>
        </row>
        <row r="1285">
          <cell r="B1285"/>
          <cell r="C1285"/>
          <cell r="D1285"/>
          <cell r="E1285"/>
          <cell r="G1285"/>
          <cell r="I1285"/>
          <cell r="J1285"/>
          <cell r="K1285"/>
          <cell r="L1285"/>
          <cell r="N1285"/>
          <cell r="O1285"/>
        </row>
        <row r="1286">
          <cell r="B1286"/>
          <cell r="C1286"/>
          <cell r="D1286"/>
          <cell r="E1286"/>
          <cell r="G1286"/>
          <cell r="I1286"/>
          <cell r="J1286"/>
          <cell r="K1286"/>
          <cell r="L1286"/>
          <cell r="N1286"/>
          <cell r="O1286"/>
        </row>
        <row r="1287">
          <cell r="B1287"/>
          <cell r="C1287"/>
          <cell r="D1287"/>
          <cell r="E1287"/>
          <cell r="G1287"/>
          <cell r="I1287"/>
          <cell r="J1287"/>
          <cell r="K1287"/>
          <cell r="L1287"/>
          <cell r="N1287"/>
          <cell r="O1287"/>
        </row>
        <row r="1288">
          <cell r="B1288"/>
          <cell r="C1288"/>
          <cell r="D1288"/>
          <cell r="E1288"/>
          <cell r="G1288"/>
          <cell r="I1288"/>
          <cell r="J1288"/>
          <cell r="K1288"/>
          <cell r="L1288"/>
          <cell r="N1288"/>
          <cell r="O1288"/>
        </row>
        <row r="1289">
          <cell r="B1289"/>
          <cell r="C1289"/>
          <cell r="D1289"/>
          <cell r="E1289"/>
          <cell r="G1289"/>
          <cell r="I1289"/>
          <cell r="J1289"/>
          <cell r="K1289"/>
          <cell r="L1289"/>
          <cell r="N1289"/>
          <cell r="O1289"/>
        </row>
        <row r="1290">
          <cell r="B1290"/>
          <cell r="C1290"/>
          <cell r="D1290"/>
          <cell r="E1290"/>
          <cell r="G1290"/>
          <cell r="I1290"/>
          <cell r="J1290"/>
          <cell r="K1290"/>
          <cell r="L1290"/>
          <cell r="N1290"/>
          <cell r="O1290"/>
        </row>
        <row r="1291">
          <cell r="B1291"/>
          <cell r="C1291"/>
          <cell r="D1291"/>
          <cell r="E1291"/>
          <cell r="G1291"/>
          <cell r="I1291"/>
          <cell r="J1291"/>
          <cell r="K1291"/>
          <cell r="L1291"/>
          <cell r="N1291"/>
          <cell r="O1291"/>
        </row>
        <row r="1292">
          <cell r="B1292"/>
          <cell r="C1292"/>
          <cell r="D1292"/>
          <cell r="E1292"/>
          <cell r="G1292"/>
          <cell r="I1292"/>
          <cell r="J1292"/>
          <cell r="K1292"/>
          <cell r="L1292"/>
          <cell r="N1292"/>
          <cell r="O1292"/>
        </row>
        <row r="1293">
          <cell r="B1293"/>
          <cell r="C1293"/>
          <cell r="D1293"/>
          <cell r="E1293"/>
          <cell r="G1293"/>
          <cell r="I1293"/>
          <cell r="J1293"/>
          <cell r="K1293"/>
          <cell r="L1293"/>
          <cell r="N1293"/>
          <cell r="O1293"/>
        </row>
        <row r="1294">
          <cell r="B1294"/>
          <cell r="C1294"/>
          <cell r="D1294"/>
          <cell r="E1294"/>
          <cell r="G1294"/>
          <cell r="I1294"/>
          <cell r="J1294"/>
          <cell r="K1294"/>
          <cell r="L1294"/>
          <cell r="N1294"/>
          <cell r="O1294"/>
        </row>
        <row r="1295">
          <cell r="B1295"/>
          <cell r="C1295"/>
          <cell r="D1295"/>
          <cell r="E1295"/>
          <cell r="G1295"/>
          <cell r="I1295"/>
          <cell r="J1295"/>
          <cell r="K1295"/>
          <cell r="L1295"/>
          <cell r="N1295"/>
          <cell r="O1295"/>
        </row>
        <row r="1296">
          <cell r="B1296"/>
          <cell r="C1296"/>
          <cell r="D1296"/>
          <cell r="E1296"/>
          <cell r="G1296"/>
          <cell r="I1296"/>
          <cell r="J1296"/>
          <cell r="K1296"/>
          <cell r="L1296"/>
          <cell r="N1296"/>
          <cell r="O1296"/>
        </row>
        <row r="1297">
          <cell r="B1297"/>
          <cell r="C1297"/>
          <cell r="D1297"/>
          <cell r="E1297"/>
          <cell r="G1297"/>
          <cell r="I1297"/>
          <cell r="J1297"/>
          <cell r="K1297"/>
          <cell r="L1297"/>
          <cell r="N1297"/>
          <cell r="O1297"/>
        </row>
        <row r="1298">
          <cell r="B1298"/>
          <cell r="C1298"/>
          <cell r="D1298"/>
          <cell r="E1298"/>
          <cell r="G1298"/>
          <cell r="I1298"/>
          <cell r="J1298"/>
          <cell r="K1298"/>
          <cell r="L1298"/>
          <cell r="N1298"/>
          <cell r="O1298"/>
        </row>
        <row r="1299">
          <cell r="B1299"/>
          <cell r="C1299"/>
          <cell r="D1299"/>
          <cell r="E1299"/>
          <cell r="G1299"/>
          <cell r="I1299"/>
          <cell r="J1299"/>
          <cell r="K1299"/>
          <cell r="L1299"/>
          <cell r="N1299"/>
          <cell r="O1299"/>
        </row>
        <row r="1300">
          <cell r="B1300"/>
          <cell r="C1300"/>
          <cell r="D1300"/>
          <cell r="E1300"/>
          <cell r="G1300"/>
          <cell r="I1300"/>
          <cell r="J1300"/>
          <cell r="K1300"/>
          <cell r="L1300"/>
          <cell r="N1300"/>
          <cell r="O1300"/>
        </row>
        <row r="1301">
          <cell r="B1301"/>
          <cell r="C1301"/>
          <cell r="D1301"/>
          <cell r="E1301"/>
          <cell r="G1301"/>
          <cell r="I1301"/>
          <cell r="J1301"/>
          <cell r="K1301"/>
          <cell r="L1301"/>
          <cell r="N1301"/>
          <cell r="O1301"/>
        </row>
        <row r="1302">
          <cell r="B1302"/>
          <cell r="C1302"/>
          <cell r="D1302"/>
          <cell r="E1302"/>
          <cell r="G1302"/>
          <cell r="I1302"/>
          <cell r="J1302"/>
          <cell r="K1302"/>
          <cell r="L1302"/>
          <cell r="N1302"/>
          <cell r="O1302"/>
        </row>
        <row r="1303">
          <cell r="B1303"/>
          <cell r="C1303"/>
          <cell r="D1303"/>
          <cell r="E1303"/>
          <cell r="G1303"/>
          <cell r="I1303"/>
          <cell r="J1303"/>
          <cell r="K1303"/>
          <cell r="L1303"/>
          <cell r="N1303"/>
          <cell r="O1303"/>
        </row>
        <row r="1304">
          <cell r="B1304"/>
          <cell r="C1304"/>
          <cell r="D1304"/>
          <cell r="E1304"/>
          <cell r="G1304"/>
          <cell r="I1304"/>
          <cell r="J1304"/>
          <cell r="K1304"/>
          <cell r="L1304"/>
          <cell r="N1304"/>
          <cell r="O1304"/>
        </row>
        <row r="1305">
          <cell r="B1305"/>
          <cell r="C1305"/>
          <cell r="D1305"/>
          <cell r="E1305"/>
          <cell r="G1305"/>
          <cell r="I1305"/>
          <cell r="J1305"/>
          <cell r="K1305"/>
          <cell r="L1305"/>
          <cell r="N1305"/>
          <cell r="O1305"/>
        </row>
        <row r="1306">
          <cell r="B1306"/>
          <cell r="C1306"/>
          <cell r="D1306"/>
          <cell r="E1306"/>
          <cell r="G1306"/>
          <cell r="I1306"/>
          <cell r="J1306"/>
          <cell r="K1306"/>
          <cell r="L1306"/>
          <cell r="N1306"/>
          <cell r="O1306"/>
        </row>
        <row r="1307">
          <cell r="B1307"/>
          <cell r="C1307"/>
          <cell r="D1307"/>
          <cell r="E1307"/>
          <cell r="G1307"/>
          <cell r="I1307"/>
          <cell r="J1307"/>
          <cell r="K1307"/>
          <cell r="L1307"/>
          <cell r="N1307"/>
          <cell r="O1307"/>
        </row>
        <row r="1308">
          <cell r="B1308"/>
          <cell r="C1308"/>
          <cell r="D1308"/>
          <cell r="E1308"/>
          <cell r="G1308"/>
          <cell r="I1308"/>
          <cell r="J1308"/>
          <cell r="K1308"/>
          <cell r="L1308"/>
          <cell r="N1308"/>
          <cell r="O1308"/>
        </row>
        <row r="1309">
          <cell r="B1309"/>
          <cell r="C1309"/>
          <cell r="D1309"/>
          <cell r="E1309"/>
          <cell r="G1309"/>
          <cell r="I1309"/>
          <cell r="J1309"/>
          <cell r="K1309"/>
          <cell r="L1309"/>
          <cell r="N1309"/>
          <cell r="O1309"/>
        </row>
        <row r="1310">
          <cell r="B1310"/>
          <cell r="C1310"/>
          <cell r="D1310"/>
          <cell r="E1310"/>
          <cell r="G1310"/>
          <cell r="I1310"/>
          <cell r="J1310"/>
          <cell r="K1310"/>
          <cell r="L1310"/>
          <cell r="N1310"/>
          <cell r="O1310"/>
        </row>
        <row r="1311">
          <cell r="B1311"/>
          <cell r="C1311"/>
          <cell r="D1311"/>
          <cell r="E1311"/>
          <cell r="G1311"/>
          <cell r="I1311"/>
          <cell r="J1311"/>
          <cell r="K1311"/>
          <cell r="L1311"/>
          <cell r="N1311"/>
          <cell r="O1311"/>
        </row>
        <row r="1312">
          <cell r="B1312"/>
          <cell r="C1312"/>
          <cell r="D1312"/>
          <cell r="E1312"/>
          <cell r="G1312"/>
          <cell r="I1312"/>
          <cell r="J1312"/>
          <cell r="K1312"/>
          <cell r="L1312"/>
          <cell r="N1312"/>
          <cell r="O1312"/>
        </row>
        <row r="1313">
          <cell r="B1313"/>
          <cell r="C1313"/>
          <cell r="D1313"/>
          <cell r="E1313"/>
          <cell r="G1313"/>
          <cell r="I1313"/>
          <cell r="J1313"/>
          <cell r="K1313"/>
          <cell r="L1313"/>
          <cell r="N1313"/>
          <cell r="O1313"/>
        </row>
        <row r="1314">
          <cell r="B1314"/>
          <cell r="C1314"/>
          <cell r="D1314"/>
          <cell r="E1314"/>
          <cell r="G1314"/>
          <cell r="I1314"/>
          <cell r="J1314"/>
          <cell r="K1314"/>
          <cell r="L1314"/>
          <cell r="N1314"/>
          <cell r="O1314"/>
        </row>
        <row r="1315">
          <cell r="B1315"/>
          <cell r="C1315"/>
          <cell r="D1315"/>
          <cell r="E1315"/>
          <cell r="G1315"/>
          <cell r="I1315"/>
          <cell r="J1315"/>
          <cell r="K1315"/>
          <cell r="L1315"/>
          <cell r="N1315"/>
          <cell r="O1315"/>
        </row>
        <row r="1316">
          <cell r="B1316"/>
          <cell r="C1316"/>
          <cell r="D1316"/>
          <cell r="E1316"/>
          <cell r="G1316"/>
          <cell r="I1316"/>
          <cell r="J1316"/>
          <cell r="K1316"/>
          <cell r="L1316"/>
          <cell r="N1316"/>
          <cell r="O1316"/>
        </row>
        <row r="1317">
          <cell r="B1317"/>
          <cell r="C1317"/>
          <cell r="D1317"/>
          <cell r="E1317"/>
          <cell r="G1317"/>
          <cell r="I1317"/>
          <cell r="J1317"/>
          <cell r="K1317"/>
          <cell r="L1317"/>
          <cell r="N1317"/>
          <cell r="O1317"/>
        </row>
        <row r="1318">
          <cell r="B1318"/>
          <cell r="C1318"/>
          <cell r="D1318"/>
          <cell r="E1318"/>
          <cell r="G1318"/>
          <cell r="I1318"/>
          <cell r="J1318"/>
          <cell r="K1318"/>
          <cell r="L1318"/>
          <cell r="N1318"/>
          <cell r="O1318"/>
        </row>
        <row r="1319">
          <cell r="B1319"/>
          <cell r="C1319"/>
          <cell r="D1319"/>
          <cell r="E1319"/>
          <cell r="G1319"/>
          <cell r="I1319"/>
          <cell r="J1319"/>
          <cell r="K1319"/>
          <cell r="L1319"/>
          <cell r="N1319"/>
          <cell r="O1319"/>
        </row>
        <row r="1320">
          <cell r="B1320"/>
          <cell r="C1320"/>
          <cell r="D1320"/>
          <cell r="E1320"/>
          <cell r="G1320"/>
          <cell r="I1320"/>
          <cell r="J1320"/>
          <cell r="K1320"/>
          <cell r="L1320"/>
          <cell r="N1320"/>
          <cell r="O1320"/>
        </row>
        <row r="1321">
          <cell r="B1321"/>
          <cell r="C1321"/>
          <cell r="D1321"/>
          <cell r="E1321"/>
          <cell r="G1321"/>
          <cell r="I1321"/>
          <cell r="J1321"/>
          <cell r="K1321"/>
          <cell r="L1321"/>
          <cell r="N1321"/>
          <cell r="O1321"/>
        </row>
        <row r="1322">
          <cell r="B1322"/>
          <cell r="C1322"/>
          <cell r="D1322"/>
          <cell r="E1322"/>
          <cell r="G1322"/>
          <cell r="I1322"/>
          <cell r="J1322"/>
          <cell r="K1322"/>
          <cell r="L1322"/>
          <cell r="N1322"/>
          <cell r="O1322"/>
        </row>
        <row r="1323">
          <cell r="B1323"/>
          <cell r="C1323"/>
          <cell r="D1323"/>
          <cell r="E1323"/>
          <cell r="G1323"/>
          <cell r="I1323"/>
          <cell r="J1323"/>
          <cell r="K1323"/>
          <cell r="L1323"/>
          <cell r="N1323"/>
          <cell r="O1323"/>
        </row>
        <row r="1324">
          <cell r="B1324"/>
          <cell r="C1324"/>
          <cell r="D1324"/>
          <cell r="E1324"/>
          <cell r="G1324"/>
          <cell r="I1324"/>
          <cell r="J1324"/>
          <cell r="K1324"/>
          <cell r="L1324"/>
          <cell r="N1324"/>
          <cell r="O1324"/>
        </row>
        <row r="1325">
          <cell r="B1325"/>
          <cell r="C1325"/>
          <cell r="D1325"/>
          <cell r="E1325"/>
          <cell r="G1325"/>
          <cell r="I1325"/>
          <cell r="J1325"/>
          <cell r="K1325"/>
          <cell r="L1325"/>
          <cell r="N1325"/>
          <cell r="O1325"/>
        </row>
        <row r="1326">
          <cell r="B1326"/>
          <cell r="C1326"/>
          <cell r="D1326"/>
          <cell r="E1326"/>
          <cell r="G1326"/>
          <cell r="I1326"/>
          <cell r="J1326"/>
          <cell r="K1326"/>
          <cell r="L1326"/>
          <cell r="N1326"/>
          <cell r="O1326"/>
        </row>
        <row r="1327">
          <cell r="B1327"/>
          <cell r="C1327"/>
          <cell r="D1327"/>
          <cell r="E1327"/>
          <cell r="G1327"/>
          <cell r="I1327"/>
          <cell r="J1327"/>
          <cell r="K1327"/>
          <cell r="L1327"/>
          <cell r="N1327"/>
          <cell r="O1327"/>
        </row>
        <row r="1328">
          <cell r="B1328"/>
          <cell r="C1328"/>
          <cell r="D1328"/>
          <cell r="E1328"/>
          <cell r="G1328"/>
          <cell r="I1328"/>
          <cell r="J1328"/>
          <cell r="K1328"/>
          <cell r="L1328"/>
          <cell r="N1328"/>
          <cell r="O1328"/>
        </row>
        <row r="1329">
          <cell r="B1329"/>
          <cell r="C1329"/>
          <cell r="D1329"/>
          <cell r="E1329"/>
          <cell r="G1329"/>
          <cell r="I1329"/>
          <cell r="J1329"/>
          <cell r="K1329"/>
          <cell r="L1329"/>
          <cell r="N1329"/>
          <cell r="O1329"/>
        </row>
        <row r="1330">
          <cell r="B1330"/>
          <cell r="C1330"/>
          <cell r="D1330"/>
          <cell r="E1330"/>
          <cell r="G1330"/>
          <cell r="I1330"/>
          <cell r="J1330"/>
          <cell r="K1330"/>
          <cell r="L1330"/>
          <cell r="N1330"/>
          <cell r="O1330"/>
        </row>
        <row r="1331">
          <cell r="B1331"/>
          <cell r="C1331"/>
          <cell r="D1331"/>
          <cell r="E1331"/>
          <cell r="G1331"/>
          <cell r="I1331"/>
          <cell r="J1331"/>
          <cell r="K1331"/>
          <cell r="L1331"/>
          <cell r="N1331"/>
          <cell r="O1331"/>
        </row>
        <row r="1332">
          <cell r="B1332"/>
          <cell r="C1332"/>
          <cell r="D1332"/>
          <cell r="E1332"/>
          <cell r="G1332"/>
          <cell r="I1332"/>
          <cell r="J1332"/>
          <cell r="K1332"/>
          <cell r="L1332"/>
          <cell r="N1332"/>
          <cell r="O1332"/>
        </row>
        <row r="1333">
          <cell r="B1333"/>
          <cell r="C1333"/>
          <cell r="D1333"/>
          <cell r="E1333"/>
          <cell r="G1333"/>
          <cell r="I1333"/>
          <cell r="J1333"/>
          <cell r="K1333"/>
          <cell r="L1333"/>
          <cell r="N1333"/>
          <cell r="O1333"/>
        </row>
        <row r="1334">
          <cell r="B1334"/>
          <cell r="C1334"/>
          <cell r="D1334"/>
          <cell r="E1334"/>
          <cell r="G1334"/>
          <cell r="I1334"/>
          <cell r="J1334"/>
          <cell r="K1334"/>
          <cell r="L1334"/>
          <cell r="N1334"/>
          <cell r="O1334"/>
        </row>
        <row r="1335">
          <cell r="B1335"/>
          <cell r="C1335"/>
          <cell r="D1335"/>
          <cell r="E1335"/>
          <cell r="G1335"/>
          <cell r="I1335"/>
          <cell r="J1335"/>
          <cell r="K1335"/>
          <cell r="L1335"/>
          <cell r="N1335"/>
          <cell r="O1335"/>
        </row>
        <row r="1336">
          <cell r="B1336"/>
          <cell r="C1336"/>
          <cell r="D1336"/>
          <cell r="E1336"/>
          <cell r="G1336"/>
          <cell r="I1336"/>
          <cell r="J1336"/>
          <cell r="K1336"/>
          <cell r="L1336"/>
          <cell r="N1336"/>
          <cell r="O1336"/>
        </row>
        <row r="1337">
          <cell r="B1337"/>
          <cell r="C1337"/>
          <cell r="D1337"/>
          <cell r="E1337"/>
          <cell r="G1337"/>
          <cell r="I1337"/>
          <cell r="J1337"/>
          <cell r="K1337"/>
          <cell r="L1337"/>
          <cell r="N1337"/>
          <cell r="O1337"/>
        </row>
        <row r="1338">
          <cell r="B1338"/>
          <cell r="C1338"/>
          <cell r="D1338"/>
          <cell r="E1338"/>
          <cell r="G1338"/>
          <cell r="I1338"/>
          <cell r="J1338"/>
          <cell r="K1338"/>
          <cell r="L1338"/>
          <cell r="N1338"/>
          <cell r="O1338"/>
        </row>
        <row r="1339">
          <cell r="B1339"/>
          <cell r="C1339"/>
          <cell r="D1339"/>
          <cell r="E1339"/>
          <cell r="G1339"/>
          <cell r="I1339"/>
          <cell r="J1339"/>
          <cell r="K1339"/>
          <cell r="L1339"/>
          <cell r="N1339"/>
          <cell r="O1339"/>
        </row>
        <row r="1340">
          <cell r="B1340"/>
          <cell r="C1340"/>
          <cell r="D1340"/>
          <cell r="E1340"/>
          <cell r="G1340"/>
          <cell r="I1340"/>
          <cell r="J1340"/>
          <cell r="K1340"/>
          <cell r="L1340"/>
          <cell r="N1340"/>
          <cell r="O1340"/>
        </row>
        <row r="1341">
          <cell r="B1341"/>
          <cell r="C1341"/>
          <cell r="D1341"/>
          <cell r="E1341"/>
          <cell r="G1341"/>
          <cell r="I1341"/>
          <cell r="J1341"/>
          <cell r="K1341"/>
          <cell r="L1341"/>
          <cell r="N1341"/>
          <cell r="O1341"/>
        </row>
        <row r="1342">
          <cell r="B1342"/>
          <cell r="C1342"/>
          <cell r="D1342"/>
          <cell r="E1342"/>
          <cell r="G1342"/>
          <cell r="I1342"/>
          <cell r="J1342"/>
          <cell r="K1342"/>
          <cell r="L1342"/>
          <cell r="N1342"/>
          <cell r="O1342"/>
        </row>
        <row r="1343">
          <cell r="B1343"/>
          <cell r="C1343"/>
          <cell r="D1343"/>
          <cell r="E1343"/>
          <cell r="G1343"/>
          <cell r="I1343"/>
          <cell r="J1343"/>
          <cell r="K1343"/>
          <cell r="L1343"/>
          <cell r="N1343"/>
          <cell r="O1343"/>
        </row>
        <row r="1344">
          <cell r="B1344"/>
          <cell r="C1344"/>
          <cell r="D1344"/>
          <cell r="E1344"/>
          <cell r="G1344"/>
          <cell r="I1344"/>
          <cell r="J1344"/>
          <cell r="K1344"/>
          <cell r="L1344"/>
          <cell r="N1344"/>
          <cell r="O1344"/>
        </row>
        <row r="1345">
          <cell r="B1345"/>
          <cell r="C1345"/>
          <cell r="D1345"/>
          <cell r="E1345"/>
          <cell r="G1345"/>
          <cell r="I1345"/>
          <cell r="J1345"/>
          <cell r="K1345"/>
          <cell r="L1345"/>
          <cell r="N1345"/>
          <cell r="O1345"/>
        </row>
        <row r="1346">
          <cell r="B1346"/>
          <cell r="C1346"/>
          <cell r="D1346"/>
          <cell r="E1346"/>
          <cell r="G1346"/>
          <cell r="I1346"/>
          <cell r="J1346"/>
          <cell r="K1346"/>
          <cell r="L1346"/>
          <cell r="N1346"/>
          <cell r="O1346"/>
        </row>
        <row r="1347">
          <cell r="B1347"/>
          <cell r="C1347"/>
          <cell r="D1347"/>
          <cell r="E1347"/>
          <cell r="G1347"/>
          <cell r="I1347"/>
          <cell r="J1347"/>
          <cell r="K1347"/>
          <cell r="L1347"/>
          <cell r="N1347"/>
          <cell r="O1347"/>
        </row>
        <row r="1348">
          <cell r="B1348"/>
          <cell r="C1348"/>
          <cell r="D1348"/>
          <cell r="E1348"/>
          <cell r="G1348"/>
          <cell r="I1348"/>
          <cell r="J1348"/>
          <cell r="K1348"/>
          <cell r="L1348"/>
          <cell r="N1348"/>
          <cell r="O1348"/>
        </row>
        <row r="1349">
          <cell r="B1349"/>
          <cell r="C1349"/>
          <cell r="D1349"/>
          <cell r="E1349"/>
          <cell r="G1349"/>
          <cell r="I1349"/>
          <cell r="J1349"/>
          <cell r="K1349"/>
          <cell r="L1349"/>
          <cell r="N1349"/>
          <cell r="O1349"/>
        </row>
        <row r="1350">
          <cell r="B1350"/>
          <cell r="C1350"/>
          <cell r="D1350"/>
          <cell r="E1350"/>
          <cell r="G1350"/>
          <cell r="I1350"/>
          <cell r="J1350"/>
          <cell r="K1350"/>
          <cell r="L1350"/>
          <cell r="N1350"/>
          <cell r="O1350"/>
        </row>
        <row r="1351">
          <cell r="B1351"/>
          <cell r="C1351"/>
          <cell r="D1351"/>
          <cell r="E1351"/>
          <cell r="G1351"/>
          <cell r="I1351"/>
          <cell r="J1351"/>
          <cell r="K1351"/>
          <cell r="L1351"/>
          <cell r="N1351"/>
          <cell r="O1351"/>
        </row>
        <row r="1352">
          <cell r="B1352"/>
          <cell r="C1352"/>
          <cell r="D1352"/>
          <cell r="E1352"/>
          <cell r="G1352"/>
          <cell r="I1352"/>
          <cell r="J1352"/>
          <cell r="K1352"/>
          <cell r="L1352"/>
          <cell r="N1352"/>
          <cell r="O1352"/>
        </row>
        <row r="1353">
          <cell r="B1353"/>
          <cell r="C1353"/>
          <cell r="D1353"/>
          <cell r="E1353"/>
          <cell r="G1353"/>
          <cell r="I1353"/>
          <cell r="J1353"/>
          <cell r="K1353"/>
          <cell r="L1353"/>
          <cell r="N1353"/>
          <cell r="O1353"/>
        </row>
        <row r="1354">
          <cell r="B1354"/>
          <cell r="C1354"/>
          <cell r="D1354"/>
          <cell r="E1354"/>
          <cell r="G1354"/>
          <cell r="I1354"/>
          <cell r="J1354"/>
          <cell r="K1354"/>
          <cell r="L1354"/>
          <cell r="N1354"/>
          <cell r="O1354"/>
        </row>
        <row r="1355">
          <cell r="B1355"/>
          <cell r="C1355"/>
          <cell r="D1355"/>
          <cell r="E1355"/>
          <cell r="G1355"/>
          <cell r="I1355"/>
          <cell r="J1355"/>
          <cell r="K1355"/>
          <cell r="L1355"/>
          <cell r="N1355"/>
          <cell r="O1355"/>
        </row>
        <row r="1356">
          <cell r="B1356"/>
          <cell r="C1356"/>
          <cell r="D1356"/>
          <cell r="E1356"/>
          <cell r="G1356"/>
          <cell r="I1356"/>
          <cell r="J1356"/>
          <cell r="K1356"/>
          <cell r="L1356"/>
          <cell r="N1356"/>
          <cell r="O1356"/>
        </row>
        <row r="1357">
          <cell r="B1357"/>
          <cell r="C1357"/>
          <cell r="D1357"/>
          <cell r="E1357"/>
          <cell r="G1357"/>
          <cell r="I1357"/>
          <cell r="J1357"/>
          <cell r="K1357"/>
          <cell r="L1357"/>
          <cell r="N1357"/>
          <cell r="O1357"/>
        </row>
        <row r="1358">
          <cell r="B1358"/>
          <cell r="C1358"/>
          <cell r="D1358"/>
          <cell r="E1358"/>
          <cell r="G1358"/>
          <cell r="I1358"/>
          <cell r="J1358"/>
          <cell r="K1358"/>
          <cell r="L1358"/>
          <cell r="N1358"/>
          <cell r="O1358"/>
        </row>
        <row r="1359">
          <cell r="B1359"/>
          <cell r="C1359"/>
          <cell r="D1359"/>
          <cell r="E1359"/>
          <cell r="G1359"/>
          <cell r="I1359"/>
          <cell r="J1359"/>
          <cell r="K1359"/>
          <cell r="L1359"/>
          <cell r="N1359"/>
          <cell r="O1359"/>
        </row>
        <row r="1360">
          <cell r="B1360"/>
          <cell r="C1360"/>
          <cell r="D1360"/>
          <cell r="E1360"/>
          <cell r="G1360"/>
          <cell r="I1360"/>
          <cell r="J1360"/>
          <cell r="K1360"/>
          <cell r="L1360"/>
          <cell r="N1360"/>
          <cell r="O1360"/>
        </row>
        <row r="1361">
          <cell r="B1361"/>
          <cell r="C1361"/>
          <cell r="D1361"/>
          <cell r="E1361"/>
          <cell r="G1361"/>
          <cell r="I1361"/>
          <cell r="J1361"/>
          <cell r="K1361"/>
          <cell r="L1361"/>
          <cell r="N1361"/>
          <cell r="O1361"/>
        </row>
        <row r="1362">
          <cell r="B1362"/>
          <cell r="C1362"/>
          <cell r="D1362"/>
          <cell r="E1362"/>
          <cell r="G1362"/>
          <cell r="I1362"/>
          <cell r="J1362"/>
          <cell r="K1362"/>
          <cell r="L1362"/>
          <cell r="N1362"/>
          <cell r="O1362"/>
        </row>
        <row r="1363">
          <cell r="B1363"/>
          <cell r="C1363"/>
          <cell r="D1363"/>
          <cell r="E1363"/>
          <cell r="G1363"/>
          <cell r="I1363"/>
          <cell r="J1363"/>
          <cell r="K1363"/>
          <cell r="L1363"/>
          <cell r="N1363"/>
          <cell r="O1363"/>
        </row>
        <row r="1364">
          <cell r="B1364"/>
          <cell r="C1364"/>
          <cell r="D1364"/>
          <cell r="E1364"/>
          <cell r="G1364"/>
          <cell r="I1364"/>
          <cell r="J1364"/>
          <cell r="K1364"/>
          <cell r="L1364"/>
          <cell r="N1364"/>
          <cell r="O1364"/>
        </row>
        <row r="1365">
          <cell r="B1365"/>
          <cell r="C1365"/>
          <cell r="D1365"/>
          <cell r="E1365"/>
          <cell r="G1365"/>
          <cell r="I1365"/>
          <cell r="J1365"/>
          <cell r="K1365"/>
          <cell r="L1365"/>
          <cell r="N1365"/>
          <cell r="O1365"/>
        </row>
        <row r="1366">
          <cell r="B1366"/>
          <cell r="C1366"/>
          <cell r="D1366"/>
          <cell r="E1366"/>
          <cell r="G1366"/>
          <cell r="I1366"/>
          <cell r="J1366"/>
          <cell r="K1366"/>
          <cell r="L1366"/>
          <cell r="N1366"/>
          <cell r="O1366"/>
        </row>
        <row r="1367">
          <cell r="B1367"/>
          <cell r="C1367"/>
          <cell r="D1367"/>
          <cell r="E1367"/>
          <cell r="G1367"/>
          <cell r="I1367"/>
          <cell r="J1367"/>
          <cell r="K1367"/>
          <cell r="L1367"/>
          <cell r="N1367"/>
          <cell r="O1367"/>
        </row>
        <row r="1368">
          <cell r="B1368"/>
          <cell r="C1368"/>
          <cell r="D1368"/>
          <cell r="E1368"/>
          <cell r="G1368"/>
          <cell r="I1368"/>
          <cell r="J1368"/>
          <cell r="K1368"/>
          <cell r="L1368"/>
          <cell r="N1368"/>
          <cell r="O1368"/>
        </row>
        <row r="1369">
          <cell r="B1369"/>
          <cell r="C1369"/>
          <cell r="D1369"/>
          <cell r="E1369"/>
          <cell r="G1369"/>
          <cell r="I1369"/>
          <cell r="J1369"/>
          <cell r="K1369"/>
          <cell r="L1369"/>
          <cell r="N1369"/>
          <cell r="O1369"/>
        </row>
        <row r="1370">
          <cell r="B1370"/>
          <cell r="C1370"/>
          <cell r="D1370"/>
          <cell r="E1370"/>
          <cell r="G1370"/>
          <cell r="I1370"/>
          <cell r="J1370"/>
          <cell r="K1370"/>
          <cell r="L1370"/>
          <cell r="N1370"/>
          <cell r="O1370"/>
        </row>
        <row r="1371">
          <cell r="B1371"/>
          <cell r="C1371"/>
          <cell r="D1371"/>
          <cell r="E1371"/>
          <cell r="G1371"/>
          <cell r="I1371"/>
          <cell r="J1371"/>
          <cell r="K1371"/>
          <cell r="L1371"/>
          <cell r="N1371"/>
          <cell r="O1371"/>
        </row>
        <row r="1372">
          <cell r="B1372"/>
          <cell r="C1372"/>
          <cell r="D1372"/>
          <cell r="E1372"/>
          <cell r="G1372"/>
          <cell r="I1372"/>
          <cell r="J1372"/>
          <cell r="K1372"/>
          <cell r="L1372"/>
          <cell r="N1372"/>
          <cell r="O1372"/>
        </row>
        <row r="1373">
          <cell r="B1373"/>
          <cell r="C1373"/>
          <cell r="D1373"/>
          <cell r="E1373"/>
          <cell r="G1373"/>
          <cell r="I1373"/>
          <cell r="J1373"/>
          <cell r="K1373"/>
          <cell r="L1373"/>
          <cell r="N1373"/>
          <cell r="O1373"/>
        </row>
        <row r="1374">
          <cell r="B1374"/>
          <cell r="C1374"/>
          <cell r="D1374"/>
          <cell r="E1374"/>
          <cell r="G1374"/>
          <cell r="I1374"/>
          <cell r="J1374"/>
          <cell r="K1374"/>
          <cell r="L1374"/>
          <cell r="N1374"/>
          <cell r="O1374"/>
        </row>
        <row r="1375">
          <cell r="B1375"/>
          <cell r="C1375"/>
          <cell r="D1375"/>
          <cell r="E1375"/>
          <cell r="G1375"/>
          <cell r="I1375"/>
          <cell r="J1375"/>
          <cell r="K1375"/>
          <cell r="L1375"/>
          <cell r="N1375"/>
          <cell r="O1375"/>
        </row>
        <row r="1376">
          <cell r="B1376"/>
          <cell r="C1376"/>
          <cell r="D1376"/>
          <cell r="E1376"/>
          <cell r="G1376"/>
          <cell r="I1376"/>
          <cell r="J1376"/>
          <cell r="K1376"/>
          <cell r="L1376"/>
          <cell r="N1376"/>
          <cell r="O1376"/>
        </row>
        <row r="1377">
          <cell r="B1377"/>
          <cell r="C1377"/>
          <cell r="D1377"/>
          <cell r="E1377"/>
          <cell r="G1377"/>
          <cell r="I1377"/>
          <cell r="J1377"/>
          <cell r="K1377"/>
          <cell r="L1377"/>
          <cell r="N1377"/>
          <cell r="O1377"/>
        </row>
        <row r="1378">
          <cell r="B1378"/>
          <cell r="C1378"/>
          <cell r="D1378"/>
          <cell r="E1378"/>
          <cell r="G1378"/>
          <cell r="I1378"/>
          <cell r="J1378"/>
          <cell r="K1378"/>
          <cell r="L1378"/>
          <cell r="N1378"/>
          <cell r="O1378"/>
        </row>
        <row r="1379">
          <cell r="B1379"/>
          <cell r="C1379"/>
          <cell r="D1379"/>
          <cell r="E1379"/>
          <cell r="G1379"/>
          <cell r="I1379"/>
          <cell r="J1379"/>
          <cell r="K1379"/>
          <cell r="L1379"/>
          <cell r="N1379"/>
          <cell r="O1379"/>
        </row>
        <row r="1380">
          <cell r="B1380"/>
          <cell r="C1380"/>
          <cell r="D1380"/>
          <cell r="E1380"/>
          <cell r="G1380"/>
          <cell r="I1380"/>
          <cell r="J1380"/>
          <cell r="K1380"/>
          <cell r="L1380"/>
          <cell r="N1380"/>
          <cell r="O1380"/>
        </row>
        <row r="1381">
          <cell r="B1381"/>
          <cell r="C1381"/>
          <cell r="D1381"/>
          <cell r="E1381"/>
          <cell r="G1381"/>
          <cell r="I1381"/>
          <cell r="J1381"/>
          <cell r="K1381"/>
          <cell r="L1381"/>
          <cell r="N1381"/>
          <cell r="O1381"/>
        </row>
        <row r="1382">
          <cell r="B1382"/>
          <cell r="C1382"/>
          <cell r="D1382"/>
          <cell r="E1382"/>
          <cell r="G1382"/>
          <cell r="I1382"/>
          <cell r="J1382"/>
          <cell r="K1382"/>
          <cell r="L1382"/>
          <cell r="N1382"/>
          <cell r="O1382"/>
        </row>
        <row r="1383">
          <cell r="B1383"/>
          <cell r="C1383"/>
          <cell r="D1383"/>
          <cell r="E1383"/>
          <cell r="G1383"/>
          <cell r="I1383"/>
          <cell r="J1383"/>
          <cell r="K1383"/>
          <cell r="L1383"/>
          <cell r="N1383"/>
          <cell r="O1383"/>
        </row>
        <row r="1384">
          <cell r="B1384"/>
          <cell r="C1384"/>
          <cell r="D1384"/>
          <cell r="E1384"/>
          <cell r="G1384"/>
          <cell r="I1384"/>
          <cell r="J1384"/>
          <cell r="K1384"/>
          <cell r="L1384"/>
          <cell r="N1384"/>
          <cell r="O1384"/>
        </row>
        <row r="1385">
          <cell r="B1385"/>
          <cell r="C1385"/>
          <cell r="D1385"/>
          <cell r="E1385"/>
          <cell r="G1385"/>
          <cell r="I1385"/>
          <cell r="J1385"/>
          <cell r="K1385"/>
          <cell r="L1385"/>
          <cell r="N1385"/>
          <cell r="O1385"/>
        </row>
        <row r="1386">
          <cell r="B1386"/>
          <cell r="C1386"/>
          <cell r="D1386"/>
          <cell r="E1386"/>
          <cell r="G1386"/>
          <cell r="I1386"/>
          <cell r="J1386"/>
          <cell r="K1386"/>
          <cell r="L1386"/>
          <cell r="N1386"/>
          <cell r="O1386"/>
        </row>
        <row r="1387">
          <cell r="B1387"/>
          <cell r="C1387"/>
          <cell r="D1387"/>
          <cell r="E1387"/>
          <cell r="G1387"/>
          <cell r="I1387"/>
          <cell r="J1387"/>
          <cell r="K1387"/>
          <cell r="L1387"/>
          <cell r="N1387"/>
          <cell r="O1387"/>
        </row>
        <row r="1388">
          <cell r="B1388"/>
          <cell r="C1388"/>
          <cell r="D1388"/>
          <cell r="E1388"/>
          <cell r="G1388"/>
          <cell r="I1388"/>
          <cell r="J1388"/>
          <cell r="K1388"/>
          <cell r="L1388"/>
          <cell r="N1388"/>
          <cell r="O1388"/>
        </row>
        <row r="1389">
          <cell r="B1389"/>
          <cell r="C1389"/>
          <cell r="D1389"/>
          <cell r="E1389"/>
          <cell r="G1389"/>
          <cell r="I1389"/>
          <cell r="J1389"/>
          <cell r="K1389"/>
          <cell r="L1389"/>
          <cell r="N1389"/>
          <cell r="O1389"/>
        </row>
        <row r="1390">
          <cell r="B1390"/>
          <cell r="C1390"/>
          <cell r="D1390"/>
          <cell r="E1390"/>
          <cell r="G1390"/>
          <cell r="I1390"/>
          <cell r="J1390"/>
          <cell r="K1390"/>
          <cell r="L1390"/>
          <cell r="N1390"/>
          <cell r="O1390"/>
        </row>
        <row r="1391">
          <cell r="B1391"/>
          <cell r="C1391"/>
          <cell r="D1391"/>
          <cell r="E1391"/>
          <cell r="G1391"/>
          <cell r="I1391"/>
          <cell r="J1391"/>
          <cell r="K1391"/>
          <cell r="L1391"/>
          <cell r="N1391"/>
          <cell r="O1391"/>
        </row>
        <row r="1392">
          <cell r="B1392"/>
          <cell r="C1392"/>
          <cell r="D1392"/>
          <cell r="E1392"/>
          <cell r="G1392"/>
          <cell r="I1392"/>
          <cell r="J1392"/>
          <cell r="K1392"/>
          <cell r="L1392"/>
          <cell r="N1392"/>
          <cell r="O1392"/>
        </row>
        <row r="1393">
          <cell r="B1393"/>
          <cell r="C1393"/>
          <cell r="D1393"/>
          <cell r="E1393"/>
          <cell r="G1393"/>
          <cell r="I1393"/>
          <cell r="J1393"/>
          <cell r="K1393"/>
          <cell r="L1393"/>
          <cell r="N1393"/>
          <cell r="O1393"/>
        </row>
        <row r="1394">
          <cell r="B1394"/>
          <cell r="C1394"/>
          <cell r="D1394"/>
          <cell r="E1394"/>
          <cell r="G1394"/>
          <cell r="I1394"/>
          <cell r="J1394"/>
          <cell r="K1394"/>
          <cell r="L1394"/>
          <cell r="N1394"/>
          <cell r="O1394"/>
        </row>
        <row r="1395">
          <cell r="B1395"/>
          <cell r="C1395"/>
          <cell r="D1395"/>
          <cell r="E1395"/>
          <cell r="G1395"/>
          <cell r="I1395"/>
          <cell r="J1395"/>
          <cell r="K1395"/>
          <cell r="L1395"/>
          <cell r="N1395"/>
          <cell r="O1395"/>
        </row>
        <row r="1396">
          <cell r="B1396"/>
          <cell r="C1396"/>
          <cell r="D1396"/>
          <cell r="E1396"/>
          <cell r="G1396"/>
          <cell r="I1396"/>
          <cell r="J1396"/>
          <cell r="K1396"/>
          <cell r="L1396"/>
          <cell r="N1396"/>
          <cell r="O1396"/>
        </row>
        <row r="1397">
          <cell r="B1397"/>
          <cell r="C1397"/>
          <cell r="D1397"/>
          <cell r="E1397"/>
          <cell r="G1397"/>
          <cell r="I1397"/>
          <cell r="J1397"/>
          <cell r="K1397"/>
          <cell r="L1397"/>
          <cell r="N1397"/>
          <cell r="O1397"/>
        </row>
        <row r="1398">
          <cell r="B1398"/>
          <cell r="C1398"/>
          <cell r="D1398"/>
          <cell r="E1398"/>
          <cell r="G1398"/>
          <cell r="I1398"/>
          <cell r="J1398"/>
          <cell r="K1398"/>
          <cell r="L1398"/>
          <cell r="N1398"/>
          <cell r="O1398"/>
        </row>
        <row r="1399">
          <cell r="B1399"/>
          <cell r="C1399"/>
          <cell r="D1399"/>
          <cell r="E1399"/>
          <cell r="G1399"/>
          <cell r="I1399"/>
          <cell r="J1399"/>
          <cell r="K1399"/>
          <cell r="L1399"/>
          <cell r="N1399"/>
          <cell r="O1399"/>
        </row>
        <row r="1400">
          <cell r="B1400"/>
          <cell r="C1400"/>
          <cell r="D1400"/>
          <cell r="E1400"/>
          <cell r="G1400"/>
          <cell r="I1400"/>
          <cell r="J1400"/>
          <cell r="K1400"/>
          <cell r="L1400"/>
          <cell r="N1400"/>
          <cell r="O1400"/>
        </row>
        <row r="1401">
          <cell r="B1401"/>
          <cell r="C1401"/>
          <cell r="D1401"/>
          <cell r="E1401"/>
          <cell r="G1401"/>
          <cell r="I1401"/>
          <cell r="J1401"/>
          <cell r="K1401"/>
          <cell r="L1401"/>
          <cell r="N1401"/>
          <cell r="O1401"/>
        </row>
        <row r="1402">
          <cell r="B1402"/>
          <cell r="C1402"/>
          <cell r="D1402"/>
          <cell r="E1402"/>
          <cell r="G1402"/>
          <cell r="I1402"/>
          <cell r="J1402"/>
          <cell r="K1402"/>
          <cell r="L1402"/>
          <cell r="N1402"/>
          <cell r="O1402"/>
        </row>
        <row r="1403">
          <cell r="B1403"/>
          <cell r="C1403"/>
          <cell r="D1403"/>
          <cell r="E1403"/>
          <cell r="G1403"/>
          <cell r="I1403"/>
          <cell r="J1403"/>
          <cell r="K1403"/>
          <cell r="L1403"/>
          <cell r="N1403"/>
          <cell r="O1403"/>
        </row>
        <row r="1404">
          <cell r="B1404"/>
          <cell r="C1404"/>
          <cell r="D1404"/>
          <cell r="E1404"/>
          <cell r="G1404"/>
          <cell r="I1404"/>
          <cell r="J1404"/>
          <cell r="K1404"/>
          <cell r="L1404"/>
          <cell r="N1404"/>
          <cell r="O1404"/>
        </row>
        <row r="1405">
          <cell r="B1405"/>
          <cell r="C1405"/>
          <cell r="D1405"/>
          <cell r="E1405"/>
          <cell r="G1405"/>
          <cell r="I1405"/>
          <cell r="J1405"/>
          <cell r="K1405"/>
          <cell r="L1405"/>
          <cell r="N1405"/>
          <cell r="O1405"/>
        </row>
        <row r="1406">
          <cell r="B1406"/>
          <cell r="C1406"/>
          <cell r="D1406"/>
          <cell r="E1406"/>
          <cell r="G1406"/>
          <cell r="I1406"/>
          <cell r="J1406"/>
          <cell r="K1406"/>
          <cell r="L1406"/>
          <cell r="N1406"/>
          <cell r="O1406"/>
        </row>
        <row r="1407">
          <cell r="B1407"/>
          <cell r="C1407"/>
          <cell r="D1407"/>
          <cell r="E1407"/>
          <cell r="G1407"/>
          <cell r="I1407"/>
          <cell r="J1407"/>
          <cell r="K1407"/>
          <cell r="L1407"/>
          <cell r="N1407"/>
          <cell r="O1407"/>
        </row>
        <row r="1408">
          <cell r="B1408"/>
          <cell r="C1408"/>
          <cell r="D1408"/>
          <cell r="E1408"/>
          <cell r="G1408"/>
          <cell r="I1408"/>
          <cell r="J1408"/>
          <cell r="K1408"/>
          <cell r="L1408"/>
          <cell r="N1408"/>
          <cell r="O1408"/>
        </row>
        <row r="1409">
          <cell r="B1409"/>
          <cell r="C1409"/>
          <cell r="D1409"/>
          <cell r="E1409"/>
          <cell r="G1409"/>
          <cell r="I1409"/>
          <cell r="J1409"/>
          <cell r="K1409"/>
          <cell r="L1409"/>
          <cell r="N1409"/>
          <cell r="O1409"/>
        </row>
        <row r="1410">
          <cell r="B1410"/>
          <cell r="C1410"/>
          <cell r="D1410"/>
          <cell r="E1410"/>
          <cell r="G1410"/>
          <cell r="I1410"/>
          <cell r="J1410"/>
          <cell r="K1410"/>
          <cell r="L1410"/>
          <cell r="N1410"/>
          <cell r="O1410"/>
        </row>
        <row r="1411">
          <cell r="B1411"/>
          <cell r="C1411"/>
          <cell r="D1411"/>
          <cell r="E1411"/>
          <cell r="G1411"/>
          <cell r="I1411"/>
          <cell r="J1411"/>
          <cell r="K1411"/>
          <cell r="L1411"/>
          <cell r="N1411"/>
          <cell r="O1411"/>
        </row>
        <row r="1412">
          <cell r="B1412"/>
          <cell r="C1412"/>
          <cell r="D1412"/>
          <cell r="E1412"/>
          <cell r="G1412"/>
          <cell r="I1412"/>
          <cell r="J1412"/>
          <cell r="K1412"/>
          <cell r="L1412"/>
          <cell r="N1412"/>
          <cell r="O1412"/>
        </row>
        <row r="1413">
          <cell r="B1413"/>
          <cell r="C1413"/>
          <cell r="D1413"/>
          <cell r="E1413"/>
          <cell r="G1413"/>
          <cell r="I1413"/>
          <cell r="J1413"/>
          <cell r="K1413"/>
          <cell r="L1413"/>
          <cell r="N1413"/>
          <cell r="O1413"/>
        </row>
        <row r="1414">
          <cell r="B1414"/>
          <cell r="C1414"/>
          <cell r="D1414"/>
          <cell r="E1414"/>
          <cell r="G1414"/>
          <cell r="I1414"/>
          <cell r="J1414"/>
          <cell r="K1414"/>
          <cell r="L1414"/>
          <cell r="N1414"/>
          <cell r="O1414"/>
        </row>
        <row r="1415">
          <cell r="B1415"/>
          <cell r="C1415"/>
          <cell r="D1415"/>
          <cell r="E1415"/>
          <cell r="G1415"/>
          <cell r="I1415"/>
          <cell r="J1415"/>
          <cell r="K1415"/>
          <cell r="L1415"/>
          <cell r="N1415"/>
          <cell r="O1415"/>
        </row>
        <row r="1416">
          <cell r="B1416"/>
          <cell r="C1416"/>
          <cell r="D1416"/>
          <cell r="E1416"/>
          <cell r="G1416"/>
          <cell r="I1416"/>
          <cell r="J1416"/>
          <cell r="K1416"/>
          <cell r="L1416"/>
          <cell r="N1416"/>
          <cell r="O1416"/>
        </row>
        <row r="1417">
          <cell r="B1417"/>
          <cell r="C1417"/>
          <cell r="D1417"/>
          <cell r="E1417"/>
          <cell r="G1417"/>
          <cell r="I1417"/>
          <cell r="J1417"/>
          <cell r="K1417"/>
          <cell r="L1417"/>
          <cell r="N1417"/>
          <cell r="O1417"/>
        </row>
        <row r="1418">
          <cell r="B1418"/>
          <cell r="C1418"/>
          <cell r="D1418"/>
          <cell r="E1418"/>
          <cell r="G1418"/>
          <cell r="I1418"/>
          <cell r="J1418"/>
          <cell r="K1418"/>
          <cell r="L1418"/>
          <cell r="N1418"/>
          <cell r="O1418"/>
        </row>
        <row r="1419">
          <cell r="B1419"/>
          <cell r="C1419"/>
          <cell r="D1419"/>
          <cell r="E1419"/>
          <cell r="G1419"/>
          <cell r="I1419"/>
          <cell r="J1419"/>
          <cell r="K1419"/>
          <cell r="L1419"/>
          <cell r="N1419"/>
          <cell r="O1419"/>
        </row>
        <row r="1420">
          <cell r="B1420"/>
          <cell r="C1420"/>
          <cell r="D1420"/>
          <cell r="E1420"/>
          <cell r="G1420"/>
          <cell r="I1420"/>
          <cell r="J1420"/>
          <cell r="K1420"/>
          <cell r="L1420"/>
          <cell r="N1420"/>
          <cell r="O1420"/>
        </row>
        <row r="1421">
          <cell r="B1421"/>
          <cell r="C1421"/>
          <cell r="D1421"/>
          <cell r="E1421"/>
          <cell r="G1421"/>
          <cell r="I1421"/>
          <cell r="J1421"/>
          <cell r="K1421"/>
          <cell r="L1421"/>
          <cell r="N1421"/>
          <cell r="O1421"/>
        </row>
        <row r="1422">
          <cell r="B1422"/>
          <cell r="C1422"/>
          <cell r="D1422"/>
          <cell r="E1422"/>
          <cell r="G1422"/>
          <cell r="I1422"/>
          <cell r="J1422"/>
          <cell r="K1422"/>
          <cell r="L1422"/>
          <cell r="N1422"/>
          <cell r="O1422"/>
        </row>
        <row r="1423">
          <cell r="B1423"/>
          <cell r="C1423"/>
          <cell r="D1423"/>
          <cell r="E1423"/>
          <cell r="G1423"/>
          <cell r="I1423"/>
          <cell r="J1423"/>
          <cell r="K1423"/>
          <cell r="L1423"/>
          <cell r="N1423"/>
          <cell r="O1423"/>
        </row>
        <row r="1424">
          <cell r="B1424"/>
          <cell r="C1424"/>
          <cell r="D1424"/>
          <cell r="E1424"/>
          <cell r="G1424"/>
          <cell r="I1424"/>
          <cell r="J1424"/>
          <cell r="K1424"/>
          <cell r="L1424"/>
          <cell r="N1424"/>
          <cell r="O1424"/>
        </row>
        <row r="1425">
          <cell r="B1425"/>
          <cell r="C1425"/>
          <cell r="D1425"/>
          <cell r="E1425"/>
          <cell r="G1425"/>
          <cell r="I1425"/>
          <cell r="J1425"/>
          <cell r="K1425"/>
          <cell r="L1425"/>
          <cell r="N1425"/>
          <cell r="O1425"/>
        </row>
        <row r="1426">
          <cell r="B1426"/>
          <cell r="C1426"/>
          <cell r="D1426"/>
          <cell r="E1426"/>
          <cell r="G1426"/>
          <cell r="I1426"/>
          <cell r="J1426"/>
          <cell r="K1426"/>
          <cell r="L1426"/>
          <cell r="N1426"/>
          <cell r="O1426"/>
        </row>
        <row r="1427">
          <cell r="B1427"/>
          <cell r="C1427"/>
          <cell r="D1427"/>
          <cell r="E1427"/>
          <cell r="G1427"/>
          <cell r="I1427"/>
          <cell r="J1427"/>
          <cell r="K1427"/>
          <cell r="L1427"/>
          <cell r="N1427"/>
          <cell r="O1427"/>
        </row>
        <row r="1428">
          <cell r="B1428"/>
          <cell r="C1428"/>
          <cell r="D1428"/>
          <cell r="E1428"/>
          <cell r="G1428"/>
          <cell r="I1428"/>
          <cell r="J1428"/>
          <cell r="K1428"/>
          <cell r="L1428"/>
          <cell r="N1428"/>
          <cell r="O1428"/>
        </row>
        <row r="1429">
          <cell r="B1429"/>
          <cell r="C1429"/>
          <cell r="D1429"/>
          <cell r="E1429"/>
          <cell r="G1429"/>
          <cell r="I1429"/>
          <cell r="J1429"/>
          <cell r="K1429"/>
          <cell r="L1429"/>
          <cell r="N1429"/>
          <cell r="O1429"/>
        </row>
        <row r="1430">
          <cell r="B1430"/>
          <cell r="C1430"/>
          <cell r="D1430"/>
          <cell r="E1430"/>
          <cell r="G1430"/>
          <cell r="I1430"/>
          <cell r="J1430"/>
          <cell r="K1430"/>
          <cell r="L1430"/>
          <cell r="N1430"/>
          <cell r="O1430"/>
        </row>
        <row r="1431">
          <cell r="B1431"/>
          <cell r="C1431"/>
          <cell r="D1431"/>
          <cell r="E1431"/>
          <cell r="G1431"/>
          <cell r="I1431"/>
          <cell r="J1431"/>
          <cell r="K1431"/>
          <cell r="L1431"/>
          <cell r="N1431"/>
          <cell r="O1431"/>
        </row>
        <row r="1432">
          <cell r="B1432"/>
          <cell r="C1432"/>
          <cell r="D1432"/>
          <cell r="E1432"/>
          <cell r="G1432"/>
          <cell r="I1432"/>
          <cell r="J1432"/>
          <cell r="K1432"/>
          <cell r="L1432"/>
          <cell r="N1432"/>
          <cell r="O1432"/>
        </row>
        <row r="1433">
          <cell r="B1433"/>
          <cell r="C1433"/>
          <cell r="D1433"/>
          <cell r="E1433"/>
          <cell r="G1433"/>
          <cell r="I1433"/>
          <cell r="J1433"/>
          <cell r="K1433"/>
          <cell r="L1433"/>
          <cell r="N1433"/>
          <cell r="O1433"/>
        </row>
        <row r="1434">
          <cell r="B1434"/>
          <cell r="C1434"/>
          <cell r="D1434"/>
          <cell r="E1434"/>
          <cell r="G1434"/>
          <cell r="I1434"/>
          <cell r="J1434"/>
          <cell r="K1434"/>
          <cell r="L1434"/>
          <cell r="N1434"/>
          <cell r="O1434"/>
        </row>
        <row r="1435">
          <cell r="B1435"/>
          <cell r="C1435"/>
          <cell r="D1435"/>
          <cell r="E1435"/>
          <cell r="G1435"/>
          <cell r="I1435"/>
          <cell r="J1435"/>
          <cell r="K1435"/>
          <cell r="L1435"/>
          <cell r="N1435"/>
          <cell r="O1435"/>
        </row>
        <row r="1436">
          <cell r="B1436"/>
          <cell r="C1436"/>
          <cell r="D1436"/>
          <cell r="E1436"/>
          <cell r="G1436"/>
          <cell r="I1436"/>
          <cell r="J1436"/>
          <cell r="K1436"/>
          <cell r="L1436"/>
          <cell r="N1436"/>
          <cell r="O1436"/>
        </row>
        <row r="1437">
          <cell r="B1437"/>
          <cell r="C1437"/>
          <cell r="D1437"/>
          <cell r="E1437"/>
          <cell r="G1437"/>
          <cell r="I1437"/>
          <cell r="J1437"/>
          <cell r="K1437"/>
          <cell r="L1437"/>
          <cell r="N1437"/>
          <cell r="O1437"/>
        </row>
        <row r="1438">
          <cell r="B1438"/>
          <cell r="C1438"/>
          <cell r="D1438"/>
          <cell r="E1438"/>
          <cell r="G1438"/>
          <cell r="I1438"/>
          <cell r="J1438"/>
          <cell r="K1438"/>
          <cell r="L1438"/>
          <cell r="N1438"/>
          <cell r="O1438"/>
        </row>
        <row r="1439">
          <cell r="B1439"/>
          <cell r="C1439"/>
          <cell r="D1439"/>
          <cell r="E1439"/>
          <cell r="G1439"/>
          <cell r="I1439"/>
          <cell r="J1439"/>
          <cell r="K1439"/>
          <cell r="L1439"/>
          <cell r="N1439"/>
          <cell r="O1439"/>
        </row>
        <row r="1440">
          <cell r="B1440"/>
          <cell r="C1440"/>
          <cell r="D1440"/>
          <cell r="E1440"/>
          <cell r="G1440"/>
          <cell r="I1440"/>
          <cell r="J1440"/>
          <cell r="K1440"/>
          <cell r="L1440"/>
          <cell r="N1440"/>
          <cell r="O1440"/>
        </row>
        <row r="1441">
          <cell r="B1441"/>
          <cell r="C1441"/>
          <cell r="D1441"/>
          <cell r="E1441"/>
          <cell r="G1441"/>
          <cell r="I1441"/>
          <cell r="J1441"/>
          <cell r="K1441"/>
          <cell r="L1441"/>
          <cell r="N1441"/>
          <cell r="O1441"/>
        </row>
        <row r="1442">
          <cell r="B1442"/>
          <cell r="C1442"/>
          <cell r="D1442"/>
          <cell r="E1442"/>
          <cell r="G1442"/>
          <cell r="I1442"/>
          <cell r="J1442"/>
          <cell r="K1442"/>
          <cell r="L1442"/>
          <cell r="N1442"/>
          <cell r="O1442"/>
        </row>
        <row r="1443">
          <cell r="B1443"/>
          <cell r="C1443"/>
          <cell r="D1443"/>
          <cell r="E1443"/>
          <cell r="G1443"/>
          <cell r="I1443"/>
          <cell r="J1443"/>
          <cell r="K1443"/>
          <cell r="L1443"/>
          <cell r="N1443"/>
          <cell r="O1443"/>
        </row>
        <row r="1444">
          <cell r="B1444"/>
          <cell r="C1444"/>
          <cell r="D1444"/>
          <cell r="E1444"/>
          <cell r="G1444"/>
          <cell r="I1444"/>
          <cell r="J1444"/>
          <cell r="K1444"/>
          <cell r="L1444"/>
          <cell r="N1444"/>
          <cell r="O1444"/>
        </row>
        <row r="1445">
          <cell r="B1445"/>
          <cell r="C1445"/>
          <cell r="D1445"/>
          <cell r="E1445"/>
          <cell r="G1445"/>
          <cell r="I1445"/>
          <cell r="J1445"/>
          <cell r="K1445"/>
          <cell r="L1445"/>
          <cell r="N1445"/>
          <cell r="O1445"/>
        </row>
        <row r="1446">
          <cell r="B1446"/>
          <cell r="C1446"/>
          <cell r="D1446"/>
          <cell r="E1446"/>
          <cell r="G1446"/>
          <cell r="I1446"/>
          <cell r="J1446"/>
          <cell r="K1446"/>
          <cell r="L1446"/>
          <cell r="N1446"/>
          <cell r="O1446"/>
        </row>
        <row r="1447">
          <cell r="B1447"/>
          <cell r="C1447"/>
          <cell r="D1447"/>
          <cell r="E1447"/>
          <cell r="G1447"/>
          <cell r="I1447"/>
          <cell r="J1447"/>
          <cell r="K1447"/>
          <cell r="L1447"/>
          <cell r="N1447"/>
          <cell r="O1447"/>
        </row>
        <row r="1448">
          <cell r="B1448"/>
          <cell r="C1448"/>
          <cell r="D1448"/>
          <cell r="E1448"/>
          <cell r="G1448"/>
          <cell r="I1448"/>
          <cell r="J1448"/>
          <cell r="K1448"/>
          <cell r="L1448"/>
          <cell r="N1448"/>
          <cell r="O1448"/>
        </row>
        <row r="1449">
          <cell r="B1449"/>
          <cell r="C1449"/>
          <cell r="D1449"/>
          <cell r="E1449"/>
          <cell r="G1449"/>
          <cell r="I1449"/>
          <cell r="J1449"/>
          <cell r="K1449"/>
          <cell r="L1449"/>
          <cell r="N1449"/>
          <cell r="O1449"/>
        </row>
        <row r="1450">
          <cell r="B1450"/>
          <cell r="C1450"/>
          <cell r="D1450"/>
          <cell r="E1450"/>
          <cell r="G1450"/>
          <cell r="I1450"/>
          <cell r="J1450"/>
          <cell r="K1450"/>
          <cell r="L1450"/>
          <cell r="N1450"/>
          <cell r="O1450"/>
        </row>
        <row r="1451">
          <cell r="B1451"/>
          <cell r="C1451"/>
          <cell r="D1451"/>
          <cell r="E1451"/>
          <cell r="G1451"/>
          <cell r="I1451"/>
          <cell r="J1451"/>
          <cell r="K1451"/>
          <cell r="L1451"/>
          <cell r="N1451"/>
          <cell r="O1451"/>
        </row>
        <row r="1452">
          <cell r="B1452"/>
          <cell r="C1452"/>
          <cell r="D1452"/>
          <cell r="E1452"/>
          <cell r="G1452"/>
          <cell r="I1452"/>
          <cell r="J1452"/>
          <cell r="K1452"/>
          <cell r="L1452"/>
          <cell r="N1452"/>
          <cell r="O1452"/>
        </row>
        <row r="1453">
          <cell r="B1453"/>
          <cell r="C1453"/>
          <cell r="D1453"/>
          <cell r="E1453"/>
          <cell r="G1453"/>
          <cell r="I1453"/>
          <cell r="J1453"/>
          <cell r="K1453"/>
          <cell r="L1453"/>
          <cell r="N1453"/>
          <cell r="O1453"/>
        </row>
        <row r="1454">
          <cell r="B1454"/>
          <cell r="C1454"/>
          <cell r="D1454"/>
          <cell r="E1454"/>
          <cell r="G1454"/>
          <cell r="I1454"/>
          <cell r="J1454"/>
          <cell r="K1454"/>
          <cell r="L1454"/>
          <cell r="N1454"/>
          <cell r="O1454"/>
        </row>
        <row r="1455">
          <cell r="B1455"/>
          <cell r="C1455"/>
          <cell r="D1455"/>
          <cell r="E1455"/>
          <cell r="G1455"/>
          <cell r="I1455"/>
          <cell r="J1455"/>
          <cell r="K1455"/>
          <cell r="L1455"/>
          <cell r="N1455"/>
          <cell r="O1455"/>
        </row>
        <row r="1456">
          <cell r="B1456"/>
          <cell r="C1456"/>
          <cell r="D1456"/>
          <cell r="E1456"/>
          <cell r="G1456"/>
          <cell r="I1456"/>
          <cell r="J1456"/>
          <cell r="K1456"/>
          <cell r="L1456"/>
          <cell r="N1456"/>
          <cell r="O1456"/>
        </row>
        <row r="1457">
          <cell r="B1457"/>
          <cell r="C1457"/>
          <cell r="D1457"/>
          <cell r="E1457"/>
          <cell r="G1457"/>
          <cell r="I1457"/>
          <cell r="J1457"/>
          <cell r="K1457"/>
          <cell r="L1457"/>
          <cell r="N1457"/>
          <cell r="O1457"/>
        </row>
        <row r="1458">
          <cell r="B1458"/>
          <cell r="C1458"/>
          <cell r="D1458"/>
          <cell r="E1458"/>
          <cell r="G1458"/>
          <cell r="I1458"/>
          <cell r="J1458"/>
          <cell r="K1458"/>
          <cell r="L1458"/>
          <cell r="N1458"/>
          <cell r="O1458"/>
        </row>
        <row r="1459">
          <cell r="B1459"/>
          <cell r="C1459"/>
          <cell r="D1459"/>
          <cell r="E1459"/>
          <cell r="G1459"/>
          <cell r="I1459"/>
          <cell r="J1459"/>
          <cell r="K1459"/>
          <cell r="L1459"/>
          <cell r="N1459"/>
          <cell r="O1459"/>
        </row>
        <row r="1460">
          <cell r="B1460"/>
          <cell r="C1460"/>
          <cell r="D1460"/>
          <cell r="E1460"/>
          <cell r="G1460"/>
          <cell r="I1460"/>
          <cell r="J1460"/>
          <cell r="K1460"/>
          <cell r="L1460"/>
          <cell r="N1460"/>
          <cell r="O1460"/>
        </row>
        <row r="1461">
          <cell r="B1461"/>
          <cell r="C1461"/>
          <cell r="D1461"/>
          <cell r="E1461"/>
          <cell r="G1461"/>
          <cell r="I1461"/>
          <cell r="J1461"/>
          <cell r="K1461"/>
          <cell r="L1461"/>
          <cell r="N1461"/>
          <cell r="O1461"/>
        </row>
        <row r="1462">
          <cell r="B1462"/>
          <cell r="C1462"/>
          <cell r="D1462"/>
          <cell r="E1462"/>
          <cell r="G1462"/>
          <cell r="I1462"/>
          <cell r="J1462"/>
          <cell r="K1462"/>
          <cell r="L1462"/>
          <cell r="N1462"/>
          <cell r="O1462"/>
        </row>
        <row r="1463">
          <cell r="B1463"/>
          <cell r="C1463"/>
          <cell r="D1463"/>
          <cell r="E1463"/>
          <cell r="G1463"/>
          <cell r="I1463"/>
          <cell r="J1463"/>
          <cell r="K1463"/>
          <cell r="L1463"/>
          <cell r="N1463"/>
          <cell r="O1463"/>
        </row>
        <row r="1464">
          <cell r="B1464"/>
          <cell r="C1464"/>
          <cell r="D1464"/>
          <cell r="E1464"/>
          <cell r="G1464"/>
          <cell r="I1464"/>
          <cell r="J1464"/>
          <cell r="K1464"/>
          <cell r="L1464"/>
          <cell r="N1464"/>
          <cell r="O1464"/>
        </row>
        <row r="1465">
          <cell r="B1465"/>
          <cell r="C1465"/>
          <cell r="D1465"/>
          <cell r="E1465"/>
          <cell r="G1465"/>
          <cell r="I1465"/>
          <cell r="J1465"/>
          <cell r="K1465"/>
          <cell r="L1465"/>
          <cell r="N1465"/>
          <cell r="O1465"/>
        </row>
        <row r="1466">
          <cell r="B1466"/>
          <cell r="C1466"/>
          <cell r="D1466"/>
          <cell r="E1466"/>
          <cell r="G1466"/>
          <cell r="I1466"/>
          <cell r="J1466"/>
          <cell r="K1466"/>
          <cell r="L1466"/>
          <cell r="N1466"/>
          <cell r="O1466"/>
        </row>
        <row r="1467">
          <cell r="B1467"/>
          <cell r="C1467"/>
          <cell r="D1467"/>
          <cell r="E1467"/>
          <cell r="G1467"/>
          <cell r="I1467"/>
          <cell r="J1467"/>
          <cell r="K1467"/>
          <cell r="L1467"/>
          <cell r="N1467"/>
          <cell r="O1467"/>
        </row>
        <row r="1468">
          <cell r="B1468"/>
          <cell r="C1468"/>
          <cell r="D1468"/>
          <cell r="E1468"/>
          <cell r="G1468"/>
          <cell r="I1468"/>
          <cell r="J1468"/>
          <cell r="K1468"/>
          <cell r="L1468"/>
          <cell r="N1468"/>
          <cell r="O1468"/>
        </row>
        <row r="1469">
          <cell r="B1469"/>
          <cell r="C1469"/>
          <cell r="D1469"/>
          <cell r="E1469"/>
          <cell r="G1469"/>
          <cell r="I1469"/>
          <cell r="J1469"/>
          <cell r="K1469"/>
          <cell r="L1469"/>
          <cell r="N1469"/>
          <cell r="O1469"/>
        </row>
        <row r="1470">
          <cell r="B1470"/>
          <cell r="C1470"/>
          <cell r="D1470"/>
          <cell r="E1470"/>
          <cell r="G1470"/>
          <cell r="I1470"/>
          <cell r="J1470"/>
          <cell r="K1470"/>
          <cell r="L1470"/>
          <cell r="N1470"/>
          <cell r="O1470"/>
        </row>
        <row r="1471">
          <cell r="B1471"/>
          <cell r="C1471"/>
          <cell r="D1471"/>
          <cell r="E1471"/>
          <cell r="G1471"/>
          <cell r="I1471"/>
          <cell r="J1471"/>
          <cell r="K1471"/>
          <cell r="L1471"/>
          <cell r="N1471"/>
          <cell r="O1471"/>
        </row>
        <row r="1472">
          <cell r="B1472"/>
          <cell r="C1472"/>
          <cell r="D1472"/>
          <cell r="E1472"/>
          <cell r="G1472"/>
          <cell r="I1472"/>
          <cell r="J1472"/>
          <cell r="K1472"/>
          <cell r="L1472"/>
          <cell r="N1472"/>
          <cell r="O1472"/>
        </row>
        <row r="1473">
          <cell r="B1473"/>
          <cell r="C1473"/>
          <cell r="D1473"/>
          <cell r="E1473"/>
          <cell r="G1473"/>
          <cell r="I1473"/>
          <cell r="J1473"/>
          <cell r="K1473"/>
          <cell r="L1473"/>
          <cell r="N1473"/>
          <cell r="O1473"/>
        </row>
        <row r="1474">
          <cell r="B1474"/>
          <cell r="C1474"/>
          <cell r="D1474"/>
          <cell r="E1474"/>
          <cell r="G1474"/>
          <cell r="I1474"/>
          <cell r="J1474"/>
          <cell r="K1474"/>
          <cell r="L1474"/>
          <cell r="N1474"/>
          <cell r="O1474"/>
        </row>
        <row r="1475">
          <cell r="B1475"/>
          <cell r="C1475"/>
          <cell r="D1475"/>
          <cell r="E1475"/>
          <cell r="G1475"/>
          <cell r="I1475"/>
          <cell r="J1475"/>
          <cell r="K1475"/>
          <cell r="L1475"/>
          <cell r="N1475"/>
          <cell r="O1475"/>
        </row>
        <row r="1476">
          <cell r="B1476"/>
          <cell r="C1476"/>
          <cell r="D1476"/>
          <cell r="E1476"/>
          <cell r="G1476"/>
          <cell r="I1476"/>
          <cell r="J1476"/>
          <cell r="K1476"/>
          <cell r="L1476"/>
          <cell r="N1476"/>
          <cell r="O1476"/>
        </row>
        <row r="1477">
          <cell r="B1477"/>
          <cell r="C1477"/>
          <cell r="D1477"/>
          <cell r="E1477"/>
          <cell r="G1477"/>
          <cell r="I1477"/>
          <cell r="J1477"/>
          <cell r="K1477"/>
          <cell r="L1477"/>
          <cell r="N1477"/>
          <cell r="O1477"/>
        </row>
        <row r="1478">
          <cell r="B1478"/>
          <cell r="C1478"/>
          <cell r="D1478"/>
          <cell r="E1478"/>
          <cell r="G1478"/>
          <cell r="I1478"/>
          <cell r="J1478"/>
          <cell r="K1478"/>
          <cell r="L1478"/>
          <cell r="N1478"/>
          <cell r="O1478"/>
        </row>
        <row r="1479">
          <cell r="B1479"/>
          <cell r="C1479"/>
          <cell r="D1479"/>
          <cell r="E1479"/>
          <cell r="G1479"/>
          <cell r="I1479"/>
          <cell r="J1479"/>
          <cell r="K1479"/>
          <cell r="L1479"/>
          <cell r="N1479"/>
          <cell r="O1479"/>
        </row>
        <row r="1480">
          <cell r="B1480"/>
          <cell r="C1480"/>
          <cell r="D1480"/>
          <cell r="E1480"/>
          <cell r="G1480"/>
          <cell r="I1480"/>
          <cell r="J1480"/>
          <cell r="K1480"/>
          <cell r="L1480"/>
          <cell r="N1480"/>
          <cell r="O1480"/>
        </row>
        <row r="1481">
          <cell r="B1481"/>
          <cell r="C1481"/>
          <cell r="D1481"/>
          <cell r="E1481"/>
          <cell r="G1481"/>
          <cell r="I1481"/>
          <cell r="J1481"/>
          <cell r="K1481"/>
          <cell r="L1481"/>
          <cell r="N1481"/>
          <cell r="O1481"/>
        </row>
        <row r="1482">
          <cell r="B1482"/>
          <cell r="C1482"/>
          <cell r="D1482"/>
          <cell r="E1482"/>
          <cell r="G1482"/>
          <cell r="I1482"/>
          <cell r="J1482"/>
          <cell r="K1482"/>
          <cell r="L1482"/>
          <cell r="N1482"/>
          <cell r="O1482"/>
        </row>
        <row r="1483">
          <cell r="B1483"/>
          <cell r="C1483"/>
          <cell r="D1483"/>
          <cell r="E1483"/>
          <cell r="G1483"/>
          <cell r="I1483"/>
          <cell r="J1483"/>
          <cell r="K1483"/>
          <cell r="L1483"/>
          <cell r="N1483"/>
          <cell r="O1483"/>
        </row>
        <row r="1484">
          <cell r="B1484"/>
          <cell r="C1484"/>
          <cell r="D1484"/>
          <cell r="E1484"/>
          <cell r="G1484"/>
          <cell r="I1484"/>
          <cell r="J1484"/>
          <cell r="K1484"/>
          <cell r="L1484"/>
          <cell r="N1484"/>
          <cell r="O1484"/>
        </row>
        <row r="1485">
          <cell r="B1485"/>
          <cell r="C1485"/>
          <cell r="D1485"/>
          <cell r="E1485"/>
          <cell r="G1485"/>
          <cell r="I1485"/>
          <cell r="J1485"/>
          <cell r="K1485"/>
          <cell r="L1485"/>
          <cell r="N1485"/>
          <cell r="O1485"/>
        </row>
        <row r="1486">
          <cell r="B1486"/>
          <cell r="C1486"/>
          <cell r="D1486"/>
          <cell r="E1486"/>
          <cell r="G1486"/>
          <cell r="I1486"/>
          <cell r="J1486"/>
          <cell r="K1486"/>
          <cell r="L1486"/>
          <cell r="N1486"/>
          <cell r="O1486"/>
        </row>
        <row r="1487">
          <cell r="B1487"/>
          <cell r="C1487"/>
          <cell r="D1487"/>
          <cell r="E1487"/>
          <cell r="G1487"/>
          <cell r="I1487"/>
          <cell r="J1487"/>
          <cell r="K1487"/>
          <cell r="L1487"/>
          <cell r="N1487"/>
          <cell r="O1487"/>
        </row>
        <row r="1488">
          <cell r="B1488"/>
          <cell r="C1488"/>
          <cell r="D1488"/>
          <cell r="E1488"/>
          <cell r="G1488"/>
          <cell r="I1488"/>
          <cell r="J1488"/>
          <cell r="K1488"/>
          <cell r="L1488"/>
          <cell r="N1488"/>
          <cell r="O1488"/>
        </row>
        <row r="1489">
          <cell r="B1489"/>
          <cell r="C1489"/>
          <cell r="D1489"/>
          <cell r="E1489"/>
          <cell r="G1489"/>
          <cell r="I1489"/>
          <cell r="J1489"/>
          <cell r="K1489"/>
          <cell r="L1489"/>
          <cell r="N1489"/>
          <cell r="O1489"/>
        </row>
        <row r="1490">
          <cell r="B1490"/>
          <cell r="C1490"/>
          <cell r="D1490"/>
          <cell r="E1490"/>
          <cell r="G1490"/>
          <cell r="I1490"/>
          <cell r="J1490"/>
          <cell r="K1490"/>
          <cell r="L1490"/>
          <cell r="N1490"/>
          <cell r="O1490"/>
        </row>
        <row r="1491">
          <cell r="B1491"/>
          <cell r="C1491"/>
          <cell r="D1491"/>
          <cell r="E1491"/>
          <cell r="G1491"/>
          <cell r="I1491"/>
          <cell r="J1491"/>
          <cell r="K1491"/>
          <cell r="L1491"/>
          <cell r="N1491"/>
          <cell r="O1491"/>
        </row>
        <row r="1492">
          <cell r="B1492"/>
          <cell r="C1492"/>
          <cell r="D1492"/>
          <cell r="E1492"/>
          <cell r="G1492"/>
          <cell r="I1492"/>
          <cell r="J1492"/>
          <cell r="K1492"/>
          <cell r="L1492"/>
          <cell r="N1492"/>
          <cell r="O1492"/>
        </row>
        <row r="1493">
          <cell r="B1493"/>
          <cell r="C1493"/>
          <cell r="D1493"/>
          <cell r="E1493"/>
          <cell r="G1493"/>
          <cell r="I1493"/>
          <cell r="J1493"/>
          <cell r="K1493"/>
          <cell r="L1493"/>
          <cell r="N1493"/>
          <cell r="O1493"/>
        </row>
        <row r="1494">
          <cell r="B1494"/>
          <cell r="C1494"/>
          <cell r="D1494"/>
          <cell r="E1494"/>
          <cell r="G1494"/>
          <cell r="I1494"/>
          <cell r="J1494"/>
          <cell r="K1494"/>
          <cell r="L1494"/>
          <cell r="N1494"/>
          <cell r="O1494"/>
        </row>
        <row r="1495">
          <cell r="B1495"/>
          <cell r="C1495"/>
          <cell r="D1495"/>
          <cell r="E1495"/>
          <cell r="G1495"/>
          <cell r="I1495"/>
          <cell r="J1495"/>
          <cell r="K1495"/>
          <cell r="L1495"/>
          <cell r="N1495"/>
          <cell r="O1495"/>
        </row>
        <row r="1496">
          <cell r="B1496"/>
          <cell r="C1496"/>
          <cell r="D1496"/>
          <cell r="E1496"/>
          <cell r="G1496"/>
          <cell r="I1496"/>
          <cell r="J1496"/>
          <cell r="K1496"/>
          <cell r="L1496"/>
          <cell r="N1496"/>
          <cell r="O1496"/>
        </row>
        <row r="1497">
          <cell r="B1497"/>
          <cell r="C1497"/>
          <cell r="D1497"/>
          <cell r="E1497"/>
          <cell r="G1497"/>
          <cell r="I1497"/>
          <cell r="J1497"/>
          <cell r="K1497"/>
          <cell r="L1497"/>
          <cell r="N1497"/>
          <cell r="O1497"/>
        </row>
        <row r="1498">
          <cell r="B1498"/>
          <cell r="C1498"/>
          <cell r="D1498"/>
          <cell r="E1498"/>
          <cell r="G1498"/>
          <cell r="I1498"/>
          <cell r="J1498"/>
          <cell r="K1498"/>
          <cell r="L1498"/>
          <cell r="N1498"/>
          <cell r="O1498"/>
        </row>
        <row r="1499">
          <cell r="B1499"/>
          <cell r="C1499"/>
          <cell r="D1499"/>
          <cell r="E1499"/>
          <cell r="G1499"/>
          <cell r="I1499"/>
          <cell r="J1499"/>
          <cell r="K1499"/>
          <cell r="L1499"/>
          <cell r="N1499"/>
          <cell r="O1499"/>
        </row>
        <row r="1500">
          <cell r="B1500"/>
          <cell r="C1500"/>
          <cell r="D1500"/>
          <cell r="E1500"/>
          <cell r="G1500"/>
          <cell r="I1500"/>
          <cell r="J1500"/>
          <cell r="K1500"/>
          <cell r="L1500"/>
          <cell r="N1500"/>
          <cell r="O1500"/>
        </row>
        <row r="1501">
          <cell r="B1501"/>
          <cell r="C1501"/>
          <cell r="D1501"/>
          <cell r="E1501"/>
          <cell r="G1501"/>
          <cell r="I1501"/>
          <cell r="J1501"/>
          <cell r="K1501"/>
          <cell r="L1501"/>
          <cell r="N1501"/>
          <cell r="O1501"/>
        </row>
        <row r="1502">
          <cell r="B1502"/>
          <cell r="C1502"/>
          <cell r="D1502"/>
          <cell r="E1502"/>
          <cell r="G1502"/>
          <cell r="I1502"/>
          <cell r="J1502"/>
          <cell r="K1502"/>
          <cell r="L1502"/>
          <cell r="N1502"/>
          <cell r="O1502"/>
        </row>
        <row r="1503">
          <cell r="B1503"/>
          <cell r="C1503"/>
          <cell r="D1503"/>
          <cell r="E1503"/>
          <cell r="G1503"/>
          <cell r="I1503"/>
          <cell r="J1503"/>
          <cell r="K1503"/>
          <cell r="L1503"/>
          <cell r="N1503"/>
          <cell r="O1503"/>
        </row>
        <row r="1504">
          <cell r="B1504"/>
          <cell r="C1504"/>
          <cell r="D1504"/>
          <cell r="E1504"/>
          <cell r="G1504"/>
          <cell r="I1504"/>
          <cell r="J1504"/>
          <cell r="K1504"/>
          <cell r="L1504"/>
          <cell r="N1504"/>
          <cell r="O1504"/>
        </row>
        <row r="1505">
          <cell r="B1505"/>
          <cell r="C1505"/>
          <cell r="D1505"/>
          <cell r="E1505"/>
          <cell r="G1505"/>
          <cell r="I1505"/>
          <cell r="J1505"/>
          <cell r="K1505"/>
          <cell r="L1505"/>
          <cell r="N1505"/>
          <cell r="O1505"/>
        </row>
        <row r="1506">
          <cell r="B1506"/>
          <cell r="C1506"/>
          <cell r="D1506"/>
          <cell r="E1506"/>
          <cell r="G1506"/>
          <cell r="I1506"/>
          <cell r="J1506"/>
          <cell r="K1506"/>
          <cell r="L1506"/>
          <cell r="N1506"/>
          <cell r="O1506"/>
        </row>
        <row r="1507">
          <cell r="B1507"/>
          <cell r="C1507"/>
          <cell r="D1507"/>
          <cell r="E1507"/>
          <cell r="G1507"/>
          <cell r="I1507"/>
          <cell r="J1507"/>
          <cell r="K1507"/>
          <cell r="L1507"/>
          <cell r="N1507"/>
          <cell r="O1507"/>
        </row>
        <row r="1508">
          <cell r="B1508"/>
          <cell r="C1508"/>
          <cell r="D1508"/>
          <cell r="E1508"/>
          <cell r="G1508"/>
          <cell r="I1508"/>
          <cell r="J1508"/>
          <cell r="K1508"/>
          <cell r="L1508"/>
          <cell r="N1508"/>
          <cell r="O1508"/>
        </row>
        <row r="1509">
          <cell r="B1509"/>
          <cell r="C1509"/>
          <cell r="D1509"/>
          <cell r="E1509"/>
          <cell r="G1509"/>
          <cell r="I1509"/>
          <cell r="J1509"/>
          <cell r="K1509"/>
          <cell r="L1509"/>
          <cell r="N1509"/>
          <cell r="O1509"/>
        </row>
        <row r="1510">
          <cell r="B1510"/>
          <cell r="C1510"/>
          <cell r="D1510"/>
          <cell r="E1510"/>
          <cell r="G1510"/>
          <cell r="I1510"/>
          <cell r="J1510"/>
          <cell r="K1510"/>
          <cell r="L1510"/>
          <cell r="N1510"/>
          <cell r="O1510"/>
        </row>
        <row r="1511">
          <cell r="B1511"/>
          <cell r="C1511"/>
          <cell r="D1511"/>
          <cell r="E1511"/>
          <cell r="G1511"/>
          <cell r="I1511"/>
          <cell r="J1511"/>
          <cell r="K1511"/>
          <cell r="L1511"/>
          <cell r="N1511"/>
          <cell r="O1511"/>
        </row>
        <row r="1512">
          <cell r="B1512"/>
          <cell r="C1512"/>
          <cell r="D1512"/>
          <cell r="E1512"/>
          <cell r="G1512"/>
          <cell r="I1512"/>
          <cell r="J1512"/>
          <cell r="K1512"/>
          <cell r="L1512"/>
          <cell r="N1512"/>
          <cell r="O1512"/>
        </row>
        <row r="1513">
          <cell r="B1513"/>
          <cell r="C1513"/>
          <cell r="D1513"/>
          <cell r="E1513"/>
          <cell r="G1513"/>
          <cell r="I1513"/>
          <cell r="J1513"/>
          <cell r="K1513"/>
          <cell r="L1513"/>
          <cell r="N1513"/>
          <cell r="O1513"/>
        </row>
        <row r="1514">
          <cell r="B1514"/>
          <cell r="C1514"/>
          <cell r="D1514"/>
          <cell r="E1514"/>
          <cell r="G1514"/>
          <cell r="I1514"/>
          <cell r="J1514"/>
          <cell r="K1514"/>
          <cell r="L1514"/>
          <cell r="N1514"/>
          <cell r="O1514"/>
        </row>
        <row r="1515">
          <cell r="B1515"/>
          <cell r="C1515"/>
          <cell r="D1515"/>
          <cell r="E1515"/>
          <cell r="G1515"/>
          <cell r="I1515"/>
          <cell r="J1515"/>
          <cell r="K1515"/>
          <cell r="L1515"/>
          <cell r="N1515"/>
          <cell r="O1515"/>
        </row>
        <row r="1516">
          <cell r="B1516"/>
          <cell r="C1516"/>
          <cell r="D1516"/>
          <cell r="E1516"/>
          <cell r="G1516"/>
          <cell r="I1516"/>
          <cell r="J1516"/>
          <cell r="K1516"/>
          <cell r="L1516"/>
          <cell r="N1516"/>
          <cell r="O1516"/>
        </row>
        <row r="1517">
          <cell r="B1517"/>
          <cell r="C1517"/>
          <cell r="D1517"/>
          <cell r="E1517"/>
          <cell r="G1517"/>
          <cell r="I1517"/>
          <cell r="J1517"/>
          <cell r="K1517"/>
          <cell r="L1517"/>
          <cell r="N1517"/>
          <cell r="O1517"/>
        </row>
        <row r="1518">
          <cell r="B1518"/>
          <cell r="C1518"/>
          <cell r="D1518"/>
          <cell r="E1518"/>
          <cell r="G1518"/>
          <cell r="I1518"/>
          <cell r="J1518"/>
          <cell r="K1518"/>
          <cell r="L1518"/>
          <cell r="N1518"/>
          <cell r="O1518"/>
        </row>
        <row r="1519">
          <cell r="B1519"/>
          <cell r="C1519"/>
          <cell r="D1519"/>
          <cell r="E1519"/>
          <cell r="G1519"/>
          <cell r="I1519"/>
          <cell r="J1519"/>
          <cell r="K1519"/>
          <cell r="L1519"/>
          <cell r="N1519"/>
          <cell r="O1519"/>
        </row>
        <row r="1520">
          <cell r="B1520"/>
          <cell r="C1520"/>
          <cell r="D1520"/>
          <cell r="E1520"/>
          <cell r="G1520"/>
          <cell r="I1520"/>
          <cell r="J1520"/>
          <cell r="K1520"/>
          <cell r="L1520"/>
          <cell r="N1520"/>
          <cell r="O1520"/>
        </row>
        <row r="1521">
          <cell r="B1521"/>
          <cell r="C1521"/>
          <cell r="D1521"/>
          <cell r="E1521"/>
          <cell r="G1521"/>
          <cell r="I1521"/>
          <cell r="J1521"/>
          <cell r="K1521"/>
          <cell r="L1521"/>
          <cell r="N1521"/>
          <cell r="O1521"/>
        </row>
        <row r="1522">
          <cell r="B1522"/>
          <cell r="C1522"/>
          <cell r="D1522"/>
          <cell r="E1522"/>
          <cell r="G1522"/>
          <cell r="I1522"/>
          <cell r="J1522"/>
          <cell r="K1522"/>
          <cell r="L1522"/>
          <cell r="N1522"/>
          <cell r="O1522"/>
        </row>
        <row r="1523">
          <cell r="B1523"/>
          <cell r="C1523"/>
          <cell r="D1523"/>
          <cell r="E1523"/>
          <cell r="G1523"/>
          <cell r="I1523"/>
          <cell r="J1523"/>
          <cell r="K1523"/>
          <cell r="L1523"/>
          <cell r="N1523"/>
          <cell r="O1523"/>
        </row>
        <row r="1524">
          <cell r="B1524"/>
          <cell r="C1524"/>
          <cell r="D1524"/>
          <cell r="E1524"/>
          <cell r="G1524"/>
          <cell r="I1524"/>
          <cell r="J1524"/>
          <cell r="K1524"/>
          <cell r="L1524"/>
          <cell r="N1524"/>
          <cell r="O1524"/>
        </row>
        <row r="1525">
          <cell r="B1525"/>
          <cell r="C1525"/>
          <cell r="D1525"/>
          <cell r="E1525"/>
          <cell r="G1525"/>
          <cell r="I1525"/>
          <cell r="J1525"/>
          <cell r="K1525"/>
          <cell r="L1525"/>
          <cell r="N1525"/>
          <cell r="O1525"/>
        </row>
        <row r="1526">
          <cell r="B1526"/>
          <cell r="C1526"/>
          <cell r="D1526"/>
          <cell r="E1526"/>
          <cell r="G1526"/>
          <cell r="I1526"/>
          <cell r="J1526"/>
          <cell r="K1526"/>
          <cell r="L1526"/>
          <cell r="N1526"/>
          <cell r="O1526"/>
        </row>
        <row r="1527">
          <cell r="B1527"/>
          <cell r="C1527"/>
          <cell r="D1527"/>
          <cell r="E1527"/>
          <cell r="G1527"/>
          <cell r="I1527"/>
          <cell r="J1527"/>
          <cell r="K1527"/>
          <cell r="L1527"/>
          <cell r="N1527"/>
          <cell r="O1527"/>
        </row>
        <row r="1528">
          <cell r="B1528"/>
          <cell r="C1528"/>
          <cell r="D1528"/>
          <cell r="E1528"/>
          <cell r="G1528"/>
          <cell r="I1528"/>
          <cell r="J1528"/>
          <cell r="K1528"/>
          <cell r="L1528"/>
          <cell r="N1528"/>
          <cell r="O1528"/>
        </row>
        <row r="1529">
          <cell r="B1529"/>
          <cell r="C1529"/>
          <cell r="D1529"/>
          <cell r="E1529"/>
          <cell r="G1529"/>
          <cell r="I1529"/>
          <cell r="J1529"/>
          <cell r="K1529"/>
          <cell r="L1529"/>
          <cell r="N1529"/>
          <cell r="O1529"/>
        </row>
        <row r="1530">
          <cell r="B1530"/>
          <cell r="C1530"/>
          <cell r="D1530"/>
          <cell r="E1530"/>
          <cell r="G1530"/>
          <cell r="I1530"/>
          <cell r="J1530"/>
          <cell r="K1530"/>
          <cell r="L1530"/>
          <cell r="N1530"/>
          <cell r="O1530"/>
        </row>
        <row r="1531">
          <cell r="B1531"/>
          <cell r="C1531"/>
          <cell r="D1531"/>
          <cell r="E1531"/>
          <cell r="G1531"/>
          <cell r="I1531"/>
          <cell r="J1531"/>
          <cell r="K1531"/>
          <cell r="L1531"/>
          <cell r="N1531"/>
          <cell r="O1531"/>
        </row>
        <row r="1532">
          <cell r="B1532"/>
          <cell r="C1532"/>
          <cell r="D1532"/>
          <cell r="E1532"/>
          <cell r="G1532"/>
          <cell r="I1532"/>
          <cell r="J1532"/>
          <cell r="K1532"/>
          <cell r="L1532"/>
          <cell r="N1532"/>
          <cell r="O1532"/>
        </row>
        <row r="1533">
          <cell r="B1533"/>
          <cell r="C1533"/>
          <cell r="D1533"/>
          <cell r="E1533"/>
          <cell r="G1533"/>
          <cell r="I1533"/>
          <cell r="J1533"/>
          <cell r="K1533"/>
          <cell r="L1533"/>
          <cell r="N1533"/>
          <cell r="O1533"/>
        </row>
        <row r="1534">
          <cell r="B1534"/>
          <cell r="C1534"/>
          <cell r="D1534"/>
          <cell r="E1534"/>
          <cell r="G1534"/>
          <cell r="I1534"/>
          <cell r="J1534"/>
          <cell r="K1534"/>
          <cell r="L1534"/>
          <cell r="N1534"/>
          <cell r="O1534"/>
        </row>
        <row r="1535">
          <cell r="B1535"/>
          <cell r="C1535"/>
          <cell r="D1535"/>
          <cell r="E1535"/>
          <cell r="G1535"/>
          <cell r="I1535"/>
          <cell r="J1535"/>
          <cell r="K1535"/>
          <cell r="L1535"/>
          <cell r="N1535"/>
          <cell r="O1535"/>
        </row>
        <row r="1536">
          <cell r="B1536"/>
          <cell r="C1536"/>
          <cell r="D1536"/>
          <cell r="E1536"/>
          <cell r="G1536"/>
          <cell r="I1536"/>
          <cell r="J1536"/>
          <cell r="K1536"/>
          <cell r="L1536"/>
          <cell r="N1536"/>
          <cell r="O1536"/>
        </row>
        <row r="1537">
          <cell r="B1537"/>
          <cell r="C1537"/>
          <cell r="D1537"/>
          <cell r="E1537"/>
          <cell r="G1537"/>
          <cell r="I1537"/>
          <cell r="J1537"/>
          <cell r="K1537"/>
          <cell r="L1537"/>
          <cell r="N1537"/>
          <cell r="O1537"/>
        </row>
        <row r="1538">
          <cell r="B1538"/>
          <cell r="C1538"/>
          <cell r="D1538"/>
          <cell r="E1538"/>
          <cell r="G1538"/>
          <cell r="I1538"/>
          <cell r="J1538"/>
          <cell r="K1538"/>
          <cell r="L1538"/>
          <cell r="N1538"/>
          <cell r="O1538"/>
        </row>
        <row r="1539">
          <cell r="B1539"/>
          <cell r="C1539"/>
          <cell r="D1539"/>
          <cell r="E1539"/>
          <cell r="G1539"/>
          <cell r="I1539"/>
          <cell r="J1539"/>
          <cell r="K1539"/>
          <cell r="L1539"/>
          <cell r="N1539"/>
          <cell r="O1539"/>
        </row>
        <row r="1540">
          <cell r="B1540"/>
          <cell r="C1540"/>
          <cell r="D1540"/>
          <cell r="E1540"/>
          <cell r="G1540"/>
          <cell r="I1540"/>
          <cell r="J1540"/>
          <cell r="K1540"/>
          <cell r="L1540"/>
          <cell r="N1540"/>
          <cell r="O1540"/>
        </row>
        <row r="1541">
          <cell r="B1541"/>
          <cell r="C1541"/>
          <cell r="D1541"/>
          <cell r="E1541"/>
          <cell r="G1541"/>
          <cell r="I1541"/>
          <cell r="J1541"/>
          <cell r="K1541"/>
          <cell r="L1541"/>
          <cell r="N1541"/>
          <cell r="O1541"/>
        </row>
        <row r="1542">
          <cell r="B1542"/>
          <cell r="C1542"/>
          <cell r="D1542"/>
          <cell r="E1542"/>
          <cell r="G1542"/>
          <cell r="I1542"/>
          <cell r="J1542"/>
          <cell r="K1542"/>
          <cell r="L1542"/>
          <cell r="N1542"/>
          <cell r="O1542"/>
        </row>
        <row r="1543">
          <cell r="B1543"/>
          <cell r="C1543"/>
          <cell r="D1543"/>
          <cell r="E1543"/>
          <cell r="G1543"/>
          <cell r="I1543"/>
          <cell r="J1543"/>
          <cell r="K1543"/>
          <cell r="L1543"/>
          <cell r="N1543"/>
          <cell r="O1543"/>
        </row>
        <row r="1544">
          <cell r="B1544"/>
          <cell r="C1544"/>
          <cell r="D1544"/>
          <cell r="E1544"/>
          <cell r="G1544"/>
          <cell r="I1544"/>
          <cell r="J1544"/>
          <cell r="K1544"/>
          <cell r="L1544"/>
          <cell r="N1544"/>
          <cell r="O1544"/>
        </row>
        <row r="1545">
          <cell r="B1545"/>
          <cell r="C1545"/>
          <cell r="D1545"/>
          <cell r="E1545"/>
          <cell r="G1545"/>
          <cell r="I1545"/>
          <cell r="J1545"/>
          <cell r="K1545"/>
          <cell r="L1545"/>
          <cell r="N1545"/>
          <cell r="O1545"/>
        </row>
        <row r="1546">
          <cell r="B1546"/>
          <cell r="C1546"/>
          <cell r="D1546"/>
          <cell r="E1546"/>
          <cell r="G1546"/>
          <cell r="I1546"/>
          <cell r="J1546"/>
          <cell r="K1546"/>
          <cell r="L1546"/>
          <cell r="N1546"/>
          <cell r="O1546"/>
        </row>
        <row r="1547">
          <cell r="B1547"/>
          <cell r="C1547"/>
          <cell r="D1547"/>
          <cell r="E1547"/>
          <cell r="G1547"/>
          <cell r="I1547"/>
          <cell r="J1547"/>
          <cell r="K1547"/>
          <cell r="L1547"/>
          <cell r="N1547"/>
          <cell r="O1547"/>
        </row>
        <row r="1548">
          <cell r="B1548"/>
          <cell r="C1548"/>
          <cell r="D1548"/>
          <cell r="E1548"/>
          <cell r="G1548"/>
          <cell r="I1548"/>
          <cell r="J1548"/>
          <cell r="K1548"/>
          <cell r="L1548"/>
          <cell r="N1548"/>
          <cell r="O1548"/>
        </row>
        <row r="1549">
          <cell r="B1549"/>
          <cell r="C1549"/>
          <cell r="D1549"/>
          <cell r="E1549"/>
          <cell r="G1549"/>
          <cell r="I1549"/>
          <cell r="J1549"/>
          <cell r="K1549"/>
          <cell r="L1549"/>
          <cell r="N1549"/>
          <cell r="O1549"/>
        </row>
        <row r="1550">
          <cell r="B1550"/>
          <cell r="C1550"/>
          <cell r="D1550"/>
          <cell r="E1550"/>
          <cell r="G1550"/>
          <cell r="I1550"/>
          <cell r="J1550"/>
          <cell r="K1550"/>
          <cell r="L1550"/>
          <cell r="N1550"/>
          <cell r="O1550"/>
        </row>
        <row r="1551">
          <cell r="B1551"/>
          <cell r="C1551"/>
          <cell r="D1551"/>
          <cell r="E1551"/>
          <cell r="G1551"/>
          <cell r="I1551"/>
          <cell r="J1551"/>
          <cell r="K1551"/>
          <cell r="L1551"/>
          <cell r="N1551"/>
          <cell r="O1551"/>
        </row>
        <row r="1552">
          <cell r="B1552"/>
          <cell r="C1552"/>
          <cell r="D1552"/>
          <cell r="E1552"/>
          <cell r="G1552"/>
          <cell r="I1552"/>
          <cell r="J1552"/>
          <cell r="K1552"/>
          <cell r="L1552"/>
          <cell r="N1552"/>
          <cell r="O1552"/>
        </row>
        <row r="1553">
          <cell r="B1553"/>
          <cell r="C1553"/>
          <cell r="D1553"/>
          <cell r="E1553"/>
          <cell r="G1553"/>
          <cell r="I1553"/>
          <cell r="J1553"/>
          <cell r="K1553"/>
          <cell r="L1553"/>
          <cell r="N1553"/>
          <cell r="O1553"/>
        </row>
        <row r="1554">
          <cell r="B1554"/>
          <cell r="C1554"/>
          <cell r="D1554"/>
          <cell r="E1554"/>
          <cell r="G1554"/>
          <cell r="I1554"/>
          <cell r="J1554"/>
          <cell r="K1554"/>
          <cell r="L1554"/>
          <cell r="N1554"/>
          <cell r="O1554"/>
        </row>
        <row r="1555">
          <cell r="B1555"/>
          <cell r="C1555"/>
          <cell r="D1555"/>
          <cell r="E1555"/>
          <cell r="G1555"/>
          <cell r="I1555"/>
          <cell r="J1555"/>
          <cell r="K1555"/>
          <cell r="L1555"/>
          <cell r="N1555"/>
          <cell r="O1555"/>
        </row>
        <row r="1556">
          <cell r="B1556"/>
          <cell r="C1556"/>
          <cell r="D1556"/>
          <cell r="E1556"/>
          <cell r="G1556"/>
          <cell r="I1556"/>
          <cell r="J1556"/>
          <cell r="K1556"/>
          <cell r="L1556"/>
          <cell r="N1556"/>
          <cell r="O1556"/>
        </row>
        <row r="1557">
          <cell r="B1557"/>
          <cell r="C1557"/>
          <cell r="D1557"/>
          <cell r="E1557"/>
          <cell r="G1557"/>
          <cell r="I1557"/>
          <cell r="J1557"/>
          <cell r="K1557"/>
          <cell r="L1557"/>
          <cell r="N1557"/>
          <cell r="O1557"/>
        </row>
        <row r="1558">
          <cell r="B1558"/>
          <cell r="C1558"/>
          <cell r="D1558"/>
          <cell r="E1558"/>
          <cell r="G1558"/>
          <cell r="I1558"/>
          <cell r="J1558"/>
          <cell r="K1558"/>
          <cell r="L1558"/>
          <cell r="N1558"/>
          <cell r="O1558"/>
        </row>
        <row r="1559">
          <cell r="B1559"/>
          <cell r="C1559"/>
          <cell r="D1559"/>
          <cell r="E1559"/>
          <cell r="G1559"/>
          <cell r="I1559"/>
          <cell r="J1559"/>
          <cell r="K1559"/>
          <cell r="L1559"/>
          <cell r="N1559"/>
          <cell r="O1559"/>
        </row>
        <row r="1560">
          <cell r="B1560"/>
          <cell r="C1560"/>
          <cell r="D1560"/>
          <cell r="E1560"/>
          <cell r="G1560"/>
          <cell r="I1560"/>
          <cell r="J1560"/>
          <cell r="K1560"/>
          <cell r="L1560"/>
          <cell r="N1560"/>
          <cell r="O1560"/>
        </row>
        <row r="1561">
          <cell r="B1561"/>
          <cell r="C1561"/>
          <cell r="D1561"/>
          <cell r="E1561"/>
          <cell r="G1561"/>
          <cell r="I1561"/>
          <cell r="J1561"/>
          <cell r="K1561"/>
          <cell r="L1561"/>
          <cell r="N1561"/>
          <cell r="O1561"/>
        </row>
        <row r="1562">
          <cell r="B1562"/>
          <cell r="C1562"/>
          <cell r="D1562"/>
          <cell r="E1562"/>
          <cell r="G1562"/>
          <cell r="I1562"/>
          <cell r="J1562"/>
          <cell r="K1562"/>
          <cell r="L1562"/>
          <cell r="N1562"/>
          <cell r="O1562"/>
        </row>
        <row r="1563">
          <cell r="B1563"/>
          <cell r="C1563"/>
          <cell r="D1563"/>
          <cell r="E1563"/>
          <cell r="G1563"/>
          <cell r="I1563"/>
          <cell r="J1563"/>
          <cell r="K1563"/>
          <cell r="L1563"/>
          <cell r="N1563"/>
          <cell r="O1563"/>
        </row>
        <row r="1564">
          <cell r="B1564"/>
          <cell r="C1564"/>
          <cell r="D1564"/>
          <cell r="E1564"/>
          <cell r="G1564"/>
          <cell r="I1564"/>
          <cell r="J1564"/>
          <cell r="K1564"/>
          <cell r="L1564"/>
          <cell r="N1564"/>
          <cell r="O1564"/>
        </row>
        <row r="1565">
          <cell r="B1565"/>
          <cell r="C1565"/>
          <cell r="D1565"/>
          <cell r="E1565"/>
          <cell r="G1565"/>
          <cell r="I1565"/>
          <cell r="J1565"/>
          <cell r="K1565"/>
          <cell r="L1565"/>
          <cell r="N1565"/>
          <cell r="O1565"/>
        </row>
        <row r="1566">
          <cell r="B1566"/>
          <cell r="C1566"/>
          <cell r="D1566"/>
          <cell r="E1566"/>
          <cell r="G1566"/>
          <cell r="I1566"/>
          <cell r="J1566"/>
          <cell r="K1566"/>
          <cell r="L1566"/>
          <cell r="N1566"/>
          <cell r="O1566"/>
        </row>
        <row r="1567">
          <cell r="B1567"/>
          <cell r="C1567"/>
          <cell r="D1567"/>
          <cell r="E1567"/>
          <cell r="G1567"/>
          <cell r="I1567"/>
          <cell r="J1567"/>
          <cell r="K1567"/>
          <cell r="L1567"/>
          <cell r="N1567"/>
          <cell r="O1567"/>
        </row>
        <row r="1568">
          <cell r="B1568"/>
          <cell r="C1568"/>
          <cell r="D1568"/>
          <cell r="E1568"/>
          <cell r="G1568"/>
          <cell r="I1568"/>
          <cell r="J1568"/>
          <cell r="K1568"/>
          <cell r="L1568"/>
          <cell r="N1568"/>
          <cell r="O1568"/>
        </row>
        <row r="1569">
          <cell r="B1569"/>
          <cell r="C1569"/>
          <cell r="D1569"/>
          <cell r="E1569"/>
          <cell r="G1569"/>
          <cell r="I1569"/>
          <cell r="J1569"/>
          <cell r="K1569"/>
          <cell r="L1569"/>
          <cell r="N1569"/>
          <cell r="O1569"/>
        </row>
        <row r="1570">
          <cell r="B1570"/>
          <cell r="C1570"/>
          <cell r="D1570"/>
          <cell r="E1570"/>
          <cell r="G1570"/>
          <cell r="I1570"/>
          <cell r="J1570"/>
          <cell r="K1570"/>
          <cell r="L1570"/>
          <cell r="N1570"/>
          <cell r="O1570"/>
        </row>
        <row r="1571">
          <cell r="B1571"/>
          <cell r="C1571"/>
          <cell r="D1571"/>
          <cell r="E1571"/>
          <cell r="G1571"/>
          <cell r="I1571"/>
          <cell r="J1571"/>
          <cell r="K1571"/>
          <cell r="L1571"/>
          <cell r="N1571"/>
          <cell r="O1571"/>
        </row>
        <row r="1572">
          <cell r="B1572"/>
          <cell r="C1572"/>
          <cell r="D1572"/>
          <cell r="E1572"/>
          <cell r="G1572"/>
          <cell r="I1572"/>
          <cell r="J1572"/>
          <cell r="K1572"/>
          <cell r="L1572"/>
          <cell r="N1572"/>
          <cell r="O1572"/>
        </row>
        <row r="1573">
          <cell r="B1573"/>
          <cell r="C1573"/>
          <cell r="D1573"/>
          <cell r="E1573"/>
          <cell r="G1573"/>
          <cell r="I1573"/>
          <cell r="J1573"/>
          <cell r="K1573"/>
          <cell r="L1573"/>
          <cell r="N1573"/>
          <cell r="O1573"/>
        </row>
        <row r="1574">
          <cell r="B1574"/>
          <cell r="C1574"/>
          <cell r="D1574"/>
          <cell r="E1574"/>
          <cell r="G1574"/>
          <cell r="I1574"/>
          <cell r="J1574"/>
          <cell r="K1574"/>
          <cell r="L1574"/>
          <cell r="N1574"/>
          <cell r="O1574"/>
        </row>
        <row r="1575">
          <cell r="B1575"/>
          <cell r="C1575"/>
          <cell r="D1575"/>
          <cell r="E1575"/>
          <cell r="G1575"/>
          <cell r="I1575"/>
          <cell r="J1575"/>
          <cell r="K1575"/>
          <cell r="L1575"/>
          <cell r="N1575"/>
          <cell r="O1575"/>
        </row>
        <row r="1576">
          <cell r="B1576"/>
          <cell r="C1576"/>
          <cell r="D1576"/>
          <cell r="E1576"/>
          <cell r="G1576"/>
          <cell r="I1576"/>
          <cell r="J1576"/>
          <cell r="K1576"/>
          <cell r="L1576"/>
          <cell r="N1576"/>
          <cell r="O1576"/>
        </row>
        <row r="1577">
          <cell r="B1577"/>
          <cell r="C1577"/>
          <cell r="D1577"/>
          <cell r="E1577"/>
          <cell r="G1577"/>
          <cell r="I1577"/>
          <cell r="J1577"/>
          <cell r="K1577"/>
          <cell r="L1577"/>
          <cell r="N1577"/>
          <cell r="O1577"/>
        </row>
        <row r="1578">
          <cell r="B1578"/>
          <cell r="C1578"/>
          <cell r="D1578"/>
          <cell r="E1578"/>
          <cell r="G1578"/>
          <cell r="I1578"/>
          <cell r="J1578"/>
          <cell r="K1578"/>
          <cell r="L1578"/>
          <cell r="N1578"/>
          <cell r="O1578"/>
        </row>
        <row r="1579">
          <cell r="B1579"/>
          <cell r="C1579"/>
          <cell r="D1579"/>
          <cell r="E1579"/>
          <cell r="G1579"/>
          <cell r="I1579"/>
          <cell r="J1579"/>
          <cell r="K1579"/>
          <cell r="L1579"/>
          <cell r="N1579"/>
          <cell r="O1579"/>
        </row>
        <row r="1580">
          <cell r="B1580"/>
          <cell r="C1580"/>
          <cell r="D1580"/>
          <cell r="E1580"/>
          <cell r="G1580"/>
          <cell r="I1580"/>
          <cell r="J1580"/>
          <cell r="K1580"/>
          <cell r="L1580"/>
          <cell r="N1580"/>
          <cell r="O1580"/>
        </row>
        <row r="1581">
          <cell r="B1581"/>
          <cell r="C1581"/>
          <cell r="D1581"/>
          <cell r="E1581"/>
          <cell r="G1581"/>
          <cell r="I1581"/>
          <cell r="J1581"/>
          <cell r="K1581"/>
          <cell r="L1581"/>
          <cell r="N1581"/>
          <cell r="O1581"/>
        </row>
        <row r="1582">
          <cell r="B1582"/>
          <cell r="C1582"/>
          <cell r="D1582"/>
          <cell r="E1582"/>
          <cell r="G1582"/>
          <cell r="I1582"/>
          <cell r="J1582"/>
          <cell r="K1582"/>
          <cell r="L1582"/>
          <cell r="N1582"/>
          <cell r="O1582"/>
        </row>
        <row r="1583">
          <cell r="B1583"/>
          <cell r="C1583"/>
          <cell r="D1583"/>
          <cell r="E1583"/>
          <cell r="G1583"/>
          <cell r="I1583"/>
          <cell r="J1583"/>
          <cell r="K1583"/>
          <cell r="L1583"/>
          <cell r="N1583"/>
          <cell r="O1583"/>
        </row>
        <row r="1584">
          <cell r="B1584"/>
          <cell r="C1584"/>
          <cell r="D1584"/>
          <cell r="E1584"/>
          <cell r="G1584"/>
          <cell r="I1584"/>
          <cell r="J1584"/>
          <cell r="K1584"/>
          <cell r="L1584"/>
          <cell r="N1584"/>
          <cell r="O1584"/>
        </row>
        <row r="1585">
          <cell r="B1585"/>
          <cell r="C1585"/>
          <cell r="D1585"/>
          <cell r="E1585"/>
          <cell r="G1585"/>
          <cell r="I1585"/>
          <cell r="J1585"/>
          <cell r="K1585"/>
          <cell r="L1585"/>
          <cell r="N1585"/>
          <cell r="O1585"/>
        </row>
        <row r="1586">
          <cell r="B1586"/>
          <cell r="C1586"/>
          <cell r="D1586"/>
          <cell r="E1586"/>
          <cell r="G1586"/>
          <cell r="I1586"/>
          <cell r="J1586"/>
          <cell r="K1586"/>
          <cell r="L1586"/>
          <cell r="N1586"/>
          <cell r="O1586"/>
        </row>
        <row r="1587">
          <cell r="B1587"/>
          <cell r="C1587"/>
          <cell r="D1587"/>
          <cell r="E1587"/>
          <cell r="G1587"/>
          <cell r="I1587"/>
          <cell r="J1587"/>
          <cell r="K1587"/>
          <cell r="L1587"/>
          <cell r="N1587"/>
          <cell r="O1587"/>
        </row>
        <row r="1588">
          <cell r="B1588"/>
          <cell r="C1588"/>
          <cell r="D1588"/>
          <cell r="E1588"/>
          <cell r="G1588"/>
          <cell r="I1588"/>
          <cell r="J1588"/>
          <cell r="K1588"/>
          <cell r="L1588"/>
          <cell r="N1588"/>
          <cell r="O1588"/>
        </row>
        <row r="1589">
          <cell r="B1589"/>
          <cell r="C1589"/>
          <cell r="D1589"/>
          <cell r="E1589"/>
          <cell r="G1589"/>
          <cell r="I1589"/>
          <cell r="J1589"/>
          <cell r="K1589"/>
          <cell r="L1589"/>
          <cell r="N1589"/>
          <cell r="O1589"/>
        </row>
        <row r="1590">
          <cell r="B1590"/>
          <cell r="C1590"/>
          <cell r="D1590"/>
          <cell r="E1590"/>
          <cell r="G1590"/>
          <cell r="I1590"/>
          <cell r="J1590"/>
          <cell r="K1590"/>
          <cell r="L1590"/>
          <cell r="N1590"/>
          <cell r="O1590"/>
        </row>
        <row r="1591">
          <cell r="B1591"/>
          <cell r="C1591"/>
          <cell r="D1591"/>
          <cell r="E1591"/>
          <cell r="G1591"/>
          <cell r="I1591"/>
          <cell r="J1591"/>
          <cell r="K1591"/>
          <cell r="L1591"/>
          <cell r="N1591"/>
          <cell r="O1591"/>
        </row>
        <row r="1592">
          <cell r="B1592"/>
          <cell r="C1592"/>
          <cell r="D1592"/>
          <cell r="E1592"/>
          <cell r="G1592"/>
          <cell r="I1592"/>
          <cell r="J1592"/>
          <cell r="K1592"/>
          <cell r="L1592"/>
          <cell r="N1592"/>
          <cell r="O1592"/>
        </row>
        <row r="1593">
          <cell r="B1593"/>
          <cell r="C1593"/>
          <cell r="D1593"/>
          <cell r="E1593"/>
          <cell r="G1593"/>
          <cell r="I1593"/>
          <cell r="J1593"/>
          <cell r="K1593"/>
          <cell r="L1593"/>
          <cell r="N1593"/>
          <cell r="O1593"/>
        </row>
        <row r="1594">
          <cell r="B1594"/>
          <cell r="C1594"/>
          <cell r="D1594"/>
          <cell r="E1594"/>
          <cell r="G1594"/>
          <cell r="I1594"/>
          <cell r="J1594"/>
          <cell r="K1594"/>
          <cell r="L1594"/>
          <cell r="N1594"/>
          <cell r="O1594"/>
        </row>
        <row r="1595">
          <cell r="B1595"/>
          <cell r="C1595"/>
          <cell r="D1595"/>
          <cell r="E1595"/>
          <cell r="G1595"/>
          <cell r="I1595"/>
          <cell r="J1595"/>
          <cell r="K1595"/>
          <cell r="L1595"/>
          <cell r="N1595"/>
          <cell r="O1595"/>
        </row>
        <row r="1596">
          <cell r="B1596"/>
          <cell r="C1596"/>
          <cell r="D1596"/>
          <cell r="E1596"/>
          <cell r="G1596"/>
          <cell r="I1596"/>
          <cell r="J1596"/>
          <cell r="K1596"/>
          <cell r="L1596"/>
          <cell r="N1596"/>
          <cell r="O1596"/>
        </row>
        <row r="1597">
          <cell r="B1597"/>
          <cell r="C1597"/>
          <cell r="D1597"/>
          <cell r="E1597"/>
          <cell r="G1597"/>
          <cell r="I1597"/>
          <cell r="J1597"/>
          <cell r="K1597"/>
          <cell r="L1597"/>
          <cell r="N1597"/>
          <cell r="O1597"/>
        </row>
        <row r="1598">
          <cell r="B1598"/>
          <cell r="C1598"/>
          <cell r="D1598"/>
          <cell r="E1598"/>
          <cell r="G1598"/>
          <cell r="I1598"/>
          <cell r="J1598"/>
          <cell r="K1598"/>
          <cell r="L1598"/>
          <cell r="N1598"/>
          <cell r="O1598"/>
        </row>
        <row r="1599">
          <cell r="B1599"/>
          <cell r="C1599"/>
          <cell r="D1599"/>
          <cell r="E1599"/>
          <cell r="G1599"/>
          <cell r="I1599"/>
          <cell r="J1599"/>
          <cell r="K1599"/>
          <cell r="L1599"/>
          <cell r="N1599"/>
          <cell r="O1599"/>
        </row>
        <row r="1600">
          <cell r="B1600"/>
          <cell r="C1600"/>
          <cell r="D1600"/>
          <cell r="E1600"/>
          <cell r="G1600"/>
          <cell r="I1600"/>
          <cell r="J1600"/>
          <cell r="K1600"/>
          <cell r="L1600"/>
          <cell r="N1600"/>
          <cell r="O1600"/>
        </row>
        <row r="1601">
          <cell r="B1601"/>
          <cell r="C1601"/>
          <cell r="D1601"/>
          <cell r="E1601"/>
          <cell r="G1601"/>
          <cell r="I1601"/>
          <cell r="J1601"/>
          <cell r="K1601"/>
          <cell r="L1601"/>
          <cell r="N1601"/>
          <cell r="O1601"/>
        </row>
        <row r="1602">
          <cell r="B1602"/>
          <cell r="C1602"/>
          <cell r="D1602"/>
          <cell r="E1602"/>
          <cell r="G1602"/>
          <cell r="I1602"/>
          <cell r="J1602"/>
          <cell r="K1602"/>
          <cell r="L1602"/>
          <cell r="N1602"/>
          <cell r="O1602"/>
        </row>
        <row r="1603">
          <cell r="B1603"/>
          <cell r="C1603"/>
          <cell r="D1603"/>
          <cell r="E1603"/>
          <cell r="G1603"/>
          <cell r="I1603"/>
          <cell r="J1603"/>
          <cell r="K1603"/>
          <cell r="L1603"/>
          <cell r="N1603"/>
          <cell r="O1603"/>
        </row>
        <row r="1604">
          <cell r="B1604"/>
          <cell r="C1604"/>
          <cell r="D1604"/>
          <cell r="E1604"/>
          <cell r="G1604"/>
          <cell r="I1604"/>
          <cell r="J1604"/>
          <cell r="K1604"/>
          <cell r="L1604"/>
          <cell r="N1604"/>
          <cell r="O1604"/>
        </row>
        <row r="1605">
          <cell r="B1605"/>
          <cell r="C1605"/>
          <cell r="D1605"/>
          <cell r="E1605"/>
          <cell r="G1605"/>
          <cell r="I1605"/>
          <cell r="J1605"/>
          <cell r="K1605"/>
          <cell r="L1605"/>
          <cell r="N1605"/>
          <cell r="O1605"/>
        </row>
        <row r="1606">
          <cell r="B1606"/>
          <cell r="C1606"/>
          <cell r="D1606"/>
          <cell r="E1606"/>
          <cell r="G1606"/>
          <cell r="I1606"/>
          <cell r="J1606"/>
          <cell r="K1606"/>
          <cell r="L1606"/>
          <cell r="N1606"/>
          <cell r="O1606"/>
        </row>
        <row r="1607">
          <cell r="B1607"/>
          <cell r="C1607"/>
          <cell r="D1607"/>
          <cell r="E1607"/>
          <cell r="G1607"/>
          <cell r="I1607"/>
          <cell r="J1607"/>
          <cell r="K1607"/>
          <cell r="L1607"/>
          <cell r="N1607"/>
          <cell r="O1607"/>
        </row>
        <row r="1608">
          <cell r="B1608"/>
          <cell r="C1608"/>
          <cell r="D1608"/>
          <cell r="E1608"/>
          <cell r="G1608"/>
          <cell r="I1608"/>
          <cell r="J1608"/>
          <cell r="K1608"/>
          <cell r="L1608"/>
          <cell r="N1608"/>
          <cell r="O1608"/>
        </row>
        <row r="1609">
          <cell r="B1609"/>
          <cell r="C1609"/>
          <cell r="D1609"/>
          <cell r="E1609"/>
          <cell r="G1609"/>
          <cell r="I1609"/>
          <cell r="J1609"/>
          <cell r="K1609"/>
          <cell r="L1609"/>
          <cell r="N1609"/>
          <cell r="O1609"/>
        </row>
        <row r="1610">
          <cell r="B1610"/>
          <cell r="C1610"/>
          <cell r="D1610"/>
          <cell r="E1610"/>
          <cell r="G1610"/>
          <cell r="I1610"/>
          <cell r="J1610"/>
          <cell r="K1610"/>
          <cell r="L1610"/>
          <cell r="N1610"/>
          <cell r="O1610"/>
        </row>
        <row r="1611">
          <cell r="B1611"/>
          <cell r="C1611"/>
          <cell r="D1611"/>
          <cell r="E1611"/>
          <cell r="G1611"/>
          <cell r="I1611"/>
          <cell r="J1611"/>
          <cell r="K1611"/>
          <cell r="L1611"/>
          <cell r="N1611"/>
          <cell r="O1611"/>
        </row>
        <row r="1612">
          <cell r="B1612"/>
          <cell r="C1612"/>
          <cell r="D1612"/>
          <cell r="E1612"/>
          <cell r="G1612"/>
          <cell r="I1612"/>
          <cell r="J1612"/>
          <cell r="K1612"/>
          <cell r="L1612"/>
          <cell r="N1612"/>
          <cell r="O1612"/>
        </row>
        <row r="1613">
          <cell r="B1613"/>
          <cell r="C1613"/>
          <cell r="D1613"/>
          <cell r="E1613"/>
          <cell r="G1613"/>
          <cell r="I1613"/>
          <cell r="J1613"/>
          <cell r="K1613"/>
          <cell r="L1613"/>
          <cell r="N1613"/>
          <cell r="O1613"/>
        </row>
        <row r="1614">
          <cell r="B1614"/>
          <cell r="C1614"/>
          <cell r="D1614"/>
          <cell r="E1614"/>
          <cell r="G1614"/>
          <cell r="I1614"/>
          <cell r="J1614"/>
          <cell r="K1614"/>
          <cell r="L1614"/>
          <cell r="N1614"/>
          <cell r="O1614"/>
        </row>
        <row r="1615">
          <cell r="B1615"/>
          <cell r="C1615"/>
          <cell r="D1615"/>
          <cell r="E1615"/>
          <cell r="G1615"/>
          <cell r="I1615"/>
          <cell r="J1615"/>
          <cell r="K1615"/>
          <cell r="L1615"/>
          <cell r="N1615"/>
          <cell r="O1615"/>
        </row>
        <row r="1616">
          <cell r="B1616"/>
          <cell r="C1616"/>
          <cell r="D1616"/>
          <cell r="E1616"/>
          <cell r="G1616"/>
          <cell r="I1616"/>
          <cell r="J1616"/>
          <cell r="K1616"/>
          <cell r="L1616"/>
          <cell r="N1616"/>
          <cell r="O1616"/>
        </row>
        <row r="1617">
          <cell r="B1617"/>
          <cell r="C1617"/>
          <cell r="D1617"/>
          <cell r="E1617"/>
          <cell r="G1617"/>
          <cell r="I1617"/>
          <cell r="J1617"/>
          <cell r="K1617"/>
          <cell r="L1617"/>
          <cell r="N1617"/>
          <cell r="O1617"/>
        </row>
        <row r="1618">
          <cell r="B1618"/>
          <cell r="C1618"/>
          <cell r="D1618"/>
          <cell r="E1618"/>
          <cell r="G1618"/>
          <cell r="I1618"/>
          <cell r="J1618"/>
          <cell r="K1618"/>
          <cell r="L1618"/>
          <cell r="N1618"/>
          <cell r="O1618"/>
        </row>
        <row r="1619">
          <cell r="B1619"/>
          <cell r="C1619"/>
          <cell r="D1619"/>
          <cell r="E1619"/>
          <cell r="G1619"/>
          <cell r="I1619"/>
          <cell r="J1619"/>
          <cell r="K1619"/>
          <cell r="L1619"/>
          <cell r="N1619"/>
          <cell r="O1619"/>
        </row>
        <row r="1620">
          <cell r="B1620"/>
          <cell r="C1620"/>
          <cell r="D1620"/>
          <cell r="E1620"/>
          <cell r="G1620"/>
          <cell r="I1620"/>
          <cell r="J1620"/>
          <cell r="K1620"/>
          <cell r="L1620"/>
          <cell r="N1620"/>
          <cell r="O1620"/>
        </row>
        <row r="1621">
          <cell r="B1621"/>
          <cell r="C1621"/>
          <cell r="D1621"/>
          <cell r="E1621"/>
          <cell r="G1621"/>
          <cell r="I1621"/>
          <cell r="J1621"/>
          <cell r="K1621"/>
          <cell r="L1621"/>
          <cell r="N1621"/>
          <cell r="O1621"/>
        </row>
        <row r="1622">
          <cell r="B1622"/>
          <cell r="C1622"/>
          <cell r="D1622"/>
          <cell r="E1622"/>
          <cell r="G1622"/>
          <cell r="I1622"/>
          <cell r="J1622"/>
          <cell r="K1622"/>
          <cell r="L1622"/>
          <cell r="N1622"/>
          <cell r="O1622"/>
        </row>
        <row r="1623">
          <cell r="B1623"/>
          <cell r="C1623"/>
          <cell r="D1623"/>
          <cell r="E1623"/>
          <cell r="G1623"/>
          <cell r="I1623"/>
          <cell r="J1623"/>
          <cell r="K1623"/>
          <cell r="L1623"/>
          <cell r="N1623"/>
          <cell r="O1623"/>
        </row>
        <row r="1624">
          <cell r="B1624"/>
          <cell r="C1624"/>
          <cell r="D1624"/>
          <cell r="E1624"/>
          <cell r="G1624"/>
          <cell r="I1624"/>
          <cell r="J1624"/>
          <cell r="K1624"/>
          <cell r="L1624"/>
          <cell r="N1624"/>
          <cell r="O1624"/>
        </row>
        <row r="1625">
          <cell r="B1625"/>
          <cell r="C1625"/>
          <cell r="D1625"/>
          <cell r="E1625"/>
          <cell r="G1625"/>
          <cell r="I1625"/>
          <cell r="J1625"/>
          <cell r="K1625"/>
          <cell r="L1625"/>
          <cell r="N1625"/>
          <cell r="O1625"/>
        </row>
        <row r="1626">
          <cell r="B1626"/>
          <cell r="C1626"/>
          <cell r="D1626"/>
          <cell r="E1626"/>
          <cell r="G1626"/>
          <cell r="I1626"/>
          <cell r="J1626"/>
          <cell r="K1626"/>
          <cell r="L1626"/>
          <cell r="N1626"/>
          <cell r="O1626"/>
        </row>
        <row r="1627">
          <cell r="B1627"/>
          <cell r="C1627"/>
          <cell r="D1627"/>
          <cell r="E1627"/>
          <cell r="G1627"/>
          <cell r="I1627"/>
          <cell r="J1627"/>
          <cell r="K1627"/>
          <cell r="L1627"/>
          <cell r="N1627"/>
          <cell r="O1627"/>
        </row>
        <row r="1628">
          <cell r="B1628"/>
          <cell r="C1628"/>
          <cell r="D1628"/>
          <cell r="E1628"/>
          <cell r="G1628"/>
          <cell r="I1628"/>
          <cell r="J1628"/>
          <cell r="K1628"/>
          <cell r="L1628"/>
          <cell r="N1628"/>
          <cell r="O1628"/>
        </row>
        <row r="1629">
          <cell r="B1629"/>
          <cell r="C1629"/>
          <cell r="D1629"/>
          <cell r="E1629"/>
          <cell r="G1629"/>
          <cell r="I1629"/>
          <cell r="J1629"/>
          <cell r="K1629"/>
          <cell r="L1629"/>
          <cell r="N1629"/>
          <cell r="O1629"/>
        </row>
        <row r="1630">
          <cell r="B1630"/>
          <cell r="C1630"/>
          <cell r="D1630"/>
          <cell r="E1630"/>
          <cell r="G1630"/>
          <cell r="I1630"/>
          <cell r="J1630"/>
          <cell r="K1630"/>
          <cell r="L1630"/>
          <cell r="N1630"/>
          <cell r="O1630"/>
        </row>
        <row r="1631">
          <cell r="B1631"/>
          <cell r="C1631"/>
          <cell r="D1631"/>
          <cell r="E1631"/>
          <cell r="G1631"/>
          <cell r="I1631"/>
          <cell r="J1631"/>
          <cell r="K1631"/>
          <cell r="L1631"/>
          <cell r="N1631"/>
          <cell r="O1631"/>
        </row>
        <row r="1632">
          <cell r="B1632"/>
          <cell r="C1632"/>
          <cell r="D1632"/>
          <cell r="E1632"/>
          <cell r="G1632"/>
          <cell r="I1632"/>
          <cell r="J1632"/>
          <cell r="K1632"/>
          <cell r="L1632"/>
          <cell r="N1632"/>
          <cell r="O1632"/>
        </row>
        <row r="1633">
          <cell r="B1633"/>
          <cell r="C1633"/>
          <cell r="D1633"/>
          <cell r="E1633"/>
          <cell r="G1633"/>
          <cell r="I1633"/>
          <cell r="J1633"/>
          <cell r="K1633"/>
          <cell r="L1633"/>
          <cell r="N1633"/>
          <cell r="O1633"/>
        </row>
        <row r="1634">
          <cell r="B1634"/>
          <cell r="C1634"/>
          <cell r="D1634"/>
          <cell r="E1634"/>
          <cell r="G1634"/>
          <cell r="I1634"/>
          <cell r="J1634"/>
          <cell r="K1634"/>
          <cell r="L1634"/>
          <cell r="N1634"/>
          <cell r="O1634"/>
        </row>
        <row r="1635">
          <cell r="B1635"/>
          <cell r="C1635"/>
          <cell r="D1635"/>
          <cell r="E1635"/>
          <cell r="G1635"/>
          <cell r="I1635"/>
          <cell r="J1635"/>
          <cell r="K1635"/>
          <cell r="L1635"/>
          <cell r="N1635"/>
          <cell r="O1635"/>
        </row>
        <row r="1636">
          <cell r="B1636"/>
          <cell r="C1636"/>
          <cell r="D1636"/>
          <cell r="E1636"/>
          <cell r="G1636"/>
          <cell r="I1636"/>
          <cell r="J1636"/>
          <cell r="K1636"/>
          <cell r="L1636"/>
          <cell r="N1636"/>
          <cell r="O1636"/>
        </row>
        <row r="1637">
          <cell r="B1637"/>
          <cell r="C1637"/>
          <cell r="D1637"/>
          <cell r="E1637"/>
          <cell r="G1637"/>
          <cell r="I1637"/>
          <cell r="J1637"/>
          <cell r="K1637"/>
          <cell r="L1637"/>
          <cell r="N1637"/>
          <cell r="O1637"/>
        </row>
        <row r="1638">
          <cell r="B1638"/>
          <cell r="C1638"/>
          <cell r="D1638"/>
          <cell r="E1638"/>
          <cell r="G1638"/>
          <cell r="I1638"/>
          <cell r="J1638"/>
          <cell r="K1638"/>
          <cell r="L1638"/>
          <cell r="N1638"/>
          <cell r="O1638"/>
        </row>
        <row r="1639">
          <cell r="B1639"/>
          <cell r="C1639"/>
          <cell r="D1639"/>
          <cell r="E1639"/>
          <cell r="G1639"/>
          <cell r="I1639"/>
          <cell r="J1639"/>
          <cell r="K1639"/>
          <cell r="L1639"/>
          <cell r="N1639"/>
          <cell r="O1639"/>
        </row>
        <row r="1640">
          <cell r="B1640"/>
          <cell r="C1640"/>
          <cell r="D1640"/>
          <cell r="E1640"/>
          <cell r="G1640"/>
          <cell r="I1640"/>
          <cell r="J1640"/>
          <cell r="K1640"/>
          <cell r="L1640"/>
          <cell r="N1640"/>
          <cell r="O1640"/>
        </row>
        <row r="1641">
          <cell r="B1641"/>
          <cell r="C1641"/>
          <cell r="D1641"/>
          <cell r="E1641"/>
          <cell r="G1641"/>
          <cell r="I1641"/>
          <cell r="J1641"/>
          <cell r="K1641"/>
          <cell r="L1641"/>
          <cell r="N1641"/>
          <cell r="O1641"/>
        </row>
        <row r="1642">
          <cell r="B1642"/>
          <cell r="C1642"/>
          <cell r="D1642"/>
          <cell r="E1642"/>
          <cell r="G1642"/>
          <cell r="I1642"/>
          <cell r="J1642"/>
          <cell r="K1642"/>
          <cell r="L1642"/>
          <cell r="N1642"/>
          <cell r="O1642"/>
        </row>
        <row r="1643">
          <cell r="B1643"/>
          <cell r="C1643"/>
          <cell r="D1643"/>
          <cell r="E1643"/>
          <cell r="G1643"/>
          <cell r="I1643"/>
          <cell r="J1643"/>
          <cell r="K1643"/>
          <cell r="L1643"/>
          <cell r="N1643"/>
          <cell r="O1643"/>
        </row>
        <row r="1644">
          <cell r="B1644"/>
          <cell r="C1644"/>
          <cell r="D1644"/>
          <cell r="E1644"/>
          <cell r="G1644"/>
          <cell r="I1644"/>
          <cell r="J1644"/>
          <cell r="K1644"/>
          <cell r="L1644"/>
          <cell r="N1644"/>
          <cell r="O1644"/>
        </row>
        <row r="1645">
          <cell r="B1645"/>
          <cell r="C1645"/>
          <cell r="D1645"/>
          <cell r="E1645"/>
          <cell r="G1645"/>
          <cell r="I1645"/>
          <cell r="J1645"/>
          <cell r="K1645"/>
          <cell r="L1645"/>
          <cell r="N1645"/>
          <cell r="O1645"/>
        </row>
        <row r="1646">
          <cell r="B1646"/>
          <cell r="C1646"/>
          <cell r="D1646"/>
          <cell r="E1646"/>
          <cell r="G1646"/>
          <cell r="I1646"/>
          <cell r="J1646"/>
          <cell r="K1646"/>
          <cell r="L1646"/>
          <cell r="N1646"/>
          <cell r="O1646"/>
        </row>
        <row r="1647">
          <cell r="B1647"/>
          <cell r="C1647"/>
          <cell r="D1647"/>
          <cell r="E1647"/>
          <cell r="G1647"/>
          <cell r="I1647"/>
          <cell r="J1647"/>
          <cell r="K1647"/>
          <cell r="L1647"/>
          <cell r="N1647"/>
          <cell r="O1647"/>
        </row>
        <row r="1648">
          <cell r="B1648"/>
          <cell r="C1648"/>
          <cell r="D1648"/>
          <cell r="E1648"/>
          <cell r="G1648"/>
          <cell r="I1648"/>
          <cell r="J1648"/>
          <cell r="K1648"/>
          <cell r="L1648"/>
          <cell r="N1648"/>
          <cell r="O1648"/>
        </row>
        <row r="1649">
          <cell r="B1649"/>
          <cell r="C1649"/>
          <cell r="D1649"/>
          <cell r="E1649"/>
          <cell r="G1649"/>
          <cell r="I1649"/>
          <cell r="J1649"/>
          <cell r="K1649"/>
          <cell r="L1649"/>
          <cell r="N1649"/>
          <cell r="O1649"/>
        </row>
        <row r="1650">
          <cell r="B1650"/>
          <cell r="C1650"/>
          <cell r="D1650"/>
          <cell r="E1650"/>
          <cell r="G1650"/>
          <cell r="I1650"/>
          <cell r="J1650"/>
          <cell r="K1650"/>
          <cell r="L1650"/>
          <cell r="N1650"/>
          <cell r="O1650"/>
        </row>
        <row r="1651">
          <cell r="B1651"/>
          <cell r="C1651"/>
          <cell r="D1651"/>
          <cell r="E1651"/>
          <cell r="G1651"/>
          <cell r="I1651"/>
          <cell r="J1651"/>
          <cell r="K1651"/>
          <cell r="L1651"/>
          <cell r="N1651"/>
          <cell r="O1651"/>
        </row>
        <row r="1652">
          <cell r="B1652"/>
          <cell r="C1652"/>
          <cell r="D1652"/>
          <cell r="E1652"/>
          <cell r="G1652"/>
          <cell r="I1652"/>
          <cell r="J1652"/>
          <cell r="K1652"/>
          <cell r="L1652"/>
          <cell r="N1652"/>
          <cell r="O1652"/>
        </row>
        <row r="1653">
          <cell r="B1653"/>
          <cell r="C1653"/>
          <cell r="D1653"/>
          <cell r="E1653"/>
          <cell r="G1653"/>
          <cell r="I1653"/>
          <cell r="J1653"/>
          <cell r="K1653"/>
          <cell r="L1653"/>
          <cell r="N1653"/>
          <cell r="O1653"/>
        </row>
        <row r="1654">
          <cell r="B1654"/>
          <cell r="C1654"/>
          <cell r="D1654"/>
          <cell r="E1654"/>
          <cell r="G1654"/>
          <cell r="I1654"/>
          <cell r="J1654"/>
          <cell r="K1654"/>
          <cell r="L1654"/>
          <cell r="N1654"/>
          <cell r="O1654"/>
        </row>
        <row r="1655">
          <cell r="B1655"/>
          <cell r="C1655"/>
          <cell r="D1655"/>
          <cell r="E1655"/>
          <cell r="G1655"/>
          <cell r="I1655"/>
          <cell r="J1655"/>
          <cell r="K1655"/>
          <cell r="L1655"/>
          <cell r="N1655"/>
          <cell r="O1655"/>
        </row>
        <row r="1656">
          <cell r="B1656"/>
          <cell r="C1656"/>
          <cell r="D1656"/>
          <cell r="E1656"/>
          <cell r="G1656"/>
          <cell r="I1656"/>
          <cell r="J1656"/>
          <cell r="K1656"/>
          <cell r="L1656"/>
          <cell r="N1656"/>
          <cell r="O1656"/>
        </row>
        <row r="1657">
          <cell r="B1657"/>
          <cell r="C1657"/>
          <cell r="D1657"/>
          <cell r="E1657"/>
          <cell r="G1657"/>
          <cell r="I1657"/>
          <cell r="J1657"/>
          <cell r="K1657"/>
          <cell r="L1657"/>
          <cell r="N1657"/>
          <cell r="O1657"/>
        </row>
        <row r="1658">
          <cell r="B1658"/>
          <cell r="C1658"/>
          <cell r="D1658"/>
          <cell r="E1658"/>
          <cell r="G1658"/>
          <cell r="I1658"/>
          <cell r="J1658"/>
          <cell r="K1658"/>
          <cell r="L1658"/>
          <cell r="N1658"/>
          <cell r="O1658"/>
        </row>
        <row r="1659">
          <cell r="B1659"/>
          <cell r="C1659"/>
          <cell r="D1659"/>
          <cell r="E1659"/>
          <cell r="G1659"/>
          <cell r="I1659"/>
          <cell r="J1659"/>
          <cell r="K1659"/>
          <cell r="L1659"/>
          <cell r="N1659"/>
          <cell r="O1659"/>
        </row>
        <row r="1660">
          <cell r="B1660"/>
          <cell r="C1660"/>
          <cell r="D1660"/>
          <cell r="E1660"/>
          <cell r="G1660"/>
          <cell r="I1660"/>
          <cell r="J1660"/>
          <cell r="K1660"/>
          <cell r="L1660"/>
          <cell r="N1660"/>
          <cell r="O1660"/>
        </row>
        <row r="1661">
          <cell r="B1661"/>
          <cell r="C1661"/>
          <cell r="D1661"/>
          <cell r="E1661"/>
          <cell r="G1661"/>
          <cell r="I1661"/>
          <cell r="J1661"/>
          <cell r="K1661"/>
          <cell r="L1661"/>
          <cell r="N1661"/>
          <cell r="O1661"/>
        </row>
        <row r="1662">
          <cell r="B1662"/>
          <cell r="C1662"/>
          <cell r="D1662"/>
          <cell r="E1662"/>
          <cell r="G1662"/>
          <cell r="I1662"/>
          <cell r="J1662"/>
          <cell r="K1662"/>
          <cell r="L1662"/>
          <cell r="N1662"/>
          <cell r="O1662"/>
        </row>
        <row r="1663">
          <cell r="B1663"/>
          <cell r="C1663"/>
          <cell r="D1663"/>
          <cell r="E1663"/>
          <cell r="G1663"/>
          <cell r="I1663"/>
          <cell r="J1663"/>
          <cell r="K1663"/>
          <cell r="L1663"/>
          <cell r="N1663"/>
          <cell r="O1663"/>
        </row>
        <row r="1664">
          <cell r="B1664"/>
          <cell r="C1664"/>
          <cell r="D1664"/>
          <cell r="E1664"/>
          <cell r="G1664"/>
          <cell r="I1664"/>
          <cell r="J1664"/>
          <cell r="K1664"/>
          <cell r="L1664"/>
          <cell r="N1664"/>
          <cell r="O1664"/>
        </row>
        <row r="1665">
          <cell r="B1665"/>
          <cell r="C1665"/>
          <cell r="D1665"/>
          <cell r="E1665"/>
          <cell r="G1665"/>
          <cell r="I1665"/>
          <cell r="J1665"/>
          <cell r="K1665"/>
          <cell r="L1665"/>
          <cell r="N1665"/>
          <cell r="O1665"/>
        </row>
        <row r="1666">
          <cell r="B1666"/>
          <cell r="C1666"/>
          <cell r="D1666"/>
          <cell r="E1666"/>
          <cell r="G1666"/>
          <cell r="I1666"/>
          <cell r="J1666"/>
          <cell r="K1666"/>
          <cell r="L1666"/>
          <cell r="N1666"/>
          <cell r="O1666"/>
        </row>
        <row r="1667">
          <cell r="B1667"/>
          <cell r="C1667"/>
          <cell r="D1667"/>
          <cell r="E1667"/>
          <cell r="G1667"/>
          <cell r="I1667"/>
          <cell r="J1667"/>
          <cell r="K1667"/>
          <cell r="L1667"/>
          <cell r="N1667"/>
          <cell r="O1667"/>
        </row>
        <row r="1668">
          <cell r="B1668"/>
          <cell r="C1668"/>
          <cell r="D1668"/>
          <cell r="E1668"/>
          <cell r="G1668"/>
          <cell r="I1668"/>
          <cell r="J1668"/>
          <cell r="K1668"/>
          <cell r="L1668"/>
          <cell r="N1668"/>
          <cell r="O1668"/>
        </row>
        <row r="1669">
          <cell r="B1669"/>
          <cell r="C1669"/>
          <cell r="D1669"/>
          <cell r="E1669"/>
          <cell r="G1669"/>
          <cell r="I1669"/>
          <cell r="J1669"/>
          <cell r="K1669"/>
          <cell r="L1669"/>
          <cell r="N1669"/>
          <cell r="O1669"/>
        </row>
        <row r="1670">
          <cell r="B1670"/>
          <cell r="C1670"/>
          <cell r="D1670"/>
          <cell r="E1670"/>
          <cell r="G1670"/>
          <cell r="I1670"/>
          <cell r="J1670"/>
          <cell r="K1670"/>
          <cell r="L1670"/>
          <cell r="N1670"/>
          <cell r="O1670"/>
        </row>
        <row r="1671">
          <cell r="B1671"/>
          <cell r="C1671"/>
          <cell r="D1671"/>
          <cell r="E1671"/>
          <cell r="G1671"/>
          <cell r="I1671"/>
          <cell r="J1671"/>
          <cell r="K1671"/>
          <cell r="L1671"/>
          <cell r="N1671"/>
          <cell r="O1671"/>
        </row>
        <row r="1672">
          <cell r="B1672"/>
          <cell r="C1672"/>
          <cell r="D1672"/>
          <cell r="E1672"/>
          <cell r="G1672"/>
          <cell r="I1672"/>
          <cell r="J1672"/>
          <cell r="K1672"/>
          <cell r="L1672"/>
          <cell r="N1672"/>
          <cell r="O1672"/>
        </row>
        <row r="1673">
          <cell r="B1673"/>
          <cell r="C1673"/>
          <cell r="D1673"/>
          <cell r="E1673"/>
          <cell r="G1673"/>
          <cell r="I1673"/>
          <cell r="J1673"/>
          <cell r="K1673"/>
          <cell r="L1673"/>
          <cell r="N1673"/>
          <cell r="O1673"/>
        </row>
        <row r="1674">
          <cell r="B1674"/>
          <cell r="C1674"/>
          <cell r="D1674"/>
          <cell r="E1674"/>
          <cell r="G1674"/>
          <cell r="I1674"/>
          <cell r="J1674"/>
          <cell r="K1674"/>
          <cell r="L1674"/>
          <cell r="N1674"/>
          <cell r="O1674"/>
        </row>
        <row r="1675">
          <cell r="B1675"/>
          <cell r="C1675"/>
          <cell r="D1675"/>
          <cell r="E1675"/>
          <cell r="G1675"/>
          <cell r="I1675"/>
          <cell r="J1675"/>
          <cell r="K1675"/>
          <cell r="L1675"/>
          <cell r="N1675"/>
          <cell r="O1675"/>
        </row>
        <row r="1676">
          <cell r="B1676"/>
          <cell r="C1676"/>
          <cell r="D1676"/>
          <cell r="E1676"/>
          <cell r="G1676"/>
          <cell r="I1676"/>
          <cell r="J1676"/>
          <cell r="K1676"/>
          <cell r="L1676"/>
          <cell r="N1676"/>
          <cell r="O1676"/>
        </row>
        <row r="1677">
          <cell r="B1677"/>
          <cell r="C1677"/>
          <cell r="D1677"/>
          <cell r="E1677"/>
          <cell r="G1677"/>
          <cell r="I1677"/>
          <cell r="J1677"/>
          <cell r="K1677"/>
          <cell r="L1677"/>
          <cell r="N1677"/>
          <cell r="O1677"/>
        </row>
        <row r="1678">
          <cell r="B1678"/>
          <cell r="C1678"/>
          <cell r="D1678"/>
          <cell r="E1678"/>
          <cell r="G1678"/>
          <cell r="I1678"/>
          <cell r="J1678"/>
          <cell r="K1678"/>
          <cell r="L1678"/>
          <cell r="N1678"/>
          <cell r="O1678"/>
        </row>
        <row r="1679">
          <cell r="B1679"/>
          <cell r="C1679"/>
          <cell r="D1679"/>
          <cell r="E1679"/>
          <cell r="G1679"/>
          <cell r="I1679"/>
          <cell r="J1679"/>
          <cell r="K1679"/>
          <cell r="L1679"/>
          <cell r="N1679"/>
          <cell r="O1679"/>
        </row>
        <row r="1680">
          <cell r="B1680"/>
          <cell r="C1680"/>
          <cell r="D1680"/>
          <cell r="E1680"/>
          <cell r="G1680"/>
          <cell r="I1680"/>
          <cell r="J1680"/>
          <cell r="K1680"/>
          <cell r="L1680"/>
          <cell r="N1680"/>
          <cell r="O1680"/>
        </row>
        <row r="1681">
          <cell r="B1681"/>
          <cell r="C1681"/>
          <cell r="D1681"/>
          <cell r="E1681"/>
          <cell r="G1681"/>
          <cell r="I1681"/>
          <cell r="J1681"/>
          <cell r="K1681"/>
          <cell r="L1681"/>
          <cell r="N1681"/>
          <cell r="O1681"/>
        </row>
        <row r="1682">
          <cell r="B1682"/>
          <cell r="C1682"/>
          <cell r="D1682"/>
          <cell r="E1682"/>
          <cell r="G1682"/>
          <cell r="I1682"/>
          <cell r="J1682"/>
          <cell r="K1682"/>
          <cell r="L1682"/>
          <cell r="N1682"/>
          <cell r="O1682"/>
        </row>
        <row r="1683">
          <cell r="B1683"/>
          <cell r="C1683"/>
          <cell r="D1683"/>
          <cell r="E1683"/>
          <cell r="G1683"/>
          <cell r="I1683"/>
          <cell r="J1683"/>
          <cell r="K1683"/>
          <cell r="L1683"/>
          <cell r="N1683"/>
          <cell r="O1683"/>
        </row>
        <row r="1684">
          <cell r="B1684"/>
          <cell r="C1684"/>
          <cell r="D1684"/>
          <cell r="E1684"/>
          <cell r="G1684"/>
          <cell r="I1684"/>
          <cell r="J1684"/>
          <cell r="K1684"/>
          <cell r="L1684"/>
          <cell r="N1684"/>
          <cell r="O1684"/>
        </row>
        <row r="1685">
          <cell r="B1685"/>
          <cell r="C1685"/>
          <cell r="D1685"/>
          <cell r="E1685"/>
          <cell r="G1685"/>
          <cell r="I1685"/>
          <cell r="J1685"/>
          <cell r="K1685"/>
          <cell r="L1685"/>
          <cell r="N1685"/>
          <cell r="O1685"/>
        </row>
        <row r="1686">
          <cell r="B1686"/>
          <cell r="C1686"/>
          <cell r="D1686"/>
          <cell r="E1686"/>
          <cell r="G1686"/>
          <cell r="I1686"/>
          <cell r="J1686"/>
          <cell r="K1686"/>
          <cell r="L1686"/>
          <cell r="N1686"/>
          <cell r="O1686"/>
        </row>
        <row r="1687">
          <cell r="B1687"/>
          <cell r="C1687"/>
          <cell r="D1687"/>
          <cell r="E1687"/>
          <cell r="G1687"/>
          <cell r="I1687"/>
          <cell r="J1687"/>
          <cell r="K1687"/>
          <cell r="L1687"/>
          <cell r="N1687"/>
          <cell r="O1687"/>
        </row>
        <row r="1688">
          <cell r="B1688"/>
          <cell r="C1688"/>
          <cell r="D1688"/>
          <cell r="E1688"/>
          <cell r="G1688"/>
          <cell r="I1688"/>
          <cell r="J1688"/>
          <cell r="K1688"/>
          <cell r="L1688"/>
          <cell r="N1688"/>
          <cell r="O1688"/>
        </row>
        <row r="1689">
          <cell r="B1689"/>
          <cell r="C1689"/>
          <cell r="D1689"/>
          <cell r="E1689"/>
          <cell r="G1689"/>
          <cell r="I1689"/>
          <cell r="J1689"/>
          <cell r="K1689"/>
          <cell r="L1689"/>
          <cell r="N1689"/>
          <cell r="O1689"/>
        </row>
        <row r="1690">
          <cell r="B1690"/>
          <cell r="C1690"/>
          <cell r="D1690"/>
          <cell r="E1690"/>
          <cell r="G1690"/>
          <cell r="I1690"/>
          <cell r="J1690"/>
          <cell r="K1690"/>
          <cell r="L1690"/>
          <cell r="N1690"/>
          <cell r="O1690"/>
        </row>
        <row r="1691">
          <cell r="B1691"/>
          <cell r="C1691"/>
          <cell r="D1691"/>
          <cell r="E1691"/>
          <cell r="G1691"/>
          <cell r="I1691"/>
          <cell r="J1691"/>
          <cell r="K1691"/>
          <cell r="L1691"/>
          <cell r="N1691"/>
          <cell r="O1691"/>
        </row>
        <row r="1692">
          <cell r="B1692"/>
          <cell r="C1692"/>
          <cell r="D1692"/>
          <cell r="E1692"/>
          <cell r="G1692"/>
          <cell r="I1692"/>
          <cell r="J1692"/>
          <cell r="K1692"/>
          <cell r="L1692"/>
          <cell r="N1692"/>
          <cell r="O1692"/>
        </row>
        <row r="1693">
          <cell r="B1693"/>
          <cell r="C1693"/>
          <cell r="D1693"/>
          <cell r="E1693"/>
          <cell r="G1693"/>
          <cell r="I1693"/>
          <cell r="J1693"/>
          <cell r="K1693"/>
          <cell r="L1693"/>
          <cell r="N1693"/>
          <cell r="O1693"/>
        </row>
        <row r="1694">
          <cell r="B1694"/>
          <cell r="C1694"/>
          <cell r="D1694"/>
          <cell r="E1694"/>
          <cell r="G1694"/>
          <cell r="I1694"/>
          <cell r="J1694"/>
          <cell r="K1694"/>
          <cell r="L1694"/>
          <cell r="N1694"/>
          <cell r="O1694"/>
        </row>
        <row r="1695">
          <cell r="B1695"/>
          <cell r="C1695"/>
          <cell r="D1695"/>
          <cell r="E1695"/>
          <cell r="G1695"/>
          <cell r="I1695"/>
          <cell r="J1695"/>
          <cell r="K1695"/>
          <cell r="L1695"/>
          <cell r="N1695"/>
          <cell r="O1695"/>
        </row>
        <row r="1696">
          <cell r="B1696"/>
          <cell r="C1696"/>
          <cell r="D1696"/>
          <cell r="E1696"/>
          <cell r="G1696"/>
          <cell r="I1696"/>
          <cell r="J1696"/>
          <cell r="K1696"/>
          <cell r="L1696"/>
          <cell r="N1696"/>
          <cell r="O1696"/>
        </row>
        <row r="1697">
          <cell r="B1697"/>
          <cell r="C1697"/>
          <cell r="D1697"/>
          <cell r="E1697"/>
          <cell r="G1697"/>
          <cell r="I1697"/>
          <cell r="J1697"/>
          <cell r="K1697"/>
          <cell r="L1697"/>
          <cell r="N1697"/>
          <cell r="O1697"/>
        </row>
        <row r="1698">
          <cell r="B1698"/>
          <cell r="C1698"/>
          <cell r="D1698"/>
          <cell r="E1698"/>
          <cell r="G1698"/>
          <cell r="I1698"/>
          <cell r="J1698"/>
          <cell r="K1698"/>
          <cell r="L1698"/>
          <cell r="N1698"/>
          <cell r="O1698"/>
        </row>
        <row r="1699">
          <cell r="B1699"/>
          <cell r="C1699"/>
          <cell r="D1699"/>
          <cell r="E1699"/>
          <cell r="G1699"/>
          <cell r="I1699"/>
          <cell r="J1699"/>
          <cell r="K1699"/>
          <cell r="L1699"/>
          <cell r="N1699"/>
          <cell r="O1699"/>
        </row>
        <row r="1700">
          <cell r="B1700"/>
          <cell r="C1700"/>
          <cell r="D1700"/>
          <cell r="E1700"/>
          <cell r="G1700"/>
          <cell r="I1700"/>
          <cell r="J1700"/>
          <cell r="K1700"/>
          <cell r="L1700"/>
          <cell r="N1700"/>
          <cell r="O1700"/>
        </row>
        <row r="1701">
          <cell r="B1701"/>
          <cell r="C1701"/>
          <cell r="D1701"/>
          <cell r="E1701"/>
          <cell r="G1701"/>
          <cell r="I1701"/>
          <cell r="J1701"/>
          <cell r="K1701"/>
          <cell r="L1701"/>
          <cell r="N1701"/>
          <cell r="O1701"/>
        </row>
        <row r="1702">
          <cell r="B1702"/>
          <cell r="C1702"/>
          <cell r="D1702"/>
          <cell r="E1702"/>
          <cell r="G1702"/>
          <cell r="I1702"/>
          <cell r="J1702"/>
          <cell r="K1702"/>
          <cell r="L1702"/>
          <cell r="N1702"/>
          <cell r="O1702"/>
        </row>
        <row r="1703">
          <cell r="B1703"/>
          <cell r="C1703"/>
          <cell r="D1703"/>
          <cell r="E1703"/>
          <cell r="G1703"/>
          <cell r="I1703"/>
          <cell r="J1703"/>
          <cell r="K1703"/>
          <cell r="L1703"/>
          <cell r="N1703"/>
          <cell r="O1703"/>
        </row>
        <row r="1704">
          <cell r="B1704"/>
          <cell r="C1704"/>
          <cell r="D1704"/>
          <cell r="E1704"/>
          <cell r="G1704"/>
          <cell r="I1704"/>
          <cell r="J1704"/>
          <cell r="K1704"/>
          <cell r="L1704"/>
          <cell r="N1704"/>
          <cell r="O1704"/>
        </row>
        <row r="1705">
          <cell r="B1705"/>
          <cell r="C1705"/>
          <cell r="D1705"/>
          <cell r="E1705"/>
          <cell r="G1705"/>
          <cell r="I1705"/>
          <cell r="J1705"/>
          <cell r="K1705"/>
          <cell r="L1705"/>
          <cell r="N1705"/>
          <cell r="O1705"/>
        </row>
        <row r="1706">
          <cell r="B1706"/>
          <cell r="C1706"/>
          <cell r="D1706"/>
          <cell r="E1706"/>
          <cell r="G1706"/>
          <cell r="I1706"/>
          <cell r="J1706"/>
          <cell r="K1706"/>
          <cell r="L1706"/>
          <cell r="N1706"/>
          <cell r="O1706"/>
        </row>
        <row r="1707">
          <cell r="B1707"/>
          <cell r="C1707"/>
          <cell r="D1707"/>
          <cell r="E1707"/>
          <cell r="G1707"/>
          <cell r="I1707"/>
          <cell r="J1707"/>
          <cell r="K1707"/>
          <cell r="L1707"/>
          <cell r="N1707"/>
          <cell r="O1707"/>
        </row>
        <row r="1708">
          <cell r="B1708"/>
          <cell r="C1708"/>
          <cell r="D1708"/>
          <cell r="E1708"/>
          <cell r="G1708"/>
          <cell r="I1708"/>
          <cell r="J1708"/>
          <cell r="K1708"/>
          <cell r="L1708"/>
          <cell r="N1708"/>
          <cell r="O1708"/>
        </row>
        <row r="1709">
          <cell r="B1709"/>
          <cell r="C1709"/>
          <cell r="D1709"/>
          <cell r="E1709"/>
          <cell r="G1709"/>
          <cell r="I1709"/>
          <cell r="J1709"/>
          <cell r="K1709"/>
          <cell r="L1709"/>
          <cell r="N1709"/>
          <cell r="O1709"/>
        </row>
        <row r="1710">
          <cell r="B1710"/>
          <cell r="C1710"/>
          <cell r="D1710"/>
          <cell r="E1710"/>
          <cell r="G1710"/>
          <cell r="I1710"/>
          <cell r="J1710"/>
          <cell r="K1710"/>
          <cell r="L1710"/>
          <cell r="N1710"/>
          <cell r="O1710"/>
        </row>
        <row r="1711">
          <cell r="B1711"/>
          <cell r="C1711"/>
          <cell r="D1711"/>
          <cell r="E1711"/>
          <cell r="G1711"/>
          <cell r="I1711"/>
          <cell r="J1711"/>
          <cell r="K1711"/>
          <cell r="L1711"/>
          <cell r="N1711"/>
          <cell r="O1711"/>
        </row>
        <row r="1712">
          <cell r="B1712"/>
          <cell r="C1712"/>
          <cell r="D1712"/>
          <cell r="E1712"/>
          <cell r="G1712"/>
          <cell r="I1712"/>
          <cell r="J1712"/>
          <cell r="K1712"/>
          <cell r="L1712"/>
          <cell r="N1712"/>
          <cell r="O1712"/>
        </row>
        <row r="1713">
          <cell r="B1713"/>
          <cell r="C1713"/>
          <cell r="D1713"/>
          <cell r="E1713"/>
          <cell r="G1713"/>
          <cell r="I1713"/>
          <cell r="J1713"/>
          <cell r="K1713"/>
          <cell r="L1713"/>
          <cell r="N1713"/>
          <cell r="O1713"/>
        </row>
        <row r="1714">
          <cell r="B1714"/>
          <cell r="C1714"/>
          <cell r="D1714"/>
          <cell r="E1714"/>
          <cell r="G1714"/>
          <cell r="I1714"/>
          <cell r="J1714"/>
          <cell r="K1714"/>
          <cell r="L1714"/>
          <cell r="N1714"/>
          <cell r="O1714"/>
        </row>
        <row r="1715">
          <cell r="B1715"/>
          <cell r="C1715"/>
          <cell r="D1715"/>
          <cell r="E1715"/>
          <cell r="G1715"/>
          <cell r="I1715"/>
          <cell r="J1715"/>
          <cell r="K1715"/>
          <cell r="L1715"/>
          <cell r="N1715"/>
          <cell r="O1715"/>
        </row>
        <row r="1716">
          <cell r="B1716"/>
          <cell r="C1716"/>
          <cell r="D1716"/>
          <cell r="E1716"/>
          <cell r="G1716"/>
          <cell r="I1716"/>
          <cell r="J1716"/>
          <cell r="K1716"/>
          <cell r="L1716"/>
          <cell r="N1716"/>
          <cell r="O1716"/>
        </row>
        <row r="1717">
          <cell r="B1717"/>
          <cell r="C1717"/>
          <cell r="D1717"/>
          <cell r="E1717"/>
          <cell r="G1717"/>
          <cell r="I1717"/>
          <cell r="J1717"/>
          <cell r="K1717"/>
          <cell r="L1717"/>
          <cell r="N1717"/>
          <cell r="O1717"/>
        </row>
        <row r="1718">
          <cell r="B1718"/>
          <cell r="C1718"/>
          <cell r="D1718"/>
          <cell r="E1718"/>
          <cell r="G1718"/>
          <cell r="I1718"/>
          <cell r="J1718"/>
          <cell r="K1718"/>
          <cell r="L1718"/>
          <cell r="N1718"/>
          <cell r="O1718"/>
        </row>
        <row r="1719">
          <cell r="B1719"/>
          <cell r="C1719"/>
          <cell r="D1719"/>
          <cell r="E1719"/>
          <cell r="G1719"/>
          <cell r="I1719"/>
          <cell r="J1719"/>
          <cell r="K1719"/>
          <cell r="L1719"/>
          <cell r="N1719"/>
          <cell r="O1719"/>
        </row>
        <row r="1720">
          <cell r="B1720"/>
          <cell r="C1720"/>
          <cell r="D1720"/>
          <cell r="E1720"/>
          <cell r="G1720"/>
          <cell r="I1720"/>
          <cell r="J1720"/>
          <cell r="K1720"/>
          <cell r="L1720"/>
          <cell r="N1720"/>
          <cell r="O1720"/>
        </row>
        <row r="1721">
          <cell r="B1721"/>
          <cell r="C1721"/>
          <cell r="D1721"/>
          <cell r="E1721"/>
          <cell r="G1721"/>
          <cell r="I1721"/>
          <cell r="J1721"/>
          <cell r="K1721"/>
          <cell r="L1721"/>
          <cell r="N1721"/>
          <cell r="O1721"/>
        </row>
        <row r="1722">
          <cell r="B1722"/>
          <cell r="C1722"/>
          <cell r="D1722"/>
          <cell r="E1722"/>
          <cell r="G1722"/>
          <cell r="I1722"/>
          <cell r="J1722"/>
          <cell r="K1722"/>
          <cell r="L1722"/>
          <cell r="N1722"/>
          <cell r="O1722"/>
        </row>
        <row r="1723">
          <cell r="B1723"/>
          <cell r="C1723"/>
          <cell r="D1723"/>
          <cell r="E1723"/>
          <cell r="G1723"/>
          <cell r="I1723"/>
          <cell r="J1723"/>
          <cell r="K1723"/>
          <cell r="L1723"/>
          <cell r="N1723"/>
          <cell r="O1723"/>
        </row>
        <row r="1724">
          <cell r="B1724"/>
          <cell r="C1724"/>
          <cell r="D1724"/>
          <cell r="E1724"/>
          <cell r="G1724"/>
          <cell r="I1724"/>
          <cell r="J1724"/>
          <cell r="K1724"/>
          <cell r="L1724"/>
          <cell r="N1724"/>
          <cell r="O1724"/>
        </row>
        <row r="1725">
          <cell r="B1725"/>
          <cell r="C1725"/>
          <cell r="D1725"/>
          <cell r="E1725"/>
          <cell r="G1725"/>
          <cell r="I1725"/>
          <cell r="J1725"/>
          <cell r="K1725"/>
          <cell r="L1725"/>
          <cell r="N1725"/>
          <cell r="O1725"/>
        </row>
        <row r="1726">
          <cell r="B1726"/>
          <cell r="C1726"/>
          <cell r="D1726"/>
          <cell r="E1726"/>
          <cell r="G1726"/>
          <cell r="I1726"/>
          <cell r="J1726"/>
          <cell r="K1726"/>
          <cell r="L1726"/>
          <cell r="N1726"/>
          <cell r="O1726"/>
        </row>
        <row r="1727">
          <cell r="B1727"/>
          <cell r="C1727"/>
          <cell r="D1727"/>
          <cell r="E1727"/>
          <cell r="G1727"/>
          <cell r="I1727"/>
          <cell r="J1727"/>
          <cell r="K1727"/>
          <cell r="L1727"/>
          <cell r="N1727"/>
          <cell r="O1727"/>
        </row>
        <row r="1728">
          <cell r="B1728"/>
          <cell r="C1728"/>
          <cell r="D1728"/>
          <cell r="E1728"/>
          <cell r="G1728"/>
          <cell r="I1728"/>
          <cell r="J1728"/>
          <cell r="K1728"/>
          <cell r="L1728"/>
          <cell r="N1728"/>
          <cell r="O1728"/>
        </row>
        <row r="1729">
          <cell r="B1729"/>
          <cell r="C1729"/>
          <cell r="D1729"/>
          <cell r="E1729"/>
          <cell r="G1729"/>
          <cell r="I1729"/>
          <cell r="J1729"/>
          <cell r="K1729"/>
          <cell r="L1729"/>
          <cell r="N1729"/>
          <cell r="O1729"/>
        </row>
        <row r="1730">
          <cell r="B1730"/>
          <cell r="C1730"/>
          <cell r="D1730"/>
          <cell r="E1730"/>
          <cell r="G1730"/>
          <cell r="I1730"/>
          <cell r="J1730"/>
          <cell r="K1730"/>
          <cell r="L1730"/>
          <cell r="N1730"/>
          <cell r="O1730"/>
        </row>
        <row r="1731">
          <cell r="B1731"/>
          <cell r="C1731"/>
          <cell r="D1731"/>
          <cell r="E1731"/>
          <cell r="G1731"/>
          <cell r="I1731"/>
          <cell r="J1731"/>
          <cell r="K1731"/>
          <cell r="L1731"/>
          <cell r="N1731"/>
          <cell r="O1731"/>
        </row>
        <row r="1732">
          <cell r="B1732"/>
          <cell r="C1732"/>
          <cell r="D1732"/>
          <cell r="E1732"/>
          <cell r="G1732"/>
          <cell r="I1732"/>
          <cell r="J1732"/>
          <cell r="K1732"/>
          <cell r="L1732"/>
          <cell r="N1732"/>
          <cell r="O1732"/>
        </row>
        <row r="1733">
          <cell r="B1733"/>
          <cell r="C1733"/>
          <cell r="D1733"/>
          <cell r="E1733"/>
          <cell r="G1733"/>
          <cell r="I1733"/>
          <cell r="J1733"/>
          <cell r="K1733"/>
          <cell r="L1733"/>
          <cell r="N1733"/>
          <cell r="O1733"/>
        </row>
        <row r="1734">
          <cell r="B1734"/>
          <cell r="C1734"/>
          <cell r="D1734"/>
          <cell r="E1734"/>
          <cell r="G1734"/>
          <cell r="I1734"/>
          <cell r="J1734"/>
          <cell r="K1734"/>
          <cell r="L1734"/>
          <cell r="N1734"/>
          <cell r="O1734"/>
        </row>
        <row r="1735">
          <cell r="B1735"/>
          <cell r="C1735"/>
          <cell r="D1735"/>
          <cell r="E1735"/>
          <cell r="G1735"/>
          <cell r="I1735"/>
          <cell r="J1735"/>
          <cell r="K1735"/>
          <cell r="L1735"/>
          <cell r="N1735"/>
          <cell r="O1735"/>
        </row>
        <row r="1736">
          <cell r="B1736"/>
          <cell r="C1736"/>
          <cell r="D1736"/>
          <cell r="E1736"/>
          <cell r="G1736"/>
          <cell r="I1736"/>
          <cell r="J1736"/>
          <cell r="K1736"/>
          <cell r="L1736"/>
          <cell r="N1736"/>
          <cell r="O1736"/>
        </row>
        <row r="1737">
          <cell r="B1737"/>
          <cell r="C1737"/>
          <cell r="D1737"/>
          <cell r="E1737"/>
          <cell r="G1737"/>
          <cell r="I1737"/>
          <cell r="J1737"/>
          <cell r="K1737"/>
          <cell r="L1737"/>
          <cell r="N1737"/>
          <cell r="O1737"/>
        </row>
        <row r="1738">
          <cell r="B1738"/>
          <cell r="C1738"/>
          <cell r="D1738"/>
          <cell r="E1738"/>
          <cell r="G1738"/>
          <cell r="I1738"/>
          <cell r="J1738"/>
          <cell r="K1738"/>
          <cell r="L1738"/>
          <cell r="N1738"/>
          <cell r="O1738"/>
        </row>
        <row r="1739">
          <cell r="B1739"/>
          <cell r="C1739"/>
          <cell r="D1739"/>
          <cell r="E1739"/>
          <cell r="G1739"/>
          <cell r="I1739"/>
          <cell r="J1739"/>
          <cell r="K1739"/>
          <cell r="L1739"/>
          <cell r="N1739"/>
          <cell r="O1739"/>
        </row>
        <row r="1740">
          <cell r="B1740"/>
          <cell r="C1740"/>
          <cell r="D1740"/>
          <cell r="E1740"/>
          <cell r="G1740"/>
          <cell r="I1740"/>
          <cell r="J1740"/>
          <cell r="K1740"/>
          <cell r="L1740"/>
          <cell r="N1740"/>
          <cell r="O1740"/>
        </row>
        <row r="1741">
          <cell r="B1741"/>
          <cell r="C1741"/>
          <cell r="D1741"/>
          <cell r="E1741"/>
          <cell r="G1741"/>
          <cell r="I1741"/>
          <cell r="J1741"/>
          <cell r="K1741"/>
          <cell r="L1741"/>
          <cell r="N1741"/>
          <cell r="O1741"/>
        </row>
        <row r="1742">
          <cell r="B1742"/>
          <cell r="C1742"/>
          <cell r="D1742"/>
          <cell r="E1742"/>
          <cell r="G1742"/>
          <cell r="I1742"/>
          <cell r="J1742"/>
          <cell r="K1742"/>
          <cell r="L1742"/>
          <cell r="N1742"/>
          <cell r="O1742"/>
        </row>
        <row r="1743">
          <cell r="B1743"/>
          <cell r="C1743"/>
          <cell r="D1743"/>
          <cell r="E1743"/>
          <cell r="G1743"/>
          <cell r="I1743"/>
          <cell r="J1743"/>
          <cell r="K1743"/>
          <cell r="L1743"/>
          <cell r="N1743"/>
          <cell r="O1743"/>
        </row>
        <row r="1744">
          <cell r="B1744"/>
          <cell r="C1744"/>
          <cell r="D1744"/>
          <cell r="E1744"/>
          <cell r="G1744"/>
          <cell r="I1744"/>
          <cell r="J1744"/>
          <cell r="K1744"/>
          <cell r="L1744"/>
          <cell r="N1744"/>
          <cell r="O1744"/>
        </row>
        <row r="1745">
          <cell r="B1745"/>
          <cell r="C1745"/>
          <cell r="D1745"/>
          <cell r="E1745"/>
          <cell r="G1745"/>
          <cell r="I1745"/>
          <cell r="J1745"/>
          <cell r="K1745"/>
          <cell r="L1745"/>
          <cell r="N1745"/>
          <cell r="O1745"/>
        </row>
        <row r="1746">
          <cell r="B1746"/>
          <cell r="C1746"/>
          <cell r="D1746"/>
          <cell r="E1746"/>
          <cell r="G1746"/>
          <cell r="I1746"/>
          <cell r="J1746"/>
          <cell r="K1746"/>
          <cell r="L1746"/>
          <cell r="N1746"/>
          <cell r="O1746"/>
        </row>
        <row r="1747">
          <cell r="B1747"/>
          <cell r="C1747"/>
          <cell r="D1747"/>
          <cell r="E1747"/>
          <cell r="G1747"/>
          <cell r="I1747"/>
          <cell r="J1747"/>
          <cell r="K1747"/>
          <cell r="L1747"/>
          <cell r="N1747"/>
          <cell r="O1747"/>
        </row>
        <row r="1748">
          <cell r="B1748"/>
          <cell r="C1748"/>
          <cell r="D1748"/>
          <cell r="E1748"/>
          <cell r="G1748"/>
          <cell r="I1748"/>
          <cell r="J1748"/>
          <cell r="K1748"/>
          <cell r="L1748"/>
          <cell r="N1748"/>
          <cell r="O1748"/>
        </row>
        <row r="1749">
          <cell r="B1749"/>
          <cell r="C1749"/>
          <cell r="D1749"/>
          <cell r="E1749"/>
          <cell r="G1749"/>
          <cell r="I1749"/>
          <cell r="J1749"/>
          <cell r="K1749"/>
          <cell r="L1749"/>
          <cell r="N1749"/>
          <cell r="O1749"/>
        </row>
        <row r="1750">
          <cell r="B1750"/>
          <cell r="C1750"/>
          <cell r="D1750"/>
          <cell r="E1750"/>
          <cell r="G1750"/>
          <cell r="I1750"/>
          <cell r="J1750"/>
          <cell r="K1750"/>
          <cell r="L1750"/>
          <cell r="N1750"/>
          <cell r="O1750"/>
        </row>
        <row r="1751">
          <cell r="B1751"/>
          <cell r="C1751"/>
          <cell r="D1751"/>
          <cell r="E1751"/>
          <cell r="G1751"/>
          <cell r="I1751"/>
          <cell r="J1751"/>
          <cell r="K1751"/>
          <cell r="L1751"/>
          <cell r="N1751"/>
          <cell r="O1751"/>
        </row>
        <row r="1752">
          <cell r="B1752"/>
          <cell r="C1752"/>
          <cell r="D1752"/>
          <cell r="E1752"/>
          <cell r="G1752"/>
          <cell r="I1752"/>
          <cell r="J1752"/>
          <cell r="K1752"/>
          <cell r="L1752"/>
          <cell r="N1752"/>
          <cell r="O1752"/>
        </row>
        <row r="1753">
          <cell r="B1753"/>
          <cell r="C1753"/>
          <cell r="D1753"/>
          <cell r="E1753"/>
          <cell r="G1753"/>
          <cell r="I1753"/>
          <cell r="J1753"/>
          <cell r="K1753"/>
          <cell r="L1753"/>
          <cell r="N1753"/>
          <cell r="O1753"/>
        </row>
        <row r="1754">
          <cell r="B1754"/>
          <cell r="C1754"/>
          <cell r="D1754"/>
          <cell r="E1754"/>
          <cell r="G1754"/>
          <cell r="I1754"/>
          <cell r="J1754"/>
          <cell r="K1754"/>
          <cell r="L1754"/>
          <cell r="N1754"/>
          <cell r="O1754"/>
        </row>
        <row r="1755">
          <cell r="B1755"/>
          <cell r="C1755"/>
          <cell r="D1755"/>
          <cell r="E1755"/>
          <cell r="G1755"/>
          <cell r="I1755"/>
          <cell r="J1755"/>
          <cell r="K1755"/>
          <cell r="L1755"/>
          <cell r="N1755"/>
          <cell r="O1755"/>
        </row>
        <row r="1756">
          <cell r="B1756"/>
          <cell r="C1756"/>
          <cell r="D1756"/>
          <cell r="E1756"/>
          <cell r="G1756"/>
          <cell r="I1756"/>
          <cell r="J1756"/>
          <cell r="K1756"/>
          <cell r="L1756"/>
          <cell r="N1756"/>
          <cell r="O1756"/>
        </row>
        <row r="1757">
          <cell r="B1757"/>
          <cell r="C1757"/>
          <cell r="D1757"/>
          <cell r="E1757"/>
          <cell r="G1757"/>
          <cell r="I1757"/>
          <cell r="J1757"/>
          <cell r="K1757"/>
          <cell r="L1757"/>
          <cell r="N1757"/>
          <cell r="O1757"/>
        </row>
        <row r="1758">
          <cell r="B1758"/>
          <cell r="C1758"/>
          <cell r="D1758"/>
          <cell r="E1758"/>
          <cell r="G1758"/>
          <cell r="I1758"/>
          <cell r="J1758"/>
          <cell r="K1758"/>
          <cell r="L1758"/>
          <cell r="N1758"/>
          <cell r="O1758"/>
        </row>
        <row r="1759">
          <cell r="B1759"/>
          <cell r="C1759"/>
          <cell r="D1759"/>
          <cell r="E1759"/>
          <cell r="G1759"/>
          <cell r="I1759"/>
          <cell r="J1759"/>
          <cell r="K1759"/>
          <cell r="L1759"/>
          <cell r="N1759"/>
          <cell r="O1759"/>
        </row>
        <row r="1760">
          <cell r="B1760"/>
          <cell r="C1760"/>
          <cell r="D1760"/>
          <cell r="E1760"/>
          <cell r="G1760"/>
          <cell r="I1760"/>
          <cell r="J1760"/>
          <cell r="K1760"/>
          <cell r="L1760"/>
          <cell r="N1760"/>
          <cell r="O1760"/>
        </row>
        <row r="1761">
          <cell r="B1761"/>
          <cell r="C1761"/>
          <cell r="D1761"/>
          <cell r="E1761"/>
          <cell r="G1761"/>
          <cell r="I1761"/>
          <cell r="J1761"/>
          <cell r="K1761"/>
          <cell r="L1761"/>
          <cell r="N1761"/>
          <cell r="O1761"/>
        </row>
        <row r="1762">
          <cell r="B1762"/>
          <cell r="C1762"/>
          <cell r="D1762"/>
          <cell r="E1762"/>
          <cell r="G1762"/>
          <cell r="I1762"/>
          <cell r="J1762"/>
          <cell r="K1762"/>
          <cell r="L1762"/>
          <cell r="N1762"/>
          <cell r="O1762"/>
        </row>
        <row r="1763">
          <cell r="B1763"/>
          <cell r="C1763"/>
          <cell r="D1763"/>
          <cell r="E1763"/>
          <cell r="G1763"/>
          <cell r="I1763"/>
          <cell r="J1763"/>
          <cell r="K1763"/>
          <cell r="L1763"/>
          <cell r="N1763"/>
          <cell r="O1763"/>
        </row>
        <row r="1764">
          <cell r="B1764"/>
          <cell r="C1764"/>
          <cell r="D1764"/>
          <cell r="E1764"/>
          <cell r="G1764"/>
          <cell r="I1764"/>
          <cell r="J1764"/>
          <cell r="K1764"/>
          <cell r="L1764"/>
          <cell r="N1764"/>
          <cell r="O1764"/>
        </row>
        <row r="1765">
          <cell r="B1765"/>
          <cell r="C1765"/>
          <cell r="D1765"/>
          <cell r="E1765"/>
          <cell r="G1765"/>
          <cell r="I1765"/>
          <cell r="J1765"/>
          <cell r="K1765"/>
          <cell r="L1765"/>
          <cell r="N1765"/>
          <cell r="O1765"/>
        </row>
        <row r="1766">
          <cell r="B1766"/>
          <cell r="C1766"/>
          <cell r="D1766"/>
          <cell r="E1766"/>
          <cell r="G1766"/>
          <cell r="I1766"/>
          <cell r="J1766"/>
          <cell r="K1766"/>
          <cell r="L1766"/>
          <cell r="N1766"/>
          <cell r="O1766"/>
        </row>
        <row r="1767">
          <cell r="B1767"/>
          <cell r="C1767"/>
          <cell r="D1767"/>
          <cell r="E1767"/>
          <cell r="G1767"/>
          <cell r="I1767"/>
          <cell r="J1767"/>
          <cell r="K1767"/>
          <cell r="L1767"/>
          <cell r="N1767"/>
          <cell r="O1767"/>
        </row>
        <row r="1768">
          <cell r="B1768"/>
          <cell r="C1768"/>
          <cell r="D1768"/>
          <cell r="E1768"/>
          <cell r="G1768"/>
          <cell r="I1768"/>
          <cell r="J1768"/>
          <cell r="K1768"/>
          <cell r="L1768"/>
          <cell r="N1768"/>
          <cell r="O1768"/>
        </row>
        <row r="1769">
          <cell r="B1769"/>
          <cell r="C1769"/>
          <cell r="D1769"/>
          <cell r="E1769"/>
          <cell r="G1769"/>
          <cell r="I1769"/>
          <cell r="J1769"/>
          <cell r="K1769"/>
          <cell r="L1769"/>
          <cell r="N1769"/>
          <cell r="O1769"/>
        </row>
        <row r="1770">
          <cell r="B1770"/>
          <cell r="C1770"/>
          <cell r="D1770"/>
          <cell r="E1770"/>
          <cell r="G1770"/>
          <cell r="I1770"/>
          <cell r="J1770"/>
          <cell r="K1770"/>
          <cell r="L1770"/>
          <cell r="N1770"/>
          <cell r="O1770"/>
        </row>
        <row r="1771">
          <cell r="B1771"/>
          <cell r="C1771"/>
          <cell r="D1771"/>
          <cell r="E1771"/>
          <cell r="G1771"/>
          <cell r="I1771"/>
          <cell r="J1771"/>
          <cell r="K1771"/>
          <cell r="L1771"/>
          <cell r="N1771"/>
          <cell r="O1771"/>
        </row>
        <row r="1772">
          <cell r="B1772"/>
          <cell r="C1772"/>
          <cell r="D1772"/>
          <cell r="E1772"/>
          <cell r="G1772"/>
          <cell r="I1772"/>
          <cell r="J1772"/>
          <cell r="K1772"/>
          <cell r="L1772"/>
          <cell r="N1772"/>
          <cell r="O1772"/>
        </row>
        <row r="1773">
          <cell r="B1773"/>
          <cell r="C1773"/>
          <cell r="D1773"/>
          <cell r="E1773"/>
          <cell r="G1773"/>
          <cell r="I1773"/>
          <cell r="J1773"/>
          <cell r="K1773"/>
          <cell r="L1773"/>
          <cell r="N1773"/>
          <cell r="O1773"/>
        </row>
        <row r="1774">
          <cell r="B1774"/>
          <cell r="C1774"/>
          <cell r="D1774"/>
          <cell r="E1774"/>
          <cell r="G1774"/>
          <cell r="I1774"/>
          <cell r="J1774"/>
          <cell r="K1774"/>
          <cell r="L1774"/>
          <cell r="N1774"/>
          <cell r="O1774"/>
        </row>
        <row r="1775">
          <cell r="B1775"/>
          <cell r="C1775"/>
          <cell r="D1775"/>
          <cell r="E1775"/>
          <cell r="G1775"/>
          <cell r="I1775"/>
          <cell r="J1775"/>
          <cell r="K1775"/>
          <cell r="L1775"/>
          <cell r="N1775"/>
          <cell r="O1775"/>
        </row>
        <row r="1776">
          <cell r="B1776"/>
          <cell r="C1776"/>
          <cell r="D1776"/>
          <cell r="E1776"/>
          <cell r="G1776"/>
          <cell r="I1776"/>
          <cell r="J1776"/>
          <cell r="K1776"/>
          <cell r="L1776"/>
          <cell r="N1776"/>
          <cell r="O1776"/>
        </row>
        <row r="1777">
          <cell r="B1777"/>
          <cell r="C1777"/>
          <cell r="D1777"/>
          <cell r="E1777"/>
          <cell r="G1777"/>
          <cell r="I1777"/>
          <cell r="J1777"/>
          <cell r="K1777"/>
          <cell r="L1777"/>
          <cell r="N1777"/>
          <cell r="O1777"/>
        </row>
        <row r="1778">
          <cell r="B1778"/>
          <cell r="C1778"/>
          <cell r="D1778"/>
          <cell r="E1778"/>
          <cell r="G1778"/>
          <cell r="I1778"/>
          <cell r="J1778"/>
          <cell r="K1778"/>
          <cell r="L1778"/>
          <cell r="N1778"/>
          <cell r="O1778"/>
        </row>
        <row r="1779">
          <cell r="B1779"/>
          <cell r="C1779"/>
          <cell r="D1779"/>
          <cell r="E1779"/>
          <cell r="G1779"/>
          <cell r="I1779"/>
          <cell r="J1779"/>
          <cell r="K1779"/>
          <cell r="L1779"/>
          <cell r="N1779"/>
          <cell r="O1779"/>
        </row>
        <row r="1780">
          <cell r="B1780"/>
          <cell r="C1780"/>
          <cell r="D1780"/>
          <cell r="E1780"/>
          <cell r="G1780"/>
          <cell r="I1780"/>
          <cell r="J1780"/>
          <cell r="K1780"/>
          <cell r="L1780"/>
          <cell r="N1780"/>
          <cell r="O1780"/>
        </row>
        <row r="1781">
          <cell r="B1781"/>
          <cell r="C1781"/>
          <cell r="D1781"/>
          <cell r="E1781"/>
          <cell r="G1781"/>
          <cell r="I1781"/>
          <cell r="J1781"/>
          <cell r="K1781"/>
          <cell r="L1781"/>
          <cell r="N1781"/>
          <cell r="O1781"/>
        </row>
        <row r="1782">
          <cell r="B1782"/>
          <cell r="C1782"/>
          <cell r="D1782"/>
          <cell r="E1782"/>
          <cell r="G1782"/>
          <cell r="I1782"/>
          <cell r="J1782"/>
          <cell r="K1782"/>
          <cell r="L1782"/>
          <cell r="N1782"/>
          <cell r="O1782"/>
        </row>
        <row r="1783">
          <cell r="B1783"/>
          <cell r="C1783"/>
          <cell r="D1783"/>
          <cell r="E1783"/>
          <cell r="G1783"/>
          <cell r="I1783"/>
          <cell r="J1783"/>
          <cell r="K1783"/>
          <cell r="L1783"/>
          <cell r="N1783"/>
          <cell r="O1783"/>
        </row>
        <row r="1784">
          <cell r="B1784"/>
          <cell r="C1784"/>
          <cell r="D1784"/>
          <cell r="E1784"/>
          <cell r="G1784"/>
          <cell r="I1784"/>
          <cell r="J1784"/>
          <cell r="K1784"/>
          <cell r="L1784"/>
          <cell r="N1784"/>
          <cell r="O1784"/>
        </row>
        <row r="1785">
          <cell r="B1785"/>
          <cell r="C1785"/>
          <cell r="D1785"/>
          <cell r="E1785"/>
          <cell r="G1785"/>
          <cell r="I1785"/>
          <cell r="J1785"/>
          <cell r="K1785"/>
          <cell r="L1785"/>
          <cell r="N1785"/>
          <cell r="O1785"/>
        </row>
        <row r="1786">
          <cell r="B1786"/>
          <cell r="C1786"/>
          <cell r="D1786"/>
          <cell r="E1786"/>
          <cell r="G1786"/>
          <cell r="I1786"/>
          <cell r="J1786"/>
          <cell r="K1786"/>
          <cell r="L1786"/>
          <cell r="N1786"/>
          <cell r="O1786"/>
        </row>
        <row r="1787">
          <cell r="B1787"/>
          <cell r="C1787"/>
          <cell r="D1787"/>
          <cell r="E1787"/>
          <cell r="G1787"/>
          <cell r="I1787"/>
          <cell r="J1787"/>
          <cell r="K1787"/>
          <cell r="L1787"/>
          <cell r="N1787"/>
          <cell r="O1787"/>
        </row>
        <row r="1788">
          <cell r="B1788"/>
          <cell r="C1788"/>
          <cell r="D1788"/>
          <cell r="E1788"/>
          <cell r="G1788"/>
          <cell r="I1788"/>
          <cell r="J1788"/>
          <cell r="K1788"/>
          <cell r="L1788"/>
          <cell r="N1788"/>
          <cell r="O1788"/>
        </row>
        <row r="1789">
          <cell r="B1789"/>
          <cell r="C1789"/>
          <cell r="D1789"/>
          <cell r="E1789"/>
          <cell r="G1789"/>
          <cell r="I1789"/>
          <cell r="J1789"/>
          <cell r="K1789"/>
          <cell r="L1789"/>
          <cell r="N1789"/>
          <cell r="O1789"/>
        </row>
        <row r="1790">
          <cell r="B1790"/>
          <cell r="C1790"/>
          <cell r="D1790"/>
          <cell r="E1790"/>
          <cell r="G1790"/>
          <cell r="I1790"/>
          <cell r="J1790"/>
          <cell r="K1790"/>
          <cell r="L1790"/>
          <cell r="N1790"/>
          <cell r="O1790"/>
        </row>
        <row r="1791">
          <cell r="B1791"/>
          <cell r="C1791"/>
          <cell r="D1791"/>
          <cell r="E1791"/>
          <cell r="G1791"/>
          <cell r="I1791"/>
          <cell r="J1791"/>
          <cell r="K1791"/>
          <cell r="L1791"/>
          <cell r="N1791"/>
          <cell r="O1791"/>
        </row>
        <row r="1792">
          <cell r="B1792"/>
          <cell r="C1792"/>
          <cell r="D1792"/>
          <cell r="E1792"/>
          <cell r="G1792"/>
          <cell r="I1792"/>
          <cell r="J1792"/>
          <cell r="K1792"/>
          <cell r="L1792"/>
          <cell r="N1792"/>
          <cell r="O1792"/>
        </row>
        <row r="1793">
          <cell r="B1793"/>
          <cell r="C1793"/>
          <cell r="D1793"/>
          <cell r="E1793"/>
          <cell r="G1793"/>
          <cell r="I1793"/>
          <cell r="J1793"/>
          <cell r="K1793"/>
          <cell r="L1793"/>
          <cell r="N1793"/>
          <cell r="O1793"/>
        </row>
        <row r="1794">
          <cell r="B1794"/>
          <cell r="C1794"/>
          <cell r="D1794"/>
          <cell r="E1794"/>
          <cell r="G1794"/>
          <cell r="I1794"/>
          <cell r="J1794"/>
          <cell r="K1794"/>
          <cell r="L1794"/>
          <cell r="N1794"/>
          <cell r="O1794"/>
        </row>
        <row r="1795">
          <cell r="B1795"/>
          <cell r="C1795"/>
          <cell r="D1795"/>
          <cell r="E1795"/>
          <cell r="G1795"/>
          <cell r="I1795"/>
          <cell r="J1795"/>
          <cell r="K1795"/>
          <cell r="L1795"/>
          <cell r="N1795"/>
          <cell r="O1795"/>
        </row>
        <row r="1796">
          <cell r="B1796"/>
          <cell r="C1796"/>
          <cell r="D1796"/>
          <cell r="E1796"/>
          <cell r="G1796"/>
          <cell r="I1796"/>
          <cell r="J1796"/>
          <cell r="K1796"/>
          <cell r="L1796"/>
          <cell r="N1796"/>
          <cell r="O1796"/>
        </row>
        <row r="1797">
          <cell r="B1797"/>
          <cell r="C1797"/>
          <cell r="D1797"/>
          <cell r="E1797"/>
          <cell r="G1797"/>
          <cell r="I1797"/>
          <cell r="J1797"/>
          <cell r="K1797"/>
          <cell r="L1797"/>
          <cell r="N1797"/>
          <cell r="O1797"/>
        </row>
        <row r="1798">
          <cell r="B1798"/>
          <cell r="C1798"/>
          <cell r="D1798"/>
          <cell r="E1798"/>
          <cell r="G1798"/>
          <cell r="I1798"/>
          <cell r="J1798"/>
          <cell r="K1798"/>
          <cell r="L1798"/>
          <cell r="N1798"/>
          <cell r="O1798"/>
        </row>
        <row r="1799">
          <cell r="B1799"/>
          <cell r="C1799"/>
          <cell r="D1799"/>
          <cell r="E1799"/>
          <cell r="G1799"/>
          <cell r="I1799"/>
          <cell r="J1799"/>
          <cell r="K1799"/>
          <cell r="L1799"/>
          <cell r="N1799"/>
          <cell r="O1799"/>
        </row>
        <row r="1800">
          <cell r="B1800"/>
          <cell r="C1800"/>
          <cell r="D1800"/>
          <cell r="E1800"/>
          <cell r="G1800"/>
          <cell r="I1800"/>
          <cell r="J1800"/>
          <cell r="K1800"/>
          <cell r="L1800"/>
          <cell r="N1800"/>
          <cell r="O1800"/>
        </row>
        <row r="1801">
          <cell r="B1801"/>
          <cell r="C1801"/>
          <cell r="D1801"/>
          <cell r="E1801"/>
          <cell r="G1801"/>
          <cell r="I1801"/>
          <cell r="J1801"/>
          <cell r="K1801"/>
          <cell r="L1801"/>
          <cell r="N1801"/>
          <cell r="O1801"/>
        </row>
        <row r="1802">
          <cell r="B1802"/>
          <cell r="C1802"/>
          <cell r="D1802"/>
          <cell r="E1802"/>
          <cell r="G1802"/>
          <cell r="I1802"/>
          <cell r="J1802"/>
          <cell r="K1802"/>
          <cell r="L1802"/>
          <cell r="N1802"/>
          <cell r="O1802"/>
        </row>
        <row r="1803">
          <cell r="B1803"/>
          <cell r="C1803"/>
          <cell r="D1803"/>
          <cell r="E1803"/>
          <cell r="G1803"/>
          <cell r="I1803"/>
          <cell r="J1803"/>
          <cell r="K1803"/>
          <cell r="L1803"/>
          <cell r="N1803"/>
          <cell r="O1803"/>
        </row>
        <row r="1804">
          <cell r="B1804"/>
          <cell r="C1804"/>
          <cell r="D1804"/>
          <cell r="E1804"/>
          <cell r="G1804"/>
          <cell r="I1804"/>
          <cell r="J1804"/>
          <cell r="K1804"/>
          <cell r="L1804"/>
          <cell r="N1804"/>
          <cell r="O1804"/>
        </row>
        <row r="1805">
          <cell r="B1805"/>
          <cell r="C1805"/>
          <cell r="D1805"/>
          <cell r="E1805"/>
          <cell r="G1805"/>
          <cell r="I1805"/>
          <cell r="J1805"/>
          <cell r="K1805"/>
          <cell r="L1805"/>
          <cell r="N1805"/>
          <cell r="O1805"/>
        </row>
        <row r="1806">
          <cell r="B1806"/>
          <cell r="C1806"/>
          <cell r="D1806"/>
          <cell r="E1806"/>
          <cell r="G1806"/>
          <cell r="I1806"/>
          <cell r="J1806"/>
          <cell r="K1806"/>
          <cell r="L1806"/>
          <cell r="N1806"/>
          <cell r="O1806"/>
        </row>
        <row r="1807">
          <cell r="B1807"/>
          <cell r="C1807"/>
          <cell r="D1807"/>
          <cell r="E1807"/>
          <cell r="G1807"/>
          <cell r="I1807"/>
          <cell r="J1807"/>
          <cell r="K1807"/>
          <cell r="L1807"/>
          <cell r="N1807"/>
          <cell r="O1807"/>
        </row>
        <row r="1808">
          <cell r="B1808"/>
          <cell r="C1808"/>
          <cell r="D1808"/>
          <cell r="E1808"/>
          <cell r="G1808"/>
          <cell r="I1808"/>
          <cell r="J1808"/>
          <cell r="K1808"/>
          <cell r="L1808"/>
          <cell r="N1808"/>
          <cell r="O1808"/>
        </row>
        <row r="1809">
          <cell r="B1809"/>
          <cell r="C1809"/>
          <cell r="D1809"/>
          <cell r="E1809"/>
          <cell r="G1809"/>
          <cell r="I1809"/>
          <cell r="J1809"/>
          <cell r="K1809"/>
          <cell r="L1809"/>
          <cell r="N1809"/>
          <cell r="O1809"/>
        </row>
        <row r="1810">
          <cell r="B1810"/>
          <cell r="C1810"/>
          <cell r="D1810"/>
          <cell r="E1810"/>
          <cell r="G1810"/>
          <cell r="I1810"/>
          <cell r="J1810"/>
          <cell r="K1810"/>
          <cell r="L1810"/>
          <cell r="N1810"/>
          <cell r="O1810"/>
        </row>
        <row r="1811">
          <cell r="B1811"/>
          <cell r="C1811"/>
          <cell r="D1811"/>
          <cell r="E1811"/>
          <cell r="G1811"/>
          <cell r="I1811"/>
          <cell r="J1811"/>
          <cell r="K1811"/>
          <cell r="L1811"/>
          <cell r="N1811"/>
          <cell r="O1811"/>
        </row>
        <row r="1812">
          <cell r="B1812"/>
          <cell r="C1812"/>
          <cell r="D1812"/>
          <cell r="E1812"/>
          <cell r="G1812"/>
          <cell r="I1812"/>
          <cell r="J1812"/>
          <cell r="K1812"/>
          <cell r="L1812"/>
          <cell r="N1812"/>
          <cell r="O1812"/>
        </row>
        <row r="1813">
          <cell r="B1813"/>
          <cell r="C1813"/>
          <cell r="D1813"/>
          <cell r="E1813"/>
          <cell r="G1813"/>
          <cell r="I1813"/>
          <cell r="J1813"/>
          <cell r="K1813"/>
          <cell r="L1813"/>
          <cell r="N1813"/>
          <cell r="O1813"/>
        </row>
        <row r="1814">
          <cell r="B1814"/>
          <cell r="C1814"/>
          <cell r="D1814"/>
          <cell r="E1814"/>
          <cell r="G1814"/>
          <cell r="I1814"/>
          <cell r="J1814"/>
          <cell r="K1814"/>
          <cell r="L1814"/>
          <cell r="N1814"/>
          <cell r="O1814"/>
        </row>
        <row r="1815">
          <cell r="B1815"/>
          <cell r="C1815"/>
          <cell r="D1815"/>
          <cell r="E1815"/>
          <cell r="G1815"/>
          <cell r="I1815"/>
          <cell r="J1815"/>
          <cell r="K1815"/>
          <cell r="L1815"/>
          <cell r="N1815"/>
          <cell r="O1815"/>
        </row>
        <row r="1816">
          <cell r="B1816"/>
          <cell r="C1816"/>
          <cell r="D1816"/>
          <cell r="E1816"/>
          <cell r="G1816"/>
          <cell r="I1816"/>
          <cell r="J1816"/>
          <cell r="K1816"/>
          <cell r="L1816"/>
          <cell r="N1816"/>
          <cell r="O1816"/>
        </row>
        <row r="1817">
          <cell r="B1817"/>
          <cell r="C1817"/>
          <cell r="D1817"/>
          <cell r="E1817"/>
          <cell r="G1817"/>
          <cell r="I1817"/>
          <cell r="J1817"/>
          <cell r="K1817"/>
          <cell r="L1817"/>
          <cell r="N1817"/>
          <cell r="O1817"/>
        </row>
        <row r="1818">
          <cell r="B1818"/>
          <cell r="C1818"/>
          <cell r="D1818"/>
          <cell r="E1818"/>
          <cell r="G1818"/>
          <cell r="I1818"/>
          <cell r="J1818"/>
          <cell r="K1818"/>
          <cell r="L1818"/>
          <cell r="N1818"/>
          <cell r="O1818"/>
        </row>
        <row r="1819">
          <cell r="B1819"/>
          <cell r="C1819"/>
          <cell r="D1819"/>
          <cell r="E1819"/>
          <cell r="G1819"/>
          <cell r="I1819"/>
          <cell r="J1819"/>
          <cell r="K1819"/>
          <cell r="L1819"/>
          <cell r="N1819"/>
          <cell r="O1819"/>
        </row>
        <row r="1820">
          <cell r="B1820"/>
          <cell r="C1820"/>
          <cell r="D1820"/>
          <cell r="E1820"/>
          <cell r="G1820"/>
          <cell r="I1820"/>
          <cell r="J1820"/>
          <cell r="K1820"/>
          <cell r="L1820"/>
          <cell r="N1820"/>
          <cell r="O1820"/>
        </row>
        <row r="1821">
          <cell r="B1821"/>
          <cell r="C1821"/>
          <cell r="D1821"/>
          <cell r="E1821"/>
          <cell r="G1821"/>
          <cell r="I1821"/>
          <cell r="J1821"/>
          <cell r="K1821"/>
          <cell r="L1821"/>
          <cell r="N1821"/>
          <cell r="O1821"/>
        </row>
        <row r="1822">
          <cell r="B1822"/>
          <cell r="C1822"/>
          <cell r="D1822"/>
          <cell r="E1822"/>
          <cell r="G1822"/>
          <cell r="I1822"/>
          <cell r="J1822"/>
          <cell r="K1822"/>
          <cell r="L1822"/>
          <cell r="N1822"/>
          <cell r="O1822"/>
        </row>
        <row r="1823">
          <cell r="B1823"/>
          <cell r="C1823"/>
          <cell r="D1823"/>
          <cell r="E1823"/>
          <cell r="G1823"/>
          <cell r="I1823"/>
          <cell r="J1823"/>
          <cell r="K1823"/>
          <cell r="L1823"/>
          <cell r="N1823"/>
          <cell r="O1823"/>
        </row>
        <row r="1824">
          <cell r="B1824"/>
          <cell r="C1824"/>
          <cell r="D1824"/>
          <cell r="E1824"/>
          <cell r="G1824"/>
          <cell r="I1824"/>
          <cell r="J1824"/>
          <cell r="K1824"/>
          <cell r="L1824"/>
          <cell r="N1824"/>
          <cell r="O1824"/>
        </row>
        <row r="1825">
          <cell r="B1825"/>
          <cell r="C1825"/>
          <cell r="D1825"/>
          <cell r="E1825"/>
          <cell r="G1825"/>
          <cell r="I1825"/>
          <cell r="J1825"/>
          <cell r="K1825"/>
          <cell r="L1825"/>
          <cell r="N1825"/>
          <cell r="O1825"/>
        </row>
        <row r="1826">
          <cell r="B1826"/>
          <cell r="C1826"/>
          <cell r="D1826"/>
          <cell r="E1826"/>
          <cell r="G1826"/>
          <cell r="I1826"/>
          <cell r="J1826"/>
          <cell r="K1826"/>
          <cell r="L1826"/>
          <cell r="N1826"/>
          <cell r="O1826"/>
        </row>
        <row r="1827">
          <cell r="B1827"/>
          <cell r="C1827"/>
          <cell r="D1827"/>
          <cell r="E1827"/>
          <cell r="G1827"/>
          <cell r="I1827"/>
          <cell r="J1827"/>
          <cell r="K1827"/>
          <cell r="L1827"/>
          <cell r="N1827"/>
          <cell r="O1827"/>
        </row>
        <row r="1828">
          <cell r="B1828"/>
          <cell r="C1828"/>
          <cell r="D1828"/>
          <cell r="E1828"/>
          <cell r="G1828"/>
          <cell r="I1828"/>
          <cell r="J1828"/>
          <cell r="K1828"/>
          <cell r="L1828"/>
          <cell r="N1828"/>
          <cell r="O1828"/>
        </row>
        <row r="1829">
          <cell r="B1829"/>
          <cell r="C1829"/>
          <cell r="D1829"/>
          <cell r="E1829"/>
          <cell r="G1829"/>
          <cell r="I1829"/>
          <cell r="J1829"/>
          <cell r="K1829"/>
          <cell r="L1829"/>
          <cell r="N1829"/>
          <cell r="O1829"/>
        </row>
        <row r="1830">
          <cell r="B1830"/>
          <cell r="C1830"/>
          <cell r="D1830"/>
          <cell r="E1830"/>
          <cell r="G1830"/>
          <cell r="I1830"/>
          <cell r="J1830"/>
          <cell r="K1830"/>
          <cell r="L1830"/>
          <cell r="N1830"/>
          <cell r="O1830"/>
        </row>
        <row r="1831">
          <cell r="B1831"/>
          <cell r="C1831"/>
          <cell r="D1831"/>
          <cell r="E1831"/>
          <cell r="G1831"/>
          <cell r="I1831"/>
          <cell r="J1831"/>
          <cell r="K1831"/>
          <cell r="L1831"/>
          <cell r="N1831"/>
          <cell r="O1831"/>
        </row>
        <row r="1832">
          <cell r="B1832"/>
          <cell r="C1832"/>
          <cell r="D1832"/>
          <cell r="E1832"/>
          <cell r="G1832"/>
          <cell r="I1832"/>
          <cell r="J1832"/>
          <cell r="K1832"/>
          <cell r="L1832"/>
          <cell r="N1832"/>
          <cell r="O1832"/>
        </row>
        <row r="1833">
          <cell r="B1833"/>
          <cell r="C1833"/>
          <cell r="D1833"/>
          <cell r="E1833"/>
          <cell r="G1833"/>
          <cell r="I1833"/>
          <cell r="J1833"/>
          <cell r="K1833"/>
          <cell r="L1833"/>
          <cell r="N1833"/>
          <cell r="O1833"/>
        </row>
        <row r="1834">
          <cell r="B1834"/>
          <cell r="C1834"/>
          <cell r="D1834"/>
          <cell r="E1834"/>
          <cell r="G1834"/>
          <cell r="I1834"/>
          <cell r="J1834"/>
          <cell r="K1834"/>
          <cell r="L1834"/>
          <cell r="N1834"/>
          <cell r="O1834"/>
        </row>
        <row r="1835">
          <cell r="B1835"/>
          <cell r="C1835"/>
          <cell r="D1835"/>
          <cell r="E1835"/>
          <cell r="G1835"/>
          <cell r="I1835"/>
          <cell r="J1835"/>
          <cell r="K1835"/>
          <cell r="L1835"/>
          <cell r="N1835"/>
          <cell r="O1835"/>
        </row>
        <row r="1836">
          <cell r="B1836"/>
          <cell r="C1836"/>
          <cell r="D1836"/>
          <cell r="E1836"/>
          <cell r="G1836"/>
          <cell r="I1836"/>
          <cell r="J1836"/>
          <cell r="K1836"/>
          <cell r="L1836"/>
          <cell r="N1836"/>
          <cell r="O1836"/>
        </row>
        <row r="1837">
          <cell r="B1837"/>
          <cell r="C1837"/>
          <cell r="D1837"/>
          <cell r="E1837"/>
          <cell r="G1837"/>
          <cell r="I1837"/>
          <cell r="J1837"/>
          <cell r="K1837"/>
          <cell r="L1837"/>
          <cell r="N1837"/>
          <cell r="O1837"/>
        </row>
        <row r="1838">
          <cell r="B1838"/>
          <cell r="C1838"/>
          <cell r="D1838"/>
          <cell r="E1838"/>
          <cell r="G1838"/>
          <cell r="I1838"/>
          <cell r="J1838"/>
          <cell r="K1838"/>
          <cell r="L1838"/>
          <cell r="N1838"/>
          <cell r="O1838"/>
        </row>
        <row r="1839">
          <cell r="B1839"/>
          <cell r="C1839"/>
          <cell r="D1839"/>
          <cell r="E1839"/>
          <cell r="G1839"/>
          <cell r="I1839"/>
          <cell r="J1839"/>
          <cell r="K1839"/>
          <cell r="L1839"/>
          <cell r="N1839"/>
          <cell r="O1839"/>
        </row>
        <row r="1840">
          <cell r="B1840"/>
          <cell r="C1840"/>
          <cell r="D1840"/>
          <cell r="E1840"/>
          <cell r="G1840"/>
          <cell r="I1840"/>
          <cell r="J1840"/>
          <cell r="K1840"/>
          <cell r="L1840"/>
          <cell r="N1840"/>
          <cell r="O1840"/>
        </row>
        <row r="1841">
          <cell r="B1841"/>
          <cell r="C1841"/>
          <cell r="D1841"/>
          <cell r="E1841"/>
          <cell r="G1841"/>
          <cell r="I1841"/>
          <cell r="J1841"/>
          <cell r="K1841"/>
          <cell r="L1841"/>
          <cell r="N1841"/>
          <cell r="O1841"/>
        </row>
        <row r="1842">
          <cell r="B1842"/>
          <cell r="C1842"/>
          <cell r="D1842"/>
          <cell r="E1842"/>
          <cell r="G1842"/>
          <cell r="I1842"/>
          <cell r="J1842"/>
          <cell r="K1842"/>
          <cell r="L1842"/>
          <cell r="N1842"/>
          <cell r="O1842"/>
        </row>
        <row r="1843">
          <cell r="B1843"/>
          <cell r="C1843"/>
          <cell r="D1843"/>
          <cell r="E1843"/>
          <cell r="G1843"/>
          <cell r="I1843"/>
          <cell r="J1843"/>
          <cell r="K1843"/>
          <cell r="L1843"/>
          <cell r="N1843"/>
          <cell r="O1843"/>
        </row>
        <row r="1844">
          <cell r="B1844"/>
          <cell r="C1844"/>
          <cell r="D1844"/>
          <cell r="E1844"/>
          <cell r="G1844"/>
          <cell r="I1844"/>
          <cell r="J1844"/>
          <cell r="K1844"/>
          <cell r="L1844"/>
          <cell r="N1844"/>
          <cell r="O1844"/>
        </row>
        <row r="1845">
          <cell r="B1845"/>
          <cell r="C1845"/>
          <cell r="D1845"/>
          <cell r="E1845"/>
          <cell r="G1845"/>
          <cell r="I1845"/>
          <cell r="J1845"/>
          <cell r="K1845"/>
          <cell r="L1845"/>
          <cell r="N1845"/>
          <cell r="O1845"/>
        </row>
        <row r="1846">
          <cell r="B1846"/>
          <cell r="C1846"/>
          <cell r="D1846"/>
          <cell r="E1846"/>
          <cell r="G1846"/>
          <cell r="I1846"/>
          <cell r="J1846"/>
          <cell r="K1846"/>
          <cell r="L1846"/>
          <cell r="N1846"/>
          <cell r="O1846"/>
        </row>
        <row r="1847">
          <cell r="B1847"/>
          <cell r="C1847"/>
          <cell r="D1847"/>
          <cell r="E1847"/>
          <cell r="G1847"/>
          <cell r="I1847"/>
          <cell r="J1847"/>
          <cell r="K1847"/>
          <cell r="L1847"/>
          <cell r="N1847"/>
          <cell r="O1847"/>
        </row>
        <row r="1848">
          <cell r="B1848"/>
          <cell r="C1848"/>
          <cell r="D1848"/>
          <cell r="E1848"/>
          <cell r="G1848"/>
          <cell r="I1848"/>
          <cell r="J1848"/>
          <cell r="K1848"/>
          <cell r="L1848"/>
          <cell r="N1848"/>
          <cell r="O1848"/>
        </row>
        <row r="1849">
          <cell r="B1849"/>
          <cell r="C1849"/>
          <cell r="D1849"/>
          <cell r="E1849"/>
          <cell r="G1849"/>
          <cell r="I1849"/>
          <cell r="J1849"/>
          <cell r="K1849"/>
          <cell r="L1849"/>
          <cell r="N1849"/>
          <cell r="O1849"/>
        </row>
        <row r="1850">
          <cell r="B1850"/>
          <cell r="C1850"/>
          <cell r="D1850"/>
          <cell r="E1850"/>
          <cell r="G1850"/>
          <cell r="I1850"/>
          <cell r="J1850"/>
          <cell r="K1850"/>
          <cell r="L1850"/>
          <cell r="N1850"/>
          <cell r="O1850"/>
        </row>
        <row r="1851">
          <cell r="B1851"/>
          <cell r="C1851"/>
          <cell r="D1851"/>
          <cell r="E1851"/>
          <cell r="G1851"/>
          <cell r="I1851"/>
          <cell r="J1851"/>
          <cell r="K1851"/>
          <cell r="L1851"/>
          <cell r="N1851"/>
          <cell r="O1851"/>
        </row>
        <row r="1852">
          <cell r="B1852"/>
          <cell r="C1852"/>
          <cell r="D1852"/>
          <cell r="E1852"/>
          <cell r="G1852"/>
          <cell r="I1852"/>
          <cell r="J1852"/>
          <cell r="K1852"/>
          <cell r="L1852"/>
          <cell r="N1852"/>
          <cell r="O1852"/>
        </row>
        <row r="1853">
          <cell r="B1853"/>
          <cell r="C1853"/>
          <cell r="D1853"/>
          <cell r="E1853"/>
          <cell r="G1853"/>
          <cell r="I1853"/>
          <cell r="J1853"/>
          <cell r="K1853"/>
          <cell r="L1853"/>
          <cell r="N1853"/>
          <cell r="O1853"/>
        </row>
        <row r="1854">
          <cell r="B1854"/>
          <cell r="C1854"/>
          <cell r="D1854"/>
          <cell r="E1854"/>
          <cell r="G1854"/>
          <cell r="I1854"/>
          <cell r="J1854"/>
          <cell r="K1854"/>
          <cell r="L1854"/>
          <cell r="N1854"/>
          <cell r="O1854"/>
        </row>
        <row r="1855">
          <cell r="B1855"/>
          <cell r="C1855"/>
          <cell r="D1855"/>
          <cell r="E1855"/>
          <cell r="G1855"/>
          <cell r="I1855"/>
          <cell r="J1855"/>
          <cell r="K1855"/>
          <cell r="L1855"/>
          <cell r="N1855"/>
          <cell r="O1855"/>
        </row>
        <row r="1856">
          <cell r="B1856"/>
          <cell r="C1856"/>
          <cell r="D1856"/>
          <cell r="E1856"/>
          <cell r="G1856"/>
          <cell r="I1856"/>
          <cell r="J1856"/>
          <cell r="K1856"/>
          <cell r="L1856"/>
          <cell r="N1856"/>
          <cell r="O1856"/>
        </row>
        <row r="1857">
          <cell r="B1857"/>
          <cell r="C1857"/>
          <cell r="D1857"/>
          <cell r="E1857"/>
          <cell r="G1857"/>
          <cell r="I1857"/>
          <cell r="J1857"/>
          <cell r="K1857"/>
          <cell r="L1857"/>
          <cell r="N1857"/>
          <cell r="O1857"/>
        </row>
        <row r="1858">
          <cell r="B1858"/>
          <cell r="C1858"/>
          <cell r="D1858"/>
          <cell r="E1858"/>
          <cell r="G1858"/>
          <cell r="I1858"/>
          <cell r="J1858"/>
          <cell r="K1858"/>
          <cell r="L1858"/>
          <cell r="N1858"/>
          <cell r="O1858"/>
        </row>
        <row r="1859">
          <cell r="B1859"/>
          <cell r="C1859"/>
          <cell r="D1859"/>
          <cell r="E1859"/>
          <cell r="G1859"/>
          <cell r="I1859"/>
          <cell r="J1859"/>
          <cell r="K1859"/>
          <cell r="L1859"/>
          <cell r="N1859"/>
          <cell r="O1859"/>
        </row>
        <row r="1860">
          <cell r="B1860"/>
          <cell r="C1860"/>
          <cell r="D1860"/>
          <cell r="E1860"/>
          <cell r="G1860"/>
          <cell r="I1860"/>
          <cell r="J1860"/>
          <cell r="K1860"/>
          <cell r="L1860"/>
          <cell r="N1860"/>
          <cell r="O1860"/>
        </row>
        <row r="1861">
          <cell r="B1861"/>
          <cell r="C1861"/>
          <cell r="D1861"/>
          <cell r="E1861"/>
          <cell r="G1861"/>
          <cell r="I1861"/>
          <cell r="J1861"/>
          <cell r="K1861"/>
          <cell r="L1861"/>
          <cell r="N1861"/>
          <cell r="O1861"/>
        </row>
        <row r="1862">
          <cell r="B1862"/>
          <cell r="C1862"/>
          <cell r="D1862"/>
          <cell r="E1862"/>
          <cell r="G1862"/>
          <cell r="I1862"/>
          <cell r="J1862"/>
          <cell r="K1862"/>
          <cell r="L1862"/>
          <cell r="N1862"/>
          <cell r="O1862"/>
        </row>
        <row r="1863">
          <cell r="B1863"/>
          <cell r="C1863"/>
          <cell r="D1863"/>
          <cell r="E1863"/>
          <cell r="G1863"/>
          <cell r="I1863"/>
          <cell r="J1863"/>
          <cell r="K1863"/>
          <cell r="L1863"/>
          <cell r="N1863"/>
          <cell r="O1863"/>
        </row>
        <row r="1864">
          <cell r="B1864"/>
          <cell r="C1864"/>
          <cell r="D1864"/>
          <cell r="E1864"/>
          <cell r="G1864"/>
          <cell r="I1864"/>
          <cell r="J1864"/>
          <cell r="K1864"/>
          <cell r="L1864"/>
          <cell r="N1864"/>
          <cell r="O1864"/>
        </row>
        <row r="1865">
          <cell r="B1865"/>
          <cell r="C1865"/>
          <cell r="D1865"/>
          <cell r="E1865"/>
          <cell r="G1865"/>
          <cell r="I1865"/>
          <cell r="J1865"/>
          <cell r="K1865"/>
          <cell r="L1865"/>
          <cell r="N1865"/>
          <cell r="O1865"/>
        </row>
        <row r="1866">
          <cell r="B1866"/>
          <cell r="C1866"/>
          <cell r="D1866"/>
          <cell r="E1866"/>
          <cell r="G1866"/>
          <cell r="I1866"/>
          <cell r="J1866"/>
          <cell r="K1866"/>
          <cell r="L1866"/>
          <cell r="N1866"/>
          <cell r="O1866"/>
        </row>
        <row r="1867">
          <cell r="B1867"/>
          <cell r="C1867"/>
          <cell r="D1867"/>
          <cell r="E1867"/>
          <cell r="G1867"/>
          <cell r="I1867"/>
          <cell r="J1867"/>
          <cell r="K1867"/>
          <cell r="L1867"/>
          <cell r="N1867"/>
          <cell r="O1867"/>
        </row>
        <row r="1868">
          <cell r="B1868"/>
          <cell r="C1868"/>
          <cell r="D1868"/>
          <cell r="E1868"/>
          <cell r="G1868"/>
          <cell r="I1868"/>
          <cell r="J1868"/>
          <cell r="K1868"/>
          <cell r="L1868"/>
          <cell r="N1868"/>
          <cell r="O1868"/>
        </row>
        <row r="1869">
          <cell r="B1869"/>
          <cell r="C1869"/>
          <cell r="D1869"/>
          <cell r="E1869"/>
          <cell r="G1869"/>
          <cell r="I1869"/>
          <cell r="J1869"/>
          <cell r="K1869"/>
          <cell r="L1869"/>
          <cell r="N1869"/>
          <cell r="O1869"/>
        </row>
        <row r="1870">
          <cell r="B1870"/>
          <cell r="C1870"/>
          <cell r="D1870"/>
          <cell r="E1870"/>
          <cell r="G1870"/>
          <cell r="I1870"/>
          <cell r="J1870"/>
          <cell r="K1870"/>
          <cell r="L1870"/>
          <cell r="N1870"/>
          <cell r="O1870"/>
        </row>
        <row r="1871">
          <cell r="B1871"/>
          <cell r="C1871"/>
          <cell r="D1871"/>
          <cell r="E1871"/>
          <cell r="G1871"/>
          <cell r="I1871"/>
          <cell r="J1871"/>
          <cell r="K1871"/>
          <cell r="L1871"/>
          <cell r="N1871"/>
          <cell r="O1871"/>
        </row>
        <row r="1872">
          <cell r="B1872"/>
          <cell r="C1872"/>
          <cell r="D1872"/>
          <cell r="E1872"/>
          <cell r="G1872"/>
          <cell r="I1872"/>
          <cell r="J1872"/>
          <cell r="K1872"/>
          <cell r="L1872"/>
          <cell r="N1872"/>
          <cell r="O1872"/>
        </row>
        <row r="1873">
          <cell r="B1873"/>
          <cell r="C1873"/>
          <cell r="D1873"/>
          <cell r="E1873"/>
          <cell r="G1873"/>
          <cell r="I1873"/>
          <cell r="J1873"/>
          <cell r="K1873"/>
          <cell r="L1873"/>
          <cell r="N1873"/>
          <cell r="O1873"/>
        </row>
        <row r="1874">
          <cell r="B1874"/>
          <cell r="C1874"/>
          <cell r="D1874"/>
          <cell r="E1874"/>
          <cell r="G1874"/>
          <cell r="I1874"/>
          <cell r="J1874"/>
          <cell r="K1874"/>
          <cell r="L1874"/>
          <cell r="N1874"/>
          <cell r="O1874"/>
        </row>
        <row r="1875">
          <cell r="B1875"/>
          <cell r="C1875"/>
          <cell r="D1875"/>
          <cell r="E1875"/>
          <cell r="G1875"/>
          <cell r="I1875"/>
          <cell r="J1875"/>
          <cell r="K1875"/>
          <cell r="L1875"/>
          <cell r="N1875"/>
          <cell r="O1875"/>
        </row>
        <row r="1876">
          <cell r="B1876"/>
          <cell r="C1876"/>
          <cell r="D1876"/>
          <cell r="E1876"/>
          <cell r="G1876"/>
          <cell r="I1876"/>
          <cell r="J1876"/>
          <cell r="K1876"/>
          <cell r="L1876"/>
          <cell r="N1876"/>
          <cell r="O1876"/>
        </row>
        <row r="1877">
          <cell r="B1877"/>
          <cell r="C1877"/>
          <cell r="D1877"/>
          <cell r="E1877"/>
          <cell r="G1877"/>
          <cell r="I1877"/>
          <cell r="J1877"/>
          <cell r="K1877"/>
          <cell r="L1877"/>
          <cell r="N1877"/>
          <cell r="O1877"/>
        </row>
        <row r="1878">
          <cell r="B1878"/>
          <cell r="C1878"/>
          <cell r="D1878"/>
          <cell r="E1878"/>
          <cell r="G1878"/>
          <cell r="I1878"/>
          <cell r="J1878"/>
          <cell r="K1878"/>
          <cell r="L1878"/>
          <cell r="N1878"/>
          <cell r="O1878"/>
        </row>
        <row r="1879">
          <cell r="B1879"/>
          <cell r="C1879"/>
          <cell r="D1879"/>
          <cell r="E1879"/>
          <cell r="G1879"/>
          <cell r="I1879"/>
          <cell r="J1879"/>
          <cell r="K1879"/>
          <cell r="L1879"/>
          <cell r="N1879"/>
          <cell r="O1879"/>
        </row>
        <row r="1880">
          <cell r="B1880"/>
          <cell r="C1880"/>
          <cell r="D1880"/>
          <cell r="E1880"/>
          <cell r="G1880"/>
          <cell r="I1880"/>
          <cell r="J1880"/>
          <cell r="K1880"/>
          <cell r="L1880"/>
          <cell r="N1880"/>
          <cell r="O1880"/>
        </row>
        <row r="1881">
          <cell r="B1881"/>
          <cell r="C1881"/>
          <cell r="D1881"/>
          <cell r="E1881"/>
          <cell r="G1881"/>
          <cell r="I1881"/>
          <cell r="J1881"/>
          <cell r="K1881"/>
          <cell r="L1881"/>
          <cell r="N1881"/>
          <cell r="O1881"/>
        </row>
        <row r="1882">
          <cell r="B1882"/>
          <cell r="C1882"/>
          <cell r="D1882"/>
          <cell r="E1882"/>
          <cell r="G1882"/>
          <cell r="I1882"/>
          <cell r="J1882"/>
          <cell r="K1882"/>
          <cell r="L1882"/>
          <cell r="N1882"/>
          <cell r="O1882"/>
        </row>
        <row r="1883">
          <cell r="B1883"/>
          <cell r="C1883"/>
          <cell r="D1883"/>
          <cell r="E1883"/>
          <cell r="G1883"/>
          <cell r="I1883"/>
          <cell r="J1883"/>
          <cell r="K1883"/>
          <cell r="L1883"/>
          <cell r="N1883"/>
          <cell r="O1883"/>
        </row>
        <row r="1884">
          <cell r="B1884"/>
          <cell r="C1884"/>
          <cell r="D1884"/>
          <cell r="E1884"/>
          <cell r="G1884"/>
          <cell r="I1884"/>
          <cell r="J1884"/>
          <cell r="K1884"/>
          <cell r="L1884"/>
          <cell r="N1884"/>
          <cell r="O1884"/>
        </row>
        <row r="1885">
          <cell r="B1885"/>
          <cell r="C1885"/>
          <cell r="D1885"/>
          <cell r="E1885"/>
          <cell r="G1885"/>
          <cell r="I1885"/>
          <cell r="J1885"/>
          <cell r="K1885"/>
          <cell r="L1885"/>
          <cell r="N1885"/>
          <cell r="O1885"/>
        </row>
        <row r="1886">
          <cell r="B1886"/>
          <cell r="C1886"/>
          <cell r="D1886"/>
          <cell r="E1886"/>
          <cell r="G1886"/>
          <cell r="I1886"/>
          <cell r="J1886"/>
          <cell r="K1886"/>
          <cell r="L1886"/>
          <cell r="N1886"/>
          <cell r="O1886"/>
        </row>
        <row r="1887">
          <cell r="B1887"/>
          <cell r="C1887"/>
          <cell r="D1887"/>
          <cell r="E1887"/>
          <cell r="G1887"/>
          <cell r="I1887"/>
          <cell r="J1887"/>
          <cell r="K1887"/>
          <cell r="L1887"/>
          <cell r="N1887"/>
          <cell r="O1887"/>
        </row>
        <row r="1888">
          <cell r="B1888"/>
          <cell r="C1888"/>
          <cell r="D1888"/>
          <cell r="E1888"/>
          <cell r="G1888"/>
          <cell r="I1888"/>
          <cell r="J1888"/>
          <cell r="K1888"/>
          <cell r="L1888"/>
          <cell r="N1888"/>
          <cell r="O1888"/>
        </row>
        <row r="1889">
          <cell r="B1889"/>
          <cell r="C1889"/>
          <cell r="D1889"/>
          <cell r="E1889"/>
          <cell r="G1889"/>
          <cell r="I1889"/>
          <cell r="J1889"/>
          <cell r="K1889"/>
          <cell r="L1889"/>
          <cell r="N1889"/>
          <cell r="O1889"/>
        </row>
        <row r="1890">
          <cell r="B1890"/>
          <cell r="C1890"/>
          <cell r="D1890"/>
          <cell r="E1890"/>
          <cell r="G1890"/>
          <cell r="I1890"/>
          <cell r="J1890"/>
          <cell r="K1890"/>
          <cell r="L1890"/>
          <cell r="N1890"/>
          <cell r="O1890"/>
        </row>
        <row r="1891">
          <cell r="B1891"/>
          <cell r="C1891"/>
          <cell r="D1891"/>
          <cell r="E1891"/>
          <cell r="G1891"/>
          <cell r="I1891"/>
          <cell r="J1891"/>
          <cell r="K1891"/>
          <cell r="L1891"/>
          <cell r="N1891"/>
          <cell r="O1891"/>
        </row>
        <row r="1892">
          <cell r="B1892"/>
          <cell r="C1892"/>
          <cell r="D1892"/>
          <cell r="E1892"/>
          <cell r="G1892"/>
          <cell r="I1892"/>
          <cell r="J1892"/>
          <cell r="K1892"/>
          <cell r="L1892"/>
          <cell r="N1892"/>
          <cell r="O1892"/>
        </row>
        <row r="1893">
          <cell r="B1893"/>
          <cell r="C1893"/>
          <cell r="D1893"/>
          <cell r="E1893"/>
          <cell r="G1893"/>
          <cell r="I1893"/>
          <cell r="J1893"/>
          <cell r="K1893"/>
          <cell r="L1893"/>
          <cell r="N1893"/>
          <cell r="O1893"/>
        </row>
        <row r="1894">
          <cell r="B1894"/>
          <cell r="C1894"/>
          <cell r="D1894"/>
          <cell r="E1894"/>
          <cell r="G1894"/>
          <cell r="I1894"/>
          <cell r="J1894"/>
          <cell r="K1894"/>
          <cell r="L1894"/>
          <cell r="N1894"/>
          <cell r="O1894"/>
        </row>
        <row r="1895">
          <cell r="B1895"/>
          <cell r="C1895"/>
          <cell r="D1895"/>
          <cell r="E1895"/>
          <cell r="G1895"/>
          <cell r="I1895"/>
          <cell r="J1895"/>
          <cell r="K1895"/>
          <cell r="L1895"/>
          <cell r="N1895"/>
          <cell r="O1895"/>
        </row>
        <row r="1896">
          <cell r="B1896"/>
          <cell r="C1896"/>
          <cell r="D1896"/>
          <cell r="E1896"/>
          <cell r="G1896"/>
          <cell r="I1896"/>
          <cell r="J1896"/>
          <cell r="K1896"/>
          <cell r="L1896"/>
          <cell r="N1896"/>
          <cell r="O1896"/>
        </row>
        <row r="1897">
          <cell r="B1897"/>
          <cell r="C1897"/>
          <cell r="D1897"/>
          <cell r="E1897"/>
          <cell r="G1897"/>
          <cell r="I1897"/>
          <cell r="J1897"/>
          <cell r="K1897"/>
          <cell r="L1897"/>
          <cell r="N1897"/>
          <cell r="O1897"/>
        </row>
        <row r="1898">
          <cell r="B1898"/>
          <cell r="C1898"/>
          <cell r="D1898"/>
          <cell r="E1898"/>
          <cell r="G1898"/>
          <cell r="I1898"/>
          <cell r="J1898"/>
          <cell r="K1898"/>
          <cell r="L1898"/>
          <cell r="N1898"/>
          <cell r="O1898"/>
        </row>
        <row r="1899">
          <cell r="B1899"/>
          <cell r="C1899"/>
          <cell r="D1899"/>
          <cell r="E1899"/>
          <cell r="G1899"/>
          <cell r="I1899"/>
          <cell r="J1899"/>
          <cell r="K1899"/>
          <cell r="L1899"/>
          <cell r="N1899"/>
          <cell r="O1899"/>
        </row>
        <row r="1900">
          <cell r="B1900"/>
          <cell r="C1900"/>
          <cell r="D1900"/>
          <cell r="E1900"/>
          <cell r="G1900"/>
          <cell r="I1900"/>
          <cell r="J1900"/>
          <cell r="K1900"/>
          <cell r="L1900"/>
          <cell r="N1900"/>
          <cell r="O1900"/>
        </row>
        <row r="1901">
          <cell r="B1901"/>
          <cell r="C1901"/>
          <cell r="D1901"/>
          <cell r="E1901"/>
          <cell r="G1901"/>
          <cell r="I1901"/>
          <cell r="J1901"/>
          <cell r="K1901"/>
          <cell r="L1901"/>
          <cell r="N1901"/>
          <cell r="O1901"/>
        </row>
        <row r="1902">
          <cell r="B1902"/>
          <cell r="C1902"/>
          <cell r="D1902"/>
          <cell r="E1902"/>
          <cell r="G1902"/>
          <cell r="I1902"/>
          <cell r="J1902"/>
          <cell r="K1902"/>
          <cell r="L1902"/>
          <cell r="N1902"/>
          <cell r="O1902"/>
        </row>
        <row r="1903">
          <cell r="B1903"/>
          <cell r="C1903"/>
          <cell r="D1903"/>
          <cell r="E1903"/>
          <cell r="G1903"/>
          <cell r="I1903"/>
          <cell r="J1903"/>
          <cell r="K1903"/>
          <cell r="L1903"/>
          <cell r="N1903"/>
          <cell r="O1903"/>
        </row>
        <row r="1904">
          <cell r="B1904"/>
          <cell r="C1904"/>
          <cell r="D1904"/>
          <cell r="E1904"/>
          <cell r="G1904"/>
          <cell r="I1904"/>
          <cell r="J1904"/>
          <cell r="K1904"/>
          <cell r="L1904"/>
          <cell r="N1904"/>
          <cell r="O1904"/>
        </row>
        <row r="1905">
          <cell r="B1905"/>
          <cell r="C1905"/>
          <cell r="D1905"/>
          <cell r="E1905"/>
          <cell r="G1905"/>
          <cell r="I1905"/>
          <cell r="J1905"/>
          <cell r="K1905"/>
          <cell r="L1905"/>
          <cell r="N1905"/>
          <cell r="O1905"/>
        </row>
        <row r="1906">
          <cell r="B1906"/>
          <cell r="C1906"/>
          <cell r="D1906"/>
          <cell r="E1906"/>
          <cell r="G1906"/>
          <cell r="I1906"/>
          <cell r="J1906"/>
          <cell r="K1906"/>
          <cell r="L1906"/>
          <cell r="N1906"/>
          <cell r="O1906"/>
        </row>
        <row r="1907">
          <cell r="B1907"/>
          <cell r="C1907"/>
          <cell r="D1907"/>
          <cell r="E1907"/>
          <cell r="G1907"/>
          <cell r="I1907"/>
          <cell r="J1907"/>
          <cell r="K1907"/>
          <cell r="L1907"/>
          <cell r="N1907"/>
          <cell r="O1907"/>
        </row>
        <row r="1908">
          <cell r="B1908"/>
          <cell r="C1908"/>
          <cell r="D1908"/>
          <cell r="E1908"/>
          <cell r="G1908"/>
          <cell r="I1908"/>
          <cell r="J1908"/>
          <cell r="K1908"/>
          <cell r="L1908"/>
          <cell r="N1908"/>
          <cell r="O1908"/>
        </row>
        <row r="1909">
          <cell r="B1909"/>
          <cell r="C1909"/>
          <cell r="D1909"/>
          <cell r="E1909"/>
          <cell r="G1909"/>
          <cell r="I1909"/>
          <cell r="J1909"/>
          <cell r="K1909"/>
          <cell r="L1909"/>
          <cell r="N1909"/>
          <cell r="O1909"/>
        </row>
        <row r="1910">
          <cell r="B1910"/>
          <cell r="C1910"/>
          <cell r="D1910"/>
          <cell r="E1910"/>
          <cell r="G1910"/>
          <cell r="I1910"/>
          <cell r="J1910"/>
          <cell r="K1910"/>
          <cell r="L1910"/>
          <cell r="N1910"/>
          <cell r="O1910"/>
        </row>
        <row r="1911">
          <cell r="B1911"/>
          <cell r="C1911"/>
          <cell r="D1911"/>
          <cell r="E1911"/>
          <cell r="G1911"/>
          <cell r="I1911"/>
          <cell r="J1911"/>
          <cell r="K1911"/>
          <cell r="L1911"/>
          <cell r="N1911"/>
          <cell r="O1911"/>
        </row>
        <row r="1912">
          <cell r="B1912"/>
          <cell r="C1912"/>
          <cell r="D1912"/>
          <cell r="E1912"/>
          <cell r="G1912"/>
          <cell r="I1912"/>
          <cell r="J1912"/>
          <cell r="K1912"/>
          <cell r="L1912"/>
          <cell r="N1912"/>
          <cell r="O1912"/>
        </row>
        <row r="1913">
          <cell r="B1913"/>
          <cell r="C1913"/>
          <cell r="D1913"/>
          <cell r="E1913"/>
          <cell r="G1913"/>
          <cell r="I1913"/>
          <cell r="J1913"/>
          <cell r="K1913"/>
          <cell r="L1913"/>
          <cell r="N1913"/>
          <cell r="O1913"/>
        </row>
        <row r="1914">
          <cell r="B1914"/>
          <cell r="C1914"/>
          <cell r="D1914"/>
          <cell r="E1914"/>
          <cell r="G1914"/>
          <cell r="I1914"/>
          <cell r="J1914"/>
          <cell r="K1914"/>
          <cell r="L1914"/>
          <cell r="N1914"/>
          <cell r="O1914"/>
        </row>
        <row r="1915">
          <cell r="B1915"/>
          <cell r="C1915"/>
          <cell r="D1915"/>
          <cell r="E1915"/>
          <cell r="G1915"/>
          <cell r="I1915"/>
          <cell r="J1915"/>
          <cell r="K1915"/>
          <cell r="L1915"/>
          <cell r="N1915"/>
          <cell r="O1915"/>
        </row>
        <row r="1916">
          <cell r="B1916"/>
          <cell r="C1916"/>
          <cell r="D1916"/>
          <cell r="E1916"/>
          <cell r="G1916"/>
          <cell r="I1916"/>
          <cell r="J1916"/>
          <cell r="K1916"/>
          <cell r="L1916"/>
          <cell r="N1916"/>
          <cell r="O1916"/>
        </row>
        <row r="1917">
          <cell r="B1917"/>
          <cell r="C1917"/>
          <cell r="D1917"/>
          <cell r="E1917"/>
          <cell r="G1917"/>
          <cell r="I1917"/>
          <cell r="J1917"/>
          <cell r="K1917"/>
          <cell r="L1917"/>
          <cell r="N1917"/>
          <cell r="O1917"/>
        </row>
        <row r="1918">
          <cell r="B1918"/>
          <cell r="C1918"/>
          <cell r="D1918"/>
          <cell r="E1918"/>
          <cell r="G1918"/>
          <cell r="I1918"/>
          <cell r="J1918"/>
          <cell r="K1918"/>
          <cell r="L1918"/>
          <cell r="N1918"/>
          <cell r="O1918"/>
        </row>
        <row r="1919">
          <cell r="B1919"/>
          <cell r="C1919"/>
          <cell r="D1919"/>
          <cell r="E1919"/>
          <cell r="G1919"/>
          <cell r="I1919"/>
          <cell r="J1919"/>
          <cell r="K1919"/>
          <cell r="L1919"/>
          <cell r="N1919"/>
          <cell r="O1919"/>
        </row>
        <row r="1920">
          <cell r="B1920"/>
          <cell r="C1920"/>
          <cell r="D1920"/>
          <cell r="E1920"/>
          <cell r="G1920"/>
          <cell r="I1920"/>
          <cell r="J1920"/>
          <cell r="K1920"/>
          <cell r="L1920"/>
          <cell r="N1920"/>
          <cell r="O1920"/>
        </row>
        <row r="1921">
          <cell r="B1921"/>
          <cell r="C1921"/>
          <cell r="D1921"/>
          <cell r="E1921"/>
          <cell r="G1921"/>
          <cell r="I1921"/>
          <cell r="J1921"/>
          <cell r="K1921"/>
          <cell r="L1921"/>
          <cell r="N1921"/>
          <cell r="O1921"/>
        </row>
        <row r="1922">
          <cell r="B1922"/>
          <cell r="C1922"/>
          <cell r="D1922"/>
          <cell r="E1922"/>
          <cell r="G1922"/>
          <cell r="I1922"/>
          <cell r="J1922"/>
          <cell r="K1922"/>
          <cell r="L1922"/>
          <cell r="N1922"/>
          <cell r="O1922"/>
        </row>
        <row r="1923">
          <cell r="B1923"/>
          <cell r="C1923"/>
          <cell r="D1923"/>
          <cell r="E1923"/>
          <cell r="G1923"/>
          <cell r="I1923"/>
          <cell r="J1923"/>
          <cell r="K1923"/>
          <cell r="L1923"/>
          <cell r="N1923"/>
          <cell r="O1923"/>
        </row>
        <row r="1924">
          <cell r="B1924"/>
          <cell r="C1924"/>
          <cell r="D1924"/>
          <cell r="E1924"/>
          <cell r="G1924"/>
          <cell r="I1924"/>
          <cell r="J1924"/>
          <cell r="K1924"/>
          <cell r="L1924"/>
          <cell r="N1924"/>
          <cell r="O1924"/>
        </row>
        <row r="1925">
          <cell r="B1925"/>
          <cell r="C1925"/>
          <cell r="D1925"/>
          <cell r="E1925"/>
          <cell r="G1925"/>
          <cell r="I1925"/>
          <cell r="J1925"/>
          <cell r="K1925"/>
          <cell r="L1925"/>
          <cell r="N1925"/>
          <cell r="O1925"/>
        </row>
        <row r="1926">
          <cell r="B1926"/>
          <cell r="C1926"/>
          <cell r="D1926"/>
          <cell r="E1926"/>
          <cell r="G1926"/>
          <cell r="I1926"/>
          <cell r="J1926"/>
          <cell r="K1926"/>
          <cell r="L1926"/>
          <cell r="N1926"/>
          <cell r="O1926"/>
        </row>
        <row r="1927">
          <cell r="B1927"/>
          <cell r="C1927"/>
          <cell r="D1927"/>
          <cell r="E1927"/>
          <cell r="G1927"/>
          <cell r="I1927"/>
          <cell r="J1927"/>
          <cell r="K1927"/>
          <cell r="L1927"/>
          <cell r="N1927"/>
          <cell r="O1927"/>
        </row>
        <row r="1928">
          <cell r="B1928"/>
          <cell r="C1928"/>
          <cell r="D1928"/>
          <cell r="E1928"/>
          <cell r="G1928"/>
          <cell r="I1928"/>
          <cell r="J1928"/>
          <cell r="K1928"/>
          <cell r="L1928"/>
          <cell r="N1928"/>
          <cell r="O1928"/>
        </row>
        <row r="1929">
          <cell r="B1929"/>
          <cell r="C1929"/>
          <cell r="D1929"/>
          <cell r="E1929"/>
          <cell r="G1929"/>
          <cell r="I1929"/>
          <cell r="J1929"/>
          <cell r="K1929"/>
          <cell r="L1929"/>
          <cell r="N1929"/>
          <cell r="O1929"/>
        </row>
        <row r="1930">
          <cell r="B1930"/>
          <cell r="C1930"/>
          <cell r="D1930"/>
          <cell r="E1930"/>
          <cell r="G1930"/>
          <cell r="I1930"/>
          <cell r="J1930"/>
          <cell r="K1930"/>
          <cell r="L1930"/>
          <cell r="N1930"/>
          <cell r="O1930"/>
        </row>
        <row r="1931">
          <cell r="B1931"/>
          <cell r="C1931"/>
          <cell r="D1931"/>
          <cell r="E1931"/>
          <cell r="G1931"/>
          <cell r="I1931"/>
          <cell r="J1931"/>
          <cell r="K1931"/>
          <cell r="L1931"/>
          <cell r="N1931"/>
          <cell r="O1931"/>
        </row>
        <row r="1932">
          <cell r="B1932"/>
          <cell r="C1932"/>
          <cell r="D1932"/>
          <cell r="E1932"/>
          <cell r="G1932"/>
          <cell r="I1932"/>
          <cell r="J1932"/>
          <cell r="K1932"/>
          <cell r="L1932"/>
          <cell r="N1932"/>
          <cell r="O1932"/>
        </row>
        <row r="1933">
          <cell r="B1933"/>
          <cell r="C1933"/>
          <cell r="D1933"/>
          <cell r="E1933"/>
          <cell r="G1933"/>
          <cell r="I1933"/>
          <cell r="J1933"/>
          <cell r="K1933"/>
          <cell r="L1933"/>
          <cell r="N1933"/>
          <cell r="O1933"/>
        </row>
        <row r="1934">
          <cell r="B1934"/>
          <cell r="C1934"/>
          <cell r="D1934"/>
          <cell r="E1934"/>
          <cell r="G1934"/>
          <cell r="I1934"/>
          <cell r="J1934"/>
          <cell r="K1934"/>
          <cell r="L1934"/>
          <cell r="N1934"/>
          <cell r="O1934"/>
        </row>
        <row r="1935">
          <cell r="B1935"/>
          <cell r="C1935"/>
          <cell r="D1935"/>
          <cell r="E1935"/>
          <cell r="G1935"/>
          <cell r="I1935"/>
          <cell r="J1935"/>
          <cell r="K1935"/>
          <cell r="L1935"/>
          <cell r="N1935"/>
          <cell r="O1935"/>
        </row>
        <row r="1936">
          <cell r="B1936"/>
          <cell r="C1936"/>
          <cell r="D1936"/>
          <cell r="E1936"/>
          <cell r="G1936"/>
          <cell r="I1936"/>
          <cell r="J1936"/>
          <cell r="K1936"/>
          <cell r="L1936"/>
          <cell r="N1936"/>
          <cell r="O1936"/>
        </row>
        <row r="1937">
          <cell r="B1937"/>
          <cell r="C1937"/>
          <cell r="D1937"/>
          <cell r="E1937"/>
          <cell r="G1937"/>
          <cell r="I1937"/>
          <cell r="J1937"/>
          <cell r="K1937"/>
          <cell r="L1937"/>
          <cell r="N1937"/>
          <cell r="O1937"/>
        </row>
        <row r="1938">
          <cell r="B1938"/>
          <cell r="C1938"/>
          <cell r="D1938"/>
          <cell r="E1938"/>
          <cell r="G1938"/>
          <cell r="I1938"/>
          <cell r="J1938"/>
          <cell r="K1938"/>
          <cell r="L1938"/>
          <cell r="N1938"/>
          <cell r="O1938"/>
        </row>
        <row r="1939">
          <cell r="B1939"/>
          <cell r="C1939"/>
          <cell r="D1939"/>
          <cell r="E1939"/>
          <cell r="G1939"/>
          <cell r="I1939"/>
          <cell r="J1939"/>
          <cell r="K1939"/>
          <cell r="L1939"/>
          <cell r="N1939"/>
          <cell r="O1939"/>
        </row>
        <row r="1940">
          <cell r="B1940"/>
          <cell r="C1940"/>
          <cell r="D1940"/>
          <cell r="E1940"/>
          <cell r="G1940"/>
          <cell r="I1940"/>
          <cell r="J1940"/>
          <cell r="K1940"/>
          <cell r="L1940"/>
          <cell r="N1940"/>
          <cell r="O1940"/>
        </row>
        <row r="1941">
          <cell r="B1941"/>
          <cell r="C1941"/>
          <cell r="D1941"/>
          <cell r="E1941"/>
          <cell r="G1941"/>
          <cell r="I1941"/>
          <cell r="J1941"/>
          <cell r="K1941"/>
          <cell r="L1941"/>
          <cell r="N1941"/>
          <cell r="O1941"/>
        </row>
        <row r="1942">
          <cell r="B1942"/>
          <cell r="C1942"/>
          <cell r="D1942"/>
          <cell r="E1942"/>
          <cell r="G1942"/>
          <cell r="I1942"/>
          <cell r="J1942"/>
          <cell r="K1942"/>
          <cell r="L1942"/>
          <cell r="N1942"/>
          <cell r="O1942"/>
        </row>
        <row r="1943">
          <cell r="B1943"/>
          <cell r="C1943"/>
          <cell r="D1943"/>
          <cell r="E1943"/>
          <cell r="G1943"/>
          <cell r="I1943"/>
          <cell r="J1943"/>
          <cell r="K1943"/>
          <cell r="L1943"/>
          <cell r="N1943"/>
          <cell r="O1943"/>
        </row>
        <row r="1944">
          <cell r="B1944"/>
          <cell r="C1944"/>
          <cell r="D1944"/>
          <cell r="E1944"/>
          <cell r="G1944"/>
          <cell r="I1944"/>
          <cell r="J1944"/>
          <cell r="K1944"/>
          <cell r="L1944"/>
          <cell r="N1944"/>
          <cell r="O1944"/>
        </row>
        <row r="1945">
          <cell r="B1945"/>
          <cell r="C1945"/>
          <cell r="D1945"/>
          <cell r="E1945"/>
          <cell r="G1945"/>
          <cell r="I1945"/>
          <cell r="J1945"/>
          <cell r="K1945"/>
          <cell r="L1945"/>
          <cell r="N1945"/>
          <cell r="O1945"/>
        </row>
        <row r="1946">
          <cell r="B1946"/>
          <cell r="C1946"/>
          <cell r="D1946"/>
          <cell r="E1946"/>
          <cell r="G1946"/>
          <cell r="I1946"/>
          <cell r="J1946"/>
          <cell r="K1946"/>
          <cell r="L1946"/>
          <cell r="N1946"/>
          <cell r="O1946"/>
        </row>
        <row r="1947">
          <cell r="B1947"/>
          <cell r="C1947"/>
          <cell r="D1947"/>
          <cell r="E1947"/>
          <cell r="G1947"/>
          <cell r="I1947"/>
          <cell r="J1947"/>
          <cell r="K1947"/>
          <cell r="L1947"/>
          <cell r="N1947"/>
          <cell r="O1947"/>
        </row>
        <row r="1948">
          <cell r="B1948"/>
          <cell r="C1948"/>
          <cell r="D1948"/>
          <cell r="E1948"/>
          <cell r="G1948"/>
          <cell r="I1948"/>
          <cell r="J1948"/>
          <cell r="K1948"/>
          <cell r="L1948"/>
          <cell r="N1948"/>
          <cell r="O1948"/>
        </row>
        <row r="1949">
          <cell r="B1949"/>
          <cell r="C1949"/>
          <cell r="D1949"/>
          <cell r="E1949"/>
          <cell r="G1949"/>
          <cell r="I1949"/>
          <cell r="J1949"/>
          <cell r="K1949"/>
          <cell r="L1949"/>
          <cell r="N1949"/>
          <cell r="O1949"/>
        </row>
        <row r="1950">
          <cell r="B1950"/>
          <cell r="C1950"/>
          <cell r="D1950"/>
          <cell r="E1950"/>
          <cell r="G1950"/>
          <cell r="I1950"/>
          <cell r="J1950"/>
          <cell r="K1950"/>
          <cell r="L1950"/>
          <cell r="N1950"/>
          <cell r="O1950"/>
        </row>
        <row r="1951">
          <cell r="B1951"/>
          <cell r="C1951"/>
          <cell r="D1951"/>
          <cell r="E1951"/>
          <cell r="G1951"/>
          <cell r="I1951"/>
          <cell r="J1951"/>
          <cell r="K1951"/>
          <cell r="L1951"/>
          <cell r="N1951"/>
          <cell r="O1951"/>
        </row>
        <row r="1952">
          <cell r="B1952"/>
          <cell r="C1952"/>
          <cell r="D1952"/>
          <cell r="E1952"/>
          <cell r="G1952"/>
          <cell r="I1952"/>
          <cell r="J1952"/>
          <cell r="K1952"/>
          <cell r="L1952"/>
          <cell r="N1952"/>
          <cell r="O1952"/>
        </row>
        <row r="1953">
          <cell r="B1953"/>
          <cell r="C1953"/>
          <cell r="D1953"/>
          <cell r="E1953"/>
          <cell r="G1953"/>
          <cell r="I1953"/>
          <cell r="J1953"/>
          <cell r="K1953"/>
          <cell r="L1953"/>
          <cell r="N1953"/>
          <cell r="O1953"/>
        </row>
        <row r="1954">
          <cell r="B1954"/>
          <cell r="C1954"/>
          <cell r="D1954"/>
          <cell r="E1954"/>
          <cell r="G1954"/>
          <cell r="I1954"/>
          <cell r="J1954"/>
          <cell r="K1954"/>
          <cell r="L1954"/>
          <cell r="N1954"/>
          <cell r="O1954"/>
        </row>
        <row r="1955">
          <cell r="B1955"/>
          <cell r="C1955"/>
          <cell r="D1955"/>
          <cell r="E1955"/>
          <cell r="G1955"/>
          <cell r="I1955"/>
          <cell r="J1955"/>
          <cell r="K1955"/>
          <cell r="L1955"/>
          <cell r="N1955"/>
          <cell r="O1955"/>
        </row>
        <row r="1956">
          <cell r="B1956"/>
          <cell r="C1956"/>
          <cell r="D1956"/>
          <cell r="E1956"/>
          <cell r="G1956"/>
          <cell r="I1956"/>
          <cell r="J1956"/>
          <cell r="K1956"/>
          <cell r="L1956"/>
          <cell r="N1956"/>
          <cell r="O1956"/>
        </row>
        <row r="1957">
          <cell r="B1957"/>
          <cell r="C1957"/>
          <cell r="D1957"/>
          <cell r="E1957"/>
          <cell r="G1957"/>
          <cell r="I1957"/>
          <cell r="J1957"/>
          <cell r="K1957"/>
          <cell r="L1957"/>
          <cell r="N1957"/>
          <cell r="O1957"/>
        </row>
        <row r="1958">
          <cell r="B1958"/>
          <cell r="C1958"/>
          <cell r="D1958"/>
          <cell r="E1958"/>
          <cell r="G1958"/>
          <cell r="I1958"/>
          <cell r="J1958"/>
          <cell r="K1958"/>
          <cell r="L1958"/>
          <cell r="N1958"/>
          <cell r="O1958"/>
        </row>
        <row r="1959">
          <cell r="B1959"/>
          <cell r="C1959"/>
          <cell r="D1959"/>
          <cell r="E1959"/>
          <cell r="G1959"/>
          <cell r="I1959"/>
          <cell r="J1959"/>
          <cell r="K1959"/>
          <cell r="L1959"/>
          <cell r="N1959"/>
          <cell r="O1959"/>
        </row>
        <row r="1960">
          <cell r="B1960"/>
          <cell r="C1960"/>
          <cell r="D1960"/>
          <cell r="E1960"/>
          <cell r="G1960"/>
          <cell r="I1960"/>
          <cell r="J1960"/>
          <cell r="K1960"/>
          <cell r="L1960"/>
          <cell r="N1960"/>
          <cell r="O1960"/>
        </row>
        <row r="1961">
          <cell r="B1961"/>
          <cell r="C1961"/>
          <cell r="D1961"/>
          <cell r="E1961"/>
          <cell r="G1961"/>
          <cell r="I1961"/>
          <cell r="J1961"/>
          <cell r="K1961"/>
          <cell r="L1961"/>
          <cell r="N1961"/>
          <cell r="O1961"/>
        </row>
        <row r="1962">
          <cell r="B1962"/>
          <cell r="C1962"/>
          <cell r="D1962"/>
          <cell r="E1962"/>
          <cell r="G1962"/>
          <cell r="I1962"/>
          <cell r="J1962"/>
          <cell r="K1962"/>
          <cell r="L1962"/>
          <cell r="N1962"/>
          <cell r="O1962"/>
        </row>
        <row r="1963">
          <cell r="B1963"/>
          <cell r="C1963"/>
          <cell r="D1963"/>
          <cell r="E1963"/>
          <cell r="G1963"/>
          <cell r="I1963"/>
          <cell r="J1963"/>
          <cell r="K1963"/>
          <cell r="L1963"/>
          <cell r="N1963"/>
          <cell r="O1963"/>
        </row>
        <row r="1964">
          <cell r="B1964"/>
          <cell r="C1964"/>
          <cell r="D1964"/>
          <cell r="E1964"/>
          <cell r="G1964"/>
          <cell r="I1964"/>
          <cell r="J1964"/>
          <cell r="K1964"/>
          <cell r="L1964"/>
          <cell r="N1964"/>
          <cell r="O1964"/>
        </row>
        <row r="1965">
          <cell r="B1965"/>
          <cell r="C1965"/>
          <cell r="D1965"/>
          <cell r="E1965"/>
          <cell r="G1965"/>
          <cell r="I1965"/>
          <cell r="J1965"/>
          <cell r="K1965"/>
          <cell r="L1965"/>
          <cell r="N1965"/>
          <cell r="O1965"/>
        </row>
        <row r="1966">
          <cell r="B1966"/>
          <cell r="C1966"/>
          <cell r="D1966"/>
          <cell r="E1966"/>
          <cell r="G1966"/>
          <cell r="I1966"/>
          <cell r="J1966"/>
          <cell r="K1966"/>
          <cell r="L1966"/>
          <cell r="N1966"/>
          <cell r="O1966"/>
        </row>
        <row r="1967">
          <cell r="B1967"/>
          <cell r="C1967"/>
          <cell r="D1967"/>
          <cell r="E1967"/>
          <cell r="G1967"/>
          <cell r="I1967"/>
          <cell r="J1967"/>
          <cell r="K1967"/>
          <cell r="L1967"/>
          <cell r="N1967"/>
          <cell r="O1967"/>
        </row>
        <row r="1968">
          <cell r="B1968"/>
          <cell r="C1968"/>
          <cell r="D1968"/>
          <cell r="E1968"/>
          <cell r="G1968"/>
          <cell r="I1968"/>
          <cell r="J1968"/>
          <cell r="K1968"/>
          <cell r="L1968"/>
          <cell r="N1968"/>
          <cell r="O1968"/>
        </row>
        <row r="1969">
          <cell r="B1969"/>
          <cell r="C1969"/>
          <cell r="D1969"/>
          <cell r="E1969"/>
          <cell r="G1969"/>
          <cell r="I1969"/>
          <cell r="J1969"/>
          <cell r="K1969"/>
          <cell r="L1969"/>
          <cell r="N1969"/>
          <cell r="O1969"/>
        </row>
        <row r="1970">
          <cell r="B1970"/>
          <cell r="C1970"/>
          <cell r="D1970"/>
          <cell r="E1970"/>
          <cell r="G1970"/>
          <cell r="I1970"/>
          <cell r="J1970"/>
          <cell r="K1970"/>
          <cell r="L1970"/>
          <cell r="N1970"/>
          <cell r="O1970"/>
        </row>
        <row r="1971">
          <cell r="B1971"/>
          <cell r="C1971"/>
          <cell r="D1971"/>
          <cell r="E1971"/>
          <cell r="G1971"/>
          <cell r="I1971"/>
          <cell r="J1971"/>
          <cell r="K1971"/>
          <cell r="L1971"/>
          <cell r="N1971"/>
          <cell r="O1971"/>
        </row>
        <row r="1972">
          <cell r="B1972"/>
          <cell r="C1972"/>
          <cell r="D1972"/>
          <cell r="E1972"/>
          <cell r="G1972"/>
          <cell r="I1972"/>
          <cell r="J1972"/>
          <cell r="K1972"/>
          <cell r="L1972"/>
          <cell r="N1972"/>
          <cell r="O1972"/>
        </row>
        <row r="1973">
          <cell r="B1973"/>
          <cell r="C1973"/>
          <cell r="D1973"/>
          <cell r="E1973"/>
          <cell r="G1973"/>
          <cell r="I1973"/>
          <cell r="J1973"/>
          <cell r="K1973"/>
          <cell r="L1973"/>
          <cell r="N1973"/>
          <cell r="O1973"/>
        </row>
        <row r="1974">
          <cell r="B1974"/>
          <cell r="C1974"/>
          <cell r="D1974"/>
          <cell r="E1974"/>
          <cell r="G1974"/>
          <cell r="I1974"/>
          <cell r="J1974"/>
          <cell r="K1974"/>
          <cell r="L1974"/>
          <cell r="N1974"/>
          <cell r="O1974"/>
        </row>
        <row r="1975">
          <cell r="B1975"/>
          <cell r="C1975"/>
          <cell r="D1975"/>
          <cell r="E1975"/>
          <cell r="G1975"/>
          <cell r="I1975"/>
          <cell r="J1975"/>
          <cell r="K1975"/>
          <cell r="L1975"/>
          <cell r="N1975"/>
          <cell r="O1975"/>
        </row>
        <row r="1976">
          <cell r="B1976"/>
          <cell r="C1976"/>
          <cell r="D1976"/>
          <cell r="E1976"/>
          <cell r="G1976"/>
          <cell r="I1976"/>
          <cell r="J1976"/>
          <cell r="K1976"/>
          <cell r="L1976"/>
          <cell r="N1976"/>
          <cell r="O1976"/>
        </row>
        <row r="1977">
          <cell r="B1977"/>
          <cell r="C1977"/>
          <cell r="D1977"/>
          <cell r="E1977"/>
          <cell r="G1977"/>
          <cell r="I1977"/>
          <cell r="J1977"/>
          <cell r="K1977"/>
          <cell r="L1977"/>
          <cell r="N1977"/>
          <cell r="O1977"/>
        </row>
        <row r="1978">
          <cell r="B1978"/>
          <cell r="C1978"/>
          <cell r="D1978"/>
          <cell r="E1978"/>
          <cell r="G1978"/>
          <cell r="I1978"/>
          <cell r="J1978"/>
          <cell r="K1978"/>
          <cell r="L1978"/>
          <cell r="N1978"/>
          <cell r="O1978"/>
        </row>
        <row r="1979">
          <cell r="B1979"/>
          <cell r="C1979"/>
          <cell r="D1979"/>
          <cell r="E1979"/>
          <cell r="G1979"/>
          <cell r="I1979"/>
          <cell r="J1979"/>
          <cell r="K1979"/>
          <cell r="L1979"/>
          <cell r="N1979"/>
          <cell r="O1979"/>
        </row>
        <row r="1980">
          <cell r="B1980"/>
          <cell r="C1980"/>
          <cell r="D1980"/>
          <cell r="E1980"/>
          <cell r="G1980"/>
          <cell r="I1980"/>
          <cell r="J1980"/>
          <cell r="K1980"/>
          <cell r="L1980"/>
          <cell r="N1980"/>
          <cell r="O1980"/>
        </row>
        <row r="1981">
          <cell r="B1981"/>
          <cell r="C1981"/>
          <cell r="D1981"/>
          <cell r="E1981"/>
          <cell r="G1981"/>
          <cell r="I1981"/>
          <cell r="J1981"/>
          <cell r="K1981"/>
          <cell r="L1981"/>
          <cell r="N1981"/>
          <cell r="O1981"/>
        </row>
        <row r="1982">
          <cell r="B1982"/>
          <cell r="C1982"/>
          <cell r="D1982"/>
          <cell r="E1982"/>
          <cell r="G1982"/>
          <cell r="I1982"/>
          <cell r="J1982"/>
          <cell r="K1982"/>
          <cell r="L1982"/>
          <cell r="N1982"/>
          <cell r="O1982"/>
        </row>
        <row r="1983">
          <cell r="B1983"/>
          <cell r="C1983"/>
          <cell r="D1983"/>
          <cell r="E1983"/>
          <cell r="G1983"/>
          <cell r="I1983"/>
          <cell r="J1983"/>
          <cell r="K1983"/>
          <cell r="L1983"/>
          <cell r="N1983"/>
          <cell r="O1983"/>
        </row>
        <row r="1984">
          <cell r="B1984"/>
          <cell r="C1984"/>
          <cell r="D1984"/>
          <cell r="E1984"/>
          <cell r="G1984"/>
          <cell r="I1984"/>
          <cell r="J1984"/>
          <cell r="K1984"/>
          <cell r="L1984"/>
          <cell r="N1984"/>
          <cell r="O1984"/>
        </row>
        <row r="1985">
          <cell r="B1985"/>
          <cell r="C1985"/>
          <cell r="D1985"/>
          <cell r="E1985"/>
          <cell r="G1985"/>
          <cell r="I1985"/>
          <cell r="J1985"/>
          <cell r="K1985"/>
          <cell r="L1985"/>
          <cell r="N1985"/>
          <cell r="O1985"/>
        </row>
        <row r="1986">
          <cell r="B1986"/>
          <cell r="C1986"/>
          <cell r="D1986"/>
          <cell r="E1986"/>
          <cell r="G1986"/>
          <cell r="I1986"/>
          <cell r="J1986"/>
          <cell r="K1986"/>
          <cell r="L1986"/>
          <cell r="N1986"/>
          <cell r="O1986"/>
        </row>
        <row r="1987">
          <cell r="B1987"/>
          <cell r="C1987"/>
          <cell r="D1987"/>
          <cell r="E1987"/>
          <cell r="G1987"/>
          <cell r="I1987"/>
          <cell r="J1987"/>
          <cell r="K1987"/>
          <cell r="L1987"/>
          <cell r="N1987"/>
          <cell r="O1987"/>
        </row>
        <row r="1988">
          <cell r="B1988"/>
          <cell r="C1988"/>
          <cell r="D1988"/>
          <cell r="E1988"/>
          <cell r="G1988"/>
          <cell r="I1988"/>
          <cell r="J1988"/>
          <cell r="K1988"/>
          <cell r="L1988"/>
          <cell r="N1988"/>
          <cell r="O1988"/>
        </row>
        <row r="1989">
          <cell r="B1989"/>
          <cell r="C1989"/>
          <cell r="D1989"/>
          <cell r="E1989"/>
          <cell r="G1989"/>
          <cell r="I1989"/>
          <cell r="J1989"/>
          <cell r="K1989"/>
          <cell r="L1989"/>
          <cell r="N1989"/>
          <cell r="O1989"/>
        </row>
        <row r="1990">
          <cell r="B1990"/>
          <cell r="C1990"/>
          <cell r="D1990"/>
          <cell r="E1990"/>
          <cell r="G1990"/>
          <cell r="I1990"/>
          <cell r="J1990"/>
          <cell r="K1990"/>
          <cell r="L1990"/>
          <cell r="N1990"/>
          <cell r="O1990"/>
        </row>
        <row r="1991">
          <cell r="B1991"/>
          <cell r="C1991"/>
          <cell r="D1991"/>
          <cell r="E1991"/>
          <cell r="G1991"/>
          <cell r="I1991"/>
          <cell r="J1991"/>
          <cell r="K1991"/>
          <cell r="L1991"/>
          <cell r="N1991"/>
          <cell r="O1991"/>
        </row>
        <row r="1992">
          <cell r="B1992"/>
          <cell r="C1992"/>
          <cell r="D1992"/>
          <cell r="E1992"/>
          <cell r="G1992"/>
          <cell r="I1992"/>
          <cell r="J1992"/>
          <cell r="K1992"/>
          <cell r="L1992"/>
          <cell r="N1992"/>
          <cell r="O1992"/>
        </row>
        <row r="1993">
          <cell r="B1993"/>
          <cell r="C1993"/>
          <cell r="D1993"/>
          <cell r="E1993"/>
          <cell r="G1993"/>
          <cell r="I1993"/>
          <cell r="J1993"/>
          <cell r="K1993"/>
          <cell r="L1993"/>
          <cell r="N1993"/>
          <cell r="O1993"/>
        </row>
        <row r="1994">
          <cell r="B1994"/>
          <cell r="C1994"/>
          <cell r="D1994"/>
          <cell r="E1994"/>
          <cell r="G1994"/>
          <cell r="I1994"/>
          <cell r="J1994"/>
          <cell r="K1994"/>
          <cell r="L1994"/>
          <cell r="N1994"/>
          <cell r="O1994"/>
        </row>
        <row r="1995">
          <cell r="B1995"/>
          <cell r="C1995"/>
          <cell r="D1995"/>
          <cell r="E1995"/>
          <cell r="G1995"/>
          <cell r="I1995"/>
          <cell r="J1995"/>
          <cell r="K1995"/>
          <cell r="L1995"/>
          <cell r="N1995"/>
          <cell r="O1995"/>
        </row>
        <row r="1996">
          <cell r="B1996"/>
          <cell r="C1996"/>
          <cell r="D1996"/>
          <cell r="E1996"/>
          <cell r="G1996"/>
          <cell r="I1996"/>
          <cell r="J1996"/>
          <cell r="K1996"/>
          <cell r="L1996"/>
          <cell r="N1996"/>
          <cell r="O1996"/>
        </row>
        <row r="1997">
          <cell r="B1997"/>
          <cell r="C1997"/>
          <cell r="D1997"/>
          <cell r="E1997"/>
          <cell r="G1997"/>
          <cell r="I1997"/>
          <cell r="J1997"/>
          <cell r="K1997"/>
          <cell r="L1997"/>
          <cell r="N1997"/>
          <cell r="O1997"/>
        </row>
        <row r="1998">
          <cell r="B1998"/>
          <cell r="C1998"/>
          <cell r="D1998"/>
          <cell r="E1998"/>
          <cell r="G1998"/>
          <cell r="I1998"/>
          <cell r="J1998"/>
          <cell r="K1998"/>
          <cell r="L1998"/>
          <cell r="N1998"/>
          <cell r="O1998"/>
        </row>
        <row r="1999">
          <cell r="B1999"/>
          <cell r="C1999"/>
          <cell r="D1999"/>
          <cell r="E1999"/>
          <cell r="G1999"/>
          <cell r="I1999"/>
          <cell r="J1999"/>
          <cell r="K1999"/>
          <cell r="L1999"/>
          <cell r="N1999"/>
          <cell r="O1999"/>
        </row>
        <row r="2000">
          <cell r="B2000"/>
          <cell r="C2000"/>
          <cell r="D2000"/>
          <cell r="E2000"/>
          <cell r="G2000"/>
          <cell r="I2000"/>
          <cell r="J2000"/>
          <cell r="K2000"/>
          <cell r="L2000"/>
          <cell r="N2000"/>
          <cell r="O2000"/>
        </row>
        <row r="2001">
          <cell r="B2001"/>
          <cell r="C2001"/>
          <cell r="D2001"/>
          <cell r="E2001"/>
          <cell r="G2001"/>
          <cell r="I2001"/>
          <cell r="J2001"/>
          <cell r="K2001"/>
          <cell r="L2001"/>
          <cell r="N2001"/>
          <cell r="O2001"/>
        </row>
        <row r="2002">
          <cell r="B2002"/>
          <cell r="C2002"/>
          <cell r="D2002"/>
          <cell r="E2002"/>
          <cell r="G2002"/>
          <cell r="I2002"/>
          <cell r="J2002"/>
          <cell r="K2002"/>
          <cell r="L2002"/>
          <cell r="N2002"/>
          <cell r="O2002"/>
        </row>
        <row r="2003">
          <cell r="B2003"/>
          <cell r="C2003"/>
          <cell r="D2003"/>
          <cell r="E2003"/>
          <cell r="G2003"/>
          <cell r="I2003"/>
          <cell r="J2003"/>
          <cell r="K2003"/>
          <cell r="L2003"/>
          <cell r="N2003"/>
          <cell r="O2003"/>
        </row>
        <row r="2004">
          <cell r="B2004"/>
          <cell r="C2004"/>
          <cell r="D2004"/>
          <cell r="E2004"/>
          <cell r="G2004"/>
          <cell r="I2004"/>
          <cell r="J2004"/>
          <cell r="K2004"/>
          <cell r="L2004"/>
          <cell r="N2004"/>
          <cell r="O2004"/>
        </row>
        <row r="2005">
          <cell r="B2005"/>
          <cell r="C2005"/>
          <cell r="D2005"/>
          <cell r="E2005"/>
          <cell r="G2005"/>
          <cell r="I2005"/>
          <cell r="J2005"/>
          <cell r="K2005"/>
          <cell r="L2005"/>
          <cell r="N2005"/>
          <cell r="O2005"/>
        </row>
        <row r="2006">
          <cell r="B2006"/>
          <cell r="C2006"/>
          <cell r="D2006"/>
          <cell r="E2006"/>
          <cell r="G2006"/>
          <cell r="I2006"/>
          <cell r="J2006"/>
          <cell r="K2006"/>
          <cell r="L2006"/>
          <cell r="N2006"/>
          <cell r="O2006"/>
        </row>
        <row r="2007">
          <cell r="B2007"/>
          <cell r="C2007"/>
          <cell r="D2007"/>
          <cell r="E2007"/>
          <cell r="G2007"/>
          <cell r="I2007"/>
          <cell r="J2007"/>
          <cell r="K2007"/>
          <cell r="L2007"/>
          <cell r="N2007"/>
          <cell r="O2007"/>
        </row>
        <row r="2008">
          <cell r="B2008"/>
          <cell r="C2008"/>
          <cell r="D2008"/>
          <cell r="E2008"/>
          <cell r="G2008"/>
          <cell r="I2008"/>
          <cell r="J2008"/>
          <cell r="K2008"/>
          <cell r="L2008"/>
          <cell r="N2008"/>
          <cell r="O2008"/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"/>
      <sheetName val="Bank1"/>
      <sheetName val="Bank2"/>
      <sheetName val="Bank3"/>
      <sheetName val="Bank4"/>
      <sheetName val="Bank5"/>
      <sheetName val="Bank6"/>
      <sheetName val="Bank7"/>
      <sheetName val="Bank8"/>
      <sheetName val="Bank9"/>
      <sheetName val="Bank10"/>
      <sheetName val="Summary"/>
      <sheetName val="Sync"/>
      <sheetName val="Calc"/>
      <sheetName val="Help"/>
    </sheetNames>
    <sheetDataSet>
      <sheetData sheetId="0">
        <row r="9">
          <cell r="C9" t="str">
            <v>1405/07/01</v>
          </cell>
          <cell r="D9" t="str">
            <v>08:30</v>
          </cell>
          <cell r="E9" t="str">
            <v>BANK01 – ملت — جاری شرکت</v>
          </cell>
          <cell r="G9" t="str">
            <v>C001</v>
          </cell>
          <cell r="K9" t="str">
            <v>فروش</v>
          </cell>
          <cell r="L9"/>
          <cell r="M9">
            <v>250000000</v>
          </cell>
          <cell r="N9"/>
          <cell r="R9" t="str">
            <v>واریز بابت خرید مرکبات (ردیف نمونه)</v>
          </cell>
        </row>
        <row r="10">
          <cell r="C10" t="str">
            <v>1405/07/01</v>
          </cell>
          <cell r="D10" t="str">
            <v>10:15</v>
          </cell>
          <cell r="E10" t="str">
            <v>BANK01 – ملت — جاری شرکت</v>
          </cell>
          <cell r="G10" t="str">
            <v>X001</v>
          </cell>
          <cell r="K10" t="str">
            <v>هزینه</v>
          </cell>
          <cell r="L10" t="str">
            <v>کارمزد بانکی</v>
          </cell>
          <cell r="M10"/>
          <cell r="N10">
            <v>1200000</v>
          </cell>
          <cell r="R10" t="str">
            <v>کارمزد بانکی (نمونه)</v>
          </cell>
        </row>
        <row r="11">
          <cell r="C11" t="str">
            <v>1405/07/02</v>
          </cell>
          <cell r="D11" t="str">
            <v>09:00</v>
          </cell>
          <cell r="E11" t="str">
            <v>BANK01 – ملت — جاری شرکت</v>
          </cell>
          <cell r="G11" t="str">
            <v>S002</v>
          </cell>
          <cell r="K11" t="str">
            <v>خرید</v>
          </cell>
          <cell r="L11"/>
          <cell r="M11"/>
          <cell r="N11">
            <v>80000000</v>
          </cell>
          <cell r="R11" t="str">
            <v>خرید پرتقال از میدان بار (نمونه)</v>
          </cell>
        </row>
        <row r="12">
          <cell r="C12" t="str">
            <v>1405/07/02</v>
          </cell>
          <cell r="D12" t="str">
            <v>12:45</v>
          </cell>
          <cell r="E12" t="str">
            <v>BANK02 – صادرات — جاری شرکت</v>
          </cell>
          <cell r="G12" t="str">
            <v>C002</v>
          </cell>
          <cell r="K12" t="str">
            <v>فروش</v>
          </cell>
          <cell r="L12"/>
          <cell r="M12">
            <v>90000000</v>
          </cell>
          <cell r="N12"/>
          <cell r="R12" t="str">
            <v>واریز مشتری — مغایرت عمدی برای نمایش × (نمونه)</v>
          </cell>
        </row>
        <row r="13">
          <cell r="C13" t="str">
            <v>1405/07/03</v>
          </cell>
          <cell r="D13" t="str">
            <v>11:20</v>
          </cell>
          <cell r="E13" t="str">
            <v>BANK02 – صادرات — جاری شرکت</v>
          </cell>
          <cell r="G13" t="str">
            <v>X003</v>
          </cell>
          <cell r="K13"/>
          <cell r="L13"/>
          <cell r="M13"/>
          <cell r="N13">
            <v>15000000</v>
          </cell>
          <cell r="R13" t="str">
            <v>برداشت نقدی به صندوق — بدون گروه (نمونه)</v>
          </cell>
        </row>
        <row r="14">
          <cell r="C14" t="str">
            <v>1405/07/01</v>
          </cell>
          <cell r="D14" t="str">
            <v>08:30</v>
          </cell>
          <cell r="E14" t="str">
            <v>BANK01 – ملت — جاری شرکت</v>
          </cell>
          <cell r="G14" t="str">
            <v>C001</v>
          </cell>
          <cell r="K14" t="str">
            <v>فروش</v>
          </cell>
          <cell r="L14"/>
          <cell r="M14">
            <v>250000000</v>
          </cell>
          <cell r="N14"/>
          <cell r="R14" t="str">
            <v>ردیف تکراری — اثر آن را بر ستون وضعیت ببینید (نمونه)</v>
          </cell>
        </row>
        <row r="15">
          <cell r="C15" t="str">
            <v>1405/07/04</v>
          </cell>
          <cell r="D15" t="str">
            <v>10:30</v>
          </cell>
          <cell r="E15" t="str">
            <v>BANK01 – ملت — جاری شرکت</v>
          </cell>
          <cell r="G15" t="str">
            <v>SL001</v>
          </cell>
          <cell r="K15" t="str">
            <v>فروش</v>
          </cell>
          <cell r="L15"/>
          <cell r="M15">
            <v>300000000</v>
          </cell>
          <cell r="N15"/>
          <cell r="R15" t="str">
            <v>واریز فروشنده SL001 (نمونه)</v>
          </cell>
        </row>
        <row r="16">
          <cell r="C16" t="str">
            <v>1405/07/09</v>
          </cell>
          <cell r="D16" t="str">
            <v>11:30</v>
          </cell>
          <cell r="E16" t="str">
            <v>BANK02 – صادرات — جاری شرکت</v>
          </cell>
          <cell r="G16" t="str">
            <v>SL002</v>
          </cell>
          <cell r="K16" t="str">
            <v>فروش</v>
          </cell>
          <cell r="L16"/>
          <cell r="M16">
            <v>1600000000</v>
          </cell>
          <cell r="N16"/>
          <cell r="R16" t="str">
            <v>تسویه فروشنده SL002 (نمونه)</v>
          </cell>
        </row>
        <row r="17">
          <cell r="C17" t="str">
            <v>1405/07/05</v>
          </cell>
          <cell r="D17" t="str">
            <v>13:00</v>
          </cell>
          <cell r="E17" t="str">
            <v>BANK01 – ملت — جاری شرکت</v>
          </cell>
          <cell r="G17" t="str">
            <v>E002</v>
          </cell>
          <cell r="K17" t="str">
            <v>هزینه</v>
          </cell>
          <cell r="L17" t="str">
            <v>دستمزد کارکنان</v>
          </cell>
          <cell r="M17"/>
          <cell r="N17">
            <v>25000000</v>
          </cell>
          <cell r="R17" t="str">
            <v>دستمزد هفتگی (نمونه)</v>
          </cell>
        </row>
        <row r="18">
          <cell r="C18" t="str">
            <v>1405/07/06</v>
          </cell>
          <cell r="D18" t="str">
            <v>16:30</v>
          </cell>
          <cell r="E18" t="str">
            <v>BANK02 – صادرات — جاری شرکت</v>
          </cell>
          <cell r="G18" t="str">
            <v>S002</v>
          </cell>
          <cell r="K18" t="str">
            <v>هزینه</v>
          </cell>
          <cell r="L18" t="str">
            <v>رنگ و واکس</v>
          </cell>
          <cell r="M18"/>
          <cell r="N18">
            <v>4500000</v>
          </cell>
          <cell r="R18" t="str">
            <v>خرید رنگ و واکس بسته‌بندی (نمونه)</v>
          </cell>
        </row>
        <row r="19">
          <cell r="C19" t="str">
            <v>1405/07/07</v>
          </cell>
          <cell r="D19" t="str">
            <v>09:15</v>
          </cell>
          <cell r="E19" t="str">
            <v>BANK01 – ملت — جاری شرکت</v>
          </cell>
          <cell r="G19" t="str">
            <v>E003</v>
          </cell>
          <cell r="K19" t="str">
            <v>هزینه</v>
          </cell>
          <cell r="L19" t="str">
            <v>مواد غذایی</v>
          </cell>
          <cell r="M19"/>
          <cell r="N19">
            <v>8000000</v>
          </cell>
          <cell r="R19" t="str">
            <v>خوراک سالن (نمونه)</v>
          </cell>
        </row>
        <row r="20">
          <cell r="C20" t="str">
            <v>1405/07/08</v>
          </cell>
          <cell r="D20" t="str">
            <v>12:00</v>
          </cell>
          <cell r="E20" t="str">
            <v>BANK01 – ملت — جاری شرکت</v>
          </cell>
          <cell r="G20" t="str">
            <v>E001</v>
          </cell>
          <cell r="K20" t="str">
            <v>شخصی قاسم</v>
          </cell>
          <cell r="L20"/>
          <cell r="M20"/>
          <cell r="N20">
            <v>20000000</v>
          </cell>
          <cell r="R20" t="str">
            <v>برداشت شخصی مدیریت (نمونه)</v>
          </cell>
        </row>
        <row r="21">
          <cell r="C21" t="str">
            <v>1405/07/07</v>
          </cell>
          <cell r="D21" t="str">
            <v>10:00</v>
          </cell>
          <cell r="E21" t="str">
            <v>BANK01 – ملت — جاری شرکت</v>
          </cell>
          <cell r="G21" t="str">
            <v>S001</v>
          </cell>
          <cell r="K21" t="str">
            <v>خرید</v>
          </cell>
          <cell r="L21"/>
          <cell r="M21"/>
          <cell r="N21">
            <v>15000000</v>
          </cell>
          <cell r="R21" t="str">
            <v>پیش‌پرداخت باغ آقای رستمی (نمونه)</v>
          </cell>
        </row>
        <row r="22">
          <cell r="C22" t="str">
            <v>1405/07/15</v>
          </cell>
          <cell r="D22" t="str">
            <v>09:00</v>
          </cell>
          <cell r="E22" t="str">
            <v>BANK01 – ملت — جاری شرکت</v>
          </cell>
          <cell r="G22" t="str">
            <v>S001</v>
          </cell>
          <cell r="K22"/>
          <cell r="L22"/>
          <cell r="M22"/>
          <cell r="N22">
            <v>80000000</v>
          </cell>
          <cell r="R22" t="str">
            <v>پاس شدن چک ۲۴۰۱۲۳۴۵ — تسویه خرید باغ (نمونه)</v>
          </cell>
        </row>
        <row r="23">
          <cell r="C23" t="str">
            <v>1405/07/11</v>
          </cell>
          <cell r="D23" t="str">
            <v>10:00</v>
          </cell>
          <cell r="E23" t="str">
            <v>BANK01 – ملت — جاری شرکت</v>
          </cell>
          <cell r="G23" t="str">
            <v>CAP001</v>
          </cell>
          <cell r="K23" t="str">
            <v>سرمایه و آورده</v>
          </cell>
          <cell r="L23" t="str">
            <v>سرمایه اولیه و آورده نقدی</v>
          </cell>
          <cell r="M23">
            <v>400000000</v>
          </cell>
          <cell r="N23"/>
          <cell r="R23" t="str">
            <v>فروش زمین شخصی و آورده نقدی صاحب سرمایه (نمونه)</v>
          </cell>
        </row>
        <row r="24">
          <cell r="C24" t="str">
            <v>1405/07/12</v>
          </cell>
          <cell r="D24" t="str">
            <v>09:30</v>
          </cell>
          <cell r="E24" t="str">
            <v>BANK02 – صادرات — جاری شرکت</v>
          </cell>
          <cell r="G24" t="str">
            <v>L001</v>
          </cell>
          <cell r="K24" t="str">
            <v>وام و تسهیلات</v>
          </cell>
          <cell r="L24"/>
          <cell r="M24">
            <v>200000000</v>
          </cell>
          <cell r="N24"/>
          <cell r="R24" t="str">
            <v>دریافت وام بانک ملت (نمونه)</v>
          </cell>
        </row>
        <row r="25">
          <cell r="C25" t="str">
            <v>1405/07/16</v>
          </cell>
          <cell r="D25" t="str">
            <v>10:00</v>
          </cell>
          <cell r="E25" t="str">
            <v>BANK02 – صادرات — جاری شرکت</v>
          </cell>
          <cell r="G25" t="str">
            <v>L001</v>
          </cell>
          <cell r="K25" t="str">
            <v>وام و تسهیلات</v>
          </cell>
          <cell r="L25"/>
          <cell r="M25"/>
          <cell r="N25">
            <v>20000000</v>
          </cell>
          <cell r="R25" t="str">
            <v>پرداخت قسط وام — اصل (نمونه)</v>
          </cell>
        </row>
        <row r="26">
          <cell r="C26" t="str">
            <v>1405/07/16</v>
          </cell>
          <cell r="D26" t="str">
            <v>10:05</v>
          </cell>
          <cell r="E26" t="str">
            <v>BANK01 – ملت — جاری شرکت</v>
          </cell>
          <cell r="G26" t="str">
            <v>L001</v>
          </cell>
          <cell r="K26" t="str">
            <v>هزینه</v>
          </cell>
          <cell r="L26" t="str">
            <v>بهره و کارمزد وام</v>
          </cell>
          <cell r="M26"/>
          <cell r="N26">
            <v>2000000</v>
          </cell>
          <cell r="R26" t="str">
            <v>بهره و کارمزد اقساط وام — گروه هزینه (نمونه)</v>
          </cell>
        </row>
        <row r="27">
          <cell r="C27" t="str">
            <v>1405/07/18</v>
          </cell>
          <cell r="D27" t="str">
            <v>11:00</v>
          </cell>
          <cell r="E27" t="str">
            <v>BANK01 – ملت — جاری شرکت</v>
          </cell>
          <cell r="G27" t="str">
            <v>F002</v>
          </cell>
          <cell r="K27" t="str">
            <v>دارایی ثابت</v>
          </cell>
          <cell r="L27"/>
          <cell r="M27"/>
          <cell r="N27">
            <v>150000000</v>
          </cell>
          <cell r="R27" t="str">
            <v>خرید خودرو وانت حمل بار — دارایی ثابت شرکت (نمونه)</v>
          </cell>
        </row>
        <row r="28">
          <cell r="C28" t="str">
            <v>1405/07/15</v>
          </cell>
          <cell r="D28" t="str">
            <v>10:30</v>
          </cell>
          <cell r="E28" t="str">
            <v>BANK01 – ملت — جاری شرکت</v>
          </cell>
          <cell r="G28" t="str">
            <v>S004</v>
          </cell>
          <cell r="K28" t="str">
            <v>خرید</v>
          </cell>
          <cell r="L28"/>
          <cell r="M28"/>
          <cell r="N28">
            <v>25000000</v>
          </cell>
          <cell r="R28" t="str">
            <v>پرداخت بابت سبد خریداری‌شده — تسویه فایل Baskets.xlsx (نمونه)</v>
          </cell>
        </row>
        <row r="29">
          <cell r="C29" t="str">
            <v>1405/07/20</v>
          </cell>
          <cell r="D29" t="str">
            <v>12:00</v>
          </cell>
          <cell r="E29" t="str">
            <v>BANK01 – ملت — جاری شرکت</v>
          </cell>
          <cell r="G29" t="str">
            <v>C099</v>
          </cell>
          <cell r="K29" t="str">
            <v>فروش</v>
          </cell>
          <cell r="L29"/>
          <cell r="M29">
            <v>5000000</v>
          </cell>
          <cell r="N29"/>
          <cell r="R29" t="str">
            <v>مشتری جدید — هنوز در INFO تعریف نشده (نمونه برای شیت کنترل)</v>
          </cell>
        </row>
        <row r="30">
          <cell r="C30" t="str">
            <v>1405/07/21</v>
          </cell>
          <cell r="D30" t="str">
            <v>09:40</v>
          </cell>
          <cell r="E30" t="str">
            <v>BANK01 – ملت — جاری شرکت</v>
          </cell>
          <cell r="G30" t="str">
            <v>X003</v>
          </cell>
          <cell r="K30" t="str">
            <v>هزینه</v>
          </cell>
          <cell r="L30"/>
          <cell r="M30"/>
          <cell r="N30">
            <v>3000000</v>
          </cell>
          <cell r="R30" t="str">
            <v>هزینه بدون زیرگروه — برای نمایش در شیت کنترل (نمونه)</v>
          </cell>
        </row>
        <row r="31">
          <cell r="C31"/>
          <cell r="D31"/>
          <cell r="E31"/>
          <cell r="G31"/>
          <cell r="K31"/>
          <cell r="L31"/>
          <cell r="M31"/>
          <cell r="N31"/>
          <cell r="R31"/>
        </row>
        <row r="32">
          <cell r="C32"/>
          <cell r="D32"/>
          <cell r="E32"/>
          <cell r="G32"/>
          <cell r="K32"/>
          <cell r="L32"/>
          <cell r="M32"/>
          <cell r="N32"/>
          <cell r="R32"/>
        </row>
        <row r="33">
          <cell r="C33"/>
          <cell r="D33"/>
          <cell r="E33"/>
          <cell r="G33"/>
          <cell r="K33"/>
          <cell r="L33"/>
          <cell r="M33"/>
          <cell r="N33"/>
          <cell r="R33"/>
        </row>
        <row r="34">
          <cell r="C34"/>
          <cell r="D34"/>
          <cell r="E34"/>
          <cell r="G34"/>
          <cell r="K34"/>
          <cell r="L34"/>
          <cell r="M34"/>
          <cell r="N34"/>
          <cell r="R34"/>
        </row>
        <row r="35">
          <cell r="C35"/>
          <cell r="D35"/>
          <cell r="E35"/>
          <cell r="G35"/>
          <cell r="K35"/>
          <cell r="L35"/>
          <cell r="M35"/>
          <cell r="N35"/>
          <cell r="R35"/>
        </row>
        <row r="36">
          <cell r="C36"/>
          <cell r="D36"/>
          <cell r="E36"/>
          <cell r="G36"/>
          <cell r="K36"/>
          <cell r="L36"/>
          <cell r="M36"/>
          <cell r="N36"/>
          <cell r="R36"/>
        </row>
        <row r="37">
          <cell r="C37"/>
          <cell r="D37"/>
          <cell r="E37"/>
          <cell r="G37"/>
          <cell r="K37"/>
          <cell r="L37"/>
          <cell r="M37"/>
          <cell r="N37"/>
          <cell r="R37"/>
        </row>
        <row r="38">
          <cell r="C38"/>
          <cell r="D38"/>
          <cell r="E38"/>
          <cell r="G38"/>
          <cell r="K38"/>
          <cell r="L38"/>
          <cell r="M38"/>
          <cell r="N38"/>
          <cell r="R38"/>
        </row>
        <row r="39">
          <cell r="C39"/>
          <cell r="D39"/>
          <cell r="E39"/>
          <cell r="G39"/>
          <cell r="K39"/>
          <cell r="L39"/>
          <cell r="M39"/>
          <cell r="N39"/>
          <cell r="R39"/>
        </row>
        <row r="40">
          <cell r="C40"/>
          <cell r="D40"/>
          <cell r="E40"/>
          <cell r="G40"/>
          <cell r="K40"/>
          <cell r="L40"/>
          <cell r="M40"/>
          <cell r="N40"/>
          <cell r="R40"/>
        </row>
        <row r="41">
          <cell r="C41"/>
          <cell r="D41"/>
          <cell r="E41"/>
          <cell r="G41"/>
          <cell r="K41"/>
          <cell r="L41"/>
          <cell r="M41"/>
          <cell r="N41"/>
          <cell r="R41"/>
        </row>
        <row r="42">
          <cell r="C42"/>
          <cell r="D42"/>
          <cell r="E42"/>
          <cell r="G42"/>
          <cell r="K42"/>
          <cell r="L42"/>
          <cell r="M42"/>
          <cell r="N42"/>
          <cell r="R42"/>
        </row>
        <row r="43">
          <cell r="C43"/>
          <cell r="D43"/>
          <cell r="E43"/>
          <cell r="G43"/>
          <cell r="K43"/>
          <cell r="L43"/>
          <cell r="M43"/>
          <cell r="N43"/>
          <cell r="R43"/>
        </row>
        <row r="44">
          <cell r="C44"/>
          <cell r="D44"/>
          <cell r="E44"/>
          <cell r="G44"/>
          <cell r="K44"/>
          <cell r="L44"/>
          <cell r="M44"/>
          <cell r="N44"/>
          <cell r="R44"/>
        </row>
        <row r="45">
          <cell r="C45"/>
          <cell r="D45"/>
          <cell r="E45"/>
          <cell r="G45"/>
          <cell r="K45"/>
          <cell r="L45"/>
          <cell r="M45"/>
          <cell r="N45"/>
          <cell r="R45"/>
        </row>
        <row r="46">
          <cell r="C46"/>
          <cell r="D46"/>
          <cell r="E46"/>
          <cell r="G46"/>
          <cell r="K46"/>
          <cell r="L46"/>
          <cell r="M46"/>
          <cell r="N46"/>
          <cell r="R46"/>
        </row>
        <row r="47">
          <cell r="C47"/>
          <cell r="D47"/>
          <cell r="E47"/>
          <cell r="G47"/>
          <cell r="K47"/>
          <cell r="L47"/>
          <cell r="M47"/>
          <cell r="N47"/>
          <cell r="R47"/>
        </row>
        <row r="48">
          <cell r="C48"/>
          <cell r="D48"/>
          <cell r="E48"/>
          <cell r="G48"/>
          <cell r="K48"/>
          <cell r="L48"/>
          <cell r="M48"/>
          <cell r="N48"/>
          <cell r="R48"/>
        </row>
        <row r="49">
          <cell r="C49"/>
          <cell r="D49"/>
          <cell r="E49"/>
          <cell r="G49"/>
          <cell r="K49"/>
          <cell r="L49"/>
          <cell r="M49"/>
          <cell r="N49"/>
          <cell r="R49"/>
        </row>
        <row r="50">
          <cell r="C50"/>
          <cell r="D50"/>
          <cell r="E50"/>
          <cell r="G50"/>
          <cell r="K50"/>
          <cell r="L50"/>
          <cell r="M50"/>
          <cell r="N50"/>
          <cell r="R50"/>
        </row>
        <row r="51">
          <cell r="C51"/>
          <cell r="D51"/>
          <cell r="E51"/>
          <cell r="G51"/>
          <cell r="K51"/>
          <cell r="L51"/>
          <cell r="M51"/>
          <cell r="N51"/>
          <cell r="R51"/>
        </row>
        <row r="52">
          <cell r="C52"/>
          <cell r="D52"/>
          <cell r="E52"/>
          <cell r="G52"/>
          <cell r="K52"/>
          <cell r="L52"/>
          <cell r="M52"/>
          <cell r="N52"/>
          <cell r="R52"/>
        </row>
        <row r="53">
          <cell r="C53"/>
          <cell r="D53"/>
          <cell r="E53"/>
          <cell r="G53"/>
          <cell r="K53"/>
          <cell r="L53"/>
          <cell r="M53"/>
          <cell r="N53"/>
          <cell r="R53"/>
        </row>
        <row r="54">
          <cell r="C54"/>
          <cell r="D54"/>
          <cell r="E54"/>
          <cell r="G54"/>
          <cell r="K54"/>
          <cell r="L54"/>
          <cell r="M54"/>
          <cell r="N54"/>
          <cell r="R54"/>
        </row>
        <row r="55">
          <cell r="C55"/>
          <cell r="D55"/>
          <cell r="E55"/>
          <cell r="G55"/>
          <cell r="K55"/>
          <cell r="L55"/>
          <cell r="M55"/>
          <cell r="N55"/>
          <cell r="R55"/>
        </row>
        <row r="56">
          <cell r="C56"/>
          <cell r="D56"/>
          <cell r="E56"/>
          <cell r="G56"/>
          <cell r="K56"/>
          <cell r="L56"/>
          <cell r="M56"/>
          <cell r="N56"/>
          <cell r="R56"/>
        </row>
        <row r="57">
          <cell r="C57"/>
          <cell r="D57"/>
          <cell r="E57"/>
          <cell r="G57"/>
          <cell r="K57"/>
          <cell r="L57"/>
          <cell r="M57"/>
          <cell r="N57"/>
          <cell r="R57"/>
        </row>
        <row r="58">
          <cell r="C58"/>
          <cell r="D58"/>
          <cell r="E58"/>
          <cell r="G58"/>
          <cell r="K58"/>
          <cell r="L58"/>
          <cell r="M58"/>
          <cell r="N58"/>
          <cell r="R58"/>
        </row>
        <row r="59">
          <cell r="C59"/>
          <cell r="D59"/>
          <cell r="E59"/>
          <cell r="G59"/>
          <cell r="K59"/>
          <cell r="L59"/>
          <cell r="M59"/>
          <cell r="N59"/>
          <cell r="R59"/>
        </row>
        <row r="60">
          <cell r="C60"/>
          <cell r="D60"/>
          <cell r="E60"/>
          <cell r="G60"/>
          <cell r="K60"/>
          <cell r="L60"/>
          <cell r="M60"/>
          <cell r="N60"/>
          <cell r="R60"/>
        </row>
        <row r="61">
          <cell r="C61"/>
          <cell r="D61"/>
          <cell r="E61"/>
          <cell r="G61"/>
          <cell r="K61"/>
          <cell r="L61"/>
          <cell r="M61"/>
          <cell r="N61"/>
          <cell r="R61"/>
        </row>
        <row r="62">
          <cell r="C62"/>
          <cell r="D62"/>
          <cell r="E62"/>
          <cell r="G62"/>
          <cell r="K62"/>
          <cell r="L62"/>
          <cell r="M62"/>
          <cell r="N62"/>
          <cell r="R62"/>
        </row>
        <row r="63">
          <cell r="C63"/>
          <cell r="D63"/>
          <cell r="E63"/>
          <cell r="G63"/>
          <cell r="K63"/>
          <cell r="L63"/>
          <cell r="M63"/>
          <cell r="N63"/>
          <cell r="R63"/>
        </row>
        <row r="64">
          <cell r="C64"/>
          <cell r="D64"/>
          <cell r="E64"/>
          <cell r="G64"/>
          <cell r="K64"/>
          <cell r="L64"/>
          <cell r="M64"/>
          <cell r="N64"/>
          <cell r="R64"/>
        </row>
        <row r="65">
          <cell r="C65"/>
          <cell r="D65"/>
          <cell r="E65"/>
          <cell r="G65"/>
          <cell r="K65"/>
          <cell r="L65"/>
          <cell r="M65"/>
          <cell r="N65"/>
          <cell r="R65"/>
        </row>
        <row r="66">
          <cell r="C66"/>
          <cell r="D66"/>
          <cell r="E66"/>
          <cell r="G66"/>
          <cell r="K66"/>
          <cell r="L66"/>
          <cell r="M66"/>
          <cell r="N66"/>
          <cell r="R66"/>
        </row>
        <row r="67">
          <cell r="C67"/>
          <cell r="D67"/>
          <cell r="E67"/>
          <cell r="G67"/>
          <cell r="K67"/>
          <cell r="L67"/>
          <cell r="M67"/>
          <cell r="N67"/>
          <cell r="R67"/>
        </row>
        <row r="68">
          <cell r="C68"/>
          <cell r="D68"/>
          <cell r="E68"/>
          <cell r="G68"/>
          <cell r="K68"/>
          <cell r="L68"/>
          <cell r="M68"/>
          <cell r="N68"/>
          <cell r="R68"/>
        </row>
        <row r="69">
          <cell r="C69"/>
          <cell r="D69"/>
          <cell r="E69"/>
          <cell r="G69"/>
          <cell r="K69"/>
          <cell r="L69"/>
          <cell r="M69"/>
          <cell r="N69"/>
          <cell r="R69"/>
        </row>
        <row r="70">
          <cell r="C70"/>
          <cell r="D70"/>
          <cell r="E70"/>
          <cell r="G70"/>
          <cell r="K70"/>
          <cell r="L70"/>
          <cell r="M70"/>
          <cell r="N70"/>
          <cell r="R70"/>
        </row>
        <row r="71">
          <cell r="C71"/>
          <cell r="D71"/>
          <cell r="E71"/>
          <cell r="G71"/>
          <cell r="K71"/>
          <cell r="L71"/>
          <cell r="M71"/>
          <cell r="N71"/>
          <cell r="R71"/>
        </row>
        <row r="72">
          <cell r="C72"/>
          <cell r="D72"/>
          <cell r="E72"/>
          <cell r="G72"/>
          <cell r="K72"/>
          <cell r="L72"/>
          <cell r="M72"/>
          <cell r="N72"/>
          <cell r="R72"/>
        </row>
        <row r="73">
          <cell r="C73"/>
          <cell r="D73"/>
          <cell r="E73"/>
          <cell r="G73"/>
          <cell r="K73"/>
          <cell r="L73"/>
          <cell r="M73"/>
          <cell r="N73"/>
          <cell r="R73"/>
        </row>
        <row r="74">
          <cell r="C74"/>
          <cell r="D74"/>
          <cell r="E74"/>
          <cell r="G74"/>
          <cell r="K74"/>
          <cell r="L74"/>
          <cell r="M74"/>
          <cell r="N74"/>
          <cell r="R74"/>
        </row>
        <row r="75">
          <cell r="C75"/>
          <cell r="D75"/>
          <cell r="E75"/>
          <cell r="G75"/>
          <cell r="K75"/>
          <cell r="L75"/>
          <cell r="M75"/>
          <cell r="N75"/>
          <cell r="R75"/>
        </row>
        <row r="76">
          <cell r="C76"/>
          <cell r="D76"/>
          <cell r="E76"/>
          <cell r="G76"/>
          <cell r="K76"/>
          <cell r="L76"/>
          <cell r="M76"/>
          <cell r="N76"/>
          <cell r="R76"/>
        </row>
        <row r="77">
          <cell r="C77"/>
          <cell r="D77"/>
          <cell r="E77"/>
          <cell r="G77"/>
          <cell r="K77"/>
          <cell r="L77"/>
          <cell r="M77"/>
          <cell r="N77"/>
          <cell r="R77"/>
        </row>
        <row r="78">
          <cell r="C78"/>
          <cell r="D78"/>
          <cell r="E78"/>
          <cell r="G78"/>
          <cell r="K78"/>
          <cell r="L78"/>
          <cell r="M78"/>
          <cell r="N78"/>
          <cell r="R78"/>
        </row>
        <row r="79">
          <cell r="C79"/>
          <cell r="D79"/>
          <cell r="E79"/>
          <cell r="G79"/>
          <cell r="K79"/>
          <cell r="L79"/>
          <cell r="M79"/>
          <cell r="N79"/>
          <cell r="R79"/>
        </row>
        <row r="80">
          <cell r="C80"/>
          <cell r="D80"/>
          <cell r="E80"/>
          <cell r="G80"/>
          <cell r="K80"/>
          <cell r="L80"/>
          <cell r="M80"/>
          <cell r="N80"/>
          <cell r="R80"/>
        </row>
        <row r="81">
          <cell r="C81"/>
          <cell r="D81"/>
          <cell r="E81"/>
          <cell r="G81"/>
          <cell r="K81"/>
          <cell r="L81"/>
          <cell r="M81"/>
          <cell r="N81"/>
          <cell r="R81"/>
        </row>
        <row r="82">
          <cell r="C82"/>
          <cell r="D82"/>
          <cell r="E82"/>
          <cell r="G82"/>
          <cell r="K82"/>
          <cell r="L82"/>
          <cell r="M82"/>
          <cell r="N82"/>
          <cell r="R82"/>
        </row>
        <row r="83">
          <cell r="C83"/>
          <cell r="D83"/>
          <cell r="E83"/>
          <cell r="G83"/>
          <cell r="K83"/>
          <cell r="L83"/>
          <cell r="M83"/>
          <cell r="N83"/>
          <cell r="R83"/>
        </row>
        <row r="84">
          <cell r="C84"/>
          <cell r="D84"/>
          <cell r="E84"/>
          <cell r="G84"/>
          <cell r="K84"/>
          <cell r="L84"/>
          <cell r="M84"/>
          <cell r="N84"/>
          <cell r="R84"/>
        </row>
        <row r="85">
          <cell r="C85"/>
          <cell r="D85"/>
          <cell r="E85"/>
          <cell r="G85"/>
          <cell r="K85"/>
          <cell r="L85"/>
          <cell r="M85"/>
          <cell r="N85"/>
          <cell r="R85"/>
        </row>
        <row r="86">
          <cell r="C86"/>
          <cell r="D86"/>
          <cell r="E86"/>
          <cell r="G86"/>
          <cell r="K86"/>
          <cell r="L86"/>
          <cell r="M86"/>
          <cell r="N86"/>
          <cell r="R86"/>
        </row>
        <row r="87">
          <cell r="C87"/>
          <cell r="D87"/>
          <cell r="E87"/>
          <cell r="G87"/>
          <cell r="K87"/>
          <cell r="L87"/>
          <cell r="M87"/>
          <cell r="N87"/>
          <cell r="R87"/>
        </row>
        <row r="88">
          <cell r="C88"/>
          <cell r="D88"/>
          <cell r="E88"/>
          <cell r="G88"/>
          <cell r="K88"/>
          <cell r="L88"/>
          <cell r="M88"/>
          <cell r="N88"/>
          <cell r="R88"/>
        </row>
        <row r="89">
          <cell r="C89"/>
          <cell r="D89"/>
          <cell r="E89"/>
          <cell r="G89"/>
          <cell r="K89"/>
          <cell r="L89"/>
          <cell r="M89"/>
          <cell r="N89"/>
          <cell r="R89"/>
        </row>
        <row r="90">
          <cell r="C90"/>
          <cell r="D90"/>
          <cell r="E90"/>
          <cell r="G90"/>
          <cell r="K90"/>
          <cell r="L90"/>
          <cell r="M90"/>
          <cell r="N90"/>
          <cell r="R90"/>
        </row>
        <row r="91">
          <cell r="C91"/>
          <cell r="D91"/>
          <cell r="E91"/>
          <cell r="G91"/>
          <cell r="K91"/>
          <cell r="L91"/>
          <cell r="M91"/>
          <cell r="N91"/>
          <cell r="R91"/>
        </row>
        <row r="92">
          <cell r="C92"/>
          <cell r="D92"/>
          <cell r="E92"/>
          <cell r="G92"/>
          <cell r="K92"/>
          <cell r="L92"/>
          <cell r="M92"/>
          <cell r="N92"/>
          <cell r="R92"/>
        </row>
        <row r="93">
          <cell r="C93"/>
          <cell r="D93"/>
          <cell r="E93"/>
          <cell r="G93"/>
          <cell r="K93"/>
          <cell r="L93"/>
          <cell r="M93"/>
          <cell r="N93"/>
          <cell r="R93"/>
        </row>
        <row r="94">
          <cell r="C94"/>
          <cell r="D94"/>
          <cell r="E94"/>
          <cell r="G94"/>
          <cell r="K94"/>
          <cell r="L94"/>
          <cell r="M94"/>
          <cell r="N94"/>
          <cell r="R94"/>
        </row>
        <row r="95">
          <cell r="C95"/>
          <cell r="D95"/>
          <cell r="E95"/>
          <cell r="G95"/>
          <cell r="K95"/>
          <cell r="L95"/>
          <cell r="M95"/>
          <cell r="N95"/>
          <cell r="R95"/>
        </row>
        <row r="96">
          <cell r="C96"/>
          <cell r="D96"/>
          <cell r="E96"/>
          <cell r="G96"/>
          <cell r="K96"/>
          <cell r="L96"/>
          <cell r="M96"/>
          <cell r="N96"/>
          <cell r="R96"/>
        </row>
        <row r="97">
          <cell r="C97"/>
          <cell r="D97"/>
          <cell r="E97"/>
          <cell r="G97"/>
          <cell r="K97"/>
          <cell r="L97"/>
          <cell r="M97"/>
          <cell r="N97"/>
          <cell r="R97"/>
        </row>
        <row r="98">
          <cell r="C98"/>
          <cell r="D98"/>
          <cell r="E98"/>
          <cell r="G98"/>
          <cell r="K98"/>
          <cell r="L98"/>
          <cell r="M98"/>
          <cell r="N98"/>
          <cell r="R98"/>
        </row>
        <row r="99">
          <cell r="C99"/>
          <cell r="D99"/>
          <cell r="E99"/>
          <cell r="G99"/>
          <cell r="K99"/>
          <cell r="L99"/>
          <cell r="M99"/>
          <cell r="N99"/>
          <cell r="R99"/>
        </row>
        <row r="100">
          <cell r="C100"/>
          <cell r="D100"/>
          <cell r="E100"/>
          <cell r="G100"/>
          <cell r="K100"/>
          <cell r="L100"/>
          <cell r="M100"/>
          <cell r="N100"/>
          <cell r="R100"/>
        </row>
        <row r="101">
          <cell r="C101"/>
          <cell r="D101"/>
          <cell r="E101"/>
          <cell r="G101"/>
          <cell r="K101"/>
          <cell r="L101"/>
          <cell r="M101"/>
          <cell r="N101"/>
          <cell r="R101"/>
        </row>
        <row r="102">
          <cell r="C102"/>
          <cell r="D102"/>
          <cell r="E102"/>
          <cell r="G102"/>
          <cell r="K102"/>
          <cell r="L102"/>
          <cell r="M102"/>
          <cell r="N102"/>
          <cell r="R102"/>
        </row>
        <row r="103">
          <cell r="C103"/>
          <cell r="D103"/>
          <cell r="E103"/>
          <cell r="G103"/>
          <cell r="K103"/>
          <cell r="L103"/>
          <cell r="M103"/>
          <cell r="N103"/>
          <cell r="R103"/>
        </row>
        <row r="104">
          <cell r="C104"/>
          <cell r="D104"/>
          <cell r="E104"/>
          <cell r="G104"/>
          <cell r="K104"/>
          <cell r="L104"/>
          <cell r="M104"/>
          <cell r="N104"/>
          <cell r="R104"/>
        </row>
        <row r="105">
          <cell r="C105"/>
          <cell r="D105"/>
          <cell r="E105"/>
          <cell r="G105"/>
          <cell r="K105"/>
          <cell r="L105"/>
          <cell r="M105"/>
          <cell r="N105"/>
          <cell r="R105"/>
        </row>
        <row r="106">
          <cell r="C106"/>
          <cell r="D106"/>
          <cell r="E106"/>
          <cell r="G106"/>
          <cell r="K106"/>
          <cell r="L106"/>
          <cell r="M106"/>
          <cell r="N106"/>
          <cell r="R106"/>
        </row>
        <row r="107">
          <cell r="C107"/>
          <cell r="D107"/>
          <cell r="E107"/>
          <cell r="G107"/>
          <cell r="K107"/>
          <cell r="L107"/>
          <cell r="M107"/>
          <cell r="N107"/>
          <cell r="R107"/>
        </row>
        <row r="108">
          <cell r="C108"/>
          <cell r="D108"/>
          <cell r="E108"/>
          <cell r="G108"/>
          <cell r="K108"/>
          <cell r="L108"/>
          <cell r="M108"/>
          <cell r="N108"/>
          <cell r="R108"/>
        </row>
        <row r="109">
          <cell r="C109"/>
          <cell r="D109"/>
          <cell r="E109"/>
          <cell r="G109"/>
          <cell r="K109"/>
          <cell r="L109"/>
          <cell r="M109"/>
          <cell r="N109"/>
          <cell r="R109"/>
        </row>
        <row r="110">
          <cell r="C110"/>
          <cell r="D110"/>
          <cell r="E110"/>
          <cell r="G110"/>
          <cell r="K110"/>
          <cell r="L110"/>
          <cell r="M110"/>
          <cell r="N110"/>
          <cell r="R110"/>
        </row>
        <row r="111">
          <cell r="C111"/>
          <cell r="D111"/>
          <cell r="E111"/>
          <cell r="G111"/>
          <cell r="K111"/>
          <cell r="L111"/>
          <cell r="M111"/>
          <cell r="N111"/>
          <cell r="R111"/>
        </row>
        <row r="112">
          <cell r="C112"/>
          <cell r="D112"/>
          <cell r="E112"/>
          <cell r="G112"/>
          <cell r="K112"/>
          <cell r="L112"/>
          <cell r="M112"/>
          <cell r="N112"/>
          <cell r="R112"/>
        </row>
        <row r="113">
          <cell r="C113"/>
          <cell r="D113"/>
          <cell r="E113"/>
          <cell r="G113"/>
          <cell r="K113"/>
          <cell r="L113"/>
          <cell r="M113"/>
          <cell r="N113"/>
          <cell r="R113"/>
        </row>
        <row r="114">
          <cell r="C114"/>
          <cell r="D114"/>
          <cell r="E114"/>
          <cell r="G114"/>
          <cell r="K114"/>
          <cell r="L114"/>
          <cell r="M114"/>
          <cell r="N114"/>
          <cell r="R114"/>
        </row>
        <row r="115">
          <cell r="C115"/>
          <cell r="D115"/>
          <cell r="E115"/>
          <cell r="G115"/>
          <cell r="K115"/>
          <cell r="L115"/>
          <cell r="M115"/>
          <cell r="N115"/>
          <cell r="R115"/>
        </row>
        <row r="116">
          <cell r="C116"/>
          <cell r="D116"/>
          <cell r="E116"/>
          <cell r="G116"/>
          <cell r="K116"/>
          <cell r="L116"/>
          <cell r="M116"/>
          <cell r="N116"/>
          <cell r="R116"/>
        </row>
        <row r="117">
          <cell r="C117"/>
          <cell r="D117"/>
          <cell r="E117"/>
          <cell r="G117"/>
          <cell r="K117"/>
          <cell r="L117"/>
          <cell r="M117"/>
          <cell r="N117"/>
          <cell r="R117"/>
        </row>
        <row r="118">
          <cell r="C118"/>
          <cell r="D118"/>
          <cell r="E118"/>
          <cell r="G118"/>
          <cell r="K118"/>
          <cell r="L118"/>
          <cell r="M118"/>
          <cell r="N118"/>
          <cell r="R118"/>
        </row>
        <row r="119">
          <cell r="C119"/>
          <cell r="D119"/>
          <cell r="E119"/>
          <cell r="G119"/>
          <cell r="K119"/>
          <cell r="L119"/>
          <cell r="M119"/>
          <cell r="N119"/>
          <cell r="R119"/>
        </row>
        <row r="120">
          <cell r="C120"/>
          <cell r="D120"/>
          <cell r="E120"/>
          <cell r="G120"/>
          <cell r="K120"/>
          <cell r="L120"/>
          <cell r="M120"/>
          <cell r="N120"/>
          <cell r="R120"/>
        </row>
        <row r="121">
          <cell r="C121"/>
          <cell r="D121"/>
          <cell r="E121"/>
          <cell r="G121"/>
          <cell r="K121"/>
          <cell r="L121"/>
          <cell r="M121"/>
          <cell r="N121"/>
          <cell r="R121"/>
        </row>
        <row r="122">
          <cell r="C122"/>
          <cell r="D122"/>
          <cell r="E122"/>
          <cell r="G122"/>
          <cell r="K122"/>
          <cell r="L122"/>
          <cell r="M122"/>
          <cell r="N122"/>
          <cell r="R122"/>
        </row>
        <row r="123">
          <cell r="C123"/>
          <cell r="D123"/>
          <cell r="E123"/>
          <cell r="G123"/>
          <cell r="K123"/>
          <cell r="L123"/>
          <cell r="M123"/>
          <cell r="N123"/>
          <cell r="R123"/>
        </row>
        <row r="124">
          <cell r="C124"/>
          <cell r="D124"/>
          <cell r="E124"/>
          <cell r="G124"/>
          <cell r="K124"/>
          <cell r="L124"/>
          <cell r="M124"/>
          <cell r="N124"/>
          <cell r="R124"/>
        </row>
        <row r="125">
          <cell r="C125"/>
          <cell r="D125"/>
          <cell r="E125"/>
          <cell r="G125"/>
          <cell r="K125"/>
          <cell r="L125"/>
          <cell r="M125"/>
          <cell r="N125"/>
          <cell r="R125"/>
        </row>
        <row r="126">
          <cell r="C126"/>
          <cell r="D126"/>
          <cell r="E126"/>
          <cell r="G126"/>
          <cell r="K126"/>
          <cell r="L126"/>
          <cell r="M126"/>
          <cell r="N126"/>
          <cell r="R126"/>
        </row>
        <row r="127">
          <cell r="C127"/>
          <cell r="D127"/>
          <cell r="E127"/>
          <cell r="G127"/>
          <cell r="K127"/>
          <cell r="L127"/>
          <cell r="M127"/>
          <cell r="N127"/>
          <cell r="R127"/>
        </row>
        <row r="128">
          <cell r="C128"/>
          <cell r="D128"/>
          <cell r="E128"/>
          <cell r="G128"/>
          <cell r="K128"/>
          <cell r="L128"/>
          <cell r="M128"/>
          <cell r="N128"/>
          <cell r="R128"/>
        </row>
        <row r="129">
          <cell r="C129"/>
          <cell r="D129"/>
          <cell r="E129"/>
          <cell r="G129"/>
          <cell r="K129"/>
          <cell r="L129"/>
          <cell r="M129"/>
          <cell r="N129"/>
          <cell r="R129"/>
        </row>
        <row r="130">
          <cell r="C130"/>
          <cell r="D130"/>
          <cell r="E130"/>
          <cell r="G130"/>
          <cell r="K130"/>
          <cell r="L130"/>
          <cell r="M130"/>
          <cell r="N130"/>
          <cell r="R130"/>
        </row>
        <row r="131">
          <cell r="C131"/>
          <cell r="D131"/>
          <cell r="E131"/>
          <cell r="G131"/>
          <cell r="K131"/>
          <cell r="L131"/>
          <cell r="M131"/>
          <cell r="N131"/>
          <cell r="R131"/>
        </row>
        <row r="132">
          <cell r="C132"/>
          <cell r="D132"/>
          <cell r="E132"/>
          <cell r="G132"/>
          <cell r="K132"/>
          <cell r="L132"/>
          <cell r="M132"/>
          <cell r="N132"/>
          <cell r="R132"/>
        </row>
        <row r="133">
          <cell r="C133"/>
          <cell r="D133"/>
          <cell r="E133"/>
          <cell r="G133"/>
          <cell r="K133"/>
          <cell r="L133"/>
          <cell r="M133"/>
          <cell r="N133"/>
          <cell r="R133"/>
        </row>
        <row r="134">
          <cell r="C134"/>
          <cell r="D134"/>
          <cell r="E134"/>
          <cell r="G134"/>
          <cell r="K134"/>
          <cell r="L134"/>
          <cell r="M134"/>
          <cell r="N134"/>
          <cell r="R134"/>
        </row>
        <row r="135">
          <cell r="C135"/>
          <cell r="D135"/>
          <cell r="E135"/>
          <cell r="G135"/>
          <cell r="K135"/>
          <cell r="L135"/>
          <cell r="M135"/>
          <cell r="N135"/>
          <cell r="R135"/>
        </row>
        <row r="136">
          <cell r="C136"/>
          <cell r="D136"/>
          <cell r="E136"/>
          <cell r="G136"/>
          <cell r="K136"/>
          <cell r="L136"/>
          <cell r="M136"/>
          <cell r="N136"/>
          <cell r="R136"/>
        </row>
        <row r="137">
          <cell r="C137"/>
          <cell r="D137"/>
          <cell r="E137"/>
          <cell r="G137"/>
          <cell r="K137"/>
          <cell r="L137"/>
          <cell r="M137"/>
          <cell r="N137"/>
          <cell r="R137"/>
        </row>
        <row r="138">
          <cell r="C138"/>
          <cell r="D138"/>
          <cell r="E138"/>
          <cell r="G138"/>
          <cell r="K138"/>
          <cell r="L138"/>
          <cell r="M138"/>
          <cell r="N138"/>
          <cell r="R138"/>
        </row>
        <row r="139">
          <cell r="C139"/>
          <cell r="D139"/>
          <cell r="E139"/>
          <cell r="G139"/>
          <cell r="K139"/>
          <cell r="L139"/>
          <cell r="M139"/>
          <cell r="N139"/>
          <cell r="R139"/>
        </row>
        <row r="140">
          <cell r="C140"/>
          <cell r="D140"/>
          <cell r="E140"/>
          <cell r="G140"/>
          <cell r="K140"/>
          <cell r="L140"/>
          <cell r="M140"/>
          <cell r="N140"/>
          <cell r="R140"/>
        </row>
        <row r="141">
          <cell r="C141"/>
          <cell r="D141"/>
          <cell r="E141"/>
          <cell r="G141"/>
          <cell r="K141"/>
          <cell r="L141"/>
          <cell r="M141"/>
          <cell r="N141"/>
          <cell r="R141"/>
        </row>
        <row r="142">
          <cell r="C142"/>
          <cell r="D142"/>
          <cell r="E142"/>
          <cell r="G142"/>
          <cell r="K142"/>
          <cell r="L142"/>
          <cell r="M142"/>
          <cell r="N142"/>
          <cell r="R142"/>
        </row>
        <row r="143">
          <cell r="C143"/>
          <cell r="D143"/>
          <cell r="E143"/>
          <cell r="G143"/>
          <cell r="K143"/>
          <cell r="L143"/>
          <cell r="M143"/>
          <cell r="N143"/>
          <cell r="R143"/>
        </row>
        <row r="144">
          <cell r="C144"/>
          <cell r="D144"/>
          <cell r="E144"/>
          <cell r="G144"/>
          <cell r="K144"/>
          <cell r="L144"/>
          <cell r="M144"/>
          <cell r="N144"/>
          <cell r="R144"/>
        </row>
        <row r="145">
          <cell r="C145"/>
          <cell r="D145"/>
          <cell r="E145"/>
          <cell r="G145"/>
          <cell r="K145"/>
          <cell r="L145"/>
          <cell r="M145"/>
          <cell r="N145"/>
          <cell r="R145"/>
        </row>
        <row r="146">
          <cell r="C146"/>
          <cell r="D146"/>
          <cell r="E146"/>
          <cell r="G146"/>
          <cell r="K146"/>
          <cell r="L146"/>
          <cell r="M146"/>
          <cell r="N146"/>
          <cell r="R146"/>
        </row>
        <row r="147">
          <cell r="C147"/>
          <cell r="D147"/>
          <cell r="E147"/>
          <cell r="G147"/>
          <cell r="K147"/>
          <cell r="L147"/>
          <cell r="M147"/>
          <cell r="N147"/>
          <cell r="R147"/>
        </row>
        <row r="148">
          <cell r="C148"/>
          <cell r="D148"/>
          <cell r="E148"/>
          <cell r="G148"/>
          <cell r="K148"/>
          <cell r="L148"/>
          <cell r="M148"/>
          <cell r="N148"/>
          <cell r="R148"/>
        </row>
        <row r="149">
          <cell r="C149"/>
          <cell r="D149"/>
          <cell r="E149"/>
          <cell r="G149"/>
          <cell r="K149"/>
          <cell r="L149"/>
          <cell r="M149"/>
          <cell r="N149"/>
          <cell r="R149"/>
        </row>
        <row r="150">
          <cell r="C150"/>
          <cell r="D150"/>
          <cell r="E150"/>
          <cell r="G150"/>
          <cell r="K150"/>
          <cell r="L150"/>
          <cell r="M150"/>
          <cell r="N150"/>
          <cell r="R150"/>
        </row>
        <row r="151">
          <cell r="C151"/>
          <cell r="D151"/>
          <cell r="E151"/>
          <cell r="G151"/>
          <cell r="K151"/>
          <cell r="L151"/>
          <cell r="M151"/>
          <cell r="N151"/>
          <cell r="R151"/>
        </row>
        <row r="152">
          <cell r="C152"/>
          <cell r="D152"/>
          <cell r="E152"/>
          <cell r="G152"/>
          <cell r="K152"/>
          <cell r="L152"/>
          <cell r="M152"/>
          <cell r="N152"/>
          <cell r="R152"/>
        </row>
        <row r="153">
          <cell r="C153"/>
          <cell r="D153"/>
          <cell r="E153"/>
          <cell r="G153"/>
          <cell r="K153"/>
          <cell r="L153"/>
          <cell r="M153"/>
          <cell r="N153"/>
          <cell r="R153"/>
        </row>
        <row r="154">
          <cell r="C154"/>
          <cell r="D154"/>
          <cell r="E154"/>
          <cell r="G154"/>
          <cell r="K154"/>
          <cell r="L154"/>
          <cell r="M154"/>
          <cell r="N154"/>
          <cell r="R154"/>
        </row>
        <row r="155">
          <cell r="C155"/>
          <cell r="D155"/>
          <cell r="E155"/>
          <cell r="G155"/>
          <cell r="K155"/>
          <cell r="L155"/>
          <cell r="M155"/>
          <cell r="N155"/>
          <cell r="R155"/>
        </row>
        <row r="156">
          <cell r="C156"/>
          <cell r="D156"/>
          <cell r="E156"/>
          <cell r="G156"/>
          <cell r="K156"/>
          <cell r="L156"/>
          <cell r="M156"/>
          <cell r="N156"/>
          <cell r="R156"/>
        </row>
        <row r="157">
          <cell r="C157"/>
          <cell r="D157"/>
          <cell r="E157"/>
          <cell r="G157"/>
          <cell r="K157"/>
          <cell r="L157"/>
          <cell r="M157"/>
          <cell r="N157"/>
          <cell r="R157"/>
        </row>
        <row r="158">
          <cell r="C158"/>
          <cell r="D158"/>
          <cell r="E158"/>
          <cell r="G158"/>
          <cell r="K158"/>
          <cell r="L158"/>
          <cell r="M158"/>
          <cell r="N158"/>
          <cell r="R158"/>
        </row>
        <row r="159">
          <cell r="C159"/>
          <cell r="D159"/>
          <cell r="E159"/>
          <cell r="G159"/>
          <cell r="K159"/>
          <cell r="L159"/>
          <cell r="M159"/>
          <cell r="N159"/>
          <cell r="R159"/>
        </row>
        <row r="160">
          <cell r="C160"/>
          <cell r="D160"/>
          <cell r="E160"/>
          <cell r="G160"/>
          <cell r="K160"/>
          <cell r="L160"/>
          <cell r="M160"/>
          <cell r="N160"/>
          <cell r="R160"/>
        </row>
        <row r="161">
          <cell r="C161"/>
          <cell r="D161"/>
          <cell r="E161"/>
          <cell r="G161"/>
          <cell r="K161"/>
          <cell r="L161"/>
          <cell r="M161"/>
          <cell r="N161"/>
          <cell r="R161"/>
        </row>
        <row r="162">
          <cell r="C162"/>
          <cell r="D162"/>
          <cell r="E162"/>
          <cell r="G162"/>
          <cell r="K162"/>
          <cell r="L162"/>
          <cell r="M162"/>
          <cell r="N162"/>
          <cell r="R162"/>
        </row>
        <row r="163">
          <cell r="C163"/>
          <cell r="D163"/>
          <cell r="E163"/>
          <cell r="G163"/>
          <cell r="K163"/>
          <cell r="L163"/>
          <cell r="M163"/>
          <cell r="N163"/>
          <cell r="R163"/>
        </row>
        <row r="164">
          <cell r="C164"/>
          <cell r="D164"/>
          <cell r="E164"/>
          <cell r="G164"/>
          <cell r="K164"/>
          <cell r="L164"/>
          <cell r="M164"/>
          <cell r="N164"/>
          <cell r="R164"/>
        </row>
        <row r="165">
          <cell r="C165"/>
          <cell r="D165"/>
          <cell r="E165"/>
          <cell r="G165"/>
          <cell r="K165"/>
          <cell r="L165"/>
          <cell r="M165"/>
          <cell r="N165"/>
          <cell r="R165"/>
        </row>
        <row r="166">
          <cell r="C166"/>
          <cell r="D166"/>
          <cell r="E166"/>
          <cell r="G166"/>
          <cell r="K166"/>
          <cell r="L166"/>
          <cell r="M166"/>
          <cell r="N166"/>
          <cell r="R166"/>
        </row>
        <row r="167">
          <cell r="C167"/>
          <cell r="D167"/>
          <cell r="E167"/>
          <cell r="G167"/>
          <cell r="K167"/>
          <cell r="L167"/>
          <cell r="M167"/>
          <cell r="N167"/>
          <cell r="R167"/>
        </row>
        <row r="168">
          <cell r="C168"/>
          <cell r="D168"/>
          <cell r="E168"/>
          <cell r="G168"/>
          <cell r="K168"/>
          <cell r="L168"/>
          <cell r="M168"/>
          <cell r="N168"/>
          <cell r="R168"/>
        </row>
        <row r="169">
          <cell r="C169"/>
          <cell r="D169"/>
          <cell r="E169"/>
          <cell r="G169"/>
          <cell r="K169"/>
          <cell r="L169"/>
          <cell r="M169"/>
          <cell r="N169"/>
          <cell r="R169"/>
        </row>
        <row r="170">
          <cell r="C170"/>
          <cell r="D170"/>
          <cell r="E170"/>
          <cell r="G170"/>
          <cell r="K170"/>
          <cell r="L170"/>
          <cell r="M170"/>
          <cell r="N170"/>
          <cell r="R170"/>
        </row>
        <row r="171">
          <cell r="C171"/>
          <cell r="D171"/>
          <cell r="E171"/>
          <cell r="G171"/>
          <cell r="K171"/>
          <cell r="L171"/>
          <cell r="M171"/>
          <cell r="N171"/>
          <cell r="R171"/>
        </row>
        <row r="172">
          <cell r="C172"/>
          <cell r="D172"/>
          <cell r="E172"/>
          <cell r="G172"/>
          <cell r="K172"/>
          <cell r="L172"/>
          <cell r="M172"/>
          <cell r="N172"/>
          <cell r="R172"/>
        </row>
        <row r="173">
          <cell r="C173"/>
          <cell r="D173"/>
          <cell r="E173"/>
          <cell r="G173"/>
          <cell r="K173"/>
          <cell r="L173"/>
          <cell r="M173"/>
          <cell r="N173"/>
          <cell r="R173"/>
        </row>
        <row r="174">
          <cell r="C174"/>
          <cell r="D174"/>
          <cell r="E174"/>
          <cell r="G174"/>
          <cell r="K174"/>
          <cell r="L174"/>
          <cell r="M174"/>
          <cell r="N174"/>
          <cell r="R174"/>
        </row>
        <row r="175">
          <cell r="C175"/>
          <cell r="D175"/>
          <cell r="E175"/>
          <cell r="G175"/>
          <cell r="K175"/>
          <cell r="L175"/>
          <cell r="M175"/>
          <cell r="N175"/>
          <cell r="R175"/>
        </row>
        <row r="176">
          <cell r="C176"/>
          <cell r="D176"/>
          <cell r="E176"/>
          <cell r="G176"/>
          <cell r="K176"/>
          <cell r="L176"/>
          <cell r="M176"/>
          <cell r="N176"/>
          <cell r="R176"/>
        </row>
        <row r="177">
          <cell r="C177"/>
          <cell r="D177"/>
          <cell r="E177"/>
          <cell r="G177"/>
          <cell r="K177"/>
          <cell r="L177"/>
          <cell r="M177"/>
          <cell r="N177"/>
          <cell r="R177"/>
        </row>
        <row r="178">
          <cell r="C178"/>
          <cell r="D178"/>
          <cell r="E178"/>
          <cell r="G178"/>
          <cell r="K178"/>
          <cell r="L178"/>
          <cell r="M178"/>
          <cell r="N178"/>
          <cell r="R178"/>
        </row>
        <row r="179">
          <cell r="C179"/>
          <cell r="D179"/>
          <cell r="E179"/>
          <cell r="G179"/>
          <cell r="K179"/>
          <cell r="L179"/>
          <cell r="M179"/>
          <cell r="N179"/>
          <cell r="R179"/>
        </row>
        <row r="180">
          <cell r="C180"/>
          <cell r="D180"/>
          <cell r="E180"/>
          <cell r="G180"/>
          <cell r="K180"/>
          <cell r="L180"/>
          <cell r="M180"/>
          <cell r="N180"/>
          <cell r="R180"/>
        </row>
        <row r="181">
          <cell r="C181"/>
          <cell r="D181"/>
          <cell r="E181"/>
          <cell r="G181"/>
          <cell r="K181"/>
          <cell r="L181"/>
          <cell r="M181"/>
          <cell r="N181"/>
          <cell r="R181"/>
        </row>
        <row r="182">
          <cell r="C182"/>
          <cell r="D182"/>
          <cell r="E182"/>
          <cell r="G182"/>
          <cell r="K182"/>
          <cell r="L182"/>
          <cell r="M182"/>
          <cell r="N182"/>
          <cell r="R182"/>
        </row>
        <row r="183">
          <cell r="C183"/>
          <cell r="D183"/>
          <cell r="E183"/>
          <cell r="G183"/>
          <cell r="K183"/>
          <cell r="L183"/>
          <cell r="M183"/>
          <cell r="N183"/>
          <cell r="R183"/>
        </row>
        <row r="184">
          <cell r="C184"/>
          <cell r="D184"/>
          <cell r="E184"/>
          <cell r="G184"/>
          <cell r="K184"/>
          <cell r="L184"/>
          <cell r="M184"/>
          <cell r="N184"/>
          <cell r="R184"/>
        </row>
        <row r="185">
          <cell r="C185"/>
          <cell r="D185"/>
          <cell r="E185"/>
          <cell r="G185"/>
          <cell r="K185"/>
          <cell r="L185"/>
          <cell r="M185"/>
          <cell r="N185"/>
          <cell r="R185"/>
        </row>
        <row r="186">
          <cell r="C186"/>
          <cell r="D186"/>
          <cell r="E186"/>
          <cell r="G186"/>
          <cell r="K186"/>
          <cell r="L186"/>
          <cell r="M186"/>
          <cell r="N186"/>
          <cell r="R186"/>
        </row>
        <row r="187">
          <cell r="C187"/>
          <cell r="D187"/>
          <cell r="E187"/>
          <cell r="G187"/>
          <cell r="K187"/>
          <cell r="L187"/>
          <cell r="M187"/>
          <cell r="N187"/>
          <cell r="R187"/>
        </row>
        <row r="188">
          <cell r="C188"/>
          <cell r="D188"/>
          <cell r="E188"/>
          <cell r="G188"/>
          <cell r="K188"/>
          <cell r="L188"/>
          <cell r="M188"/>
          <cell r="N188"/>
          <cell r="R188"/>
        </row>
        <row r="189">
          <cell r="C189"/>
          <cell r="D189"/>
          <cell r="E189"/>
          <cell r="G189"/>
          <cell r="K189"/>
          <cell r="L189"/>
          <cell r="M189"/>
          <cell r="N189"/>
          <cell r="R189"/>
        </row>
        <row r="190">
          <cell r="C190"/>
          <cell r="D190"/>
          <cell r="E190"/>
          <cell r="G190"/>
          <cell r="K190"/>
          <cell r="L190"/>
          <cell r="M190"/>
          <cell r="N190"/>
          <cell r="R190"/>
        </row>
        <row r="191">
          <cell r="C191"/>
          <cell r="D191"/>
          <cell r="E191"/>
          <cell r="G191"/>
          <cell r="K191"/>
          <cell r="L191"/>
          <cell r="M191"/>
          <cell r="N191"/>
          <cell r="R191"/>
        </row>
        <row r="192">
          <cell r="C192"/>
          <cell r="D192"/>
          <cell r="E192"/>
          <cell r="G192"/>
          <cell r="K192"/>
          <cell r="L192"/>
          <cell r="M192"/>
          <cell r="N192"/>
          <cell r="R192"/>
        </row>
        <row r="193">
          <cell r="C193"/>
          <cell r="D193"/>
          <cell r="E193"/>
          <cell r="G193"/>
          <cell r="K193"/>
          <cell r="L193"/>
          <cell r="M193"/>
          <cell r="N193"/>
          <cell r="R193"/>
        </row>
        <row r="194">
          <cell r="C194"/>
          <cell r="D194"/>
          <cell r="E194"/>
          <cell r="G194"/>
          <cell r="K194"/>
          <cell r="L194"/>
          <cell r="M194"/>
          <cell r="N194"/>
          <cell r="R194"/>
        </row>
        <row r="195">
          <cell r="C195"/>
          <cell r="D195"/>
          <cell r="E195"/>
          <cell r="G195"/>
          <cell r="K195"/>
          <cell r="L195"/>
          <cell r="M195"/>
          <cell r="N195"/>
          <cell r="R195"/>
        </row>
        <row r="196">
          <cell r="C196"/>
          <cell r="D196"/>
          <cell r="E196"/>
          <cell r="G196"/>
          <cell r="K196"/>
          <cell r="L196"/>
          <cell r="M196"/>
          <cell r="N196"/>
          <cell r="R196"/>
        </row>
        <row r="197">
          <cell r="C197"/>
          <cell r="D197"/>
          <cell r="E197"/>
          <cell r="G197"/>
          <cell r="K197"/>
          <cell r="L197"/>
          <cell r="M197"/>
          <cell r="N197"/>
          <cell r="R197"/>
        </row>
        <row r="198">
          <cell r="C198"/>
          <cell r="D198"/>
          <cell r="E198"/>
          <cell r="G198"/>
          <cell r="K198"/>
          <cell r="L198"/>
          <cell r="M198"/>
          <cell r="N198"/>
          <cell r="R198"/>
        </row>
        <row r="199">
          <cell r="C199"/>
          <cell r="D199"/>
          <cell r="E199"/>
          <cell r="G199"/>
          <cell r="K199"/>
          <cell r="L199"/>
          <cell r="M199"/>
          <cell r="N199"/>
          <cell r="R199"/>
        </row>
        <row r="200">
          <cell r="C200"/>
          <cell r="D200"/>
          <cell r="E200"/>
          <cell r="G200"/>
          <cell r="K200"/>
          <cell r="L200"/>
          <cell r="M200"/>
          <cell r="N200"/>
          <cell r="R200"/>
        </row>
        <row r="201">
          <cell r="C201"/>
          <cell r="D201"/>
          <cell r="E201"/>
          <cell r="G201"/>
          <cell r="K201"/>
          <cell r="L201"/>
          <cell r="M201"/>
          <cell r="N201"/>
          <cell r="R201"/>
        </row>
        <row r="202">
          <cell r="C202"/>
          <cell r="D202"/>
          <cell r="E202"/>
          <cell r="G202"/>
          <cell r="K202"/>
          <cell r="L202"/>
          <cell r="M202"/>
          <cell r="N202"/>
          <cell r="R202"/>
        </row>
        <row r="203">
          <cell r="C203"/>
          <cell r="D203"/>
          <cell r="E203"/>
          <cell r="G203"/>
          <cell r="K203"/>
          <cell r="L203"/>
          <cell r="M203"/>
          <cell r="N203"/>
          <cell r="R203"/>
        </row>
        <row r="204">
          <cell r="C204"/>
          <cell r="D204"/>
          <cell r="E204"/>
          <cell r="G204"/>
          <cell r="K204"/>
          <cell r="L204"/>
          <cell r="M204"/>
          <cell r="N204"/>
          <cell r="R204"/>
        </row>
        <row r="205">
          <cell r="C205"/>
          <cell r="D205"/>
          <cell r="E205"/>
          <cell r="G205"/>
          <cell r="K205"/>
          <cell r="L205"/>
          <cell r="M205"/>
          <cell r="N205"/>
          <cell r="R205"/>
        </row>
        <row r="206">
          <cell r="C206"/>
          <cell r="D206"/>
          <cell r="E206"/>
          <cell r="G206"/>
          <cell r="K206"/>
          <cell r="L206"/>
          <cell r="M206"/>
          <cell r="N206"/>
          <cell r="R206"/>
        </row>
        <row r="207">
          <cell r="C207"/>
          <cell r="D207"/>
          <cell r="E207"/>
          <cell r="G207"/>
          <cell r="K207"/>
          <cell r="L207"/>
          <cell r="M207"/>
          <cell r="N207"/>
          <cell r="R207"/>
        </row>
        <row r="208">
          <cell r="C208"/>
          <cell r="D208"/>
          <cell r="E208"/>
          <cell r="G208"/>
          <cell r="K208"/>
          <cell r="L208"/>
          <cell r="M208"/>
          <cell r="N208"/>
          <cell r="R208"/>
        </row>
        <row r="209">
          <cell r="C209"/>
          <cell r="D209"/>
          <cell r="E209"/>
          <cell r="G209"/>
          <cell r="K209"/>
          <cell r="L209"/>
          <cell r="M209"/>
          <cell r="N209"/>
          <cell r="R209"/>
        </row>
        <row r="210">
          <cell r="C210"/>
          <cell r="D210"/>
          <cell r="E210"/>
          <cell r="G210"/>
          <cell r="K210"/>
          <cell r="L210"/>
          <cell r="M210"/>
          <cell r="N210"/>
          <cell r="R210"/>
        </row>
        <row r="211">
          <cell r="C211"/>
          <cell r="D211"/>
          <cell r="E211"/>
          <cell r="G211"/>
          <cell r="K211"/>
          <cell r="L211"/>
          <cell r="M211"/>
          <cell r="N211"/>
          <cell r="R211"/>
        </row>
        <row r="212">
          <cell r="C212"/>
          <cell r="D212"/>
          <cell r="E212"/>
          <cell r="G212"/>
          <cell r="K212"/>
          <cell r="L212"/>
          <cell r="M212"/>
          <cell r="N212"/>
          <cell r="R212"/>
        </row>
        <row r="213">
          <cell r="C213"/>
          <cell r="D213"/>
          <cell r="E213"/>
          <cell r="G213"/>
          <cell r="K213"/>
          <cell r="L213"/>
          <cell r="M213"/>
          <cell r="N213"/>
          <cell r="R213"/>
        </row>
        <row r="214">
          <cell r="C214"/>
          <cell r="D214"/>
          <cell r="E214"/>
          <cell r="G214"/>
          <cell r="K214"/>
          <cell r="L214"/>
          <cell r="M214"/>
          <cell r="N214"/>
          <cell r="R214"/>
        </row>
        <row r="215">
          <cell r="C215"/>
          <cell r="D215"/>
          <cell r="E215"/>
          <cell r="G215"/>
          <cell r="K215"/>
          <cell r="L215"/>
          <cell r="M215"/>
          <cell r="N215"/>
          <cell r="R215"/>
        </row>
        <row r="216">
          <cell r="C216"/>
          <cell r="D216"/>
          <cell r="E216"/>
          <cell r="G216"/>
          <cell r="K216"/>
          <cell r="L216"/>
          <cell r="M216"/>
          <cell r="N216"/>
          <cell r="R216"/>
        </row>
        <row r="217">
          <cell r="C217"/>
          <cell r="D217"/>
          <cell r="E217"/>
          <cell r="G217"/>
          <cell r="K217"/>
          <cell r="L217"/>
          <cell r="M217"/>
          <cell r="N217"/>
          <cell r="R217"/>
        </row>
        <row r="218">
          <cell r="C218"/>
          <cell r="D218"/>
          <cell r="E218"/>
          <cell r="G218"/>
          <cell r="K218"/>
          <cell r="L218"/>
          <cell r="M218"/>
          <cell r="N218"/>
          <cell r="R218"/>
        </row>
        <row r="219">
          <cell r="C219"/>
          <cell r="D219"/>
          <cell r="E219"/>
          <cell r="G219"/>
          <cell r="K219"/>
          <cell r="L219"/>
          <cell r="M219"/>
          <cell r="N219"/>
          <cell r="R219"/>
        </row>
        <row r="220">
          <cell r="C220"/>
          <cell r="D220"/>
          <cell r="E220"/>
          <cell r="G220"/>
          <cell r="K220"/>
          <cell r="L220"/>
          <cell r="M220"/>
          <cell r="N220"/>
          <cell r="R220"/>
        </row>
        <row r="221">
          <cell r="C221"/>
          <cell r="D221"/>
          <cell r="E221"/>
          <cell r="G221"/>
          <cell r="K221"/>
          <cell r="L221"/>
          <cell r="M221"/>
          <cell r="N221"/>
          <cell r="R221"/>
        </row>
        <row r="222">
          <cell r="C222"/>
          <cell r="D222"/>
          <cell r="E222"/>
          <cell r="G222"/>
          <cell r="K222"/>
          <cell r="L222"/>
          <cell r="M222"/>
          <cell r="N222"/>
          <cell r="R222"/>
        </row>
        <row r="223">
          <cell r="C223"/>
          <cell r="D223"/>
          <cell r="E223"/>
          <cell r="G223"/>
          <cell r="K223"/>
          <cell r="L223"/>
          <cell r="M223"/>
          <cell r="N223"/>
          <cell r="R223"/>
        </row>
        <row r="224">
          <cell r="C224"/>
          <cell r="D224"/>
          <cell r="E224"/>
          <cell r="G224"/>
          <cell r="K224"/>
          <cell r="L224"/>
          <cell r="M224"/>
          <cell r="N224"/>
          <cell r="R224"/>
        </row>
        <row r="225">
          <cell r="C225"/>
          <cell r="D225"/>
          <cell r="E225"/>
          <cell r="G225"/>
          <cell r="K225"/>
          <cell r="L225"/>
          <cell r="M225"/>
          <cell r="N225"/>
          <cell r="R225"/>
        </row>
        <row r="226">
          <cell r="C226"/>
          <cell r="D226"/>
          <cell r="E226"/>
          <cell r="G226"/>
          <cell r="K226"/>
          <cell r="L226"/>
          <cell r="M226"/>
          <cell r="N226"/>
          <cell r="R226"/>
        </row>
        <row r="227">
          <cell r="C227"/>
          <cell r="D227"/>
          <cell r="E227"/>
          <cell r="G227"/>
          <cell r="K227"/>
          <cell r="L227"/>
          <cell r="M227"/>
          <cell r="N227"/>
          <cell r="R227"/>
        </row>
        <row r="228">
          <cell r="C228"/>
          <cell r="D228"/>
          <cell r="E228"/>
          <cell r="G228"/>
          <cell r="K228"/>
          <cell r="L228"/>
          <cell r="M228"/>
          <cell r="N228"/>
          <cell r="R228"/>
        </row>
        <row r="229">
          <cell r="C229"/>
          <cell r="D229"/>
          <cell r="E229"/>
          <cell r="G229"/>
          <cell r="K229"/>
          <cell r="L229"/>
          <cell r="M229"/>
          <cell r="N229"/>
          <cell r="R229"/>
        </row>
        <row r="230">
          <cell r="C230"/>
          <cell r="D230"/>
          <cell r="E230"/>
          <cell r="G230"/>
          <cell r="K230"/>
          <cell r="L230"/>
          <cell r="M230"/>
          <cell r="N230"/>
          <cell r="R230"/>
        </row>
        <row r="231">
          <cell r="C231"/>
          <cell r="D231"/>
          <cell r="E231"/>
          <cell r="G231"/>
          <cell r="K231"/>
          <cell r="L231"/>
          <cell r="M231"/>
          <cell r="N231"/>
          <cell r="R231"/>
        </row>
        <row r="232">
          <cell r="C232"/>
          <cell r="D232"/>
          <cell r="E232"/>
          <cell r="G232"/>
          <cell r="K232"/>
          <cell r="L232"/>
          <cell r="M232"/>
          <cell r="N232"/>
          <cell r="R232"/>
        </row>
        <row r="233">
          <cell r="C233"/>
          <cell r="D233"/>
          <cell r="E233"/>
          <cell r="G233"/>
          <cell r="K233"/>
          <cell r="L233"/>
          <cell r="M233"/>
          <cell r="N233"/>
          <cell r="R233"/>
        </row>
        <row r="234">
          <cell r="C234"/>
          <cell r="D234"/>
          <cell r="E234"/>
          <cell r="G234"/>
          <cell r="K234"/>
          <cell r="L234"/>
          <cell r="M234"/>
          <cell r="N234"/>
          <cell r="R234"/>
        </row>
        <row r="235">
          <cell r="C235"/>
          <cell r="D235"/>
          <cell r="E235"/>
          <cell r="G235"/>
          <cell r="K235"/>
          <cell r="L235"/>
          <cell r="M235"/>
          <cell r="N235"/>
          <cell r="R235"/>
        </row>
        <row r="236">
          <cell r="C236"/>
          <cell r="D236"/>
          <cell r="E236"/>
          <cell r="G236"/>
          <cell r="K236"/>
          <cell r="L236"/>
          <cell r="M236"/>
          <cell r="N236"/>
          <cell r="R236"/>
        </row>
        <row r="237">
          <cell r="C237"/>
          <cell r="D237"/>
          <cell r="E237"/>
          <cell r="G237"/>
          <cell r="K237"/>
          <cell r="L237"/>
          <cell r="M237"/>
          <cell r="N237"/>
          <cell r="R237"/>
        </row>
        <row r="238">
          <cell r="C238"/>
          <cell r="D238"/>
          <cell r="E238"/>
          <cell r="G238"/>
          <cell r="K238"/>
          <cell r="L238"/>
          <cell r="M238"/>
          <cell r="N238"/>
          <cell r="R238"/>
        </row>
        <row r="239">
          <cell r="C239"/>
          <cell r="D239"/>
          <cell r="E239"/>
          <cell r="G239"/>
          <cell r="K239"/>
          <cell r="L239"/>
          <cell r="M239"/>
          <cell r="N239"/>
          <cell r="R239"/>
        </row>
        <row r="240">
          <cell r="C240"/>
          <cell r="D240"/>
          <cell r="E240"/>
          <cell r="G240"/>
          <cell r="K240"/>
          <cell r="L240"/>
          <cell r="M240"/>
          <cell r="N240"/>
          <cell r="R240"/>
        </row>
        <row r="241">
          <cell r="C241"/>
          <cell r="D241"/>
          <cell r="E241"/>
          <cell r="G241"/>
          <cell r="K241"/>
          <cell r="L241"/>
          <cell r="M241"/>
          <cell r="N241"/>
          <cell r="R241"/>
        </row>
        <row r="242">
          <cell r="C242"/>
          <cell r="D242"/>
          <cell r="E242"/>
          <cell r="G242"/>
          <cell r="K242"/>
          <cell r="L242"/>
          <cell r="M242"/>
          <cell r="N242"/>
          <cell r="R242"/>
        </row>
        <row r="243">
          <cell r="C243"/>
          <cell r="D243"/>
          <cell r="E243"/>
          <cell r="G243"/>
          <cell r="K243"/>
          <cell r="L243"/>
          <cell r="M243"/>
          <cell r="N243"/>
          <cell r="R243"/>
        </row>
        <row r="244">
          <cell r="C244"/>
          <cell r="D244"/>
          <cell r="E244"/>
          <cell r="G244"/>
          <cell r="K244"/>
          <cell r="L244"/>
          <cell r="M244"/>
          <cell r="N244"/>
          <cell r="R244"/>
        </row>
        <row r="245">
          <cell r="C245"/>
          <cell r="D245"/>
          <cell r="E245"/>
          <cell r="G245"/>
          <cell r="K245"/>
          <cell r="L245"/>
          <cell r="M245"/>
          <cell r="N245"/>
          <cell r="R245"/>
        </row>
        <row r="246">
          <cell r="C246"/>
          <cell r="D246"/>
          <cell r="E246"/>
          <cell r="G246"/>
          <cell r="K246"/>
          <cell r="L246"/>
          <cell r="M246"/>
          <cell r="N246"/>
          <cell r="R246"/>
        </row>
        <row r="247">
          <cell r="C247"/>
          <cell r="D247"/>
          <cell r="E247"/>
          <cell r="G247"/>
          <cell r="K247"/>
          <cell r="L247"/>
          <cell r="M247"/>
          <cell r="N247"/>
          <cell r="R247"/>
        </row>
        <row r="248">
          <cell r="C248"/>
          <cell r="D248"/>
          <cell r="E248"/>
          <cell r="G248"/>
          <cell r="K248"/>
          <cell r="L248"/>
          <cell r="M248"/>
          <cell r="N248"/>
          <cell r="R248"/>
        </row>
        <row r="249">
          <cell r="C249"/>
          <cell r="D249"/>
          <cell r="E249"/>
          <cell r="G249"/>
          <cell r="K249"/>
          <cell r="L249"/>
          <cell r="M249"/>
          <cell r="N249"/>
          <cell r="R249"/>
        </row>
        <row r="250">
          <cell r="C250"/>
          <cell r="D250"/>
          <cell r="E250"/>
          <cell r="G250"/>
          <cell r="K250"/>
          <cell r="L250"/>
          <cell r="M250"/>
          <cell r="N250"/>
          <cell r="R250"/>
        </row>
        <row r="251">
          <cell r="C251"/>
          <cell r="D251"/>
          <cell r="E251"/>
          <cell r="G251"/>
          <cell r="K251"/>
          <cell r="L251"/>
          <cell r="M251"/>
          <cell r="N251"/>
          <cell r="R251"/>
        </row>
        <row r="252">
          <cell r="C252"/>
          <cell r="D252"/>
          <cell r="E252"/>
          <cell r="G252"/>
          <cell r="K252"/>
          <cell r="L252"/>
          <cell r="M252"/>
          <cell r="N252"/>
          <cell r="R252"/>
        </row>
        <row r="253">
          <cell r="C253"/>
          <cell r="D253"/>
          <cell r="E253"/>
          <cell r="G253"/>
          <cell r="K253"/>
          <cell r="L253"/>
          <cell r="M253"/>
          <cell r="N253"/>
          <cell r="R253"/>
        </row>
        <row r="254">
          <cell r="C254"/>
          <cell r="D254"/>
          <cell r="E254"/>
          <cell r="G254"/>
          <cell r="K254"/>
          <cell r="L254"/>
          <cell r="M254"/>
          <cell r="N254"/>
          <cell r="R254"/>
        </row>
        <row r="255">
          <cell r="C255"/>
          <cell r="D255"/>
          <cell r="E255"/>
          <cell r="G255"/>
          <cell r="K255"/>
          <cell r="L255"/>
          <cell r="M255"/>
          <cell r="N255"/>
          <cell r="R255"/>
        </row>
        <row r="256">
          <cell r="C256"/>
          <cell r="D256"/>
          <cell r="E256"/>
          <cell r="G256"/>
          <cell r="K256"/>
          <cell r="L256"/>
          <cell r="M256"/>
          <cell r="N256"/>
          <cell r="R256"/>
        </row>
        <row r="257">
          <cell r="C257"/>
          <cell r="D257"/>
          <cell r="E257"/>
          <cell r="G257"/>
          <cell r="K257"/>
          <cell r="L257"/>
          <cell r="M257"/>
          <cell r="N257"/>
          <cell r="R257"/>
        </row>
        <row r="258">
          <cell r="C258"/>
          <cell r="D258"/>
          <cell r="E258"/>
          <cell r="G258"/>
          <cell r="K258"/>
          <cell r="L258"/>
          <cell r="M258"/>
          <cell r="N258"/>
          <cell r="R258"/>
        </row>
        <row r="259">
          <cell r="C259"/>
          <cell r="D259"/>
          <cell r="E259"/>
          <cell r="G259"/>
          <cell r="K259"/>
          <cell r="L259"/>
          <cell r="M259"/>
          <cell r="N259"/>
          <cell r="R259"/>
        </row>
        <row r="260">
          <cell r="C260"/>
          <cell r="D260"/>
          <cell r="E260"/>
          <cell r="G260"/>
          <cell r="K260"/>
          <cell r="L260"/>
          <cell r="M260"/>
          <cell r="N260"/>
          <cell r="R260"/>
        </row>
        <row r="261">
          <cell r="C261"/>
          <cell r="D261"/>
          <cell r="E261"/>
          <cell r="G261"/>
          <cell r="K261"/>
          <cell r="L261"/>
          <cell r="M261"/>
          <cell r="N261"/>
          <cell r="R261"/>
        </row>
        <row r="262">
          <cell r="C262"/>
          <cell r="D262"/>
          <cell r="E262"/>
          <cell r="G262"/>
          <cell r="K262"/>
          <cell r="L262"/>
          <cell r="M262"/>
          <cell r="N262"/>
          <cell r="R262"/>
        </row>
        <row r="263">
          <cell r="C263"/>
          <cell r="D263"/>
          <cell r="E263"/>
          <cell r="G263"/>
          <cell r="K263"/>
          <cell r="L263"/>
          <cell r="M263"/>
          <cell r="N263"/>
          <cell r="R263"/>
        </row>
        <row r="264">
          <cell r="C264"/>
          <cell r="D264"/>
          <cell r="E264"/>
          <cell r="G264"/>
          <cell r="K264"/>
          <cell r="L264"/>
          <cell r="M264"/>
          <cell r="N264"/>
          <cell r="R264"/>
        </row>
        <row r="265">
          <cell r="C265"/>
          <cell r="D265"/>
          <cell r="E265"/>
          <cell r="G265"/>
          <cell r="K265"/>
          <cell r="L265"/>
          <cell r="M265"/>
          <cell r="N265"/>
          <cell r="R265"/>
        </row>
        <row r="266">
          <cell r="C266"/>
          <cell r="D266"/>
          <cell r="E266"/>
          <cell r="G266"/>
          <cell r="K266"/>
          <cell r="L266"/>
          <cell r="M266"/>
          <cell r="N266"/>
          <cell r="R266"/>
        </row>
        <row r="267">
          <cell r="C267"/>
          <cell r="D267"/>
          <cell r="E267"/>
          <cell r="G267"/>
          <cell r="K267"/>
          <cell r="L267"/>
          <cell r="M267"/>
          <cell r="N267"/>
          <cell r="R267"/>
        </row>
        <row r="268">
          <cell r="C268"/>
          <cell r="D268"/>
          <cell r="E268"/>
          <cell r="G268"/>
          <cell r="K268"/>
          <cell r="L268"/>
          <cell r="M268"/>
          <cell r="N268"/>
          <cell r="R268"/>
        </row>
        <row r="269">
          <cell r="C269"/>
          <cell r="D269"/>
          <cell r="E269"/>
          <cell r="G269"/>
          <cell r="K269"/>
          <cell r="L269"/>
          <cell r="M269"/>
          <cell r="N269"/>
          <cell r="R269"/>
        </row>
        <row r="270">
          <cell r="C270"/>
          <cell r="D270"/>
          <cell r="E270"/>
          <cell r="G270"/>
          <cell r="K270"/>
          <cell r="L270"/>
          <cell r="M270"/>
          <cell r="N270"/>
          <cell r="R270"/>
        </row>
        <row r="271">
          <cell r="C271"/>
          <cell r="D271"/>
          <cell r="E271"/>
          <cell r="G271"/>
          <cell r="K271"/>
          <cell r="L271"/>
          <cell r="M271"/>
          <cell r="N271"/>
          <cell r="R271"/>
        </row>
        <row r="272">
          <cell r="C272"/>
          <cell r="D272"/>
          <cell r="E272"/>
          <cell r="G272"/>
          <cell r="K272"/>
          <cell r="L272"/>
          <cell r="M272"/>
          <cell r="N272"/>
          <cell r="R272"/>
        </row>
        <row r="273">
          <cell r="C273"/>
          <cell r="D273"/>
          <cell r="E273"/>
          <cell r="G273"/>
          <cell r="K273"/>
          <cell r="L273"/>
          <cell r="M273"/>
          <cell r="N273"/>
          <cell r="R273"/>
        </row>
        <row r="274">
          <cell r="C274"/>
          <cell r="D274"/>
          <cell r="E274"/>
          <cell r="G274"/>
          <cell r="K274"/>
          <cell r="L274"/>
          <cell r="M274"/>
          <cell r="N274"/>
          <cell r="R274"/>
        </row>
        <row r="275">
          <cell r="C275"/>
          <cell r="D275"/>
          <cell r="E275"/>
          <cell r="G275"/>
          <cell r="K275"/>
          <cell r="L275"/>
          <cell r="M275"/>
          <cell r="N275"/>
          <cell r="R275"/>
        </row>
        <row r="276">
          <cell r="C276"/>
          <cell r="D276"/>
          <cell r="E276"/>
          <cell r="G276"/>
          <cell r="K276"/>
          <cell r="L276"/>
          <cell r="M276"/>
          <cell r="N276"/>
          <cell r="R276"/>
        </row>
        <row r="277">
          <cell r="C277"/>
          <cell r="D277"/>
          <cell r="E277"/>
          <cell r="G277"/>
          <cell r="K277"/>
          <cell r="L277"/>
          <cell r="M277"/>
          <cell r="N277"/>
          <cell r="R277"/>
        </row>
        <row r="278">
          <cell r="C278"/>
          <cell r="D278"/>
          <cell r="E278"/>
          <cell r="G278"/>
          <cell r="K278"/>
          <cell r="L278"/>
          <cell r="M278"/>
          <cell r="N278"/>
          <cell r="R278"/>
        </row>
        <row r="279">
          <cell r="C279"/>
          <cell r="D279"/>
          <cell r="E279"/>
          <cell r="G279"/>
          <cell r="K279"/>
          <cell r="L279"/>
          <cell r="M279"/>
          <cell r="N279"/>
          <cell r="R279"/>
        </row>
        <row r="280">
          <cell r="C280"/>
          <cell r="D280"/>
          <cell r="E280"/>
          <cell r="G280"/>
          <cell r="K280"/>
          <cell r="L280"/>
          <cell r="M280"/>
          <cell r="N280"/>
          <cell r="R280"/>
        </row>
        <row r="281">
          <cell r="C281"/>
          <cell r="D281"/>
          <cell r="E281"/>
          <cell r="G281"/>
          <cell r="K281"/>
          <cell r="L281"/>
          <cell r="M281"/>
          <cell r="N281"/>
          <cell r="R281"/>
        </row>
        <row r="282">
          <cell r="C282"/>
          <cell r="D282"/>
          <cell r="E282"/>
          <cell r="G282"/>
          <cell r="K282"/>
          <cell r="L282"/>
          <cell r="M282"/>
          <cell r="N282"/>
          <cell r="R282"/>
        </row>
        <row r="283">
          <cell r="C283"/>
          <cell r="D283"/>
          <cell r="E283"/>
          <cell r="G283"/>
          <cell r="K283"/>
          <cell r="L283"/>
          <cell r="M283"/>
          <cell r="N283"/>
          <cell r="R283"/>
        </row>
        <row r="284">
          <cell r="C284"/>
          <cell r="D284"/>
          <cell r="E284"/>
          <cell r="G284"/>
          <cell r="K284"/>
          <cell r="L284"/>
          <cell r="M284"/>
          <cell r="N284"/>
          <cell r="R284"/>
        </row>
        <row r="285">
          <cell r="C285"/>
          <cell r="D285"/>
          <cell r="E285"/>
          <cell r="G285"/>
          <cell r="K285"/>
          <cell r="L285"/>
          <cell r="M285"/>
          <cell r="N285"/>
          <cell r="R285"/>
        </row>
        <row r="286">
          <cell r="C286"/>
          <cell r="D286"/>
          <cell r="E286"/>
          <cell r="G286"/>
          <cell r="K286"/>
          <cell r="L286"/>
          <cell r="M286"/>
          <cell r="N286"/>
          <cell r="R286"/>
        </row>
        <row r="287">
          <cell r="C287"/>
          <cell r="D287"/>
          <cell r="E287"/>
          <cell r="G287"/>
          <cell r="K287"/>
          <cell r="L287"/>
          <cell r="M287"/>
          <cell r="N287"/>
          <cell r="R287"/>
        </row>
        <row r="288">
          <cell r="C288"/>
          <cell r="D288"/>
          <cell r="E288"/>
          <cell r="G288"/>
          <cell r="K288"/>
          <cell r="L288"/>
          <cell r="M288"/>
          <cell r="N288"/>
          <cell r="R288"/>
        </row>
        <row r="289">
          <cell r="C289"/>
          <cell r="D289"/>
          <cell r="E289"/>
          <cell r="G289"/>
          <cell r="K289"/>
          <cell r="L289"/>
          <cell r="M289"/>
          <cell r="N289"/>
          <cell r="R289"/>
        </row>
        <row r="290">
          <cell r="C290"/>
          <cell r="D290"/>
          <cell r="E290"/>
          <cell r="G290"/>
          <cell r="K290"/>
          <cell r="L290"/>
          <cell r="M290"/>
          <cell r="N290"/>
          <cell r="R290"/>
        </row>
        <row r="291">
          <cell r="C291"/>
          <cell r="D291"/>
          <cell r="E291"/>
          <cell r="G291"/>
          <cell r="K291"/>
          <cell r="L291"/>
          <cell r="M291"/>
          <cell r="N291"/>
          <cell r="R291"/>
        </row>
        <row r="292">
          <cell r="C292"/>
          <cell r="D292"/>
          <cell r="E292"/>
          <cell r="G292"/>
          <cell r="K292"/>
          <cell r="L292"/>
          <cell r="M292"/>
          <cell r="N292"/>
          <cell r="R292"/>
        </row>
        <row r="293">
          <cell r="C293"/>
          <cell r="D293"/>
          <cell r="E293"/>
          <cell r="G293"/>
          <cell r="K293"/>
          <cell r="L293"/>
          <cell r="M293"/>
          <cell r="N293"/>
          <cell r="R293"/>
        </row>
        <row r="294">
          <cell r="C294"/>
          <cell r="D294"/>
          <cell r="E294"/>
          <cell r="G294"/>
          <cell r="K294"/>
          <cell r="L294"/>
          <cell r="M294"/>
          <cell r="N294"/>
          <cell r="R294"/>
        </row>
        <row r="295">
          <cell r="C295"/>
          <cell r="D295"/>
          <cell r="E295"/>
          <cell r="G295"/>
          <cell r="K295"/>
          <cell r="L295"/>
          <cell r="M295"/>
          <cell r="N295"/>
          <cell r="R295"/>
        </row>
        <row r="296">
          <cell r="C296"/>
          <cell r="D296"/>
          <cell r="E296"/>
          <cell r="G296"/>
          <cell r="K296"/>
          <cell r="L296"/>
          <cell r="M296"/>
          <cell r="N296"/>
          <cell r="R296"/>
        </row>
        <row r="297">
          <cell r="C297"/>
          <cell r="D297"/>
          <cell r="E297"/>
          <cell r="G297"/>
          <cell r="K297"/>
          <cell r="L297"/>
          <cell r="M297"/>
          <cell r="N297"/>
          <cell r="R297"/>
        </row>
        <row r="298">
          <cell r="C298"/>
          <cell r="D298"/>
          <cell r="E298"/>
          <cell r="G298"/>
          <cell r="K298"/>
          <cell r="L298"/>
          <cell r="M298"/>
          <cell r="N298"/>
          <cell r="R298"/>
        </row>
        <row r="299">
          <cell r="C299"/>
          <cell r="D299"/>
          <cell r="E299"/>
          <cell r="G299"/>
          <cell r="K299"/>
          <cell r="L299"/>
          <cell r="M299"/>
          <cell r="N299"/>
          <cell r="R299"/>
        </row>
        <row r="300">
          <cell r="C300"/>
          <cell r="D300"/>
          <cell r="E300"/>
          <cell r="G300"/>
          <cell r="K300"/>
          <cell r="L300"/>
          <cell r="M300"/>
          <cell r="N300"/>
          <cell r="R300"/>
        </row>
        <row r="301">
          <cell r="C301"/>
          <cell r="D301"/>
          <cell r="E301"/>
          <cell r="G301"/>
          <cell r="K301"/>
          <cell r="L301"/>
          <cell r="M301"/>
          <cell r="N301"/>
          <cell r="R301"/>
        </row>
        <row r="302">
          <cell r="C302"/>
          <cell r="D302"/>
          <cell r="E302"/>
          <cell r="G302"/>
          <cell r="K302"/>
          <cell r="L302"/>
          <cell r="M302"/>
          <cell r="N302"/>
          <cell r="R302"/>
        </row>
        <row r="303">
          <cell r="C303"/>
          <cell r="D303"/>
          <cell r="E303"/>
          <cell r="G303"/>
          <cell r="K303"/>
          <cell r="L303"/>
          <cell r="M303"/>
          <cell r="N303"/>
          <cell r="R303"/>
        </row>
        <row r="304">
          <cell r="C304"/>
          <cell r="D304"/>
          <cell r="E304"/>
          <cell r="G304"/>
          <cell r="K304"/>
          <cell r="L304"/>
          <cell r="M304"/>
          <cell r="N304"/>
          <cell r="R304"/>
        </row>
        <row r="305">
          <cell r="C305"/>
          <cell r="D305"/>
          <cell r="E305"/>
          <cell r="G305"/>
          <cell r="K305"/>
          <cell r="L305"/>
          <cell r="M305"/>
          <cell r="N305"/>
          <cell r="R305"/>
        </row>
        <row r="306">
          <cell r="C306"/>
          <cell r="D306"/>
          <cell r="E306"/>
          <cell r="G306"/>
          <cell r="K306"/>
          <cell r="L306"/>
          <cell r="M306"/>
          <cell r="N306"/>
          <cell r="R306"/>
        </row>
        <row r="307">
          <cell r="C307"/>
          <cell r="D307"/>
          <cell r="E307"/>
          <cell r="G307"/>
          <cell r="K307"/>
          <cell r="L307"/>
          <cell r="M307"/>
          <cell r="N307"/>
          <cell r="R307"/>
        </row>
        <row r="308">
          <cell r="C308"/>
          <cell r="D308"/>
          <cell r="E308"/>
          <cell r="G308"/>
          <cell r="K308"/>
          <cell r="L308"/>
          <cell r="M308"/>
          <cell r="N308"/>
          <cell r="R308"/>
        </row>
        <row r="309">
          <cell r="C309"/>
          <cell r="D309"/>
          <cell r="E309"/>
          <cell r="G309"/>
          <cell r="K309"/>
          <cell r="L309"/>
          <cell r="M309"/>
          <cell r="N309"/>
          <cell r="R309"/>
        </row>
        <row r="310">
          <cell r="C310"/>
          <cell r="D310"/>
          <cell r="E310"/>
          <cell r="G310"/>
          <cell r="K310"/>
          <cell r="L310"/>
          <cell r="M310"/>
          <cell r="N310"/>
          <cell r="R310"/>
        </row>
        <row r="311">
          <cell r="C311"/>
          <cell r="D311"/>
          <cell r="E311"/>
          <cell r="G311"/>
          <cell r="K311"/>
          <cell r="L311"/>
          <cell r="M311"/>
          <cell r="N311"/>
          <cell r="R311"/>
        </row>
        <row r="312">
          <cell r="C312"/>
          <cell r="D312"/>
          <cell r="E312"/>
          <cell r="G312"/>
          <cell r="K312"/>
          <cell r="L312"/>
          <cell r="M312"/>
          <cell r="N312"/>
          <cell r="R312"/>
        </row>
        <row r="313">
          <cell r="C313"/>
          <cell r="D313"/>
          <cell r="E313"/>
          <cell r="G313"/>
          <cell r="K313"/>
          <cell r="L313"/>
          <cell r="M313"/>
          <cell r="N313"/>
          <cell r="R313"/>
        </row>
        <row r="314">
          <cell r="C314"/>
          <cell r="D314"/>
          <cell r="E314"/>
          <cell r="G314"/>
          <cell r="K314"/>
          <cell r="L314"/>
          <cell r="M314"/>
          <cell r="N314"/>
          <cell r="R314"/>
        </row>
        <row r="315">
          <cell r="C315"/>
          <cell r="D315"/>
          <cell r="E315"/>
          <cell r="G315"/>
          <cell r="K315"/>
          <cell r="L315"/>
          <cell r="M315"/>
          <cell r="N315"/>
          <cell r="R315"/>
        </row>
        <row r="316">
          <cell r="C316"/>
          <cell r="D316"/>
          <cell r="E316"/>
          <cell r="G316"/>
          <cell r="K316"/>
          <cell r="L316"/>
          <cell r="M316"/>
          <cell r="N316"/>
          <cell r="R316"/>
        </row>
        <row r="317">
          <cell r="C317"/>
          <cell r="D317"/>
          <cell r="E317"/>
          <cell r="G317"/>
          <cell r="K317"/>
          <cell r="L317"/>
          <cell r="M317"/>
          <cell r="N317"/>
          <cell r="R317"/>
        </row>
        <row r="318">
          <cell r="C318"/>
          <cell r="D318"/>
          <cell r="E318"/>
          <cell r="G318"/>
          <cell r="K318"/>
          <cell r="L318"/>
          <cell r="M318"/>
          <cell r="N318"/>
          <cell r="R318"/>
        </row>
        <row r="319">
          <cell r="C319"/>
          <cell r="D319"/>
          <cell r="E319"/>
          <cell r="G319"/>
          <cell r="K319"/>
          <cell r="L319"/>
          <cell r="M319"/>
          <cell r="N319"/>
          <cell r="R319"/>
        </row>
        <row r="320">
          <cell r="C320"/>
          <cell r="D320"/>
          <cell r="E320"/>
          <cell r="G320"/>
          <cell r="K320"/>
          <cell r="L320"/>
          <cell r="M320"/>
          <cell r="N320"/>
          <cell r="R320"/>
        </row>
        <row r="321">
          <cell r="C321"/>
          <cell r="D321"/>
          <cell r="E321"/>
          <cell r="G321"/>
          <cell r="K321"/>
          <cell r="L321"/>
          <cell r="M321"/>
          <cell r="N321"/>
          <cell r="R321"/>
        </row>
        <row r="322">
          <cell r="C322"/>
          <cell r="D322"/>
          <cell r="E322"/>
          <cell r="G322"/>
          <cell r="K322"/>
          <cell r="L322"/>
          <cell r="M322"/>
          <cell r="N322"/>
          <cell r="R322"/>
        </row>
        <row r="323">
          <cell r="C323"/>
          <cell r="D323"/>
          <cell r="E323"/>
          <cell r="G323"/>
          <cell r="K323"/>
          <cell r="L323"/>
          <cell r="M323"/>
          <cell r="N323"/>
          <cell r="R323"/>
        </row>
        <row r="324">
          <cell r="C324"/>
          <cell r="D324"/>
          <cell r="E324"/>
          <cell r="G324"/>
          <cell r="K324"/>
          <cell r="L324"/>
          <cell r="M324"/>
          <cell r="N324"/>
          <cell r="R324"/>
        </row>
        <row r="325">
          <cell r="C325"/>
          <cell r="D325"/>
          <cell r="E325"/>
          <cell r="G325"/>
          <cell r="K325"/>
          <cell r="L325"/>
          <cell r="M325"/>
          <cell r="N325"/>
          <cell r="R325"/>
        </row>
        <row r="326">
          <cell r="C326"/>
          <cell r="D326"/>
          <cell r="E326"/>
          <cell r="G326"/>
          <cell r="K326"/>
          <cell r="L326"/>
          <cell r="M326"/>
          <cell r="N326"/>
          <cell r="R326"/>
        </row>
        <row r="327">
          <cell r="C327"/>
          <cell r="D327"/>
          <cell r="E327"/>
          <cell r="G327"/>
          <cell r="K327"/>
          <cell r="L327"/>
          <cell r="M327"/>
          <cell r="N327"/>
          <cell r="R327"/>
        </row>
        <row r="328">
          <cell r="C328"/>
          <cell r="D328"/>
          <cell r="E328"/>
          <cell r="G328"/>
          <cell r="K328"/>
          <cell r="L328"/>
          <cell r="M328"/>
          <cell r="N328"/>
          <cell r="R328"/>
        </row>
        <row r="329">
          <cell r="C329"/>
          <cell r="D329"/>
          <cell r="E329"/>
          <cell r="G329"/>
          <cell r="K329"/>
          <cell r="L329"/>
          <cell r="M329"/>
          <cell r="N329"/>
          <cell r="R329"/>
        </row>
        <row r="330">
          <cell r="C330"/>
          <cell r="D330"/>
          <cell r="E330"/>
          <cell r="G330"/>
          <cell r="K330"/>
          <cell r="L330"/>
          <cell r="M330"/>
          <cell r="N330"/>
          <cell r="R330"/>
        </row>
        <row r="331">
          <cell r="C331"/>
          <cell r="D331"/>
          <cell r="E331"/>
          <cell r="G331"/>
          <cell r="K331"/>
          <cell r="L331"/>
          <cell r="M331"/>
          <cell r="N331"/>
          <cell r="R331"/>
        </row>
        <row r="332">
          <cell r="C332"/>
          <cell r="D332"/>
          <cell r="E332"/>
          <cell r="G332"/>
          <cell r="K332"/>
          <cell r="L332"/>
          <cell r="M332"/>
          <cell r="N332"/>
          <cell r="R332"/>
        </row>
        <row r="333">
          <cell r="C333"/>
          <cell r="D333"/>
          <cell r="E333"/>
          <cell r="G333"/>
          <cell r="K333"/>
          <cell r="L333"/>
          <cell r="M333"/>
          <cell r="N333"/>
          <cell r="R333"/>
        </row>
        <row r="334">
          <cell r="C334"/>
          <cell r="D334"/>
          <cell r="E334"/>
          <cell r="G334"/>
          <cell r="K334"/>
          <cell r="L334"/>
          <cell r="M334"/>
          <cell r="N334"/>
          <cell r="R334"/>
        </row>
        <row r="335">
          <cell r="C335"/>
          <cell r="D335"/>
          <cell r="E335"/>
          <cell r="G335"/>
          <cell r="K335"/>
          <cell r="L335"/>
          <cell r="M335"/>
          <cell r="N335"/>
          <cell r="R335"/>
        </row>
        <row r="336">
          <cell r="C336"/>
          <cell r="D336"/>
          <cell r="E336"/>
          <cell r="G336"/>
          <cell r="K336"/>
          <cell r="L336"/>
          <cell r="M336"/>
          <cell r="N336"/>
          <cell r="R336"/>
        </row>
        <row r="337">
          <cell r="C337"/>
          <cell r="D337"/>
          <cell r="E337"/>
          <cell r="G337"/>
          <cell r="K337"/>
          <cell r="L337"/>
          <cell r="M337"/>
          <cell r="N337"/>
          <cell r="R337"/>
        </row>
        <row r="338">
          <cell r="C338"/>
          <cell r="D338"/>
          <cell r="E338"/>
          <cell r="G338"/>
          <cell r="K338"/>
          <cell r="L338"/>
          <cell r="M338"/>
          <cell r="N338"/>
          <cell r="R338"/>
        </row>
        <row r="339">
          <cell r="C339"/>
          <cell r="D339"/>
          <cell r="E339"/>
          <cell r="G339"/>
          <cell r="K339"/>
          <cell r="L339"/>
          <cell r="M339"/>
          <cell r="N339"/>
          <cell r="R339"/>
        </row>
        <row r="340">
          <cell r="C340"/>
          <cell r="D340"/>
          <cell r="E340"/>
          <cell r="G340"/>
          <cell r="K340"/>
          <cell r="L340"/>
          <cell r="M340"/>
          <cell r="N340"/>
          <cell r="R340"/>
        </row>
        <row r="341">
          <cell r="C341"/>
          <cell r="D341"/>
          <cell r="E341"/>
          <cell r="G341"/>
          <cell r="K341"/>
          <cell r="L341"/>
          <cell r="M341"/>
          <cell r="N341"/>
          <cell r="R341"/>
        </row>
        <row r="342">
          <cell r="C342"/>
          <cell r="D342"/>
          <cell r="E342"/>
          <cell r="G342"/>
          <cell r="K342"/>
          <cell r="L342"/>
          <cell r="M342"/>
          <cell r="N342"/>
          <cell r="R342"/>
        </row>
        <row r="343">
          <cell r="C343"/>
          <cell r="D343"/>
          <cell r="E343"/>
          <cell r="G343"/>
          <cell r="K343"/>
          <cell r="L343"/>
          <cell r="M343"/>
          <cell r="N343"/>
          <cell r="R343"/>
        </row>
        <row r="344">
          <cell r="C344"/>
          <cell r="D344"/>
          <cell r="E344"/>
          <cell r="G344"/>
          <cell r="K344"/>
          <cell r="L344"/>
          <cell r="M344"/>
          <cell r="N344"/>
          <cell r="R344"/>
        </row>
        <row r="345">
          <cell r="C345"/>
          <cell r="D345"/>
          <cell r="E345"/>
          <cell r="G345"/>
          <cell r="K345"/>
          <cell r="L345"/>
          <cell r="M345"/>
          <cell r="N345"/>
          <cell r="R345"/>
        </row>
        <row r="346">
          <cell r="C346"/>
          <cell r="D346"/>
          <cell r="E346"/>
          <cell r="G346"/>
          <cell r="K346"/>
          <cell r="L346"/>
          <cell r="M346"/>
          <cell r="N346"/>
          <cell r="R346"/>
        </row>
        <row r="347">
          <cell r="C347"/>
          <cell r="D347"/>
          <cell r="E347"/>
          <cell r="G347"/>
          <cell r="K347"/>
          <cell r="L347"/>
          <cell r="M347"/>
          <cell r="N347"/>
          <cell r="R347"/>
        </row>
        <row r="348">
          <cell r="C348"/>
          <cell r="D348"/>
          <cell r="E348"/>
          <cell r="G348"/>
          <cell r="K348"/>
          <cell r="L348"/>
          <cell r="M348"/>
          <cell r="N348"/>
          <cell r="R348"/>
        </row>
        <row r="349">
          <cell r="C349"/>
          <cell r="D349"/>
          <cell r="E349"/>
          <cell r="G349"/>
          <cell r="K349"/>
          <cell r="L349"/>
          <cell r="M349"/>
          <cell r="N349"/>
          <cell r="R349"/>
        </row>
        <row r="350">
          <cell r="C350"/>
          <cell r="D350"/>
          <cell r="E350"/>
          <cell r="G350"/>
          <cell r="K350"/>
          <cell r="L350"/>
          <cell r="M350"/>
          <cell r="N350"/>
          <cell r="R350"/>
        </row>
        <row r="351">
          <cell r="C351"/>
          <cell r="D351"/>
          <cell r="E351"/>
          <cell r="G351"/>
          <cell r="K351"/>
          <cell r="L351"/>
          <cell r="M351"/>
          <cell r="N351"/>
          <cell r="R351"/>
        </row>
        <row r="352">
          <cell r="C352"/>
          <cell r="D352"/>
          <cell r="E352"/>
          <cell r="G352"/>
          <cell r="K352"/>
          <cell r="L352"/>
          <cell r="M352"/>
          <cell r="N352"/>
          <cell r="R352"/>
        </row>
        <row r="353">
          <cell r="C353"/>
          <cell r="D353"/>
          <cell r="E353"/>
          <cell r="G353"/>
          <cell r="K353"/>
          <cell r="L353"/>
          <cell r="M353"/>
          <cell r="N353"/>
          <cell r="R353"/>
        </row>
        <row r="354">
          <cell r="C354"/>
          <cell r="D354"/>
          <cell r="E354"/>
          <cell r="G354"/>
          <cell r="K354"/>
          <cell r="L354"/>
          <cell r="M354"/>
          <cell r="N354"/>
          <cell r="R354"/>
        </row>
        <row r="355">
          <cell r="C355"/>
          <cell r="D355"/>
          <cell r="E355"/>
          <cell r="G355"/>
          <cell r="K355"/>
          <cell r="L355"/>
          <cell r="M355"/>
          <cell r="N355"/>
          <cell r="R355"/>
        </row>
        <row r="356">
          <cell r="C356"/>
          <cell r="D356"/>
          <cell r="E356"/>
          <cell r="G356"/>
          <cell r="K356"/>
          <cell r="L356"/>
          <cell r="M356"/>
          <cell r="N356"/>
          <cell r="R356"/>
        </row>
        <row r="357">
          <cell r="C357"/>
          <cell r="D357"/>
          <cell r="E357"/>
          <cell r="G357"/>
          <cell r="K357"/>
          <cell r="L357"/>
          <cell r="M357"/>
          <cell r="N357"/>
          <cell r="R357"/>
        </row>
        <row r="358">
          <cell r="C358"/>
          <cell r="D358"/>
          <cell r="E358"/>
          <cell r="G358"/>
          <cell r="K358"/>
          <cell r="L358"/>
          <cell r="M358"/>
          <cell r="N358"/>
          <cell r="R358"/>
        </row>
        <row r="359">
          <cell r="C359"/>
          <cell r="D359"/>
          <cell r="E359"/>
          <cell r="G359"/>
          <cell r="K359"/>
          <cell r="L359"/>
          <cell r="M359"/>
          <cell r="N359"/>
          <cell r="R359"/>
        </row>
        <row r="360">
          <cell r="C360"/>
          <cell r="D360"/>
          <cell r="E360"/>
          <cell r="G360"/>
          <cell r="K360"/>
          <cell r="L360"/>
          <cell r="M360"/>
          <cell r="N360"/>
          <cell r="R360"/>
        </row>
        <row r="361">
          <cell r="C361"/>
          <cell r="D361"/>
          <cell r="E361"/>
          <cell r="G361"/>
          <cell r="K361"/>
          <cell r="L361"/>
          <cell r="M361"/>
          <cell r="N361"/>
          <cell r="R361"/>
        </row>
        <row r="362">
          <cell r="C362"/>
          <cell r="D362"/>
          <cell r="E362"/>
          <cell r="G362"/>
          <cell r="K362"/>
          <cell r="L362"/>
          <cell r="M362"/>
          <cell r="N362"/>
          <cell r="R362"/>
        </row>
        <row r="363">
          <cell r="C363"/>
          <cell r="D363"/>
          <cell r="E363"/>
          <cell r="G363"/>
          <cell r="K363"/>
          <cell r="L363"/>
          <cell r="M363"/>
          <cell r="N363"/>
          <cell r="R363"/>
        </row>
        <row r="364">
          <cell r="C364"/>
          <cell r="D364"/>
          <cell r="E364"/>
          <cell r="G364"/>
          <cell r="K364"/>
          <cell r="L364"/>
          <cell r="M364"/>
          <cell r="N364"/>
          <cell r="R364"/>
        </row>
        <row r="365">
          <cell r="C365"/>
          <cell r="D365"/>
          <cell r="E365"/>
          <cell r="G365"/>
          <cell r="K365"/>
          <cell r="L365"/>
          <cell r="M365"/>
          <cell r="N365"/>
          <cell r="R365"/>
        </row>
        <row r="366">
          <cell r="C366"/>
          <cell r="D366"/>
          <cell r="E366"/>
          <cell r="G366"/>
          <cell r="K366"/>
          <cell r="L366"/>
          <cell r="M366"/>
          <cell r="N366"/>
          <cell r="R366"/>
        </row>
        <row r="367">
          <cell r="C367"/>
          <cell r="D367"/>
          <cell r="E367"/>
          <cell r="G367"/>
          <cell r="K367"/>
          <cell r="L367"/>
          <cell r="M367"/>
          <cell r="N367"/>
          <cell r="R367"/>
        </row>
        <row r="368">
          <cell r="C368"/>
          <cell r="D368"/>
          <cell r="E368"/>
          <cell r="G368"/>
          <cell r="K368"/>
          <cell r="L368"/>
          <cell r="M368"/>
          <cell r="N368"/>
          <cell r="R368"/>
        </row>
        <row r="369">
          <cell r="C369"/>
          <cell r="D369"/>
          <cell r="E369"/>
          <cell r="G369"/>
          <cell r="K369"/>
          <cell r="L369"/>
          <cell r="M369"/>
          <cell r="N369"/>
          <cell r="R369"/>
        </row>
        <row r="370">
          <cell r="C370"/>
          <cell r="D370"/>
          <cell r="E370"/>
          <cell r="G370"/>
          <cell r="K370"/>
          <cell r="L370"/>
          <cell r="M370"/>
          <cell r="N370"/>
          <cell r="R370"/>
        </row>
        <row r="371">
          <cell r="C371"/>
          <cell r="D371"/>
          <cell r="E371"/>
          <cell r="G371"/>
          <cell r="K371"/>
          <cell r="L371"/>
          <cell r="M371"/>
          <cell r="N371"/>
          <cell r="R371"/>
        </row>
        <row r="372">
          <cell r="C372"/>
          <cell r="D372"/>
          <cell r="E372"/>
          <cell r="G372"/>
          <cell r="K372"/>
          <cell r="L372"/>
          <cell r="M372"/>
          <cell r="N372"/>
          <cell r="R372"/>
        </row>
        <row r="373">
          <cell r="C373"/>
          <cell r="D373"/>
          <cell r="E373"/>
          <cell r="G373"/>
          <cell r="K373"/>
          <cell r="L373"/>
          <cell r="M373"/>
          <cell r="N373"/>
          <cell r="R373"/>
        </row>
        <row r="374">
          <cell r="C374"/>
          <cell r="D374"/>
          <cell r="E374"/>
          <cell r="G374"/>
          <cell r="K374"/>
          <cell r="L374"/>
          <cell r="M374"/>
          <cell r="N374"/>
          <cell r="R374"/>
        </row>
        <row r="375">
          <cell r="C375"/>
          <cell r="D375"/>
          <cell r="E375"/>
          <cell r="G375"/>
          <cell r="K375"/>
          <cell r="L375"/>
          <cell r="M375"/>
          <cell r="N375"/>
          <cell r="R375"/>
        </row>
        <row r="376">
          <cell r="C376"/>
          <cell r="D376"/>
          <cell r="E376"/>
          <cell r="G376"/>
          <cell r="K376"/>
          <cell r="L376"/>
          <cell r="M376"/>
          <cell r="N376"/>
          <cell r="R376"/>
        </row>
        <row r="377">
          <cell r="C377"/>
          <cell r="D377"/>
          <cell r="E377"/>
          <cell r="G377"/>
          <cell r="K377"/>
          <cell r="L377"/>
          <cell r="M377"/>
          <cell r="N377"/>
          <cell r="R377"/>
        </row>
        <row r="378">
          <cell r="C378"/>
          <cell r="D378"/>
          <cell r="E378"/>
          <cell r="G378"/>
          <cell r="K378"/>
          <cell r="L378"/>
          <cell r="M378"/>
          <cell r="N378"/>
          <cell r="R378"/>
        </row>
        <row r="379">
          <cell r="C379"/>
          <cell r="D379"/>
          <cell r="E379"/>
          <cell r="G379"/>
          <cell r="K379"/>
          <cell r="L379"/>
          <cell r="M379"/>
          <cell r="N379"/>
          <cell r="R379"/>
        </row>
        <row r="380">
          <cell r="C380"/>
          <cell r="D380"/>
          <cell r="E380"/>
          <cell r="G380"/>
          <cell r="K380"/>
          <cell r="L380"/>
          <cell r="M380"/>
          <cell r="N380"/>
          <cell r="R380"/>
        </row>
        <row r="381">
          <cell r="C381"/>
          <cell r="D381"/>
          <cell r="E381"/>
          <cell r="G381"/>
          <cell r="K381"/>
          <cell r="L381"/>
          <cell r="M381"/>
          <cell r="N381"/>
          <cell r="R381"/>
        </row>
        <row r="382">
          <cell r="C382"/>
          <cell r="D382"/>
          <cell r="E382"/>
          <cell r="G382"/>
          <cell r="K382"/>
          <cell r="L382"/>
          <cell r="M382"/>
          <cell r="N382"/>
          <cell r="R382"/>
        </row>
        <row r="383">
          <cell r="C383"/>
          <cell r="D383"/>
          <cell r="E383"/>
          <cell r="G383"/>
          <cell r="K383"/>
          <cell r="L383"/>
          <cell r="M383"/>
          <cell r="N383"/>
          <cell r="R383"/>
        </row>
        <row r="384">
          <cell r="C384"/>
          <cell r="D384"/>
          <cell r="E384"/>
          <cell r="G384"/>
          <cell r="K384"/>
          <cell r="L384"/>
          <cell r="M384"/>
          <cell r="N384"/>
          <cell r="R384"/>
        </row>
        <row r="385">
          <cell r="C385"/>
          <cell r="D385"/>
          <cell r="E385"/>
          <cell r="G385"/>
          <cell r="K385"/>
          <cell r="L385"/>
          <cell r="M385"/>
          <cell r="N385"/>
          <cell r="R385"/>
        </row>
        <row r="386">
          <cell r="C386"/>
          <cell r="D386"/>
          <cell r="E386"/>
          <cell r="G386"/>
          <cell r="K386"/>
          <cell r="L386"/>
          <cell r="M386"/>
          <cell r="N386"/>
          <cell r="R386"/>
        </row>
        <row r="387">
          <cell r="C387"/>
          <cell r="D387"/>
          <cell r="E387"/>
          <cell r="G387"/>
          <cell r="K387"/>
          <cell r="L387"/>
          <cell r="M387"/>
          <cell r="N387"/>
          <cell r="R387"/>
        </row>
        <row r="388">
          <cell r="C388"/>
          <cell r="D388"/>
          <cell r="E388"/>
          <cell r="G388"/>
          <cell r="K388"/>
          <cell r="L388"/>
          <cell r="M388"/>
          <cell r="N388"/>
          <cell r="R388"/>
        </row>
        <row r="389">
          <cell r="C389"/>
          <cell r="D389"/>
          <cell r="E389"/>
          <cell r="G389"/>
          <cell r="K389"/>
          <cell r="L389"/>
          <cell r="M389"/>
          <cell r="N389"/>
          <cell r="R389"/>
        </row>
        <row r="390">
          <cell r="C390"/>
          <cell r="D390"/>
          <cell r="E390"/>
          <cell r="G390"/>
          <cell r="K390"/>
          <cell r="L390"/>
          <cell r="M390"/>
          <cell r="N390"/>
          <cell r="R390"/>
        </row>
        <row r="391">
          <cell r="C391"/>
          <cell r="D391"/>
          <cell r="E391"/>
          <cell r="G391"/>
          <cell r="K391"/>
          <cell r="L391"/>
          <cell r="M391"/>
          <cell r="N391"/>
          <cell r="R391"/>
        </row>
        <row r="392">
          <cell r="C392"/>
          <cell r="D392"/>
          <cell r="E392"/>
          <cell r="G392"/>
          <cell r="K392"/>
          <cell r="L392"/>
          <cell r="M392"/>
          <cell r="N392"/>
          <cell r="R392"/>
        </row>
        <row r="393">
          <cell r="C393"/>
          <cell r="D393"/>
          <cell r="E393"/>
          <cell r="G393"/>
          <cell r="K393"/>
          <cell r="L393"/>
          <cell r="M393"/>
          <cell r="N393"/>
          <cell r="R393"/>
        </row>
        <row r="394">
          <cell r="C394"/>
          <cell r="D394"/>
          <cell r="E394"/>
          <cell r="G394"/>
          <cell r="K394"/>
          <cell r="L394"/>
          <cell r="M394"/>
          <cell r="N394"/>
          <cell r="R394"/>
        </row>
        <row r="395">
          <cell r="C395"/>
          <cell r="D395"/>
          <cell r="E395"/>
          <cell r="G395"/>
          <cell r="K395"/>
          <cell r="L395"/>
          <cell r="M395"/>
          <cell r="N395"/>
          <cell r="R395"/>
        </row>
        <row r="396">
          <cell r="C396"/>
          <cell r="D396"/>
          <cell r="E396"/>
          <cell r="G396"/>
          <cell r="K396"/>
          <cell r="L396"/>
          <cell r="M396"/>
          <cell r="N396"/>
          <cell r="R396"/>
        </row>
        <row r="397">
          <cell r="C397"/>
          <cell r="D397"/>
          <cell r="E397"/>
          <cell r="G397"/>
          <cell r="K397"/>
          <cell r="L397"/>
          <cell r="M397"/>
          <cell r="N397"/>
          <cell r="R397"/>
        </row>
        <row r="398">
          <cell r="C398"/>
          <cell r="D398"/>
          <cell r="E398"/>
          <cell r="G398"/>
          <cell r="K398"/>
          <cell r="L398"/>
          <cell r="M398"/>
          <cell r="N398"/>
          <cell r="R398"/>
        </row>
        <row r="399">
          <cell r="C399"/>
          <cell r="D399"/>
          <cell r="E399"/>
          <cell r="G399"/>
          <cell r="K399"/>
          <cell r="L399"/>
          <cell r="M399"/>
          <cell r="N399"/>
          <cell r="R399"/>
        </row>
        <row r="400">
          <cell r="C400"/>
          <cell r="D400"/>
          <cell r="E400"/>
          <cell r="G400"/>
          <cell r="K400"/>
          <cell r="L400"/>
          <cell r="M400"/>
          <cell r="N400"/>
          <cell r="R400"/>
        </row>
        <row r="401">
          <cell r="C401"/>
          <cell r="D401"/>
          <cell r="E401"/>
          <cell r="G401"/>
          <cell r="K401"/>
          <cell r="L401"/>
          <cell r="M401"/>
          <cell r="N401"/>
          <cell r="R401"/>
        </row>
        <row r="402">
          <cell r="C402"/>
          <cell r="D402"/>
          <cell r="E402"/>
          <cell r="G402"/>
          <cell r="K402"/>
          <cell r="L402"/>
          <cell r="M402"/>
          <cell r="N402"/>
          <cell r="R402"/>
        </row>
        <row r="403">
          <cell r="C403"/>
          <cell r="D403"/>
          <cell r="E403"/>
          <cell r="G403"/>
          <cell r="K403"/>
          <cell r="L403"/>
          <cell r="M403"/>
          <cell r="N403"/>
          <cell r="R403"/>
        </row>
        <row r="404">
          <cell r="C404"/>
          <cell r="D404"/>
          <cell r="E404"/>
          <cell r="G404"/>
          <cell r="K404"/>
          <cell r="L404"/>
          <cell r="M404"/>
          <cell r="N404"/>
          <cell r="R404"/>
        </row>
        <row r="405">
          <cell r="C405"/>
          <cell r="D405"/>
          <cell r="E405"/>
          <cell r="G405"/>
          <cell r="K405"/>
          <cell r="L405"/>
          <cell r="M405"/>
          <cell r="N405"/>
          <cell r="R405"/>
        </row>
        <row r="406">
          <cell r="C406"/>
          <cell r="D406"/>
          <cell r="E406"/>
          <cell r="G406"/>
          <cell r="K406"/>
          <cell r="L406"/>
          <cell r="M406"/>
          <cell r="N406"/>
          <cell r="R406"/>
        </row>
        <row r="407">
          <cell r="C407"/>
          <cell r="D407"/>
          <cell r="E407"/>
          <cell r="G407"/>
          <cell r="K407"/>
          <cell r="L407"/>
          <cell r="M407"/>
          <cell r="N407"/>
          <cell r="R407"/>
        </row>
        <row r="408">
          <cell r="C408"/>
          <cell r="D408"/>
          <cell r="E408"/>
          <cell r="G408"/>
          <cell r="K408"/>
          <cell r="L408"/>
          <cell r="M408"/>
          <cell r="N408"/>
          <cell r="R408"/>
        </row>
        <row r="409">
          <cell r="C409"/>
          <cell r="D409"/>
          <cell r="E409"/>
          <cell r="G409"/>
          <cell r="K409"/>
          <cell r="L409"/>
          <cell r="M409"/>
          <cell r="N409"/>
          <cell r="R409"/>
        </row>
        <row r="410">
          <cell r="C410"/>
          <cell r="D410"/>
          <cell r="E410"/>
          <cell r="G410"/>
          <cell r="K410"/>
          <cell r="L410"/>
          <cell r="M410"/>
          <cell r="N410"/>
          <cell r="R410"/>
        </row>
        <row r="411">
          <cell r="C411"/>
          <cell r="D411"/>
          <cell r="E411"/>
          <cell r="G411"/>
          <cell r="K411"/>
          <cell r="L411"/>
          <cell r="M411"/>
          <cell r="N411"/>
          <cell r="R411"/>
        </row>
        <row r="412">
          <cell r="C412"/>
          <cell r="D412"/>
          <cell r="E412"/>
          <cell r="G412"/>
          <cell r="K412"/>
          <cell r="L412"/>
          <cell r="M412"/>
          <cell r="N412"/>
          <cell r="R412"/>
        </row>
        <row r="413">
          <cell r="C413"/>
          <cell r="D413"/>
          <cell r="E413"/>
          <cell r="G413"/>
          <cell r="K413"/>
          <cell r="L413"/>
          <cell r="M413"/>
          <cell r="N413"/>
          <cell r="R413"/>
        </row>
        <row r="414">
          <cell r="C414"/>
          <cell r="D414"/>
          <cell r="E414"/>
          <cell r="G414"/>
          <cell r="K414"/>
          <cell r="L414"/>
          <cell r="M414"/>
          <cell r="N414"/>
          <cell r="R414"/>
        </row>
        <row r="415">
          <cell r="C415"/>
          <cell r="D415"/>
          <cell r="E415"/>
          <cell r="G415"/>
          <cell r="K415"/>
          <cell r="L415"/>
          <cell r="M415"/>
          <cell r="N415"/>
          <cell r="R415"/>
        </row>
        <row r="416">
          <cell r="C416"/>
          <cell r="D416"/>
          <cell r="E416"/>
          <cell r="G416"/>
          <cell r="K416"/>
          <cell r="L416"/>
          <cell r="M416"/>
          <cell r="N416"/>
          <cell r="R416"/>
        </row>
        <row r="417">
          <cell r="C417"/>
          <cell r="D417"/>
          <cell r="E417"/>
          <cell r="G417"/>
          <cell r="K417"/>
          <cell r="L417"/>
          <cell r="M417"/>
          <cell r="N417"/>
          <cell r="R417"/>
        </row>
        <row r="418">
          <cell r="C418"/>
          <cell r="D418"/>
          <cell r="E418"/>
          <cell r="G418"/>
          <cell r="K418"/>
          <cell r="L418"/>
          <cell r="M418"/>
          <cell r="N418"/>
          <cell r="R418"/>
        </row>
        <row r="419">
          <cell r="C419"/>
          <cell r="D419"/>
          <cell r="E419"/>
          <cell r="G419"/>
          <cell r="K419"/>
          <cell r="L419"/>
          <cell r="M419"/>
          <cell r="N419"/>
          <cell r="R419"/>
        </row>
        <row r="420">
          <cell r="C420"/>
          <cell r="D420"/>
          <cell r="E420"/>
          <cell r="G420"/>
          <cell r="K420"/>
          <cell r="L420"/>
          <cell r="M420"/>
          <cell r="N420"/>
          <cell r="R420"/>
        </row>
        <row r="421">
          <cell r="C421"/>
          <cell r="D421"/>
          <cell r="E421"/>
          <cell r="G421"/>
          <cell r="K421"/>
          <cell r="L421"/>
          <cell r="M421"/>
          <cell r="N421"/>
          <cell r="R421"/>
        </row>
        <row r="422">
          <cell r="C422"/>
          <cell r="D422"/>
          <cell r="E422"/>
          <cell r="G422"/>
          <cell r="K422"/>
          <cell r="L422"/>
          <cell r="M422"/>
          <cell r="N422"/>
          <cell r="R422"/>
        </row>
        <row r="423">
          <cell r="C423"/>
          <cell r="D423"/>
          <cell r="E423"/>
          <cell r="G423"/>
          <cell r="K423"/>
          <cell r="L423"/>
          <cell r="M423"/>
          <cell r="N423"/>
          <cell r="R423"/>
        </row>
        <row r="424">
          <cell r="C424"/>
          <cell r="D424"/>
          <cell r="E424"/>
          <cell r="G424"/>
          <cell r="K424"/>
          <cell r="L424"/>
          <cell r="M424"/>
          <cell r="N424"/>
          <cell r="R424"/>
        </row>
        <row r="425">
          <cell r="C425"/>
          <cell r="D425"/>
          <cell r="E425"/>
          <cell r="G425"/>
          <cell r="K425"/>
          <cell r="L425"/>
          <cell r="M425"/>
          <cell r="N425"/>
          <cell r="R425"/>
        </row>
        <row r="426">
          <cell r="C426"/>
          <cell r="D426"/>
          <cell r="E426"/>
          <cell r="G426"/>
          <cell r="K426"/>
          <cell r="L426"/>
          <cell r="M426"/>
          <cell r="N426"/>
          <cell r="R426"/>
        </row>
        <row r="427">
          <cell r="C427"/>
          <cell r="D427"/>
          <cell r="E427"/>
          <cell r="G427"/>
          <cell r="K427"/>
          <cell r="L427"/>
          <cell r="M427"/>
          <cell r="N427"/>
          <cell r="R427"/>
        </row>
        <row r="428">
          <cell r="C428"/>
          <cell r="D428"/>
          <cell r="E428"/>
          <cell r="G428"/>
          <cell r="K428"/>
          <cell r="L428"/>
          <cell r="M428"/>
          <cell r="N428"/>
          <cell r="R428"/>
        </row>
        <row r="429">
          <cell r="C429"/>
          <cell r="D429"/>
          <cell r="E429"/>
          <cell r="G429"/>
          <cell r="K429"/>
          <cell r="L429"/>
          <cell r="M429"/>
          <cell r="N429"/>
          <cell r="R429"/>
        </row>
        <row r="430">
          <cell r="C430"/>
          <cell r="D430"/>
          <cell r="E430"/>
          <cell r="G430"/>
          <cell r="K430"/>
          <cell r="L430"/>
          <cell r="M430"/>
          <cell r="N430"/>
          <cell r="R430"/>
        </row>
        <row r="431">
          <cell r="C431"/>
          <cell r="D431"/>
          <cell r="E431"/>
          <cell r="G431"/>
          <cell r="K431"/>
          <cell r="L431"/>
          <cell r="M431"/>
          <cell r="N431"/>
          <cell r="R431"/>
        </row>
        <row r="432">
          <cell r="C432"/>
          <cell r="D432"/>
          <cell r="E432"/>
          <cell r="G432"/>
          <cell r="K432"/>
          <cell r="L432"/>
          <cell r="M432"/>
          <cell r="N432"/>
          <cell r="R432"/>
        </row>
        <row r="433">
          <cell r="C433"/>
          <cell r="D433"/>
          <cell r="E433"/>
          <cell r="G433"/>
          <cell r="K433"/>
          <cell r="L433"/>
          <cell r="M433"/>
          <cell r="N433"/>
          <cell r="R433"/>
        </row>
        <row r="434">
          <cell r="C434"/>
          <cell r="D434"/>
          <cell r="E434"/>
          <cell r="G434"/>
          <cell r="K434"/>
          <cell r="L434"/>
          <cell r="M434"/>
          <cell r="N434"/>
          <cell r="R434"/>
        </row>
        <row r="435">
          <cell r="C435"/>
          <cell r="D435"/>
          <cell r="E435"/>
          <cell r="G435"/>
          <cell r="K435"/>
          <cell r="L435"/>
          <cell r="M435"/>
          <cell r="N435"/>
          <cell r="R435"/>
        </row>
        <row r="436">
          <cell r="C436"/>
          <cell r="D436"/>
          <cell r="E436"/>
          <cell r="G436"/>
          <cell r="K436"/>
          <cell r="L436"/>
          <cell r="M436"/>
          <cell r="N436"/>
          <cell r="R436"/>
        </row>
        <row r="437">
          <cell r="C437"/>
          <cell r="D437"/>
          <cell r="E437"/>
          <cell r="G437"/>
          <cell r="K437"/>
          <cell r="L437"/>
          <cell r="M437"/>
          <cell r="N437"/>
          <cell r="R437"/>
        </row>
        <row r="438">
          <cell r="C438"/>
          <cell r="D438"/>
          <cell r="E438"/>
          <cell r="G438"/>
          <cell r="K438"/>
          <cell r="L438"/>
          <cell r="M438"/>
          <cell r="N438"/>
          <cell r="R438"/>
        </row>
        <row r="439">
          <cell r="C439"/>
          <cell r="D439"/>
          <cell r="E439"/>
          <cell r="G439"/>
          <cell r="K439"/>
          <cell r="L439"/>
          <cell r="M439"/>
          <cell r="N439"/>
          <cell r="R439"/>
        </row>
        <row r="440">
          <cell r="C440"/>
          <cell r="D440"/>
          <cell r="E440"/>
          <cell r="G440"/>
          <cell r="K440"/>
          <cell r="L440"/>
          <cell r="M440"/>
          <cell r="N440"/>
          <cell r="R440"/>
        </row>
        <row r="441">
          <cell r="C441"/>
          <cell r="D441"/>
          <cell r="E441"/>
          <cell r="G441"/>
          <cell r="K441"/>
          <cell r="L441"/>
          <cell r="M441"/>
          <cell r="N441"/>
          <cell r="R441"/>
        </row>
        <row r="442">
          <cell r="C442"/>
          <cell r="D442"/>
          <cell r="E442"/>
          <cell r="G442"/>
          <cell r="K442"/>
          <cell r="L442"/>
          <cell r="M442"/>
          <cell r="N442"/>
          <cell r="R442"/>
        </row>
        <row r="443">
          <cell r="C443"/>
          <cell r="D443"/>
          <cell r="E443"/>
          <cell r="G443"/>
          <cell r="K443"/>
          <cell r="L443"/>
          <cell r="M443"/>
          <cell r="N443"/>
          <cell r="R443"/>
        </row>
        <row r="444">
          <cell r="C444"/>
          <cell r="D444"/>
          <cell r="E444"/>
          <cell r="G444"/>
          <cell r="K444"/>
          <cell r="L444"/>
          <cell r="M444"/>
          <cell r="N444"/>
          <cell r="R444"/>
        </row>
        <row r="445">
          <cell r="C445"/>
          <cell r="D445"/>
          <cell r="E445"/>
          <cell r="G445"/>
          <cell r="K445"/>
          <cell r="L445"/>
          <cell r="M445"/>
          <cell r="N445"/>
          <cell r="R445"/>
        </row>
        <row r="446">
          <cell r="C446"/>
          <cell r="D446"/>
          <cell r="E446"/>
          <cell r="G446"/>
          <cell r="K446"/>
          <cell r="L446"/>
          <cell r="M446"/>
          <cell r="N446"/>
          <cell r="R446"/>
        </row>
        <row r="447">
          <cell r="C447"/>
          <cell r="D447"/>
          <cell r="E447"/>
          <cell r="G447"/>
          <cell r="K447"/>
          <cell r="L447"/>
          <cell r="M447"/>
          <cell r="N447"/>
          <cell r="R447"/>
        </row>
        <row r="448">
          <cell r="C448"/>
          <cell r="D448"/>
          <cell r="E448"/>
          <cell r="G448"/>
          <cell r="K448"/>
          <cell r="L448"/>
          <cell r="M448"/>
          <cell r="N448"/>
          <cell r="R448"/>
        </row>
        <row r="449">
          <cell r="C449"/>
          <cell r="D449"/>
          <cell r="E449"/>
          <cell r="G449"/>
          <cell r="K449"/>
          <cell r="L449"/>
          <cell r="M449"/>
          <cell r="N449"/>
          <cell r="R449"/>
        </row>
        <row r="450">
          <cell r="C450"/>
          <cell r="D450"/>
          <cell r="E450"/>
          <cell r="G450"/>
          <cell r="K450"/>
          <cell r="L450"/>
          <cell r="M450"/>
          <cell r="N450"/>
          <cell r="R450"/>
        </row>
        <row r="451">
          <cell r="C451"/>
          <cell r="D451"/>
          <cell r="E451"/>
          <cell r="G451"/>
          <cell r="K451"/>
          <cell r="L451"/>
          <cell r="M451"/>
          <cell r="N451"/>
          <cell r="R451"/>
        </row>
        <row r="452">
          <cell r="C452"/>
          <cell r="D452"/>
          <cell r="E452"/>
          <cell r="G452"/>
          <cell r="K452"/>
          <cell r="L452"/>
          <cell r="M452"/>
          <cell r="N452"/>
          <cell r="R452"/>
        </row>
        <row r="453">
          <cell r="C453"/>
          <cell r="D453"/>
          <cell r="E453"/>
          <cell r="G453"/>
          <cell r="K453"/>
          <cell r="L453"/>
          <cell r="M453"/>
          <cell r="N453"/>
          <cell r="R453"/>
        </row>
        <row r="454">
          <cell r="C454"/>
          <cell r="D454"/>
          <cell r="E454"/>
          <cell r="G454"/>
          <cell r="K454"/>
          <cell r="L454"/>
          <cell r="M454"/>
          <cell r="N454"/>
          <cell r="R454"/>
        </row>
        <row r="455">
          <cell r="C455"/>
          <cell r="D455"/>
          <cell r="E455"/>
          <cell r="G455"/>
          <cell r="K455"/>
          <cell r="L455"/>
          <cell r="M455"/>
          <cell r="N455"/>
          <cell r="R455"/>
        </row>
        <row r="456">
          <cell r="C456"/>
          <cell r="D456"/>
          <cell r="E456"/>
          <cell r="G456"/>
          <cell r="K456"/>
          <cell r="L456"/>
          <cell r="M456"/>
          <cell r="N456"/>
          <cell r="R456"/>
        </row>
        <row r="457">
          <cell r="C457"/>
          <cell r="D457"/>
          <cell r="E457"/>
          <cell r="G457"/>
          <cell r="K457"/>
          <cell r="L457"/>
          <cell r="M457"/>
          <cell r="N457"/>
          <cell r="R457"/>
        </row>
        <row r="458">
          <cell r="C458"/>
          <cell r="D458"/>
          <cell r="E458"/>
          <cell r="G458"/>
          <cell r="K458"/>
          <cell r="L458"/>
          <cell r="M458"/>
          <cell r="N458"/>
          <cell r="R458"/>
        </row>
        <row r="459">
          <cell r="C459"/>
          <cell r="D459"/>
          <cell r="E459"/>
          <cell r="G459"/>
          <cell r="K459"/>
          <cell r="L459"/>
          <cell r="M459"/>
          <cell r="N459"/>
          <cell r="R459"/>
        </row>
        <row r="460">
          <cell r="C460"/>
          <cell r="D460"/>
          <cell r="E460"/>
          <cell r="G460"/>
          <cell r="K460"/>
          <cell r="L460"/>
          <cell r="M460"/>
          <cell r="N460"/>
          <cell r="R460"/>
        </row>
        <row r="461">
          <cell r="C461"/>
          <cell r="D461"/>
          <cell r="E461"/>
          <cell r="G461"/>
          <cell r="K461"/>
          <cell r="L461"/>
          <cell r="M461"/>
          <cell r="N461"/>
          <cell r="R461"/>
        </row>
        <row r="462">
          <cell r="C462"/>
          <cell r="D462"/>
          <cell r="E462"/>
          <cell r="G462"/>
          <cell r="K462"/>
          <cell r="L462"/>
          <cell r="M462"/>
          <cell r="N462"/>
          <cell r="R462"/>
        </row>
        <row r="463">
          <cell r="C463"/>
          <cell r="D463"/>
          <cell r="E463"/>
          <cell r="G463"/>
          <cell r="K463"/>
          <cell r="L463"/>
          <cell r="M463"/>
          <cell r="N463"/>
          <cell r="R463"/>
        </row>
        <row r="464">
          <cell r="C464"/>
          <cell r="D464"/>
          <cell r="E464"/>
          <cell r="G464"/>
          <cell r="K464"/>
          <cell r="L464"/>
          <cell r="M464"/>
          <cell r="N464"/>
          <cell r="R464"/>
        </row>
        <row r="465">
          <cell r="C465"/>
          <cell r="D465"/>
          <cell r="E465"/>
          <cell r="G465"/>
          <cell r="K465"/>
          <cell r="L465"/>
          <cell r="M465"/>
          <cell r="N465"/>
          <cell r="R465"/>
        </row>
        <row r="466">
          <cell r="C466"/>
          <cell r="D466"/>
          <cell r="E466"/>
          <cell r="G466"/>
          <cell r="K466"/>
          <cell r="L466"/>
          <cell r="M466"/>
          <cell r="N466"/>
          <cell r="R466"/>
        </row>
        <row r="467">
          <cell r="C467"/>
          <cell r="D467"/>
          <cell r="E467"/>
          <cell r="G467"/>
          <cell r="K467"/>
          <cell r="L467"/>
          <cell r="M467"/>
          <cell r="N467"/>
          <cell r="R467"/>
        </row>
        <row r="468">
          <cell r="C468"/>
          <cell r="D468"/>
          <cell r="E468"/>
          <cell r="G468"/>
          <cell r="K468"/>
          <cell r="L468"/>
          <cell r="M468"/>
          <cell r="N468"/>
          <cell r="R468"/>
        </row>
        <row r="469">
          <cell r="C469"/>
          <cell r="D469"/>
          <cell r="E469"/>
          <cell r="G469"/>
          <cell r="K469"/>
          <cell r="L469"/>
          <cell r="M469"/>
          <cell r="N469"/>
          <cell r="R469"/>
        </row>
        <row r="470">
          <cell r="C470"/>
          <cell r="D470"/>
          <cell r="E470"/>
          <cell r="G470"/>
          <cell r="K470"/>
          <cell r="L470"/>
          <cell r="M470"/>
          <cell r="N470"/>
          <cell r="R470"/>
        </row>
        <row r="471">
          <cell r="C471"/>
          <cell r="D471"/>
          <cell r="E471"/>
          <cell r="G471"/>
          <cell r="K471"/>
          <cell r="L471"/>
          <cell r="M471"/>
          <cell r="N471"/>
          <cell r="R471"/>
        </row>
        <row r="472">
          <cell r="C472"/>
          <cell r="D472"/>
          <cell r="E472"/>
          <cell r="G472"/>
          <cell r="K472"/>
          <cell r="L472"/>
          <cell r="M472"/>
          <cell r="N472"/>
          <cell r="R472"/>
        </row>
        <row r="473">
          <cell r="C473"/>
          <cell r="D473"/>
          <cell r="E473"/>
          <cell r="G473"/>
          <cell r="K473"/>
          <cell r="L473"/>
          <cell r="M473"/>
          <cell r="N473"/>
          <cell r="R473"/>
        </row>
        <row r="474">
          <cell r="C474"/>
          <cell r="D474"/>
          <cell r="E474"/>
          <cell r="G474"/>
          <cell r="K474"/>
          <cell r="L474"/>
          <cell r="M474"/>
          <cell r="N474"/>
          <cell r="R474"/>
        </row>
        <row r="475">
          <cell r="C475"/>
          <cell r="D475"/>
          <cell r="E475"/>
          <cell r="G475"/>
          <cell r="K475"/>
          <cell r="L475"/>
          <cell r="M475"/>
          <cell r="N475"/>
          <cell r="R475"/>
        </row>
        <row r="476">
          <cell r="C476"/>
          <cell r="D476"/>
          <cell r="E476"/>
          <cell r="G476"/>
          <cell r="K476"/>
          <cell r="L476"/>
          <cell r="M476"/>
          <cell r="N476"/>
          <cell r="R476"/>
        </row>
        <row r="477">
          <cell r="C477"/>
          <cell r="D477"/>
          <cell r="E477"/>
          <cell r="G477"/>
          <cell r="K477"/>
          <cell r="L477"/>
          <cell r="M477"/>
          <cell r="N477"/>
          <cell r="R477"/>
        </row>
        <row r="478">
          <cell r="C478"/>
          <cell r="D478"/>
          <cell r="E478"/>
          <cell r="G478"/>
          <cell r="K478"/>
          <cell r="L478"/>
          <cell r="M478"/>
          <cell r="N478"/>
          <cell r="R478"/>
        </row>
        <row r="479">
          <cell r="C479"/>
          <cell r="D479"/>
          <cell r="E479"/>
          <cell r="G479"/>
          <cell r="K479"/>
          <cell r="L479"/>
          <cell r="M479"/>
          <cell r="N479"/>
          <cell r="R479"/>
        </row>
        <row r="480">
          <cell r="C480"/>
          <cell r="D480"/>
          <cell r="E480"/>
          <cell r="G480"/>
          <cell r="K480"/>
          <cell r="L480"/>
          <cell r="M480"/>
          <cell r="N480"/>
          <cell r="R480"/>
        </row>
        <row r="481">
          <cell r="C481"/>
          <cell r="D481"/>
          <cell r="E481"/>
          <cell r="G481"/>
          <cell r="K481"/>
          <cell r="L481"/>
          <cell r="M481"/>
          <cell r="N481"/>
          <cell r="R481"/>
        </row>
        <row r="482">
          <cell r="C482"/>
          <cell r="D482"/>
          <cell r="E482"/>
          <cell r="G482"/>
          <cell r="K482"/>
          <cell r="L482"/>
          <cell r="M482"/>
          <cell r="N482"/>
          <cell r="R482"/>
        </row>
        <row r="483">
          <cell r="C483"/>
          <cell r="D483"/>
          <cell r="E483"/>
          <cell r="G483"/>
          <cell r="K483"/>
          <cell r="L483"/>
          <cell r="M483"/>
          <cell r="N483"/>
          <cell r="R483"/>
        </row>
        <row r="484">
          <cell r="C484"/>
          <cell r="D484"/>
          <cell r="E484"/>
          <cell r="G484"/>
          <cell r="K484"/>
          <cell r="L484"/>
          <cell r="M484"/>
          <cell r="N484"/>
          <cell r="R484"/>
        </row>
        <row r="485">
          <cell r="C485"/>
          <cell r="D485"/>
          <cell r="E485"/>
          <cell r="G485"/>
          <cell r="K485"/>
          <cell r="L485"/>
          <cell r="M485"/>
          <cell r="N485"/>
          <cell r="R485"/>
        </row>
        <row r="486">
          <cell r="C486"/>
          <cell r="D486"/>
          <cell r="E486"/>
          <cell r="G486"/>
          <cell r="K486"/>
          <cell r="L486"/>
          <cell r="M486"/>
          <cell r="N486"/>
          <cell r="R486"/>
        </row>
        <row r="487">
          <cell r="C487"/>
          <cell r="D487"/>
          <cell r="E487"/>
          <cell r="G487"/>
          <cell r="K487"/>
          <cell r="L487"/>
          <cell r="M487"/>
          <cell r="N487"/>
          <cell r="R487"/>
        </row>
        <row r="488">
          <cell r="C488"/>
          <cell r="D488"/>
          <cell r="E488"/>
          <cell r="G488"/>
          <cell r="K488"/>
          <cell r="L488"/>
          <cell r="M488"/>
          <cell r="N488"/>
          <cell r="R488"/>
        </row>
        <row r="489">
          <cell r="C489"/>
          <cell r="D489"/>
          <cell r="E489"/>
          <cell r="G489"/>
          <cell r="K489"/>
          <cell r="L489"/>
          <cell r="M489"/>
          <cell r="N489"/>
          <cell r="R489"/>
        </row>
        <row r="490">
          <cell r="C490"/>
          <cell r="D490"/>
          <cell r="E490"/>
          <cell r="G490"/>
          <cell r="K490"/>
          <cell r="L490"/>
          <cell r="M490"/>
          <cell r="N490"/>
          <cell r="R490"/>
        </row>
        <row r="491">
          <cell r="C491"/>
          <cell r="D491"/>
          <cell r="E491"/>
          <cell r="G491"/>
          <cell r="K491"/>
          <cell r="L491"/>
          <cell r="M491"/>
          <cell r="N491"/>
          <cell r="R491"/>
        </row>
        <row r="492">
          <cell r="C492"/>
          <cell r="D492"/>
          <cell r="E492"/>
          <cell r="G492"/>
          <cell r="K492"/>
          <cell r="L492"/>
          <cell r="M492"/>
          <cell r="N492"/>
          <cell r="R492"/>
        </row>
        <row r="493">
          <cell r="C493"/>
          <cell r="D493"/>
          <cell r="E493"/>
          <cell r="G493"/>
          <cell r="K493"/>
          <cell r="L493"/>
          <cell r="M493"/>
          <cell r="N493"/>
          <cell r="R493"/>
        </row>
        <row r="494">
          <cell r="C494"/>
          <cell r="D494"/>
          <cell r="E494"/>
          <cell r="G494"/>
          <cell r="K494"/>
          <cell r="L494"/>
          <cell r="M494"/>
          <cell r="N494"/>
          <cell r="R494"/>
        </row>
        <row r="495">
          <cell r="C495"/>
          <cell r="D495"/>
          <cell r="E495"/>
          <cell r="G495"/>
          <cell r="K495"/>
          <cell r="L495"/>
          <cell r="M495"/>
          <cell r="N495"/>
          <cell r="R495"/>
        </row>
        <row r="496">
          <cell r="C496"/>
          <cell r="D496"/>
          <cell r="E496"/>
          <cell r="G496"/>
          <cell r="K496"/>
          <cell r="L496"/>
          <cell r="M496"/>
          <cell r="N496"/>
          <cell r="R496"/>
        </row>
        <row r="497">
          <cell r="C497"/>
          <cell r="D497"/>
          <cell r="E497"/>
          <cell r="G497"/>
          <cell r="K497"/>
          <cell r="L497"/>
          <cell r="M497"/>
          <cell r="N497"/>
          <cell r="R497"/>
        </row>
        <row r="498">
          <cell r="C498"/>
          <cell r="D498"/>
          <cell r="E498"/>
          <cell r="G498"/>
          <cell r="K498"/>
          <cell r="L498"/>
          <cell r="M498"/>
          <cell r="N498"/>
          <cell r="R498"/>
        </row>
        <row r="499">
          <cell r="C499"/>
          <cell r="D499"/>
          <cell r="E499"/>
          <cell r="G499"/>
          <cell r="K499"/>
          <cell r="L499"/>
          <cell r="M499"/>
          <cell r="N499"/>
          <cell r="R499"/>
        </row>
        <row r="500">
          <cell r="C500"/>
          <cell r="D500"/>
          <cell r="E500"/>
          <cell r="G500"/>
          <cell r="K500"/>
          <cell r="L500"/>
          <cell r="M500"/>
          <cell r="N500"/>
          <cell r="R500"/>
        </row>
        <row r="501">
          <cell r="C501"/>
          <cell r="D501"/>
          <cell r="E501"/>
          <cell r="G501"/>
          <cell r="K501"/>
          <cell r="L501"/>
          <cell r="M501"/>
          <cell r="N501"/>
          <cell r="R501"/>
        </row>
        <row r="502">
          <cell r="C502"/>
          <cell r="D502"/>
          <cell r="E502"/>
          <cell r="G502"/>
          <cell r="K502"/>
          <cell r="L502"/>
          <cell r="M502"/>
          <cell r="N502"/>
          <cell r="R502"/>
        </row>
        <row r="503">
          <cell r="C503"/>
          <cell r="D503"/>
          <cell r="E503"/>
          <cell r="G503"/>
          <cell r="K503"/>
          <cell r="L503"/>
          <cell r="M503"/>
          <cell r="N503"/>
          <cell r="R503"/>
        </row>
        <row r="504">
          <cell r="C504"/>
          <cell r="D504"/>
          <cell r="E504"/>
          <cell r="G504"/>
          <cell r="K504"/>
          <cell r="L504"/>
          <cell r="M504"/>
          <cell r="N504"/>
          <cell r="R504"/>
        </row>
        <row r="505">
          <cell r="C505"/>
          <cell r="D505"/>
          <cell r="E505"/>
          <cell r="G505"/>
          <cell r="K505"/>
          <cell r="L505"/>
          <cell r="M505"/>
          <cell r="N505"/>
          <cell r="R505"/>
        </row>
        <row r="506">
          <cell r="C506"/>
          <cell r="D506"/>
          <cell r="E506"/>
          <cell r="G506"/>
          <cell r="K506"/>
          <cell r="L506"/>
          <cell r="M506"/>
          <cell r="N506"/>
          <cell r="R506"/>
        </row>
        <row r="507">
          <cell r="C507"/>
          <cell r="D507"/>
          <cell r="E507"/>
          <cell r="G507"/>
          <cell r="K507"/>
          <cell r="L507"/>
          <cell r="M507"/>
          <cell r="N507"/>
          <cell r="R507"/>
        </row>
        <row r="508">
          <cell r="C508"/>
          <cell r="D508"/>
          <cell r="E508"/>
          <cell r="G508"/>
          <cell r="K508"/>
          <cell r="L508"/>
          <cell r="M508"/>
          <cell r="N508"/>
          <cell r="R508"/>
        </row>
        <row r="509">
          <cell r="C509"/>
          <cell r="D509"/>
          <cell r="E509"/>
          <cell r="G509"/>
          <cell r="K509"/>
          <cell r="L509"/>
          <cell r="M509"/>
          <cell r="N509"/>
          <cell r="R509"/>
        </row>
        <row r="510">
          <cell r="C510"/>
          <cell r="D510"/>
          <cell r="E510"/>
          <cell r="G510"/>
          <cell r="K510"/>
          <cell r="L510"/>
          <cell r="M510"/>
          <cell r="N510"/>
          <cell r="R510"/>
        </row>
        <row r="511">
          <cell r="C511"/>
          <cell r="D511"/>
          <cell r="E511"/>
          <cell r="G511"/>
          <cell r="K511"/>
          <cell r="L511"/>
          <cell r="M511"/>
          <cell r="N511"/>
          <cell r="R511"/>
        </row>
        <row r="512">
          <cell r="C512"/>
          <cell r="D512"/>
          <cell r="E512"/>
          <cell r="G512"/>
          <cell r="K512"/>
          <cell r="L512"/>
          <cell r="M512"/>
          <cell r="N512"/>
          <cell r="R512"/>
        </row>
        <row r="513">
          <cell r="C513"/>
          <cell r="D513"/>
          <cell r="E513"/>
          <cell r="G513"/>
          <cell r="K513"/>
          <cell r="L513"/>
          <cell r="M513"/>
          <cell r="N513"/>
          <cell r="R513"/>
        </row>
        <row r="514">
          <cell r="C514"/>
          <cell r="D514"/>
          <cell r="E514"/>
          <cell r="G514"/>
          <cell r="K514"/>
          <cell r="L514"/>
          <cell r="M514"/>
          <cell r="N514"/>
          <cell r="R514"/>
        </row>
        <row r="515">
          <cell r="C515"/>
          <cell r="D515"/>
          <cell r="E515"/>
          <cell r="G515"/>
          <cell r="K515"/>
          <cell r="L515"/>
          <cell r="M515"/>
          <cell r="N515"/>
          <cell r="R515"/>
        </row>
        <row r="516">
          <cell r="C516"/>
          <cell r="D516"/>
          <cell r="E516"/>
          <cell r="G516"/>
          <cell r="K516"/>
          <cell r="L516"/>
          <cell r="M516"/>
          <cell r="N516"/>
          <cell r="R516"/>
        </row>
        <row r="517">
          <cell r="C517"/>
          <cell r="D517"/>
          <cell r="E517"/>
          <cell r="G517"/>
          <cell r="K517"/>
          <cell r="L517"/>
          <cell r="M517"/>
          <cell r="N517"/>
          <cell r="R517"/>
        </row>
        <row r="518">
          <cell r="C518"/>
          <cell r="D518"/>
          <cell r="E518"/>
          <cell r="G518"/>
          <cell r="K518"/>
          <cell r="L518"/>
          <cell r="M518"/>
          <cell r="N518"/>
          <cell r="R518"/>
        </row>
        <row r="519">
          <cell r="C519"/>
          <cell r="D519"/>
          <cell r="E519"/>
          <cell r="G519"/>
          <cell r="K519"/>
          <cell r="L519"/>
          <cell r="M519"/>
          <cell r="N519"/>
          <cell r="R519"/>
        </row>
        <row r="520">
          <cell r="C520"/>
          <cell r="D520"/>
          <cell r="E520"/>
          <cell r="G520"/>
          <cell r="K520"/>
          <cell r="L520"/>
          <cell r="M520"/>
          <cell r="N520"/>
          <cell r="R520"/>
        </row>
        <row r="521">
          <cell r="C521"/>
          <cell r="D521"/>
          <cell r="E521"/>
          <cell r="G521"/>
          <cell r="K521"/>
          <cell r="L521"/>
          <cell r="M521"/>
          <cell r="N521"/>
          <cell r="R521"/>
        </row>
        <row r="522">
          <cell r="C522"/>
          <cell r="D522"/>
          <cell r="E522"/>
          <cell r="G522"/>
          <cell r="K522"/>
          <cell r="L522"/>
          <cell r="M522"/>
          <cell r="N522"/>
          <cell r="R522"/>
        </row>
        <row r="523">
          <cell r="C523"/>
          <cell r="D523"/>
          <cell r="E523"/>
          <cell r="G523"/>
          <cell r="K523"/>
          <cell r="L523"/>
          <cell r="M523"/>
          <cell r="N523"/>
          <cell r="R523"/>
        </row>
        <row r="524">
          <cell r="C524"/>
          <cell r="D524"/>
          <cell r="E524"/>
          <cell r="G524"/>
          <cell r="K524"/>
          <cell r="L524"/>
          <cell r="M524"/>
          <cell r="N524"/>
          <cell r="R524"/>
        </row>
        <row r="525">
          <cell r="C525"/>
          <cell r="D525"/>
          <cell r="E525"/>
          <cell r="G525"/>
          <cell r="K525"/>
          <cell r="L525"/>
          <cell r="M525"/>
          <cell r="N525"/>
          <cell r="R525"/>
        </row>
        <row r="526">
          <cell r="C526"/>
          <cell r="D526"/>
          <cell r="E526"/>
          <cell r="G526"/>
          <cell r="K526"/>
          <cell r="L526"/>
          <cell r="M526"/>
          <cell r="N526"/>
          <cell r="R526"/>
        </row>
        <row r="527">
          <cell r="C527"/>
          <cell r="D527"/>
          <cell r="E527"/>
          <cell r="G527"/>
          <cell r="K527"/>
          <cell r="L527"/>
          <cell r="M527"/>
          <cell r="N527"/>
          <cell r="R527"/>
        </row>
        <row r="528">
          <cell r="C528"/>
          <cell r="D528"/>
          <cell r="E528"/>
          <cell r="G528"/>
          <cell r="K528"/>
          <cell r="L528"/>
          <cell r="M528"/>
          <cell r="N528"/>
          <cell r="R528"/>
        </row>
        <row r="529">
          <cell r="C529"/>
          <cell r="D529"/>
          <cell r="E529"/>
          <cell r="G529"/>
          <cell r="K529"/>
          <cell r="L529"/>
          <cell r="M529"/>
          <cell r="N529"/>
          <cell r="R529"/>
        </row>
        <row r="530">
          <cell r="C530"/>
          <cell r="D530"/>
          <cell r="E530"/>
          <cell r="G530"/>
          <cell r="K530"/>
          <cell r="L530"/>
          <cell r="M530"/>
          <cell r="N530"/>
          <cell r="R530"/>
        </row>
        <row r="531">
          <cell r="C531"/>
          <cell r="D531"/>
          <cell r="E531"/>
          <cell r="G531"/>
          <cell r="K531"/>
          <cell r="L531"/>
          <cell r="M531"/>
          <cell r="N531"/>
          <cell r="R531"/>
        </row>
        <row r="532">
          <cell r="C532"/>
          <cell r="D532"/>
          <cell r="E532"/>
          <cell r="G532"/>
          <cell r="K532"/>
          <cell r="L532"/>
          <cell r="M532"/>
          <cell r="N532"/>
          <cell r="R532"/>
        </row>
        <row r="533">
          <cell r="C533"/>
          <cell r="D533"/>
          <cell r="E533"/>
          <cell r="G533"/>
          <cell r="K533"/>
          <cell r="L533"/>
          <cell r="M533"/>
          <cell r="N533"/>
          <cell r="R533"/>
        </row>
        <row r="534">
          <cell r="C534"/>
          <cell r="D534"/>
          <cell r="E534"/>
          <cell r="G534"/>
          <cell r="K534"/>
          <cell r="L534"/>
          <cell r="M534"/>
          <cell r="N534"/>
          <cell r="R534"/>
        </row>
        <row r="535">
          <cell r="C535"/>
          <cell r="D535"/>
          <cell r="E535"/>
          <cell r="G535"/>
          <cell r="K535"/>
          <cell r="L535"/>
          <cell r="M535"/>
          <cell r="N535"/>
          <cell r="R535"/>
        </row>
        <row r="536">
          <cell r="C536"/>
          <cell r="D536"/>
          <cell r="E536"/>
          <cell r="G536"/>
          <cell r="K536"/>
          <cell r="L536"/>
          <cell r="M536"/>
          <cell r="N536"/>
          <cell r="R536"/>
        </row>
        <row r="537">
          <cell r="C537"/>
          <cell r="D537"/>
          <cell r="E537"/>
          <cell r="G537"/>
          <cell r="K537"/>
          <cell r="L537"/>
          <cell r="M537"/>
          <cell r="N537"/>
          <cell r="R537"/>
        </row>
        <row r="538">
          <cell r="C538"/>
          <cell r="D538"/>
          <cell r="E538"/>
          <cell r="G538"/>
          <cell r="K538"/>
          <cell r="L538"/>
          <cell r="M538"/>
          <cell r="N538"/>
          <cell r="R538"/>
        </row>
        <row r="539">
          <cell r="C539"/>
          <cell r="D539"/>
          <cell r="E539"/>
          <cell r="G539"/>
          <cell r="K539"/>
          <cell r="L539"/>
          <cell r="M539"/>
          <cell r="N539"/>
          <cell r="R539"/>
        </row>
        <row r="540">
          <cell r="C540"/>
          <cell r="D540"/>
          <cell r="E540"/>
          <cell r="G540"/>
          <cell r="K540"/>
          <cell r="L540"/>
          <cell r="M540"/>
          <cell r="N540"/>
          <cell r="R540"/>
        </row>
        <row r="541">
          <cell r="C541"/>
          <cell r="D541"/>
          <cell r="E541"/>
          <cell r="G541"/>
          <cell r="K541"/>
          <cell r="L541"/>
          <cell r="M541"/>
          <cell r="N541"/>
          <cell r="R541"/>
        </row>
        <row r="542">
          <cell r="C542"/>
          <cell r="D542"/>
          <cell r="E542"/>
          <cell r="G542"/>
          <cell r="K542"/>
          <cell r="L542"/>
          <cell r="M542"/>
          <cell r="N542"/>
          <cell r="R542"/>
        </row>
        <row r="543">
          <cell r="C543"/>
          <cell r="D543"/>
          <cell r="E543"/>
          <cell r="G543"/>
          <cell r="K543"/>
          <cell r="L543"/>
          <cell r="M543"/>
          <cell r="N543"/>
          <cell r="R543"/>
        </row>
        <row r="544">
          <cell r="C544"/>
          <cell r="D544"/>
          <cell r="E544"/>
          <cell r="G544"/>
          <cell r="K544"/>
          <cell r="L544"/>
          <cell r="M544"/>
          <cell r="N544"/>
          <cell r="R544"/>
        </row>
        <row r="545">
          <cell r="C545"/>
          <cell r="D545"/>
          <cell r="E545"/>
          <cell r="G545"/>
          <cell r="K545"/>
          <cell r="L545"/>
          <cell r="M545"/>
          <cell r="N545"/>
          <cell r="R545"/>
        </row>
        <row r="546">
          <cell r="C546"/>
          <cell r="D546"/>
          <cell r="E546"/>
          <cell r="G546"/>
          <cell r="K546"/>
          <cell r="L546"/>
          <cell r="M546"/>
          <cell r="N546"/>
          <cell r="R546"/>
        </row>
        <row r="547">
          <cell r="C547"/>
          <cell r="D547"/>
          <cell r="E547"/>
          <cell r="G547"/>
          <cell r="K547"/>
          <cell r="L547"/>
          <cell r="M547"/>
          <cell r="N547"/>
          <cell r="R547"/>
        </row>
        <row r="548">
          <cell r="C548"/>
          <cell r="D548"/>
          <cell r="E548"/>
          <cell r="G548"/>
          <cell r="K548"/>
          <cell r="L548"/>
          <cell r="M548"/>
          <cell r="N548"/>
          <cell r="R548"/>
        </row>
        <row r="549">
          <cell r="C549"/>
          <cell r="D549"/>
          <cell r="E549"/>
          <cell r="G549"/>
          <cell r="K549"/>
          <cell r="L549"/>
          <cell r="M549"/>
          <cell r="N549"/>
          <cell r="R549"/>
        </row>
        <row r="550">
          <cell r="C550"/>
          <cell r="D550"/>
          <cell r="E550"/>
          <cell r="G550"/>
          <cell r="K550"/>
          <cell r="L550"/>
          <cell r="M550"/>
          <cell r="N550"/>
          <cell r="R550"/>
        </row>
        <row r="551">
          <cell r="C551"/>
          <cell r="D551"/>
          <cell r="E551"/>
          <cell r="G551"/>
          <cell r="K551"/>
          <cell r="L551"/>
          <cell r="M551"/>
          <cell r="N551"/>
          <cell r="R551"/>
        </row>
        <row r="552">
          <cell r="C552"/>
          <cell r="D552"/>
          <cell r="E552"/>
          <cell r="G552"/>
          <cell r="K552"/>
          <cell r="L552"/>
          <cell r="M552"/>
          <cell r="N552"/>
          <cell r="R552"/>
        </row>
        <row r="553">
          <cell r="C553"/>
          <cell r="D553"/>
          <cell r="E553"/>
          <cell r="G553"/>
          <cell r="K553"/>
          <cell r="L553"/>
          <cell r="M553"/>
          <cell r="N553"/>
          <cell r="R553"/>
        </row>
        <row r="554">
          <cell r="C554"/>
          <cell r="D554"/>
          <cell r="E554"/>
          <cell r="G554"/>
          <cell r="K554"/>
          <cell r="L554"/>
          <cell r="M554"/>
          <cell r="N554"/>
          <cell r="R554"/>
        </row>
        <row r="555">
          <cell r="C555"/>
          <cell r="D555"/>
          <cell r="E555"/>
          <cell r="G555"/>
          <cell r="K555"/>
          <cell r="L555"/>
          <cell r="M555"/>
          <cell r="N555"/>
          <cell r="R555"/>
        </row>
        <row r="556">
          <cell r="C556"/>
          <cell r="D556"/>
          <cell r="E556"/>
          <cell r="G556"/>
          <cell r="K556"/>
          <cell r="L556"/>
          <cell r="M556"/>
          <cell r="N556"/>
          <cell r="R556"/>
        </row>
        <row r="557">
          <cell r="C557"/>
          <cell r="D557"/>
          <cell r="E557"/>
          <cell r="G557"/>
          <cell r="K557"/>
          <cell r="L557"/>
          <cell r="M557"/>
          <cell r="N557"/>
          <cell r="R557"/>
        </row>
        <row r="558">
          <cell r="C558"/>
          <cell r="D558"/>
          <cell r="E558"/>
          <cell r="G558"/>
          <cell r="K558"/>
          <cell r="L558"/>
          <cell r="M558"/>
          <cell r="N558"/>
          <cell r="R558"/>
        </row>
        <row r="559">
          <cell r="C559"/>
          <cell r="D559"/>
          <cell r="E559"/>
          <cell r="G559"/>
          <cell r="K559"/>
          <cell r="L559"/>
          <cell r="M559"/>
          <cell r="N559"/>
          <cell r="R559"/>
        </row>
        <row r="560">
          <cell r="C560"/>
          <cell r="D560"/>
          <cell r="E560"/>
          <cell r="G560"/>
          <cell r="K560"/>
          <cell r="L560"/>
          <cell r="M560"/>
          <cell r="N560"/>
          <cell r="R560"/>
        </row>
        <row r="561">
          <cell r="C561"/>
          <cell r="D561"/>
          <cell r="E561"/>
          <cell r="G561"/>
          <cell r="K561"/>
          <cell r="L561"/>
          <cell r="M561"/>
          <cell r="N561"/>
          <cell r="R561"/>
        </row>
        <row r="562">
          <cell r="C562"/>
          <cell r="D562"/>
          <cell r="E562"/>
          <cell r="G562"/>
          <cell r="K562"/>
          <cell r="L562"/>
          <cell r="M562"/>
          <cell r="N562"/>
          <cell r="R562"/>
        </row>
        <row r="563">
          <cell r="C563"/>
          <cell r="D563"/>
          <cell r="E563"/>
          <cell r="G563"/>
          <cell r="K563"/>
          <cell r="L563"/>
          <cell r="M563"/>
          <cell r="N563"/>
          <cell r="R563"/>
        </row>
        <row r="564">
          <cell r="C564"/>
          <cell r="D564"/>
          <cell r="E564"/>
          <cell r="G564"/>
          <cell r="K564"/>
          <cell r="L564"/>
          <cell r="M564"/>
          <cell r="N564"/>
          <cell r="R564"/>
        </row>
        <row r="565">
          <cell r="C565"/>
          <cell r="D565"/>
          <cell r="E565"/>
          <cell r="G565"/>
          <cell r="K565"/>
          <cell r="L565"/>
          <cell r="M565"/>
          <cell r="N565"/>
          <cell r="R565"/>
        </row>
        <row r="566">
          <cell r="C566"/>
          <cell r="D566"/>
          <cell r="E566"/>
          <cell r="G566"/>
          <cell r="K566"/>
          <cell r="L566"/>
          <cell r="M566"/>
          <cell r="N566"/>
          <cell r="R566"/>
        </row>
        <row r="567">
          <cell r="C567"/>
          <cell r="D567"/>
          <cell r="E567"/>
          <cell r="G567"/>
          <cell r="K567"/>
          <cell r="L567"/>
          <cell r="M567"/>
          <cell r="N567"/>
          <cell r="R567"/>
        </row>
        <row r="568">
          <cell r="C568"/>
          <cell r="D568"/>
          <cell r="E568"/>
          <cell r="G568"/>
          <cell r="K568"/>
          <cell r="L568"/>
          <cell r="M568"/>
          <cell r="N568"/>
          <cell r="R568"/>
        </row>
        <row r="569">
          <cell r="C569"/>
          <cell r="D569"/>
          <cell r="E569"/>
          <cell r="G569"/>
          <cell r="K569"/>
          <cell r="L569"/>
          <cell r="M569"/>
          <cell r="N569"/>
          <cell r="R569"/>
        </row>
        <row r="570">
          <cell r="C570"/>
          <cell r="D570"/>
          <cell r="E570"/>
          <cell r="G570"/>
          <cell r="K570"/>
          <cell r="L570"/>
          <cell r="M570"/>
          <cell r="N570"/>
          <cell r="R570"/>
        </row>
        <row r="571">
          <cell r="C571"/>
          <cell r="D571"/>
          <cell r="E571"/>
          <cell r="G571"/>
          <cell r="K571"/>
          <cell r="L571"/>
          <cell r="M571"/>
          <cell r="N571"/>
          <cell r="R571"/>
        </row>
        <row r="572">
          <cell r="C572"/>
          <cell r="D572"/>
          <cell r="E572"/>
          <cell r="G572"/>
          <cell r="K572"/>
          <cell r="L572"/>
          <cell r="M572"/>
          <cell r="N572"/>
          <cell r="R572"/>
        </row>
        <row r="573">
          <cell r="C573"/>
          <cell r="D573"/>
          <cell r="E573"/>
          <cell r="G573"/>
          <cell r="K573"/>
          <cell r="L573"/>
          <cell r="M573"/>
          <cell r="N573"/>
          <cell r="R573"/>
        </row>
        <row r="574">
          <cell r="C574"/>
          <cell r="D574"/>
          <cell r="E574"/>
          <cell r="G574"/>
          <cell r="K574"/>
          <cell r="L574"/>
          <cell r="M574"/>
          <cell r="N574"/>
          <cell r="R574"/>
        </row>
        <row r="575">
          <cell r="C575"/>
          <cell r="D575"/>
          <cell r="E575"/>
          <cell r="G575"/>
          <cell r="K575"/>
          <cell r="L575"/>
          <cell r="M575"/>
          <cell r="N575"/>
          <cell r="R575"/>
        </row>
        <row r="576">
          <cell r="C576"/>
          <cell r="D576"/>
          <cell r="E576"/>
          <cell r="G576"/>
          <cell r="K576"/>
          <cell r="L576"/>
          <cell r="M576"/>
          <cell r="N576"/>
          <cell r="R576"/>
        </row>
        <row r="577">
          <cell r="C577"/>
          <cell r="D577"/>
          <cell r="E577"/>
          <cell r="G577"/>
          <cell r="K577"/>
          <cell r="L577"/>
          <cell r="M577"/>
          <cell r="N577"/>
          <cell r="R577"/>
        </row>
        <row r="578">
          <cell r="C578"/>
          <cell r="D578"/>
          <cell r="E578"/>
          <cell r="G578"/>
          <cell r="K578"/>
          <cell r="L578"/>
          <cell r="M578"/>
          <cell r="N578"/>
          <cell r="R578"/>
        </row>
        <row r="579">
          <cell r="C579"/>
          <cell r="D579"/>
          <cell r="E579"/>
          <cell r="G579"/>
          <cell r="K579"/>
          <cell r="L579"/>
          <cell r="M579"/>
          <cell r="N579"/>
          <cell r="R579"/>
        </row>
        <row r="580">
          <cell r="C580"/>
          <cell r="D580"/>
          <cell r="E580"/>
          <cell r="G580"/>
          <cell r="K580"/>
          <cell r="L580"/>
          <cell r="M580"/>
          <cell r="N580"/>
          <cell r="R580"/>
        </row>
        <row r="581">
          <cell r="C581"/>
          <cell r="D581"/>
          <cell r="E581"/>
          <cell r="G581"/>
          <cell r="K581"/>
          <cell r="L581"/>
          <cell r="M581"/>
          <cell r="N581"/>
          <cell r="R581"/>
        </row>
        <row r="582">
          <cell r="C582"/>
          <cell r="D582"/>
          <cell r="E582"/>
          <cell r="G582"/>
          <cell r="K582"/>
          <cell r="L582"/>
          <cell r="M582"/>
          <cell r="N582"/>
          <cell r="R582"/>
        </row>
        <row r="583">
          <cell r="C583"/>
          <cell r="D583"/>
          <cell r="E583"/>
          <cell r="G583"/>
          <cell r="K583"/>
          <cell r="L583"/>
          <cell r="M583"/>
          <cell r="N583"/>
          <cell r="R583"/>
        </row>
        <row r="584">
          <cell r="C584"/>
          <cell r="D584"/>
          <cell r="E584"/>
          <cell r="G584"/>
          <cell r="K584"/>
          <cell r="L584"/>
          <cell r="M584"/>
          <cell r="N584"/>
          <cell r="R584"/>
        </row>
        <row r="585">
          <cell r="C585"/>
          <cell r="D585"/>
          <cell r="E585"/>
          <cell r="G585"/>
          <cell r="K585"/>
          <cell r="L585"/>
          <cell r="M585"/>
          <cell r="N585"/>
          <cell r="R585"/>
        </row>
        <row r="586">
          <cell r="C586"/>
          <cell r="D586"/>
          <cell r="E586"/>
          <cell r="G586"/>
          <cell r="K586"/>
          <cell r="L586"/>
          <cell r="M586"/>
          <cell r="N586"/>
          <cell r="R586"/>
        </row>
        <row r="587">
          <cell r="C587"/>
          <cell r="D587"/>
          <cell r="E587"/>
          <cell r="G587"/>
          <cell r="K587"/>
          <cell r="L587"/>
          <cell r="M587"/>
          <cell r="N587"/>
          <cell r="R587"/>
        </row>
        <row r="588">
          <cell r="C588"/>
          <cell r="D588"/>
          <cell r="E588"/>
          <cell r="G588"/>
          <cell r="K588"/>
          <cell r="L588"/>
          <cell r="M588"/>
          <cell r="N588"/>
          <cell r="R588"/>
        </row>
        <row r="589">
          <cell r="C589"/>
          <cell r="D589"/>
          <cell r="E589"/>
          <cell r="G589"/>
          <cell r="K589"/>
          <cell r="L589"/>
          <cell r="M589"/>
          <cell r="N589"/>
          <cell r="R589"/>
        </row>
        <row r="590">
          <cell r="C590"/>
          <cell r="D590"/>
          <cell r="E590"/>
          <cell r="G590"/>
          <cell r="K590"/>
          <cell r="L590"/>
          <cell r="M590"/>
          <cell r="N590"/>
          <cell r="R590"/>
        </row>
        <row r="591">
          <cell r="C591"/>
          <cell r="D591"/>
          <cell r="E591"/>
          <cell r="G591"/>
          <cell r="K591"/>
          <cell r="L591"/>
          <cell r="M591"/>
          <cell r="N591"/>
          <cell r="R591"/>
        </row>
        <row r="592">
          <cell r="C592"/>
          <cell r="D592"/>
          <cell r="E592"/>
          <cell r="G592"/>
          <cell r="K592"/>
          <cell r="L592"/>
          <cell r="M592"/>
          <cell r="N592"/>
          <cell r="R592"/>
        </row>
        <row r="593">
          <cell r="C593"/>
          <cell r="D593"/>
          <cell r="E593"/>
          <cell r="G593"/>
          <cell r="K593"/>
          <cell r="L593"/>
          <cell r="M593"/>
          <cell r="N593"/>
          <cell r="R593"/>
        </row>
        <row r="594">
          <cell r="C594"/>
          <cell r="D594"/>
          <cell r="E594"/>
          <cell r="G594"/>
          <cell r="K594"/>
          <cell r="L594"/>
          <cell r="M594"/>
          <cell r="N594"/>
          <cell r="R594"/>
        </row>
        <row r="595">
          <cell r="C595"/>
          <cell r="D595"/>
          <cell r="E595"/>
          <cell r="G595"/>
          <cell r="K595"/>
          <cell r="L595"/>
          <cell r="M595"/>
          <cell r="N595"/>
          <cell r="R595"/>
        </row>
        <row r="596">
          <cell r="C596"/>
          <cell r="D596"/>
          <cell r="E596"/>
          <cell r="G596"/>
          <cell r="K596"/>
          <cell r="L596"/>
          <cell r="M596"/>
          <cell r="N596"/>
          <cell r="R596"/>
        </row>
        <row r="597">
          <cell r="C597"/>
          <cell r="D597"/>
          <cell r="E597"/>
          <cell r="G597"/>
          <cell r="K597"/>
          <cell r="L597"/>
          <cell r="M597"/>
          <cell r="N597"/>
          <cell r="R597"/>
        </row>
        <row r="598">
          <cell r="C598"/>
          <cell r="D598"/>
          <cell r="E598"/>
          <cell r="G598"/>
          <cell r="K598"/>
          <cell r="L598"/>
          <cell r="M598"/>
          <cell r="N598"/>
          <cell r="R598"/>
        </row>
        <row r="599">
          <cell r="C599"/>
          <cell r="D599"/>
          <cell r="E599"/>
          <cell r="G599"/>
          <cell r="K599"/>
          <cell r="L599"/>
          <cell r="M599"/>
          <cell r="N599"/>
          <cell r="R599"/>
        </row>
        <row r="600">
          <cell r="C600"/>
          <cell r="D600"/>
          <cell r="E600"/>
          <cell r="G600"/>
          <cell r="K600"/>
          <cell r="L600"/>
          <cell r="M600"/>
          <cell r="N600"/>
          <cell r="R600"/>
        </row>
        <row r="601">
          <cell r="C601"/>
          <cell r="D601"/>
          <cell r="E601"/>
          <cell r="G601"/>
          <cell r="K601"/>
          <cell r="L601"/>
          <cell r="M601"/>
          <cell r="N601"/>
          <cell r="R601"/>
        </row>
        <row r="602">
          <cell r="C602"/>
          <cell r="D602"/>
          <cell r="E602"/>
          <cell r="G602"/>
          <cell r="K602"/>
          <cell r="L602"/>
          <cell r="M602"/>
          <cell r="N602"/>
          <cell r="R602"/>
        </row>
        <row r="603">
          <cell r="C603"/>
          <cell r="D603"/>
          <cell r="E603"/>
          <cell r="G603"/>
          <cell r="K603"/>
          <cell r="L603"/>
          <cell r="M603"/>
          <cell r="N603"/>
          <cell r="R603"/>
        </row>
        <row r="604">
          <cell r="C604"/>
          <cell r="D604"/>
          <cell r="E604"/>
          <cell r="G604"/>
          <cell r="K604"/>
          <cell r="L604"/>
          <cell r="M604"/>
          <cell r="N604"/>
          <cell r="R604"/>
        </row>
        <row r="605">
          <cell r="C605"/>
          <cell r="D605"/>
          <cell r="E605"/>
          <cell r="G605"/>
          <cell r="K605"/>
          <cell r="L605"/>
          <cell r="M605"/>
          <cell r="N605"/>
          <cell r="R605"/>
        </row>
        <row r="606">
          <cell r="C606"/>
          <cell r="D606"/>
          <cell r="E606"/>
          <cell r="G606"/>
          <cell r="K606"/>
          <cell r="L606"/>
          <cell r="M606"/>
          <cell r="N606"/>
          <cell r="R606"/>
        </row>
        <row r="607">
          <cell r="C607"/>
          <cell r="D607"/>
          <cell r="E607"/>
          <cell r="G607"/>
          <cell r="K607"/>
          <cell r="L607"/>
          <cell r="M607"/>
          <cell r="N607"/>
          <cell r="R607"/>
        </row>
        <row r="608">
          <cell r="C608"/>
          <cell r="D608"/>
          <cell r="E608"/>
          <cell r="G608"/>
          <cell r="K608"/>
          <cell r="L608"/>
          <cell r="M608"/>
          <cell r="N608"/>
          <cell r="R608"/>
        </row>
        <row r="609">
          <cell r="C609"/>
          <cell r="D609"/>
          <cell r="E609"/>
          <cell r="G609"/>
          <cell r="K609"/>
          <cell r="L609"/>
          <cell r="M609"/>
          <cell r="N609"/>
          <cell r="R609"/>
        </row>
        <row r="610">
          <cell r="C610"/>
          <cell r="D610"/>
          <cell r="E610"/>
          <cell r="G610"/>
          <cell r="K610"/>
          <cell r="L610"/>
          <cell r="M610"/>
          <cell r="N610"/>
          <cell r="R610"/>
        </row>
        <row r="611">
          <cell r="C611"/>
          <cell r="D611"/>
          <cell r="E611"/>
          <cell r="G611"/>
          <cell r="K611"/>
          <cell r="L611"/>
          <cell r="M611"/>
          <cell r="N611"/>
          <cell r="R611"/>
        </row>
        <row r="612">
          <cell r="C612"/>
          <cell r="D612"/>
          <cell r="E612"/>
          <cell r="G612"/>
          <cell r="K612"/>
          <cell r="L612"/>
          <cell r="M612"/>
          <cell r="N612"/>
          <cell r="R612"/>
        </row>
        <row r="613">
          <cell r="C613"/>
          <cell r="D613"/>
          <cell r="E613"/>
          <cell r="G613"/>
          <cell r="K613"/>
          <cell r="L613"/>
          <cell r="M613"/>
          <cell r="N613"/>
          <cell r="R613"/>
        </row>
        <row r="614">
          <cell r="C614"/>
          <cell r="D614"/>
          <cell r="E614"/>
          <cell r="G614"/>
          <cell r="K614"/>
          <cell r="L614"/>
          <cell r="M614"/>
          <cell r="N614"/>
          <cell r="R614"/>
        </row>
        <row r="615">
          <cell r="C615"/>
          <cell r="D615"/>
          <cell r="E615"/>
          <cell r="G615"/>
          <cell r="K615"/>
          <cell r="L615"/>
          <cell r="M615"/>
          <cell r="N615"/>
          <cell r="R615"/>
        </row>
        <row r="616">
          <cell r="C616"/>
          <cell r="D616"/>
          <cell r="E616"/>
          <cell r="G616"/>
          <cell r="K616"/>
          <cell r="L616"/>
          <cell r="M616"/>
          <cell r="N616"/>
          <cell r="R616"/>
        </row>
        <row r="617">
          <cell r="C617"/>
          <cell r="D617"/>
          <cell r="E617"/>
          <cell r="G617"/>
          <cell r="K617"/>
          <cell r="L617"/>
          <cell r="M617"/>
          <cell r="N617"/>
          <cell r="R617"/>
        </row>
        <row r="618">
          <cell r="C618"/>
          <cell r="D618"/>
          <cell r="E618"/>
          <cell r="G618"/>
          <cell r="K618"/>
          <cell r="L618"/>
          <cell r="M618"/>
          <cell r="N618"/>
          <cell r="R618"/>
        </row>
        <row r="619">
          <cell r="C619"/>
          <cell r="D619"/>
          <cell r="E619"/>
          <cell r="G619"/>
          <cell r="K619"/>
          <cell r="L619"/>
          <cell r="M619"/>
          <cell r="N619"/>
          <cell r="R619"/>
        </row>
        <row r="620">
          <cell r="C620"/>
          <cell r="D620"/>
          <cell r="E620"/>
          <cell r="G620"/>
          <cell r="K620"/>
          <cell r="L620"/>
          <cell r="M620"/>
          <cell r="N620"/>
          <cell r="R620"/>
        </row>
        <row r="621">
          <cell r="C621"/>
          <cell r="D621"/>
          <cell r="E621"/>
          <cell r="G621"/>
          <cell r="K621"/>
          <cell r="L621"/>
          <cell r="M621"/>
          <cell r="N621"/>
          <cell r="R621"/>
        </row>
        <row r="622">
          <cell r="C622"/>
          <cell r="D622"/>
          <cell r="E622"/>
          <cell r="G622"/>
          <cell r="K622"/>
          <cell r="L622"/>
          <cell r="M622"/>
          <cell r="N622"/>
          <cell r="R622"/>
        </row>
        <row r="623">
          <cell r="C623"/>
          <cell r="D623"/>
          <cell r="E623"/>
          <cell r="G623"/>
          <cell r="K623"/>
          <cell r="L623"/>
          <cell r="M623"/>
          <cell r="N623"/>
          <cell r="R623"/>
        </row>
        <row r="624">
          <cell r="C624"/>
          <cell r="D624"/>
          <cell r="E624"/>
          <cell r="G624"/>
          <cell r="K624"/>
          <cell r="L624"/>
          <cell r="M624"/>
          <cell r="N624"/>
          <cell r="R624"/>
        </row>
        <row r="625">
          <cell r="C625"/>
          <cell r="D625"/>
          <cell r="E625"/>
          <cell r="G625"/>
          <cell r="K625"/>
          <cell r="L625"/>
          <cell r="M625"/>
          <cell r="N625"/>
          <cell r="R625"/>
        </row>
        <row r="626">
          <cell r="C626"/>
          <cell r="D626"/>
          <cell r="E626"/>
          <cell r="G626"/>
          <cell r="K626"/>
          <cell r="L626"/>
          <cell r="M626"/>
          <cell r="N626"/>
          <cell r="R626"/>
        </row>
        <row r="627">
          <cell r="C627"/>
          <cell r="D627"/>
          <cell r="E627"/>
          <cell r="G627"/>
          <cell r="K627"/>
          <cell r="L627"/>
          <cell r="M627"/>
          <cell r="N627"/>
          <cell r="R627"/>
        </row>
        <row r="628">
          <cell r="C628"/>
          <cell r="D628"/>
          <cell r="E628"/>
          <cell r="G628"/>
          <cell r="K628"/>
          <cell r="L628"/>
          <cell r="M628"/>
          <cell r="N628"/>
          <cell r="R628"/>
        </row>
        <row r="629">
          <cell r="C629"/>
          <cell r="D629"/>
          <cell r="E629"/>
          <cell r="G629"/>
          <cell r="K629"/>
          <cell r="L629"/>
          <cell r="M629"/>
          <cell r="N629"/>
          <cell r="R629"/>
        </row>
        <row r="630">
          <cell r="C630"/>
          <cell r="D630"/>
          <cell r="E630"/>
          <cell r="G630"/>
          <cell r="K630"/>
          <cell r="L630"/>
          <cell r="M630"/>
          <cell r="N630"/>
          <cell r="R630"/>
        </row>
        <row r="631">
          <cell r="C631"/>
          <cell r="D631"/>
          <cell r="E631"/>
          <cell r="G631"/>
          <cell r="K631"/>
          <cell r="L631"/>
          <cell r="M631"/>
          <cell r="N631"/>
          <cell r="R631"/>
        </row>
        <row r="632">
          <cell r="C632"/>
          <cell r="D632"/>
          <cell r="E632"/>
          <cell r="G632"/>
          <cell r="K632"/>
          <cell r="L632"/>
          <cell r="M632"/>
          <cell r="N632"/>
          <cell r="R632"/>
        </row>
        <row r="633">
          <cell r="C633"/>
          <cell r="D633"/>
          <cell r="E633"/>
          <cell r="G633"/>
          <cell r="K633"/>
          <cell r="L633"/>
          <cell r="M633"/>
          <cell r="N633"/>
          <cell r="R633"/>
        </row>
        <row r="634">
          <cell r="C634"/>
          <cell r="D634"/>
          <cell r="E634"/>
          <cell r="G634"/>
          <cell r="K634"/>
          <cell r="L634"/>
          <cell r="M634"/>
          <cell r="N634"/>
          <cell r="R634"/>
        </row>
        <row r="635">
          <cell r="C635"/>
          <cell r="D635"/>
          <cell r="E635"/>
          <cell r="G635"/>
          <cell r="K635"/>
          <cell r="L635"/>
          <cell r="M635"/>
          <cell r="N635"/>
          <cell r="R635"/>
        </row>
        <row r="636">
          <cell r="C636"/>
          <cell r="D636"/>
          <cell r="E636"/>
          <cell r="G636"/>
          <cell r="K636"/>
          <cell r="L636"/>
          <cell r="M636"/>
          <cell r="N636"/>
          <cell r="R636"/>
        </row>
        <row r="637">
          <cell r="C637"/>
          <cell r="D637"/>
          <cell r="E637"/>
          <cell r="G637"/>
          <cell r="K637"/>
          <cell r="L637"/>
          <cell r="M637"/>
          <cell r="N637"/>
          <cell r="R637"/>
        </row>
        <row r="638">
          <cell r="C638"/>
          <cell r="D638"/>
          <cell r="E638"/>
          <cell r="G638"/>
          <cell r="K638"/>
          <cell r="L638"/>
          <cell r="M638"/>
          <cell r="N638"/>
          <cell r="R638"/>
        </row>
        <row r="639">
          <cell r="C639"/>
          <cell r="D639"/>
          <cell r="E639"/>
          <cell r="G639"/>
          <cell r="K639"/>
          <cell r="L639"/>
          <cell r="M639"/>
          <cell r="N639"/>
          <cell r="R639"/>
        </row>
        <row r="640">
          <cell r="C640"/>
          <cell r="D640"/>
          <cell r="E640"/>
          <cell r="G640"/>
          <cell r="K640"/>
          <cell r="L640"/>
          <cell r="M640"/>
          <cell r="N640"/>
          <cell r="R640"/>
        </row>
        <row r="641">
          <cell r="C641"/>
          <cell r="D641"/>
          <cell r="E641"/>
          <cell r="G641"/>
          <cell r="K641"/>
          <cell r="L641"/>
          <cell r="M641"/>
          <cell r="N641"/>
          <cell r="R641"/>
        </row>
        <row r="642">
          <cell r="C642"/>
          <cell r="D642"/>
          <cell r="E642"/>
          <cell r="G642"/>
          <cell r="K642"/>
          <cell r="L642"/>
          <cell r="M642"/>
          <cell r="N642"/>
          <cell r="R642"/>
        </row>
        <row r="643">
          <cell r="C643"/>
          <cell r="D643"/>
          <cell r="E643"/>
          <cell r="G643"/>
          <cell r="K643"/>
          <cell r="L643"/>
          <cell r="M643"/>
          <cell r="N643"/>
          <cell r="R643"/>
        </row>
        <row r="644">
          <cell r="C644"/>
          <cell r="D644"/>
          <cell r="E644"/>
          <cell r="G644"/>
          <cell r="K644"/>
          <cell r="L644"/>
          <cell r="M644"/>
          <cell r="N644"/>
          <cell r="R644"/>
        </row>
        <row r="645">
          <cell r="C645"/>
          <cell r="D645"/>
          <cell r="E645"/>
          <cell r="G645"/>
          <cell r="K645"/>
          <cell r="L645"/>
          <cell r="M645"/>
          <cell r="N645"/>
          <cell r="R645"/>
        </row>
        <row r="646">
          <cell r="C646"/>
          <cell r="D646"/>
          <cell r="E646"/>
          <cell r="G646"/>
          <cell r="K646"/>
          <cell r="L646"/>
          <cell r="M646"/>
          <cell r="N646"/>
          <cell r="R646"/>
        </row>
        <row r="647">
          <cell r="C647"/>
          <cell r="D647"/>
          <cell r="E647"/>
          <cell r="G647"/>
          <cell r="K647"/>
          <cell r="L647"/>
          <cell r="M647"/>
          <cell r="N647"/>
          <cell r="R647"/>
        </row>
        <row r="648">
          <cell r="C648"/>
          <cell r="D648"/>
          <cell r="E648"/>
          <cell r="G648"/>
          <cell r="K648"/>
          <cell r="L648"/>
          <cell r="M648"/>
          <cell r="N648"/>
          <cell r="R648"/>
        </row>
        <row r="649">
          <cell r="C649"/>
          <cell r="D649"/>
          <cell r="E649"/>
          <cell r="G649"/>
          <cell r="K649"/>
          <cell r="L649"/>
          <cell r="M649"/>
          <cell r="N649"/>
          <cell r="R649"/>
        </row>
        <row r="650">
          <cell r="C650"/>
          <cell r="D650"/>
          <cell r="E650"/>
          <cell r="G650"/>
          <cell r="K650"/>
          <cell r="L650"/>
          <cell r="M650"/>
          <cell r="N650"/>
          <cell r="R650"/>
        </row>
        <row r="651">
          <cell r="C651"/>
          <cell r="D651"/>
          <cell r="E651"/>
          <cell r="G651"/>
          <cell r="K651"/>
          <cell r="L651"/>
          <cell r="M651"/>
          <cell r="N651"/>
          <cell r="R651"/>
        </row>
        <row r="652">
          <cell r="C652"/>
          <cell r="D652"/>
          <cell r="E652"/>
          <cell r="G652"/>
          <cell r="K652"/>
          <cell r="L652"/>
          <cell r="M652"/>
          <cell r="N652"/>
          <cell r="R652"/>
        </row>
        <row r="653">
          <cell r="C653"/>
          <cell r="D653"/>
          <cell r="E653"/>
          <cell r="G653"/>
          <cell r="K653"/>
          <cell r="L653"/>
          <cell r="M653"/>
          <cell r="N653"/>
          <cell r="R653"/>
        </row>
        <row r="654">
          <cell r="C654"/>
          <cell r="D654"/>
          <cell r="E654"/>
          <cell r="G654"/>
          <cell r="K654"/>
          <cell r="L654"/>
          <cell r="M654"/>
          <cell r="N654"/>
          <cell r="R654"/>
        </row>
        <row r="655">
          <cell r="C655"/>
          <cell r="D655"/>
          <cell r="E655"/>
          <cell r="G655"/>
          <cell r="K655"/>
          <cell r="L655"/>
          <cell r="M655"/>
          <cell r="N655"/>
          <cell r="R655"/>
        </row>
        <row r="656">
          <cell r="C656"/>
          <cell r="D656"/>
          <cell r="E656"/>
          <cell r="G656"/>
          <cell r="K656"/>
          <cell r="L656"/>
          <cell r="M656"/>
          <cell r="N656"/>
          <cell r="R656"/>
        </row>
        <row r="657">
          <cell r="C657"/>
          <cell r="D657"/>
          <cell r="E657"/>
          <cell r="G657"/>
          <cell r="K657"/>
          <cell r="L657"/>
          <cell r="M657"/>
          <cell r="N657"/>
          <cell r="R657"/>
        </row>
        <row r="658">
          <cell r="C658"/>
          <cell r="D658"/>
          <cell r="E658"/>
          <cell r="G658"/>
          <cell r="K658"/>
          <cell r="L658"/>
          <cell r="M658"/>
          <cell r="N658"/>
          <cell r="R658"/>
        </row>
        <row r="659">
          <cell r="C659"/>
          <cell r="D659"/>
          <cell r="E659"/>
          <cell r="G659"/>
          <cell r="K659"/>
          <cell r="L659"/>
          <cell r="M659"/>
          <cell r="N659"/>
          <cell r="R659"/>
        </row>
        <row r="660">
          <cell r="C660"/>
          <cell r="D660"/>
          <cell r="E660"/>
          <cell r="G660"/>
          <cell r="K660"/>
          <cell r="L660"/>
          <cell r="M660"/>
          <cell r="N660"/>
          <cell r="R660"/>
        </row>
        <row r="661">
          <cell r="C661"/>
          <cell r="D661"/>
          <cell r="E661"/>
          <cell r="G661"/>
          <cell r="K661"/>
          <cell r="L661"/>
          <cell r="M661"/>
          <cell r="N661"/>
          <cell r="R661"/>
        </row>
        <row r="662">
          <cell r="C662"/>
          <cell r="D662"/>
          <cell r="E662"/>
          <cell r="G662"/>
          <cell r="K662"/>
          <cell r="L662"/>
          <cell r="M662"/>
          <cell r="N662"/>
          <cell r="R662"/>
        </row>
        <row r="663">
          <cell r="C663"/>
          <cell r="D663"/>
          <cell r="E663"/>
          <cell r="G663"/>
          <cell r="K663"/>
          <cell r="L663"/>
          <cell r="M663"/>
          <cell r="N663"/>
          <cell r="R663"/>
        </row>
        <row r="664">
          <cell r="C664"/>
          <cell r="D664"/>
          <cell r="E664"/>
          <cell r="G664"/>
          <cell r="K664"/>
          <cell r="L664"/>
          <cell r="M664"/>
          <cell r="N664"/>
          <cell r="R664"/>
        </row>
        <row r="665">
          <cell r="C665"/>
          <cell r="D665"/>
          <cell r="E665"/>
          <cell r="G665"/>
          <cell r="K665"/>
          <cell r="L665"/>
          <cell r="M665"/>
          <cell r="N665"/>
          <cell r="R665"/>
        </row>
        <row r="666">
          <cell r="C666"/>
          <cell r="D666"/>
          <cell r="E666"/>
          <cell r="G666"/>
          <cell r="K666"/>
          <cell r="L666"/>
          <cell r="M666"/>
          <cell r="N666"/>
          <cell r="R666"/>
        </row>
        <row r="667">
          <cell r="C667"/>
          <cell r="D667"/>
          <cell r="E667"/>
          <cell r="G667"/>
          <cell r="K667"/>
          <cell r="L667"/>
          <cell r="M667"/>
          <cell r="N667"/>
          <cell r="R667"/>
        </row>
        <row r="668">
          <cell r="C668"/>
          <cell r="D668"/>
          <cell r="E668"/>
          <cell r="G668"/>
          <cell r="K668"/>
          <cell r="L668"/>
          <cell r="M668"/>
          <cell r="N668"/>
          <cell r="R668"/>
        </row>
        <row r="669">
          <cell r="C669"/>
          <cell r="D669"/>
          <cell r="E669"/>
          <cell r="G669"/>
          <cell r="K669"/>
          <cell r="L669"/>
          <cell r="M669"/>
          <cell r="N669"/>
          <cell r="R669"/>
        </row>
        <row r="670">
          <cell r="C670"/>
          <cell r="D670"/>
          <cell r="E670"/>
          <cell r="G670"/>
          <cell r="K670"/>
          <cell r="L670"/>
          <cell r="M670"/>
          <cell r="N670"/>
          <cell r="R670"/>
        </row>
        <row r="671">
          <cell r="C671"/>
          <cell r="D671"/>
          <cell r="E671"/>
          <cell r="G671"/>
          <cell r="K671"/>
          <cell r="L671"/>
          <cell r="M671"/>
          <cell r="N671"/>
          <cell r="R671"/>
        </row>
        <row r="672">
          <cell r="C672"/>
          <cell r="D672"/>
          <cell r="E672"/>
          <cell r="G672"/>
          <cell r="K672"/>
          <cell r="L672"/>
          <cell r="M672"/>
          <cell r="N672"/>
          <cell r="R672"/>
        </row>
        <row r="673">
          <cell r="C673"/>
          <cell r="D673"/>
          <cell r="E673"/>
          <cell r="G673"/>
          <cell r="K673"/>
          <cell r="L673"/>
          <cell r="M673"/>
          <cell r="N673"/>
          <cell r="R673"/>
        </row>
        <row r="674">
          <cell r="C674"/>
          <cell r="D674"/>
          <cell r="E674"/>
          <cell r="G674"/>
          <cell r="K674"/>
          <cell r="L674"/>
          <cell r="M674"/>
          <cell r="N674"/>
          <cell r="R674"/>
        </row>
        <row r="675">
          <cell r="C675"/>
          <cell r="D675"/>
          <cell r="E675"/>
          <cell r="G675"/>
          <cell r="K675"/>
          <cell r="L675"/>
          <cell r="M675"/>
          <cell r="N675"/>
          <cell r="R675"/>
        </row>
        <row r="676">
          <cell r="C676"/>
          <cell r="D676"/>
          <cell r="E676"/>
          <cell r="G676"/>
          <cell r="K676"/>
          <cell r="L676"/>
          <cell r="M676"/>
          <cell r="N676"/>
          <cell r="R676"/>
        </row>
        <row r="677">
          <cell r="C677"/>
          <cell r="D677"/>
          <cell r="E677"/>
          <cell r="G677"/>
          <cell r="K677"/>
          <cell r="L677"/>
          <cell r="M677"/>
          <cell r="N677"/>
          <cell r="R677"/>
        </row>
        <row r="678">
          <cell r="C678"/>
          <cell r="D678"/>
          <cell r="E678"/>
          <cell r="G678"/>
          <cell r="K678"/>
          <cell r="L678"/>
          <cell r="M678"/>
          <cell r="N678"/>
          <cell r="R678"/>
        </row>
        <row r="679">
          <cell r="C679"/>
          <cell r="D679"/>
          <cell r="E679"/>
          <cell r="G679"/>
          <cell r="K679"/>
          <cell r="L679"/>
          <cell r="M679"/>
          <cell r="N679"/>
          <cell r="R679"/>
        </row>
        <row r="680">
          <cell r="C680"/>
          <cell r="D680"/>
          <cell r="E680"/>
          <cell r="G680"/>
          <cell r="K680"/>
          <cell r="L680"/>
          <cell r="M680"/>
          <cell r="N680"/>
          <cell r="R680"/>
        </row>
        <row r="681">
          <cell r="C681"/>
          <cell r="D681"/>
          <cell r="E681"/>
          <cell r="G681"/>
          <cell r="K681"/>
          <cell r="L681"/>
          <cell r="M681"/>
          <cell r="N681"/>
          <cell r="R681"/>
        </row>
        <row r="682">
          <cell r="C682"/>
          <cell r="D682"/>
          <cell r="E682"/>
          <cell r="G682"/>
          <cell r="K682"/>
          <cell r="L682"/>
          <cell r="M682"/>
          <cell r="N682"/>
          <cell r="R682"/>
        </row>
        <row r="683">
          <cell r="C683"/>
          <cell r="D683"/>
          <cell r="E683"/>
          <cell r="G683"/>
          <cell r="K683"/>
          <cell r="L683"/>
          <cell r="M683"/>
          <cell r="N683"/>
          <cell r="R683"/>
        </row>
        <row r="684">
          <cell r="C684"/>
          <cell r="D684"/>
          <cell r="E684"/>
          <cell r="G684"/>
          <cell r="K684"/>
          <cell r="L684"/>
          <cell r="M684"/>
          <cell r="N684"/>
          <cell r="R684"/>
        </row>
        <row r="685">
          <cell r="C685"/>
          <cell r="D685"/>
          <cell r="E685"/>
          <cell r="G685"/>
          <cell r="K685"/>
          <cell r="L685"/>
          <cell r="M685"/>
          <cell r="N685"/>
          <cell r="R685"/>
        </row>
        <row r="686">
          <cell r="C686"/>
          <cell r="D686"/>
          <cell r="E686"/>
          <cell r="G686"/>
          <cell r="K686"/>
          <cell r="L686"/>
          <cell r="M686"/>
          <cell r="N686"/>
          <cell r="R686"/>
        </row>
        <row r="687">
          <cell r="C687"/>
          <cell r="D687"/>
          <cell r="E687"/>
          <cell r="G687"/>
          <cell r="K687"/>
          <cell r="L687"/>
          <cell r="M687"/>
          <cell r="N687"/>
          <cell r="R687"/>
        </row>
        <row r="688">
          <cell r="C688"/>
          <cell r="D688"/>
          <cell r="E688"/>
          <cell r="G688"/>
          <cell r="K688"/>
          <cell r="L688"/>
          <cell r="M688"/>
          <cell r="N688"/>
          <cell r="R688"/>
        </row>
        <row r="689">
          <cell r="C689"/>
          <cell r="D689"/>
          <cell r="E689"/>
          <cell r="G689"/>
          <cell r="K689"/>
          <cell r="L689"/>
          <cell r="M689"/>
          <cell r="N689"/>
          <cell r="R689"/>
        </row>
        <row r="690">
          <cell r="C690"/>
          <cell r="D690"/>
          <cell r="E690"/>
          <cell r="G690"/>
          <cell r="K690"/>
          <cell r="L690"/>
          <cell r="M690"/>
          <cell r="N690"/>
          <cell r="R690"/>
        </row>
        <row r="691">
          <cell r="C691"/>
          <cell r="D691"/>
          <cell r="E691"/>
          <cell r="G691"/>
          <cell r="K691"/>
          <cell r="L691"/>
          <cell r="M691"/>
          <cell r="N691"/>
          <cell r="R691"/>
        </row>
        <row r="692">
          <cell r="C692"/>
          <cell r="D692"/>
          <cell r="E692"/>
          <cell r="G692"/>
          <cell r="K692"/>
          <cell r="L692"/>
          <cell r="M692"/>
          <cell r="N692"/>
          <cell r="R692"/>
        </row>
        <row r="693">
          <cell r="C693"/>
          <cell r="D693"/>
          <cell r="E693"/>
          <cell r="G693"/>
          <cell r="K693"/>
          <cell r="L693"/>
          <cell r="M693"/>
          <cell r="N693"/>
          <cell r="R693"/>
        </row>
        <row r="694">
          <cell r="C694"/>
          <cell r="D694"/>
          <cell r="E694"/>
          <cell r="G694"/>
          <cell r="K694"/>
          <cell r="L694"/>
          <cell r="M694"/>
          <cell r="N694"/>
          <cell r="R694"/>
        </row>
        <row r="695">
          <cell r="C695"/>
          <cell r="D695"/>
          <cell r="E695"/>
          <cell r="G695"/>
          <cell r="K695"/>
          <cell r="L695"/>
          <cell r="M695"/>
          <cell r="N695"/>
          <cell r="R695"/>
        </row>
        <row r="696">
          <cell r="C696"/>
          <cell r="D696"/>
          <cell r="E696"/>
          <cell r="G696"/>
          <cell r="K696"/>
          <cell r="L696"/>
          <cell r="M696"/>
          <cell r="N696"/>
          <cell r="R696"/>
        </row>
        <row r="697">
          <cell r="C697"/>
          <cell r="D697"/>
          <cell r="E697"/>
          <cell r="G697"/>
          <cell r="K697"/>
          <cell r="L697"/>
          <cell r="M697"/>
          <cell r="N697"/>
          <cell r="R697"/>
        </row>
        <row r="698">
          <cell r="C698"/>
          <cell r="D698"/>
          <cell r="E698"/>
          <cell r="G698"/>
          <cell r="K698"/>
          <cell r="L698"/>
          <cell r="M698"/>
          <cell r="N698"/>
          <cell r="R698"/>
        </row>
        <row r="699">
          <cell r="C699"/>
          <cell r="D699"/>
          <cell r="E699"/>
          <cell r="G699"/>
          <cell r="K699"/>
          <cell r="L699"/>
          <cell r="M699"/>
          <cell r="N699"/>
          <cell r="R699"/>
        </row>
        <row r="700">
          <cell r="C700"/>
          <cell r="D700"/>
          <cell r="E700"/>
          <cell r="G700"/>
          <cell r="K700"/>
          <cell r="L700"/>
          <cell r="M700"/>
          <cell r="N700"/>
          <cell r="R700"/>
        </row>
        <row r="701">
          <cell r="C701"/>
          <cell r="D701"/>
          <cell r="E701"/>
          <cell r="G701"/>
          <cell r="K701"/>
          <cell r="L701"/>
          <cell r="M701"/>
          <cell r="N701"/>
          <cell r="R701"/>
        </row>
        <row r="702">
          <cell r="C702"/>
          <cell r="D702"/>
          <cell r="E702"/>
          <cell r="G702"/>
          <cell r="K702"/>
          <cell r="L702"/>
          <cell r="M702"/>
          <cell r="N702"/>
          <cell r="R702"/>
        </row>
        <row r="703">
          <cell r="C703"/>
          <cell r="D703"/>
          <cell r="E703"/>
          <cell r="G703"/>
          <cell r="K703"/>
          <cell r="L703"/>
          <cell r="M703"/>
          <cell r="N703"/>
          <cell r="R703"/>
        </row>
        <row r="704">
          <cell r="C704"/>
          <cell r="D704"/>
          <cell r="E704"/>
          <cell r="G704"/>
          <cell r="K704"/>
          <cell r="L704"/>
          <cell r="M704"/>
          <cell r="N704"/>
          <cell r="R704"/>
        </row>
        <row r="705">
          <cell r="C705"/>
          <cell r="D705"/>
          <cell r="E705"/>
          <cell r="G705"/>
          <cell r="K705"/>
          <cell r="L705"/>
          <cell r="M705"/>
          <cell r="N705"/>
          <cell r="R705"/>
        </row>
        <row r="706">
          <cell r="C706"/>
          <cell r="D706"/>
          <cell r="E706"/>
          <cell r="G706"/>
          <cell r="K706"/>
          <cell r="L706"/>
          <cell r="M706"/>
          <cell r="N706"/>
          <cell r="R706"/>
        </row>
        <row r="707">
          <cell r="C707"/>
          <cell r="D707"/>
          <cell r="E707"/>
          <cell r="G707"/>
          <cell r="K707"/>
          <cell r="L707"/>
          <cell r="M707"/>
          <cell r="N707"/>
          <cell r="R707"/>
        </row>
        <row r="708">
          <cell r="C708"/>
          <cell r="D708"/>
          <cell r="E708"/>
          <cell r="G708"/>
          <cell r="K708"/>
          <cell r="L708"/>
          <cell r="M708"/>
          <cell r="N708"/>
          <cell r="R708"/>
        </row>
        <row r="709">
          <cell r="C709"/>
          <cell r="D709"/>
          <cell r="E709"/>
          <cell r="G709"/>
          <cell r="K709"/>
          <cell r="L709"/>
          <cell r="M709"/>
          <cell r="N709"/>
          <cell r="R709"/>
        </row>
        <row r="710">
          <cell r="C710"/>
          <cell r="D710"/>
          <cell r="E710"/>
          <cell r="G710"/>
          <cell r="K710"/>
          <cell r="L710"/>
          <cell r="M710"/>
          <cell r="N710"/>
          <cell r="R710"/>
        </row>
        <row r="711">
          <cell r="C711"/>
          <cell r="D711"/>
          <cell r="E711"/>
          <cell r="G711"/>
          <cell r="K711"/>
          <cell r="L711"/>
          <cell r="M711"/>
          <cell r="N711"/>
          <cell r="R711"/>
        </row>
        <row r="712">
          <cell r="C712"/>
          <cell r="D712"/>
          <cell r="E712"/>
          <cell r="G712"/>
          <cell r="K712"/>
          <cell r="L712"/>
          <cell r="M712"/>
          <cell r="N712"/>
          <cell r="R712"/>
        </row>
        <row r="713">
          <cell r="C713"/>
          <cell r="D713"/>
          <cell r="E713"/>
          <cell r="G713"/>
          <cell r="K713"/>
          <cell r="L713"/>
          <cell r="M713"/>
          <cell r="N713"/>
          <cell r="R713"/>
        </row>
        <row r="714">
          <cell r="C714"/>
          <cell r="D714"/>
          <cell r="E714"/>
          <cell r="G714"/>
          <cell r="K714"/>
          <cell r="L714"/>
          <cell r="M714"/>
          <cell r="N714"/>
          <cell r="R714"/>
        </row>
        <row r="715">
          <cell r="C715"/>
          <cell r="D715"/>
          <cell r="E715"/>
          <cell r="G715"/>
          <cell r="K715"/>
          <cell r="L715"/>
          <cell r="M715"/>
          <cell r="N715"/>
          <cell r="R715"/>
        </row>
        <row r="716">
          <cell r="C716"/>
          <cell r="D716"/>
          <cell r="E716"/>
          <cell r="G716"/>
          <cell r="K716"/>
          <cell r="L716"/>
          <cell r="M716"/>
          <cell r="N716"/>
          <cell r="R716"/>
        </row>
        <row r="717">
          <cell r="C717"/>
          <cell r="D717"/>
          <cell r="E717"/>
          <cell r="G717"/>
          <cell r="K717"/>
          <cell r="L717"/>
          <cell r="M717"/>
          <cell r="N717"/>
          <cell r="R717"/>
        </row>
        <row r="718">
          <cell r="C718"/>
          <cell r="D718"/>
          <cell r="E718"/>
          <cell r="G718"/>
          <cell r="K718"/>
          <cell r="L718"/>
          <cell r="M718"/>
          <cell r="N718"/>
          <cell r="R718"/>
        </row>
        <row r="719">
          <cell r="C719"/>
          <cell r="D719"/>
          <cell r="E719"/>
          <cell r="G719"/>
          <cell r="K719"/>
          <cell r="L719"/>
          <cell r="M719"/>
          <cell r="N719"/>
          <cell r="R719"/>
        </row>
        <row r="720">
          <cell r="C720"/>
          <cell r="D720"/>
          <cell r="E720"/>
          <cell r="G720"/>
          <cell r="K720"/>
          <cell r="L720"/>
          <cell r="M720"/>
          <cell r="N720"/>
          <cell r="R720"/>
        </row>
        <row r="721">
          <cell r="C721"/>
          <cell r="D721"/>
          <cell r="E721"/>
          <cell r="G721"/>
          <cell r="K721"/>
          <cell r="L721"/>
          <cell r="M721"/>
          <cell r="N721"/>
          <cell r="R721"/>
        </row>
        <row r="722">
          <cell r="C722"/>
          <cell r="D722"/>
          <cell r="E722"/>
          <cell r="G722"/>
          <cell r="K722"/>
          <cell r="L722"/>
          <cell r="M722"/>
          <cell r="N722"/>
          <cell r="R722"/>
        </row>
        <row r="723">
          <cell r="C723"/>
          <cell r="D723"/>
          <cell r="E723"/>
          <cell r="G723"/>
          <cell r="K723"/>
          <cell r="L723"/>
          <cell r="M723"/>
          <cell r="N723"/>
          <cell r="R723"/>
        </row>
        <row r="724">
          <cell r="C724"/>
          <cell r="D724"/>
          <cell r="E724"/>
          <cell r="G724"/>
          <cell r="K724"/>
          <cell r="L724"/>
          <cell r="M724"/>
          <cell r="N724"/>
          <cell r="R724"/>
        </row>
        <row r="725">
          <cell r="C725"/>
          <cell r="D725"/>
          <cell r="E725"/>
          <cell r="G725"/>
          <cell r="K725"/>
          <cell r="L725"/>
          <cell r="M725"/>
          <cell r="N725"/>
          <cell r="R725"/>
        </row>
        <row r="726">
          <cell r="C726"/>
          <cell r="D726"/>
          <cell r="E726"/>
          <cell r="G726"/>
          <cell r="K726"/>
          <cell r="L726"/>
          <cell r="M726"/>
          <cell r="N726"/>
          <cell r="R726"/>
        </row>
        <row r="727">
          <cell r="C727"/>
          <cell r="D727"/>
          <cell r="E727"/>
          <cell r="G727"/>
          <cell r="K727"/>
          <cell r="L727"/>
          <cell r="M727"/>
          <cell r="N727"/>
          <cell r="R727"/>
        </row>
        <row r="728">
          <cell r="C728"/>
          <cell r="D728"/>
          <cell r="E728"/>
          <cell r="G728"/>
          <cell r="K728"/>
          <cell r="L728"/>
          <cell r="M728"/>
          <cell r="N728"/>
          <cell r="R728"/>
        </row>
        <row r="729">
          <cell r="C729"/>
          <cell r="D729"/>
          <cell r="E729"/>
          <cell r="G729"/>
          <cell r="K729"/>
          <cell r="L729"/>
          <cell r="M729"/>
          <cell r="N729"/>
          <cell r="R729"/>
        </row>
        <row r="730">
          <cell r="C730"/>
          <cell r="D730"/>
          <cell r="E730"/>
          <cell r="G730"/>
          <cell r="K730"/>
          <cell r="L730"/>
          <cell r="M730"/>
          <cell r="N730"/>
          <cell r="R730"/>
        </row>
        <row r="731">
          <cell r="C731"/>
          <cell r="D731"/>
          <cell r="E731"/>
          <cell r="G731"/>
          <cell r="K731"/>
          <cell r="L731"/>
          <cell r="M731"/>
          <cell r="N731"/>
          <cell r="R731"/>
        </row>
        <row r="732">
          <cell r="C732"/>
          <cell r="D732"/>
          <cell r="E732"/>
          <cell r="G732"/>
          <cell r="K732"/>
          <cell r="L732"/>
          <cell r="M732"/>
          <cell r="N732"/>
          <cell r="R732"/>
        </row>
        <row r="733">
          <cell r="C733"/>
          <cell r="D733"/>
          <cell r="E733"/>
          <cell r="G733"/>
          <cell r="K733"/>
          <cell r="L733"/>
          <cell r="M733"/>
          <cell r="N733"/>
          <cell r="R733"/>
        </row>
        <row r="734">
          <cell r="C734"/>
          <cell r="D734"/>
          <cell r="E734"/>
          <cell r="G734"/>
          <cell r="K734"/>
          <cell r="L734"/>
          <cell r="M734"/>
          <cell r="N734"/>
          <cell r="R734"/>
        </row>
        <row r="735">
          <cell r="C735"/>
          <cell r="D735"/>
          <cell r="E735"/>
          <cell r="G735"/>
          <cell r="K735"/>
          <cell r="L735"/>
          <cell r="M735"/>
          <cell r="N735"/>
          <cell r="R735"/>
        </row>
        <row r="736">
          <cell r="C736"/>
          <cell r="D736"/>
          <cell r="E736"/>
          <cell r="G736"/>
          <cell r="K736"/>
          <cell r="L736"/>
          <cell r="M736"/>
          <cell r="N736"/>
          <cell r="R736"/>
        </row>
        <row r="737">
          <cell r="C737"/>
          <cell r="D737"/>
          <cell r="E737"/>
          <cell r="G737"/>
          <cell r="K737"/>
          <cell r="L737"/>
          <cell r="M737"/>
          <cell r="N737"/>
          <cell r="R737"/>
        </row>
        <row r="738">
          <cell r="C738"/>
          <cell r="D738"/>
          <cell r="E738"/>
          <cell r="G738"/>
          <cell r="K738"/>
          <cell r="L738"/>
          <cell r="M738"/>
          <cell r="N738"/>
          <cell r="R738"/>
        </row>
        <row r="739">
          <cell r="C739"/>
          <cell r="D739"/>
          <cell r="E739"/>
          <cell r="G739"/>
          <cell r="K739"/>
          <cell r="L739"/>
          <cell r="M739"/>
          <cell r="N739"/>
          <cell r="R739"/>
        </row>
        <row r="740">
          <cell r="C740"/>
          <cell r="D740"/>
          <cell r="E740"/>
          <cell r="G740"/>
          <cell r="K740"/>
          <cell r="L740"/>
          <cell r="M740"/>
          <cell r="N740"/>
          <cell r="R740"/>
        </row>
        <row r="741">
          <cell r="C741"/>
          <cell r="D741"/>
          <cell r="E741"/>
          <cell r="G741"/>
          <cell r="K741"/>
          <cell r="L741"/>
          <cell r="M741"/>
          <cell r="N741"/>
          <cell r="R741"/>
        </row>
        <row r="742">
          <cell r="C742"/>
          <cell r="D742"/>
          <cell r="E742"/>
          <cell r="G742"/>
          <cell r="K742"/>
          <cell r="L742"/>
          <cell r="M742"/>
          <cell r="N742"/>
          <cell r="R742"/>
        </row>
        <row r="743">
          <cell r="C743"/>
          <cell r="D743"/>
          <cell r="E743"/>
          <cell r="G743"/>
          <cell r="K743"/>
          <cell r="L743"/>
          <cell r="M743"/>
          <cell r="N743"/>
          <cell r="R743"/>
        </row>
        <row r="744">
          <cell r="C744"/>
          <cell r="D744"/>
          <cell r="E744"/>
          <cell r="G744"/>
          <cell r="K744"/>
          <cell r="L744"/>
          <cell r="M744"/>
          <cell r="N744"/>
          <cell r="R744"/>
        </row>
        <row r="745">
          <cell r="C745"/>
          <cell r="D745"/>
          <cell r="E745"/>
          <cell r="G745"/>
          <cell r="K745"/>
          <cell r="L745"/>
          <cell r="M745"/>
          <cell r="N745"/>
          <cell r="R745"/>
        </row>
        <row r="746">
          <cell r="C746"/>
          <cell r="D746"/>
          <cell r="E746"/>
          <cell r="G746"/>
          <cell r="K746"/>
          <cell r="L746"/>
          <cell r="M746"/>
          <cell r="N746"/>
          <cell r="R746"/>
        </row>
        <row r="747">
          <cell r="C747"/>
          <cell r="D747"/>
          <cell r="E747"/>
          <cell r="G747"/>
          <cell r="K747"/>
          <cell r="L747"/>
          <cell r="M747"/>
          <cell r="N747"/>
          <cell r="R747"/>
        </row>
        <row r="748">
          <cell r="C748"/>
          <cell r="D748"/>
          <cell r="E748"/>
          <cell r="G748"/>
          <cell r="K748"/>
          <cell r="L748"/>
          <cell r="M748"/>
          <cell r="N748"/>
          <cell r="R748"/>
        </row>
        <row r="749">
          <cell r="C749"/>
          <cell r="D749"/>
          <cell r="E749"/>
          <cell r="G749"/>
          <cell r="K749"/>
          <cell r="L749"/>
          <cell r="M749"/>
          <cell r="N749"/>
          <cell r="R749"/>
        </row>
        <row r="750">
          <cell r="C750"/>
          <cell r="D750"/>
          <cell r="E750"/>
          <cell r="G750"/>
          <cell r="K750"/>
          <cell r="L750"/>
          <cell r="M750"/>
          <cell r="N750"/>
          <cell r="R750"/>
        </row>
        <row r="751">
          <cell r="C751"/>
          <cell r="D751"/>
          <cell r="E751"/>
          <cell r="G751"/>
          <cell r="K751"/>
          <cell r="L751"/>
          <cell r="M751"/>
          <cell r="N751"/>
          <cell r="R751"/>
        </row>
        <row r="752">
          <cell r="C752"/>
          <cell r="D752"/>
          <cell r="E752"/>
          <cell r="G752"/>
          <cell r="K752"/>
          <cell r="L752"/>
          <cell r="M752"/>
          <cell r="N752"/>
          <cell r="R752"/>
        </row>
        <row r="753">
          <cell r="C753"/>
          <cell r="D753"/>
          <cell r="E753"/>
          <cell r="G753"/>
          <cell r="K753"/>
          <cell r="L753"/>
          <cell r="M753"/>
          <cell r="N753"/>
          <cell r="R753"/>
        </row>
        <row r="754">
          <cell r="C754"/>
          <cell r="D754"/>
          <cell r="E754"/>
          <cell r="G754"/>
          <cell r="K754"/>
          <cell r="L754"/>
          <cell r="M754"/>
          <cell r="N754"/>
          <cell r="R754"/>
        </row>
        <row r="755">
          <cell r="C755"/>
          <cell r="D755"/>
          <cell r="E755"/>
          <cell r="G755"/>
          <cell r="K755"/>
          <cell r="L755"/>
          <cell r="M755"/>
          <cell r="N755"/>
          <cell r="R755"/>
        </row>
        <row r="756">
          <cell r="C756"/>
          <cell r="D756"/>
          <cell r="E756"/>
          <cell r="G756"/>
          <cell r="K756"/>
          <cell r="L756"/>
          <cell r="M756"/>
          <cell r="N756"/>
          <cell r="R756"/>
        </row>
        <row r="757">
          <cell r="C757"/>
          <cell r="D757"/>
          <cell r="E757"/>
          <cell r="G757"/>
          <cell r="K757"/>
          <cell r="L757"/>
          <cell r="M757"/>
          <cell r="N757"/>
          <cell r="R757"/>
        </row>
        <row r="758">
          <cell r="C758"/>
          <cell r="D758"/>
          <cell r="E758"/>
          <cell r="G758"/>
          <cell r="K758"/>
          <cell r="L758"/>
          <cell r="M758"/>
          <cell r="N758"/>
          <cell r="R758"/>
        </row>
        <row r="759">
          <cell r="C759"/>
          <cell r="D759"/>
          <cell r="E759"/>
          <cell r="G759"/>
          <cell r="K759"/>
          <cell r="L759"/>
          <cell r="M759"/>
          <cell r="N759"/>
          <cell r="R759"/>
        </row>
        <row r="760">
          <cell r="C760"/>
          <cell r="D760"/>
          <cell r="E760"/>
          <cell r="G760"/>
          <cell r="K760"/>
          <cell r="L760"/>
          <cell r="M760"/>
          <cell r="N760"/>
          <cell r="R760"/>
        </row>
        <row r="761">
          <cell r="C761"/>
          <cell r="D761"/>
          <cell r="E761"/>
          <cell r="G761"/>
          <cell r="K761"/>
          <cell r="L761"/>
          <cell r="M761"/>
          <cell r="N761"/>
          <cell r="R761"/>
        </row>
        <row r="762">
          <cell r="C762"/>
          <cell r="D762"/>
          <cell r="E762"/>
          <cell r="G762"/>
          <cell r="K762"/>
          <cell r="L762"/>
          <cell r="M762"/>
          <cell r="N762"/>
          <cell r="R762"/>
        </row>
        <row r="763">
          <cell r="C763"/>
          <cell r="D763"/>
          <cell r="E763"/>
          <cell r="G763"/>
          <cell r="K763"/>
          <cell r="L763"/>
          <cell r="M763"/>
          <cell r="N763"/>
          <cell r="R763"/>
        </row>
        <row r="764">
          <cell r="C764"/>
          <cell r="D764"/>
          <cell r="E764"/>
          <cell r="G764"/>
          <cell r="K764"/>
          <cell r="L764"/>
          <cell r="M764"/>
          <cell r="N764"/>
          <cell r="R764"/>
        </row>
        <row r="765">
          <cell r="C765"/>
          <cell r="D765"/>
          <cell r="E765"/>
          <cell r="G765"/>
          <cell r="K765"/>
          <cell r="L765"/>
          <cell r="M765"/>
          <cell r="N765"/>
          <cell r="R765"/>
        </row>
        <row r="766">
          <cell r="C766"/>
          <cell r="D766"/>
          <cell r="E766"/>
          <cell r="G766"/>
          <cell r="K766"/>
          <cell r="L766"/>
          <cell r="M766"/>
          <cell r="N766"/>
          <cell r="R766"/>
        </row>
        <row r="767">
          <cell r="C767"/>
          <cell r="D767"/>
          <cell r="E767"/>
          <cell r="G767"/>
          <cell r="K767"/>
          <cell r="L767"/>
          <cell r="M767"/>
          <cell r="N767"/>
          <cell r="R767"/>
        </row>
        <row r="768">
          <cell r="C768"/>
          <cell r="D768"/>
          <cell r="E768"/>
          <cell r="G768"/>
          <cell r="K768"/>
          <cell r="L768"/>
          <cell r="M768"/>
          <cell r="N768"/>
          <cell r="R768"/>
        </row>
        <row r="769">
          <cell r="C769"/>
          <cell r="D769"/>
          <cell r="E769"/>
          <cell r="G769"/>
          <cell r="K769"/>
          <cell r="L769"/>
          <cell r="M769"/>
          <cell r="N769"/>
          <cell r="R769"/>
        </row>
        <row r="770">
          <cell r="C770"/>
          <cell r="D770"/>
          <cell r="E770"/>
          <cell r="G770"/>
          <cell r="K770"/>
          <cell r="L770"/>
          <cell r="M770"/>
          <cell r="N770"/>
          <cell r="R770"/>
        </row>
        <row r="771">
          <cell r="C771"/>
          <cell r="D771"/>
          <cell r="E771"/>
          <cell r="G771"/>
          <cell r="K771"/>
          <cell r="L771"/>
          <cell r="M771"/>
          <cell r="N771"/>
          <cell r="R771"/>
        </row>
        <row r="772">
          <cell r="C772"/>
          <cell r="D772"/>
          <cell r="E772"/>
          <cell r="G772"/>
          <cell r="K772"/>
          <cell r="L772"/>
          <cell r="M772"/>
          <cell r="N772"/>
          <cell r="R772"/>
        </row>
        <row r="773">
          <cell r="C773"/>
          <cell r="D773"/>
          <cell r="E773"/>
          <cell r="G773"/>
          <cell r="K773"/>
          <cell r="L773"/>
          <cell r="M773"/>
          <cell r="N773"/>
          <cell r="R773"/>
        </row>
        <row r="774">
          <cell r="C774"/>
          <cell r="D774"/>
          <cell r="E774"/>
          <cell r="G774"/>
          <cell r="K774"/>
          <cell r="L774"/>
          <cell r="M774"/>
          <cell r="N774"/>
          <cell r="R774"/>
        </row>
        <row r="775">
          <cell r="C775"/>
          <cell r="D775"/>
          <cell r="E775"/>
          <cell r="G775"/>
          <cell r="K775"/>
          <cell r="L775"/>
          <cell r="M775"/>
          <cell r="N775"/>
          <cell r="R775"/>
        </row>
        <row r="776">
          <cell r="C776"/>
          <cell r="D776"/>
          <cell r="E776"/>
          <cell r="G776"/>
          <cell r="K776"/>
          <cell r="L776"/>
          <cell r="M776"/>
          <cell r="N776"/>
          <cell r="R776"/>
        </row>
        <row r="777">
          <cell r="C777"/>
          <cell r="D777"/>
          <cell r="E777"/>
          <cell r="G777"/>
          <cell r="K777"/>
          <cell r="L777"/>
          <cell r="M777"/>
          <cell r="N777"/>
          <cell r="R777"/>
        </row>
        <row r="778">
          <cell r="C778"/>
          <cell r="D778"/>
          <cell r="E778"/>
          <cell r="G778"/>
          <cell r="K778"/>
          <cell r="L778"/>
          <cell r="M778"/>
          <cell r="N778"/>
          <cell r="R778"/>
        </row>
        <row r="779">
          <cell r="C779"/>
          <cell r="D779"/>
          <cell r="E779"/>
          <cell r="G779"/>
          <cell r="K779"/>
          <cell r="L779"/>
          <cell r="M779"/>
          <cell r="N779"/>
          <cell r="R779"/>
        </row>
        <row r="780">
          <cell r="C780"/>
          <cell r="D780"/>
          <cell r="E780"/>
          <cell r="G780"/>
          <cell r="K780"/>
          <cell r="L780"/>
          <cell r="M780"/>
          <cell r="N780"/>
          <cell r="R780"/>
        </row>
        <row r="781">
          <cell r="C781"/>
          <cell r="D781"/>
          <cell r="E781"/>
          <cell r="G781"/>
          <cell r="K781"/>
          <cell r="L781"/>
          <cell r="M781"/>
          <cell r="N781"/>
          <cell r="R781"/>
        </row>
        <row r="782">
          <cell r="C782"/>
          <cell r="D782"/>
          <cell r="E782"/>
          <cell r="G782"/>
          <cell r="K782"/>
          <cell r="L782"/>
          <cell r="M782"/>
          <cell r="N782"/>
          <cell r="R782"/>
        </row>
        <row r="783">
          <cell r="C783"/>
          <cell r="D783"/>
          <cell r="E783"/>
          <cell r="G783"/>
          <cell r="K783"/>
          <cell r="L783"/>
          <cell r="M783"/>
          <cell r="N783"/>
          <cell r="R783"/>
        </row>
        <row r="784">
          <cell r="C784"/>
          <cell r="D784"/>
          <cell r="E784"/>
          <cell r="G784"/>
          <cell r="K784"/>
          <cell r="L784"/>
          <cell r="M784"/>
          <cell r="N784"/>
          <cell r="R784"/>
        </row>
        <row r="785">
          <cell r="C785"/>
          <cell r="D785"/>
          <cell r="E785"/>
          <cell r="G785"/>
          <cell r="K785"/>
          <cell r="L785"/>
          <cell r="M785"/>
          <cell r="N785"/>
          <cell r="R785"/>
        </row>
        <row r="786">
          <cell r="C786"/>
          <cell r="D786"/>
          <cell r="E786"/>
          <cell r="G786"/>
          <cell r="K786"/>
          <cell r="L786"/>
          <cell r="M786"/>
          <cell r="N786"/>
          <cell r="R786"/>
        </row>
        <row r="787">
          <cell r="C787"/>
          <cell r="D787"/>
          <cell r="E787"/>
          <cell r="G787"/>
          <cell r="K787"/>
          <cell r="L787"/>
          <cell r="M787"/>
          <cell r="N787"/>
          <cell r="R787"/>
        </row>
        <row r="788">
          <cell r="C788"/>
          <cell r="D788"/>
          <cell r="E788"/>
          <cell r="G788"/>
          <cell r="K788"/>
          <cell r="L788"/>
          <cell r="M788"/>
          <cell r="N788"/>
          <cell r="R788"/>
        </row>
        <row r="789">
          <cell r="C789"/>
          <cell r="D789"/>
          <cell r="E789"/>
          <cell r="G789"/>
          <cell r="K789"/>
          <cell r="L789"/>
          <cell r="M789"/>
          <cell r="N789"/>
          <cell r="R789"/>
        </row>
        <row r="790">
          <cell r="C790"/>
          <cell r="D790"/>
          <cell r="E790"/>
          <cell r="G790"/>
          <cell r="K790"/>
          <cell r="L790"/>
          <cell r="M790"/>
          <cell r="N790"/>
          <cell r="R790"/>
        </row>
        <row r="791">
          <cell r="C791"/>
          <cell r="D791"/>
          <cell r="E791"/>
          <cell r="G791"/>
          <cell r="K791"/>
          <cell r="L791"/>
          <cell r="M791"/>
          <cell r="N791"/>
          <cell r="R791"/>
        </row>
        <row r="792">
          <cell r="C792"/>
          <cell r="D792"/>
          <cell r="E792"/>
          <cell r="G792"/>
          <cell r="K792"/>
          <cell r="L792"/>
          <cell r="M792"/>
          <cell r="N792"/>
          <cell r="R792"/>
        </row>
        <row r="793">
          <cell r="C793"/>
          <cell r="D793"/>
          <cell r="E793"/>
          <cell r="G793"/>
          <cell r="K793"/>
          <cell r="L793"/>
          <cell r="M793"/>
          <cell r="N793"/>
          <cell r="R793"/>
        </row>
        <row r="794">
          <cell r="C794"/>
          <cell r="D794"/>
          <cell r="E794"/>
          <cell r="G794"/>
          <cell r="K794"/>
          <cell r="L794"/>
          <cell r="M794"/>
          <cell r="N794"/>
          <cell r="R794"/>
        </row>
        <row r="795">
          <cell r="C795"/>
          <cell r="D795"/>
          <cell r="E795"/>
          <cell r="G795"/>
          <cell r="K795"/>
          <cell r="L795"/>
          <cell r="M795"/>
          <cell r="N795"/>
          <cell r="R795"/>
        </row>
        <row r="796">
          <cell r="C796"/>
          <cell r="D796"/>
          <cell r="E796"/>
          <cell r="G796"/>
          <cell r="K796"/>
          <cell r="L796"/>
          <cell r="M796"/>
          <cell r="N796"/>
          <cell r="R796"/>
        </row>
        <row r="797">
          <cell r="C797"/>
          <cell r="D797"/>
          <cell r="E797"/>
          <cell r="G797"/>
          <cell r="K797"/>
          <cell r="L797"/>
          <cell r="M797"/>
          <cell r="N797"/>
          <cell r="R797"/>
        </row>
        <row r="798">
          <cell r="C798"/>
          <cell r="D798"/>
          <cell r="E798"/>
          <cell r="G798"/>
          <cell r="K798"/>
          <cell r="L798"/>
          <cell r="M798"/>
          <cell r="N798"/>
          <cell r="R798"/>
        </row>
        <row r="799">
          <cell r="C799"/>
          <cell r="D799"/>
          <cell r="E799"/>
          <cell r="G799"/>
          <cell r="K799"/>
          <cell r="L799"/>
          <cell r="M799"/>
          <cell r="N799"/>
          <cell r="R799"/>
        </row>
        <row r="800">
          <cell r="C800"/>
          <cell r="D800"/>
          <cell r="E800"/>
          <cell r="G800"/>
          <cell r="K800"/>
          <cell r="L800"/>
          <cell r="M800"/>
          <cell r="N800"/>
          <cell r="R800"/>
        </row>
        <row r="801">
          <cell r="C801"/>
          <cell r="D801"/>
          <cell r="E801"/>
          <cell r="G801"/>
          <cell r="K801"/>
          <cell r="L801"/>
          <cell r="M801"/>
          <cell r="N801"/>
          <cell r="R801"/>
        </row>
        <row r="802">
          <cell r="C802"/>
          <cell r="D802"/>
          <cell r="E802"/>
          <cell r="G802"/>
          <cell r="K802"/>
          <cell r="L802"/>
          <cell r="M802"/>
          <cell r="N802"/>
          <cell r="R802"/>
        </row>
        <row r="803">
          <cell r="C803"/>
          <cell r="D803"/>
          <cell r="E803"/>
          <cell r="G803"/>
          <cell r="K803"/>
          <cell r="L803"/>
          <cell r="M803"/>
          <cell r="N803"/>
          <cell r="R803"/>
        </row>
        <row r="804">
          <cell r="C804"/>
          <cell r="D804"/>
          <cell r="E804"/>
          <cell r="G804"/>
          <cell r="K804"/>
          <cell r="L804"/>
          <cell r="M804"/>
          <cell r="N804"/>
          <cell r="R804"/>
        </row>
        <row r="805">
          <cell r="C805"/>
          <cell r="D805"/>
          <cell r="E805"/>
          <cell r="G805"/>
          <cell r="K805"/>
          <cell r="L805"/>
          <cell r="M805"/>
          <cell r="N805"/>
          <cell r="R805"/>
        </row>
        <row r="806">
          <cell r="C806"/>
          <cell r="D806"/>
          <cell r="E806"/>
          <cell r="G806"/>
          <cell r="K806"/>
          <cell r="L806"/>
          <cell r="M806"/>
          <cell r="N806"/>
          <cell r="R806"/>
        </row>
        <row r="807">
          <cell r="C807"/>
          <cell r="D807"/>
          <cell r="E807"/>
          <cell r="G807"/>
          <cell r="K807"/>
          <cell r="L807"/>
          <cell r="M807"/>
          <cell r="N807"/>
          <cell r="R807"/>
        </row>
        <row r="808">
          <cell r="C808"/>
          <cell r="D808"/>
          <cell r="E808"/>
          <cell r="G808"/>
          <cell r="K808"/>
          <cell r="L808"/>
          <cell r="M808"/>
          <cell r="N808"/>
          <cell r="R808"/>
        </row>
        <row r="809">
          <cell r="C809"/>
          <cell r="D809"/>
          <cell r="E809"/>
          <cell r="G809"/>
          <cell r="K809"/>
          <cell r="L809"/>
          <cell r="M809"/>
          <cell r="N809"/>
          <cell r="R809"/>
        </row>
        <row r="810">
          <cell r="C810"/>
          <cell r="D810"/>
          <cell r="E810"/>
          <cell r="G810"/>
          <cell r="K810"/>
          <cell r="L810"/>
          <cell r="M810"/>
          <cell r="N810"/>
          <cell r="R810"/>
        </row>
        <row r="811">
          <cell r="C811"/>
          <cell r="D811"/>
          <cell r="E811"/>
          <cell r="G811"/>
          <cell r="K811"/>
          <cell r="L811"/>
          <cell r="M811"/>
          <cell r="N811"/>
          <cell r="R811"/>
        </row>
        <row r="812">
          <cell r="C812"/>
          <cell r="D812"/>
          <cell r="E812"/>
          <cell r="G812"/>
          <cell r="K812"/>
          <cell r="L812"/>
          <cell r="M812"/>
          <cell r="N812"/>
          <cell r="R812"/>
        </row>
        <row r="813">
          <cell r="C813"/>
          <cell r="D813"/>
          <cell r="E813"/>
          <cell r="G813"/>
          <cell r="K813"/>
          <cell r="L813"/>
          <cell r="M813"/>
          <cell r="N813"/>
          <cell r="R813"/>
        </row>
        <row r="814">
          <cell r="C814"/>
          <cell r="D814"/>
          <cell r="E814"/>
          <cell r="G814"/>
          <cell r="K814"/>
          <cell r="L814"/>
          <cell r="M814"/>
          <cell r="N814"/>
          <cell r="R814"/>
        </row>
        <row r="815">
          <cell r="C815"/>
          <cell r="D815"/>
          <cell r="E815"/>
          <cell r="G815"/>
          <cell r="K815"/>
          <cell r="L815"/>
          <cell r="M815"/>
          <cell r="N815"/>
          <cell r="R815"/>
        </row>
        <row r="816">
          <cell r="C816"/>
          <cell r="D816"/>
          <cell r="E816"/>
          <cell r="G816"/>
          <cell r="K816"/>
          <cell r="L816"/>
          <cell r="M816"/>
          <cell r="N816"/>
          <cell r="R816"/>
        </row>
        <row r="817">
          <cell r="C817"/>
          <cell r="D817"/>
          <cell r="E817"/>
          <cell r="G817"/>
          <cell r="K817"/>
          <cell r="L817"/>
          <cell r="M817"/>
          <cell r="N817"/>
          <cell r="R817"/>
        </row>
        <row r="818">
          <cell r="C818"/>
          <cell r="D818"/>
          <cell r="E818"/>
          <cell r="G818"/>
          <cell r="K818"/>
          <cell r="L818"/>
          <cell r="M818"/>
          <cell r="N818"/>
          <cell r="R818"/>
        </row>
        <row r="819">
          <cell r="C819"/>
          <cell r="D819"/>
          <cell r="E819"/>
          <cell r="G819"/>
          <cell r="K819"/>
          <cell r="L819"/>
          <cell r="M819"/>
          <cell r="N819"/>
          <cell r="R819"/>
        </row>
        <row r="820">
          <cell r="C820"/>
          <cell r="D820"/>
          <cell r="E820"/>
          <cell r="G820"/>
          <cell r="K820"/>
          <cell r="L820"/>
          <cell r="M820"/>
          <cell r="N820"/>
          <cell r="R820"/>
        </row>
        <row r="821">
          <cell r="C821"/>
          <cell r="D821"/>
          <cell r="E821"/>
          <cell r="G821"/>
          <cell r="K821"/>
          <cell r="L821"/>
          <cell r="M821"/>
          <cell r="N821"/>
          <cell r="R821"/>
        </row>
        <row r="822">
          <cell r="C822"/>
          <cell r="D822"/>
          <cell r="E822"/>
          <cell r="G822"/>
          <cell r="K822"/>
          <cell r="L822"/>
          <cell r="M822"/>
          <cell r="N822"/>
          <cell r="R822"/>
        </row>
        <row r="823">
          <cell r="C823"/>
          <cell r="D823"/>
          <cell r="E823"/>
          <cell r="G823"/>
          <cell r="K823"/>
          <cell r="L823"/>
          <cell r="M823"/>
          <cell r="N823"/>
          <cell r="R823"/>
        </row>
        <row r="824">
          <cell r="C824"/>
          <cell r="D824"/>
          <cell r="E824"/>
          <cell r="G824"/>
          <cell r="K824"/>
          <cell r="L824"/>
          <cell r="M824"/>
          <cell r="N824"/>
          <cell r="R824"/>
        </row>
        <row r="825">
          <cell r="C825"/>
          <cell r="D825"/>
          <cell r="E825"/>
          <cell r="G825"/>
          <cell r="K825"/>
          <cell r="L825"/>
          <cell r="M825"/>
          <cell r="N825"/>
          <cell r="R825"/>
        </row>
        <row r="826">
          <cell r="C826"/>
          <cell r="D826"/>
          <cell r="E826"/>
          <cell r="G826"/>
          <cell r="K826"/>
          <cell r="L826"/>
          <cell r="M826"/>
          <cell r="N826"/>
          <cell r="R826"/>
        </row>
        <row r="827">
          <cell r="C827"/>
          <cell r="D827"/>
          <cell r="E827"/>
          <cell r="G827"/>
          <cell r="K827"/>
          <cell r="L827"/>
          <cell r="M827"/>
          <cell r="N827"/>
          <cell r="R827"/>
        </row>
        <row r="828">
          <cell r="C828"/>
          <cell r="D828"/>
          <cell r="E828"/>
          <cell r="G828"/>
          <cell r="K828"/>
          <cell r="L828"/>
          <cell r="M828"/>
          <cell r="N828"/>
          <cell r="R828"/>
        </row>
        <row r="829">
          <cell r="C829"/>
          <cell r="D829"/>
          <cell r="E829"/>
          <cell r="G829"/>
          <cell r="K829"/>
          <cell r="L829"/>
          <cell r="M829"/>
          <cell r="N829"/>
          <cell r="R829"/>
        </row>
        <row r="830">
          <cell r="C830"/>
          <cell r="D830"/>
          <cell r="E830"/>
          <cell r="G830"/>
          <cell r="K830"/>
          <cell r="L830"/>
          <cell r="M830"/>
          <cell r="N830"/>
          <cell r="R830"/>
        </row>
        <row r="831">
          <cell r="C831"/>
          <cell r="D831"/>
          <cell r="E831"/>
          <cell r="G831"/>
          <cell r="K831"/>
          <cell r="L831"/>
          <cell r="M831"/>
          <cell r="N831"/>
          <cell r="R831"/>
        </row>
        <row r="832">
          <cell r="C832"/>
          <cell r="D832"/>
          <cell r="E832"/>
          <cell r="G832"/>
          <cell r="K832"/>
          <cell r="L832"/>
          <cell r="M832"/>
          <cell r="N832"/>
          <cell r="R832"/>
        </row>
        <row r="833">
          <cell r="C833"/>
          <cell r="D833"/>
          <cell r="E833"/>
          <cell r="G833"/>
          <cell r="K833"/>
          <cell r="L833"/>
          <cell r="M833"/>
          <cell r="N833"/>
          <cell r="R833"/>
        </row>
        <row r="834">
          <cell r="C834"/>
          <cell r="D834"/>
          <cell r="E834"/>
          <cell r="G834"/>
          <cell r="K834"/>
          <cell r="L834"/>
          <cell r="M834"/>
          <cell r="N834"/>
          <cell r="R834"/>
        </row>
        <row r="835">
          <cell r="C835"/>
          <cell r="D835"/>
          <cell r="E835"/>
          <cell r="G835"/>
          <cell r="K835"/>
          <cell r="L835"/>
          <cell r="M835"/>
          <cell r="N835"/>
          <cell r="R835"/>
        </row>
        <row r="836">
          <cell r="C836"/>
          <cell r="D836"/>
          <cell r="E836"/>
          <cell r="G836"/>
          <cell r="K836"/>
          <cell r="L836"/>
          <cell r="M836"/>
          <cell r="N836"/>
          <cell r="R836"/>
        </row>
        <row r="837">
          <cell r="C837"/>
          <cell r="D837"/>
          <cell r="E837"/>
          <cell r="G837"/>
          <cell r="K837"/>
          <cell r="L837"/>
          <cell r="M837"/>
          <cell r="N837"/>
          <cell r="R837"/>
        </row>
        <row r="838">
          <cell r="C838"/>
          <cell r="D838"/>
          <cell r="E838"/>
          <cell r="G838"/>
          <cell r="K838"/>
          <cell r="L838"/>
          <cell r="M838"/>
          <cell r="N838"/>
          <cell r="R838"/>
        </row>
        <row r="839">
          <cell r="C839"/>
          <cell r="D839"/>
          <cell r="E839"/>
          <cell r="G839"/>
          <cell r="K839"/>
          <cell r="L839"/>
          <cell r="M839"/>
          <cell r="N839"/>
          <cell r="R839"/>
        </row>
        <row r="840">
          <cell r="C840"/>
          <cell r="D840"/>
          <cell r="E840"/>
          <cell r="G840"/>
          <cell r="K840"/>
          <cell r="L840"/>
          <cell r="M840"/>
          <cell r="N840"/>
          <cell r="R840"/>
        </row>
        <row r="841">
          <cell r="C841"/>
          <cell r="D841"/>
          <cell r="E841"/>
          <cell r="G841"/>
          <cell r="K841"/>
          <cell r="L841"/>
          <cell r="M841"/>
          <cell r="N841"/>
          <cell r="R841"/>
        </row>
        <row r="842">
          <cell r="C842"/>
          <cell r="D842"/>
          <cell r="E842"/>
          <cell r="G842"/>
          <cell r="K842"/>
          <cell r="L842"/>
          <cell r="M842"/>
          <cell r="N842"/>
          <cell r="R842"/>
        </row>
        <row r="843">
          <cell r="C843"/>
          <cell r="D843"/>
          <cell r="E843"/>
          <cell r="G843"/>
          <cell r="K843"/>
          <cell r="L843"/>
          <cell r="M843"/>
          <cell r="N843"/>
          <cell r="R843"/>
        </row>
        <row r="844">
          <cell r="C844"/>
          <cell r="D844"/>
          <cell r="E844"/>
          <cell r="G844"/>
          <cell r="K844"/>
          <cell r="L844"/>
          <cell r="M844"/>
          <cell r="N844"/>
          <cell r="R844"/>
        </row>
        <row r="845">
          <cell r="C845"/>
          <cell r="D845"/>
          <cell r="E845"/>
          <cell r="G845"/>
          <cell r="K845"/>
          <cell r="L845"/>
          <cell r="M845"/>
          <cell r="N845"/>
          <cell r="R845"/>
        </row>
        <row r="846">
          <cell r="C846"/>
          <cell r="D846"/>
          <cell r="E846"/>
          <cell r="G846"/>
          <cell r="K846"/>
          <cell r="L846"/>
          <cell r="M846"/>
          <cell r="N846"/>
          <cell r="R846"/>
        </row>
        <row r="847">
          <cell r="C847"/>
          <cell r="D847"/>
          <cell r="E847"/>
          <cell r="G847"/>
          <cell r="K847"/>
          <cell r="L847"/>
          <cell r="M847"/>
          <cell r="N847"/>
          <cell r="R847"/>
        </row>
        <row r="848">
          <cell r="C848"/>
          <cell r="D848"/>
          <cell r="E848"/>
          <cell r="G848"/>
          <cell r="K848"/>
          <cell r="L848"/>
          <cell r="M848"/>
          <cell r="N848"/>
          <cell r="R848"/>
        </row>
        <row r="849">
          <cell r="C849"/>
          <cell r="D849"/>
          <cell r="E849"/>
          <cell r="G849"/>
          <cell r="K849"/>
          <cell r="L849"/>
          <cell r="M849"/>
          <cell r="N849"/>
          <cell r="R849"/>
        </row>
        <row r="850">
          <cell r="C850"/>
          <cell r="D850"/>
          <cell r="E850"/>
          <cell r="G850"/>
          <cell r="K850"/>
          <cell r="L850"/>
          <cell r="M850"/>
          <cell r="N850"/>
          <cell r="R850"/>
        </row>
        <row r="851">
          <cell r="C851"/>
          <cell r="D851"/>
          <cell r="E851"/>
          <cell r="G851"/>
          <cell r="K851"/>
          <cell r="L851"/>
          <cell r="M851"/>
          <cell r="N851"/>
          <cell r="R851"/>
        </row>
        <row r="852">
          <cell r="C852"/>
          <cell r="D852"/>
          <cell r="E852"/>
          <cell r="G852"/>
          <cell r="K852"/>
          <cell r="L852"/>
          <cell r="M852"/>
          <cell r="N852"/>
          <cell r="R852"/>
        </row>
        <row r="853">
          <cell r="C853"/>
          <cell r="D853"/>
          <cell r="E853"/>
          <cell r="G853"/>
          <cell r="K853"/>
          <cell r="L853"/>
          <cell r="M853"/>
          <cell r="N853"/>
          <cell r="R853"/>
        </row>
        <row r="854">
          <cell r="C854"/>
          <cell r="D854"/>
          <cell r="E854"/>
          <cell r="G854"/>
          <cell r="K854"/>
          <cell r="L854"/>
          <cell r="M854"/>
          <cell r="N854"/>
          <cell r="R854"/>
        </row>
        <row r="855">
          <cell r="C855"/>
          <cell r="D855"/>
          <cell r="E855"/>
          <cell r="G855"/>
          <cell r="K855"/>
          <cell r="L855"/>
          <cell r="M855"/>
          <cell r="N855"/>
          <cell r="R855"/>
        </row>
        <row r="856">
          <cell r="C856"/>
          <cell r="D856"/>
          <cell r="E856"/>
          <cell r="G856"/>
          <cell r="K856"/>
          <cell r="L856"/>
          <cell r="M856"/>
          <cell r="N856"/>
          <cell r="R856"/>
        </row>
        <row r="857">
          <cell r="C857"/>
          <cell r="D857"/>
          <cell r="E857"/>
          <cell r="G857"/>
          <cell r="K857"/>
          <cell r="L857"/>
          <cell r="M857"/>
          <cell r="N857"/>
          <cell r="R857"/>
        </row>
        <row r="858">
          <cell r="C858"/>
          <cell r="D858"/>
          <cell r="E858"/>
          <cell r="G858"/>
          <cell r="K858"/>
          <cell r="L858"/>
          <cell r="M858"/>
          <cell r="N858"/>
          <cell r="R858"/>
        </row>
        <row r="859">
          <cell r="C859"/>
          <cell r="D859"/>
          <cell r="E859"/>
          <cell r="G859"/>
          <cell r="K859"/>
          <cell r="L859"/>
          <cell r="M859"/>
          <cell r="N859"/>
          <cell r="R859"/>
        </row>
        <row r="860">
          <cell r="C860"/>
          <cell r="D860"/>
          <cell r="E860"/>
          <cell r="G860"/>
          <cell r="K860"/>
          <cell r="L860"/>
          <cell r="M860"/>
          <cell r="N860"/>
          <cell r="R860"/>
        </row>
        <row r="861">
          <cell r="C861"/>
          <cell r="D861"/>
          <cell r="E861"/>
          <cell r="G861"/>
          <cell r="K861"/>
          <cell r="L861"/>
          <cell r="M861"/>
          <cell r="N861"/>
          <cell r="R861"/>
        </row>
        <row r="862">
          <cell r="C862"/>
          <cell r="D862"/>
          <cell r="E862"/>
          <cell r="G862"/>
          <cell r="K862"/>
          <cell r="L862"/>
          <cell r="M862"/>
          <cell r="N862"/>
          <cell r="R862"/>
        </row>
        <row r="863">
          <cell r="C863"/>
          <cell r="D863"/>
          <cell r="E863"/>
          <cell r="G863"/>
          <cell r="K863"/>
          <cell r="L863"/>
          <cell r="M863"/>
          <cell r="N863"/>
          <cell r="R863"/>
        </row>
        <row r="864">
          <cell r="C864"/>
          <cell r="D864"/>
          <cell r="E864"/>
          <cell r="G864"/>
          <cell r="K864"/>
          <cell r="L864"/>
          <cell r="M864"/>
          <cell r="N864"/>
          <cell r="R864"/>
        </row>
        <row r="865">
          <cell r="C865"/>
          <cell r="D865"/>
          <cell r="E865"/>
          <cell r="G865"/>
          <cell r="K865"/>
          <cell r="L865"/>
          <cell r="M865"/>
          <cell r="N865"/>
          <cell r="R865"/>
        </row>
        <row r="866">
          <cell r="C866"/>
          <cell r="D866"/>
          <cell r="E866"/>
          <cell r="G866"/>
          <cell r="K866"/>
          <cell r="L866"/>
          <cell r="M866"/>
          <cell r="N866"/>
          <cell r="R866"/>
        </row>
        <row r="867">
          <cell r="C867"/>
          <cell r="D867"/>
          <cell r="E867"/>
          <cell r="G867"/>
          <cell r="K867"/>
          <cell r="L867"/>
          <cell r="M867"/>
          <cell r="N867"/>
          <cell r="R867"/>
        </row>
        <row r="868">
          <cell r="C868"/>
          <cell r="D868"/>
          <cell r="E868"/>
          <cell r="G868"/>
          <cell r="K868"/>
          <cell r="L868"/>
          <cell r="M868"/>
          <cell r="N868"/>
          <cell r="R868"/>
        </row>
        <row r="869">
          <cell r="C869"/>
          <cell r="D869"/>
          <cell r="E869"/>
          <cell r="G869"/>
          <cell r="K869"/>
          <cell r="L869"/>
          <cell r="M869"/>
          <cell r="N869"/>
          <cell r="R869"/>
        </row>
        <row r="870">
          <cell r="C870"/>
          <cell r="D870"/>
          <cell r="E870"/>
          <cell r="G870"/>
          <cell r="K870"/>
          <cell r="L870"/>
          <cell r="M870"/>
          <cell r="N870"/>
          <cell r="R870"/>
        </row>
        <row r="871">
          <cell r="C871"/>
          <cell r="D871"/>
          <cell r="E871"/>
          <cell r="G871"/>
          <cell r="K871"/>
          <cell r="L871"/>
          <cell r="M871"/>
          <cell r="N871"/>
          <cell r="R871"/>
        </row>
        <row r="872">
          <cell r="C872"/>
          <cell r="D872"/>
          <cell r="E872"/>
          <cell r="G872"/>
          <cell r="K872"/>
          <cell r="L872"/>
          <cell r="M872"/>
          <cell r="N872"/>
          <cell r="R872"/>
        </row>
        <row r="873">
          <cell r="C873"/>
          <cell r="D873"/>
          <cell r="E873"/>
          <cell r="G873"/>
          <cell r="K873"/>
          <cell r="L873"/>
          <cell r="M873"/>
          <cell r="N873"/>
          <cell r="R873"/>
        </row>
        <row r="874">
          <cell r="C874"/>
          <cell r="D874"/>
          <cell r="E874"/>
          <cell r="G874"/>
          <cell r="K874"/>
          <cell r="L874"/>
          <cell r="M874"/>
          <cell r="N874"/>
          <cell r="R874"/>
        </row>
        <row r="875">
          <cell r="C875"/>
          <cell r="D875"/>
          <cell r="E875"/>
          <cell r="G875"/>
          <cell r="K875"/>
          <cell r="L875"/>
          <cell r="M875"/>
          <cell r="N875"/>
          <cell r="R875"/>
        </row>
        <row r="876">
          <cell r="C876"/>
          <cell r="D876"/>
          <cell r="E876"/>
          <cell r="G876"/>
          <cell r="K876"/>
          <cell r="L876"/>
          <cell r="M876"/>
          <cell r="N876"/>
          <cell r="R876"/>
        </row>
        <row r="877">
          <cell r="C877"/>
          <cell r="D877"/>
          <cell r="E877"/>
          <cell r="G877"/>
          <cell r="K877"/>
          <cell r="L877"/>
          <cell r="M877"/>
          <cell r="N877"/>
          <cell r="R877"/>
        </row>
        <row r="878">
          <cell r="C878"/>
          <cell r="D878"/>
          <cell r="E878"/>
          <cell r="G878"/>
          <cell r="K878"/>
          <cell r="L878"/>
          <cell r="M878"/>
          <cell r="N878"/>
          <cell r="R878"/>
        </row>
        <row r="879">
          <cell r="C879"/>
          <cell r="D879"/>
          <cell r="E879"/>
          <cell r="G879"/>
          <cell r="K879"/>
          <cell r="L879"/>
          <cell r="M879"/>
          <cell r="N879"/>
          <cell r="R879"/>
        </row>
        <row r="880">
          <cell r="C880"/>
          <cell r="D880"/>
          <cell r="E880"/>
          <cell r="G880"/>
          <cell r="K880"/>
          <cell r="L880"/>
          <cell r="M880"/>
          <cell r="N880"/>
          <cell r="R880"/>
        </row>
        <row r="881">
          <cell r="C881"/>
          <cell r="D881"/>
          <cell r="E881"/>
          <cell r="G881"/>
          <cell r="K881"/>
          <cell r="L881"/>
          <cell r="M881"/>
          <cell r="N881"/>
          <cell r="R881"/>
        </row>
        <row r="882">
          <cell r="C882"/>
          <cell r="D882"/>
          <cell r="E882"/>
          <cell r="G882"/>
          <cell r="K882"/>
          <cell r="L882"/>
          <cell r="M882"/>
          <cell r="N882"/>
          <cell r="R882"/>
        </row>
        <row r="883">
          <cell r="C883"/>
          <cell r="D883"/>
          <cell r="E883"/>
          <cell r="G883"/>
          <cell r="K883"/>
          <cell r="L883"/>
          <cell r="M883"/>
          <cell r="N883"/>
          <cell r="R883"/>
        </row>
        <row r="884">
          <cell r="C884"/>
          <cell r="D884"/>
          <cell r="E884"/>
          <cell r="G884"/>
          <cell r="K884"/>
          <cell r="L884"/>
          <cell r="M884"/>
          <cell r="N884"/>
          <cell r="R884"/>
        </row>
        <row r="885">
          <cell r="C885"/>
          <cell r="D885"/>
          <cell r="E885"/>
          <cell r="G885"/>
          <cell r="K885"/>
          <cell r="L885"/>
          <cell r="M885"/>
          <cell r="N885"/>
          <cell r="R885"/>
        </row>
        <row r="886">
          <cell r="C886"/>
          <cell r="D886"/>
          <cell r="E886"/>
          <cell r="G886"/>
          <cell r="K886"/>
          <cell r="L886"/>
          <cell r="M886"/>
          <cell r="N886"/>
          <cell r="R886"/>
        </row>
        <row r="887">
          <cell r="C887"/>
          <cell r="D887"/>
          <cell r="E887"/>
          <cell r="G887"/>
          <cell r="K887"/>
          <cell r="L887"/>
          <cell r="M887"/>
          <cell r="N887"/>
          <cell r="R887"/>
        </row>
        <row r="888">
          <cell r="C888"/>
          <cell r="D888"/>
          <cell r="E888"/>
          <cell r="G888"/>
          <cell r="K888"/>
          <cell r="L888"/>
          <cell r="M888"/>
          <cell r="N888"/>
          <cell r="R888"/>
        </row>
        <row r="889">
          <cell r="C889"/>
          <cell r="D889"/>
          <cell r="E889"/>
          <cell r="G889"/>
          <cell r="K889"/>
          <cell r="L889"/>
          <cell r="M889"/>
          <cell r="N889"/>
          <cell r="R889"/>
        </row>
        <row r="890">
          <cell r="C890"/>
          <cell r="D890"/>
          <cell r="E890"/>
          <cell r="G890"/>
          <cell r="K890"/>
          <cell r="L890"/>
          <cell r="M890"/>
          <cell r="N890"/>
          <cell r="R890"/>
        </row>
        <row r="891">
          <cell r="C891"/>
          <cell r="D891"/>
          <cell r="E891"/>
          <cell r="G891"/>
          <cell r="K891"/>
          <cell r="L891"/>
          <cell r="M891"/>
          <cell r="N891"/>
          <cell r="R891"/>
        </row>
        <row r="892">
          <cell r="C892"/>
          <cell r="D892"/>
          <cell r="E892"/>
          <cell r="G892"/>
          <cell r="K892"/>
          <cell r="L892"/>
          <cell r="M892"/>
          <cell r="N892"/>
          <cell r="R892"/>
        </row>
        <row r="893">
          <cell r="C893"/>
          <cell r="D893"/>
          <cell r="E893"/>
          <cell r="G893"/>
          <cell r="K893"/>
          <cell r="L893"/>
          <cell r="M893"/>
          <cell r="N893"/>
          <cell r="R893"/>
        </row>
        <row r="894">
          <cell r="C894"/>
          <cell r="D894"/>
          <cell r="E894"/>
          <cell r="G894"/>
          <cell r="K894"/>
          <cell r="L894"/>
          <cell r="M894"/>
          <cell r="N894"/>
          <cell r="R894"/>
        </row>
        <row r="895">
          <cell r="C895"/>
          <cell r="D895"/>
          <cell r="E895"/>
          <cell r="G895"/>
          <cell r="K895"/>
          <cell r="L895"/>
          <cell r="M895"/>
          <cell r="N895"/>
          <cell r="R895"/>
        </row>
        <row r="896">
          <cell r="C896"/>
          <cell r="D896"/>
          <cell r="E896"/>
          <cell r="G896"/>
          <cell r="K896"/>
          <cell r="L896"/>
          <cell r="M896"/>
          <cell r="N896"/>
          <cell r="R896"/>
        </row>
        <row r="897">
          <cell r="C897"/>
          <cell r="D897"/>
          <cell r="E897"/>
          <cell r="G897"/>
          <cell r="K897"/>
          <cell r="L897"/>
          <cell r="M897"/>
          <cell r="N897"/>
          <cell r="R897"/>
        </row>
        <row r="898">
          <cell r="C898"/>
          <cell r="D898"/>
          <cell r="E898"/>
          <cell r="G898"/>
          <cell r="K898"/>
          <cell r="L898"/>
          <cell r="M898"/>
          <cell r="N898"/>
          <cell r="R898"/>
        </row>
        <row r="899">
          <cell r="C899"/>
          <cell r="D899"/>
          <cell r="E899"/>
          <cell r="G899"/>
          <cell r="K899"/>
          <cell r="L899"/>
          <cell r="M899"/>
          <cell r="N899"/>
          <cell r="R899"/>
        </row>
        <row r="900">
          <cell r="C900"/>
          <cell r="D900"/>
          <cell r="E900"/>
          <cell r="G900"/>
          <cell r="K900"/>
          <cell r="L900"/>
          <cell r="M900"/>
          <cell r="N900"/>
          <cell r="R900"/>
        </row>
        <row r="901">
          <cell r="C901"/>
          <cell r="D901"/>
          <cell r="E901"/>
          <cell r="G901"/>
          <cell r="K901"/>
          <cell r="L901"/>
          <cell r="M901"/>
          <cell r="N901"/>
          <cell r="R901"/>
        </row>
        <row r="902">
          <cell r="C902"/>
          <cell r="D902"/>
          <cell r="E902"/>
          <cell r="G902"/>
          <cell r="K902"/>
          <cell r="L902"/>
          <cell r="M902"/>
          <cell r="N902"/>
          <cell r="R902"/>
        </row>
        <row r="903">
          <cell r="C903"/>
          <cell r="D903"/>
          <cell r="E903"/>
          <cell r="G903"/>
          <cell r="K903"/>
          <cell r="L903"/>
          <cell r="M903"/>
          <cell r="N903"/>
          <cell r="R903"/>
        </row>
        <row r="904">
          <cell r="C904"/>
          <cell r="D904"/>
          <cell r="E904"/>
          <cell r="G904"/>
          <cell r="K904"/>
          <cell r="L904"/>
          <cell r="M904"/>
          <cell r="N904"/>
          <cell r="R904"/>
        </row>
        <row r="905">
          <cell r="C905"/>
          <cell r="D905"/>
          <cell r="E905"/>
          <cell r="G905"/>
          <cell r="K905"/>
          <cell r="L905"/>
          <cell r="M905"/>
          <cell r="N905"/>
          <cell r="R905"/>
        </row>
        <row r="906">
          <cell r="C906"/>
          <cell r="D906"/>
          <cell r="E906"/>
          <cell r="G906"/>
          <cell r="K906"/>
          <cell r="L906"/>
          <cell r="M906"/>
          <cell r="N906"/>
          <cell r="R906"/>
        </row>
        <row r="907">
          <cell r="C907"/>
          <cell r="D907"/>
          <cell r="E907"/>
          <cell r="G907"/>
          <cell r="K907"/>
          <cell r="L907"/>
          <cell r="M907"/>
          <cell r="N907"/>
          <cell r="R907"/>
        </row>
        <row r="908">
          <cell r="C908"/>
          <cell r="D908"/>
          <cell r="E908"/>
          <cell r="G908"/>
          <cell r="K908"/>
          <cell r="L908"/>
          <cell r="M908"/>
          <cell r="N908"/>
          <cell r="R908"/>
        </row>
        <row r="909">
          <cell r="C909"/>
          <cell r="D909"/>
          <cell r="E909"/>
          <cell r="G909"/>
          <cell r="K909"/>
          <cell r="L909"/>
          <cell r="M909"/>
          <cell r="N909"/>
          <cell r="R909"/>
        </row>
        <row r="910">
          <cell r="C910"/>
          <cell r="D910"/>
          <cell r="E910"/>
          <cell r="G910"/>
          <cell r="K910"/>
          <cell r="L910"/>
          <cell r="M910"/>
          <cell r="N910"/>
          <cell r="R910"/>
        </row>
        <row r="911">
          <cell r="C911"/>
          <cell r="D911"/>
          <cell r="E911"/>
          <cell r="G911"/>
          <cell r="K911"/>
          <cell r="L911"/>
          <cell r="M911"/>
          <cell r="N911"/>
          <cell r="R911"/>
        </row>
        <row r="912">
          <cell r="C912"/>
          <cell r="D912"/>
          <cell r="E912"/>
          <cell r="G912"/>
          <cell r="K912"/>
          <cell r="L912"/>
          <cell r="M912"/>
          <cell r="N912"/>
          <cell r="R912"/>
        </row>
        <row r="913">
          <cell r="C913"/>
          <cell r="D913"/>
          <cell r="E913"/>
          <cell r="G913"/>
          <cell r="K913"/>
          <cell r="L913"/>
          <cell r="M913"/>
          <cell r="N913"/>
          <cell r="R913"/>
        </row>
        <row r="914">
          <cell r="C914"/>
          <cell r="D914"/>
          <cell r="E914"/>
          <cell r="G914"/>
          <cell r="K914"/>
          <cell r="L914"/>
          <cell r="M914"/>
          <cell r="N914"/>
          <cell r="R914"/>
        </row>
        <row r="915">
          <cell r="C915"/>
          <cell r="D915"/>
          <cell r="E915"/>
          <cell r="G915"/>
          <cell r="K915"/>
          <cell r="L915"/>
          <cell r="M915"/>
          <cell r="N915"/>
          <cell r="R915"/>
        </row>
        <row r="916">
          <cell r="C916"/>
          <cell r="D916"/>
          <cell r="E916"/>
          <cell r="G916"/>
          <cell r="K916"/>
          <cell r="L916"/>
          <cell r="M916"/>
          <cell r="N916"/>
          <cell r="R916"/>
        </row>
        <row r="917">
          <cell r="C917"/>
          <cell r="D917"/>
          <cell r="E917"/>
          <cell r="G917"/>
          <cell r="K917"/>
          <cell r="L917"/>
          <cell r="M917"/>
          <cell r="N917"/>
          <cell r="R917"/>
        </row>
        <row r="918">
          <cell r="C918"/>
          <cell r="D918"/>
          <cell r="E918"/>
          <cell r="G918"/>
          <cell r="K918"/>
          <cell r="L918"/>
          <cell r="M918"/>
          <cell r="N918"/>
          <cell r="R918"/>
        </row>
        <row r="919">
          <cell r="C919"/>
          <cell r="D919"/>
          <cell r="E919"/>
          <cell r="G919"/>
          <cell r="K919"/>
          <cell r="L919"/>
          <cell r="M919"/>
          <cell r="N919"/>
          <cell r="R919"/>
        </row>
        <row r="920">
          <cell r="C920"/>
          <cell r="D920"/>
          <cell r="E920"/>
          <cell r="G920"/>
          <cell r="K920"/>
          <cell r="L920"/>
          <cell r="M920"/>
          <cell r="N920"/>
          <cell r="R920"/>
        </row>
        <row r="921">
          <cell r="C921"/>
          <cell r="D921"/>
          <cell r="E921"/>
          <cell r="G921"/>
          <cell r="K921"/>
          <cell r="L921"/>
          <cell r="M921"/>
          <cell r="N921"/>
          <cell r="R921"/>
        </row>
        <row r="922">
          <cell r="C922"/>
          <cell r="D922"/>
          <cell r="E922"/>
          <cell r="G922"/>
          <cell r="K922"/>
          <cell r="L922"/>
          <cell r="M922"/>
          <cell r="N922"/>
          <cell r="R922"/>
        </row>
        <row r="923">
          <cell r="C923"/>
          <cell r="D923"/>
          <cell r="E923"/>
          <cell r="G923"/>
          <cell r="K923"/>
          <cell r="L923"/>
          <cell r="M923"/>
          <cell r="N923"/>
          <cell r="R923"/>
        </row>
        <row r="924">
          <cell r="C924"/>
          <cell r="D924"/>
          <cell r="E924"/>
          <cell r="G924"/>
          <cell r="K924"/>
          <cell r="L924"/>
          <cell r="M924"/>
          <cell r="N924"/>
          <cell r="R924"/>
        </row>
        <row r="925">
          <cell r="C925"/>
          <cell r="D925"/>
          <cell r="E925"/>
          <cell r="G925"/>
          <cell r="K925"/>
          <cell r="L925"/>
          <cell r="M925"/>
          <cell r="N925"/>
          <cell r="R925"/>
        </row>
        <row r="926">
          <cell r="C926"/>
          <cell r="D926"/>
          <cell r="E926"/>
          <cell r="G926"/>
          <cell r="K926"/>
          <cell r="L926"/>
          <cell r="M926"/>
          <cell r="N926"/>
          <cell r="R926"/>
        </row>
        <row r="927">
          <cell r="C927"/>
          <cell r="D927"/>
          <cell r="E927"/>
          <cell r="G927"/>
          <cell r="K927"/>
          <cell r="L927"/>
          <cell r="M927"/>
          <cell r="N927"/>
          <cell r="R927"/>
        </row>
        <row r="928">
          <cell r="C928"/>
          <cell r="D928"/>
          <cell r="E928"/>
          <cell r="G928"/>
          <cell r="K928"/>
          <cell r="L928"/>
          <cell r="M928"/>
          <cell r="N928"/>
          <cell r="R928"/>
        </row>
        <row r="929">
          <cell r="C929"/>
          <cell r="D929"/>
          <cell r="E929"/>
          <cell r="G929"/>
          <cell r="K929"/>
          <cell r="L929"/>
          <cell r="M929"/>
          <cell r="N929"/>
          <cell r="R929"/>
        </row>
        <row r="930">
          <cell r="C930"/>
          <cell r="D930"/>
          <cell r="E930"/>
          <cell r="G930"/>
          <cell r="K930"/>
          <cell r="L930"/>
          <cell r="M930"/>
          <cell r="N930"/>
          <cell r="R930"/>
        </row>
        <row r="931">
          <cell r="C931"/>
          <cell r="D931"/>
          <cell r="E931"/>
          <cell r="G931"/>
          <cell r="K931"/>
          <cell r="L931"/>
          <cell r="M931"/>
          <cell r="N931"/>
          <cell r="R931"/>
        </row>
        <row r="932">
          <cell r="C932"/>
          <cell r="D932"/>
          <cell r="E932"/>
          <cell r="G932"/>
          <cell r="K932"/>
          <cell r="L932"/>
          <cell r="M932"/>
          <cell r="N932"/>
          <cell r="R932"/>
        </row>
        <row r="933">
          <cell r="C933"/>
          <cell r="D933"/>
          <cell r="E933"/>
          <cell r="G933"/>
          <cell r="K933"/>
          <cell r="L933"/>
          <cell r="M933"/>
          <cell r="N933"/>
          <cell r="R933"/>
        </row>
        <row r="934">
          <cell r="C934"/>
          <cell r="D934"/>
          <cell r="E934"/>
          <cell r="G934"/>
          <cell r="K934"/>
          <cell r="L934"/>
          <cell r="M934"/>
          <cell r="N934"/>
          <cell r="R934"/>
        </row>
        <row r="935">
          <cell r="C935"/>
          <cell r="D935"/>
          <cell r="E935"/>
          <cell r="G935"/>
          <cell r="K935"/>
          <cell r="L935"/>
          <cell r="M935"/>
          <cell r="N935"/>
          <cell r="R935"/>
        </row>
        <row r="936">
          <cell r="C936"/>
          <cell r="D936"/>
          <cell r="E936"/>
          <cell r="G936"/>
          <cell r="K936"/>
          <cell r="L936"/>
          <cell r="M936"/>
          <cell r="N936"/>
          <cell r="R936"/>
        </row>
        <row r="937">
          <cell r="C937"/>
          <cell r="D937"/>
          <cell r="E937"/>
          <cell r="G937"/>
          <cell r="K937"/>
          <cell r="L937"/>
          <cell r="M937"/>
          <cell r="N937"/>
          <cell r="R937"/>
        </row>
        <row r="938">
          <cell r="C938"/>
          <cell r="D938"/>
          <cell r="E938"/>
          <cell r="G938"/>
          <cell r="K938"/>
          <cell r="L938"/>
          <cell r="M938"/>
          <cell r="N938"/>
          <cell r="R938"/>
        </row>
        <row r="939">
          <cell r="C939"/>
          <cell r="D939"/>
          <cell r="E939"/>
          <cell r="G939"/>
          <cell r="K939"/>
          <cell r="L939"/>
          <cell r="M939"/>
          <cell r="N939"/>
          <cell r="R939"/>
        </row>
        <row r="940">
          <cell r="C940"/>
          <cell r="D940"/>
          <cell r="E940"/>
          <cell r="G940"/>
          <cell r="K940"/>
          <cell r="L940"/>
          <cell r="M940"/>
          <cell r="N940"/>
          <cell r="R940"/>
        </row>
        <row r="941">
          <cell r="C941"/>
          <cell r="D941"/>
          <cell r="E941"/>
          <cell r="G941"/>
          <cell r="K941"/>
          <cell r="L941"/>
          <cell r="M941"/>
          <cell r="N941"/>
          <cell r="R941"/>
        </row>
        <row r="942">
          <cell r="C942"/>
          <cell r="D942"/>
          <cell r="E942"/>
          <cell r="G942"/>
          <cell r="K942"/>
          <cell r="L942"/>
          <cell r="M942"/>
          <cell r="N942"/>
          <cell r="R942"/>
        </row>
        <row r="943">
          <cell r="C943"/>
          <cell r="D943"/>
          <cell r="E943"/>
          <cell r="G943"/>
          <cell r="K943"/>
          <cell r="L943"/>
          <cell r="M943"/>
          <cell r="N943"/>
          <cell r="R943"/>
        </row>
        <row r="944">
          <cell r="C944"/>
          <cell r="D944"/>
          <cell r="E944"/>
          <cell r="G944"/>
          <cell r="K944"/>
          <cell r="L944"/>
          <cell r="M944"/>
          <cell r="N944"/>
          <cell r="R944"/>
        </row>
        <row r="945">
          <cell r="C945"/>
          <cell r="D945"/>
          <cell r="E945"/>
          <cell r="G945"/>
          <cell r="K945"/>
          <cell r="L945"/>
          <cell r="M945"/>
          <cell r="N945"/>
          <cell r="R945"/>
        </row>
        <row r="946">
          <cell r="C946"/>
          <cell r="D946"/>
          <cell r="E946"/>
          <cell r="G946"/>
          <cell r="K946"/>
          <cell r="L946"/>
          <cell r="M946"/>
          <cell r="N946"/>
          <cell r="R946"/>
        </row>
        <row r="947">
          <cell r="C947"/>
          <cell r="D947"/>
          <cell r="E947"/>
          <cell r="G947"/>
          <cell r="K947"/>
          <cell r="L947"/>
          <cell r="M947"/>
          <cell r="N947"/>
          <cell r="R947"/>
        </row>
        <row r="948">
          <cell r="C948"/>
          <cell r="D948"/>
          <cell r="E948"/>
          <cell r="G948"/>
          <cell r="K948"/>
          <cell r="L948"/>
          <cell r="M948"/>
          <cell r="N948"/>
          <cell r="R948"/>
        </row>
        <row r="949">
          <cell r="C949"/>
          <cell r="D949"/>
          <cell r="E949"/>
          <cell r="G949"/>
          <cell r="K949"/>
          <cell r="L949"/>
          <cell r="M949"/>
          <cell r="N949"/>
          <cell r="R949"/>
        </row>
        <row r="950">
          <cell r="C950"/>
          <cell r="D950"/>
          <cell r="E950"/>
          <cell r="G950"/>
          <cell r="K950"/>
          <cell r="L950"/>
          <cell r="M950"/>
          <cell r="N950"/>
          <cell r="R950"/>
        </row>
        <row r="951">
          <cell r="C951"/>
          <cell r="D951"/>
          <cell r="E951"/>
          <cell r="G951"/>
          <cell r="K951"/>
          <cell r="L951"/>
          <cell r="M951"/>
          <cell r="N951"/>
          <cell r="R951"/>
        </row>
        <row r="952">
          <cell r="C952"/>
          <cell r="D952"/>
          <cell r="E952"/>
          <cell r="G952"/>
          <cell r="K952"/>
          <cell r="L952"/>
          <cell r="M952"/>
          <cell r="N952"/>
          <cell r="R952"/>
        </row>
        <row r="953">
          <cell r="C953"/>
          <cell r="D953"/>
          <cell r="E953"/>
          <cell r="G953"/>
          <cell r="K953"/>
          <cell r="L953"/>
          <cell r="M953"/>
          <cell r="N953"/>
          <cell r="R953"/>
        </row>
        <row r="954">
          <cell r="C954"/>
          <cell r="D954"/>
          <cell r="E954"/>
          <cell r="G954"/>
          <cell r="K954"/>
          <cell r="L954"/>
          <cell r="M954"/>
          <cell r="N954"/>
          <cell r="R954"/>
        </row>
        <row r="955">
          <cell r="C955"/>
          <cell r="D955"/>
          <cell r="E955"/>
          <cell r="G955"/>
          <cell r="K955"/>
          <cell r="L955"/>
          <cell r="M955"/>
          <cell r="N955"/>
          <cell r="R955"/>
        </row>
        <row r="956">
          <cell r="C956"/>
          <cell r="D956"/>
          <cell r="E956"/>
          <cell r="G956"/>
          <cell r="K956"/>
          <cell r="L956"/>
          <cell r="M956"/>
          <cell r="N956"/>
          <cell r="R956"/>
        </row>
        <row r="957">
          <cell r="C957"/>
          <cell r="D957"/>
          <cell r="E957"/>
          <cell r="G957"/>
          <cell r="K957"/>
          <cell r="L957"/>
          <cell r="M957"/>
          <cell r="N957"/>
          <cell r="R957"/>
        </row>
        <row r="958">
          <cell r="C958"/>
          <cell r="D958"/>
          <cell r="E958"/>
          <cell r="G958"/>
          <cell r="K958"/>
          <cell r="L958"/>
          <cell r="M958"/>
          <cell r="N958"/>
          <cell r="R958"/>
        </row>
        <row r="959">
          <cell r="C959"/>
          <cell r="D959"/>
          <cell r="E959"/>
          <cell r="G959"/>
          <cell r="K959"/>
          <cell r="L959"/>
          <cell r="M959"/>
          <cell r="N959"/>
          <cell r="R959"/>
        </row>
        <row r="960">
          <cell r="C960"/>
          <cell r="D960"/>
          <cell r="E960"/>
          <cell r="G960"/>
          <cell r="K960"/>
          <cell r="L960"/>
          <cell r="M960"/>
          <cell r="N960"/>
          <cell r="R960"/>
        </row>
        <row r="961">
          <cell r="C961"/>
          <cell r="D961"/>
          <cell r="E961"/>
          <cell r="G961"/>
          <cell r="K961"/>
          <cell r="L961"/>
          <cell r="M961"/>
          <cell r="N961"/>
          <cell r="R961"/>
        </row>
        <row r="962">
          <cell r="C962"/>
          <cell r="D962"/>
          <cell r="E962"/>
          <cell r="G962"/>
          <cell r="K962"/>
          <cell r="L962"/>
          <cell r="M962"/>
          <cell r="N962"/>
          <cell r="R962"/>
        </row>
        <row r="963">
          <cell r="C963"/>
          <cell r="D963"/>
          <cell r="E963"/>
          <cell r="G963"/>
          <cell r="K963"/>
          <cell r="L963"/>
          <cell r="M963"/>
          <cell r="N963"/>
          <cell r="R963"/>
        </row>
        <row r="964">
          <cell r="C964"/>
          <cell r="D964"/>
          <cell r="E964"/>
          <cell r="G964"/>
          <cell r="K964"/>
          <cell r="L964"/>
          <cell r="M964"/>
          <cell r="N964"/>
          <cell r="R964"/>
        </row>
        <row r="965">
          <cell r="C965"/>
          <cell r="D965"/>
          <cell r="E965"/>
          <cell r="G965"/>
          <cell r="K965"/>
          <cell r="L965"/>
          <cell r="M965"/>
          <cell r="N965"/>
          <cell r="R965"/>
        </row>
        <row r="966">
          <cell r="C966"/>
          <cell r="D966"/>
          <cell r="E966"/>
          <cell r="G966"/>
          <cell r="K966"/>
          <cell r="L966"/>
          <cell r="M966"/>
          <cell r="N966"/>
          <cell r="R966"/>
        </row>
        <row r="967">
          <cell r="C967"/>
          <cell r="D967"/>
          <cell r="E967"/>
          <cell r="G967"/>
          <cell r="K967"/>
          <cell r="L967"/>
          <cell r="M967"/>
          <cell r="N967"/>
          <cell r="R967"/>
        </row>
        <row r="968">
          <cell r="C968"/>
          <cell r="D968"/>
          <cell r="E968"/>
          <cell r="G968"/>
          <cell r="K968"/>
          <cell r="L968"/>
          <cell r="M968"/>
          <cell r="N968"/>
          <cell r="R968"/>
        </row>
        <row r="969">
          <cell r="C969"/>
          <cell r="D969"/>
          <cell r="E969"/>
          <cell r="G969"/>
          <cell r="K969"/>
          <cell r="L969"/>
          <cell r="M969"/>
          <cell r="N969"/>
          <cell r="R969"/>
        </row>
        <row r="970">
          <cell r="C970"/>
          <cell r="D970"/>
          <cell r="E970"/>
          <cell r="G970"/>
          <cell r="K970"/>
          <cell r="L970"/>
          <cell r="M970"/>
          <cell r="N970"/>
          <cell r="R970"/>
        </row>
        <row r="971">
          <cell r="C971"/>
          <cell r="D971"/>
          <cell r="E971"/>
          <cell r="G971"/>
          <cell r="K971"/>
          <cell r="L971"/>
          <cell r="M971"/>
          <cell r="N971"/>
          <cell r="R971"/>
        </row>
        <row r="972">
          <cell r="C972"/>
          <cell r="D972"/>
          <cell r="E972"/>
          <cell r="G972"/>
          <cell r="K972"/>
          <cell r="L972"/>
          <cell r="M972"/>
          <cell r="N972"/>
          <cell r="R972"/>
        </row>
        <row r="973">
          <cell r="C973"/>
          <cell r="D973"/>
          <cell r="E973"/>
          <cell r="G973"/>
          <cell r="K973"/>
          <cell r="L973"/>
          <cell r="M973"/>
          <cell r="N973"/>
          <cell r="R973"/>
        </row>
        <row r="974">
          <cell r="C974"/>
          <cell r="D974"/>
          <cell r="E974"/>
          <cell r="G974"/>
          <cell r="K974"/>
          <cell r="L974"/>
          <cell r="M974"/>
          <cell r="N974"/>
          <cell r="R974"/>
        </row>
        <row r="975">
          <cell r="C975"/>
          <cell r="D975"/>
          <cell r="E975"/>
          <cell r="G975"/>
          <cell r="K975"/>
          <cell r="L975"/>
          <cell r="M975"/>
          <cell r="N975"/>
          <cell r="R975"/>
        </row>
        <row r="976">
          <cell r="C976"/>
          <cell r="D976"/>
          <cell r="E976"/>
          <cell r="G976"/>
          <cell r="K976"/>
          <cell r="L976"/>
          <cell r="M976"/>
          <cell r="N976"/>
          <cell r="R976"/>
        </row>
        <row r="977">
          <cell r="C977"/>
          <cell r="D977"/>
          <cell r="E977"/>
          <cell r="G977"/>
          <cell r="K977"/>
          <cell r="L977"/>
          <cell r="M977"/>
          <cell r="N977"/>
          <cell r="R977"/>
        </row>
        <row r="978">
          <cell r="C978"/>
          <cell r="D978"/>
          <cell r="E978"/>
          <cell r="G978"/>
          <cell r="K978"/>
          <cell r="L978"/>
          <cell r="M978"/>
          <cell r="N978"/>
          <cell r="R978"/>
        </row>
        <row r="979">
          <cell r="C979"/>
          <cell r="D979"/>
          <cell r="E979"/>
          <cell r="G979"/>
          <cell r="K979"/>
          <cell r="L979"/>
          <cell r="M979"/>
          <cell r="N979"/>
          <cell r="R979"/>
        </row>
        <row r="980">
          <cell r="C980"/>
          <cell r="D980"/>
          <cell r="E980"/>
          <cell r="G980"/>
          <cell r="K980"/>
          <cell r="L980"/>
          <cell r="M980"/>
          <cell r="N980"/>
          <cell r="R980"/>
        </row>
        <row r="981">
          <cell r="C981"/>
          <cell r="D981"/>
          <cell r="E981"/>
          <cell r="G981"/>
          <cell r="K981"/>
          <cell r="L981"/>
          <cell r="M981"/>
          <cell r="N981"/>
          <cell r="R981"/>
        </row>
        <row r="982">
          <cell r="C982"/>
          <cell r="D982"/>
          <cell r="E982"/>
          <cell r="G982"/>
          <cell r="K982"/>
          <cell r="L982"/>
          <cell r="M982"/>
          <cell r="N982"/>
          <cell r="R982"/>
        </row>
        <row r="983">
          <cell r="C983"/>
          <cell r="D983"/>
          <cell r="E983"/>
          <cell r="G983"/>
          <cell r="K983"/>
          <cell r="L983"/>
          <cell r="M983"/>
          <cell r="N983"/>
          <cell r="R983"/>
        </row>
        <row r="984">
          <cell r="C984"/>
          <cell r="D984"/>
          <cell r="E984"/>
          <cell r="G984"/>
          <cell r="K984"/>
          <cell r="L984"/>
          <cell r="M984"/>
          <cell r="N984"/>
          <cell r="R984"/>
        </row>
        <row r="985">
          <cell r="C985"/>
          <cell r="D985"/>
          <cell r="E985"/>
          <cell r="G985"/>
          <cell r="K985"/>
          <cell r="L985"/>
          <cell r="M985"/>
          <cell r="N985"/>
          <cell r="R985"/>
        </row>
        <row r="986">
          <cell r="C986"/>
          <cell r="D986"/>
          <cell r="E986"/>
          <cell r="G986"/>
          <cell r="K986"/>
          <cell r="L986"/>
          <cell r="M986"/>
          <cell r="N986"/>
          <cell r="R986"/>
        </row>
        <row r="987">
          <cell r="C987"/>
          <cell r="D987"/>
          <cell r="E987"/>
          <cell r="G987"/>
          <cell r="K987"/>
          <cell r="L987"/>
          <cell r="M987"/>
          <cell r="N987"/>
          <cell r="R987"/>
        </row>
        <row r="988">
          <cell r="C988"/>
          <cell r="D988"/>
          <cell r="E988"/>
          <cell r="G988"/>
          <cell r="K988"/>
          <cell r="L988"/>
          <cell r="M988"/>
          <cell r="N988"/>
          <cell r="R988"/>
        </row>
        <row r="989">
          <cell r="C989"/>
          <cell r="D989"/>
          <cell r="E989"/>
          <cell r="G989"/>
          <cell r="K989"/>
          <cell r="L989"/>
          <cell r="M989"/>
          <cell r="N989"/>
          <cell r="R989"/>
        </row>
        <row r="990">
          <cell r="C990"/>
          <cell r="D990"/>
          <cell r="E990"/>
          <cell r="G990"/>
          <cell r="K990"/>
          <cell r="L990"/>
          <cell r="M990"/>
          <cell r="N990"/>
          <cell r="R990"/>
        </row>
        <row r="991">
          <cell r="C991"/>
          <cell r="D991"/>
          <cell r="E991"/>
          <cell r="G991"/>
          <cell r="K991"/>
          <cell r="L991"/>
          <cell r="M991"/>
          <cell r="N991"/>
          <cell r="R991"/>
        </row>
        <row r="992">
          <cell r="C992"/>
          <cell r="D992"/>
          <cell r="E992"/>
          <cell r="G992"/>
          <cell r="K992"/>
          <cell r="L992"/>
          <cell r="M992"/>
          <cell r="N992"/>
          <cell r="R992"/>
        </row>
        <row r="993">
          <cell r="C993"/>
          <cell r="D993"/>
          <cell r="E993"/>
          <cell r="G993"/>
          <cell r="K993"/>
          <cell r="L993"/>
          <cell r="M993"/>
          <cell r="N993"/>
          <cell r="R993"/>
        </row>
        <row r="994">
          <cell r="C994"/>
          <cell r="D994"/>
          <cell r="E994"/>
          <cell r="G994"/>
          <cell r="K994"/>
          <cell r="L994"/>
          <cell r="M994"/>
          <cell r="N994"/>
          <cell r="R994"/>
        </row>
        <row r="995">
          <cell r="C995"/>
          <cell r="D995"/>
          <cell r="E995"/>
          <cell r="G995"/>
          <cell r="K995"/>
          <cell r="L995"/>
          <cell r="M995"/>
          <cell r="N995"/>
          <cell r="R995"/>
        </row>
        <row r="996">
          <cell r="C996"/>
          <cell r="D996"/>
          <cell r="E996"/>
          <cell r="G996"/>
          <cell r="K996"/>
          <cell r="L996"/>
          <cell r="M996"/>
          <cell r="N996"/>
          <cell r="R996"/>
        </row>
        <row r="997">
          <cell r="C997"/>
          <cell r="D997"/>
          <cell r="E997"/>
          <cell r="G997"/>
          <cell r="K997"/>
          <cell r="L997"/>
          <cell r="M997"/>
          <cell r="N997"/>
          <cell r="R997"/>
        </row>
        <row r="998">
          <cell r="C998"/>
          <cell r="D998"/>
          <cell r="E998"/>
          <cell r="G998"/>
          <cell r="K998"/>
          <cell r="L998"/>
          <cell r="M998"/>
          <cell r="N998"/>
          <cell r="R998"/>
        </row>
        <row r="999">
          <cell r="C999"/>
          <cell r="D999"/>
          <cell r="E999"/>
          <cell r="G999"/>
          <cell r="K999"/>
          <cell r="L999"/>
          <cell r="M999"/>
          <cell r="N999"/>
          <cell r="R999"/>
        </row>
        <row r="1000">
          <cell r="C1000"/>
          <cell r="D1000"/>
          <cell r="E1000"/>
          <cell r="G1000"/>
          <cell r="K1000"/>
          <cell r="L1000"/>
          <cell r="M1000"/>
          <cell r="N1000"/>
          <cell r="R1000"/>
        </row>
        <row r="1001">
          <cell r="C1001"/>
          <cell r="D1001"/>
          <cell r="E1001"/>
          <cell r="G1001"/>
          <cell r="K1001"/>
          <cell r="L1001"/>
          <cell r="M1001"/>
          <cell r="N1001"/>
          <cell r="R1001"/>
        </row>
        <row r="1002">
          <cell r="C1002"/>
          <cell r="D1002"/>
          <cell r="E1002"/>
          <cell r="G1002"/>
          <cell r="K1002"/>
          <cell r="L1002"/>
          <cell r="M1002"/>
          <cell r="N1002"/>
          <cell r="R1002"/>
        </row>
        <row r="1003">
          <cell r="C1003"/>
          <cell r="D1003"/>
          <cell r="E1003"/>
          <cell r="G1003"/>
          <cell r="K1003"/>
          <cell r="L1003"/>
          <cell r="M1003"/>
          <cell r="N1003"/>
          <cell r="R1003"/>
        </row>
        <row r="1004">
          <cell r="C1004"/>
          <cell r="D1004"/>
          <cell r="E1004"/>
          <cell r="G1004"/>
          <cell r="K1004"/>
          <cell r="L1004"/>
          <cell r="M1004"/>
          <cell r="N1004"/>
          <cell r="R1004"/>
        </row>
        <row r="1005">
          <cell r="C1005"/>
          <cell r="D1005"/>
          <cell r="E1005"/>
          <cell r="G1005"/>
          <cell r="K1005"/>
          <cell r="L1005"/>
          <cell r="M1005"/>
          <cell r="N1005"/>
          <cell r="R1005"/>
        </row>
        <row r="1006">
          <cell r="C1006"/>
          <cell r="D1006"/>
          <cell r="E1006"/>
          <cell r="G1006"/>
          <cell r="K1006"/>
          <cell r="L1006"/>
          <cell r="M1006"/>
          <cell r="N1006"/>
          <cell r="R1006"/>
        </row>
        <row r="1007">
          <cell r="C1007"/>
          <cell r="D1007"/>
          <cell r="E1007"/>
          <cell r="G1007"/>
          <cell r="K1007"/>
          <cell r="L1007"/>
          <cell r="M1007"/>
          <cell r="N1007"/>
          <cell r="R1007"/>
        </row>
        <row r="1008">
          <cell r="C1008"/>
          <cell r="D1008"/>
          <cell r="E1008"/>
          <cell r="G1008"/>
          <cell r="K1008"/>
          <cell r="L1008"/>
          <cell r="M1008"/>
          <cell r="N1008"/>
          <cell r="R1008"/>
        </row>
        <row r="1009">
          <cell r="C1009"/>
          <cell r="D1009"/>
          <cell r="E1009"/>
          <cell r="G1009"/>
          <cell r="K1009"/>
          <cell r="L1009"/>
          <cell r="M1009"/>
          <cell r="N1009"/>
          <cell r="R1009"/>
        </row>
        <row r="1010">
          <cell r="C1010"/>
          <cell r="D1010"/>
          <cell r="E1010"/>
          <cell r="G1010"/>
          <cell r="K1010"/>
          <cell r="L1010"/>
          <cell r="M1010"/>
          <cell r="N1010"/>
          <cell r="R1010"/>
        </row>
        <row r="1011">
          <cell r="C1011"/>
          <cell r="D1011"/>
          <cell r="E1011"/>
          <cell r="G1011"/>
          <cell r="K1011"/>
          <cell r="L1011"/>
          <cell r="M1011"/>
          <cell r="N1011"/>
          <cell r="R1011"/>
        </row>
        <row r="1012">
          <cell r="C1012"/>
          <cell r="D1012"/>
          <cell r="E1012"/>
          <cell r="G1012"/>
          <cell r="K1012"/>
          <cell r="L1012"/>
          <cell r="M1012"/>
          <cell r="N1012"/>
          <cell r="R1012"/>
        </row>
        <row r="1013">
          <cell r="C1013"/>
          <cell r="D1013"/>
          <cell r="E1013"/>
          <cell r="G1013"/>
          <cell r="K1013"/>
          <cell r="L1013"/>
          <cell r="M1013"/>
          <cell r="N1013"/>
          <cell r="R1013"/>
        </row>
        <row r="1014">
          <cell r="C1014"/>
          <cell r="D1014"/>
          <cell r="E1014"/>
          <cell r="G1014"/>
          <cell r="K1014"/>
          <cell r="L1014"/>
          <cell r="M1014"/>
          <cell r="N1014"/>
          <cell r="R1014"/>
        </row>
        <row r="1015">
          <cell r="C1015"/>
          <cell r="D1015"/>
          <cell r="E1015"/>
          <cell r="G1015"/>
          <cell r="K1015"/>
          <cell r="L1015"/>
          <cell r="M1015"/>
          <cell r="N1015"/>
          <cell r="R1015"/>
        </row>
        <row r="1016">
          <cell r="C1016"/>
          <cell r="D1016"/>
          <cell r="E1016"/>
          <cell r="G1016"/>
          <cell r="K1016"/>
          <cell r="L1016"/>
          <cell r="M1016"/>
          <cell r="N1016"/>
          <cell r="R1016"/>
        </row>
        <row r="1017">
          <cell r="C1017"/>
          <cell r="D1017"/>
          <cell r="E1017"/>
          <cell r="G1017"/>
          <cell r="K1017"/>
          <cell r="L1017"/>
          <cell r="M1017"/>
          <cell r="N1017"/>
          <cell r="R1017"/>
        </row>
        <row r="1018">
          <cell r="C1018"/>
          <cell r="D1018"/>
          <cell r="E1018"/>
          <cell r="G1018"/>
          <cell r="K1018"/>
          <cell r="L1018"/>
          <cell r="M1018"/>
          <cell r="N1018"/>
          <cell r="R1018"/>
        </row>
        <row r="1019">
          <cell r="C1019"/>
          <cell r="D1019"/>
          <cell r="E1019"/>
          <cell r="G1019"/>
          <cell r="K1019"/>
          <cell r="L1019"/>
          <cell r="M1019"/>
          <cell r="N1019"/>
          <cell r="R1019"/>
        </row>
        <row r="1020">
          <cell r="C1020"/>
          <cell r="D1020"/>
          <cell r="E1020"/>
          <cell r="G1020"/>
          <cell r="K1020"/>
          <cell r="L1020"/>
          <cell r="M1020"/>
          <cell r="N1020"/>
          <cell r="R1020"/>
        </row>
        <row r="1021">
          <cell r="C1021"/>
          <cell r="D1021"/>
          <cell r="E1021"/>
          <cell r="G1021"/>
          <cell r="K1021"/>
          <cell r="L1021"/>
          <cell r="M1021"/>
          <cell r="N1021"/>
          <cell r="R1021"/>
        </row>
        <row r="1022">
          <cell r="C1022"/>
          <cell r="D1022"/>
          <cell r="E1022"/>
          <cell r="G1022"/>
          <cell r="K1022"/>
          <cell r="L1022"/>
          <cell r="M1022"/>
          <cell r="N1022"/>
          <cell r="R1022"/>
        </row>
        <row r="1023">
          <cell r="C1023"/>
          <cell r="D1023"/>
          <cell r="E1023"/>
          <cell r="G1023"/>
          <cell r="K1023"/>
          <cell r="L1023"/>
          <cell r="M1023"/>
          <cell r="N1023"/>
          <cell r="R1023"/>
        </row>
        <row r="1024">
          <cell r="C1024"/>
          <cell r="D1024"/>
          <cell r="E1024"/>
          <cell r="G1024"/>
          <cell r="K1024"/>
          <cell r="L1024"/>
          <cell r="M1024"/>
          <cell r="N1024"/>
          <cell r="R1024"/>
        </row>
        <row r="1025">
          <cell r="C1025"/>
          <cell r="D1025"/>
          <cell r="E1025"/>
          <cell r="G1025"/>
          <cell r="K1025"/>
          <cell r="L1025"/>
          <cell r="M1025"/>
          <cell r="N1025"/>
          <cell r="R1025"/>
        </row>
        <row r="1026">
          <cell r="C1026"/>
          <cell r="D1026"/>
          <cell r="E1026"/>
          <cell r="G1026"/>
          <cell r="K1026"/>
          <cell r="L1026"/>
          <cell r="M1026"/>
          <cell r="N1026"/>
          <cell r="R1026"/>
        </row>
        <row r="1027">
          <cell r="C1027"/>
          <cell r="D1027"/>
          <cell r="E1027"/>
          <cell r="G1027"/>
          <cell r="K1027"/>
          <cell r="L1027"/>
          <cell r="M1027"/>
          <cell r="N1027"/>
          <cell r="R1027"/>
        </row>
        <row r="1028">
          <cell r="C1028"/>
          <cell r="D1028"/>
          <cell r="E1028"/>
          <cell r="G1028"/>
          <cell r="K1028"/>
          <cell r="L1028"/>
          <cell r="M1028"/>
          <cell r="N1028"/>
          <cell r="R1028"/>
        </row>
        <row r="1029">
          <cell r="C1029"/>
          <cell r="D1029"/>
          <cell r="E1029"/>
          <cell r="G1029"/>
          <cell r="K1029"/>
          <cell r="L1029"/>
          <cell r="M1029"/>
          <cell r="N1029"/>
          <cell r="R1029"/>
        </row>
        <row r="1030">
          <cell r="C1030"/>
          <cell r="D1030"/>
          <cell r="E1030"/>
          <cell r="G1030"/>
          <cell r="K1030"/>
          <cell r="L1030"/>
          <cell r="M1030"/>
          <cell r="N1030"/>
          <cell r="R1030"/>
        </row>
        <row r="1031">
          <cell r="C1031"/>
          <cell r="D1031"/>
          <cell r="E1031"/>
          <cell r="G1031"/>
          <cell r="K1031"/>
          <cell r="L1031"/>
          <cell r="M1031"/>
          <cell r="N1031"/>
          <cell r="R1031"/>
        </row>
        <row r="1032">
          <cell r="C1032"/>
          <cell r="D1032"/>
          <cell r="E1032"/>
          <cell r="G1032"/>
          <cell r="K1032"/>
          <cell r="L1032"/>
          <cell r="M1032"/>
          <cell r="N1032"/>
          <cell r="R1032"/>
        </row>
        <row r="1033">
          <cell r="C1033"/>
          <cell r="D1033"/>
          <cell r="E1033"/>
          <cell r="G1033"/>
          <cell r="K1033"/>
          <cell r="L1033"/>
          <cell r="M1033"/>
          <cell r="N1033"/>
          <cell r="R1033"/>
        </row>
        <row r="1034">
          <cell r="C1034"/>
          <cell r="D1034"/>
          <cell r="E1034"/>
          <cell r="G1034"/>
          <cell r="K1034"/>
          <cell r="L1034"/>
          <cell r="M1034"/>
          <cell r="N1034"/>
          <cell r="R1034"/>
        </row>
        <row r="1035">
          <cell r="C1035"/>
          <cell r="D1035"/>
          <cell r="E1035"/>
          <cell r="G1035"/>
          <cell r="K1035"/>
          <cell r="L1035"/>
          <cell r="M1035"/>
          <cell r="N1035"/>
          <cell r="R1035"/>
        </row>
        <row r="1036">
          <cell r="C1036"/>
          <cell r="D1036"/>
          <cell r="E1036"/>
          <cell r="G1036"/>
          <cell r="K1036"/>
          <cell r="L1036"/>
          <cell r="M1036"/>
          <cell r="N1036"/>
          <cell r="R1036"/>
        </row>
        <row r="1037">
          <cell r="C1037"/>
          <cell r="D1037"/>
          <cell r="E1037"/>
          <cell r="G1037"/>
          <cell r="K1037"/>
          <cell r="L1037"/>
          <cell r="M1037"/>
          <cell r="N1037"/>
          <cell r="R1037"/>
        </row>
        <row r="1038">
          <cell r="C1038"/>
          <cell r="D1038"/>
          <cell r="E1038"/>
          <cell r="G1038"/>
          <cell r="K1038"/>
          <cell r="L1038"/>
          <cell r="M1038"/>
          <cell r="N1038"/>
          <cell r="R1038"/>
        </row>
        <row r="1039">
          <cell r="C1039"/>
          <cell r="D1039"/>
          <cell r="E1039"/>
          <cell r="G1039"/>
          <cell r="K1039"/>
          <cell r="L1039"/>
          <cell r="M1039"/>
          <cell r="N1039"/>
          <cell r="R1039"/>
        </row>
        <row r="1040">
          <cell r="C1040"/>
          <cell r="D1040"/>
          <cell r="E1040"/>
          <cell r="G1040"/>
          <cell r="K1040"/>
          <cell r="L1040"/>
          <cell r="M1040"/>
          <cell r="N1040"/>
          <cell r="R1040"/>
        </row>
        <row r="1041">
          <cell r="C1041"/>
          <cell r="D1041"/>
          <cell r="E1041"/>
          <cell r="G1041"/>
          <cell r="K1041"/>
          <cell r="L1041"/>
          <cell r="M1041"/>
          <cell r="N1041"/>
          <cell r="R1041"/>
        </row>
        <row r="1042">
          <cell r="C1042"/>
          <cell r="D1042"/>
          <cell r="E1042"/>
          <cell r="G1042"/>
          <cell r="K1042"/>
          <cell r="L1042"/>
          <cell r="M1042"/>
          <cell r="N1042"/>
          <cell r="R1042"/>
        </row>
        <row r="1043">
          <cell r="C1043"/>
          <cell r="D1043"/>
          <cell r="E1043"/>
          <cell r="G1043"/>
          <cell r="K1043"/>
          <cell r="L1043"/>
          <cell r="M1043"/>
          <cell r="N1043"/>
          <cell r="R1043"/>
        </row>
        <row r="1044">
          <cell r="C1044"/>
          <cell r="D1044"/>
          <cell r="E1044"/>
          <cell r="G1044"/>
          <cell r="K1044"/>
          <cell r="L1044"/>
          <cell r="M1044"/>
          <cell r="N1044"/>
          <cell r="R1044"/>
        </row>
        <row r="1045">
          <cell r="C1045"/>
          <cell r="D1045"/>
          <cell r="E1045"/>
          <cell r="G1045"/>
          <cell r="K1045"/>
          <cell r="L1045"/>
          <cell r="M1045"/>
          <cell r="N1045"/>
          <cell r="R1045"/>
        </row>
        <row r="1046">
          <cell r="C1046"/>
          <cell r="D1046"/>
          <cell r="E1046"/>
          <cell r="G1046"/>
          <cell r="K1046"/>
          <cell r="L1046"/>
          <cell r="M1046"/>
          <cell r="N1046"/>
          <cell r="R1046"/>
        </row>
        <row r="1047">
          <cell r="C1047"/>
          <cell r="D1047"/>
          <cell r="E1047"/>
          <cell r="G1047"/>
          <cell r="K1047"/>
          <cell r="L1047"/>
          <cell r="M1047"/>
          <cell r="N1047"/>
          <cell r="R1047"/>
        </row>
        <row r="1048">
          <cell r="C1048"/>
          <cell r="D1048"/>
          <cell r="E1048"/>
          <cell r="G1048"/>
          <cell r="K1048"/>
          <cell r="L1048"/>
          <cell r="M1048"/>
          <cell r="N1048"/>
          <cell r="R1048"/>
        </row>
        <row r="1049">
          <cell r="C1049"/>
          <cell r="D1049"/>
          <cell r="E1049"/>
          <cell r="G1049"/>
          <cell r="K1049"/>
          <cell r="L1049"/>
          <cell r="M1049"/>
          <cell r="N1049"/>
          <cell r="R1049"/>
        </row>
        <row r="1050">
          <cell r="C1050"/>
          <cell r="D1050"/>
          <cell r="E1050"/>
          <cell r="G1050"/>
          <cell r="K1050"/>
          <cell r="L1050"/>
          <cell r="M1050"/>
          <cell r="N1050"/>
          <cell r="R1050"/>
        </row>
        <row r="1051">
          <cell r="C1051"/>
          <cell r="D1051"/>
          <cell r="E1051"/>
          <cell r="G1051"/>
          <cell r="K1051"/>
          <cell r="L1051"/>
          <cell r="M1051"/>
          <cell r="N1051"/>
          <cell r="R1051"/>
        </row>
        <row r="1052">
          <cell r="C1052"/>
          <cell r="D1052"/>
          <cell r="E1052"/>
          <cell r="G1052"/>
          <cell r="K1052"/>
          <cell r="L1052"/>
          <cell r="M1052"/>
          <cell r="N1052"/>
          <cell r="R1052"/>
        </row>
        <row r="1053">
          <cell r="C1053"/>
          <cell r="D1053"/>
          <cell r="E1053"/>
          <cell r="G1053"/>
          <cell r="K1053"/>
          <cell r="L1053"/>
          <cell r="M1053"/>
          <cell r="N1053"/>
          <cell r="R1053"/>
        </row>
        <row r="1054">
          <cell r="C1054"/>
          <cell r="D1054"/>
          <cell r="E1054"/>
          <cell r="G1054"/>
          <cell r="K1054"/>
          <cell r="L1054"/>
          <cell r="M1054"/>
          <cell r="N1054"/>
          <cell r="R1054"/>
        </row>
        <row r="1055">
          <cell r="C1055"/>
          <cell r="D1055"/>
          <cell r="E1055"/>
          <cell r="G1055"/>
          <cell r="K1055"/>
          <cell r="L1055"/>
          <cell r="M1055"/>
          <cell r="N1055"/>
          <cell r="R1055"/>
        </row>
        <row r="1056">
          <cell r="C1056"/>
          <cell r="D1056"/>
          <cell r="E1056"/>
          <cell r="G1056"/>
          <cell r="K1056"/>
          <cell r="L1056"/>
          <cell r="M1056"/>
          <cell r="N1056"/>
          <cell r="R1056"/>
        </row>
        <row r="1057">
          <cell r="C1057"/>
          <cell r="D1057"/>
          <cell r="E1057"/>
          <cell r="G1057"/>
          <cell r="K1057"/>
          <cell r="L1057"/>
          <cell r="M1057"/>
          <cell r="N1057"/>
          <cell r="R1057"/>
        </row>
        <row r="1058">
          <cell r="C1058"/>
          <cell r="D1058"/>
          <cell r="E1058"/>
          <cell r="G1058"/>
          <cell r="K1058"/>
          <cell r="L1058"/>
          <cell r="M1058"/>
          <cell r="N1058"/>
          <cell r="R1058"/>
        </row>
        <row r="1059">
          <cell r="C1059"/>
          <cell r="D1059"/>
          <cell r="E1059"/>
          <cell r="G1059"/>
          <cell r="K1059"/>
          <cell r="L1059"/>
          <cell r="M1059"/>
          <cell r="N1059"/>
          <cell r="R1059"/>
        </row>
        <row r="1060">
          <cell r="C1060"/>
          <cell r="D1060"/>
          <cell r="E1060"/>
          <cell r="G1060"/>
          <cell r="K1060"/>
          <cell r="L1060"/>
          <cell r="M1060"/>
          <cell r="N1060"/>
          <cell r="R1060"/>
        </row>
        <row r="1061">
          <cell r="C1061"/>
          <cell r="D1061"/>
          <cell r="E1061"/>
          <cell r="G1061"/>
          <cell r="K1061"/>
          <cell r="L1061"/>
          <cell r="M1061"/>
          <cell r="N1061"/>
          <cell r="R1061"/>
        </row>
        <row r="1062">
          <cell r="C1062"/>
          <cell r="D1062"/>
          <cell r="E1062"/>
          <cell r="G1062"/>
          <cell r="K1062"/>
          <cell r="L1062"/>
          <cell r="M1062"/>
          <cell r="N1062"/>
          <cell r="R1062"/>
        </row>
        <row r="1063">
          <cell r="C1063"/>
          <cell r="D1063"/>
          <cell r="E1063"/>
          <cell r="G1063"/>
          <cell r="K1063"/>
          <cell r="L1063"/>
          <cell r="M1063"/>
          <cell r="N1063"/>
          <cell r="R1063"/>
        </row>
        <row r="1064">
          <cell r="C1064"/>
          <cell r="D1064"/>
          <cell r="E1064"/>
          <cell r="G1064"/>
          <cell r="K1064"/>
          <cell r="L1064"/>
          <cell r="M1064"/>
          <cell r="N1064"/>
          <cell r="R1064"/>
        </row>
        <row r="1065">
          <cell r="C1065"/>
          <cell r="D1065"/>
          <cell r="E1065"/>
          <cell r="G1065"/>
          <cell r="K1065"/>
          <cell r="L1065"/>
          <cell r="M1065"/>
          <cell r="N1065"/>
          <cell r="R1065"/>
        </row>
        <row r="1066">
          <cell r="C1066"/>
          <cell r="D1066"/>
          <cell r="E1066"/>
          <cell r="G1066"/>
          <cell r="K1066"/>
          <cell r="L1066"/>
          <cell r="M1066"/>
          <cell r="N1066"/>
          <cell r="R1066"/>
        </row>
        <row r="1067">
          <cell r="C1067"/>
          <cell r="D1067"/>
          <cell r="E1067"/>
          <cell r="G1067"/>
          <cell r="K1067"/>
          <cell r="L1067"/>
          <cell r="M1067"/>
          <cell r="N1067"/>
          <cell r="R1067"/>
        </row>
        <row r="1068">
          <cell r="C1068"/>
          <cell r="D1068"/>
          <cell r="E1068"/>
          <cell r="G1068"/>
          <cell r="K1068"/>
          <cell r="L1068"/>
          <cell r="M1068"/>
          <cell r="N1068"/>
          <cell r="R1068"/>
        </row>
        <row r="1069">
          <cell r="C1069"/>
          <cell r="D1069"/>
          <cell r="E1069"/>
          <cell r="G1069"/>
          <cell r="K1069"/>
          <cell r="L1069"/>
          <cell r="M1069"/>
          <cell r="N1069"/>
          <cell r="R1069"/>
        </row>
        <row r="1070">
          <cell r="C1070"/>
          <cell r="D1070"/>
          <cell r="E1070"/>
          <cell r="G1070"/>
          <cell r="K1070"/>
          <cell r="L1070"/>
          <cell r="M1070"/>
          <cell r="N1070"/>
          <cell r="R1070"/>
        </row>
        <row r="1071">
          <cell r="C1071"/>
          <cell r="D1071"/>
          <cell r="E1071"/>
          <cell r="G1071"/>
          <cell r="K1071"/>
          <cell r="L1071"/>
          <cell r="M1071"/>
          <cell r="N1071"/>
          <cell r="R1071"/>
        </row>
        <row r="1072">
          <cell r="C1072"/>
          <cell r="D1072"/>
          <cell r="E1072"/>
          <cell r="G1072"/>
          <cell r="K1072"/>
          <cell r="L1072"/>
          <cell r="M1072"/>
          <cell r="N1072"/>
          <cell r="R1072"/>
        </row>
        <row r="1073">
          <cell r="C1073"/>
          <cell r="D1073"/>
          <cell r="E1073"/>
          <cell r="G1073"/>
          <cell r="K1073"/>
          <cell r="L1073"/>
          <cell r="M1073"/>
          <cell r="N1073"/>
          <cell r="R1073"/>
        </row>
        <row r="1074">
          <cell r="C1074"/>
          <cell r="D1074"/>
          <cell r="E1074"/>
          <cell r="G1074"/>
          <cell r="K1074"/>
          <cell r="L1074"/>
          <cell r="M1074"/>
          <cell r="N1074"/>
          <cell r="R1074"/>
        </row>
        <row r="1075">
          <cell r="C1075"/>
          <cell r="D1075"/>
          <cell r="E1075"/>
          <cell r="G1075"/>
          <cell r="K1075"/>
          <cell r="L1075"/>
          <cell r="M1075"/>
          <cell r="N1075"/>
          <cell r="R1075"/>
        </row>
        <row r="1076">
          <cell r="C1076"/>
          <cell r="D1076"/>
          <cell r="E1076"/>
          <cell r="G1076"/>
          <cell r="K1076"/>
          <cell r="L1076"/>
          <cell r="M1076"/>
          <cell r="N1076"/>
          <cell r="R1076"/>
        </row>
        <row r="1077">
          <cell r="C1077"/>
          <cell r="D1077"/>
          <cell r="E1077"/>
          <cell r="G1077"/>
          <cell r="K1077"/>
          <cell r="L1077"/>
          <cell r="M1077"/>
          <cell r="N1077"/>
          <cell r="R1077"/>
        </row>
        <row r="1078">
          <cell r="C1078"/>
          <cell r="D1078"/>
          <cell r="E1078"/>
          <cell r="G1078"/>
          <cell r="K1078"/>
          <cell r="L1078"/>
          <cell r="M1078"/>
          <cell r="N1078"/>
          <cell r="R1078"/>
        </row>
        <row r="1079">
          <cell r="C1079"/>
          <cell r="D1079"/>
          <cell r="E1079"/>
          <cell r="G1079"/>
          <cell r="K1079"/>
          <cell r="L1079"/>
          <cell r="M1079"/>
          <cell r="N1079"/>
          <cell r="R1079"/>
        </row>
        <row r="1080">
          <cell r="C1080"/>
          <cell r="D1080"/>
          <cell r="E1080"/>
          <cell r="G1080"/>
          <cell r="K1080"/>
          <cell r="L1080"/>
          <cell r="M1080"/>
          <cell r="N1080"/>
          <cell r="R1080"/>
        </row>
        <row r="1081">
          <cell r="C1081"/>
          <cell r="D1081"/>
          <cell r="E1081"/>
          <cell r="G1081"/>
          <cell r="K1081"/>
          <cell r="L1081"/>
          <cell r="M1081"/>
          <cell r="N1081"/>
          <cell r="R1081"/>
        </row>
        <row r="1082">
          <cell r="C1082"/>
          <cell r="D1082"/>
          <cell r="E1082"/>
          <cell r="G1082"/>
          <cell r="K1082"/>
          <cell r="L1082"/>
          <cell r="M1082"/>
          <cell r="N1082"/>
          <cell r="R1082"/>
        </row>
        <row r="1083">
          <cell r="C1083"/>
          <cell r="D1083"/>
          <cell r="E1083"/>
          <cell r="G1083"/>
          <cell r="K1083"/>
          <cell r="L1083"/>
          <cell r="M1083"/>
          <cell r="N1083"/>
          <cell r="R1083"/>
        </row>
        <row r="1084">
          <cell r="C1084"/>
          <cell r="D1084"/>
          <cell r="E1084"/>
          <cell r="G1084"/>
          <cell r="K1084"/>
          <cell r="L1084"/>
          <cell r="M1084"/>
          <cell r="N1084"/>
          <cell r="R1084"/>
        </row>
        <row r="1085">
          <cell r="C1085"/>
          <cell r="D1085"/>
          <cell r="E1085"/>
          <cell r="G1085"/>
          <cell r="K1085"/>
          <cell r="L1085"/>
          <cell r="M1085"/>
          <cell r="N1085"/>
          <cell r="R1085"/>
        </row>
        <row r="1086">
          <cell r="C1086"/>
          <cell r="D1086"/>
          <cell r="E1086"/>
          <cell r="G1086"/>
          <cell r="K1086"/>
          <cell r="L1086"/>
          <cell r="M1086"/>
          <cell r="N1086"/>
          <cell r="R1086"/>
        </row>
        <row r="1087">
          <cell r="C1087"/>
          <cell r="D1087"/>
          <cell r="E1087"/>
          <cell r="G1087"/>
          <cell r="K1087"/>
          <cell r="L1087"/>
          <cell r="M1087"/>
          <cell r="N1087"/>
          <cell r="R1087"/>
        </row>
        <row r="1088">
          <cell r="C1088"/>
          <cell r="D1088"/>
          <cell r="E1088"/>
          <cell r="G1088"/>
          <cell r="K1088"/>
          <cell r="L1088"/>
          <cell r="M1088"/>
          <cell r="N1088"/>
          <cell r="R1088"/>
        </row>
        <row r="1089">
          <cell r="C1089"/>
          <cell r="D1089"/>
          <cell r="E1089"/>
          <cell r="G1089"/>
          <cell r="K1089"/>
          <cell r="L1089"/>
          <cell r="M1089"/>
          <cell r="N1089"/>
          <cell r="R1089"/>
        </row>
        <row r="1090">
          <cell r="C1090"/>
          <cell r="D1090"/>
          <cell r="E1090"/>
          <cell r="G1090"/>
          <cell r="K1090"/>
          <cell r="L1090"/>
          <cell r="M1090"/>
          <cell r="N1090"/>
          <cell r="R1090"/>
        </row>
        <row r="1091">
          <cell r="C1091"/>
          <cell r="D1091"/>
          <cell r="E1091"/>
          <cell r="G1091"/>
          <cell r="K1091"/>
          <cell r="L1091"/>
          <cell r="M1091"/>
          <cell r="N1091"/>
          <cell r="R1091"/>
        </row>
        <row r="1092">
          <cell r="C1092"/>
          <cell r="D1092"/>
          <cell r="E1092"/>
          <cell r="G1092"/>
          <cell r="K1092"/>
          <cell r="L1092"/>
          <cell r="M1092"/>
          <cell r="N1092"/>
          <cell r="R1092"/>
        </row>
        <row r="1093">
          <cell r="C1093"/>
          <cell r="D1093"/>
          <cell r="E1093"/>
          <cell r="G1093"/>
          <cell r="K1093"/>
          <cell r="L1093"/>
          <cell r="M1093"/>
          <cell r="N1093"/>
          <cell r="R1093"/>
        </row>
        <row r="1094">
          <cell r="C1094"/>
          <cell r="D1094"/>
          <cell r="E1094"/>
          <cell r="G1094"/>
          <cell r="K1094"/>
          <cell r="L1094"/>
          <cell r="M1094"/>
          <cell r="N1094"/>
          <cell r="R1094"/>
        </row>
        <row r="1095">
          <cell r="C1095"/>
          <cell r="D1095"/>
          <cell r="E1095"/>
          <cell r="G1095"/>
          <cell r="K1095"/>
          <cell r="L1095"/>
          <cell r="M1095"/>
          <cell r="N1095"/>
          <cell r="R1095"/>
        </row>
        <row r="1096">
          <cell r="C1096"/>
          <cell r="D1096"/>
          <cell r="E1096"/>
          <cell r="G1096"/>
          <cell r="K1096"/>
          <cell r="L1096"/>
          <cell r="M1096"/>
          <cell r="N1096"/>
          <cell r="R1096"/>
        </row>
        <row r="1097">
          <cell r="C1097"/>
          <cell r="D1097"/>
          <cell r="E1097"/>
          <cell r="G1097"/>
          <cell r="K1097"/>
          <cell r="L1097"/>
          <cell r="M1097"/>
          <cell r="N1097"/>
          <cell r="R1097"/>
        </row>
        <row r="1098">
          <cell r="C1098"/>
          <cell r="D1098"/>
          <cell r="E1098"/>
          <cell r="G1098"/>
          <cell r="K1098"/>
          <cell r="L1098"/>
          <cell r="M1098"/>
          <cell r="N1098"/>
          <cell r="R1098"/>
        </row>
        <row r="1099">
          <cell r="C1099"/>
          <cell r="D1099"/>
          <cell r="E1099"/>
          <cell r="G1099"/>
          <cell r="K1099"/>
          <cell r="L1099"/>
          <cell r="M1099"/>
          <cell r="N1099"/>
          <cell r="R1099"/>
        </row>
        <row r="1100">
          <cell r="C1100"/>
          <cell r="D1100"/>
          <cell r="E1100"/>
          <cell r="G1100"/>
          <cell r="K1100"/>
          <cell r="L1100"/>
          <cell r="M1100"/>
          <cell r="N1100"/>
          <cell r="R1100"/>
        </row>
        <row r="1101">
          <cell r="C1101"/>
          <cell r="D1101"/>
          <cell r="E1101"/>
          <cell r="G1101"/>
          <cell r="K1101"/>
          <cell r="L1101"/>
          <cell r="M1101"/>
          <cell r="N1101"/>
          <cell r="R1101"/>
        </row>
        <row r="1102">
          <cell r="C1102"/>
          <cell r="D1102"/>
          <cell r="E1102"/>
          <cell r="G1102"/>
          <cell r="K1102"/>
          <cell r="L1102"/>
          <cell r="M1102"/>
          <cell r="N1102"/>
          <cell r="R1102"/>
        </row>
        <row r="1103">
          <cell r="C1103"/>
          <cell r="D1103"/>
          <cell r="E1103"/>
          <cell r="G1103"/>
          <cell r="K1103"/>
          <cell r="L1103"/>
          <cell r="M1103"/>
          <cell r="N1103"/>
          <cell r="R1103"/>
        </row>
        <row r="1104">
          <cell r="C1104"/>
          <cell r="D1104"/>
          <cell r="E1104"/>
          <cell r="G1104"/>
          <cell r="K1104"/>
          <cell r="L1104"/>
          <cell r="M1104"/>
          <cell r="N1104"/>
          <cell r="R1104"/>
        </row>
        <row r="1105">
          <cell r="C1105"/>
          <cell r="D1105"/>
          <cell r="E1105"/>
          <cell r="G1105"/>
          <cell r="K1105"/>
          <cell r="L1105"/>
          <cell r="M1105"/>
          <cell r="N1105"/>
          <cell r="R1105"/>
        </row>
        <row r="1106">
          <cell r="C1106"/>
          <cell r="D1106"/>
          <cell r="E1106"/>
          <cell r="G1106"/>
          <cell r="K1106"/>
          <cell r="L1106"/>
          <cell r="M1106"/>
          <cell r="N1106"/>
          <cell r="R1106"/>
        </row>
        <row r="1107">
          <cell r="C1107"/>
          <cell r="D1107"/>
          <cell r="E1107"/>
          <cell r="G1107"/>
          <cell r="K1107"/>
          <cell r="L1107"/>
          <cell r="M1107"/>
          <cell r="N1107"/>
          <cell r="R1107"/>
        </row>
        <row r="1108">
          <cell r="C1108"/>
          <cell r="D1108"/>
          <cell r="E1108"/>
          <cell r="G1108"/>
          <cell r="K1108"/>
          <cell r="L1108"/>
          <cell r="M1108"/>
          <cell r="N1108"/>
          <cell r="R1108"/>
        </row>
        <row r="1109">
          <cell r="C1109"/>
          <cell r="D1109"/>
          <cell r="E1109"/>
          <cell r="G1109"/>
          <cell r="K1109"/>
          <cell r="L1109"/>
          <cell r="M1109"/>
          <cell r="N1109"/>
          <cell r="R1109"/>
        </row>
        <row r="1110">
          <cell r="C1110"/>
          <cell r="D1110"/>
          <cell r="E1110"/>
          <cell r="G1110"/>
          <cell r="K1110"/>
          <cell r="L1110"/>
          <cell r="M1110"/>
          <cell r="N1110"/>
          <cell r="R1110"/>
        </row>
        <row r="1111">
          <cell r="C1111"/>
          <cell r="D1111"/>
          <cell r="E1111"/>
          <cell r="G1111"/>
          <cell r="K1111"/>
          <cell r="L1111"/>
          <cell r="M1111"/>
          <cell r="N1111"/>
          <cell r="R1111"/>
        </row>
        <row r="1112">
          <cell r="C1112"/>
          <cell r="D1112"/>
          <cell r="E1112"/>
          <cell r="G1112"/>
          <cell r="K1112"/>
          <cell r="L1112"/>
          <cell r="M1112"/>
          <cell r="N1112"/>
          <cell r="R1112"/>
        </row>
        <row r="1113">
          <cell r="C1113"/>
          <cell r="D1113"/>
          <cell r="E1113"/>
          <cell r="G1113"/>
          <cell r="K1113"/>
          <cell r="L1113"/>
          <cell r="M1113"/>
          <cell r="N1113"/>
          <cell r="R1113"/>
        </row>
        <row r="1114">
          <cell r="C1114"/>
          <cell r="D1114"/>
          <cell r="E1114"/>
          <cell r="G1114"/>
          <cell r="K1114"/>
          <cell r="L1114"/>
          <cell r="M1114"/>
          <cell r="N1114"/>
          <cell r="R1114"/>
        </row>
        <row r="1115">
          <cell r="C1115"/>
          <cell r="D1115"/>
          <cell r="E1115"/>
          <cell r="G1115"/>
          <cell r="K1115"/>
          <cell r="L1115"/>
          <cell r="M1115"/>
          <cell r="N1115"/>
          <cell r="R1115"/>
        </row>
        <row r="1116">
          <cell r="C1116"/>
          <cell r="D1116"/>
          <cell r="E1116"/>
          <cell r="G1116"/>
          <cell r="K1116"/>
          <cell r="L1116"/>
          <cell r="M1116"/>
          <cell r="N1116"/>
          <cell r="R1116"/>
        </row>
        <row r="1117">
          <cell r="C1117"/>
          <cell r="D1117"/>
          <cell r="E1117"/>
          <cell r="G1117"/>
          <cell r="K1117"/>
          <cell r="L1117"/>
          <cell r="M1117"/>
          <cell r="N1117"/>
          <cell r="R1117"/>
        </row>
        <row r="1118">
          <cell r="C1118"/>
          <cell r="D1118"/>
          <cell r="E1118"/>
          <cell r="G1118"/>
          <cell r="K1118"/>
          <cell r="L1118"/>
          <cell r="M1118"/>
          <cell r="N1118"/>
          <cell r="R1118"/>
        </row>
        <row r="1119">
          <cell r="C1119"/>
          <cell r="D1119"/>
          <cell r="E1119"/>
          <cell r="G1119"/>
          <cell r="K1119"/>
          <cell r="L1119"/>
          <cell r="M1119"/>
          <cell r="N1119"/>
          <cell r="R1119"/>
        </row>
        <row r="1120">
          <cell r="C1120"/>
          <cell r="D1120"/>
          <cell r="E1120"/>
          <cell r="G1120"/>
          <cell r="K1120"/>
          <cell r="L1120"/>
          <cell r="M1120"/>
          <cell r="N1120"/>
          <cell r="R1120"/>
        </row>
        <row r="1121">
          <cell r="C1121"/>
          <cell r="D1121"/>
          <cell r="E1121"/>
          <cell r="G1121"/>
          <cell r="K1121"/>
          <cell r="L1121"/>
          <cell r="M1121"/>
          <cell r="N1121"/>
          <cell r="R1121"/>
        </row>
        <row r="1122">
          <cell r="C1122"/>
          <cell r="D1122"/>
          <cell r="E1122"/>
          <cell r="G1122"/>
          <cell r="K1122"/>
          <cell r="L1122"/>
          <cell r="M1122"/>
          <cell r="N1122"/>
          <cell r="R1122"/>
        </row>
        <row r="1123">
          <cell r="C1123"/>
          <cell r="D1123"/>
          <cell r="E1123"/>
          <cell r="G1123"/>
          <cell r="K1123"/>
          <cell r="L1123"/>
          <cell r="M1123"/>
          <cell r="N1123"/>
          <cell r="R1123"/>
        </row>
        <row r="1124">
          <cell r="C1124"/>
          <cell r="D1124"/>
          <cell r="E1124"/>
          <cell r="G1124"/>
          <cell r="K1124"/>
          <cell r="L1124"/>
          <cell r="M1124"/>
          <cell r="N1124"/>
          <cell r="R1124"/>
        </row>
        <row r="1125">
          <cell r="C1125"/>
          <cell r="D1125"/>
          <cell r="E1125"/>
          <cell r="G1125"/>
          <cell r="K1125"/>
          <cell r="L1125"/>
          <cell r="M1125"/>
          <cell r="N1125"/>
          <cell r="R1125"/>
        </row>
        <row r="1126">
          <cell r="C1126"/>
          <cell r="D1126"/>
          <cell r="E1126"/>
          <cell r="G1126"/>
          <cell r="K1126"/>
          <cell r="L1126"/>
          <cell r="M1126"/>
          <cell r="N1126"/>
          <cell r="R1126"/>
        </row>
        <row r="1127">
          <cell r="C1127"/>
          <cell r="D1127"/>
          <cell r="E1127"/>
          <cell r="G1127"/>
          <cell r="K1127"/>
          <cell r="L1127"/>
          <cell r="M1127"/>
          <cell r="N1127"/>
          <cell r="R1127"/>
        </row>
        <row r="1128">
          <cell r="C1128"/>
          <cell r="D1128"/>
          <cell r="E1128"/>
          <cell r="G1128"/>
          <cell r="K1128"/>
          <cell r="L1128"/>
          <cell r="M1128"/>
          <cell r="N1128"/>
          <cell r="R1128"/>
        </row>
        <row r="1129">
          <cell r="C1129"/>
          <cell r="D1129"/>
          <cell r="E1129"/>
          <cell r="G1129"/>
          <cell r="K1129"/>
          <cell r="L1129"/>
          <cell r="M1129"/>
          <cell r="N1129"/>
          <cell r="R1129"/>
        </row>
        <row r="1130">
          <cell r="C1130"/>
          <cell r="D1130"/>
          <cell r="E1130"/>
          <cell r="G1130"/>
          <cell r="K1130"/>
          <cell r="L1130"/>
          <cell r="M1130"/>
          <cell r="N1130"/>
          <cell r="R1130"/>
        </row>
        <row r="1131">
          <cell r="C1131"/>
          <cell r="D1131"/>
          <cell r="E1131"/>
          <cell r="G1131"/>
          <cell r="K1131"/>
          <cell r="L1131"/>
          <cell r="M1131"/>
          <cell r="N1131"/>
          <cell r="R1131"/>
        </row>
        <row r="1132">
          <cell r="C1132"/>
          <cell r="D1132"/>
          <cell r="E1132"/>
          <cell r="G1132"/>
          <cell r="K1132"/>
          <cell r="L1132"/>
          <cell r="M1132"/>
          <cell r="N1132"/>
          <cell r="R1132"/>
        </row>
        <row r="1133">
          <cell r="C1133"/>
          <cell r="D1133"/>
          <cell r="E1133"/>
          <cell r="G1133"/>
          <cell r="K1133"/>
          <cell r="L1133"/>
          <cell r="M1133"/>
          <cell r="N1133"/>
          <cell r="R1133"/>
        </row>
        <row r="1134">
          <cell r="C1134"/>
          <cell r="D1134"/>
          <cell r="E1134"/>
          <cell r="G1134"/>
          <cell r="K1134"/>
          <cell r="L1134"/>
          <cell r="M1134"/>
          <cell r="N1134"/>
          <cell r="R1134"/>
        </row>
        <row r="1135">
          <cell r="C1135"/>
          <cell r="D1135"/>
          <cell r="E1135"/>
          <cell r="G1135"/>
          <cell r="K1135"/>
          <cell r="L1135"/>
          <cell r="M1135"/>
          <cell r="N1135"/>
          <cell r="R1135"/>
        </row>
        <row r="1136">
          <cell r="C1136"/>
          <cell r="D1136"/>
          <cell r="E1136"/>
          <cell r="G1136"/>
          <cell r="K1136"/>
          <cell r="L1136"/>
          <cell r="M1136"/>
          <cell r="N1136"/>
          <cell r="R1136"/>
        </row>
        <row r="1137">
          <cell r="C1137"/>
          <cell r="D1137"/>
          <cell r="E1137"/>
          <cell r="G1137"/>
          <cell r="K1137"/>
          <cell r="L1137"/>
          <cell r="M1137"/>
          <cell r="N1137"/>
          <cell r="R1137"/>
        </row>
        <row r="1138">
          <cell r="C1138"/>
          <cell r="D1138"/>
          <cell r="E1138"/>
          <cell r="G1138"/>
          <cell r="K1138"/>
          <cell r="L1138"/>
          <cell r="M1138"/>
          <cell r="N1138"/>
          <cell r="R1138"/>
        </row>
        <row r="1139">
          <cell r="C1139"/>
          <cell r="D1139"/>
          <cell r="E1139"/>
          <cell r="G1139"/>
          <cell r="K1139"/>
          <cell r="L1139"/>
          <cell r="M1139"/>
          <cell r="N1139"/>
          <cell r="R1139"/>
        </row>
        <row r="1140">
          <cell r="C1140"/>
          <cell r="D1140"/>
          <cell r="E1140"/>
          <cell r="G1140"/>
          <cell r="K1140"/>
          <cell r="L1140"/>
          <cell r="M1140"/>
          <cell r="N1140"/>
          <cell r="R1140"/>
        </row>
        <row r="1141">
          <cell r="C1141"/>
          <cell r="D1141"/>
          <cell r="E1141"/>
          <cell r="G1141"/>
          <cell r="K1141"/>
          <cell r="L1141"/>
          <cell r="M1141"/>
          <cell r="N1141"/>
          <cell r="R1141"/>
        </row>
        <row r="1142">
          <cell r="C1142"/>
          <cell r="D1142"/>
          <cell r="E1142"/>
          <cell r="G1142"/>
          <cell r="K1142"/>
          <cell r="L1142"/>
          <cell r="M1142"/>
          <cell r="N1142"/>
          <cell r="R1142"/>
        </row>
        <row r="1143">
          <cell r="C1143"/>
          <cell r="D1143"/>
          <cell r="E1143"/>
          <cell r="G1143"/>
          <cell r="K1143"/>
          <cell r="L1143"/>
          <cell r="M1143"/>
          <cell r="N1143"/>
          <cell r="R1143"/>
        </row>
        <row r="1144">
          <cell r="C1144"/>
          <cell r="D1144"/>
          <cell r="E1144"/>
          <cell r="G1144"/>
          <cell r="K1144"/>
          <cell r="L1144"/>
          <cell r="M1144"/>
          <cell r="N1144"/>
          <cell r="R1144"/>
        </row>
        <row r="1145">
          <cell r="C1145"/>
          <cell r="D1145"/>
          <cell r="E1145"/>
          <cell r="G1145"/>
          <cell r="K1145"/>
          <cell r="L1145"/>
          <cell r="M1145"/>
          <cell r="N1145"/>
          <cell r="R1145"/>
        </row>
        <row r="1146">
          <cell r="C1146"/>
          <cell r="D1146"/>
          <cell r="E1146"/>
          <cell r="G1146"/>
          <cell r="K1146"/>
          <cell r="L1146"/>
          <cell r="M1146"/>
          <cell r="N1146"/>
          <cell r="R1146"/>
        </row>
        <row r="1147">
          <cell r="C1147"/>
          <cell r="D1147"/>
          <cell r="E1147"/>
          <cell r="G1147"/>
          <cell r="K1147"/>
          <cell r="L1147"/>
          <cell r="M1147"/>
          <cell r="N1147"/>
          <cell r="R1147"/>
        </row>
        <row r="1148">
          <cell r="C1148"/>
          <cell r="D1148"/>
          <cell r="E1148"/>
          <cell r="G1148"/>
          <cell r="K1148"/>
          <cell r="L1148"/>
          <cell r="M1148"/>
          <cell r="N1148"/>
          <cell r="R1148"/>
        </row>
        <row r="1149">
          <cell r="C1149"/>
          <cell r="D1149"/>
          <cell r="E1149"/>
          <cell r="G1149"/>
          <cell r="K1149"/>
          <cell r="L1149"/>
          <cell r="M1149"/>
          <cell r="N1149"/>
          <cell r="R1149"/>
        </row>
        <row r="1150">
          <cell r="C1150"/>
          <cell r="D1150"/>
          <cell r="E1150"/>
          <cell r="G1150"/>
          <cell r="K1150"/>
          <cell r="L1150"/>
          <cell r="M1150"/>
          <cell r="N1150"/>
          <cell r="R1150"/>
        </row>
        <row r="1151">
          <cell r="C1151"/>
          <cell r="D1151"/>
          <cell r="E1151"/>
          <cell r="G1151"/>
          <cell r="K1151"/>
          <cell r="L1151"/>
          <cell r="M1151"/>
          <cell r="N1151"/>
          <cell r="R1151"/>
        </row>
        <row r="1152">
          <cell r="C1152"/>
          <cell r="D1152"/>
          <cell r="E1152"/>
          <cell r="G1152"/>
          <cell r="K1152"/>
          <cell r="L1152"/>
          <cell r="M1152"/>
          <cell r="N1152"/>
          <cell r="R1152"/>
        </row>
        <row r="1153">
          <cell r="C1153"/>
          <cell r="D1153"/>
          <cell r="E1153"/>
          <cell r="G1153"/>
          <cell r="K1153"/>
          <cell r="L1153"/>
          <cell r="M1153"/>
          <cell r="N1153"/>
          <cell r="R1153"/>
        </row>
        <row r="1154">
          <cell r="C1154"/>
          <cell r="D1154"/>
          <cell r="E1154"/>
          <cell r="G1154"/>
          <cell r="K1154"/>
          <cell r="L1154"/>
          <cell r="M1154"/>
          <cell r="N1154"/>
          <cell r="R1154"/>
        </row>
        <row r="1155">
          <cell r="C1155"/>
          <cell r="D1155"/>
          <cell r="E1155"/>
          <cell r="G1155"/>
          <cell r="K1155"/>
          <cell r="L1155"/>
          <cell r="M1155"/>
          <cell r="N1155"/>
          <cell r="R1155"/>
        </row>
        <row r="1156">
          <cell r="C1156"/>
          <cell r="D1156"/>
          <cell r="E1156"/>
          <cell r="G1156"/>
          <cell r="K1156"/>
          <cell r="L1156"/>
          <cell r="M1156"/>
          <cell r="N1156"/>
          <cell r="R1156"/>
        </row>
        <row r="1157">
          <cell r="C1157"/>
          <cell r="D1157"/>
          <cell r="E1157"/>
          <cell r="G1157"/>
          <cell r="K1157"/>
          <cell r="L1157"/>
          <cell r="M1157"/>
          <cell r="N1157"/>
          <cell r="R1157"/>
        </row>
        <row r="1158">
          <cell r="C1158"/>
          <cell r="D1158"/>
          <cell r="E1158"/>
          <cell r="G1158"/>
          <cell r="K1158"/>
          <cell r="L1158"/>
          <cell r="M1158"/>
          <cell r="N1158"/>
          <cell r="R1158"/>
        </row>
        <row r="1159">
          <cell r="C1159"/>
          <cell r="D1159"/>
          <cell r="E1159"/>
          <cell r="G1159"/>
          <cell r="K1159"/>
          <cell r="L1159"/>
          <cell r="M1159"/>
          <cell r="N1159"/>
          <cell r="R1159"/>
        </row>
        <row r="1160">
          <cell r="C1160"/>
          <cell r="D1160"/>
          <cell r="E1160"/>
          <cell r="G1160"/>
          <cell r="K1160"/>
          <cell r="L1160"/>
          <cell r="M1160"/>
          <cell r="N1160"/>
          <cell r="R1160"/>
        </row>
        <row r="1161">
          <cell r="C1161"/>
          <cell r="D1161"/>
          <cell r="E1161"/>
          <cell r="G1161"/>
          <cell r="K1161"/>
          <cell r="L1161"/>
          <cell r="M1161"/>
          <cell r="N1161"/>
          <cell r="R1161"/>
        </row>
        <row r="1162">
          <cell r="C1162"/>
          <cell r="D1162"/>
          <cell r="E1162"/>
          <cell r="G1162"/>
          <cell r="K1162"/>
          <cell r="L1162"/>
          <cell r="M1162"/>
          <cell r="N1162"/>
          <cell r="R1162"/>
        </row>
        <row r="1163">
          <cell r="C1163"/>
          <cell r="D1163"/>
          <cell r="E1163"/>
          <cell r="G1163"/>
          <cell r="K1163"/>
          <cell r="L1163"/>
          <cell r="M1163"/>
          <cell r="N1163"/>
          <cell r="R1163"/>
        </row>
        <row r="1164">
          <cell r="C1164"/>
          <cell r="D1164"/>
          <cell r="E1164"/>
          <cell r="G1164"/>
          <cell r="K1164"/>
          <cell r="L1164"/>
          <cell r="M1164"/>
          <cell r="N1164"/>
          <cell r="R1164"/>
        </row>
        <row r="1165">
          <cell r="C1165"/>
          <cell r="D1165"/>
          <cell r="E1165"/>
          <cell r="G1165"/>
          <cell r="K1165"/>
          <cell r="L1165"/>
          <cell r="M1165"/>
          <cell r="N1165"/>
          <cell r="R1165"/>
        </row>
        <row r="1166">
          <cell r="C1166"/>
          <cell r="D1166"/>
          <cell r="E1166"/>
          <cell r="G1166"/>
          <cell r="K1166"/>
          <cell r="L1166"/>
          <cell r="M1166"/>
          <cell r="N1166"/>
          <cell r="R1166"/>
        </row>
        <row r="1167">
          <cell r="C1167"/>
          <cell r="D1167"/>
          <cell r="E1167"/>
          <cell r="G1167"/>
          <cell r="K1167"/>
          <cell r="L1167"/>
          <cell r="M1167"/>
          <cell r="N1167"/>
          <cell r="R1167"/>
        </row>
        <row r="1168">
          <cell r="C1168"/>
          <cell r="D1168"/>
          <cell r="E1168"/>
          <cell r="G1168"/>
          <cell r="K1168"/>
          <cell r="L1168"/>
          <cell r="M1168"/>
          <cell r="N1168"/>
          <cell r="R1168"/>
        </row>
        <row r="1169">
          <cell r="C1169"/>
          <cell r="D1169"/>
          <cell r="E1169"/>
          <cell r="G1169"/>
          <cell r="K1169"/>
          <cell r="L1169"/>
          <cell r="M1169"/>
          <cell r="N1169"/>
          <cell r="R1169"/>
        </row>
        <row r="1170">
          <cell r="C1170"/>
          <cell r="D1170"/>
          <cell r="E1170"/>
          <cell r="G1170"/>
          <cell r="K1170"/>
          <cell r="L1170"/>
          <cell r="M1170"/>
          <cell r="N1170"/>
          <cell r="R1170"/>
        </row>
        <row r="1171">
          <cell r="C1171"/>
          <cell r="D1171"/>
          <cell r="E1171"/>
          <cell r="G1171"/>
          <cell r="K1171"/>
          <cell r="L1171"/>
          <cell r="M1171"/>
          <cell r="N1171"/>
          <cell r="R1171"/>
        </row>
        <row r="1172">
          <cell r="C1172"/>
          <cell r="D1172"/>
          <cell r="E1172"/>
          <cell r="G1172"/>
          <cell r="K1172"/>
          <cell r="L1172"/>
          <cell r="M1172"/>
          <cell r="N1172"/>
          <cell r="R1172"/>
        </row>
        <row r="1173">
          <cell r="C1173"/>
          <cell r="D1173"/>
          <cell r="E1173"/>
          <cell r="G1173"/>
          <cell r="K1173"/>
          <cell r="L1173"/>
          <cell r="M1173"/>
          <cell r="N1173"/>
          <cell r="R1173"/>
        </row>
        <row r="1174">
          <cell r="C1174"/>
          <cell r="D1174"/>
          <cell r="E1174"/>
          <cell r="G1174"/>
          <cell r="K1174"/>
          <cell r="L1174"/>
          <cell r="M1174"/>
          <cell r="N1174"/>
          <cell r="R1174"/>
        </row>
        <row r="1175">
          <cell r="C1175"/>
          <cell r="D1175"/>
          <cell r="E1175"/>
          <cell r="G1175"/>
          <cell r="K1175"/>
          <cell r="L1175"/>
          <cell r="M1175"/>
          <cell r="N1175"/>
          <cell r="R1175"/>
        </row>
        <row r="1176">
          <cell r="C1176"/>
          <cell r="D1176"/>
          <cell r="E1176"/>
          <cell r="G1176"/>
          <cell r="K1176"/>
          <cell r="L1176"/>
          <cell r="M1176"/>
          <cell r="N1176"/>
          <cell r="R1176"/>
        </row>
        <row r="1177">
          <cell r="C1177"/>
          <cell r="D1177"/>
          <cell r="E1177"/>
          <cell r="G1177"/>
          <cell r="K1177"/>
          <cell r="L1177"/>
          <cell r="M1177"/>
          <cell r="N1177"/>
          <cell r="R1177"/>
        </row>
        <row r="1178">
          <cell r="C1178"/>
          <cell r="D1178"/>
          <cell r="E1178"/>
          <cell r="G1178"/>
          <cell r="K1178"/>
          <cell r="L1178"/>
          <cell r="M1178"/>
          <cell r="N1178"/>
          <cell r="R1178"/>
        </row>
        <row r="1179">
          <cell r="C1179"/>
          <cell r="D1179"/>
          <cell r="E1179"/>
          <cell r="G1179"/>
          <cell r="K1179"/>
          <cell r="L1179"/>
          <cell r="M1179"/>
          <cell r="N1179"/>
          <cell r="R1179"/>
        </row>
        <row r="1180">
          <cell r="C1180"/>
          <cell r="D1180"/>
          <cell r="E1180"/>
          <cell r="G1180"/>
          <cell r="K1180"/>
          <cell r="L1180"/>
          <cell r="M1180"/>
          <cell r="N1180"/>
          <cell r="R1180"/>
        </row>
        <row r="1181">
          <cell r="C1181"/>
          <cell r="D1181"/>
          <cell r="E1181"/>
          <cell r="G1181"/>
          <cell r="K1181"/>
          <cell r="L1181"/>
          <cell r="M1181"/>
          <cell r="N1181"/>
          <cell r="R1181"/>
        </row>
        <row r="1182">
          <cell r="C1182"/>
          <cell r="D1182"/>
          <cell r="E1182"/>
          <cell r="G1182"/>
          <cell r="K1182"/>
          <cell r="L1182"/>
          <cell r="M1182"/>
          <cell r="N1182"/>
          <cell r="R1182"/>
        </row>
        <row r="1183">
          <cell r="C1183"/>
          <cell r="D1183"/>
          <cell r="E1183"/>
          <cell r="G1183"/>
          <cell r="K1183"/>
          <cell r="L1183"/>
          <cell r="M1183"/>
          <cell r="N1183"/>
          <cell r="R1183"/>
        </row>
        <row r="1184">
          <cell r="C1184"/>
          <cell r="D1184"/>
          <cell r="E1184"/>
          <cell r="G1184"/>
          <cell r="K1184"/>
          <cell r="L1184"/>
          <cell r="M1184"/>
          <cell r="N1184"/>
          <cell r="R1184"/>
        </row>
        <row r="1185">
          <cell r="C1185"/>
          <cell r="D1185"/>
          <cell r="E1185"/>
          <cell r="G1185"/>
          <cell r="K1185"/>
          <cell r="L1185"/>
          <cell r="M1185"/>
          <cell r="N1185"/>
          <cell r="R1185"/>
        </row>
        <row r="1186">
          <cell r="C1186"/>
          <cell r="D1186"/>
          <cell r="E1186"/>
          <cell r="G1186"/>
          <cell r="K1186"/>
          <cell r="L1186"/>
          <cell r="M1186"/>
          <cell r="N1186"/>
          <cell r="R1186"/>
        </row>
        <row r="1187">
          <cell r="C1187"/>
          <cell r="D1187"/>
          <cell r="E1187"/>
          <cell r="G1187"/>
          <cell r="K1187"/>
          <cell r="L1187"/>
          <cell r="M1187"/>
          <cell r="N1187"/>
          <cell r="R1187"/>
        </row>
        <row r="1188">
          <cell r="C1188"/>
          <cell r="D1188"/>
          <cell r="E1188"/>
          <cell r="G1188"/>
          <cell r="K1188"/>
          <cell r="L1188"/>
          <cell r="M1188"/>
          <cell r="N1188"/>
          <cell r="R1188"/>
        </row>
        <row r="1189">
          <cell r="C1189"/>
          <cell r="D1189"/>
          <cell r="E1189"/>
          <cell r="G1189"/>
          <cell r="K1189"/>
          <cell r="L1189"/>
          <cell r="M1189"/>
          <cell r="N1189"/>
          <cell r="R1189"/>
        </row>
        <row r="1190">
          <cell r="C1190"/>
          <cell r="D1190"/>
          <cell r="E1190"/>
          <cell r="G1190"/>
          <cell r="K1190"/>
          <cell r="L1190"/>
          <cell r="M1190"/>
          <cell r="N1190"/>
          <cell r="R1190"/>
        </row>
        <row r="1191">
          <cell r="C1191"/>
          <cell r="D1191"/>
          <cell r="E1191"/>
          <cell r="G1191"/>
          <cell r="K1191"/>
          <cell r="L1191"/>
          <cell r="M1191"/>
          <cell r="N1191"/>
          <cell r="R1191"/>
        </row>
        <row r="1192">
          <cell r="C1192"/>
          <cell r="D1192"/>
          <cell r="E1192"/>
          <cell r="G1192"/>
          <cell r="K1192"/>
          <cell r="L1192"/>
          <cell r="M1192"/>
          <cell r="N1192"/>
          <cell r="R1192"/>
        </row>
        <row r="1193">
          <cell r="C1193"/>
          <cell r="D1193"/>
          <cell r="E1193"/>
          <cell r="G1193"/>
          <cell r="K1193"/>
          <cell r="L1193"/>
          <cell r="M1193"/>
          <cell r="N1193"/>
          <cell r="R1193"/>
        </row>
        <row r="1194">
          <cell r="C1194"/>
          <cell r="D1194"/>
          <cell r="E1194"/>
          <cell r="G1194"/>
          <cell r="K1194"/>
          <cell r="L1194"/>
          <cell r="M1194"/>
          <cell r="N1194"/>
          <cell r="R1194"/>
        </row>
        <row r="1195">
          <cell r="C1195"/>
          <cell r="D1195"/>
          <cell r="E1195"/>
          <cell r="G1195"/>
          <cell r="K1195"/>
          <cell r="L1195"/>
          <cell r="M1195"/>
          <cell r="N1195"/>
          <cell r="R1195"/>
        </row>
        <row r="1196">
          <cell r="C1196"/>
          <cell r="D1196"/>
          <cell r="E1196"/>
          <cell r="G1196"/>
          <cell r="K1196"/>
          <cell r="L1196"/>
          <cell r="M1196"/>
          <cell r="N1196"/>
          <cell r="R1196"/>
        </row>
        <row r="1197">
          <cell r="C1197"/>
          <cell r="D1197"/>
          <cell r="E1197"/>
          <cell r="G1197"/>
          <cell r="K1197"/>
          <cell r="L1197"/>
          <cell r="M1197"/>
          <cell r="N1197"/>
          <cell r="R1197"/>
        </row>
        <row r="1198">
          <cell r="C1198"/>
          <cell r="D1198"/>
          <cell r="E1198"/>
          <cell r="G1198"/>
          <cell r="K1198"/>
          <cell r="L1198"/>
          <cell r="M1198"/>
          <cell r="N1198"/>
          <cell r="R1198"/>
        </row>
        <row r="1199">
          <cell r="C1199"/>
          <cell r="D1199"/>
          <cell r="E1199"/>
          <cell r="G1199"/>
          <cell r="K1199"/>
          <cell r="L1199"/>
          <cell r="M1199"/>
          <cell r="N1199"/>
          <cell r="R1199"/>
        </row>
        <row r="1200">
          <cell r="C1200"/>
          <cell r="D1200"/>
          <cell r="E1200"/>
          <cell r="G1200"/>
          <cell r="K1200"/>
          <cell r="L1200"/>
          <cell r="M1200"/>
          <cell r="N1200"/>
          <cell r="R1200"/>
        </row>
        <row r="1201">
          <cell r="C1201"/>
          <cell r="D1201"/>
          <cell r="E1201"/>
          <cell r="G1201"/>
          <cell r="K1201"/>
          <cell r="L1201"/>
          <cell r="M1201"/>
          <cell r="N1201"/>
          <cell r="R1201"/>
        </row>
        <row r="1202">
          <cell r="C1202"/>
          <cell r="D1202"/>
          <cell r="E1202"/>
          <cell r="G1202"/>
          <cell r="K1202"/>
          <cell r="L1202"/>
          <cell r="M1202"/>
          <cell r="N1202"/>
          <cell r="R1202"/>
        </row>
        <row r="1203">
          <cell r="C1203"/>
          <cell r="D1203"/>
          <cell r="E1203"/>
          <cell r="G1203"/>
          <cell r="K1203"/>
          <cell r="L1203"/>
          <cell r="M1203"/>
          <cell r="N1203"/>
          <cell r="R1203"/>
        </row>
        <row r="1204">
          <cell r="C1204"/>
          <cell r="D1204"/>
          <cell r="E1204"/>
          <cell r="G1204"/>
          <cell r="K1204"/>
          <cell r="L1204"/>
          <cell r="M1204"/>
          <cell r="N1204"/>
          <cell r="R1204"/>
        </row>
        <row r="1205">
          <cell r="C1205"/>
          <cell r="D1205"/>
          <cell r="E1205"/>
          <cell r="G1205"/>
          <cell r="K1205"/>
          <cell r="L1205"/>
          <cell r="M1205"/>
          <cell r="N1205"/>
          <cell r="R1205"/>
        </row>
        <row r="1206">
          <cell r="C1206"/>
          <cell r="D1206"/>
          <cell r="E1206"/>
          <cell r="G1206"/>
          <cell r="K1206"/>
          <cell r="L1206"/>
          <cell r="M1206"/>
          <cell r="N1206"/>
          <cell r="R1206"/>
        </row>
        <row r="1207">
          <cell r="C1207"/>
          <cell r="D1207"/>
          <cell r="E1207"/>
          <cell r="G1207"/>
          <cell r="K1207"/>
          <cell r="L1207"/>
          <cell r="M1207"/>
          <cell r="N1207"/>
          <cell r="R1207"/>
        </row>
        <row r="1208">
          <cell r="C1208"/>
          <cell r="D1208"/>
          <cell r="E1208"/>
          <cell r="G1208"/>
          <cell r="K1208"/>
          <cell r="L1208"/>
          <cell r="M1208"/>
          <cell r="N1208"/>
          <cell r="R1208"/>
        </row>
        <row r="1209">
          <cell r="C1209"/>
          <cell r="D1209"/>
          <cell r="E1209"/>
          <cell r="G1209"/>
          <cell r="K1209"/>
          <cell r="L1209"/>
          <cell r="M1209"/>
          <cell r="N1209"/>
          <cell r="R1209"/>
        </row>
        <row r="1210">
          <cell r="C1210"/>
          <cell r="D1210"/>
          <cell r="E1210"/>
          <cell r="G1210"/>
          <cell r="K1210"/>
          <cell r="L1210"/>
          <cell r="M1210"/>
          <cell r="N1210"/>
          <cell r="R1210"/>
        </row>
        <row r="1211">
          <cell r="C1211"/>
          <cell r="D1211"/>
          <cell r="E1211"/>
          <cell r="G1211"/>
          <cell r="K1211"/>
          <cell r="L1211"/>
          <cell r="M1211"/>
          <cell r="N1211"/>
          <cell r="R1211"/>
        </row>
        <row r="1212">
          <cell r="C1212"/>
          <cell r="D1212"/>
          <cell r="E1212"/>
          <cell r="G1212"/>
          <cell r="K1212"/>
          <cell r="L1212"/>
          <cell r="M1212"/>
          <cell r="N1212"/>
          <cell r="R1212"/>
        </row>
        <row r="1213">
          <cell r="C1213"/>
          <cell r="D1213"/>
          <cell r="E1213"/>
          <cell r="G1213"/>
          <cell r="K1213"/>
          <cell r="L1213"/>
          <cell r="M1213"/>
          <cell r="N1213"/>
          <cell r="R1213"/>
        </row>
        <row r="1214">
          <cell r="C1214"/>
          <cell r="D1214"/>
          <cell r="E1214"/>
          <cell r="G1214"/>
          <cell r="K1214"/>
          <cell r="L1214"/>
          <cell r="M1214"/>
          <cell r="N1214"/>
          <cell r="R1214"/>
        </row>
        <row r="1215">
          <cell r="C1215"/>
          <cell r="D1215"/>
          <cell r="E1215"/>
          <cell r="G1215"/>
          <cell r="K1215"/>
          <cell r="L1215"/>
          <cell r="M1215"/>
          <cell r="N1215"/>
          <cell r="R1215"/>
        </row>
        <row r="1216">
          <cell r="C1216"/>
          <cell r="D1216"/>
          <cell r="E1216"/>
          <cell r="G1216"/>
          <cell r="K1216"/>
          <cell r="L1216"/>
          <cell r="M1216"/>
          <cell r="N1216"/>
          <cell r="R1216"/>
        </row>
        <row r="1217">
          <cell r="C1217"/>
          <cell r="D1217"/>
          <cell r="E1217"/>
          <cell r="G1217"/>
          <cell r="K1217"/>
          <cell r="L1217"/>
          <cell r="M1217"/>
          <cell r="N1217"/>
          <cell r="R1217"/>
        </row>
        <row r="1218">
          <cell r="C1218"/>
          <cell r="D1218"/>
          <cell r="E1218"/>
          <cell r="G1218"/>
          <cell r="K1218"/>
          <cell r="L1218"/>
          <cell r="M1218"/>
          <cell r="N1218"/>
          <cell r="R1218"/>
        </row>
        <row r="1219">
          <cell r="C1219"/>
          <cell r="D1219"/>
          <cell r="E1219"/>
          <cell r="G1219"/>
          <cell r="K1219"/>
          <cell r="L1219"/>
          <cell r="M1219"/>
          <cell r="N1219"/>
          <cell r="R1219"/>
        </row>
        <row r="1220">
          <cell r="C1220"/>
          <cell r="D1220"/>
          <cell r="E1220"/>
          <cell r="G1220"/>
          <cell r="K1220"/>
          <cell r="L1220"/>
          <cell r="M1220"/>
          <cell r="N1220"/>
          <cell r="R1220"/>
        </row>
        <row r="1221">
          <cell r="C1221"/>
          <cell r="D1221"/>
          <cell r="E1221"/>
          <cell r="G1221"/>
          <cell r="K1221"/>
          <cell r="L1221"/>
          <cell r="M1221"/>
          <cell r="N1221"/>
          <cell r="R1221"/>
        </row>
        <row r="1222">
          <cell r="C1222"/>
          <cell r="D1222"/>
          <cell r="E1222"/>
          <cell r="G1222"/>
          <cell r="K1222"/>
          <cell r="L1222"/>
          <cell r="M1222"/>
          <cell r="N1222"/>
          <cell r="R1222"/>
        </row>
        <row r="1223">
          <cell r="C1223"/>
          <cell r="D1223"/>
          <cell r="E1223"/>
          <cell r="G1223"/>
          <cell r="K1223"/>
          <cell r="L1223"/>
          <cell r="M1223"/>
          <cell r="N1223"/>
          <cell r="R1223"/>
        </row>
        <row r="1224">
          <cell r="C1224"/>
          <cell r="D1224"/>
          <cell r="E1224"/>
          <cell r="G1224"/>
          <cell r="K1224"/>
          <cell r="L1224"/>
          <cell r="M1224"/>
          <cell r="N1224"/>
          <cell r="R1224"/>
        </row>
        <row r="1225">
          <cell r="C1225"/>
          <cell r="D1225"/>
          <cell r="E1225"/>
          <cell r="G1225"/>
          <cell r="K1225"/>
          <cell r="L1225"/>
          <cell r="M1225"/>
          <cell r="N1225"/>
          <cell r="R1225"/>
        </row>
        <row r="1226">
          <cell r="C1226"/>
          <cell r="D1226"/>
          <cell r="E1226"/>
          <cell r="G1226"/>
          <cell r="K1226"/>
          <cell r="L1226"/>
          <cell r="M1226"/>
          <cell r="N1226"/>
          <cell r="R1226"/>
        </row>
        <row r="1227">
          <cell r="C1227"/>
          <cell r="D1227"/>
          <cell r="E1227"/>
          <cell r="G1227"/>
          <cell r="K1227"/>
          <cell r="L1227"/>
          <cell r="M1227"/>
          <cell r="N1227"/>
          <cell r="R1227"/>
        </row>
        <row r="1228">
          <cell r="C1228"/>
          <cell r="D1228"/>
          <cell r="E1228"/>
          <cell r="G1228"/>
          <cell r="K1228"/>
          <cell r="L1228"/>
          <cell r="M1228"/>
          <cell r="N1228"/>
          <cell r="R1228"/>
        </row>
        <row r="1229">
          <cell r="C1229"/>
          <cell r="D1229"/>
          <cell r="E1229"/>
          <cell r="G1229"/>
          <cell r="K1229"/>
          <cell r="L1229"/>
          <cell r="M1229"/>
          <cell r="N1229"/>
          <cell r="R1229"/>
        </row>
        <row r="1230">
          <cell r="C1230"/>
          <cell r="D1230"/>
          <cell r="E1230"/>
          <cell r="G1230"/>
          <cell r="K1230"/>
          <cell r="L1230"/>
          <cell r="M1230"/>
          <cell r="N1230"/>
          <cell r="R1230"/>
        </row>
        <row r="1231">
          <cell r="C1231"/>
          <cell r="D1231"/>
          <cell r="E1231"/>
          <cell r="G1231"/>
          <cell r="K1231"/>
          <cell r="L1231"/>
          <cell r="M1231"/>
          <cell r="N1231"/>
          <cell r="R1231"/>
        </row>
        <row r="1232">
          <cell r="C1232"/>
          <cell r="D1232"/>
          <cell r="E1232"/>
          <cell r="G1232"/>
          <cell r="K1232"/>
          <cell r="L1232"/>
          <cell r="M1232"/>
          <cell r="N1232"/>
          <cell r="R1232"/>
        </row>
        <row r="1233">
          <cell r="C1233"/>
          <cell r="D1233"/>
          <cell r="E1233"/>
          <cell r="G1233"/>
          <cell r="K1233"/>
          <cell r="L1233"/>
          <cell r="M1233"/>
          <cell r="N1233"/>
          <cell r="R1233"/>
        </row>
        <row r="1234">
          <cell r="C1234"/>
          <cell r="D1234"/>
          <cell r="E1234"/>
          <cell r="G1234"/>
          <cell r="K1234"/>
          <cell r="L1234"/>
          <cell r="M1234"/>
          <cell r="N1234"/>
          <cell r="R1234"/>
        </row>
        <row r="1235">
          <cell r="C1235"/>
          <cell r="D1235"/>
          <cell r="E1235"/>
          <cell r="G1235"/>
          <cell r="K1235"/>
          <cell r="L1235"/>
          <cell r="M1235"/>
          <cell r="N1235"/>
          <cell r="R1235"/>
        </row>
        <row r="1236">
          <cell r="C1236"/>
          <cell r="D1236"/>
          <cell r="E1236"/>
          <cell r="G1236"/>
          <cell r="K1236"/>
          <cell r="L1236"/>
          <cell r="M1236"/>
          <cell r="N1236"/>
          <cell r="R1236"/>
        </row>
        <row r="1237">
          <cell r="C1237"/>
          <cell r="D1237"/>
          <cell r="E1237"/>
          <cell r="G1237"/>
          <cell r="K1237"/>
          <cell r="L1237"/>
          <cell r="M1237"/>
          <cell r="N1237"/>
          <cell r="R1237"/>
        </row>
        <row r="1238">
          <cell r="C1238"/>
          <cell r="D1238"/>
          <cell r="E1238"/>
          <cell r="G1238"/>
          <cell r="K1238"/>
          <cell r="L1238"/>
          <cell r="M1238"/>
          <cell r="N1238"/>
          <cell r="R1238"/>
        </row>
        <row r="1239">
          <cell r="C1239"/>
          <cell r="D1239"/>
          <cell r="E1239"/>
          <cell r="G1239"/>
          <cell r="K1239"/>
          <cell r="L1239"/>
          <cell r="M1239"/>
          <cell r="N1239"/>
          <cell r="R1239"/>
        </row>
        <row r="1240">
          <cell r="C1240"/>
          <cell r="D1240"/>
          <cell r="E1240"/>
          <cell r="G1240"/>
          <cell r="K1240"/>
          <cell r="L1240"/>
          <cell r="M1240"/>
          <cell r="N1240"/>
          <cell r="R1240"/>
        </row>
        <row r="1241">
          <cell r="C1241"/>
          <cell r="D1241"/>
          <cell r="E1241"/>
          <cell r="G1241"/>
          <cell r="K1241"/>
          <cell r="L1241"/>
          <cell r="M1241"/>
          <cell r="N1241"/>
          <cell r="R1241"/>
        </row>
        <row r="1242">
          <cell r="C1242"/>
          <cell r="D1242"/>
          <cell r="E1242"/>
          <cell r="G1242"/>
          <cell r="K1242"/>
          <cell r="L1242"/>
          <cell r="M1242"/>
          <cell r="N1242"/>
          <cell r="R1242"/>
        </row>
        <row r="1243">
          <cell r="C1243"/>
          <cell r="D1243"/>
          <cell r="E1243"/>
          <cell r="G1243"/>
          <cell r="K1243"/>
          <cell r="L1243"/>
          <cell r="M1243"/>
          <cell r="N1243"/>
          <cell r="R1243"/>
        </row>
        <row r="1244">
          <cell r="C1244"/>
          <cell r="D1244"/>
          <cell r="E1244"/>
          <cell r="G1244"/>
          <cell r="K1244"/>
          <cell r="L1244"/>
          <cell r="M1244"/>
          <cell r="N1244"/>
          <cell r="R1244"/>
        </row>
        <row r="1245">
          <cell r="C1245"/>
          <cell r="D1245"/>
          <cell r="E1245"/>
          <cell r="G1245"/>
          <cell r="K1245"/>
          <cell r="L1245"/>
          <cell r="M1245"/>
          <cell r="N1245"/>
          <cell r="R1245"/>
        </row>
        <row r="1246">
          <cell r="C1246"/>
          <cell r="D1246"/>
          <cell r="E1246"/>
          <cell r="G1246"/>
          <cell r="K1246"/>
          <cell r="L1246"/>
          <cell r="M1246"/>
          <cell r="N1246"/>
          <cell r="R1246"/>
        </row>
        <row r="1247">
          <cell r="C1247"/>
          <cell r="D1247"/>
          <cell r="E1247"/>
          <cell r="G1247"/>
          <cell r="K1247"/>
          <cell r="L1247"/>
          <cell r="M1247"/>
          <cell r="N1247"/>
          <cell r="R1247"/>
        </row>
        <row r="1248">
          <cell r="C1248"/>
          <cell r="D1248"/>
          <cell r="E1248"/>
          <cell r="G1248"/>
          <cell r="K1248"/>
          <cell r="L1248"/>
          <cell r="M1248"/>
          <cell r="N1248"/>
          <cell r="R1248"/>
        </row>
        <row r="1249">
          <cell r="C1249"/>
          <cell r="D1249"/>
          <cell r="E1249"/>
          <cell r="G1249"/>
          <cell r="K1249"/>
          <cell r="L1249"/>
          <cell r="M1249"/>
          <cell r="N1249"/>
          <cell r="R1249"/>
        </row>
        <row r="1250">
          <cell r="C1250"/>
          <cell r="D1250"/>
          <cell r="E1250"/>
          <cell r="G1250"/>
          <cell r="K1250"/>
          <cell r="L1250"/>
          <cell r="M1250"/>
          <cell r="N1250"/>
          <cell r="R1250"/>
        </row>
        <row r="1251">
          <cell r="C1251"/>
          <cell r="D1251"/>
          <cell r="E1251"/>
          <cell r="G1251"/>
          <cell r="K1251"/>
          <cell r="L1251"/>
          <cell r="M1251"/>
          <cell r="N1251"/>
          <cell r="R1251"/>
        </row>
        <row r="1252">
          <cell r="C1252"/>
          <cell r="D1252"/>
          <cell r="E1252"/>
          <cell r="G1252"/>
          <cell r="K1252"/>
          <cell r="L1252"/>
          <cell r="M1252"/>
          <cell r="N1252"/>
          <cell r="R1252"/>
        </row>
        <row r="1253">
          <cell r="C1253"/>
          <cell r="D1253"/>
          <cell r="E1253"/>
          <cell r="G1253"/>
          <cell r="K1253"/>
          <cell r="L1253"/>
          <cell r="M1253"/>
          <cell r="N1253"/>
          <cell r="R1253"/>
        </row>
        <row r="1254">
          <cell r="C1254"/>
          <cell r="D1254"/>
          <cell r="E1254"/>
          <cell r="G1254"/>
          <cell r="K1254"/>
          <cell r="L1254"/>
          <cell r="M1254"/>
          <cell r="N1254"/>
          <cell r="R1254"/>
        </row>
        <row r="1255">
          <cell r="C1255"/>
          <cell r="D1255"/>
          <cell r="E1255"/>
          <cell r="G1255"/>
          <cell r="K1255"/>
          <cell r="L1255"/>
          <cell r="M1255"/>
          <cell r="N1255"/>
          <cell r="R1255"/>
        </row>
        <row r="1256">
          <cell r="C1256"/>
          <cell r="D1256"/>
          <cell r="E1256"/>
          <cell r="G1256"/>
          <cell r="K1256"/>
          <cell r="L1256"/>
          <cell r="M1256"/>
          <cell r="N1256"/>
          <cell r="R1256"/>
        </row>
        <row r="1257">
          <cell r="C1257"/>
          <cell r="D1257"/>
          <cell r="E1257"/>
          <cell r="G1257"/>
          <cell r="K1257"/>
          <cell r="L1257"/>
          <cell r="M1257"/>
          <cell r="N1257"/>
          <cell r="R1257"/>
        </row>
        <row r="1258">
          <cell r="C1258"/>
          <cell r="D1258"/>
          <cell r="E1258"/>
          <cell r="G1258"/>
          <cell r="K1258"/>
          <cell r="L1258"/>
          <cell r="M1258"/>
          <cell r="N1258"/>
          <cell r="R1258"/>
        </row>
        <row r="1259">
          <cell r="C1259"/>
          <cell r="D1259"/>
          <cell r="E1259"/>
          <cell r="G1259"/>
          <cell r="K1259"/>
          <cell r="L1259"/>
          <cell r="M1259"/>
          <cell r="N1259"/>
          <cell r="R1259"/>
        </row>
        <row r="1260">
          <cell r="C1260"/>
          <cell r="D1260"/>
          <cell r="E1260"/>
          <cell r="G1260"/>
          <cell r="K1260"/>
          <cell r="L1260"/>
          <cell r="M1260"/>
          <cell r="N1260"/>
          <cell r="R1260"/>
        </row>
        <row r="1261">
          <cell r="C1261"/>
          <cell r="D1261"/>
          <cell r="E1261"/>
          <cell r="G1261"/>
          <cell r="K1261"/>
          <cell r="L1261"/>
          <cell r="M1261"/>
          <cell r="N1261"/>
          <cell r="R1261"/>
        </row>
        <row r="1262">
          <cell r="C1262"/>
          <cell r="D1262"/>
          <cell r="E1262"/>
          <cell r="G1262"/>
          <cell r="K1262"/>
          <cell r="L1262"/>
          <cell r="M1262"/>
          <cell r="N1262"/>
          <cell r="R1262"/>
        </row>
        <row r="1263">
          <cell r="C1263"/>
          <cell r="D1263"/>
          <cell r="E1263"/>
          <cell r="G1263"/>
          <cell r="K1263"/>
          <cell r="L1263"/>
          <cell r="M1263"/>
          <cell r="N1263"/>
          <cell r="R1263"/>
        </row>
        <row r="1264">
          <cell r="C1264"/>
          <cell r="D1264"/>
          <cell r="E1264"/>
          <cell r="G1264"/>
          <cell r="K1264"/>
          <cell r="L1264"/>
          <cell r="M1264"/>
          <cell r="N1264"/>
          <cell r="R1264"/>
        </row>
        <row r="1265">
          <cell r="C1265"/>
          <cell r="D1265"/>
          <cell r="E1265"/>
          <cell r="G1265"/>
          <cell r="K1265"/>
          <cell r="L1265"/>
          <cell r="M1265"/>
          <cell r="N1265"/>
          <cell r="R1265"/>
        </row>
        <row r="1266">
          <cell r="C1266"/>
          <cell r="D1266"/>
          <cell r="E1266"/>
          <cell r="G1266"/>
          <cell r="K1266"/>
          <cell r="L1266"/>
          <cell r="M1266"/>
          <cell r="N1266"/>
          <cell r="R1266"/>
        </row>
        <row r="1267">
          <cell r="C1267"/>
          <cell r="D1267"/>
          <cell r="E1267"/>
          <cell r="G1267"/>
          <cell r="K1267"/>
          <cell r="L1267"/>
          <cell r="M1267"/>
          <cell r="N1267"/>
          <cell r="R1267"/>
        </row>
        <row r="1268">
          <cell r="C1268"/>
          <cell r="D1268"/>
          <cell r="E1268"/>
          <cell r="G1268"/>
          <cell r="K1268"/>
          <cell r="L1268"/>
          <cell r="M1268"/>
          <cell r="N1268"/>
          <cell r="R1268"/>
        </row>
        <row r="1269">
          <cell r="C1269"/>
          <cell r="D1269"/>
          <cell r="E1269"/>
          <cell r="G1269"/>
          <cell r="K1269"/>
          <cell r="L1269"/>
          <cell r="M1269"/>
          <cell r="N1269"/>
          <cell r="R1269"/>
        </row>
        <row r="1270">
          <cell r="C1270"/>
          <cell r="D1270"/>
          <cell r="E1270"/>
          <cell r="G1270"/>
          <cell r="K1270"/>
          <cell r="L1270"/>
          <cell r="M1270"/>
          <cell r="N1270"/>
          <cell r="R1270"/>
        </row>
        <row r="1271">
          <cell r="C1271"/>
          <cell r="D1271"/>
          <cell r="E1271"/>
          <cell r="G1271"/>
          <cell r="K1271"/>
          <cell r="L1271"/>
          <cell r="M1271"/>
          <cell r="N1271"/>
          <cell r="R1271"/>
        </row>
        <row r="1272">
          <cell r="C1272"/>
          <cell r="D1272"/>
          <cell r="E1272"/>
          <cell r="G1272"/>
          <cell r="K1272"/>
          <cell r="L1272"/>
          <cell r="M1272"/>
          <cell r="N1272"/>
          <cell r="R1272"/>
        </row>
        <row r="1273">
          <cell r="C1273"/>
          <cell r="D1273"/>
          <cell r="E1273"/>
          <cell r="G1273"/>
          <cell r="K1273"/>
          <cell r="L1273"/>
          <cell r="M1273"/>
          <cell r="N1273"/>
          <cell r="R1273"/>
        </row>
        <row r="1274">
          <cell r="C1274"/>
          <cell r="D1274"/>
          <cell r="E1274"/>
          <cell r="G1274"/>
          <cell r="K1274"/>
          <cell r="L1274"/>
          <cell r="M1274"/>
          <cell r="N1274"/>
          <cell r="R1274"/>
        </row>
        <row r="1275">
          <cell r="C1275"/>
          <cell r="D1275"/>
          <cell r="E1275"/>
          <cell r="G1275"/>
          <cell r="K1275"/>
          <cell r="L1275"/>
          <cell r="M1275"/>
          <cell r="N1275"/>
          <cell r="R1275"/>
        </row>
        <row r="1276">
          <cell r="C1276"/>
          <cell r="D1276"/>
          <cell r="E1276"/>
          <cell r="G1276"/>
          <cell r="K1276"/>
          <cell r="L1276"/>
          <cell r="M1276"/>
          <cell r="N1276"/>
          <cell r="R1276"/>
        </row>
        <row r="1277">
          <cell r="C1277"/>
          <cell r="D1277"/>
          <cell r="E1277"/>
          <cell r="G1277"/>
          <cell r="K1277"/>
          <cell r="L1277"/>
          <cell r="M1277"/>
          <cell r="N1277"/>
          <cell r="R1277"/>
        </row>
        <row r="1278">
          <cell r="C1278"/>
          <cell r="D1278"/>
          <cell r="E1278"/>
          <cell r="G1278"/>
          <cell r="K1278"/>
          <cell r="L1278"/>
          <cell r="M1278"/>
          <cell r="N1278"/>
          <cell r="R1278"/>
        </row>
        <row r="1279">
          <cell r="C1279"/>
          <cell r="D1279"/>
          <cell r="E1279"/>
          <cell r="G1279"/>
          <cell r="K1279"/>
          <cell r="L1279"/>
          <cell r="M1279"/>
          <cell r="N1279"/>
          <cell r="R1279"/>
        </row>
        <row r="1280">
          <cell r="C1280"/>
          <cell r="D1280"/>
          <cell r="E1280"/>
          <cell r="G1280"/>
          <cell r="K1280"/>
          <cell r="L1280"/>
          <cell r="M1280"/>
          <cell r="N1280"/>
          <cell r="R1280"/>
        </row>
        <row r="1281">
          <cell r="C1281"/>
          <cell r="D1281"/>
          <cell r="E1281"/>
          <cell r="G1281"/>
          <cell r="K1281"/>
          <cell r="L1281"/>
          <cell r="M1281"/>
          <cell r="N1281"/>
          <cell r="R1281"/>
        </row>
        <row r="1282">
          <cell r="C1282"/>
          <cell r="D1282"/>
          <cell r="E1282"/>
          <cell r="G1282"/>
          <cell r="K1282"/>
          <cell r="L1282"/>
          <cell r="M1282"/>
          <cell r="N1282"/>
          <cell r="R1282"/>
        </row>
        <row r="1283">
          <cell r="C1283"/>
          <cell r="D1283"/>
          <cell r="E1283"/>
          <cell r="G1283"/>
          <cell r="K1283"/>
          <cell r="L1283"/>
          <cell r="M1283"/>
          <cell r="N1283"/>
          <cell r="R1283"/>
        </row>
        <row r="1284">
          <cell r="C1284"/>
          <cell r="D1284"/>
          <cell r="E1284"/>
          <cell r="G1284"/>
          <cell r="K1284"/>
          <cell r="L1284"/>
          <cell r="M1284"/>
          <cell r="N1284"/>
          <cell r="R1284"/>
        </row>
        <row r="1285">
          <cell r="C1285"/>
          <cell r="D1285"/>
          <cell r="E1285"/>
          <cell r="G1285"/>
          <cell r="K1285"/>
          <cell r="L1285"/>
          <cell r="M1285"/>
          <cell r="N1285"/>
          <cell r="R1285"/>
        </row>
        <row r="1286">
          <cell r="C1286"/>
          <cell r="D1286"/>
          <cell r="E1286"/>
          <cell r="G1286"/>
          <cell r="K1286"/>
          <cell r="L1286"/>
          <cell r="M1286"/>
          <cell r="N1286"/>
          <cell r="R1286"/>
        </row>
        <row r="1287">
          <cell r="C1287"/>
          <cell r="D1287"/>
          <cell r="E1287"/>
          <cell r="G1287"/>
          <cell r="K1287"/>
          <cell r="L1287"/>
          <cell r="M1287"/>
          <cell r="N1287"/>
          <cell r="R1287"/>
        </row>
        <row r="1288">
          <cell r="C1288"/>
          <cell r="D1288"/>
          <cell r="E1288"/>
          <cell r="G1288"/>
          <cell r="K1288"/>
          <cell r="L1288"/>
          <cell r="M1288"/>
          <cell r="N1288"/>
          <cell r="R1288"/>
        </row>
        <row r="1289">
          <cell r="C1289"/>
          <cell r="D1289"/>
          <cell r="E1289"/>
          <cell r="G1289"/>
          <cell r="K1289"/>
          <cell r="L1289"/>
          <cell r="M1289"/>
          <cell r="N1289"/>
          <cell r="R1289"/>
        </row>
        <row r="1290">
          <cell r="C1290"/>
          <cell r="D1290"/>
          <cell r="E1290"/>
          <cell r="G1290"/>
          <cell r="K1290"/>
          <cell r="L1290"/>
          <cell r="M1290"/>
          <cell r="N1290"/>
          <cell r="R1290"/>
        </row>
        <row r="1291">
          <cell r="C1291"/>
          <cell r="D1291"/>
          <cell r="E1291"/>
          <cell r="G1291"/>
          <cell r="K1291"/>
          <cell r="L1291"/>
          <cell r="M1291"/>
          <cell r="N1291"/>
          <cell r="R1291"/>
        </row>
        <row r="1292">
          <cell r="C1292"/>
          <cell r="D1292"/>
          <cell r="E1292"/>
          <cell r="G1292"/>
          <cell r="K1292"/>
          <cell r="L1292"/>
          <cell r="M1292"/>
          <cell r="N1292"/>
          <cell r="R1292"/>
        </row>
        <row r="1293">
          <cell r="C1293"/>
          <cell r="D1293"/>
          <cell r="E1293"/>
          <cell r="G1293"/>
          <cell r="K1293"/>
          <cell r="L1293"/>
          <cell r="M1293"/>
          <cell r="N1293"/>
          <cell r="R1293"/>
        </row>
        <row r="1294">
          <cell r="C1294"/>
          <cell r="D1294"/>
          <cell r="E1294"/>
          <cell r="G1294"/>
          <cell r="K1294"/>
          <cell r="L1294"/>
          <cell r="M1294"/>
          <cell r="N1294"/>
          <cell r="R1294"/>
        </row>
        <row r="1295">
          <cell r="C1295"/>
          <cell r="D1295"/>
          <cell r="E1295"/>
          <cell r="G1295"/>
          <cell r="K1295"/>
          <cell r="L1295"/>
          <cell r="M1295"/>
          <cell r="N1295"/>
          <cell r="R1295"/>
        </row>
        <row r="1296">
          <cell r="C1296"/>
          <cell r="D1296"/>
          <cell r="E1296"/>
          <cell r="G1296"/>
          <cell r="K1296"/>
          <cell r="L1296"/>
          <cell r="M1296"/>
          <cell r="N1296"/>
          <cell r="R1296"/>
        </row>
        <row r="1297">
          <cell r="C1297"/>
          <cell r="D1297"/>
          <cell r="E1297"/>
          <cell r="G1297"/>
          <cell r="K1297"/>
          <cell r="L1297"/>
          <cell r="M1297"/>
          <cell r="N1297"/>
          <cell r="R1297"/>
        </row>
        <row r="1298">
          <cell r="C1298"/>
          <cell r="D1298"/>
          <cell r="E1298"/>
          <cell r="G1298"/>
          <cell r="K1298"/>
          <cell r="L1298"/>
          <cell r="M1298"/>
          <cell r="N1298"/>
          <cell r="R1298"/>
        </row>
        <row r="1299">
          <cell r="C1299"/>
          <cell r="D1299"/>
          <cell r="E1299"/>
          <cell r="G1299"/>
          <cell r="K1299"/>
          <cell r="L1299"/>
          <cell r="M1299"/>
          <cell r="N1299"/>
          <cell r="R1299"/>
        </row>
        <row r="1300">
          <cell r="C1300"/>
          <cell r="D1300"/>
          <cell r="E1300"/>
          <cell r="G1300"/>
          <cell r="K1300"/>
          <cell r="L1300"/>
          <cell r="M1300"/>
          <cell r="N1300"/>
          <cell r="R1300"/>
        </row>
        <row r="1301">
          <cell r="C1301"/>
          <cell r="D1301"/>
          <cell r="E1301"/>
          <cell r="G1301"/>
          <cell r="K1301"/>
          <cell r="L1301"/>
          <cell r="M1301"/>
          <cell r="N1301"/>
          <cell r="R1301"/>
        </row>
        <row r="1302">
          <cell r="C1302"/>
          <cell r="D1302"/>
          <cell r="E1302"/>
          <cell r="G1302"/>
          <cell r="K1302"/>
          <cell r="L1302"/>
          <cell r="M1302"/>
          <cell r="N1302"/>
          <cell r="R1302"/>
        </row>
        <row r="1303">
          <cell r="C1303"/>
          <cell r="D1303"/>
          <cell r="E1303"/>
          <cell r="G1303"/>
          <cell r="K1303"/>
          <cell r="L1303"/>
          <cell r="M1303"/>
          <cell r="N1303"/>
          <cell r="R1303"/>
        </row>
        <row r="1304">
          <cell r="C1304"/>
          <cell r="D1304"/>
          <cell r="E1304"/>
          <cell r="G1304"/>
          <cell r="K1304"/>
          <cell r="L1304"/>
          <cell r="M1304"/>
          <cell r="N1304"/>
          <cell r="R1304"/>
        </row>
        <row r="1305">
          <cell r="C1305"/>
          <cell r="D1305"/>
          <cell r="E1305"/>
          <cell r="G1305"/>
          <cell r="K1305"/>
          <cell r="L1305"/>
          <cell r="M1305"/>
          <cell r="N1305"/>
          <cell r="R1305"/>
        </row>
        <row r="1306">
          <cell r="C1306"/>
          <cell r="D1306"/>
          <cell r="E1306"/>
          <cell r="G1306"/>
          <cell r="K1306"/>
          <cell r="L1306"/>
          <cell r="M1306"/>
          <cell r="N1306"/>
          <cell r="R1306"/>
        </row>
        <row r="1307">
          <cell r="C1307"/>
          <cell r="D1307"/>
          <cell r="E1307"/>
          <cell r="G1307"/>
          <cell r="K1307"/>
          <cell r="L1307"/>
          <cell r="M1307"/>
          <cell r="N1307"/>
          <cell r="R1307"/>
        </row>
        <row r="1308">
          <cell r="C1308"/>
          <cell r="D1308"/>
          <cell r="E1308"/>
          <cell r="G1308"/>
          <cell r="K1308"/>
          <cell r="L1308"/>
          <cell r="M1308"/>
          <cell r="N1308"/>
          <cell r="R1308"/>
        </row>
        <row r="1309">
          <cell r="C1309"/>
          <cell r="D1309"/>
          <cell r="E1309"/>
          <cell r="G1309"/>
          <cell r="K1309"/>
          <cell r="L1309"/>
          <cell r="M1309"/>
          <cell r="N1309"/>
          <cell r="R1309"/>
        </row>
        <row r="1310">
          <cell r="C1310"/>
          <cell r="D1310"/>
          <cell r="E1310"/>
          <cell r="G1310"/>
          <cell r="K1310"/>
          <cell r="L1310"/>
          <cell r="M1310"/>
          <cell r="N1310"/>
          <cell r="R1310"/>
        </row>
        <row r="1311">
          <cell r="C1311"/>
          <cell r="D1311"/>
          <cell r="E1311"/>
          <cell r="G1311"/>
          <cell r="K1311"/>
          <cell r="L1311"/>
          <cell r="M1311"/>
          <cell r="N1311"/>
          <cell r="R1311"/>
        </row>
        <row r="1312">
          <cell r="C1312"/>
          <cell r="D1312"/>
          <cell r="E1312"/>
          <cell r="G1312"/>
          <cell r="K1312"/>
          <cell r="L1312"/>
          <cell r="M1312"/>
          <cell r="N1312"/>
          <cell r="R1312"/>
        </row>
        <row r="1313">
          <cell r="C1313"/>
          <cell r="D1313"/>
          <cell r="E1313"/>
          <cell r="G1313"/>
          <cell r="K1313"/>
          <cell r="L1313"/>
          <cell r="M1313"/>
          <cell r="N1313"/>
          <cell r="R1313"/>
        </row>
        <row r="1314">
          <cell r="C1314"/>
          <cell r="D1314"/>
          <cell r="E1314"/>
          <cell r="G1314"/>
          <cell r="K1314"/>
          <cell r="L1314"/>
          <cell r="M1314"/>
          <cell r="N1314"/>
          <cell r="R1314"/>
        </row>
        <row r="1315">
          <cell r="C1315"/>
          <cell r="D1315"/>
          <cell r="E1315"/>
          <cell r="G1315"/>
          <cell r="K1315"/>
          <cell r="L1315"/>
          <cell r="M1315"/>
          <cell r="N1315"/>
          <cell r="R1315"/>
        </row>
        <row r="1316">
          <cell r="C1316"/>
          <cell r="D1316"/>
          <cell r="E1316"/>
          <cell r="G1316"/>
          <cell r="K1316"/>
          <cell r="L1316"/>
          <cell r="M1316"/>
          <cell r="N1316"/>
          <cell r="R1316"/>
        </row>
        <row r="1317">
          <cell r="C1317"/>
          <cell r="D1317"/>
          <cell r="E1317"/>
          <cell r="G1317"/>
          <cell r="K1317"/>
          <cell r="L1317"/>
          <cell r="M1317"/>
          <cell r="N1317"/>
          <cell r="R1317"/>
        </row>
        <row r="1318">
          <cell r="C1318"/>
          <cell r="D1318"/>
          <cell r="E1318"/>
          <cell r="G1318"/>
          <cell r="K1318"/>
          <cell r="L1318"/>
          <cell r="M1318"/>
          <cell r="N1318"/>
          <cell r="R1318"/>
        </row>
        <row r="1319">
          <cell r="C1319"/>
          <cell r="D1319"/>
          <cell r="E1319"/>
          <cell r="G1319"/>
          <cell r="K1319"/>
          <cell r="L1319"/>
          <cell r="M1319"/>
          <cell r="N1319"/>
          <cell r="R1319"/>
        </row>
        <row r="1320">
          <cell r="C1320"/>
          <cell r="D1320"/>
          <cell r="E1320"/>
          <cell r="G1320"/>
          <cell r="K1320"/>
          <cell r="L1320"/>
          <cell r="M1320"/>
          <cell r="N1320"/>
          <cell r="R1320"/>
        </row>
        <row r="1321">
          <cell r="C1321"/>
          <cell r="D1321"/>
          <cell r="E1321"/>
          <cell r="G1321"/>
          <cell r="K1321"/>
          <cell r="L1321"/>
          <cell r="M1321"/>
          <cell r="N1321"/>
          <cell r="R1321"/>
        </row>
        <row r="1322">
          <cell r="C1322"/>
          <cell r="D1322"/>
          <cell r="E1322"/>
          <cell r="G1322"/>
          <cell r="K1322"/>
          <cell r="L1322"/>
          <cell r="M1322"/>
          <cell r="N1322"/>
          <cell r="R1322"/>
        </row>
        <row r="1323">
          <cell r="C1323"/>
          <cell r="D1323"/>
          <cell r="E1323"/>
          <cell r="G1323"/>
          <cell r="K1323"/>
          <cell r="L1323"/>
          <cell r="M1323"/>
          <cell r="N1323"/>
          <cell r="R1323"/>
        </row>
        <row r="1324">
          <cell r="C1324"/>
          <cell r="D1324"/>
          <cell r="E1324"/>
          <cell r="G1324"/>
          <cell r="K1324"/>
          <cell r="L1324"/>
          <cell r="M1324"/>
          <cell r="N1324"/>
          <cell r="R1324"/>
        </row>
        <row r="1325">
          <cell r="C1325"/>
          <cell r="D1325"/>
          <cell r="E1325"/>
          <cell r="G1325"/>
          <cell r="K1325"/>
          <cell r="L1325"/>
          <cell r="M1325"/>
          <cell r="N1325"/>
          <cell r="R1325"/>
        </row>
        <row r="1326">
          <cell r="C1326"/>
          <cell r="D1326"/>
          <cell r="E1326"/>
          <cell r="G1326"/>
          <cell r="K1326"/>
          <cell r="L1326"/>
          <cell r="M1326"/>
          <cell r="N1326"/>
          <cell r="R1326"/>
        </row>
        <row r="1327">
          <cell r="C1327"/>
          <cell r="D1327"/>
          <cell r="E1327"/>
          <cell r="G1327"/>
          <cell r="K1327"/>
          <cell r="L1327"/>
          <cell r="M1327"/>
          <cell r="N1327"/>
          <cell r="R1327"/>
        </row>
        <row r="1328">
          <cell r="C1328"/>
          <cell r="D1328"/>
          <cell r="E1328"/>
          <cell r="G1328"/>
          <cell r="K1328"/>
          <cell r="L1328"/>
          <cell r="M1328"/>
          <cell r="N1328"/>
          <cell r="R1328"/>
        </row>
        <row r="1329">
          <cell r="C1329"/>
          <cell r="D1329"/>
          <cell r="E1329"/>
          <cell r="G1329"/>
          <cell r="K1329"/>
          <cell r="L1329"/>
          <cell r="M1329"/>
          <cell r="N1329"/>
          <cell r="R1329"/>
        </row>
        <row r="1330">
          <cell r="C1330"/>
          <cell r="D1330"/>
          <cell r="E1330"/>
          <cell r="G1330"/>
          <cell r="K1330"/>
          <cell r="L1330"/>
          <cell r="M1330"/>
          <cell r="N1330"/>
          <cell r="R1330"/>
        </row>
        <row r="1331">
          <cell r="C1331"/>
          <cell r="D1331"/>
          <cell r="E1331"/>
          <cell r="G1331"/>
          <cell r="K1331"/>
          <cell r="L1331"/>
          <cell r="M1331"/>
          <cell r="N1331"/>
          <cell r="R1331"/>
        </row>
        <row r="1332">
          <cell r="C1332"/>
          <cell r="D1332"/>
          <cell r="E1332"/>
          <cell r="G1332"/>
          <cell r="K1332"/>
          <cell r="L1332"/>
          <cell r="M1332"/>
          <cell r="N1332"/>
          <cell r="R1332"/>
        </row>
        <row r="1333">
          <cell r="C1333"/>
          <cell r="D1333"/>
          <cell r="E1333"/>
          <cell r="G1333"/>
          <cell r="K1333"/>
          <cell r="L1333"/>
          <cell r="M1333"/>
          <cell r="N1333"/>
          <cell r="R1333"/>
        </row>
        <row r="1334">
          <cell r="C1334"/>
          <cell r="D1334"/>
          <cell r="E1334"/>
          <cell r="G1334"/>
          <cell r="K1334"/>
          <cell r="L1334"/>
          <cell r="M1334"/>
          <cell r="N1334"/>
          <cell r="R1334"/>
        </row>
        <row r="1335">
          <cell r="C1335"/>
          <cell r="D1335"/>
          <cell r="E1335"/>
          <cell r="G1335"/>
          <cell r="K1335"/>
          <cell r="L1335"/>
          <cell r="M1335"/>
          <cell r="N1335"/>
          <cell r="R1335"/>
        </row>
        <row r="1336">
          <cell r="C1336"/>
          <cell r="D1336"/>
          <cell r="E1336"/>
          <cell r="G1336"/>
          <cell r="K1336"/>
          <cell r="L1336"/>
          <cell r="M1336"/>
          <cell r="N1336"/>
          <cell r="R1336"/>
        </row>
        <row r="1337">
          <cell r="C1337"/>
          <cell r="D1337"/>
          <cell r="E1337"/>
          <cell r="G1337"/>
          <cell r="K1337"/>
          <cell r="L1337"/>
          <cell r="M1337"/>
          <cell r="N1337"/>
          <cell r="R1337"/>
        </row>
        <row r="1338">
          <cell r="C1338"/>
          <cell r="D1338"/>
          <cell r="E1338"/>
          <cell r="G1338"/>
          <cell r="K1338"/>
          <cell r="L1338"/>
          <cell r="M1338"/>
          <cell r="N1338"/>
          <cell r="R1338"/>
        </row>
        <row r="1339">
          <cell r="C1339"/>
          <cell r="D1339"/>
          <cell r="E1339"/>
          <cell r="G1339"/>
          <cell r="K1339"/>
          <cell r="L1339"/>
          <cell r="M1339"/>
          <cell r="N1339"/>
          <cell r="R1339"/>
        </row>
        <row r="1340">
          <cell r="C1340"/>
          <cell r="D1340"/>
          <cell r="E1340"/>
          <cell r="G1340"/>
          <cell r="K1340"/>
          <cell r="L1340"/>
          <cell r="M1340"/>
          <cell r="N1340"/>
          <cell r="R1340"/>
        </row>
        <row r="1341">
          <cell r="C1341"/>
          <cell r="D1341"/>
          <cell r="E1341"/>
          <cell r="G1341"/>
          <cell r="K1341"/>
          <cell r="L1341"/>
          <cell r="M1341"/>
          <cell r="N1341"/>
          <cell r="R1341"/>
        </row>
        <row r="1342">
          <cell r="C1342"/>
          <cell r="D1342"/>
          <cell r="E1342"/>
          <cell r="G1342"/>
          <cell r="K1342"/>
          <cell r="L1342"/>
          <cell r="M1342"/>
          <cell r="N1342"/>
          <cell r="R1342"/>
        </row>
        <row r="1343">
          <cell r="C1343"/>
          <cell r="D1343"/>
          <cell r="E1343"/>
          <cell r="G1343"/>
          <cell r="K1343"/>
          <cell r="L1343"/>
          <cell r="M1343"/>
          <cell r="N1343"/>
          <cell r="R1343"/>
        </row>
        <row r="1344">
          <cell r="C1344"/>
          <cell r="D1344"/>
          <cell r="E1344"/>
          <cell r="G1344"/>
          <cell r="K1344"/>
          <cell r="L1344"/>
          <cell r="M1344"/>
          <cell r="N1344"/>
          <cell r="R1344"/>
        </row>
        <row r="1345">
          <cell r="C1345"/>
          <cell r="D1345"/>
          <cell r="E1345"/>
          <cell r="G1345"/>
          <cell r="K1345"/>
          <cell r="L1345"/>
          <cell r="M1345"/>
          <cell r="N1345"/>
          <cell r="R1345"/>
        </row>
        <row r="1346">
          <cell r="C1346"/>
          <cell r="D1346"/>
          <cell r="E1346"/>
          <cell r="G1346"/>
          <cell r="K1346"/>
          <cell r="L1346"/>
          <cell r="M1346"/>
          <cell r="N1346"/>
          <cell r="R1346"/>
        </row>
        <row r="1347">
          <cell r="C1347"/>
          <cell r="D1347"/>
          <cell r="E1347"/>
          <cell r="G1347"/>
          <cell r="K1347"/>
          <cell r="L1347"/>
          <cell r="M1347"/>
          <cell r="N1347"/>
          <cell r="R1347"/>
        </row>
        <row r="1348">
          <cell r="C1348"/>
          <cell r="D1348"/>
          <cell r="E1348"/>
          <cell r="G1348"/>
          <cell r="K1348"/>
          <cell r="L1348"/>
          <cell r="M1348"/>
          <cell r="N1348"/>
          <cell r="R1348"/>
        </row>
        <row r="1349">
          <cell r="C1349"/>
          <cell r="D1349"/>
          <cell r="E1349"/>
          <cell r="G1349"/>
          <cell r="K1349"/>
          <cell r="L1349"/>
          <cell r="M1349"/>
          <cell r="N1349"/>
          <cell r="R1349"/>
        </row>
        <row r="1350">
          <cell r="C1350"/>
          <cell r="D1350"/>
          <cell r="E1350"/>
          <cell r="G1350"/>
          <cell r="K1350"/>
          <cell r="L1350"/>
          <cell r="M1350"/>
          <cell r="N1350"/>
          <cell r="R1350"/>
        </row>
        <row r="1351">
          <cell r="C1351"/>
          <cell r="D1351"/>
          <cell r="E1351"/>
          <cell r="G1351"/>
          <cell r="K1351"/>
          <cell r="L1351"/>
          <cell r="M1351"/>
          <cell r="N1351"/>
          <cell r="R1351"/>
        </row>
        <row r="1352">
          <cell r="C1352"/>
          <cell r="D1352"/>
          <cell r="E1352"/>
          <cell r="G1352"/>
          <cell r="K1352"/>
          <cell r="L1352"/>
          <cell r="M1352"/>
          <cell r="N1352"/>
          <cell r="R1352"/>
        </row>
        <row r="1353">
          <cell r="C1353"/>
          <cell r="D1353"/>
          <cell r="E1353"/>
          <cell r="G1353"/>
          <cell r="K1353"/>
          <cell r="L1353"/>
          <cell r="M1353"/>
          <cell r="N1353"/>
          <cell r="R1353"/>
        </row>
        <row r="1354">
          <cell r="C1354"/>
          <cell r="D1354"/>
          <cell r="E1354"/>
          <cell r="G1354"/>
          <cell r="K1354"/>
          <cell r="L1354"/>
          <cell r="M1354"/>
          <cell r="N1354"/>
          <cell r="R1354"/>
        </row>
        <row r="1355">
          <cell r="C1355"/>
          <cell r="D1355"/>
          <cell r="E1355"/>
          <cell r="G1355"/>
          <cell r="K1355"/>
          <cell r="L1355"/>
          <cell r="M1355"/>
          <cell r="N1355"/>
          <cell r="R1355"/>
        </row>
        <row r="1356">
          <cell r="C1356"/>
          <cell r="D1356"/>
          <cell r="E1356"/>
          <cell r="G1356"/>
          <cell r="K1356"/>
          <cell r="L1356"/>
          <cell r="M1356"/>
          <cell r="N1356"/>
          <cell r="R1356"/>
        </row>
        <row r="1357">
          <cell r="C1357"/>
          <cell r="D1357"/>
          <cell r="E1357"/>
          <cell r="G1357"/>
          <cell r="K1357"/>
          <cell r="L1357"/>
          <cell r="M1357"/>
          <cell r="N1357"/>
          <cell r="R1357"/>
        </row>
        <row r="1358">
          <cell r="C1358"/>
          <cell r="D1358"/>
          <cell r="E1358"/>
          <cell r="G1358"/>
          <cell r="K1358"/>
          <cell r="L1358"/>
          <cell r="M1358"/>
          <cell r="N1358"/>
          <cell r="R1358"/>
        </row>
        <row r="1359">
          <cell r="C1359"/>
          <cell r="D1359"/>
          <cell r="E1359"/>
          <cell r="G1359"/>
          <cell r="K1359"/>
          <cell r="L1359"/>
          <cell r="M1359"/>
          <cell r="N1359"/>
          <cell r="R1359"/>
        </row>
        <row r="1360">
          <cell r="C1360"/>
          <cell r="D1360"/>
          <cell r="E1360"/>
          <cell r="G1360"/>
          <cell r="K1360"/>
          <cell r="L1360"/>
          <cell r="M1360"/>
          <cell r="N1360"/>
          <cell r="R1360"/>
        </row>
        <row r="1361">
          <cell r="C1361"/>
          <cell r="D1361"/>
          <cell r="E1361"/>
          <cell r="G1361"/>
          <cell r="K1361"/>
          <cell r="L1361"/>
          <cell r="M1361"/>
          <cell r="N1361"/>
          <cell r="R1361"/>
        </row>
        <row r="1362">
          <cell r="C1362"/>
          <cell r="D1362"/>
          <cell r="E1362"/>
          <cell r="G1362"/>
          <cell r="K1362"/>
          <cell r="L1362"/>
          <cell r="M1362"/>
          <cell r="N1362"/>
          <cell r="R1362"/>
        </row>
        <row r="1363">
          <cell r="C1363"/>
          <cell r="D1363"/>
          <cell r="E1363"/>
          <cell r="G1363"/>
          <cell r="K1363"/>
          <cell r="L1363"/>
          <cell r="M1363"/>
          <cell r="N1363"/>
          <cell r="R1363"/>
        </row>
        <row r="1364">
          <cell r="C1364"/>
          <cell r="D1364"/>
          <cell r="E1364"/>
          <cell r="G1364"/>
          <cell r="K1364"/>
          <cell r="L1364"/>
          <cell r="M1364"/>
          <cell r="N1364"/>
          <cell r="R1364"/>
        </row>
        <row r="1365">
          <cell r="C1365"/>
          <cell r="D1365"/>
          <cell r="E1365"/>
          <cell r="G1365"/>
          <cell r="K1365"/>
          <cell r="L1365"/>
          <cell r="M1365"/>
          <cell r="N1365"/>
          <cell r="R1365"/>
        </row>
        <row r="1366">
          <cell r="C1366"/>
          <cell r="D1366"/>
          <cell r="E1366"/>
          <cell r="G1366"/>
          <cell r="K1366"/>
          <cell r="L1366"/>
          <cell r="M1366"/>
          <cell r="N1366"/>
          <cell r="R1366"/>
        </row>
        <row r="1367">
          <cell r="C1367"/>
          <cell r="D1367"/>
          <cell r="E1367"/>
          <cell r="G1367"/>
          <cell r="K1367"/>
          <cell r="L1367"/>
          <cell r="M1367"/>
          <cell r="N1367"/>
          <cell r="R1367"/>
        </row>
        <row r="1368">
          <cell r="C1368"/>
          <cell r="D1368"/>
          <cell r="E1368"/>
          <cell r="G1368"/>
          <cell r="K1368"/>
          <cell r="L1368"/>
          <cell r="M1368"/>
          <cell r="N1368"/>
          <cell r="R1368"/>
        </row>
        <row r="1369">
          <cell r="C1369"/>
          <cell r="D1369"/>
          <cell r="E1369"/>
          <cell r="G1369"/>
          <cell r="K1369"/>
          <cell r="L1369"/>
          <cell r="M1369"/>
          <cell r="N1369"/>
          <cell r="R1369"/>
        </row>
        <row r="1370">
          <cell r="C1370"/>
          <cell r="D1370"/>
          <cell r="E1370"/>
          <cell r="G1370"/>
          <cell r="K1370"/>
          <cell r="L1370"/>
          <cell r="M1370"/>
          <cell r="N1370"/>
          <cell r="R1370"/>
        </row>
        <row r="1371">
          <cell r="C1371"/>
          <cell r="D1371"/>
          <cell r="E1371"/>
          <cell r="G1371"/>
          <cell r="K1371"/>
          <cell r="L1371"/>
          <cell r="M1371"/>
          <cell r="N1371"/>
          <cell r="R1371"/>
        </row>
        <row r="1372">
          <cell r="C1372"/>
          <cell r="D1372"/>
          <cell r="E1372"/>
          <cell r="G1372"/>
          <cell r="K1372"/>
          <cell r="L1372"/>
          <cell r="M1372"/>
          <cell r="N1372"/>
          <cell r="R1372"/>
        </row>
        <row r="1373">
          <cell r="C1373"/>
          <cell r="D1373"/>
          <cell r="E1373"/>
          <cell r="G1373"/>
          <cell r="K1373"/>
          <cell r="L1373"/>
          <cell r="M1373"/>
          <cell r="N1373"/>
          <cell r="R1373"/>
        </row>
        <row r="1374">
          <cell r="C1374"/>
          <cell r="D1374"/>
          <cell r="E1374"/>
          <cell r="G1374"/>
          <cell r="K1374"/>
          <cell r="L1374"/>
          <cell r="M1374"/>
          <cell r="N1374"/>
          <cell r="R1374"/>
        </row>
        <row r="1375">
          <cell r="C1375"/>
          <cell r="D1375"/>
          <cell r="E1375"/>
          <cell r="G1375"/>
          <cell r="K1375"/>
          <cell r="L1375"/>
          <cell r="M1375"/>
          <cell r="N1375"/>
          <cell r="R1375"/>
        </row>
        <row r="1376">
          <cell r="C1376"/>
          <cell r="D1376"/>
          <cell r="E1376"/>
          <cell r="G1376"/>
          <cell r="K1376"/>
          <cell r="L1376"/>
          <cell r="M1376"/>
          <cell r="N1376"/>
          <cell r="R1376"/>
        </row>
        <row r="1377">
          <cell r="C1377"/>
          <cell r="D1377"/>
          <cell r="E1377"/>
          <cell r="G1377"/>
          <cell r="K1377"/>
          <cell r="L1377"/>
          <cell r="M1377"/>
          <cell r="N1377"/>
          <cell r="R1377"/>
        </row>
        <row r="1378">
          <cell r="C1378"/>
          <cell r="D1378"/>
          <cell r="E1378"/>
          <cell r="G1378"/>
          <cell r="K1378"/>
          <cell r="L1378"/>
          <cell r="M1378"/>
          <cell r="N1378"/>
          <cell r="R1378"/>
        </row>
        <row r="1379">
          <cell r="C1379"/>
          <cell r="D1379"/>
          <cell r="E1379"/>
          <cell r="G1379"/>
          <cell r="K1379"/>
          <cell r="L1379"/>
          <cell r="M1379"/>
          <cell r="N1379"/>
          <cell r="R1379"/>
        </row>
        <row r="1380">
          <cell r="C1380"/>
          <cell r="D1380"/>
          <cell r="E1380"/>
          <cell r="G1380"/>
          <cell r="K1380"/>
          <cell r="L1380"/>
          <cell r="M1380"/>
          <cell r="N1380"/>
          <cell r="R1380"/>
        </row>
        <row r="1381">
          <cell r="C1381"/>
          <cell r="D1381"/>
          <cell r="E1381"/>
          <cell r="G1381"/>
          <cell r="K1381"/>
          <cell r="L1381"/>
          <cell r="M1381"/>
          <cell r="N1381"/>
          <cell r="R1381"/>
        </row>
        <row r="1382">
          <cell r="C1382"/>
          <cell r="D1382"/>
          <cell r="E1382"/>
          <cell r="G1382"/>
          <cell r="K1382"/>
          <cell r="L1382"/>
          <cell r="M1382"/>
          <cell r="N1382"/>
          <cell r="R1382"/>
        </row>
        <row r="1383">
          <cell r="C1383"/>
          <cell r="D1383"/>
          <cell r="E1383"/>
          <cell r="G1383"/>
          <cell r="K1383"/>
          <cell r="L1383"/>
          <cell r="M1383"/>
          <cell r="N1383"/>
          <cell r="R1383"/>
        </row>
        <row r="1384">
          <cell r="C1384"/>
          <cell r="D1384"/>
          <cell r="E1384"/>
          <cell r="G1384"/>
          <cell r="K1384"/>
          <cell r="L1384"/>
          <cell r="M1384"/>
          <cell r="N1384"/>
          <cell r="R1384"/>
        </row>
        <row r="1385">
          <cell r="C1385"/>
          <cell r="D1385"/>
          <cell r="E1385"/>
          <cell r="G1385"/>
          <cell r="K1385"/>
          <cell r="L1385"/>
          <cell r="M1385"/>
          <cell r="N1385"/>
          <cell r="R1385"/>
        </row>
        <row r="1386">
          <cell r="C1386"/>
          <cell r="D1386"/>
          <cell r="E1386"/>
          <cell r="G1386"/>
          <cell r="K1386"/>
          <cell r="L1386"/>
          <cell r="M1386"/>
          <cell r="N1386"/>
          <cell r="R1386"/>
        </row>
        <row r="1387">
          <cell r="C1387"/>
          <cell r="D1387"/>
          <cell r="E1387"/>
          <cell r="G1387"/>
          <cell r="K1387"/>
          <cell r="L1387"/>
          <cell r="M1387"/>
          <cell r="N1387"/>
          <cell r="R1387"/>
        </row>
        <row r="1388">
          <cell r="C1388"/>
          <cell r="D1388"/>
          <cell r="E1388"/>
          <cell r="G1388"/>
          <cell r="K1388"/>
          <cell r="L1388"/>
          <cell r="M1388"/>
          <cell r="N1388"/>
          <cell r="R1388"/>
        </row>
        <row r="1389">
          <cell r="C1389"/>
          <cell r="D1389"/>
          <cell r="E1389"/>
          <cell r="G1389"/>
          <cell r="K1389"/>
          <cell r="L1389"/>
          <cell r="M1389"/>
          <cell r="N1389"/>
          <cell r="R1389"/>
        </row>
        <row r="1390">
          <cell r="C1390"/>
          <cell r="D1390"/>
          <cell r="E1390"/>
          <cell r="G1390"/>
          <cell r="K1390"/>
          <cell r="L1390"/>
          <cell r="M1390"/>
          <cell r="N1390"/>
          <cell r="R1390"/>
        </row>
        <row r="1391">
          <cell r="C1391"/>
          <cell r="D1391"/>
          <cell r="E1391"/>
          <cell r="G1391"/>
          <cell r="K1391"/>
          <cell r="L1391"/>
          <cell r="M1391"/>
          <cell r="N1391"/>
          <cell r="R1391"/>
        </row>
        <row r="1392">
          <cell r="C1392"/>
          <cell r="D1392"/>
          <cell r="E1392"/>
          <cell r="G1392"/>
          <cell r="K1392"/>
          <cell r="L1392"/>
          <cell r="M1392"/>
          <cell r="N1392"/>
          <cell r="R1392"/>
        </row>
        <row r="1393">
          <cell r="C1393"/>
          <cell r="D1393"/>
          <cell r="E1393"/>
          <cell r="G1393"/>
          <cell r="K1393"/>
          <cell r="L1393"/>
          <cell r="M1393"/>
          <cell r="N1393"/>
          <cell r="R1393"/>
        </row>
        <row r="1394">
          <cell r="C1394"/>
          <cell r="D1394"/>
          <cell r="E1394"/>
          <cell r="G1394"/>
          <cell r="K1394"/>
          <cell r="L1394"/>
          <cell r="M1394"/>
          <cell r="N1394"/>
          <cell r="R1394"/>
        </row>
        <row r="1395">
          <cell r="C1395"/>
          <cell r="D1395"/>
          <cell r="E1395"/>
          <cell r="G1395"/>
          <cell r="K1395"/>
          <cell r="L1395"/>
          <cell r="M1395"/>
          <cell r="N1395"/>
          <cell r="R1395"/>
        </row>
        <row r="1396">
          <cell r="C1396"/>
          <cell r="D1396"/>
          <cell r="E1396"/>
          <cell r="G1396"/>
          <cell r="K1396"/>
          <cell r="L1396"/>
          <cell r="M1396"/>
          <cell r="N1396"/>
          <cell r="R1396"/>
        </row>
        <row r="1397">
          <cell r="C1397"/>
          <cell r="D1397"/>
          <cell r="E1397"/>
          <cell r="G1397"/>
          <cell r="K1397"/>
          <cell r="L1397"/>
          <cell r="M1397"/>
          <cell r="N1397"/>
          <cell r="R1397"/>
        </row>
        <row r="1398">
          <cell r="C1398"/>
          <cell r="D1398"/>
          <cell r="E1398"/>
          <cell r="G1398"/>
          <cell r="K1398"/>
          <cell r="L1398"/>
          <cell r="M1398"/>
          <cell r="N1398"/>
          <cell r="R1398"/>
        </row>
        <row r="1399">
          <cell r="C1399"/>
          <cell r="D1399"/>
          <cell r="E1399"/>
          <cell r="G1399"/>
          <cell r="K1399"/>
          <cell r="L1399"/>
          <cell r="M1399"/>
          <cell r="N1399"/>
          <cell r="R1399"/>
        </row>
        <row r="1400">
          <cell r="C1400"/>
          <cell r="D1400"/>
          <cell r="E1400"/>
          <cell r="G1400"/>
          <cell r="K1400"/>
          <cell r="L1400"/>
          <cell r="M1400"/>
          <cell r="N1400"/>
          <cell r="R1400"/>
        </row>
        <row r="1401">
          <cell r="C1401"/>
          <cell r="D1401"/>
          <cell r="E1401"/>
          <cell r="G1401"/>
          <cell r="K1401"/>
          <cell r="L1401"/>
          <cell r="M1401"/>
          <cell r="N1401"/>
          <cell r="R1401"/>
        </row>
        <row r="1402">
          <cell r="C1402"/>
          <cell r="D1402"/>
          <cell r="E1402"/>
          <cell r="G1402"/>
          <cell r="K1402"/>
          <cell r="L1402"/>
          <cell r="M1402"/>
          <cell r="N1402"/>
          <cell r="R1402"/>
        </row>
        <row r="1403">
          <cell r="C1403"/>
          <cell r="D1403"/>
          <cell r="E1403"/>
          <cell r="G1403"/>
          <cell r="K1403"/>
          <cell r="L1403"/>
          <cell r="M1403"/>
          <cell r="N1403"/>
          <cell r="R1403"/>
        </row>
        <row r="1404">
          <cell r="C1404"/>
          <cell r="D1404"/>
          <cell r="E1404"/>
          <cell r="G1404"/>
          <cell r="K1404"/>
          <cell r="L1404"/>
          <cell r="M1404"/>
          <cell r="N1404"/>
          <cell r="R1404"/>
        </row>
        <row r="1405">
          <cell r="C1405"/>
          <cell r="D1405"/>
          <cell r="E1405"/>
          <cell r="G1405"/>
          <cell r="K1405"/>
          <cell r="L1405"/>
          <cell r="M1405"/>
          <cell r="N1405"/>
          <cell r="R1405"/>
        </row>
        <row r="1406">
          <cell r="C1406"/>
          <cell r="D1406"/>
          <cell r="E1406"/>
          <cell r="G1406"/>
          <cell r="K1406"/>
          <cell r="L1406"/>
          <cell r="M1406"/>
          <cell r="N1406"/>
          <cell r="R1406"/>
        </row>
        <row r="1407">
          <cell r="C1407"/>
          <cell r="D1407"/>
          <cell r="E1407"/>
          <cell r="G1407"/>
          <cell r="K1407"/>
          <cell r="L1407"/>
          <cell r="M1407"/>
          <cell r="N1407"/>
          <cell r="R1407"/>
        </row>
        <row r="1408">
          <cell r="C1408"/>
          <cell r="D1408"/>
          <cell r="E1408"/>
          <cell r="G1408"/>
          <cell r="K1408"/>
          <cell r="L1408"/>
          <cell r="M1408"/>
          <cell r="N1408"/>
          <cell r="R1408"/>
        </row>
        <row r="1409">
          <cell r="C1409"/>
          <cell r="D1409"/>
          <cell r="E1409"/>
          <cell r="G1409"/>
          <cell r="K1409"/>
          <cell r="L1409"/>
          <cell r="M1409"/>
          <cell r="N1409"/>
          <cell r="R1409"/>
        </row>
        <row r="1410">
          <cell r="C1410"/>
          <cell r="D1410"/>
          <cell r="E1410"/>
          <cell r="G1410"/>
          <cell r="K1410"/>
          <cell r="L1410"/>
          <cell r="M1410"/>
          <cell r="N1410"/>
          <cell r="R1410"/>
        </row>
        <row r="1411">
          <cell r="C1411"/>
          <cell r="D1411"/>
          <cell r="E1411"/>
          <cell r="G1411"/>
          <cell r="K1411"/>
          <cell r="L1411"/>
          <cell r="M1411"/>
          <cell r="N1411"/>
          <cell r="R1411"/>
        </row>
        <row r="1412">
          <cell r="C1412"/>
          <cell r="D1412"/>
          <cell r="E1412"/>
          <cell r="G1412"/>
          <cell r="K1412"/>
          <cell r="L1412"/>
          <cell r="M1412"/>
          <cell r="N1412"/>
          <cell r="R1412"/>
        </row>
        <row r="1413">
          <cell r="C1413"/>
          <cell r="D1413"/>
          <cell r="E1413"/>
          <cell r="G1413"/>
          <cell r="K1413"/>
          <cell r="L1413"/>
          <cell r="M1413"/>
          <cell r="N1413"/>
          <cell r="R1413"/>
        </row>
        <row r="1414">
          <cell r="C1414"/>
          <cell r="D1414"/>
          <cell r="E1414"/>
          <cell r="G1414"/>
          <cell r="K1414"/>
          <cell r="L1414"/>
          <cell r="M1414"/>
          <cell r="N1414"/>
          <cell r="R1414"/>
        </row>
        <row r="1415">
          <cell r="C1415"/>
          <cell r="D1415"/>
          <cell r="E1415"/>
          <cell r="G1415"/>
          <cell r="K1415"/>
          <cell r="L1415"/>
          <cell r="M1415"/>
          <cell r="N1415"/>
          <cell r="R1415"/>
        </row>
        <row r="1416">
          <cell r="C1416"/>
          <cell r="D1416"/>
          <cell r="E1416"/>
          <cell r="G1416"/>
          <cell r="K1416"/>
          <cell r="L1416"/>
          <cell r="M1416"/>
          <cell r="N1416"/>
          <cell r="R1416"/>
        </row>
        <row r="1417">
          <cell r="C1417"/>
          <cell r="D1417"/>
          <cell r="E1417"/>
          <cell r="G1417"/>
          <cell r="K1417"/>
          <cell r="L1417"/>
          <cell r="M1417"/>
          <cell r="N1417"/>
          <cell r="R1417"/>
        </row>
        <row r="1418">
          <cell r="C1418"/>
          <cell r="D1418"/>
          <cell r="E1418"/>
          <cell r="G1418"/>
          <cell r="K1418"/>
          <cell r="L1418"/>
          <cell r="M1418"/>
          <cell r="N1418"/>
          <cell r="R1418"/>
        </row>
        <row r="1419">
          <cell r="C1419"/>
          <cell r="D1419"/>
          <cell r="E1419"/>
          <cell r="G1419"/>
          <cell r="K1419"/>
          <cell r="L1419"/>
          <cell r="M1419"/>
          <cell r="N1419"/>
          <cell r="R1419"/>
        </row>
        <row r="1420">
          <cell r="C1420"/>
          <cell r="D1420"/>
          <cell r="E1420"/>
          <cell r="G1420"/>
          <cell r="K1420"/>
          <cell r="L1420"/>
          <cell r="M1420"/>
          <cell r="N1420"/>
          <cell r="R1420"/>
        </row>
        <row r="1421">
          <cell r="C1421"/>
          <cell r="D1421"/>
          <cell r="E1421"/>
          <cell r="G1421"/>
          <cell r="K1421"/>
          <cell r="L1421"/>
          <cell r="M1421"/>
          <cell r="N1421"/>
          <cell r="R1421"/>
        </row>
        <row r="1422">
          <cell r="C1422"/>
          <cell r="D1422"/>
          <cell r="E1422"/>
          <cell r="G1422"/>
          <cell r="K1422"/>
          <cell r="L1422"/>
          <cell r="M1422"/>
          <cell r="N1422"/>
          <cell r="R1422"/>
        </row>
        <row r="1423">
          <cell r="C1423"/>
          <cell r="D1423"/>
          <cell r="E1423"/>
          <cell r="G1423"/>
          <cell r="K1423"/>
          <cell r="L1423"/>
          <cell r="M1423"/>
          <cell r="N1423"/>
          <cell r="R1423"/>
        </row>
        <row r="1424">
          <cell r="C1424"/>
          <cell r="D1424"/>
          <cell r="E1424"/>
          <cell r="G1424"/>
          <cell r="K1424"/>
          <cell r="L1424"/>
          <cell r="M1424"/>
          <cell r="N1424"/>
          <cell r="R1424"/>
        </row>
        <row r="1425">
          <cell r="C1425"/>
          <cell r="D1425"/>
          <cell r="E1425"/>
          <cell r="G1425"/>
          <cell r="K1425"/>
          <cell r="L1425"/>
          <cell r="M1425"/>
          <cell r="N1425"/>
          <cell r="R1425"/>
        </row>
        <row r="1426">
          <cell r="C1426"/>
          <cell r="D1426"/>
          <cell r="E1426"/>
          <cell r="G1426"/>
          <cell r="K1426"/>
          <cell r="L1426"/>
          <cell r="M1426"/>
          <cell r="N1426"/>
          <cell r="R1426"/>
        </row>
        <row r="1427">
          <cell r="C1427"/>
          <cell r="D1427"/>
          <cell r="E1427"/>
          <cell r="G1427"/>
          <cell r="K1427"/>
          <cell r="L1427"/>
          <cell r="M1427"/>
          <cell r="N1427"/>
          <cell r="R1427"/>
        </row>
        <row r="1428">
          <cell r="C1428"/>
          <cell r="D1428"/>
          <cell r="E1428"/>
          <cell r="G1428"/>
          <cell r="K1428"/>
          <cell r="L1428"/>
          <cell r="M1428"/>
          <cell r="N1428"/>
          <cell r="R1428"/>
        </row>
        <row r="1429">
          <cell r="C1429"/>
          <cell r="D1429"/>
          <cell r="E1429"/>
          <cell r="G1429"/>
          <cell r="K1429"/>
          <cell r="L1429"/>
          <cell r="M1429"/>
          <cell r="N1429"/>
          <cell r="R1429"/>
        </row>
        <row r="1430">
          <cell r="C1430"/>
          <cell r="D1430"/>
          <cell r="E1430"/>
          <cell r="G1430"/>
          <cell r="K1430"/>
          <cell r="L1430"/>
          <cell r="M1430"/>
          <cell r="N1430"/>
          <cell r="R1430"/>
        </row>
        <row r="1431">
          <cell r="C1431"/>
          <cell r="D1431"/>
          <cell r="E1431"/>
          <cell r="G1431"/>
          <cell r="K1431"/>
          <cell r="L1431"/>
          <cell r="M1431"/>
          <cell r="N1431"/>
          <cell r="R1431"/>
        </row>
        <row r="1432">
          <cell r="C1432"/>
          <cell r="D1432"/>
          <cell r="E1432"/>
          <cell r="G1432"/>
          <cell r="K1432"/>
          <cell r="L1432"/>
          <cell r="M1432"/>
          <cell r="N1432"/>
          <cell r="R1432"/>
        </row>
        <row r="1433">
          <cell r="C1433"/>
          <cell r="D1433"/>
          <cell r="E1433"/>
          <cell r="G1433"/>
          <cell r="K1433"/>
          <cell r="L1433"/>
          <cell r="M1433"/>
          <cell r="N1433"/>
          <cell r="R1433"/>
        </row>
        <row r="1434">
          <cell r="C1434"/>
          <cell r="D1434"/>
          <cell r="E1434"/>
          <cell r="G1434"/>
          <cell r="K1434"/>
          <cell r="L1434"/>
          <cell r="M1434"/>
          <cell r="N1434"/>
          <cell r="R1434"/>
        </row>
        <row r="1435">
          <cell r="C1435"/>
          <cell r="D1435"/>
          <cell r="E1435"/>
          <cell r="G1435"/>
          <cell r="K1435"/>
          <cell r="L1435"/>
          <cell r="M1435"/>
          <cell r="N1435"/>
          <cell r="R1435"/>
        </row>
        <row r="1436">
          <cell r="C1436"/>
          <cell r="D1436"/>
          <cell r="E1436"/>
          <cell r="G1436"/>
          <cell r="K1436"/>
          <cell r="L1436"/>
          <cell r="M1436"/>
          <cell r="N1436"/>
          <cell r="R1436"/>
        </row>
        <row r="1437">
          <cell r="C1437"/>
          <cell r="D1437"/>
          <cell r="E1437"/>
          <cell r="G1437"/>
          <cell r="K1437"/>
          <cell r="L1437"/>
          <cell r="M1437"/>
          <cell r="N1437"/>
          <cell r="R1437"/>
        </row>
        <row r="1438">
          <cell r="C1438"/>
          <cell r="D1438"/>
          <cell r="E1438"/>
          <cell r="G1438"/>
          <cell r="K1438"/>
          <cell r="L1438"/>
          <cell r="M1438"/>
          <cell r="N1438"/>
          <cell r="R1438"/>
        </row>
        <row r="1439">
          <cell r="C1439"/>
          <cell r="D1439"/>
          <cell r="E1439"/>
          <cell r="G1439"/>
          <cell r="K1439"/>
          <cell r="L1439"/>
          <cell r="M1439"/>
          <cell r="N1439"/>
          <cell r="R1439"/>
        </row>
        <row r="1440">
          <cell r="C1440"/>
          <cell r="D1440"/>
          <cell r="E1440"/>
          <cell r="G1440"/>
          <cell r="K1440"/>
          <cell r="L1440"/>
          <cell r="M1440"/>
          <cell r="N1440"/>
          <cell r="R1440"/>
        </row>
        <row r="1441">
          <cell r="C1441"/>
          <cell r="D1441"/>
          <cell r="E1441"/>
          <cell r="G1441"/>
          <cell r="K1441"/>
          <cell r="L1441"/>
          <cell r="M1441"/>
          <cell r="N1441"/>
          <cell r="R1441"/>
        </row>
        <row r="1442">
          <cell r="C1442"/>
          <cell r="D1442"/>
          <cell r="E1442"/>
          <cell r="G1442"/>
          <cell r="K1442"/>
          <cell r="L1442"/>
          <cell r="M1442"/>
          <cell r="N1442"/>
          <cell r="R1442"/>
        </row>
        <row r="1443">
          <cell r="C1443"/>
          <cell r="D1443"/>
          <cell r="E1443"/>
          <cell r="G1443"/>
          <cell r="K1443"/>
          <cell r="L1443"/>
          <cell r="M1443"/>
          <cell r="N1443"/>
          <cell r="R1443"/>
        </row>
        <row r="1444">
          <cell r="C1444"/>
          <cell r="D1444"/>
          <cell r="E1444"/>
          <cell r="G1444"/>
          <cell r="K1444"/>
          <cell r="L1444"/>
          <cell r="M1444"/>
          <cell r="N1444"/>
          <cell r="R1444"/>
        </row>
        <row r="1445">
          <cell r="C1445"/>
          <cell r="D1445"/>
          <cell r="E1445"/>
          <cell r="G1445"/>
          <cell r="K1445"/>
          <cell r="L1445"/>
          <cell r="M1445"/>
          <cell r="N1445"/>
          <cell r="R1445"/>
        </row>
        <row r="1446">
          <cell r="C1446"/>
          <cell r="D1446"/>
          <cell r="E1446"/>
          <cell r="G1446"/>
          <cell r="K1446"/>
          <cell r="L1446"/>
          <cell r="M1446"/>
          <cell r="N1446"/>
          <cell r="R1446"/>
        </row>
        <row r="1447">
          <cell r="C1447"/>
          <cell r="D1447"/>
          <cell r="E1447"/>
          <cell r="G1447"/>
          <cell r="K1447"/>
          <cell r="L1447"/>
          <cell r="M1447"/>
          <cell r="N1447"/>
          <cell r="R1447"/>
        </row>
        <row r="1448">
          <cell r="C1448"/>
          <cell r="D1448"/>
          <cell r="E1448"/>
          <cell r="G1448"/>
          <cell r="K1448"/>
          <cell r="L1448"/>
          <cell r="M1448"/>
          <cell r="N1448"/>
          <cell r="R1448"/>
        </row>
        <row r="1449">
          <cell r="C1449"/>
          <cell r="D1449"/>
          <cell r="E1449"/>
          <cell r="G1449"/>
          <cell r="K1449"/>
          <cell r="L1449"/>
          <cell r="M1449"/>
          <cell r="N1449"/>
          <cell r="R1449"/>
        </row>
        <row r="1450">
          <cell r="C1450"/>
          <cell r="D1450"/>
          <cell r="E1450"/>
          <cell r="G1450"/>
          <cell r="K1450"/>
          <cell r="L1450"/>
          <cell r="M1450"/>
          <cell r="N1450"/>
          <cell r="R1450"/>
        </row>
        <row r="1451">
          <cell r="C1451"/>
          <cell r="D1451"/>
          <cell r="E1451"/>
          <cell r="G1451"/>
          <cell r="K1451"/>
          <cell r="L1451"/>
          <cell r="M1451"/>
          <cell r="N1451"/>
          <cell r="R1451"/>
        </row>
        <row r="1452">
          <cell r="C1452"/>
          <cell r="D1452"/>
          <cell r="E1452"/>
          <cell r="G1452"/>
          <cell r="K1452"/>
          <cell r="L1452"/>
          <cell r="M1452"/>
          <cell r="N1452"/>
          <cell r="R1452"/>
        </row>
        <row r="1453">
          <cell r="C1453"/>
          <cell r="D1453"/>
          <cell r="E1453"/>
          <cell r="G1453"/>
          <cell r="K1453"/>
          <cell r="L1453"/>
          <cell r="M1453"/>
          <cell r="N1453"/>
          <cell r="R1453"/>
        </row>
        <row r="1454">
          <cell r="C1454"/>
          <cell r="D1454"/>
          <cell r="E1454"/>
          <cell r="G1454"/>
          <cell r="K1454"/>
          <cell r="L1454"/>
          <cell r="M1454"/>
          <cell r="N1454"/>
          <cell r="R1454"/>
        </row>
        <row r="1455">
          <cell r="C1455"/>
          <cell r="D1455"/>
          <cell r="E1455"/>
          <cell r="G1455"/>
          <cell r="K1455"/>
          <cell r="L1455"/>
          <cell r="M1455"/>
          <cell r="N1455"/>
          <cell r="R1455"/>
        </row>
        <row r="1456">
          <cell r="C1456"/>
          <cell r="D1456"/>
          <cell r="E1456"/>
          <cell r="G1456"/>
          <cell r="K1456"/>
          <cell r="L1456"/>
          <cell r="M1456"/>
          <cell r="N1456"/>
          <cell r="R1456"/>
        </row>
        <row r="1457">
          <cell r="C1457"/>
          <cell r="D1457"/>
          <cell r="E1457"/>
          <cell r="G1457"/>
          <cell r="K1457"/>
          <cell r="L1457"/>
          <cell r="M1457"/>
          <cell r="N1457"/>
          <cell r="R1457"/>
        </row>
        <row r="1458">
          <cell r="C1458"/>
          <cell r="D1458"/>
          <cell r="E1458"/>
          <cell r="G1458"/>
          <cell r="K1458"/>
          <cell r="L1458"/>
          <cell r="M1458"/>
          <cell r="N1458"/>
          <cell r="R1458"/>
        </row>
        <row r="1459">
          <cell r="C1459"/>
          <cell r="D1459"/>
          <cell r="E1459"/>
          <cell r="G1459"/>
          <cell r="K1459"/>
          <cell r="L1459"/>
          <cell r="M1459"/>
          <cell r="N1459"/>
          <cell r="R1459"/>
        </row>
        <row r="1460">
          <cell r="C1460"/>
          <cell r="D1460"/>
          <cell r="E1460"/>
          <cell r="G1460"/>
          <cell r="K1460"/>
          <cell r="L1460"/>
          <cell r="M1460"/>
          <cell r="N1460"/>
          <cell r="R1460"/>
        </row>
        <row r="1461">
          <cell r="C1461"/>
          <cell r="D1461"/>
          <cell r="E1461"/>
          <cell r="G1461"/>
          <cell r="K1461"/>
          <cell r="L1461"/>
          <cell r="M1461"/>
          <cell r="N1461"/>
          <cell r="R1461"/>
        </row>
        <row r="1462">
          <cell r="C1462"/>
          <cell r="D1462"/>
          <cell r="E1462"/>
          <cell r="G1462"/>
          <cell r="K1462"/>
          <cell r="L1462"/>
          <cell r="M1462"/>
          <cell r="N1462"/>
          <cell r="R1462"/>
        </row>
        <row r="1463">
          <cell r="C1463"/>
          <cell r="D1463"/>
          <cell r="E1463"/>
          <cell r="G1463"/>
          <cell r="K1463"/>
          <cell r="L1463"/>
          <cell r="M1463"/>
          <cell r="N1463"/>
          <cell r="R1463"/>
        </row>
        <row r="1464">
          <cell r="C1464"/>
          <cell r="D1464"/>
          <cell r="E1464"/>
          <cell r="G1464"/>
          <cell r="K1464"/>
          <cell r="L1464"/>
          <cell r="M1464"/>
          <cell r="N1464"/>
          <cell r="R1464"/>
        </row>
        <row r="1465">
          <cell r="C1465"/>
          <cell r="D1465"/>
          <cell r="E1465"/>
          <cell r="G1465"/>
          <cell r="K1465"/>
          <cell r="L1465"/>
          <cell r="M1465"/>
          <cell r="N1465"/>
          <cell r="R1465"/>
        </row>
        <row r="1466">
          <cell r="C1466"/>
          <cell r="D1466"/>
          <cell r="E1466"/>
          <cell r="G1466"/>
          <cell r="K1466"/>
          <cell r="L1466"/>
          <cell r="M1466"/>
          <cell r="N1466"/>
          <cell r="R1466"/>
        </row>
        <row r="1467">
          <cell r="C1467"/>
          <cell r="D1467"/>
          <cell r="E1467"/>
          <cell r="G1467"/>
          <cell r="K1467"/>
          <cell r="L1467"/>
          <cell r="M1467"/>
          <cell r="N1467"/>
          <cell r="R1467"/>
        </row>
        <row r="1468">
          <cell r="C1468"/>
          <cell r="D1468"/>
          <cell r="E1468"/>
          <cell r="G1468"/>
          <cell r="K1468"/>
          <cell r="L1468"/>
          <cell r="M1468"/>
          <cell r="N1468"/>
          <cell r="R1468"/>
        </row>
        <row r="1469">
          <cell r="C1469"/>
          <cell r="D1469"/>
          <cell r="E1469"/>
          <cell r="G1469"/>
          <cell r="K1469"/>
          <cell r="L1469"/>
          <cell r="M1469"/>
          <cell r="N1469"/>
          <cell r="R1469"/>
        </row>
        <row r="1470">
          <cell r="C1470"/>
          <cell r="D1470"/>
          <cell r="E1470"/>
          <cell r="G1470"/>
          <cell r="K1470"/>
          <cell r="L1470"/>
          <cell r="M1470"/>
          <cell r="N1470"/>
          <cell r="R1470"/>
        </row>
        <row r="1471">
          <cell r="C1471"/>
          <cell r="D1471"/>
          <cell r="E1471"/>
          <cell r="G1471"/>
          <cell r="K1471"/>
          <cell r="L1471"/>
          <cell r="M1471"/>
          <cell r="N1471"/>
          <cell r="R1471"/>
        </row>
        <row r="1472">
          <cell r="C1472"/>
          <cell r="D1472"/>
          <cell r="E1472"/>
          <cell r="G1472"/>
          <cell r="K1472"/>
          <cell r="L1472"/>
          <cell r="M1472"/>
          <cell r="N1472"/>
          <cell r="R1472"/>
        </row>
        <row r="1473">
          <cell r="C1473"/>
          <cell r="D1473"/>
          <cell r="E1473"/>
          <cell r="G1473"/>
          <cell r="K1473"/>
          <cell r="L1473"/>
          <cell r="M1473"/>
          <cell r="N1473"/>
          <cell r="R1473"/>
        </row>
        <row r="1474">
          <cell r="C1474"/>
          <cell r="D1474"/>
          <cell r="E1474"/>
          <cell r="G1474"/>
          <cell r="K1474"/>
          <cell r="L1474"/>
          <cell r="M1474"/>
          <cell r="N1474"/>
          <cell r="R1474"/>
        </row>
        <row r="1475">
          <cell r="C1475"/>
          <cell r="D1475"/>
          <cell r="E1475"/>
          <cell r="G1475"/>
          <cell r="K1475"/>
          <cell r="L1475"/>
          <cell r="M1475"/>
          <cell r="N1475"/>
          <cell r="R1475"/>
        </row>
        <row r="1476">
          <cell r="C1476"/>
          <cell r="D1476"/>
          <cell r="E1476"/>
          <cell r="G1476"/>
          <cell r="K1476"/>
          <cell r="L1476"/>
          <cell r="M1476"/>
          <cell r="N1476"/>
          <cell r="R1476"/>
        </row>
        <row r="1477">
          <cell r="C1477"/>
          <cell r="D1477"/>
          <cell r="E1477"/>
          <cell r="G1477"/>
          <cell r="K1477"/>
          <cell r="L1477"/>
          <cell r="M1477"/>
          <cell r="N1477"/>
          <cell r="R1477"/>
        </row>
        <row r="1478">
          <cell r="C1478"/>
          <cell r="D1478"/>
          <cell r="E1478"/>
          <cell r="G1478"/>
          <cell r="K1478"/>
          <cell r="L1478"/>
          <cell r="M1478"/>
          <cell r="N1478"/>
          <cell r="R1478"/>
        </row>
        <row r="1479">
          <cell r="C1479"/>
          <cell r="D1479"/>
          <cell r="E1479"/>
          <cell r="G1479"/>
          <cell r="K1479"/>
          <cell r="L1479"/>
          <cell r="M1479"/>
          <cell r="N1479"/>
          <cell r="R1479"/>
        </row>
        <row r="1480">
          <cell r="C1480"/>
          <cell r="D1480"/>
          <cell r="E1480"/>
          <cell r="G1480"/>
          <cell r="K1480"/>
          <cell r="L1480"/>
          <cell r="M1480"/>
          <cell r="N1480"/>
          <cell r="R1480"/>
        </row>
        <row r="1481">
          <cell r="C1481"/>
          <cell r="D1481"/>
          <cell r="E1481"/>
          <cell r="G1481"/>
          <cell r="K1481"/>
          <cell r="L1481"/>
          <cell r="M1481"/>
          <cell r="N1481"/>
          <cell r="R1481"/>
        </row>
        <row r="1482">
          <cell r="C1482"/>
          <cell r="D1482"/>
          <cell r="E1482"/>
          <cell r="G1482"/>
          <cell r="K1482"/>
          <cell r="L1482"/>
          <cell r="M1482"/>
          <cell r="N1482"/>
          <cell r="R1482"/>
        </row>
        <row r="1483">
          <cell r="C1483"/>
          <cell r="D1483"/>
          <cell r="E1483"/>
          <cell r="G1483"/>
          <cell r="K1483"/>
          <cell r="L1483"/>
          <cell r="M1483"/>
          <cell r="N1483"/>
          <cell r="R1483"/>
        </row>
        <row r="1484">
          <cell r="C1484"/>
          <cell r="D1484"/>
          <cell r="E1484"/>
          <cell r="G1484"/>
          <cell r="K1484"/>
          <cell r="L1484"/>
          <cell r="M1484"/>
          <cell r="N1484"/>
          <cell r="R1484"/>
        </row>
        <row r="1485">
          <cell r="C1485"/>
          <cell r="D1485"/>
          <cell r="E1485"/>
          <cell r="G1485"/>
          <cell r="K1485"/>
          <cell r="L1485"/>
          <cell r="M1485"/>
          <cell r="N1485"/>
          <cell r="R1485"/>
        </row>
        <row r="1486">
          <cell r="C1486"/>
          <cell r="D1486"/>
          <cell r="E1486"/>
          <cell r="G1486"/>
          <cell r="K1486"/>
          <cell r="L1486"/>
          <cell r="M1486"/>
          <cell r="N1486"/>
          <cell r="R1486"/>
        </row>
        <row r="1487">
          <cell r="C1487"/>
          <cell r="D1487"/>
          <cell r="E1487"/>
          <cell r="G1487"/>
          <cell r="K1487"/>
          <cell r="L1487"/>
          <cell r="M1487"/>
          <cell r="N1487"/>
          <cell r="R1487"/>
        </row>
        <row r="1488">
          <cell r="C1488"/>
          <cell r="D1488"/>
          <cell r="E1488"/>
          <cell r="G1488"/>
          <cell r="K1488"/>
          <cell r="L1488"/>
          <cell r="M1488"/>
          <cell r="N1488"/>
          <cell r="R1488"/>
        </row>
        <row r="1489">
          <cell r="C1489"/>
          <cell r="D1489"/>
          <cell r="E1489"/>
          <cell r="G1489"/>
          <cell r="K1489"/>
          <cell r="L1489"/>
          <cell r="M1489"/>
          <cell r="N1489"/>
          <cell r="R1489"/>
        </row>
        <row r="1490">
          <cell r="C1490"/>
          <cell r="D1490"/>
          <cell r="E1490"/>
          <cell r="G1490"/>
          <cell r="K1490"/>
          <cell r="L1490"/>
          <cell r="M1490"/>
          <cell r="N1490"/>
          <cell r="R1490"/>
        </row>
        <row r="1491">
          <cell r="C1491"/>
          <cell r="D1491"/>
          <cell r="E1491"/>
          <cell r="G1491"/>
          <cell r="K1491"/>
          <cell r="L1491"/>
          <cell r="M1491"/>
          <cell r="N1491"/>
          <cell r="R1491"/>
        </row>
        <row r="1492">
          <cell r="C1492"/>
          <cell r="D1492"/>
          <cell r="E1492"/>
          <cell r="G1492"/>
          <cell r="K1492"/>
          <cell r="L1492"/>
          <cell r="M1492"/>
          <cell r="N1492"/>
          <cell r="R1492"/>
        </row>
        <row r="1493">
          <cell r="C1493"/>
          <cell r="D1493"/>
          <cell r="E1493"/>
          <cell r="G1493"/>
          <cell r="K1493"/>
          <cell r="L1493"/>
          <cell r="M1493"/>
          <cell r="N1493"/>
          <cell r="R1493"/>
        </row>
        <row r="1494">
          <cell r="C1494"/>
          <cell r="D1494"/>
          <cell r="E1494"/>
          <cell r="G1494"/>
          <cell r="K1494"/>
          <cell r="L1494"/>
          <cell r="M1494"/>
          <cell r="N1494"/>
          <cell r="R1494"/>
        </row>
        <row r="1495">
          <cell r="C1495"/>
          <cell r="D1495"/>
          <cell r="E1495"/>
          <cell r="G1495"/>
          <cell r="K1495"/>
          <cell r="L1495"/>
          <cell r="M1495"/>
          <cell r="N1495"/>
          <cell r="R1495"/>
        </row>
        <row r="1496">
          <cell r="C1496"/>
          <cell r="D1496"/>
          <cell r="E1496"/>
          <cell r="G1496"/>
          <cell r="K1496"/>
          <cell r="L1496"/>
          <cell r="M1496"/>
          <cell r="N1496"/>
          <cell r="R1496"/>
        </row>
        <row r="1497">
          <cell r="C1497"/>
          <cell r="D1497"/>
          <cell r="E1497"/>
          <cell r="G1497"/>
          <cell r="K1497"/>
          <cell r="L1497"/>
          <cell r="M1497"/>
          <cell r="N1497"/>
          <cell r="R1497"/>
        </row>
        <row r="1498">
          <cell r="C1498"/>
          <cell r="D1498"/>
          <cell r="E1498"/>
          <cell r="G1498"/>
          <cell r="K1498"/>
          <cell r="L1498"/>
          <cell r="M1498"/>
          <cell r="N1498"/>
          <cell r="R1498"/>
        </row>
        <row r="1499">
          <cell r="C1499"/>
          <cell r="D1499"/>
          <cell r="E1499"/>
          <cell r="G1499"/>
          <cell r="K1499"/>
          <cell r="L1499"/>
          <cell r="M1499"/>
          <cell r="N1499"/>
          <cell r="R1499"/>
        </row>
        <row r="1500">
          <cell r="C1500"/>
          <cell r="D1500"/>
          <cell r="E1500"/>
          <cell r="G1500"/>
          <cell r="K1500"/>
          <cell r="L1500"/>
          <cell r="M1500"/>
          <cell r="N1500"/>
          <cell r="R1500"/>
        </row>
        <row r="1501">
          <cell r="C1501"/>
          <cell r="D1501"/>
          <cell r="E1501"/>
          <cell r="G1501"/>
          <cell r="K1501"/>
          <cell r="L1501"/>
          <cell r="M1501"/>
          <cell r="N1501"/>
          <cell r="R1501"/>
        </row>
        <row r="1502">
          <cell r="C1502"/>
          <cell r="D1502"/>
          <cell r="E1502"/>
          <cell r="G1502"/>
          <cell r="K1502"/>
          <cell r="L1502"/>
          <cell r="M1502"/>
          <cell r="N1502"/>
          <cell r="R1502"/>
        </row>
        <row r="1503">
          <cell r="C1503"/>
          <cell r="D1503"/>
          <cell r="E1503"/>
          <cell r="G1503"/>
          <cell r="K1503"/>
          <cell r="L1503"/>
          <cell r="M1503"/>
          <cell r="N1503"/>
          <cell r="R1503"/>
        </row>
        <row r="1504">
          <cell r="C1504"/>
          <cell r="D1504"/>
          <cell r="E1504"/>
          <cell r="G1504"/>
          <cell r="K1504"/>
          <cell r="L1504"/>
          <cell r="M1504"/>
          <cell r="N1504"/>
          <cell r="R1504"/>
        </row>
        <row r="1505">
          <cell r="C1505"/>
          <cell r="D1505"/>
          <cell r="E1505"/>
          <cell r="G1505"/>
          <cell r="K1505"/>
          <cell r="L1505"/>
          <cell r="M1505"/>
          <cell r="N1505"/>
          <cell r="R1505"/>
        </row>
        <row r="1506">
          <cell r="C1506"/>
          <cell r="D1506"/>
          <cell r="E1506"/>
          <cell r="G1506"/>
          <cell r="K1506"/>
          <cell r="L1506"/>
          <cell r="M1506"/>
          <cell r="N1506"/>
          <cell r="R1506"/>
        </row>
        <row r="1507">
          <cell r="C1507"/>
          <cell r="D1507"/>
          <cell r="E1507"/>
          <cell r="G1507"/>
          <cell r="K1507"/>
          <cell r="L1507"/>
          <cell r="M1507"/>
          <cell r="N1507"/>
          <cell r="R1507"/>
        </row>
        <row r="1508">
          <cell r="C1508"/>
          <cell r="D1508"/>
          <cell r="E1508"/>
          <cell r="G1508"/>
          <cell r="K1508"/>
          <cell r="L1508"/>
          <cell r="M1508"/>
          <cell r="N1508"/>
          <cell r="R1508"/>
        </row>
        <row r="1509">
          <cell r="C1509"/>
          <cell r="D1509"/>
          <cell r="E1509"/>
          <cell r="G1509"/>
          <cell r="K1509"/>
          <cell r="L1509"/>
          <cell r="M1509"/>
          <cell r="N1509"/>
          <cell r="R1509"/>
        </row>
        <row r="1510">
          <cell r="C1510"/>
          <cell r="D1510"/>
          <cell r="E1510"/>
          <cell r="G1510"/>
          <cell r="K1510"/>
          <cell r="L1510"/>
          <cell r="M1510"/>
          <cell r="N1510"/>
          <cell r="R1510"/>
        </row>
        <row r="1511">
          <cell r="C1511"/>
          <cell r="D1511"/>
          <cell r="E1511"/>
          <cell r="G1511"/>
          <cell r="K1511"/>
          <cell r="L1511"/>
          <cell r="M1511"/>
          <cell r="N1511"/>
          <cell r="R1511"/>
        </row>
        <row r="1512">
          <cell r="C1512"/>
          <cell r="D1512"/>
          <cell r="E1512"/>
          <cell r="G1512"/>
          <cell r="K1512"/>
          <cell r="L1512"/>
          <cell r="M1512"/>
          <cell r="N1512"/>
          <cell r="R1512"/>
        </row>
        <row r="1513">
          <cell r="C1513"/>
          <cell r="D1513"/>
          <cell r="E1513"/>
          <cell r="G1513"/>
          <cell r="K1513"/>
          <cell r="L1513"/>
          <cell r="M1513"/>
          <cell r="N1513"/>
          <cell r="R1513"/>
        </row>
        <row r="1514">
          <cell r="C1514"/>
          <cell r="D1514"/>
          <cell r="E1514"/>
          <cell r="G1514"/>
          <cell r="K1514"/>
          <cell r="L1514"/>
          <cell r="M1514"/>
          <cell r="N1514"/>
          <cell r="R1514"/>
        </row>
        <row r="1515">
          <cell r="C1515"/>
          <cell r="D1515"/>
          <cell r="E1515"/>
          <cell r="G1515"/>
          <cell r="K1515"/>
          <cell r="L1515"/>
          <cell r="M1515"/>
          <cell r="N1515"/>
          <cell r="R1515"/>
        </row>
        <row r="1516">
          <cell r="C1516"/>
          <cell r="D1516"/>
          <cell r="E1516"/>
          <cell r="G1516"/>
          <cell r="K1516"/>
          <cell r="L1516"/>
          <cell r="M1516"/>
          <cell r="N1516"/>
          <cell r="R1516"/>
        </row>
        <row r="1517">
          <cell r="C1517"/>
          <cell r="D1517"/>
          <cell r="E1517"/>
          <cell r="G1517"/>
          <cell r="K1517"/>
          <cell r="L1517"/>
          <cell r="M1517"/>
          <cell r="N1517"/>
          <cell r="R1517"/>
        </row>
        <row r="1518">
          <cell r="C1518"/>
          <cell r="D1518"/>
          <cell r="E1518"/>
          <cell r="G1518"/>
          <cell r="K1518"/>
          <cell r="L1518"/>
          <cell r="M1518"/>
          <cell r="N1518"/>
          <cell r="R1518"/>
        </row>
        <row r="1519">
          <cell r="C1519"/>
          <cell r="D1519"/>
          <cell r="E1519"/>
          <cell r="G1519"/>
          <cell r="K1519"/>
          <cell r="L1519"/>
          <cell r="M1519"/>
          <cell r="N1519"/>
          <cell r="R1519"/>
        </row>
        <row r="1520">
          <cell r="C1520"/>
          <cell r="D1520"/>
          <cell r="E1520"/>
          <cell r="G1520"/>
          <cell r="K1520"/>
          <cell r="L1520"/>
          <cell r="M1520"/>
          <cell r="N1520"/>
          <cell r="R1520"/>
        </row>
        <row r="1521">
          <cell r="C1521"/>
          <cell r="D1521"/>
          <cell r="E1521"/>
          <cell r="G1521"/>
          <cell r="K1521"/>
          <cell r="L1521"/>
          <cell r="M1521"/>
          <cell r="N1521"/>
          <cell r="R1521"/>
        </row>
        <row r="1522">
          <cell r="C1522"/>
          <cell r="D1522"/>
          <cell r="E1522"/>
          <cell r="G1522"/>
          <cell r="K1522"/>
          <cell r="L1522"/>
          <cell r="M1522"/>
          <cell r="N1522"/>
          <cell r="R1522"/>
        </row>
        <row r="1523">
          <cell r="C1523"/>
          <cell r="D1523"/>
          <cell r="E1523"/>
          <cell r="G1523"/>
          <cell r="K1523"/>
          <cell r="L1523"/>
          <cell r="M1523"/>
          <cell r="N1523"/>
          <cell r="R1523"/>
        </row>
        <row r="1524">
          <cell r="C1524"/>
          <cell r="D1524"/>
          <cell r="E1524"/>
          <cell r="G1524"/>
          <cell r="K1524"/>
          <cell r="L1524"/>
          <cell r="M1524"/>
          <cell r="N1524"/>
          <cell r="R1524"/>
        </row>
        <row r="1525">
          <cell r="C1525"/>
          <cell r="D1525"/>
          <cell r="E1525"/>
          <cell r="G1525"/>
          <cell r="K1525"/>
          <cell r="L1525"/>
          <cell r="M1525"/>
          <cell r="N1525"/>
          <cell r="R1525"/>
        </row>
        <row r="1526">
          <cell r="C1526"/>
          <cell r="D1526"/>
          <cell r="E1526"/>
          <cell r="G1526"/>
          <cell r="K1526"/>
          <cell r="L1526"/>
          <cell r="M1526"/>
          <cell r="N1526"/>
          <cell r="R1526"/>
        </row>
        <row r="1527">
          <cell r="C1527"/>
          <cell r="D1527"/>
          <cell r="E1527"/>
          <cell r="G1527"/>
          <cell r="K1527"/>
          <cell r="L1527"/>
          <cell r="M1527"/>
          <cell r="N1527"/>
          <cell r="R1527"/>
        </row>
        <row r="1528">
          <cell r="C1528"/>
          <cell r="D1528"/>
          <cell r="E1528"/>
          <cell r="G1528"/>
          <cell r="K1528"/>
          <cell r="L1528"/>
          <cell r="M1528"/>
          <cell r="N1528"/>
          <cell r="R1528"/>
        </row>
        <row r="1529">
          <cell r="C1529"/>
          <cell r="D1529"/>
          <cell r="E1529"/>
          <cell r="G1529"/>
          <cell r="K1529"/>
          <cell r="L1529"/>
          <cell r="M1529"/>
          <cell r="N1529"/>
          <cell r="R1529"/>
        </row>
        <row r="1530">
          <cell r="C1530"/>
          <cell r="D1530"/>
          <cell r="E1530"/>
          <cell r="G1530"/>
          <cell r="K1530"/>
          <cell r="L1530"/>
          <cell r="M1530"/>
          <cell r="N1530"/>
          <cell r="R1530"/>
        </row>
        <row r="1531">
          <cell r="C1531"/>
          <cell r="D1531"/>
          <cell r="E1531"/>
          <cell r="G1531"/>
          <cell r="K1531"/>
          <cell r="L1531"/>
          <cell r="M1531"/>
          <cell r="N1531"/>
          <cell r="R1531"/>
        </row>
        <row r="1532">
          <cell r="C1532"/>
          <cell r="D1532"/>
          <cell r="E1532"/>
          <cell r="G1532"/>
          <cell r="K1532"/>
          <cell r="L1532"/>
          <cell r="M1532"/>
          <cell r="N1532"/>
          <cell r="R1532"/>
        </row>
        <row r="1533">
          <cell r="C1533"/>
          <cell r="D1533"/>
          <cell r="E1533"/>
          <cell r="G1533"/>
          <cell r="K1533"/>
          <cell r="L1533"/>
          <cell r="M1533"/>
          <cell r="N1533"/>
          <cell r="R1533"/>
        </row>
        <row r="1534">
          <cell r="C1534"/>
          <cell r="D1534"/>
          <cell r="E1534"/>
          <cell r="G1534"/>
          <cell r="K1534"/>
          <cell r="L1534"/>
          <cell r="M1534"/>
          <cell r="N1534"/>
          <cell r="R1534"/>
        </row>
        <row r="1535">
          <cell r="C1535"/>
          <cell r="D1535"/>
          <cell r="E1535"/>
          <cell r="G1535"/>
          <cell r="K1535"/>
          <cell r="L1535"/>
          <cell r="M1535"/>
          <cell r="N1535"/>
          <cell r="R1535"/>
        </row>
        <row r="1536">
          <cell r="C1536"/>
          <cell r="D1536"/>
          <cell r="E1536"/>
          <cell r="G1536"/>
          <cell r="K1536"/>
          <cell r="L1536"/>
          <cell r="M1536"/>
          <cell r="N1536"/>
          <cell r="R1536"/>
        </row>
        <row r="1537">
          <cell r="C1537"/>
          <cell r="D1537"/>
          <cell r="E1537"/>
          <cell r="G1537"/>
          <cell r="K1537"/>
          <cell r="L1537"/>
          <cell r="M1537"/>
          <cell r="N1537"/>
          <cell r="R1537"/>
        </row>
        <row r="1538">
          <cell r="C1538"/>
          <cell r="D1538"/>
          <cell r="E1538"/>
          <cell r="G1538"/>
          <cell r="K1538"/>
          <cell r="L1538"/>
          <cell r="M1538"/>
          <cell r="N1538"/>
          <cell r="R1538"/>
        </row>
        <row r="1539">
          <cell r="C1539"/>
          <cell r="D1539"/>
          <cell r="E1539"/>
          <cell r="G1539"/>
          <cell r="K1539"/>
          <cell r="L1539"/>
          <cell r="M1539"/>
          <cell r="N1539"/>
          <cell r="R1539"/>
        </row>
        <row r="1540">
          <cell r="C1540"/>
          <cell r="D1540"/>
          <cell r="E1540"/>
          <cell r="G1540"/>
          <cell r="K1540"/>
          <cell r="L1540"/>
          <cell r="M1540"/>
          <cell r="N1540"/>
          <cell r="R1540"/>
        </row>
        <row r="1541">
          <cell r="C1541"/>
          <cell r="D1541"/>
          <cell r="E1541"/>
          <cell r="G1541"/>
          <cell r="K1541"/>
          <cell r="L1541"/>
          <cell r="M1541"/>
          <cell r="N1541"/>
          <cell r="R1541"/>
        </row>
        <row r="1542">
          <cell r="C1542"/>
          <cell r="D1542"/>
          <cell r="E1542"/>
          <cell r="G1542"/>
          <cell r="K1542"/>
          <cell r="L1542"/>
          <cell r="M1542"/>
          <cell r="N1542"/>
          <cell r="R1542"/>
        </row>
        <row r="1543">
          <cell r="C1543"/>
          <cell r="D1543"/>
          <cell r="E1543"/>
          <cell r="G1543"/>
          <cell r="K1543"/>
          <cell r="L1543"/>
          <cell r="M1543"/>
          <cell r="N1543"/>
          <cell r="R1543"/>
        </row>
        <row r="1544">
          <cell r="C1544"/>
          <cell r="D1544"/>
          <cell r="E1544"/>
          <cell r="G1544"/>
          <cell r="K1544"/>
          <cell r="L1544"/>
          <cell r="M1544"/>
          <cell r="N1544"/>
          <cell r="R1544"/>
        </row>
        <row r="1545">
          <cell r="C1545"/>
          <cell r="D1545"/>
          <cell r="E1545"/>
          <cell r="G1545"/>
          <cell r="K1545"/>
          <cell r="L1545"/>
          <cell r="M1545"/>
          <cell r="N1545"/>
          <cell r="R1545"/>
        </row>
        <row r="1546">
          <cell r="C1546"/>
          <cell r="D1546"/>
          <cell r="E1546"/>
          <cell r="G1546"/>
          <cell r="K1546"/>
          <cell r="L1546"/>
          <cell r="M1546"/>
          <cell r="N1546"/>
          <cell r="R1546"/>
        </row>
        <row r="1547">
          <cell r="C1547"/>
          <cell r="D1547"/>
          <cell r="E1547"/>
          <cell r="G1547"/>
          <cell r="K1547"/>
          <cell r="L1547"/>
          <cell r="M1547"/>
          <cell r="N1547"/>
          <cell r="R1547"/>
        </row>
        <row r="1548">
          <cell r="C1548"/>
          <cell r="D1548"/>
          <cell r="E1548"/>
          <cell r="G1548"/>
          <cell r="K1548"/>
          <cell r="L1548"/>
          <cell r="M1548"/>
          <cell r="N1548"/>
          <cell r="R1548"/>
        </row>
        <row r="1549">
          <cell r="C1549"/>
          <cell r="D1549"/>
          <cell r="E1549"/>
          <cell r="G1549"/>
          <cell r="K1549"/>
          <cell r="L1549"/>
          <cell r="M1549"/>
          <cell r="N1549"/>
          <cell r="R1549"/>
        </row>
        <row r="1550">
          <cell r="C1550"/>
          <cell r="D1550"/>
          <cell r="E1550"/>
          <cell r="G1550"/>
          <cell r="K1550"/>
          <cell r="L1550"/>
          <cell r="M1550"/>
          <cell r="N1550"/>
          <cell r="R1550"/>
        </row>
        <row r="1551">
          <cell r="C1551"/>
          <cell r="D1551"/>
          <cell r="E1551"/>
          <cell r="G1551"/>
          <cell r="K1551"/>
          <cell r="L1551"/>
          <cell r="M1551"/>
          <cell r="N1551"/>
          <cell r="R1551"/>
        </row>
        <row r="1552">
          <cell r="C1552"/>
          <cell r="D1552"/>
          <cell r="E1552"/>
          <cell r="G1552"/>
          <cell r="K1552"/>
          <cell r="L1552"/>
          <cell r="M1552"/>
          <cell r="N1552"/>
          <cell r="R1552"/>
        </row>
        <row r="1553">
          <cell r="C1553"/>
          <cell r="D1553"/>
          <cell r="E1553"/>
          <cell r="G1553"/>
          <cell r="K1553"/>
          <cell r="L1553"/>
          <cell r="M1553"/>
          <cell r="N1553"/>
          <cell r="R1553"/>
        </row>
        <row r="1554">
          <cell r="C1554"/>
          <cell r="D1554"/>
          <cell r="E1554"/>
          <cell r="G1554"/>
          <cell r="K1554"/>
          <cell r="L1554"/>
          <cell r="M1554"/>
          <cell r="N1554"/>
          <cell r="R1554"/>
        </row>
        <row r="1555">
          <cell r="C1555"/>
          <cell r="D1555"/>
          <cell r="E1555"/>
          <cell r="G1555"/>
          <cell r="K1555"/>
          <cell r="L1555"/>
          <cell r="M1555"/>
          <cell r="N1555"/>
          <cell r="R1555"/>
        </row>
        <row r="1556">
          <cell r="C1556"/>
          <cell r="D1556"/>
          <cell r="E1556"/>
          <cell r="G1556"/>
          <cell r="K1556"/>
          <cell r="L1556"/>
          <cell r="M1556"/>
          <cell r="N1556"/>
          <cell r="R1556"/>
        </row>
        <row r="1557">
          <cell r="C1557"/>
          <cell r="D1557"/>
          <cell r="E1557"/>
          <cell r="G1557"/>
          <cell r="K1557"/>
          <cell r="L1557"/>
          <cell r="M1557"/>
          <cell r="N1557"/>
          <cell r="R1557"/>
        </row>
        <row r="1558">
          <cell r="C1558"/>
          <cell r="D1558"/>
          <cell r="E1558"/>
          <cell r="G1558"/>
          <cell r="K1558"/>
          <cell r="L1558"/>
          <cell r="M1558"/>
          <cell r="N1558"/>
          <cell r="R1558"/>
        </row>
        <row r="1559">
          <cell r="C1559"/>
          <cell r="D1559"/>
          <cell r="E1559"/>
          <cell r="G1559"/>
          <cell r="K1559"/>
          <cell r="L1559"/>
          <cell r="M1559"/>
          <cell r="N1559"/>
          <cell r="R1559"/>
        </row>
        <row r="1560">
          <cell r="C1560"/>
          <cell r="D1560"/>
          <cell r="E1560"/>
          <cell r="G1560"/>
          <cell r="K1560"/>
          <cell r="L1560"/>
          <cell r="M1560"/>
          <cell r="N1560"/>
          <cell r="R1560"/>
        </row>
        <row r="1561">
          <cell r="C1561"/>
          <cell r="D1561"/>
          <cell r="E1561"/>
          <cell r="G1561"/>
          <cell r="K1561"/>
          <cell r="L1561"/>
          <cell r="M1561"/>
          <cell r="N1561"/>
          <cell r="R1561"/>
        </row>
        <row r="1562">
          <cell r="C1562"/>
          <cell r="D1562"/>
          <cell r="E1562"/>
          <cell r="G1562"/>
          <cell r="K1562"/>
          <cell r="L1562"/>
          <cell r="M1562"/>
          <cell r="N1562"/>
          <cell r="R1562"/>
        </row>
        <row r="1563">
          <cell r="C1563"/>
          <cell r="D1563"/>
          <cell r="E1563"/>
          <cell r="G1563"/>
          <cell r="K1563"/>
          <cell r="L1563"/>
          <cell r="M1563"/>
          <cell r="N1563"/>
          <cell r="R1563"/>
        </row>
        <row r="1564">
          <cell r="C1564"/>
          <cell r="D1564"/>
          <cell r="E1564"/>
          <cell r="G1564"/>
          <cell r="K1564"/>
          <cell r="L1564"/>
          <cell r="M1564"/>
          <cell r="N1564"/>
          <cell r="R1564"/>
        </row>
        <row r="1565">
          <cell r="C1565"/>
          <cell r="D1565"/>
          <cell r="E1565"/>
          <cell r="G1565"/>
          <cell r="K1565"/>
          <cell r="L1565"/>
          <cell r="M1565"/>
          <cell r="N1565"/>
          <cell r="R1565"/>
        </row>
        <row r="1566">
          <cell r="C1566"/>
          <cell r="D1566"/>
          <cell r="E1566"/>
          <cell r="G1566"/>
          <cell r="K1566"/>
          <cell r="L1566"/>
          <cell r="M1566"/>
          <cell r="N1566"/>
          <cell r="R1566"/>
        </row>
        <row r="1567">
          <cell r="C1567"/>
          <cell r="D1567"/>
          <cell r="E1567"/>
          <cell r="G1567"/>
          <cell r="K1567"/>
          <cell r="L1567"/>
          <cell r="M1567"/>
          <cell r="N1567"/>
          <cell r="R1567"/>
        </row>
        <row r="1568">
          <cell r="C1568"/>
          <cell r="D1568"/>
          <cell r="E1568"/>
          <cell r="G1568"/>
          <cell r="K1568"/>
          <cell r="L1568"/>
          <cell r="M1568"/>
          <cell r="N1568"/>
          <cell r="R1568"/>
        </row>
        <row r="1569">
          <cell r="C1569"/>
          <cell r="D1569"/>
          <cell r="E1569"/>
          <cell r="G1569"/>
          <cell r="K1569"/>
          <cell r="L1569"/>
          <cell r="M1569"/>
          <cell r="N1569"/>
          <cell r="R1569"/>
        </row>
        <row r="1570">
          <cell r="C1570"/>
          <cell r="D1570"/>
          <cell r="E1570"/>
          <cell r="G1570"/>
          <cell r="K1570"/>
          <cell r="L1570"/>
          <cell r="M1570"/>
          <cell r="N1570"/>
          <cell r="R1570"/>
        </row>
        <row r="1571">
          <cell r="C1571"/>
          <cell r="D1571"/>
          <cell r="E1571"/>
          <cell r="G1571"/>
          <cell r="K1571"/>
          <cell r="L1571"/>
          <cell r="M1571"/>
          <cell r="N1571"/>
          <cell r="R1571"/>
        </row>
        <row r="1572">
          <cell r="C1572"/>
          <cell r="D1572"/>
          <cell r="E1572"/>
          <cell r="G1572"/>
          <cell r="K1572"/>
          <cell r="L1572"/>
          <cell r="M1572"/>
          <cell r="N1572"/>
          <cell r="R1572"/>
        </row>
        <row r="1573">
          <cell r="C1573"/>
          <cell r="D1573"/>
          <cell r="E1573"/>
          <cell r="G1573"/>
          <cell r="K1573"/>
          <cell r="L1573"/>
          <cell r="M1573"/>
          <cell r="N1573"/>
          <cell r="R1573"/>
        </row>
        <row r="1574">
          <cell r="C1574"/>
          <cell r="D1574"/>
          <cell r="E1574"/>
          <cell r="G1574"/>
          <cell r="K1574"/>
          <cell r="L1574"/>
          <cell r="M1574"/>
          <cell r="N1574"/>
          <cell r="R1574"/>
        </row>
        <row r="1575">
          <cell r="C1575"/>
          <cell r="D1575"/>
          <cell r="E1575"/>
          <cell r="G1575"/>
          <cell r="K1575"/>
          <cell r="L1575"/>
          <cell r="M1575"/>
          <cell r="N1575"/>
          <cell r="R1575"/>
        </row>
        <row r="1576">
          <cell r="C1576"/>
          <cell r="D1576"/>
          <cell r="E1576"/>
          <cell r="G1576"/>
          <cell r="K1576"/>
          <cell r="L1576"/>
          <cell r="M1576"/>
          <cell r="N1576"/>
          <cell r="R1576"/>
        </row>
        <row r="1577">
          <cell r="C1577"/>
          <cell r="D1577"/>
          <cell r="E1577"/>
          <cell r="G1577"/>
          <cell r="K1577"/>
          <cell r="L1577"/>
          <cell r="M1577"/>
          <cell r="N1577"/>
          <cell r="R1577"/>
        </row>
        <row r="1578">
          <cell r="C1578"/>
          <cell r="D1578"/>
          <cell r="E1578"/>
          <cell r="G1578"/>
          <cell r="K1578"/>
          <cell r="L1578"/>
          <cell r="M1578"/>
          <cell r="N1578"/>
          <cell r="R1578"/>
        </row>
        <row r="1579">
          <cell r="C1579"/>
          <cell r="D1579"/>
          <cell r="E1579"/>
          <cell r="G1579"/>
          <cell r="K1579"/>
          <cell r="L1579"/>
          <cell r="M1579"/>
          <cell r="N1579"/>
          <cell r="R1579"/>
        </row>
        <row r="1580">
          <cell r="C1580"/>
          <cell r="D1580"/>
          <cell r="E1580"/>
          <cell r="G1580"/>
          <cell r="K1580"/>
          <cell r="L1580"/>
          <cell r="M1580"/>
          <cell r="N1580"/>
          <cell r="R1580"/>
        </row>
        <row r="1581">
          <cell r="C1581"/>
          <cell r="D1581"/>
          <cell r="E1581"/>
          <cell r="G1581"/>
          <cell r="K1581"/>
          <cell r="L1581"/>
          <cell r="M1581"/>
          <cell r="N1581"/>
          <cell r="R1581"/>
        </row>
        <row r="1582">
          <cell r="C1582"/>
          <cell r="D1582"/>
          <cell r="E1582"/>
          <cell r="G1582"/>
          <cell r="K1582"/>
          <cell r="L1582"/>
          <cell r="M1582"/>
          <cell r="N1582"/>
          <cell r="R1582"/>
        </row>
        <row r="1583">
          <cell r="C1583"/>
          <cell r="D1583"/>
          <cell r="E1583"/>
          <cell r="G1583"/>
          <cell r="K1583"/>
          <cell r="L1583"/>
          <cell r="M1583"/>
          <cell r="N1583"/>
          <cell r="R1583"/>
        </row>
        <row r="1584">
          <cell r="C1584"/>
          <cell r="D1584"/>
          <cell r="E1584"/>
          <cell r="G1584"/>
          <cell r="K1584"/>
          <cell r="L1584"/>
          <cell r="M1584"/>
          <cell r="N1584"/>
          <cell r="R1584"/>
        </row>
        <row r="1585">
          <cell r="C1585"/>
          <cell r="D1585"/>
          <cell r="E1585"/>
          <cell r="G1585"/>
          <cell r="K1585"/>
          <cell r="L1585"/>
          <cell r="M1585"/>
          <cell r="N1585"/>
          <cell r="R1585"/>
        </row>
        <row r="1586">
          <cell r="C1586"/>
          <cell r="D1586"/>
          <cell r="E1586"/>
          <cell r="G1586"/>
          <cell r="K1586"/>
          <cell r="L1586"/>
          <cell r="M1586"/>
          <cell r="N1586"/>
          <cell r="R1586"/>
        </row>
        <row r="1587">
          <cell r="C1587"/>
          <cell r="D1587"/>
          <cell r="E1587"/>
          <cell r="G1587"/>
          <cell r="K1587"/>
          <cell r="L1587"/>
          <cell r="M1587"/>
          <cell r="N1587"/>
          <cell r="R1587"/>
        </row>
        <row r="1588">
          <cell r="C1588"/>
          <cell r="D1588"/>
          <cell r="E1588"/>
          <cell r="G1588"/>
          <cell r="K1588"/>
          <cell r="L1588"/>
          <cell r="M1588"/>
          <cell r="N1588"/>
          <cell r="R1588"/>
        </row>
        <row r="1589">
          <cell r="C1589"/>
          <cell r="D1589"/>
          <cell r="E1589"/>
          <cell r="G1589"/>
          <cell r="K1589"/>
          <cell r="L1589"/>
          <cell r="M1589"/>
          <cell r="N1589"/>
          <cell r="R1589"/>
        </row>
        <row r="1590">
          <cell r="C1590"/>
          <cell r="D1590"/>
          <cell r="E1590"/>
          <cell r="G1590"/>
          <cell r="K1590"/>
          <cell r="L1590"/>
          <cell r="M1590"/>
          <cell r="N1590"/>
          <cell r="R1590"/>
        </row>
        <row r="1591">
          <cell r="C1591"/>
          <cell r="D1591"/>
          <cell r="E1591"/>
          <cell r="G1591"/>
          <cell r="K1591"/>
          <cell r="L1591"/>
          <cell r="M1591"/>
          <cell r="N1591"/>
          <cell r="R1591"/>
        </row>
        <row r="1592">
          <cell r="C1592"/>
          <cell r="D1592"/>
          <cell r="E1592"/>
          <cell r="G1592"/>
          <cell r="K1592"/>
          <cell r="L1592"/>
          <cell r="M1592"/>
          <cell r="N1592"/>
          <cell r="R1592"/>
        </row>
        <row r="1593">
          <cell r="C1593"/>
          <cell r="D1593"/>
          <cell r="E1593"/>
          <cell r="G1593"/>
          <cell r="K1593"/>
          <cell r="L1593"/>
          <cell r="M1593"/>
          <cell r="N1593"/>
          <cell r="R1593"/>
        </row>
        <row r="1594">
          <cell r="C1594"/>
          <cell r="D1594"/>
          <cell r="E1594"/>
          <cell r="G1594"/>
          <cell r="K1594"/>
          <cell r="L1594"/>
          <cell r="M1594"/>
          <cell r="N1594"/>
          <cell r="R1594"/>
        </row>
        <row r="1595">
          <cell r="C1595"/>
          <cell r="D1595"/>
          <cell r="E1595"/>
          <cell r="G1595"/>
          <cell r="K1595"/>
          <cell r="L1595"/>
          <cell r="M1595"/>
          <cell r="N1595"/>
          <cell r="R1595"/>
        </row>
        <row r="1596">
          <cell r="C1596"/>
          <cell r="D1596"/>
          <cell r="E1596"/>
          <cell r="G1596"/>
          <cell r="K1596"/>
          <cell r="L1596"/>
          <cell r="M1596"/>
          <cell r="N1596"/>
          <cell r="R1596"/>
        </row>
        <row r="1597">
          <cell r="C1597"/>
          <cell r="D1597"/>
          <cell r="E1597"/>
          <cell r="G1597"/>
          <cell r="K1597"/>
          <cell r="L1597"/>
          <cell r="M1597"/>
          <cell r="N1597"/>
          <cell r="R1597"/>
        </row>
        <row r="1598">
          <cell r="C1598"/>
          <cell r="D1598"/>
          <cell r="E1598"/>
          <cell r="G1598"/>
          <cell r="K1598"/>
          <cell r="L1598"/>
          <cell r="M1598"/>
          <cell r="N1598"/>
          <cell r="R1598"/>
        </row>
        <row r="1599">
          <cell r="C1599"/>
          <cell r="D1599"/>
          <cell r="E1599"/>
          <cell r="G1599"/>
          <cell r="K1599"/>
          <cell r="L1599"/>
          <cell r="M1599"/>
          <cell r="N1599"/>
          <cell r="R1599"/>
        </row>
        <row r="1600">
          <cell r="C1600"/>
          <cell r="D1600"/>
          <cell r="E1600"/>
          <cell r="G1600"/>
          <cell r="K1600"/>
          <cell r="L1600"/>
          <cell r="M1600"/>
          <cell r="N1600"/>
          <cell r="R1600"/>
        </row>
        <row r="1601">
          <cell r="C1601"/>
          <cell r="D1601"/>
          <cell r="E1601"/>
          <cell r="G1601"/>
          <cell r="K1601"/>
          <cell r="L1601"/>
          <cell r="M1601"/>
          <cell r="N1601"/>
          <cell r="R1601"/>
        </row>
        <row r="1602">
          <cell r="C1602"/>
          <cell r="D1602"/>
          <cell r="E1602"/>
          <cell r="G1602"/>
          <cell r="K1602"/>
          <cell r="L1602"/>
          <cell r="M1602"/>
          <cell r="N1602"/>
          <cell r="R1602"/>
        </row>
        <row r="1603">
          <cell r="C1603"/>
          <cell r="D1603"/>
          <cell r="E1603"/>
          <cell r="G1603"/>
          <cell r="K1603"/>
          <cell r="L1603"/>
          <cell r="M1603"/>
          <cell r="N1603"/>
          <cell r="R1603"/>
        </row>
        <row r="1604">
          <cell r="C1604"/>
          <cell r="D1604"/>
          <cell r="E1604"/>
          <cell r="G1604"/>
          <cell r="K1604"/>
          <cell r="L1604"/>
          <cell r="M1604"/>
          <cell r="N1604"/>
          <cell r="R1604"/>
        </row>
        <row r="1605">
          <cell r="C1605"/>
          <cell r="D1605"/>
          <cell r="E1605"/>
          <cell r="G1605"/>
          <cell r="K1605"/>
          <cell r="L1605"/>
          <cell r="M1605"/>
          <cell r="N1605"/>
          <cell r="R1605"/>
        </row>
        <row r="1606">
          <cell r="C1606"/>
          <cell r="D1606"/>
          <cell r="E1606"/>
          <cell r="G1606"/>
          <cell r="K1606"/>
          <cell r="L1606"/>
          <cell r="M1606"/>
          <cell r="N1606"/>
          <cell r="R1606"/>
        </row>
        <row r="1607">
          <cell r="C1607"/>
          <cell r="D1607"/>
          <cell r="E1607"/>
          <cell r="G1607"/>
          <cell r="K1607"/>
          <cell r="L1607"/>
          <cell r="M1607"/>
          <cell r="N1607"/>
          <cell r="R1607"/>
        </row>
        <row r="1608">
          <cell r="C1608"/>
          <cell r="D1608"/>
          <cell r="E1608"/>
          <cell r="G1608"/>
          <cell r="K1608"/>
          <cell r="L1608"/>
          <cell r="M1608"/>
          <cell r="N1608"/>
          <cell r="R1608"/>
        </row>
        <row r="1609">
          <cell r="C1609"/>
          <cell r="D1609"/>
          <cell r="E1609"/>
          <cell r="G1609"/>
          <cell r="K1609"/>
          <cell r="L1609"/>
          <cell r="M1609"/>
          <cell r="N1609"/>
          <cell r="R1609"/>
        </row>
        <row r="1610">
          <cell r="C1610"/>
          <cell r="D1610"/>
          <cell r="E1610"/>
          <cell r="G1610"/>
          <cell r="K1610"/>
          <cell r="L1610"/>
          <cell r="M1610"/>
          <cell r="N1610"/>
          <cell r="R1610"/>
        </row>
        <row r="1611">
          <cell r="C1611"/>
          <cell r="D1611"/>
          <cell r="E1611"/>
          <cell r="G1611"/>
          <cell r="K1611"/>
          <cell r="L1611"/>
          <cell r="M1611"/>
          <cell r="N1611"/>
          <cell r="R1611"/>
        </row>
        <row r="1612">
          <cell r="C1612"/>
          <cell r="D1612"/>
          <cell r="E1612"/>
          <cell r="G1612"/>
          <cell r="K1612"/>
          <cell r="L1612"/>
          <cell r="M1612"/>
          <cell r="N1612"/>
          <cell r="R1612"/>
        </row>
        <row r="1613">
          <cell r="C1613"/>
          <cell r="D1613"/>
          <cell r="E1613"/>
          <cell r="G1613"/>
          <cell r="K1613"/>
          <cell r="L1613"/>
          <cell r="M1613"/>
          <cell r="N1613"/>
          <cell r="R1613"/>
        </row>
        <row r="1614">
          <cell r="C1614"/>
          <cell r="D1614"/>
          <cell r="E1614"/>
          <cell r="G1614"/>
          <cell r="K1614"/>
          <cell r="L1614"/>
          <cell r="M1614"/>
          <cell r="N1614"/>
          <cell r="R1614"/>
        </row>
        <row r="1615">
          <cell r="C1615"/>
          <cell r="D1615"/>
          <cell r="E1615"/>
          <cell r="G1615"/>
          <cell r="K1615"/>
          <cell r="L1615"/>
          <cell r="M1615"/>
          <cell r="N1615"/>
          <cell r="R1615"/>
        </row>
        <row r="1616">
          <cell r="C1616"/>
          <cell r="D1616"/>
          <cell r="E1616"/>
          <cell r="G1616"/>
          <cell r="K1616"/>
          <cell r="L1616"/>
          <cell r="M1616"/>
          <cell r="N1616"/>
          <cell r="R1616"/>
        </row>
        <row r="1617">
          <cell r="C1617"/>
          <cell r="D1617"/>
          <cell r="E1617"/>
          <cell r="G1617"/>
          <cell r="K1617"/>
          <cell r="L1617"/>
          <cell r="M1617"/>
          <cell r="N1617"/>
          <cell r="R1617"/>
        </row>
        <row r="1618">
          <cell r="C1618"/>
          <cell r="D1618"/>
          <cell r="E1618"/>
          <cell r="G1618"/>
          <cell r="K1618"/>
          <cell r="L1618"/>
          <cell r="M1618"/>
          <cell r="N1618"/>
          <cell r="R1618"/>
        </row>
        <row r="1619">
          <cell r="C1619"/>
          <cell r="D1619"/>
          <cell r="E1619"/>
          <cell r="G1619"/>
          <cell r="K1619"/>
          <cell r="L1619"/>
          <cell r="M1619"/>
          <cell r="N1619"/>
          <cell r="R1619"/>
        </row>
        <row r="1620">
          <cell r="C1620"/>
          <cell r="D1620"/>
          <cell r="E1620"/>
          <cell r="G1620"/>
          <cell r="K1620"/>
          <cell r="L1620"/>
          <cell r="M1620"/>
          <cell r="N1620"/>
          <cell r="R1620"/>
        </row>
        <row r="1621">
          <cell r="C1621"/>
          <cell r="D1621"/>
          <cell r="E1621"/>
          <cell r="G1621"/>
          <cell r="K1621"/>
          <cell r="L1621"/>
          <cell r="M1621"/>
          <cell r="N1621"/>
          <cell r="R1621"/>
        </row>
        <row r="1622">
          <cell r="C1622"/>
          <cell r="D1622"/>
          <cell r="E1622"/>
          <cell r="G1622"/>
          <cell r="K1622"/>
          <cell r="L1622"/>
          <cell r="M1622"/>
          <cell r="N1622"/>
          <cell r="R1622"/>
        </row>
        <row r="1623">
          <cell r="C1623"/>
          <cell r="D1623"/>
          <cell r="E1623"/>
          <cell r="G1623"/>
          <cell r="K1623"/>
          <cell r="L1623"/>
          <cell r="M1623"/>
          <cell r="N1623"/>
          <cell r="R1623"/>
        </row>
        <row r="1624">
          <cell r="C1624"/>
          <cell r="D1624"/>
          <cell r="E1624"/>
          <cell r="G1624"/>
          <cell r="K1624"/>
          <cell r="L1624"/>
          <cell r="M1624"/>
          <cell r="N1624"/>
          <cell r="R1624"/>
        </row>
        <row r="1625">
          <cell r="C1625"/>
          <cell r="D1625"/>
          <cell r="E1625"/>
          <cell r="G1625"/>
          <cell r="K1625"/>
          <cell r="L1625"/>
          <cell r="M1625"/>
          <cell r="N1625"/>
          <cell r="R1625"/>
        </row>
        <row r="1626">
          <cell r="C1626"/>
          <cell r="D1626"/>
          <cell r="E1626"/>
          <cell r="G1626"/>
          <cell r="K1626"/>
          <cell r="L1626"/>
          <cell r="M1626"/>
          <cell r="N1626"/>
          <cell r="R1626"/>
        </row>
        <row r="1627">
          <cell r="C1627"/>
          <cell r="D1627"/>
          <cell r="E1627"/>
          <cell r="G1627"/>
          <cell r="K1627"/>
          <cell r="L1627"/>
          <cell r="M1627"/>
          <cell r="N1627"/>
          <cell r="R1627"/>
        </row>
        <row r="1628">
          <cell r="C1628"/>
          <cell r="D1628"/>
          <cell r="E1628"/>
          <cell r="G1628"/>
          <cell r="K1628"/>
          <cell r="L1628"/>
          <cell r="M1628"/>
          <cell r="N1628"/>
          <cell r="R1628"/>
        </row>
        <row r="1629">
          <cell r="C1629"/>
          <cell r="D1629"/>
          <cell r="E1629"/>
          <cell r="G1629"/>
          <cell r="K1629"/>
          <cell r="L1629"/>
          <cell r="M1629"/>
          <cell r="N1629"/>
          <cell r="R1629"/>
        </row>
        <row r="1630">
          <cell r="C1630"/>
          <cell r="D1630"/>
          <cell r="E1630"/>
          <cell r="G1630"/>
          <cell r="K1630"/>
          <cell r="L1630"/>
          <cell r="M1630"/>
          <cell r="N1630"/>
          <cell r="R1630"/>
        </row>
        <row r="1631">
          <cell r="C1631"/>
          <cell r="D1631"/>
          <cell r="E1631"/>
          <cell r="G1631"/>
          <cell r="K1631"/>
          <cell r="L1631"/>
          <cell r="M1631"/>
          <cell r="N1631"/>
          <cell r="R1631"/>
        </row>
        <row r="1632">
          <cell r="C1632"/>
          <cell r="D1632"/>
          <cell r="E1632"/>
          <cell r="G1632"/>
          <cell r="K1632"/>
          <cell r="L1632"/>
          <cell r="M1632"/>
          <cell r="N1632"/>
          <cell r="R1632"/>
        </row>
        <row r="1633">
          <cell r="C1633"/>
          <cell r="D1633"/>
          <cell r="E1633"/>
          <cell r="G1633"/>
          <cell r="K1633"/>
          <cell r="L1633"/>
          <cell r="M1633"/>
          <cell r="N1633"/>
          <cell r="R1633"/>
        </row>
        <row r="1634">
          <cell r="C1634"/>
          <cell r="D1634"/>
          <cell r="E1634"/>
          <cell r="G1634"/>
          <cell r="K1634"/>
          <cell r="L1634"/>
          <cell r="M1634"/>
          <cell r="N1634"/>
          <cell r="R1634"/>
        </row>
        <row r="1635">
          <cell r="C1635"/>
          <cell r="D1635"/>
          <cell r="E1635"/>
          <cell r="G1635"/>
          <cell r="K1635"/>
          <cell r="L1635"/>
          <cell r="M1635"/>
          <cell r="N1635"/>
          <cell r="R1635"/>
        </row>
        <row r="1636">
          <cell r="C1636"/>
          <cell r="D1636"/>
          <cell r="E1636"/>
          <cell r="G1636"/>
          <cell r="K1636"/>
          <cell r="L1636"/>
          <cell r="M1636"/>
          <cell r="N1636"/>
          <cell r="R1636"/>
        </row>
        <row r="1637">
          <cell r="C1637"/>
          <cell r="D1637"/>
          <cell r="E1637"/>
          <cell r="G1637"/>
          <cell r="K1637"/>
          <cell r="L1637"/>
          <cell r="M1637"/>
          <cell r="N1637"/>
          <cell r="R1637"/>
        </row>
        <row r="1638">
          <cell r="C1638"/>
          <cell r="D1638"/>
          <cell r="E1638"/>
          <cell r="G1638"/>
          <cell r="K1638"/>
          <cell r="L1638"/>
          <cell r="M1638"/>
          <cell r="N1638"/>
          <cell r="R1638"/>
        </row>
        <row r="1639">
          <cell r="C1639"/>
          <cell r="D1639"/>
          <cell r="E1639"/>
          <cell r="G1639"/>
          <cell r="K1639"/>
          <cell r="L1639"/>
          <cell r="M1639"/>
          <cell r="N1639"/>
          <cell r="R1639"/>
        </row>
        <row r="1640">
          <cell r="C1640"/>
          <cell r="D1640"/>
          <cell r="E1640"/>
          <cell r="G1640"/>
          <cell r="K1640"/>
          <cell r="L1640"/>
          <cell r="M1640"/>
          <cell r="N1640"/>
          <cell r="R1640"/>
        </row>
        <row r="1641">
          <cell r="C1641"/>
          <cell r="D1641"/>
          <cell r="E1641"/>
          <cell r="G1641"/>
          <cell r="K1641"/>
          <cell r="L1641"/>
          <cell r="M1641"/>
          <cell r="N1641"/>
          <cell r="R1641"/>
        </row>
        <row r="1642">
          <cell r="C1642"/>
          <cell r="D1642"/>
          <cell r="E1642"/>
          <cell r="G1642"/>
          <cell r="K1642"/>
          <cell r="L1642"/>
          <cell r="M1642"/>
          <cell r="N1642"/>
          <cell r="R1642"/>
        </row>
        <row r="1643">
          <cell r="C1643"/>
          <cell r="D1643"/>
          <cell r="E1643"/>
          <cell r="G1643"/>
          <cell r="K1643"/>
          <cell r="L1643"/>
          <cell r="M1643"/>
          <cell r="N1643"/>
          <cell r="R1643"/>
        </row>
        <row r="1644">
          <cell r="C1644"/>
          <cell r="D1644"/>
          <cell r="E1644"/>
          <cell r="G1644"/>
          <cell r="K1644"/>
          <cell r="L1644"/>
          <cell r="M1644"/>
          <cell r="N1644"/>
          <cell r="R1644"/>
        </row>
        <row r="1645">
          <cell r="C1645"/>
          <cell r="D1645"/>
          <cell r="E1645"/>
          <cell r="G1645"/>
          <cell r="K1645"/>
          <cell r="L1645"/>
          <cell r="M1645"/>
          <cell r="N1645"/>
          <cell r="R1645"/>
        </row>
        <row r="1646">
          <cell r="C1646"/>
          <cell r="D1646"/>
          <cell r="E1646"/>
          <cell r="G1646"/>
          <cell r="K1646"/>
          <cell r="L1646"/>
          <cell r="M1646"/>
          <cell r="N1646"/>
          <cell r="R1646"/>
        </row>
        <row r="1647">
          <cell r="C1647"/>
          <cell r="D1647"/>
          <cell r="E1647"/>
          <cell r="G1647"/>
          <cell r="K1647"/>
          <cell r="L1647"/>
          <cell r="M1647"/>
          <cell r="N1647"/>
          <cell r="R1647"/>
        </row>
        <row r="1648">
          <cell r="C1648"/>
          <cell r="D1648"/>
          <cell r="E1648"/>
          <cell r="G1648"/>
          <cell r="K1648"/>
          <cell r="L1648"/>
          <cell r="M1648"/>
          <cell r="N1648"/>
          <cell r="R1648"/>
        </row>
        <row r="1649">
          <cell r="C1649"/>
          <cell r="D1649"/>
          <cell r="E1649"/>
          <cell r="G1649"/>
          <cell r="K1649"/>
          <cell r="L1649"/>
          <cell r="M1649"/>
          <cell r="N1649"/>
          <cell r="R1649"/>
        </row>
        <row r="1650">
          <cell r="C1650"/>
          <cell r="D1650"/>
          <cell r="E1650"/>
          <cell r="G1650"/>
          <cell r="K1650"/>
          <cell r="L1650"/>
          <cell r="M1650"/>
          <cell r="N1650"/>
          <cell r="R1650"/>
        </row>
        <row r="1651">
          <cell r="C1651"/>
          <cell r="D1651"/>
          <cell r="E1651"/>
          <cell r="G1651"/>
          <cell r="K1651"/>
          <cell r="L1651"/>
          <cell r="M1651"/>
          <cell r="N1651"/>
          <cell r="R1651"/>
        </row>
        <row r="1652">
          <cell r="C1652"/>
          <cell r="D1652"/>
          <cell r="E1652"/>
          <cell r="G1652"/>
          <cell r="K1652"/>
          <cell r="L1652"/>
          <cell r="M1652"/>
          <cell r="N1652"/>
          <cell r="R1652"/>
        </row>
        <row r="1653">
          <cell r="C1653"/>
          <cell r="D1653"/>
          <cell r="E1653"/>
          <cell r="G1653"/>
          <cell r="K1653"/>
          <cell r="L1653"/>
          <cell r="M1653"/>
          <cell r="N1653"/>
          <cell r="R1653"/>
        </row>
        <row r="1654">
          <cell r="C1654"/>
          <cell r="D1654"/>
          <cell r="E1654"/>
          <cell r="G1654"/>
          <cell r="K1654"/>
          <cell r="L1654"/>
          <cell r="M1654"/>
          <cell r="N1654"/>
          <cell r="R1654"/>
        </row>
        <row r="1655">
          <cell r="C1655"/>
          <cell r="D1655"/>
          <cell r="E1655"/>
          <cell r="G1655"/>
          <cell r="K1655"/>
          <cell r="L1655"/>
          <cell r="M1655"/>
          <cell r="N1655"/>
          <cell r="R1655"/>
        </row>
        <row r="1656">
          <cell r="C1656"/>
          <cell r="D1656"/>
          <cell r="E1656"/>
          <cell r="G1656"/>
          <cell r="K1656"/>
          <cell r="L1656"/>
          <cell r="M1656"/>
          <cell r="N1656"/>
          <cell r="R1656"/>
        </row>
        <row r="1657">
          <cell r="C1657"/>
          <cell r="D1657"/>
          <cell r="E1657"/>
          <cell r="G1657"/>
          <cell r="K1657"/>
          <cell r="L1657"/>
          <cell r="M1657"/>
          <cell r="N1657"/>
          <cell r="R1657"/>
        </row>
        <row r="1658">
          <cell r="C1658"/>
          <cell r="D1658"/>
          <cell r="E1658"/>
          <cell r="G1658"/>
          <cell r="K1658"/>
          <cell r="L1658"/>
          <cell r="M1658"/>
          <cell r="N1658"/>
          <cell r="R1658"/>
        </row>
        <row r="1659">
          <cell r="C1659"/>
          <cell r="D1659"/>
          <cell r="E1659"/>
          <cell r="G1659"/>
          <cell r="K1659"/>
          <cell r="L1659"/>
          <cell r="M1659"/>
          <cell r="N1659"/>
          <cell r="R1659"/>
        </row>
        <row r="1660">
          <cell r="C1660"/>
          <cell r="D1660"/>
          <cell r="E1660"/>
          <cell r="G1660"/>
          <cell r="K1660"/>
          <cell r="L1660"/>
          <cell r="M1660"/>
          <cell r="N1660"/>
          <cell r="R1660"/>
        </row>
        <row r="1661">
          <cell r="C1661"/>
          <cell r="D1661"/>
          <cell r="E1661"/>
          <cell r="G1661"/>
          <cell r="K1661"/>
          <cell r="L1661"/>
          <cell r="M1661"/>
          <cell r="N1661"/>
          <cell r="R1661"/>
        </row>
        <row r="1662">
          <cell r="C1662"/>
          <cell r="D1662"/>
          <cell r="E1662"/>
          <cell r="G1662"/>
          <cell r="K1662"/>
          <cell r="L1662"/>
          <cell r="M1662"/>
          <cell r="N1662"/>
          <cell r="R1662"/>
        </row>
        <row r="1663">
          <cell r="C1663"/>
          <cell r="D1663"/>
          <cell r="E1663"/>
          <cell r="G1663"/>
          <cell r="K1663"/>
          <cell r="L1663"/>
          <cell r="M1663"/>
          <cell r="N1663"/>
          <cell r="R1663"/>
        </row>
        <row r="1664">
          <cell r="C1664"/>
          <cell r="D1664"/>
          <cell r="E1664"/>
          <cell r="G1664"/>
          <cell r="K1664"/>
          <cell r="L1664"/>
          <cell r="M1664"/>
          <cell r="N1664"/>
          <cell r="R1664"/>
        </row>
        <row r="1665">
          <cell r="C1665"/>
          <cell r="D1665"/>
          <cell r="E1665"/>
          <cell r="G1665"/>
          <cell r="K1665"/>
          <cell r="L1665"/>
          <cell r="M1665"/>
          <cell r="N1665"/>
          <cell r="R1665"/>
        </row>
        <row r="1666">
          <cell r="C1666"/>
          <cell r="D1666"/>
          <cell r="E1666"/>
          <cell r="G1666"/>
          <cell r="K1666"/>
          <cell r="L1666"/>
          <cell r="M1666"/>
          <cell r="N1666"/>
          <cell r="R1666"/>
        </row>
        <row r="1667">
          <cell r="C1667"/>
          <cell r="D1667"/>
          <cell r="E1667"/>
          <cell r="G1667"/>
          <cell r="K1667"/>
          <cell r="L1667"/>
          <cell r="M1667"/>
          <cell r="N1667"/>
          <cell r="R1667"/>
        </row>
        <row r="1668">
          <cell r="C1668"/>
          <cell r="D1668"/>
          <cell r="E1668"/>
          <cell r="G1668"/>
          <cell r="K1668"/>
          <cell r="L1668"/>
          <cell r="M1668"/>
          <cell r="N1668"/>
          <cell r="R1668"/>
        </row>
        <row r="1669">
          <cell r="C1669"/>
          <cell r="D1669"/>
          <cell r="E1669"/>
          <cell r="G1669"/>
          <cell r="K1669"/>
          <cell r="L1669"/>
          <cell r="M1669"/>
          <cell r="N1669"/>
          <cell r="R1669"/>
        </row>
        <row r="1670">
          <cell r="C1670"/>
          <cell r="D1670"/>
          <cell r="E1670"/>
          <cell r="G1670"/>
          <cell r="K1670"/>
          <cell r="L1670"/>
          <cell r="M1670"/>
          <cell r="N1670"/>
          <cell r="R1670"/>
        </row>
        <row r="1671">
          <cell r="C1671"/>
          <cell r="D1671"/>
          <cell r="E1671"/>
          <cell r="G1671"/>
          <cell r="K1671"/>
          <cell r="L1671"/>
          <cell r="M1671"/>
          <cell r="N1671"/>
          <cell r="R1671"/>
        </row>
        <row r="1672">
          <cell r="C1672"/>
          <cell r="D1672"/>
          <cell r="E1672"/>
          <cell r="G1672"/>
          <cell r="K1672"/>
          <cell r="L1672"/>
          <cell r="M1672"/>
          <cell r="N1672"/>
          <cell r="R1672"/>
        </row>
        <row r="1673">
          <cell r="C1673"/>
          <cell r="D1673"/>
          <cell r="E1673"/>
          <cell r="G1673"/>
          <cell r="K1673"/>
          <cell r="L1673"/>
          <cell r="M1673"/>
          <cell r="N1673"/>
          <cell r="R1673"/>
        </row>
        <row r="1674">
          <cell r="C1674"/>
          <cell r="D1674"/>
          <cell r="E1674"/>
          <cell r="G1674"/>
          <cell r="K1674"/>
          <cell r="L1674"/>
          <cell r="M1674"/>
          <cell r="N1674"/>
          <cell r="R1674"/>
        </row>
        <row r="1675">
          <cell r="C1675"/>
          <cell r="D1675"/>
          <cell r="E1675"/>
          <cell r="G1675"/>
          <cell r="K1675"/>
          <cell r="L1675"/>
          <cell r="M1675"/>
          <cell r="N1675"/>
          <cell r="R1675"/>
        </row>
        <row r="1676">
          <cell r="C1676"/>
          <cell r="D1676"/>
          <cell r="E1676"/>
          <cell r="G1676"/>
          <cell r="K1676"/>
          <cell r="L1676"/>
          <cell r="M1676"/>
          <cell r="N1676"/>
          <cell r="R1676"/>
        </row>
        <row r="1677">
          <cell r="C1677"/>
          <cell r="D1677"/>
          <cell r="E1677"/>
          <cell r="G1677"/>
          <cell r="K1677"/>
          <cell r="L1677"/>
          <cell r="M1677"/>
          <cell r="N1677"/>
          <cell r="R1677"/>
        </row>
        <row r="1678">
          <cell r="C1678"/>
          <cell r="D1678"/>
          <cell r="E1678"/>
          <cell r="G1678"/>
          <cell r="K1678"/>
          <cell r="L1678"/>
          <cell r="M1678"/>
          <cell r="N1678"/>
          <cell r="R1678"/>
        </row>
        <row r="1679">
          <cell r="C1679"/>
          <cell r="D1679"/>
          <cell r="E1679"/>
          <cell r="G1679"/>
          <cell r="K1679"/>
          <cell r="L1679"/>
          <cell r="M1679"/>
          <cell r="N1679"/>
          <cell r="R1679"/>
        </row>
        <row r="1680">
          <cell r="C1680"/>
          <cell r="D1680"/>
          <cell r="E1680"/>
          <cell r="G1680"/>
          <cell r="K1680"/>
          <cell r="L1680"/>
          <cell r="M1680"/>
          <cell r="N1680"/>
          <cell r="R1680"/>
        </row>
        <row r="1681">
          <cell r="C1681"/>
          <cell r="D1681"/>
          <cell r="E1681"/>
          <cell r="G1681"/>
          <cell r="K1681"/>
          <cell r="L1681"/>
          <cell r="M1681"/>
          <cell r="N1681"/>
          <cell r="R1681"/>
        </row>
        <row r="1682">
          <cell r="C1682"/>
          <cell r="D1682"/>
          <cell r="E1682"/>
          <cell r="G1682"/>
          <cell r="K1682"/>
          <cell r="L1682"/>
          <cell r="M1682"/>
          <cell r="N1682"/>
          <cell r="R1682"/>
        </row>
        <row r="1683">
          <cell r="C1683"/>
          <cell r="D1683"/>
          <cell r="E1683"/>
          <cell r="G1683"/>
          <cell r="K1683"/>
          <cell r="L1683"/>
          <cell r="M1683"/>
          <cell r="N1683"/>
          <cell r="R1683"/>
        </row>
        <row r="1684">
          <cell r="C1684"/>
          <cell r="D1684"/>
          <cell r="E1684"/>
          <cell r="G1684"/>
          <cell r="K1684"/>
          <cell r="L1684"/>
          <cell r="M1684"/>
          <cell r="N1684"/>
          <cell r="R1684"/>
        </row>
        <row r="1685">
          <cell r="C1685"/>
          <cell r="D1685"/>
          <cell r="E1685"/>
          <cell r="G1685"/>
          <cell r="K1685"/>
          <cell r="L1685"/>
          <cell r="M1685"/>
          <cell r="N1685"/>
          <cell r="R1685"/>
        </row>
        <row r="1686">
          <cell r="C1686"/>
          <cell r="D1686"/>
          <cell r="E1686"/>
          <cell r="G1686"/>
          <cell r="K1686"/>
          <cell r="L1686"/>
          <cell r="M1686"/>
          <cell r="N1686"/>
          <cell r="R1686"/>
        </row>
        <row r="1687">
          <cell r="C1687"/>
          <cell r="D1687"/>
          <cell r="E1687"/>
          <cell r="G1687"/>
          <cell r="K1687"/>
          <cell r="L1687"/>
          <cell r="M1687"/>
          <cell r="N1687"/>
          <cell r="R1687"/>
        </row>
        <row r="1688">
          <cell r="C1688"/>
          <cell r="D1688"/>
          <cell r="E1688"/>
          <cell r="G1688"/>
          <cell r="K1688"/>
          <cell r="L1688"/>
          <cell r="M1688"/>
          <cell r="N1688"/>
          <cell r="R1688"/>
        </row>
        <row r="1689">
          <cell r="C1689"/>
          <cell r="D1689"/>
          <cell r="E1689"/>
          <cell r="G1689"/>
          <cell r="K1689"/>
          <cell r="L1689"/>
          <cell r="M1689"/>
          <cell r="N1689"/>
          <cell r="R1689"/>
        </row>
        <row r="1690">
          <cell r="C1690"/>
          <cell r="D1690"/>
          <cell r="E1690"/>
          <cell r="G1690"/>
          <cell r="K1690"/>
          <cell r="L1690"/>
          <cell r="M1690"/>
          <cell r="N1690"/>
          <cell r="R1690"/>
        </row>
        <row r="1691">
          <cell r="C1691"/>
          <cell r="D1691"/>
          <cell r="E1691"/>
          <cell r="G1691"/>
          <cell r="K1691"/>
          <cell r="L1691"/>
          <cell r="M1691"/>
          <cell r="N1691"/>
          <cell r="R1691"/>
        </row>
        <row r="1692">
          <cell r="C1692"/>
          <cell r="D1692"/>
          <cell r="E1692"/>
          <cell r="G1692"/>
          <cell r="K1692"/>
          <cell r="L1692"/>
          <cell r="M1692"/>
          <cell r="N1692"/>
          <cell r="R1692"/>
        </row>
        <row r="1693">
          <cell r="C1693"/>
          <cell r="D1693"/>
          <cell r="E1693"/>
          <cell r="G1693"/>
          <cell r="K1693"/>
          <cell r="L1693"/>
          <cell r="M1693"/>
          <cell r="N1693"/>
          <cell r="R1693"/>
        </row>
        <row r="1694">
          <cell r="C1694"/>
          <cell r="D1694"/>
          <cell r="E1694"/>
          <cell r="G1694"/>
          <cell r="K1694"/>
          <cell r="L1694"/>
          <cell r="M1694"/>
          <cell r="N1694"/>
          <cell r="R1694"/>
        </row>
        <row r="1695">
          <cell r="C1695"/>
          <cell r="D1695"/>
          <cell r="E1695"/>
          <cell r="G1695"/>
          <cell r="K1695"/>
          <cell r="L1695"/>
          <cell r="M1695"/>
          <cell r="N1695"/>
          <cell r="R1695"/>
        </row>
        <row r="1696">
          <cell r="C1696"/>
          <cell r="D1696"/>
          <cell r="E1696"/>
          <cell r="G1696"/>
          <cell r="K1696"/>
          <cell r="L1696"/>
          <cell r="M1696"/>
          <cell r="N1696"/>
          <cell r="R1696"/>
        </row>
        <row r="1697">
          <cell r="C1697"/>
          <cell r="D1697"/>
          <cell r="E1697"/>
          <cell r="G1697"/>
          <cell r="K1697"/>
          <cell r="L1697"/>
          <cell r="M1697"/>
          <cell r="N1697"/>
          <cell r="R1697"/>
        </row>
        <row r="1698">
          <cell r="C1698"/>
          <cell r="D1698"/>
          <cell r="E1698"/>
          <cell r="G1698"/>
          <cell r="K1698"/>
          <cell r="L1698"/>
          <cell r="M1698"/>
          <cell r="N1698"/>
          <cell r="R1698"/>
        </row>
        <row r="1699">
          <cell r="C1699"/>
          <cell r="D1699"/>
          <cell r="E1699"/>
          <cell r="G1699"/>
          <cell r="K1699"/>
          <cell r="L1699"/>
          <cell r="M1699"/>
          <cell r="N1699"/>
          <cell r="R1699"/>
        </row>
        <row r="1700">
          <cell r="C1700"/>
          <cell r="D1700"/>
          <cell r="E1700"/>
          <cell r="G1700"/>
          <cell r="K1700"/>
          <cell r="L1700"/>
          <cell r="M1700"/>
          <cell r="N1700"/>
          <cell r="R1700"/>
        </row>
        <row r="1701">
          <cell r="C1701"/>
          <cell r="D1701"/>
          <cell r="E1701"/>
          <cell r="G1701"/>
          <cell r="K1701"/>
          <cell r="L1701"/>
          <cell r="M1701"/>
          <cell r="N1701"/>
          <cell r="R1701"/>
        </row>
        <row r="1702">
          <cell r="C1702"/>
          <cell r="D1702"/>
          <cell r="E1702"/>
          <cell r="G1702"/>
          <cell r="K1702"/>
          <cell r="L1702"/>
          <cell r="M1702"/>
          <cell r="N1702"/>
          <cell r="R1702"/>
        </row>
        <row r="1703">
          <cell r="C1703"/>
          <cell r="D1703"/>
          <cell r="E1703"/>
          <cell r="G1703"/>
          <cell r="K1703"/>
          <cell r="L1703"/>
          <cell r="M1703"/>
          <cell r="N1703"/>
          <cell r="R1703"/>
        </row>
        <row r="1704">
          <cell r="C1704"/>
          <cell r="D1704"/>
          <cell r="E1704"/>
          <cell r="G1704"/>
          <cell r="K1704"/>
          <cell r="L1704"/>
          <cell r="M1704"/>
          <cell r="N1704"/>
          <cell r="R1704"/>
        </row>
        <row r="1705">
          <cell r="C1705"/>
          <cell r="D1705"/>
          <cell r="E1705"/>
          <cell r="G1705"/>
          <cell r="K1705"/>
          <cell r="L1705"/>
          <cell r="M1705"/>
          <cell r="N1705"/>
          <cell r="R1705"/>
        </row>
        <row r="1706">
          <cell r="C1706"/>
          <cell r="D1706"/>
          <cell r="E1706"/>
          <cell r="G1706"/>
          <cell r="K1706"/>
          <cell r="L1706"/>
          <cell r="M1706"/>
          <cell r="N1706"/>
          <cell r="R1706"/>
        </row>
        <row r="1707">
          <cell r="C1707"/>
          <cell r="D1707"/>
          <cell r="E1707"/>
          <cell r="G1707"/>
          <cell r="K1707"/>
          <cell r="L1707"/>
          <cell r="M1707"/>
          <cell r="N1707"/>
          <cell r="R1707"/>
        </row>
        <row r="1708">
          <cell r="C1708"/>
          <cell r="D1708"/>
          <cell r="E1708"/>
          <cell r="G1708"/>
          <cell r="K1708"/>
          <cell r="L1708"/>
          <cell r="M1708"/>
          <cell r="N1708"/>
          <cell r="R1708"/>
        </row>
        <row r="1709">
          <cell r="C1709"/>
          <cell r="D1709"/>
          <cell r="E1709"/>
          <cell r="G1709"/>
          <cell r="K1709"/>
          <cell r="L1709"/>
          <cell r="M1709"/>
          <cell r="N1709"/>
          <cell r="R1709"/>
        </row>
        <row r="1710">
          <cell r="C1710"/>
          <cell r="D1710"/>
          <cell r="E1710"/>
          <cell r="G1710"/>
          <cell r="K1710"/>
          <cell r="L1710"/>
          <cell r="M1710"/>
          <cell r="N1710"/>
          <cell r="R1710"/>
        </row>
        <row r="1711">
          <cell r="C1711"/>
          <cell r="D1711"/>
          <cell r="E1711"/>
          <cell r="G1711"/>
          <cell r="K1711"/>
          <cell r="L1711"/>
          <cell r="M1711"/>
          <cell r="N1711"/>
          <cell r="R1711"/>
        </row>
        <row r="1712">
          <cell r="C1712"/>
          <cell r="D1712"/>
          <cell r="E1712"/>
          <cell r="G1712"/>
          <cell r="K1712"/>
          <cell r="L1712"/>
          <cell r="M1712"/>
          <cell r="N1712"/>
          <cell r="R1712"/>
        </row>
        <row r="1713">
          <cell r="C1713"/>
          <cell r="D1713"/>
          <cell r="E1713"/>
          <cell r="G1713"/>
          <cell r="K1713"/>
          <cell r="L1713"/>
          <cell r="M1713"/>
          <cell r="N1713"/>
          <cell r="R1713"/>
        </row>
        <row r="1714">
          <cell r="C1714"/>
          <cell r="D1714"/>
          <cell r="E1714"/>
          <cell r="G1714"/>
          <cell r="K1714"/>
          <cell r="L1714"/>
          <cell r="M1714"/>
          <cell r="N1714"/>
          <cell r="R1714"/>
        </row>
        <row r="1715">
          <cell r="C1715"/>
          <cell r="D1715"/>
          <cell r="E1715"/>
          <cell r="G1715"/>
          <cell r="K1715"/>
          <cell r="L1715"/>
          <cell r="M1715"/>
          <cell r="N1715"/>
          <cell r="R1715"/>
        </row>
        <row r="1716">
          <cell r="C1716"/>
          <cell r="D1716"/>
          <cell r="E1716"/>
          <cell r="G1716"/>
          <cell r="K1716"/>
          <cell r="L1716"/>
          <cell r="M1716"/>
          <cell r="N1716"/>
          <cell r="R1716"/>
        </row>
        <row r="1717">
          <cell r="C1717"/>
          <cell r="D1717"/>
          <cell r="E1717"/>
          <cell r="G1717"/>
          <cell r="K1717"/>
          <cell r="L1717"/>
          <cell r="M1717"/>
          <cell r="N1717"/>
          <cell r="R1717"/>
        </row>
        <row r="1718">
          <cell r="C1718"/>
          <cell r="D1718"/>
          <cell r="E1718"/>
          <cell r="G1718"/>
          <cell r="K1718"/>
          <cell r="L1718"/>
          <cell r="M1718"/>
          <cell r="N1718"/>
          <cell r="R1718"/>
        </row>
        <row r="1719">
          <cell r="C1719"/>
          <cell r="D1719"/>
          <cell r="E1719"/>
          <cell r="G1719"/>
          <cell r="K1719"/>
          <cell r="L1719"/>
          <cell r="M1719"/>
          <cell r="N1719"/>
          <cell r="R1719"/>
        </row>
        <row r="1720">
          <cell r="C1720"/>
          <cell r="D1720"/>
          <cell r="E1720"/>
          <cell r="G1720"/>
          <cell r="K1720"/>
          <cell r="L1720"/>
          <cell r="M1720"/>
          <cell r="N1720"/>
          <cell r="R1720"/>
        </row>
        <row r="1721">
          <cell r="C1721"/>
          <cell r="D1721"/>
          <cell r="E1721"/>
          <cell r="G1721"/>
          <cell r="K1721"/>
          <cell r="L1721"/>
          <cell r="M1721"/>
          <cell r="N1721"/>
          <cell r="R1721"/>
        </row>
        <row r="1722">
          <cell r="C1722"/>
          <cell r="D1722"/>
          <cell r="E1722"/>
          <cell r="G1722"/>
          <cell r="K1722"/>
          <cell r="L1722"/>
          <cell r="M1722"/>
          <cell r="N1722"/>
          <cell r="R1722"/>
        </row>
        <row r="1723">
          <cell r="C1723"/>
          <cell r="D1723"/>
          <cell r="E1723"/>
          <cell r="G1723"/>
          <cell r="K1723"/>
          <cell r="L1723"/>
          <cell r="M1723"/>
          <cell r="N1723"/>
          <cell r="R1723"/>
        </row>
        <row r="1724">
          <cell r="C1724"/>
          <cell r="D1724"/>
          <cell r="E1724"/>
          <cell r="G1724"/>
          <cell r="K1724"/>
          <cell r="L1724"/>
          <cell r="M1724"/>
          <cell r="N1724"/>
          <cell r="R1724"/>
        </row>
        <row r="1725">
          <cell r="C1725"/>
          <cell r="D1725"/>
          <cell r="E1725"/>
          <cell r="G1725"/>
          <cell r="K1725"/>
          <cell r="L1725"/>
          <cell r="M1725"/>
          <cell r="N1725"/>
          <cell r="R1725"/>
        </row>
        <row r="1726">
          <cell r="C1726"/>
          <cell r="D1726"/>
          <cell r="E1726"/>
          <cell r="G1726"/>
          <cell r="K1726"/>
          <cell r="L1726"/>
          <cell r="M1726"/>
          <cell r="N1726"/>
          <cell r="R1726"/>
        </row>
        <row r="1727">
          <cell r="C1727"/>
          <cell r="D1727"/>
          <cell r="E1727"/>
          <cell r="G1727"/>
          <cell r="K1727"/>
          <cell r="L1727"/>
          <cell r="M1727"/>
          <cell r="N1727"/>
          <cell r="R1727"/>
        </row>
        <row r="1728">
          <cell r="C1728"/>
          <cell r="D1728"/>
          <cell r="E1728"/>
          <cell r="G1728"/>
          <cell r="K1728"/>
          <cell r="L1728"/>
          <cell r="M1728"/>
          <cell r="N1728"/>
          <cell r="R1728"/>
        </row>
        <row r="1729">
          <cell r="C1729"/>
          <cell r="D1729"/>
          <cell r="E1729"/>
          <cell r="G1729"/>
          <cell r="K1729"/>
          <cell r="L1729"/>
          <cell r="M1729"/>
          <cell r="N1729"/>
          <cell r="R1729"/>
        </row>
        <row r="1730">
          <cell r="C1730"/>
          <cell r="D1730"/>
          <cell r="E1730"/>
          <cell r="G1730"/>
          <cell r="K1730"/>
          <cell r="L1730"/>
          <cell r="M1730"/>
          <cell r="N1730"/>
          <cell r="R1730"/>
        </row>
        <row r="1731">
          <cell r="C1731"/>
          <cell r="D1731"/>
          <cell r="E1731"/>
          <cell r="G1731"/>
          <cell r="K1731"/>
          <cell r="L1731"/>
          <cell r="M1731"/>
          <cell r="N1731"/>
          <cell r="R1731"/>
        </row>
        <row r="1732">
          <cell r="C1732"/>
          <cell r="D1732"/>
          <cell r="E1732"/>
          <cell r="G1732"/>
          <cell r="K1732"/>
          <cell r="L1732"/>
          <cell r="M1732"/>
          <cell r="N1732"/>
          <cell r="R1732"/>
        </row>
        <row r="1733">
          <cell r="C1733"/>
          <cell r="D1733"/>
          <cell r="E1733"/>
          <cell r="G1733"/>
          <cell r="K1733"/>
          <cell r="L1733"/>
          <cell r="M1733"/>
          <cell r="N1733"/>
          <cell r="R1733"/>
        </row>
        <row r="1734">
          <cell r="C1734"/>
          <cell r="D1734"/>
          <cell r="E1734"/>
          <cell r="G1734"/>
          <cell r="K1734"/>
          <cell r="L1734"/>
          <cell r="M1734"/>
          <cell r="N1734"/>
          <cell r="R1734"/>
        </row>
        <row r="1735">
          <cell r="C1735"/>
          <cell r="D1735"/>
          <cell r="E1735"/>
          <cell r="G1735"/>
          <cell r="K1735"/>
          <cell r="L1735"/>
          <cell r="M1735"/>
          <cell r="N1735"/>
          <cell r="R1735"/>
        </row>
        <row r="1736">
          <cell r="C1736"/>
          <cell r="D1736"/>
          <cell r="E1736"/>
          <cell r="G1736"/>
          <cell r="K1736"/>
          <cell r="L1736"/>
          <cell r="M1736"/>
          <cell r="N1736"/>
          <cell r="R1736"/>
        </row>
        <row r="1737">
          <cell r="C1737"/>
          <cell r="D1737"/>
          <cell r="E1737"/>
          <cell r="G1737"/>
          <cell r="K1737"/>
          <cell r="L1737"/>
          <cell r="M1737"/>
          <cell r="N1737"/>
          <cell r="R1737"/>
        </row>
        <row r="1738">
          <cell r="C1738"/>
          <cell r="D1738"/>
          <cell r="E1738"/>
          <cell r="G1738"/>
          <cell r="K1738"/>
          <cell r="L1738"/>
          <cell r="M1738"/>
          <cell r="N1738"/>
          <cell r="R1738"/>
        </row>
        <row r="1739">
          <cell r="C1739"/>
          <cell r="D1739"/>
          <cell r="E1739"/>
          <cell r="G1739"/>
          <cell r="K1739"/>
          <cell r="L1739"/>
          <cell r="M1739"/>
          <cell r="N1739"/>
          <cell r="R1739"/>
        </row>
        <row r="1740">
          <cell r="C1740"/>
          <cell r="D1740"/>
          <cell r="E1740"/>
          <cell r="G1740"/>
          <cell r="K1740"/>
          <cell r="L1740"/>
          <cell r="M1740"/>
          <cell r="N1740"/>
          <cell r="R1740"/>
        </row>
        <row r="1741">
          <cell r="C1741"/>
          <cell r="D1741"/>
          <cell r="E1741"/>
          <cell r="G1741"/>
          <cell r="K1741"/>
          <cell r="L1741"/>
          <cell r="M1741"/>
          <cell r="N1741"/>
          <cell r="R1741"/>
        </row>
        <row r="1742">
          <cell r="C1742"/>
          <cell r="D1742"/>
          <cell r="E1742"/>
          <cell r="G1742"/>
          <cell r="K1742"/>
          <cell r="L1742"/>
          <cell r="M1742"/>
          <cell r="N1742"/>
          <cell r="R1742"/>
        </row>
        <row r="1743">
          <cell r="C1743"/>
          <cell r="D1743"/>
          <cell r="E1743"/>
          <cell r="G1743"/>
          <cell r="K1743"/>
          <cell r="L1743"/>
          <cell r="M1743"/>
          <cell r="N1743"/>
          <cell r="R1743"/>
        </row>
        <row r="1744">
          <cell r="C1744"/>
          <cell r="D1744"/>
          <cell r="E1744"/>
          <cell r="G1744"/>
          <cell r="K1744"/>
          <cell r="L1744"/>
          <cell r="M1744"/>
          <cell r="N1744"/>
          <cell r="R1744"/>
        </row>
        <row r="1745">
          <cell r="C1745"/>
          <cell r="D1745"/>
          <cell r="E1745"/>
          <cell r="G1745"/>
          <cell r="K1745"/>
          <cell r="L1745"/>
          <cell r="M1745"/>
          <cell r="N1745"/>
          <cell r="R1745"/>
        </row>
        <row r="1746">
          <cell r="C1746"/>
          <cell r="D1746"/>
          <cell r="E1746"/>
          <cell r="G1746"/>
          <cell r="K1746"/>
          <cell r="L1746"/>
          <cell r="M1746"/>
          <cell r="N1746"/>
          <cell r="R1746"/>
        </row>
        <row r="1747">
          <cell r="C1747"/>
          <cell r="D1747"/>
          <cell r="E1747"/>
          <cell r="G1747"/>
          <cell r="K1747"/>
          <cell r="L1747"/>
          <cell r="M1747"/>
          <cell r="N1747"/>
          <cell r="R1747"/>
        </row>
        <row r="1748">
          <cell r="C1748"/>
          <cell r="D1748"/>
          <cell r="E1748"/>
          <cell r="G1748"/>
          <cell r="K1748"/>
          <cell r="L1748"/>
          <cell r="M1748"/>
          <cell r="N1748"/>
          <cell r="R1748"/>
        </row>
        <row r="1749">
          <cell r="C1749"/>
          <cell r="D1749"/>
          <cell r="E1749"/>
          <cell r="G1749"/>
          <cell r="K1749"/>
          <cell r="L1749"/>
          <cell r="M1749"/>
          <cell r="N1749"/>
          <cell r="R1749"/>
        </row>
        <row r="1750">
          <cell r="C1750"/>
          <cell r="D1750"/>
          <cell r="E1750"/>
          <cell r="G1750"/>
          <cell r="K1750"/>
          <cell r="L1750"/>
          <cell r="M1750"/>
          <cell r="N1750"/>
          <cell r="R1750"/>
        </row>
        <row r="1751">
          <cell r="C1751"/>
          <cell r="D1751"/>
          <cell r="E1751"/>
          <cell r="G1751"/>
          <cell r="K1751"/>
          <cell r="L1751"/>
          <cell r="M1751"/>
          <cell r="N1751"/>
          <cell r="R1751"/>
        </row>
        <row r="1752">
          <cell r="C1752"/>
          <cell r="D1752"/>
          <cell r="E1752"/>
          <cell r="G1752"/>
          <cell r="K1752"/>
          <cell r="L1752"/>
          <cell r="M1752"/>
          <cell r="N1752"/>
          <cell r="R1752"/>
        </row>
        <row r="1753">
          <cell r="C1753"/>
          <cell r="D1753"/>
          <cell r="E1753"/>
          <cell r="G1753"/>
          <cell r="K1753"/>
          <cell r="L1753"/>
          <cell r="M1753"/>
          <cell r="N1753"/>
          <cell r="R1753"/>
        </row>
        <row r="1754">
          <cell r="C1754"/>
          <cell r="D1754"/>
          <cell r="E1754"/>
          <cell r="G1754"/>
          <cell r="K1754"/>
          <cell r="L1754"/>
          <cell r="M1754"/>
          <cell r="N1754"/>
          <cell r="R1754"/>
        </row>
        <row r="1755">
          <cell r="C1755"/>
          <cell r="D1755"/>
          <cell r="E1755"/>
          <cell r="G1755"/>
          <cell r="K1755"/>
          <cell r="L1755"/>
          <cell r="M1755"/>
          <cell r="N1755"/>
          <cell r="R1755"/>
        </row>
        <row r="1756">
          <cell r="C1756"/>
          <cell r="D1756"/>
          <cell r="E1756"/>
          <cell r="G1756"/>
          <cell r="K1756"/>
          <cell r="L1756"/>
          <cell r="M1756"/>
          <cell r="N1756"/>
          <cell r="R1756"/>
        </row>
        <row r="1757">
          <cell r="C1757"/>
          <cell r="D1757"/>
          <cell r="E1757"/>
          <cell r="G1757"/>
          <cell r="K1757"/>
          <cell r="L1757"/>
          <cell r="M1757"/>
          <cell r="N1757"/>
          <cell r="R1757"/>
        </row>
        <row r="1758">
          <cell r="C1758"/>
          <cell r="D1758"/>
          <cell r="E1758"/>
          <cell r="G1758"/>
          <cell r="K1758"/>
          <cell r="L1758"/>
          <cell r="M1758"/>
          <cell r="N1758"/>
          <cell r="R1758"/>
        </row>
        <row r="1759">
          <cell r="C1759"/>
          <cell r="D1759"/>
          <cell r="E1759"/>
          <cell r="G1759"/>
          <cell r="K1759"/>
          <cell r="L1759"/>
          <cell r="M1759"/>
          <cell r="N1759"/>
          <cell r="R1759"/>
        </row>
        <row r="1760">
          <cell r="C1760"/>
          <cell r="D1760"/>
          <cell r="E1760"/>
          <cell r="G1760"/>
          <cell r="K1760"/>
          <cell r="L1760"/>
          <cell r="M1760"/>
          <cell r="N1760"/>
          <cell r="R1760"/>
        </row>
        <row r="1761">
          <cell r="C1761"/>
          <cell r="D1761"/>
          <cell r="E1761"/>
          <cell r="G1761"/>
          <cell r="K1761"/>
          <cell r="L1761"/>
          <cell r="M1761"/>
          <cell r="N1761"/>
          <cell r="R1761"/>
        </row>
        <row r="1762">
          <cell r="C1762"/>
          <cell r="D1762"/>
          <cell r="E1762"/>
          <cell r="G1762"/>
          <cell r="K1762"/>
          <cell r="L1762"/>
          <cell r="M1762"/>
          <cell r="N1762"/>
          <cell r="R1762"/>
        </row>
        <row r="1763">
          <cell r="C1763"/>
          <cell r="D1763"/>
          <cell r="E1763"/>
          <cell r="G1763"/>
          <cell r="K1763"/>
          <cell r="L1763"/>
          <cell r="M1763"/>
          <cell r="N1763"/>
          <cell r="R1763"/>
        </row>
        <row r="1764">
          <cell r="C1764"/>
          <cell r="D1764"/>
          <cell r="E1764"/>
          <cell r="G1764"/>
          <cell r="K1764"/>
          <cell r="L1764"/>
          <cell r="M1764"/>
          <cell r="N1764"/>
          <cell r="R1764"/>
        </row>
        <row r="1765">
          <cell r="C1765"/>
          <cell r="D1765"/>
          <cell r="E1765"/>
          <cell r="G1765"/>
          <cell r="K1765"/>
          <cell r="L1765"/>
          <cell r="M1765"/>
          <cell r="N1765"/>
          <cell r="R1765"/>
        </row>
        <row r="1766">
          <cell r="C1766"/>
          <cell r="D1766"/>
          <cell r="E1766"/>
          <cell r="G1766"/>
          <cell r="K1766"/>
          <cell r="L1766"/>
          <cell r="M1766"/>
          <cell r="N1766"/>
          <cell r="R1766"/>
        </row>
        <row r="1767">
          <cell r="C1767"/>
          <cell r="D1767"/>
          <cell r="E1767"/>
          <cell r="G1767"/>
          <cell r="K1767"/>
          <cell r="L1767"/>
          <cell r="M1767"/>
          <cell r="N1767"/>
          <cell r="R1767"/>
        </row>
        <row r="1768">
          <cell r="C1768"/>
          <cell r="D1768"/>
          <cell r="E1768"/>
          <cell r="G1768"/>
          <cell r="K1768"/>
          <cell r="L1768"/>
          <cell r="M1768"/>
          <cell r="N1768"/>
          <cell r="R1768"/>
        </row>
        <row r="1769">
          <cell r="C1769"/>
          <cell r="D1769"/>
          <cell r="E1769"/>
          <cell r="G1769"/>
          <cell r="K1769"/>
          <cell r="L1769"/>
          <cell r="M1769"/>
          <cell r="N1769"/>
          <cell r="R1769"/>
        </row>
        <row r="1770">
          <cell r="C1770"/>
          <cell r="D1770"/>
          <cell r="E1770"/>
          <cell r="G1770"/>
          <cell r="K1770"/>
          <cell r="L1770"/>
          <cell r="M1770"/>
          <cell r="N1770"/>
          <cell r="R1770"/>
        </row>
        <row r="1771">
          <cell r="C1771"/>
          <cell r="D1771"/>
          <cell r="E1771"/>
          <cell r="G1771"/>
          <cell r="K1771"/>
          <cell r="L1771"/>
          <cell r="M1771"/>
          <cell r="N1771"/>
          <cell r="R1771"/>
        </row>
        <row r="1772">
          <cell r="C1772"/>
          <cell r="D1772"/>
          <cell r="E1772"/>
          <cell r="G1772"/>
          <cell r="K1772"/>
          <cell r="L1772"/>
          <cell r="M1772"/>
          <cell r="N1772"/>
          <cell r="R1772"/>
        </row>
        <row r="1773">
          <cell r="C1773"/>
          <cell r="D1773"/>
          <cell r="E1773"/>
          <cell r="G1773"/>
          <cell r="K1773"/>
          <cell r="L1773"/>
          <cell r="M1773"/>
          <cell r="N1773"/>
          <cell r="R1773"/>
        </row>
        <row r="1774">
          <cell r="C1774"/>
          <cell r="D1774"/>
          <cell r="E1774"/>
          <cell r="G1774"/>
          <cell r="K1774"/>
          <cell r="L1774"/>
          <cell r="M1774"/>
          <cell r="N1774"/>
          <cell r="R1774"/>
        </row>
        <row r="1775">
          <cell r="C1775"/>
          <cell r="D1775"/>
          <cell r="E1775"/>
          <cell r="G1775"/>
          <cell r="K1775"/>
          <cell r="L1775"/>
          <cell r="M1775"/>
          <cell r="N1775"/>
          <cell r="R1775"/>
        </row>
        <row r="1776">
          <cell r="C1776"/>
          <cell r="D1776"/>
          <cell r="E1776"/>
          <cell r="G1776"/>
          <cell r="K1776"/>
          <cell r="L1776"/>
          <cell r="M1776"/>
          <cell r="N1776"/>
          <cell r="R1776"/>
        </row>
        <row r="1777">
          <cell r="C1777"/>
          <cell r="D1777"/>
          <cell r="E1777"/>
          <cell r="G1777"/>
          <cell r="K1777"/>
          <cell r="L1777"/>
          <cell r="M1777"/>
          <cell r="N1777"/>
          <cell r="R1777"/>
        </row>
        <row r="1778">
          <cell r="C1778"/>
          <cell r="D1778"/>
          <cell r="E1778"/>
          <cell r="G1778"/>
          <cell r="K1778"/>
          <cell r="L1778"/>
          <cell r="M1778"/>
          <cell r="N1778"/>
          <cell r="R1778"/>
        </row>
        <row r="1779">
          <cell r="C1779"/>
          <cell r="D1779"/>
          <cell r="E1779"/>
          <cell r="G1779"/>
          <cell r="K1779"/>
          <cell r="L1779"/>
          <cell r="M1779"/>
          <cell r="N1779"/>
          <cell r="R1779"/>
        </row>
        <row r="1780">
          <cell r="C1780"/>
          <cell r="D1780"/>
          <cell r="E1780"/>
          <cell r="G1780"/>
          <cell r="K1780"/>
          <cell r="L1780"/>
          <cell r="M1780"/>
          <cell r="N1780"/>
          <cell r="R1780"/>
        </row>
        <row r="1781">
          <cell r="C1781"/>
          <cell r="D1781"/>
          <cell r="E1781"/>
          <cell r="G1781"/>
          <cell r="K1781"/>
          <cell r="L1781"/>
          <cell r="M1781"/>
          <cell r="N1781"/>
          <cell r="R1781"/>
        </row>
        <row r="1782">
          <cell r="C1782"/>
          <cell r="D1782"/>
          <cell r="E1782"/>
          <cell r="G1782"/>
          <cell r="K1782"/>
          <cell r="L1782"/>
          <cell r="M1782"/>
          <cell r="N1782"/>
          <cell r="R1782"/>
        </row>
        <row r="1783">
          <cell r="C1783"/>
          <cell r="D1783"/>
          <cell r="E1783"/>
          <cell r="G1783"/>
          <cell r="K1783"/>
          <cell r="L1783"/>
          <cell r="M1783"/>
          <cell r="N1783"/>
          <cell r="R1783"/>
        </row>
        <row r="1784">
          <cell r="C1784"/>
          <cell r="D1784"/>
          <cell r="E1784"/>
          <cell r="G1784"/>
          <cell r="K1784"/>
          <cell r="L1784"/>
          <cell r="M1784"/>
          <cell r="N1784"/>
          <cell r="R1784"/>
        </row>
        <row r="1785">
          <cell r="C1785"/>
          <cell r="D1785"/>
          <cell r="E1785"/>
          <cell r="G1785"/>
          <cell r="K1785"/>
          <cell r="L1785"/>
          <cell r="M1785"/>
          <cell r="N1785"/>
          <cell r="R1785"/>
        </row>
        <row r="1786">
          <cell r="C1786"/>
          <cell r="D1786"/>
          <cell r="E1786"/>
          <cell r="G1786"/>
          <cell r="K1786"/>
          <cell r="L1786"/>
          <cell r="M1786"/>
          <cell r="N1786"/>
          <cell r="R1786"/>
        </row>
        <row r="1787">
          <cell r="C1787"/>
          <cell r="D1787"/>
          <cell r="E1787"/>
          <cell r="G1787"/>
          <cell r="K1787"/>
          <cell r="L1787"/>
          <cell r="M1787"/>
          <cell r="N1787"/>
          <cell r="R1787"/>
        </row>
        <row r="1788">
          <cell r="C1788"/>
          <cell r="D1788"/>
          <cell r="E1788"/>
          <cell r="G1788"/>
          <cell r="K1788"/>
          <cell r="L1788"/>
          <cell r="M1788"/>
          <cell r="N1788"/>
          <cell r="R1788"/>
        </row>
        <row r="1789">
          <cell r="C1789"/>
          <cell r="D1789"/>
          <cell r="E1789"/>
          <cell r="G1789"/>
          <cell r="K1789"/>
          <cell r="L1789"/>
          <cell r="M1789"/>
          <cell r="N1789"/>
          <cell r="R1789"/>
        </row>
        <row r="1790">
          <cell r="C1790"/>
          <cell r="D1790"/>
          <cell r="E1790"/>
          <cell r="G1790"/>
          <cell r="K1790"/>
          <cell r="L1790"/>
          <cell r="M1790"/>
          <cell r="N1790"/>
          <cell r="R1790"/>
        </row>
        <row r="1791">
          <cell r="C1791"/>
          <cell r="D1791"/>
          <cell r="E1791"/>
          <cell r="G1791"/>
          <cell r="K1791"/>
          <cell r="L1791"/>
          <cell r="M1791"/>
          <cell r="N1791"/>
          <cell r="R1791"/>
        </row>
        <row r="1792">
          <cell r="C1792"/>
          <cell r="D1792"/>
          <cell r="E1792"/>
          <cell r="G1792"/>
          <cell r="K1792"/>
          <cell r="L1792"/>
          <cell r="M1792"/>
          <cell r="N1792"/>
          <cell r="R1792"/>
        </row>
        <row r="1793">
          <cell r="C1793"/>
          <cell r="D1793"/>
          <cell r="E1793"/>
          <cell r="G1793"/>
          <cell r="K1793"/>
          <cell r="L1793"/>
          <cell r="M1793"/>
          <cell r="N1793"/>
          <cell r="R1793"/>
        </row>
        <row r="1794">
          <cell r="C1794"/>
          <cell r="D1794"/>
          <cell r="E1794"/>
          <cell r="G1794"/>
          <cell r="K1794"/>
          <cell r="L1794"/>
          <cell r="M1794"/>
          <cell r="N1794"/>
          <cell r="R1794"/>
        </row>
        <row r="1795">
          <cell r="C1795"/>
          <cell r="D1795"/>
          <cell r="E1795"/>
          <cell r="G1795"/>
          <cell r="K1795"/>
          <cell r="L1795"/>
          <cell r="M1795"/>
          <cell r="N1795"/>
          <cell r="R1795"/>
        </row>
        <row r="1796">
          <cell r="C1796"/>
          <cell r="D1796"/>
          <cell r="E1796"/>
          <cell r="G1796"/>
          <cell r="K1796"/>
          <cell r="L1796"/>
          <cell r="M1796"/>
          <cell r="N1796"/>
          <cell r="R1796"/>
        </row>
        <row r="1797">
          <cell r="C1797"/>
          <cell r="D1797"/>
          <cell r="E1797"/>
          <cell r="G1797"/>
          <cell r="K1797"/>
          <cell r="L1797"/>
          <cell r="M1797"/>
          <cell r="N1797"/>
          <cell r="R1797"/>
        </row>
        <row r="1798">
          <cell r="C1798"/>
          <cell r="D1798"/>
          <cell r="E1798"/>
          <cell r="G1798"/>
          <cell r="K1798"/>
          <cell r="L1798"/>
          <cell r="M1798"/>
          <cell r="N1798"/>
          <cell r="R1798"/>
        </row>
        <row r="1799">
          <cell r="C1799"/>
          <cell r="D1799"/>
          <cell r="E1799"/>
          <cell r="G1799"/>
          <cell r="K1799"/>
          <cell r="L1799"/>
          <cell r="M1799"/>
          <cell r="N1799"/>
          <cell r="R1799"/>
        </row>
        <row r="1800">
          <cell r="C1800"/>
          <cell r="D1800"/>
          <cell r="E1800"/>
          <cell r="G1800"/>
          <cell r="K1800"/>
          <cell r="L1800"/>
          <cell r="M1800"/>
          <cell r="N1800"/>
          <cell r="R1800"/>
        </row>
        <row r="1801">
          <cell r="C1801"/>
          <cell r="D1801"/>
          <cell r="E1801"/>
          <cell r="G1801"/>
          <cell r="K1801"/>
          <cell r="L1801"/>
          <cell r="M1801"/>
          <cell r="N1801"/>
          <cell r="R1801"/>
        </row>
        <row r="1802">
          <cell r="C1802"/>
          <cell r="D1802"/>
          <cell r="E1802"/>
          <cell r="G1802"/>
          <cell r="K1802"/>
          <cell r="L1802"/>
          <cell r="M1802"/>
          <cell r="N1802"/>
          <cell r="R1802"/>
        </row>
        <row r="1803">
          <cell r="C1803"/>
          <cell r="D1803"/>
          <cell r="E1803"/>
          <cell r="G1803"/>
          <cell r="K1803"/>
          <cell r="L1803"/>
          <cell r="M1803"/>
          <cell r="N1803"/>
          <cell r="R1803"/>
        </row>
        <row r="1804">
          <cell r="C1804"/>
          <cell r="D1804"/>
          <cell r="E1804"/>
          <cell r="G1804"/>
          <cell r="K1804"/>
          <cell r="L1804"/>
          <cell r="M1804"/>
          <cell r="N1804"/>
          <cell r="R1804"/>
        </row>
        <row r="1805">
          <cell r="C1805"/>
          <cell r="D1805"/>
          <cell r="E1805"/>
          <cell r="G1805"/>
          <cell r="K1805"/>
          <cell r="L1805"/>
          <cell r="M1805"/>
          <cell r="N1805"/>
          <cell r="R1805"/>
        </row>
        <row r="1806">
          <cell r="C1806"/>
          <cell r="D1806"/>
          <cell r="E1806"/>
          <cell r="G1806"/>
          <cell r="K1806"/>
          <cell r="L1806"/>
          <cell r="M1806"/>
          <cell r="N1806"/>
          <cell r="R1806"/>
        </row>
        <row r="1807">
          <cell r="C1807"/>
          <cell r="D1807"/>
          <cell r="E1807"/>
          <cell r="G1807"/>
          <cell r="K1807"/>
          <cell r="L1807"/>
          <cell r="M1807"/>
          <cell r="N1807"/>
          <cell r="R1807"/>
        </row>
        <row r="1808">
          <cell r="C1808"/>
          <cell r="D1808"/>
          <cell r="E1808"/>
          <cell r="G1808"/>
          <cell r="K1808"/>
          <cell r="L1808"/>
          <cell r="M1808"/>
          <cell r="N1808"/>
          <cell r="R1808"/>
        </row>
        <row r="1809">
          <cell r="C1809"/>
          <cell r="D1809"/>
          <cell r="E1809"/>
          <cell r="G1809"/>
          <cell r="K1809"/>
          <cell r="L1809"/>
          <cell r="M1809"/>
          <cell r="N1809"/>
          <cell r="R1809"/>
        </row>
        <row r="1810">
          <cell r="C1810"/>
          <cell r="D1810"/>
          <cell r="E1810"/>
          <cell r="G1810"/>
          <cell r="K1810"/>
          <cell r="L1810"/>
          <cell r="M1810"/>
          <cell r="N1810"/>
          <cell r="R1810"/>
        </row>
        <row r="1811">
          <cell r="C1811"/>
          <cell r="D1811"/>
          <cell r="E1811"/>
          <cell r="G1811"/>
          <cell r="K1811"/>
          <cell r="L1811"/>
          <cell r="M1811"/>
          <cell r="N1811"/>
          <cell r="R1811"/>
        </row>
        <row r="1812">
          <cell r="C1812"/>
          <cell r="D1812"/>
          <cell r="E1812"/>
          <cell r="G1812"/>
          <cell r="K1812"/>
          <cell r="L1812"/>
          <cell r="M1812"/>
          <cell r="N1812"/>
          <cell r="R1812"/>
        </row>
        <row r="1813">
          <cell r="C1813"/>
          <cell r="D1813"/>
          <cell r="E1813"/>
          <cell r="G1813"/>
          <cell r="K1813"/>
          <cell r="L1813"/>
          <cell r="M1813"/>
          <cell r="N1813"/>
          <cell r="R1813"/>
        </row>
        <row r="1814">
          <cell r="C1814"/>
          <cell r="D1814"/>
          <cell r="E1814"/>
          <cell r="G1814"/>
          <cell r="K1814"/>
          <cell r="L1814"/>
          <cell r="M1814"/>
          <cell r="N1814"/>
          <cell r="R1814"/>
        </row>
        <row r="1815">
          <cell r="C1815"/>
          <cell r="D1815"/>
          <cell r="E1815"/>
          <cell r="G1815"/>
          <cell r="K1815"/>
          <cell r="L1815"/>
          <cell r="M1815"/>
          <cell r="N1815"/>
          <cell r="R1815"/>
        </row>
        <row r="1816">
          <cell r="C1816"/>
          <cell r="D1816"/>
          <cell r="E1816"/>
          <cell r="G1816"/>
          <cell r="K1816"/>
          <cell r="L1816"/>
          <cell r="M1816"/>
          <cell r="N1816"/>
          <cell r="R1816"/>
        </row>
        <row r="1817">
          <cell r="C1817"/>
          <cell r="D1817"/>
          <cell r="E1817"/>
          <cell r="G1817"/>
          <cell r="K1817"/>
          <cell r="L1817"/>
          <cell r="M1817"/>
          <cell r="N1817"/>
          <cell r="R1817"/>
        </row>
        <row r="1818">
          <cell r="C1818"/>
          <cell r="D1818"/>
          <cell r="E1818"/>
          <cell r="G1818"/>
          <cell r="K1818"/>
          <cell r="L1818"/>
          <cell r="M1818"/>
          <cell r="N1818"/>
          <cell r="R1818"/>
        </row>
        <row r="1819">
          <cell r="C1819"/>
          <cell r="D1819"/>
          <cell r="E1819"/>
          <cell r="G1819"/>
          <cell r="K1819"/>
          <cell r="L1819"/>
          <cell r="M1819"/>
          <cell r="N1819"/>
          <cell r="R1819"/>
        </row>
        <row r="1820">
          <cell r="C1820"/>
          <cell r="D1820"/>
          <cell r="E1820"/>
          <cell r="G1820"/>
          <cell r="K1820"/>
          <cell r="L1820"/>
          <cell r="M1820"/>
          <cell r="N1820"/>
          <cell r="R1820"/>
        </row>
        <row r="1821">
          <cell r="C1821"/>
          <cell r="D1821"/>
          <cell r="E1821"/>
          <cell r="G1821"/>
          <cell r="K1821"/>
          <cell r="L1821"/>
          <cell r="M1821"/>
          <cell r="N1821"/>
          <cell r="R1821"/>
        </row>
        <row r="1822">
          <cell r="C1822"/>
          <cell r="D1822"/>
          <cell r="E1822"/>
          <cell r="G1822"/>
          <cell r="K1822"/>
          <cell r="L1822"/>
          <cell r="M1822"/>
          <cell r="N1822"/>
          <cell r="R1822"/>
        </row>
        <row r="1823">
          <cell r="C1823"/>
          <cell r="D1823"/>
          <cell r="E1823"/>
          <cell r="G1823"/>
          <cell r="K1823"/>
          <cell r="L1823"/>
          <cell r="M1823"/>
          <cell r="N1823"/>
          <cell r="R1823"/>
        </row>
        <row r="1824">
          <cell r="C1824"/>
          <cell r="D1824"/>
          <cell r="E1824"/>
          <cell r="G1824"/>
          <cell r="K1824"/>
          <cell r="L1824"/>
          <cell r="M1824"/>
          <cell r="N1824"/>
          <cell r="R1824"/>
        </row>
        <row r="1825">
          <cell r="C1825"/>
          <cell r="D1825"/>
          <cell r="E1825"/>
          <cell r="G1825"/>
          <cell r="K1825"/>
          <cell r="L1825"/>
          <cell r="M1825"/>
          <cell r="N1825"/>
          <cell r="R1825"/>
        </row>
        <row r="1826">
          <cell r="C1826"/>
          <cell r="D1826"/>
          <cell r="E1826"/>
          <cell r="G1826"/>
          <cell r="K1826"/>
          <cell r="L1826"/>
          <cell r="M1826"/>
          <cell r="N1826"/>
          <cell r="R1826"/>
        </row>
        <row r="1827">
          <cell r="C1827"/>
          <cell r="D1827"/>
          <cell r="E1827"/>
          <cell r="G1827"/>
          <cell r="K1827"/>
          <cell r="L1827"/>
          <cell r="M1827"/>
          <cell r="N1827"/>
          <cell r="R1827"/>
        </row>
        <row r="1828">
          <cell r="C1828"/>
          <cell r="D1828"/>
          <cell r="E1828"/>
          <cell r="G1828"/>
          <cell r="K1828"/>
          <cell r="L1828"/>
          <cell r="M1828"/>
          <cell r="N1828"/>
          <cell r="R1828"/>
        </row>
        <row r="1829">
          <cell r="C1829"/>
          <cell r="D1829"/>
          <cell r="E1829"/>
          <cell r="G1829"/>
          <cell r="K1829"/>
          <cell r="L1829"/>
          <cell r="M1829"/>
          <cell r="N1829"/>
          <cell r="R1829"/>
        </row>
        <row r="1830">
          <cell r="C1830"/>
          <cell r="D1830"/>
          <cell r="E1830"/>
          <cell r="G1830"/>
          <cell r="K1830"/>
          <cell r="L1830"/>
          <cell r="M1830"/>
          <cell r="N1830"/>
          <cell r="R1830"/>
        </row>
        <row r="1831">
          <cell r="C1831"/>
          <cell r="D1831"/>
          <cell r="E1831"/>
          <cell r="G1831"/>
          <cell r="K1831"/>
          <cell r="L1831"/>
          <cell r="M1831"/>
          <cell r="N1831"/>
          <cell r="R1831"/>
        </row>
        <row r="1832">
          <cell r="C1832"/>
          <cell r="D1832"/>
          <cell r="E1832"/>
          <cell r="G1832"/>
          <cell r="K1832"/>
          <cell r="L1832"/>
          <cell r="M1832"/>
          <cell r="N1832"/>
          <cell r="R1832"/>
        </row>
        <row r="1833">
          <cell r="C1833"/>
          <cell r="D1833"/>
          <cell r="E1833"/>
          <cell r="G1833"/>
          <cell r="K1833"/>
          <cell r="L1833"/>
          <cell r="M1833"/>
          <cell r="N1833"/>
          <cell r="R1833"/>
        </row>
        <row r="1834">
          <cell r="C1834"/>
          <cell r="D1834"/>
          <cell r="E1834"/>
          <cell r="G1834"/>
          <cell r="K1834"/>
          <cell r="L1834"/>
          <cell r="M1834"/>
          <cell r="N1834"/>
          <cell r="R1834"/>
        </row>
        <row r="1835">
          <cell r="C1835"/>
          <cell r="D1835"/>
          <cell r="E1835"/>
          <cell r="G1835"/>
          <cell r="K1835"/>
          <cell r="L1835"/>
          <cell r="M1835"/>
          <cell r="N1835"/>
          <cell r="R1835"/>
        </row>
        <row r="1836">
          <cell r="C1836"/>
          <cell r="D1836"/>
          <cell r="E1836"/>
          <cell r="G1836"/>
          <cell r="K1836"/>
          <cell r="L1836"/>
          <cell r="M1836"/>
          <cell r="N1836"/>
          <cell r="R1836"/>
        </row>
        <row r="1837">
          <cell r="C1837"/>
          <cell r="D1837"/>
          <cell r="E1837"/>
          <cell r="G1837"/>
          <cell r="K1837"/>
          <cell r="L1837"/>
          <cell r="M1837"/>
          <cell r="N1837"/>
          <cell r="R1837"/>
        </row>
        <row r="1838">
          <cell r="C1838"/>
          <cell r="D1838"/>
          <cell r="E1838"/>
          <cell r="G1838"/>
          <cell r="K1838"/>
          <cell r="L1838"/>
          <cell r="M1838"/>
          <cell r="N1838"/>
          <cell r="R1838"/>
        </row>
        <row r="1839">
          <cell r="C1839"/>
          <cell r="D1839"/>
          <cell r="E1839"/>
          <cell r="G1839"/>
          <cell r="K1839"/>
          <cell r="L1839"/>
          <cell r="M1839"/>
          <cell r="N1839"/>
          <cell r="R1839"/>
        </row>
        <row r="1840">
          <cell r="C1840"/>
          <cell r="D1840"/>
          <cell r="E1840"/>
          <cell r="G1840"/>
          <cell r="K1840"/>
          <cell r="L1840"/>
          <cell r="M1840"/>
          <cell r="N1840"/>
          <cell r="R1840"/>
        </row>
        <row r="1841">
          <cell r="C1841"/>
          <cell r="D1841"/>
          <cell r="E1841"/>
          <cell r="G1841"/>
          <cell r="K1841"/>
          <cell r="L1841"/>
          <cell r="M1841"/>
          <cell r="N1841"/>
          <cell r="R1841"/>
        </row>
        <row r="1842">
          <cell r="C1842"/>
          <cell r="D1842"/>
          <cell r="E1842"/>
          <cell r="G1842"/>
          <cell r="K1842"/>
          <cell r="L1842"/>
          <cell r="M1842"/>
          <cell r="N1842"/>
          <cell r="R1842"/>
        </row>
        <row r="1843">
          <cell r="C1843"/>
          <cell r="D1843"/>
          <cell r="E1843"/>
          <cell r="G1843"/>
          <cell r="K1843"/>
          <cell r="L1843"/>
          <cell r="M1843"/>
          <cell r="N1843"/>
          <cell r="R1843"/>
        </row>
        <row r="1844">
          <cell r="C1844"/>
          <cell r="D1844"/>
          <cell r="E1844"/>
          <cell r="G1844"/>
          <cell r="K1844"/>
          <cell r="L1844"/>
          <cell r="M1844"/>
          <cell r="N1844"/>
          <cell r="R1844"/>
        </row>
        <row r="1845">
          <cell r="C1845"/>
          <cell r="D1845"/>
          <cell r="E1845"/>
          <cell r="G1845"/>
          <cell r="K1845"/>
          <cell r="L1845"/>
          <cell r="M1845"/>
          <cell r="N1845"/>
          <cell r="R1845"/>
        </row>
        <row r="1846">
          <cell r="C1846"/>
          <cell r="D1846"/>
          <cell r="E1846"/>
          <cell r="G1846"/>
          <cell r="K1846"/>
          <cell r="L1846"/>
          <cell r="M1846"/>
          <cell r="N1846"/>
          <cell r="R1846"/>
        </row>
        <row r="1847">
          <cell r="C1847"/>
          <cell r="D1847"/>
          <cell r="E1847"/>
          <cell r="G1847"/>
          <cell r="K1847"/>
          <cell r="L1847"/>
          <cell r="M1847"/>
          <cell r="N1847"/>
          <cell r="R1847"/>
        </row>
        <row r="1848">
          <cell r="C1848"/>
          <cell r="D1848"/>
          <cell r="E1848"/>
          <cell r="G1848"/>
          <cell r="K1848"/>
          <cell r="L1848"/>
          <cell r="M1848"/>
          <cell r="N1848"/>
          <cell r="R1848"/>
        </row>
        <row r="1849">
          <cell r="C1849"/>
          <cell r="D1849"/>
          <cell r="E1849"/>
          <cell r="G1849"/>
          <cell r="K1849"/>
          <cell r="L1849"/>
          <cell r="M1849"/>
          <cell r="N1849"/>
          <cell r="R1849"/>
        </row>
        <row r="1850">
          <cell r="C1850"/>
          <cell r="D1850"/>
          <cell r="E1850"/>
          <cell r="G1850"/>
          <cell r="K1850"/>
          <cell r="L1850"/>
          <cell r="M1850"/>
          <cell r="N1850"/>
          <cell r="R1850"/>
        </row>
        <row r="1851">
          <cell r="C1851"/>
          <cell r="D1851"/>
          <cell r="E1851"/>
          <cell r="G1851"/>
          <cell r="K1851"/>
          <cell r="L1851"/>
          <cell r="M1851"/>
          <cell r="N1851"/>
          <cell r="R1851"/>
        </row>
        <row r="1852">
          <cell r="C1852"/>
          <cell r="D1852"/>
          <cell r="E1852"/>
          <cell r="G1852"/>
          <cell r="K1852"/>
          <cell r="L1852"/>
          <cell r="M1852"/>
          <cell r="N1852"/>
          <cell r="R1852"/>
        </row>
        <row r="1853">
          <cell r="C1853"/>
          <cell r="D1853"/>
          <cell r="E1853"/>
          <cell r="G1853"/>
          <cell r="K1853"/>
          <cell r="L1853"/>
          <cell r="M1853"/>
          <cell r="N1853"/>
          <cell r="R1853"/>
        </row>
        <row r="1854">
          <cell r="C1854"/>
          <cell r="D1854"/>
          <cell r="E1854"/>
          <cell r="G1854"/>
          <cell r="K1854"/>
          <cell r="L1854"/>
          <cell r="M1854"/>
          <cell r="N1854"/>
          <cell r="R1854"/>
        </row>
        <row r="1855">
          <cell r="C1855"/>
          <cell r="D1855"/>
          <cell r="E1855"/>
          <cell r="G1855"/>
          <cell r="K1855"/>
          <cell r="L1855"/>
          <cell r="M1855"/>
          <cell r="N1855"/>
          <cell r="R1855"/>
        </row>
        <row r="1856">
          <cell r="C1856"/>
          <cell r="D1856"/>
          <cell r="E1856"/>
          <cell r="G1856"/>
          <cell r="K1856"/>
          <cell r="L1856"/>
          <cell r="M1856"/>
          <cell r="N1856"/>
          <cell r="R1856"/>
        </row>
        <row r="1857">
          <cell r="C1857"/>
          <cell r="D1857"/>
          <cell r="E1857"/>
          <cell r="G1857"/>
          <cell r="K1857"/>
          <cell r="L1857"/>
          <cell r="M1857"/>
          <cell r="N1857"/>
          <cell r="R1857"/>
        </row>
        <row r="1858">
          <cell r="C1858"/>
          <cell r="D1858"/>
          <cell r="E1858"/>
          <cell r="G1858"/>
          <cell r="K1858"/>
          <cell r="L1858"/>
          <cell r="M1858"/>
          <cell r="N1858"/>
          <cell r="R1858"/>
        </row>
        <row r="1859">
          <cell r="C1859"/>
          <cell r="D1859"/>
          <cell r="E1859"/>
          <cell r="G1859"/>
          <cell r="K1859"/>
          <cell r="L1859"/>
          <cell r="M1859"/>
          <cell r="N1859"/>
          <cell r="R1859"/>
        </row>
        <row r="1860">
          <cell r="C1860"/>
          <cell r="D1860"/>
          <cell r="E1860"/>
          <cell r="G1860"/>
          <cell r="K1860"/>
          <cell r="L1860"/>
          <cell r="M1860"/>
          <cell r="N1860"/>
          <cell r="R1860"/>
        </row>
        <row r="1861">
          <cell r="C1861"/>
          <cell r="D1861"/>
          <cell r="E1861"/>
          <cell r="G1861"/>
          <cell r="K1861"/>
          <cell r="L1861"/>
          <cell r="M1861"/>
          <cell r="N1861"/>
          <cell r="R1861"/>
        </row>
        <row r="1862">
          <cell r="C1862"/>
          <cell r="D1862"/>
          <cell r="E1862"/>
          <cell r="G1862"/>
          <cell r="K1862"/>
          <cell r="L1862"/>
          <cell r="M1862"/>
          <cell r="N1862"/>
          <cell r="R1862"/>
        </row>
        <row r="1863">
          <cell r="C1863"/>
          <cell r="D1863"/>
          <cell r="E1863"/>
          <cell r="G1863"/>
          <cell r="K1863"/>
          <cell r="L1863"/>
          <cell r="M1863"/>
          <cell r="N1863"/>
          <cell r="R1863"/>
        </row>
        <row r="1864">
          <cell r="C1864"/>
          <cell r="D1864"/>
          <cell r="E1864"/>
          <cell r="G1864"/>
          <cell r="K1864"/>
          <cell r="L1864"/>
          <cell r="M1864"/>
          <cell r="N1864"/>
          <cell r="R1864"/>
        </row>
        <row r="1865">
          <cell r="C1865"/>
          <cell r="D1865"/>
          <cell r="E1865"/>
          <cell r="G1865"/>
          <cell r="K1865"/>
          <cell r="L1865"/>
          <cell r="M1865"/>
          <cell r="N1865"/>
          <cell r="R1865"/>
        </row>
        <row r="1866">
          <cell r="C1866"/>
          <cell r="D1866"/>
          <cell r="E1866"/>
          <cell r="G1866"/>
          <cell r="K1866"/>
          <cell r="L1866"/>
          <cell r="M1866"/>
          <cell r="N1866"/>
          <cell r="R1866"/>
        </row>
        <row r="1867">
          <cell r="C1867"/>
          <cell r="D1867"/>
          <cell r="E1867"/>
          <cell r="G1867"/>
          <cell r="K1867"/>
          <cell r="L1867"/>
          <cell r="M1867"/>
          <cell r="N1867"/>
          <cell r="R1867"/>
        </row>
        <row r="1868">
          <cell r="C1868"/>
          <cell r="D1868"/>
          <cell r="E1868"/>
          <cell r="G1868"/>
          <cell r="K1868"/>
          <cell r="L1868"/>
          <cell r="M1868"/>
          <cell r="N1868"/>
          <cell r="R1868"/>
        </row>
        <row r="1869">
          <cell r="C1869"/>
          <cell r="D1869"/>
          <cell r="E1869"/>
          <cell r="G1869"/>
          <cell r="K1869"/>
          <cell r="L1869"/>
          <cell r="M1869"/>
          <cell r="N1869"/>
          <cell r="R1869"/>
        </row>
        <row r="1870">
          <cell r="C1870"/>
          <cell r="D1870"/>
          <cell r="E1870"/>
          <cell r="G1870"/>
          <cell r="K1870"/>
          <cell r="L1870"/>
          <cell r="M1870"/>
          <cell r="N1870"/>
          <cell r="R1870"/>
        </row>
        <row r="1871">
          <cell r="C1871"/>
          <cell r="D1871"/>
          <cell r="E1871"/>
          <cell r="G1871"/>
          <cell r="K1871"/>
          <cell r="L1871"/>
          <cell r="M1871"/>
          <cell r="N1871"/>
          <cell r="R1871"/>
        </row>
        <row r="1872">
          <cell r="C1872"/>
          <cell r="D1872"/>
          <cell r="E1872"/>
          <cell r="G1872"/>
          <cell r="K1872"/>
          <cell r="L1872"/>
          <cell r="M1872"/>
          <cell r="N1872"/>
          <cell r="R1872"/>
        </row>
        <row r="1873">
          <cell r="C1873"/>
          <cell r="D1873"/>
          <cell r="E1873"/>
          <cell r="G1873"/>
          <cell r="K1873"/>
          <cell r="L1873"/>
          <cell r="M1873"/>
          <cell r="N1873"/>
          <cell r="R1873"/>
        </row>
        <row r="1874">
          <cell r="C1874"/>
          <cell r="D1874"/>
          <cell r="E1874"/>
          <cell r="G1874"/>
          <cell r="K1874"/>
          <cell r="L1874"/>
          <cell r="M1874"/>
          <cell r="N1874"/>
          <cell r="R1874"/>
        </row>
        <row r="1875">
          <cell r="C1875"/>
          <cell r="D1875"/>
          <cell r="E1875"/>
          <cell r="G1875"/>
          <cell r="K1875"/>
          <cell r="L1875"/>
          <cell r="M1875"/>
          <cell r="N1875"/>
          <cell r="R1875"/>
        </row>
        <row r="1876">
          <cell r="C1876"/>
          <cell r="D1876"/>
          <cell r="E1876"/>
          <cell r="G1876"/>
          <cell r="K1876"/>
          <cell r="L1876"/>
          <cell r="M1876"/>
          <cell r="N1876"/>
          <cell r="R1876"/>
        </row>
        <row r="1877">
          <cell r="C1877"/>
          <cell r="D1877"/>
          <cell r="E1877"/>
          <cell r="G1877"/>
          <cell r="K1877"/>
          <cell r="L1877"/>
          <cell r="M1877"/>
          <cell r="N1877"/>
          <cell r="R1877"/>
        </row>
        <row r="1878">
          <cell r="C1878"/>
          <cell r="D1878"/>
          <cell r="E1878"/>
          <cell r="G1878"/>
          <cell r="K1878"/>
          <cell r="L1878"/>
          <cell r="M1878"/>
          <cell r="N1878"/>
          <cell r="R1878"/>
        </row>
        <row r="1879">
          <cell r="C1879"/>
          <cell r="D1879"/>
          <cell r="E1879"/>
          <cell r="G1879"/>
          <cell r="K1879"/>
          <cell r="L1879"/>
          <cell r="M1879"/>
          <cell r="N1879"/>
          <cell r="R1879"/>
        </row>
        <row r="1880">
          <cell r="C1880"/>
          <cell r="D1880"/>
          <cell r="E1880"/>
          <cell r="G1880"/>
          <cell r="K1880"/>
          <cell r="L1880"/>
          <cell r="M1880"/>
          <cell r="N1880"/>
          <cell r="R1880"/>
        </row>
        <row r="1881">
          <cell r="C1881"/>
          <cell r="D1881"/>
          <cell r="E1881"/>
          <cell r="G1881"/>
          <cell r="K1881"/>
          <cell r="L1881"/>
          <cell r="M1881"/>
          <cell r="N1881"/>
          <cell r="R1881"/>
        </row>
        <row r="1882">
          <cell r="C1882"/>
          <cell r="D1882"/>
          <cell r="E1882"/>
          <cell r="G1882"/>
          <cell r="K1882"/>
          <cell r="L1882"/>
          <cell r="M1882"/>
          <cell r="N1882"/>
          <cell r="R1882"/>
        </row>
        <row r="1883">
          <cell r="C1883"/>
          <cell r="D1883"/>
          <cell r="E1883"/>
          <cell r="G1883"/>
          <cell r="K1883"/>
          <cell r="L1883"/>
          <cell r="M1883"/>
          <cell r="N1883"/>
          <cell r="R1883"/>
        </row>
        <row r="1884">
          <cell r="C1884"/>
          <cell r="D1884"/>
          <cell r="E1884"/>
          <cell r="G1884"/>
          <cell r="K1884"/>
          <cell r="L1884"/>
          <cell r="M1884"/>
          <cell r="N1884"/>
          <cell r="R1884"/>
        </row>
        <row r="1885">
          <cell r="C1885"/>
          <cell r="D1885"/>
          <cell r="E1885"/>
          <cell r="G1885"/>
          <cell r="K1885"/>
          <cell r="L1885"/>
          <cell r="M1885"/>
          <cell r="N1885"/>
          <cell r="R1885"/>
        </row>
        <row r="1886">
          <cell r="C1886"/>
          <cell r="D1886"/>
          <cell r="E1886"/>
          <cell r="G1886"/>
          <cell r="K1886"/>
          <cell r="L1886"/>
          <cell r="M1886"/>
          <cell r="N1886"/>
          <cell r="R1886"/>
        </row>
        <row r="1887">
          <cell r="C1887"/>
          <cell r="D1887"/>
          <cell r="E1887"/>
          <cell r="G1887"/>
          <cell r="K1887"/>
          <cell r="L1887"/>
          <cell r="M1887"/>
          <cell r="N1887"/>
          <cell r="R1887"/>
        </row>
        <row r="1888">
          <cell r="C1888"/>
          <cell r="D1888"/>
          <cell r="E1888"/>
          <cell r="G1888"/>
          <cell r="K1888"/>
          <cell r="L1888"/>
          <cell r="M1888"/>
          <cell r="N1888"/>
          <cell r="R1888"/>
        </row>
        <row r="1889">
          <cell r="C1889"/>
          <cell r="D1889"/>
          <cell r="E1889"/>
          <cell r="G1889"/>
          <cell r="K1889"/>
          <cell r="L1889"/>
          <cell r="M1889"/>
          <cell r="N1889"/>
          <cell r="R1889"/>
        </row>
        <row r="1890">
          <cell r="C1890"/>
          <cell r="D1890"/>
          <cell r="E1890"/>
          <cell r="G1890"/>
          <cell r="K1890"/>
          <cell r="L1890"/>
          <cell r="M1890"/>
          <cell r="N1890"/>
          <cell r="R1890"/>
        </row>
        <row r="1891">
          <cell r="C1891"/>
          <cell r="D1891"/>
          <cell r="E1891"/>
          <cell r="G1891"/>
          <cell r="K1891"/>
          <cell r="L1891"/>
          <cell r="M1891"/>
          <cell r="N1891"/>
          <cell r="R1891"/>
        </row>
        <row r="1892">
          <cell r="C1892"/>
          <cell r="D1892"/>
          <cell r="E1892"/>
          <cell r="G1892"/>
          <cell r="K1892"/>
          <cell r="L1892"/>
          <cell r="M1892"/>
          <cell r="N1892"/>
          <cell r="R1892"/>
        </row>
        <row r="1893">
          <cell r="C1893"/>
          <cell r="D1893"/>
          <cell r="E1893"/>
          <cell r="G1893"/>
          <cell r="K1893"/>
          <cell r="L1893"/>
          <cell r="M1893"/>
          <cell r="N1893"/>
          <cell r="R1893"/>
        </row>
        <row r="1894">
          <cell r="C1894"/>
          <cell r="D1894"/>
          <cell r="E1894"/>
          <cell r="G1894"/>
          <cell r="K1894"/>
          <cell r="L1894"/>
          <cell r="M1894"/>
          <cell r="N1894"/>
          <cell r="R1894"/>
        </row>
        <row r="1895">
          <cell r="C1895"/>
          <cell r="D1895"/>
          <cell r="E1895"/>
          <cell r="G1895"/>
          <cell r="K1895"/>
          <cell r="L1895"/>
          <cell r="M1895"/>
          <cell r="N1895"/>
          <cell r="R1895"/>
        </row>
        <row r="1896">
          <cell r="C1896"/>
          <cell r="D1896"/>
          <cell r="E1896"/>
          <cell r="G1896"/>
          <cell r="K1896"/>
          <cell r="L1896"/>
          <cell r="M1896"/>
          <cell r="N1896"/>
          <cell r="R1896"/>
        </row>
        <row r="1897">
          <cell r="C1897"/>
          <cell r="D1897"/>
          <cell r="E1897"/>
          <cell r="G1897"/>
          <cell r="K1897"/>
          <cell r="L1897"/>
          <cell r="M1897"/>
          <cell r="N1897"/>
          <cell r="R1897"/>
        </row>
        <row r="1898">
          <cell r="C1898"/>
          <cell r="D1898"/>
          <cell r="E1898"/>
          <cell r="G1898"/>
          <cell r="K1898"/>
          <cell r="L1898"/>
          <cell r="M1898"/>
          <cell r="N1898"/>
          <cell r="R1898"/>
        </row>
        <row r="1899">
          <cell r="C1899"/>
          <cell r="D1899"/>
          <cell r="E1899"/>
          <cell r="G1899"/>
          <cell r="K1899"/>
          <cell r="L1899"/>
          <cell r="M1899"/>
          <cell r="N1899"/>
          <cell r="R1899"/>
        </row>
        <row r="1900">
          <cell r="C1900"/>
          <cell r="D1900"/>
          <cell r="E1900"/>
          <cell r="G1900"/>
          <cell r="K1900"/>
          <cell r="L1900"/>
          <cell r="M1900"/>
          <cell r="N1900"/>
          <cell r="R1900"/>
        </row>
        <row r="1901">
          <cell r="C1901"/>
          <cell r="D1901"/>
          <cell r="E1901"/>
          <cell r="G1901"/>
          <cell r="K1901"/>
          <cell r="L1901"/>
          <cell r="M1901"/>
          <cell r="N1901"/>
          <cell r="R1901"/>
        </row>
        <row r="1902">
          <cell r="C1902"/>
          <cell r="D1902"/>
          <cell r="E1902"/>
          <cell r="G1902"/>
          <cell r="K1902"/>
          <cell r="L1902"/>
          <cell r="M1902"/>
          <cell r="N1902"/>
          <cell r="R1902"/>
        </row>
        <row r="1903">
          <cell r="C1903"/>
          <cell r="D1903"/>
          <cell r="E1903"/>
          <cell r="G1903"/>
          <cell r="K1903"/>
          <cell r="L1903"/>
          <cell r="M1903"/>
          <cell r="N1903"/>
          <cell r="R1903"/>
        </row>
        <row r="1904">
          <cell r="C1904"/>
          <cell r="D1904"/>
          <cell r="E1904"/>
          <cell r="G1904"/>
          <cell r="K1904"/>
          <cell r="L1904"/>
          <cell r="M1904"/>
          <cell r="N1904"/>
          <cell r="R1904"/>
        </row>
        <row r="1905">
          <cell r="C1905"/>
          <cell r="D1905"/>
          <cell r="E1905"/>
          <cell r="G1905"/>
          <cell r="K1905"/>
          <cell r="L1905"/>
          <cell r="M1905"/>
          <cell r="N1905"/>
          <cell r="R1905"/>
        </row>
        <row r="1906">
          <cell r="C1906"/>
          <cell r="D1906"/>
          <cell r="E1906"/>
          <cell r="G1906"/>
          <cell r="K1906"/>
          <cell r="L1906"/>
          <cell r="M1906"/>
          <cell r="N1906"/>
          <cell r="R1906"/>
        </row>
        <row r="1907">
          <cell r="C1907"/>
          <cell r="D1907"/>
          <cell r="E1907"/>
          <cell r="G1907"/>
          <cell r="K1907"/>
          <cell r="L1907"/>
          <cell r="M1907"/>
          <cell r="N1907"/>
          <cell r="R1907"/>
        </row>
        <row r="1908">
          <cell r="C1908"/>
          <cell r="D1908"/>
          <cell r="E1908"/>
          <cell r="G1908"/>
          <cell r="K1908"/>
          <cell r="L1908"/>
          <cell r="M1908"/>
          <cell r="N1908"/>
          <cell r="R1908"/>
        </row>
        <row r="1909">
          <cell r="C1909"/>
          <cell r="D1909"/>
          <cell r="E1909"/>
          <cell r="G1909"/>
          <cell r="K1909"/>
          <cell r="L1909"/>
          <cell r="M1909"/>
          <cell r="N1909"/>
          <cell r="R1909"/>
        </row>
        <row r="1910">
          <cell r="C1910"/>
          <cell r="D1910"/>
          <cell r="E1910"/>
          <cell r="G1910"/>
          <cell r="K1910"/>
          <cell r="L1910"/>
          <cell r="M1910"/>
          <cell r="N1910"/>
          <cell r="R1910"/>
        </row>
        <row r="1911">
          <cell r="C1911"/>
          <cell r="D1911"/>
          <cell r="E1911"/>
          <cell r="G1911"/>
          <cell r="K1911"/>
          <cell r="L1911"/>
          <cell r="M1911"/>
          <cell r="N1911"/>
          <cell r="R1911"/>
        </row>
        <row r="1912">
          <cell r="C1912"/>
          <cell r="D1912"/>
          <cell r="E1912"/>
          <cell r="G1912"/>
          <cell r="K1912"/>
          <cell r="L1912"/>
          <cell r="M1912"/>
          <cell r="N1912"/>
          <cell r="R1912"/>
        </row>
        <row r="1913">
          <cell r="C1913"/>
          <cell r="D1913"/>
          <cell r="E1913"/>
          <cell r="G1913"/>
          <cell r="K1913"/>
          <cell r="L1913"/>
          <cell r="M1913"/>
          <cell r="N1913"/>
          <cell r="R1913"/>
        </row>
        <row r="1914">
          <cell r="C1914"/>
          <cell r="D1914"/>
          <cell r="E1914"/>
          <cell r="G1914"/>
          <cell r="K1914"/>
          <cell r="L1914"/>
          <cell r="M1914"/>
          <cell r="N1914"/>
          <cell r="R1914"/>
        </row>
        <row r="1915">
          <cell r="C1915"/>
          <cell r="D1915"/>
          <cell r="E1915"/>
          <cell r="G1915"/>
          <cell r="K1915"/>
          <cell r="L1915"/>
          <cell r="M1915"/>
          <cell r="N1915"/>
          <cell r="R1915"/>
        </row>
        <row r="1916">
          <cell r="C1916"/>
          <cell r="D1916"/>
          <cell r="E1916"/>
          <cell r="G1916"/>
          <cell r="K1916"/>
          <cell r="L1916"/>
          <cell r="M1916"/>
          <cell r="N1916"/>
          <cell r="R1916"/>
        </row>
        <row r="1917">
          <cell r="C1917"/>
          <cell r="D1917"/>
          <cell r="E1917"/>
          <cell r="G1917"/>
          <cell r="K1917"/>
          <cell r="L1917"/>
          <cell r="M1917"/>
          <cell r="N1917"/>
          <cell r="R1917"/>
        </row>
        <row r="1918">
          <cell r="C1918"/>
          <cell r="D1918"/>
          <cell r="E1918"/>
          <cell r="G1918"/>
          <cell r="K1918"/>
          <cell r="L1918"/>
          <cell r="M1918"/>
          <cell r="N1918"/>
          <cell r="R1918"/>
        </row>
        <row r="1919">
          <cell r="C1919"/>
          <cell r="D1919"/>
          <cell r="E1919"/>
          <cell r="G1919"/>
          <cell r="K1919"/>
          <cell r="L1919"/>
          <cell r="M1919"/>
          <cell r="N1919"/>
          <cell r="R1919"/>
        </row>
        <row r="1920">
          <cell r="C1920"/>
          <cell r="D1920"/>
          <cell r="E1920"/>
          <cell r="G1920"/>
          <cell r="K1920"/>
          <cell r="L1920"/>
          <cell r="M1920"/>
          <cell r="N1920"/>
          <cell r="R1920"/>
        </row>
        <row r="1921">
          <cell r="C1921"/>
          <cell r="D1921"/>
          <cell r="E1921"/>
          <cell r="G1921"/>
          <cell r="K1921"/>
          <cell r="L1921"/>
          <cell r="M1921"/>
          <cell r="N1921"/>
          <cell r="R1921"/>
        </row>
        <row r="1922">
          <cell r="C1922"/>
          <cell r="D1922"/>
          <cell r="E1922"/>
          <cell r="G1922"/>
          <cell r="K1922"/>
          <cell r="L1922"/>
          <cell r="M1922"/>
          <cell r="N1922"/>
          <cell r="R1922"/>
        </row>
        <row r="1923">
          <cell r="C1923"/>
          <cell r="D1923"/>
          <cell r="E1923"/>
          <cell r="G1923"/>
          <cell r="K1923"/>
          <cell r="L1923"/>
          <cell r="M1923"/>
          <cell r="N1923"/>
          <cell r="R1923"/>
        </row>
        <row r="1924">
          <cell r="C1924"/>
          <cell r="D1924"/>
          <cell r="E1924"/>
          <cell r="G1924"/>
          <cell r="K1924"/>
          <cell r="L1924"/>
          <cell r="M1924"/>
          <cell r="N1924"/>
          <cell r="R1924"/>
        </row>
        <row r="1925">
          <cell r="C1925"/>
          <cell r="D1925"/>
          <cell r="E1925"/>
          <cell r="G1925"/>
          <cell r="K1925"/>
          <cell r="L1925"/>
          <cell r="M1925"/>
          <cell r="N1925"/>
          <cell r="R1925"/>
        </row>
        <row r="1926">
          <cell r="C1926"/>
          <cell r="D1926"/>
          <cell r="E1926"/>
          <cell r="G1926"/>
          <cell r="K1926"/>
          <cell r="L1926"/>
          <cell r="M1926"/>
          <cell r="N1926"/>
          <cell r="R1926"/>
        </row>
        <row r="1927">
          <cell r="C1927"/>
          <cell r="D1927"/>
          <cell r="E1927"/>
          <cell r="G1927"/>
          <cell r="K1927"/>
          <cell r="L1927"/>
          <cell r="M1927"/>
          <cell r="N1927"/>
          <cell r="R1927"/>
        </row>
        <row r="1928">
          <cell r="C1928"/>
          <cell r="D1928"/>
          <cell r="E1928"/>
          <cell r="G1928"/>
          <cell r="K1928"/>
          <cell r="L1928"/>
          <cell r="M1928"/>
          <cell r="N1928"/>
          <cell r="R1928"/>
        </row>
        <row r="1929">
          <cell r="C1929"/>
          <cell r="D1929"/>
          <cell r="E1929"/>
          <cell r="G1929"/>
          <cell r="K1929"/>
          <cell r="L1929"/>
          <cell r="M1929"/>
          <cell r="N1929"/>
          <cell r="R1929"/>
        </row>
        <row r="1930">
          <cell r="C1930"/>
          <cell r="D1930"/>
          <cell r="E1930"/>
          <cell r="G1930"/>
          <cell r="K1930"/>
          <cell r="L1930"/>
          <cell r="M1930"/>
          <cell r="N1930"/>
          <cell r="R1930"/>
        </row>
        <row r="1931">
          <cell r="C1931"/>
          <cell r="D1931"/>
          <cell r="E1931"/>
          <cell r="G1931"/>
          <cell r="K1931"/>
          <cell r="L1931"/>
          <cell r="M1931"/>
          <cell r="N1931"/>
          <cell r="R1931"/>
        </row>
        <row r="1932">
          <cell r="C1932"/>
          <cell r="D1932"/>
          <cell r="E1932"/>
          <cell r="G1932"/>
          <cell r="K1932"/>
          <cell r="L1932"/>
          <cell r="M1932"/>
          <cell r="N1932"/>
          <cell r="R1932"/>
        </row>
        <row r="1933">
          <cell r="C1933"/>
          <cell r="D1933"/>
          <cell r="E1933"/>
          <cell r="G1933"/>
          <cell r="K1933"/>
          <cell r="L1933"/>
          <cell r="M1933"/>
          <cell r="N1933"/>
          <cell r="R1933"/>
        </row>
        <row r="1934">
          <cell r="C1934"/>
          <cell r="D1934"/>
          <cell r="E1934"/>
          <cell r="G1934"/>
          <cell r="K1934"/>
          <cell r="L1934"/>
          <cell r="M1934"/>
          <cell r="N1934"/>
          <cell r="R1934"/>
        </row>
        <row r="1935">
          <cell r="C1935"/>
          <cell r="D1935"/>
          <cell r="E1935"/>
          <cell r="G1935"/>
          <cell r="K1935"/>
          <cell r="L1935"/>
          <cell r="M1935"/>
          <cell r="N1935"/>
          <cell r="R1935"/>
        </row>
        <row r="1936">
          <cell r="C1936"/>
          <cell r="D1936"/>
          <cell r="E1936"/>
          <cell r="G1936"/>
          <cell r="K1936"/>
          <cell r="L1936"/>
          <cell r="M1936"/>
          <cell r="N1936"/>
          <cell r="R1936"/>
        </row>
        <row r="1937">
          <cell r="C1937"/>
          <cell r="D1937"/>
          <cell r="E1937"/>
          <cell r="G1937"/>
          <cell r="K1937"/>
          <cell r="L1937"/>
          <cell r="M1937"/>
          <cell r="N1937"/>
          <cell r="R1937"/>
        </row>
        <row r="1938">
          <cell r="C1938"/>
          <cell r="D1938"/>
          <cell r="E1938"/>
          <cell r="G1938"/>
          <cell r="K1938"/>
          <cell r="L1938"/>
          <cell r="M1938"/>
          <cell r="N1938"/>
          <cell r="R1938"/>
        </row>
        <row r="1939">
          <cell r="C1939"/>
          <cell r="D1939"/>
          <cell r="E1939"/>
          <cell r="G1939"/>
          <cell r="K1939"/>
          <cell r="L1939"/>
          <cell r="M1939"/>
          <cell r="N1939"/>
          <cell r="R1939"/>
        </row>
        <row r="1940">
          <cell r="C1940"/>
          <cell r="D1940"/>
          <cell r="E1940"/>
          <cell r="G1940"/>
          <cell r="K1940"/>
          <cell r="L1940"/>
          <cell r="M1940"/>
          <cell r="N1940"/>
          <cell r="R1940"/>
        </row>
        <row r="1941">
          <cell r="C1941"/>
          <cell r="D1941"/>
          <cell r="E1941"/>
          <cell r="G1941"/>
          <cell r="K1941"/>
          <cell r="L1941"/>
          <cell r="M1941"/>
          <cell r="N1941"/>
          <cell r="R1941"/>
        </row>
        <row r="1942">
          <cell r="C1942"/>
          <cell r="D1942"/>
          <cell r="E1942"/>
          <cell r="G1942"/>
          <cell r="K1942"/>
          <cell r="L1942"/>
          <cell r="M1942"/>
          <cell r="N1942"/>
          <cell r="R1942"/>
        </row>
        <row r="1943">
          <cell r="C1943"/>
          <cell r="D1943"/>
          <cell r="E1943"/>
          <cell r="G1943"/>
          <cell r="K1943"/>
          <cell r="L1943"/>
          <cell r="M1943"/>
          <cell r="N1943"/>
          <cell r="R1943"/>
        </row>
        <row r="1944">
          <cell r="C1944"/>
          <cell r="D1944"/>
          <cell r="E1944"/>
          <cell r="G1944"/>
          <cell r="K1944"/>
          <cell r="L1944"/>
          <cell r="M1944"/>
          <cell r="N1944"/>
          <cell r="R1944"/>
        </row>
        <row r="1945">
          <cell r="C1945"/>
          <cell r="D1945"/>
          <cell r="E1945"/>
          <cell r="G1945"/>
          <cell r="K1945"/>
          <cell r="L1945"/>
          <cell r="M1945"/>
          <cell r="N1945"/>
          <cell r="R1945"/>
        </row>
        <row r="1946">
          <cell r="C1946"/>
          <cell r="D1946"/>
          <cell r="E1946"/>
          <cell r="G1946"/>
          <cell r="K1946"/>
          <cell r="L1946"/>
          <cell r="M1946"/>
          <cell r="N1946"/>
          <cell r="R1946"/>
        </row>
        <row r="1947">
          <cell r="C1947"/>
          <cell r="D1947"/>
          <cell r="E1947"/>
          <cell r="G1947"/>
          <cell r="K1947"/>
          <cell r="L1947"/>
          <cell r="M1947"/>
          <cell r="N1947"/>
          <cell r="R1947"/>
        </row>
        <row r="1948">
          <cell r="C1948"/>
          <cell r="D1948"/>
          <cell r="E1948"/>
          <cell r="G1948"/>
          <cell r="K1948"/>
          <cell r="L1948"/>
          <cell r="M1948"/>
          <cell r="N1948"/>
          <cell r="R1948"/>
        </row>
        <row r="1949">
          <cell r="C1949"/>
          <cell r="D1949"/>
          <cell r="E1949"/>
          <cell r="G1949"/>
          <cell r="K1949"/>
          <cell r="L1949"/>
          <cell r="M1949"/>
          <cell r="N1949"/>
          <cell r="R1949"/>
        </row>
        <row r="1950">
          <cell r="C1950"/>
          <cell r="D1950"/>
          <cell r="E1950"/>
          <cell r="G1950"/>
          <cell r="K1950"/>
          <cell r="L1950"/>
          <cell r="M1950"/>
          <cell r="N1950"/>
          <cell r="R1950"/>
        </row>
        <row r="1951">
          <cell r="C1951"/>
          <cell r="D1951"/>
          <cell r="E1951"/>
          <cell r="G1951"/>
          <cell r="K1951"/>
          <cell r="L1951"/>
          <cell r="M1951"/>
          <cell r="N1951"/>
          <cell r="R1951"/>
        </row>
        <row r="1952">
          <cell r="C1952"/>
          <cell r="D1952"/>
          <cell r="E1952"/>
          <cell r="G1952"/>
          <cell r="K1952"/>
          <cell r="L1952"/>
          <cell r="M1952"/>
          <cell r="N1952"/>
          <cell r="R1952"/>
        </row>
        <row r="1953">
          <cell r="C1953"/>
          <cell r="D1953"/>
          <cell r="E1953"/>
          <cell r="G1953"/>
          <cell r="K1953"/>
          <cell r="L1953"/>
          <cell r="M1953"/>
          <cell r="N1953"/>
          <cell r="R1953"/>
        </row>
        <row r="1954">
          <cell r="C1954"/>
          <cell r="D1954"/>
          <cell r="E1954"/>
          <cell r="G1954"/>
          <cell r="K1954"/>
          <cell r="L1954"/>
          <cell r="M1954"/>
          <cell r="N1954"/>
          <cell r="R1954"/>
        </row>
        <row r="1955">
          <cell r="C1955"/>
          <cell r="D1955"/>
          <cell r="E1955"/>
          <cell r="G1955"/>
          <cell r="K1955"/>
          <cell r="L1955"/>
          <cell r="M1955"/>
          <cell r="N1955"/>
          <cell r="R1955"/>
        </row>
        <row r="1956">
          <cell r="C1956"/>
          <cell r="D1956"/>
          <cell r="E1956"/>
          <cell r="G1956"/>
          <cell r="K1956"/>
          <cell r="L1956"/>
          <cell r="M1956"/>
          <cell r="N1956"/>
          <cell r="R1956"/>
        </row>
        <row r="1957">
          <cell r="C1957"/>
          <cell r="D1957"/>
          <cell r="E1957"/>
          <cell r="G1957"/>
          <cell r="K1957"/>
          <cell r="L1957"/>
          <cell r="M1957"/>
          <cell r="N1957"/>
          <cell r="R1957"/>
        </row>
        <row r="1958">
          <cell r="C1958"/>
          <cell r="D1958"/>
          <cell r="E1958"/>
          <cell r="G1958"/>
          <cell r="K1958"/>
          <cell r="L1958"/>
          <cell r="M1958"/>
          <cell r="N1958"/>
          <cell r="R1958"/>
        </row>
        <row r="1959">
          <cell r="C1959"/>
          <cell r="D1959"/>
          <cell r="E1959"/>
          <cell r="G1959"/>
          <cell r="K1959"/>
          <cell r="L1959"/>
          <cell r="M1959"/>
          <cell r="N1959"/>
          <cell r="R1959"/>
        </row>
        <row r="1960">
          <cell r="C1960"/>
          <cell r="D1960"/>
          <cell r="E1960"/>
          <cell r="G1960"/>
          <cell r="K1960"/>
          <cell r="L1960"/>
          <cell r="M1960"/>
          <cell r="N1960"/>
          <cell r="R1960"/>
        </row>
        <row r="1961">
          <cell r="C1961"/>
          <cell r="D1961"/>
          <cell r="E1961"/>
          <cell r="G1961"/>
          <cell r="K1961"/>
          <cell r="L1961"/>
          <cell r="M1961"/>
          <cell r="N1961"/>
          <cell r="R1961"/>
        </row>
        <row r="1962">
          <cell r="C1962"/>
          <cell r="D1962"/>
          <cell r="E1962"/>
          <cell r="G1962"/>
          <cell r="K1962"/>
          <cell r="L1962"/>
          <cell r="M1962"/>
          <cell r="N1962"/>
          <cell r="R1962"/>
        </row>
        <row r="1963">
          <cell r="C1963"/>
          <cell r="D1963"/>
          <cell r="E1963"/>
          <cell r="G1963"/>
          <cell r="K1963"/>
          <cell r="L1963"/>
          <cell r="M1963"/>
          <cell r="N1963"/>
          <cell r="R1963"/>
        </row>
        <row r="1964">
          <cell r="C1964"/>
          <cell r="D1964"/>
          <cell r="E1964"/>
          <cell r="G1964"/>
          <cell r="K1964"/>
          <cell r="L1964"/>
          <cell r="M1964"/>
          <cell r="N1964"/>
          <cell r="R1964"/>
        </row>
        <row r="1965">
          <cell r="C1965"/>
          <cell r="D1965"/>
          <cell r="E1965"/>
          <cell r="G1965"/>
          <cell r="K1965"/>
          <cell r="L1965"/>
          <cell r="M1965"/>
          <cell r="N1965"/>
          <cell r="R1965"/>
        </row>
        <row r="1966">
          <cell r="C1966"/>
          <cell r="D1966"/>
          <cell r="E1966"/>
          <cell r="G1966"/>
          <cell r="K1966"/>
          <cell r="L1966"/>
          <cell r="M1966"/>
          <cell r="N1966"/>
          <cell r="R1966"/>
        </row>
        <row r="1967">
          <cell r="C1967"/>
          <cell r="D1967"/>
          <cell r="E1967"/>
          <cell r="G1967"/>
          <cell r="K1967"/>
          <cell r="L1967"/>
          <cell r="M1967"/>
          <cell r="N1967"/>
          <cell r="R1967"/>
        </row>
        <row r="1968">
          <cell r="C1968"/>
          <cell r="D1968"/>
          <cell r="E1968"/>
          <cell r="G1968"/>
          <cell r="K1968"/>
          <cell r="L1968"/>
          <cell r="M1968"/>
          <cell r="N1968"/>
          <cell r="R1968"/>
        </row>
        <row r="1969">
          <cell r="C1969"/>
          <cell r="D1969"/>
          <cell r="E1969"/>
          <cell r="G1969"/>
          <cell r="K1969"/>
          <cell r="L1969"/>
          <cell r="M1969"/>
          <cell r="N1969"/>
          <cell r="R1969"/>
        </row>
        <row r="1970">
          <cell r="C1970"/>
          <cell r="D1970"/>
          <cell r="E1970"/>
          <cell r="G1970"/>
          <cell r="K1970"/>
          <cell r="L1970"/>
          <cell r="M1970"/>
          <cell r="N1970"/>
          <cell r="R1970"/>
        </row>
        <row r="1971">
          <cell r="C1971"/>
          <cell r="D1971"/>
          <cell r="E1971"/>
          <cell r="G1971"/>
          <cell r="K1971"/>
          <cell r="L1971"/>
          <cell r="M1971"/>
          <cell r="N1971"/>
          <cell r="R1971"/>
        </row>
        <row r="1972">
          <cell r="C1972"/>
          <cell r="D1972"/>
          <cell r="E1972"/>
          <cell r="G1972"/>
          <cell r="K1972"/>
          <cell r="L1972"/>
          <cell r="M1972"/>
          <cell r="N1972"/>
          <cell r="R1972"/>
        </row>
        <row r="1973">
          <cell r="C1973"/>
          <cell r="D1973"/>
          <cell r="E1973"/>
          <cell r="G1973"/>
          <cell r="K1973"/>
          <cell r="L1973"/>
          <cell r="M1973"/>
          <cell r="N1973"/>
          <cell r="R1973"/>
        </row>
        <row r="1974">
          <cell r="C1974"/>
          <cell r="D1974"/>
          <cell r="E1974"/>
          <cell r="G1974"/>
          <cell r="K1974"/>
          <cell r="L1974"/>
          <cell r="M1974"/>
          <cell r="N1974"/>
          <cell r="R1974"/>
        </row>
        <row r="1975">
          <cell r="C1975"/>
          <cell r="D1975"/>
          <cell r="E1975"/>
          <cell r="G1975"/>
          <cell r="K1975"/>
          <cell r="L1975"/>
          <cell r="M1975"/>
          <cell r="N1975"/>
          <cell r="R1975"/>
        </row>
        <row r="1976">
          <cell r="C1976"/>
          <cell r="D1976"/>
          <cell r="E1976"/>
          <cell r="G1976"/>
          <cell r="K1976"/>
          <cell r="L1976"/>
          <cell r="M1976"/>
          <cell r="N1976"/>
          <cell r="R1976"/>
        </row>
        <row r="1977">
          <cell r="C1977"/>
          <cell r="D1977"/>
          <cell r="E1977"/>
          <cell r="G1977"/>
          <cell r="K1977"/>
          <cell r="L1977"/>
          <cell r="M1977"/>
          <cell r="N1977"/>
          <cell r="R1977"/>
        </row>
        <row r="1978">
          <cell r="C1978"/>
          <cell r="D1978"/>
          <cell r="E1978"/>
          <cell r="G1978"/>
          <cell r="K1978"/>
          <cell r="L1978"/>
          <cell r="M1978"/>
          <cell r="N1978"/>
          <cell r="R1978"/>
        </row>
        <row r="1979">
          <cell r="C1979"/>
          <cell r="D1979"/>
          <cell r="E1979"/>
          <cell r="G1979"/>
          <cell r="K1979"/>
          <cell r="L1979"/>
          <cell r="M1979"/>
          <cell r="N1979"/>
          <cell r="R1979"/>
        </row>
        <row r="1980">
          <cell r="C1980"/>
          <cell r="D1980"/>
          <cell r="E1980"/>
          <cell r="G1980"/>
          <cell r="K1980"/>
          <cell r="L1980"/>
          <cell r="M1980"/>
          <cell r="N1980"/>
          <cell r="R1980"/>
        </row>
        <row r="1981">
          <cell r="C1981"/>
          <cell r="D1981"/>
          <cell r="E1981"/>
          <cell r="G1981"/>
          <cell r="K1981"/>
          <cell r="L1981"/>
          <cell r="M1981"/>
          <cell r="N1981"/>
          <cell r="R1981"/>
        </row>
        <row r="1982">
          <cell r="C1982"/>
          <cell r="D1982"/>
          <cell r="E1982"/>
          <cell r="G1982"/>
          <cell r="K1982"/>
          <cell r="L1982"/>
          <cell r="M1982"/>
          <cell r="N1982"/>
          <cell r="R1982"/>
        </row>
        <row r="1983">
          <cell r="C1983"/>
          <cell r="D1983"/>
          <cell r="E1983"/>
          <cell r="G1983"/>
          <cell r="K1983"/>
          <cell r="L1983"/>
          <cell r="M1983"/>
          <cell r="N1983"/>
          <cell r="R1983"/>
        </row>
        <row r="1984">
          <cell r="C1984"/>
          <cell r="D1984"/>
          <cell r="E1984"/>
          <cell r="G1984"/>
          <cell r="K1984"/>
          <cell r="L1984"/>
          <cell r="M1984"/>
          <cell r="N1984"/>
          <cell r="R1984"/>
        </row>
        <row r="1985">
          <cell r="C1985"/>
          <cell r="D1985"/>
          <cell r="E1985"/>
          <cell r="G1985"/>
          <cell r="K1985"/>
          <cell r="L1985"/>
          <cell r="M1985"/>
          <cell r="N1985"/>
          <cell r="R1985"/>
        </row>
        <row r="1986">
          <cell r="C1986"/>
          <cell r="D1986"/>
          <cell r="E1986"/>
          <cell r="G1986"/>
          <cell r="K1986"/>
          <cell r="L1986"/>
          <cell r="M1986"/>
          <cell r="N1986"/>
          <cell r="R1986"/>
        </row>
        <row r="1987">
          <cell r="C1987"/>
          <cell r="D1987"/>
          <cell r="E1987"/>
          <cell r="G1987"/>
          <cell r="K1987"/>
          <cell r="L1987"/>
          <cell r="M1987"/>
          <cell r="N1987"/>
          <cell r="R1987"/>
        </row>
        <row r="1988">
          <cell r="C1988"/>
          <cell r="D1988"/>
          <cell r="E1988"/>
          <cell r="G1988"/>
          <cell r="K1988"/>
          <cell r="L1988"/>
          <cell r="M1988"/>
          <cell r="N1988"/>
          <cell r="R1988"/>
        </row>
        <row r="1989">
          <cell r="C1989"/>
          <cell r="D1989"/>
          <cell r="E1989"/>
          <cell r="G1989"/>
          <cell r="K1989"/>
          <cell r="L1989"/>
          <cell r="M1989"/>
          <cell r="N1989"/>
          <cell r="R1989"/>
        </row>
        <row r="1990">
          <cell r="C1990"/>
          <cell r="D1990"/>
          <cell r="E1990"/>
          <cell r="G1990"/>
          <cell r="K1990"/>
          <cell r="L1990"/>
          <cell r="M1990"/>
          <cell r="N1990"/>
          <cell r="R1990"/>
        </row>
        <row r="1991">
          <cell r="C1991"/>
          <cell r="D1991"/>
          <cell r="E1991"/>
          <cell r="G1991"/>
          <cell r="K1991"/>
          <cell r="L1991"/>
          <cell r="M1991"/>
          <cell r="N1991"/>
          <cell r="R1991"/>
        </row>
        <row r="1992">
          <cell r="C1992"/>
          <cell r="D1992"/>
          <cell r="E1992"/>
          <cell r="G1992"/>
          <cell r="K1992"/>
          <cell r="L1992"/>
          <cell r="M1992"/>
          <cell r="N1992"/>
          <cell r="R1992"/>
        </row>
        <row r="1993">
          <cell r="C1993"/>
          <cell r="D1993"/>
          <cell r="E1993"/>
          <cell r="G1993"/>
          <cell r="K1993"/>
          <cell r="L1993"/>
          <cell r="M1993"/>
          <cell r="N1993"/>
          <cell r="R1993"/>
        </row>
        <row r="1994">
          <cell r="C1994"/>
          <cell r="D1994"/>
          <cell r="E1994"/>
          <cell r="G1994"/>
          <cell r="K1994"/>
          <cell r="L1994"/>
          <cell r="M1994"/>
          <cell r="N1994"/>
          <cell r="R1994"/>
        </row>
        <row r="1995">
          <cell r="C1995"/>
          <cell r="D1995"/>
          <cell r="E1995"/>
          <cell r="G1995"/>
          <cell r="K1995"/>
          <cell r="L1995"/>
          <cell r="M1995"/>
          <cell r="N1995"/>
          <cell r="R1995"/>
        </row>
        <row r="1996">
          <cell r="C1996"/>
          <cell r="D1996"/>
          <cell r="E1996"/>
          <cell r="G1996"/>
          <cell r="K1996"/>
          <cell r="L1996"/>
          <cell r="M1996"/>
          <cell r="N1996"/>
          <cell r="R1996"/>
        </row>
        <row r="1997">
          <cell r="C1997"/>
          <cell r="D1997"/>
          <cell r="E1997"/>
          <cell r="G1997"/>
          <cell r="K1997"/>
          <cell r="L1997"/>
          <cell r="M1997"/>
          <cell r="N1997"/>
          <cell r="R1997"/>
        </row>
        <row r="1998">
          <cell r="C1998"/>
          <cell r="D1998"/>
          <cell r="E1998"/>
          <cell r="G1998"/>
          <cell r="K1998"/>
          <cell r="L1998"/>
          <cell r="M1998"/>
          <cell r="N1998"/>
          <cell r="R1998"/>
        </row>
        <row r="1999">
          <cell r="C1999"/>
          <cell r="D1999"/>
          <cell r="E1999"/>
          <cell r="G1999"/>
          <cell r="K1999"/>
          <cell r="L1999"/>
          <cell r="M1999"/>
          <cell r="N1999"/>
          <cell r="R1999"/>
        </row>
        <row r="2000">
          <cell r="C2000"/>
          <cell r="D2000"/>
          <cell r="E2000"/>
          <cell r="G2000"/>
          <cell r="K2000"/>
          <cell r="L2000"/>
          <cell r="M2000"/>
          <cell r="N2000"/>
          <cell r="R2000"/>
        </row>
        <row r="2001">
          <cell r="C2001"/>
          <cell r="D2001"/>
          <cell r="E2001"/>
          <cell r="G2001"/>
          <cell r="K2001"/>
          <cell r="L2001"/>
          <cell r="M2001"/>
          <cell r="N2001"/>
          <cell r="R2001"/>
        </row>
        <row r="2002">
          <cell r="C2002"/>
          <cell r="D2002"/>
          <cell r="E2002"/>
          <cell r="G2002"/>
          <cell r="K2002"/>
          <cell r="L2002"/>
          <cell r="M2002"/>
          <cell r="N2002"/>
          <cell r="R2002"/>
        </row>
        <row r="2003">
          <cell r="C2003"/>
          <cell r="D2003"/>
          <cell r="E2003"/>
          <cell r="G2003"/>
          <cell r="K2003"/>
          <cell r="L2003"/>
          <cell r="M2003"/>
          <cell r="N2003"/>
          <cell r="R2003"/>
        </row>
        <row r="2004">
          <cell r="C2004"/>
          <cell r="D2004"/>
          <cell r="E2004"/>
          <cell r="G2004"/>
          <cell r="K2004"/>
          <cell r="L2004"/>
          <cell r="M2004"/>
          <cell r="N2004"/>
          <cell r="R2004"/>
        </row>
        <row r="2005">
          <cell r="C2005"/>
          <cell r="D2005"/>
          <cell r="E2005"/>
          <cell r="G2005"/>
          <cell r="K2005"/>
          <cell r="L2005"/>
          <cell r="M2005"/>
          <cell r="N2005"/>
          <cell r="R2005"/>
        </row>
        <row r="2006">
          <cell r="C2006"/>
          <cell r="D2006"/>
          <cell r="E2006"/>
          <cell r="G2006"/>
          <cell r="K2006"/>
          <cell r="L2006"/>
          <cell r="M2006"/>
          <cell r="N2006"/>
          <cell r="R2006"/>
        </row>
        <row r="2007">
          <cell r="C2007"/>
          <cell r="D2007"/>
          <cell r="E2007"/>
          <cell r="G2007"/>
          <cell r="K2007"/>
          <cell r="L2007"/>
          <cell r="M2007"/>
          <cell r="N2007"/>
          <cell r="R2007"/>
        </row>
        <row r="2008">
          <cell r="C2008"/>
          <cell r="D2008"/>
          <cell r="E2008"/>
          <cell r="G2008"/>
          <cell r="K2008"/>
          <cell r="L2008"/>
          <cell r="M2008"/>
          <cell r="N2008"/>
          <cell r="R2008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2E7D32"/>
    <pageSetUpPr fitToPage="1"/>
  </sheetPr>
  <dimension ref="A1:M2016"/>
  <sheetViews>
    <sheetView showGridLines="0" rightToLeft="1" tabSelected="1" zoomScale="85" workbookViewId="0">
      <pane ySplit="16" topLeftCell="A17" activePane="bottomLeft" state="frozen"/>
      <selection pane="bottomLeft" activeCell="C6" sqref="C6:J6"/>
    </sheetView>
  </sheetViews>
  <sheetFormatPr defaultRowHeight="14.25" x14ac:dyDescent="0.2"/>
  <cols>
    <col min="1" max="1" width="5.5" customWidth="1"/>
    <col min="2" max="2" width="11" customWidth="1"/>
    <col min="3" max="3" width="13" customWidth="1"/>
    <col min="4" max="4" width="10" customWidth="1"/>
    <col min="5" max="5" width="30" customWidth="1"/>
    <col min="6" max="6" width="13" customWidth="1"/>
    <col min="7" max="8" width="15" customWidth="1"/>
    <col min="9" max="9" width="16" customWidth="1"/>
    <col min="12" max="13" width="6" customWidth="1"/>
  </cols>
  <sheetData>
    <row r="1" spans="1:10" ht="26.1" customHeight="1" x14ac:dyDescent="0.2">
      <c r="A1" s="19" t="str">
        <f>IF(Sync!$N$6="","مازندشت",Sync!$N$6)&amp;" — "&amp;IF(Sync!$N$9="","سورتینگ و بسته‌بندی مرکبات",Sync!$N$9)</f>
        <v>P01 — P04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14.1" customHeight="1" x14ac:dyDescent="0.2">
      <c r="A2" s="27" t="str">
        <f>IF(Sync!$N$7="","باغدشت، بخش مرکزی، شهرستان قائم‌شهر، استان مازندران، ایران",Sync!$N$7)&amp;"     |     MAZANDASHT · CITRUS SORTING &amp; PACKING"</f>
        <v>P02     |     MAZANDASHT · CITRUS SORTING &amp; PACKING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ht="24" customHeight="1" x14ac:dyDescent="0.2">
      <c r="A3" s="25" t="str">
        <f>"صورت حساب — "&amp;IFERROR(IF(VLOOKUP($C$5,AcctTbl,4,0)="","(بدون عنوان)",VLOOKUP($C$5,AcctTbl,4,0)),"کد را وارد کنید")</f>
        <v>صورت حساب — قم-سید حسین حسینی</v>
      </c>
      <c r="B3" s="25"/>
      <c r="C3" s="25"/>
      <c r="D3" s="25"/>
      <c r="E3" s="25"/>
      <c r="F3" s="25"/>
      <c r="G3" s="25"/>
      <c r="H3" s="25"/>
      <c r="I3" s="25"/>
      <c r="J3" s="25"/>
    </row>
    <row r="5" spans="1:10" ht="15" x14ac:dyDescent="0.2">
      <c r="A5" s="22" t="s">
        <v>0</v>
      </c>
      <c r="B5" s="22"/>
      <c r="C5" s="32" t="s">
        <v>1</v>
      </c>
      <c r="D5" s="32"/>
      <c r="E5" s="26" t="s">
        <v>2</v>
      </c>
      <c r="F5" s="26"/>
      <c r="G5" s="26"/>
      <c r="H5" s="26"/>
      <c r="I5" s="26"/>
      <c r="J5" s="26"/>
    </row>
    <row r="6" spans="1:10" ht="17.100000000000001" customHeight="1" x14ac:dyDescent="0.2">
      <c r="A6" s="23" t="s">
        <v>3</v>
      </c>
      <c r="B6" s="23"/>
      <c r="C6" s="24" t="str">
        <f>IFERROR(IF(VLOOKUP($C$5,AcctTbl,4,0)="","(بدون عنوان)",VLOOKUP($C$5,AcctTbl,4,0)),"—")</f>
        <v>قم-سید حسین حسینی</v>
      </c>
      <c r="D6" s="24"/>
      <c r="E6" s="24"/>
      <c r="F6" s="24"/>
      <c r="G6" s="24"/>
      <c r="H6" s="24"/>
      <c r="I6" s="24"/>
      <c r="J6" s="24"/>
    </row>
    <row r="7" spans="1:10" ht="17.100000000000001" customHeight="1" x14ac:dyDescent="0.2">
      <c r="A7" s="23" t="s">
        <v>4</v>
      </c>
      <c r="B7" s="23"/>
      <c r="C7" s="24">
        <f>IFERROR(IF(VLOOKUP($C$5,AcctTbl,3,0)="",IF(VLOOKUP($C$5,AcctTbl,2,0)="","—",VLOOKUP($C$5,AcctTbl,2,0)),VLOOKUP($C$5,AcctTbl,3,0)),"—")</f>
        <v>0</v>
      </c>
      <c r="D7" s="24"/>
      <c r="E7" s="24"/>
      <c r="F7" s="24"/>
      <c r="G7" s="24"/>
      <c r="H7" s="24"/>
      <c r="I7" s="24"/>
      <c r="J7" s="24"/>
    </row>
    <row r="8" spans="1:10" ht="17.100000000000001" customHeight="1" x14ac:dyDescent="0.2">
      <c r="A8" s="23" t="s">
        <v>5</v>
      </c>
      <c r="B8" s="23"/>
      <c r="C8" s="24" t="str">
        <f>IFERROR(IF(AND(INDEX(SellerPhone,MATCH($C$5,AcctCodes,0))="",INDEX(SellerMobile,MATCH($C$5,AcctCodes,0))=""),"—",TRIM(INDEX(SellerPhone,MATCH($C$5,AcctCodes,0))&amp;"  /  "&amp;INDEX(SellerMobile,MATCH($C$5,AcctCodes,0)))),"—")</f>
        <v>0 / 9125528445</v>
      </c>
      <c r="D8" s="24"/>
      <c r="E8" s="24"/>
      <c r="F8" s="24"/>
      <c r="G8" s="24"/>
      <c r="H8" s="24"/>
      <c r="I8" s="24"/>
      <c r="J8" s="24"/>
    </row>
    <row r="9" spans="1:10" ht="17.100000000000001" customHeight="1" x14ac:dyDescent="0.2">
      <c r="A9" s="23" t="s">
        <v>6</v>
      </c>
      <c r="B9" s="23"/>
      <c r="C9" s="24" t="str">
        <f>IFERROR(IF(INDEX(SellerAddr,MATCH($C$5,AcctCodes,0))="","—",INDEX(SellerAddr,MATCH($C$5,AcctCodes,0))),"—")</f>
        <v>قم-میدان تره بار-بلوک4-غرفه22</v>
      </c>
      <c r="D9" s="24"/>
      <c r="E9" s="24"/>
      <c r="F9" s="24"/>
      <c r="G9" s="24"/>
      <c r="H9" s="24"/>
      <c r="I9" s="24"/>
      <c r="J9" s="24"/>
    </row>
    <row r="10" spans="1:10" x14ac:dyDescent="0.2">
      <c r="A10" s="23" t="s">
        <v>7</v>
      </c>
      <c r="B10" s="23"/>
      <c r="C10" s="30">
        <v>0</v>
      </c>
      <c r="D10" s="30"/>
      <c r="E10" s="26" t="s">
        <v>8</v>
      </c>
      <c r="F10" s="26"/>
      <c r="G10" s="26"/>
      <c r="H10" s="26"/>
      <c r="I10" s="26"/>
      <c r="J10" s="26"/>
    </row>
    <row r="11" spans="1:10" ht="12.95" customHeight="1" x14ac:dyDescent="0.2">
      <c r="A11" s="21" t="s">
        <v>9</v>
      </c>
      <c r="B11" s="21"/>
      <c r="C11" s="21" t="s">
        <v>10</v>
      </c>
      <c r="D11" s="21"/>
      <c r="E11" s="21" t="s">
        <v>11</v>
      </c>
      <c r="F11" s="21"/>
      <c r="G11" s="21" t="s">
        <v>12</v>
      </c>
      <c r="H11" s="21"/>
      <c r="I11" s="21"/>
      <c r="J11" s="21"/>
    </row>
    <row r="12" spans="1:10" ht="21.95" customHeight="1" x14ac:dyDescent="0.2">
      <c r="A12" s="20">
        <f>SUM($G$17:$G$2016)</f>
        <v>0</v>
      </c>
      <c r="B12" s="20"/>
      <c r="C12" s="20">
        <f>SUM($H$17:$H$2016)</f>
        <v>300000000</v>
      </c>
      <c r="D12" s="20"/>
      <c r="E12" s="20">
        <f>IFERROR(LOOKUP(9.99E+307,$I$17:$I$2016),$C$10)</f>
        <v>-300000000</v>
      </c>
      <c r="F12" s="20"/>
      <c r="G12" s="31" t="str">
        <f>IF($E$12&gt;0,"▲ بدهکار — به ما بدهکار است",IF($E$12&lt;0,"▼ بستانکار — ما بدهکاریم","= تسویه شده"))</f>
        <v>▼ بستانکار — ما بدهکاریم</v>
      </c>
      <c r="H12" s="31"/>
      <c r="I12" s="31"/>
      <c r="J12" s="31"/>
    </row>
    <row r="13" spans="1:10" ht="12.95" customHeight="1" x14ac:dyDescent="0.2">
      <c r="A13" s="21" t="s">
        <v>13</v>
      </c>
      <c r="B13" s="21"/>
      <c r="C13" s="21" t="s">
        <v>14</v>
      </c>
      <c r="D13" s="21"/>
      <c r="E13" s="21" t="s">
        <v>15</v>
      </c>
      <c r="F13" s="21"/>
      <c r="G13" s="21" t="s">
        <v>16</v>
      </c>
      <c r="H13" s="21"/>
      <c r="I13" s="21"/>
      <c r="J13" s="21"/>
    </row>
    <row r="14" spans="1:10" ht="21.95" customHeight="1" x14ac:dyDescent="0.2">
      <c r="A14" s="28">
        <f>COUNTIF($C$17:$C$2016,"فروش")+COUNTIF($C$17:$C$2016,"مرجوعی فروش")</f>
        <v>11</v>
      </c>
      <c r="B14" s="28"/>
      <c r="C14" s="28">
        <f>COUNTIF($C$17:$C$2016,"پرداخت بانکی")</f>
        <v>1</v>
      </c>
      <c r="D14" s="28"/>
      <c r="E14" s="29">
        <f>SUMIF($C$17:$C$2016,"فروش",$F$17:$F$2016)-SUMIF($C$17:$C$2016,"مرجوعی فروش",$F$17:$F$2016)</f>
        <v>27415</v>
      </c>
      <c r="F14" s="29"/>
      <c r="G14" s="31" t="str">
        <f>IF(COUNT($I$17:$I$2016)=0,"—",INDEX($B$17:$B$2016,COUNT($I$17:$I$2016)))</f>
        <v>1405/07/26</v>
      </c>
      <c r="H14" s="31"/>
      <c r="I14" s="31"/>
      <c r="J14" s="31"/>
    </row>
    <row r="15" spans="1:10" ht="30" customHeight="1" x14ac:dyDescent="0.2">
      <c r="A15" s="1" t="s">
        <v>17</v>
      </c>
      <c r="B15" s="1" t="s">
        <v>18</v>
      </c>
      <c r="C15" s="1" t="s">
        <v>19</v>
      </c>
      <c r="D15" s="1" t="s">
        <v>20</v>
      </c>
      <c r="E15" s="1" t="s">
        <v>21</v>
      </c>
      <c r="F15" s="1" t="s">
        <v>22</v>
      </c>
      <c r="G15" s="1" t="s">
        <v>23</v>
      </c>
      <c r="H15" s="1" t="s">
        <v>24</v>
      </c>
      <c r="I15" s="1" t="s">
        <v>25</v>
      </c>
    </row>
    <row r="16" spans="1:10" ht="12.95" customHeight="1" x14ac:dyDescent="0.2">
      <c r="A16" s="2" t="s">
        <v>26</v>
      </c>
      <c r="B16" s="2" t="s">
        <v>27</v>
      </c>
      <c r="C16" s="2" t="s">
        <v>28</v>
      </c>
      <c r="D16" s="2" t="s">
        <v>29</v>
      </c>
      <c r="E16" s="2" t="s">
        <v>30</v>
      </c>
      <c r="F16" s="2" t="s">
        <v>31</v>
      </c>
      <c r="G16" s="2" t="s">
        <v>32</v>
      </c>
      <c r="H16" s="2" t="s">
        <v>33</v>
      </c>
      <c r="I16" s="2" t="s">
        <v>34</v>
      </c>
    </row>
    <row r="17" spans="1:13" x14ac:dyDescent="0.2">
      <c r="A17" s="3">
        <v>1</v>
      </c>
      <c r="B17" s="4" t="str">
        <f t="shared" ref="B17:B80" si="0">IF(AND($L17="",$M17=""),"",IF($L17&lt;&gt;"",INDEX(SCNormDate,$L17),INDEX(LdgDateB,$M17)))</f>
        <v>1405/07/04</v>
      </c>
      <c r="C17" s="4" t="str">
        <f t="shared" ref="C17:C80" si="1">IF($L17&lt;&gt;"",INDEX(SCOp,$L17),IF($M17&lt;&gt;"","پرداخت بانکی",""))</f>
        <v>پرداخت بانکی</v>
      </c>
      <c r="D17" s="4" t="str">
        <f t="shared" ref="D17:D80" si="2">IF($L17&lt;&gt;"",IF(INDEX(SCDoc,$L17)="","—",INDEX(SCDoc,$L17)),IF($M17&lt;&gt;"",INDEX(LdgBankB,$M17),""))</f>
        <v>BANK01 – ملت — جاری شرکت</v>
      </c>
      <c r="E17" s="5" t="str">
        <f t="shared" ref="E17:E80" si="3">IF($L17&lt;&gt;"",IF(INDEX(SCCitrus,$L17)&amp;INDEX(SCNotes,$L17)="","",IF(INDEX(SCCitrus,$L17)="","",INDEX(SCCitrus,$L17))&amp;IF(INDEX(SCNotes,$L17)="",""," — "&amp;INDEX(SCNotes,$L17))),IF($M17&lt;&gt;"",IF(INDEX(LdgNoteB,$M17)="","—",INDEX(LdgNoteB,$M17)),""))</f>
        <v>واریز فروشنده SL001 (نمونه)</v>
      </c>
      <c r="F17" s="6" t="str">
        <f t="shared" ref="F17:F80" si="4">IF($L17&lt;&gt;"",IF(INDEX(SCNet,$L17)=0,"",INDEX(SCNet,$L17)),"")</f>
        <v/>
      </c>
      <c r="G17" s="7" t="str">
        <f t="shared" ref="G17:G80" si="5">IF($L17&lt;&gt;"",IF(INDEX(SCOp,$L17)="مرجوعی فروش","",IF(INDEX(SCAmount,$L17)&lt;=0,"",INDEX(SCAmount,$L17))),IF($M17&lt;&gt;"",IF(INDEX(LdgWitB,$M17)=0,"",INDEX(LdgWitB,$M17)),""))</f>
        <v/>
      </c>
      <c r="H17" s="7">
        <f t="shared" ref="H17:H80" si="6">IF($L17&lt;&gt;"",IF(INDEX(SCOp,$L17)="مرجوعی فروش",IF(INDEX(SCAmount,$L17)=0,"",-INDEX(SCAmount,$L17)),""),IF($M17&lt;&gt;"",IF(INDEX(LdgDepB,$M17)=0,"",INDEX(LdgDepB,$M17)),""))</f>
        <v>300000000</v>
      </c>
      <c r="I17" s="8">
        <f>IF($B17="","",$C$10+IF($G17="",0,$G17)-IF($H17="",0,$H17))</f>
        <v>-300000000</v>
      </c>
      <c r="L17" t="str">
        <f>IFERROR(MATCH($C$5&amp;"|"&amp;RIGHT("000000"&amp;1,6),LdgRankKeyA,0),"")</f>
        <v/>
      </c>
      <c r="M17">
        <f>IFERROR(MATCH($C$5&amp;"|"&amp;RIGHT("000000"&amp;1,6),LdgRankKeyB,0),"")</f>
        <v>7</v>
      </c>
    </row>
    <row r="18" spans="1:13" x14ac:dyDescent="0.2">
      <c r="A18" s="9">
        <v>2</v>
      </c>
      <c r="B18" s="10" t="str">
        <f t="shared" si="0"/>
        <v>1405/07/14</v>
      </c>
      <c r="C18" s="10" t="str">
        <f t="shared" si="1"/>
        <v>فروش</v>
      </c>
      <c r="D18" s="10" t="str">
        <f t="shared" si="2"/>
        <v>—</v>
      </c>
      <c r="E18" s="11" t="str">
        <f t="shared" si="3"/>
        <v/>
      </c>
      <c r="F18" s="12">
        <f t="shared" si="4"/>
        <v>3020</v>
      </c>
      <c r="G18" s="13" t="str">
        <f t="shared" si="5"/>
        <v/>
      </c>
      <c r="H18" s="13" t="str">
        <f t="shared" si="6"/>
        <v/>
      </c>
      <c r="I18" s="14">
        <f t="shared" ref="I18:I81" si="7">IF($B18="","",IF($I17="",$C$10,$I17)+IF($G18="",0,$G18)-IF($H18="",0,$H18))</f>
        <v>-300000000</v>
      </c>
      <c r="L18">
        <f>IFERROR(MATCH($C$5&amp;"|"&amp;RIGHT("000000"&amp;2,6),LdgRankKeyA,0),"")</f>
        <v>33</v>
      </c>
      <c r="M18" t="str">
        <f>IFERROR(MATCH($C$5&amp;"|"&amp;RIGHT("000000"&amp;2,6),LdgRankKeyB,0),"")</f>
        <v/>
      </c>
    </row>
    <row r="19" spans="1:13" x14ac:dyDescent="0.2">
      <c r="A19" s="3">
        <v>3</v>
      </c>
      <c r="B19" s="4" t="str">
        <f t="shared" si="0"/>
        <v>1405/07/15</v>
      </c>
      <c r="C19" s="4" t="str">
        <f t="shared" si="1"/>
        <v>فروش</v>
      </c>
      <c r="D19" s="4" t="str">
        <f t="shared" si="2"/>
        <v>—</v>
      </c>
      <c r="E19" s="5" t="str">
        <f t="shared" si="3"/>
        <v/>
      </c>
      <c r="F19" s="6">
        <f t="shared" si="4"/>
        <v>2210</v>
      </c>
      <c r="G19" s="7" t="str">
        <f t="shared" si="5"/>
        <v/>
      </c>
      <c r="H19" s="7" t="str">
        <f t="shared" si="6"/>
        <v/>
      </c>
      <c r="I19" s="8">
        <f t="shared" si="7"/>
        <v>-300000000</v>
      </c>
      <c r="L19">
        <f>IFERROR(MATCH($C$5&amp;"|"&amp;RIGHT("000000"&amp;3,6),LdgRankKeyA,0),"")</f>
        <v>43</v>
      </c>
      <c r="M19" t="str">
        <f>IFERROR(MATCH($C$5&amp;"|"&amp;RIGHT("000000"&amp;3,6),LdgRankKeyB,0),"")</f>
        <v/>
      </c>
    </row>
    <row r="20" spans="1:13" x14ac:dyDescent="0.2">
      <c r="A20" s="9">
        <v>4</v>
      </c>
      <c r="B20" s="10" t="str">
        <f t="shared" si="0"/>
        <v>1405/07/17</v>
      </c>
      <c r="C20" s="10" t="str">
        <f t="shared" si="1"/>
        <v>فروش</v>
      </c>
      <c r="D20" s="10" t="str">
        <f t="shared" si="2"/>
        <v>—</v>
      </c>
      <c r="E20" s="11" t="str">
        <f t="shared" si="3"/>
        <v/>
      </c>
      <c r="F20" s="12">
        <f t="shared" si="4"/>
        <v>3035</v>
      </c>
      <c r="G20" s="13" t="str">
        <f t="shared" si="5"/>
        <v/>
      </c>
      <c r="H20" s="13" t="str">
        <f t="shared" si="6"/>
        <v/>
      </c>
      <c r="I20" s="14">
        <f t="shared" si="7"/>
        <v>-300000000</v>
      </c>
      <c r="L20">
        <f>IFERROR(MATCH($C$5&amp;"|"&amp;RIGHT("000000"&amp;4,6),LdgRankKeyA,0),"")</f>
        <v>52</v>
      </c>
      <c r="M20" t="str">
        <f>IFERROR(MATCH($C$5&amp;"|"&amp;RIGHT("000000"&amp;4,6),LdgRankKeyB,0),"")</f>
        <v/>
      </c>
    </row>
    <row r="21" spans="1:13" x14ac:dyDescent="0.2">
      <c r="A21" s="3">
        <v>5</v>
      </c>
      <c r="B21" s="4" t="str">
        <f t="shared" si="0"/>
        <v>1405/07/18</v>
      </c>
      <c r="C21" s="4" t="str">
        <f t="shared" si="1"/>
        <v>فروش</v>
      </c>
      <c r="D21" s="4" t="str">
        <f t="shared" si="2"/>
        <v>—</v>
      </c>
      <c r="E21" s="5" t="str">
        <f t="shared" si="3"/>
        <v/>
      </c>
      <c r="F21" s="6">
        <f t="shared" si="4"/>
        <v>2195</v>
      </c>
      <c r="G21" s="7" t="str">
        <f t="shared" si="5"/>
        <v/>
      </c>
      <c r="H21" s="7" t="str">
        <f t="shared" si="6"/>
        <v/>
      </c>
      <c r="I21" s="8">
        <f t="shared" si="7"/>
        <v>-300000000</v>
      </c>
      <c r="L21">
        <f>IFERROR(MATCH($C$5&amp;"|"&amp;RIGHT("000000"&amp;5,6),LdgRankKeyA,0),"")</f>
        <v>73</v>
      </c>
      <c r="M21" t="str">
        <f>IFERROR(MATCH($C$5&amp;"|"&amp;RIGHT("000000"&amp;5,6),LdgRankKeyB,0),"")</f>
        <v/>
      </c>
    </row>
    <row r="22" spans="1:13" x14ac:dyDescent="0.2">
      <c r="A22" s="9">
        <v>6</v>
      </c>
      <c r="B22" s="10" t="str">
        <f t="shared" si="0"/>
        <v>1405/07/19</v>
      </c>
      <c r="C22" s="10" t="str">
        <f t="shared" si="1"/>
        <v>فروش</v>
      </c>
      <c r="D22" s="10" t="str">
        <f t="shared" si="2"/>
        <v>—</v>
      </c>
      <c r="E22" s="11" t="str">
        <f t="shared" si="3"/>
        <v/>
      </c>
      <c r="F22" s="12">
        <f t="shared" si="4"/>
        <v>3025</v>
      </c>
      <c r="G22" s="13" t="str">
        <f t="shared" si="5"/>
        <v/>
      </c>
      <c r="H22" s="13" t="str">
        <f t="shared" si="6"/>
        <v/>
      </c>
      <c r="I22" s="14">
        <f t="shared" si="7"/>
        <v>-300000000</v>
      </c>
      <c r="L22">
        <f>IFERROR(MATCH($C$5&amp;"|"&amp;RIGHT("000000"&amp;6,6),LdgRankKeyA,0),"")</f>
        <v>83</v>
      </c>
      <c r="M22" t="str">
        <f>IFERROR(MATCH($C$5&amp;"|"&amp;RIGHT("000000"&amp;6,6),LdgRankKeyB,0),"")</f>
        <v/>
      </c>
    </row>
    <row r="23" spans="1:13" x14ac:dyDescent="0.2">
      <c r="A23" s="3">
        <v>7</v>
      </c>
      <c r="B23" s="4" t="str">
        <f t="shared" si="0"/>
        <v>1405/07/20</v>
      </c>
      <c r="C23" s="4" t="str">
        <f t="shared" si="1"/>
        <v>فروش</v>
      </c>
      <c r="D23" s="4" t="str">
        <f t="shared" si="2"/>
        <v>—</v>
      </c>
      <c r="E23" s="5" t="str">
        <f t="shared" si="3"/>
        <v/>
      </c>
      <c r="F23" s="6">
        <f t="shared" si="4"/>
        <v>3045</v>
      </c>
      <c r="G23" s="7" t="str">
        <f t="shared" si="5"/>
        <v/>
      </c>
      <c r="H23" s="7" t="str">
        <f t="shared" si="6"/>
        <v/>
      </c>
      <c r="I23" s="8">
        <f t="shared" si="7"/>
        <v>-300000000</v>
      </c>
      <c r="L23">
        <f>IFERROR(MATCH($C$5&amp;"|"&amp;RIGHT("000000"&amp;7,6),LdgRankKeyA,0),"")</f>
        <v>86</v>
      </c>
      <c r="M23" t="str">
        <f>IFERROR(MATCH($C$5&amp;"|"&amp;RIGHT("000000"&amp;7,6),LdgRankKeyB,0),"")</f>
        <v/>
      </c>
    </row>
    <row r="24" spans="1:13" x14ac:dyDescent="0.2">
      <c r="A24" s="9">
        <v>8</v>
      </c>
      <c r="B24" s="10" t="str">
        <f t="shared" si="0"/>
        <v>1405/07/21</v>
      </c>
      <c r="C24" s="10" t="str">
        <f t="shared" si="1"/>
        <v>فروش</v>
      </c>
      <c r="D24" s="10" t="str">
        <f t="shared" si="2"/>
        <v>—</v>
      </c>
      <c r="E24" s="11" t="str">
        <f t="shared" si="3"/>
        <v/>
      </c>
      <c r="F24" s="12">
        <f t="shared" si="4"/>
        <v>2170</v>
      </c>
      <c r="G24" s="13" t="str">
        <f t="shared" si="5"/>
        <v/>
      </c>
      <c r="H24" s="13" t="str">
        <f t="shared" si="6"/>
        <v/>
      </c>
      <c r="I24" s="14">
        <f t="shared" si="7"/>
        <v>-300000000</v>
      </c>
      <c r="L24">
        <f>IFERROR(MATCH($C$5&amp;"|"&amp;RIGHT("000000"&amp;8,6),LdgRankKeyA,0),"")</f>
        <v>96</v>
      </c>
      <c r="M24" t="str">
        <f>IFERROR(MATCH($C$5&amp;"|"&amp;RIGHT("000000"&amp;8,6),LdgRankKeyB,0),"")</f>
        <v/>
      </c>
    </row>
    <row r="25" spans="1:13" x14ac:dyDescent="0.2">
      <c r="A25" s="3">
        <v>9</v>
      </c>
      <c r="B25" s="4" t="str">
        <f t="shared" si="0"/>
        <v>1405/07/22</v>
      </c>
      <c r="C25" s="4" t="str">
        <f t="shared" si="1"/>
        <v>فروش</v>
      </c>
      <c r="D25" s="4" t="str">
        <f t="shared" si="2"/>
        <v>—</v>
      </c>
      <c r="E25" s="5" t="str">
        <f t="shared" si="3"/>
        <v/>
      </c>
      <c r="F25" s="6">
        <f t="shared" si="4"/>
        <v>2175</v>
      </c>
      <c r="G25" s="7" t="str">
        <f t="shared" si="5"/>
        <v/>
      </c>
      <c r="H25" s="7" t="str">
        <f t="shared" si="6"/>
        <v/>
      </c>
      <c r="I25" s="8">
        <f t="shared" si="7"/>
        <v>-300000000</v>
      </c>
      <c r="L25">
        <f>IFERROR(MATCH($C$5&amp;"|"&amp;RIGHT("000000"&amp;9,6),LdgRankKeyA,0),"")</f>
        <v>118</v>
      </c>
      <c r="M25" t="str">
        <f>IFERROR(MATCH($C$5&amp;"|"&amp;RIGHT("000000"&amp;9,6),LdgRankKeyB,0),"")</f>
        <v/>
      </c>
    </row>
    <row r="26" spans="1:13" x14ac:dyDescent="0.2">
      <c r="A26" s="9">
        <v>10</v>
      </c>
      <c r="B26" s="10" t="str">
        <f t="shared" si="0"/>
        <v>1405/07/24</v>
      </c>
      <c r="C26" s="10" t="str">
        <f t="shared" si="1"/>
        <v>فروش</v>
      </c>
      <c r="D26" s="10" t="str">
        <f t="shared" si="2"/>
        <v>—</v>
      </c>
      <c r="E26" s="11" t="str">
        <f t="shared" si="3"/>
        <v/>
      </c>
      <c r="F26" s="12">
        <f t="shared" si="4"/>
        <v>2130</v>
      </c>
      <c r="G26" s="13" t="str">
        <f t="shared" si="5"/>
        <v/>
      </c>
      <c r="H26" s="13" t="str">
        <f t="shared" si="6"/>
        <v/>
      </c>
      <c r="I26" s="14">
        <f t="shared" si="7"/>
        <v>-300000000</v>
      </c>
      <c r="L26">
        <f>IFERROR(MATCH($C$5&amp;"|"&amp;RIGHT("000000"&amp;10,6),LdgRankKeyA,0),"")</f>
        <v>140</v>
      </c>
      <c r="M26" t="str">
        <f>IFERROR(MATCH($C$5&amp;"|"&amp;RIGHT("000000"&amp;10,6),LdgRankKeyB,0),"")</f>
        <v/>
      </c>
    </row>
    <row r="27" spans="1:13" x14ac:dyDescent="0.2">
      <c r="A27" s="3">
        <v>11</v>
      </c>
      <c r="B27" s="4" t="str">
        <f t="shared" si="0"/>
        <v>1405/07/25</v>
      </c>
      <c r="C27" s="4" t="str">
        <f t="shared" si="1"/>
        <v>فروش</v>
      </c>
      <c r="D27" s="4" t="str">
        <f t="shared" si="2"/>
        <v>—</v>
      </c>
      <c r="E27" s="5" t="str">
        <f t="shared" si="3"/>
        <v/>
      </c>
      <c r="F27" s="6">
        <f t="shared" si="4"/>
        <v>2165</v>
      </c>
      <c r="G27" s="7" t="str">
        <f t="shared" si="5"/>
        <v/>
      </c>
      <c r="H27" s="7" t="str">
        <f t="shared" si="6"/>
        <v/>
      </c>
      <c r="I27" s="8">
        <f t="shared" si="7"/>
        <v>-300000000</v>
      </c>
      <c r="L27">
        <f>IFERROR(MATCH($C$5&amp;"|"&amp;RIGHT("000000"&amp;11,6),LdgRankKeyA,0),"")</f>
        <v>150</v>
      </c>
      <c r="M27" t="str">
        <f>IFERROR(MATCH($C$5&amp;"|"&amp;RIGHT("000000"&amp;11,6),LdgRankKeyB,0),"")</f>
        <v/>
      </c>
    </row>
    <row r="28" spans="1:13" x14ac:dyDescent="0.2">
      <c r="A28" s="9">
        <v>12</v>
      </c>
      <c r="B28" s="10" t="str">
        <f t="shared" si="0"/>
        <v>1405/07/26</v>
      </c>
      <c r="C28" s="10" t="str">
        <f t="shared" si="1"/>
        <v>فروش</v>
      </c>
      <c r="D28" s="10" t="str">
        <f t="shared" si="2"/>
        <v>—</v>
      </c>
      <c r="E28" s="11" t="str">
        <f t="shared" si="3"/>
        <v/>
      </c>
      <c r="F28" s="12">
        <f t="shared" si="4"/>
        <v>2245</v>
      </c>
      <c r="G28" s="13" t="str">
        <f t="shared" si="5"/>
        <v/>
      </c>
      <c r="H28" s="13" t="str">
        <f t="shared" si="6"/>
        <v/>
      </c>
      <c r="I28" s="14">
        <f t="shared" si="7"/>
        <v>-300000000</v>
      </c>
      <c r="L28">
        <f>IFERROR(MATCH($C$5&amp;"|"&amp;RIGHT("000000"&amp;12,6),LdgRankKeyA,0),"")</f>
        <v>159</v>
      </c>
      <c r="M28" t="str">
        <f>IFERROR(MATCH($C$5&amp;"|"&amp;RIGHT("000000"&amp;12,6),LdgRankKeyB,0),"")</f>
        <v/>
      </c>
    </row>
    <row r="29" spans="1:13" x14ac:dyDescent="0.2">
      <c r="A29" s="3">
        <v>13</v>
      </c>
      <c r="B29" s="4" t="str">
        <f t="shared" si="0"/>
        <v/>
      </c>
      <c r="C29" s="4" t="str">
        <f t="shared" si="1"/>
        <v/>
      </c>
      <c r="D29" s="4" t="str">
        <f t="shared" si="2"/>
        <v/>
      </c>
      <c r="E29" s="5" t="str">
        <f t="shared" si="3"/>
        <v/>
      </c>
      <c r="F29" s="6" t="str">
        <f t="shared" si="4"/>
        <v/>
      </c>
      <c r="G29" s="7" t="str">
        <f t="shared" si="5"/>
        <v/>
      </c>
      <c r="H29" s="7" t="str">
        <f t="shared" si="6"/>
        <v/>
      </c>
      <c r="I29" s="8" t="str">
        <f t="shared" si="7"/>
        <v/>
      </c>
      <c r="L29" t="str">
        <f>IFERROR(MATCH($C$5&amp;"|"&amp;RIGHT("000000"&amp;13,6),LdgRankKeyA,0),"")</f>
        <v/>
      </c>
      <c r="M29" t="str">
        <f>IFERROR(MATCH($C$5&amp;"|"&amp;RIGHT("000000"&amp;13,6),LdgRankKeyB,0),"")</f>
        <v/>
      </c>
    </row>
    <row r="30" spans="1:13" x14ac:dyDescent="0.2">
      <c r="A30" s="9">
        <v>14</v>
      </c>
      <c r="B30" s="10" t="str">
        <f t="shared" si="0"/>
        <v/>
      </c>
      <c r="C30" s="10" t="str">
        <f t="shared" si="1"/>
        <v/>
      </c>
      <c r="D30" s="10" t="str">
        <f t="shared" si="2"/>
        <v/>
      </c>
      <c r="E30" s="11" t="str">
        <f t="shared" si="3"/>
        <v/>
      </c>
      <c r="F30" s="12" t="str">
        <f t="shared" si="4"/>
        <v/>
      </c>
      <c r="G30" s="13" t="str">
        <f t="shared" si="5"/>
        <v/>
      </c>
      <c r="H30" s="13" t="str">
        <f t="shared" si="6"/>
        <v/>
      </c>
      <c r="I30" s="14" t="str">
        <f t="shared" si="7"/>
        <v/>
      </c>
      <c r="L30" t="str">
        <f>IFERROR(MATCH($C$5&amp;"|"&amp;RIGHT("000000"&amp;14,6),LdgRankKeyA,0),"")</f>
        <v/>
      </c>
      <c r="M30" t="str">
        <f>IFERROR(MATCH($C$5&amp;"|"&amp;RIGHT("000000"&amp;14,6),LdgRankKeyB,0),"")</f>
        <v/>
      </c>
    </row>
    <row r="31" spans="1:13" x14ac:dyDescent="0.2">
      <c r="A31" s="3">
        <v>15</v>
      </c>
      <c r="B31" s="4" t="str">
        <f t="shared" si="0"/>
        <v/>
      </c>
      <c r="C31" s="4" t="str">
        <f t="shared" si="1"/>
        <v/>
      </c>
      <c r="D31" s="4" t="str">
        <f t="shared" si="2"/>
        <v/>
      </c>
      <c r="E31" s="5" t="str">
        <f t="shared" si="3"/>
        <v/>
      </c>
      <c r="F31" s="6" t="str">
        <f t="shared" si="4"/>
        <v/>
      </c>
      <c r="G31" s="7" t="str">
        <f t="shared" si="5"/>
        <v/>
      </c>
      <c r="H31" s="7" t="str">
        <f t="shared" si="6"/>
        <v/>
      </c>
      <c r="I31" s="8" t="str">
        <f t="shared" si="7"/>
        <v/>
      </c>
      <c r="L31" t="str">
        <f>IFERROR(MATCH($C$5&amp;"|"&amp;RIGHT("000000"&amp;15,6),LdgRankKeyA,0),"")</f>
        <v/>
      </c>
      <c r="M31" t="str">
        <f>IFERROR(MATCH($C$5&amp;"|"&amp;RIGHT("000000"&amp;15,6),LdgRankKeyB,0),"")</f>
        <v/>
      </c>
    </row>
    <row r="32" spans="1:13" x14ac:dyDescent="0.2">
      <c r="A32" s="9">
        <v>16</v>
      </c>
      <c r="B32" s="10" t="str">
        <f t="shared" si="0"/>
        <v/>
      </c>
      <c r="C32" s="10" t="str">
        <f t="shared" si="1"/>
        <v/>
      </c>
      <c r="D32" s="10" t="str">
        <f t="shared" si="2"/>
        <v/>
      </c>
      <c r="E32" s="11" t="str">
        <f t="shared" si="3"/>
        <v/>
      </c>
      <c r="F32" s="12" t="str">
        <f t="shared" si="4"/>
        <v/>
      </c>
      <c r="G32" s="13" t="str">
        <f t="shared" si="5"/>
        <v/>
      </c>
      <c r="H32" s="13" t="str">
        <f t="shared" si="6"/>
        <v/>
      </c>
      <c r="I32" s="14" t="str">
        <f t="shared" si="7"/>
        <v/>
      </c>
      <c r="L32" t="str">
        <f>IFERROR(MATCH($C$5&amp;"|"&amp;RIGHT("000000"&amp;16,6),LdgRankKeyA,0),"")</f>
        <v/>
      </c>
      <c r="M32" t="str">
        <f>IFERROR(MATCH($C$5&amp;"|"&amp;RIGHT("000000"&amp;16,6),LdgRankKeyB,0),"")</f>
        <v/>
      </c>
    </row>
    <row r="33" spans="1:13" x14ac:dyDescent="0.2">
      <c r="A33" s="3">
        <v>17</v>
      </c>
      <c r="B33" s="4" t="str">
        <f t="shared" si="0"/>
        <v/>
      </c>
      <c r="C33" s="4" t="str">
        <f t="shared" si="1"/>
        <v/>
      </c>
      <c r="D33" s="4" t="str">
        <f t="shared" si="2"/>
        <v/>
      </c>
      <c r="E33" s="5" t="str">
        <f t="shared" si="3"/>
        <v/>
      </c>
      <c r="F33" s="6" t="str">
        <f t="shared" si="4"/>
        <v/>
      </c>
      <c r="G33" s="7" t="str">
        <f t="shared" si="5"/>
        <v/>
      </c>
      <c r="H33" s="7" t="str">
        <f t="shared" si="6"/>
        <v/>
      </c>
      <c r="I33" s="8" t="str">
        <f t="shared" si="7"/>
        <v/>
      </c>
      <c r="L33" t="str">
        <f>IFERROR(MATCH($C$5&amp;"|"&amp;RIGHT("000000"&amp;17,6),LdgRankKeyA,0),"")</f>
        <v/>
      </c>
      <c r="M33" t="str">
        <f>IFERROR(MATCH($C$5&amp;"|"&amp;RIGHT("000000"&amp;17,6),LdgRankKeyB,0),"")</f>
        <v/>
      </c>
    </row>
    <row r="34" spans="1:13" x14ac:dyDescent="0.2">
      <c r="A34" s="9">
        <v>18</v>
      </c>
      <c r="B34" s="10" t="str">
        <f t="shared" si="0"/>
        <v/>
      </c>
      <c r="C34" s="10" t="str">
        <f t="shared" si="1"/>
        <v/>
      </c>
      <c r="D34" s="10" t="str">
        <f t="shared" si="2"/>
        <v/>
      </c>
      <c r="E34" s="11" t="str">
        <f t="shared" si="3"/>
        <v/>
      </c>
      <c r="F34" s="12" t="str">
        <f t="shared" si="4"/>
        <v/>
      </c>
      <c r="G34" s="13" t="str">
        <f t="shared" si="5"/>
        <v/>
      </c>
      <c r="H34" s="13" t="str">
        <f t="shared" si="6"/>
        <v/>
      </c>
      <c r="I34" s="14" t="str">
        <f t="shared" si="7"/>
        <v/>
      </c>
      <c r="L34" t="str">
        <f>IFERROR(MATCH($C$5&amp;"|"&amp;RIGHT("000000"&amp;18,6),LdgRankKeyA,0),"")</f>
        <v/>
      </c>
      <c r="M34" t="str">
        <f>IFERROR(MATCH($C$5&amp;"|"&amp;RIGHT("000000"&amp;18,6),LdgRankKeyB,0),"")</f>
        <v/>
      </c>
    </row>
    <row r="35" spans="1:13" x14ac:dyDescent="0.2">
      <c r="A35" s="3">
        <v>19</v>
      </c>
      <c r="B35" s="4" t="str">
        <f t="shared" si="0"/>
        <v/>
      </c>
      <c r="C35" s="4" t="str">
        <f t="shared" si="1"/>
        <v/>
      </c>
      <c r="D35" s="4" t="str">
        <f t="shared" si="2"/>
        <v/>
      </c>
      <c r="E35" s="5" t="str">
        <f t="shared" si="3"/>
        <v/>
      </c>
      <c r="F35" s="6" t="str">
        <f t="shared" si="4"/>
        <v/>
      </c>
      <c r="G35" s="7" t="str">
        <f t="shared" si="5"/>
        <v/>
      </c>
      <c r="H35" s="7" t="str">
        <f t="shared" si="6"/>
        <v/>
      </c>
      <c r="I35" s="8" t="str">
        <f t="shared" si="7"/>
        <v/>
      </c>
      <c r="L35" t="str">
        <f>IFERROR(MATCH($C$5&amp;"|"&amp;RIGHT("000000"&amp;19,6),LdgRankKeyA,0),"")</f>
        <v/>
      </c>
      <c r="M35" t="str">
        <f>IFERROR(MATCH($C$5&amp;"|"&amp;RIGHT("000000"&amp;19,6),LdgRankKeyB,0),"")</f>
        <v/>
      </c>
    </row>
    <row r="36" spans="1:13" x14ac:dyDescent="0.2">
      <c r="A36" s="9">
        <v>20</v>
      </c>
      <c r="B36" s="10" t="str">
        <f t="shared" si="0"/>
        <v/>
      </c>
      <c r="C36" s="10" t="str">
        <f t="shared" si="1"/>
        <v/>
      </c>
      <c r="D36" s="10" t="str">
        <f t="shared" si="2"/>
        <v/>
      </c>
      <c r="E36" s="11" t="str">
        <f t="shared" si="3"/>
        <v/>
      </c>
      <c r="F36" s="12" t="str">
        <f t="shared" si="4"/>
        <v/>
      </c>
      <c r="G36" s="13" t="str">
        <f t="shared" si="5"/>
        <v/>
      </c>
      <c r="H36" s="13" t="str">
        <f t="shared" si="6"/>
        <v/>
      </c>
      <c r="I36" s="14" t="str">
        <f t="shared" si="7"/>
        <v/>
      </c>
      <c r="L36" t="str">
        <f>IFERROR(MATCH($C$5&amp;"|"&amp;RIGHT("000000"&amp;20,6),LdgRankKeyA,0),"")</f>
        <v/>
      </c>
      <c r="M36" t="str">
        <f>IFERROR(MATCH($C$5&amp;"|"&amp;RIGHT("000000"&amp;20,6),LdgRankKeyB,0),"")</f>
        <v/>
      </c>
    </row>
    <row r="37" spans="1:13" x14ac:dyDescent="0.2">
      <c r="A37" s="3">
        <v>21</v>
      </c>
      <c r="B37" s="4" t="str">
        <f t="shared" si="0"/>
        <v/>
      </c>
      <c r="C37" s="4" t="str">
        <f t="shared" si="1"/>
        <v/>
      </c>
      <c r="D37" s="4" t="str">
        <f t="shared" si="2"/>
        <v/>
      </c>
      <c r="E37" s="5" t="str">
        <f t="shared" si="3"/>
        <v/>
      </c>
      <c r="F37" s="6" t="str">
        <f t="shared" si="4"/>
        <v/>
      </c>
      <c r="G37" s="7" t="str">
        <f t="shared" si="5"/>
        <v/>
      </c>
      <c r="H37" s="7" t="str">
        <f t="shared" si="6"/>
        <v/>
      </c>
      <c r="I37" s="8" t="str">
        <f t="shared" si="7"/>
        <v/>
      </c>
      <c r="L37" t="str">
        <f>IFERROR(MATCH($C$5&amp;"|"&amp;RIGHT("000000"&amp;21,6),LdgRankKeyA,0),"")</f>
        <v/>
      </c>
      <c r="M37" t="str">
        <f>IFERROR(MATCH($C$5&amp;"|"&amp;RIGHT("000000"&amp;21,6),LdgRankKeyB,0),"")</f>
        <v/>
      </c>
    </row>
    <row r="38" spans="1:13" x14ac:dyDescent="0.2">
      <c r="A38" s="9">
        <v>22</v>
      </c>
      <c r="B38" s="10" t="str">
        <f t="shared" si="0"/>
        <v/>
      </c>
      <c r="C38" s="10" t="str">
        <f t="shared" si="1"/>
        <v/>
      </c>
      <c r="D38" s="10" t="str">
        <f t="shared" si="2"/>
        <v/>
      </c>
      <c r="E38" s="11" t="str">
        <f t="shared" si="3"/>
        <v/>
      </c>
      <c r="F38" s="12" t="str">
        <f t="shared" si="4"/>
        <v/>
      </c>
      <c r="G38" s="13" t="str">
        <f t="shared" si="5"/>
        <v/>
      </c>
      <c r="H38" s="13" t="str">
        <f t="shared" si="6"/>
        <v/>
      </c>
      <c r="I38" s="14" t="str">
        <f t="shared" si="7"/>
        <v/>
      </c>
      <c r="L38" t="str">
        <f>IFERROR(MATCH($C$5&amp;"|"&amp;RIGHT("000000"&amp;22,6),LdgRankKeyA,0),"")</f>
        <v/>
      </c>
      <c r="M38" t="str">
        <f>IFERROR(MATCH($C$5&amp;"|"&amp;RIGHT("000000"&amp;22,6),LdgRankKeyB,0),"")</f>
        <v/>
      </c>
    </row>
    <row r="39" spans="1:13" x14ac:dyDescent="0.2">
      <c r="A39" s="3">
        <v>23</v>
      </c>
      <c r="B39" s="4" t="str">
        <f t="shared" si="0"/>
        <v/>
      </c>
      <c r="C39" s="4" t="str">
        <f t="shared" si="1"/>
        <v/>
      </c>
      <c r="D39" s="4" t="str">
        <f t="shared" si="2"/>
        <v/>
      </c>
      <c r="E39" s="5" t="str">
        <f t="shared" si="3"/>
        <v/>
      </c>
      <c r="F39" s="6" t="str">
        <f t="shared" si="4"/>
        <v/>
      </c>
      <c r="G39" s="7" t="str">
        <f t="shared" si="5"/>
        <v/>
      </c>
      <c r="H39" s="7" t="str">
        <f t="shared" si="6"/>
        <v/>
      </c>
      <c r="I39" s="8" t="str">
        <f t="shared" si="7"/>
        <v/>
      </c>
      <c r="L39" t="str">
        <f>IFERROR(MATCH($C$5&amp;"|"&amp;RIGHT("000000"&amp;23,6),LdgRankKeyA,0),"")</f>
        <v/>
      </c>
      <c r="M39" t="str">
        <f>IFERROR(MATCH($C$5&amp;"|"&amp;RIGHT("000000"&amp;23,6),LdgRankKeyB,0),"")</f>
        <v/>
      </c>
    </row>
    <row r="40" spans="1:13" x14ac:dyDescent="0.2">
      <c r="A40" s="9">
        <v>24</v>
      </c>
      <c r="B40" s="10" t="str">
        <f t="shared" si="0"/>
        <v/>
      </c>
      <c r="C40" s="10" t="str">
        <f t="shared" si="1"/>
        <v/>
      </c>
      <c r="D40" s="10" t="str">
        <f t="shared" si="2"/>
        <v/>
      </c>
      <c r="E40" s="11" t="str">
        <f t="shared" si="3"/>
        <v/>
      </c>
      <c r="F40" s="12" t="str">
        <f t="shared" si="4"/>
        <v/>
      </c>
      <c r="G40" s="13" t="str">
        <f t="shared" si="5"/>
        <v/>
      </c>
      <c r="H40" s="13" t="str">
        <f t="shared" si="6"/>
        <v/>
      </c>
      <c r="I40" s="14" t="str">
        <f t="shared" si="7"/>
        <v/>
      </c>
      <c r="L40" t="str">
        <f>IFERROR(MATCH($C$5&amp;"|"&amp;RIGHT("000000"&amp;24,6),LdgRankKeyA,0),"")</f>
        <v/>
      </c>
      <c r="M40" t="str">
        <f>IFERROR(MATCH($C$5&amp;"|"&amp;RIGHT("000000"&amp;24,6),LdgRankKeyB,0),"")</f>
        <v/>
      </c>
    </row>
    <row r="41" spans="1:13" x14ac:dyDescent="0.2">
      <c r="A41" s="3">
        <v>25</v>
      </c>
      <c r="B41" s="4" t="str">
        <f t="shared" si="0"/>
        <v/>
      </c>
      <c r="C41" s="4" t="str">
        <f t="shared" si="1"/>
        <v/>
      </c>
      <c r="D41" s="4" t="str">
        <f t="shared" si="2"/>
        <v/>
      </c>
      <c r="E41" s="5" t="str">
        <f t="shared" si="3"/>
        <v/>
      </c>
      <c r="F41" s="6" t="str">
        <f t="shared" si="4"/>
        <v/>
      </c>
      <c r="G41" s="7" t="str">
        <f t="shared" si="5"/>
        <v/>
      </c>
      <c r="H41" s="7" t="str">
        <f t="shared" si="6"/>
        <v/>
      </c>
      <c r="I41" s="8" t="str">
        <f t="shared" si="7"/>
        <v/>
      </c>
      <c r="L41" t="str">
        <f>IFERROR(MATCH($C$5&amp;"|"&amp;RIGHT("000000"&amp;25,6),LdgRankKeyA,0),"")</f>
        <v/>
      </c>
      <c r="M41" t="str">
        <f>IFERROR(MATCH($C$5&amp;"|"&amp;RIGHT("000000"&amp;25,6),LdgRankKeyB,0),"")</f>
        <v/>
      </c>
    </row>
    <row r="42" spans="1:13" x14ac:dyDescent="0.2">
      <c r="A42" s="9">
        <v>26</v>
      </c>
      <c r="B42" s="10" t="str">
        <f t="shared" si="0"/>
        <v/>
      </c>
      <c r="C42" s="10" t="str">
        <f t="shared" si="1"/>
        <v/>
      </c>
      <c r="D42" s="10" t="str">
        <f t="shared" si="2"/>
        <v/>
      </c>
      <c r="E42" s="11" t="str">
        <f t="shared" si="3"/>
        <v/>
      </c>
      <c r="F42" s="12" t="str">
        <f t="shared" si="4"/>
        <v/>
      </c>
      <c r="G42" s="13" t="str">
        <f t="shared" si="5"/>
        <v/>
      </c>
      <c r="H42" s="13" t="str">
        <f t="shared" si="6"/>
        <v/>
      </c>
      <c r="I42" s="14" t="str">
        <f t="shared" si="7"/>
        <v/>
      </c>
      <c r="L42" t="str">
        <f>IFERROR(MATCH($C$5&amp;"|"&amp;RIGHT("000000"&amp;26,6),LdgRankKeyA,0),"")</f>
        <v/>
      </c>
      <c r="M42" t="str">
        <f>IFERROR(MATCH($C$5&amp;"|"&amp;RIGHT("000000"&amp;26,6),LdgRankKeyB,0),"")</f>
        <v/>
      </c>
    </row>
    <row r="43" spans="1:13" x14ac:dyDescent="0.2">
      <c r="A43" s="3">
        <v>27</v>
      </c>
      <c r="B43" s="4" t="str">
        <f t="shared" si="0"/>
        <v/>
      </c>
      <c r="C43" s="4" t="str">
        <f t="shared" si="1"/>
        <v/>
      </c>
      <c r="D43" s="4" t="str">
        <f t="shared" si="2"/>
        <v/>
      </c>
      <c r="E43" s="5" t="str">
        <f t="shared" si="3"/>
        <v/>
      </c>
      <c r="F43" s="6" t="str">
        <f t="shared" si="4"/>
        <v/>
      </c>
      <c r="G43" s="7" t="str">
        <f t="shared" si="5"/>
        <v/>
      </c>
      <c r="H43" s="7" t="str">
        <f t="shared" si="6"/>
        <v/>
      </c>
      <c r="I43" s="8" t="str">
        <f t="shared" si="7"/>
        <v/>
      </c>
      <c r="L43" t="str">
        <f>IFERROR(MATCH($C$5&amp;"|"&amp;RIGHT("000000"&amp;27,6),LdgRankKeyA,0),"")</f>
        <v/>
      </c>
      <c r="M43" t="str">
        <f>IFERROR(MATCH($C$5&amp;"|"&amp;RIGHT("000000"&amp;27,6),LdgRankKeyB,0),"")</f>
        <v/>
      </c>
    </row>
    <row r="44" spans="1:13" x14ac:dyDescent="0.2">
      <c r="A44" s="9">
        <v>28</v>
      </c>
      <c r="B44" s="10" t="str">
        <f t="shared" si="0"/>
        <v/>
      </c>
      <c r="C44" s="10" t="str">
        <f t="shared" si="1"/>
        <v/>
      </c>
      <c r="D44" s="10" t="str">
        <f t="shared" si="2"/>
        <v/>
      </c>
      <c r="E44" s="11" t="str">
        <f t="shared" si="3"/>
        <v/>
      </c>
      <c r="F44" s="12" t="str">
        <f t="shared" si="4"/>
        <v/>
      </c>
      <c r="G44" s="13" t="str">
        <f t="shared" si="5"/>
        <v/>
      </c>
      <c r="H44" s="13" t="str">
        <f t="shared" si="6"/>
        <v/>
      </c>
      <c r="I44" s="14" t="str">
        <f t="shared" si="7"/>
        <v/>
      </c>
      <c r="L44" t="str">
        <f>IFERROR(MATCH($C$5&amp;"|"&amp;RIGHT("000000"&amp;28,6),LdgRankKeyA,0),"")</f>
        <v/>
      </c>
      <c r="M44" t="str">
        <f>IFERROR(MATCH($C$5&amp;"|"&amp;RIGHT("000000"&amp;28,6),LdgRankKeyB,0),"")</f>
        <v/>
      </c>
    </row>
    <row r="45" spans="1:13" x14ac:dyDescent="0.2">
      <c r="A45" s="3">
        <v>29</v>
      </c>
      <c r="B45" s="4" t="str">
        <f t="shared" si="0"/>
        <v/>
      </c>
      <c r="C45" s="4" t="str">
        <f t="shared" si="1"/>
        <v/>
      </c>
      <c r="D45" s="4" t="str">
        <f t="shared" si="2"/>
        <v/>
      </c>
      <c r="E45" s="5" t="str">
        <f t="shared" si="3"/>
        <v/>
      </c>
      <c r="F45" s="6" t="str">
        <f t="shared" si="4"/>
        <v/>
      </c>
      <c r="G45" s="7" t="str">
        <f t="shared" si="5"/>
        <v/>
      </c>
      <c r="H45" s="7" t="str">
        <f t="shared" si="6"/>
        <v/>
      </c>
      <c r="I45" s="8" t="str">
        <f t="shared" si="7"/>
        <v/>
      </c>
      <c r="L45" t="str">
        <f>IFERROR(MATCH($C$5&amp;"|"&amp;RIGHT("000000"&amp;29,6),LdgRankKeyA,0),"")</f>
        <v/>
      </c>
      <c r="M45" t="str">
        <f>IFERROR(MATCH($C$5&amp;"|"&amp;RIGHT("000000"&amp;29,6),LdgRankKeyB,0),"")</f>
        <v/>
      </c>
    </row>
    <row r="46" spans="1:13" x14ac:dyDescent="0.2">
      <c r="A46" s="9">
        <v>30</v>
      </c>
      <c r="B46" s="10" t="str">
        <f t="shared" si="0"/>
        <v/>
      </c>
      <c r="C46" s="10" t="str">
        <f t="shared" si="1"/>
        <v/>
      </c>
      <c r="D46" s="10" t="str">
        <f t="shared" si="2"/>
        <v/>
      </c>
      <c r="E46" s="11" t="str">
        <f t="shared" si="3"/>
        <v/>
      </c>
      <c r="F46" s="12" t="str">
        <f t="shared" si="4"/>
        <v/>
      </c>
      <c r="G46" s="13" t="str">
        <f t="shared" si="5"/>
        <v/>
      </c>
      <c r="H46" s="13" t="str">
        <f t="shared" si="6"/>
        <v/>
      </c>
      <c r="I46" s="14" t="str">
        <f t="shared" si="7"/>
        <v/>
      </c>
      <c r="L46" t="str">
        <f>IFERROR(MATCH($C$5&amp;"|"&amp;RIGHT("000000"&amp;30,6),LdgRankKeyA,0),"")</f>
        <v/>
      </c>
      <c r="M46" t="str">
        <f>IFERROR(MATCH($C$5&amp;"|"&amp;RIGHT("000000"&amp;30,6),LdgRankKeyB,0),"")</f>
        <v/>
      </c>
    </row>
    <row r="47" spans="1:13" x14ac:dyDescent="0.2">
      <c r="A47" s="3">
        <v>31</v>
      </c>
      <c r="B47" s="4" t="str">
        <f t="shared" si="0"/>
        <v/>
      </c>
      <c r="C47" s="4" t="str">
        <f t="shared" si="1"/>
        <v/>
      </c>
      <c r="D47" s="4" t="str">
        <f t="shared" si="2"/>
        <v/>
      </c>
      <c r="E47" s="5" t="str">
        <f t="shared" si="3"/>
        <v/>
      </c>
      <c r="F47" s="6" t="str">
        <f t="shared" si="4"/>
        <v/>
      </c>
      <c r="G47" s="7" t="str">
        <f t="shared" si="5"/>
        <v/>
      </c>
      <c r="H47" s="7" t="str">
        <f t="shared" si="6"/>
        <v/>
      </c>
      <c r="I47" s="8" t="str">
        <f t="shared" si="7"/>
        <v/>
      </c>
      <c r="L47" t="str">
        <f>IFERROR(MATCH($C$5&amp;"|"&amp;RIGHT("000000"&amp;31,6),LdgRankKeyA,0),"")</f>
        <v/>
      </c>
      <c r="M47" t="str">
        <f>IFERROR(MATCH($C$5&amp;"|"&amp;RIGHT("000000"&amp;31,6),LdgRankKeyB,0),"")</f>
        <v/>
      </c>
    </row>
    <row r="48" spans="1:13" x14ac:dyDescent="0.2">
      <c r="A48" s="9">
        <v>32</v>
      </c>
      <c r="B48" s="10" t="str">
        <f t="shared" si="0"/>
        <v/>
      </c>
      <c r="C48" s="10" t="str">
        <f t="shared" si="1"/>
        <v/>
      </c>
      <c r="D48" s="10" t="str">
        <f t="shared" si="2"/>
        <v/>
      </c>
      <c r="E48" s="11" t="str">
        <f t="shared" si="3"/>
        <v/>
      </c>
      <c r="F48" s="12" t="str">
        <f t="shared" si="4"/>
        <v/>
      </c>
      <c r="G48" s="13" t="str">
        <f t="shared" si="5"/>
        <v/>
      </c>
      <c r="H48" s="13" t="str">
        <f t="shared" si="6"/>
        <v/>
      </c>
      <c r="I48" s="14" t="str">
        <f t="shared" si="7"/>
        <v/>
      </c>
      <c r="L48" t="str">
        <f>IFERROR(MATCH($C$5&amp;"|"&amp;RIGHT("000000"&amp;32,6),LdgRankKeyA,0),"")</f>
        <v/>
      </c>
      <c r="M48" t="str">
        <f>IFERROR(MATCH($C$5&amp;"|"&amp;RIGHT("000000"&amp;32,6),LdgRankKeyB,0),"")</f>
        <v/>
      </c>
    </row>
    <row r="49" spans="1:13" x14ac:dyDescent="0.2">
      <c r="A49" s="3">
        <v>33</v>
      </c>
      <c r="B49" s="4" t="str">
        <f t="shared" si="0"/>
        <v/>
      </c>
      <c r="C49" s="4" t="str">
        <f t="shared" si="1"/>
        <v/>
      </c>
      <c r="D49" s="4" t="str">
        <f t="shared" si="2"/>
        <v/>
      </c>
      <c r="E49" s="5" t="str">
        <f t="shared" si="3"/>
        <v/>
      </c>
      <c r="F49" s="6" t="str">
        <f t="shared" si="4"/>
        <v/>
      </c>
      <c r="G49" s="7" t="str">
        <f t="shared" si="5"/>
        <v/>
      </c>
      <c r="H49" s="7" t="str">
        <f t="shared" si="6"/>
        <v/>
      </c>
      <c r="I49" s="8" t="str">
        <f t="shared" si="7"/>
        <v/>
      </c>
      <c r="L49" t="str">
        <f>IFERROR(MATCH($C$5&amp;"|"&amp;RIGHT("000000"&amp;33,6),LdgRankKeyA,0),"")</f>
        <v/>
      </c>
      <c r="M49" t="str">
        <f>IFERROR(MATCH($C$5&amp;"|"&amp;RIGHT("000000"&amp;33,6),LdgRankKeyB,0),"")</f>
        <v/>
      </c>
    </row>
    <row r="50" spans="1:13" x14ac:dyDescent="0.2">
      <c r="A50" s="9">
        <v>34</v>
      </c>
      <c r="B50" s="10" t="str">
        <f t="shared" si="0"/>
        <v/>
      </c>
      <c r="C50" s="10" t="str">
        <f t="shared" si="1"/>
        <v/>
      </c>
      <c r="D50" s="10" t="str">
        <f t="shared" si="2"/>
        <v/>
      </c>
      <c r="E50" s="11" t="str">
        <f t="shared" si="3"/>
        <v/>
      </c>
      <c r="F50" s="12" t="str">
        <f t="shared" si="4"/>
        <v/>
      </c>
      <c r="G50" s="13" t="str">
        <f t="shared" si="5"/>
        <v/>
      </c>
      <c r="H50" s="13" t="str">
        <f t="shared" si="6"/>
        <v/>
      </c>
      <c r="I50" s="14" t="str">
        <f t="shared" si="7"/>
        <v/>
      </c>
      <c r="L50" t="str">
        <f>IFERROR(MATCH($C$5&amp;"|"&amp;RIGHT("000000"&amp;34,6),LdgRankKeyA,0),"")</f>
        <v/>
      </c>
      <c r="M50" t="str">
        <f>IFERROR(MATCH($C$5&amp;"|"&amp;RIGHT("000000"&amp;34,6),LdgRankKeyB,0),"")</f>
        <v/>
      </c>
    </row>
    <row r="51" spans="1:13" x14ac:dyDescent="0.2">
      <c r="A51" s="3">
        <v>35</v>
      </c>
      <c r="B51" s="4" t="str">
        <f t="shared" si="0"/>
        <v/>
      </c>
      <c r="C51" s="4" t="str">
        <f t="shared" si="1"/>
        <v/>
      </c>
      <c r="D51" s="4" t="str">
        <f t="shared" si="2"/>
        <v/>
      </c>
      <c r="E51" s="5" t="str">
        <f t="shared" si="3"/>
        <v/>
      </c>
      <c r="F51" s="6" t="str">
        <f t="shared" si="4"/>
        <v/>
      </c>
      <c r="G51" s="7" t="str">
        <f t="shared" si="5"/>
        <v/>
      </c>
      <c r="H51" s="7" t="str">
        <f t="shared" si="6"/>
        <v/>
      </c>
      <c r="I51" s="8" t="str">
        <f t="shared" si="7"/>
        <v/>
      </c>
      <c r="L51" t="str">
        <f>IFERROR(MATCH($C$5&amp;"|"&amp;RIGHT("000000"&amp;35,6),LdgRankKeyA,0),"")</f>
        <v/>
      </c>
      <c r="M51" t="str">
        <f>IFERROR(MATCH($C$5&amp;"|"&amp;RIGHT("000000"&amp;35,6),LdgRankKeyB,0),"")</f>
        <v/>
      </c>
    </row>
    <row r="52" spans="1:13" x14ac:dyDescent="0.2">
      <c r="A52" s="9">
        <v>36</v>
      </c>
      <c r="B52" s="10" t="str">
        <f t="shared" si="0"/>
        <v/>
      </c>
      <c r="C52" s="10" t="str">
        <f t="shared" si="1"/>
        <v/>
      </c>
      <c r="D52" s="10" t="str">
        <f t="shared" si="2"/>
        <v/>
      </c>
      <c r="E52" s="11" t="str">
        <f t="shared" si="3"/>
        <v/>
      </c>
      <c r="F52" s="12" t="str">
        <f t="shared" si="4"/>
        <v/>
      </c>
      <c r="G52" s="13" t="str">
        <f t="shared" si="5"/>
        <v/>
      </c>
      <c r="H52" s="13" t="str">
        <f t="shared" si="6"/>
        <v/>
      </c>
      <c r="I52" s="14" t="str">
        <f t="shared" si="7"/>
        <v/>
      </c>
      <c r="L52" t="str">
        <f>IFERROR(MATCH($C$5&amp;"|"&amp;RIGHT("000000"&amp;36,6),LdgRankKeyA,0),"")</f>
        <v/>
      </c>
      <c r="M52" t="str">
        <f>IFERROR(MATCH($C$5&amp;"|"&amp;RIGHT("000000"&amp;36,6),LdgRankKeyB,0),"")</f>
        <v/>
      </c>
    </row>
    <row r="53" spans="1:13" x14ac:dyDescent="0.2">
      <c r="A53" s="3">
        <v>37</v>
      </c>
      <c r="B53" s="4" t="str">
        <f t="shared" si="0"/>
        <v/>
      </c>
      <c r="C53" s="4" t="str">
        <f t="shared" si="1"/>
        <v/>
      </c>
      <c r="D53" s="4" t="str">
        <f t="shared" si="2"/>
        <v/>
      </c>
      <c r="E53" s="5" t="str">
        <f t="shared" si="3"/>
        <v/>
      </c>
      <c r="F53" s="6" t="str">
        <f t="shared" si="4"/>
        <v/>
      </c>
      <c r="G53" s="7" t="str">
        <f t="shared" si="5"/>
        <v/>
      </c>
      <c r="H53" s="7" t="str">
        <f t="shared" si="6"/>
        <v/>
      </c>
      <c r="I53" s="8" t="str">
        <f t="shared" si="7"/>
        <v/>
      </c>
      <c r="L53" t="str">
        <f>IFERROR(MATCH($C$5&amp;"|"&amp;RIGHT("000000"&amp;37,6),LdgRankKeyA,0),"")</f>
        <v/>
      </c>
      <c r="M53" t="str">
        <f>IFERROR(MATCH($C$5&amp;"|"&amp;RIGHT("000000"&amp;37,6),LdgRankKeyB,0),"")</f>
        <v/>
      </c>
    </row>
    <row r="54" spans="1:13" x14ac:dyDescent="0.2">
      <c r="A54" s="9">
        <v>38</v>
      </c>
      <c r="B54" s="10" t="str">
        <f t="shared" si="0"/>
        <v/>
      </c>
      <c r="C54" s="10" t="str">
        <f t="shared" si="1"/>
        <v/>
      </c>
      <c r="D54" s="10" t="str">
        <f t="shared" si="2"/>
        <v/>
      </c>
      <c r="E54" s="11" t="str">
        <f t="shared" si="3"/>
        <v/>
      </c>
      <c r="F54" s="12" t="str">
        <f t="shared" si="4"/>
        <v/>
      </c>
      <c r="G54" s="13" t="str">
        <f t="shared" si="5"/>
        <v/>
      </c>
      <c r="H54" s="13" t="str">
        <f t="shared" si="6"/>
        <v/>
      </c>
      <c r="I54" s="14" t="str">
        <f t="shared" si="7"/>
        <v/>
      </c>
      <c r="L54" t="str">
        <f>IFERROR(MATCH($C$5&amp;"|"&amp;RIGHT("000000"&amp;38,6),LdgRankKeyA,0),"")</f>
        <v/>
      </c>
      <c r="M54" t="str">
        <f>IFERROR(MATCH($C$5&amp;"|"&amp;RIGHT("000000"&amp;38,6),LdgRankKeyB,0),"")</f>
        <v/>
      </c>
    </row>
    <row r="55" spans="1:13" x14ac:dyDescent="0.2">
      <c r="A55" s="3">
        <v>39</v>
      </c>
      <c r="B55" s="4" t="str">
        <f t="shared" si="0"/>
        <v/>
      </c>
      <c r="C55" s="4" t="str">
        <f t="shared" si="1"/>
        <v/>
      </c>
      <c r="D55" s="4" t="str">
        <f t="shared" si="2"/>
        <v/>
      </c>
      <c r="E55" s="5" t="str">
        <f t="shared" si="3"/>
        <v/>
      </c>
      <c r="F55" s="6" t="str">
        <f t="shared" si="4"/>
        <v/>
      </c>
      <c r="G55" s="7" t="str">
        <f t="shared" si="5"/>
        <v/>
      </c>
      <c r="H55" s="7" t="str">
        <f t="shared" si="6"/>
        <v/>
      </c>
      <c r="I55" s="8" t="str">
        <f t="shared" si="7"/>
        <v/>
      </c>
      <c r="L55" t="str">
        <f>IFERROR(MATCH($C$5&amp;"|"&amp;RIGHT("000000"&amp;39,6),LdgRankKeyA,0),"")</f>
        <v/>
      </c>
      <c r="M55" t="str">
        <f>IFERROR(MATCH($C$5&amp;"|"&amp;RIGHT("000000"&amp;39,6),LdgRankKeyB,0),"")</f>
        <v/>
      </c>
    </row>
    <row r="56" spans="1:13" x14ac:dyDescent="0.2">
      <c r="A56" s="9">
        <v>40</v>
      </c>
      <c r="B56" s="10" t="str">
        <f t="shared" si="0"/>
        <v/>
      </c>
      <c r="C56" s="10" t="str">
        <f t="shared" si="1"/>
        <v/>
      </c>
      <c r="D56" s="10" t="str">
        <f t="shared" si="2"/>
        <v/>
      </c>
      <c r="E56" s="11" t="str">
        <f t="shared" si="3"/>
        <v/>
      </c>
      <c r="F56" s="12" t="str">
        <f t="shared" si="4"/>
        <v/>
      </c>
      <c r="G56" s="13" t="str">
        <f t="shared" si="5"/>
        <v/>
      </c>
      <c r="H56" s="13" t="str">
        <f t="shared" si="6"/>
        <v/>
      </c>
      <c r="I56" s="14" t="str">
        <f t="shared" si="7"/>
        <v/>
      </c>
      <c r="L56" t="str">
        <f>IFERROR(MATCH($C$5&amp;"|"&amp;RIGHT("000000"&amp;40,6),LdgRankKeyA,0),"")</f>
        <v/>
      </c>
      <c r="M56" t="str">
        <f>IFERROR(MATCH($C$5&amp;"|"&amp;RIGHT("000000"&amp;40,6),LdgRankKeyB,0),"")</f>
        <v/>
      </c>
    </row>
    <row r="57" spans="1:13" x14ac:dyDescent="0.2">
      <c r="A57" s="3">
        <v>41</v>
      </c>
      <c r="B57" s="4" t="str">
        <f t="shared" si="0"/>
        <v/>
      </c>
      <c r="C57" s="4" t="str">
        <f t="shared" si="1"/>
        <v/>
      </c>
      <c r="D57" s="4" t="str">
        <f t="shared" si="2"/>
        <v/>
      </c>
      <c r="E57" s="5" t="str">
        <f t="shared" si="3"/>
        <v/>
      </c>
      <c r="F57" s="6" t="str">
        <f t="shared" si="4"/>
        <v/>
      </c>
      <c r="G57" s="7" t="str">
        <f t="shared" si="5"/>
        <v/>
      </c>
      <c r="H57" s="7" t="str">
        <f t="shared" si="6"/>
        <v/>
      </c>
      <c r="I57" s="8" t="str">
        <f t="shared" si="7"/>
        <v/>
      </c>
      <c r="L57" t="str">
        <f>IFERROR(MATCH($C$5&amp;"|"&amp;RIGHT("000000"&amp;41,6),LdgRankKeyA,0),"")</f>
        <v/>
      </c>
      <c r="M57" t="str">
        <f>IFERROR(MATCH($C$5&amp;"|"&amp;RIGHT("000000"&amp;41,6),LdgRankKeyB,0),"")</f>
        <v/>
      </c>
    </row>
    <row r="58" spans="1:13" x14ac:dyDescent="0.2">
      <c r="A58" s="9">
        <v>42</v>
      </c>
      <c r="B58" s="10" t="str">
        <f t="shared" si="0"/>
        <v/>
      </c>
      <c r="C58" s="10" t="str">
        <f t="shared" si="1"/>
        <v/>
      </c>
      <c r="D58" s="10" t="str">
        <f t="shared" si="2"/>
        <v/>
      </c>
      <c r="E58" s="11" t="str">
        <f t="shared" si="3"/>
        <v/>
      </c>
      <c r="F58" s="12" t="str">
        <f t="shared" si="4"/>
        <v/>
      </c>
      <c r="G58" s="13" t="str">
        <f t="shared" si="5"/>
        <v/>
      </c>
      <c r="H58" s="13" t="str">
        <f t="shared" si="6"/>
        <v/>
      </c>
      <c r="I58" s="14" t="str">
        <f t="shared" si="7"/>
        <v/>
      </c>
      <c r="L58" t="str">
        <f>IFERROR(MATCH($C$5&amp;"|"&amp;RIGHT("000000"&amp;42,6),LdgRankKeyA,0),"")</f>
        <v/>
      </c>
      <c r="M58" t="str">
        <f>IFERROR(MATCH($C$5&amp;"|"&amp;RIGHT("000000"&amp;42,6),LdgRankKeyB,0),"")</f>
        <v/>
      </c>
    </row>
    <row r="59" spans="1:13" x14ac:dyDescent="0.2">
      <c r="A59" s="3">
        <v>43</v>
      </c>
      <c r="B59" s="4" t="str">
        <f t="shared" si="0"/>
        <v/>
      </c>
      <c r="C59" s="4" t="str">
        <f t="shared" si="1"/>
        <v/>
      </c>
      <c r="D59" s="4" t="str">
        <f t="shared" si="2"/>
        <v/>
      </c>
      <c r="E59" s="5" t="str">
        <f t="shared" si="3"/>
        <v/>
      </c>
      <c r="F59" s="6" t="str">
        <f t="shared" si="4"/>
        <v/>
      </c>
      <c r="G59" s="7" t="str">
        <f t="shared" si="5"/>
        <v/>
      </c>
      <c r="H59" s="7" t="str">
        <f t="shared" si="6"/>
        <v/>
      </c>
      <c r="I59" s="8" t="str">
        <f t="shared" si="7"/>
        <v/>
      </c>
      <c r="L59" t="str">
        <f>IFERROR(MATCH($C$5&amp;"|"&amp;RIGHT("000000"&amp;43,6),LdgRankKeyA,0),"")</f>
        <v/>
      </c>
      <c r="M59" t="str">
        <f>IFERROR(MATCH($C$5&amp;"|"&amp;RIGHT("000000"&amp;43,6),LdgRankKeyB,0),"")</f>
        <v/>
      </c>
    </row>
    <row r="60" spans="1:13" x14ac:dyDescent="0.2">
      <c r="A60" s="9">
        <v>44</v>
      </c>
      <c r="B60" s="10" t="str">
        <f t="shared" si="0"/>
        <v/>
      </c>
      <c r="C60" s="10" t="str">
        <f t="shared" si="1"/>
        <v/>
      </c>
      <c r="D60" s="10" t="str">
        <f t="shared" si="2"/>
        <v/>
      </c>
      <c r="E60" s="11" t="str">
        <f t="shared" si="3"/>
        <v/>
      </c>
      <c r="F60" s="12" t="str">
        <f t="shared" si="4"/>
        <v/>
      </c>
      <c r="G60" s="13" t="str">
        <f t="shared" si="5"/>
        <v/>
      </c>
      <c r="H60" s="13" t="str">
        <f t="shared" si="6"/>
        <v/>
      </c>
      <c r="I60" s="14" t="str">
        <f t="shared" si="7"/>
        <v/>
      </c>
      <c r="L60" t="str">
        <f>IFERROR(MATCH($C$5&amp;"|"&amp;RIGHT("000000"&amp;44,6),LdgRankKeyA,0),"")</f>
        <v/>
      </c>
      <c r="M60" t="str">
        <f>IFERROR(MATCH($C$5&amp;"|"&amp;RIGHT("000000"&amp;44,6),LdgRankKeyB,0),"")</f>
        <v/>
      </c>
    </row>
    <row r="61" spans="1:13" x14ac:dyDescent="0.2">
      <c r="A61" s="3">
        <v>45</v>
      </c>
      <c r="B61" s="4" t="str">
        <f t="shared" si="0"/>
        <v/>
      </c>
      <c r="C61" s="4" t="str">
        <f t="shared" si="1"/>
        <v/>
      </c>
      <c r="D61" s="4" t="str">
        <f t="shared" si="2"/>
        <v/>
      </c>
      <c r="E61" s="5" t="str">
        <f t="shared" si="3"/>
        <v/>
      </c>
      <c r="F61" s="6" t="str">
        <f t="shared" si="4"/>
        <v/>
      </c>
      <c r="G61" s="7" t="str">
        <f t="shared" si="5"/>
        <v/>
      </c>
      <c r="H61" s="7" t="str">
        <f t="shared" si="6"/>
        <v/>
      </c>
      <c r="I61" s="8" t="str">
        <f t="shared" si="7"/>
        <v/>
      </c>
      <c r="L61" t="str">
        <f>IFERROR(MATCH($C$5&amp;"|"&amp;RIGHT("000000"&amp;45,6),LdgRankKeyA,0),"")</f>
        <v/>
      </c>
      <c r="M61" t="str">
        <f>IFERROR(MATCH($C$5&amp;"|"&amp;RIGHT("000000"&amp;45,6),LdgRankKeyB,0),"")</f>
        <v/>
      </c>
    </row>
    <row r="62" spans="1:13" x14ac:dyDescent="0.2">
      <c r="A62" s="9">
        <v>46</v>
      </c>
      <c r="B62" s="10" t="str">
        <f t="shared" si="0"/>
        <v/>
      </c>
      <c r="C62" s="10" t="str">
        <f t="shared" si="1"/>
        <v/>
      </c>
      <c r="D62" s="10" t="str">
        <f t="shared" si="2"/>
        <v/>
      </c>
      <c r="E62" s="11" t="str">
        <f t="shared" si="3"/>
        <v/>
      </c>
      <c r="F62" s="12" t="str">
        <f t="shared" si="4"/>
        <v/>
      </c>
      <c r="G62" s="13" t="str">
        <f t="shared" si="5"/>
        <v/>
      </c>
      <c r="H62" s="13" t="str">
        <f t="shared" si="6"/>
        <v/>
      </c>
      <c r="I62" s="14" t="str">
        <f t="shared" si="7"/>
        <v/>
      </c>
      <c r="L62" t="str">
        <f>IFERROR(MATCH($C$5&amp;"|"&amp;RIGHT("000000"&amp;46,6),LdgRankKeyA,0),"")</f>
        <v/>
      </c>
      <c r="M62" t="str">
        <f>IFERROR(MATCH($C$5&amp;"|"&amp;RIGHT("000000"&amp;46,6),LdgRankKeyB,0),"")</f>
        <v/>
      </c>
    </row>
    <row r="63" spans="1:13" x14ac:dyDescent="0.2">
      <c r="A63" s="3">
        <v>47</v>
      </c>
      <c r="B63" s="4" t="str">
        <f t="shared" si="0"/>
        <v/>
      </c>
      <c r="C63" s="4" t="str">
        <f t="shared" si="1"/>
        <v/>
      </c>
      <c r="D63" s="4" t="str">
        <f t="shared" si="2"/>
        <v/>
      </c>
      <c r="E63" s="5" t="str">
        <f t="shared" si="3"/>
        <v/>
      </c>
      <c r="F63" s="6" t="str">
        <f t="shared" si="4"/>
        <v/>
      </c>
      <c r="G63" s="7" t="str">
        <f t="shared" si="5"/>
        <v/>
      </c>
      <c r="H63" s="7" t="str">
        <f t="shared" si="6"/>
        <v/>
      </c>
      <c r="I63" s="8" t="str">
        <f t="shared" si="7"/>
        <v/>
      </c>
      <c r="L63" t="str">
        <f>IFERROR(MATCH($C$5&amp;"|"&amp;RIGHT("000000"&amp;47,6),LdgRankKeyA,0),"")</f>
        <v/>
      </c>
      <c r="M63" t="str">
        <f>IFERROR(MATCH($C$5&amp;"|"&amp;RIGHT("000000"&amp;47,6),LdgRankKeyB,0),"")</f>
        <v/>
      </c>
    </row>
    <row r="64" spans="1:13" x14ac:dyDescent="0.2">
      <c r="A64" s="9">
        <v>48</v>
      </c>
      <c r="B64" s="10" t="str">
        <f t="shared" si="0"/>
        <v/>
      </c>
      <c r="C64" s="10" t="str">
        <f t="shared" si="1"/>
        <v/>
      </c>
      <c r="D64" s="10" t="str">
        <f t="shared" si="2"/>
        <v/>
      </c>
      <c r="E64" s="11" t="str">
        <f t="shared" si="3"/>
        <v/>
      </c>
      <c r="F64" s="12" t="str">
        <f t="shared" si="4"/>
        <v/>
      </c>
      <c r="G64" s="13" t="str">
        <f t="shared" si="5"/>
        <v/>
      </c>
      <c r="H64" s="13" t="str">
        <f t="shared" si="6"/>
        <v/>
      </c>
      <c r="I64" s="14" t="str">
        <f t="shared" si="7"/>
        <v/>
      </c>
      <c r="L64" t="str">
        <f>IFERROR(MATCH($C$5&amp;"|"&amp;RIGHT("000000"&amp;48,6),LdgRankKeyA,0),"")</f>
        <v/>
      </c>
      <c r="M64" t="str">
        <f>IFERROR(MATCH($C$5&amp;"|"&amp;RIGHT("000000"&amp;48,6),LdgRankKeyB,0),"")</f>
        <v/>
      </c>
    </row>
    <row r="65" spans="1:13" x14ac:dyDescent="0.2">
      <c r="A65" s="3">
        <v>49</v>
      </c>
      <c r="B65" s="4" t="str">
        <f t="shared" si="0"/>
        <v/>
      </c>
      <c r="C65" s="4" t="str">
        <f t="shared" si="1"/>
        <v/>
      </c>
      <c r="D65" s="4" t="str">
        <f t="shared" si="2"/>
        <v/>
      </c>
      <c r="E65" s="5" t="str">
        <f t="shared" si="3"/>
        <v/>
      </c>
      <c r="F65" s="6" t="str">
        <f t="shared" si="4"/>
        <v/>
      </c>
      <c r="G65" s="7" t="str">
        <f t="shared" si="5"/>
        <v/>
      </c>
      <c r="H65" s="7" t="str">
        <f t="shared" si="6"/>
        <v/>
      </c>
      <c r="I65" s="8" t="str">
        <f t="shared" si="7"/>
        <v/>
      </c>
      <c r="L65" t="str">
        <f>IFERROR(MATCH($C$5&amp;"|"&amp;RIGHT("000000"&amp;49,6),LdgRankKeyA,0),"")</f>
        <v/>
      </c>
      <c r="M65" t="str">
        <f>IFERROR(MATCH($C$5&amp;"|"&amp;RIGHT("000000"&amp;49,6),LdgRankKeyB,0),"")</f>
        <v/>
      </c>
    </row>
    <row r="66" spans="1:13" x14ac:dyDescent="0.2">
      <c r="A66" s="9">
        <v>50</v>
      </c>
      <c r="B66" s="10" t="str">
        <f t="shared" si="0"/>
        <v/>
      </c>
      <c r="C66" s="10" t="str">
        <f t="shared" si="1"/>
        <v/>
      </c>
      <c r="D66" s="10" t="str">
        <f t="shared" si="2"/>
        <v/>
      </c>
      <c r="E66" s="11" t="str">
        <f t="shared" si="3"/>
        <v/>
      </c>
      <c r="F66" s="12" t="str">
        <f t="shared" si="4"/>
        <v/>
      </c>
      <c r="G66" s="13" t="str">
        <f t="shared" si="5"/>
        <v/>
      </c>
      <c r="H66" s="13" t="str">
        <f t="shared" si="6"/>
        <v/>
      </c>
      <c r="I66" s="14" t="str">
        <f t="shared" si="7"/>
        <v/>
      </c>
      <c r="L66" t="str">
        <f>IFERROR(MATCH($C$5&amp;"|"&amp;RIGHT("000000"&amp;50,6),LdgRankKeyA,0),"")</f>
        <v/>
      </c>
      <c r="M66" t="str">
        <f>IFERROR(MATCH($C$5&amp;"|"&amp;RIGHT("000000"&amp;50,6),LdgRankKeyB,0),"")</f>
        <v/>
      </c>
    </row>
    <row r="67" spans="1:13" x14ac:dyDescent="0.2">
      <c r="A67" s="3">
        <v>51</v>
      </c>
      <c r="B67" s="4" t="str">
        <f t="shared" si="0"/>
        <v/>
      </c>
      <c r="C67" s="4" t="str">
        <f t="shared" si="1"/>
        <v/>
      </c>
      <c r="D67" s="4" t="str">
        <f t="shared" si="2"/>
        <v/>
      </c>
      <c r="E67" s="5" t="str">
        <f t="shared" si="3"/>
        <v/>
      </c>
      <c r="F67" s="6" t="str">
        <f t="shared" si="4"/>
        <v/>
      </c>
      <c r="G67" s="7" t="str">
        <f t="shared" si="5"/>
        <v/>
      </c>
      <c r="H67" s="7" t="str">
        <f t="shared" si="6"/>
        <v/>
      </c>
      <c r="I67" s="8" t="str">
        <f t="shared" si="7"/>
        <v/>
      </c>
      <c r="L67" t="str">
        <f>IFERROR(MATCH($C$5&amp;"|"&amp;RIGHT("000000"&amp;51,6),LdgRankKeyA,0),"")</f>
        <v/>
      </c>
      <c r="M67" t="str">
        <f>IFERROR(MATCH($C$5&amp;"|"&amp;RIGHT("000000"&amp;51,6),LdgRankKeyB,0),"")</f>
        <v/>
      </c>
    </row>
    <row r="68" spans="1:13" x14ac:dyDescent="0.2">
      <c r="A68" s="9">
        <v>52</v>
      </c>
      <c r="B68" s="10" t="str">
        <f t="shared" si="0"/>
        <v/>
      </c>
      <c r="C68" s="10" t="str">
        <f t="shared" si="1"/>
        <v/>
      </c>
      <c r="D68" s="10" t="str">
        <f t="shared" si="2"/>
        <v/>
      </c>
      <c r="E68" s="11" t="str">
        <f t="shared" si="3"/>
        <v/>
      </c>
      <c r="F68" s="12" t="str">
        <f t="shared" si="4"/>
        <v/>
      </c>
      <c r="G68" s="13" t="str">
        <f t="shared" si="5"/>
        <v/>
      </c>
      <c r="H68" s="13" t="str">
        <f t="shared" si="6"/>
        <v/>
      </c>
      <c r="I68" s="14" t="str">
        <f t="shared" si="7"/>
        <v/>
      </c>
      <c r="L68" t="str">
        <f>IFERROR(MATCH($C$5&amp;"|"&amp;RIGHT("000000"&amp;52,6),LdgRankKeyA,0),"")</f>
        <v/>
      </c>
      <c r="M68" t="str">
        <f>IFERROR(MATCH($C$5&amp;"|"&amp;RIGHT("000000"&amp;52,6),LdgRankKeyB,0),"")</f>
        <v/>
      </c>
    </row>
    <row r="69" spans="1:13" x14ac:dyDescent="0.2">
      <c r="A69" s="3">
        <v>53</v>
      </c>
      <c r="B69" s="4" t="str">
        <f t="shared" si="0"/>
        <v/>
      </c>
      <c r="C69" s="4" t="str">
        <f t="shared" si="1"/>
        <v/>
      </c>
      <c r="D69" s="4" t="str">
        <f t="shared" si="2"/>
        <v/>
      </c>
      <c r="E69" s="5" t="str">
        <f t="shared" si="3"/>
        <v/>
      </c>
      <c r="F69" s="6" t="str">
        <f t="shared" si="4"/>
        <v/>
      </c>
      <c r="G69" s="7" t="str">
        <f t="shared" si="5"/>
        <v/>
      </c>
      <c r="H69" s="7" t="str">
        <f t="shared" si="6"/>
        <v/>
      </c>
      <c r="I69" s="8" t="str">
        <f t="shared" si="7"/>
        <v/>
      </c>
      <c r="L69" t="str">
        <f>IFERROR(MATCH($C$5&amp;"|"&amp;RIGHT("000000"&amp;53,6),LdgRankKeyA,0),"")</f>
        <v/>
      </c>
      <c r="M69" t="str">
        <f>IFERROR(MATCH($C$5&amp;"|"&amp;RIGHT("000000"&amp;53,6),LdgRankKeyB,0),"")</f>
        <v/>
      </c>
    </row>
    <row r="70" spans="1:13" x14ac:dyDescent="0.2">
      <c r="A70" s="9">
        <v>54</v>
      </c>
      <c r="B70" s="10" t="str">
        <f t="shared" si="0"/>
        <v/>
      </c>
      <c r="C70" s="10" t="str">
        <f t="shared" si="1"/>
        <v/>
      </c>
      <c r="D70" s="10" t="str">
        <f t="shared" si="2"/>
        <v/>
      </c>
      <c r="E70" s="11" t="str">
        <f t="shared" si="3"/>
        <v/>
      </c>
      <c r="F70" s="12" t="str">
        <f t="shared" si="4"/>
        <v/>
      </c>
      <c r="G70" s="13" t="str">
        <f t="shared" si="5"/>
        <v/>
      </c>
      <c r="H70" s="13" t="str">
        <f t="shared" si="6"/>
        <v/>
      </c>
      <c r="I70" s="14" t="str">
        <f t="shared" si="7"/>
        <v/>
      </c>
      <c r="L70" t="str">
        <f>IFERROR(MATCH($C$5&amp;"|"&amp;RIGHT("000000"&amp;54,6),LdgRankKeyA,0),"")</f>
        <v/>
      </c>
      <c r="M70" t="str">
        <f>IFERROR(MATCH($C$5&amp;"|"&amp;RIGHT("000000"&amp;54,6),LdgRankKeyB,0),"")</f>
        <v/>
      </c>
    </row>
    <row r="71" spans="1:13" x14ac:dyDescent="0.2">
      <c r="A71" s="3">
        <v>55</v>
      </c>
      <c r="B71" s="4" t="str">
        <f t="shared" si="0"/>
        <v/>
      </c>
      <c r="C71" s="4" t="str">
        <f t="shared" si="1"/>
        <v/>
      </c>
      <c r="D71" s="4" t="str">
        <f t="shared" si="2"/>
        <v/>
      </c>
      <c r="E71" s="5" t="str">
        <f t="shared" si="3"/>
        <v/>
      </c>
      <c r="F71" s="6" t="str">
        <f t="shared" si="4"/>
        <v/>
      </c>
      <c r="G71" s="7" t="str">
        <f t="shared" si="5"/>
        <v/>
      </c>
      <c r="H71" s="7" t="str">
        <f t="shared" si="6"/>
        <v/>
      </c>
      <c r="I71" s="8" t="str">
        <f t="shared" si="7"/>
        <v/>
      </c>
      <c r="L71" t="str">
        <f>IFERROR(MATCH($C$5&amp;"|"&amp;RIGHT("000000"&amp;55,6),LdgRankKeyA,0),"")</f>
        <v/>
      </c>
      <c r="M71" t="str">
        <f>IFERROR(MATCH($C$5&amp;"|"&amp;RIGHT("000000"&amp;55,6),LdgRankKeyB,0),"")</f>
        <v/>
      </c>
    </row>
    <row r="72" spans="1:13" x14ac:dyDescent="0.2">
      <c r="A72" s="9">
        <v>56</v>
      </c>
      <c r="B72" s="10" t="str">
        <f t="shared" si="0"/>
        <v/>
      </c>
      <c r="C72" s="10" t="str">
        <f t="shared" si="1"/>
        <v/>
      </c>
      <c r="D72" s="10" t="str">
        <f t="shared" si="2"/>
        <v/>
      </c>
      <c r="E72" s="11" t="str">
        <f t="shared" si="3"/>
        <v/>
      </c>
      <c r="F72" s="12" t="str">
        <f t="shared" si="4"/>
        <v/>
      </c>
      <c r="G72" s="13" t="str">
        <f t="shared" si="5"/>
        <v/>
      </c>
      <c r="H72" s="13" t="str">
        <f t="shared" si="6"/>
        <v/>
      </c>
      <c r="I72" s="14" t="str">
        <f t="shared" si="7"/>
        <v/>
      </c>
      <c r="L72" t="str">
        <f>IFERROR(MATCH($C$5&amp;"|"&amp;RIGHT("000000"&amp;56,6),LdgRankKeyA,0),"")</f>
        <v/>
      </c>
      <c r="M72" t="str">
        <f>IFERROR(MATCH($C$5&amp;"|"&amp;RIGHT("000000"&amp;56,6),LdgRankKeyB,0),"")</f>
        <v/>
      </c>
    </row>
    <row r="73" spans="1:13" x14ac:dyDescent="0.2">
      <c r="A73" s="3">
        <v>57</v>
      </c>
      <c r="B73" s="4" t="str">
        <f t="shared" si="0"/>
        <v/>
      </c>
      <c r="C73" s="4" t="str">
        <f t="shared" si="1"/>
        <v/>
      </c>
      <c r="D73" s="4" t="str">
        <f t="shared" si="2"/>
        <v/>
      </c>
      <c r="E73" s="5" t="str">
        <f t="shared" si="3"/>
        <v/>
      </c>
      <c r="F73" s="6" t="str">
        <f t="shared" si="4"/>
        <v/>
      </c>
      <c r="G73" s="7" t="str">
        <f t="shared" si="5"/>
        <v/>
      </c>
      <c r="H73" s="7" t="str">
        <f t="shared" si="6"/>
        <v/>
      </c>
      <c r="I73" s="8" t="str">
        <f t="shared" si="7"/>
        <v/>
      </c>
      <c r="L73" t="str">
        <f>IFERROR(MATCH($C$5&amp;"|"&amp;RIGHT("000000"&amp;57,6),LdgRankKeyA,0),"")</f>
        <v/>
      </c>
      <c r="M73" t="str">
        <f>IFERROR(MATCH($C$5&amp;"|"&amp;RIGHT("000000"&amp;57,6),LdgRankKeyB,0),"")</f>
        <v/>
      </c>
    </row>
    <row r="74" spans="1:13" x14ac:dyDescent="0.2">
      <c r="A74" s="9">
        <v>58</v>
      </c>
      <c r="B74" s="10" t="str">
        <f t="shared" si="0"/>
        <v/>
      </c>
      <c r="C74" s="10" t="str">
        <f t="shared" si="1"/>
        <v/>
      </c>
      <c r="D74" s="10" t="str">
        <f t="shared" si="2"/>
        <v/>
      </c>
      <c r="E74" s="11" t="str">
        <f t="shared" si="3"/>
        <v/>
      </c>
      <c r="F74" s="12" t="str">
        <f t="shared" si="4"/>
        <v/>
      </c>
      <c r="G74" s="13" t="str">
        <f t="shared" si="5"/>
        <v/>
      </c>
      <c r="H74" s="13" t="str">
        <f t="shared" si="6"/>
        <v/>
      </c>
      <c r="I74" s="14" t="str">
        <f t="shared" si="7"/>
        <v/>
      </c>
      <c r="L74" t="str">
        <f>IFERROR(MATCH($C$5&amp;"|"&amp;RIGHT("000000"&amp;58,6),LdgRankKeyA,0),"")</f>
        <v/>
      </c>
      <c r="M74" t="str">
        <f>IFERROR(MATCH($C$5&amp;"|"&amp;RIGHT("000000"&amp;58,6),LdgRankKeyB,0),"")</f>
        <v/>
      </c>
    </row>
    <row r="75" spans="1:13" x14ac:dyDescent="0.2">
      <c r="A75" s="3">
        <v>59</v>
      </c>
      <c r="B75" s="4" t="str">
        <f t="shared" si="0"/>
        <v/>
      </c>
      <c r="C75" s="4" t="str">
        <f t="shared" si="1"/>
        <v/>
      </c>
      <c r="D75" s="4" t="str">
        <f t="shared" si="2"/>
        <v/>
      </c>
      <c r="E75" s="5" t="str">
        <f t="shared" si="3"/>
        <v/>
      </c>
      <c r="F75" s="6" t="str">
        <f t="shared" si="4"/>
        <v/>
      </c>
      <c r="G75" s="7" t="str">
        <f t="shared" si="5"/>
        <v/>
      </c>
      <c r="H75" s="7" t="str">
        <f t="shared" si="6"/>
        <v/>
      </c>
      <c r="I75" s="8" t="str">
        <f t="shared" si="7"/>
        <v/>
      </c>
      <c r="L75" t="str">
        <f>IFERROR(MATCH($C$5&amp;"|"&amp;RIGHT("000000"&amp;59,6),LdgRankKeyA,0),"")</f>
        <v/>
      </c>
      <c r="M75" t="str">
        <f>IFERROR(MATCH($C$5&amp;"|"&amp;RIGHT("000000"&amp;59,6),LdgRankKeyB,0),"")</f>
        <v/>
      </c>
    </row>
    <row r="76" spans="1:13" x14ac:dyDescent="0.2">
      <c r="A76" s="9">
        <v>60</v>
      </c>
      <c r="B76" s="10" t="str">
        <f t="shared" si="0"/>
        <v/>
      </c>
      <c r="C76" s="10" t="str">
        <f t="shared" si="1"/>
        <v/>
      </c>
      <c r="D76" s="10" t="str">
        <f t="shared" si="2"/>
        <v/>
      </c>
      <c r="E76" s="11" t="str">
        <f t="shared" si="3"/>
        <v/>
      </c>
      <c r="F76" s="12" t="str">
        <f t="shared" si="4"/>
        <v/>
      </c>
      <c r="G76" s="13" t="str">
        <f t="shared" si="5"/>
        <v/>
      </c>
      <c r="H76" s="13" t="str">
        <f t="shared" si="6"/>
        <v/>
      </c>
      <c r="I76" s="14" t="str">
        <f t="shared" si="7"/>
        <v/>
      </c>
      <c r="L76" t="str">
        <f>IFERROR(MATCH($C$5&amp;"|"&amp;RIGHT("000000"&amp;60,6),LdgRankKeyA,0),"")</f>
        <v/>
      </c>
      <c r="M76" t="str">
        <f>IFERROR(MATCH($C$5&amp;"|"&amp;RIGHT("000000"&amp;60,6),LdgRankKeyB,0),"")</f>
        <v/>
      </c>
    </row>
    <row r="77" spans="1:13" x14ac:dyDescent="0.2">
      <c r="A77" s="3">
        <v>61</v>
      </c>
      <c r="B77" s="4" t="str">
        <f t="shared" si="0"/>
        <v/>
      </c>
      <c r="C77" s="4" t="str">
        <f t="shared" si="1"/>
        <v/>
      </c>
      <c r="D77" s="4" t="str">
        <f t="shared" si="2"/>
        <v/>
      </c>
      <c r="E77" s="5" t="str">
        <f t="shared" si="3"/>
        <v/>
      </c>
      <c r="F77" s="6" t="str">
        <f t="shared" si="4"/>
        <v/>
      </c>
      <c r="G77" s="7" t="str">
        <f t="shared" si="5"/>
        <v/>
      </c>
      <c r="H77" s="7" t="str">
        <f t="shared" si="6"/>
        <v/>
      </c>
      <c r="I77" s="8" t="str">
        <f t="shared" si="7"/>
        <v/>
      </c>
      <c r="L77" t="str">
        <f>IFERROR(MATCH($C$5&amp;"|"&amp;RIGHT("000000"&amp;61,6),LdgRankKeyA,0),"")</f>
        <v/>
      </c>
      <c r="M77" t="str">
        <f>IFERROR(MATCH($C$5&amp;"|"&amp;RIGHT("000000"&amp;61,6),LdgRankKeyB,0),"")</f>
        <v/>
      </c>
    </row>
    <row r="78" spans="1:13" x14ac:dyDescent="0.2">
      <c r="A78" s="9">
        <v>62</v>
      </c>
      <c r="B78" s="10" t="str">
        <f t="shared" si="0"/>
        <v/>
      </c>
      <c r="C78" s="10" t="str">
        <f t="shared" si="1"/>
        <v/>
      </c>
      <c r="D78" s="10" t="str">
        <f t="shared" si="2"/>
        <v/>
      </c>
      <c r="E78" s="11" t="str">
        <f t="shared" si="3"/>
        <v/>
      </c>
      <c r="F78" s="12" t="str">
        <f t="shared" si="4"/>
        <v/>
      </c>
      <c r="G78" s="13" t="str">
        <f t="shared" si="5"/>
        <v/>
      </c>
      <c r="H78" s="13" t="str">
        <f t="shared" si="6"/>
        <v/>
      </c>
      <c r="I78" s="14" t="str">
        <f t="shared" si="7"/>
        <v/>
      </c>
      <c r="L78" t="str">
        <f>IFERROR(MATCH($C$5&amp;"|"&amp;RIGHT("000000"&amp;62,6),LdgRankKeyA,0),"")</f>
        <v/>
      </c>
      <c r="M78" t="str">
        <f>IFERROR(MATCH($C$5&amp;"|"&amp;RIGHT("000000"&amp;62,6),LdgRankKeyB,0),"")</f>
        <v/>
      </c>
    </row>
    <row r="79" spans="1:13" x14ac:dyDescent="0.2">
      <c r="A79" s="3">
        <v>63</v>
      </c>
      <c r="B79" s="4" t="str">
        <f t="shared" si="0"/>
        <v/>
      </c>
      <c r="C79" s="4" t="str">
        <f t="shared" si="1"/>
        <v/>
      </c>
      <c r="D79" s="4" t="str">
        <f t="shared" si="2"/>
        <v/>
      </c>
      <c r="E79" s="5" t="str">
        <f t="shared" si="3"/>
        <v/>
      </c>
      <c r="F79" s="6" t="str">
        <f t="shared" si="4"/>
        <v/>
      </c>
      <c r="G79" s="7" t="str">
        <f t="shared" si="5"/>
        <v/>
      </c>
      <c r="H79" s="7" t="str">
        <f t="shared" si="6"/>
        <v/>
      </c>
      <c r="I79" s="8" t="str">
        <f t="shared" si="7"/>
        <v/>
      </c>
      <c r="L79" t="str">
        <f>IFERROR(MATCH($C$5&amp;"|"&amp;RIGHT("000000"&amp;63,6),LdgRankKeyA,0),"")</f>
        <v/>
      </c>
      <c r="M79" t="str">
        <f>IFERROR(MATCH($C$5&amp;"|"&amp;RIGHT("000000"&amp;63,6),LdgRankKeyB,0),"")</f>
        <v/>
      </c>
    </row>
    <row r="80" spans="1:13" x14ac:dyDescent="0.2">
      <c r="A80" s="9">
        <v>64</v>
      </c>
      <c r="B80" s="10" t="str">
        <f t="shared" si="0"/>
        <v/>
      </c>
      <c r="C80" s="10" t="str">
        <f t="shared" si="1"/>
        <v/>
      </c>
      <c r="D80" s="10" t="str">
        <f t="shared" si="2"/>
        <v/>
      </c>
      <c r="E80" s="11" t="str">
        <f t="shared" si="3"/>
        <v/>
      </c>
      <c r="F80" s="12" t="str">
        <f t="shared" si="4"/>
        <v/>
      </c>
      <c r="G80" s="13" t="str">
        <f t="shared" si="5"/>
        <v/>
      </c>
      <c r="H80" s="13" t="str">
        <f t="shared" si="6"/>
        <v/>
      </c>
      <c r="I80" s="14" t="str">
        <f t="shared" si="7"/>
        <v/>
      </c>
      <c r="L80" t="str">
        <f>IFERROR(MATCH($C$5&amp;"|"&amp;RIGHT("000000"&amp;64,6),LdgRankKeyA,0),"")</f>
        <v/>
      </c>
      <c r="M80" t="str">
        <f>IFERROR(MATCH($C$5&amp;"|"&amp;RIGHT("000000"&amp;64,6),LdgRankKeyB,0),"")</f>
        <v/>
      </c>
    </row>
    <row r="81" spans="1:13" x14ac:dyDescent="0.2">
      <c r="A81" s="3">
        <v>65</v>
      </c>
      <c r="B81" s="4" t="str">
        <f t="shared" ref="B81:B144" si="8">IF(AND($L81="",$M81=""),"",IF($L81&lt;&gt;"",INDEX(SCNormDate,$L81),INDEX(LdgDateB,$M81)))</f>
        <v/>
      </c>
      <c r="C81" s="4" t="str">
        <f t="shared" ref="C81:C144" si="9">IF($L81&lt;&gt;"",INDEX(SCOp,$L81),IF($M81&lt;&gt;"","پرداخت بانکی",""))</f>
        <v/>
      </c>
      <c r="D81" s="4" t="str">
        <f t="shared" ref="D81:D144" si="10">IF($L81&lt;&gt;"",IF(INDEX(SCDoc,$L81)="","—",INDEX(SCDoc,$L81)),IF($M81&lt;&gt;"",INDEX(LdgBankB,$M81),""))</f>
        <v/>
      </c>
      <c r="E81" s="5" t="str">
        <f t="shared" ref="E81:E144" si="11">IF($L81&lt;&gt;"",IF(INDEX(SCCitrus,$L81)&amp;INDEX(SCNotes,$L81)="","",IF(INDEX(SCCitrus,$L81)="","",INDEX(SCCitrus,$L81))&amp;IF(INDEX(SCNotes,$L81)="",""," — "&amp;INDEX(SCNotes,$L81))),IF($M81&lt;&gt;"",IF(INDEX(LdgNoteB,$M81)="","—",INDEX(LdgNoteB,$M81)),""))</f>
        <v/>
      </c>
      <c r="F81" s="6" t="str">
        <f t="shared" ref="F81:F144" si="12">IF($L81&lt;&gt;"",IF(INDEX(SCNet,$L81)=0,"",INDEX(SCNet,$L81)),"")</f>
        <v/>
      </c>
      <c r="G81" s="7" t="str">
        <f t="shared" ref="G81:G144" si="13">IF($L81&lt;&gt;"",IF(INDEX(SCOp,$L81)="مرجوعی فروش","",IF(INDEX(SCAmount,$L81)&lt;=0,"",INDEX(SCAmount,$L81))),IF($M81&lt;&gt;"",IF(INDEX(LdgWitB,$M81)=0,"",INDEX(LdgWitB,$M81)),""))</f>
        <v/>
      </c>
      <c r="H81" s="7" t="str">
        <f t="shared" ref="H81:H144" si="14">IF($L81&lt;&gt;"",IF(INDEX(SCOp,$L81)="مرجوعی فروش",IF(INDEX(SCAmount,$L81)=0,"",-INDEX(SCAmount,$L81)),""),IF($M81&lt;&gt;"",IF(INDEX(LdgDepB,$M81)=0,"",INDEX(LdgDepB,$M81)),""))</f>
        <v/>
      </c>
      <c r="I81" s="8" t="str">
        <f t="shared" si="7"/>
        <v/>
      </c>
      <c r="L81" t="str">
        <f>IFERROR(MATCH($C$5&amp;"|"&amp;RIGHT("000000"&amp;65,6),LdgRankKeyA,0),"")</f>
        <v/>
      </c>
      <c r="M81" t="str">
        <f>IFERROR(MATCH($C$5&amp;"|"&amp;RIGHT("000000"&amp;65,6),LdgRankKeyB,0),"")</f>
        <v/>
      </c>
    </row>
    <row r="82" spans="1:13" x14ac:dyDescent="0.2">
      <c r="A82" s="9">
        <v>66</v>
      </c>
      <c r="B82" s="10" t="str">
        <f t="shared" si="8"/>
        <v/>
      </c>
      <c r="C82" s="10" t="str">
        <f t="shared" si="9"/>
        <v/>
      </c>
      <c r="D82" s="10" t="str">
        <f t="shared" si="10"/>
        <v/>
      </c>
      <c r="E82" s="11" t="str">
        <f t="shared" si="11"/>
        <v/>
      </c>
      <c r="F82" s="12" t="str">
        <f t="shared" si="12"/>
        <v/>
      </c>
      <c r="G82" s="13" t="str">
        <f t="shared" si="13"/>
        <v/>
      </c>
      <c r="H82" s="13" t="str">
        <f t="shared" si="14"/>
        <v/>
      </c>
      <c r="I82" s="14" t="str">
        <f t="shared" ref="I82:I145" si="15">IF($B82="","",IF($I81="",$C$10,$I81)+IF($G82="",0,$G82)-IF($H82="",0,$H82))</f>
        <v/>
      </c>
      <c r="L82" t="str">
        <f>IFERROR(MATCH($C$5&amp;"|"&amp;RIGHT("000000"&amp;66,6),LdgRankKeyA,0),"")</f>
        <v/>
      </c>
      <c r="M82" t="str">
        <f>IFERROR(MATCH($C$5&amp;"|"&amp;RIGHT("000000"&amp;66,6),LdgRankKeyB,0),"")</f>
        <v/>
      </c>
    </row>
    <row r="83" spans="1:13" x14ac:dyDescent="0.2">
      <c r="A83" s="3">
        <v>67</v>
      </c>
      <c r="B83" s="4" t="str">
        <f t="shared" si="8"/>
        <v/>
      </c>
      <c r="C83" s="4" t="str">
        <f t="shared" si="9"/>
        <v/>
      </c>
      <c r="D83" s="4" t="str">
        <f t="shared" si="10"/>
        <v/>
      </c>
      <c r="E83" s="5" t="str">
        <f t="shared" si="11"/>
        <v/>
      </c>
      <c r="F83" s="6" t="str">
        <f t="shared" si="12"/>
        <v/>
      </c>
      <c r="G83" s="7" t="str">
        <f t="shared" si="13"/>
        <v/>
      </c>
      <c r="H83" s="7" t="str">
        <f t="shared" si="14"/>
        <v/>
      </c>
      <c r="I83" s="8" t="str">
        <f t="shared" si="15"/>
        <v/>
      </c>
      <c r="L83" t="str">
        <f>IFERROR(MATCH($C$5&amp;"|"&amp;RIGHT("000000"&amp;67,6),LdgRankKeyA,0),"")</f>
        <v/>
      </c>
      <c r="M83" t="str">
        <f>IFERROR(MATCH($C$5&amp;"|"&amp;RIGHT("000000"&amp;67,6),LdgRankKeyB,0),"")</f>
        <v/>
      </c>
    </row>
    <row r="84" spans="1:13" x14ac:dyDescent="0.2">
      <c r="A84" s="9">
        <v>68</v>
      </c>
      <c r="B84" s="10" t="str">
        <f t="shared" si="8"/>
        <v/>
      </c>
      <c r="C84" s="10" t="str">
        <f t="shared" si="9"/>
        <v/>
      </c>
      <c r="D84" s="10" t="str">
        <f t="shared" si="10"/>
        <v/>
      </c>
      <c r="E84" s="11" t="str">
        <f t="shared" si="11"/>
        <v/>
      </c>
      <c r="F84" s="12" t="str">
        <f t="shared" si="12"/>
        <v/>
      </c>
      <c r="G84" s="13" t="str">
        <f t="shared" si="13"/>
        <v/>
      </c>
      <c r="H84" s="13" t="str">
        <f t="shared" si="14"/>
        <v/>
      </c>
      <c r="I84" s="14" t="str">
        <f t="shared" si="15"/>
        <v/>
      </c>
      <c r="L84" t="str">
        <f>IFERROR(MATCH($C$5&amp;"|"&amp;RIGHT("000000"&amp;68,6),LdgRankKeyA,0),"")</f>
        <v/>
      </c>
      <c r="M84" t="str">
        <f>IFERROR(MATCH($C$5&amp;"|"&amp;RIGHT("000000"&amp;68,6),LdgRankKeyB,0),"")</f>
        <v/>
      </c>
    </row>
    <row r="85" spans="1:13" x14ac:dyDescent="0.2">
      <c r="A85" s="3">
        <v>69</v>
      </c>
      <c r="B85" s="4" t="str">
        <f t="shared" si="8"/>
        <v/>
      </c>
      <c r="C85" s="4" t="str">
        <f t="shared" si="9"/>
        <v/>
      </c>
      <c r="D85" s="4" t="str">
        <f t="shared" si="10"/>
        <v/>
      </c>
      <c r="E85" s="5" t="str">
        <f t="shared" si="11"/>
        <v/>
      </c>
      <c r="F85" s="6" t="str">
        <f t="shared" si="12"/>
        <v/>
      </c>
      <c r="G85" s="7" t="str">
        <f t="shared" si="13"/>
        <v/>
      </c>
      <c r="H85" s="7" t="str">
        <f t="shared" si="14"/>
        <v/>
      </c>
      <c r="I85" s="8" t="str">
        <f t="shared" si="15"/>
        <v/>
      </c>
      <c r="L85" t="str">
        <f>IFERROR(MATCH($C$5&amp;"|"&amp;RIGHT("000000"&amp;69,6),LdgRankKeyA,0),"")</f>
        <v/>
      </c>
      <c r="M85" t="str">
        <f>IFERROR(MATCH($C$5&amp;"|"&amp;RIGHT("000000"&amp;69,6),LdgRankKeyB,0),"")</f>
        <v/>
      </c>
    </row>
    <row r="86" spans="1:13" x14ac:dyDescent="0.2">
      <c r="A86" s="9">
        <v>70</v>
      </c>
      <c r="B86" s="10" t="str">
        <f t="shared" si="8"/>
        <v/>
      </c>
      <c r="C86" s="10" t="str">
        <f t="shared" si="9"/>
        <v/>
      </c>
      <c r="D86" s="10" t="str">
        <f t="shared" si="10"/>
        <v/>
      </c>
      <c r="E86" s="11" t="str">
        <f t="shared" si="11"/>
        <v/>
      </c>
      <c r="F86" s="12" t="str">
        <f t="shared" si="12"/>
        <v/>
      </c>
      <c r="G86" s="13" t="str">
        <f t="shared" si="13"/>
        <v/>
      </c>
      <c r="H86" s="13" t="str">
        <f t="shared" si="14"/>
        <v/>
      </c>
      <c r="I86" s="14" t="str">
        <f t="shared" si="15"/>
        <v/>
      </c>
      <c r="L86" t="str">
        <f>IFERROR(MATCH($C$5&amp;"|"&amp;RIGHT("000000"&amp;70,6),LdgRankKeyA,0),"")</f>
        <v/>
      </c>
      <c r="M86" t="str">
        <f>IFERROR(MATCH($C$5&amp;"|"&amp;RIGHT("000000"&amp;70,6),LdgRankKeyB,0),"")</f>
        <v/>
      </c>
    </row>
    <row r="87" spans="1:13" x14ac:dyDescent="0.2">
      <c r="A87" s="3">
        <v>71</v>
      </c>
      <c r="B87" s="4" t="str">
        <f t="shared" si="8"/>
        <v/>
      </c>
      <c r="C87" s="4" t="str">
        <f t="shared" si="9"/>
        <v/>
      </c>
      <c r="D87" s="4" t="str">
        <f t="shared" si="10"/>
        <v/>
      </c>
      <c r="E87" s="5" t="str">
        <f t="shared" si="11"/>
        <v/>
      </c>
      <c r="F87" s="6" t="str">
        <f t="shared" si="12"/>
        <v/>
      </c>
      <c r="G87" s="7" t="str">
        <f t="shared" si="13"/>
        <v/>
      </c>
      <c r="H87" s="7" t="str">
        <f t="shared" si="14"/>
        <v/>
      </c>
      <c r="I87" s="8" t="str">
        <f t="shared" si="15"/>
        <v/>
      </c>
      <c r="L87" t="str">
        <f>IFERROR(MATCH($C$5&amp;"|"&amp;RIGHT("000000"&amp;71,6),LdgRankKeyA,0),"")</f>
        <v/>
      </c>
      <c r="M87" t="str">
        <f>IFERROR(MATCH($C$5&amp;"|"&amp;RIGHT("000000"&amp;71,6),LdgRankKeyB,0),"")</f>
        <v/>
      </c>
    </row>
    <row r="88" spans="1:13" x14ac:dyDescent="0.2">
      <c r="A88" s="9">
        <v>72</v>
      </c>
      <c r="B88" s="10" t="str">
        <f t="shared" si="8"/>
        <v/>
      </c>
      <c r="C88" s="10" t="str">
        <f t="shared" si="9"/>
        <v/>
      </c>
      <c r="D88" s="10" t="str">
        <f t="shared" si="10"/>
        <v/>
      </c>
      <c r="E88" s="11" t="str">
        <f t="shared" si="11"/>
        <v/>
      </c>
      <c r="F88" s="12" t="str">
        <f t="shared" si="12"/>
        <v/>
      </c>
      <c r="G88" s="13" t="str">
        <f t="shared" si="13"/>
        <v/>
      </c>
      <c r="H88" s="13" t="str">
        <f t="shared" si="14"/>
        <v/>
      </c>
      <c r="I88" s="14" t="str">
        <f t="shared" si="15"/>
        <v/>
      </c>
      <c r="L88" t="str">
        <f>IFERROR(MATCH($C$5&amp;"|"&amp;RIGHT("000000"&amp;72,6),LdgRankKeyA,0),"")</f>
        <v/>
      </c>
      <c r="M88" t="str">
        <f>IFERROR(MATCH($C$5&amp;"|"&amp;RIGHT("000000"&amp;72,6),LdgRankKeyB,0),"")</f>
        <v/>
      </c>
    </row>
    <row r="89" spans="1:13" x14ac:dyDescent="0.2">
      <c r="A89" s="3">
        <v>73</v>
      </c>
      <c r="B89" s="4" t="str">
        <f t="shared" si="8"/>
        <v/>
      </c>
      <c r="C89" s="4" t="str">
        <f t="shared" si="9"/>
        <v/>
      </c>
      <c r="D89" s="4" t="str">
        <f t="shared" si="10"/>
        <v/>
      </c>
      <c r="E89" s="5" t="str">
        <f t="shared" si="11"/>
        <v/>
      </c>
      <c r="F89" s="6" t="str">
        <f t="shared" si="12"/>
        <v/>
      </c>
      <c r="G89" s="7" t="str">
        <f t="shared" si="13"/>
        <v/>
      </c>
      <c r="H89" s="7" t="str">
        <f t="shared" si="14"/>
        <v/>
      </c>
      <c r="I89" s="8" t="str">
        <f t="shared" si="15"/>
        <v/>
      </c>
      <c r="L89" t="str">
        <f>IFERROR(MATCH($C$5&amp;"|"&amp;RIGHT("000000"&amp;73,6),LdgRankKeyA,0),"")</f>
        <v/>
      </c>
      <c r="M89" t="str">
        <f>IFERROR(MATCH($C$5&amp;"|"&amp;RIGHT("000000"&amp;73,6),LdgRankKeyB,0),"")</f>
        <v/>
      </c>
    </row>
    <row r="90" spans="1:13" x14ac:dyDescent="0.2">
      <c r="A90" s="9">
        <v>74</v>
      </c>
      <c r="B90" s="10" t="str">
        <f t="shared" si="8"/>
        <v/>
      </c>
      <c r="C90" s="10" t="str">
        <f t="shared" si="9"/>
        <v/>
      </c>
      <c r="D90" s="10" t="str">
        <f t="shared" si="10"/>
        <v/>
      </c>
      <c r="E90" s="11" t="str">
        <f t="shared" si="11"/>
        <v/>
      </c>
      <c r="F90" s="12" t="str">
        <f t="shared" si="12"/>
        <v/>
      </c>
      <c r="G90" s="13" t="str">
        <f t="shared" si="13"/>
        <v/>
      </c>
      <c r="H90" s="13" t="str">
        <f t="shared" si="14"/>
        <v/>
      </c>
      <c r="I90" s="14" t="str">
        <f t="shared" si="15"/>
        <v/>
      </c>
      <c r="L90" t="str">
        <f>IFERROR(MATCH($C$5&amp;"|"&amp;RIGHT("000000"&amp;74,6),LdgRankKeyA,0),"")</f>
        <v/>
      </c>
      <c r="M90" t="str">
        <f>IFERROR(MATCH($C$5&amp;"|"&amp;RIGHT("000000"&amp;74,6),LdgRankKeyB,0),"")</f>
        <v/>
      </c>
    </row>
    <row r="91" spans="1:13" x14ac:dyDescent="0.2">
      <c r="A91" s="3">
        <v>75</v>
      </c>
      <c r="B91" s="4" t="str">
        <f t="shared" si="8"/>
        <v/>
      </c>
      <c r="C91" s="4" t="str">
        <f t="shared" si="9"/>
        <v/>
      </c>
      <c r="D91" s="4" t="str">
        <f t="shared" si="10"/>
        <v/>
      </c>
      <c r="E91" s="5" t="str">
        <f t="shared" si="11"/>
        <v/>
      </c>
      <c r="F91" s="6" t="str">
        <f t="shared" si="12"/>
        <v/>
      </c>
      <c r="G91" s="7" t="str">
        <f t="shared" si="13"/>
        <v/>
      </c>
      <c r="H91" s="7" t="str">
        <f t="shared" si="14"/>
        <v/>
      </c>
      <c r="I91" s="8" t="str">
        <f t="shared" si="15"/>
        <v/>
      </c>
      <c r="L91" t="str">
        <f>IFERROR(MATCH($C$5&amp;"|"&amp;RIGHT("000000"&amp;75,6),LdgRankKeyA,0),"")</f>
        <v/>
      </c>
      <c r="M91" t="str">
        <f>IFERROR(MATCH($C$5&amp;"|"&amp;RIGHT("000000"&amp;75,6),LdgRankKeyB,0),"")</f>
        <v/>
      </c>
    </row>
    <row r="92" spans="1:13" x14ac:dyDescent="0.2">
      <c r="A92" s="9">
        <v>76</v>
      </c>
      <c r="B92" s="10" t="str">
        <f t="shared" si="8"/>
        <v/>
      </c>
      <c r="C92" s="10" t="str">
        <f t="shared" si="9"/>
        <v/>
      </c>
      <c r="D92" s="10" t="str">
        <f t="shared" si="10"/>
        <v/>
      </c>
      <c r="E92" s="11" t="str">
        <f t="shared" si="11"/>
        <v/>
      </c>
      <c r="F92" s="12" t="str">
        <f t="shared" si="12"/>
        <v/>
      </c>
      <c r="G92" s="13" t="str">
        <f t="shared" si="13"/>
        <v/>
      </c>
      <c r="H92" s="13" t="str">
        <f t="shared" si="14"/>
        <v/>
      </c>
      <c r="I92" s="14" t="str">
        <f t="shared" si="15"/>
        <v/>
      </c>
      <c r="L92" t="str">
        <f>IFERROR(MATCH($C$5&amp;"|"&amp;RIGHT("000000"&amp;76,6),LdgRankKeyA,0),"")</f>
        <v/>
      </c>
      <c r="M92" t="str">
        <f>IFERROR(MATCH($C$5&amp;"|"&amp;RIGHT("000000"&amp;76,6),LdgRankKeyB,0),"")</f>
        <v/>
      </c>
    </row>
    <row r="93" spans="1:13" x14ac:dyDescent="0.2">
      <c r="A93" s="3">
        <v>77</v>
      </c>
      <c r="B93" s="4" t="str">
        <f t="shared" si="8"/>
        <v/>
      </c>
      <c r="C93" s="4" t="str">
        <f t="shared" si="9"/>
        <v/>
      </c>
      <c r="D93" s="4" t="str">
        <f t="shared" si="10"/>
        <v/>
      </c>
      <c r="E93" s="5" t="str">
        <f t="shared" si="11"/>
        <v/>
      </c>
      <c r="F93" s="6" t="str">
        <f t="shared" si="12"/>
        <v/>
      </c>
      <c r="G93" s="7" t="str">
        <f t="shared" si="13"/>
        <v/>
      </c>
      <c r="H93" s="7" t="str">
        <f t="shared" si="14"/>
        <v/>
      </c>
      <c r="I93" s="8" t="str">
        <f t="shared" si="15"/>
        <v/>
      </c>
      <c r="L93" t="str">
        <f>IFERROR(MATCH($C$5&amp;"|"&amp;RIGHT("000000"&amp;77,6),LdgRankKeyA,0),"")</f>
        <v/>
      </c>
      <c r="M93" t="str">
        <f>IFERROR(MATCH($C$5&amp;"|"&amp;RIGHT("000000"&amp;77,6),LdgRankKeyB,0),"")</f>
        <v/>
      </c>
    </row>
    <row r="94" spans="1:13" x14ac:dyDescent="0.2">
      <c r="A94" s="9">
        <v>78</v>
      </c>
      <c r="B94" s="10" t="str">
        <f t="shared" si="8"/>
        <v/>
      </c>
      <c r="C94" s="10" t="str">
        <f t="shared" si="9"/>
        <v/>
      </c>
      <c r="D94" s="10" t="str">
        <f t="shared" si="10"/>
        <v/>
      </c>
      <c r="E94" s="11" t="str">
        <f t="shared" si="11"/>
        <v/>
      </c>
      <c r="F94" s="12" t="str">
        <f t="shared" si="12"/>
        <v/>
      </c>
      <c r="G94" s="13" t="str">
        <f t="shared" si="13"/>
        <v/>
      </c>
      <c r="H94" s="13" t="str">
        <f t="shared" si="14"/>
        <v/>
      </c>
      <c r="I94" s="14" t="str">
        <f t="shared" si="15"/>
        <v/>
      </c>
      <c r="L94" t="str">
        <f>IFERROR(MATCH($C$5&amp;"|"&amp;RIGHT("000000"&amp;78,6),LdgRankKeyA,0),"")</f>
        <v/>
      </c>
      <c r="M94" t="str">
        <f>IFERROR(MATCH($C$5&amp;"|"&amp;RIGHT("000000"&amp;78,6),LdgRankKeyB,0),"")</f>
        <v/>
      </c>
    </row>
    <row r="95" spans="1:13" x14ac:dyDescent="0.2">
      <c r="A95" s="3">
        <v>79</v>
      </c>
      <c r="B95" s="4" t="str">
        <f t="shared" si="8"/>
        <v/>
      </c>
      <c r="C95" s="4" t="str">
        <f t="shared" si="9"/>
        <v/>
      </c>
      <c r="D95" s="4" t="str">
        <f t="shared" si="10"/>
        <v/>
      </c>
      <c r="E95" s="5" t="str">
        <f t="shared" si="11"/>
        <v/>
      </c>
      <c r="F95" s="6" t="str">
        <f t="shared" si="12"/>
        <v/>
      </c>
      <c r="G95" s="7" t="str">
        <f t="shared" si="13"/>
        <v/>
      </c>
      <c r="H95" s="7" t="str">
        <f t="shared" si="14"/>
        <v/>
      </c>
      <c r="I95" s="8" t="str">
        <f t="shared" si="15"/>
        <v/>
      </c>
      <c r="L95" t="str">
        <f>IFERROR(MATCH($C$5&amp;"|"&amp;RIGHT("000000"&amp;79,6),LdgRankKeyA,0),"")</f>
        <v/>
      </c>
      <c r="M95" t="str">
        <f>IFERROR(MATCH($C$5&amp;"|"&amp;RIGHT("000000"&amp;79,6),LdgRankKeyB,0),"")</f>
        <v/>
      </c>
    </row>
    <row r="96" spans="1:13" x14ac:dyDescent="0.2">
      <c r="A96" s="9">
        <v>80</v>
      </c>
      <c r="B96" s="10" t="str">
        <f t="shared" si="8"/>
        <v/>
      </c>
      <c r="C96" s="10" t="str">
        <f t="shared" si="9"/>
        <v/>
      </c>
      <c r="D96" s="10" t="str">
        <f t="shared" si="10"/>
        <v/>
      </c>
      <c r="E96" s="11" t="str">
        <f t="shared" si="11"/>
        <v/>
      </c>
      <c r="F96" s="12" t="str">
        <f t="shared" si="12"/>
        <v/>
      </c>
      <c r="G96" s="13" t="str">
        <f t="shared" si="13"/>
        <v/>
      </c>
      <c r="H96" s="13" t="str">
        <f t="shared" si="14"/>
        <v/>
      </c>
      <c r="I96" s="14" t="str">
        <f t="shared" si="15"/>
        <v/>
      </c>
      <c r="L96" t="str">
        <f>IFERROR(MATCH($C$5&amp;"|"&amp;RIGHT("000000"&amp;80,6),LdgRankKeyA,0),"")</f>
        <v/>
      </c>
      <c r="M96" t="str">
        <f>IFERROR(MATCH($C$5&amp;"|"&amp;RIGHT("000000"&amp;80,6),LdgRankKeyB,0),"")</f>
        <v/>
      </c>
    </row>
    <row r="97" spans="1:13" x14ac:dyDescent="0.2">
      <c r="A97" s="3">
        <v>81</v>
      </c>
      <c r="B97" s="4" t="str">
        <f t="shared" si="8"/>
        <v/>
      </c>
      <c r="C97" s="4" t="str">
        <f t="shared" si="9"/>
        <v/>
      </c>
      <c r="D97" s="4" t="str">
        <f t="shared" si="10"/>
        <v/>
      </c>
      <c r="E97" s="5" t="str">
        <f t="shared" si="11"/>
        <v/>
      </c>
      <c r="F97" s="6" t="str">
        <f t="shared" si="12"/>
        <v/>
      </c>
      <c r="G97" s="7" t="str">
        <f t="shared" si="13"/>
        <v/>
      </c>
      <c r="H97" s="7" t="str">
        <f t="shared" si="14"/>
        <v/>
      </c>
      <c r="I97" s="8" t="str">
        <f t="shared" si="15"/>
        <v/>
      </c>
      <c r="L97" t="str">
        <f>IFERROR(MATCH($C$5&amp;"|"&amp;RIGHT("000000"&amp;81,6),LdgRankKeyA,0),"")</f>
        <v/>
      </c>
      <c r="M97" t="str">
        <f>IFERROR(MATCH($C$5&amp;"|"&amp;RIGHT("000000"&amp;81,6),LdgRankKeyB,0),"")</f>
        <v/>
      </c>
    </row>
    <row r="98" spans="1:13" x14ac:dyDescent="0.2">
      <c r="A98" s="9">
        <v>82</v>
      </c>
      <c r="B98" s="10" t="str">
        <f t="shared" si="8"/>
        <v/>
      </c>
      <c r="C98" s="10" t="str">
        <f t="shared" si="9"/>
        <v/>
      </c>
      <c r="D98" s="10" t="str">
        <f t="shared" si="10"/>
        <v/>
      </c>
      <c r="E98" s="11" t="str">
        <f t="shared" si="11"/>
        <v/>
      </c>
      <c r="F98" s="12" t="str">
        <f t="shared" si="12"/>
        <v/>
      </c>
      <c r="G98" s="13" t="str">
        <f t="shared" si="13"/>
        <v/>
      </c>
      <c r="H98" s="13" t="str">
        <f t="shared" si="14"/>
        <v/>
      </c>
      <c r="I98" s="14" t="str">
        <f t="shared" si="15"/>
        <v/>
      </c>
      <c r="L98" t="str">
        <f>IFERROR(MATCH($C$5&amp;"|"&amp;RIGHT("000000"&amp;82,6),LdgRankKeyA,0),"")</f>
        <v/>
      </c>
      <c r="M98" t="str">
        <f>IFERROR(MATCH($C$5&amp;"|"&amp;RIGHT("000000"&amp;82,6),LdgRankKeyB,0),"")</f>
        <v/>
      </c>
    </row>
    <row r="99" spans="1:13" x14ac:dyDescent="0.2">
      <c r="A99" s="3">
        <v>83</v>
      </c>
      <c r="B99" s="4" t="str">
        <f t="shared" si="8"/>
        <v/>
      </c>
      <c r="C99" s="4" t="str">
        <f t="shared" si="9"/>
        <v/>
      </c>
      <c r="D99" s="4" t="str">
        <f t="shared" si="10"/>
        <v/>
      </c>
      <c r="E99" s="5" t="str">
        <f t="shared" si="11"/>
        <v/>
      </c>
      <c r="F99" s="6" t="str">
        <f t="shared" si="12"/>
        <v/>
      </c>
      <c r="G99" s="7" t="str">
        <f t="shared" si="13"/>
        <v/>
      </c>
      <c r="H99" s="7" t="str">
        <f t="shared" si="14"/>
        <v/>
      </c>
      <c r="I99" s="8" t="str">
        <f t="shared" si="15"/>
        <v/>
      </c>
      <c r="L99" t="str">
        <f>IFERROR(MATCH($C$5&amp;"|"&amp;RIGHT("000000"&amp;83,6),LdgRankKeyA,0),"")</f>
        <v/>
      </c>
      <c r="M99" t="str">
        <f>IFERROR(MATCH($C$5&amp;"|"&amp;RIGHT("000000"&amp;83,6),LdgRankKeyB,0),"")</f>
        <v/>
      </c>
    </row>
    <row r="100" spans="1:13" x14ac:dyDescent="0.2">
      <c r="A100" s="9">
        <v>84</v>
      </c>
      <c r="B100" s="10" t="str">
        <f t="shared" si="8"/>
        <v/>
      </c>
      <c r="C100" s="10" t="str">
        <f t="shared" si="9"/>
        <v/>
      </c>
      <c r="D100" s="10" t="str">
        <f t="shared" si="10"/>
        <v/>
      </c>
      <c r="E100" s="11" t="str">
        <f t="shared" si="11"/>
        <v/>
      </c>
      <c r="F100" s="12" t="str">
        <f t="shared" si="12"/>
        <v/>
      </c>
      <c r="G100" s="13" t="str">
        <f t="shared" si="13"/>
        <v/>
      </c>
      <c r="H100" s="13" t="str">
        <f t="shared" si="14"/>
        <v/>
      </c>
      <c r="I100" s="14" t="str">
        <f t="shared" si="15"/>
        <v/>
      </c>
      <c r="L100" t="str">
        <f>IFERROR(MATCH($C$5&amp;"|"&amp;RIGHT("000000"&amp;84,6),LdgRankKeyA,0),"")</f>
        <v/>
      </c>
      <c r="M100" t="str">
        <f>IFERROR(MATCH($C$5&amp;"|"&amp;RIGHT("000000"&amp;84,6),LdgRankKeyB,0),"")</f>
        <v/>
      </c>
    </row>
    <row r="101" spans="1:13" x14ac:dyDescent="0.2">
      <c r="A101" s="3">
        <v>85</v>
      </c>
      <c r="B101" s="4" t="str">
        <f t="shared" si="8"/>
        <v/>
      </c>
      <c r="C101" s="4" t="str">
        <f t="shared" si="9"/>
        <v/>
      </c>
      <c r="D101" s="4" t="str">
        <f t="shared" si="10"/>
        <v/>
      </c>
      <c r="E101" s="5" t="str">
        <f t="shared" si="11"/>
        <v/>
      </c>
      <c r="F101" s="6" t="str">
        <f t="shared" si="12"/>
        <v/>
      </c>
      <c r="G101" s="7" t="str">
        <f t="shared" si="13"/>
        <v/>
      </c>
      <c r="H101" s="7" t="str">
        <f t="shared" si="14"/>
        <v/>
      </c>
      <c r="I101" s="8" t="str">
        <f t="shared" si="15"/>
        <v/>
      </c>
      <c r="L101" t="str">
        <f>IFERROR(MATCH($C$5&amp;"|"&amp;RIGHT("000000"&amp;85,6),LdgRankKeyA,0),"")</f>
        <v/>
      </c>
      <c r="M101" t="str">
        <f>IFERROR(MATCH($C$5&amp;"|"&amp;RIGHT("000000"&amp;85,6),LdgRankKeyB,0),"")</f>
        <v/>
      </c>
    </row>
    <row r="102" spans="1:13" x14ac:dyDescent="0.2">
      <c r="A102" s="9">
        <v>86</v>
      </c>
      <c r="B102" s="10" t="str">
        <f t="shared" si="8"/>
        <v/>
      </c>
      <c r="C102" s="10" t="str">
        <f t="shared" si="9"/>
        <v/>
      </c>
      <c r="D102" s="10" t="str">
        <f t="shared" si="10"/>
        <v/>
      </c>
      <c r="E102" s="11" t="str">
        <f t="shared" si="11"/>
        <v/>
      </c>
      <c r="F102" s="12" t="str">
        <f t="shared" si="12"/>
        <v/>
      </c>
      <c r="G102" s="13" t="str">
        <f t="shared" si="13"/>
        <v/>
      </c>
      <c r="H102" s="13" t="str">
        <f t="shared" si="14"/>
        <v/>
      </c>
      <c r="I102" s="14" t="str">
        <f t="shared" si="15"/>
        <v/>
      </c>
      <c r="L102" t="str">
        <f>IFERROR(MATCH($C$5&amp;"|"&amp;RIGHT("000000"&amp;86,6),LdgRankKeyA,0),"")</f>
        <v/>
      </c>
      <c r="M102" t="str">
        <f>IFERROR(MATCH($C$5&amp;"|"&amp;RIGHT("000000"&amp;86,6),LdgRankKeyB,0),"")</f>
        <v/>
      </c>
    </row>
    <row r="103" spans="1:13" x14ac:dyDescent="0.2">
      <c r="A103" s="3">
        <v>87</v>
      </c>
      <c r="B103" s="4" t="str">
        <f t="shared" si="8"/>
        <v/>
      </c>
      <c r="C103" s="4" t="str">
        <f t="shared" si="9"/>
        <v/>
      </c>
      <c r="D103" s="4" t="str">
        <f t="shared" si="10"/>
        <v/>
      </c>
      <c r="E103" s="5" t="str">
        <f t="shared" si="11"/>
        <v/>
      </c>
      <c r="F103" s="6" t="str">
        <f t="shared" si="12"/>
        <v/>
      </c>
      <c r="G103" s="7" t="str">
        <f t="shared" si="13"/>
        <v/>
      </c>
      <c r="H103" s="7" t="str">
        <f t="shared" si="14"/>
        <v/>
      </c>
      <c r="I103" s="8" t="str">
        <f t="shared" si="15"/>
        <v/>
      </c>
      <c r="L103" t="str">
        <f>IFERROR(MATCH($C$5&amp;"|"&amp;RIGHT("000000"&amp;87,6),LdgRankKeyA,0),"")</f>
        <v/>
      </c>
      <c r="M103" t="str">
        <f>IFERROR(MATCH($C$5&amp;"|"&amp;RIGHT("000000"&amp;87,6),LdgRankKeyB,0),"")</f>
        <v/>
      </c>
    </row>
    <row r="104" spans="1:13" x14ac:dyDescent="0.2">
      <c r="A104" s="9">
        <v>88</v>
      </c>
      <c r="B104" s="10" t="str">
        <f t="shared" si="8"/>
        <v/>
      </c>
      <c r="C104" s="10" t="str">
        <f t="shared" si="9"/>
        <v/>
      </c>
      <c r="D104" s="10" t="str">
        <f t="shared" si="10"/>
        <v/>
      </c>
      <c r="E104" s="11" t="str">
        <f t="shared" si="11"/>
        <v/>
      </c>
      <c r="F104" s="12" t="str">
        <f t="shared" si="12"/>
        <v/>
      </c>
      <c r="G104" s="13" t="str">
        <f t="shared" si="13"/>
        <v/>
      </c>
      <c r="H104" s="13" t="str">
        <f t="shared" si="14"/>
        <v/>
      </c>
      <c r="I104" s="14" t="str">
        <f t="shared" si="15"/>
        <v/>
      </c>
      <c r="L104" t="str">
        <f>IFERROR(MATCH($C$5&amp;"|"&amp;RIGHT("000000"&amp;88,6),LdgRankKeyA,0),"")</f>
        <v/>
      </c>
      <c r="M104" t="str">
        <f>IFERROR(MATCH($C$5&amp;"|"&amp;RIGHT("000000"&amp;88,6),LdgRankKeyB,0),"")</f>
        <v/>
      </c>
    </row>
    <row r="105" spans="1:13" x14ac:dyDescent="0.2">
      <c r="A105" s="3">
        <v>89</v>
      </c>
      <c r="B105" s="4" t="str">
        <f t="shared" si="8"/>
        <v/>
      </c>
      <c r="C105" s="4" t="str">
        <f t="shared" si="9"/>
        <v/>
      </c>
      <c r="D105" s="4" t="str">
        <f t="shared" si="10"/>
        <v/>
      </c>
      <c r="E105" s="5" t="str">
        <f t="shared" si="11"/>
        <v/>
      </c>
      <c r="F105" s="6" t="str">
        <f t="shared" si="12"/>
        <v/>
      </c>
      <c r="G105" s="7" t="str">
        <f t="shared" si="13"/>
        <v/>
      </c>
      <c r="H105" s="7" t="str">
        <f t="shared" si="14"/>
        <v/>
      </c>
      <c r="I105" s="8" t="str">
        <f t="shared" si="15"/>
        <v/>
      </c>
      <c r="L105" t="str">
        <f>IFERROR(MATCH($C$5&amp;"|"&amp;RIGHT("000000"&amp;89,6),LdgRankKeyA,0),"")</f>
        <v/>
      </c>
      <c r="M105" t="str">
        <f>IFERROR(MATCH($C$5&amp;"|"&amp;RIGHT("000000"&amp;89,6),LdgRankKeyB,0),"")</f>
        <v/>
      </c>
    </row>
    <row r="106" spans="1:13" x14ac:dyDescent="0.2">
      <c r="A106" s="9">
        <v>90</v>
      </c>
      <c r="B106" s="10" t="str">
        <f t="shared" si="8"/>
        <v/>
      </c>
      <c r="C106" s="10" t="str">
        <f t="shared" si="9"/>
        <v/>
      </c>
      <c r="D106" s="10" t="str">
        <f t="shared" si="10"/>
        <v/>
      </c>
      <c r="E106" s="11" t="str">
        <f t="shared" si="11"/>
        <v/>
      </c>
      <c r="F106" s="12" t="str">
        <f t="shared" si="12"/>
        <v/>
      </c>
      <c r="G106" s="13" t="str">
        <f t="shared" si="13"/>
        <v/>
      </c>
      <c r="H106" s="13" t="str">
        <f t="shared" si="14"/>
        <v/>
      </c>
      <c r="I106" s="14" t="str">
        <f t="shared" si="15"/>
        <v/>
      </c>
      <c r="L106" t="str">
        <f>IFERROR(MATCH($C$5&amp;"|"&amp;RIGHT("000000"&amp;90,6),LdgRankKeyA,0),"")</f>
        <v/>
      </c>
      <c r="M106" t="str">
        <f>IFERROR(MATCH($C$5&amp;"|"&amp;RIGHT("000000"&amp;90,6),LdgRankKeyB,0),"")</f>
        <v/>
      </c>
    </row>
    <row r="107" spans="1:13" x14ac:dyDescent="0.2">
      <c r="A107" s="3">
        <v>91</v>
      </c>
      <c r="B107" s="4" t="str">
        <f t="shared" si="8"/>
        <v/>
      </c>
      <c r="C107" s="4" t="str">
        <f t="shared" si="9"/>
        <v/>
      </c>
      <c r="D107" s="4" t="str">
        <f t="shared" si="10"/>
        <v/>
      </c>
      <c r="E107" s="5" t="str">
        <f t="shared" si="11"/>
        <v/>
      </c>
      <c r="F107" s="6" t="str">
        <f t="shared" si="12"/>
        <v/>
      </c>
      <c r="G107" s="7" t="str">
        <f t="shared" si="13"/>
        <v/>
      </c>
      <c r="H107" s="7" t="str">
        <f t="shared" si="14"/>
        <v/>
      </c>
      <c r="I107" s="8" t="str">
        <f t="shared" si="15"/>
        <v/>
      </c>
      <c r="L107" t="str">
        <f>IFERROR(MATCH($C$5&amp;"|"&amp;RIGHT("000000"&amp;91,6),LdgRankKeyA,0),"")</f>
        <v/>
      </c>
      <c r="M107" t="str">
        <f>IFERROR(MATCH($C$5&amp;"|"&amp;RIGHT("000000"&amp;91,6),LdgRankKeyB,0),"")</f>
        <v/>
      </c>
    </row>
    <row r="108" spans="1:13" x14ac:dyDescent="0.2">
      <c r="A108" s="9">
        <v>92</v>
      </c>
      <c r="B108" s="10" t="str">
        <f t="shared" si="8"/>
        <v/>
      </c>
      <c r="C108" s="10" t="str">
        <f t="shared" si="9"/>
        <v/>
      </c>
      <c r="D108" s="10" t="str">
        <f t="shared" si="10"/>
        <v/>
      </c>
      <c r="E108" s="11" t="str">
        <f t="shared" si="11"/>
        <v/>
      </c>
      <c r="F108" s="12" t="str">
        <f t="shared" si="12"/>
        <v/>
      </c>
      <c r="G108" s="13" t="str">
        <f t="shared" si="13"/>
        <v/>
      </c>
      <c r="H108" s="13" t="str">
        <f t="shared" si="14"/>
        <v/>
      </c>
      <c r="I108" s="14" t="str">
        <f t="shared" si="15"/>
        <v/>
      </c>
      <c r="L108" t="str">
        <f>IFERROR(MATCH($C$5&amp;"|"&amp;RIGHT("000000"&amp;92,6),LdgRankKeyA,0),"")</f>
        <v/>
      </c>
      <c r="M108" t="str">
        <f>IFERROR(MATCH($C$5&amp;"|"&amp;RIGHT("000000"&amp;92,6),LdgRankKeyB,0),"")</f>
        <v/>
      </c>
    </row>
    <row r="109" spans="1:13" x14ac:dyDescent="0.2">
      <c r="A109" s="3">
        <v>93</v>
      </c>
      <c r="B109" s="4" t="str">
        <f t="shared" si="8"/>
        <v/>
      </c>
      <c r="C109" s="4" t="str">
        <f t="shared" si="9"/>
        <v/>
      </c>
      <c r="D109" s="4" t="str">
        <f t="shared" si="10"/>
        <v/>
      </c>
      <c r="E109" s="5" t="str">
        <f t="shared" si="11"/>
        <v/>
      </c>
      <c r="F109" s="6" t="str">
        <f t="shared" si="12"/>
        <v/>
      </c>
      <c r="G109" s="7" t="str">
        <f t="shared" si="13"/>
        <v/>
      </c>
      <c r="H109" s="7" t="str">
        <f t="shared" si="14"/>
        <v/>
      </c>
      <c r="I109" s="8" t="str">
        <f t="shared" si="15"/>
        <v/>
      </c>
      <c r="L109" t="str">
        <f>IFERROR(MATCH($C$5&amp;"|"&amp;RIGHT("000000"&amp;93,6),LdgRankKeyA,0),"")</f>
        <v/>
      </c>
      <c r="M109" t="str">
        <f>IFERROR(MATCH($C$5&amp;"|"&amp;RIGHT("000000"&amp;93,6),LdgRankKeyB,0),"")</f>
        <v/>
      </c>
    </row>
    <row r="110" spans="1:13" x14ac:dyDescent="0.2">
      <c r="A110" s="9">
        <v>94</v>
      </c>
      <c r="B110" s="10" t="str">
        <f t="shared" si="8"/>
        <v/>
      </c>
      <c r="C110" s="10" t="str">
        <f t="shared" si="9"/>
        <v/>
      </c>
      <c r="D110" s="10" t="str">
        <f t="shared" si="10"/>
        <v/>
      </c>
      <c r="E110" s="11" t="str">
        <f t="shared" si="11"/>
        <v/>
      </c>
      <c r="F110" s="12" t="str">
        <f t="shared" si="12"/>
        <v/>
      </c>
      <c r="G110" s="13" t="str">
        <f t="shared" si="13"/>
        <v/>
      </c>
      <c r="H110" s="13" t="str">
        <f t="shared" si="14"/>
        <v/>
      </c>
      <c r="I110" s="14" t="str">
        <f t="shared" si="15"/>
        <v/>
      </c>
      <c r="L110" t="str">
        <f>IFERROR(MATCH($C$5&amp;"|"&amp;RIGHT("000000"&amp;94,6),LdgRankKeyA,0),"")</f>
        <v/>
      </c>
      <c r="M110" t="str">
        <f>IFERROR(MATCH($C$5&amp;"|"&amp;RIGHT("000000"&amp;94,6),LdgRankKeyB,0),"")</f>
        <v/>
      </c>
    </row>
    <row r="111" spans="1:13" x14ac:dyDescent="0.2">
      <c r="A111" s="3">
        <v>95</v>
      </c>
      <c r="B111" s="4" t="str">
        <f t="shared" si="8"/>
        <v/>
      </c>
      <c r="C111" s="4" t="str">
        <f t="shared" si="9"/>
        <v/>
      </c>
      <c r="D111" s="4" t="str">
        <f t="shared" si="10"/>
        <v/>
      </c>
      <c r="E111" s="5" t="str">
        <f t="shared" si="11"/>
        <v/>
      </c>
      <c r="F111" s="6" t="str">
        <f t="shared" si="12"/>
        <v/>
      </c>
      <c r="G111" s="7" t="str">
        <f t="shared" si="13"/>
        <v/>
      </c>
      <c r="H111" s="7" t="str">
        <f t="shared" si="14"/>
        <v/>
      </c>
      <c r="I111" s="8" t="str">
        <f t="shared" si="15"/>
        <v/>
      </c>
      <c r="L111" t="str">
        <f>IFERROR(MATCH($C$5&amp;"|"&amp;RIGHT("000000"&amp;95,6),LdgRankKeyA,0),"")</f>
        <v/>
      </c>
      <c r="M111" t="str">
        <f>IFERROR(MATCH($C$5&amp;"|"&amp;RIGHT("000000"&amp;95,6),LdgRankKeyB,0),"")</f>
        <v/>
      </c>
    </row>
    <row r="112" spans="1:13" x14ac:dyDescent="0.2">
      <c r="A112" s="9">
        <v>96</v>
      </c>
      <c r="B112" s="10" t="str">
        <f t="shared" si="8"/>
        <v/>
      </c>
      <c r="C112" s="10" t="str">
        <f t="shared" si="9"/>
        <v/>
      </c>
      <c r="D112" s="10" t="str">
        <f t="shared" si="10"/>
        <v/>
      </c>
      <c r="E112" s="11" t="str">
        <f t="shared" si="11"/>
        <v/>
      </c>
      <c r="F112" s="12" t="str">
        <f t="shared" si="12"/>
        <v/>
      </c>
      <c r="G112" s="13" t="str">
        <f t="shared" si="13"/>
        <v/>
      </c>
      <c r="H112" s="13" t="str">
        <f t="shared" si="14"/>
        <v/>
      </c>
      <c r="I112" s="14" t="str">
        <f t="shared" si="15"/>
        <v/>
      </c>
      <c r="L112" t="str">
        <f>IFERROR(MATCH($C$5&amp;"|"&amp;RIGHT("000000"&amp;96,6),LdgRankKeyA,0),"")</f>
        <v/>
      </c>
      <c r="M112" t="str">
        <f>IFERROR(MATCH($C$5&amp;"|"&amp;RIGHT("000000"&amp;96,6),LdgRankKeyB,0),"")</f>
        <v/>
      </c>
    </row>
    <row r="113" spans="1:13" x14ac:dyDescent="0.2">
      <c r="A113" s="3">
        <v>97</v>
      </c>
      <c r="B113" s="4" t="str">
        <f t="shared" si="8"/>
        <v/>
      </c>
      <c r="C113" s="4" t="str">
        <f t="shared" si="9"/>
        <v/>
      </c>
      <c r="D113" s="4" t="str">
        <f t="shared" si="10"/>
        <v/>
      </c>
      <c r="E113" s="5" t="str">
        <f t="shared" si="11"/>
        <v/>
      </c>
      <c r="F113" s="6" t="str">
        <f t="shared" si="12"/>
        <v/>
      </c>
      <c r="G113" s="7" t="str">
        <f t="shared" si="13"/>
        <v/>
      </c>
      <c r="H113" s="7" t="str">
        <f t="shared" si="14"/>
        <v/>
      </c>
      <c r="I113" s="8" t="str">
        <f t="shared" si="15"/>
        <v/>
      </c>
      <c r="L113" t="str">
        <f>IFERROR(MATCH($C$5&amp;"|"&amp;RIGHT("000000"&amp;97,6),LdgRankKeyA,0),"")</f>
        <v/>
      </c>
      <c r="M113" t="str">
        <f>IFERROR(MATCH($C$5&amp;"|"&amp;RIGHT("000000"&amp;97,6),LdgRankKeyB,0),"")</f>
        <v/>
      </c>
    </row>
    <row r="114" spans="1:13" x14ac:dyDescent="0.2">
      <c r="A114" s="9">
        <v>98</v>
      </c>
      <c r="B114" s="10" t="str">
        <f t="shared" si="8"/>
        <v/>
      </c>
      <c r="C114" s="10" t="str">
        <f t="shared" si="9"/>
        <v/>
      </c>
      <c r="D114" s="10" t="str">
        <f t="shared" si="10"/>
        <v/>
      </c>
      <c r="E114" s="11" t="str">
        <f t="shared" si="11"/>
        <v/>
      </c>
      <c r="F114" s="12" t="str">
        <f t="shared" si="12"/>
        <v/>
      </c>
      <c r="G114" s="13" t="str">
        <f t="shared" si="13"/>
        <v/>
      </c>
      <c r="H114" s="13" t="str">
        <f t="shared" si="14"/>
        <v/>
      </c>
      <c r="I114" s="14" t="str">
        <f t="shared" si="15"/>
        <v/>
      </c>
      <c r="L114" t="str">
        <f>IFERROR(MATCH($C$5&amp;"|"&amp;RIGHT("000000"&amp;98,6),LdgRankKeyA,0),"")</f>
        <v/>
      </c>
      <c r="M114" t="str">
        <f>IFERROR(MATCH($C$5&amp;"|"&amp;RIGHT("000000"&amp;98,6),LdgRankKeyB,0),"")</f>
        <v/>
      </c>
    </row>
    <row r="115" spans="1:13" x14ac:dyDescent="0.2">
      <c r="A115" s="3">
        <v>99</v>
      </c>
      <c r="B115" s="4" t="str">
        <f t="shared" si="8"/>
        <v/>
      </c>
      <c r="C115" s="4" t="str">
        <f t="shared" si="9"/>
        <v/>
      </c>
      <c r="D115" s="4" t="str">
        <f t="shared" si="10"/>
        <v/>
      </c>
      <c r="E115" s="5" t="str">
        <f t="shared" si="11"/>
        <v/>
      </c>
      <c r="F115" s="6" t="str">
        <f t="shared" si="12"/>
        <v/>
      </c>
      <c r="G115" s="7" t="str">
        <f t="shared" si="13"/>
        <v/>
      </c>
      <c r="H115" s="7" t="str">
        <f t="shared" si="14"/>
        <v/>
      </c>
      <c r="I115" s="8" t="str">
        <f t="shared" si="15"/>
        <v/>
      </c>
      <c r="L115" t="str">
        <f>IFERROR(MATCH($C$5&amp;"|"&amp;RIGHT("000000"&amp;99,6),LdgRankKeyA,0),"")</f>
        <v/>
      </c>
      <c r="M115" t="str">
        <f>IFERROR(MATCH($C$5&amp;"|"&amp;RIGHT("000000"&amp;99,6),LdgRankKeyB,0),"")</f>
        <v/>
      </c>
    </row>
    <row r="116" spans="1:13" x14ac:dyDescent="0.2">
      <c r="A116" s="9">
        <v>100</v>
      </c>
      <c r="B116" s="10" t="str">
        <f t="shared" si="8"/>
        <v/>
      </c>
      <c r="C116" s="10" t="str">
        <f t="shared" si="9"/>
        <v/>
      </c>
      <c r="D116" s="10" t="str">
        <f t="shared" si="10"/>
        <v/>
      </c>
      <c r="E116" s="11" t="str">
        <f t="shared" si="11"/>
        <v/>
      </c>
      <c r="F116" s="12" t="str">
        <f t="shared" si="12"/>
        <v/>
      </c>
      <c r="G116" s="13" t="str">
        <f t="shared" si="13"/>
        <v/>
      </c>
      <c r="H116" s="13" t="str">
        <f t="shared" si="14"/>
        <v/>
      </c>
      <c r="I116" s="14" t="str">
        <f t="shared" si="15"/>
        <v/>
      </c>
      <c r="L116" t="str">
        <f>IFERROR(MATCH($C$5&amp;"|"&amp;RIGHT("000000"&amp;100,6),LdgRankKeyA,0),"")</f>
        <v/>
      </c>
      <c r="M116" t="str">
        <f>IFERROR(MATCH($C$5&amp;"|"&amp;RIGHT("000000"&amp;100,6),LdgRankKeyB,0),"")</f>
        <v/>
      </c>
    </row>
    <row r="117" spans="1:13" x14ac:dyDescent="0.2">
      <c r="A117" s="3">
        <v>101</v>
      </c>
      <c r="B117" s="4" t="str">
        <f t="shared" si="8"/>
        <v/>
      </c>
      <c r="C117" s="4" t="str">
        <f t="shared" si="9"/>
        <v/>
      </c>
      <c r="D117" s="4" t="str">
        <f t="shared" si="10"/>
        <v/>
      </c>
      <c r="E117" s="5" t="str">
        <f t="shared" si="11"/>
        <v/>
      </c>
      <c r="F117" s="6" t="str">
        <f t="shared" si="12"/>
        <v/>
      </c>
      <c r="G117" s="7" t="str">
        <f t="shared" si="13"/>
        <v/>
      </c>
      <c r="H117" s="7" t="str">
        <f t="shared" si="14"/>
        <v/>
      </c>
      <c r="I117" s="8" t="str">
        <f t="shared" si="15"/>
        <v/>
      </c>
      <c r="L117" t="str">
        <f>IFERROR(MATCH($C$5&amp;"|"&amp;RIGHT("000000"&amp;101,6),LdgRankKeyA,0),"")</f>
        <v/>
      </c>
      <c r="M117" t="str">
        <f>IFERROR(MATCH($C$5&amp;"|"&amp;RIGHT("000000"&amp;101,6),LdgRankKeyB,0),"")</f>
        <v/>
      </c>
    </row>
    <row r="118" spans="1:13" x14ac:dyDescent="0.2">
      <c r="A118" s="9">
        <v>102</v>
      </c>
      <c r="B118" s="10" t="str">
        <f t="shared" si="8"/>
        <v/>
      </c>
      <c r="C118" s="10" t="str">
        <f t="shared" si="9"/>
        <v/>
      </c>
      <c r="D118" s="10" t="str">
        <f t="shared" si="10"/>
        <v/>
      </c>
      <c r="E118" s="11" t="str">
        <f t="shared" si="11"/>
        <v/>
      </c>
      <c r="F118" s="12" t="str">
        <f t="shared" si="12"/>
        <v/>
      </c>
      <c r="G118" s="13" t="str">
        <f t="shared" si="13"/>
        <v/>
      </c>
      <c r="H118" s="13" t="str">
        <f t="shared" si="14"/>
        <v/>
      </c>
      <c r="I118" s="14" t="str">
        <f t="shared" si="15"/>
        <v/>
      </c>
      <c r="L118" t="str">
        <f>IFERROR(MATCH($C$5&amp;"|"&amp;RIGHT("000000"&amp;102,6),LdgRankKeyA,0),"")</f>
        <v/>
      </c>
      <c r="M118" t="str">
        <f>IFERROR(MATCH($C$5&amp;"|"&amp;RIGHT("000000"&amp;102,6),LdgRankKeyB,0),"")</f>
        <v/>
      </c>
    </row>
    <row r="119" spans="1:13" x14ac:dyDescent="0.2">
      <c r="A119" s="3">
        <v>103</v>
      </c>
      <c r="B119" s="4" t="str">
        <f t="shared" si="8"/>
        <v/>
      </c>
      <c r="C119" s="4" t="str">
        <f t="shared" si="9"/>
        <v/>
      </c>
      <c r="D119" s="4" t="str">
        <f t="shared" si="10"/>
        <v/>
      </c>
      <c r="E119" s="5" t="str">
        <f t="shared" si="11"/>
        <v/>
      </c>
      <c r="F119" s="6" t="str">
        <f t="shared" si="12"/>
        <v/>
      </c>
      <c r="G119" s="7" t="str">
        <f t="shared" si="13"/>
        <v/>
      </c>
      <c r="H119" s="7" t="str">
        <f t="shared" si="14"/>
        <v/>
      </c>
      <c r="I119" s="8" t="str">
        <f t="shared" si="15"/>
        <v/>
      </c>
      <c r="L119" t="str">
        <f>IFERROR(MATCH($C$5&amp;"|"&amp;RIGHT("000000"&amp;103,6),LdgRankKeyA,0),"")</f>
        <v/>
      </c>
      <c r="M119" t="str">
        <f>IFERROR(MATCH($C$5&amp;"|"&amp;RIGHT("000000"&amp;103,6),LdgRankKeyB,0),"")</f>
        <v/>
      </c>
    </row>
    <row r="120" spans="1:13" x14ac:dyDescent="0.2">
      <c r="A120" s="9">
        <v>104</v>
      </c>
      <c r="B120" s="10" t="str">
        <f t="shared" si="8"/>
        <v/>
      </c>
      <c r="C120" s="10" t="str">
        <f t="shared" si="9"/>
        <v/>
      </c>
      <c r="D120" s="10" t="str">
        <f t="shared" si="10"/>
        <v/>
      </c>
      <c r="E120" s="11" t="str">
        <f t="shared" si="11"/>
        <v/>
      </c>
      <c r="F120" s="12" t="str">
        <f t="shared" si="12"/>
        <v/>
      </c>
      <c r="G120" s="13" t="str">
        <f t="shared" si="13"/>
        <v/>
      </c>
      <c r="H120" s="13" t="str">
        <f t="shared" si="14"/>
        <v/>
      </c>
      <c r="I120" s="14" t="str">
        <f t="shared" si="15"/>
        <v/>
      </c>
      <c r="L120" t="str">
        <f>IFERROR(MATCH($C$5&amp;"|"&amp;RIGHT("000000"&amp;104,6),LdgRankKeyA,0),"")</f>
        <v/>
      </c>
      <c r="M120" t="str">
        <f>IFERROR(MATCH($C$5&amp;"|"&amp;RIGHT("000000"&amp;104,6),LdgRankKeyB,0),"")</f>
        <v/>
      </c>
    </row>
    <row r="121" spans="1:13" x14ac:dyDescent="0.2">
      <c r="A121" s="3">
        <v>105</v>
      </c>
      <c r="B121" s="4" t="str">
        <f t="shared" si="8"/>
        <v/>
      </c>
      <c r="C121" s="4" t="str">
        <f t="shared" si="9"/>
        <v/>
      </c>
      <c r="D121" s="4" t="str">
        <f t="shared" si="10"/>
        <v/>
      </c>
      <c r="E121" s="5" t="str">
        <f t="shared" si="11"/>
        <v/>
      </c>
      <c r="F121" s="6" t="str">
        <f t="shared" si="12"/>
        <v/>
      </c>
      <c r="G121" s="7" t="str">
        <f t="shared" si="13"/>
        <v/>
      </c>
      <c r="H121" s="7" t="str">
        <f t="shared" si="14"/>
        <v/>
      </c>
      <c r="I121" s="8" t="str">
        <f t="shared" si="15"/>
        <v/>
      </c>
      <c r="L121" t="str">
        <f>IFERROR(MATCH($C$5&amp;"|"&amp;RIGHT("000000"&amp;105,6),LdgRankKeyA,0),"")</f>
        <v/>
      </c>
      <c r="M121" t="str">
        <f>IFERROR(MATCH($C$5&amp;"|"&amp;RIGHT("000000"&amp;105,6),LdgRankKeyB,0),"")</f>
        <v/>
      </c>
    </row>
    <row r="122" spans="1:13" x14ac:dyDescent="0.2">
      <c r="A122" s="9">
        <v>106</v>
      </c>
      <c r="B122" s="10" t="str">
        <f t="shared" si="8"/>
        <v/>
      </c>
      <c r="C122" s="10" t="str">
        <f t="shared" si="9"/>
        <v/>
      </c>
      <c r="D122" s="10" t="str">
        <f t="shared" si="10"/>
        <v/>
      </c>
      <c r="E122" s="11" t="str">
        <f t="shared" si="11"/>
        <v/>
      </c>
      <c r="F122" s="12" t="str">
        <f t="shared" si="12"/>
        <v/>
      </c>
      <c r="G122" s="13" t="str">
        <f t="shared" si="13"/>
        <v/>
      </c>
      <c r="H122" s="13" t="str">
        <f t="shared" si="14"/>
        <v/>
      </c>
      <c r="I122" s="14" t="str">
        <f t="shared" si="15"/>
        <v/>
      </c>
      <c r="L122" t="str">
        <f>IFERROR(MATCH($C$5&amp;"|"&amp;RIGHT("000000"&amp;106,6),LdgRankKeyA,0),"")</f>
        <v/>
      </c>
      <c r="M122" t="str">
        <f>IFERROR(MATCH($C$5&amp;"|"&amp;RIGHT("000000"&amp;106,6),LdgRankKeyB,0),"")</f>
        <v/>
      </c>
    </row>
    <row r="123" spans="1:13" x14ac:dyDescent="0.2">
      <c r="A123" s="3">
        <v>107</v>
      </c>
      <c r="B123" s="4" t="str">
        <f t="shared" si="8"/>
        <v/>
      </c>
      <c r="C123" s="4" t="str">
        <f t="shared" si="9"/>
        <v/>
      </c>
      <c r="D123" s="4" t="str">
        <f t="shared" si="10"/>
        <v/>
      </c>
      <c r="E123" s="5" t="str">
        <f t="shared" si="11"/>
        <v/>
      </c>
      <c r="F123" s="6" t="str">
        <f t="shared" si="12"/>
        <v/>
      </c>
      <c r="G123" s="7" t="str">
        <f t="shared" si="13"/>
        <v/>
      </c>
      <c r="H123" s="7" t="str">
        <f t="shared" si="14"/>
        <v/>
      </c>
      <c r="I123" s="8" t="str">
        <f t="shared" si="15"/>
        <v/>
      </c>
      <c r="L123" t="str">
        <f>IFERROR(MATCH($C$5&amp;"|"&amp;RIGHT("000000"&amp;107,6),LdgRankKeyA,0),"")</f>
        <v/>
      </c>
      <c r="M123" t="str">
        <f>IFERROR(MATCH($C$5&amp;"|"&amp;RIGHT("000000"&amp;107,6),LdgRankKeyB,0),"")</f>
        <v/>
      </c>
    </row>
    <row r="124" spans="1:13" x14ac:dyDescent="0.2">
      <c r="A124" s="9">
        <v>108</v>
      </c>
      <c r="B124" s="10" t="str">
        <f t="shared" si="8"/>
        <v/>
      </c>
      <c r="C124" s="10" t="str">
        <f t="shared" si="9"/>
        <v/>
      </c>
      <c r="D124" s="10" t="str">
        <f t="shared" si="10"/>
        <v/>
      </c>
      <c r="E124" s="11" t="str">
        <f t="shared" si="11"/>
        <v/>
      </c>
      <c r="F124" s="12" t="str">
        <f t="shared" si="12"/>
        <v/>
      </c>
      <c r="G124" s="13" t="str">
        <f t="shared" si="13"/>
        <v/>
      </c>
      <c r="H124" s="13" t="str">
        <f t="shared" si="14"/>
        <v/>
      </c>
      <c r="I124" s="14" t="str">
        <f t="shared" si="15"/>
        <v/>
      </c>
      <c r="L124" t="str">
        <f>IFERROR(MATCH($C$5&amp;"|"&amp;RIGHT("000000"&amp;108,6),LdgRankKeyA,0),"")</f>
        <v/>
      </c>
      <c r="M124" t="str">
        <f>IFERROR(MATCH($C$5&amp;"|"&amp;RIGHT("000000"&amp;108,6),LdgRankKeyB,0),"")</f>
        <v/>
      </c>
    </row>
    <row r="125" spans="1:13" x14ac:dyDescent="0.2">
      <c r="A125" s="3">
        <v>109</v>
      </c>
      <c r="B125" s="4" t="str">
        <f t="shared" si="8"/>
        <v/>
      </c>
      <c r="C125" s="4" t="str">
        <f t="shared" si="9"/>
        <v/>
      </c>
      <c r="D125" s="4" t="str">
        <f t="shared" si="10"/>
        <v/>
      </c>
      <c r="E125" s="5" t="str">
        <f t="shared" si="11"/>
        <v/>
      </c>
      <c r="F125" s="6" t="str">
        <f t="shared" si="12"/>
        <v/>
      </c>
      <c r="G125" s="7" t="str">
        <f t="shared" si="13"/>
        <v/>
      </c>
      <c r="H125" s="7" t="str">
        <f t="shared" si="14"/>
        <v/>
      </c>
      <c r="I125" s="8" t="str">
        <f t="shared" si="15"/>
        <v/>
      </c>
      <c r="L125" t="str">
        <f>IFERROR(MATCH($C$5&amp;"|"&amp;RIGHT("000000"&amp;109,6),LdgRankKeyA,0),"")</f>
        <v/>
      </c>
      <c r="M125" t="str">
        <f>IFERROR(MATCH($C$5&amp;"|"&amp;RIGHT("000000"&amp;109,6),LdgRankKeyB,0),"")</f>
        <v/>
      </c>
    </row>
    <row r="126" spans="1:13" x14ac:dyDescent="0.2">
      <c r="A126" s="9">
        <v>110</v>
      </c>
      <c r="B126" s="10" t="str">
        <f t="shared" si="8"/>
        <v/>
      </c>
      <c r="C126" s="10" t="str">
        <f t="shared" si="9"/>
        <v/>
      </c>
      <c r="D126" s="10" t="str">
        <f t="shared" si="10"/>
        <v/>
      </c>
      <c r="E126" s="11" t="str">
        <f t="shared" si="11"/>
        <v/>
      </c>
      <c r="F126" s="12" t="str">
        <f t="shared" si="12"/>
        <v/>
      </c>
      <c r="G126" s="13" t="str">
        <f t="shared" si="13"/>
        <v/>
      </c>
      <c r="H126" s="13" t="str">
        <f t="shared" si="14"/>
        <v/>
      </c>
      <c r="I126" s="14" t="str">
        <f t="shared" si="15"/>
        <v/>
      </c>
      <c r="L126" t="str">
        <f>IFERROR(MATCH($C$5&amp;"|"&amp;RIGHT("000000"&amp;110,6),LdgRankKeyA,0),"")</f>
        <v/>
      </c>
      <c r="M126" t="str">
        <f>IFERROR(MATCH($C$5&amp;"|"&amp;RIGHT("000000"&amp;110,6),LdgRankKeyB,0),"")</f>
        <v/>
      </c>
    </row>
    <row r="127" spans="1:13" x14ac:dyDescent="0.2">
      <c r="A127" s="3">
        <v>111</v>
      </c>
      <c r="B127" s="4" t="str">
        <f t="shared" si="8"/>
        <v/>
      </c>
      <c r="C127" s="4" t="str">
        <f t="shared" si="9"/>
        <v/>
      </c>
      <c r="D127" s="4" t="str">
        <f t="shared" si="10"/>
        <v/>
      </c>
      <c r="E127" s="5" t="str">
        <f t="shared" si="11"/>
        <v/>
      </c>
      <c r="F127" s="6" t="str">
        <f t="shared" si="12"/>
        <v/>
      </c>
      <c r="G127" s="7" t="str">
        <f t="shared" si="13"/>
        <v/>
      </c>
      <c r="H127" s="7" t="str">
        <f t="shared" si="14"/>
        <v/>
      </c>
      <c r="I127" s="8" t="str">
        <f t="shared" si="15"/>
        <v/>
      </c>
      <c r="L127" t="str">
        <f>IFERROR(MATCH($C$5&amp;"|"&amp;RIGHT("000000"&amp;111,6),LdgRankKeyA,0),"")</f>
        <v/>
      </c>
      <c r="M127" t="str">
        <f>IFERROR(MATCH($C$5&amp;"|"&amp;RIGHT("000000"&amp;111,6),LdgRankKeyB,0),"")</f>
        <v/>
      </c>
    </row>
    <row r="128" spans="1:13" x14ac:dyDescent="0.2">
      <c r="A128" s="9">
        <v>112</v>
      </c>
      <c r="B128" s="10" t="str">
        <f t="shared" si="8"/>
        <v/>
      </c>
      <c r="C128" s="10" t="str">
        <f t="shared" si="9"/>
        <v/>
      </c>
      <c r="D128" s="10" t="str">
        <f t="shared" si="10"/>
        <v/>
      </c>
      <c r="E128" s="11" t="str">
        <f t="shared" si="11"/>
        <v/>
      </c>
      <c r="F128" s="12" t="str">
        <f t="shared" si="12"/>
        <v/>
      </c>
      <c r="G128" s="13" t="str">
        <f t="shared" si="13"/>
        <v/>
      </c>
      <c r="H128" s="13" t="str">
        <f t="shared" si="14"/>
        <v/>
      </c>
      <c r="I128" s="14" t="str">
        <f t="shared" si="15"/>
        <v/>
      </c>
      <c r="L128" t="str">
        <f>IFERROR(MATCH($C$5&amp;"|"&amp;RIGHT("000000"&amp;112,6),LdgRankKeyA,0),"")</f>
        <v/>
      </c>
      <c r="M128" t="str">
        <f>IFERROR(MATCH($C$5&amp;"|"&amp;RIGHT("000000"&amp;112,6),LdgRankKeyB,0),"")</f>
        <v/>
      </c>
    </row>
    <row r="129" spans="1:13" x14ac:dyDescent="0.2">
      <c r="A129" s="3">
        <v>113</v>
      </c>
      <c r="B129" s="4" t="str">
        <f t="shared" si="8"/>
        <v/>
      </c>
      <c r="C129" s="4" t="str">
        <f t="shared" si="9"/>
        <v/>
      </c>
      <c r="D129" s="4" t="str">
        <f t="shared" si="10"/>
        <v/>
      </c>
      <c r="E129" s="5" t="str">
        <f t="shared" si="11"/>
        <v/>
      </c>
      <c r="F129" s="6" t="str">
        <f t="shared" si="12"/>
        <v/>
      </c>
      <c r="G129" s="7" t="str">
        <f t="shared" si="13"/>
        <v/>
      </c>
      <c r="H129" s="7" t="str">
        <f t="shared" si="14"/>
        <v/>
      </c>
      <c r="I129" s="8" t="str">
        <f t="shared" si="15"/>
        <v/>
      </c>
      <c r="L129" t="str">
        <f>IFERROR(MATCH($C$5&amp;"|"&amp;RIGHT("000000"&amp;113,6),LdgRankKeyA,0),"")</f>
        <v/>
      </c>
      <c r="M129" t="str">
        <f>IFERROR(MATCH($C$5&amp;"|"&amp;RIGHT("000000"&amp;113,6),LdgRankKeyB,0),"")</f>
        <v/>
      </c>
    </row>
    <row r="130" spans="1:13" x14ac:dyDescent="0.2">
      <c r="A130" s="9">
        <v>114</v>
      </c>
      <c r="B130" s="10" t="str">
        <f t="shared" si="8"/>
        <v/>
      </c>
      <c r="C130" s="10" t="str">
        <f t="shared" si="9"/>
        <v/>
      </c>
      <c r="D130" s="10" t="str">
        <f t="shared" si="10"/>
        <v/>
      </c>
      <c r="E130" s="11" t="str">
        <f t="shared" si="11"/>
        <v/>
      </c>
      <c r="F130" s="12" t="str">
        <f t="shared" si="12"/>
        <v/>
      </c>
      <c r="G130" s="13" t="str">
        <f t="shared" si="13"/>
        <v/>
      </c>
      <c r="H130" s="13" t="str">
        <f t="shared" si="14"/>
        <v/>
      </c>
      <c r="I130" s="14" t="str">
        <f t="shared" si="15"/>
        <v/>
      </c>
      <c r="L130" t="str">
        <f>IFERROR(MATCH($C$5&amp;"|"&amp;RIGHT("000000"&amp;114,6),LdgRankKeyA,0),"")</f>
        <v/>
      </c>
      <c r="M130" t="str">
        <f>IFERROR(MATCH($C$5&amp;"|"&amp;RIGHT("000000"&amp;114,6),LdgRankKeyB,0),"")</f>
        <v/>
      </c>
    </row>
    <row r="131" spans="1:13" x14ac:dyDescent="0.2">
      <c r="A131" s="3">
        <v>115</v>
      </c>
      <c r="B131" s="4" t="str">
        <f t="shared" si="8"/>
        <v/>
      </c>
      <c r="C131" s="4" t="str">
        <f t="shared" si="9"/>
        <v/>
      </c>
      <c r="D131" s="4" t="str">
        <f t="shared" si="10"/>
        <v/>
      </c>
      <c r="E131" s="5" t="str">
        <f t="shared" si="11"/>
        <v/>
      </c>
      <c r="F131" s="6" t="str">
        <f t="shared" si="12"/>
        <v/>
      </c>
      <c r="G131" s="7" t="str">
        <f t="shared" si="13"/>
        <v/>
      </c>
      <c r="H131" s="7" t="str">
        <f t="shared" si="14"/>
        <v/>
      </c>
      <c r="I131" s="8" t="str">
        <f t="shared" si="15"/>
        <v/>
      </c>
      <c r="L131" t="str">
        <f>IFERROR(MATCH($C$5&amp;"|"&amp;RIGHT("000000"&amp;115,6),LdgRankKeyA,0),"")</f>
        <v/>
      </c>
      <c r="M131" t="str">
        <f>IFERROR(MATCH($C$5&amp;"|"&amp;RIGHT("000000"&amp;115,6),LdgRankKeyB,0),"")</f>
        <v/>
      </c>
    </row>
    <row r="132" spans="1:13" x14ac:dyDescent="0.2">
      <c r="A132" s="9">
        <v>116</v>
      </c>
      <c r="B132" s="10" t="str">
        <f t="shared" si="8"/>
        <v/>
      </c>
      <c r="C132" s="10" t="str">
        <f t="shared" si="9"/>
        <v/>
      </c>
      <c r="D132" s="10" t="str">
        <f t="shared" si="10"/>
        <v/>
      </c>
      <c r="E132" s="11" t="str">
        <f t="shared" si="11"/>
        <v/>
      </c>
      <c r="F132" s="12" t="str">
        <f t="shared" si="12"/>
        <v/>
      </c>
      <c r="G132" s="13" t="str">
        <f t="shared" si="13"/>
        <v/>
      </c>
      <c r="H132" s="13" t="str">
        <f t="shared" si="14"/>
        <v/>
      </c>
      <c r="I132" s="14" t="str">
        <f t="shared" si="15"/>
        <v/>
      </c>
      <c r="L132" t="str">
        <f>IFERROR(MATCH($C$5&amp;"|"&amp;RIGHT("000000"&amp;116,6),LdgRankKeyA,0),"")</f>
        <v/>
      </c>
      <c r="M132" t="str">
        <f>IFERROR(MATCH($C$5&amp;"|"&amp;RIGHT("000000"&amp;116,6),LdgRankKeyB,0),"")</f>
        <v/>
      </c>
    </row>
    <row r="133" spans="1:13" x14ac:dyDescent="0.2">
      <c r="A133" s="3">
        <v>117</v>
      </c>
      <c r="B133" s="4" t="str">
        <f t="shared" si="8"/>
        <v/>
      </c>
      <c r="C133" s="4" t="str">
        <f t="shared" si="9"/>
        <v/>
      </c>
      <c r="D133" s="4" t="str">
        <f t="shared" si="10"/>
        <v/>
      </c>
      <c r="E133" s="5" t="str">
        <f t="shared" si="11"/>
        <v/>
      </c>
      <c r="F133" s="6" t="str">
        <f t="shared" si="12"/>
        <v/>
      </c>
      <c r="G133" s="7" t="str">
        <f t="shared" si="13"/>
        <v/>
      </c>
      <c r="H133" s="7" t="str">
        <f t="shared" si="14"/>
        <v/>
      </c>
      <c r="I133" s="8" t="str">
        <f t="shared" si="15"/>
        <v/>
      </c>
      <c r="L133" t="str">
        <f>IFERROR(MATCH($C$5&amp;"|"&amp;RIGHT("000000"&amp;117,6),LdgRankKeyA,0),"")</f>
        <v/>
      </c>
      <c r="M133" t="str">
        <f>IFERROR(MATCH($C$5&amp;"|"&amp;RIGHT("000000"&amp;117,6),LdgRankKeyB,0),"")</f>
        <v/>
      </c>
    </row>
    <row r="134" spans="1:13" x14ac:dyDescent="0.2">
      <c r="A134" s="9">
        <v>118</v>
      </c>
      <c r="B134" s="10" t="str">
        <f t="shared" si="8"/>
        <v/>
      </c>
      <c r="C134" s="10" t="str">
        <f t="shared" si="9"/>
        <v/>
      </c>
      <c r="D134" s="10" t="str">
        <f t="shared" si="10"/>
        <v/>
      </c>
      <c r="E134" s="11" t="str">
        <f t="shared" si="11"/>
        <v/>
      </c>
      <c r="F134" s="12" t="str">
        <f t="shared" si="12"/>
        <v/>
      </c>
      <c r="G134" s="13" t="str">
        <f t="shared" si="13"/>
        <v/>
      </c>
      <c r="H134" s="13" t="str">
        <f t="shared" si="14"/>
        <v/>
      </c>
      <c r="I134" s="14" t="str">
        <f t="shared" si="15"/>
        <v/>
      </c>
      <c r="L134" t="str">
        <f>IFERROR(MATCH($C$5&amp;"|"&amp;RIGHT("000000"&amp;118,6),LdgRankKeyA,0),"")</f>
        <v/>
      </c>
      <c r="M134" t="str">
        <f>IFERROR(MATCH($C$5&amp;"|"&amp;RIGHT("000000"&amp;118,6),LdgRankKeyB,0),"")</f>
        <v/>
      </c>
    </row>
    <row r="135" spans="1:13" x14ac:dyDescent="0.2">
      <c r="A135" s="3">
        <v>119</v>
      </c>
      <c r="B135" s="4" t="str">
        <f t="shared" si="8"/>
        <v/>
      </c>
      <c r="C135" s="4" t="str">
        <f t="shared" si="9"/>
        <v/>
      </c>
      <c r="D135" s="4" t="str">
        <f t="shared" si="10"/>
        <v/>
      </c>
      <c r="E135" s="5" t="str">
        <f t="shared" si="11"/>
        <v/>
      </c>
      <c r="F135" s="6" t="str">
        <f t="shared" si="12"/>
        <v/>
      </c>
      <c r="G135" s="7" t="str">
        <f t="shared" si="13"/>
        <v/>
      </c>
      <c r="H135" s="7" t="str">
        <f t="shared" si="14"/>
        <v/>
      </c>
      <c r="I135" s="8" t="str">
        <f t="shared" si="15"/>
        <v/>
      </c>
      <c r="L135" t="str">
        <f>IFERROR(MATCH($C$5&amp;"|"&amp;RIGHT("000000"&amp;119,6),LdgRankKeyA,0),"")</f>
        <v/>
      </c>
      <c r="M135" t="str">
        <f>IFERROR(MATCH($C$5&amp;"|"&amp;RIGHT("000000"&amp;119,6),LdgRankKeyB,0),"")</f>
        <v/>
      </c>
    </row>
    <row r="136" spans="1:13" x14ac:dyDescent="0.2">
      <c r="A136" s="9">
        <v>120</v>
      </c>
      <c r="B136" s="10" t="str">
        <f t="shared" si="8"/>
        <v/>
      </c>
      <c r="C136" s="10" t="str">
        <f t="shared" si="9"/>
        <v/>
      </c>
      <c r="D136" s="10" t="str">
        <f t="shared" si="10"/>
        <v/>
      </c>
      <c r="E136" s="11" t="str">
        <f t="shared" si="11"/>
        <v/>
      </c>
      <c r="F136" s="12" t="str">
        <f t="shared" si="12"/>
        <v/>
      </c>
      <c r="G136" s="13" t="str">
        <f t="shared" si="13"/>
        <v/>
      </c>
      <c r="H136" s="13" t="str">
        <f t="shared" si="14"/>
        <v/>
      </c>
      <c r="I136" s="14" t="str">
        <f t="shared" si="15"/>
        <v/>
      </c>
      <c r="L136" t="str">
        <f>IFERROR(MATCH($C$5&amp;"|"&amp;RIGHT("000000"&amp;120,6),LdgRankKeyA,0),"")</f>
        <v/>
      </c>
      <c r="M136" t="str">
        <f>IFERROR(MATCH($C$5&amp;"|"&amp;RIGHT("000000"&amp;120,6),LdgRankKeyB,0),"")</f>
        <v/>
      </c>
    </row>
    <row r="137" spans="1:13" x14ac:dyDescent="0.2">
      <c r="A137" s="3">
        <v>121</v>
      </c>
      <c r="B137" s="4" t="str">
        <f t="shared" si="8"/>
        <v/>
      </c>
      <c r="C137" s="4" t="str">
        <f t="shared" si="9"/>
        <v/>
      </c>
      <c r="D137" s="4" t="str">
        <f t="shared" si="10"/>
        <v/>
      </c>
      <c r="E137" s="5" t="str">
        <f t="shared" si="11"/>
        <v/>
      </c>
      <c r="F137" s="6" t="str">
        <f t="shared" si="12"/>
        <v/>
      </c>
      <c r="G137" s="7" t="str">
        <f t="shared" si="13"/>
        <v/>
      </c>
      <c r="H137" s="7" t="str">
        <f t="shared" si="14"/>
        <v/>
      </c>
      <c r="I137" s="8" t="str">
        <f t="shared" si="15"/>
        <v/>
      </c>
      <c r="L137" t="str">
        <f>IFERROR(MATCH($C$5&amp;"|"&amp;RIGHT("000000"&amp;121,6),LdgRankKeyA,0),"")</f>
        <v/>
      </c>
      <c r="M137" t="str">
        <f>IFERROR(MATCH($C$5&amp;"|"&amp;RIGHT("000000"&amp;121,6),LdgRankKeyB,0),"")</f>
        <v/>
      </c>
    </row>
    <row r="138" spans="1:13" x14ac:dyDescent="0.2">
      <c r="A138" s="9">
        <v>122</v>
      </c>
      <c r="B138" s="10" t="str">
        <f t="shared" si="8"/>
        <v/>
      </c>
      <c r="C138" s="10" t="str">
        <f t="shared" si="9"/>
        <v/>
      </c>
      <c r="D138" s="10" t="str">
        <f t="shared" si="10"/>
        <v/>
      </c>
      <c r="E138" s="11" t="str">
        <f t="shared" si="11"/>
        <v/>
      </c>
      <c r="F138" s="12" t="str">
        <f t="shared" si="12"/>
        <v/>
      </c>
      <c r="G138" s="13" t="str">
        <f t="shared" si="13"/>
        <v/>
      </c>
      <c r="H138" s="13" t="str">
        <f t="shared" si="14"/>
        <v/>
      </c>
      <c r="I138" s="14" t="str">
        <f t="shared" si="15"/>
        <v/>
      </c>
      <c r="L138" t="str">
        <f>IFERROR(MATCH($C$5&amp;"|"&amp;RIGHT("000000"&amp;122,6),LdgRankKeyA,0),"")</f>
        <v/>
      </c>
      <c r="M138" t="str">
        <f>IFERROR(MATCH($C$5&amp;"|"&amp;RIGHT("000000"&amp;122,6),LdgRankKeyB,0),"")</f>
        <v/>
      </c>
    </row>
    <row r="139" spans="1:13" x14ac:dyDescent="0.2">
      <c r="A139" s="3">
        <v>123</v>
      </c>
      <c r="B139" s="4" t="str">
        <f t="shared" si="8"/>
        <v/>
      </c>
      <c r="C139" s="4" t="str">
        <f t="shared" si="9"/>
        <v/>
      </c>
      <c r="D139" s="4" t="str">
        <f t="shared" si="10"/>
        <v/>
      </c>
      <c r="E139" s="5" t="str">
        <f t="shared" si="11"/>
        <v/>
      </c>
      <c r="F139" s="6" t="str">
        <f t="shared" si="12"/>
        <v/>
      </c>
      <c r="G139" s="7" t="str">
        <f t="shared" si="13"/>
        <v/>
      </c>
      <c r="H139" s="7" t="str">
        <f t="shared" si="14"/>
        <v/>
      </c>
      <c r="I139" s="8" t="str">
        <f t="shared" si="15"/>
        <v/>
      </c>
      <c r="L139" t="str">
        <f>IFERROR(MATCH($C$5&amp;"|"&amp;RIGHT("000000"&amp;123,6),LdgRankKeyA,0),"")</f>
        <v/>
      </c>
      <c r="M139" t="str">
        <f>IFERROR(MATCH($C$5&amp;"|"&amp;RIGHT("000000"&amp;123,6),LdgRankKeyB,0),"")</f>
        <v/>
      </c>
    </row>
    <row r="140" spans="1:13" x14ac:dyDescent="0.2">
      <c r="A140" s="9">
        <v>124</v>
      </c>
      <c r="B140" s="10" t="str">
        <f t="shared" si="8"/>
        <v/>
      </c>
      <c r="C140" s="10" t="str">
        <f t="shared" si="9"/>
        <v/>
      </c>
      <c r="D140" s="10" t="str">
        <f t="shared" si="10"/>
        <v/>
      </c>
      <c r="E140" s="11" t="str">
        <f t="shared" si="11"/>
        <v/>
      </c>
      <c r="F140" s="12" t="str">
        <f t="shared" si="12"/>
        <v/>
      </c>
      <c r="G140" s="13" t="str">
        <f t="shared" si="13"/>
        <v/>
      </c>
      <c r="H140" s="13" t="str">
        <f t="shared" si="14"/>
        <v/>
      </c>
      <c r="I140" s="14" t="str">
        <f t="shared" si="15"/>
        <v/>
      </c>
      <c r="L140" t="str">
        <f>IFERROR(MATCH($C$5&amp;"|"&amp;RIGHT("000000"&amp;124,6),LdgRankKeyA,0),"")</f>
        <v/>
      </c>
      <c r="M140" t="str">
        <f>IFERROR(MATCH($C$5&amp;"|"&amp;RIGHT("000000"&amp;124,6),LdgRankKeyB,0),"")</f>
        <v/>
      </c>
    </row>
    <row r="141" spans="1:13" x14ac:dyDescent="0.2">
      <c r="A141" s="3">
        <v>125</v>
      </c>
      <c r="B141" s="4" t="str">
        <f t="shared" si="8"/>
        <v/>
      </c>
      <c r="C141" s="4" t="str">
        <f t="shared" si="9"/>
        <v/>
      </c>
      <c r="D141" s="4" t="str">
        <f t="shared" si="10"/>
        <v/>
      </c>
      <c r="E141" s="5" t="str">
        <f t="shared" si="11"/>
        <v/>
      </c>
      <c r="F141" s="6" t="str">
        <f t="shared" si="12"/>
        <v/>
      </c>
      <c r="G141" s="7" t="str">
        <f t="shared" si="13"/>
        <v/>
      </c>
      <c r="H141" s="7" t="str">
        <f t="shared" si="14"/>
        <v/>
      </c>
      <c r="I141" s="8" t="str">
        <f t="shared" si="15"/>
        <v/>
      </c>
      <c r="L141" t="str">
        <f>IFERROR(MATCH($C$5&amp;"|"&amp;RIGHT("000000"&amp;125,6),LdgRankKeyA,0),"")</f>
        <v/>
      </c>
      <c r="M141" t="str">
        <f>IFERROR(MATCH($C$5&amp;"|"&amp;RIGHT("000000"&amp;125,6),LdgRankKeyB,0),"")</f>
        <v/>
      </c>
    </row>
    <row r="142" spans="1:13" x14ac:dyDescent="0.2">
      <c r="A142" s="9">
        <v>126</v>
      </c>
      <c r="B142" s="10" t="str">
        <f t="shared" si="8"/>
        <v/>
      </c>
      <c r="C142" s="10" t="str">
        <f t="shared" si="9"/>
        <v/>
      </c>
      <c r="D142" s="10" t="str">
        <f t="shared" si="10"/>
        <v/>
      </c>
      <c r="E142" s="11" t="str">
        <f t="shared" si="11"/>
        <v/>
      </c>
      <c r="F142" s="12" t="str">
        <f t="shared" si="12"/>
        <v/>
      </c>
      <c r="G142" s="13" t="str">
        <f t="shared" si="13"/>
        <v/>
      </c>
      <c r="H142" s="13" t="str">
        <f t="shared" si="14"/>
        <v/>
      </c>
      <c r="I142" s="14" t="str">
        <f t="shared" si="15"/>
        <v/>
      </c>
      <c r="L142" t="str">
        <f>IFERROR(MATCH($C$5&amp;"|"&amp;RIGHT("000000"&amp;126,6),LdgRankKeyA,0),"")</f>
        <v/>
      </c>
      <c r="M142" t="str">
        <f>IFERROR(MATCH($C$5&amp;"|"&amp;RIGHT("000000"&amp;126,6),LdgRankKeyB,0),"")</f>
        <v/>
      </c>
    </row>
    <row r="143" spans="1:13" x14ac:dyDescent="0.2">
      <c r="A143" s="3">
        <v>127</v>
      </c>
      <c r="B143" s="4" t="str">
        <f t="shared" si="8"/>
        <v/>
      </c>
      <c r="C143" s="4" t="str">
        <f t="shared" si="9"/>
        <v/>
      </c>
      <c r="D143" s="4" t="str">
        <f t="shared" si="10"/>
        <v/>
      </c>
      <c r="E143" s="5" t="str">
        <f t="shared" si="11"/>
        <v/>
      </c>
      <c r="F143" s="6" t="str">
        <f t="shared" si="12"/>
        <v/>
      </c>
      <c r="G143" s="7" t="str">
        <f t="shared" si="13"/>
        <v/>
      </c>
      <c r="H143" s="7" t="str">
        <f t="shared" si="14"/>
        <v/>
      </c>
      <c r="I143" s="8" t="str">
        <f t="shared" si="15"/>
        <v/>
      </c>
      <c r="L143" t="str">
        <f>IFERROR(MATCH($C$5&amp;"|"&amp;RIGHT("000000"&amp;127,6),LdgRankKeyA,0),"")</f>
        <v/>
      </c>
      <c r="M143" t="str">
        <f>IFERROR(MATCH($C$5&amp;"|"&amp;RIGHT("000000"&amp;127,6),LdgRankKeyB,0),"")</f>
        <v/>
      </c>
    </row>
    <row r="144" spans="1:13" x14ac:dyDescent="0.2">
      <c r="A144" s="9">
        <v>128</v>
      </c>
      <c r="B144" s="10" t="str">
        <f t="shared" si="8"/>
        <v/>
      </c>
      <c r="C144" s="10" t="str">
        <f t="shared" si="9"/>
        <v/>
      </c>
      <c r="D144" s="10" t="str">
        <f t="shared" si="10"/>
        <v/>
      </c>
      <c r="E144" s="11" t="str">
        <f t="shared" si="11"/>
        <v/>
      </c>
      <c r="F144" s="12" t="str">
        <f t="shared" si="12"/>
        <v/>
      </c>
      <c r="G144" s="13" t="str">
        <f t="shared" si="13"/>
        <v/>
      </c>
      <c r="H144" s="13" t="str">
        <f t="shared" si="14"/>
        <v/>
      </c>
      <c r="I144" s="14" t="str">
        <f t="shared" si="15"/>
        <v/>
      </c>
      <c r="L144" t="str">
        <f>IFERROR(MATCH($C$5&amp;"|"&amp;RIGHT("000000"&amp;128,6),LdgRankKeyA,0),"")</f>
        <v/>
      </c>
      <c r="M144" t="str">
        <f>IFERROR(MATCH($C$5&amp;"|"&amp;RIGHT("000000"&amp;128,6),LdgRankKeyB,0),"")</f>
        <v/>
      </c>
    </row>
    <row r="145" spans="1:13" x14ac:dyDescent="0.2">
      <c r="A145" s="3">
        <v>129</v>
      </c>
      <c r="B145" s="4" t="str">
        <f t="shared" ref="B145:B208" si="16">IF(AND($L145="",$M145=""),"",IF($L145&lt;&gt;"",INDEX(SCNormDate,$L145),INDEX(LdgDateB,$M145)))</f>
        <v/>
      </c>
      <c r="C145" s="4" t="str">
        <f t="shared" ref="C145:C208" si="17">IF($L145&lt;&gt;"",INDEX(SCOp,$L145),IF($M145&lt;&gt;"","پرداخت بانکی",""))</f>
        <v/>
      </c>
      <c r="D145" s="4" t="str">
        <f t="shared" ref="D145:D208" si="18">IF($L145&lt;&gt;"",IF(INDEX(SCDoc,$L145)="","—",INDEX(SCDoc,$L145)),IF($M145&lt;&gt;"",INDEX(LdgBankB,$M145),""))</f>
        <v/>
      </c>
      <c r="E145" s="5" t="str">
        <f t="shared" ref="E145:E208" si="19">IF($L145&lt;&gt;"",IF(INDEX(SCCitrus,$L145)&amp;INDEX(SCNotes,$L145)="","",IF(INDEX(SCCitrus,$L145)="","",INDEX(SCCitrus,$L145))&amp;IF(INDEX(SCNotes,$L145)="",""," — "&amp;INDEX(SCNotes,$L145))),IF($M145&lt;&gt;"",IF(INDEX(LdgNoteB,$M145)="","—",INDEX(LdgNoteB,$M145)),""))</f>
        <v/>
      </c>
      <c r="F145" s="6" t="str">
        <f t="shared" ref="F145:F208" si="20">IF($L145&lt;&gt;"",IF(INDEX(SCNet,$L145)=0,"",INDEX(SCNet,$L145)),"")</f>
        <v/>
      </c>
      <c r="G145" s="7" t="str">
        <f t="shared" ref="G145:G208" si="21">IF($L145&lt;&gt;"",IF(INDEX(SCOp,$L145)="مرجوعی فروش","",IF(INDEX(SCAmount,$L145)&lt;=0,"",INDEX(SCAmount,$L145))),IF($M145&lt;&gt;"",IF(INDEX(LdgWitB,$M145)=0,"",INDEX(LdgWitB,$M145)),""))</f>
        <v/>
      </c>
      <c r="H145" s="7" t="str">
        <f t="shared" ref="H145:H208" si="22">IF($L145&lt;&gt;"",IF(INDEX(SCOp,$L145)="مرجوعی فروش",IF(INDEX(SCAmount,$L145)=0,"",-INDEX(SCAmount,$L145)),""),IF($M145&lt;&gt;"",IF(INDEX(LdgDepB,$M145)=0,"",INDEX(LdgDepB,$M145)),""))</f>
        <v/>
      </c>
      <c r="I145" s="8" t="str">
        <f t="shared" si="15"/>
        <v/>
      </c>
      <c r="L145" t="str">
        <f>IFERROR(MATCH($C$5&amp;"|"&amp;RIGHT("000000"&amp;129,6),LdgRankKeyA,0),"")</f>
        <v/>
      </c>
      <c r="M145" t="str">
        <f>IFERROR(MATCH($C$5&amp;"|"&amp;RIGHT("000000"&amp;129,6),LdgRankKeyB,0),"")</f>
        <v/>
      </c>
    </row>
    <row r="146" spans="1:13" x14ac:dyDescent="0.2">
      <c r="A146" s="9">
        <v>130</v>
      </c>
      <c r="B146" s="10" t="str">
        <f t="shared" si="16"/>
        <v/>
      </c>
      <c r="C146" s="10" t="str">
        <f t="shared" si="17"/>
        <v/>
      </c>
      <c r="D146" s="10" t="str">
        <f t="shared" si="18"/>
        <v/>
      </c>
      <c r="E146" s="11" t="str">
        <f t="shared" si="19"/>
        <v/>
      </c>
      <c r="F146" s="12" t="str">
        <f t="shared" si="20"/>
        <v/>
      </c>
      <c r="G146" s="13" t="str">
        <f t="shared" si="21"/>
        <v/>
      </c>
      <c r="H146" s="13" t="str">
        <f t="shared" si="22"/>
        <v/>
      </c>
      <c r="I146" s="14" t="str">
        <f t="shared" ref="I146:I209" si="23">IF($B146="","",IF($I145="",$C$10,$I145)+IF($G146="",0,$G146)-IF($H146="",0,$H146))</f>
        <v/>
      </c>
      <c r="L146" t="str">
        <f>IFERROR(MATCH($C$5&amp;"|"&amp;RIGHT("000000"&amp;130,6),LdgRankKeyA,0),"")</f>
        <v/>
      </c>
      <c r="M146" t="str">
        <f>IFERROR(MATCH($C$5&amp;"|"&amp;RIGHT("000000"&amp;130,6),LdgRankKeyB,0),"")</f>
        <v/>
      </c>
    </row>
    <row r="147" spans="1:13" x14ac:dyDescent="0.2">
      <c r="A147" s="3">
        <v>131</v>
      </c>
      <c r="B147" s="4" t="str">
        <f t="shared" si="16"/>
        <v/>
      </c>
      <c r="C147" s="4" t="str">
        <f t="shared" si="17"/>
        <v/>
      </c>
      <c r="D147" s="4" t="str">
        <f t="shared" si="18"/>
        <v/>
      </c>
      <c r="E147" s="5" t="str">
        <f t="shared" si="19"/>
        <v/>
      </c>
      <c r="F147" s="6" t="str">
        <f t="shared" si="20"/>
        <v/>
      </c>
      <c r="G147" s="7" t="str">
        <f t="shared" si="21"/>
        <v/>
      </c>
      <c r="H147" s="7" t="str">
        <f t="shared" si="22"/>
        <v/>
      </c>
      <c r="I147" s="8" t="str">
        <f t="shared" si="23"/>
        <v/>
      </c>
      <c r="L147" t="str">
        <f>IFERROR(MATCH($C$5&amp;"|"&amp;RIGHT("000000"&amp;131,6),LdgRankKeyA,0),"")</f>
        <v/>
      </c>
      <c r="M147" t="str">
        <f>IFERROR(MATCH($C$5&amp;"|"&amp;RIGHT("000000"&amp;131,6),LdgRankKeyB,0),"")</f>
        <v/>
      </c>
    </row>
    <row r="148" spans="1:13" x14ac:dyDescent="0.2">
      <c r="A148" s="9">
        <v>132</v>
      </c>
      <c r="B148" s="10" t="str">
        <f t="shared" si="16"/>
        <v/>
      </c>
      <c r="C148" s="10" t="str">
        <f t="shared" si="17"/>
        <v/>
      </c>
      <c r="D148" s="10" t="str">
        <f t="shared" si="18"/>
        <v/>
      </c>
      <c r="E148" s="11" t="str">
        <f t="shared" si="19"/>
        <v/>
      </c>
      <c r="F148" s="12" t="str">
        <f t="shared" si="20"/>
        <v/>
      </c>
      <c r="G148" s="13" t="str">
        <f t="shared" si="21"/>
        <v/>
      </c>
      <c r="H148" s="13" t="str">
        <f t="shared" si="22"/>
        <v/>
      </c>
      <c r="I148" s="14" t="str">
        <f t="shared" si="23"/>
        <v/>
      </c>
      <c r="L148" t="str">
        <f>IFERROR(MATCH($C$5&amp;"|"&amp;RIGHT("000000"&amp;132,6),LdgRankKeyA,0),"")</f>
        <v/>
      </c>
      <c r="M148" t="str">
        <f>IFERROR(MATCH($C$5&amp;"|"&amp;RIGHT("000000"&amp;132,6),LdgRankKeyB,0),"")</f>
        <v/>
      </c>
    </row>
    <row r="149" spans="1:13" x14ac:dyDescent="0.2">
      <c r="A149" s="3">
        <v>133</v>
      </c>
      <c r="B149" s="4" t="str">
        <f t="shared" si="16"/>
        <v/>
      </c>
      <c r="C149" s="4" t="str">
        <f t="shared" si="17"/>
        <v/>
      </c>
      <c r="D149" s="4" t="str">
        <f t="shared" si="18"/>
        <v/>
      </c>
      <c r="E149" s="5" t="str">
        <f t="shared" si="19"/>
        <v/>
      </c>
      <c r="F149" s="6" t="str">
        <f t="shared" si="20"/>
        <v/>
      </c>
      <c r="G149" s="7" t="str">
        <f t="shared" si="21"/>
        <v/>
      </c>
      <c r="H149" s="7" t="str">
        <f t="shared" si="22"/>
        <v/>
      </c>
      <c r="I149" s="8" t="str">
        <f t="shared" si="23"/>
        <v/>
      </c>
      <c r="L149" t="str">
        <f>IFERROR(MATCH($C$5&amp;"|"&amp;RIGHT("000000"&amp;133,6),LdgRankKeyA,0),"")</f>
        <v/>
      </c>
      <c r="M149" t="str">
        <f>IFERROR(MATCH($C$5&amp;"|"&amp;RIGHT("000000"&amp;133,6),LdgRankKeyB,0),"")</f>
        <v/>
      </c>
    </row>
    <row r="150" spans="1:13" x14ac:dyDescent="0.2">
      <c r="A150" s="9">
        <v>134</v>
      </c>
      <c r="B150" s="10" t="str">
        <f t="shared" si="16"/>
        <v/>
      </c>
      <c r="C150" s="10" t="str">
        <f t="shared" si="17"/>
        <v/>
      </c>
      <c r="D150" s="10" t="str">
        <f t="shared" si="18"/>
        <v/>
      </c>
      <c r="E150" s="11" t="str">
        <f t="shared" si="19"/>
        <v/>
      </c>
      <c r="F150" s="12" t="str">
        <f t="shared" si="20"/>
        <v/>
      </c>
      <c r="G150" s="13" t="str">
        <f t="shared" si="21"/>
        <v/>
      </c>
      <c r="H150" s="13" t="str">
        <f t="shared" si="22"/>
        <v/>
      </c>
      <c r="I150" s="14" t="str">
        <f t="shared" si="23"/>
        <v/>
      </c>
      <c r="L150" t="str">
        <f>IFERROR(MATCH($C$5&amp;"|"&amp;RIGHT("000000"&amp;134,6),LdgRankKeyA,0),"")</f>
        <v/>
      </c>
      <c r="M150" t="str">
        <f>IFERROR(MATCH($C$5&amp;"|"&amp;RIGHT("000000"&amp;134,6),LdgRankKeyB,0),"")</f>
        <v/>
      </c>
    </row>
    <row r="151" spans="1:13" x14ac:dyDescent="0.2">
      <c r="A151" s="3">
        <v>135</v>
      </c>
      <c r="B151" s="4" t="str">
        <f t="shared" si="16"/>
        <v/>
      </c>
      <c r="C151" s="4" t="str">
        <f t="shared" si="17"/>
        <v/>
      </c>
      <c r="D151" s="4" t="str">
        <f t="shared" si="18"/>
        <v/>
      </c>
      <c r="E151" s="5" t="str">
        <f t="shared" si="19"/>
        <v/>
      </c>
      <c r="F151" s="6" t="str">
        <f t="shared" si="20"/>
        <v/>
      </c>
      <c r="G151" s="7" t="str">
        <f t="shared" si="21"/>
        <v/>
      </c>
      <c r="H151" s="7" t="str">
        <f t="shared" si="22"/>
        <v/>
      </c>
      <c r="I151" s="8" t="str">
        <f t="shared" si="23"/>
        <v/>
      </c>
      <c r="L151" t="str">
        <f>IFERROR(MATCH($C$5&amp;"|"&amp;RIGHT("000000"&amp;135,6),LdgRankKeyA,0),"")</f>
        <v/>
      </c>
      <c r="M151" t="str">
        <f>IFERROR(MATCH($C$5&amp;"|"&amp;RIGHT("000000"&amp;135,6),LdgRankKeyB,0),"")</f>
        <v/>
      </c>
    </row>
    <row r="152" spans="1:13" x14ac:dyDescent="0.2">
      <c r="A152" s="9">
        <v>136</v>
      </c>
      <c r="B152" s="10" t="str">
        <f t="shared" si="16"/>
        <v/>
      </c>
      <c r="C152" s="10" t="str">
        <f t="shared" si="17"/>
        <v/>
      </c>
      <c r="D152" s="10" t="str">
        <f t="shared" si="18"/>
        <v/>
      </c>
      <c r="E152" s="11" t="str">
        <f t="shared" si="19"/>
        <v/>
      </c>
      <c r="F152" s="12" t="str">
        <f t="shared" si="20"/>
        <v/>
      </c>
      <c r="G152" s="13" t="str">
        <f t="shared" si="21"/>
        <v/>
      </c>
      <c r="H152" s="13" t="str">
        <f t="shared" si="22"/>
        <v/>
      </c>
      <c r="I152" s="14" t="str">
        <f t="shared" si="23"/>
        <v/>
      </c>
      <c r="L152" t="str">
        <f>IFERROR(MATCH($C$5&amp;"|"&amp;RIGHT("000000"&amp;136,6),LdgRankKeyA,0),"")</f>
        <v/>
      </c>
      <c r="M152" t="str">
        <f>IFERROR(MATCH($C$5&amp;"|"&amp;RIGHT("000000"&amp;136,6),LdgRankKeyB,0),"")</f>
        <v/>
      </c>
    </row>
    <row r="153" spans="1:13" x14ac:dyDescent="0.2">
      <c r="A153" s="3">
        <v>137</v>
      </c>
      <c r="B153" s="4" t="str">
        <f t="shared" si="16"/>
        <v/>
      </c>
      <c r="C153" s="4" t="str">
        <f t="shared" si="17"/>
        <v/>
      </c>
      <c r="D153" s="4" t="str">
        <f t="shared" si="18"/>
        <v/>
      </c>
      <c r="E153" s="5" t="str">
        <f t="shared" si="19"/>
        <v/>
      </c>
      <c r="F153" s="6" t="str">
        <f t="shared" si="20"/>
        <v/>
      </c>
      <c r="G153" s="7" t="str">
        <f t="shared" si="21"/>
        <v/>
      </c>
      <c r="H153" s="7" t="str">
        <f t="shared" si="22"/>
        <v/>
      </c>
      <c r="I153" s="8" t="str">
        <f t="shared" si="23"/>
        <v/>
      </c>
      <c r="L153" t="str">
        <f>IFERROR(MATCH($C$5&amp;"|"&amp;RIGHT("000000"&amp;137,6),LdgRankKeyA,0),"")</f>
        <v/>
      </c>
      <c r="M153" t="str">
        <f>IFERROR(MATCH($C$5&amp;"|"&amp;RIGHT("000000"&amp;137,6),LdgRankKeyB,0),"")</f>
        <v/>
      </c>
    </row>
    <row r="154" spans="1:13" x14ac:dyDescent="0.2">
      <c r="A154" s="9">
        <v>138</v>
      </c>
      <c r="B154" s="10" t="str">
        <f t="shared" si="16"/>
        <v/>
      </c>
      <c r="C154" s="10" t="str">
        <f t="shared" si="17"/>
        <v/>
      </c>
      <c r="D154" s="10" t="str">
        <f t="shared" si="18"/>
        <v/>
      </c>
      <c r="E154" s="11" t="str">
        <f t="shared" si="19"/>
        <v/>
      </c>
      <c r="F154" s="12" t="str">
        <f t="shared" si="20"/>
        <v/>
      </c>
      <c r="G154" s="13" t="str">
        <f t="shared" si="21"/>
        <v/>
      </c>
      <c r="H154" s="13" t="str">
        <f t="shared" si="22"/>
        <v/>
      </c>
      <c r="I154" s="14" t="str">
        <f t="shared" si="23"/>
        <v/>
      </c>
      <c r="L154" t="str">
        <f>IFERROR(MATCH($C$5&amp;"|"&amp;RIGHT("000000"&amp;138,6),LdgRankKeyA,0),"")</f>
        <v/>
      </c>
      <c r="M154" t="str">
        <f>IFERROR(MATCH($C$5&amp;"|"&amp;RIGHT("000000"&amp;138,6),LdgRankKeyB,0),"")</f>
        <v/>
      </c>
    </row>
    <row r="155" spans="1:13" x14ac:dyDescent="0.2">
      <c r="A155" s="3">
        <v>139</v>
      </c>
      <c r="B155" s="4" t="str">
        <f t="shared" si="16"/>
        <v/>
      </c>
      <c r="C155" s="4" t="str">
        <f t="shared" si="17"/>
        <v/>
      </c>
      <c r="D155" s="4" t="str">
        <f t="shared" si="18"/>
        <v/>
      </c>
      <c r="E155" s="5" t="str">
        <f t="shared" si="19"/>
        <v/>
      </c>
      <c r="F155" s="6" t="str">
        <f t="shared" si="20"/>
        <v/>
      </c>
      <c r="G155" s="7" t="str">
        <f t="shared" si="21"/>
        <v/>
      </c>
      <c r="H155" s="7" t="str">
        <f t="shared" si="22"/>
        <v/>
      </c>
      <c r="I155" s="8" t="str">
        <f t="shared" si="23"/>
        <v/>
      </c>
      <c r="L155" t="str">
        <f>IFERROR(MATCH($C$5&amp;"|"&amp;RIGHT("000000"&amp;139,6),LdgRankKeyA,0),"")</f>
        <v/>
      </c>
      <c r="M155" t="str">
        <f>IFERROR(MATCH($C$5&amp;"|"&amp;RIGHT("000000"&amp;139,6),LdgRankKeyB,0),"")</f>
        <v/>
      </c>
    </row>
    <row r="156" spans="1:13" x14ac:dyDescent="0.2">
      <c r="A156" s="9">
        <v>140</v>
      </c>
      <c r="B156" s="10" t="str">
        <f t="shared" si="16"/>
        <v/>
      </c>
      <c r="C156" s="10" t="str">
        <f t="shared" si="17"/>
        <v/>
      </c>
      <c r="D156" s="10" t="str">
        <f t="shared" si="18"/>
        <v/>
      </c>
      <c r="E156" s="11" t="str">
        <f t="shared" si="19"/>
        <v/>
      </c>
      <c r="F156" s="12" t="str">
        <f t="shared" si="20"/>
        <v/>
      </c>
      <c r="G156" s="13" t="str">
        <f t="shared" si="21"/>
        <v/>
      </c>
      <c r="H156" s="13" t="str">
        <f t="shared" si="22"/>
        <v/>
      </c>
      <c r="I156" s="14" t="str">
        <f t="shared" si="23"/>
        <v/>
      </c>
      <c r="L156" t="str">
        <f>IFERROR(MATCH($C$5&amp;"|"&amp;RIGHT("000000"&amp;140,6),LdgRankKeyA,0),"")</f>
        <v/>
      </c>
      <c r="M156" t="str">
        <f>IFERROR(MATCH($C$5&amp;"|"&amp;RIGHT("000000"&amp;140,6),LdgRankKeyB,0),"")</f>
        <v/>
      </c>
    </row>
    <row r="157" spans="1:13" x14ac:dyDescent="0.2">
      <c r="A157" s="3">
        <v>141</v>
      </c>
      <c r="B157" s="4" t="str">
        <f t="shared" si="16"/>
        <v/>
      </c>
      <c r="C157" s="4" t="str">
        <f t="shared" si="17"/>
        <v/>
      </c>
      <c r="D157" s="4" t="str">
        <f t="shared" si="18"/>
        <v/>
      </c>
      <c r="E157" s="5" t="str">
        <f t="shared" si="19"/>
        <v/>
      </c>
      <c r="F157" s="6" t="str">
        <f t="shared" si="20"/>
        <v/>
      </c>
      <c r="G157" s="7" t="str">
        <f t="shared" si="21"/>
        <v/>
      </c>
      <c r="H157" s="7" t="str">
        <f t="shared" si="22"/>
        <v/>
      </c>
      <c r="I157" s="8" t="str">
        <f t="shared" si="23"/>
        <v/>
      </c>
      <c r="L157" t="str">
        <f>IFERROR(MATCH($C$5&amp;"|"&amp;RIGHT("000000"&amp;141,6),LdgRankKeyA,0),"")</f>
        <v/>
      </c>
      <c r="M157" t="str">
        <f>IFERROR(MATCH($C$5&amp;"|"&amp;RIGHT("000000"&amp;141,6),LdgRankKeyB,0),"")</f>
        <v/>
      </c>
    </row>
    <row r="158" spans="1:13" x14ac:dyDescent="0.2">
      <c r="A158" s="9">
        <v>142</v>
      </c>
      <c r="B158" s="10" t="str">
        <f t="shared" si="16"/>
        <v/>
      </c>
      <c r="C158" s="10" t="str">
        <f t="shared" si="17"/>
        <v/>
      </c>
      <c r="D158" s="10" t="str">
        <f t="shared" si="18"/>
        <v/>
      </c>
      <c r="E158" s="11" t="str">
        <f t="shared" si="19"/>
        <v/>
      </c>
      <c r="F158" s="12" t="str">
        <f t="shared" si="20"/>
        <v/>
      </c>
      <c r="G158" s="13" t="str">
        <f t="shared" si="21"/>
        <v/>
      </c>
      <c r="H158" s="13" t="str">
        <f t="shared" si="22"/>
        <v/>
      </c>
      <c r="I158" s="14" t="str">
        <f t="shared" si="23"/>
        <v/>
      </c>
      <c r="L158" t="str">
        <f>IFERROR(MATCH($C$5&amp;"|"&amp;RIGHT("000000"&amp;142,6),LdgRankKeyA,0),"")</f>
        <v/>
      </c>
      <c r="M158" t="str">
        <f>IFERROR(MATCH($C$5&amp;"|"&amp;RIGHT("000000"&amp;142,6),LdgRankKeyB,0),"")</f>
        <v/>
      </c>
    </row>
    <row r="159" spans="1:13" x14ac:dyDescent="0.2">
      <c r="A159" s="3">
        <v>143</v>
      </c>
      <c r="B159" s="4" t="str">
        <f t="shared" si="16"/>
        <v/>
      </c>
      <c r="C159" s="4" t="str">
        <f t="shared" si="17"/>
        <v/>
      </c>
      <c r="D159" s="4" t="str">
        <f t="shared" si="18"/>
        <v/>
      </c>
      <c r="E159" s="5" t="str">
        <f t="shared" si="19"/>
        <v/>
      </c>
      <c r="F159" s="6" t="str">
        <f t="shared" si="20"/>
        <v/>
      </c>
      <c r="G159" s="7" t="str">
        <f t="shared" si="21"/>
        <v/>
      </c>
      <c r="H159" s="7" t="str">
        <f t="shared" si="22"/>
        <v/>
      </c>
      <c r="I159" s="8" t="str">
        <f t="shared" si="23"/>
        <v/>
      </c>
      <c r="L159" t="str">
        <f>IFERROR(MATCH($C$5&amp;"|"&amp;RIGHT("000000"&amp;143,6),LdgRankKeyA,0),"")</f>
        <v/>
      </c>
      <c r="M159" t="str">
        <f>IFERROR(MATCH($C$5&amp;"|"&amp;RIGHT("000000"&amp;143,6),LdgRankKeyB,0),"")</f>
        <v/>
      </c>
    </row>
    <row r="160" spans="1:13" x14ac:dyDescent="0.2">
      <c r="A160" s="9">
        <v>144</v>
      </c>
      <c r="B160" s="10" t="str">
        <f t="shared" si="16"/>
        <v/>
      </c>
      <c r="C160" s="10" t="str">
        <f t="shared" si="17"/>
        <v/>
      </c>
      <c r="D160" s="10" t="str">
        <f t="shared" si="18"/>
        <v/>
      </c>
      <c r="E160" s="11" t="str">
        <f t="shared" si="19"/>
        <v/>
      </c>
      <c r="F160" s="12" t="str">
        <f t="shared" si="20"/>
        <v/>
      </c>
      <c r="G160" s="13" t="str">
        <f t="shared" si="21"/>
        <v/>
      </c>
      <c r="H160" s="13" t="str">
        <f t="shared" si="22"/>
        <v/>
      </c>
      <c r="I160" s="14" t="str">
        <f t="shared" si="23"/>
        <v/>
      </c>
      <c r="L160" t="str">
        <f>IFERROR(MATCH($C$5&amp;"|"&amp;RIGHT("000000"&amp;144,6),LdgRankKeyA,0),"")</f>
        <v/>
      </c>
      <c r="M160" t="str">
        <f>IFERROR(MATCH($C$5&amp;"|"&amp;RIGHT("000000"&amp;144,6),LdgRankKeyB,0),"")</f>
        <v/>
      </c>
    </row>
    <row r="161" spans="1:13" x14ac:dyDescent="0.2">
      <c r="A161" s="3">
        <v>145</v>
      </c>
      <c r="B161" s="4" t="str">
        <f t="shared" si="16"/>
        <v/>
      </c>
      <c r="C161" s="4" t="str">
        <f t="shared" si="17"/>
        <v/>
      </c>
      <c r="D161" s="4" t="str">
        <f t="shared" si="18"/>
        <v/>
      </c>
      <c r="E161" s="5" t="str">
        <f t="shared" si="19"/>
        <v/>
      </c>
      <c r="F161" s="6" t="str">
        <f t="shared" si="20"/>
        <v/>
      </c>
      <c r="G161" s="7" t="str">
        <f t="shared" si="21"/>
        <v/>
      </c>
      <c r="H161" s="7" t="str">
        <f t="shared" si="22"/>
        <v/>
      </c>
      <c r="I161" s="8" t="str">
        <f t="shared" si="23"/>
        <v/>
      </c>
      <c r="L161" t="str">
        <f>IFERROR(MATCH($C$5&amp;"|"&amp;RIGHT("000000"&amp;145,6),LdgRankKeyA,0),"")</f>
        <v/>
      </c>
      <c r="M161" t="str">
        <f>IFERROR(MATCH($C$5&amp;"|"&amp;RIGHT("000000"&amp;145,6),LdgRankKeyB,0),"")</f>
        <v/>
      </c>
    </row>
    <row r="162" spans="1:13" x14ac:dyDescent="0.2">
      <c r="A162" s="9">
        <v>146</v>
      </c>
      <c r="B162" s="10" t="str">
        <f t="shared" si="16"/>
        <v/>
      </c>
      <c r="C162" s="10" t="str">
        <f t="shared" si="17"/>
        <v/>
      </c>
      <c r="D162" s="10" t="str">
        <f t="shared" si="18"/>
        <v/>
      </c>
      <c r="E162" s="11" t="str">
        <f t="shared" si="19"/>
        <v/>
      </c>
      <c r="F162" s="12" t="str">
        <f t="shared" si="20"/>
        <v/>
      </c>
      <c r="G162" s="13" t="str">
        <f t="shared" si="21"/>
        <v/>
      </c>
      <c r="H162" s="13" t="str">
        <f t="shared" si="22"/>
        <v/>
      </c>
      <c r="I162" s="14" t="str">
        <f t="shared" si="23"/>
        <v/>
      </c>
      <c r="L162" t="str">
        <f>IFERROR(MATCH($C$5&amp;"|"&amp;RIGHT("000000"&amp;146,6),LdgRankKeyA,0),"")</f>
        <v/>
      </c>
      <c r="M162" t="str">
        <f>IFERROR(MATCH($C$5&amp;"|"&amp;RIGHT("000000"&amp;146,6),LdgRankKeyB,0),"")</f>
        <v/>
      </c>
    </row>
    <row r="163" spans="1:13" x14ac:dyDescent="0.2">
      <c r="A163" s="3">
        <v>147</v>
      </c>
      <c r="B163" s="4" t="str">
        <f t="shared" si="16"/>
        <v/>
      </c>
      <c r="C163" s="4" t="str">
        <f t="shared" si="17"/>
        <v/>
      </c>
      <c r="D163" s="4" t="str">
        <f t="shared" si="18"/>
        <v/>
      </c>
      <c r="E163" s="5" t="str">
        <f t="shared" si="19"/>
        <v/>
      </c>
      <c r="F163" s="6" t="str">
        <f t="shared" si="20"/>
        <v/>
      </c>
      <c r="G163" s="7" t="str">
        <f t="shared" si="21"/>
        <v/>
      </c>
      <c r="H163" s="7" t="str">
        <f t="shared" si="22"/>
        <v/>
      </c>
      <c r="I163" s="8" t="str">
        <f t="shared" si="23"/>
        <v/>
      </c>
      <c r="L163" t="str">
        <f>IFERROR(MATCH($C$5&amp;"|"&amp;RIGHT("000000"&amp;147,6),LdgRankKeyA,0),"")</f>
        <v/>
      </c>
      <c r="M163" t="str">
        <f>IFERROR(MATCH($C$5&amp;"|"&amp;RIGHT("000000"&amp;147,6),LdgRankKeyB,0),"")</f>
        <v/>
      </c>
    </row>
    <row r="164" spans="1:13" x14ac:dyDescent="0.2">
      <c r="A164" s="9">
        <v>148</v>
      </c>
      <c r="B164" s="10" t="str">
        <f t="shared" si="16"/>
        <v/>
      </c>
      <c r="C164" s="10" t="str">
        <f t="shared" si="17"/>
        <v/>
      </c>
      <c r="D164" s="10" t="str">
        <f t="shared" si="18"/>
        <v/>
      </c>
      <c r="E164" s="11" t="str">
        <f t="shared" si="19"/>
        <v/>
      </c>
      <c r="F164" s="12" t="str">
        <f t="shared" si="20"/>
        <v/>
      </c>
      <c r="G164" s="13" t="str">
        <f t="shared" si="21"/>
        <v/>
      </c>
      <c r="H164" s="13" t="str">
        <f t="shared" si="22"/>
        <v/>
      </c>
      <c r="I164" s="14" t="str">
        <f t="shared" si="23"/>
        <v/>
      </c>
      <c r="L164" t="str">
        <f>IFERROR(MATCH($C$5&amp;"|"&amp;RIGHT("000000"&amp;148,6),LdgRankKeyA,0),"")</f>
        <v/>
      </c>
      <c r="M164" t="str">
        <f>IFERROR(MATCH($C$5&amp;"|"&amp;RIGHT("000000"&amp;148,6),LdgRankKeyB,0),"")</f>
        <v/>
      </c>
    </row>
    <row r="165" spans="1:13" x14ac:dyDescent="0.2">
      <c r="A165" s="3">
        <v>149</v>
      </c>
      <c r="B165" s="4" t="str">
        <f t="shared" si="16"/>
        <v/>
      </c>
      <c r="C165" s="4" t="str">
        <f t="shared" si="17"/>
        <v/>
      </c>
      <c r="D165" s="4" t="str">
        <f t="shared" si="18"/>
        <v/>
      </c>
      <c r="E165" s="5" t="str">
        <f t="shared" si="19"/>
        <v/>
      </c>
      <c r="F165" s="6" t="str">
        <f t="shared" si="20"/>
        <v/>
      </c>
      <c r="G165" s="7" t="str">
        <f t="shared" si="21"/>
        <v/>
      </c>
      <c r="H165" s="7" t="str">
        <f t="shared" si="22"/>
        <v/>
      </c>
      <c r="I165" s="8" t="str">
        <f t="shared" si="23"/>
        <v/>
      </c>
      <c r="L165" t="str">
        <f>IFERROR(MATCH($C$5&amp;"|"&amp;RIGHT("000000"&amp;149,6),LdgRankKeyA,0),"")</f>
        <v/>
      </c>
      <c r="M165" t="str">
        <f>IFERROR(MATCH($C$5&amp;"|"&amp;RIGHT("000000"&amp;149,6),LdgRankKeyB,0),"")</f>
        <v/>
      </c>
    </row>
    <row r="166" spans="1:13" x14ac:dyDescent="0.2">
      <c r="A166" s="9">
        <v>150</v>
      </c>
      <c r="B166" s="10" t="str">
        <f t="shared" si="16"/>
        <v/>
      </c>
      <c r="C166" s="10" t="str">
        <f t="shared" si="17"/>
        <v/>
      </c>
      <c r="D166" s="10" t="str">
        <f t="shared" si="18"/>
        <v/>
      </c>
      <c r="E166" s="11" t="str">
        <f t="shared" si="19"/>
        <v/>
      </c>
      <c r="F166" s="12" t="str">
        <f t="shared" si="20"/>
        <v/>
      </c>
      <c r="G166" s="13" t="str">
        <f t="shared" si="21"/>
        <v/>
      </c>
      <c r="H166" s="13" t="str">
        <f t="shared" si="22"/>
        <v/>
      </c>
      <c r="I166" s="14" t="str">
        <f t="shared" si="23"/>
        <v/>
      </c>
      <c r="L166" t="str">
        <f>IFERROR(MATCH($C$5&amp;"|"&amp;RIGHT("000000"&amp;150,6),LdgRankKeyA,0),"")</f>
        <v/>
      </c>
      <c r="M166" t="str">
        <f>IFERROR(MATCH($C$5&amp;"|"&amp;RIGHT("000000"&amp;150,6),LdgRankKeyB,0),"")</f>
        <v/>
      </c>
    </row>
    <row r="167" spans="1:13" x14ac:dyDescent="0.2">
      <c r="A167" s="3">
        <v>151</v>
      </c>
      <c r="B167" s="4" t="str">
        <f t="shared" si="16"/>
        <v/>
      </c>
      <c r="C167" s="4" t="str">
        <f t="shared" si="17"/>
        <v/>
      </c>
      <c r="D167" s="4" t="str">
        <f t="shared" si="18"/>
        <v/>
      </c>
      <c r="E167" s="5" t="str">
        <f t="shared" si="19"/>
        <v/>
      </c>
      <c r="F167" s="6" t="str">
        <f t="shared" si="20"/>
        <v/>
      </c>
      <c r="G167" s="7" t="str">
        <f t="shared" si="21"/>
        <v/>
      </c>
      <c r="H167" s="7" t="str">
        <f t="shared" si="22"/>
        <v/>
      </c>
      <c r="I167" s="8" t="str">
        <f t="shared" si="23"/>
        <v/>
      </c>
      <c r="L167" t="str">
        <f>IFERROR(MATCH($C$5&amp;"|"&amp;RIGHT("000000"&amp;151,6),LdgRankKeyA,0),"")</f>
        <v/>
      </c>
      <c r="M167" t="str">
        <f>IFERROR(MATCH($C$5&amp;"|"&amp;RIGHT("000000"&amp;151,6),LdgRankKeyB,0),"")</f>
        <v/>
      </c>
    </row>
    <row r="168" spans="1:13" x14ac:dyDescent="0.2">
      <c r="A168" s="9">
        <v>152</v>
      </c>
      <c r="B168" s="10" t="str">
        <f t="shared" si="16"/>
        <v/>
      </c>
      <c r="C168" s="10" t="str">
        <f t="shared" si="17"/>
        <v/>
      </c>
      <c r="D168" s="10" t="str">
        <f t="shared" si="18"/>
        <v/>
      </c>
      <c r="E168" s="11" t="str">
        <f t="shared" si="19"/>
        <v/>
      </c>
      <c r="F168" s="12" t="str">
        <f t="shared" si="20"/>
        <v/>
      </c>
      <c r="G168" s="13" t="str">
        <f t="shared" si="21"/>
        <v/>
      </c>
      <c r="H168" s="13" t="str">
        <f t="shared" si="22"/>
        <v/>
      </c>
      <c r="I168" s="14" t="str">
        <f t="shared" si="23"/>
        <v/>
      </c>
      <c r="L168" t="str">
        <f>IFERROR(MATCH($C$5&amp;"|"&amp;RIGHT("000000"&amp;152,6),LdgRankKeyA,0),"")</f>
        <v/>
      </c>
      <c r="M168" t="str">
        <f>IFERROR(MATCH($C$5&amp;"|"&amp;RIGHT("000000"&amp;152,6),LdgRankKeyB,0),"")</f>
        <v/>
      </c>
    </row>
    <row r="169" spans="1:13" x14ac:dyDescent="0.2">
      <c r="A169" s="3">
        <v>153</v>
      </c>
      <c r="B169" s="4" t="str">
        <f t="shared" si="16"/>
        <v/>
      </c>
      <c r="C169" s="4" t="str">
        <f t="shared" si="17"/>
        <v/>
      </c>
      <c r="D169" s="4" t="str">
        <f t="shared" si="18"/>
        <v/>
      </c>
      <c r="E169" s="5" t="str">
        <f t="shared" si="19"/>
        <v/>
      </c>
      <c r="F169" s="6" t="str">
        <f t="shared" si="20"/>
        <v/>
      </c>
      <c r="G169" s="7" t="str">
        <f t="shared" si="21"/>
        <v/>
      </c>
      <c r="H169" s="7" t="str">
        <f t="shared" si="22"/>
        <v/>
      </c>
      <c r="I169" s="8" t="str">
        <f t="shared" si="23"/>
        <v/>
      </c>
      <c r="L169" t="str">
        <f>IFERROR(MATCH($C$5&amp;"|"&amp;RIGHT("000000"&amp;153,6),LdgRankKeyA,0),"")</f>
        <v/>
      </c>
      <c r="M169" t="str">
        <f>IFERROR(MATCH($C$5&amp;"|"&amp;RIGHT("000000"&amp;153,6),LdgRankKeyB,0),"")</f>
        <v/>
      </c>
    </row>
    <row r="170" spans="1:13" x14ac:dyDescent="0.2">
      <c r="A170" s="9">
        <v>154</v>
      </c>
      <c r="B170" s="10" t="str">
        <f t="shared" si="16"/>
        <v/>
      </c>
      <c r="C170" s="10" t="str">
        <f t="shared" si="17"/>
        <v/>
      </c>
      <c r="D170" s="10" t="str">
        <f t="shared" si="18"/>
        <v/>
      </c>
      <c r="E170" s="11" t="str">
        <f t="shared" si="19"/>
        <v/>
      </c>
      <c r="F170" s="12" t="str">
        <f t="shared" si="20"/>
        <v/>
      </c>
      <c r="G170" s="13" t="str">
        <f t="shared" si="21"/>
        <v/>
      </c>
      <c r="H170" s="13" t="str">
        <f t="shared" si="22"/>
        <v/>
      </c>
      <c r="I170" s="14" t="str">
        <f t="shared" si="23"/>
        <v/>
      </c>
      <c r="L170" t="str">
        <f>IFERROR(MATCH($C$5&amp;"|"&amp;RIGHT("000000"&amp;154,6),LdgRankKeyA,0),"")</f>
        <v/>
      </c>
      <c r="M170" t="str">
        <f>IFERROR(MATCH($C$5&amp;"|"&amp;RIGHT("000000"&amp;154,6),LdgRankKeyB,0),"")</f>
        <v/>
      </c>
    </row>
    <row r="171" spans="1:13" x14ac:dyDescent="0.2">
      <c r="A171" s="3">
        <v>155</v>
      </c>
      <c r="B171" s="4" t="str">
        <f t="shared" si="16"/>
        <v/>
      </c>
      <c r="C171" s="4" t="str">
        <f t="shared" si="17"/>
        <v/>
      </c>
      <c r="D171" s="4" t="str">
        <f t="shared" si="18"/>
        <v/>
      </c>
      <c r="E171" s="5" t="str">
        <f t="shared" si="19"/>
        <v/>
      </c>
      <c r="F171" s="6" t="str">
        <f t="shared" si="20"/>
        <v/>
      </c>
      <c r="G171" s="7" t="str">
        <f t="shared" si="21"/>
        <v/>
      </c>
      <c r="H171" s="7" t="str">
        <f t="shared" si="22"/>
        <v/>
      </c>
      <c r="I171" s="8" t="str">
        <f t="shared" si="23"/>
        <v/>
      </c>
      <c r="L171" t="str">
        <f>IFERROR(MATCH($C$5&amp;"|"&amp;RIGHT("000000"&amp;155,6),LdgRankKeyA,0),"")</f>
        <v/>
      </c>
      <c r="M171" t="str">
        <f>IFERROR(MATCH($C$5&amp;"|"&amp;RIGHT("000000"&amp;155,6),LdgRankKeyB,0),"")</f>
        <v/>
      </c>
    </row>
    <row r="172" spans="1:13" x14ac:dyDescent="0.2">
      <c r="A172" s="9">
        <v>156</v>
      </c>
      <c r="B172" s="10" t="str">
        <f t="shared" si="16"/>
        <v/>
      </c>
      <c r="C172" s="10" t="str">
        <f t="shared" si="17"/>
        <v/>
      </c>
      <c r="D172" s="10" t="str">
        <f t="shared" si="18"/>
        <v/>
      </c>
      <c r="E172" s="11" t="str">
        <f t="shared" si="19"/>
        <v/>
      </c>
      <c r="F172" s="12" t="str">
        <f t="shared" si="20"/>
        <v/>
      </c>
      <c r="G172" s="13" t="str">
        <f t="shared" si="21"/>
        <v/>
      </c>
      <c r="H172" s="13" t="str">
        <f t="shared" si="22"/>
        <v/>
      </c>
      <c r="I172" s="14" t="str">
        <f t="shared" si="23"/>
        <v/>
      </c>
      <c r="L172" t="str">
        <f>IFERROR(MATCH($C$5&amp;"|"&amp;RIGHT("000000"&amp;156,6),LdgRankKeyA,0),"")</f>
        <v/>
      </c>
      <c r="M172" t="str">
        <f>IFERROR(MATCH($C$5&amp;"|"&amp;RIGHT("000000"&amp;156,6),LdgRankKeyB,0),"")</f>
        <v/>
      </c>
    </row>
    <row r="173" spans="1:13" x14ac:dyDescent="0.2">
      <c r="A173" s="3">
        <v>157</v>
      </c>
      <c r="B173" s="4" t="str">
        <f t="shared" si="16"/>
        <v/>
      </c>
      <c r="C173" s="4" t="str">
        <f t="shared" si="17"/>
        <v/>
      </c>
      <c r="D173" s="4" t="str">
        <f t="shared" si="18"/>
        <v/>
      </c>
      <c r="E173" s="5" t="str">
        <f t="shared" si="19"/>
        <v/>
      </c>
      <c r="F173" s="6" t="str">
        <f t="shared" si="20"/>
        <v/>
      </c>
      <c r="G173" s="7" t="str">
        <f t="shared" si="21"/>
        <v/>
      </c>
      <c r="H173" s="7" t="str">
        <f t="shared" si="22"/>
        <v/>
      </c>
      <c r="I173" s="8" t="str">
        <f t="shared" si="23"/>
        <v/>
      </c>
      <c r="L173" t="str">
        <f>IFERROR(MATCH($C$5&amp;"|"&amp;RIGHT("000000"&amp;157,6),LdgRankKeyA,0),"")</f>
        <v/>
      </c>
      <c r="M173" t="str">
        <f>IFERROR(MATCH($C$5&amp;"|"&amp;RIGHT("000000"&amp;157,6),LdgRankKeyB,0),"")</f>
        <v/>
      </c>
    </row>
    <row r="174" spans="1:13" x14ac:dyDescent="0.2">
      <c r="A174" s="9">
        <v>158</v>
      </c>
      <c r="B174" s="10" t="str">
        <f t="shared" si="16"/>
        <v/>
      </c>
      <c r="C174" s="10" t="str">
        <f t="shared" si="17"/>
        <v/>
      </c>
      <c r="D174" s="10" t="str">
        <f t="shared" si="18"/>
        <v/>
      </c>
      <c r="E174" s="11" t="str">
        <f t="shared" si="19"/>
        <v/>
      </c>
      <c r="F174" s="12" t="str">
        <f t="shared" si="20"/>
        <v/>
      </c>
      <c r="G174" s="13" t="str">
        <f t="shared" si="21"/>
        <v/>
      </c>
      <c r="H174" s="13" t="str">
        <f t="shared" si="22"/>
        <v/>
      </c>
      <c r="I174" s="14" t="str">
        <f t="shared" si="23"/>
        <v/>
      </c>
      <c r="L174" t="str">
        <f>IFERROR(MATCH($C$5&amp;"|"&amp;RIGHT("000000"&amp;158,6),LdgRankKeyA,0),"")</f>
        <v/>
      </c>
      <c r="M174" t="str">
        <f>IFERROR(MATCH($C$5&amp;"|"&amp;RIGHT("000000"&amp;158,6),LdgRankKeyB,0),"")</f>
        <v/>
      </c>
    </row>
    <row r="175" spans="1:13" x14ac:dyDescent="0.2">
      <c r="A175" s="3">
        <v>159</v>
      </c>
      <c r="B175" s="4" t="str">
        <f t="shared" si="16"/>
        <v/>
      </c>
      <c r="C175" s="4" t="str">
        <f t="shared" si="17"/>
        <v/>
      </c>
      <c r="D175" s="4" t="str">
        <f t="shared" si="18"/>
        <v/>
      </c>
      <c r="E175" s="5" t="str">
        <f t="shared" si="19"/>
        <v/>
      </c>
      <c r="F175" s="6" t="str">
        <f t="shared" si="20"/>
        <v/>
      </c>
      <c r="G175" s="7" t="str">
        <f t="shared" si="21"/>
        <v/>
      </c>
      <c r="H175" s="7" t="str">
        <f t="shared" si="22"/>
        <v/>
      </c>
      <c r="I175" s="8" t="str">
        <f t="shared" si="23"/>
        <v/>
      </c>
      <c r="L175" t="str">
        <f>IFERROR(MATCH($C$5&amp;"|"&amp;RIGHT("000000"&amp;159,6),LdgRankKeyA,0),"")</f>
        <v/>
      </c>
      <c r="M175" t="str">
        <f>IFERROR(MATCH($C$5&amp;"|"&amp;RIGHT("000000"&amp;159,6),LdgRankKeyB,0),"")</f>
        <v/>
      </c>
    </row>
    <row r="176" spans="1:13" x14ac:dyDescent="0.2">
      <c r="A176" s="9">
        <v>160</v>
      </c>
      <c r="B176" s="10" t="str">
        <f t="shared" si="16"/>
        <v/>
      </c>
      <c r="C176" s="10" t="str">
        <f t="shared" si="17"/>
        <v/>
      </c>
      <c r="D176" s="10" t="str">
        <f t="shared" si="18"/>
        <v/>
      </c>
      <c r="E176" s="11" t="str">
        <f t="shared" si="19"/>
        <v/>
      </c>
      <c r="F176" s="12" t="str">
        <f t="shared" si="20"/>
        <v/>
      </c>
      <c r="G176" s="13" t="str">
        <f t="shared" si="21"/>
        <v/>
      </c>
      <c r="H176" s="13" t="str">
        <f t="shared" si="22"/>
        <v/>
      </c>
      <c r="I176" s="14" t="str">
        <f t="shared" si="23"/>
        <v/>
      </c>
      <c r="L176" t="str">
        <f>IFERROR(MATCH($C$5&amp;"|"&amp;RIGHT("000000"&amp;160,6),LdgRankKeyA,0),"")</f>
        <v/>
      </c>
      <c r="M176" t="str">
        <f>IFERROR(MATCH($C$5&amp;"|"&amp;RIGHT("000000"&amp;160,6),LdgRankKeyB,0),"")</f>
        <v/>
      </c>
    </row>
    <row r="177" spans="1:13" x14ac:dyDescent="0.2">
      <c r="A177" s="3">
        <v>161</v>
      </c>
      <c r="B177" s="4" t="str">
        <f t="shared" si="16"/>
        <v/>
      </c>
      <c r="C177" s="4" t="str">
        <f t="shared" si="17"/>
        <v/>
      </c>
      <c r="D177" s="4" t="str">
        <f t="shared" si="18"/>
        <v/>
      </c>
      <c r="E177" s="5" t="str">
        <f t="shared" si="19"/>
        <v/>
      </c>
      <c r="F177" s="6" t="str">
        <f t="shared" si="20"/>
        <v/>
      </c>
      <c r="G177" s="7" t="str">
        <f t="shared" si="21"/>
        <v/>
      </c>
      <c r="H177" s="7" t="str">
        <f t="shared" si="22"/>
        <v/>
      </c>
      <c r="I177" s="8" t="str">
        <f t="shared" si="23"/>
        <v/>
      </c>
      <c r="L177" t="str">
        <f>IFERROR(MATCH($C$5&amp;"|"&amp;RIGHT("000000"&amp;161,6),LdgRankKeyA,0),"")</f>
        <v/>
      </c>
      <c r="M177" t="str">
        <f>IFERROR(MATCH($C$5&amp;"|"&amp;RIGHT("000000"&amp;161,6),LdgRankKeyB,0),"")</f>
        <v/>
      </c>
    </row>
    <row r="178" spans="1:13" x14ac:dyDescent="0.2">
      <c r="A178" s="9">
        <v>162</v>
      </c>
      <c r="B178" s="10" t="str">
        <f t="shared" si="16"/>
        <v/>
      </c>
      <c r="C178" s="10" t="str">
        <f t="shared" si="17"/>
        <v/>
      </c>
      <c r="D178" s="10" t="str">
        <f t="shared" si="18"/>
        <v/>
      </c>
      <c r="E178" s="11" t="str">
        <f t="shared" si="19"/>
        <v/>
      </c>
      <c r="F178" s="12" t="str">
        <f t="shared" si="20"/>
        <v/>
      </c>
      <c r="G178" s="13" t="str">
        <f t="shared" si="21"/>
        <v/>
      </c>
      <c r="H178" s="13" t="str">
        <f t="shared" si="22"/>
        <v/>
      </c>
      <c r="I178" s="14" t="str">
        <f t="shared" si="23"/>
        <v/>
      </c>
      <c r="L178" t="str">
        <f>IFERROR(MATCH($C$5&amp;"|"&amp;RIGHT("000000"&amp;162,6),LdgRankKeyA,0),"")</f>
        <v/>
      </c>
      <c r="M178" t="str">
        <f>IFERROR(MATCH($C$5&amp;"|"&amp;RIGHT("000000"&amp;162,6),LdgRankKeyB,0),"")</f>
        <v/>
      </c>
    </row>
    <row r="179" spans="1:13" x14ac:dyDescent="0.2">
      <c r="A179" s="3">
        <v>163</v>
      </c>
      <c r="B179" s="4" t="str">
        <f t="shared" si="16"/>
        <v/>
      </c>
      <c r="C179" s="4" t="str">
        <f t="shared" si="17"/>
        <v/>
      </c>
      <c r="D179" s="4" t="str">
        <f t="shared" si="18"/>
        <v/>
      </c>
      <c r="E179" s="5" t="str">
        <f t="shared" si="19"/>
        <v/>
      </c>
      <c r="F179" s="6" t="str">
        <f t="shared" si="20"/>
        <v/>
      </c>
      <c r="G179" s="7" t="str">
        <f t="shared" si="21"/>
        <v/>
      </c>
      <c r="H179" s="7" t="str">
        <f t="shared" si="22"/>
        <v/>
      </c>
      <c r="I179" s="8" t="str">
        <f t="shared" si="23"/>
        <v/>
      </c>
      <c r="L179" t="str">
        <f>IFERROR(MATCH($C$5&amp;"|"&amp;RIGHT("000000"&amp;163,6),LdgRankKeyA,0),"")</f>
        <v/>
      </c>
      <c r="M179" t="str">
        <f>IFERROR(MATCH($C$5&amp;"|"&amp;RIGHT("000000"&amp;163,6),LdgRankKeyB,0),"")</f>
        <v/>
      </c>
    </row>
    <row r="180" spans="1:13" x14ac:dyDescent="0.2">
      <c r="A180" s="9">
        <v>164</v>
      </c>
      <c r="B180" s="10" t="str">
        <f t="shared" si="16"/>
        <v/>
      </c>
      <c r="C180" s="10" t="str">
        <f t="shared" si="17"/>
        <v/>
      </c>
      <c r="D180" s="10" t="str">
        <f t="shared" si="18"/>
        <v/>
      </c>
      <c r="E180" s="11" t="str">
        <f t="shared" si="19"/>
        <v/>
      </c>
      <c r="F180" s="12" t="str">
        <f t="shared" si="20"/>
        <v/>
      </c>
      <c r="G180" s="13" t="str">
        <f t="shared" si="21"/>
        <v/>
      </c>
      <c r="H180" s="13" t="str">
        <f t="shared" si="22"/>
        <v/>
      </c>
      <c r="I180" s="14" t="str">
        <f t="shared" si="23"/>
        <v/>
      </c>
      <c r="L180" t="str">
        <f>IFERROR(MATCH($C$5&amp;"|"&amp;RIGHT("000000"&amp;164,6),LdgRankKeyA,0),"")</f>
        <v/>
      </c>
      <c r="M180" t="str">
        <f>IFERROR(MATCH($C$5&amp;"|"&amp;RIGHT("000000"&amp;164,6),LdgRankKeyB,0),"")</f>
        <v/>
      </c>
    </row>
    <row r="181" spans="1:13" x14ac:dyDescent="0.2">
      <c r="A181" s="3">
        <v>165</v>
      </c>
      <c r="B181" s="4" t="str">
        <f t="shared" si="16"/>
        <v/>
      </c>
      <c r="C181" s="4" t="str">
        <f t="shared" si="17"/>
        <v/>
      </c>
      <c r="D181" s="4" t="str">
        <f t="shared" si="18"/>
        <v/>
      </c>
      <c r="E181" s="5" t="str">
        <f t="shared" si="19"/>
        <v/>
      </c>
      <c r="F181" s="6" t="str">
        <f t="shared" si="20"/>
        <v/>
      </c>
      <c r="G181" s="7" t="str">
        <f t="shared" si="21"/>
        <v/>
      </c>
      <c r="H181" s="7" t="str">
        <f t="shared" si="22"/>
        <v/>
      </c>
      <c r="I181" s="8" t="str">
        <f t="shared" si="23"/>
        <v/>
      </c>
      <c r="L181" t="str">
        <f>IFERROR(MATCH($C$5&amp;"|"&amp;RIGHT("000000"&amp;165,6),LdgRankKeyA,0),"")</f>
        <v/>
      </c>
      <c r="M181" t="str">
        <f>IFERROR(MATCH($C$5&amp;"|"&amp;RIGHT("000000"&amp;165,6),LdgRankKeyB,0),"")</f>
        <v/>
      </c>
    </row>
    <row r="182" spans="1:13" x14ac:dyDescent="0.2">
      <c r="A182" s="9">
        <v>166</v>
      </c>
      <c r="B182" s="10" t="str">
        <f t="shared" si="16"/>
        <v/>
      </c>
      <c r="C182" s="10" t="str">
        <f t="shared" si="17"/>
        <v/>
      </c>
      <c r="D182" s="10" t="str">
        <f t="shared" si="18"/>
        <v/>
      </c>
      <c r="E182" s="11" t="str">
        <f t="shared" si="19"/>
        <v/>
      </c>
      <c r="F182" s="12" t="str">
        <f t="shared" si="20"/>
        <v/>
      </c>
      <c r="G182" s="13" t="str">
        <f t="shared" si="21"/>
        <v/>
      </c>
      <c r="H182" s="13" t="str">
        <f t="shared" si="22"/>
        <v/>
      </c>
      <c r="I182" s="14" t="str">
        <f t="shared" si="23"/>
        <v/>
      </c>
      <c r="L182" t="str">
        <f>IFERROR(MATCH($C$5&amp;"|"&amp;RIGHT("000000"&amp;166,6),LdgRankKeyA,0),"")</f>
        <v/>
      </c>
      <c r="M182" t="str">
        <f>IFERROR(MATCH($C$5&amp;"|"&amp;RIGHT("000000"&amp;166,6),LdgRankKeyB,0),"")</f>
        <v/>
      </c>
    </row>
    <row r="183" spans="1:13" x14ac:dyDescent="0.2">
      <c r="A183" s="3">
        <v>167</v>
      </c>
      <c r="B183" s="4" t="str">
        <f t="shared" si="16"/>
        <v/>
      </c>
      <c r="C183" s="4" t="str">
        <f t="shared" si="17"/>
        <v/>
      </c>
      <c r="D183" s="4" t="str">
        <f t="shared" si="18"/>
        <v/>
      </c>
      <c r="E183" s="5" t="str">
        <f t="shared" si="19"/>
        <v/>
      </c>
      <c r="F183" s="6" t="str">
        <f t="shared" si="20"/>
        <v/>
      </c>
      <c r="G183" s="7" t="str">
        <f t="shared" si="21"/>
        <v/>
      </c>
      <c r="H183" s="7" t="str">
        <f t="shared" si="22"/>
        <v/>
      </c>
      <c r="I183" s="8" t="str">
        <f t="shared" si="23"/>
        <v/>
      </c>
      <c r="L183" t="str">
        <f>IFERROR(MATCH($C$5&amp;"|"&amp;RIGHT("000000"&amp;167,6),LdgRankKeyA,0),"")</f>
        <v/>
      </c>
      <c r="M183" t="str">
        <f>IFERROR(MATCH($C$5&amp;"|"&amp;RIGHT("000000"&amp;167,6),LdgRankKeyB,0),"")</f>
        <v/>
      </c>
    </row>
    <row r="184" spans="1:13" x14ac:dyDescent="0.2">
      <c r="A184" s="9">
        <v>168</v>
      </c>
      <c r="B184" s="10" t="str">
        <f t="shared" si="16"/>
        <v/>
      </c>
      <c r="C184" s="10" t="str">
        <f t="shared" si="17"/>
        <v/>
      </c>
      <c r="D184" s="10" t="str">
        <f t="shared" si="18"/>
        <v/>
      </c>
      <c r="E184" s="11" t="str">
        <f t="shared" si="19"/>
        <v/>
      </c>
      <c r="F184" s="12" t="str">
        <f t="shared" si="20"/>
        <v/>
      </c>
      <c r="G184" s="13" t="str">
        <f t="shared" si="21"/>
        <v/>
      </c>
      <c r="H184" s="13" t="str">
        <f t="shared" si="22"/>
        <v/>
      </c>
      <c r="I184" s="14" t="str">
        <f t="shared" si="23"/>
        <v/>
      </c>
      <c r="L184" t="str">
        <f>IFERROR(MATCH($C$5&amp;"|"&amp;RIGHT("000000"&amp;168,6),LdgRankKeyA,0),"")</f>
        <v/>
      </c>
      <c r="M184" t="str">
        <f>IFERROR(MATCH($C$5&amp;"|"&amp;RIGHT("000000"&amp;168,6),LdgRankKeyB,0),"")</f>
        <v/>
      </c>
    </row>
    <row r="185" spans="1:13" x14ac:dyDescent="0.2">
      <c r="A185" s="3">
        <v>169</v>
      </c>
      <c r="B185" s="4" t="str">
        <f t="shared" si="16"/>
        <v/>
      </c>
      <c r="C185" s="4" t="str">
        <f t="shared" si="17"/>
        <v/>
      </c>
      <c r="D185" s="4" t="str">
        <f t="shared" si="18"/>
        <v/>
      </c>
      <c r="E185" s="5" t="str">
        <f t="shared" si="19"/>
        <v/>
      </c>
      <c r="F185" s="6" t="str">
        <f t="shared" si="20"/>
        <v/>
      </c>
      <c r="G185" s="7" t="str">
        <f t="shared" si="21"/>
        <v/>
      </c>
      <c r="H185" s="7" t="str">
        <f t="shared" si="22"/>
        <v/>
      </c>
      <c r="I185" s="8" t="str">
        <f t="shared" si="23"/>
        <v/>
      </c>
      <c r="L185" t="str">
        <f>IFERROR(MATCH($C$5&amp;"|"&amp;RIGHT("000000"&amp;169,6),LdgRankKeyA,0),"")</f>
        <v/>
      </c>
      <c r="M185" t="str">
        <f>IFERROR(MATCH($C$5&amp;"|"&amp;RIGHT("000000"&amp;169,6),LdgRankKeyB,0),"")</f>
        <v/>
      </c>
    </row>
    <row r="186" spans="1:13" x14ac:dyDescent="0.2">
      <c r="A186" s="9">
        <v>170</v>
      </c>
      <c r="B186" s="10" t="str">
        <f t="shared" si="16"/>
        <v/>
      </c>
      <c r="C186" s="10" t="str">
        <f t="shared" si="17"/>
        <v/>
      </c>
      <c r="D186" s="10" t="str">
        <f t="shared" si="18"/>
        <v/>
      </c>
      <c r="E186" s="11" t="str">
        <f t="shared" si="19"/>
        <v/>
      </c>
      <c r="F186" s="12" t="str">
        <f t="shared" si="20"/>
        <v/>
      </c>
      <c r="G186" s="13" t="str">
        <f t="shared" si="21"/>
        <v/>
      </c>
      <c r="H186" s="13" t="str">
        <f t="shared" si="22"/>
        <v/>
      </c>
      <c r="I186" s="14" t="str">
        <f t="shared" si="23"/>
        <v/>
      </c>
      <c r="L186" t="str">
        <f>IFERROR(MATCH($C$5&amp;"|"&amp;RIGHT("000000"&amp;170,6),LdgRankKeyA,0),"")</f>
        <v/>
      </c>
      <c r="M186" t="str">
        <f>IFERROR(MATCH($C$5&amp;"|"&amp;RIGHT("000000"&amp;170,6),LdgRankKeyB,0),"")</f>
        <v/>
      </c>
    </row>
    <row r="187" spans="1:13" x14ac:dyDescent="0.2">
      <c r="A187" s="3">
        <v>171</v>
      </c>
      <c r="B187" s="4" t="str">
        <f t="shared" si="16"/>
        <v/>
      </c>
      <c r="C187" s="4" t="str">
        <f t="shared" si="17"/>
        <v/>
      </c>
      <c r="D187" s="4" t="str">
        <f t="shared" si="18"/>
        <v/>
      </c>
      <c r="E187" s="5" t="str">
        <f t="shared" si="19"/>
        <v/>
      </c>
      <c r="F187" s="6" t="str">
        <f t="shared" si="20"/>
        <v/>
      </c>
      <c r="G187" s="7" t="str">
        <f t="shared" si="21"/>
        <v/>
      </c>
      <c r="H187" s="7" t="str">
        <f t="shared" si="22"/>
        <v/>
      </c>
      <c r="I187" s="8" t="str">
        <f t="shared" si="23"/>
        <v/>
      </c>
      <c r="L187" t="str">
        <f>IFERROR(MATCH($C$5&amp;"|"&amp;RIGHT("000000"&amp;171,6),LdgRankKeyA,0),"")</f>
        <v/>
      </c>
      <c r="M187" t="str">
        <f>IFERROR(MATCH($C$5&amp;"|"&amp;RIGHT("000000"&amp;171,6),LdgRankKeyB,0),"")</f>
        <v/>
      </c>
    </row>
    <row r="188" spans="1:13" x14ac:dyDescent="0.2">
      <c r="A188" s="9">
        <v>172</v>
      </c>
      <c r="B188" s="10" t="str">
        <f t="shared" si="16"/>
        <v/>
      </c>
      <c r="C188" s="10" t="str">
        <f t="shared" si="17"/>
        <v/>
      </c>
      <c r="D188" s="10" t="str">
        <f t="shared" si="18"/>
        <v/>
      </c>
      <c r="E188" s="11" t="str">
        <f t="shared" si="19"/>
        <v/>
      </c>
      <c r="F188" s="12" t="str">
        <f t="shared" si="20"/>
        <v/>
      </c>
      <c r="G188" s="13" t="str">
        <f t="shared" si="21"/>
        <v/>
      </c>
      <c r="H188" s="13" t="str">
        <f t="shared" si="22"/>
        <v/>
      </c>
      <c r="I188" s="14" t="str">
        <f t="shared" si="23"/>
        <v/>
      </c>
      <c r="L188" t="str">
        <f>IFERROR(MATCH($C$5&amp;"|"&amp;RIGHT("000000"&amp;172,6),LdgRankKeyA,0),"")</f>
        <v/>
      </c>
      <c r="M188" t="str">
        <f>IFERROR(MATCH($C$5&amp;"|"&amp;RIGHT("000000"&amp;172,6),LdgRankKeyB,0),"")</f>
        <v/>
      </c>
    </row>
    <row r="189" spans="1:13" x14ac:dyDescent="0.2">
      <c r="A189" s="3">
        <v>173</v>
      </c>
      <c r="B189" s="4" t="str">
        <f t="shared" si="16"/>
        <v/>
      </c>
      <c r="C189" s="4" t="str">
        <f t="shared" si="17"/>
        <v/>
      </c>
      <c r="D189" s="4" t="str">
        <f t="shared" si="18"/>
        <v/>
      </c>
      <c r="E189" s="5" t="str">
        <f t="shared" si="19"/>
        <v/>
      </c>
      <c r="F189" s="6" t="str">
        <f t="shared" si="20"/>
        <v/>
      </c>
      <c r="G189" s="7" t="str">
        <f t="shared" si="21"/>
        <v/>
      </c>
      <c r="H189" s="7" t="str">
        <f t="shared" si="22"/>
        <v/>
      </c>
      <c r="I189" s="8" t="str">
        <f t="shared" si="23"/>
        <v/>
      </c>
      <c r="L189" t="str">
        <f>IFERROR(MATCH($C$5&amp;"|"&amp;RIGHT("000000"&amp;173,6),LdgRankKeyA,0),"")</f>
        <v/>
      </c>
      <c r="M189" t="str">
        <f>IFERROR(MATCH($C$5&amp;"|"&amp;RIGHT("000000"&amp;173,6),LdgRankKeyB,0),"")</f>
        <v/>
      </c>
    </row>
    <row r="190" spans="1:13" x14ac:dyDescent="0.2">
      <c r="A190" s="9">
        <v>174</v>
      </c>
      <c r="B190" s="10" t="str">
        <f t="shared" si="16"/>
        <v/>
      </c>
      <c r="C190" s="10" t="str">
        <f t="shared" si="17"/>
        <v/>
      </c>
      <c r="D190" s="10" t="str">
        <f t="shared" si="18"/>
        <v/>
      </c>
      <c r="E190" s="11" t="str">
        <f t="shared" si="19"/>
        <v/>
      </c>
      <c r="F190" s="12" t="str">
        <f t="shared" si="20"/>
        <v/>
      </c>
      <c r="G190" s="13" t="str">
        <f t="shared" si="21"/>
        <v/>
      </c>
      <c r="H190" s="13" t="str">
        <f t="shared" si="22"/>
        <v/>
      </c>
      <c r="I190" s="14" t="str">
        <f t="shared" si="23"/>
        <v/>
      </c>
      <c r="L190" t="str">
        <f>IFERROR(MATCH($C$5&amp;"|"&amp;RIGHT("000000"&amp;174,6),LdgRankKeyA,0),"")</f>
        <v/>
      </c>
      <c r="M190" t="str">
        <f>IFERROR(MATCH($C$5&amp;"|"&amp;RIGHT("000000"&amp;174,6),LdgRankKeyB,0),"")</f>
        <v/>
      </c>
    </row>
    <row r="191" spans="1:13" x14ac:dyDescent="0.2">
      <c r="A191" s="3">
        <v>175</v>
      </c>
      <c r="B191" s="4" t="str">
        <f t="shared" si="16"/>
        <v/>
      </c>
      <c r="C191" s="4" t="str">
        <f t="shared" si="17"/>
        <v/>
      </c>
      <c r="D191" s="4" t="str">
        <f t="shared" si="18"/>
        <v/>
      </c>
      <c r="E191" s="5" t="str">
        <f t="shared" si="19"/>
        <v/>
      </c>
      <c r="F191" s="6" t="str">
        <f t="shared" si="20"/>
        <v/>
      </c>
      <c r="G191" s="7" t="str">
        <f t="shared" si="21"/>
        <v/>
      </c>
      <c r="H191" s="7" t="str">
        <f t="shared" si="22"/>
        <v/>
      </c>
      <c r="I191" s="8" t="str">
        <f t="shared" si="23"/>
        <v/>
      </c>
      <c r="L191" t="str">
        <f>IFERROR(MATCH($C$5&amp;"|"&amp;RIGHT("000000"&amp;175,6),LdgRankKeyA,0),"")</f>
        <v/>
      </c>
      <c r="M191" t="str">
        <f>IFERROR(MATCH($C$5&amp;"|"&amp;RIGHT("000000"&amp;175,6),LdgRankKeyB,0),"")</f>
        <v/>
      </c>
    </row>
    <row r="192" spans="1:13" x14ac:dyDescent="0.2">
      <c r="A192" s="9">
        <v>176</v>
      </c>
      <c r="B192" s="10" t="str">
        <f t="shared" si="16"/>
        <v/>
      </c>
      <c r="C192" s="10" t="str">
        <f t="shared" si="17"/>
        <v/>
      </c>
      <c r="D192" s="10" t="str">
        <f t="shared" si="18"/>
        <v/>
      </c>
      <c r="E192" s="11" t="str">
        <f t="shared" si="19"/>
        <v/>
      </c>
      <c r="F192" s="12" t="str">
        <f t="shared" si="20"/>
        <v/>
      </c>
      <c r="G192" s="13" t="str">
        <f t="shared" si="21"/>
        <v/>
      </c>
      <c r="H192" s="13" t="str">
        <f t="shared" si="22"/>
        <v/>
      </c>
      <c r="I192" s="14" t="str">
        <f t="shared" si="23"/>
        <v/>
      </c>
      <c r="L192" t="str">
        <f>IFERROR(MATCH($C$5&amp;"|"&amp;RIGHT("000000"&amp;176,6),LdgRankKeyA,0),"")</f>
        <v/>
      </c>
      <c r="M192" t="str">
        <f>IFERROR(MATCH($C$5&amp;"|"&amp;RIGHT("000000"&amp;176,6),LdgRankKeyB,0),"")</f>
        <v/>
      </c>
    </row>
    <row r="193" spans="1:13" x14ac:dyDescent="0.2">
      <c r="A193" s="3">
        <v>177</v>
      </c>
      <c r="B193" s="4" t="str">
        <f t="shared" si="16"/>
        <v/>
      </c>
      <c r="C193" s="4" t="str">
        <f t="shared" si="17"/>
        <v/>
      </c>
      <c r="D193" s="4" t="str">
        <f t="shared" si="18"/>
        <v/>
      </c>
      <c r="E193" s="5" t="str">
        <f t="shared" si="19"/>
        <v/>
      </c>
      <c r="F193" s="6" t="str">
        <f t="shared" si="20"/>
        <v/>
      </c>
      <c r="G193" s="7" t="str">
        <f t="shared" si="21"/>
        <v/>
      </c>
      <c r="H193" s="7" t="str">
        <f t="shared" si="22"/>
        <v/>
      </c>
      <c r="I193" s="8" t="str">
        <f t="shared" si="23"/>
        <v/>
      </c>
      <c r="L193" t="str">
        <f>IFERROR(MATCH($C$5&amp;"|"&amp;RIGHT("000000"&amp;177,6),LdgRankKeyA,0),"")</f>
        <v/>
      </c>
      <c r="M193" t="str">
        <f>IFERROR(MATCH($C$5&amp;"|"&amp;RIGHT("000000"&amp;177,6),LdgRankKeyB,0),"")</f>
        <v/>
      </c>
    </row>
    <row r="194" spans="1:13" x14ac:dyDescent="0.2">
      <c r="A194" s="9">
        <v>178</v>
      </c>
      <c r="B194" s="10" t="str">
        <f t="shared" si="16"/>
        <v/>
      </c>
      <c r="C194" s="10" t="str">
        <f t="shared" si="17"/>
        <v/>
      </c>
      <c r="D194" s="10" t="str">
        <f t="shared" si="18"/>
        <v/>
      </c>
      <c r="E194" s="11" t="str">
        <f t="shared" si="19"/>
        <v/>
      </c>
      <c r="F194" s="12" t="str">
        <f t="shared" si="20"/>
        <v/>
      </c>
      <c r="G194" s="13" t="str">
        <f t="shared" si="21"/>
        <v/>
      </c>
      <c r="H194" s="13" t="str">
        <f t="shared" si="22"/>
        <v/>
      </c>
      <c r="I194" s="14" t="str">
        <f t="shared" si="23"/>
        <v/>
      </c>
      <c r="L194" t="str">
        <f>IFERROR(MATCH($C$5&amp;"|"&amp;RIGHT("000000"&amp;178,6),LdgRankKeyA,0),"")</f>
        <v/>
      </c>
      <c r="M194" t="str">
        <f>IFERROR(MATCH($C$5&amp;"|"&amp;RIGHT("000000"&amp;178,6),LdgRankKeyB,0),"")</f>
        <v/>
      </c>
    </row>
    <row r="195" spans="1:13" x14ac:dyDescent="0.2">
      <c r="A195" s="3">
        <v>179</v>
      </c>
      <c r="B195" s="4" t="str">
        <f t="shared" si="16"/>
        <v/>
      </c>
      <c r="C195" s="4" t="str">
        <f t="shared" si="17"/>
        <v/>
      </c>
      <c r="D195" s="4" t="str">
        <f t="shared" si="18"/>
        <v/>
      </c>
      <c r="E195" s="5" t="str">
        <f t="shared" si="19"/>
        <v/>
      </c>
      <c r="F195" s="6" t="str">
        <f t="shared" si="20"/>
        <v/>
      </c>
      <c r="G195" s="7" t="str">
        <f t="shared" si="21"/>
        <v/>
      </c>
      <c r="H195" s="7" t="str">
        <f t="shared" si="22"/>
        <v/>
      </c>
      <c r="I195" s="8" t="str">
        <f t="shared" si="23"/>
        <v/>
      </c>
      <c r="L195" t="str">
        <f>IFERROR(MATCH($C$5&amp;"|"&amp;RIGHT("000000"&amp;179,6),LdgRankKeyA,0),"")</f>
        <v/>
      </c>
      <c r="M195" t="str">
        <f>IFERROR(MATCH($C$5&amp;"|"&amp;RIGHT("000000"&amp;179,6),LdgRankKeyB,0),"")</f>
        <v/>
      </c>
    </row>
    <row r="196" spans="1:13" x14ac:dyDescent="0.2">
      <c r="A196" s="9">
        <v>180</v>
      </c>
      <c r="B196" s="10" t="str">
        <f t="shared" si="16"/>
        <v/>
      </c>
      <c r="C196" s="10" t="str">
        <f t="shared" si="17"/>
        <v/>
      </c>
      <c r="D196" s="10" t="str">
        <f t="shared" si="18"/>
        <v/>
      </c>
      <c r="E196" s="11" t="str">
        <f t="shared" si="19"/>
        <v/>
      </c>
      <c r="F196" s="12" t="str">
        <f t="shared" si="20"/>
        <v/>
      </c>
      <c r="G196" s="13" t="str">
        <f t="shared" si="21"/>
        <v/>
      </c>
      <c r="H196" s="13" t="str">
        <f t="shared" si="22"/>
        <v/>
      </c>
      <c r="I196" s="14" t="str">
        <f t="shared" si="23"/>
        <v/>
      </c>
      <c r="L196" t="str">
        <f>IFERROR(MATCH($C$5&amp;"|"&amp;RIGHT("000000"&amp;180,6),LdgRankKeyA,0),"")</f>
        <v/>
      </c>
      <c r="M196" t="str">
        <f>IFERROR(MATCH($C$5&amp;"|"&amp;RIGHT("000000"&amp;180,6),LdgRankKeyB,0),"")</f>
        <v/>
      </c>
    </row>
    <row r="197" spans="1:13" x14ac:dyDescent="0.2">
      <c r="A197" s="3">
        <v>181</v>
      </c>
      <c r="B197" s="4" t="str">
        <f t="shared" si="16"/>
        <v/>
      </c>
      <c r="C197" s="4" t="str">
        <f t="shared" si="17"/>
        <v/>
      </c>
      <c r="D197" s="4" t="str">
        <f t="shared" si="18"/>
        <v/>
      </c>
      <c r="E197" s="5" t="str">
        <f t="shared" si="19"/>
        <v/>
      </c>
      <c r="F197" s="6" t="str">
        <f t="shared" si="20"/>
        <v/>
      </c>
      <c r="G197" s="7" t="str">
        <f t="shared" si="21"/>
        <v/>
      </c>
      <c r="H197" s="7" t="str">
        <f t="shared" si="22"/>
        <v/>
      </c>
      <c r="I197" s="8" t="str">
        <f t="shared" si="23"/>
        <v/>
      </c>
      <c r="L197" t="str">
        <f>IFERROR(MATCH($C$5&amp;"|"&amp;RIGHT("000000"&amp;181,6),LdgRankKeyA,0),"")</f>
        <v/>
      </c>
      <c r="M197" t="str">
        <f>IFERROR(MATCH($C$5&amp;"|"&amp;RIGHT("000000"&amp;181,6),LdgRankKeyB,0),"")</f>
        <v/>
      </c>
    </row>
    <row r="198" spans="1:13" x14ac:dyDescent="0.2">
      <c r="A198" s="9">
        <v>182</v>
      </c>
      <c r="B198" s="10" t="str">
        <f t="shared" si="16"/>
        <v/>
      </c>
      <c r="C198" s="10" t="str">
        <f t="shared" si="17"/>
        <v/>
      </c>
      <c r="D198" s="10" t="str">
        <f t="shared" si="18"/>
        <v/>
      </c>
      <c r="E198" s="11" t="str">
        <f t="shared" si="19"/>
        <v/>
      </c>
      <c r="F198" s="12" t="str">
        <f t="shared" si="20"/>
        <v/>
      </c>
      <c r="G198" s="13" t="str">
        <f t="shared" si="21"/>
        <v/>
      </c>
      <c r="H198" s="13" t="str">
        <f t="shared" si="22"/>
        <v/>
      </c>
      <c r="I198" s="14" t="str">
        <f t="shared" si="23"/>
        <v/>
      </c>
      <c r="L198" t="str">
        <f>IFERROR(MATCH($C$5&amp;"|"&amp;RIGHT("000000"&amp;182,6),LdgRankKeyA,0),"")</f>
        <v/>
      </c>
      <c r="M198" t="str">
        <f>IFERROR(MATCH($C$5&amp;"|"&amp;RIGHT("000000"&amp;182,6),LdgRankKeyB,0),"")</f>
        <v/>
      </c>
    </row>
    <row r="199" spans="1:13" x14ac:dyDescent="0.2">
      <c r="A199" s="3">
        <v>183</v>
      </c>
      <c r="B199" s="4" t="str">
        <f t="shared" si="16"/>
        <v/>
      </c>
      <c r="C199" s="4" t="str">
        <f t="shared" si="17"/>
        <v/>
      </c>
      <c r="D199" s="4" t="str">
        <f t="shared" si="18"/>
        <v/>
      </c>
      <c r="E199" s="5" t="str">
        <f t="shared" si="19"/>
        <v/>
      </c>
      <c r="F199" s="6" t="str">
        <f t="shared" si="20"/>
        <v/>
      </c>
      <c r="G199" s="7" t="str">
        <f t="shared" si="21"/>
        <v/>
      </c>
      <c r="H199" s="7" t="str">
        <f t="shared" si="22"/>
        <v/>
      </c>
      <c r="I199" s="8" t="str">
        <f t="shared" si="23"/>
        <v/>
      </c>
      <c r="L199" t="str">
        <f>IFERROR(MATCH($C$5&amp;"|"&amp;RIGHT("000000"&amp;183,6),LdgRankKeyA,0),"")</f>
        <v/>
      </c>
      <c r="M199" t="str">
        <f>IFERROR(MATCH($C$5&amp;"|"&amp;RIGHT("000000"&amp;183,6),LdgRankKeyB,0),"")</f>
        <v/>
      </c>
    </row>
    <row r="200" spans="1:13" x14ac:dyDescent="0.2">
      <c r="A200" s="9">
        <v>184</v>
      </c>
      <c r="B200" s="10" t="str">
        <f t="shared" si="16"/>
        <v/>
      </c>
      <c r="C200" s="10" t="str">
        <f t="shared" si="17"/>
        <v/>
      </c>
      <c r="D200" s="10" t="str">
        <f t="shared" si="18"/>
        <v/>
      </c>
      <c r="E200" s="11" t="str">
        <f t="shared" si="19"/>
        <v/>
      </c>
      <c r="F200" s="12" t="str">
        <f t="shared" si="20"/>
        <v/>
      </c>
      <c r="G200" s="13" t="str">
        <f t="shared" si="21"/>
        <v/>
      </c>
      <c r="H200" s="13" t="str">
        <f t="shared" si="22"/>
        <v/>
      </c>
      <c r="I200" s="14" t="str">
        <f t="shared" si="23"/>
        <v/>
      </c>
      <c r="L200" t="str">
        <f>IFERROR(MATCH($C$5&amp;"|"&amp;RIGHT("000000"&amp;184,6),LdgRankKeyA,0),"")</f>
        <v/>
      </c>
      <c r="M200" t="str">
        <f>IFERROR(MATCH($C$5&amp;"|"&amp;RIGHT("000000"&amp;184,6),LdgRankKeyB,0),"")</f>
        <v/>
      </c>
    </row>
    <row r="201" spans="1:13" x14ac:dyDescent="0.2">
      <c r="A201" s="3">
        <v>185</v>
      </c>
      <c r="B201" s="4" t="str">
        <f t="shared" si="16"/>
        <v/>
      </c>
      <c r="C201" s="4" t="str">
        <f t="shared" si="17"/>
        <v/>
      </c>
      <c r="D201" s="4" t="str">
        <f t="shared" si="18"/>
        <v/>
      </c>
      <c r="E201" s="5" t="str">
        <f t="shared" si="19"/>
        <v/>
      </c>
      <c r="F201" s="6" t="str">
        <f t="shared" si="20"/>
        <v/>
      </c>
      <c r="G201" s="7" t="str">
        <f t="shared" si="21"/>
        <v/>
      </c>
      <c r="H201" s="7" t="str">
        <f t="shared" si="22"/>
        <v/>
      </c>
      <c r="I201" s="8" t="str">
        <f t="shared" si="23"/>
        <v/>
      </c>
      <c r="L201" t="str">
        <f>IFERROR(MATCH($C$5&amp;"|"&amp;RIGHT("000000"&amp;185,6),LdgRankKeyA,0),"")</f>
        <v/>
      </c>
      <c r="M201" t="str">
        <f>IFERROR(MATCH($C$5&amp;"|"&amp;RIGHT("000000"&amp;185,6),LdgRankKeyB,0),"")</f>
        <v/>
      </c>
    </row>
    <row r="202" spans="1:13" x14ac:dyDescent="0.2">
      <c r="A202" s="9">
        <v>186</v>
      </c>
      <c r="B202" s="10" t="str">
        <f t="shared" si="16"/>
        <v/>
      </c>
      <c r="C202" s="10" t="str">
        <f t="shared" si="17"/>
        <v/>
      </c>
      <c r="D202" s="10" t="str">
        <f t="shared" si="18"/>
        <v/>
      </c>
      <c r="E202" s="11" t="str">
        <f t="shared" si="19"/>
        <v/>
      </c>
      <c r="F202" s="12" t="str">
        <f t="shared" si="20"/>
        <v/>
      </c>
      <c r="G202" s="13" t="str">
        <f t="shared" si="21"/>
        <v/>
      </c>
      <c r="H202" s="13" t="str">
        <f t="shared" si="22"/>
        <v/>
      </c>
      <c r="I202" s="14" t="str">
        <f t="shared" si="23"/>
        <v/>
      </c>
      <c r="L202" t="str">
        <f>IFERROR(MATCH($C$5&amp;"|"&amp;RIGHT("000000"&amp;186,6),LdgRankKeyA,0),"")</f>
        <v/>
      </c>
      <c r="M202" t="str">
        <f>IFERROR(MATCH($C$5&amp;"|"&amp;RIGHT("000000"&amp;186,6),LdgRankKeyB,0),"")</f>
        <v/>
      </c>
    </row>
    <row r="203" spans="1:13" x14ac:dyDescent="0.2">
      <c r="A203" s="3">
        <v>187</v>
      </c>
      <c r="B203" s="4" t="str">
        <f t="shared" si="16"/>
        <v/>
      </c>
      <c r="C203" s="4" t="str">
        <f t="shared" si="17"/>
        <v/>
      </c>
      <c r="D203" s="4" t="str">
        <f t="shared" si="18"/>
        <v/>
      </c>
      <c r="E203" s="5" t="str">
        <f t="shared" si="19"/>
        <v/>
      </c>
      <c r="F203" s="6" t="str">
        <f t="shared" si="20"/>
        <v/>
      </c>
      <c r="G203" s="7" t="str">
        <f t="shared" si="21"/>
        <v/>
      </c>
      <c r="H203" s="7" t="str">
        <f t="shared" si="22"/>
        <v/>
      </c>
      <c r="I203" s="8" t="str">
        <f t="shared" si="23"/>
        <v/>
      </c>
      <c r="L203" t="str">
        <f>IFERROR(MATCH($C$5&amp;"|"&amp;RIGHT("000000"&amp;187,6),LdgRankKeyA,0),"")</f>
        <v/>
      </c>
      <c r="M203" t="str">
        <f>IFERROR(MATCH($C$5&amp;"|"&amp;RIGHT("000000"&amp;187,6),LdgRankKeyB,0),"")</f>
        <v/>
      </c>
    </row>
    <row r="204" spans="1:13" x14ac:dyDescent="0.2">
      <c r="A204" s="9">
        <v>188</v>
      </c>
      <c r="B204" s="10" t="str">
        <f t="shared" si="16"/>
        <v/>
      </c>
      <c r="C204" s="10" t="str">
        <f t="shared" si="17"/>
        <v/>
      </c>
      <c r="D204" s="10" t="str">
        <f t="shared" si="18"/>
        <v/>
      </c>
      <c r="E204" s="11" t="str">
        <f t="shared" si="19"/>
        <v/>
      </c>
      <c r="F204" s="12" t="str">
        <f t="shared" si="20"/>
        <v/>
      </c>
      <c r="G204" s="13" t="str">
        <f t="shared" si="21"/>
        <v/>
      </c>
      <c r="H204" s="13" t="str">
        <f t="shared" si="22"/>
        <v/>
      </c>
      <c r="I204" s="14" t="str">
        <f t="shared" si="23"/>
        <v/>
      </c>
      <c r="L204" t="str">
        <f>IFERROR(MATCH($C$5&amp;"|"&amp;RIGHT("000000"&amp;188,6),LdgRankKeyA,0),"")</f>
        <v/>
      </c>
      <c r="M204" t="str">
        <f>IFERROR(MATCH($C$5&amp;"|"&amp;RIGHT("000000"&amp;188,6),LdgRankKeyB,0),"")</f>
        <v/>
      </c>
    </row>
    <row r="205" spans="1:13" x14ac:dyDescent="0.2">
      <c r="A205" s="3">
        <v>189</v>
      </c>
      <c r="B205" s="4" t="str">
        <f t="shared" si="16"/>
        <v/>
      </c>
      <c r="C205" s="4" t="str">
        <f t="shared" si="17"/>
        <v/>
      </c>
      <c r="D205" s="4" t="str">
        <f t="shared" si="18"/>
        <v/>
      </c>
      <c r="E205" s="5" t="str">
        <f t="shared" si="19"/>
        <v/>
      </c>
      <c r="F205" s="6" t="str">
        <f t="shared" si="20"/>
        <v/>
      </c>
      <c r="G205" s="7" t="str">
        <f t="shared" si="21"/>
        <v/>
      </c>
      <c r="H205" s="7" t="str">
        <f t="shared" si="22"/>
        <v/>
      </c>
      <c r="I205" s="8" t="str">
        <f t="shared" si="23"/>
        <v/>
      </c>
      <c r="L205" t="str">
        <f>IFERROR(MATCH($C$5&amp;"|"&amp;RIGHT("000000"&amp;189,6),LdgRankKeyA,0),"")</f>
        <v/>
      </c>
      <c r="M205" t="str">
        <f>IFERROR(MATCH($C$5&amp;"|"&amp;RIGHT("000000"&amp;189,6),LdgRankKeyB,0),"")</f>
        <v/>
      </c>
    </row>
    <row r="206" spans="1:13" x14ac:dyDescent="0.2">
      <c r="A206" s="9">
        <v>190</v>
      </c>
      <c r="B206" s="10" t="str">
        <f t="shared" si="16"/>
        <v/>
      </c>
      <c r="C206" s="10" t="str">
        <f t="shared" si="17"/>
        <v/>
      </c>
      <c r="D206" s="10" t="str">
        <f t="shared" si="18"/>
        <v/>
      </c>
      <c r="E206" s="11" t="str">
        <f t="shared" si="19"/>
        <v/>
      </c>
      <c r="F206" s="12" t="str">
        <f t="shared" si="20"/>
        <v/>
      </c>
      <c r="G206" s="13" t="str">
        <f t="shared" si="21"/>
        <v/>
      </c>
      <c r="H206" s="13" t="str">
        <f t="shared" si="22"/>
        <v/>
      </c>
      <c r="I206" s="14" t="str">
        <f t="shared" si="23"/>
        <v/>
      </c>
      <c r="L206" t="str">
        <f>IFERROR(MATCH($C$5&amp;"|"&amp;RIGHT("000000"&amp;190,6),LdgRankKeyA,0),"")</f>
        <v/>
      </c>
      <c r="M206" t="str">
        <f>IFERROR(MATCH($C$5&amp;"|"&amp;RIGHT("000000"&amp;190,6),LdgRankKeyB,0),"")</f>
        <v/>
      </c>
    </row>
    <row r="207" spans="1:13" x14ac:dyDescent="0.2">
      <c r="A207" s="3">
        <v>191</v>
      </c>
      <c r="B207" s="4" t="str">
        <f t="shared" si="16"/>
        <v/>
      </c>
      <c r="C207" s="4" t="str">
        <f t="shared" si="17"/>
        <v/>
      </c>
      <c r="D207" s="4" t="str">
        <f t="shared" si="18"/>
        <v/>
      </c>
      <c r="E207" s="5" t="str">
        <f t="shared" si="19"/>
        <v/>
      </c>
      <c r="F207" s="6" t="str">
        <f t="shared" si="20"/>
        <v/>
      </c>
      <c r="G207" s="7" t="str">
        <f t="shared" si="21"/>
        <v/>
      </c>
      <c r="H207" s="7" t="str">
        <f t="shared" si="22"/>
        <v/>
      </c>
      <c r="I207" s="8" t="str">
        <f t="shared" si="23"/>
        <v/>
      </c>
      <c r="L207" t="str">
        <f>IFERROR(MATCH($C$5&amp;"|"&amp;RIGHT("000000"&amp;191,6),LdgRankKeyA,0),"")</f>
        <v/>
      </c>
      <c r="M207" t="str">
        <f>IFERROR(MATCH($C$5&amp;"|"&amp;RIGHT("000000"&amp;191,6),LdgRankKeyB,0),"")</f>
        <v/>
      </c>
    </row>
    <row r="208" spans="1:13" x14ac:dyDescent="0.2">
      <c r="A208" s="9">
        <v>192</v>
      </c>
      <c r="B208" s="10" t="str">
        <f t="shared" si="16"/>
        <v/>
      </c>
      <c r="C208" s="10" t="str">
        <f t="shared" si="17"/>
        <v/>
      </c>
      <c r="D208" s="10" t="str">
        <f t="shared" si="18"/>
        <v/>
      </c>
      <c r="E208" s="11" t="str">
        <f t="shared" si="19"/>
        <v/>
      </c>
      <c r="F208" s="12" t="str">
        <f t="shared" si="20"/>
        <v/>
      </c>
      <c r="G208" s="13" t="str">
        <f t="shared" si="21"/>
        <v/>
      </c>
      <c r="H208" s="13" t="str">
        <f t="shared" si="22"/>
        <v/>
      </c>
      <c r="I208" s="14" t="str">
        <f t="shared" si="23"/>
        <v/>
      </c>
      <c r="L208" t="str">
        <f>IFERROR(MATCH($C$5&amp;"|"&amp;RIGHT("000000"&amp;192,6),LdgRankKeyA,0),"")</f>
        <v/>
      </c>
      <c r="M208" t="str">
        <f>IFERROR(MATCH($C$5&amp;"|"&amp;RIGHT("000000"&amp;192,6),LdgRankKeyB,0),"")</f>
        <v/>
      </c>
    </row>
    <row r="209" spans="1:13" x14ac:dyDescent="0.2">
      <c r="A209" s="3">
        <v>193</v>
      </c>
      <c r="B209" s="4" t="str">
        <f t="shared" ref="B209:B272" si="24">IF(AND($L209="",$M209=""),"",IF($L209&lt;&gt;"",INDEX(SCNormDate,$L209),INDEX(LdgDateB,$M209)))</f>
        <v/>
      </c>
      <c r="C209" s="4" t="str">
        <f t="shared" ref="C209:C272" si="25">IF($L209&lt;&gt;"",INDEX(SCOp,$L209),IF($M209&lt;&gt;"","پرداخت بانکی",""))</f>
        <v/>
      </c>
      <c r="D209" s="4" t="str">
        <f t="shared" ref="D209:D272" si="26">IF($L209&lt;&gt;"",IF(INDEX(SCDoc,$L209)="","—",INDEX(SCDoc,$L209)),IF($M209&lt;&gt;"",INDEX(LdgBankB,$M209),""))</f>
        <v/>
      </c>
      <c r="E209" s="5" t="str">
        <f t="shared" ref="E209:E272" si="27">IF($L209&lt;&gt;"",IF(INDEX(SCCitrus,$L209)&amp;INDEX(SCNotes,$L209)="","",IF(INDEX(SCCitrus,$L209)="","",INDEX(SCCitrus,$L209))&amp;IF(INDEX(SCNotes,$L209)="",""," — "&amp;INDEX(SCNotes,$L209))),IF($M209&lt;&gt;"",IF(INDEX(LdgNoteB,$M209)="","—",INDEX(LdgNoteB,$M209)),""))</f>
        <v/>
      </c>
      <c r="F209" s="6" t="str">
        <f t="shared" ref="F209:F272" si="28">IF($L209&lt;&gt;"",IF(INDEX(SCNet,$L209)=0,"",INDEX(SCNet,$L209)),"")</f>
        <v/>
      </c>
      <c r="G209" s="7" t="str">
        <f t="shared" ref="G209:G272" si="29">IF($L209&lt;&gt;"",IF(INDEX(SCOp,$L209)="مرجوعی فروش","",IF(INDEX(SCAmount,$L209)&lt;=0,"",INDEX(SCAmount,$L209))),IF($M209&lt;&gt;"",IF(INDEX(LdgWitB,$M209)=0,"",INDEX(LdgWitB,$M209)),""))</f>
        <v/>
      </c>
      <c r="H209" s="7" t="str">
        <f t="shared" ref="H209:H272" si="30">IF($L209&lt;&gt;"",IF(INDEX(SCOp,$L209)="مرجوعی فروش",IF(INDEX(SCAmount,$L209)=0,"",-INDEX(SCAmount,$L209)),""),IF($M209&lt;&gt;"",IF(INDEX(LdgDepB,$M209)=0,"",INDEX(LdgDepB,$M209)),""))</f>
        <v/>
      </c>
      <c r="I209" s="8" t="str">
        <f t="shared" si="23"/>
        <v/>
      </c>
      <c r="L209" t="str">
        <f>IFERROR(MATCH($C$5&amp;"|"&amp;RIGHT("000000"&amp;193,6),LdgRankKeyA,0),"")</f>
        <v/>
      </c>
      <c r="M209" t="str">
        <f>IFERROR(MATCH($C$5&amp;"|"&amp;RIGHT("000000"&amp;193,6),LdgRankKeyB,0),"")</f>
        <v/>
      </c>
    </row>
    <row r="210" spans="1:13" x14ac:dyDescent="0.2">
      <c r="A210" s="9">
        <v>194</v>
      </c>
      <c r="B210" s="10" t="str">
        <f t="shared" si="24"/>
        <v/>
      </c>
      <c r="C210" s="10" t="str">
        <f t="shared" si="25"/>
        <v/>
      </c>
      <c r="D210" s="10" t="str">
        <f t="shared" si="26"/>
        <v/>
      </c>
      <c r="E210" s="11" t="str">
        <f t="shared" si="27"/>
        <v/>
      </c>
      <c r="F210" s="12" t="str">
        <f t="shared" si="28"/>
        <v/>
      </c>
      <c r="G210" s="13" t="str">
        <f t="shared" si="29"/>
        <v/>
      </c>
      <c r="H210" s="13" t="str">
        <f t="shared" si="30"/>
        <v/>
      </c>
      <c r="I210" s="14" t="str">
        <f t="shared" ref="I210:I273" si="31">IF($B210="","",IF($I209="",$C$10,$I209)+IF($G210="",0,$G210)-IF($H210="",0,$H210))</f>
        <v/>
      </c>
      <c r="L210" t="str">
        <f>IFERROR(MATCH($C$5&amp;"|"&amp;RIGHT("000000"&amp;194,6),LdgRankKeyA,0),"")</f>
        <v/>
      </c>
      <c r="M210" t="str">
        <f>IFERROR(MATCH($C$5&amp;"|"&amp;RIGHT("000000"&amp;194,6),LdgRankKeyB,0),"")</f>
        <v/>
      </c>
    </row>
    <row r="211" spans="1:13" x14ac:dyDescent="0.2">
      <c r="A211" s="3">
        <v>195</v>
      </c>
      <c r="B211" s="4" t="str">
        <f t="shared" si="24"/>
        <v/>
      </c>
      <c r="C211" s="4" t="str">
        <f t="shared" si="25"/>
        <v/>
      </c>
      <c r="D211" s="4" t="str">
        <f t="shared" si="26"/>
        <v/>
      </c>
      <c r="E211" s="5" t="str">
        <f t="shared" si="27"/>
        <v/>
      </c>
      <c r="F211" s="6" t="str">
        <f t="shared" si="28"/>
        <v/>
      </c>
      <c r="G211" s="7" t="str">
        <f t="shared" si="29"/>
        <v/>
      </c>
      <c r="H211" s="7" t="str">
        <f t="shared" si="30"/>
        <v/>
      </c>
      <c r="I211" s="8" t="str">
        <f t="shared" si="31"/>
        <v/>
      </c>
      <c r="L211" t="str">
        <f>IFERROR(MATCH($C$5&amp;"|"&amp;RIGHT("000000"&amp;195,6),LdgRankKeyA,0),"")</f>
        <v/>
      </c>
      <c r="M211" t="str">
        <f>IFERROR(MATCH($C$5&amp;"|"&amp;RIGHT("000000"&amp;195,6),LdgRankKeyB,0),"")</f>
        <v/>
      </c>
    </row>
    <row r="212" spans="1:13" x14ac:dyDescent="0.2">
      <c r="A212" s="9">
        <v>196</v>
      </c>
      <c r="B212" s="10" t="str">
        <f t="shared" si="24"/>
        <v/>
      </c>
      <c r="C212" s="10" t="str">
        <f t="shared" si="25"/>
        <v/>
      </c>
      <c r="D212" s="10" t="str">
        <f t="shared" si="26"/>
        <v/>
      </c>
      <c r="E212" s="11" t="str">
        <f t="shared" si="27"/>
        <v/>
      </c>
      <c r="F212" s="12" t="str">
        <f t="shared" si="28"/>
        <v/>
      </c>
      <c r="G212" s="13" t="str">
        <f t="shared" si="29"/>
        <v/>
      </c>
      <c r="H212" s="13" t="str">
        <f t="shared" si="30"/>
        <v/>
      </c>
      <c r="I212" s="14" t="str">
        <f t="shared" si="31"/>
        <v/>
      </c>
      <c r="L212" t="str">
        <f>IFERROR(MATCH($C$5&amp;"|"&amp;RIGHT("000000"&amp;196,6),LdgRankKeyA,0),"")</f>
        <v/>
      </c>
      <c r="M212" t="str">
        <f>IFERROR(MATCH($C$5&amp;"|"&amp;RIGHT("000000"&amp;196,6),LdgRankKeyB,0),"")</f>
        <v/>
      </c>
    </row>
    <row r="213" spans="1:13" x14ac:dyDescent="0.2">
      <c r="A213" s="3">
        <v>197</v>
      </c>
      <c r="B213" s="4" t="str">
        <f t="shared" si="24"/>
        <v/>
      </c>
      <c r="C213" s="4" t="str">
        <f t="shared" si="25"/>
        <v/>
      </c>
      <c r="D213" s="4" t="str">
        <f t="shared" si="26"/>
        <v/>
      </c>
      <c r="E213" s="5" t="str">
        <f t="shared" si="27"/>
        <v/>
      </c>
      <c r="F213" s="6" t="str">
        <f t="shared" si="28"/>
        <v/>
      </c>
      <c r="G213" s="7" t="str">
        <f t="shared" si="29"/>
        <v/>
      </c>
      <c r="H213" s="7" t="str">
        <f t="shared" si="30"/>
        <v/>
      </c>
      <c r="I213" s="8" t="str">
        <f t="shared" si="31"/>
        <v/>
      </c>
      <c r="L213" t="str">
        <f>IFERROR(MATCH($C$5&amp;"|"&amp;RIGHT("000000"&amp;197,6),LdgRankKeyA,0),"")</f>
        <v/>
      </c>
      <c r="M213" t="str">
        <f>IFERROR(MATCH($C$5&amp;"|"&amp;RIGHT("000000"&amp;197,6),LdgRankKeyB,0),"")</f>
        <v/>
      </c>
    </row>
    <row r="214" spans="1:13" x14ac:dyDescent="0.2">
      <c r="A214" s="9">
        <v>198</v>
      </c>
      <c r="B214" s="10" t="str">
        <f t="shared" si="24"/>
        <v/>
      </c>
      <c r="C214" s="10" t="str">
        <f t="shared" si="25"/>
        <v/>
      </c>
      <c r="D214" s="10" t="str">
        <f t="shared" si="26"/>
        <v/>
      </c>
      <c r="E214" s="11" t="str">
        <f t="shared" si="27"/>
        <v/>
      </c>
      <c r="F214" s="12" t="str">
        <f t="shared" si="28"/>
        <v/>
      </c>
      <c r="G214" s="13" t="str">
        <f t="shared" si="29"/>
        <v/>
      </c>
      <c r="H214" s="13" t="str">
        <f t="shared" si="30"/>
        <v/>
      </c>
      <c r="I214" s="14" t="str">
        <f t="shared" si="31"/>
        <v/>
      </c>
      <c r="L214" t="str">
        <f>IFERROR(MATCH($C$5&amp;"|"&amp;RIGHT("000000"&amp;198,6),LdgRankKeyA,0),"")</f>
        <v/>
      </c>
      <c r="M214" t="str">
        <f>IFERROR(MATCH($C$5&amp;"|"&amp;RIGHT("000000"&amp;198,6),LdgRankKeyB,0),"")</f>
        <v/>
      </c>
    </row>
    <row r="215" spans="1:13" x14ac:dyDescent="0.2">
      <c r="A215" s="3">
        <v>199</v>
      </c>
      <c r="B215" s="4" t="str">
        <f t="shared" si="24"/>
        <v/>
      </c>
      <c r="C215" s="4" t="str">
        <f t="shared" si="25"/>
        <v/>
      </c>
      <c r="D215" s="4" t="str">
        <f t="shared" si="26"/>
        <v/>
      </c>
      <c r="E215" s="5" t="str">
        <f t="shared" si="27"/>
        <v/>
      </c>
      <c r="F215" s="6" t="str">
        <f t="shared" si="28"/>
        <v/>
      </c>
      <c r="G215" s="7" t="str">
        <f t="shared" si="29"/>
        <v/>
      </c>
      <c r="H215" s="7" t="str">
        <f t="shared" si="30"/>
        <v/>
      </c>
      <c r="I215" s="8" t="str">
        <f t="shared" si="31"/>
        <v/>
      </c>
      <c r="L215" t="str">
        <f>IFERROR(MATCH($C$5&amp;"|"&amp;RIGHT("000000"&amp;199,6),LdgRankKeyA,0),"")</f>
        <v/>
      </c>
      <c r="M215" t="str">
        <f>IFERROR(MATCH($C$5&amp;"|"&amp;RIGHT("000000"&amp;199,6),LdgRankKeyB,0),"")</f>
        <v/>
      </c>
    </row>
    <row r="216" spans="1:13" x14ac:dyDescent="0.2">
      <c r="A216" s="9">
        <v>200</v>
      </c>
      <c r="B216" s="10" t="str">
        <f t="shared" si="24"/>
        <v/>
      </c>
      <c r="C216" s="10" t="str">
        <f t="shared" si="25"/>
        <v/>
      </c>
      <c r="D216" s="10" t="str">
        <f t="shared" si="26"/>
        <v/>
      </c>
      <c r="E216" s="11" t="str">
        <f t="shared" si="27"/>
        <v/>
      </c>
      <c r="F216" s="12" t="str">
        <f t="shared" si="28"/>
        <v/>
      </c>
      <c r="G216" s="13" t="str">
        <f t="shared" si="29"/>
        <v/>
      </c>
      <c r="H216" s="13" t="str">
        <f t="shared" si="30"/>
        <v/>
      </c>
      <c r="I216" s="14" t="str">
        <f t="shared" si="31"/>
        <v/>
      </c>
      <c r="L216" t="str">
        <f>IFERROR(MATCH($C$5&amp;"|"&amp;RIGHT("000000"&amp;200,6),LdgRankKeyA,0),"")</f>
        <v/>
      </c>
      <c r="M216" t="str">
        <f>IFERROR(MATCH($C$5&amp;"|"&amp;RIGHT("000000"&amp;200,6),LdgRankKeyB,0),"")</f>
        <v/>
      </c>
    </row>
    <row r="217" spans="1:13" x14ac:dyDescent="0.2">
      <c r="A217" s="3">
        <v>201</v>
      </c>
      <c r="B217" s="4" t="str">
        <f t="shared" si="24"/>
        <v/>
      </c>
      <c r="C217" s="4" t="str">
        <f t="shared" si="25"/>
        <v/>
      </c>
      <c r="D217" s="4" t="str">
        <f t="shared" si="26"/>
        <v/>
      </c>
      <c r="E217" s="5" t="str">
        <f t="shared" si="27"/>
        <v/>
      </c>
      <c r="F217" s="6" t="str">
        <f t="shared" si="28"/>
        <v/>
      </c>
      <c r="G217" s="7" t="str">
        <f t="shared" si="29"/>
        <v/>
      </c>
      <c r="H217" s="7" t="str">
        <f t="shared" si="30"/>
        <v/>
      </c>
      <c r="I217" s="8" t="str">
        <f t="shared" si="31"/>
        <v/>
      </c>
      <c r="L217" t="str">
        <f>IFERROR(MATCH($C$5&amp;"|"&amp;RIGHT("000000"&amp;201,6),LdgRankKeyA,0),"")</f>
        <v/>
      </c>
      <c r="M217" t="str">
        <f>IFERROR(MATCH($C$5&amp;"|"&amp;RIGHT("000000"&amp;201,6),LdgRankKeyB,0),"")</f>
        <v/>
      </c>
    </row>
    <row r="218" spans="1:13" x14ac:dyDescent="0.2">
      <c r="A218" s="9">
        <v>202</v>
      </c>
      <c r="B218" s="10" t="str">
        <f t="shared" si="24"/>
        <v/>
      </c>
      <c r="C218" s="10" t="str">
        <f t="shared" si="25"/>
        <v/>
      </c>
      <c r="D218" s="10" t="str">
        <f t="shared" si="26"/>
        <v/>
      </c>
      <c r="E218" s="11" t="str">
        <f t="shared" si="27"/>
        <v/>
      </c>
      <c r="F218" s="12" t="str">
        <f t="shared" si="28"/>
        <v/>
      </c>
      <c r="G218" s="13" t="str">
        <f t="shared" si="29"/>
        <v/>
      </c>
      <c r="H218" s="13" t="str">
        <f t="shared" si="30"/>
        <v/>
      </c>
      <c r="I218" s="14" t="str">
        <f t="shared" si="31"/>
        <v/>
      </c>
      <c r="L218" t="str">
        <f>IFERROR(MATCH($C$5&amp;"|"&amp;RIGHT("000000"&amp;202,6),LdgRankKeyA,0),"")</f>
        <v/>
      </c>
      <c r="M218" t="str">
        <f>IFERROR(MATCH($C$5&amp;"|"&amp;RIGHT("000000"&amp;202,6),LdgRankKeyB,0),"")</f>
        <v/>
      </c>
    </row>
    <row r="219" spans="1:13" x14ac:dyDescent="0.2">
      <c r="A219" s="3">
        <v>203</v>
      </c>
      <c r="B219" s="4" t="str">
        <f t="shared" si="24"/>
        <v/>
      </c>
      <c r="C219" s="4" t="str">
        <f t="shared" si="25"/>
        <v/>
      </c>
      <c r="D219" s="4" t="str">
        <f t="shared" si="26"/>
        <v/>
      </c>
      <c r="E219" s="5" t="str">
        <f t="shared" si="27"/>
        <v/>
      </c>
      <c r="F219" s="6" t="str">
        <f t="shared" si="28"/>
        <v/>
      </c>
      <c r="G219" s="7" t="str">
        <f t="shared" si="29"/>
        <v/>
      </c>
      <c r="H219" s="7" t="str">
        <f t="shared" si="30"/>
        <v/>
      </c>
      <c r="I219" s="8" t="str">
        <f t="shared" si="31"/>
        <v/>
      </c>
      <c r="L219" t="str">
        <f>IFERROR(MATCH($C$5&amp;"|"&amp;RIGHT("000000"&amp;203,6),LdgRankKeyA,0),"")</f>
        <v/>
      </c>
      <c r="M219" t="str">
        <f>IFERROR(MATCH($C$5&amp;"|"&amp;RIGHT("000000"&amp;203,6),LdgRankKeyB,0),"")</f>
        <v/>
      </c>
    </row>
    <row r="220" spans="1:13" x14ac:dyDescent="0.2">
      <c r="A220" s="9">
        <v>204</v>
      </c>
      <c r="B220" s="10" t="str">
        <f t="shared" si="24"/>
        <v/>
      </c>
      <c r="C220" s="10" t="str">
        <f t="shared" si="25"/>
        <v/>
      </c>
      <c r="D220" s="10" t="str">
        <f t="shared" si="26"/>
        <v/>
      </c>
      <c r="E220" s="11" t="str">
        <f t="shared" si="27"/>
        <v/>
      </c>
      <c r="F220" s="12" t="str">
        <f t="shared" si="28"/>
        <v/>
      </c>
      <c r="G220" s="13" t="str">
        <f t="shared" si="29"/>
        <v/>
      </c>
      <c r="H220" s="13" t="str">
        <f t="shared" si="30"/>
        <v/>
      </c>
      <c r="I220" s="14" t="str">
        <f t="shared" si="31"/>
        <v/>
      </c>
      <c r="L220" t="str">
        <f>IFERROR(MATCH($C$5&amp;"|"&amp;RIGHT("000000"&amp;204,6),LdgRankKeyA,0),"")</f>
        <v/>
      </c>
      <c r="M220" t="str">
        <f>IFERROR(MATCH($C$5&amp;"|"&amp;RIGHT("000000"&amp;204,6),LdgRankKeyB,0),"")</f>
        <v/>
      </c>
    </row>
    <row r="221" spans="1:13" x14ac:dyDescent="0.2">
      <c r="A221" s="3">
        <v>205</v>
      </c>
      <c r="B221" s="4" t="str">
        <f t="shared" si="24"/>
        <v/>
      </c>
      <c r="C221" s="4" t="str">
        <f t="shared" si="25"/>
        <v/>
      </c>
      <c r="D221" s="4" t="str">
        <f t="shared" si="26"/>
        <v/>
      </c>
      <c r="E221" s="5" t="str">
        <f t="shared" si="27"/>
        <v/>
      </c>
      <c r="F221" s="6" t="str">
        <f t="shared" si="28"/>
        <v/>
      </c>
      <c r="G221" s="7" t="str">
        <f t="shared" si="29"/>
        <v/>
      </c>
      <c r="H221" s="7" t="str">
        <f t="shared" si="30"/>
        <v/>
      </c>
      <c r="I221" s="8" t="str">
        <f t="shared" si="31"/>
        <v/>
      </c>
      <c r="L221" t="str">
        <f>IFERROR(MATCH($C$5&amp;"|"&amp;RIGHT("000000"&amp;205,6),LdgRankKeyA,0),"")</f>
        <v/>
      </c>
      <c r="M221" t="str">
        <f>IFERROR(MATCH($C$5&amp;"|"&amp;RIGHT("000000"&amp;205,6),LdgRankKeyB,0),"")</f>
        <v/>
      </c>
    </row>
    <row r="222" spans="1:13" x14ac:dyDescent="0.2">
      <c r="A222" s="9">
        <v>206</v>
      </c>
      <c r="B222" s="10" t="str">
        <f t="shared" si="24"/>
        <v/>
      </c>
      <c r="C222" s="10" t="str">
        <f t="shared" si="25"/>
        <v/>
      </c>
      <c r="D222" s="10" t="str">
        <f t="shared" si="26"/>
        <v/>
      </c>
      <c r="E222" s="11" t="str">
        <f t="shared" si="27"/>
        <v/>
      </c>
      <c r="F222" s="12" t="str">
        <f t="shared" si="28"/>
        <v/>
      </c>
      <c r="G222" s="13" t="str">
        <f t="shared" si="29"/>
        <v/>
      </c>
      <c r="H222" s="13" t="str">
        <f t="shared" si="30"/>
        <v/>
      </c>
      <c r="I222" s="14" t="str">
        <f t="shared" si="31"/>
        <v/>
      </c>
      <c r="L222" t="str">
        <f>IFERROR(MATCH($C$5&amp;"|"&amp;RIGHT("000000"&amp;206,6),LdgRankKeyA,0),"")</f>
        <v/>
      </c>
      <c r="M222" t="str">
        <f>IFERROR(MATCH($C$5&amp;"|"&amp;RIGHT("000000"&amp;206,6),LdgRankKeyB,0),"")</f>
        <v/>
      </c>
    </row>
    <row r="223" spans="1:13" x14ac:dyDescent="0.2">
      <c r="A223" s="3">
        <v>207</v>
      </c>
      <c r="B223" s="4" t="str">
        <f t="shared" si="24"/>
        <v/>
      </c>
      <c r="C223" s="4" t="str">
        <f t="shared" si="25"/>
        <v/>
      </c>
      <c r="D223" s="4" t="str">
        <f t="shared" si="26"/>
        <v/>
      </c>
      <c r="E223" s="5" t="str">
        <f t="shared" si="27"/>
        <v/>
      </c>
      <c r="F223" s="6" t="str">
        <f t="shared" si="28"/>
        <v/>
      </c>
      <c r="G223" s="7" t="str">
        <f t="shared" si="29"/>
        <v/>
      </c>
      <c r="H223" s="7" t="str">
        <f t="shared" si="30"/>
        <v/>
      </c>
      <c r="I223" s="8" t="str">
        <f t="shared" si="31"/>
        <v/>
      </c>
      <c r="L223" t="str">
        <f>IFERROR(MATCH($C$5&amp;"|"&amp;RIGHT("000000"&amp;207,6),LdgRankKeyA,0),"")</f>
        <v/>
      </c>
      <c r="M223" t="str">
        <f>IFERROR(MATCH($C$5&amp;"|"&amp;RIGHT("000000"&amp;207,6),LdgRankKeyB,0),"")</f>
        <v/>
      </c>
    </row>
    <row r="224" spans="1:13" x14ac:dyDescent="0.2">
      <c r="A224" s="9">
        <v>208</v>
      </c>
      <c r="B224" s="10" t="str">
        <f t="shared" si="24"/>
        <v/>
      </c>
      <c r="C224" s="10" t="str">
        <f t="shared" si="25"/>
        <v/>
      </c>
      <c r="D224" s="10" t="str">
        <f t="shared" si="26"/>
        <v/>
      </c>
      <c r="E224" s="11" t="str">
        <f t="shared" si="27"/>
        <v/>
      </c>
      <c r="F224" s="12" t="str">
        <f t="shared" si="28"/>
        <v/>
      </c>
      <c r="G224" s="13" t="str">
        <f t="shared" si="29"/>
        <v/>
      </c>
      <c r="H224" s="13" t="str">
        <f t="shared" si="30"/>
        <v/>
      </c>
      <c r="I224" s="14" t="str">
        <f t="shared" si="31"/>
        <v/>
      </c>
      <c r="L224" t="str">
        <f>IFERROR(MATCH($C$5&amp;"|"&amp;RIGHT("000000"&amp;208,6),LdgRankKeyA,0),"")</f>
        <v/>
      </c>
      <c r="M224" t="str">
        <f>IFERROR(MATCH($C$5&amp;"|"&amp;RIGHT("000000"&amp;208,6),LdgRankKeyB,0),"")</f>
        <v/>
      </c>
    </row>
    <row r="225" spans="1:13" x14ac:dyDescent="0.2">
      <c r="A225" s="3">
        <v>209</v>
      </c>
      <c r="B225" s="4" t="str">
        <f t="shared" si="24"/>
        <v/>
      </c>
      <c r="C225" s="4" t="str">
        <f t="shared" si="25"/>
        <v/>
      </c>
      <c r="D225" s="4" t="str">
        <f t="shared" si="26"/>
        <v/>
      </c>
      <c r="E225" s="5" t="str">
        <f t="shared" si="27"/>
        <v/>
      </c>
      <c r="F225" s="6" t="str">
        <f t="shared" si="28"/>
        <v/>
      </c>
      <c r="G225" s="7" t="str">
        <f t="shared" si="29"/>
        <v/>
      </c>
      <c r="H225" s="7" t="str">
        <f t="shared" si="30"/>
        <v/>
      </c>
      <c r="I225" s="8" t="str">
        <f t="shared" si="31"/>
        <v/>
      </c>
      <c r="L225" t="str">
        <f>IFERROR(MATCH($C$5&amp;"|"&amp;RIGHT("000000"&amp;209,6),LdgRankKeyA,0),"")</f>
        <v/>
      </c>
      <c r="M225" t="str">
        <f>IFERROR(MATCH($C$5&amp;"|"&amp;RIGHT("000000"&amp;209,6),LdgRankKeyB,0),"")</f>
        <v/>
      </c>
    </row>
    <row r="226" spans="1:13" x14ac:dyDescent="0.2">
      <c r="A226" s="9">
        <v>210</v>
      </c>
      <c r="B226" s="10" t="str">
        <f t="shared" si="24"/>
        <v/>
      </c>
      <c r="C226" s="10" t="str">
        <f t="shared" si="25"/>
        <v/>
      </c>
      <c r="D226" s="10" t="str">
        <f t="shared" si="26"/>
        <v/>
      </c>
      <c r="E226" s="11" t="str">
        <f t="shared" si="27"/>
        <v/>
      </c>
      <c r="F226" s="12" t="str">
        <f t="shared" si="28"/>
        <v/>
      </c>
      <c r="G226" s="13" t="str">
        <f t="shared" si="29"/>
        <v/>
      </c>
      <c r="H226" s="13" t="str">
        <f t="shared" si="30"/>
        <v/>
      </c>
      <c r="I226" s="14" t="str">
        <f t="shared" si="31"/>
        <v/>
      </c>
      <c r="L226" t="str">
        <f>IFERROR(MATCH($C$5&amp;"|"&amp;RIGHT("000000"&amp;210,6),LdgRankKeyA,0),"")</f>
        <v/>
      </c>
      <c r="M226" t="str">
        <f>IFERROR(MATCH($C$5&amp;"|"&amp;RIGHT("000000"&amp;210,6),LdgRankKeyB,0),"")</f>
        <v/>
      </c>
    </row>
    <row r="227" spans="1:13" x14ac:dyDescent="0.2">
      <c r="A227" s="3">
        <v>211</v>
      </c>
      <c r="B227" s="4" t="str">
        <f t="shared" si="24"/>
        <v/>
      </c>
      <c r="C227" s="4" t="str">
        <f t="shared" si="25"/>
        <v/>
      </c>
      <c r="D227" s="4" t="str">
        <f t="shared" si="26"/>
        <v/>
      </c>
      <c r="E227" s="5" t="str">
        <f t="shared" si="27"/>
        <v/>
      </c>
      <c r="F227" s="6" t="str">
        <f t="shared" si="28"/>
        <v/>
      </c>
      <c r="G227" s="7" t="str">
        <f t="shared" si="29"/>
        <v/>
      </c>
      <c r="H227" s="7" t="str">
        <f t="shared" si="30"/>
        <v/>
      </c>
      <c r="I227" s="8" t="str">
        <f t="shared" si="31"/>
        <v/>
      </c>
      <c r="L227" t="str">
        <f>IFERROR(MATCH($C$5&amp;"|"&amp;RIGHT("000000"&amp;211,6),LdgRankKeyA,0),"")</f>
        <v/>
      </c>
      <c r="M227" t="str">
        <f>IFERROR(MATCH($C$5&amp;"|"&amp;RIGHT("000000"&amp;211,6),LdgRankKeyB,0),"")</f>
        <v/>
      </c>
    </row>
    <row r="228" spans="1:13" x14ac:dyDescent="0.2">
      <c r="A228" s="9">
        <v>212</v>
      </c>
      <c r="B228" s="10" t="str">
        <f t="shared" si="24"/>
        <v/>
      </c>
      <c r="C228" s="10" t="str">
        <f t="shared" si="25"/>
        <v/>
      </c>
      <c r="D228" s="10" t="str">
        <f t="shared" si="26"/>
        <v/>
      </c>
      <c r="E228" s="11" t="str">
        <f t="shared" si="27"/>
        <v/>
      </c>
      <c r="F228" s="12" t="str">
        <f t="shared" si="28"/>
        <v/>
      </c>
      <c r="G228" s="13" t="str">
        <f t="shared" si="29"/>
        <v/>
      </c>
      <c r="H228" s="13" t="str">
        <f t="shared" si="30"/>
        <v/>
      </c>
      <c r="I228" s="14" t="str">
        <f t="shared" si="31"/>
        <v/>
      </c>
      <c r="L228" t="str">
        <f>IFERROR(MATCH($C$5&amp;"|"&amp;RIGHT("000000"&amp;212,6),LdgRankKeyA,0),"")</f>
        <v/>
      </c>
      <c r="M228" t="str">
        <f>IFERROR(MATCH($C$5&amp;"|"&amp;RIGHT("000000"&amp;212,6),LdgRankKeyB,0),"")</f>
        <v/>
      </c>
    </row>
    <row r="229" spans="1:13" x14ac:dyDescent="0.2">
      <c r="A229" s="3">
        <v>213</v>
      </c>
      <c r="B229" s="4" t="str">
        <f t="shared" si="24"/>
        <v/>
      </c>
      <c r="C229" s="4" t="str">
        <f t="shared" si="25"/>
        <v/>
      </c>
      <c r="D229" s="4" t="str">
        <f t="shared" si="26"/>
        <v/>
      </c>
      <c r="E229" s="5" t="str">
        <f t="shared" si="27"/>
        <v/>
      </c>
      <c r="F229" s="6" t="str">
        <f t="shared" si="28"/>
        <v/>
      </c>
      <c r="G229" s="7" t="str">
        <f t="shared" si="29"/>
        <v/>
      </c>
      <c r="H229" s="7" t="str">
        <f t="shared" si="30"/>
        <v/>
      </c>
      <c r="I229" s="8" t="str">
        <f t="shared" si="31"/>
        <v/>
      </c>
      <c r="L229" t="str">
        <f>IFERROR(MATCH($C$5&amp;"|"&amp;RIGHT("000000"&amp;213,6),LdgRankKeyA,0),"")</f>
        <v/>
      </c>
      <c r="M229" t="str">
        <f>IFERROR(MATCH($C$5&amp;"|"&amp;RIGHT("000000"&amp;213,6),LdgRankKeyB,0),"")</f>
        <v/>
      </c>
    </row>
    <row r="230" spans="1:13" x14ac:dyDescent="0.2">
      <c r="A230" s="9">
        <v>214</v>
      </c>
      <c r="B230" s="10" t="str">
        <f t="shared" si="24"/>
        <v/>
      </c>
      <c r="C230" s="10" t="str">
        <f t="shared" si="25"/>
        <v/>
      </c>
      <c r="D230" s="10" t="str">
        <f t="shared" si="26"/>
        <v/>
      </c>
      <c r="E230" s="11" t="str">
        <f t="shared" si="27"/>
        <v/>
      </c>
      <c r="F230" s="12" t="str">
        <f t="shared" si="28"/>
        <v/>
      </c>
      <c r="G230" s="13" t="str">
        <f t="shared" si="29"/>
        <v/>
      </c>
      <c r="H230" s="13" t="str">
        <f t="shared" si="30"/>
        <v/>
      </c>
      <c r="I230" s="14" t="str">
        <f t="shared" si="31"/>
        <v/>
      </c>
      <c r="L230" t="str">
        <f>IFERROR(MATCH($C$5&amp;"|"&amp;RIGHT("000000"&amp;214,6),LdgRankKeyA,0),"")</f>
        <v/>
      </c>
      <c r="M230" t="str">
        <f>IFERROR(MATCH($C$5&amp;"|"&amp;RIGHT("000000"&amp;214,6),LdgRankKeyB,0),"")</f>
        <v/>
      </c>
    </row>
    <row r="231" spans="1:13" x14ac:dyDescent="0.2">
      <c r="A231" s="3">
        <v>215</v>
      </c>
      <c r="B231" s="4" t="str">
        <f t="shared" si="24"/>
        <v/>
      </c>
      <c r="C231" s="4" t="str">
        <f t="shared" si="25"/>
        <v/>
      </c>
      <c r="D231" s="4" t="str">
        <f t="shared" si="26"/>
        <v/>
      </c>
      <c r="E231" s="5" t="str">
        <f t="shared" si="27"/>
        <v/>
      </c>
      <c r="F231" s="6" t="str">
        <f t="shared" si="28"/>
        <v/>
      </c>
      <c r="G231" s="7" t="str">
        <f t="shared" si="29"/>
        <v/>
      </c>
      <c r="H231" s="7" t="str">
        <f t="shared" si="30"/>
        <v/>
      </c>
      <c r="I231" s="8" t="str">
        <f t="shared" si="31"/>
        <v/>
      </c>
      <c r="L231" t="str">
        <f>IFERROR(MATCH($C$5&amp;"|"&amp;RIGHT("000000"&amp;215,6),LdgRankKeyA,0),"")</f>
        <v/>
      </c>
      <c r="M231" t="str">
        <f>IFERROR(MATCH($C$5&amp;"|"&amp;RIGHT("000000"&amp;215,6),LdgRankKeyB,0),"")</f>
        <v/>
      </c>
    </row>
    <row r="232" spans="1:13" x14ac:dyDescent="0.2">
      <c r="A232" s="9">
        <v>216</v>
      </c>
      <c r="B232" s="10" t="str">
        <f t="shared" si="24"/>
        <v/>
      </c>
      <c r="C232" s="10" t="str">
        <f t="shared" si="25"/>
        <v/>
      </c>
      <c r="D232" s="10" t="str">
        <f t="shared" si="26"/>
        <v/>
      </c>
      <c r="E232" s="11" t="str">
        <f t="shared" si="27"/>
        <v/>
      </c>
      <c r="F232" s="12" t="str">
        <f t="shared" si="28"/>
        <v/>
      </c>
      <c r="G232" s="13" t="str">
        <f t="shared" si="29"/>
        <v/>
      </c>
      <c r="H232" s="13" t="str">
        <f t="shared" si="30"/>
        <v/>
      </c>
      <c r="I232" s="14" t="str">
        <f t="shared" si="31"/>
        <v/>
      </c>
      <c r="L232" t="str">
        <f>IFERROR(MATCH($C$5&amp;"|"&amp;RIGHT("000000"&amp;216,6),LdgRankKeyA,0),"")</f>
        <v/>
      </c>
      <c r="M232" t="str">
        <f>IFERROR(MATCH($C$5&amp;"|"&amp;RIGHT("000000"&amp;216,6),LdgRankKeyB,0),"")</f>
        <v/>
      </c>
    </row>
    <row r="233" spans="1:13" x14ac:dyDescent="0.2">
      <c r="A233" s="3">
        <v>217</v>
      </c>
      <c r="B233" s="4" t="str">
        <f t="shared" si="24"/>
        <v/>
      </c>
      <c r="C233" s="4" t="str">
        <f t="shared" si="25"/>
        <v/>
      </c>
      <c r="D233" s="4" t="str">
        <f t="shared" si="26"/>
        <v/>
      </c>
      <c r="E233" s="5" t="str">
        <f t="shared" si="27"/>
        <v/>
      </c>
      <c r="F233" s="6" t="str">
        <f t="shared" si="28"/>
        <v/>
      </c>
      <c r="G233" s="7" t="str">
        <f t="shared" si="29"/>
        <v/>
      </c>
      <c r="H233" s="7" t="str">
        <f t="shared" si="30"/>
        <v/>
      </c>
      <c r="I233" s="8" t="str">
        <f t="shared" si="31"/>
        <v/>
      </c>
      <c r="L233" t="str">
        <f>IFERROR(MATCH($C$5&amp;"|"&amp;RIGHT("000000"&amp;217,6),LdgRankKeyA,0),"")</f>
        <v/>
      </c>
      <c r="M233" t="str">
        <f>IFERROR(MATCH($C$5&amp;"|"&amp;RIGHT("000000"&amp;217,6),LdgRankKeyB,0),"")</f>
        <v/>
      </c>
    </row>
    <row r="234" spans="1:13" x14ac:dyDescent="0.2">
      <c r="A234" s="9">
        <v>218</v>
      </c>
      <c r="B234" s="10" t="str">
        <f t="shared" si="24"/>
        <v/>
      </c>
      <c r="C234" s="10" t="str">
        <f t="shared" si="25"/>
        <v/>
      </c>
      <c r="D234" s="10" t="str">
        <f t="shared" si="26"/>
        <v/>
      </c>
      <c r="E234" s="11" t="str">
        <f t="shared" si="27"/>
        <v/>
      </c>
      <c r="F234" s="12" t="str">
        <f t="shared" si="28"/>
        <v/>
      </c>
      <c r="G234" s="13" t="str">
        <f t="shared" si="29"/>
        <v/>
      </c>
      <c r="H234" s="13" t="str">
        <f t="shared" si="30"/>
        <v/>
      </c>
      <c r="I234" s="14" t="str">
        <f t="shared" si="31"/>
        <v/>
      </c>
      <c r="L234" t="str">
        <f>IFERROR(MATCH($C$5&amp;"|"&amp;RIGHT("000000"&amp;218,6),LdgRankKeyA,0),"")</f>
        <v/>
      </c>
      <c r="M234" t="str">
        <f>IFERROR(MATCH($C$5&amp;"|"&amp;RIGHT("000000"&amp;218,6),LdgRankKeyB,0),"")</f>
        <v/>
      </c>
    </row>
    <row r="235" spans="1:13" x14ac:dyDescent="0.2">
      <c r="A235" s="3">
        <v>219</v>
      </c>
      <c r="B235" s="4" t="str">
        <f t="shared" si="24"/>
        <v/>
      </c>
      <c r="C235" s="4" t="str">
        <f t="shared" si="25"/>
        <v/>
      </c>
      <c r="D235" s="4" t="str">
        <f t="shared" si="26"/>
        <v/>
      </c>
      <c r="E235" s="5" t="str">
        <f t="shared" si="27"/>
        <v/>
      </c>
      <c r="F235" s="6" t="str">
        <f t="shared" si="28"/>
        <v/>
      </c>
      <c r="G235" s="7" t="str">
        <f t="shared" si="29"/>
        <v/>
      </c>
      <c r="H235" s="7" t="str">
        <f t="shared" si="30"/>
        <v/>
      </c>
      <c r="I235" s="8" t="str">
        <f t="shared" si="31"/>
        <v/>
      </c>
      <c r="L235" t="str">
        <f>IFERROR(MATCH($C$5&amp;"|"&amp;RIGHT("000000"&amp;219,6),LdgRankKeyA,0),"")</f>
        <v/>
      </c>
      <c r="M235" t="str">
        <f>IFERROR(MATCH($C$5&amp;"|"&amp;RIGHT("000000"&amp;219,6),LdgRankKeyB,0),"")</f>
        <v/>
      </c>
    </row>
    <row r="236" spans="1:13" x14ac:dyDescent="0.2">
      <c r="A236" s="9">
        <v>220</v>
      </c>
      <c r="B236" s="10" t="str">
        <f t="shared" si="24"/>
        <v/>
      </c>
      <c r="C236" s="10" t="str">
        <f t="shared" si="25"/>
        <v/>
      </c>
      <c r="D236" s="10" t="str">
        <f t="shared" si="26"/>
        <v/>
      </c>
      <c r="E236" s="11" t="str">
        <f t="shared" si="27"/>
        <v/>
      </c>
      <c r="F236" s="12" t="str">
        <f t="shared" si="28"/>
        <v/>
      </c>
      <c r="G236" s="13" t="str">
        <f t="shared" si="29"/>
        <v/>
      </c>
      <c r="H236" s="13" t="str">
        <f t="shared" si="30"/>
        <v/>
      </c>
      <c r="I236" s="14" t="str">
        <f t="shared" si="31"/>
        <v/>
      </c>
      <c r="L236" t="str">
        <f>IFERROR(MATCH($C$5&amp;"|"&amp;RIGHT("000000"&amp;220,6),LdgRankKeyA,0),"")</f>
        <v/>
      </c>
      <c r="M236" t="str">
        <f>IFERROR(MATCH($C$5&amp;"|"&amp;RIGHT("000000"&amp;220,6),LdgRankKeyB,0),"")</f>
        <v/>
      </c>
    </row>
    <row r="237" spans="1:13" x14ac:dyDescent="0.2">
      <c r="A237" s="3">
        <v>221</v>
      </c>
      <c r="B237" s="4" t="str">
        <f t="shared" si="24"/>
        <v/>
      </c>
      <c r="C237" s="4" t="str">
        <f t="shared" si="25"/>
        <v/>
      </c>
      <c r="D237" s="4" t="str">
        <f t="shared" si="26"/>
        <v/>
      </c>
      <c r="E237" s="5" t="str">
        <f t="shared" si="27"/>
        <v/>
      </c>
      <c r="F237" s="6" t="str">
        <f t="shared" si="28"/>
        <v/>
      </c>
      <c r="G237" s="7" t="str">
        <f t="shared" si="29"/>
        <v/>
      </c>
      <c r="H237" s="7" t="str">
        <f t="shared" si="30"/>
        <v/>
      </c>
      <c r="I237" s="8" t="str">
        <f t="shared" si="31"/>
        <v/>
      </c>
      <c r="L237" t="str">
        <f>IFERROR(MATCH($C$5&amp;"|"&amp;RIGHT("000000"&amp;221,6),LdgRankKeyA,0),"")</f>
        <v/>
      </c>
      <c r="M237" t="str">
        <f>IFERROR(MATCH($C$5&amp;"|"&amp;RIGHT("000000"&amp;221,6),LdgRankKeyB,0),"")</f>
        <v/>
      </c>
    </row>
    <row r="238" spans="1:13" x14ac:dyDescent="0.2">
      <c r="A238" s="9">
        <v>222</v>
      </c>
      <c r="B238" s="10" t="str">
        <f t="shared" si="24"/>
        <v/>
      </c>
      <c r="C238" s="10" t="str">
        <f t="shared" si="25"/>
        <v/>
      </c>
      <c r="D238" s="10" t="str">
        <f t="shared" si="26"/>
        <v/>
      </c>
      <c r="E238" s="11" t="str">
        <f t="shared" si="27"/>
        <v/>
      </c>
      <c r="F238" s="12" t="str">
        <f t="shared" si="28"/>
        <v/>
      </c>
      <c r="G238" s="13" t="str">
        <f t="shared" si="29"/>
        <v/>
      </c>
      <c r="H238" s="13" t="str">
        <f t="shared" si="30"/>
        <v/>
      </c>
      <c r="I238" s="14" t="str">
        <f t="shared" si="31"/>
        <v/>
      </c>
      <c r="L238" t="str">
        <f>IFERROR(MATCH($C$5&amp;"|"&amp;RIGHT("000000"&amp;222,6),LdgRankKeyA,0),"")</f>
        <v/>
      </c>
      <c r="M238" t="str">
        <f>IFERROR(MATCH($C$5&amp;"|"&amp;RIGHT("000000"&amp;222,6),LdgRankKeyB,0),"")</f>
        <v/>
      </c>
    </row>
    <row r="239" spans="1:13" x14ac:dyDescent="0.2">
      <c r="A239" s="3">
        <v>223</v>
      </c>
      <c r="B239" s="4" t="str">
        <f t="shared" si="24"/>
        <v/>
      </c>
      <c r="C239" s="4" t="str">
        <f t="shared" si="25"/>
        <v/>
      </c>
      <c r="D239" s="4" t="str">
        <f t="shared" si="26"/>
        <v/>
      </c>
      <c r="E239" s="5" t="str">
        <f t="shared" si="27"/>
        <v/>
      </c>
      <c r="F239" s="6" t="str">
        <f t="shared" si="28"/>
        <v/>
      </c>
      <c r="G239" s="7" t="str">
        <f t="shared" si="29"/>
        <v/>
      </c>
      <c r="H239" s="7" t="str">
        <f t="shared" si="30"/>
        <v/>
      </c>
      <c r="I239" s="8" t="str">
        <f t="shared" si="31"/>
        <v/>
      </c>
      <c r="L239" t="str">
        <f>IFERROR(MATCH($C$5&amp;"|"&amp;RIGHT("000000"&amp;223,6),LdgRankKeyA,0),"")</f>
        <v/>
      </c>
      <c r="M239" t="str">
        <f>IFERROR(MATCH($C$5&amp;"|"&amp;RIGHT("000000"&amp;223,6),LdgRankKeyB,0),"")</f>
        <v/>
      </c>
    </row>
    <row r="240" spans="1:13" x14ac:dyDescent="0.2">
      <c r="A240" s="9">
        <v>224</v>
      </c>
      <c r="B240" s="10" t="str">
        <f t="shared" si="24"/>
        <v/>
      </c>
      <c r="C240" s="10" t="str">
        <f t="shared" si="25"/>
        <v/>
      </c>
      <c r="D240" s="10" t="str">
        <f t="shared" si="26"/>
        <v/>
      </c>
      <c r="E240" s="11" t="str">
        <f t="shared" si="27"/>
        <v/>
      </c>
      <c r="F240" s="12" t="str">
        <f t="shared" si="28"/>
        <v/>
      </c>
      <c r="G240" s="13" t="str">
        <f t="shared" si="29"/>
        <v/>
      </c>
      <c r="H240" s="13" t="str">
        <f t="shared" si="30"/>
        <v/>
      </c>
      <c r="I240" s="14" t="str">
        <f t="shared" si="31"/>
        <v/>
      </c>
      <c r="L240" t="str">
        <f>IFERROR(MATCH($C$5&amp;"|"&amp;RIGHT("000000"&amp;224,6),LdgRankKeyA,0),"")</f>
        <v/>
      </c>
      <c r="M240" t="str">
        <f>IFERROR(MATCH($C$5&amp;"|"&amp;RIGHT("000000"&amp;224,6),LdgRankKeyB,0),"")</f>
        <v/>
      </c>
    </row>
    <row r="241" spans="1:13" x14ac:dyDescent="0.2">
      <c r="A241" s="3">
        <v>225</v>
      </c>
      <c r="B241" s="4" t="str">
        <f t="shared" si="24"/>
        <v/>
      </c>
      <c r="C241" s="4" t="str">
        <f t="shared" si="25"/>
        <v/>
      </c>
      <c r="D241" s="4" t="str">
        <f t="shared" si="26"/>
        <v/>
      </c>
      <c r="E241" s="5" t="str">
        <f t="shared" si="27"/>
        <v/>
      </c>
      <c r="F241" s="6" t="str">
        <f t="shared" si="28"/>
        <v/>
      </c>
      <c r="G241" s="7" t="str">
        <f t="shared" si="29"/>
        <v/>
      </c>
      <c r="H241" s="7" t="str">
        <f t="shared" si="30"/>
        <v/>
      </c>
      <c r="I241" s="8" t="str">
        <f t="shared" si="31"/>
        <v/>
      </c>
      <c r="L241" t="str">
        <f>IFERROR(MATCH($C$5&amp;"|"&amp;RIGHT("000000"&amp;225,6),LdgRankKeyA,0),"")</f>
        <v/>
      </c>
      <c r="M241" t="str">
        <f>IFERROR(MATCH($C$5&amp;"|"&amp;RIGHT("000000"&amp;225,6),LdgRankKeyB,0),"")</f>
        <v/>
      </c>
    </row>
    <row r="242" spans="1:13" x14ac:dyDescent="0.2">
      <c r="A242" s="9">
        <v>226</v>
      </c>
      <c r="B242" s="10" t="str">
        <f t="shared" si="24"/>
        <v/>
      </c>
      <c r="C242" s="10" t="str">
        <f t="shared" si="25"/>
        <v/>
      </c>
      <c r="D242" s="10" t="str">
        <f t="shared" si="26"/>
        <v/>
      </c>
      <c r="E242" s="11" t="str">
        <f t="shared" si="27"/>
        <v/>
      </c>
      <c r="F242" s="12" t="str">
        <f t="shared" si="28"/>
        <v/>
      </c>
      <c r="G242" s="13" t="str">
        <f t="shared" si="29"/>
        <v/>
      </c>
      <c r="H242" s="13" t="str">
        <f t="shared" si="30"/>
        <v/>
      </c>
      <c r="I242" s="14" t="str">
        <f t="shared" si="31"/>
        <v/>
      </c>
      <c r="L242" t="str">
        <f>IFERROR(MATCH($C$5&amp;"|"&amp;RIGHT("000000"&amp;226,6),LdgRankKeyA,0),"")</f>
        <v/>
      </c>
      <c r="M242" t="str">
        <f>IFERROR(MATCH($C$5&amp;"|"&amp;RIGHT("000000"&amp;226,6),LdgRankKeyB,0),"")</f>
        <v/>
      </c>
    </row>
    <row r="243" spans="1:13" x14ac:dyDescent="0.2">
      <c r="A243" s="3">
        <v>227</v>
      </c>
      <c r="B243" s="4" t="str">
        <f t="shared" si="24"/>
        <v/>
      </c>
      <c r="C243" s="4" t="str">
        <f t="shared" si="25"/>
        <v/>
      </c>
      <c r="D243" s="4" t="str">
        <f t="shared" si="26"/>
        <v/>
      </c>
      <c r="E243" s="5" t="str">
        <f t="shared" si="27"/>
        <v/>
      </c>
      <c r="F243" s="6" t="str">
        <f t="shared" si="28"/>
        <v/>
      </c>
      <c r="G243" s="7" t="str">
        <f t="shared" si="29"/>
        <v/>
      </c>
      <c r="H243" s="7" t="str">
        <f t="shared" si="30"/>
        <v/>
      </c>
      <c r="I243" s="8" t="str">
        <f t="shared" si="31"/>
        <v/>
      </c>
      <c r="L243" t="str">
        <f>IFERROR(MATCH($C$5&amp;"|"&amp;RIGHT("000000"&amp;227,6),LdgRankKeyA,0),"")</f>
        <v/>
      </c>
      <c r="M243" t="str">
        <f>IFERROR(MATCH($C$5&amp;"|"&amp;RIGHT("000000"&amp;227,6),LdgRankKeyB,0),"")</f>
        <v/>
      </c>
    </row>
    <row r="244" spans="1:13" x14ac:dyDescent="0.2">
      <c r="A244" s="9">
        <v>228</v>
      </c>
      <c r="B244" s="10" t="str">
        <f t="shared" si="24"/>
        <v/>
      </c>
      <c r="C244" s="10" t="str">
        <f t="shared" si="25"/>
        <v/>
      </c>
      <c r="D244" s="10" t="str">
        <f t="shared" si="26"/>
        <v/>
      </c>
      <c r="E244" s="11" t="str">
        <f t="shared" si="27"/>
        <v/>
      </c>
      <c r="F244" s="12" t="str">
        <f t="shared" si="28"/>
        <v/>
      </c>
      <c r="G244" s="13" t="str">
        <f t="shared" si="29"/>
        <v/>
      </c>
      <c r="H244" s="13" t="str">
        <f t="shared" si="30"/>
        <v/>
      </c>
      <c r="I244" s="14" t="str">
        <f t="shared" si="31"/>
        <v/>
      </c>
      <c r="L244" t="str">
        <f>IFERROR(MATCH($C$5&amp;"|"&amp;RIGHT("000000"&amp;228,6),LdgRankKeyA,0),"")</f>
        <v/>
      </c>
      <c r="M244" t="str">
        <f>IFERROR(MATCH($C$5&amp;"|"&amp;RIGHT("000000"&amp;228,6),LdgRankKeyB,0),"")</f>
        <v/>
      </c>
    </row>
    <row r="245" spans="1:13" x14ac:dyDescent="0.2">
      <c r="A245" s="3">
        <v>229</v>
      </c>
      <c r="B245" s="4" t="str">
        <f t="shared" si="24"/>
        <v/>
      </c>
      <c r="C245" s="4" t="str">
        <f t="shared" si="25"/>
        <v/>
      </c>
      <c r="D245" s="4" t="str">
        <f t="shared" si="26"/>
        <v/>
      </c>
      <c r="E245" s="5" t="str">
        <f t="shared" si="27"/>
        <v/>
      </c>
      <c r="F245" s="6" t="str">
        <f t="shared" si="28"/>
        <v/>
      </c>
      <c r="G245" s="7" t="str">
        <f t="shared" si="29"/>
        <v/>
      </c>
      <c r="H245" s="7" t="str">
        <f t="shared" si="30"/>
        <v/>
      </c>
      <c r="I245" s="8" t="str">
        <f t="shared" si="31"/>
        <v/>
      </c>
      <c r="L245" t="str">
        <f>IFERROR(MATCH($C$5&amp;"|"&amp;RIGHT("000000"&amp;229,6),LdgRankKeyA,0),"")</f>
        <v/>
      </c>
      <c r="M245" t="str">
        <f>IFERROR(MATCH($C$5&amp;"|"&amp;RIGHT("000000"&amp;229,6),LdgRankKeyB,0),"")</f>
        <v/>
      </c>
    </row>
    <row r="246" spans="1:13" x14ac:dyDescent="0.2">
      <c r="A246" s="9">
        <v>230</v>
      </c>
      <c r="B246" s="10" t="str">
        <f t="shared" si="24"/>
        <v/>
      </c>
      <c r="C246" s="10" t="str">
        <f t="shared" si="25"/>
        <v/>
      </c>
      <c r="D246" s="10" t="str">
        <f t="shared" si="26"/>
        <v/>
      </c>
      <c r="E246" s="11" t="str">
        <f t="shared" si="27"/>
        <v/>
      </c>
      <c r="F246" s="12" t="str">
        <f t="shared" si="28"/>
        <v/>
      </c>
      <c r="G246" s="13" t="str">
        <f t="shared" si="29"/>
        <v/>
      </c>
      <c r="H246" s="13" t="str">
        <f t="shared" si="30"/>
        <v/>
      </c>
      <c r="I246" s="14" t="str">
        <f t="shared" si="31"/>
        <v/>
      </c>
      <c r="L246" t="str">
        <f>IFERROR(MATCH($C$5&amp;"|"&amp;RIGHT("000000"&amp;230,6),LdgRankKeyA,0),"")</f>
        <v/>
      </c>
      <c r="M246" t="str">
        <f>IFERROR(MATCH($C$5&amp;"|"&amp;RIGHT("000000"&amp;230,6),LdgRankKeyB,0),"")</f>
        <v/>
      </c>
    </row>
    <row r="247" spans="1:13" x14ac:dyDescent="0.2">
      <c r="A247" s="3">
        <v>231</v>
      </c>
      <c r="B247" s="4" t="str">
        <f t="shared" si="24"/>
        <v/>
      </c>
      <c r="C247" s="4" t="str">
        <f t="shared" si="25"/>
        <v/>
      </c>
      <c r="D247" s="4" t="str">
        <f t="shared" si="26"/>
        <v/>
      </c>
      <c r="E247" s="5" t="str">
        <f t="shared" si="27"/>
        <v/>
      </c>
      <c r="F247" s="6" t="str">
        <f t="shared" si="28"/>
        <v/>
      </c>
      <c r="G247" s="7" t="str">
        <f t="shared" si="29"/>
        <v/>
      </c>
      <c r="H247" s="7" t="str">
        <f t="shared" si="30"/>
        <v/>
      </c>
      <c r="I247" s="8" t="str">
        <f t="shared" si="31"/>
        <v/>
      </c>
      <c r="L247" t="str">
        <f>IFERROR(MATCH($C$5&amp;"|"&amp;RIGHT("000000"&amp;231,6),LdgRankKeyA,0),"")</f>
        <v/>
      </c>
      <c r="M247" t="str">
        <f>IFERROR(MATCH($C$5&amp;"|"&amp;RIGHT("000000"&amp;231,6),LdgRankKeyB,0),"")</f>
        <v/>
      </c>
    </row>
    <row r="248" spans="1:13" x14ac:dyDescent="0.2">
      <c r="A248" s="9">
        <v>232</v>
      </c>
      <c r="B248" s="10" t="str">
        <f t="shared" si="24"/>
        <v/>
      </c>
      <c r="C248" s="10" t="str">
        <f t="shared" si="25"/>
        <v/>
      </c>
      <c r="D248" s="10" t="str">
        <f t="shared" si="26"/>
        <v/>
      </c>
      <c r="E248" s="11" t="str">
        <f t="shared" si="27"/>
        <v/>
      </c>
      <c r="F248" s="12" t="str">
        <f t="shared" si="28"/>
        <v/>
      </c>
      <c r="G248" s="13" t="str">
        <f t="shared" si="29"/>
        <v/>
      </c>
      <c r="H248" s="13" t="str">
        <f t="shared" si="30"/>
        <v/>
      </c>
      <c r="I248" s="14" t="str">
        <f t="shared" si="31"/>
        <v/>
      </c>
      <c r="L248" t="str">
        <f>IFERROR(MATCH($C$5&amp;"|"&amp;RIGHT("000000"&amp;232,6),LdgRankKeyA,0),"")</f>
        <v/>
      </c>
      <c r="M248" t="str">
        <f>IFERROR(MATCH($C$5&amp;"|"&amp;RIGHT("000000"&amp;232,6),LdgRankKeyB,0),"")</f>
        <v/>
      </c>
    </row>
    <row r="249" spans="1:13" x14ac:dyDescent="0.2">
      <c r="A249" s="3">
        <v>233</v>
      </c>
      <c r="B249" s="4" t="str">
        <f t="shared" si="24"/>
        <v/>
      </c>
      <c r="C249" s="4" t="str">
        <f t="shared" si="25"/>
        <v/>
      </c>
      <c r="D249" s="4" t="str">
        <f t="shared" si="26"/>
        <v/>
      </c>
      <c r="E249" s="5" t="str">
        <f t="shared" si="27"/>
        <v/>
      </c>
      <c r="F249" s="6" t="str">
        <f t="shared" si="28"/>
        <v/>
      </c>
      <c r="G249" s="7" t="str">
        <f t="shared" si="29"/>
        <v/>
      </c>
      <c r="H249" s="7" t="str">
        <f t="shared" si="30"/>
        <v/>
      </c>
      <c r="I249" s="8" t="str">
        <f t="shared" si="31"/>
        <v/>
      </c>
      <c r="L249" t="str">
        <f>IFERROR(MATCH($C$5&amp;"|"&amp;RIGHT("000000"&amp;233,6),LdgRankKeyA,0),"")</f>
        <v/>
      </c>
      <c r="M249" t="str">
        <f>IFERROR(MATCH($C$5&amp;"|"&amp;RIGHT("000000"&amp;233,6),LdgRankKeyB,0),"")</f>
        <v/>
      </c>
    </row>
    <row r="250" spans="1:13" x14ac:dyDescent="0.2">
      <c r="A250" s="9">
        <v>234</v>
      </c>
      <c r="B250" s="10" t="str">
        <f t="shared" si="24"/>
        <v/>
      </c>
      <c r="C250" s="10" t="str">
        <f t="shared" si="25"/>
        <v/>
      </c>
      <c r="D250" s="10" t="str">
        <f t="shared" si="26"/>
        <v/>
      </c>
      <c r="E250" s="11" t="str">
        <f t="shared" si="27"/>
        <v/>
      </c>
      <c r="F250" s="12" t="str">
        <f t="shared" si="28"/>
        <v/>
      </c>
      <c r="G250" s="13" t="str">
        <f t="shared" si="29"/>
        <v/>
      </c>
      <c r="H250" s="13" t="str">
        <f t="shared" si="30"/>
        <v/>
      </c>
      <c r="I250" s="14" t="str">
        <f t="shared" si="31"/>
        <v/>
      </c>
      <c r="L250" t="str">
        <f>IFERROR(MATCH($C$5&amp;"|"&amp;RIGHT("000000"&amp;234,6),LdgRankKeyA,0),"")</f>
        <v/>
      </c>
      <c r="M250" t="str">
        <f>IFERROR(MATCH($C$5&amp;"|"&amp;RIGHT("000000"&amp;234,6),LdgRankKeyB,0),"")</f>
        <v/>
      </c>
    </row>
    <row r="251" spans="1:13" x14ac:dyDescent="0.2">
      <c r="A251" s="3">
        <v>235</v>
      </c>
      <c r="B251" s="4" t="str">
        <f t="shared" si="24"/>
        <v/>
      </c>
      <c r="C251" s="4" t="str">
        <f t="shared" si="25"/>
        <v/>
      </c>
      <c r="D251" s="4" t="str">
        <f t="shared" si="26"/>
        <v/>
      </c>
      <c r="E251" s="5" t="str">
        <f t="shared" si="27"/>
        <v/>
      </c>
      <c r="F251" s="6" t="str">
        <f t="shared" si="28"/>
        <v/>
      </c>
      <c r="G251" s="7" t="str">
        <f t="shared" si="29"/>
        <v/>
      </c>
      <c r="H251" s="7" t="str">
        <f t="shared" si="30"/>
        <v/>
      </c>
      <c r="I251" s="8" t="str">
        <f t="shared" si="31"/>
        <v/>
      </c>
      <c r="L251" t="str">
        <f>IFERROR(MATCH($C$5&amp;"|"&amp;RIGHT("000000"&amp;235,6),LdgRankKeyA,0),"")</f>
        <v/>
      </c>
      <c r="M251" t="str">
        <f>IFERROR(MATCH($C$5&amp;"|"&amp;RIGHT("000000"&amp;235,6),LdgRankKeyB,0),"")</f>
        <v/>
      </c>
    </row>
    <row r="252" spans="1:13" x14ac:dyDescent="0.2">
      <c r="A252" s="9">
        <v>236</v>
      </c>
      <c r="B252" s="10" t="str">
        <f t="shared" si="24"/>
        <v/>
      </c>
      <c r="C252" s="10" t="str">
        <f t="shared" si="25"/>
        <v/>
      </c>
      <c r="D252" s="10" t="str">
        <f t="shared" si="26"/>
        <v/>
      </c>
      <c r="E252" s="11" t="str">
        <f t="shared" si="27"/>
        <v/>
      </c>
      <c r="F252" s="12" t="str">
        <f t="shared" si="28"/>
        <v/>
      </c>
      <c r="G252" s="13" t="str">
        <f t="shared" si="29"/>
        <v/>
      </c>
      <c r="H252" s="13" t="str">
        <f t="shared" si="30"/>
        <v/>
      </c>
      <c r="I252" s="14" t="str">
        <f t="shared" si="31"/>
        <v/>
      </c>
      <c r="L252" t="str">
        <f>IFERROR(MATCH($C$5&amp;"|"&amp;RIGHT("000000"&amp;236,6),LdgRankKeyA,0),"")</f>
        <v/>
      </c>
      <c r="M252" t="str">
        <f>IFERROR(MATCH($C$5&amp;"|"&amp;RIGHT("000000"&amp;236,6),LdgRankKeyB,0),"")</f>
        <v/>
      </c>
    </row>
    <row r="253" spans="1:13" x14ac:dyDescent="0.2">
      <c r="A253" s="3">
        <v>237</v>
      </c>
      <c r="B253" s="4" t="str">
        <f t="shared" si="24"/>
        <v/>
      </c>
      <c r="C253" s="4" t="str">
        <f t="shared" si="25"/>
        <v/>
      </c>
      <c r="D253" s="4" t="str">
        <f t="shared" si="26"/>
        <v/>
      </c>
      <c r="E253" s="5" t="str">
        <f t="shared" si="27"/>
        <v/>
      </c>
      <c r="F253" s="6" t="str">
        <f t="shared" si="28"/>
        <v/>
      </c>
      <c r="G253" s="7" t="str">
        <f t="shared" si="29"/>
        <v/>
      </c>
      <c r="H253" s="7" t="str">
        <f t="shared" si="30"/>
        <v/>
      </c>
      <c r="I253" s="8" t="str">
        <f t="shared" si="31"/>
        <v/>
      </c>
      <c r="L253" t="str">
        <f>IFERROR(MATCH($C$5&amp;"|"&amp;RIGHT("000000"&amp;237,6),LdgRankKeyA,0),"")</f>
        <v/>
      </c>
      <c r="M253" t="str">
        <f>IFERROR(MATCH($C$5&amp;"|"&amp;RIGHT("000000"&amp;237,6),LdgRankKeyB,0),"")</f>
        <v/>
      </c>
    </row>
    <row r="254" spans="1:13" x14ac:dyDescent="0.2">
      <c r="A254" s="9">
        <v>238</v>
      </c>
      <c r="B254" s="10" t="str">
        <f t="shared" si="24"/>
        <v/>
      </c>
      <c r="C254" s="10" t="str">
        <f t="shared" si="25"/>
        <v/>
      </c>
      <c r="D254" s="10" t="str">
        <f t="shared" si="26"/>
        <v/>
      </c>
      <c r="E254" s="11" t="str">
        <f t="shared" si="27"/>
        <v/>
      </c>
      <c r="F254" s="12" t="str">
        <f t="shared" si="28"/>
        <v/>
      </c>
      <c r="G254" s="13" t="str">
        <f t="shared" si="29"/>
        <v/>
      </c>
      <c r="H254" s="13" t="str">
        <f t="shared" si="30"/>
        <v/>
      </c>
      <c r="I254" s="14" t="str">
        <f t="shared" si="31"/>
        <v/>
      </c>
      <c r="L254" t="str">
        <f>IFERROR(MATCH($C$5&amp;"|"&amp;RIGHT("000000"&amp;238,6),LdgRankKeyA,0),"")</f>
        <v/>
      </c>
      <c r="M254" t="str">
        <f>IFERROR(MATCH($C$5&amp;"|"&amp;RIGHT("000000"&amp;238,6),LdgRankKeyB,0),"")</f>
        <v/>
      </c>
    </row>
    <row r="255" spans="1:13" x14ac:dyDescent="0.2">
      <c r="A255" s="3">
        <v>239</v>
      </c>
      <c r="B255" s="4" t="str">
        <f t="shared" si="24"/>
        <v/>
      </c>
      <c r="C255" s="4" t="str">
        <f t="shared" si="25"/>
        <v/>
      </c>
      <c r="D255" s="4" t="str">
        <f t="shared" si="26"/>
        <v/>
      </c>
      <c r="E255" s="5" t="str">
        <f t="shared" si="27"/>
        <v/>
      </c>
      <c r="F255" s="6" t="str">
        <f t="shared" si="28"/>
        <v/>
      </c>
      <c r="G255" s="7" t="str">
        <f t="shared" si="29"/>
        <v/>
      </c>
      <c r="H255" s="7" t="str">
        <f t="shared" si="30"/>
        <v/>
      </c>
      <c r="I255" s="8" t="str">
        <f t="shared" si="31"/>
        <v/>
      </c>
      <c r="L255" t="str">
        <f>IFERROR(MATCH($C$5&amp;"|"&amp;RIGHT("000000"&amp;239,6),LdgRankKeyA,0),"")</f>
        <v/>
      </c>
      <c r="M255" t="str">
        <f>IFERROR(MATCH($C$5&amp;"|"&amp;RIGHT("000000"&amp;239,6),LdgRankKeyB,0),"")</f>
        <v/>
      </c>
    </row>
    <row r="256" spans="1:13" x14ac:dyDescent="0.2">
      <c r="A256" s="9">
        <v>240</v>
      </c>
      <c r="B256" s="10" t="str">
        <f t="shared" si="24"/>
        <v/>
      </c>
      <c r="C256" s="10" t="str">
        <f t="shared" si="25"/>
        <v/>
      </c>
      <c r="D256" s="10" t="str">
        <f t="shared" si="26"/>
        <v/>
      </c>
      <c r="E256" s="11" t="str">
        <f t="shared" si="27"/>
        <v/>
      </c>
      <c r="F256" s="12" t="str">
        <f t="shared" si="28"/>
        <v/>
      </c>
      <c r="G256" s="13" t="str">
        <f t="shared" si="29"/>
        <v/>
      </c>
      <c r="H256" s="13" t="str">
        <f t="shared" si="30"/>
        <v/>
      </c>
      <c r="I256" s="14" t="str">
        <f t="shared" si="31"/>
        <v/>
      </c>
      <c r="L256" t="str">
        <f>IFERROR(MATCH($C$5&amp;"|"&amp;RIGHT("000000"&amp;240,6),LdgRankKeyA,0),"")</f>
        <v/>
      </c>
      <c r="M256" t="str">
        <f>IFERROR(MATCH($C$5&amp;"|"&amp;RIGHT("000000"&amp;240,6),LdgRankKeyB,0),"")</f>
        <v/>
      </c>
    </row>
    <row r="257" spans="1:13" x14ac:dyDescent="0.2">
      <c r="A257" s="3">
        <v>241</v>
      </c>
      <c r="B257" s="4" t="str">
        <f t="shared" si="24"/>
        <v/>
      </c>
      <c r="C257" s="4" t="str">
        <f t="shared" si="25"/>
        <v/>
      </c>
      <c r="D257" s="4" t="str">
        <f t="shared" si="26"/>
        <v/>
      </c>
      <c r="E257" s="5" t="str">
        <f t="shared" si="27"/>
        <v/>
      </c>
      <c r="F257" s="6" t="str">
        <f t="shared" si="28"/>
        <v/>
      </c>
      <c r="G257" s="7" t="str">
        <f t="shared" si="29"/>
        <v/>
      </c>
      <c r="H257" s="7" t="str">
        <f t="shared" si="30"/>
        <v/>
      </c>
      <c r="I257" s="8" t="str">
        <f t="shared" si="31"/>
        <v/>
      </c>
      <c r="L257" t="str">
        <f>IFERROR(MATCH($C$5&amp;"|"&amp;RIGHT("000000"&amp;241,6),LdgRankKeyA,0),"")</f>
        <v/>
      </c>
      <c r="M257" t="str">
        <f>IFERROR(MATCH($C$5&amp;"|"&amp;RIGHT("000000"&amp;241,6),LdgRankKeyB,0),"")</f>
        <v/>
      </c>
    </row>
    <row r="258" spans="1:13" x14ac:dyDescent="0.2">
      <c r="A258" s="9">
        <v>242</v>
      </c>
      <c r="B258" s="10" t="str">
        <f t="shared" si="24"/>
        <v/>
      </c>
      <c r="C258" s="10" t="str">
        <f t="shared" si="25"/>
        <v/>
      </c>
      <c r="D258" s="10" t="str">
        <f t="shared" si="26"/>
        <v/>
      </c>
      <c r="E258" s="11" t="str">
        <f t="shared" si="27"/>
        <v/>
      </c>
      <c r="F258" s="12" t="str">
        <f t="shared" si="28"/>
        <v/>
      </c>
      <c r="G258" s="13" t="str">
        <f t="shared" si="29"/>
        <v/>
      </c>
      <c r="H258" s="13" t="str">
        <f t="shared" si="30"/>
        <v/>
      </c>
      <c r="I258" s="14" t="str">
        <f t="shared" si="31"/>
        <v/>
      </c>
      <c r="L258" t="str">
        <f>IFERROR(MATCH($C$5&amp;"|"&amp;RIGHT("000000"&amp;242,6),LdgRankKeyA,0),"")</f>
        <v/>
      </c>
      <c r="M258" t="str">
        <f>IFERROR(MATCH($C$5&amp;"|"&amp;RIGHT("000000"&amp;242,6),LdgRankKeyB,0),"")</f>
        <v/>
      </c>
    </row>
    <row r="259" spans="1:13" x14ac:dyDescent="0.2">
      <c r="A259" s="3">
        <v>243</v>
      </c>
      <c r="B259" s="4" t="str">
        <f t="shared" si="24"/>
        <v/>
      </c>
      <c r="C259" s="4" t="str">
        <f t="shared" si="25"/>
        <v/>
      </c>
      <c r="D259" s="4" t="str">
        <f t="shared" si="26"/>
        <v/>
      </c>
      <c r="E259" s="5" t="str">
        <f t="shared" si="27"/>
        <v/>
      </c>
      <c r="F259" s="6" t="str">
        <f t="shared" si="28"/>
        <v/>
      </c>
      <c r="G259" s="7" t="str">
        <f t="shared" si="29"/>
        <v/>
      </c>
      <c r="H259" s="7" t="str">
        <f t="shared" si="30"/>
        <v/>
      </c>
      <c r="I259" s="8" t="str">
        <f t="shared" si="31"/>
        <v/>
      </c>
      <c r="L259" t="str">
        <f>IFERROR(MATCH($C$5&amp;"|"&amp;RIGHT("000000"&amp;243,6),LdgRankKeyA,0),"")</f>
        <v/>
      </c>
      <c r="M259" t="str">
        <f>IFERROR(MATCH($C$5&amp;"|"&amp;RIGHT("000000"&amp;243,6),LdgRankKeyB,0),"")</f>
        <v/>
      </c>
    </row>
    <row r="260" spans="1:13" x14ac:dyDescent="0.2">
      <c r="A260" s="9">
        <v>244</v>
      </c>
      <c r="B260" s="10" t="str">
        <f t="shared" si="24"/>
        <v/>
      </c>
      <c r="C260" s="10" t="str">
        <f t="shared" si="25"/>
        <v/>
      </c>
      <c r="D260" s="10" t="str">
        <f t="shared" si="26"/>
        <v/>
      </c>
      <c r="E260" s="11" t="str">
        <f t="shared" si="27"/>
        <v/>
      </c>
      <c r="F260" s="12" t="str">
        <f t="shared" si="28"/>
        <v/>
      </c>
      <c r="G260" s="13" t="str">
        <f t="shared" si="29"/>
        <v/>
      </c>
      <c r="H260" s="13" t="str">
        <f t="shared" si="30"/>
        <v/>
      </c>
      <c r="I260" s="14" t="str">
        <f t="shared" si="31"/>
        <v/>
      </c>
      <c r="L260" t="str">
        <f>IFERROR(MATCH($C$5&amp;"|"&amp;RIGHT("000000"&amp;244,6),LdgRankKeyA,0),"")</f>
        <v/>
      </c>
      <c r="M260" t="str">
        <f>IFERROR(MATCH($C$5&amp;"|"&amp;RIGHT("000000"&amp;244,6),LdgRankKeyB,0),"")</f>
        <v/>
      </c>
    </row>
    <row r="261" spans="1:13" x14ac:dyDescent="0.2">
      <c r="A261" s="3">
        <v>245</v>
      </c>
      <c r="B261" s="4" t="str">
        <f t="shared" si="24"/>
        <v/>
      </c>
      <c r="C261" s="4" t="str">
        <f t="shared" si="25"/>
        <v/>
      </c>
      <c r="D261" s="4" t="str">
        <f t="shared" si="26"/>
        <v/>
      </c>
      <c r="E261" s="5" t="str">
        <f t="shared" si="27"/>
        <v/>
      </c>
      <c r="F261" s="6" t="str">
        <f t="shared" si="28"/>
        <v/>
      </c>
      <c r="G261" s="7" t="str">
        <f t="shared" si="29"/>
        <v/>
      </c>
      <c r="H261" s="7" t="str">
        <f t="shared" si="30"/>
        <v/>
      </c>
      <c r="I261" s="8" t="str">
        <f t="shared" si="31"/>
        <v/>
      </c>
      <c r="L261" t="str">
        <f>IFERROR(MATCH($C$5&amp;"|"&amp;RIGHT("000000"&amp;245,6),LdgRankKeyA,0),"")</f>
        <v/>
      </c>
      <c r="M261" t="str">
        <f>IFERROR(MATCH($C$5&amp;"|"&amp;RIGHT("000000"&amp;245,6),LdgRankKeyB,0),"")</f>
        <v/>
      </c>
    </row>
    <row r="262" spans="1:13" x14ac:dyDescent="0.2">
      <c r="A262" s="9">
        <v>246</v>
      </c>
      <c r="B262" s="10" t="str">
        <f t="shared" si="24"/>
        <v/>
      </c>
      <c r="C262" s="10" t="str">
        <f t="shared" si="25"/>
        <v/>
      </c>
      <c r="D262" s="10" t="str">
        <f t="shared" si="26"/>
        <v/>
      </c>
      <c r="E262" s="11" t="str">
        <f t="shared" si="27"/>
        <v/>
      </c>
      <c r="F262" s="12" t="str">
        <f t="shared" si="28"/>
        <v/>
      </c>
      <c r="G262" s="13" t="str">
        <f t="shared" si="29"/>
        <v/>
      </c>
      <c r="H262" s="13" t="str">
        <f t="shared" si="30"/>
        <v/>
      </c>
      <c r="I262" s="14" t="str">
        <f t="shared" si="31"/>
        <v/>
      </c>
      <c r="L262" t="str">
        <f>IFERROR(MATCH($C$5&amp;"|"&amp;RIGHT("000000"&amp;246,6),LdgRankKeyA,0),"")</f>
        <v/>
      </c>
      <c r="M262" t="str">
        <f>IFERROR(MATCH($C$5&amp;"|"&amp;RIGHT("000000"&amp;246,6),LdgRankKeyB,0),"")</f>
        <v/>
      </c>
    </row>
    <row r="263" spans="1:13" x14ac:dyDescent="0.2">
      <c r="A263" s="3">
        <v>247</v>
      </c>
      <c r="B263" s="4" t="str">
        <f t="shared" si="24"/>
        <v/>
      </c>
      <c r="C263" s="4" t="str">
        <f t="shared" si="25"/>
        <v/>
      </c>
      <c r="D263" s="4" t="str">
        <f t="shared" si="26"/>
        <v/>
      </c>
      <c r="E263" s="5" t="str">
        <f t="shared" si="27"/>
        <v/>
      </c>
      <c r="F263" s="6" t="str">
        <f t="shared" si="28"/>
        <v/>
      </c>
      <c r="G263" s="7" t="str">
        <f t="shared" si="29"/>
        <v/>
      </c>
      <c r="H263" s="7" t="str">
        <f t="shared" si="30"/>
        <v/>
      </c>
      <c r="I263" s="8" t="str">
        <f t="shared" si="31"/>
        <v/>
      </c>
      <c r="L263" t="str">
        <f>IFERROR(MATCH($C$5&amp;"|"&amp;RIGHT("000000"&amp;247,6),LdgRankKeyA,0),"")</f>
        <v/>
      </c>
      <c r="M263" t="str">
        <f>IFERROR(MATCH($C$5&amp;"|"&amp;RIGHT("000000"&amp;247,6),LdgRankKeyB,0),"")</f>
        <v/>
      </c>
    </row>
    <row r="264" spans="1:13" x14ac:dyDescent="0.2">
      <c r="A264" s="9">
        <v>248</v>
      </c>
      <c r="B264" s="10" t="str">
        <f t="shared" si="24"/>
        <v/>
      </c>
      <c r="C264" s="10" t="str">
        <f t="shared" si="25"/>
        <v/>
      </c>
      <c r="D264" s="10" t="str">
        <f t="shared" si="26"/>
        <v/>
      </c>
      <c r="E264" s="11" t="str">
        <f t="shared" si="27"/>
        <v/>
      </c>
      <c r="F264" s="12" t="str">
        <f t="shared" si="28"/>
        <v/>
      </c>
      <c r="G264" s="13" t="str">
        <f t="shared" si="29"/>
        <v/>
      </c>
      <c r="H264" s="13" t="str">
        <f t="shared" si="30"/>
        <v/>
      </c>
      <c r="I264" s="14" t="str">
        <f t="shared" si="31"/>
        <v/>
      </c>
      <c r="L264" t="str">
        <f>IFERROR(MATCH($C$5&amp;"|"&amp;RIGHT("000000"&amp;248,6),LdgRankKeyA,0),"")</f>
        <v/>
      </c>
      <c r="M264" t="str">
        <f>IFERROR(MATCH($C$5&amp;"|"&amp;RIGHT("000000"&amp;248,6),LdgRankKeyB,0),"")</f>
        <v/>
      </c>
    </row>
    <row r="265" spans="1:13" x14ac:dyDescent="0.2">
      <c r="A265" s="3">
        <v>249</v>
      </c>
      <c r="B265" s="4" t="str">
        <f t="shared" si="24"/>
        <v/>
      </c>
      <c r="C265" s="4" t="str">
        <f t="shared" si="25"/>
        <v/>
      </c>
      <c r="D265" s="4" t="str">
        <f t="shared" si="26"/>
        <v/>
      </c>
      <c r="E265" s="5" t="str">
        <f t="shared" si="27"/>
        <v/>
      </c>
      <c r="F265" s="6" t="str">
        <f t="shared" si="28"/>
        <v/>
      </c>
      <c r="G265" s="7" t="str">
        <f t="shared" si="29"/>
        <v/>
      </c>
      <c r="H265" s="7" t="str">
        <f t="shared" si="30"/>
        <v/>
      </c>
      <c r="I265" s="8" t="str">
        <f t="shared" si="31"/>
        <v/>
      </c>
      <c r="L265" t="str">
        <f>IFERROR(MATCH($C$5&amp;"|"&amp;RIGHT("000000"&amp;249,6),LdgRankKeyA,0),"")</f>
        <v/>
      </c>
      <c r="M265" t="str">
        <f>IFERROR(MATCH($C$5&amp;"|"&amp;RIGHT("000000"&amp;249,6),LdgRankKeyB,0),"")</f>
        <v/>
      </c>
    </row>
    <row r="266" spans="1:13" x14ac:dyDescent="0.2">
      <c r="A266" s="9">
        <v>250</v>
      </c>
      <c r="B266" s="10" t="str">
        <f t="shared" si="24"/>
        <v/>
      </c>
      <c r="C266" s="10" t="str">
        <f t="shared" si="25"/>
        <v/>
      </c>
      <c r="D266" s="10" t="str">
        <f t="shared" si="26"/>
        <v/>
      </c>
      <c r="E266" s="11" t="str">
        <f t="shared" si="27"/>
        <v/>
      </c>
      <c r="F266" s="12" t="str">
        <f t="shared" si="28"/>
        <v/>
      </c>
      <c r="G266" s="13" t="str">
        <f t="shared" si="29"/>
        <v/>
      </c>
      <c r="H266" s="13" t="str">
        <f t="shared" si="30"/>
        <v/>
      </c>
      <c r="I266" s="14" t="str">
        <f t="shared" si="31"/>
        <v/>
      </c>
      <c r="L266" t="str">
        <f>IFERROR(MATCH($C$5&amp;"|"&amp;RIGHT("000000"&amp;250,6),LdgRankKeyA,0),"")</f>
        <v/>
      </c>
      <c r="M266" t="str">
        <f>IFERROR(MATCH($C$5&amp;"|"&amp;RIGHT("000000"&amp;250,6),LdgRankKeyB,0),"")</f>
        <v/>
      </c>
    </row>
    <row r="267" spans="1:13" x14ac:dyDescent="0.2">
      <c r="A267" s="3">
        <v>251</v>
      </c>
      <c r="B267" s="4" t="str">
        <f t="shared" si="24"/>
        <v/>
      </c>
      <c r="C267" s="4" t="str">
        <f t="shared" si="25"/>
        <v/>
      </c>
      <c r="D267" s="4" t="str">
        <f t="shared" si="26"/>
        <v/>
      </c>
      <c r="E267" s="5" t="str">
        <f t="shared" si="27"/>
        <v/>
      </c>
      <c r="F267" s="6" t="str">
        <f t="shared" si="28"/>
        <v/>
      </c>
      <c r="G267" s="7" t="str">
        <f t="shared" si="29"/>
        <v/>
      </c>
      <c r="H267" s="7" t="str">
        <f t="shared" si="30"/>
        <v/>
      </c>
      <c r="I267" s="8" t="str">
        <f t="shared" si="31"/>
        <v/>
      </c>
      <c r="L267" t="str">
        <f>IFERROR(MATCH($C$5&amp;"|"&amp;RIGHT("000000"&amp;251,6),LdgRankKeyA,0),"")</f>
        <v/>
      </c>
      <c r="M267" t="str">
        <f>IFERROR(MATCH($C$5&amp;"|"&amp;RIGHT("000000"&amp;251,6),LdgRankKeyB,0),"")</f>
        <v/>
      </c>
    </row>
    <row r="268" spans="1:13" x14ac:dyDescent="0.2">
      <c r="A268" s="9">
        <v>252</v>
      </c>
      <c r="B268" s="10" t="str">
        <f t="shared" si="24"/>
        <v/>
      </c>
      <c r="C268" s="10" t="str">
        <f t="shared" si="25"/>
        <v/>
      </c>
      <c r="D268" s="10" t="str">
        <f t="shared" si="26"/>
        <v/>
      </c>
      <c r="E268" s="11" t="str">
        <f t="shared" si="27"/>
        <v/>
      </c>
      <c r="F268" s="12" t="str">
        <f t="shared" si="28"/>
        <v/>
      </c>
      <c r="G268" s="13" t="str">
        <f t="shared" si="29"/>
        <v/>
      </c>
      <c r="H268" s="13" t="str">
        <f t="shared" si="30"/>
        <v/>
      </c>
      <c r="I268" s="14" t="str">
        <f t="shared" si="31"/>
        <v/>
      </c>
      <c r="L268" t="str">
        <f>IFERROR(MATCH($C$5&amp;"|"&amp;RIGHT("000000"&amp;252,6),LdgRankKeyA,0),"")</f>
        <v/>
      </c>
      <c r="M268" t="str">
        <f>IFERROR(MATCH($C$5&amp;"|"&amp;RIGHT("000000"&amp;252,6),LdgRankKeyB,0),"")</f>
        <v/>
      </c>
    </row>
    <row r="269" spans="1:13" x14ac:dyDescent="0.2">
      <c r="A269" s="3">
        <v>253</v>
      </c>
      <c r="B269" s="4" t="str">
        <f t="shared" si="24"/>
        <v/>
      </c>
      <c r="C269" s="4" t="str">
        <f t="shared" si="25"/>
        <v/>
      </c>
      <c r="D269" s="4" t="str">
        <f t="shared" si="26"/>
        <v/>
      </c>
      <c r="E269" s="5" t="str">
        <f t="shared" si="27"/>
        <v/>
      </c>
      <c r="F269" s="6" t="str">
        <f t="shared" si="28"/>
        <v/>
      </c>
      <c r="G269" s="7" t="str">
        <f t="shared" si="29"/>
        <v/>
      </c>
      <c r="H269" s="7" t="str">
        <f t="shared" si="30"/>
        <v/>
      </c>
      <c r="I269" s="8" t="str">
        <f t="shared" si="31"/>
        <v/>
      </c>
      <c r="L269" t="str">
        <f>IFERROR(MATCH($C$5&amp;"|"&amp;RIGHT("000000"&amp;253,6),LdgRankKeyA,0),"")</f>
        <v/>
      </c>
      <c r="M269" t="str">
        <f>IFERROR(MATCH($C$5&amp;"|"&amp;RIGHT("000000"&amp;253,6),LdgRankKeyB,0),"")</f>
        <v/>
      </c>
    </row>
    <row r="270" spans="1:13" x14ac:dyDescent="0.2">
      <c r="A270" s="9">
        <v>254</v>
      </c>
      <c r="B270" s="10" t="str">
        <f t="shared" si="24"/>
        <v/>
      </c>
      <c r="C270" s="10" t="str">
        <f t="shared" si="25"/>
        <v/>
      </c>
      <c r="D270" s="10" t="str">
        <f t="shared" si="26"/>
        <v/>
      </c>
      <c r="E270" s="11" t="str">
        <f t="shared" si="27"/>
        <v/>
      </c>
      <c r="F270" s="12" t="str">
        <f t="shared" si="28"/>
        <v/>
      </c>
      <c r="G270" s="13" t="str">
        <f t="shared" si="29"/>
        <v/>
      </c>
      <c r="H270" s="13" t="str">
        <f t="shared" si="30"/>
        <v/>
      </c>
      <c r="I270" s="14" t="str">
        <f t="shared" si="31"/>
        <v/>
      </c>
      <c r="L270" t="str">
        <f>IFERROR(MATCH($C$5&amp;"|"&amp;RIGHT("000000"&amp;254,6),LdgRankKeyA,0),"")</f>
        <v/>
      </c>
      <c r="M270" t="str">
        <f>IFERROR(MATCH($C$5&amp;"|"&amp;RIGHT("000000"&amp;254,6),LdgRankKeyB,0),"")</f>
        <v/>
      </c>
    </row>
    <row r="271" spans="1:13" x14ac:dyDescent="0.2">
      <c r="A271" s="3">
        <v>255</v>
      </c>
      <c r="B271" s="4" t="str">
        <f t="shared" si="24"/>
        <v/>
      </c>
      <c r="C271" s="4" t="str">
        <f t="shared" si="25"/>
        <v/>
      </c>
      <c r="D271" s="4" t="str">
        <f t="shared" si="26"/>
        <v/>
      </c>
      <c r="E271" s="5" t="str">
        <f t="shared" si="27"/>
        <v/>
      </c>
      <c r="F271" s="6" t="str">
        <f t="shared" si="28"/>
        <v/>
      </c>
      <c r="G271" s="7" t="str">
        <f t="shared" si="29"/>
        <v/>
      </c>
      <c r="H271" s="7" t="str">
        <f t="shared" si="30"/>
        <v/>
      </c>
      <c r="I271" s="8" t="str">
        <f t="shared" si="31"/>
        <v/>
      </c>
      <c r="L271" t="str">
        <f>IFERROR(MATCH($C$5&amp;"|"&amp;RIGHT("000000"&amp;255,6),LdgRankKeyA,0),"")</f>
        <v/>
      </c>
      <c r="M271" t="str">
        <f>IFERROR(MATCH($C$5&amp;"|"&amp;RIGHT("000000"&amp;255,6),LdgRankKeyB,0),"")</f>
        <v/>
      </c>
    </row>
    <row r="272" spans="1:13" x14ac:dyDescent="0.2">
      <c r="A272" s="9">
        <v>256</v>
      </c>
      <c r="B272" s="10" t="str">
        <f t="shared" si="24"/>
        <v/>
      </c>
      <c r="C272" s="10" t="str">
        <f t="shared" si="25"/>
        <v/>
      </c>
      <c r="D272" s="10" t="str">
        <f t="shared" si="26"/>
        <v/>
      </c>
      <c r="E272" s="11" t="str">
        <f t="shared" si="27"/>
        <v/>
      </c>
      <c r="F272" s="12" t="str">
        <f t="shared" si="28"/>
        <v/>
      </c>
      <c r="G272" s="13" t="str">
        <f t="shared" si="29"/>
        <v/>
      </c>
      <c r="H272" s="13" t="str">
        <f t="shared" si="30"/>
        <v/>
      </c>
      <c r="I272" s="14" t="str">
        <f t="shared" si="31"/>
        <v/>
      </c>
      <c r="L272" t="str">
        <f>IFERROR(MATCH($C$5&amp;"|"&amp;RIGHT("000000"&amp;256,6),LdgRankKeyA,0),"")</f>
        <v/>
      </c>
      <c r="M272" t="str">
        <f>IFERROR(MATCH($C$5&amp;"|"&amp;RIGHT("000000"&amp;256,6),LdgRankKeyB,0),"")</f>
        <v/>
      </c>
    </row>
    <row r="273" spans="1:13" x14ac:dyDescent="0.2">
      <c r="A273" s="3">
        <v>257</v>
      </c>
      <c r="B273" s="4" t="str">
        <f t="shared" ref="B273:B336" si="32">IF(AND($L273="",$M273=""),"",IF($L273&lt;&gt;"",INDEX(SCNormDate,$L273),INDEX(LdgDateB,$M273)))</f>
        <v/>
      </c>
      <c r="C273" s="4" t="str">
        <f t="shared" ref="C273:C336" si="33">IF($L273&lt;&gt;"",INDEX(SCOp,$L273),IF($M273&lt;&gt;"","پرداخت بانکی",""))</f>
        <v/>
      </c>
      <c r="D273" s="4" t="str">
        <f t="shared" ref="D273:D336" si="34">IF($L273&lt;&gt;"",IF(INDEX(SCDoc,$L273)="","—",INDEX(SCDoc,$L273)),IF($M273&lt;&gt;"",INDEX(LdgBankB,$M273),""))</f>
        <v/>
      </c>
      <c r="E273" s="5" t="str">
        <f t="shared" ref="E273:E336" si="35">IF($L273&lt;&gt;"",IF(INDEX(SCCitrus,$L273)&amp;INDEX(SCNotes,$L273)="","",IF(INDEX(SCCitrus,$L273)="","",INDEX(SCCitrus,$L273))&amp;IF(INDEX(SCNotes,$L273)="",""," — "&amp;INDEX(SCNotes,$L273))),IF($M273&lt;&gt;"",IF(INDEX(LdgNoteB,$M273)="","—",INDEX(LdgNoteB,$M273)),""))</f>
        <v/>
      </c>
      <c r="F273" s="6" t="str">
        <f t="shared" ref="F273:F336" si="36">IF($L273&lt;&gt;"",IF(INDEX(SCNet,$L273)=0,"",INDEX(SCNet,$L273)),"")</f>
        <v/>
      </c>
      <c r="G273" s="7" t="str">
        <f t="shared" ref="G273:G336" si="37">IF($L273&lt;&gt;"",IF(INDEX(SCOp,$L273)="مرجوعی فروش","",IF(INDEX(SCAmount,$L273)&lt;=0,"",INDEX(SCAmount,$L273))),IF($M273&lt;&gt;"",IF(INDEX(LdgWitB,$M273)=0,"",INDEX(LdgWitB,$M273)),""))</f>
        <v/>
      </c>
      <c r="H273" s="7" t="str">
        <f t="shared" ref="H273:H336" si="38">IF($L273&lt;&gt;"",IF(INDEX(SCOp,$L273)="مرجوعی فروش",IF(INDEX(SCAmount,$L273)=0,"",-INDEX(SCAmount,$L273)),""),IF($M273&lt;&gt;"",IF(INDEX(LdgDepB,$M273)=0,"",INDEX(LdgDepB,$M273)),""))</f>
        <v/>
      </c>
      <c r="I273" s="8" t="str">
        <f t="shared" si="31"/>
        <v/>
      </c>
      <c r="L273" t="str">
        <f>IFERROR(MATCH($C$5&amp;"|"&amp;RIGHT("000000"&amp;257,6),LdgRankKeyA,0),"")</f>
        <v/>
      </c>
      <c r="M273" t="str">
        <f>IFERROR(MATCH($C$5&amp;"|"&amp;RIGHT("000000"&amp;257,6),LdgRankKeyB,0),"")</f>
        <v/>
      </c>
    </row>
    <row r="274" spans="1:13" x14ac:dyDescent="0.2">
      <c r="A274" s="9">
        <v>258</v>
      </c>
      <c r="B274" s="10" t="str">
        <f t="shared" si="32"/>
        <v/>
      </c>
      <c r="C274" s="10" t="str">
        <f t="shared" si="33"/>
        <v/>
      </c>
      <c r="D274" s="10" t="str">
        <f t="shared" si="34"/>
        <v/>
      </c>
      <c r="E274" s="11" t="str">
        <f t="shared" si="35"/>
        <v/>
      </c>
      <c r="F274" s="12" t="str">
        <f t="shared" si="36"/>
        <v/>
      </c>
      <c r="G274" s="13" t="str">
        <f t="shared" si="37"/>
        <v/>
      </c>
      <c r="H274" s="13" t="str">
        <f t="shared" si="38"/>
        <v/>
      </c>
      <c r="I274" s="14" t="str">
        <f t="shared" ref="I274:I337" si="39">IF($B274="","",IF($I273="",$C$10,$I273)+IF($G274="",0,$G274)-IF($H274="",0,$H274))</f>
        <v/>
      </c>
      <c r="L274" t="str">
        <f>IFERROR(MATCH($C$5&amp;"|"&amp;RIGHT("000000"&amp;258,6),LdgRankKeyA,0),"")</f>
        <v/>
      </c>
      <c r="M274" t="str">
        <f>IFERROR(MATCH($C$5&amp;"|"&amp;RIGHT("000000"&amp;258,6),LdgRankKeyB,0),"")</f>
        <v/>
      </c>
    </row>
    <row r="275" spans="1:13" x14ac:dyDescent="0.2">
      <c r="A275" s="3">
        <v>259</v>
      </c>
      <c r="B275" s="4" t="str">
        <f t="shared" si="32"/>
        <v/>
      </c>
      <c r="C275" s="4" t="str">
        <f t="shared" si="33"/>
        <v/>
      </c>
      <c r="D275" s="4" t="str">
        <f t="shared" si="34"/>
        <v/>
      </c>
      <c r="E275" s="5" t="str">
        <f t="shared" si="35"/>
        <v/>
      </c>
      <c r="F275" s="6" t="str">
        <f t="shared" si="36"/>
        <v/>
      </c>
      <c r="G275" s="7" t="str">
        <f t="shared" si="37"/>
        <v/>
      </c>
      <c r="H275" s="7" t="str">
        <f t="shared" si="38"/>
        <v/>
      </c>
      <c r="I275" s="8" t="str">
        <f t="shared" si="39"/>
        <v/>
      </c>
      <c r="L275" t="str">
        <f>IFERROR(MATCH($C$5&amp;"|"&amp;RIGHT("000000"&amp;259,6),LdgRankKeyA,0),"")</f>
        <v/>
      </c>
      <c r="M275" t="str">
        <f>IFERROR(MATCH($C$5&amp;"|"&amp;RIGHT("000000"&amp;259,6),LdgRankKeyB,0),"")</f>
        <v/>
      </c>
    </row>
    <row r="276" spans="1:13" x14ac:dyDescent="0.2">
      <c r="A276" s="9">
        <v>260</v>
      </c>
      <c r="B276" s="10" t="str">
        <f t="shared" si="32"/>
        <v/>
      </c>
      <c r="C276" s="10" t="str">
        <f t="shared" si="33"/>
        <v/>
      </c>
      <c r="D276" s="10" t="str">
        <f t="shared" si="34"/>
        <v/>
      </c>
      <c r="E276" s="11" t="str">
        <f t="shared" si="35"/>
        <v/>
      </c>
      <c r="F276" s="12" t="str">
        <f t="shared" si="36"/>
        <v/>
      </c>
      <c r="G276" s="13" t="str">
        <f t="shared" si="37"/>
        <v/>
      </c>
      <c r="H276" s="13" t="str">
        <f t="shared" si="38"/>
        <v/>
      </c>
      <c r="I276" s="14" t="str">
        <f t="shared" si="39"/>
        <v/>
      </c>
      <c r="L276" t="str">
        <f>IFERROR(MATCH($C$5&amp;"|"&amp;RIGHT("000000"&amp;260,6),LdgRankKeyA,0),"")</f>
        <v/>
      </c>
      <c r="M276" t="str">
        <f>IFERROR(MATCH($C$5&amp;"|"&amp;RIGHT("000000"&amp;260,6),LdgRankKeyB,0),"")</f>
        <v/>
      </c>
    </row>
    <row r="277" spans="1:13" x14ac:dyDescent="0.2">
      <c r="A277" s="3">
        <v>261</v>
      </c>
      <c r="B277" s="4" t="str">
        <f t="shared" si="32"/>
        <v/>
      </c>
      <c r="C277" s="4" t="str">
        <f t="shared" si="33"/>
        <v/>
      </c>
      <c r="D277" s="4" t="str">
        <f t="shared" si="34"/>
        <v/>
      </c>
      <c r="E277" s="5" t="str">
        <f t="shared" si="35"/>
        <v/>
      </c>
      <c r="F277" s="6" t="str">
        <f t="shared" si="36"/>
        <v/>
      </c>
      <c r="G277" s="7" t="str">
        <f t="shared" si="37"/>
        <v/>
      </c>
      <c r="H277" s="7" t="str">
        <f t="shared" si="38"/>
        <v/>
      </c>
      <c r="I277" s="8" t="str">
        <f t="shared" si="39"/>
        <v/>
      </c>
      <c r="L277" t="str">
        <f>IFERROR(MATCH($C$5&amp;"|"&amp;RIGHT("000000"&amp;261,6),LdgRankKeyA,0),"")</f>
        <v/>
      </c>
      <c r="M277" t="str">
        <f>IFERROR(MATCH($C$5&amp;"|"&amp;RIGHT("000000"&amp;261,6),LdgRankKeyB,0),"")</f>
        <v/>
      </c>
    </row>
    <row r="278" spans="1:13" x14ac:dyDescent="0.2">
      <c r="A278" s="9">
        <v>262</v>
      </c>
      <c r="B278" s="10" t="str">
        <f t="shared" si="32"/>
        <v/>
      </c>
      <c r="C278" s="10" t="str">
        <f t="shared" si="33"/>
        <v/>
      </c>
      <c r="D278" s="10" t="str">
        <f t="shared" si="34"/>
        <v/>
      </c>
      <c r="E278" s="11" t="str">
        <f t="shared" si="35"/>
        <v/>
      </c>
      <c r="F278" s="12" t="str">
        <f t="shared" si="36"/>
        <v/>
      </c>
      <c r="G278" s="13" t="str">
        <f t="shared" si="37"/>
        <v/>
      </c>
      <c r="H278" s="13" t="str">
        <f t="shared" si="38"/>
        <v/>
      </c>
      <c r="I278" s="14" t="str">
        <f t="shared" si="39"/>
        <v/>
      </c>
      <c r="L278" t="str">
        <f>IFERROR(MATCH($C$5&amp;"|"&amp;RIGHT("000000"&amp;262,6),LdgRankKeyA,0),"")</f>
        <v/>
      </c>
      <c r="M278" t="str">
        <f>IFERROR(MATCH($C$5&amp;"|"&amp;RIGHT("000000"&amp;262,6),LdgRankKeyB,0),"")</f>
        <v/>
      </c>
    </row>
    <row r="279" spans="1:13" x14ac:dyDescent="0.2">
      <c r="A279" s="3">
        <v>263</v>
      </c>
      <c r="B279" s="4" t="str">
        <f t="shared" si="32"/>
        <v/>
      </c>
      <c r="C279" s="4" t="str">
        <f t="shared" si="33"/>
        <v/>
      </c>
      <c r="D279" s="4" t="str">
        <f t="shared" si="34"/>
        <v/>
      </c>
      <c r="E279" s="5" t="str">
        <f t="shared" si="35"/>
        <v/>
      </c>
      <c r="F279" s="6" t="str">
        <f t="shared" si="36"/>
        <v/>
      </c>
      <c r="G279" s="7" t="str">
        <f t="shared" si="37"/>
        <v/>
      </c>
      <c r="H279" s="7" t="str">
        <f t="shared" si="38"/>
        <v/>
      </c>
      <c r="I279" s="8" t="str">
        <f t="shared" si="39"/>
        <v/>
      </c>
      <c r="L279" t="str">
        <f>IFERROR(MATCH($C$5&amp;"|"&amp;RIGHT("000000"&amp;263,6),LdgRankKeyA,0),"")</f>
        <v/>
      </c>
      <c r="M279" t="str">
        <f>IFERROR(MATCH($C$5&amp;"|"&amp;RIGHT("000000"&amp;263,6),LdgRankKeyB,0),"")</f>
        <v/>
      </c>
    </row>
    <row r="280" spans="1:13" x14ac:dyDescent="0.2">
      <c r="A280" s="9">
        <v>264</v>
      </c>
      <c r="B280" s="10" t="str">
        <f t="shared" si="32"/>
        <v/>
      </c>
      <c r="C280" s="10" t="str">
        <f t="shared" si="33"/>
        <v/>
      </c>
      <c r="D280" s="10" t="str">
        <f t="shared" si="34"/>
        <v/>
      </c>
      <c r="E280" s="11" t="str">
        <f t="shared" si="35"/>
        <v/>
      </c>
      <c r="F280" s="12" t="str">
        <f t="shared" si="36"/>
        <v/>
      </c>
      <c r="G280" s="13" t="str">
        <f t="shared" si="37"/>
        <v/>
      </c>
      <c r="H280" s="13" t="str">
        <f t="shared" si="38"/>
        <v/>
      </c>
      <c r="I280" s="14" t="str">
        <f t="shared" si="39"/>
        <v/>
      </c>
      <c r="L280" t="str">
        <f>IFERROR(MATCH($C$5&amp;"|"&amp;RIGHT("000000"&amp;264,6),LdgRankKeyA,0),"")</f>
        <v/>
      </c>
      <c r="M280" t="str">
        <f>IFERROR(MATCH($C$5&amp;"|"&amp;RIGHT("000000"&amp;264,6),LdgRankKeyB,0),"")</f>
        <v/>
      </c>
    </row>
    <row r="281" spans="1:13" x14ac:dyDescent="0.2">
      <c r="A281" s="3">
        <v>265</v>
      </c>
      <c r="B281" s="4" t="str">
        <f t="shared" si="32"/>
        <v/>
      </c>
      <c r="C281" s="4" t="str">
        <f t="shared" si="33"/>
        <v/>
      </c>
      <c r="D281" s="4" t="str">
        <f t="shared" si="34"/>
        <v/>
      </c>
      <c r="E281" s="5" t="str">
        <f t="shared" si="35"/>
        <v/>
      </c>
      <c r="F281" s="6" t="str">
        <f t="shared" si="36"/>
        <v/>
      </c>
      <c r="G281" s="7" t="str">
        <f t="shared" si="37"/>
        <v/>
      </c>
      <c r="H281" s="7" t="str">
        <f t="shared" si="38"/>
        <v/>
      </c>
      <c r="I281" s="8" t="str">
        <f t="shared" si="39"/>
        <v/>
      </c>
      <c r="L281" t="str">
        <f>IFERROR(MATCH($C$5&amp;"|"&amp;RIGHT("000000"&amp;265,6),LdgRankKeyA,0),"")</f>
        <v/>
      </c>
      <c r="M281" t="str">
        <f>IFERROR(MATCH($C$5&amp;"|"&amp;RIGHT("000000"&amp;265,6),LdgRankKeyB,0),"")</f>
        <v/>
      </c>
    </row>
    <row r="282" spans="1:13" x14ac:dyDescent="0.2">
      <c r="A282" s="9">
        <v>266</v>
      </c>
      <c r="B282" s="10" t="str">
        <f t="shared" si="32"/>
        <v/>
      </c>
      <c r="C282" s="10" t="str">
        <f t="shared" si="33"/>
        <v/>
      </c>
      <c r="D282" s="10" t="str">
        <f t="shared" si="34"/>
        <v/>
      </c>
      <c r="E282" s="11" t="str">
        <f t="shared" si="35"/>
        <v/>
      </c>
      <c r="F282" s="12" t="str">
        <f t="shared" si="36"/>
        <v/>
      </c>
      <c r="G282" s="13" t="str">
        <f t="shared" si="37"/>
        <v/>
      </c>
      <c r="H282" s="13" t="str">
        <f t="shared" si="38"/>
        <v/>
      </c>
      <c r="I282" s="14" t="str">
        <f t="shared" si="39"/>
        <v/>
      </c>
      <c r="L282" t="str">
        <f>IFERROR(MATCH($C$5&amp;"|"&amp;RIGHT("000000"&amp;266,6),LdgRankKeyA,0),"")</f>
        <v/>
      </c>
      <c r="M282" t="str">
        <f>IFERROR(MATCH($C$5&amp;"|"&amp;RIGHT("000000"&amp;266,6),LdgRankKeyB,0),"")</f>
        <v/>
      </c>
    </row>
    <row r="283" spans="1:13" x14ac:dyDescent="0.2">
      <c r="A283" s="3">
        <v>267</v>
      </c>
      <c r="B283" s="4" t="str">
        <f t="shared" si="32"/>
        <v/>
      </c>
      <c r="C283" s="4" t="str">
        <f t="shared" si="33"/>
        <v/>
      </c>
      <c r="D283" s="4" t="str">
        <f t="shared" si="34"/>
        <v/>
      </c>
      <c r="E283" s="5" t="str">
        <f t="shared" si="35"/>
        <v/>
      </c>
      <c r="F283" s="6" t="str">
        <f t="shared" si="36"/>
        <v/>
      </c>
      <c r="G283" s="7" t="str">
        <f t="shared" si="37"/>
        <v/>
      </c>
      <c r="H283" s="7" t="str">
        <f t="shared" si="38"/>
        <v/>
      </c>
      <c r="I283" s="8" t="str">
        <f t="shared" si="39"/>
        <v/>
      </c>
      <c r="L283" t="str">
        <f>IFERROR(MATCH($C$5&amp;"|"&amp;RIGHT("000000"&amp;267,6),LdgRankKeyA,0),"")</f>
        <v/>
      </c>
      <c r="M283" t="str">
        <f>IFERROR(MATCH($C$5&amp;"|"&amp;RIGHT("000000"&amp;267,6),LdgRankKeyB,0),"")</f>
        <v/>
      </c>
    </row>
    <row r="284" spans="1:13" x14ac:dyDescent="0.2">
      <c r="A284" s="9">
        <v>268</v>
      </c>
      <c r="B284" s="10" t="str">
        <f t="shared" si="32"/>
        <v/>
      </c>
      <c r="C284" s="10" t="str">
        <f t="shared" si="33"/>
        <v/>
      </c>
      <c r="D284" s="10" t="str">
        <f t="shared" si="34"/>
        <v/>
      </c>
      <c r="E284" s="11" t="str">
        <f t="shared" si="35"/>
        <v/>
      </c>
      <c r="F284" s="12" t="str">
        <f t="shared" si="36"/>
        <v/>
      </c>
      <c r="G284" s="13" t="str">
        <f t="shared" si="37"/>
        <v/>
      </c>
      <c r="H284" s="13" t="str">
        <f t="shared" si="38"/>
        <v/>
      </c>
      <c r="I284" s="14" t="str">
        <f t="shared" si="39"/>
        <v/>
      </c>
      <c r="L284" t="str">
        <f>IFERROR(MATCH($C$5&amp;"|"&amp;RIGHT("000000"&amp;268,6),LdgRankKeyA,0),"")</f>
        <v/>
      </c>
      <c r="M284" t="str">
        <f>IFERROR(MATCH($C$5&amp;"|"&amp;RIGHT("000000"&amp;268,6),LdgRankKeyB,0),"")</f>
        <v/>
      </c>
    </row>
    <row r="285" spans="1:13" x14ac:dyDescent="0.2">
      <c r="A285" s="3">
        <v>269</v>
      </c>
      <c r="B285" s="4" t="str">
        <f t="shared" si="32"/>
        <v/>
      </c>
      <c r="C285" s="4" t="str">
        <f t="shared" si="33"/>
        <v/>
      </c>
      <c r="D285" s="4" t="str">
        <f t="shared" si="34"/>
        <v/>
      </c>
      <c r="E285" s="5" t="str">
        <f t="shared" si="35"/>
        <v/>
      </c>
      <c r="F285" s="6" t="str">
        <f t="shared" si="36"/>
        <v/>
      </c>
      <c r="G285" s="7" t="str">
        <f t="shared" si="37"/>
        <v/>
      </c>
      <c r="H285" s="7" t="str">
        <f t="shared" si="38"/>
        <v/>
      </c>
      <c r="I285" s="8" t="str">
        <f t="shared" si="39"/>
        <v/>
      </c>
      <c r="L285" t="str">
        <f>IFERROR(MATCH($C$5&amp;"|"&amp;RIGHT("000000"&amp;269,6),LdgRankKeyA,0),"")</f>
        <v/>
      </c>
      <c r="M285" t="str">
        <f>IFERROR(MATCH($C$5&amp;"|"&amp;RIGHT("000000"&amp;269,6),LdgRankKeyB,0),"")</f>
        <v/>
      </c>
    </row>
    <row r="286" spans="1:13" x14ac:dyDescent="0.2">
      <c r="A286" s="9">
        <v>270</v>
      </c>
      <c r="B286" s="10" t="str">
        <f t="shared" si="32"/>
        <v/>
      </c>
      <c r="C286" s="10" t="str">
        <f t="shared" si="33"/>
        <v/>
      </c>
      <c r="D286" s="10" t="str">
        <f t="shared" si="34"/>
        <v/>
      </c>
      <c r="E286" s="11" t="str">
        <f t="shared" si="35"/>
        <v/>
      </c>
      <c r="F286" s="12" t="str">
        <f t="shared" si="36"/>
        <v/>
      </c>
      <c r="G286" s="13" t="str">
        <f t="shared" si="37"/>
        <v/>
      </c>
      <c r="H286" s="13" t="str">
        <f t="shared" si="38"/>
        <v/>
      </c>
      <c r="I286" s="14" t="str">
        <f t="shared" si="39"/>
        <v/>
      </c>
      <c r="L286" t="str">
        <f>IFERROR(MATCH($C$5&amp;"|"&amp;RIGHT("000000"&amp;270,6),LdgRankKeyA,0),"")</f>
        <v/>
      </c>
      <c r="M286" t="str">
        <f>IFERROR(MATCH($C$5&amp;"|"&amp;RIGHT("000000"&amp;270,6),LdgRankKeyB,0),"")</f>
        <v/>
      </c>
    </row>
    <row r="287" spans="1:13" x14ac:dyDescent="0.2">
      <c r="A287" s="3">
        <v>271</v>
      </c>
      <c r="B287" s="4" t="str">
        <f t="shared" si="32"/>
        <v/>
      </c>
      <c r="C287" s="4" t="str">
        <f t="shared" si="33"/>
        <v/>
      </c>
      <c r="D287" s="4" t="str">
        <f t="shared" si="34"/>
        <v/>
      </c>
      <c r="E287" s="5" t="str">
        <f t="shared" si="35"/>
        <v/>
      </c>
      <c r="F287" s="6" t="str">
        <f t="shared" si="36"/>
        <v/>
      </c>
      <c r="G287" s="7" t="str">
        <f t="shared" si="37"/>
        <v/>
      </c>
      <c r="H287" s="7" t="str">
        <f t="shared" si="38"/>
        <v/>
      </c>
      <c r="I287" s="8" t="str">
        <f t="shared" si="39"/>
        <v/>
      </c>
      <c r="L287" t="str">
        <f>IFERROR(MATCH($C$5&amp;"|"&amp;RIGHT("000000"&amp;271,6),LdgRankKeyA,0),"")</f>
        <v/>
      </c>
      <c r="M287" t="str">
        <f>IFERROR(MATCH($C$5&amp;"|"&amp;RIGHT("000000"&amp;271,6),LdgRankKeyB,0),"")</f>
        <v/>
      </c>
    </row>
    <row r="288" spans="1:13" x14ac:dyDescent="0.2">
      <c r="A288" s="9">
        <v>272</v>
      </c>
      <c r="B288" s="10" t="str">
        <f t="shared" si="32"/>
        <v/>
      </c>
      <c r="C288" s="10" t="str">
        <f t="shared" si="33"/>
        <v/>
      </c>
      <c r="D288" s="10" t="str">
        <f t="shared" si="34"/>
        <v/>
      </c>
      <c r="E288" s="11" t="str">
        <f t="shared" si="35"/>
        <v/>
      </c>
      <c r="F288" s="12" t="str">
        <f t="shared" si="36"/>
        <v/>
      </c>
      <c r="G288" s="13" t="str">
        <f t="shared" si="37"/>
        <v/>
      </c>
      <c r="H288" s="13" t="str">
        <f t="shared" si="38"/>
        <v/>
      </c>
      <c r="I288" s="14" t="str">
        <f t="shared" si="39"/>
        <v/>
      </c>
      <c r="L288" t="str">
        <f>IFERROR(MATCH($C$5&amp;"|"&amp;RIGHT("000000"&amp;272,6),LdgRankKeyA,0),"")</f>
        <v/>
      </c>
      <c r="M288" t="str">
        <f>IFERROR(MATCH($C$5&amp;"|"&amp;RIGHT("000000"&amp;272,6),LdgRankKeyB,0),"")</f>
        <v/>
      </c>
    </row>
    <row r="289" spans="1:13" x14ac:dyDescent="0.2">
      <c r="A289" s="3">
        <v>273</v>
      </c>
      <c r="B289" s="4" t="str">
        <f t="shared" si="32"/>
        <v/>
      </c>
      <c r="C289" s="4" t="str">
        <f t="shared" si="33"/>
        <v/>
      </c>
      <c r="D289" s="4" t="str">
        <f t="shared" si="34"/>
        <v/>
      </c>
      <c r="E289" s="5" t="str">
        <f t="shared" si="35"/>
        <v/>
      </c>
      <c r="F289" s="6" t="str">
        <f t="shared" si="36"/>
        <v/>
      </c>
      <c r="G289" s="7" t="str">
        <f t="shared" si="37"/>
        <v/>
      </c>
      <c r="H289" s="7" t="str">
        <f t="shared" si="38"/>
        <v/>
      </c>
      <c r="I289" s="8" t="str">
        <f t="shared" si="39"/>
        <v/>
      </c>
      <c r="L289" t="str">
        <f>IFERROR(MATCH($C$5&amp;"|"&amp;RIGHT("000000"&amp;273,6),LdgRankKeyA,0),"")</f>
        <v/>
      </c>
      <c r="M289" t="str">
        <f>IFERROR(MATCH($C$5&amp;"|"&amp;RIGHT("000000"&amp;273,6),LdgRankKeyB,0),"")</f>
        <v/>
      </c>
    </row>
    <row r="290" spans="1:13" x14ac:dyDescent="0.2">
      <c r="A290" s="9">
        <v>274</v>
      </c>
      <c r="B290" s="10" t="str">
        <f t="shared" si="32"/>
        <v/>
      </c>
      <c r="C290" s="10" t="str">
        <f t="shared" si="33"/>
        <v/>
      </c>
      <c r="D290" s="10" t="str">
        <f t="shared" si="34"/>
        <v/>
      </c>
      <c r="E290" s="11" t="str">
        <f t="shared" si="35"/>
        <v/>
      </c>
      <c r="F290" s="12" t="str">
        <f t="shared" si="36"/>
        <v/>
      </c>
      <c r="G290" s="13" t="str">
        <f t="shared" si="37"/>
        <v/>
      </c>
      <c r="H290" s="13" t="str">
        <f t="shared" si="38"/>
        <v/>
      </c>
      <c r="I290" s="14" t="str">
        <f t="shared" si="39"/>
        <v/>
      </c>
      <c r="L290" t="str">
        <f>IFERROR(MATCH($C$5&amp;"|"&amp;RIGHT("000000"&amp;274,6),LdgRankKeyA,0),"")</f>
        <v/>
      </c>
      <c r="M290" t="str">
        <f>IFERROR(MATCH($C$5&amp;"|"&amp;RIGHT("000000"&amp;274,6),LdgRankKeyB,0),"")</f>
        <v/>
      </c>
    </row>
    <row r="291" spans="1:13" x14ac:dyDescent="0.2">
      <c r="A291" s="3">
        <v>275</v>
      </c>
      <c r="B291" s="4" t="str">
        <f t="shared" si="32"/>
        <v/>
      </c>
      <c r="C291" s="4" t="str">
        <f t="shared" si="33"/>
        <v/>
      </c>
      <c r="D291" s="4" t="str">
        <f t="shared" si="34"/>
        <v/>
      </c>
      <c r="E291" s="5" t="str">
        <f t="shared" si="35"/>
        <v/>
      </c>
      <c r="F291" s="6" t="str">
        <f t="shared" si="36"/>
        <v/>
      </c>
      <c r="G291" s="7" t="str">
        <f t="shared" si="37"/>
        <v/>
      </c>
      <c r="H291" s="7" t="str">
        <f t="shared" si="38"/>
        <v/>
      </c>
      <c r="I291" s="8" t="str">
        <f t="shared" si="39"/>
        <v/>
      </c>
      <c r="L291" t="str">
        <f>IFERROR(MATCH($C$5&amp;"|"&amp;RIGHT("000000"&amp;275,6),LdgRankKeyA,0),"")</f>
        <v/>
      </c>
      <c r="M291" t="str">
        <f>IFERROR(MATCH($C$5&amp;"|"&amp;RIGHT("000000"&amp;275,6),LdgRankKeyB,0),"")</f>
        <v/>
      </c>
    </row>
    <row r="292" spans="1:13" x14ac:dyDescent="0.2">
      <c r="A292" s="9">
        <v>276</v>
      </c>
      <c r="B292" s="10" t="str">
        <f t="shared" si="32"/>
        <v/>
      </c>
      <c r="C292" s="10" t="str">
        <f t="shared" si="33"/>
        <v/>
      </c>
      <c r="D292" s="10" t="str">
        <f t="shared" si="34"/>
        <v/>
      </c>
      <c r="E292" s="11" t="str">
        <f t="shared" si="35"/>
        <v/>
      </c>
      <c r="F292" s="12" t="str">
        <f t="shared" si="36"/>
        <v/>
      </c>
      <c r="G292" s="13" t="str">
        <f t="shared" si="37"/>
        <v/>
      </c>
      <c r="H292" s="13" t="str">
        <f t="shared" si="38"/>
        <v/>
      </c>
      <c r="I292" s="14" t="str">
        <f t="shared" si="39"/>
        <v/>
      </c>
      <c r="L292" t="str">
        <f>IFERROR(MATCH($C$5&amp;"|"&amp;RIGHT("000000"&amp;276,6),LdgRankKeyA,0),"")</f>
        <v/>
      </c>
      <c r="M292" t="str">
        <f>IFERROR(MATCH($C$5&amp;"|"&amp;RIGHT("000000"&amp;276,6),LdgRankKeyB,0),"")</f>
        <v/>
      </c>
    </row>
    <row r="293" spans="1:13" x14ac:dyDescent="0.2">
      <c r="A293" s="3">
        <v>277</v>
      </c>
      <c r="B293" s="4" t="str">
        <f t="shared" si="32"/>
        <v/>
      </c>
      <c r="C293" s="4" t="str">
        <f t="shared" si="33"/>
        <v/>
      </c>
      <c r="D293" s="4" t="str">
        <f t="shared" si="34"/>
        <v/>
      </c>
      <c r="E293" s="5" t="str">
        <f t="shared" si="35"/>
        <v/>
      </c>
      <c r="F293" s="6" t="str">
        <f t="shared" si="36"/>
        <v/>
      </c>
      <c r="G293" s="7" t="str">
        <f t="shared" si="37"/>
        <v/>
      </c>
      <c r="H293" s="7" t="str">
        <f t="shared" si="38"/>
        <v/>
      </c>
      <c r="I293" s="8" t="str">
        <f t="shared" si="39"/>
        <v/>
      </c>
      <c r="L293" t="str">
        <f>IFERROR(MATCH($C$5&amp;"|"&amp;RIGHT("000000"&amp;277,6),LdgRankKeyA,0),"")</f>
        <v/>
      </c>
      <c r="M293" t="str">
        <f>IFERROR(MATCH($C$5&amp;"|"&amp;RIGHT("000000"&amp;277,6),LdgRankKeyB,0),"")</f>
        <v/>
      </c>
    </row>
    <row r="294" spans="1:13" x14ac:dyDescent="0.2">
      <c r="A294" s="9">
        <v>278</v>
      </c>
      <c r="B294" s="10" t="str">
        <f t="shared" si="32"/>
        <v/>
      </c>
      <c r="C294" s="10" t="str">
        <f t="shared" si="33"/>
        <v/>
      </c>
      <c r="D294" s="10" t="str">
        <f t="shared" si="34"/>
        <v/>
      </c>
      <c r="E294" s="11" t="str">
        <f t="shared" si="35"/>
        <v/>
      </c>
      <c r="F294" s="12" t="str">
        <f t="shared" si="36"/>
        <v/>
      </c>
      <c r="G294" s="13" t="str">
        <f t="shared" si="37"/>
        <v/>
      </c>
      <c r="H294" s="13" t="str">
        <f t="shared" si="38"/>
        <v/>
      </c>
      <c r="I294" s="14" t="str">
        <f t="shared" si="39"/>
        <v/>
      </c>
      <c r="L294" t="str">
        <f>IFERROR(MATCH($C$5&amp;"|"&amp;RIGHT("000000"&amp;278,6),LdgRankKeyA,0),"")</f>
        <v/>
      </c>
      <c r="M294" t="str">
        <f>IFERROR(MATCH($C$5&amp;"|"&amp;RIGHT("000000"&amp;278,6),LdgRankKeyB,0),"")</f>
        <v/>
      </c>
    </row>
    <row r="295" spans="1:13" x14ac:dyDescent="0.2">
      <c r="A295" s="3">
        <v>279</v>
      </c>
      <c r="B295" s="4" t="str">
        <f t="shared" si="32"/>
        <v/>
      </c>
      <c r="C295" s="4" t="str">
        <f t="shared" si="33"/>
        <v/>
      </c>
      <c r="D295" s="4" t="str">
        <f t="shared" si="34"/>
        <v/>
      </c>
      <c r="E295" s="5" t="str">
        <f t="shared" si="35"/>
        <v/>
      </c>
      <c r="F295" s="6" t="str">
        <f t="shared" si="36"/>
        <v/>
      </c>
      <c r="G295" s="7" t="str">
        <f t="shared" si="37"/>
        <v/>
      </c>
      <c r="H295" s="7" t="str">
        <f t="shared" si="38"/>
        <v/>
      </c>
      <c r="I295" s="8" t="str">
        <f t="shared" si="39"/>
        <v/>
      </c>
      <c r="L295" t="str">
        <f>IFERROR(MATCH($C$5&amp;"|"&amp;RIGHT("000000"&amp;279,6),LdgRankKeyA,0),"")</f>
        <v/>
      </c>
      <c r="M295" t="str">
        <f>IFERROR(MATCH($C$5&amp;"|"&amp;RIGHT("000000"&amp;279,6),LdgRankKeyB,0),"")</f>
        <v/>
      </c>
    </row>
    <row r="296" spans="1:13" x14ac:dyDescent="0.2">
      <c r="A296" s="9">
        <v>280</v>
      </c>
      <c r="B296" s="10" t="str">
        <f t="shared" si="32"/>
        <v/>
      </c>
      <c r="C296" s="10" t="str">
        <f t="shared" si="33"/>
        <v/>
      </c>
      <c r="D296" s="10" t="str">
        <f t="shared" si="34"/>
        <v/>
      </c>
      <c r="E296" s="11" t="str">
        <f t="shared" si="35"/>
        <v/>
      </c>
      <c r="F296" s="12" t="str">
        <f t="shared" si="36"/>
        <v/>
      </c>
      <c r="G296" s="13" t="str">
        <f t="shared" si="37"/>
        <v/>
      </c>
      <c r="H296" s="13" t="str">
        <f t="shared" si="38"/>
        <v/>
      </c>
      <c r="I296" s="14" t="str">
        <f t="shared" si="39"/>
        <v/>
      </c>
      <c r="L296" t="str">
        <f>IFERROR(MATCH($C$5&amp;"|"&amp;RIGHT("000000"&amp;280,6),LdgRankKeyA,0),"")</f>
        <v/>
      </c>
      <c r="M296" t="str">
        <f>IFERROR(MATCH($C$5&amp;"|"&amp;RIGHT("000000"&amp;280,6),LdgRankKeyB,0),"")</f>
        <v/>
      </c>
    </row>
    <row r="297" spans="1:13" x14ac:dyDescent="0.2">
      <c r="A297" s="3">
        <v>281</v>
      </c>
      <c r="B297" s="4" t="str">
        <f t="shared" si="32"/>
        <v/>
      </c>
      <c r="C297" s="4" t="str">
        <f t="shared" si="33"/>
        <v/>
      </c>
      <c r="D297" s="4" t="str">
        <f t="shared" si="34"/>
        <v/>
      </c>
      <c r="E297" s="5" t="str">
        <f t="shared" si="35"/>
        <v/>
      </c>
      <c r="F297" s="6" t="str">
        <f t="shared" si="36"/>
        <v/>
      </c>
      <c r="G297" s="7" t="str">
        <f t="shared" si="37"/>
        <v/>
      </c>
      <c r="H297" s="7" t="str">
        <f t="shared" si="38"/>
        <v/>
      </c>
      <c r="I297" s="8" t="str">
        <f t="shared" si="39"/>
        <v/>
      </c>
      <c r="L297" t="str">
        <f>IFERROR(MATCH($C$5&amp;"|"&amp;RIGHT("000000"&amp;281,6),LdgRankKeyA,0),"")</f>
        <v/>
      </c>
      <c r="M297" t="str">
        <f>IFERROR(MATCH($C$5&amp;"|"&amp;RIGHT("000000"&amp;281,6),LdgRankKeyB,0),"")</f>
        <v/>
      </c>
    </row>
    <row r="298" spans="1:13" x14ac:dyDescent="0.2">
      <c r="A298" s="9">
        <v>282</v>
      </c>
      <c r="B298" s="10" t="str">
        <f t="shared" si="32"/>
        <v/>
      </c>
      <c r="C298" s="10" t="str">
        <f t="shared" si="33"/>
        <v/>
      </c>
      <c r="D298" s="10" t="str">
        <f t="shared" si="34"/>
        <v/>
      </c>
      <c r="E298" s="11" t="str">
        <f t="shared" si="35"/>
        <v/>
      </c>
      <c r="F298" s="12" t="str">
        <f t="shared" si="36"/>
        <v/>
      </c>
      <c r="G298" s="13" t="str">
        <f t="shared" si="37"/>
        <v/>
      </c>
      <c r="H298" s="13" t="str">
        <f t="shared" si="38"/>
        <v/>
      </c>
      <c r="I298" s="14" t="str">
        <f t="shared" si="39"/>
        <v/>
      </c>
      <c r="L298" t="str">
        <f>IFERROR(MATCH($C$5&amp;"|"&amp;RIGHT("000000"&amp;282,6),LdgRankKeyA,0),"")</f>
        <v/>
      </c>
      <c r="M298" t="str">
        <f>IFERROR(MATCH($C$5&amp;"|"&amp;RIGHT("000000"&amp;282,6),LdgRankKeyB,0),"")</f>
        <v/>
      </c>
    </row>
    <row r="299" spans="1:13" x14ac:dyDescent="0.2">
      <c r="A299" s="3">
        <v>283</v>
      </c>
      <c r="B299" s="4" t="str">
        <f t="shared" si="32"/>
        <v/>
      </c>
      <c r="C299" s="4" t="str">
        <f t="shared" si="33"/>
        <v/>
      </c>
      <c r="D299" s="4" t="str">
        <f t="shared" si="34"/>
        <v/>
      </c>
      <c r="E299" s="5" t="str">
        <f t="shared" si="35"/>
        <v/>
      </c>
      <c r="F299" s="6" t="str">
        <f t="shared" si="36"/>
        <v/>
      </c>
      <c r="G299" s="7" t="str">
        <f t="shared" si="37"/>
        <v/>
      </c>
      <c r="H299" s="7" t="str">
        <f t="shared" si="38"/>
        <v/>
      </c>
      <c r="I299" s="8" t="str">
        <f t="shared" si="39"/>
        <v/>
      </c>
      <c r="L299" t="str">
        <f>IFERROR(MATCH($C$5&amp;"|"&amp;RIGHT("000000"&amp;283,6),LdgRankKeyA,0),"")</f>
        <v/>
      </c>
      <c r="M299" t="str">
        <f>IFERROR(MATCH($C$5&amp;"|"&amp;RIGHT("000000"&amp;283,6),LdgRankKeyB,0),"")</f>
        <v/>
      </c>
    </row>
    <row r="300" spans="1:13" x14ac:dyDescent="0.2">
      <c r="A300" s="9">
        <v>284</v>
      </c>
      <c r="B300" s="10" t="str">
        <f t="shared" si="32"/>
        <v/>
      </c>
      <c r="C300" s="10" t="str">
        <f t="shared" si="33"/>
        <v/>
      </c>
      <c r="D300" s="10" t="str">
        <f t="shared" si="34"/>
        <v/>
      </c>
      <c r="E300" s="11" t="str">
        <f t="shared" si="35"/>
        <v/>
      </c>
      <c r="F300" s="12" t="str">
        <f t="shared" si="36"/>
        <v/>
      </c>
      <c r="G300" s="13" t="str">
        <f t="shared" si="37"/>
        <v/>
      </c>
      <c r="H300" s="13" t="str">
        <f t="shared" si="38"/>
        <v/>
      </c>
      <c r="I300" s="14" t="str">
        <f t="shared" si="39"/>
        <v/>
      </c>
      <c r="L300" t="str">
        <f>IFERROR(MATCH($C$5&amp;"|"&amp;RIGHT("000000"&amp;284,6),LdgRankKeyA,0),"")</f>
        <v/>
      </c>
      <c r="M300" t="str">
        <f>IFERROR(MATCH($C$5&amp;"|"&amp;RIGHT("000000"&amp;284,6),LdgRankKeyB,0),"")</f>
        <v/>
      </c>
    </row>
    <row r="301" spans="1:13" x14ac:dyDescent="0.2">
      <c r="A301" s="3">
        <v>285</v>
      </c>
      <c r="B301" s="4" t="str">
        <f t="shared" si="32"/>
        <v/>
      </c>
      <c r="C301" s="4" t="str">
        <f t="shared" si="33"/>
        <v/>
      </c>
      <c r="D301" s="4" t="str">
        <f t="shared" si="34"/>
        <v/>
      </c>
      <c r="E301" s="5" t="str">
        <f t="shared" si="35"/>
        <v/>
      </c>
      <c r="F301" s="6" t="str">
        <f t="shared" si="36"/>
        <v/>
      </c>
      <c r="G301" s="7" t="str">
        <f t="shared" si="37"/>
        <v/>
      </c>
      <c r="H301" s="7" t="str">
        <f t="shared" si="38"/>
        <v/>
      </c>
      <c r="I301" s="8" t="str">
        <f t="shared" si="39"/>
        <v/>
      </c>
      <c r="L301" t="str">
        <f>IFERROR(MATCH($C$5&amp;"|"&amp;RIGHT("000000"&amp;285,6),LdgRankKeyA,0),"")</f>
        <v/>
      </c>
      <c r="M301" t="str">
        <f>IFERROR(MATCH($C$5&amp;"|"&amp;RIGHT("000000"&amp;285,6),LdgRankKeyB,0),"")</f>
        <v/>
      </c>
    </row>
    <row r="302" spans="1:13" x14ac:dyDescent="0.2">
      <c r="A302" s="9">
        <v>286</v>
      </c>
      <c r="B302" s="10" t="str">
        <f t="shared" si="32"/>
        <v/>
      </c>
      <c r="C302" s="10" t="str">
        <f t="shared" si="33"/>
        <v/>
      </c>
      <c r="D302" s="10" t="str">
        <f t="shared" si="34"/>
        <v/>
      </c>
      <c r="E302" s="11" t="str">
        <f t="shared" si="35"/>
        <v/>
      </c>
      <c r="F302" s="12" t="str">
        <f t="shared" si="36"/>
        <v/>
      </c>
      <c r="G302" s="13" t="str">
        <f t="shared" si="37"/>
        <v/>
      </c>
      <c r="H302" s="13" t="str">
        <f t="shared" si="38"/>
        <v/>
      </c>
      <c r="I302" s="14" t="str">
        <f t="shared" si="39"/>
        <v/>
      </c>
      <c r="L302" t="str">
        <f>IFERROR(MATCH($C$5&amp;"|"&amp;RIGHT("000000"&amp;286,6),LdgRankKeyA,0),"")</f>
        <v/>
      </c>
      <c r="M302" t="str">
        <f>IFERROR(MATCH($C$5&amp;"|"&amp;RIGHT("000000"&amp;286,6),LdgRankKeyB,0),"")</f>
        <v/>
      </c>
    </row>
    <row r="303" spans="1:13" x14ac:dyDescent="0.2">
      <c r="A303" s="3">
        <v>287</v>
      </c>
      <c r="B303" s="4" t="str">
        <f t="shared" si="32"/>
        <v/>
      </c>
      <c r="C303" s="4" t="str">
        <f t="shared" si="33"/>
        <v/>
      </c>
      <c r="D303" s="4" t="str">
        <f t="shared" si="34"/>
        <v/>
      </c>
      <c r="E303" s="5" t="str">
        <f t="shared" si="35"/>
        <v/>
      </c>
      <c r="F303" s="6" t="str">
        <f t="shared" si="36"/>
        <v/>
      </c>
      <c r="G303" s="7" t="str">
        <f t="shared" si="37"/>
        <v/>
      </c>
      <c r="H303" s="7" t="str">
        <f t="shared" si="38"/>
        <v/>
      </c>
      <c r="I303" s="8" t="str">
        <f t="shared" si="39"/>
        <v/>
      </c>
      <c r="L303" t="str">
        <f>IFERROR(MATCH($C$5&amp;"|"&amp;RIGHT("000000"&amp;287,6),LdgRankKeyA,0),"")</f>
        <v/>
      </c>
      <c r="M303" t="str">
        <f>IFERROR(MATCH($C$5&amp;"|"&amp;RIGHT("000000"&amp;287,6),LdgRankKeyB,0),"")</f>
        <v/>
      </c>
    </row>
    <row r="304" spans="1:13" x14ac:dyDescent="0.2">
      <c r="A304" s="9">
        <v>288</v>
      </c>
      <c r="B304" s="10" t="str">
        <f t="shared" si="32"/>
        <v/>
      </c>
      <c r="C304" s="10" t="str">
        <f t="shared" si="33"/>
        <v/>
      </c>
      <c r="D304" s="10" t="str">
        <f t="shared" si="34"/>
        <v/>
      </c>
      <c r="E304" s="11" t="str">
        <f t="shared" si="35"/>
        <v/>
      </c>
      <c r="F304" s="12" t="str">
        <f t="shared" si="36"/>
        <v/>
      </c>
      <c r="G304" s="13" t="str">
        <f t="shared" si="37"/>
        <v/>
      </c>
      <c r="H304" s="13" t="str">
        <f t="shared" si="38"/>
        <v/>
      </c>
      <c r="I304" s="14" t="str">
        <f t="shared" si="39"/>
        <v/>
      </c>
      <c r="L304" t="str">
        <f>IFERROR(MATCH($C$5&amp;"|"&amp;RIGHT("000000"&amp;288,6),LdgRankKeyA,0),"")</f>
        <v/>
      </c>
      <c r="M304" t="str">
        <f>IFERROR(MATCH($C$5&amp;"|"&amp;RIGHT("000000"&amp;288,6),LdgRankKeyB,0),"")</f>
        <v/>
      </c>
    </row>
    <row r="305" spans="1:13" x14ac:dyDescent="0.2">
      <c r="A305" s="3">
        <v>289</v>
      </c>
      <c r="B305" s="4" t="str">
        <f t="shared" si="32"/>
        <v/>
      </c>
      <c r="C305" s="4" t="str">
        <f t="shared" si="33"/>
        <v/>
      </c>
      <c r="D305" s="4" t="str">
        <f t="shared" si="34"/>
        <v/>
      </c>
      <c r="E305" s="5" t="str">
        <f t="shared" si="35"/>
        <v/>
      </c>
      <c r="F305" s="6" t="str">
        <f t="shared" si="36"/>
        <v/>
      </c>
      <c r="G305" s="7" t="str">
        <f t="shared" si="37"/>
        <v/>
      </c>
      <c r="H305" s="7" t="str">
        <f t="shared" si="38"/>
        <v/>
      </c>
      <c r="I305" s="8" t="str">
        <f t="shared" si="39"/>
        <v/>
      </c>
      <c r="L305" t="str">
        <f>IFERROR(MATCH($C$5&amp;"|"&amp;RIGHT("000000"&amp;289,6),LdgRankKeyA,0),"")</f>
        <v/>
      </c>
      <c r="M305" t="str">
        <f>IFERROR(MATCH($C$5&amp;"|"&amp;RIGHT("000000"&amp;289,6),LdgRankKeyB,0),"")</f>
        <v/>
      </c>
    </row>
    <row r="306" spans="1:13" x14ac:dyDescent="0.2">
      <c r="A306" s="9">
        <v>290</v>
      </c>
      <c r="B306" s="10" t="str">
        <f t="shared" si="32"/>
        <v/>
      </c>
      <c r="C306" s="10" t="str">
        <f t="shared" si="33"/>
        <v/>
      </c>
      <c r="D306" s="10" t="str">
        <f t="shared" si="34"/>
        <v/>
      </c>
      <c r="E306" s="11" t="str">
        <f t="shared" si="35"/>
        <v/>
      </c>
      <c r="F306" s="12" t="str">
        <f t="shared" si="36"/>
        <v/>
      </c>
      <c r="G306" s="13" t="str">
        <f t="shared" si="37"/>
        <v/>
      </c>
      <c r="H306" s="13" t="str">
        <f t="shared" si="38"/>
        <v/>
      </c>
      <c r="I306" s="14" t="str">
        <f t="shared" si="39"/>
        <v/>
      </c>
      <c r="L306" t="str">
        <f>IFERROR(MATCH($C$5&amp;"|"&amp;RIGHT("000000"&amp;290,6),LdgRankKeyA,0),"")</f>
        <v/>
      </c>
      <c r="M306" t="str">
        <f>IFERROR(MATCH($C$5&amp;"|"&amp;RIGHT("000000"&amp;290,6),LdgRankKeyB,0),"")</f>
        <v/>
      </c>
    </row>
    <row r="307" spans="1:13" x14ac:dyDescent="0.2">
      <c r="A307" s="3">
        <v>291</v>
      </c>
      <c r="B307" s="4" t="str">
        <f t="shared" si="32"/>
        <v/>
      </c>
      <c r="C307" s="4" t="str">
        <f t="shared" si="33"/>
        <v/>
      </c>
      <c r="D307" s="4" t="str">
        <f t="shared" si="34"/>
        <v/>
      </c>
      <c r="E307" s="5" t="str">
        <f t="shared" si="35"/>
        <v/>
      </c>
      <c r="F307" s="6" t="str">
        <f t="shared" si="36"/>
        <v/>
      </c>
      <c r="G307" s="7" t="str">
        <f t="shared" si="37"/>
        <v/>
      </c>
      <c r="H307" s="7" t="str">
        <f t="shared" si="38"/>
        <v/>
      </c>
      <c r="I307" s="8" t="str">
        <f t="shared" si="39"/>
        <v/>
      </c>
      <c r="L307" t="str">
        <f>IFERROR(MATCH($C$5&amp;"|"&amp;RIGHT("000000"&amp;291,6),LdgRankKeyA,0),"")</f>
        <v/>
      </c>
      <c r="M307" t="str">
        <f>IFERROR(MATCH($C$5&amp;"|"&amp;RIGHT("000000"&amp;291,6),LdgRankKeyB,0),"")</f>
        <v/>
      </c>
    </row>
    <row r="308" spans="1:13" x14ac:dyDescent="0.2">
      <c r="A308" s="9">
        <v>292</v>
      </c>
      <c r="B308" s="10" t="str">
        <f t="shared" si="32"/>
        <v/>
      </c>
      <c r="C308" s="10" t="str">
        <f t="shared" si="33"/>
        <v/>
      </c>
      <c r="D308" s="10" t="str">
        <f t="shared" si="34"/>
        <v/>
      </c>
      <c r="E308" s="11" t="str">
        <f t="shared" si="35"/>
        <v/>
      </c>
      <c r="F308" s="12" t="str">
        <f t="shared" si="36"/>
        <v/>
      </c>
      <c r="G308" s="13" t="str">
        <f t="shared" si="37"/>
        <v/>
      </c>
      <c r="H308" s="13" t="str">
        <f t="shared" si="38"/>
        <v/>
      </c>
      <c r="I308" s="14" t="str">
        <f t="shared" si="39"/>
        <v/>
      </c>
      <c r="L308" t="str">
        <f>IFERROR(MATCH($C$5&amp;"|"&amp;RIGHT("000000"&amp;292,6),LdgRankKeyA,0),"")</f>
        <v/>
      </c>
      <c r="M308" t="str">
        <f>IFERROR(MATCH($C$5&amp;"|"&amp;RIGHT("000000"&amp;292,6),LdgRankKeyB,0),"")</f>
        <v/>
      </c>
    </row>
    <row r="309" spans="1:13" x14ac:dyDescent="0.2">
      <c r="A309" s="3">
        <v>293</v>
      </c>
      <c r="B309" s="4" t="str">
        <f t="shared" si="32"/>
        <v/>
      </c>
      <c r="C309" s="4" t="str">
        <f t="shared" si="33"/>
        <v/>
      </c>
      <c r="D309" s="4" t="str">
        <f t="shared" si="34"/>
        <v/>
      </c>
      <c r="E309" s="5" t="str">
        <f t="shared" si="35"/>
        <v/>
      </c>
      <c r="F309" s="6" t="str">
        <f t="shared" si="36"/>
        <v/>
      </c>
      <c r="G309" s="7" t="str">
        <f t="shared" si="37"/>
        <v/>
      </c>
      <c r="H309" s="7" t="str">
        <f t="shared" si="38"/>
        <v/>
      </c>
      <c r="I309" s="8" t="str">
        <f t="shared" si="39"/>
        <v/>
      </c>
      <c r="L309" t="str">
        <f>IFERROR(MATCH($C$5&amp;"|"&amp;RIGHT("000000"&amp;293,6),LdgRankKeyA,0),"")</f>
        <v/>
      </c>
      <c r="M309" t="str">
        <f>IFERROR(MATCH($C$5&amp;"|"&amp;RIGHT("000000"&amp;293,6),LdgRankKeyB,0),"")</f>
        <v/>
      </c>
    </row>
    <row r="310" spans="1:13" x14ac:dyDescent="0.2">
      <c r="A310" s="9">
        <v>294</v>
      </c>
      <c r="B310" s="10" t="str">
        <f t="shared" si="32"/>
        <v/>
      </c>
      <c r="C310" s="10" t="str">
        <f t="shared" si="33"/>
        <v/>
      </c>
      <c r="D310" s="10" t="str">
        <f t="shared" si="34"/>
        <v/>
      </c>
      <c r="E310" s="11" t="str">
        <f t="shared" si="35"/>
        <v/>
      </c>
      <c r="F310" s="12" t="str">
        <f t="shared" si="36"/>
        <v/>
      </c>
      <c r="G310" s="13" t="str">
        <f t="shared" si="37"/>
        <v/>
      </c>
      <c r="H310" s="13" t="str">
        <f t="shared" si="38"/>
        <v/>
      </c>
      <c r="I310" s="14" t="str">
        <f t="shared" si="39"/>
        <v/>
      </c>
      <c r="L310" t="str">
        <f>IFERROR(MATCH($C$5&amp;"|"&amp;RIGHT("000000"&amp;294,6),LdgRankKeyA,0),"")</f>
        <v/>
      </c>
      <c r="M310" t="str">
        <f>IFERROR(MATCH($C$5&amp;"|"&amp;RIGHT("000000"&amp;294,6),LdgRankKeyB,0),"")</f>
        <v/>
      </c>
    </row>
    <row r="311" spans="1:13" x14ac:dyDescent="0.2">
      <c r="A311" s="3">
        <v>295</v>
      </c>
      <c r="B311" s="4" t="str">
        <f t="shared" si="32"/>
        <v/>
      </c>
      <c r="C311" s="4" t="str">
        <f t="shared" si="33"/>
        <v/>
      </c>
      <c r="D311" s="4" t="str">
        <f t="shared" si="34"/>
        <v/>
      </c>
      <c r="E311" s="5" t="str">
        <f t="shared" si="35"/>
        <v/>
      </c>
      <c r="F311" s="6" t="str">
        <f t="shared" si="36"/>
        <v/>
      </c>
      <c r="G311" s="7" t="str">
        <f t="shared" si="37"/>
        <v/>
      </c>
      <c r="H311" s="7" t="str">
        <f t="shared" si="38"/>
        <v/>
      </c>
      <c r="I311" s="8" t="str">
        <f t="shared" si="39"/>
        <v/>
      </c>
      <c r="L311" t="str">
        <f>IFERROR(MATCH($C$5&amp;"|"&amp;RIGHT("000000"&amp;295,6),LdgRankKeyA,0),"")</f>
        <v/>
      </c>
      <c r="M311" t="str">
        <f>IFERROR(MATCH($C$5&amp;"|"&amp;RIGHT("000000"&amp;295,6),LdgRankKeyB,0),"")</f>
        <v/>
      </c>
    </row>
    <row r="312" spans="1:13" x14ac:dyDescent="0.2">
      <c r="A312" s="9">
        <v>296</v>
      </c>
      <c r="B312" s="10" t="str">
        <f t="shared" si="32"/>
        <v/>
      </c>
      <c r="C312" s="10" t="str">
        <f t="shared" si="33"/>
        <v/>
      </c>
      <c r="D312" s="10" t="str">
        <f t="shared" si="34"/>
        <v/>
      </c>
      <c r="E312" s="11" t="str">
        <f t="shared" si="35"/>
        <v/>
      </c>
      <c r="F312" s="12" t="str">
        <f t="shared" si="36"/>
        <v/>
      </c>
      <c r="G312" s="13" t="str">
        <f t="shared" si="37"/>
        <v/>
      </c>
      <c r="H312" s="13" t="str">
        <f t="shared" si="38"/>
        <v/>
      </c>
      <c r="I312" s="14" t="str">
        <f t="shared" si="39"/>
        <v/>
      </c>
      <c r="L312" t="str">
        <f>IFERROR(MATCH($C$5&amp;"|"&amp;RIGHT("000000"&amp;296,6),LdgRankKeyA,0),"")</f>
        <v/>
      </c>
      <c r="M312" t="str">
        <f>IFERROR(MATCH($C$5&amp;"|"&amp;RIGHT("000000"&amp;296,6),LdgRankKeyB,0),"")</f>
        <v/>
      </c>
    </row>
    <row r="313" spans="1:13" x14ac:dyDescent="0.2">
      <c r="A313" s="3">
        <v>297</v>
      </c>
      <c r="B313" s="4" t="str">
        <f t="shared" si="32"/>
        <v/>
      </c>
      <c r="C313" s="4" t="str">
        <f t="shared" si="33"/>
        <v/>
      </c>
      <c r="D313" s="4" t="str">
        <f t="shared" si="34"/>
        <v/>
      </c>
      <c r="E313" s="5" t="str">
        <f t="shared" si="35"/>
        <v/>
      </c>
      <c r="F313" s="6" t="str">
        <f t="shared" si="36"/>
        <v/>
      </c>
      <c r="G313" s="7" t="str">
        <f t="shared" si="37"/>
        <v/>
      </c>
      <c r="H313" s="7" t="str">
        <f t="shared" si="38"/>
        <v/>
      </c>
      <c r="I313" s="8" t="str">
        <f t="shared" si="39"/>
        <v/>
      </c>
      <c r="L313" t="str">
        <f>IFERROR(MATCH($C$5&amp;"|"&amp;RIGHT("000000"&amp;297,6),LdgRankKeyA,0),"")</f>
        <v/>
      </c>
      <c r="M313" t="str">
        <f>IFERROR(MATCH($C$5&amp;"|"&amp;RIGHT("000000"&amp;297,6),LdgRankKeyB,0),"")</f>
        <v/>
      </c>
    </row>
    <row r="314" spans="1:13" x14ac:dyDescent="0.2">
      <c r="A314" s="9">
        <v>298</v>
      </c>
      <c r="B314" s="10" t="str">
        <f t="shared" si="32"/>
        <v/>
      </c>
      <c r="C314" s="10" t="str">
        <f t="shared" si="33"/>
        <v/>
      </c>
      <c r="D314" s="10" t="str">
        <f t="shared" si="34"/>
        <v/>
      </c>
      <c r="E314" s="11" t="str">
        <f t="shared" si="35"/>
        <v/>
      </c>
      <c r="F314" s="12" t="str">
        <f t="shared" si="36"/>
        <v/>
      </c>
      <c r="G314" s="13" t="str">
        <f t="shared" si="37"/>
        <v/>
      </c>
      <c r="H314" s="13" t="str">
        <f t="shared" si="38"/>
        <v/>
      </c>
      <c r="I314" s="14" t="str">
        <f t="shared" si="39"/>
        <v/>
      </c>
      <c r="L314" t="str">
        <f>IFERROR(MATCH($C$5&amp;"|"&amp;RIGHT("000000"&amp;298,6),LdgRankKeyA,0),"")</f>
        <v/>
      </c>
      <c r="M314" t="str">
        <f>IFERROR(MATCH($C$5&amp;"|"&amp;RIGHT("000000"&amp;298,6),LdgRankKeyB,0),"")</f>
        <v/>
      </c>
    </row>
    <row r="315" spans="1:13" x14ac:dyDescent="0.2">
      <c r="A315" s="3">
        <v>299</v>
      </c>
      <c r="B315" s="4" t="str">
        <f t="shared" si="32"/>
        <v/>
      </c>
      <c r="C315" s="4" t="str">
        <f t="shared" si="33"/>
        <v/>
      </c>
      <c r="D315" s="4" t="str">
        <f t="shared" si="34"/>
        <v/>
      </c>
      <c r="E315" s="5" t="str">
        <f t="shared" si="35"/>
        <v/>
      </c>
      <c r="F315" s="6" t="str">
        <f t="shared" si="36"/>
        <v/>
      </c>
      <c r="G315" s="7" t="str">
        <f t="shared" si="37"/>
        <v/>
      </c>
      <c r="H315" s="7" t="str">
        <f t="shared" si="38"/>
        <v/>
      </c>
      <c r="I315" s="8" t="str">
        <f t="shared" si="39"/>
        <v/>
      </c>
      <c r="L315" t="str">
        <f>IFERROR(MATCH($C$5&amp;"|"&amp;RIGHT("000000"&amp;299,6),LdgRankKeyA,0),"")</f>
        <v/>
      </c>
      <c r="M315" t="str">
        <f>IFERROR(MATCH($C$5&amp;"|"&amp;RIGHT("000000"&amp;299,6),LdgRankKeyB,0),"")</f>
        <v/>
      </c>
    </row>
    <row r="316" spans="1:13" x14ac:dyDescent="0.2">
      <c r="A316" s="9">
        <v>300</v>
      </c>
      <c r="B316" s="10" t="str">
        <f t="shared" si="32"/>
        <v/>
      </c>
      <c r="C316" s="10" t="str">
        <f t="shared" si="33"/>
        <v/>
      </c>
      <c r="D316" s="10" t="str">
        <f t="shared" si="34"/>
        <v/>
      </c>
      <c r="E316" s="11" t="str">
        <f t="shared" si="35"/>
        <v/>
      </c>
      <c r="F316" s="12" t="str">
        <f t="shared" si="36"/>
        <v/>
      </c>
      <c r="G316" s="13" t="str">
        <f t="shared" si="37"/>
        <v/>
      </c>
      <c r="H316" s="13" t="str">
        <f t="shared" si="38"/>
        <v/>
      </c>
      <c r="I316" s="14" t="str">
        <f t="shared" si="39"/>
        <v/>
      </c>
      <c r="L316" t="str">
        <f>IFERROR(MATCH($C$5&amp;"|"&amp;RIGHT("000000"&amp;300,6),LdgRankKeyA,0),"")</f>
        <v/>
      </c>
      <c r="M316" t="str">
        <f>IFERROR(MATCH($C$5&amp;"|"&amp;RIGHT("000000"&amp;300,6),LdgRankKeyB,0),"")</f>
        <v/>
      </c>
    </row>
    <row r="317" spans="1:13" x14ac:dyDescent="0.2">
      <c r="A317" s="3">
        <v>301</v>
      </c>
      <c r="B317" s="4" t="str">
        <f t="shared" si="32"/>
        <v/>
      </c>
      <c r="C317" s="4" t="str">
        <f t="shared" si="33"/>
        <v/>
      </c>
      <c r="D317" s="4" t="str">
        <f t="shared" si="34"/>
        <v/>
      </c>
      <c r="E317" s="5" t="str">
        <f t="shared" si="35"/>
        <v/>
      </c>
      <c r="F317" s="6" t="str">
        <f t="shared" si="36"/>
        <v/>
      </c>
      <c r="G317" s="7" t="str">
        <f t="shared" si="37"/>
        <v/>
      </c>
      <c r="H317" s="7" t="str">
        <f t="shared" si="38"/>
        <v/>
      </c>
      <c r="I317" s="8" t="str">
        <f t="shared" si="39"/>
        <v/>
      </c>
      <c r="L317" t="str">
        <f>IFERROR(MATCH($C$5&amp;"|"&amp;RIGHT("000000"&amp;301,6),LdgRankKeyA,0),"")</f>
        <v/>
      </c>
      <c r="M317" t="str">
        <f>IFERROR(MATCH($C$5&amp;"|"&amp;RIGHT("000000"&amp;301,6),LdgRankKeyB,0),"")</f>
        <v/>
      </c>
    </row>
    <row r="318" spans="1:13" x14ac:dyDescent="0.2">
      <c r="A318" s="9">
        <v>302</v>
      </c>
      <c r="B318" s="10" t="str">
        <f t="shared" si="32"/>
        <v/>
      </c>
      <c r="C318" s="10" t="str">
        <f t="shared" si="33"/>
        <v/>
      </c>
      <c r="D318" s="10" t="str">
        <f t="shared" si="34"/>
        <v/>
      </c>
      <c r="E318" s="11" t="str">
        <f t="shared" si="35"/>
        <v/>
      </c>
      <c r="F318" s="12" t="str">
        <f t="shared" si="36"/>
        <v/>
      </c>
      <c r="G318" s="13" t="str">
        <f t="shared" si="37"/>
        <v/>
      </c>
      <c r="H318" s="13" t="str">
        <f t="shared" si="38"/>
        <v/>
      </c>
      <c r="I318" s="14" t="str">
        <f t="shared" si="39"/>
        <v/>
      </c>
      <c r="L318" t="str">
        <f>IFERROR(MATCH($C$5&amp;"|"&amp;RIGHT("000000"&amp;302,6),LdgRankKeyA,0),"")</f>
        <v/>
      </c>
      <c r="M318" t="str">
        <f>IFERROR(MATCH($C$5&amp;"|"&amp;RIGHT("000000"&amp;302,6),LdgRankKeyB,0),"")</f>
        <v/>
      </c>
    </row>
    <row r="319" spans="1:13" x14ac:dyDescent="0.2">
      <c r="A319" s="3">
        <v>303</v>
      </c>
      <c r="B319" s="4" t="str">
        <f t="shared" si="32"/>
        <v/>
      </c>
      <c r="C319" s="4" t="str">
        <f t="shared" si="33"/>
        <v/>
      </c>
      <c r="D319" s="4" t="str">
        <f t="shared" si="34"/>
        <v/>
      </c>
      <c r="E319" s="5" t="str">
        <f t="shared" si="35"/>
        <v/>
      </c>
      <c r="F319" s="6" t="str">
        <f t="shared" si="36"/>
        <v/>
      </c>
      <c r="G319" s="7" t="str">
        <f t="shared" si="37"/>
        <v/>
      </c>
      <c r="H319" s="7" t="str">
        <f t="shared" si="38"/>
        <v/>
      </c>
      <c r="I319" s="8" t="str">
        <f t="shared" si="39"/>
        <v/>
      </c>
      <c r="L319" t="str">
        <f>IFERROR(MATCH($C$5&amp;"|"&amp;RIGHT("000000"&amp;303,6),LdgRankKeyA,0),"")</f>
        <v/>
      </c>
      <c r="M319" t="str">
        <f>IFERROR(MATCH($C$5&amp;"|"&amp;RIGHT("000000"&amp;303,6),LdgRankKeyB,0),"")</f>
        <v/>
      </c>
    </row>
    <row r="320" spans="1:13" x14ac:dyDescent="0.2">
      <c r="A320" s="9">
        <v>304</v>
      </c>
      <c r="B320" s="10" t="str">
        <f t="shared" si="32"/>
        <v/>
      </c>
      <c r="C320" s="10" t="str">
        <f t="shared" si="33"/>
        <v/>
      </c>
      <c r="D320" s="10" t="str">
        <f t="shared" si="34"/>
        <v/>
      </c>
      <c r="E320" s="11" t="str">
        <f t="shared" si="35"/>
        <v/>
      </c>
      <c r="F320" s="12" t="str">
        <f t="shared" si="36"/>
        <v/>
      </c>
      <c r="G320" s="13" t="str">
        <f t="shared" si="37"/>
        <v/>
      </c>
      <c r="H320" s="13" t="str">
        <f t="shared" si="38"/>
        <v/>
      </c>
      <c r="I320" s="14" t="str">
        <f t="shared" si="39"/>
        <v/>
      </c>
      <c r="L320" t="str">
        <f>IFERROR(MATCH($C$5&amp;"|"&amp;RIGHT("000000"&amp;304,6),LdgRankKeyA,0),"")</f>
        <v/>
      </c>
      <c r="M320" t="str">
        <f>IFERROR(MATCH($C$5&amp;"|"&amp;RIGHT("000000"&amp;304,6),LdgRankKeyB,0),"")</f>
        <v/>
      </c>
    </row>
    <row r="321" spans="1:13" x14ac:dyDescent="0.2">
      <c r="A321" s="3">
        <v>305</v>
      </c>
      <c r="B321" s="4" t="str">
        <f t="shared" si="32"/>
        <v/>
      </c>
      <c r="C321" s="4" t="str">
        <f t="shared" si="33"/>
        <v/>
      </c>
      <c r="D321" s="4" t="str">
        <f t="shared" si="34"/>
        <v/>
      </c>
      <c r="E321" s="5" t="str">
        <f t="shared" si="35"/>
        <v/>
      </c>
      <c r="F321" s="6" t="str">
        <f t="shared" si="36"/>
        <v/>
      </c>
      <c r="G321" s="7" t="str">
        <f t="shared" si="37"/>
        <v/>
      </c>
      <c r="H321" s="7" t="str">
        <f t="shared" si="38"/>
        <v/>
      </c>
      <c r="I321" s="8" t="str">
        <f t="shared" si="39"/>
        <v/>
      </c>
      <c r="L321" t="str">
        <f>IFERROR(MATCH($C$5&amp;"|"&amp;RIGHT("000000"&amp;305,6),LdgRankKeyA,0),"")</f>
        <v/>
      </c>
      <c r="M321" t="str">
        <f>IFERROR(MATCH($C$5&amp;"|"&amp;RIGHT("000000"&amp;305,6),LdgRankKeyB,0),"")</f>
        <v/>
      </c>
    </row>
    <row r="322" spans="1:13" x14ac:dyDescent="0.2">
      <c r="A322" s="9">
        <v>306</v>
      </c>
      <c r="B322" s="10" t="str">
        <f t="shared" si="32"/>
        <v/>
      </c>
      <c r="C322" s="10" t="str">
        <f t="shared" si="33"/>
        <v/>
      </c>
      <c r="D322" s="10" t="str">
        <f t="shared" si="34"/>
        <v/>
      </c>
      <c r="E322" s="11" t="str">
        <f t="shared" si="35"/>
        <v/>
      </c>
      <c r="F322" s="12" t="str">
        <f t="shared" si="36"/>
        <v/>
      </c>
      <c r="G322" s="13" t="str">
        <f t="shared" si="37"/>
        <v/>
      </c>
      <c r="H322" s="13" t="str">
        <f t="shared" si="38"/>
        <v/>
      </c>
      <c r="I322" s="14" t="str">
        <f t="shared" si="39"/>
        <v/>
      </c>
      <c r="L322" t="str">
        <f>IFERROR(MATCH($C$5&amp;"|"&amp;RIGHT("000000"&amp;306,6),LdgRankKeyA,0),"")</f>
        <v/>
      </c>
      <c r="M322" t="str">
        <f>IFERROR(MATCH($C$5&amp;"|"&amp;RIGHT("000000"&amp;306,6),LdgRankKeyB,0),"")</f>
        <v/>
      </c>
    </row>
    <row r="323" spans="1:13" x14ac:dyDescent="0.2">
      <c r="A323" s="3">
        <v>307</v>
      </c>
      <c r="B323" s="4" t="str">
        <f t="shared" si="32"/>
        <v/>
      </c>
      <c r="C323" s="4" t="str">
        <f t="shared" si="33"/>
        <v/>
      </c>
      <c r="D323" s="4" t="str">
        <f t="shared" si="34"/>
        <v/>
      </c>
      <c r="E323" s="5" t="str">
        <f t="shared" si="35"/>
        <v/>
      </c>
      <c r="F323" s="6" t="str">
        <f t="shared" si="36"/>
        <v/>
      </c>
      <c r="G323" s="7" t="str">
        <f t="shared" si="37"/>
        <v/>
      </c>
      <c r="H323" s="7" t="str">
        <f t="shared" si="38"/>
        <v/>
      </c>
      <c r="I323" s="8" t="str">
        <f t="shared" si="39"/>
        <v/>
      </c>
      <c r="L323" t="str">
        <f>IFERROR(MATCH($C$5&amp;"|"&amp;RIGHT("000000"&amp;307,6),LdgRankKeyA,0),"")</f>
        <v/>
      </c>
      <c r="M323" t="str">
        <f>IFERROR(MATCH($C$5&amp;"|"&amp;RIGHT("000000"&amp;307,6),LdgRankKeyB,0),"")</f>
        <v/>
      </c>
    </row>
    <row r="324" spans="1:13" x14ac:dyDescent="0.2">
      <c r="A324" s="9">
        <v>308</v>
      </c>
      <c r="B324" s="10" t="str">
        <f t="shared" si="32"/>
        <v/>
      </c>
      <c r="C324" s="10" t="str">
        <f t="shared" si="33"/>
        <v/>
      </c>
      <c r="D324" s="10" t="str">
        <f t="shared" si="34"/>
        <v/>
      </c>
      <c r="E324" s="11" t="str">
        <f t="shared" si="35"/>
        <v/>
      </c>
      <c r="F324" s="12" t="str">
        <f t="shared" si="36"/>
        <v/>
      </c>
      <c r="G324" s="13" t="str">
        <f t="shared" si="37"/>
        <v/>
      </c>
      <c r="H324" s="13" t="str">
        <f t="shared" si="38"/>
        <v/>
      </c>
      <c r="I324" s="14" t="str">
        <f t="shared" si="39"/>
        <v/>
      </c>
      <c r="L324" t="str">
        <f>IFERROR(MATCH($C$5&amp;"|"&amp;RIGHT("000000"&amp;308,6),LdgRankKeyA,0),"")</f>
        <v/>
      </c>
      <c r="M324" t="str">
        <f>IFERROR(MATCH($C$5&amp;"|"&amp;RIGHT("000000"&amp;308,6),LdgRankKeyB,0),"")</f>
        <v/>
      </c>
    </row>
    <row r="325" spans="1:13" x14ac:dyDescent="0.2">
      <c r="A325" s="3">
        <v>309</v>
      </c>
      <c r="B325" s="4" t="str">
        <f t="shared" si="32"/>
        <v/>
      </c>
      <c r="C325" s="4" t="str">
        <f t="shared" si="33"/>
        <v/>
      </c>
      <c r="D325" s="4" t="str">
        <f t="shared" si="34"/>
        <v/>
      </c>
      <c r="E325" s="5" t="str">
        <f t="shared" si="35"/>
        <v/>
      </c>
      <c r="F325" s="6" t="str">
        <f t="shared" si="36"/>
        <v/>
      </c>
      <c r="G325" s="7" t="str">
        <f t="shared" si="37"/>
        <v/>
      </c>
      <c r="H325" s="7" t="str">
        <f t="shared" si="38"/>
        <v/>
      </c>
      <c r="I325" s="8" t="str">
        <f t="shared" si="39"/>
        <v/>
      </c>
      <c r="L325" t="str">
        <f>IFERROR(MATCH($C$5&amp;"|"&amp;RIGHT("000000"&amp;309,6),LdgRankKeyA,0),"")</f>
        <v/>
      </c>
      <c r="M325" t="str">
        <f>IFERROR(MATCH($C$5&amp;"|"&amp;RIGHT("000000"&amp;309,6),LdgRankKeyB,0),"")</f>
        <v/>
      </c>
    </row>
    <row r="326" spans="1:13" x14ac:dyDescent="0.2">
      <c r="A326" s="9">
        <v>310</v>
      </c>
      <c r="B326" s="10" t="str">
        <f t="shared" si="32"/>
        <v/>
      </c>
      <c r="C326" s="10" t="str">
        <f t="shared" si="33"/>
        <v/>
      </c>
      <c r="D326" s="10" t="str">
        <f t="shared" si="34"/>
        <v/>
      </c>
      <c r="E326" s="11" t="str">
        <f t="shared" si="35"/>
        <v/>
      </c>
      <c r="F326" s="12" t="str">
        <f t="shared" si="36"/>
        <v/>
      </c>
      <c r="G326" s="13" t="str">
        <f t="shared" si="37"/>
        <v/>
      </c>
      <c r="H326" s="13" t="str">
        <f t="shared" si="38"/>
        <v/>
      </c>
      <c r="I326" s="14" t="str">
        <f t="shared" si="39"/>
        <v/>
      </c>
      <c r="L326" t="str">
        <f>IFERROR(MATCH($C$5&amp;"|"&amp;RIGHT("000000"&amp;310,6),LdgRankKeyA,0),"")</f>
        <v/>
      </c>
      <c r="M326" t="str">
        <f>IFERROR(MATCH($C$5&amp;"|"&amp;RIGHT("000000"&amp;310,6),LdgRankKeyB,0),"")</f>
        <v/>
      </c>
    </row>
    <row r="327" spans="1:13" x14ac:dyDescent="0.2">
      <c r="A327" s="3">
        <v>311</v>
      </c>
      <c r="B327" s="4" t="str">
        <f t="shared" si="32"/>
        <v/>
      </c>
      <c r="C327" s="4" t="str">
        <f t="shared" si="33"/>
        <v/>
      </c>
      <c r="D327" s="4" t="str">
        <f t="shared" si="34"/>
        <v/>
      </c>
      <c r="E327" s="5" t="str">
        <f t="shared" si="35"/>
        <v/>
      </c>
      <c r="F327" s="6" t="str">
        <f t="shared" si="36"/>
        <v/>
      </c>
      <c r="G327" s="7" t="str">
        <f t="shared" si="37"/>
        <v/>
      </c>
      <c r="H327" s="7" t="str">
        <f t="shared" si="38"/>
        <v/>
      </c>
      <c r="I327" s="8" t="str">
        <f t="shared" si="39"/>
        <v/>
      </c>
      <c r="L327" t="str">
        <f>IFERROR(MATCH($C$5&amp;"|"&amp;RIGHT("000000"&amp;311,6),LdgRankKeyA,0),"")</f>
        <v/>
      </c>
      <c r="M327" t="str">
        <f>IFERROR(MATCH($C$5&amp;"|"&amp;RIGHT("000000"&amp;311,6),LdgRankKeyB,0),"")</f>
        <v/>
      </c>
    </row>
    <row r="328" spans="1:13" x14ac:dyDescent="0.2">
      <c r="A328" s="9">
        <v>312</v>
      </c>
      <c r="B328" s="10" t="str">
        <f t="shared" si="32"/>
        <v/>
      </c>
      <c r="C328" s="10" t="str">
        <f t="shared" si="33"/>
        <v/>
      </c>
      <c r="D328" s="10" t="str">
        <f t="shared" si="34"/>
        <v/>
      </c>
      <c r="E328" s="11" t="str">
        <f t="shared" si="35"/>
        <v/>
      </c>
      <c r="F328" s="12" t="str">
        <f t="shared" si="36"/>
        <v/>
      </c>
      <c r="G328" s="13" t="str">
        <f t="shared" si="37"/>
        <v/>
      </c>
      <c r="H328" s="13" t="str">
        <f t="shared" si="38"/>
        <v/>
      </c>
      <c r="I328" s="14" t="str">
        <f t="shared" si="39"/>
        <v/>
      </c>
      <c r="L328" t="str">
        <f>IFERROR(MATCH($C$5&amp;"|"&amp;RIGHT("000000"&amp;312,6),LdgRankKeyA,0),"")</f>
        <v/>
      </c>
      <c r="M328" t="str">
        <f>IFERROR(MATCH($C$5&amp;"|"&amp;RIGHT("000000"&amp;312,6),LdgRankKeyB,0),"")</f>
        <v/>
      </c>
    </row>
    <row r="329" spans="1:13" x14ac:dyDescent="0.2">
      <c r="A329" s="3">
        <v>313</v>
      </c>
      <c r="B329" s="4" t="str">
        <f t="shared" si="32"/>
        <v/>
      </c>
      <c r="C329" s="4" t="str">
        <f t="shared" si="33"/>
        <v/>
      </c>
      <c r="D329" s="4" t="str">
        <f t="shared" si="34"/>
        <v/>
      </c>
      <c r="E329" s="5" t="str">
        <f t="shared" si="35"/>
        <v/>
      </c>
      <c r="F329" s="6" t="str">
        <f t="shared" si="36"/>
        <v/>
      </c>
      <c r="G329" s="7" t="str">
        <f t="shared" si="37"/>
        <v/>
      </c>
      <c r="H329" s="7" t="str">
        <f t="shared" si="38"/>
        <v/>
      </c>
      <c r="I329" s="8" t="str">
        <f t="shared" si="39"/>
        <v/>
      </c>
      <c r="L329" t="str">
        <f>IFERROR(MATCH($C$5&amp;"|"&amp;RIGHT("000000"&amp;313,6),LdgRankKeyA,0),"")</f>
        <v/>
      </c>
      <c r="M329" t="str">
        <f>IFERROR(MATCH($C$5&amp;"|"&amp;RIGHT("000000"&amp;313,6),LdgRankKeyB,0),"")</f>
        <v/>
      </c>
    </row>
    <row r="330" spans="1:13" x14ac:dyDescent="0.2">
      <c r="A330" s="9">
        <v>314</v>
      </c>
      <c r="B330" s="10" t="str">
        <f t="shared" si="32"/>
        <v/>
      </c>
      <c r="C330" s="10" t="str">
        <f t="shared" si="33"/>
        <v/>
      </c>
      <c r="D330" s="10" t="str">
        <f t="shared" si="34"/>
        <v/>
      </c>
      <c r="E330" s="11" t="str">
        <f t="shared" si="35"/>
        <v/>
      </c>
      <c r="F330" s="12" t="str">
        <f t="shared" si="36"/>
        <v/>
      </c>
      <c r="G330" s="13" t="str">
        <f t="shared" si="37"/>
        <v/>
      </c>
      <c r="H330" s="13" t="str">
        <f t="shared" si="38"/>
        <v/>
      </c>
      <c r="I330" s="14" t="str">
        <f t="shared" si="39"/>
        <v/>
      </c>
      <c r="L330" t="str">
        <f>IFERROR(MATCH($C$5&amp;"|"&amp;RIGHT("000000"&amp;314,6),LdgRankKeyA,0),"")</f>
        <v/>
      </c>
      <c r="M330" t="str">
        <f>IFERROR(MATCH($C$5&amp;"|"&amp;RIGHT("000000"&amp;314,6),LdgRankKeyB,0),"")</f>
        <v/>
      </c>
    </row>
    <row r="331" spans="1:13" x14ac:dyDescent="0.2">
      <c r="A331" s="3">
        <v>315</v>
      </c>
      <c r="B331" s="4" t="str">
        <f t="shared" si="32"/>
        <v/>
      </c>
      <c r="C331" s="4" t="str">
        <f t="shared" si="33"/>
        <v/>
      </c>
      <c r="D331" s="4" t="str">
        <f t="shared" si="34"/>
        <v/>
      </c>
      <c r="E331" s="5" t="str">
        <f t="shared" si="35"/>
        <v/>
      </c>
      <c r="F331" s="6" t="str">
        <f t="shared" si="36"/>
        <v/>
      </c>
      <c r="G331" s="7" t="str">
        <f t="shared" si="37"/>
        <v/>
      </c>
      <c r="H331" s="7" t="str">
        <f t="shared" si="38"/>
        <v/>
      </c>
      <c r="I331" s="8" t="str">
        <f t="shared" si="39"/>
        <v/>
      </c>
      <c r="L331" t="str">
        <f>IFERROR(MATCH($C$5&amp;"|"&amp;RIGHT("000000"&amp;315,6),LdgRankKeyA,0),"")</f>
        <v/>
      </c>
      <c r="M331" t="str">
        <f>IFERROR(MATCH($C$5&amp;"|"&amp;RIGHT("000000"&amp;315,6),LdgRankKeyB,0),"")</f>
        <v/>
      </c>
    </row>
    <row r="332" spans="1:13" x14ac:dyDescent="0.2">
      <c r="A332" s="9">
        <v>316</v>
      </c>
      <c r="B332" s="10" t="str">
        <f t="shared" si="32"/>
        <v/>
      </c>
      <c r="C332" s="10" t="str">
        <f t="shared" si="33"/>
        <v/>
      </c>
      <c r="D332" s="10" t="str">
        <f t="shared" si="34"/>
        <v/>
      </c>
      <c r="E332" s="11" t="str">
        <f t="shared" si="35"/>
        <v/>
      </c>
      <c r="F332" s="12" t="str">
        <f t="shared" si="36"/>
        <v/>
      </c>
      <c r="G332" s="13" t="str">
        <f t="shared" si="37"/>
        <v/>
      </c>
      <c r="H332" s="13" t="str">
        <f t="shared" si="38"/>
        <v/>
      </c>
      <c r="I332" s="14" t="str">
        <f t="shared" si="39"/>
        <v/>
      </c>
      <c r="L332" t="str">
        <f>IFERROR(MATCH($C$5&amp;"|"&amp;RIGHT("000000"&amp;316,6),LdgRankKeyA,0),"")</f>
        <v/>
      </c>
      <c r="M332" t="str">
        <f>IFERROR(MATCH($C$5&amp;"|"&amp;RIGHT("000000"&amp;316,6),LdgRankKeyB,0),"")</f>
        <v/>
      </c>
    </row>
    <row r="333" spans="1:13" x14ac:dyDescent="0.2">
      <c r="A333" s="3">
        <v>317</v>
      </c>
      <c r="B333" s="4" t="str">
        <f t="shared" si="32"/>
        <v/>
      </c>
      <c r="C333" s="4" t="str">
        <f t="shared" si="33"/>
        <v/>
      </c>
      <c r="D333" s="4" t="str">
        <f t="shared" si="34"/>
        <v/>
      </c>
      <c r="E333" s="5" t="str">
        <f t="shared" si="35"/>
        <v/>
      </c>
      <c r="F333" s="6" t="str">
        <f t="shared" si="36"/>
        <v/>
      </c>
      <c r="G333" s="7" t="str">
        <f t="shared" si="37"/>
        <v/>
      </c>
      <c r="H333" s="7" t="str">
        <f t="shared" si="38"/>
        <v/>
      </c>
      <c r="I333" s="8" t="str">
        <f t="shared" si="39"/>
        <v/>
      </c>
      <c r="L333" t="str">
        <f>IFERROR(MATCH($C$5&amp;"|"&amp;RIGHT("000000"&amp;317,6),LdgRankKeyA,0),"")</f>
        <v/>
      </c>
      <c r="M333" t="str">
        <f>IFERROR(MATCH($C$5&amp;"|"&amp;RIGHT("000000"&amp;317,6),LdgRankKeyB,0),"")</f>
        <v/>
      </c>
    </row>
    <row r="334" spans="1:13" x14ac:dyDescent="0.2">
      <c r="A334" s="9">
        <v>318</v>
      </c>
      <c r="B334" s="10" t="str">
        <f t="shared" si="32"/>
        <v/>
      </c>
      <c r="C334" s="10" t="str">
        <f t="shared" si="33"/>
        <v/>
      </c>
      <c r="D334" s="10" t="str">
        <f t="shared" si="34"/>
        <v/>
      </c>
      <c r="E334" s="11" t="str">
        <f t="shared" si="35"/>
        <v/>
      </c>
      <c r="F334" s="12" t="str">
        <f t="shared" si="36"/>
        <v/>
      </c>
      <c r="G334" s="13" t="str">
        <f t="shared" si="37"/>
        <v/>
      </c>
      <c r="H334" s="13" t="str">
        <f t="shared" si="38"/>
        <v/>
      </c>
      <c r="I334" s="14" t="str">
        <f t="shared" si="39"/>
        <v/>
      </c>
      <c r="L334" t="str">
        <f>IFERROR(MATCH($C$5&amp;"|"&amp;RIGHT("000000"&amp;318,6),LdgRankKeyA,0),"")</f>
        <v/>
      </c>
      <c r="M334" t="str">
        <f>IFERROR(MATCH($C$5&amp;"|"&amp;RIGHT("000000"&amp;318,6),LdgRankKeyB,0),"")</f>
        <v/>
      </c>
    </row>
    <row r="335" spans="1:13" x14ac:dyDescent="0.2">
      <c r="A335" s="3">
        <v>319</v>
      </c>
      <c r="B335" s="4" t="str">
        <f t="shared" si="32"/>
        <v/>
      </c>
      <c r="C335" s="4" t="str">
        <f t="shared" si="33"/>
        <v/>
      </c>
      <c r="D335" s="4" t="str">
        <f t="shared" si="34"/>
        <v/>
      </c>
      <c r="E335" s="5" t="str">
        <f t="shared" si="35"/>
        <v/>
      </c>
      <c r="F335" s="6" t="str">
        <f t="shared" si="36"/>
        <v/>
      </c>
      <c r="G335" s="7" t="str">
        <f t="shared" si="37"/>
        <v/>
      </c>
      <c r="H335" s="7" t="str">
        <f t="shared" si="38"/>
        <v/>
      </c>
      <c r="I335" s="8" t="str">
        <f t="shared" si="39"/>
        <v/>
      </c>
      <c r="L335" t="str">
        <f>IFERROR(MATCH($C$5&amp;"|"&amp;RIGHT("000000"&amp;319,6),LdgRankKeyA,0),"")</f>
        <v/>
      </c>
      <c r="M335" t="str">
        <f>IFERROR(MATCH($C$5&amp;"|"&amp;RIGHT("000000"&amp;319,6),LdgRankKeyB,0),"")</f>
        <v/>
      </c>
    </row>
    <row r="336" spans="1:13" x14ac:dyDescent="0.2">
      <c r="A336" s="9">
        <v>320</v>
      </c>
      <c r="B336" s="10" t="str">
        <f t="shared" si="32"/>
        <v/>
      </c>
      <c r="C336" s="10" t="str">
        <f t="shared" si="33"/>
        <v/>
      </c>
      <c r="D336" s="10" t="str">
        <f t="shared" si="34"/>
        <v/>
      </c>
      <c r="E336" s="11" t="str">
        <f t="shared" si="35"/>
        <v/>
      </c>
      <c r="F336" s="12" t="str">
        <f t="shared" si="36"/>
        <v/>
      </c>
      <c r="G336" s="13" t="str">
        <f t="shared" si="37"/>
        <v/>
      </c>
      <c r="H336" s="13" t="str">
        <f t="shared" si="38"/>
        <v/>
      </c>
      <c r="I336" s="14" t="str">
        <f t="shared" si="39"/>
        <v/>
      </c>
      <c r="L336" t="str">
        <f>IFERROR(MATCH($C$5&amp;"|"&amp;RIGHT("000000"&amp;320,6),LdgRankKeyA,0),"")</f>
        <v/>
      </c>
      <c r="M336" t="str">
        <f>IFERROR(MATCH($C$5&amp;"|"&amp;RIGHT("000000"&amp;320,6),LdgRankKeyB,0),"")</f>
        <v/>
      </c>
    </row>
    <row r="337" spans="1:13" x14ac:dyDescent="0.2">
      <c r="A337" s="3">
        <v>321</v>
      </c>
      <c r="B337" s="4" t="str">
        <f t="shared" ref="B337:B400" si="40">IF(AND($L337="",$M337=""),"",IF($L337&lt;&gt;"",INDEX(SCNormDate,$L337),INDEX(LdgDateB,$M337)))</f>
        <v/>
      </c>
      <c r="C337" s="4" t="str">
        <f t="shared" ref="C337:C400" si="41">IF($L337&lt;&gt;"",INDEX(SCOp,$L337),IF($M337&lt;&gt;"","پرداخت بانکی",""))</f>
        <v/>
      </c>
      <c r="D337" s="4" t="str">
        <f t="shared" ref="D337:D400" si="42">IF($L337&lt;&gt;"",IF(INDEX(SCDoc,$L337)="","—",INDEX(SCDoc,$L337)),IF($M337&lt;&gt;"",INDEX(LdgBankB,$M337),""))</f>
        <v/>
      </c>
      <c r="E337" s="5" t="str">
        <f t="shared" ref="E337:E400" si="43">IF($L337&lt;&gt;"",IF(INDEX(SCCitrus,$L337)&amp;INDEX(SCNotes,$L337)="","",IF(INDEX(SCCitrus,$L337)="","",INDEX(SCCitrus,$L337))&amp;IF(INDEX(SCNotes,$L337)="",""," — "&amp;INDEX(SCNotes,$L337))),IF($M337&lt;&gt;"",IF(INDEX(LdgNoteB,$M337)="","—",INDEX(LdgNoteB,$M337)),""))</f>
        <v/>
      </c>
      <c r="F337" s="6" t="str">
        <f t="shared" ref="F337:F400" si="44">IF($L337&lt;&gt;"",IF(INDEX(SCNet,$L337)=0,"",INDEX(SCNet,$L337)),"")</f>
        <v/>
      </c>
      <c r="G337" s="7" t="str">
        <f t="shared" ref="G337:G400" si="45">IF($L337&lt;&gt;"",IF(INDEX(SCOp,$L337)="مرجوعی فروش","",IF(INDEX(SCAmount,$L337)&lt;=0,"",INDEX(SCAmount,$L337))),IF($M337&lt;&gt;"",IF(INDEX(LdgWitB,$M337)=0,"",INDEX(LdgWitB,$M337)),""))</f>
        <v/>
      </c>
      <c r="H337" s="7" t="str">
        <f t="shared" ref="H337:H400" si="46">IF($L337&lt;&gt;"",IF(INDEX(SCOp,$L337)="مرجوعی فروش",IF(INDEX(SCAmount,$L337)=0,"",-INDEX(SCAmount,$L337)),""),IF($M337&lt;&gt;"",IF(INDEX(LdgDepB,$M337)=0,"",INDEX(LdgDepB,$M337)),""))</f>
        <v/>
      </c>
      <c r="I337" s="8" t="str">
        <f t="shared" si="39"/>
        <v/>
      </c>
      <c r="L337" t="str">
        <f>IFERROR(MATCH($C$5&amp;"|"&amp;RIGHT("000000"&amp;321,6),LdgRankKeyA,0),"")</f>
        <v/>
      </c>
      <c r="M337" t="str">
        <f>IFERROR(MATCH($C$5&amp;"|"&amp;RIGHT("000000"&amp;321,6),LdgRankKeyB,0),"")</f>
        <v/>
      </c>
    </row>
    <row r="338" spans="1:13" x14ac:dyDescent="0.2">
      <c r="A338" s="9">
        <v>322</v>
      </c>
      <c r="B338" s="10" t="str">
        <f t="shared" si="40"/>
        <v/>
      </c>
      <c r="C338" s="10" t="str">
        <f t="shared" si="41"/>
        <v/>
      </c>
      <c r="D338" s="10" t="str">
        <f t="shared" si="42"/>
        <v/>
      </c>
      <c r="E338" s="11" t="str">
        <f t="shared" si="43"/>
        <v/>
      </c>
      <c r="F338" s="12" t="str">
        <f t="shared" si="44"/>
        <v/>
      </c>
      <c r="G338" s="13" t="str">
        <f t="shared" si="45"/>
        <v/>
      </c>
      <c r="H338" s="13" t="str">
        <f t="shared" si="46"/>
        <v/>
      </c>
      <c r="I338" s="14" t="str">
        <f t="shared" ref="I338:I401" si="47">IF($B338="","",IF($I337="",$C$10,$I337)+IF($G338="",0,$G338)-IF($H338="",0,$H338))</f>
        <v/>
      </c>
      <c r="L338" t="str">
        <f>IFERROR(MATCH($C$5&amp;"|"&amp;RIGHT("000000"&amp;322,6),LdgRankKeyA,0),"")</f>
        <v/>
      </c>
      <c r="M338" t="str">
        <f>IFERROR(MATCH($C$5&amp;"|"&amp;RIGHT("000000"&amp;322,6),LdgRankKeyB,0),"")</f>
        <v/>
      </c>
    </row>
    <row r="339" spans="1:13" x14ac:dyDescent="0.2">
      <c r="A339" s="3">
        <v>323</v>
      </c>
      <c r="B339" s="4" t="str">
        <f t="shared" si="40"/>
        <v/>
      </c>
      <c r="C339" s="4" t="str">
        <f t="shared" si="41"/>
        <v/>
      </c>
      <c r="D339" s="4" t="str">
        <f t="shared" si="42"/>
        <v/>
      </c>
      <c r="E339" s="5" t="str">
        <f t="shared" si="43"/>
        <v/>
      </c>
      <c r="F339" s="6" t="str">
        <f t="shared" si="44"/>
        <v/>
      </c>
      <c r="G339" s="7" t="str">
        <f t="shared" si="45"/>
        <v/>
      </c>
      <c r="H339" s="7" t="str">
        <f t="shared" si="46"/>
        <v/>
      </c>
      <c r="I339" s="8" t="str">
        <f t="shared" si="47"/>
        <v/>
      </c>
      <c r="L339" t="str">
        <f>IFERROR(MATCH($C$5&amp;"|"&amp;RIGHT("000000"&amp;323,6),LdgRankKeyA,0),"")</f>
        <v/>
      </c>
      <c r="M339" t="str">
        <f>IFERROR(MATCH($C$5&amp;"|"&amp;RIGHT("000000"&amp;323,6),LdgRankKeyB,0),"")</f>
        <v/>
      </c>
    </row>
    <row r="340" spans="1:13" x14ac:dyDescent="0.2">
      <c r="A340" s="9">
        <v>324</v>
      </c>
      <c r="B340" s="10" t="str">
        <f t="shared" si="40"/>
        <v/>
      </c>
      <c r="C340" s="10" t="str">
        <f t="shared" si="41"/>
        <v/>
      </c>
      <c r="D340" s="10" t="str">
        <f t="shared" si="42"/>
        <v/>
      </c>
      <c r="E340" s="11" t="str">
        <f t="shared" si="43"/>
        <v/>
      </c>
      <c r="F340" s="12" t="str">
        <f t="shared" si="44"/>
        <v/>
      </c>
      <c r="G340" s="13" t="str">
        <f t="shared" si="45"/>
        <v/>
      </c>
      <c r="H340" s="13" t="str">
        <f t="shared" si="46"/>
        <v/>
      </c>
      <c r="I340" s="14" t="str">
        <f t="shared" si="47"/>
        <v/>
      </c>
      <c r="L340" t="str">
        <f>IFERROR(MATCH($C$5&amp;"|"&amp;RIGHT("000000"&amp;324,6),LdgRankKeyA,0),"")</f>
        <v/>
      </c>
      <c r="M340" t="str">
        <f>IFERROR(MATCH($C$5&amp;"|"&amp;RIGHT("000000"&amp;324,6),LdgRankKeyB,0),"")</f>
        <v/>
      </c>
    </row>
    <row r="341" spans="1:13" x14ac:dyDescent="0.2">
      <c r="A341" s="3">
        <v>325</v>
      </c>
      <c r="B341" s="4" t="str">
        <f t="shared" si="40"/>
        <v/>
      </c>
      <c r="C341" s="4" t="str">
        <f t="shared" si="41"/>
        <v/>
      </c>
      <c r="D341" s="4" t="str">
        <f t="shared" si="42"/>
        <v/>
      </c>
      <c r="E341" s="5" t="str">
        <f t="shared" si="43"/>
        <v/>
      </c>
      <c r="F341" s="6" t="str">
        <f t="shared" si="44"/>
        <v/>
      </c>
      <c r="G341" s="7" t="str">
        <f t="shared" si="45"/>
        <v/>
      </c>
      <c r="H341" s="7" t="str">
        <f t="shared" si="46"/>
        <v/>
      </c>
      <c r="I341" s="8" t="str">
        <f t="shared" si="47"/>
        <v/>
      </c>
      <c r="L341" t="str">
        <f>IFERROR(MATCH($C$5&amp;"|"&amp;RIGHT("000000"&amp;325,6),LdgRankKeyA,0),"")</f>
        <v/>
      </c>
      <c r="M341" t="str">
        <f>IFERROR(MATCH($C$5&amp;"|"&amp;RIGHT("000000"&amp;325,6),LdgRankKeyB,0),"")</f>
        <v/>
      </c>
    </row>
    <row r="342" spans="1:13" x14ac:dyDescent="0.2">
      <c r="A342" s="9">
        <v>326</v>
      </c>
      <c r="B342" s="10" t="str">
        <f t="shared" si="40"/>
        <v/>
      </c>
      <c r="C342" s="10" t="str">
        <f t="shared" si="41"/>
        <v/>
      </c>
      <c r="D342" s="10" t="str">
        <f t="shared" si="42"/>
        <v/>
      </c>
      <c r="E342" s="11" t="str">
        <f t="shared" si="43"/>
        <v/>
      </c>
      <c r="F342" s="12" t="str">
        <f t="shared" si="44"/>
        <v/>
      </c>
      <c r="G342" s="13" t="str">
        <f t="shared" si="45"/>
        <v/>
      </c>
      <c r="H342" s="13" t="str">
        <f t="shared" si="46"/>
        <v/>
      </c>
      <c r="I342" s="14" t="str">
        <f t="shared" si="47"/>
        <v/>
      </c>
      <c r="L342" t="str">
        <f>IFERROR(MATCH($C$5&amp;"|"&amp;RIGHT("000000"&amp;326,6),LdgRankKeyA,0),"")</f>
        <v/>
      </c>
      <c r="M342" t="str">
        <f>IFERROR(MATCH($C$5&amp;"|"&amp;RIGHT("000000"&amp;326,6),LdgRankKeyB,0),"")</f>
        <v/>
      </c>
    </row>
    <row r="343" spans="1:13" x14ac:dyDescent="0.2">
      <c r="A343" s="3">
        <v>327</v>
      </c>
      <c r="B343" s="4" t="str">
        <f t="shared" si="40"/>
        <v/>
      </c>
      <c r="C343" s="4" t="str">
        <f t="shared" si="41"/>
        <v/>
      </c>
      <c r="D343" s="4" t="str">
        <f t="shared" si="42"/>
        <v/>
      </c>
      <c r="E343" s="5" t="str">
        <f t="shared" si="43"/>
        <v/>
      </c>
      <c r="F343" s="6" t="str">
        <f t="shared" si="44"/>
        <v/>
      </c>
      <c r="G343" s="7" t="str">
        <f t="shared" si="45"/>
        <v/>
      </c>
      <c r="H343" s="7" t="str">
        <f t="shared" si="46"/>
        <v/>
      </c>
      <c r="I343" s="8" t="str">
        <f t="shared" si="47"/>
        <v/>
      </c>
      <c r="L343" t="str">
        <f>IFERROR(MATCH($C$5&amp;"|"&amp;RIGHT("000000"&amp;327,6),LdgRankKeyA,0),"")</f>
        <v/>
      </c>
      <c r="M343" t="str">
        <f>IFERROR(MATCH($C$5&amp;"|"&amp;RIGHT("000000"&amp;327,6),LdgRankKeyB,0),"")</f>
        <v/>
      </c>
    </row>
    <row r="344" spans="1:13" x14ac:dyDescent="0.2">
      <c r="A344" s="9">
        <v>328</v>
      </c>
      <c r="B344" s="10" t="str">
        <f t="shared" si="40"/>
        <v/>
      </c>
      <c r="C344" s="10" t="str">
        <f t="shared" si="41"/>
        <v/>
      </c>
      <c r="D344" s="10" t="str">
        <f t="shared" si="42"/>
        <v/>
      </c>
      <c r="E344" s="11" t="str">
        <f t="shared" si="43"/>
        <v/>
      </c>
      <c r="F344" s="12" t="str">
        <f t="shared" si="44"/>
        <v/>
      </c>
      <c r="G344" s="13" t="str">
        <f t="shared" si="45"/>
        <v/>
      </c>
      <c r="H344" s="13" t="str">
        <f t="shared" si="46"/>
        <v/>
      </c>
      <c r="I344" s="14" t="str">
        <f t="shared" si="47"/>
        <v/>
      </c>
      <c r="L344" t="str">
        <f>IFERROR(MATCH($C$5&amp;"|"&amp;RIGHT("000000"&amp;328,6),LdgRankKeyA,0),"")</f>
        <v/>
      </c>
      <c r="M344" t="str">
        <f>IFERROR(MATCH($C$5&amp;"|"&amp;RIGHT("000000"&amp;328,6),LdgRankKeyB,0),"")</f>
        <v/>
      </c>
    </row>
    <row r="345" spans="1:13" x14ac:dyDescent="0.2">
      <c r="A345" s="3">
        <v>329</v>
      </c>
      <c r="B345" s="4" t="str">
        <f t="shared" si="40"/>
        <v/>
      </c>
      <c r="C345" s="4" t="str">
        <f t="shared" si="41"/>
        <v/>
      </c>
      <c r="D345" s="4" t="str">
        <f t="shared" si="42"/>
        <v/>
      </c>
      <c r="E345" s="5" t="str">
        <f t="shared" si="43"/>
        <v/>
      </c>
      <c r="F345" s="6" t="str">
        <f t="shared" si="44"/>
        <v/>
      </c>
      <c r="G345" s="7" t="str">
        <f t="shared" si="45"/>
        <v/>
      </c>
      <c r="H345" s="7" t="str">
        <f t="shared" si="46"/>
        <v/>
      </c>
      <c r="I345" s="8" t="str">
        <f t="shared" si="47"/>
        <v/>
      </c>
      <c r="L345" t="str">
        <f>IFERROR(MATCH($C$5&amp;"|"&amp;RIGHT("000000"&amp;329,6),LdgRankKeyA,0),"")</f>
        <v/>
      </c>
      <c r="M345" t="str">
        <f>IFERROR(MATCH($C$5&amp;"|"&amp;RIGHT("000000"&amp;329,6),LdgRankKeyB,0),"")</f>
        <v/>
      </c>
    </row>
    <row r="346" spans="1:13" x14ac:dyDescent="0.2">
      <c r="A346" s="9">
        <v>330</v>
      </c>
      <c r="B346" s="10" t="str">
        <f t="shared" si="40"/>
        <v/>
      </c>
      <c r="C346" s="10" t="str">
        <f t="shared" si="41"/>
        <v/>
      </c>
      <c r="D346" s="10" t="str">
        <f t="shared" si="42"/>
        <v/>
      </c>
      <c r="E346" s="11" t="str">
        <f t="shared" si="43"/>
        <v/>
      </c>
      <c r="F346" s="12" t="str">
        <f t="shared" si="44"/>
        <v/>
      </c>
      <c r="G346" s="13" t="str">
        <f t="shared" si="45"/>
        <v/>
      </c>
      <c r="H346" s="13" t="str">
        <f t="shared" si="46"/>
        <v/>
      </c>
      <c r="I346" s="14" t="str">
        <f t="shared" si="47"/>
        <v/>
      </c>
      <c r="L346" t="str">
        <f>IFERROR(MATCH($C$5&amp;"|"&amp;RIGHT("000000"&amp;330,6),LdgRankKeyA,0),"")</f>
        <v/>
      </c>
      <c r="M346" t="str">
        <f>IFERROR(MATCH($C$5&amp;"|"&amp;RIGHT("000000"&amp;330,6),LdgRankKeyB,0),"")</f>
        <v/>
      </c>
    </row>
    <row r="347" spans="1:13" x14ac:dyDescent="0.2">
      <c r="A347" s="3">
        <v>331</v>
      </c>
      <c r="B347" s="4" t="str">
        <f t="shared" si="40"/>
        <v/>
      </c>
      <c r="C347" s="4" t="str">
        <f t="shared" si="41"/>
        <v/>
      </c>
      <c r="D347" s="4" t="str">
        <f t="shared" si="42"/>
        <v/>
      </c>
      <c r="E347" s="5" t="str">
        <f t="shared" si="43"/>
        <v/>
      </c>
      <c r="F347" s="6" t="str">
        <f t="shared" si="44"/>
        <v/>
      </c>
      <c r="G347" s="7" t="str">
        <f t="shared" si="45"/>
        <v/>
      </c>
      <c r="H347" s="7" t="str">
        <f t="shared" si="46"/>
        <v/>
      </c>
      <c r="I347" s="8" t="str">
        <f t="shared" si="47"/>
        <v/>
      </c>
      <c r="L347" t="str">
        <f>IFERROR(MATCH($C$5&amp;"|"&amp;RIGHT("000000"&amp;331,6),LdgRankKeyA,0),"")</f>
        <v/>
      </c>
      <c r="M347" t="str">
        <f>IFERROR(MATCH($C$5&amp;"|"&amp;RIGHT("000000"&amp;331,6),LdgRankKeyB,0),"")</f>
        <v/>
      </c>
    </row>
    <row r="348" spans="1:13" x14ac:dyDescent="0.2">
      <c r="A348" s="9">
        <v>332</v>
      </c>
      <c r="B348" s="10" t="str">
        <f t="shared" si="40"/>
        <v/>
      </c>
      <c r="C348" s="10" t="str">
        <f t="shared" si="41"/>
        <v/>
      </c>
      <c r="D348" s="10" t="str">
        <f t="shared" si="42"/>
        <v/>
      </c>
      <c r="E348" s="11" t="str">
        <f t="shared" si="43"/>
        <v/>
      </c>
      <c r="F348" s="12" t="str">
        <f t="shared" si="44"/>
        <v/>
      </c>
      <c r="G348" s="13" t="str">
        <f t="shared" si="45"/>
        <v/>
      </c>
      <c r="H348" s="13" t="str">
        <f t="shared" si="46"/>
        <v/>
      </c>
      <c r="I348" s="14" t="str">
        <f t="shared" si="47"/>
        <v/>
      </c>
      <c r="L348" t="str">
        <f>IFERROR(MATCH($C$5&amp;"|"&amp;RIGHT("000000"&amp;332,6),LdgRankKeyA,0),"")</f>
        <v/>
      </c>
      <c r="M348" t="str">
        <f>IFERROR(MATCH($C$5&amp;"|"&amp;RIGHT("000000"&amp;332,6),LdgRankKeyB,0),"")</f>
        <v/>
      </c>
    </row>
    <row r="349" spans="1:13" x14ac:dyDescent="0.2">
      <c r="A349" s="3">
        <v>333</v>
      </c>
      <c r="B349" s="4" t="str">
        <f t="shared" si="40"/>
        <v/>
      </c>
      <c r="C349" s="4" t="str">
        <f t="shared" si="41"/>
        <v/>
      </c>
      <c r="D349" s="4" t="str">
        <f t="shared" si="42"/>
        <v/>
      </c>
      <c r="E349" s="5" t="str">
        <f t="shared" si="43"/>
        <v/>
      </c>
      <c r="F349" s="6" t="str">
        <f t="shared" si="44"/>
        <v/>
      </c>
      <c r="G349" s="7" t="str">
        <f t="shared" si="45"/>
        <v/>
      </c>
      <c r="H349" s="7" t="str">
        <f t="shared" si="46"/>
        <v/>
      </c>
      <c r="I349" s="8" t="str">
        <f t="shared" si="47"/>
        <v/>
      </c>
      <c r="L349" t="str">
        <f>IFERROR(MATCH($C$5&amp;"|"&amp;RIGHT("000000"&amp;333,6),LdgRankKeyA,0),"")</f>
        <v/>
      </c>
      <c r="M349" t="str">
        <f>IFERROR(MATCH($C$5&amp;"|"&amp;RIGHT("000000"&amp;333,6),LdgRankKeyB,0),"")</f>
        <v/>
      </c>
    </row>
    <row r="350" spans="1:13" x14ac:dyDescent="0.2">
      <c r="A350" s="9">
        <v>334</v>
      </c>
      <c r="B350" s="10" t="str">
        <f t="shared" si="40"/>
        <v/>
      </c>
      <c r="C350" s="10" t="str">
        <f t="shared" si="41"/>
        <v/>
      </c>
      <c r="D350" s="10" t="str">
        <f t="shared" si="42"/>
        <v/>
      </c>
      <c r="E350" s="11" t="str">
        <f t="shared" si="43"/>
        <v/>
      </c>
      <c r="F350" s="12" t="str">
        <f t="shared" si="44"/>
        <v/>
      </c>
      <c r="G350" s="13" t="str">
        <f t="shared" si="45"/>
        <v/>
      </c>
      <c r="H350" s="13" t="str">
        <f t="shared" si="46"/>
        <v/>
      </c>
      <c r="I350" s="14" t="str">
        <f t="shared" si="47"/>
        <v/>
      </c>
      <c r="L350" t="str">
        <f>IFERROR(MATCH($C$5&amp;"|"&amp;RIGHT("000000"&amp;334,6),LdgRankKeyA,0),"")</f>
        <v/>
      </c>
      <c r="M350" t="str">
        <f>IFERROR(MATCH($C$5&amp;"|"&amp;RIGHT("000000"&amp;334,6),LdgRankKeyB,0),"")</f>
        <v/>
      </c>
    </row>
    <row r="351" spans="1:13" x14ac:dyDescent="0.2">
      <c r="A351" s="3">
        <v>335</v>
      </c>
      <c r="B351" s="4" t="str">
        <f t="shared" si="40"/>
        <v/>
      </c>
      <c r="C351" s="4" t="str">
        <f t="shared" si="41"/>
        <v/>
      </c>
      <c r="D351" s="4" t="str">
        <f t="shared" si="42"/>
        <v/>
      </c>
      <c r="E351" s="5" t="str">
        <f t="shared" si="43"/>
        <v/>
      </c>
      <c r="F351" s="6" t="str">
        <f t="shared" si="44"/>
        <v/>
      </c>
      <c r="G351" s="7" t="str">
        <f t="shared" si="45"/>
        <v/>
      </c>
      <c r="H351" s="7" t="str">
        <f t="shared" si="46"/>
        <v/>
      </c>
      <c r="I351" s="8" t="str">
        <f t="shared" si="47"/>
        <v/>
      </c>
      <c r="L351" t="str">
        <f>IFERROR(MATCH($C$5&amp;"|"&amp;RIGHT("000000"&amp;335,6),LdgRankKeyA,0),"")</f>
        <v/>
      </c>
      <c r="M351" t="str">
        <f>IFERROR(MATCH($C$5&amp;"|"&amp;RIGHT("000000"&amp;335,6),LdgRankKeyB,0),"")</f>
        <v/>
      </c>
    </row>
    <row r="352" spans="1:13" x14ac:dyDescent="0.2">
      <c r="A352" s="9">
        <v>336</v>
      </c>
      <c r="B352" s="10" t="str">
        <f t="shared" si="40"/>
        <v/>
      </c>
      <c r="C352" s="10" t="str">
        <f t="shared" si="41"/>
        <v/>
      </c>
      <c r="D352" s="10" t="str">
        <f t="shared" si="42"/>
        <v/>
      </c>
      <c r="E352" s="11" t="str">
        <f t="shared" si="43"/>
        <v/>
      </c>
      <c r="F352" s="12" t="str">
        <f t="shared" si="44"/>
        <v/>
      </c>
      <c r="G352" s="13" t="str">
        <f t="shared" si="45"/>
        <v/>
      </c>
      <c r="H352" s="13" t="str">
        <f t="shared" si="46"/>
        <v/>
      </c>
      <c r="I352" s="14" t="str">
        <f t="shared" si="47"/>
        <v/>
      </c>
      <c r="L352" t="str">
        <f>IFERROR(MATCH($C$5&amp;"|"&amp;RIGHT("000000"&amp;336,6),LdgRankKeyA,0),"")</f>
        <v/>
      </c>
      <c r="M352" t="str">
        <f>IFERROR(MATCH($C$5&amp;"|"&amp;RIGHT("000000"&amp;336,6),LdgRankKeyB,0),"")</f>
        <v/>
      </c>
    </row>
    <row r="353" spans="1:13" x14ac:dyDescent="0.2">
      <c r="A353" s="3">
        <v>337</v>
      </c>
      <c r="B353" s="4" t="str">
        <f t="shared" si="40"/>
        <v/>
      </c>
      <c r="C353" s="4" t="str">
        <f t="shared" si="41"/>
        <v/>
      </c>
      <c r="D353" s="4" t="str">
        <f t="shared" si="42"/>
        <v/>
      </c>
      <c r="E353" s="5" t="str">
        <f t="shared" si="43"/>
        <v/>
      </c>
      <c r="F353" s="6" t="str">
        <f t="shared" si="44"/>
        <v/>
      </c>
      <c r="G353" s="7" t="str">
        <f t="shared" si="45"/>
        <v/>
      </c>
      <c r="H353" s="7" t="str">
        <f t="shared" si="46"/>
        <v/>
      </c>
      <c r="I353" s="8" t="str">
        <f t="shared" si="47"/>
        <v/>
      </c>
      <c r="L353" t="str">
        <f>IFERROR(MATCH($C$5&amp;"|"&amp;RIGHT("000000"&amp;337,6),LdgRankKeyA,0),"")</f>
        <v/>
      </c>
      <c r="M353" t="str">
        <f>IFERROR(MATCH($C$5&amp;"|"&amp;RIGHT("000000"&amp;337,6),LdgRankKeyB,0),"")</f>
        <v/>
      </c>
    </row>
    <row r="354" spans="1:13" x14ac:dyDescent="0.2">
      <c r="A354" s="9">
        <v>338</v>
      </c>
      <c r="B354" s="10" t="str">
        <f t="shared" si="40"/>
        <v/>
      </c>
      <c r="C354" s="10" t="str">
        <f t="shared" si="41"/>
        <v/>
      </c>
      <c r="D354" s="10" t="str">
        <f t="shared" si="42"/>
        <v/>
      </c>
      <c r="E354" s="11" t="str">
        <f t="shared" si="43"/>
        <v/>
      </c>
      <c r="F354" s="12" t="str">
        <f t="shared" si="44"/>
        <v/>
      </c>
      <c r="G354" s="13" t="str">
        <f t="shared" si="45"/>
        <v/>
      </c>
      <c r="H354" s="13" t="str">
        <f t="shared" si="46"/>
        <v/>
      </c>
      <c r="I354" s="14" t="str">
        <f t="shared" si="47"/>
        <v/>
      </c>
      <c r="L354" t="str">
        <f>IFERROR(MATCH($C$5&amp;"|"&amp;RIGHT("000000"&amp;338,6),LdgRankKeyA,0),"")</f>
        <v/>
      </c>
      <c r="M354" t="str">
        <f>IFERROR(MATCH($C$5&amp;"|"&amp;RIGHT("000000"&amp;338,6),LdgRankKeyB,0),"")</f>
        <v/>
      </c>
    </row>
    <row r="355" spans="1:13" x14ac:dyDescent="0.2">
      <c r="A355" s="3">
        <v>339</v>
      </c>
      <c r="B355" s="4" t="str">
        <f t="shared" si="40"/>
        <v/>
      </c>
      <c r="C355" s="4" t="str">
        <f t="shared" si="41"/>
        <v/>
      </c>
      <c r="D355" s="4" t="str">
        <f t="shared" si="42"/>
        <v/>
      </c>
      <c r="E355" s="5" t="str">
        <f t="shared" si="43"/>
        <v/>
      </c>
      <c r="F355" s="6" t="str">
        <f t="shared" si="44"/>
        <v/>
      </c>
      <c r="G355" s="7" t="str">
        <f t="shared" si="45"/>
        <v/>
      </c>
      <c r="H355" s="7" t="str">
        <f t="shared" si="46"/>
        <v/>
      </c>
      <c r="I355" s="8" t="str">
        <f t="shared" si="47"/>
        <v/>
      </c>
      <c r="L355" t="str">
        <f>IFERROR(MATCH($C$5&amp;"|"&amp;RIGHT("000000"&amp;339,6),LdgRankKeyA,0),"")</f>
        <v/>
      </c>
      <c r="M355" t="str">
        <f>IFERROR(MATCH($C$5&amp;"|"&amp;RIGHT("000000"&amp;339,6),LdgRankKeyB,0),"")</f>
        <v/>
      </c>
    </row>
    <row r="356" spans="1:13" x14ac:dyDescent="0.2">
      <c r="A356" s="9">
        <v>340</v>
      </c>
      <c r="B356" s="10" t="str">
        <f t="shared" si="40"/>
        <v/>
      </c>
      <c r="C356" s="10" t="str">
        <f t="shared" si="41"/>
        <v/>
      </c>
      <c r="D356" s="10" t="str">
        <f t="shared" si="42"/>
        <v/>
      </c>
      <c r="E356" s="11" t="str">
        <f t="shared" si="43"/>
        <v/>
      </c>
      <c r="F356" s="12" t="str">
        <f t="shared" si="44"/>
        <v/>
      </c>
      <c r="G356" s="13" t="str">
        <f t="shared" si="45"/>
        <v/>
      </c>
      <c r="H356" s="13" t="str">
        <f t="shared" si="46"/>
        <v/>
      </c>
      <c r="I356" s="14" t="str">
        <f t="shared" si="47"/>
        <v/>
      </c>
      <c r="L356" t="str">
        <f>IFERROR(MATCH($C$5&amp;"|"&amp;RIGHT("000000"&amp;340,6),LdgRankKeyA,0),"")</f>
        <v/>
      </c>
      <c r="M356" t="str">
        <f>IFERROR(MATCH($C$5&amp;"|"&amp;RIGHT("000000"&amp;340,6),LdgRankKeyB,0),"")</f>
        <v/>
      </c>
    </row>
    <row r="357" spans="1:13" x14ac:dyDescent="0.2">
      <c r="A357" s="3">
        <v>341</v>
      </c>
      <c r="B357" s="4" t="str">
        <f t="shared" si="40"/>
        <v/>
      </c>
      <c r="C357" s="4" t="str">
        <f t="shared" si="41"/>
        <v/>
      </c>
      <c r="D357" s="4" t="str">
        <f t="shared" si="42"/>
        <v/>
      </c>
      <c r="E357" s="5" t="str">
        <f t="shared" si="43"/>
        <v/>
      </c>
      <c r="F357" s="6" t="str">
        <f t="shared" si="44"/>
        <v/>
      </c>
      <c r="G357" s="7" t="str">
        <f t="shared" si="45"/>
        <v/>
      </c>
      <c r="H357" s="7" t="str">
        <f t="shared" si="46"/>
        <v/>
      </c>
      <c r="I357" s="8" t="str">
        <f t="shared" si="47"/>
        <v/>
      </c>
      <c r="L357" t="str">
        <f>IFERROR(MATCH($C$5&amp;"|"&amp;RIGHT("000000"&amp;341,6),LdgRankKeyA,0),"")</f>
        <v/>
      </c>
      <c r="M357" t="str">
        <f>IFERROR(MATCH($C$5&amp;"|"&amp;RIGHT("000000"&amp;341,6),LdgRankKeyB,0),"")</f>
        <v/>
      </c>
    </row>
    <row r="358" spans="1:13" x14ac:dyDescent="0.2">
      <c r="A358" s="9">
        <v>342</v>
      </c>
      <c r="B358" s="10" t="str">
        <f t="shared" si="40"/>
        <v/>
      </c>
      <c r="C358" s="10" t="str">
        <f t="shared" si="41"/>
        <v/>
      </c>
      <c r="D358" s="10" t="str">
        <f t="shared" si="42"/>
        <v/>
      </c>
      <c r="E358" s="11" t="str">
        <f t="shared" si="43"/>
        <v/>
      </c>
      <c r="F358" s="12" t="str">
        <f t="shared" si="44"/>
        <v/>
      </c>
      <c r="G358" s="13" t="str">
        <f t="shared" si="45"/>
        <v/>
      </c>
      <c r="H358" s="13" t="str">
        <f t="shared" si="46"/>
        <v/>
      </c>
      <c r="I358" s="14" t="str">
        <f t="shared" si="47"/>
        <v/>
      </c>
      <c r="L358" t="str">
        <f>IFERROR(MATCH($C$5&amp;"|"&amp;RIGHT("000000"&amp;342,6),LdgRankKeyA,0),"")</f>
        <v/>
      </c>
      <c r="M358" t="str">
        <f>IFERROR(MATCH($C$5&amp;"|"&amp;RIGHT("000000"&amp;342,6),LdgRankKeyB,0),"")</f>
        <v/>
      </c>
    </row>
    <row r="359" spans="1:13" x14ac:dyDescent="0.2">
      <c r="A359" s="3">
        <v>343</v>
      </c>
      <c r="B359" s="4" t="str">
        <f t="shared" si="40"/>
        <v/>
      </c>
      <c r="C359" s="4" t="str">
        <f t="shared" si="41"/>
        <v/>
      </c>
      <c r="D359" s="4" t="str">
        <f t="shared" si="42"/>
        <v/>
      </c>
      <c r="E359" s="5" t="str">
        <f t="shared" si="43"/>
        <v/>
      </c>
      <c r="F359" s="6" t="str">
        <f t="shared" si="44"/>
        <v/>
      </c>
      <c r="G359" s="7" t="str">
        <f t="shared" si="45"/>
        <v/>
      </c>
      <c r="H359" s="7" t="str">
        <f t="shared" si="46"/>
        <v/>
      </c>
      <c r="I359" s="8" t="str">
        <f t="shared" si="47"/>
        <v/>
      </c>
      <c r="L359" t="str">
        <f>IFERROR(MATCH($C$5&amp;"|"&amp;RIGHT("000000"&amp;343,6),LdgRankKeyA,0),"")</f>
        <v/>
      </c>
      <c r="M359" t="str">
        <f>IFERROR(MATCH($C$5&amp;"|"&amp;RIGHT("000000"&amp;343,6),LdgRankKeyB,0),"")</f>
        <v/>
      </c>
    </row>
    <row r="360" spans="1:13" x14ac:dyDescent="0.2">
      <c r="A360" s="9">
        <v>344</v>
      </c>
      <c r="B360" s="10" t="str">
        <f t="shared" si="40"/>
        <v/>
      </c>
      <c r="C360" s="10" t="str">
        <f t="shared" si="41"/>
        <v/>
      </c>
      <c r="D360" s="10" t="str">
        <f t="shared" si="42"/>
        <v/>
      </c>
      <c r="E360" s="11" t="str">
        <f t="shared" si="43"/>
        <v/>
      </c>
      <c r="F360" s="12" t="str">
        <f t="shared" si="44"/>
        <v/>
      </c>
      <c r="G360" s="13" t="str">
        <f t="shared" si="45"/>
        <v/>
      </c>
      <c r="H360" s="13" t="str">
        <f t="shared" si="46"/>
        <v/>
      </c>
      <c r="I360" s="14" t="str">
        <f t="shared" si="47"/>
        <v/>
      </c>
      <c r="L360" t="str">
        <f>IFERROR(MATCH($C$5&amp;"|"&amp;RIGHT("000000"&amp;344,6),LdgRankKeyA,0),"")</f>
        <v/>
      </c>
      <c r="M360" t="str">
        <f>IFERROR(MATCH($C$5&amp;"|"&amp;RIGHT("000000"&amp;344,6),LdgRankKeyB,0),"")</f>
        <v/>
      </c>
    </row>
    <row r="361" spans="1:13" x14ac:dyDescent="0.2">
      <c r="A361" s="3">
        <v>345</v>
      </c>
      <c r="B361" s="4" t="str">
        <f t="shared" si="40"/>
        <v/>
      </c>
      <c r="C361" s="4" t="str">
        <f t="shared" si="41"/>
        <v/>
      </c>
      <c r="D361" s="4" t="str">
        <f t="shared" si="42"/>
        <v/>
      </c>
      <c r="E361" s="5" t="str">
        <f t="shared" si="43"/>
        <v/>
      </c>
      <c r="F361" s="6" t="str">
        <f t="shared" si="44"/>
        <v/>
      </c>
      <c r="G361" s="7" t="str">
        <f t="shared" si="45"/>
        <v/>
      </c>
      <c r="H361" s="7" t="str">
        <f t="shared" si="46"/>
        <v/>
      </c>
      <c r="I361" s="8" t="str">
        <f t="shared" si="47"/>
        <v/>
      </c>
      <c r="L361" t="str">
        <f>IFERROR(MATCH($C$5&amp;"|"&amp;RIGHT("000000"&amp;345,6),LdgRankKeyA,0),"")</f>
        <v/>
      </c>
      <c r="M361" t="str">
        <f>IFERROR(MATCH($C$5&amp;"|"&amp;RIGHT("000000"&amp;345,6),LdgRankKeyB,0),"")</f>
        <v/>
      </c>
    </row>
    <row r="362" spans="1:13" x14ac:dyDescent="0.2">
      <c r="A362" s="9">
        <v>346</v>
      </c>
      <c r="B362" s="10" t="str">
        <f t="shared" si="40"/>
        <v/>
      </c>
      <c r="C362" s="10" t="str">
        <f t="shared" si="41"/>
        <v/>
      </c>
      <c r="D362" s="10" t="str">
        <f t="shared" si="42"/>
        <v/>
      </c>
      <c r="E362" s="11" t="str">
        <f t="shared" si="43"/>
        <v/>
      </c>
      <c r="F362" s="12" t="str">
        <f t="shared" si="44"/>
        <v/>
      </c>
      <c r="G362" s="13" t="str">
        <f t="shared" si="45"/>
        <v/>
      </c>
      <c r="H362" s="13" t="str">
        <f t="shared" si="46"/>
        <v/>
      </c>
      <c r="I362" s="14" t="str">
        <f t="shared" si="47"/>
        <v/>
      </c>
      <c r="L362" t="str">
        <f>IFERROR(MATCH($C$5&amp;"|"&amp;RIGHT("000000"&amp;346,6),LdgRankKeyA,0),"")</f>
        <v/>
      </c>
      <c r="M362" t="str">
        <f>IFERROR(MATCH($C$5&amp;"|"&amp;RIGHT("000000"&amp;346,6),LdgRankKeyB,0),"")</f>
        <v/>
      </c>
    </row>
    <row r="363" spans="1:13" x14ac:dyDescent="0.2">
      <c r="A363" s="3">
        <v>347</v>
      </c>
      <c r="B363" s="4" t="str">
        <f t="shared" si="40"/>
        <v/>
      </c>
      <c r="C363" s="4" t="str">
        <f t="shared" si="41"/>
        <v/>
      </c>
      <c r="D363" s="4" t="str">
        <f t="shared" si="42"/>
        <v/>
      </c>
      <c r="E363" s="5" t="str">
        <f t="shared" si="43"/>
        <v/>
      </c>
      <c r="F363" s="6" t="str">
        <f t="shared" si="44"/>
        <v/>
      </c>
      <c r="G363" s="7" t="str">
        <f t="shared" si="45"/>
        <v/>
      </c>
      <c r="H363" s="7" t="str">
        <f t="shared" si="46"/>
        <v/>
      </c>
      <c r="I363" s="8" t="str">
        <f t="shared" si="47"/>
        <v/>
      </c>
      <c r="L363" t="str">
        <f>IFERROR(MATCH($C$5&amp;"|"&amp;RIGHT("000000"&amp;347,6),LdgRankKeyA,0),"")</f>
        <v/>
      </c>
      <c r="M363" t="str">
        <f>IFERROR(MATCH($C$5&amp;"|"&amp;RIGHT("000000"&amp;347,6),LdgRankKeyB,0),"")</f>
        <v/>
      </c>
    </row>
    <row r="364" spans="1:13" x14ac:dyDescent="0.2">
      <c r="A364" s="9">
        <v>348</v>
      </c>
      <c r="B364" s="10" t="str">
        <f t="shared" si="40"/>
        <v/>
      </c>
      <c r="C364" s="10" t="str">
        <f t="shared" si="41"/>
        <v/>
      </c>
      <c r="D364" s="10" t="str">
        <f t="shared" si="42"/>
        <v/>
      </c>
      <c r="E364" s="11" t="str">
        <f t="shared" si="43"/>
        <v/>
      </c>
      <c r="F364" s="12" t="str">
        <f t="shared" si="44"/>
        <v/>
      </c>
      <c r="G364" s="13" t="str">
        <f t="shared" si="45"/>
        <v/>
      </c>
      <c r="H364" s="13" t="str">
        <f t="shared" si="46"/>
        <v/>
      </c>
      <c r="I364" s="14" t="str">
        <f t="shared" si="47"/>
        <v/>
      </c>
      <c r="L364" t="str">
        <f>IFERROR(MATCH($C$5&amp;"|"&amp;RIGHT("000000"&amp;348,6),LdgRankKeyA,0),"")</f>
        <v/>
      </c>
      <c r="M364" t="str">
        <f>IFERROR(MATCH($C$5&amp;"|"&amp;RIGHT("000000"&amp;348,6),LdgRankKeyB,0),"")</f>
        <v/>
      </c>
    </row>
    <row r="365" spans="1:13" x14ac:dyDescent="0.2">
      <c r="A365" s="3">
        <v>349</v>
      </c>
      <c r="B365" s="4" t="str">
        <f t="shared" si="40"/>
        <v/>
      </c>
      <c r="C365" s="4" t="str">
        <f t="shared" si="41"/>
        <v/>
      </c>
      <c r="D365" s="4" t="str">
        <f t="shared" si="42"/>
        <v/>
      </c>
      <c r="E365" s="5" t="str">
        <f t="shared" si="43"/>
        <v/>
      </c>
      <c r="F365" s="6" t="str">
        <f t="shared" si="44"/>
        <v/>
      </c>
      <c r="G365" s="7" t="str">
        <f t="shared" si="45"/>
        <v/>
      </c>
      <c r="H365" s="7" t="str">
        <f t="shared" si="46"/>
        <v/>
      </c>
      <c r="I365" s="8" t="str">
        <f t="shared" si="47"/>
        <v/>
      </c>
      <c r="L365" t="str">
        <f>IFERROR(MATCH($C$5&amp;"|"&amp;RIGHT("000000"&amp;349,6),LdgRankKeyA,0),"")</f>
        <v/>
      </c>
      <c r="M365" t="str">
        <f>IFERROR(MATCH($C$5&amp;"|"&amp;RIGHT("000000"&amp;349,6),LdgRankKeyB,0),"")</f>
        <v/>
      </c>
    </row>
    <row r="366" spans="1:13" x14ac:dyDescent="0.2">
      <c r="A366" s="9">
        <v>350</v>
      </c>
      <c r="B366" s="10" t="str">
        <f t="shared" si="40"/>
        <v/>
      </c>
      <c r="C366" s="10" t="str">
        <f t="shared" si="41"/>
        <v/>
      </c>
      <c r="D366" s="10" t="str">
        <f t="shared" si="42"/>
        <v/>
      </c>
      <c r="E366" s="11" t="str">
        <f t="shared" si="43"/>
        <v/>
      </c>
      <c r="F366" s="12" t="str">
        <f t="shared" si="44"/>
        <v/>
      </c>
      <c r="G366" s="13" t="str">
        <f t="shared" si="45"/>
        <v/>
      </c>
      <c r="H366" s="13" t="str">
        <f t="shared" si="46"/>
        <v/>
      </c>
      <c r="I366" s="14" t="str">
        <f t="shared" si="47"/>
        <v/>
      </c>
      <c r="L366" t="str">
        <f>IFERROR(MATCH($C$5&amp;"|"&amp;RIGHT("000000"&amp;350,6),LdgRankKeyA,0),"")</f>
        <v/>
      </c>
      <c r="M366" t="str">
        <f>IFERROR(MATCH($C$5&amp;"|"&amp;RIGHT("000000"&amp;350,6),LdgRankKeyB,0),"")</f>
        <v/>
      </c>
    </row>
    <row r="367" spans="1:13" x14ac:dyDescent="0.2">
      <c r="A367" s="3">
        <v>351</v>
      </c>
      <c r="B367" s="4" t="str">
        <f t="shared" si="40"/>
        <v/>
      </c>
      <c r="C367" s="4" t="str">
        <f t="shared" si="41"/>
        <v/>
      </c>
      <c r="D367" s="4" t="str">
        <f t="shared" si="42"/>
        <v/>
      </c>
      <c r="E367" s="5" t="str">
        <f t="shared" si="43"/>
        <v/>
      </c>
      <c r="F367" s="6" t="str">
        <f t="shared" si="44"/>
        <v/>
      </c>
      <c r="G367" s="7" t="str">
        <f t="shared" si="45"/>
        <v/>
      </c>
      <c r="H367" s="7" t="str">
        <f t="shared" si="46"/>
        <v/>
      </c>
      <c r="I367" s="8" t="str">
        <f t="shared" si="47"/>
        <v/>
      </c>
      <c r="L367" t="str">
        <f>IFERROR(MATCH($C$5&amp;"|"&amp;RIGHT("000000"&amp;351,6),LdgRankKeyA,0),"")</f>
        <v/>
      </c>
      <c r="M367" t="str">
        <f>IFERROR(MATCH($C$5&amp;"|"&amp;RIGHT("000000"&amp;351,6),LdgRankKeyB,0),"")</f>
        <v/>
      </c>
    </row>
    <row r="368" spans="1:13" x14ac:dyDescent="0.2">
      <c r="A368" s="9">
        <v>352</v>
      </c>
      <c r="B368" s="10" t="str">
        <f t="shared" si="40"/>
        <v/>
      </c>
      <c r="C368" s="10" t="str">
        <f t="shared" si="41"/>
        <v/>
      </c>
      <c r="D368" s="10" t="str">
        <f t="shared" si="42"/>
        <v/>
      </c>
      <c r="E368" s="11" t="str">
        <f t="shared" si="43"/>
        <v/>
      </c>
      <c r="F368" s="12" t="str">
        <f t="shared" si="44"/>
        <v/>
      </c>
      <c r="G368" s="13" t="str">
        <f t="shared" si="45"/>
        <v/>
      </c>
      <c r="H368" s="13" t="str">
        <f t="shared" si="46"/>
        <v/>
      </c>
      <c r="I368" s="14" t="str">
        <f t="shared" si="47"/>
        <v/>
      </c>
      <c r="L368" t="str">
        <f>IFERROR(MATCH($C$5&amp;"|"&amp;RIGHT("000000"&amp;352,6),LdgRankKeyA,0),"")</f>
        <v/>
      </c>
      <c r="M368" t="str">
        <f>IFERROR(MATCH($C$5&amp;"|"&amp;RIGHT("000000"&amp;352,6),LdgRankKeyB,0),"")</f>
        <v/>
      </c>
    </row>
    <row r="369" spans="1:13" x14ac:dyDescent="0.2">
      <c r="A369" s="3">
        <v>353</v>
      </c>
      <c r="B369" s="4" t="str">
        <f t="shared" si="40"/>
        <v/>
      </c>
      <c r="C369" s="4" t="str">
        <f t="shared" si="41"/>
        <v/>
      </c>
      <c r="D369" s="4" t="str">
        <f t="shared" si="42"/>
        <v/>
      </c>
      <c r="E369" s="5" t="str">
        <f t="shared" si="43"/>
        <v/>
      </c>
      <c r="F369" s="6" t="str">
        <f t="shared" si="44"/>
        <v/>
      </c>
      <c r="G369" s="7" t="str">
        <f t="shared" si="45"/>
        <v/>
      </c>
      <c r="H369" s="7" t="str">
        <f t="shared" si="46"/>
        <v/>
      </c>
      <c r="I369" s="8" t="str">
        <f t="shared" si="47"/>
        <v/>
      </c>
      <c r="L369" t="str">
        <f>IFERROR(MATCH($C$5&amp;"|"&amp;RIGHT("000000"&amp;353,6),LdgRankKeyA,0),"")</f>
        <v/>
      </c>
      <c r="M369" t="str">
        <f>IFERROR(MATCH($C$5&amp;"|"&amp;RIGHT("000000"&amp;353,6),LdgRankKeyB,0),"")</f>
        <v/>
      </c>
    </row>
    <row r="370" spans="1:13" x14ac:dyDescent="0.2">
      <c r="A370" s="9">
        <v>354</v>
      </c>
      <c r="B370" s="10" t="str">
        <f t="shared" si="40"/>
        <v/>
      </c>
      <c r="C370" s="10" t="str">
        <f t="shared" si="41"/>
        <v/>
      </c>
      <c r="D370" s="10" t="str">
        <f t="shared" si="42"/>
        <v/>
      </c>
      <c r="E370" s="11" t="str">
        <f t="shared" si="43"/>
        <v/>
      </c>
      <c r="F370" s="12" t="str">
        <f t="shared" si="44"/>
        <v/>
      </c>
      <c r="G370" s="13" t="str">
        <f t="shared" si="45"/>
        <v/>
      </c>
      <c r="H370" s="13" t="str">
        <f t="shared" si="46"/>
        <v/>
      </c>
      <c r="I370" s="14" t="str">
        <f t="shared" si="47"/>
        <v/>
      </c>
      <c r="L370" t="str">
        <f>IFERROR(MATCH($C$5&amp;"|"&amp;RIGHT("000000"&amp;354,6),LdgRankKeyA,0),"")</f>
        <v/>
      </c>
      <c r="M370" t="str">
        <f>IFERROR(MATCH($C$5&amp;"|"&amp;RIGHT("000000"&amp;354,6),LdgRankKeyB,0),"")</f>
        <v/>
      </c>
    </row>
    <row r="371" spans="1:13" x14ac:dyDescent="0.2">
      <c r="A371" s="3">
        <v>355</v>
      </c>
      <c r="B371" s="4" t="str">
        <f t="shared" si="40"/>
        <v/>
      </c>
      <c r="C371" s="4" t="str">
        <f t="shared" si="41"/>
        <v/>
      </c>
      <c r="D371" s="4" t="str">
        <f t="shared" si="42"/>
        <v/>
      </c>
      <c r="E371" s="5" t="str">
        <f t="shared" si="43"/>
        <v/>
      </c>
      <c r="F371" s="6" t="str">
        <f t="shared" si="44"/>
        <v/>
      </c>
      <c r="G371" s="7" t="str">
        <f t="shared" si="45"/>
        <v/>
      </c>
      <c r="H371" s="7" t="str">
        <f t="shared" si="46"/>
        <v/>
      </c>
      <c r="I371" s="8" t="str">
        <f t="shared" si="47"/>
        <v/>
      </c>
      <c r="L371" t="str">
        <f>IFERROR(MATCH($C$5&amp;"|"&amp;RIGHT("000000"&amp;355,6),LdgRankKeyA,0),"")</f>
        <v/>
      </c>
      <c r="M371" t="str">
        <f>IFERROR(MATCH($C$5&amp;"|"&amp;RIGHT("000000"&amp;355,6),LdgRankKeyB,0),"")</f>
        <v/>
      </c>
    </row>
    <row r="372" spans="1:13" x14ac:dyDescent="0.2">
      <c r="A372" s="9">
        <v>356</v>
      </c>
      <c r="B372" s="10" t="str">
        <f t="shared" si="40"/>
        <v/>
      </c>
      <c r="C372" s="10" t="str">
        <f t="shared" si="41"/>
        <v/>
      </c>
      <c r="D372" s="10" t="str">
        <f t="shared" si="42"/>
        <v/>
      </c>
      <c r="E372" s="11" t="str">
        <f t="shared" si="43"/>
        <v/>
      </c>
      <c r="F372" s="12" t="str">
        <f t="shared" si="44"/>
        <v/>
      </c>
      <c r="G372" s="13" t="str">
        <f t="shared" si="45"/>
        <v/>
      </c>
      <c r="H372" s="13" t="str">
        <f t="shared" si="46"/>
        <v/>
      </c>
      <c r="I372" s="14" t="str">
        <f t="shared" si="47"/>
        <v/>
      </c>
      <c r="L372" t="str">
        <f>IFERROR(MATCH($C$5&amp;"|"&amp;RIGHT("000000"&amp;356,6),LdgRankKeyA,0),"")</f>
        <v/>
      </c>
      <c r="M372" t="str">
        <f>IFERROR(MATCH($C$5&amp;"|"&amp;RIGHT("000000"&amp;356,6),LdgRankKeyB,0),"")</f>
        <v/>
      </c>
    </row>
    <row r="373" spans="1:13" x14ac:dyDescent="0.2">
      <c r="A373" s="3">
        <v>357</v>
      </c>
      <c r="B373" s="4" t="str">
        <f t="shared" si="40"/>
        <v/>
      </c>
      <c r="C373" s="4" t="str">
        <f t="shared" si="41"/>
        <v/>
      </c>
      <c r="D373" s="4" t="str">
        <f t="shared" si="42"/>
        <v/>
      </c>
      <c r="E373" s="5" t="str">
        <f t="shared" si="43"/>
        <v/>
      </c>
      <c r="F373" s="6" t="str">
        <f t="shared" si="44"/>
        <v/>
      </c>
      <c r="G373" s="7" t="str">
        <f t="shared" si="45"/>
        <v/>
      </c>
      <c r="H373" s="7" t="str">
        <f t="shared" si="46"/>
        <v/>
      </c>
      <c r="I373" s="8" t="str">
        <f t="shared" si="47"/>
        <v/>
      </c>
      <c r="L373" t="str">
        <f>IFERROR(MATCH($C$5&amp;"|"&amp;RIGHT("000000"&amp;357,6),LdgRankKeyA,0),"")</f>
        <v/>
      </c>
      <c r="M373" t="str">
        <f>IFERROR(MATCH($C$5&amp;"|"&amp;RIGHT("000000"&amp;357,6),LdgRankKeyB,0),"")</f>
        <v/>
      </c>
    </row>
    <row r="374" spans="1:13" x14ac:dyDescent="0.2">
      <c r="A374" s="9">
        <v>358</v>
      </c>
      <c r="B374" s="10" t="str">
        <f t="shared" si="40"/>
        <v/>
      </c>
      <c r="C374" s="10" t="str">
        <f t="shared" si="41"/>
        <v/>
      </c>
      <c r="D374" s="10" t="str">
        <f t="shared" si="42"/>
        <v/>
      </c>
      <c r="E374" s="11" t="str">
        <f t="shared" si="43"/>
        <v/>
      </c>
      <c r="F374" s="12" t="str">
        <f t="shared" si="44"/>
        <v/>
      </c>
      <c r="G374" s="13" t="str">
        <f t="shared" si="45"/>
        <v/>
      </c>
      <c r="H374" s="13" t="str">
        <f t="shared" si="46"/>
        <v/>
      </c>
      <c r="I374" s="14" t="str">
        <f t="shared" si="47"/>
        <v/>
      </c>
      <c r="L374" t="str">
        <f>IFERROR(MATCH($C$5&amp;"|"&amp;RIGHT("000000"&amp;358,6),LdgRankKeyA,0),"")</f>
        <v/>
      </c>
      <c r="M374" t="str">
        <f>IFERROR(MATCH($C$5&amp;"|"&amp;RIGHT("000000"&amp;358,6),LdgRankKeyB,0),"")</f>
        <v/>
      </c>
    </row>
    <row r="375" spans="1:13" x14ac:dyDescent="0.2">
      <c r="A375" s="3">
        <v>359</v>
      </c>
      <c r="B375" s="4" t="str">
        <f t="shared" si="40"/>
        <v/>
      </c>
      <c r="C375" s="4" t="str">
        <f t="shared" si="41"/>
        <v/>
      </c>
      <c r="D375" s="4" t="str">
        <f t="shared" si="42"/>
        <v/>
      </c>
      <c r="E375" s="5" t="str">
        <f t="shared" si="43"/>
        <v/>
      </c>
      <c r="F375" s="6" t="str">
        <f t="shared" si="44"/>
        <v/>
      </c>
      <c r="G375" s="7" t="str">
        <f t="shared" si="45"/>
        <v/>
      </c>
      <c r="H375" s="7" t="str">
        <f t="shared" si="46"/>
        <v/>
      </c>
      <c r="I375" s="8" t="str">
        <f t="shared" si="47"/>
        <v/>
      </c>
      <c r="L375" t="str">
        <f>IFERROR(MATCH($C$5&amp;"|"&amp;RIGHT("000000"&amp;359,6),LdgRankKeyA,0),"")</f>
        <v/>
      </c>
      <c r="M375" t="str">
        <f>IFERROR(MATCH($C$5&amp;"|"&amp;RIGHT("000000"&amp;359,6),LdgRankKeyB,0),"")</f>
        <v/>
      </c>
    </row>
    <row r="376" spans="1:13" x14ac:dyDescent="0.2">
      <c r="A376" s="9">
        <v>360</v>
      </c>
      <c r="B376" s="10" t="str">
        <f t="shared" si="40"/>
        <v/>
      </c>
      <c r="C376" s="10" t="str">
        <f t="shared" si="41"/>
        <v/>
      </c>
      <c r="D376" s="10" t="str">
        <f t="shared" si="42"/>
        <v/>
      </c>
      <c r="E376" s="11" t="str">
        <f t="shared" si="43"/>
        <v/>
      </c>
      <c r="F376" s="12" t="str">
        <f t="shared" si="44"/>
        <v/>
      </c>
      <c r="G376" s="13" t="str">
        <f t="shared" si="45"/>
        <v/>
      </c>
      <c r="H376" s="13" t="str">
        <f t="shared" si="46"/>
        <v/>
      </c>
      <c r="I376" s="14" t="str">
        <f t="shared" si="47"/>
        <v/>
      </c>
      <c r="L376" t="str">
        <f>IFERROR(MATCH($C$5&amp;"|"&amp;RIGHT("000000"&amp;360,6),LdgRankKeyA,0),"")</f>
        <v/>
      </c>
      <c r="M376" t="str">
        <f>IFERROR(MATCH($C$5&amp;"|"&amp;RIGHT("000000"&amp;360,6),LdgRankKeyB,0),"")</f>
        <v/>
      </c>
    </row>
    <row r="377" spans="1:13" x14ac:dyDescent="0.2">
      <c r="A377" s="3">
        <v>361</v>
      </c>
      <c r="B377" s="4" t="str">
        <f t="shared" si="40"/>
        <v/>
      </c>
      <c r="C377" s="4" t="str">
        <f t="shared" si="41"/>
        <v/>
      </c>
      <c r="D377" s="4" t="str">
        <f t="shared" si="42"/>
        <v/>
      </c>
      <c r="E377" s="5" t="str">
        <f t="shared" si="43"/>
        <v/>
      </c>
      <c r="F377" s="6" t="str">
        <f t="shared" si="44"/>
        <v/>
      </c>
      <c r="G377" s="7" t="str">
        <f t="shared" si="45"/>
        <v/>
      </c>
      <c r="H377" s="7" t="str">
        <f t="shared" si="46"/>
        <v/>
      </c>
      <c r="I377" s="8" t="str">
        <f t="shared" si="47"/>
        <v/>
      </c>
      <c r="L377" t="str">
        <f>IFERROR(MATCH($C$5&amp;"|"&amp;RIGHT("000000"&amp;361,6),LdgRankKeyA,0),"")</f>
        <v/>
      </c>
      <c r="M377" t="str">
        <f>IFERROR(MATCH($C$5&amp;"|"&amp;RIGHT("000000"&amp;361,6),LdgRankKeyB,0),"")</f>
        <v/>
      </c>
    </row>
    <row r="378" spans="1:13" x14ac:dyDescent="0.2">
      <c r="A378" s="9">
        <v>362</v>
      </c>
      <c r="B378" s="10" t="str">
        <f t="shared" si="40"/>
        <v/>
      </c>
      <c r="C378" s="10" t="str">
        <f t="shared" si="41"/>
        <v/>
      </c>
      <c r="D378" s="10" t="str">
        <f t="shared" si="42"/>
        <v/>
      </c>
      <c r="E378" s="11" t="str">
        <f t="shared" si="43"/>
        <v/>
      </c>
      <c r="F378" s="12" t="str">
        <f t="shared" si="44"/>
        <v/>
      </c>
      <c r="G378" s="13" t="str">
        <f t="shared" si="45"/>
        <v/>
      </c>
      <c r="H378" s="13" t="str">
        <f t="shared" si="46"/>
        <v/>
      </c>
      <c r="I378" s="14" t="str">
        <f t="shared" si="47"/>
        <v/>
      </c>
      <c r="L378" t="str">
        <f>IFERROR(MATCH($C$5&amp;"|"&amp;RIGHT("000000"&amp;362,6),LdgRankKeyA,0),"")</f>
        <v/>
      </c>
      <c r="M378" t="str">
        <f>IFERROR(MATCH($C$5&amp;"|"&amp;RIGHT("000000"&amp;362,6),LdgRankKeyB,0),"")</f>
        <v/>
      </c>
    </row>
    <row r="379" spans="1:13" x14ac:dyDescent="0.2">
      <c r="A379" s="3">
        <v>363</v>
      </c>
      <c r="B379" s="4" t="str">
        <f t="shared" si="40"/>
        <v/>
      </c>
      <c r="C379" s="4" t="str">
        <f t="shared" si="41"/>
        <v/>
      </c>
      <c r="D379" s="4" t="str">
        <f t="shared" si="42"/>
        <v/>
      </c>
      <c r="E379" s="5" t="str">
        <f t="shared" si="43"/>
        <v/>
      </c>
      <c r="F379" s="6" t="str">
        <f t="shared" si="44"/>
        <v/>
      </c>
      <c r="G379" s="7" t="str">
        <f t="shared" si="45"/>
        <v/>
      </c>
      <c r="H379" s="7" t="str">
        <f t="shared" si="46"/>
        <v/>
      </c>
      <c r="I379" s="8" t="str">
        <f t="shared" si="47"/>
        <v/>
      </c>
      <c r="L379" t="str">
        <f>IFERROR(MATCH($C$5&amp;"|"&amp;RIGHT("000000"&amp;363,6),LdgRankKeyA,0),"")</f>
        <v/>
      </c>
      <c r="M379" t="str">
        <f>IFERROR(MATCH($C$5&amp;"|"&amp;RIGHT("000000"&amp;363,6),LdgRankKeyB,0),"")</f>
        <v/>
      </c>
    </row>
    <row r="380" spans="1:13" x14ac:dyDescent="0.2">
      <c r="A380" s="9">
        <v>364</v>
      </c>
      <c r="B380" s="10" t="str">
        <f t="shared" si="40"/>
        <v/>
      </c>
      <c r="C380" s="10" t="str">
        <f t="shared" si="41"/>
        <v/>
      </c>
      <c r="D380" s="10" t="str">
        <f t="shared" si="42"/>
        <v/>
      </c>
      <c r="E380" s="11" t="str">
        <f t="shared" si="43"/>
        <v/>
      </c>
      <c r="F380" s="12" t="str">
        <f t="shared" si="44"/>
        <v/>
      </c>
      <c r="G380" s="13" t="str">
        <f t="shared" si="45"/>
        <v/>
      </c>
      <c r="H380" s="13" t="str">
        <f t="shared" si="46"/>
        <v/>
      </c>
      <c r="I380" s="14" t="str">
        <f t="shared" si="47"/>
        <v/>
      </c>
      <c r="L380" t="str">
        <f>IFERROR(MATCH($C$5&amp;"|"&amp;RIGHT("000000"&amp;364,6),LdgRankKeyA,0),"")</f>
        <v/>
      </c>
      <c r="M380" t="str">
        <f>IFERROR(MATCH($C$5&amp;"|"&amp;RIGHT("000000"&amp;364,6),LdgRankKeyB,0),"")</f>
        <v/>
      </c>
    </row>
    <row r="381" spans="1:13" x14ac:dyDescent="0.2">
      <c r="A381" s="3">
        <v>365</v>
      </c>
      <c r="B381" s="4" t="str">
        <f t="shared" si="40"/>
        <v/>
      </c>
      <c r="C381" s="4" t="str">
        <f t="shared" si="41"/>
        <v/>
      </c>
      <c r="D381" s="4" t="str">
        <f t="shared" si="42"/>
        <v/>
      </c>
      <c r="E381" s="5" t="str">
        <f t="shared" si="43"/>
        <v/>
      </c>
      <c r="F381" s="6" t="str">
        <f t="shared" si="44"/>
        <v/>
      </c>
      <c r="G381" s="7" t="str">
        <f t="shared" si="45"/>
        <v/>
      </c>
      <c r="H381" s="7" t="str">
        <f t="shared" si="46"/>
        <v/>
      </c>
      <c r="I381" s="8" t="str">
        <f t="shared" si="47"/>
        <v/>
      </c>
      <c r="L381" t="str">
        <f>IFERROR(MATCH($C$5&amp;"|"&amp;RIGHT("000000"&amp;365,6),LdgRankKeyA,0),"")</f>
        <v/>
      </c>
      <c r="M381" t="str">
        <f>IFERROR(MATCH($C$5&amp;"|"&amp;RIGHT("000000"&amp;365,6),LdgRankKeyB,0),"")</f>
        <v/>
      </c>
    </row>
    <row r="382" spans="1:13" x14ac:dyDescent="0.2">
      <c r="A382" s="9">
        <v>366</v>
      </c>
      <c r="B382" s="10" t="str">
        <f t="shared" si="40"/>
        <v/>
      </c>
      <c r="C382" s="10" t="str">
        <f t="shared" si="41"/>
        <v/>
      </c>
      <c r="D382" s="10" t="str">
        <f t="shared" si="42"/>
        <v/>
      </c>
      <c r="E382" s="11" t="str">
        <f t="shared" si="43"/>
        <v/>
      </c>
      <c r="F382" s="12" t="str">
        <f t="shared" si="44"/>
        <v/>
      </c>
      <c r="G382" s="13" t="str">
        <f t="shared" si="45"/>
        <v/>
      </c>
      <c r="H382" s="13" t="str">
        <f t="shared" si="46"/>
        <v/>
      </c>
      <c r="I382" s="14" t="str">
        <f t="shared" si="47"/>
        <v/>
      </c>
      <c r="L382" t="str">
        <f>IFERROR(MATCH($C$5&amp;"|"&amp;RIGHT("000000"&amp;366,6),LdgRankKeyA,0),"")</f>
        <v/>
      </c>
      <c r="M382" t="str">
        <f>IFERROR(MATCH($C$5&amp;"|"&amp;RIGHT("000000"&amp;366,6),LdgRankKeyB,0),"")</f>
        <v/>
      </c>
    </row>
    <row r="383" spans="1:13" x14ac:dyDescent="0.2">
      <c r="A383" s="3">
        <v>367</v>
      </c>
      <c r="B383" s="4" t="str">
        <f t="shared" si="40"/>
        <v/>
      </c>
      <c r="C383" s="4" t="str">
        <f t="shared" si="41"/>
        <v/>
      </c>
      <c r="D383" s="4" t="str">
        <f t="shared" si="42"/>
        <v/>
      </c>
      <c r="E383" s="5" t="str">
        <f t="shared" si="43"/>
        <v/>
      </c>
      <c r="F383" s="6" t="str">
        <f t="shared" si="44"/>
        <v/>
      </c>
      <c r="G383" s="7" t="str">
        <f t="shared" si="45"/>
        <v/>
      </c>
      <c r="H383" s="7" t="str">
        <f t="shared" si="46"/>
        <v/>
      </c>
      <c r="I383" s="8" t="str">
        <f t="shared" si="47"/>
        <v/>
      </c>
      <c r="L383" t="str">
        <f>IFERROR(MATCH($C$5&amp;"|"&amp;RIGHT("000000"&amp;367,6),LdgRankKeyA,0),"")</f>
        <v/>
      </c>
      <c r="M383" t="str">
        <f>IFERROR(MATCH($C$5&amp;"|"&amp;RIGHT("000000"&amp;367,6),LdgRankKeyB,0),"")</f>
        <v/>
      </c>
    </row>
    <row r="384" spans="1:13" x14ac:dyDescent="0.2">
      <c r="A384" s="9">
        <v>368</v>
      </c>
      <c r="B384" s="10" t="str">
        <f t="shared" si="40"/>
        <v/>
      </c>
      <c r="C384" s="10" t="str">
        <f t="shared" si="41"/>
        <v/>
      </c>
      <c r="D384" s="10" t="str">
        <f t="shared" si="42"/>
        <v/>
      </c>
      <c r="E384" s="11" t="str">
        <f t="shared" si="43"/>
        <v/>
      </c>
      <c r="F384" s="12" t="str">
        <f t="shared" si="44"/>
        <v/>
      </c>
      <c r="G384" s="13" t="str">
        <f t="shared" si="45"/>
        <v/>
      </c>
      <c r="H384" s="13" t="str">
        <f t="shared" si="46"/>
        <v/>
      </c>
      <c r="I384" s="14" t="str">
        <f t="shared" si="47"/>
        <v/>
      </c>
      <c r="L384" t="str">
        <f>IFERROR(MATCH($C$5&amp;"|"&amp;RIGHT("000000"&amp;368,6),LdgRankKeyA,0),"")</f>
        <v/>
      </c>
      <c r="M384" t="str">
        <f>IFERROR(MATCH($C$5&amp;"|"&amp;RIGHT("000000"&amp;368,6),LdgRankKeyB,0),"")</f>
        <v/>
      </c>
    </row>
    <row r="385" spans="1:13" x14ac:dyDescent="0.2">
      <c r="A385" s="3">
        <v>369</v>
      </c>
      <c r="B385" s="4" t="str">
        <f t="shared" si="40"/>
        <v/>
      </c>
      <c r="C385" s="4" t="str">
        <f t="shared" si="41"/>
        <v/>
      </c>
      <c r="D385" s="4" t="str">
        <f t="shared" si="42"/>
        <v/>
      </c>
      <c r="E385" s="5" t="str">
        <f t="shared" si="43"/>
        <v/>
      </c>
      <c r="F385" s="6" t="str">
        <f t="shared" si="44"/>
        <v/>
      </c>
      <c r="G385" s="7" t="str">
        <f t="shared" si="45"/>
        <v/>
      </c>
      <c r="H385" s="7" t="str">
        <f t="shared" si="46"/>
        <v/>
      </c>
      <c r="I385" s="8" t="str">
        <f t="shared" si="47"/>
        <v/>
      </c>
      <c r="L385" t="str">
        <f>IFERROR(MATCH($C$5&amp;"|"&amp;RIGHT("000000"&amp;369,6),LdgRankKeyA,0),"")</f>
        <v/>
      </c>
      <c r="M385" t="str">
        <f>IFERROR(MATCH($C$5&amp;"|"&amp;RIGHT("000000"&amp;369,6),LdgRankKeyB,0),"")</f>
        <v/>
      </c>
    </row>
    <row r="386" spans="1:13" x14ac:dyDescent="0.2">
      <c r="A386" s="9">
        <v>370</v>
      </c>
      <c r="B386" s="10" t="str">
        <f t="shared" si="40"/>
        <v/>
      </c>
      <c r="C386" s="10" t="str">
        <f t="shared" si="41"/>
        <v/>
      </c>
      <c r="D386" s="10" t="str">
        <f t="shared" si="42"/>
        <v/>
      </c>
      <c r="E386" s="11" t="str">
        <f t="shared" si="43"/>
        <v/>
      </c>
      <c r="F386" s="12" t="str">
        <f t="shared" si="44"/>
        <v/>
      </c>
      <c r="G386" s="13" t="str">
        <f t="shared" si="45"/>
        <v/>
      </c>
      <c r="H386" s="13" t="str">
        <f t="shared" si="46"/>
        <v/>
      </c>
      <c r="I386" s="14" t="str">
        <f t="shared" si="47"/>
        <v/>
      </c>
      <c r="L386" t="str">
        <f>IFERROR(MATCH($C$5&amp;"|"&amp;RIGHT("000000"&amp;370,6),LdgRankKeyA,0),"")</f>
        <v/>
      </c>
      <c r="M386" t="str">
        <f>IFERROR(MATCH($C$5&amp;"|"&amp;RIGHT("000000"&amp;370,6),LdgRankKeyB,0),"")</f>
        <v/>
      </c>
    </row>
    <row r="387" spans="1:13" x14ac:dyDescent="0.2">
      <c r="A387" s="3">
        <v>371</v>
      </c>
      <c r="B387" s="4" t="str">
        <f t="shared" si="40"/>
        <v/>
      </c>
      <c r="C387" s="4" t="str">
        <f t="shared" si="41"/>
        <v/>
      </c>
      <c r="D387" s="4" t="str">
        <f t="shared" si="42"/>
        <v/>
      </c>
      <c r="E387" s="5" t="str">
        <f t="shared" si="43"/>
        <v/>
      </c>
      <c r="F387" s="6" t="str">
        <f t="shared" si="44"/>
        <v/>
      </c>
      <c r="G387" s="7" t="str">
        <f t="shared" si="45"/>
        <v/>
      </c>
      <c r="H387" s="7" t="str">
        <f t="shared" si="46"/>
        <v/>
      </c>
      <c r="I387" s="8" t="str">
        <f t="shared" si="47"/>
        <v/>
      </c>
      <c r="L387" t="str">
        <f>IFERROR(MATCH($C$5&amp;"|"&amp;RIGHT("000000"&amp;371,6),LdgRankKeyA,0),"")</f>
        <v/>
      </c>
      <c r="M387" t="str">
        <f>IFERROR(MATCH($C$5&amp;"|"&amp;RIGHT("000000"&amp;371,6),LdgRankKeyB,0),"")</f>
        <v/>
      </c>
    </row>
    <row r="388" spans="1:13" x14ac:dyDescent="0.2">
      <c r="A388" s="9">
        <v>372</v>
      </c>
      <c r="B388" s="10" t="str">
        <f t="shared" si="40"/>
        <v/>
      </c>
      <c r="C388" s="10" t="str">
        <f t="shared" si="41"/>
        <v/>
      </c>
      <c r="D388" s="10" t="str">
        <f t="shared" si="42"/>
        <v/>
      </c>
      <c r="E388" s="11" t="str">
        <f t="shared" si="43"/>
        <v/>
      </c>
      <c r="F388" s="12" t="str">
        <f t="shared" si="44"/>
        <v/>
      </c>
      <c r="G388" s="13" t="str">
        <f t="shared" si="45"/>
        <v/>
      </c>
      <c r="H388" s="13" t="str">
        <f t="shared" si="46"/>
        <v/>
      </c>
      <c r="I388" s="14" t="str">
        <f t="shared" si="47"/>
        <v/>
      </c>
      <c r="L388" t="str">
        <f>IFERROR(MATCH($C$5&amp;"|"&amp;RIGHT("000000"&amp;372,6),LdgRankKeyA,0),"")</f>
        <v/>
      </c>
      <c r="M388" t="str">
        <f>IFERROR(MATCH($C$5&amp;"|"&amp;RIGHT("000000"&amp;372,6),LdgRankKeyB,0),"")</f>
        <v/>
      </c>
    </row>
    <row r="389" spans="1:13" x14ac:dyDescent="0.2">
      <c r="A389" s="3">
        <v>373</v>
      </c>
      <c r="B389" s="4" t="str">
        <f t="shared" si="40"/>
        <v/>
      </c>
      <c r="C389" s="4" t="str">
        <f t="shared" si="41"/>
        <v/>
      </c>
      <c r="D389" s="4" t="str">
        <f t="shared" si="42"/>
        <v/>
      </c>
      <c r="E389" s="5" t="str">
        <f t="shared" si="43"/>
        <v/>
      </c>
      <c r="F389" s="6" t="str">
        <f t="shared" si="44"/>
        <v/>
      </c>
      <c r="G389" s="7" t="str">
        <f t="shared" si="45"/>
        <v/>
      </c>
      <c r="H389" s="7" t="str">
        <f t="shared" si="46"/>
        <v/>
      </c>
      <c r="I389" s="8" t="str">
        <f t="shared" si="47"/>
        <v/>
      </c>
      <c r="L389" t="str">
        <f>IFERROR(MATCH($C$5&amp;"|"&amp;RIGHT("000000"&amp;373,6),LdgRankKeyA,0),"")</f>
        <v/>
      </c>
      <c r="M389" t="str">
        <f>IFERROR(MATCH($C$5&amp;"|"&amp;RIGHT("000000"&amp;373,6),LdgRankKeyB,0),"")</f>
        <v/>
      </c>
    </row>
    <row r="390" spans="1:13" x14ac:dyDescent="0.2">
      <c r="A390" s="9">
        <v>374</v>
      </c>
      <c r="B390" s="10" t="str">
        <f t="shared" si="40"/>
        <v/>
      </c>
      <c r="C390" s="10" t="str">
        <f t="shared" si="41"/>
        <v/>
      </c>
      <c r="D390" s="10" t="str">
        <f t="shared" si="42"/>
        <v/>
      </c>
      <c r="E390" s="11" t="str">
        <f t="shared" si="43"/>
        <v/>
      </c>
      <c r="F390" s="12" t="str">
        <f t="shared" si="44"/>
        <v/>
      </c>
      <c r="G390" s="13" t="str">
        <f t="shared" si="45"/>
        <v/>
      </c>
      <c r="H390" s="13" t="str">
        <f t="shared" si="46"/>
        <v/>
      </c>
      <c r="I390" s="14" t="str">
        <f t="shared" si="47"/>
        <v/>
      </c>
      <c r="L390" t="str">
        <f>IFERROR(MATCH($C$5&amp;"|"&amp;RIGHT("000000"&amp;374,6),LdgRankKeyA,0),"")</f>
        <v/>
      </c>
      <c r="M390" t="str">
        <f>IFERROR(MATCH($C$5&amp;"|"&amp;RIGHT("000000"&amp;374,6),LdgRankKeyB,0),"")</f>
        <v/>
      </c>
    </row>
    <row r="391" spans="1:13" x14ac:dyDescent="0.2">
      <c r="A391" s="3">
        <v>375</v>
      </c>
      <c r="B391" s="4" t="str">
        <f t="shared" si="40"/>
        <v/>
      </c>
      <c r="C391" s="4" t="str">
        <f t="shared" si="41"/>
        <v/>
      </c>
      <c r="D391" s="4" t="str">
        <f t="shared" si="42"/>
        <v/>
      </c>
      <c r="E391" s="5" t="str">
        <f t="shared" si="43"/>
        <v/>
      </c>
      <c r="F391" s="6" t="str">
        <f t="shared" si="44"/>
        <v/>
      </c>
      <c r="G391" s="7" t="str">
        <f t="shared" si="45"/>
        <v/>
      </c>
      <c r="H391" s="7" t="str">
        <f t="shared" si="46"/>
        <v/>
      </c>
      <c r="I391" s="8" t="str">
        <f t="shared" si="47"/>
        <v/>
      </c>
      <c r="L391" t="str">
        <f>IFERROR(MATCH($C$5&amp;"|"&amp;RIGHT("000000"&amp;375,6),LdgRankKeyA,0),"")</f>
        <v/>
      </c>
      <c r="M391" t="str">
        <f>IFERROR(MATCH($C$5&amp;"|"&amp;RIGHT("000000"&amp;375,6),LdgRankKeyB,0),"")</f>
        <v/>
      </c>
    </row>
    <row r="392" spans="1:13" x14ac:dyDescent="0.2">
      <c r="A392" s="9">
        <v>376</v>
      </c>
      <c r="B392" s="10" t="str">
        <f t="shared" si="40"/>
        <v/>
      </c>
      <c r="C392" s="10" t="str">
        <f t="shared" si="41"/>
        <v/>
      </c>
      <c r="D392" s="10" t="str">
        <f t="shared" si="42"/>
        <v/>
      </c>
      <c r="E392" s="11" t="str">
        <f t="shared" si="43"/>
        <v/>
      </c>
      <c r="F392" s="12" t="str">
        <f t="shared" si="44"/>
        <v/>
      </c>
      <c r="G392" s="13" t="str">
        <f t="shared" si="45"/>
        <v/>
      </c>
      <c r="H392" s="13" t="str">
        <f t="shared" si="46"/>
        <v/>
      </c>
      <c r="I392" s="14" t="str">
        <f t="shared" si="47"/>
        <v/>
      </c>
      <c r="L392" t="str">
        <f>IFERROR(MATCH($C$5&amp;"|"&amp;RIGHT("000000"&amp;376,6),LdgRankKeyA,0),"")</f>
        <v/>
      </c>
      <c r="M392" t="str">
        <f>IFERROR(MATCH($C$5&amp;"|"&amp;RIGHT("000000"&amp;376,6),LdgRankKeyB,0),"")</f>
        <v/>
      </c>
    </row>
    <row r="393" spans="1:13" x14ac:dyDescent="0.2">
      <c r="A393" s="3">
        <v>377</v>
      </c>
      <c r="B393" s="4" t="str">
        <f t="shared" si="40"/>
        <v/>
      </c>
      <c r="C393" s="4" t="str">
        <f t="shared" si="41"/>
        <v/>
      </c>
      <c r="D393" s="4" t="str">
        <f t="shared" si="42"/>
        <v/>
      </c>
      <c r="E393" s="5" t="str">
        <f t="shared" si="43"/>
        <v/>
      </c>
      <c r="F393" s="6" t="str">
        <f t="shared" si="44"/>
        <v/>
      </c>
      <c r="G393" s="7" t="str">
        <f t="shared" si="45"/>
        <v/>
      </c>
      <c r="H393" s="7" t="str">
        <f t="shared" si="46"/>
        <v/>
      </c>
      <c r="I393" s="8" t="str">
        <f t="shared" si="47"/>
        <v/>
      </c>
      <c r="L393" t="str">
        <f>IFERROR(MATCH($C$5&amp;"|"&amp;RIGHT("000000"&amp;377,6),LdgRankKeyA,0),"")</f>
        <v/>
      </c>
      <c r="M393" t="str">
        <f>IFERROR(MATCH($C$5&amp;"|"&amp;RIGHT("000000"&amp;377,6),LdgRankKeyB,0),"")</f>
        <v/>
      </c>
    </row>
    <row r="394" spans="1:13" x14ac:dyDescent="0.2">
      <c r="A394" s="9">
        <v>378</v>
      </c>
      <c r="B394" s="10" t="str">
        <f t="shared" si="40"/>
        <v/>
      </c>
      <c r="C394" s="10" t="str">
        <f t="shared" si="41"/>
        <v/>
      </c>
      <c r="D394" s="10" t="str">
        <f t="shared" si="42"/>
        <v/>
      </c>
      <c r="E394" s="11" t="str">
        <f t="shared" si="43"/>
        <v/>
      </c>
      <c r="F394" s="12" t="str">
        <f t="shared" si="44"/>
        <v/>
      </c>
      <c r="G394" s="13" t="str">
        <f t="shared" si="45"/>
        <v/>
      </c>
      <c r="H394" s="13" t="str">
        <f t="shared" si="46"/>
        <v/>
      </c>
      <c r="I394" s="14" t="str">
        <f t="shared" si="47"/>
        <v/>
      </c>
      <c r="L394" t="str">
        <f>IFERROR(MATCH($C$5&amp;"|"&amp;RIGHT("000000"&amp;378,6),LdgRankKeyA,0),"")</f>
        <v/>
      </c>
      <c r="M394" t="str">
        <f>IFERROR(MATCH($C$5&amp;"|"&amp;RIGHT("000000"&amp;378,6),LdgRankKeyB,0),"")</f>
        <v/>
      </c>
    </row>
    <row r="395" spans="1:13" x14ac:dyDescent="0.2">
      <c r="A395" s="3">
        <v>379</v>
      </c>
      <c r="B395" s="4" t="str">
        <f t="shared" si="40"/>
        <v/>
      </c>
      <c r="C395" s="4" t="str">
        <f t="shared" si="41"/>
        <v/>
      </c>
      <c r="D395" s="4" t="str">
        <f t="shared" si="42"/>
        <v/>
      </c>
      <c r="E395" s="5" t="str">
        <f t="shared" si="43"/>
        <v/>
      </c>
      <c r="F395" s="6" t="str">
        <f t="shared" si="44"/>
        <v/>
      </c>
      <c r="G395" s="7" t="str">
        <f t="shared" si="45"/>
        <v/>
      </c>
      <c r="H395" s="7" t="str">
        <f t="shared" si="46"/>
        <v/>
      </c>
      <c r="I395" s="8" t="str">
        <f t="shared" si="47"/>
        <v/>
      </c>
      <c r="L395" t="str">
        <f>IFERROR(MATCH($C$5&amp;"|"&amp;RIGHT("000000"&amp;379,6),LdgRankKeyA,0),"")</f>
        <v/>
      </c>
      <c r="M395" t="str">
        <f>IFERROR(MATCH($C$5&amp;"|"&amp;RIGHT("000000"&amp;379,6),LdgRankKeyB,0),"")</f>
        <v/>
      </c>
    </row>
    <row r="396" spans="1:13" x14ac:dyDescent="0.2">
      <c r="A396" s="9">
        <v>380</v>
      </c>
      <c r="B396" s="10" t="str">
        <f t="shared" si="40"/>
        <v/>
      </c>
      <c r="C396" s="10" t="str">
        <f t="shared" si="41"/>
        <v/>
      </c>
      <c r="D396" s="10" t="str">
        <f t="shared" si="42"/>
        <v/>
      </c>
      <c r="E396" s="11" t="str">
        <f t="shared" si="43"/>
        <v/>
      </c>
      <c r="F396" s="12" t="str">
        <f t="shared" si="44"/>
        <v/>
      </c>
      <c r="G396" s="13" t="str">
        <f t="shared" si="45"/>
        <v/>
      </c>
      <c r="H396" s="13" t="str">
        <f t="shared" si="46"/>
        <v/>
      </c>
      <c r="I396" s="14" t="str">
        <f t="shared" si="47"/>
        <v/>
      </c>
      <c r="L396" t="str">
        <f>IFERROR(MATCH($C$5&amp;"|"&amp;RIGHT("000000"&amp;380,6),LdgRankKeyA,0),"")</f>
        <v/>
      </c>
      <c r="M396" t="str">
        <f>IFERROR(MATCH($C$5&amp;"|"&amp;RIGHT("000000"&amp;380,6),LdgRankKeyB,0),"")</f>
        <v/>
      </c>
    </row>
    <row r="397" spans="1:13" x14ac:dyDescent="0.2">
      <c r="A397" s="3">
        <v>381</v>
      </c>
      <c r="B397" s="4" t="str">
        <f t="shared" si="40"/>
        <v/>
      </c>
      <c r="C397" s="4" t="str">
        <f t="shared" si="41"/>
        <v/>
      </c>
      <c r="D397" s="4" t="str">
        <f t="shared" si="42"/>
        <v/>
      </c>
      <c r="E397" s="5" t="str">
        <f t="shared" si="43"/>
        <v/>
      </c>
      <c r="F397" s="6" t="str">
        <f t="shared" si="44"/>
        <v/>
      </c>
      <c r="G397" s="7" t="str">
        <f t="shared" si="45"/>
        <v/>
      </c>
      <c r="H397" s="7" t="str">
        <f t="shared" si="46"/>
        <v/>
      </c>
      <c r="I397" s="8" t="str">
        <f t="shared" si="47"/>
        <v/>
      </c>
      <c r="L397" t="str">
        <f>IFERROR(MATCH($C$5&amp;"|"&amp;RIGHT("000000"&amp;381,6),LdgRankKeyA,0),"")</f>
        <v/>
      </c>
      <c r="M397" t="str">
        <f>IFERROR(MATCH($C$5&amp;"|"&amp;RIGHT("000000"&amp;381,6),LdgRankKeyB,0),"")</f>
        <v/>
      </c>
    </row>
    <row r="398" spans="1:13" x14ac:dyDescent="0.2">
      <c r="A398" s="9">
        <v>382</v>
      </c>
      <c r="B398" s="10" t="str">
        <f t="shared" si="40"/>
        <v/>
      </c>
      <c r="C398" s="10" t="str">
        <f t="shared" si="41"/>
        <v/>
      </c>
      <c r="D398" s="10" t="str">
        <f t="shared" si="42"/>
        <v/>
      </c>
      <c r="E398" s="11" t="str">
        <f t="shared" si="43"/>
        <v/>
      </c>
      <c r="F398" s="12" t="str">
        <f t="shared" si="44"/>
        <v/>
      </c>
      <c r="G398" s="13" t="str">
        <f t="shared" si="45"/>
        <v/>
      </c>
      <c r="H398" s="13" t="str">
        <f t="shared" si="46"/>
        <v/>
      </c>
      <c r="I398" s="14" t="str">
        <f t="shared" si="47"/>
        <v/>
      </c>
      <c r="L398" t="str">
        <f>IFERROR(MATCH($C$5&amp;"|"&amp;RIGHT("000000"&amp;382,6),LdgRankKeyA,0),"")</f>
        <v/>
      </c>
      <c r="M398" t="str">
        <f>IFERROR(MATCH($C$5&amp;"|"&amp;RIGHT("000000"&amp;382,6),LdgRankKeyB,0),"")</f>
        <v/>
      </c>
    </row>
    <row r="399" spans="1:13" x14ac:dyDescent="0.2">
      <c r="A399" s="3">
        <v>383</v>
      </c>
      <c r="B399" s="4" t="str">
        <f t="shared" si="40"/>
        <v/>
      </c>
      <c r="C399" s="4" t="str">
        <f t="shared" si="41"/>
        <v/>
      </c>
      <c r="D399" s="4" t="str">
        <f t="shared" si="42"/>
        <v/>
      </c>
      <c r="E399" s="5" t="str">
        <f t="shared" si="43"/>
        <v/>
      </c>
      <c r="F399" s="6" t="str">
        <f t="shared" si="44"/>
        <v/>
      </c>
      <c r="G399" s="7" t="str">
        <f t="shared" si="45"/>
        <v/>
      </c>
      <c r="H399" s="7" t="str">
        <f t="shared" si="46"/>
        <v/>
      </c>
      <c r="I399" s="8" t="str">
        <f t="shared" si="47"/>
        <v/>
      </c>
      <c r="L399" t="str">
        <f>IFERROR(MATCH($C$5&amp;"|"&amp;RIGHT("000000"&amp;383,6),LdgRankKeyA,0),"")</f>
        <v/>
      </c>
      <c r="M399" t="str">
        <f>IFERROR(MATCH($C$5&amp;"|"&amp;RIGHT("000000"&amp;383,6),LdgRankKeyB,0),"")</f>
        <v/>
      </c>
    </row>
    <row r="400" spans="1:13" x14ac:dyDescent="0.2">
      <c r="A400" s="9">
        <v>384</v>
      </c>
      <c r="B400" s="10" t="str">
        <f t="shared" si="40"/>
        <v/>
      </c>
      <c r="C400" s="10" t="str">
        <f t="shared" si="41"/>
        <v/>
      </c>
      <c r="D400" s="10" t="str">
        <f t="shared" si="42"/>
        <v/>
      </c>
      <c r="E400" s="11" t="str">
        <f t="shared" si="43"/>
        <v/>
      </c>
      <c r="F400" s="12" t="str">
        <f t="shared" si="44"/>
        <v/>
      </c>
      <c r="G400" s="13" t="str">
        <f t="shared" si="45"/>
        <v/>
      </c>
      <c r="H400" s="13" t="str">
        <f t="shared" si="46"/>
        <v/>
      </c>
      <c r="I400" s="14" t="str">
        <f t="shared" si="47"/>
        <v/>
      </c>
      <c r="L400" t="str">
        <f>IFERROR(MATCH($C$5&amp;"|"&amp;RIGHT("000000"&amp;384,6),LdgRankKeyA,0),"")</f>
        <v/>
      </c>
      <c r="M400" t="str">
        <f>IFERROR(MATCH($C$5&amp;"|"&amp;RIGHT("000000"&amp;384,6),LdgRankKeyB,0),"")</f>
        <v/>
      </c>
    </row>
    <row r="401" spans="1:13" x14ac:dyDescent="0.2">
      <c r="A401" s="3">
        <v>385</v>
      </c>
      <c r="B401" s="4" t="str">
        <f t="shared" ref="B401:B464" si="48">IF(AND($L401="",$M401=""),"",IF($L401&lt;&gt;"",INDEX(SCNormDate,$L401),INDEX(LdgDateB,$M401)))</f>
        <v/>
      </c>
      <c r="C401" s="4" t="str">
        <f t="shared" ref="C401:C464" si="49">IF($L401&lt;&gt;"",INDEX(SCOp,$L401),IF($M401&lt;&gt;"","پرداخت بانکی",""))</f>
        <v/>
      </c>
      <c r="D401" s="4" t="str">
        <f t="shared" ref="D401:D464" si="50">IF($L401&lt;&gt;"",IF(INDEX(SCDoc,$L401)="","—",INDEX(SCDoc,$L401)),IF($M401&lt;&gt;"",INDEX(LdgBankB,$M401),""))</f>
        <v/>
      </c>
      <c r="E401" s="5" t="str">
        <f t="shared" ref="E401:E464" si="51">IF($L401&lt;&gt;"",IF(INDEX(SCCitrus,$L401)&amp;INDEX(SCNotes,$L401)="","",IF(INDEX(SCCitrus,$L401)="","",INDEX(SCCitrus,$L401))&amp;IF(INDEX(SCNotes,$L401)="",""," — "&amp;INDEX(SCNotes,$L401))),IF($M401&lt;&gt;"",IF(INDEX(LdgNoteB,$M401)="","—",INDEX(LdgNoteB,$M401)),""))</f>
        <v/>
      </c>
      <c r="F401" s="6" t="str">
        <f t="shared" ref="F401:F464" si="52">IF($L401&lt;&gt;"",IF(INDEX(SCNet,$L401)=0,"",INDEX(SCNet,$L401)),"")</f>
        <v/>
      </c>
      <c r="G401" s="7" t="str">
        <f t="shared" ref="G401:G464" si="53">IF($L401&lt;&gt;"",IF(INDEX(SCOp,$L401)="مرجوعی فروش","",IF(INDEX(SCAmount,$L401)&lt;=0,"",INDEX(SCAmount,$L401))),IF($M401&lt;&gt;"",IF(INDEX(LdgWitB,$M401)=0,"",INDEX(LdgWitB,$M401)),""))</f>
        <v/>
      </c>
      <c r="H401" s="7" t="str">
        <f t="shared" ref="H401:H464" si="54">IF($L401&lt;&gt;"",IF(INDEX(SCOp,$L401)="مرجوعی فروش",IF(INDEX(SCAmount,$L401)=0,"",-INDEX(SCAmount,$L401)),""),IF($M401&lt;&gt;"",IF(INDEX(LdgDepB,$M401)=0,"",INDEX(LdgDepB,$M401)),""))</f>
        <v/>
      </c>
      <c r="I401" s="8" t="str">
        <f t="shared" si="47"/>
        <v/>
      </c>
      <c r="L401" t="str">
        <f>IFERROR(MATCH($C$5&amp;"|"&amp;RIGHT("000000"&amp;385,6),LdgRankKeyA,0),"")</f>
        <v/>
      </c>
      <c r="M401" t="str">
        <f>IFERROR(MATCH($C$5&amp;"|"&amp;RIGHT("000000"&amp;385,6),LdgRankKeyB,0),"")</f>
        <v/>
      </c>
    </row>
    <row r="402" spans="1:13" x14ac:dyDescent="0.2">
      <c r="A402" s="9">
        <v>386</v>
      </c>
      <c r="B402" s="10" t="str">
        <f t="shared" si="48"/>
        <v/>
      </c>
      <c r="C402" s="10" t="str">
        <f t="shared" si="49"/>
        <v/>
      </c>
      <c r="D402" s="10" t="str">
        <f t="shared" si="50"/>
        <v/>
      </c>
      <c r="E402" s="11" t="str">
        <f t="shared" si="51"/>
        <v/>
      </c>
      <c r="F402" s="12" t="str">
        <f t="shared" si="52"/>
        <v/>
      </c>
      <c r="G402" s="13" t="str">
        <f t="shared" si="53"/>
        <v/>
      </c>
      <c r="H402" s="13" t="str">
        <f t="shared" si="54"/>
        <v/>
      </c>
      <c r="I402" s="14" t="str">
        <f t="shared" ref="I402:I465" si="55">IF($B402="","",IF($I401="",$C$10,$I401)+IF($G402="",0,$G402)-IF($H402="",0,$H402))</f>
        <v/>
      </c>
      <c r="L402" t="str">
        <f>IFERROR(MATCH($C$5&amp;"|"&amp;RIGHT("000000"&amp;386,6),LdgRankKeyA,0),"")</f>
        <v/>
      </c>
      <c r="M402" t="str">
        <f>IFERROR(MATCH($C$5&amp;"|"&amp;RIGHT("000000"&amp;386,6),LdgRankKeyB,0),"")</f>
        <v/>
      </c>
    </row>
    <row r="403" spans="1:13" x14ac:dyDescent="0.2">
      <c r="A403" s="3">
        <v>387</v>
      </c>
      <c r="B403" s="4" t="str">
        <f t="shared" si="48"/>
        <v/>
      </c>
      <c r="C403" s="4" t="str">
        <f t="shared" si="49"/>
        <v/>
      </c>
      <c r="D403" s="4" t="str">
        <f t="shared" si="50"/>
        <v/>
      </c>
      <c r="E403" s="5" t="str">
        <f t="shared" si="51"/>
        <v/>
      </c>
      <c r="F403" s="6" t="str">
        <f t="shared" si="52"/>
        <v/>
      </c>
      <c r="G403" s="7" t="str">
        <f t="shared" si="53"/>
        <v/>
      </c>
      <c r="H403" s="7" t="str">
        <f t="shared" si="54"/>
        <v/>
      </c>
      <c r="I403" s="8" t="str">
        <f t="shared" si="55"/>
        <v/>
      </c>
      <c r="L403" t="str">
        <f>IFERROR(MATCH($C$5&amp;"|"&amp;RIGHT("000000"&amp;387,6),LdgRankKeyA,0),"")</f>
        <v/>
      </c>
      <c r="M403" t="str">
        <f>IFERROR(MATCH($C$5&amp;"|"&amp;RIGHT("000000"&amp;387,6),LdgRankKeyB,0),"")</f>
        <v/>
      </c>
    </row>
    <row r="404" spans="1:13" x14ac:dyDescent="0.2">
      <c r="A404" s="9">
        <v>388</v>
      </c>
      <c r="B404" s="10" t="str">
        <f t="shared" si="48"/>
        <v/>
      </c>
      <c r="C404" s="10" t="str">
        <f t="shared" si="49"/>
        <v/>
      </c>
      <c r="D404" s="10" t="str">
        <f t="shared" si="50"/>
        <v/>
      </c>
      <c r="E404" s="11" t="str">
        <f t="shared" si="51"/>
        <v/>
      </c>
      <c r="F404" s="12" t="str">
        <f t="shared" si="52"/>
        <v/>
      </c>
      <c r="G404" s="13" t="str">
        <f t="shared" si="53"/>
        <v/>
      </c>
      <c r="H404" s="13" t="str">
        <f t="shared" si="54"/>
        <v/>
      </c>
      <c r="I404" s="14" t="str">
        <f t="shared" si="55"/>
        <v/>
      </c>
      <c r="L404" t="str">
        <f>IFERROR(MATCH($C$5&amp;"|"&amp;RIGHT("000000"&amp;388,6),LdgRankKeyA,0),"")</f>
        <v/>
      </c>
      <c r="M404" t="str">
        <f>IFERROR(MATCH($C$5&amp;"|"&amp;RIGHT("000000"&amp;388,6),LdgRankKeyB,0),"")</f>
        <v/>
      </c>
    </row>
    <row r="405" spans="1:13" x14ac:dyDescent="0.2">
      <c r="A405" s="3">
        <v>389</v>
      </c>
      <c r="B405" s="4" t="str">
        <f t="shared" si="48"/>
        <v/>
      </c>
      <c r="C405" s="4" t="str">
        <f t="shared" si="49"/>
        <v/>
      </c>
      <c r="D405" s="4" t="str">
        <f t="shared" si="50"/>
        <v/>
      </c>
      <c r="E405" s="5" t="str">
        <f t="shared" si="51"/>
        <v/>
      </c>
      <c r="F405" s="6" t="str">
        <f t="shared" si="52"/>
        <v/>
      </c>
      <c r="G405" s="7" t="str">
        <f t="shared" si="53"/>
        <v/>
      </c>
      <c r="H405" s="7" t="str">
        <f t="shared" si="54"/>
        <v/>
      </c>
      <c r="I405" s="8" t="str">
        <f t="shared" si="55"/>
        <v/>
      </c>
      <c r="L405" t="str">
        <f>IFERROR(MATCH($C$5&amp;"|"&amp;RIGHT("000000"&amp;389,6),LdgRankKeyA,0),"")</f>
        <v/>
      </c>
      <c r="M405" t="str">
        <f>IFERROR(MATCH($C$5&amp;"|"&amp;RIGHT("000000"&amp;389,6),LdgRankKeyB,0),"")</f>
        <v/>
      </c>
    </row>
    <row r="406" spans="1:13" x14ac:dyDescent="0.2">
      <c r="A406" s="9">
        <v>390</v>
      </c>
      <c r="B406" s="10" t="str">
        <f t="shared" si="48"/>
        <v/>
      </c>
      <c r="C406" s="10" t="str">
        <f t="shared" si="49"/>
        <v/>
      </c>
      <c r="D406" s="10" t="str">
        <f t="shared" si="50"/>
        <v/>
      </c>
      <c r="E406" s="11" t="str">
        <f t="shared" si="51"/>
        <v/>
      </c>
      <c r="F406" s="12" t="str">
        <f t="shared" si="52"/>
        <v/>
      </c>
      <c r="G406" s="13" t="str">
        <f t="shared" si="53"/>
        <v/>
      </c>
      <c r="H406" s="13" t="str">
        <f t="shared" si="54"/>
        <v/>
      </c>
      <c r="I406" s="14" t="str">
        <f t="shared" si="55"/>
        <v/>
      </c>
      <c r="L406" t="str">
        <f>IFERROR(MATCH($C$5&amp;"|"&amp;RIGHT("000000"&amp;390,6),LdgRankKeyA,0),"")</f>
        <v/>
      </c>
      <c r="M406" t="str">
        <f>IFERROR(MATCH($C$5&amp;"|"&amp;RIGHT("000000"&amp;390,6),LdgRankKeyB,0),"")</f>
        <v/>
      </c>
    </row>
    <row r="407" spans="1:13" x14ac:dyDescent="0.2">
      <c r="A407" s="3">
        <v>391</v>
      </c>
      <c r="B407" s="4" t="str">
        <f t="shared" si="48"/>
        <v/>
      </c>
      <c r="C407" s="4" t="str">
        <f t="shared" si="49"/>
        <v/>
      </c>
      <c r="D407" s="4" t="str">
        <f t="shared" si="50"/>
        <v/>
      </c>
      <c r="E407" s="5" t="str">
        <f t="shared" si="51"/>
        <v/>
      </c>
      <c r="F407" s="6" t="str">
        <f t="shared" si="52"/>
        <v/>
      </c>
      <c r="G407" s="7" t="str">
        <f t="shared" si="53"/>
        <v/>
      </c>
      <c r="H407" s="7" t="str">
        <f t="shared" si="54"/>
        <v/>
      </c>
      <c r="I407" s="8" t="str">
        <f t="shared" si="55"/>
        <v/>
      </c>
      <c r="L407" t="str">
        <f>IFERROR(MATCH($C$5&amp;"|"&amp;RIGHT("000000"&amp;391,6),LdgRankKeyA,0),"")</f>
        <v/>
      </c>
      <c r="M407" t="str">
        <f>IFERROR(MATCH($C$5&amp;"|"&amp;RIGHT("000000"&amp;391,6),LdgRankKeyB,0),"")</f>
        <v/>
      </c>
    </row>
    <row r="408" spans="1:13" x14ac:dyDescent="0.2">
      <c r="A408" s="9">
        <v>392</v>
      </c>
      <c r="B408" s="10" t="str">
        <f t="shared" si="48"/>
        <v/>
      </c>
      <c r="C408" s="10" t="str">
        <f t="shared" si="49"/>
        <v/>
      </c>
      <c r="D408" s="10" t="str">
        <f t="shared" si="50"/>
        <v/>
      </c>
      <c r="E408" s="11" t="str">
        <f t="shared" si="51"/>
        <v/>
      </c>
      <c r="F408" s="12" t="str">
        <f t="shared" si="52"/>
        <v/>
      </c>
      <c r="G408" s="13" t="str">
        <f t="shared" si="53"/>
        <v/>
      </c>
      <c r="H408" s="13" t="str">
        <f t="shared" si="54"/>
        <v/>
      </c>
      <c r="I408" s="14" t="str">
        <f t="shared" si="55"/>
        <v/>
      </c>
      <c r="L408" t="str">
        <f>IFERROR(MATCH($C$5&amp;"|"&amp;RIGHT("000000"&amp;392,6),LdgRankKeyA,0),"")</f>
        <v/>
      </c>
      <c r="M408" t="str">
        <f>IFERROR(MATCH($C$5&amp;"|"&amp;RIGHT("000000"&amp;392,6),LdgRankKeyB,0),"")</f>
        <v/>
      </c>
    </row>
    <row r="409" spans="1:13" x14ac:dyDescent="0.2">
      <c r="A409" s="3">
        <v>393</v>
      </c>
      <c r="B409" s="4" t="str">
        <f t="shared" si="48"/>
        <v/>
      </c>
      <c r="C409" s="4" t="str">
        <f t="shared" si="49"/>
        <v/>
      </c>
      <c r="D409" s="4" t="str">
        <f t="shared" si="50"/>
        <v/>
      </c>
      <c r="E409" s="5" t="str">
        <f t="shared" si="51"/>
        <v/>
      </c>
      <c r="F409" s="6" t="str">
        <f t="shared" si="52"/>
        <v/>
      </c>
      <c r="G409" s="7" t="str">
        <f t="shared" si="53"/>
        <v/>
      </c>
      <c r="H409" s="7" t="str">
        <f t="shared" si="54"/>
        <v/>
      </c>
      <c r="I409" s="8" t="str">
        <f t="shared" si="55"/>
        <v/>
      </c>
      <c r="L409" t="str">
        <f>IFERROR(MATCH($C$5&amp;"|"&amp;RIGHT("000000"&amp;393,6),LdgRankKeyA,0),"")</f>
        <v/>
      </c>
      <c r="M409" t="str">
        <f>IFERROR(MATCH($C$5&amp;"|"&amp;RIGHT("000000"&amp;393,6),LdgRankKeyB,0),"")</f>
        <v/>
      </c>
    </row>
    <row r="410" spans="1:13" x14ac:dyDescent="0.2">
      <c r="A410" s="9">
        <v>394</v>
      </c>
      <c r="B410" s="10" t="str">
        <f t="shared" si="48"/>
        <v/>
      </c>
      <c r="C410" s="10" t="str">
        <f t="shared" si="49"/>
        <v/>
      </c>
      <c r="D410" s="10" t="str">
        <f t="shared" si="50"/>
        <v/>
      </c>
      <c r="E410" s="11" t="str">
        <f t="shared" si="51"/>
        <v/>
      </c>
      <c r="F410" s="12" t="str">
        <f t="shared" si="52"/>
        <v/>
      </c>
      <c r="G410" s="13" t="str">
        <f t="shared" si="53"/>
        <v/>
      </c>
      <c r="H410" s="13" t="str">
        <f t="shared" si="54"/>
        <v/>
      </c>
      <c r="I410" s="14" t="str">
        <f t="shared" si="55"/>
        <v/>
      </c>
      <c r="L410" t="str">
        <f>IFERROR(MATCH($C$5&amp;"|"&amp;RIGHT("000000"&amp;394,6),LdgRankKeyA,0),"")</f>
        <v/>
      </c>
      <c r="M410" t="str">
        <f>IFERROR(MATCH($C$5&amp;"|"&amp;RIGHT("000000"&amp;394,6),LdgRankKeyB,0),"")</f>
        <v/>
      </c>
    </row>
    <row r="411" spans="1:13" x14ac:dyDescent="0.2">
      <c r="A411" s="3">
        <v>395</v>
      </c>
      <c r="B411" s="4" t="str">
        <f t="shared" si="48"/>
        <v/>
      </c>
      <c r="C411" s="4" t="str">
        <f t="shared" si="49"/>
        <v/>
      </c>
      <c r="D411" s="4" t="str">
        <f t="shared" si="50"/>
        <v/>
      </c>
      <c r="E411" s="5" t="str">
        <f t="shared" si="51"/>
        <v/>
      </c>
      <c r="F411" s="6" t="str">
        <f t="shared" si="52"/>
        <v/>
      </c>
      <c r="G411" s="7" t="str">
        <f t="shared" si="53"/>
        <v/>
      </c>
      <c r="H411" s="7" t="str">
        <f t="shared" si="54"/>
        <v/>
      </c>
      <c r="I411" s="8" t="str">
        <f t="shared" si="55"/>
        <v/>
      </c>
      <c r="L411" t="str">
        <f>IFERROR(MATCH($C$5&amp;"|"&amp;RIGHT("000000"&amp;395,6),LdgRankKeyA,0),"")</f>
        <v/>
      </c>
      <c r="M411" t="str">
        <f>IFERROR(MATCH($C$5&amp;"|"&amp;RIGHT("000000"&amp;395,6),LdgRankKeyB,0),"")</f>
        <v/>
      </c>
    </row>
    <row r="412" spans="1:13" x14ac:dyDescent="0.2">
      <c r="A412" s="9">
        <v>396</v>
      </c>
      <c r="B412" s="10" t="str">
        <f t="shared" si="48"/>
        <v/>
      </c>
      <c r="C412" s="10" t="str">
        <f t="shared" si="49"/>
        <v/>
      </c>
      <c r="D412" s="10" t="str">
        <f t="shared" si="50"/>
        <v/>
      </c>
      <c r="E412" s="11" t="str">
        <f t="shared" si="51"/>
        <v/>
      </c>
      <c r="F412" s="12" t="str">
        <f t="shared" si="52"/>
        <v/>
      </c>
      <c r="G412" s="13" t="str">
        <f t="shared" si="53"/>
        <v/>
      </c>
      <c r="H412" s="13" t="str">
        <f t="shared" si="54"/>
        <v/>
      </c>
      <c r="I412" s="14" t="str">
        <f t="shared" si="55"/>
        <v/>
      </c>
      <c r="L412" t="str">
        <f>IFERROR(MATCH($C$5&amp;"|"&amp;RIGHT("000000"&amp;396,6),LdgRankKeyA,0),"")</f>
        <v/>
      </c>
      <c r="M412" t="str">
        <f>IFERROR(MATCH($C$5&amp;"|"&amp;RIGHT("000000"&amp;396,6),LdgRankKeyB,0),"")</f>
        <v/>
      </c>
    </row>
    <row r="413" spans="1:13" x14ac:dyDescent="0.2">
      <c r="A413" s="3">
        <v>397</v>
      </c>
      <c r="B413" s="4" t="str">
        <f t="shared" si="48"/>
        <v/>
      </c>
      <c r="C413" s="4" t="str">
        <f t="shared" si="49"/>
        <v/>
      </c>
      <c r="D413" s="4" t="str">
        <f t="shared" si="50"/>
        <v/>
      </c>
      <c r="E413" s="5" t="str">
        <f t="shared" si="51"/>
        <v/>
      </c>
      <c r="F413" s="6" t="str">
        <f t="shared" si="52"/>
        <v/>
      </c>
      <c r="G413" s="7" t="str">
        <f t="shared" si="53"/>
        <v/>
      </c>
      <c r="H413" s="7" t="str">
        <f t="shared" si="54"/>
        <v/>
      </c>
      <c r="I413" s="8" t="str">
        <f t="shared" si="55"/>
        <v/>
      </c>
      <c r="L413" t="str">
        <f>IFERROR(MATCH($C$5&amp;"|"&amp;RIGHT("000000"&amp;397,6),LdgRankKeyA,0),"")</f>
        <v/>
      </c>
      <c r="M413" t="str">
        <f>IFERROR(MATCH($C$5&amp;"|"&amp;RIGHT("000000"&amp;397,6),LdgRankKeyB,0),"")</f>
        <v/>
      </c>
    </row>
    <row r="414" spans="1:13" x14ac:dyDescent="0.2">
      <c r="A414" s="9">
        <v>398</v>
      </c>
      <c r="B414" s="10" t="str">
        <f t="shared" si="48"/>
        <v/>
      </c>
      <c r="C414" s="10" t="str">
        <f t="shared" si="49"/>
        <v/>
      </c>
      <c r="D414" s="10" t="str">
        <f t="shared" si="50"/>
        <v/>
      </c>
      <c r="E414" s="11" t="str">
        <f t="shared" si="51"/>
        <v/>
      </c>
      <c r="F414" s="12" t="str">
        <f t="shared" si="52"/>
        <v/>
      </c>
      <c r="G414" s="13" t="str">
        <f t="shared" si="53"/>
        <v/>
      </c>
      <c r="H414" s="13" t="str">
        <f t="shared" si="54"/>
        <v/>
      </c>
      <c r="I414" s="14" t="str">
        <f t="shared" si="55"/>
        <v/>
      </c>
      <c r="L414" t="str">
        <f>IFERROR(MATCH($C$5&amp;"|"&amp;RIGHT("000000"&amp;398,6),LdgRankKeyA,0),"")</f>
        <v/>
      </c>
      <c r="M414" t="str">
        <f>IFERROR(MATCH($C$5&amp;"|"&amp;RIGHT("000000"&amp;398,6),LdgRankKeyB,0),"")</f>
        <v/>
      </c>
    </row>
    <row r="415" spans="1:13" x14ac:dyDescent="0.2">
      <c r="A415" s="3">
        <v>399</v>
      </c>
      <c r="B415" s="4" t="str">
        <f t="shared" si="48"/>
        <v/>
      </c>
      <c r="C415" s="4" t="str">
        <f t="shared" si="49"/>
        <v/>
      </c>
      <c r="D415" s="4" t="str">
        <f t="shared" si="50"/>
        <v/>
      </c>
      <c r="E415" s="5" t="str">
        <f t="shared" si="51"/>
        <v/>
      </c>
      <c r="F415" s="6" t="str">
        <f t="shared" si="52"/>
        <v/>
      </c>
      <c r="G415" s="7" t="str">
        <f t="shared" si="53"/>
        <v/>
      </c>
      <c r="H415" s="7" t="str">
        <f t="shared" si="54"/>
        <v/>
      </c>
      <c r="I415" s="8" t="str">
        <f t="shared" si="55"/>
        <v/>
      </c>
      <c r="L415" t="str">
        <f>IFERROR(MATCH($C$5&amp;"|"&amp;RIGHT("000000"&amp;399,6),LdgRankKeyA,0),"")</f>
        <v/>
      </c>
      <c r="M415" t="str">
        <f>IFERROR(MATCH($C$5&amp;"|"&amp;RIGHT("000000"&amp;399,6),LdgRankKeyB,0),"")</f>
        <v/>
      </c>
    </row>
    <row r="416" spans="1:13" x14ac:dyDescent="0.2">
      <c r="A416" s="9">
        <v>400</v>
      </c>
      <c r="B416" s="10" t="str">
        <f t="shared" si="48"/>
        <v/>
      </c>
      <c r="C416" s="10" t="str">
        <f t="shared" si="49"/>
        <v/>
      </c>
      <c r="D416" s="10" t="str">
        <f t="shared" si="50"/>
        <v/>
      </c>
      <c r="E416" s="11" t="str">
        <f t="shared" si="51"/>
        <v/>
      </c>
      <c r="F416" s="12" t="str">
        <f t="shared" si="52"/>
        <v/>
      </c>
      <c r="G416" s="13" t="str">
        <f t="shared" si="53"/>
        <v/>
      </c>
      <c r="H416" s="13" t="str">
        <f t="shared" si="54"/>
        <v/>
      </c>
      <c r="I416" s="14" t="str">
        <f t="shared" si="55"/>
        <v/>
      </c>
      <c r="L416" t="str">
        <f>IFERROR(MATCH($C$5&amp;"|"&amp;RIGHT("000000"&amp;400,6),LdgRankKeyA,0),"")</f>
        <v/>
      </c>
      <c r="M416" t="str">
        <f>IFERROR(MATCH($C$5&amp;"|"&amp;RIGHT("000000"&amp;400,6),LdgRankKeyB,0),"")</f>
        <v/>
      </c>
    </row>
    <row r="417" spans="1:13" x14ac:dyDescent="0.2">
      <c r="A417" s="3">
        <v>401</v>
      </c>
      <c r="B417" s="4" t="str">
        <f t="shared" si="48"/>
        <v/>
      </c>
      <c r="C417" s="4" t="str">
        <f t="shared" si="49"/>
        <v/>
      </c>
      <c r="D417" s="4" t="str">
        <f t="shared" si="50"/>
        <v/>
      </c>
      <c r="E417" s="5" t="str">
        <f t="shared" si="51"/>
        <v/>
      </c>
      <c r="F417" s="6" t="str">
        <f t="shared" si="52"/>
        <v/>
      </c>
      <c r="G417" s="7" t="str">
        <f t="shared" si="53"/>
        <v/>
      </c>
      <c r="H417" s="7" t="str">
        <f t="shared" si="54"/>
        <v/>
      </c>
      <c r="I417" s="8" t="str">
        <f t="shared" si="55"/>
        <v/>
      </c>
      <c r="L417" t="str">
        <f>IFERROR(MATCH($C$5&amp;"|"&amp;RIGHT("000000"&amp;401,6),LdgRankKeyA,0),"")</f>
        <v/>
      </c>
      <c r="M417" t="str">
        <f>IFERROR(MATCH($C$5&amp;"|"&amp;RIGHT("000000"&amp;401,6),LdgRankKeyB,0),"")</f>
        <v/>
      </c>
    </row>
    <row r="418" spans="1:13" x14ac:dyDescent="0.2">
      <c r="A418" s="9">
        <v>402</v>
      </c>
      <c r="B418" s="10" t="str">
        <f t="shared" si="48"/>
        <v/>
      </c>
      <c r="C418" s="10" t="str">
        <f t="shared" si="49"/>
        <v/>
      </c>
      <c r="D418" s="10" t="str">
        <f t="shared" si="50"/>
        <v/>
      </c>
      <c r="E418" s="11" t="str">
        <f t="shared" si="51"/>
        <v/>
      </c>
      <c r="F418" s="12" t="str">
        <f t="shared" si="52"/>
        <v/>
      </c>
      <c r="G418" s="13" t="str">
        <f t="shared" si="53"/>
        <v/>
      </c>
      <c r="H418" s="13" t="str">
        <f t="shared" si="54"/>
        <v/>
      </c>
      <c r="I418" s="14" t="str">
        <f t="shared" si="55"/>
        <v/>
      </c>
      <c r="L418" t="str">
        <f>IFERROR(MATCH($C$5&amp;"|"&amp;RIGHT("000000"&amp;402,6),LdgRankKeyA,0),"")</f>
        <v/>
      </c>
      <c r="M418" t="str">
        <f>IFERROR(MATCH($C$5&amp;"|"&amp;RIGHT("000000"&amp;402,6),LdgRankKeyB,0),"")</f>
        <v/>
      </c>
    </row>
    <row r="419" spans="1:13" x14ac:dyDescent="0.2">
      <c r="A419" s="3">
        <v>403</v>
      </c>
      <c r="B419" s="4" t="str">
        <f t="shared" si="48"/>
        <v/>
      </c>
      <c r="C419" s="4" t="str">
        <f t="shared" si="49"/>
        <v/>
      </c>
      <c r="D419" s="4" t="str">
        <f t="shared" si="50"/>
        <v/>
      </c>
      <c r="E419" s="5" t="str">
        <f t="shared" si="51"/>
        <v/>
      </c>
      <c r="F419" s="6" t="str">
        <f t="shared" si="52"/>
        <v/>
      </c>
      <c r="G419" s="7" t="str">
        <f t="shared" si="53"/>
        <v/>
      </c>
      <c r="H419" s="7" t="str">
        <f t="shared" si="54"/>
        <v/>
      </c>
      <c r="I419" s="8" t="str">
        <f t="shared" si="55"/>
        <v/>
      </c>
      <c r="L419" t="str">
        <f>IFERROR(MATCH($C$5&amp;"|"&amp;RIGHT("000000"&amp;403,6),LdgRankKeyA,0),"")</f>
        <v/>
      </c>
      <c r="M419" t="str">
        <f>IFERROR(MATCH($C$5&amp;"|"&amp;RIGHT("000000"&amp;403,6),LdgRankKeyB,0),"")</f>
        <v/>
      </c>
    </row>
    <row r="420" spans="1:13" x14ac:dyDescent="0.2">
      <c r="A420" s="9">
        <v>404</v>
      </c>
      <c r="B420" s="10" t="str">
        <f t="shared" si="48"/>
        <v/>
      </c>
      <c r="C420" s="10" t="str">
        <f t="shared" si="49"/>
        <v/>
      </c>
      <c r="D420" s="10" t="str">
        <f t="shared" si="50"/>
        <v/>
      </c>
      <c r="E420" s="11" t="str">
        <f t="shared" si="51"/>
        <v/>
      </c>
      <c r="F420" s="12" t="str">
        <f t="shared" si="52"/>
        <v/>
      </c>
      <c r="G420" s="13" t="str">
        <f t="shared" si="53"/>
        <v/>
      </c>
      <c r="H420" s="13" t="str">
        <f t="shared" si="54"/>
        <v/>
      </c>
      <c r="I420" s="14" t="str">
        <f t="shared" si="55"/>
        <v/>
      </c>
      <c r="L420" t="str">
        <f>IFERROR(MATCH($C$5&amp;"|"&amp;RIGHT("000000"&amp;404,6),LdgRankKeyA,0),"")</f>
        <v/>
      </c>
      <c r="M420" t="str">
        <f>IFERROR(MATCH($C$5&amp;"|"&amp;RIGHT("000000"&amp;404,6),LdgRankKeyB,0),"")</f>
        <v/>
      </c>
    </row>
    <row r="421" spans="1:13" x14ac:dyDescent="0.2">
      <c r="A421" s="3">
        <v>405</v>
      </c>
      <c r="B421" s="4" t="str">
        <f t="shared" si="48"/>
        <v/>
      </c>
      <c r="C421" s="4" t="str">
        <f t="shared" si="49"/>
        <v/>
      </c>
      <c r="D421" s="4" t="str">
        <f t="shared" si="50"/>
        <v/>
      </c>
      <c r="E421" s="5" t="str">
        <f t="shared" si="51"/>
        <v/>
      </c>
      <c r="F421" s="6" t="str">
        <f t="shared" si="52"/>
        <v/>
      </c>
      <c r="G421" s="7" t="str">
        <f t="shared" si="53"/>
        <v/>
      </c>
      <c r="H421" s="7" t="str">
        <f t="shared" si="54"/>
        <v/>
      </c>
      <c r="I421" s="8" t="str">
        <f t="shared" si="55"/>
        <v/>
      </c>
      <c r="L421" t="str">
        <f>IFERROR(MATCH($C$5&amp;"|"&amp;RIGHT("000000"&amp;405,6),LdgRankKeyA,0),"")</f>
        <v/>
      </c>
      <c r="M421" t="str">
        <f>IFERROR(MATCH($C$5&amp;"|"&amp;RIGHT("000000"&amp;405,6),LdgRankKeyB,0),"")</f>
        <v/>
      </c>
    </row>
    <row r="422" spans="1:13" x14ac:dyDescent="0.2">
      <c r="A422" s="9">
        <v>406</v>
      </c>
      <c r="B422" s="10" t="str">
        <f t="shared" si="48"/>
        <v/>
      </c>
      <c r="C422" s="10" t="str">
        <f t="shared" si="49"/>
        <v/>
      </c>
      <c r="D422" s="10" t="str">
        <f t="shared" si="50"/>
        <v/>
      </c>
      <c r="E422" s="11" t="str">
        <f t="shared" si="51"/>
        <v/>
      </c>
      <c r="F422" s="12" t="str">
        <f t="shared" si="52"/>
        <v/>
      </c>
      <c r="G422" s="13" t="str">
        <f t="shared" si="53"/>
        <v/>
      </c>
      <c r="H422" s="13" t="str">
        <f t="shared" si="54"/>
        <v/>
      </c>
      <c r="I422" s="14" t="str">
        <f t="shared" si="55"/>
        <v/>
      </c>
      <c r="L422" t="str">
        <f>IFERROR(MATCH($C$5&amp;"|"&amp;RIGHT("000000"&amp;406,6),LdgRankKeyA,0),"")</f>
        <v/>
      </c>
      <c r="M422" t="str">
        <f>IFERROR(MATCH($C$5&amp;"|"&amp;RIGHT("000000"&amp;406,6),LdgRankKeyB,0),"")</f>
        <v/>
      </c>
    </row>
    <row r="423" spans="1:13" x14ac:dyDescent="0.2">
      <c r="A423" s="3">
        <v>407</v>
      </c>
      <c r="B423" s="4" t="str">
        <f t="shared" si="48"/>
        <v/>
      </c>
      <c r="C423" s="4" t="str">
        <f t="shared" si="49"/>
        <v/>
      </c>
      <c r="D423" s="4" t="str">
        <f t="shared" si="50"/>
        <v/>
      </c>
      <c r="E423" s="5" t="str">
        <f t="shared" si="51"/>
        <v/>
      </c>
      <c r="F423" s="6" t="str">
        <f t="shared" si="52"/>
        <v/>
      </c>
      <c r="G423" s="7" t="str">
        <f t="shared" si="53"/>
        <v/>
      </c>
      <c r="H423" s="7" t="str">
        <f t="shared" si="54"/>
        <v/>
      </c>
      <c r="I423" s="8" t="str">
        <f t="shared" si="55"/>
        <v/>
      </c>
      <c r="L423" t="str">
        <f>IFERROR(MATCH($C$5&amp;"|"&amp;RIGHT("000000"&amp;407,6),LdgRankKeyA,0),"")</f>
        <v/>
      </c>
      <c r="M423" t="str">
        <f>IFERROR(MATCH($C$5&amp;"|"&amp;RIGHT("000000"&amp;407,6),LdgRankKeyB,0),"")</f>
        <v/>
      </c>
    </row>
    <row r="424" spans="1:13" x14ac:dyDescent="0.2">
      <c r="A424" s="9">
        <v>408</v>
      </c>
      <c r="B424" s="10" t="str">
        <f t="shared" si="48"/>
        <v/>
      </c>
      <c r="C424" s="10" t="str">
        <f t="shared" si="49"/>
        <v/>
      </c>
      <c r="D424" s="10" t="str">
        <f t="shared" si="50"/>
        <v/>
      </c>
      <c r="E424" s="11" t="str">
        <f t="shared" si="51"/>
        <v/>
      </c>
      <c r="F424" s="12" t="str">
        <f t="shared" si="52"/>
        <v/>
      </c>
      <c r="G424" s="13" t="str">
        <f t="shared" si="53"/>
        <v/>
      </c>
      <c r="H424" s="13" t="str">
        <f t="shared" si="54"/>
        <v/>
      </c>
      <c r="I424" s="14" t="str">
        <f t="shared" si="55"/>
        <v/>
      </c>
      <c r="L424" t="str">
        <f>IFERROR(MATCH($C$5&amp;"|"&amp;RIGHT("000000"&amp;408,6),LdgRankKeyA,0),"")</f>
        <v/>
      </c>
      <c r="M424" t="str">
        <f>IFERROR(MATCH($C$5&amp;"|"&amp;RIGHT("000000"&amp;408,6),LdgRankKeyB,0),"")</f>
        <v/>
      </c>
    </row>
    <row r="425" spans="1:13" x14ac:dyDescent="0.2">
      <c r="A425" s="3">
        <v>409</v>
      </c>
      <c r="B425" s="4" t="str">
        <f t="shared" si="48"/>
        <v/>
      </c>
      <c r="C425" s="4" t="str">
        <f t="shared" si="49"/>
        <v/>
      </c>
      <c r="D425" s="4" t="str">
        <f t="shared" si="50"/>
        <v/>
      </c>
      <c r="E425" s="5" t="str">
        <f t="shared" si="51"/>
        <v/>
      </c>
      <c r="F425" s="6" t="str">
        <f t="shared" si="52"/>
        <v/>
      </c>
      <c r="G425" s="7" t="str">
        <f t="shared" si="53"/>
        <v/>
      </c>
      <c r="H425" s="7" t="str">
        <f t="shared" si="54"/>
        <v/>
      </c>
      <c r="I425" s="8" t="str">
        <f t="shared" si="55"/>
        <v/>
      </c>
      <c r="L425" t="str">
        <f>IFERROR(MATCH($C$5&amp;"|"&amp;RIGHT("000000"&amp;409,6),LdgRankKeyA,0),"")</f>
        <v/>
      </c>
      <c r="M425" t="str">
        <f>IFERROR(MATCH($C$5&amp;"|"&amp;RIGHT("000000"&amp;409,6),LdgRankKeyB,0),"")</f>
        <v/>
      </c>
    </row>
    <row r="426" spans="1:13" x14ac:dyDescent="0.2">
      <c r="A426" s="9">
        <v>410</v>
      </c>
      <c r="B426" s="10" t="str">
        <f t="shared" si="48"/>
        <v/>
      </c>
      <c r="C426" s="10" t="str">
        <f t="shared" si="49"/>
        <v/>
      </c>
      <c r="D426" s="10" t="str">
        <f t="shared" si="50"/>
        <v/>
      </c>
      <c r="E426" s="11" t="str">
        <f t="shared" si="51"/>
        <v/>
      </c>
      <c r="F426" s="12" t="str">
        <f t="shared" si="52"/>
        <v/>
      </c>
      <c r="G426" s="13" t="str">
        <f t="shared" si="53"/>
        <v/>
      </c>
      <c r="H426" s="13" t="str">
        <f t="shared" si="54"/>
        <v/>
      </c>
      <c r="I426" s="14" t="str">
        <f t="shared" si="55"/>
        <v/>
      </c>
      <c r="L426" t="str">
        <f>IFERROR(MATCH($C$5&amp;"|"&amp;RIGHT("000000"&amp;410,6),LdgRankKeyA,0),"")</f>
        <v/>
      </c>
      <c r="M426" t="str">
        <f>IFERROR(MATCH($C$5&amp;"|"&amp;RIGHT("000000"&amp;410,6),LdgRankKeyB,0),"")</f>
        <v/>
      </c>
    </row>
    <row r="427" spans="1:13" x14ac:dyDescent="0.2">
      <c r="A427" s="3">
        <v>411</v>
      </c>
      <c r="B427" s="4" t="str">
        <f t="shared" si="48"/>
        <v/>
      </c>
      <c r="C427" s="4" t="str">
        <f t="shared" si="49"/>
        <v/>
      </c>
      <c r="D427" s="4" t="str">
        <f t="shared" si="50"/>
        <v/>
      </c>
      <c r="E427" s="5" t="str">
        <f t="shared" si="51"/>
        <v/>
      </c>
      <c r="F427" s="6" t="str">
        <f t="shared" si="52"/>
        <v/>
      </c>
      <c r="G427" s="7" t="str">
        <f t="shared" si="53"/>
        <v/>
      </c>
      <c r="H427" s="7" t="str">
        <f t="shared" si="54"/>
        <v/>
      </c>
      <c r="I427" s="8" t="str">
        <f t="shared" si="55"/>
        <v/>
      </c>
      <c r="L427" t="str">
        <f>IFERROR(MATCH($C$5&amp;"|"&amp;RIGHT("000000"&amp;411,6),LdgRankKeyA,0),"")</f>
        <v/>
      </c>
      <c r="M427" t="str">
        <f>IFERROR(MATCH($C$5&amp;"|"&amp;RIGHT("000000"&amp;411,6),LdgRankKeyB,0),"")</f>
        <v/>
      </c>
    </row>
    <row r="428" spans="1:13" x14ac:dyDescent="0.2">
      <c r="A428" s="9">
        <v>412</v>
      </c>
      <c r="B428" s="10" t="str">
        <f t="shared" si="48"/>
        <v/>
      </c>
      <c r="C428" s="10" t="str">
        <f t="shared" si="49"/>
        <v/>
      </c>
      <c r="D428" s="10" t="str">
        <f t="shared" si="50"/>
        <v/>
      </c>
      <c r="E428" s="11" t="str">
        <f t="shared" si="51"/>
        <v/>
      </c>
      <c r="F428" s="12" t="str">
        <f t="shared" si="52"/>
        <v/>
      </c>
      <c r="G428" s="13" t="str">
        <f t="shared" si="53"/>
        <v/>
      </c>
      <c r="H428" s="13" t="str">
        <f t="shared" si="54"/>
        <v/>
      </c>
      <c r="I428" s="14" t="str">
        <f t="shared" si="55"/>
        <v/>
      </c>
      <c r="L428" t="str">
        <f>IFERROR(MATCH($C$5&amp;"|"&amp;RIGHT("000000"&amp;412,6),LdgRankKeyA,0),"")</f>
        <v/>
      </c>
      <c r="M428" t="str">
        <f>IFERROR(MATCH($C$5&amp;"|"&amp;RIGHT("000000"&amp;412,6),LdgRankKeyB,0),"")</f>
        <v/>
      </c>
    </row>
    <row r="429" spans="1:13" x14ac:dyDescent="0.2">
      <c r="A429" s="3">
        <v>413</v>
      </c>
      <c r="B429" s="4" t="str">
        <f t="shared" si="48"/>
        <v/>
      </c>
      <c r="C429" s="4" t="str">
        <f t="shared" si="49"/>
        <v/>
      </c>
      <c r="D429" s="4" t="str">
        <f t="shared" si="50"/>
        <v/>
      </c>
      <c r="E429" s="5" t="str">
        <f t="shared" si="51"/>
        <v/>
      </c>
      <c r="F429" s="6" t="str">
        <f t="shared" si="52"/>
        <v/>
      </c>
      <c r="G429" s="7" t="str">
        <f t="shared" si="53"/>
        <v/>
      </c>
      <c r="H429" s="7" t="str">
        <f t="shared" si="54"/>
        <v/>
      </c>
      <c r="I429" s="8" t="str">
        <f t="shared" si="55"/>
        <v/>
      </c>
      <c r="L429" t="str">
        <f>IFERROR(MATCH($C$5&amp;"|"&amp;RIGHT("000000"&amp;413,6),LdgRankKeyA,0),"")</f>
        <v/>
      </c>
      <c r="M429" t="str">
        <f>IFERROR(MATCH($C$5&amp;"|"&amp;RIGHT("000000"&amp;413,6),LdgRankKeyB,0),"")</f>
        <v/>
      </c>
    </row>
    <row r="430" spans="1:13" x14ac:dyDescent="0.2">
      <c r="A430" s="9">
        <v>414</v>
      </c>
      <c r="B430" s="10" t="str">
        <f t="shared" si="48"/>
        <v/>
      </c>
      <c r="C430" s="10" t="str">
        <f t="shared" si="49"/>
        <v/>
      </c>
      <c r="D430" s="10" t="str">
        <f t="shared" si="50"/>
        <v/>
      </c>
      <c r="E430" s="11" t="str">
        <f t="shared" si="51"/>
        <v/>
      </c>
      <c r="F430" s="12" t="str">
        <f t="shared" si="52"/>
        <v/>
      </c>
      <c r="G430" s="13" t="str">
        <f t="shared" si="53"/>
        <v/>
      </c>
      <c r="H430" s="13" t="str">
        <f t="shared" si="54"/>
        <v/>
      </c>
      <c r="I430" s="14" t="str">
        <f t="shared" si="55"/>
        <v/>
      </c>
      <c r="L430" t="str">
        <f>IFERROR(MATCH($C$5&amp;"|"&amp;RIGHT("000000"&amp;414,6),LdgRankKeyA,0),"")</f>
        <v/>
      </c>
      <c r="M430" t="str">
        <f>IFERROR(MATCH($C$5&amp;"|"&amp;RIGHT("000000"&amp;414,6),LdgRankKeyB,0),"")</f>
        <v/>
      </c>
    </row>
    <row r="431" spans="1:13" x14ac:dyDescent="0.2">
      <c r="A431" s="3">
        <v>415</v>
      </c>
      <c r="B431" s="4" t="str">
        <f t="shared" si="48"/>
        <v/>
      </c>
      <c r="C431" s="4" t="str">
        <f t="shared" si="49"/>
        <v/>
      </c>
      <c r="D431" s="4" t="str">
        <f t="shared" si="50"/>
        <v/>
      </c>
      <c r="E431" s="5" t="str">
        <f t="shared" si="51"/>
        <v/>
      </c>
      <c r="F431" s="6" t="str">
        <f t="shared" si="52"/>
        <v/>
      </c>
      <c r="G431" s="7" t="str">
        <f t="shared" si="53"/>
        <v/>
      </c>
      <c r="H431" s="7" t="str">
        <f t="shared" si="54"/>
        <v/>
      </c>
      <c r="I431" s="8" t="str">
        <f t="shared" si="55"/>
        <v/>
      </c>
      <c r="L431" t="str">
        <f>IFERROR(MATCH($C$5&amp;"|"&amp;RIGHT("000000"&amp;415,6),LdgRankKeyA,0),"")</f>
        <v/>
      </c>
      <c r="M431" t="str">
        <f>IFERROR(MATCH($C$5&amp;"|"&amp;RIGHT("000000"&amp;415,6),LdgRankKeyB,0),"")</f>
        <v/>
      </c>
    </row>
    <row r="432" spans="1:13" x14ac:dyDescent="0.2">
      <c r="A432" s="9">
        <v>416</v>
      </c>
      <c r="B432" s="10" t="str">
        <f t="shared" si="48"/>
        <v/>
      </c>
      <c r="C432" s="10" t="str">
        <f t="shared" si="49"/>
        <v/>
      </c>
      <c r="D432" s="10" t="str">
        <f t="shared" si="50"/>
        <v/>
      </c>
      <c r="E432" s="11" t="str">
        <f t="shared" si="51"/>
        <v/>
      </c>
      <c r="F432" s="12" t="str">
        <f t="shared" si="52"/>
        <v/>
      </c>
      <c r="G432" s="13" t="str">
        <f t="shared" si="53"/>
        <v/>
      </c>
      <c r="H432" s="13" t="str">
        <f t="shared" si="54"/>
        <v/>
      </c>
      <c r="I432" s="14" t="str">
        <f t="shared" si="55"/>
        <v/>
      </c>
      <c r="L432" t="str">
        <f>IFERROR(MATCH($C$5&amp;"|"&amp;RIGHT("000000"&amp;416,6),LdgRankKeyA,0),"")</f>
        <v/>
      </c>
      <c r="M432" t="str">
        <f>IFERROR(MATCH($C$5&amp;"|"&amp;RIGHT("000000"&amp;416,6),LdgRankKeyB,0),"")</f>
        <v/>
      </c>
    </row>
    <row r="433" spans="1:13" x14ac:dyDescent="0.2">
      <c r="A433" s="3">
        <v>417</v>
      </c>
      <c r="B433" s="4" t="str">
        <f t="shared" si="48"/>
        <v/>
      </c>
      <c r="C433" s="4" t="str">
        <f t="shared" si="49"/>
        <v/>
      </c>
      <c r="D433" s="4" t="str">
        <f t="shared" si="50"/>
        <v/>
      </c>
      <c r="E433" s="5" t="str">
        <f t="shared" si="51"/>
        <v/>
      </c>
      <c r="F433" s="6" t="str">
        <f t="shared" si="52"/>
        <v/>
      </c>
      <c r="G433" s="7" t="str">
        <f t="shared" si="53"/>
        <v/>
      </c>
      <c r="H433" s="7" t="str">
        <f t="shared" si="54"/>
        <v/>
      </c>
      <c r="I433" s="8" t="str">
        <f t="shared" si="55"/>
        <v/>
      </c>
      <c r="L433" t="str">
        <f>IFERROR(MATCH($C$5&amp;"|"&amp;RIGHT("000000"&amp;417,6),LdgRankKeyA,0),"")</f>
        <v/>
      </c>
      <c r="M433" t="str">
        <f>IFERROR(MATCH($C$5&amp;"|"&amp;RIGHT("000000"&amp;417,6),LdgRankKeyB,0),"")</f>
        <v/>
      </c>
    </row>
    <row r="434" spans="1:13" x14ac:dyDescent="0.2">
      <c r="A434" s="9">
        <v>418</v>
      </c>
      <c r="B434" s="10" t="str">
        <f t="shared" si="48"/>
        <v/>
      </c>
      <c r="C434" s="10" t="str">
        <f t="shared" si="49"/>
        <v/>
      </c>
      <c r="D434" s="10" t="str">
        <f t="shared" si="50"/>
        <v/>
      </c>
      <c r="E434" s="11" t="str">
        <f t="shared" si="51"/>
        <v/>
      </c>
      <c r="F434" s="12" t="str">
        <f t="shared" si="52"/>
        <v/>
      </c>
      <c r="G434" s="13" t="str">
        <f t="shared" si="53"/>
        <v/>
      </c>
      <c r="H434" s="13" t="str">
        <f t="shared" si="54"/>
        <v/>
      </c>
      <c r="I434" s="14" t="str">
        <f t="shared" si="55"/>
        <v/>
      </c>
      <c r="L434" t="str">
        <f>IFERROR(MATCH($C$5&amp;"|"&amp;RIGHT("000000"&amp;418,6),LdgRankKeyA,0),"")</f>
        <v/>
      </c>
      <c r="M434" t="str">
        <f>IFERROR(MATCH($C$5&amp;"|"&amp;RIGHT("000000"&amp;418,6),LdgRankKeyB,0),"")</f>
        <v/>
      </c>
    </row>
    <row r="435" spans="1:13" x14ac:dyDescent="0.2">
      <c r="A435" s="3">
        <v>419</v>
      </c>
      <c r="B435" s="4" t="str">
        <f t="shared" si="48"/>
        <v/>
      </c>
      <c r="C435" s="4" t="str">
        <f t="shared" si="49"/>
        <v/>
      </c>
      <c r="D435" s="4" t="str">
        <f t="shared" si="50"/>
        <v/>
      </c>
      <c r="E435" s="5" t="str">
        <f t="shared" si="51"/>
        <v/>
      </c>
      <c r="F435" s="6" t="str">
        <f t="shared" si="52"/>
        <v/>
      </c>
      <c r="G435" s="7" t="str">
        <f t="shared" si="53"/>
        <v/>
      </c>
      <c r="H435" s="7" t="str">
        <f t="shared" si="54"/>
        <v/>
      </c>
      <c r="I435" s="8" t="str">
        <f t="shared" si="55"/>
        <v/>
      </c>
      <c r="L435" t="str">
        <f>IFERROR(MATCH($C$5&amp;"|"&amp;RIGHT("000000"&amp;419,6),LdgRankKeyA,0),"")</f>
        <v/>
      </c>
      <c r="M435" t="str">
        <f>IFERROR(MATCH($C$5&amp;"|"&amp;RIGHT("000000"&amp;419,6),LdgRankKeyB,0),"")</f>
        <v/>
      </c>
    </row>
    <row r="436" spans="1:13" x14ac:dyDescent="0.2">
      <c r="A436" s="9">
        <v>420</v>
      </c>
      <c r="B436" s="10" t="str">
        <f t="shared" si="48"/>
        <v/>
      </c>
      <c r="C436" s="10" t="str">
        <f t="shared" si="49"/>
        <v/>
      </c>
      <c r="D436" s="10" t="str">
        <f t="shared" si="50"/>
        <v/>
      </c>
      <c r="E436" s="11" t="str">
        <f t="shared" si="51"/>
        <v/>
      </c>
      <c r="F436" s="12" t="str">
        <f t="shared" si="52"/>
        <v/>
      </c>
      <c r="G436" s="13" t="str">
        <f t="shared" si="53"/>
        <v/>
      </c>
      <c r="H436" s="13" t="str">
        <f t="shared" si="54"/>
        <v/>
      </c>
      <c r="I436" s="14" t="str">
        <f t="shared" si="55"/>
        <v/>
      </c>
      <c r="L436" t="str">
        <f>IFERROR(MATCH($C$5&amp;"|"&amp;RIGHT("000000"&amp;420,6),LdgRankKeyA,0),"")</f>
        <v/>
      </c>
      <c r="M436" t="str">
        <f>IFERROR(MATCH($C$5&amp;"|"&amp;RIGHT("000000"&amp;420,6),LdgRankKeyB,0),"")</f>
        <v/>
      </c>
    </row>
    <row r="437" spans="1:13" x14ac:dyDescent="0.2">
      <c r="A437" s="3">
        <v>421</v>
      </c>
      <c r="B437" s="4" t="str">
        <f t="shared" si="48"/>
        <v/>
      </c>
      <c r="C437" s="4" t="str">
        <f t="shared" si="49"/>
        <v/>
      </c>
      <c r="D437" s="4" t="str">
        <f t="shared" si="50"/>
        <v/>
      </c>
      <c r="E437" s="5" t="str">
        <f t="shared" si="51"/>
        <v/>
      </c>
      <c r="F437" s="6" t="str">
        <f t="shared" si="52"/>
        <v/>
      </c>
      <c r="G437" s="7" t="str">
        <f t="shared" si="53"/>
        <v/>
      </c>
      <c r="H437" s="7" t="str">
        <f t="shared" si="54"/>
        <v/>
      </c>
      <c r="I437" s="8" t="str">
        <f t="shared" si="55"/>
        <v/>
      </c>
      <c r="L437" t="str">
        <f>IFERROR(MATCH($C$5&amp;"|"&amp;RIGHT("000000"&amp;421,6),LdgRankKeyA,0),"")</f>
        <v/>
      </c>
      <c r="M437" t="str">
        <f>IFERROR(MATCH($C$5&amp;"|"&amp;RIGHT("000000"&amp;421,6),LdgRankKeyB,0),"")</f>
        <v/>
      </c>
    </row>
    <row r="438" spans="1:13" x14ac:dyDescent="0.2">
      <c r="A438" s="9">
        <v>422</v>
      </c>
      <c r="B438" s="10" t="str">
        <f t="shared" si="48"/>
        <v/>
      </c>
      <c r="C438" s="10" t="str">
        <f t="shared" si="49"/>
        <v/>
      </c>
      <c r="D438" s="10" t="str">
        <f t="shared" si="50"/>
        <v/>
      </c>
      <c r="E438" s="11" t="str">
        <f t="shared" si="51"/>
        <v/>
      </c>
      <c r="F438" s="12" t="str">
        <f t="shared" si="52"/>
        <v/>
      </c>
      <c r="G438" s="13" t="str">
        <f t="shared" si="53"/>
        <v/>
      </c>
      <c r="H438" s="13" t="str">
        <f t="shared" si="54"/>
        <v/>
      </c>
      <c r="I438" s="14" t="str">
        <f t="shared" si="55"/>
        <v/>
      </c>
      <c r="L438" t="str">
        <f>IFERROR(MATCH($C$5&amp;"|"&amp;RIGHT("000000"&amp;422,6),LdgRankKeyA,0),"")</f>
        <v/>
      </c>
      <c r="M438" t="str">
        <f>IFERROR(MATCH($C$5&amp;"|"&amp;RIGHT("000000"&amp;422,6),LdgRankKeyB,0),"")</f>
        <v/>
      </c>
    </row>
    <row r="439" spans="1:13" x14ac:dyDescent="0.2">
      <c r="A439" s="3">
        <v>423</v>
      </c>
      <c r="B439" s="4" t="str">
        <f t="shared" si="48"/>
        <v/>
      </c>
      <c r="C439" s="4" t="str">
        <f t="shared" si="49"/>
        <v/>
      </c>
      <c r="D439" s="4" t="str">
        <f t="shared" si="50"/>
        <v/>
      </c>
      <c r="E439" s="5" t="str">
        <f t="shared" si="51"/>
        <v/>
      </c>
      <c r="F439" s="6" t="str">
        <f t="shared" si="52"/>
        <v/>
      </c>
      <c r="G439" s="7" t="str">
        <f t="shared" si="53"/>
        <v/>
      </c>
      <c r="H439" s="7" t="str">
        <f t="shared" si="54"/>
        <v/>
      </c>
      <c r="I439" s="8" t="str">
        <f t="shared" si="55"/>
        <v/>
      </c>
      <c r="L439" t="str">
        <f>IFERROR(MATCH($C$5&amp;"|"&amp;RIGHT("000000"&amp;423,6),LdgRankKeyA,0),"")</f>
        <v/>
      </c>
      <c r="M439" t="str">
        <f>IFERROR(MATCH($C$5&amp;"|"&amp;RIGHT("000000"&amp;423,6),LdgRankKeyB,0),"")</f>
        <v/>
      </c>
    </row>
    <row r="440" spans="1:13" x14ac:dyDescent="0.2">
      <c r="A440" s="9">
        <v>424</v>
      </c>
      <c r="B440" s="10" t="str">
        <f t="shared" si="48"/>
        <v/>
      </c>
      <c r="C440" s="10" t="str">
        <f t="shared" si="49"/>
        <v/>
      </c>
      <c r="D440" s="10" t="str">
        <f t="shared" si="50"/>
        <v/>
      </c>
      <c r="E440" s="11" t="str">
        <f t="shared" si="51"/>
        <v/>
      </c>
      <c r="F440" s="12" t="str">
        <f t="shared" si="52"/>
        <v/>
      </c>
      <c r="G440" s="13" t="str">
        <f t="shared" si="53"/>
        <v/>
      </c>
      <c r="H440" s="13" t="str">
        <f t="shared" si="54"/>
        <v/>
      </c>
      <c r="I440" s="14" t="str">
        <f t="shared" si="55"/>
        <v/>
      </c>
      <c r="L440" t="str">
        <f>IFERROR(MATCH($C$5&amp;"|"&amp;RIGHT("000000"&amp;424,6),LdgRankKeyA,0),"")</f>
        <v/>
      </c>
      <c r="M440" t="str">
        <f>IFERROR(MATCH($C$5&amp;"|"&amp;RIGHT("000000"&amp;424,6),LdgRankKeyB,0),"")</f>
        <v/>
      </c>
    </row>
    <row r="441" spans="1:13" x14ac:dyDescent="0.2">
      <c r="A441" s="3">
        <v>425</v>
      </c>
      <c r="B441" s="4" t="str">
        <f t="shared" si="48"/>
        <v/>
      </c>
      <c r="C441" s="4" t="str">
        <f t="shared" si="49"/>
        <v/>
      </c>
      <c r="D441" s="4" t="str">
        <f t="shared" si="50"/>
        <v/>
      </c>
      <c r="E441" s="5" t="str">
        <f t="shared" si="51"/>
        <v/>
      </c>
      <c r="F441" s="6" t="str">
        <f t="shared" si="52"/>
        <v/>
      </c>
      <c r="G441" s="7" t="str">
        <f t="shared" si="53"/>
        <v/>
      </c>
      <c r="H441" s="7" t="str">
        <f t="shared" si="54"/>
        <v/>
      </c>
      <c r="I441" s="8" t="str">
        <f t="shared" si="55"/>
        <v/>
      </c>
      <c r="L441" t="str">
        <f>IFERROR(MATCH($C$5&amp;"|"&amp;RIGHT("000000"&amp;425,6),LdgRankKeyA,0),"")</f>
        <v/>
      </c>
      <c r="M441" t="str">
        <f>IFERROR(MATCH($C$5&amp;"|"&amp;RIGHT("000000"&amp;425,6),LdgRankKeyB,0),"")</f>
        <v/>
      </c>
    </row>
    <row r="442" spans="1:13" x14ac:dyDescent="0.2">
      <c r="A442" s="9">
        <v>426</v>
      </c>
      <c r="B442" s="10" t="str">
        <f t="shared" si="48"/>
        <v/>
      </c>
      <c r="C442" s="10" t="str">
        <f t="shared" si="49"/>
        <v/>
      </c>
      <c r="D442" s="10" t="str">
        <f t="shared" si="50"/>
        <v/>
      </c>
      <c r="E442" s="11" t="str">
        <f t="shared" si="51"/>
        <v/>
      </c>
      <c r="F442" s="12" t="str">
        <f t="shared" si="52"/>
        <v/>
      </c>
      <c r="G442" s="13" t="str">
        <f t="shared" si="53"/>
        <v/>
      </c>
      <c r="H442" s="13" t="str">
        <f t="shared" si="54"/>
        <v/>
      </c>
      <c r="I442" s="14" t="str">
        <f t="shared" si="55"/>
        <v/>
      </c>
      <c r="L442" t="str">
        <f>IFERROR(MATCH($C$5&amp;"|"&amp;RIGHT("000000"&amp;426,6),LdgRankKeyA,0),"")</f>
        <v/>
      </c>
      <c r="M442" t="str">
        <f>IFERROR(MATCH($C$5&amp;"|"&amp;RIGHT("000000"&amp;426,6),LdgRankKeyB,0),"")</f>
        <v/>
      </c>
    </row>
    <row r="443" spans="1:13" x14ac:dyDescent="0.2">
      <c r="A443" s="3">
        <v>427</v>
      </c>
      <c r="B443" s="4" t="str">
        <f t="shared" si="48"/>
        <v/>
      </c>
      <c r="C443" s="4" t="str">
        <f t="shared" si="49"/>
        <v/>
      </c>
      <c r="D443" s="4" t="str">
        <f t="shared" si="50"/>
        <v/>
      </c>
      <c r="E443" s="5" t="str">
        <f t="shared" si="51"/>
        <v/>
      </c>
      <c r="F443" s="6" t="str">
        <f t="shared" si="52"/>
        <v/>
      </c>
      <c r="G443" s="7" t="str">
        <f t="shared" si="53"/>
        <v/>
      </c>
      <c r="H443" s="7" t="str">
        <f t="shared" si="54"/>
        <v/>
      </c>
      <c r="I443" s="8" t="str">
        <f t="shared" si="55"/>
        <v/>
      </c>
      <c r="L443" t="str">
        <f>IFERROR(MATCH($C$5&amp;"|"&amp;RIGHT("000000"&amp;427,6),LdgRankKeyA,0),"")</f>
        <v/>
      </c>
      <c r="M443" t="str">
        <f>IFERROR(MATCH($C$5&amp;"|"&amp;RIGHT("000000"&amp;427,6),LdgRankKeyB,0),"")</f>
        <v/>
      </c>
    </row>
    <row r="444" spans="1:13" x14ac:dyDescent="0.2">
      <c r="A444" s="9">
        <v>428</v>
      </c>
      <c r="B444" s="10" t="str">
        <f t="shared" si="48"/>
        <v/>
      </c>
      <c r="C444" s="10" t="str">
        <f t="shared" si="49"/>
        <v/>
      </c>
      <c r="D444" s="10" t="str">
        <f t="shared" si="50"/>
        <v/>
      </c>
      <c r="E444" s="11" t="str">
        <f t="shared" si="51"/>
        <v/>
      </c>
      <c r="F444" s="12" t="str">
        <f t="shared" si="52"/>
        <v/>
      </c>
      <c r="G444" s="13" t="str">
        <f t="shared" si="53"/>
        <v/>
      </c>
      <c r="H444" s="13" t="str">
        <f t="shared" si="54"/>
        <v/>
      </c>
      <c r="I444" s="14" t="str">
        <f t="shared" si="55"/>
        <v/>
      </c>
      <c r="L444" t="str">
        <f>IFERROR(MATCH($C$5&amp;"|"&amp;RIGHT("000000"&amp;428,6),LdgRankKeyA,0),"")</f>
        <v/>
      </c>
      <c r="M444" t="str">
        <f>IFERROR(MATCH($C$5&amp;"|"&amp;RIGHT("000000"&amp;428,6),LdgRankKeyB,0),"")</f>
        <v/>
      </c>
    </row>
    <row r="445" spans="1:13" x14ac:dyDescent="0.2">
      <c r="A445" s="3">
        <v>429</v>
      </c>
      <c r="B445" s="4" t="str">
        <f t="shared" si="48"/>
        <v/>
      </c>
      <c r="C445" s="4" t="str">
        <f t="shared" si="49"/>
        <v/>
      </c>
      <c r="D445" s="4" t="str">
        <f t="shared" si="50"/>
        <v/>
      </c>
      <c r="E445" s="5" t="str">
        <f t="shared" si="51"/>
        <v/>
      </c>
      <c r="F445" s="6" t="str">
        <f t="shared" si="52"/>
        <v/>
      </c>
      <c r="G445" s="7" t="str">
        <f t="shared" si="53"/>
        <v/>
      </c>
      <c r="H445" s="7" t="str">
        <f t="shared" si="54"/>
        <v/>
      </c>
      <c r="I445" s="8" t="str">
        <f t="shared" si="55"/>
        <v/>
      </c>
      <c r="L445" t="str">
        <f>IFERROR(MATCH($C$5&amp;"|"&amp;RIGHT("000000"&amp;429,6),LdgRankKeyA,0),"")</f>
        <v/>
      </c>
      <c r="M445" t="str">
        <f>IFERROR(MATCH($C$5&amp;"|"&amp;RIGHT("000000"&amp;429,6),LdgRankKeyB,0),"")</f>
        <v/>
      </c>
    </row>
    <row r="446" spans="1:13" x14ac:dyDescent="0.2">
      <c r="A446" s="9">
        <v>430</v>
      </c>
      <c r="B446" s="10" t="str">
        <f t="shared" si="48"/>
        <v/>
      </c>
      <c r="C446" s="10" t="str">
        <f t="shared" si="49"/>
        <v/>
      </c>
      <c r="D446" s="10" t="str">
        <f t="shared" si="50"/>
        <v/>
      </c>
      <c r="E446" s="11" t="str">
        <f t="shared" si="51"/>
        <v/>
      </c>
      <c r="F446" s="12" t="str">
        <f t="shared" si="52"/>
        <v/>
      </c>
      <c r="G446" s="13" t="str">
        <f t="shared" si="53"/>
        <v/>
      </c>
      <c r="H446" s="13" t="str">
        <f t="shared" si="54"/>
        <v/>
      </c>
      <c r="I446" s="14" t="str">
        <f t="shared" si="55"/>
        <v/>
      </c>
      <c r="L446" t="str">
        <f>IFERROR(MATCH($C$5&amp;"|"&amp;RIGHT("000000"&amp;430,6),LdgRankKeyA,0),"")</f>
        <v/>
      </c>
      <c r="M446" t="str">
        <f>IFERROR(MATCH($C$5&amp;"|"&amp;RIGHT("000000"&amp;430,6),LdgRankKeyB,0),"")</f>
        <v/>
      </c>
    </row>
    <row r="447" spans="1:13" x14ac:dyDescent="0.2">
      <c r="A447" s="3">
        <v>431</v>
      </c>
      <c r="B447" s="4" t="str">
        <f t="shared" si="48"/>
        <v/>
      </c>
      <c r="C447" s="4" t="str">
        <f t="shared" si="49"/>
        <v/>
      </c>
      <c r="D447" s="4" t="str">
        <f t="shared" si="50"/>
        <v/>
      </c>
      <c r="E447" s="5" t="str">
        <f t="shared" si="51"/>
        <v/>
      </c>
      <c r="F447" s="6" t="str">
        <f t="shared" si="52"/>
        <v/>
      </c>
      <c r="G447" s="7" t="str">
        <f t="shared" si="53"/>
        <v/>
      </c>
      <c r="H447" s="7" t="str">
        <f t="shared" si="54"/>
        <v/>
      </c>
      <c r="I447" s="8" t="str">
        <f t="shared" si="55"/>
        <v/>
      </c>
      <c r="L447" t="str">
        <f>IFERROR(MATCH($C$5&amp;"|"&amp;RIGHT("000000"&amp;431,6),LdgRankKeyA,0),"")</f>
        <v/>
      </c>
      <c r="M447" t="str">
        <f>IFERROR(MATCH($C$5&amp;"|"&amp;RIGHT("000000"&amp;431,6),LdgRankKeyB,0),"")</f>
        <v/>
      </c>
    </row>
    <row r="448" spans="1:13" x14ac:dyDescent="0.2">
      <c r="A448" s="9">
        <v>432</v>
      </c>
      <c r="B448" s="10" t="str">
        <f t="shared" si="48"/>
        <v/>
      </c>
      <c r="C448" s="10" t="str">
        <f t="shared" si="49"/>
        <v/>
      </c>
      <c r="D448" s="10" t="str">
        <f t="shared" si="50"/>
        <v/>
      </c>
      <c r="E448" s="11" t="str">
        <f t="shared" si="51"/>
        <v/>
      </c>
      <c r="F448" s="12" t="str">
        <f t="shared" si="52"/>
        <v/>
      </c>
      <c r="G448" s="13" t="str">
        <f t="shared" si="53"/>
        <v/>
      </c>
      <c r="H448" s="13" t="str">
        <f t="shared" si="54"/>
        <v/>
      </c>
      <c r="I448" s="14" t="str">
        <f t="shared" si="55"/>
        <v/>
      </c>
      <c r="L448" t="str">
        <f>IFERROR(MATCH($C$5&amp;"|"&amp;RIGHT("000000"&amp;432,6),LdgRankKeyA,0),"")</f>
        <v/>
      </c>
      <c r="M448" t="str">
        <f>IFERROR(MATCH($C$5&amp;"|"&amp;RIGHT("000000"&amp;432,6),LdgRankKeyB,0),"")</f>
        <v/>
      </c>
    </row>
    <row r="449" spans="1:13" x14ac:dyDescent="0.2">
      <c r="A449" s="3">
        <v>433</v>
      </c>
      <c r="B449" s="4" t="str">
        <f t="shared" si="48"/>
        <v/>
      </c>
      <c r="C449" s="4" t="str">
        <f t="shared" si="49"/>
        <v/>
      </c>
      <c r="D449" s="4" t="str">
        <f t="shared" si="50"/>
        <v/>
      </c>
      <c r="E449" s="5" t="str">
        <f t="shared" si="51"/>
        <v/>
      </c>
      <c r="F449" s="6" t="str">
        <f t="shared" si="52"/>
        <v/>
      </c>
      <c r="G449" s="7" t="str">
        <f t="shared" si="53"/>
        <v/>
      </c>
      <c r="H449" s="7" t="str">
        <f t="shared" si="54"/>
        <v/>
      </c>
      <c r="I449" s="8" t="str">
        <f t="shared" si="55"/>
        <v/>
      </c>
      <c r="L449" t="str">
        <f>IFERROR(MATCH($C$5&amp;"|"&amp;RIGHT("000000"&amp;433,6),LdgRankKeyA,0),"")</f>
        <v/>
      </c>
      <c r="M449" t="str">
        <f>IFERROR(MATCH($C$5&amp;"|"&amp;RIGHT("000000"&amp;433,6),LdgRankKeyB,0),"")</f>
        <v/>
      </c>
    </row>
    <row r="450" spans="1:13" x14ac:dyDescent="0.2">
      <c r="A450" s="9">
        <v>434</v>
      </c>
      <c r="B450" s="10" t="str">
        <f t="shared" si="48"/>
        <v/>
      </c>
      <c r="C450" s="10" t="str">
        <f t="shared" si="49"/>
        <v/>
      </c>
      <c r="D450" s="10" t="str">
        <f t="shared" si="50"/>
        <v/>
      </c>
      <c r="E450" s="11" t="str">
        <f t="shared" si="51"/>
        <v/>
      </c>
      <c r="F450" s="12" t="str">
        <f t="shared" si="52"/>
        <v/>
      </c>
      <c r="G450" s="13" t="str">
        <f t="shared" si="53"/>
        <v/>
      </c>
      <c r="H450" s="13" t="str">
        <f t="shared" si="54"/>
        <v/>
      </c>
      <c r="I450" s="14" t="str">
        <f t="shared" si="55"/>
        <v/>
      </c>
      <c r="L450" t="str">
        <f>IFERROR(MATCH($C$5&amp;"|"&amp;RIGHT("000000"&amp;434,6),LdgRankKeyA,0),"")</f>
        <v/>
      </c>
      <c r="M450" t="str">
        <f>IFERROR(MATCH($C$5&amp;"|"&amp;RIGHT("000000"&amp;434,6),LdgRankKeyB,0),"")</f>
        <v/>
      </c>
    </row>
    <row r="451" spans="1:13" x14ac:dyDescent="0.2">
      <c r="A451" s="3">
        <v>435</v>
      </c>
      <c r="B451" s="4" t="str">
        <f t="shared" si="48"/>
        <v/>
      </c>
      <c r="C451" s="4" t="str">
        <f t="shared" si="49"/>
        <v/>
      </c>
      <c r="D451" s="4" t="str">
        <f t="shared" si="50"/>
        <v/>
      </c>
      <c r="E451" s="5" t="str">
        <f t="shared" si="51"/>
        <v/>
      </c>
      <c r="F451" s="6" t="str">
        <f t="shared" si="52"/>
        <v/>
      </c>
      <c r="G451" s="7" t="str">
        <f t="shared" si="53"/>
        <v/>
      </c>
      <c r="H451" s="7" t="str">
        <f t="shared" si="54"/>
        <v/>
      </c>
      <c r="I451" s="8" t="str">
        <f t="shared" si="55"/>
        <v/>
      </c>
      <c r="L451" t="str">
        <f>IFERROR(MATCH($C$5&amp;"|"&amp;RIGHT("000000"&amp;435,6),LdgRankKeyA,0),"")</f>
        <v/>
      </c>
      <c r="M451" t="str">
        <f>IFERROR(MATCH($C$5&amp;"|"&amp;RIGHT("000000"&amp;435,6),LdgRankKeyB,0),"")</f>
        <v/>
      </c>
    </row>
    <row r="452" spans="1:13" x14ac:dyDescent="0.2">
      <c r="A452" s="9">
        <v>436</v>
      </c>
      <c r="B452" s="10" t="str">
        <f t="shared" si="48"/>
        <v/>
      </c>
      <c r="C452" s="10" t="str">
        <f t="shared" si="49"/>
        <v/>
      </c>
      <c r="D452" s="10" t="str">
        <f t="shared" si="50"/>
        <v/>
      </c>
      <c r="E452" s="11" t="str">
        <f t="shared" si="51"/>
        <v/>
      </c>
      <c r="F452" s="12" t="str">
        <f t="shared" si="52"/>
        <v/>
      </c>
      <c r="G452" s="13" t="str">
        <f t="shared" si="53"/>
        <v/>
      </c>
      <c r="H452" s="13" t="str">
        <f t="shared" si="54"/>
        <v/>
      </c>
      <c r="I452" s="14" t="str">
        <f t="shared" si="55"/>
        <v/>
      </c>
      <c r="L452" t="str">
        <f>IFERROR(MATCH($C$5&amp;"|"&amp;RIGHT("000000"&amp;436,6),LdgRankKeyA,0),"")</f>
        <v/>
      </c>
      <c r="M452" t="str">
        <f>IFERROR(MATCH($C$5&amp;"|"&amp;RIGHT("000000"&amp;436,6),LdgRankKeyB,0),"")</f>
        <v/>
      </c>
    </row>
    <row r="453" spans="1:13" x14ac:dyDescent="0.2">
      <c r="A453" s="3">
        <v>437</v>
      </c>
      <c r="B453" s="4" t="str">
        <f t="shared" si="48"/>
        <v/>
      </c>
      <c r="C453" s="4" t="str">
        <f t="shared" si="49"/>
        <v/>
      </c>
      <c r="D453" s="4" t="str">
        <f t="shared" si="50"/>
        <v/>
      </c>
      <c r="E453" s="5" t="str">
        <f t="shared" si="51"/>
        <v/>
      </c>
      <c r="F453" s="6" t="str">
        <f t="shared" si="52"/>
        <v/>
      </c>
      <c r="G453" s="7" t="str">
        <f t="shared" si="53"/>
        <v/>
      </c>
      <c r="H453" s="7" t="str">
        <f t="shared" si="54"/>
        <v/>
      </c>
      <c r="I453" s="8" t="str">
        <f t="shared" si="55"/>
        <v/>
      </c>
      <c r="L453" t="str">
        <f>IFERROR(MATCH($C$5&amp;"|"&amp;RIGHT("000000"&amp;437,6),LdgRankKeyA,0),"")</f>
        <v/>
      </c>
      <c r="M453" t="str">
        <f>IFERROR(MATCH($C$5&amp;"|"&amp;RIGHT("000000"&amp;437,6),LdgRankKeyB,0),"")</f>
        <v/>
      </c>
    </row>
    <row r="454" spans="1:13" x14ac:dyDescent="0.2">
      <c r="A454" s="9">
        <v>438</v>
      </c>
      <c r="B454" s="10" t="str">
        <f t="shared" si="48"/>
        <v/>
      </c>
      <c r="C454" s="10" t="str">
        <f t="shared" si="49"/>
        <v/>
      </c>
      <c r="D454" s="10" t="str">
        <f t="shared" si="50"/>
        <v/>
      </c>
      <c r="E454" s="11" t="str">
        <f t="shared" si="51"/>
        <v/>
      </c>
      <c r="F454" s="12" t="str">
        <f t="shared" si="52"/>
        <v/>
      </c>
      <c r="G454" s="13" t="str">
        <f t="shared" si="53"/>
        <v/>
      </c>
      <c r="H454" s="13" t="str">
        <f t="shared" si="54"/>
        <v/>
      </c>
      <c r="I454" s="14" t="str">
        <f t="shared" si="55"/>
        <v/>
      </c>
      <c r="L454" t="str">
        <f>IFERROR(MATCH($C$5&amp;"|"&amp;RIGHT("000000"&amp;438,6),LdgRankKeyA,0),"")</f>
        <v/>
      </c>
      <c r="M454" t="str">
        <f>IFERROR(MATCH($C$5&amp;"|"&amp;RIGHT("000000"&amp;438,6),LdgRankKeyB,0),"")</f>
        <v/>
      </c>
    </row>
    <row r="455" spans="1:13" x14ac:dyDescent="0.2">
      <c r="A455" s="3">
        <v>439</v>
      </c>
      <c r="B455" s="4" t="str">
        <f t="shared" si="48"/>
        <v/>
      </c>
      <c r="C455" s="4" t="str">
        <f t="shared" si="49"/>
        <v/>
      </c>
      <c r="D455" s="4" t="str">
        <f t="shared" si="50"/>
        <v/>
      </c>
      <c r="E455" s="5" t="str">
        <f t="shared" si="51"/>
        <v/>
      </c>
      <c r="F455" s="6" t="str">
        <f t="shared" si="52"/>
        <v/>
      </c>
      <c r="G455" s="7" t="str">
        <f t="shared" si="53"/>
        <v/>
      </c>
      <c r="H455" s="7" t="str">
        <f t="shared" si="54"/>
        <v/>
      </c>
      <c r="I455" s="8" t="str">
        <f t="shared" si="55"/>
        <v/>
      </c>
      <c r="L455" t="str">
        <f>IFERROR(MATCH($C$5&amp;"|"&amp;RIGHT("000000"&amp;439,6),LdgRankKeyA,0),"")</f>
        <v/>
      </c>
      <c r="M455" t="str">
        <f>IFERROR(MATCH($C$5&amp;"|"&amp;RIGHT("000000"&amp;439,6),LdgRankKeyB,0),"")</f>
        <v/>
      </c>
    </row>
    <row r="456" spans="1:13" x14ac:dyDescent="0.2">
      <c r="A456" s="9">
        <v>440</v>
      </c>
      <c r="B456" s="10" t="str">
        <f t="shared" si="48"/>
        <v/>
      </c>
      <c r="C456" s="10" t="str">
        <f t="shared" si="49"/>
        <v/>
      </c>
      <c r="D456" s="10" t="str">
        <f t="shared" si="50"/>
        <v/>
      </c>
      <c r="E456" s="11" t="str">
        <f t="shared" si="51"/>
        <v/>
      </c>
      <c r="F456" s="12" t="str">
        <f t="shared" si="52"/>
        <v/>
      </c>
      <c r="G456" s="13" t="str">
        <f t="shared" si="53"/>
        <v/>
      </c>
      <c r="H456" s="13" t="str">
        <f t="shared" si="54"/>
        <v/>
      </c>
      <c r="I456" s="14" t="str">
        <f t="shared" si="55"/>
        <v/>
      </c>
      <c r="L456" t="str">
        <f>IFERROR(MATCH($C$5&amp;"|"&amp;RIGHT("000000"&amp;440,6),LdgRankKeyA,0),"")</f>
        <v/>
      </c>
      <c r="M456" t="str">
        <f>IFERROR(MATCH($C$5&amp;"|"&amp;RIGHT("000000"&amp;440,6),LdgRankKeyB,0),"")</f>
        <v/>
      </c>
    </row>
    <row r="457" spans="1:13" x14ac:dyDescent="0.2">
      <c r="A457" s="3">
        <v>441</v>
      </c>
      <c r="B457" s="4" t="str">
        <f t="shared" si="48"/>
        <v/>
      </c>
      <c r="C457" s="4" t="str">
        <f t="shared" si="49"/>
        <v/>
      </c>
      <c r="D457" s="4" t="str">
        <f t="shared" si="50"/>
        <v/>
      </c>
      <c r="E457" s="5" t="str">
        <f t="shared" si="51"/>
        <v/>
      </c>
      <c r="F457" s="6" t="str">
        <f t="shared" si="52"/>
        <v/>
      </c>
      <c r="G457" s="7" t="str">
        <f t="shared" si="53"/>
        <v/>
      </c>
      <c r="H457" s="7" t="str">
        <f t="shared" si="54"/>
        <v/>
      </c>
      <c r="I457" s="8" t="str">
        <f t="shared" si="55"/>
        <v/>
      </c>
      <c r="L457" t="str">
        <f>IFERROR(MATCH($C$5&amp;"|"&amp;RIGHT("000000"&amp;441,6),LdgRankKeyA,0),"")</f>
        <v/>
      </c>
      <c r="M457" t="str">
        <f>IFERROR(MATCH($C$5&amp;"|"&amp;RIGHT("000000"&amp;441,6),LdgRankKeyB,0),"")</f>
        <v/>
      </c>
    </row>
    <row r="458" spans="1:13" x14ac:dyDescent="0.2">
      <c r="A458" s="9">
        <v>442</v>
      </c>
      <c r="B458" s="10" t="str">
        <f t="shared" si="48"/>
        <v/>
      </c>
      <c r="C458" s="10" t="str">
        <f t="shared" si="49"/>
        <v/>
      </c>
      <c r="D458" s="10" t="str">
        <f t="shared" si="50"/>
        <v/>
      </c>
      <c r="E458" s="11" t="str">
        <f t="shared" si="51"/>
        <v/>
      </c>
      <c r="F458" s="12" t="str">
        <f t="shared" si="52"/>
        <v/>
      </c>
      <c r="G458" s="13" t="str">
        <f t="shared" si="53"/>
        <v/>
      </c>
      <c r="H458" s="13" t="str">
        <f t="shared" si="54"/>
        <v/>
      </c>
      <c r="I458" s="14" t="str">
        <f t="shared" si="55"/>
        <v/>
      </c>
      <c r="L458" t="str">
        <f>IFERROR(MATCH($C$5&amp;"|"&amp;RIGHT("000000"&amp;442,6),LdgRankKeyA,0),"")</f>
        <v/>
      </c>
      <c r="M458" t="str">
        <f>IFERROR(MATCH($C$5&amp;"|"&amp;RIGHT("000000"&amp;442,6),LdgRankKeyB,0),"")</f>
        <v/>
      </c>
    </row>
    <row r="459" spans="1:13" x14ac:dyDescent="0.2">
      <c r="A459" s="3">
        <v>443</v>
      </c>
      <c r="B459" s="4" t="str">
        <f t="shared" si="48"/>
        <v/>
      </c>
      <c r="C459" s="4" t="str">
        <f t="shared" si="49"/>
        <v/>
      </c>
      <c r="D459" s="4" t="str">
        <f t="shared" si="50"/>
        <v/>
      </c>
      <c r="E459" s="5" t="str">
        <f t="shared" si="51"/>
        <v/>
      </c>
      <c r="F459" s="6" t="str">
        <f t="shared" si="52"/>
        <v/>
      </c>
      <c r="G459" s="7" t="str">
        <f t="shared" si="53"/>
        <v/>
      </c>
      <c r="H459" s="7" t="str">
        <f t="shared" si="54"/>
        <v/>
      </c>
      <c r="I459" s="8" t="str">
        <f t="shared" si="55"/>
        <v/>
      </c>
      <c r="L459" t="str">
        <f>IFERROR(MATCH($C$5&amp;"|"&amp;RIGHT("000000"&amp;443,6),LdgRankKeyA,0),"")</f>
        <v/>
      </c>
      <c r="M459" t="str">
        <f>IFERROR(MATCH($C$5&amp;"|"&amp;RIGHT("000000"&amp;443,6),LdgRankKeyB,0),"")</f>
        <v/>
      </c>
    </row>
    <row r="460" spans="1:13" x14ac:dyDescent="0.2">
      <c r="A460" s="9">
        <v>444</v>
      </c>
      <c r="B460" s="10" t="str">
        <f t="shared" si="48"/>
        <v/>
      </c>
      <c r="C460" s="10" t="str">
        <f t="shared" si="49"/>
        <v/>
      </c>
      <c r="D460" s="10" t="str">
        <f t="shared" si="50"/>
        <v/>
      </c>
      <c r="E460" s="11" t="str">
        <f t="shared" si="51"/>
        <v/>
      </c>
      <c r="F460" s="12" t="str">
        <f t="shared" si="52"/>
        <v/>
      </c>
      <c r="G460" s="13" t="str">
        <f t="shared" si="53"/>
        <v/>
      </c>
      <c r="H460" s="13" t="str">
        <f t="shared" si="54"/>
        <v/>
      </c>
      <c r="I460" s="14" t="str">
        <f t="shared" si="55"/>
        <v/>
      </c>
      <c r="L460" t="str">
        <f>IFERROR(MATCH($C$5&amp;"|"&amp;RIGHT("000000"&amp;444,6),LdgRankKeyA,0),"")</f>
        <v/>
      </c>
      <c r="M460" t="str">
        <f>IFERROR(MATCH($C$5&amp;"|"&amp;RIGHT("000000"&amp;444,6),LdgRankKeyB,0),"")</f>
        <v/>
      </c>
    </row>
    <row r="461" spans="1:13" x14ac:dyDescent="0.2">
      <c r="A461" s="3">
        <v>445</v>
      </c>
      <c r="B461" s="4" t="str">
        <f t="shared" si="48"/>
        <v/>
      </c>
      <c r="C461" s="4" t="str">
        <f t="shared" si="49"/>
        <v/>
      </c>
      <c r="D461" s="4" t="str">
        <f t="shared" si="50"/>
        <v/>
      </c>
      <c r="E461" s="5" t="str">
        <f t="shared" si="51"/>
        <v/>
      </c>
      <c r="F461" s="6" t="str">
        <f t="shared" si="52"/>
        <v/>
      </c>
      <c r="G461" s="7" t="str">
        <f t="shared" si="53"/>
        <v/>
      </c>
      <c r="H461" s="7" t="str">
        <f t="shared" si="54"/>
        <v/>
      </c>
      <c r="I461" s="8" t="str">
        <f t="shared" si="55"/>
        <v/>
      </c>
      <c r="L461" t="str">
        <f>IFERROR(MATCH($C$5&amp;"|"&amp;RIGHT("000000"&amp;445,6),LdgRankKeyA,0),"")</f>
        <v/>
      </c>
      <c r="M461" t="str">
        <f>IFERROR(MATCH($C$5&amp;"|"&amp;RIGHT("000000"&amp;445,6),LdgRankKeyB,0),"")</f>
        <v/>
      </c>
    </row>
    <row r="462" spans="1:13" x14ac:dyDescent="0.2">
      <c r="A462" s="9">
        <v>446</v>
      </c>
      <c r="B462" s="10" t="str">
        <f t="shared" si="48"/>
        <v/>
      </c>
      <c r="C462" s="10" t="str">
        <f t="shared" si="49"/>
        <v/>
      </c>
      <c r="D462" s="10" t="str">
        <f t="shared" si="50"/>
        <v/>
      </c>
      <c r="E462" s="11" t="str">
        <f t="shared" si="51"/>
        <v/>
      </c>
      <c r="F462" s="12" t="str">
        <f t="shared" si="52"/>
        <v/>
      </c>
      <c r="G462" s="13" t="str">
        <f t="shared" si="53"/>
        <v/>
      </c>
      <c r="H462" s="13" t="str">
        <f t="shared" si="54"/>
        <v/>
      </c>
      <c r="I462" s="14" t="str">
        <f t="shared" si="55"/>
        <v/>
      </c>
      <c r="L462" t="str">
        <f>IFERROR(MATCH($C$5&amp;"|"&amp;RIGHT("000000"&amp;446,6),LdgRankKeyA,0),"")</f>
        <v/>
      </c>
      <c r="M462" t="str">
        <f>IFERROR(MATCH($C$5&amp;"|"&amp;RIGHT("000000"&amp;446,6),LdgRankKeyB,0),"")</f>
        <v/>
      </c>
    </row>
    <row r="463" spans="1:13" x14ac:dyDescent="0.2">
      <c r="A463" s="3">
        <v>447</v>
      </c>
      <c r="B463" s="4" t="str">
        <f t="shared" si="48"/>
        <v/>
      </c>
      <c r="C463" s="4" t="str">
        <f t="shared" si="49"/>
        <v/>
      </c>
      <c r="D463" s="4" t="str">
        <f t="shared" si="50"/>
        <v/>
      </c>
      <c r="E463" s="5" t="str">
        <f t="shared" si="51"/>
        <v/>
      </c>
      <c r="F463" s="6" t="str">
        <f t="shared" si="52"/>
        <v/>
      </c>
      <c r="G463" s="7" t="str">
        <f t="shared" si="53"/>
        <v/>
      </c>
      <c r="H463" s="7" t="str">
        <f t="shared" si="54"/>
        <v/>
      </c>
      <c r="I463" s="8" t="str">
        <f t="shared" si="55"/>
        <v/>
      </c>
      <c r="L463" t="str">
        <f>IFERROR(MATCH($C$5&amp;"|"&amp;RIGHT("000000"&amp;447,6),LdgRankKeyA,0),"")</f>
        <v/>
      </c>
      <c r="M463" t="str">
        <f>IFERROR(MATCH($C$5&amp;"|"&amp;RIGHT("000000"&amp;447,6),LdgRankKeyB,0),"")</f>
        <v/>
      </c>
    </row>
    <row r="464" spans="1:13" x14ac:dyDescent="0.2">
      <c r="A464" s="9">
        <v>448</v>
      </c>
      <c r="B464" s="10" t="str">
        <f t="shared" si="48"/>
        <v/>
      </c>
      <c r="C464" s="10" t="str">
        <f t="shared" si="49"/>
        <v/>
      </c>
      <c r="D464" s="10" t="str">
        <f t="shared" si="50"/>
        <v/>
      </c>
      <c r="E464" s="11" t="str">
        <f t="shared" si="51"/>
        <v/>
      </c>
      <c r="F464" s="12" t="str">
        <f t="shared" si="52"/>
        <v/>
      </c>
      <c r="G464" s="13" t="str">
        <f t="shared" si="53"/>
        <v/>
      </c>
      <c r="H464" s="13" t="str">
        <f t="shared" si="54"/>
        <v/>
      </c>
      <c r="I464" s="14" t="str">
        <f t="shared" si="55"/>
        <v/>
      </c>
      <c r="L464" t="str">
        <f>IFERROR(MATCH($C$5&amp;"|"&amp;RIGHT("000000"&amp;448,6),LdgRankKeyA,0),"")</f>
        <v/>
      </c>
      <c r="M464" t="str">
        <f>IFERROR(MATCH($C$5&amp;"|"&amp;RIGHT("000000"&amp;448,6),LdgRankKeyB,0),"")</f>
        <v/>
      </c>
    </row>
    <row r="465" spans="1:13" x14ac:dyDescent="0.2">
      <c r="A465" s="3">
        <v>449</v>
      </c>
      <c r="B465" s="4" t="str">
        <f t="shared" ref="B465:B528" si="56">IF(AND($L465="",$M465=""),"",IF($L465&lt;&gt;"",INDEX(SCNormDate,$L465),INDEX(LdgDateB,$M465)))</f>
        <v/>
      </c>
      <c r="C465" s="4" t="str">
        <f t="shared" ref="C465:C528" si="57">IF($L465&lt;&gt;"",INDEX(SCOp,$L465),IF($M465&lt;&gt;"","پرداخت بانکی",""))</f>
        <v/>
      </c>
      <c r="D465" s="4" t="str">
        <f t="shared" ref="D465:D528" si="58">IF($L465&lt;&gt;"",IF(INDEX(SCDoc,$L465)="","—",INDEX(SCDoc,$L465)),IF($M465&lt;&gt;"",INDEX(LdgBankB,$M465),""))</f>
        <v/>
      </c>
      <c r="E465" s="5" t="str">
        <f t="shared" ref="E465:E528" si="59">IF($L465&lt;&gt;"",IF(INDEX(SCCitrus,$L465)&amp;INDEX(SCNotes,$L465)="","",IF(INDEX(SCCitrus,$L465)="","",INDEX(SCCitrus,$L465))&amp;IF(INDEX(SCNotes,$L465)="",""," — "&amp;INDEX(SCNotes,$L465))),IF($M465&lt;&gt;"",IF(INDEX(LdgNoteB,$M465)="","—",INDEX(LdgNoteB,$M465)),""))</f>
        <v/>
      </c>
      <c r="F465" s="6" t="str">
        <f t="shared" ref="F465:F528" si="60">IF($L465&lt;&gt;"",IF(INDEX(SCNet,$L465)=0,"",INDEX(SCNet,$L465)),"")</f>
        <v/>
      </c>
      <c r="G465" s="7" t="str">
        <f t="shared" ref="G465:G528" si="61">IF($L465&lt;&gt;"",IF(INDEX(SCOp,$L465)="مرجوعی فروش","",IF(INDEX(SCAmount,$L465)&lt;=0,"",INDEX(SCAmount,$L465))),IF($M465&lt;&gt;"",IF(INDEX(LdgWitB,$M465)=0,"",INDEX(LdgWitB,$M465)),""))</f>
        <v/>
      </c>
      <c r="H465" s="7" t="str">
        <f t="shared" ref="H465:H528" si="62">IF($L465&lt;&gt;"",IF(INDEX(SCOp,$L465)="مرجوعی فروش",IF(INDEX(SCAmount,$L465)=0,"",-INDEX(SCAmount,$L465)),""),IF($M465&lt;&gt;"",IF(INDEX(LdgDepB,$M465)=0,"",INDEX(LdgDepB,$M465)),""))</f>
        <v/>
      </c>
      <c r="I465" s="8" t="str">
        <f t="shared" si="55"/>
        <v/>
      </c>
      <c r="L465" t="str">
        <f>IFERROR(MATCH($C$5&amp;"|"&amp;RIGHT("000000"&amp;449,6),LdgRankKeyA,0),"")</f>
        <v/>
      </c>
      <c r="M465" t="str">
        <f>IFERROR(MATCH($C$5&amp;"|"&amp;RIGHT("000000"&amp;449,6),LdgRankKeyB,0),"")</f>
        <v/>
      </c>
    </row>
    <row r="466" spans="1:13" x14ac:dyDescent="0.2">
      <c r="A466" s="9">
        <v>450</v>
      </c>
      <c r="B466" s="10" t="str">
        <f t="shared" si="56"/>
        <v/>
      </c>
      <c r="C466" s="10" t="str">
        <f t="shared" si="57"/>
        <v/>
      </c>
      <c r="D466" s="10" t="str">
        <f t="shared" si="58"/>
        <v/>
      </c>
      <c r="E466" s="11" t="str">
        <f t="shared" si="59"/>
        <v/>
      </c>
      <c r="F466" s="12" t="str">
        <f t="shared" si="60"/>
        <v/>
      </c>
      <c r="G466" s="13" t="str">
        <f t="shared" si="61"/>
        <v/>
      </c>
      <c r="H466" s="13" t="str">
        <f t="shared" si="62"/>
        <v/>
      </c>
      <c r="I466" s="14" t="str">
        <f t="shared" ref="I466:I529" si="63">IF($B466="","",IF($I465="",$C$10,$I465)+IF($G466="",0,$G466)-IF($H466="",0,$H466))</f>
        <v/>
      </c>
      <c r="L466" t="str">
        <f>IFERROR(MATCH($C$5&amp;"|"&amp;RIGHT("000000"&amp;450,6),LdgRankKeyA,0),"")</f>
        <v/>
      </c>
      <c r="M466" t="str">
        <f>IFERROR(MATCH($C$5&amp;"|"&amp;RIGHT("000000"&amp;450,6),LdgRankKeyB,0),"")</f>
        <v/>
      </c>
    </row>
    <row r="467" spans="1:13" x14ac:dyDescent="0.2">
      <c r="A467" s="3">
        <v>451</v>
      </c>
      <c r="B467" s="4" t="str">
        <f t="shared" si="56"/>
        <v/>
      </c>
      <c r="C467" s="4" t="str">
        <f t="shared" si="57"/>
        <v/>
      </c>
      <c r="D467" s="4" t="str">
        <f t="shared" si="58"/>
        <v/>
      </c>
      <c r="E467" s="5" t="str">
        <f t="shared" si="59"/>
        <v/>
      </c>
      <c r="F467" s="6" t="str">
        <f t="shared" si="60"/>
        <v/>
      </c>
      <c r="G467" s="7" t="str">
        <f t="shared" si="61"/>
        <v/>
      </c>
      <c r="H467" s="7" t="str">
        <f t="shared" si="62"/>
        <v/>
      </c>
      <c r="I467" s="8" t="str">
        <f t="shared" si="63"/>
        <v/>
      </c>
      <c r="L467" t="str">
        <f>IFERROR(MATCH($C$5&amp;"|"&amp;RIGHT("000000"&amp;451,6),LdgRankKeyA,0),"")</f>
        <v/>
      </c>
      <c r="M467" t="str">
        <f>IFERROR(MATCH($C$5&amp;"|"&amp;RIGHT("000000"&amp;451,6),LdgRankKeyB,0),"")</f>
        <v/>
      </c>
    </row>
    <row r="468" spans="1:13" x14ac:dyDescent="0.2">
      <c r="A468" s="9">
        <v>452</v>
      </c>
      <c r="B468" s="10" t="str">
        <f t="shared" si="56"/>
        <v/>
      </c>
      <c r="C468" s="10" t="str">
        <f t="shared" si="57"/>
        <v/>
      </c>
      <c r="D468" s="10" t="str">
        <f t="shared" si="58"/>
        <v/>
      </c>
      <c r="E468" s="11" t="str">
        <f t="shared" si="59"/>
        <v/>
      </c>
      <c r="F468" s="12" t="str">
        <f t="shared" si="60"/>
        <v/>
      </c>
      <c r="G468" s="13" t="str">
        <f t="shared" si="61"/>
        <v/>
      </c>
      <c r="H468" s="13" t="str">
        <f t="shared" si="62"/>
        <v/>
      </c>
      <c r="I468" s="14" t="str">
        <f t="shared" si="63"/>
        <v/>
      </c>
      <c r="L468" t="str">
        <f>IFERROR(MATCH($C$5&amp;"|"&amp;RIGHT("000000"&amp;452,6),LdgRankKeyA,0),"")</f>
        <v/>
      </c>
      <c r="M468" t="str">
        <f>IFERROR(MATCH($C$5&amp;"|"&amp;RIGHT("000000"&amp;452,6),LdgRankKeyB,0),"")</f>
        <v/>
      </c>
    </row>
    <row r="469" spans="1:13" x14ac:dyDescent="0.2">
      <c r="A469" s="3">
        <v>453</v>
      </c>
      <c r="B469" s="4" t="str">
        <f t="shared" si="56"/>
        <v/>
      </c>
      <c r="C469" s="4" t="str">
        <f t="shared" si="57"/>
        <v/>
      </c>
      <c r="D469" s="4" t="str">
        <f t="shared" si="58"/>
        <v/>
      </c>
      <c r="E469" s="5" t="str">
        <f t="shared" si="59"/>
        <v/>
      </c>
      <c r="F469" s="6" t="str">
        <f t="shared" si="60"/>
        <v/>
      </c>
      <c r="G469" s="7" t="str">
        <f t="shared" si="61"/>
        <v/>
      </c>
      <c r="H469" s="7" t="str">
        <f t="shared" si="62"/>
        <v/>
      </c>
      <c r="I469" s="8" t="str">
        <f t="shared" si="63"/>
        <v/>
      </c>
      <c r="L469" t="str">
        <f>IFERROR(MATCH($C$5&amp;"|"&amp;RIGHT("000000"&amp;453,6),LdgRankKeyA,0),"")</f>
        <v/>
      </c>
      <c r="M469" t="str">
        <f>IFERROR(MATCH($C$5&amp;"|"&amp;RIGHT("000000"&amp;453,6),LdgRankKeyB,0),"")</f>
        <v/>
      </c>
    </row>
    <row r="470" spans="1:13" x14ac:dyDescent="0.2">
      <c r="A470" s="9">
        <v>454</v>
      </c>
      <c r="B470" s="10" t="str">
        <f t="shared" si="56"/>
        <v/>
      </c>
      <c r="C470" s="10" t="str">
        <f t="shared" si="57"/>
        <v/>
      </c>
      <c r="D470" s="10" t="str">
        <f t="shared" si="58"/>
        <v/>
      </c>
      <c r="E470" s="11" t="str">
        <f t="shared" si="59"/>
        <v/>
      </c>
      <c r="F470" s="12" t="str">
        <f t="shared" si="60"/>
        <v/>
      </c>
      <c r="G470" s="13" t="str">
        <f t="shared" si="61"/>
        <v/>
      </c>
      <c r="H470" s="13" t="str">
        <f t="shared" si="62"/>
        <v/>
      </c>
      <c r="I470" s="14" t="str">
        <f t="shared" si="63"/>
        <v/>
      </c>
      <c r="L470" t="str">
        <f>IFERROR(MATCH($C$5&amp;"|"&amp;RIGHT("000000"&amp;454,6),LdgRankKeyA,0),"")</f>
        <v/>
      </c>
      <c r="M470" t="str">
        <f>IFERROR(MATCH($C$5&amp;"|"&amp;RIGHT("000000"&amp;454,6),LdgRankKeyB,0),"")</f>
        <v/>
      </c>
    </row>
    <row r="471" spans="1:13" x14ac:dyDescent="0.2">
      <c r="A471" s="3">
        <v>455</v>
      </c>
      <c r="B471" s="4" t="str">
        <f t="shared" si="56"/>
        <v/>
      </c>
      <c r="C471" s="4" t="str">
        <f t="shared" si="57"/>
        <v/>
      </c>
      <c r="D471" s="4" t="str">
        <f t="shared" si="58"/>
        <v/>
      </c>
      <c r="E471" s="5" t="str">
        <f t="shared" si="59"/>
        <v/>
      </c>
      <c r="F471" s="6" t="str">
        <f t="shared" si="60"/>
        <v/>
      </c>
      <c r="G471" s="7" t="str">
        <f t="shared" si="61"/>
        <v/>
      </c>
      <c r="H471" s="7" t="str">
        <f t="shared" si="62"/>
        <v/>
      </c>
      <c r="I471" s="8" t="str">
        <f t="shared" si="63"/>
        <v/>
      </c>
      <c r="L471" t="str">
        <f>IFERROR(MATCH($C$5&amp;"|"&amp;RIGHT("000000"&amp;455,6),LdgRankKeyA,0),"")</f>
        <v/>
      </c>
      <c r="M471" t="str">
        <f>IFERROR(MATCH($C$5&amp;"|"&amp;RIGHT("000000"&amp;455,6),LdgRankKeyB,0),"")</f>
        <v/>
      </c>
    </row>
    <row r="472" spans="1:13" x14ac:dyDescent="0.2">
      <c r="A472" s="9">
        <v>456</v>
      </c>
      <c r="B472" s="10" t="str">
        <f t="shared" si="56"/>
        <v/>
      </c>
      <c r="C472" s="10" t="str">
        <f t="shared" si="57"/>
        <v/>
      </c>
      <c r="D472" s="10" t="str">
        <f t="shared" si="58"/>
        <v/>
      </c>
      <c r="E472" s="11" t="str">
        <f t="shared" si="59"/>
        <v/>
      </c>
      <c r="F472" s="12" t="str">
        <f t="shared" si="60"/>
        <v/>
      </c>
      <c r="G472" s="13" t="str">
        <f t="shared" si="61"/>
        <v/>
      </c>
      <c r="H472" s="13" t="str">
        <f t="shared" si="62"/>
        <v/>
      </c>
      <c r="I472" s="14" t="str">
        <f t="shared" si="63"/>
        <v/>
      </c>
      <c r="L472" t="str">
        <f>IFERROR(MATCH($C$5&amp;"|"&amp;RIGHT("000000"&amp;456,6),LdgRankKeyA,0),"")</f>
        <v/>
      </c>
      <c r="M472" t="str">
        <f>IFERROR(MATCH($C$5&amp;"|"&amp;RIGHT("000000"&amp;456,6),LdgRankKeyB,0),"")</f>
        <v/>
      </c>
    </row>
    <row r="473" spans="1:13" x14ac:dyDescent="0.2">
      <c r="A473" s="3">
        <v>457</v>
      </c>
      <c r="B473" s="4" t="str">
        <f t="shared" si="56"/>
        <v/>
      </c>
      <c r="C473" s="4" t="str">
        <f t="shared" si="57"/>
        <v/>
      </c>
      <c r="D473" s="4" t="str">
        <f t="shared" si="58"/>
        <v/>
      </c>
      <c r="E473" s="5" t="str">
        <f t="shared" si="59"/>
        <v/>
      </c>
      <c r="F473" s="6" t="str">
        <f t="shared" si="60"/>
        <v/>
      </c>
      <c r="G473" s="7" t="str">
        <f t="shared" si="61"/>
        <v/>
      </c>
      <c r="H473" s="7" t="str">
        <f t="shared" si="62"/>
        <v/>
      </c>
      <c r="I473" s="8" t="str">
        <f t="shared" si="63"/>
        <v/>
      </c>
      <c r="L473" t="str">
        <f>IFERROR(MATCH($C$5&amp;"|"&amp;RIGHT("000000"&amp;457,6),LdgRankKeyA,0),"")</f>
        <v/>
      </c>
      <c r="M473" t="str">
        <f>IFERROR(MATCH($C$5&amp;"|"&amp;RIGHT("000000"&amp;457,6),LdgRankKeyB,0),"")</f>
        <v/>
      </c>
    </row>
    <row r="474" spans="1:13" x14ac:dyDescent="0.2">
      <c r="A474" s="9">
        <v>458</v>
      </c>
      <c r="B474" s="10" t="str">
        <f t="shared" si="56"/>
        <v/>
      </c>
      <c r="C474" s="10" t="str">
        <f t="shared" si="57"/>
        <v/>
      </c>
      <c r="D474" s="10" t="str">
        <f t="shared" si="58"/>
        <v/>
      </c>
      <c r="E474" s="11" t="str">
        <f t="shared" si="59"/>
        <v/>
      </c>
      <c r="F474" s="12" t="str">
        <f t="shared" si="60"/>
        <v/>
      </c>
      <c r="G474" s="13" t="str">
        <f t="shared" si="61"/>
        <v/>
      </c>
      <c r="H474" s="13" t="str">
        <f t="shared" si="62"/>
        <v/>
      </c>
      <c r="I474" s="14" t="str">
        <f t="shared" si="63"/>
        <v/>
      </c>
      <c r="L474" t="str">
        <f>IFERROR(MATCH($C$5&amp;"|"&amp;RIGHT("000000"&amp;458,6),LdgRankKeyA,0),"")</f>
        <v/>
      </c>
      <c r="M474" t="str">
        <f>IFERROR(MATCH($C$5&amp;"|"&amp;RIGHT("000000"&amp;458,6),LdgRankKeyB,0),"")</f>
        <v/>
      </c>
    </row>
    <row r="475" spans="1:13" x14ac:dyDescent="0.2">
      <c r="A475" s="3">
        <v>459</v>
      </c>
      <c r="B475" s="4" t="str">
        <f t="shared" si="56"/>
        <v/>
      </c>
      <c r="C475" s="4" t="str">
        <f t="shared" si="57"/>
        <v/>
      </c>
      <c r="D475" s="4" t="str">
        <f t="shared" si="58"/>
        <v/>
      </c>
      <c r="E475" s="5" t="str">
        <f t="shared" si="59"/>
        <v/>
      </c>
      <c r="F475" s="6" t="str">
        <f t="shared" si="60"/>
        <v/>
      </c>
      <c r="G475" s="7" t="str">
        <f t="shared" si="61"/>
        <v/>
      </c>
      <c r="H475" s="7" t="str">
        <f t="shared" si="62"/>
        <v/>
      </c>
      <c r="I475" s="8" t="str">
        <f t="shared" si="63"/>
        <v/>
      </c>
      <c r="L475" t="str">
        <f>IFERROR(MATCH($C$5&amp;"|"&amp;RIGHT("000000"&amp;459,6),LdgRankKeyA,0),"")</f>
        <v/>
      </c>
      <c r="M475" t="str">
        <f>IFERROR(MATCH($C$5&amp;"|"&amp;RIGHT("000000"&amp;459,6),LdgRankKeyB,0),"")</f>
        <v/>
      </c>
    </row>
    <row r="476" spans="1:13" x14ac:dyDescent="0.2">
      <c r="A476" s="9">
        <v>460</v>
      </c>
      <c r="B476" s="10" t="str">
        <f t="shared" si="56"/>
        <v/>
      </c>
      <c r="C476" s="10" t="str">
        <f t="shared" si="57"/>
        <v/>
      </c>
      <c r="D476" s="10" t="str">
        <f t="shared" si="58"/>
        <v/>
      </c>
      <c r="E476" s="11" t="str">
        <f t="shared" si="59"/>
        <v/>
      </c>
      <c r="F476" s="12" t="str">
        <f t="shared" si="60"/>
        <v/>
      </c>
      <c r="G476" s="13" t="str">
        <f t="shared" si="61"/>
        <v/>
      </c>
      <c r="H476" s="13" t="str">
        <f t="shared" si="62"/>
        <v/>
      </c>
      <c r="I476" s="14" t="str">
        <f t="shared" si="63"/>
        <v/>
      </c>
      <c r="L476" t="str">
        <f>IFERROR(MATCH($C$5&amp;"|"&amp;RIGHT("000000"&amp;460,6),LdgRankKeyA,0),"")</f>
        <v/>
      </c>
      <c r="M476" t="str">
        <f>IFERROR(MATCH($C$5&amp;"|"&amp;RIGHT("000000"&amp;460,6),LdgRankKeyB,0),"")</f>
        <v/>
      </c>
    </row>
    <row r="477" spans="1:13" x14ac:dyDescent="0.2">
      <c r="A477" s="3">
        <v>461</v>
      </c>
      <c r="B477" s="4" t="str">
        <f t="shared" si="56"/>
        <v/>
      </c>
      <c r="C477" s="4" t="str">
        <f t="shared" si="57"/>
        <v/>
      </c>
      <c r="D477" s="4" t="str">
        <f t="shared" si="58"/>
        <v/>
      </c>
      <c r="E477" s="5" t="str">
        <f t="shared" si="59"/>
        <v/>
      </c>
      <c r="F477" s="6" t="str">
        <f t="shared" si="60"/>
        <v/>
      </c>
      <c r="G477" s="7" t="str">
        <f t="shared" si="61"/>
        <v/>
      </c>
      <c r="H477" s="7" t="str">
        <f t="shared" si="62"/>
        <v/>
      </c>
      <c r="I477" s="8" t="str">
        <f t="shared" si="63"/>
        <v/>
      </c>
      <c r="L477" t="str">
        <f>IFERROR(MATCH($C$5&amp;"|"&amp;RIGHT("000000"&amp;461,6),LdgRankKeyA,0),"")</f>
        <v/>
      </c>
      <c r="M477" t="str">
        <f>IFERROR(MATCH($C$5&amp;"|"&amp;RIGHT("000000"&amp;461,6),LdgRankKeyB,0),"")</f>
        <v/>
      </c>
    </row>
    <row r="478" spans="1:13" x14ac:dyDescent="0.2">
      <c r="A478" s="9">
        <v>462</v>
      </c>
      <c r="B478" s="10" t="str">
        <f t="shared" si="56"/>
        <v/>
      </c>
      <c r="C478" s="10" t="str">
        <f t="shared" si="57"/>
        <v/>
      </c>
      <c r="D478" s="10" t="str">
        <f t="shared" si="58"/>
        <v/>
      </c>
      <c r="E478" s="11" t="str">
        <f t="shared" si="59"/>
        <v/>
      </c>
      <c r="F478" s="12" t="str">
        <f t="shared" si="60"/>
        <v/>
      </c>
      <c r="G478" s="13" t="str">
        <f t="shared" si="61"/>
        <v/>
      </c>
      <c r="H478" s="13" t="str">
        <f t="shared" si="62"/>
        <v/>
      </c>
      <c r="I478" s="14" t="str">
        <f t="shared" si="63"/>
        <v/>
      </c>
      <c r="L478" t="str">
        <f>IFERROR(MATCH($C$5&amp;"|"&amp;RIGHT("000000"&amp;462,6),LdgRankKeyA,0),"")</f>
        <v/>
      </c>
      <c r="M478" t="str">
        <f>IFERROR(MATCH($C$5&amp;"|"&amp;RIGHT("000000"&amp;462,6),LdgRankKeyB,0),"")</f>
        <v/>
      </c>
    </row>
    <row r="479" spans="1:13" x14ac:dyDescent="0.2">
      <c r="A479" s="3">
        <v>463</v>
      </c>
      <c r="B479" s="4" t="str">
        <f t="shared" si="56"/>
        <v/>
      </c>
      <c r="C479" s="4" t="str">
        <f t="shared" si="57"/>
        <v/>
      </c>
      <c r="D479" s="4" t="str">
        <f t="shared" si="58"/>
        <v/>
      </c>
      <c r="E479" s="5" t="str">
        <f t="shared" si="59"/>
        <v/>
      </c>
      <c r="F479" s="6" t="str">
        <f t="shared" si="60"/>
        <v/>
      </c>
      <c r="G479" s="7" t="str">
        <f t="shared" si="61"/>
        <v/>
      </c>
      <c r="H479" s="7" t="str">
        <f t="shared" si="62"/>
        <v/>
      </c>
      <c r="I479" s="8" t="str">
        <f t="shared" si="63"/>
        <v/>
      </c>
      <c r="L479" t="str">
        <f>IFERROR(MATCH($C$5&amp;"|"&amp;RIGHT("000000"&amp;463,6),LdgRankKeyA,0),"")</f>
        <v/>
      </c>
      <c r="M479" t="str">
        <f>IFERROR(MATCH($C$5&amp;"|"&amp;RIGHT("000000"&amp;463,6),LdgRankKeyB,0),"")</f>
        <v/>
      </c>
    </row>
    <row r="480" spans="1:13" x14ac:dyDescent="0.2">
      <c r="A480" s="9">
        <v>464</v>
      </c>
      <c r="B480" s="10" t="str">
        <f t="shared" si="56"/>
        <v/>
      </c>
      <c r="C480" s="10" t="str">
        <f t="shared" si="57"/>
        <v/>
      </c>
      <c r="D480" s="10" t="str">
        <f t="shared" si="58"/>
        <v/>
      </c>
      <c r="E480" s="11" t="str">
        <f t="shared" si="59"/>
        <v/>
      </c>
      <c r="F480" s="12" t="str">
        <f t="shared" si="60"/>
        <v/>
      </c>
      <c r="G480" s="13" t="str">
        <f t="shared" si="61"/>
        <v/>
      </c>
      <c r="H480" s="13" t="str">
        <f t="shared" si="62"/>
        <v/>
      </c>
      <c r="I480" s="14" t="str">
        <f t="shared" si="63"/>
        <v/>
      </c>
      <c r="L480" t="str">
        <f>IFERROR(MATCH($C$5&amp;"|"&amp;RIGHT("000000"&amp;464,6),LdgRankKeyA,0),"")</f>
        <v/>
      </c>
      <c r="M480" t="str">
        <f>IFERROR(MATCH($C$5&amp;"|"&amp;RIGHT("000000"&amp;464,6),LdgRankKeyB,0),"")</f>
        <v/>
      </c>
    </row>
    <row r="481" spans="1:13" x14ac:dyDescent="0.2">
      <c r="A481" s="3">
        <v>465</v>
      </c>
      <c r="B481" s="4" t="str">
        <f t="shared" si="56"/>
        <v/>
      </c>
      <c r="C481" s="4" t="str">
        <f t="shared" si="57"/>
        <v/>
      </c>
      <c r="D481" s="4" t="str">
        <f t="shared" si="58"/>
        <v/>
      </c>
      <c r="E481" s="5" t="str">
        <f t="shared" si="59"/>
        <v/>
      </c>
      <c r="F481" s="6" t="str">
        <f t="shared" si="60"/>
        <v/>
      </c>
      <c r="G481" s="7" t="str">
        <f t="shared" si="61"/>
        <v/>
      </c>
      <c r="H481" s="7" t="str">
        <f t="shared" si="62"/>
        <v/>
      </c>
      <c r="I481" s="8" t="str">
        <f t="shared" si="63"/>
        <v/>
      </c>
      <c r="L481" t="str">
        <f>IFERROR(MATCH($C$5&amp;"|"&amp;RIGHT("000000"&amp;465,6),LdgRankKeyA,0),"")</f>
        <v/>
      </c>
      <c r="M481" t="str">
        <f>IFERROR(MATCH($C$5&amp;"|"&amp;RIGHT("000000"&amp;465,6),LdgRankKeyB,0),"")</f>
        <v/>
      </c>
    </row>
    <row r="482" spans="1:13" x14ac:dyDescent="0.2">
      <c r="A482" s="9">
        <v>466</v>
      </c>
      <c r="B482" s="10" t="str">
        <f t="shared" si="56"/>
        <v/>
      </c>
      <c r="C482" s="10" t="str">
        <f t="shared" si="57"/>
        <v/>
      </c>
      <c r="D482" s="10" t="str">
        <f t="shared" si="58"/>
        <v/>
      </c>
      <c r="E482" s="11" t="str">
        <f t="shared" si="59"/>
        <v/>
      </c>
      <c r="F482" s="12" t="str">
        <f t="shared" si="60"/>
        <v/>
      </c>
      <c r="G482" s="13" t="str">
        <f t="shared" si="61"/>
        <v/>
      </c>
      <c r="H482" s="13" t="str">
        <f t="shared" si="62"/>
        <v/>
      </c>
      <c r="I482" s="14" t="str">
        <f t="shared" si="63"/>
        <v/>
      </c>
      <c r="L482" t="str">
        <f>IFERROR(MATCH($C$5&amp;"|"&amp;RIGHT("000000"&amp;466,6),LdgRankKeyA,0),"")</f>
        <v/>
      </c>
      <c r="M482" t="str">
        <f>IFERROR(MATCH($C$5&amp;"|"&amp;RIGHT("000000"&amp;466,6),LdgRankKeyB,0),"")</f>
        <v/>
      </c>
    </row>
    <row r="483" spans="1:13" x14ac:dyDescent="0.2">
      <c r="A483" s="3">
        <v>467</v>
      </c>
      <c r="B483" s="4" t="str">
        <f t="shared" si="56"/>
        <v/>
      </c>
      <c r="C483" s="4" t="str">
        <f t="shared" si="57"/>
        <v/>
      </c>
      <c r="D483" s="4" t="str">
        <f t="shared" si="58"/>
        <v/>
      </c>
      <c r="E483" s="5" t="str">
        <f t="shared" si="59"/>
        <v/>
      </c>
      <c r="F483" s="6" t="str">
        <f t="shared" si="60"/>
        <v/>
      </c>
      <c r="G483" s="7" t="str">
        <f t="shared" si="61"/>
        <v/>
      </c>
      <c r="H483" s="7" t="str">
        <f t="shared" si="62"/>
        <v/>
      </c>
      <c r="I483" s="8" t="str">
        <f t="shared" si="63"/>
        <v/>
      </c>
      <c r="L483" t="str">
        <f>IFERROR(MATCH($C$5&amp;"|"&amp;RIGHT("000000"&amp;467,6),LdgRankKeyA,0),"")</f>
        <v/>
      </c>
      <c r="M483" t="str">
        <f>IFERROR(MATCH($C$5&amp;"|"&amp;RIGHT("000000"&amp;467,6),LdgRankKeyB,0),"")</f>
        <v/>
      </c>
    </row>
    <row r="484" spans="1:13" x14ac:dyDescent="0.2">
      <c r="A484" s="9">
        <v>468</v>
      </c>
      <c r="B484" s="10" t="str">
        <f t="shared" si="56"/>
        <v/>
      </c>
      <c r="C484" s="10" t="str">
        <f t="shared" si="57"/>
        <v/>
      </c>
      <c r="D484" s="10" t="str">
        <f t="shared" si="58"/>
        <v/>
      </c>
      <c r="E484" s="11" t="str">
        <f t="shared" si="59"/>
        <v/>
      </c>
      <c r="F484" s="12" t="str">
        <f t="shared" si="60"/>
        <v/>
      </c>
      <c r="G484" s="13" t="str">
        <f t="shared" si="61"/>
        <v/>
      </c>
      <c r="H484" s="13" t="str">
        <f t="shared" si="62"/>
        <v/>
      </c>
      <c r="I484" s="14" t="str">
        <f t="shared" si="63"/>
        <v/>
      </c>
      <c r="L484" t="str">
        <f>IFERROR(MATCH($C$5&amp;"|"&amp;RIGHT("000000"&amp;468,6),LdgRankKeyA,0),"")</f>
        <v/>
      </c>
      <c r="M484" t="str">
        <f>IFERROR(MATCH($C$5&amp;"|"&amp;RIGHT("000000"&amp;468,6),LdgRankKeyB,0),"")</f>
        <v/>
      </c>
    </row>
    <row r="485" spans="1:13" x14ac:dyDescent="0.2">
      <c r="A485" s="3">
        <v>469</v>
      </c>
      <c r="B485" s="4" t="str">
        <f t="shared" si="56"/>
        <v/>
      </c>
      <c r="C485" s="4" t="str">
        <f t="shared" si="57"/>
        <v/>
      </c>
      <c r="D485" s="4" t="str">
        <f t="shared" si="58"/>
        <v/>
      </c>
      <c r="E485" s="5" t="str">
        <f t="shared" si="59"/>
        <v/>
      </c>
      <c r="F485" s="6" t="str">
        <f t="shared" si="60"/>
        <v/>
      </c>
      <c r="G485" s="7" t="str">
        <f t="shared" si="61"/>
        <v/>
      </c>
      <c r="H485" s="7" t="str">
        <f t="shared" si="62"/>
        <v/>
      </c>
      <c r="I485" s="8" t="str">
        <f t="shared" si="63"/>
        <v/>
      </c>
      <c r="L485" t="str">
        <f>IFERROR(MATCH($C$5&amp;"|"&amp;RIGHT("000000"&amp;469,6),LdgRankKeyA,0),"")</f>
        <v/>
      </c>
      <c r="M485" t="str">
        <f>IFERROR(MATCH($C$5&amp;"|"&amp;RIGHT("000000"&amp;469,6),LdgRankKeyB,0),"")</f>
        <v/>
      </c>
    </row>
    <row r="486" spans="1:13" x14ac:dyDescent="0.2">
      <c r="A486" s="9">
        <v>470</v>
      </c>
      <c r="B486" s="10" t="str">
        <f t="shared" si="56"/>
        <v/>
      </c>
      <c r="C486" s="10" t="str">
        <f t="shared" si="57"/>
        <v/>
      </c>
      <c r="D486" s="10" t="str">
        <f t="shared" si="58"/>
        <v/>
      </c>
      <c r="E486" s="11" t="str">
        <f t="shared" si="59"/>
        <v/>
      </c>
      <c r="F486" s="12" t="str">
        <f t="shared" si="60"/>
        <v/>
      </c>
      <c r="G486" s="13" t="str">
        <f t="shared" si="61"/>
        <v/>
      </c>
      <c r="H486" s="13" t="str">
        <f t="shared" si="62"/>
        <v/>
      </c>
      <c r="I486" s="14" t="str">
        <f t="shared" si="63"/>
        <v/>
      </c>
      <c r="L486" t="str">
        <f>IFERROR(MATCH($C$5&amp;"|"&amp;RIGHT("000000"&amp;470,6),LdgRankKeyA,0),"")</f>
        <v/>
      </c>
      <c r="M486" t="str">
        <f>IFERROR(MATCH($C$5&amp;"|"&amp;RIGHT("000000"&amp;470,6),LdgRankKeyB,0),"")</f>
        <v/>
      </c>
    </row>
    <row r="487" spans="1:13" x14ac:dyDescent="0.2">
      <c r="A487" s="3">
        <v>471</v>
      </c>
      <c r="B487" s="4" t="str">
        <f t="shared" si="56"/>
        <v/>
      </c>
      <c r="C487" s="4" t="str">
        <f t="shared" si="57"/>
        <v/>
      </c>
      <c r="D487" s="4" t="str">
        <f t="shared" si="58"/>
        <v/>
      </c>
      <c r="E487" s="5" t="str">
        <f t="shared" si="59"/>
        <v/>
      </c>
      <c r="F487" s="6" t="str">
        <f t="shared" si="60"/>
        <v/>
      </c>
      <c r="G487" s="7" t="str">
        <f t="shared" si="61"/>
        <v/>
      </c>
      <c r="H487" s="7" t="str">
        <f t="shared" si="62"/>
        <v/>
      </c>
      <c r="I487" s="8" t="str">
        <f t="shared" si="63"/>
        <v/>
      </c>
      <c r="L487" t="str">
        <f>IFERROR(MATCH($C$5&amp;"|"&amp;RIGHT("000000"&amp;471,6),LdgRankKeyA,0),"")</f>
        <v/>
      </c>
      <c r="M487" t="str">
        <f>IFERROR(MATCH($C$5&amp;"|"&amp;RIGHT("000000"&amp;471,6),LdgRankKeyB,0),"")</f>
        <v/>
      </c>
    </row>
    <row r="488" spans="1:13" x14ac:dyDescent="0.2">
      <c r="A488" s="9">
        <v>472</v>
      </c>
      <c r="B488" s="10" t="str">
        <f t="shared" si="56"/>
        <v/>
      </c>
      <c r="C488" s="10" t="str">
        <f t="shared" si="57"/>
        <v/>
      </c>
      <c r="D488" s="10" t="str">
        <f t="shared" si="58"/>
        <v/>
      </c>
      <c r="E488" s="11" t="str">
        <f t="shared" si="59"/>
        <v/>
      </c>
      <c r="F488" s="12" t="str">
        <f t="shared" si="60"/>
        <v/>
      </c>
      <c r="G488" s="13" t="str">
        <f t="shared" si="61"/>
        <v/>
      </c>
      <c r="H488" s="13" t="str">
        <f t="shared" si="62"/>
        <v/>
      </c>
      <c r="I488" s="14" t="str">
        <f t="shared" si="63"/>
        <v/>
      </c>
      <c r="L488" t="str">
        <f>IFERROR(MATCH($C$5&amp;"|"&amp;RIGHT("000000"&amp;472,6),LdgRankKeyA,0),"")</f>
        <v/>
      </c>
      <c r="M488" t="str">
        <f>IFERROR(MATCH($C$5&amp;"|"&amp;RIGHT("000000"&amp;472,6),LdgRankKeyB,0),"")</f>
        <v/>
      </c>
    </row>
    <row r="489" spans="1:13" x14ac:dyDescent="0.2">
      <c r="A489" s="3">
        <v>473</v>
      </c>
      <c r="B489" s="4" t="str">
        <f t="shared" si="56"/>
        <v/>
      </c>
      <c r="C489" s="4" t="str">
        <f t="shared" si="57"/>
        <v/>
      </c>
      <c r="D489" s="4" t="str">
        <f t="shared" si="58"/>
        <v/>
      </c>
      <c r="E489" s="5" t="str">
        <f t="shared" si="59"/>
        <v/>
      </c>
      <c r="F489" s="6" t="str">
        <f t="shared" si="60"/>
        <v/>
      </c>
      <c r="G489" s="7" t="str">
        <f t="shared" si="61"/>
        <v/>
      </c>
      <c r="H489" s="7" t="str">
        <f t="shared" si="62"/>
        <v/>
      </c>
      <c r="I489" s="8" t="str">
        <f t="shared" si="63"/>
        <v/>
      </c>
      <c r="L489" t="str">
        <f>IFERROR(MATCH($C$5&amp;"|"&amp;RIGHT("000000"&amp;473,6),LdgRankKeyA,0),"")</f>
        <v/>
      </c>
      <c r="M489" t="str">
        <f>IFERROR(MATCH($C$5&amp;"|"&amp;RIGHT("000000"&amp;473,6),LdgRankKeyB,0),"")</f>
        <v/>
      </c>
    </row>
    <row r="490" spans="1:13" x14ac:dyDescent="0.2">
      <c r="A490" s="9">
        <v>474</v>
      </c>
      <c r="B490" s="10" t="str">
        <f t="shared" si="56"/>
        <v/>
      </c>
      <c r="C490" s="10" t="str">
        <f t="shared" si="57"/>
        <v/>
      </c>
      <c r="D490" s="10" t="str">
        <f t="shared" si="58"/>
        <v/>
      </c>
      <c r="E490" s="11" t="str">
        <f t="shared" si="59"/>
        <v/>
      </c>
      <c r="F490" s="12" t="str">
        <f t="shared" si="60"/>
        <v/>
      </c>
      <c r="G490" s="13" t="str">
        <f t="shared" si="61"/>
        <v/>
      </c>
      <c r="H490" s="13" t="str">
        <f t="shared" si="62"/>
        <v/>
      </c>
      <c r="I490" s="14" t="str">
        <f t="shared" si="63"/>
        <v/>
      </c>
      <c r="L490" t="str">
        <f>IFERROR(MATCH($C$5&amp;"|"&amp;RIGHT("000000"&amp;474,6),LdgRankKeyA,0),"")</f>
        <v/>
      </c>
      <c r="M490" t="str">
        <f>IFERROR(MATCH($C$5&amp;"|"&amp;RIGHT("000000"&amp;474,6),LdgRankKeyB,0),"")</f>
        <v/>
      </c>
    </row>
    <row r="491" spans="1:13" x14ac:dyDescent="0.2">
      <c r="A491" s="3">
        <v>475</v>
      </c>
      <c r="B491" s="4" t="str">
        <f t="shared" si="56"/>
        <v/>
      </c>
      <c r="C491" s="4" t="str">
        <f t="shared" si="57"/>
        <v/>
      </c>
      <c r="D491" s="4" t="str">
        <f t="shared" si="58"/>
        <v/>
      </c>
      <c r="E491" s="5" t="str">
        <f t="shared" si="59"/>
        <v/>
      </c>
      <c r="F491" s="6" t="str">
        <f t="shared" si="60"/>
        <v/>
      </c>
      <c r="G491" s="7" t="str">
        <f t="shared" si="61"/>
        <v/>
      </c>
      <c r="H491" s="7" t="str">
        <f t="shared" si="62"/>
        <v/>
      </c>
      <c r="I491" s="8" t="str">
        <f t="shared" si="63"/>
        <v/>
      </c>
      <c r="L491" t="str">
        <f>IFERROR(MATCH($C$5&amp;"|"&amp;RIGHT("000000"&amp;475,6),LdgRankKeyA,0),"")</f>
        <v/>
      </c>
      <c r="M491" t="str">
        <f>IFERROR(MATCH($C$5&amp;"|"&amp;RIGHT("000000"&amp;475,6),LdgRankKeyB,0),"")</f>
        <v/>
      </c>
    </row>
    <row r="492" spans="1:13" x14ac:dyDescent="0.2">
      <c r="A492" s="9">
        <v>476</v>
      </c>
      <c r="B492" s="10" t="str">
        <f t="shared" si="56"/>
        <v/>
      </c>
      <c r="C492" s="10" t="str">
        <f t="shared" si="57"/>
        <v/>
      </c>
      <c r="D492" s="10" t="str">
        <f t="shared" si="58"/>
        <v/>
      </c>
      <c r="E492" s="11" t="str">
        <f t="shared" si="59"/>
        <v/>
      </c>
      <c r="F492" s="12" t="str">
        <f t="shared" si="60"/>
        <v/>
      </c>
      <c r="G492" s="13" t="str">
        <f t="shared" si="61"/>
        <v/>
      </c>
      <c r="H492" s="13" t="str">
        <f t="shared" si="62"/>
        <v/>
      </c>
      <c r="I492" s="14" t="str">
        <f t="shared" si="63"/>
        <v/>
      </c>
      <c r="L492" t="str">
        <f>IFERROR(MATCH($C$5&amp;"|"&amp;RIGHT("000000"&amp;476,6),LdgRankKeyA,0),"")</f>
        <v/>
      </c>
      <c r="M492" t="str">
        <f>IFERROR(MATCH($C$5&amp;"|"&amp;RIGHT("000000"&amp;476,6),LdgRankKeyB,0),"")</f>
        <v/>
      </c>
    </row>
    <row r="493" spans="1:13" x14ac:dyDescent="0.2">
      <c r="A493" s="3">
        <v>477</v>
      </c>
      <c r="B493" s="4" t="str">
        <f t="shared" si="56"/>
        <v/>
      </c>
      <c r="C493" s="4" t="str">
        <f t="shared" si="57"/>
        <v/>
      </c>
      <c r="D493" s="4" t="str">
        <f t="shared" si="58"/>
        <v/>
      </c>
      <c r="E493" s="5" t="str">
        <f t="shared" si="59"/>
        <v/>
      </c>
      <c r="F493" s="6" t="str">
        <f t="shared" si="60"/>
        <v/>
      </c>
      <c r="G493" s="7" t="str">
        <f t="shared" si="61"/>
        <v/>
      </c>
      <c r="H493" s="7" t="str">
        <f t="shared" si="62"/>
        <v/>
      </c>
      <c r="I493" s="8" t="str">
        <f t="shared" si="63"/>
        <v/>
      </c>
      <c r="L493" t="str">
        <f>IFERROR(MATCH($C$5&amp;"|"&amp;RIGHT("000000"&amp;477,6),LdgRankKeyA,0),"")</f>
        <v/>
      </c>
      <c r="M493" t="str">
        <f>IFERROR(MATCH($C$5&amp;"|"&amp;RIGHT("000000"&amp;477,6),LdgRankKeyB,0),"")</f>
        <v/>
      </c>
    </row>
    <row r="494" spans="1:13" x14ac:dyDescent="0.2">
      <c r="A494" s="9">
        <v>478</v>
      </c>
      <c r="B494" s="10" t="str">
        <f t="shared" si="56"/>
        <v/>
      </c>
      <c r="C494" s="10" t="str">
        <f t="shared" si="57"/>
        <v/>
      </c>
      <c r="D494" s="10" t="str">
        <f t="shared" si="58"/>
        <v/>
      </c>
      <c r="E494" s="11" t="str">
        <f t="shared" si="59"/>
        <v/>
      </c>
      <c r="F494" s="12" t="str">
        <f t="shared" si="60"/>
        <v/>
      </c>
      <c r="G494" s="13" t="str">
        <f t="shared" si="61"/>
        <v/>
      </c>
      <c r="H494" s="13" t="str">
        <f t="shared" si="62"/>
        <v/>
      </c>
      <c r="I494" s="14" t="str">
        <f t="shared" si="63"/>
        <v/>
      </c>
      <c r="L494" t="str">
        <f>IFERROR(MATCH($C$5&amp;"|"&amp;RIGHT("000000"&amp;478,6),LdgRankKeyA,0),"")</f>
        <v/>
      </c>
      <c r="M494" t="str">
        <f>IFERROR(MATCH($C$5&amp;"|"&amp;RIGHT("000000"&amp;478,6),LdgRankKeyB,0),"")</f>
        <v/>
      </c>
    </row>
    <row r="495" spans="1:13" x14ac:dyDescent="0.2">
      <c r="A495" s="3">
        <v>479</v>
      </c>
      <c r="B495" s="4" t="str">
        <f t="shared" si="56"/>
        <v/>
      </c>
      <c r="C495" s="4" t="str">
        <f t="shared" si="57"/>
        <v/>
      </c>
      <c r="D495" s="4" t="str">
        <f t="shared" si="58"/>
        <v/>
      </c>
      <c r="E495" s="5" t="str">
        <f t="shared" si="59"/>
        <v/>
      </c>
      <c r="F495" s="6" t="str">
        <f t="shared" si="60"/>
        <v/>
      </c>
      <c r="G495" s="7" t="str">
        <f t="shared" si="61"/>
        <v/>
      </c>
      <c r="H495" s="7" t="str">
        <f t="shared" si="62"/>
        <v/>
      </c>
      <c r="I495" s="8" t="str">
        <f t="shared" si="63"/>
        <v/>
      </c>
      <c r="L495" t="str">
        <f>IFERROR(MATCH($C$5&amp;"|"&amp;RIGHT("000000"&amp;479,6),LdgRankKeyA,0),"")</f>
        <v/>
      </c>
      <c r="M495" t="str">
        <f>IFERROR(MATCH($C$5&amp;"|"&amp;RIGHT("000000"&amp;479,6),LdgRankKeyB,0),"")</f>
        <v/>
      </c>
    </row>
    <row r="496" spans="1:13" x14ac:dyDescent="0.2">
      <c r="A496" s="9">
        <v>480</v>
      </c>
      <c r="B496" s="10" t="str">
        <f t="shared" si="56"/>
        <v/>
      </c>
      <c r="C496" s="10" t="str">
        <f t="shared" si="57"/>
        <v/>
      </c>
      <c r="D496" s="10" t="str">
        <f t="shared" si="58"/>
        <v/>
      </c>
      <c r="E496" s="11" t="str">
        <f t="shared" si="59"/>
        <v/>
      </c>
      <c r="F496" s="12" t="str">
        <f t="shared" si="60"/>
        <v/>
      </c>
      <c r="G496" s="13" t="str">
        <f t="shared" si="61"/>
        <v/>
      </c>
      <c r="H496" s="13" t="str">
        <f t="shared" si="62"/>
        <v/>
      </c>
      <c r="I496" s="14" t="str">
        <f t="shared" si="63"/>
        <v/>
      </c>
      <c r="L496" t="str">
        <f>IFERROR(MATCH($C$5&amp;"|"&amp;RIGHT("000000"&amp;480,6),LdgRankKeyA,0),"")</f>
        <v/>
      </c>
      <c r="M496" t="str">
        <f>IFERROR(MATCH($C$5&amp;"|"&amp;RIGHT("000000"&amp;480,6),LdgRankKeyB,0),"")</f>
        <v/>
      </c>
    </row>
    <row r="497" spans="1:13" x14ac:dyDescent="0.2">
      <c r="A497" s="3">
        <v>481</v>
      </c>
      <c r="B497" s="4" t="str">
        <f t="shared" si="56"/>
        <v/>
      </c>
      <c r="C497" s="4" t="str">
        <f t="shared" si="57"/>
        <v/>
      </c>
      <c r="D497" s="4" t="str">
        <f t="shared" si="58"/>
        <v/>
      </c>
      <c r="E497" s="5" t="str">
        <f t="shared" si="59"/>
        <v/>
      </c>
      <c r="F497" s="6" t="str">
        <f t="shared" si="60"/>
        <v/>
      </c>
      <c r="G497" s="7" t="str">
        <f t="shared" si="61"/>
        <v/>
      </c>
      <c r="H497" s="7" t="str">
        <f t="shared" si="62"/>
        <v/>
      </c>
      <c r="I497" s="8" t="str">
        <f t="shared" si="63"/>
        <v/>
      </c>
      <c r="L497" t="str">
        <f>IFERROR(MATCH($C$5&amp;"|"&amp;RIGHT("000000"&amp;481,6),LdgRankKeyA,0),"")</f>
        <v/>
      </c>
      <c r="M497" t="str">
        <f>IFERROR(MATCH($C$5&amp;"|"&amp;RIGHT("000000"&amp;481,6),LdgRankKeyB,0),"")</f>
        <v/>
      </c>
    </row>
    <row r="498" spans="1:13" x14ac:dyDescent="0.2">
      <c r="A498" s="9">
        <v>482</v>
      </c>
      <c r="B498" s="10" t="str">
        <f t="shared" si="56"/>
        <v/>
      </c>
      <c r="C498" s="10" t="str">
        <f t="shared" si="57"/>
        <v/>
      </c>
      <c r="D498" s="10" t="str">
        <f t="shared" si="58"/>
        <v/>
      </c>
      <c r="E498" s="11" t="str">
        <f t="shared" si="59"/>
        <v/>
      </c>
      <c r="F498" s="12" t="str">
        <f t="shared" si="60"/>
        <v/>
      </c>
      <c r="G498" s="13" t="str">
        <f t="shared" si="61"/>
        <v/>
      </c>
      <c r="H498" s="13" t="str">
        <f t="shared" si="62"/>
        <v/>
      </c>
      <c r="I498" s="14" t="str">
        <f t="shared" si="63"/>
        <v/>
      </c>
      <c r="L498" t="str">
        <f>IFERROR(MATCH($C$5&amp;"|"&amp;RIGHT("000000"&amp;482,6),LdgRankKeyA,0),"")</f>
        <v/>
      </c>
      <c r="M498" t="str">
        <f>IFERROR(MATCH($C$5&amp;"|"&amp;RIGHT("000000"&amp;482,6),LdgRankKeyB,0),"")</f>
        <v/>
      </c>
    </row>
    <row r="499" spans="1:13" x14ac:dyDescent="0.2">
      <c r="A499" s="3">
        <v>483</v>
      </c>
      <c r="B499" s="4" t="str">
        <f t="shared" si="56"/>
        <v/>
      </c>
      <c r="C499" s="4" t="str">
        <f t="shared" si="57"/>
        <v/>
      </c>
      <c r="D499" s="4" t="str">
        <f t="shared" si="58"/>
        <v/>
      </c>
      <c r="E499" s="5" t="str">
        <f t="shared" si="59"/>
        <v/>
      </c>
      <c r="F499" s="6" t="str">
        <f t="shared" si="60"/>
        <v/>
      </c>
      <c r="G499" s="7" t="str">
        <f t="shared" si="61"/>
        <v/>
      </c>
      <c r="H499" s="7" t="str">
        <f t="shared" si="62"/>
        <v/>
      </c>
      <c r="I499" s="8" t="str">
        <f t="shared" si="63"/>
        <v/>
      </c>
      <c r="L499" t="str">
        <f>IFERROR(MATCH($C$5&amp;"|"&amp;RIGHT("000000"&amp;483,6),LdgRankKeyA,0),"")</f>
        <v/>
      </c>
      <c r="M499" t="str">
        <f>IFERROR(MATCH($C$5&amp;"|"&amp;RIGHT("000000"&amp;483,6),LdgRankKeyB,0),"")</f>
        <v/>
      </c>
    </row>
    <row r="500" spans="1:13" x14ac:dyDescent="0.2">
      <c r="A500" s="9">
        <v>484</v>
      </c>
      <c r="B500" s="10" t="str">
        <f t="shared" si="56"/>
        <v/>
      </c>
      <c r="C500" s="10" t="str">
        <f t="shared" si="57"/>
        <v/>
      </c>
      <c r="D500" s="10" t="str">
        <f t="shared" si="58"/>
        <v/>
      </c>
      <c r="E500" s="11" t="str">
        <f t="shared" si="59"/>
        <v/>
      </c>
      <c r="F500" s="12" t="str">
        <f t="shared" si="60"/>
        <v/>
      </c>
      <c r="G500" s="13" t="str">
        <f t="shared" si="61"/>
        <v/>
      </c>
      <c r="H500" s="13" t="str">
        <f t="shared" si="62"/>
        <v/>
      </c>
      <c r="I500" s="14" t="str">
        <f t="shared" si="63"/>
        <v/>
      </c>
      <c r="L500" t="str">
        <f>IFERROR(MATCH($C$5&amp;"|"&amp;RIGHT("000000"&amp;484,6),LdgRankKeyA,0),"")</f>
        <v/>
      </c>
      <c r="M500" t="str">
        <f>IFERROR(MATCH($C$5&amp;"|"&amp;RIGHT("000000"&amp;484,6),LdgRankKeyB,0),"")</f>
        <v/>
      </c>
    </row>
    <row r="501" spans="1:13" x14ac:dyDescent="0.2">
      <c r="A501" s="3">
        <v>485</v>
      </c>
      <c r="B501" s="4" t="str">
        <f t="shared" si="56"/>
        <v/>
      </c>
      <c r="C501" s="4" t="str">
        <f t="shared" si="57"/>
        <v/>
      </c>
      <c r="D501" s="4" t="str">
        <f t="shared" si="58"/>
        <v/>
      </c>
      <c r="E501" s="5" t="str">
        <f t="shared" si="59"/>
        <v/>
      </c>
      <c r="F501" s="6" t="str">
        <f t="shared" si="60"/>
        <v/>
      </c>
      <c r="G501" s="7" t="str">
        <f t="shared" si="61"/>
        <v/>
      </c>
      <c r="H501" s="7" t="str">
        <f t="shared" si="62"/>
        <v/>
      </c>
      <c r="I501" s="8" t="str">
        <f t="shared" si="63"/>
        <v/>
      </c>
      <c r="L501" t="str">
        <f>IFERROR(MATCH($C$5&amp;"|"&amp;RIGHT("000000"&amp;485,6),LdgRankKeyA,0),"")</f>
        <v/>
      </c>
      <c r="M501" t="str">
        <f>IFERROR(MATCH($C$5&amp;"|"&amp;RIGHT("000000"&amp;485,6),LdgRankKeyB,0),"")</f>
        <v/>
      </c>
    </row>
    <row r="502" spans="1:13" x14ac:dyDescent="0.2">
      <c r="A502" s="9">
        <v>486</v>
      </c>
      <c r="B502" s="10" t="str">
        <f t="shared" si="56"/>
        <v/>
      </c>
      <c r="C502" s="10" t="str">
        <f t="shared" si="57"/>
        <v/>
      </c>
      <c r="D502" s="10" t="str">
        <f t="shared" si="58"/>
        <v/>
      </c>
      <c r="E502" s="11" t="str">
        <f t="shared" si="59"/>
        <v/>
      </c>
      <c r="F502" s="12" t="str">
        <f t="shared" si="60"/>
        <v/>
      </c>
      <c r="G502" s="13" t="str">
        <f t="shared" si="61"/>
        <v/>
      </c>
      <c r="H502" s="13" t="str">
        <f t="shared" si="62"/>
        <v/>
      </c>
      <c r="I502" s="14" t="str">
        <f t="shared" si="63"/>
        <v/>
      </c>
      <c r="L502" t="str">
        <f>IFERROR(MATCH($C$5&amp;"|"&amp;RIGHT("000000"&amp;486,6),LdgRankKeyA,0),"")</f>
        <v/>
      </c>
      <c r="M502" t="str">
        <f>IFERROR(MATCH($C$5&amp;"|"&amp;RIGHT("000000"&amp;486,6),LdgRankKeyB,0),"")</f>
        <v/>
      </c>
    </row>
    <row r="503" spans="1:13" x14ac:dyDescent="0.2">
      <c r="A503" s="3">
        <v>487</v>
      </c>
      <c r="B503" s="4" t="str">
        <f t="shared" si="56"/>
        <v/>
      </c>
      <c r="C503" s="4" t="str">
        <f t="shared" si="57"/>
        <v/>
      </c>
      <c r="D503" s="4" t="str">
        <f t="shared" si="58"/>
        <v/>
      </c>
      <c r="E503" s="5" t="str">
        <f t="shared" si="59"/>
        <v/>
      </c>
      <c r="F503" s="6" t="str">
        <f t="shared" si="60"/>
        <v/>
      </c>
      <c r="G503" s="7" t="str">
        <f t="shared" si="61"/>
        <v/>
      </c>
      <c r="H503" s="7" t="str">
        <f t="shared" si="62"/>
        <v/>
      </c>
      <c r="I503" s="8" t="str">
        <f t="shared" si="63"/>
        <v/>
      </c>
      <c r="L503" t="str">
        <f>IFERROR(MATCH($C$5&amp;"|"&amp;RIGHT("000000"&amp;487,6),LdgRankKeyA,0),"")</f>
        <v/>
      </c>
      <c r="M503" t="str">
        <f>IFERROR(MATCH($C$5&amp;"|"&amp;RIGHT("000000"&amp;487,6),LdgRankKeyB,0),"")</f>
        <v/>
      </c>
    </row>
    <row r="504" spans="1:13" x14ac:dyDescent="0.2">
      <c r="A504" s="9">
        <v>488</v>
      </c>
      <c r="B504" s="10" t="str">
        <f t="shared" si="56"/>
        <v/>
      </c>
      <c r="C504" s="10" t="str">
        <f t="shared" si="57"/>
        <v/>
      </c>
      <c r="D504" s="10" t="str">
        <f t="shared" si="58"/>
        <v/>
      </c>
      <c r="E504" s="11" t="str">
        <f t="shared" si="59"/>
        <v/>
      </c>
      <c r="F504" s="12" t="str">
        <f t="shared" si="60"/>
        <v/>
      </c>
      <c r="G504" s="13" t="str">
        <f t="shared" si="61"/>
        <v/>
      </c>
      <c r="H504" s="13" t="str">
        <f t="shared" si="62"/>
        <v/>
      </c>
      <c r="I504" s="14" t="str">
        <f t="shared" si="63"/>
        <v/>
      </c>
      <c r="L504" t="str">
        <f>IFERROR(MATCH($C$5&amp;"|"&amp;RIGHT("000000"&amp;488,6),LdgRankKeyA,0),"")</f>
        <v/>
      </c>
      <c r="M504" t="str">
        <f>IFERROR(MATCH($C$5&amp;"|"&amp;RIGHT("000000"&amp;488,6),LdgRankKeyB,0),"")</f>
        <v/>
      </c>
    </row>
    <row r="505" spans="1:13" x14ac:dyDescent="0.2">
      <c r="A505" s="3">
        <v>489</v>
      </c>
      <c r="B505" s="4" t="str">
        <f t="shared" si="56"/>
        <v/>
      </c>
      <c r="C505" s="4" t="str">
        <f t="shared" si="57"/>
        <v/>
      </c>
      <c r="D505" s="4" t="str">
        <f t="shared" si="58"/>
        <v/>
      </c>
      <c r="E505" s="5" t="str">
        <f t="shared" si="59"/>
        <v/>
      </c>
      <c r="F505" s="6" t="str">
        <f t="shared" si="60"/>
        <v/>
      </c>
      <c r="G505" s="7" t="str">
        <f t="shared" si="61"/>
        <v/>
      </c>
      <c r="H505" s="7" t="str">
        <f t="shared" si="62"/>
        <v/>
      </c>
      <c r="I505" s="8" t="str">
        <f t="shared" si="63"/>
        <v/>
      </c>
      <c r="L505" t="str">
        <f>IFERROR(MATCH($C$5&amp;"|"&amp;RIGHT("000000"&amp;489,6),LdgRankKeyA,0),"")</f>
        <v/>
      </c>
      <c r="M505" t="str">
        <f>IFERROR(MATCH($C$5&amp;"|"&amp;RIGHT("000000"&amp;489,6),LdgRankKeyB,0),"")</f>
        <v/>
      </c>
    </row>
    <row r="506" spans="1:13" x14ac:dyDescent="0.2">
      <c r="A506" s="9">
        <v>490</v>
      </c>
      <c r="B506" s="10" t="str">
        <f t="shared" si="56"/>
        <v/>
      </c>
      <c r="C506" s="10" t="str">
        <f t="shared" si="57"/>
        <v/>
      </c>
      <c r="D506" s="10" t="str">
        <f t="shared" si="58"/>
        <v/>
      </c>
      <c r="E506" s="11" t="str">
        <f t="shared" si="59"/>
        <v/>
      </c>
      <c r="F506" s="12" t="str">
        <f t="shared" si="60"/>
        <v/>
      </c>
      <c r="G506" s="13" t="str">
        <f t="shared" si="61"/>
        <v/>
      </c>
      <c r="H506" s="13" t="str">
        <f t="shared" si="62"/>
        <v/>
      </c>
      <c r="I506" s="14" t="str">
        <f t="shared" si="63"/>
        <v/>
      </c>
      <c r="L506" t="str">
        <f>IFERROR(MATCH($C$5&amp;"|"&amp;RIGHT("000000"&amp;490,6),LdgRankKeyA,0),"")</f>
        <v/>
      </c>
      <c r="M506" t="str">
        <f>IFERROR(MATCH($C$5&amp;"|"&amp;RIGHT("000000"&amp;490,6),LdgRankKeyB,0),"")</f>
        <v/>
      </c>
    </row>
    <row r="507" spans="1:13" x14ac:dyDescent="0.2">
      <c r="A507" s="3">
        <v>491</v>
      </c>
      <c r="B507" s="4" t="str">
        <f t="shared" si="56"/>
        <v/>
      </c>
      <c r="C507" s="4" t="str">
        <f t="shared" si="57"/>
        <v/>
      </c>
      <c r="D507" s="4" t="str">
        <f t="shared" si="58"/>
        <v/>
      </c>
      <c r="E507" s="5" t="str">
        <f t="shared" si="59"/>
        <v/>
      </c>
      <c r="F507" s="6" t="str">
        <f t="shared" si="60"/>
        <v/>
      </c>
      <c r="G507" s="7" t="str">
        <f t="shared" si="61"/>
        <v/>
      </c>
      <c r="H507" s="7" t="str">
        <f t="shared" si="62"/>
        <v/>
      </c>
      <c r="I507" s="8" t="str">
        <f t="shared" si="63"/>
        <v/>
      </c>
      <c r="L507" t="str">
        <f>IFERROR(MATCH($C$5&amp;"|"&amp;RIGHT("000000"&amp;491,6),LdgRankKeyA,0),"")</f>
        <v/>
      </c>
      <c r="M507" t="str">
        <f>IFERROR(MATCH($C$5&amp;"|"&amp;RIGHT("000000"&amp;491,6),LdgRankKeyB,0),"")</f>
        <v/>
      </c>
    </row>
    <row r="508" spans="1:13" x14ac:dyDescent="0.2">
      <c r="A508" s="9">
        <v>492</v>
      </c>
      <c r="B508" s="10" t="str">
        <f t="shared" si="56"/>
        <v/>
      </c>
      <c r="C508" s="10" t="str">
        <f t="shared" si="57"/>
        <v/>
      </c>
      <c r="D508" s="10" t="str">
        <f t="shared" si="58"/>
        <v/>
      </c>
      <c r="E508" s="11" t="str">
        <f t="shared" si="59"/>
        <v/>
      </c>
      <c r="F508" s="12" t="str">
        <f t="shared" si="60"/>
        <v/>
      </c>
      <c r="G508" s="13" t="str">
        <f t="shared" si="61"/>
        <v/>
      </c>
      <c r="H508" s="13" t="str">
        <f t="shared" si="62"/>
        <v/>
      </c>
      <c r="I508" s="14" t="str">
        <f t="shared" si="63"/>
        <v/>
      </c>
      <c r="L508" t="str">
        <f>IFERROR(MATCH($C$5&amp;"|"&amp;RIGHT("000000"&amp;492,6),LdgRankKeyA,0),"")</f>
        <v/>
      </c>
      <c r="M508" t="str">
        <f>IFERROR(MATCH($C$5&amp;"|"&amp;RIGHT("000000"&amp;492,6),LdgRankKeyB,0),"")</f>
        <v/>
      </c>
    </row>
    <row r="509" spans="1:13" x14ac:dyDescent="0.2">
      <c r="A509" s="3">
        <v>493</v>
      </c>
      <c r="B509" s="4" t="str">
        <f t="shared" si="56"/>
        <v/>
      </c>
      <c r="C509" s="4" t="str">
        <f t="shared" si="57"/>
        <v/>
      </c>
      <c r="D509" s="4" t="str">
        <f t="shared" si="58"/>
        <v/>
      </c>
      <c r="E509" s="5" t="str">
        <f t="shared" si="59"/>
        <v/>
      </c>
      <c r="F509" s="6" t="str">
        <f t="shared" si="60"/>
        <v/>
      </c>
      <c r="G509" s="7" t="str">
        <f t="shared" si="61"/>
        <v/>
      </c>
      <c r="H509" s="7" t="str">
        <f t="shared" si="62"/>
        <v/>
      </c>
      <c r="I509" s="8" t="str">
        <f t="shared" si="63"/>
        <v/>
      </c>
      <c r="L509" t="str">
        <f>IFERROR(MATCH($C$5&amp;"|"&amp;RIGHT("000000"&amp;493,6),LdgRankKeyA,0),"")</f>
        <v/>
      </c>
      <c r="M509" t="str">
        <f>IFERROR(MATCH($C$5&amp;"|"&amp;RIGHT("000000"&amp;493,6),LdgRankKeyB,0),"")</f>
        <v/>
      </c>
    </row>
    <row r="510" spans="1:13" x14ac:dyDescent="0.2">
      <c r="A510" s="9">
        <v>494</v>
      </c>
      <c r="B510" s="10" t="str">
        <f t="shared" si="56"/>
        <v/>
      </c>
      <c r="C510" s="10" t="str">
        <f t="shared" si="57"/>
        <v/>
      </c>
      <c r="D510" s="10" t="str">
        <f t="shared" si="58"/>
        <v/>
      </c>
      <c r="E510" s="11" t="str">
        <f t="shared" si="59"/>
        <v/>
      </c>
      <c r="F510" s="12" t="str">
        <f t="shared" si="60"/>
        <v/>
      </c>
      <c r="G510" s="13" t="str">
        <f t="shared" si="61"/>
        <v/>
      </c>
      <c r="H510" s="13" t="str">
        <f t="shared" si="62"/>
        <v/>
      </c>
      <c r="I510" s="14" t="str">
        <f t="shared" si="63"/>
        <v/>
      </c>
      <c r="L510" t="str">
        <f>IFERROR(MATCH($C$5&amp;"|"&amp;RIGHT("000000"&amp;494,6),LdgRankKeyA,0),"")</f>
        <v/>
      </c>
      <c r="M510" t="str">
        <f>IFERROR(MATCH($C$5&amp;"|"&amp;RIGHT("000000"&amp;494,6),LdgRankKeyB,0),"")</f>
        <v/>
      </c>
    </row>
    <row r="511" spans="1:13" x14ac:dyDescent="0.2">
      <c r="A511" s="3">
        <v>495</v>
      </c>
      <c r="B511" s="4" t="str">
        <f t="shared" si="56"/>
        <v/>
      </c>
      <c r="C511" s="4" t="str">
        <f t="shared" si="57"/>
        <v/>
      </c>
      <c r="D511" s="4" t="str">
        <f t="shared" si="58"/>
        <v/>
      </c>
      <c r="E511" s="5" t="str">
        <f t="shared" si="59"/>
        <v/>
      </c>
      <c r="F511" s="6" t="str">
        <f t="shared" si="60"/>
        <v/>
      </c>
      <c r="G511" s="7" t="str">
        <f t="shared" si="61"/>
        <v/>
      </c>
      <c r="H511" s="7" t="str">
        <f t="shared" si="62"/>
        <v/>
      </c>
      <c r="I511" s="8" t="str">
        <f t="shared" si="63"/>
        <v/>
      </c>
      <c r="L511" t="str">
        <f>IFERROR(MATCH($C$5&amp;"|"&amp;RIGHT("000000"&amp;495,6),LdgRankKeyA,0),"")</f>
        <v/>
      </c>
      <c r="M511" t="str">
        <f>IFERROR(MATCH($C$5&amp;"|"&amp;RIGHT("000000"&amp;495,6),LdgRankKeyB,0),"")</f>
        <v/>
      </c>
    </row>
    <row r="512" spans="1:13" x14ac:dyDescent="0.2">
      <c r="A512" s="9">
        <v>496</v>
      </c>
      <c r="B512" s="10" t="str">
        <f t="shared" si="56"/>
        <v/>
      </c>
      <c r="C512" s="10" t="str">
        <f t="shared" si="57"/>
        <v/>
      </c>
      <c r="D512" s="10" t="str">
        <f t="shared" si="58"/>
        <v/>
      </c>
      <c r="E512" s="11" t="str">
        <f t="shared" si="59"/>
        <v/>
      </c>
      <c r="F512" s="12" t="str">
        <f t="shared" si="60"/>
        <v/>
      </c>
      <c r="G512" s="13" t="str">
        <f t="shared" si="61"/>
        <v/>
      </c>
      <c r="H512" s="13" t="str">
        <f t="shared" si="62"/>
        <v/>
      </c>
      <c r="I512" s="14" t="str">
        <f t="shared" si="63"/>
        <v/>
      </c>
      <c r="L512" t="str">
        <f>IFERROR(MATCH($C$5&amp;"|"&amp;RIGHT("000000"&amp;496,6),LdgRankKeyA,0),"")</f>
        <v/>
      </c>
      <c r="M512" t="str">
        <f>IFERROR(MATCH($C$5&amp;"|"&amp;RIGHT("000000"&amp;496,6),LdgRankKeyB,0),"")</f>
        <v/>
      </c>
    </row>
    <row r="513" spans="1:13" x14ac:dyDescent="0.2">
      <c r="A513" s="3">
        <v>497</v>
      </c>
      <c r="B513" s="4" t="str">
        <f t="shared" si="56"/>
        <v/>
      </c>
      <c r="C513" s="4" t="str">
        <f t="shared" si="57"/>
        <v/>
      </c>
      <c r="D513" s="4" t="str">
        <f t="shared" si="58"/>
        <v/>
      </c>
      <c r="E513" s="5" t="str">
        <f t="shared" si="59"/>
        <v/>
      </c>
      <c r="F513" s="6" t="str">
        <f t="shared" si="60"/>
        <v/>
      </c>
      <c r="G513" s="7" t="str">
        <f t="shared" si="61"/>
        <v/>
      </c>
      <c r="H513" s="7" t="str">
        <f t="shared" si="62"/>
        <v/>
      </c>
      <c r="I513" s="8" t="str">
        <f t="shared" si="63"/>
        <v/>
      </c>
      <c r="L513" t="str">
        <f>IFERROR(MATCH($C$5&amp;"|"&amp;RIGHT("000000"&amp;497,6),LdgRankKeyA,0),"")</f>
        <v/>
      </c>
      <c r="M513" t="str">
        <f>IFERROR(MATCH($C$5&amp;"|"&amp;RIGHT("000000"&amp;497,6),LdgRankKeyB,0),"")</f>
        <v/>
      </c>
    </row>
    <row r="514" spans="1:13" x14ac:dyDescent="0.2">
      <c r="A514" s="9">
        <v>498</v>
      </c>
      <c r="B514" s="10" t="str">
        <f t="shared" si="56"/>
        <v/>
      </c>
      <c r="C514" s="10" t="str">
        <f t="shared" si="57"/>
        <v/>
      </c>
      <c r="D514" s="10" t="str">
        <f t="shared" si="58"/>
        <v/>
      </c>
      <c r="E514" s="11" t="str">
        <f t="shared" si="59"/>
        <v/>
      </c>
      <c r="F514" s="12" t="str">
        <f t="shared" si="60"/>
        <v/>
      </c>
      <c r="G514" s="13" t="str">
        <f t="shared" si="61"/>
        <v/>
      </c>
      <c r="H514" s="13" t="str">
        <f t="shared" si="62"/>
        <v/>
      </c>
      <c r="I514" s="14" t="str">
        <f t="shared" si="63"/>
        <v/>
      </c>
      <c r="L514" t="str">
        <f>IFERROR(MATCH($C$5&amp;"|"&amp;RIGHT("000000"&amp;498,6),LdgRankKeyA,0),"")</f>
        <v/>
      </c>
      <c r="M514" t="str">
        <f>IFERROR(MATCH($C$5&amp;"|"&amp;RIGHT("000000"&amp;498,6),LdgRankKeyB,0),"")</f>
        <v/>
      </c>
    </row>
    <row r="515" spans="1:13" x14ac:dyDescent="0.2">
      <c r="A515" s="3">
        <v>499</v>
      </c>
      <c r="B515" s="4" t="str">
        <f t="shared" si="56"/>
        <v/>
      </c>
      <c r="C515" s="4" t="str">
        <f t="shared" si="57"/>
        <v/>
      </c>
      <c r="D515" s="4" t="str">
        <f t="shared" si="58"/>
        <v/>
      </c>
      <c r="E515" s="5" t="str">
        <f t="shared" si="59"/>
        <v/>
      </c>
      <c r="F515" s="6" t="str">
        <f t="shared" si="60"/>
        <v/>
      </c>
      <c r="G515" s="7" t="str">
        <f t="shared" si="61"/>
        <v/>
      </c>
      <c r="H515" s="7" t="str">
        <f t="shared" si="62"/>
        <v/>
      </c>
      <c r="I515" s="8" t="str">
        <f t="shared" si="63"/>
        <v/>
      </c>
      <c r="L515" t="str">
        <f>IFERROR(MATCH($C$5&amp;"|"&amp;RIGHT("000000"&amp;499,6),LdgRankKeyA,0),"")</f>
        <v/>
      </c>
      <c r="M515" t="str">
        <f>IFERROR(MATCH($C$5&amp;"|"&amp;RIGHT("000000"&amp;499,6),LdgRankKeyB,0),"")</f>
        <v/>
      </c>
    </row>
    <row r="516" spans="1:13" x14ac:dyDescent="0.2">
      <c r="A516" s="9">
        <v>500</v>
      </c>
      <c r="B516" s="10" t="str">
        <f t="shared" si="56"/>
        <v/>
      </c>
      <c r="C516" s="10" t="str">
        <f t="shared" si="57"/>
        <v/>
      </c>
      <c r="D516" s="10" t="str">
        <f t="shared" si="58"/>
        <v/>
      </c>
      <c r="E516" s="11" t="str">
        <f t="shared" si="59"/>
        <v/>
      </c>
      <c r="F516" s="12" t="str">
        <f t="shared" si="60"/>
        <v/>
      </c>
      <c r="G516" s="13" t="str">
        <f t="shared" si="61"/>
        <v/>
      </c>
      <c r="H516" s="13" t="str">
        <f t="shared" si="62"/>
        <v/>
      </c>
      <c r="I516" s="14" t="str">
        <f t="shared" si="63"/>
        <v/>
      </c>
      <c r="L516" t="str">
        <f>IFERROR(MATCH($C$5&amp;"|"&amp;RIGHT("000000"&amp;500,6),LdgRankKeyA,0),"")</f>
        <v/>
      </c>
      <c r="M516" t="str">
        <f>IFERROR(MATCH($C$5&amp;"|"&amp;RIGHT("000000"&amp;500,6),LdgRankKeyB,0),"")</f>
        <v/>
      </c>
    </row>
    <row r="517" spans="1:13" x14ac:dyDescent="0.2">
      <c r="A517" s="3">
        <v>501</v>
      </c>
      <c r="B517" s="4" t="str">
        <f t="shared" si="56"/>
        <v/>
      </c>
      <c r="C517" s="4" t="str">
        <f t="shared" si="57"/>
        <v/>
      </c>
      <c r="D517" s="4" t="str">
        <f t="shared" si="58"/>
        <v/>
      </c>
      <c r="E517" s="5" t="str">
        <f t="shared" si="59"/>
        <v/>
      </c>
      <c r="F517" s="6" t="str">
        <f t="shared" si="60"/>
        <v/>
      </c>
      <c r="G517" s="7" t="str">
        <f t="shared" si="61"/>
        <v/>
      </c>
      <c r="H517" s="7" t="str">
        <f t="shared" si="62"/>
        <v/>
      </c>
      <c r="I517" s="8" t="str">
        <f t="shared" si="63"/>
        <v/>
      </c>
      <c r="L517" t="str">
        <f>IFERROR(MATCH($C$5&amp;"|"&amp;RIGHT("000000"&amp;501,6),LdgRankKeyA,0),"")</f>
        <v/>
      </c>
      <c r="M517" t="str">
        <f>IFERROR(MATCH($C$5&amp;"|"&amp;RIGHT("000000"&amp;501,6),LdgRankKeyB,0),"")</f>
        <v/>
      </c>
    </row>
    <row r="518" spans="1:13" x14ac:dyDescent="0.2">
      <c r="A518" s="9">
        <v>502</v>
      </c>
      <c r="B518" s="10" t="str">
        <f t="shared" si="56"/>
        <v/>
      </c>
      <c r="C518" s="10" t="str">
        <f t="shared" si="57"/>
        <v/>
      </c>
      <c r="D518" s="10" t="str">
        <f t="shared" si="58"/>
        <v/>
      </c>
      <c r="E518" s="11" t="str">
        <f t="shared" si="59"/>
        <v/>
      </c>
      <c r="F518" s="12" t="str">
        <f t="shared" si="60"/>
        <v/>
      </c>
      <c r="G518" s="13" t="str">
        <f t="shared" si="61"/>
        <v/>
      </c>
      <c r="H518" s="13" t="str">
        <f t="shared" si="62"/>
        <v/>
      </c>
      <c r="I518" s="14" t="str">
        <f t="shared" si="63"/>
        <v/>
      </c>
      <c r="L518" t="str">
        <f>IFERROR(MATCH($C$5&amp;"|"&amp;RIGHT("000000"&amp;502,6),LdgRankKeyA,0),"")</f>
        <v/>
      </c>
      <c r="M518" t="str">
        <f>IFERROR(MATCH($C$5&amp;"|"&amp;RIGHT("000000"&amp;502,6),LdgRankKeyB,0),"")</f>
        <v/>
      </c>
    </row>
    <row r="519" spans="1:13" x14ac:dyDescent="0.2">
      <c r="A519" s="3">
        <v>503</v>
      </c>
      <c r="B519" s="4" t="str">
        <f t="shared" si="56"/>
        <v/>
      </c>
      <c r="C519" s="4" t="str">
        <f t="shared" si="57"/>
        <v/>
      </c>
      <c r="D519" s="4" t="str">
        <f t="shared" si="58"/>
        <v/>
      </c>
      <c r="E519" s="5" t="str">
        <f t="shared" si="59"/>
        <v/>
      </c>
      <c r="F519" s="6" t="str">
        <f t="shared" si="60"/>
        <v/>
      </c>
      <c r="G519" s="7" t="str">
        <f t="shared" si="61"/>
        <v/>
      </c>
      <c r="H519" s="7" t="str">
        <f t="shared" si="62"/>
        <v/>
      </c>
      <c r="I519" s="8" t="str">
        <f t="shared" si="63"/>
        <v/>
      </c>
      <c r="L519" t="str">
        <f>IFERROR(MATCH($C$5&amp;"|"&amp;RIGHT("000000"&amp;503,6),LdgRankKeyA,0),"")</f>
        <v/>
      </c>
      <c r="M519" t="str">
        <f>IFERROR(MATCH($C$5&amp;"|"&amp;RIGHT("000000"&amp;503,6),LdgRankKeyB,0),"")</f>
        <v/>
      </c>
    </row>
    <row r="520" spans="1:13" x14ac:dyDescent="0.2">
      <c r="A520" s="9">
        <v>504</v>
      </c>
      <c r="B520" s="10" t="str">
        <f t="shared" si="56"/>
        <v/>
      </c>
      <c r="C520" s="10" t="str">
        <f t="shared" si="57"/>
        <v/>
      </c>
      <c r="D520" s="10" t="str">
        <f t="shared" si="58"/>
        <v/>
      </c>
      <c r="E520" s="11" t="str">
        <f t="shared" si="59"/>
        <v/>
      </c>
      <c r="F520" s="12" t="str">
        <f t="shared" si="60"/>
        <v/>
      </c>
      <c r="G520" s="13" t="str">
        <f t="shared" si="61"/>
        <v/>
      </c>
      <c r="H520" s="13" t="str">
        <f t="shared" si="62"/>
        <v/>
      </c>
      <c r="I520" s="14" t="str">
        <f t="shared" si="63"/>
        <v/>
      </c>
      <c r="L520" t="str">
        <f>IFERROR(MATCH($C$5&amp;"|"&amp;RIGHT("000000"&amp;504,6),LdgRankKeyA,0),"")</f>
        <v/>
      </c>
      <c r="M520" t="str">
        <f>IFERROR(MATCH($C$5&amp;"|"&amp;RIGHT("000000"&amp;504,6),LdgRankKeyB,0),"")</f>
        <v/>
      </c>
    </row>
    <row r="521" spans="1:13" x14ac:dyDescent="0.2">
      <c r="A521" s="3">
        <v>505</v>
      </c>
      <c r="B521" s="4" t="str">
        <f t="shared" si="56"/>
        <v/>
      </c>
      <c r="C521" s="4" t="str">
        <f t="shared" si="57"/>
        <v/>
      </c>
      <c r="D521" s="4" t="str">
        <f t="shared" si="58"/>
        <v/>
      </c>
      <c r="E521" s="5" t="str">
        <f t="shared" si="59"/>
        <v/>
      </c>
      <c r="F521" s="6" t="str">
        <f t="shared" si="60"/>
        <v/>
      </c>
      <c r="G521" s="7" t="str">
        <f t="shared" si="61"/>
        <v/>
      </c>
      <c r="H521" s="7" t="str">
        <f t="shared" si="62"/>
        <v/>
      </c>
      <c r="I521" s="8" t="str">
        <f t="shared" si="63"/>
        <v/>
      </c>
      <c r="L521" t="str">
        <f>IFERROR(MATCH($C$5&amp;"|"&amp;RIGHT("000000"&amp;505,6),LdgRankKeyA,0),"")</f>
        <v/>
      </c>
      <c r="M521" t="str">
        <f>IFERROR(MATCH($C$5&amp;"|"&amp;RIGHT("000000"&amp;505,6),LdgRankKeyB,0),"")</f>
        <v/>
      </c>
    </row>
    <row r="522" spans="1:13" x14ac:dyDescent="0.2">
      <c r="A522" s="9">
        <v>506</v>
      </c>
      <c r="B522" s="10" t="str">
        <f t="shared" si="56"/>
        <v/>
      </c>
      <c r="C522" s="10" t="str">
        <f t="shared" si="57"/>
        <v/>
      </c>
      <c r="D522" s="10" t="str">
        <f t="shared" si="58"/>
        <v/>
      </c>
      <c r="E522" s="11" t="str">
        <f t="shared" si="59"/>
        <v/>
      </c>
      <c r="F522" s="12" t="str">
        <f t="shared" si="60"/>
        <v/>
      </c>
      <c r="G522" s="13" t="str">
        <f t="shared" si="61"/>
        <v/>
      </c>
      <c r="H522" s="13" t="str">
        <f t="shared" si="62"/>
        <v/>
      </c>
      <c r="I522" s="14" t="str">
        <f t="shared" si="63"/>
        <v/>
      </c>
      <c r="L522" t="str">
        <f>IFERROR(MATCH($C$5&amp;"|"&amp;RIGHT("000000"&amp;506,6),LdgRankKeyA,0),"")</f>
        <v/>
      </c>
      <c r="M522" t="str">
        <f>IFERROR(MATCH($C$5&amp;"|"&amp;RIGHT("000000"&amp;506,6),LdgRankKeyB,0),"")</f>
        <v/>
      </c>
    </row>
    <row r="523" spans="1:13" x14ac:dyDescent="0.2">
      <c r="A523" s="3">
        <v>507</v>
      </c>
      <c r="B523" s="4" t="str">
        <f t="shared" si="56"/>
        <v/>
      </c>
      <c r="C523" s="4" t="str">
        <f t="shared" si="57"/>
        <v/>
      </c>
      <c r="D523" s="4" t="str">
        <f t="shared" si="58"/>
        <v/>
      </c>
      <c r="E523" s="5" t="str">
        <f t="shared" si="59"/>
        <v/>
      </c>
      <c r="F523" s="6" t="str">
        <f t="shared" si="60"/>
        <v/>
      </c>
      <c r="G523" s="7" t="str">
        <f t="shared" si="61"/>
        <v/>
      </c>
      <c r="H523" s="7" t="str">
        <f t="shared" si="62"/>
        <v/>
      </c>
      <c r="I523" s="8" t="str">
        <f t="shared" si="63"/>
        <v/>
      </c>
      <c r="L523" t="str">
        <f>IFERROR(MATCH($C$5&amp;"|"&amp;RIGHT("000000"&amp;507,6),LdgRankKeyA,0),"")</f>
        <v/>
      </c>
      <c r="M523" t="str">
        <f>IFERROR(MATCH($C$5&amp;"|"&amp;RIGHT("000000"&amp;507,6),LdgRankKeyB,0),"")</f>
        <v/>
      </c>
    </row>
    <row r="524" spans="1:13" x14ac:dyDescent="0.2">
      <c r="A524" s="9">
        <v>508</v>
      </c>
      <c r="B524" s="10" t="str">
        <f t="shared" si="56"/>
        <v/>
      </c>
      <c r="C524" s="10" t="str">
        <f t="shared" si="57"/>
        <v/>
      </c>
      <c r="D524" s="10" t="str">
        <f t="shared" si="58"/>
        <v/>
      </c>
      <c r="E524" s="11" t="str">
        <f t="shared" si="59"/>
        <v/>
      </c>
      <c r="F524" s="12" t="str">
        <f t="shared" si="60"/>
        <v/>
      </c>
      <c r="G524" s="13" t="str">
        <f t="shared" si="61"/>
        <v/>
      </c>
      <c r="H524" s="13" t="str">
        <f t="shared" si="62"/>
        <v/>
      </c>
      <c r="I524" s="14" t="str">
        <f t="shared" si="63"/>
        <v/>
      </c>
      <c r="L524" t="str">
        <f>IFERROR(MATCH($C$5&amp;"|"&amp;RIGHT("000000"&amp;508,6),LdgRankKeyA,0),"")</f>
        <v/>
      </c>
      <c r="M524" t="str">
        <f>IFERROR(MATCH($C$5&amp;"|"&amp;RIGHT("000000"&amp;508,6),LdgRankKeyB,0),"")</f>
        <v/>
      </c>
    </row>
    <row r="525" spans="1:13" x14ac:dyDescent="0.2">
      <c r="A525" s="3">
        <v>509</v>
      </c>
      <c r="B525" s="4" t="str">
        <f t="shared" si="56"/>
        <v/>
      </c>
      <c r="C525" s="4" t="str">
        <f t="shared" si="57"/>
        <v/>
      </c>
      <c r="D525" s="4" t="str">
        <f t="shared" si="58"/>
        <v/>
      </c>
      <c r="E525" s="5" t="str">
        <f t="shared" si="59"/>
        <v/>
      </c>
      <c r="F525" s="6" t="str">
        <f t="shared" si="60"/>
        <v/>
      </c>
      <c r="G525" s="7" t="str">
        <f t="shared" si="61"/>
        <v/>
      </c>
      <c r="H525" s="7" t="str">
        <f t="shared" si="62"/>
        <v/>
      </c>
      <c r="I525" s="8" t="str">
        <f t="shared" si="63"/>
        <v/>
      </c>
      <c r="L525" t="str">
        <f>IFERROR(MATCH($C$5&amp;"|"&amp;RIGHT("000000"&amp;509,6),LdgRankKeyA,0),"")</f>
        <v/>
      </c>
      <c r="M525" t="str">
        <f>IFERROR(MATCH($C$5&amp;"|"&amp;RIGHT("000000"&amp;509,6),LdgRankKeyB,0),"")</f>
        <v/>
      </c>
    </row>
    <row r="526" spans="1:13" x14ac:dyDescent="0.2">
      <c r="A526" s="9">
        <v>510</v>
      </c>
      <c r="B526" s="10" t="str">
        <f t="shared" si="56"/>
        <v/>
      </c>
      <c r="C526" s="10" t="str">
        <f t="shared" si="57"/>
        <v/>
      </c>
      <c r="D526" s="10" t="str">
        <f t="shared" si="58"/>
        <v/>
      </c>
      <c r="E526" s="11" t="str">
        <f t="shared" si="59"/>
        <v/>
      </c>
      <c r="F526" s="12" t="str">
        <f t="shared" si="60"/>
        <v/>
      </c>
      <c r="G526" s="13" t="str">
        <f t="shared" si="61"/>
        <v/>
      </c>
      <c r="H526" s="13" t="str">
        <f t="shared" si="62"/>
        <v/>
      </c>
      <c r="I526" s="14" t="str">
        <f t="shared" si="63"/>
        <v/>
      </c>
      <c r="L526" t="str">
        <f>IFERROR(MATCH($C$5&amp;"|"&amp;RIGHT("000000"&amp;510,6),LdgRankKeyA,0),"")</f>
        <v/>
      </c>
      <c r="M526" t="str">
        <f>IFERROR(MATCH($C$5&amp;"|"&amp;RIGHT("000000"&amp;510,6),LdgRankKeyB,0),"")</f>
        <v/>
      </c>
    </row>
    <row r="527" spans="1:13" x14ac:dyDescent="0.2">
      <c r="A527" s="3">
        <v>511</v>
      </c>
      <c r="B527" s="4" t="str">
        <f t="shared" si="56"/>
        <v/>
      </c>
      <c r="C527" s="4" t="str">
        <f t="shared" si="57"/>
        <v/>
      </c>
      <c r="D527" s="4" t="str">
        <f t="shared" si="58"/>
        <v/>
      </c>
      <c r="E527" s="5" t="str">
        <f t="shared" si="59"/>
        <v/>
      </c>
      <c r="F527" s="6" t="str">
        <f t="shared" si="60"/>
        <v/>
      </c>
      <c r="G527" s="7" t="str">
        <f t="shared" si="61"/>
        <v/>
      </c>
      <c r="H527" s="7" t="str">
        <f t="shared" si="62"/>
        <v/>
      </c>
      <c r="I527" s="8" t="str">
        <f t="shared" si="63"/>
        <v/>
      </c>
      <c r="L527" t="str">
        <f>IFERROR(MATCH($C$5&amp;"|"&amp;RIGHT("000000"&amp;511,6),LdgRankKeyA,0),"")</f>
        <v/>
      </c>
      <c r="M527" t="str">
        <f>IFERROR(MATCH($C$5&amp;"|"&amp;RIGHT("000000"&amp;511,6),LdgRankKeyB,0),"")</f>
        <v/>
      </c>
    </row>
    <row r="528" spans="1:13" x14ac:dyDescent="0.2">
      <c r="A528" s="9">
        <v>512</v>
      </c>
      <c r="B528" s="10" t="str">
        <f t="shared" si="56"/>
        <v/>
      </c>
      <c r="C528" s="10" t="str">
        <f t="shared" si="57"/>
        <v/>
      </c>
      <c r="D528" s="10" t="str">
        <f t="shared" si="58"/>
        <v/>
      </c>
      <c r="E528" s="11" t="str">
        <f t="shared" si="59"/>
        <v/>
      </c>
      <c r="F528" s="12" t="str">
        <f t="shared" si="60"/>
        <v/>
      </c>
      <c r="G528" s="13" t="str">
        <f t="shared" si="61"/>
        <v/>
      </c>
      <c r="H528" s="13" t="str">
        <f t="shared" si="62"/>
        <v/>
      </c>
      <c r="I528" s="14" t="str">
        <f t="shared" si="63"/>
        <v/>
      </c>
      <c r="L528" t="str">
        <f>IFERROR(MATCH($C$5&amp;"|"&amp;RIGHT("000000"&amp;512,6),LdgRankKeyA,0),"")</f>
        <v/>
      </c>
      <c r="M528" t="str">
        <f>IFERROR(MATCH($C$5&amp;"|"&amp;RIGHT("000000"&amp;512,6),LdgRankKeyB,0),"")</f>
        <v/>
      </c>
    </row>
    <row r="529" spans="1:13" x14ac:dyDescent="0.2">
      <c r="A529" s="3">
        <v>513</v>
      </c>
      <c r="B529" s="4" t="str">
        <f t="shared" ref="B529:B592" si="64">IF(AND($L529="",$M529=""),"",IF($L529&lt;&gt;"",INDEX(SCNormDate,$L529),INDEX(LdgDateB,$M529)))</f>
        <v/>
      </c>
      <c r="C529" s="4" t="str">
        <f t="shared" ref="C529:C592" si="65">IF($L529&lt;&gt;"",INDEX(SCOp,$L529),IF($M529&lt;&gt;"","پرداخت بانکی",""))</f>
        <v/>
      </c>
      <c r="D529" s="4" t="str">
        <f t="shared" ref="D529:D592" si="66">IF($L529&lt;&gt;"",IF(INDEX(SCDoc,$L529)="","—",INDEX(SCDoc,$L529)),IF($M529&lt;&gt;"",INDEX(LdgBankB,$M529),""))</f>
        <v/>
      </c>
      <c r="E529" s="5" t="str">
        <f t="shared" ref="E529:E592" si="67">IF($L529&lt;&gt;"",IF(INDEX(SCCitrus,$L529)&amp;INDEX(SCNotes,$L529)="","",IF(INDEX(SCCitrus,$L529)="","",INDEX(SCCitrus,$L529))&amp;IF(INDEX(SCNotes,$L529)="",""," — "&amp;INDEX(SCNotes,$L529))),IF($M529&lt;&gt;"",IF(INDEX(LdgNoteB,$M529)="","—",INDEX(LdgNoteB,$M529)),""))</f>
        <v/>
      </c>
      <c r="F529" s="6" t="str">
        <f t="shared" ref="F529:F592" si="68">IF($L529&lt;&gt;"",IF(INDEX(SCNet,$L529)=0,"",INDEX(SCNet,$L529)),"")</f>
        <v/>
      </c>
      <c r="G529" s="7" t="str">
        <f t="shared" ref="G529:G592" si="69">IF($L529&lt;&gt;"",IF(INDEX(SCOp,$L529)="مرجوعی فروش","",IF(INDEX(SCAmount,$L529)&lt;=0,"",INDEX(SCAmount,$L529))),IF($M529&lt;&gt;"",IF(INDEX(LdgWitB,$M529)=0,"",INDEX(LdgWitB,$M529)),""))</f>
        <v/>
      </c>
      <c r="H529" s="7" t="str">
        <f t="shared" ref="H529:H592" si="70">IF($L529&lt;&gt;"",IF(INDEX(SCOp,$L529)="مرجوعی فروش",IF(INDEX(SCAmount,$L529)=0,"",-INDEX(SCAmount,$L529)),""),IF($M529&lt;&gt;"",IF(INDEX(LdgDepB,$M529)=0,"",INDEX(LdgDepB,$M529)),""))</f>
        <v/>
      </c>
      <c r="I529" s="8" t="str">
        <f t="shared" si="63"/>
        <v/>
      </c>
      <c r="L529" t="str">
        <f>IFERROR(MATCH($C$5&amp;"|"&amp;RIGHT("000000"&amp;513,6),LdgRankKeyA,0),"")</f>
        <v/>
      </c>
      <c r="M529" t="str">
        <f>IFERROR(MATCH($C$5&amp;"|"&amp;RIGHT("000000"&amp;513,6),LdgRankKeyB,0),"")</f>
        <v/>
      </c>
    </row>
    <row r="530" spans="1:13" x14ac:dyDescent="0.2">
      <c r="A530" s="9">
        <v>514</v>
      </c>
      <c r="B530" s="10" t="str">
        <f t="shared" si="64"/>
        <v/>
      </c>
      <c r="C530" s="10" t="str">
        <f t="shared" si="65"/>
        <v/>
      </c>
      <c r="D530" s="10" t="str">
        <f t="shared" si="66"/>
        <v/>
      </c>
      <c r="E530" s="11" t="str">
        <f t="shared" si="67"/>
        <v/>
      </c>
      <c r="F530" s="12" t="str">
        <f t="shared" si="68"/>
        <v/>
      </c>
      <c r="G530" s="13" t="str">
        <f t="shared" si="69"/>
        <v/>
      </c>
      <c r="H530" s="13" t="str">
        <f t="shared" si="70"/>
        <v/>
      </c>
      <c r="I530" s="14" t="str">
        <f t="shared" ref="I530:I593" si="71">IF($B530="","",IF($I529="",$C$10,$I529)+IF($G530="",0,$G530)-IF($H530="",0,$H530))</f>
        <v/>
      </c>
      <c r="L530" t="str">
        <f>IFERROR(MATCH($C$5&amp;"|"&amp;RIGHT("000000"&amp;514,6),LdgRankKeyA,0),"")</f>
        <v/>
      </c>
      <c r="M530" t="str">
        <f>IFERROR(MATCH($C$5&amp;"|"&amp;RIGHT("000000"&amp;514,6),LdgRankKeyB,0),"")</f>
        <v/>
      </c>
    </row>
    <row r="531" spans="1:13" x14ac:dyDescent="0.2">
      <c r="A531" s="3">
        <v>515</v>
      </c>
      <c r="B531" s="4" t="str">
        <f t="shared" si="64"/>
        <v/>
      </c>
      <c r="C531" s="4" t="str">
        <f t="shared" si="65"/>
        <v/>
      </c>
      <c r="D531" s="4" t="str">
        <f t="shared" si="66"/>
        <v/>
      </c>
      <c r="E531" s="5" t="str">
        <f t="shared" si="67"/>
        <v/>
      </c>
      <c r="F531" s="6" t="str">
        <f t="shared" si="68"/>
        <v/>
      </c>
      <c r="G531" s="7" t="str">
        <f t="shared" si="69"/>
        <v/>
      </c>
      <c r="H531" s="7" t="str">
        <f t="shared" si="70"/>
        <v/>
      </c>
      <c r="I531" s="8" t="str">
        <f t="shared" si="71"/>
        <v/>
      </c>
      <c r="L531" t="str">
        <f>IFERROR(MATCH($C$5&amp;"|"&amp;RIGHT("000000"&amp;515,6),LdgRankKeyA,0),"")</f>
        <v/>
      </c>
      <c r="M531" t="str">
        <f>IFERROR(MATCH($C$5&amp;"|"&amp;RIGHT("000000"&amp;515,6),LdgRankKeyB,0),"")</f>
        <v/>
      </c>
    </row>
    <row r="532" spans="1:13" x14ac:dyDescent="0.2">
      <c r="A532" s="9">
        <v>516</v>
      </c>
      <c r="B532" s="10" t="str">
        <f t="shared" si="64"/>
        <v/>
      </c>
      <c r="C532" s="10" t="str">
        <f t="shared" si="65"/>
        <v/>
      </c>
      <c r="D532" s="10" t="str">
        <f t="shared" si="66"/>
        <v/>
      </c>
      <c r="E532" s="11" t="str">
        <f t="shared" si="67"/>
        <v/>
      </c>
      <c r="F532" s="12" t="str">
        <f t="shared" si="68"/>
        <v/>
      </c>
      <c r="G532" s="13" t="str">
        <f t="shared" si="69"/>
        <v/>
      </c>
      <c r="H532" s="13" t="str">
        <f t="shared" si="70"/>
        <v/>
      </c>
      <c r="I532" s="14" t="str">
        <f t="shared" si="71"/>
        <v/>
      </c>
      <c r="L532" t="str">
        <f>IFERROR(MATCH($C$5&amp;"|"&amp;RIGHT("000000"&amp;516,6),LdgRankKeyA,0),"")</f>
        <v/>
      </c>
      <c r="M532" t="str">
        <f>IFERROR(MATCH($C$5&amp;"|"&amp;RIGHT("000000"&amp;516,6),LdgRankKeyB,0),"")</f>
        <v/>
      </c>
    </row>
    <row r="533" spans="1:13" x14ac:dyDescent="0.2">
      <c r="A533" s="3">
        <v>517</v>
      </c>
      <c r="B533" s="4" t="str">
        <f t="shared" si="64"/>
        <v/>
      </c>
      <c r="C533" s="4" t="str">
        <f t="shared" si="65"/>
        <v/>
      </c>
      <c r="D533" s="4" t="str">
        <f t="shared" si="66"/>
        <v/>
      </c>
      <c r="E533" s="5" t="str">
        <f t="shared" si="67"/>
        <v/>
      </c>
      <c r="F533" s="6" t="str">
        <f t="shared" si="68"/>
        <v/>
      </c>
      <c r="G533" s="7" t="str">
        <f t="shared" si="69"/>
        <v/>
      </c>
      <c r="H533" s="7" t="str">
        <f t="shared" si="70"/>
        <v/>
      </c>
      <c r="I533" s="8" t="str">
        <f t="shared" si="71"/>
        <v/>
      </c>
      <c r="L533" t="str">
        <f>IFERROR(MATCH($C$5&amp;"|"&amp;RIGHT("000000"&amp;517,6),LdgRankKeyA,0),"")</f>
        <v/>
      </c>
      <c r="M533" t="str">
        <f>IFERROR(MATCH($C$5&amp;"|"&amp;RIGHT("000000"&amp;517,6),LdgRankKeyB,0),"")</f>
        <v/>
      </c>
    </row>
    <row r="534" spans="1:13" x14ac:dyDescent="0.2">
      <c r="A534" s="9">
        <v>518</v>
      </c>
      <c r="B534" s="10" t="str">
        <f t="shared" si="64"/>
        <v/>
      </c>
      <c r="C534" s="10" t="str">
        <f t="shared" si="65"/>
        <v/>
      </c>
      <c r="D534" s="10" t="str">
        <f t="shared" si="66"/>
        <v/>
      </c>
      <c r="E534" s="11" t="str">
        <f t="shared" si="67"/>
        <v/>
      </c>
      <c r="F534" s="12" t="str">
        <f t="shared" si="68"/>
        <v/>
      </c>
      <c r="G534" s="13" t="str">
        <f t="shared" si="69"/>
        <v/>
      </c>
      <c r="H534" s="13" t="str">
        <f t="shared" si="70"/>
        <v/>
      </c>
      <c r="I534" s="14" t="str">
        <f t="shared" si="71"/>
        <v/>
      </c>
      <c r="L534" t="str">
        <f>IFERROR(MATCH($C$5&amp;"|"&amp;RIGHT("000000"&amp;518,6),LdgRankKeyA,0),"")</f>
        <v/>
      </c>
      <c r="M534" t="str">
        <f>IFERROR(MATCH($C$5&amp;"|"&amp;RIGHT("000000"&amp;518,6),LdgRankKeyB,0),"")</f>
        <v/>
      </c>
    </row>
    <row r="535" spans="1:13" x14ac:dyDescent="0.2">
      <c r="A535" s="3">
        <v>519</v>
      </c>
      <c r="B535" s="4" t="str">
        <f t="shared" si="64"/>
        <v/>
      </c>
      <c r="C535" s="4" t="str">
        <f t="shared" si="65"/>
        <v/>
      </c>
      <c r="D535" s="4" t="str">
        <f t="shared" si="66"/>
        <v/>
      </c>
      <c r="E535" s="5" t="str">
        <f t="shared" si="67"/>
        <v/>
      </c>
      <c r="F535" s="6" t="str">
        <f t="shared" si="68"/>
        <v/>
      </c>
      <c r="G535" s="7" t="str">
        <f t="shared" si="69"/>
        <v/>
      </c>
      <c r="H535" s="7" t="str">
        <f t="shared" si="70"/>
        <v/>
      </c>
      <c r="I535" s="8" t="str">
        <f t="shared" si="71"/>
        <v/>
      </c>
      <c r="L535" t="str">
        <f>IFERROR(MATCH($C$5&amp;"|"&amp;RIGHT("000000"&amp;519,6),LdgRankKeyA,0),"")</f>
        <v/>
      </c>
      <c r="M535" t="str">
        <f>IFERROR(MATCH($C$5&amp;"|"&amp;RIGHT("000000"&amp;519,6),LdgRankKeyB,0),"")</f>
        <v/>
      </c>
    </row>
    <row r="536" spans="1:13" x14ac:dyDescent="0.2">
      <c r="A536" s="9">
        <v>520</v>
      </c>
      <c r="B536" s="10" t="str">
        <f t="shared" si="64"/>
        <v/>
      </c>
      <c r="C536" s="10" t="str">
        <f t="shared" si="65"/>
        <v/>
      </c>
      <c r="D536" s="10" t="str">
        <f t="shared" si="66"/>
        <v/>
      </c>
      <c r="E536" s="11" t="str">
        <f t="shared" si="67"/>
        <v/>
      </c>
      <c r="F536" s="12" t="str">
        <f t="shared" si="68"/>
        <v/>
      </c>
      <c r="G536" s="13" t="str">
        <f t="shared" si="69"/>
        <v/>
      </c>
      <c r="H536" s="13" t="str">
        <f t="shared" si="70"/>
        <v/>
      </c>
      <c r="I536" s="14" t="str">
        <f t="shared" si="71"/>
        <v/>
      </c>
      <c r="L536" t="str">
        <f>IFERROR(MATCH($C$5&amp;"|"&amp;RIGHT("000000"&amp;520,6),LdgRankKeyA,0),"")</f>
        <v/>
      </c>
      <c r="M536" t="str">
        <f>IFERROR(MATCH($C$5&amp;"|"&amp;RIGHT("000000"&amp;520,6),LdgRankKeyB,0),"")</f>
        <v/>
      </c>
    </row>
    <row r="537" spans="1:13" x14ac:dyDescent="0.2">
      <c r="A537" s="3">
        <v>521</v>
      </c>
      <c r="B537" s="4" t="str">
        <f t="shared" si="64"/>
        <v/>
      </c>
      <c r="C537" s="4" t="str">
        <f t="shared" si="65"/>
        <v/>
      </c>
      <c r="D537" s="4" t="str">
        <f t="shared" si="66"/>
        <v/>
      </c>
      <c r="E537" s="5" t="str">
        <f t="shared" si="67"/>
        <v/>
      </c>
      <c r="F537" s="6" t="str">
        <f t="shared" si="68"/>
        <v/>
      </c>
      <c r="G537" s="7" t="str">
        <f t="shared" si="69"/>
        <v/>
      </c>
      <c r="H537" s="7" t="str">
        <f t="shared" si="70"/>
        <v/>
      </c>
      <c r="I537" s="8" t="str">
        <f t="shared" si="71"/>
        <v/>
      </c>
      <c r="L537" t="str">
        <f>IFERROR(MATCH($C$5&amp;"|"&amp;RIGHT("000000"&amp;521,6),LdgRankKeyA,0),"")</f>
        <v/>
      </c>
      <c r="M537" t="str">
        <f>IFERROR(MATCH($C$5&amp;"|"&amp;RIGHT("000000"&amp;521,6),LdgRankKeyB,0),"")</f>
        <v/>
      </c>
    </row>
    <row r="538" spans="1:13" x14ac:dyDescent="0.2">
      <c r="A538" s="9">
        <v>522</v>
      </c>
      <c r="B538" s="10" t="str">
        <f t="shared" si="64"/>
        <v/>
      </c>
      <c r="C538" s="10" t="str">
        <f t="shared" si="65"/>
        <v/>
      </c>
      <c r="D538" s="10" t="str">
        <f t="shared" si="66"/>
        <v/>
      </c>
      <c r="E538" s="11" t="str">
        <f t="shared" si="67"/>
        <v/>
      </c>
      <c r="F538" s="12" t="str">
        <f t="shared" si="68"/>
        <v/>
      </c>
      <c r="G538" s="13" t="str">
        <f t="shared" si="69"/>
        <v/>
      </c>
      <c r="H538" s="13" t="str">
        <f t="shared" si="70"/>
        <v/>
      </c>
      <c r="I538" s="14" t="str">
        <f t="shared" si="71"/>
        <v/>
      </c>
      <c r="L538" t="str">
        <f>IFERROR(MATCH($C$5&amp;"|"&amp;RIGHT("000000"&amp;522,6),LdgRankKeyA,0),"")</f>
        <v/>
      </c>
      <c r="M538" t="str">
        <f>IFERROR(MATCH($C$5&amp;"|"&amp;RIGHT("000000"&amp;522,6),LdgRankKeyB,0),"")</f>
        <v/>
      </c>
    </row>
    <row r="539" spans="1:13" x14ac:dyDescent="0.2">
      <c r="A539" s="3">
        <v>523</v>
      </c>
      <c r="B539" s="4" t="str">
        <f t="shared" si="64"/>
        <v/>
      </c>
      <c r="C539" s="4" t="str">
        <f t="shared" si="65"/>
        <v/>
      </c>
      <c r="D539" s="4" t="str">
        <f t="shared" si="66"/>
        <v/>
      </c>
      <c r="E539" s="5" t="str">
        <f t="shared" si="67"/>
        <v/>
      </c>
      <c r="F539" s="6" t="str">
        <f t="shared" si="68"/>
        <v/>
      </c>
      <c r="G539" s="7" t="str">
        <f t="shared" si="69"/>
        <v/>
      </c>
      <c r="H539" s="7" t="str">
        <f t="shared" si="70"/>
        <v/>
      </c>
      <c r="I539" s="8" t="str">
        <f t="shared" si="71"/>
        <v/>
      </c>
      <c r="L539" t="str">
        <f>IFERROR(MATCH($C$5&amp;"|"&amp;RIGHT("000000"&amp;523,6),LdgRankKeyA,0),"")</f>
        <v/>
      </c>
      <c r="M539" t="str">
        <f>IFERROR(MATCH($C$5&amp;"|"&amp;RIGHT("000000"&amp;523,6),LdgRankKeyB,0),"")</f>
        <v/>
      </c>
    </row>
    <row r="540" spans="1:13" x14ac:dyDescent="0.2">
      <c r="A540" s="9">
        <v>524</v>
      </c>
      <c r="B540" s="10" t="str">
        <f t="shared" si="64"/>
        <v/>
      </c>
      <c r="C540" s="10" t="str">
        <f t="shared" si="65"/>
        <v/>
      </c>
      <c r="D540" s="10" t="str">
        <f t="shared" si="66"/>
        <v/>
      </c>
      <c r="E540" s="11" t="str">
        <f t="shared" si="67"/>
        <v/>
      </c>
      <c r="F540" s="12" t="str">
        <f t="shared" si="68"/>
        <v/>
      </c>
      <c r="G540" s="13" t="str">
        <f t="shared" si="69"/>
        <v/>
      </c>
      <c r="H540" s="13" t="str">
        <f t="shared" si="70"/>
        <v/>
      </c>
      <c r="I540" s="14" t="str">
        <f t="shared" si="71"/>
        <v/>
      </c>
      <c r="L540" t="str">
        <f>IFERROR(MATCH($C$5&amp;"|"&amp;RIGHT("000000"&amp;524,6),LdgRankKeyA,0),"")</f>
        <v/>
      </c>
      <c r="M540" t="str">
        <f>IFERROR(MATCH($C$5&amp;"|"&amp;RIGHT("000000"&amp;524,6),LdgRankKeyB,0),"")</f>
        <v/>
      </c>
    </row>
    <row r="541" spans="1:13" x14ac:dyDescent="0.2">
      <c r="A541" s="3">
        <v>525</v>
      </c>
      <c r="B541" s="4" t="str">
        <f t="shared" si="64"/>
        <v/>
      </c>
      <c r="C541" s="4" t="str">
        <f t="shared" si="65"/>
        <v/>
      </c>
      <c r="D541" s="4" t="str">
        <f t="shared" si="66"/>
        <v/>
      </c>
      <c r="E541" s="5" t="str">
        <f t="shared" si="67"/>
        <v/>
      </c>
      <c r="F541" s="6" t="str">
        <f t="shared" si="68"/>
        <v/>
      </c>
      <c r="G541" s="7" t="str">
        <f t="shared" si="69"/>
        <v/>
      </c>
      <c r="H541" s="7" t="str">
        <f t="shared" si="70"/>
        <v/>
      </c>
      <c r="I541" s="8" t="str">
        <f t="shared" si="71"/>
        <v/>
      </c>
      <c r="L541" t="str">
        <f>IFERROR(MATCH($C$5&amp;"|"&amp;RIGHT("000000"&amp;525,6),LdgRankKeyA,0),"")</f>
        <v/>
      </c>
      <c r="M541" t="str">
        <f>IFERROR(MATCH($C$5&amp;"|"&amp;RIGHT("000000"&amp;525,6),LdgRankKeyB,0),"")</f>
        <v/>
      </c>
    </row>
    <row r="542" spans="1:13" x14ac:dyDescent="0.2">
      <c r="A542" s="9">
        <v>526</v>
      </c>
      <c r="B542" s="10" t="str">
        <f t="shared" si="64"/>
        <v/>
      </c>
      <c r="C542" s="10" t="str">
        <f t="shared" si="65"/>
        <v/>
      </c>
      <c r="D542" s="10" t="str">
        <f t="shared" si="66"/>
        <v/>
      </c>
      <c r="E542" s="11" t="str">
        <f t="shared" si="67"/>
        <v/>
      </c>
      <c r="F542" s="12" t="str">
        <f t="shared" si="68"/>
        <v/>
      </c>
      <c r="G542" s="13" t="str">
        <f t="shared" si="69"/>
        <v/>
      </c>
      <c r="H542" s="13" t="str">
        <f t="shared" si="70"/>
        <v/>
      </c>
      <c r="I542" s="14" t="str">
        <f t="shared" si="71"/>
        <v/>
      </c>
      <c r="L542" t="str">
        <f>IFERROR(MATCH($C$5&amp;"|"&amp;RIGHT("000000"&amp;526,6),LdgRankKeyA,0),"")</f>
        <v/>
      </c>
      <c r="M542" t="str">
        <f>IFERROR(MATCH($C$5&amp;"|"&amp;RIGHT("000000"&amp;526,6),LdgRankKeyB,0),"")</f>
        <v/>
      </c>
    </row>
    <row r="543" spans="1:13" x14ac:dyDescent="0.2">
      <c r="A543" s="3">
        <v>527</v>
      </c>
      <c r="B543" s="4" t="str">
        <f t="shared" si="64"/>
        <v/>
      </c>
      <c r="C543" s="4" t="str">
        <f t="shared" si="65"/>
        <v/>
      </c>
      <c r="D543" s="4" t="str">
        <f t="shared" si="66"/>
        <v/>
      </c>
      <c r="E543" s="5" t="str">
        <f t="shared" si="67"/>
        <v/>
      </c>
      <c r="F543" s="6" t="str">
        <f t="shared" si="68"/>
        <v/>
      </c>
      <c r="G543" s="7" t="str">
        <f t="shared" si="69"/>
        <v/>
      </c>
      <c r="H543" s="7" t="str">
        <f t="shared" si="70"/>
        <v/>
      </c>
      <c r="I543" s="8" t="str">
        <f t="shared" si="71"/>
        <v/>
      </c>
      <c r="L543" t="str">
        <f>IFERROR(MATCH($C$5&amp;"|"&amp;RIGHT("000000"&amp;527,6),LdgRankKeyA,0),"")</f>
        <v/>
      </c>
      <c r="M543" t="str">
        <f>IFERROR(MATCH($C$5&amp;"|"&amp;RIGHT("000000"&amp;527,6),LdgRankKeyB,0),"")</f>
        <v/>
      </c>
    </row>
    <row r="544" spans="1:13" x14ac:dyDescent="0.2">
      <c r="A544" s="9">
        <v>528</v>
      </c>
      <c r="B544" s="10" t="str">
        <f t="shared" si="64"/>
        <v/>
      </c>
      <c r="C544" s="10" t="str">
        <f t="shared" si="65"/>
        <v/>
      </c>
      <c r="D544" s="10" t="str">
        <f t="shared" si="66"/>
        <v/>
      </c>
      <c r="E544" s="11" t="str">
        <f t="shared" si="67"/>
        <v/>
      </c>
      <c r="F544" s="12" t="str">
        <f t="shared" si="68"/>
        <v/>
      </c>
      <c r="G544" s="13" t="str">
        <f t="shared" si="69"/>
        <v/>
      </c>
      <c r="H544" s="13" t="str">
        <f t="shared" si="70"/>
        <v/>
      </c>
      <c r="I544" s="14" t="str">
        <f t="shared" si="71"/>
        <v/>
      </c>
      <c r="L544" t="str">
        <f>IFERROR(MATCH($C$5&amp;"|"&amp;RIGHT("000000"&amp;528,6),LdgRankKeyA,0),"")</f>
        <v/>
      </c>
      <c r="M544" t="str">
        <f>IFERROR(MATCH($C$5&amp;"|"&amp;RIGHT("000000"&amp;528,6),LdgRankKeyB,0),"")</f>
        <v/>
      </c>
    </row>
    <row r="545" spans="1:13" x14ac:dyDescent="0.2">
      <c r="A545" s="3">
        <v>529</v>
      </c>
      <c r="B545" s="4" t="str">
        <f t="shared" si="64"/>
        <v/>
      </c>
      <c r="C545" s="4" t="str">
        <f t="shared" si="65"/>
        <v/>
      </c>
      <c r="D545" s="4" t="str">
        <f t="shared" si="66"/>
        <v/>
      </c>
      <c r="E545" s="5" t="str">
        <f t="shared" si="67"/>
        <v/>
      </c>
      <c r="F545" s="6" t="str">
        <f t="shared" si="68"/>
        <v/>
      </c>
      <c r="G545" s="7" t="str">
        <f t="shared" si="69"/>
        <v/>
      </c>
      <c r="H545" s="7" t="str">
        <f t="shared" si="70"/>
        <v/>
      </c>
      <c r="I545" s="8" t="str">
        <f t="shared" si="71"/>
        <v/>
      </c>
      <c r="L545" t="str">
        <f>IFERROR(MATCH($C$5&amp;"|"&amp;RIGHT("000000"&amp;529,6),LdgRankKeyA,0),"")</f>
        <v/>
      </c>
      <c r="M545" t="str">
        <f>IFERROR(MATCH($C$5&amp;"|"&amp;RIGHT("000000"&amp;529,6),LdgRankKeyB,0),"")</f>
        <v/>
      </c>
    </row>
    <row r="546" spans="1:13" x14ac:dyDescent="0.2">
      <c r="A546" s="9">
        <v>530</v>
      </c>
      <c r="B546" s="10" t="str">
        <f t="shared" si="64"/>
        <v/>
      </c>
      <c r="C546" s="10" t="str">
        <f t="shared" si="65"/>
        <v/>
      </c>
      <c r="D546" s="10" t="str">
        <f t="shared" si="66"/>
        <v/>
      </c>
      <c r="E546" s="11" t="str">
        <f t="shared" si="67"/>
        <v/>
      </c>
      <c r="F546" s="12" t="str">
        <f t="shared" si="68"/>
        <v/>
      </c>
      <c r="G546" s="13" t="str">
        <f t="shared" si="69"/>
        <v/>
      </c>
      <c r="H546" s="13" t="str">
        <f t="shared" si="70"/>
        <v/>
      </c>
      <c r="I546" s="14" t="str">
        <f t="shared" si="71"/>
        <v/>
      </c>
      <c r="L546" t="str">
        <f>IFERROR(MATCH($C$5&amp;"|"&amp;RIGHT("000000"&amp;530,6),LdgRankKeyA,0),"")</f>
        <v/>
      </c>
      <c r="M546" t="str">
        <f>IFERROR(MATCH($C$5&amp;"|"&amp;RIGHT("000000"&amp;530,6),LdgRankKeyB,0),"")</f>
        <v/>
      </c>
    </row>
    <row r="547" spans="1:13" x14ac:dyDescent="0.2">
      <c r="A547" s="3">
        <v>531</v>
      </c>
      <c r="B547" s="4" t="str">
        <f t="shared" si="64"/>
        <v/>
      </c>
      <c r="C547" s="4" t="str">
        <f t="shared" si="65"/>
        <v/>
      </c>
      <c r="D547" s="4" t="str">
        <f t="shared" si="66"/>
        <v/>
      </c>
      <c r="E547" s="5" t="str">
        <f t="shared" si="67"/>
        <v/>
      </c>
      <c r="F547" s="6" t="str">
        <f t="shared" si="68"/>
        <v/>
      </c>
      <c r="G547" s="7" t="str">
        <f t="shared" si="69"/>
        <v/>
      </c>
      <c r="H547" s="7" t="str">
        <f t="shared" si="70"/>
        <v/>
      </c>
      <c r="I547" s="8" t="str">
        <f t="shared" si="71"/>
        <v/>
      </c>
      <c r="L547" t="str">
        <f>IFERROR(MATCH($C$5&amp;"|"&amp;RIGHT("000000"&amp;531,6),LdgRankKeyA,0),"")</f>
        <v/>
      </c>
      <c r="M547" t="str">
        <f>IFERROR(MATCH($C$5&amp;"|"&amp;RIGHT("000000"&amp;531,6),LdgRankKeyB,0),"")</f>
        <v/>
      </c>
    </row>
    <row r="548" spans="1:13" x14ac:dyDescent="0.2">
      <c r="A548" s="9">
        <v>532</v>
      </c>
      <c r="B548" s="10" t="str">
        <f t="shared" si="64"/>
        <v/>
      </c>
      <c r="C548" s="10" t="str">
        <f t="shared" si="65"/>
        <v/>
      </c>
      <c r="D548" s="10" t="str">
        <f t="shared" si="66"/>
        <v/>
      </c>
      <c r="E548" s="11" t="str">
        <f t="shared" si="67"/>
        <v/>
      </c>
      <c r="F548" s="12" t="str">
        <f t="shared" si="68"/>
        <v/>
      </c>
      <c r="G548" s="13" t="str">
        <f t="shared" si="69"/>
        <v/>
      </c>
      <c r="H548" s="13" t="str">
        <f t="shared" si="70"/>
        <v/>
      </c>
      <c r="I548" s="14" t="str">
        <f t="shared" si="71"/>
        <v/>
      </c>
      <c r="L548" t="str">
        <f>IFERROR(MATCH($C$5&amp;"|"&amp;RIGHT("000000"&amp;532,6),LdgRankKeyA,0),"")</f>
        <v/>
      </c>
      <c r="M548" t="str">
        <f>IFERROR(MATCH($C$5&amp;"|"&amp;RIGHT("000000"&amp;532,6),LdgRankKeyB,0),"")</f>
        <v/>
      </c>
    </row>
    <row r="549" spans="1:13" x14ac:dyDescent="0.2">
      <c r="A549" s="3">
        <v>533</v>
      </c>
      <c r="B549" s="4" t="str">
        <f t="shared" si="64"/>
        <v/>
      </c>
      <c r="C549" s="4" t="str">
        <f t="shared" si="65"/>
        <v/>
      </c>
      <c r="D549" s="4" t="str">
        <f t="shared" si="66"/>
        <v/>
      </c>
      <c r="E549" s="5" t="str">
        <f t="shared" si="67"/>
        <v/>
      </c>
      <c r="F549" s="6" t="str">
        <f t="shared" si="68"/>
        <v/>
      </c>
      <c r="G549" s="7" t="str">
        <f t="shared" si="69"/>
        <v/>
      </c>
      <c r="H549" s="7" t="str">
        <f t="shared" si="70"/>
        <v/>
      </c>
      <c r="I549" s="8" t="str">
        <f t="shared" si="71"/>
        <v/>
      </c>
      <c r="L549" t="str">
        <f>IFERROR(MATCH($C$5&amp;"|"&amp;RIGHT("000000"&amp;533,6),LdgRankKeyA,0),"")</f>
        <v/>
      </c>
      <c r="M549" t="str">
        <f>IFERROR(MATCH($C$5&amp;"|"&amp;RIGHT("000000"&amp;533,6),LdgRankKeyB,0),"")</f>
        <v/>
      </c>
    </row>
    <row r="550" spans="1:13" x14ac:dyDescent="0.2">
      <c r="A550" s="9">
        <v>534</v>
      </c>
      <c r="B550" s="10" t="str">
        <f t="shared" si="64"/>
        <v/>
      </c>
      <c r="C550" s="10" t="str">
        <f t="shared" si="65"/>
        <v/>
      </c>
      <c r="D550" s="10" t="str">
        <f t="shared" si="66"/>
        <v/>
      </c>
      <c r="E550" s="11" t="str">
        <f t="shared" si="67"/>
        <v/>
      </c>
      <c r="F550" s="12" t="str">
        <f t="shared" si="68"/>
        <v/>
      </c>
      <c r="G550" s="13" t="str">
        <f t="shared" si="69"/>
        <v/>
      </c>
      <c r="H550" s="13" t="str">
        <f t="shared" si="70"/>
        <v/>
      </c>
      <c r="I550" s="14" t="str">
        <f t="shared" si="71"/>
        <v/>
      </c>
      <c r="L550" t="str">
        <f>IFERROR(MATCH($C$5&amp;"|"&amp;RIGHT("000000"&amp;534,6),LdgRankKeyA,0),"")</f>
        <v/>
      </c>
      <c r="M550" t="str">
        <f>IFERROR(MATCH($C$5&amp;"|"&amp;RIGHT("000000"&amp;534,6),LdgRankKeyB,0),"")</f>
        <v/>
      </c>
    </row>
    <row r="551" spans="1:13" x14ac:dyDescent="0.2">
      <c r="A551" s="3">
        <v>535</v>
      </c>
      <c r="B551" s="4" t="str">
        <f t="shared" si="64"/>
        <v/>
      </c>
      <c r="C551" s="4" t="str">
        <f t="shared" si="65"/>
        <v/>
      </c>
      <c r="D551" s="4" t="str">
        <f t="shared" si="66"/>
        <v/>
      </c>
      <c r="E551" s="5" t="str">
        <f t="shared" si="67"/>
        <v/>
      </c>
      <c r="F551" s="6" t="str">
        <f t="shared" si="68"/>
        <v/>
      </c>
      <c r="G551" s="7" t="str">
        <f t="shared" si="69"/>
        <v/>
      </c>
      <c r="H551" s="7" t="str">
        <f t="shared" si="70"/>
        <v/>
      </c>
      <c r="I551" s="8" t="str">
        <f t="shared" si="71"/>
        <v/>
      </c>
      <c r="L551" t="str">
        <f>IFERROR(MATCH($C$5&amp;"|"&amp;RIGHT("000000"&amp;535,6),LdgRankKeyA,0),"")</f>
        <v/>
      </c>
      <c r="M551" t="str">
        <f>IFERROR(MATCH($C$5&amp;"|"&amp;RIGHT("000000"&amp;535,6),LdgRankKeyB,0),"")</f>
        <v/>
      </c>
    </row>
    <row r="552" spans="1:13" x14ac:dyDescent="0.2">
      <c r="A552" s="9">
        <v>536</v>
      </c>
      <c r="B552" s="10" t="str">
        <f t="shared" si="64"/>
        <v/>
      </c>
      <c r="C552" s="10" t="str">
        <f t="shared" si="65"/>
        <v/>
      </c>
      <c r="D552" s="10" t="str">
        <f t="shared" si="66"/>
        <v/>
      </c>
      <c r="E552" s="11" t="str">
        <f t="shared" si="67"/>
        <v/>
      </c>
      <c r="F552" s="12" t="str">
        <f t="shared" si="68"/>
        <v/>
      </c>
      <c r="G552" s="13" t="str">
        <f t="shared" si="69"/>
        <v/>
      </c>
      <c r="H552" s="13" t="str">
        <f t="shared" si="70"/>
        <v/>
      </c>
      <c r="I552" s="14" t="str">
        <f t="shared" si="71"/>
        <v/>
      </c>
      <c r="L552" t="str">
        <f>IFERROR(MATCH($C$5&amp;"|"&amp;RIGHT("000000"&amp;536,6),LdgRankKeyA,0),"")</f>
        <v/>
      </c>
      <c r="M552" t="str">
        <f>IFERROR(MATCH($C$5&amp;"|"&amp;RIGHT("000000"&amp;536,6),LdgRankKeyB,0),"")</f>
        <v/>
      </c>
    </row>
    <row r="553" spans="1:13" x14ac:dyDescent="0.2">
      <c r="A553" s="3">
        <v>537</v>
      </c>
      <c r="B553" s="4" t="str">
        <f t="shared" si="64"/>
        <v/>
      </c>
      <c r="C553" s="4" t="str">
        <f t="shared" si="65"/>
        <v/>
      </c>
      <c r="D553" s="4" t="str">
        <f t="shared" si="66"/>
        <v/>
      </c>
      <c r="E553" s="5" t="str">
        <f t="shared" si="67"/>
        <v/>
      </c>
      <c r="F553" s="6" t="str">
        <f t="shared" si="68"/>
        <v/>
      </c>
      <c r="G553" s="7" t="str">
        <f t="shared" si="69"/>
        <v/>
      </c>
      <c r="H553" s="7" t="str">
        <f t="shared" si="70"/>
        <v/>
      </c>
      <c r="I553" s="8" t="str">
        <f t="shared" si="71"/>
        <v/>
      </c>
      <c r="L553" t="str">
        <f>IFERROR(MATCH($C$5&amp;"|"&amp;RIGHT("000000"&amp;537,6),LdgRankKeyA,0),"")</f>
        <v/>
      </c>
      <c r="M553" t="str">
        <f>IFERROR(MATCH($C$5&amp;"|"&amp;RIGHT("000000"&amp;537,6),LdgRankKeyB,0),"")</f>
        <v/>
      </c>
    </row>
    <row r="554" spans="1:13" x14ac:dyDescent="0.2">
      <c r="A554" s="9">
        <v>538</v>
      </c>
      <c r="B554" s="10" t="str">
        <f t="shared" si="64"/>
        <v/>
      </c>
      <c r="C554" s="10" t="str">
        <f t="shared" si="65"/>
        <v/>
      </c>
      <c r="D554" s="10" t="str">
        <f t="shared" si="66"/>
        <v/>
      </c>
      <c r="E554" s="11" t="str">
        <f t="shared" si="67"/>
        <v/>
      </c>
      <c r="F554" s="12" t="str">
        <f t="shared" si="68"/>
        <v/>
      </c>
      <c r="G554" s="13" t="str">
        <f t="shared" si="69"/>
        <v/>
      </c>
      <c r="H554" s="13" t="str">
        <f t="shared" si="70"/>
        <v/>
      </c>
      <c r="I554" s="14" t="str">
        <f t="shared" si="71"/>
        <v/>
      </c>
      <c r="L554" t="str">
        <f>IFERROR(MATCH($C$5&amp;"|"&amp;RIGHT("000000"&amp;538,6),LdgRankKeyA,0),"")</f>
        <v/>
      </c>
      <c r="M554" t="str">
        <f>IFERROR(MATCH($C$5&amp;"|"&amp;RIGHT("000000"&amp;538,6),LdgRankKeyB,0),"")</f>
        <v/>
      </c>
    </row>
    <row r="555" spans="1:13" x14ac:dyDescent="0.2">
      <c r="A555" s="3">
        <v>539</v>
      </c>
      <c r="B555" s="4" t="str">
        <f t="shared" si="64"/>
        <v/>
      </c>
      <c r="C555" s="4" t="str">
        <f t="shared" si="65"/>
        <v/>
      </c>
      <c r="D555" s="4" t="str">
        <f t="shared" si="66"/>
        <v/>
      </c>
      <c r="E555" s="5" t="str">
        <f t="shared" si="67"/>
        <v/>
      </c>
      <c r="F555" s="6" t="str">
        <f t="shared" si="68"/>
        <v/>
      </c>
      <c r="G555" s="7" t="str">
        <f t="shared" si="69"/>
        <v/>
      </c>
      <c r="H555" s="7" t="str">
        <f t="shared" si="70"/>
        <v/>
      </c>
      <c r="I555" s="8" t="str">
        <f t="shared" si="71"/>
        <v/>
      </c>
      <c r="L555" t="str">
        <f>IFERROR(MATCH($C$5&amp;"|"&amp;RIGHT("000000"&amp;539,6),LdgRankKeyA,0),"")</f>
        <v/>
      </c>
      <c r="M555" t="str">
        <f>IFERROR(MATCH($C$5&amp;"|"&amp;RIGHT("000000"&amp;539,6),LdgRankKeyB,0),"")</f>
        <v/>
      </c>
    </row>
    <row r="556" spans="1:13" x14ac:dyDescent="0.2">
      <c r="A556" s="9">
        <v>540</v>
      </c>
      <c r="B556" s="10" t="str">
        <f t="shared" si="64"/>
        <v/>
      </c>
      <c r="C556" s="10" t="str">
        <f t="shared" si="65"/>
        <v/>
      </c>
      <c r="D556" s="10" t="str">
        <f t="shared" si="66"/>
        <v/>
      </c>
      <c r="E556" s="11" t="str">
        <f t="shared" si="67"/>
        <v/>
      </c>
      <c r="F556" s="12" t="str">
        <f t="shared" si="68"/>
        <v/>
      </c>
      <c r="G556" s="13" t="str">
        <f t="shared" si="69"/>
        <v/>
      </c>
      <c r="H556" s="13" t="str">
        <f t="shared" si="70"/>
        <v/>
      </c>
      <c r="I556" s="14" t="str">
        <f t="shared" si="71"/>
        <v/>
      </c>
      <c r="L556" t="str">
        <f>IFERROR(MATCH($C$5&amp;"|"&amp;RIGHT("000000"&amp;540,6),LdgRankKeyA,0),"")</f>
        <v/>
      </c>
      <c r="M556" t="str">
        <f>IFERROR(MATCH($C$5&amp;"|"&amp;RIGHT("000000"&amp;540,6),LdgRankKeyB,0),"")</f>
        <v/>
      </c>
    </row>
    <row r="557" spans="1:13" x14ac:dyDescent="0.2">
      <c r="A557" s="3">
        <v>541</v>
      </c>
      <c r="B557" s="4" t="str">
        <f t="shared" si="64"/>
        <v/>
      </c>
      <c r="C557" s="4" t="str">
        <f t="shared" si="65"/>
        <v/>
      </c>
      <c r="D557" s="4" t="str">
        <f t="shared" si="66"/>
        <v/>
      </c>
      <c r="E557" s="5" t="str">
        <f t="shared" si="67"/>
        <v/>
      </c>
      <c r="F557" s="6" t="str">
        <f t="shared" si="68"/>
        <v/>
      </c>
      <c r="G557" s="7" t="str">
        <f t="shared" si="69"/>
        <v/>
      </c>
      <c r="H557" s="7" t="str">
        <f t="shared" si="70"/>
        <v/>
      </c>
      <c r="I557" s="8" t="str">
        <f t="shared" si="71"/>
        <v/>
      </c>
      <c r="L557" t="str">
        <f>IFERROR(MATCH($C$5&amp;"|"&amp;RIGHT("000000"&amp;541,6),LdgRankKeyA,0),"")</f>
        <v/>
      </c>
      <c r="M557" t="str">
        <f>IFERROR(MATCH($C$5&amp;"|"&amp;RIGHT("000000"&amp;541,6),LdgRankKeyB,0),"")</f>
        <v/>
      </c>
    </row>
    <row r="558" spans="1:13" x14ac:dyDescent="0.2">
      <c r="A558" s="9">
        <v>542</v>
      </c>
      <c r="B558" s="10" t="str">
        <f t="shared" si="64"/>
        <v/>
      </c>
      <c r="C558" s="10" t="str">
        <f t="shared" si="65"/>
        <v/>
      </c>
      <c r="D558" s="10" t="str">
        <f t="shared" si="66"/>
        <v/>
      </c>
      <c r="E558" s="11" t="str">
        <f t="shared" si="67"/>
        <v/>
      </c>
      <c r="F558" s="12" t="str">
        <f t="shared" si="68"/>
        <v/>
      </c>
      <c r="G558" s="13" t="str">
        <f t="shared" si="69"/>
        <v/>
      </c>
      <c r="H558" s="13" t="str">
        <f t="shared" si="70"/>
        <v/>
      </c>
      <c r="I558" s="14" t="str">
        <f t="shared" si="71"/>
        <v/>
      </c>
      <c r="L558" t="str">
        <f>IFERROR(MATCH($C$5&amp;"|"&amp;RIGHT("000000"&amp;542,6),LdgRankKeyA,0),"")</f>
        <v/>
      </c>
      <c r="M558" t="str">
        <f>IFERROR(MATCH($C$5&amp;"|"&amp;RIGHT("000000"&amp;542,6),LdgRankKeyB,0),"")</f>
        <v/>
      </c>
    </row>
    <row r="559" spans="1:13" x14ac:dyDescent="0.2">
      <c r="A559" s="3">
        <v>543</v>
      </c>
      <c r="B559" s="4" t="str">
        <f t="shared" si="64"/>
        <v/>
      </c>
      <c r="C559" s="4" t="str">
        <f t="shared" si="65"/>
        <v/>
      </c>
      <c r="D559" s="4" t="str">
        <f t="shared" si="66"/>
        <v/>
      </c>
      <c r="E559" s="5" t="str">
        <f t="shared" si="67"/>
        <v/>
      </c>
      <c r="F559" s="6" t="str">
        <f t="shared" si="68"/>
        <v/>
      </c>
      <c r="G559" s="7" t="str">
        <f t="shared" si="69"/>
        <v/>
      </c>
      <c r="H559" s="7" t="str">
        <f t="shared" si="70"/>
        <v/>
      </c>
      <c r="I559" s="8" t="str">
        <f t="shared" si="71"/>
        <v/>
      </c>
      <c r="L559" t="str">
        <f>IFERROR(MATCH($C$5&amp;"|"&amp;RIGHT("000000"&amp;543,6),LdgRankKeyA,0),"")</f>
        <v/>
      </c>
      <c r="M559" t="str">
        <f>IFERROR(MATCH($C$5&amp;"|"&amp;RIGHT("000000"&amp;543,6),LdgRankKeyB,0),"")</f>
        <v/>
      </c>
    </row>
    <row r="560" spans="1:13" x14ac:dyDescent="0.2">
      <c r="A560" s="9">
        <v>544</v>
      </c>
      <c r="B560" s="10" t="str">
        <f t="shared" si="64"/>
        <v/>
      </c>
      <c r="C560" s="10" t="str">
        <f t="shared" si="65"/>
        <v/>
      </c>
      <c r="D560" s="10" t="str">
        <f t="shared" si="66"/>
        <v/>
      </c>
      <c r="E560" s="11" t="str">
        <f t="shared" si="67"/>
        <v/>
      </c>
      <c r="F560" s="12" t="str">
        <f t="shared" si="68"/>
        <v/>
      </c>
      <c r="G560" s="13" t="str">
        <f t="shared" si="69"/>
        <v/>
      </c>
      <c r="H560" s="13" t="str">
        <f t="shared" si="70"/>
        <v/>
      </c>
      <c r="I560" s="14" t="str">
        <f t="shared" si="71"/>
        <v/>
      </c>
      <c r="L560" t="str">
        <f>IFERROR(MATCH($C$5&amp;"|"&amp;RIGHT("000000"&amp;544,6),LdgRankKeyA,0),"")</f>
        <v/>
      </c>
      <c r="M560" t="str">
        <f>IFERROR(MATCH($C$5&amp;"|"&amp;RIGHT("000000"&amp;544,6),LdgRankKeyB,0),"")</f>
        <v/>
      </c>
    </row>
    <row r="561" spans="1:13" x14ac:dyDescent="0.2">
      <c r="A561" s="3">
        <v>545</v>
      </c>
      <c r="B561" s="4" t="str">
        <f t="shared" si="64"/>
        <v/>
      </c>
      <c r="C561" s="4" t="str">
        <f t="shared" si="65"/>
        <v/>
      </c>
      <c r="D561" s="4" t="str">
        <f t="shared" si="66"/>
        <v/>
      </c>
      <c r="E561" s="5" t="str">
        <f t="shared" si="67"/>
        <v/>
      </c>
      <c r="F561" s="6" t="str">
        <f t="shared" si="68"/>
        <v/>
      </c>
      <c r="G561" s="7" t="str">
        <f t="shared" si="69"/>
        <v/>
      </c>
      <c r="H561" s="7" t="str">
        <f t="shared" si="70"/>
        <v/>
      </c>
      <c r="I561" s="8" t="str">
        <f t="shared" si="71"/>
        <v/>
      </c>
      <c r="L561" t="str">
        <f>IFERROR(MATCH($C$5&amp;"|"&amp;RIGHT("000000"&amp;545,6),LdgRankKeyA,0),"")</f>
        <v/>
      </c>
      <c r="M561" t="str">
        <f>IFERROR(MATCH($C$5&amp;"|"&amp;RIGHT("000000"&amp;545,6),LdgRankKeyB,0),"")</f>
        <v/>
      </c>
    </row>
    <row r="562" spans="1:13" x14ac:dyDescent="0.2">
      <c r="A562" s="9">
        <v>546</v>
      </c>
      <c r="B562" s="10" t="str">
        <f t="shared" si="64"/>
        <v/>
      </c>
      <c r="C562" s="10" t="str">
        <f t="shared" si="65"/>
        <v/>
      </c>
      <c r="D562" s="10" t="str">
        <f t="shared" si="66"/>
        <v/>
      </c>
      <c r="E562" s="11" t="str">
        <f t="shared" si="67"/>
        <v/>
      </c>
      <c r="F562" s="12" t="str">
        <f t="shared" si="68"/>
        <v/>
      </c>
      <c r="G562" s="13" t="str">
        <f t="shared" si="69"/>
        <v/>
      </c>
      <c r="H562" s="13" t="str">
        <f t="shared" si="70"/>
        <v/>
      </c>
      <c r="I562" s="14" t="str">
        <f t="shared" si="71"/>
        <v/>
      </c>
      <c r="L562" t="str">
        <f>IFERROR(MATCH($C$5&amp;"|"&amp;RIGHT("000000"&amp;546,6),LdgRankKeyA,0),"")</f>
        <v/>
      </c>
      <c r="M562" t="str">
        <f>IFERROR(MATCH($C$5&amp;"|"&amp;RIGHT("000000"&amp;546,6),LdgRankKeyB,0),"")</f>
        <v/>
      </c>
    </row>
    <row r="563" spans="1:13" x14ac:dyDescent="0.2">
      <c r="A563" s="3">
        <v>547</v>
      </c>
      <c r="B563" s="4" t="str">
        <f t="shared" si="64"/>
        <v/>
      </c>
      <c r="C563" s="4" t="str">
        <f t="shared" si="65"/>
        <v/>
      </c>
      <c r="D563" s="4" t="str">
        <f t="shared" si="66"/>
        <v/>
      </c>
      <c r="E563" s="5" t="str">
        <f t="shared" si="67"/>
        <v/>
      </c>
      <c r="F563" s="6" t="str">
        <f t="shared" si="68"/>
        <v/>
      </c>
      <c r="G563" s="7" t="str">
        <f t="shared" si="69"/>
        <v/>
      </c>
      <c r="H563" s="7" t="str">
        <f t="shared" si="70"/>
        <v/>
      </c>
      <c r="I563" s="8" t="str">
        <f t="shared" si="71"/>
        <v/>
      </c>
      <c r="L563" t="str">
        <f>IFERROR(MATCH($C$5&amp;"|"&amp;RIGHT("000000"&amp;547,6),LdgRankKeyA,0),"")</f>
        <v/>
      </c>
      <c r="M563" t="str">
        <f>IFERROR(MATCH($C$5&amp;"|"&amp;RIGHT("000000"&amp;547,6),LdgRankKeyB,0),"")</f>
        <v/>
      </c>
    </row>
    <row r="564" spans="1:13" x14ac:dyDescent="0.2">
      <c r="A564" s="9">
        <v>548</v>
      </c>
      <c r="B564" s="10" t="str">
        <f t="shared" si="64"/>
        <v/>
      </c>
      <c r="C564" s="10" t="str">
        <f t="shared" si="65"/>
        <v/>
      </c>
      <c r="D564" s="10" t="str">
        <f t="shared" si="66"/>
        <v/>
      </c>
      <c r="E564" s="11" t="str">
        <f t="shared" si="67"/>
        <v/>
      </c>
      <c r="F564" s="12" t="str">
        <f t="shared" si="68"/>
        <v/>
      </c>
      <c r="G564" s="13" t="str">
        <f t="shared" si="69"/>
        <v/>
      </c>
      <c r="H564" s="13" t="str">
        <f t="shared" si="70"/>
        <v/>
      </c>
      <c r="I564" s="14" t="str">
        <f t="shared" si="71"/>
        <v/>
      </c>
      <c r="L564" t="str">
        <f>IFERROR(MATCH($C$5&amp;"|"&amp;RIGHT("000000"&amp;548,6),LdgRankKeyA,0),"")</f>
        <v/>
      </c>
      <c r="M564" t="str">
        <f>IFERROR(MATCH($C$5&amp;"|"&amp;RIGHT("000000"&amp;548,6),LdgRankKeyB,0),"")</f>
        <v/>
      </c>
    </row>
    <row r="565" spans="1:13" x14ac:dyDescent="0.2">
      <c r="A565" s="3">
        <v>549</v>
      </c>
      <c r="B565" s="4" t="str">
        <f t="shared" si="64"/>
        <v/>
      </c>
      <c r="C565" s="4" t="str">
        <f t="shared" si="65"/>
        <v/>
      </c>
      <c r="D565" s="4" t="str">
        <f t="shared" si="66"/>
        <v/>
      </c>
      <c r="E565" s="5" t="str">
        <f t="shared" si="67"/>
        <v/>
      </c>
      <c r="F565" s="6" t="str">
        <f t="shared" si="68"/>
        <v/>
      </c>
      <c r="G565" s="7" t="str">
        <f t="shared" si="69"/>
        <v/>
      </c>
      <c r="H565" s="7" t="str">
        <f t="shared" si="70"/>
        <v/>
      </c>
      <c r="I565" s="8" t="str">
        <f t="shared" si="71"/>
        <v/>
      </c>
      <c r="L565" t="str">
        <f>IFERROR(MATCH($C$5&amp;"|"&amp;RIGHT("000000"&amp;549,6),LdgRankKeyA,0),"")</f>
        <v/>
      </c>
      <c r="M565" t="str">
        <f>IFERROR(MATCH($C$5&amp;"|"&amp;RIGHT("000000"&amp;549,6),LdgRankKeyB,0),"")</f>
        <v/>
      </c>
    </row>
    <row r="566" spans="1:13" x14ac:dyDescent="0.2">
      <c r="A566" s="9">
        <v>550</v>
      </c>
      <c r="B566" s="10" t="str">
        <f t="shared" si="64"/>
        <v/>
      </c>
      <c r="C566" s="10" t="str">
        <f t="shared" si="65"/>
        <v/>
      </c>
      <c r="D566" s="10" t="str">
        <f t="shared" si="66"/>
        <v/>
      </c>
      <c r="E566" s="11" t="str">
        <f t="shared" si="67"/>
        <v/>
      </c>
      <c r="F566" s="12" t="str">
        <f t="shared" si="68"/>
        <v/>
      </c>
      <c r="G566" s="13" t="str">
        <f t="shared" si="69"/>
        <v/>
      </c>
      <c r="H566" s="13" t="str">
        <f t="shared" si="70"/>
        <v/>
      </c>
      <c r="I566" s="14" t="str">
        <f t="shared" si="71"/>
        <v/>
      </c>
      <c r="L566" t="str">
        <f>IFERROR(MATCH($C$5&amp;"|"&amp;RIGHT("000000"&amp;550,6),LdgRankKeyA,0),"")</f>
        <v/>
      </c>
      <c r="M566" t="str">
        <f>IFERROR(MATCH($C$5&amp;"|"&amp;RIGHT("000000"&amp;550,6),LdgRankKeyB,0),"")</f>
        <v/>
      </c>
    </row>
    <row r="567" spans="1:13" x14ac:dyDescent="0.2">
      <c r="A567" s="3">
        <v>551</v>
      </c>
      <c r="B567" s="4" t="str">
        <f t="shared" si="64"/>
        <v/>
      </c>
      <c r="C567" s="4" t="str">
        <f t="shared" si="65"/>
        <v/>
      </c>
      <c r="D567" s="4" t="str">
        <f t="shared" si="66"/>
        <v/>
      </c>
      <c r="E567" s="5" t="str">
        <f t="shared" si="67"/>
        <v/>
      </c>
      <c r="F567" s="6" t="str">
        <f t="shared" si="68"/>
        <v/>
      </c>
      <c r="G567" s="7" t="str">
        <f t="shared" si="69"/>
        <v/>
      </c>
      <c r="H567" s="7" t="str">
        <f t="shared" si="70"/>
        <v/>
      </c>
      <c r="I567" s="8" t="str">
        <f t="shared" si="71"/>
        <v/>
      </c>
      <c r="L567" t="str">
        <f>IFERROR(MATCH($C$5&amp;"|"&amp;RIGHT("000000"&amp;551,6),LdgRankKeyA,0),"")</f>
        <v/>
      </c>
      <c r="M567" t="str">
        <f>IFERROR(MATCH($C$5&amp;"|"&amp;RIGHT("000000"&amp;551,6),LdgRankKeyB,0),"")</f>
        <v/>
      </c>
    </row>
    <row r="568" spans="1:13" x14ac:dyDescent="0.2">
      <c r="A568" s="9">
        <v>552</v>
      </c>
      <c r="B568" s="10" t="str">
        <f t="shared" si="64"/>
        <v/>
      </c>
      <c r="C568" s="10" t="str">
        <f t="shared" si="65"/>
        <v/>
      </c>
      <c r="D568" s="10" t="str">
        <f t="shared" si="66"/>
        <v/>
      </c>
      <c r="E568" s="11" t="str">
        <f t="shared" si="67"/>
        <v/>
      </c>
      <c r="F568" s="12" t="str">
        <f t="shared" si="68"/>
        <v/>
      </c>
      <c r="G568" s="13" t="str">
        <f t="shared" si="69"/>
        <v/>
      </c>
      <c r="H568" s="13" t="str">
        <f t="shared" si="70"/>
        <v/>
      </c>
      <c r="I568" s="14" t="str">
        <f t="shared" si="71"/>
        <v/>
      </c>
      <c r="L568" t="str">
        <f>IFERROR(MATCH($C$5&amp;"|"&amp;RIGHT("000000"&amp;552,6),LdgRankKeyA,0),"")</f>
        <v/>
      </c>
      <c r="M568" t="str">
        <f>IFERROR(MATCH($C$5&amp;"|"&amp;RIGHT("000000"&amp;552,6),LdgRankKeyB,0),"")</f>
        <v/>
      </c>
    </row>
    <row r="569" spans="1:13" x14ac:dyDescent="0.2">
      <c r="A569" s="3">
        <v>553</v>
      </c>
      <c r="B569" s="4" t="str">
        <f t="shared" si="64"/>
        <v/>
      </c>
      <c r="C569" s="4" t="str">
        <f t="shared" si="65"/>
        <v/>
      </c>
      <c r="D569" s="4" t="str">
        <f t="shared" si="66"/>
        <v/>
      </c>
      <c r="E569" s="5" t="str">
        <f t="shared" si="67"/>
        <v/>
      </c>
      <c r="F569" s="6" t="str">
        <f t="shared" si="68"/>
        <v/>
      </c>
      <c r="G569" s="7" t="str">
        <f t="shared" si="69"/>
        <v/>
      </c>
      <c r="H569" s="7" t="str">
        <f t="shared" si="70"/>
        <v/>
      </c>
      <c r="I569" s="8" t="str">
        <f t="shared" si="71"/>
        <v/>
      </c>
      <c r="L569" t="str">
        <f>IFERROR(MATCH($C$5&amp;"|"&amp;RIGHT("000000"&amp;553,6),LdgRankKeyA,0),"")</f>
        <v/>
      </c>
      <c r="M569" t="str">
        <f>IFERROR(MATCH($C$5&amp;"|"&amp;RIGHT("000000"&amp;553,6),LdgRankKeyB,0),"")</f>
        <v/>
      </c>
    </row>
    <row r="570" spans="1:13" x14ac:dyDescent="0.2">
      <c r="A570" s="9">
        <v>554</v>
      </c>
      <c r="B570" s="10" t="str">
        <f t="shared" si="64"/>
        <v/>
      </c>
      <c r="C570" s="10" t="str">
        <f t="shared" si="65"/>
        <v/>
      </c>
      <c r="D570" s="10" t="str">
        <f t="shared" si="66"/>
        <v/>
      </c>
      <c r="E570" s="11" t="str">
        <f t="shared" si="67"/>
        <v/>
      </c>
      <c r="F570" s="12" t="str">
        <f t="shared" si="68"/>
        <v/>
      </c>
      <c r="G570" s="13" t="str">
        <f t="shared" si="69"/>
        <v/>
      </c>
      <c r="H570" s="13" t="str">
        <f t="shared" si="70"/>
        <v/>
      </c>
      <c r="I570" s="14" t="str">
        <f t="shared" si="71"/>
        <v/>
      </c>
      <c r="L570" t="str">
        <f>IFERROR(MATCH($C$5&amp;"|"&amp;RIGHT("000000"&amp;554,6),LdgRankKeyA,0),"")</f>
        <v/>
      </c>
      <c r="M570" t="str">
        <f>IFERROR(MATCH($C$5&amp;"|"&amp;RIGHT("000000"&amp;554,6),LdgRankKeyB,0),"")</f>
        <v/>
      </c>
    </row>
    <row r="571" spans="1:13" x14ac:dyDescent="0.2">
      <c r="A571" s="3">
        <v>555</v>
      </c>
      <c r="B571" s="4" t="str">
        <f t="shared" si="64"/>
        <v/>
      </c>
      <c r="C571" s="4" t="str">
        <f t="shared" si="65"/>
        <v/>
      </c>
      <c r="D571" s="4" t="str">
        <f t="shared" si="66"/>
        <v/>
      </c>
      <c r="E571" s="5" t="str">
        <f t="shared" si="67"/>
        <v/>
      </c>
      <c r="F571" s="6" t="str">
        <f t="shared" si="68"/>
        <v/>
      </c>
      <c r="G571" s="7" t="str">
        <f t="shared" si="69"/>
        <v/>
      </c>
      <c r="H571" s="7" t="str">
        <f t="shared" si="70"/>
        <v/>
      </c>
      <c r="I571" s="8" t="str">
        <f t="shared" si="71"/>
        <v/>
      </c>
      <c r="L571" t="str">
        <f>IFERROR(MATCH($C$5&amp;"|"&amp;RIGHT("000000"&amp;555,6),LdgRankKeyA,0),"")</f>
        <v/>
      </c>
      <c r="M571" t="str">
        <f>IFERROR(MATCH($C$5&amp;"|"&amp;RIGHT("000000"&amp;555,6),LdgRankKeyB,0),"")</f>
        <v/>
      </c>
    </row>
    <row r="572" spans="1:13" x14ac:dyDescent="0.2">
      <c r="A572" s="9">
        <v>556</v>
      </c>
      <c r="B572" s="10" t="str">
        <f t="shared" si="64"/>
        <v/>
      </c>
      <c r="C572" s="10" t="str">
        <f t="shared" si="65"/>
        <v/>
      </c>
      <c r="D572" s="10" t="str">
        <f t="shared" si="66"/>
        <v/>
      </c>
      <c r="E572" s="11" t="str">
        <f t="shared" si="67"/>
        <v/>
      </c>
      <c r="F572" s="12" t="str">
        <f t="shared" si="68"/>
        <v/>
      </c>
      <c r="G572" s="13" t="str">
        <f t="shared" si="69"/>
        <v/>
      </c>
      <c r="H572" s="13" t="str">
        <f t="shared" si="70"/>
        <v/>
      </c>
      <c r="I572" s="14" t="str">
        <f t="shared" si="71"/>
        <v/>
      </c>
      <c r="L572" t="str">
        <f>IFERROR(MATCH($C$5&amp;"|"&amp;RIGHT("000000"&amp;556,6),LdgRankKeyA,0),"")</f>
        <v/>
      </c>
      <c r="M572" t="str">
        <f>IFERROR(MATCH($C$5&amp;"|"&amp;RIGHT("000000"&amp;556,6),LdgRankKeyB,0),"")</f>
        <v/>
      </c>
    </row>
    <row r="573" spans="1:13" x14ac:dyDescent="0.2">
      <c r="A573" s="3">
        <v>557</v>
      </c>
      <c r="B573" s="4" t="str">
        <f t="shared" si="64"/>
        <v/>
      </c>
      <c r="C573" s="4" t="str">
        <f t="shared" si="65"/>
        <v/>
      </c>
      <c r="D573" s="4" t="str">
        <f t="shared" si="66"/>
        <v/>
      </c>
      <c r="E573" s="5" t="str">
        <f t="shared" si="67"/>
        <v/>
      </c>
      <c r="F573" s="6" t="str">
        <f t="shared" si="68"/>
        <v/>
      </c>
      <c r="G573" s="7" t="str">
        <f t="shared" si="69"/>
        <v/>
      </c>
      <c r="H573" s="7" t="str">
        <f t="shared" si="70"/>
        <v/>
      </c>
      <c r="I573" s="8" t="str">
        <f t="shared" si="71"/>
        <v/>
      </c>
      <c r="L573" t="str">
        <f>IFERROR(MATCH($C$5&amp;"|"&amp;RIGHT("000000"&amp;557,6),LdgRankKeyA,0),"")</f>
        <v/>
      </c>
      <c r="M573" t="str">
        <f>IFERROR(MATCH($C$5&amp;"|"&amp;RIGHT("000000"&amp;557,6),LdgRankKeyB,0),"")</f>
        <v/>
      </c>
    </row>
    <row r="574" spans="1:13" x14ac:dyDescent="0.2">
      <c r="A574" s="9">
        <v>558</v>
      </c>
      <c r="B574" s="10" t="str">
        <f t="shared" si="64"/>
        <v/>
      </c>
      <c r="C574" s="10" t="str">
        <f t="shared" si="65"/>
        <v/>
      </c>
      <c r="D574" s="10" t="str">
        <f t="shared" si="66"/>
        <v/>
      </c>
      <c r="E574" s="11" t="str">
        <f t="shared" si="67"/>
        <v/>
      </c>
      <c r="F574" s="12" t="str">
        <f t="shared" si="68"/>
        <v/>
      </c>
      <c r="G574" s="13" t="str">
        <f t="shared" si="69"/>
        <v/>
      </c>
      <c r="H574" s="13" t="str">
        <f t="shared" si="70"/>
        <v/>
      </c>
      <c r="I574" s="14" t="str">
        <f t="shared" si="71"/>
        <v/>
      </c>
      <c r="L574" t="str">
        <f>IFERROR(MATCH($C$5&amp;"|"&amp;RIGHT("000000"&amp;558,6),LdgRankKeyA,0),"")</f>
        <v/>
      </c>
      <c r="M574" t="str">
        <f>IFERROR(MATCH($C$5&amp;"|"&amp;RIGHT("000000"&amp;558,6),LdgRankKeyB,0),"")</f>
        <v/>
      </c>
    </row>
    <row r="575" spans="1:13" x14ac:dyDescent="0.2">
      <c r="A575" s="3">
        <v>559</v>
      </c>
      <c r="B575" s="4" t="str">
        <f t="shared" si="64"/>
        <v/>
      </c>
      <c r="C575" s="4" t="str">
        <f t="shared" si="65"/>
        <v/>
      </c>
      <c r="D575" s="4" t="str">
        <f t="shared" si="66"/>
        <v/>
      </c>
      <c r="E575" s="5" t="str">
        <f t="shared" si="67"/>
        <v/>
      </c>
      <c r="F575" s="6" t="str">
        <f t="shared" si="68"/>
        <v/>
      </c>
      <c r="G575" s="7" t="str">
        <f t="shared" si="69"/>
        <v/>
      </c>
      <c r="H575" s="7" t="str">
        <f t="shared" si="70"/>
        <v/>
      </c>
      <c r="I575" s="8" t="str">
        <f t="shared" si="71"/>
        <v/>
      </c>
      <c r="L575" t="str">
        <f>IFERROR(MATCH($C$5&amp;"|"&amp;RIGHT("000000"&amp;559,6),LdgRankKeyA,0),"")</f>
        <v/>
      </c>
      <c r="M575" t="str">
        <f>IFERROR(MATCH($C$5&amp;"|"&amp;RIGHT("000000"&amp;559,6),LdgRankKeyB,0),"")</f>
        <v/>
      </c>
    </row>
    <row r="576" spans="1:13" x14ac:dyDescent="0.2">
      <c r="A576" s="9">
        <v>560</v>
      </c>
      <c r="B576" s="10" t="str">
        <f t="shared" si="64"/>
        <v/>
      </c>
      <c r="C576" s="10" t="str">
        <f t="shared" si="65"/>
        <v/>
      </c>
      <c r="D576" s="10" t="str">
        <f t="shared" si="66"/>
        <v/>
      </c>
      <c r="E576" s="11" t="str">
        <f t="shared" si="67"/>
        <v/>
      </c>
      <c r="F576" s="12" t="str">
        <f t="shared" si="68"/>
        <v/>
      </c>
      <c r="G576" s="13" t="str">
        <f t="shared" si="69"/>
        <v/>
      </c>
      <c r="H576" s="13" t="str">
        <f t="shared" si="70"/>
        <v/>
      </c>
      <c r="I576" s="14" t="str">
        <f t="shared" si="71"/>
        <v/>
      </c>
      <c r="L576" t="str">
        <f>IFERROR(MATCH($C$5&amp;"|"&amp;RIGHT("000000"&amp;560,6),LdgRankKeyA,0),"")</f>
        <v/>
      </c>
      <c r="M576" t="str">
        <f>IFERROR(MATCH($C$5&amp;"|"&amp;RIGHT("000000"&amp;560,6),LdgRankKeyB,0),"")</f>
        <v/>
      </c>
    </row>
    <row r="577" spans="1:13" x14ac:dyDescent="0.2">
      <c r="A577" s="3">
        <v>561</v>
      </c>
      <c r="B577" s="4" t="str">
        <f t="shared" si="64"/>
        <v/>
      </c>
      <c r="C577" s="4" t="str">
        <f t="shared" si="65"/>
        <v/>
      </c>
      <c r="D577" s="4" t="str">
        <f t="shared" si="66"/>
        <v/>
      </c>
      <c r="E577" s="5" t="str">
        <f t="shared" si="67"/>
        <v/>
      </c>
      <c r="F577" s="6" t="str">
        <f t="shared" si="68"/>
        <v/>
      </c>
      <c r="G577" s="7" t="str">
        <f t="shared" si="69"/>
        <v/>
      </c>
      <c r="H577" s="7" t="str">
        <f t="shared" si="70"/>
        <v/>
      </c>
      <c r="I577" s="8" t="str">
        <f t="shared" si="71"/>
        <v/>
      </c>
      <c r="L577" t="str">
        <f>IFERROR(MATCH($C$5&amp;"|"&amp;RIGHT("000000"&amp;561,6),LdgRankKeyA,0),"")</f>
        <v/>
      </c>
      <c r="M577" t="str">
        <f>IFERROR(MATCH($C$5&amp;"|"&amp;RIGHT("000000"&amp;561,6),LdgRankKeyB,0),"")</f>
        <v/>
      </c>
    </row>
    <row r="578" spans="1:13" x14ac:dyDescent="0.2">
      <c r="A578" s="9">
        <v>562</v>
      </c>
      <c r="B578" s="10" t="str">
        <f t="shared" si="64"/>
        <v/>
      </c>
      <c r="C578" s="10" t="str">
        <f t="shared" si="65"/>
        <v/>
      </c>
      <c r="D578" s="10" t="str">
        <f t="shared" si="66"/>
        <v/>
      </c>
      <c r="E578" s="11" t="str">
        <f t="shared" si="67"/>
        <v/>
      </c>
      <c r="F578" s="12" t="str">
        <f t="shared" si="68"/>
        <v/>
      </c>
      <c r="G578" s="13" t="str">
        <f t="shared" si="69"/>
        <v/>
      </c>
      <c r="H578" s="13" t="str">
        <f t="shared" si="70"/>
        <v/>
      </c>
      <c r="I578" s="14" t="str">
        <f t="shared" si="71"/>
        <v/>
      </c>
      <c r="L578" t="str">
        <f>IFERROR(MATCH($C$5&amp;"|"&amp;RIGHT("000000"&amp;562,6),LdgRankKeyA,0),"")</f>
        <v/>
      </c>
      <c r="M578" t="str">
        <f>IFERROR(MATCH($C$5&amp;"|"&amp;RIGHT("000000"&amp;562,6),LdgRankKeyB,0),"")</f>
        <v/>
      </c>
    </row>
    <row r="579" spans="1:13" x14ac:dyDescent="0.2">
      <c r="A579" s="3">
        <v>563</v>
      </c>
      <c r="B579" s="4" t="str">
        <f t="shared" si="64"/>
        <v/>
      </c>
      <c r="C579" s="4" t="str">
        <f t="shared" si="65"/>
        <v/>
      </c>
      <c r="D579" s="4" t="str">
        <f t="shared" si="66"/>
        <v/>
      </c>
      <c r="E579" s="5" t="str">
        <f t="shared" si="67"/>
        <v/>
      </c>
      <c r="F579" s="6" t="str">
        <f t="shared" si="68"/>
        <v/>
      </c>
      <c r="G579" s="7" t="str">
        <f t="shared" si="69"/>
        <v/>
      </c>
      <c r="H579" s="7" t="str">
        <f t="shared" si="70"/>
        <v/>
      </c>
      <c r="I579" s="8" t="str">
        <f t="shared" si="71"/>
        <v/>
      </c>
      <c r="L579" t="str">
        <f>IFERROR(MATCH($C$5&amp;"|"&amp;RIGHT("000000"&amp;563,6),LdgRankKeyA,0),"")</f>
        <v/>
      </c>
      <c r="M579" t="str">
        <f>IFERROR(MATCH($C$5&amp;"|"&amp;RIGHT("000000"&amp;563,6),LdgRankKeyB,0),"")</f>
        <v/>
      </c>
    </row>
    <row r="580" spans="1:13" x14ac:dyDescent="0.2">
      <c r="A580" s="9">
        <v>564</v>
      </c>
      <c r="B580" s="10" t="str">
        <f t="shared" si="64"/>
        <v/>
      </c>
      <c r="C580" s="10" t="str">
        <f t="shared" si="65"/>
        <v/>
      </c>
      <c r="D580" s="10" t="str">
        <f t="shared" si="66"/>
        <v/>
      </c>
      <c r="E580" s="11" t="str">
        <f t="shared" si="67"/>
        <v/>
      </c>
      <c r="F580" s="12" t="str">
        <f t="shared" si="68"/>
        <v/>
      </c>
      <c r="G580" s="13" t="str">
        <f t="shared" si="69"/>
        <v/>
      </c>
      <c r="H580" s="13" t="str">
        <f t="shared" si="70"/>
        <v/>
      </c>
      <c r="I580" s="14" t="str">
        <f t="shared" si="71"/>
        <v/>
      </c>
      <c r="L580" t="str">
        <f>IFERROR(MATCH($C$5&amp;"|"&amp;RIGHT("000000"&amp;564,6),LdgRankKeyA,0),"")</f>
        <v/>
      </c>
      <c r="M580" t="str">
        <f>IFERROR(MATCH($C$5&amp;"|"&amp;RIGHT("000000"&amp;564,6),LdgRankKeyB,0),"")</f>
        <v/>
      </c>
    </row>
    <row r="581" spans="1:13" x14ac:dyDescent="0.2">
      <c r="A581" s="3">
        <v>565</v>
      </c>
      <c r="B581" s="4" t="str">
        <f t="shared" si="64"/>
        <v/>
      </c>
      <c r="C581" s="4" t="str">
        <f t="shared" si="65"/>
        <v/>
      </c>
      <c r="D581" s="4" t="str">
        <f t="shared" si="66"/>
        <v/>
      </c>
      <c r="E581" s="5" t="str">
        <f t="shared" si="67"/>
        <v/>
      </c>
      <c r="F581" s="6" t="str">
        <f t="shared" si="68"/>
        <v/>
      </c>
      <c r="G581" s="7" t="str">
        <f t="shared" si="69"/>
        <v/>
      </c>
      <c r="H581" s="7" t="str">
        <f t="shared" si="70"/>
        <v/>
      </c>
      <c r="I581" s="8" t="str">
        <f t="shared" si="71"/>
        <v/>
      </c>
      <c r="L581" t="str">
        <f>IFERROR(MATCH($C$5&amp;"|"&amp;RIGHT("000000"&amp;565,6),LdgRankKeyA,0),"")</f>
        <v/>
      </c>
      <c r="M581" t="str">
        <f>IFERROR(MATCH($C$5&amp;"|"&amp;RIGHT("000000"&amp;565,6),LdgRankKeyB,0),"")</f>
        <v/>
      </c>
    </row>
    <row r="582" spans="1:13" x14ac:dyDescent="0.2">
      <c r="A582" s="9">
        <v>566</v>
      </c>
      <c r="B582" s="10" t="str">
        <f t="shared" si="64"/>
        <v/>
      </c>
      <c r="C582" s="10" t="str">
        <f t="shared" si="65"/>
        <v/>
      </c>
      <c r="D582" s="10" t="str">
        <f t="shared" si="66"/>
        <v/>
      </c>
      <c r="E582" s="11" t="str">
        <f t="shared" si="67"/>
        <v/>
      </c>
      <c r="F582" s="12" t="str">
        <f t="shared" si="68"/>
        <v/>
      </c>
      <c r="G582" s="13" t="str">
        <f t="shared" si="69"/>
        <v/>
      </c>
      <c r="H582" s="13" t="str">
        <f t="shared" si="70"/>
        <v/>
      </c>
      <c r="I582" s="14" t="str">
        <f t="shared" si="71"/>
        <v/>
      </c>
      <c r="L582" t="str">
        <f>IFERROR(MATCH($C$5&amp;"|"&amp;RIGHT("000000"&amp;566,6),LdgRankKeyA,0),"")</f>
        <v/>
      </c>
      <c r="M582" t="str">
        <f>IFERROR(MATCH($C$5&amp;"|"&amp;RIGHT("000000"&amp;566,6),LdgRankKeyB,0),"")</f>
        <v/>
      </c>
    </row>
    <row r="583" spans="1:13" x14ac:dyDescent="0.2">
      <c r="A583" s="3">
        <v>567</v>
      </c>
      <c r="B583" s="4" t="str">
        <f t="shared" si="64"/>
        <v/>
      </c>
      <c r="C583" s="4" t="str">
        <f t="shared" si="65"/>
        <v/>
      </c>
      <c r="D583" s="4" t="str">
        <f t="shared" si="66"/>
        <v/>
      </c>
      <c r="E583" s="5" t="str">
        <f t="shared" si="67"/>
        <v/>
      </c>
      <c r="F583" s="6" t="str">
        <f t="shared" si="68"/>
        <v/>
      </c>
      <c r="G583" s="7" t="str">
        <f t="shared" si="69"/>
        <v/>
      </c>
      <c r="H583" s="7" t="str">
        <f t="shared" si="70"/>
        <v/>
      </c>
      <c r="I583" s="8" t="str">
        <f t="shared" si="71"/>
        <v/>
      </c>
      <c r="L583" t="str">
        <f>IFERROR(MATCH($C$5&amp;"|"&amp;RIGHT("000000"&amp;567,6),LdgRankKeyA,0),"")</f>
        <v/>
      </c>
      <c r="M583" t="str">
        <f>IFERROR(MATCH($C$5&amp;"|"&amp;RIGHT("000000"&amp;567,6),LdgRankKeyB,0),"")</f>
        <v/>
      </c>
    </row>
    <row r="584" spans="1:13" x14ac:dyDescent="0.2">
      <c r="A584" s="9">
        <v>568</v>
      </c>
      <c r="B584" s="10" t="str">
        <f t="shared" si="64"/>
        <v/>
      </c>
      <c r="C584" s="10" t="str">
        <f t="shared" si="65"/>
        <v/>
      </c>
      <c r="D584" s="10" t="str">
        <f t="shared" si="66"/>
        <v/>
      </c>
      <c r="E584" s="11" t="str">
        <f t="shared" si="67"/>
        <v/>
      </c>
      <c r="F584" s="12" t="str">
        <f t="shared" si="68"/>
        <v/>
      </c>
      <c r="G584" s="13" t="str">
        <f t="shared" si="69"/>
        <v/>
      </c>
      <c r="H584" s="13" t="str">
        <f t="shared" si="70"/>
        <v/>
      </c>
      <c r="I584" s="14" t="str">
        <f t="shared" si="71"/>
        <v/>
      </c>
      <c r="L584" t="str">
        <f>IFERROR(MATCH($C$5&amp;"|"&amp;RIGHT("000000"&amp;568,6),LdgRankKeyA,0),"")</f>
        <v/>
      </c>
      <c r="M584" t="str">
        <f>IFERROR(MATCH($C$5&amp;"|"&amp;RIGHT("000000"&amp;568,6),LdgRankKeyB,0),"")</f>
        <v/>
      </c>
    </row>
    <row r="585" spans="1:13" x14ac:dyDescent="0.2">
      <c r="A585" s="3">
        <v>569</v>
      </c>
      <c r="B585" s="4" t="str">
        <f t="shared" si="64"/>
        <v/>
      </c>
      <c r="C585" s="4" t="str">
        <f t="shared" si="65"/>
        <v/>
      </c>
      <c r="D585" s="4" t="str">
        <f t="shared" si="66"/>
        <v/>
      </c>
      <c r="E585" s="5" t="str">
        <f t="shared" si="67"/>
        <v/>
      </c>
      <c r="F585" s="6" t="str">
        <f t="shared" si="68"/>
        <v/>
      </c>
      <c r="G585" s="7" t="str">
        <f t="shared" si="69"/>
        <v/>
      </c>
      <c r="H585" s="7" t="str">
        <f t="shared" si="70"/>
        <v/>
      </c>
      <c r="I585" s="8" t="str">
        <f t="shared" si="71"/>
        <v/>
      </c>
      <c r="L585" t="str">
        <f>IFERROR(MATCH($C$5&amp;"|"&amp;RIGHT("000000"&amp;569,6),LdgRankKeyA,0),"")</f>
        <v/>
      </c>
      <c r="M585" t="str">
        <f>IFERROR(MATCH($C$5&amp;"|"&amp;RIGHT("000000"&amp;569,6),LdgRankKeyB,0),"")</f>
        <v/>
      </c>
    </row>
    <row r="586" spans="1:13" x14ac:dyDescent="0.2">
      <c r="A586" s="9">
        <v>570</v>
      </c>
      <c r="B586" s="10" t="str">
        <f t="shared" si="64"/>
        <v/>
      </c>
      <c r="C586" s="10" t="str">
        <f t="shared" si="65"/>
        <v/>
      </c>
      <c r="D586" s="10" t="str">
        <f t="shared" si="66"/>
        <v/>
      </c>
      <c r="E586" s="11" t="str">
        <f t="shared" si="67"/>
        <v/>
      </c>
      <c r="F586" s="12" t="str">
        <f t="shared" si="68"/>
        <v/>
      </c>
      <c r="G586" s="13" t="str">
        <f t="shared" si="69"/>
        <v/>
      </c>
      <c r="H586" s="13" t="str">
        <f t="shared" si="70"/>
        <v/>
      </c>
      <c r="I586" s="14" t="str">
        <f t="shared" si="71"/>
        <v/>
      </c>
      <c r="L586" t="str">
        <f>IFERROR(MATCH($C$5&amp;"|"&amp;RIGHT("000000"&amp;570,6),LdgRankKeyA,0),"")</f>
        <v/>
      </c>
      <c r="M586" t="str">
        <f>IFERROR(MATCH($C$5&amp;"|"&amp;RIGHT("000000"&amp;570,6),LdgRankKeyB,0),"")</f>
        <v/>
      </c>
    </row>
    <row r="587" spans="1:13" x14ac:dyDescent="0.2">
      <c r="A587" s="3">
        <v>571</v>
      </c>
      <c r="B587" s="4" t="str">
        <f t="shared" si="64"/>
        <v/>
      </c>
      <c r="C587" s="4" t="str">
        <f t="shared" si="65"/>
        <v/>
      </c>
      <c r="D587" s="4" t="str">
        <f t="shared" si="66"/>
        <v/>
      </c>
      <c r="E587" s="5" t="str">
        <f t="shared" si="67"/>
        <v/>
      </c>
      <c r="F587" s="6" t="str">
        <f t="shared" si="68"/>
        <v/>
      </c>
      <c r="G587" s="7" t="str">
        <f t="shared" si="69"/>
        <v/>
      </c>
      <c r="H587" s="7" t="str">
        <f t="shared" si="70"/>
        <v/>
      </c>
      <c r="I587" s="8" t="str">
        <f t="shared" si="71"/>
        <v/>
      </c>
      <c r="L587" t="str">
        <f>IFERROR(MATCH($C$5&amp;"|"&amp;RIGHT("000000"&amp;571,6),LdgRankKeyA,0),"")</f>
        <v/>
      </c>
      <c r="M587" t="str">
        <f>IFERROR(MATCH($C$5&amp;"|"&amp;RIGHT("000000"&amp;571,6),LdgRankKeyB,0),"")</f>
        <v/>
      </c>
    </row>
    <row r="588" spans="1:13" x14ac:dyDescent="0.2">
      <c r="A588" s="9">
        <v>572</v>
      </c>
      <c r="B588" s="10" t="str">
        <f t="shared" si="64"/>
        <v/>
      </c>
      <c r="C588" s="10" t="str">
        <f t="shared" si="65"/>
        <v/>
      </c>
      <c r="D588" s="10" t="str">
        <f t="shared" si="66"/>
        <v/>
      </c>
      <c r="E588" s="11" t="str">
        <f t="shared" si="67"/>
        <v/>
      </c>
      <c r="F588" s="12" t="str">
        <f t="shared" si="68"/>
        <v/>
      </c>
      <c r="G588" s="13" t="str">
        <f t="shared" si="69"/>
        <v/>
      </c>
      <c r="H588" s="13" t="str">
        <f t="shared" si="70"/>
        <v/>
      </c>
      <c r="I588" s="14" t="str">
        <f t="shared" si="71"/>
        <v/>
      </c>
      <c r="L588" t="str">
        <f>IFERROR(MATCH($C$5&amp;"|"&amp;RIGHT("000000"&amp;572,6),LdgRankKeyA,0),"")</f>
        <v/>
      </c>
      <c r="M588" t="str">
        <f>IFERROR(MATCH($C$5&amp;"|"&amp;RIGHT("000000"&amp;572,6),LdgRankKeyB,0),"")</f>
        <v/>
      </c>
    </row>
    <row r="589" spans="1:13" x14ac:dyDescent="0.2">
      <c r="A589" s="3">
        <v>573</v>
      </c>
      <c r="B589" s="4" t="str">
        <f t="shared" si="64"/>
        <v/>
      </c>
      <c r="C589" s="4" t="str">
        <f t="shared" si="65"/>
        <v/>
      </c>
      <c r="D589" s="4" t="str">
        <f t="shared" si="66"/>
        <v/>
      </c>
      <c r="E589" s="5" t="str">
        <f t="shared" si="67"/>
        <v/>
      </c>
      <c r="F589" s="6" t="str">
        <f t="shared" si="68"/>
        <v/>
      </c>
      <c r="G589" s="7" t="str">
        <f t="shared" si="69"/>
        <v/>
      </c>
      <c r="H589" s="7" t="str">
        <f t="shared" si="70"/>
        <v/>
      </c>
      <c r="I589" s="8" t="str">
        <f t="shared" si="71"/>
        <v/>
      </c>
      <c r="L589" t="str">
        <f>IFERROR(MATCH($C$5&amp;"|"&amp;RIGHT("000000"&amp;573,6),LdgRankKeyA,0),"")</f>
        <v/>
      </c>
      <c r="M589" t="str">
        <f>IFERROR(MATCH($C$5&amp;"|"&amp;RIGHT("000000"&amp;573,6),LdgRankKeyB,0),"")</f>
        <v/>
      </c>
    </row>
    <row r="590" spans="1:13" x14ac:dyDescent="0.2">
      <c r="A590" s="9">
        <v>574</v>
      </c>
      <c r="B590" s="10" t="str">
        <f t="shared" si="64"/>
        <v/>
      </c>
      <c r="C590" s="10" t="str">
        <f t="shared" si="65"/>
        <v/>
      </c>
      <c r="D590" s="10" t="str">
        <f t="shared" si="66"/>
        <v/>
      </c>
      <c r="E590" s="11" t="str">
        <f t="shared" si="67"/>
        <v/>
      </c>
      <c r="F590" s="12" t="str">
        <f t="shared" si="68"/>
        <v/>
      </c>
      <c r="G590" s="13" t="str">
        <f t="shared" si="69"/>
        <v/>
      </c>
      <c r="H590" s="13" t="str">
        <f t="shared" si="70"/>
        <v/>
      </c>
      <c r="I590" s="14" t="str">
        <f t="shared" si="71"/>
        <v/>
      </c>
      <c r="L590" t="str">
        <f>IFERROR(MATCH($C$5&amp;"|"&amp;RIGHT("000000"&amp;574,6),LdgRankKeyA,0),"")</f>
        <v/>
      </c>
      <c r="M590" t="str">
        <f>IFERROR(MATCH($C$5&amp;"|"&amp;RIGHT("000000"&amp;574,6),LdgRankKeyB,0),"")</f>
        <v/>
      </c>
    </row>
    <row r="591" spans="1:13" x14ac:dyDescent="0.2">
      <c r="A591" s="3">
        <v>575</v>
      </c>
      <c r="B591" s="4" t="str">
        <f t="shared" si="64"/>
        <v/>
      </c>
      <c r="C591" s="4" t="str">
        <f t="shared" si="65"/>
        <v/>
      </c>
      <c r="D591" s="4" t="str">
        <f t="shared" si="66"/>
        <v/>
      </c>
      <c r="E591" s="5" t="str">
        <f t="shared" si="67"/>
        <v/>
      </c>
      <c r="F591" s="6" t="str">
        <f t="shared" si="68"/>
        <v/>
      </c>
      <c r="G591" s="7" t="str">
        <f t="shared" si="69"/>
        <v/>
      </c>
      <c r="H591" s="7" t="str">
        <f t="shared" si="70"/>
        <v/>
      </c>
      <c r="I591" s="8" t="str">
        <f t="shared" si="71"/>
        <v/>
      </c>
      <c r="L591" t="str">
        <f>IFERROR(MATCH($C$5&amp;"|"&amp;RIGHT("000000"&amp;575,6),LdgRankKeyA,0),"")</f>
        <v/>
      </c>
      <c r="M591" t="str">
        <f>IFERROR(MATCH($C$5&amp;"|"&amp;RIGHT("000000"&amp;575,6),LdgRankKeyB,0),"")</f>
        <v/>
      </c>
    </row>
    <row r="592" spans="1:13" x14ac:dyDescent="0.2">
      <c r="A592" s="9">
        <v>576</v>
      </c>
      <c r="B592" s="10" t="str">
        <f t="shared" si="64"/>
        <v/>
      </c>
      <c r="C592" s="10" t="str">
        <f t="shared" si="65"/>
        <v/>
      </c>
      <c r="D592" s="10" t="str">
        <f t="shared" si="66"/>
        <v/>
      </c>
      <c r="E592" s="11" t="str">
        <f t="shared" si="67"/>
        <v/>
      </c>
      <c r="F592" s="12" t="str">
        <f t="shared" si="68"/>
        <v/>
      </c>
      <c r="G592" s="13" t="str">
        <f t="shared" si="69"/>
        <v/>
      </c>
      <c r="H592" s="13" t="str">
        <f t="shared" si="70"/>
        <v/>
      </c>
      <c r="I592" s="14" t="str">
        <f t="shared" si="71"/>
        <v/>
      </c>
      <c r="L592" t="str">
        <f>IFERROR(MATCH($C$5&amp;"|"&amp;RIGHT("000000"&amp;576,6),LdgRankKeyA,0),"")</f>
        <v/>
      </c>
      <c r="M592" t="str">
        <f>IFERROR(MATCH($C$5&amp;"|"&amp;RIGHT("000000"&amp;576,6),LdgRankKeyB,0),"")</f>
        <v/>
      </c>
    </row>
    <row r="593" spans="1:13" x14ac:dyDescent="0.2">
      <c r="A593" s="3">
        <v>577</v>
      </c>
      <c r="B593" s="4" t="str">
        <f t="shared" ref="B593:B656" si="72">IF(AND($L593="",$M593=""),"",IF($L593&lt;&gt;"",INDEX(SCNormDate,$L593),INDEX(LdgDateB,$M593)))</f>
        <v/>
      </c>
      <c r="C593" s="4" t="str">
        <f t="shared" ref="C593:C656" si="73">IF($L593&lt;&gt;"",INDEX(SCOp,$L593),IF($M593&lt;&gt;"","پرداخت بانکی",""))</f>
        <v/>
      </c>
      <c r="D593" s="4" t="str">
        <f t="shared" ref="D593:D656" si="74">IF($L593&lt;&gt;"",IF(INDEX(SCDoc,$L593)="","—",INDEX(SCDoc,$L593)),IF($M593&lt;&gt;"",INDEX(LdgBankB,$M593),""))</f>
        <v/>
      </c>
      <c r="E593" s="5" t="str">
        <f t="shared" ref="E593:E656" si="75">IF($L593&lt;&gt;"",IF(INDEX(SCCitrus,$L593)&amp;INDEX(SCNotes,$L593)="","",IF(INDEX(SCCitrus,$L593)="","",INDEX(SCCitrus,$L593))&amp;IF(INDEX(SCNotes,$L593)="",""," — "&amp;INDEX(SCNotes,$L593))),IF($M593&lt;&gt;"",IF(INDEX(LdgNoteB,$M593)="","—",INDEX(LdgNoteB,$M593)),""))</f>
        <v/>
      </c>
      <c r="F593" s="6" t="str">
        <f t="shared" ref="F593:F656" si="76">IF($L593&lt;&gt;"",IF(INDEX(SCNet,$L593)=0,"",INDEX(SCNet,$L593)),"")</f>
        <v/>
      </c>
      <c r="G593" s="7" t="str">
        <f t="shared" ref="G593:G656" si="77">IF($L593&lt;&gt;"",IF(INDEX(SCOp,$L593)="مرجوعی فروش","",IF(INDEX(SCAmount,$L593)&lt;=0,"",INDEX(SCAmount,$L593))),IF($M593&lt;&gt;"",IF(INDEX(LdgWitB,$M593)=0,"",INDEX(LdgWitB,$M593)),""))</f>
        <v/>
      </c>
      <c r="H593" s="7" t="str">
        <f t="shared" ref="H593:H656" si="78">IF($L593&lt;&gt;"",IF(INDEX(SCOp,$L593)="مرجوعی فروش",IF(INDEX(SCAmount,$L593)=0,"",-INDEX(SCAmount,$L593)),""),IF($M593&lt;&gt;"",IF(INDEX(LdgDepB,$M593)=0,"",INDEX(LdgDepB,$M593)),""))</f>
        <v/>
      </c>
      <c r="I593" s="8" t="str">
        <f t="shared" si="71"/>
        <v/>
      </c>
      <c r="L593" t="str">
        <f>IFERROR(MATCH($C$5&amp;"|"&amp;RIGHT("000000"&amp;577,6),LdgRankKeyA,0),"")</f>
        <v/>
      </c>
      <c r="M593" t="str">
        <f>IFERROR(MATCH($C$5&amp;"|"&amp;RIGHT("000000"&amp;577,6),LdgRankKeyB,0),"")</f>
        <v/>
      </c>
    </row>
    <row r="594" spans="1:13" x14ac:dyDescent="0.2">
      <c r="A594" s="9">
        <v>578</v>
      </c>
      <c r="B594" s="10" t="str">
        <f t="shared" si="72"/>
        <v/>
      </c>
      <c r="C594" s="10" t="str">
        <f t="shared" si="73"/>
        <v/>
      </c>
      <c r="D594" s="10" t="str">
        <f t="shared" si="74"/>
        <v/>
      </c>
      <c r="E594" s="11" t="str">
        <f t="shared" si="75"/>
        <v/>
      </c>
      <c r="F594" s="12" t="str">
        <f t="shared" si="76"/>
        <v/>
      </c>
      <c r="G594" s="13" t="str">
        <f t="shared" si="77"/>
        <v/>
      </c>
      <c r="H594" s="13" t="str">
        <f t="shared" si="78"/>
        <v/>
      </c>
      <c r="I594" s="14" t="str">
        <f t="shared" ref="I594:I657" si="79">IF($B594="","",IF($I593="",$C$10,$I593)+IF($G594="",0,$G594)-IF($H594="",0,$H594))</f>
        <v/>
      </c>
      <c r="L594" t="str">
        <f>IFERROR(MATCH($C$5&amp;"|"&amp;RIGHT("000000"&amp;578,6),LdgRankKeyA,0),"")</f>
        <v/>
      </c>
      <c r="M594" t="str">
        <f>IFERROR(MATCH($C$5&amp;"|"&amp;RIGHT("000000"&amp;578,6),LdgRankKeyB,0),"")</f>
        <v/>
      </c>
    </row>
    <row r="595" spans="1:13" x14ac:dyDescent="0.2">
      <c r="A595" s="3">
        <v>579</v>
      </c>
      <c r="B595" s="4" t="str">
        <f t="shared" si="72"/>
        <v/>
      </c>
      <c r="C595" s="4" t="str">
        <f t="shared" si="73"/>
        <v/>
      </c>
      <c r="D595" s="4" t="str">
        <f t="shared" si="74"/>
        <v/>
      </c>
      <c r="E595" s="5" t="str">
        <f t="shared" si="75"/>
        <v/>
      </c>
      <c r="F595" s="6" t="str">
        <f t="shared" si="76"/>
        <v/>
      </c>
      <c r="G595" s="7" t="str">
        <f t="shared" si="77"/>
        <v/>
      </c>
      <c r="H595" s="7" t="str">
        <f t="shared" si="78"/>
        <v/>
      </c>
      <c r="I595" s="8" t="str">
        <f t="shared" si="79"/>
        <v/>
      </c>
      <c r="L595" t="str">
        <f>IFERROR(MATCH($C$5&amp;"|"&amp;RIGHT("000000"&amp;579,6),LdgRankKeyA,0),"")</f>
        <v/>
      </c>
      <c r="M595" t="str">
        <f>IFERROR(MATCH($C$5&amp;"|"&amp;RIGHT("000000"&amp;579,6),LdgRankKeyB,0),"")</f>
        <v/>
      </c>
    </row>
    <row r="596" spans="1:13" x14ac:dyDescent="0.2">
      <c r="A596" s="9">
        <v>580</v>
      </c>
      <c r="B596" s="10" t="str">
        <f t="shared" si="72"/>
        <v/>
      </c>
      <c r="C596" s="10" t="str">
        <f t="shared" si="73"/>
        <v/>
      </c>
      <c r="D596" s="10" t="str">
        <f t="shared" si="74"/>
        <v/>
      </c>
      <c r="E596" s="11" t="str">
        <f t="shared" si="75"/>
        <v/>
      </c>
      <c r="F596" s="12" t="str">
        <f t="shared" si="76"/>
        <v/>
      </c>
      <c r="G596" s="13" t="str">
        <f t="shared" si="77"/>
        <v/>
      </c>
      <c r="H596" s="13" t="str">
        <f t="shared" si="78"/>
        <v/>
      </c>
      <c r="I596" s="14" t="str">
        <f t="shared" si="79"/>
        <v/>
      </c>
      <c r="L596" t="str">
        <f>IFERROR(MATCH($C$5&amp;"|"&amp;RIGHT("000000"&amp;580,6),LdgRankKeyA,0),"")</f>
        <v/>
      </c>
      <c r="M596" t="str">
        <f>IFERROR(MATCH($C$5&amp;"|"&amp;RIGHT("000000"&amp;580,6),LdgRankKeyB,0),"")</f>
        <v/>
      </c>
    </row>
    <row r="597" spans="1:13" x14ac:dyDescent="0.2">
      <c r="A597" s="3">
        <v>581</v>
      </c>
      <c r="B597" s="4" t="str">
        <f t="shared" si="72"/>
        <v/>
      </c>
      <c r="C597" s="4" t="str">
        <f t="shared" si="73"/>
        <v/>
      </c>
      <c r="D597" s="4" t="str">
        <f t="shared" si="74"/>
        <v/>
      </c>
      <c r="E597" s="5" t="str">
        <f t="shared" si="75"/>
        <v/>
      </c>
      <c r="F597" s="6" t="str">
        <f t="shared" si="76"/>
        <v/>
      </c>
      <c r="G597" s="7" t="str">
        <f t="shared" si="77"/>
        <v/>
      </c>
      <c r="H597" s="7" t="str">
        <f t="shared" si="78"/>
        <v/>
      </c>
      <c r="I597" s="8" t="str">
        <f t="shared" si="79"/>
        <v/>
      </c>
      <c r="L597" t="str">
        <f>IFERROR(MATCH($C$5&amp;"|"&amp;RIGHT("000000"&amp;581,6),LdgRankKeyA,0),"")</f>
        <v/>
      </c>
      <c r="M597" t="str">
        <f>IFERROR(MATCH($C$5&amp;"|"&amp;RIGHT("000000"&amp;581,6),LdgRankKeyB,0),"")</f>
        <v/>
      </c>
    </row>
    <row r="598" spans="1:13" x14ac:dyDescent="0.2">
      <c r="A598" s="9">
        <v>582</v>
      </c>
      <c r="B598" s="10" t="str">
        <f t="shared" si="72"/>
        <v/>
      </c>
      <c r="C598" s="10" t="str">
        <f t="shared" si="73"/>
        <v/>
      </c>
      <c r="D598" s="10" t="str">
        <f t="shared" si="74"/>
        <v/>
      </c>
      <c r="E598" s="11" t="str">
        <f t="shared" si="75"/>
        <v/>
      </c>
      <c r="F598" s="12" t="str">
        <f t="shared" si="76"/>
        <v/>
      </c>
      <c r="G598" s="13" t="str">
        <f t="shared" si="77"/>
        <v/>
      </c>
      <c r="H598" s="13" t="str">
        <f t="shared" si="78"/>
        <v/>
      </c>
      <c r="I598" s="14" t="str">
        <f t="shared" si="79"/>
        <v/>
      </c>
      <c r="L598" t="str">
        <f>IFERROR(MATCH($C$5&amp;"|"&amp;RIGHT("000000"&amp;582,6),LdgRankKeyA,0),"")</f>
        <v/>
      </c>
      <c r="M598" t="str">
        <f>IFERROR(MATCH($C$5&amp;"|"&amp;RIGHT("000000"&amp;582,6),LdgRankKeyB,0),"")</f>
        <v/>
      </c>
    </row>
    <row r="599" spans="1:13" x14ac:dyDescent="0.2">
      <c r="A599" s="3">
        <v>583</v>
      </c>
      <c r="B599" s="4" t="str">
        <f t="shared" si="72"/>
        <v/>
      </c>
      <c r="C599" s="4" t="str">
        <f t="shared" si="73"/>
        <v/>
      </c>
      <c r="D599" s="4" t="str">
        <f t="shared" si="74"/>
        <v/>
      </c>
      <c r="E599" s="5" t="str">
        <f t="shared" si="75"/>
        <v/>
      </c>
      <c r="F599" s="6" t="str">
        <f t="shared" si="76"/>
        <v/>
      </c>
      <c r="G599" s="7" t="str">
        <f t="shared" si="77"/>
        <v/>
      </c>
      <c r="H599" s="7" t="str">
        <f t="shared" si="78"/>
        <v/>
      </c>
      <c r="I599" s="8" t="str">
        <f t="shared" si="79"/>
        <v/>
      </c>
      <c r="L599" t="str">
        <f>IFERROR(MATCH($C$5&amp;"|"&amp;RIGHT("000000"&amp;583,6),LdgRankKeyA,0),"")</f>
        <v/>
      </c>
      <c r="M599" t="str">
        <f>IFERROR(MATCH($C$5&amp;"|"&amp;RIGHT("000000"&amp;583,6),LdgRankKeyB,0),"")</f>
        <v/>
      </c>
    </row>
    <row r="600" spans="1:13" x14ac:dyDescent="0.2">
      <c r="A600" s="9">
        <v>584</v>
      </c>
      <c r="B600" s="10" t="str">
        <f t="shared" si="72"/>
        <v/>
      </c>
      <c r="C600" s="10" t="str">
        <f t="shared" si="73"/>
        <v/>
      </c>
      <c r="D600" s="10" t="str">
        <f t="shared" si="74"/>
        <v/>
      </c>
      <c r="E600" s="11" t="str">
        <f t="shared" si="75"/>
        <v/>
      </c>
      <c r="F600" s="12" t="str">
        <f t="shared" si="76"/>
        <v/>
      </c>
      <c r="G600" s="13" t="str">
        <f t="shared" si="77"/>
        <v/>
      </c>
      <c r="H600" s="13" t="str">
        <f t="shared" si="78"/>
        <v/>
      </c>
      <c r="I600" s="14" t="str">
        <f t="shared" si="79"/>
        <v/>
      </c>
      <c r="L600" t="str">
        <f>IFERROR(MATCH($C$5&amp;"|"&amp;RIGHT("000000"&amp;584,6),LdgRankKeyA,0),"")</f>
        <v/>
      </c>
      <c r="M600" t="str">
        <f>IFERROR(MATCH($C$5&amp;"|"&amp;RIGHT("000000"&amp;584,6),LdgRankKeyB,0),"")</f>
        <v/>
      </c>
    </row>
    <row r="601" spans="1:13" x14ac:dyDescent="0.2">
      <c r="A601" s="3">
        <v>585</v>
      </c>
      <c r="B601" s="4" t="str">
        <f t="shared" si="72"/>
        <v/>
      </c>
      <c r="C601" s="4" t="str">
        <f t="shared" si="73"/>
        <v/>
      </c>
      <c r="D601" s="4" t="str">
        <f t="shared" si="74"/>
        <v/>
      </c>
      <c r="E601" s="5" t="str">
        <f t="shared" si="75"/>
        <v/>
      </c>
      <c r="F601" s="6" t="str">
        <f t="shared" si="76"/>
        <v/>
      </c>
      <c r="G601" s="7" t="str">
        <f t="shared" si="77"/>
        <v/>
      </c>
      <c r="H601" s="7" t="str">
        <f t="shared" si="78"/>
        <v/>
      </c>
      <c r="I601" s="8" t="str">
        <f t="shared" si="79"/>
        <v/>
      </c>
      <c r="L601" t="str">
        <f>IFERROR(MATCH($C$5&amp;"|"&amp;RIGHT("000000"&amp;585,6),LdgRankKeyA,0),"")</f>
        <v/>
      </c>
      <c r="M601" t="str">
        <f>IFERROR(MATCH($C$5&amp;"|"&amp;RIGHT("000000"&amp;585,6),LdgRankKeyB,0),"")</f>
        <v/>
      </c>
    </row>
    <row r="602" spans="1:13" x14ac:dyDescent="0.2">
      <c r="A602" s="9">
        <v>586</v>
      </c>
      <c r="B602" s="10" t="str">
        <f t="shared" si="72"/>
        <v/>
      </c>
      <c r="C602" s="10" t="str">
        <f t="shared" si="73"/>
        <v/>
      </c>
      <c r="D602" s="10" t="str">
        <f t="shared" si="74"/>
        <v/>
      </c>
      <c r="E602" s="11" t="str">
        <f t="shared" si="75"/>
        <v/>
      </c>
      <c r="F602" s="12" t="str">
        <f t="shared" si="76"/>
        <v/>
      </c>
      <c r="G602" s="13" t="str">
        <f t="shared" si="77"/>
        <v/>
      </c>
      <c r="H602" s="13" t="str">
        <f t="shared" si="78"/>
        <v/>
      </c>
      <c r="I602" s="14" t="str">
        <f t="shared" si="79"/>
        <v/>
      </c>
      <c r="L602" t="str">
        <f>IFERROR(MATCH($C$5&amp;"|"&amp;RIGHT("000000"&amp;586,6),LdgRankKeyA,0),"")</f>
        <v/>
      </c>
      <c r="M602" t="str">
        <f>IFERROR(MATCH($C$5&amp;"|"&amp;RIGHT("000000"&amp;586,6),LdgRankKeyB,0),"")</f>
        <v/>
      </c>
    </row>
    <row r="603" spans="1:13" x14ac:dyDescent="0.2">
      <c r="A603" s="3">
        <v>587</v>
      </c>
      <c r="B603" s="4" t="str">
        <f t="shared" si="72"/>
        <v/>
      </c>
      <c r="C603" s="4" t="str">
        <f t="shared" si="73"/>
        <v/>
      </c>
      <c r="D603" s="4" t="str">
        <f t="shared" si="74"/>
        <v/>
      </c>
      <c r="E603" s="5" t="str">
        <f t="shared" si="75"/>
        <v/>
      </c>
      <c r="F603" s="6" t="str">
        <f t="shared" si="76"/>
        <v/>
      </c>
      <c r="G603" s="7" t="str">
        <f t="shared" si="77"/>
        <v/>
      </c>
      <c r="H603" s="7" t="str">
        <f t="shared" si="78"/>
        <v/>
      </c>
      <c r="I603" s="8" t="str">
        <f t="shared" si="79"/>
        <v/>
      </c>
      <c r="L603" t="str">
        <f>IFERROR(MATCH($C$5&amp;"|"&amp;RIGHT("000000"&amp;587,6),LdgRankKeyA,0),"")</f>
        <v/>
      </c>
      <c r="M603" t="str">
        <f>IFERROR(MATCH($C$5&amp;"|"&amp;RIGHT("000000"&amp;587,6),LdgRankKeyB,0),"")</f>
        <v/>
      </c>
    </row>
    <row r="604" spans="1:13" x14ac:dyDescent="0.2">
      <c r="A604" s="9">
        <v>588</v>
      </c>
      <c r="B604" s="10" t="str">
        <f t="shared" si="72"/>
        <v/>
      </c>
      <c r="C604" s="10" t="str">
        <f t="shared" si="73"/>
        <v/>
      </c>
      <c r="D604" s="10" t="str">
        <f t="shared" si="74"/>
        <v/>
      </c>
      <c r="E604" s="11" t="str">
        <f t="shared" si="75"/>
        <v/>
      </c>
      <c r="F604" s="12" t="str">
        <f t="shared" si="76"/>
        <v/>
      </c>
      <c r="G604" s="13" t="str">
        <f t="shared" si="77"/>
        <v/>
      </c>
      <c r="H604" s="13" t="str">
        <f t="shared" si="78"/>
        <v/>
      </c>
      <c r="I604" s="14" t="str">
        <f t="shared" si="79"/>
        <v/>
      </c>
      <c r="L604" t="str">
        <f>IFERROR(MATCH($C$5&amp;"|"&amp;RIGHT("000000"&amp;588,6),LdgRankKeyA,0),"")</f>
        <v/>
      </c>
      <c r="M604" t="str">
        <f>IFERROR(MATCH($C$5&amp;"|"&amp;RIGHT("000000"&amp;588,6),LdgRankKeyB,0),"")</f>
        <v/>
      </c>
    </row>
    <row r="605" spans="1:13" x14ac:dyDescent="0.2">
      <c r="A605" s="3">
        <v>589</v>
      </c>
      <c r="B605" s="4" t="str">
        <f t="shared" si="72"/>
        <v/>
      </c>
      <c r="C605" s="4" t="str">
        <f t="shared" si="73"/>
        <v/>
      </c>
      <c r="D605" s="4" t="str">
        <f t="shared" si="74"/>
        <v/>
      </c>
      <c r="E605" s="5" t="str">
        <f t="shared" si="75"/>
        <v/>
      </c>
      <c r="F605" s="6" t="str">
        <f t="shared" si="76"/>
        <v/>
      </c>
      <c r="G605" s="7" t="str">
        <f t="shared" si="77"/>
        <v/>
      </c>
      <c r="H605" s="7" t="str">
        <f t="shared" si="78"/>
        <v/>
      </c>
      <c r="I605" s="8" t="str">
        <f t="shared" si="79"/>
        <v/>
      </c>
      <c r="L605" t="str">
        <f>IFERROR(MATCH($C$5&amp;"|"&amp;RIGHT("000000"&amp;589,6),LdgRankKeyA,0),"")</f>
        <v/>
      </c>
      <c r="M605" t="str">
        <f>IFERROR(MATCH($C$5&amp;"|"&amp;RIGHT("000000"&amp;589,6),LdgRankKeyB,0),"")</f>
        <v/>
      </c>
    </row>
    <row r="606" spans="1:13" x14ac:dyDescent="0.2">
      <c r="A606" s="9">
        <v>590</v>
      </c>
      <c r="B606" s="10" t="str">
        <f t="shared" si="72"/>
        <v/>
      </c>
      <c r="C606" s="10" t="str">
        <f t="shared" si="73"/>
        <v/>
      </c>
      <c r="D606" s="10" t="str">
        <f t="shared" si="74"/>
        <v/>
      </c>
      <c r="E606" s="11" t="str">
        <f t="shared" si="75"/>
        <v/>
      </c>
      <c r="F606" s="12" t="str">
        <f t="shared" si="76"/>
        <v/>
      </c>
      <c r="G606" s="13" t="str">
        <f t="shared" si="77"/>
        <v/>
      </c>
      <c r="H606" s="13" t="str">
        <f t="shared" si="78"/>
        <v/>
      </c>
      <c r="I606" s="14" t="str">
        <f t="shared" si="79"/>
        <v/>
      </c>
      <c r="L606" t="str">
        <f>IFERROR(MATCH($C$5&amp;"|"&amp;RIGHT("000000"&amp;590,6),LdgRankKeyA,0),"")</f>
        <v/>
      </c>
      <c r="M606" t="str">
        <f>IFERROR(MATCH($C$5&amp;"|"&amp;RIGHT("000000"&amp;590,6),LdgRankKeyB,0),"")</f>
        <v/>
      </c>
    </row>
    <row r="607" spans="1:13" x14ac:dyDescent="0.2">
      <c r="A607" s="3">
        <v>591</v>
      </c>
      <c r="B607" s="4" t="str">
        <f t="shared" si="72"/>
        <v/>
      </c>
      <c r="C607" s="4" t="str">
        <f t="shared" si="73"/>
        <v/>
      </c>
      <c r="D607" s="4" t="str">
        <f t="shared" si="74"/>
        <v/>
      </c>
      <c r="E607" s="5" t="str">
        <f t="shared" si="75"/>
        <v/>
      </c>
      <c r="F607" s="6" t="str">
        <f t="shared" si="76"/>
        <v/>
      </c>
      <c r="G607" s="7" t="str">
        <f t="shared" si="77"/>
        <v/>
      </c>
      <c r="H607" s="7" t="str">
        <f t="shared" si="78"/>
        <v/>
      </c>
      <c r="I607" s="8" t="str">
        <f t="shared" si="79"/>
        <v/>
      </c>
      <c r="L607" t="str">
        <f>IFERROR(MATCH($C$5&amp;"|"&amp;RIGHT("000000"&amp;591,6),LdgRankKeyA,0),"")</f>
        <v/>
      </c>
      <c r="M607" t="str">
        <f>IFERROR(MATCH($C$5&amp;"|"&amp;RIGHT("000000"&amp;591,6),LdgRankKeyB,0),"")</f>
        <v/>
      </c>
    </row>
    <row r="608" spans="1:13" x14ac:dyDescent="0.2">
      <c r="A608" s="9">
        <v>592</v>
      </c>
      <c r="B608" s="10" t="str">
        <f t="shared" si="72"/>
        <v/>
      </c>
      <c r="C608" s="10" t="str">
        <f t="shared" si="73"/>
        <v/>
      </c>
      <c r="D608" s="10" t="str">
        <f t="shared" si="74"/>
        <v/>
      </c>
      <c r="E608" s="11" t="str">
        <f t="shared" si="75"/>
        <v/>
      </c>
      <c r="F608" s="12" t="str">
        <f t="shared" si="76"/>
        <v/>
      </c>
      <c r="G608" s="13" t="str">
        <f t="shared" si="77"/>
        <v/>
      </c>
      <c r="H608" s="13" t="str">
        <f t="shared" si="78"/>
        <v/>
      </c>
      <c r="I608" s="14" t="str">
        <f t="shared" si="79"/>
        <v/>
      </c>
      <c r="L608" t="str">
        <f>IFERROR(MATCH($C$5&amp;"|"&amp;RIGHT("000000"&amp;592,6),LdgRankKeyA,0),"")</f>
        <v/>
      </c>
      <c r="M608" t="str">
        <f>IFERROR(MATCH($C$5&amp;"|"&amp;RIGHT("000000"&amp;592,6),LdgRankKeyB,0),"")</f>
        <v/>
      </c>
    </row>
    <row r="609" spans="1:13" x14ac:dyDescent="0.2">
      <c r="A609" s="3">
        <v>593</v>
      </c>
      <c r="B609" s="4" t="str">
        <f t="shared" si="72"/>
        <v/>
      </c>
      <c r="C609" s="4" t="str">
        <f t="shared" si="73"/>
        <v/>
      </c>
      <c r="D609" s="4" t="str">
        <f t="shared" si="74"/>
        <v/>
      </c>
      <c r="E609" s="5" t="str">
        <f t="shared" si="75"/>
        <v/>
      </c>
      <c r="F609" s="6" t="str">
        <f t="shared" si="76"/>
        <v/>
      </c>
      <c r="G609" s="7" t="str">
        <f t="shared" si="77"/>
        <v/>
      </c>
      <c r="H609" s="7" t="str">
        <f t="shared" si="78"/>
        <v/>
      </c>
      <c r="I609" s="8" t="str">
        <f t="shared" si="79"/>
        <v/>
      </c>
      <c r="L609" t="str">
        <f>IFERROR(MATCH($C$5&amp;"|"&amp;RIGHT("000000"&amp;593,6),LdgRankKeyA,0),"")</f>
        <v/>
      </c>
      <c r="M609" t="str">
        <f>IFERROR(MATCH($C$5&amp;"|"&amp;RIGHT("000000"&amp;593,6),LdgRankKeyB,0),"")</f>
        <v/>
      </c>
    </row>
    <row r="610" spans="1:13" x14ac:dyDescent="0.2">
      <c r="A610" s="9">
        <v>594</v>
      </c>
      <c r="B610" s="10" t="str">
        <f t="shared" si="72"/>
        <v/>
      </c>
      <c r="C610" s="10" t="str">
        <f t="shared" si="73"/>
        <v/>
      </c>
      <c r="D610" s="10" t="str">
        <f t="shared" si="74"/>
        <v/>
      </c>
      <c r="E610" s="11" t="str">
        <f t="shared" si="75"/>
        <v/>
      </c>
      <c r="F610" s="12" t="str">
        <f t="shared" si="76"/>
        <v/>
      </c>
      <c r="G610" s="13" t="str">
        <f t="shared" si="77"/>
        <v/>
      </c>
      <c r="H610" s="13" t="str">
        <f t="shared" si="78"/>
        <v/>
      </c>
      <c r="I610" s="14" t="str">
        <f t="shared" si="79"/>
        <v/>
      </c>
      <c r="L610" t="str">
        <f>IFERROR(MATCH($C$5&amp;"|"&amp;RIGHT("000000"&amp;594,6),LdgRankKeyA,0),"")</f>
        <v/>
      </c>
      <c r="M610" t="str">
        <f>IFERROR(MATCH($C$5&amp;"|"&amp;RIGHT("000000"&amp;594,6),LdgRankKeyB,0),"")</f>
        <v/>
      </c>
    </row>
    <row r="611" spans="1:13" x14ac:dyDescent="0.2">
      <c r="A611" s="3">
        <v>595</v>
      </c>
      <c r="B611" s="4" t="str">
        <f t="shared" si="72"/>
        <v/>
      </c>
      <c r="C611" s="4" t="str">
        <f t="shared" si="73"/>
        <v/>
      </c>
      <c r="D611" s="4" t="str">
        <f t="shared" si="74"/>
        <v/>
      </c>
      <c r="E611" s="5" t="str">
        <f t="shared" si="75"/>
        <v/>
      </c>
      <c r="F611" s="6" t="str">
        <f t="shared" si="76"/>
        <v/>
      </c>
      <c r="G611" s="7" t="str">
        <f t="shared" si="77"/>
        <v/>
      </c>
      <c r="H611" s="7" t="str">
        <f t="shared" si="78"/>
        <v/>
      </c>
      <c r="I611" s="8" t="str">
        <f t="shared" si="79"/>
        <v/>
      </c>
      <c r="L611" t="str">
        <f>IFERROR(MATCH($C$5&amp;"|"&amp;RIGHT("000000"&amp;595,6),LdgRankKeyA,0),"")</f>
        <v/>
      </c>
      <c r="M611" t="str">
        <f>IFERROR(MATCH($C$5&amp;"|"&amp;RIGHT("000000"&amp;595,6),LdgRankKeyB,0),"")</f>
        <v/>
      </c>
    </row>
    <row r="612" spans="1:13" x14ac:dyDescent="0.2">
      <c r="A612" s="9">
        <v>596</v>
      </c>
      <c r="B612" s="10" t="str">
        <f t="shared" si="72"/>
        <v/>
      </c>
      <c r="C612" s="10" t="str">
        <f t="shared" si="73"/>
        <v/>
      </c>
      <c r="D612" s="10" t="str">
        <f t="shared" si="74"/>
        <v/>
      </c>
      <c r="E612" s="11" t="str">
        <f t="shared" si="75"/>
        <v/>
      </c>
      <c r="F612" s="12" t="str">
        <f t="shared" si="76"/>
        <v/>
      </c>
      <c r="G612" s="13" t="str">
        <f t="shared" si="77"/>
        <v/>
      </c>
      <c r="H612" s="13" t="str">
        <f t="shared" si="78"/>
        <v/>
      </c>
      <c r="I612" s="14" t="str">
        <f t="shared" si="79"/>
        <v/>
      </c>
      <c r="L612" t="str">
        <f>IFERROR(MATCH($C$5&amp;"|"&amp;RIGHT("000000"&amp;596,6),LdgRankKeyA,0),"")</f>
        <v/>
      </c>
      <c r="M612" t="str">
        <f>IFERROR(MATCH($C$5&amp;"|"&amp;RIGHT("000000"&amp;596,6),LdgRankKeyB,0),"")</f>
        <v/>
      </c>
    </row>
    <row r="613" spans="1:13" x14ac:dyDescent="0.2">
      <c r="A613" s="3">
        <v>597</v>
      </c>
      <c r="B613" s="4" t="str">
        <f t="shared" si="72"/>
        <v/>
      </c>
      <c r="C613" s="4" t="str">
        <f t="shared" si="73"/>
        <v/>
      </c>
      <c r="D613" s="4" t="str">
        <f t="shared" si="74"/>
        <v/>
      </c>
      <c r="E613" s="5" t="str">
        <f t="shared" si="75"/>
        <v/>
      </c>
      <c r="F613" s="6" t="str">
        <f t="shared" si="76"/>
        <v/>
      </c>
      <c r="G613" s="7" t="str">
        <f t="shared" si="77"/>
        <v/>
      </c>
      <c r="H613" s="7" t="str">
        <f t="shared" si="78"/>
        <v/>
      </c>
      <c r="I613" s="8" t="str">
        <f t="shared" si="79"/>
        <v/>
      </c>
      <c r="L613" t="str">
        <f>IFERROR(MATCH($C$5&amp;"|"&amp;RIGHT("000000"&amp;597,6),LdgRankKeyA,0),"")</f>
        <v/>
      </c>
      <c r="M613" t="str">
        <f>IFERROR(MATCH($C$5&amp;"|"&amp;RIGHT("000000"&amp;597,6),LdgRankKeyB,0),"")</f>
        <v/>
      </c>
    </row>
    <row r="614" spans="1:13" x14ac:dyDescent="0.2">
      <c r="A614" s="9">
        <v>598</v>
      </c>
      <c r="B614" s="10" t="str">
        <f t="shared" si="72"/>
        <v/>
      </c>
      <c r="C614" s="10" t="str">
        <f t="shared" si="73"/>
        <v/>
      </c>
      <c r="D614" s="10" t="str">
        <f t="shared" si="74"/>
        <v/>
      </c>
      <c r="E614" s="11" t="str">
        <f t="shared" si="75"/>
        <v/>
      </c>
      <c r="F614" s="12" t="str">
        <f t="shared" si="76"/>
        <v/>
      </c>
      <c r="G614" s="13" t="str">
        <f t="shared" si="77"/>
        <v/>
      </c>
      <c r="H614" s="13" t="str">
        <f t="shared" si="78"/>
        <v/>
      </c>
      <c r="I614" s="14" t="str">
        <f t="shared" si="79"/>
        <v/>
      </c>
      <c r="L614" t="str">
        <f>IFERROR(MATCH($C$5&amp;"|"&amp;RIGHT("000000"&amp;598,6),LdgRankKeyA,0),"")</f>
        <v/>
      </c>
      <c r="M614" t="str">
        <f>IFERROR(MATCH($C$5&amp;"|"&amp;RIGHT("000000"&amp;598,6),LdgRankKeyB,0),"")</f>
        <v/>
      </c>
    </row>
    <row r="615" spans="1:13" x14ac:dyDescent="0.2">
      <c r="A615" s="3">
        <v>599</v>
      </c>
      <c r="B615" s="4" t="str">
        <f t="shared" si="72"/>
        <v/>
      </c>
      <c r="C615" s="4" t="str">
        <f t="shared" si="73"/>
        <v/>
      </c>
      <c r="D615" s="4" t="str">
        <f t="shared" si="74"/>
        <v/>
      </c>
      <c r="E615" s="5" t="str">
        <f t="shared" si="75"/>
        <v/>
      </c>
      <c r="F615" s="6" t="str">
        <f t="shared" si="76"/>
        <v/>
      </c>
      <c r="G615" s="7" t="str">
        <f t="shared" si="77"/>
        <v/>
      </c>
      <c r="H615" s="7" t="str">
        <f t="shared" si="78"/>
        <v/>
      </c>
      <c r="I615" s="8" t="str">
        <f t="shared" si="79"/>
        <v/>
      </c>
      <c r="L615" t="str">
        <f>IFERROR(MATCH($C$5&amp;"|"&amp;RIGHT("000000"&amp;599,6),LdgRankKeyA,0),"")</f>
        <v/>
      </c>
      <c r="M615" t="str">
        <f>IFERROR(MATCH($C$5&amp;"|"&amp;RIGHT("000000"&amp;599,6),LdgRankKeyB,0),"")</f>
        <v/>
      </c>
    </row>
    <row r="616" spans="1:13" x14ac:dyDescent="0.2">
      <c r="A616" s="9">
        <v>600</v>
      </c>
      <c r="B616" s="10" t="str">
        <f t="shared" si="72"/>
        <v/>
      </c>
      <c r="C616" s="10" t="str">
        <f t="shared" si="73"/>
        <v/>
      </c>
      <c r="D616" s="10" t="str">
        <f t="shared" si="74"/>
        <v/>
      </c>
      <c r="E616" s="11" t="str">
        <f t="shared" si="75"/>
        <v/>
      </c>
      <c r="F616" s="12" t="str">
        <f t="shared" si="76"/>
        <v/>
      </c>
      <c r="G616" s="13" t="str">
        <f t="shared" si="77"/>
        <v/>
      </c>
      <c r="H616" s="13" t="str">
        <f t="shared" si="78"/>
        <v/>
      </c>
      <c r="I616" s="14" t="str">
        <f t="shared" si="79"/>
        <v/>
      </c>
      <c r="L616" t="str">
        <f>IFERROR(MATCH($C$5&amp;"|"&amp;RIGHT("000000"&amp;600,6),LdgRankKeyA,0),"")</f>
        <v/>
      </c>
      <c r="M616" t="str">
        <f>IFERROR(MATCH($C$5&amp;"|"&amp;RIGHT("000000"&amp;600,6),LdgRankKeyB,0),"")</f>
        <v/>
      </c>
    </row>
    <row r="617" spans="1:13" x14ac:dyDescent="0.2">
      <c r="A617" s="3">
        <v>601</v>
      </c>
      <c r="B617" s="4" t="str">
        <f t="shared" si="72"/>
        <v/>
      </c>
      <c r="C617" s="4" t="str">
        <f t="shared" si="73"/>
        <v/>
      </c>
      <c r="D617" s="4" t="str">
        <f t="shared" si="74"/>
        <v/>
      </c>
      <c r="E617" s="5" t="str">
        <f t="shared" si="75"/>
        <v/>
      </c>
      <c r="F617" s="6" t="str">
        <f t="shared" si="76"/>
        <v/>
      </c>
      <c r="G617" s="7" t="str">
        <f t="shared" si="77"/>
        <v/>
      </c>
      <c r="H617" s="7" t="str">
        <f t="shared" si="78"/>
        <v/>
      </c>
      <c r="I617" s="8" t="str">
        <f t="shared" si="79"/>
        <v/>
      </c>
      <c r="L617" t="str">
        <f>IFERROR(MATCH($C$5&amp;"|"&amp;RIGHT("000000"&amp;601,6),LdgRankKeyA,0),"")</f>
        <v/>
      </c>
      <c r="M617" t="str">
        <f>IFERROR(MATCH($C$5&amp;"|"&amp;RIGHT("000000"&amp;601,6),LdgRankKeyB,0),"")</f>
        <v/>
      </c>
    </row>
    <row r="618" spans="1:13" x14ac:dyDescent="0.2">
      <c r="A618" s="9">
        <v>602</v>
      </c>
      <c r="B618" s="10" t="str">
        <f t="shared" si="72"/>
        <v/>
      </c>
      <c r="C618" s="10" t="str">
        <f t="shared" si="73"/>
        <v/>
      </c>
      <c r="D618" s="10" t="str">
        <f t="shared" si="74"/>
        <v/>
      </c>
      <c r="E618" s="11" t="str">
        <f t="shared" si="75"/>
        <v/>
      </c>
      <c r="F618" s="12" t="str">
        <f t="shared" si="76"/>
        <v/>
      </c>
      <c r="G618" s="13" t="str">
        <f t="shared" si="77"/>
        <v/>
      </c>
      <c r="H618" s="13" t="str">
        <f t="shared" si="78"/>
        <v/>
      </c>
      <c r="I618" s="14" t="str">
        <f t="shared" si="79"/>
        <v/>
      </c>
      <c r="L618" t="str">
        <f>IFERROR(MATCH($C$5&amp;"|"&amp;RIGHT("000000"&amp;602,6),LdgRankKeyA,0),"")</f>
        <v/>
      </c>
      <c r="M618" t="str">
        <f>IFERROR(MATCH($C$5&amp;"|"&amp;RIGHT("000000"&amp;602,6),LdgRankKeyB,0),"")</f>
        <v/>
      </c>
    </row>
    <row r="619" spans="1:13" x14ac:dyDescent="0.2">
      <c r="A619" s="3">
        <v>603</v>
      </c>
      <c r="B619" s="4" t="str">
        <f t="shared" si="72"/>
        <v/>
      </c>
      <c r="C619" s="4" t="str">
        <f t="shared" si="73"/>
        <v/>
      </c>
      <c r="D619" s="4" t="str">
        <f t="shared" si="74"/>
        <v/>
      </c>
      <c r="E619" s="5" t="str">
        <f t="shared" si="75"/>
        <v/>
      </c>
      <c r="F619" s="6" t="str">
        <f t="shared" si="76"/>
        <v/>
      </c>
      <c r="G619" s="7" t="str">
        <f t="shared" si="77"/>
        <v/>
      </c>
      <c r="H619" s="7" t="str">
        <f t="shared" si="78"/>
        <v/>
      </c>
      <c r="I619" s="8" t="str">
        <f t="shared" si="79"/>
        <v/>
      </c>
      <c r="L619" t="str">
        <f>IFERROR(MATCH($C$5&amp;"|"&amp;RIGHT("000000"&amp;603,6),LdgRankKeyA,0),"")</f>
        <v/>
      </c>
      <c r="M619" t="str">
        <f>IFERROR(MATCH($C$5&amp;"|"&amp;RIGHT("000000"&amp;603,6),LdgRankKeyB,0),"")</f>
        <v/>
      </c>
    </row>
    <row r="620" spans="1:13" x14ac:dyDescent="0.2">
      <c r="A620" s="9">
        <v>604</v>
      </c>
      <c r="B620" s="10" t="str">
        <f t="shared" si="72"/>
        <v/>
      </c>
      <c r="C620" s="10" t="str">
        <f t="shared" si="73"/>
        <v/>
      </c>
      <c r="D620" s="10" t="str">
        <f t="shared" si="74"/>
        <v/>
      </c>
      <c r="E620" s="11" t="str">
        <f t="shared" si="75"/>
        <v/>
      </c>
      <c r="F620" s="12" t="str">
        <f t="shared" si="76"/>
        <v/>
      </c>
      <c r="G620" s="13" t="str">
        <f t="shared" si="77"/>
        <v/>
      </c>
      <c r="H620" s="13" t="str">
        <f t="shared" si="78"/>
        <v/>
      </c>
      <c r="I620" s="14" t="str">
        <f t="shared" si="79"/>
        <v/>
      </c>
      <c r="L620" t="str">
        <f>IFERROR(MATCH($C$5&amp;"|"&amp;RIGHT("000000"&amp;604,6),LdgRankKeyA,0),"")</f>
        <v/>
      </c>
      <c r="M620" t="str">
        <f>IFERROR(MATCH($C$5&amp;"|"&amp;RIGHT("000000"&amp;604,6),LdgRankKeyB,0),"")</f>
        <v/>
      </c>
    </row>
    <row r="621" spans="1:13" x14ac:dyDescent="0.2">
      <c r="A621" s="3">
        <v>605</v>
      </c>
      <c r="B621" s="4" t="str">
        <f t="shared" si="72"/>
        <v/>
      </c>
      <c r="C621" s="4" t="str">
        <f t="shared" si="73"/>
        <v/>
      </c>
      <c r="D621" s="4" t="str">
        <f t="shared" si="74"/>
        <v/>
      </c>
      <c r="E621" s="5" t="str">
        <f t="shared" si="75"/>
        <v/>
      </c>
      <c r="F621" s="6" t="str">
        <f t="shared" si="76"/>
        <v/>
      </c>
      <c r="G621" s="7" t="str">
        <f t="shared" si="77"/>
        <v/>
      </c>
      <c r="H621" s="7" t="str">
        <f t="shared" si="78"/>
        <v/>
      </c>
      <c r="I621" s="8" t="str">
        <f t="shared" si="79"/>
        <v/>
      </c>
      <c r="L621" t="str">
        <f>IFERROR(MATCH($C$5&amp;"|"&amp;RIGHT("000000"&amp;605,6),LdgRankKeyA,0),"")</f>
        <v/>
      </c>
      <c r="M621" t="str">
        <f>IFERROR(MATCH($C$5&amp;"|"&amp;RIGHT("000000"&amp;605,6),LdgRankKeyB,0),"")</f>
        <v/>
      </c>
    </row>
    <row r="622" spans="1:13" x14ac:dyDescent="0.2">
      <c r="A622" s="9">
        <v>606</v>
      </c>
      <c r="B622" s="10" t="str">
        <f t="shared" si="72"/>
        <v/>
      </c>
      <c r="C622" s="10" t="str">
        <f t="shared" si="73"/>
        <v/>
      </c>
      <c r="D622" s="10" t="str">
        <f t="shared" si="74"/>
        <v/>
      </c>
      <c r="E622" s="11" t="str">
        <f t="shared" si="75"/>
        <v/>
      </c>
      <c r="F622" s="12" t="str">
        <f t="shared" si="76"/>
        <v/>
      </c>
      <c r="G622" s="13" t="str">
        <f t="shared" si="77"/>
        <v/>
      </c>
      <c r="H622" s="13" t="str">
        <f t="shared" si="78"/>
        <v/>
      </c>
      <c r="I622" s="14" t="str">
        <f t="shared" si="79"/>
        <v/>
      </c>
      <c r="L622" t="str">
        <f>IFERROR(MATCH($C$5&amp;"|"&amp;RIGHT("000000"&amp;606,6),LdgRankKeyA,0),"")</f>
        <v/>
      </c>
      <c r="M622" t="str">
        <f>IFERROR(MATCH($C$5&amp;"|"&amp;RIGHT("000000"&amp;606,6),LdgRankKeyB,0),"")</f>
        <v/>
      </c>
    </row>
    <row r="623" spans="1:13" x14ac:dyDescent="0.2">
      <c r="A623" s="3">
        <v>607</v>
      </c>
      <c r="B623" s="4" t="str">
        <f t="shared" si="72"/>
        <v/>
      </c>
      <c r="C623" s="4" t="str">
        <f t="shared" si="73"/>
        <v/>
      </c>
      <c r="D623" s="4" t="str">
        <f t="shared" si="74"/>
        <v/>
      </c>
      <c r="E623" s="5" t="str">
        <f t="shared" si="75"/>
        <v/>
      </c>
      <c r="F623" s="6" t="str">
        <f t="shared" si="76"/>
        <v/>
      </c>
      <c r="G623" s="7" t="str">
        <f t="shared" si="77"/>
        <v/>
      </c>
      <c r="H623" s="7" t="str">
        <f t="shared" si="78"/>
        <v/>
      </c>
      <c r="I623" s="8" t="str">
        <f t="shared" si="79"/>
        <v/>
      </c>
      <c r="L623" t="str">
        <f>IFERROR(MATCH($C$5&amp;"|"&amp;RIGHT("000000"&amp;607,6),LdgRankKeyA,0),"")</f>
        <v/>
      </c>
      <c r="M623" t="str">
        <f>IFERROR(MATCH($C$5&amp;"|"&amp;RIGHT("000000"&amp;607,6),LdgRankKeyB,0),"")</f>
        <v/>
      </c>
    </row>
    <row r="624" spans="1:13" x14ac:dyDescent="0.2">
      <c r="A624" s="9">
        <v>608</v>
      </c>
      <c r="B624" s="10" t="str">
        <f t="shared" si="72"/>
        <v/>
      </c>
      <c r="C624" s="10" t="str">
        <f t="shared" si="73"/>
        <v/>
      </c>
      <c r="D624" s="10" t="str">
        <f t="shared" si="74"/>
        <v/>
      </c>
      <c r="E624" s="11" t="str">
        <f t="shared" si="75"/>
        <v/>
      </c>
      <c r="F624" s="12" t="str">
        <f t="shared" si="76"/>
        <v/>
      </c>
      <c r="G624" s="13" t="str">
        <f t="shared" si="77"/>
        <v/>
      </c>
      <c r="H624" s="13" t="str">
        <f t="shared" si="78"/>
        <v/>
      </c>
      <c r="I624" s="14" t="str">
        <f t="shared" si="79"/>
        <v/>
      </c>
      <c r="L624" t="str">
        <f>IFERROR(MATCH($C$5&amp;"|"&amp;RIGHT("000000"&amp;608,6),LdgRankKeyA,0),"")</f>
        <v/>
      </c>
      <c r="M624" t="str">
        <f>IFERROR(MATCH($C$5&amp;"|"&amp;RIGHT("000000"&amp;608,6),LdgRankKeyB,0),"")</f>
        <v/>
      </c>
    </row>
    <row r="625" spans="1:13" x14ac:dyDescent="0.2">
      <c r="A625" s="3">
        <v>609</v>
      </c>
      <c r="B625" s="4" t="str">
        <f t="shared" si="72"/>
        <v/>
      </c>
      <c r="C625" s="4" t="str">
        <f t="shared" si="73"/>
        <v/>
      </c>
      <c r="D625" s="4" t="str">
        <f t="shared" si="74"/>
        <v/>
      </c>
      <c r="E625" s="5" t="str">
        <f t="shared" si="75"/>
        <v/>
      </c>
      <c r="F625" s="6" t="str">
        <f t="shared" si="76"/>
        <v/>
      </c>
      <c r="G625" s="7" t="str">
        <f t="shared" si="77"/>
        <v/>
      </c>
      <c r="H625" s="7" t="str">
        <f t="shared" si="78"/>
        <v/>
      </c>
      <c r="I625" s="8" t="str">
        <f t="shared" si="79"/>
        <v/>
      </c>
      <c r="L625" t="str">
        <f>IFERROR(MATCH($C$5&amp;"|"&amp;RIGHT("000000"&amp;609,6),LdgRankKeyA,0),"")</f>
        <v/>
      </c>
      <c r="M625" t="str">
        <f>IFERROR(MATCH($C$5&amp;"|"&amp;RIGHT("000000"&amp;609,6),LdgRankKeyB,0),"")</f>
        <v/>
      </c>
    </row>
    <row r="626" spans="1:13" x14ac:dyDescent="0.2">
      <c r="A626" s="9">
        <v>610</v>
      </c>
      <c r="B626" s="10" t="str">
        <f t="shared" si="72"/>
        <v/>
      </c>
      <c r="C626" s="10" t="str">
        <f t="shared" si="73"/>
        <v/>
      </c>
      <c r="D626" s="10" t="str">
        <f t="shared" si="74"/>
        <v/>
      </c>
      <c r="E626" s="11" t="str">
        <f t="shared" si="75"/>
        <v/>
      </c>
      <c r="F626" s="12" t="str">
        <f t="shared" si="76"/>
        <v/>
      </c>
      <c r="G626" s="13" t="str">
        <f t="shared" si="77"/>
        <v/>
      </c>
      <c r="H626" s="13" t="str">
        <f t="shared" si="78"/>
        <v/>
      </c>
      <c r="I626" s="14" t="str">
        <f t="shared" si="79"/>
        <v/>
      </c>
      <c r="L626" t="str">
        <f>IFERROR(MATCH($C$5&amp;"|"&amp;RIGHT("000000"&amp;610,6),LdgRankKeyA,0),"")</f>
        <v/>
      </c>
      <c r="M626" t="str">
        <f>IFERROR(MATCH($C$5&amp;"|"&amp;RIGHT("000000"&amp;610,6),LdgRankKeyB,0),"")</f>
        <v/>
      </c>
    </row>
    <row r="627" spans="1:13" x14ac:dyDescent="0.2">
      <c r="A627" s="3">
        <v>611</v>
      </c>
      <c r="B627" s="4" t="str">
        <f t="shared" si="72"/>
        <v/>
      </c>
      <c r="C627" s="4" t="str">
        <f t="shared" si="73"/>
        <v/>
      </c>
      <c r="D627" s="4" t="str">
        <f t="shared" si="74"/>
        <v/>
      </c>
      <c r="E627" s="5" t="str">
        <f t="shared" si="75"/>
        <v/>
      </c>
      <c r="F627" s="6" t="str">
        <f t="shared" si="76"/>
        <v/>
      </c>
      <c r="G627" s="7" t="str">
        <f t="shared" si="77"/>
        <v/>
      </c>
      <c r="H627" s="7" t="str">
        <f t="shared" si="78"/>
        <v/>
      </c>
      <c r="I627" s="8" t="str">
        <f t="shared" si="79"/>
        <v/>
      </c>
      <c r="L627" t="str">
        <f>IFERROR(MATCH($C$5&amp;"|"&amp;RIGHT("000000"&amp;611,6),LdgRankKeyA,0),"")</f>
        <v/>
      </c>
      <c r="M627" t="str">
        <f>IFERROR(MATCH($C$5&amp;"|"&amp;RIGHT("000000"&amp;611,6),LdgRankKeyB,0),"")</f>
        <v/>
      </c>
    </row>
    <row r="628" spans="1:13" x14ac:dyDescent="0.2">
      <c r="A628" s="9">
        <v>612</v>
      </c>
      <c r="B628" s="10" t="str">
        <f t="shared" si="72"/>
        <v/>
      </c>
      <c r="C628" s="10" t="str">
        <f t="shared" si="73"/>
        <v/>
      </c>
      <c r="D628" s="10" t="str">
        <f t="shared" si="74"/>
        <v/>
      </c>
      <c r="E628" s="11" t="str">
        <f t="shared" si="75"/>
        <v/>
      </c>
      <c r="F628" s="12" t="str">
        <f t="shared" si="76"/>
        <v/>
      </c>
      <c r="G628" s="13" t="str">
        <f t="shared" si="77"/>
        <v/>
      </c>
      <c r="H628" s="13" t="str">
        <f t="shared" si="78"/>
        <v/>
      </c>
      <c r="I628" s="14" t="str">
        <f t="shared" si="79"/>
        <v/>
      </c>
      <c r="L628" t="str">
        <f>IFERROR(MATCH($C$5&amp;"|"&amp;RIGHT("000000"&amp;612,6),LdgRankKeyA,0),"")</f>
        <v/>
      </c>
      <c r="M628" t="str">
        <f>IFERROR(MATCH($C$5&amp;"|"&amp;RIGHT("000000"&amp;612,6),LdgRankKeyB,0),"")</f>
        <v/>
      </c>
    </row>
    <row r="629" spans="1:13" x14ac:dyDescent="0.2">
      <c r="A629" s="3">
        <v>613</v>
      </c>
      <c r="B629" s="4" t="str">
        <f t="shared" si="72"/>
        <v/>
      </c>
      <c r="C629" s="4" t="str">
        <f t="shared" si="73"/>
        <v/>
      </c>
      <c r="D629" s="4" t="str">
        <f t="shared" si="74"/>
        <v/>
      </c>
      <c r="E629" s="5" t="str">
        <f t="shared" si="75"/>
        <v/>
      </c>
      <c r="F629" s="6" t="str">
        <f t="shared" si="76"/>
        <v/>
      </c>
      <c r="G629" s="7" t="str">
        <f t="shared" si="77"/>
        <v/>
      </c>
      <c r="H629" s="7" t="str">
        <f t="shared" si="78"/>
        <v/>
      </c>
      <c r="I629" s="8" t="str">
        <f t="shared" si="79"/>
        <v/>
      </c>
      <c r="L629" t="str">
        <f>IFERROR(MATCH($C$5&amp;"|"&amp;RIGHT("000000"&amp;613,6),LdgRankKeyA,0),"")</f>
        <v/>
      </c>
      <c r="M629" t="str">
        <f>IFERROR(MATCH($C$5&amp;"|"&amp;RIGHT("000000"&amp;613,6),LdgRankKeyB,0),"")</f>
        <v/>
      </c>
    </row>
    <row r="630" spans="1:13" x14ac:dyDescent="0.2">
      <c r="A630" s="9">
        <v>614</v>
      </c>
      <c r="B630" s="10" t="str">
        <f t="shared" si="72"/>
        <v/>
      </c>
      <c r="C630" s="10" t="str">
        <f t="shared" si="73"/>
        <v/>
      </c>
      <c r="D630" s="10" t="str">
        <f t="shared" si="74"/>
        <v/>
      </c>
      <c r="E630" s="11" t="str">
        <f t="shared" si="75"/>
        <v/>
      </c>
      <c r="F630" s="12" t="str">
        <f t="shared" si="76"/>
        <v/>
      </c>
      <c r="G630" s="13" t="str">
        <f t="shared" si="77"/>
        <v/>
      </c>
      <c r="H630" s="13" t="str">
        <f t="shared" si="78"/>
        <v/>
      </c>
      <c r="I630" s="14" t="str">
        <f t="shared" si="79"/>
        <v/>
      </c>
      <c r="L630" t="str">
        <f>IFERROR(MATCH($C$5&amp;"|"&amp;RIGHT("000000"&amp;614,6),LdgRankKeyA,0),"")</f>
        <v/>
      </c>
      <c r="M630" t="str">
        <f>IFERROR(MATCH($C$5&amp;"|"&amp;RIGHT("000000"&amp;614,6),LdgRankKeyB,0),"")</f>
        <v/>
      </c>
    </row>
    <row r="631" spans="1:13" x14ac:dyDescent="0.2">
      <c r="A631" s="3">
        <v>615</v>
      </c>
      <c r="B631" s="4" t="str">
        <f t="shared" si="72"/>
        <v/>
      </c>
      <c r="C631" s="4" t="str">
        <f t="shared" si="73"/>
        <v/>
      </c>
      <c r="D631" s="4" t="str">
        <f t="shared" si="74"/>
        <v/>
      </c>
      <c r="E631" s="5" t="str">
        <f t="shared" si="75"/>
        <v/>
      </c>
      <c r="F631" s="6" t="str">
        <f t="shared" si="76"/>
        <v/>
      </c>
      <c r="G631" s="7" t="str">
        <f t="shared" si="77"/>
        <v/>
      </c>
      <c r="H631" s="7" t="str">
        <f t="shared" si="78"/>
        <v/>
      </c>
      <c r="I631" s="8" t="str">
        <f t="shared" si="79"/>
        <v/>
      </c>
      <c r="L631" t="str">
        <f>IFERROR(MATCH($C$5&amp;"|"&amp;RIGHT("000000"&amp;615,6),LdgRankKeyA,0),"")</f>
        <v/>
      </c>
      <c r="M631" t="str">
        <f>IFERROR(MATCH($C$5&amp;"|"&amp;RIGHT("000000"&amp;615,6),LdgRankKeyB,0),"")</f>
        <v/>
      </c>
    </row>
    <row r="632" spans="1:13" x14ac:dyDescent="0.2">
      <c r="A632" s="9">
        <v>616</v>
      </c>
      <c r="B632" s="10" t="str">
        <f t="shared" si="72"/>
        <v/>
      </c>
      <c r="C632" s="10" t="str">
        <f t="shared" si="73"/>
        <v/>
      </c>
      <c r="D632" s="10" t="str">
        <f t="shared" si="74"/>
        <v/>
      </c>
      <c r="E632" s="11" t="str">
        <f t="shared" si="75"/>
        <v/>
      </c>
      <c r="F632" s="12" t="str">
        <f t="shared" si="76"/>
        <v/>
      </c>
      <c r="G632" s="13" t="str">
        <f t="shared" si="77"/>
        <v/>
      </c>
      <c r="H632" s="13" t="str">
        <f t="shared" si="78"/>
        <v/>
      </c>
      <c r="I632" s="14" t="str">
        <f t="shared" si="79"/>
        <v/>
      </c>
      <c r="L632" t="str">
        <f>IFERROR(MATCH($C$5&amp;"|"&amp;RIGHT("000000"&amp;616,6),LdgRankKeyA,0),"")</f>
        <v/>
      </c>
      <c r="M632" t="str">
        <f>IFERROR(MATCH($C$5&amp;"|"&amp;RIGHT("000000"&amp;616,6),LdgRankKeyB,0),"")</f>
        <v/>
      </c>
    </row>
    <row r="633" spans="1:13" x14ac:dyDescent="0.2">
      <c r="A633" s="3">
        <v>617</v>
      </c>
      <c r="B633" s="4" t="str">
        <f t="shared" si="72"/>
        <v/>
      </c>
      <c r="C633" s="4" t="str">
        <f t="shared" si="73"/>
        <v/>
      </c>
      <c r="D633" s="4" t="str">
        <f t="shared" si="74"/>
        <v/>
      </c>
      <c r="E633" s="5" t="str">
        <f t="shared" si="75"/>
        <v/>
      </c>
      <c r="F633" s="6" t="str">
        <f t="shared" si="76"/>
        <v/>
      </c>
      <c r="G633" s="7" t="str">
        <f t="shared" si="77"/>
        <v/>
      </c>
      <c r="H633" s="7" t="str">
        <f t="shared" si="78"/>
        <v/>
      </c>
      <c r="I633" s="8" t="str">
        <f t="shared" si="79"/>
        <v/>
      </c>
      <c r="L633" t="str">
        <f>IFERROR(MATCH($C$5&amp;"|"&amp;RIGHT("000000"&amp;617,6),LdgRankKeyA,0),"")</f>
        <v/>
      </c>
      <c r="M633" t="str">
        <f>IFERROR(MATCH($C$5&amp;"|"&amp;RIGHT("000000"&amp;617,6),LdgRankKeyB,0),"")</f>
        <v/>
      </c>
    </row>
    <row r="634" spans="1:13" x14ac:dyDescent="0.2">
      <c r="A634" s="9">
        <v>618</v>
      </c>
      <c r="B634" s="10" t="str">
        <f t="shared" si="72"/>
        <v/>
      </c>
      <c r="C634" s="10" t="str">
        <f t="shared" si="73"/>
        <v/>
      </c>
      <c r="D634" s="10" t="str">
        <f t="shared" si="74"/>
        <v/>
      </c>
      <c r="E634" s="11" t="str">
        <f t="shared" si="75"/>
        <v/>
      </c>
      <c r="F634" s="12" t="str">
        <f t="shared" si="76"/>
        <v/>
      </c>
      <c r="G634" s="13" t="str">
        <f t="shared" si="77"/>
        <v/>
      </c>
      <c r="H634" s="13" t="str">
        <f t="shared" si="78"/>
        <v/>
      </c>
      <c r="I634" s="14" t="str">
        <f t="shared" si="79"/>
        <v/>
      </c>
      <c r="L634" t="str">
        <f>IFERROR(MATCH($C$5&amp;"|"&amp;RIGHT("000000"&amp;618,6),LdgRankKeyA,0),"")</f>
        <v/>
      </c>
      <c r="M634" t="str">
        <f>IFERROR(MATCH($C$5&amp;"|"&amp;RIGHT("000000"&amp;618,6),LdgRankKeyB,0),"")</f>
        <v/>
      </c>
    </row>
    <row r="635" spans="1:13" x14ac:dyDescent="0.2">
      <c r="A635" s="3">
        <v>619</v>
      </c>
      <c r="B635" s="4" t="str">
        <f t="shared" si="72"/>
        <v/>
      </c>
      <c r="C635" s="4" t="str">
        <f t="shared" si="73"/>
        <v/>
      </c>
      <c r="D635" s="4" t="str">
        <f t="shared" si="74"/>
        <v/>
      </c>
      <c r="E635" s="5" t="str">
        <f t="shared" si="75"/>
        <v/>
      </c>
      <c r="F635" s="6" t="str">
        <f t="shared" si="76"/>
        <v/>
      </c>
      <c r="G635" s="7" t="str">
        <f t="shared" si="77"/>
        <v/>
      </c>
      <c r="H635" s="7" t="str">
        <f t="shared" si="78"/>
        <v/>
      </c>
      <c r="I635" s="8" t="str">
        <f t="shared" si="79"/>
        <v/>
      </c>
      <c r="L635" t="str">
        <f>IFERROR(MATCH($C$5&amp;"|"&amp;RIGHT("000000"&amp;619,6),LdgRankKeyA,0),"")</f>
        <v/>
      </c>
      <c r="M635" t="str">
        <f>IFERROR(MATCH($C$5&amp;"|"&amp;RIGHT("000000"&amp;619,6),LdgRankKeyB,0),"")</f>
        <v/>
      </c>
    </row>
    <row r="636" spans="1:13" x14ac:dyDescent="0.2">
      <c r="A636" s="9">
        <v>620</v>
      </c>
      <c r="B636" s="10" t="str">
        <f t="shared" si="72"/>
        <v/>
      </c>
      <c r="C636" s="10" t="str">
        <f t="shared" si="73"/>
        <v/>
      </c>
      <c r="D636" s="10" t="str">
        <f t="shared" si="74"/>
        <v/>
      </c>
      <c r="E636" s="11" t="str">
        <f t="shared" si="75"/>
        <v/>
      </c>
      <c r="F636" s="12" t="str">
        <f t="shared" si="76"/>
        <v/>
      </c>
      <c r="G636" s="13" t="str">
        <f t="shared" si="77"/>
        <v/>
      </c>
      <c r="H636" s="13" t="str">
        <f t="shared" si="78"/>
        <v/>
      </c>
      <c r="I636" s="14" t="str">
        <f t="shared" si="79"/>
        <v/>
      </c>
      <c r="L636" t="str">
        <f>IFERROR(MATCH($C$5&amp;"|"&amp;RIGHT("000000"&amp;620,6),LdgRankKeyA,0),"")</f>
        <v/>
      </c>
      <c r="M636" t="str">
        <f>IFERROR(MATCH($C$5&amp;"|"&amp;RIGHT("000000"&amp;620,6),LdgRankKeyB,0),"")</f>
        <v/>
      </c>
    </row>
    <row r="637" spans="1:13" x14ac:dyDescent="0.2">
      <c r="A637" s="3">
        <v>621</v>
      </c>
      <c r="B637" s="4" t="str">
        <f t="shared" si="72"/>
        <v/>
      </c>
      <c r="C637" s="4" t="str">
        <f t="shared" si="73"/>
        <v/>
      </c>
      <c r="D637" s="4" t="str">
        <f t="shared" si="74"/>
        <v/>
      </c>
      <c r="E637" s="5" t="str">
        <f t="shared" si="75"/>
        <v/>
      </c>
      <c r="F637" s="6" t="str">
        <f t="shared" si="76"/>
        <v/>
      </c>
      <c r="G637" s="7" t="str">
        <f t="shared" si="77"/>
        <v/>
      </c>
      <c r="H637" s="7" t="str">
        <f t="shared" si="78"/>
        <v/>
      </c>
      <c r="I637" s="8" t="str">
        <f t="shared" si="79"/>
        <v/>
      </c>
      <c r="L637" t="str">
        <f>IFERROR(MATCH($C$5&amp;"|"&amp;RIGHT("000000"&amp;621,6),LdgRankKeyA,0),"")</f>
        <v/>
      </c>
      <c r="M637" t="str">
        <f>IFERROR(MATCH($C$5&amp;"|"&amp;RIGHT("000000"&amp;621,6),LdgRankKeyB,0),"")</f>
        <v/>
      </c>
    </row>
    <row r="638" spans="1:13" x14ac:dyDescent="0.2">
      <c r="A638" s="9">
        <v>622</v>
      </c>
      <c r="B638" s="10" t="str">
        <f t="shared" si="72"/>
        <v/>
      </c>
      <c r="C638" s="10" t="str">
        <f t="shared" si="73"/>
        <v/>
      </c>
      <c r="D638" s="10" t="str">
        <f t="shared" si="74"/>
        <v/>
      </c>
      <c r="E638" s="11" t="str">
        <f t="shared" si="75"/>
        <v/>
      </c>
      <c r="F638" s="12" t="str">
        <f t="shared" si="76"/>
        <v/>
      </c>
      <c r="G638" s="13" t="str">
        <f t="shared" si="77"/>
        <v/>
      </c>
      <c r="H638" s="13" t="str">
        <f t="shared" si="78"/>
        <v/>
      </c>
      <c r="I638" s="14" t="str">
        <f t="shared" si="79"/>
        <v/>
      </c>
      <c r="L638" t="str">
        <f>IFERROR(MATCH($C$5&amp;"|"&amp;RIGHT("000000"&amp;622,6),LdgRankKeyA,0),"")</f>
        <v/>
      </c>
      <c r="M638" t="str">
        <f>IFERROR(MATCH($C$5&amp;"|"&amp;RIGHT("000000"&amp;622,6),LdgRankKeyB,0),"")</f>
        <v/>
      </c>
    </row>
    <row r="639" spans="1:13" x14ac:dyDescent="0.2">
      <c r="A639" s="3">
        <v>623</v>
      </c>
      <c r="B639" s="4" t="str">
        <f t="shared" si="72"/>
        <v/>
      </c>
      <c r="C639" s="4" t="str">
        <f t="shared" si="73"/>
        <v/>
      </c>
      <c r="D639" s="4" t="str">
        <f t="shared" si="74"/>
        <v/>
      </c>
      <c r="E639" s="5" t="str">
        <f t="shared" si="75"/>
        <v/>
      </c>
      <c r="F639" s="6" t="str">
        <f t="shared" si="76"/>
        <v/>
      </c>
      <c r="G639" s="7" t="str">
        <f t="shared" si="77"/>
        <v/>
      </c>
      <c r="H639" s="7" t="str">
        <f t="shared" si="78"/>
        <v/>
      </c>
      <c r="I639" s="8" t="str">
        <f t="shared" si="79"/>
        <v/>
      </c>
      <c r="L639" t="str">
        <f>IFERROR(MATCH($C$5&amp;"|"&amp;RIGHT("000000"&amp;623,6),LdgRankKeyA,0),"")</f>
        <v/>
      </c>
      <c r="M639" t="str">
        <f>IFERROR(MATCH($C$5&amp;"|"&amp;RIGHT("000000"&amp;623,6),LdgRankKeyB,0),"")</f>
        <v/>
      </c>
    </row>
    <row r="640" spans="1:13" x14ac:dyDescent="0.2">
      <c r="A640" s="9">
        <v>624</v>
      </c>
      <c r="B640" s="10" t="str">
        <f t="shared" si="72"/>
        <v/>
      </c>
      <c r="C640" s="10" t="str">
        <f t="shared" si="73"/>
        <v/>
      </c>
      <c r="D640" s="10" t="str">
        <f t="shared" si="74"/>
        <v/>
      </c>
      <c r="E640" s="11" t="str">
        <f t="shared" si="75"/>
        <v/>
      </c>
      <c r="F640" s="12" t="str">
        <f t="shared" si="76"/>
        <v/>
      </c>
      <c r="G640" s="13" t="str">
        <f t="shared" si="77"/>
        <v/>
      </c>
      <c r="H640" s="13" t="str">
        <f t="shared" si="78"/>
        <v/>
      </c>
      <c r="I640" s="14" t="str">
        <f t="shared" si="79"/>
        <v/>
      </c>
      <c r="L640" t="str">
        <f>IFERROR(MATCH($C$5&amp;"|"&amp;RIGHT("000000"&amp;624,6),LdgRankKeyA,0),"")</f>
        <v/>
      </c>
      <c r="M640" t="str">
        <f>IFERROR(MATCH($C$5&amp;"|"&amp;RIGHT("000000"&amp;624,6),LdgRankKeyB,0),"")</f>
        <v/>
      </c>
    </row>
    <row r="641" spans="1:13" x14ac:dyDescent="0.2">
      <c r="A641" s="3">
        <v>625</v>
      </c>
      <c r="B641" s="4" t="str">
        <f t="shared" si="72"/>
        <v/>
      </c>
      <c r="C641" s="4" t="str">
        <f t="shared" si="73"/>
        <v/>
      </c>
      <c r="D641" s="4" t="str">
        <f t="shared" si="74"/>
        <v/>
      </c>
      <c r="E641" s="5" t="str">
        <f t="shared" si="75"/>
        <v/>
      </c>
      <c r="F641" s="6" t="str">
        <f t="shared" si="76"/>
        <v/>
      </c>
      <c r="G641" s="7" t="str">
        <f t="shared" si="77"/>
        <v/>
      </c>
      <c r="H641" s="7" t="str">
        <f t="shared" si="78"/>
        <v/>
      </c>
      <c r="I641" s="8" t="str">
        <f t="shared" si="79"/>
        <v/>
      </c>
      <c r="L641" t="str">
        <f>IFERROR(MATCH($C$5&amp;"|"&amp;RIGHT("000000"&amp;625,6),LdgRankKeyA,0),"")</f>
        <v/>
      </c>
      <c r="M641" t="str">
        <f>IFERROR(MATCH($C$5&amp;"|"&amp;RIGHT("000000"&amp;625,6),LdgRankKeyB,0),"")</f>
        <v/>
      </c>
    </row>
    <row r="642" spans="1:13" x14ac:dyDescent="0.2">
      <c r="A642" s="9">
        <v>626</v>
      </c>
      <c r="B642" s="10" t="str">
        <f t="shared" si="72"/>
        <v/>
      </c>
      <c r="C642" s="10" t="str">
        <f t="shared" si="73"/>
        <v/>
      </c>
      <c r="D642" s="10" t="str">
        <f t="shared" si="74"/>
        <v/>
      </c>
      <c r="E642" s="11" t="str">
        <f t="shared" si="75"/>
        <v/>
      </c>
      <c r="F642" s="12" t="str">
        <f t="shared" si="76"/>
        <v/>
      </c>
      <c r="G642" s="13" t="str">
        <f t="shared" si="77"/>
        <v/>
      </c>
      <c r="H642" s="13" t="str">
        <f t="shared" si="78"/>
        <v/>
      </c>
      <c r="I642" s="14" t="str">
        <f t="shared" si="79"/>
        <v/>
      </c>
      <c r="L642" t="str">
        <f>IFERROR(MATCH($C$5&amp;"|"&amp;RIGHT("000000"&amp;626,6),LdgRankKeyA,0),"")</f>
        <v/>
      </c>
      <c r="M642" t="str">
        <f>IFERROR(MATCH($C$5&amp;"|"&amp;RIGHT("000000"&amp;626,6),LdgRankKeyB,0),"")</f>
        <v/>
      </c>
    </row>
    <row r="643" spans="1:13" x14ac:dyDescent="0.2">
      <c r="A643" s="3">
        <v>627</v>
      </c>
      <c r="B643" s="4" t="str">
        <f t="shared" si="72"/>
        <v/>
      </c>
      <c r="C643" s="4" t="str">
        <f t="shared" si="73"/>
        <v/>
      </c>
      <c r="D643" s="4" t="str">
        <f t="shared" si="74"/>
        <v/>
      </c>
      <c r="E643" s="5" t="str">
        <f t="shared" si="75"/>
        <v/>
      </c>
      <c r="F643" s="6" t="str">
        <f t="shared" si="76"/>
        <v/>
      </c>
      <c r="G643" s="7" t="str">
        <f t="shared" si="77"/>
        <v/>
      </c>
      <c r="H643" s="7" t="str">
        <f t="shared" si="78"/>
        <v/>
      </c>
      <c r="I643" s="8" t="str">
        <f t="shared" si="79"/>
        <v/>
      </c>
      <c r="L643" t="str">
        <f>IFERROR(MATCH($C$5&amp;"|"&amp;RIGHT("000000"&amp;627,6),LdgRankKeyA,0),"")</f>
        <v/>
      </c>
      <c r="M643" t="str">
        <f>IFERROR(MATCH($C$5&amp;"|"&amp;RIGHT("000000"&amp;627,6),LdgRankKeyB,0),"")</f>
        <v/>
      </c>
    </row>
    <row r="644" spans="1:13" x14ac:dyDescent="0.2">
      <c r="A644" s="9">
        <v>628</v>
      </c>
      <c r="B644" s="10" t="str">
        <f t="shared" si="72"/>
        <v/>
      </c>
      <c r="C644" s="10" t="str">
        <f t="shared" si="73"/>
        <v/>
      </c>
      <c r="D644" s="10" t="str">
        <f t="shared" si="74"/>
        <v/>
      </c>
      <c r="E644" s="11" t="str">
        <f t="shared" si="75"/>
        <v/>
      </c>
      <c r="F644" s="12" t="str">
        <f t="shared" si="76"/>
        <v/>
      </c>
      <c r="G644" s="13" t="str">
        <f t="shared" si="77"/>
        <v/>
      </c>
      <c r="H644" s="13" t="str">
        <f t="shared" si="78"/>
        <v/>
      </c>
      <c r="I644" s="14" t="str">
        <f t="shared" si="79"/>
        <v/>
      </c>
      <c r="L644" t="str">
        <f>IFERROR(MATCH($C$5&amp;"|"&amp;RIGHT("000000"&amp;628,6),LdgRankKeyA,0),"")</f>
        <v/>
      </c>
      <c r="M644" t="str">
        <f>IFERROR(MATCH($C$5&amp;"|"&amp;RIGHT("000000"&amp;628,6),LdgRankKeyB,0),"")</f>
        <v/>
      </c>
    </row>
    <row r="645" spans="1:13" x14ac:dyDescent="0.2">
      <c r="A645" s="3">
        <v>629</v>
      </c>
      <c r="B645" s="4" t="str">
        <f t="shared" si="72"/>
        <v/>
      </c>
      <c r="C645" s="4" t="str">
        <f t="shared" si="73"/>
        <v/>
      </c>
      <c r="D645" s="4" t="str">
        <f t="shared" si="74"/>
        <v/>
      </c>
      <c r="E645" s="5" t="str">
        <f t="shared" si="75"/>
        <v/>
      </c>
      <c r="F645" s="6" t="str">
        <f t="shared" si="76"/>
        <v/>
      </c>
      <c r="G645" s="7" t="str">
        <f t="shared" si="77"/>
        <v/>
      </c>
      <c r="H645" s="7" t="str">
        <f t="shared" si="78"/>
        <v/>
      </c>
      <c r="I645" s="8" t="str">
        <f t="shared" si="79"/>
        <v/>
      </c>
      <c r="L645" t="str">
        <f>IFERROR(MATCH($C$5&amp;"|"&amp;RIGHT("000000"&amp;629,6),LdgRankKeyA,0),"")</f>
        <v/>
      </c>
      <c r="M645" t="str">
        <f>IFERROR(MATCH($C$5&amp;"|"&amp;RIGHT("000000"&amp;629,6),LdgRankKeyB,0),"")</f>
        <v/>
      </c>
    </row>
    <row r="646" spans="1:13" x14ac:dyDescent="0.2">
      <c r="A646" s="9">
        <v>630</v>
      </c>
      <c r="B646" s="10" t="str">
        <f t="shared" si="72"/>
        <v/>
      </c>
      <c r="C646" s="10" t="str">
        <f t="shared" si="73"/>
        <v/>
      </c>
      <c r="D646" s="10" t="str">
        <f t="shared" si="74"/>
        <v/>
      </c>
      <c r="E646" s="11" t="str">
        <f t="shared" si="75"/>
        <v/>
      </c>
      <c r="F646" s="12" t="str">
        <f t="shared" si="76"/>
        <v/>
      </c>
      <c r="G646" s="13" t="str">
        <f t="shared" si="77"/>
        <v/>
      </c>
      <c r="H646" s="13" t="str">
        <f t="shared" si="78"/>
        <v/>
      </c>
      <c r="I646" s="14" t="str">
        <f t="shared" si="79"/>
        <v/>
      </c>
      <c r="L646" t="str">
        <f>IFERROR(MATCH($C$5&amp;"|"&amp;RIGHT("000000"&amp;630,6),LdgRankKeyA,0),"")</f>
        <v/>
      </c>
      <c r="M646" t="str">
        <f>IFERROR(MATCH($C$5&amp;"|"&amp;RIGHT("000000"&amp;630,6),LdgRankKeyB,0),"")</f>
        <v/>
      </c>
    </row>
    <row r="647" spans="1:13" x14ac:dyDescent="0.2">
      <c r="A647" s="3">
        <v>631</v>
      </c>
      <c r="B647" s="4" t="str">
        <f t="shared" si="72"/>
        <v/>
      </c>
      <c r="C647" s="4" t="str">
        <f t="shared" si="73"/>
        <v/>
      </c>
      <c r="D647" s="4" t="str">
        <f t="shared" si="74"/>
        <v/>
      </c>
      <c r="E647" s="5" t="str">
        <f t="shared" si="75"/>
        <v/>
      </c>
      <c r="F647" s="6" t="str">
        <f t="shared" si="76"/>
        <v/>
      </c>
      <c r="G647" s="7" t="str">
        <f t="shared" si="77"/>
        <v/>
      </c>
      <c r="H647" s="7" t="str">
        <f t="shared" si="78"/>
        <v/>
      </c>
      <c r="I647" s="8" t="str">
        <f t="shared" si="79"/>
        <v/>
      </c>
      <c r="L647" t="str">
        <f>IFERROR(MATCH($C$5&amp;"|"&amp;RIGHT("000000"&amp;631,6),LdgRankKeyA,0),"")</f>
        <v/>
      </c>
      <c r="M647" t="str">
        <f>IFERROR(MATCH($C$5&amp;"|"&amp;RIGHT("000000"&amp;631,6),LdgRankKeyB,0),"")</f>
        <v/>
      </c>
    </row>
    <row r="648" spans="1:13" x14ac:dyDescent="0.2">
      <c r="A648" s="9">
        <v>632</v>
      </c>
      <c r="B648" s="10" t="str">
        <f t="shared" si="72"/>
        <v/>
      </c>
      <c r="C648" s="10" t="str">
        <f t="shared" si="73"/>
        <v/>
      </c>
      <c r="D648" s="10" t="str">
        <f t="shared" si="74"/>
        <v/>
      </c>
      <c r="E648" s="11" t="str">
        <f t="shared" si="75"/>
        <v/>
      </c>
      <c r="F648" s="12" t="str">
        <f t="shared" si="76"/>
        <v/>
      </c>
      <c r="G648" s="13" t="str">
        <f t="shared" si="77"/>
        <v/>
      </c>
      <c r="H648" s="13" t="str">
        <f t="shared" si="78"/>
        <v/>
      </c>
      <c r="I648" s="14" t="str">
        <f t="shared" si="79"/>
        <v/>
      </c>
      <c r="L648" t="str">
        <f>IFERROR(MATCH($C$5&amp;"|"&amp;RIGHT("000000"&amp;632,6),LdgRankKeyA,0),"")</f>
        <v/>
      </c>
      <c r="M648" t="str">
        <f>IFERROR(MATCH($C$5&amp;"|"&amp;RIGHT("000000"&amp;632,6),LdgRankKeyB,0),"")</f>
        <v/>
      </c>
    </row>
    <row r="649" spans="1:13" x14ac:dyDescent="0.2">
      <c r="A649" s="3">
        <v>633</v>
      </c>
      <c r="B649" s="4" t="str">
        <f t="shared" si="72"/>
        <v/>
      </c>
      <c r="C649" s="4" t="str">
        <f t="shared" si="73"/>
        <v/>
      </c>
      <c r="D649" s="4" t="str">
        <f t="shared" si="74"/>
        <v/>
      </c>
      <c r="E649" s="5" t="str">
        <f t="shared" si="75"/>
        <v/>
      </c>
      <c r="F649" s="6" t="str">
        <f t="shared" si="76"/>
        <v/>
      </c>
      <c r="G649" s="7" t="str">
        <f t="shared" si="77"/>
        <v/>
      </c>
      <c r="H649" s="7" t="str">
        <f t="shared" si="78"/>
        <v/>
      </c>
      <c r="I649" s="8" t="str">
        <f t="shared" si="79"/>
        <v/>
      </c>
      <c r="L649" t="str">
        <f>IFERROR(MATCH($C$5&amp;"|"&amp;RIGHT("000000"&amp;633,6),LdgRankKeyA,0),"")</f>
        <v/>
      </c>
      <c r="M649" t="str">
        <f>IFERROR(MATCH($C$5&amp;"|"&amp;RIGHT("000000"&amp;633,6),LdgRankKeyB,0),"")</f>
        <v/>
      </c>
    </row>
    <row r="650" spans="1:13" x14ac:dyDescent="0.2">
      <c r="A650" s="9">
        <v>634</v>
      </c>
      <c r="B650" s="10" t="str">
        <f t="shared" si="72"/>
        <v/>
      </c>
      <c r="C650" s="10" t="str">
        <f t="shared" si="73"/>
        <v/>
      </c>
      <c r="D650" s="10" t="str">
        <f t="shared" si="74"/>
        <v/>
      </c>
      <c r="E650" s="11" t="str">
        <f t="shared" si="75"/>
        <v/>
      </c>
      <c r="F650" s="12" t="str">
        <f t="shared" si="76"/>
        <v/>
      </c>
      <c r="G650" s="13" t="str">
        <f t="shared" si="77"/>
        <v/>
      </c>
      <c r="H650" s="13" t="str">
        <f t="shared" si="78"/>
        <v/>
      </c>
      <c r="I650" s="14" t="str">
        <f t="shared" si="79"/>
        <v/>
      </c>
      <c r="L650" t="str">
        <f>IFERROR(MATCH($C$5&amp;"|"&amp;RIGHT("000000"&amp;634,6),LdgRankKeyA,0),"")</f>
        <v/>
      </c>
      <c r="M650" t="str">
        <f>IFERROR(MATCH($C$5&amp;"|"&amp;RIGHT("000000"&amp;634,6),LdgRankKeyB,0),"")</f>
        <v/>
      </c>
    </row>
    <row r="651" spans="1:13" x14ac:dyDescent="0.2">
      <c r="A651" s="3">
        <v>635</v>
      </c>
      <c r="B651" s="4" t="str">
        <f t="shared" si="72"/>
        <v/>
      </c>
      <c r="C651" s="4" t="str">
        <f t="shared" si="73"/>
        <v/>
      </c>
      <c r="D651" s="4" t="str">
        <f t="shared" si="74"/>
        <v/>
      </c>
      <c r="E651" s="5" t="str">
        <f t="shared" si="75"/>
        <v/>
      </c>
      <c r="F651" s="6" t="str">
        <f t="shared" si="76"/>
        <v/>
      </c>
      <c r="G651" s="7" t="str">
        <f t="shared" si="77"/>
        <v/>
      </c>
      <c r="H651" s="7" t="str">
        <f t="shared" si="78"/>
        <v/>
      </c>
      <c r="I651" s="8" t="str">
        <f t="shared" si="79"/>
        <v/>
      </c>
      <c r="L651" t="str">
        <f>IFERROR(MATCH($C$5&amp;"|"&amp;RIGHT("000000"&amp;635,6),LdgRankKeyA,0),"")</f>
        <v/>
      </c>
      <c r="M651" t="str">
        <f>IFERROR(MATCH($C$5&amp;"|"&amp;RIGHT("000000"&amp;635,6),LdgRankKeyB,0),"")</f>
        <v/>
      </c>
    </row>
    <row r="652" spans="1:13" x14ac:dyDescent="0.2">
      <c r="A652" s="9">
        <v>636</v>
      </c>
      <c r="B652" s="10" t="str">
        <f t="shared" si="72"/>
        <v/>
      </c>
      <c r="C652" s="10" t="str">
        <f t="shared" si="73"/>
        <v/>
      </c>
      <c r="D652" s="10" t="str">
        <f t="shared" si="74"/>
        <v/>
      </c>
      <c r="E652" s="11" t="str">
        <f t="shared" si="75"/>
        <v/>
      </c>
      <c r="F652" s="12" t="str">
        <f t="shared" si="76"/>
        <v/>
      </c>
      <c r="G652" s="13" t="str">
        <f t="shared" si="77"/>
        <v/>
      </c>
      <c r="H652" s="13" t="str">
        <f t="shared" si="78"/>
        <v/>
      </c>
      <c r="I652" s="14" t="str">
        <f t="shared" si="79"/>
        <v/>
      </c>
      <c r="L652" t="str">
        <f>IFERROR(MATCH($C$5&amp;"|"&amp;RIGHT("000000"&amp;636,6),LdgRankKeyA,0),"")</f>
        <v/>
      </c>
      <c r="M652" t="str">
        <f>IFERROR(MATCH($C$5&amp;"|"&amp;RIGHT("000000"&amp;636,6),LdgRankKeyB,0),"")</f>
        <v/>
      </c>
    </row>
    <row r="653" spans="1:13" x14ac:dyDescent="0.2">
      <c r="A653" s="3">
        <v>637</v>
      </c>
      <c r="B653" s="4" t="str">
        <f t="shared" si="72"/>
        <v/>
      </c>
      <c r="C653" s="4" t="str">
        <f t="shared" si="73"/>
        <v/>
      </c>
      <c r="D653" s="4" t="str">
        <f t="shared" si="74"/>
        <v/>
      </c>
      <c r="E653" s="5" t="str">
        <f t="shared" si="75"/>
        <v/>
      </c>
      <c r="F653" s="6" t="str">
        <f t="shared" si="76"/>
        <v/>
      </c>
      <c r="G653" s="7" t="str">
        <f t="shared" si="77"/>
        <v/>
      </c>
      <c r="H653" s="7" t="str">
        <f t="shared" si="78"/>
        <v/>
      </c>
      <c r="I653" s="8" t="str">
        <f t="shared" si="79"/>
        <v/>
      </c>
      <c r="L653" t="str">
        <f>IFERROR(MATCH($C$5&amp;"|"&amp;RIGHT("000000"&amp;637,6),LdgRankKeyA,0),"")</f>
        <v/>
      </c>
      <c r="M653" t="str">
        <f>IFERROR(MATCH($C$5&amp;"|"&amp;RIGHT("000000"&amp;637,6),LdgRankKeyB,0),"")</f>
        <v/>
      </c>
    </row>
    <row r="654" spans="1:13" x14ac:dyDescent="0.2">
      <c r="A654" s="9">
        <v>638</v>
      </c>
      <c r="B654" s="10" t="str">
        <f t="shared" si="72"/>
        <v/>
      </c>
      <c r="C654" s="10" t="str">
        <f t="shared" si="73"/>
        <v/>
      </c>
      <c r="D654" s="10" t="str">
        <f t="shared" si="74"/>
        <v/>
      </c>
      <c r="E654" s="11" t="str">
        <f t="shared" si="75"/>
        <v/>
      </c>
      <c r="F654" s="12" t="str">
        <f t="shared" si="76"/>
        <v/>
      </c>
      <c r="G654" s="13" t="str">
        <f t="shared" si="77"/>
        <v/>
      </c>
      <c r="H654" s="13" t="str">
        <f t="shared" si="78"/>
        <v/>
      </c>
      <c r="I654" s="14" t="str">
        <f t="shared" si="79"/>
        <v/>
      </c>
      <c r="L654" t="str">
        <f>IFERROR(MATCH($C$5&amp;"|"&amp;RIGHT("000000"&amp;638,6),LdgRankKeyA,0),"")</f>
        <v/>
      </c>
      <c r="M654" t="str">
        <f>IFERROR(MATCH($C$5&amp;"|"&amp;RIGHT("000000"&amp;638,6),LdgRankKeyB,0),"")</f>
        <v/>
      </c>
    </row>
    <row r="655" spans="1:13" x14ac:dyDescent="0.2">
      <c r="A655" s="3">
        <v>639</v>
      </c>
      <c r="B655" s="4" t="str">
        <f t="shared" si="72"/>
        <v/>
      </c>
      <c r="C655" s="4" t="str">
        <f t="shared" si="73"/>
        <v/>
      </c>
      <c r="D655" s="4" t="str">
        <f t="shared" si="74"/>
        <v/>
      </c>
      <c r="E655" s="5" t="str">
        <f t="shared" si="75"/>
        <v/>
      </c>
      <c r="F655" s="6" t="str">
        <f t="shared" si="76"/>
        <v/>
      </c>
      <c r="G655" s="7" t="str">
        <f t="shared" si="77"/>
        <v/>
      </c>
      <c r="H655" s="7" t="str">
        <f t="shared" si="78"/>
        <v/>
      </c>
      <c r="I655" s="8" t="str">
        <f t="shared" si="79"/>
        <v/>
      </c>
      <c r="L655" t="str">
        <f>IFERROR(MATCH($C$5&amp;"|"&amp;RIGHT("000000"&amp;639,6),LdgRankKeyA,0),"")</f>
        <v/>
      </c>
      <c r="M655" t="str">
        <f>IFERROR(MATCH($C$5&amp;"|"&amp;RIGHT("000000"&amp;639,6),LdgRankKeyB,0),"")</f>
        <v/>
      </c>
    </row>
    <row r="656" spans="1:13" x14ac:dyDescent="0.2">
      <c r="A656" s="9">
        <v>640</v>
      </c>
      <c r="B656" s="10" t="str">
        <f t="shared" si="72"/>
        <v/>
      </c>
      <c r="C656" s="10" t="str">
        <f t="shared" si="73"/>
        <v/>
      </c>
      <c r="D656" s="10" t="str">
        <f t="shared" si="74"/>
        <v/>
      </c>
      <c r="E656" s="11" t="str">
        <f t="shared" si="75"/>
        <v/>
      </c>
      <c r="F656" s="12" t="str">
        <f t="shared" si="76"/>
        <v/>
      </c>
      <c r="G656" s="13" t="str">
        <f t="shared" si="77"/>
        <v/>
      </c>
      <c r="H656" s="13" t="str">
        <f t="shared" si="78"/>
        <v/>
      </c>
      <c r="I656" s="14" t="str">
        <f t="shared" si="79"/>
        <v/>
      </c>
      <c r="L656" t="str">
        <f>IFERROR(MATCH($C$5&amp;"|"&amp;RIGHT("000000"&amp;640,6),LdgRankKeyA,0),"")</f>
        <v/>
      </c>
      <c r="M656" t="str">
        <f>IFERROR(MATCH($C$5&amp;"|"&amp;RIGHT("000000"&amp;640,6),LdgRankKeyB,0),"")</f>
        <v/>
      </c>
    </row>
    <row r="657" spans="1:13" x14ac:dyDescent="0.2">
      <c r="A657" s="3">
        <v>641</v>
      </c>
      <c r="B657" s="4" t="str">
        <f t="shared" ref="B657:B720" si="80">IF(AND($L657="",$M657=""),"",IF($L657&lt;&gt;"",INDEX(SCNormDate,$L657),INDEX(LdgDateB,$M657)))</f>
        <v/>
      </c>
      <c r="C657" s="4" t="str">
        <f t="shared" ref="C657:C720" si="81">IF($L657&lt;&gt;"",INDEX(SCOp,$L657),IF($M657&lt;&gt;"","پرداخت بانکی",""))</f>
        <v/>
      </c>
      <c r="D657" s="4" t="str">
        <f t="shared" ref="D657:D720" si="82">IF($L657&lt;&gt;"",IF(INDEX(SCDoc,$L657)="","—",INDEX(SCDoc,$L657)),IF($M657&lt;&gt;"",INDEX(LdgBankB,$M657),""))</f>
        <v/>
      </c>
      <c r="E657" s="5" t="str">
        <f t="shared" ref="E657:E720" si="83">IF($L657&lt;&gt;"",IF(INDEX(SCCitrus,$L657)&amp;INDEX(SCNotes,$L657)="","",IF(INDEX(SCCitrus,$L657)="","",INDEX(SCCitrus,$L657))&amp;IF(INDEX(SCNotes,$L657)="",""," — "&amp;INDEX(SCNotes,$L657))),IF($M657&lt;&gt;"",IF(INDEX(LdgNoteB,$M657)="","—",INDEX(LdgNoteB,$M657)),""))</f>
        <v/>
      </c>
      <c r="F657" s="6" t="str">
        <f t="shared" ref="F657:F720" si="84">IF($L657&lt;&gt;"",IF(INDEX(SCNet,$L657)=0,"",INDEX(SCNet,$L657)),"")</f>
        <v/>
      </c>
      <c r="G657" s="7" t="str">
        <f t="shared" ref="G657:G720" si="85">IF($L657&lt;&gt;"",IF(INDEX(SCOp,$L657)="مرجوعی فروش","",IF(INDEX(SCAmount,$L657)&lt;=0,"",INDEX(SCAmount,$L657))),IF($M657&lt;&gt;"",IF(INDEX(LdgWitB,$M657)=0,"",INDEX(LdgWitB,$M657)),""))</f>
        <v/>
      </c>
      <c r="H657" s="7" t="str">
        <f t="shared" ref="H657:H720" si="86">IF($L657&lt;&gt;"",IF(INDEX(SCOp,$L657)="مرجوعی فروش",IF(INDEX(SCAmount,$L657)=0,"",-INDEX(SCAmount,$L657)),""),IF($M657&lt;&gt;"",IF(INDEX(LdgDepB,$M657)=0,"",INDEX(LdgDepB,$M657)),""))</f>
        <v/>
      </c>
      <c r="I657" s="8" t="str">
        <f t="shared" si="79"/>
        <v/>
      </c>
      <c r="L657" t="str">
        <f>IFERROR(MATCH($C$5&amp;"|"&amp;RIGHT("000000"&amp;641,6),LdgRankKeyA,0),"")</f>
        <v/>
      </c>
      <c r="M657" t="str">
        <f>IFERROR(MATCH($C$5&amp;"|"&amp;RIGHT("000000"&amp;641,6),LdgRankKeyB,0),"")</f>
        <v/>
      </c>
    </row>
    <row r="658" spans="1:13" x14ac:dyDescent="0.2">
      <c r="A658" s="9">
        <v>642</v>
      </c>
      <c r="B658" s="10" t="str">
        <f t="shared" si="80"/>
        <v/>
      </c>
      <c r="C658" s="10" t="str">
        <f t="shared" si="81"/>
        <v/>
      </c>
      <c r="D658" s="10" t="str">
        <f t="shared" si="82"/>
        <v/>
      </c>
      <c r="E658" s="11" t="str">
        <f t="shared" si="83"/>
        <v/>
      </c>
      <c r="F658" s="12" t="str">
        <f t="shared" si="84"/>
        <v/>
      </c>
      <c r="G658" s="13" t="str">
        <f t="shared" si="85"/>
        <v/>
      </c>
      <c r="H658" s="13" t="str">
        <f t="shared" si="86"/>
        <v/>
      </c>
      <c r="I658" s="14" t="str">
        <f t="shared" ref="I658:I721" si="87">IF($B658="","",IF($I657="",$C$10,$I657)+IF($G658="",0,$G658)-IF($H658="",0,$H658))</f>
        <v/>
      </c>
      <c r="L658" t="str">
        <f>IFERROR(MATCH($C$5&amp;"|"&amp;RIGHT("000000"&amp;642,6),LdgRankKeyA,0),"")</f>
        <v/>
      </c>
      <c r="M658" t="str">
        <f>IFERROR(MATCH($C$5&amp;"|"&amp;RIGHT("000000"&amp;642,6),LdgRankKeyB,0),"")</f>
        <v/>
      </c>
    </row>
    <row r="659" spans="1:13" x14ac:dyDescent="0.2">
      <c r="A659" s="3">
        <v>643</v>
      </c>
      <c r="B659" s="4" t="str">
        <f t="shared" si="80"/>
        <v/>
      </c>
      <c r="C659" s="4" t="str">
        <f t="shared" si="81"/>
        <v/>
      </c>
      <c r="D659" s="4" t="str">
        <f t="shared" si="82"/>
        <v/>
      </c>
      <c r="E659" s="5" t="str">
        <f t="shared" si="83"/>
        <v/>
      </c>
      <c r="F659" s="6" t="str">
        <f t="shared" si="84"/>
        <v/>
      </c>
      <c r="G659" s="7" t="str">
        <f t="shared" si="85"/>
        <v/>
      </c>
      <c r="H659" s="7" t="str">
        <f t="shared" si="86"/>
        <v/>
      </c>
      <c r="I659" s="8" t="str">
        <f t="shared" si="87"/>
        <v/>
      </c>
      <c r="L659" t="str">
        <f>IFERROR(MATCH($C$5&amp;"|"&amp;RIGHT("000000"&amp;643,6),LdgRankKeyA,0),"")</f>
        <v/>
      </c>
      <c r="M659" t="str">
        <f>IFERROR(MATCH($C$5&amp;"|"&amp;RIGHT("000000"&amp;643,6),LdgRankKeyB,0),"")</f>
        <v/>
      </c>
    </row>
    <row r="660" spans="1:13" x14ac:dyDescent="0.2">
      <c r="A660" s="9">
        <v>644</v>
      </c>
      <c r="B660" s="10" t="str">
        <f t="shared" si="80"/>
        <v/>
      </c>
      <c r="C660" s="10" t="str">
        <f t="shared" si="81"/>
        <v/>
      </c>
      <c r="D660" s="10" t="str">
        <f t="shared" si="82"/>
        <v/>
      </c>
      <c r="E660" s="11" t="str">
        <f t="shared" si="83"/>
        <v/>
      </c>
      <c r="F660" s="12" t="str">
        <f t="shared" si="84"/>
        <v/>
      </c>
      <c r="G660" s="13" t="str">
        <f t="shared" si="85"/>
        <v/>
      </c>
      <c r="H660" s="13" t="str">
        <f t="shared" si="86"/>
        <v/>
      </c>
      <c r="I660" s="14" t="str">
        <f t="shared" si="87"/>
        <v/>
      </c>
      <c r="L660" t="str">
        <f>IFERROR(MATCH($C$5&amp;"|"&amp;RIGHT("000000"&amp;644,6),LdgRankKeyA,0),"")</f>
        <v/>
      </c>
      <c r="M660" t="str">
        <f>IFERROR(MATCH($C$5&amp;"|"&amp;RIGHT("000000"&amp;644,6),LdgRankKeyB,0),"")</f>
        <v/>
      </c>
    </row>
    <row r="661" spans="1:13" x14ac:dyDescent="0.2">
      <c r="A661" s="3">
        <v>645</v>
      </c>
      <c r="B661" s="4" t="str">
        <f t="shared" si="80"/>
        <v/>
      </c>
      <c r="C661" s="4" t="str">
        <f t="shared" si="81"/>
        <v/>
      </c>
      <c r="D661" s="4" t="str">
        <f t="shared" si="82"/>
        <v/>
      </c>
      <c r="E661" s="5" t="str">
        <f t="shared" si="83"/>
        <v/>
      </c>
      <c r="F661" s="6" t="str">
        <f t="shared" si="84"/>
        <v/>
      </c>
      <c r="G661" s="7" t="str">
        <f t="shared" si="85"/>
        <v/>
      </c>
      <c r="H661" s="7" t="str">
        <f t="shared" si="86"/>
        <v/>
      </c>
      <c r="I661" s="8" t="str">
        <f t="shared" si="87"/>
        <v/>
      </c>
      <c r="L661" t="str">
        <f>IFERROR(MATCH($C$5&amp;"|"&amp;RIGHT("000000"&amp;645,6),LdgRankKeyA,0),"")</f>
        <v/>
      </c>
      <c r="M661" t="str">
        <f>IFERROR(MATCH($C$5&amp;"|"&amp;RIGHT("000000"&amp;645,6),LdgRankKeyB,0),"")</f>
        <v/>
      </c>
    </row>
    <row r="662" spans="1:13" x14ac:dyDescent="0.2">
      <c r="A662" s="9">
        <v>646</v>
      </c>
      <c r="B662" s="10" t="str">
        <f t="shared" si="80"/>
        <v/>
      </c>
      <c r="C662" s="10" t="str">
        <f t="shared" si="81"/>
        <v/>
      </c>
      <c r="D662" s="10" t="str">
        <f t="shared" si="82"/>
        <v/>
      </c>
      <c r="E662" s="11" t="str">
        <f t="shared" si="83"/>
        <v/>
      </c>
      <c r="F662" s="12" t="str">
        <f t="shared" si="84"/>
        <v/>
      </c>
      <c r="G662" s="13" t="str">
        <f t="shared" si="85"/>
        <v/>
      </c>
      <c r="H662" s="13" t="str">
        <f t="shared" si="86"/>
        <v/>
      </c>
      <c r="I662" s="14" t="str">
        <f t="shared" si="87"/>
        <v/>
      </c>
      <c r="L662" t="str">
        <f>IFERROR(MATCH($C$5&amp;"|"&amp;RIGHT("000000"&amp;646,6),LdgRankKeyA,0),"")</f>
        <v/>
      </c>
      <c r="M662" t="str">
        <f>IFERROR(MATCH($C$5&amp;"|"&amp;RIGHT("000000"&amp;646,6),LdgRankKeyB,0),"")</f>
        <v/>
      </c>
    </row>
    <row r="663" spans="1:13" x14ac:dyDescent="0.2">
      <c r="A663" s="3">
        <v>647</v>
      </c>
      <c r="B663" s="4" t="str">
        <f t="shared" si="80"/>
        <v/>
      </c>
      <c r="C663" s="4" t="str">
        <f t="shared" si="81"/>
        <v/>
      </c>
      <c r="D663" s="4" t="str">
        <f t="shared" si="82"/>
        <v/>
      </c>
      <c r="E663" s="5" t="str">
        <f t="shared" si="83"/>
        <v/>
      </c>
      <c r="F663" s="6" t="str">
        <f t="shared" si="84"/>
        <v/>
      </c>
      <c r="G663" s="7" t="str">
        <f t="shared" si="85"/>
        <v/>
      </c>
      <c r="H663" s="7" t="str">
        <f t="shared" si="86"/>
        <v/>
      </c>
      <c r="I663" s="8" t="str">
        <f t="shared" si="87"/>
        <v/>
      </c>
      <c r="L663" t="str">
        <f>IFERROR(MATCH($C$5&amp;"|"&amp;RIGHT("000000"&amp;647,6),LdgRankKeyA,0),"")</f>
        <v/>
      </c>
      <c r="M663" t="str">
        <f>IFERROR(MATCH($C$5&amp;"|"&amp;RIGHT("000000"&amp;647,6),LdgRankKeyB,0),"")</f>
        <v/>
      </c>
    </row>
    <row r="664" spans="1:13" x14ac:dyDescent="0.2">
      <c r="A664" s="9">
        <v>648</v>
      </c>
      <c r="B664" s="10" t="str">
        <f t="shared" si="80"/>
        <v/>
      </c>
      <c r="C664" s="10" t="str">
        <f t="shared" si="81"/>
        <v/>
      </c>
      <c r="D664" s="10" t="str">
        <f t="shared" si="82"/>
        <v/>
      </c>
      <c r="E664" s="11" t="str">
        <f t="shared" si="83"/>
        <v/>
      </c>
      <c r="F664" s="12" t="str">
        <f t="shared" si="84"/>
        <v/>
      </c>
      <c r="G664" s="13" t="str">
        <f t="shared" si="85"/>
        <v/>
      </c>
      <c r="H664" s="13" t="str">
        <f t="shared" si="86"/>
        <v/>
      </c>
      <c r="I664" s="14" t="str">
        <f t="shared" si="87"/>
        <v/>
      </c>
      <c r="L664" t="str">
        <f>IFERROR(MATCH($C$5&amp;"|"&amp;RIGHT("000000"&amp;648,6),LdgRankKeyA,0),"")</f>
        <v/>
      </c>
      <c r="M664" t="str">
        <f>IFERROR(MATCH($C$5&amp;"|"&amp;RIGHT("000000"&amp;648,6),LdgRankKeyB,0),"")</f>
        <v/>
      </c>
    </row>
    <row r="665" spans="1:13" x14ac:dyDescent="0.2">
      <c r="A665" s="3">
        <v>649</v>
      </c>
      <c r="B665" s="4" t="str">
        <f t="shared" si="80"/>
        <v/>
      </c>
      <c r="C665" s="4" t="str">
        <f t="shared" si="81"/>
        <v/>
      </c>
      <c r="D665" s="4" t="str">
        <f t="shared" si="82"/>
        <v/>
      </c>
      <c r="E665" s="5" t="str">
        <f t="shared" si="83"/>
        <v/>
      </c>
      <c r="F665" s="6" t="str">
        <f t="shared" si="84"/>
        <v/>
      </c>
      <c r="G665" s="7" t="str">
        <f t="shared" si="85"/>
        <v/>
      </c>
      <c r="H665" s="7" t="str">
        <f t="shared" si="86"/>
        <v/>
      </c>
      <c r="I665" s="8" t="str">
        <f t="shared" si="87"/>
        <v/>
      </c>
      <c r="L665" t="str">
        <f>IFERROR(MATCH($C$5&amp;"|"&amp;RIGHT("000000"&amp;649,6),LdgRankKeyA,0),"")</f>
        <v/>
      </c>
      <c r="M665" t="str">
        <f>IFERROR(MATCH($C$5&amp;"|"&amp;RIGHT("000000"&amp;649,6),LdgRankKeyB,0),"")</f>
        <v/>
      </c>
    </row>
    <row r="666" spans="1:13" x14ac:dyDescent="0.2">
      <c r="A666" s="9">
        <v>650</v>
      </c>
      <c r="B666" s="10" t="str">
        <f t="shared" si="80"/>
        <v/>
      </c>
      <c r="C666" s="10" t="str">
        <f t="shared" si="81"/>
        <v/>
      </c>
      <c r="D666" s="10" t="str">
        <f t="shared" si="82"/>
        <v/>
      </c>
      <c r="E666" s="11" t="str">
        <f t="shared" si="83"/>
        <v/>
      </c>
      <c r="F666" s="12" t="str">
        <f t="shared" si="84"/>
        <v/>
      </c>
      <c r="G666" s="13" t="str">
        <f t="shared" si="85"/>
        <v/>
      </c>
      <c r="H666" s="13" t="str">
        <f t="shared" si="86"/>
        <v/>
      </c>
      <c r="I666" s="14" t="str">
        <f t="shared" si="87"/>
        <v/>
      </c>
      <c r="L666" t="str">
        <f>IFERROR(MATCH($C$5&amp;"|"&amp;RIGHT("000000"&amp;650,6),LdgRankKeyA,0),"")</f>
        <v/>
      </c>
      <c r="M666" t="str">
        <f>IFERROR(MATCH($C$5&amp;"|"&amp;RIGHT("000000"&amp;650,6),LdgRankKeyB,0),"")</f>
        <v/>
      </c>
    </row>
    <row r="667" spans="1:13" x14ac:dyDescent="0.2">
      <c r="A667" s="3">
        <v>651</v>
      </c>
      <c r="B667" s="4" t="str">
        <f t="shared" si="80"/>
        <v/>
      </c>
      <c r="C667" s="4" t="str">
        <f t="shared" si="81"/>
        <v/>
      </c>
      <c r="D667" s="4" t="str">
        <f t="shared" si="82"/>
        <v/>
      </c>
      <c r="E667" s="5" t="str">
        <f t="shared" si="83"/>
        <v/>
      </c>
      <c r="F667" s="6" t="str">
        <f t="shared" si="84"/>
        <v/>
      </c>
      <c r="G667" s="7" t="str">
        <f t="shared" si="85"/>
        <v/>
      </c>
      <c r="H667" s="7" t="str">
        <f t="shared" si="86"/>
        <v/>
      </c>
      <c r="I667" s="8" t="str">
        <f t="shared" si="87"/>
        <v/>
      </c>
      <c r="L667" t="str">
        <f>IFERROR(MATCH($C$5&amp;"|"&amp;RIGHT("000000"&amp;651,6),LdgRankKeyA,0),"")</f>
        <v/>
      </c>
      <c r="M667" t="str">
        <f>IFERROR(MATCH($C$5&amp;"|"&amp;RIGHT("000000"&amp;651,6),LdgRankKeyB,0),"")</f>
        <v/>
      </c>
    </row>
    <row r="668" spans="1:13" x14ac:dyDescent="0.2">
      <c r="A668" s="9">
        <v>652</v>
      </c>
      <c r="B668" s="10" t="str">
        <f t="shared" si="80"/>
        <v/>
      </c>
      <c r="C668" s="10" t="str">
        <f t="shared" si="81"/>
        <v/>
      </c>
      <c r="D668" s="10" t="str">
        <f t="shared" si="82"/>
        <v/>
      </c>
      <c r="E668" s="11" t="str">
        <f t="shared" si="83"/>
        <v/>
      </c>
      <c r="F668" s="12" t="str">
        <f t="shared" si="84"/>
        <v/>
      </c>
      <c r="G668" s="13" t="str">
        <f t="shared" si="85"/>
        <v/>
      </c>
      <c r="H668" s="13" t="str">
        <f t="shared" si="86"/>
        <v/>
      </c>
      <c r="I668" s="14" t="str">
        <f t="shared" si="87"/>
        <v/>
      </c>
      <c r="L668" t="str">
        <f>IFERROR(MATCH($C$5&amp;"|"&amp;RIGHT("000000"&amp;652,6),LdgRankKeyA,0),"")</f>
        <v/>
      </c>
      <c r="M668" t="str">
        <f>IFERROR(MATCH($C$5&amp;"|"&amp;RIGHT("000000"&amp;652,6),LdgRankKeyB,0),"")</f>
        <v/>
      </c>
    </row>
    <row r="669" spans="1:13" x14ac:dyDescent="0.2">
      <c r="A669" s="3">
        <v>653</v>
      </c>
      <c r="B669" s="4" t="str">
        <f t="shared" si="80"/>
        <v/>
      </c>
      <c r="C669" s="4" t="str">
        <f t="shared" si="81"/>
        <v/>
      </c>
      <c r="D669" s="4" t="str">
        <f t="shared" si="82"/>
        <v/>
      </c>
      <c r="E669" s="5" t="str">
        <f t="shared" si="83"/>
        <v/>
      </c>
      <c r="F669" s="6" t="str">
        <f t="shared" si="84"/>
        <v/>
      </c>
      <c r="G669" s="7" t="str">
        <f t="shared" si="85"/>
        <v/>
      </c>
      <c r="H669" s="7" t="str">
        <f t="shared" si="86"/>
        <v/>
      </c>
      <c r="I669" s="8" t="str">
        <f t="shared" si="87"/>
        <v/>
      </c>
      <c r="L669" t="str">
        <f>IFERROR(MATCH($C$5&amp;"|"&amp;RIGHT("000000"&amp;653,6),LdgRankKeyA,0),"")</f>
        <v/>
      </c>
      <c r="M669" t="str">
        <f>IFERROR(MATCH($C$5&amp;"|"&amp;RIGHT("000000"&amp;653,6),LdgRankKeyB,0),"")</f>
        <v/>
      </c>
    </row>
    <row r="670" spans="1:13" x14ac:dyDescent="0.2">
      <c r="A670" s="9">
        <v>654</v>
      </c>
      <c r="B670" s="10" t="str">
        <f t="shared" si="80"/>
        <v/>
      </c>
      <c r="C670" s="10" t="str">
        <f t="shared" si="81"/>
        <v/>
      </c>
      <c r="D670" s="10" t="str">
        <f t="shared" si="82"/>
        <v/>
      </c>
      <c r="E670" s="11" t="str">
        <f t="shared" si="83"/>
        <v/>
      </c>
      <c r="F670" s="12" t="str">
        <f t="shared" si="84"/>
        <v/>
      </c>
      <c r="G670" s="13" t="str">
        <f t="shared" si="85"/>
        <v/>
      </c>
      <c r="H670" s="13" t="str">
        <f t="shared" si="86"/>
        <v/>
      </c>
      <c r="I670" s="14" t="str">
        <f t="shared" si="87"/>
        <v/>
      </c>
      <c r="L670" t="str">
        <f>IFERROR(MATCH($C$5&amp;"|"&amp;RIGHT("000000"&amp;654,6),LdgRankKeyA,0),"")</f>
        <v/>
      </c>
      <c r="M670" t="str">
        <f>IFERROR(MATCH($C$5&amp;"|"&amp;RIGHT("000000"&amp;654,6),LdgRankKeyB,0),"")</f>
        <v/>
      </c>
    </row>
    <row r="671" spans="1:13" x14ac:dyDescent="0.2">
      <c r="A671" s="3">
        <v>655</v>
      </c>
      <c r="B671" s="4" t="str">
        <f t="shared" si="80"/>
        <v/>
      </c>
      <c r="C671" s="4" t="str">
        <f t="shared" si="81"/>
        <v/>
      </c>
      <c r="D671" s="4" t="str">
        <f t="shared" si="82"/>
        <v/>
      </c>
      <c r="E671" s="5" t="str">
        <f t="shared" si="83"/>
        <v/>
      </c>
      <c r="F671" s="6" t="str">
        <f t="shared" si="84"/>
        <v/>
      </c>
      <c r="G671" s="7" t="str">
        <f t="shared" si="85"/>
        <v/>
      </c>
      <c r="H671" s="7" t="str">
        <f t="shared" si="86"/>
        <v/>
      </c>
      <c r="I671" s="8" t="str">
        <f t="shared" si="87"/>
        <v/>
      </c>
      <c r="L671" t="str">
        <f>IFERROR(MATCH($C$5&amp;"|"&amp;RIGHT("000000"&amp;655,6),LdgRankKeyA,0),"")</f>
        <v/>
      </c>
      <c r="M671" t="str">
        <f>IFERROR(MATCH($C$5&amp;"|"&amp;RIGHT("000000"&amp;655,6),LdgRankKeyB,0),"")</f>
        <v/>
      </c>
    </row>
    <row r="672" spans="1:13" x14ac:dyDescent="0.2">
      <c r="A672" s="9">
        <v>656</v>
      </c>
      <c r="B672" s="10" t="str">
        <f t="shared" si="80"/>
        <v/>
      </c>
      <c r="C672" s="10" t="str">
        <f t="shared" si="81"/>
        <v/>
      </c>
      <c r="D672" s="10" t="str">
        <f t="shared" si="82"/>
        <v/>
      </c>
      <c r="E672" s="11" t="str">
        <f t="shared" si="83"/>
        <v/>
      </c>
      <c r="F672" s="12" t="str">
        <f t="shared" si="84"/>
        <v/>
      </c>
      <c r="G672" s="13" t="str">
        <f t="shared" si="85"/>
        <v/>
      </c>
      <c r="H672" s="13" t="str">
        <f t="shared" si="86"/>
        <v/>
      </c>
      <c r="I672" s="14" t="str">
        <f t="shared" si="87"/>
        <v/>
      </c>
      <c r="L672" t="str">
        <f>IFERROR(MATCH($C$5&amp;"|"&amp;RIGHT("000000"&amp;656,6),LdgRankKeyA,0),"")</f>
        <v/>
      </c>
      <c r="M672" t="str">
        <f>IFERROR(MATCH($C$5&amp;"|"&amp;RIGHT("000000"&amp;656,6),LdgRankKeyB,0),"")</f>
        <v/>
      </c>
    </row>
    <row r="673" spans="1:13" x14ac:dyDescent="0.2">
      <c r="A673" s="3">
        <v>657</v>
      </c>
      <c r="B673" s="4" t="str">
        <f t="shared" si="80"/>
        <v/>
      </c>
      <c r="C673" s="4" t="str">
        <f t="shared" si="81"/>
        <v/>
      </c>
      <c r="D673" s="4" t="str">
        <f t="shared" si="82"/>
        <v/>
      </c>
      <c r="E673" s="5" t="str">
        <f t="shared" si="83"/>
        <v/>
      </c>
      <c r="F673" s="6" t="str">
        <f t="shared" si="84"/>
        <v/>
      </c>
      <c r="G673" s="7" t="str">
        <f t="shared" si="85"/>
        <v/>
      </c>
      <c r="H673" s="7" t="str">
        <f t="shared" si="86"/>
        <v/>
      </c>
      <c r="I673" s="8" t="str">
        <f t="shared" si="87"/>
        <v/>
      </c>
      <c r="L673" t="str">
        <f>IFERROR(MATCH($C$5&amp;"|"&amp;RIGHT("000000"&amp;657,6),LdgRankKeyA,0),"")</f>
        <v/>
      </c>
      <c r="M673" t="str">
        <f>IFERROR(MATCH($C$5&amp;"|"&amp;RIGHT("000000"&amp;657,6),LdgRankKeyB,0),"")</f>
        <v/>
      </c>
    </row>
    <row r="674" spans="1:13" x14ac:dyDescent="0.2">
      <c r="A674" s="9">
        <v>658</v>
      </c>
      <c r="B674" s="10" t="str">
        <f t="shared" si="80"/>
        <v/>
      </c>
      <c r="C674" s="10" t="str">
        <f t="shared" si="81"/>
        <v/>
      </c>
      <c r="D674" s="10" t="str">
        <f t="shared" si="82"/>
        <v/>
      </c>
      <c r="E674" s="11" t="str">
        <f t="shared" si="83"/>
        <v/>
      </c>
      <c r="F674" s="12" t="str">
        <f t="shared" si="84"/>
        <v/>
      </c>
      <c r="G674" s="13" t="str">
        <f t="shared" si="85"/>
        <v/>
      </c>
      <c r="H674" s="13" t="str">
        <f t="shared" si="86"/>
        <v/>
      </c>
      <c r="I674" s="14" t="str">
        <f t="shared" si="87"/>
        <v/>
      </c>
      <c r="L674" t="str">
        <f>IFERROR(MATCH($C$5&amp;"|"&amp;RIGHT("000000"&amp;658,6),LdgRankKeyA,0),"")</f>
        <v/>
      </c>
      <c r="M674" t="str">
        <f>IFERROR(MATCH($C$5&amp;"|"&amp;RIGHT("000000"&amp;658,6),LdgRankKeyB,0),"")</f>
        <v/>
      </c>
    </row>
    <row r="675" spans="1:13" x14ac:dyDescent="0.2">
      <c r="A675" s="3">
        <v>659</v>
      </c>
      <c r="B675" s="4" t="str">
        <f t="shared" si="80"/>
        <v/>
      </c>
      <c r="C675" s="4" t="str">
        <f t="shared" si="81"/>
        <v/>
      </c>
      <c r="D675" s="4" t="str">
        <f t="shared" si="82"/>
        <v/>
      </c>
      <c r="E675" s="5" t="str">
        <f t="shared" si="83"/>
        <v/>
      </c>
      <c r="F675" s="6" t="str">
        <f t="shared" si="84"/>
        <v/>
      </c>
      <c r="G675" s="7" t="str">
        <f t="shared" si="85"/>
        <v/>
      </c>
      <c r="H675" s="7" t="str">
        <f t="shared" si="86"/>
        <v/>
      </c>
      <c r="I675" s="8" t="str">
        <f t="shared" si="87"/>
        <v/>
      </c>
      <c r="L675" t="str">
        <f>IFERROR(MATCH($C$5&amp;"|"&amp;RIGHT("000000"&amp;659,6),LdgRankKeyA,0),"")</f>
        <v/>
      </c>
      <c r="M675" t="str">
        <f>IFERROR(MATCH($C$5&amp;"|"&amp;RIGHT("000000"&amp;659,6),LdgRankKeyB,0),"")</f>
        <v/>
      </c>
    </row>
    <row r="676" spans="1:13" x14ac:dyDescent="0.2">
      <c r="A676" s="9">
        <v>660</v>
      </c>
      <c r="B676" s="10" t="str">
        <f t="shared" si="80"/>
        <v/>
      </c>
      <c r="C676" s="10" t="str">
        <f t="shared" si="81"/>
        <v/>
      </c>
      <c r="D676" s="10" t="str">
        <f t="shared" si="82"/>
        <v/>
      </c>
      <c r="E676" s="11" t="str">
        <f t="shared" si="83"/>
        <v/>
      </c>
      <c r="F676" s="12" t="str">
        <f t="shared" si="84"/>
        <v/>
      </c>
      <c r="G676" s="13" t="str">
        <f t="shared" si="85"/>
        <v/>
      </c>
      <c r="H676" s="13" t="str">
        <f t="shared" si="86"/>
        <v/>
      </c>
      <c r="I676" s="14" t="str">
        <f t="shared" si="87"/>
        <v/>
      </c>
      <c r="L676" t="str">
        <f>IFERROR(MATCH($C$5&amp;"|"&amp;RIGHT("000000"&amp;660,6),LdgRankKeyA,0),"")</f>
        <v/>
      </c>
      <c r="M676" t="str">
        <f>IFERROR(MATCH($C$5&amp;"|"&amp;RIGHT("000000"&amp;660,6),LdgRankKeyB,0),"")</f>
        <v/>
      </c>
    </row>
    <row r="677" spans="1:13" x14ac:dyDescent="0.2">
      <c r="A677" s="3">
        <v>661</v>
      </c>
      <c r="B677" s="4" t="str">
        <f t="shared" si="80"/>
        <v/>
      </c>
      <c r="C677" s="4" t="str">
        <f t="shared" si="81"/>
        <v/>
      </c>
      <c r="D677" s="4" t="str">
        <f t="shared" si="82"/>
        <v/>
      </c>
      <c r="E677" s="5" t="str">
        <f t="shared" si="83"/>
        <v/>
      </c>
      <c r="F677" s="6" t="str">
        <f t="shared" si="84"/>
        <v/>
      </c>
      <c r="G677" s="7" t="str">
        <f t="shared" si="85"/>
        <v/>
      </c>
      <c r="H677" s="7" t="str">
        <f t="shared" si="86"/>
        <v/>
      </c>
      <c r="I677" s="8" t="str">
        <f t="shared" si="87"/>
        <v/>
      </c>
      <c r="L677" t="str">
        <f>IFERROR(MATCH($C$5&amp;"|"&amp;RIGHT("000000"&amp;661,6),LdgRankKeyA,0),"")</f>
        <v/>
      </c>
      <c r="M677" t="str">
        <f>IFERROR(MATCH($C$5&amp;"|"&amp;RIGHT("000000"&amp;661,6),LdgRankKeyB,0),"")</f>
        <v/>
      </c>
    </row>
    <row r="678" spans="1:13" x14ac:dyDescent="0.2">
      <c r="A678" s="9">
        <v>662</v>
      </c>
      <c r="B678" s="10" t="str">
        <f t="shared" si="80"/>
        <v/>
      </c>
      <c r="C678" s="10" t="str">
        <f t="shared" si="81"/>
        <v/>
      </c>
      <c r="D678" s="10" t="str">
        <f t="shared" si="82"/>
        <v/>
      </c>
      <c r="E678" s="11" t="str">
        <f t="shared" si="83"/>
        <v/>
      </c>
      <c r="F678" s="12" t="str">
        <f t="shared" si="84"/>
        <v/>
      </c>
      <c r="G678" s="13" t="str">
        <f t="shared" si="85"/>
        <v/>
      </c>
      <c r="H678" s="13" t="str">
        <f t="shared" si="86"/>
        <v/>
      </c>
      <c r="I678" s="14" t="str">
        <f t="shared" si="87"/>
        <v/>
      </c>
      <c r="L678" t="str">
        <f>IFERROR(MATCH($C$5&amp;"|"&amp;RIGHT("000000"&amp;662,6),LdgRankKeyA,0),"")</f>
        <v/>
      </c>
      <c r="M678" t="str">
        <f>IFERROR(MATCH($C$5&amp;"|"&amp;RIGHT("000000"&amp;662,6),LdgRankKeyB,0),"")</f>
        <v/>
      </c>
    </row>
    <row r="679" spans="1:13" x14ac:dyDescent="0.2">
      <c r="A679" s="3">
        <v>663</v>
      </c>
      <c r="B679" s="4" t="str">
        <f t="shared" si="80"/>
        <v/>
      </c>
      <c r="C679" s="4" t="str">
        <f t="shared" si="81"/>
        <v/>
      </c>
      <c r="D679" s="4" t="str">
        <f t="shared" si="82"/>
        <v/>
      </c>
      <c r="E679" s="5" t="str">
        <f t="shared" si="83"/>
        <v/>
      </c>
      <c r="F679" s="6" t="str">
        <f t="shared" si="84"/>
        <v/>
      </c>
      <c r="G679" s="7" t="str">
        <f t="shared" si="85"/>
        <v/>
      </c>
      <c r="H679" s="7" t="str">
        <f t="shared" si="86"/>
        <v/>
      </c>
      <c r="I679" s="8" t="str">
        <f t="shared" si="87"/>
        <v/>
      </c>
      <c r="L679" t="str">
        <f>IFERROR(MATCH($C$5&amp;"|"&amp;RIGHT("000000"&amp;663,6),LdgRankKeyA,0),"")</f>
        <v/>
      </c>
      <c r="M679" t="str">
        <f>IFERROR(MATCH($C$5&amp;"|"&amp;RIGHT("000000"&amp;663,6),LdgRankKeyB,0),"")</f>
        <v/>
      </c>
    </row>
    <row r="680" spans="1:13" x14ac:dyDescent="0.2">
      <c r="A680" s="9">
        <v>664</v>
      </c>
      <c r="B680" s="10" t="str">
        <f t="shared" si="80"/>
        <v/>
      </c>
      <c r="C680" s="10" t="str">
        <f t="shared" si="81"/>
        <v/>
      </c>
      <c r="D680" s="10" t="str">
        <f t="shared" si="82"/>
        <v/>
      </c>
      <c r="E680" s="11" t="str">
        <f t="shared" si="83"/>
        <v/>
      </c>
      <c r="F680" s="12" t="str">
        <f t="shared" si="84"/>
        <v/>
      </c>
      <c r="G680" s="13" t="str">
        <f t="shared" si="85"/>
        <v/>
      </c>
      <c r="H680" s="13" t="str">
        <f t="shared" si="86"/>
        <v/>
      </c>
      <c r="I680" s="14" t="str">
        <f t="shared" si="87"/>
        <v/>
      </c>
      <c r="L680" t="str">
        <f>IFERROR(MATCH($C$5&amp;"|"&amp;RIGHT("000000"&amp;664,6),LdgRankKeyA,0),"")</f>
        <v/>
      </c>
      <c r="M680" t="str">
        <f>IFERROR(MATCH($C$5&amp;"|"&amp;RIGHT("000000"&amp;664,6),LdgRankKeyB,0),"")</f>
        <v/>
      </c>
    </row>
    <row r="681" spans="1:13" x14ac:dyDescent="0.2">
      <c r="A681" s="3">
        <v>665</v>
      </c>
      <c r="B681" s="4" t="str">
        <f t="shared" si="80"/>
        <v/>
      </c>
      <c r="C681" s="4" t="str">
        <f t="shared" si="81"/>
        <v/>
      </c>
      <c r="D681" s="4" t="str">
        <f t="shared" si="82"/>
        <v/>
      </c>
      <c r="E681" s="5" t="str">
        <f t="shared" si="83"/>
        <v/>
      </c>
      <c r="F681" s="6" t="str">
        <f t="shared" si="84"/>
        <v/>
      </c>
      <c r="G681" s="7" t="str">
        <f t="shared" si="85"/>
        <v/>
      </c>
      <c r="H681" s="7" t="str">
        <f t="shared" si="86"/>
        <v/>
      </c>
      <c r="I681" s="8" t="str">
        <f t="shared" si="87"/>
        <v/>
      </c>
      <c r="L681" t="str">
        <f>IFERROR(MATCH($C$5&amp;"|"&amp;RIGHT("000000"&amp;665,6),LdgRankKeyA,0),"")</f>
        <v/>
      </c>
      <c r="M681" t="str">
        <f>IFERROR(MATCH($C$5&amp;"|"&amp;RIGHT("000000"&amp;665,6),LdgRankKeyB,0),"")</f>
        <v/>
      </c>
    </row>
    <row r="682" spans="1:13" x14ac:dyDescent="0.2">
      <c r="A682" s="9">
        <v>666</v>
      </c>
      <c r="B682" s="10" t="str">
        <f t="shared" si="80"/>
        <v/>
      </c>
      <c r="C682" s="10" t="str">
        <f t="shared" si="81"/>
        <v/>
      </c>
      <c r="D682" s="10" t="str">
        <f t="shared" si="82"/>
        <v/>
      </c>
      <c r="E682" s="11" t="str">
        <f t="shared" si="83"/>
        <v/>
      </c>
      <c r="F682" s="12" t="str">
        <f t="shared" si="84"/>
        <v/>
      </c>
      <c r="G682" s="13" t="str">
        <f t="shared" si="85"/>
        <v/>
      </c>
      <c r="H682" s="13" t="str">
        <f t="shared" si="86"/>
        <v/>
      </c>
      <c r="I682" s="14" t="str">
        <f t="shared" si="87"/>
        <v/>
      </c>
      <c r="L682" t="str">
        <f>IFERROR(MATCH($C$5&amp;"|"&amp;RIGHT("000000"&amp;666,6),LdgRankKeyA,0),"")</f>
        <v/>
      </c>
      <c r="M682" t="str">
        <f>IFERROR(MATCH($C$5&amp;"|"&amp;RIGHT("000000"&amp;666,6),LdgRankKeyB,0),"")</f>
        <v/>
      </c>
    </row>
    <row r="683" spans="1:13" x14ac:dyDescent="0.2">
      <c r="A683" s="3">
        <v>667</v>
      </c>
      <c r="B683" s="4" t="str">
        <f t="shared" si="80"/>
        <v/>
      </c>
      <c r="C683" s="4" t="str">
        <f t="shared" si="81"/>
        <v/>
      </c>
      <c r="D683" s="4" t="str">
        <f t="shared" si="82"/>
        <v/>
      </c>
      <c r="E683" s="5" t="str">
        <f t="shared" si="83"/>
        <v/>
      </c>
      <c r="F683" s="6" t="str">
        <f t="shared" si="84"/>
        <v/>
      </c>
      <c r="G683" s="7" t="str">
        <f t="shared" si="85"/>
        <v/>
      </c>
      <c r="H683" s="7" t="str">
        <f t="shared" si="86"/>
        <v/>
      </c>
      <c r="I683" s="8" t="str">
        <f t="shared" si="87"/>
        <v/>
      </c>
      <c r="L683" t="str">
        <f>IFERROR(MATCH($C$5&amp;"|"&amp;RIGHT("000000"&amp;667,6),LdgRankKeyA,0),"")</f>
        <v/>
      </c>
      <c r="M683" t="str">
        <f>IFERROR(MATCH($C$5&amp;"|"&amp;RIGHT("000000"&amp;667,6),LdgRankKeyB,0),"")</f>
        <v/>
      </c>
    </row>
    <row r="684" spans="1:13" x14ac:dyDescent="0.2">
      <c r="A684" s="9">
        <v>668</v>
      </c>
      <c r="B684" s="10" t="str">
        <f t="shared" si="80"/>
        <v/>
      </c>
      <c r="C684" s="10" t="str">
        <f t="shared" si="81"/>
        <v/>
      </c>
      <c r="D684" s="10" t="str">
        <f t="shared" si="82"/>
        <v/>
      </c>
      <c r="E684" s="11" t="str">
        <f t="shared" si="83"/>
        <v/>
      </c>
      <c r="F684" s="12" t="str">
        <f t="shared" si="84"/>
        <v/>
      </c>
      <c r="G684" s="13" t="str">
        <f t="shared" si="85"/>
        <v/>
      </c>
      <c r="H684" s="13" t="str">
        <f t="shared" si="86"/>
        <v/>
      </c>
      <c r="I684" s="14" t="str">
        <f t="shared" si="87"/>
        <v/>
      </c>
      <c r="L684" t="str">
        <f>IFERROR(MATCH($C$5&amp;"|"&amp;RIGHT("000000"&amp;668,6),LdgRankKeyA,0),"")</f>
        <v/>
      </c>
      <c r="M684" t="str">
        <f>IFERROR(MATCH($C$5&amp;"|"&amp;RIGHT("000000"&amp;668,6),LdgRankKeyB,0),"")</f>
        <v/>
      </c>
    </row>
    <row r="685" spans="1:13" x14ac:dyDescent="0.2">
      <c r="A685" s="3">
        <v>669</v>
      </c>
      <c r="B685" s="4" t="str">
        <f t="shared" si="80"/>
        <v/>
      </c>
      <c r="C685" s="4" t="str">
        <f t="shared" si="81"/>
        <v/>
      </c>
      <c r="D685" s="4" t="str">
        <f t="shared" si="82"/>
        <v/>
      </c>
      <c r="E685" s="5" t="str">
        <f t="shared" si="83"/>
        <v/>
      </c>
      <c r="F685" s="6" t="str">
        <f t="shared" si="84"/>
        <v/>
      </c>
      <c r="G685" s="7" t="str">
        <f t="shared" si="85"/>
        <v/>
      </c>
      <c r="H685" s="7" t="str">
        <f t="shared" si="86"/>
        <v/>
      </c>
      <c r="I685" s="8" t="str">
        <f t="shared" si="87"/>
        <v/>
      </c>
      <c r="L685" t="str">
        <f>IFERROR(MATCH($C$5&amp;"|"&amp;RIGHT("000000"&amp;669,6),LdgRankKeyA,0),"")</f>
        <v/>
      </c>
      <c r="M685" t="str">
        <f>IFERROR(MATCH($C$5&amp;"|"&amp;RIGHT("000000"&amp;669,6),LdgRankKeyB,0),"")</f>
        <v/>
      </c>
    </row>
    <row r="686" spans="1:13" x14ac:dyDescent="0.2">
      <c r="A686" s="9">
        <v>670</v>
      </c>
      <c r="B686" s="10" t="str">
        <f t="shared" si="80"/>
        <v/>
      </c>
      <c r="C686" s="10" t="str">
        <f t="shared" si="81"/>
        <v/>
      </c>
      <c r="D686" s="10" t="str">
        <f t="shared" si="82"/>
        <v/>
      </c>
      <c r="E686" s="11" t="str">
        <f t="shared" si="83"/>
        <v/>
      </c>
      <c r="F686" s="12" t="str">
        <f t="shared" si="84"/>
        <v/>
      </c>
      <c r="G686" s="13" t="str">
        <f t="shared" si="85"/>
        <v/>
      </c>
      <c r="H686" s="13" t="str">
        <f t="shared" si="86"/>
        <v/>
      </c>
      <c r="I686" s="14" t="str">
        <f t="shared" si="87"/>
        <v/>
      </c>
      <c r="L686" t="str">
        <f>IFERROR(MATCH($C$5&amp;"|"&amp;RIGHT("000000"&amp;670,6),LdgRankKeyA,0),"")</f>
        <v/>
      </c>
      <c r="M686" t="str">
        <f>IFERROR(MATCH($C$5&amp;"|"&amp;RIGHT("000000"&amp;670,6),LdgRankKeyB,0),"")</f>
        <v/>
      </c>
    </row>
    <row r="687" spans="1:13" x14ac:dyDescent="0.2">
      <c r="A687" s="3">
        <v>671</v>
      </c>
      <c r="B687" s="4" t="str">
        <f t="shared" si="80"/>
        <v/>
      </c>
      <c r="C687" s="4" t="str">
        <f t="shared" si="81"/>
        <v/>
      </c>
      <c r="D687" s="4" t="str">
        <f t="shared" si="82"/>
        <v/>
      </c>
      <c r="E687" s="5" t="str">
        <f t="shared" si="83"/>
        <v/>
      </c>
      <c r="F687" s="6" t="str">
        <f t="shared" si="84"/>
        <v/>
      </c>
      <c r="G687" s="7" t="str">
        <f t="shared" si="85"/>
        <v/>
      </c>
      <c r="H687" s="7" t="str">
        <f t="shared" si="86"/>
        <v/>
      </c>
      <c r="I687" s="8" t="str">
        <f t="shared" si="87"/>
        <v/>
      </c>
      <c r="L687" t="str">
        <f>IFERROR(MATCH($C$5&amp;"|"&amp;RIGHT("000000"&amp;671,6),LdgRankKeyA,0),"")</f>
        <v/>
      </c>
      <c r="M687" t="str">
        <f>IFERROR(MATCH($C$5&amp;"|"&amp;RIGHT("000000"&amp;671,6),LdgRankKeyB,0),"")</f>
        <v/>
      </c>
    </row>
    <row r="688" spans="1:13" x14ac:dyDescent="0.2">
      <c r="A688" s="9">
        <v>672</v>
      </c>
      <c r="B688" s="10" t="str">
        <f t="shared" si="80"/>
        <v/>
      </c>
      <c r="C688" s="10" t="str">
        <f t="shared" si="81"/>
        <v/>
      </c>
      <c r="D688" s="10" t="str">
        <f t="shared" si="82"/>
        <v/>
      </c>
      <c r="E688" s="11" t="str">
        <f t="shared" si="83"/>
        <v/>
      </c>
      <c r="F688" s="12" t="str">
        <f t="shared" si="84"/>
        <v/>
      </c>
      <c r="G688" s="13" t="str">
        <f t="shared" si="85"/>
        <v/>
      </c>
      <c r="H688" s="13" t="str">
        <f t="shared" si="86"/>
        <v/>
      </c>
      <c r="I688" s="14" t="str">
        <f t="shared" si="87"/>
        <v/>
      </c>
      <c r="L688" t="str">
        <f>IFERROR(MATCH($C$5&amp;"|"&amp;RIGHT("000000"&amp;672,6),LdgRankKeyA,0),"")</f>
        <v/>
      </c>
      <c r="M688" t="str">
        <f>IFERROR(MATCH($C$5&amp;"|"&amp;RIGHT("000000"&amp;672,6),LdgRankKeyB,0),"")</f>
        <v/>
      </c>
    </row>
    <row r="689" spans="1:13" x14ac:dyDescent="0.2">
      <c r="A689" s="3">
        <v>673</v>
      </c>
      <c r="B689" s="4" t="str">
        <f t="shared" si="80"/>
        <v/>
      </c>
      <c r="C689" s="4" t="str">
        <f t="shared" si="81"/>
        <v/>
      </c>
      <c r="D689" s="4" t="str">
        <f t="shared" si="82"/>
        <v/>
      </c>
      <c r="E689" s="5" t="str">
        <f t="shared" si="83"/>
        <v/>
      </c>
      <c r="F689" s="6" t="str">
        <f t="shared" si="84"/>
        <v/>
      </c>
      <c r="G689" s="7" t="str">
        <f t="shared" si="85"/>
        <v/>
      </c>
      <c r="H689" s="7" t="str">
        <f t="shared" si="86"/>
        <v/>
      </c>
      <c r="I689" s="8" t="str">
        <f t="shared" si="87"/>
        <v/>
      </c>
      <c r="L689" t="str">
        <f>IFERROR(MATCH($C$5&amp;"|"&amp;RIGHT("000000"&amp;673,6),LdgRankKeyA,0),"")</f>
        <v/>
      </c>
      <c r="M689" t="str">
        <f>IFERROR(MATCH($C$5&amp;"|"&amp;RIGHT("000000"&amp;673,6),LdgRankKeyB,0),"")</f>
        <v/>
      </c>
    </row>
    <row r="690" spans="1:13" x14ac:dyDescent="0.2">
      <c r="A690" s="9">
        <v>674</v>
      </c>
      <c r="B690" s="10" t="str">
        <f t="shared" si="80"/>
        <v/>
      </c>
      <c r="C690" s="10" t="str">
        <f t="shared" si="81"/>
        <v/>
      </c>
      <c r="D690" s="10" t="str">
        <f t="shared" si="82"/>
        <v/>
      </c>
      <c r="E690" s="11" t="str">
        <f t="shared" si="83"/>
        <v/>
      </c>
      <c r="F690" s="12" t="str">
        <f t="shared" si="84"/>
        <v/>
      </c>
      <c r="G690" s="13" t="str">
        <f t="shared" si="85"/>
        <v/>
      </c>
      <c r="H690" s="13" t="str">
        <f t="shared" si="86"/>
        <v/>
      </c>
      <c r="I690" s="14" t="str">
        <f t="shared" si="87"/>
        <v/>
      </c>
      <c r="L690" t="str">
        <f>IFERROR(MATCH($C$5&amp;"|"&amp;RIGHT("000000"&amp;674,6),LdgRankKeyA,0),"")</f>
        <v/>
      </c>
      <c r="M690" t="str">
        <f>IFERROR(MATCH($C$5&amp;"|"&amp;RIGHT("000000"&amp;674,6),LdgRankKeyB,0),"")</f>
        <v/>
      </c>
    </row>
    <row r="691" spans="1:13" x14ac:dyDescent="0.2">
      <c r="A691" s="3">
        <v>675</v>
      </c>
      <c r="B691" s="4" t="str">
        <f t="shared" si="80"/>
        <v/>
      </c>
      <c r="C691" s="4" t="str">
        <f t="shared" si="81"/>
        <v/>
      </c>
      <c r="D691" s="4" t="str">
        <f t="shared" si="82"/>
        <v/>
      </c>
      <c r="E691" s="5" t="str">
        <f t="shared" si="83"/>
        <v/>
      </c>
      <c r="F691" s="6" t="str">
        <f t="shared" si="84"/>
        <v/>
      </c>
      <c r="G691" s="7" t="str">
        <f t="shared" si="85"/>
        <v/>
      </c>
      <c r="H691" s="7" t="str">
        <f t="shared" si="86"/>
        <v/>
      </c>
      <c r="I691" s="8" t="str">
        <f t="shared" si="87"/>
        <v/>
      </c>
      <c r="L691" t="str">
        <f>IFERROR(MATCH($C$5&amp;"|"&amp;RIGHT("000000"&amp;675,6),LdgRankKeyA,0),"")</f>
        <v/>
      </c>
      <c r="M691" t="str">
        <f>IFERROR(MATCH($C$5&amp;"|"&amp;RIGHT("000000"&amp;675,6),LdgRankKeyB,0),"")</f>
        <v/>
      </c>
    </row>
    <row r="692" spans="1:13" x14ac:dyDescent="0.2">
      <c r="A692" s="9">
        <v>676</v>
      </c>
      <c r="B692" s="10" t="str">
        <f t="shared" si="80"/>
        <v/>
      </c>
      <c r="C692" s="10" t="str">
        <f t="shared" si="81"/>
        <v/>
      </c>
      <c r="D692" s="10" t="str">
        <f t="shared" si="82"/>
        <v/>
      </c>
      <c r="E692" s="11" t="str">
        <f t="shared" si="83"/>
        <v/>
      </c>
      <c r="F692" s="12" t="str">
        <f t="shared" si="84"/>
        <v/>
      </c>
      <c r="G692" s="13" t="str">
        <f t="shared" si="85"/>
        <v/>
      </c>
      <c r="H692" s="13" t="str">
        <f t="shared" si="86"/>
        <v/>
      </c>
      <c r="I692" s="14" t="str">
        <f t="shared" si="87"/>
        <v/>
      </c>
      <c r="L692" t="str">
        <f>IFERROR(MATCH($C$5&amp;"|"&amp;RIGHT("000000"&amp;676,6),LdgRankKeyA,0),"")</f>
        <v/>
      </c>
      <c r="M692" t="str">
        <f>IFERROR(MATCH($C$5&amp;"|"&amp;RIGHT("000000"&amp;676,6),LdgRankKeyB,0),"")</f>
        <v/>
      </c>
    </row>
    <row r="693" spans="1:13" x14ac:dyDescent="0.2">
      <c r="A693" s="3">
        <v>677</v>
      </c>
      <c r="B693" s="4" t="str">
        <f t="shared" si="80"/>
        <v/>
      </c>
      <c r="C693" s="4" t="str">
        <f t="shared" si="81"/>
        <v/>
      </c>
      <c r="D693" s="4" t="str">
        <f t="shared" si="82"/>
        <v/>
      </c>
      <c r="E693" s="5" t="str">
        <f t="shared" si="83"/>
        <v/>
      </c>
      <c r="F693" s="6" t="str">
        <f t="shared" si="84"/>
        <v/>
      </c>
      <c r="G693" s="7" t="str">
        <f t="shared" si="85"/>
        <v/>
      </c>
      <c r="H693" s="7" t="str">
        <f t="shared" si="86"/>
        <v/>
      </c>
      <c r="I693" s="8" t="str">
        <f t="shared" si="87"/>
        <v/>
      </c>
      <c r="L693" t="str">
        <f>IFERROR(MATCH($C$5&amp;"|"&amp;RIGHT("000000"&amp;677,6),LdgRankKeyA,0),"")</f>
        <v/>
      </c>
      <c r="M693" t="str">
        <f>IFERROR(MATCH($C$5&amp;"|"&amp;RIGHT("000000"&amp;677,6),LdgRankKeyB,0),"")</f>
        <v/>
      </c>
    </row>
    <row r="694" spans="1:13" x14ac:dyDescent="0.2">
      <c r="A694" s="9">
        <v>678</v>
      </c>
      <c r="B694" s="10" t="str">
        <f t="shared" si="80"/>
        <v/>
      </c>
      <c r="C694" s="10" t="str">
        <f t="shared" si="81"/>
        <v/>
      </c>
      <c r="D694" s="10" t="str">
        <f t="shared" si="82"/>
        <v/>
      </c>
      <c r="E694" s="11" t="str">
        <f t="shared" si="83"/>
        <v/>
      </c>
      <c r="F694" s="12" t="str">
        <f t="shared" si="84"/>
        <v/>
      </c>
      <c r="G694" s="13" t="str">
        <f t="shared" si="85"/>
        <v/>
      </c>
      <c r="H694" s="13" t="str">
        <f t="shared" si="86"/>
        <v/>
      </c>
      <c r="I694" s="14" t="str">
        <f t="shared" si="87"/>
        <v/>
      </c>
      <c r="L694" t="str">
        <f>IFERROR(MATCH($C$5&amp;"|"&amp;RIGHT("000000"&amp;678,6),LdgRankKeyA,0),"")</f>
        <v/>
      </c>
      <c r="M694" t="str">
        <f>IFERROR(MATCH($C$5&amp;"|"&amp;RIGHT("000000"&amp;678,6),LdgRankKeyB,0),"")</f>
        <v/>
      </c>
    </row>
    <row r="695" spans="1:13" x14ac:dyDescent="0.2">
      <c r="A695" s="3">
        <v>679</v>
      </c>
      <c r="B695" s="4" t="str">
        <f t="shared" si="80"/>
        <v/>
      </c>
      <c r="C695" s="4" t="str">
        <f t="shared" si="81"/>
        <v/>
      </c>
      <c r="D695" s="4" t="str">
        <f t="shared" si="82"/>
        <v/>
      </c>
      <c r="E695" s="5" t="str">
        <f t="shared" si="83"/>
        <v/>
      </c>
      <c r="F695" s="6" t="str">
        <f t="shared" si="84"/>
        <v/>
      </c>
      <c r="G695" s="7" t="str">
        <f t="shared" si="85"/>
        <v/>
      </c>
      <c r="H695" s="7" t="str">
        <f t="shared" si="86"/>
        <v/>
      </c>
      <c r="I695" s="8" t="str">
        <f t="shared" si="87"/>
        <v/>
      </c>
      <c r="L695" t="str">
        <f>IFERROR(MATCH($C$5&amp;"|"&amp;RIGHT("000000"&amp;679,6),LdgRankKeyA,0),"")</f>
        <v/>
      </c>
      <c r="M695" t="str">
        <f>IFERROR(MATCH($C$5&amp;"|"&amp;RIGHT("000000"&amp;679,6),LdgRankKeyB,0),"")</f>
        <v/>
      </c>
    </row>
    <row r="696" spans="1:13" x14ac:dyDescent="0.2">
      <c r="A696" s="9">
        <v>680</v>
      </c>
      <c r="B696" s="10" t="str">
        <f t="shared" si="80"/>
        <v/>
      </c>
      <c r="C696" s="10" t="str">
        <f t="shared" si="81"/>
        <v/>
      </c>
      <c r="D696" s="10" t="str">
        <f t="shared" si="82"/>
        <v/>
      </c>
      <c r="E696" s="11" t="str">
        <f t="shared" si="83"/>
        <v/>
      </c>
      <c r="F696" s="12" t="str">
        <f t="shared" si="84"/>
        <v/>
      </c>
      <c r="G696" s="13" t="str">
        <f t="shared" si="85"/>
        <v/>
      </c>
      <c r="H696" s="13" t="str">
        <f t="shared" si="86"/>
        <v/>
      </c>
      <c r="I696" s="14" t="str">
        <f t="shared" si="87"/>
        <v/>
      </c>
      <c r="L696" t="str">
        <f>IFERROR(MATCH($C$5&amp;"|"&amp;RIGHT("000000"&amp;680,6),LdgRankKeyA,0),"")</f>
        <v/>
      </c>
      <c r="M696" t="str">
        <f>IFERROR(MATCH($C$5&amp;"|"&amp;RIGHT("000000"&amp;680,6),LdgRankKeyB,0),"")</f>
        <v/>
      </c>
    </row>
    <row r="697" spans="1:13" x14ac:dyDescent="0.2">
      <c r="A697" s="3">
        <v>681</v>
      </c>
      <c r="B697" s="4" t="str">
        <f t="shared" si="80"/>
        <v/>
      </c>
      <c r="C697" s="4" t="str">
        <f t="shared" si="81"/>
        <v/>
      </c>
      <c r="D697" s="4" t="str">
        <f t="shared" si="82"/>
        <v/>
      </c>
      <c r="E697" s="5" t="str">
        <f t="shared" si="83"/>
        <v/>
      </c>
      <c r="F697" s="6" t="str">
        <f t="shared" si="84"/>
        <v/>
      </c>
      <c r="G697" s="7" t="str">
        <f t="shared" si="85"/>
        <v/>
      </c>
      <c r="H697" s="7" t="str">
        <f t="shared" si="86"/>
        <v/>
      </c>
      <c r="I697" s="8" t="str">
        <f t="shared" si="87"/>
        <v/>
      </c>
      <c r="L697" t="str">
        <f>IFERROR(MATCH($C$5&amp;"|"&amp;RIGHT("000000"&amp;681,6),LdgRankKeyA,0),"")</f>
        <v/>
      </c>
      <c r="M697" t="str">
        <f>IFERROR(MATCH($C$5&amp;"|"&amp;RIGHT("000000"&amp;681,6),LdgRankKeyB,0),"")</f>
        <v/>
      </c>
    </row>
    <row r="698" spans="1:13" x14ac:dyDescent="0.2">
      <c r="A698" s="9">
        <v>682</v>
      </c>
      <c r="B698" s="10" t="str">
        <f t="shared" si="80"/>
        <v/>
      </c>
      <c r="C698" s="10" t="str">
        <f t="shared" si="81"/>
        <v/>
      </c>
      <c r="D698" s="10" t="str">
        <f t="shared" si="82"/>
        <v/>
      </c>
      <c r="E698" s="11" t="str">
        <f t="shared" si="83"/>
        <v/>
      </c>
      <c r="F698" s="12" t="str">
        <f t="shared" si="84"/>
        <v/>
      </c>
      <c r="G698" s="13" t="str">
        <f t="shared" si="85"/>
        <v/>
      </c>
      <c r="H698" s="13" t="str">
        <f t="shared" si="86"/>
        <v/>
      </c>
      <c r="I698" s="14" t="str">
        <f t="shared" si="87"/>
        <v/>
      </c>
      <c r="L698" t="str">
        <f>IFERROR(MATCH($C$5&amp;"|"&amp;RIGHT("000000"&amp;682,6),LdgRankKeyA,0),"")</f>
        <v/>
      </c>
      <c r="M698" t="str">
        <f>IFERROR(MATCH($C$5&amp;"|"&amp;RIGHT("000000"&amp;682,6),LdgRankKeyB,0),"")</f>
        <v/>
      </c>
    </row>
    <row r="699" spans="1:13" x14ac:dyDescent="0.2">
      <c r="A699" s="3">
        <v>683</v>
      </c>
      <c r="B699" s="4" t="str">
        <f t="shared" si="80"/>
        <v/>
      </c>
      <c r="C699" s="4" t="str">
        <f t="shared" si="81"/>
        <v/>
      </c>
      <c r="D699" s="4" t="str">
        <f t="shared" si="82"/>
        <v/>
      </c>
      <c r="E699" s="5" t="str">
        <f t="shared" si="83"/>
        <v/>
      </c>
      <c r="F699" s="6" t="str">
        <f t="shared" si="84"/>
        <v/>
      </c>
      <c r="G699" s="7" t="str">
        <f t="shared" si="85"/>
        <v/>
      </c>
      <c r="H699" s="7" t="str">
        <f t="shared" si="86"/>
        <v/>
      </c>
      <c r="I699" s="8" t="str">
        <f t="shared" si="87"/>
        <v/>
      </c>
      <c r="L699" t="str">
        <f>IFERROR(MATCH($C$5&amp;"|"&amp;RIGHT("000000"&amp;683,6),LdgRankKeyA,0),"")</f>
        <v/>
      </c>
      <c r="M699" t="str">
        <f>IFERROR(MATCH($C$5&amp;"|"&amp;RIGHT("000000"&amp;683,6),LdgRankKeyB,0),"")</f>
        <v/>
      </c>
    </row>
    <row r="700" spans="1:13" x14ac:dyDescent="0.2">
      <c r="A700" s="9">
        <v>684</v>
      </c>
      <c r="B700" s="10" t="str">
        <f t="shared" si="80"/>
        <v/>
      </c>
      <c r="C700" s="10" t="str">
        <f t="shared" si="81"/>
        <v/>
      </c>
      <c r="D700" s="10" t="str">
        <f t="shared" si="82"/>
        <v/>
      </c>
      <c r="E700" s="11" t="str">
        <f t="shared" si="83"/>
        <v/>
      </c>
      <c r="F700" s="12" t="str">
        <f t="shared" si="84"/>
        <v/>
      </c>
      <c r="G700" s="13" t="str">
        <f t="shared" si="85"/>
        <v/>
      </c>
      <c r="H700" s="13" t="str">
        <f t="shared" si="86"/>
        <v/>
      </c>
      <c r="I700" s="14" t="str">
        <f t="shared" si="87"/>
        <v/>
      </c>
      <c r="L700" t="str">
        <f>IFERROR(MATCH($C$5&amp;"|"&amp;RIGHT("000000"&amp;684,6),LdgRankKeyA,0),"")</f>
        <v/>
      </c>
      <c r="M700" t="str">
        <f>IFERROR(MATCH($C$5&amp;"|"&amp;RIGHT("000000"&amp;684,6),LdgRankKeyB,0),"")</f>
        <v/>
      </c>
    </row>
    <row r="701" spans="1:13" x14ac:dyDescent="0.2">
      <c r="A701" s="3">
        <v>685</v>
      </c>
      <c r="B701" s="4" t="str">
        <f t="shared" si="80"/>
        <v/>
      </c>
      <c r="C701" s="4" t="str">
        <f t="shared" si="81"/>
        <v/>
      </c>
      <c r="D701" s="4" t="str">
        <f t="shared" si="82"/>
        <v/>
      </c>
      <c r="E701" s="5" t="str">
        <f t="shared" si="83"/>
        <v/>
      </c>
      <c r="F701" s="6" t="str">
        <f t="shared" si="84"/>
        <v/>
      </c>
      <c r="G701" s="7" t="str">
        <f t="shared" si="85"/>
        <v/>
      </c>
      <c r="H701" s="7" t="str">
        <f t="shared" si="86"/>
        <v/>
      </c>
      <c r="I701" s="8" t="str">
        <f t="shared" si="87"/>
        <v/>
      </c>
      <c r="L701" t="str">
        <f>IFERROR(MATCH($C$5&amp;"|"&amp;RIGHT("000000"&amp;685,6),LdgRankKeyA,0),"")</f>
        <v/>
      </c>
      <c r="M701" t="str">
        <f>IFERROR(MATCH($C$5&amp;"|"&amp;RIGHT("000000"&amp;685,6),LdgRankKeyB,0),"")</f>
        <v/>
      </c>
    </row>
    <row r="702" spans="1:13" x14ac:dyDescent="0.2">
      <c r="A702" s="9">
        <v>686</v>
      </c>
      <c r="B702" s="10" t="str">
        <f t="shared" si="80"/>
        <v/>
      </c>
      <c r="C702" s="10" t="str">
        <f t="shared" si="81"/>
        <v/>
      </c>
      <c r="D702" s="10" t="str">
        <f t="shared" si="82"/>
        <v/>
      </c>
      <c r="E702" s="11" t="str">
        <f t="shared" si="83"/>
        <v/>
      </c>
      <c r="F702" s="12" t="str">
        <f t="shared" si="84"/>
        <v/>
      </c>
      <c r="G702" s="13" t="str">
        <f t="shared" si="85"/>
        <v/>
      </c>
      <c r="H702" s="13" t="str">
        <f t="shared" si="86"/>
        <v/>
      </c>
      <c r="I702" s="14" t="str">
        <f t="shared" si="87"/>
        <v/>
      </c>
      <c r="L702" t="str">
        <f>IFERROR(MATCH($C$5&amp;"|"&amp;RIGHT("000000"&amp;686,6),LdgRankKeyA,0),"")</f>
        <v/>
      </c>
      <c r="M702" t="str">
        <f>IFERROR(MATCH($C$5&amp;"|"&amp;RIGHT("000000"&amp;686,6),LdgRankKeyB,0),"")</f>
        <v/>
      </c>
    </row>
    <row r="703" spans="1:13" x14ac:dyDescent="0.2">
      <c r="A703" s="3">
        <v>687</v>
      </c>
      <c r="B703" s="4" t="str">
        <f t="shared" si="80"/>
        <v/>
      </c>
      <c r="C703" s="4" t="str">
        <f t="shared" si="81"/>
        <v/>
      </c>
      <c r="D703" s="4" t="str">
        <f t="shared" si="82"/>
        <v/>
      </c>
      <c r="E703" s="5" t="str">
        <f t="shared" si="83"/>
        <v/>
      </c>
      <c r="F703" s="6" t="str">
        <f t="shared" si="84"/>
        <v/>
      </c>
      <c r="G703" s="7" t="str">
        <f t="shared" si="85"/>
        <v/>
      </c>
      <c r="H703" s="7" t="str">
        <f t="shared" si="86"/>
        <v/>
      </c>
      <c r="I703" s="8" t="str">
        <f t="shared" si="87"/>
        <v/>
      </c>
      <c r="L703" t="str">
        <f>IFERROR(MATCH($C$5&amp;"|"&amp;RIGHT("000000"&amp;687,6),LdgRankKeyA,0),"")</f>
        <v/>
      </c>
      <c r="M703" t="str">
        <f>IFERROR(MATCH($C$5&amp;"|"&amp;RIGHT("000000"&amp;687,6),LdgRankKeyB,0),"")</f>
        <v/>
      </c>
    </row>
    <row r="704" spans="1:13" x14ac:dyDescent="0.2">
      <c r="A704" s="9">
        <v>688</v>
      </c>
      <c r="B704" s="10" t="str">
        <f t="shared" si="80"/>
        <v/>
      </c>
      <c r="C704" s="10" t="str">
        <f t="shared" si="81"/>
        <v/>
      </c>
      <c r="D704" s="10" t="str">
        <f t="shared" si="82"/>
        <v/>
      </c>
      <c r="E704" s="11" t="str">
        <f t="shared" si="83"/>
        <v/>
      </c>
      <c r="F704" s="12" t="str">
        <f t="shared" si="84"/>
        <v/>
      </c>
      <c r="G704" s="13" t="str">
        <f t="shared" si="85"/>
        <v/>
      </c>
      <c r="H704" s="13" t="str">
        <f t="shared" si="86"/>
        <v/>
      </c>
      <c r="I704" s="14" t="str">
        <f t="shared" si="87"/>
        <v/>
      </c>
      <c r="L704" t="str">
        <f>IFERROR(MATCH($C$5&amp;"|"&amp;RIGHT("000000"&amp;688,6),LdgRankKeyA,0),"")</f>
        <v/>
      </c>
      <c r="M704" t="str">
        <f>IFERROR(MATCH($C$5&amp;"|"&amp;RIGHT("000000"&amp;688,6),LdgRankKeyB,0),"")</f>
        <v/>
      </c>
    </row>
    <row r="705" spans="1:13" x14ac:dyDescent="0.2">
      <c r="A705" s="3">
        <v>689</v>
      </c>
      <c r="B705" s="4" t="str">
        <f t="shared" si="80"/>
        <v/>
      </c>
      <c r="C705" s="4" t="str">
        <f t="shared" si="81"/>
        <v/>
      </c>
      <c r="D705" s="4" t="str">
        <f t="shared" si="82"/>
        <v/>
      </c>
      <c r="E705" s="5" t="str">
        <f t="shared" si="83"/>
        <v/>
      </c>
      <c r="F705" s="6" t="str">
        <f t="shared" si="84"/>
        <v/>
      </c>
      <c r="G705" s="7" t="str">
        <f t="shared" si="85"/>
        <v/>
      </c>
      <c r="H705" s="7" t="str">
        <f t="shared" si="86"/>
        <v/>
      </c>
      <c r="I705" s="8" t="str">
        <f t="shared" si="87"/>
        <v/>
      </c>
      <c r="L705" t="str">
        <f>IFERROR(MATCH($C$5&amp;"|"&amp;RIGHT("000000"&amp;689,6),LdgRankKeyA,0),"")</f>
        <v/>
      </c>
      <c r="M705" t="str">
        <f>IFERROR(MATCH($C$5&amp;"|"&amp;RIGHT("000000"&amp;689,6),LdgRankKeyB,0),"")</f>
        <v/>
      </c>
    </row>
    <row r="706" spans="1:13" x14ac:dyDescent="0.2">
      <c r="A706" s="9">
        <v>690</v>
      </c>
      <c r="B706" s="10" t="str">
        <f t="shared" si="80"/>
        <v/>
      </c>
      <c r="C706" s="10" t="str">
        <f t="shared" si="81"/>
        <v/>
      </c>
      <c r="D706" s="10" t="str">
        <f t="shared" si="82"/>
        <v/>
      </c>
      <c r="E706" s="11" t="str">
        <f t="shared" si="83"/>
        <v/>
      </c>
      <c r="F706" s="12" t="str">
        <f t="shared" si="84"/>
        <v/>
      </c>
      <c r="G706" s="13" t="str">
        <f t="shared" si="85"/>
        <v/>
      </c>
      <c r="H706" s="13" t="str">
        <f t="shared" si="86"/>
        <v/>
      </c>
      <c r="I706" s="14" t="str">
        <f t="shared" si="87"/>
        <v/>
      </c>
      <c r="L706" t="str">
        <f>IFERROR(MATCH($C$5&amp;"|"&amp;RIGHT("000000"&amp;690,6),LdgRankKeyA,0),"")</f>
        <v/>
      </c>
      <c r="M706" t="str">
        <f>IFERROR(MATCH($C$5&amp;"|"&amp;RIGHT("000000"&amp;690,6),LdgRankKeyB,0),"")</f>
        <v/>
      </c>
    </row>
    <row r="707" spans="1:13" x14ac:dyDescent="0.2">
      <c r="A707" s="3">
        <v>691</v>
      </c>
      <c r="B707" s="4" t="str">
        <f t="shared" si="80"/>
        <v/>
      </c>
      <c r="C707" s="4" t="str">
        <f t="shared" si="81"/>
        <v/>
      </c>
      <c r="D707" s="4" t="str">
        <f t="shared" si="82"/>
        <v/>
      </c>
      <c r="E707" s="5" t="str">
        <f t="shared" si="83"/>
        <v/>
      </c>
      <c r="F707" s="6" t="str">
        <f t="shared" si="84"/>
        <v/>
      </c>
      <c r="G707" s="7" t="str">
        <f t="shared" si="85"/>
        <v/>
      </c>
      <c r="H707" s="7" t="str">
        <f t="shared" si="86"/>
        <v/>
      </c>
      <c r="I707" s="8" t="str">
        <f t="shared" si="87"/>
        <v/>
      </c>
      <c r="L707" t="str">
        <f>IFERROR(MATCH($C$5&amp;"|"&amp;RIGHT("000000"&amp;691,6),LdgRankKeyA,0),"")</f>
        <v/>
      </c>
      <c r="M707" t="str">
        <f>IFERROR(MATCH($C$5&amp;"|"&amp;RIGHT("000000"&amp;691,6),LdgRankKeyB,0),"")</f>
        <v/>
      </c>
    </row>
    <row r="708" spans="1:13" x14ac:dyDescent="0.2">
      <c r="A708" s="9">
        <v>692</v>
      </c>
      <c r="B708" s="10" t="str">
        <f t="shared" si="80"/>
        <v/>
      </c>
      <c r="C708" s="10" t="str">
        <f t="shared" si="81"/>
        <v/>
      </c>
      <c r="D708" s="10" t="str">
        <f t="shared" si="82"/>
        <v/>
      </c>
      <c r="E708" s="11" t="str">
        <f t="shared" si="83"/>
        <v/>
      </c>
      <c r="F708" s="12" t="str">
        <f t="shared" si="84"/>
        <v/>
      </c>
      <c r="G708" s="13" t="str">
        <f t="shared" si="85"/>
        <v/>
      </c>
      <c r="H708" s="13" t="str">
        <f t="shared" si="86"/>
        <v/>
      </c>
      <c r="I708" s="14" t="str">
        <f t="shared" si="87"/>
        <v/>
      </c>
      <c r="L708" t="str">
        <f>IFERROR(MATCH($C$5&amp;"|"&amp;RIGHT("000000"&amp;692,6),LdgRankKeyA,0),"")</f>
        <v/>
      </c>
      <c r="M708" t="str">
        <f>IFERROR(MATCH($C$5&amp;"|"&amp;RIGHT("000000"&amp;692,6),LdgRankKeyB,0),"")</f>
        <v/>
      </c>
    </row>
    <row r="709" spans="1:13" x14ac:dyDescent="0.2">
      <c r="A709" s="3">
        <v>693</v>
      </c>
      <c r="B709" s="4" t="str">
        <f t="shared" si="80"/>
        <v/>
      </c>
      <c r="C709" s="4" t="str">
        <f t="shared" si="81"/>
        <v/>
      </c>
      <c r="D709" s="4" t="str">
        <f t="shared" si="82"/>
        <v/>
      </c>
      <c r="E709" s="5" t="str">
        <f t="shared" si="83"/>
        <v/>
      </c>
      <c r="F709" s="6" t="str">
        <f t="shared" si="84"/>
        <v/>
      </c>
      <c r="G709" s="7" t="str">
        <f t="shared" si="85"/>
        <v/>
      </c>
      <c r="H709" s="7" t="str">
        <f t="shared" si="86"/>
        <v/>
      </c>
      <c r="I709" s="8" t="str">
        <f t="shared" si="87"/>
        <v/>
      </c>
      <c r="L709" t="str">
        <f>IFERROR(MATCH($C$5&amp;"|"&amp;RIGHT("000000"&amp;693,6),LdgRankKeyA,0),"")</f>
        <v/>
      </c>
      <c r="M709" t="str">
        <f>IFERROR(MATCH($C$5&amp;"|"&amp;RIGHT("000000"&amp;693,6),LdgRankKeyB,0),"")</f>
        <v/>
      </c>
    </row>
    <row r="710" spans="1:13" x14ac:dyDescent="0.2">
      <c r="A710" s="9">
        <v>694</v>
      </c>
      <c r="B710" s="10" t="str">
        <f t="shared" si="80"/>
        <v/>
      </c>
      <c r="C710" s="10" t="str">
        <f t="shared" si="81"/>
        <v/>
      </c>
      <c r="D710" s="10" t="str">
        <f t="shared" si="82"/>
        <v/>
      </c>
      <c r="E710" s="11" t="str">
        <f t="shared" si="83"/>
        <v/>
      </c>
      <c r="F710" s="12" t="str">
        <f t="shared" si="84"/>
        <v/>
      </c>
      <c r="G710" s="13" t="str">
        <f t="shared" si="85"/>
        <v/>
      </c>
      <c r="H710" s="13" t="str">
        <f t="shared" si="86"/>
        <v/>
      </c>
      <c r="I710" s="14" t="str">
        <f t="shared" si="87"/>
        <v/>
      </c>
      <c r="L710" t="str">
        <f>IFERROR(MATCH($C$5&amp;"|"&amp;RIGHT("000000"&amp;694,6),LdgRankKeyA,0),"")</f>
        <v/>
      </c>
      <c r="M710" t="str">
        <f>IFERROR(MATCH($C$5&amp;"|"&amp;RIGHT("000000"&amp;694,6),LdgRankKeyB,0),"")</f>
        <v/>
      </c>
    </row>
    <row r="711" spans="1:13" x14ac:dyDescent="0.2">
      <c r="A711" s="3">
        <v>695</v>
      </c>
      <c r="B711" s="4" t="str">
        <f t="shared" si="80"/>
        <v/>
      </c>
      <c r="C711" s="4" t="str">
        <f t="shared" si="81"/>
        <v/>
      </c>
      <c r="D711" s="4" t="str">
        <f t="shared" si="82"/>
        <v/>
      </c>
      <c r="E711" s="5" t="str">
        <f t="shared" si="83"/>
        <v/>
      </c>
      <c r="F711" s="6" t="str">
        <f t="shared" si="84"/>
        <v/>
      </c>
      <c r="G711" s="7" t="str">
        <f t="shared" si="85"/>
        <v/>
      </c>
      <c r="H711" s="7" t="str">
        <f t="shared" si="86"/>
        <v/>
      </c>
      <c r="I711" s="8" t="str">
        <f t="shared" si="87"/>
        <v/>
      </c>
      <c r="L711" t="str">
        <f>IFERROR(MATCH($C$5&amp;"|"&amp;RIGHT("000000"&amp;695,6),LdgRankKeyA,0),"")</f>
        <v/>
      </c>
      <c r="M711" t="str">
        <f>IFERROR(MATCH($C$5&amp;"|"&amp;RIGHT("000000"&amp;695,6),LdgRankKeyB,0),"")</f>
        <v/>
      </c>
    </row>
    <row r="712" spans="1:13" x14ac:dyDescent="0.2">
      <c r="A712" s="9">
        <v>696</v>
      </c>
      <c r="B712" s="10" t="str">
        <f t="shared" si="80"/>
        <v/>
      </c>
      <c r="C712" s="10" t="str">
        <f t="shared" si="81"/>
        <v/>
      </c>
      <c r="D712" s="10" t="str">
        <f t="shared" si="82"/>
        <v/>
      </c>
      <c r="E712" s="11" t="str">
        <f t="shared" si="83"/>
        <v/>
      </c>
      <c r="F712" s="12" t="str">
        <f t="shared" si="84"/>
        <v/>
      </c>
      <c r="G712" s="13" t="str">
        <f t="shared" si="85"/>
        <v/>
      </c>
      <c r="H712" s="13" t="str">
        <f t="shared" si="86"/>
        <v/>
      </c>
      <c r="I712" s="14" t="str">
        <f t="shared" si="87"/>
        <v/>
      </c>
      <c r="L712" t="str">
        <f>IFERROR(MATCH($C$5&amp;"|"&amp;RIGHT("000000"&amp;696,6),LdgRankKeyA,0),"")</f>
        <v/>
      </c>
      <c r="M712" t="str">
        <f>IFERROR(MATCH($C$5&amp;"|"&amp;RIGHT("000000"&amp;696,6),LdgRankKeyB,0),"")</f>
        <v/>
      </c>
    </row>
    <row r="713" spans="1:13" x14ac:dyDescent="0.2">
      <c r="A713" s="3">
        <v>697</v>
      </c>
      <c r="B713" s="4" t="str">
        <f t="shared" si="80"/>
        <v/>
      </c>
      <c r="C713" s="4" t="str">
        <f t="shared" si="81"/>
        <v/>
      </c>
      <c r="D713" s="4" t="str">
        <f t="shared" si="82"/>
        <v/>
      </c>
      <c r="E713" s="5" t="str">
        <f t="shared" si="83"/>
        <v/>
      </c>
      <c r="F713" s="6" t="str">
        <f t="shared" si="84"/>
        <v/>
      </c>
      <c r="G713" s="7" t="str">
        <f t="shared" si="85"/>
        <v/>
      </c>
      <c r="H713" s="7" t="str">
        <f t="shared" si="86"/>
        <v/>
      </c>
      <c r="I713" s="8" t="str">
        <f t="shared" si="87"/>
        <v/>
      </c>
      <c r="L713" t="str">
        <f>IFERROR(MATCH($C$5&amp;"|"&amp;RIGHT("000000"&amp;697,6),LdgRankKeyA,0),"")</f>
        <v/>
      </c>
      <c r="M713" t="str">
        <f>IFERROR(MATCH($C$5&amp;"|"&amp;RIGHT("000000"&amp;697,6),LdgRankKeyB,0),"")</f>
        <v/>
      </c>
    </row>
    <row r="714" spans="1:13" x14ac:dyDescent="0.2">
      <c r="A714" s="9">
        <v>698</v>
      </c>
      <c r="B714" s="10" t="str">
        <f t="shared" si="80"/>
        <v/>
      </c>
      <c r="C714" s="10" t="str">
        <f t="shared" si="81"/>
        <v/>
      </c>
      <c r="D714" s="10" t="str">
        <f t="shared" si="82"/>
        <v/>
      </c>
      <c r="E714" s="11" t="str">
        <f t="shared" si="83"/>
        <v/>
      </c>
      <c r="F714" s="12" t="str">
        <f t="shared" si="84"/>
        <v/>
      </c>
      <c r="G714" s="13" t="str">
        <f t="shared" si="85"/>
        <v/>
      </c>
      <c r="H714" s="13" t="str">
        <f t="shared" si="86"/>
        <v/>
      </c>
      <c r="I714" s="14" t="str">
        <f t="shared" si="87"/>
        <v/>
      </c>
      <c r="L714" t="str">
        <f>IFERROR(MATCH($C$5&amp;"|"&amp;RIGHT("000000"&amp;698,6),LdgRankKeyA,0),"")</f>
        <v/>
      </c>
      <c r="M714" t="str">
        <f>IFERROR(MATCH($C$5&amp;"|"&amp;RIGHT("000000"&amp;698,6),LdgRankKeyB,0),"")</f>
        <v/>
      </c>
    </row>
    <row r="715" spans="1:13" x14ac:dyDescent="0.2">
      <c r="A715" s="3">
        <v>699</v>
      </c>
      <c r="B715" s="4" t="str">
        <f t="shared" si="80"/>
        <v/>
      </c>
      <c r="C715" s="4" t="str">
        <f t="shared" si="81"/>
        <v/>
      </c>
      <c r="D715" s="4" t="str">
        <f t="shared" si="82"/>
        <v/>
      </c>
      <c r="E715" s="5" t="str">
        <f t="shared" si="83"/>
        <v/>
      </c>
      <c r="F715" s="6" t="str">
        <f t="shared" si="84"/>
        <v/>
      </c>
      <c r="G715" s="7" t="str">
        <f t="shared" si="85"/>
        <v/>
      </c>
      <c r="H715" s="7" t="str">
        <f t="shared" si="86"/>
        <v/>
      </c>
      <c r="I715" s="8" t="str">
        <f t="shared" si="87"/>
        <v/>
      </c>
      <c r="L715" t="str">
        <f>IFERROR(MATCH($C$5&amp;"|"&amp;RIGHT("000000"&amp;699,6),LdgRankKeyA,0),"")</f>
        <v/>
      </c>
      <c r="M715" t="str">
        <f>IFERROR(MATCH($C$5&amp;"|"&amp;RIGHT("000000"&amp;699,6),LdgRankKeyB,0),"")</f>
        <v/>
      </c>
    </row>
    <row r="716" spans="1:13" x14ac:dyDescent="0.2">
      <c r="A716" s="9">
        <v>700</v>
      </c>
      <c r="B716" s="10" t="str">
        <f t="shared" si="80"/>
        <v/>
      </c>
      <c r="C716" s="10" t="str">
        <f t="shared" si="81"/>
        <v/>
      </c>
      <c r="D716" s="10" t="str">
        <f t="shared" si="82"/>
        <v/>
      </c>
      <c r="E716" s="11" t="str">
        <f t="shared" si="83"/>
        <v/>
      </c>
      <c r="F716" s="12" t="str">
        <f t="shared" si="84"/>
        <v/>
      </c>
      <c r="G716" s="13" t="str">
        <f t="shared" si="85"/>
        <v/>
      </c>
      <c r="H716" s="13" t="str">
        <f t="shared" si="86"/>
        <v/>
      </c>
      <c r="I716" s="14" t="str">
        <f t="shared" si="87"/>
        <v/>
      </c>
      <c r="L716" t="str">
        <f>IFERROR(MATCH($C$5&amp;"|"&amp;RIGHT("000000"&amp;700,6),LdgRankKeyA,0),"")</f>
        <v/>
      </c>
      <c r="M716" t="str">
        <f>IFERROR(MATCH($C$5&amp;"|"&amp;RIGHT("000000"&amp;700,6),LdgRankKeyB,0),"")</f>
        <v/>
      </c>
    </row>
    <row r="717" spans="1:13" x14ac:dyDescent="0.2">
      <c r="A717" s="3">
        <v>701</v>
      </c>
      <c r="B717" s="4" t="str">
        <f t="shared" si="80"/>
        <v/>
      </c>
      <c r="C717" s="4" t="str">
        <f t="shared" si="81"/>
        <v/>
      </c>
      <c r="D717" s="4" t="str">
        <f t="shared" si="82"/>
        <v/>
      </c>
      <c r="E717" s="5" t="str">
        <f t="shared" si="83"/>
        <v/>
      </c>
      <c r="F717" s="6" t="str">
        <f t="shared" si="84"/>
        <v/>
      </c>
      <c r="G717" s="7" t="str">
        <f t="shared" si="85"/>
        <v/>
      </c>
      <c r="H717" s="7" t="str">
        <f t="shared" si="86"/>
        <v/>
      </c>
      <c r="I717" s="8" t="str">
        <f t="shared" si="87"/>
        <v/>
      </c>
      <c r="L717" t="str">
        <f>IFERROR(MATCH($C$5&amp;"|"&amp;RIGHT("000000"&amp;701,6),LdgRankKeyA,0),"")</f>
        <v/>
      </c>
      <c r="M717" t="str">
        <f>IFERROR(MATCH($C$5&amp;"|"&amp;RIGHT("000000"&amp;701,6),LdgRankKeyB,0),"")</f>
        <v/>
      </c>
    </row>
    <row r="718" spans="1:13" x14ac:dyDescent="0.2">
      <c r="A718" s="9">
        <v>702</v>
      </c>
      <c r="B718" s="10" t="str">
        <f t="shared" si="80"/>
        <v/>
      </c>
      <c r="C718" s="10" t="str">
        <f t="shared" si="81"/>
        <v/>
      </c>
      <c r="D718" s="10" t="str">
        <f t="shared" si="82"/>
        <v/>
      </c>
      <c r="E718" s="11" t="str">
        <f t="shared" si="83"/>
        <v/>
      </c>
      <c r="F718" s="12" t="str">
        <f t="shared" si="84"/>
        <v/>
      </c>
      <c r="G718" s="13" t="str">
        <f t="shared" si="85"/>
        <v/>
      </c>
      <c r="H718" s="13" t="str">
        <f t="shared" si="86"/>
        <v/>
      </c>
      <c r="I718" s="14" t="str">
        <f t="shared" si="87"/>
        <v/>
      </c>
      <c r="L718" t="str">
        <f>IFERROR(MATCH($C$5&amp;"|"&amp;RIGHT("000000"&amp;702,6),LdgRankKeyA,0),"")</f>
        <v/>
      </c>
      <c r="M718" t="str">
        <f>IFERROR(MATCH($C$5&amp;"|"&amp;RIGHT("000000"&amp;702,6),LdgRankKeyB,0),"")</f>
        <v/>
      </c>
    </row>
    <row r="719" spans="1:13" x14ac:dyDescent="0.2">
      <c r="A719" s="3">
        <v>703</v>
      </c>
      <c r="B719" s="4" t="str">
        <f t="shared" si="80"/>
        <v/>
      </c>
      <c r="C719" s="4" t="str">
        <f t="shared" si="81"/>
        <v/>
      </c>
      <c r="D719" s="4" t="str">
        <f t="shared" si="82"/>
        <v/>
      </c>
      <c r="E719" s="5" t="str">
        <f t="shared" si="83"/>
        <v/>
      </c>
      <c r="F719" s="6" t="str">
        <f t="shared" si="84"/>
        <v/>
      </c>
      <c r="G719" s="7" t="str">
        <f t="shared" si="85"/>
        <v/>
      </c>
      <c r="H719" s="7" t="str">
        <f t="shared" si="86"/>
        <v/>
      </c>
      <c r="I719" s="8" t="str">
        <f t="shared" si="87"/>
        <v/>
      </c>
      <c r="L719" t="str">
        <f>IFERROR(MATCH($C$5&amp;"|"&amp;RIGHT("000000"&amp;703,6),LdgRankKeyA,0),"")</f>
        <v/>
      </c>
      <c r="M719" t="str">
        <f>IFERROR(MATCH($C$5&amp;"|"&amp;RIGHT("000000"&amp;703,6),LdgRankKeyB,0),"")</f>
        <v/>
      </c>
    </row>
    <row r="720" spans="1:13" x14ac:dyDescent="0.2">
      <c r="A720" s="9">
        <v>704</v>
      </c>
      <c r="B720" s="10" t="str">
        <f t="shared" si="80"/>
        <v/>
      </c>
      <c r="C720" s="10" t="str">
        <f t="shared" si="81"/>
        <v/>
      </c>
      <c r="D720" s="10" t="str">
        <f t="shared" si="82"/>
        <v/>
      </c>
      <c r="E720" s="11" t="str">
        <f t="shared" si="83"/>
        <v/>
      </c>
      <c r="F720" s="12" t="str">
        <f t="shared" si="84"/>
        <v/>
      </c>
      <c r="G720" s="13" t="str">
        <f t="shared" si="85"/>
        <v/>
      </c>
      <c r="H720" s="13" t="str">
        <f t="shared" si="86"/>
        <v/>
      </c>
      <c r="I720" s="14" t="str">
        <f t="shared" si="87"/>
        <v/>
      </c>
      <c r="L720" t="str">
        <f>IFERROR(MATCH($C$5&amp;"|"&amp;RIGHT("000000"&amp;704,6),LdgRankKeyA,0),"")</f>
        <v/>
      </c>
      <c r="M720" t="str">
        <f>IFERROR(MATCH($C$5&amp;"|"&amp;RIGHT("000000"&amp;704,6),LdgRankKeyB,0),"")</f>
        <v/>
      </c>
    </row>
    <row r="721" spans="1:13" x14ac:dyDescent="0.2">
      <c r="A721" s="3">
        <v>705</v>
      </c>
      <c r="B721" s="4" t="str">
        <f t="shared" ref="B721:B784" si="88">IF(AND($L721="",$M721=""),"",IF($L721&lt;&gt;"",INDEX(SCNormDate,$L721),INDEX(LdgDateB,$M721)))</f>
        <v/>
      </c>
      <c r="C721" s="4" t="str">
        <f t="shared" ref="C721:C784" si="89">IF($L721&lt;&gt;"",INDEX(SCOp,$L721),IF($M721&lt;&gt;"","پرداخت بانکی",""))</f>
        <v/>
      </c>
      <c r="D721" s="4" t="str">
        <f t="shared" ref="D721:D784" si="90">IF($L721&lt;&gt;"",IF(INDEX(SCDoc,$L721)="","—",INDEX(SCDoc,$L721)),IF($M721&lt;&gt;"",INDEX(LdgBankB,$M721),""))</f>
        <v/>
      </c>
      <c r="E721" s="5" t="str">
        <f t="shared" ref="E721:E784" si="91">IF($L721&lt;&gt;"",IF(INDEX(SCCitrus,$L721)&amp;INDEX(SCNotes,$L721)="","",IF(INDEX(SCCitrus,$L721)="","",INDEX(SCCitrus,$L721))&amp;IF(INDEX(SCNotes,$L721)="",""," — "&amp;INDEX(SCNotes,$L721))),IF($M721&lt;&gt;"",IF(INDEX(LdgNoteB,$M721)="","—",INDEX(LdgNoteB,$M721)),""))</f>
        <v/>
      </c>
      <c r="F721" s="6" t="str">
        <f t="shared" ref="F721:F784" si="92">IF($L721&lt;&gt;"",IF(INDEX(SCNet,$L721)=0,"",INDEX(SCNet,$L721)),"")</f>
        <v/>
      </c>
      <c r="G721" s="7" t="str">
        <f t="shared" ref="G721:G784" si="93">IF($L721&lt;&gt;"",IF(INDEX(SCOp,$L721)="مرجوعی فروش","",IF(INDEX(SCAmount,$L721)&lt;=0,"",INDEX(SCAmount,$L721))),IF($M721&lt;&gt;"",IF(INDEX(LdgWitB,$M721)=0,"",INDEX(LdgWitB,$M721)),""))</f>
        <v/>
      </c>
      <c r="H721" s="7" t="str">
        <f t="shared" ref="H721:H784" si="94">IF($L721&lt;&gt;"",IF(INDEX(SCOp,$L721)="مرجوعی فروش",IF(INDEX(SCAmount,$L721)=0,"",-INDEX(SCAmount,$L721)),""),IF($M721&lt;&gt;"",IF(INDEX(LdgDepB,$M721)=0,"",INDEX(LdgDepB,$M721)),""))</f>
        <v/>
      </c>
      <c r="I721" s="8" t="str">
        <f t="shared" si="87"/>
        <v/>
      </c>
      <c r="L721" t="str">
        <f>IFERROR(MATCH($C$5&amp;"|"&amp;RIGHT("000000"&amp;705,6),LdgRankKeyA,0),"")</f>
        <v/>
      </c>
      <c r="M721" t="str">
        <f>IFERROR(MATCH($C$5&amp;"|"&amp;RIGHT("000000"&amp;705,6),LdgRankKeyB,0),"")</f>
        <v/>
      </c>
    </row>
    <row r="722" spans="1:13" x14ac:dyDescent="0.2">
      <c r="A722" s="9">
        <v>706</v>
      </c>
      <c r="B722" s="10" t="str">
        <f t="shared" si="88"/>
        <v/>
      </c>
      <c r="C722" s="10" t="str">
        <f t="shared" si="89"/>
        <v/>
      </c>
      <c r="D722" s="10" t="str">
        <f t="shared" si="90"/>
        <v/>
      </c>
      <c r="E722" s="11" t="str">
        <f t="shared" si="91"/>
        <v/>
      </c>
      <c r="F722" s="12" t="str">
        <f t="shared" si="92"/>
        <v/>
      </c>
      <c r="G722" s="13" t="str">
        <f t="shared" si="93"/>
        <v/>
      </c>
      <c r="H722" s="13" t="str">
        <f t="shared" si="94"/>
        <v/>
      </c>
      <c r="I722" s="14" t="str">
        <f t="shared" ref="I722:I785" si="95">IF($B722="","",IF($I721="",$C$10,$I721)+IF($G722="",0,$G722)-IF($H722="",0,$H722))</f>
        <v/>
      </c>
      <c r="L722" t="str">
        <f>IFERROR(MATCH($C$5&amp;"|"&amp;RIGHT("000000"&amp;706,6),LdgRankKeyA,0),"")</f>
        <v/>
      </c>
      <c r="M722" t="str">
        <f>IFERROR(MATCH($C$5&amp;"|"&amp;RIGHT("000000"&amp;706,6),LdgRankKeyB,0),"")</f>
        <v/>
      </c>
    </row>
    <row r="723" spans="1:13" x14ac:dyDescent="0.2">
      <c r="A723" s="3">
        <v>707</v>
      </c>
      <c r="B723" s="4" t="str">
        <f t="shared" si="88"/>
        <v/>
      </c>
      <c r="C723" s="4" t="str">
        <f t="shared" si="89"/>
        <v/>
      </c>
      <c r="D723" s="4" t="str">
        <f t="shared" si="90"/>
        <v/>
      </c>
      <c r="E723" s="5" t="str">
        <f t="shared" si="91"/>
        <v/>
      </c>
      <c r="F723" s="6" t="str">
        <f t="shared" si="92"/>
        <v/>
      </c>
      <c r="G723" s="7" t="str">
        <f t="shared" si="93"/>
        <v/>
      </c>
      <c r="H723" s="7" t="str">
        <f t="shared" si="94"/>
        <v/>
      </c>
      <c r="I723" s="8" t="str">
        <f t="shared" si="95"/>
        <v/>
      </c>
      <c r="L723" t="str">
        <f>IFERROR(MATCH($C$5&amp;"|"&amp;RIGHT("000000"&amp;707,6),LdgRankKeyA,0),"")</f>
        <v/>
      </c>
      <c r="M723" t="str">
        <f>IFERROR(MATCH($C$5&amp;"|"&amp;RIGHT("000000"&amp;707,6),LdgRankKeyB,0),"")</f>
        <v/>
      </c>
    </row>
    <row r="724" spans="1:13" x14ac:dyDescent="0.2">
      <c r="A724" s="9">
        <v>708</v>
      </c>
      <c r="B724" s="10" t="str">
        <f t="shared" si="88"/>
        <v/>
      </c>
      <c r="C724" s="10" t="str">
        <f t="shared" si="89"/>
        <v/>
      </c>
      <c r="D724" s="10" t="str">
        <f t="shared" si="90"/>
        <v/>
      </c>
      <c r="E724" s="11" t="str">
        <f t="shared" si="91"/>
        <v/>
      </c>
      <c r="F724" s="12" t="str">
        <f t="shared" si="92"/>
        <v/>
      </c>
      <c r="G724" s="13" t="str">
        <f t="shared" si="93"/>
        <v/>
      </c>
      <c r="H724" s="13" t="str">
        <f t="shared" si="94"/>
        <v/>
      </c>
      <c r="I724" s="14" t="str">
        <f t="shared" si="95"/>
        <v/>
      </c>
      <c r="L724" t="str">
        <f>IFERROR(MATCH($C$5&amp;"|"&amp;RIGHT("000000"&amp;708,6),LdgRankKeyA,0),"")</f>
        <v/>
      </c>
      <c r="M724" t="str">
        <f>IFERROR(MATCH($C$5&amp;"|"&amp;RIGHT("000000"&amp;708,6),LdgRankKeyB,0),"")</f>
        <v/>
      </c>
    </row>
    <row r="725" spans="1:13" x14ac:dyDescent="0.2">
      <c r="A725" s="3">
        <v>709</v>
      </c>
      <c r="B725" s="4" t="str">
        <f t="shared" si="88"/>
        <v/>
      </c>
      <c r="C725" s="4" t="str">
        <f t="shared" si="89"/>
        <v/>
      </c>
      <c r="D725" s="4" t="str">
        <f t="shared" si="90"/>
        <v/>
      </c>
      <c r="E725" s="5" t="str">
        <f t="shared" si="91"/>
        <v/>
      </c>
      <c r="F725" s="6" t="str">
        <f t="shared" si="92"/>
        <v/>
      </c>
      <c r="G725" s="7" t="str">
        <f t="shared" si="93"/>
        <v/>
      </c>
      <c r="H725" s="7" t="str">
        <f t="shared" si="94"/>
        <v/>
      </c>
      <c r="I725" s="8" t="str">
        <f t="shared" si="95"/>
        <v/>
      </c>
      <c r="L725" t="str">
        <f>IFERROR(MATCH($C$5&amp;"|"&amp;RIGHT("000000"&amp;709,6),LdgRankKeyA,0),"")</f>
        <v/>
      </c>
      <c r="M725" t="str">
        <f>IFERROR(MATCH($C$5&amp;"|"&amp;RIGHT("000000"&amp;709,6),LdgRankKeyB,0),"")</f>
        <v/>
      </c>
    </row>
    <row r="726" spans="1:13" x14ac:dyDescent="0.2">
      <c r="A726" s="9">
        <v>710</v>
      </c>
      <c r="B726" s="10" t="str">
        <f t="shared" si="88"/>
        <v/>
      </c>
      <c r="C726" s="10" t="str">
        <f t="shared" si="89"/>
        <v/>
      </c>
      <c r="D726" s="10" t="str">
        <f t="shared" si="90"/>
        <v/>
      </c>
      <c r="E726" s="11" t="str">
        <f t="shared" si="91"/>
        <v/>
      </c>
      <c r="F726" s="12" t="str">
        <f t="shared" si="92"/>
        <v/>
      </c>
      <c r="G726" s="13" t="str">
        <f t="shared" si="93"/>
        <v/>
      </c>
      <c r="H726" s="13" t="str">
        <f t="shared" si="94"/>
        <v/>
      </c>
      <c r="I726" s="14" t="str">
        <f t="shared" si="95"/>
        <v/>
      </c>
      <c r="L726" t="str">
        <f>IFERROR(MATCH($C$5&amp;"|"&amp;RIGHT("000000"&amp;710,6),LdgRankKeyA,0),"")</f>
        <v/>
      </c>
      <c r="M726" t="str">
        <f>IFERROR(MATCH($C$5&amp;"|"&amp;RIGHT("000000"&amp;710,6),LdgRankKeyB,0),"")</f>
        <v/>
      </c>
    </row>
    <row r="727" spans="1:13" x14ac:dyDescent="0.2">
      <c r="A727" s="3">
        <v>711</v>
      </c>
      <c r="B727" s="4" t="str">
        <f t="shared" si="88"/>
        <v/>
      </c>
      <c r="C727" s="4" t="str">
        <f t="shared" si="89"/>
        <v/>
      </c>
      <c r="D727" s="4" t="str">
        <f t="shared" si="90"/>
        <v/>
      </c>
      <c r="E727" s="5" t="str">
        <f t="shared" si="91"/>
        <v/>
      </c>
      <c r="F727" s="6" t="str">
        <f t="shared" si="92"/>
        <v/>
      </c>
      <c r="G727" s="7" t="str">
        <f t="shared" si="93"/>
        <v/>
      </c>
      <c r="H727" s="7" t="str">
        <f t="shared" si="94"/>
        <v/>
      </c>
      <c r="I727" s="8" t="str">
        <f t="shared" si="95"/>
        <v/>
      </c>
      <c r="L727" t="str">
        <f>IFERROR(MATCH($C$5&amp;"|"&amp;RIGHT("000000"&amp;711,6),LdgRankKeyA,0),"")</f>
        <v/>
      </c>
      <c r="M727" t="str">
        <f>IFERROR(MATCH($C$5&amp;"|"&amp;RIGHT("000000"&amp;711,6),LdgRankKeyB,0),"")</f>
        <v/>
      </c>
    </row>
    <row r="728" spans="1:13" x14ac:dyDescent="0.2">
      <c r="A728" s="9">
        <v>712</v>
      </c>
      <c r="B728" s="10" t="str">
        <f t="shared" si="88"/>
        <v/>
      </c>
      <c r="C728" s="10" t="str">
        <f t="shared" si="89"/>
        <v/>
      </c>
      <c r="D728" s="10" t="str">
        <f t="shared" si="90"/>
        <v/>
      </c>
      <c r="E728" s="11" t="str">
        <f t="shared" si="91"/>
        <v/>
      </c>
      <c r="F728" s="12" t="str">
        <f t="shared" si="92"/>
        <v/>
      </c>
      <c r="G728" s="13" t="str">
        <f t="shared" si="93"/>
        <v/>
      </c>
      <c r="H728" s="13" t="str">
        <f t="shared" si="94"/>
        <v/>
      </c>
      <c r="I728" s="14" t="str">
        <f t="shared" si="95"/>
        <v/>
      </c>
      <c r="L728" t="str">
        <f>IFERROR(MATCH($C$5&amp;"|"&amp;RIGHT("000000"&amp;712,6),LdgRankKeyA,0),"")</f>
        <v/>
      </c>
      <c r="M728" t="str">
        <f>IFERROR(MATCH($C$5&amp;"|"&amp;RIGHT("000000"&amp;712,6),LdgRankKeyB,0),"")</f>
        <v/>
      </c>
    </row>
    <row r="729" spans="1:13" x14ac:dyDescent="0.2">
      <c r="A729" s="3">
        <v>713</v>
      </c>
      <c r="B729" s="4" t="str">
        <f t="shared" si="88"/>
        <v/>
      </c>
      <c r="C729" s="4" t="str">
        <f t="shared" si="89"/>
        <v/>
      </c>
      <c r="D729" s="4" t="str">
        <f t="shared" si="90"/>
        <v/>
      </c>
      <c r="E729" s="5" t="str">
        <f t="shared" si="91"/>
        <v/>
      </c>
      <c r="F729" s="6" t="str">
        <f t="shared" si="92"/>
        <v/>
      </c>
      <c r="G729" s="7" t="str">
        <f t="shared" si="93"/>
        <v/>
      </c>
      <c r="H729" s="7" t="str">
        <f t="shared" si="94"/>
        <v/>
      </c>
      <c r="I729" s="8" t="str">
        <f t="shared" si="95"/>
        <v/>
      </c>
      <c r="L729" t="str">
        <f>IFERROR(MATCH($C$5&amp;"|"&amp;RIGHT("000000"&amp;713,6),LdgRankKeyA,0),"")</f>
        <v/>
      </c>
      <c r="M729" t="str">
        <f>IFERROR(MATCH($C$5&amp;"|"&amp;RIGHT("000000"&amp;713,6),LdgRankKeyB,0),"")</f>
        <v/>
      </c>
    </row>
    <row r="730" spans="1:13" x14ac:dyDescent="0.2">
      <c r="A730" s="9">
        <v>714</v>
      </c>
      <c r="B730" s="10" t="str">
        <f t="shared" si="88"/>
        <v/>
      </c>
      <c r="C730" s="10" t="str">
        <f t="shared" si="89"/>
        <v/>
      </c>
      <c r="D730" s="10" t="str">
        <f t="shared" si="90"/>
        <v/>
      </c>
      <c r="E730" s="11" t="str">
        <f t="shared" si="91"/>
        <v/>
      </c>
      <c r="F730" s="12" t="str">
        <f t="shared" si="92"/>
        <v/>
      </c>
      <c r="G730" s="13" t="str">
        <f t="shared" si="93"/>
        <v/>
      </c>
      <c r="H730" s="13" t="str">
        <f t="shared" si="94"/>
        <v/>
      </c>
      <c r="I730" s="14" t="str">
        <f t="shared" si="95"/>
        <v/>
      </c>
      <c r="L730" t="str">
        <f>IFERROR(MATCH($C$5&amp;"|"&amp;RIGHT("000000"&amp;714,6),LdgRankKeyA,0),"")</f>
        <v/>
      </c>
      <c r="M730" t="str">
        <f>IFERROR(MATCH($C$5&amp;"|"&amp;RIGHT("000000"&amp;714,6),LdgRankKeyB,0),"")</f>
        <v/>
      </c>
    </row>
    <row r="731" spans="1:13" x14ac:dyDescent="0.2">
      <c r="A731" s="3">
        <v>715</v>
      </c>
      <c r="B731" s="4" t="str">
        <f t="shared" si="88"/>
        <v/>
      </c>
      <c r="C731" s="4" t="str">
        <f t="shared" si="89"/>
        <v/>
      </c>
      <c r="D731" s="4" t="str">
        <f t="shared" si="90"/>
        <v/>
      </c>
      <c r="E731" s="5" t="str">
        <f t="shared" si="91"/>
        <v/>
      </c>
      <c r="F731" s="6" t="str">
        <f t="shared" si="92"/>
        <v/>
      </c>
      <c r="G731" s="7" t="str">
        <f t="shared" si="93"/>
        <v/>
      </c>
      <c r="H731" s="7" t="str">
        <f t="shared" si="94"/>
        <v/>
      </c>
      <c r="I731" s="8" t="str">
        <f t="shared" si="95"/>
        <v/>
      </c>
      <c r="L731" t="str">
        <f>IFERROR(MATCH($C$5&amp;"|"&amp;RIGHT("000000"&amp;715,6),LdgRankKeyA,0),"")</f>
        <v/>
      </c>
      <c r="M731" t="str">
        <f>IFERROR(MATCH($C$5&amp;"|"&amp;RIGHT("000000"&amp;715,6),LdgRankKeyB,0),"")</f>
        <v/>
      </c>
    </row>
    <row r="732" spans="1:13" x14ac:dyDescent="0.2">
      <c r="A732" s="9">
        <v>716</v>
      </c>
      <c r="B732" s="10" t="str">
        <f t="shared" si="88"/>
        <v/>
      </c>
      <c r="C732" s="10" t="str">
        <f t="shared" si="89"/>
        <v/>
      </c>
      <c r="D732" s="10" t="str">
        <f t="shared" si="90"/>
        <v/>
      </c>
      <c r="E732" s="11" t="str">
        <f t="shared" si="91"/>
        <v/>
      </c>
      <c r="F732" s="12" t="str">
        <f t="shared" si="92"/>
        <v/>
      </c>
      <c r="G732" s="13" t="str">
        <f t="shared" si="93"/>
        <v/>
      </c>
      <c r="H732" s="13" t="str">
        <f t="shared" si="94"/>
        <v/>
      </c>
      <c r="I732" s="14" t="str">
        <f t="shared" si="95"/>
        <v/>
      </c>
      <c r="L732" t="str">
        <f>IFERROR(MATCH($C$5&amp;"|"&amp;RIGHT("000000"&amp;716,6),LdgRankKeyA,0),"")</f>
        <v/>
      </c>
      <c r="M732" t="str">
        <f>IFERROR(MATCH($C$5&amp;"|"&amp;RIGHT("000000"&amp;716,6),LdgRankKeyB,0),"")</f>
        <v/>
      </c>
    </row>
    <row r="733" spans="1:13" x14ac:dyDescent="0.2">
      <c r="A733" s="3">
        <v>717</v>
      </c>
      <c r="B733" s="4" t="str">
        <f t="shared" si="88"/>
        <v/>
      </c>
      <c r="C733" s="4" t="str">
        <f t="shared" si="89"/>
        <v/>
      </c>
      <c r="D733" s="4" t="str">
        <f t="shared" si="90"/>
        <v/>
      </c>
      <c r="E733" s="5" t="str">
        <f t="shared" si="91"/>
        <v/>
      </c>
      <c r="F733" s="6" t="str">
        <f t="shared" si="92"/>
        <v/>
      </c>
      <c r="G733" s="7" t="str">
        <f t="shared" si="93"/>
        <v/>
      </c>
      <c r="H733" s="7" t="str">
        <f t="shared" si="94"/>
        <v/>
      </c>
      <c r="I733" s="8" t="str">
        <f t="shared" si="95"/>
        <v/>
      </c>
      <c r="L733" t="str">
        <f>IFERROR(MATCH($C$5&amp;"|"&amp;RIGHT("000000"&amp;717,6),LdgRankKeyA,0),"")</f>
        <v/>
      </c>
      <c r="M733" t="str">
        <f>IFERROR(MATCH($C$5&amp;"|"&amp;RIGHT("000000"&amp;717,6),LdgRankKeyB,0),"")</f>
        <v/>
      </c>
    </row>
    <row r="734" spans="1:13" x14ac:dyDescent="0.2">
      <c r="A734" s="9">
        <v>718</v>
      </c>
      <c r="B734" s="10" t="str">
        <f t="shared" si="88"/>
        <v/>
      </c>
      <c r="C734" s="10" t="str">
        <f t="shared" si="89"/>
        <v/>
      </c>
      <c r="D734" s="10" t="str">
        <f t="shared" si="90"/>
        <v/>
      </c>
      <c r="E734" s="11" t="str">
        <f t="shared" si="91"/>
        <v/>
      </c>
      <c r="F734" s="12" t="str">
        <f t="shared" si="92"/>
        <v/>
      </c>
      <c r="G734" s="13" t="str">
        <f t="shared" si="93"/>
        <v/>
      </c>
      <c r="H734" s="13" t="str">
        <f t="shared" si="94"/>
        <v/>
      </c>
      <c r="I734" s="14" t="str">
        <f t="shared" si="95"/>
        <v/>
      </c>
      <c r="L734" t="str">
        <f>IFERROR(MATCH($C$5&amp;"|"&amp;RIGHT("000000"&amp;718,6),LdgRankKeyA,0),"")</f>
        <v/>
      </c>
      <c r="M734" t="str">
        <f>IFERROR(MATCH($C$5&amp;"|"&amp;RIGHT("000000"&amp;718,6),LdgRankKeyB,0),"")</f>
        <v/>
      </c>
    </row>
    <row r="735" spans="1:13" x14ac:dyDescent="0.2">
      <c r="A735" s="3">
        <v>719</v>
      </c>
      <c r="B735" s="4" t="str">
        <f t="shared" si="88"/>
        <v/>
      </c>
      <c r="C735" s="4" t="str">
        <f t="shared" si="89"/>
        <v/>
      </c>
      <c r="D735" s="4" t="str">
        <f t="shared" si="90"/>
        <v/>
      </c>
      <c r="E735" s="5" t="str">
        <f t="shared" si="91"/>
        <v/>
      </c>
      <c r="F735" s="6" t="str">
        <f t="shared" si="92"/>
        <v/>
      </c>
      <c r="G735" s="7" t="str">
        <f t="shared" si="93"/>
        <v/>
      </c>
      <c r="H735" s="7" t="str">
        <f t="shared" si="94"/>
        <v/>
      </c>
      <c r="I735" s="8" t="str">
        <f t="shared" si="95"/>
        <v/>
      </c>
      <c r="L735" t="str">
        <f>IFERROR(MATCH($C$5&amp;"|"&amp;RIGHT("000000"&amp;719,6),LdgRankKeyA,0),"")</f>
        <v/>
      </c>
      <c r="M735" t="str">
        <f>IFERROR(MATCH($C$5&amp;"|"&amp;RIGHT("000000"&amp;719,6),LdgRankKeyB,0),"")</f>
        <v/>
      </c>
    </row>
    <row r="736" spans="1:13" x14ac:dyDescent="0.2">
      <c r="A736" s="9">
        <v>720</v>
      </c>
      <c r="B736" s="10" t="str">
        <f t="shared" si="88"/>
        <v/>
      </c>
      <c r="C736" s="10" t="str">
        <f t="shared" si="89"/>
        <v/>
      </c>
      <c r="D736" s="10" t="str">
        <f t="shared" si="90"/>
        <v/>
      </c>
      <c r="E736" s="11" t="str">
        <f t="shared" si="91"/>
        <v/>
      </c>
      <c r="F736" s="12" t="str">
        <f t="shared" si="92"/>
        <v/>
      </c>
      <c r="G736" s="13" t="str">
        <f t="shared" si="93"/>
        <v/>
      </c>
      <c r="H736" s="13" t="str">
        <f t="shared" si="94"/>
        <v/>
      </c>
      <c r="I736" s="14" t="str">
        <f t="shared" si="95"/>
        <v/>
      </c>
      <c r="L736" t="str">
        <f>IFERROR(MATCH($C$5&amp;"|"&amp;RIGHT("000000"&amp;720,6),LdgRankKeyA,0),"")</f>
        <v/>
      </c>
      <c r="M736" t="str">
        <f>IFERROR(MATCH($C$5&amp;"|"&amp;RIGHT("000000"&amp;720,6),LdgRankKeyB,0),"")</f>
        <v/>
      </c>
    </row>
    <row r="737" spans="1:13" x14ac:dyDescent="0.2">
      <c r="A737" s="3">
        <v>721</v>
      </c>
      <c r="B737" s="4" t="str">
        <f t="shared" si="88"/>
        <v/>
      </c>
      <c r="C737" s="4" t="str">
        <f t="shared" si="89"/>
        <v/>
      </c>
      <c r="D737" s="4" t="str">
        <f t="shared" si="90"/>
        <v/>
      </c>
      <c r="E737" s="5" t="str">
        <f t="shared" si="91"/>
        <v/>
      </c>
      <c r="F737" s="6" t="str">
        <f t="shared" si="92"/>
        <v/>
      </c>
      <c r="G737" s="7" t="str">
        <f t="shared" si="93"/>
        <v/>
      </c>
      <c r="H737" s="7" t="str">
        <f t="shared" si="94"/>
        <v/>
      </c>
      <c r="I737" s="8" t="str">
        <f t="shared" si="95"/>
        <v/>
      </c>
      <c r="L737" t="str">
        <f>IFERROR(MATCH($C$5&amp;"|"&amp;RIGHT("000000"&amp;721,6),LdgRankKeyA,0),"")</f>
        <v/>
      </c>
      <c r="M737" t="str">
        <f>IFERROR(MATCH($C$5&amp;"|"&amp;RIGHT("000000"&amp;721,6),LdgRankKeyB,0),"")</f>
        <v/>
      </c>
    </row>
    <row r="738" spans="1:13" x14ac:dyDescent="0.2">
      <c r="A738" s="9">
        <v>722</v>
      </c>
      <c r="B738" s="10" t="str">
        <f t="shared" si="88"/>
        <v/>
      </c>
      <c r="C738" s="10" t="str">
        <f t="shared" si="89"/>
        <v/>
      </c>
      <c r="D738" s="10" t="str">
        <f t="shared" si="90"/>
        <v/>
      </c>
      <c r="E738" s="11" t="str">
        <f t="shared" si="91"/>
        <v/>
      </c>
      <c r="F738" s="12" t="str">
        <f t="shared" si="92"/>
        <v/>
      </c>
      <c r="G738" s="13" t="str">
        <f t="shared" si="93"/>
        <v/>
      </c>
      <c r="H738" s="13" t="str">
        <f t="shared" si="94"/>
        <v/>
      </c>
      <c r="I738" s="14" t="str">
        <f t="shared" si="95"/>
        <v/>
      </c>
      <c r="L738" t="str">
        <f>IFERROR(MATCH($C$5&amp;"|"&amp;RIGHT("000000"&amp;722,6),LdgRankKeyA,0),"")</f>
        <v/>
      </c>
      <c r="M738" t="str">
        <f>IFERROR(MATCH($C$5&amp;"|"&amp;RIGHT("000000"&amp;722,6),LdgRankKeyB,0),"")</f>
        <v/>
      </c>
    </row>
    <row r="739" spans="1:13" x14ac:dyDescent="0.2">
      <c r="A739" s="3">
        <v>723</v>
      </c>
      <c r="B739" s="4" t="str">
        <f t="shared" si="88"/>
        <v/>
      </c>
      <c r="C739" s="4" t="str">
        <f t="shared" si="89"/>
        <v/>
      </c>
      <c r="D739" s="4" t="str">
        <f t="shared" si="90"/>
        <v/>
      </c>
      <c r="E739" s="5" t="str">
        <f t="shared" si="91"/>
        <v/>
      </c>
      <c r="F739" s="6" t="str">
        <f t="shared" si="92"/>
        <v/>
      </c>
      <c r="G739" s="7" t="str">
        <f t="shared" si="93"/>
        <v/>
      </c>
      <c r="H739" s="7" t="str">
        <f t="shared" si="94"/>
        <v/>
      </c>
      <c r="I739" s="8" t="str">
        <f t="shared" si="95"/>
        <v/>
      </c>
      <c r="L739" t="str">
        <f>IFERROR(MATCH($C$5&amp;"|"&amp;RIGHT("000000"&amp;723,6),LdgRankKeyA,0),"")</f>
        <v/>
      </c>
      <c r="M739" t="str">
        <f>IFERROR(MATCH($C$5&amp;"|"&amp;RIGHT("000000"&amp;723,6),LdgRankKeyB,0),"")</f>
        <v/>
      </c>
    </row>
    <row r="740" spans="1:13" x14ac:dyDescent="0.2">
      <c r="A740" s="9">
        <v>724</v>
      </c>
      <c r="B740" s="10" t="str">
        <f t="shared" si="88"/>
        <v/>
      </c>
      <c r="C740" s="10" t="str">
        <f t="shared" si="89"/>
        <v/>
      </c>
      <c r="D740" s="10" t="str">
        <f t="shared" si="90"/>
        <v/>
      </c>
      <c r="E740" s="11" t="str">
        <f t="shared" si="91"/>
        <v/>
      </c>
      <c r="F740" s="12" t="str">
        <f t="shared" si="92"/>
        <v/>
      </c>
      <c r="G740" s="13" t="str">
        <f t="shared" si="93"/>
        <v/>
      </c>
      <c r="H740" s="13" t="str">
        <f t="shared" si="94"/>
        <v/>
      </c>
      <c r="I740" s="14" t="str">
        <f t="shared" si="95"/>
        <v/>
      </c>
      <c r="L740" t="str">
        <f>IFERROR(MATCH($C$5&amp;"|"&amp;RIGHT("000000"&amp;724,6),LdgRankKeyA,0),"")</f>
        <v/>
      </c>
      <c r="M740" t="str">
        <f>IFERROR(MATCH($C$5&amp;"|"&amp;RIGHT("000000"&amp;724,6),LdgRankKeyB,0),"")</f>
        <v/>
      </c>
    </row>
    <row r="741" spans="1:13" x14ac:dyDescent="0.2">
      <c r="A741" s="3">
        <v>725</v>
      </c>
      <c r="B741" s="4" t="str">
        <f t="shared" si="88"/>
        <v/>
      </c>
      <c r="C741" s="4" t="str">
        <f t="shared" si="89"/>
        <v/>
      </c>
      <c r="D741" s="4" t="str">
        <f t="shared" si="90"/>
        <v/>
      </c>
      <c r="E741" s="5" t="str">
        <f t="shared" si="91"/>
        <v/>
      </c>
      <c r="F741" s="6" t="str">
        <f t="shared" si="92"/>
        <v/>
      </c>
      <c r="G741" s="7" t="str">
        <f t="shared" si="93"/>
        <v/>
      </c>
      <c r="H741" s="7" t="str">
        <f t="shared" si="94"/>
        <v/>
      </c>
      <c r="I741" s="8" t="str">
        <f t="shared" si="95"/>
        <v/>
      </c>
      <c r="L741" t="str">
        <f>IFERROR(MATCH($C$5&amp;"|"&amp;RIGHT("000000"&amp;725,6),LdgRankKeyA,0),"")</f>
        <v/>
      </c>
      <c r="M741" t="str">
        <f>IFERROR(MATCH($C$5&amp;"|"&amp;RIGHT("000000"&amp;725,6),LdgRankKeyB,0),"")</f>
        <v/>
      </c>
    </row>
    <row r="742" spans="1:13" x14ac:dyDescent="0.2">
      <c r="A742" s="9">
        <v>726</v>
      </c>
      <c r="B742" s="10" t="str">
        <f t="shared" si="88"/>
        <v/>
      </c>
      <c r="C742" s="10" t="str">
        <f t="shared" si="89"/>
        <v/>
      </c>
      <c r="D742" s="10" t="str">
        <f t="shared" si="90"/>
        <v/>
      </c>
      <c r="E742" s="11" t="str">
        <f t="shared" si="91"/>
        <v/>
      </c>
      <c r="F742" s="12" t="str">
        <f t="shared" si="92"/>
        <v/>
      </c>
      <c r="G742" s="13" t="str">
        <f t="shared" si="93"/>
        <v/>
      </c>
      <c r="H742" s="13" t="str">
        <f t="shared" si="94"/>
        <v/>
      </c>
      <c r="I742" s="14" t="str">
        <f t="shared" si="95"/>
        <v/>
      </c>
      <c r="L742" t="str">
        <f>IFERROR(MATCH($C$5&amp;"|"&amp;RIGHT("000000"&amp;726,6),LdgRankKeyA,0),"")</f>
        <v/>
      </c>
      <c r="M742" t="str">
        <f>IFERROR(MATCH($C$5&amp;"|"&amp;RIGHT("000000"&amp;726,6),LdgRankKeyB,0),"")</f>
        <v/>
      </c>
    </row>
    <row r="743" spans="1:13" x14ac:dyDescent="0.2">
      <c r="A743" s="3">
        <v>727</v>
      </c>
      <c r="B743" s="4" t="str">
        <f t="shared" si="88"/>
        <v/>
      </c>
      <c r="C743" s="4" t="str">
        <f t="shared" si="89"/>
        <v/>
      </c>
      <c r="D743" s="4" t="str">
        <f t="shared" si="90"/>
        <v/>
      </c>
      <c r="E743" s="5" t="str">
        <f t="shared" si="91"/>
        <v/>
      </c>
      <c r="F743" s="6" t="str">
        <f t="shared" si="92"/>
        <v/>
      </c>
      <c r="G743" s="7" t="str">
        <f t="shared" si="93"/>
        <v/>
      </c>
      <c r="H743" s="7" t="str">
        <f t="shared" si="94"/>
        <v/>
      </c>
      <c r="I743" s="8" t="str">
        <f t="shared" si="95"/>
        <v/>
      </c>
      <c r="L743" t="str">
        <f>IFERROR(MATCH($C$5&amp;"|"&amp;RIGHT("000000"&amp;727,6),LdgRankKeyA,0),"")</f>
        <v/>
      </c>
      <c r="M743" t="str">
        <f>IFERROR(MATCH($C$5&amp;"|"&amp;RIGHT("000000"&amp;727,6),LdgRankKeyB,0),"")</f>
        <v/>
      </c>
    </row>
    <row r="744" spans="1:13" x14ac:dyDescent="0.2">
      <c r="A744" s="9">
        <v>728</v>
      </c>
      <c r="B744" s="10" t="str">
        <f t="shared" si="88"/>
        <v/>
      </c>
      <c r="C744" s="10" t="str">
        <f t="shared" si="89"/>
        <v/>
      </c>
      <c r="D744" s="10" t="str">
        <f t="shared" si="90"/>
        <v/>
      </c>
      <c r="E744" s="11" t="str">
        <f t="shared" si="91"/>
        <v/>
      </c>
      <c r="F744" s="12" t="str">
        <f t="shared" si="92"/>
        <v/>
      </c>
      <c r="G744" s="13" t="str">
        <f t="shared" si="93"/>
        <v/>
      </c>
      <c r="H744" s="13" t="str">
        <f t="shared" si="94"/>
        <v/>
      </c>
      <c r="I744" s="14" t="str">
        <f t="shared" si="95"/>
        <v/>
      </c>
      <c r="L744" t="str">
        <f>IFERROR(MATCH($C$5&amp;"|"&amp;RIGHT("000000"&amp;728,6),LdgRankKeyA,0),"")</f>
        <v/>
      </c>
      <c r="M744" t="str">
        <f>IFERROR(MATCH($C$5&amp;"|"&amp;RIGHT("000000"&amp;728,6),LdgRankKeyB,0),"")</f>
        <v/>
      </c>
    </row>
    <row r="745" spans="1:13" x14ac:dyDescent="0.2">
      <c r="A745" s="3">
        <v>729</v>
      </c>
      <c r="B745" s="4" t="str">
        <f t="shared" si="88"/>
        <v/>
      </c>
      <c r="C745" s="4" t="str">
        <f t="shared" si="89"/>
        <v/>
      </c>
      <c r="D745" s="4" t="str">
        <f t="shared" si="90"/>
        <v/>
      </c>
      <c r="E745" s="5" t="str">
        <f t="shared" si="91"/>
        <v/>
      </c>
      <c r="F745" s="6" t="str">
        <f t="shared" si="92"/>
        <v/>
      </c>
      <c r="G745" s="7" t="str">
        <f t="shared" si="93"/>
        <v/>
      </c>
      <c r="H745" s="7" t="str">
        <f t="shared" si="94"/>
        <v/>
      </c>
      <c r="I745" s="8" t="str">
        <f t="shared" si="95"/>
        <v/>
      </c>
      <c r="L745" t="str">
        <f>IFERROR(MATCH($C$5&amp;"|"&amp;RIGHT("000000"&amp;729,6),LdgRankKeyA,0),"")</f>
        <v/>
      </c>
      <c r="M745" t="str">
        <f>IFERROR(MATCH($C$5&amp;"|"&amp;RIGHT("000000"&amp;729,6),LdgRankKeyB,0),"")</f>
        <v/>
      </c>
    </row>
    <row r="746" spans="1:13" x14ac:dyDescent="0.2">
      <c r="A746" s="9">
        <v>730</v>
      </c>
      <c r="B746" s="10" t="str">
        <f t="shared" si="88"/>
        <v/>
      </c>
      <c r="C746" s="10" t="str">
        <f t="shared" si="89"/>
        <v/>
      </c>
      <c r="D746" s="10" t="str">
        <f t="shared" si="90"/>
        <v/>
      </c>
      <c r="E746" s="11" t="str">
        <f t="shared" si="91"/>
        <v/>
      </c>
      <c r="F746" s="12" t="str">
        <f t="shared" si="92"/>
        <v/>
      </c>
      <c r="G746" s="13" t="str">
        <f t="shared" si="93"/>
        <v/>
      </c>
      <c r="H746" s="13" t="str">
        <f t="shared" si="94"/>
        <v/>
      </c>
      <c r="I746" s="14" t="str">
        <f t="shared" si="95"/>
        <v/>
      </c>
      <c r="L746" t="str">
        <f>IFERROR(MATCH($C$5&amp;"|"&amp;RIGHT("000000"&amp;730,6),LdgRankKeyA,0),"")</f>
        <v/>
      </c>
      <c r="M746" t="str">
        <f>IFERROR(MATCH($C$5&amp;"|"&amp;RIGHT("000000"&amp;730,6),LdgRankKeyB,0),"")</f>
        <v/>
      </c>
    </row>
    <row r="747" spans="1:13" x14ac:dyDescent="0.2">
      <c r="A747" s="3">
        <v>731</v>
      </c>
      <c r="B747" s="4" t="str">
        <f t="shared" si="88"/>
        <v/>
      </c>
      <c r="C747" s="4" t="str">
        <f t="shared" si="89"/>
        <v/>
      </c>
      <c r="D747" s="4" t="str">
        <f t="shared" si="90"/>
        <v/>
      </c>
      <c r="E747" s="5" t="str">
        <f t="shared" si="91"/>
        <v/>
      </c>
      <c r="F747" s="6" t="str">
        <f t="shared" si="92"/>
        <v/>
      </c>
      <c r="G747" s="7" t="str">
        <f t="shared" si="93"/>
        <v/>
      </c>
      <c r="H747" s="7" t="str">
        <f t="shared" si="94"/>
        <v/>
      </c>
      <c r="I747" s="8" t="str">
        <f t="shared" si="95"/>
        <v/>
      </c>
      <c r="L747" t="str">
        <f>IFERROR(MATCH($C$5&amp;"|"&amp;RIGHT("000000"&amp;731,6),LdgRankKeyA,0),"")</f>
        <v/>
      </c>
      <c r="M747" t="str">
        <f>IFERROR(MATCH($C$5&amp;"|"&amp;RIGHT("000000"&amp;731,6),LdgRankKeyB,0),"")</f>
        <v/>
      </c>
    </row>
    <row r="748" spans="1:13" x14ac:dyDescent="0.2">
      <c r="A748" s="9">
        <v>732</v>
      </c>
      <c r="B748" s="10" t="str">
        <f t="shared" si="88"/>
        <v/>
      </c>
      <c r="C748" s="10" t="str">
        <f t="shared" si="89"/>
        <v/>
      </c>
      <c r="D748" s="10" t="str">
        <f t="shared" si="90"/>
        <v/>
      </c>
      <c r="E748" s="11" t="str">
        <f t="shared" si="91"/>
        <v/>
      </c>
      <c r="F748" s="12" t="str">
        <f t="shared" si="92"/>
        <v/>
      </c>
      <c r="G748" s="13" t="str">
        <f t="shared" si="93"/>
        <v/>
      </c>
      <c r="H748" s="13" t="str">
        <f t="shared" si="94"/>
        <v/>
      </c>
      <c r="I748" s="14" t="str">
        <f t="shared" si="95"/>
        <v/>
      </c>
      <c r="L748" t="str">
        <f>IFERROR(MATCH($C$5&amp;"|"&amp;RIGHT("000000"&amp;732,6),LdgRankKeyA,0),"")</f>
        <v/>
      </c>
      <c r="M748" t="str">
        <f>IFERROR(MATCH($C$5&amp;"|"&amp;RIGHT("000000"&amp;732,6),LdgRankKeyB,0),"")</f>
        <v/>
      </c>
    </row>
    <row r="749" spans="1:13" x14ac:dyDescent="0.2">
      <c r="A749" s="3">
        <v>733</v>
      </c>
      <c r="B749" s="4" t="str">
        <f t="shared" si="88"/>
        <v/>
      </c>
      <c r="C749" s="4" t="str">
        <f t="shared" si="89"/>
        <v/>
      </c>
      <c r="D749" s="4" t="str">
        <f t="shared" si="90"/>
        <v/>
      </c>
      <c r="E749" s="5" t="str">
        <f t="shared" si="91"/>
        <v/>
      </c>
      <c r="F749" s="6" t="str">
        <f t="shared" si="92"/>
        <v/>
      </c>
      <c r="G749" s="7" t="str">
        <f t="shared" si="93"/>
        <v/>
      </c>
      <c r="H749" s="7" t="str">
        <f t="shared" si="94"/>
        <v/>
      </c>
      <c r="I749" s="8" t="str">
        <f t="shared" si="95"/>
        <v/>
      </c>
      <c r="L749" t="str">
        <f>IFERROR(MATCH($C$5&amp;"|"&amp;RIGHT("000000"&amp;733,6),LdgRankKeyA,0),"")</f>
        <v/>
      </c>
      <c r="M749" t="str">
        <f>IFERROR(MATCH($C$5&amp;"|"&amp;RIGHT("000000"&amp;733,6),LdgRankKeyB,0),"")</f>
        <v/>
      </c>
    </row>
    <row r="750" spans="1:13" x14ac:dyDescent="0.2">
      <c r="A750" s="9">
        <v>734</v>
      </c>
      <c r="B750" s="10" t="str">
        <f t="shared" si="88"/>
        <v/>
      </c>
      <c r="C750" s="10" t="str">
        <f t="shared" si="89"/>
        <v/>
      </c>
      <c r="D750" s="10" t="str">
        <f t="shared" si="90"/>
        <v/>
      </c>
      <c r="E750" s="11" t="str">
        <f t="shared" si="91"/>
        <v/>
      </c>
      <c r="F750" s="12" t="str">
        <f t="shared" si="92"/>
        <v/>
      </c>
      <c r="G750" s="13" t="str">
        <f t="shared" si="93"/>
        <v/>
      </c>
      <c r="H750" s="13" t="str">
        <f t="shared" si="94"/>
        <v/>
      </c>
      <c r="I750" s="14" t="str">
        <f t="shared" si="95"/>
        <v/>
      </c>
      <c r="L750" t="str">
        <f>IFERROR(MATCH($C$5&amp;"|"&amp;RIGHT("000000"&amp;734,6),LdgRankKeyA,0),"")</f>
        <v/>
      </c>
      <c r="M750" t="str">
        <f>IFERROR(MATCH($C$5&amp;"|"&amp;RIGHT("000000"&amp;734,6),LdgRankKeyB,0),"")</f>
        <v/>
      </c>
    </row>
    <row r="751" spans="1:13" x14ac:dyDescent="0.2">
      <c r="A751" s="3">
        <v>735</v>
      </c>
      <c r="B751" s="4" t="str">
        <f t="shared" si="88"/>
        <v/>
      </c>
      <c r="C751" s="4" t="str">
        <f t="shared" si="89"/>
        <v/>
      </c>
      <c r="D751" s="4" t="str">
        <f t="shared" si="90"/>
        <v/>
      </c>
      <c r="E751" s="5" t="str">
        <f t="shared" si="91"/>
        <v/>
      </c>
      <c r="F751" s="6" t="str">
        <f t="shared" si="92"/>
        <v/>
      </c>
      <c r="G751" s="7" t="str">
        <f t="shared" si="93"/>
        <v/>
      </c>
      <c r="H751" s="7" t="str">
        <f t="shared" si="94"/>
        <v/>
      </c>
      <c r="I751" s="8" t="str">
        <f t="shared" si="95"/>
        <v/>
      </c>
      <c r="L751" t="str">
        <f>IFERROR(MATCH($C$5&amp;"|"&amp;RIGHT("000000"&amp;735,6),LdgRankKeyA,0),"")</f>
        <v/>
      </c>
      <c r="M751" t="str">
        <f>IFERROR(MATCH($C$5&amp;"|"&amp;RIGHT("000000"&amp;735,6),LdgRankKeyB,0),"")</f>
        <v/>
      </c>
    </row>
    <row r="752" spans="1:13" x14ac:dyDescent="0.2">
      <c r="A752" s="9">
        <v>736</v>
      </c>
      <c r="B752" s="10" t="str">
        <f t="shared" si="88"/>
        <v/>
      </c>
      <c r="C752" s="10" t="str">
        <f t="shared" si="89"/>
        <v/>
      </c>
      <c r="D752" s="10" t="str">
        <f t="shared" si="90"/>
        <v/>
      </c>
      <c r="E752" s="11" t="str">
        <f t="shared" si="91"/>
        <v/>
      </c>
      <c r="F752" s="12" t="str">
        <f t="shared" si="92"/>
        <v/>
      </c>
      <c r="G752" s="13" t="str">
        <f t="shared" si="93"/>
        <v/>
      </c>
      <c r="H752" s="13" t="str">
        <f t="shared" si="94"/>
        <v/>
      </c>
      <c r="I752" s="14" t="str">
        <f t="shared" si="95"/>
        <v/>
      </c>
      <c r="L752" t="str">
        <f>IFERROR(MATCH($C$5&amp;"|"&amp;RIGHT("000000"&amp;736,6),LdgRankKeyA,0),"")</f>
        <v/>
      </c>
      <c r="M752" t="str">
        <f>IFERROR(MATCH($C$5&amp;"|"&amp;RIGHT("000000"&amp;736,6),LdgRankKeyB,0),"")</f>
        <v/>
      </c>
    </row>
    <row r="753" spans="1:13" x14ac:dyDescent="0.2">
      <c r="A753" s="3">
        <v>737</v>
      </c>
      <c r="B753" s="4" t="str">
        <f t="shared" si="88"/>
        <v/>
      </c>
      <c r="C753" s="4" t="str">
        <f t="shared" si="89"/>
        <v/>
      </c>
      <c r="D753" s="4" t="str">
        <f t="shared" si="90"/>
        <v/>
      </c>
      <c r="E753" s="5" t="str">
        <f t="shared" si="91"/>
        <v/>
      </c>
      <c r="F753" s="6" t="str">
        <f t="shared" si="92"/>
        <v/>
      </c>
      <c r="G753" s="7" t="str">
        <f t="shared" si="93"/>
        <v/>
      </c>
      <c r="H753" s="7" t="str">
        <f t="shared" si="94"/>
        <v/>
      </c>
      <c r="I753" s="8" t="str">
        <f t="shared" si="95"/>
        <v/>
      </c>
      <c r="L753" t="str">
        <f>IFERROR(MATCH($C$5&amp;"|"&amp;RIGHT("000000"&amp;737,6),LdgRankKeyA,0),"")</f>
        <v/>
      </c>
      <c r="M753" t="str">
        <f>IFERROR(MATCH($C$5&amp;"|"&amp;RIGHT("000000"&amp;737,6),LdgRankKeyB,0),"")</f>
        <v/>
      </c>
    </row>
    <row r="754" spans="1:13" x14ac:dyDescent="0.2">
      <c r="A754" s="9">
        <v>738</v>
      </c>
      <c r="B754" s="10" t="str">
        <f t="shared" si="88"/>
        <v/>
      </c>
      <c r="C754" s="10" t="str">
        <f t="shared" si="89"/>
        <v/>
      </c>
      <c r="D754" s="10" t="str">
        <f t="shared" si="90"/>
        <v/>
      </c>
      <c r="E754" s="11" t="str">
        <f t="shared" si="91"/>
        <v/>
      </c>
      <c r="F754" s="12" t="str">
        <f t="shared" si="92"/>
        <v/>
      </c>
      <c r="G754" s="13" t="str">
        <f t="shared" si="93"/>
        <v/>
      </c>
      <c r="H754" s="13" t="str">
        <f t="shared" si="94"/>
        <v/>
      </c>
      <c r="I754" s="14" t="str">
        <f t="shared" si="95"/>
        <v/>
      </c>
      <c r="L754" t="str">
        <f>IFERROR(MATCH($C$5&amp;"|"&amp;RIGHT("000000"&amp;738,6),LdgRankKeyA,0),"")</f>
        <v/>
      </c>
      <c r="M754" t="str">
        <f>IFERROR(MATCH($C$5&amp;"|"&amp;RIGHT("000000"&amp;738,6),LdgRankKeyB,0),"")</f>
        <v/>
      </c>
    </row>
    <row r="755" spans="1:13" x14ac:dyDescent="0.2">
      <c r="A755" s="3">
        <v>739</v>
      </c>
      <c r="B755" s="4" t="str">
        <f t="shared" si="88"/>
        <v/>
      </c>
      <c r="C755" s="4" t="str">
        <f t="shared" si="89"/>
        <v/>
      </c>
      <c r="D755" s="4" t="str">
        <f t="shared" si="90"/>
        <v/>
      </c>
      <c r="E755" s="5" t="str">
        <f t="shared" si="91"/>
        <v/>
      </c>
      <c r="F755" s="6" t="str">
        <f t="shared" si="92"/>
        <v/>
      </c>
      <c r="G755" s="7" t="str">
        <f t="shared" si="93"/>
        <v/>
      </c>
      <c r="H755" s="7" t="str">
        <f t="shared" si="94"/>
        <v/>
      </c>
      <c r="I755" s="8" t="str">
        <f t="shared" si="95"/>
        <v/>
      </c>
      <c r="L755" t="str">
        <f>IFERROR(MATCH($C$5&amp;"|"&amp;RIGHT("000000"&amp;739,6),LdgRankKeyA,0),"")</f>
        <v/>
      </c>
      <c r="M755" t="str">
        <f>IFERROR(MATCH($C$5&amp;"|"&amp;RIGHT("000000"&amp;739,6),LdgRankKeyB,0),"")</f>
        <v/>
      </c>
    </row>
    <row r="756" spans="1:13" x14ac:dyDescent="0.2">
      <c r="A756" s="9">
        <v>740</v>
      </c>
      <c r="B756" s="10" t="str">
        <f t="shared" si="88"/>
        <v/>
      </c>
      <c r="C756" s="10" t="str">
        <f t="shared" si="89"/>
        <v/>
      </c>
      <c r="D756" s="10" t="str">
        <f t="shared" si="90"/>
        <v/>
      </c>
      <c r="E756" s="11" t="str">
        <f t="shared" si="91"/>
        <v/>
      </c>
      <c r="F756" s="12" t="str">
        <f t="shared" si="92"/>
        <v/>
      </c>
      <c r="G756" s="13" t="str">
        <f t="shared" si="93"/>
        <v/>
      </c>
      <c r="H756" s="13" t="str">
        <f t="shared" si="94"/>
        <v/>
      </c>
      <c r="I756" s="14" t="str">
        <f t="shared" si="95"/>
        <v/>
      </c>
      <c r="L756" t="str">
        <f>IFERROR(MATCH($C$5&amp;"|"&amp;RIGHT("000000"&amp;740,6),LdgRankKeyA,0),"")</f>
        <v/>
      </c>
      <c r="M756" t="str">
        <f>IFERROR(MATCH($C$5&amp;"|"&amp;RIGHT("000000"&amp;740,6),LdgRankKeyB,0),"")</f>
        <v/>
      </c>
    </row>
    <row r="757" spans="1:13" x14ac:dyDescent="0.2">
      <c r="A757" s="3">
        <v>741</v>
      </c>
      <c r="B757" s="4" t="str">
        <f t="shared" si="88"/>
        <v/>
      </c>
      <c r="C757" s="4" t="str">
        <f t="shared" si="89"/>
        <v/>
      </c>
      <c r="D757" s="4" t="str">
        <f t="shared" si="90"/>
        <v/>
      </c>
      <c r="E757" s="5" t="str">
        <f t="shared" si="91"/>
        <v/>
      </c>
      <c r="F757" s="6" t="str">
        <f t="shared" si="92"/>
        <v/>
      </c>
      <c r="G757" s="7" t="str">
        <f t="shared" si="93"/>
        <v/>
      </c>
      <c r="H757" s="7" t="str">
        <f t="shared" si="94"/>
        <v/>
      </c>
      <c r="I757" s="8" t="str">
        <f t="shared" si="95"/>
        <v/>
      </c>
      <c r="L757" t="str">
        <f>IFERROR(MATCH($C$5&amp;"|"&amp;RIGHT("000000"&amp;741,6),LdgRankKeyA,0),"")</f>
        <v/>
      </c>
      <c r="M757" t="str">
        <f>IFERROR(MATCH($C$5&amp;"|"&amp;RIGHT("000000"&amp;741,6),LdgRankKeyB,0),"")</f>
        <v/>
      </c>
    </row>
    <row r="758" spans="1:13" x14ac:dyDescent="0.2">
      <c r="A758" s="9">
        <v>742</v>
      </c>
      <c r="B758" s="10" t="str">
        <f t="shared" si="88"/>
        <v/>
      </c>
      <c r="C758" s="10" t="str">
        <f t="shared" si="89"/>
        <v/>
      </c>
      <c r="D758" s="10" t="str">
        <f t="shared" si="90"/>
        <v/>
      </c>
      <c r="E758" s="11" t="str">
        <f t="shared" si="91"/>
        <v/>
      </c>
      <c r="F758" s="12" t="str">
        <f t="shared" si="92"/>
        <v/>
      </c>
      <c r="G758" s="13" t="str">
        <f t="shared" si="93"/>
        <v/>
      </c>
      <c r="H758" s="13" t="str">
        <f t="shared" si="94"/>
        <v/>
      </c>
      <c r="I758" s="14" t="str">
        <f t="shared" si="95"/>
        <v/>
      </c>
      <c r="L758" t="str">
        <f>IFERROR(MATCH($C$5&amp;"|"&amp;RIGHT("000000"&amp;742,6),LdgRankKeyA,0),"")</f>
        <v/>
      </c>
      <c r="M758" t="str">
        <f>IFERROR(MATCH($C$5&amp;"|"&amp;RIGHT("000000"&amp;742,6),LdgRankKeyB,0),"")</f>
        <v/>
      </c>
    </row>
    <row r="759" spans="1:13" x14ac:dyDescent="0.2">
      <c r="A759" s="3">
        <v>743</v>
      </c>
      <c r="B759" s="4" t="str">
        <f t="shared" si="88"/>
        <v/>
      </c>
      <c r="C759" s="4" t="str">
        <f t="shared" si="89"/>
        <v/>
      </c>
      <c r="D759" s="4" t="str">
        <f t="shared" si="90"/>
        <v/>
      </c>
      <c r="E759" s="5" t="str">
        <f t="shared" si="91"/>
        <v/>
      </c>
      <c r="F759" s="6" t="str">
        <f t="shared" si="92"/>
        <v/>
      </c>
      <c r="G759" s="7" t="str">
        <f t="shared" si="93"/>
        <v/>
      </c>
      <c r="H759" s="7" t="str">
        <f t="shared" si="94"/>
        <v/>
      </c>
      <c r="I759" s="8" t="str">
        <f t="shared" si="95"/>
        <v/>
      </c>
      <c r="L759" t="str">
        <f>IFERROR(MATCH($C$5&amp;"|"&amp;RIGHT("000000"&amp;743,6),LdgRankKeyA,0),"")</f>
        <v/>
      </c>
      <c r="M759" t="str">
        <f>IFERROR(MATCH($C$5&amp;"|"&amp;RIGHT("000000"&amp;743,6),LdgRankKeyB,0),"")</f>
        <v/>
      </c>
    </row>
    <row r="760" spans="1:13" x14ac:dyDescent="0.2">
      <c r="A760" s="9">
        <v>744</v>
      </c>
      <c r="B760" s="10" t="str">
        <f t="shared" si="88"/>
        <v/>
      </c>
      <c r="C760" s="10" t="str">
        <f t="shared" si="89"/>
        <v/>
      </c>
      <c r="D760" s="10" t="str">
        <f t="shared" si="90"/>
        <v/>
      </c>
      <c r="E760" s="11" t="str">
        <f t="shared" si="91"/>
        <v/>
      </c>
      <c r="F760" s="12" t="str">
        <f t="shared" si="92"/>
        <v/>
      </c>
      <c r="G760" s="13" t="str">
        <f t="shared" si="93"/>
        <v/>
      </c>
      <c r="H760" s="13" t="str">
        <f t="shared" si="94"/>
        <v/>
      </c>
      <c r="I760" s="14" t="str">
        <f t="shared" si="95"/>
        <v/>
      </c>
      <c r="L760" t="str">
        <f>IFERROR(MATCH($C$5&amp;"|"&amp;RIGHT("000000"&amp;744,6),LdgRankKeyA,0),"")</f>
        <v/>
      </c>
      <c r="M760" t="str">
        <f>IFERROR(MATCH($C$5&amp;"|"&amp;RIGHT("000000"&amp;744,6),LdgRankKeyB,0),"")</f>
        <v/>
      </c>
    </row>
    <row r="761" spans="1:13" x14ac:dyDescent="0.2">
      <c r="A761" s="3">
        <v>745</v>
      </c>
      <c r="B761" s="4" t="str">
        <f t="shared" si="88"/>
        <v/>
      </c>
      <c r="C761" s="4" t="str">
        <f t="shared" si="89"/>
        <v/>
      </c>
      <c r="D761" s="4" t="str">
        <f t="shared" si="90"/>
        <v/>
      </c>
      <c r="E761" s="5" t="str">
        <f t="shared" si="91"/>
        <v/>
      </c>
      <c r="F761" s="6" t="str">
        <f t="shared" si="92"/>
        <v/>
      </c>
      <c r="G761" s="7" t="str">
        <f t="shared" si="93"/>
        <v/>
      </c>
      <c r="H761" s="7" t="str">
        <f t="shared" si="94"/>
        <v/>
      </c>
      <c r="I761" s="8" t="str">
        <f t="shared" si="95"/>
        <v/>
      </c>
      <c r="L761" t="str">
        <f>IFERROR(MATCH($C$5&amp;"|"&amp;RIGHT("000000"&amp;745,6),LdgRankKeyA,0),"")</f>
        <v/>
      </c>
      <c r="M761" t="str">
        <f>IFERROR(MATCH($C$5&amp;"|"&amp;RIGHT("000000"&amp;745,6),LdgRankKeyB,0),"")</f>
        <v/>
      </c>
    </row>
    <row r="762" spans="1:13" x14ac:dyDescent="0.2">
      <c r="A762" s="9">
        <v>746</v>
      </c>
      <c r="B762" s="10" t="str">
        <f t="shared" si="88"/>
        <v/>
      </c>
      <c r="C762" s="10" t="str">
        <f t="shared" si="89"/>
        <v/>
      </c>
      <c r="D762" s="10" t="str">
        <f t="shared" si="90"/>
        <v/>
      </c>
      <c r="E762" s="11" t="str">
        <f t="shared" si="91"/>
        <v/>
      </c>
      <c r="F762" s="12" t="str">
        <f t="shared" si="92"/>
        <v/>
      </c>
      <c r="G762" s="13" t="str">
        <f t="shared" si="93"/>
        <v/>
      </c>
      <c r="H762" s="13" t="str">
        <f t="shared" si="94"/>
        <v/>
      </c>
      <c r="I762" s="14" t="str">
        <f t="shared" si="95"/>
        <v/>
      </c>
      <c r="L762" t="str">
        <f>IFERROR(MATCH($C$5&amp;"|"&amp;RIGHT("000000"&amp;746,6),LdgRankKeyA,0),"")</f>
        <v/>
      </c>
      <c r="M762" t="str">
        <f>IFERROR(MATCH($C$5&amp;"|"&amp;RIGHT("000000"&amp;746,6),LdgRankKeyB,0),"")</f>
        <v/>
      </c>
    </row>
    <row r="763" spans="1:13" x14ac:dyDescent="0.2">
      <c r="A763" s="3">
        <v>747</v>
      </c>
      <c r="B763" s="4" t="str">
        <f t="shared" si="88"/>
        <v/>
      </c>
      <c r="C763" s="4" t="str">
        <f t="shared" si="89"/>
        <v/>
      </c>
      <c r="D763" s="4" t="str">
        <f t="shared" si="90"/>
        <v/>
      </c>
      <c r="E763" s="5" t="str">
        <f t="shared" si="91"/>
        <v/>
      </c>
      <c r="F763" s="6" t="str">
        <f t="shared" si="92"/>
        <v/>
      </c>
      <c r="G763" s="7" t="str">
        <f t="shared" si="93"/>
        <v/>
      </c>
      <c r="H763" s="7" t="str">
        <f t="shared" si="94"/>
        <v/>
      </c>
      <c r="I763" s="8" t="str">
        <f t="shared" si="95"/>
        <v/>
      </c>
      <c r="L763" t="str">
        <f>IFERROR(MATCH($C$5&amp;"|"&amp;RIGHT("000000"&amp;747,6),LdgRankKeyA,0),"")</f>
        <v/>
      </c>
      <c r="M763" t="str">
        <f>IFERROR(MATCH($C$5&amp;"|"&amp;RIGHT("000000"&amp;747,6),LdgRankKeyB,0),"")</f>
        <v/>
      </c>
    </row>
    <row r="764" spans="1:13" x14ac:dyDescent="0.2">
      <c r="A764" s="9">
        <v>748</v>
      </c>
      <c r="B764" s="10" t="str">
        <f t="shared" si="88"/>
        <v/>
      </c>
      <c r="C764" s="10" t="str">
        <f t="shared" si="89"/>
        <v/>
      </c>
      <c r="D764" s="10" t="str">
        <f t="shared" si="90"/>
        <v/>
      </c>
      <c r="E764" s="11" t="str">
        <f t="shared" si="91"/>
        <v/>
      </c>
      <c r="F764" s="12" t="str">
        <f t="shared" si="92"/>
        <v/>
      </c>
      <c r="G764" s="13" t="str">
        <f t="shared" si="93"/>
        <v/>
      </c>
      <c r="H764" s="13" t="str">
        <f t="shared" si="94"/>
        <v/>
      </c>
      <c r="I764" s="14" t="str">
        <f t="shared" si="95"/>
        <v/>
      </c>
      <c r="L764" t="str">
        <f>IFERROR(MATCH($C$5&amp;"|"&amp;RIGHT("000000"&amp;748,6),LdgRankKeyA,0),"")</f>
        <v/>
      </c>
      <c r="M764" t="str">
        <f>IFERROR(MATCH($C$5&amp;"|"&amp;RIGHT("000000"&amp;748,6),LdgRankKeyB,0),"")</f>
        <v/>
      </c>
    </row>
    <row r="765" spans="1:13" x14ac:dyDescent="0.2">
      <c r="A765" s="3">
        <v>749</v>
      </c>
      <c r="B765" s="4" t="str">
        <f t="shared" si="88"/>
        <v/>
      </c>
      <c r="C765" s="4" t="str">
        <f t="shared" si="89"/>
        <v/>
      </c>
      <c r="D765" s="4" t="str">
        <f t="shared" si="90"/>
        <v/>
      </c>
      <c r="E765" s="5" t="str">
        <f t="shared" si="91"/>
        <v/>
      </c>
      <c r="F765" s="6" t="str">
        <f t="shared" si="92"/>
        <v/>
      </c>
      <c r="G765" s="7" t="str">
        <f t="shared" si="93"/>
        <v/>
      </c>
      <c r="H765" s="7" t="str">
        <f t="shared" si="94"/>
        <v/>
      </c>
      <c r="I765" s="8" t="str">
        <f t="shared" si="95"/>
        <v/>
      </c>
      <c r="L765" t="str">
        <f>IFERROR(MATCH($C$5&amp;"|"&amp;RIGHT("000000"&amp;749,6),LdgRankKeyA,0),"")</f>
        <v/>
      </c>
      <c r="M765" t="str">
        <f>IFERROR(MATCH($C$5&amp;"|"&amp;RIGHT("000000"&amp;749,6),LdgRankKeyB,0),"")</f>
        <v/>
      </c>
    </row>
    <row r="766" spans="1:13" x14ac:dyDescent="0.2">
      <c r="A766" s="9">
        <v>750</v>
      </c>
      <c r="B766" s="10" t="str">
        <f t="shared" si="88"/>
        <v/>
      </c>
      <c r="C766" s="10" t="str">
        <f t="shared" si="89"/>
        <v/>
      </c>
      <c r="D766" s="10" t="str">
        <f t="shared" si="90"/>
        <v/>
      </c>
      <c r="E766" s="11" t="str">
        <f t="shared" si="91"/>
        <v/>
      </c>
      <c r="F766" s="12" t="str">
        <f t="shared" si="92"/>
        <v/>
      </c>
      <c r="G766" s="13" t="str">
        <f t="shared" si="93"/>
        <v/>
      </c>
      <c r="H766" s="13" t="str">
        <f t="shared" si="94"/>
        <v/>
      </c>
      <c r="I766" s="14" t="str">
        <f t="shared" si="95"/>
        <v/>
      </c>
      <c r="L766" t="str">
        <f>IFERROR(MATCH($C$5&amp;"|"&amp;RIGHT("000000"&amp;750,6),LdgRankKeyA,0),"")</f>
        <v/>
      </c>
      <c r="M766" t="str">
        <f>IFERROR(MATCH($C$5&amp;"|"&amp;RIGHT("000000"&amp;750,6),LdgRankKeyB,0),"")</f>
        <v/>
      </c>
    </row>
    <row r="767" spans="1:13" x14ac:dyDescent="0.2">
      <c r="A767" s="3">
        <v>751</v>
      </c>
      <c r="B767" s="4" t="str">
        <f t="shared" si="88"/>
        <v/>
      </c>
      <c r="C767" s="4" t="str">
        <f t="shared" si="89"/>
        <v/>
      </c>
      <c r="D767" s="4" t="str">
        <f t="shared" si="90"/>
        <v/>
      </c>
      <c r="E767" s="5" t="str">
        <f t="shared" si="91"/>
        <v/>
      </c>
      <c r="F767" s="6" t="str">
        <f t="shared" si="92"/>
        <v/>
      </c>
      <c r="G767" s="7" t="str">
        <f t="shared" si="93"/>
        <v/>
      </c>
      <c r="H767" s="7" t="str">
        <f t="shared" si="94"/>
        <v/>
      </c>
      <c r="I767" s="8" t="str">
        <f t="shared" si="95"/>
        <v/>
      </c>
      <c r="L767" t="str">
        <f>IFERROR(MATCH($C$5&amp;"|"&amp;RIGHT("000000"&amp;751,6),LdgRankKeyA,0),"")</f>
        <v/>
      </c>
      <c r="M767" t="str">
        <f>IFERROR(MATCH($C$5&amp;"|"&amp;RIGHT("000000"&amp;751,6),LdgRankKeyB,0),"")</f>
        <v/>
      </c>
    </row>
    <row r="768" spans="1:13" x14ac:dyDescent="0.2">
      <c r="A768" s="9">
        <v>752</v>
      </c>
      <c r="B768" s="10" t="str">
        <f t="shared" si="88"/>
        <v/>
      </c>
      <c r="C768" s="10" t="str">
        <f t="shared" si="89"/>
        <v/>
      </c>
      <c r="D768" s="10" t="str">
        <f t="shared" si="90"/>
        <v/>
      </c>
      <c r="E768" s="11" t="str">
        <f t="shared" si="91"/>
        <v/>
      </c>
      <c r="F768" s="12" t="str">
        <f t="shared" si="92"/>
        <v/>
      </c>
      <c r="G768" s="13" t="str">
        <f t="shared" si="93"/>
        <v/>
      </c>
      <c r="H768" s="13" t="str">
        <f t="shared" si="94"/>
        <v/>
      </c>
      <c r="I768" s="14" t="str">
        <f t="shared" si="95"/>
        <v/>
      </c>
      <c r="L768" t="str">
        <f>IFERROR(MATCH($C$5&amp;"|"&amp;RIGHT("000000"&amp;752,6),LdgRankKeyA,0),"")</f>
        <v/>
      </c>
      <c r="M768" t="str">
        <f>IFERROR(MATCH($C$5&amp;"|"&amp;RIGHT("000000"&amp;752,6),LdgRankKeyB,0),"")</f>
        <v/>
      </c>
    </row>
    <row r="769" spans="1:13" x14ac:dyDescent="0.2">
      <c r="A769" s="3">
        <v>753</v>
      </c>
      <c r="B769" s="4" t="str">
        <f t="shared" si="88"/>
        <v/>
      </c>
      <c r="C769" s="4" t="str">
        <f t="shared" si="89"/>
        <v/>
      </c>
      <c r="D769" s="4" t="str">
        <f t="shared" si="90"/>
        <v/>
      </c>
      <c r="E769" s="5" t="str">
        <f t="shared" si="91"/>
        <v/>
      </c>
      <c r="F769" s="6" t="str">
        <f t="shared" si="92"/>
        <v/>
      </c>
      <c r="G769" s="7" t="str">
        <f t="shared" si="93"/>
        <v/>
      </c>
      <c r="H769" s="7" t="str">
        <f t="shared" si="94"/>
        <v/>
      </c>
      <c r="I769" s="8" t="str">
        <f t="shared" si="95"/>
        <v/>
      </c>
      <c r="L769" t="str">
        <f>IFERROR(MATCH($C$5&amp;"|"&amp;RIGHT("000000"&amp;753,6),LdgRankKeyA,0),"")</f>
        <v/>
      </c>
      <c r="M769" t="str">
        <f>IFERROR(MATCH($C$5&amp;"|"&amp;RIGHT("000000"&amp;753,6),LdgRankKeyB,0),"")</f>
        <v/>
      </c>
    </row>
    <row r="770" spans="1:13" x14ac:dyDescent="0.2">
      <c r="A770" s="9">
        <v>754</v>
      </c>
      <c r="B770" s="10" t="str">
        <f t="shared" si="88"/>
        <v/>
      </c>
      <c r="C770" s="10" t="str">
        <f t="shared" si="89"/>
        <v/>
      </c>
      <c r="D770" s="10" t="str">
        <f t="shared" si="90"/>
        <v/>
      </c>
      <c r="E770" s="11" t="str">
        <f t="shared" si="91"/>
        <v/>
      </c>
      <c r="F770" s="12" t="str">
        <f t="shared" si="92"/>
        <v/>
      </c>
      <c r="G770" s="13" t="str">
        <f t="shared" si="93"/>
        <v/>
      </c>
      <c r="H770" s="13" t="str">
        <f t="shared" si="94"/>
        <v/>
      </c>
      <c r="I770" s="14" t="str">
        <f t="shared" si="95"/>
        <v/>
      </c>
      <c r="L770" t="str">
        <f>IFERROR(MATCH($C$5&amp;"|"&amp;RIGHT("000000"&amp;754,6),LdgRankKeyA,0),"")</f>
        <v/>
      </c>
      <c r="M770" t="str">
        <f>IFERROR(MATCH($C$5&amp;"|"&amp;RIGHT("000000"&amp;754,6),LdgRankKeyB,0),"")</f>
        <v/>
      </c>
    </row>
    <row r="771" spans="1:13" x14ac:dyDescent="0.2">
      <c r="A771" s="3">
        <v>755</v>
      </c>
      <c r="B771" s="4" t="str">
        <f t="shared" si="88"/>
        <v/>
      </c>
      <c r="C771" s="4" t="str">
        <f t="shared" si="89"/>
        <v/>
      </c>
      <c r="D771" s="4" t="str">
        <f t="shared" si="90"/>
        <v/>
      </c>
      <c r="E771" s="5" t="str">
        <f t="shared" si="91"/>
        <v/>
      </c>
      <c r="F771" s="6" t="str">
        <f t="shared" si="92"/>
        <v/>
      </c>
      <c r="G771" s="7" t="str">
        <f t="shared" si="93"/>
        <v/>
      </c>
      <c r="H771" s="7" t="str">
        <f t="shared" si="94"/>
        <v/>
      </c>
      <c r="I771" s="8" t="str">
        <f t="shared" si="95"/>
        <v/>
      </c>
      <c r="L771" t="str">
        <f>IFERROR(MATCH($C$5&amp;"|"&amp;RIGHT("000000"&amp;755,6),LdgRankKeyA,0),"")</f>
        <v/>
      </c>
      <c r="M771" t="str">
        <f>IFERROR(MATCH($C$5&amp;"|"&amp;RIGHT("000000"&amp;755,6),LdgRankKeyB,0),"")</f>
        <v/>
      </c>
    </row>
    <row r="772" spans="1:13" x14ac:dyDescent="0.2">
      <c r="A772" s="9">
        <v>756</v>
      </c>
      <c r="B772" s="10" t="str">
        <f t="shared" si="88"/>
        <v/>
      </c>
      <c r="C772" s="10" t="str">
        <f t="shared" si="89"/>
        <v/>
      </c>
      <c r="D772" s="10" t="str">
        <f t="shared" si="90"/>
        <v/>
      </c>
      <c r="E772" s="11" t="str">
        <f t="shared" si="91"/>
        <v/>
      </c>
      <c r="F772" s="12" t="str">
        <f t="shared" si="92"/>
        <v/>
      </c>
      <c r="G772" s="13" t="str">
        <f t="shared" si="93"/>
        <v/>
      </c>
      <c r="H772" s="13" t="str">
        <f t="shared" si="94"/>
        <v/>
      </c>
      <c r="I772" s="14" t="str">
        <f t="shared" si="95"/>
        <v/>
      </c>
      <c r="L772" t="str">
        <f>IFERROR(MATCH($C$5&amp;"|"&amp;RIGHT("000000"&amp;756,6),LdgRankKeyA,0),"")</f>
        <v/>
      </c>
      <c r="M772" t="str">
        <f>IFERROR(MATCH($C$5&amp;"|"&amp;RIGHT("000000"&amp;756,6),LdgRankKeyB,0),"")</f>
        <v/>
      </c>
    </row>
    <row r="773" spans="1:13" x14ac:dyDescent="0.2">
      <c r="A773" s="3">
        <v>757</v>
      </c>
      <c r="B773" s="4" t="str">
        <f t="shared" si="88"/>
        <v/>
      </c>
      <c r="C773" s="4" t="str">
        <f t="shared" si="89"/>
        <v/>
      </c>
      <c r="D773" s="4" t="str">
        <f t="shared" si="90"/>
        <v/>
      </c>
      <c r="E773" s="5" t="str">
        <f t="shared" si="91"/>
        <v/>
      </c>
      <c r="F773" s="6" t="str">
        <f t="shared" si="92"/>
        <v/>
      </c>
      <c r="G773" s="7" t="str">
        <f t="shared" si="93"/>
        <v/>
      </c>
      <c r="H773" s="7" t="str">
        <f t="shared" si="94"/>
        <v/>
      </c>
      <c r="I773" s="8" t="str">
        <f t="shared" si="95"/>
        <v/>
      </c>
      <c r="L773" t="str">
        <f>IFERROR(MATCH($C$5&amp;"|"&amp;RIGHT("000000"&amp;757,6),LdgRankKeyA,0),"")</f>
        <v/>
      </c>
      <c r="M773" t="str">
        <f>IFERROR(MATCH($C$5&amp;"|"&amp;RIGHT("000000"&amp;757,6),LdgRankKeyB,0),"")</f>
        <v/>
      </c>
    </row>
    <row r="774" spans="1:13" x14ac:dyDescent="0.2">
      <c r="A774" s="9">
        <v>758</v>
      </c>
      <c r="B774" s="10" t="str">
        <f t="shared" si="88"/>
        <v/>
      </c>
      <c r="C774" s="10" t="str">
        <f t="shared" si="89"/>
        <v/>
      </c>
      <c r="D774" s="10" t="str">
        <f t="shared" si="90"/>
        <v/>
      </c>
      <c r="E774" s="11" t="str">
        <f t="shared" si="91"/>
        <v/>
      </c>
      <c r="F774" s="12" t="str">
        <f t="shared" si="92"/>
        <v/>
      </c>
      <c r="G774" s="13" t="str">
        <f t="shared" si="93"/>
        <v/>
      </c>
      <c r="H774" s="13" t="str">
        <f t="shared" si="94"/>
        <v/>
      </c>
      <c r="I774" s="14" t="str">
        <f t="shared" si="95"/>
        <v/>
      </c>
      <c r="L774" t="str">
        <f>IFERROR(MATCH($C$5&amp;"|"&amp;RIGHT("000000"&amp;758,6),LdgRankKeyA,0),"")</f>
        <v/>
      </c>
      <c r="M774" t="str">
        <f>IFERROR(MATCH($C$5&amp;"|"&amp;RIGHT("000000"&amp;758,6),LdgRankKeyB,0),"")</f>
        <v/>
      </c>
    </row>
    <row r="775" spans="1:13" x14ac:dyDescent="0.2">
      <c r="A775" s="3">
        <v>759</v>
      </c>
      <c r="B775" s="4" t="str">
        <f t="shared" si="88"/>
        <v/>
      </c>
      <c r="C775" s="4" t="str">
        <f t="shared" si="89"/>
        <v/>
      </c>
      <c r="D775" s="4" t="str">
        <f t="shared" si="90"/>
        <v/>
      </c>
      <c r="E775" s="5" t="str">
        <f t="shared" si="91"/>
        <v/>
      </c>
      <c r="F775" s="6" t="str">
        <f t="shared" si="92"/>
        <v/>
      </c>
      <c r="G775" s="7" t="str">
        <f t="shared" si="93"/>
        <v/>
      </c>
      <c r="H775" s="7" t="str">
        <f t="shared" si="94"/>
        <v/>
      </c>
      <c r="I775" s="8" t="str">
        <f t="shared" si="95"/>
        <v/>
      </c>
      <c r="L775" t="str">
        <f>IFERROR(MATCH($C$5&amp;"|"&amp;RIGHT("000000"&amp;759,6),LdgRankKeyA,0),"")</f>
        <v/>
      </c>
      <c r="M775" t="str">
        <f>IFERROR(MATCH($C$5&amp;"|"&amp;RIGHT("000000"&amp;759,6),LdgRankKeyB,0),"")</f>
        <v/>
      </c>
    </row>
    <row r="776" spans="1:13" x14ac:dyDescent="0.2">
      <c r="A776" s="9">
        <v>760</v>
      </c>
      <c r="B776" s="10" t="str">
        <f t="shared" si="88"/>
        <v/>
      </c>
      <c r="C776" s="10" t="str">
        <f t="shared" si="89"/>
        <v/>
      </c>
      <c r="D776" s="10" t="str">
        <f t="shared" si="90"/>
        <v/>
      </c>
      <c r="E776" s="11" t="str">
        <f t="shared" si="91"/>
        <v/>
      </c>
      <c r="F776" s="12" t="str">
        <f t="shared" si="92"/>
        <v/>
      </c>
      <c r="G776" s="13" t="str">
        <f t="shared" si="93"/>
        <v/>
      </c>
      <c r="H776" s="13" t="str">
        <f t="shared" si="94"/>
        <v/>
      </c>
      <c r="I776" s="14" t="str">
        <f t="shared" si="95"/>
        <v/>
      </c>
      <c r="L776" t="str">
        <f>IFERROR(MATCH($C$5&amp;"|"&amp;RIGHT("000000"&amp;760,6),LdgRankKeyA,0),"")</f>
        <v/>
      </c>
      <c r="M776" t="str">
        <f>IFERROR(MATCH($C$5&amp;"|"&amp;RIGHT("000000"&amp;760,6),LdgRankKeyB,0),"")</f>
        <v/>
      </c>
    </row>
    <row r="777" spans="1:13" x14ac:dyDescent="0.2">
      <c r="A777" s="3">
        <v>761</v>
      </c>
      <c r="B777" s="4" t="str">
        <f t="shared" si="88"/>
        <v/>
      </c>
      <c r="C777" s="4" t="str">
        <f t="shared" si="89"/>
        <v/>
      </c>
      <c r="D777" s="4" t="str">
        <f t="shared" si="90"/>
        <v/>
      </c>
      <c r="E777" s="5" t="str">
        <f t="shared" si="91"/>
        <v/>
      </c>
      <c r="F777" s="6" t="str">
        <f t="shared" si="92"/>
        <v/>
      </c>
      <c r="G777" s="7" t="str">
        <f t="shared" si="93"/>
        <v/>
      </c>
      <c r="H777" s="7" t="str">
        <f t="shared" si="94"/>
        <v/>
      </c>
      <c r="I777" s="8" t="str">
        <f t="shared" si="95"/>
        <v/>
      </c>
      <c r="L777" t="str">
        <f>IFERROR(MATCH($C$5&amp;"|"&amp;RIGHT("000000"&amp;761,6),LdgRankKeyA,0),"")</f>
        <v/>
      </c>
      <c r="M777" t="str">
        <f>IFERROR(MATCH($C$5&amp;"|"&amp;RIGHT("000000"&amp;761,6),LdgRankKeyB,0),"")</f>
        <v/>
      </c>
    </row>
    <row r="778" spans="1:13" x14ac:dyDescent="0.2">
      <c r="A778" s="9">
        <v>762</v>
      </c>
      <c r="B778" s="10" t="str">
        <f t="shared" si="88"/>
        <v/>
      </c>
      <c r="C778" s="10" t="str">
        <f t="shared" si="89"/>
        <v/>
      </c>
      <c r="D778" s="10" t="str">
        <f t="shared" si="90"/>
        <v/>
      </c>
      <c r="E778" s="11" t="str">
        <f t="shared" si="91"/>
        <v/>
      </c>
      <c r="F778" s="12" t="str">
        <f t="shared" si="92"/>
        <v/>
      </c>
      <c r="G778" s="13" t="str">
        <f t="shared" si="93"/>
        <v/>
      </c>
      <c r="H778" s="13" t="str">
        <f t="shared" si="94"/>
        <v/>
      </c>
      <c r="I778" s="14" t="str">
        <f t="shared" si="95"/>
        <v/>
      </c>
      <c r="L778" t="str">
        <f>IFERROR(MATCH($C$5&amp;"|"&amp;RIGHT("000000"&amp;762,6),LdgRankKeyA,0),"")</f>
        <v/>
      </c>
      <c r="M778" t="str">
        <f>IFERROR(MATCH($C$5&amp;"|"&amp;RIGHT("000000"&amp;762,6),LdgRankKeyB,0),"")</f>
        <v/>
      </c>
    </row>
    <row r="779" spans="1:13" x14ac:dyDescent="0.2">
      <c r="A779" s="3">
        <v>763</v>
      </c>
      <c r="B779" s="4" t="str">
        <f t="shared" si="88"/>
        <v/>
      </c>
      <c r="C779" s="4" t="str">
        <f t="shared" si="89"/>
        <v/>
      </c>
      <c r="D779" s="4" t="str">
        <f t="shared" si="90"/>
        <v/>
      </c>
      <c r="E779" s="5" t="str">
        <f t="shared" si="91"/>
        <v/>
      </c>
      <c r="F779" s="6" t="str">
        <f t="shared" si="92"/>
        <v/>
      </c>
      <c r="G779" s="7" t="str">
        <f t="shared" si="93"/>
        <v/>
      </c>
      <c r="H779" s="7" t="str">
        <f t="shared" si="94"/>
        <v/>
      </c>
      <c r="I779" s="8" t="str">
        <f t="shared" si="95"/>
        <v/>
      </c>
      <c r="L779" t="str">
        <f>IFERROR(MATCH($C$5&amp;"|"&amp;RIGHT("000000"&amp;763,6),LdgRankKeyA,0),"")</f>
        <v/>
      </c>
      <c r="M779" t="str">
        <f>IFERROR(MATCH($C$5&amp;"|"&amp;RIGHT("000000"&amp;763,6),LdgRankKeyB,0),"")</f>
        <v/>
      </c>
    </row>
    <row r="780" spans="1:13" x14ac:dyDescent="0.2">
      <c r="A780" s="9">
        <v>764</v>
      </c>
      <c r="B780" s="10" t="str">
        <f t="shared" si="88"/>
        <v/>
      </c>
      <c r="C780" s="10" t="str">
        <f t="shared" si="89"/>
        <v/>
      </c>
      <c r="D780" s="10" t="str">
        <f t="shared" si="90"/>
        <v/>
      </c>
      <c r="E780" s="11" t="str">
        <f t="shared" si="91"/>
        <v/>
      </c>
      <c r="F780" s="12" t="str">
        <f t="shared" si="92"/>
        <v/>
      </c>
      <c r="G780" s="13" t="str">
        <f t="shared" si="93"/>
        <v/>
      </c>
      <c r="H780" s="13" t="str">
        <f t="shared" si="94"/>
        <v/>
      </c>
      <c r="I780" s="14" t="str">
        <f t="shared" si="95"/>
        <v/>
      </c>
      <c r="L780" t="str">
        <f>IFERROR(MATCH($C$5&amp;"|"&amp;RIGHT("000000"&amp;764,6),LdgRankKeyA,0),"")</f>
        <v/>
      </c>
      <c r="M780" t="str">
        <f>IFERROR(MATCH($C$5&amp;"|"&amp;RIGHT("000000"&amp;764,6),LdgRankKeyB,0),"")</f>
        <v/>
      </c>
    </row>
    <row r="781" spans="1:13" x14ac:dyDescent="0.2">
      <c r="A781" s="3">
        <v>765</v>
      </c>
      <c r="B781" s="4" t="str">
        <f t="shared" si="88"/>
        <v/>
      </c>
      <c r="C781" s="4" t="str">
        <f t="shared" si="89"/>
        <v/>
      </c>
      <c r="D781" s="4" t="str">
        <f t="shared" si="90"/>
        <v/>
      </c>
      <c r="E781" s="5" t="str">
        <f t="shared" si="91"/>
        <v/>
      </c>
      <c r="F781" s="6" t="str">
        <f t="shared" si="92"/>
        <v/>
      </c>
      <c r="G781" s="7" t="str">
        <f t="shared" si="93"/>
        <v/>
      </c>
      <c r="H781" s="7" t="str">
        <f t="shared" si="94"/>
        <v/>
      </c>
      <c r="I781" s="8" t="str">
        <f t="shared" si="95"/>
        <v/>
      </c>
      <c r="L781" t="str">
        <f>IFERROR(MATCH($C$5&amp;"|"&amp;RIGHT("000000"&amp;765,6),LdgRankKeyA,0),"")</f>
        <v/>
      </c>
      <c r="M781" t="str">
        <f>IFERROR(MATCH($C$5&amp;"|"&amp;RIGHT("000000"&amp;765,6),LdgRankKeyB,0),"")</f>
        <v/>
      </c>
    </row>
    <row r="782" spans="1:13" x14ac:dyDescent="0.2">
      <c r="A782" s="9">
        <v>766</v>
      </c>
      <c r="B782" s="10" t="str">
        <f t="shared" si="88"/>
        <v/>
      </c>
      <c r="C782" s="10" t="str">
        <f t="shared" si="89"/>
        <v/>
      </c>
      <c r="D782" s="10" t="str">
        <f t="shared" si="90"/>
        <v/>
      </c>
      <c r="E782" s="11" t="str">
        <f t="shared" si="91"/>
        <v/>
      </c>
      <c r="F782" s="12" t="str">
        <f t="shared" si="92"/>
        <v/>
      </c>
      <c r="G782" s="13" t="str">
        <f t="shared" si="93"/>
        <v/>
      </c>
      <c r="H782" s="13" t="str">
        <f t="shared" si="94"/>
        <v/>
      </c>
      <c r="I782" s="14" t="str">
        <f t="shared" si="95"/>
        <v/>
      </c>
      <c r="L782" t="str">
        <f>IFERROR(MATCH($C$5&amp;"|"&amp;RIGHT("000000"&amp;766,6),LdgRankKeyA,0),"")</f>
        <v/>
      </c>
      <c r="M782" t="str">
        <f>IFERROR(MATCH($C$5&amp;"|"&amp;RIGHT("000000"&amp;766,6),LdgRankKeyB,0),"")</f>
        <v/>
      </c>
    </row>
    <row r="783" spans="1:13" x14ac:dyDescent="0.2">
      <c r="A783" s="3">
        <v>767</v>
      </c>
      <c r="B783" s="4" t="str">
        <f t="shared" si="88"/>
        <v/>
      </c>
      <c r="C783" s="4" t="str">
        <f t="shared" si="89"/>
        <v/>
      </c>
      <c r="D783" s="4" t="str">
        <f t="shared" si="90"/>
        <v/>
      </c>
      <c r="E783" s="5" t="str">
        <f t="shared" si="91"/>
        <v/>
      </c>
      <c r="F783" s="6" t="str">
        <f t="shared" si="92"/>
        <v/>
      </c>
      <c r="G783" s="7" t="str">
        <f t="shared" si="93"/>
        <v/>
      </c>
      <c r="H783" s="7" t="str">
        <f t="shared" si="94"/>
        <v/>
      </c>
      <c r="I783" s="8" t="str">
        <f t="shared" si="95"/>
        <v/>
      </c>
      <c r="L783" t="str">
        <f>IFERROR(MATCH($C$5&amp;"|"&amp;RIGHT("000000"&amp;767,6),LdgRankKeyA,0),"")</f>
        <v/>
      </c>
      <c r="M783" t="str">
        <f>IFERROR(MATCH($C$5&amp;"|"&amp;RIGHT("000000"&amp;767,6),LdgRankKeyB,0),"")</f>
        <v/>
      </c>
    </row>
    <row r="784" spans="1:13" x14ac:dyDescent="0.2">
      <c r="A784" s="9">
        <v>768</v>
      </c>
      <c r="B784" s="10" t="str">
        <f t="shared" si="88"/>
        <v/>
      </c>
      <c r="C784" s="10" t="str">
        <f t="shared" si="89"/>
        <v/>
      </c>
      <c r="D784" s="10" t="str">
        <f t="shared" si="90"/>
        <v/>
      </c>
      <c r="E784" s="11" t="str">
        <f t="shared" si="91"/>
        <v/>
      </c>
      <c r="F784" s="12" t="str">
        <f t="shared" si="92"/>
        <v/>
      </c>
      <c r="G784" s="13" t="str">
        <f t="shared" si="93"/>
        <v/>
      </c>
      <c r="H784" s="13" t="str">
        <f t="shared" si="94"/>
        <v/>
      </c>
      <c r="I784" s="14" t="str">
        <f t="shared" si="95"/>
        <v/>
      </c>
      <c r="L784" t="str">
        <f>IFERROR(MATCH($C$5&amp;"|"&amp;RIGHT("000000"&amp;768,6),LdgRankKeyA,0),"")</f>
        <v/>
      </c>
      <c r="M784" t="str">
        <f>IFERROR(MATCH($C$5&amp;"|"&amp;RIGHT("000000"&amp;768,6),LdgRankKeyB,0),"")</f>
        <v/>
      </c>
    </row>
    <row r="785" spans="1:13" x14ac:dyDescent="0.2">
      <c r="A785" s="3">
        <v>769</v>
      </c>
      <c r="B785" s="4" t="str">
        <f t="shared" ref="B785:B848" si="96">IF(AND($L785="",$M785=""),"",IF($L785&lt;&gt;"",INDEX(SCNormDate,$L785),INDEX(LdgDateB,$M785)))</f>
        <v/>
      </c>
      <c r="C785" s="4" t="str">
        <f t="shared" ref="C785:C848" si="97">IF($L785&lt;&gt;"",INDEX(SCOp,$L785),IF($M785&lt;&gt;"","پرداخت بانکی",""))</f>
        <v/>
      </c>
      <c r="D785" s="4" t="str">
        <f t="shared" ref="D785:D848" si="98">IF($L785&lt;&gt;"",IF(INDEX(SCDoc,$L785)="","—",INDEX(SCDoc,$L785)),IF($M785&lt;&gt;"",INDEX(LdgBankB,$M785),""))</f>
        <v/>
      </c>
      <c r="E785" s="5" t="str">
        <f t="shared" ref="E785:E848" si="99">IF($L785&lt;&gt;"",IF(INDEX(SCCitrus,$L785)&amp;INDEX(SCNotes,$L785)="","",IF(INDEX(SCCitrus,$L785)="","",INDEX(SCCitrus,$L785))&amp;IF(INDEX(SCNotes,$L785)="",""," — "&amp;INDEX(SCNotes,$L785))),IF($M785&lt;&gt;"",IF(INDEX(LdgNoteB,$M785)="","—",INDEX(LdgNoteB,$M785)),""))</f>
        <v/>
      </c>
      <c r="F785" s="6" t="str">
        <f t="shared" ref="F785:F848" si="100">IF($L785&lt;&gt;"",IF(INDEX(SCNet,$L785)=0,"",INDEX(SCNet,$L785)),"")</f>
        <v/>
      </c>
      <c r="G785" s="7" t="str">
        <f t="shared" ref="G785:G848" si="101">IF($L785&lt;&gt;"",IF(INDEX(SCOp,$L785)="مرجوعی فروش","",IF(INDEX(SCAmount,$L785)&lt;=0,"",INDEX(SCAmount,$L785))),IF($M785&lt;&gt;"",IF(INDEX(LdgWitB,$M785)=0,"",INDEX(LdgWitB,$M785)),""))</f>
        <v/>
      </c>
      <c r="H785" s="7" t="str">
        <f t="shared" ref="H785:H848" si="102">IF($L785&lt;&gt;"",IF(INDEX(SCOp,$L785)="مرجوعی فروش",IF(INDEX(SCAmount,$L785)=0,"",-INDEX(SCAmount,$L785)),""),IF($M785&lt;&gt;"",IF(INDEX(LdgDepB,$M785)=0,"",INDEX(LdgDepB,$M785)),""))</f>
        <v/>
      </c>
      <c r="I785" s="8" t="str">
        <f t="shared" si="95"/>
        <v/>
      </c>
      <c r="L785" t="str">
        <f>IFERROR(MATCH($C$5&amp;"|"&amp;RIGHT("000000"&amp;769,6),LdgRankKeyA,0),"")</f>
        <v/>
      </c>
      <c r="M785" t="str">
        <f>IFERROR(MATCH($C$5&amp;"|"&amp;RIGHT("000000"&amp;769,6),LdgRankKeyB,0),"")</f>
        <v/>
      </c>
    </row>
    <row r="786" spans="1:13" x14ac:dyDescent="0.2">
      <c r="A786" s="9">
        <v>770</v>
      </c>
      <c r="B786" s="10" t="str">
        <f t="shared" si="96"/>
        <v/>
      </c>
      <c r="C786" s="10" t="str">
        <f t="shared" si="97"/>
        <v/>
      </c>
      <c r="D786" s="10" t="str">
        <f t="shared" si="98"/>
        <v/>
      </c>
      <c r="E786" s="11" t="str">
        <f t="shared" si="99"/>
        <v/>
      </c>
      <c r="F786" s="12" t="str">
        <f t="shared" si="100"/>
        <v/>
      </c>
      <c r="G786" s="13" t="str">
        <f t="shared" si="101"/>
        <v/>
      </c>
      <c r="H786" s="13" t="str">
        <f t="shared" si="102"/>
        <v/>
      </c>
      <c r="I786" s="14" t="str">
        <f t="shared" ref="I786:I849" si="103">IF($B786="","",IF($I785="",$C$10,$I785)+IF($G786="",0,$G786)-IF($H786="",0,$H786))</f>
        <v/>
      </c>
      <c r="L786" t="str">
        <f>IFERROR(MATCH($C$5&amp;"|"&amp;RIGHT("000000"&amp;770,6),LdgRankKeyA,0),"")</f>
        <v/>
      </c>
      <c r="M786" t="str">
        <f>IFERROR(MATCH($C$5&amp;"|"&amp;RIGHT("000000"&amp;770,6),LdgRankKeyB,0),"")</f>
        <v/>
      </c>
    </row>
    <row r="787" spans="1:13" x14ac:dyDescent="0.2">
      <c r="A787" s="3">
        <v>771</v>
      </c>
      <c r="B787" s="4" t="str">
        <f t="shared" si="96"/>
        <v/>
      </c>
      <c r="C787" s="4" t="str">
        <f t="shared" si="97"/>
        <v/>
      </c>
      <c r="D787" s="4" t="str">
        <f t="shared" si="98"/>
        <v/>
      </c>
      <c r="E787" s="5" t="str">
        <f t="shared" si="99"/>
        <v/>
      </c>
      <c r="F787" s="6" t="str">
        <f t="shared" si="100"/>
        <v/>
      </c>
      <c r="G787" s="7" t="str">
        <f t="shared" si="101"/>
        <v/>
      </c>
      <c r="H787" s="7" t="str">
        <f t="shared" si="102"/>
        <v/>
      </c>
      <c r="I787" s="8" t="str">
        <f t="shared" si="103"/>
        <v/>
      </c>
      <c r="L787" t="str">
        <f>IFERROR(MATCH($C$5&amp;"|"&amp;RIGHT("000000"&amp;771,6),LdgRankKeyA,0),"")</f>
        <v/>
      </c>
      <c r="M787" t="str">
        <f>IFERROR(MATCH($C$5&amp;"|"&amp;RIGHT("000000"&amp;771,6),LdgRankKeyB,0),"")</f>
        <v/>
      </c>
    </row>
    <row r="788" spans="1:13" x14ac:dyDescent="0.2">
      <c r="A788" s="9">
        <v>772</v>
      </c>
      <c r="B788" s="10" t="str">
        <f t="shared" si="96"/>
        <v/>
      </c>
      <c r="C788" s="10" t="str">
        <f t="shared" si="97"/>
        <v/>
      </c>
      <c r="D788" s="10" t="str">
        <f t="shared" si="98"/>
        <v/>
      </c>
      <c r="E788" s="11" t="str">
        <f t="shared" si="99"/>
        <v/>
      </c>
      <c r="F788" s="12" t="str">
        <f t="shared" si="100"/>
        <v/>
      </c>
      <c r="G788" s="13" t="str">
        <f t="shared" si="101"/>
        <v/>
      </c>
      <c r="H788" s="13" t="str">
        <f t="shared" si="102"/>
        <v/>
      </c>
      <c r="I788" s="14" t="str">
        <f t="shared" si="103"/>
        <v/>
      </c>
      <c r="L788" t="str">
        <f>IFERROR(MATCH($C$5&amp;"|"&amp;RIGHT("000000"&amp;772,6),LdgRankKeyA,0),"")</f>
        <v/>
      </c>
      <c r="M788" t="str">
        <f>IFERROR(MATCH($C$5&amp;"|"&amp;RIGHT("000000"&amp;772,6),LdgRankKeyB,0),"")</f>
        <v/>
      </c>
    </row>
    <row r="789" spans="1:13" x14ac:dyDescent="0.2">
      <c r="A789" s="3">
        <v>773</v>
      </c>
      <c r="B789" s="4" t="str">
        <f t="shared" si="96"/>
        <v/>
      </c>
      <c r="C789" s="4" t="str">
        <f t="shared" si="97"/>
        <v/>
      </c>
      <c r="D789" s="4" t="str">
        <f t="shared" si="98"/>
        <v/>
      </c>
      <c r="E789" s="5" t="str">
        <f t="shared" si="99"/>
        <v/>
      </c>
      <c r="F789" s="6" t="str">
        <f t="shared" si="100"/>
        <v/>
      </c>
      <c r="G789" s="7" t="str">
        <f t="shared" si="101"/>
        <v/>
      </c>
      <c r="H789" s="7" t="str">
        <f t="shared" si="102"/>
        <v/>
      </c>
      <c r="I789" s="8" t="str">
        <f t="shared" si="103"/>
        <v/>
      </c>
      <c r="L789" t="str">
        <f>IFERROR(MATCH($C$5&amp;"|"&amp;RIGHT("000000"&amp;773,6),LdgRankKeyA,0),"")</f>
        <v/>
      </c>
      <c r="M789" t="str">
        <f>IFERROR(MATCH($C$5&amp;"|"&amp;RIGHT("000000"&amp;773,6),LdgRankKeyB,0),"")</f>
        <v/>
      </c>
    </row>
    <row r="790" spans="1:13" x14ac:dyDescent="0.2">
      <c r="A790" s="9">
        <v>774</v>
      </c>
      <c r="B790" s="10" t="str">
        <f t="shared" si="96"/>
        <v/>
      </c>
      <c r="C790" s="10" t="str">
        <f t="shared" si="97"/>
        <v/>
      </c>
      <c r="D790" s="10" t="str">
        <f t="shared" si="98"/>
        <v/>
      </c>
      <c r="E790" s="11" t="str">
        <f t="shared" si="99"/>
        <v/>
      </c>
      <c r="F790" s="12" t="str">
        <f t="shared" si="100"/>
        <v/>
      </c>
      <c r="G790" s="13" t="str">
        <f t="shared" si="101"/>
        <v/>
      </c>
      <c r="H790" s="13" t="str">
        <f t="shared" si="102"/>
        <v/>
      </c>
      <c r="I790" s="14" t="str">
        <f t="shared" si="103"/>
        <v/>
      </c>
      <c r="L790" t="str">
        <f>IFERROR(MATCH($C$5&amp;"|"&amp;RIGHT("000000"&amp;774,6),LdgRankKeyA,0),"")</f>
        <v/>
      </c>
      <c r="M790" t="str">
        <f>IFERROR(MATCH($C$5&amp;"|"&amp;RIGHT("000000"&amp;774,6),LdgRankKeyB,0),"")</f>
        <v/>
      </c>
    </row>
    <row r="791" spans="1:13" x14ac:dyDescent="0.2">
      <c r="A791" s="3">
        <v>775</v>
      </c>
      <c r="B791" s="4" t="str">
        <f t="shared" si="96"/>
        <v/>
      </c>
      <c r="C791" s="4" t="str">
        <f t="shared" si="97"/>
        <v/>
      </c>
      <c r="D791" s="4" t="str">
        <f t="shared" si="98"/>
        <v/>
      </c>
      <c r="E791" s="5" t="str">
        <f t="shared" si="99"/>
        <v/>
      </c>
      <c r="F791" s="6" t="str">
        <f t="shared" si="100"/>
        <v/>
      </c>
      <c r="G791" s="7" t="str">
        <f t="shared" si="101"/>
        <v/>
      </c>
      <c r="H791" s="7" t="str">
        <f t="shared" si="102"/>
        <v/>
      </c>
      <c r="I791" s="8" t="str">
        <f t="shared" si="103"/>
        <v/>
      </c>
      <c r="L791" t="str">
        <f>IFERROR(MATCH($C$5&amp;"|"&amp;RIGHT("000000"&amp;775,6),LdgRankKeyA,0),"")</f>
        <v/>
      </c>
      <c r="M791" t="str">
        <f>IFERROR(MATCH($C$5&amp;"|"&amp;RIGHT("000000"&amp;775,6),LdgRankKeyB,0),"")</f>
        <v/>
      </c>
    </row>
    <row r="792" spans="1:13" x14ac:dyDescent="0.2">
      <c r="A792" s="9">
        <v>776</v>
      </c>
      <c r="B792" s="10" t="str">
        <f t="shared" si="96"/>
        <v/>
      </c>
      <c r="C792" s="10" t="str">
        <f t="shared" si="97"/>
        <v/>
      </c>
      <c r="D792" s="10" t="str">
        <f t="shared" si="98"/>
        <v/>
      </c>
      <c r="E792" s="11" t="str">
        <f t="shared" si="99"/>
        <v/>
      </c>
      <c r="F792" s="12" t="str">
        <f t="shared" si="100"/>
        <v/>
      </c>
      <c r="G792" s="13" t="str">
        <f t="shared" si="101"/>
        <v/>
      </c>
      <c r="H792" s="13" t="str">
        <f t="shared" si="102"/>
        <v/>
      </c>
      <c r="I792" s="14" t="str">
        <f t="shared" si="103"/>
        <v/>
      </c>
      <c r="L792" t="str">
        <f>IFERROR(MATCH($C$5&amp;"|"&amp;RIGHT("000000"&amp;776,6),LdgRankKeyA,0),"")</f>
        <v/>
      </c>
      <c r="M792" t="str">
        <f>IFERROR(MATCH($C$5&amp;"|"&amp;RIGHT("000000"&amp;776,6),LdgRankKeyB,0),"")</f>
        <v/>
      </c>
    </row>
    <row r="793" spans="1:13" x14ac:dyDescent="0.2">
      <c r="A793" s="3">
        <v>777</v>
      </c>
      <c r="B793" s="4" t="str">
        <f t="shared" si="96"/>
        <v/>
      </c>
      <c r="C793" s="4" t="str">
        <f t="shared" si="97"/>
        <v/>
      </c>
      <c r="D793" s="4" t="str">
        <f t="shared" si="98"/>
        <v/>
      </c>
      <c r="E793" s="5" t="str">
        <f t="shared" si="99"/>
        <v/>
      </c>
      <c r="F793" s="6" t="str">
        <f t="shared" si="100"/>
        <v/>
      </c>
      <c r="G793" s="7" t="str">
        <f t="shared" si="101"/>
        <v/>
      </c>
      <c r="H793" s="7" t="str">
        <f t="shared" si="102"/>
        <v/>
      </c>
      <c r="I793" s="8" t="str">
        <f t="shared" si="103"/>
        <v/>
      </c>
      <c r="L793" t="str">
        <f>IFERROR(MATCH($C$5&amp;"|"&amp;RIGHT("000000"&amp;777,6),LdgRankKeyA,0),"")</f>
        <v/>
      </c>
      <c r="M793" t="str">
        <f>IFERROR(MATCH($C$5&amp;"|"&amp;RIGHT("000000"&amp;777,6),LdgRankKeyB,0),"")</f>
        <v/>
      </c>
    </row>
    <row r="794" spans="1:13" x14ac:dyDescent="0.2">
      <c r="A794" s="9">
        <v>778</v>
      </c>
      <c r="B794" s="10" t="str">
        <f t="shared" si="96"/>
        <v/>
      </c>
      <c r="C794" s="10" t="str">
        <f t="shared" si="97"/>
        <v/>
      </c>
      <c r="D794" s="10" t="str">
        <f t="shared" si="98"/>
        <v/>
      </c>
      <c r="E794" s="11" t="str">
        <f t="shared" si="99"/>
        <v/>
      </c>
      <c r="F794" s="12" t="str">
        <f t="shared" si="100"/>
        <v/>
      </c>
      <c r="G794" s="13" t="str">
        <f t="shared" si="101"/>
        <v/>
      </c>
      <c r="H794" s="13" t="str">
        <f t="shared" si="102"/>
        <v/>
      </c>
      <c r="I794" s="14" t="str">
        <f t="shared" si="103"/>
        <v/>
      </c>
      <c r="L794" t="str">
        <f>IFERROR(MATCH($C$5&amp;"|"&amp;RIGHT("000000"&amp;778,6),LdgRankKeyA,0),"")</f>
        <v/>
      </c>
      <c r="M794" t="str">
        <f>IFERROR(MATCH($C$5&amp;"|"&amp;RIGHT("000000"&amp;778,6),LdgRankKeyB,0),"")</f>
        <v/>
      </c>
    </row>
    <row r="795" spans="1:13" x14ac:dyDescent="0.2">
      <c r="A795" s="3">
        <v>779</v>
      </c>
      <c r="B795" s="4" t="str">
        <f t="shared" si="96"/>
        <v/>
      </c>
      <c r="C795" s="4" t="str">
        <f t="shared" si="97"/>
        <v/>
      </c>
      <c r="D795" s="4" t="str">
        <f t="shared" si="98"/>
        <v/>
      </c>
      <c r="E795" s="5" t="str">
        <f t="shared" si="99"/>
        <v/>
      </c>
      <c r="F795" s="6" t="str">
        <f t="shared" si="100"/>
        <v/>
      </c>
      <c r="G795" s="7" t="str">
        <f t="shared" si="101"/>
        <v/>
      </c>
      <c r="H795" s="7" t="str">
        <f t="shared" si="102"/>
        <v/>
      </c>
      <c r="I795" s="8" t="str">
        <f t="shared" si="103"/>
        <v/>
      </c>
      <c r="L795" t="str">
        <f>IFERROR(MATCH($C$5&amp;"|"&amp;RIGHT("000000"&amp;779,6),LdgRankKeyA,0),"")</f>
        <v/>
      </c>
      <c r="M795" t="str">
        <f>IFERROR(MATCH($C$5&amp;"|"&amp;RIGHT("000000"&amp;779,6),LdgRankKeyB,0),"")</f>
        <v/>
      </c>
    </row>
    <row r="796" spans="1:13" x14ac:dyDescent="0.2">
      <c r="A796" s="9">
        <v>780</v>
      </c>
      <c r="B796" s="10" t="str">
        <f t="shared" si="96"/>
        <v/>
      </c>
      <c r="C796" s="10" t="str">
        <f t="shared" si="97"/>
        <v/>
      </c>
      <c r="D796" s="10" t="str">
        <f t="shared" si="98"/>
        <v/>
      </c>
      <c r="E796" s="11" t="str">
        <f t="shared" si="99"/>
        <v/>
      </c>
      <c r="F796" s="12" t="str">
        <f t="shared" si="100"/>
        <v/>
      </c>
      <c r="G796" s="13" t="str">
        <f t="shared" si="101"/>
        <v/>
      </c>
      <c r="H796" s="13" t="str">
        <f t="shared" si="102"/>
        <v/>
      </c>
      <c r="I796" s="14" t="str">
        <f t="shared" si="103"/>
        <v/>
      </c>
      <c r="L796" t="str">
        <f>IFERROR(MATCH($C$5&amp;"|"&amp;RIGHT("000000"&amp;780,6),LdgRankKeyA,0),"")</f>
        <v/>
      </c>
      <c r="M796" t="str">
        <f>IFERROR(MATCH($C$5&amp;"|"&amp;RIGHT("000000"&amp;780,6),LdgRankKeyB,0),"")</f>
        <v/>
      </c>
    </row>
    <row r="797" spans="1:13" x14ac:dyDescent="0.2">
      <c r="A797" s="3">
        <v>781</v>
      </c>
      <c r="B797" s="4" t="str">
        <f t="shared" si="96"/>
        <v/>
      </c>
      <c r="C797" s="4" t="str">
        <f t="shared" si="97"/>
        <v/>
      </c>
      <c r="D797" s="4" t="str">
        <f t="shared" si="98"/>
        <v/>
      </c>
      <c r="E797" s="5" t="str">
        <f t="shared" si="99"/>
        <v/>
      </c>
      <c r="F797" s="6" t="str">
        <f t="shared" si="100"/>
        <v/>
      </c>
      <c r="G797" s="7" t="str">
        <f t="shared" si="101"/>
        <v/>
      </c>
      <c r="H797" s="7" t="str">
        <f t="shared" si="102"/>
        <v/>
      </c>
      <c r="I797" s="8" t="str">
        <f t="shared" si="103"/>
        <v/>
      </c>
      <c r="L797" t="str">
        <f>IFERROR(MATCH($C$5&amp;"|"&amp;RIGHT("000000"&amp;781,6),LdgRankKeyA,0),"")</f>
        <v/>
      </c>
      <c r="M797" t="str">
        <f>IFERROR(MATCH($C$5&amp;"|"&amp;RIGHT("000000"&amp;781,6),LdgRankKeyB,0),"")</f>
        <v/>
      </c>
    </row>
    <row r="798" spans="1:13" x14ac:dyDescent="0.2">
      <c r="A798" s="9">
        <v>782</v>
      </c>
      <c r="B798" s="10" t="str">
        <f t="shared" si="96"/>
        <v/>
      </c>
      <c r="C798" s="10" t="str">
        <f t="shared" si="97"/>
        <v/>
      </c>
      <c r="D798" s="10" t="str">
        <f t="shared" si="98"/>
        <v/>
      </c>
      <c r="E798" s="11" t="str">
        <f t="shared" si="99"/>
        <v/>
      </c>
      <c r="F798" s="12" t="str">
        <f t="shared" si="100"/>
        <v/>
      </c>
      <c r="G798" s="13" t="str">
        <f t="shared" si="101"/>
        <v/>
      </c>
      <c r="H798" s="13" t="str">
        <f t="shared" si="102"/>
        <v/>
      </c>
      <c r="I798" s="14" t="str">
        <f t="shared" si="103"/>
        <v/>
      </c>
      <c r="L798" t="str">
        <f>IFERROR(MATCH($C$5&amp;"|"&amp;RIGHT("000000"&amp;782,6),LdgRankKeyA,0),"")</f>
        <v/>
      </c>
      <c r="M798" t="str">
        <f>IFERROR(MATCH($C$5&amp;"|"&amp;RIGHT("000000"&amp;782,6),LdgRankKeyB,0),"")</f>
        <v/>
      </c>
    </row>
    <row r="799" spans="1:13" x14ac:dyDescent="0.2">
      <c r="A799" s="3">
        <v>783</v>
      </c>
      <c r="B799" s="4" t="str">
        <f t="shared" si="96"/>
        <v/>
      </c>
      <c r="C799" s="4" t="str">
        <f t="shared" si="97"/>
        <v/>
      </c>
      <c r="D799" s="4" t="str">
        <f t="shared" si="98"/>
        <v/>
      </c>
      <c r="E799" s="5" t="str">
        <f t="shared" si="99"/>
        <v/>
      </c>
      <c r="F799" s="6" t="str">
        <f t="shared" si="100"/>
        <v/>
      </c>
      <c r="G799" s="7" t="str">
        <f t="shared" si="101"/>
        <v/>
      </c>
      <c r="H799" s="7" t="str">
        <f t="shared" si="102"/>
        <v/>
      </c>
      <c r="I799" s="8" t="str">
        <f t="shared" si="103"/>
        <v/>
      </c>
      <c r="L799" t="str">
        <f>IFERROR(MATCH($C$5&amp;"|"&amp;RIGHT("000000"&amp;783,6),LdgRankKeyA,0),"")</f>
        <v/>
      </c>
      <c r="M799" t="str">
        <f>IFERROR(MATCH($C$5&amp;"|"&amp;RIGHT("000000"&amp;783,6),LdgRankKeyB,0),"")</f>
        <v/>
      </c>
    </row>
    <row r="800" spans="1:13" x14ac:dyDescent="0.2">
      <c r="A800" s="9">
        <v>784</v>
      </c>
      <c r="B800" s="10" t="str">
        <f t="shared" si="96"/>
        <v/>
      </c>
      <c r="C800" s="10" t="str">
        <f t="shared" si="97"/>
        <v/>
      </c>
      <c r="D800" s="10" t="str">
        <f t="shared" si="98"/>
        <v/>
      </c>
      <c r="E800" s="11" t="str">
        <f t="shared" si="99"/>
        <v/>
      </c>
      <c r="F800" s="12" t="str">
        <f t="shared" si="100"/>
        <v/>
      </c>
      <c r="G800" s="13" t="str">
        <f t="shared" si="101"/>
        <v/>
      </c>
      <c r="H800" s="13" t="str">
        <f t="shared" si="102"/>
        <v/>
      </c>
      <c r="I800" s="14" t="str">
        <f t="shared" si="103"/>
        <v/>
      </c>
      <c r="L800" t="str">
        <f>IFERROR(MATCH($C$5&amp;"|"&amp;RIGHT("000000"&amp;784,6),LdgRankKeyA,0),"")</f>
        <v/>
      </c>
      <c r="M800" t="str">
        <f>IFERROR(MATCH($C$5&amp;"|"&amp;RIGHT("000000"&amp;784,6),LdgRankKeyB,0),"")</f>
        <v/>
      </c>
    </row>
    <row r="801" spans="1:13" x14ac:dyDescent="0.2">
      <c r="A801" s="3">
        <v>785</v>
      </c>
      <c r="B801" s="4" t="str">
        <f t="shared" si="96"/>
        <v/>
      </c>
      <c r="C801" s="4" t="str">
        <f t="shared" si="97"/>
        <v/>
      </c>
      <c r="D801" s="4" t="str">
        <f t="shared" si="98"/>
        <v/>
      </c>
      <c r="E801" s="5" t="str">
        <f t="shared" si="99"/>
        <v/>
      </c>
      <c r="F801" s="6" t="str">
        <f t="shared" si="100"/>
        <v/>
      </c>
      <c r="G801" s="7" t="str">
        <f t="shared" si="101"/>
        <v/>
      </c>
      <c r="H801" s="7" t="str">
        <f t="shared" si="102"/>
        <v/>
      </c>
      <c r="I801" s="8" t="str">
        <f t="shared" si="103"/>
        <v/>
      </c>
      <c r="L801" t="str">
        <f>IFERROR(MATCH($C$5&amp;"|"&amp;RIGHT("000000"&amp;785,6),LdgRankKeyA,0),"")</f>
        <v/>
      </c>
      <c r="M801" t="str">
        <f>IFERROR(MATCH($C$5&amp;"|"&amp;RIGHT("000000"&amp;785,6),LdgRankKeyB,0),"")</f>
        <v/>
      </c>
    </row>
    <row r="802" spans="1:13" x14ac:dyDescent="0.2">
      <c r="A802" s="9">
        <v>786</v>
      </c>
      <c r="B802" s="10" t="str">
        <f t="shared" si="96"/>
        <v/>
      </c>
      <c r="C802" s="10" t="str">
        <f t="shared" si="97"/>
        <v/>
      </c>
      <c r="D802" s="10" t="str">
        <f t="shared" si="98"/>
        <v/>
      </c>
      <c r="E802" s="11" t="str">
        <f t="shared" si="99"/>
        <v/>
      </c>
      <c r="F802" s="12" t="str">
        <f t="shared" si="100"/>
        <v/>
      </c>
      <c r="G802" s="13" t="str">
        <f t="shared" si="101"/>
        <v/>
      </c>
      <c r="H802" s="13" t="str">
        <f t="shared" si="102"/>
        <v/>
      </c>
      <c r="I802" s="14" t="str">
        <f t="shared" si="103"/>
        <v/>
      </c>
      <c r="L802" t="str">
        <f>IFERROR(MATCH($C$5&amp;"|"&amp;RIGHT("000000"&amp;786,6),LdgRankKeyA,0),"")</f>
        <v/>
      </c>
      <c r="M802" t="str">
        <f>IFERROR(MATCH($C$5&amp;"|"&amp;RIGHT("000000"&amp;786,6),LdgRankKeyB,0),"")</f>
        <v/>
      </c>
    </row>
    <row r="803" spans="1:13" x14ac:dyDescent="0.2">
      <c r="A803" s="3">
        <v>787</v>
      </c>
      <c r="B803" s="4" t="str">
        <f t="shared" si="96"/>
        <v/>
      </c>
      <c r="C803" s="4" t="str">
        <f t="shared" si="97"/>
        <v/>
      </c>
      <c r="D803" s="4" t="str">
        <f t="shared" si="98"/>
        <v/>
      </c>
      <c r="E803" s="5" t="str">
        <f t="shared" si="99"/>
        <v/>
      </c>
      <c r="F803" s="6" t="str">
        <f t="shared" si="100"/>
        <v/>
      </c>
      <c r="G803" s="7" t="str">
        <f t="shared" si="101"/>
        <v/>
      </c>
      <c r="H803" s="7" t="str">
        <f t="shared" si="102"/>
        <v/>
      </c>
      <c r="I803" s="8" t="str">
        <f t="shared" si="103"/>
        <v/>
      </c>
      <c r="L803" t="str">
        <f>IFERROR(MATCH($C$5&amp;"|"&amp;RIGHT("000000"&amp;787,6),LdgRankKeyA,0),"")</f>
        <v/>
      </c>
      <c r="M803" t="str">
        <f>IFERROR(MATCH($C$5&amp;"|"&amp;RIGHT("000000"&amp;787,6),LdgRankKeyB,0),"")</f>
        <v/>
      </c>
    </row>
    <row r="804" spans="1:13" x14ac:dyDescent="0.2">
      <c r="A804" s="9">
        <v>788</v>
      </c>
      <c r="B804" s="10" t="str">
        <f t="shared" si="96"/>
        <v/>
      </c>
      <c r="C804" s="10" t="str">
        <f t="shared" si="97"/>
        <v/>
      </c>
      <c r="D804" s="10" t="str">
        <f t="shared" si="98"/>
        <v/>
      </c>
      <c r="E804" s="11" t="str">
        <f t="shared" si="99"/>
        <v/>
      </c>
      <c r="F804" s="12" t="str">
        <f t="shared" si="100"/>
        <v/>
      </c>
      <c r="G804" s="13" t="str">
        <f t="shared" si="101"/>
        <v/>
      </c>
      <c r="H804" s="13" t="str">
        <f t="shared" si="102"/>
        <v/>
      </c>
      <c r="I804" s="14" t="str">
        <f t="shared" si="103"/>
        <v/>
      </c>
      <c r="L804" t="str">
        <f>IFERROR(MATCH($C$5&amp;"|"&amp;RIGHT("000000"&amp;788,6),LdgRankKeyA,0),"")</f>
        <v/>
      </c>
      <c r="M804" t="str">
        <f>IFERROR(MATCH($C$5&amp;"|"&amp;RIGHT("000000"&amp;788,6),LdgRankKeyB,0),"")</f>
        <v/>
      </c>
    </row>
    <row r="805" spans="1:13" x14ac:dyDescent="0.2">
      <c r="A805" s="3">
        <v>789</v>
      </c>
      <c r="B805" s="4" t="str">
        <f t="shared" si="96"/>
        <v/>
      </c>
      <c r="C805" s="4" t="str">
        <f t="shared" si="97"/>
        <v/>
      </c>
      <c r="D805" s="4" t="str">
        <f t="shared" si="98"/>
        <v/>
      </c>
      <c r="E805" s="5" t="str">
        <f t="shared" si="99"/>
        <v/>
      </c>
      <c r="F805" s="6" t="str">
        <f t="shared" si="100"/>
        <v/>
      </c>
      <c r="G805" s="7" t="str">
        <f t="shared" si="101"/>
        <v/>
      </c>
      <c r="H805" s="7" t="str">
        <f t="shared" si="102"/>
        <v/>
      </c>
      <c r="I805" s="8" t="str">
        <f t="shared" si="103"/>
        <v/>
      </c>
      <c r="L805" t="str">
        <f>IFERROR(MATCH($C$5&amp;"|"&amp;RIGHT("000000"&amp;789,6),LdgRankKeyA,0),"")</f>
        <v/>
      </c>
      <c r="M805" t="str">
        <f>IFERROR(MATCH($C$5&amp;"|"&amp;RIGHT("000000"&amp;789,6),LdgRankKeyB,0),"")</f>
        <v/>
      </c>
    </row>
    <row r="806" spans="1:13" x14ac:dyDescent="0.2">
      <c r="A806" s="9">
        <v>790</v>
      </c>
      <c r="B806" s="10" t="str">
        <f t="shared" si="96"/>
        <v/>
      </c>
      <c r="C806" s="10" t="str">
        <f t="shared" si="97"/>
        <v/>
      </c>
      <c r="D806" s="10" t="str">
        <f t="shared" si="98"/>
        <v/>
      </c>
      <c r="E806" s="11" t="str">
        <f t="shared" si="99"/>
        <v/>
      </c>
      <c r="F806" s="12" t="str">
        <f t="shared" si="100"/>
        <v/>
      </c>
      <c r="G806" s="13" t="str">
        <f t="shared" si="101"/>
        <v/>
      </c>
      <c r="H806" s="13" t="str">
        <f t="shared" si="102"/>
        <v/>
      </c>
      <c r="I806" s="14" t="str">
        <f t="shared" si="103"/>
        <v/>
      </c>
      <c r="L806" t="str">
        <f>IFERROR(MATCH($C$5&amp;"|"&amp;RIGHT("000000"&amp;790,6),LdgRankKeyA,0),"")</f>
        <v/>
      </c>
      <c r="M806" t="str">
        <f>IFERROR(MATCH($C$5&amp;"|"&amp;RIGHT("000000"&amp;790,6),LdgRankKeyB,0),"")</f>
        <v/>
      </c>
    </row>
    <row r="807" spans="1:13" x14ac:dyDescent="0.2">
      <c r="A807" s="3">
        <v>791</v>
      </c>
      <c r="B807" s="4" t="str">
        <f t="shared" si="96"/>
        <v/>
      </c>
      <c r="C807" s="4" t="str">
        <f t="shared" si="97"/>
        <v/>
      </c>
      <c r="D807" s="4" t="str">
        <f t="shared" si="98"/>
        <v/>
      </c>
      <c r="E807" s="5" t="str">
        <f t="shared" si="99"/>
        <v/>
      </c>
      <c r="F807" s="6" t="str">
        <f t="shared" si="100"/>
        <v/>
      </c>
      <c r="G807" s="7" t="str">
        <f t="shared" si="101"/>
        <v/>
      </c>
      <c r="H807" s="7" t="str">
        <f t="shared" si="102"/>
        <v/>
      </c>
      <c r="I807" s="8" t="str">
        <f t="shared" si="103"/>
        <v/>
      </c>
      <c r="L807" t="str">
        <f>IFERROR(MATCH($C$5&amp;"|"&amp;RIGHT("000000"&amp;791,6),LdgRankKeyA,0),"")</f>
        <v/>
      </c>
      <c r="M807" t="str">
        <f>IFERROR(MATCH($C$5&amp;"|"&amp;RIGHT("000000"&amp;791,6),LdgRankKeyB,0),"")</f>
        <v/>
      </c>
    </row>
    <row r="808" spans="1:13" x14ac:dyDescent="0.2">
      <c r="A808" s="9">
        <v>792</v>
      </c>
      <c r="B808" s="10" t="str">
        <f t="shared" si="96"/>
        <v/>
      </c>
      <c r="C808" s="10" t="str">
        <f t="shared" si="97"/>
        <v/>
      </c>
      <c r="D808" s="10" t="str">
        <f t="shared" si="98"/>
        <v/>
      </c>
      <c r="E808" s="11" t="str">
        <f t="shared" si="99"/>
        <v/>
      </c>
      <c r="F808" s="12" t="str">
        <f t="shared" si="100"/>
        <v/>
      </c>
      <c r="G808" s="13" t="str">
        <f t="shared" si="101"/>
        <v/>
      </c>
      <c r="H808" s="13" t="str">
        <f t="shared" si="102"/>
        <v/>
      </c>
      <c r="I808" s="14" t="str">
        <f t="shared" si="103"/>
        <v/>
      </c>
      <c r="L808" t="str">
        <f>IFERROR(MATCH($C$5&amp;"|"&amp;RIGHT("000000"&amp;792,6),LdgRankKeyA,0),"")</f>
        <v/>
      </c>
      <c r="M808" t="str">
        <f>IFERROR(MATCH($C$5&amp;"|"&amp;RIGHT("000000"&amp;792,6),LdgRankKeyB,0),"")</f>
        <v/>
      </c>
    </row>
    <row r="809" spans="1:13" x14ac:dyDescent="0.2">
      <c r="A809" s="3">
        <v>793</v>
      </c>
      <c r="B809" s="4" t="str">
        <f t="shared" si="96"/>
        <v/>
      </c>
      <c r="C809" s="4" t="str">
        <f t="shared" si="97"/>
        <v/>
      </c>
      <c r="D809" s="4" t="str">
        <f t="shared" si="98"/>
        <v/>
      </c>
      <c r="E809" s="5" t="str">
        <f t="shared" si="99"/>
        <v/>
      </c>
      <c r="F809" s="6" t="str">
        <f t="shared" si="100"/>
        <v/>
      </c>
      <c r="G809" s="7" t="str">
        <f t="shared" si="101"/>
        <v/>
      </c>
      <c r="H809" s="7" t="str">
        <f t="shared" si="102"/>
        <v/>
      </c>
      <c r="I809" s="8" t="str">
        <f t="shared" si="103"/>
        <v/>
      </c>
      <c r="L809" t="str">
        <f>IFERROR(MATCH($C$5&amp;"|"&amp;RIGHT("000000"&amp;793,6),LdgRankKeyA,0),"")</f>
        <v/>
      </c>
      <c r="M809" t="str">
        <f>IFERROR(MATCH($C$5&amp;"|"&amp;RIGHT("000000"&amp;793,6),LdgRankKeyB,0),"")</f>
        <v/>
      </c>
    </row>
    <row r="810" spans="1:13" x14ac:dyDescent="0.2">
      <c r="A810" s="9">
        <v>794</v>
      </c>
      <c r="B810" s="10" t="str">
        <f t="shared" si="96"/>
        <v/>
      </c>
      <c r="C810" s="10" t="str">
        <f t="shared" si="97"/>
        <v/>
      </c>
      <c r="D810" s="10" t="str">
        <f t="shared" si="98"/>
        <v/>
      </c>
      <c r="E810" s="11" t="str">
        <f t="shared" si="99"/>
        <v/>
      </c>
      <c r="F810" s="12" t="str">
        <f t="shared" si="100"/>
        <v/>
      </c>
      <c r="G810" s="13" t="str">
        <f t="shared" si="101"/>
        <v/>
      </c>
      <c r="H810" s="13" t="str">
        <f t="shared" si="102"/>
        <v/>
      </c>
      <c r="I810" s="14" t="str">
        <f t="shared" si="103"/>
        <v/>
      </c>
      <c r="L810" t="str">
        <f>IFERROR(MATCH($C$5&amp;"|"&amp;RIGHT("000000"&amp;794,6),LdgRankKeyA,0),"")</f>
        <v/>
      </c>
      <c r="M810" t="str">
        <f>IFERROR(MATCH($C$5&amp;"|"&amp;RIGHT("000000"&amp;794,6),LdgRankKeyB,0),"")</f>
        <v/>
      </c>
    </row>
    <row r="811" spans="1:13" x14ac:dyDescent="0.2">
      <c r="A811" s="3">
        <v>795</v>
      </c>
      <c r="B811" s="4" t="str">
        <f t="shared" si="96"/>
        <v/>
      </c>
      <c r="C811" s="4" t="str">
        <f t="shared" si="97"/>
        <v/>
      </c>
      <c r="D811" s="4" t="str">
        <f t="shared" si="98"/>
        <v/>
      </c>
      <c r="E811" s="5" t="str">
        <f t="shared" si="99"/>
        <v/>
      </c>
      <c r="F811" s="6" t="str">
        <f t="shared" si="100"/>
        <v/>
      </c>
      <c r="G811" s="7" t="str">
        <f t="shared" si="101"/>
        <v/>
      </c>
      <c r="H811" s="7" t="str">
        <f t="shared" si="102"/>
        <v/>
      </c>
      <c r="I811" s="8" t="str">
        <f t="shared" si="103"/>
        <v/>
      </c>
      <c r="L811" t="str">
        <f>IFERROR(MATCH($C$5&amp;"|"&amp;RIGHT("000000"&amp;795,6),LdgRankKeyA,0),"")</f>
        <v/>
      </c>
      <c r="M811" t="str">
        <f>IFERROR(MATCH($C$5&amp;"|"&amp;RIGHT("000000"&amp;795,6),LdgRankKeyB,0),"")</f>
        <v/>
      </c>
    </row>
    <row r="812" spans="1:13" x14ac:dyDescent="0.2">
      <c r="A812" s="9">
        <v>796</v>
      </c>
      <c r="B812" s="10" t="str">
        <f t="shared" si="96"/>
        <v/>
      </c>
      <c r="C812" s="10" t="str">
        <f t="shared" si="97"/>
        <v/>
      </c>
      <c r="D812" s="10" t="str">
        <f t="shared" si="98"/>
        <v/>
      </c>
      <c r="E812" s="11" t="str">
        <f t="shared" si="99"/>
        <v/>
      </c>
      <c r="F812" s="12" t="str">
        <f t="shared" si="100"/>
        <v/>
      </c>
      <c r="G812" s="13" t="str">
        <f t="shared" si="101"/>
        <v/>
      </c>
      <c r="H812" s="13" t="str">
        <f t="shared" si="102"/>
        <v/>
      </c>
      <c r="I812" s="14" t="str">
        <f t="shared" si="103"/>
        <v/>
      </c>
      <c r="L812" t="str">
        <f>IFERROR(MATCH($C$5&amp;"|"&amp;RIGHT("000000"&amp;796,6),LdgRankKeyA,0),"")</f>
        <v/>
      </c>
      <c r="M812" t="str">
        <f>IFERROR(MATCH($C$5&amp;"|"&amp;RIGHT("000000"&amp;796,6),LdgRankKeyB,0),"")</f>
        <v/>
      </c>
    </row>
    <row r="813" spans="1:13" x14ac:dyDescent="0.2">
      <c r="A813" s="3">
        <v>797</v>
      </c>
      <c r="B813" s="4" t="str">
        <f t="shared" si="96"/>
        <v/>
      </c>
      <c r="C813" s="4" t="str">
        <f t="shared" si="97"/>
        <v/>
      </c>
      <c r="D813" s="4" t="str">
        <f t="shared" si="98"/>
        <v/>
      </c>
      <c r="E813" s="5" t="str">
        <f t="shared" si="99"/>
        <v/>
      </c>
      <c r="F813" s="6" t="str">
        <f t="shared" si="100"/>
        <v/>
      </c>
      <c r="G813" s="7" t="str">
        <f t="shared" si="101"/>
        <v/>
      </c>
      <c r="H813" s="7" t="str">
        <f t="shared" si="102"/>
        <v/>
      </c>
      <c r="I813" s="8" t="str">
        <f t="shared" si="103"/>
        <v/>
      </c>
      <c r="L813" t="str">
        <f>IFERROR(MATCH($C$5&amp;"|"&amp;RIGHT("000000"&amp;797,6),LdgRankKeyA,0),"")</f>
        <v/>
      </c>
      <c r="M813" t="str">
        <f>IFERROR(MATCH($C$5&amp;"|"&amp;RIGHT("000000"&amp;797,6),LdgRankKeyB,0),"")</f>
        <v/>
      </c>
    </row>
    <row r="814" spans="1:13" x14ac:dyDescent="0.2">
      <c r="A814" s="9">
        <v>798</v>
      </c>
      <c r="B814" s="10" t="str">
        <f t="shared" si="96"/>
        <v/>
      </c>
      <c r="C814" s="10" t="str">
        <f t="shared" si="97"/>
        <v/>
      </c>
      <c r="D814" s="10" t="str">
        <f t="shared" si="98"/>
        <v/>
      </c>
      <c r="E814" s="11" t="str">
        <f t="shared" si="99"/>
        <v/>
      </c>
      <c r="F814" s="12" t="str">
        <f t="shared" si="100"/>
        <v/>
      </c>
      <c r="G814" s="13" t="str">
        <f t="shared" si="101"/>
        <v/>
      </c>
      <c r="H814" s="13" t="str">
        <f t="shared" si="102"/>
        <v/>
      </c>
      <c r="I814" s="14" t="str">
        <f t="shared" si="103"/>
        <v/>
      </c>
      <c r="L814" t="str">
        <f>IFERROR(MATCH($C$5&amp;"|"&amp;RIGHT("000000"&amp;798,6),LdgRankKeyA,0),"")</f>
        <v/>
      </c>
      <c r="M814" t="str">
        <f>IFERROR(MATCH($C$5&amp;"|"&amp;RIGHT("000000"&amp;798,6),LdgRankKeyB,0),"")</f>
        <v/>
      </c>
    </row>
    <row r="815" spans="1:13" x14ac:dyDescent="0.2">
      <c r="A815" s="3">
        <v>799</v>
      </c>
      <c r="B815" s="4" t="str">
        <f t="shared" si="96"/>
        <v/>
      </c>
      <c r="C815" s="4" t="str">
        <f t="shared" si="97"/>
        <v/>
      </c>
      <c r="D815" s="4" t="str">
        <f t="shared" si="98"/>
        <v/>
      </c>
      <c r="E815" s="5" t="str">
        <f t="shared" si="99"/>
        <v/>
      </c>
      <c r="F815" s="6" t="str">
        <f t="shared" si="100"/>
        <v/>
      </c>
      <c r="G815" s="7" t="str">
        <f t="shared" si="101"/>
        <v/>
      </c>
      <c r="H815" s="7" t="str">
        <f t="shared" si="102"/>
        <v/>
      </c>
      <c r="I815" s="8" t="str">
        <f t="shared" si="103"/>
        <v/>
      </c>
      <c r="L815" t="str">
        <f>IFERROR(MATCH($C$5&amp;"|"&amp;RIGHT("000000"&amp;799,6),LdgRankKeyA,0),"")</f>
        <v/>
      </c>
      <c r="M815" t="str">
        <f>IFERROR(MATCH($C$5&amp;"|"&amp;RIGHT("000000"&amp;799,6),LdgRankKeyB,0),"")</f>
        <v/>
      </c>
    </row>
    <row r="816" spans="1:13" x14ac:dyDescent="0.2">
      <c r="A816" s="9">
        <v>800</v>
      </c>
      <c r="B816" s="10" t="str">
        <f t="shared" si="96"/>
        <v/>
      </c>
      <c r="C816" s="10" t="str">
        <f t="shared" si="97"/>
        <v/>
      </c>
      <c r="D816" s="10" t="str">
        <f t="shared" si="98"/>
        <v/>
      </c>
      <c r="E816" s="11" t="str">
        <f t="shared" si="99"/>
        <v/>
      </c>
      <c r="F816" s="12" t="str">
        <f t="shared" si="100"/>
        <v/>
      </c>
      <c r="G816" s="13" t="str">
        <f t="shared" si="101"/>
        <v/>
      </c>
      <c r="H816" s="13" t="str">
        <f t="shared" si="102"/>
        <v/>
      </c>
      <c r="I816" s="14" t="str">
        <f t="shared" si="103"/>
        <v/>
      </c>
      <c r="L816" t="str">
        <f>IFERROR(MATCH($C$5&amp;"|"&amp;RIGHT("000000"&amp;800,6),LdgRankKeyA,0),"")</f>
        <v/>
      </c>
      <c r="M816" t="str">
        <f>IFERROR(MATCH($C$5&amp;"|"&amp;RIGHT("000000"&amp;800,6),LdgRankKeyB,0),"")</f>
        <v/>
      </c>
    </row>
    <row r="817" spans="1:13" x14ac:dyDescent="0.2">
      <c r="A817" s="3">
        <v>801</v>
      </c>
      <c r="B817" s="4" t="str">
        <f t="shared" si="96"/>
        <v/>
      </c>
      <c r="C817" s="4" t="str">
        <f t="shared" si="97"/>
        <v/>
      </c>
      <c r="D817" s="4" t="str">
        <f t="shared" si="98"/>
        <v/>
      </c>
      <c r="E817" s="5" t="str">
        <f t="shared" si="99"/>
        <v/>
      </c>
      <c r="F817" s="6" t="str">
        <f t="shared" si="100"/>
        <v/>
      </c>
      <c r="G817" s="7" t="str">
        <f t="shared" si="101"/>
        <v/>
      </c>
      <c r="H817" s="7" t="str">
        <f t="shared" si="102"/>
        <v/>
      </c>
      <c r="I817" s="8" t="str">
        <f t="shared" si="103"/>
        <v/>
      </c>
      <c r="L817" t="str">
        <f>IFERROR(MATCH($C$5&amp;"|"&amp;RIGHT("000000"&amp;801,6),LdgRankKeyA,0),"")</f>
        <v/>
      </c>
      <c r="M817" t="str">
        <f>IFERROR(MATCH($C$5&amp;"|"&amp;RIGHT("000000"&amp;801,6),LdgRankKeyB,0),"")</f>
        <v/>
      </c>
    </row>
    <row r="818" spans="1:13" x14ac:dyDescent="0.2">
      <c r="A818" s="9">
        <v>802</v>
      </c>
      <c r="B818" s="10" t="str">
        <f t="shared" si="96"/>
        <v/>
      </c>
      <c r="C818" s="10" t="str">
        <f t="shared" si="97"/>
        <v/>
      </c>
      <c r="D818" s="10" t="str">
        <f t="shared" si="98"/>
        <v/>
      </c>
      <c r="E818" s="11" t="str">
        <f t="shared" si="99"/>
        <v/>
      </c>
      <c r="F818" s="12" t="str">
        <f t="shared" si="100"/>
        <v/>
      </c>
      <c r="G818" s="13" t="str">
        <f t="shared" si="101"/>
        <v/>
      </c>
      <c r="H818" s="13" t="str">
        <f t="shared" si="102"/>
        <v/>
      </c>
      <c r="I818" s="14" t="str">
        <f t="shared" si="103"/>
        <v/>
      </c>
      <c r="L818" t="str">
        <f>IFERROR(MATCH($C$5&amp;"|"&amp;RIGHT("000000"&amp;802,6),LdgRankKeyA,0),"")</f>
        <v/>
      </c>
      <c r="M818" t="str">
        <f>IFERROR(MATCH($C$5&amp;"|"&amp;RIGHT("000000"&amp;802,6),LdgRankKeyB,0),"")</f>
        <v/>
      </c>
    </row>
    <row r="819" spans="1:13" x14ac:dyDescent="0.2">
      <c r="A819" s="3">
        <v>803</v>
      </c>
      <c r="B819" s="4" t="str">
        <f t="shared" si="96"/>
        <v/>
      </c>
      <c r="C819" s="4" t="str">
        <f t="shared" si="97"/>
        <v/>
      </c>
      <c r="D819" s="4" t="str">
        <f t="shared" si="98"/>
        <v/>
      </c>
      <c r="E819" s="5" t="str">
        <f t="shared" si="99"/>
        <v/>
      </c>
      <c r="F819" s="6" t="str">
        <f t="shared" si="100"/>
        <v/>
      </c>
      <c r="G819" s="7" t="str">
        <f t="shared" si="101"/>
        <v/>
      </c>
      <c r="H819" s="7" t="str">
        <f t="shared" si="102"/>
        <v/>
      </c>
      <c r="I819" s="8" t="str">
        <f t="shared" si="103"/>
        <v/>
      </c>
      <c r="L819" t="str">
        <f>IFERROR(MATCH($C$5&amp;"|"&amp;RIGHT("000000"&amp;803,6),LdgRankKeyA,0),"")</f>
        <v/>
      </c>
      <c r="M819" t="str">
        <f>IFERROR(MATCH($C$5&amp;"|"&amp;RIGHT("000000"&amp;803,6),LdgRankKeyB,0),"")</f>
        <v/>
      </c>
    </row>
    <row r="820" spans="1:13" x14ac:dyDescent="0.2">
      <c r="A820" s="9">
        <v>804</v>
      </c>
      <c r="B820" s="10" t="str">
        <f t="shared" si="96"/>
        <v/>
      </c>
      <c r="C820" s="10" t="str">
        <f t="shared" si="97"/>
        <v/>
      </c>
      <c r="D820" s="10" t="str">
        <f t="shared" si="98"/>
        <v/>
      </c>
      <c r="E820" s="11" t="str">
        <f t="shared" si="99"/>
        <v/>
      </c>
      <c r="F820" s="12" t="str">
        <f t="shared" si="100"/>
        <v/>
      </c>
      <c r="G820" s="13" t="str">
        <f t="shared" si="101"/>
        <v/>
      </c>
      <c r="H820" s="13" t="str">
        <f t="shared" si="102"/>
        <v/>
      </c>
      <c r="I820" s="14" t="str">
        <f t="shared" si="103"/>
        <v/>
      </c>
      <c r="L820" t="str">
        <f>IFERROR(MATCH($C$5&amp;"|"&amp;RIGHT("000000"&amp;804,6),LdgRankKeyA,0),"")</f>
        <v/>
      </c>
      <c r="M820" t="str">
        <f>IFERROR(MATCH($C$5&amp;"|"&amp;RIGHT("000000"&amp;804,6),LdgRankKeyB,0),"")</f>
        <v/>
      </c>
    </row>
    <row r="821" spans="1:13" x14ac:dyDescent="0.2">
      <c r="A821" s="3">
        <v>805</v>
      </c>
      <c r="B821" s="4" t="str">
        <f t="shared" si="96"/>
        <v/>
      </c>
      <c r="C821" s="4" t="str">
        <f t="shared" si="97"/>
        <v/>
      </c>
      <c r="D821" s="4" t="str">
        <f t="shared" si="98"/>
        <v/>
      </c>
      <c r="E821" s="5" t="str">
        <f t="shared" si="99"/>
        <v/>
      </c>
      <c r="F821" s="6" t="str">
        <f t="shared" si="100"/>
        <v/>
      </c>
      <c r="G821" s="7" t="str">
        <f t="shared" si="101"/>
        <v/>
      </c>
      <c r="H821" s="7" t="str">
        <f t="shared" si="102"/>
        <v/>
      </c>
      <c r="I821" s="8" t="str">
        <f t="shared" si="103"/>
        <v/>
      </c>
      <c r="L821" t="str">
        <f>IFERROR(MATCH($C$5&amp;"|"&amp;RIGHT("000000"&amp;805,6),LdgRankKeyA,0),"")</f>
        <v/>
      </c>
      <c r="M821" t="str">
        <f>IFERROR(MATCH($C$5&amp;"|"&amp;RIGHT("000000"&amp;805,6),LdgRankKeyB,0),"")</f>
        <v/>
      </c>
    </row>
    <row r="822" spans="1:13" x14ac:dyDescent="0.2">
      <c r="A822" s="9">
        <v>806</v>
      </c>
      <c r="B822" s="10" t="str">
        <f t="shared" si="96"/>
        <v/>
      </c>
      <c r="C822" s="10" t="str">
        <f t="shared" si="97"/>
        <v/>
      </c>
      <c r="D822" s="10" t="str">
        <f t="shared" si="98"/>
        <v/>
      </c>
      <c r="E822" s="11" t="str">
        <f t="shared" si="99"/>
        <v/>
      </c>
      <c r="F822" s="12" t="str">
        <f t="shared" si="100"/>
        <v/>
      </c>
      <c r="G822" s="13" t="str">
        <f t="shared" si="101"/>
        <v/>
      </c>
      <c r="H822" s="13" t="str">
        <f t="shared" si="102"/>
        <v/>
      </c>
      <c r="I822" s="14" t="str">
        <f t="shared" si="103"/>
        <v/>
      </c>
      <c r="L822" t="str">
        <f>IFERROR(MATCH($C$5&amp;"|"&amp;RIGHT("000000"&amp;806,6),LdgRankKeyA,0),"")</f>
        <v/>
      </c>
      <c r="M822" t="str">
        <f>IFERROR(MATCH($C$5&amp;"|"&amp;RIGHT("000000"&amp;806,6),LdgRankKeyB,0),"")</f>
        <v/>
      </c>
    </row>
    <row r="823" spans="1:13" x14ac:dyDescent="0.2">
      <c r="A823" s="3">
        <v>807</v>
      </c>
      <c r="B823" s="4" t="str">
        <f t="shared" si="96"/>
        <v/>
      </c>
      <c r="C823" s="4" t="str">
        <f t="shared" si="97"/>
        <v/>
      </c>
      <c r="D823" s="4" t="str">
        <f t="shared" si="98"/>
        <v/>
      </c>
      <c r="E823" s="5" t="str">
        <f t="shared" si="99"/>
        <v/>
      </c>
      <c r="F823" s="6" t="str">
        <f t="shared" si="100"/>
        <v/>
      </c>
      <c r="G823" s="7" t="str">
        <f t="shared" si="101"/>
        <v/>
      </c>
      <c r="H823" s="7" t="str">
        <f t="shared" si="102"/>
        <v/>
      </c>
      <c r="I823" s="8" t="str">
        <f t="shared" si="103"/>
        <v/>
      </c>
      <c r="L823" t="str">
        <f>IFERROR(MATCH($C$5&amp;"|"&amp;RIGHT("000000"&amp;807,6),LdgRankKeyA,0),"")</f>
        <v/>
      </c>
      <c r="M823" t="str">
        <f>IFERROR(MATCH($C$5&amp;"|"&amp;RIGHT("000000"&amp;807,6),LdgRankKeyB,0),"")</f>
        <v/>
      </c>
    </row>
    <row r="824" spans="1:13" x14ac:dyDescent="0.2">
      <c r="A824" s="9">
        <v>808</v>
      </c>
      <c r="B824" s="10" t="str">
        <f t="shared" si="96"/>
        <v/>
      </c>
      <c r="C824" s="10" t="str">
        <f t="shared" si="97"/>
        <v/>
      </c>
      <c r="D824" s="10" t="str">
        <f t="shared" si="98"/>
        <v/>
      </c>
      <c r="E824" s="11" t="str">
        <f t="shared" si="99"/>
        <v/>
      </c>
      <c r="F824" s="12" t="str">
        <f t="shared" si="100"/>
        <v/>
      </c>
      <c r="G824" s="13" t="str">
        <f t="shared" si="101"/>
        <v/>
      </c>
      <c r="H824" s="13" t="str">
        <f t="shared" si="102"/>
        <v/>
      </c>
      <c r="I824" s="14" t="str">
        <f t="shared" si="103"/>
        <v/>
      </c>
      <c r="L824" t="str">
        <f>IFERROR(MATCH($C$5&amp;"|"&amp;RIGHT("000000"&amp;808,6),LdgRankKeyA,0),"")</f>
        <v/>
      </c>
      <c r="M824" t="str">
        <f>IFERROR(MATCH($C$5&amp;"|"&amp;RIGHT("000000"&amp;808,6),LdgRankKeyB,0),"")</f>
        <v/>
      </c>
    </row>
    <row r="825" spans="1:13" x14ac:dyDescent="0.2">
      <c r="A825" s="3">
        <v>809</v>
      </c>
      <c r="B825" s="4" t="str">
        <f t="shared" si="96"/>
        <v/>
      </c>
      <c r="C825" s="4" t="str">
        <f t="shared" si="97"/>
        <v/>
      </c>
      <c r="D825" s="4" t="str">
        <f t="shared" si="98"/>
        <v/>
      </c>
      <c r="E825" s="5" t="str">
        <f t="shared" si="99"/>
        <v/>
      </c>
      <c r="F825" s="6" t="str">
        <f t="shared" si="100"/>
        <v/>
      </c>
      <c r="G825" s="7" t="str">
        <f t="shared" si="101"/>
        <v/>
      </c>
      <c r="H825" s="7" t="str">
        <f t="shared" si="102"/>
        <v/>
      </c>
      <c r="I825" s="8" t="str">
        <f t="shared" si="103"/>
        <v/>
      </c>
      <c r="L825" t="str">
        <f>IFERROR(MATCH($C$5&amp;"|"&amp;RIGHT("000000"&amp;809,6),LdgRankKeyA,0),"")</f>
        <v/>
      </c>
      <c r="M825" t="str">
        <f>IFERROR(MATCH($C$5&amp;"|"&amp;RIGHT("000000"&amp;809,6),LdgRankKeyB,0),"")</f>
        <v/>
      </c>
    </row>
    <row r="826" spans="1:13" x14ac:dyDescent="0.2">
      <c r="A826" s="9">
        <v>810</v>
      </c>
      <c r="B826" s="10" t="str">
        <f t="shared" si="96"/>
        <v/>
      </c>
      <c r="C826" s="10" t="str">
        <f t="shared" si="97"/>
        <v/>
      </c>
      <c r="D826" s="10" t="str">
        <f t="shared" si="98"/>
        <v/>
      </c>
      <c r="E826" s="11" t="str">
        <f t="shared" si="99"/>
        <v/>
      </c>
      <c r="F826" s="12" t="str">
        <f t="shared" si="100"/>
        <v/>
      </c>
      <c r="G826" s="13" t="str">
        <f t="shared" si="101"/>
        <v/>
      </c>
      <c r="H826" s="13" t="str">
        <f t="shared" si="102"/>
        <v/>
      </c>
      <c r="I826" s="14" t="str">
        <f t="shared" si="103"/>
        <v/>
      </c>
      <c r="L826" t="str">
        <f>IFERROR(MATCH($C$5&amp;"|"&amp;RIGHT("000000"&amp;810,6),LdgRankKeyA,0),"")</f>
        <v/>
      </c>
      <c r="M826" t="str">
        <f>IFERROR(MATCH($C$5&amp;"|"&amp;RIGHT("000000"&amp;810,6),LdgRankKeyB,0),"")</f>
        <v/>
      </c>
    </row>
    <row r="827" spans="1:13" x14ac:dyDescent="0.2">
      <c r="A827" s="3">
        <v>811</v>
      </c>
      <c r="B827" s="4" t="str">
        <f t="shared" si="96"/>
        <v/>
      </c>
      <c r="C827" s="4" t="str">
        <f t="shared" si="97"/>
        <v/>
      </c>
      <c r="D827" s="4" t="str">
        <f t="shared" si="98"/>
        <v/>
      </c>
      <c r="E827" s="5" t="str">
        <f t="shared" si="99"/>
        <v/>
      </c>
      <c r="F827" s="6" t="str">
        <f t="shared" si="100"/>
        <v/>
      </c>
      <c r="G827" s="7" t="str">
        <f t="shared" si="101"/>
        <v/>
      </c>
      <c r="H827" s="7" t="str">
        <f t="shared" si="102"/>
        <v/>
      </c>
      <c r="I827" s="8" t="str">
        <f t="shared" si="103"/>
        <v/>
      </c>
      <c r="L827" t="str">
        <f>IFERROR(MATCH($C$5&amp;"|"&amp;RIGHT("000000"&amp;811,6),LdgRankKeyA,0),"")</f>
        <v/>
      </c>
      <c r="M827" t="str">
        <f>IFERROR(MATCH($C$5&amp;"|"&amp;RIGHT("000000"&amp;811,6),LdgRankKeyB,0),"")</f>
        <v/>
      </c>
    </row>
    <row r="828" spans="1:13" x14ac:dyDescent="0.2">
      <c r="A828" s="9">
        <v>812</v>
      </c>
      <c r="B828" s="10" t="str">
        <f t="shared" si="96"/>
        <v/>
      </c>
      <c r="C828" s="10" t="str">
        <f t="shared" si="97"/>
        <v/>
      </c>
      <c r="D828" s="10" t="str">
        <f t="shared" si="98"/>
        <v/>
      </c>
      <c r="E828" s="11" t="str">
        <f t="shared" si="99"/>
        <v/>
      </c>
      <c r="F828" s="12" t="str">
        <f t="shared" si="100"/>
        <v/>
      </c>
      <c r="G828" s="13" t="str">
        <f t="shared" si="101"/>
        <v/>
      </c>
      <c r="H828" s="13" t="str">
        <f t="shared" si="102"/>
        <v/>
      </c>
      <c r="I828" s="14" t="str">
        <f t="shared" si="103"/>
        <v/>
      </c>
      <c r="L828" t="str">
        <f>IFERROR(MATCH($C$5&amp;"|"&amp;RIGHT("000000"&amp;812,6),LdgRankKeyA,0),"")</f>
        <v/>
      </c>
      <c r="M828" t="str">
        <f>IFERROR(MATCH($C$5&amp;"|"&amp;RIGHT("000000"&amp;812,6),LdgRankKeyB,0),"")</f>
        <v/>
      </c>
    </row>
    <row r="829" spans="1:13" x14ac:dyDescent="0.2">
      <c r="A829" s="3">
        <v>813</v>
      </c>
      <c r="B829" s="4" t="str">
        <f t="shared" si="96"/>
        <v/>
      </c>
      <c r="C829" s="4" t="str">
        <f t="shared" si="97"/>
        <v/>
      </c>
      <c r="D829" s="4" t="str">
        <f t="shared" si="98"/>
        <v/>
      </c>
      <c r="E829" s="5" t="str">
        <f t="shared" si="99"/>
        <v/>
      </c>
      <c r="F829" s="6" t="str">
        <f t="shared" si="100"/>
        <v/>
      </c>
      <c r="G829" s="7" t="str">
        <f t="shared" si="101"/>
        <v/>
      </c>
      <c r="H829" s="7" t="str">
        <f t="shared" si="102"/>
        <v/>
      </c>
      <c r="I829" s="8" t="str">
        <f t="shared" si="103"/>
        <v/>
      </c>
      <c r="L829" t="str">
        <f>IFERROR(MATCH($C$5&amp;"|"&amp;RIGHT("000000"&amp;813,6),LdgRankKeyA,0),"")</f>
        <v/>
      </c>
      <c r="M829" t="str">
        <f>IFERROR(MATCH($C$5&amp;"|"&amp;RIGHT("000000"&amp;813,6),LdgRankKeyB,0),"")</f>
        <v/>
      </c>
    </row>
    <row r="830" spans="1:13" x14ac:dyDescent="0.2">
      <c r="A830" s="9">
        <v>814</v>
      </c>
      <c r="B830" s="10" t="str">
        <f t="shared" si="96"/>
        <v/>
      </c>
      <c r="C830" s="10" t="str">
        <f t="shared" si="97"/>
        <v/>
      </c>
      <c r="D830" s="10" t="str">
        <f t="shared" si="98"/>
        <v/>
      </c>
      <c r="E830" s="11" t="str">
        <f t="shared" si="99"/>
        <v/>
      </c>
      <c r="F830" s="12" t="str">
        <f t="shared" si="100"/>
        <v/>
      </c>
      <c r="G830" s="13" t="str">
        <f t="shared" si="101"/>
        <v/>
      </c>
      <c r="H830" s="13" t="str">
        <f t="shared" si="102"/>
        <v/>
      </c>
      <c r="I830" s="14" t="str">
        <f t="shared" si="103"/>
        <v/>
      </c>
      <c r="L830" t="str">
        <f>IFERROR(MATCH($C$5&amp;"|"&amp;RIGHT("000000"&amp;814,6),LdgRankKeyA,0),"")</f>
        <v/>
      </c>
      <c r="M830" t="str">
        <f>IFERROR(MATCH($C$5&amp;"|"&amp;RIGHT("000000"&amp;814,6),LdgRankKeyB,0),"")</f>
        <v/>
      </c>
    </row>
    <row r="831" spans="1:13" x14ac:dyDescent="0.2">
      <c r="A831" s="3">
        <v>815</v>
      </c>
      <c r="B831" s="4" t="str">
        <f t="shared" si="96"/>
        <v/>
      </c>
      <c r="C831" s="4" t="str">
        <f t="shared" si="97"/>
        <v/>
      </c>
      <c r="D831" s="4" t="str">
        <f t="shared" si="98"/>
        <v/>
      </c>
      <c r="E831" s="5" t="str">
        <f t="shared" si="99"/>
        <v/>
      </c>
      <c r="F831" s="6" t="str">
        <f t="shared" si="100"/>
        <v/>
      </c>
      <c r="G831" s="7" t="str">
        <f t="shared" si="101"/>
        <v/>
      </c>
      <c r="H831" s="7" t="str">
        <f t="shared" si="102"/>
        <v/>
      </c>
      <c r="I831" s="8" t="str">
        <f t="shared" si="103"/>
        <v/>
      </c>
      <c r="L831" t="str">
        <f>IFERROR(MATCH($C$5&amp;"|"&amp;RIGHT("000000"&amp;815,6),LdgRankKeyA,0),"")</f>
        <v/>
      </c>
      <c r="M831" t="str">
        <f>IFERROR(MATCH($C$5&amp;"|"&amp;RIGHT("000000"&amp;815,6),LdgRankKeyB,0),"")</f>
        <v/>
      </c>
    </row>
    <row r="832" spans="1:13" x14ac:dyDescent="0.2">
      <c r="A832" s="9">
        <v>816</v>
      </c>
      <c r="B832" s="10" t="str">
        <f t="shared" si="96"/>
        <v/>
      </c>
      <c r="C832" s="10" t="str">
        <f t="shared" si="97"/>
        <v/>
      </c>
      <c r="D832" s="10" t="str">
        <f t="shared" si="98"/>
        <v/>
      </c>
      <c r="E832" s="11" t="str">
        <f t="shared" si="99"/>
        <v/>
      </c>
      <c r="F832" s="12" t="str">
        <f t="shared" si="100"/>
        <v/>
      </c>
      <c r="G832" s="13" t="str">
        <f t="shared" si="101"/>
        <v/>
      </c>
      <c r="H832" s="13" t="str">
        <f t="shared" si="102"/>
        <v/>
      </c>
      <c r="I832" s="14" t="str">
        <f t="shared" si="103"/>
        <v/>
      </c>
      <c r="L832" t="str">
        <f>IFERROR(MATCH($C$5&amp;"|"&amp;RIGHT("000000"&amp;816,6),LdgRankKeyA,0),"")</f>
        <v/>
      </c>
      <c r="M832" t="str">
        <f>IFERROR(MATCH($C$5&amp;"|"&amp;RIGHT("000000"&amp;816,6),LdgRankKeyB,0),"")</f>
        <v/>
      </c>
    </row>
    <row r="833" spans="1:13" x14ac:dyDescent="0.2">
      <c r="A833" s="3">
        <v>817</v>
      </c>
      <c r="B833" s="4" t="str">
        <f t="shared" si="96"/>
        <v/>
      </c>
      <c r="C833" s="4" t="str">
        <f t="shared" si="97"/>
        <v/>
      </c>
      <c r="D833" s="4" t="str">
        <f t="shared" si="98"/>
        <v/>
      </c>
      <c r="E833" s="5" t="str">
        <f t="shared" si="99"/>
        <v/>
      </c>
      <c r="F833" s="6" t="str">
        <f t="shared" si="100"/>
        <v/>
      </c>
      <c r="G833" s="7" t="str">
        <f t="shared" si="101"/>
        <v/>
      </c>
      <c r="H833" s="7" t="str">
        <f t="shared" si="102"/>
        <v/>
      </c>
      <c r="I833" s="8" t="str">
        <f t="shared" si="103"/>
        <v/>
      </c>
      <c r="L833" t="str">
        <f>IFERROR(MATCH($C$5&amp;"|"&amp;RIGHT("000000"&amp;817,6),LdgRankKeyA,0),"")</f>
        <v/>
      </c>
      <c r="M833" t="str">
        <f>IFERROR(MATCH($C$5&amp;"|"&amp;RIGHT("000000"&amp;817,6),LdgRankKeyB,0),"")</f>
        <v/>
      </c>
    </row>
    <row r="834" spans="1:13" x14ac:dyDescent="0.2">
      <c r="A834" s="9">
        <v>818</v>
      </c>
      <c r="B834" s="10" t="str">
        <f t="shared" si="96"/>
        <v/>
      </c>
      <c r="C834" s="10" t="str">
        <f t="shared" si="97"/>
        <v/>
      </c>
      <c r="D834" s="10" t="str">
        <f t="shared" si="98"/>
        <v/>
      </c>
      <c r="E834" s="11" t="str">
        <f t="shared" si="99"/>
        <v/>
      </c>
      <c r="F834" s="12" t="str">
        <f t="shared" si="100"/>
        <v/>
      </c>
      <c r="G834" s="13" t="str">
        <f t="shared" si="101"/>
        <v/>
      </c>
      <c r="H834" s="13" t="str">
        <f t="shared" si="102"/>
        <v/>
      </c>
      <c r="I834" s="14" t="str">
        <f t="shared" si="103"/>
        <v/>
      </c>
      <c r="L834" t="str">
        <f>IFERROR(MATCH($C$5&amp;"|"&amp;RIGHT("000000"&amp;818,6),LdgRankKeyA,0),"")</f>
        <v/>
      </c>
      <c r="M834" t="str">
        <f>IFERROR(MATCH($C$5&amp;"|"&amp;RIGHT("000000"&amp;818,6),LdgRankKeyB,0),"")</f>
        <v/>
      </c>
    </row>
    <row r="835" spans="1:13" x14ac:dyDescent="0.2">
      <c r="A835" s="3">
        <v>819</v>
      </c>
      <c r="B835" s="4" t="str">
        <f t="shared" si="96"/>
        <v/>
      </c>
      <c r="C835" s="4" t="str">
        <f t="shared" si="97"/>
        <v/>
      </c>
      <c r="D835" s="4" t="str">
        <f t="shared" si="98"/>
        <v/>
      </c>
      <c r="E835" s="5" t="str">
        <f t="shared" si="99"/>
        <v/>
      </c>
      <c r="F835" s="6" t="str">
        <f t="shared" si="100"/>
        <v/>
      </c>
      <c r="G835" s="7" t="str">
        <f t="shared" si="101"/>
        <v/>
      </c>
      <c r="H835" s="7" t="str">
        <f t="shared" si="102"/>
        <v/>
      </c>
      <c r="I835" s="8" t="str">
        <f t="shared" si="103"/>
        <v/>
      </c>
      <c r="L835" t="str">
        <f>IFERROR(MATCH($C$5&amp;"|"&amp;RIGHT("000000"&amp;819,6),LdgRankKeyA,0),"")</f>
        <v/>
      </c>
      <c r="M835" t="str">
        <f>IFERROR(MATCH($C$5&amp;"|"&amp;RIGHT("000000"&amp;819,6),LdgRankKeyB,0),"")</f>
        <v/>
      </c>
    </row>
    <row r="836" spans="1:13" x14ac:dyDescent="0.2">
      <c r="A836" s="9">
        <v>820</v>
      </c>
      <c r="B836" s="10" t="str">
        <f t="shared" si="96"/>
        <v/>
      </c>
      <c r="C836" s="10" t="str">
        <f t="shared" si="97"/>
        <v/>
      </c>
      <c r="D836" s="10" t="str">
        <f t="shared" si="98"/>
        <v/>
      </c>
      <c r="E836" s="11" t="str">
        <f t="shared" si="99"/>
        <v/>
      </c>
      <c r="F836" s="12" t="str">
        <f t="shared" si="100"/>
        <v/>
      </c>
      <c r="G836" s="13" t="str">
        <f t="shared" si="101"/>
        <v/>
      </c>
      <c r="H836" s="13" t="str">
        <f t="shared" si="102"/>
        <v/>
      </c>
      <c r="I836" s="14" t="str">
        <f t="shared" si="103"/>
        <v/>
      </c>
      <c r="L836" t="str">
        <f>IFERROR(MATCH($C$5&amp;"|"&amp;RIGHT("000000"&amp;820,6),LdgRankKeyA,0),"")</f>
        <v/>
      </c>
      <c r="M836" t="str">
        <f>IFERROR(MATCH($C$5&amp;"|"&amp;RIGHT("000000"&amp;820,6),LdgRankKeyB,0),"")</f>
        <v/>
      </c>
    </row>
    <row r="837" spans="1:13" x14ac:dyDescent="0.2">
      <c r="A837" s="3">
        <v>821</v>
      </c>
      <c r="B837" s="4" t="str">
        <f t="shared" si="96"/>
        <v/>
      </c>
      <c r="C837" s="4" t="str">
        <f t="shared" si="97"/>
        <v/>
      </c>
      <c r="D837" s="4" t="str">
        <f t="shared" si="98"/>
        <v/>
      </c>
      <c r="E837" s="5" t="str">
        <f t="shared" si="99"/>
        <v/>
      </c>
      <c r="F837" s="6" t="str">
        <f t="shared" si="100"/>
        <v/>
      </c>
      <c r="G837" s="7" t="str">
        <f t="shared" si="101"/>
        <v/>
      </c>
      <c r="H837" s="7" t="str">
        <f t="shared" si="102"/>
        <v/>
      </c>
      <c r="I837" s="8" t="str">
        <f t="shared" si="103"/>
        <v/>
      </c>
      <c r="L837" t="str">
        <f>IFERROR(MATCH($C$5&amp;"|"&amp;RIGHT("000000"&amp;821,6),LdgRankKeyA,0),"")</f>
        <v/>
      </c>
      <c r="M837" t="str">
        <f>IFERROR(MATCH($C$5&amp;"|"&amp;RIGHT("000000"&amp;821,6),LdgRankKeyB,0),"")</f>
        <v/>
      </c>
    </row>
    <row r="838" spans="1:13" x14ac:dyDescent="0.2">
      <c r="A838" s="9">
        <v>822</v>
      </c>
      <c r="B838" s="10" t="str">
        <f t="shared" si="96"/>
        <v/>
      </c>
      <c r="C838" s="10" t="str">
        <f t="shared" si="97"/>
        <v/>
      </c>
      <c r="D838" s="10" t="str">
        <f t="shared" si="98"/>
        <v/>
      </c>
      <c r="E838" s="11" t="str">
        <f t="shared" si="99"/>
        <v/>
      </c>
      <c r="F838" s="12" t="str">
        <f t="shared" si="100"/>
        <v/>
      </c>
      <c r="G838" s="13" t="str">
        <f t="shared" si="101"/>
        <v/>
      </c>
      <c r="H838" s="13" t="str">
        <f t="shared" si="102"/>
        <v/>
      </c>
      <c r="I838" s="14" t="str">
        <f t="shared" si="103"/>
        <v/>
      </c>
      <c r="L838" t="str">
        <f>IFERROR(MATCH($C$5&amp;"|"&amp;RIGHT("000000"&amp;822,6),LdgRankKeyA,0),"")</f>
        <v/>
      </c>
      <c r="M838" t="str">
        <f>IFERROR(MATCH($C$5&amp;"|"&amp;RIGHT("000000"&amp;822,6),LdgRankKeyB,0),"")</f>
        <v/>
      </c>
    </row>
    <row r="839" spans="1:13" x14ac:dyDescent="0.2">
      <c r="A839" s="3">
        <v>823</v>
      </c>
      <c r="B839" s="4" t="str">
        <f t="shared" si="96"/>
        <v/>
      </c>
      <c r="C839" s="4" t="str">
        <f t="shared" si="97"/>
        <v/>
      </c>
      <c r="D839" s="4" t="str">
        <f t="shared" si="98"/>
        <v/>
      </c>
      <c r="E839" s="5" t="str">
        <f t="shared" si="99"/>
        <v/>
      </c>
      <c r="F839" s="6" t="str">
        <f t="shared" si="100"/>
        <v/>
      </c>
      <c r="G839" s="7" t="str">
        <f t="shared" si="101"/>
        <v/>
      </c>
      <c r="H839" s="7" t="str">
        <f t="shared" si="102"/>
        <v/>
      </c>
      <c r="I839" s="8" t="str">
        <f t="shared" si="103"/>
        <v/>
      </c>
      <c r="L839" t="str">
        <f>IFERROR(MATCH($C$5&amp;"|"&amp;RIGHT("000000"&amp;823,6),LdgRankKeyA,0),"")</f>
        <v/>
      </c>
      <c r="M839" t="str">
        <f>IFERROR(MATCH($C$5&amp;"|"&amp;RIGHT("000000"&amp;823,6),LdgRankKeyB,0),"")</f>
        <v/>
      </c>
    </row>
    <row r="840" spans="1:13" x14ac:dyDescent="0.2">
      <c r="A840" s="9">
        <v>824</v>
      </c>
      <c r="B840" s="10" t="str">
        <f t="shared" si="96"/>
        <v/>
      </c>
      <c r="C840" s="10" t="str">
        <f t="shared" si="97"/>
        <v/>
      </c>
      <c r="D840" s="10" t="str">
        <f t="shared" si="98"/>
        <v/>
      </c>
      <c r="E840" s="11" t="str">
        <f t="shared" si="99"/>
        <v/>
      </c>
      <c r="F840" s="12" t="str">
        <f t="shared" si="100"/>
        <v/>
      </c>
      <c r="G840" s="13" t="str">
        <f t="shared" si="101"/>
        <v/>
      </c>
      <c r="H840" s="13" t="str">
        <f t="shared" si="102"/>
        <v/>
      </c>
      <c r="I840" s="14" t="str">
        <f t="shared" si="103"/>
        <v/>
      </c>
      <c r="L840" t="str">
        <f>IFERROR(MATCH($C$5&amp;"|"&amp;RIGHT("000000"&amp;824,6),LdgRankKeyA,0),"")</f>
        <v/>
      </c>
      <c r="M840" t="str">
        <f>IFERROR(MATCH($C$5&amp;"|"&amp;RIGHT("000000"&amp;824,6),LdgRankKeyB,0),"")</f>
        <v/>
      </c>
    </row>
    <row r="841" spans="1:13" x14ac:dyDescent="0.2">
      <c r="A841" s="3">
        <v>825</v>
      </c>
      <c r="B841" s="4" t="str">
        <f t="shared" si="96"/>
        <v/>
      </c>
      <c r="C841" s="4" t="str">
        <f t="shared" si="97"/>
        <v/>
      </c>
      <c r="D841" s="4" t="str">
        <f t="shared" si="98"/>
        <v/>
      </c>
      <c r="E841" s="5" t="str">
        <f t="shared" si="99"/>
        <v/>
      </c>
      <c r="F841" s="6" t="str">
        <f t="shared" si="100"/>
        <v/>
      </c>
      <c r="G841" s="7" t="str">
        <f t="shared" si="101"/>
        <v/>
      </c>
      <c r="H841" s="7" t="str">
        <f t="shared" si="102"/>
        <v/>
      </c>
      <c r="I841" s="8" t="str">
        <f t="shared" si="103"/>
        <v/>
      </c>
      <c r="L841" t="str">
        <f>IFERROR(MATCH($C$5&amp;"|"&amp;RIGHT("000000"&amp;825,6),LdgRankKeyA,0),"")</f>
        <v/>
      </c>
      <c r="M841" t="str">
        <f>IFERROR(MATCH($C$5&amp;"|"&amp;RIGHT("000000"&amp;825,6),LdgRankKeyB,0),"")</f>
        <v/>
      </c>
    </row>
    <row r="842" spans="1:13" x14ac:dyDescent="0.2">
      <c r="A842" s="9">
        <v>826</v>
      </c>
      <c r="B842" s="10" t="str">
        <f t="shared" si="96"/>
        <v/>
      </c>
      <c r="C842" s="10" t="str">
        <f t="shared" si="97"/>
        <v/>
      </c>
      <c r="D842" s="10" t="str">
        <f t="shared" si="98"/>
        <v/>
      </c>
      <c r="E842" s="11" t="str">
        <f t="shared" si="99"/>
        <v/>
      </c>
      <c r="F842" s="12" t="str">
        <f t="shared" si="100"/>
        <v/>
      </c>
      <c r="G842" s="13" t="str">
        <f t="shared" si="101"/>
        <v/>
      </c>
      <c r="H842" s="13" t="str">
        <f t="shared" si="102"/>
        <v/>
      </c>
      <c r="I842" s="14" t="str">
        <f t="shared" si="103"/>
        <v/>
      </c>
      <c r="L842" t="str">
        <f>IFERROR(MATCH($C$5&amp;"|"&amp;RIGHT("000000"&amp;826,6),LdgRankKeyA,0),"")</f>
        <v/>
      </c>
      <c r="M842" t="str">
        <f>IFERROR(MATCH($C$5&amp;"|"&amp;RIGHT("000000"&amp;826,6),LdgRankKeyB,0),"")</f>
        <v/>
      </c>
    </row>
    <row r="843" spans="1:13" x14ac:dyDescent="0.2">
      <c r="A843" s="3">
        <v>827</v>
      </c>
      <c r="B843" s="4" t="str">
        <f t="shared" si="96"/>
        <v/>
      </c>
      <c r="C843" s="4" t="str">
        <f t="shared" si="97"/>
        <v/>
      </c>
      <c r="D843" s="4" t="str">
        <f t="shared" si="98"/>
        <v/>
      </c>
      <c r="E843" s="5" t="str">
        <f t="shared" si="99"/>
        <v/>
      </c>
      <c r="F843" s="6" t="str">
        <f t="shared" si="100"/>
        <v/>
      </c>
      <c r="G843" s="7" t="str">
        <f t="shared" si="101"/>
        <v/>
      </c>
      <c r="H843" s="7" t="str">
        <f t="shared" si="102"/>
        <v/>
      </c>
      <c r="I843" s="8" t="str">
        <f t="shared" si="103"/>
        <v/>
      </c>
      <c r="L843" t="str">
        <f>IFERROR(MATCH($C$5&amp;"|"&amp;RIGHT("000000"&amp;827,6),LdgRankKeyA,0),"")</f>
        <v/>
      </c>
      <c r="M843" t="str">
        <f>IFERROR(MATCH($C$5&amp;"|"&amp;RIGHT("000000"&amp;827,6),LdgRankKeyB,0),"")</f>
        <v/>
      </c>
    </row>
    <row r="844" spans="1:13" x14ac:dyDescent="0.2">
      <c r="A844" s="9">
        <v>828</v>
      </c>
      <c r="B844" s="10" t="str">
        <f t="shared" si="96"/>
        <v/>
      </c>
      <c r="C844" s="10" t="str">
        <f t="shared" si="97"/>
        <v/>
      </c>
      <c r="D844" s="10" t="str">
        <f t="shared" si="98"/>
        <v/>
      </c>
      <c r="E844" s="11" t="str">
        <f t="shared" si="99"/>
        <v/>
      </c>
      <c r="F844" s="12" t="str">
        <f t="shared" si="100"/>
        <v/>
      </c>
      <c r="G844" s="13" t="str">
        <f t="shared" si="101"/>
        <v/>
      </c>
      <c r="H844" s="13" t="str">
        <f t="shared" si="102"/>
        <v/>
      </c>
      <c r="I844" s="14" t="str">
        <f t="shared" si="103"/>
        <v/>
      </c>
      <c r="L844" t="str">
        <f>IFERROR(MATCH($C$5&amp;"|"&amp;RIGHT("000000"&amp;828,6),LdgRankKeyA,0),"")</f>
        <v/>
      </c>
      <c r="M844" t="str">
        <f>IFERROR(MATCH($C$5&amp;"|"&amp;RIGHT("000000"&amp;828,6),LdgRankKeyB,0),"")</f>
        <v/>
      </c>
    </row>
    <row r="845" spans="1:13" x14ac:dyDescent="0.2">
      <c r="A845" s="3">
        <v>829</v>
      </c>
      <c r="B845" s="4" t="str">
        <f t="shared" si="96"/>
        <v/>
      </c>
      <c r="C845" s="4" t="str">
        <f t="shared" si="97"/>
        <v/>
      </c>
      <c r="D845" s="4" t="str">
        <f t="shared" si="98"/>
        <v/>
      </c>
      <c r="E845" s="5" t="str">
        <f t="shared" si="99"/>
        <v/>
      </c>
      <c r="F845" s="6" t="str">
        <f t="shared" si="100"/>
        <v/>
      </c>
      <c r="G845" s="7" t="str">
        <f t="shared" si="101"/>
        <v/>
      </c>
      <c r="H845" s="7" t="str">
        <f t="shared" si="102"/>
        <v/>
      </c>
      <c r="I845" s="8" t="str">
        <f t="shared" si="103"/>
        <v/>
      </c>
      <c r="L845" t="str">
        <f>IFERROR(MATCH($C$5&amp;"|"&amp;RIGHT("000000"&amp;829,6),LdgRankKeyA,0),"")</f>
        <v/>
      </c>
      <c r="M845" t="str">
        <f>IFERROR(MATCH($C$5&amp;"|"&amp;RIGHT("000000"&amp;829,6),LdgRankKeyB,0),"")</f>
        <v/>
      </c>
    </row>
    <row r="846" spans="1:13" x14ac:dyDescent="0.2">
      <c r="A846" s="9">
        <v>830</v>
      </c>
      <c r="B846" s="10" t="str">
        <f t="shared" si="96"/>
        <v/>
      </c>
      <c r="C846" s="10" t="str">
        <f t="shared" si="97"/>
        <v/>
      </c>
      <c r="D846" s="10" t="str">
        <f t="shared" si="98"/>
        <v/>
      </c>
      <c r="E846" s="11" t="str">
        <f t="shared" si="99"/>
        <v/>
      </c>
      <c r="F846" s="12" t="str">
        <f t="shared" si="100"/>
        <v/>
      </c>
      <c r="G846" s="13" t="str">
        <f t="shared" si="101"/>
        <v/>
      </c>
      <c r="H846" s="13" t="str">
        <f t="shared" si="102"/>
        <v/>
      </c>
      <c r="I846" s="14" t="str">
        <f t="shared" si="103"/>
        <v/>
      </c>
      <c r="L846" t="str">
        <f>IFERROR(MATCH($C$5&amp;"|"&amp;RIGHT("000000"&amp;830,6),LdgRankKeyA,0),"")</f>
        <v/>
      </c>
      <c r="M846" t="str">
        <f>IFERROR(MATCH($C$5&amp;"|"&amp;RIGHT("000000"&amp;830,6),LdgRankKeyB,0),"")</f>
        <v/>
      </c>
    </row>
    <row r="847" spans="1:13" x14ac:dyDescent="0.2">
      <c r="A847" s="3">
        <v>831</v>
      </c>
      <c r="B847" s="4" t="str">
        <f t="shared" si="96"/>
        <v/>
      </c>
      <c r="C847" s="4" t="str">
        <f t="shared" si="97"/>
        <v/>
      </c>
      <c r="D847" s="4" t="str">
        <f t="shared" si="98"/>
        <v/>
      </c>
      <c r="E847" s="5" t="str">
        <f t="shared" si="99"/>
        <v/>
      </c>
      <c r="F847" s="6" t="str">
        <f t="shared" si="100"/>
        <v/>
      </c>
      <c r="G847" s="7" t="str">
        <f t="shared" si="101"/>
        <v/>
      </c>
      <c r="H847" s="7" t="str">
        <f t="shared" si="102"/>
        <v/>
      </c>
      <c r="I847" s="8" t="str">
        <f t="shared" si="103"/>
        <v/>
      </c>
      <c r="L847" t="str">
        <f>IFERROR(MATCH($C$5&amp;"|"&amp;RIGHT("000000"&amp;831,6),LdgRankKeyA,0),"")</f>
        <v/>
      </c>
      <c r="M847" t="str">
        <f>IFERROR(MATCH($C$5&amp;"|"&amp;RIGHT("000000"&amp;831,6),LdgRankKeyB,0),"")</f>
        <v/>
      </c>
    </row>
    <row r="848" spans="1:13" x14ac:dyDescent="0.2">
      <c r="A848" s="9">
        <v>832</v>
      </c>
      <c r="B848" s="10" t="str">
        <f t="shared" si="96"/>
        <v/>
      </c>
      <c r="C848" s="10" t="str">
        <f t="shared" si="97"/>
        <v/>
      </c>
      <c r="D848" s="10" t="str">
        <f t="shared" si="98"/>
        <v/>
      </c>
      <c r="E848" s="11" t="str">
        <f t="shared" si="99"/>
        <v/>
      </c>
      <c r="F848" s="12" t="str">
        <f t="shared" si="100"/>
        <v/>
      </c>
      <c r="G848" s="13" t="str">
        <f t="shared" si="101"/>
        <v/>
      </c>
      <c r="H848" s="13" t="str">
        <f t="shared" si="102"/>
        <v/>
      </c>
      <c r="I848" s="14" t="str">
        <f t="shared" si="103"/>
        <v/>
      </c>
      <c r="L848" t="str">
        <f>IFERROR(MATCH($C$5&amp;"|"&amp;RIGHT("000000"&amp;832,6),LdgRankKeyA,0),"")</f>
        <v/>
      </c>
      <c r="M848" t="str">
        <f>IFERROR(MATCH($C$5&amp;"|"&amp;RIGHT("000000"&amp;832,6),LdgRankKeyB,0),"")</f>
        <v/>
      </c>
    </row>
    <row r="849" spans="1:13" x14ac:dyDescent="0.2">
      <c r="A849" s="3">
        <v>833</v>
      </c>
      <c r="B849" s="4" t="str">
        <f t="shared" ref="B849:B912" si="104">IF(AND($L849="",$M849=""),"",IF($L849&lt;&gt;"",INDEX(SCNormDate,$L849),INDEX(LdgDateB,$M849)))</f>
        <v/>
      </c>
      <c r="C849" s="4" t="str">
        <f t="shared" ref="C849:C912" si="105">IF($L849&lt;&gt;"",INDEX(SCOp,$L849),IF($M849&lt;&gt;"","پرداخت بانکی",""))</f>
        <v/>
      </c>
      <c r="D849" s="4" t="str">
        <f t="shared" ref="D849:D912" si="106">IF($L849&lt;&gt;"",IF(INDEX(SCDoc,$L849)="","—",INDEX(SCDoc,$L849)),IF($M849&lt;&gt;"",INDEX(LdgBankB,$M849),""))</f>
        <v/>
      </c>
      <c r="E849" s="5" t="str">
        <f t="shared" ref="E849:E912" si="107">IF($L849&lt;&gt;"",IF(INDEX(SCCitrus,$L849)&amp;INDEX(SCNotes,$L849)="","",IF(INDEX(SCCitrus,$L849)="","",INDEX(SCCitrus,$L849))&amp;IF(INDEX(SCNotes,$L849)="",""," — "&amp;INDEX(SCNotes,$L849))),IF($M849&lt;&gt;"",IF(INDEX(LdgNoteB,$M849)="","—",INDEX(LdgNoteB,$M849)),""))</f>
        <v/>
      </c>
      <c r="F849" s="6" t="str">
        <f t="shared" ref="F849:F912" si="108">IF($L849&lt;&gt;"",IF(INDEX(SCNet,$L849)=0,"",INDEX(SCNet,$L849)),"")</f>
        <v/>
      </c>
      <c r="G849" s="7" t="str">
        <f t="shared" ref="G849:G912" si="109">IF($L849&lt;&gt;"",IF(INDEX(SCOp,$L849)="مرجوعی فروش","",IF(INDEX(SCAmount,$L849)&lt;=0,"",INDEX(SCAmount,$L849))),IF($M849&lt;&gt;"",IF(INDEX(LdgWitB,$M849)=0,"",INDEX(LdgWitB,$M849)),""))</f>
        <v/>
      </c>
      <c r="H849" s="7" t="str">
        <f t="shared" ref="H849:H912" si="110">IF($L849&lt;&gt;"",IF(INDEX(SCOp,$L849)="مرجوعی فروش",IF(INDEX(SCAmount,$L849)=0,"",-INDEX(SCAmount,$L849)),""),IF($M849&lt;&gt;"",IF(INDEX(LdgDepB,$M849)=0,"",INDEX(LdgDepB,$M849)),""))</f>
        <v/>
      </c>
      <c r="I849" s="8" t="str">
        <f t="shared" si="103"/>
        <v/>
      </c>
      <c r="L849" t="str">
        <f>IFERROR(MATCH($C$5&amp;"|"&amp;RIGHT("000000"&amp;833,6),LdgRankKeyA,0),"")</f>
        <v/>
      </c>
      <c r="M849" t="str">
        <f>IFERROR(MATCH($C$5&amp;"|"&amp;RIGHT("000000"&amp;833,6),LdgRankKeyB,0),"")</f>
        <v/>
      </c>
    </row>
    <row r="850" spans="1:13" x14ac:dyDescent="0.2">
      <c r="A850" s="9">
        <v>834</v>
      </c>
      <c r="B850" s="10" t="str">
        <f t="shared" si="104"/>
        <v/>
      </c>
      <c r="C850" s="10" t="str">
        <f t="shared" si="105"/>
        <v/>
      </c>
      <c r="D850" s="10" t="str">
        <f t="shared" si="106"/>
        <v/>
      </c>
      <c r="E850" s="11" t="str">
        <f t="shared" si="107"/>
        <v/>
      </c>
      <c r="F850" s="12" t="str">
        <f t="shared" si="108"/>
        <v/>
      </c>
      <c r="G850" s="13" t="str">
        <f t="shared" si="109"/>
        <v/>
      </c>
      <c r="H850" s="13" t="str">
        <f t="shared" si="110"/>
        <v/>
      </c>
      <c r="I850" s="14" t="str">
        <f t="shared" ref="I850:I913" si="111">IF($B850="","",IF($I849="",$C$10,$I849)+IF($G850="",0,$G850)-IF($H850="",0,$H850))</f>
        <v/>
      </c>
      <c r="L850" t="str">
        <f>IFERROR(MATCH($C$5&amp;"|"&amp;RIGHT("000000"&amp;834,6),LdgRankKeyA,0),"")</f>
        <v/>
      </c>
      <c r="M850" t="str">
        <f>IFERROR(MATCH($C$5&amp;"|"&amp;RIGHT("000000"&amp;834,6),LdgRankKeyB,0),"")</f>
        <v/>
      </c>
    </row>
    <row r="851" spans="1:13" x14ac:dyDescent="0.2">
      <c r="A851" s="3">
        <v>835</v>
      </c>
      <c r="B851" s="4" t="str">
        <f t="shared" si="104"/>
        <v/>
      </c>
      <c r="C851" s="4" t="str">
        <f t="shared" si="105"/>
        <v/>
      </c>
      <c r="D851" s="4" t="str">
        <f t="shared" si="106"/>
        <v/>
      </c>
      <c r="E851" s="5" t="str">
        <f t="shared" si="107"/>
        <v/>
      </c>
      <c r="F851" s="6" t="str">
        <f t="shared" si="108"/>
        <v/>
      </c>
      <c r="G851" s="7" t="str">
        <f t="shared" si="109"/>
        <v/>
      </c>
      <c r="H851" s="7" t="str">
        <f t="shared" si="110"/>
        <v/>
      </c>
      <c r="I851" s="8" t="str">
        <f t="shared" si="111"/>
        <v/>
      </c>
      <c r="L851" t="str">
        <f>IFERROR(MATCH($C$5&amp;"|"&amp;RIGHT("000000"&amp;835,6),LdgRankKeyA,0),"")</f>
        <v/>
      </c>
      <c r="M851" t="str">
        <f>IFERROR(MATCH($C$5&amp;"|"&amp;RIGHT("000000"&amp;835,6),LdgRankKeyB,0),"")</f>
        <v/>
      </c>
    </row>
    <row r="852" spans="1:13" x14ac:dyDescent="0.2">
      <c r="A852" s="9">
        <v>836</v>
      </c>
      <c r="B852" s="10" t="str">
        <f t="shared" si="104"/>
        <v/>
      </c>
      <c r="C852" s="10" t="str">
        <f t="shared" si="105"/>
        <v/>
      </c>
      <c r="D852" s="10" t="str">
        <f t="shared" si="106"/>
        <v/>
      </c>
      <c r="E852" s="11" t="str">
        <f t="shared" si="107"/>
        <v/>
      </c>
      <c r="F852" s="12" t="str">
        <f t="shared" si="108"/>
        <v/>
      </c>
      <c r="G852" s="13" t="str">
        <f t="shared" si="109"/>
        <v/>
      </c>
      <c r="H852" s="13" t="str">
        <f t="shared" si="110"/>
        <v/>
      </c>
      <c r="I852" s="14" t="str">
        <f t="shared" si="111"/>
        <v/>
      </c>
      <c r="L852" t="str">
        <f>IFERROR(MATCH($C$5&amp;"|"&amp;RIGHT("000000"&amp;836,6),LdgRankKeyA,0),"")</f>
        <v/>
      </c>
      <c r="M852" t="str">
        <f>IFERROR(MATCH($C$5&amp;"|"&amp;RIGHT("000000"&amp;836,6),LdgRankKeyB,0),"")</f>
        <v/>
      </c>
    </row>
    <row r="853" spans="1:13" x14ac:dyDescent="0.2">
      <c r="A853" s="3">
        <v>837</v>
      </c>
      <c r="B853" s="4" t="str">
        <f t="shared" si="104"/>
        <v/>
      </c>
      <c r="C853" s="4" t="str">
        <f t="shared" si="105"/>
        <v/>
      </c>
      <c r="D853" s="4" t="str">
        <f t="shared" si="106"/>
        <v/>
      </c>
      <c r="E853" s="5" t="str">
        <f t="shared" si="107"/>
        <v/>
      </c>
      <c r="F853" s="6" t="str">
        <f t="shared" si="108"/>
        <v/>
      </c>
      <c r="G853" s="7" t="str">
        <f t="shared" si="109"/>
        <v/>
      </c>
      <c r="H853" s="7" t="str">
        <f t="shared" si="110"/>
        <v/>
      </c>
      <c r="I853" s="8" t="str">
        <f t="shared" si="111"/>
        <v/>
      </c>
      <c r="L853" t="str">
        <f>IFERROR(MATCH($C$5&amp;"|"&amp;RIGHT("000000"&amp;837,6),LdgRankKeyA,0),"")</f>
        <v/>
      </c>
      <c r="M853" t="str">
        <f>IFERROR(MATCH($C$5&amp;"|"&amp;RIGHT("000000"&amp;837,6),LdgRankKeyB,0),"")</f>
        <v/>
      </c>
    </row>
    <row r="854" spans="1:13" x14ac:dyDescent="0.2">
      <c r="A854" s="9">
        <v>838</v>
      </c>
      <c r="B854" s="10" t="str">
        <f t="shared" si="104"/>
        <v/>
      </c>
      <c r="C854" s="10" t="str">
        <f t="shared" si="105"/>
        <v/>
      </c>
      <c r="D854" s="10" t="str">
        <f t="shared" si="106"/>
        <v/>
      </c>
      <c r="E854" s="11" t="str">
        <f t="shared" si="107"/>
        <v/>
      </c>
      <c r="F854" s="12" t="str">
        <f t="shared" si="108"/>
        <v/>
      </c>
      <c r="G854" s="13" t="str">
        <f t="shared" si="109"/>
        <v/>
      </c>
      <c r="H854" s="13" t="str">
        <f t="shared" si="110"/>
        <v/>
      </c>
      <c r="I854" s="14" t="str">
        <f t="shared" si="111"/>
        <v/>
      </c>
      <c r="L854" t="str">
        <f>IFERROR(MATCH($C$5&amp;"|"&amp;RIGHT("000000"&amp;838,6),LdgRankKeyA,0),"")</f>
        <v/>
      </c>
      <c r="M854" t="str">
        <f>IFERROR(MATCH($C$5&amp;"|"&amp;RIGHT("000000"&amp;838,6),LdgRankKeyB,0),"")</f>
        <v/>
      </c>
    </row>
    <row r="855" spans="1:13" x14ac:dyDescent="0.2">
      <c r="A855" s="3">
        <v>839</v>
      </c>
      <c r="B855" s="4" t="str">
        <f t="shared" si="104"/>
        <v/>
      </c>
      <c r="C855" s="4" t="str">
        <f t="shared" si="105"/>
        <v/>
      </c>
      <c r="D855" s="4" t="str">
        <f t="shared" si="106"/>
        <v/>
      </c>
      <c r="E855" s="5" t="str">
        <f t="shared" si="107"/>
        <v/>
      </c>
      <c r="F855" s="6" t="str">
        <f t="shared" si="108"/>
        <v/>
      </c>
      <c r="G855" s="7" t="str">
        <f t="shared" si="109"/>
        <v/>
      </c>
      <c r="H855" s="7" t="str">
        <f t="shared" si="110"/>
        <v/>
      </c>
      <c r="I855" s="8" t="str">
        <f t="shared" si="111"/>
        <v/>
      </c>
      <c r="L855" t="str">
        <f>IFERROR(MATCH($C$5&amp;"|"&amp;RIGHT("000000"&amp;839,6),LdgRankKeyA,0),"")</f>
        <v/>
      </c>
      <c r="M855" t="str">
        <f>IFERROR(MATCH($C$5&amp;"|"&amp;RIGHT("000000"&amp;839,6),LdgRankKeyB,0),"")</f>
        <v/>
      </c>
    </row>
    <row r="856" spans="1:13" x14ac:dyDescent="0.2">
      <c r="A856" s="9">
        <v>840</v>
      </c>
      <c r="B856" s="10" t="str">
        <f t="shared" si="104"/>
        <v/>
      </c>
      <c r="C856" s="10" t="str">
        <f t="shared" si="105"/>
        <v/>
      </c>
      <c r="D856" s="10" t="str">
        <f t="shared" si="106"/>
        <v/>
      </c>
      <c r="E856" s="11" t="str">
        <f t="shared" si="107"/>
        <v/>
      </c>
      <c r="F856" s="12" t="str">
        <f t="shared" si="108"/>
        <v/>
      </c>
      <c r="G856" s="13" t="str">
        <f t="shared" si="109"/>
        <v/>
      </c>
      <c r="H856" s="13" t="str">
        <f t="shared" si="110"/>
        <v/>
      </c>
      <c r="I856" s="14" t="str">
        <f t="shared" si="111"/>
        <v/>
      </c>
      <c r="L856" t="str">
        <f>IFERROR(MATCH($C$5&amp;"|"&amp;RIGHT("000000"&amp;840,6),LdgRankKeyA,0),"")</f>
        <v/>
      </c>
      <c r="M856" t="str">
        <f>IFERROR(MATCH($C$5&amp;"|"&amp;RIGHT("000000"&amp;840,6),LdgRankKeyB,0),"")</f>
        <v/>
      </c>
    </row>
    <row r="857" spans="1:13" x14ac:dyDescent="0.2">
      <c r="A857" s="3">
        <v>841</v>
      </c>
      <c r="B857" s="4" t="str">
        <f t="shared" si="104"/>
        <v/>
      </c>
      <c r="C857" s="4" t="str">
        <f t="shared" si="105"/>
        <v/>
      </c>
      <c r="D857" s="4" t="str">
        <f t="shared" si="106"/>
        <v/>
      </c>
      <c r="E857" s="5" t="str">
        <f t="shared" si="107"/>
        <v/>
      </c>
      <c r="F857" s="6" t="str">
        <f t="shared" si="108"/>
        <v/>
      </c>
      <c r="G857" s="7" t="str">
        <f t="shared" si="109"/>
        <v/>
      </c>
      <c r="H857" s="7" t="str">
        <f t="shared" si="110"/>
        <v/>
      </c>
      <c r="I857" s="8" t="str">
        <f t="shared" si="111"/>
        <v/>
      </c>
      <c r="L857" t="str">
        <f>IFERROR(MATCH($C$5&amp;"|"&amp;RIGHT("000000"&amp;841,6),LdgRankKeyA,0),"")</f>
        <v/>
      </c>
      <c r="M857" t="str">
        <f>IFERROR(MATCH($C$5&amp;"|"&amp;RIGHT("000000"&amp;841,6),LdgRankKeyB,0),"")</f>
        <v/>
      </c>
    </row>
    <row r="858" spans="1:13" x14ac:dyDescent="0.2">
      <c r="A858" s="9">
        <v>842</v>
      </c>
      <c r="B858" s="10" t="str">
        <f t="shared" si="104"/>
        <v/>
      </c>
      <c r="C858" s="10" t="str">
        <f t="shared" si="105"/>
        <v/>
      </c>
      <c r="D858" s="10" t="str">
        <f t="shared" si="106"/>
        <v/>
      </c>
      <c r="E858" s="11" t="str">
        <f t="shared" si="107"/>
        <v/>
      </c>
      <c r="F858" s="12" t="str">
        <f t="shared" si="108"/>
        <v/>
      </c>
      <c r="G858" s="13" t="str">
        <f t="shared" si="109"/>
        <v/>
      </c>
      <c r="H858" s="13" t="str">
        <f t="shared" si="110"/>
        <v/>
      </c>
      <c r="I858" s="14" t="str">
        <f t="shared" si="111"/>
        <v/>
      </c>
      <c r="L858" t="str">
        <f>IFERROR(MATCH($C$5&amp;"|"&amp;RIGHT("000000"&amp;842,6),LdgRankKeyA,0),"")</f>
        <v/>
      </c>
      <c r="M858" t="str">
        <f>IFERROR(MATCH($C$5&amp;"|"&amp;RIGHT("000000"&amp;842,6),LdgRankKeyB,0),"")</f>
        <v/>
      </c>
    </row>
    <row r="859" spans="1:13" x14ac:dyDescent="0.2">
      <c r="A859" s="3">
        <v>843</v>
      </c>
      <c r="B859" s="4" t="str">
        <f t="shared" si="104"/>
        <v/>
      </c>
      <c r="C859" s="4" t="str">
        <f t="shared" si="105"/>
        <v/>
      </c>
      <c r="D859" s="4" t="str">
        <f t="shared" si="106"/>
        <v/>
      </c>
      <c r="E859" s="5" t="str">
        <f t="shared" si="107"/>
        <v/>
      </c>
      <c r="F859" s="6" t="str">
        <f t="shared" si="108"/>
        <v/>
      </c>
      <c r="G859" s="7" t="str">
        <f t="shared" si="109"/>
        <v/>
      </c>
      <c r="H859" s="7" t="str">
        <f t="shared" si="110"/>
        <v/>
      </c>
      <c r="I859" s="8" t="str">
        <f t="shared" si="111"/>
        <v/>
      </c>
      <c r="L859" t="str">
        <f>IFERROR(MATCH($C$5&amp;"|"&amp;RIGHT("000000"&amp;843,6),LdgRankKeyA,0),"")</f>
        <v/>
      </c>
      <c r="M859" t="str">
        <f>IFERROR(MATCH($C$5&amp;"|"&amp;RIGHT("000000"&amp;843,6),LdgRankKeyB,0),"")</f>
        <v/>
      </c>
    </row>
    <row r="860" spans="1:13" x14ac:dyDescent="0.2">
      <c r="A860" s="9">
        <v>844</v>
      </c>
      <c r="B860" s="10" t="str">
        <f t="shared" si="104"/>
        <v/>
      </c>
      <c r="C860" s="10" t="str">
        <f t="shared" si="105"/>
        <v/>
      </c>
      <c r="D860" s="10" t="str">
        <f t="shared" si="106"/>
        <v/>
      </c>
      <c r="E860" s="11" t="str">
        <f t="shared" si="107"/>
        <v/>
      </c>
      <c r="F860" s="12" t="str">
        <f t="shared" si="108"/>
        <v/>
      </c>
      <c r="G860" s="13" t="str">
        <f t="shared" si="109"/>
        <v/>
      </c>
      <c r="H860" s="13" t="str">
        <f t="shared" si="110"/>
        <v/>
      </c>
      <c r="I860" s="14" t="str">
        <f t="shared" si="111"/>
        <v/>
      </c>
      <c r="L860" t="str">
        <f>IFERROR(MATCH($C$5&amp;"|"&amp;RIGHT("000000"&amp;844,6),LdgRankKeyA,0),"")</f>
        <v/>
      </c>
      <c r="M860" t="str">
        <f>IFERROR(MATCH($C$5&amp;"|"&amp;RIGHT("000000"&amp;844,6),LdgRankKeyB,0),"")</f>
        <v/>
      </c>
    </row>
    <row r="861" spans="1:13" x14ac:dyDescent="0.2">
      <c r="A861" s="3">
        <v>845</v>
      </c>
      <c r="B861" s="4" t="str">
        <f t="shared" si="104"/>
        <v/>
      </c>
      <c r="C861" s="4" t="str">
        <f t="shared" si="105"/>
        <v/>
      </c>
      <c r="D861" s="4" t="str">
        <f t="shared" si="106"/>
        <v/>
      </c>
      <c r="E861" s="5" t="str">
        <f t="shared" si="107"/>
        <v/>
      </c>
      <c r="F861" s="6" t="str">
        <f t="shared" si="108"/>
        <v/>
      </c>
      <c r="G861" s="7" t="str">
        <f t="shared" si="109"/>
        <v/>
      </c>
      <c r="H861" s="7" t="str">
        <f t="shared" si="110"/>
        <v/>
      </c>
      <c r="I861" s="8" t="str">
        <f t="shared" si="111"/>
        <v/>
      </c>
      <c r="L861" t="str">
        <f>IFERROR(MATCH($C$5&amp;"|"&amp;RIGHT("000000"&amp;845,6),LdgRankKeyA,0),"")</f>
        <v/>
      </c>
      <c r="M861" t="str">
        <f>IFERROR(MATCH($C$5&amp;"|"&amp;RIGHT("000000"&amp;845,6),LdgRankKeyB,0),"")</f>
        <v/>
      </c>
    </row>
    <row r="862" spans="1:13" x14ac:dyDescent="0.2">
      <c r="A862" s="9">
        <v>846</v>
      </c>
      <c r="B862" s="10" t="str">
        <f t="shared" si="104"/>
        <v/>
      </c>
      <c r="C862" s="10" t="str">
        <f t="shared" si="105"/>
        <v/>
      </c>
      <c r="D862" s="10" t="str">
        <f t="shared" si="106"/>
        <v/>
      </c>
      <c r="E862" s="11" t="str">
        <f t="shared" si="107"/>
        <v/>
      </c>
      <c r="F862" s="12" t="str">
        <f t="shared" si="108"/>
        <v/>
      </c>
      <c r="G862" s="13" t="str">
        <f t="shared" si="109"/>
        <v/>
      </c>
      <c r="H862" s="13" t="str">
        <f t="shared" si="110"/>
        <v/>
      </c>
      <c r="I862" s="14" t="str">
        <f t="shared" si="111"/>
        <v/>
      </c>
      <c r="L862" t="str">
        <f>IFERROR(MATCH($C$5&amp;"|"&amp;RIGHT("000000"&amp;846,6),LdgRankKeyA,0),"")</f>
        <v/>
      </c>
      <c r="M862" t="str">
        <f>IFERROR(MATCH($C$5&amp;"|"&amp;RIGHT("000000"&amp;846,6),LdgRankKeyB,0),"")</f>
        <v/>
      </c>
    </row>
    <row r="863" spans="1:13" x14ac:dyDescent="0.2">
      <c r="A863" s="3">
        <v>847</v>
      </c>
      <c r="B863" s="4" t="str">
        <f t="shared" si="104"/>
        <v/>
      </c>
      <c r="C863" s="4" t="str">
        <f t="shared" si="105"/>
        <v/>
      </c>
      <c r="D863" s="4" t="str">
        <f t="shared" si="106"/>
        <v/>
      </c>
      <c r="E863" s="5" t="str">
        <f t="shared" si="107"/>
        <v/>
      </c>
      <c r="F863" s="6" t="str">
        <f t="shared" si="108"/>
        <v/>
      </c>
      <c r="G863" s="7" t="str">
        <f t="shared" si="109"/>
        <v/>
      </c>
      <c r="H863" s="7" t="str">
        <f t="shared" si="110"/>
        <v/>
      </c>
      <c r="I863" s="8" t="str">
        <f t="shared" si="111"/>
        <v/>
      </c>
      <c r="L863" t="str">
        <f>IFERROR(MATCH($C$5&amp;"|"&amp;RIGHT("000000"&amp;847,6),LdgRankKeyA,0),"")</f>
        <v/>
      </c>
      <c r="M863" t="str">
        <f>IFERROR(MATCH($C$5&amp;"|"&amp;RIGHT("000000"&amp;847,6),LdgRankKeyB,0),"")</f>
        <v/>
      </c>
    </row>
    <row r="864" spans="1:13" x14ac:dyDescent="0.2">
      <c r="A864" s="9">
        <v>848</v>
      </c>
      <c r="B864" s="10" t="str">
        <f t="shared" si="104"/>
        <v/>
      </c>
      <c r="C864" s="10" t="str">
        <f t="shared" si="105"/>
        <v/>
      </c>
      <c r="D864" s="10" t="str">
        <f t="shared" si="106"/>
        <v/>
      </c>
      <c r="E864" s="11" t="str">
        <f t="shared" si="107"/>
        <v/>
      </c>
      <c r="F864" s="12" t="str">
        <f t="shared" si="108"/>
        <v/>
      </c>
      <c r="G864" s="13" t="str">
        <f t="shared" si="109"/>
        <v/>
      </c>
      <c r="H864" s="13" t="str">
        <f t="shared" si="110"/>
        <v/>
      </c>
      <c r="I864" s="14" t="str">
        <f t="shared" si="111"/>
        <v/>
      </c>
      <c r="L864" t="str">
        <f>IFERROR(MATCH($C$5&amp;"|"&amp;RIGHT("000000"&amp;848,6),LdgRankKeyA,0),"")</f>
        <v/>
      </c>
      <c r="M864" t="str">
        <f>IFERROR(MATCH($C$5&amp;"|"&amp;RIGHT("000000"&amp;848,6),LdgRankKeyB,0),"")</f>
        <v/>
      </c>
    </row>
    <row r="865" spans="1:13" x14ac:dyDescent="0.2">
      <c r="A865" s="3">
        <v>849</v>
      </c>
      <c r="B865" s="4" t="str">
        <f t="shared" si="104"/>
        <v/>
      </c>
      <c r="C865" s="4" t="str">
        <f t="shared" si="105"/>
        <v/>
      </c>
      <c r="D865" s="4" t="str">
        <f t="shared" si="106"/>
        <v/>
      </c>
      <c r="E865" s="5" t="str">
        <f t="shared" si="107"/>
        <v/>
      </c>
      <c r="F865" s="6" t="str">
        <f t="shared" si="108"/>
        <v/>
      </c>
      <c r="G865" s="7" t="str">
        <f t="shared" si="109"/>
        <v/>
      </c>
      <c r="H865" s="7" t="str">
        <f t="shared" si="110"/>
        <v/>
      </c>
      <c r="I865" s="8" t="str">
        <f t="shared" si="111"/>
        <v/>
      </c>
      <c r="L865" t="str">
        <f>IFERROR(MATCH($C$5&amp;"|"&amp;RIGHT("000000"&amp;849,6),LdgRankKeyA,0),"")</f>
        <v/>
      </c>
      <c r="M865" t="str">
        <f>IFERROR(MATCH($C$5&amp;"|"&amp;RIGHT("000000"&amp;849,6),LdgRankKeyB,0),"")</f>
        <v/>
      </c>
    </row>
    <row r="866" spans="1:13" x14ac:dyDescent="0.2">
      <c r="A866" s="9">
        <v>850</v>
      </c>
      <c r="B866" s="10" t="str">
        <f t="shared" si="104"/>
        <v/>
      </c>
      <c r="C866" s="10" t="str">
        <f t="shared" si="105"/>
        <v/>
      </c>
      <c r="D866" s="10" t="str">
        <f t="shared" si="106"/>
        <v/>
      </c>
      <c r="E866" s="11" t="str">
        <f t="shared" si="107"/>
        <v/>
      </c>
      <c r="F866" s="12" t="str">
        <f t="shared" si="108"/>
        <v/>
      </c>
      <c r="G866" s="13" t="str">
        <f t="shared" si="109"/>
        <v/>
      </c>
      <c r="H866" s="13" t="str">
        <f t="shared" si="110"/>
        <v/>
      </c>
      <c r="I866" s="14" t="str">
        <f t="shared" si="111"/>
        <v/>
      </c>
      <c r="L866" t="str">
        <f>IFERROR(MATCH($C$5&amp;"|"&amp;RIGHT("000000"&amp;850,6),LdgRankKeyA,0),"")</f>
        <v/>
      </c>
      <c r="M866" t="str">
        <f>IFERROR(MATCH($C$5&amp;"|"&amp;RIGHT("000000"&amp;850,6),LdgRankKeyB,0),"")</f>
        <v/>
      </c>
    </row>
    <row r="867" spans="1:13" x14ac:dyDescent="0.2">
      <c r="A867" s="3">
        <v>851</v>
      </c>
      <c r="B867" s="4" t="str">
        <f t="shared" si="104"/>
        <v/>
      </c>
      <c r="C867" s="4" t="str">
        <f t="shared" si="105"/>
        <v/>
      </c>
      <c r="D867" s="4" t="str">
        <f t="shared" si="106"/>
        <v/>
      </c>
      <c r="E867" s="5" t="str">
        <f t="shared" si="107"/>
        <v/>
      </c>
      <c r="F867" s="6" t="str">
        <f t="shared" si="108"/>
        <v/>
      </c>
      <c r="G867" s="7" t="str">
        <f t="shared" si="109"/>
        <v/>
      </c>
      <c r="H867" s="7" t="str">
        <f t="shared" si="110"/>
        <v/>
      </c>
      <c r="I867" s="8" t="str">
        <f t="shared" si="111"/>
        <v/>
      </c>
      <c r="L867" t="str">
        <f>IFERROR(MATCH($C$5&amp;"|"&amp;RIGHT("000000"&amp;851,6),LdgRankKeyA,0),"")</f>
        <v/>
      </c>
      <c r="M867" t="str">
        <f>IFERROR(MATCH($C$5&amp;"|"&amp;RIGHT("000000"&amp;851,6),LdgRankKeyB,0),"")</f>
        <v/>
      </c>
    </row>
    <row r="868" spans="1:13" x14ac:dyDescent="0.2">
      <c r="A868" s="9">
        <v>852</v>
      </c>
      <c r="B868" s="10" t="str">
        <f t="shared" si="104"/>
        <v/>
      </c>
      <c r="C868" s="10" t="str">
        <f t="shared" si="105"/>
        <v/>
      </c>
      <c r="D868" s="10" t="str">
        <f t="shared" si="106"/>
        <v/>
      </c>
      <c r="E868" s="11" t="str">
        <f t="shared" si="107"/>
        <v/>
      </c>
      <c r="F868" s="12" t="str">
        <f t="shared" si="108"/>
        <v/>
      </c>
      <c r="G868" s="13" t="str">
        <f t="shared" si="109"/>
        <v/>
      </c>
      <c r="H868" s="13" t="str">
        <f t="shared" si="110"/>
        <v/>
      </c>
      <c r="I868" s="14" t="str">
        <f t="shared" si="111"/>
        <v/>
      </c>
      <c r="L868" t="str">
        <f>IFERROR(MATCH($C$5&amp;"|"&amp;RIGHT("000000"&amp;852,6),LdgRankKeyA,0),"")</f>
        <v/>
      </c>
      <c r="M868" t="str">
        <f>IFERROR(MATCH($C$5&amp;"|"&amp;RIGHT("000000"&amp;852,6),LdgRankKeyB,0),"")</f>
        <v/>
      </c>
    </row>
    <row r="869" spans="1:13" x14ac:dyDescent="0.2">
      <c r="A869" s="3">
        <v>853</v>
      </c>
      <c r="B869" s="4" t="str">
        <f t="shared" si="104"/>
        <v/>
      </c>
      <c r="C869" s="4" t="str">
        <f t="shared" si="105"/>
        <v/>
      </c>
      <c r="D869" s="4" t="str">
        <f t="shared" si="106"/>
        <v/>
      </c>
      <c r="E869" s="5" t="str">
        <f t="shared" si="107"/>
        <v/>
      </c>
      <c r="F869" s="6" t="str">
        <f t="shared" si="108"/>
        <v/>
      </c>
      <c r="G869" s="7" t="str">
        <f t="shared" si="109"/>
        <v/>
      </c>
      <c r="H869" s="7" t="str">
        <f t="shared" si="110"/>
        <v/>
      </c>
      <c r="I869" s="8" t="str">
        <f t="shared" si="111"/>
        <v/>
      </c>
      <c r="L869" t="str">
        <f>IFERROR(MATCH($C$5&amp;"|"&amp;RIGHT("000000"&amp;853,6),LdgRankKeyA,0),"")</f>
        <v/>
      </c>
      <c r="M869" t="str">
        <f>IFERROR(MATCH($C$5&amp;"|"&amp;RIGHT("000000"&amp;853,6),LdgRankKeyB,0),"")</f>
        <v/>
      </c>
    </row>
    <row r="870" spans="1:13" x14ac:dyDescent="0.2">
      <c r="A870" s="9">
        <v>854</v>
      </c>
      <c r="B870" s="10" t="str">
        <f t="shared" si="104"/>
        <v/>
      </c>
      <c r="C870" s="10" t="str">
        <f t="shared" si="105"/>
        <v/>
      </c>
      <c r="D870" s="10" t="str">
        <f t="shared" si="106"/>
        <v/>
      </c>
      <c r="E870" s="11" t="str">
        <f t="shared" si="107"/>
        <v/>
      </c>
      <c r="F870" s="12" t="str">
        <f t="shared" si="108"/>
        <v/>
      </c>
      <c r="G870" s="13" t="str">
        <f t="shared" si="109"/>
        <v/>
      </c>
      <c r="H870" s="13" t="str">
        <f t="shared" si="110"/>
        <v/>
      </c>
      <c r="I870" s="14" t="str">
        <f t="shared" si="111"/>
        <v/>
      </c>
      <c r="L870" t="str">
        <f>IFERROR(MATCH($C$5&amp;"|"&amp;RIGHT("000000"&amp;854,6),LdgRankKeyA,0),"")</f>
        <v/>
      </c>
      <c r="M870" t="str">
        <f>IFERROR(MATCH($C$5&amp;"|"&amp;RIGHT("000000"&amp;854,6),LdgRankKeyB,0),"")</f>
        <v/>
      </c>
    </row>
    <row r="871" spans="1:13" x14ac:dyDescent="0.2">
      <c r="A871" s="3">
        <v>855</v>
      </c>
      <c r="B871" s="4" t="str">
        <f t="shared" si="104"/>
        <v/>
      </c>
      <c r="C871" s="4" t="str">
        <f t="shared" si="105"/>
        <v/>
      </c>
      <c r="D871" s="4" t="str">
        <f t="shared" si="106"/>
        <v/>
      </c>
      <c r="E871" s="5" t="str">
        <f t="shared" si="107"/>
        <v/>
      </c>
      <c r="F871" s="6" t="str">
        <f t="shared" si="108"/>
        <v/>
      </c>
      <c r="G871" s="7" t="str">
        <f t="shared" si="109"/>
        <v/>
      </c>
      <c r="H871" s="7" t="str">
        <f t="shared" si="110"/>
        <v/>
      </c>
      <c r="I871" s="8" t="str">
        <f t="shared" si="111"/>
        <v/>
      </c>
      <c r="L871" t="str">
        <f>IFERROR(MATCH($C$5&amp;"|"&amp;RIGHT("000000"&amp;855,6),LdgRankKeyA,0),"")</f>
        <v/>
      </c>
      <c r="M871" t="str">
        <f>IFERROR(MATCH($C$5&amp;"|"&amp;RIGHT("000000"&amp;855,6),LdgRankKeyB,0),"")</f>
        <v/>
      </c>
    </row>
    <row r="872" spans="1:13" x14ac:dyDescent="0.2">
      <c r="A872" s="9">
        <v>856</v>
      </c>
      <c r="B872" s="10" t="str">
        <f t="shared" si="104"/>
        <v/>
      </c>
      <c r="C872" s="10" t="str">
        <f t="shared" si="105"/>
        <v/>
      </c>
      <c r="D872" s="10" t="str">
        <f t="shared" si="106"/>
        <v/>
      </c>
      <c r="E872" s="11" t="str">
        <f t="shared" si="107"/>
        <v/>
      </c>
      <c r="F872" s="12" t="str">
        <f t="shared" si="108"/>
        <v/>
      </c>
      <c r="G872" s="13" t="str">
        <f t="shared" si="109"/>
        <v/>
      </c>
      <c r="H872" s="13" t="str">
        <f t="shared" si="110"/>
        <v/>
      </c>
      <c r="I872" s="14" t="str">
        <f t="shared" si="111"/>
        <v/>
      </c>
      <c r="L872" t="str">
        <f>IFERROR(MATCH($C$5&amp;"|"&amp;RIGHT("000000"&amp;856,6),LdgRankKeyA,0),"")</f>
        <v/>
      </c>
      <c r="M872" t="str">
        <f>IFERROR(MATCH($C$5&amp;"|"&amp;RIGHT("000000"&amp;856,6),LdgRankKeyB,0),"")</f>
        <v/>
      </c>
    </row>
    <row r="873" spans="1:13" x14ac:dyDescent="0.2">
      <c r="A873" s="3">
        <v>857</v>
      </c>
      <c r="B873" s="4" t="str">
        <f t="shared" si="104"/>
        <v/>
      </c>
      <c r="C873" s="4" t="str">
        <f t="shared" si="105"/>
        <v/>
      </c>
      <c r="D873" s="4" t="str">
        <f t="shared" si="106"/>
        <v/>
      </c>
      <c r="E873" s="5" t="str">
        <f t="shared" si="107"/>
        <v/>
      </c>
      <c r="F873" s="6" t="str">
        <f t="shared" si="108"/>
        <v/>
      </c>
      <c r="G873" s="7" t="str">
        <f t="shared" si="109"/>
        <v/>
      </c>
      <c r="H873" s="7" t="str">
        <f t="shared" si="110"/>
        <v/>
      </c>
      <c r="I873" s="8" t="str">
        <f t="shared" si="111"/>
        <v/>
      </c>
      <c r="L873" t="str">
        <f>IFERROR(MATCH($C$5&amp;"|"&amp;RIGHT("000000"&amp;857,6),LdgRankKeyA,0),"")</f>
        <v/>
      </c>
      <c r="M873" t="str">
        <f>IFERROR(MATCH($C$5&amp;"|"&amp;RIGHT("000000"&amp;857,6),LdgRankKeyB,0),"")</f>
        <v/>
      </c>
    </row>
    <row r="874" spans="1:13" x14ac:dyDescent="0.2">
      <c r="A874" s="9">
        <v>858</v>
      </c>
      <c r="B874" s="10" t="str">
        <f t="shared" si="104"/>
        <v/>
      </c>
      <c r="C874" s="10" t="str">
        <f t="shared" si="105"/>
        <v/>
      </c>
      <c r="D874" s="10" t="str">
        <f t="shared" si="106"/>
        <v/>
      </c>
      <c r="E874" s="11" t="str">
        <f t="shared" si="107"/>
        <v/>
      </c>
      <c r="F874" s="12" t="str">
        <f t="shared" si="108"/>
        <v/>
      </c>
      <c r="G874" s="13" t="str">
        <f t="shared" si="109"/>
        <v/>
      </c>
      <c r="H874" s="13" t="str">
        <f t="shared" si="110"/>
        <v/>
      </c>
      <c r="I874" s="14" t="str">
        <f t="shared" si="111"/>
        <v/>
      </c>
      <c r="L874" t="str">
        <f>IFERROR(MATCH($C$5&amp;"|"&amp;RIGHT("000000"&amp;858,6),LdgRankKeyA,0),"")</f>
        <v/>
      </c>
      <c r="M874" t="str">
        <f>IFERROR(MATCH($C$5&amp;"|"&amp;RIGHT("000000"&amp;858,6),LdgRankKeyB,0),"")</f>
        <v/>
      </c>
    </row>
    <row r="875" spans="1:13" x14ac:dyDescent="0.2">
      <c r="A875" s="3">
        <v>859</v>
      </c>
      <c r="B875" s="4" t="str">
        <f t="shared" si="104"/>
        <v/>
      </c>
      <c r="C875" s="4" t="str">
        <f t="shared" si="105"/>
        <v/>
      </c>
      <c r="D875" s="4" t="str">
        <f t="shared" si="106"/>
        <v/>
      </c>
      <c r="E875" s="5" t="str">
        <f t="shared" si="107"/>
        <v/>
      </c>
      <c r="F875" s="6" t="str">
        <f t="shared" si="108"/>
        <v/>
      </c>
      <c r="G875" s="7" t="str">
        <f t="shared" si="109"/>
        <v/>
      </c>
      <c r="H875" s="7" t="str">
        <f t="shared" si="110"/>
        <v/>
      </c>
      <c r="I875" s="8" t="str">
        <f t="shared" si="111"/>
        <v/>
      </c>
      <c r="L875" t="str">
        <f>IFERROR(MATCH($C$5&amp;"|"&amp;RIGHT("000000"&amp;859,6),LdgRankKeyA,0),"")</f>
        <v/>
      </c>
      <c r="M875" t="str">
        <f>IFERROR(MATCH($C$5&amp;"|"&amp;RIGHT("000000"&amp;859,6),LdgRankKeyB,0),"")</f>
        <v/>
      </c>
    </row>
    <row r="876" spans="1:13" x14ac:dyDescent="0.2">
      <c r="A876" s="9">
        <v>860</v>
      </c>
      <c r="B876" s="10" t="str">
        <f t="shared" si="104"/>
        <v/>
      </c>
      <c r="C876" s="10" t="str">
        <f t="shared" si="105"/>
        <v/>
      </c>
      <c r="D876" s="10" t="str">
        <f t="shared" si="106"/>
        <v/>
      </c>
      <c r="E876" s="11" t="str">
        <f t="shared" si="107"/>
        <v/>
      </c>
      <c r="F876" s="12" t="str">
        <f t="shared" si="108"/>
        <v/>
      </c>
      <c r="G876" s="13" t="str">
        <f t="shared" si="109"/>
        <v/>
      </c>
      <c r="H876" s="13" t="str">
        <f t="shared" si="110"/>
        <v/>
      </c>
      <c r="I876" s="14" t="str">
        <f t="shared" si="111"/>
        <v/>
      </c>
      <c r="L876" t="str">
        <f>IFERROR(MATCH($C$5&amp;"|"&amp;RIGHT("000000"&amp;860,6),LdgRankKeyA,0),"")</f>
        <v/>
      </c>
      <c r="M876" t="str">
        <f>IFERROR(MATCH($C$5&amp;"|"&amp;RIGHT("000000"&amp;860,6),LdgRankKeyB,0),"")</f>
        <v/>
      </c>
    </row>
    <row r="877" spans="1:13" x14ac:dyDescent="0.2">
      <c r="A877" s="3">
        <v>861</v>
      </c>
      <c r="B877" s="4" t="str">
        <f t="shared" si="104"/>
        <v/>
      </c>
      <c r="C877" s="4" t="str">
        <f t="shared" si="105"/>
        <v/>
      </c>
      <c r="D877" s="4" t="str">
        <f t="shared" si="106"/>
        <v/>
      </c>
      <c r="E877" s="5" t="str">
        <f t="shared" si="107"/>
        <v/>
      </c>
      <c r="F877" s="6" t="str">
        <f t="shared" si="108"/>
        <v/>
      </c>
      <c r="G877" s="7" t="str">
        <f t="shared" si="109"/>
        <v/>
      </c>
      <c r="H877" s="7" t="str">
        <f t="shared" si="110"/>
        <v/>
      </c>
      <c r="I877" s="8" t="str">
        <f t="shared" si="111"/>
        <v/>
      </c>
      <c r="L877" t="str">
        <f>IFERROR(MATCH($C$5&amp;"|"&amp;RIGHT("000000"&amp;861,6),LdgRankKeyA,0),"")</f>
        <v/>
      </c>
      <c r="M877" t="str">
        <f>IFERROR(MATCH($C$5&amp;"|"&amp;RIGHT("000000"&amp;861,6),LdgRankKeyB,0),"")</f>
        <v/>
      </c>
    </row>
    <row r="878" spans="1:13" x14ac:dyDescent="0.2">
      <c r="A878" s="9">
        <v>862</v>
      </c>
      <c r="B878" s="10" t="str">
        <f t="shared" si="104"/>
        <v/>
      </c>
      <c r="C878" s="10" t="str">
        <f t="shared" si="105"/>
        <v/>
      </c>
      <c r="D878" s="10" t="str">
        <f t="shared" si="106"/>
        <v/>
      </c>
      <c r="E878" s="11" t="str">
        <f t="shared" si="107"/>
        <v/>
      </c>
      <c r="F878" s="12" t="str">
        <f t="shared" si="108"/>
        <v/>
      </c>
      <c r="G878" s="13" t="str">
        <f t="shared" si="109"/>
        <v/>
      </c>
      <c r="H878" s="13" t="str">
        <f t="shared" si="110"/>
        <v/>
      </c>
      <c r="I878" s="14" t="str">
        <f t="shared" si="111"/>
        <v/>
      </c>
      <c r="L878" t="str">
        <f>IFERROR(MATCH($C$5&amp;"|"&amp;RIGHT("000000"&amp;862,6),LdgRankKeyA,0),"")</f>
        <v/>
      </c>
      <c r="M878" t="str">
        <f>IFERROR(MATCH($C$5&amp;"|"&amp;RIGHT("000000"&amp;862,6),LdgRankKeyB,0),"")</f>
        <v/>
      </c>
    </row>
    <row r="879" spans="1:13" x14ac:dyDescent="0.2">
      <c r="A879" s="3">
        <v>863</v>
      </c>
      <c r="B879" s="4" t="str">
        <f t="shared" si="104"/>
        <v/>
      </c>
      <c r="C879" s="4" t="str">
        <f t="shared" si="105"/>
        <v/>
      </c>
      <c r="D879" s="4" t="str">
        <f t="shared" si="106"/>
        <v/>
      </c>
      <c r="E879" s="5" t="str">
        <f t="shared" si="107"/>
        <v/>
      </c>
      <c r="F879" s="6" t="str">
        <f t="shared" si="108"/>
        <v/>
      </c>
      <c r="G879" s="7" t="str">
        <f t="shared" si="109"/>
        <v/>
      </c>
      <c r="H879" s="7" t="str">
        <f t="shared" si="110"/>
        <v/>
      </c>
      <c r="I879" s="8" t="str">
        <f t="shared" si="111"/>
        <v/>
      </c>
      <c r="L879" t="str">
        <f>IFERROR(MATCH($C$5&amp;"|"&amp;RIGHT("000000"&amp;863,6),LdgRankKeyA,0),"")</f>
        <v/>
      </c>
      <c r="M879" t="str">
        <f>IFERROR(MATCH($C$5&amp;"|"&amp;RIGHT("000000"&amp;863,6),LdgRankKeyB,0),"")</f>
        <v/>
      </c>
    </row>
    <row r="880" spans="1:13" x14ac:dyDescent="0.2">
      <c r="A880" s="9">
        <v>864</v>
      </c>
      <c r="B880" s="10" t="str">
        <f t="shared" si="104"/>
        <v/>
      </c>
      <c r="C880" s="10" t="str">
        <f t="shared" si="105"/>
        <v/>
      </c>
      <c r="D880" s="10" t="str">
        <f t="shared" si="106"/>
        <v/>
      </c>
      <c r="E880" s="11" t="str">
        <f t="shared" si="107"/>
        <v/>
      </c>
      <c r="F880" s="12" t="str">
        <f t="shared" si="108"/>
        <v/>
      </c>
      <c r="G880" s="13" t="str">
        <f t="shared" si="109"/>
        <v/>
      </c>
      <c r="H880" s="13" t="str">
        <f t="shared" si="110"/>
        <v/>
      </c>
      <c r="I880" s="14" t="str">
        <f t="shared" si="111"/>
        <v/>
      </c>
      <c r="L880" t="str">
        <f>IFERROR(MATCH($C$5&amp;"|"&amp;RIGHT("000000"&amp;864,6),LdgRankKeyA,0),"")</f>
        <v/>
      </c>
      <c r="M880" t="str">
        <f>IFERROR(MATCH($C$5&amp;"|"&amp;RIGHT("000000"&amp;864,6),LdgRankKeyB,0),"")</f>
        <v/>
      </c>
    </row>
    <row r="881" spans="1:13" x14ac:dyDescent="0.2">
      <c r="A881" s="3">
        <v>865</v>
      </c>
      <c r="B881" s="4" t="str">
        <f t="shared" si="104"/>
        <v/>
      </c>
      <c r="C881" s="4" t="str">
        <f t="shared" si="105"/>
        <v/>
      </c>
      <c r="D881" s="4" t="str">
        <f t="shared" si="106"/>
        <v/>
      </c>
      <c r="E881" s="5" t="str">
        <f t="shared" si="107"/>
        <v/>
      </c>
      <c r="F881" s="6" t="str">
        <f t="shared" si="108"/>
        <v/>
      </c>
      <c r="G881" s="7" t="str">
        <f t="shared" si="109"/>
        <v/>
      </c>
      <c r="H881" s="7" t="str">
        <f t="shared" si="110"/>
        <v/>
      </c>
      <c r="I881" s="8" t="str">
        <f t="shared" si="111"/>
        <v/>
      </c>
      <c r="L881" t="str">
        <f>IFERROR(MATCH($C$5&amp;"|"&amp;RIGHT("000000"&amp;865,6),LdgRankKeyA,0),"")</f>
        <v/>
      </c>
      <c r="M881" t="str">
        <f>IFERROR(MATCH($C$5&amp;"|"&amp;RIGHT("000000"&amp;865,6),LdgRankKeyB,0),"")</f>
        <v/>
      </c>
    </row>
    <row r="882" spans="1:13" x14ac:dyDescent="0.2">
      <c r="A882" s="9">
        <v>866</v>
      </c>
      <c r="B882" s="10" t="str">
        <f t="shared" si="104"/>
        <v/>
      </c>
      <c r="C882" s="10" t="str">
        <f t="shared" si="105"/>
        <v/>
      </c>
      <c r="D882" s="10" t="str">
        <f t="shared" si="106"/>
        <v/>
      </c>
      <c r="E882" s="11" t="str">
        <f t="shared" si="107"/>
        <v/>
      </c>
      <c r="F882" s="12" t="str">
        <f t="shared" si="108"/>
        <v/>
      </c>
      <c r="G882" s="13" t="str">
        <f t="shared" si="109"/>
        <v/>
      </c>
      <c r="H882" s="13" t="str">
        <f t="shared" si="110"/>
        <v/>
      </c>
      <c r="I882" s="14" t="str">
        <f t="shared" si="111"/>
        <v/>
      </c>
      <c r="L882" t="str">
        <f>IFERROR(MATCH($C$5&amp;"|"&amp;RIGHT("000000"&amp;866,6),LdgRankKeyA,0),"")</f>
        <v/>
      </c>
      <c r="M882" t="str">
        <f>IFERROR(MATCH($C$5&amp;"|"&amp;RIGHT("000000"&amp;866,6),LdgRankKeyB,0),"")</f>
        <v/>
      </c>
    </row>
    <row r="883" spans="1:13" x14ac:dyDescent="0.2">
      <c r="A883" s="3">
        <v>867</v>
      </c>
      <c r="B883" s="4" t="str">
        <f t="shared" si="104"/>
        <v/>
      </c>
      <c r="C883" s="4" t="str">
        <f t="shared" si="105"/>
        <v/>
      </c>
      <c r="D883" s="4" t="str">
        <f t="shared" si="106"/>
        <v/>
      </c>
      <c r="E883" s="5" t="str">
        <f t="shared" si="107"/>
        <v/>
      </c>
      <c r="F883" s="6" t="str">
        <f t="shared" si="108"/>
        <v/>
      </c>
      <c r="G883" s="7" t="str">
        <f t="shared" si="109"/>
        <v/>
      </c>
      <c r="H883" s="7" t="str">
        <f t="shared" si="110"/>
        <v/>
      </c>
      <c r="I883" s="8" t="str">
        <f t="shared" si="111"/>
        <v/>
      </c>
      <c r="L883" t="str">
        <f>IFERROR(MATCH($C$5&amp;"|"&amp;RIGHT("000000"&amp;867,6),LdgRankKeyA,0),"")</f>
        <v/>
      </c>
      <c r="M883" t="str">
        <f>IFERROR(MATCH($C$5&amp;"|"&amp;RIGHT("000000"&amp;867,6),LdgRankKeyB,0),"")</f>
        <v/>
      </c>
    </row>
    <row r="884" spans="1:13" x14ac:dyDescent="0.2">
      <c r="A884" s="9">
        <v>868</v>
      </c>
      <c r="B884" s="10" t="str">
        <f t="shared" si="104"/>
        <v/>
      </c>
      <c r="C884" s="10" t="str">
        <f t="shared" si="105"/>
        <v/>
      </c>
      <c r="D884" s="10" t="str">
        <f t="shared" si="106"/>
        <v/>
      </c>
      <c r="E884" s="11" t="str">
        <f t="shared" si="107"/>
        <v/>
      </c>
      <c r="F884" s="12" t="str">
        <f t="shared" si="108"/>
        <v/>
      </c>
      <c r="G884" s="13" t="str">
        <f t="shared" si="109"/>
        <v/>
      </c>
      <c r="H884" s="13" t="str">
        <f t="shared" si="110"/>
        <v/>
      </c>
      <c r="I884" s="14" t="str">
        <f t="shared" si="111"/>
        <v/>
      </c>
      <c r="L884" t="str">
        <f>IFERROR(MATCH($C$5&amp;"|"&amp;RIGHT("000000"&amp;868,6),LdgRankKeyA,0),"")</f>
        <v/>
      </c>
      <c r="M884" t="str">
        <f>IFERROR(MATCH($C$5&amp;"|"&amp;RIGHT("000000"&amp;868,6),LdgRankKeyB,0),"")</f>
        <v/>
      </c>
    </row>
    <row r="885" spans="1:13" x14ac:dyDescent="0.2">
      <c r="A885" s="3">
        <v>869</v>
      </c>
      <c r="B885" s="4" t="str">
        <f t="shared" si="104"/>
        <v/>
      </c>
      <c r="C885" s="4" t="str">
        <f t="shared" si="105"/>
        <v/>
      </c>
      <c r="D885" s="4" t="str">
        <f t="shared" si="106"/>
        <v/>
      </c>
      <c r="E885" s="5" t="str">
        <f t="shared" si="107"/>
        <v/>
      </c>
      <c r="F885" s="6" t="str">
        <f t="shared" si="108"/>
        <v/>
      </c>
      <c r="G885" s="7" t="str">
        <f t="shared" si="109"/>
        <v/>
      </c>
      <c r="H885" s="7" t="str">
        <f t="shared" si="110"/>
        <v/>
      </c>
      <c r="I885" s="8" t="str">
        <f t="shared" si="111"/>
        <v/>
      </c>
      <c r="L885" t="str">
        <f>IFERROR(MATCH($C$5&amp;"|"&amp;RIGHT("000000"&amp;869,6),LdgRankKeyA,0),"")</f>
        <v/>
      </c>
      <c r="M885" t="str">
        <f>IFERROR(MATCH($C$5&amp;"|"&amp;RIGHT("000000"&amp;869,6),LdgRankKeyB,0),"")</f>
        <v/>
      </c>
    </row>
    <row r="886" spans="1:13" x14ac:dyDescent="0.2">
      <c r="A886" s="9">
        <v>870</v>
      </c>
      <c r="B886" s="10" t="str">
        <f t="shared" si="104"/>
        <v/>
      </c>
      <c r="C886" s="10" t="str">
        <f t="shared" si="105"/>
        <v/>
      </c>
      <c r="D886" s="10" t="str">
        <f t="shared" si="106"/>
        <v/>
      </c>
      <c r="E886" s="11" t="str">
        <f t="shared" si="107"/>
        <v/>
      </c>
      <c r="F886" s="12" t="str">
        <f t="shared" si="108"/>
        <v/>
      </c>
      <c r="G886" s="13" t="str">
        <f t="shared" si="109"/>
        <v/>
      </c>
      <c r="H886" s="13" t="str">
        <f t="shared" si="110"/>
        <v/>
      </c>
      <c r="I886" s="14" t="str">
        <f t="shared" si="111"/>
        <v/>
      </c>
      <c r="L886" t="str">
        <f>IFERROR(MATCH($C$5&amp;"|"&amp;RIGHT("000000"&amp;870,6),LdgRankKeyA,0),"")</f>
        <v/>
      </c>
      <c r="M886" t="str">
        <f>IFERROR(MATCH($C$5&amp;"|"&amp;RIGHT("000000"&amp;870,6),LdgRankKeyB,0),"")</f>
        <v/>
      </c>
    </row>
    <row r="887" spans="1:13" x14ac:dyDescent="0.2">
      <c r="A887" s="3">
        <v>871</v>
      </c>
      <c r="B887" s="4" t="str">
        <f t="shared" si="104"/>
        <v/>
      </c>
      <c r="C887" s="4" t="str">
        <f t="shared" si="105"/>
        <v/>
      </c>
      <c r="D887" s="4" t="str">
        <f t="shared" si="106"/>
        <v/>
      </c>
      <c r="E887" s="5" t="str">
        <f t="shared" si="107"/>
        <v/>
      </c>
      <c r="F887" s="6" t="str">
        <f t="shared" si="108"/>
        <v/>
      </c>
      <c r="G887" s="7" t="str">
        <f t="shared" si="109"/>
        <v/>
      </c>
      <c r="H887" s="7" t="str">
        <f t="shared" si="110"/>
        <v/>
      </c>
      <c r="I887" s="8" t="str">
        <f t="shared" si="111"/>
        <v/>
      </c>
      <c r="L887" t="str">
        <f>IFERROR(MATCH($C$5&amp;"|"&amp;RIGHT("000000"&amp;871,6),LdgRankKeyA,0),"")</f>
        <v/>
      </c>
      <c r="M887" t="str">
        <f>IFERROR(MATCH($C$5&amp;"|"&amp;RIGHT("000000"&amp;871,6),LdgRankKeyB,0),"")</f>
        <v/>
      </c>
    </row>
    <row r="888" spans="1:13" x14ac:dyDescent="0.2">
      <c r="A888" s="9">
        <v>872</v>
      </c>
      <c r="B888" s="10" t="str">
        <f t="shared" si="104"/>
        <v/>
      </c>
      <c r="C888" s="10" t="str">
        <f t="shared" si="105"/>
        <v/>
      </c>
      <c r="D888" s="10" t="str">
        <f t="shared" si="106"/>
        <v/>
      </c>
      <c r="E888" s="11" t="str">
        <f t="shared" si="107"/>
        <v/>
      </c>
      <c r="F888" s="12" t="str">
        <f t="shared" si="108"/>
        <v/>
      </c>
      <c r="G888" s="13" t="str">
        <f t="shared" si="109"/>
        <v/>
      </c>
      <c r="H888" s="13" t="str">
        <f t="shared" si="110"/>
        <v/>
      </c>
      <c r="I888" s="14" t="str">
        <f t="shared" si="111"/>
        <v/>
      </c>
      <c r="L888" t="str">
        <f>IFERROR(MATCH($C$5&amp;"|"&amp;RIGHT("000000"&amp;872,6),LdgRankKeyA,0),"")</f>
        <v/>
      </c>
      <c r="M888" t="str">
        <f>IFERROR(MATCH($C$5&amp;"|"&amp;RIGHT("000000"&amp;872,6),LdgRankKeyB,0),"")</f>
        <v/>
      </c>
    </row>
    <row r="889" spans="1:13" x14ac:dyDescent="0.2">
      <c r="A889" s="3">
        <v>873</v>
      </c>
      <c r="B889" s="4" t="str">
        <f t="shared" si="104"/>
        <v/>
      </c>
      <c r="C889" s="4" t="str">
        <f t="shared" si="105"/>
        <v/>
      </c>
      <c r="D889" s="4" t="str">
        <f t="shared" si="106"/>
        <v/>
      </c>
      <c r="E889" s="5" t="str">
        <f t="shared" si="107"/>
        <v/>
      </c>
      <c r="F889" s="6" t="str">
        <f t="shared" si="108"/>
        <v/>
      </c>
      <c r="G889" s="7" t="str">
        <f t="shared" si="109"/>
        <v/>
      </c>
      <c r="H889" s="7" t="str">
        <f t="shared" si="110"/>
        <v/>
      </c>
      <c r="I889" s="8" t="str">
        <f t="shared" si="111"/>
        <v/>
      </c>
      <c r="L889" t="str">
        <f>IFERROR(MATCH($C$5&amp;"|"&amp;RIGHT("000000"&amp;873,6),LdgRankKeyA,0),"")</f>
        <v/>
      </c>
      <c r="M889" t="str">
        <f>IFERROR(MATCH($C$5&amp;"|"&amp;RIGHT("000000"&amp;873,6),LdgRankKeyB,0),"")</f>
        <v/>
      </c>
    </row>
    <row r="890" spans="1:13" x14ac:dyDescent="0.2">
      <c r="A890" s="9">
        <v>874</v>
      </c>
      <c r="B890" s="10" t="str">
        <f t="shared" si="104"/>
        <v/>
      </c>
      <c r="C890" s="10" t="str">
        <f t="shared" si="105"/>
        <v/>
      </c>
      <c r="D890" s="10" t="str">
        <f t="shared" si="106"/>
        <v/>
      </c>
      <c r="E890" s="11" t="str">
        <f t="shared" si="107"/>
        <v/>
      </c>
      <c r="F890" s="12" t="str">
        <f t="shared" si="108"/>
        <v/>
      </c>
      <c r="G890" s="13" t="str">
        <f t="shared" si="109"/>
        <v/>
      </c>
      <c r="H890" s="13" t="str">
        <f t="shared" si="110"/>
        <v/>
      </c>
      <c r="I890" s="14" t="str">
        <f t="shared" si="111"/>
        <v/>
      </c>
      <c r="L890" t="str">
        <f>IFERROR(MATCH($C$5&amp;"|"&amp;RIGHT("000000"&amp;874,6),LdgRankKeyA,0),"")</f>
        <v/>
      </c>
      <c r="M890" t="str">
        <f>IFERROR(MATCH($C$5&amp;"|"&amp;RIGHT("000000"&amp;874,6),LdgRankKeyB,0),"")</f>
        <v/>
      </c>
    </row>
    <row r="891" spans="1:13" x14ac:dyDescent="0.2">
      <c r="A891" s="3">
        <v>875</v>
      </c>
      <c r="B891" s="4" t="str">
        <f t="shared" si="104"/>
        <v/>
      </c>
      <c r="C891" s="4" t="str">
        <f t="shared" si="105"/>
        <v/>
      </c>
      <c r="D891" s="4" t="str">
        <f t="shared" si="106"/>
        <v/>
      </c>
      <c r="E891" s="5" t="str">
        <f t="shared" si="107"/>
        <v/>
      </c>
      <c r="F891" s="6" t="str">
        <f t="shared" si="108"/>
        <v/>
      </c>
      <c r="G891" s="7" t="str">
        <f t="shared" si="109"/>
        <v/>
      </c>
      <c r="H891" s="7" t="str">
        <f t="shared" si="110"/>
        <v/>
      </c>
      <c r="I891" s="8" t="str">
        <f t="shared" si="111"/>
        <v/>
      </c>
      <c r="L891" t="str">
        <f>IFERROR(MATCH($C$5&amp;"|"&amp;RIGHT("000000"&amp;875,6),LdgRankKeyA,0),"")</f>
        <v/>
      </c>
      <c r="M891" t="str">
        <f>IFERROR(MATCH($C$5&amp;"|"&amp;RIGHT("000000"&amp;875,6),LdgRankKeyB,0),"")</f>
        <v/>
      </c>
    </row>
    <row r="892" spans="1:13" x14ac:dyDescent="0.2">
      <c r="A892" s="9">
        <v>876</v>
      </c>
      <c r="B892" s="10" t="str">
        <f t="shared" si="104"/>
        <v/>
      </c>
      <c r="C892" s="10" t="str">
        <f t="shared" si="105"/>
        <v/>
      </c>
      <c r="D892" s="10" t="str">
        <f t="shared" si="106"/>
        <v/>
      </c>
      <c r="E892" s="11" t="str">
        <f t="shared" si="107"/>
        <v/>
      </c>
      <c r="F892" s="12" t="str">
        <f t="shared" si="108"/>
        <v/>
      </c>
      <c r="G892" s="13" t="str">
        <f t="shared" si="109"/>
        <v/>
      </c>
      <c r="H892" s="13" t="str">
        <f t="shared" si="110"/>
        <v/>
      </c>
      <c r="I892" s="14" t="str">
        <f t="shared" si="111"/>
        <v/>
      </c>
      <c r="L892" t="str">
        <f>IFERROR(MATCH($C$5&amp;"|"&amp;RIGHT("000000"&amp;876,6),LdgRankKeyA,0),"")</f>
        <v/>
      </c>
      <c r="M892" t="str">
        <f>IFERROR(MATCH($C$5&amp;"|"&amp;RIGHT("000000"&amp;876,6),LdgRankKeyB,0),"")</f>
        <v/>
      </c>
    </row>
    <row r="893" spans="1:13" x14ac:dyDescent="0.2">
      <c r="A893" s="3">
        <v>877</v>
      </c>
      <c r="B893" s="4" t="str">
        <f t="shared" si="104"/>
        <v/>
      </c>
      <c r="C893" s="4" t="str">
        <f t="shared" si="105"/>
        <v/>
      </c>
      <c r="D893" s="4" t="str">
        <f t="shared" si="106"/>
        <v/>
      </c>
      <c r="E893" s="5" t="str">
        <f t="shared" si="107"/>
        <v/>
      </c>
      <c r="F893" s="6" t="str">
        <f t="shared" si="108"/>
        <v/>
      </c>
      <c r="G893" s="7" t="str">
        <f t="shared" si="109"/>
        <v/>
      </c>
      <c r="H893" s="7" t="str">
        <f t="shared" si="110"/>
        <v/>
      </c>
      <c r="I893" s="8" t="str">
        <f t="shared" si="111"/>
        <v/>
      </c>
      <c r="L893" t="str">
        <f>IFERROR(MATCH($C$5&amp;"|"&amp;RIGHT("000000"&amp;877,6),LdgRankKeyA,0),"")</f>
        <v/>
      </c>
      <c r="M893" t="str">
        <f>IFERROR(MATCH($C$5&amp;"|"&amp;RIGHT("000000"&amp;877,6),LdgRankKeyB,0),"")</f>
        <v/>
      </c>
    </row>
    <row r="894" spans="1:13" x14ac:dyDescent="0.2">
      <c r="A894" s="9">
        <v>878</v>
      </c>
      <c r="B894" s="10" t="str">
        <f t="shared" si="104"/>
        <v/>
      </c>
      <c r="C894" s="10" t="str">
        <f t="shared" si="105"/>
        <v/>
      </c>
      <c r="D894" s="10" t="str">
        <f t="shared" si="106"/>
        <v/>
      </c>
      <c r="E894" s="11" t="str">
        <f t="shared" si="107"/>
        <v/>
      </c>
      <c r="F894" s="12" t="str">
        <f t="shared" si="108"/>
        <v/>
      </c>
      <c r="G894" s="13" t="str">
        <f t="shared" si="109"/>
        <v/>
      </c>
      <c r="H894" s="13" t="str">
        <f t="shared" si="110"/>
        <v/>
      </c>
      <c r="I894" s="14" t="str">
        <f t="shared" si="111"/>
        <v/>
      </c>
      <c r="L894" t="str">
        <f>IFERROR(MATCH($C$5&amp;"|"&amp;RIGHT("000000"&amp;878,6),LdgRankKeyA,0),"")</f>
        <v/>
      </c>
      <c r="M894" t="str">
        <f>IFERROR(MATCH($C$5&amp;"|"&amp;RIGHT("000000"&amp;878,6),LdgRankKeyB,0),"")</f>
        <v/>
      </c>
    </row>
    <row r="895" spans="1:13" x14ac:dyDescent="0.2">
      <c r="A895" s="3">
        <v>879</v>
      </c>
      <c r="B895" s="4" t="str">
        <f t="shared" si="104"/>
        <v/>
      </c>
      <c r="C895" s="4" t="str">
        <f t="shared" si="105"/>
        <v/>
      </c>
      <c r="D895" s="4" t="str">
        <f t="shared" si="106"/>
        <v/>
      </c>
      <c r="E895" s="5" t="str">
        <f t="shared" si="107"/>
        <v/>
      </c>
      <c r="F895" s="6" t="str">
        <f t="shared" si="108"/>
        <v/>
      </c>
      <c r="G895" s="7" t="str">
        <f t="shared" si="109"/>
        <v/>
      </c>
      <c r="H895" s="7" t="str">
        <f t="shared" si="110"/>
        <v/>
      </c>
      <c r="I895" s="8" t="str">
        <f t="shared" si="111"/>
        <v/>
      </c>
      <c r="L895" t="str">
        <f>IFERROR(MATCH($C$5&amp;"|"&amp;RIGHT("000000"&amp;879,6),LdgRankKeyA,0),"")</f>
        <v/>
      </c>
      <c r="M895" t="str">
        <f>IFERROR(MATCH($C$5&amp;"|"&amp;RIGHT("000000"&amp;879,6),LdgRankKeyB,0),"")</f>
        <v/>
      </c>
    </row>
    <row r="896" spans="1:13" x14ac:dyDescent="0.2">
      <c r="A896" s="9">
        <v>880</v>
      </c>
      <c r="B896" s="10" t="str">
        <f t="shared" si="104"/>
        <v/>
      </c>
      <c r="C896" s="10" t="str">
        <f t="shared" si="105"/>
        <v/>
      </c>
      <c r="D896" s="10" t="str">
        <f t="shared" si="106"/>
        <v/>
      </c>
      <c r="E896" s="11" t="str">
        <f t="shared" si="107"/>
        <v/>
      </c>
      <c r="F896" s="12" t="str">
        <f t="shared" si="108"/>
        <v/>
      </c>
      <c r="G896" s="13" t="str">
        <f t="shared" si="109"/>
        <v/>
      </c>
      <c r="H896" s="13" t="str">
        <f t="shared" si="110"/>
        <v/>
      </c>
      <c r="I896" s="14" t="str">
        <f t="shared" si="111"/>
        <v/>
      </c>
      <c r="L896" t="str">
        <f>IFERROR(MATCH($C$5&amp;"|"&amp;RIGHT("000000"&amp;880,6),LdgRankKeyA,0),"")</f>
        <v/>
      </c>
      <c r="M896" t="str">
        <f>IFERROR(MATCH($C$5&amp;"|"&amp;RIGHT("000000"&amp;880,6),LdgRankKeyB,0),"")</f>
        <v/>
      </c>
    </row>
    <row r="897" spans="1:13" x14ac:dyDescent="0.2">
      <c r="A897" s="3">
        <v>881</v>
      </c>
      <c r="B897" s="4" t="str">
        <f t="shared" si="104"/>
        <v/>
      </c>
      <c r="C897" s="4" t="str">
        <f t="shared" si="105"/>
        <v/>
      </c>
      <c r="D897" s="4" t="str">
        <f t="shared" si="106"/>
        <v/>
      </c>
      <c r="E897" s="5" t="str">
        <f t="shared" si="107"/>
        <v/>
      </c>
      <c r="F897" s="6" t="str">
        <f t="shared" si="108"/>
        <v/>
      </c>
      <c r="G897" s="7" t="str">
        <f t="shared" si="109"/>
        <v/>
      </c>
      <c r="H897" s="7" t="str">
        <f t="shared" si="110"/>
        <v/>
      </c>
      <c r="I897" s="8" t="str">
        <f t="shared" si="111"/>
        <v/>
      </c>
      <c r="L897" t="str">
        <f>IFERROR(MATCH($C$5&amp;"|"&amp;RIGHT("000000"&amp;881,6),LdgRankKeyA,0),"")</f>
        <v/>
      </c>
      <c r="M897" t="str">
        <f>IFERROR(MATCH($C$5&amp;"|"&amp;RIGHT("000000"&amp;881,6),LdgRankKeyB,0),"")</f>
        <v/>
      </c>
    </row>
    <row r="898" spans="1:13" x14ac:dyDescent="0.2">
      <c r="A898" s="9">
        <v>882</v>
      </c>
      <c r="B898" s="10" t="str">
        <f t="shared" si="104"/>
        <v/>
      </c>
      <c r="C898" s="10" t="str">
        <f t="shared" si="105"/>
        <v/>
      </c>
      <c r="D898" s="10" t="str">
        <f t="shared" si="106"/>
        <v/>
      </c>
      <c r="E898" s="11" t="str">
        <f t="shared" si="107"/>
        <v/>
      </c>
      <c r="F898" s="12" t="str">
        <f t="shared" si="108"/>
        <v/>
      </c>
      <c r="G898" s="13" t="str">
        <f t="shared" si="109"/>
        <v/>
      </c>
      <c r="H898" s="13" t="str">
        <f t="shared" si="110"/>
        <v/>
      </c>
      <c r="I898" s="14" t="str">
        <f t="shared" si="111"/>
        <v/>
      </c>
      <c r="L898" t="str">
        <f>IFERROR(MATCH($C$5&amp;"|"&amp;RIGHT("000000"&amp;882,6),LdgRankKeyA,0),"")</f>
        <v/>
      </c>
      <c r="M898" t="str">
        <f>IFERROR(MATCH($C$5&amp;"|"&amp;RIGHT("000000"&amp;882,6),LdgRankKeyB,0),"")</f>
        <v/>
      </c>
    </row>
    <row r="899" spans="1:13" x14ac:dyDescent="0.2">
      <c r="A899" s="3">
        <v>883</v>
      </c>
      <c r="B899" s="4" t="str">
        <f t="shared" si="104"/>
        <v/>
      </c>
      <c r="C899" s="4" t="str">
        <f t="shared" si="105"/>
        <v/>
      </c>
      <c r="D899" s="4" t="str">
        <f t="shared" si="106"/>
        <v/>
      </c>
      <c r="E899" s="5" t="str">
        <f t="shared" si="107"/>
        <v/>
      </c>
      <c r="F899" s="6" t="str">
        <f t="shared" si="108"/>
        <v/>
      </c>
      <c r="G899" s="7" t="str">
        <f t="shared" si="109"/>
        <v/>
      </c>
      <c r="H899" s="7" t="str">
        <f t="shared" si="110"/>
        <v/>
      </c>
      <c r="I899" s="8" t="str">
        <f t="shared" si="111"/>
        <v/>
      </c>
      <c r="L899" t="str">
        <f>IFERROR(MATCH($C$5&amp;"|"&amp;RIGHT("000000"&amp;883,6),LdgRankKeyA,0),"")</f>
        <v/>
      </c>
      <c r="M899" t="str">
        <f>IFERROR(MATCH($C$5&amp;"|"&amp;RIGHT("000000"&amp;883,6),LdgRankKeyB,0),"")</f>
        <v/>
      </c>
    </row>
    <row r="900" spans="1:13" x14ac:dyDescent="0.2">
      <c r="A900" s="9">
        <v>884</v>
      </c>
      <c r="B900" s="10" t="str">
        <f t="shared" si="104"/>
        <v/>
      </c>
      <c r="C900" s="10" t="str">
        <f t="shared" si="105"/>
        <v/>
      </c>
      <c r="D900" s="10" t="str">
        <f t="shared" si="106"/>
        <v/>
      </c>
      <c r="E900" s="11" t="str">
        <f t="shared" si="107"/>
        <v/>
      </c>
      <c r="F900" s="12" t="str">
        <f t="shared" si="108"/>
        <v/>
      </c>
      <c r="G900" s="13" t="str">
        <f t="shared" si="109"/>
        <v/>
      </c>
      <c r="H900" s="13" t="str">
        <f t="shared" si="110"/>
        <v/>
      </c>
      <c r="I900" s="14" t="str">
        <f t="shared" si="111"/>
        <v/>
      </c>
      <c r="L900" t="str">
        <f>IFERROR(MATCH($C$5&amp;"|"&amp;RIGHT("000000"&amp;884,6),LdgRankKeyA,0),"")</f>
        <v/>
      </c>
      <c r="M900" t="str">
        <f>IFERROR(MATCH($C$5&amp;"|"&amp;RIGHT("000000"&amp;884,6),LdgRankKeyB,0),"")</f>
        <v/>
      </c>
    </row>
    <row r="901" spans="1:13" x14ac:dyDescent="0.2">
      <c r="A901" s="3">
        <v>885</v>
      </c>
      <c r="B901" s="4" t="str">
        <f t="shared" si="104"/>
        <v/>
      </c>
      <c r="C901" s="4" t="str">
        <f t="shared" si="105"/>
        <v/>
      </c>
      <c r="D901" s="4" t="str">
        <f t="shared" si="106"/>
        <v/>
      </c>
      <c r="E901" s="5" t="str">
        <f t="shared" si="107"/>
        <v/>
      </c>
      <c r="F901" s="6" t="str">
        <f t="shared" si="108"/>
        <v/>
      </c>
      <c r="G901" s="7" t="str">
        <f t="shared" si="109"/>
        <v/>
      </c>
      <c r="H901" s="7" t="str">
        <f t="shared" si="110"/>
        <v/>
      </c>
      <c r="I901" s="8" t="str">
        <f t="shared" si="111"/>
        <v/>
      </c>
      <c r="L901" t="str">
        <f>IFERROR(MATCH($C$5&amp;"|"&amp;RIGHT("000000"&amp;885,6),LdgRankKeyA,0),"")</f>
        <v/>
      </c>
      <c r="M901" t="str">
        <f>IFERROR(MATCH($C$5&amp;"|"&amp;RIGHT("000000"&amp;885,6),LdgRankKeyB,0),"")</f>
        <v/>
      </c>
    </row>
    <row r="902" spans="1:13" x14ac:dyDescent="0.2">
      <c r="A902" s="9">
        <v>886</v>
      </c>
      <c r="B902" s="10" t="str">
        <f t="shared" si="104"/>
        <v/>
      </c>
      <c r="C902" s="10" t="str">
        <f t="shared" si="105"/>
        <v/>
      </c>
      <c r="D902" s="10" t="str">
        <f t="shared" si="106"/>
        <v/>
      </c>
      <c r="E902" s="11" t="str">
        <f t="shared" si="107"/>
        <v/>
      </c>
      <c r="F902" s="12" t="str">
        <f t="shared" si="108"/>
        <v/>
      </c>
      <c r="G902" s="13" t="str">
        <f t="shared" si="109"/>
        <v/>
      </c>
      <c r="H902" s="13" t="str">
        <f t="shared" si="110"/>
        <v/>
      </c>
      <c r="I902" s="14" t="str">
        <f t="shared" si="111"/>
        <v/>
      </c>
      <c r="L902" t="str">
        <f>IFERROR(MATCH($C$5&amp;"|"&amp;RIGHT("000000"&amp;886,6),LdgRankKeyA,0),"")</f>
        <v/>
      </c>
      <c r="M902" t="str">
        <f>IFERROR(MATCH($C$5&amp;"|"&amp;RIGHT("000000"&amp;886,6),LdgRankKeyB,0),"")</f>
        <v/>
      </c>
    </row>
    <row r="903" spans="1:13" x14ac:dyDescent="0.2">
      <c r="A903" s="3">
        <v>887</v>
      </c>
      <c r="B903" s="4" t="str">
        <f t="shared" si="104"/>
        <v/>
      </c>
      <c r="C903" s="4" t="str">
        <f t="shared" si="105"/>
        <v/>
      </c>
      <c r="D903" s="4" t="str">
        <f t="shared" si="106"/>
        <v/>
      </c>
      <c r="E903" s="5" t="str">
        <f t="shared" si="107"/>
        <v/>
      </c>
      <c r="F903" s="6" t="str">
        <f t="shared" si="108"/>
        <v/>
      </c>
      <c r="G903" s="7" t="str">
        <f t="shared" si="109"/>
        <v/>
      </c>
      <c r="H903" s="7" t="str">
        <f t="shared" si="110"/>
        <v/>
      </c>
      <c r="I903" s="8" t="str">
        <f t="shared" si="111"/>
        <v/>
      </c>
      <c r="L903" t="str">
        <f>IFERROR(MATCH($C$5&amp;"|"&amp;RIGHT("000000"&amp;887,6),LdgRankKeyA,0),"")</f>
        <v/>
      </c>
      <c r="M903" t="str">
        <f>IFERROR(MATCH($C$5&amp;"|"&amp;RIGHT("000000"&amp;887,6),LdgRankKeyB,0),"")</f>
        <v/>
      </c>
    </row>
    <row r="904" spans="1:13" x14ac:dyDescent="0.2">
      <c r="A904" s="9">
        <v>888</v>
      </c>
      <c r="B904" s="10" t="str">
        <f t="shared" si="104"/>
        <v/>
      </c>
      <c r="C904" s="10" t="str">
        <f t="shared" si="105"/>
        <v/>
      </c>
      <c r="D904" s="10" t="str">
        <f t="shared" si="106"/>
        <v/>
      </c>
      <c r="E904" s="11" t="str">
        <f t="shared" si="107"/>
        <v/>
      </c>
      <c r="F904" s="12" t="str">
        <f t="shared" si="108"/>
        <v/>
      </c>
      <c r="G904" s="13" t="str">
        <f t="shared" si="109"/>
        <v/>
      </c>
      <c r="H904" s="13" t="str">
        <f t="shared" si="110"/>
        <v/>
      </c>
      <c r="I904" s="14" t="str">
        <f t="shared" si="111"/>
        <v/>
      </c>
      <c r="L904" t="str">
        <f>IFERROR(MATCH($C$5&amp;"|"&amp;RIGHT("000000"&amp;888,6),LdgRankKeyA,0),"")</f>
        <v/>
      </c>
      <c r="M904" t="str">
        <f>IFERROR(MATCH($C$5&amp;"|"&amp;RIGHT("000000"&amp;888,6),LdgRankKeyB,0),"")</f>
        <v/>
      </c>
    </row>
    <row r="905" spans="1:13" x14ac:dyDescent="0.2">
      <c r="A905" s="3">
        <v>889</v>
      </c>
      <c r="B905" s="4" t="str">
        <f t="shared" si="104"/>
        <v/>
      </c>
      <c r="C905" s="4" t="str">
        <f t="shared" si="105"/>
        <v/>
      </c>
      <c r="D905" s="4" t="str">
        <f t="shared" si="106"/>
        <v/>
      </c>
      <c r="E905" s="5" t="str">
        <f t="shared" si="107"/>
        <v/>
      </c>
      <c r="F905" s="6" t="str">
        <f t="shared" si="108"/>
        <v/>
      </c>
      <c r="G905" s="7" t="str">
        <f t="shared" si="109"/>
        <v/>
      </c>
      <c r="H905" s="7" t="str">
        <f t="shared" si="110"/>
        <v/>
      </c>
      <c r="I905" s="8" t="str">
        <f t="shared" si="111"/>
        <v/>
      </c>
      <c r="L905" t="str">
        <f>IFERROR(MATCH($C$5&amp;"|"&amp;RIGHT("000000"&amp;889,6),LdgRankKeyA,0),"")</f>
        <v/>
      </c>
      <c r="M905" t="str">
        <f>IFERROR(MATCH($C$5&amp;"|"&amp;RIGHT("000000"&amp;889,6),LdgRankKeyB,0),"")</f>
        <v/>
      </c>
    </row>
    <row r="906" spans="1:13" x14ac:dyDescent="0.2">
      <c r="A906" s="9">
        <v>890</v>
      </c>
      <c r="B906" s="10" t="str">
        <f t="shared" si="104"/>
        <v/>
      </c>
      <c r="C906" s="10" t="str">
        <f t="shared" si="105"/>
        <v/>
      </c>
      <c r="D906" s="10" t="str">
        <f t="shared" si="106"/>
        <v/>
      </c>
      <c r="E906" s="11" t="str">
        <f t="shared" si="107"/>
        <v/>
      </c>
      <c r="F906" s="12" t="str">
        <f t="shared" si="108"/>
        <v/>
      </c>
      <c r="G906" s="13" t="str">
        <f t="shared" si="109"/>
        <v/>
      </c>
      <c r="H906" s="13" t="str">
        <f t="shared" si="110"/>
        <v/>
      </c>
      <c r="I906" s="14" t="str">
        <f t="shared" si="111"/>
        <v/>
      </c>
      <c r="L906" t="str">
        <f>IFERROR(MATCH($C$5&amp;"|"&amp;RIGHT("000000"&amp;890,6),LdgRankKeyA,0),"")</f>
        <v/>
      </c>
      <c r="M906" t="str">
        <f>IFERROR(MATCH($C$5&amp;"|"&amp;RIGHT("000000"&amp;890,6),LdgRankKeyB,0),"")</f>
        <v/>
      </c>
    </row>
    <row r="907" spans="1:13" x14ac:dyDescent="0.2">
      <c r="A907" s="3">
        <v>891</v>
      </c>
      <c r="B907" s="4" t="str">
        <f t="shared" si="104"/>
        <v/>
      </c>
      <c r="C907" s="4" t="str">
        <f t="shared" si="105"/>
        <v/>
      </c>
      <c r="D907" s="4" t="str">
        <f t="shared" si="106"/>
        <v/>
      </c>
      <c r="E907" s="5" t="str">
        <f t="shared" si="107"/>
        <v/>
      </c>
      <c r="F907" s="6" t="str">
        <f t="shared" si="108"/>
        <v/>
      </c>
      <c r="G907" s="7" t="str">
        <f t="shared" si="109"/>
        <v/>
      </c>
      <c r="H907" s="7" t="str">
        <f t="shared" si="110"/>
        <v/>
      </c>
      <c r="I907" s="8" t="str">
        <f t="shared" si="111"/>
        <v/>
      </c>
      <c r="L907" t="str">
        <f>IFERROR(MATCH($C$5&amp;"|"&amp;RIGHT("000000"&amp;891,6),LdgRankKeyA,0),"")</f>
        <v/>
      </c>
      <c r="M907" t="str">
        <f>IFERROR(MATCH($C$5&amp;"|"&amp;RIGHT("000000"&amp;891,6),LdgRankKeyB,0),"")</f>
        <v/>
      </c>
    </row>
    <row r="908" spans="1:13" x14ac:dyDescent="0.2">
      <c r="A908" s="9">
        <v>892</v>
      </c>
      <c r="B908" s="10" t="str">
        <f t="shared" si="104"/>
        <v/>
      </c>
      <c r="C908" s="10" t="str">
        <f t="shared" si="105"/>
        <v/>
      </c>
      <c r="D908" s="10" t="str">
        <f t="shared" si="106"/>
        <v/>
      </c>
      <c r="E908" s="11" t="str">
        <f t="shared" si="107"/>
        <v/>
      </c>
      <c r="F908" s="12" t="str">
        <f t="shared" si="108"/>
        <v/>
      </c>
      <c r="G908" s="13" t="str">
        <f t="shared" si="109"/>
        <v/>
      </c>
      <c r="H908" s="13" t="str">
        <f t="shared" si="110"/>
        <v/>
      </c>
      <c r="I908" s="14" t="str">
        <f t="shared" si="111"/>
        <v/>
      </c>
      <c r="L908" t="str">
        <f>IFERROR(MATCH($C$5&amp;"|"&amp;RIGHT("000000"&amp;892,6),LdgRankKeyA,0),"")</f>
        <v/>
      </c>
      <c r="M908" t="str">
        <f>IFERROR(MATCH($C$5&amp;"|"&amp;RIGHT("000000"&amp;892,6),LdgRankKeyB,0),"")</f>
        <v/>
      </c>
    </row>
    <row r="909" spans="1:13" x14ac:dyDescent="0.2">
      <c r="A909" s="3">
        <v>893</v>
      </c>
      <c r="B909" s="4" t="str">
        <f t="shared" si="104"/>
        <v/>
      </c>
      <c r="C909" s="4" t="str">
        <f t="shared" si="105"/>
        <v/>
      </c>
      <c r="D909" s="4" t="str">
        <f t="shared" si="106"/>
        <v/>
      </c>
      <c r="E909" s="5" t="str">
        <f t="shared" si="107"/>
        <v/>
      </c>
      <c r="F909" s="6" t="str">
        <f t="shared" si="108"/>
        <v/>
      </c>
      <c r="G909" s="7" t="str">
        <f t="shared" si="109"/>
        <v/>
      </c>
      <c r="H909" s="7" t="str">
        <f t="shared" si="110"/>
        <v/>
      </c>
      <c r="I909" s="8" t="str">
        <f t="shared" si="111"/>
        <v/>
      </c>
      <c r="L909" t="str">
        <f>IFERROR(MATCH($C$5&amp;"|"&amp;RIGHT("000000"&amp;893,6),LdgRankKeyA,0),"")</f>
        <v/>
      </c>
      <c r="M909" t="str">
        <f>IFERROR(MATCH($C$5&amp;"|"&amp;RIGHT("000000"&amp;893,6),LdgRankKeyB,0),"")</f>
        <v/>
      </c>
    </row>
    <row r="910" spans="1:13" x14ac:dyDescent="0.2">
      <c r="A910" s="9">
        <v>894</v>
      </c>
      <c r="B910" s="10" t="str">
        <f t="shared" si="104"/>
        <v/>
      </c>
      <c r="C910" s="10" t="str">
        <f t="shared" si="105"/>
        <v/>
      </c>
      <c r="D910" s="10" t="str">
        <f t="shared" si="106"/>
        <v/>
      </c>
      <c r="E910" s="11" t="str">
        <f t="shared" si="107"/>
        <v/>
      </c>
      <c r="F910" s="12" t="str">
        <f t="shared" si="108"/>
        <v/>
      </c>
      <c r="G910" s="13" t="str">
        <f t="shared" si="109"/>
        <v/>
      </c>
      <c r="H910" s="13" t="str">
        <f t="shared" si="110"/>
        <v/>
      </c>
      <c r="I910" s="14" t="str">
        <f t="shared" si="111"/>
        <v/>
      </c>
      <c r="L910" t="str">
        <f>IFERROR(MATCH($C$5&amp;"|"&amp;RIGHT("000000"&amp;894,6),LdgRankKeyA,0),"")</f>
        <v/>
      </c>
      <c r="M910" t="str">
        <f>IFERROR(MATCH($C$5&amp;"|"&amp;RIGHT("000000"&amp;894,6),LdgRankKeyB,0),"")</f>
        <v/>
      </c>
    </row>
    <row r="911" spans="1:13" x14ac:dyDescent="0.2">
      <c r="A911" s="3">
        <v>895</v>
      </c>
      <c r="B911" s="4" t="str">
        <f t="shared" si="104"/>
        <v/>
      </c>
      <c r="C911" s="4" t="str">
        <f t="shared" si="105"/>
        <v/>
      </c>
      <c r="D911" s="4" t="str">
        <f t="shared" si="106"/>
        <v/>
      </c>
      <c r="E911" s="5" t="str">
        <f t="shared" si="107"/>
        <v/>
      </c>
      <c r="F911" s="6" t="str">
        <f t="shared" si="108"/>
        <v/>
      </c>
      <c r="G911" s="7" t="str">
        <f t="shared" si="109"/>
        <v/>
      </c>
      <c r="H911" s="7" t="str">
        <f t="shared" si="110"/>
        <v/>
      </c>
      <c r="I911" s="8" t="str">
        <f t="shared" si="111"/>
        <v/>
      </c>
      <c r="L911" t="str">
        <f>IFERROR(MATCH($C$5&amp;"|"&amp;RIGHT("000000"&amp;895,6),LdgRankKeyA,0),"")</f>
        <v/>
      </c>
      <c r="M911" t="str">
        <f>IFERROR(MATCH($C$5&amp;"|"&amp;RIGHT("000000"&amp;895,6),LdgRankKeyB,0),"")</f>
        <v/>
      </c>
    </row>
    <row r="912" spans="1:13" x14ac:dyDescent="0.2">
      <c r="A912" s="9">
        <v>896</v>
      </c>
      <c r="B912" s="10" t="str">
        <f t="shared" si="104"/>
        <v/>
      </c>
      <c r="C912" s="10" t="str">
        <f t="shared" si="105"/>
        <v/>
      </c>
      <c r="D912" s="10" t="str">
        <f t="shared" si="106"/>
        <v/>
      </c>
      <c r="E912" s="11" t="str">
        <f t="shared" si="107"/>
        <v/>
      </c>
      <c r="F912" s="12" t="str">
        <f t="shared" si="108"/>
        <v/>
      </c>
      <c r="G912" s="13" t="str">
        <f t="shared" si="109"/>
        <v/>
      </c>
      <c r="H912" s="13" t="str">
        <f t="shared" si="110"/>
        <v/>
      </c>
      <c r="I912" s="14" t="str">
        <f t="shared" si="111"/>
        <v/>
      </c>
      <c r="L912" t="str">
        <f>IFERROR(MATCH($C$5&amp;"|"&amp;RIGHT("000000"&amp;896,6),LdgRankKeyA,0),"")</f>
        <v/>
      </c>
      <c r="M912" t="str">
        <f>IFERROR(MATCH($C$5&amp;"|"&amp;RIGHT("000000"&amp;896,6),LdgRankKeyB,0),"")</f>
        <v/>
      </c>
    </row>
    <row r="913" spans="1:13" x14ac:dyDescent="0.2">
      <c r="A913" s="3">
        <v>897</v>
      </c>
      <c r="B913" s="4" t="str">
        <f t="shared" ref="B913:B976" si="112">IF(AND($L913="",$M913=""),"",IF($L913&lt;&gt;"",INDEX(SCNormDate,$L913),INDEX(LdgDateB,$M913)))</f>
        <v/>
      </c>
      <c r="C913" s="4" t="str">
        <f t="shared" ref="C913:C976" si="113">IF($L913&lt;&gt;"",INDEX(SCOp,$L913),IF($M913&lt;&gt;"","پرداخت بانکی",""))</f>
        <v/>
      </c>
      <c r="D913" s="4" t="str">
        <f t="shared" ref="D913:D976" si="114">IF($L913&lt;&gt;"",IF(INDEX(SCDoc,$L913)="","—",INDEX(SCDoc,$L913)),IF($M913&lt;&gt;"",INDEX(LdgBankB,$M913),""))</f>
        <v/>
      </c>
      <c r="E913" s="5" t="str">
        <f t="shared" ref="E913:E976" si="115">IF($L913&lt;&gt;"",IF(INDEX(SCCitrus,$L913)&amp;INDEX(SCNotes,$L913)="","",IF(INDEX(SCCitrus,$L913)="","",INDEX(SCCitrus,$L913))&amp;IF(INDEX(SCNotes,$L913)="",""," — "&amp;INDEX(SCNotes,$L913))),IF($M913&lt;&gt;"",IF(INDEX(LdgNoteB,$M913)="","—",INDEX(LdgNoteB,$M913)),""))</f>
        <v/>
      </c>
      <c r="F913" s="6" t="str">
        <f t="shared" ref="F913:F976" si="116">IF($L913&lt;&gt;"",IF(INDEX(SCNet,$L913)=0,"",INDEX(SCNet,$L913)),"")</f>
        <v/>
      </c>
      <c r="G913" s="7" t="str">
        <f t="shared" ref="G913:G976" si="117">IF($L913&lt;&gt;"",IF(INDEX(SCOp,$L913)="مرجوعی فروش","",IF(INDEX(SCAmount,$L913)&lt;=0,"",INDEX(SCAmount,$L913))),IF($M913&lt;&gt;"",IF(INDEX(LdgWitB,$M913)=0,"",INDEX(LdgWitB,$M913)),""))</f>
        <v/>
      </c>
      <c r="H913" s="7" t="str">
        <f t="shared" ref="H913:H976" si="118">IF($L913&lt;&gt;"",IF(INDEX(SCOp,$L913)="مرجوعی فروش",IF(INDEX(SCAmount,$L913)=0,"",-INDEX(SCAmount,$L913)),""),IF($M913&lt;&gt;"",IF(INDEX(LdgDepB,$M913)=0,"",INDEX(LdgDepB,$M913)),""))</f>
        <v/>
      </c>
      <c r="I913" s="8" t="str">
        <f t="shared" si="111"/>
        <v/>
      </c>
      <c r="L913" t="str">
        <f>IFERROR(MATCH($C$5&amp;"|"&amp;RIGHT("000000"&amp;897,6),LdgRankKeyA,0),"")</f>
        <v/>
      </c>
      <c r="M913" t="str">
        <f>IFERROR(MATCH($C$5&amp;"|"&amp;RIGHT("000000"&amp;897,6),LdgRankKeyB,0),"")</f>
        <v/>
      </c>
    </row>
    <row r="914" spans="1:13" x14ac:dyDescent="0.2">
      <c r="A914" s="9">
        <v>898</v>
      </c>
      <c r="B914" s="10" t="str">
        <f t="shared" si="112"/>
        <v/>
      </c>
      <c r="C914" s="10" t="str">
        <f t="shared" si="113"/>
        <v/>
      </c>
      <c r="D914" s="10" t="str">
        <f t="shared" si="114"/>
        <v/>
      </c>
      <c r="E914" s="11" t="str">
        <f t="shared" si="115"/>
        <v/>
      </c>
      <c r="F914" s="12" t="str">
        <f t="shared" si="116"/>
        <v/>
      </c>
      <c r="G914" s="13" t="str">
        <f t="shared" si="117"/>
        <v/>
      </c>
      <c r="H914" s="13" t="str">
        <f t="shared" si="118"/>
        <v/>
      </c>
      <c r="I914" s="14" t="str">
        <f t="shared" ref="I914:I977" si="119">IF($B914="","",IF($I913="",$C$10,$I913)+IF($G914="",0,$G914)-IF($H914="",0,$H914))</f>
        <v/>
      </c>
      <c r="L914" t="str">
        <f>IFERROR(MATCH($C$5&amp;"|"&amp;RIGHT("000000"&amp;898,6),LdgRankKeyA,0),"")</f>
        <v/>
      </c>
      <c r="M914" t="str">
        <f>IFERROR(MATCH($C$5&amp;"|"&amp;RIGHT("000000"&amp;898,6),LdgRankKeyB,0),"")</f>
        <v/>
      </c>
    </row>
    <row r="915" spans="1:13" x14ac:dyDescent="0.2">
      <c r="A915" s="3">
        <v>899</v>
      </c>
      <c r="B915" s="4" t="str">
        <f t="shared" si="112"/>
        <v/>
      </c>
      <c r="C915" s="4" t="str">
        <f t="shared" si="113"/>
        <v/>
      </c>
      <c r="D915" s="4" t="str">
        <f t="shared" si="114"/>
        <v/>
      </c>
      <c r="E915" s="5" t="str">
        <f t="shared" si="115"/>
        <v/>
      </c>
      <c r="F915" s="6" t="str">
        <f t="shared" si="116"/>
        <v/>
      </c>
      <c r="G915" s="7" t="str">
        <f t="shared" si="117"/>
        <v/>
      </c>
      <c r="H915" s="7" t="str">
        <f t="shared" si="118"/>
        <v/>
      </c>
      <c r="I915" s="8" t="str">
        <f t="shared" si="119"/>
        <v/>
      </c>
      <c r="L915" t="str">
        <f>IFERROR(MATCH($C$5&amp;"|"&amp;RIGHT("000000"&amp;899,6),LdgRankKeyA,0),"")</f>
        <v/>
      </c>
      <c r="M915" t="str">
        <f>IFERROR(MATCH($C$5&amp;"|"&amp;RIGHT("000000"&amp;899,6),LdgRankKeyB,0),"")</f>
        <v/>
      </c>
    </row>
    <row r="916" spans="1:13" x14ac:dyDescent="0.2">
      <c r="A916" s="9">
        <v>900</v>
      </c>
      <c r="B916" s="10" t="str">
        <f t="shared" si="112"/>
        <v/>
      </c>
      <c r="C916" s="10" t="str">
        <f t="shared" si="113"/>
        <v/>
      </c>
      <c r="D916" s="10" t="str">
        <f t="shared" si="114"/>
        <v/>
      </c>
      <c r="E916" s="11" t="str">
        <f t="shared" si="115"/>
        <v/>
      </c>
      <c r="F916" s="12" t="str">
        <f t="shared" si="116"/>
        <v/>
      </c>
      <c r="G916" s="13" t="str">
        <f t="shared" si="117"/>
        <v/>
      </c>
      <c r="H916" s="13" t="str">
        <f t="shared" si="118"/>
        <v/>
      </c>
      <c r="I916" s="14" t="str">
        <f t="shared" si="119"/>
        <v/>
      </c>
      <c r="L916" t="str">
        <f>IFERROR(MATCH($C$5&amp;"|"&amp;RIGHT("000000"&amp;900,6),LdgRankKeyA,0),"")</f>
        <v/>
      </c>
      <c r="M916" t="str">
        <f>IFERROR(MATCH($C$5&amp;"|"&amp;RIGHT("000000"&amp;900,6),LdgRankKeyB,0),"")</f>
        <v/>
      </c>
    </row>
    <row r="917" spans="1:13" x14ac:dyDescent="0.2">
      <c r="A917" s="3">
        <v>901</v>
      </c>
      <c r="B917" s="4" t="str">
        <f t="shared" si="112"/>
        <v/>
      </c>
      <c r="C917" s="4" t="str">
        <f t="shared" si="113"/>
        <v/>
      </c>
      <c r="D917" s="4" t="str">
        <f t="shared" si="114"/>
        <v/>
      </c>
      <c r="E917" s="5" t="str">
        <f t="shared" si="115"/>
        <v/>
      </c>
      <c r="F917" s="6" t="str">
        <f t="shared" si="116"/>
        <v/>
      </c>
      <c r="G917" s="7" t="str">
        <f t="shared" si="117"/>
        <v/>
      </c>
      <c r="H917" s="7" t="str">
        <f t="shared" si="118"/>
        <v/>
      </c>
      <c r="I917" s="8" t="str">
        <f t="shared" si="119"/>
        <v/>
      </c>
      <c r="L917" t="str">
        <f>IFERROR(MATCH($C$5&amp;"|"&amp;RIGHT("000000"&amp;901,6),LdgRankKeyA,0),"")</f>
        <v/>
      </c>
      <c r="M917" t="str">
        <f>IFERROR(MATCH($C$5&amp;"|"&amp;RIGHT("000000"&amp;901,6),LdgRankKeyB,0),"")</f>
        <v/>
      </c>
    </row>
    <row r="918" spans="1:13" x14ac:dyDescent="0.2">
      <c r="A918" s="9">
        <v>902</v>
      </c>
      <c r="B918" s="10" t="str">
        <f t="shared" si="112"/>
        <v/>
      </c>
      <c r="C918" s="10" t="str">
        <f t="shared" si="113"/>
        <v/>
      </c>
      <c r="D918" s="10" t="str">
        <f t="shared" si="114"/>
        <v/>
      </c>
      <c r="E918" s="11" t="str">
        <f t="shared" si="115"/>
        <v/>
      </c>
      <c r="F918" s="12" t="str">
        <f t="shared" si="116"/>
        <v/>
      </c>
      <c r="G918" s="13" t="str">
        <f t="shared" si="117"/>
        <v/>
      </c>
      <c r="H918" s="13" t="str">
        <f t="shared" si="118"/>
        <v/>
      </c>
      <c r="I918" s="14" t="str">
        <f t="shared" si="119"/>
        <v/>
      </c>
      <c r="L918" t="str">
        <f>IFERROR(MATCH($C$5&amp;"|"&amp;RIGHT("000000"&amp;902,6),LdgRankKeyA,0),"")</f>
        <v/>
      </c>
      <c r="M918" t="str">
        <f>IFERROR(MATCH($C$5&amp;"|"&amp;RIGHT("000000"&amp;902,6),LdgRankKeyB,0),"")</f>
        <v/>
      </c>
    </row>
    <row r="919" spans="1:13" x14ac:dyDescent="0.2">
      <c r="A919" s="3">
        <v>903</v>
      </c>
      <c r="B919" s="4" t="str">
        <f t="shared" si="112"/>
        <v/>
      </c>
      <c r="C919" s="4" t="str">
        <f t="shared" si="113"/>
        <v/>
      </c>
      <c r="D919" s="4" t="str">
        <f t="shared" si="114"/>
        <v/>
      </c>
      <c r="E919" s="5" t="str">
        <f t="shared" si="115"/>
        <v/>
      </c>
      <c r="F919" s="6" t="str">
        <f t="shared" si="116"/>
        <v/>
      </c>
      <c r="G919" s="7" t="str">
        <f t="shared" si="117"/>
        <v/>
      </c>
      <c r="H919" s="7" t="str">
        <f t="shared" si="118"/>
        <v/>
      </c>
      <c r="I919" s="8" t="str">
        <f t="shared" si="119"/>
        <v/>
      </c>
      <c r="L919" t="str">
        <f>IFERROR(MATCH($C$5&amp;"|"&amp;RIGHT("000000"&amp;903,6),LdgRankKeyA,0),"")</f>
        <v/>
      </c>
      <c r="M919" t="str">
        <f>IFERROR(MATCH($C$5&amp;"|"&amp;RIGHT("000000"&amp;903,6),LdgRankKeyB,0),"")</f>
        <v/>
      </c>
    </row>
    <row r="920" spans="1:13" x14ac:dyDescent="0.2">
      <c r="A920" s="9">
        <v>904</v>
      </c>
      <c r="B920" s="10" t="str">
        <f t="shared" si="112"/>
        <v/>
      </c>
      <c r="C920" s="10" t="str">
        <f t="shared" si="113"/>
        <v/>
      </c>
      <c r="D920" s="10" t="str">
        <f t="shared" si="114"/>
        <v/>
      </c>
      <c r="E920" s="11" t="str">
        <f t="shared" si="115"/>
        <v/>
      </c>
      <c r="F920" s="12" t="str">
        <f t="shared" si="116"/>
        <v/>
      </c>
      <c r="G920" s="13" t="str">
        <f t="shared" si="117"/>
        <v/>
      </c>
      <c r="H920" s="13" t="str">
        <f t="shared" si="118"/>
        <v/>
      </c>
      <c r="I920" s="14" t="str">
        <f t="shared" si="119"/>
        <v/>
      </c>
      <c r="L920" t="str">
        <f>IFERROR(MATCH($C$5&amp;"|"&amp;RIGHT("000000"&amp;904,6),LdgRankKeyA,0),"")</f>
        <v/>
      </c>
      <c r="M920" t="str">
        <f>IFERROR(MATCH($C$5&amp;"|"&amp;RIGHT("000000"&amp;904,6),LdgRankKeyB,0),"")</f>
        <v/>
      </c>
    </row>
    <row r="921" spans="1:13" x14ac:dyDescent="0.2">
      <c r="A921" s="3">
        <v>905</v>
      </c>
      <c r="B921" s="4" t="str">
        <f t="shared" si="112"/>
        <v/>
      </c>
      <c r="C921" s="4" t="str">
        <f t="shared" si="113"/>
        <v/>
      </c>
      <c r="D921" s="4" t="str">
        <f t="shared" si="114"/>
        <v/>
      </c>
      <c r="E921" s="5" t="str">
        <f t="shared" si="115"/>
        <v/>
      </c>
      <c r="F921" s="6" t="str">
        <f t="shared" si="116"/>
        <v/>
      </c>
      <c r="G921" s="7" t="str">
        <f t="shared" si="117"/>
        <v/>
      </c>
      <c r="H921" s="7" t="str">
        <f t="shared" si="118"/>
        <v/>
      </c>
      <c r="I921" s="8" t="str">
        <f t="shared" si="119"/>
        <v/>
      </c>
      <c r="L921" t="str">
        <f>IFERROR(MATCH($C$5&amp;"|"&amp;RIGHT("000000"&amp;905,6),LdgRankKeyA,0),"")</f>
        <v/>
      </c>
      <c r="M921" t="str">
        <f>IFERROR(MATCH($C$5&amp;"|"&amp;RIGHT("000000"&amp;905,6),LdgRankKeyB,0),"")</f>
        <v/>
      </c>
    </row>
    <row r="922" spans="1:13" x14ac:dyDescent="0.2">
      <c r="A922" s="9">
        <v>906</v>
      </c>
      <c r="B922" s="10" t="str">
        <f t="shared" si="112"/>
        <v/>
      </c>
      <c r="C922" s="10" t="str">
        <f t="shared" si="113"/>
        <v/>
      </c>
      <c r="D922" s="10" t="str">
        <f t="shared" si="114"/>
        <v/>
      </c>
      <c r="E922" s="11" t="str">
        <f t="shared" si="115"/>
        <v/>
      </c>
      <c r="F922" s="12" t="str">
        <f t="shared" si="116"/>
        <v/>
      </c>
      <c r="G922" s="13" t="str">
        <f t="shared" si="117"/>
        <v/>
      </c>
      <c r="H922" s="13" t="str">
        <f t="shared" si="118"/>
        <v/>
      </c>
      <c r="I922" s="14" t="str">
        <f t="shared" si="119"/>
        <v/>
      </c>
      <c r="L922" t="str">
        <f>IFERROR(MATCH($C$5&amp;"|"&amp;RIGHT("000000"&amp;906,6),LdgRankKeyA,0),"")</f>
        <v/>
      </c>
      <c r="M922" t="str">
        <f>IFERROR(MATCH($C$5&amp;"|"&amp;RIGHT("000000"&amp;906,6),LdgRankKeyB,0),"")</f>
        <v/>
      </c>
    </row>
    <row r="923" spans="1:13" x14ac:dyDescent="0.2">
      <c r="A923" s="3">
        <v>907</v>
      </c>
      <c r="B923" s="4" t="str">
        <f t="shared" si="112"/>
        <v/>
      </c>
      <c r="C923" s="4" t="str">
        <f t="shared" si="113"/>
        <v/>
      </c>
      <c r="D923" s="4" t="str">
        <f t="shared" si="114"/>
        <v/>
      </c>
      <c r="E923" s="5" t="str">
        <f t="shared" si="115"/>
        <v/>
      </c>
      <c r="F923" s="6" t="str">
        <f t="shared" si="116"/>
        <v/>
      </c>
      <c r="G923" s="7" t="str">
        <f t="shared" si="117"/>
        <v/>
      </c>
      <c r="H923" s="7" t="str">
        <f t="shared" si="118"/>
        <v/>
      </c>
      <c r="I923" s="8" t="str">
        <f t="shared" si="119"/>
        <v/>
      </c>
      <c r="L923" t="str">
        <f>IFERROR(MATCH($C$5&amp;"|"&amp;RIGHT("000000"&amp;907,6),LdgRankKeyA,0),"")</f>
        <v/>
      </c>
      <c r="M923" t="str">
        <f>IFERROR(MATCH($C$5&amp;"|"&amp;RIGHT("000000"&amp;907,6),LdgRankKeyB,0),"")</f>
        <v/>
      </c>
    </row>
    <row r="924" spans="1:13" x14ac:dyDescent="0.2">
      <c r="A924" s="9">
        <v>908</v>
      </c>
      <c r="B924" s="10" t="str">
        <f t="shared" si="112"/>
        <v/>
      </c>
      <c r="C924" s="10" t="str">
        <f t="shared" si="113"/>
        <v/>
      </c>
      <c r="D924" s="10" t="str">
        <f t="shared" si="114"/>
        <v/>
      </c>
      <c r="E924" s="11" t="str">
        <f t="shared" si="115"/>
        <v/>
      </c>
      <c r="F924" s="12" t="str">
        <f t="shared" si="116"/>
        <v/>
      </c>
      <c r="G924" s="13" t="str">
        <f t="shared" si="117"/>
        <v/>
      </c>
      <c r="H924" s="13" t="str">
        <f t="shared" si="118"/>
        <v/>
      </c>
      <c r="I924" s="14" t="str">
        <f t="shared" si="119"/>
        <v/>
      </c>
      <c r="L924" t="str">
        <f>IFERROR(MATCH($C$5&amp;"|"&amp;RIGHT("000000"&amp;908,6),LdgRankKeyA,0),"")</f>
        <v/>
      </c>
      <c r="M924" t="str">
        <f>IFERROR(MATCH($C$5&amp;"|"&amp;RIGHT("000000"&amp;908,6),LdgRankKeyB,0),"")</f>
        <v/>
      </c>
    </row>
    <row r="925" spans="1:13" x14ac:dyDescent="0.2">
      <c r="A925" s="3">
        <v>909</v>
      </c>
      <c r="B925" s="4" t="str">
        <f t="shared" si="112"/>
        <v/>
      </c>
      <c r="C925" s="4" t="str">
        <f t="shared" si="113"/>
        <v/>
      </c>
      <c r="D925" s="4" t="str">
        <f t="shared" si="114"/>
        <v/>
      </c>
      <c r="E925" s="5" t="str">
        <f t="shared" si="115"/>
        <v/>
      </c>
      <c r="F925" s="6" t="str">
        <f t="shared" si="116"/>
        <v/>
      </c>
      <c r="G925" s="7" t="str">
        <f t="shared" si="117"/>
        <v/>
      </c>
      <c r="H925" s="7" t="str">
        <f t="shared" si="118"/>
        <v/>
      </c>
      <c r="I925" s="8" t="str">
        <f t="shared" si="119"/>
        <v/>
      </c>
      <c r="L925" t="str">
        <f>IFERROR(MATCH($C$5&amp;"|"&amp;RIGHT("000000"&amp;909,6),LdgRankKeyA,0),"")</f>
        <v/>
      </c>
      <c r="M925" t="str">
        <f>IFERROR(MATCH($C$5&amp;"|"&amp;RIGHT("000000"&amp;909,6),LdgRankKeyB,0),"")</f>
        <v/>
      </c>
    </row>
    <row r="926" spans="1:13" x14ac:dyDescent="0.2">
      <c r="A926" s="9">
        <v>910</v>
      </c>
      <c r="B926" s="10" t="str">
        <f t="shared" si="112"/>
        <v/>
      </c>
      <c r="C926" s="10" t="str">
        <f t="shared" si="113"/>
        <v/>
      </c>
      <c r="D926" s="10" t="str">
        <f t="shared" si="114"/>
        <v/>
      </c>
      <c r="E926" s="11" t="str">
        <f t="shared" si="115"/>
        <v/>
      </c>
      <c r="F926" s="12" t="str">
        <f t="shared" si="116"/>
        <v/>
      </c>
      <c r="G926" s="13" t="str">
        <f t="shared" si="117"/>
        <v/>
      </c>
      <c r="H926" s="13" t="str">
        <f t="shared" si="118"/>
        <v/>
      </c>
      <c r="I926" s="14" t="str">
        <f t="shared" si="119"/>
        <v/>
      </c>
      <c r="L926" t="str">
        <f>IFERROR(MATCH($C$5&amp;"|"&amp;RIGHT("000000"&amp;910,6),LdgRankKeyA,0),"")</f>
        <v/>
      </c>
      <c r="M926" t="str">
        <f>IFERROR(MATCH($C$5&amp;"|"&amp;RIGHT("000000"&amp;910,6),LdgRankKeyB,0),"")</f>
        <v/>
      </c>
    </row>
    <row r="927" spans="1:13" x14ac:dyDescent="0.2">
      <c r="A927" s="3">
        <v>911</v>
      </c>
      <c r="B927" s="4" t="str">
        <f t="shared" si="112"/>
        <v/>
      </c>
      <c r="C927" s="4" t="str">
        <f t="shared" si="113"/>
        <v/>
      </c>
      <c r="D927" s="4" t="str">
        <f t="shared" si="114"/>
        <v/>
      </c>
      <c r="E927" s="5" t="str">
        <f t="shared" si="115"/>
        <v/>
      </c>
      <c r="F927" s="6" t="str">
        <f t="shared" si="116"/>
        <v/>
      </c>
      <c r="G927" s="7" t="str">
        <f t="shared" si="117"/>
        <v/>
      </c>
      <c r="H927" s="7" t="str">
        <f t="shared" si="118"/>
        <v/>
      </c>
      <c r="I927" s="8" t="str">
        <f t="shared" si="119"/>
        <v/>
      </c>
      <c r="L927" t="str">
        <f>IFERROR(MATCH($C$5&amp;"|"&amp;RIGHT("000000"&amp;911,6),LdgRankKeyA,0),"")</f>
        <v/>
      </c>
      <c r="M927" t="str">
        <f>IFERROR(MATCH($C$5&amp;"|"&amp;RIGHT("000000"&amp;911,6),LdgRankKeyB,0),"")</f>
        <v/>
      </c>
    </row>
    <row r="928" spans="1:13" x14ac:dyDescent="0.2">
      <c r="A928" s="9">
        <v>912</v>
      </c>
      <c r="B928" s="10" t="str">
        <f t="shared" si="112"/>
        <v/>
      </c>
      <c r="C928" s="10" t="str">
        <f t="shared" si="113"/>
        <v/>
      </c>
      <c r="D928" s="10" t="str">
        <f t="shared" si="114"/>
        <v/>
      </c>
      <c r="E928" s="11" t="str">
        <f t="shared" si="115"/>
        <v/>
      </c>
      <c r="F928" s="12" t="str">
        <f t="shared" si="116"/>
        <v/>
      </c>
      <c r="G928" s="13" t="str">
        <f t="shared" si="117"/>
        <v/>
      </c>
      <c r="H928" s="13" t="str">
        <f t="shared" si="118"/>
        <v/>
      </c>
      <c r="I928" s="14" t="str">
        <f t="shared" si="119"/>
        <v/>
      </c>
      <c r="L928" t="str">
        <f>IFERROR(MATCH($C$5&amp;"|"&amp;RIGHT("000000"&amp;912,6),LdgRankKeyA,0),"")</f>
        <v/>
      </c>
      <c r="M928" t="str">
        <f>IFERROR(MATCH($C$5&amp;"|"&amp;RIGHT("000000"&amp;912,6),LdgRankKeyB,0),"")</f>
        <v/>
      </c>
    </row>
    <row r="929" spans="1:13" x14ac:dyDescent="0.2">
      <c r="A929" s="3">
        <v>913</v>
      </c>
      <c r="B929" s="4" t="str">
        <f t="shared" si="112"/>
        <v/>
      </c>
      <c r="C929" s="4" t="str">
        <f t="shared" si="113"/>
        <v/>
      </c>
      <c r="D929" s="4" t="str">
        <f t="shared" si="114"/>
        <v/>
      </c>
      <c r="E929" s="5" t="str">
        <f t="shared" si="115"/>
        <v/>
      </c>
      <c r="F929" s="6" t="str">
        <f t="shared" si="116"/>
        <v/>
      </c>
      <c r="G929" s="7" t="str">
        <f t="shared" si="117"/>
        <v/>
      </c>
      <c r="H929" s="7" t="str">
        <f t="shared" si="118"/>
        <v/>
      </c>
      <c r="I929" s="8" t="str">
        <f t="shared" si="119"/>
        <v/>
      </c>
      <c r="L929" t="str">
        <f>IFERROR(MATCH($C$5&amp;"|"&amp;RIGHT("000000"&amp;913,6),LdgRankKeyA,0),"")</f>
        <v/>
      </c>
      <c r="M929" t="str">
        <f>IFERROR(MATCH($C$5&amp;"|"&amp;RIGHT("000000"&amp;913,6),LdgRankKeyB,0),"")</f>
        <v/>
      </c>
    </row>
    <row r="930" spans="1:13" x14ac:dyDescent="0.2">
      <c r="A930" s="9">
        <v>914</v>
      </c>
      <c r="B930" s="10" t="str">
        <f t="shared" si="112"/>
        <v/>
      </c>
      <c r="C930" s="10" t="str">
        <f t="shared" si="113"/>
        <v/>
      </c>
      <c r="D930" s="10" t="str">
        <f t="shared" si="114"/>
        <v/>
      </c>
      <c r="E930" s="11" t="str">
        <f t="shared" si="115"/>
        <v/>
      </c>
      <c r="F930" s="12" t="str">
        <f t="shared" si="116"/>
        <v/>
      </c>
      <c r="G930" s="13" t="str">
        <f t="shared" si="117"/>
        <v/>
      </c>
      <c r="H930" s="13" t="str">
        <f t="shared" si="118"/>
        <v/>
      </c>
      <c r="I930" s="14" t="str">
        <f t="shared" si="119"/>
        <v/>
      </c>
      <c r="L930" t="str">
        <f>IFERROR(MATCH($C$5&amp;"|"&amp;RIGHT("000000"&amp;914,6),LdgRankKeyA,0),"")</f>
        <v/>
      </c>
      <c r="M930" t="str">
        <f>IFERROR(MATCH($C$5&amp;"|"&amp;RIGHT("000000"&amp;914,6),LdgRankKeyB,0),"")</f>
        <v/>
      </c>
    </row>
    <row r="931" spans="1:13" x14ac:dyDescent="0.2">
      <c r="A931" s="3">
        <v>915</v>
      </c>
      <c r="B931" s="4" t="str">
        <f t="shared" si="112"/>
        <v/>
      </c>
      <c r="C931" s="4" t="str">
        <f t="shared" si="113"/>
        <v/>
      </c>
      <c r="D931" s="4" t="str">
        <f t="shared" si="114"/>
        <v/>
      </c>
      <c r="E931" s="5" t="str">
        <f t="shared" si="115"/>
        <v/>
      </c>
      <c r="F931" s="6" t="str">
        <f t="shared" si="116"/>
        <v/>
      </c>
      <c r="G931" s="7" t="str">
        <f t="shared" si="117"/>
        <v/>
      </c>
      <c r="H931" s="7" t="str">
        <f t="shared" si="118"/>
        <v/>
      </c>
      <c r="I931" s="8" t="str">
        <f t="shared" si="119"/>
        <v/>
      </c>
      <c r="L931" t="str">
        <f>IFERROR(MATCH($C$5&amp;"|"&amp;RIGHT("000000"&amp;915,6),LdgRankKeyA,0),"")</f>
        <v/>
      </c>
      <c r="M931" t="str">
        <f>IFERROR(MATCH($C$5&amp;"|"&amp;RIGHT("000000"&amp;915,6),LdgRankKeyB,0),"")</f>
        <v/>
      </c>
    </row>
    <row r="932" spans="1:13" x14ac:dyDescent="0.2">
      <c r="A932" s="9">
        <v>916</v>
      </c>
      <c r="B932" s="10" t="str">
        <f t="shared" si="112"/>
        <v/>
      </c>
      <c r="C932" s="10" t="str">
        <f t="shared" si="113"/>
        <v/>
      </c>
      <c r="D932" s="10" t="str">
        <f t="shared" si="114"/>
        <v/>
      </c>
      <c r="E932" s="11" t="str">
        <f t="shared" si="115"/>
        <v/>
      </c>
      <c r="F932" s="12" t="str">
        <f t="shared" si="116"/>
        <v/>
      </c>
      <c r="G932" s="13" t="str">
        <f t="shared" si="117"/>
        <v/>
      </c>
      <c r="H932" s="13" t="str">
        <f t="shared" si="118"/>
        <v/>
      </c>
      <c r="I932" s="14" t="str">
        <f t="shared" si="119"/>
        <v/>
      </c>
      <c r="L932" t="str">
        <f>IFERROR(MATCH($C$5&amp;"|"&amp;RIGHT("000000"&amp;916,6),LdgRankKeyA,0),"")</f>
        <v/>
      </c>
      <c r="M932" t="str">
        <f>IFERROR(MATCH($C$5&amp;"|"&amp;RIGHT("000000"&amp;916,6),LdgRankKeyB,0),"")</f>
        <v/>
      </c>
    </row>
    <row r="933" spans="1:13" x14ac:dyDescent="0.2">
      <c r="A933" s="3">
        <v>917</v>
      </c>
      <c r="B933" s="4" t="str">
        <f t="shared" si="112"/>
        <v/>
      </c>
      <c r="C933" s="4" t="str">
        <f t="shared" si="113"/>
        <v/>
      </c>
      <c r="D933" s="4" t="str">
        <f t="shared" si="114"/>
        <v/>
      </c>
      <c r="E933" s="5" t="str">
        <f t="shared" si="115"/>
        <v/>
      </c>
      <c r="F933" s="6" t="str">
        <f t="shared" si="116"/>
        <v/>
      </c>
      <c r="G933" s="7" t="str">
        <f t="shared" si="117"/>
        <v/>
      </c>
      <c r="H933" s="7" t="str">
        <f t="shared" si="118"/>
        <v/>
      </c>
      <c r="I933" s="8" t="str">
        <f t="shared" si="119"/>
        <v/>
      </c>
      <c r="L933" t="str">
        <f>IFERROR(MATCH($C$5&amp;"|"&amp;RIGHT("000000"&amp;917,6),LdgRankKeyA,0),"")</f>
        <v/>
      </c>
      <c r="M933" t="str">
        <f>IFERROR(MATCH($C$5&amp;"|"&amp;RIGHT("000000"&amp;917,6),LdgRankKeyB,0),"")</f>
        <v/>
      </c>
    </row>
    <row r="934" spans="1:13" x14ac:dyDescent="0.2">
      <c r="A934" s="9">
        <v>918</v>
      </c>
      <c r="B934" s="10" t="str">
        <f t="shared" si="112"/>
        <v/>
      </c>
      <c r="C934" s="10" t="str">
        <f t="shared" si="113"/>
        <v/>
      </c>
      <c r="D934" s="10" t="str">
        <f t="shared" si="114"/>
        <v/>
      </c>
      <c r="E934" s="11" t="str">
        <f t="shared" si="115"/>
        <v/>
      </c>
      <c r="F934" s="12" t="str">
        <f t="shared" si="116"/>
        <v/>
      </c>
      <c r="G934" s="13" t="str">
        <f t="shared" si="117"/>
        <v/>
      </c>
      <c r="H934" s="13" t="str">
        <f t="shared" si="118"/>
        <v/>
      </c>
      <c r="I934" s="14" t="str">
        <f t="shared" si="119"/>
        <v/>
      </c>
      <c r="L934" t="str">
        <f>IFERROR(MATCH($C$5&amp;"|"&amp;RIGHT("000000"&amp;918,6),LdgRankKeyA,0),"")</f>
        <v/>
      </c>
      <c r="M934" t="str">
        <f>IFERROR(MATCH($C$5&amp;"|"&amp;RIGHT("000000"&amp;918,6),LdgRankKeyB,0),"")</f>
        <v/>
      </c>
    </row>
    <row r="935" spans="1:13" x14ac:dyDescent="0.2">
      <c r="A935" s="3">
        <v>919</v>
      </c>
      <c r="B935" s="4" t="str">
        <f t="shared" si="112"/>
        <v/>
      </c>
      <c r="C935" s="4" t="str">
        <f t="shared" si="113"/>
        <v/>
      </c>
      <c r="D935" s="4" t="str">
        <f t="shared" si="114"/>
        <v/>
      </c>
      <c r="E935" s="5" t="str">
        <f t="shared" si="115"/>
        <v/>
      </c>
      <c r="F935" s="6" t="str">
        <f t="shared" si="116"/>
        <v/>
      </c>
      <c r="G935" s="7" t="str">
        <f t="shared" si="117"/>
        <v/>
      </c>
      <c r="H935" s="7" t="str">
        <f t="shared" si="118"/>
        <v/>
      </c>
      <c r="I935" s="8" t="str">
        <f t="shared" si="119"/>
        <v/>
      </c>
      <c r="L935" t="str">
        <f>IFERROR(MATCH($C$5&amp;"|"&amp;RIGHT("000000"&amp;919,6),LdgRankKeyA,0),"")</f>
        <v/>
      </c>
      <c r="M935" t="str">
        <f>IFERROR(MATCH($C$5&amp;"|"&amp;RIGHT("000000"&amp;919,6),LdgRankKeyB,0),"")</f>
        <v/>
      </c>
    </row>
    <row r="936" spans="1:13" x14ac:dyDescent="0.2">
      <c r="A936" s="9">
        <v>920</v>
      </c>
      <c r="B936" s="10" t="str">
        <f t="shared" si="112"/>
        <v/>
      </c>
      <c r="C936" s="10" t="str">
        <f t="shared" si="113"/>
        <v/>
      </c>
      <c r="D936" s="10" t="str">
        <f t="shared" si="114"/>
        <v/>
      </c>
      <c r="E936" s="11" t="str">
        <f t="shared" si="115"/>
        <v/>
      </c>
      <c r="F936" s="12" t="str">
        <f t="shared" si="116"/>
        <v/>
      </c>
      <c r="G936" s="13" t="str">
        <f t="shared" si="117"/>
        <v/>
      </c>
      <c r="H936" s="13" t="str">
        <f t="shared" si="118"/>
        <v/>
      </c>
      <c r="I936" s="14" t="str">
        <f t="shared" si="119"/>
        <v/>
      </c>
      <c r="L936" t="str">
        <f>IFERROR(MATCH($C$5&amp;"|"&amp;RIGHT("000000"&amp;920,6),LdgRankKeyA,0),"")</f>
        <v/>
      </c>
      <c r="M936" t="str">
        <f>IFERROR(MATCH($C$5&amp;"|"&amp;RIGHT("000000"&amp;920,6),LdgRankKeyB,0),"")</f>
        <v/>
      </c>
    </row>
    <row r="937" spans="1:13" x14ac:dyDescent="0.2">
      <c r="A937" s="3">
        <v>921</v>
      </c>
      <c r="B937" s="4" t="str">
        <f t="shared" si="112"/>
        <v/>
      </c>
      <c r="C937" s="4" t="str">
        <f t="shared" si="113"/>
        <v/>
      </c>
      <c r="D937" s="4" t="str">
        <f t="shared" si="114"/>
        <v/>
      </c>
      <c r="E937" s="5" t="str">
        <f t="shared" si="115"/>
        <v/>
      </c>
      <c r="F937" s="6" t="str">
        <f t="shared" si="116"/>
        <v/>
      </c>
      <c r="G937" s="7" t="str">
        <f t="shared" si="117"/>
        <v/>
      </c>
      <c r="H937" s="7" t="str">
        <f t="shared" si="118"/>
        <v/>
      </c>
      <c r="I937" s="8" t="str">
        <f t="shared" si="119"/>
        <v/>
      </c>
      <c r="L937" t="str">
        <f>IFERROR(MATCH($C$5&amp;"|"&amp;RIGHT("000000"&amp;921,6),LdgRankKeyA,0),"")</f>
        <v/>
      </c>
      <c r="M937" t="str">
        <f>IFERROR(MATCH($C$5&amp;"|"&amp;RIGHT("000000"&amp;921,6),LdgRankKeyB,0),"")</f>
        <v/>
      </c>
    </row>
    <row r="938" spans="1:13" x14ac:dyDescent="0.2">
      <c r="A938" s="9">
        <v>922</v>
      </c>
      <c r="B938" s="10" t="str">
        <f t="shared" si="112"/>
        <v/>
      </c>
      <c r="C938" s="10" t="str">
        <f t="shared" si="113"/>
        <v/>
      </c>
      <c r="D938" s="10" t="str">
        <f t="shared" si="114"/>
        <v/>
      </c>
      <c r="E938" s="11" t="str">
        <f t="shared" si="115"/>
        <v/>
      </c>
      <c r="F938" s="12" t="str">
        <f t="shared" si="116"/>
        <v/>
      </c>
      <c r="G938" s="13" t="str">
        <f t="shared" si="117"/>
        <v/>
      </c>
      <c r="H938" s="13" t="str">
        <f t="shared" si="118"/>
        <v/>
      </c>
      <c r="I938" s="14" t="str">
        <f t="shared" si="119"/>
        <v/>
      </c>
      <c r="L938" t="str">
        <f>IFERROR(MATCH($C$5&amp;"|"&amp;RIGHT("000000"&amp;922,6),LdgRankKeyA,0),"")</f>
        <v/>
      </c>
      <c r="M938" t="str">
        <f>IFERROR(MATCH($C$5&amp;"|"&amp;RIGHT("000000"&amp;922,6),LdgRankKeyB,0),"")</f>
        <v/>
      </c>
    </row>
    <row r="939" spans="1:13" x14ac:dyDescent="0.2">
      <c r="A939" s="3">
        <v>923</v>
      </c>
      <c r="B939" s="4" t="str">
        <f t="shared" si="112"/>
        <v/>
      </c>
      <c r="C939" s="4" t="str">
        <f t="shared" si="113"/>
        <v/>
      </c>
      <c r="D939" s="4" t="str">
        <f t="shared" si="114"/>
        <v/>
      </c>
      <c r="E939" s="5" t="str">
        <f t="shared" si="115"/>
        <v/>
      </c>
      <c r="F939" s="6" t="str">
        <f t="shared" si="116"/>
        <v/>
      </c>
      <c r="G939" s="7" t="str">
        <f t="shared" si="117"/>
        <v/>
      </c>
      <c r="H939" s="7" t="str">
        <f t="shared" si="118"/>
        <v/>
      </c>
      <c r="I939" s="8" t="str">
        <f t="shared" si="119"/>
        <v/>
      </c>
      <c r="L939" t="str">
        <f>IFERROR(MATCH($C$5&amp;"|"&amp;RIGHT("000000"&amp;923,6),LdgRankKeyA,0),"")</f>
        <v/>
      </c>
      <c r="M939" t="str">
        <f>IFERROR(MATCH($C$5&amp;"|"&amp;RIGHT("000000"&amp;923,6),LdgRankKeyB,0),"")</f>
        <v/>
      </c>
    </row>
    <row r="940" spans="1:13" x14ac:dyDescent="0.2">
      <c r="A940" s="9">
        <v>924</v>
      </c>
      <c r="B940" s="10" t="str">
        <f t="shared" si="112"/>
        <v/>
      </c>
      <c r="C940" s="10" t="str">
        <f t="shared" si="113"/>
        <v/>
      </c>
      <c r="D940" s="10" t="str">
        <f t="shared" si="114"/>
        <v/>
      </c>
      <c r="E940" s="11" t="str">
        <f t="shared" si="115"/>
        <v/>
      </c>
      <c r="F940" s="12" t="str">
        <f t="shared" si="116"/>
        <v/>
      </c>
      <c r="G940" s="13" t="str">
        <f t="shared" si="117"/>
        <v/>
      </c>
      <c r="H940" s="13" t="str">
        <f t="shared" si="118"/>
        <v/>
      </c>
      <c r="I940" s="14" t="str">
        <f t="shared" si="119"/>
        <v/>
      </c>
      <c r="L940" t="str">
        <f>IFERROR(MATCH($C$5&amp;"|"&amp;RIGHT("000000"&amp;924,6),LdgRankKeyA,0),"")</f>
        <v/>
      </c>
      <c r="M940" t="str">
        <f>IFERROR(MATCH($C$5&amp;"|"&amp;RIGHT("000000"&amp;924,6),LdgRankKeyB,0),"")</f>
        <v/>
      </c>
    </row>
    <row r="941" spans="1:13" x14ac:dyDescent="0.2">
      <c r="A941" s="3">
        <v>925</v>
      </c>
      <c r="B941" s="4" t="str">
        <f t="shared" si="112"/>
        <v/>
      </c>
      <c r="C941" s="4" t="str">
        <f t="shared" si="113"/>
        <v/>
      </c>
      <c r="D941" s="4" t="str">
        <f t="shared" si="114"/>
        <v/>
      </c>
      <c r="E941" s="5" t="str">
        <f t="shared" si="115"/>
        <v/>
      </c>
      <c r="F941" s="6" t="str">
        <f t="shared" si="116"/>
        <v/>
      </c>
      <c r="G941" s="7" t="str">
        <f t="shared" si="117"/>
        <v/>
      </c>
      <c r="H941" s="7" t="str">
        <f t="shared" si="118"/>
        <v/>
      </c>
      <c r="I941" s="8" t="str">
        <f t="shared" si="119"/>
        <v/>
      </c>
      <c r="L941" t="str">
        <f>IFERROR(MATCH($C$5&amp;"|"&amp;RIGHT("000000"&amp;925,6),LdgRankKeyA,0),"")</f>
        <v/>
      </c>
      <c r="M941" t="str">
        <f>IFERROR(MATCH($C$5&amp;"|"&amp;RIGHT("000000"&amp;925,6),LdgRankKeyB,0),"")</f>
        <v/>
      </c>
    </row>
    <row r="942" spans="1:13" x14ac:dyDescent="0.2">
      <c r="A942" s="9">
        <v>926</v>
      </c>
      <c r="B942" s="10" t="str">
        <f t="shared" si="112"/>
        <v/>
      </c>
      <c r="C942" s="10" t="str">
        <f t="shared" si="113"/>
        <v/>
      </c>
      <c r="D942" s="10" t="str">
        <f t="shared" si="114"/>
        <v/>
      </c>
      <c r="E942" s="11" t="str">
        <f t="shared" si="115"/>
        <v/>
      </c>
      <c r="F942" s="12" t="str">
        <f t="shared" si="116"/>
        <v/>
      </c>
      <c r="G942" s="13" t="str">
        <f t="shared" si="117"/>
        <v/>
      </c>
      <c r="H942" s="13" t="str">
        <f t="shared" si="118"/>
        <v/>
      </c>
      <c r="I942" s="14" t="str">
        <f t="shared" si="119"/>
        <v/>
      </c>
      <c r="L942" t="str">
        <f>IFERROR(MATCH($C$5&amp;"|"&amp;RIGHT("000000"&amp;926,6),LdgRankKeyA,0),"")</f>
        <v/>
      </c>
      <c r="M942" t="str">
        <f>IFERROR(MATCH($C$5&amp;"|"&amp;RIGHT("000000"&amp;926,6),LdgRankKeyB,0),"")</f>
        <v/>
      </c>
    </row>
    <row r="943" spans="1:13" x14ac:dyDescent="0.2">
      <c r="A943" s="3">
        <v>927</v>
      </c>
      <c r="B943" s="4" t="str">
        <f t="shared" si="112"/>
        <v/>
      </c>
      <c r="C943" s="4" t="str">
        <f t="shared" si="113"/>
        <v/>
      </c>
      <c r="D943" s="4" t="str">
        <f t="shared" si="114"/>
        <v/>
      </c>
      <c r="E943" s="5" t="str">
        <f t="shared" si="115"/>
        <v/>
      </c>
      <c r="F943" s="6" t="str">
        <f t="shared" si="116"/>
        <v/>
      </c>
      <c r="G943" s="7" t="str">
        <f t="shared" si="117"/>
        <v/>
      </c>
      <c r="H943" s="7" t="str">
        <f t="shared" si="118"/>
        <v/>
      </c>
      <c r="I943" s="8" t="str">
        <f t="shared" si="119"/>
        <v/>
      </c>
      <c r="L943" t="str">
        <f>IFERROR(MATCH($C$5&amp;"|"&amp;RIGHT("000000"&amp;927,6),LdgRankKeyA,0),"")</f>
        <v/>
      </c>
      <c r="M943" t="str">
        <f>IFERROR(MATCH($C$5&amp;"|"&amp;RIGHT("000000"&amp;927,6),LdgRankKeyB,0),"")</f>
        <v/>
      </c>
    </row>
    <row r="944" spans="1:13" x14ac:dyDescent="0.2">
      <c r="A944" s="9">
        <v>928</v>
      </c>
      <c r="B944" s="10" t="str">
        <f t="shared" si="112"/>
        <v/>
      </c>
      <c r="C944" s="10" t="str">
        <f t="shared" si="113"/>
        <v/>
      </c>
      <c r="D944" s="10" t="str">
        <f t="shared" si="114"/>
        <v/>
      </c>
      <c r="E944" s="11" t="str">
        <f t="shared" si="115"/>
        <v/>
      </c>
      <c r="F944" s="12" t="str">
        <f t="shared" si="116"/>
        <v/>
      </c>
      <c r="G944" s="13" t="str">
        <f t="shared" si="117"/>
        <v/>
      </c>
      <c r="H944" s="13" t="str">
        <f t="shared" si="118"/>
        <v/>
      </c>
      <c r="I944" s="14" t="str">
        <f t="shared" si="119"/>
        <v/>
      </c>
      <c r="L944" t="str">
        <f>IFERROR(MATCH($C$5&amp;"|"&amp;RIGHT("000000"&amp;928,6),LdgRankKeyA,0),"")</f>
        <v/>
      </c>
      <c r="M944" t="str">
        <f>IFERROR(MATCH($C$5&amp;"|"&amp;RIGHT("000000"&amp;928,6),LdgRankKeyB,0),"")</f>
        <v/>
      </c>
    </row>
    <row r="945" spans="1:13" x14ac:dyDescent="0.2">
      <c r="A945" s="3">
        <v>929</v>
      </c>
      <c r="B945" s="4" t="str">
        <f t="shared" si="112"/>
        <v/>
      </c>
      <c r="C945" s="4" t="str">
        <f t="shared" si="113"/>
        <v/>
      </c>
      <c r="D945" s="4" t="str">
        <f t="shared" si="114"/>
        <v/>
      </c>
      <c r="E945" s="5" t="str">
        <f t="shared" si="115"/>
        <v/>
      </c>
      <c r="F945" s="6" t="str">
        <f t="shared" si="116"/>
        <v/>
      </c>
      <c r="G945" s="7" t="str">
        <f t="shared" si="117"/>
        <v/>
      </c>
      <c r="H945" s="7" t="str">
        <f t="shared" si="118"/>
        <v/>
      </c>
      <c r="I945" s="8" t="str">
        <f t="shared" si="119"/>
        <v/>
      </c>
      <c r="L945" t="str">
        <f>IFERROR(MATCH($C$5&amp;"|"&amp;RIGHT("000000"&amp;929,6),LdgRankKeyA,0),"")</f>
        <v/>
      </c>
      <c r="M945" t="str">
        <f>IFERROR(MATCH($C$5&amp;"|"&amp;RIGHT("000000"&amp;929,6),LdgRankKeyB,0),"")</f>
        <v/>
      </c>
    </row>
    <row r="946" spans="1:13" x14ac:dyDescent="0.2">
      <c r="A946" s="9">
        <v>930</v>
      </c>
      <c r="B946" s="10" t="str">
        <f t="shared" si="112"/>
        <v/>
      </c>
      <c r="C946" s="10" t="str">
        <f t="shared" si="113"/>
        <v/>
      </c>
      <c r="D946" s="10" t="str">
        <f t="shared" si="114"/>
        <v/>
      </c>
      <c r="E946" s="11" t="str">
        <f t="shared" si="115"/>
        <v/>
      </c>
      <c r="F946" s="12" t="str">
        <f t="shared" si="116"/>
        <v/>
      </c>
      <c r="G946" s="13" t="str">
        <f t="shared" si="117"/>
        <v/>
      </c>
      <c r="H946" s="13" t="str">
        <f t="shared" si="118"/>
        <v/>
      </c>
      <c r="I946" s="14" t="str">
        <f t="shared" si="119"/>
        <v/>
      </c>
      <c r="L946" t="str">
        <f>IFERROR(MATCH($C$5&amp;"|"&amp;RIGHT("000000"&amp;930,6),LdgRankKeyA,0),"")</f>
        <v/>
      </c>
      <c r="M946" t="str">
        <f>IFERROR(MATCH($C$5&amp;"|"&amp;RIGHT("000000"&amp;930,6),LdgRankKeyB,0),"")</f>
        <v/>
      </c>
    </row>
    <row r="947" spans="1:13" x14ac:dyDescent="0.2">
      <c r="A947" s="3">
        <v>931</v>
      </c>
      <c r="B947" s="4" t="str">
        <f t="shared" si="112"/>
        <v/>
      </c>
      <c r="C947" s="4" t="str">
        <f t="shared" si="113"/>
        <v/>
      </c>
      <c r="D947" s="4" t="str">
        <f t="shared" si="114"/>
        <v/>
      </c>
      <c r="E947" s="5" t="str">
        <f t="shared" si="115"/>
        <v/>
      </c>
      <c r="F947" s="6" t="str">
        <f t="shared" si="116"/>
        <v/>
      </c>
      <c r="G947" s="7" t="str">
        <f t="shared" si="117"/>
        <v/>
      </c>
      <c r="H947" s="7" t="str">
        <f t="shared" si="118"/>
        <v/>
      </c>
      <c r="I947" s="8" t="str">
        <f t="shared" si="119"/>
        <v/>
      </c>
      <c r="L947" t="str">
        <f>IFERROR(MATCH($C$5&amp;"|"&amp;RIGHT("000000"&amp;931,6),LdgRankKeyA,0),"")</f>
        <v/>
      </c>
      <c r="M947" t="str">
        <f>IFERROR(MATCH($C$5&amp;"|"&amp;RIGHT("000000"&amp;931,6),LdgRankKeyB,0),"")</f>
        <v/>
      </c>
    </row>
    <row r="948" spans="1:13" x14ac:dyDescent="0.2">
      <c r="A948" s="9">
        <v>932</v>
      </c>
      <c r="B948" s="10" t="str">
        <f t="shared" si="112"/>
        <v/>
      </c>
      <c r="C948" s="10" t="str">
        <f t="shared" si="113"/>
        <v/>
      </c>
      <c r="D948" s="10" t="str">
        <f t="shared" si="114"/>
        <v/>
      </c>
      <c r="E948" s="11" t="str">
        <f t="shared" si="115"/>
        <v/>
      </c>
      <c r="F948" s="12" t="str">
        <f t="shared" si="116"/>
        <v/>
      </c>
      <c r="G948" s="13" t="str">
        <f t="shared" si="117"/>
        <v/>
      </c>
      <c r="H948" s="13" t="str">
        <f t="shared" si="118"/>
        <v/>
      </c>
      <c r="I948" s="14" t="str">
        <f t="shared" si="119"/>
        <v/>
      </c>
      <c r="L948" t="str">
        <f>IFERROR(MATCH($C$5&amp;"|"&amp;RIGHT("000000"&amp;932,6),LdgRankKeyA,0),"")</f>
        <v/>
      </c>
      <c r="M948" t="str">
        <f>IFERROR(MATCH($C$5&amp;"|"&amp;RIGHT("000000"&amp;932,6),LdgRankKeyB,0),"")</f>
        <v/>
      </c>
    </row>
    <row r="949" spans="1:13" x14ac:dyDescent="0.2">
      <c r="A949" s="3">
        <v>933</v>
      </c>
      <c r="B949" s="4" t="str">
        <f t="shared" si="112"/>
        <v/>
      </c>
      <c r="C949" s="4" t="str">
        <f t="shared" si="113"/>
        <v/>
      </c>
      <c r="D949" s="4" t="str">
        <f t="shared" si="114"/>
        <v/>
      </c>
      <c r="E949" s="5" t="str">
        <f t="shared" si="115"/>
        <v/>
      </c>
      <c r="F949" s="6" t="str">
        <f t="shared" si="116"/>
        <v/>
      </c>
      <c r="G949" s="7" t="str">
        <f t="shared" si="117"/>
        <v/>
      </c>
      <c r="H949" s="7" t="str">
        <f t="shared" si="118"/>
        <v/>
      </c>
      <c r="I949" s="8" t="str">
        <f t="shared" si="119"/>
        <v/>
      </c>
      <c r="L949" t="str">
        <f>IFERROR(MATCH($C$5&amp;"|"&amp;RIGHT("000000"&amp;933,6),LdgRankKeyA,0),"")</f>
        <v/>
      </c>
      <c r="M949" t="str">
        <f>IFERROR(MATCH($C$5&amp;"|"&amp;RIGHT("000000"&amp;933,6),LdgRankKeyB,0),"")</f>
        <v/>
      </c>
    </row>
    <row r="950" spans="1:13" x14ac:dyDescent="0.2">
      <c r="A950" s="9">
        <v>934</v>
      </c>
      <c r="B950" s="10" t="str">
        <f t="shared" si="112"/>
        <v/>
      </c>
      <c r="C950" s="10" t="str">
        <f t="shared" si="113"/>
        <v/>
      </c>
      <c r="D950" s="10" t="str">
        <f t="shared" si="114"/>
        <v/>
      </c>
      <c r="E950" s="11" t="str">
        <f t="shared" si="115"/>
        <v/>
      </c>
      <c r="F950" s="12" t="str">
        <f t="shared" si="116"/>
        <v/>
      </c>
      <c r="G950" s="13" t="str">
        <f t="shared" si="117"/>
        <v/>
      </c>
      <c r="H950" s="13" t="str">
        <f t="shared" si="118"/>
        <v/>
      </c>
      <c r="I950" s="14" t="str">
        <f t="shared" si="119"/>
        <v/>
      </c>
      <c r="L950" t="str">
        <f>IFERROR(MATCH($C$5&amp;"|"&amp;RIGHT("000000"&amp;934,6),LdgRankKeyA,0),"")</f>
        <v/>
      </c>
      <c r="M950" t="str">
        <f>IFERROR(MATCH($C$5&amp;"|"&amp;RIGHT("000000"&amp;934,6),LdgRankKeyB,0),"")</f>
        <v/>
      </c>
    </row>
    <row r="951" spans="1:13" x14ac:dyDescent="0.2">
      <c r="A951" s="3">
        <v>935</v>
      </c>
      <c r="B951" s="4" t="str">
        <f t="shared" si="112"/>
        <v/>
      </c>
      <c r="C951" s="4" t="str">
        <f t="shared" si="113"/>
        <v/>
      </c>
      <c r="D951" s="4" t="str">
        <f t="shared" si="114"/>
        <v/>
      </c>
      <c r="E951" s="5" t="str">
        <f t="shared" si="115"/>
        <v/>
      </c>
      <c r="F951" s="6" t="str">
        <f t="shared" si="116"/>
        <v/>
      </c>
      <c r="G951" s="7" t="str">
        <f t="shared" si="117"/>
        <v/>
      </c>
      <c r="H951" s="7" t="str">
        <f t="shared" si="118"/>
        <v/>
      </c>
      <c r="I951" s="8" t="str">
        <f t="shared" si="119"/>
        <v/>
      </c>
      <c r="L951" t="str">
        <f>IFERROR(MATCH($C$5&amp;"|"&amp;RIGHT("000000"&amp;935,6),LdgRankKeyA,0),"")</f>
        <v/>
      </c>
      <c r="M951" t="str">
        <f>IFERROR(MATCH($C$5&amp;"|"&amp;RIGHT("000000"&amp;935,6),LdgRankKeyB,0),"")</f>
        <v/>
      </c>
    </row>
    <row r="952" spans="1:13" x14ac:dyDescent="0.2">
      <c r="A952" s="9">
        <v>936</v>
      </c>
      <c r="B952" s="10" t="str">
        <f t="shared" si="112"/>
        <v/>
      </c>
      <c r="C952" s="10" t="str">
        <f t="shared" si="113"/>
        <v/>
      </c>
      <c r="D952" s="10" t="str">
        <f t="shared" si="114"/>
        <v/>
      </c>
      <c r="E952" s="11" t="str">
        <f t="shared" si="115"/>
        <v/>
      </c>
      <c r="F952" s="12" t="str">
        <f t="shared" si="116"/>
        <v/>
      </c>
      <c r="G952" s="13" t="str">
        <f t="shared" si="117"/>
        <v/>
      </c>
      <c r="H952" s="13" t="str">
        <f t="shared" si="118"/>
        <v/>
      </c>
      <c r="I952" s="14" t="str">
        <f t="shared" si="119"/>
        <v/>
      </c>
      <c r="L952" t="str">
        <f>IFERROR(MATCH($C$5&amp;"|"&amp;RIGHT("000000"&amp;936,6),LdgRankKeyA,0),"")</f>
        <v/>
      </c>
      <c r="M952" t="str">
        <f>IFERROR(MATCH($C$5&amp;"|"&amp;RIGHT("000000"&amp;936,6),LdgRankKeyB,0),"")</f>
        <v/>
      </c>
    </row>
    <row r="953" spans="1:13" x14ac:dyDescent="0.2">
      <c r="A953" s="3">
        <v>937</v>
      </c>
      <c r="B953" s="4" t="str">
        <f t="shared" si="112"/>
        <v/>
      </c>
      <c r="C953" s="4" t="str">
        <f t="shared" si="113"/>
        <v/>
      </c>
      <c r="D953" s="4" t="str">
        <f t="shared" si="114"/>
        <v/>
      </c>
      <c r="E953" s="5" t="str">
        <f t="shared" si="115"/>
        <v/>
      </c>
      <c r="F953" s="6" t="str">
        <f t="shared" si="116"/>
        <v/>
      </c>
      <c r="G953" s="7" t="str">
        <f t="shared" si="117"/>
        <v/>
      </c>
      <c r="H953" s="7" t="str">
        <f t="shared" si="118"/>
        <v/>
      </c>
      <c r="I953" s="8" t="str">
        <f t="shared" si="119"/>
        <v/>
      </c>
      <c r="L953" t="str">
        <f>IFERROR(MATCH($C$5&amp;"|"&amp;RIGHT("000000"&amp;937,6),LdgRankKeyA,0),"")</f>
        <v/>
      </c>
      <c r="M953" t="str">
        <f>IFERROR(MATCH($C$5&amp;"|"&amp;RIGHT("000000"&amp;937,6),LdgRankKeyB,0),"")</f>
        <v/>
      </c>
    </row>
    <row r="954" spans="1:13" x14ac:dyDescent="0.2">
      <c r="A954" s="9">
        <v>938</v>
      </c>
      <c r="B954" s="10" t="str">
        <f t="shared" si="112"/>
        <v/>
      </c>
      <c r="C954" s="10" t="str">
        <f t="shared" si="113"/>
        <v/>
      </c>
      <c r="D954" s="10" t="str">
        <f t="shared" si="114"/>
        <v/>
      </c>
      <c r="E954" s="11" t="str">
        <f t="shared" si="115"/>
        <v/>
      </c>
      <c r="F954" s="12" t="str">
        <f t="shared" si="116"/>
        <v/>
      </c>
      <c r="G954" s="13" t="str">
        <f t="shared" si="117"/>
        <v/>
      </c>
      <c r="H954" s="13" t="str">
        <f t="shared" si="118"/>
        <v/>
      </c>
      <c r="I954" s="14" t="str">
        <f t="shared" si="119"/>
        <v/>
      </c>
      <c r="L954" t="str">
        <f>IFERROR(MATCH($C$5&amp;"|"&amp;RIGHT("000000"&amp;938,6),LdgRankKeyA,0),"")</f>
        <v/>
      </c>
      <c r="M954" t="str">
        <f>IFERROR(MATCH($C$5&amp;"|"&amp;RIGHT("000000"&amp;938,6),LdgRankKeyB,0),"")</f>
        <v/>
      </c>
    </row>
    <row r="955" spans="1:13" x14ac:dyDescent="0.2">
      <c r="A955" s="3">
        <v>939</v>
      </c>
      <c r="B955" s="4" t="str">
        <f t="shared" si="112"/>
        <v/>
      </c>
      <c r="C955" s="4" t="str">
        <f t="shared" si="113"/>
        <v/>
      </c>
      <c r="D955" s="4" t="str">
        <f t="shared" si="114"/>
        <v/>
      </c>
      <c r="E955" s="5" t="str">
        <f t="shared" si="115"/>
        <v/>
      </c>
      <c r="F955" s="6" t="str">
        <f t="shared" si="116"/>
        <v/>
      </c>
      <c r="G955" s="7" t="str">
        <f t="shared" si="117"/>
        <v/>
      </c>
      <c r="H955" s="7" t="str">
        <f t="shared" si="118"/>
        <v/>
      </c>
      <c r="I955" s="8" t="str">
        <f t="shared" si="119"/>
        <v/>
      </c>
      <c r="L955" t="str">
        <f>IFERROR(MATCH($C$5&amp;"|"&amp;RIGHT("000000"&amp;939,6),LdgRankKeyA,0),"")</f>
        <v/>
      </c>
      <c r="M955" t="str">
        <f>IFERROR(MATCH($C$5&amp;"|"&amp;RIGHT("000000"&amp;939,6),LdgRankKeyB,0),"")</f>
        <v/>
      </c>
    </row>
    <row r="956" spans="1:13" x14ac:dyDescent="0.2">
      <c r="A956" s="9">
        <v>940</v>
      </c>
      <c r="B956" s="10" t="str">
        <f t="shared" si="112"/>
        <v/>
      </c>
      <c r="C956" s="10" t="str">
        <f t="shared" si="113"/>
        <v/>
      </c>
      <c r="D956" s="10" t="str">
        <f t="shared" si="114"/>
        <v/>
      </c>
      <c r="E956" s="11" t="str">
        <f t="shared" si="115"/>
        <v/>
      </c>
      <c r="F956" s="12" t="str">
        <f t="shared" si="116"/>
        <v/>
      </c>
      <c r="G956" s="13" t="str">
        <f t="shared" si="117"/>
        <v/>
      </c>
      <c r="H956" s="13" t="str">
        <f t="shared" si="118"/>
        <v/>
      </c>
      <c r="I956" s="14" t="str">
        <f t="shared" si="119"/>
        <v/>
      </c>
      <c r="L956" t="str">
        <f>IFERROR(MATCH($C$5&amp;"|"&amp;RIGHT("000000"&amp;940,6),LdgRankKeyA,0),"")</f>
        <v/>
      </c>
      <c r="M956" t="str">
        <f>IFERROR(MATCH($C$5&amp;"|"&amp;RIGHT("000000"&amp;940,6),LdgRankKeyB,0),"")</f>
        <v/>
      </c>
    </row>
    <row r="957" spans="1:13" x14ac:dyDescent="0.2">
      <c r="A957" s="3">
        <v>941</v>
      </c>
      <c r="B957" s="4" t="str">
        <f t="shared" si="112"/>
        <v/>
      </c>
      <c r="C957" s="4" t="str">
        <f t="shared" si="113"/>
        <v/>
      </c>
      <c r="D957" s="4" t="str">
        <f t="shared" si="114"/>
        <v/>
      </c>
      <c r="E957" s="5" t="str">
        <f t="shared" si="115"/>
        <v/>
      </c>
      <c r="F957" s="6" t="str">
        <f t="shared" si="116"/>
        <v/>
      </c>
      <c r="G957" s="7" t="str">
        <f t="shared" si="117"/>
        <v/>
      </c>
      <c r="H957" s="7" t="str">
        <f t="shared" si="118"/>
        <v/>
      </c>
      <c r="I957" s="8" t="str">
        <f t="shared" si="119"/>
        <v/>
      </c>
      <c r="L957" t="str">
        <f>IFERROR(MATCH($C$5&amp;"|"&amp;RIGHT("000000"&amp;941,6),LdgRankKeyA,0),"")</f>
        <v/>
      </c>
      <c r="M957" t="str">
        <f>IFERROR(MATCH($C$5&amp;"|"&amp;RIGHT("000000"&amp;941,6),LdgRankKeyB,0),"")</f>
        <v/>
      </c>
    </row>
    <row r="958" spans="1:13" x14ac:dyDescent="0.2">
      <c r="A958" s="9">
        <v>942</v>
      </c>
      <c r="B958" s="10" t="str">
        <f t="shared" si="112"/>
        <v/>
      </c>
      <c r="C958" s="10" t="str">
        <f t="shared" si="113"/>
        <v/>
      </c>
      <c r="D958" s="10" t="str">
        <f t="shared" si="114"/>
        <v/>
      </c>
      <c r="E958" s="11" t="str">
        <f t="shared" si="115"/>
        <v/>
      </c>
      <c r="F958" s="12" t="str">
        <f t="shared" si="116"/>
        <v/>
      </c>
      <c r="G958" s="13" t="str">
        <f t="shared" si="117"/>
        <v/>
      </c>
      <c r="H958" s="13" t="str">
        <f t="shared" si="118"/>
        <v/>
      </c>
      <c r="I958" s="14" t="str">
        <f t="shared" si="119"/>
        <v/>
      </c>
      <c r="L958" t="str">
        <f>IFERROR(MATCH($C$5&amp;"|"&amp;RIGHT("000000"&amp;942,6),LdgRankKeyA,0),"")</f>
        <v/>
      </c>
      <c r="M958" t="str">
        <f>IFERROR(MATCH($C$5&amp;"|"&amp;RIGHT("000000"&amp;942,6),LdgRankKeyB,0),"")</f>
        <v/>
      </c>
    </row>
    <row r="959" spans="1:13" x14ac:dyDescent="0.2">
      <c r="A959" s="3">
        <v>943</v>
      </c>
      <c r="B959" s="4" t="str">
        <f t="shared" si="112"/>
        <v/>
      </c>
      <c r="C959" s="4" t="str">
        <f t="shared" si="113"/>
        <v/>
      </c>
      <c r="D959" s="4" t="str">
        <f t="shared" si="114"/>
        <v/>
      </c>
      <c r="E959" s="5" t="str">
        <f t="shared" si="115"/>
        <v/>
      </c>
      <c r="F959" s="6" t="str">
        <f t="shared" si="116"/>
        <v/>
      </c>
      <c r="G959" s="7" t="str">
        <f t="shared" si="117"/>
        <v/>
      </c>
      <c r="H959" s="7" t="str">
        <f t="shared" si="118"/>
        <v/>
      </c>
      <c r="I959" s="8" t="str">
        <f t="shared" si="119"/>
        <v/>
      </c>
      <c r="L959" t="str">
        <f>IFERROR(MATCH($C$5&amp;"|"&amp;RIGHT("000000"&amp;943,6),LdgRankKeyA,0),"")</f>
        <v/>
      </c>
      <c r="M959" t="str">
        <f>IFERROR(MATCH($C$5&amp;"|"&amp;RIGHT("000000"&amp;943,6),LdgRankKeyB,0),"")</f>
        <v/>
      </c>
    </row>
    <row r="960" spans="1:13" x14ac:dyDescent="0.2">
      <c r="A960" s="9">
        <v>944</v>
      </c>
      <c r="B960" s="10" t="str">
        <f t="shared" si="112"/>
        <v/>
      </c>
      <c r="C960" s="10" t="str">
        <f t="shared" si="113"/>
        <v/>
      </c>
      <c r="D960" s="10" t="str">
        <f t="shared" si="114"/>
        <v/>
      </c>
      <c r="E960" s="11" t="str">
        <f t="shared" si="115"/>
        <v/>
      </c>
      <c r="F960" s="12" t="str">
        <f t="shared" si="116"/>
        <v/>
      </c>
      <c r="G960" s="13" t="str">
        <f t="shared" si="117"/>
        <v/>
      </c>
      <c r="H960" s="13" t="str">
        <f t="shared" si="118"/>
        <v/>
      </c>
      <c r="I960" s="14" t="str">
        <f t="shared" si="119"/>
        <v/>
      </c>
      <c r="L960" t="str">
        <f>IFERROR(MATCH($C$5&amp;"|"&amp;RIGHT("000000"&amp;944,6),LdgRankKeyA,0),"")</f>
        <v/>
      </c>
      <c r="M960" t="str">
        <f>IFERROR(MATCH($C$5&amp;"|"&amp;RIGHT("000000"&amp;944,6),LdgRankKeyB,0),"")</f>
        <v/>
      </c>
    </row>
    <row r="961" spans="1:13" x14ac:dyDescent="0.2">
      <c r="A961" s="3">
        <v>945</v>
      </c>
      <c r="B961" s="4" t="str">
        <f t="shared" si="112"/>
        <v/>
      </c>
      <c r="C961" s="4" t="str">
        <f t="shared" si="113"/>
        <v/>
      </c>
      <c r="D961" s="4" t="str">
        <f t="shared" si="114"/>
        <v/>
      </c>
      <c r="E961" s="5" t="str">
        <f t="shared" si="115"/>
        <v/>
      </c>
      <c r="F961" s="6" t="str">
        <f t="shared" si="116"/>
        <v/>
      </c>
      <c r="G961" s="7" t="str">
        <f t="shared" si="117"/>
        <v/>
      </c>
      <c r="H961" s="7" t="str">
        <f t="shared" si="118"/>
        <v/>
      </c>
      <c r="I961" s="8" t="str">
        <f t="shared" si="119"/>
        <v/>
      </c>
      <c r="L961" t="str">
        <f>IFERROR(MATCH($C$5&amp;"|"&amp;RIGHT("000000"&amp;945,6),LdgRankKeyA,0),"")</f>
        <v/>
      </c>
      <c r="M961" t="str">
        <f>IFERROR(MATCH($C$5&amp;"|"&amp;RIGHT("000000"&amp;945,6),LdgRankKeyB,0),"")</f>
        <v/>
      </c>
    </row>
    <row r="962" spans="1:13" x14ac:dyDescent="0.2">
      <c r="A962" s="9">
        <v>946</v>
      </c>
      <c r="B962" s="10" t="str">
        <f t="shared" si="112"/>
        <v/>
      </c>
      <c r="C962" s="10" t="str">
        <f t="shared" si="113"/>
        <v/>
      </c>
      <c r="D962" s="10" t="str">
        <f t="shared" si="114"/>
        <v/>
      </c>
      <c r="E962" s="11" t="str">
        <f t="shared" si="115"/>
        <v/>
      </c>
      <c r="F962" s="12" t="str">
        <f t="shared" si="116"/>
        <v/>
      </c>
      <c r="G962" s="13" t="str">
        <f t="shared" si="117"/>
        <v/>
      </c>
      <c r="H962" s="13" t="str">
        <f t="shared" si="118"/>
        <v/>
      </c>
      <c r="I962" s="14" t="str">
        <f t="shared" si="119"/>
        <v/>
      </c>
      <c r="L962" t="str">
        <f>IFERROR(MATCH($C$5&amp;"|"&amp;RIGHT("000000"&amp;946,6),LdgRankKeyA,0),"")</f>
        <v/>
      </c>
      <c r="M962" t="str">
        <f>IFERROR(MATCH($C$5&amp;"|"&amp;RIGHT("000000"&amp;946,6),LdgRankKeyB,0),"")</f>
        <v/>
      </c>
    </row>
    <row r="963" spans="1:13" x14ac:dyDescent="0.2">
      <c r="A963" s="3">
        <v>947</v>
      </c>
      <c r="B963" s="4" t="str">
        <f t="shared" si="112"/>
        <v/>
      </c>
      <c r="C963" s="4" t="str">
        <f t="shared" si="113"/>
        <v/>
      </c>
      <c r="D963" s="4" t="str">
        <f t="shared" si="114"/>
        <v/>
      </c>
      <c r="E963" s="5" t="str">
        <f t="shared" si="115"/>
        <v/>
      </c>
      <c r="F963" s="6" t="str">
        <f t="shared" si="116"/>
        <v/>
      </c>
      <c r="G963" s="7" t="str">
        <f t="shared" si="117"/>
        <v/>
      </c>
      <c r="H963" s="7" t="str">
        <f t="shared" si="118"/>
        <v/>
      </c>
      <c r="I963" s="8" t="str">
        <f t="shared" si="119"/>
        <v/>
      </c>
      <c r="L963" t="str">
        <f>IFERROR(MATCH($C$5&amp;"|"&amp;RIGHT("000000"&amp;947,6),LdgRankKeyA,0),"")</f>
        <v/>
      </c>
      <c r="M963" t="str">
        <f>IFERROR(MATCH($C$5&amp;"|"&amp;RIGHT("000000"&amp;947,6),LdgRankKeyB,0),"")</f>
        <v/>
      </c>
    </row>
    <row r="964" spans="1:13" x14ac:dyDescent="0.2">
      <c r="A964" s="9">
        <v>948</v>
      </c>
      <c r="B964" s="10" t="str">
        <f t="shared" si="112"/>
        <v/>
      </c>
      <c r="C964" s="10" t="str">
        <f t="shared" si="113"/>
        <v/>
      </c>
      <c r="D964" s="10" t="str">
        <f t="shared" si="114"/>
        <v/>
      </c>
      <c r="E964" s="11" t="str">
        <f t="shared" si="115"/>
        <v/>
      </c>
      <c r="F964" s="12" t="str">
        <f t="shared" si="116"/>
        <v/>
      </c>
      <c r="G964" s="13" t="str">
        <f t="shared" si="117"/>
        <v/>
      </c>
      <c r="H964" s="13" t="str">
        <f t="shared" si="118"/>
        <v/>
      </c>
      <c r="I964" s="14" t="str">
        <f t="shared" si="119"/>
        <v/>
      </c>
      <c r="L964" t="str">
        <f>IFERROR(MATCH($C$5&amp;"|"&amp;RIGHT("000000"&amp;948,6),LdgRankKeyA,0),"")</f>
        <v/>
      </c>
      <c r="M964" t="str">
        <f>IFERROR(MATCH($C$5&amp;"|"&amp;RIGHT("000000"&amp;948,6),LdgRankKeyB,0),"")</f>
        <v/>
      </c>
    </row>
    <row r="965" spans="1:13" x14ac:dyDescent="0.2">
      <c r="A965" s="3">
        <v>949</v>
      </c>
      <c r="B965" s="4" t="str">
        <f t="shared" si="112"/>
        <v/>
      </c>
      <c r="C965" s="4" t="str">
        <f t="shared" si="113"/>
        <v/>
      </c>
      <c r="D965" s="4" t="str">
        <f t="shared" si="114"/>
        <v/>
      </c>
      <c r="E965" s="5" t="str">
        <f t="shared" si="115"/>
        <v/>
      </c>
      <c r="F965" s="6" t="str">
        <f t="shared" si="116"/>
        <v/>
      </c>
      <c r="G965" s="7" t="str">
        <f t="shared" si="117"/>
        <v/>
      </c>
      <c r="H965" s="7" t="str">
        <f t="shared" si="118"/>
        <v/>
      </c>
      <c r="I965" s="8" t="str">
        <f t="shared" si="119"/>
        <v/>
      </c>
      <c r="L965" t="str">
        <f>IFERROR(MATCH($C$5&amp;"|"&amp;RIGHT("000000"&amp;949,6),LdgRankKeyA,0),"")</f>
        <v/>
      </c>
      <c r="M965" t="str">
        <f>IFERROR(MATCH($C$5&amp;"|"&amp;RIGHT("000000"&amp;949,6),LdgRankKeyB,0),"")</f>
        <v/>
      </c>
    </row>
    <row r="966" spans="1:13" x14ac:dyDescent="0.2">
      <c r="A966" s="9">
        <v>950</v>
      </c>
      <c r="B966" s="10" t="str">
        <f t="shared" si="112"/>
        <v/>
      </c>
      <c r="C966" s="10" t="str">
        <f t="shared" si="113"/>
        <v/>
      </c>
      <c r="D966" s="10" t="str">
        <f t="shared" si="114"/>
        <v/>
      </c>
      <c r="E966" s="11" t="str">
        <f t="shared" si="115"/>
        <v/>
      </c>
      <c r="F966" s="12" t="str">
        <f t="shared" si="116"/>
        <v/>
      </c>
      <c r="G966" s="13" t="str">
        <f t="shared" si="117"/>
        <v/>
      </c>
      <c r="H966" s="13" t="str">
        <f t="shared" si="118"/>
        <v/>
      </c>
      <c r="I966" s="14" t="str">
        <f t="shared" si="119"/>
        <v/>
      </c>
      <c r="L966" t="str">
        <f>IFERROR(MATCH($C$5&amp;"|"&amp;RIGHT("000000"&amp;950,6),LdgRankKeyA,0),"")</f>
        <v/>
      </c>
      <c r="M966" t="str">
        <f>IFERROR(MATCH($C$5&amp;"|"&amp;RIGHT("000000"&amp;950,6),LdgRankKeyB,0),"")</f>
        <v/>
      </c>
    </row>
    <row r="967" spans="1:13" x14ac:dyDescent="0.2">
      <c r="A967" s="3">
        <v>951</v>
      </c>
      <c r="B967" s="4" t="str">
        <f t="shared" si="112"/>
        <v/>
      </c>
      <c r="C967" s="4" t="str">
        <f t="shared" si="113"/>
        <v/>
      </c>
      <c r="D967" s="4" t="str">
        <f t="shared" si="114"/>
        <v/>
      </c>
      <c r="E967" s="5" t="str">
        <f t="shared" si="115"/>
        <v/>
      </c>
      <c r="F967" s="6" t="str">
        <f t="shared" si="116"/>
        <v/>
      </c>
      <c r="G967" s="7" t="str">
        <f t="shared" si="117"/>
        <v/>
      </c>
      <c r="H967" s="7" t="str">
        <f t="shared" si="118"/>
        <v/>
      </c>
      <c r="I967" s="8" t="str">
        <f t="shared" si="119"/>
        <v/>
      </c>
      <c r="L967" t="str">
        <f>IFERROR(MATCH($C$5&amp;"|"&amp;RIGHT("000000"&amp;951,6),LdgRankKeyA,0),"")</f>
        <v/>
      </c>
      <c r="M967" t="str">
        <f>IFERROR(MATCH($C$5&amp;"|"&amp;RIGHT("000000"&amp;951,6),LdgRankKeyB,0),"")</f>
        <v/>
      </c>
    </row>
    <row r="968" spans="1:13" x14ac:dyDescent="0.2">
      <c r="A968" s="9">
        <v>952</v>
      </c>
      <c r="B968" s="10" t="str">
        <f t="shared" si="112"/>
        <v/>
      </c>
      <c r="C968" s="10" t="str">
        <f t="shared" si="113"/>
        <v/>
      </c>
      <c r="D968" s="10" t="str">
        <f t="shared" si="114"/>
        <v/>
      </c>
      <c r="E968" s="11" t="str">
        <f t="shared" si="115"/>
        <v/>
      </c>
      <c r="F968" s="12" t="str">
        <f t="shared" si="116"/>
        <v/>
      </c>
      <c r="G968" s="13" t="str">
        <f t="shared" si="117"/>
        <v/>
      </c>
      <c r="H968" s="13" t="str">
        <f t="shared" si="118"/>
        <v/>
      </c>
      <c r="I968" s="14" t="str">
        <f t="shared" si="119"/>
        <v/>
      </c>
      <c r="L968" t="str">
        <f>IFERROR(MATCH($C$5&amp;"|"&amp;RIGHT("000000"&amp;952,6),LdgRankKeyA,0),"")</f>
        <v/>
      </c>
      <c r="M968" t="str">
        <f>IFERROR(MATCH($C$5&amp;"|"&amp;RIGHT("000000"&amp;952,6),LdgRankKeyB,0),"")</f>
        <v/>
      </c>
    </row>
    <row r="969" spans="1:13" x14ac:dyDescent="0.2">
      <c r="A969" s="3">
        <v>953</v>
      </c>
      <c r="B969" s="4" t="str">
        <f t="shared" si="112"/>
        <v/>
      </c>
      <c r="C969" s="4" t="str">
        <f t="shared" si="113"/>
        <v/>
      </c>
      <c r="D969" s="4" t="str">
        <f t="shared" si="114"/>
        <v/>
      </c>
      <c r="E969" s="5" t="str">
        <f t="shared" si="115"/>
        <v/>
      </c>
      <c r="F969" s="6" t="str">
        <f t="shared" si="116"/>
        <v/>
      </c>
      <c r="G969" s="7" t="str">
        <f t="shared" si="117"/>
        <v/>
      </c>
      <c r="H969" s="7" t="str">
        <f t="shared" si="118"/>
        <v/>
      </c>
      <c r="I969" s="8" t="str">
        <f t="shared" si="119"/>
        <v/>
      </c>
      <c r="L969" t="str">
        <f>IFERROR(MATCH($C$5&amp;"|"&amp;RIGHT("000000"&amp;953,6),LdgRankKeyA,0),"")</f>
        <v/>
      </c>
      <c r="M969" t="str">
        <f>IFERROR(MATCH($C$5&amp;"|"&amp;RIGHT("000000"&amp;953,6),LdgRankKeyB,0),"")</f>
        <v/>
      </c>
    </row>
    <row r="970" spans="1:13" x14ac:dyDescent="0.2">
      <c r="A970" s="9">
        <v>954</v>
      </c>
      <c r="B970" s="10" t="str">
        <f t="shared" si="112"/>
        <v/>
      </c>
      <c r="C970" s="10" t="str">
        <f t="shared" si="113"/>
        <v/>
      </c>
      <c r="D970" s="10" t="str">
        <f t="shared" si="114"/>
        <v/>
      </c>
      <c r="E970" s="11" t="str">
        <f t="shared" si="115"/>
        <v/>
      </c>
      <c r="F970" s="12" t="str">
        <f t="shared" si="116"/>
        <v/>
      </c>
      <c r="G970" s="13" t="str">
        <f t="shared" si="117"/>
        <v/>
      </c>
      <c r="H970" s="13" t="str">
        <f t="shared" si="118"/>
        <v/>
      </c>
      <c r="I970" s="14" t="str">
        <f t="shared" si="119"/>
        <v/>
      </c>
      <c r="L970" t="str">
        <f>IFERROR(MATCH($C$5&amp;"|"&amp;RIGHT("000000"&amp;954,6),LdgRankKeyA,0),"")</f>
        <v/>
      </c>
      <c r="M970" t="str">
        <f>IFERROR(MATCH($C$5&amp;"|"&amp;RIGHT("000000"&amp;954,6),LdgRankKeyB,0),"")</f>
        <v/>
      </c>
    </row>
    <row r="971" spans="1:13" x14ac:dyDescent="0.2">
      <c r="A971" s="3">
        <v>955</v>
      </c>
      <c r="B971" s="4" t="str">
        <f t="shared" si="112"/>
        <v/>
      </c>
      <c r="C971" s="4" t="str">
        <f t="shared" si="113"/>
        <v/>
      </c>
      <c r="D971" s="4" t="str">
        <f t="shared" si="114"/>
        <v/>
      </c>
      <c r="E971" s="5" t="str">
        <f t="shared" si="115"/>
        <v/>
      </c>
      <c r="F971" s="6" t="str">
        <f t="shared" si="116"/>
        <v/>
      </c>
      <c r="G971" s="7" t="str">
        <f t="shared" si="117"/>
        <v/>
      </c>
      <c r="H971" s="7" t="str">
        <f t="shared" si="118"/>
        <v/>
      </c>
      <c r="I971" s="8" t="str">
        <f t="shared" si="119"/>
        <v/>
      </c>
      <c r="L971" t="str">
        <f>IFERROR(MATCH($C$5&amp;"|"&amp;RIGHT("000000"&amp;955,6),LdgRankKeyA,0),"")</f>
        <v/>
      </c>
      <c r="M971" t="str">
        <f>IFERROR(MATCH($C$5&amp;"|"&amp;RIGHT("000000"&amp;955,6),LdgRankKeyB,0),"")</f>
        <v/>
      </c>
    </row>
    <row r="972" spans="1:13" x14ac:dyDescent="0.2">
      <c r="A972" s="9">
        <v>956</v>
      </c>
      <c r="B972" s="10" t="str">
        <f t="shared" si="112"/>
        <v/>
      </c>
      <c r="C972" s="10" t="str">
        <f t="shared" si="113"/>
        <v/>
      </c>
      <c r="D972" s="10" t="str">
        <f t="shared" si="114"/>
        <v/>
      </c>
      <c r="E972" s="11" t="str">
        <f t="shared" si="115"/>
        <v/>
      </c>
      <c r="F972" s="12" t="str">
        <f t="shared" si="116"/>
        <v/>
      </c>
      <c r="G972" s="13" t="str">
        <f t="shared" si="117"/>
        <v/>
      </c>
      <c r="H972" s="13" t="str">
        <f t="shared" si="118"/>
        <v/>
      </c>
      <c r="I972" s="14" t="str">
        <f t="shared" si="119"/>
        <v/>
      </c>
      <c r="L972" t="str">
        <f>IFERROR(MATCH($C$5&amp;"|"&amp;RIGHT("000000"&amp;956,6),LdgRankKeyA,0),"")</f>
        <v/>
      </c>
      <c r="M972" t="str">
        <f>IFERROR(MATCH($C$5&amp;"|"&amp;RIGHT("000000"&amp;956,6),LdgRankKeyB,0),"")</f>
        <v/>
      </c>
    </row>
    <row r="973" spans="1:13" x14ac:dyDescent="0.2">
      <c r="A973" s="3">
        <v>957</v>
      </c>
      <c r="B973" s="4" t="str">
        <f t="shared" si="112"/>
        <v/>
      </c>
      <c r="C973" s="4" t="str">
        <f t="shared" si="113"/>
        <v/>
      </c>
      <c r="D973" s="4" t="str">
        <f t="shared" si="114"/>
        <v/>
      </c>
      <c r="E973" s="5" t="str">
        <f t="shared" si="115"/>
        <v/>
      </c>
      <c r="F973" s="6" t="str">
        <f t="shared" si="116"/>
        <v/>
      </c>
      <c r="G973" s="7" t="str">
        <f t="shared" si="117"/>
        <v/>
      </c>
      <c r="H973" s="7" t="str">
        <f t="shared" si="118"/>
        <v/>
      </c>
      <c r="I973" s="8" t="str">
        <f t="shared" si="119"/>
        <v/>
      </c>
      <c r="L973" t="str">
        <f>IFERROR(MATCH($C$5&amp;"|"&amp;RIGHT("000000"&amp;957,6),LdgRankKeyA,0),"")</f>
        <v/>
      </c>
      <c r="M973" t="str">
        <f>IFERROR(MATCH($C$5&amp;"|"&amp;RIGHT("000000"&amp;957,6),LdgRankKeyB,0),"")</f>
        <v/>
      </c>
    </row>
    <row r="974" spans="1:13" x14ac:dyDescent="0.2">
      <c r="A974" s="9">
        <v>958</v>
      </c>
      <c r="B974" s="10" t="str">
        <f t="shared" si="112"/>
        <v/>
      </c>
      <c r="C974" s="10" t="str">
        <f t="shared" si="113"/>
        <v/>
      </c>
      <c r="D974" s="10" t="str">
        <f t="shared" si="114"/>
        <v/>
      </c>
      <c r="E974" s="11" t="str">
        <f t="shared" si="115"/>
        <v/>
      </c>
      <c r="F974" s="12" t="str">
        <f t="shared" si="116"/>
        <v/>
      </c>
      <c r="G974" s="13" t="str">
        <f t="shared" si="117"/>
        <v/>
      </c>
      <c r="H974" s="13" t="str">
        <f t="shared" si="118"/>
        <v/>
      </c>
      <c r="I974" s="14" t="str">
        <f t="shared" si="119"/>
        <v/>
      </c>
      <c r="L974" t="str">
        <f>IFERROR(MATCH($C$5&amp;"|"&amp;RIGHT("000000"&amp;958,6),LdgRankKeyA,0),"")</f>
        <v/>
      </c>
      <c r="M974" t="str">
        <f>IFERROR(MATCH($C$5&amp;"|"&amp;RIGHT("000000"&amp;958,6),LdgRankKeyB,0),"")</f>
        <v/>
      </c>
    </row>
    <row r="975" spans="1:13" x14ac:dyDescent="0.2">
      <c r="A975" s="3">
        <v>959</v>
      </c>
      <c r="B975" s="4" t="str">
        <f t="shared" si="112"/>
        <v/>
      </c>
      <c r="C975" s="4" t="str">
        <f t="shared" si="113"/>
        <v/>
      </c>
      <c r="D975" s="4" t="str">
        <f t="shared" si="114"/>
        <v/>
      </c>
      <c r="E975" s="5" t="str">
        <f t="shared" si="115"/>
        <v/>
      </c>
      <c r="F975" s="6" t="str">
        <f t="shared" si="116"/>
        <v/>
      </c>
      <c r="G975" s="7" t="str">
        <f t="shared" si="117"/>
        <v/>
      </c>
      <c r="H975" s="7" t="str">
        <f t="shared" si="118"/>
        <v/>
      </c>
      <c r="I975" s="8" t="str">
        <f t="shared" si="119"/>
        <v/>
      </c>
      <c r="L975" t="str">
        <f>IFERROR(MATCH($C$5&amp;"|"&amp;RIGHT("000000"&amp;959,6),LdgRankKeyA,0),"")</f>
        <v/>
      </c>
      <c r="M975" t="str">
        <f>IFERROR(MATCH($C$5&amp;"|"&amp;RIGHT("000000"&amp;959,6),LdgRankKeyB,0),"")</f>
        <v/>
      </c>
    </row>
    <row r="976" spans="1:13" x14ac:dyDescent="0.2">
      <c r="A976" s="9">
        <v>960</v>
      </c>
      <c r="B976" s="10" t="str">
        <f t="shared" si="112"/>
        <v/>
      </c>
      <c r="C976" s="10" t="str">
        <f t="shared" si="113"/>
        <v/>
      </c>
      <c r="D976" s="10" t="str">
        <f t="shared" si="114"/>
        <v/>
      </c>
      <c r="E976" s="11" t="str">
        <f t="shared" si="115"/>
        <v/>
      </c>
      <c r="F976" s="12" t="str">
        <f t="shared" si="116"/>
        <v/>
      </c>
      <c r="G976" s="13" t="str">
        <f t="shared" si="117"/>
        <v/>
      </c>
      <c r="H976" s="13" t="str">
        <f t="shared" si="118"/>
        <v/>
      </c>
      <c r="I976" s="14" t="str">
        <f t="shared" si="119"/>
        <v/>
      </c>
      <c r="L976" t="str">
        <f>IFERROR(MATCH($C$5&amp;"|"&amp;RIGHT("000000"&amp;960,6),LdgRankKeyA,0),"")</f>
        <v/>
      </c>
      <c r="M976" t="str">
        <f>IFERROR(MATCH($C$5&amp;"|"&amp;RIGHT("000000"&amp;960,6),LdgRankKeyB,0),"")</f>
        <v/>
      </c>
    </row>
    <row r="977" spans="1:13" x14ac:dyDescent="0.2">
      <c r="A977" s="3">
        <v>961</v>
      </c>
      <c r="B977" s="4" t="str">
        <f t="shared" ref="B977:B1040" si="120">IF(AND($L977="",$M977=""),"",IF($L977&lt;&gt;"",INDEX(SCNormDate,$L977),INDEX(LdgDateB,$M977)))</f>
        <v/>
      </c>
      <c r="C977" s="4" t="str">
        <f t="shared" ref="C977:C1040" si="121">IF($L977&lt;&gt;"",INDEX(SCOp,$L977),IF($M977&lt;&gt;"","پرداخت بانکی",""))</f>
        <v/>
      </c>
      <c r="D977" s="4" t="str">
        <f t="shared" ref="D977:D1040" si="122">IF($L977&lt;&gt;"",IF(INDEX(SCDoc,$L977)="","—",INDEX(SCDoc,$L977)),IF($M977&lt;&gt;"",INDEX(LdgBankB,$M977),""))</f>
        <v/>
      </c>
      <c r="E977" s="5" t="str">
        <f t="shared" ref="E977:E1040" si="123">IF($L977&lt;&gt;"",IF(INDEX(SCCitrus,$L977)&amp;INDEX(SCNotes,$L977)="","",IF(INDEX(SCCitrus,$L977)="","",INDEX(SCCitrus,$L977))&amp;IF(INDEX(SCNotes,$L977)="",""," — "&amp;INDEX(SCNotes,$L977))),IF($M977&lt;&gt;"",IF(INDEX(LdgNoteB,$M977)="","—",INDEX(LdgNoteB,$M977)),""))</f>
        <v/>
      </c>
      <c r="F977" s="6" t="str">
        <f t="shared" ref="F977:F1040" si="124">IF($L977&lt;&gt;"",IF(INDEX(SCNet,$L977)=0,"",INDEX(SCNet,$L977)),"")</f>
        <v/>
      </c>
      <c r="G977" s="7" t="str">
        <f t="shared" ref="G977:G1040" si="125">IF($L977&lt;&gt;"",IF(INDEX(SCOp,$L977)="مرجوعی فروش","",IF(INDEX(SCAmount,$L977)&lt;=0,"",INDEX(SCAmount,$L977))),IF($M977&lt;&gt;"",IF(INDEX(LdgWitB,$M977)=0,"",INDEX(LdgWitB,$M977)),""))</f>
        <v/>
      </c>
      <c r="H977" s="7" t="str">
        <f t="shared" ref="H977:H1040" si="126">IF($L977&lt;&gt;"",IF(INDEX(SCOp,$L977)="مرجوعی فروش",IF(INDEX(SCAmount,$L977)=0,"",-INDEX(SCAmount,$L977)),""),IF($M977&lt;&gt;"",IF(INDEX(LdgDepB,$M977)=0,"",INDEX(LdgDepB,$M977)),""))</f>
        <v/>
      </c>
      <c r="I977" s="8" t="str">
        <f t="shared" si="119"/>
        <v/>
      </c>
      <c r="L977" t="str">
        <f>IFERROR(MATCH($C$5&amp;"|"&amp;RIGHT("000000"&amp;961,6),LdgRankKeyA,0),"")</f>
        <v/>
      </c>
      <c r="M977" t="str">
        <f>IFERROR(MATCH($C$5&amp;"|"&amp;RIGHT("000000"&amp;961,6),LdgRankKeyB,0),"")</f>
        <v/>
      </c>
    </row>
    <row r="978" spans="1:13" x14ac:dyDescent="0.2">
      <c r="A978" s="9">
        <v>962</v>
      </c>
      <c r="B978" s="10" t="str">
        <f t="shared" si="120"/>
        <v/>
      </c>
      <c r="C978" s="10" t="str">
        <f t="shared" si="121"/>
        <v/>
      </c>
      <c r="D978" s="10" t="str">
        <f t="shared" si="122"/>
        <v/>
      </c>
      <c r="E978" s="11" t="str">
        <f t="shared" si="123"/>
        <v/>
      </c>
      <c r="F978" s="12" t="str">
        <f t="shared" si="124"/>
        <v/>
      </c>
      <c r="G978" s="13" t="str">
        <f t="shared" si="125"/>
        <v/>
      </c>
      <c r="H978" s="13" t="str">
        <f t="shared" si="126"/>
        <v/>
      </c>
      <c r="I978" s="14" t="str">
        <f t="shared" ref="I978:I1041" si="127">IF($B978="","",IF($I977="",$C$10,$I977)+IF($G978="",0,$G978)-IF($H978="",0,$H978))</f>
        <v/>
      </c>
      <c r="L978" t="str">
        <f>IFERROR(MATCH($C$5&amp;"|"&amp;RIGHT("000000"&amp;962,6),LdgRankKeyA,0),"")</f>
        <v/>
      </c>
      <c r="M978" t="str">
        <f>IFERROR(MATCH($C$5&amp;"|"&amp;RIGHT("000000"&amp;962,6),LdgRankKeyB,0),"")</f>
        <v/>
      </c>
    </row>
    <row r="979" spans="1:13" x14ac:dyDescent="0.2">
      <c r="A979" s="3">
        <v>963</v>
      </c>
      <c r="B979" s="4" t="str">
        <f t="shared" si="120"/>
        <v/>
      </c>
      <c r="C979" s="4" t="str">
        <f t="shared" si="121"/>
        <v/>
      </c>
      <c r="D979" s="4" t="str">
        <f t="shared" si="122"/>
        <v/>
      </c>
      <c r="E979" s="5" t="str">
        <f t="shared" si="123"/>
        <v/>
      </c>
      <c r="F979" s="6" t="str">
        <f t="shared" si="124"/>
        <v/>
      </c>
      <c r="G979" s="7" t="str">
        <f t="shared" si="125"/>
        <v/>
      </c>
      <c r="H979" s="7" t="str">
        <f t="shared" si="126"/>
        <v/>
      </c>
      <c r="I979" s="8" t="str">
        <f t="shared" si="127"/>
        <v/>
      </c>
      <c r="L979" t="str">
        <f>IFERROR(MATCH($C$5&amp;"|"&amp;RIGHT("000000"&amp;963,6),LdgRankKeyA,0),"")</f>
        <v/>
      </c>
      <c r="M979" t="str">
        <f>IFERROR(MATCH($C$5&amp;"|"&amp;RIGHT("000000"&amp;963,6),LdgRankKeyB,0),"")</f>
        <v/>
      </c>
    </row>
    <row r="980" spans="1:13" x14ac:dyDescent="0.2">
      <c r="A980" s="9">
        <v>964</v>
      </c>
      <c r="B980" s="10" t="str">
        <f t="shared" si="120"/>
        <v/>
      </c>
      <c r="C980" s="10" t="str">
        <f t="shared" si="121"/>
        <v/>
      </c>
      <c r="D980" s="10" t="str">
        <f t="shared" si="122"/>
        <v/>
      </c>
      <c r="E980" s="11" t="str">
        <f t="shared" si="123"/>
        <v/>
      </c>
      <c r="F980" s="12" t="str">
        <f t="shared" si="124"/>
        <v/>
      </c>
      <c r="G980" s="13" t="str">
        <f t="shared" si="125"/>
        <v/>
      </c>
      <c r="H980" s="13" t="str">
        <f t="shared" si="126"/>
        <v/>
      </c>
      <c r="I980" s="14" t="str">
        <f t="shared" si="127"/>
        <v/>
      </c>
      <c r="L980" t="str">
        <f>IFERROR(MATCH($C$5&amp;"|"&amp;RIGHT("000000"&amp;964,6),LdgRankKeyA,0),"")</f>
        <v/>
      </c>
      <c r="M980" t="str">
        <f>IFERROR(MATCH($C$5&amp;"|"&amp;RIGHT("000000"&amp;964,6),LdgRankKeyB,0),"")</f>
        <v/>
      </c>
    </row>
    <row r="981" spans="1:13" x14ac:dyDescent="0.2">
      <c r="A981" s="3">
        <v>965</v>
      </c>
      <c r="B981" s="4" t="str">
        <f t="shared" si="120"/>
        <v/>
      </c>
      <c r="C981" s="4" t="str">
        <f t="shared" si="121"/>
        <v/>
      </c>
      <c r="D981" s="4" t="str">
        <f t="shared" si="122"/>
        <v/>
      </c>
      <c r="E981" s="5" t="str">
        <f t="shared" si="123"/>
        <v/>
      </c>
      <c r="F981" s="6" t="str">
        <f t="shared" si="124"/>
        <v/>
      </c>
      <c r="G981" s="7" t="str">
        <f t="shared" si="125"/>
        <v/>
      </c>
      <c r="H981" s="7" t="str">
        <f t="shared" si="126"/>
        <v/>
      </c>
      <c r="I981" s="8" t="str">
        <f t="shared" si="127"/>
        <v/>
      </c>
      <c r="L981" t="str">
        <f>IFERROR(MATCH($C$5&amp;"|"&amp;RIGHT("000000"&amp;965,6),LdgRankKeyA,0),"")</f>
        <v/>
      </c>
      <c r="M981" t="str">
        <f>IFERROR(MATCH($C$5&amp;"|"&amp;RIGHT("000000"&amp;965,6),LdgRankKeyB,0),"")</f>
        <v/>
      </c>
    </row>
    <row r="982" spans="1:13" x14ac:dyDescent="0.2">
      <c r="A982" s="9">
        <v>966</v>
      </c>
      <c r="B982" s="10" t="str">
        <f t="shared" si="120"/>
        <v/>
      </c>
      <c r="C982" s="10" t="str">
        <f t="shared" si="121"/>
        <v/>
      </c>
      <c r="D982" s="10" t="str">
        <f t="shared" si="122"/>
        <v/>
      </c>
      <c r="E982" s="11" t="str">
        <f t="shared" si="123"/>
        <v/>
      </c>
      <c r="F982" s="12" t="str">
        <f t="shared" si="124"/>
        <v/>
      </c>
      <c r="G982" s="13" t="str">
        <f t="shared" si="125"/>
        <v/>
      </c>
      <c r="H982" s="13" t="str">
        <f t="shared" si="126"/>
        <v/>
      </c>
      <c r="I982" s="14" t="str">
        <f t="shared" si="127"/>
        <v/>
      </c>
      <c r="L982" t="str">
        <f>IFERROR(MATCH($C$5&amp;"|"&amp;RIGHT("000000"&amp;966,6),LdgRankKeyA,0),"")</f>
        <v/>
      </c>
      <c r="M982" t="str">
        <f>IFERROR(MATCH($C$5&amp;"|"&amp;RIGHT("000000"&amp;966,6),LdgRankKeyB,0),"")</f>
        <v/>
      </c>
    </row>
    <row r="983" spans="1:13" x14ac:dyDescent="0.2">
      <c r="A983" s="3">
        <v>967</v>
      </c>
      <c r="B983" s="4" t="str">
        <f t="shared" si="120"/>
        <v/>
      </c>
      <c r="C983" s="4" t="str">
        <f t="shared" si="121"/>
        <v/>
      </c>
      <c r="D983" s="4" t="str">
        <f t="shared" si="122"/>
        <v/>
      </c>
      <c r="E983" s="5" t="str">
        <f t="shared" si="123"/>
        <v/>
      </c>
      <c r="F983" s="6" t="str">
        <f t="shared" si="124"/>
        <v/>
      </c>
      <c r="G983" s="7" t="str">
        <f t="shared" si="125"/>
        <v/>
      </c>
      <c r="H983" s="7" t="str">
        <f t="shared" si="126"/>
        <v/>
      </c>
      <c r="I983" s="8" t="str">
        <f t="shared" si="127"/>
        <v/>
      </c>
      <c r="L983" t="str">
        <f>IFERROR(MATCH($C$5&amp;"|"&amp;RIGHT("000000"&amp;967,6),LdgRankKeyA,0),"")</f>
        <v/>
      </c>
      <c r="M983" t="str">
        <f>IFERROR(MATCH($C$5&amp;"|"&amp;RIGHT("000000"&amp;967,6),LdgRankKeyB,0),"")</f>
        <v/>
      </c>
    </row>
    <row r="984" spans="1:13" x14ac:dyDescent="0.2">
      <c r="A984" s="9">
        <v>968</v>
      </c>
      <c r="B984" s="10" t="str">
        <f t="shared" si="120"/>
        <v/>
      </c>
      <c r="C984" s="10" t="str">
        <f t="shared" si="121"/>
        <v/>
      </c>
      <c r="D984" s="10" t="str">
        <f t="shared" si="122"/>
        <v/>
      </c>
      <c r="E984" s="11" t="str">
        <f t="shared" si="123"/>
        <v/>
      </c>
      <c r="F984" s="12" t="str">
        <f t="shared" si="124"/>
        <v/>
      </c>
      <c r="G984" s="13" t="str">
        <f t="shared" si="125"/>
        <v/>
      </c>
      <c r="H984" s="13" t="str">
        <f t="shared" si="126"/>
        <v/>
      </c>
      <c r="I984" s="14" t="str">
        <f t="shared" si="127"/>
        <v/>
      </c>
      <c r="L984" t="str">
        <f>IFERROR(MATCH($C$5&amp;"|"&amp;RIGHT("000000"&amp;968,6),LdgRankKeyA,0),"")</f>
        <v/>
      </c>
      <c r="M984" t="str">
        <f>IFERROR(MATCH($C$5&amp;"|"&amp;RIGHT("000000"&amp;968,6),LdgRankKeyB,0),"")</f>
        <v/>
      </c>
    </row>
    <row r="985" spans="1:13" x14ac:dyDescent="0.2">
      <c r="A985" s="3">
        <v>969</v>
      </c>
      <c r="B985" s="4" t="str">
        <f t="shared" si="120"/>
        <v/>
      </c>
      <c r="C985" s="4" t="str">
        <f t="shared" si="121"/>
        <v/>
      </c>
      <c r="D985" s="4" t="str">
        <f t="shared" si="122"/>
        <v/>
      </c>
      <c r="E985" s="5" t="str">
        <f t="shared" si="123"/>
        <v/>
      </c>
      <c r="F985" s="6" t="str">
        <f t="shared" si="124"/>
        <v/>
      </c>
      <c r="G985" s="7" t="str">
        <f t="shared" si="125"/>
        <v/>
      </c>
      <c r="H985" s="7" t="str">
        <f t="shared" si="126"/>
        <v/>
      </c>
      <c r="I985" s="8" t="str">
        <f t="shared" si="127"/>
        <v/>
      </c>
      <c r="L985" t="str">
        <f>IFERROR(MATCH($C$5&amp;"|"&amp;RIGHT("000000"&amp;969,6),LdgRankKeyA,0),"")</f>
        <v/>
      </c>
      <c r="M985" t="str">
        <f>IFERROR(MATCH($C$5&amp;"|"&amp;RIGHT("000000"&amp;969,6),LdgRankKeyB,0),"")</f>
        <v/>
      </c>
    </row>
    <row r="986" spans="1:13" x14ac:dyDescent="0.2">
      <c r="A986" s="9">
        <v>970</v>
      </c>
      <c r="B986" s="10" t="str">
        <f t="shared" si="120"/>
        <v/>
      </c>
      <c r="C986" s="10" t="str">
        <f t="shared" si="121"/>
        <v/>
      </c>
      <c r="D986" s="10" t="str">
        <f t="shared" si="122"/>
        <v/>
      </c>
      <c r="E986" s="11" t="str">
        <f t="shared" si="123"/>
        <v/>
      </c>
      <c r="F986" s="12" t="str">
        <f t="shared" si="124"/>
        <v/>
      </c>
      <c r="G986" s="13" t="str">
        <f t="shared" si="125"/>
        <v/>
      </c>
      <c r="H986" s="13" t="str">
        <f t="shared" si="126"/>
        <v/>
      </c>
      <c r="I986" s="14" t="str">
        <f t="shared" si="127"/>
        <v/>
      </c>
      <c r="L986" t="str">
        <f>IFERROR(MATCH($C$5&amp;"|"&amp;RIGHT("000000"&amp;970,6),LdgRankKeyA,0),"")</f>
        <v/>
      </c>
      <c r="M986" t="str">
        <f>IFERROR(MATCH($C$5&amp;"|"&amp;RIGHT("000000"&amp;970,6),LdgRankKeyB,0),"")</f>
        <v/>
      </c>
    </row>
    <row r="987" spans="1:13" x14ac:dyDescent="0.2">
      <c r="A987" s="3">
        <v>971</v>
      </c>
      <c r="B987" s="4" t="str">
        <f t="shared" si="120"/>
        <v/>
      </c>
      <c r="C987" s="4" t="str">
        <f t="shared" si="121"/>
        <v/>
      </c>
      <c r="D987" s="4" t="str">
        <f t="shared" si="122"/>
        <v/>
      </c>
      <c r="E987" s="5" t="str">
        <f t="shared" si="123"/>
        <v/>
      </c>
      <c r="F987" s="6" t="str">
        <f t="shared" si="124"/>
        <v/>
      </c>
      <c r="G987" s="7" t="str">
        <f t="shared" si="125"/>
        <v/>
      </c>
      <c r="H987" s="7" t="str">
        <f t="shared" si="126"/>
        <v/>
      </c>
      <c r="I987" s="8" t="str">
        <f t="shared" si="127"/>
        <v/>
      </c>
      <c r="L987" t="str">
        <f>IFERROR(MATCH($C$5&amp;"|"&amp;RIGHT("000000"&amp;971,6),LdgRankKeyA,0),"")</f>
        <v/>
      </c>
      <c r="M987" t="str">
        <f>IFERROR(MATCH($C$5&amp;"|"&amp;RIGHT("000000"&amp;971,6),LdgRankKeyB,0),"")</f>
        <v/>
      </c>
    </row>
    <row r="988" spans="1:13" x14ac:dyDescent="0.2">
      <c r="A988" s="9">
        <v>972</v>
      </c>
      <c r="B988" s="10" t="str">
        <f t="shared" si="120"/>
        <v/>
      </c>
      <c r="C988" s="10" t="str">
        <f t="shared" si="121"/>
        <v/>
      </c>
      <c r="D988" s="10" t="str">
        <f t="shared" si="122"/>
        <v/>
      </c>
      <c r="E988" s="11" t="str">
        <f t="shared" si="123"/>
        <v/>
      </c>
      <c r="F988" s="12" t="str">
        <f t="shared" si="124"/>
        <v/>
      </c>
      <c r="G988" s="13" t="str">
        <f t="shared" si="125"/>
        <v/>
      </c>
      <c r="H988" s="13" t="str">
        <f t="shared" si="126"/>
        <v/>
      </c>
      <c r="I988" s="14" t="str">
        <f t="shared" si="127"/>
        <v/>
      </c>
      <c r="L988" t="str">
        <f>IFERROR(MATCH($C$5&amp;"|"&amp;RIGHT("000000"&amp;972,6),LdgRankKeyA,0),"")</f>
        <v/>
      </c>
      <c r="M988" t="str">
        <f>IFERROR(MATCH($C$5&amp;"|"&amp;RIGHT("000000"&amp;972,6),LdgRankKeyB,0),"")</f>
        <v/>
      </c>
    </row>
    <row r="989" spans="1:13" x14ac:dyDescent="0.2">
      <c r="A989" s="3">
        <v>973</v>
      </c>
      <c r="B989" s="4" t="str">
        <f t="shared" si="120"/>
        <v/>
      </c>
      <c r="C989" s="4" t="str">
        <f t="shared" si="121"/>
        <v/>
      </c>
      <c r="D989" s="4" t="str">
        <f t="shared" si="122"/>
        <v/>
      </c>
      <c r="E989" s="5" t="str">
        <f t="shared" si="123"/>
        <v/>
      </c>
      <c r="F989" s="6" t="str">
        <f t="shared" si="124"/>
        <v/>
      </c>
      <c r="G989" s="7" t="str">
        <f t="shared" si="125"/>
        <v/>
      </c>
      <c r="H989" s="7" t="str">
        <f t="shared" si="126"/>
        <v/>
      </c>
      <c r="I989" s="8" t="str">
        <f t="shared" si="127"/>
        <v/>
      </c>
      <c r="L989" t="str">
        <f>IFERROR(MATCH($C$5&amp;"|"&amp;RIGHT("000000"&amp;973,6),LdgRankKeyA,0),"")</f>
        <v/>
      </c>
      <c r="M989" t="str">
        <f>IFERROR(MATCH($C$5&amp;"|"&amp;RIGHT("000000"&amp;973,6),LdgRankKeyB,0),"")</f>
        <v/>
      </c>
    </row>
    <row r="990" spans="1:13" x14ac:dyDescent="0.2">
      <c r="A990" s="9">
        <v>974</v>
      </c>
      <c r="B990" s="10" t="str">
        <f t="shared" si="120"/>
        <v/>
      </c>
      <c r="C990" s="10" t="str">
        <f t="shared" si="121"/>
        <v/>
      </c>
      <c r="D990" s="10" t="str">
        <f t="shared" si="122"/>
        <v/>
      </c>
      <c r="E990" s="11" t="str">
        <f t="shared" si="123"/>
        <v/>
      </c>
      <c r="F990" s="12" t="str">
        <f t="shared" si="124"/>
        <v/>
      </c>
      <c r="G990" s="13" t="str">
        <f t="shared" si="125"/>
        <v/>
      </c>
      <c r="H990" s="13" t="str">
        <f t="shared" si="126"/>
        <v/>
      </c>
      <c r="I990" s="14" t="str">
        <f t="shared" si="127"/>
        <v/>
      </c>
      <c r="L990" t="str">
        <f>IFERROR(MATCH($C$5&amp;"|"&amp;RIGHT("000000"&amp;974,6),LdgRankKeyA,0),"")</f>
        <v/>
      </c>
      <c r="M990" t="str">
        <f>IFERROR(MATCH($C$5&amp;"|"&amp;RIGHT("000000"&amp;974,6),LdgRankKeyB,0),"")</f>
        <v/>
      </c>
    </row>
    <row r="991" spans="1:13" x14ac:dyDescent="0.2">
      <c r="A991" s="3">
        <v>975</v>
      </c>
      <c r="B991" s="4" t="str">
        <f t="shared" si="120"/>
        <v/>
      </c>
      <c r="C991" s="4" t="str">
        <f t="shared" si="121"/>
        <v/>
      </c>
      <c r="D991" s="4" t="str">
        <f t="shared" si="122"/>
        <v/>
      </c>
      <c r="E991" s="5" t="str">
        <f t="shared" si="123"/>
        <v/>
      </c>
      <c r="F991" s="6" t="str">
        <f t="shared" si="124"/>
        <v/>
      </c>
      <c r="G991" s="7" t="str">
        <f t="shared" si="125"/>
        <v/>
      </c>
      <c r="H991" s="7" t="str">
        <f t="shared" si="126"/>
        <v/>
      </c>
      <c r="I991" s="8" t="str">
        <f t="shared" si="127"/>
        <v/>
      </c>
      <c r="L991" t="str">
        <f>IFERROR(MATCH($C$5&amp;"|"&amp;RIGHT("000000"&amp;975,6),LdgRankKeyA,0),"")</f>
        <v/>
      </c>
      <c r="M991" t="str">
        <f>IFERROR(MATCH($C$5&amp;"|"&amp;RIGHT("000000"&amp;975,6),LdgRankKeyB,0),"")</f>
        <v/>
      </c>
    </row>
    <row r="992" spans="1:13" x14ac:dyDescent="0.2">
      <c r="A992" s="9">
        <v>976</v>
      </c>
      <c r="B992" s="10" t="str">
        <f t="shared" si="120"/>
        <v/>
      </c>
      <c r="C992" s="10" t="str">
        <f t="shared" si="121"/>
        <v/>
      </c>
      <c r="D992" s="10" t="str">
        <f t="shared" si="122"/>
        <v/>
      </c>
      <c r="E992" s="11" t="str">
        <f t="shared" si="123"/>
        <v/>
      </c>
      <c r="F992" s="12" t="str">
        <f t="shared" si="124"/>
        <v/>
      </c>
      <c r="G992" s="13" t="str">
        <f t="shared" si="125"/>
        <v/>
      </c>
      <c r="H992" s="13" t="str">
        <f t="shared" si="126"/>
        <v/>
      </c>
      <c r="I992" s="14" t="str">
        <f t="shared" si="127"/>
        <v/>
      </c>
      <c r="L992" t="str">
        <f>IFERROR(MATCH($C$5&amp;"|"&amp;RIGHT("000000"&amp;976,6),LdgRankKeyA,0),"")</f>
        <v/>
      </c>
      <c r="M992" t="str">
        <f>IFERROR(MATCH($C$5&amp;"|"&amp;RIGHT("000000"&amp;976,6),LdgRankKeyB,0),"")</f>
        <v/>
      </c>
    </row>
    <row r="993" spans="1:13" x14ac:dyDescent="0.2">
      <c r="A993" s="3">
        <v>977</v>
      </c>
      <c r="B993" s="4" t="str">
        <f t="shared" si="120"/>
        <v/>
      </c>
      <c r="C993" s="4" t="str">
        <f t="shared" si="121"/>
        <v/>
      </c>
      <c r="D993" s="4" t="str">
        <f t="shared" si="122"/>
        <v/>
      </c>
      <c r="E993" s="5" t="str">
        <f t="shared" si="123"/>
        <v/>
      </c>
      <c r="F993" s="6" t="str">
        <f t="shared" si="124"/>
        <v/>
      </c>
      <c r="G993" s="7" t="str">
        <f t="shared" si="125"/>
        <v/>
      </c>
      <c r="H993" s="7" t="str">
        <f t="shared" si="126"/>
        <v/>
      </c>
      <c r="I993" s="8" t="str">
        <f t="shared" si="127"/>
        <v/>
      </c>
      <c r="L993" t="str">
        <f>IFERROR(MATCH($C$5&amp;"|"&amp;RIGHT("000000"&amp;977,6),LdgRankKeyA,0),"")</f>
        <v/>
      </c>
      <c r="M993" t="str">
        <f>IFERROR(MATCH($C$5&amp;"|"&amp;RIGHT("000000"&amp;977,6),LdgRankKeyB,0),"")</f>
        <v/>
      </c>
    </row>
    <row r="994" spans="1:13" x14ac:dyDescent="0.2">
      <c r="A994" s="9">
        <v>978</v>
      </c>
      <c r="B994" s="10" t="str">
        <f t="shared" si="120"/>
        <v/>
      </c>
      <c r="C994" s="10" t="str">
        <f t="shared" si="121"/>
        <v/>
      </c>
      <c r="D994" s="10" t="str">
        <f t="shared" si="122"/>
        <v/>
      </c>
      <c r="E994" s="11" t="str">
        <f t="shared" si="123"/>
        <v/>
      </c>
      <c r="F994" s="12" t="str">
        <f t="shared" si="124"/>
        <v/>
      </c>
      <c r="G994" s="13" t="str">
        <f t="shared" si="125"/>
        <v/>
      </c>
      <c r="H994" s="13" t="str">
        <f t="shared" si="126"/>
        <v/>
      </c>
      <c r="I994" s="14" t="str">
        <f t="shared" si="127"/>
        <v/>
      </c>
      <c r="L994" t="str">
        <f>IFERROR(MATCH($C$5&amp;"|"&amp;RIGHT("000000"&amp;978,6),LdgRankKeyA,0),"")</f>
        <v/>
      </c>
      <c r="M994" t="str">
        <f>IFERROR(MATCH($C$5&amp;"|"&amp;RIGHT("000000"&amp;978,6),LdgRankKeyB,0),"")</f>
        <v/>
      </c>
    </row>
    <row r="995" spans="1:13" x14ac:dyDescent="0.2">
      <c r="A995" s="3">
        <v>979</v>
      </c>
      <c r="B995" s="4" t="str">
        <f t="shared" si="120"/>
        <v/>
      </c>
      <c r="C995" s="4" t="str">
        <f t="shared" si="121"/>
        <v/>
      </c>
      <c r="D995" s="4" t="str">
        <f t="shared" si="122"/>
        <v/>
      </c>
      <c r="E995" s="5" t="str">
        <f t="shared" si="123"/>
        <v/>
      </c>
      <c r="F995" s="6" t="str">
        <f t="shared" si="124"/>
        <v/>
      </c>
      <c r="G995" s="7" t="str">
        <f t="shared" si="125"/>
        <v/>
      </c>
      <c r="H995" s="7" t="str">
        <f t="shared" si="126"/>
        <v/>
      </c>
      <c r="I995" s="8" t="str">
        <f t="shared" si="127"/>
        <v/>
      </c>
      <c r="L995" t="str">
        <f>IFERROR(MATCH($C$5&amp;"|"&amp;RIGHT("000000"&amp;979,6),LdgRankKeyA,0),"")</f>
        <v/>
      </c>
      <c r="M995" t="str">
        <f>IFERROR(MATCH($C$5&amp;"|"&amp;RIGHT("000000"&amp;979,6),LdgRankKeyB,0),"")</f>
        <v/>
      </c>
    </row>
    <row r="996" spans="1:13" x14ac:dyDescent="0.2">
      <c r="A996" s="9">
        <v>980</v>
      </c>
      <c r="B996" s="10" t="str">
        <f t="shared" si="120"/>
        <v/>
      </c>
      <c r="C996" s="10" t="str">
        <f t="shared" si="121"/>
        <v/>
      </c>
      <c r="D996" s="10" t="str">
        <f t="shared" si="122"/>
        <v/>
      </c>
      <c r="E996" s="11" t="str">
        <f t="shared" si="123"/>
        <v/>
      </c>
      <c r="F996" s="12" t="str">
        <f t="shared" si="124"/>
        <v/>
      </c>
      <c r="G996" s="13" t="str">
        <f t="shared" si="125"/>
        <v/>
      </c>
      <c r="H996" s="13" t="str">
        <f t="shared" si="126"/>
        <v/>
      </c>
      <c r="I996" s="14" t="str">
        <f t="shared" si="127"/>
        <v/>
      </c>
      <c r="L996" t="str">
        <f>IFERROR(MATCH($C$5&amp;"|"&amp;RIGHT("000000"&amp;980,6),LdgRankKeyA,0),"")</f>
        <v/>
      </c>
      <c r="M996" t="str">
        <f>IFERROR(MATCH($C$5&amp;"|"&amp;RIGHT("000000"&amp;980,6),LdgRankKeyB,0),"")</f>
        <v/>
      </c>
    </row>
    <row r="997" spans="1:13" x14ac:dyDescent="0.2">
      <c r="A997" s="3">
        <v>981</v>
      </c>
      <c r="B997" s="4" t="str">
        <f t="shared" si="120"/>
        <v/>
      </c>
      <c r="C997" s="4" t="str">
        <f t="shared" si="121"/>
        <v/>
      </c>
      <c r="D997" s="4" t="str">
        <f t="shared" si="122"/>
        <v/>
      </c>
      <c r="E997" s="5" t="str">
        <f t="shared" si="123"/>
        <v/>
      </c>
      <c r="F997" s="6" t="str">
        <f t="shared" si="124"/>
        <v/>
      </c>
      <c r="G997" s="7" t="str">
        <f t="shared" si="125"/>
        <v/>
      </c>
      <c r="H997" s="7" t="str">
        <f t="shared" si="126"/>
        <v/>
      </c>
      <c r="I997" s="8" t="str">
        <f t="shared" si="127"/>
        <v/>
      </c>
      <c r="L997" t="str">
        <f>IFERROR(MATCH($C$5&amp;"|"&amp;RIGHT("000000"&amp;981,6),LdgRankKeyA,0),"")</f>
        <v/>
      </c>
      <c r="M997" t="str">
        <f>IFERROR(MATCH($C$5&amp;"|"&amp;RIGHT("000000"&amp;981,6),LdgRankKeyB,0),"")</f>
        <v/>
      </c>
    </row>
    <row r="998" spans="1:13" x14ac:dyDescent="0.2">
      <c r="A998" s="9">
        <v>982</v>
      </c>
      <c r="B998" s="10" t="str">
        <f t="shared" si="120"/>
        <v/>
      </c>
      <c r="C998" s="10" t="str">
        <f t="shared" si="121"/>
        <v/>
      </c>
      <c r="D998" s="10" t="str">
        <f t="shared" si="122"/>
        <v/>
      </c>
      <c r="E998" s="11" t="str">
        <f t="shared" si="123"/>
        <v/>
      </c>
      <c r="F998" s="12" t="str">
        <f t="shared" si="124"/>
        <v/>
      </c>
      <c r="G998" s="13" t="str">
        <f t="shared" si="125"/>
        <v/>
      </c>
      <c r="H998" s="13" t="str">
        <f t="shared" si="126"/>
        <v/>
      </c>
      <c r="I998" s="14" t="str">
        <f t="shared" si="127"/>
        <v/>
      </c>
      <c r="L998" t="str">
        <f>IFERROR(MATCH($C$5&amp;"|"&amp;RIGHT("000000"&amp;982,6),LdgRankKeyA,0),"")</f>
        <v/>
      </c>
      <c r="M998" t="str">
        <f>IFERROR(MATCH($C$5&amp;"|"&amp;RIGHT("000000"&amp;982,6),LdgRankKeyB,0),"")</f>
        <v/>
      </c>
    </row>
    <row r="999" spans="1:13" x14ac:dyDescent="0.2">
      <c r="A999" s="3">
        <v>983</v>
      </c>
      <c r="B999" s="4" t="str">
        <f t="shared" si="120"/>
        <v/>
      </c>
      <c r="C999" s="4" t="str">
        <f t="shared" si="121"/>
        <v/>
      </c>
      <c r="D999" s="4" t="str">
        <f t="shared" si="122"/>
        <v/>
      </c>
      <c r="E999" s="5" t="str">
        <f t="shared" si="123"/>
        <v/>
      </c>
      <c r="F999" s="6" t="str">
        <f t="shared" si="124"/>
        <v/>
      </c>
      <c r="G999" s="7" t="str">
        <f t="shared" si="125"/>
        <v/>
      </c>
      <c r="H999" s="7" t="str">
        <f t="shared" si="126"/>
        <v/>
      </c>
      <c r="I999" s="8" t="str">
        <f t="shared" si="127"/>
        <v/>
      </c>
      <c r="L999" t="str">
        <f>IFERROR(MATCH($C$5&amp;"|"&amp;RIGHT("000000"&amp;983,6),LdgRankKeyA,0),"")</f>
        <v/>
      </c>
      <c r="M999" t="str">
        <f>IFERROR(MATCH($C$5&amp;"|"&amp;RIGHT("000000"&amp;983,6),LdgRankKeyB,0),"")</f>
        <v/>
      </c>
    </row>
    <row r="1000" spans="1:13" x14ac:dyDescent="0.2">
      <c r="A1000" s="9">
        <v>984</v>
      </c>
      <c r="B1000" s="10" t="str">
        <f t="shared" si="120"/>
        <v/>
      </c>
      <c r="C1000" s="10" t="str">
        <f t="shared" si="121"/>
        <v/>
      </c>
      <c r="D1000" s="10" t="str">
        <f t="shared" si="122"/>
        <v/>
      </c>
      <c r="E1000" s="11" t="str">
        <f t="shared" si="123"/>
        <v/>
      </c>
      <c r="F1000" s="12" t="str">
        <f t="shared" si="124"/>
        <v/>
      </c>
      <c r="G1000" s="13" t="str">
        <f t="shared" si="125"/>
        <v/>
      </c>
      <c r="H1000" s="13" t="str">
        <f t="shared" si="126"/>
        <v/>
      </c>
      <c r="I1000" s="14" t="str">
        <f t="shared" si="127"/>
        <v/>
      </c>
      <c r="L1000" t="str">
        <f>IFERROR(MATCH($C$5&amp;"|"&amp;RIGHT("000000"&amp;984,6),LdgRankKeyA,0),"")</f>
        <v/>
      </c>
      <c r="M1000" t="str">
        <f>IFERROR(MATCH($C$5&amp;"|"&amp;RIGHT("000000"&amp;984,6),LdgRankKeyB,0),"")</f>
        <v/>
      </c>
    </row>
    <row r="1001" spans="1:13" x14ac:dyDescent="0.2">
      <c r="A1001" s="3">
        <v>985</v>
      </c>
      <c r="B1001" s="4" t="str">
        <f t="shared" si="120"/>
        <v/>
      </c>
      <c r="C1001" s="4" t="str">
        <f t="shared" si="121"/>
        <v/>
      </c>
      <c r="D1001" s="4" t="str">
        <f t="shared" si="122"/>
        <v/>
      </c>
      <c r="E1001" s="5" t="str">
        <f t="shared" si="123"/>
        <v/>
      </c>
      <c r="F1001" s="6" t="str">
        <f t="shared" si="124"/>
        <v/>
      </c>
      <c r="G1001" s="7" t="str">
        <f t="shared" si="125"/>
        <v/>
      </c>
      <c r="H1001" s="7" t="str">
        <f t="shared" si="126"/>
        <v/>
      </c>
      <c r="I1001" s="8" t="str">
        <f t="shared" si="127"/>
        <v/>
      </c>
      <c r="L1001" t="str">
        <f>IFERROR(MATCH($C$5&amp;"|"&amp;RIGHT("000000"&amp;985,6),LdgRankKeyA,0),"")</f>
        <v/>
      </c>
      <c r="M1001" t="str">
        <f>IFERROR(MATCH($C$5&amp;"|"&amp;RIGHT("000000"&amp;985,6),LdgRankKeyB,0),"")</f>
        <v/>
      </c>
    </row>
    <row r="1002" spans="1:13" x14ac:dyDescent="0.2">
      <c r="A1002" s="9">
        <v>986</v>
      </c>
      <c r="B1002" s="10" t="str">
        <f t="shared" si="120"/>
        <v/>
      </c>
      <c r="C1002" s="10" t="str">
        <f t="shared" si="121"/>
        <v/>
      </c>
      <c r="D1002" s="10" t="str">
        <f t="shared" si="122"/>
        <v/>
      </c>
      <c r="E1002" s="11" t="str">
        <f t="shared" si="123"/>
        <v/>
      </c>
      <c r="F1002" s="12" t="str">
        <f t="shared" si="124"/>
        <v/>
      </c>
      <c r="G1002" s="13" t="str">
        <f t="shared" si="125"/>
        <v/>
      </c>
      <c r="H1002" s="13" t="str">
        <f t="shared" si="126"/>
        <v/>
      </c>
      <c r="I1002" s="14" t="str">
        <f t="shared" si="127"/>
        <v/>
      </c>
      <c r="L1002" t="str">
        <f>IFERROR(MATCH($C$5&amp;"|"&amp;RIGHT("000000"&amp;986,6),LdgRankKeyA,0),"")</f>
        <v/>
      </c>
      <c r="M1002" t="str">
        <f>IFERROR(MATCH($C$5&amp;"|"&amp;RIGHT("000000"&amp;986,6),LdgRankKeyB,0),"")</f>
        <v/>
      </c>
    </row>
    <row r="1003" spans="1:13" x14ac:dyDescent="0.2">
      <c r="A1003" s="3">
        <v>987</v>
      </c>
      <c r="B1003" s="4" t="str">
        <f t="shared" si="120"/>
        <v/>
      </c>
      <c r="C1003" s="4" t="str">
        <f t="shared" si="121"/>
        <v/>
      </c>
      <c r="D1003" s="4" t="str">
        <f t="shared" si="122"/>
        <v/>
      </c>
      <c r="E1003" s="5" t="str">
        <f t="shared" si="123"/>
        <v/>
      </c>
      <c r="F1003" s="6" t="str">
        <f t="shared" si="124"/>
        <v/>
      </c>
      <c r="G1003" s="7" t="str">
        <f t="shared" si="125"/>
        <v/>
      </c>
      <c r="H1003" s="7" t="str">
        <f t="shared" si="126"/>
        <v/>
      </c>
      <c r="I1003" s="8" t="str">
        <f t="shared" si="127"/>
        <v/>
      </c>
      <c r="L1003" t="str">
        <f>IFERROR(MATCH($C$5&amp;"|"&amp;RIGHT("000000"&amp;987,6),LdgRankKeyA,0),"")</f>
        <v/>
      </c>
      <c r="M1003" t="str">
        <f>IFERROR(MATCH($C$5&amp;"|"&amp;RIGHT("000000"&amp;987,6),LdgRankKeyB,0),"")</f>
        <v/>
      </c>
    </row>
    <row r="1004" spans="1:13" x14ac:dyDescent="0.2">
      <c r="A1004" s="9">
        <v>988</v>
      </c>
      <c r="B1004" s="10" t="str">
        <f t="shared" si="120"/>
        <v/>
      </c>
      <c r="C1004" s="10" t="str">
        <f t="shared" si="121"/>
        <v/>
      </c>
      <c r="D1004" s="10" t="str">
        <f t="shared" si="122"/>
        <v/>
      </c>
      <c r="E1004" s="11" t="str">
        <f t="shared" si="123"/>
        <v/>
      </c>
      <c r="F1004" s="12" t="str">
        <f t="shared" si="124"/>
        <v/>
      </c>
      <c r="G1004" s="13" t="str">
        <f t="shared" si="125"/>
        <v/>
      </c>
      <c r="H1004" s="13" t="str">
        <f t="shared" si="126"/>
        <v/>
      </c>
      <c r="I1004" s="14" t="str">
        <f t="shared" si="127"/>
        <v/>
      </c>
      <c r="L1004" t="str">
        <f>IFERROR(MATCH($C$5&amp;"|"&amp;RIGHT("000000"&amp;988,6),LdgRankKeyA,0),"")</f>
        <v/>
      </c>
      <c r="M1004" t="str">
        <f>IFERROR(MATCH($C$5&amp;"|"&amp;RIGHT("000000"&amp;988,6),LdgRankKeyB,0),"")</f>
        <v/>
      </c>
    </row>
    <row r="1005" spans="1:13" x14ac:dyDescent="0.2">
      <c r="A1005" s="3">
        <v>989</v>
      </c>
      <c r="B1005" s="4" t="str">
        <f t="shared" si="120"/>
        <v/>
      </c>
      <c r="C1005" s="4" t="str">
        <f t="shared" si="121"/>
        <v/>
      </c>
      <c r="D1005" s="4" t="str">
        <f t="shared" si="122"/>
        <v/>
      </c>
      <c r="E1005" s="5" t="str">
        <f t="shared" si="123"/>
        <v/>
      </c>
      <c r="F1005" s="6" t="str">
        <f t="shared" si="124"/>
        <v/>
      </c>
      <c r="G1005" s="7" t="str">
        <f t="shared" si="125"/>
        <v/>
      </c>
      <c r="H1005" s="7" t="str">
        <f t="shared" si="126"/>
        <v/>
      </c>
      <c r="I1005" s="8" t="str">
        <f t="shared" si="127"/>
        <v/>
      </c>
      <c r="L1005" t="str">
        <f>IFERROR(MATCH($C$5&amp;"|"&amp;RIGHT("000000"&amp;989,6),LdgRankKeyA,0),"")</f>
        <v/>
      </c>
      <c r="M1005" t="str">
        <f>IFERROR(MATCH($C$5&amp;"|"&amp;RIGHT("000000"&amp;989,6),LdgRankKeyB,0),"")</f>
        <v/>
      </c>
    </row>
    <row r="1006" spans="1:13" x14ac:dyDescent="0.2">
      <c r="A1006" s="9">
        <v>990</v>
      </c>
      <c r="B1006" s="10" t="str">
        <f t="shared" si="120"/>
        <v/>
      </c>
      <c r="C1006" s="10" t="str">
        <f t="shared" si="121"/>
        <v/>
      </c>
      <c r="D1006" s="10" t="str">
        <f t="shared" si="122"/>
        <v/>
      </c>
      <c r="E1006" s="11" t="str">
        <f t="shared" si="123"/>
        <v/>
      </c>
      <c r="F1006" s="12" t="str">
        <f t="shared" si="124"/>
        <v/>
      </c>
      <c r="G1006" s="13" t="str">
        <f t="shared" si="125"/>
        <v/>
      </c>
      <c r="H1006" s="13" t="str">
        <f t="shared" si="126"/>
        <v/>
      </c>
      <c r="I1006" s="14" t="str">
        <f t="shared" si="127"/>
        <v/>
      </c>
      <c r="L1006" t="str">
        <f>IFERROR(MATCH($C$5&amp;"|"&amp;RIGHT("000000"&amp;990,6),LdgRankKeyA,0),"")</f>
        <v/>
      </c>
      <c r="M1006" t="str">
        <f>IFERROR(MATCH($C$5&amp;"|"&amp;RIGHT("000000"&amp;990,6),LdgRankKeyB,0),"")</f>
        <v/>
      </c>
    </row>
    <row r="1007" spans="1:13" x14ac:dyDescent="0.2">
      <c r="A1007" s="3">
        <v>991</v>
      </c>
      <c r="B1007" s="4" t="str">
        <f t="shared" si="120"/>
        <v/>
      </c>
      <c r="C1007" s="4" t="str">
        <f t="shared" si="121"/>
        <v/>
      </c>
      <c r="D1007" s="4" t="str">
        <f t="shared" si="122"/>
        <v/>
      </c>
      <c r="E1007" s="5" t="str">
        <f t="shared" si="123"/>
        <v/>
      </c>
      <c r="F1007" s="6" t="str">
        <f t="shared" si="124"/>
        <v/>
      </c>
      <c r="G1007" s="7" t="str">
        <f t="shared" si="125"/>
        <v/>
      </c>
      <c r="H1007" s="7" t="str">
        <f t="shared" si="126"/>
        <v/>
      </c>
      <c r="I1007" s="8" t="str">
        <f t="shared" si="127"/>
        <v/>
      </c>
      <c r="L1007" t="str">
        <f>IFERROR(MATCH($C$5&amp;"|"&amp;RIGHT("000000"&amp;991,6),LdgRankKeyA,0),"")</f>
        <v/>
      </c>
      <c r="M1007" t="str">
        <f>IFERROR(MATCH($C$5&amp;"|"&amp;RIGHT("000000"&amp;991,6),LdgRankKeyB,0),"")</f>
        <v/>
      </c>
    </row>
    <row r="1008" spans="1:13" x14ac:dyDescent="0.2">
      <c r="A1008" s="9">
        <v>992</v>
      </c>
      <c r="B1008" s="10" t="str">
        <f t="shared" si="120"/>
        <v/>
      </c>
      <c r="C1008" s="10" t="str">
        <f t="shared" si="121"/>
        <v/>
      </c>
      <c r="D1008" s="10" t="str">
        <f t="shared" si="122"/>
        <v/>
      </c>
      <c r="E1008" s="11" t="str">
        <f t="shared" si="123"/>
        <v/>
      </c>
      <c r="F1008" s="12" t="str">
        <f t="shared" si="124"/>
        <v/>
      </c>
      <c r="G1008" s="13" t="str">
        <f t="shared" si="125"/>
        <v/>
      </c>
      <c r="H1008" s="13" t="str">
        <f t="shared" si="126"/>
        <v/>
      </c>
      <c r="I1008" s="14" t="str">
        <f t="shared" si="127"/>
        <v/>
      </c>
      <c r="L1008" t="str">
        <f>IFERROR(MATCH($C$5&amp;"|"&amp;RIGHT("000000"&amp;992,6),LdgRankKeyA,0),"")</f>
        <v/>
      </c>
      <c r="M1008" t="str">
        <f>IFERROR(MATCH($C$5&amp;"|"&amp;RIGHT("000000"&amp;992,6),LdgRankKeyB,0),"")</f>
        <v/>
      </c>
    </row>
    <row r="1009" spans="1:13" x14ac:dyDescent="0.2">
      <c r="A1009" s="3">
        <v>993</v>
      </c>
      <c r="B1009" s="4" t="str">
        <f t="shared" si="120"/>
        <v/>
      </c>
      <c r="C1009" s="4" t="str">
        <f t="shared" si="121"/>
        <v/>
      </c>
      <c r="D1009" s="4" t="str">
        <f t="shared" si="122"/>
        <v/>
      </c>
      <c r="E1009" s="5" t="str">
        <f t="shared" si="123"/>
        <v/>
      </c>
      <c r="F1009" s="6" t="str">
        <f t="shared" si="124"/>
        <v/>
      </c>
      <c r="G1009" s="7" t="str">
        <f t="shared" si="125"/>
        <v/>
      </c>
      <c r="H1009" s="7" t="str">
        <f t="shared" si="126"/>
        <v/>
      </c>
      <c r="I1009" s="8" t="str">
        <f t="shared" si="127"/>
        <v/>
      </c>
      <c r="L1009" t="str">
        <f>IFERROR(MATCH($C$5&amp;"|"&amp;RIGHT("000000"&amp;993,6),LdgRankKeyA,0),"")</f>
        <v/>
      </c>
      <c r="M1009" t="str">
        <f>IFERROR(MATCH($C$5&amp;"|"&amp;RIGHT("000000"&amp;993,6),LdgRankKeyB,0),"")</f>
        <v/>
      </c>
    </row>
    <row r="1010" spans="1:13" x14ac:dyDescent="0.2">
      <c r="A1010" s="9">
        <v>994</v>
      </c>
      <c r="B1010" s="10" t="str">
        <f t="shared" si="120"/>
        <v/>
      </c>
      <c r="C1010" s="10" t="str">
        <f t="shared" si="121"/>
        <v/>
      </c>
      <c r="D1010" s="10" t="str">
        <f t="shared" si="122"/>
        <v/>
      </c>
      <c r="E1010" s="11" t="str">
        <f t="shared" si="123"/>
        <v/>
      </c>
      <c r="F1010" s="12" t="str">
        <f t="shared" si="124"/>
        <v/>
      </c>
      <c r="G1010" s="13" t="str">
        <f t="shared" si="125"/>
        <v/>
      </c>
      <c r="H1010" s="13" t="str">
        <f t="shared" si="126"/>
        <v/>
      </c>
      <c r="I1010" s="14" t="str">
        <f t="shared" si="127"/>
        <v/>
      </c>
      <c r="L1010" t="str">
        <f>IFERROR(MATCH($C$5&amp;"|"&amp;RIGHT("000000"&amp;994,6),LdgRankKeyA,0),"")</f>
        <v/>
      </c>
      <c r="M1010" t="str">
        <f>IFERROR(MATCH($C$5&amp;"|"&amp;RIGHT("000000"&amp;994,6),LdgRankKeyB,0),"")</f>
        <v/>
      </c>
    </row>
    <row r="1011" spans="1:13" x14ac:dyDescent="0.2">
      <c r="A1011" s="3">
        <v>995</v>
      </c>
      <c r="B1011" s="4" t="str">
        <f t="shared" si="120"/>
        <v/>
      </c>
      <c r="C1011" s="4" t="str">
        <f t="shared" si="121"/>
        <v/>
      </c>
      <c r="D1011" s="4" t="str">
        <f t="shared" si="122"/>
        <v/>
      </c>
      <c r="E1011" s="5" t="str">
        <f t="shared" si="123"/>
        <v/>
      </c>
      <c r="F1011" s="6" t="str">
        <f t="shared" si="124"/>
        <v/>
      </c>
      <c r="G1011" s="7" t="str">
        <f t="shared" si="125"/>
        <v/>
      </c>
      <c r="H1011" s="7" t="str">
        <f t="shared" si="126"/>
        <v/>
      </c>
      <c r="I1011" s="8" t="str">
        <f t="shared" si="127"/>
        <v/>
      </c>
      <c r="L1011" t="str">
        <f>IFERROR(MATCH($C$5&amp;"|"&amp;RIGHT("000000"&amp;995,6),LdgRankKeyA,0),"")</f>
        <v/>
      </c>
      <c r="M1011" t="str">
        <f>IFERROR(MATCH($C$5&amp;"|"&amp;RIGHT("000000"&amp;995,6),LdgRankKeyB,0),"")</f>
        <v/>
      </c>
    </row>
    <row r="1012" spans="1:13" x14ac:dyDescent="0.2">
      <c r="A1012" s="9">
        <v>996</v>
      </c>
      <c r="B1012" s="10" t="str">
        <f t="shared" si="120"/>
        <v/>
      </c>
      <c r="C1012" s="10" t="str">
        <f t="shared" si="121"/>
        <v/>
      </c>
      <c r="D1012" s="10" t="str">
        <f t="shared" si="122"/>
        <v/>
      </c>
      <c r="E1012" s="11" t="str">
        <f t="shared" si="123"/>
        <v/>
      </c>
      <c r="F1012" s="12" t="str">
        <f t="shared" si="124"/>
        <v/>
      </c>
      <c r="G1012" s="13" t="str">
        <f t="shared" si="125"/>
        <v/>
      </c>
      <c r="H1012" s="13" t="str">
        <f t="shared" si="126"/>
        <v/>
      </c>
      <c r="I1012" s="14" t="str">
        <f t="shared" si="127"/>
        <v/>
      </c>
      <c r="L1012" t="str">
        <f>IFERROR(MATCH($C$5&amp;"|"&amp;RIGHT("000000"&amp;996,6),LdgRankKeyA,0),"")</f>
        <v/>
      </c>
      <c r="M1012" t="str">
        <f>IFERROR(MATCH($C$5&amp;"|"&amp;RIGHT("000000"&amp;996,6),LdgRankKeyB,0),"")</f>
        <v/>
      </c>
    </row>
    <row r="1013" spans="1:13" x14ac:dyDescent="0.2">
      <c r="A1013" s="3">
        <v>997</v>
      </c>
      <c r="B1013" s="4" t="str">
        <f t="shared" si="120"/>
        <v/>
      </c>
      <c r="C1013" s="4" t="str">
        <f t="shared" si="121"/>
        <v/>
      </c>
      <c r="D1013" s="4" t="str">
        <f t="shared" si="122"/>
        <v/>
      </c>
      <c r="E1013" s="5" t="str">
        <f t="shared" si="123"/>
        <v/>
      </c>
      <c r="F1013" s="6" t="str">
        <f t="shared" si="124"/>
        <v/>
      </c>
      <c r="G1013" s="7" t="str">
        <f t="shared" si="125"/>
        <v/>
      </c>
      <c r="H1013" s="7" t="str">
        <f t="shared" si="126"/>
        <v/>
      </c>
      <c r="I1013" s="8" t="str">
        <f t="shared" si="127"/>
        <v/>
      </c>
      <c r="L1013" t="str">
        <f>IFERROR(MATCH($C$5&amp;"|"&amp;RIGHT("000000"&amp;997,6),LdgRankKeyA,0),"")</f>
        <v/>
      </c>
      <c r="M1013" t="str">
        <f>IFERROR(MATCH($C$5&amp;"|"&amp;RIGHT("000000"&amp;997,6),LdgRankKeyB,0),"")</f>
        <v/>
      </c>
    </row>
    <row r="1014" spans="1:13" x14ac:dyDescent="0.2">
      <c r="A1014" s="9">
        <v>998</v>
      </c>
      <c r="B1014" s="10" t="str">
        <f t="shared" si="120"/>
        <v/>
      </c>
      <c r="C1014" s="10" t="str">
        <f t="shared" si="121"/>
        <v/>
      </c>
      <c r="D1014" s="10" t="str">
        <f t="shared" si="122"/>
        <v/>
      </c>
      <c r="E1014" s="11" t="str">
        <f t="shared" si="123"/>
        <v/>
      </c>
      <c r="F1014" s="12" t="str">
        <f t="shared" si="124"/>
        <v/>
      </c>
      <c r="G1014" s="13" t="str">
        <f t="shared" si="125"/>
        <v/>
      </c>
      <c r="H1014" s="13" t="str">
        <f t="shared" si="126"/>
        <v/>
      </c>
      <c r="I1014" s="14" t="str">
        <f t="shared" si="127"/>
        <v/>
      </c>
      <c r="L1014" t="str">
        <f>IFERROR(MATCH($C$5&amp;"|"&amp;RIGHT("000000"&amp;998,6),LdgRankKeyA,0),"")</f>
        <v/>
      </c>
      <c r="M1014" t="str">
        <f>IFERROR(MATCH($C$5&amp;"|"&amp;RIGHT("000000"&amp;998,6),LdgRankKeyB,0),"")</f>
        <v/>
      </c>
    </row>
    <row r="1015" spans="1:13" x14ac:dyDescent="0.2">
      <c r="A1015" s="3">
        <v>999</v>
      </c>
      <c r="B1015" s="4" t="str">
        <f t="shared" si="120"/>
        <v/>
      </c>
      <c r="C1015" s="4" t="str">
        <f t="shared" si="121"/>
        <v/>
      </c>
      <c r="D1015" s="4" t="str">
        <f t="shared" si="122"/>
        <v/>
      </c>
      <c r="E1015" s="5" t="str">
        <f t="shared" si="123"/>
        <v/>
      </c>
      <c r="F1015" s="6" t="str">
        <f t="shared" si="124"/>
        <v/>
      </c>
      <c r="G1015" s="7" t="str">
        <f t="shared" si="125"/>
        <v/>
      </c>
      <c r="H1015" s="7" t="str">
        <f t="shared" si="126"/>
        <v/>
      </c>
      <c r="I1015" s="8" t="str">
        <f t="shared" si="127"/>
        <v/>
      </c>
      <c r="L1015" t="str">
        <f>IFERROR(MATCH($C$5&amp;"|"&amp;RIGHT("000000"&amp;999,6),LdgRankKeyA,0),"")</f>
        <v/>
      </c>
      <c r="M1015" t="str">
        <f>IFERROR(MATCH($C$5&amp;"|"&amp;RIGHT("000000"&amp;999,6),LdgRankKeyB,0),"")</f>
        <v/>
      </c>
    </row>
    <row r="1016" spans="1:13" x14ac:dyDescent="0.2">
      <c r="A1016" s="9">
        <v>1000</v>
      </c>
      <c r="B1016" s="10" t="str">
        <f t="shared" si="120"/>
        <v/>
      </c>
      <c r="C1016" s="10" t="str">
        <f t="shared" si="121"/>
        <v/>
      </c>
      <c r="D1016" s="10" t="str">
        <f t="shared" si="122"/>
        <v/>
      </c>
      <c r="E1016" s="11" t="str">
        <f t="shared" si="123"/>
        <v/>
      </c>
      <c r="F1016" s="12" t="str">
        <f t="shared" si="124"/>
        <v/>
      </c>
      <c r="G1016" s="13" t="str">
        <f t="shared" si="125"/>
        <v/>
      </c>
      <c r="H1016" s="13" t="str">
        <f t="shared" si="126"/>
        <v/>
      </c>
      <c r="I1016" s="14" t="str">
        <f t="shared" si="127"/>
        <v/>
      </c>
      <c r="L1016" t="str">
        <f>IFERROR(MATCH($C$5&amp;"|"&amp;RIGHT("000000"&amp;1000,6),LdgRankKeyA,0),"")</f>
        <v/>
      </c>
      <c r="M1016" t="str">
        <f>IFERROR(MATCH($C$5&amp;"|"&amp;RIGHT("000000"&amp;1000,6),LdgRankKeyB,0),"")</f>
        <v/>
      </c>
    </row>
    <row r="1017" spans="1:13" x14ac:dyDescent="0.2">
      <c r="A1017" s="3">
        <v>1001</v>
      </c>
      <c r="B1017" s="4" t="str">
        <f t="shared" si="120"/>
        <v/>
      </c>
      <c r="C1017" s="4" t="str">
        <f t="shared" si="121"/>
        <v/>
      </c>
      <c r="D1017" s="4" t="str">
        <f t="shared" si="122"/>
        <v/>
      </c>
      <c r="E1017" s="5" t="str">
        <f t="shared" si="123"/>
        <v/>
      </c>
      <c r="F1017" s="6" t="str">
        <f t="shared" si="124"/>
        <v/>
      </c>
      <c r="G1017" s="7" t="str">
        <f t="shared" si="125"/>
        <v/>
      </c>
      <c r="H1017" s="7" t="str">
        <f t="shared" si="126"/>
        <v/>
      </c>
      <c r="I1017" s="8" t="str">
        <f t="shared" si="127"/>
        <v/>
      </c>
      <c r="L1017" t="str">
        <f>IFERROR(MATCH($C$5&amp;"|"&amp;RIGHT("000000"&amp;1001,6),LdgRankKeyA,0),"")</f>
        <v/>
      </c>
      <c r="M1017" t="str">
        <f>IFERROR(MATCH($C$5&amp;"|"&amp;RIGHT("000000"&amp;1001,6),LdgRankKeyB,0),"")</f>
        <v/>
      </c>
    </row>
    <row r="1018" spans="1:13" x14ac:dyDescent="0.2">
      <c r="A1018" s="9">
        <v>1002</v>
      </c>
      <c r="B1018" s="10" t="str">
        <f t="shared" si="120"/>
        <v/>
      </c>
      <c r="C1018" s="10" t="str">
        <f t="shared" si="121"/>
        <v/>
      </c>
      <c r="D1018" s="10" t="str">
        <f t="shared" si="122"/>
        <v/>
      </c>
      <c r="E1018" s="11" t="str">
        <f t="shared" si="123"/>
        <v/>
      </c>
      <c r="F1018" s="12" t="str">
        <f t="shared" si="124"/>
        <v/>
      </c>
      <c r="G1018" s="13" t="str">
        <f t="shared" si="125"/>
        <v/>
      </c>
      <c r="H1018" s="13" t="str">
        <f t="shared" si="126"/>
        <v/>
      </c>
      <c r="I1018" s="14" t="str">
        <f t="shared" si="127"/>
        <v/>
      </c>
      <c r="L1018" t="str">
        <f>IFERROR(MATCH($C$5&amp;"|"&amp;RIGHT("000000"&amp;1002,6),LdgRankKeyA,0),"")</f>
        <v/>
      </c>
      <c r="M1018" t="str">
        <f>IFERROR(MATCH($C$5&amp;"|"&amp;RIGHT("000000"&amp;1002,6),LdgRankKeyB,0),"")</f>
        <v/>
      </c>
    </row>
    <row r="1019" spans="1:13" x14ac:dyDescent="0.2">
      <c r="A1019" s="3">
        <v>1003</v>
      </c>
      <c r="B1019" s="4" t="str">
        <f t="shared" si="120"/>
        <v/>
      </c>
      <c r="C1019" s="4" t="str">
        <f t="shared" si="121"/>
        <v/>
      </c>
      <c r="D1019" s="4" t="str">
        <f t="shared" si="122"/>
        <v/>
      </c>
      <c r="E1019" s="5" t="str">
        <f t="shared" si="123"/>
        <v/>
      </c>
      <c r="F1019" s="6" t="str">
        <f t="shared" si="124"/>
        <v/>
      </c>
      <c r="G1019" s="7" t="str">
        <f t="shared" si="125"/>
        <v/>
      </c>
      <c r="H1019" s="7" t="str">
        <f t="shared" si="126"/>
        <v/>
      </c>
      <c r="I1019" s="8" t="str">
        <f t="shared" si="127"/>
        <v/>
      </c>
      <c r="L1019" t="str">
        <f>IFERROR(MATCH($C$5&amp;"|"&amp;RIGHT("000000"&amp;1003,6),LdgRankKeyA,0),"")</f>
        <v/>
      </c>
      <c r="M1019" t="str">
        <f>IFERROR(MATCH($C$5&amp;"|"&amp;RIGHT("000000"&amp;1003,6),LdgRankKeyB,0),"")</f>
        <v/>
      </c>
    </row>
    <row r="1020" spans="1:13" x14ac:dyDescent="0.2">
      <c r="A1020" s="9">
        <v>1004</v>
      </c>
      <c r="B1020" s="10" t="str">
        <f t="shared" si="120"/>
        <v/>
      </c>
      <c r="C1020" s="10" t="str">
        <f t="shared" si="121"/>
        <v/>
      </c>
      <c r="D1020" s="10" t="str">
        <f t="shared" si="122"/>
        <v/>
      </c>
      <c r="E1020" s="11" t="str">
        <f t="shared" si="123"/>
        <v/>
      </c>
      <c r="F1020" s="12" t="str">
        <f t="shared" si="124"/>
        <v/>
      </c>
      <c r="G1020" s="13" t="str">
        <f t="shared" si="125"/>
        <v/>
      </c>
      <c r="H1020" s="13" t="str">
        <f t="shared" si="126"/>
        <v/>
      </c>
      <c r="I1020" s="14" t="str">
        <f t="shared" si="127"/>
        <v/>
      </c>
      <c r="L1020" t="str">
        <f>IFERROR(MATCH($C$5&amp;"|"&amp;RIGHT("000000"&amp;1004,6),LdgRankKeyA,0),"")</f>
        <v/>
      </c>
      <c r="M1020" t="str">
        <f>IFERROR(MATCH($C$5&amp;"|"&amp;RIGHT("000000"&amp;1004,6),LdgRankKeyB,0),"")</f>
        <v/>
      </c>
    </row>
    <row r="1021" spans="1:13" x14ac:dyDescent="0.2">
      <c r="A1021" s="3">
        <v>1005</v>
      </c>
      <c r="B1021" s="4" t="str">
        <f t="shared" si="120"/>
        <v/>
      </c>
      <c r="C1021" s="4" t="str">
        <f t="shared" si="121"/>
        <v/>
      </c>
      <c r="D1021" s="4" t="str">
        <f t="shared" si="122"/>
        <v/>
      </c>
      <c r="E1021" s="5" t="str">
        <f t="shared" si="123"/>
        <v/>
      </c>
      <c r="F1021" s="6" t="str">
        <f t="shared" si="124"/>
        <v/>
      </c>
      <c r="G1021" s="7" t="str">
        <f t="shared" si="125"/>
        <v/>
      </c>
      <c r="H1021" s="7" t="str">
        <f t="shared" si="126"/>
        <v/>
      </c>
      <c r="I1021" s="8" t="str">
        <f t="shared" si="127"/>
        <v/>
      </c>
      <c r="L1021" t="str">
        <f>IFERROR(MATCH($C$5&amp;"|"&amp;RIGHT("000000"&amp;1005,6),LdgRankKeyA,0),"")</f>
        <v/>
      </c>
      <c r="M1021" t="str">
        <f>IFERROR(MATCH($C$5&amp;"|"&amp;RIGHT("000000"&amp;1005,6),LdgRankKeyB,0),"")</f>
        <v/>
      </c>
    </row>
    <row r="1022" spans="1:13" x14ac:dyDescent="0.2">
      <c r="A1022" s="9">
        <v>1006</v>
      </c>
      <c r="B1022" s="10" t="str">
        <f t="shared" si="120"/>
        <v/>
      </c>
      <c r="C1022" s="10" t="str">
        <f t="shared" si="121"/>
        <v/>
      </c>
      <c r="D1022" s="10" t="str">
        <f t="shared" si="122"/>
        <v/>
      </c>
      <c r="E1022" s="11" t="str">
        <f t="shared" si="123"/>
        <v/>
      </c>
      <c r="F1022" s="12" t="str">
        <f t="shared" si="124"/>
        <v/>
      </c>
      <c r="G1022" s="13" t="str">
        <f t="shared" si="125"/>
        <v/>
      </c>
      <c r="H1022" s="13" t="str">
        <f t="shared" si="126"/>
        <v/>
      </c>
      <c r="I1022" s="14" t="str">
        <f t="shared" si="127"/>
        <v/>
      </c>
      <c r="L1022" t="str">
        <f>IFERROR(MATCH($C$5&amp;"|"&amp;RIGHT("000000"&amp;1006,6),LdgRankKeyA,0),"")</f>
        <v/>
      </c>
      <c r="M1022" t="str">
        <f>IFERROR(MATCH($C$5&amp;"|"&amp;RIGHT("000000"&amp;1006,6),LdgRankKeyB,0),"")</f>
        <v/>
      </c>
    </row>
    <row r="1023" spans="1:13" x14ac:dyDescent="0.2">
      <c r="A1023" s="3">
        <v>1007</v>
      </c>
      <c r="B1023" s="4" t="str">
        <f t="shared" si="120"/>
        <v/>
      </c>
      <c r="C1023" s="4" t="str">
        <f t="shared" si="121"/>
        <v/>
      </c>
      <c r="D1023" s="4" t="str">
        <f t="shared" si="122"/>
        <v/>
      </c>
      <c r="E1023" s="5" t="str">
        <f t="shared" si="123"/>
        <v/>
      </c>
      <c r="F1023" s="6" t="str">
        <f t="shared" si="124"/>
        <v/>
      </c>
      <c r="G1023" s="7" t="str">
        <f t="shared" si="125"/>
        <v/>
      </c>
      <c r="H1023" s="7" t="str">
        <f t="shared" si="126"/>
        <v/>
      </c>
      <c r="I1023" s="8" t="str">
        <f t="shared" si="127"/>
        <v/>
      </c>
      <c r="L1023" t="str">
        <f>IFERROR(MATCH($C$5&amp;"|"&amp;RIGHT("000000"&amp;1007,6),LdgRankKeyA,0),"")</f>
        <v/>
      </c>
      <c r="M1023" t="str">
        <f>IFERROR(MATCH($C$5&amp;"|"&amp;RIGHT("000000"&amp;1007,6),LdgRankKeyB,0),"")</f>
        <v/>
      </c>
    </row>
    <row r="1024" spans="1:13" x14ac:dyDescent="0.2">
      <c r="A1024" s="9">
        <v>1008</v>
      </c>
      <c r="B1024" s="10" t="str">
        <f t="shared" si="120"/>
        <v/>
      </c>
      <c r="C1024" s="10" t="str">
        <f t="shared" si="121"/>
        <v/>
      </c>
      <c r="D1024" s="10" t="str">
        <f t="shared" si="122"/>
        <v/>
      </c>
      <c r="E1024" s="11" t="str">
        <f t="shared" si="123"/>
        <v/>
      </c>
      <c r="F1024" s="12" t="str">
        <f t="shared" si="124"/>
        <v/>
      </c>
      <c r="G1024" s="13" t="str">
        <f t="shared" si="125"/>
        <v/>
      </c>
      <c r="H1024" s="13" t="str">
        <f t="shared" si="126"/>
        <v/>
      </c>
      <c r="I1024" s="14" t="str">
        <f t="shared" si="127"/>
        <v/>
      </c>
      <c r="L1024" t="str">
        <f>IFERROR(MATCH($C$5&amp;"|"&amp;RIGHT("000000"&amp;1008,6),LdgRankKeyA,0),"")</f>
        <v/>
      </c>
      <c r="M1024" t="str">
        <f>IFERROR(MATCH($C$5&amp;"|"&amp;RIGHT("000000"&amp;1008,6),LdgRankKeyB,0),"")</f>
        <v/>
      </c>
    </row>
    <row r="1025" spans="1:13" x14ac:dyDescent="0.2">
      <c r="A1025" s="3">
        <v>1009</v>
      </c>
      <c r="B1025" s="4" t="str">
        <f t="shared" si="120"/>
        <v/>
      </c>
      <c r="C1025" s="4" t="str">
        <f t="shared" si="121"/>
        <v/>
      </c>
      <c r="D1025" s="4" t="str">
        <f t="shared" si="122"/>
        <v/>
      </c>
      <c r="E1025" s="5" t="str">
        <f t="shared" si="123"/>
        <v/>
      </c>
      <c r="F1025" s="6" t="str">
        <f t="shared" si="124"/>
        <v/>
      </c>
      <c r="G1025" s="7" t="str">
        <f t="shared" si="125"/>
        <v/>
      </c>
      <c r="H1025" s="7" t="str">
        <f t="shared" si="126"/>
        <v/>
      </c>
      <c r="I1025" s="8" t="str">
        <f t="shared" si="127"/>
        <v/>
      </c>
      <c r="L1025" t="str">
        <f>IFERROR(MATCH($C$5&amp;"|"&amp;RIGHT("000000"&amp;1009,6),LdgRankKeyA,0),"")</f>
        <v/>
      </c>
      <c r="M1025" t="str">
        <f>IFERROR(MATCH($C$5&amp;"|"&amp;RIGHT("000000"&amp;1009,6),LdgRankKeyB,0),"")</f>
        <v/>
      </c>
    </row>
    <row r="1026" spans="1:13" x14ac:dyDescent="0.2">
      <c r="A1026" s="9">
        <v>1010</v>
      </c>
      <c r="B1026" s="10" t="str">
        <f t="shared" si="120"/>
        <v/>
      </c>
      <c r="C1026" s="10" t="str">
        <f t="shared" si="121"/>
        <v/>
      </c>
      <c r="D1026" s="10" t="str">
        <f t="shared" si="122"/>
        <v/>
      </c>
      <c r="E1026" s="11" t="str">
        <f t="shared" si="123"/>
        <v/>
      </c>
      <c r="F1026" s="12" t="str">
        <f t="shared" si="124"/>
        <v/>
      </c>
      <c r="G1026" s="13" t="str">
        <f t="shared" si="125"/>
        <v/>
      </c>
      <c r="H1026" s="13" t="str">
        <f t="shared" si="126"/>
        <v/>
      </c>
      <c r="I1026" s="14" t="str">
        <f t="shared" si="127"/>
        <v/>
      </c>
      <c r="L1026" t="str">
        <f>IFERROR(MATCH($C$5&amp;"|"&amp;RIGHT("000000"&amp;1010,6),LdgRankKeyA,0),"")</f>
        <v/>
      </c>
      <c r="M1026" t="str">
        <f>IFERROR(MATCH($C$5&amp;"|"&amp;RIGHT("000000"&amp;1010,6),LdgRankKeyB,0),"")</f>
        <v/>
      </c>
    </row>
    <row r="1027" spans="1:13" x14ac:dyDescent="0.2">
      <c r="A1027" s="3">
        <v>1011</v>
      </c>
      <c r="B1027" s="4" t="str">
        <f t="shared" si="120"/>
        <v/>
      </c>
      <c r="C1027" s="4" t="str">
        <f t="shared" si="121"/>
        <v/>
      </c>
      <c r="D1027" s="4" t="str">
        <f t="shared" si="122"/>
        <v/>
      </c>
      <c r="E1027" s="5" t="str">
        <f t="shared" si="123"/>
        <v/>
      </c>
      <c r="F1027" s="6" t="str">
        <f t="shared" si="124"/>
        <v/>
      </c>
      <c r="G1027" s="7" t="str">
        <f t="shared" si="125"/>
        <v/>
      </c>
      <c r="H1027" s="7" t="str">
        <f t="shared" si="126"/>
        <v/>
      </c>
      <c r="I1027" s="8" t="str">
        <f t="shared" si="127"/>
        <v/>
      </c>
      <c r="L1027" t="str">
        <f>IFERROR(MATCH($C$5&amp;"|"&amp;RIGHT("000000"&amp;1011,6),LdgRankKeyA,0),"")</f>
        <v/>
      </c>
      <c r="M1027" t="str">
        <f>IFERROR(MATCH($C$5&amp;"|"&amp;RIGHT("000000"&amp;1011,6),LdgRankKeyB,0),"")</f>
        <v/>
      </c>
    </row>
    <row r="1028" spans="1:13" x14ac:dyDescent="0.2">
      <c r="A1028" s="9">
        <v>1012</v>
      </c>
      <c r="B1028" s="10" t="str">
        <f t="shared" si="120"/>
        <v/>
      </c>
      <c r="C1028" s="10" t="str">
        <f t="shared" si="121"/>
        <v/>
      </c>
      <c r="D1028" s="10" t="str">
        <f t="shared" si="122"/>
        <v/>
      </c>
      <c r="E1028" s="11" t="str">
        <f t="shared" si="123"/>
        <v/>
      </c>
      <c r="F1028" s="12" t="str">
        <f t="shared" si="124"/>
        <v/>
      </c>
      <c r="G1028" s="13" t="str">
        <f t="shared" si="125"/>
        <v/>
      </c>
      <c r="H1028" s="13" t="str">
        <f t="shared" si="126"/>
        <v/>
      </c>
      <c r="I1028" s="14" t="str">
        <f t="shared" si="127"/>
        <v/>
      </c>
      <c r="L1028" t="str">
        <f>IFERROR(MATCH($C$5&amp;"|"&amp;RIGHT("000000"&amp;1012,6),LdgRankKeyA,0),"")</f>
        <v/>
      </c>
      <c r="M1028" t="str">
        <f>IFERROR(MATCH($C$5&amp;"|"&amp;RIGHT("000000"&amp;1012,6),LdgRankKeyB,0),"")</f>
        <v/>
      </c>
    </row>
    <row r="1029" spans="1:13" x14ac:dyDescent="0.2">
      <c r="A1029" s="3">
        <v>1013</v>
      </c>
      <c r="B1029" s="4" t="str">
        <f t="shared" si="120"/>
        <v/>
      </c>
      <c r="C1029" s="4" t="str">
        <f t="shared" si="121"/>
        <v/>
      </c>
      <c r="D1029" s="4" t="str">
        <f t="shared" si="122"/>
        <v/>
      </c>
      <c r="E1029" s="5" t="str">
        <f t="shared" si="123"/>
        <v/>
      </c>
      <c r="F1029" s="6" t="str">
        <f t="shared" si="124"/>
        <v/>
      </c>
      <c r="G1029" s="7" t="str">
        <f t="shared" si="125"/>
        <v/>
      </c>
      <c r="H1029" s="7" t="str">
        <f t="shared" si="126"/>
        <v/>
      </c>
      <c r="I1029" s="8" t="str">
        <f t="shared" si="127"/>
        <v/>
      </c>
      <c r="L1029" t="str">
        <f>IFERROR(MATCH($C$5&amp;"|"&amp;RIGHT("000000"&amp;1013,6),LdgRankKeyA,0),"")</f>
        <v/>
      </c>
      <c r="M1029" t="str">
        <f>IFERROR(MATCH($C$5&amp;"|"&amp;RIGHT("000000"&amp;1013,6),LdgRankKeyB,0),"")</f>
        <v/>
      </c>
    </row>
    <row r="1030" spans="1:13" x14ac:dyDescent="0.2">
      <c r="A1030" s="9">
        <v>1014</v>
      </c>
      <c r="B1030" s="10" t="str">
        <f t="shared" si="120"/>
        <v/>
      </c>
      <c r="C1030" s="10" t="str">
        <f t="shared" si="121"/>
        <v/>
      </c>
      <c r="D1030" s="10" t="str">
        <f t="shared" si="122"/>
        <v/>
      </c>
      <c r="E1030" s="11" t="str">
        <f t="shared" si="123"/>
        <v/>
      </c>
      <c r="F1030" s="12" t="str">
        <f t="shared" si="124"/>
        <v/>
      </c>
      <c r="G1030" s="13" t="str">
        <f t="shared" si="125"/>
        <v/>
      </c>
      <c r="H1030" s="13" t="str">
        <f t="shared" si="126"/>
        <v/>
      </c>
      <c r="I1030" s="14" t="str">
        <f t="shared" si="127"/>
        <v/>
      </c>
      <c r="L1030" t="str">
        <f>IFERROR(MATCH($C$5&amp;"|"&amp;RIGHT("000000"&amp;1014,6),LdgRankKeyA,0),"")</f>
        <v/>
      </c>
      <c r="M1030" t="str">
        <f>IFERROR(MATCH($C$5&amp;"|"&amp;RIGHT("000000"&amp;1014,6),LdgRankKeyB,0),"")</f>
        <v/>
      </c>
    </row>
    <row r="1031" spans="1:13" x14ac:dyDescent="0.2">
      <c r="A1031" s="3">
        <v>1015</v>
      </c>
      <c r="B1031" s="4" t="str">
        <f t="shared" si="120"/>
        <v/>
      </c>
      <c r="C1031" s="4" t="str">
        <f t="shared" si="121"/>
        <v/>
      </c>
      <c r="D1031" s="4" t="str">
        <f t="shared" si="122"/>
        <v/>
      </c>
      <c r="E1031" s="5" t="str">
        <f t="shared" si="123"/>
        <v/>
      </c>
      <c r="F1031" s="6" t="str">
        <f t="shared" si="124"/>
        <v/>
      </c>
      <c r="G1031" s="7" t="str">
        <f t="shared" si="125"/>
        <v/>
      </c>
      <c r="H1031" s="7" t="str">
        <f t="shared" si="126"/>
        <v/>
      </c>
      <c r="I1031" s="8" t="str">
        <f t="shared" si="127"/>
        <v/>
      </c>
      <c r="L1031" t="str">
        <f>IFERROR(MATCH($C$5&amp;"|"&amp;RIGHT("000000"&amp;1015,6),LdgRankKeyA,0),"")</f>
        <v/>
      </c>
      <c r="M1031" t="str">
        <f>IFERROR(MATCH($C$5&amp;"|"&amp;RIGHT("000000"&amp;1015,6),LdgRankKeyB,0),"")</f>
        <v/>
      </c>
    </row>
    <row r="1032" spans="1:13" x14ac:dyDescent="0.2">
      <c r="A1032" s="9">
        <v>1016</v>
      </c>
      <c r="B1032" s="10" t="str">
        <f t="shared" si="120"/>
        <v/>
      </c>
      <c r="C1032" s="10" t="str">
        <f t="shared" si="121"/>
        <v/>
      </c>
      <c r="D1032" s="10" t="str">
        <f t="shared" si="122"/>
        <v/>
      </c>
      <c r="E1032" s="11" t="str">
        <f t="shared" si="123"/>
        <v/>
      </c>
      <c r="F1032" s="12" t="str">
        <f t="shared" si="124"/>
        <v/>
      </c>
      <c r="G1032" s="13" t="str">
        <f t="shared" si="125"/>
        <v/>
      </c>
      <c r="H1032" s="13" t="str">
        <f t="shared" si="126"/>
        <v/>
      </c>
      <c r="I1032" s="14" t="str">
        <f t="shared" si="127"/>
        <v/>
      </c>
      <c r="L1032" t="str">
        <f>IFERROR(MATCH($C$5&amp;"|"&amp;RIGHT("000000"&amp;1016,6),LdgRankKeyA,0),"")</f>
        <v/>
      </c>
      <c r="M1032" t="str">
        <f>IFERROR(MATCH($C$5&amp;"|"&amp;RIGHT("000000"&amp;1016,6),LdgRankKeyB,0),"")</f>
        <v/>
      </c>
    </row>
    <row r="1033" spans="1:13" x14ac:dyDescent="0.2">
      <c r="A1033" s="3">
        <v>1017</v>
      </c>
      <c r="B1033" s="4" t="str">
        <f t="shared" si="120"/>
        <v/>
      </c>
      <c r="C1033" s="4" t="str">
        <f t="shared" si="121"/>
        <v/>
      </c>
      <c r="D1033" s="4" t="str">
        <f t="shared" si="122"/>
        <v/>
      </c>
      <c r="E1033" s="5" t="str">
        <f t="shared" si="123"/>
        <v/>
      </c>
      <c r="F1033" s="6" t="str">
        <f t="shared" si="124"/>
        <v/>
      </c>
      <c r="G1033" s="7" t="str">
        <f t="shared" si="125"/>
        <v/>
      </c>
      <c r="H1033" s="7" t="str">
        <f t="shared" si="126"/>
        <v/>
      </c>
      <c r="I1033" s="8" t="str">
        <f t="shared" si="127"/>
        <v/>
      </c>
      <c r="L1033" t="str">
        <f>IFERROR(MATCH($C$5&amp;"|"&amp;RIGHT("000000"&amp;1017,6),LdgRankKeyA,0),"")</f>
        <v/>
      </c>
      <c r="M1033" t="str">
        <f>IFERROR(MATCH($C$5&amp;"|"&amp;RIGHT("000000"&amp;1017,6),LdgRankKeyB,0),"")</f>
        <v/>
      </c>
    </row>
    <row r="1034" spans="1:13" x14ac:dyDescent="0.2">
      <c r="A1034" s="9">
        <v>1018</v>
      </c>
      <c r="B1034" s="10" t="str">
        <f t="shared" si="120"/>
        <v/>
      </c>
      <c r="C1034" s="10" t="str">
        <f t="shared" si="121"/>
        <v/>
      </c>
      <c r="D1034" s="10" t="str">
        <f t="shared" si="122"/>
        <v/>
      </c>
      <c r="E1034" s="11" t="str">
        <f t="shared" si="123"/>
        <v/>
      </c>
      <c r="F1034" s="12" t="str">
        <f t="shared" si="124"/>
        <v/>
      </c>
      <c r="G1034" s="13" t="str">
        <f t="shared" si="125"/>
        <v/>
      </c>
      <c r="H1034" s="13" t="str">
        <f t="shared" si="126"/>
        <v/>
      </c>
      <c r="I1034" s="14" t="str">
        <f t="shared" si="127"/>
        <v/>
      </c>
      <c r="L1034" t="str">
        <f>IFERROR(MATCH($C$5&amp;"|"&amp;RIGHT("000000"&amp;1018,6),LdgRankKeyA,0),"")</f>
        <v/>
      </c>
      <c r="M1034" t="str">
        <f>IFERROR(MATCH($C$5&amp;"|"&amp;RIGHT("000000"&amp;1018,6),LdgRankKeyB,0),"")</f>
        <v/>
      </c>
    </row>
    <row r="1035" spans="1:13" x14ac:dyDescent="0.2">
      <c r="A1035" s="3">
        <v>1019</v>
      </c>
      <c r="B1035" s="4" t="str">
        <f t="shared" si="120"/>
        <v/>
      </c>
      <c r="C1035" s="4" t="str">
        <f t="shared" si="121"/>
        <v/>
      </c>
      <c r="D1035" s="4" t="str">
        <f t="shared" si="122"/>
        <v/>
      </c>
      <c r="E1035" s="5" t="str">
        <f t="shared" si="123"/>
        <v/>
      </c>
      <c r="F1035" s="6" t="str">
        <f t="shared" si="124"/>
        <v/>
      </c>
      <c r="G1035" s="7" t="str">
        <f t="shared" si="125"/>
        <v/>
      </c>
      <c r="H1035" s="7" t="str">
        <f t="shared" si="126"/>
        <v/>
      </c>
      <c r="I1035" s="8" t="str">
        <f t="shared" si="127"/>
        <v/>
      </c>
      <c r="L1035" t="str">
        <f>IFERROR(MATCH($C$5&amp;"|"&amp;RIGHT("000000"&amp;1019,6),LdgRankKeyA,0),"")</f>
        <v/>
      </c>
      <c r="M1035" t="str">
        <f>IFERROR(MATCH($C$5&amp;"|"&amp;RIGHT("000000"&amp;1019,6),LdgRankKeyB,0),"")</f>
        <v/>
      </c>
    </row>
    <row r="1036" spans="1:13" x14ac:dyDescent="0.2">
      <c r="A1036" s="9">
        <v>1020</v>
      </c>
      <c r="B1036" s="10" t="str">
        <f t="shared" si="120"/>
        <v/>
      </c>
      <c r="C1036" s="10" t="str">
        <f t="shared" si="121"/>
        <v/>
      </c>
      <c r="D1036" s="10" t="str">
        <f t="shared" si="122"/>
        <v/>
      </c>
      <c r="E1036" s="11" t="str">
        <f t="shared" si="123"/>
        <v/>
      </c>
      <c r="F1036" s="12" t="str">
        <f t="shared" si="124"/>
        <v/>
      </c>
      <c r="G1036" s="13" t="str">
        <f t="shared" si="125"/>
        <v/>
      </c>
      <c r="H1036" s="13" t="str">
        <f t="shared" si="126"/>
        <v/>
      </c>
      <c r="I1036" s="14" t="str">
        <f t="shared" si="127"/>
        <v/>
      </c>
      <c r="L1036" t="str">
        <f>IFERROR(MATCH($C$5&amp;"|"&amp;RIGHT("000000"&amp;1020,6),LdgRankKeyA,0),"")</f>
        <v/>
      </c>
      <c r="M1036" t="str">
        <f>IFERROR(MATCH($C$5&amp;"|"&amp;RIGHT("000000"&amp;1020,6),LdgRankKeyB,0),"")</f>
        <v/>
      </c>
    </row>
    <row r="1037" spans="1:13" x14ac:dyDescent="0.2">
      <c r="A1037" s="3">
        <v>1021</v>
      </c>
      <c r="B1037" s="4" t="str">
        <f t="shared" si="120"/>
        <v/>
      </c>
      <c r="C1037" s="4" t="str">
        <f t="shared" si="121"/>
        <v/>
      </c>
      <c r="D1037" s="4" t="str">
        <f t="shared" si="122"/>
        <v/>
      </c>
      <c r="E1037" s="5" t="str">
        <f t="shared" si="123"/>
        <v/>
      </c>
      <c r="F1037" s="6" t="str">
        <f t="shared" si="124"/>
        <v/>
      </c>
      <c r="G1037" s="7" t="str">
        <f t="shared" si="125"/>
        <v/>
      </c>
      <c r="H1037" s="7" t="str">
        <f t="shared" si="126"/>
        <v/>
      </c>
      <c r="I1037" s="8" t="str">
        <f t="shared" si="127"/>
        <v/>
      </c>
      <c r="L1037" t="str">
        <f>IFERROR(MATCH($C$5&amp;"|"&amp;RIGHT("000000"&amp;1021,6),LdgRankKeyA,0),"")</f>
        <v/>
      </c>
      <c r="M1037" t="str">
        <f>IFERROR(MATCH($C$5&amp;"|"&amp;RIGHT("000000"&amp;1021,6),LdgRankKeyB,0),"")</f>
        <v/>
      </c>
    </row>
    <row r="1038" spans="1:13" x14ac:dyDescent="0.2">
      <c r="A1038" s="9">
        <v>1022</v>
      </c>
      <c r="B1038" s="10" t="str">
        <f t="shared" si="120"/>
        <v/>
      </c>
      <c r="C1038" s="10" t="str">
        <f t="shared" si="121"/>
        <v/>
      </c>
      <c r="D1038" s="10" t="str">
        <f t="shared" si="122"/>
        <v/>
      </c>
      <c r="E1038" s="11" t="str">
        <f t="shared" si="123"/>
        <v/>
      </c>
      <c r="F1038" s="12" t="str">
        <f t="shared" si="124"/>
        <v/>
      </c>
      <c r="G1038" s="13" t="str">
        <f t="shared" si="125"/>
        <v/>
      </c>
      <c r="H1038" s="13" t="str">
        <f t="shared" si="126"/>
        <v/>
      </c>
      <c r="I1038" s="14" t="str">
        <f t="shared" si="127"/>
        <v/>
      </c>
      <c r="L1038" t="str">
        <f>IFERROR(MATCH($C$5&amp;"|"&amp;RIGHT("000000"&amp;1022,6),LdgRankKeyA,0),"")</f>
        <v/>
      </c>
      <c r="M1038" t="str">
        <f>IFERROR(MATCH($C$5&amp;"|"&amp;RIGHT("000000"&amp;1022,6),LdgRankKeyB,0),"")</f>
        <v/>
      </c>
    </row>
    <row r="1039" spans="1:13" x14ac:dyDescent="0.2">
      <c r="A1039" s="3">
        <v>1023</v>
      </c>
      <c r="B1039" s="4" t="str">
        <f t="shared" si="120"/>
        <v/>
      </c>
      <c r="C1039" s="4" t="str">
        <f t="shared" si="121"/>
        <v/>
      </c>
      <c r="D1039" s="4" t="str">
        <f t="shared" si="122"/>
        <v/>
      </c>
      <c r="E1039" s="5" t="str">
        <f t="shared" si="123"/>
        <v/>
      </c>
      <c r="F1039" s="6" t="str">
        <f t="shared" si="124"/>
        <v/>
      </c>
      <c r="G1039" s="7" t="str">
        <f t="shared" si="125"/>
        <v/>
      </c>
      <c r="H1039" s="7" t="str">
        <f t="shared" si="126"/>
        <v/>
      </c>
      <c r="I1039" s="8" t="str">
        <f t="shared" si="127"/>
        <v/>
      </c>
      <c r="L1039" t="str">
        <f>IFERROR(MATCH($C$5&amp;"|"&amp;RIGHT("000000"&amp;1023,6),LdgRankKeyA,0),"")</f>
        <v/>
      </c>
      <c r="M1039" t="str">
        <f>IFERROR(MATCH($C$5&amp;"|"&amp;RIGHT("000000"&amp;1023,6),LdgRankKeyB,0),"")</f>
        <v/>
      </c>
    </row>
    <row r="1040" spans="1:13" x14ac:dyDescent="0.2">
      <c r="A1040" s="9">
        <v>1024</v>
      </c>
      <c r="B1040" s="10" t="str">
        <f t="shared" si="120"/>
        <v/>
      </c>
      <c r="C1040" s="10" t="str">
        <f t="shared" si="121"/>
        <v/>
      </c>
      <c r="D1040" s="10" t="str">
        <f t="shared" si="122"/>
        <v/>
      </c>
      <c r="E1040" s="11" t="str">
        <f t="shared" si="123"/>
        <v/>
      </c>
      <c r="F1040" s="12" t="str">
        <f t="shared" si="124"/>
        <v/>
      </c>
      <c r="G1040" s="13" t="str">
        <f t="shared" si="125"/>
        <v/>
      </c>
      <c r="H1040" s="13" t="str">
        <f t="shared" si="126"/>
        <v/>
      </c>
      <c r="I1040" s="14" t="str">
        <f t="shared" si="127"/>
        <v/>
      </c>
      <c r="L1040" t="str">
        <f>IFERROR(MATCH($C$5&amp;"|"&amp;RIGHT("000000"&amp;1024,6),LdgRankKeyA,0),"")</f>
        <v/>
      </c>
      <c r="M1040" t="str">
        <f>IFERROR(MATCH($C$5&amp;"|"&amp;RIGHT("000000"&amp;1024,6),LdgRankKeyB,0),"")</f>
        <v/>
      </c>
    </row>
    <row r="1041" spans="1:13" x14ac:dyDescent="0.2">
      <c r="A1041" s="3">
        <v>1025</v>
      </c>
      <c r="B1041" s="4" t="str">
        <f t="shared" ref="B1041:B1104" si="128">IF(AND($L1041="",$M1041=""),"",IF($L1041&lt;&gt;"",INDEX(SCNormDate,$L1041),INDEX(LdgDateB,$M1041)))</f>
        <v/>
      </c>
      <c r="C1041" s="4" t="str">
        <f t="shared" ref="C1041:C1104" si="129">IF($L1041&lt;&gt;"",INDEX(SCOp,$L1041),IF($M1041&lt;&gt;"","پرداخت بانکی",""))</f>
        <v/>
      </c>
      <c r="D1041" s="4" t="str">
        <f t="shared" ref="D1041:D1104" si="130">IF($L1041&lt;&gt;"",IF(INDEX(SCDoc,$L1041)="","—",INDEX(SCDoc,$L1041)),IF($M1041&lt;&gt;"",INDEX(LdgBankB,$M1041),""))</f>
        <v/>
      </c>
      <c r="E1041" s="5" t="str">
        <f t="shared" ref="E1041:E1104" si="131">IF($L1041&lt;&gt;"",IF(INDEX(SCCitrus,$L1041)&amp;INDEX(SCNotes,$L1041)="","",IF(INDEX(SCCitrus,$L1041)="","",INDEX(SCCitrus,$L1041))&amp;IF(INDEX(SCNotes,$L1041)="",""," — "&amp;INDEX(SCNotes,$L1041))),IF($M1041&lt;&gt;"",IF(INDEX(LdgNoteB,$M1041)="","—",INDEX(LdgNoteB,$M1041)),""))</f>
        <v/>
      </c>
      <c r="F1041" s="6" t="str">
        <f t="shared" ref="F1041:F1104" si="132">IF($L1041&lt;&gt;"",IF(INDEX(SCNet,$L1041)=0,"",INDEX(SCNet,$L1041)),"")</f>
        <v/>
      </c>
      <c r="G1041" s="7" t="str">
        <f t="shared" ref="G1041:G1104" si="133">IF($L1041&lt;&gt;"",IF(INDEX(SCOp,$L1041)="مرجوعی فروش","",IF(INDEX(SCAmount,$L1041)&lt;=0,"",INDEX(SCAmount,$L1041))),IF($M1041&lt;&gt;"",IF(INDEX(LdgWitB,$M1041)=0,"",INDEX(LdgWitB,$M1041)),""))</f>
        <v/>
      </c>
      <c r="H1041" s="7" t="str">
        <f t="shared" ref="H1041:H1104" si="134">IF($L1041&lt;&gt;"",IF(INDEX(SCOp,$L1041)="مرجوعی فروش",IF(INDEX(SCAmount,$L1041)=0,"",-INDEX(SCAmount,$L1041)),""),IF($M1041&lt;&gt;"",IF(INDEX(LdgDepB,$M1041)=0,"",INDEX(LdgDepB,$M1041)),""))</f>
        <v/>
      </c>
      <c r="I1041" s="8" t="str">
        <f t="shared" si="127"/>
        <v/>
      </c>
      <c r="L1041" t="str">
        <f>IFERROR(MATCH($C$5&amp;"|"&amp;RIGHT("000000"&amp;1025,6),LdgRankKeyA,0),"")</f>
        <v/>
      </c>
      <c r="M1041" t="str">
        <f>IFERROR(MATCH($C$5&amp;"|"&amp;RIGHT("000000"&amp;1025,6),LdgRankKeyB,0),"")</f>
        <v/>
      </c>
    </row>
    <row r="1042" spans="1:13" x14ac:dyDescent="0.2">
      <c r="A1042" s="9">
        <v>1026</v>
      </c>
      <c r="B1042" s="10" t="str">
        <f t="shared" si="128"/>
        <v/>
      </c>
      <c r="C1042" s="10" t="str">
        <f t="shared" si="129"/>
        <v/>
      </c>
      <c r="D1042" s="10" t="str">
        <f t="shared" si="130"/>
        <v/>
      </c>
      <c r="E1042" s="11" t="str">
        <f t="shared" si="131"/>
        <v/>
      </c>
      <c r="F1042" s="12" t="str">
        <f t="shared" si="132"/>
        <v/>
      </c>
      <c r="G1042" s="13" t="str">
        <f t="shared" si="133"/>
        <v/>
      </c>
      <c r="H1042" s="13" t="str">
        <f t="shared" si="134"/>
        <v/>
      </c>
      <c r="I1042" s="14" t="str">
        <f t="shared" ref="I1042:I1105" si="135">IF($B1042="","",IF($I1041="",$C$10,$I1041)+IF($G1042="",0,$G1042)-IF($H1042="",0,$H1042))</f>
        <v/>
      </c>
      <c r="L1042" t="str">
        <f>IFERROR(MATCH($C$5&amp;"|"&amp;RIGHT("000000"&amp;1026,6),LdgRankKeyA,0),"")</f>
        <v/>
      </c>
      <c r="M1042" t="str">
        <f>IFERROR(MATCH($C$5&amp;"|"&amp;RIGHT("000000"&amp;1026,6),LdgRankKeyB,0),"")</f>
        <v/>
      </c>
    </row>
    <row r="1043" spans="1:13" x14ac:dyDescent="0.2">
      <c r="A1043" s="3">
        <v>1027</v>
      </c>
      <c r="B1043" s="4" t="str">
        <f t="shared" si="128"/>
        <v/>
      </c>
      <c r="C1043" s="4" t="str">
        <f t="shared" si="129"/>
        <v/>
      </c>
      <c r="D1043" s="4" t="str">
        <f t="shared" si="130"/>
        <v/>
      </c>
      <c r="E1043" s="5" t="str">
        <f t="shared" si="131"/>
        <v/>
      </c>
      <c r="F1043" s="6" t="str">
        <f t="shared" si="132"/>
        <v/>
      </c>
      <c r="G1043" s="7" t="str">
        <f t="shared" si="133"/>
        <v/>
      </c>
      <c r="H1043" s="7" t="str">
        <f t="shared" si="134"/>
        <v/>
      </c>
      <c r="I1043" s="8" t="str">
        <f t="shared" si="135"/>
        <v/>
      </c>
      <c r="L1043" t="str">
        <f>IFERROR(MATCH($C$5&amp;"|"&amp;RIGHT("000000"&amp;1027,6),LdgRankKeyA,0),"")</f>
        <v/>
      </c>
      <c r="M1043" t="str">
        <f>IFERROR(MATCH($C$5&amp;"|"&amp;RIGHT("000000"&amp;1027,6),LdgRankKeyB,0),"")</f>
        <v/>
      </c>
    </row>
    <row r="1044" spans="1:13" x14ac:dyDescent="0.2">
      <c r="A1044" s="9">
        <v>1028</v>
      </c>
      <c r="B1044" s="10" t="str">
        <f t="shared" si="128"/>
        <v/>
      </c>
      <c r="C1044" s="10" t="str">
        <f t="shared" si="129"/>
        <v/>
      </c>
      <c r="D1044" s="10" t="str">
        <f t="shared" si="130"/>
        <v/>
      </c>
      <c r="E1044" s="11" t="str">
        <f t="shared" si="131"/>
        <v/>
      </c>
      <c r="F1044" s="12" t="str">
        <f t="shared" si="132"/>
        <v/>
      </c>
      <c r="G1044" s="13" t="str">
        <f t="shared" si="133"/>
        <v/>
      </c>
      <c r="H1044" s="13" t="str">
        <f t="shared" si="134"/>
        <v/>
      </c>
      <c r="I1044" s="14" t="str">
        <f t="shared" si="135"/>
        <v/>
      </c>
      <c r="L1044" t="str">
        <f>IFERROR(MATCH($C$5&amp;"|"&amp;RIGHT("000000"&amp;1028,6),LdgRankKeyA,0),"")</f>
        <v/>
      </c>
      <c r="M1044" t="str">
        <f>IFERROR(MATCH($C$5&amp;"|"&amp;RIGHT("000000"&amp;1028,6),LdgRankKeyB,0),"")</f>
        <v/>
      </c>
    </row>
    <row r="1045" spans="1:13" x14ac:dyDescent="0.2">
      <c r="A1045" s="3">
        <v>1029</v>
      </c>
      <c r="B1045" s="4" t="str">
        <f t="shared" si="128"/>
        <v/>
      </c>
      <c r="C1045" s="4" t="str">
        <f t="shared" si="129"/>
        <v/>
      </c>
      <c r="D1045" s="4" t="str">
        <f t="shared" si="130"/>
        <v/>
      </c>
      <c r="E1045" s="5" t="str">
        <f t="shared" si="131"/>
        <v/>
      </c>
      <c r="F1045" s="6" t="str">
        <f t="shared" si="132"/>
        <v/>
      </c>
      <c r="G1045" s="7" t="str">
        <f t="shared" si="133"/>
        <v/>
      </c>
      <c r="H1045" s="7" t="str">
        <f t="shared" si="134"/>
        <v/>
      </c>
      <c r="I1045" s="8" t="str">
        <f t="shared" si="135"/>
        <v/>
      </c>
      <c r="L1045" t="str">
        <f>IFERROR(MATCH($C$5&amp;"|"&amp;RIGHT("000000"&amp;1029,6),LdgRankKeyA,0),"")</f>
        <v/>
      </c>
      <c r="M1045" t="str">
        <f>IFERROR(MATCH($C$5&amp;"|"&amp;RIGHT("000000"&amp;1029,6),LdgRankKeyB,0),"")</f>
        <v/>
      </c>
    </row>
    <row r="1046" spans="1:13" x14ac:dyDescent="0.2">
      <c r="A1046" s="9">
        <v>1030</v>
      </c>
      <c r="B1046" s="10" t="str">
        <f t="shared" si="128"/>
        <v/>
      </c>
      <c r="C1046" s="10" t="str">
        <f t="shared" si="129"/>
        <v/>
      </c>
      <c r="D1046" s="10" t="str">
        <f t="shared" si="130"/>
        <v/>
      </c>
      <c r="E1046" s="11" t="str">
        <f t="shared" si="131"/>
        <v/>
      </c>
      <c r="F1046" s="12" t="str">
        <f t="shared" si="132"/>
        <v/>
      </c>
      <c r="G1046" s="13" t="str">
        <f t="shared" si="133"/>
        <v/>
      </c>
      <c r="H1046" s="13" t="str">
        <f t="shared" si="134"/>
        <v/>
      </c>
      <c r="I1046" s="14" t="str">
        <f t="shared" si="135"/>
        <v/>
      </c>
      <c r="L1046" t="str">
        <f>IFERROR(MATCH($C$5&amp;"|"&amp;RIGHT("000000"&amp;1030,6),LdgRankKeyA,0),"")</f>
        <v/>
      </c>
      <c r="M1046" t="str">
        <f>IFERROR(MATCH($C$5&amp;"|"&amp;RIGHT("000000"&amp;1030,6),LdgRankKeyB,0),"")</f>
        <v/>
      </c>
    </row>
    <row r="1047" spans="1:13" x14ac:dyDescent="0.2">
      <c r="A1047" s="3">
        <v>1031</v>
      </c>
      <c r="B1047" s="4" t="str">
        <f t="shared" si="128"/>
        <v/>
      </c>
      <c r="C1047" s="4" t="str">
        <f t="shared" si="129"/>
        <v/>
      </c>
      <c r="D1047" s="4" t="str">
        <f t="shared" si="130"/>
        <v/>
      </c>
      <c r="E1047" s="5" t="str">
        <f t="shared" si="131"/>
        <v/>
      </c>
      <c r="F1047" s="6" t="str">
        <f t="shared" si="132"/>
        <v/>
      </c>
      <c r="G1047" s="7" t="str">
        <f t="shared" si="133"/>
        <v/>
      </c>
      <c r="H1047" s="7" t="str">
        <f t="shared" si="134"/>
        <v/>
      </c>
      <c r="I1047" s="8" t="str">
        <f t="shared" si="135"/>
        <v/>
      </c>
      <c r="L1047" t="str">
        <f>IFERROR(MATCH($C$5&amp;"|"&amp;RIGHT("000000"&amp;1031,6),LdgRankKeyA,0),"")</f>
        <v/>
      </c>
      <c r="M1047" t="str">
        <f>IFERROR(MATCH($C$5&amp;"|"&amp;RIGHT("000000"&amp;1031,6),LdgRankKeyB,0),"")</f>
        <v/>
      </c>
    </row>
    <row r="1048" spans="1:13" x14ac:dyDescent="0.2">
      <c r="A1048" s="9">
        <v>1032</v>
      </c>
      <c r="B1048" s="10" t="str">
        <f t="shared" si="128"/>
        <v/>
      </c>
      <c r="C1048" s="10" t="str">
        <f t="shared" si="129"/>
        <v/>
      </c>
      <c r="D1048" s="10" t="str">
        <f t="shared" si="130"/>
        <v/>
      </c>
      <c r="E1048" s="11" t="str">
        <f t="shared" si="131"/>
        <v/>
      </c>
      <c r="F1048" s="12" t="str">
        <f t="shared" si="132"/>
        <v/>
      </c>
      <c r="G1048" s="13" t="str">
        <f t="shared" si="133"/>
        <v/>
      </c>
      <c r="H1048" s="13" t="str">
        <f t="shared" si="134"/>
        <v/>
      </c>
      <c r="I1048" s="14" t="str">
        <f t="shared" si="135"/>
        <v/>
      </c>
      <c r="L1048" t="str">
        <f>IFERROR(MATCH($C$5&amp;"|"&amp;RIGHT("000000"&amp;1032,6),LdgRankKeyA,0),"")</f>
        <v/>
      </c>
      <c r="M1048" t="str">
        <f>IFERROR(MATCH($C$5&amp;"|"&amp;RIGHT("000000"&amp;1032,6),LdgRankKeyB,0),"")</f>
        <v/>
      </c>
    </row>
    <row r="1049" spans="1:13" x14ac:dyDescent="0.2">
      <c r="A1049" s="3">
        <v>1033</v>
      </c>
      <c r="B1049" s="4" t="str">
        <f t="shared" si="128"/>
        <v/>
      </c>
      <c r="C1049" s="4" t="str">
        <f t="shared" si="129"/>
        <v/>
      </c>
      <c r="D1049" s="4" t="str">
        <f t="shared" si="130"/>
        <v/>
      </c>
      <c r="E1049" s="5" t="str">
        <f t="shared" si="131"/>
        <v/>
      </c>
      <c r="F1049" s="6" t="str">
        <f t="shared" si="132"/>
        <v/>
      </c>
      <c r="G1049" s="7" t="str">
        <f t="shared" si="133"/>
        <v/>
      </c>
      <c r="H1049" s="7" t="str">
        <f t="shared" si="134"/>
        <v/>
      </c>
      <c r="I1049" s="8" t="str">
        <f t="shared" si="135"/>
        <v/>
      </c>
      <c r="L1049" t="str">
        <f>IFERROR(MATCH($C$5&amp;"|"&amp;RIGHT("000000"&amp;1033,6),LdgRankKeyA,0),"")</f>
        <v/>
      </c>
      <c r="M1049" t="str">
        <f>IFERROR(MATCH($C$5&amp;"|"&amp;RIGHT("000000"&amp;1033,6),LdgRankKeyB,0),"")</f>
        <v/>
      </c>
    </row>
    <row r="1050" spans="1:13" x14ac:dyDescent="0.2">
      <c r="A1050" s="9">
        <v>1034</v>
      </c>
      <c r="B1050" s="10" t="str">
        <f t="shared" si="128"/>
        <v/>
      </c>
      <c r="C1050" s="10" t="str">
        <f t="shared" si="129"/>
        <v/>
      </c>
      <c r="D1050" s="10" t="str">
        <f t="shared" si="130"/>
        <v/>
      </c>
      <c r="E1050" s="11" t="str">
        <f t="shared" si="131"/>
        <v/>
      </c>
      <c r="F1050" s="12" t="str">
        <f t="shared" si="132"/>
        <v/>
      </c>
      <c r="G1050" s="13" t="str">
        <f t="shared" si="133"/>
        <v/>
      </c>
      <c r="H1050" s="13" t="str">
        <f t="shared" si="134"/>
        <v/>
      </c>
      <c r="I1050" s="14" t="str">
        <f t="shared" si="135"/>
        <v/>
      </c>
      <c r="L1050" t="str">
        <f>IFERROR(MATCH($C$5&amp;"|"&amp;RIGHT("000000"&amp;1034,6),LdgRankKeyA,0),"")</f>
        <v/>
      </c>
      <c r="M1050" t="str">
        <f>IFERROR(MATCH($C$5&amp;"|"&amp;RIGHT("000000"&amp;1034,6),LdgRankKeyB,0),"")</f>
        <v/>
      </c>
    </row>
    <row r="1051" spans="1:13" x14ac:dyDescent="0.2">
      <c r="A1051" s="3">
        <v>1035</v>
      </c>
      <c r="B1051" s="4" t="str">
        <f t="shared" si="128"/>
        <v/>
      </c>
      <c r="C1051" s="4" t="str">
        <f t="shared" si="129"/>
        <v/>
      </c>
      <c r="D1051" s="4" t="str">
        <f t="shared" si="130"/>
        <v/>
      </c>
      <c r="E1051" s="5" t="str">
        <f t="shared" si="131"/>
        <v/>
      </c>
      <c r="F1051" s="6" t="str">
        <f t="shared" si="132"/>
        <v/>
      </c>
      <c r="G1051" s="7" t="str">
        <f t="shared" si="133"/>
        <v/>
      </c>
      <c r="H1051" s="7" t="str">
        <f t="shared" si="134"/>
        <v/>
      </c>
      <c r="I1051" s="8" t="str">
        <f t="shared" si="135"/>
        <v/>
      </c>
      <c r="L1051" t="str">
        <f>IFERROR(MATCH($C$5&amp;"|"&amp;RIGHT("000000"&amp;1035,6),LdgRankKeyA,0),"")</f>
        <v/>
      </c>
      <c r="M1051" t="str">
        <f>IFERROR(MATCH($C$5&amp;"|"&amp;RIGHT("000000"&amp;1035,6),LdgRankKeyB,0),"")</f>
        <v/>
      </c>
    </row>
    <row r="1052" spans="1:13" x14ac:dyDescent="0.2">
      <c r="A1052" s="9">
        <v>1036</v>
      </c>
      <c r="B1052" s="10" t="str">
        <f t="shared" si="128"/>
        <v/>
      </c>
      <c r="C1052" s="10" t="str">
        <f t="shared" si="129"/>
        <v/>
      </c>
      <c r="D1052" s="10" t="str">
        <f t="shared" si="130"/>
        <v/>
      </c>
      <c r="E1052" s="11" t="str">
        <f t="shared" si="131"/>
        <v/>
      </c>
      <c r="F1052" s="12" t="str">
        <f t="shared" si="132"/>
        <v/>
      </c>
      <c r="G1052" s="13" t="str">
        <f t="shared" si="133"/>
        <v/>
      </c>
      <c r="H1052" s="13" t="str">
        <f t="shared" si="134"/>
        <v/>
      </c>
      <c r="I1052" s="14" t="str">
        <f t="shared" si="135"/>
        <v/>
      </c>
      <c r="L1052" t="str">
        <f>IFERROR(MATCH($C$5&amp;"|"&amp;RIGHT("000000"&amp;1036,6),LdgRankKeyA,0),"")</f>
        <v/>
      </c>
      <c r="M1052" t="str">
        <f>IFERROR(MATCH($C$5&amp;"|"&amp;RIGHT("000000"&amp;1036,6),LdgRankKeyB,0),"")</f>
        <v/>
      </c>
    </row>
    <row r="1053" spans="1:13" x14ac:dyDescent="0.2">
      <c r="A1053" s="3">
        <v>1037</v>
      </c>
      <c r="B1053" s="4" t="str">
        <f t="shared" si="128"/>
        <v/>
      </c>
      <c r="C1053" s="4" t="str">
        <f t="shared" si="129"/>
        <v/>
      </c>
      <c r="D1053" s="4" t="str">
        <f t="shared" si="130"/>
        <v/>
      </c>
      <c r="E1053" s="5" t="str">
        <f t="shared" si="131"/>
        <v/>
      </c>
      <c r="F1053" s="6" t="str">
        <f t="shared" si="132"/>
        <v/>
      </c>
      <c r="G1053" s="7" t="str">
        <f t="shared" si="133"/>
        <v/>
      </c>
      <c r="H1053" s="7" t="str">
        <f t="shared" si="134"/>
        <v/>
      </c>
      <c r="I1053" s="8" t="str">
        <f t="shared" si="135"/>
        <v/>
      </c>
      <c r="L1053" t="str">
        <f>IFERROR(MATCH($C$5&amp;"|"&amp;RIGHT("000000"&amp;1037,6),LdgRankKeyA,0),"")</f>
        <v/>
      </c>
      <c r="M1053" t="str">
        <f>IFERROR(MATCH($C$5&amp;"|"&amp;RIGHT("000000"&amp;1037,6),LdgRankKeyB,0),"")</f>
        <v/>
      </c>
    </row>
    <row r="1054" spans="1:13" x14ac:dyDescent="0.2">
      <c r="A1054" s="9">
        <v>1038</v>
      </c>
      <c r="B1054" s="10" t="str">
        <f t="shared" si="128"/>
        <v/>
      </c>
      <c r="C1054" s="10" t="str">
        <f t="shared" si="129"/>
        <v/>
      </c>
      <c r="D1054" s="10" t="str">
        <f t="shared" si="130"/>
        <v/>
      </c>
      <c r="E1054" s="11" t="str">
        <f t="shared" si="131"/>
        <v/>
      </c>
      <c r="F1054" s="12" t="str">
        <f t="shared" si="132"/>
        <v/>
      </c>
      <c r="G1054" s="13" t="str">
        <f t="shared" si="133"/>
        <v/>
      </c>
      <c r="H1054" s="13" t="str">
        <f t="shared" si="134"/>
        <v/>
      </c>
      <c r="I1054" s="14" t="str">
        <f t="shared" si="135"/>
        <v/>
      </c>
      <c r="L1054" t="str">
        <f>IFERROR(MATCH($C$5&amp;"|"&amp;RIGHT("000000"&amp;1038,6),LdgRankKeyA,0),"")</f>
        <v/>
      </c>
      <c r="M1054" t="str">
        <f>IFERROR(MATCH($C$5&amp;"|"&amp;RIGHT("000000"&amp;1038,6),LdgRankKeyB,0),"")</f>
        <v/>
      </c>
    </row>
    <row r="1055" spans="1:13" x14ac:dyDescent="0.2">
      <c r="A1055" s="3">
        <v>1039</v>
      </c>
      <c r="B1055" s="4" t="str">
        <f t="shared" si="128"/>
        <v/>
      </c>
      <c r="C1055" s="4" t="str">
        <f t="shared" si="129"/>
        <v/>
      </c>
      <c r="D1055" s="4" t="str">
        <f t="shared" si="130"/>
        <v/>
      </c>
      <c r="E1055" s="5" t="str">
        <f t="shared" si="131"/>
        <v/>
      </c>
      <c r="F1055" s="6" t="str">
        <f t="shared" si="132"/>
        <v/>
      </c>
      <c r="G1055" s="7" t="str">
        <f t="shared" si="133"/>
        <v/>
      </c>
      <c r="H1055" s="7" t="str">
        <f t="shared" si="134"/>
        <v/>
      </c>
      <c r="I1055" s="8" t="str">
        <f t="shared" si="135"/>
        <v/>
      </c>
      <c r="L1055" t="str">
        <f>IFERROR(MATCH($C$5&amp;"|"&amp;RIGHT("000000"&amp;1039,6),LdgRankKeyA,0),"")</f>
        <v/>
      </c>
      <c r="M1055" t="str">
        <f>IFERROR(MATCH($C$5&amp;"|"&amp;RIGHT("000000"&amp;1039,6),LdgRankKeyB,0),"")</f>
        <v/>
      </c>
    </row>
    <row r="1056" spans="1:13" x14ac:dyDescent="0.2">
      <c r="A1056" s="9">
        <v>1040</v>
      </c>
      <c r="B1056" s="10" t="str">
        <f t="shared" si="128"/>
        <v/>
      </c>
      <c r="C1056" s="10" t="str">
        <f t="shared" si="129"/>
        <v/>
      </c>
      <c r="D1056" s="10" t="str">
        <f t="shared" si="130"/>
        <v/>
      </c>
      <c r="E1056" s="11" t="str">
        <f t="shared" si="131"/>
        <v/>
      </c>
      <c r="F1056" s="12" t="str">
        <f t="shared" si="132"/>
        <v/>
      </c>
      <c r="G1056" s="13" t="str">
        <f t="shared" si="133"/>
        <v/>
      </c>
      <c r="H1056" s="13" t="str">
        <f t="shared" si="134"/>
        <v/>
      </c>
      <c r="I1056" s="14" t="str">
        <f t="shared" si="135"/>
        <v/>
      </c>
      <c r="L1056" t="str">
        <f>IFERROR(MATCH($C$5&amp;"|"&amp;RIGHT("000000"&amp;1040,6),LdgRankKeyA,0),"")</f>
        <v/>
      </c>
      <c r="M1056" t="str">
        <f>IFERROR(MATCH($C$5&amp;"|"&amp;RIGHT("000000"&amp;1040,6),LdgRankKeyB,0),"")</f>
        <v/>
      </c>
    </row>
    <row r="1057" spans="1:13" x14ac:dyDescent="0.2">
      <c r="A1057" s="3">
        <v>1041</v>
      </c>
      <c r="B1057" s="4" t="str">
        <f t="shared" si="128"/>
        <v/>
      </c>
      <c r="C1057" s="4" t="str">
        <f t="shared" si="129"/>
        <v/>
      </c>
      <c r="D1057" s="4" t="str">
        <f t="shared" si="130"/>
        <v/>
      </c>
      <c r="E1057" s="5" t="str">
        <f t="shared" si="131"/>
        <v/>
      </c>
      <c r="F1057" s="6" t="str">
        <f t="shared" si="132"/>
        <v/>
      </c>
      <c r="G1057" s="7" t="str">
        <f t="shared" si="133"/>
        <v/>
      </c>
      <c r="H1057" s="7" t="str">
        <f t="shared" si="134"/>
        <v/>
      </c>
      <c r="I1057" s="8" t="str">
        <f t="shared" si="135"/>
        <v/>
      </c>
      <c r="L1057" t="str">
        <f>IFERROR(MATCH($C$5&amp;"|"&amp;RIGHT("000000"&amp;1041,6),LdgRankKeyA,0),"")</f>
        <v/>
      </c>
      <c r="M1057" t="str">
        <f>IFERROR(MATCH($C$5&amp;"|"&amp;RIGHT("000000"&amp;1041,6),LdgRankKeyB,0),"")</f>
        <v/>
      </c>
    </row>
    <row r="1058" spans="1:13" x14ac:dyDescent="0.2">
      <c r="A1058" s="9">
        <v>1042</v>
      </c>
      <c r="B1058" s="10" t="str">
        <f t="shared" si="128"/>
        <v/>
      </c>
      <c r="C1058" s="10" t="str">
        <f t="shared" si="129"/>
        <v/>
      </c>
      <c r="D1058" s="10" t="str">
        <f t="shared" si="130"/>
        <v/>
      </c>
      <c r="E1058" s="11" t="str">
        <f t="shared" si="131"/>
        <v/>
      </c>
      <c r="F1058" s="12" t="str">
        <f t="shared" si="132"/>
        <v/>
      </c>
      <c r="G1058" s="13" t="str">
        <f t="shared" si="133"/>
        <v/>
      </c>
      <c r="H1058" s="13" t="str">
        <f t="shared" si="134"/>
        <v/>
      </c>
      <c r="I1058" s="14" t="str">
        <f t="shared" si="135"/>
        <v/>
      </c>
      <c r="L1058" t="str">
        <f>IFERROR(MATCH($C$5&amp;"|"&amp;RIGHT("000000"&amp;1042,6),LdgRankKeyA,0),"")</f>
        <v/>
      </c>
      <c r="M1058" t="str">
        <f>IFERROR(MATCH($C$5&amp;"|"&amp;RIGHT("000000"&amp;1042,6),LdgRankKeyB,0),"")</f>
        <v/>
      </c>
    </row>
    <row r="1059" spans="1:13" x14ac:dyDescent="0.2">
      <c r="A1059" s="3">
        <v>1043</v>
      </c>
      <c r="B1059" s="4" t="str">
        <f t="shared" si="128"/>
        <v/>
      </c>
      <c r="C1059" s="4" t="str">
        <f t="shared" si="129"/>
        <v/>
      </c>
      <c r="D1059" s="4" t="str">
        <f t="shared" si="130"/>
        <v/>
      </c>
      <c r="E1059" s="5" t="str">
        <f t="shared" si="131"/>
        <v/>
      </c>
      <c r="F1059" s="6" t="str">
        <f t="shared" si="132"/>
        <v/>
      </c>
      <c r="G1059" s="7" t="str">
        <f t="shared" si="133"/>
        <v/>
      </c>
      <c r="H1059" s="7" t="str">
        <f t="shared" si="134"/>
        <v/>
      </c>
      <c r="I1059" s="8" t="str">
        <f t="shared" si="135"/>
        <v/>
      </c>
      <c r="L1059" t="str">
        <f>IFERROR(MATCH($C$5&amp;"|"&amp;RIGHT("000000"&amp;1043,6),LdgRankKeyA,0),"")</f>
        <v/>
      </c>
      <c r="M1059" t="str">
        <f>IFERROR(MATCH($C$5&amp;"|"&amp;RIGHT("000000"&amp;1043,6),LdgRankKeyB,0),"")</f>
        <v/>
      </c>
    </row>
    <row r="1060" spans="1:13" x14ac:dyDescent="0.2">
      <c r="A1060" s="9">
        <v>1044</v>
      </c>
      <c r="B1060" s="10" t="str">
        <f t="shared" si="128"/>
        <v/>
      </c>
      <c r="C1060" s="10" t="str">
        <f t="shared" si="129"/>
        <v/>
      </c>
      <c r="D1060" s="10" t="str">
        <f t="shared" si="130"/>
        <v/>
      </c>
      <c r="E1060" s="11" t="str">
        <f t="shared" si="131"/>
        <v/>
      </c>
      <c r="F1060" s="12" t="str">
        <f t="shared" si="132"/>
        <v/>
      </c>
      <c r="G1060" s="13" t="str">
        <f t="shared" si="133"/>
        <v/>
      </c>
      <c r="H1060" s="13" t="str">
        <f t="shared" si="134"/>
        <v/>
      </c>
      <c r="I1060" s="14" t="str">
        <f t="shared" si="135"/>
        <v/>
      </c>
      <c r="L1060" t="str">
        <f>IFERROR(MATCH($C$5&amp;"|"&amp;RIGHT("000000"&amp;1044,6),LdgRankKeyA,0),"")</f>
        <v/>
      </c>
      <c r="M1060" t="str">
        <f>IFERROR(MATCH($C$5&amp;"|"&amp;RIGHT("000000"&amp;1044,6),LdgRankKeyB,0),"")</f>
        <v/>
      </c>
    </row>
    <row r="1061" spans="1:13" x14ac:dyDescent="0.2">
      <c r="A1061" s="3">
        <v>1045</v>
      </c>
      <c r="B1061" s="4" t="str">
        <f t="shared" si="128"/>
        <v/>
      </c>
      <c r="C1061" s="4" t="str">
        <f t="shared" si="129"/>
        <v/>
      </c>
      <c r="D1061" s="4" t="str">
        <f t="shared" si="130"/>
        <v/>
      </c>
      <c r="E1061" s="5" t="str">
        <f t="shared" si="131"/>
        <v/>
      </c>
      <c r="F1061" s="6" t="str">
        <f t="shared" si="132"/>
        <v/>
      </c>
      <c r="G1061" s="7" t="str">
        <f t="shared" si="133"/>
        <v/>
      </c>
      <c r="H1061" s="7" t="str">
        <f t="shared" si="134"/>
        <v/>
      </c>
      <c r="I1061" s="8" t="str">
        <f t="shared" si="135"/>
        <v/>
      </c>
      <c r="L1061" t="str">
        <f>IFERROR(MATCH($C$5&amp;"|"&amp;RIGHT("000000"&amp;1045,6),LdgRankKeyA,0),"")</f>
        <v/>
      </c>
      <c r="M1061" t="str">
        <f>IFERROR(MATCH($C$5&amp;"|"&amp;RIGHT("000000"&amp;1045,6),LdgRankKeyB,0),"")</f>
        <v/>
      </c>
    </row>
    <row r="1062" spans="1:13" x14ac:dyDescent="0.2">
      <c r="A1062" s="9">
        <v>1046</v>
      </c>
      <c r="B1062" s="10" t="str">
        <f t="shared" si="128"/>
        <v/>
      </c>
      <c r="C1062" s="10" t="str">
        <f t="shared" si="129"/>
        <v/>
      </c>
      <c r="D1062" s="10" t="str">
        <f t="shared" si="130"/>
        <v/>
      </c>
      <c r="E1062" s="11" t="str">
        <f t="shared" si="131"/>
        <v/>
      </c>
      <c r="F1062" s="12" t="str">
        <f t="shared" si="132"/>
        <v/>
      </c>
      <c r="G1062" s="13" t="str">
        <f t="shared" si="133"/>
        <v/>
      </c>
      <c r="H1062" s="13" t="str">
        <f t="shared" si="134"/>
        <v/>
      </c>
      <c r="I1062" s="14" t="str">
        <f t="shared" si="135"/>
        <v/>
      </c>
      <c r="L1062" t="str">
        <f>IFERROR(MATCH($C$5&amp;"|"&amp;RIGHT("000000"&amp;1046,6),LdgRankKeyA,0),"")</f>
        <v/>
      </c>
      <c r="M1062" t="str">
        <f>IFERROR(MATCH($C$5&amp;"|"&amp;RIGHT("000000"&amp;1046,6),LdgRankKeyB,0),"")</f>
        <v/>
      </c>
    </row>
    <row r="1063" spans="1:13" x14ac:dyDescent="0.2">
      <c r="A1063" s="3">
        <v>1047</v>
      </c>
      <c r="B1063" s="4" t="str">
        <f t="shared" si="128"/>
        <v/>
      </c>
      <c r="C1063" s="4" t="str">
        <f t="shared" si="129"/>
        <v/>
      </c>
      <c r="D1063" s="4" t="str">
        <f t="shared" si="130"/>
        <v/>
      </c>
      <c r="E1063" s="5" t="str">
        <f t="shared" si="131"/>
        <v/>
      </c>
      <c r="F1063" s="6" t="str">
        <f t="shared" si="132"/>
        <v/>
      </c>
      <c r="G1063" s="7" t="str">
        <f t="shared" si="133"/>
        <v/>
      </c>
      <c r="H1063" s="7" t="str">
        <f t="shared" si="134"/>
        <v/>
      </c>
      <c r="I1063" s="8" t="str">
        <f t="shared" si="135"/>
        <v/>
      </c>
      <c r="L1063" t="str">
        <f>IFERROR(MATCH($C$5&amp;"|"&amp;RIGHT("000000"&amp;1047,6),LdgRankKeyA,0),"")</f>
        <v/>
      </c>
      <c r="M1063" t="str">
        <f>IFERROR(MATCH($C$5&amp;"|"&amp;RIGHT("000000"&amp;1047,6),LdgRankKeyB,0),"")</f>
        <v/>
      </c>
    </row>
    <row r="1064" spans="1:13" x14ac:dyDescent="0.2">
      <c r="A1064" s="9">
        <v>1048</v>
      </c>
      <c r="B1064" s="10" t="str">
        <f t="shared" si="128"/>
        <v/>
      </c>
      <c r="C1064" s="10" t="str">
        <f t="shared" si="129"/>
        <v/>
      </c>
      <c r="D1064" s="10" t="str">
        <f t="shared" si="130"/>
        <v/>
      </c>
      <c r="E1064" s="11" t="str">
        <f t="shared" si="131"/>
        <v/>
      </c>
      <c r="F1064" s="12" t="str">
        <f t="shared" si="132"/>
        <v/>
      </c>
      <c r="G1064" s="13" t="str">
        <f t="shared" si="133"/>
        <v/>
      </c>
      <c r="H1064" s="13" t="str">
        <f t="shared" si="134"/>
        <v/>
      </c>
      <c r="I1064" s="14" t="str">
        <f t="shared" si="135"/>
        <v/>
      </c>
      <c r="L1064" t="str">
        <f>IFERROR(MATCH($C$5&amp;"|"&amp;RIGHT("000000"&amp;1048,6),LdgRankKeyA,0),"")</f>
        <v/>
      </c>
      <c r="M1064" t="str">
        <f>IFERROR(MATCH($C$5&amp;"|"&amp;RIGHT("000000"&amp;1048,6),LdgRankKeyB,0),"")</f>
        <v/>
      </c>
    </row>
    <row r="1065" spans="1:13" x14ac:dyDescent="0.2">
      <c r="A1065" s="3">
        <v>1049</v>
      </c>
      <c r="B1065" s="4" t="str">
        <f t="shared" si="128"/>
        <v/>
      </c>
      <c r="C1065" s="4" t="str">
        <f t="shared" si="129"/>
        <v/>
      </c>
      <c r="D1065" s="4" t="str">
        <f t="shared" si="130"/>
        <v/>
      </c>
      <c r="E1065" s="5" t="str">
        <f t="shared" si="131"/>
        <v/>
      </c>
      <c r="F1065" s="6" t="str">
        <f t="shared" si="132"/>
        <v/>
      </c>
      <c r="G1065" s="7" t="str">
        <f t="shared" si="133"/>
        <v/>
      </c>
      <c r="H1065" s="7" t="str">
        <f t="shared" si="134"/>
        <v/>
      </c>
      <c r="I1065" s="8" t="str">
        <f t="shared" si="135"/>
        <v/>
      </c>
      <c r="L1065" t="str">
        <f>IFERROR(MATCH($C$5&amp;"|"&amp;RIGHT("000000"&amp;1049,6),LdgRankKeyA,0),"")</f>
        <v/>
      </c>
      <c r="M1065" t="str">
        <f>IFERROR(MATCH($C$5&amp;"|"&amp;RIGHT("000000"&amp;1049,6),LdgRankKeyB,0),"")</f>
        <v/>
      </c>
    </row>
    <row r="1066" spans="1:13" x14ac:dyDescent="0.2">
      <c r="A1066" s="9">
        <v>1050</v>
      </c>
      <c r="B1066" s="10" t="str">
        <f t="shared" si="128"/>
        <v/>
      </c>
      <c r="C1066" s="10" t="str">
        <f t="shared" si="129"/>
        <v/>
      </c>
      <c r="D1066" s="10" t="str">
        <f t="shared" si="130"/>
        <v/>
      </c>
      <c r="E1066" s="11" t="str">
        <f t="shared" si="131"/>
        <v/>
      </c>
      <c r="F1066" s="12" t="str">
        <f t="shared" si="132"/>
        <v/>
      </c>
      <c r="G1066" s="13" t="str">
        <f t="shared" si="133"/>
        <v/>
      </c>
      <c r="H1066" s="13" t="str">
        <f t="shared" si="134"/>
        <v/>
      </c>
      <c r="I1066" s="14" t="str">
        <f t="shared" si="135"/>
        <v/>
      </c>
      <c r="L1066" t="str">
        <f>IFERROR(MATCH($C$5&amp;"|"&amp;RIGHT("000000"&amp;1050,6),LdgRankKeyA,0),"")</f>
        <v/>
      </c>
      <c r="M1066" t="str">
        <f>IFERROR(MATCH($C$5&amp;"|"&amp;RIGHT("000000"&amp;1050,6),LdgRankKeyB,0),"")</f>
        <v/>
      </c>
    </row>
    <row r="1067" spans="1:13" x14ac:dyDescent="0.2">
      <c r="A1067" s="3">
        <v>1051</v>
      </c>
      <c r="B1067" s="4" t="str">
        <f t="shared" si="128"/>
        <v/>
      </c>
      <c r="C1067" s="4" t="str">
        <f t="shared" si="129"/>
        <v/>
      </c>
      <c r="D1067" s="4" t="str">
        <f t="shared" si="130"/>
        <v/>
      </c>
      <c r="E1067" s="5" t="str">
        <f t="shared" si="131"/>
        <v/>
      </c>
      <c r="F1067" s="6" t="str">
        <f t="shared" si="132"/>
        <v/>
      </c>
      <c r="G1067" s="7" t="str">
        <f t="shared" si="133"/>
        <v/>
      </c>
      <c r="H1067" s="7" t="str">
        <f t="shared" si="134"/>
        <v/>
      </c>
      <c r="I1067" s="8" t="str">
        <f t="shared" si="135"/>
        <v/>
      </c>
      <c r="L1067" t="str">
        <f>IFERROR(MATCH($C$5&amp;"|"&amp;RIGHT("000000"&amp;1051,6),LdgRankKeyA,0),"")</f>
        <v/>
      </c>
      <c r="M1067" t="str">
        <f>IFERROR(MATCH($C$5&amp;"|"&amp;RIGHT("000000"&amp;1051,6),LdgRankKeyB,0),"")</f>
        <v/>
      </c>
    </row>
    <row r="1068" spans="1:13" x14ac:dyDescent="0.2">
      <c r="A1068" s="9">
        <v>1052</v>
      </c>
      <c r="B1068" s="10" t="str">
        <f t="shared" si="128"/>
        <v/>
      </c>
      <c r="C1068" s="10" t="str">
        <f t="shared" si="129"/>
        <v/>
      </c>
      <c r="D1068" s="10" t="str">
        <f t="shared" si="130"/>
        <v/>
      </c>
      <c r="E1068" s="11" t="str">
        <f t="shared" si="131"/>
        <v/>
      </c>
      <c r="F1068" s="12" t="str">
        <f t="shared" si="132"/>
        <v/>
      </c>
      <c r="G1068" s="13" t="str">
        <f t="shared" si="133"/>
        <v/>
      </c>
      <c r="H1068" s="13" t="str">
        <f t="shared" si="134"/>
        <v/>
      </c>
      <c r="I1068" s="14" t="str">
        <f t="shared" si="135"/>
        <v/>
      </c>
      <c r="L1068" t="str">
        <f>IFERROR(MATCH($C$5&amp;"|"&amp;RIGHT("000000"&amp;1052,6),LdgRankKeyA,0),"")</f>
        <v/>
      </c>
      <c r="M1068" t="str">
        <f>IFERROR(MATCH($C$5&amp;"|"&amp;RIGHT("000000"&amp;1052,6),LdgRankKeyB,0),"")</f>
        <v/>
      </c>
    </row>
    <row r="1069" spans="1:13" x14ac:dyDescent="0.2">
      <c r="A1069" s="3">
        <v>1053</v>
      </c>
      <c r="B1069" s="4" t="str">
        <f t="shared" si="128"/>
        <v/>
      </c>
      <c r="C1069" s="4" t="str">
        <f t="shared" si="129"/>
        <v/>
      </c>
      <c r="D1069" s="4" t="str">
        <f t="shared" si="130"/>
        <v/>
      </c>
      <c r="E1069" s="5" t="str">
        <f t="shared" si="131"/>
        <v/>
      </c>
      <c r="F1069" s="6" t="str">
        <f t="shared" si="132"/>
        <v/>
      </c>
      <c r="G1069" s="7" t="str">
        <f t="shared" si="133"/>
        <v/>
      </c>
      <c r="H1069" s="7" t="str">
        <f t="shared" si="134"/>
        <v/>
      </c>
      <c r="I1069" s="8" t="str">
        <f t="shared" si="135"/>
        <v/>
      </c>
      <c r="L1069" t="str">
        <f>IFERROR(MATCH($C$5&amp;"|"&amp;RIGHT("000000"&amp;1053,6),LdgRankKeyA,0),"")</f>
        <v/>
      </c>
      <c r="M1069" t="str">
        <f>IFERROR(MATCH($C$5&amp;"|"&amp;RIGHT("000000"&amp;1053,6),LdgRankKeyB,0),"")</f>
        <v/>
      </c>
    </row>
    <row r="1070" spans="1:13" x14ac:dyDescent="0.2">
      <c r="A1070" s="9">
        <v>1054</v>
      </c>
      <c r="B1070" s="10" t="str">
        <f t="shared" si="128"/>
        <v/>
      </c>
      <c r="C1070" s="10" t="str">
        <f t="shared" si="129"/>
        <v/>
      </c>
      <c r="D1070" s="10" t="str">
        <f t="shared" si="130"/>
        <v/>
      </c>
      <c r="E1070" s="11" t="str">
        <f t="shared" si="131"/>
        <v/>
      </c>
      <c r="F1070" s="12" t="str">
        <f t="shared" si="132"/>
        <v/>
      </c>
      <c r="G1070" s="13" t="str">
        <f t="shared" si="133"/>
        <v/>
      </c>
      <c r="H1070" s="13" t="str">
        <f t="shared" si="134"/>
        <v/>
      </c>
      <c r="I1070" s="14" t="str">
        <f t="shared" si="135"/>
        <v/>
      </c>
      <c r="L1070" t="str">
        <f>IFERROR(MATCH($C$5&amp;"|"&amp;RIGHT("000000"&amp;1054,6),LdgRankKeyA,0),"")</f>
        <v/>
      </c>
      <c r="M1070" t="str">
        <f>IFERROR(MATCH($C$5&amp;"|"&amp;RIGHT("000000"&amp;1054,6),LdgRankKeyB,0),"")</f>
        <v/>
      </c>
    </row>
    <row r="1071" spans="1:13" x14ac:dyDescent="0.2">
      <c r="A1071" s="3">
        <v>1055</v>
      </c>
      <c r="B1071" s="4" t="str">
        <f t="shared" si="128"/>
        <v/>
      </c>
      <c r="C1071" s="4" t="str">
        <f t="shared" si="129"/>
        <v/>
      </c>
      <c r="D1071" s="4" t="str">
        <f t="shared" si="130"/>
        <v/>
      </c>
      <c r="E1071" s="5" t="str">
        <f t="shared" si="131"/>
        <v/>
      </c>
      <c r="F1071" s="6" t="str">
        <f t="shared" si="132"/>
        <v/>
      </c>
      <c r="G1071" s="7" t="str">
        <f t="shared" si="133"/>
        <v/>
      </c>
      <c r="H1071" s="7" t="str">
        <f t="shared" si="134"/>
        <v/>
      </c>
      <c r="I1071" s="8" t="str">
        <f t="shared" si="135"/>
        <v/>
      </c>
      <c r="L1071" t="str">
        <f>IFERROR(MATCH($C$5&amp;"|"&amp;RIGHT("000000"&amp;1055,6),LdgRankKeyA,0),"")</f>
        <v/>
      </c>
      <c r="M1071" t="str">
        <f>IFERROR(MATCH($C$5&amp;"|"&amp;RIGHT("000000"&amp;1055,6),LdgRankKeyB,0),"")</f>
        <v/>
      </c>
    </row>
    <row r="1072" spans="1:13" x14ac:dyDescent="0.2">
      <c r="A1072" s="9">
        <v>1056</v>
      </c>
      <c r="B1072" s="10" t="str">
        <f t="shared" si="128"/>
        <v/>
      </c>
      <c r="C1072" s="10" t="str">
        <f t="shared" si="129"/>
        <v/>
      </c>
      <c r="D1072" s="10" t="str">
        <f t="shared" si="130"/>
        <v/>
      </c>
      <c r="E1072" s="11" t="str">
        <f t="shared" si="131"/>
        <v/>
      </c>
      <c r="F1072" s="12" t="str">
        <f t="shared" si="132"/>
        <v/>
      </c>
      <c r="G1072" s="13" t="str">
        <f t="shared" si="133"/>
        <v/>
      </c>
      <c r="H1072" s="13" t="str">
        <f t="shared" si="134"/>
        <v/>
      </c>
      <c r="I1072" s="14" t="str">
        <f t="shared" si="135"/>
        <v/>
      </c>
      <c r="L1072" t="str">
        <f>IFERROR(MATCH($C$5&amp;"|"&amp;RIGHT("000000"&amp;1056,6),LdgRankKeyA,0),"")</f>
        <v/>
      </c>
      <c r="M1072" t="str">
        <f>IFERROR(MATCH($C$5&amp;"|"&amp;RIGHT("000000"&amp;1056,6),LdgRankKeyB,0),"")</f>
        <v/>
      </c>
    </row>
    <row r="1073" spans="1:13" x14ac:dyDescent="0.2">
      <c r="A1073" s="3">
        <v>1057</v>
      </c>
      <c r="B1073" s="4" t="str">
        <f t="shared" si="128"/>
        <v/>
      </c>
      <c r="C1073" s="4" t="str">
        <f t="shared" si="129"/>
        <v/>
      </c>
      <c r="D1073" s="4" t="str">
        <f t="shared" si="130"/>
        <v/>
      </c>
      <c r="E1073" s="5" t="str">
        <f t="shared" si="131"/>
        <v/>
      </c>
      <c r="F1073" s="6" t="str">
        <f t="shared" si="132"/>
        <v/>
      </c>
      <c r="G1073" s="7" t="str">
        <f t="shared" si="133"/>
        <v/>
      </c>
      <c r="H1073" s="7" t="str">
        <f t="shared" si="134"/>
        <v/>
      </c>
      <c r="I1073" s="8" t="str">
        <f t="shared" si="135"/>
        <v/>
      </c>
      <c r="L1073" t="str">
        <f>IFERROR(MATCH($C$5&amp;"|"&amp;RIGHT("000000"&amp;1057,6),LdgRankKeyA,0),"")</f>
        <v/>
      </c>
      <c r="M1073" t="str">
        <f>IFERROR(MATCH($C$5&amp;"|"&amp;RIGHT("000000"&amp;1057,6),LdgRankKeyB,0),"")</f>
        <v/>
      </c>
    </row>
    <row r="1074" spans="1:13" x14ac:dyDescent="0.2">
      <c r="A1074" s="9">
        <v>1058</v>
      </c>
      <c r="B1074" s="10" t="str">
        <f t="shared" si="128"/>
        <v/>
      </c>
      <c r="C1074" s="10" t="str">
        <f t="shared" si="129"/>
        <v/>
      </c>
      <c r="D1074" s="10" t="str">
        <f t="shared" si="130"/>
        <v/>
      </c>
      <c r="E1074" s="11" t="str">
        <f t="shared" si="131"/>
        <v/>
      </c>
      <c r="F1074" s="12" t="str">
        <f t="shared" si="132"/>
        <v/>
      </c>
      <c r="G1074" s="13" t="str">
        <f t="shared" si="133"/>
        <v/>
      </c>
      <c r="H1074" s="13" t="str">
        <f t="shared" si="134"/>
        <v/>
      </c>
      <c r="I1074" s="14" t="str">
        <f t="shared" si="135"/>
        <v/>
      </c>
      <c r="L1074" t="str">
        <f>IFERROR(MATCH($C$5&amp;"|"&amp;RIGHT("000000"&amp;1058,6),LdgRankKeyA,0),"")</f>
        <v/>
      </c>
      <c r="M1074" t="str">
        <f>IFERROR(MATCH($C$5&amp;"|"&amp;RIGHT("000000"&amp;1058,6),LdgRankKeyB,0),"")</f>
        <v/>
      </c>
    </row>
    <row r="1075" spans="1:13" x14ac:dyDescent="0.2">
      <c r="A1075" s="3">
        <v>1059</v>
      </c>
      <c r="B1075" s="4" t="str">
        <f t="shared" si="128"/>
        <v/>
      </c>
      <c r="C1075" s="4" t="str">
        <f t="shared" si="129"/>
        <v/>
      </c>
      <c r="D1075" s="4" t="str">
        <f t="shared" si="130"/>
        <v/>
      </c>
      <c r="E1075" s="5" t="str">
        <f t="shared" si="131"/>
        <v/>
      </c>
      <c r="F1075" s="6" t="str">
        <f t="shared" si="132"/>
        <v/>
      </c>
      <c r="G1075" s="7" t="str">
        <f t="shared" si="133"/>
        <v/>
      </c>
      <c r="H1075" s="7" t="str">
        <f t="shared" si="134"/>
        <v/>
      </c>
      <c r="I1075" s="8" t="str">
        <f t="shared" si="135"/>
        <v/>
      </c>
      <c r="L1075" t="str">
        <f>IFERROR(MATCH($C$5&amp;"|"&amp;RIGHT("000000"&amp;1059,6),LdgRankKeyA,0),"")</f>
        <v/>
      </c>
      <c r="M1075" t="str">
        <f>IFERROR(MATCH($C$5&amp;"|"&amp;RIGHT("000000"&amp;1059,6),LdgRankKeyB,0),"")</f>
        <v/>
      </c>
    </row>
    <row r="1076" spans="1:13" x14ac:dyDescent="0.2">
      <c r="A1076" s="9">
        <v>1060</v>
      </c>
      <c r="B1076" s="10" t="str">
        <f t="shared" si="128"/>
        <v/>
      </c>
      <c r="C1076" s="10" t="str">
        <f t="shared" si="129"/>
        <v/>
      </c>
      <c r="D1076" s="10" t="str">
        <f t="shared" si="130"/>
        <v/>
      </c>
      <c r="E1076" s="11" t="str">
        <f t="shared" si="131"/>
        <v/>
      </c>
      <c r="F1076" s="12" t="str">
        <f t="shared" si="132"/>
        <v/>
      </c>
      <c r="G1076" s="13" t="str">
        <f t="shared" si="133"/>
        <v/>
      </c>
      <c r="H1076" s="13" t="str">
        <f t="shared" si="134"/>
        <v/>
      </c>
      <c r="I1076" s="14" t="str">
        <f t="shared" si="135"/>
        <v/>
      </c>
      <c r="L1076" t="str">
        <f>IFERROR(MATCH($C$5&amp;"|"&amp;RIGHT("000000"&amp;1060,6),LdgRankKeyA,0),"")</f>
        <v/>
      </c>
      <c r="M1076" t="str">
        <f>IFERROR(MATCH($C$5&amp;"|"&amp;RIGHT("000000"&amp;1060,6),LdgRankKeyB,0),"")</f>
        <v/>
      </c>
    </row>
    <row r="1077" spans="1:13" x14ac:dyDescent="0.2">
      <c r="A1077" s="3">
        <v>1061</v>
      </c>
      <c r="B1077" s="4" t="str">
        <f t="shared" si="128"/>
        <v/>
      </c>
      <c r="C1077" s="4" t="str">
        <f t="shared" si="129"/>
        <v/>
      </c>
      <c r="D1077" s="4" t="str">
        <f t="shared" si="130"/>
        <v/>
      </c>
      <c r="E1077" s="5" t="str">
        <f t="shared" si="131"/>
        <v/>
      </c>
      <c r="F1077" s="6" t="str">
        <f t="shared" si="132"/>
        <v/>
      </c>
      <c r="G1077" s="7" t="str">
        <f t="shared" si="133"/>
        <v/>
      </c>
      <c r="H1077" s="7" t="str">
        <f t="shared" si="134"/>
        <v/>
      </c>
      <c r="I1077" s="8" t="str">
        <f t="shared" si="135"/>
        <v/>
      </c>
      <c r="L1077" t="str">
        <f>IFERROR(MATCH($C$5&amp;"|"&amp;RIGHT("000000"&amp;1061,6),LdgRankKeyA,0),"")</f>
        <v/>
      </c>
      <c r="M1077" t="str">
        <f>IFERROR(MATCH($C$5&amp;"|"&amp;RIGHT("000000"&amp;1061,6),LdgRankKeyB,0),"")</f>
        <v/>
      </c>
    </row>
    <row r="1078" spans="1:13" x14ac:dyDescent="0.2">
      <c r="A1078" s="9">
        <v>1062</v>
      </c>
      <c r="B1078" s="10" t="str">
        <f t="shared" si="128"/>
        <v/>
      </c>
      <c r="C1078" s="10" t="str">
        <f t="shared" si="129"/>
        <v/>
      </c>
      <c r="D1078" s="10" t="str">
        <f t="shared" si="130"/>
        <v/>
      </c>
      <c r="E1078" s="11" t="str">
        <f t="shared" si="131"/>
        <v/>
      </c>
      <c r="F1078" s="12" t="str">
        <f t="shared" si="132"/>
        <v/>
      </c>
      <c r="G1078" s="13" t="str">
        <f t="shared" si="133"/>
        <v/>
      </c>
      <c r="H1078" s="13" t="str">
        <f t="shared" si="134"/>
        <v/>
      </c>
      <c r="I1078" s="14" t="str">
        <f t="shared" si="135"/>
        <v/>
      </c>
      <c r="L1078" t="str">
        <f>IFERROR(MATCH($C$5&amp;"|"&amp;RIGHT("000000"&amp;1062,6),LdgRankKeyA,0),"")</f>
        <v/>
      </c>
      <c r="M1078" t="str">
        <f>IFERROR(MATCH($C$5&amp;"|"&amp;RIGHT("000000"&amp;1062,6),LdgRankKeyB,0),"")</f>
        <v/>
      </c>
    </row>
    <row r="1079" spans="1:13" x14ac:dyDescent="0.2">
      <c r="A1079" s="3">
        <v>1063</v>
      </c>
      <c r="B1079" s="4" t="str">
        <f t="shared" si="128"/>
        <v/>
      </c>
      <c r="C1079" s="4" t="str">
        <f t="shared" si="129"/>
        <v/>
      </c>
      <c r="D1079" s="4" t="str">
        <f t="shared" si="130"/>
        <v/>
      </c>
      <c r="E1079" s="5" t="str">
        <f t="shared" si="131"/>
        <v/>
      </c>
      <c r="F1079" s="6" t="str">
        <f t="shared" si="132"/>
        <v/>
      </c>
      <c r="G1079" s="7" t="str">
        <f t="shared" si="133"/>
        <v/>
      </c>
      <c r="H1079" s="7" t="str">
        <f t="shared" si="134"/>
        <v/>
      </c>
      <c r="I1079" s="8" t="str">
        <f t="shared" si="135"/>
        <v/>
      </c>
      <c r="L1079" t="str">
        <f>IFERROR(MATCH($C$5&amp;"|"&amp;RIGHT("000000"&amp;1063,6),LdgRankKeyA,0),"")</f>
        <v/>
      </c>
      <c r="M1079" t="str">
        <f>IFERROR(MATCH($C$5&amp;"|"&amp;RIGHT("000000"&amp;1063,6),LdgRankKeyB,0),"")</f>
        <v/>
      </c>
    </row>
    <row r="1080" spans="1:13" x14ac:dyDescent="0.2">
      <c r="A1080" s="9">
        <v>1064</v>
      </c>
      <c r="B1080" s="10" t="str">
        <f t="shared" si="128"/>
        <v/>
      </c>
      <c r="C1080" s="10" t="str">
        <f t="shared" si="129"/>
        <v/>
      </c>
      <c r="D1080" s="10" t="str">
        <f t="shared" si="130"/>
        <v/>
      </c>
      <c r="E1080" s="11" t="str">
        <f t="shared" si="131"/>
        <v/>
      </c>
      <c r="F1080" s="12" t="str">
        <f t="shared" si="132"/>
        <v/>
      </c>
      <c r="G1080" s="13" t="str">
        <f t="shared" si="133"/>
        <v/>
      </c>
      <c r="H1080" s="13" t="str">
        <f t="shared" si="134"/>
        <v/>
      </c>
      <c r="I1080" s="14" t="str">
        <f t="shared" si="135"/>
        <v/>
      </c>
      <c r="L1080" t="str">
        <f>IFERROR(MATCH($C$5&amp;"|"&amp;RIGHT("000000"&amp;1064,6),LdgRankKeyA,0),"")</f>
        <v/>
      </c>
      <c r="M1080" t="str">
        <f>IFERROR(MATCH($C$5&amp;"|"&amp;RIGHT("000000"&amp;1064,6),LdgRankKeyB,0),"")</f>
        <v/>
      </c>
    </row>
    <row r="1081" spans="1:13" x14ac:dyDescent="0.2">
      <c r="A1081" s="3">
        <v>1065</v>
      </c>
      <c r="B1081" s="4" t="str">
        <f t="shared" si="128"/>
        <v/>
      </c>
      <c r="C1081" s="4" t="str">
        <f t="shared" si="129"/>
        <v/>
      </c>
      <c r="D1081" s="4" t="str">
        <f t="shared" si="130"/>
        <v/>
      </c>
      <c r="E1081" s="5" t="str">
        <f t="shared" si="131"/>
        <v/>
      </c>
      <c r="F1081" s="6" t="str">
        <f t="shared" si="132"/>
        <v/>
      </c>
      <c r="G1081" s="7" t="str">
        <f t="shared" si="133"/>
        <v/>
      </c>
      <c r="H1081" s="7" t="str">
        <f t="shared" si="134"/>
        <v/>
      </c>
      <c r="I1081" s="8" t="str">
        <f t="shared" si="135"/>
        <v/>
      </c>
      <c r="L1081" t="str">
        <f>IFERROR(MATCH($C$5&amp;"|"&amp;RIGHT("000000"&amp;1065,6),LdgRankKeyA,0),"")</f>
        <v/>
      </c>
      <c r="M1081" t="str">
        <f>IFERROR(MATCH($C$5&amp;"|"&amp;RIGHT("000000"&amp;1065,6),LdgRankKeyB,0),"")</f>
        <v/>
      </c>
    </row>
    <row r="1082" spans="1:13" x14ac:dyDescent="0.2">
      <c r="A1082" s="9">
        <v>1066</v>
      </c>
      <c r="B1082" s="10" t="str">
        <f t="shared" si="128"/>
        <v/>
      </c>
      <c r="C1082" s="10" t="str">
        <f t="shared" si="129"/>
        <v/>
      </c>
      <c r="D1082" s="10" t="str">
        <f t="shared" si="130"/>
        <v/>
      </c>
      <c r="E1082" s="11" t="str">
        <f t="shared" si="131"/>
        <v/>
      </c>
      <c r="F1082" s="12" t="str">
        <f t="shared" si="132"/>
        <v/>
      </c>
      <c r="G1082" s="13" t="str">
        <f t="shared" si="133"/>
        <v/>
      </c>
      <c r="H1082" s="13" t="str">
        <f t="shared" si="134"/>
        <v/>
      </c>
      <c r="I1082" s="14" t="str">
        <f t="shared" si="135"/>
        <v/>
      </c>
      <c r="L1082" t="str">
        <f>IFERROR(MATCH($C$5&amp;"|"&amp;RIGHT("000000"&amp;1066,6),LdgRankKeyA,0),"")</f>
        <v/>
      </c>
      <c r="M1082" t="str">
        <f>IFERROR(MATCH($C$5&amp;"|"&amp;RIGHT("000000"&amp;1066,6),LdgRankKeyB,0),"")</f>
        <v/>
      </c>
    </row>
    <row r="1083" spans="1:13" x14ac:dyDescent="0.2">
      <c r="A1083" s="3">
        <v>1067</v>
      </c>
      <c r="B1083" s="4" t="str">
        <f t="shared" si="128"/>
        <v/>
      </c>
      <c r="C1083" s="4" t="str">
        <f t="shared" si="129"/>
        <v/>
      </c>
      <c r="D1083" s="4" t="str">
        <f t="shared" si="130"/>
        <v/>
      </c>
      <c r="E1083" s="5" t="str">
        <f t="shared" si="131"/>
        <v/>
      </c>
      <c r="F1083" s="6" t="str">
        <f t="shared" si="132"/>
        <v/>
      </c>
      <c r="G1083" s="7" t="str">
        <f t="shared" si="133"/>
        <v/>
      </c>
      <c r="H1083" s="7" t="str">
        <f t="shared" si="134"/>
        <v/>
      </c>
      <c r="I1083" s="8" t="str">
        <f t="shared" si="135"/>
        <v/>
      </c>
      <c r="L1083" t="str">
        <f>IFERROR(MATCH($C$5&amp;"|"&amp;RIGHT("000000"&amp;1067,6),LdgRankKeyA,0),"")</f>
        <v/>
      </c>
      <c r="M1083" t="str">
        <f>IFERROR(MATCH($C$5&amp;"|"&amp;RIGHT("000000"&amp;1067,6),LdgRankKeyB,0),"")</f>
        <v/>
      </c>
    </row>
    <row r="1084" spans="1:13" x14ac:dyDescent="0.2">
      <c r="A1084" s="9">
        <v>1068</v>
      </c>
      <c r="B1084" s="10" t="str">
        <f t="shared" si="128"/>
        <v/>
      </c>
      <c r="C1084" s="10" t="str">
        <f t="shared" si="129"/>
        <v/>
      </c>
      <c r="D1084" s="10" t="str">
        <f t="shared" si="130"/>
        <v/>
      </c>
      <c r="E1084" s="11" t="str">
        <f t="shared" si="131"/>
        <v/>
      </c>
      <c r="F1084" s="12" t="str">
        <f t="shared" si="132"/>
        <v/>
      </c>
      <c r="G1084" s="13" t="str">
        <f t="shared" si="133"/>
        <v/>
      </c>
      <c r="H1084" s="13" t="str">
        <f t="shared" si="134"/>
        <v/>
      </c>
      <c r="I1084" s="14" t="str">
        <f t="shared" si="135"/>
        <v/>
      </c>
      <c r="L1084" t="str">
        <f>IFERROR(MATCH($C$5&amp;"|"&amp;RIGHT("000000"&amp;1068,6),LdgRankKeyA,0),"")</f>
        <v/>
      </c>
      <c r="M1084" t="str">
        <f>IFERROR(MATCH($C$5&amp;"|"&amp;RIGHT("000000"&amp;1068,6),LdgRankKeyB,0),"")</f>
        <v/>
      </c>
    </row>
    <row r="1085" spans="1:13" x14ac:dyDescent="0.2">
      <c r="A1085" s="3">
        <v>1069</v>
      </c>
      <c r="B1085" s="4" t="str">
        <f t="shared" si="128"/>
        <v/>
      </c>
      <c r="C1085" s="4" t="str">
        <f t="shared" si="129"/>
        <v/>
      </c>
      <c r="D1085" s="4" t="str">
        <f t="shared" si="130"/>
        <v/>
      </c>
      <c r="E1085" s="5" t="str">
        <f t="shared" si="131"/>
        <v/>
      </c>
      <c r="F1085" s="6" t="str">
        <f t="shared" si="132"/>
        <v/>
      </c>
      <c r="G1085" s="7" t="str">
        <f t="shared" si="133"/>
        <v/>
      </c>
      <c r="H1085" s="7" t="str">
        <f t="shared" si="134"/>
        <v/>
      </c>
      <c r="I1085" s="8" t="str">
        <f t="shared" si="135"/>
        <v/>
      </c>
      <c r="L1085" t="str">
        <f>IFERROR(MATCH($C$5&amp;"|"&amp;RIGHT("000000"&amp;1069,6),LdgRankKeyA,0),"")</f>
        <v/>
      </c>
      <c r="M1085" t="str">
        <f>IFERROR(MATCH($C$5&amp;"|"&amp;RIGHT("000000"&amp;1069,6),LdgRankKeyB,0),"")</f>
        <v/>
      </c>
    </row>
    <row r="1086" spans="1:13" x14ac:dyDescent="0.2">
      <c r="A1086" s="9">
        <v>1070</v>
      </c>
      <c r="B1086" s="10" t="str">
        <f t="shared" si="128"/>
        <v/>
      </c>
      <c r="C1086" s="10" t="str">
        <f t="shared" si="129"/>
        <v/>
      </c>
      <c r="D1086" s="10" t="str">
        <f t="shared" si="130"/>
        <v/>
      </c>
      <c r="E1086" s="11" t="str">
        <f t="shared" si="131"/>
        <v/>
      </c>
      <c r="F1086" s="12" t="str">
        <f t="shared" si="132"/>
        <v/>
      </c>
      <c r="G1086" s="13" t="str">
        <f t="shared" si="133"/>
        <v/>
      </c>
      <c r="H1086" s="13" t="str">
        <f t="shared" si="134"/>
        <v/>
      </c>
      <c r="I1086" s="14" t="str">
        <f t="shared" si="135"/>
        <v/>
      </c>
      <c r="L1086" t="str">
        <f>IFERROR(MATCH($C$5&amp;"|"&amp;RIGHT("000000"&amp;1070,6),LdgRankKeyA,0),"")</f>
        <v/>
      </c>
      <c r="M1086" t="str">
        <f>IFERROR(MATCH($C$5&amp;"|"&amp;RIGHT("000000"&amp;1070,6),LdgRankKeyB,0),"")</f>
        <v/>
      </c>
    </row>
    <row r="1087" spans="1:13" x14ac:dyDescent="0.2">
      <c r="A1087" s="3">
        <v>1071</v>
      </c>
      <c r="B1087" s="4" t="str">
        <f t="shared" si="128"/>
        <v/>
      </c>
      <c r="C1087" s="4" t="str">
        <f t="shared" si="129"/>
        <v/>
      </c>
      <c r="D1087" s="4" t="str">
        <f t="shared" si="130"/>
        <v/>
      </c>
      <c r="E1087" s="5" t="str">
        <f t="shared" si="131"/>
        <v/>
      </c>
      <c r="F1087" s="6" t="str">
        <f t="shared" si="132"/>
        <v/>
      </c>
      <c r="G1087" s="7" t="str">
        <f t="shared" si="133"/>
        <v/>
      </c>
      <c r="H1087" s="7" t="str">
        <f t="shared" si="134"/>
        <v/>
      </c>
      <c r="I1087" s="8" t="str">
        <f t="shared" si="135"/>
        <v/>
      </c>
      <c r="L1087" t="str">
        <f>IFERROR(MATCH($C$5&amp;"|"&amp;RIGHT("000000"&amp;1071,6),LdgRankKeyA,0),"")</f>
        <v/>
      </c>
      <c r="M1087" t="str">
        <f>IFERROR(MATCH($C$5&amp;"|"&amp;RIGHT("000000"&amp;1071,6),LdgRankKeyB,0),"")</f>
        <v/>
      </c>
    </row>
    <row r="1088" spans="1:13" x14ac:dyDescent="0.2">
      <c r="A1088" s="9">
        <v>1072</v>
      </c>
      <c r="B1088" s="10" t="str">
        <f t="shared" si="128"/>
        <v/>
      </c>
      <c r="C1088" s="10" t="str">
        <f t="shared" si="129"/>
        <v/>
      </c>
      <c r="D1088" s="10" t="str">
        <f t="shared" si="130"/>
        <v/>
      </c>
      <c r="E1088" s="11" t="str">
        <f t="shared" si="131"/>
        <v/>
      </c>
      <c r="F1088" s="12" t="str">
        <f t="shared" si="132"/>
        <v/>
      </c>
      <c r="G1088" s="13" t="str">
        <f t="shared" si="133"/>
        <v/>
      </c>
      <c r="H1088" s="13" t="str">
        <f t="shared" si="134"/>
        <v/>
      </c>
      <c r="I1088" s="14" t="str">
        <f t="shared" si="135"/>
        <v/>
      </c>
      <c r="L1088" t="str">
        <f>IFERROR(MATCH($C$5&amp;"|"&amp;RIGHT("000000"&amp;1072,6),LdgRankKeyA,0),"")</f>
        <v/>
      </c>
      <c r="M1088" t="str">
        <f>IFERROR(MATCH($C$5&amp;"|"&amp;RIGHT("000000"&amp;1072,6),LdgRankKeyB,0),"")</f>
        <v/>
      </c>
    </row>
    <row r="1089" spans="1:13" x14ac:dyDescent="0.2">
      <c r="A1089" s="3">
        <v>1073</v>
      </c>
      <c r="B1089" s="4" t="str">
        <f t="shared" si="128"/>
        <v/>
      </c>
      <c r="C1089" s="4" t="str">
        <f t="shared" si="129"/>
        <v/>
      </c>
      <c r="D1089" s="4" t="str">
        <f t="shared" si="130"/>
        <v/>
      </c>
      <c r="E1089" s="5" t="str">
        <f t="shared" si="131"/>
        <v/>
      </c>
      <c r="F1089" s="6" t="str">
        <f t="shared" si="132"/>
        <v/>
      </c>
      <c r="G1089" s="7" t="str">
        <f t="shared" si="133"/>
        <v/>
      </c>
      <c r="H1089" s="7" t="str">
        <f t="shared" si="134"/>
        <v/>
      </c>
      <c r="I1089" s="8" t="str">
        <f t="shared" si="135"/>
        <v/>
      </c>
      <c r="L1089" t="str">
        <f>IFERROR(MATCH($C$5&amp;"|"&amp;RIGHT("000000"&amp;1073,6),LdgRankKeyA,0),"")</f>
        <v/>
      </c>
      <c r="M1089" t="str">
        <f>IFERROR(MATCH($C$5&amp;"|"&amp;RIGHT("000000"&amp;1073,6),LdgRankKeyB,0),"")</f>
        <v/>
      </c>
    </row>
    <row r="1090" spans="1:13" x14ac:dyDescent="0.2">
      <c r="A1090" s="9">
        <v>1074</v>
      </c>
      <c r="B1090" s="10" t="str">
        <f t="shared" si="128"/>
        <v/>
      </c>
      <c r="C1090" s="10" t="str">
        <f t="shared" si="129"/>
        <v/>
      </c>
      <c r="D1090" s="10" t="str">
        <f t="shared" si="130"/>
        <v/>
      </c>
      <c r="E1090" s="11" t="str">
        <f t="shared" si="131"/>
        <v/>
      </c>
      <c r="F1090" s="12" t="str">
        <f t="shared" si="132"/>
        <v/>
      </c>
      <c r="G1090" s="13" t="str">
        <f t="shared" si="133"/>
        <v/>
      </c>
      <c r="H1090" s="13" t="str">
        <f t="shared" si="134"/>
        <v/>
      </c>
      <c r="I1090" s="14" t="str">
        <f t="shared" si="135"/>
        <v/>
      </c>
      <c r="L1090" t="str">
        <f>IFERROR(MATCH($C$5&amp;"|"&amp;RIGHT("000000"&amp;1074,6),LdgRankKeyA,0),"")</f>
        <v/>
      </c>
      <c r="M1090" t="str">
        <f>IFERROR(MATCH($C$5&amp;"|"&amp;RIGHT("000000"&amp;1074,6),LdgRankKeyB,0),"")</f>
        <v/>
      </c>
    </row>
    <row r="1091" spans="1:13" x14ac:dyDescent="0.2">
      <c r="A1091" s="3">
        <v>1075</v>
      </c>
      <c r="B1091" s="4" t="str">
        <f t="shared" si="128"/>
        <v/>
      </c>
      <c r="C1091" s="4" t="str">
        <f t="shared" si="129"/>
        <v/>
      </c>
      <c r="D1091" s="4" t="str">
        <f t="shared" si="130"/>
        <v/>
      </c>
      <c r="E1091" s="5" t="str">
        <f t="shared" si="131"/>
        <v/>
      </c>
      <c r="F1091" s="6" t="str">
        <f t="shared" si="132"/>
        <v/>
      </c>
      <c r="G1091" s="7" t="str">
        <f t="shared" si="133"/>
        <v/>
      </c>
      <c r="H1091" s="7" t="str">
        <f t="shared" si="134"/>
        <v/>
      </c>
      <c r="I1091" s="8" t="str">
        <f t="shared" si="135"/>
        <v/>
      </c>
      <c r="L1091" t="str">
        <f>IFERROR(MATCH($C$5&amp;"|"&amp;RIGHT("000000"&amp;1075,6),LdgRankKeyA,0),"")</f>
        <v/>
      </c>
      <c r="M1091" t="str">
        <f>IFERROR(MATCH($C$5&amp;"|"&amp;RIGHT("000000"&amp;1075,6),LdgRankKeyB,0),"")</f>
        <v/>
      </c>
    </row>
    <row r="1092" spans="1:13" x14ac:dyDescent="0.2">
      <c r="A1092" s="9">
        <v>1076</v>
      </c>
      <c r="B1092" s="10" t="str">
        <f t="shared" si="128"/>
        <v/>
      </c>
      <c r="C1092" s="10" t="str">
        <f t="shared" si="129"/>
        <v/>
      </c>
      <c r="D1092" s="10" t="str">
        <f t="shared" si="130"/>
        <v/>
      </c>
      <c r="E1092" s="11" t="str">
        <f t="shared" si="131"/>
        <v/>
      </c>
      <c r="F1092" s="12" t="str">
        <f t="shared" si="132"/>
        <v/>
      </c>
      <c r="G1092" s="13" t="str">
        <f t="shared" si="133"/>
        <v/>
      </c>
      <c r="H1092" s="13" t="str">
        <f t="shared" si="134"/>
        <v/>
      </c>
      <c r="I1092" s="14" t="str">
        <f t="shared" si="135"/>
        <v/>
      </c>
      <c r="L1092" t="str">
        <f>IFERROR(MATCH($C$5&amp;"|"&amp;RIGHT("000000"&amp;1076,6),LdgRankKeyA,0),"")</f>
        <v/>
      </c>
      <c r="M1092" t="str">
        <f>IFERROR(MATCH($C$5&amp;"|"&amp;RIGHT("000000"&amp;1076,6),LdgRankKeyB,0),"")</f>
        <v/>
      </c>
    </row>
    <row r="1093" spans="1:13" x14ac:dyDescent="0.2">
      <c r="A1093" s="3">
        <v>1077</v>
      </c>
      <c r="B1093" s="4" t="str">
        <f t="shared" si="128"/>
        <v/>
      </c>
      <c r="C1093" s="4" t="str">
        <f t="shared" si="129"/>
        <v/>
      </c>
      <c r="D1093" s="4" t="str">
        <f t="shared" si="130"/>
        <v/>
      </c>
      <c r="E1093" s="5" t="str">
        <f t="shared" si="131"/>
        <v/>
      </c>
      <c r="F1093" s="6" t="str">
        <f t="shared" si="132"/>
        <v/>
      </c>
      <c r="G1093" s="7" t="str">
        <f t="shared" si="133"/>
        <v/>
      </c>
      <c r="H1093" s="7" t="str">
        <f t="shared" si="134"/>
        <v/>
      </c>
      <c r="I1093" s="8" t="str">
        <f t="shared" si="135"/>
        <v/>
      </c>
      <c r="L1093" t="str">
        <f>IFERROR(MATCH($C$5&amp;"|"&amp;RIGHT("000000"&amp;1077,6),LdgRankKeyA,0),"")</f>
        <v/>
      </c>
      <c r="M1093" t="str">
        <f>IFERROR(MATCH($C$5&amp;"|"&amp;RIGHT("000000"&amp;1077,6),LdgRankKeyB,0),"")</f>
        <v/>
      </c>
    </row>
    <row r="1094" spans="1:13" x14ac:dyDescent="0.2">
      <c r="A1094" s="9">
        <v>1078</v>
      </c>
      <c r="B1094" s="10" t="str">
        <f t="shared" si="128"/>
        <v/>
      </c>
      <c r="C1094" s="10" t="str">
        <f t="shared" si="129"/>
        <v/>
      </c>
      <c r="D1094" s="10" t="str">
        <f t="shared" si="130"/>
        <v/>
      </c>
      <c r="E1094" s="11" t="str">
        <f t="shared" si="131"/>
        <v/>
      </c>
      <c r="F1094" s="12" t="str">
        <f t="shared" si="132"/>
        <v/>
      </c>
      <c r="G1094" s="13" t="str">
        <f t="shared" si="133"/>
        <v/>
      </c>
      <c r="H1094" s="13" t="str">
        <f t="shared" si="134"/>
        <v/>
      </c>
      <c r="I1094" s="14" t="str">
        <f t="shared" si="135"/>
        <v/>
      </c>
      <c r="L1094" t="str">
        <f>IFERROR(MATCH($C$5&amp;"|"&amp;RIGHT("000000"&amp;1078,6),LdgRankKeyA,0),"")</f>
        <v/>
      </c>
      <c r="M1094" t="str">
        <f>IFERROR(MATCH($C$5&amp;"|"&amp;RIGHT("000000"&amp;1078,6),LdgRankKeyB,0),"")</f>
        <v/>
      </c>
    </row>
    <row r="1095" spans="1:13" x14ac:dyDescent="0.2">
      <c r="A1095" s="3">
        <v>1079</v>
      </c>
      <c r="B1095" s="4" t="str">
        <f t="shared" si="128"/>
        <v/>
      </c>
      <c r="C1095" s="4" t="str">
        <f t="shared" si="129"/>
        <v/>
      </c>
      <c r="D1095" s="4" t="str">
        <f t="shared" si="130"/>
        <v/>
      </c>
      <c r="E1095" s="5" t="str">
        <f t="shared" si="131"/>
        <v/>
      </c>
      <c r="F1095" s="6" t="str">
        <f t="shared" si="132"/>
        <v/>
      </c>
      <c r="G1095" s="7" t="str">
        <f t="shared" si="133"/>
        <v/>
      </c>
      <c r="H1095" s="7" t="str">
        <f t="shared" si="134"/>
        <v/>
      </c>
      <c r="I1095" s="8" t="str">
        <f t="shared" si="135"/>
        <v/>
      </c>
      <c r="L1095" t="str">
        <f>IFERROR(MATCH($C$5&amp;"|"&amp;RIGHT("000000"&amp;1079,6),LdgRankKeyA,0),"")</f>
        <v/>
      </c>
      <c r="M1095" t="str">
        <f>IFERROR(MATCH($C$5&amp;"|"&amp;RIGHT("000000"&amp;1079,6),LdgRankKeyB,0),"")</f>
        <v/>
      </c>
    </row>
    <row r="1096" spans="1:13" x14ac:dyDescent="0.2">
      <c r="A1096" s="9">
        <v>1080</v>
      </c>
      <c r="B1096" s="10" t="str">
        <f t="shared" si="128"/>
        <v/>
      </c>
      <c r="C1096" s="10" t="str">
        <f t="shared" si="129"/>
        <v/>
      </c>
      <c r="D1096" s="10" t="str">
        <f t="shared" si="130"/>
        <v/>
      </c>
      <c r="E1096" s="11" t="str">
        <f t="shared" si="131"/>
        <v/>
      </c>
      <c r="F1096" s="12" t="str">
        <f t="shared" si="132"/>
        <v/>
      </c>
      <c r="G1096" s="13" t="str">
        <f t="shared" si="133"/>
        <v/>
      </c>
      <c r="H1096" s="13" t="str">
        <f t="shared" si="134"/>
        <v/>
      </c>
      <c r="I1096" s="14" t="str">
        <f t="shared" si="135"/>
        <v/>
      </c>
      <c r="L1096" t="str">
        <f>IFERROR(MATCH($C$5&amp;"|"&amp;RIGHT("000000"&amp;1080,6),LdgRankKeyA,0),"")</f>
        <v/>
      </c>
      <c r="M1096" t="str">
        <f>IFERROR(MATCH($C$5&amp;"|"&amp;RIGHT("000000"&amp;1080,6),LdgRankKeyB,0),"")</f>
        <v/>
      </c>
    </row>
    <row r="1097" spans="1:13" x14ac:dyDescent="0.2">
      <c r="A1097" s="3">
        <v>1081</v>
      </c>
      <c r="B1097" s="4" t="str">
        <f t="shared" si="128"/>
        <v/>
      </c>
      <c r="C1097" s="4" t="str">
        <f t="shared" si="129"/>
        <v/>
      </c>
      <c r="D1097" s="4" t="str">
        <f t="shared" si="130"/>
        <v/>
      </c>
      <c r="E1097" s="5" t="str">
        <f t="shared" si="131"/>
        <v/>
      </c>
      <c r="F1097" s="6" t="str">
        <f t="shared" si="132"/>
        <v/>
      </c>
      <c r="G1097" s="7" t="str">
        <f t="shared" si="133"/>
        <v/>
      </c>
      <c r="H1097" s="7" t="str">
        <f t="shared" si="134"/>
        <v/>
      </c>
      <c r="I1097" s="8" t="str">
        <f t="shared" si="135"/>
        <v/>
      </c>
      <c r="L1097" t="str">
        <f>IFERROR(MATCH($C$5&amp;"|"&amp;RIGHT("000000"&amp;1081,6),LdgRankKeyA,0),"")</f>
        <v/>
      </c>
      <c r="M1097" t="str">
        <f>IFERROR(MATCH($C$5&amp;"|"&amp;RIGHT("000000"&amp;1081,6),LdgRankKeyB,0),"")</f>
        <v/>
      </c>
    </row>
    <row r="1098" spans="1:13" x14ac:dyDescent="0.2">
      <c r="A1098" s="9">
        <v>1082</v>
      </c>
      <c r="B1098" s="10" t="str">
        <f t="shared" si="128"/>
        <v/>
      </c>
      <c r="C1098" s="10" t="str">
        <f t="shared" si="129"/>
        <v/>
      </c>
      <c r="D1098" s="10" t="str">
        <f t="shared" si="130"/>
        <v/>
      </c>
      <c r="E1098" s="11" t="str">
        <f t="shared" si="131"/>
        <v/>
      </c>
      <c r="F1098" s="12" t="str">
        <f t="shared" si="132"/>
        <v/>
      </c>
      <c r="G1098" s="13" t="str">
        <f t="shared" si="133"/>
        <v/>
      </c>
      <c r="H1098" s="13" t="str">
        <f t="shared" si="134"/>
        <v/>
      </c>
      <c r="I1098" s="14" t="str">
        <f t="shared" si="135"/>
        <v/>
      </c>
      <c r="L1098" t="str">
        <f>IFERROR(MATCH($C$5&amp;"|"&amp;RIGHT("000000"&amp;1082,6),LdgRankKeyA,0),"")</f>
        <v/>
      </c>
      <c r="M1098" t="str">
        <f>IFERROR(MATCH($C$5&amp;"|"&amp;RIGHT("000000"&amp;1082,6),LdgRankKeyB,0),"")</f>
        <v/>
      </c>
    </row>
    <row r="1099" spans="1:13" x14ac:dyDescent="0.2">
      <c r="A1099" s="3">
        <v>1083</v>
      </c>
      <c r="B1099" s="4" t="str">
        <f t="shared" si="128"/>
        <v/>
      </c>
      <c r="C1099" s="4" t="str">
        <f t="shared" si="129"/>
        <v/>
      </c>
      <c r="D1099" s="4" t="str">
        <f t="shared" si="130"/>
        <v/>
      </c>
      <c r="E1099" s="5" t="str">
        <f t="shared" si="131"/>
        <v/>
      </c>
      <c r="F1099" s="6" t="str">
        <f t="shared" si="132"/>
        <v/>
      </c>
      <c r="G1099" s="7" t="str">
        <f t="shared" si="133"/>
        <v/>
      </c>
      <c r="H1099" s="7" t="str">
        <f t="shared" si="134"/>
        <v/>
      </c>
      <c r="I1099" s="8" t="str">
        <f t="shared" si="135"/>
        <v/>
      </c>
      <c r="L1099" t="str">
        <f>IFERROR(MATCH($C$5&amp;"|"&amp;RIGHT("000000"&amp;1083,6),LdgRankKeyA,0),"")</f>
        <v/>
      </c>
      <c r="M1099" t="str">
        <f>IFERROR(MATCH($C$5&amp;"|"&amp;RIGHT("000000"&amp;1083,6),LdgRankKeyB,0),"")</f>
        <v/>
      </c>
    </row>
    <row r="1100" spans="1:13" x14ac:dyDescent="0.2">
      <c r="A1100" s="9">
        <v>1084</v>
      </c>
      <c r="B1100" s="10" t="str">
        <f t="shared" si="128"/>
        <v/>
      </c>
      <c r="C1100" s="10" t="str">
        <f t="shared" si="129"/>
        <v/>
      </c>
      <c r="D1100" s="10" t="str">
        <f t="shared" si="130"/>
        <v/>
      </c>
      <c r="E1100" s="11" t="str">
        <f t="shared" si="131"/>
        <v/>
      </c>
      <c r="F1100" s="12" t="str">
        <f t="shared" si="132"/>
        <v/>
      </c>
      <c r="G1100" s="13" t="str">
        <f t="shared" si="133"/>
        <v/>
      </c>
      <c r="H1100" s="13" t="str">
        <f t="shared" si="134"/>
        <v/>
      </c>
      <c r="I1100" s="14" t="str">
        <f t="shared" si="135"/>
        <v/>
      </c>
      <c r="L1100" t="str">
        <f>IFERROR(MATCH($C$5&amp;"|"&amp;RIGHT("000000"&amp;1084,6),LdgRankKeyA,0),"")</f>
        <v/>
      </c>
      <c r="M1100" t="str">
        <f>IFERROR(MATCH($C$5&amp;"|"&amp;RIGHT("000000"&amp;1084,6),LdgRankKeyB,0),"")</f>
        <v/>
      </c>
    </row>
    <row r="1101" spans="1:13" x14ac:dyDescent="0.2">
      <c r="A1101" s="3">
        <v>1085</v>
      </c>
      <c r="B1101" s="4" t="str">
        <f t="shared" si="128"/>
        <v/>
      </c>
      <c r="C1101" s="4" t="str">
        <f t="shared" si="129"/>
        <v/>
      </c>
      <c r="D1101" s="4" t="str">
        <f t="shared" si="130"/>
        <v/>
      </c>
      <c r="E1101" s="5" t="str">
        <f t="shared" si="131"/>
        <v/>
      </c>
      <c r="F1101" s="6" t="str">
        <f t="shared" si="132"/>
        <v/>
      </c>
      <c r="G1101" s="7" t="str">
        <f t="shared" si="133"/>
        <v/>
      </c>
      <c r="H1101" s="7" t="str">
        <f t="shared" si="134"/>
        <v/>
      </c>
      <c r="I1101" s="8" t="str">
        <f t="shared" si="135"/>
        <v/>
      </c>
      <c r="L1101" t="str">
        <f>IFERROR(MATCH($C$5&amp;"|"&amp;RIGHT("000000"&amp;1085,6),LdgRankKeyA,0),"")</f>
        <v/>
      </c>
      <c r="M1101" t="str">
        <f>IFERROR(MATCH($C$5&amp;"|"&amp;RIGHT("000000"&amp;1085,6),LdgRankKeyB,0),"")</f>
        <v/>
      </c>
    </row>
    <row r="1102" spans="1:13" x14ac:dyDescent="0.2">
      <c r="A1102" s="9">
        <v>1086</v>
      </c>
      <c r="B1102" s="10" t="str">
        <f t="shared" si="128"/>
        <v/>
      </c>
      <c r="C1102" s="10" t="str">
        <f t="shared" si="129"/>
        <v/>
      </c>
      <c r="D1102" s="10" t="str">
        <f t="shared" si="130"/>
        <v/>
      </c>
      <c r="E1102" s="11" t="str">
        <f t="shared" si="131"/>
        <v/>
      </c>
      <c r="F1102" s="12" t="str">
        <f t="shared" si="132"/>
        <v/>
      </c>
      <c r="G1102" s="13" t="str">
        <f t="shared" si="133"/>
        <v/>
      </c>
      <c r="H1102" s="13" t="str">
        <f t="shared" si="134"/>
        <v/>
      </c>
      <c r="I1102" s="14" t="str">
        <f t="shared" si="135"/>
        <v/>
      </c>
      <c r="L1102" t="str">
        <f>IFERROR(MATCH($C$5&amp;"|"&amp;RIGHT("000000"&amp;1086,6),LdgRankKeyA,0),"")</f>
        <v/>
      </c>
      <c r="M1102" t="str">
        <f>IFERROR(MATCH($C$5&amp;"|"&amp;RIGHT("000000"&amp;1086,6),LdgRankKeyB,0),"")</f>
        <v/>
      </c>
    </row>
    <row r="1103" spans="1:13" x14ac:dyDescent="0.2">
      <c r="A1103" s="3">
        <v>1087</v>
      </c>
      <c r="B1103" s="4" t="str">
        <f t="shared" si="128"/>
        <v/>
      </c>
      <c r="C1103" s="4" t="str">
        <f t="shared" si="129"/>
        <v/>
      </c>
      <c r="D1103" s="4" t="str">
        <f t="shared" si="130"/>
        <v/>
      </c>
      <c r="E1103" s="5" t="str">
        <f t="shared" si="131"/>
        <v/>
      </c>
      <c r="F1103" s="6" t="str">
        <f t="shared" si="132"/>
        <v/>
      </c>
      <c r="G1103" s="7" t="str">
        <f t="shared" si="133"/>
        <v/>
      </c>
      <c r="H1103" s="7" t="str">
        <f t="shared" si="134"/>
        <v/>
      </c>
      <c r="I1103" s="8" t="str">
        <f t="shared" si="135"/>
        <v/>
      </c>
      <c r="L1103" t="str">
        <f>IFERROR(MATCH($C$5&amp;"|"&amp;RIGHT("000000"&amp;1087,6),LdgRankKeyA,0),"")</f>
        <v/>
      </c>
      <c r="M1103" t="str">
        <f>IFERROR(MATCH($C$5&amp;"|"&amp;RIGHT("000000"&amp;1087,6),LdgRankKeyB,0),"")</f>
        <v/>
      </c>
    </row>
    <row r="1104" spans="1:13" x14ac:dyDescent="0.2">
      <c r="A1104" s="9">
        <v>1088</v>
      </c>
      <c r="B1104" s="10" t="str">
        <f t="shared" si="128"/>
        <v/>
      </c>
      <c r="C1104" s="10" t="str">
        <f t="shared" si="129"/>
        <v/>
      </c>
      <c r="D1104" s="10" t="str">
        <f t="shared" si="130"/>
        <v/>
      </c>
      <c r="E1104" s="11" t="str">
        <f t="shared" si="131"/>
        <v/>
      </c>
      <c r="F1104" s="12" t="str">
        <f t="shared" si="132"/>
        <v/>
      </c>
      <c r="G1104" s="13" t="str">
        <f t="shared" si="133"/>
        <v/>
      </c>
      <c r="H1104" s="13" t="str">
        <f t="shared" si="134"/>
        <v/>
      </c>
      <c r="I1104" s="14" t="str">
        <f t="shared" si="135"/>
        <v/>
      </c>
      <c r="L1104" t="str">
        <f>IFERROR(MATCH($C$5&amp;"|"&amp;RIGHT("000000"&amp;1088,6),LdgRankKeyA,0),"")</f>
        <v/>
      </c>
      <c r="M1104" t="str">
        <f>IFERROR(MATCH($C$5&amp;"|"&amp;RIGHT("000000"&amp;1088,6),LdgRankKeyB,0),"")</f>
        <v/>
      </c>
    </row>
    <row r="1105" spans="1:13" x14ac:dyDescent="0.2">
      <c r="A1105" s="3">
        <v>1089</v>
      </c>
      <c r="B1105" s="4" t="str">
        <f t="shared" ref="B1105:B1168" si="136">IF(AND($L1105="",$M1105=""),"",IF($L1105&lt;&gt;"",INDEX(SCNormDate,$L1105),INDEX(LdgDateB,$M1105)))</f>
        <v/>
      </c>
      <c r="C1105" s="4" t="str">
        <f t="shared" ref="C1105:C1168" si="137">IF($L1105&lt;&gt;"",INDEX(SCOp,$L1105),IF($M1105&lt;&gt;"","پرداخت بانکی",""))</f>
        <v/>
      </c>
      <c r="D1105" s="4" t="str">
        <f t="shared" ref="D1105:D1168" si="138">IF($L1105&lt;&gt;"",IF(INDEX(SCDoc,$L1105)="","—",INDEX(SCDoc,$L1105)),IF($M1105&lt;&gt;"",INDEX(LdgBankB,$M1105),""))</f>
        <v/>
      </c>
      <c r="E1105" s="5" t="str">
        <f t="shared" ref="E1105:E1168" si="139">IF($L1105&lt;&gt;"",IF(INDEX(SCCitrus,$L1105)&amp;INDEX(SCNotes,$L1105)="","",IF(INDEX(SCCitrus,$L1105)="","",INDEX(SCCitrus,$L1105))&amp;IF(INDEX(SCNotes,$L1105)="",""," — "&amp;INDEX(SCNotes,$L1105))),IF($M1105&lt;&gt;"",IF(INDEX(LdgNoteB,$M1105)="","—",INDEX(LdgNoteB,$M1105)),""))</f>
        <v/>
      </c>
      <c r="F1105" s="6" t="str">
        <f t="shared" ref="F1105:F1168" si="140">IF($L1105&lt;&gt;"",IF(INDEX(SCNet,$L1105)=0,"",INDEX(SCNet,$L1105)),"")</f>
        <v/>
      </c>
      <c r="G1105" s="7" t="str">
        <f t="shared" ref="G1105:G1168" si="141">IF($L1105&lt;&gt;"",IF(INDEX(SCOp,$L1105)="مرجوعی فروش","",IF(INDEX(SCAmount,$L1105)&lt;=0,"",INDEX(SCAmount,$L1105))),IF($M1105&lt;&gt;"",IF(INDEX(LdgWitB,$M1105)=0,"",INDEX(LdgWitB,$M1105)),""))</f>
        <v/>
      </c>
      <c r="H1105" s="7" t="str">
        <f t="shared" ref="H1105:H1168" si="142">IF($L1105&lt;&gt;"",IF(INDEX(SCOp,$L1105)="مرجوعی فروش",IF(INDEX(SCAmount,$L1105)=0,"",-INDEX(SCAmount,$L1105)),""),IF($M1105&lt;&gt;"",IF(INDEX(LdgDepB,$M1105)=0,"",INDEX(LdgDepB,$M1105)),""))</f>
        <v/>
      </c>
      <c r="I1105" s="8" t="str">
        <f t="shared" si="135"/>
        <v/>
      </c>
      <c r="L1105" t="str">
        <f>IFERROR(MATCH($C$5&amp;"|"&amp;RIGHT("000000"&amp;1089,6),LdgRankKeyA,0),"")</f>
        <v/>
      </c>
      <c r="M1105" t="str">
        <f>IFERROR(MATCH($C$5&amp;"|"&amp;RIGHT("000000"&amp;1089,6),LdgRankKeyB,0),"")</f>
        <v/>
      </c>
    </row>
    <row r="1106" spans="1:13" x14ac:dyDescent="0.2">
      <c r="A1106" s="9">
        <v>1090</v>
      </c>
      <c r="B1106" s="10" t="str">
        <f t="shared" si="136"/>
        <v/>
      </c>
      <c r="C1106" s="10" t="str">
        <f t="shared" si="137"/>
        <v/>
      </c>
      <c r="D1106" s="10" t="str">
        <f t="shared" si="138"/>
        <v/>
      </c>
      <c r="E1106" s="11" t="str">
        <f t="shared" si="139"/>
        <v/>
      </c>
      <c r="F1106" s="12" t="str">
        <f t="shared" si="140"/>
        <v/>
      </c>
      <c r="G1106" s="13" t="str">
        <f t="shared" si="141"/>
        <v/>
      </c>
      <c r="H1106" s="13" t="str">
        <f t="shared" si="142"/>
        <v/>
      </c>
      <c r="I1106" s="14" t="str">
        <f t="shared" ref="I1106:I1169" si="143">IF($B1106="","",IF($I1105="",$C$10,$I1105)+IF($G1106="",0,$G1106)-IF($H1106="",0,$H1106))</f>
        <v/>
      </c>
      <c r="L1106" t="str">
        <f>IFERROR(MATCH($C$5&amp;"|"&amp;RIGHT("000000"&amp;1090,6),LdgRankKeyA,0),"")</f>
        <v/>
      </c>
      <c r="M1106" t="str">
        <f>IFERROR(MATCH($C$5&amp;"|"&amp;RIGHT("000000"&amp;1090,6),LdgRankKeyB,0),"")</f>
        <v/>
      </c>
    </row>
    <row r="1107" spans="1:13" x14ac:dyDescent="0.2">
      <c r="A1107" s="3">
        <v>1091</v>
      </c>
      <c r="B1107" s="4" t="str">
        <f t="shared" si="136"/>
        <v/>
      </c>
      <c r="C1107" s="4" t="str">
        <f t="shared" si="137"/>
        <v/>
      </c>
      <c r="D1107" s="4" t="str">
        <f t="shared" si="138"/>
        <v/>
      </c>
      <c r="E1107" s="5" t="str">
        <f t="shared" si="139"/>
        <v/>
      </c>
      <c r="F1107" s="6" t="str">
        <f t="shared" si="140"/>
        <v/>
      </c>
      <c r="G1107" s="7" t="str">
        <f t="shared" si="141"/>
        <v/>
      </c>
      <c r="H1107" s="7" t="str">
        <f t="shared" si="142"/>
        <v/>
      </c>
      <c r="I1107" s="8" t="str">
        <f t="shared" si="143"/>
        <v/>
      </c>
      <c r="L1107" t="str">
        <f>IFERROR(MATCH($C$5&amp;"|"&amp;RIGHT("000000"&amp;1091,6),LdgRankKeyA,0),"")</f>
        <v/>
      </c>
      <c r="M1107" t="str">
        <f>IFERROR(MATCH($C$5&amp;"|"&amp;RIGHT("000000"&amp;1091,6),LdgRankKeyB,0),"")</f>
        <v/>
      </c>
    </row>
    <row r="1108" spans="1:13" x14ac:dyDescent="0.2">
      <c r="A1108" s="9">
        <v>1092</v>
      </c>
      <c r="B1108" s="10" t="str">
        <f t="shared" si="136"/>
        <v/>
      </c>
      <c r="C1108" s="10" t="str">
        <f t="shared" si="137"/>
        <v/>
      </c>
      <c r="D1108" s="10" t="str">
        <f t="shared" si="138"/>
        <v/>
      </c>
      <c r="E1108" s="11" t="str">
        <f t="shared" si="139"/>
        <v/>
      </c>
      <c r="F1108" s="12" t="str">
        <f t="shared" si="140"/>
        <v/>
      </c>
      <c r="G1108" s="13" t="str">
        <f t="shared" si="141"/>
        <v/>
      </c>
      <c r="H1108" s="13" t="str">
        <f t="shared" si="142"/>
        <v/>
      </c>
      <c r="I1108" s="14" t="str">
        <f t="shared" si="143"/>
        <v/>
      </c>
      <c r="L1108" t="str">
        <f>IFERROR(MATCH($C$5&amp;"|"&amp;RIGHT("000000"&amp;1092,6),LdgRankKeyA,0),"")</f>
        <v/>
      </c>
      <c r="M1108" t="str">
        <f>IFERROR(MATCH($C$5&amp;"|"&amp;RIGHT("000000"&amp;1092,6),LdgRankKeyB,0),"")</f>
        <v/>
      </c>
    </row>
    <row r="1109" spans="1:13" x14ac:dyDescent="0.2">
      <c r="A1109" s="3">
        <v>1093</v>
      </c>
      <c r="B1109" s="4" t="str">
        <f t="shared" si="136"/>
        <v/>
      </c>
      <c r="C1109" s="4" t="str">
        <f t="shared" si="137"/>
        <v/>
      </c>
      <c r="D1109" s="4" t="str">
        <f t="shared" si="138"/>
        <v/>
      </c>
      <c r="E1109" s="5" t="str">
        <f t="shared" si="139"/>
        <v/>
      </c>
      <c r="F1109" s="6" t="str">
        <f t="shared" si="140"/>
        <v/>
      </c>
      <c r="G1109" s="7" t="str">
        <f t="shared" si="141"/>
        <v/>
      </c>
      <c r="H1109" s="7" t="str">
        <f t="shared" si="142"/>
        <v/>
      </c>
      <c r="I1109" s="8" t="str">
        <f t="shared" si="143"/>
        <v/>
      </c>
      <c r="L1109" t="str">
        <f>IFERROR(MATCH($C$5&amp;"|"&amp;RIGHT("000000"&amp;1093,6),LdgRankKeyA,0),"")</f>
        <v/>
      </c>
      <c r="M1109" t="str">
        <f>IFERROR(MATCH($C$5&amp;"|"&amp;RIGHT("000000"&amp;1093,6),LdgRankKeyB,0),"")</f>
        <v/>
      </c>
    </row>
    <row r="1110" spans="1:13" x14ac:dyDescent="0.2">
      <c r="A1110" s="9">
        <v>1094</v>
      </c>
      <c r="B1110" s="10" t="str">
        <f t="shared" si="136"/>
        <v/>
      </c>
      <c r="C1110" s="10" t="str">
        <f t="shared" si="137"/>
        <v/>
      </c>
      <c r="D1110" s="10" t="str">
        <f t="shared" si="138"/>
        <v/>
      </c>
      <c r="E1110" s="11" t="str">
        <f t="shared" si="139"/>
        <v/>
      </c>
      <c r="F1110" s="12" t="str">
        <f t="shared" si="140"/>
        <v/>
      </c>
      <c r="G1110" s="13" t="str">
        <f t="shared" si="141"/>
        <v/>
      </c>
      <c r="H1110" s="13" t="str">
        <f t="shared" si="142"/>
        <v/>
      </c>
      <c r="I1110" s="14" t="str">
        <f t="shared" si="143"/>
        <v/>
      </c>
      <c r="L1110" t="str">
        <f>IFERROR(MATCH($C$5&amp;"|"&amp;RIGHT("000000"&amp;1094,6),LdgRankKeyA,0),"")</f>
        <v/>
      </c>
      <c r="M1110" t="str">
        <f>IFERROR(MATCH($C$5&amp;"|"&amp;RIGHT("000000"&amp;1094,6),LdgRankKeyB,0),"")</f>
        <v/>
      </c>
    </row>
    <row r="1111" spans="1:13" x14ac:dyDescent="0.2">
      <c r="A1111" s="3">
        <v>1095</v>
      </c>
      <c r="B1111" s="4" t="str">
        <f t="shared" si="136"/>
        <v/>
      </c>
      <c r="C1111" s="4" t="str">
        <f t="shared" si="137"/>
        <v/>
      </c>
      <c r="D1111" s="4" t="str">
        <f t="shared" si="138"/>
        <v/>
      </c>
      <c r="E1111" s="5" t="str">
        <f t="shared" si="139"/>
        <v/>
      </c>
      <c r="F1111" s="6" t="str">
        <f t="shared" si="140"/>
        <v/>
      </c>
      <c r="G1111" s="7" t="str">
        <f t="shared" si="141"/>
        <v/>
      </c>
      <c r="H1111" s="7" t="str">
        <f t="shared" si="142"/>
        <v/>
      </c>
      <c r="I1111" s="8" t="str">
        <f t="shared" si="143"/>
        <v/>
      </c>
      <c r="L1111" t="str">
        <f>IFERROR(MATCH($C$5&amp;"|"&amp;RIGHT("000000"&amp;1095,6),LdgRankKeyA,0),"")</f>
        <v/>
      </c>
      <c r="M1111" t="str">
        <f>IFERROR(MATCH($C$5&amp;"|"&amp;RIGHT("000000"&amp;1095,6),LdgRankKeyB,0),"")</f>
        <v/>
      </c>
    </row>
    <row r="1112" spans="1:13" x14ac:dyDescent="0.2">
      <c r="A1112" s="9">
        <v>1096</v>
      </c>
      <c r="B1112" s="10" t="str">
        <f t="shared" si="136"/>
        <v/>
      </c>
      <c r="C1112" s="10" t="str">
        <f t="shared" si="137"/>
        <v/>
      </c>
      <c r="D1112" s="10" t="str">
        <f t="shared" si="138"/>
        <v/>
      </c>
      <c r="E1112" s="11" t="str">
        <f t="shared" si="139"/>
        <v/>
      </c>
      <c r="F1112" s="12" t="str">
        <f t="shared" si="140"/>
        <v/>
      </c>
      <c r="G1112" s="13" t="str">
        <f t="shared" si="141"/>
        <v/>
      </c>
      <c r="H1112" s="13" t="str">
        <f t="shared" si="142"/>
        <v/>
      </c>
      <c r="I1112" s="14" t="str">
        <f t="shared" si="143"/>
        <v/>
      </c>
      <c r="L1112" t="str">
        <f>IFERROR(MATCH($C$5&amp;"|"&amp;RIGHT("000000"&amp;1096,6),LdgRankKeyA,0),"")</f>
        <v/>
      </c>
      <c r="M1112" t="str">
        <f>IFERROR(MATCH($C$5&amp;"|"&amp;RIGHT("000000"&amp;1096,6),LdgRankKeyB,0),"")</f>
        <v/>
      </c>
    </row>
    <row r="1113" spans="1:13" x14ac:dyDescent="0.2">
      <c r="A1113" s="3">
        <v>1097</v>
      </c>
      <c r="B1113" s="4" t="str">
        <f t="shared" si="136"/>
        <v/>
      </c>
      <c r="C1113" s="4" t="str">
        <f t="shared" si="137"/>
        <v/>
      </c>
      <c r="D1113" s="4" t="str">
        <f t="shared" si="138"/>
        <v/>
      </c>
      <c r="E1113" s="5" t="str">
        <f t="shared" si="139"/>
        <v/>
      </c>
      <c r="F1113" s="6" t="str">
        <f t="shared" si="140"/>
        <v/>
      </c>
      <c r="G1113" s="7" t="str">
        <f t="shared" si="141"/>
        <v/>
      </c>
      <c r="H1113" s="7" t="str">
        <f t="shared" si="142"/>
        <v/>
      </c>
      <c r="I1113" s="8" t="str">
        <f t="shared" si="143"/>
        <v/>
      </c>
      <c r="L1113" t="str">
        <f>IFERROR(MATCH($C$5&amp;"|"&amp;RIGHT("000000"&amp;1097,6),LdgRankKeyA,0),"")</f>
        <v/>
      </c>
      <c r="M1113" t="str">
        <f>IFERROR(MATCH($C$5&amp;"|"&amp;RIGHT("000000"&amp;1097,6),LdgRankKeyB,0),"")</f>
        <v/>
      </c>
    </row>
    <row r="1114" spans="1:13" x14ac:dyDescent="0.2">
      <c r="A1114" s="9">
        <v>1098</v>
      </c>
      <c r="B1114" s="10" t="str">
        <f t="shared" si="136"/>
        <v/>
      </c>
      <c r="C1114" s="10" t="str">
        <f t="shared" si="137"/>
        <v/>
      </c>
      <c r="D1114" s="10" t="str">
        <f t="shared" si="138"/>
        <v/>
      </c>
      <c r="E1114" s="11" t="str">
        <f t="shared" si="139"/>
        <v/>
      </c>
      <c r="F1114" s="12" t="str">
        <f t="shared" si="140"/>
        <v/>
      </c>
      <c r="G1114" s="13" t="str">
        <f t="shared" si="141"/>
        <v/>
      </c>
      <c r="H1114" s="13" t="str">
        <f t="shared" si="142"/>
        <v/>
      </c>
      <c r="I1114" s="14" t="str">
        <f t="shared" si="143"/>
        <v/>
      </c>
      <c r="L1114" t="str">
        <f>IFERROR(MATCH($C$5&amp;"|"&amp;RIGHT("000000"&amp;1098,6),LdgRankKeyA,0),"")</f>
        <v/>
      </c>
      <c r="M1114" t="str">
        <f>IFERROR(MATCH($C$5&amp;"|"&amp;RIGHT("000000"&amp;1098,6),LdgRankKeyB,0),"")</f>
        <v/>
      </c>
    </row>
    <row r="1115" spans="1:13" x14ac:dyDescent="0.2">
      <c r="A1115" s="3">
        <v>1099</v>
      </c>
      <c r="B1115" s="4" t="str">
        <f t="shared" si="136"/>
        <v/>
      </c>
      <c r="C1115" s="4" t="str">
        <f t="shared" si="137"/>
        <v/>
      </c>
      <c r="D1115" s="4" t="str">
        <f t="shared" si="138"/>
        <v/>
      </c>
      <c r="E1115" s="5" t="str">
        <f t="shared" si="139"/>
        <v/>
      </c>
      <c r="F1115" s="6" t="str">
        <f t="shared" si="140"/>
        <v/>
      </c>
      <c r="G1115" s="7" t="str">
        <f t="shared" si="141"/>
        <v/>
      </c>
      <c r="H1115" s="7" t="str">
        <f t="shared" si="142"/>
        <v/>
      </c>
      <c r="I1115" s="8" t="str">
        <f t="shared" si="143"/>
        <v/>
      </c>
      <c r="L1115" t="str">
        <f>IFERROR(MATCH($C$5&amp;"|"&amp;RIGHT("000000"&amp;1099,6),LdgRankKeyA,0),"")</f>
        <v/>
      </c>
      <c r="M1115" t="str">
        <f>IFERROR(MATCH($C$5&amp;"|"&amp;RIGHT("000000"&amp;1099,6),LdgRankKeyB,0),"")</f>
        <v/>
      </c>
    </row>
    <row r="1116" spans="1:13" x14ac:dyDescent="0.2">
      <c r="A1116" s="9">
        <v>1100</v>
      </c>
      <c r="B1116" s="10" t="str">
        <f t="shared" si="136"/>
        <v/>
      </c>
      <c r="C1116" s="10" t="str">
        <f t="shared" si="137"/>
        <v/>
      </c>
      <c r="D1116" s="10" t="str">
        <f t="shared" si="138"/>
        <v/>
      </c>
      <c r="E1116" s="11" t="str">
        <f t="shared" si="139"/>
        <v/>
      </c>
      <c r="F1116" s="12" t="str">
        <f t="shared" si="140"/>
        <v/>
      </c>
      <c r="G1116" s="13" t="str">
        <f t="shared" si="141"/>
        <v/>
      </c>
      <c r="H1116" s="13" t="str">
        <f t="shared" si="142"/>
        <v/>
      </c>
      <c r="I1116" s="14" t="str">
        <f t="shared" si="143"/>
        <v/>
      </c>
      <c r="L1116" t="str">
        <f>IFERROR(MATCH($C$5&amp;"|"&amp;RIGHT("000000"&amp;1100,6),LdgRankKeyA,0),"")</f>
        <v/>
      </c>
      <c r="M1116" t="str">
        <f>IFERROR(MATCH($C$5&amp;"|"&amp;RIGHT("000000"&amp;1100,6),LdgRankKeyB,0),"")</f>
        <v/>
      </c>
    </row>
    <row r="1117" spans="1:13" x14ac:dyDescent="0.2">
      <c r="A1117" s="3">
        <v>1101</v>
      </c>
      <c r="B1117" s="4" t="str">
        <f t="shared" si="136"/>
        <v/>
      </c>
      <c r="C1117" s="4" t="str">
        <f t="shared" si="137"/>
        <v/>
      </c>
      <c r="D1117" s="4" t="str">
        <f t="shared" si="138"/>
        <v/>
      </c>
      <c r="E1117" s="5" t="str">
        <f t="shared" si="139"/>
        <v/>
      </c>
      <c r="F1117" s="6" t="str">
        <f t="shared" si="140"/>
        <v/>
      </c>
      <c r="G1117" s="7" t="str">
        <f t="shared" si="141"/>
        <v/>
      </c>
      <c r="H1117" s="7" t="str">
        <f t="shared" si="142"/>
        <v/>
      </c>
      <c r="I1117" s="8" t="str">
        <f t="shared" si="143"/>
        <v/>
      </c>
      <c r="L1117" t="str">
        <f>IFERROR(MATCH($C$5&amp;"|"&amp;RIGHT("000000"&amp;1101,6),LdgRankKeyA,0),"")</f>
        <v/>
      </c>
      <c r="M1117" t="str">
        <f>IFERROR(MATCH($C$5&amp;"|"&amp;RIGHT("000000"&amp;1101,6),LdgRankKeyB,0),"")</f>
        <v/>
      </c>
    </row>
    <row r="1118" spans="1:13" x14ac:dyDescent="0.2">
      <c r="A1118" s="9">
        <v>1102</v>
      </c>
      <c r="B1118" s="10" t="str">
        <f t="shared" si="136"/>
        <v/>
      </c>
      <c r="C1118" s="10" t="str">
        <f t="shared" si="137"/>
        <v/>
      </c>
      <c r="D1118" s="10" t="str">
        <f t="shared" si="138"/>
        <v/>
      </c>
      <c r="E1118" s="11" t="str">
        <f t="shared" si="139"/>
        <v/>
      </c>
      <c r="F1118" s="12" t="str">
        <f t="shared" si="140"/>
        <v/>
      </c>
      <c r="G1118" s="13" t="str">
        <f t="shared" si="141"/>
        <v/>
      </c>
      <c r="H1118" s="13" t="str">
        <f t="shared" si="142"/>
        <v/>
      </c>
      <c r="I1118" s="14" t="str">
        <f t="shared" si="143"/>
        <v/>
      </c>
      <c r="L1118" t="str">
        <f>IFERROR(MATCH($C$5&amp;"|"&amp;RIGHT("000000"&amp;1102,6),LdgRankKeyA,0),"")</f>
        <v/>
      </c>
      <c r="M1118" t="str">
        <f>IFERROR(MATCH($C$5&amp;"|"&amp;RIGHT("000000"&amp;1102,6),LdgRankKeyB,0),"")</f>
        <v/>
      </c>
    </row>
    <row r="1119" spans="1:13" x14ac:dyDescent="0.2">
      <c r="A1119" s="3">
        <v>1103</v>
      </c>
      <c r="B1119" s="4" t="str">
        <f t="shared" si="136"/>
        <v/>
      </c>
      <c r="C1119" s="4" t="str">
        <f t="shared" si="137"/>
        <v/>
      </c>
      <c r="D1119" s="4" t="str">
        <f t="shared" si="138"/>
        <v/>
      </c>
      <c r="E1119" s="5" t="str">
        <f t="shared" si="139"/>
        <v/>
      </c>
      <c r="F1119" s="6" t="str">
        <f t="shared" si="140"/>
        <v/>
      </c>
      <c r="G1119" s="7" t="str">
        <f t="shared" si="141"/>
        <v/>
      </c>
      <c r="H1119" s="7" t="str">
        <f t="shared" si="142"/>
        <v/>
      </c>
      <c r="I1119" s="8" t="str">
        <f t="shared" si="143"/>
        <v/>
      </c>
      <c r="L1119" t="str">
        <f>IFERROR(MATCH($C$5&amp;"|"&amp;RIGHT("000000"&amp;1103,6),LdgRankKeyA,0),"")</f>
        <v/>
      </c>
      <c r="M1119" t="str">
        <f>IFERROR(MATCH($C$5&amp;"|"&amp;RIGHT("000000"&amp;1103,6),LdgRankKeyB,0),"")</f>
        <v/>
      </c>
    </row>
    <row r="1120" spans="1:13" x14ac:dyDescent="0.2">
      <c r="A1120" s="9">
        <v>1104</v>
      </c>
      <c r="B1120" s="10" t="str">
        <f t="shared" si="136"/>
        <v/>
      </c>
      <c r="C1120" s="10" t="str">
        <f t="shared" si="137"/>
        <v/>
      </c>
      <c r="D1120" s="10" t="str">
        <f t="shared" si="138"/>
        <v/>
      </c>
      <c r="E1120" s="11" t="str">
        <f t="shared" si="139"/>
        <v/>
      </c>
      <c r="F1120" s="12" t="str">
        <f t="shared" si="140"/>
        <v/>
      </c>
      <c r="G1120" s="13" t="str">
        <f t="shared" si="141"/>
        <v/>
      </c>
      <c r="H1120" s="13" t="str">
        <f t="shared" si="142"/>
        <v/>
      </c>
      <c r="I1120" s="14" t="str">
        <f t="shared" si="143"/>
        <v/>
      </c>
      <c r="L1120" t="str">
        <f>IFERROR(MATCH($C$5&amp;"|"&amp;RIGHT("000000"&amp;1104,6),LdgRankKeyA,0),"")</f>
        <v/>
      </c>
      <c r="M1120" t="str">
        <f>IFERROR(MATCH($C$5&amp;"|"&amp;RIGHT("000000"&amp;1104,6),LdgRankKeyB,0),"")</f>
        <v/>
      </c>
    </row>
    <row r="1121" spans="1:13" x14ac:dyDescent="0.2">
      <c r="A1121" s="3">
        <v>1105</v>
      </c>
      <c r="B1121" s="4" t="str">
        <f t="shared" si="136"/>
        <v/>
      </c>
      <c r="C1121" s="4" t="str">
        <f t="shared" si="137"/>
        <v/>
      </c>
      <c r="D1121" s="4" t="str">
        <f t="shared" si="138"/>
        <v/>
      </c>
      <c r="E1121" s="5" t="str">
        <f t="shared" si="139"/>
        <v/>
      </c>
      <c r="F1121" s="6" t="str">
        <f t="shared" si="140"/>
        <v/>
      </c>
      <c r="G1121" s="7" t="str">
        <f t="shared" si="141"/>
        <v/>
      </c>
      <c r="H1121" s="7" t="str">
        <f t="shared" si="142"/>
        <v/>
      </c>
      <c r="I1121" s="8" t="str">
        <f t="shared" si="143"/>
        <v/>
      </c>
      <c r="L1121" t="str">
        <f>IFERROR(MATCH($C$5&amp;"|"&amp;RIGHT("000000"&amp;1105,6),LdgRankKeyA,0),"")</f>
        <v/>
      </c>
      <c r="M1121" t="str">
        <f>IFERROR(MATCH($C$5&amp;"|"&amp;RIGHT("000000"&amp;1105,6),LdgRankKeyB,0),"")</f>
        <v/>
      </c>
    </row>
    <row r="1122" spans="1:13" x14ac:dyDescent="0.2">
      <c r="A1122" s="9">
        <v>1106</v>
      </c>
      <c r="B1122" s="10" t="str">
        <f t="shared" si="136"/>
        <v/>
      </c>
      <c r="C1122" s="10" t="str">
        <f t="shared" si="137"/>
        <v/>
      </c>
      <c r="D1122" s="10" t="str">
        <f t="shared" si="138"/>
        <v/>
      </c>
      <c r="E1122" s="11" t="str">
        <f t="shared" si="139"/>
        <v/>
      </c>
      <c r="F1122" s="12" t="str">
        <f t="shared" si="140"/>
        <v/>
      </c>
      <c r="G1122" s="13" t="str">
        <f t="shared" si="141"/>
        <v/>
      </c>
      <c r="H1122" s="13" t="str">
        <f t="shared" si="142"/>
        <v/>
      </c>
      <c r="I1122" s="14" t="str">
        <f t="shared" si="143"/>
        <v/>
      </c>
      <c r="L1122" t="str">
        <f>IFERROR(MATCH($C$5&amp;"|"&amp;RIGHT("000000"&amp;1106,6),LdgRankKeyA,0),"")</f>
        <v/>
      </c>
      <c r="M1122" t="str">
        <f>IFERROR(MATCH($C$5&amp;"|"&amp;RIGHT("000000"&amp;1106,6),LdgRankKeyB,0),"")</f>
        <v/>
      </c>
    </row>
    <row r="1123" spans="1:13" x14ac:dyDescent="0.2">
      <c r="A1123" s="3">
        <v>1107</v>
      </c>
      <c r="B1123" s="4" t="str">
        <f t="shared" si="136"/>
        <v/>
      </c>
      <c r="C1123" s="4" t="str">
        <f t="shared" si="137"/>
        <v/>
      </c>
      <c r="D1123" s="4" t="str">
        <f t="shared" si="138"/>
        <v/>
      </c>
      <c r="E1123" s="5" t="str">
        <f t="shared" si="139"/>
        <v/>
      </c>
      <c r="F1123" s="6" t="str">
        <f t="shared" si="140"/>
        <v/>
      </c>
      <c r="G1123" s="7" t="str">
        <f t="shared" si="141"/>
        <v/>
      </c>
      <c r="H1123" s="7" t="str">
        <f t="shared" si="142"/>
        <v/>
      </c>
      <c r="I1123" s="8" t="str">
        <f t="shared" si="143"/>
        <v/>
      </c>
      <c r="L1123" t="str">
        <f>IFERROR(MATCH($C$5&amp;"|"&amp;RIGHT("000000"&amp;1107,6),LdgRankKeyA,0),"")</f>
        <v/>
      </c>
      <c r="M1123" t="str">
        <f>IFERROR(MATCH($C$5&amp;"|"&amp;RIGHT("000000"&amp;1107,6),LdgRankKeyB,0),"")</f>
        <v/>
      </c>
    </row>
    <row r="1124" spans="1:13" x14ac:dyDescent="0.2">
      <c r="A1124" s="9">
        <v>1108</v>
      </c>
      <c r="B1124" s="10" t="str">
        <f t="shared" si="136"/>
        <v/>
      </c>
      <c r="C1124" s="10" t="str">
        <f t="shared" si="137"/>
        <v/>
      </c>
      <c r="D1124" s="10" t="str">
        <f t="shared" si="138"/>
        <v/>
      </c>
      <c r="E1124" s="11" t="str">
        <f t="shared" si="139"/>
        <v/>
      </c>
      <c r="F1124" s="12" t="str">
        <f t="shared" si="140"/>
        <v/>
      </c>
      <c r="G1124" s="13" t="str">
        <f t="shared" si="141"/>
        <v/>
      </c>
      <c r="H1124" s="13" t="str">
        <f t="shared" si="142"/>
        <v/>
      </c>
      <c r="I1124" s="14" t="str">
        <f t="shared" si="143"/>
        <v/>
      </c>
      <c r="L1124" t="str">
        <f>IFERROR(MATCH($C$5&amp;"|"&amp;RIGHT("000000"&amp;1108,6),LdgRankKeyA,0),"")</f>
        <v/>
      </c>
      <c r="M1124" t="str">
        <f>IFERROR(MATCH($C$5&amp;"|"&amp;RIGHT("000000"&amp;1108,6),LdgRankKeyB,0),"")</f>
        <v/>
      </c>
    </row>
    <row r="1125" spans="1:13" x14ac:dyDescent="0.2">
      <c r="A1125" s="3">
        <v>1109</v>
      </c>
      <c r="B1125" s="4" t="str">
        <f t="shared" si="136"/>
        <v/>
      </c>
      <c r="C1125" s="4" t="str">
        <f t="shared" si="137"/>
        <v/>
      </c>
      <c r="D1125" s="4" t="str">
        <f t="shared" si="138"/>
        <v/>
      </c>
      <c r="E1125" s="5" t="str">
        <f t="shared" si="139"/>
        <v/>
      </c>
      <c r="F1125" s="6" t="str">
        <f t="shared" si="140"/>
        <v/>
      </c>
      <c r="G1125" s="7" t="str">
        <f t="shared" si="141"/>
        <v/>
      </c>
      <c r="H1125" s="7" t="str">
        <f t="shared" si="142"/>
        <v/>
      </c>
      <c r="I1125" s="8" t="str">
        <f t="shared" si="143"/>
        <v/>
      </c>
      <c r="L1125" t="str">
        <f>IFERROR(MATCH($C$5&amp;"|"&amp;RIGHT("000000"&amp;1109,6),LdgRankKeyA,0),"")</f>
        <v/>
      </c>
      <c r="M1125" t="str">
        <f>IFERROR(MATCH($C$5&amp;"|"&amp;RIGHT("000000"&amp;1109,6),LdgRankKeyB,0),"")</f>
        <v/>
      </c>
    </row>
    <row r="1126" spans="1:13" x14ac:dyDescent="0.2">
      <c r="A1126" s="9">
        <v>1110</v>
      </c>
      <c r="B1126" s="10" t="str">
        <f t="shared" si="136"/>
        <v/>
      </c>
      <c r="C1126" s="10" t="str">
        <f t="shared" si="137"/>
        <v/>
      </c>
      <c r="D1126" s="10" t="str">
        <f t="shared" si="138"/>
        <v/>
      </c>
      <c r="E1126" s="11" t="str">
        <f t="shared" si="139"/>
        <v/>
      </c>
      <c r="F1126" s="12" t="str">
        <f t="shared" si="140"/>
        <v/>
      </c>
      <c r="G1126" s="13" t="str">
        <f t="shared" si="141"/>
        <v/>
      </c>
      <c r="H1126" s="13" t="str">
        <f t="shared" si="142"/>
        <v/>
      </c>
      <c r="I1126" s="14" t="str">
        <f t="shared" si="143"/>
        <v/>
      </c>
      <c r="L1126" t="str">
        <f>IFERROR(MATCH($C$5&amp;"|"&amp;RIGHT("000000"&amp;1110,6),LdgRankKeyA,0),"")</f>
        <v/>
      </c>
      <c r="M1126" t="str">
        <f>IFERROR(MATCH($C$5&amp;"|"&amp;RIGHT("000000"&amp;1110,6),LdgRankKeyB,0),"")</f>
        <v/>
      </c>
    </row>
    <row r="1127" spans="1:13" x14ac:dyDescent="0.2">
      <c r="A1127" s="3">
        <v>1111</v>
      </c>
      <c r="B1127" s="4" t="str">
        <f t="shared" si="136"/>
        <v/>
      </c>
      <c r="C1127" s="4" t="str">
        <f t="shared" si="137"/>
        <v/>
      </c>
      <c r="D1127" s="4" t="str">
        <f t="shared" si="138"/>
        <v/>
      </c>
      <c r="E1127" s="5" t="str">
        <f t="shared" si="139"/>
        <v/>
      </c>
      <c r="F1127" s="6" t="str">
        <f t="shared" si="140"/>
        <v/>
      </c>
      <c r="G1127" s="7" t="str">
        <f t="shared" si="141"/>
        <v/>
      </c>
      <c r="H1127" s="7" t="str">
        <f t="shared" si="142"/>
        <v/>
      </c>
      <c r="I1127" s="8" t="str">
        <f t="shared" si="143"/>
        <v/>
      </c>
      <c r="L1127" t="str">
        <f>IFERROR(MATCH($C$5&amp;"|"&amp;RIGHT("000000"&amp;1111,6),LdgRankKeyA,0),"")</f>
        <v/>
      </c>
      <c r="M1127" t="str">
        <f>IFERROR(MATCH($C$5&amp;"|"&amp;RIGHT("000000"&amp;1111,6),LdgRankKeyB,0),"")</f>
        <v/>
      </c>
    </row>
    <row r="1128" spans="1:13" x14ac:dyDescent="0.2">
      <c r="A1128" s="9">
        <v>1112</v>
      </c>
      <c r="B1128" s="10" t="str">
        <f t="shared" si="136"/>
        <v/>
      </c>
      <c r="C1128" s="10" t="str">
        <f t="shared" si="137"/>
        <v/>
      </c>
      <c r="D1128" s="10" t="str">
        <f t="shared" si="138"/>
        <v/>
      </c>
      <c r="E1128" s="11" t="str">
        <f t="shared" si="139"/>
        <v/>
      </c>
      <c r="F1128" s="12" t="str">
        <f t="shared" si="140"/>
        <v/>
      </c>
      <c r="G1128" s="13" t="str">
        <f t="shared" si="141"/>
        <v/>
      </c>
      <c r="H1128" s="13" t="str">
        <f t="shared" si="142"/>
        <v/>
      </c>
      <c r="I1128" s="14" t="str">
        <f t="shared" si="143"/>
        <v/>
      </c>
      <c r="L1128" t="str">
        <f>IFERROR(MATCH($C$5&amp;"|"&amp;RIGHT("000000"&amp;1112,6),LdgRankKeyA,0),"")</f>
        <v/>
      </c>
      <c r="M1128" t="str">
        <f>IFERROR(MATCH($C$5&amp;"|"&amp;RIGHT("000000"&amp;1112,6),LdgRankKeyB,0),"")</f>
        <v/>
      </c>
    </row>
    <row r="1129" spans="1:13" x14ac:dyDescent="0.2">
      <c r="A1129" s="3">
        <v>1113</v>
      </c>
      <c r="B1129" s="4" t="str">
        <f t="shared" si="136"/>
        <v/>
      </c>
      <c r="C1129" s="4" t="str">
        <f t="shared" si="137"/>
        <v/>
      </c>
      <c r="D1129" s="4" t="str">
        <f t="shared" si="138"/>
        <v/>
      </c>
      <c r="E1129" s="5" t="str">
        <f t="shared" si="139"/>
        <v/>
      </c>
      <c r="F1129" s="6" t="str">
        <f t="shared" si="140"/>
        <v/>
      </c>
      <c r="G1129" s="7" t="str">
        <f t="shared" si="141"/>
        <v/>
      </c>
      <c r="H1129" s="7" t="str">
        <f t="shared" si="142"/>
        <v/>
      </c>
      <c r="I1129" s="8" t="str">
        <f t="shared" si="143"/>
        <v/>
      </c>
      <c r="L1129" t="str">
        <f>IFERROR(MATCH($C$5&amp;"|"&amp;RIGHT("000000"&amp;1113,6),LdgRankKeyA,0),"")</f>
        <v/>
      </c>
      <c r="M1129" t="str">
        <f>IFERROR(MATCH($C$5&amp;"|"&amp;RIGHT("000000"&amp;1113,6),LdgRankKeyB,0),"")</f>
        <v/>
      </c>
    </row>
    <row r="1130" spans="1:13" x14ac:dyDescent="0.2">
      <c r="A1130" s="9">
        <v>1114</v>
      </c>
      <c r="B1130" s="10" t="str">
        <f t="shared" si="136"/>
        <v/>
      </c>
      <c r="C1130" s="10" t="str">
        <f t="shared" si="137"/>
        <v/>
      </c>
      <c r="D1130" s="10" t="str">
        <f t="shared" si="138"/>
        <v/>
      </c>
      <c r="E1130" s="11" t="str">
        <f t="shared" si="139"/>
        <v/>
      </c>
      <c r="F1130" s="12" t="str">
        <f t="shared" si="140"/>
        <v/>
      </c>
      <c r="G1130" s="13" t="str">
        <f t="shared" si="141"/>
        <v/>
      </c>
      <c r="H1130" s="13" t="str">
        <f t="shared" si="142"/>
        <v/>
      </c>
      <c r="I1130" s="14" t="str">
        <f t="shared" si="143"/>
        <v/>
      </c>
      <c r="L1130" t="str">
        <f>IFERROR(MATCH($C$5&amp;"|"&amp;RIGHT("000000"&amp;1114,6),LdgRankKeyA,0),"")</f>
        <v/>
      </c>
      <c r="M1130" t="str">
        <f>IFERROR(MATCH($C$5&amp;"|"&amp;RIGHT("000000"&amp;1114,6),LdgRankKeyB,0),"")</f>
        <v/>
      </c>
    </row>
    <row r="1131" spans="1:13" x14ac:dyDescent="0.2">
      <c r="A1131" s="3">
        <v>1115</v>
      </c>
      <c r="B1131" s="4" t="str">
        <f t="shared" si="136"/>
        <v/>
      </c>
      <c r="C1131" s="4" t="str">
        <f t="shared" si="137"/>
        <v/>
      </c>
      <c r="D1131" s="4" t="str">
        <f t="shared" si="138"/>
        <v/>
      </c>
      <c r="E1131" s="5" t="str">
        <f t="shared" si="139"/>
        <v/>
      </c>
      <c r="F1131" s="6" t="str">
        <f t="shared" si="140"/>
        <v/>
      </c>
      <c r="G1131" s="7" t="str">
        <f t="shared" si="141"/>
        <v/>
      </c>
      <c r="H1131" s="7" t="str">
        <f t="shared" si="142"/>
        <v/>
      </c>
      <c r="I1131" s="8" t="str">
        <f t="shared" si="143"/>
        <v/>
      </c>
      <c r="L1131" t="str">
        <f>IFERROR(MATCH($C$5&amp;"|"&amp;RIGHT("000000"&amp;1115,6),LdgRankKeyA,0),"")</f>
        <v/>
      </c>
      <c r="M1131" t="str">
        <f>IFERROR(MATCH($C$5&amp;"|"&amp;RIGHT("000000"&amp;1115,6),LdgRankKeyB,0),"")</f>
        <v/>
      </c>
    </row>
    <row r="1132" spans="1:13" x14ac:dyDescent="0.2">
      <c r="A1132" s="9">
        <v>1116</v>
      </c>
      <c r="B1132" s="10" t="str">
        <f t="shared" si="136"/>
        <v/>
      </c>
      <c r="C1132" s="10" t="str">
        <f t="shared" si="137"/>
        <v/>
      </c>
      <c r="D1132" s="10" t="str">
        <f t="shared" si="138"/>
        <v/>
      </c>
      <c r="E1132" s="11" t="str">
        <f t="shared" si="139"/>
        <v/>
      </c>
      <c r="F1132" s="12" t="str">
        <f t="shared" si="140"/>
        <v/>
      </c>
      <c r="G1132" s="13" t="str">
        <f t="shared" si="141"/>
        <v/>
      </c>
      <c r="H1132" s="13" t="str">
        <f t="shared" si="142"/>
        <v/>
      </c>
      <c r="I1132" s="14" t="str">
        <f t="shared" si="143"/>
        <v/>
      </c>
      <c r="L1132" t="str">
        <f>IFERROR(MATCH($C$5&amp;"|"&amp;RIGHT("000000"&amp;1116,6),LdgRankKeyA,0),"")</f>
        <v/>
      </c>
      <c r="M1132" t="str">
        <f>IFERROR(MATCH($C$5&amp;"|"&amp;RIGHT("000000"&amp;1116,6),LdgRankKeyB,0),"")</f>
        <v/>
      </c>
    </row>
    <row r="1133" spans="1:13" x14ac:dyDescent="0.2">
      <c r="A1133" s="3">
        <v>1117</v>
      </c>
      <c r="B1133" s="4" t="str">
        <f t="shared" si="136"/>
        <v/>
      </c>
      <c r="C1133" s="4" t="str">
        <f t="shared" si="137"/>
        <v/>
      </c>
      <c r="D1133" s="4" t="str">
        <f t="shared" si="138"/>
        <v/>
      </c>
      <c r="E1133" s="5" t="str">
        <f t="shared" si="139"/>
        <v/>
      </c>
      <c r="F1133" s="6" t="str">
        <f t="shared" si="140"/>
        <v/>
      </c>
      <c r="G1133" s="7" t="str">
        <f t="shared" si="141"/>
        <v/>
      </c>
      <c r="H1133" s="7" t="str">
        <f t="shared" si="142"/>
        <v/>
      </c>
      <c r="I1133" s="8" t="str">
        <f t="shared" si="143"/>
        <v/>
      </c>
      <c r="L1133" t="str">
        <f>IFERROR(MATCH($C$5&amp;"|"&amp;RIGHT("000000"&amp;1117,6),LdgRankKeyA,0),"")</f>
        <v/>
      </c>
      <c r="M1133" t="str">
        <f>IFERROR(MATCH($C$5&amp;"|"&amp;RIGHT("000000"&amp;1117,6),LdgRankKeyB,0),"")</f>
        <v/>
      </c>
    </row>
    <row r="1134" spans="1:13" x14ac:dyDescent="0.2">
      <c r="A1134" s="9">
        <v>1118</v>
      </c>
      <c r="B1134" s="10" t="str">
        <f t="shared" si="136"/>
        <v/>
      </c>
      <c r="C1134" s="10" t="str">
        <f t="shared" si="137"/>
        <v/>
      </c>
      <c r="D1134" s="10" t="str">
        <f t="shared" si="138"/>
        <v/>
      </c>
      <c r="E1134" s="11" t="str">
        <f t="shared" si="139"/>
        <v/>
      </c>
      <c r="F1134" s="12" t="str">
        <f t="shared" si="140"/>
        <v/>
      </c>
      <c r="G1134" s="13" t="str">
        <f t="shared" si="141"/>
        <v/>
      </c>
      <c r="H1134" s="13" t="str">
        <f t="shared" si="142"/>
        <v/>
      </c>
      <c r="I1134" s="14" t="str">
        <f t="shared" si="143"/>
        <v/>
      </c>
      <c r="L1134" t="str">
        <f>IFERROR(MATCH($C$5&amp;"|"&amp;RIGHT("000000"&amp;1118,6),LdgRankKeyA,0),"")</f>
        <v/>
      </c>
      <c r="M1134" t="str">
        <f>IFERROR(MATCH($C$5&amp;"|"&amp;RIGHT("000000"&amp;1118,6),LdgRankKeyB,0),"")</f>
        <v/>
      </c>
    </row>
    <row r="1135" spans="1:13" x14ac:dyDescent="0.2">
      <c r="A1135" s="3">
        <v>1119</v>
      </c>
      <c r="B1135" s="4" t="str">
        <f t="shared" si="136"/>
        <v/>
      </c>
      <c r="C1135" s="4" t="str">
        <f t="shared" si="137"/>
        <v/>
      </c>
      <c r="D1135" s="4" t="str">
        <f t="shared" si="138"/>
        <v/>
      </c>
      <c r="E1135" s="5" t="str">
        <f t="shared" si="139"/>
        <v/>
      </c>
      <c r="F1135" s="6" t="str">
        <f t="shared" si="140"/>
        <v/>
      </c>
      <c r="G1135" s="7" t="str">
        <f t="shared" si="141"/>
        <v/>
      </c>
      <c r="H1135" s="7" t="str">
        <f t="shared" si="142"/>
        <v/>
      </c>
      <c r="I1135" s="8" t="str">
        <f t="shared" si="143"/>
        <v/>
      </c>
      <c r="L1135" t="str">
        <f>IFERROR(MATCH($C$5&amp;"|"&amp;RIGHT("000000"&amp;1119,6),LdgRankKeyA,0),"")</f>
        <v/>
      </c>
      <c r="M1135" t="str">
        <f>IFERROR(MATCH($C$5&amp;"|"&amp;RIGHT("000000"&amp;1119,6),LdgRankKeyB,0),"")</f>
        <v/>
      </c>
    </row>
    <row r="1136" spans="1:13" x14ac:dyDescent="0.2">
      <c r="A1136" s="9">
        <v>1120</v>
      </c>
      <c r="B1136" s="10" t="str">
        <f t="shared" si="136"/>
        <v/>
      </c>
      <c r="C1136" s="10" t="str">
        <f t="shared" si="137"/>
        <v/>
      </c>
      <c r="D1136" s="10" t="str">
        <f t="shared" si="138"/>
        <v/>
      </c>
      <c r="E1136" s="11" t="str">
        <f t="shared" si="139"/>
        <v/>
      </c>
      <c r="F1136" s="12" t="str">
        <f t="shared" si="140"/>
        <v/>
      </c>
      <c r="G1136" s="13" t="str">
        <f t="shared" si="141"/>
        <v/>
      </c>
      <c r="H1136" s="13" t="str">
        <f t="shared" si="142"/>
        <v/>
      </c>
      <c r="I1136" s="14" t="str">
        <f t="shared" si="143"/>
        <v/>
      </c>
      <c r="L1136" t="str">
        <f>IFERROR(MATCH($C$5&amp;"|"&amp;RIGHT("000000"&amp;1120,6),LdgRankKeyA,0),"")</f>
        <v/>
      </c>
      <c r="M1136" t="str">
        <f>IFERROR(MATCH($C$5&amp;"|"&amp;RIGHT("000000"&amp;1120,6),LdgRankKeyB,0),"")</f>
        <v/>
      </c>
    </row>
    <row r="1137" spans="1:13" x14ac:dyDescent="0.2">
      <c r="A1137" s="3">
        <v>1121</v>
      </c>
      <c r="B1137" s="4" t="str">
        <f t="shared" si="136"/>
        <v/>
      </c>
      <c r="C1137" s="4" t="str">
        <f t="shared" si="137"/>
        <v/>
      </c>
      <c r="D1137" s="4" t="str">
        <f t="shared" si="138"/>
        <v/>
      </c>
      <c r="E1137" s="5" t="str">
        <f t="shared" si="139"/>
        <v/>
      </c>
      <c r="F1137" s="6" t="str">
        <f t="shared" si="140"/>
        <v/>
      </c>
      <c r="G1137" s="7" t="str">
        <f t="shared" si="141"/>
        <v/>
      </c>
      <c r="H1137" s="7" t="str">
        <f t="shared" si="142"/>
        <v/>
      </c>
      <c r="I1137" s="8" t="str">
        <f t="shared" si="143"/>
        <v/>
      </c>
      <c r="L1137" t="str">
        <f>IFERROR(MATCH($C$5&amp;"|"&amp;RIGHT("000000"&amp;1121,6),LdgRankKeyA,0),"")</f>
        <v/>
      </c>
      <c r="M1137" t="str">
        <f>IFERROR(MATCH($C$5&amp;"|"&amp;RIGHT("000000"&amp;1121,6),LdgRankKeyB,0),"")</f>
        <v/>
      </c>
    </row>
    <row r="1138" spans="1:13" x14ac:dyDescent="0.2">
      <c r="A1138" s="9">
        <v>1122</v>
      </c>
      <c r="B1138" s="10" t="str">
        <f t="shared" si="136"/>
        <v/>
      </c>
      <c r="C1138" s="10" t="str">
        <f t="shared" si="137"/>
        <v/>
      </c>
      <c r="D1138" s="10" t="str">
        <f t="shared" si="138"/>
        <v/>
      </c>
      <c r="E1138" s="11" t="str">
        <f t="shared" si="139"/>
        <v/>
      </c>
      <c r="F1138" s="12" t="str">
        <f t="shared" si="140"/>
        <v/>
      </c>
      <c r="G1138" s="13" t="str">
        <f t="shared" si="141"/>
        <v/>
      </c>
      <c r="H1138" s="13" t="str">
        <f t="shared" si="142"/>
        <v/>
      </c>
      <c r="I1138" s="14" t="str">
        <f t="shared" si="143"/>
        <v/>
      </c>
      <c r="L1138" t="str">
        <f>IFERROR(MATCH($C$5&amp;"|"&amp;RIGHT("000000"&amp;1122,6),LdgRankKeyA,0),"")</f>
        <v/>
      </c>
      <c r="M1138" t="str">
        <f>IFERROR(MATCH($C$5&amp;"|"&amp;RIGHT("000000"&amp;1122,6),LdgRankKeyB,0),"")</f>
        <v/>
      </c>
    </row>
    <row r="1139" spans="1:13" x14ac:dyDescent="0.2">
      <c r="A1139" s="3">
        <v>1123</v>
      </c>
      <c r="B1139" s="4" t="str">
        <f t="shared" si="136"/>
        <v/>
      </c>
      <c r="C1139" s="4" t="str">
        <f t="shared" si="137"/>
        <v/>
      </c>
      <c r="D1139" s="4" t="str">
        <f t="shared" si="138"/>
        <v/>
      </c>
      <c r="E1139" s="5" t="str">
        <f t="shared" si="139"/>
        <v/>
      </c>
      <c r="F1139" s="6" t="str">
        <f t="shared" si="140"/>
        <v/>
      </c>
      <c r="G1139" s="7" t="str">
        <f t="shared" si="141"/>
        <v/>
      </c>
      <c r="H1139" s="7" t="str">
        <f t="shared" si="142"/>
        <v/>
      </c>
      <c r="I1139" s="8" t="str">
        <f t="shared" si="143"/>
        <v/>
      </c>
      <c r="L1139" t="str">
        <f>IFERROR(MATCH($C$5&amp;"|"&amp;RIGHT("000000"&amp;1123,6),LdgRankKeyA,0),"")</f>
        <v/>
      </c>
      <c r="M1139" t="str">
        <f>IFERROR(MATCH($C$5&amp;"|"&amp;RIGHT("000000"&amp;1123,6),LdgRankKeyB,0),"")</f>
        <v/>
      </c>
    </row>
    <row r="1140" spans="1:13" x14ac:dyDescent="0.2">
      <c r="A1140" s="9">
        <v>1124</v>
      </c>
      <c r="B1140" s="10" t="str">
        <f t="shared" si="136"/>
        <v/>
      </c>
      <c r="C1140" s="10" t="str">
        <f t="shared" si="137"/>
        <v/>
      </c>
      <c r="D1140" s="10" t="str">
        <f t="shared" si="138"/>
        <v/>
      </c>
      <c r="E1140" s="11" t="str">
        <f t="shared" si="139"/>
        <v/>
      </c>
      <c r="F1140" s="12" t="str">
        <f t="shared" si="140"/>
        <v/>
      </c>
      <c r="G1140" s="13" t="str">
        <f t="shared" si="141"/>
        <v/>
      </c>
      <c r="H1140" s="13" t="str">
        <f t="shared" si="142"/>
        <v/>
      </c>
      <c r="I1140" s="14" t="str">
        <f t="shared" si="143"/>
        <v/>
      </c>
      <c r="L1140" t="str">
        <f>IFERROR(MATCH($C$5&amp;"|"&amp;RIGHT("000000"&amp;1124,6),LdgRankKeyA,0),"")</f>
        <v/>
      </c>
      <c r="M1140" t="str">
        <f>IFERROR(MATCH($C$5&amp;"|"&amp;RIGHT("000000"&amp;1124,6),LdgRankKeyB,0),"")</f>
        <v/>
      </c>
    </row>
    <row r="1141" spans="1:13" x14ac:dyDescent="0.2">
      <c r="A1141" s="3">
        <v>1125</v>
      </c>
      <c r="B1141" s="4" t="str">
        <f t="shared" si="136"/>
        <v/>
      </c>
      <c r="C1141" s="4" t="str">
        <f t="shared" si="137"/>
        <v/>
      </c>
      <c r="D1141" s="4" t="str">
        <f t="shared" si="138"/>
        <v/>
      </c>
      <c r="E1141" s="5" t="str">
        <f t="shared" si="139"/>
        <v/>
      </c>
      <c r="F1141" s="6" t="str">
        <f t="shared" si="140"/>
        <v/>
      </c>
      <c r="G1141" s="7" t="str">
        <f t="shared" si="141"/>
        <v/>
      </c>
      <c r="H1141" s="7" t="str">
        <f t="shared" si="142"/>
        <v/>
      </c>
      <c r="I1141" s="8" t="str">
        <f t="shared" si="143"/>
        <v/>
      </c>
      <c r="L1141" t="str">
        <f>IFERROR(MATCH($C$5&amp;"|"&amp;RIGHT("000000"&amp;1125,6),LdgRankKeyA,0),"")</f>
        <v/>
      </c>
      <c r="M1141" t="str">
        <f>IFERROR(MATCH($C$5&amp;"|"&amp;RIGHT("000000"&amp;1125,6),LdgRankKeyB,0),"")</f>
        <v/>
      </c>
    </row>
    <row r="1142" spans="1:13" x14ac:dyDescent="0.2">
      <c r="A1142" s="9">
        <v>1126</v>
      </c>
      <c r="B1142" s="10" t="str">
        <f t="shared" si="136"/>
        <v/>
      </c>
      <c r="C1142" s="10" t="str">
        <f t="shared" si="137"/>
        <v/>
      </c>
      <c r="D1142" s="10" t="str">
        <f t="shared" si="138"/>
        <v/>
      </c>
      <c r="E1142" s="11" t="str">
        <f t="shared" si="139"/>
        <v/>
      </c>
      <c r="F1142" s="12" t="str">
        <f t="shared" si="140"/>
        <v/>
      </c>
      <c r="G1142" s="13" t="str">
        <f t="shared" si="141"/>
        <v/>
      </c>
      <c r="H1142" s="13" t="str">
        <f t="shared" si="142"/>
        <v/>
      </c>
      <c r="I1142" s="14" t="str">
        <f t="shared" si="143"/>
        <v/>
      </c>
      <c r="L1142" t="str">
        <f>IFERROR(MATCH($C$5&amp;"|"&amp;RIGHT("000000"&amp;1126,6),LdgRankKeyA,0),"")</f>
        <v/>
      </c>
      <c r="M1142" t="str">
        <f>IFERROR(MATCH($C$5&amp;"|"&amp;RIGHT("000000"&amp;1126,6),LdgRankKeyB,0),"")</f>
        <v/>
      </c>
    </row>
    <row r="1143" spans="1:13" x14ac:dyDescent="0.2">
      <c r="A1143" s="3">
        <v>1127</v>
      </c>
      <c r="B1143" s="4" t="str">
        <f t="shared" si="136"/>
        <v/>
      </c>
      <c r="C1143" s="4" t="str">
        <f t="shared" si="137"/>
        <v/>
      </c>
      <c r="D1143" s="4" t="str">
        <f t="shared" si="138"/>
        <v/>
      </c>
      <c r="E1143" s="5" t="str">
        <f t="shared" si="139"/>
        <v/>
      </c>
      <c r="F1143" s="6" t="str">
        <f t="shared" si="140"/>
        <v/>
      </c>
      <c r="G1143" s="7" t="str">
        <f t="shared" si="141"/>
        <v/>
      </c>
      <c r="H1143" s="7" t="str">
        <f t="shared" si="142"/>
        <v/>
      </c>
      <c r="I1143" s="8" t="str">
        <f t="shared" si="143"/>
        <v/>
      </c>
      <c r="L1143" t="str">
        <f>IFERROR(MATCH($C$5&amp;"|"&amp;RIGHT("000000"&amp;1127,6),LdgRankKeyA,0),"")</f>
        <v/>
      </c>
      <c r="M1143" t="str">
        <f>IFERROR(MATCH($C$5&amp;"|"&amp;RIGHT("000000"&amp;1127,6),LdgRankKeyB,0),"")</f>
        <v/>
      </c>
    </row>
    <row r="1144" spans="1:13" x14ac:dyDescent="0.2">
      <c r="A1144" s="9">
        <v>1128</v>
      </c>
      <c r="B1144" s="10" t="str">
        <f t="shared" si="136"/>
        <v/>
      </c>
      <c r="C1144" s="10" t="str">
        <f t="shared" si="137"/>
        <v/>
      </c>
      <c r="D1144" s="10" t="str">
        <f t="shared" si="138"/>
        <v/>
      </c>
      <c r="E1144" s="11" t="str">
        <f t="shared" si="139"/>
        <v/>
      </c>
      <c r="F1144" s="12" t="str">
        <f t="shared" si="140"/>
        <v/>
      </c>
      <c r="G1144" s="13" t="str">
        <f t="shared" si="141"/>
        <v/>
      </c>
      <c r="H1144" s="13" t="str">
        <f t="shared" si="142"/>
        <v/>
      </c>
      <c r="I1144" s="14" t="str">
        <f t="shared" si="143"/>
        <v/>
      </c>
      <c r="L1144" t="str">
        <f>IFERROR(MATCH($C$5&amp;"|"&amp;RIGHT("000000"&amp;1128,6),LdgRankKeyA,0),"")</f>
        <v/>
      </c>
      <c r="M1144" t="str">
        <f>IFERROR(MATCH($C$5&amp;"|"&amp;RIGHT("000000"&amp;1128,6),LdgRankKeyB,0),"")</f>
        <v/>
      </c>
    </row>
    <row r="1145" spans="1:13" x14ac:dyDescent="0.2">
      <c r="A1145" s="3">
        <v>1129</v>
      </c>
      <c r="B1145" s="4" t="str">
        <f t="shared" si="136"/>
        <v/>
      </c>
      <c r="C1145" s="4" t="str">
        <f t="shared" si="137"/>
        <v/>
      </c>
      <c r="D1145" s="4" t="str">
        <f t="shared" si="138"/>
        <v/>
      </c>
      <c r="E1145" s="5" t="str">
        <f t="shared" si="139"/>
        <v/>
      </c>
      <c r="F1145" s="6" t="str">
        <f t="shared" si="140"/>
        <v/>
      </c>
      <c r="G1145" s="7" t="str">
        <f t="shared" si="141"/>
        <v/>
      </c>
      <c r="H1145" s="7" t="str">
        <f t="shared" si="142"/>
        <v/>
      </c>
      <c r="I1145" s="8" t="str">
        <f t="shared" si="143"/>
        <v/>
      </c>
      <c r="L1145" t="str">
        <f>IFERROR(MATCH($C$5&amp;"|"&amp;RIGHT("000000"&amp;1129,6),LdgRankKeyA,0),"")</f>
        <v/>
      </c>
      <c r="M1145" t="str">
        <f>IFERROR(MATCH($C$5&amp;"|"&amp;RIGHT("000000"&amp;1129,6),LdgRankKeyB,0),"")</f>
        <v/>
      </c>
    </row>
    <row r="1146" spans="1:13" x14ac:dyDescent="0.2">
      <c r="A1146" s="9">
        <v>1130</v>
      </c>
      <c r="B1146" s="10" t="str">
        <f t="shared" si="136"/>
        <v/>
      </c>
      <c r="C1146" s="10" t="str">
        <f t="shared" si="137"/>
        <v/>
      </c>
      <c r="D1146" s="10" t="str">
        <f t="shared" si="138"/>
        <v/>
      </c>
      <c r="E1146" s="11" t="str">
        <f t="shared" si="139"/>
        <v/>
      </c>
      <c r="F1146" s="12" t="str">
        <f t="shared" si="140"/>
        <v/>
      </c>
      <c r="G1146" s="13" t="str">
        <f t="shared" si="141"/>
        <v/>
      </c>
      <c r="H1146" s="13" t="str">
        <f t="shared" si="142"/>
        <v/>
      </c>
      <c r="I1146" s="14" t="str">
        <f t="shared" si="143"/>
        <v/>
      </c>
      <c r="L1146" t="str">
        <f>IFERROR(MATCH($C$5&amp;"|"&amp;RIGHT("000000"&amp;1130,6),LdgRankKeyA,0),"")</f>
        <v/>
      </c>
      <c r="M1146" t="str">
        <f>IFERROR(MATCH($C$5&amp;"|"&amp;RIGHT("000000"&amp;1130,6),LdgRankKeyB,0),"")</f>
        <v/>
      </c>
    </row>
    <row r="1147" spans="1:13" x14ac:dyDescent="0.2">
      <c r="A1147" s="3">
        <v>1131</v>
      </c>
      <c r="B1147" s="4" t="str">
        <f t="shared" si="136"/>
        <v/>
      </c>
      <c r="C1147" s="4" t="str">
        <f t="shared" si="137"/>
        <v/>
      </c>
      <c r="D1147" s="4" t="str">
        <f t="shared" si="138"/>
        <v/>
      </c>
      <c r="E1147" s="5" t="str">
        <f t="shared" si="139"/>
        <v/>
      </c>
      <c r="F1147" s="6" t="str">
        <f t="shared" si="140"/>
        <v/>
      </c>
      <c r="G1147" s="7" t="str">
        <f t="shared" si="141"/>
        <v/>
      </c>
      <c r="H1147" s="7" t="str">
        <f t="shared" si="142"/>
        <v/>
      </c>
      <c r="I1147" s="8" t="str">
        <f t="shared" si="143"/>
        <v/>
      </c>
      <c r="L1147" t="str">
        <f>IFERROR(MATCH($C$5&amp;"|"&amp;RIGHT("000000"&amp;1131,6),LdgRankKeyA,0),"")</f>
        <v/>
      </c>
      <c r="M1147" t="str">
        <f>IFERROR(MATCH($C$5&amp;"|"&amp;RIGHT("000000"&amp;1131,6),LdgRankKeyB,0),"")</f>
        <v/>
      </c>
    </row>
    <row r="1148" spans="1:13" x14ac:dyDescent="0.2">
      <c r="A1148" s="9">
        <v>1132</v>
      </c>
      <c r="B1148" s="10" t="str">
        <f t="shared" si="136"/>
        <v/>
      </c>
      <c r="C1148" s="10" t="str">
        <f t="shared" si="137"/>
        <v/>
      </c>
      <c r="D1148" s="10" t="str">
        <f t="shared" si="138"/>
        <v/>
      </c>
      <c r="E1148" s="11" t="str">
        <f t="shared" si="139"/>
        <v/>
      </c>
      <c r="F1148" s="12" t="str">
        <f t="shared" si="140"/>
        <v/>
      </c>
      <c r="G1148" s="13" t="str">
        <f t="shared" si="141"/>
        <v/>
      </c>
      <c r="H1148" s="13" t="str">
        <f t="shared" si="142"/>
        <v/>
      </c>
      <c r="I1148" s="14" t="str">
        <f t="shared" si="143"/>
        <v/>
      </c>
      <c r="L1148" t="str">
        <f>IFERROR(MATCH($C$5&amp;"|"&amp;RIGHT("000000"&amp;1132,6),LdgRankKeyA,0),"")</f>
        <v/>
      </c>
      <c r="M1148" t="str">
        <f>IFERROR(MATCH($C$5&amp;"|"&amp;RIGHT("000000"&amp;1132,6),LdgRankKeyB,0),"")</f>
        <v/>
      </c>
    </row>
    <row r="1149" spans="1:13" x14ac:dyDescent="0.2">
      <c r="A1149" s="3">
        <v>1133</v>
      </c>
      <c r="B1149" s="4" t="str">
        <f t="shared" si="136"/>
        <v/>
      </c>
      <c r="C1149" s="4" t="str">
        <f t="shared" si="137"/>
        <v/>
      </c>
      <c r="D1149" s="4" t="str">
        <f t="shared" si="138"/>
        <v/>
      </c>
      <c r="E1149" s="5" t="str">
        <f t="shared" si="139"/>
        <v/>
      </c>
      <c r="F1149" s="6" t="str">
        <f t="shared" si="140"/>
        <v/>
      </c>
      <c r="G1149" s="7" t="str">
        <f t="shared" si="141"/>
        <v/>
      </c>
      <c r="H1149" s="7" t="str">
        <f t="shared" si="142"/>
        <v/>
      </c>
      <c r="I1149" s="8" t="str">
        <f t="shared" si="143"/>
        <v/>
      </c>
      <c r="L1149" t="str">
        <f>IFERROR(MATCH($C$5&amp;"|"&amp;RIGHT("000000"&amp;1133,6),LdgRankKeyA,0),"")</f>
        <v/>
      </c>
      <c r="M1149" t="str">
        <f>IFERROR(MATCH($C$5&amp;"|"&amp;RIGHT("000000"&amp;1133,6),LdgRankKeyB,0),"")</f>
        <v/>
      </c>
    </row>
    <row r="1150" spans="1:13" x14ac:dyDescent="0.2">
      <c r="A1150" s="9">
        <v>1134</v>
      </c>
      <c r="B1150" s="10" t="str">
        <f t="shared" si="136"/>
        <v/>
      </c>
      <c r="C1150" s="10" t="str">
        <f t="shared" si="137"/>
        <v/>
      </c>
      <c r="D1150" s="10" t="str">
        <f t="shared" si="138"/>
        <v/>
      </c>
      <c r="E1150" s="11" t="str">
        <f t="shared" si="139"/>
        <v/>
      </c>
      <c r="F1150" s="12" t="str">
        <f t="shared" si="140"/>
        <v/>
      </c>
      <c r="G1150" s="13" t="str">
        <f t="shared" si="141"/>
        <v/>
      </c>
      <c r="H1150" s="13" t="str">
        <f t="shared" si="142"/>
        <v/>
      </c>
      <c r="I1150" s="14" t="str">
        <f t="shared" si="143"/>
        <v/>
      </c>
      <c r="L1150" t="str">
        <f>IFERROR(MATCH($C$5&amp;"|"&amp;RIGHT("000000"&amp;1134,6),LdgRankKeyA,0),"")</f>
        <v/>
      </c>
      <c r="M1150" t="str">
        <f>IFERROR(MATCH($C$5&amp;"|"&amp;RIGHT("000000"&amp;1134,6),LdgRankKeyB,0),"")</f>
        <v/>
      </c>
    </row>
    <row r="1151" spans="1:13" x14ac:dyDescent="0.2">
      <c r="A1151" s="3">
        <v>1135</v>
      </c>
      <c r="B1151" s="4" t="str">
        <f t="shared" si="136"/>
        <v/>
      </c>
      <c r="C1151" s="4" t="str">
        <f t="shared" si="137"/>
        <v/>
      </c>
      <c r="D1151" s="4" t="str">
        <f t="shared" si="138"/>
        <v/>
      </c>
      <c r="E1151" s="5" t="str">
        <f t="shared" si="139"/>
        <v/>
      </c>
      <c r="F1151" s="6" t="str">
        <f t="shared" si="140"/>
        <v/>
      </c>
      <c r="G1151" s="7" t="str">
        <f t="shared" si="141"/>
        <v/>
      </c>
      <c r="H1151" s="7" t="str">
        <f t="shared" si="142"/>
        <v/>
      </c>
      <c r="I1151" s="8" t="str">
        <f t="shared" si="143"/>
        <v/>
      </c>
      <c r="L1151" t="str">
        <f>IFERROR(MATCH($C$5&amp;"|"&amp;RIGHT("000000"&amp;1135,6),LdgRankKeyA,0),"")</f>
        <v/>
      </c>
      <c r="M1151" t="str">
        <f>IFERROR(MATCH($C$5&amp;"|"&amp;RIGHT("000000"&amp;1135,6),LdgRankKeyB,0),"")</f>
        <v/>
      </c>
    </row>
    <row r="1152" spans="1:13" x14ac:dyDescent="0.2">
      <c r="A1152" s="9">
        <v>1136</v>
      </c>
      <c r="B1152" s="10" t="str">
        <f t="shared" si="136"/>
        <v/>
      </c>
      <c r="C1152" s="10" t="str">
        <f t="shared" si="137"/>
        <v/>
      </c>
      <c r="D1152" s="10" t="str">
        <f t="shared" si="138"/>
        <v/>
      </c>
      <c r="E1152" s="11" t="str">
        <f t="shared" si="139"/>
        <v/>
      </c>
      <c r="F1152" s="12" t="str">
        <f t="shared" si="140"/>
        <v/>
      </c>
      <c r="G1152" s="13" t="str">
        <f t="shared" si="141"/>
        <v/>
      </c>
      <c r="H1152" s="13" t="str">
        <f t="shared" si="142"/>
        <v/>
      </c>
      <c r="I1152" s="14" t="str">
        <f t="shared" si="143"/>
        <v/>
      </c>
      <c r="L1152" t="str">
        <f>IFERROR(MATCH($C$5&amp;"|"&amp;RIGHT("000000"&amp;1136,6),LdgRankKeyA,0),"")</f>
        <v/>
      </c>
      <c r="M1152" t="str">
        <f>IFERROR(MATCH($C$5&amp;"|"&amp;RIGHT("000000"&amp;1136,6),LdgRankKeyB,0),"")</f>
        <v/>
      </c>
    </row>
    <row r="1153" spans="1:13" x14ac:dyDescent="0.2">
      <c r="A1153" s="3">
        <v>1137</v>
      </c>
      <c r="B1153" s="4" t="str">
        <f t="shared" si="136"/>
        <v/>
      </c>
      <c r="C1153" s="4" t="str">
        <f t="shared" si="137"/>
        <v/>
      </c>
      <c r="D1153" s="4" t="str">
        <f t="shared" si="138"/>
        <v/>
      </c>
      <c r="E1153" s="5" t="str">
        <f t="shared" si="139"/>
        <v/>
      </c>
      <c r="F1153" s="6" t="str">
        <f t="shared" si="140"/>
        <v/>
      </c>
      <c r="G1153" s="7" t="str">
        <f t="shared" si="141"/>
        <v/>
      </c>
      <c r="H1153" s="7" t="str">
        <f t="shared" si="142"/>
        <v/>
      </c>
      <c r="I1153" s="8" t="str">
        <f t="shared" si="143"/>
        <v/>
      </c>
      <c r="L1153" t="str">
        <f>IFERROR(MATCH($C$5&amp;"|"&amp;RIGHT("000000"&amp;1137,6),LdgRankKeyA,0),"")</f>
        <v/>
      </c>
      <c r="M1153" t="str">
        <f>IFERROR(MATCH($C$5&amp;"|"&amp;RIGHT("000000"&amp;1137,6),LdgRankKeyB,0),"")</f>
        <v/>
      </c>
    </row>
    <row r="1154" spans="1:13" x14ac:dyDescent="0.2">
      <c r="A1154" s="9">
        <v>1138</v>
      </c>
      <c r="B1154" s="10" t="str">
        <f t="shared" si="136"/>
        <v/>
      </c>
      <c r="C1154" s="10" t="str">
        <f t="shared" si="137"/>
        <v/>
      </c>
      <c r="D1154" s="10" t="str">
        <f t="shared" si="138"/>
        <v/>
      </c>
      <c r="E1154" s="11" t="str">
        <f t="shared" si="139"/>
        <v/>
      </c>
      <c r="F1154" s="12" t="str">
        <f t="shared" si="140"/>
        <v/>
      </c>
      <c r="G1154" s="13" t="str">
        <f t="shared" si="141"/>
        <v/>
      </c>
      <c r="H1154" s="13" t="str">
        <f t="shared" si="142"/>
        <v/>
      </c>
      <c r="I1154" s="14" t="str">
        <f t="shared" si="143"/>
        <v/>
      </c>
      <c r="L1154" t="str">
        <f>IFERROR(MATCH($C$5&amp;"|"&amp;RIGHT("000000"&amp;1138,6),LdgRankKeyA,0),"")</f>
        <v/>
      </c>
      <c r="M1154" t="str">
        <f>IFERROR(MATCH($C$5&amp;"|"&amp;RIGHT("000000"&amp;1138,6),LdgRankKeyB,0),"")</f>
        <v/>
      </c>
    </row>
    <row r="1155" spans="1:13" x14ac:dyDescent="0.2">
      <c r="A1155" s="3">
        <v>1139</v>
      </c>
      <c r="B1155" s="4" t="str">
        <f t="shared" si="136"/>
        <v/>
      </c>
      <c r="C1155" s="4" t="str">
        <f t="shared" si="137"/>
        <v/>
      </c>
      <c r="D1155" s="4" t="str">
        <f t="shared" si="138"/>
        <v/>
      </c>
      <c r="E1155" s="5" t="str">
        <f t="shared" si="139"/>
        <v/>
      </c>
      <c r="F1155" s="6" t="str">
        <f t="shared" si="140"/>
        <v/>
      </c>
      <c r="G1155" s="7" t="str">
        <f t="shared" si="141"/>
        <v/>
      </c>
      <c r="H1155" s="7" t="str">
        <f t="shared" si="142"/>
        <v/>
      </c>
      <c r="I1155" s="8" t="str">
        <f t="shared" si="143"/>
        <v/>
      </c>
      <c r="L1155" t="str">
        <f>IFERROR(MATCH($C$5&amp;"|"&amp;RIGHT("000000"&amp;1139,6),LdgRankKeyA,0),"")</f>
        <v/>
      </c>
      <c r="M1155" t="str">
        <f>IFERROR(MATCH($C$5&amp;"|"&amp;RIGHT("000000"&amp;1139,6),LdgRankKeyB,0),"")</f>
        <v/>
      </c>
    </row>
    <row r="1156" spans="1:13" x14ac:dyDescent="0.2">
      <c r="A1156" s="9">
        <v>1140</v>
      </c>
      <c r="B1156" s="10" t="str">
        <f t="shared" si="136"/>
        <v/>
      </c>
      <c r="C1156" s="10" t="str">
        <f t="shared" si="137"/>
        <v/>
      </c>
      <c r="D1156" s="10" t="str">
        <f t="shared" si="138"/>
        <v/>
      </c>
      <c r="E1156" s="11" t="str">
        <f t="shared" si="139"/>
        <v/>
      </c>
      <c r="F1156" s="12" t="str">
        <f t="shared" si="140"/>
        <v/>
      </c>
      <c r="G1156" s="13" t="str">
        <f t="shared" si="141"/>
        <v/>
      </c>
      <c r="H1156" s="13" t="str">
        <f t="shared" si="142"/>
        <v/>
      </c>
      <c r="I1156" s="14" t="str">
        <f t="shared" si="143"/>
        <v/>
      </c>
      <c r="L1156" t="str">
        <f>IFERROR(MATCH($C$5&amp;"|"&amp;RIGHT("000000"&amp;1140,6),LdgRankKeyA,0),"")</f>
        <v/>
      </c>
      <c r="M1156" t="str">
        <f>IFERROR(MATCH($C$5&amp;"|"&amp;RIGHT("000000"&amp;1140,6),LdgRankKeyB,0),"")</f>
        <v/>
      </c>
    </row>
    <row r="1157" spans="1:13" x14ac:dyDescent="0.2">
      <c r="A1157" s="3">
        <v>1141</v>
      </c>
      <c r="B1157" s="4" t="str">
        <f t="shared" si="136"/>
        <v/>
      </c>
      <c r="C1157" s="4" t="str">
        <f t="shared" si="137"/>
        <v/>
      </c>
      <c r="D1157" s="4" t="str">
        <f t="shared" si="138"/>
        <v/>
      </c>
      <c r="E1157" s="5" t="str">
        <f t="shared" si="139"/>
        <v/>
      </c>
      <c r="F1157" s="6" t="str">
        <f t="shared" si="140"/>
        <v/>
      </c>
      <c r="G1157" s="7" t="str">
        <f t="shared" si="141"/>
        <v/>
      </c>
      <c r="H1157" s="7" t="str">
        <f t="shared" si="142"/>
        <v/>
      </c>
      <c r="I1157" s="8" t="str">
        <f t="shared" si="143"/>
        <v/>
      </c>
      <c r="L1157" t="str">
        <f>IFERROR(MATCH($C$5&amp;"|"&amp;RIGHT("000000"&amp;1141,6),LdgRankKeyA,0),"")</f>
        <v/>
      </c>
      <c r="M1157" t="str">
        <f>IFERROR(MATCH($C$5&amp;"|"&amp;RIGHT("000000"&amp;1141,6),LdgRankKeyB,0),"")</f>
        <v/>
      </c>
    </row>
    <row r="1158" spans="1:13" x14ac:dyDescent="0.2">
      <c r="A1158" s="9">
        <v>1142</v>
      </c>
      <c r="B1158" s="10" t="str">
        <f t="shared" si="136"/>
        <v/>
      </c>
      <c r="C1158" s="10" t="str">
        <f t="shared" si="137"/>
        <v/>
      </c>
      <c r="D1158" s="10" t="str">
        <f t="shared" si="138"/>
        <v/>
      </c>
      <c r="E1158" s="11" t="str">
        <f t="shared" si="139"/>
        <v/>
      </c>
      <c r="F1158" s="12" t="str">
        <f t="shared" si="140"/>
        <v/>
      </c>
      <c r="G1158" s="13" t="str">
        <f t="shared" si="141"/>
        <v/>
      </c>
      <c r="H1158" s="13" t="str">
        <f t="shared" si="142"/>
        <v/>
      </c>
      <c r="I1158" s="14" t="str">
        <f t="shared" si="143"/>
        <v/>
      </c>
      <c r="L1158" t="str">
        <f>IFERROR(MATCH($C$5&amp;"|"&amp;RIGHT("000000"&amp;1142,6),LdgRankKeyA,0),"")</f>
        <v/>
      </c>
      <c r="M1158" t="str">
        <f>IFERROR(MATCH($C$5&amp;"|"&amp;RIGHT("000000"&amp;1142,6),LdgRankKeyB,0),"")</f>
        <v/>
      </c>
    </row>
    <row r="1159" spans="1:13" x14ac:dyDescent="0.2">
      <c r="A1159" s="3">
        <v>1143</v>
      </c>
      <c r="B1159" s="4" t="str">
        <f t="shared" si="136"/>
        <v/>
      </c>
      <c r="C1159" s="4" t="str">
        <f t="shared" si="137"/>
        <v/>
      </c>
      <c r="D1159" s="4" t="str">
        <f t="shared" si="138"/>
        <v/>
      </c>
      <c r="E1159" s="5" t="str">
        <f t="shared" si="139"/>
        <v/>
      </c>
      <c r="F1159" s="6" t="str">
        <f t="shared" si="140"/>
        <v/>
      </c>
      <c r="G1159" s="7" t="str">
        <f t="shared" si="141"/>
        <v/>
      </c>
      <c r="H1159" s="7" t="str">
        <f t="shared" si="142"/>
        <v/>
      </c>
      <c r="I1159" s="8" t="str">
        <f t="shared" si="143"/>
        <v/>
      </c>
      <c r="L1159" t="str">
        <f>IFERROR(MATCH($C$5&amp;"|"&amp;RIGHT("000000"&amp;1143,6),LdgRankKeyA,0),"")</f>
        <v/>
      </c>
      <c r="M1159" t="str">
        <f>IFERROR(MATCH($C$5&amp;"|"&amp;RIGHT("000000"&amp;1143,6),LdgRankKeyB,0),"")</f>
        <v/>
      </c>
    </row>
    <row r="1160" spans="1:13" x14ac:dyDescent="0.2">
      <c r="A1160" s="9">
        <v>1144</v>
      </c>
      <c r="B1160" s="10" t="str">
        <f t="shared" si="136"/>
        <v/>
      </c>
      <c r="C1160" s="10" t="str">
        <f t="shared" si="137"/>
        <v/>
      </c>
      <c r="D1160" s="10" t="str">
        <f t="shared" si="138"/>
        <v/>
      </c>
      <c r="E1160" s="11" t="str">
        <f t="shared" si="139"/>
        <v/>
      </c>
      <c r="F1160" s="12" t="str">
        <f t="shared" si="140"/>
        <v/>
      </c>
      <c r="G1160" s="13" t="str">
        <f t="shared" si="141"/>
        <v/>
      </c>
      <c r="H1160" s="13" t="str">
        <f t="shared" si="142"/>
        <v/>
      </c>
      <c r="I1160" s="14" t="str">
        <f t="shared" si="143"/>
        <v/>
      </c>
      <c r="L1160" t="str">
        <f>IFERROR(MATCH($C$5&amp;"|"&amp;RIGHT("000000"&amp;1144,6),LdgRankKeyA,0),"")</f>
        <v/>
      </c>
      <c r="M1160" t="str">
        <f>IFERROR(MATCH($C$5&amp;"|"&amp;RIGHT("000000"&amp;1144,6),LdgRankKeyB,0),"")</f>
        <v/>
      </c>
    </row>
    <row r="1161" spans="1:13" x14ac:dyDescent="0.2">
      <c r="A1161" s="3">
        <v>1145</v>
      </c>
      <c r="B1161" s="4" t="str">
        <f t="shared" si="136"/>
        <v/>
      </c>
      <c r="C1161" s="4" t="str">
        <f t="shared" si="137"/>
        <v/>
      </c>
      <c r="D1161" s="4" t="str">
        <f t="shared" si="138"/>
        <v/>
      </c>
      <c r="E1161" s="5" t="str">
        <f t="shared" si="139"/>
        <v/>
      </c>
      <c r="F1161" s="6" t="str">
        <f t="shared" si="140"/>
        <v/>
      </c>
      <c r="G1161" s="7" t="str">
        <f t="shared" si="141"/>
        <v/>
      </c>
      <c r="H1161" s="7" t="str">
        <f t="shared" si="142"/>
        <v/>
      </c>
      <c r="I1161" s="8" t="str">
        <f t="shared" si="143"/>
        <v/>
      </c>
      <c r="L1161" t="str">
        <f>IFERROR(MATCH($C$5&amp;"|"&amp;RIGHT("000000"&amp;1145,6),LdgRankKeyA,0),"")</f>
        <v/>
      </c>
      <c r="M1161" t="str">
        <f>IFERROR(MATCH($C$5&amp;"|"&amp;RIGHT("000000"&amp;1145,6),LdgRankKeyB,0),"")</f>
        <v/>
      </c>
    </row>
    <row r="1162" spans="1:13" x14ac:dyDescent="0.2">
      <c r="A1162" s="9">
        <v>1146</v>
      </c>
      <c r="B1162" s="10" t="str">
        <f t="shared" si="136"/>
        <v/>
      </c>
      <c r="C1162" s="10" t="str">
        <f t="shared" si="137"/>
        <v/>
      </c>
      <c r="D1162" s="10" t="str">
        <f t="shared" si="138"/>
        <v/>
      </c>
      <c r="E1162" s="11" t="str">
        <f t="shared" si="139"/>
        <v/>
      </c>
      <c r="F1162" s="12" t="str">
        <f t="shared" si="140"/>
        <v/>
      </c>
      <c r="G1162" s="13" t="str">
        <f t="shared" si="141"/>
        <v/>
      </c>
      <c r="H1162" s="13" t="str">
        <f t="shared" si="142"/>
        <v/>
      </c>
      <c r="I1162" s="14" t="str">
        <f t="shared" si="143"/>
        <v/>
      </c>
      <c r="L1162" t="str">
        <f>IFERROR(MATCH($C$5&amp;"|"&amp;RIGHT("000000"&amp;1146,6),LdgRankKeyA,0),"")</f>
        <v/>
      </c>
      <c r="M1162" t="str">
        <f>IFERROR(MATCH($C$5&amp;"|"&amp;RIGHT("000000"&amp;1146,6),LdgRankKeyB,0),"")</f>
        <v/>
      </c>
    </row>
    <row r="1163" spans="1:13" x14ac:dyDescent="0.2">
      <c r="A1163" s="3">
        <v>1147</v>
      </c>
      <c r="B1163" s="4" t="str">
        <f t="shared" si="136"/>
        <v/>
      </c>
      <c r="C1163" s="4" t="str">
        <f t="shared" si="137"/>
        <v/>
      </c>
      <c r="D1163" s="4" t="str">
        <f t="shared" si="138"/>
        <v/>
      </c>
      <c r="E1163" s="5" t="str">
        <f t="shared" si="139"/>
        <v/>
      </c>
      <c r="F1163" s="6" t="str">
        <f t="shared" si="140"/>
        <v/>
      </c>
      <c r="G1163" s="7" t="str">
        <f t="shared" si="141"/>
        <v/>
      </c>
      <c r="H1163" s="7" t="str">
        <f t="shared" si="142"/>
        <v/>
      </c>
      <c r="I1163" s="8" t="str">
        <f t="shared" si="143"/>
        <v/>
      </c>
      <c r="L1163" t="str">
        <f>IFERROR(MATCH($C$5&amp;"|"&amp;RIGHT("000000"&amp;1147,6),LdgRankKeyA,0),"")</f>
        <v/>
      </c>
      <c r="M1163" t="str">
        <f>IFERROR(MATCH($C$5&amp;"|"&amp;RIGHT("000000"&amp;1147,6),LdgRankKeyB,0),"")</f>
        <v/>
      </c>
    </row>
    <row r="1164" spans="1:13" x14ac:dyDescent="0.2">
      <c r="A1164" s="9">
        <v>1148</v>
      </c>
      <c r="B1164" s="10" t="str">
        <f t="shared" si="136"/>
        <v/>
      </c>
      <c r="C1164" s="10" t="str">
        <f t="shared" si="137"/>
        <v/>
      </c>
      <c r="D1164" s="10" t="str">
        <f t="shared" si="138"/>
        <v/>
      </c>
      <c r="E1164" s="11" t="str">
        <f t="shared" si="139"/>
        <v/>
      </c>
      <c r="F1164" s="12" t="str">
        <f t="shared" si="140"/>
        <v/>
      </c>
      <c r="G1164" s="13" t="str">
        <f t="shared" si="141"/>
        <v/>
      </c>
      <c r="H1164" s="13" t="str">
        <f t="shared" si="142"/>
        <v/>
      </c>
      <c r="I1164" s="14" t="str">
        <f t="shared" si="143"/>
        <v/>
      </c>
      <c r="L1164" t="str">
        <f>IFERROR(MATCH($C$5&amp;"|"&amp;RIGHT("000000"&amp;1148,6),LdgRankKeyA,0),"")</f>
        <v/>
      </c>
      <c r="M1164" t="str">
        <f>IFERROR(MATCH($C$5&amp;"|"&amp;RIGHT("000000"&amp;1148,6),LdgRankKeyB,0),"")</f>
        <v/>
      </c>
    </row>
    <row r="1165" spans="1:13" x14ac:dyDescent="0.2">
      <c r="A1165" s="3">
        <v>1149</v>
      </c>
      <c r="B1165" s="4" t="str">
        <f t="shared" si="136"/>
        <v/>
      </c>
      <c r="C1165" s="4" t="str">
        <f t="shared" si="137"/>
        <v/>
      </c>
      <c r="D1165" s="4" t="str">
        <f t="shared" si="138"/>
        <v/>
      </c>
      <c r="E1165" s="5" t="str">
        <f t="shared" si="139"/>
        <v/>
      </c>
      <c r="F1165" s="6" t="str">
        <f t="shared" si="140"/>
        <v/>
      </c>
      <c r="G1165" s="7" t="str">
        <f t="shared" si="141"/>
        <v/>
      </c>
      <c r="H1165" s="7" t="str">
        <f t="shared" si="142"/>
        <v/>
      </c>
      <c r="I1165" s="8" t="str">
        <f t="shared" si="143"/>
        <v/>
      </c>
      <c r="L1165" t="str">
        <f>IFERROR(MATCH($C$5&amp;"|"&amp;RIGHT("000000"&amp;1149,6),LdgRankKeyA,0),"")</f>
        <v/>
      </c>
      <c r="M1165" t="str">
        <f>IFERROR(MATCH($C$5&amp;"|"&amp;RIGHT("000000"&amp;1149,6),LdgRankKeyB,0),"")</f>
        <v/>
      </c>
    </row>
    <row r="1166" spans="1:13" x14ac:dyDescent="0.2">
      <c r="A1166" s="9">
        <v>1150</v>
      </c>
      <c r="B1166" s="10" t="str">
        <f t="shared" si="136"/>
        <v/>
      </c>
      <c r="C1166" s="10" t="str">
        <f t="shared" si="137"/>
        <v/>
      </c>
      <c r="D1166" s="10" t="str">
        <f t="shared" si="138"/>
        <v/>
      </c>
      <c r="E1166" s="11" t="str">
        <f t="shared" si="139"/>
        <v/>
      </c>
      <c r="F1166" s="12" t="str">
        <f t="shared" si="140"/>
        <v/>
      </c>
      <c r="G1166" s="13" t="str">
        <f t="shared" si="141"/>
        <v/>
      </c>
      <c r="H1166" s="13" t="str">
        <f t="shared" si="142"/>
        <v/>
      </c>
      <c r="I1166" s="14" t="str">
        <f t="shared" si="143"/>
        <v/>
      </c>
      <c r="L1166" t="str">
        <f>IFERROR(MATCH($C$5&amp;"|"&amp;RIGHT("000000"&amp;1150,6),LdgRankKeyA,0),"")</f>
        <v/>
      </c>
      <c r="M1166" t="str">
        <f>IFERROR(MATCH($C$5&amp;"|"&amp;RIGHT("000000"&amp;1150,6),LdgRankKeyB,0),"")</f>
        <v/>
      </c>
    </row>
    <row r="1167" spans="1:13" x14ac:dyDescent="0.2">
      <c r="A1167" s="3">
        <v>1151</v>
      </c>
      <c r="B1167" s="4" t="str">
        <f t="shared" si="136"/>
        <v/>
      </c>
      <c r="C1167" s="4" t="str">
        <f t="shared" si="137"/>
        <v/>
      </c>
      <c r="D1167" s="4" t="str">
        <f t="shared" si="138"/>
        <v/>
      </c>
      <c r="E1167" s="5" t="str">
        <f t="shared" si="139"/>
        <v/>
      </c>
      <c r="F1167" s="6" t="str">
        <f t="shared" si="140"/>
        <v/>
      </c>
      <c r="G1167" s="7" t="str">
        <f t="shared" si="141"/>
        <v/>
      </c>
      <c r="H1167" s="7" t="str">
        <f t="shared" si="142"/>
        <v/>
      </c>
      <c r="I1167" s="8" t="str">
        <f t="shared" si="143"/>
        <v/>
      </c>
      <c r="L1167" t="str">
        <f>IFERROR(MATCH($C$5&amp;"|"&amp;RIGHT("000000"&amp;1151,6),LdgRankKeyA,0),"")</f>
        <v/>
      </c>
      <c r="M1167" t="str">
        <f>IFERROR(MATCH($C$5&amp;"|"&amp;RIGHT("000000"&amp;1151,6),LdgRankKeyB,0),"")</f>
        <v/>
      </c>
    </row>
    <row r="1168" spans="1:13" x14ac:dyDescent="0.2">
      <c r="A1168" s="9">
        <v>1152</v>
      </c>
      <c r="B1168" s="10" t="str">
        <f t="shared" si="136"/>
        <v/>
      </c>
      <c r="C1168" s="10" t="str">
        <f t="shared" si="137"/>
        <v/>
      </c>
      <c r="D1168" s="10" t="str">
        <f t="shared" si="138"/>
        <v/>
      </c>
      <c r="E1168" s="11" t="str">
        <f t="shared" si="139"/>
        <v/>
      </c>
      <c r="F1168" s="12" t="str">
        <f t="shared" si="140"/>
        <v/>
      </c>
      <c r="G1168" s="13" t="str">
        <f t="shared" si="141"/>
        <v/>
      </c>
      <c r="H1168" s="13" t="str">
        <f t="shared" si="142"/>
        <v/>
      </c>
      <c r="I1168" s="14" t="str">
        <f t="shared" si="143"/>
        <v/>
      </c>
      <c r="L1168" t="str">
        <f>IFERROR(MATCH($C$5&amp;"|"&amp;RIGHT("000000"&amp;1152,6),LdgRankKeyA,0),"")</f>
        <v/>
      </c>
      <c r="M1168" t="str">
        <f>IFERROR(MATCH($C$5&amp;"|"&amp;RIGHT("000000"&amp;1152,6),LdgRankKeyB,0),"")</f>
        <v/>
      </c>
    </row>
    <row r="1169" spans="1:13" x14ac:dyDescent="0.2">
      <c r="A1169" s="3">
        <v>1153</v>
      </c>
      <c r="B1169" s="4" t="str">
        <f t="shared" ref="B1169:B1232" si="144">IF(AND($L1169="",$M1169=""),"",IF($L1169&lt;&gt;"",INDEX(SCNormDate,$L1169),INDEX(LdgDateB,$M1169)))</f>
        <v/>
      </c>
      <c r="C1169" s="4" t="str">
        <f t="shared" ref="C1169:C1232" si="145">IF($L1169&lt;&gt;"",INDEX(SCOp,$L1169),IF($M1169&lt;&gt;"","پرداخت بانکی",""))</f>
        <v/>
      </c>
      <c r="D1169" s="4" t="str">
        <f t="shared" ref="D1169:D1232" si="146">IF($L1169&lt;&gt;"",IF(INDEX(SCDoc,$L1169)="","—",INDEX(SCDoc,$L1169)),IF($M1169&lt;&gt;"",INDEX(LdgBankB,$M1169),""))</f>
        <v/>
      </c>
      <c r="E1169" s="5" t="str">
        <f t="shared" ref="E1169:E1232" si="147">IF($L1169&lt;&gt;"",IF(INDEX(SCCitrus,$L1169)&amp;INDEX(SCNotes,$L1169)="","",IF(INDEX(SCCitrus,$L1169)="","",INDEX(SCCitrus,$L1169))&amp;IF(INDEX(SCNotes,$L1169)="",""," — "&amp;INDEX(SCNotes,$L1169))),IF($M1169&lt;&gt;"",IF(INDEX(LdgNoteB,$M1169)="","—",INDEX(LdgNoteB,$M1169)),""))</f>
        <v/>
      </c>
      <c r="F1169" s="6" t="str">
        <f t="shared" ref="F1169:F1232" si="148">IF($L1169&lt;&gt;"",IF(INDEX(SCNet,$L1169)=0,"",INDEX(SCNet,$L1169)),"")</f>
        <v/>
      </c>
      <c r="G1169" s="7" t="str">
        <f t="shared" ref="G1169:G1232" si="149">IF($L1169&lt;&gt;"",IF(INDEX(SCOp,$L1169)="مرجوعی فروش","",IF(INDEX(SCAmount,$L1169)&lt;=0,"",INDEX(SCAmount,$L1169))),IF($M1169&lt;&gt;"",IF(INDEX(LdgWitB,$M1169)=0,"",INDEX(LdgWitB,$M1169)),""))</f>
        <v/>
      </c>
      <c r="H1169" s="7" t="str">
        <f t="shared" ref="H1169:H1232" si="150">IF($L1169&lt;&gt;"",IF(INDEX(SCOp,$L1169)="مرجوعی فروش",IF(INDEX(SCAmount,$L1169)=0,"",-INDEX(SCAmount,$L1169)),""),IF($M1169&lt;&gt;"",IF(INDEX(LdgDepB,$M1169)=0,"",INDEX(LdgDepB,$M1169)),""))</f>
        <v/>
      </c>
      <c r="I1169" s="8" t="str">
        <f t="shared" si="143"/>
        <v/>
      </c>
      <c r="L1169" t="str">
        <f>IFERROR(MATCH($C$5&amp;"|"&amp;RIGHT("000000"&amp;1153,6),LdgRankKeyA,0),"")</f>
        <v/>
      </c>
      <c r="M1169" t="str">
        <f>IFERROR(MATCH($C$5&amp;"|"&amp;RIGHT("000000"&amp;1153,6),LdgRankKeyB,0),"")</f>
        <v/>
      </c>
    </row>
    <row r="1170" spans="1:13" x14ac:dyDescent="0.2">
      <c r="A1170" s="9">
        <v>1154</v>
      </c>
      <c r="B1170" s="10" t="str">
        <f t="shared" si="144"/>
        <v/>
      </c>
      <c r="C1170" s="10" t="str">
        <f t="shared" si="145"/>
        <v/>
      </c>
      <c r="D1170" s="10" t="str">
        <f t="shared" si="146"/>
        <v/>
      </c>
      <c r="E1170" s="11" t="str">
        <f t="shared" si="147"/>
        <v/>
      </c>
      <c r="F1170" s="12" t="str">
        <f t="shared" si="148"/>
        <v/>
      </c>
      <c r="G1170" s="13" t="str">
        <f t="shared" si="149"/>
        <v/>
      </c>
      <c r="H1170" s="13" t="str">
        <f t="shared" si="150"/>
        <v/>
      </c>
      <c r="I1170" s="14" t="str">
        <f t="shared" ref="I1170:I1233" si="151">IF($B1170="","",IF($I1169="",$C$10,$I1169)+IF($G1170="",0,$G1170)-IF($H1170="",0,$H1170))</f>
        <v/>
      </c>
      <c r="L1170" t="str">
        <f>IFERROR(MATCH($C$5&amp;"|"&amp;RIGHT("000000"&amp;1154,6),LdgRankKeyA,0),"")</f>
        <v/>
      </c>
      <c r="M1170" t="str">
        <f>IFERROR(MATCH($C$5&amp;"|"&amp;RIGHT("000000"&amp;1154,6),LdgRankKeyB,0),"")</f>
        <v/>
      </c>
    </row>
    <row r="1171" spans="1:13" x14ac:dyDescent="0.2">
      <c r="A1171" s="3">
        <v>1155</v>
      </c>
      <c r="B1171" s="4" t="str">
        <f t="shared" si="144"/>
        <v/>
      </c>
      <c r="C1171" s="4" t="str">
        <f t="shared" si="145"/>
        <v/>
      </c>
      <c r="D1171" s="4" t="str">
        <f t="shared" si="146"/>
        <v/>
      </c>
      <c r="E1171" s="5" t="str">
        <f t="shared" si="147"/>
        <v/>
      </c>
      <c r="F1171" s="6" t="str">
        <f t="shared" si="148"/>
        <v/>
      </c>
      <c r="G1171" s="7" t="str">
        <f t="shared" si="149"/>
        <v/>
      </c>
      <c r="H1171" s="7" t="str">
        <f t="shared" si="150"/>
        <v/>
      </c>
      <c r="I1171" s="8" t="str">
        <f t="shared" si="151"/>
        <v/>
      </c>
      <c r="L1171" t="str">
        <f>IFERROR(MATCH($C$5&amp;"|"&amp;RIGHT("000000"&amp;1155,6),LdgRankKeyA,0),"")</f>
        <v/>
      </c>
      <c r="M1171" t="str">
        <f>IFERROR(MATCH($C$5&amp;"|"&amp;RIGHT("000000"&amp;1155,6),LdgRankKeyB,0),"")</f>
        <v/>
      </c>
    </row>
    <row r="1172" spans="1:13" x14ac:dyDescent="0.2">
      <c r="A1172" s="9">
        <v>1156</v>
      </c>
      <c r="B1172" s="10" t="str">
        <f t="shared" si="144"/>
        <v/>
      </c>
      <c r="C1172" s="10" t="str">
        <f t="shared" si="145"/>
        <v/>
      </c>
      <c r="D1172" s="10" t="str">
        <f t="shared" si="146"/>
        <v/>
      </c>
      <c r="E1172" s="11" t="str">
        <f t="shared" si="147"/>
        <v/>
      </c>
      <c r="F1172" s="12" t="str">
        <f t="shared" si="148"/>
        <v/>
      </c>
      <c r="G1172" s="13" t="str">
        <f t="shared" si="149"/>
        <v/>
      </c>
      <c r="H1172" s="13" t="str">
        <f t="shared" si="150"/>
        <v/>
      </c>
      <c r="I1172" s="14" t="str">
        <f t="shared" si="151"/>
        <v/>
      </c>
      <c r="L1172" t="str">
        <f>IFERROR(MATCH($C$5&amp;"|"&amp;RIGHT("000000"&amp;1156,6),LdgRankKeyA,0),"")</f>
        <v/>
      </c>
      <c r="M1172" t="str">
        <f>IFERROR(MATCH($C$5&amp;"|"&amp;RIGHT("000000"&amp;1156,6),LdgRankKeyB,0),"")</f>
        <v/>
      </c>
    </row>
    <row r="1173" spans="1:13" x14ac:dyDescent="0.2">
      <c r="A1173" s="3">
        <v>1157</v>
      </c>
      <c r="B1173" s="4" t="str">
        <f t="shared" si="144"/>
        <v/>
      </c>
      <c r="C1173" s="4" t="str">
        <f t="shared" si="145"/>
        <v/>
      </c>
      <c r="D1173" s="4" t="str">
        <f t="shared" si="146"/>
        <v/>
      </c>
      <c r="E1173" s="5" t="str">
        <f t="shared" si="147"/>
        <v/>
      </c>
      <c r="F1173" s="6" t="str">
        <f t="shared" si="148"/>
        <v/>
      </c>
      <c r="G1173" s="7" t="str">
        <f t="shared" si="149"/>
        <v/>
      </c>
      <c r="H1173" s="7" t="str">
        <f t="shared" si="150"/>
        <v/>
      </c>
      <c r="I1173" s="8" t="str">
        <f t="shared" si="151"/>
        <v/>
      </c>
      <c r="L1173" t="str">
        <f>IFERROR(MATCH($C$5&amp;"|"&amp;RIGHT("000000"&amp;1157,6),LdgRankKeyA,0),"")</f>
        <v/>
      </c>
      <c r="M1173" t="str">
        <f>IFERROR(MATCH($C$5&amp;"|"&amp;RIGHT("000000"&amp;1157,6),LdgRankKeyB,0),"")</f>
        <v/>
      </c>
    </row>
    <row r="1174" spans="1:13" x14ac:dyDescent="0.2">
      <c r="A1174" s="9">
        <v>1158</v>
      </c>
      <c r="B1174" s="10" t="str">
        <f t="shared" si="144"/>
        <v/>
      </c>
      <c r="C1174" s="10" t="str">
        <f t="shared" si="145"/>
        <v/>
      </c>
      <c r="D1174" s="10" t="str">
        <f t="shared" si="146"/>
        <v/>
      </c>
      <c r="E1174" s="11" t="str">
        <f t="shared" si="147"/>
        <v/>
      </c>
      <c r="F1174" s="12" t="str">
        <f t="shared" si="148"/>
        <v/>
      </c>
      <c r="G1174" s="13" t="str">
        <f t="shared" si="149"/>
        <v/>
      </c>
      <c r="H1174" s="13" t="str">
        <f t="shared" si="150"/>
        <v/>
      </c>
      <c r="I1174" s="14" t="str">
        <f t="shared" si="151"/>
        <v/>
      </c>
      <c r="L1174" t="str">
        <f>IFERROR(MATCH($C$5&amp;"|"&amp;RIGHT("000000"&amp;1158,6),LdgRankKeyA,0),"")</f>
        <v/>
      </c>
      <c r="M1174" t="str">
        <f>IFERROR(MATCH($C$5&amp;"|"&amp;RIGHT("000000"&amp;1158,6),LdgRankKeyB,0),"")</f>
        <v/>
      </c>
    </row>
    <row r="1175" spans="1:13" x14ac:dyDescent="0.2">
      <c r="A1175" s="3">
        <v>1159</v>
      </c>
      <c r="B1175" s="4" t="str">
        <f t="shared" si="144"/>
        <v/>
      </c>
      <c r="C1175" s="4" t="str">
        <f t="shared" si="145"/>
        <v/>
      </c>
      <c r="D1175" s="4" t="str">
        <f t="shared" si="146"/>
        <v/>
      </c>
      <c r="E1175" s="5" t="str">
        <f t="shared" si="147"/>
        <v/>
      </c>
      <c r="F1175" s="6" t="str">
        <f t="shared" si="148"/>
        <v/>
      </c>
      <c r="G1175" s="7" t="str">
        <f t="shared" si="149"/>
        <v/>
      </c>
      <c r="H1175" s="7" t="str">
        <f t="shared" si="150"/>
        <v/>
      </c>
      <c r="I1175" s="8" t="str">
        <f t="shared" si="151"/>
        <v/>
      </c>
      <c r="L1175" t="str">
        <f>IFERROR(MATCH($C$5&amp;"|"&amp;RIGHT("000000"&amp;1159,6),LdgRankKeyA,0),"")</f>
        <v/>
      </c>
      <c r="M1175" t="str">
        <f>IFERROR(MATCH($C$5&amp;"|"&amp;RIGHT("000000"&amp;1159,6),LdgRankKeyB,0),"")</f>
        <v/>
      </c>
    </row>
    <row r="1176" spans="1:13" x14ac:dyDescent="0.2">
      <c r="A1176" s="9">
        <v>1160</v>
      </c>
      <c r="B1176" s="10" t="str">
        <f t="shared" si="144"/>
        <v/>
      </c>
      <c r="C1176" s="10" t="str">
        <f t="shared" si="145"/>
        <v/>
      </c>
      <c r="D1176" s="10" t="str">
        <f t="shared" si="146"/>
        <v/>
      </c>
      <c r="E1176" s="11" t="str">
        <f t="shared" si="147"/>
        <v/>
      </c>
      <c r="F1176" s="12" t="str">
        <f t="shared" si="148"/>
        <v/>
      </c>
      <c r="G1176" s="13" t="str">
        <f t="shared" si="149"/>
        <v/>
      </c>
      <c r="H1176" s="13" t="str">
        <f t="shared" si="150"/>
        <v/>
      </c>
      <c r="I1176" s="14" t="str">
        <f t="shared" si="151"/>
        <v/>
      </c>
      <c r="L1176" t="str">
        <f>IFERROR(MATCH($C$5&amp;"|"&amp;RIGHT("000000"&amp;1160,6),LdgRankKeyA,0),"")</f>
        <v/>
      </c>
      <c r="M1176" t="str">
        <f>IFERROR(MATCH($C$5&amp;"|"&amp;RIGHT("000000"&amp;1160,6),LdgRankKeyB,0),"")</f>
        <v/>
      </c>
    </row>
    <row r="1177" spans="1:13" x14ac:dyDescent="0.2">
      <c r="A1177" s="3">
        <v>1161</v>
      </c>
      <c r="B1177" s="4" t="str">
        <f t="shared" si="144"/>
        <v/>
      </c>
      <c r="C1177" s="4" t="str">
        <f t="shared" si="145"/>
        <v/>
      </c>
      <c r="D1177" s="4" t="str">
        <f t="shared" si="146"/>
        <v/>
      </c>
      <c r="E1177" s="5" t="str">
        <f t="shared" si="147"/>
        <v/>
      </c>
      <c r="F1177" s="6" t="str">
        <f t="shared" si="148"/>
        <v/>
      </c>
      <c r="G1177" s="7" t="str">
        <f t="shared" si="149"/>
        <v/>
      </c>
      <c r="H1177" s="7" t="str">
        <f t="shared" si="150"/>
        <v/>
      </c>
      <c r="I1177" s="8" t="str">
        <f t="shared" si="151"/>
        <v/>
      </c>
      <c r="L1177" t="str">
        <f>IFERROR(MATCH($C$5&amp;"|"&amp;RIGHT("000000"&amp;1161,6),LdgRankKeyA,0),"")</f>
        <v/>
      </c>
      <c r="M1177" t="str">
        <f>IFERROR(MATCH($C$5&amp;"|"&amp;RIGHT("000000"&amp;1161,6),LdgRankKeyB,0),"")</f>
        <v/>
      </c>
    </row>
    <row r="1178" spans="1:13" x14ac:dyDescent="0.2">
      <c r="A1178" s="9">
        <v>1162</v>
      </c>
      <c r="B1178" s="10" t="str">
        <f t="shared" si="144"/>
        <v/>
      </c>
      <c r="C1178" s="10" t="str">
        <f t="shared" si="145"/>
        <v/>
      </c>
      <c r="D1178" s="10" t="str">
        <f t="shared" si="146"/>
        <v/>
      </c>
      <c r="E1178" s="11" t="str">
        <f t="shared" si="147"/>
        <v/>
      </c>
      <c r="F1178" s="12" t="str">
        <f t="shared" si="148"/>
        <v/>
      </c>
      <c r="G1178" s="13" t="str">
        <f t="shared" si="149"/>
        <v/>
      </c>
      <c r="H1178" s="13" t="str">
        <f t="shared" si="150"/>
        <v/>
      </c>
      <c r="I1178" s="14" t="str">
        <f t="shared" si="151"/>
        <v/>
      </c>
      <c r="L1178" t="str">
        <f>IFERROR(MATCH($C$5&amp;"|"&amp;RIGHT("000000"&amp;1162,6),LdgRankKeyA,0),"")</f>
        <v/>
      </c>
      <c r="M1178" t="str">
        <f>IFERROR(MATCH($C$5&amp;"|"&amp;RIGHT("000000"&amp;1162,6),LdgRankKeyB,0),"")</f>
        <v/>
      </c>
    </row>
    <row r="1179" spans="1:13" x14ac:dyDescent="0.2">
      <c r="A1179" s="3">
        <v>1163</v>
      </c>
      <c r="B1179" s="4" t="str">
        <f t="shared" si="144"/>
        <v/>
      </c>
      <c r="C1179" s="4" t="str">
        <f t="shared" si="145"/>
        <v/>
      </c>
      <c r="D1179" s="4" t="str">
        <f t="shared" si="146"/>
        <v/>
      </c>
      <c r="E1179" s="5" t="str">
        <f t="shared" si="147"/>
        <v/>
      </c>
      <c r="F1179" s="6" t="str">
        <f t="shared" si="148"/>
        <v/>
      </c>
      <c r="G1179" s="7" t="str">
        <f t="shared" si="149"/>
        <v/>
      </c>
      <c r="H1179" s="7" t="str">
        <f t="shared" si="150"/>
        <v/>
      </c>
      <c r="I1179" s="8" t="str">
        <f t="shared" si="151"/>
        <v/>
      </c>
      <c r="L1179" t="str">
        <f>IFERROR(MATCH($C$5&amp;"|"&amp;RIGHT("000000"&amp;1163,6),LdgRankKeyA,0),"")</f>
        <v/>
      </c>
      <c r="M1179" t="str">
        <f>IFERROR(MATCH($C$5&amp;"|"&amp;RIGHT("000000"&amp;1163,6),LdgRankKeyB,0),"")</f>
        <v/>
      </c>
    </row>
    <row r="1180" spans="1:13" x14ac:dyDescent="0.2">
      <c r="A1180" s="9">
        <v>1164</v>
      </c>
      <c r="B1180" s="10" t="str">
        <f t="shared" si="144"/>
        <v/>
      </c>
      <c r="C1180" s="10" t="str">
        <f t="shared" si="145"/>
        <v/>
      </c>
      <c r="D1180" s="10" t="str">
        <f t="shared" si="146"/>
        <v/>
      </c>
      <c r="E1180" s="11" t="str">
        <f t="shared" si="147"/>
        <v/>
      </c>
      <c r="F1180" s="12" t="str">
        <f t="shared" si="148"/>
        <v/>
      </c>
      <c r="G1180" s="13" t="str">
        <f t="shared" si="149"/>
        <v/>
      </c>
      <c r="H1180" s="13" t="str">
        <f t="shared" si="150"/>
        <v/>
      </c>
      <c r="I1180" s="14" t="str">
        <f t="shared" si="151"/>
        <v/>
      </c>
      <c r="L1180" t="str">
        <f>IFERROR(MATCH($C$5&amp;"|"&amp;RIGHT("000000"&amp;1164,6),LdgRankKeyA,0),"")</f>
        <v/>
      </c>
      <c r="M1180" t="str">
        <f>IFERROR(MATCH($C$5&amp;"|"&amp;RIGHT("000000"&amp;1164,6),LdgRankKeyB,0),"")</f>
        <v/>
      </c>
    </row>
    <row r="1181" spans="1:13" x14ac:dyDescent="0.2">
      <c r="A1181" s="3">
        <v>1165</v>
      </c>
      <c r="B1181" s="4" t="str">
        <f t="shared" si="144"/>
        <v/>
      </c>
      <c r="C1181" s="4" t="str">
        <f t="shared" si="145"/>
        <v/>
      </c>
      <c r="D1181" s="4" t="str">
        <f t="shared" si="146"/>
        <v/>
      </c>
      <c r="E1181" s="5" t="str">
        <f t="shared" si="147"/>
        <v/>
      </c>
      <c r="F1181" s="6" t="str">
        <f t="shared" si="148"/>
        <v/>
      </c>
      <c r="G1181" s="7" t="str">
        <f t="shared" si="149"/>
        <v/>
      </c>
      <c r="H1181" s="7" t="str">
        <f t="shared" si="150"/>
        <v/>
      </c>
      <c r="I1181" s="8" t="str">
        <f t="shared" si="151"/>
        <v/>
      </c>
      <c r="L1181" t="str">
        <f>IFERROR(MATCH($C$5&amp;"|"&amp;RIGHT("000000"&amp;1165,6),LdgRankKeyA,0),"")</f>
        <v/>
      </c>
      <c r="M1181" t="str">
        <f>IFERROR(MATCH($C$5&amp;"|"&amp;RIGHT("000000"&amp;1165,6),LdgRankKeyB,0),"")</f>
        <v/>
      </c>
    </row>
    <row r="1182" spans="1:13" x14ac:dyDescent="0.2">
      <c r="A1182" s="9">
        <v>1166</v>
      </c>
      <c r="B1182" s="10" t="str">
        <f t="shared" si="144"/>
        <v/>
      </c>
      <c r="C1182" s="10" t="str">
        <f t="shared" si="145"/>
        <v/>
      </c>
      <c r="D1182" s="10" t="str">
        <f t="shared" si="146"/>
        <v/>
      </c>
      <c r="E1182" s="11" t="str">
        <f t="shared" si="147"/>
        <v/>
      </c>
      <c r="F1182" s="12" t="str">
        <f t="shared" si="148"/>
        <v/>
      </c>
      <c r="G1182" s="13" t="str">
        <f t="shared" si="149"/>
        <v/>
      </c>
      <c r="H1182" s="13" t="str">
        <f t="shared" si="150"/>
        <v/>
      </c>
      <c r="I1182" s="14" t="str">
        <f t="shared" si="151"/>
        <v/>
      </c>
      <c r="L1182" t="str">
        <f>IFERROR(MATCH($C$5&amp;"|"&amp;RIGHT("000000"&amp;1166,6),LdgRankKeyA,0),"")</f>
        <v/>
      </c>
      <c r="M1182" t="str">
        <f>IFERROR(MATCH($C$5&amp;"|"&amp;RIGHT("000000"&amp;1166,6),LdgRankKeyB,0),"")</f>
        <v/>
      </c>
    </row>
    <row r="1183" spans="1:13" x14ac:dyDescent="0.2">
      <c r="A1183" s="3">
        <v>1167</v>
      </c>
      <c r="B1183" s="4" t="str">
        <f t="shared" si="144"/>
        <v/>
      </c>
      <c r="C1183" s="4" t="str">
        <f t="shared" si="145"/>
        <v/>
      </c>
      <c r="D1183" s="4" t="str">
        <f t="shared" si="146"/>
        <v/>
      </c>
      <c r="E1183" s="5" t="str">
        <f t="shared" si="147"/>
        <v/>
      </c>
      <c r="F1183" s="6" t="str">
        <f t="shared" si="148"/>
        <v/>
      </c>
      <c r="G1183" s="7" t="str">
        <f t="shared" si="149"/>
        <v/>
      </c>
      <c r="H1183" s="7" t="str">
        <f t="shared" si="150"/>
        <v/>
      </c>
      <c r="I1183" s="8" t="str">
        <f t="shared" si="151"/>
        <v/>
      </c>
      <c r="L1183" t="str">
        <f>IFERROR(MATCH($C$5&amp;"|"&amp;RIGHT("000000"&amp;1167,6),LdgRankKeyA,0),"")</f>
        <v/>
      </c>
      <c r="M1183" t="str">
        <f>IFERROR(MATCH($C$5&amp;"|"&amp;RIGHT("000000"&amp;1167,6),LdgRankKeyB,0),"")</f>
        <v/>
      </c>
    </row>
    <row r="1184" spans="1:13" x14ac:dyDescent="0.2">
      <c r="A1184" s="9">
        <v>1168</v>
      </c>
      <c r="B1184" s="10" t="str">
        <f t="shared" si="144"/>
        <v/>
      </c>
      <c r="C1184" s="10" t="str">
        <f t="shared" si="145"/>
        <v/>
      </c>
      <c r="D1184" s="10" t="str">
        <f t="shared" si="146"/>
        <v/>
      </c>
      <c r="E1184" s="11" t="str">
        <f t="shared" si="147"/>
        <v/>
      </c>
      <c r="F1184" s="12" t="str">
        <f t="shared" si="148"/>
        <v/>
      </c>
      <c r="G1184" s="13" t="str">
        <f t="shared" si="149"/>
        <v/>
      </c>
      <c r="H1184" s="13" t="str">
        <f t="shared" si="150"/>
        <v/>
      </c>
      <c r="I1184" s="14" t="str">
        <f t="shared" si="151"/>
        <v/>
      </c>
      <c r="L1184" t="str">
        <f>IFERROR(MATCH($C$5&amp;"|"&amp;RIGHT("000000"&amp;1168,6),LdgRankKeyA,0),"")</f>
        <v/>
      </c>
      <c r="M1184" t="str">
        <f>IFERROR(MATCH($C$5&amp;"|"&amp;RIGHT("000000"&amp;1168,6),LdgRankKeyB,0),"")</f>
        <v/>
      </c>
    </row>
    <row r="1185" spans="1:13" x14ac:dyDescent="0.2">
      <c r="A1185" s="3">
        <v>1169</v>
      </c>
      <c r="B1185" s="4" t="str">
        <f t="shared" si="144"/>
        <v/>
      </c>
      <c r="C1185" s="4" t="str">
        <f t="shared" si="145"/>
        <v/>
      </c>
      <c r="D1185" s="4" t="str">
        <f t="shared" si="146"/>
        <v/>
      </c>
      <c r="E1185" s="5" t="str">
        <f t="shared" si="147"/>
        <v/>
      </c>
      <c r="F1185" s="6" t="str">
        <f t="shared" si="148"/>
        <v/>
      </c>
      <c r="G1185" s="7" t="str">
        <f t="shared" si="149"/>
        <v/>
      </c>
      <c r="H1185" s="7" t="str">
        <f t="shared" si="150"/>
        <v/>
      </c>
      <c r="I1185" s="8" t="str">
        <f t="shared" si="151"/>
        <v/>
      </c>
      <c r="L1185" t="str">
        <f>IFERROR(MATCH($C$5&amp;"|"&amp;RIGHT("000000"&amp;1169,6),LdgRankKeyA,0),"")</f>
        <v/>
      </c>
      <c r="M1185" t="str">
        <f>IFERROR(MATCH($C$5&amp;"|"&amp;RIGHT("000000"&amp;1169,6),LdgRankKeyB,0),"")</f>
        <v/>
      </c>
    </row>
    <row r="1186" spans="1:13" x14ac:dyDescent="0.2">
      <c r="A1186" s="9">
        <v>1170</v>
      </c>
      <c r="B1186" s="10" t="str">
        <f t="shared" si="144"/>
        <v/>
      </c>
      <c r="C1186" s="10" t="str">
        <f t="shared" si="145"/>
        <v/>
      </c>
      <c r="D1186" s="10" t="str">
        <f t="shared" si="146"/>
        <v/>
      </c>
      <c r="E1186" s="11" t="str">
        <f t="shared" si="147"/>
        <v/>
      </c>
      <c r="F1186" s="12" t="str">
        <f t="shared" si="148"/>
        <v/>
      </c>
      <c r="G1186" s="13" t="str">
        <f t="shared" si="149"/>
        <v/>
      </c>
      <c r="H1186" s="13" t="str">
        <f t="shared" si="150"/>
        <v/>
      </c>
      <c r="I1186" s="14" t="str">
        <f t="shared" si="151"/>
        <v/>
      </c>
      <c r="L1186" t="str">
        <f>IFERROR(MATCH($C$5&amp;"|"&amp;RIGHT("000000"&amp;1170,6),LdgRankKeyA,0),"")</f>
        <v/>
      </c>
      <c r="M1186" t="str">
        <f>IFERROR(MATCH($C$5&amp;"|"&amp;RIGHT("000000"&amp;1170,6),LdgRankKeyB,0),"")</f>
        <v/>
      </c>
    </row>
    <row r="1187" spans="1:13" x14ac:dyDescent="0.2">
      <c r="A1187" s="3">
        <v>1171</v>
      </c>
      <c r="B1187" s="4" t="str">
        <f t="shared" si="144"/>
        <v/>
      </c>
      <c r="C1187" s="4" t="str">
        <f t="shared" si="145"/>
        <v/>
      </c>
      <c r="D1187" s="4" t="str">
        <f t="shared" si="146"/>
        <v/>
      </c>
      <c r="E1187" s="5" t="str">
        <f t="shared" si="147"/>
        <v/>
      </c>
      <c r="F1187" s="6" t="str">
        <f t="shared" si="148"/>
        <v/>
      </c>
      <c r="G1187" s="7" t="str">
        <f t="shared" si="149"/>
        <v/>
      </c>
      <c r="H1187" s="7" t="str">
        <f t="shared" si="150"/>
        <v/>
      </c>
      <c r="I1187" s="8" t="str">
        <f t="shared" si="151"/>
        <v/>
      </c>
      <c r="L1187" t="str">
        <f>IFERROR(MATCH($C$5&amp;"|"&amp;RIGHT("000000"&amp;1171,6),LdgRankKeyA,0),"")</f>
        <v/>
      </c>
      <c r="M1187" t="str">
        <f>IFERROR(MATCH($C$5&amp;"|"&amp;RIGHT("000000"&amp;1171,6),LdgRankKeyB,0),"")</f>
        <v/>
      </c>
    </row>
    <row r="1188" spans="1:13" x14ac:dyDescent="0.2">
      <c r="A1188" s="9">
        <v>1172</v>
      </c>
      <c r="B1188" s="10" t="str">
        <f t="shared" si="144"/>
        <v/>
      </c>
      <c r="C1188" s="10" t="str">
        <f t="shared" si="145"/>
        <v/>
      </c>
      <c r="D1188" s="10" t="str">
        <f t="shared" si="146"/>
        <v/>
      </c>
      <c r="E1188" s="11" t="str">
        <f t="shared" si="147"/>
        <v/>
      </c>
      <c r="F1188" s="12" t="str">
        <f t="shared" si="148"/>
        <v/>
      </c>
      <c r="G1188" s="13" t="str">
        <f t="shared" si="149"/>
        <v/>
      </c>
      <c r="H1188" s="13" t="str">
        <f t="shared" si="150"/>
        <v/>
      </c>
      <c r="I1188" s="14" t="str">
        <f t="shared" si="151"/>
        <v/>
      </c>
      <c r="L1188" t="str">
        <f>IFERROR(MATCH($C$5&amp;"|"&amp;RIGHT("000000"&amp;1172,6),LdgRankKeyA,0),"")</f>
        <v/>
      </c>
      <c r="M1188" t="str">
        <f>IFERROR(MATCH($C$5&amp;"|"&amp;RIGHT("000000"&amp;1172,6),LdgRankKeyB,0),"")</f>
        <v/>
      </c>
    </row>
    <row r="1189" spans="1:13" x14ac:dyDescent="0.2">
      <c r="A1189" s="3">
        <v>1173</v>
      </c>
      <c r="B1189" s="4" t="str">
        <f t="shared" si="144"/>
        <v/>
      </c>
      <c r="C1189" s="4" t="str">
        <f t="shared" si="145"/>
        <v/>
      </c>
      <c r="D1189" s="4" t="str">
        <f t="shared" si="146"/>
        <v/>
      </c>
      <c r="E1189" s="5" t="str">
        <f t="shared" si="147"/>
        <v/>
      </c>
      <c r="F1189" s="6" t="str">
        <f t="shared" si="148"/>
        <v/>
      </c>
      <c r="G1189" s="7" t="str">
        <f t="shared" si="149"/>
        <v/>
      </c>
      <c r="H1189" s="7" t="str">
        <f t="shared" si="150"/>
        <v/>
      </c>
      <c r="I1189" s="8" t="str">
        <f t="shared" si="151"/>
        <v/>
      </c>
      <c r="L1189" t="str">
        <f>IFERROR(MATCH($C$5&amp;"|"&amp;RIGHT("000000"&amp;1173,6),LdgRankKeyA,0),"")</f>
        <v/>
      </c>
      <c r="M1189" t="str">
        <f>IFERROR(MATCH($C$5&amp;"|"&amp;RIGHT("000000"&amp;1173,6),LdgRankKeyB,0),"")</f>
        <v/>
      </c>
    </row>
    <row r="1190" spans="1:13" x14ac:dyDescent="0.2">
      <c r="A1190" s="9">
        <v>1174</v>
      </c>
      <c r="B1190" s="10" t="str">
        <f t="shared" si="144"/>
        <v/>
      </c>
      <c r="C1190" s="10" t="str">
        <f t="shared" si="145"/>
        <v/>
      </c>
      <c r="D1190" s="10" t="str">
        <f t="shared" si="146"/>
        <v/>
      </c>
      <c r="E1190" s="11" t="str">
        <f t="shared" si="147"/>
        <v/>
      </c>
      <c r="F1190" s="12" t="str">
        <f t="shared" si="148"/>
        <v/>
      </c>
      <c r="G1190" s="13" t="str">
        <f t="shared" si="149"/>
        <v/>
      </c>
      <c r="H1190" s="13" t="str">
        <f t="shared" si="150"/>
        <v/>
      </c>
      <c r="I1190" s="14" t="str">
        <f t="shared" si="151"/>
        <v/>
      </c>
      <c r="L1190" t="str">
        <f>IFERROR(MATCH($C$5&amp;"|"&amp;RIGHT("000000"&amp;1174,6),LdgRankKeyA,0),"")</f>
        <v/>
      </c>
      <c r="M1190" t="str">
        <f>IFERROR(MATCH($C$5&amp;"|"&amp;RIGHT("000000"&amp;1174,6),LdgRankKeyB,0),"")</f>
        <v/>
      </c>
    </row>
    <row r="1191" spans="1:13" x14ac:dyDescent="0.2">
      <c r="A1191" s="3">
        <v>1175</v>
      </c>
      <c r="B1191" s="4" t="str">
        <f t="shared" si="144"/>
        <v/>
      </c>
      <c r="C1191" s="4" t="str">
        <f t="shared" si="145"/>
        <v/>
      </c>
      <c r="D1191" s="4" t="str">
        <f t="shared" si="146"/>
        <v/>
      </c>
      <c r="E1191" s="5" t="str">
        <f t="shared" si="147"/>
        <v/>
      </c>
      <c r="F1191" s="6" t="str">
        <f t="shared" si="148"/>
        <v/>
      </c>
      <c r="G1191" s="7" t="str">
        <f t="shared" si="149"/>
        <v/>
      </c>
      <c r="H1191" s="7" t="str">
        <f t="shared" si="150"/>
        <v/>
      </c>
      <c r="I1191" s="8" t="str">
        <f t="shared" si="151"/>
        <v/>
      </c>
      <c r="L1191" t="str">
        <f>IFERROR(MATCH($C$5&amp;"|"&amp;RIGHT("000000"&amp;1175,6),LdgRankKeyA,0),"")</f>
        <v/>
      </c>
      <c r="M1191" t="str">
        <f>IFERROR(MATCH($C$5&amp;"|"&amp;RIGHT("000000"&amp;1175,6),LdgRankKeyB,0),"")</f>
        <v/>
      </c>
    </row>
    <row r="1192" spans="1:13" x14ac:dyDescent="0.2">
      <c r="A1192" s="9">
        <v>1176</v>
      </c>
      <c r="B1192" s="10" t="str">
        <f t="shared" si="144"/>
        <v/>
      </c>
      <c r="C1192" s="10" t="str">
        <f t="shared" si="145"/>
        <v/>
      </c>
      <c r="D1192" s="10" t="str">
        <f t="shared" si="146"/>
        <v/>
      </c>
      <c r="E1192" s="11" t="str">
        <f t="shared" si="147"/>
        <v/>
      </c>
      <c r="F1192" s="12" t="str">
        <f t="shared" si="148"/>
        <v/>
      </c>
      <c r="G1192" s="13" t="str">
        <f t="shared" si="149"/>
        <v/>
      </c>
      <c r="H1192" s="13" t="str">
        <f t="shared" si="150"/>
        <v/>
      </c>
      <c r="I1192" s="14" t="str">
        <f t="shared" si="151"/>
        <v/>
      </c>
      <c r="L1192" t="str">
        <f>IFERROR(MATCH($C$5&amp;"|"&amp;RIGHT("000000"&amp;1176,6),LdgRankKeyA,0),"")</f>
        <v/>
      </c>
      <c r="M1192" t="str">
        <f>IFERROR(MATCH($C$5&amp;"|"&amp;RIGHT("000000"&amp;1176,6),LdgRankKeyB,0),"")</f>
        <v/>
      </c>
    </row>
    <row r="1193" spans="1:13" x14ac:dyDescent="0.2">
      <c r="A1193" s="3">
        <v>1177</v>
      </c>
      <c r="B1193" s="4" t="str">
        <f t="shared" si="144"/>
        <v/>
      </c>
      <c r="C1193" s="4" t="str">
        <f t="shared" si="145"/>
        <v/>
      </c>
      <c r="D1193" s="4" t="str">
        <f t="shared" si="146"/>
        <v/>
      </c>
      <c r="E1193" s="5" t="str">
        <f t="shared" si="147"/>
        <v/>
      </c>
      <c r="F1193" s="6" t="str">
        <f t="shared" si="148"/>
        <v/>
      </c>
      <c r="G1193" s="7" t="str">
        <f t="shared" si="149"/>
        <v/>
      </c>
      <c r="H1193" s="7" t="str">
        <f t="shared" si="150"/>
        <v/>
      </c>
      <c r="I1193" s="8" t="str">
        <f t="shared" si="151"/>
        <v/>
      </c>
      <c r="L1193" t="str">
        <f>IFERROR(MATCH($C$5&amp;"|"&amp;RIGHT("000000"&amp;1177,6),LdgRankKeyA,0),"")</f>
        <v/>
      </c>
      <c r="M1193" t="str">
        <f>IFERROR(MATCH($C$5&amp;"|"&amp;RIGHT("000000"&amp;1177,6),LdgRankKeyB,0),"")</f>
        <v/>
      </c>
    </row>
    <row r="1194" spans="1:13" x14ac:dyDescent="0.2">
      <c r="A1194" s="9">
        <v>1178</v>
      </c>
      <c r="B1194" s="10" t="str">
        <f t="shared" si="144"/>
        <v/>
      </c>
      <c r="C1194" s="10" t="str">
        <f t="shared" si="145"/>
        <v/>
      </c>
      <c r="D1194" s="10" t="str">
        <f t="shared" si="146"/>
        <v/>
      </c>
      <c r="E1194" s="11" t="str">
        <f t="shared" si="147"/>
        <v/>
      </c>
      <c r="F1194" s="12" t="str">
        <f t="shared" si="148"/>
        <v/>
      </c>
      <c r="G1194" s="13" t="str">
        <f t="shared" si="149"/>
        <v/>
      </c>
      <c r="H1194" s="13" t="str">
        <f t="shared" si="150"/>
        <v/>
      </c>
      <c r="I1194" s="14" t="str">
        <f t="shared" si="151"/>
        <v/>
      </c>
      <c r="L1194" t="str">
        <f>IFERROR(MATCH($C$5&amp;"|"&amp;RIGHT("000000"&amp;1178,6),LdgRankKeyA,0),"")</f>
        <v/>
      </c>
      <c r="M1194" t="str">
        <f>IFERROR(MATCH($C$5&amp;"|"&amp;RIGHT("000000"&amp;1178,6),LdgRankKeyB,0),"")</f>
        <v/>
      </c>
    </row>
    <row r="1195" spans="1:13" x14ac:dyDescent="0.2">
      <c r="A1195" s="3">
        <v>1179</v>
      </c>
      <c r="B1195" s="4" t="str">
        <f t="shared" si="144"/>
        <v/>
      </c>
      <c r="C1195" s="4" t="str">
        <f t="shared" si="145"/>
        <v/>
      </c>
      <c r="D1195" s="4" t="str">
        <f t="shared" si="146"/>
        <v/>
      </c>
      <c r="E1195" s="5" t="str">
        <f t="shared" si="147"/>
        <v/>
      </c>
      <c r="F1195" s="6" t="str">
        <f t="shared" si="148"/>
        <v/>
      </c>
      <c r="G1195" s="7" t="str">
        <f t="shared" si="149"/>
        <v/>
      </c>
      <c r="H1195" s="7" t="str">
        <f t="shared" si="150"/>
        <v/>
      </c>
      <c r="I1195" s="8" t="str">
        <f t="shared" si="151"/>
        <v/>
      </c>
      <c r="L1195" t="str">
        <f>IFERROR(MATCH($C$5&amp;"|"&amp;RIGHT("000000"&amp;1179,6),LdgRankKeyA,0),"")</f>
        <v/>
      </c>
      <c r="M1195" t="str">
        <f>IFERROR(MATCH($C$5&amp;"|"&amp;RIGHT("000000"&amp;1179,6),LdgRankKeyB,0),"")</f>
        <v/>
      </c>
    </row>
    <row r="1196" spans="1:13" x14ac:dyDescent="0.2">
      <c r="A1196" s="9">
        <v>1180</v>
      </c>
      <c r="B1196" s="10" t="str">
        <f t="shared" si="144"/>
        <v/>
      </c>
      <c r="C1196" s="10" t="str">
        <f t="shared" si="145"/>
        <v/>
      </c>
      <c r="D1196" s="10" t="str">
        <f t="shared" si="146"/>
        <v/>
      </c>
      <c r="E1196" s="11" t="str">
        <f t="shared" si="147"/>
        <v/>
      </c>
      <c r="F1196" s="12" t="str">
        <f t="shared" si="148"/>
        <v/>
      </c>
      <c r="G1196" s="13" t="str">
        <f t="shared" si="149"/>
        <v/>
      </c>
      <c r="H1196" s="13" t="str">
        <f t="shared" si="150"/>
        <v/>
      </c>
      <c r="I1196" s="14" t="str">
        <f t="shared" si="151"/>
        <v/>
      </c>
      <c r="L1196" t="str">
        <f>IFERROR(MATCH($C$5&amp;"|"&amp;RIGHT("000000"&amp;1180,6),LdgRankKeyA,0),"")</f>
        <v/>
      </c>
      <c r="M1196" t="str">
        <f>IFERROR(MATCH($C$5&amp;"|"&amp;RIGHT("000000"&amp;1180,6),LdgRankKeyB,0),"")</f>
        <v/>
      </c>
    </row>
    <row r="1197" spans="1:13" x14ac:dyDescent="0.2">
      <c r="A1197" s="3">
        <v>1181</v>
      </c>
      <c r="B1197" s="4" t="str">
        <f t="shared" si="144"/>
        <v/>
      </c>
      <c r="C1197" s="4" t="str">
        <f t="shared" si="145"/>
        <v/>
      </c>
      <c r="D1197" s="4" t="str">
        <f t="shared" si="146"/>
        <v/>
      </c>
      <c r="E1197" s="5" t="str">
        <f t="shared" si="147"/>
        <v/>
      </c>
      <c r="F1197" s="6" t="str">
        <f t="shared" si="148"/>
        <v/>
      </c>
      <c r="G1197" s="7" t="str">
        <f t="shared" si="149"/>
        <v/>
      </c>
      <c r="H1197" s="7" t="str">
        <f t="shared" si="150"/>
        <v/>
      </c>
      <c r="I1197" s="8" t="str">
        <f t="shared" si="151"/>
        <v/>
      </c>
      <c r="L1197" t="str">
        <f>IFERROR(MATCH($C$5&amp;"|"&amp;RIGHT("000000"&amp;1181,6),LdgRankKeyA,0),"")</f>
        <v/>
      </c>
      <c r="M1197" t="str">
        <f>IFERROR(MATCH($C$5&amp;"|"&amp;RIGHT("000000"&amp;1181,6),LdgRankKeyB,0),"")</f>
        <v/>
      </c>
    </row>
    <row r="1198" spans="1:13" x14ac:dyDescent="0.2">
      <c r="A1198" s="9">
        <v>1182</v>
      </c>
      <c r="B1198" s="10" t="str">
        <f t="shared" si="144"/>
        <v/>
      </c>
      <c r="C1198" s="10" t="str">
        <f t="shared" si="145"/>
        <v/>
      </c>
      <c r="D1198" s="10" t="str">
        <f t="shared" si="146"/>
        <v/>
      </c>
      <c r="E1198" s="11" t="str">
        <f t="shared" si="147"/>
        <v/>
      </c>
      <c r="F1198" s="12" t="str">
        <f t="shared" si="148"/>
        <v/>
      </c>
      <c r="G1198" s="13" t="str">
        <f t="shared" si="149"/>
        <v/>
      </c>
      <c r="H1198" s="13" t="str">
        <f t="shared" si="150"/>
        <v/>
      </c>
      <c r="I1198" s="14" t="str">
        <f t="shared" si="151"/>
        <v/>
      </c>
      <c r="L1198" t="str">
        <f>IFERROR(MATCH($C$5&amp;"|"&amp;RIGHT("000000"&amp;1182,6),LdgRankKeyA,0),"")</f>
        <v/>
      </c>
      <c r="M1198" t="str">
        <f>IFERROR(MATCH($C$5&amp;"|"&amp;RIGHT("000000"&amp;1182,6),LdgRankKeyB,0),"")</f>
        <v/>
      </c>
    </row>
    <row r="1199" spans="1:13" x14ac:dyDescent="0.2">
      <c r="A1199" s="3">
        <v>1183</v>
      </c>
      <c r="B1199" s="4" t="str">
        <f t="shared" si="144"/>
        <v/>
      </c>
      <c r="C1199" s="4" t="str">
        <f t="shared" si="145"/>
        <v/>
      </c>
      <c r="D1199" s="4" t="str">
        <f t="shared" si="146"/>
        <v/>
      </c>
      <c r="E1199" s="5" t="str">
        <f t="shared" si="147"/>
        <v/>
      </c>
      <c r="F1199" s="6" t="str">
        <f t="shared" si="148"/>
        <v/>
      </c>
      <c r="G1199" s="7" t="str">
        <f t="shared" si="149"/>
        <v/>
      </c>
      <c r="H1199" s="7" t="str">
        <f t="shared" si="150"/>
        <v/>
      </c>
      <c r="I1199" s="8" t="str">
        <f t="shared" si="151"/>
        <v/>
      </c>
      <c r="L1199" t="str">
        <f>IFERROR(MATCH($C$5&amp;"|"&amp;RIGHT("000000"&amp;1183,6),LdgRankKeyA,0),"")</f>
        <v/>
      </c>
      <c r="M1199" t="str">
        <f>IFERROR(MATCH($C$5&amp;"|"&amp;RIGHT("000000"&amp;1183,6),LdgRankKeyB,0),"")</f>
        <v/>
      </c>
    </row>
    <row r="1200" spans="1:13" x14ac:dyDescent="0.2">
      <c r="A1200" s="9">
        <v>1184</v>
      </c>
      <c r="B1200" s="10" t="str">
        <f t="shared" si="144"/>
        <v/>
      </c>
      <c r="C1200" s="10" t="str">
        <f t="shared" si="145"/>
        <v/>
      </c>
      <c r="D1200" s="10" t="str">
        <f t="shared" si="146"/>
        <v/>
      </c>
      <c r="E1200" s="11" t="str">
        <f t="shared" si="147"/>
        <v/>
      </c>
      <c r="F1200" s="12" t="str">
        <f t="shared" si="148"/>
        <v/>
      </c>
      <c r="G1200" s="13" t="str">
        <f t="shared" si="149"/>
        <v/>
      </c>
      <c r="H1200" s="13" t="str">
        <f t="shared" si="150"/>
        <v/>
      </c>
      <c r="I1200" s="14" t="str">
        <f t="shared" si="151"/>
        <v/>
      </c>
      <c r="L1200" t="str">
        <f>IFERROR(MATCH($C$5&amp;"|"&amp;RIGHT("000000"&amp;1184,6),LdgRankKeyA,0),"")</f>
        <v/>
      </c>
      <c r="M1200" t="str">
        <f>IFERROR(MATCH($C$5&amp;"|"&amp;RIGHT("000000"&amp;1184,6),LdgRankKeyB,0),"")</f>
        <v/>
      </c>
    </row>
    <row r="1201" spans="1:13" x14ac:dyDescent="0.2">
      <c r="A1201" s="3">
        <v>1185</v>
      </c>
      <c r="B1201" s="4" t="str">
        <f t="shared" si="144"/>
        <v/>
      </c>
      <c r="C1201" s="4" t="str">
        <f t="shared" si="145"/>
        <v/>
      </c>
      <c r="D1201" s="4" t="str">
        <f t="shared" si="146"/>
        <v/>
      </c>
      <c r="E1201" s="5" t="str">
        <f t="shared" si="147"/>
        <v/>
      </c>
      <c r="F1201" s="6" t="str">
        <f t="shared" si="148"/>
        <v/>
      </c>
      <c r="G1201" s="7" t="str">
        <f t="shared" si="149"/>
        <v/>
      </c>
      <c r="H1201" s="7" t="str">
        <f t="shared" si="150"/>
        <v/>
      </c>
      <c r="I1201" s="8" t="str">
        <f t="shared" si="151"/>
        <v/>
      </c>
      <c r="L1201" t="str">
        <f>IFERROR(MATCH($C$5&amp;"|"&amp;RIGHT("000000"&amp;1185,6),LdgRankKeyA,0),"")</f>
        <v/>
      </c>
      <c r="M1201" t="str">
        <f>IFERROR(MATCH($C$5&amp;"|"&amp;RIGHT("000000"&amp;1185,6),LdgRankKeyB,0),"")</f>
        <v/>
      </c>
    </row>
    <row r="1202" spans="1:13" x14ac:dyDescent="0.2">
      <c r="A1202" s="9">
        <v>1186</v>
      </c>
      <c r="B1202" s="10" t="str">
        <f t="shared" si="144"/>
        <v/>
      </c>
      <c r="C1202" s="10" t="str">
        <f t="shared" si="145"/>
        <v/>
      </c>
      <c r="D1202" s="10" t="str">
        <f t="shared" si="146"/>
        <v/>
      </c>
      <c r="E1202" s="11" t="str">
        <f t="shared" si="147"/>
        <v/>
      </c>
      <c r="F1202" s="12" t="str">
        <f t="shared" si="148"/>
        <v/>
      </c>
      <c r="G1202" s="13" t="str">
        <f t="shared" si="149"/>
        <v/>
      </c>
      <c r="H1202" s="13" t="str">
        <f t="shared" si="150"/>
        <v/>
      </c>
      <c r="I1202" s="14" t="str">
        <f t="shared" si="151"/>
        <v/>
      </c>
      <c r="L1202" t="str">
        <f>IFERROR(MATCH($C$5&amp;"|"&amp;RIGHT("000000"&amp;1186,6),LdgRankKeyA,0),"")</f>
        <v/>
      </c>
      <c r="M1202" t="str">
        <f>IFERROR(MATCH($C$5&amp;"|"&amp;RIGHT("000000"&amp;1186,6),LdgRankKeyB,0),"")</f>
        <v/>
      </c>
    </row>
    <row r="1203" spans="1:13" x14ac:dyDescent="0.2">
      <c r="A1203" s="3">
        <v>1187</v>
      </c>
      <c r="B1203" s="4" t="str">
        <f t="shared" si="144"/>
        <v/>
      </c>
      <c r="C1203" s="4" t="str">
        <f t="shared" si="145"/>
        <v/>
      </c>
      <c r="D1203" s="4" t="str">
        <f t="shared" si="146"/>
        <v/>
      </c>
      <c r="E1203" s="5" t="str">
        <f t="shared" si="147"/>
        <v/>
      </c>
      <c r="F1203" s="6" t="str">
        <f t="shared" si="148"/>
        <v/>
      </c>
      <c r="G1203" s="7" t="str">
        <f t="shared" si="149"/>
        <v/>
      </c>
      <c r="H1203" s="7" t="str">
        <f t="shared" si="150"/>
        <v/>
      </c>
      <c r="I1203" s="8" t="str">
        <f t="shared" si="151"/>
        <v/>
      </c>
      <c r="L1203" t="str">
        <f>IFERROR(MATCH($C$5&amp;"|"&amp;RIGHT("000000"&amp;1187,6),LdgRankKeyA,0),"")</f>
        <v/>
      </c>
      <c r="M1203" t="str">
        <f>IFERROR(MATCH($C$5&amp;"|"&amp;RIGHT("000000"&amp;1187,6),LdgRankKeyB,0),"")</f>
        <v/>
      </c>
    </row>
    <row r="1204" spans="1:13" x14ac:dyDescent="0.2">
      <c r="A1204" s="9">
        <v>1188</v>
      </c>
      <c r="B1204" s="10" t="str">
        <f t="shared" si="144"/>
        <v/>
      </c>
      <c r="C1204" s="10" t="str">
        <f t="shared" si="145"/>
        <v/>
      </c>
      <c r="D1204" s="10" t="str">
        <f t="shared" si="146"/>
        <v/>
      </c>
      <c r="E1204" s="11" t="str">
        <f t="shared" si="147"/>
        <v/>
      </c>
      <c r="F1204" s="12" t="str">
        <f t="shared" si="148"/>
        <v/>
      </c>
      <c r="G1204" s="13" t="str">
        <f t="shared" si="149"/>
        <v/>
      </c>
      <c r="H1204" s="13" t="str">
        <f t="shared" si="150"/>
        <v/>
      </c>
      <c r="I1204" s="14" t="str">
        <f t="shared" si="151"/>
        <v/>
      </c>
      <c r="L1204" t="str">
        <f>IFERROR(MATCH($C$5&amp;"|"&amp;RIGHT("000000"&amp;1188,6),LdgRankKeyA,0),"")</f>
        <v/>
      </c>
      <c r="M1204" t="str">
        <f>IFERROR(MATCH($C$5&amp;"|"&amp;RIGHT("000000"&amp;1188,6),LdgRankKeyB,0),"")</f>
        <v/>
      </c>
    </row>
    <row r="1205" spans="1:13" x14ac:dyDescent="0.2">
      <c r="A1205" s="3">
        <v>1189</v>
      </c>
      <c r="B1205" s="4" t="str">
        <f t="shared" si="144"/>
        <v/>
      </c>
      <c r="C1205" s="4" t="str">
        <f t="shared" si="145"/>
        <v/>
      </c>
      <c r="D1205" s="4" t="str">
        <f t="shared" si="146"/>
        <v/>
      </c>
      <c r="E1205" s="5" t="str">
        <f t="shared" si="147"/>
        <v/>
      </c>
      <c r="F1205" s="6" t="str">
        <f t="shared" si="148"/>
        <v/>
      </c>
      <c r="G1205" s="7" t="str">
        <f t="shared" si="149"/>
        <v/>
      </c>
      <c r="H1205" s="7" t="str">
        <f t="shared" si="150"/>
        <v/>
      </c>
      <c r="I1205" s="8" t="str">
        <f t="shared" si="151"/>
        <v/>
      </c>
      <c r="L1205" t="str">
        <f>IFERROR(MATCH($C$5&amp;"|"&amp;RIGHT("000000"&amp;1189,6),LdgRankKeyA,0),"")</f>
        <v/>
      </c>
      <c r="M1205" t="str">
        <f>IFERROR(MATCH($C$5&amp;"|"&amp;RIGHT("000000"&amp;1189,6),LdgRankKeyB,0),"")</f>
        <v/>
      </c>
    </row>
    <row r="1206" spans="1:13" x14ac:dyDescent="0.2">
      <c r="A1206" s="9">
        <v>1190</v>
      </c>
      <c r="B1206" s="10" t="str">
        <f t="shared" si="144"/>
        <v/>
      </c>
      <c r="C1206" s="10" t="str">
        <f t="shared" si="145"/>
        <v/>
      </c>
      <c r="D1206" s="10" t="str">
        <f t="shared" si="146"/>
        <v/>
      </c>
      <c r="E1206" s="11" t="str">
        <f t="shared" si="147"/>
        <v/>
      </c>
      <c r="F1206" s="12" t="str">
        <f t="shared" si="148"/>
        <v/>
      </c>
      <c r="G1206" s="13" t="str">
        <f t="shared" si="149"/>
        <v/>
      </c>
      <c r="H1206" s="13" t="str">
        <f t="shared" si="150"/>
        <v/>
      </c>
      <c r="I1206" s="14" t="str">
        <f t="shared" si="151"/>
        <v/>
      </c>
      <c r="L1206" t="str">
        <f>IFERROR(MATCH($C$5&amp;"|"&amp;RIGHT("000000"&amp;1190,6),LdgRankKeyA,0),"")</f>
        <v/>
      </c>
      <c r="M1206" t="str">
        <f>IFERROR(MATCH($C$5&amp;"|"&amp;RIGHT("000000"&amp;1190,6),LdgRankKeyB,0),"")</f>
        <v/>
      </c>
    </row>
    <row r="1207" spans="1:13" x14ac:dyDescent="0.2">
      <c r="A1207" s="3">
        <v>1191</v>
      </c>
      <c r="B1207" s="4" t="str">
        <f t="shared" si="144"/>
        <v/>
      </c>
      <c r="C1207" s="4" t="str">
        <f t="shared" si="145"/>
        <v/>
      </c>
      <c r="D1207" s="4" t="str">
        <f t="shared" si="146"/>
        <v/>
      </c>
      <c r="E1207" s="5" t="str">
        <f t="shared" si="147"/>
        <v/>
      </c>
      <c r="F1207" s="6" t="str">
        <f t="shared" si="148"/>
        <v/>
      </c>
      <c r="G1207" s="7" t="str">
        <f t="shared" si="149"/>
        <v/>
      </c>
      <c r="H1207" s="7" t="str">
        <f t="shared" si="150"/>
        <v/>
      </c>
      <c r="I1207" s="8" t="str">
        <f t="shared" si="151"/>
        <v/>
      </c>
      <c r="L1207" t="str">
        <f>IFERROR(MATCH($C$5&amp;"|"&amp;RIGHT("000000"&amp;1191,6),LdgRankKeyA,0),"")</f>
        <v/>
      </c>
      <c r="M1207" t="str">
        <f>IFERROR(MATCH($C$5&amp;"|"&amp;RIGHT("000000"&amp;1191,6),LdgRankKeyB,0),"")</f>
        <v/>
      </c>
    </row>
    <row r="1208" spans="1:13" x14ac:dyDescent="0.2">
      <c r="A1208" s="9">
        <v>1192</v>
      </c>
      <c r="B1208" s="10" t="str">
        <f t="shared" si="144"/>
        <v/>
      </c>
      <c r="C1208" s="10" t="str">
        <f t="shared" si="145"/>
        <v/>
      </c>
      <c r="D1208" s="10" t="str">
        <f t="shared" si="146"/>
        <v/>
      </c>
      <c r="E1208" s="11" t="str">
        <f t="shared" si="147"/>
        <v/>
      </c>
      <c r="F1208" s="12" t="str">
        <f t="shared" si="148"/>
        <v/>
      </c>
      <c r="G1208" s="13" t="str">
        <f t="shared" si="149"/>
        <v/>
      </c>
      <c r="H1208" s="13" t="str">
        <f t="shared" si="150"/>
        <v/>
      </c>
      <c r="I1208" s="14" t="str">
        <f t="shared" si="151"/>
        <v/>
      </c>
      <c r="L1208" t="str">
        <f>IFERROR(MATCH($C$5&amp;"|"&amp;RIGHT("000000"&amp;1192,6),LdgRankKeyA,0),"")</f>
        <v/>
      </c>
      <c r="M1208" t="str">
        <f>IFERROR(MATCH($C$5&amp;"|"&amp;RIGHT("000000"&amp;1192,6),LdgRankKeyB,0),"")</f>
        <v/>
      </c>
    </row>
    <row r="1209" spans="1:13" x14ac:dyDescent="0.2">
      <c r="A1209" s="3">
        <v>1193</v>
      </c>
      <c r="B1209" s="4" t="str">
        <f t="shared" si="144"/>
        <v/>
      </c>
      <c r="C1209" s="4" t="str">
        <f t="shared" si="145"/>
        <v/>
      </c>
      <c r="D1209" s="4" t="str">
        <f t="shared" si="146"/>
        <v/>
      </c>
      <c r="E1209" s="5" t="str">
        <f t="shared" si="147"/>
        <v/>
      </c>
      <c r="F1209" s="6" t="str">
        <f t="shared" si="148"/>
        <v/>
      </c>
      <c r="G1209" s="7" t="str">
        <f t="shared" si="149"/>
        <v/>
      </c>
      <c r="H1209" s="7" t="str">
        <f t="shared" si="150"/>
        <v/>
      </c>
      <c r="I1209" s="8" t="str">
        <f t="shared" si="151"/>
        <v/>
      </c>
      <c r="L1209" t="str">
        <f>IFERROR(MATCH($C$5&amp;"|"&amp;RIGHT("000000"&amp;1193,6),LdgRankKeyA,0),"")</f>
        <v/>
      </c>
      <c r="M1209" t="str">
        <f>IFERROR(MATCH($C$5&amp;"|"&amp;RIGHT("000000"&amp;1193,6),LdgRankKeyB,0),"")</f>
        <v/>
      </c>
    </row>
    <row r="1210" spans="1:13" x14ac:dyDescent="0.2">
      <c r="A1210" s="9">
        <v>1194</v>
      </c>
      <c r="B1210" s="10" t="str">
        <f t="shared" si="144"/>
        <v/>
      </c>
      <c r="C1210" s="10" t="str">
        <f t="shared" si="145"/>
        <v/>
      </c>
      <c r="D1210" s="10" t="str">
        <f t="shared" si="146"/>
        <v/>
      </c>
      <c r="E1210" s="11" t="str">
        <f t="shared" si="147"/>
        <v/>
      </c>
      <c r="F1210" s="12" t="str">
        <f t="shared" si="148"/>
        <v/>
      </c>
      <c r="G1210" s="13" t="str">
        <f t="shared" si="149"/>
        <v/>
      </c>
      <c r="H1210" s="13" t="str">
        <f t="shared" si="150"/>
        <v/>
      </c>
      <c r="I1210" s="14" t="str">
        <f t="shared" si="151"/>
        <v/>
      </c>
      <c r="L1210" t="str">
        <f>IFERROR(MATCH($C$5&amp;"|"&amp;RIGHT("000000"&amp;1194,6),LdgRankKeyA,0),"")</f>
        <v/>
      </c>
      <c r="M1210" t="str">
        <f>IFERROR(MATCH($C$5&amp;"|"&amp;RIGHT("000000"&amp;1194,6),LdgRankKeyB,0),"")</f>
        <v/>
      </c>
    </row>
    <row r="1211" spans="1:13" x14ac:dyDescent="0.2">
      <c r="A1211" s="3">
        <v>1195</v>
      </c>
      <c r="B1211" s="4" t="str">
        <f t="shared" si="144"/>
        <v/>
      </c>
      <c r="C1211" s="4" t="str">
        <f t="shared" si="145"/>
        <v/>
      </c>
      <c r="D1211" s="4" t="str">
        <f t="shared" si="146"/>
        <v/>
      </c>
      <c r="E1211" s="5" t="str">
        <f t="shared" si="147"/>
        <v/>
      </c>
      <c r="F1211" s="6" t="str">
        <f t="shared" si="148"/>
        <v/>
      </c>
      <c r="G1211" s="7" t="str">
        <f t="shared" si="149"/>
        <v/>
      </c>
      <c r="H1211" s="7" t="str">
        <f t="shared" si="150"/>
        <v/>
      </c>
      <c r="I1211" s="8" t="str">
        <f t="shared" si="151"/>
        <v/>
      </c>
      <c r="L1211" t="str">
        <f>IFERROR(MATCH($C$5&amp;"|"&amp;RIGHT("000000"&amp;1195,6),LdgRankKeyA,0),"")</f>
        <v/>
      </c>
      <c r="M1211" t="str">
        <f>IFERROR(MATCH($C$5&amp;"|"&amp;RIGHT("000000"&amp;1195,6),LdgRankKeyB,0),"")</f>
        <v/>
      </c>
    </row>
    <row r="1212" spans="1:13" x14ac:dyDescent="0.2">
      <c r="A1212" s="9">
        <v>1196</v>
      </c>
      <c r="B1212" s="10" t="str">
        <f t="shared" si="144"/>
        <v/>
      </c>
      <c r="C1212" s="10" t="str">
        <f t="shared" si="145"/>
        <v/>
      </c>
      <c r="D1212" s="10" t="str">
        <f t="shared" si="146"/>
        <v/>
      </c>
      <c r="E1212" s="11" t="str">
        <f t="shared" si="147"/>
        <v/>
      </c>
      <c r="F1212" s="12" t="str">
        <f t="shared" si="148"/>
        <v/>
      </c>
      <c r="G1212" s="13" t="str">
        <f t="shared" si="149"/>
        <v/>
      </c>
      <c r="H1212" s="13" t="str">
        <f t="shared" si="150"/>
        <v/>
      </c>
      <c r="I1212" s="14" t="str">
        <f t="shared" si="151"/>
        <v/>
      </c>
      <c r="L1212" t="str">
        <f>IFERROR(MATCH($C$5&amp;"|"&amp;RIGHT("000000"&amp;1196,6),LdgRankKeyA,0),"")</f>
        <v/>
      </c>
      <c r="M1212" t="str">
        <f>IFERROR(MATCH($C$5&amp;"|"&amp;RIGHT("000000"&amp;1196,6),LdgRankKeyB,0),"")</f>
        <v/>
      </c>
    </row>
    <row r="1213" spans="1:13" x14ac:dyDescent="0.2">
      <c r="A1213" s="3">
        <v>1197</v>
      </c>
      <c r="B1213" s="4" t="str">
        <f t="shared" si="144"/>
        <v/>
      </c>
      <c r="C1213" s="4" t="str">
        <f t="shared" si="145"/>
        <v/>
      </c>
      <c r="D1213" s="4" t="str">
        <f t="shared" si="146"/>
        <v/>
      </c>
      <c r="E1213" s="5" t="str">
        <f t="shared" si="147"/>
        <v/>
      </c>
      <c r="F1213" s="6" t="str">
        <f t="shared" si="148"/>
        <v/>
      </c>
      <c r="G1213" s="7" t="str">
        <f t="shared" si="149"/>
        <v/>
      </c>
      <c r="H1213" s="7" t="str">
        <f t="shared" si="150"/>
        <v/>
      </c>
      <c r="I1213" s="8" t="str">
        <f t="shared" si="151"/>
        <v/>
      </c>
      <c r="L1213" t="str">
        <f>IFERROR(MATCH($C$5&amp;"|"&amp;RIGHT("000000"&amp;1197,6),LdgRankKeyA,0),"")</f>
        <v/>
      </c>
      <c r="M1213" t="str">
        <f>IFERROR(MATCH($C$5&amp;"|"&amp;RIGHT("000000"&amp;1197,6),LdgRankKeyB,0),"")</f>
        <v/>
      </c>
    </row>
    <row r="1214" spans="1:13" x14ac:dyDescent="0.2">
      <c r="A1214" s="9">
        <v>1198</v>
      </c>
      <c r="B1214" s="10" t="str">
        <f t="shared" si="144"/>
        <v/>
      </c>
      <c r="C1214" s="10" t="str">
        <f t="shared" si="145"/>
        <v/>
      </c>
      <c r="D1214" s="10" t="str">
        <f t="shared" si="146"/>
        <v/>
      </c>
      <c r="E1214" s="11" t="str">
        <f t="shared" si="147"/>
        <v/>
      </c>
      <c r="F1214" s="12" t="str">
        <f t="shared" si="148"/>
        <v/>
      </c>
      <c r="G1214" s="13" t="str">
        <f t="shared" si="149"/>
        <v/>
      </c>
      <c r="H1214" s="13" t="str">
        <f t="shared" si="150"/>
        <v/>
      </c>
      <c r="I1214" s="14" t="str">
        <f t="shared" si="151"/>
        <v/>
      </c>
      <c r="L1214" t="str">
        <f>IFERROR(MATCH($C$5&amp;"|"&amp;RIGHT("000000"&amp;1198,6),LdgRankKeyA,0),"")</f>
        <v/>
      </c>
      <c r="M1214" t="str">
        <f>IFERROR(MATCH($C$5&amp;"|"&amp;RIGHT("000000"&amp;1198,6),LdgRankKeyB,0),"")</f>
        <v/>
      </c>
    </row>
    <row r="1215" spans="1:13" x14ac:dyDescent="0.2">
      <c r="A1215" s="3">
        <v>1199</v>
      </c>
      <c r="B1215" s="4" t="str">
        <f t="shared" si="144"/>
        <v/>
      </c>
      <c r="C1215" s="4" t="str">
        <f t="shared" si="145"/>
        <v/>
      </c>
      <c r="D1215" s="4" t="str">
        <f t="shared" si="146"/>
        <v/>
      </c>
      <c r="E1215" s="5" t="str">
        <f t="shared" si="147"/>
        <v/>
      </c>
      <c r="F1215" s="6" t="str">
        <f t="shared" si="148"/>
        <v/>
      </c>
      <c r="G1215" s="7" t="str">
        <f t="shared" si="149"/>
        <v/>
      </c>
      <c r="H1215" s="7" t="str">
        <f t="shared" si="150"/>
        <v/>
      </c>
      <c r="I1215" s="8" t="str">
        <f t="shared" si="151"/>
        <v/>
      </c>
      <c r="L1215" t="str">
        <f>IFERROR(MATCH($C$5&amp;"|"&amp;RIGHT("000000"&amp;1199,6),LdgRankKeyA,0),"")</f>
        <v/>
      </c>
      <c r="M1215" t="str">
        <f>IFERROR(MATCH($C$5&amp;"|"&amp;RIGHT("000000"&amp;1199,6),LdgRankKeyB,0),"")</f>
        <v/>
      </c>
    </row>
    <row r="1216" spans="1:13" x14ac:dyDescent="0.2">
      <c r="A1216" s="9">
        <v>1200</v>
      </c>
      <c r="B1216" s="10" t="str">
        <f t="shared" si="144"/>
        <v/>
      </c>
      <c r="C1216" s="10" t="str">
        <f t="shared" si="145"/>
        <v/>
      </c>
      <c r="D1216" s="10" t="str">
        <f t="shared" si="146"/>
        <v/>
      </c>
      <c r="E1216" s="11" t="str">
        <f t="shared" si="147"/>
        <v/>
      </c>
      <c r="F1216" s="12" t="str">
        <f t="shared" si="148"/>
        <v/>
      </c>
      <c r="G1216" s="13" t="str">
        <f t="shared" si="149"/>
        <v/>
      </c>
      <c r="H1216" s="13" t="str">
        <f t="shared" si="150"/>
        <v/>
      </c>
      <c r="I1216" s="14" t="str">
        <f t="shared" si="151"/>
        <v/>
      </c>
      <c r="L1216" t="str">
        <f>IFERROR(MATCH($C$5&amp;"|"&amp;RIGHT("000000"&amp;1200,6),LdgRankKeyA,0),"")</f>
        <v/>
      </c>
      <c r="M1216" t="str">
        <f>IFERROR(MATCH($C$5&amp;"|"&amp;RIGHT("000000"&amp;1200,6),LdgRankKeyB,0),"")</f>
        <v/>
      </c>
    </row>
    <row r="1217" spans="1:13" x14ac:dyDescent="0.2">
      <c r="A1217" s="3">
        <v>1201</v>
      </c>
      <c r="B1217" s="4" t="str">
        <f t="shared" si="144"/>
        <v/>
      </c>
      <c r="C1217" s="4" t="str">
        <f t="shared" si="145"/>
        <v/>
      </c>
      <c r="D1217" s="4" t="str">
        <f t="shared" si="146"/>
        <v/>
      </c>
      <c r="E1217" s="5" t="str">
        <f t="shared" si="147"/>
        <v/>
      </c>
      <c r="F1217" s="6" t="str">
        <f t="shared" si="148"/>
        <v/>
      </c>
      <c r="G1217" s="7" t="str">
        <f t="shared" si="149"/>
        <v/>
      </c>
      <c r="H1217" s="7" t="str">
        <f t="shared" si="150"/>
        <v/>
      </c>
      <c r="I1217" s="8" t="str">
        <f t="shared" si="151"/>
        <v/>
      </c>
      <c r="L1217" t="str">
        <f>IFERROR(MATCH($C$5&amp;"|"&amp;RIGHT("000000"&amp;1201,6),LdgRankKeyA,0),"")</f>
        <v/>
      </c>
      <c r="M1217" t="str">
        <f>IFERROR(MATCH($C$5&amp;"|"&amp;RIGHT("000000"&amp;1201,6),LdgRankKeyB,0),"")</f>
        <v/>
      </c>
    </row>
    <row r="1218" spans="1:13" x14ac:dyDescent="0.2">
      <c r="A1218" s="9">
        <v>1202</v>
      </c>
      <c r="B1218" s="10" t="str">
        <f t="shared" si="144"/>
        <v/>
      </c>
      <c r="C1218" s="10" t="str">
        <f t="shared" si="145"/>
        <v/>
      </c>
      <c r="D1218" s="10" t="str">
        <f t="shared" si="146"/>
        <v/>
      </c>
      <c r="E1218" s="11" t="str">
        <f t="shared" si="147"/>
        <v/>
      </c>
      <c r="F1218" s="12" t="str">
        <f t="shared" si="148"/>
        <v/>
      </c>
      <c r="G1218" s="13" t="str">
        <f t="shared" si="149"/>
        <v/>
      </c>
      <c r="H1218" s="13" t="str">
        <f t="shared" si="150"/>
        <v/>
      </c>
      <c r="I1218" s="14" t="str">
        <f t="shared" si="151"/>
        <v/>
      </c>
      <c r="L1218" t="str">
        <f>IFERROR(MATCH($C$5&amp;"|"&amp;RIGHT("000000"&amp;1202,6),LdgRankKeyA,0),"")</f>
        <v/>
      </c>
      <c r="M1218" t="str">
        <f>IFERROR(MATCH($C$5&amp;"|"&amp;RIGHT("000000"&amp;1202,6),LdgRankKeyB,0),"")</f>
        <v/>
      </c>
    </row>
    <row r="1219" spans="1:13" x14ac:dyDescent="0.2">
      <c r="A1219" s="3">
        <v>1203</v>
      </c>
      <c r="B1219" s="4" t="str">
        <f t="shared" si="144"/>
        <v/>
      </c>
      <c r="C1219" s="4" t="str">
        <f t="shared" si="145"/>
        <v/>
      </c>
      <c r="D1219" s="4" t="str">
        <f t="shared" si="146"/>
        <v/>
      </c>
      <c r="E1219" s="5" t="str">
        <f t="shared" si="147"/>
        <v/>
      </c>
      <c r="F1219" s="6" t="str">
        <f t="shared" si="148"/>
        <v/>
      </c>
      <c r="G1219" s="7" t="str">
        <f t="shared" si="149"/>
        <v/>
      </c>
      <c r="H1219" s="7" t="str">
        <f t="shared" si="150"/>
        <v/>
      </c>
      <c r="I1219" s="8" t="str">
        <f t="shared" si="151"/>
        <v/>
      </c>
      <c r="L1219" t="str">
        <f>IFERROR(MATCH($C$5&amp;"|"&amp;RIGHT("000000"&amp;1203,6),LdgRankKeyA,0),"")</f>
        <v/>
      </c>
      <c r="M1219" t="str">
        <f>IFERROR(MATCH($C$5&amp;"|"&amp;RIGHT("000000"&amp;1203,6),LdgRankKeyB,0),"")</f>
        <v/>
      </c>
    </row>
    <row r="1220" spans="1:13" x14ac:dyDescent="0.2">
      <c r="A1220" s="9">
        <v>1204</v>
      </c>
      <c r="B1220" s="10" t="str">
        <f t="shared" si="144"/>
        <v/>
      </c>
      <c r="C1220" s="10" t="str">
        <f t="shared" si="145"/>
        <v/>
      </c>
      <c r="D1220" s="10" t="str">
        <f t="shared" si="146"/>
        <v/>
      </c>
      <c r="E1220" s="11" t="str">
        <f t="shared" si="147"/>
        <v/>
      </c>
      <c r="F1220" s="12" t="str">
        <f t="shared" si="148"/>
        <v/>
      </c>
      <c r="G1220" s="13" t="str">
        <f t="shared" si="149"/>
        <v/>
      </c>
      <c r="H1220" s="13" t="str">
        <f t="shared" si="150"/>
        <v/>
      </c>
      <c r="I1220" s="14" t="str">
        <f t="shared" si="151"/>
        <v/>
      </c>
      <c r="L1220" t="str">
        <f>IFERROR(MATCH($C$5&amp;"|"&amp;RIGHT("000000"&amp;1204,6),LdgRankKeyA,0),"")</f>
        <v/>
      </c>
      <c r="M1220" t="str">
        <f>IFERROR(MATCH($C$5&amp;"|"&amp;RIGHT("000000"&amp;1204,6),LdgRankKeyB,0),"")</f>
        <v/>
      </c>
    </row>
    <row r="1221" spans="1:13" x14ac:dyDescent="0.2">
      <c r="A1221" s="3">
        <v>1205</v>
      </c>
      <c r="B1221" s="4" t="str">
        <f t="shared" si="144"/>
        <v/>
      </c>
      <c r="C1221" s="4" t="str">
        <f t="shared" si="145"/>
        <v/>
      </c>
      <c r="D1221" s="4" t="str">
        <f t="shared" si="146"/>
        <v/>
      </c>
      <c r="E1221" s="5" t="str">
        <f t="shared" si="147"/>
        <v/>
      </c>
      <c r="F1221" s="6" t="str">
        <f t="shared" si="148"/>
        <v/>
      </c>
      <c r="G1221" s="7" t="str">
        <f t="shared" si="149"/>
        <v/>
      </c>
      <c r="H1221" s="7" t="str">
        <f t="shared" si="150"/>
        <v/>
      </c>
      <c r="I1221" s="8" t="str">
        <f t="shared" si="151"/>
        <v/>
      </c>
      <c r="L1221" t="str">
        <f>IFERROR(MATCH($C$5&amp;"|"&amp;RIGHT("000000"&amp;1205,6),LdgRankKeyA,0),"")</f>
        <v/>
      </c>
      <c r="M1221" t="str">
        <f>IFERROR(MATCH($C$5&amp;"|"&amp;RIGHT("000000"&amp;1205,6),LdgRankKeyB,0),"")</f>
        <v/>
      </c>
    </row>
    <row r="1222" spans="1:13" x14ac:dyDescent="0.2">
      <c r="A1222" s="9">
        <v>1206</v>
      </c>
      <c r="B1222" s="10" t="str">
        <f t="shared" si="144"/>
        <v/>
      </c>
      <c r="C1222" s="10" t="str">
        <f t="shared" si="145"/>
        <v/>
      </c>
      <c r="D1222" s="10" t="str">
        <f t="shared" si="146"/>
        <v/>
      </c>
      <c r="E1222" s="11" t="str">
        <f t="shared" si="147"/>
        <v/>
      </c>
      <c r="F1222" s="12" t="str">
        <f t="shared" si="148"/>
        <v/>
      </c>
      <c r="G1222" s="13" t="str">
        <f t="shared" si="149"/>
        <v/>
      </c>
      <c r="H1222" s="13" t="str">
        <f t="shared" si="150"/>
        <v/>
      </c>
      <c r="I1222" s="14" t="str">
        <f t="shared" si="151"/>
        <v/>
      </c>
      <c r="L1222" t="str">
        <f>IFERROR(MATCH($C$5&amp;"|"&amp;RIGHT("000000"&amp;1206,6),LdgRankKeyA,0),"")</f>
        <v/>
      </c>
      <c r="M1222" t="str">
        <f>IFERROR(MATCH($C$5&amp;"|"&amp;RIGHT("000000"&amp;1206,6),LdgRankKeyB,0),"")</f>
        <v/>
      </c>
    </row>
    <row r="1223" spans="1:13" x14ac:dyDescent="0.2">
      <c r="A1223" s="3">
        <v>1207</v>
      </c>
      <c r="B1223" s="4" t="str">
        <f t="shared" si="144"/>
        <v/>
      </c>
      <c r="C1223" s="4" t="str">
        <f t="shared" si="145"/>
        <v/>
      </c>
      <c r="D1223" s="4" t="str">
        <f t="shared" si="146"/>
        <v/>
      </c>
      <c r="E1223" s="5" t="str">
        <f t="shared" si="147"/>
        <v/>
      </c>
      <c r="F1223" s="6" t="str">
        <f t="shared" si="148"/>
        <v/>
      </c>
      <c r="G1223" s="7" t="str">
        <f t="shared" si="149"/>
        <v/>
      </c>
      <c r="H1223" s="7" t="str">
        <f t="shared" si="150"/>
        <v/>
      </c>
      <c r="I1223" s="8" t="str">
        <f t="shared" si="151"/>
        <v/>
      </c>
      <c r="L1223" t="str">
        <f>IFERROR(MATCH($C$5&amp;"|"&amp;RIGHT("000000"&amp;1207,6),LdgRankKeyA,0),"")</f>
        <v/>
      </c>
      <c r="M1223" t="str">
        <f>IFERROR(MATCH($C$5&amp;"|"&amp;RIGHT("000000"&amp;1207,6),LdgRankKeyB,0),"")</f>
        <v/>
      </c>
    </row>
    <row r="1224" spans="1:13" x14ac:dyDescent="0.2">
      <c r="A1224" s="9">
        <v>1208</v>
      </c>
      <c r="B1224" s="10" t="str">
        <f t="shared" si="144"/>
        <v/>
      </c>
      <c r="C1224" s="10" t="str">
        <f t="shared" si="145"/>
        <v/>
      </c>
      <c r="D1224" s="10" t="str">
        <f t="shared" si="146"/>
        <v/>
      </c>
      <c r="E1224" s="11" t="str">
        <f t="shared" si="147"/>
        <v/>
      </c>
      <c r="F1224" s="12" t="str">
        <f t="shared" si="148"/>
        <v/>
      </c>
      <c r="G1224" s="13" t="str">
        <f t="shared" si="149"/>
        <v/>
      </c>
      <c r="H1224" s="13" t="str">
        <f t="shared" si="150"/>
        <v/>
      </c>
      <c r="I1224" s="14" t="str">
        <f t="shared" si="151"/>
        <v/>
      </c>
      <c r="L1224" t="str">
        <f>IFERROR(MATCH($C$5&amp;"|"&amp;RIGHT("000000"&amp;1208,6),LdgRankKeyA,0),"")</f>
        <v/>
      </c>
      <c r="M1224" t="str">
        <f>IFERROR(MATCH($C$5&amp;"|"&amp;RIGHT("000000"&amp;1208,6),LdgRankKeyB,0),"")</f>
        <v/>
      </c>
    </row>
    <row r="1225" spans="1:13" x14ac:dyDescent="0.2">
      <c r="A1225" s="3">
        <v>1209</v>
      </c>
      <c r="B1225" s="4" t="str">
        <f t="shared" si="144"/>
        <v/>
      </c>
      <c r="C1225" s="4" t="str">
        <f t="shared" si="145"/>
        <v/>
      </c>
      <c r="D1225" s="4" t="str">
        <f t="shared" si="146"/>
        <v/>
      </c>
      <c r="E1225" s="5" t="str">
        <f t="shared" si="147"/>
        <v/>
      </c>
      <c r="F1225" s="6" t="str">
        <f t="shared" si="148"/>
        <v/>
      </c>
      <c r="G1225" s="7" t="str">
        <f t="shared" si="149"/>
        <v/>
      </c>
      <c r="H1225" s="7" t="str">
        <f t="shared" si="150"/>
        <v/>
      </c>
      <c r="I1225" s="8" t="str">
        <f t="shared" si="151"/>
        <v/>
      </c>
      <c r="L1225" t="str">
        <f>IFERROR(MATCH($C$5&amp;"|"&amp;RIGHT("000000"&amp;1209,6),LdgRankKeyA,0),"")</f>
        <v/>
      </c>
      <c r="M1225" t="str">
        <f>IFERROR(MATCH($C$5&amp;"|"&amp;RIGHT("000000"&amp;1209,6),LdgRankKeyB,0),"")</f>
        <v/>
      </c>
    </row>
    <row r="1226" spans="1:13" x14ac:dyDescent="0.2">
      <c r="A1226" s="9">
        <v>1210</v>
      </c>
      <c r="B1226" s="10" t="str">
        <f t="shared" si="144"/>
        <v/>
      </c>
      <c r="C1226" s="10" t="str">
        <f t="shared" si="145"/>
        <v/>
      </c>
      <c r="D1226" s="10" t="str">
        <f t="shared" si="146"/>
        <v/>
      </c>
      <c r="E1226" s="11" t="str">
        <f t="shared" si="147"/>
        <v/>
      </c>
      <c r="F1226" s="12" t="str">
        <f t="shared" si="148"/>
        <v/>
      </c>
      <c r="G1226" s="13" t="str">
        <f t="shared" si="149"/>
        <v/>
      </c>
      <c r="H1226" s="13" t="str">
        <f t="shared" si="150"/>
        <v/>
      </c>
      <c r="I1226" s="14" t="str">
        <f t="shared" si="151"/>
        <v/>
      </c>
      <c r="L1226" t="str">
        <f>IFERROR(MATCH($C$5&amp;"|"&amp;RIGHT("000000"&amp;1210,6),LdgRankKeyA,0),"")</f>
        <v/>
      </c>
      <c r="M1226" t="str">
        <f>IFERROR(MATCH($C$5&amp;"|"&amp;RIGHT("000000"&amp;1210,6),LdgRankKeyB,0),"")</f>
        <v/>
      </c>
    </row>
    <row r="1227" spans="1:13" x14ac:dyDescent="0.2">
      <c r="A1227" s="3">
        <v>1211</v>
      </c>
      <c r="B1227" s="4" t="str">
        <f t="shared" si="144"/>
        <v/>
      </c>
      <c r="C1227" s="4" t="str">
        <f t="shared" si="145"/>
        <v/>
      </c>
      <c r="D1227" s="4" t="str">
        <f t="shared" si="146"/>
        <v/>
      </c>
      <c r="E1227" s="5" t="str">
        <f t="shared" si="147"/>
        <v/>
      </c>
      <c r="F1227" s="6" t="str">
        <f t="shared" si="148"/>
        <v/>
      </c>
      <c r="G1227" s="7" t="str">
        <f t="shared" si="149"/>
        <v/>
      </c>
      <c r="H1227" s="7" t="str">
        <f t="shared" si="150"/>
        <v/>
      </c>
      <c r="I1227" s="8" t="str">
        <f t="shared" si="151"/>
        <v/>
      </c>
      <c r="L1227" t="str">
        <f>IFERROR(MATCH($C$5&amp;"|"&amp;RIGHT("000000"&amp;1211,6),LdgRankKeyA,0),"")</f>
        <v/>
      </c>
      <c r="M1227" t="str">
        <f>IFERROR(MATCH($C$5&amp;"|"&amp;RIGHT("000000"&amp;1211,6),LdgRankKeyB,0),"")</f>
        <v/>
      </c>
    </row>
    <row r="1228" spans="1:13" x14ac:dyDescent="0.2">
      <c r="A1228" s="9">
        <v>1212</v>
      </c>
      <c r="B1228" s="10" t="str">
        <f t="shared" si="144"/>
        <v/>
      </c>
      <c r="C1228" s="10" t="str">
        <f t="shared" si="145"/>
        <v/>
      </c>
      <c r="D1228" s="10" t="str">
        <f t="shared" si="146"/>
        <v/>
      </c>
      <c r="E1228" s="11" t="str">
        <f t="shared" si="147"/>
        <v/>
      </c>
      <c r="F1228" s="12" t="str">
        <f t="shared" si="148"/>
        <v/>
      </c>
      <c r="G1228" s="13" t="str">
        <f t="shared" si="149"/>
        <v/>
      </c>
      <c r="H1228" s="13" t="str">
        <f t="shared" si="150"/>
        <v/>
      </c>
      <c r="I1228" s="14" t="str">
        <f t="shared" si="151"/>
        <v/>
      </c>
      <c r="L1228" t="str">
        <f>IFERROR(MATCH($C$5&amp;"|"&amp;RIGHT("000000"&amp;1212,6),LdgRankKeyA,0),"")</f>
        <v/>
      </c>
      <c r="M1228" t="str">
        <f>IFERROR(MATCH($C$5&amp;"|"&amp;RIGHT("000000"&amp;1212,6),LdgRankKeyB,0),"")</f>
        <v/>
      </c>
    </row>
    <row r="1229" spans="1:13" x14ac:dyDescent="0.2">
      <c r="A1229" s="3">
        <v>1213</v>
      </c>
      <c r="B1229" s="4" t="str">
        <f t="shared" si="144"/>
        <v/>
      </c>
      <c r="C1229" s="4" t="str">
        <f t="shared" si="145"/>
        <v/>
      </c>
      <c r="D1229" s="4" t="str">
        <f t="shared" si="146"/>
        <v/>
      </c>
      <c r="E1229" s="5" t="str">
        <f t="shared" si="147"/>
        <v/>
      </c>
      <c r="F1229" s="6" t="str">
        <f t="shared" si="148"/>
        <v/>
      </c>
      <c r="G1229" s="7" t="str">
        <f t="shared" si="149"/>
        <v/>
      </c>
      <c r="H1229" s="7" t="str">
        <f t="shared" si="150"/>
        <v/>
      </c>
      <c r="I1229" s="8" t="str">
        <f t="shared" si="151"/>
        <v/>
      </c>
      <c r="L1229" t="str">
        <f>IFERROR(MATCH($C$5&amp;"|"&amp;RIGHT("000000"&amp;1213,6),LdgRankKeyA,0),"")</f>
        <v/>
      </c>
      <c r="M1229" t="str">
        <f>IFERROR(MATCH($C$5&amp;"|"&amp;RIGHT("000000"&amp;1213,6),LdgRankKeyB,0),"")</f>
        <v/>
      </c>
    </row>
    <row r="1230" spans="1:13" x14ac:dyDescent="0.2">
      <c r="A1230" s="9">
        <v>1214</v>
      </c>
      <c r="B1230" s="10" t="str">
        <f t="shared" si="144"/>
        <v/>
      </c>
      <c r="C1230" s="10" t="str">
        <f t="shared" si="145"/>
        <v/>
      </c>
      <c r="D1230" s="10" t="str">
        <f t="shared" si="146"/>
        <v/>
      </c>
      <c r="E1230" s="11" t="str">
        <f t="shared" si="147"/>
        <v/>
      </c>
      <c r="F1230" s="12" t="str">
        <f t="shared" si="148"/>
        <v/>
      </c>
      <c r="G1230" s="13" t="str">
        <f t="shared" si="149"/>
        <v/>
      </c>
      <c r="H1230" s="13" t="str">
        <f t="shared" si="150"/>
        <v/>
      </c>
      <c r="I1230" s="14" t="str">
        <f t="shared" si="151"/>
        <v/>
      </c>
      <c r="L1230" t="str">
        <f>IFERROR(MATCH($C$5&amp;"|"&amp;RIGHT("000000"&amp;1214,6),LdgRankKeyA,0),"")</f>
        <v/>
      </c>
      <c r="M1230" t="str">
        <f>IFERROR(MATCH($C$5&amp;"|"&amp;RIGHT("000000"&amp;1214,6),LdgRankKeyB,0),"")</f>
        <v/>
      </c>
    </row>
    <row r="1231" spans="1:13" x14ac:dyDescent="0.2">
      <c r="A1231" s="3">
        <v>1215</v>
      </c>
      <c r="B1231" s="4" t="str">
        <f t="shared" si="144"/>
        <v/>
      </c>
      <c r="C1231" s="4" t="str">
        <f t="shared" si="145"/>
        <v/>
      </c>
      <c r="D1231" s="4" t="str">
        <f t="shared" si="146"/>
        <v/>
      </c>
      <c r="E1231" s="5" t="str">
        <f t="shared" si="147"/>
        <v/>
      </c>
      <c r="F1231" s="6" t="str">
        <f t="shared" si="148"/>
        <v/>
      </c>
      <c r="G1231" s="7" t="str">
        <f t="shared" si="149"/>
        <v/>
      </c>
      <c r="H1231" s="7" t="str">
        <f t="shared" si="150"/>
        <v/>
      </c>
      <c r="I1231" s="8" t="str">
        <f t="shared" si="151"/>
        <v/>
      </c>
      <c r="L1231" t="str">
        <f>IFERROR(MATCH($C$5&amp;"|"&amp;RIGHT("000000"&amp;1215,6),LdgRankKeyA,0),"")</f>
        <v/>
      </c>
      <c r="M1231" t="str">
        <f>IFERROR(MATCH($C$5&amp;"|"&amp;RIGHT("000000"&amp;1215,6),LdgRankKeyB,0),"")</f>
        <v/>
      </c>
    </row>
    <row r="1232" spans="1:13" x14ac:dyDescent="0.2">
      <c r="A1232" s="9">
        <v>1216</v>
      </c>
      <c r="B1232" s="10" t="str">
        <f t="shared" si="144"/>
        <v/>
      </c>
      <c r="C1232" s="10" t="str">
        <f t="shared" si="145"/>
        <v/>
      </c>
      <c r="D1232" s="10" t="str">
        <f t="shared" si="146"/>
        <v/>
      </c>
      <c r="E1232" s="11" t="str">
        <f t="shared" si="147"/>
        <v/>
      </c>
      <c r="F1232" s="12" t="str">
        <f t="shared" si="148"/>
        <v/>
      </c>
      <c r="G1232" s="13" t="str">
        <f t="shared" si="149"/>
        <v/>
      </c>
      <c r="H1232" s="13" t="str">
        <f t="shared" si="150"/>
        <v/>
      </c>
      <c r="I1232" s="14" t="str">
        <f t="shared" si="151"/>
        <v/>
      </c>
      <c r="L1232" t="str">
        <f>IFERROR(MATCH($C$5&amp;"|"&amp;RIGHT("000000"&amp;1216,6),LdgRankKeyA,0),"")</f>
        <v/>
      </c>
      <c r="M1232" t="str">
        <f>IFERROR(MATCH($C$5&amp;"|"&amp;RIGHT("000000"&amp;1216,6),LdgRankKeyB,0),"")</f>
        <v/>
      </c>
    </row>
    <row r="1233" spans="1:13" x14ac:dyDescent="0.2">
      <c r="A1233" s="3">
        <v>1217</v>
      </c>
      <c r="B1233" s="4" t="str">
        <f t="shared" ref="B1233:B1296" si="152">IF(AND($L1233="",$M1233=""),"",IF($L1233&lt;&gt;"",INDEX(SCNormDate,$L1233),INDEX(LdgDateB,$M1233)))</f>
        <v/>
      </c>
      <c r="C1233" s="4" t="str">
        <f t="shared" ref="C1233:C1296" si="153">IF($L1233&lt;&gt;"",INDEX(SCOp,$L1233),IF($M1233&lt;&gt;"","پرداخت بانکی",""))</f>
        <v/>
      </c>
      <c r="D1233" s="4" t="str">
        <f t="shared" ref="D1233:D1296" si="154">IF($L1233&lt;&gt;"",IF(INDEX(SCDoc,$L1233)="","—",INDEX(SCDoc,$L1233)),IF($M1233&lt;&gt;"",INDEX(LdgBankB,$M1233),""))</f>
        <v/>
      </c>
      <c r="E1233" s="5" t="str">
        <f t="shared" ref="E1233:E1296" si="155">IF($L1233&lt;&gt;"",IF(INDEX(SCCitrus,$L1233)&amp;INDEX(SCNotes,$L1233)="","",IF(INDEX(SCCitrus,$L1233)="","",INDEX(SCCitrus,$L1233))&amp;IF(INDEX(SCNotes,$L1233)="",""," — "&amp;INDEX(SCNotes,$L1233))),IF($M1233&lt;&gt;"",IF(INDEX(LdgNoteB,$M1233)="","—",INDEX(LdgNoteB,$M1233)),""))</f>
        <v/>
      </c>
      <c r="F1233" s="6" t="str">
        <f t="shared" ref="F1233:F1296" si="156">IF($L1233&lt;&gt;"",IF(INDEX(SCNet,$L1233)=0,"",INDEX(SCNet,$L1233)),"")</f>
        <v/>
      </c>
      <c r="G1233" s="7" t="str">
        <f t="shared" ref="G1233:G1296" si="157">IF($L1233&lt;&gt;"",IF(INDEX(SCOp,$L1233)="مرجوعی فروش","",IF(INDEX(SCAmount,$L1233)&lt;=0,"",INDEX(SCAmount,$L1233))),IF($M1233&lt;&gt;"",IF(INDEX(LdgWitB,$M1233)=0,"",INDEX(LdgWitB,$M1233)),""))</f>
        <v/>
      </c>
      <c r="H1233" s="7" t="str">
        <f t="shared" ref="H1233:H1296" si="158">IF($L1233&lt;&gt;"",IF(INDEX(SCOp,$L1233)="مرجوعی فروش",IF(INDEX(SCAmount,$L1233)=0,"",-INDEX(SCAmount,$L1233)),""),IF($M1233&lt;&gt;"",IF(INDEX(LdgDepB,$M1233)=0,"",INDEX(LdgDepB,$M1233)),""))</f>
        <v/>
      </c>
      <c r="I1233" s="8" t="str">
        <f t="shared" si="151"/>
        <v/>
      </c>
      <c r="L1233" t="str">
        <f>IFERROR(MATCH($C$5&amp;"|"&amp;RIGHT("000000"&amp;1217,6),LdgRankKeyA,0),"")</f>
        <v/>
      </c>
      <c r="M1233" t="str">
        <f>IFERROR(MATCH($C$5&amp;"|"&amp;RIGHT("000000"&amp;1217,6),LdgRankKeyB,0),"")</f>
        <v/>
      </c>
    </row>
    <row r="1234" spans="1:13" x14ac:dyDescent="0.2">
      <c r="A1234" s="9">
        <v>1218</v>
      </c>
      <c r="B1234" s="10" t="str">
        <f t="shared" si="152"/>
        <v/>
      </c>
      <c r="C1234" s="10" t="str">
        <f t="shared" si="153"/>
        <v/>
      </c>
      <c r="D1234" s="10" t="str">
        <f t="shared" si="154"/>
        <v/>
      </c>
      <c r="E1234" s="11" t="str">
        <f t="shared" si="155"/>
        <v/>
      </c>
      <c r="F1234" s="12" t="str">
        <f t="shared" si="156"/>
        <v/>
      </c>
      <c r="G1234" s="13" t="str">
        <f t="shared" si="157"/>
        <v/>
      </c>
      <c r="H1234" s="13" t="str">
        <f t="shared" si="158"/>
        <v/>
      </c>
      <c r="I1234" s="14" t="str">
        <f t="shared" ref="I1234:I1297" si="159">IF($B1234="","",IF($I1233="",$C$10,$I1233)+IF($G1234="",0,$G1234)-IF($H1234="",0,$H1234))</f>
        <v/>
      </c>
      <c r="L1234" t="str">
        <f>IFERROR(MATCH($C$5&amp;"|"&amp;RIGHT("000000"&amp;1218,6),LdgRankKeyA,0),"")</f>
        <v/>
      </c>
      <c r="M1234" t="str">
        <f>IFERROR(MATCH($C$5&amp;"|"&amp;RIGHT("000000"&amp;1218,6),LdgRankKeyB,0),"")</f>
        <v/>
      </c>
    </row>
    <row r="1235" spans="1:13" x14ac:dyDescent="0.2">
      <c r="A1235" s="3">
        <v>1219</v>
      </c>
      <c r="B1235" s="4" t="str">
        <f t="shared" si="152"/>
        <v/>
      </c>
      <c r="C1235" s="4" t="str">
        <f t="shared" si="153"/>
        <v/>
      </c>
      <c r="D1235" s="4" t="str">
        <f t="shared" si="154"/>
        <v/>
      </c>
      <c r="E1235" s="5" t="str">
        <f t="shared" si="155"/>
        <v/>
      </c>
      <c r="F1235" s="6" t="str">
        <f t="shared" si="156"/>
        <v/>
      </c>
      <c r="G1235" s="7" t="str">
        <f t="shared" si="157"/>
        <v/>
      </c>
      <c r="H1235" s="7" t="str">
        <f t="shared" si="158"/>
        <v/>
      </c>
      <c r="I1235" s="8" t="str">
        <f t="shared" si="159"/>
        <v/>
      </c>
      <c r="L1235" t="str">
        <f>IFERROR(MATCH($C$5&amp;"|"&amp;RIGHT("000000"&amp;1219,6),LdgRankKeyA,0),"")</f>
        <v/>
      </c>
      <c r="M1235" t="str">
        <f>IFERROR(MATCH($C$5&amp;"|"&amp;RIGHT("000000"&amp;1219,6),LdgRankKeyB,0),"")</f>
        <v/>
      </c>
    </row>
    <row r="1236" spans="1:13" x14ac:dyDescent="0.2">
      <c r="A1236" s="9">
        <v>1220</v>
      </c>
      <c r="B1236" s="10" t="str">
        <f t="shared" si="152"/>
        <v/>
      </c>
      <c r="C1236" s="10" t="str">
        <f t="shared" si="153"/>
        <v/>
      </c>
      <c r="D1236" s="10" t="str">
        <f t="shared" si="154"/>
        <v/>
      </c>
      <c r="E1236" s="11" t="str">
        <f t="shared" si="155"/>
        <v/>
      </c>
      <c r="F1236" s="12" t="str">
        <f t="shared" si="156"/>
        <v/>
      </c>
      <c r="G1236" s="13" t="str">
        <f t="shared" si="157"/>
        <v/>
      </c>
      <c r="H1236" s="13" t="str">
        <f t="shared" si="158"/>
        <v/>
      </c>
      <c r="I1236" s="14" t="str">
        <f t="shared" si="159"/>
        <v/>
      </c>
      <c r="L1236" t="str">
        <f>IFERROR(MATCH($C$5&amp;"|"&amp;RIGHT("000000"&amp;1220,6),LdgRankKeyA,0),"")</f>
        <v/>
      </c>
      <c r="M1236" t="str">
        <f>IFERROR(MATCH($C$5&amp;"|"&amp;RIGHT("000000"&amp;1220,6),LdgRankKeyB,0),"")</f>
        <v/>
      </c>
    </row>
    <row r="1237" spans="1:13" x14ac:dyDescent="0.2">
      <c r="A1237" s="3">
        <v>1221</v>
      </c>
      <c r="B1237" s="4" t="str">
        <f t="shared" si="152"/>
        <v/>
      </c>
      <c r="C1237" s="4" t="str">
        <f t="shared" si="153"/>
        <v/>
      </c>
      <c r="D1237" s="4" t="str">
        <f t="shared" si="154"/>
        <v/>
      </c>
      <c r="E1237" s="5" t="str">
        <f t="shared" si="155"/>
        <v/>
      </c>
      <c r="F1237" s="6" t="str">
        <f t="shared" si="156"/>
        <v/>
      </c>
      <c r="G1237" s="7" t="str">
        <f t="shared" si="157"/>
        <v/>
      </c>
      <c r="H1237" s="7" t="str">
        <f t="shared" si="158"/>
        <v/>
      </c>
      <c r="I1237" s="8" t="str">
        <f t="shared" si="159"/>
        <v/>
      </c>
      <c r="L1237" t="str">
        <f>IFERROR(MATCH($C$5&amp;"|"&amp;RIGHT("000000"&amp;1221,6),LdgRankKeyA,0),"")</f>
        <v/>
      </c>
      <c r="M1237" t="str">
        <f>IFERROR(MATCH($C$5&amp;"|"&amp;RIGHT("000000"&amp;1221,6),LdgRankKeyB,0),"")</f>
        <v/>
      </c>
    </row>
    <row r="1238" spans="1:13" x14ac:dyDescent="0.2">
      <c r="A1238" s="9">
        <v>1222</v>
      </c>
      <c r="B1238" s="10" t="str">
        <f t="shared" si="152"/>
        <v/>
      </c>
      <c r="C1238" s="10" t="str">
        <f t="shared" si="153"/>
        <v/>
      </c>
      <c r="D1238" s="10" t="str">
        <f t="shared" si="154"/>
        <v/>
      </c>
      <c r="E1238" s="11" t="str">
        <f t="shared" si="155"/>
        <v/>
      </c>
      <c r="F1238" s="12" t="str">
        <f t="shared" si="156"/>
        <v/>
      </c>
      <c r="G1238" s="13" t="str">
        <f t="shared" si="157"/>
        <v/>
      </c>
      <c r="H1238" s="13" t="str">
        <f t="shared" si="158"/>
        <v/>
      </c>
      <c r="I1238" s="14" t="str">
        <f t="shared" si="159"/>
        <v/>
      </c>
      <c r="L1238" t="str">
        <f>IFERROR(MATCH($C$5&amp;"|"&amp;RIGHT("000000"&amp;1222,6),LdgRankKeyA,0),"")</f>
        <v/>
      </c>
      <c r="M1238" t="str">
        <f>IFERROR(MATCH($C$5&amp;"|"&amp;RIGHT("000000"&amp;1222,6),LdgRankKeyB,0),"")</f>
        <v/>
      </c>
    </row>
    <row r="1239" spans="1:13" x14ac:dyDescent="0.2">
      <c r="A1239" s="3">
        <v>1223</v>
      </c>
      <c r="B1239" s="4" t="str">
        <f t="shared" si="152"/>
        <v/>
      </c>
      <c r="C1239" s="4" t="str">
        <f t="shared" si="153"/>
        <v/>
      </c>
      <c r="D1239" s="4" t="str">
        <f t="shared" si="154"/>
        <v/>
      </c>
      <c r="E1239" s="5" t="str">
        <f t="shared" si="155"/>
        <v/>
      </c>
      <c r="F1239" s="6" t="str">
        <f t="shared" si="156"/>
        <v/>
      </c>
      <c r="G1239" s="7" t="str">
        <f t="shared" si="157"/>
        <v/>
      </c>
      <c r="H1239" s="7" t="str">
        <f t="shared" si="158"/>
        <v/>
      </c>
      <c r="I1239" s="8" t="str">
        <f t="shared" si="159"/>
        <v/>
      </c>
      <c r="L1239" t="str">
        <f>IFERROR(MATCH($C$5&amp;"|"&amp;RIGHT("000000"&amp;1223,6),LdgRankKeyA,0),"")</f>
        <v/>
      </c>
      <c r="M1239" t="str">
        <f>IFERROR(MATCH($C$5&amp;"|"&amp;RIGHT("000000"&amp;1223,6),LdgRankKeyB,0),"")</f>
        <v/>
      </c>
    </row>
    <row r="1240" spans="1:13" x14ac:dyDescent="0.2">
      <c r="A1240" s="9">
        <v>1224</v>
      </c>
      <c r="B1240" s="10" t="str">
        <f t="shared" si="152"/>
        <v/>
      </c>
      <c r="C1240" s="10" t="str">
        <f t="shared" si="153"/>
        <v/>
      </c>
      <c r="D1240" s="10" t="str">
        <f t="shared" si="154"/>
        <v/>
      </c>
      <c r="E1240" s="11" t="str">
        <f t="shared" si="155"/>
        <v/>
      </c>
      <c r="F1240" s="12" t="str">
        <f t="shared" si="156"/>
        <v/>
      </c>
      <c r="G1240" s="13" t="str">
        <f t="shared" si="157"/>
        <v/>
      </c>
      <c r="H1240" s="13" t="str">
        <f t="shared" si="158"/>
        <v/>
      </c>
      <c r="I1240" s="14" t="str">
        <f t="shared" si="159"/>
        <v/>
      </c>
      <c r="L1240" t="str">
        <f>IFERROR(MATCH($C$5&amp;"|"&amp;RIGHT("000000"&amp;1224,6),LdgRankKeyA,0),"")</f>
        <v/>
      </c>
      <c r="M1240" t="str">
        <f>IFERROR(MATCH($C$5&amp;"|"&amp;RIGHT("000000"&amp;1224,6),LdgRankKeyB,0),"")</f>
        <v/>
      </c>
    </row>
    <row r="1241" spans="1:13" x14ac:dyDescent="0.2">
      <c r="A1241" s="3">
        <v>1225</v>
      </c>
      <c r="B1241" s="4" t="str">
        <f t="shared" si="152"/>
        <v/>
      </c>
      <c r="C1241" s="4" t="str">
        <f t="shared" si="153"/>
        <v/>
      </c>
      <c r="D1241" s="4" t="str">
        <f t="shared" si="154"/>
        <v/>
      </c>
      <c r="E1241" s="5" t="str">
        <f t="shared" si="155"/>
        <v/>
      </c>
      <c r="F1241" s="6" t="str">
        <f t="shared" si="156"/>
        <v/>
      </c>
      <c r="G1241" s="7" t="str">
        <f t="shared" si="157"/>
        <v/>
      </c>
      <c r="H1241" s="7" t="str">
        <f t="shared" si="158"/>
        <v/>
      </c>
      <c r="I1241" s="8" t="str">
        <f t="shared" si="159"/>
        <v/>
      </c>
      <c r="L1241" t="str">
        <f>IFERROR(MATCH($C$5&amp;"|"&amp;RIGHT("000000"&amp;1225,6),LdgRankKeyA,0),"")</f>
        <v/>
      </c>
      <c r="M1241" t="str">
        <f>IFERROR(MATCH($C$5&amp;"|"&amp;RIGHT("000000"&amp;1225,6),LdgRankKeyB,0),"")</f>
        <v/>
      </c>
    </row>
    <row r="1242" spans="1:13" x14ac:dyDescent="0.2">
      <c r="A1242" s="9">
        <v>1226</v>
      </c>
      <c r="B1242" s="10" t="str">
        <f t="shared" si="152"/>
        <v/>
      </c>
      <c r="C1242" s="10" t="str">
        <f t="shared" si="153"/>
        <v/>
      </c>
      <c r="D1242" s="10" t="str">
        <f t="shared" si="154"/>
        <v/>
      </c>
      <c r="E1242" s="11" t="str">
        <f t="shared" si="155"/>
        <v/>
      </c>
      <c r="F1242" s="12" t="str">
        <f t="shared" si="156"/>
        <v/>
      </c>
      <c r="G1242" s="13" t="str">
        <f t="shared" si="157"/>
        <v/>
      </c>
      <c r="H1242" s="13" t="str">
        <f t="shared" si="158"/>
        <v/>
      </c>
      <c r="I1242" s="14" t="str">
        <f t="shared" si="159"/>
        <v/>
      </c>
      <c r="L1242" t="str">
        <f>IFERROR(MATCH($C$5&amp;"|"&amp;RIGHT("000000"&amp;1226,6),LdgRankKeyA,0),"")</f>
        <v/>
      </c>
      <c r="M1242" t="str">
        <f>IFERROR(MATCH($C$5&amp;"|"&amp;RIGHT("000000"&amp;1226,6),LdgRankKeyB,0),"")</f>
        <v/>
      </c>
    </row>
    <row r="1243" spans="1:13" x14ac:dyDescent="0.2">
      <c r="A1243" s="3">
        <v>1227</v>
      </c>
      <c r="B1243" s="4" t="str">
        <f t="shared" si="152"/>
        <v/>
      </c>
      <c r="C1243" s="4" t="str">
        <f t="shared" si="153"/>
        <v/>
      </c>
      <c r="D1243" s="4" t="str">
        <f t="shared" si="154"/>
        <v/>
      </c>
      <c r="E1243" s="5" t="str">
        <f t="shared" si="155"/>
        <v/>
      </c>
      <c r="F1243" s="6" t="str">
        <f t="shared" si="156"/>
        <v/>
      </c>
      <c r="G1243" s="7" t="str">
        <f t="shared" si="157"/>
        <v/>
      </c>
      <c r="H1243" s="7" t="str">
        <f t="shared" si="158"/>
        <v/>
      </c>
      <c r="I1243" s="8" t="str">
        <f t="shared" si="159"/>
        <v/>
      </c>
      <c r="L1243" t="str">
        <f>IFERROR(MATCH($C$5&amp;"|"&amp;RIGHT("000000"&amp;1227,6),LdgRankKeyA,0),"")</f>
        <v/>
      </c>
      <c r="M1243" t="str">
        <f>IFERROR(MATCH($C$5&amp;"|"&amp;RIGHT("000000"&amp;1227,6),LdgRankKeyB,0),"")</f>
        <v/>
      </c>
    </row>
    <row r="1244" spans="1:13" x14ac:dyDescent="0.2">
      <c r="A1244" s="9">
        <v>1228</v>
      </c>
      <c r="B1244" s="10" t="str">
        <f t="shared" si="152"/>
        <v/>
      </c>
      <c r="C1244" s="10" t="str">
        <f t="shared" si="153"/>
        <v/>
      </c>
      <c r="D1244" s="10" t="str">
        <f t="shared" si="154"/>
        <v/>
      </c>
      <c r="E1244" s="11" t="str">
        <f t="shared" si="155"/>
        <v/>
      </c>
      <c r="F1244" s="12" t="str">
        <f t="shared" si="156"/>
        <v/>
      </c>
      <c r="G1244" s="13" t="str">
        <f t="shared" si="157"/>
        <v/>
      </c>
      <c r="H1244" s="13" t="str">
        <f t="shared" si="158"/>
        <v/>
      </c>
      <c r="I1244" s="14" t="str">
        <f t="shared" si="159"/>
        <v/>
      </c>
      <c r="L1244" t="str">
        <f>IFERROR(MATCH($C$5&amp;"|"&amp;RIGHT("000000"&amp;1228,6),LdgRankKeyA,0),"")</f>
        <v/>
      </c>
      <c r="M1244" t="str">
        <f>IFERROR(MATCH($C$5&amp;"|"&amp;RIGHT("000000"&amp;1228,6),LdgRankKeyB,0),"")</f>
        <v/>
      </c>
    </row>
    <row r="1245" spans="1:13" x14ac:dyDescent="0.2">
      <c r="A1245" s="3">
        <v>1229</v>
      </c>
      <c r="B1245" s="4" t="str">
        <f t="shared" si="152"/>
        <v/>
      </c>
      <c r="C1245" s="4" t="str">
        <f t="shared" si="153"/>
        <v/>
      </c>
      <c r="D1245" s="4" t="str">
        <f t="shared" si="154"/>
        <v/>
      </c>
      <c r="E1245" s="5" t="str">
        <f t="shared" si="155"/>
        <v/>
      </c>
      <c r="F1245" s="6" t="str">
        <f t="shared" si="156"/>
        <v/>
      </c>
      <c r="G1245" s="7" t="str">
        <f t="shared" si="157"/>
        <v/>
      </c>
      <c r="H1245" s="7" t="str">
        <f t="shared" si="158"/>
        <v/>
      </c>
      <c r="I1245" s="8" t="str">
        <f t="shared" si="159"/>
        <v/>
      </c>
      <c r="L1245" t="str">
        <f>IFERROR(MATCH($C$5&amp;"|"&amp;RIGHT("000000"&amp;1229,6),LdgRankKeyA,0),"")</f>
        <v/>
      </c>
      <c r="M1245" t="str">
        <f>IFERROR(MATCH($C$5&amp;"|"&amp;RIGHT("000000"&amp;1229,6),LdgRankKeyB,0),"")</f>
        <v/>
      </c>
    </row>
    <row r="1246" spans="1:13" x14ac:dyDescent="0.2">
      <c r="A1246" s="9">
        <v>1230</v>
      </c>
      <c r="B1246" s="10" t="str">
        <f t="shared" si="152"/>
        <v/>
      </c>
      <c r="C1246" s="10" t="str">
        <f t="shared" si="153"/>
        <v/>
      </c>
      <c r="D1246" s="10" t="str">
        <f t="shared" si="154"/>
        <v/>
      </c>
      <c r="E1246" s="11" t="str">
        <f t="shared" si="155"/>
        <v/>
      </c>
      <c r="F1246" s="12" t="str">
        <f t="shared" si="156"/>
        <v/>
      </c>
      <c r="G1246" s="13" t="str">
        <f t="shared" si="157"/>
        <v/>
      </c>
      <c r="H1246" s="13" t="str">
        <f t="shared" si="158"/>
        <v/>
      </c>
      <c r="I1246" s="14" t="str">
        <f t="shared" si="159"/>
        <v/>
      </c>
      <c r="L1246" t="str">
        <f>IFERROR(MATCH($C$5&amp;"|"&amp;RIGHT("000000"&amp;1230,6),LdgRankKeyA,0),"")</f>
        <v/>
      </c>
      <c r="M1246" t="str">
        <f>IFERROR(MATCH($C$5&amp;"|"&amp;RIGHT("000000"&amp;1230,6),LdgRankKeyB,0),"")</f>
        <v/>
      </c>
    </row>
    <row r="1247" spans="1:13" x14ac:dyDescent="0.2">
      <c r="A1247" s="3">
        <v>1231</v>
      </c>
      <c r="B1247" s="4" t="str">
        <f t="shared" si="152"/>
        <v/>
      </c>
      <c r="C1247" s="4" t="str">
        <f t="shared" si="153"/>
        <v/>
      </c>
      <c r="D1247" s="4" t="str">
        <f t="shared" si="154"/>
        <v/>
      </c>
      <c r="E1247" s="5" t="str">
        <f t="shared" si="155"/>
        <v/>
      </c>
      <c r="F1247" s="6" t="str">
        <f t="shared" si="156"/>
        <v/>
      </c>
      <c r="G1247" s="7" t="str">
        <f t="shared" si="157"/>
        <v/>
      </c>
      <c r="H1247" s="7" t="str">
        <f t="shared" si="158"/>
        <v/>
      </c>
      <c r="I1247" s="8" t="str">
        <f t="shared" si="159"/>
        <v/>
      </c>
      <c r="L1247" t="str">
        <f>IFERROR(MATCH($C$5&amp;"|"&amp;RIGHT("000000"&amp;1231,6),LdgRankKeyA,0),"")</f>
        <v/>
      </c>
      <c r="M1247" t="str">
        <f>IFERROR(MATCH($C$5&amp;"|"&amp;RIGHT("000000"&amp;1231,6),LdgRankKeyB,0),"")</f>
        <v/>
      </c>
    </row>
    <row r="1248" spans="1:13" x14ac:dyDescent="0.2">
      <c r="A1248" s="9">
        <v>1232</v>
      </c>
      <c r="B1248" s="10" t="str">
        <f t="shared" si="152"/>
        <v/>
      </c>
      <c r="C1248" s="10" t="str">
        <f t="shared" si="153"/>
        <v/>
      </c>
      <c r="D1248" s="10" t="str">
        <f t="shared" si="154"/>
        <v/>
      </c>
      <c r="E1248" s="11" t="str">
        <f t="shared" si="155"/>
        <v/>
      </c>
      <c r="F1248" s="12" t="str">
        <f t="shared" si="156"/>
        <v/>
      </c>
      <c r="G1248" s="13" t="str">
        <f t="shared" si="157"/>
        <v/>
      </c>
      <c r="H1248" s="13" t="str">
        <f t="shared" si="158"/>
        <v/>
      </c>
      <c r="I1248" s="14" t="str">
        <f t="shared" si="159"/>
        <v/>
      </c>
      <c r="L1248" t="str">
        <f>IFERROR(MATCH($C$5&amp;"|"&amp;RIGHT("000000"&amp;1232,6),LdgRankKeyA,0),"")</f>
        <v/>
      </c>
      <c r="M1248" t="str">
        <f>IFERROR(MATCH($C$5&amp;"|"&amp;RIGHT("000000"&amp;1232,6),LdgRankKeyB,0),"")</f>
        <v/>
      </c>
    </row>
    <row r="1249" spans="1:13" x14ac:dyDescent="0.2">
      <c r="A1249" s="3">
        <v>1233</v>
      </c>
      <c r="B1249" s="4" t="str">
        <f t="shared" si="152"/>
        <v/>
      </c>
      <c r="C1249" s="4" t="str">
        <f t="shared" si="153"/>
        <v/>
      </c>
      <c r="D1249" s="4" t="str">
        <f t="shared" si="154"/>
        <v/>
      </c>
      <c r="E1249" s="5" t="str">
        <f t="shared" si="155"/>
        <v/>
      </c>
      <c r="F1249" s="6" t="str">
        <f t="shared" si="156"/>
        <v/>
      </c>
      <c r="G1249" s="7" t="str">
        <f t="shared" si="157"/>
        <v/>
      </c>
      <c r="H1249" s="7" t="str">
        <f t="shared" si="158"/>
        <v/>
      </c>
      <c r="I1249" s="8" t="str">
        <f t="shared" si="159"/>
        <v/>
      </c>
      <c r="L1249" t="str">
        <f>IFERROR(MATCH($C$5&amp;"|"&amp;RIGHT("000000"&amp;1233,6),LdgRankKeyA,0),"")</f>
        <v/>
      </c>
      <c r="M1249" t="str">
        <f>IFERROR(MATCH($C$5&amp;"|"&amp;RIGHT("000000"&amp;1233,6),LdgRankKeyB,0),"")</f>
        <v/>
      </c>
    </row>
    <row r="1250" spans="1:13" x14ac:dyDescent="0.2">
      <c r="A1250" s="9">
        <v>1234</v>
      </c>
      <c r="B1250" s="10" t="str">
        <f t="shared" si="152"/>
        <v/>
      </c>
      <c r="C1250" s="10" t="str">
        <f t="shared" si="153"/>
        <v/>
      </c>
      <c r="D1250" s="10" t="str">
        <f t="shared" si="154"/>
        <v/>
      </c>
      <c r="E1250" s="11" t="str">
        <f t="shared" si="155"/>
        <v/>
      </c>
      <c r="F1250" s="12" t="str">
        <f t="shared" si="156"/>
        <v/>
      </c>
      <c r="G1250" s="13" t="str">
        <f t="shared" si="157"/>
        <v/>
      </c>
      <c r="H1250" s="13" t="str">
        <f t="shared" si="158"/>
        <v/>
      </c>
      <c r="I1250" s="14" t="str">
        <f t="shared" si="159"/>
        <v/>
      </c>
      <c r="L1250" t="str">
        <f>IFERROR(MATCH($C$5&amp;"|"&amp;RIGHT("000000"&amp;1234,6),LdgRankKeyA,0),"")</f>
        <v/>
      </c>
      <c r="M1250" t="str">
        <f>IFERROR(MATCH($C$5&amp;"|"&amp;RIGHT("000000"&amp;1234,6),LdgRankKeyB,0),"")</f>
        <v/>
      </c>
    </row>
    <row r="1251" spans="1:13" x14ac:dyDescent="0.2">
      <c r="A1251" s="3">
        <v>1235</v>
      </c>
      <c r="B1251" s="4" t="str">
        <f t="shared" si="152"/>
        <v/>
      </c>
      <c r="C1251" s="4" t="str">
        <f t="shared" si="153"/>
        <v/>
      </c>
      <c r="D1251" s="4" t="str">
        <f t="shared" si="154"/>
        <v/>
      </c>
      <c r="E1251" s="5" t="str">
        <f t="shared" si="155"/>
        <v/>
      </c>
      <c r="F1251" s="6" t="str">
        <f t="shared" si="156"/>
        <v/>
      </c>
      <c r="G1251" s="7" t="str">
        <f t="shared" si="157"/>
        <v/>
      </c>
      <c r="H1251" s="7" t="str">
        <f t="shared" si="158"/>
        <v/>
      </c>
      <c r="I1251" s="8" t="str">
        <f t="shared" si="159"/>
        <v/>
      </c>
      <c r="L1251" t="str">
        <f>IFERROR(MATCH($C$5&amp;"|"&amp;RIGHT("000000"&amp;1235,6),LdgRankKeyA,0),"")</f>
        <v/>
      </c>
      <c r="M1251" t="str">
        <f>IFERROR(MATCH($C$5&amp;"|"&amp;RIGHT("000000"&amp;1235,6),LdgRankKeyB,0),"")</f>
        <v/>
      </c>
    </row>
    <row r="1252" spans="1:13" x14ac:dyDescent="0.2">
      <c r="A1252" s="9">
        <v>1236</v>
      </c>
      <c r="B1252" s="10" t="str">
        <f t="shared" si="152"/>
        <v/>
      </c>
      <c r="C1252" s="10" t="str">
        <f t="shared" si="153"/>
        <v/>
      </c>
      <c r="D1252" s="10" t="str">
        <f t="shared" si="154"/>
        <v/>
      </c>
      <c r="E1252" s="11" t="str">
        <f t="shared" si="155"/>
        <v/>
      </c>
      <c r="F1252" s="12" t="str">
        <f t="shared" si="156"/>
        <v/>
      </c>
      <c r="G1252" s="13" t="str">
        <f t="shared" si="157"/>
        <v/>
      </c>
      <c r="H1252" s="13" t="str">
        <f t="shared" si="158"/>
        <v/>
      </c>
      <c r="I1252" s="14" t="str">
        <f t="shared" si="159"/>
        <v/>
      </c>
      <c r="L1252" t="str">
        <f>IFERROR(MATCH($C$5&amp;"|"&amp;RIGHT("000000"&amp;1236,6),LdgRankKeyA,0),"")</f>
        <v/>
      </c>
      <c r="M1252" t="str">
        <f>IFERROR(MATCH($C$5&amp;"|"&amp;RIGHT("000000"&amp;1236,6),LdgRankKeyB,0),"")</f>
        <v/>
      </c>
    </row>
    <row r="1253" spans="1:13" x14ac:dyDescent="0.2">
      <c r="A1253" s="3">
        <v>1237</v>
      </c>
      <c r="B1253" s="4" t="str">
        <f t="shared" si="152"/>
        <v/>
      </c>
      <c r="C1253" s="4" t="str">
        <f t="shared" si="153"/>
        <v/>
      </c>
      <c r="D1253" s="4" t="str">
        <f t="shared" si="154"/>
        <v/>
      </c>
      <c r="E1253" s="5" t="str">
        <f t="shared" si="155"/>
        <v/>
      </c>
      <c r="F1253" s="6" t="str">
        <f t="shared" si="156"/>
        <v/>
      </c>
      <c r="G1253" s="7" t="str">
        <f t="shared" si="157"/>
        <v/>
      </c>
      <c r="H1253" s="7" t="str">
        <f t="shared" si="158"/>
        <v/>
      </c>
      <c r="I1253" s="8" t="str">
        <f t="shared" si="159"/>
        <v/>
      </c>
      <c r="L1253" t="str">
        <f>IFERROR(MATCH($C$5&amp;"|"&amp;RIGHT("000000"&amp;1237,6),LdgRankKeyA,0),"")</f>
        <v/>
      </c>
      <c r="M1253" t="str">
        <f>IFERROR(MATCH($C$5&amp;"|"&amp;RIGHT("000000"&amp;1237,6),LdgRankKeyB,0),"")</f>
        <v/>
      </c>
    </row>
    <row r="1254" spans="1:13" x14ac:dyDescent="0.2">
      <c r="A1254" s="9">
        <v>1238</v>
      </c>
      <c r="B1254" s="10" t="str">
        <f t="shared" si="152"/>
        <v/>
      </c>
      <c r="C1254" s="10" t="str">
        <f t="shared" si="153"/>
        <v/>
      </c>
      <c r="D1254" s="10" t="str">
        <f t="shared" si="154"/>
        <v/>
      </c>
      <c r="E1254" s="11" t="str">
        <f t="shared" si="155"/>
        <v/>
      </c>
      <c r="F1254" s="12" t="str">
        <f t="shared" si="156"/>
        <v/>
      </c>
      <c r="G1254" s="13" t="str">
        <f t="shared" si="157"/>
        <v/>
      </c>
      <c r="H1254" s="13" t="str">
        <f t="shared" si="158"/>
        <v/>
      </c>
      <c r="I1254" s="14" t="str">
        <f t="shared" si="159"/>
        <v/>
      </c>
      <c r="L1254" t="str">
        <f>IFERROR(MATCH($C$5&amp;"|"&amp;RIGHT("000000"&amp;1238,6),LdgRankKeyA,0),"")</f>
        <v/>
      </c>
      <c r="M1254" t="str">
        <f>IFERROR(MATCH($C$5&amp;"|"&amp;RIGHT("000000"&amp;1238,6),LdgRankKeyB,0),"")</f>
        <v/>
      </c>
    </row>
    <row r="1255" spans="1:13" x14ac:dyDescent="0.2">
      <c r="A1255" s="3">
        <v>1239</v>
      </c>
      <c r="B1255" s="4" t="str">
        <f t="shared" si="152"/>
        <v/>
      </c>
      <c r="C1255" s="4" t="str">
        <f t="shared" si="153"/>
        <v/>
      </c>
      <c r="D1255" s="4" t="str">
        <f t="shared" si="154"/>
        <v/>
      </c>
      <c r="E1255" s="5" t="str">
        <f t="shared" si="155"/>
        <v/>
      </c>
      <c r="F1255" s="6" t="str">
        <f t="shared" si="156"/>
        <v/>
      </c>
      <c r="G1255" s="7" t="str">
        <f t="shared" si="157"/>
        <v/>
      </c>
      <c r="H1255" s="7" t="str">
        <f t="shared" si="158"/>
        <v/>
      </c>
      <c r="I1255" s="8" t="str">
        <f t="shared" si="159"/>
        <v/>
      </c>
      <c r="L1255" t="str">
        <f>IFERROR(MATCH($C$5&amp;"|"&amp;RIGHT("000000"&amp;1239,6),LdgRankKeyA,0),"")</f>
        <v/>
      </c>
      <c r="M1255" t="str">
        <f>IFERROR(MATCH($C$5&amp;"|"&amp;RIGHT("000000"&amp;1239,6),LdgRankKeyB,0),"")</f>
        <v/>
      </c>
    </row>
    <row r="1256" spans="1:13" x14ac:dyDescent="0.2">
      <c r="A1256" s="9">
        <v>1240</v>
      </c>
      <c r="B1256" s="10" t="str">
        <f t="shared" si="152"/>
        <v/>
      </c>
      <c r="C1256" s="10" t="str">
        <f t="shared" si="153"/>
        <v/>
      </c>
      <c r="D1256" s="10" t="str">
        <f t="shared" si="154"/>
        <v/>
      </c>
      <c r="E1256" s="11" t="str">
        <f t="shared" si="155"/>
        <v/>
      </c>
      <c r="F1256" s="12" t="str">
        <f t="shared" si="156"/>
        <v/>
      </c>
      <c r="G1256" s="13" t="str">
        <f t="shared" si="157"/>
        <v/>
      </c>
      <c r="H1256" s="13" t="str">
        <f t="shared" si="158"/>
        <v/>
      </c>
      <c r="I1256" s="14" t="str">
        <f t="shared" si="159"/>
        <v/>
      </c>
      <c r="L1256" t="str">
        <f>IFERROR(MATCH($C$5&amp;"|"&amp;RIGHT("000000"&amp;1240,6),LdgRankKeyA,0),"")</f>
        <v/>
      </c>
      <c r="M1256" t="str">
        <f>IFERROR(MATCH($C$5&amp;"|"&amp;RIGHT("000000"&amp;1240,6),LdgRankKeyB,0),"")</f>
        <v/>
      </c>
    </row>
    <row r="1257" spans="1:13" x14ac:dyDescent="0.2">
      <c r="A1257" s="3">
        <v>1241</v>
      </c>
      <c r="B1257" s="4" t="str">
        <f t="shared" si="152"/>
        <v/>
      </c>
      <c r="C1257" s="4" t="str">
        <f t="shared" si="153"/>
        <v/>
      </c>
      <c r="D1257" s="4" t="str">
        <f t="shared" si="154"/>
        <v/>
      </c>
      <c r="E1257" s="5" t="str">
        <f t="shared" si="155"/>
        <v/>
      </c>
      <c r="F1257" s="6" t="str">
        <f t="shared" si="156"/>
        <v/>
      </c>
      <c r="G1257" s="7" t="str">
        <f t="shared" si="157"/>
        <v/>
      </c>
      <c r="H1257" s="7" t="str">
        <f t="shared" si="158"/>
        <v/>
      </c>
      <c r="I1257" s="8" t="str">
        <f t="shared" si="159"/>
        <v/>
      </c>
      <c r="L1257" t="str">
        <f>IFERROR(MATCH($C$5&amp;"|"&amp;RIGHT("000000"&amp;1241,6),LdgRankKeyA,0),"")</f>
        <v/>
      </c>
      <c r="M1257" t="str">
        <f>IFERROR(MATCH($C$5&amp;"|"&amp;RIGHT("000000"&amp;1241,6),LdgRankKeyB,0),"")</f>
        <v/>
      </c>
    </row>
    <row r="1258" spans="1:13" x14ac:dyDescent="0.2">
      <c r="A1258" s="9">
        <v>1242</v>
      </c>
      <c r="B1258" s="10" t="str">
        <f t="shared" si="152"/>
        <v/>
      </c>
      <c r="C1258" s="10" t="str">
        <f t="shared" si="153"/>
        <v/>
      </c>
      <c r="D1258" s="10" t="str">
        <f t="shared" si="154"/>
        <v/>
      </c>
      <c r="E1258" s="11" t="str">
        <f t="shared" si="155"/>
        <v/>
      </c>
      <c r="F1258" s="12" t="str">
        <f t="shared" si="156"/>
        <v/>
      </c>
      <c r="G1258" s="13" t="str">
        <f t="shared" si="157"/>
        <v/>
      </c>
      <c r="H1258" s="13" t="str">
        <f t="shared" si="158"/>
        <v/>
      </c>
      <c r="I1258" s="14" t="str">
        <f t="shared" si="159"/>
        <v/>
      </c>
      <c r="L1258" t="str">
        <f>IFERROR(MATCH($C$5&amp;"|"&amp;RIGHT("000000"&amp;1242,6),LdgRankKeyA,0),"")</f>
        <v/>
      </c>
      <c r="M1258" t="str">
        <f>IFERROR(MATCH($C$5&amp;"|"&amp;RIGHT("000000"&amp;1242,6),LdgRankKeyB,0),"")</f>
        <v/>
      </c>
    </row>
    <row r="1259" spans="1:13" x14ac:dyDescent="0.2">
      <c r="A1259" s="3">
        <v>1243</v>
      </c>
      <c r="B1259" s="4" t="str">
        <f t="shared" si="152"/>
        <v/>
      </c>
      <c r="C1259" s="4" t="str">
        <f t="shared" si="153"/>
        <v/>
      </c>
      <c r="D1259" s="4" t="str">
        <f t="shared" si="154"/>
        <v/>
      </c>
      <c r="E1259" s="5" t="str">
        <f t="shared" si="155"/>
        <v/>
      </c>
      <c r="F1259" s="6" t="str">
        <f t="shared" si="156"/>
        <v/>
      </c>
      <c r="G1259" s="7" t="str">
        <f t="shared" si="157"/>
        <v/>
      </c>
      <c r="H1259" s="7" t="str">
        <f t="shared" si="158"/>
        <v/>
      </c>
      <c r="I1259" s="8" t="str">
        <f t="shared" si="159"/>
        <v/>
      </c>
      <c r="L1259" t="str">
        <f>IFERROR(MATCH($C$5&amp;"|"&amp;RIGHT("000000"&amp;1243,6),LdgRankKeyA,0),"")</f>
        <v/>
      </c>
      <c r="M1259" t="str">
        <f>IFERROR(MATCH($C$5&amp;"|"&amp;RIGHT("000000"&amp;1243,6),LdgRankKeyB,0),"")</f>
        <v/>
      </c>
    </row>
    <row r="1260" spans="1:13" x14ac:dyDescent="0.2">
      <c r="A1260" s="9">
        <v>1244</v>
      </c>
      <c r="B1260" s="10" t="str">
        <f t="shared" si="152"/>
        <v/>
      </c>
      <c r="C1260" s="10" t="str">
        <f t="shared" si="153"/>
        <v/>
      </c>
      <c r="D1260" s="10" t="str">
        <f t="shared" si="154"/>
        <v/>
      </c>
      <c r="E1260" s="11" t="str">
        <f t="shared" si="155"/>
        <v/>
      </c>
      <c r="F1260" s="12" t="str">
        <f t="shared" si="156"/>
        <v/>
      </c>
      <c r="G1260" s="13" t="str">
        <f t="shared" si="157"/>
        <v/>
      </c>
      <c r="H1260" s="13" t="str">
        <f t="shared" si="158"/>
        <v/>
      </c>
      <c r="I1260" s="14" t="str">
        <f t="shared" si="159"/>
        <v/>
      </c>
      <c r="L1260" t="str">
        <f>IFERROR(MATCH($C$5&amp;"|"&amp;RIGHT("000000"&amp;1244,6),LdgRankKeyA,0),"")</f>
        <v/>
      </c>
      <c r="M1260" t="str">
        <f>IFERROR(MATCH($C$5&amp;"|"&amp;RIGHT("000000"&amp;1244,6),LdgRankKeyB,0),"")</f>
        <v/>
      </c>
    </row>
    <row r="1261" spans="1:13" x14ac:dyDescent="0.2">
      <c r="A1261" s="3">
        <v>1245</v>
      </c>
      <c r="B1261" s="4" t="str">
        <f t="shared" si="152"/>
        <v/>
      </c>
      <c r="C1261" s="4" t="str">
        <f t="shared" si="153"/>
        <v/>
      </c>
      <c r="D1261" s="4" t="str">
        <f t="shared" si="154"/>
        <v/>
      </c>
      <c r="E1261" s="5" t="str">
        <f t="shared" si="155"/>
        <v/>
      </c>
      <c r="F1261" s="6" t="str">
        <f t="shared" si="156"/>
        <v/>
      </c>
      <c r="G1261" s="7" t="str">
        <f t="shared" si="157"/>
        <v/>
      </c>
      <c r="H1261" s="7" t="str">
        <f t="shared" si="158"/>
        <v/>
      </c>
      <c r="I1261" s="8" t="str">
        <f t="shared" si="159"/>
        <v/>
      </c>
      <c r="L1261" t="str">
        <f>IFERROR(MATCH($C$5&amp;"|"&amp;RIGHT("000000"&amp;1245,6),LdgRankKeyA,0),"")</f>
        <v/>
      </c>
      <c r="M1261" t="str">
        <f>IFERROR(MATCH($C$5&amp;"|"&amp;RIGHT("000000"&amp;1245,6),LdgRankKeyB,0),"")</f>
        <v/>
      </c>
    </row>
    <row r="1262" spans="1:13" x14ac:dyDescent="0.2">
      <c r="A1262" s="9">
        <v>1246</v>
      </c>
      <c r="B1262" s="10" t="str">
        <f t="shared" si="152"/>
        <v/>
      </c>
      <c r="C1262" s="10" t="str">
        <f t="shared" si="153"/>
        <v/>
      </c>
      <c r="D1262" s="10" t="str">
        <f t="shared" si="154"/>
        <v/>
      </c>
      <c r="E1262" s="11" t="str">
        <f t="shared" si="155"/>
        <v/>
      </c>
      <c r="F1262" s="12" t="str">
        <f t="shared" si="156"/>
        <v/>
      </c>
      <c r="G1262" s="13" t="str">
        <f t="shared" si="157"/>
        <v/>
      </c>
      <c r="H1262" s="13" t="str">
        <f t="shared" si="158"/>
        <v/>
      </c>
      <c r="I1262" s="14" t="str">
        <f t="shared" si="159"/>
        <v/>
      </c>
      <c r="L1262" t="str">
        <f>IFERROR(MATCH($C$5&amp;"|"&amp;RIGHT("000000"&amp;1246,6),LdgRankKeyA,0),"")</f>
        <v/>
      </c>
      <c r="M1262" t="str">
        <f>IFERROR(MATCH($C$5&amp;"|"&amp;RIGHT("000000"&amp;1246,6),LdgRankKeyB,0),"")</f>
        <v/>
      </c>
    </row>
    <row r="1263" spans="1:13" x14ac:dyDescent="0.2">
      <c r="A1263" s="3">
        <v>1247</v>
      </c>
      <c r="B1263" s="4" t="str">
        <f t="shared" si="152"/>
        <v/>
      </c>
      <c r="C1263" s="4" t="str">
        <f t="shared" si="153"/>
        <v/>
      </c>
      <c r="D1263" s="4" t="str">
        <f t="shared" si="154"/>
        <v/>
      </c>
      <c r="E1263" s="5" t="str">
        <f t="shared" si="155"/>
        <v/>
      </c>
      <c r="F1263" s="6" t="str">
        <f t="shared" si="156"/>
        <v/>
      </c>
      <c r="G1263" s="7" t="str">
        <f t="shared" si="157"/>
        <v/>
      </c>
      <c r="H1263" s="7" t="str">
        <f t="shared" si="158"/>
        <v/>
      </c>
      <c r="I1263" s="8" t="str">
        <f t="shared" si="159"/>
        <v/>
      </c>
      <c r="L1263" t="str">
        <f>IFERROR(MATCH($C$5&amp;"|"&amp;RIGHT("000000"&amp;1247,6),LdgRankKeyA,0),"")</f>
        <v/>
      </c>
      <c r="M1263" t="str">
        <f>IFERROR(MATCH($C$5&amp;"|"&amp;RIGHT("000000"&amp;1247,6),LdgRankKeyB,0),"")</f>
        <v/>
      </c>
    </row>
    <row r="1264" spans="1:13" x14ac:dyDescent="0.2">
      <c r="A1264" s="9">
        <v>1248</v>
      </c>
      <c r="B1264" s="10" t="str">
        <f t="shared" si="152"/>
        <v/>
      </c>
      <c r="C1264" s="10" t="str">
        <f t="shared" si="153"/>
        <v/>
      </c>
      <c r="D1264" s="10" t="str">
        <f t="shared" si="154"/>
        <v/>
      </c>
      <c r="E1264" s="11" t="str">
        <f t="shared" si="155"/>
        <v/>
      </c>
      <c r="F1264" s="12" t="str">
        <f t="shared" si="156"/>
        <v/>
      </c>
      <c r="G1264" s="13" t="str">
        <f t="shared" si="157"/>
        <v/>
      </c>
      <c r="H1264" s="13" t="str">
        <f t="shared" si="158"/>
        <v/>
      </c>
      <c r="I1264" s="14" t="str">
        <f t="shared" si="159"/>
        <v/>
      </c>
      <c r="L1264" t="str">
        <f>IFERROR(MATCH($C$5&amp;"|"&amp;RIGHT("000000"&amp;1248,6),LdgRankKeyA,0),"")</f>
        <v/>
      </c>
      <c r="M1264" t="str">
        <f>IFERROR(MATCH($C$5&amp;"|"&amp;RIGHT("000000"&amp;1248,6),LdgRankKeyB,0),"")</f>
        <v/>
      </c>
    </row>
    <row r="1265" spans="1:13" x14ac:dyDescent="0.2">
      <c r="A1265" s="3">
        <v>1249</v>
      </c>
      <c r="B1265" s="4" t="str">
        <f t="shared" si="152"/>
        <v/>
      </c>
      <c r="C1265" s="4" t="str">
        <f t="shared" si="153"/>
        <v/>
      </c>
      <c r="D1265" s="4" t="str">
        <f t="shared" si="154"/>
        <v/>
      </c>
      <c r="E1265" s="5" t="str">
        <f t="shared" si="155"/>
        <v/>
      </c>
      <c r="F1265" s="6" t="str">
        <f t="shared" si="156"/>
        <v/>
      </c>
      <c r="G1265" s="7" t="str">
        <f t="shared" si="157"/>
        <v/>
      </c>
      <c r="H1265" s="7" t="str">
        <f t="shared" si="158"/>
        <v/>
      </c>
      <c r="I1265" s="8" t="str">
        <f t="shared" si="159"/>
        <v/>
      </c>
      <c r="L1265" t="str">
        <f>IFERROR(MATCH($C$5&amp;"|"&amp;RIGHT("000000"&amp;1249,6),LdgRankKeyA,0),"")</f>
        <v/>
      </c>
      <c r="M1265" t="str">
        <f>IFERROR(MATCH($C$5&amp;"|"&amp;RIGHT("000000"&amp;1249,6),LdgRankKeyB,0),"")</f>
        <v/>
      </c>
    </row>
    <row r="1266" spans="1:13" x14ac:dyDescent="0.2">
      <c r="A1266" s="9">
        <v>1250</v>
      </c>
      <c r="B1266" s="10" t="str">
        <f t="shared" si="152"/>
        <v/>
      </c>
      <c r="C1266" s="10" t="str">
        <f t="shared" si="153"/>
        <v/>
      </c>
      <c r="D1266" s="10" t="str">
        <f t="shared" si="154"/>
        <v/>
      </c>
      <c r="E1266" s="11" t="str">
        <f t="shared" si="155"/>
        <v/>
      </c>
      <c r="F1266" s="12" t="str">
        <f t="shared" si="156"/>
        <v/>
      </c>
      <c r="G1266" s="13" t="str">
        <f t="shared" si="157"/>
        <v/>
      </c>
      <c r="H1266" s="13" t="str">
        <f t="shared" si="158"/>
        <v/>
      </c>
      <c r="I1266" s="14" t="str">
        <f t="shared" si="159"/>
        <v/>
      </c>
      <c r="L1266" t="str">
        <f>IFERROR(MATCH($C$5&amp;"|"&amp;RIGHT("000000"&amp;1250,6),LdgRankKeyA,0),"")</f>
        <v/>
      </c>
      <c r="M1266" t="str">
        <f>IFERROR(MATCH($C$5&amp;"|"&amp;RIGHT("000000"&amp;1250,6),LdgRankKeyB,0),"")</f>
        <v/>
      </c>
    </row>
    <row r="1267" spans="1:13" x14ac:dyDescent="0.2">
      <c r="A1267" s="3">
        <v>1251</v>
      </c>
      <c r="B1267" s="4" t="str">
        <f t="shared" si="152"/>
        <v/>
      </c>
      <c r="C1267" s="4" t="str">
        <f t="shared" si="153"/>
        <v/>
      </c>
      <c r="D1267" s="4" t="str">
        <f t="shared" si="154"/>
        <v/>
      </c>
      <c r="E1267" s="5" t="str">
        <f t="shared" si="155"/>
        <v/>
      </c>
      <c r="F1267" s="6" t="str">
        <f t="shared" si="156"/>
        <v/>
      </c>
      <c r="G1267" s="7" t="str">
        <f t="shared" si="157"/>
        <v/>
      </c>
      <c r="H1267" s="7" t="str">
        <f t="shared" si="158"/>
        <v/>
      </c>
      <c r="I1267" s="8" t="str">
        <f t="shared" si="159"/>
        <v/>
      </c>
      <c r="L1267" t="str">
        <f>IFERROR(MATCH($C$5&amp;"|"&amp;RIGHT("000000"&amp;1251,6),LdgRankKeyA,0),"")</f>
        <v/>
      </c>
      <c r="M1267" t="str">
        <f>IFERROR(MATCH($C$5&amp;"|"&amp;RIGHT("000000"&amp;1251,6),LdgRankKeyB,0),"")</f>
        <v/>
      </c>
    </row>
    <row r="1268" spans="1:13" x14ac:dyDescent="0.2">
      <c r="A1268" s="9">
        <v>1252</v>
      </c>
      <c r="B1268" s="10" t="str">
        <f t="shared" si="152"/>
        <v/>
      </c>
      <c r="C1268" s="10" t="str">
        <f t="shared" si="153"/>
        <v/>
      </c>
      <c r="D1268" s="10" t="str">
        <f t="shared" si="154"/>
        <v/>
      </c>
      <c r="E1268" s="11" t="str">
        <f t="shared" si="155"/>
        <v/>
      </c>
      <c r="F1268" s="12" t="str">
        <f t="shared" si="156"/>
        <v/>
      </c>
      <c r="G1268" s="13" t="str">
        <f t="shared" si="157"/>
        <v/>
      </c>
      <c r="H1268" s="13" t="str">
        <f t="shared" si="158"/>
        <v/>
      </c>
      <c r="I1268" s="14" t="str">
        <f t="shared" si="159"/>
        <v/>
      </c>
      <c r="L1268" t="str">
        <f>IFERROR(MATCH($C$5&amp;"|"&amp;RIGHT("000000"&amp;1252,6),LdgRankKeyA,0),"")</f>
        <v/>
      </c>
      <c r="M1268" t="str">
        <f>IFERROR(MATCH($C$5&amp;"|"&amp;RIGHT("000000"&amp;1252,6),LdgRankKeyB,0),"")</f>
        <v/>
      </c>
    </row>
    <row r="1269" spans="1:13" x14ac:dyDescent="0.2">
      <c r="A1269" s="3">
        <v>1253</v>
      </c>
      <c r="B1269" s="4" t="str">
        <f t="shared" si="152"/>
        <v/>
      </c>
      <c r="C1269" s="4" t="str">
        <f t="shared" si="153"/>
        <v/>
      </c>
      <c r="D1269" s="4" t="str">
        <f t="shared" si="154"/>
        <v/>
      </c>
      <c r="E1269" s="5" t="str">
        <f t="shared" si="155"/>
        <v/>
      </c>
      <c r="F1269" s="6" t="str">
        <f t="shared" si="156"/>
        <v/>
      </c>
      <c r="G1269" s="7" t="str">
        <f t="shared" si="157"/>
        <v/>
      </c>
      <c r="H1269" s="7" t="str">
        <f t="shared" si="158"/>
        <v/>
      </c>
      <c r="I1269" s="8" t="str">
        <f t="shared" si="159"/>
        <v/>
      </c>
      <c r="L1269" t="str">
        <f>IFERROR(MATCH($C$5&amp;"|"&amp;RIGHT("000000"&amp;1253,6),LdgRankKeyA,0),"")</f>
        <v/>
      </c>
      <c r="M1269" t="str">
        <f>IFERROR(MATCH($C$5&amp;"|"&amp;RIGHT("000000"&amp;1253,6),LdgRankKeyB,0),"")</f>
        <v/>
      </c>
    </row>
    <row r="1270" spans="1:13" x14ac:dyDescent="0.2">
      <c r="A1270" s="9">
        <v>1254</v>
      </c>
      <c r="B1270" s="10" t="str">
        <f t="shared" si="152"/>
        <v/>
      </c>
      <c r="C1270" s="10" t="str">
        <f t="shared" si="153"/>
        <v/>
      </c>
      <c r="D1270" s="10" t="str">
        <f t="shared" si="154"/>
        <v/>
      </c>
      <c r="E1270" s="11" t="str">
        <f t="shared" si="155"/>
        <v/>
      </c>
      <c r="F1270" s="12" t="str">
        <f t="shared" si="156"/>
        <v/>
      </c>
      <c r="G1270" s="13" t="str">
        <f t="shared" si="157"/>
        <v/>
      </c>
      <c r="H1270" s="13" t="str">
        <f t="shared" si="158"/>
        <v/>
      </c>
      <c r="I1270" s="14" t="str">
        <f t="shared" si="159"/>
        <v/>
      </c>
      <c r="L1270" t="str">
        <f>IFERROR(MATCH($C$5&amp;"|"&amp;RIGHT("000000"&amp;1254,6),LdgRankKeyA,0),"")</f>
        <v/>
      </c>
      <c r="M1270" t="str">
        <f>IFERROR(MATCH($C$5&amp;"|"&amp;RIGHT("000000"&amp;1254,6),LdgRankKeyB,0),"")</f>
        <v/>
      </c>
    </row>
    <row r="1271" spans="1:13" x14ac:dyDescent="0.2">
      <c r="A1271" s="3">
        <v>1255</v>
      </c>
      <c r="B1271" s="4" t="str">
        <f t="shared" si="152"/>
        <v/>
      </c>
      <c r="C1271" s="4" t="str">
        <f t="shared" si="153"/>
        <v/>
      </c>
      <c r="D1271" s="4" t="str">
        <f t="shared" si="154"/>
        <v/>
      </c>
      <c r="E1271" s="5" t="str">
        <f t="shared" si="155"/>
        <v/>
      </c>
      <c r="F1271" s="6" t="str">
        <f t="shared" si="156"/>
        <v/>
      </c>
      <c r="G1271" s="7" t="str">
        <f t="shared" si="157"/>
        <v/>
      </c>
      <c r="H1271" s="7" t="str">
        <f t="shared" si="158"/>
        <v/>
      </c>
      <c r="I1271" s="8" t="str">
        <f t="shared" si="159"/>
        <v/>
      </c>
      <c r="L1271" t="str">
        <f>IFERROR(MATCH($C$5&amp;"|"&amp;RIGHT("000000"&amp;1255,6),LdgRankKeyA,0),"")</f>
        <v/>
      </c>
      <c r="M1271" t="str">
        <f>IFERROR(MATCH($C$5&amp;"|"&amp;RIGHT("000000"&amp;1255,6),LdgRankKeyB,0),"")</f>
        <v/>
      </c>
    </row>
    <row r="1272" spans="1:13" x14ac:dyDescent="0.2">
      <c r="A1272" s="9">
        <v>1256</v>
      </c>
      <c r="B1272" s="10" t="str">
        <f t="shared" si="152"/>
        <v/>
      </c>
      <c r="C1272" s="10" t="str">
        <f t="shared" si="153"/>
        <v/>
      </c>
      <c r="D1272" s="10" t="str">
        <f t="shared" si="154"/>
        <v/>
      </c>
      <c r="E1272" s="11" t="str">
        <f t="shared" si="155"/>
        <v/>
      </c>
      <c r="F1272" s="12" t="str">
        <f t="shared" si="156"/>
        <v/>
      </c>
      <c r="G1272" s="13" t="str">
        <f t="shared" si="157"/>
        <v/>
      </c>
      <c r="H1272" s="13" t="str">
        <f t="shared" si="158"/>
        <v/>
      </c>
      <c r="I1272" s="14" t="str">
        <f t="shared" si="159"/>
        <v/>
      </c>
      <c r="L1272" t="str">
        <f>IFERROR(MATCH($C$5&amp;"|"&amp;RIGHT("000000"&amp;1256,6),LdgRankKeyA,0),"")</f>
        <v/>
      </c>
      <c r="M1272" t="str">
        <f>IFERROR(MATCH($C$5&amp;"|"&amp;RIGHT("000000"&amp;1256,6),LdgRankKeyB,0),"")</f>
        <v/>
      </c>
    </row>
    <row r="1273" spans="1:13" x14ac:dyDescent="0.2">
      <c r="A1273" s="3">
        <v>1257</v>
      </c>
      <c r="B1273" s="4" t="str">
        <f t="shared" si="152"/>
        <v/>
      </c>
      <c r="C1273" s="4" t="str">
        <f t="shared" si="153"/>
        <v/>
      </c>
      <c r="D1273" s="4" t="str">
        <f t="shared" si="154"/>
        <v/>
      </c>
      <c r="E1273" s="5" t="str">
        <f t="shared" si="155"/>
        <v/>
      </c>
      <c r="F1273" s="6" t="str">
        <f t="shared" si="156"/>
        <v/>
      </c>
      <c r="G1273" s="7" t="str">
        <f t="shared" si="157"/>
        <v/>
      </c>
      <c r="H1273" s="7" t="str">
        <f t="shared" si="158"/>
        <v/>
      </c>
      <c r="I1273" s="8" t="str">
        <f t="shared" si="159"/>
        <v/>
      </c>
      <c r="L1273" t="str">
        <f>IFERROR(MATCH($C$5&amp;"|"&amp;RIGHT("000000"&amp;1257,6),LdgRankKeyA,0),"")</f>
        <v/>
      </c>
      <c r="M1273" t="str">
        <f>IFERROR(MATCH($C$5&amp;"|"&amp;RIGHT("000000"&amp;1257,6),LdgRankKeyB,0),"")</f>
        <v/>
      </c>
    </row>
    <row r="1274" spans="1:13" x14ac:dyDescent="0.2">
      <c r="A1274" s="9">
        <v>1258</v>
      </c>
      <c r="B1274" s="10" t="str">
        <f t="shared" si="152"/>
        <v/>
      </c>
      <c r="C1274" s="10" t="str">
        <f t="shared" si="153"/>
        <v/>
      </c>
      <c r="D1274" s="10" t="str">
        <f t="shared" si="154"/>
        <v/>
      </c>
      <c r="E1274" s="11" t="str">
        <f t="shared" si="155"/>
        <v/>
      </c>
      <c r="F1274" s="12" t="str">
        <f t="shared" si="156"/>
        <v/>
      </c>
      <c r="G1274" s="13" t="str">
        <f t="shared" si="157"/>
        <v/>
      </c>
      <c r="H1274" s="13" t="str">
        <f t="shared" si="158"/>
        <v/>
      </c>
      <c r="I1274" s="14" t="str">
        <f t="shared" si="159"/>
        <v/>
      </c>
      <c r="L1274" t="str">
        <f>IFERROR(MATCH($C$5&amp;"|"&amp;RIGHT("000000"&amp;1258,6),LdgRankKeyA,0),"")</f>
        <v/>
      </c>
      <c r="M1274" t="str">
        <f>IFERROR(MATCH($C$5&amp;"|"&amp;RIGHT("000000"&amp;1258,6),LdgRankKeyB,0),"")</f>
        <v/>
      </c>
    </row>
    <row r="1275" spans="1:13" x14ac:dyDescent="0.2">
      <c r="A1275" s="3">
        <v>1259</v>
      </c>
      <c r="B1275" s="4" t="str">
        <f t="shared" si="152"/>
        <v/>
      </c>
      <c r="C1275" s="4" t="str">
        <f t="shared" si="153"/>
        <v/>
      </c>
      <c r="D1275" s="4" t="str">
        <f t="shared" si="154"/>
        <v/>
      </c>
      <c r="E1275" s="5" t="str">
        <f t="shared" si="155"/>
        <v/>
      </c>
      <c r="F1275" s="6" t="str">
        <f t="shared" si="156"/>
        <v/>
      </c>
      <c r="G1275" s="7" t="str">
        <f t="shared" si="157"/>
        <v/>
      </c>
      <c r="H1275" s="7" t="str">
        <f t="shared" si="158"/>
        <v/>
      </c>
      <c r="I1275" s="8" t="str">
        <f t="shared" si="159"/>
        <v/>
      </c>
      <c r="L1275" t="str">
        <f>IFERROR(MATCH($C$5&amp;"|"&amp;RIGHT("000000"&amp;1259,6),LdgRankKeyA,0),"")</f>
        <v/>
      </c>
      <c r="M1275" t="str">
        <f>IFERROR(MATCH($C$5&amp;"|"&amp;RIGHT("000000"&amp;1259,6),LdgRankKeyB,0),"")</f>
        <v/>
      </c>
    </row>
    <row r="1276" spans="1:13" x14ac:dyDescent="0.2">
      <c r="A1276" s="9">
        <v>1260</v>
      </c>
      <c r="B1276" s="10" t="str">
        <f t="shared" si="152"/>
        <v/>
      </c>
      <c r="C1276" s="10" t="str">
        <f t="shared" si="153"/>
        <v/>
      </c>
      <c r="D1276" s="10" t="str">
        <f t="shared" si="154"/>
        <v/>
      </c>
      <c r="E1276" s="11" t="str">
        <f t="shared" si="155"/>
        <v/>
      </c>
      <c r="F1276" s="12" t="str">
        <f t="shared" si="156"/>
        <v/>
      </c>
      <c r="G1276" s="13" t="str">
        <f t="shared" si="157"/>
        <v/>
      </c>
      <c r="H1276" s="13" t="str">
        <f t="shared" si="158"/>
        <v/>
      </c>
      <c r="I1276" s="14" t="str">
        <f t="shared" si="159"/>
        <v/>
      </c>
      <c r="L1276" t="str">
        <f>IFERROR(MATCH($C$5&amp;"|"&amp;RIGHT("000000"&amp;1260,6),LdgRankKeyA,0),"")</f>
        <v/>
      </c>
      <c r="M1276" t="str">
        <f>IFERROR(MATCH($C$5&amp;"|"&amp;RIGHT("000000"&amp;1260,6),LdgRankKeyB,0),"")</f>
        <v/>
      </c>
    </row>
    <row r="1277" spans="1:13" x14ac:dyDescent="0.2">
      <c r="A1277" s="3">
        <v>1261</v>
      </c>
      <c r="B1277" s="4" t="str">
        <f t="shared" si="152"/>
        <v/>
      </c>
      <c r="C1277" s="4" t="str">
        <f t="shared" si="153"/>
        <v/>
      </c>
      <c r="D1277" s="4" t="str">
        <f t="shared" si="154"/>
        <v/>
      </c>
      <c r="E1277" s="5" t="str">
        <f t="shared" si="155"/>
        <v/>
      </c>
      <c r="F1277" s="6" t="str">
        <f t="shared" si="156"/>
        <v/>
      </c>
      <c r="G1277" s="7" t="str">
        <f t="shared" si="157"/>
        <v/>
      </c>
      <c r="H1277" s="7" t="str">
        <f t="shared" si="158"/>
        <v/>
      </c>
      <c r="I1277" s="8" t="str">
        <f t="shared" si="159"/>
        <v/>
      </c>
      <c r="L1277" t="str">
        <f>IFERROR(MATCH($C$5&amp;"|"&amp;RIGHT("000000"&amp;1261,6),LdgRankKeyA,0),"")</f>
        <v/>
      </c>
      <c r="M1277" t="str">
        <f>IFERROR(MATCH($C$5&amp;"|"&amp;RIGHT("000000"&amp;1261,6),LdgRankKeyB,0),"")</f>
        <v/>
      </c>
    </row>
    <row r="1278" spans="1:13" x14ac:dyDescent="0.2">
      <c r="A1278" s="9">
        <v>1262</v>
      </c>
      <c r="B1278" s="10" t="str">
        <f t="shared" si="152"/>
        <v/>
      </c>
      <c r="C1278" s="10" t="str">
        <f t="shared" si="153"/>
        <v/>
      </c>
      <c r="D1278" s="10" t="str">
        <f t="shared" si="154"/>
        <v/>
      </c>
      <c r="E1278" s="11" t="str">
        <f t="shared" si="155"/>
        <v/>
      </c>
      <c r="F1278" s="12" t="str">
        <f t="shared" si="156"/>
        <v/>
      </c>
      <c r="G1278" s="13" t="str">
        <f t="shared" si="157"/>
        <v/>
      </c>
      <c r="H1278" s="13" t="str">
        <f t="shared" si="158"/>
        <v/>
      </c>
      <c r="I1278" s="14" t="str">
        <f t="shared" si="159"/>
        <v/>
      </c>
      <c r="L1278" t="str">
        <f>IFERROR(MATCH($C$5&amp;"|"&amp;RIGHT("000000"&amp;1262,6),LdgRankKeyA,0),"")</f>
        <v/>
      </c>
      <c r="M1278" t="str">
        <f>IFERROR(MATCH($C$5&amp;"|"&amp;RIGHT("000000"&amp;1262,6),LdgRankKeyB,0),"")</f>
        <v/>
      </c>
    </row>
    <row r="1279" spans="1:13" x14ac:dyDescent="0.2">
      <c r="A1279" s="3">
        <v>1263</v>
      </c>
      <c r="B1279" s="4" t="str">
        <f t="shared" si="152"/>
        <v/>
      </c>
      <c r="C1279" s="4" t="str">
        <f t="shared" si="153"/>
        <v/>
      </c>
      <c r="D1279" s="4" t="str">
        <f t="shared" si="154"/>
        <v/>
      </c>
      <c r="E1279" s="5" t="str">
        <f t="shared" si="155"/>
        <v/>
      </c>
      <c r="F1279" s="6" t="str">
        <f t="shared" si="156"/>
        <v/>
      </c>
      <c r="G1279" s="7" t="str">
        <f t="shared" si="157"/>
        <v/>
      </c>
      <c r="H1279" s="7" t="str">
        <f t="shared" si="158"/>
        <v/>
      </c>
      <c r="I1279" s="8" t="str">
        <f t="shared" si="159"/>
        <v/>
      </c>
      <c r="L1279" t="str">
        <f>IFERROR(MATCH($C$5&amp;"|"&amp;RIGHT("000000"&amp;1263,6),LdgRankKeyA,0),"")</f>
        <v/>
      </c>
      <c r="M1279" t="str">
        <f>IFERROR(MATCH($C$5&amp;"|"&amp;RIGHT("000000"&amp;1263,6),LdgRankKeyB,0),"")</f>
        <v/>
      </c>
    </row>
    <row r="1280" spans="1:13" x14ac:dyDescent="0.2">
      <c r="A1280" s="9">
        <v>1264</v>
      </c>
      <c r="B1280" s="10" t="str">
        <f t="shared" si="152"/>
        <v/>
      </c>
      <c r="C1280" s="10" t="str">
        <f t="shared" si="153"/>
        <v/>
      </c>
      <c r="D1280" s="10" t="str">
        <f t="shared" si="154"/>
        <v/>
      </c>
      <c r="E1280" s="11" t="str">
        <f t="shared" si="155"/>
        <v/>
      </c>
      <c r="F1280" s="12" t="str">
        <f t="shared" si="156"/>
        <v/>
      </c>
      <c r="G1280" s="13" t="str">
        <f t="shared" si="157"/>
        <v/>
      </c>
      <c r="H1280" s="13" t="str">
        <f t="shared" si="158"/>
        <v/>
      </c>
      <c r="I1280" s="14" t="str">
        <f t="shared" si="159"/>
        <v/>
      </c>
      <c r="L1280" t="str">
        <f>IFERROR(MATCH($C$5&amp;"|"&amp;RIGHT("000000"&amp;1264,6),LdgRankKeyA,0),"")</f>
        <v/>
      </c>
      <c r="M1280" t="str">
        <f>IFERROR(MATCH($C$5&amp;"|"&amp;RIGHT("000000"&amp;1264,6),LdgRankKeyB,0),"")</f>
        <v/>
      </c>
    </row>
    <row r="1281" spans="1:13" x14ac:dyDescent="0.2">
      <c r="A1281" s="3">
        <v>1265</v>
      </c>
      <c r="B1281" s="4" t="str">
        <f t="shared" si="152"/>
        <v/>
      </c>
      <c r="C1281" s="4" t="str">
        <f t="shared" si="153"/>
        <v/>
      </c>
      <c r="D1281" s="4" t="str">
        <f t="shared" si="154"/>
        <v/>
      </c>
      <c r="E1281" s="5" t="str">
        <f t="shared" si="155"/>
        <v/>
      </c>
      <c r="F1281" s="6" t="str">
        <f t="shared" si="156"/>
        <v/>
      </c>
      <c r="G1281" s="7" t="str">
        <f t="shared" si="157"/>
        <v/>
      </c>
      <c r="H1281" s="7" t="str">
        <f t="shared" si="158"/>
        <v/>
      </c>
      <c r="I1281" s="8" t="str">
        <f t="shared" si="159"/>
        <v/>
      </c>
      <c r="L1281" t="str">
        <f>IFERROR(MATCH($C$5&amp;"|"&amp;RIGHT("000000"&amp;1265,6),LdgRankKeyA,0),"")</f>
        <v/>
      </c>
      <c r="M1281" t="str">
        <f>IFERROR(MATCH($C$5&amp;"|"&amp;RIGHT("000000"&amp;1265,6),LdgRankKeyB,0),"")</f>
        <v/>
      </c>
    </row>
    <row r="1282" spans="1:13" x14ac:dyDescent="0.2">
      <c r="A1282" s="9">
        <v>1266</v>
      </c>
      <c r="B1282" s="10" t="str">
        <f t="shared" si="152"/>
        <v/>
      </c>
      <c r="C1282" s="10" t="str">
        <f t="shared" si="153"/>
        <v/>
      </c>
      <c r="D1282" s="10" t="str">
        <f t="shared" si="154"/>
        <v/>
      </c>
      <c r="E1282" s="11" t="str">
        <f t="shared" si="155"/>
        <v/>
      </c>
      <c r="F1282" s="12" t="str">
        <f t="shared" si="156"/>
        <v/>
      </c>
      <c r="G1282" s="13" t="str">
        <f t="shared" si="157"/>
        <v/>
      </c>
      <c r="H1282" s="13" t="str">
        <f t="shared" si="158"/>
        <v/>
      </c>
      <c r="I1282" s="14" t="str">
        <f t="shared" si="159"/>
        <v/>
      </c>
      <c r="L1282" t="str">
        <f>IFERROR(MATCH($C$5&amp;"|"&amp;RIGHT("000000"&amp;1266,6),LdgRankKeyA,0),"")</f>
        <v/>
      </c>
      <c r="M1282" t="str">
        <f>IFERROR(MATCH($C$5&amp;"|"&amp;RIGHT("000000"&amp;1266,6),LdgRankKeyB,0),"")</f>
        <v/>
      </c>
    </row>
    <row r="1283" spans="1:13" x14ac:dyDescent="0.2">
      <c r="A1283" s="3">
        <v>1267</v>
      </c>
      <c r="B1283" s="4" t="str">
        <f t="shared" si="152"/>
        <v/>
      </c>
      <c r="C1283" s="4" t="str">
        <f t="shared" si="153"/>
        <v/>
      </c>
      <c r="D1283" s="4" t="str">
        <f t="shared" si="154"/>
        <v/>
      </c>
      <c r="E1283" s="5" t="str">
        <f t="shared" si="155"/>
        <v/>
      </c>
      <c r="F1283" s="6" t="str">
        <f t="shared" si="156"/>
        <v/>
      </c>
      <c r="G1283" s="7" t="str">
        <f t="shared" si="157"/>
        <v/>
      </c>
      <c r="H1283" s="7" t="str">
        <f t="shared" si="158"/>
        <v/>
      </c>
      <c r="I1283" s="8" t="str">
        <f t="shared" si="159"/>
        <v/>
      </c>
      <c r="L1283" t="str">
        <f>IFERROR(MATCH($C$5&amp;"|"&amp;RIGHT("000000"&amp;1267,6),LdgRankKeyA,0),"")</f>
        <v/>
      </c>
      <c r="M1283" t="str">
        <f>IFERROR(MATCH($C$5&amp;"|"&amp;RIGHT("000000"&amp;1267,6),LdgRankKeyB,0),"")</f>
        <v/>
      </c>
    </row>
    <row r="1284" spans="1:13" x14ac:dyDescent="0.2">
      <c r="A1284" s="9">
        <v>1268</v>
      </c>
      <c r="B1284" s="10" t="str">
        <f t="shared" si="152"/>
        <v/>
      </c>
      <c r="C1284" s="10" t="str">
        <f t="shared" si="153"/>
        <v/>
      </c>
      <c r="D1284" s="10" t="str">
        <f t="shared" si="154"/>
        <v/>
      </c>
      <c r="E1284" s="11" t="str">
        <f t="shared" si="155"/>
        <v/>
      </c>
      <c r="F1284" s="12" t="str">
        <f t="shared" si="156"/>
        <v/>
      </c>
      <c r="G1284" s="13" t="str">
        <f t="shared" si="157"/>
        <v/>
      </c>
      <c r="H1284" s="13" t="str">
        <f t="shared" si="158"/>
        <v/>
      </c>
      <c r="I1284" s="14" t="str">
        <f t="shared" si="159"/>
        <v/>
      </c>
      <c r="L1284" t="str">
        <f>IFERROR(MATCH($C$5&amp;"|"&amp;RIGHT("000000"&amp;1268,6),LdgRankKeyA,0),"")</f>
        <v/>
      </c>
      <c r="M1284" t="str">
        <f>IFERROR(MATCH($C$5&amp;"|"&amp;RIGHT("000000"&amp;1268,6),LdgRankKeyB,0),"")</f>
        <v/>
      </c>
    </row>
    <row r="1285" spans="1:13" x14ac:dyDescent="0.2">
      <c r="A1285" s="3">
        <v>1269</v>
      </c>
      <c r="B1285" s="4" t="str">
        <f t="shared" si="152"/>
        <v/>
      </c>
      <c r="C1285" s="4" t="str">
        <f t="shared" si="153"/>
        <v/>
      </c>
      <c r="D1285" s="4" t="str">
        <f t="shared" si="154"/>
        <v/>
      </c>
      <c r="E1285" s="5" t="str">
        <f t="shared" si="155"/>
        <v/>
      </c>
      <c r="F1285" s="6" t="str">
        <f t="shared" si="156"/>
        <v/>
      </c>
      <c r="G1285" s="7" t="str">
        <f t="shared" si="157"/>
        <v/>
      </c>
      <c r="H1285" s="7" t="str">
        <f t="shared" si="158"/>
        <v/>
      </c>
      <c r="I1285" s="8" t="str">
        <f t="shared" si="159"/>
        <v/>
      </c>
      <c r="L1285" t="str">
        <f>IFERROR(MATCH($C$5&amp;"|"&amp;RIGHT("000000"&amp;1269,6),LdgRankKeyA,0),"")</f>
        <v/>
      </c>
      <c r="M1285" t="str">
        <f>IFERROR(MATCH($C$5&amp;"|"&amp;RIGHT("000000"&amp;1269,6),LdgRankKeyB,0),"")</f>
        <v/>
      </c>
    </row>
    <row r="1286" spans="1:13" x14ac:dyDescent="0.2">
      <c r="A1286" s="9">
        <v>1270</v>
      </c>
      <c r="B1286" s="10" t="str">
        <f t="shared" si="152"/>
        <v/>
      </c>
      <c r="C1286" s="10" t="str">
        <f t="shared" si="153"/>
        <v/>
      </c>
      <c r="D1286" s="10" t="str">
        <f t="shared" si="154"/>
        <v/>
      </c>
      <c r="E1286" s="11" t="str">
        <f t="shared" si="155"/>
        <v/>
      </c>
      <c r="F1286" s="12" t="str">
        <f t="shared" si="156"/>
        <v/>
      </c>
      <c r="G1286" s="13" t="str">
        <f t="shared" si="157"/>
        <v/>
      </c>
      <c r="H1286" s="13" t="str">
        <f t="shared" si="158"/>
        <v/>
      </c>
      <c r="I1286" s="14" t="str">
        <f t="shared" si="159"/>
        <v/>
      </c>
      <c r="L1286" t="str">
        <f>IFERROR(MATCH($C$5&amp;"|"&amp;RIGHT("000000"&amp;1270,6),LdgRankKeyA,0),"")</f>
        <v/>
      </c>
      <c r="M1286" t="str">
        <f>IFERROR(MATCH($C$5&amp;"|"&amp;RIGHT("000000"&amp;1270,6),LdgRankKeyB,0),"")</f>
        <v/>
      </c>
    </row>
    <row r="1287" spans="1:13" x14ac:dyDescent="0.2">
      <c r="A1287" s="3">
        <v>1271</v>
      </c>
      <c r="B1287" s="4" t="str">
        <f t="shared" si="152"/>
        <v/>
      </c>
      <c r="C1287" s="4" t="str">
        <f t="shared" si="153"/>
        <v/>
      </c>
      <c r="D1287" s="4" t="str">
        <f t="shared" si="154"/>
        <v/>
      </c>
      <c r="E1287" s="5" t="str">
        <f t="shared" si="155"/>
        <v/>
      </c>
      <c r="F1287" s="6" t="str">
        <f t="shared" si="156"/>
        <v/>
      </c>
      <c r="G1287" s="7" t="str">
        <f t="shared" si="157"/>
        <v/>
      </c>
      <c r="H1287" s="7" t="str">
        <f t="shared" si="158"/>
        <v/>
      </c>
      <c r="I1287" s="8" t="str">
        <f t="shared" si="159"/>
        <v/>
      </c>
      <c r="L1287" t="str">
        <f>IFERROR(MATCH($C$5&amp;"|"&amp;RIGHT("000000"&amp;1271,6),LdgRankKeyA,0),"")</f>
        <v/>
      </c>
      <c r="M1287" t="str">
        <f>IFERROR(MATCH($C$5&amp;"|"&amp;RIGHT("000000"&amp;1271,6),LdgRankKeyB,0),"")</f>
        <v/>
      </c>
    </row>
    <row r="1288" spans="1:13" x14ac:dyDescent="0.2">
      <c r="A1288" s="9">
        <v>1272</v>
      </c>
      <c r="B1288" s="10" t="str">
        <f t="shared" si="152"/>
        <v/>
      </c>
      <c r="C1288" s="10" t="str">
        <f t="shared" si="153"/>
        <v/>
      </c>
      <c r="D1288" s="10" t="str">
        <f t="shared" si="154"/>
        <v/>
      </c>
      <c r="E1288" s="11" t="str">
        <f t="shared" si="155"/>
        <v/>
      </c>
      <c r="F1288" s="12" t="str">
        <f t="shared" si="156"/>
        <v/>
      </c>
      <c r="G1288" s="13" t="str">
        <f t="shared" si="157"/>
        <v/>
      </c>
      <c r="H1288" s="13" t="str">
        <f t="shared" si="158"/>
        <v/>
      </c>
      <c r="I1288" s="14" t="str">
        <f t="shared" si="159"/>
        <v/>
      </c>
      <c r="L1288" t="str">
        <f>IFERROR(MATCH($C$5&amp;"|"&amp;RIGHT("000000"&amp;1272,6),LdgRankKeyA,0),"")</f>
        <v/>
      </c>
      <c r="M1288" t="str">
        <f>IFERROR(MATCH($C$5&amp;"|"&amp;RIGHT("000000"&amp;1272,6),LdgRankKeyB,0),"")</f>
        <v/>
      </c>
    </row>
    <row r="1289" spans="1:13" x14ac:dyDescent="0.2">
      <c r="A1289" s="3">
        <v>1273</v>
      </c>
      <c r="B1289" s="4" t="str">
        <f t="shared" si="152"/>
        <v/>
      </c>
      <c r="C1289" s="4" t="str">
        <f t="shared" si="153"/>
        <v/>
      </c>
      <c r="D1289" s="4" t="str">
        <f t="shared" si="154"/>
        <v/>
      </c>
      <c r="E1289" s="5" t="str">
        <f t="shared" si="155"/>
        <v/>
      </c>
      <c r="F1289" s="6" t="str">
        <f t="shared" si="156"/>
        <v/>
      </c>
      <c r="G1289" s="7" t="str">
        <f t="shared" si="157"/>
        <v/>
      </c>
      <c r="H1289" s="7" t="str">
        <f t="shared" si="158"/>
        <v/>
      </c>
      <c r="I1289" s="8" t="str">
        <f t="shared" si="159"/>
        <v/>
      </c>
      <c r="L1289" t="str">
        <f>IFERROR(MATCH($C$5&amp;"|"&amp;RIGHT("000000"&amp;1273,6),LdgRankKeyA,0),"")</f>
        <v/>
      </c>
      <c r="M1289" t="str">
        <f>IFERROR(MATCH($C$5&amp;"|"&amp;RIGHT("000000"&amp;1273,6),LdgRankKeyB,0),"")</f>
        <v/>
      </c>
    </row>
    <row r="1290" spans="1:13" x14ac:dyDescent="0.2">
      <c r="A1290" s="9">
        <v>1274</v>
      </c>
      <c r="B1290" s="10" t="str">
        <f t="shared" si="152"/>
        <v/>
      </c>
      <c r="C1290" s="10" t="str">
        <f t="shared" si="153"/>
        <v/>
      </c>
      <c r="D1290" s="10" t="str">
        <f t="shared" si="154"/>
        <v/>
      </c>
      <c r="E1290" s="11" t="str">
        <f t="shared" si="155"/>
        <v/>
      </c>
      <c r="F1290" s="12" t="str">
        <f t="shared" si="156"/>
        <v/>
      </c>
      <c r="G1290" s="13" t="str">
        <f t="shared" si="157"/>
        <v/>
      </c>
      <c r="H1290" s="13" t="str">
        <f t="shared" si="158"/>
        <v/>
      </c>
      <c r="I1290" s="14" t="str">
        <f t="shared" si="159"/>
        <v/>
      </c>
      <c r="L1290" t="str">
        <f>IFERROR(MATCH($C$5&amp;"|"&amp;RIGHT("000000"&amp;1274,6),LdgRankKeyA,0),"")</f>
        <v/>
      </c>
      <c r="M1290" t="str">
        <f>IFERROR(MATCH($C$5&amp;"|"&amp;RIGHT("000000"&amp;1274,6),LdgRankKeyB,0),"")</f>
        <v/>
      </c>
    </row>
    <row r="1291" spans="1:13" x14ac:dyDescent="0.2">
      <c r="A1291" s="3">
        <v>1275</v>
      </c>
      <c r="B1291" s="4" t="str">
        <f t="shared" si="152"/>
        <v/>
      </c>
      <c r="C1291" s="4" t="str">
        <f t="shared" si="153"/>
        <v/>
      </c>
      <c r="D1291" s="4" t="str">
        <f t="shared" si="154"/>
        <v/>
      </c>
      <c r="E1291" s="5" t="str">
        <f t="shared" si="155"/>
        <v/>
      </c>
      <c r="F1291" s="6" t="str">
        <f t="shared" si="156"/>
        <v/>
      </c>
      <c r="G1291" s="7" t="str">
        <f t="shared" si="157"/>
        <v/>
      </c>
      <c r="H1291" s="7" t="str">
        <f t="shared" si="158"/>
        <v/>
      </c>
      <c r="I1291" s="8" t="str">
        <f t="shared" si="159"/>
        <v/>
      </c>
      <c r="L1291" t="str">
        <f>IFERROR(MATCH($C$5&amp;"|"&amp;RIGHT("000000"&amp;1275,6),LdgRankKeyA,0),"")</f>
        <v/>
      </c>
      <c r="M1291" t="str">
        <f>IFERROR(MATCH($C$5&amp;"|"&amp;RIGHT("000000"&amp;1275,6),LdgRankKeyB,0),"")</f>
        <v/>
      </c>
    </row>
    <row r="1292" spans="1:13" x14ac:dyDescent="0.2">
      <c r="A1292" s="9">
        <v>1276</v>
      </c>
      <c r="B1292" s="10" t="str">
        <f t="shared" si="152"/>
        <v/>
      </c>
      <c r="C1292" s="10" t="str">
        <f t="shared" si="153"/>
        <v/>
      </c>
      <c r="D1292" s="10" t="str">
        <f t="shared" si="154"/>
        <v/>
      </c>
      <c r="E1292" s="11" t="str">
        <f t="shared" si="155"/>
        <v/>
      </c>
      <c r="F1292" s="12" t="str">
        <f t="shared" si="156"/>
        <v/>
      </c>
      <c r="G1292" s="13" t="str">
        <f t="shared" si="157"/>
        <v/>
      </c>
      <c r="H1292" s="13" t="str">
        <f t="shared" si="158"/>
        <v/>
      </c>
      <c r="I1292" s="14" t="str">
        <f t="shared" si="159"/>
        <v/>
      </c>
      <c r="L1292" t="str">
        <f>IFERROR(MATCH($C$5&amp;"|"&amp;RIGHT("000000"&amp;1276,6),LdgRankKeyA,0),"")</f>
        <v/>
      </c>
      <c r="M1292" t="str">
        <f>IFERROR(MATCH($C$5&amp;"|"&amp;RIGHT("000000"&amp;1276,6),LdgRankKeyB,0),"")</f>
        <v/>
      </c>
    </row>
    <row r="1293" spans="1:13" x14ac:dyDescent="0.2">
      <c r="A1293" s="3">
        <v>1277</v>
      </c>
      <c r="B1293" s="4" t="str">
        <f t="shared" si="152"/>
        <v/>
      </c>
      <c r="C1293" s="4" t="str">
        <f t="shared" si="153"/>
        <v/>
      </c>
      <c r="D1293" s="4" t="str">
        <f t="shared" si="154"/>
        <v/>
      </c>
      <c r="E1293" s="5" t="str">
        <f t="shared" si="155"/>
        <v/>
      </c>
      <c r="F1293" s="6" t="str">
        <f t="shared" si="156"/>
        <v/>
      </c>
      <c r="G1293" s="7" t="str">
        <f t="shared" si="157"/>
        <v/>
      </c>
      <c r="H1293" s="7" t="str">
        <f t="shared" si="158"/>
        <v/>
      </c>
      <c r="I1293" s="8" t="str">
        <f t="shared" si="159"/>
        <v/>
      </c>
      <c r="L1293" t="str">
        <f>IFERROR(MATCH($C$5&amp;"|"&amp;RIGHT("000000"&amp;1277,6),LdgRankKeyA,0),"")</f>
        <v/>
      </c>
      <c r="M1293" t="str">
        <f>IFERROR(MATCH($C$5&amp;"|"&amp;RIGHT("000000"&amp;1277,6),LdgRankKeyB,0),"")</f>
        <v/>
      </c>
    </row>
    <row r="1294" spans="1:13" x14ac:dyDescent="0.2">
      <c r="A1294" s="9">
        <v>1278</v>
      </c>
      <c r="B1294" s="10" t="str">
        <f t="shared" si="152"/>
        <v/>
      </c>
      <c r="C1294" s="10" t="str">
        <f t="shared" si="153"/>
        <v/>
      </c>
      <c r="D1294" s="10" t="str">
        <f t="shared" si="154"/>
        <v/>
      </c>
      <c r="E1294" s="11" t="str">
        <f t="shared" si="155"/>
        <v/>
      </c>
      <c r="F1294" s="12" t="str">
        <f t="shared" si="156"/>
        <v/>
      </c>
      <c r="G1294" s="13" t="str">
        <f t="shared" si="157"/>
        <v/>
      </c>
      <c r="H1294" s="13" t="str">
        <f t="shared" si="158"/>
        <v/>
      </c>
      <c r="I1294" s="14" t="str">
        <f t="shared" si="159"/>
        <v/>
      </c>
      <c r="L1294" t="str">
        <f>IFERROR(MATCH($C$5&amp;"|"&amp;RIGHT("000000"&amp;1278,6),LdgRankKeyA,0),"")</f>
        <v/>
      </c>
      <c r="M1294" t="str">
        <f>IFERROR(MATCH($C$5&amp;"|"&amp;RIGHT("000000"&amp;1278,6),LdgRankKeyB,0),"")</f>
        <v/>
      </c>
    </row>
    <row r="1295" spans="1:13" x14ac:dyDescent="0.2">
      <c r="A1295" s="3">
        <v>1279</v>
      </c>
      <c r="B1295" s="4" t="str">
        <f t="shared" si="152"/>
        <v/>
      </c>
      <c r="C1295" s="4" t="str">
        <f t="shared" si="153"/>
        <v/>
      </c>
      <c r="D1295" s="4" t="str">
        <f t="shared" si="154"/>
        <v/>
      </c>
      <c r="E1295" s="5" t="str">
        <f t="shared" si="155"/>
        <v/>
      </c>
      <c r="F1295" s="6" t="str">
        <f t="shared" si="156"/>
        <v/>
      </c>
      <c r="G1295" s="7" t="str">
        <f t="shared" si="157"/>
        <v/>
      </c>
      <c r="H1295" s="7" t="str">
        <f t="shared" si="158"/>
        <v/>
      </c>
      <c r="I1295" s="8" t="str">
        <f t="shared" si="159"/>
        <v/>
      </c>
      <c r="L1295" t="str">
        <f>IFERROR(MATCH($C$5&amp;"|"&amp;RIGHT("000000"&amp;1279,6),LdgRankKeyA,0),"")</f>
        <v/>
      </c>
      <c r="M1295" t="str">
        <f>IFERROR(MATCH($C$5&amp;"|"&amp;RIGHT("000000"&amp;1279,6),LdgRankKeyB,0),"")</f>
        <v/>
      </c>
    </row>
    <row r="1296" spans="1:13" x14ac:dyDescent="0.2">
      <c r="A1296" s="9">
        <v>1280</v>
      </c>
      <c r="B1296" s="10" t="str">
        <f t="shared" si="152"/>
        <v/>
      </c>
      <c r="C1296" s="10" t="str">
        <f t="shared" si="153"/>
        <v/>
      </c>
      <c r="D1296" s="10" t="str">
        <f t="shared" si="154"/>
        <v/>
      </c>
      <c r="E1296" s="11" t="str">
        <f t="shared" si="155"/>
        <v/>
      </c>
      <c r="F1296" s="12" t="str">
        <f t="shared" si="156"/>
        <v/>
      </c>
      <c r="G1296" s="13" t="str">
        <f t="shared" si="157"/>
        <v/>
      </c>
      <c r="H1296" s="13" t="str">
        <f t="shared" si="158"/>
        <v/>
      </c>
      <c r="I1296" s="14" t="str">
        <f t="shared" si="159"/>
        <v/>
      </c>
      <c r="L1296" t="str">
        <f>IFERROR(MATCH($C$5&amp;"|"&amp;RIGHT("000000"&amp;1280,6),LdgRankKeyA,0),"")</f>
        <v/>
      </c>
      <c r="M1296" t="str">
        <f>IFERROR(MATCH($C$5&amp;"|"&amp;RIGHT("000000"&amp;1280,6),LdgRankKeyB,0),"")</f>
        <v/>
      </c>
    </row>
    <row r="1297" spans="1:13" x14ac:dyDescent="0.2">
      <c r="A1297" s="3">
        <v>1281</v>
      </c>
      <c r="B1297" s="4" t="str">
        <f t="shared" ref="B1297:B1360" si="160">IF(AND($L1297="",$M1297=""),"",IF($L1297&lt;&gt;"",INDEX(SCNormDate,$L1297),INDEX(LdgDateB,$M1297)))</f>
        <v/>
      </c>
      <c r="C1297" s="4" t="str">
        <f t="shared" ref="C1297:C1360" si="161">IF($L1297&lt;&gt;"",INDEX(SCOp,$L1297),IF($M1297&lt;&gt;"","پرداخت بانکی",""))</f>
        <v/>
      </c>
      <c r="D1297" s="4" t="str">
        <f t="shared" ref="D1297:D1360" si="162">IF($L1297&lt;&gt;"",IF(INDEX(SCDoc,$L1297)="","—",INDEX(SCDoc,$L1297)),IF($M1297&lt;&gt;"",INDEX(LdgBankB,$M1297),""))</f>
        <v/>
      </c>
      <c r="E1297" s="5" t="str">
        <f t="shared" ref="E1297:E1360" si="163">IF($L1297&lt;&gt;"",IF(INDEX(SCCitrus,$L1297)&amp;INDEX(SCNotes,$L1297)="","",IF(INDEX(SCCitrus,$L1297)="","",INDEX(SCCitrus,$L1297))&amp;IF(INDEX(SCNotes,$L1297)="",""," — "&amp;INDEX(SCNotes,$L1297))),IF($M1297&lt;&gt;"",IF(INDEX(LdgNoteB,$M1297)="","—",INDEX(LdgNoteB,$M1297)),""))</f>
        <v/>
      </c>
      <c r="F1297" s="6" t="str">
        <f t="shared" ref="F1297:F1360" si="164">IF($L1297&lt;&gt;"",IF(INDEX(SCNet,$L1297)=0,"",INDEX(SCNet,$L1297)),"")</f>
        <v/>
      </c>
      <c r="G1297" s="7" t="str">
        <f t="shared" ref="G1297:G1360" si="165">IF($L1297&lt;&gt;"",IF(INDEX(SCOp,$L1297)="مرجوعی فروش","",IF(INDEX(SCAmount,$L1297)&lt;=0,"",INDEX(SCAmount,$L1297))),IF($M1297&lt;&gt;"",IF(INDEX(LdgWitB,$M1297)=0,"",INDEX(LdgWitB,$M1297)),""))</f>
        <v/>
      </c>
      <c r="H1297" s="7" t="str">
        <f t="shared" ref="H1297:H1360" si="166">IF($L1297&lt;&gt;"",IF(INDEX(SCOp,$L1297)="مرجوعی فروش",IF(INDEX(SCAmount,$L1297)=0,"",-INDEX(SCAmount,$L1297)),""),IF($M1297&lt;&gt;"",IF(INDEX(LdgDepB,$M1297)=0,"",INDEX(LdgDepB,$M1297)),""))</f>
        <v/>
      </c>
      <c r="I1297" s="8" t="str">
        <f t="shared" si="159"/>
        <v/>
      </c>
      <c r="L1297" t="str">
        <f>IFERROR(MATCH($C$5&amp;"|"&amp;RIGHT("000000"&amp;1281,6),LdgRankKeyA,0),"")</f>
        <v/>
      </c>
      <c r="M1297" t="str">
        <f>IFERROR(MATCH($C$5&amp;"|"&amp;RIGHT("000000"&amp;1281,6),LdgRankKeyB,0),"")</f>
        <v/>
      </c>
    </row>
    <row r="1298" spans="1:13" x14ac:dyDescent="0.2">
      <c r="A1298" s="9">
        <v>1282</v>
      </c>
      <c r="B1298" s="10" t="str">
        <f t="shared" si="160"/>
        <v/>
      </c>
      <c r="C1298" s="10" t="str">
        <f t="shared" si="161"/>
        <v/>
      </c>
      <c r="D1298" s="10" t="str">
        <f t="shared" si="162"/>
        <v/>
      </c>
      <c r="E1298" s="11" t="str">
        <f t="shared" si="163"/>
        <v/>
      </c>
      <c r="F1298" s="12" t="str">
        <f t="shared" si="164"/>
        <v/>
      </c>
      <c r="G1298" s="13" t="str">
        <f t="shared" si="165"/>
        <v/>
      </c>
      <c r="H1298" s="13" t="str">
        <f t="shared" si="166"/>
        <v/>
      </c>
      <c r="I1298" s="14" t="str">
        <f t="shared" ref="I1298:I1361" si="167">IF($B1298="","",IF($I1297="",$C$10,$I1297)+IF($G1298="",0,$G1298)-IF($H1298="",0,$H1298))</f>
        <v/>
      </c>
      <c r="L1298" t="str">
        <f>IFERROR(MATCH($C$5&amp;"|"&amp;RIGHT("000000"&amp;1282,6),LdgRankKeyA,0),"")</f>
        <v/>
      </c>
      <c r="M1298" t="str">
        <f>IFERROR(MATCH($C$5&amp;"|"&amp;RIGHT("000000"&amp;1282,6),LdgRankKeyB,0),"")</f>
        <v/>
      </c>
    </row>
    <row r="1299" spans="1:13" x14ac:dyDescent="0.2">
      <c r="A1299" s="3">
        <v>1283</v>
      </c>
      <c r="B1299" s="4" t="str">
        <f t="shared" si="160"/>
        <v/>
      </c>
      <c r="C1299" s="4" t="str">
        <f t="shared" si="161"/>
        <v/>
      </c>
      <c r="D1299" s="4" t="str">
        <f t="shared" si="162"/>
        <v/>
      </c>
      <c r="E1299" s="5" t="str">
        <f t="shared" si="163"/>
        <v/>
      </c>
      <c r="F1299" s="6" t="str">
        <f t="shared" si="164"/>
        <v/>
      </c>
      <c r="G1299" s="7" t="str">
        <f t="shared" si="165"/>
        <v/>
      </c>
      <c r="H1299" s="7" t="str">
        <f t="shared" si="166"/>
        <v/>
      </c>
      <c r="I1299" s="8" t="str">
        <f t="shared" si="167"/>
        <v/>
      </c>
      <c r="L1299" t="str">
        <f>IFERROR(MATCH($C$5&amp;"|"&amp;RIGHT("000000"&amp;1283,6),LdgRankKeyA,0),"")</f>
        <v/>
      </c>
      <c r="M1299" t="str">
        <f>IFERROR(MATCH($C$5&amp;"|"&amp;RIGHT("000000"&amp;1283,6),LdgRankKeyB,0),"")</f>
        <v/>
      </c>
    </row>
    <row r="1300" spans="1:13" x14ac:dyDescent="0.2">
      <c r="A1300" s="9">
        <v>1284</v>
      </c>
      <c r="B1300" s="10" t="str">
        <f t="shared" si="160"/>
        <v/>
      </c>
      <c r="C1300" s="10" t="str">
        <f t="shared" si="161"/>
        <v/>
      </c>
      <c r="D1300" s="10" t="str">
        <f t="shared" si="162"/>
        <v/>
      </c>
      <c r="E1300" s="11" t="str">
        <f t="shared" si="163"/>
        <v/>
      </c>
      <c r="F1300" s="12" t="str">
        <f t="shared" si="164"/>
        <v/>
      </c>
      <c r="G1300" s="13" t="str">
        <f t="shared" si="165"/>
        <v/>
      </c>
      <c r="H1300" s="13" t="str">
        <f t="shared" si="166"/>
        <v/>
      </c>
      <c r="I1300" s="14" t="str">
        <f t="shared" si="167"/>
        <v/>
      </c>
      <c r="L1300" t="str">
        <f>IFERROR(MATCH($C$5&amp;"|"&amp;RIGHT("000000"&amp;1284,6),LdgRankKeyA,0),"")</f>
        <v/>
      </c>
      <c r="M1300" t="str">
        <f>IFERROR(MATCH($C$5&amp;"|"&amp;RIGHT("000000"&amp;1284,6),LdgRankKeyB,0),"")</f>
        <v/>
      </c>
    </row>
    <row r="1301" spans="1:13" x14ac:dyDescent="0.2">
      <c r="A1301" s="3">
        <v>1285</v>
      </c>
      <c r="B1301" s="4" t="str">
        <f t="shared" si="160"/>
        <v/>
      </c>
      <c r="C1301" s="4" t="str">
        <f t="shared" si="161"/>
        <v/>
      </c>
      <c r="D1301" s="4" t="str">
        <f t="shared" si="162"/>
        <v/>
      </c>
      <c r="E1301" s="5" t="str">
        <f t="shared" si="163"/>
        <v/>
      </c>
      <c r="F1301" s="6" t="str">
        <f t="shared" si="164"/>
        <v/>
      </c>
      <c r="G1301" s="7" t="str">
        <f t="shared" si="165"/>
        <v/>
      </c>
      <c r="H1301" s="7" t="str">
        <f t="shared" si="166"/>
        <v/>
      </c>
      <c r="I1301" s="8" t="str">
        <f t="shared" si="167"/>
        <v/>
      </c>
      <c r="L1301" t="str">
        <f>IFERROR(MATCH($C$5&amp;"|"&amp;RIGHT("000000"&amp;1285,6),LdgRankKeyA,0),"")</f>
        <v/>
      </c>
      <c r="M1301" t="str">
        <f>IFERROR(MATCH($C$5&amp;"|"&amp;RIGHT("000000"&amp;1285,6),LdgRankKeyB,0),"")</f>
        <v/>
      </c>
    </row>
    <row r="1302" spans="1:13" x14ac:dyDescent="0.2">
      <c r="A1302" s="9">
        <v>1286</v>
      </c>
      <c r="B1302" s="10" t="str">
        <f t="shared" si="160"/>
        <v/>
      </c>
      <c r="C1302" s="10" t="str">
        <f t="shared" si="161"/>
        <v/>
      </c>
      <c r="D1302" s="10" t="str">
        <f t="shared" si="162"/>
        <v/>
      </c>
      <c r="E1302" s="11" t="str">
        <f t="shared" si="163"/>
        <v/>
      </c>
      <c r="F1302" s="12" t="str">
        <f t="shared" si="164"/>
        <v/>
      </c>
      <c r="G1302" s="13" t="str">
        <f t="shared" si="165"/>
        <v/>
      </c>
      <c r="H1302" s="13" t="str">
        <f t="shared" si="166"/>
        <v/>
      </c>
      <c r="I1302" s="14" t="str">
        <f t="shared" si="167"/>
        <v/>
      </c>
      <c r="L1302" t="str">
        <f>IFERROR(MATCH($C$5&amp;"|"&amp;RIGHT("000000"&amp;1286,6),LdgRankKeyA,0),"")</f>
        <v/>
      </c>
      <c r="M1302" t="str">
        <f>IFERROR(MATCH($C$5&amp;"|"&amp;RIGHT("000000"&amp;1286,6),LdgRankKeyB,0),"")</f>
        <v/>
      </c>
    </row>
    <row r="1303" spans="1:13" x14ac:dyDescent="0.2">
      <c r="A1303" s="3">
        <v>1287</v>
      </c>
      <c r="B1303" s="4" t="str">
        <f t="shared" si="160"/>
        <v/>
      </c>
      <c r="C1303" s="4" t="str">
        <f t="shared" si="161"/>
        <v/>
      </c>
      <c r="D1303" s="4" t="str">
        <f t="shared" si="162"/>
        <v/>
      </c>
      <c r="E1303" s="5" t="str">
        <f t="shared" si="163"/>
        <v/>
      </c>
      <c r="F1303" s="6" t="str">
        <f t="shared" si="164"/>
        <v/>
      </c>
      <c r="G1303" s="7" t="str">
        <f t="shared" si="165"/>
        <v/>
      </c>
      <c r="H1303" s="7" t="str">
        <f t="shared" si="166"/>
        <v/>
      </c>
      <c r="I1303" s="8" t="str">
        <f t="shared" si="167"/>
        <v/>
      </c>
      <c r="L1303" t="str">
        <f>IFERROR(MATCH($C$5&amp;"|"&amp;RIGHT("000000"&amp;1287,6),LdgRankKeyA,0),"")</f>
        <v/>
      </c>
      <c r="M1303" t="str">
        <f>IFERROR(MATCH($C$5&amp;"|"&amp;RIGHT("000000"&amp;1287,6),LdgRankKeyB,0),"")</f>
        <v/>
      </c>
    </row>
    <row r="1304" spans="1:13" x14ac:dyDescent="0.2">
      <c r="A1304" s="9">
        <v>1288</v>
      </c>
      <c r="B1304" s="10" t="str">
        <f t="shared" si="160"/>
        <v/>
      </c>
      <c r="C1304" s="10" t="str">
        <f t="shared" si="161"/>
        <v/>
      </c>
      <c r="D1304" s="10" t="str">
        <f t="shared" si="162"/>
        <v/>
      </c>
      <c r="E1304" s="11" t="str">
        <f t="shared" si="163"/>
        <v/>
      </c>
      <c r="F1304" s="12" t="str">
        <f t="shared" si="164"/>
        <v/>
      </c>
      <c r="G1304" s="13" t="str">
        <f t="shared" si="165"/>
        <v/>
      </c>
      <c r="H1304" s="13" t="str">
        <f t="shared" si="166"/>
        <v/>
      </c>
      <c r="I1304" s="14" t="str">
        <f t="shared" si="167"/>
        <v/>
      </c>
      <c r="L1304" t="str">
        <f>IFERROR(MATCH($C$5&amp;"|"&amp;RIGHT("000000"&amp;1288,6),LdgRankKeyA,0),"")</f>
        <v/>
      </c>
      <c r="M1304" t="str">
        <f>IFERROR(MATCH($C$5&amp;"|"&amp;RIGHT("000000"&amp;1288,6),LdgRankKeyB,0),"")</f>
        <v/>
      </c>
    </row>
    <row r="1305" spans="1:13" x14ac:dyDescent="0.2">
      <c r="A1305" s="3">
        <v>1289</v>
      </c>
      <c r="B1305" s="4" t="str">
        <f t="shared" si="160"/>
        <v/>
      </c>
      <c r="C1305" s="4" t="str">
        <f t="shared" si="161"/>
        <v/>
      </c>
      <c r="D1305" s="4" t="str">
        <f t="shared" si="162"/>
        <v/>
      </c>
      <c r="E1305" s="5" t="str">
        <f t="shared" si="163"/>
        <v/>
      </c>
      <c r="F1305" s="6" t="str">
        <f t="shared" si="164"/>
        <v/>
      </c>
      <c r="G1305" s="7" t="str">
        <f t="shared" si="165"/>
        <v/>
      </c>
      <c r="H1305" s="7" t="str">
        <f t="shared" si="166"/>
        <v/>
      </c>
      <c r="I1305" s="8" t="str">
        <f t="shared" si="167"/>
        <v/>
      </c>
      <c r="L1305" t="str">
        <f>IFERROR(MATCH($C$5&amp;"|"&amp;RIGHT("000000"&amp;1289,6),LdgRankKeyA,0),"")</f>
        <v/>
      </c>
      <c r="M1305" t="str">
        <f>IFERROR(MATCH($C$5&amp;"|"&amp;RIGHT("000000"&amp;1289,6),LdgRankKeyB,0),"")</f>
        <v/>
      </c>
    </row>
    <row r="1306" spans="1:13" x14ac:dyDescent="0.2">
      <c r="A1306" s="9">
        <v>1290</v>
      </c>
      <c r="B1306" s="10" t="str">
        <f t="shared" si="160"/>
        <v/>
      </c>
      <c r="C1306" s="10" t="str">
        <f t="shared" si="161"/>
        <v/>
      </c>
      <c r="D1306" s="10" t="str">
        <f t="shared" si="162"/>
        <v/>
      </c>
      <c r="E1306" s="11" t="str">
        <f t="shared" si="163"/>
        <v/>
      </c>
      <c r="F1306" s="12" t="str">
        <f t="shared" si="164"/>
        <v/>
      </c>
      <c r="G1306" s="13" t="str">
        <f t="shared" si="165"/>
        <v/>
      </c>
      <c r="H1306" s="13" t="str">
        <f t="shared" si="166"/>
        <v/>
      </c>
      <c r="I1306" s="14" t="str">
        <f t="shared" si="167"/>
        <v/>
      </c>
      <c r="L1306" t="str">
        <f>IFERROR(MATCH($C$5&amp;"|"&amp;RIGHT("000000"&amp;1290,6),LdgRankKeyA,0),"")</f>
        <v/>
      </c>
      <c r="M1306" t="str">
        <f>IFERROR(MATCH($C$5&amp;"|"&amp;RIGHT("000000"&amp;1290,6),LdgRankKeyB,0),"")</f>
        <v/>
      </c>
    </row>
    <row r="1307" spans="1:13" x14ac:dyDescent="0.2">
      <c r="A1307" s="3">
        <v>1291</v>
      </c>
      <c r="B1307" s="4" t="str">
        <f t="shared" si="160"/>
        <v/>
      </c>
      <c r="C1307" s="4" t="str">
        <f t="shared" si="161"/>
        <v/>
      </c>
      <c r="D1307" s="4" t="str">
        <f t="shared" si="162"/>
        <v/>
      </c>
      <c r="E1307" s="5" t="str">
        <f t="shared" si="163"/>
        <v/>
      </c>
      <c r="F1307" s="6" t="str">
        <f t="shared" si="164"/>
        <v/>
      </c>
      <c r="G1307" s="7" t="str">
        <f t="shared" si="165"/>
        <v/>
      </c>
      <c r="H1307" s="7" t="str">
        <f t="shared" si="166"/>
        <v/>
      </c>
      <c r="I1307" s="8" t="str">
        <f t="shared" si="167"/>
        <v/>
      </c>
      <c r="L1307" t="str">
        <f>IFERROR(MATCH($C$5&amp;"|"&amp;RIGHT("000000"&amp;1291,6),LdgRankKeyA,0),"")</f>
        <v/>
      </c>
      <c r="M1307" t="str">
        <f>IFERROR(MATCH($C$5&amp;"|"&amp;RIGHT("000000"&amp;1291,6),LdgRankKeyB,0),"")</f>
        <v/>
      </c>
    </row>
    <row r="1308" spans="1:13" x14ac:dyDescent="0.2">
      <c r="A1308" s="9">
        <v>1292</v>
      </c>
      <c r="B1308" s="10" t="str">
        <f t="shared" si="160"/>
        <v/>
      </c>
      <c r="C1308" s="10" t="str">
        <f t="shared" si="161"/>
        <v/>
      </c>
      <c r="D1308" s="10" t="str">
        <f t="shared" si="162"/>
        <v/>
      </c>
      <c r="E1308" s="11" t="str">
        <f t="shared" si="163"/>
        <v/>
      </c>
      <c r="F1308" s="12" t="str">
        <f t="shared" si="164"/>
        <v/>
      </c>
      <c r="G1308" s="13" t="str">
        <f t="shared" si="165"/>
        <v/>
      </c>
      <c r="H1308" s="13" t="str">
        <f t="shared" si="166"/>
        <v/>
      </c>
      <c r="I1308" s="14" t="str">
        <f t="shared" si="167"/>
        <v/>
      </c>
      <c r="L1308" t="str">
        <f>IFERROR(MATCH($C$5&amp;"|"&amp;RIGHT("000000"&amp;1292,6),LdgRankKeyA,0),"")</f>
        <v/>
      </c>
      <c r="M1308" t="str">
        <f>IFERROR(MATCH($C$5&amp;"|"&amp;RIGHT("000000"&amp;1292,6),LdgRankKeyB,0),"")</f>
        <v/>
      </c>
    </row>
    <row r="1309" spans="1:13" x14ac:dyDescent="0.2">
      <c r="A1309" s="3">
        <v>1293</v>
      </c>
      <c r="B1309" s="4" t="str">
        <f t="shared" si="160"/>
        <v/>
      </c>
      <c r="C1309" s="4" t="str">
        <f t="shared" si="161"/>
        <v/>
      </c>
      <c r="D1309" s="4" t="str">
        <f t="shared" si="162"/>
        <v/>
      </c>
      <c r="E1309" s="5" t="str">
        <f t="shared" si="163"/>
        <v/>
      </c>
      <c r="F1309" s="6" t="str">
        <f t="shared" si="164"/>
        <v/>
      </c>
      <c r="G1309" s="7" t="str">
        <f t="shared" si="165"/>
        <v/>
      </c>
      <c r="H1309" s="7" t="str">
        <f t="shared" si="166"/>
        <v/>
      </c>
      <c r="I1309" s="8" t="str">
        <f t="shared" si="167"/>
        <v/>
      </c>
      <c r="L1309" t="str">
        <f>IFERROR(MATCH($C$5&amp;"|"&amp;RIGHT("000000"&amp;1293,6),LdgRankKeyA,0),"")</f>
        <v/>
      </c>
      <c r="M1309" t="str">
        <f>IFERROR(MATCH($C$5&amp;"|"&amp;RIGHT("000000"&amp;1293,6),LdgRankKeyB,0),"")</f>
        <v/>
      </c>
    </row>
    <row r="1310" spans="1:13" x14ac:dyDescent="0.2">
      <c r="A1310" s="9">
        <v>1294</v>
      </c>
      <c r="B1310" s="10" t="str">
        <f t="shared" si="160"/>
        <v/>
      </c>
      <c r="C1310" s="10" t="str">
        <f t="shared" si="161"/>
        <v/>
      </c>
      <c r="D1310" s="10" t="str">
        <f t="shared" si="162"/>
        <v/>
      </c>
      <c r="E1310" s="11" t="str">
        <f t="shared" si="163"/>
        <v/>
      </c>
      <c r="F1310" s="12" t="str">
        <f t="shared" si="164"/>
        <v/>
      </c>
      <c r="G1310" s="13" t="str">
        <f t="shared" si="165"/>
        <v/>
      </c>
      <c r="H1310" s="13" t="str">
        <f t="shared" si="166"/>
        <v/>
      </c>
      <c r="I1310" s="14" t="str">
        <f t="shared" si="167"/>
        <v/>
      </c>
      <c r="L1310" t="str">
        <f>IFERROR(MATCH($C$5&amp;"|"&amp;RIGHT("000000"&amp;1294,6),LdgRankKeyA,0),"")</f>
        <v/>
      </c>
      <c r="M1310" t="str">
        <f>IFERROR(MATCH($C$5&amp;"|"&amp;RIGHT("000000"&amp;1294,6),LdgRankKeyB,0),"")</f>
        <v/>
      </c>
    </row>
    <row r="1311" spans="1:13" x14ac:dyDescent="0.2">
      <c r="A1311" s="3">
        <v>1295</v>
      </c>
      <c r="B1311" s="4" t="str">
        <f t="shared" si="160"/>
        <v/>
      </c>
      <c r="C1311" s="4" t="str">
        <f t="shared" si="161"/>
        <v/>
      </c>
      <c r="D1311" s="4" t="str">
        <f t="shared" si="162"/>
        <v/>
      </c>
      <c r="E1311" s="5" t="str">
        <f t="shared" si="163"/>
        <v/>
      </c>
      <c r="F1311" s="6" t="str">
        <f t="shared" si="164"/>
        <v/>
      </c>
      <c r="G1311" s="7" t="str">
        <f t="shared" si="165"/>
        <v/>
      </c>
      <c r="H1311" s="7" t="str">
        <f t="shared" si="166"/>
        <v/>
      </c>
      <c r="I1311" s="8" t="str">
        <f t="shared" si="167"/>
        <v/>
      </c>
      <c r="L1311" t="str">
        <f>IFERROR(MATCH($C$5&amp;"|"&amp;RIGHT("000000"&amp;1295,6),LdgRankKeyA,0),"")</f>
        <v/>
      </c>
      <c r="M1311" t="str">
        <f>IFERROR(MATCH($C$5&amp;"|"&amp;RIGHT("000000"&amp;1295,6),LdgRankKeyB,0),"")</f>
        <v/>
      </c>
    </row>
    <row r="1312" spans="1:13" x14ac:dyDescent="0.2">
      <c r="A1312" s="9">
        <v>1296</v>
      </c>
      <c r="B1312" s="10" t="str">
        <f t="shared" si="160"/>
        <v/>
      </c>
      <c r="C1312" s="10" t="str">
        <f t="shared" si="161"/>
        <v/>
      </c>
      <c r="D1312" s="10" t="str">
        <f t="shared" si="162"/>
        <v/>
      </c>
      <c r="E1312" s="11" t="str">
        <f t="shared" si="163"/>
        <v/>
      </c>
      <c r="F1312" s="12" t="str">
        <f t="shared" si="164"/>
        <v/>
      </c>
      <c r="G1312" s="13" t="str">
        <f t="shared" si="165"/>
        <v/>
      </c>
      <c r="H1312" s="13" t="str">
        <f t="shared" si="166"/>
        <v/>
      </c>
      <c r="I1312" s="14" t="str">
        <f t="shared" si="167"/>
        <v/>
      </c>
      <c r="L1312" t="str">
        <f>IFERROR(MATCH($C$5&amp;"|"&amp;RIGHT("000000"&amp;1296,6),LdgRankKeyA,0),"")</f>
        <v/>
      </c>
      <c r="M1312" t="str">
        <f>IFERROR(MATCH($C$5&amp;"|"&amp;RIGHT("000000"&amp;1296,6),LdgRankKeyB,0),"")</f>
        <v/>
      </c>
    </row>
    <row r="1313" spans="1:13" x14ac:dyDescent="0.2">
      <c r="A1313" s="3">
        <v>1297</v>
      </c>
      <c r="B1313" s="4" t="str">
        <f t="shared" si="160"/>
        <v/>
      </c>
      <c r="C1313" s="4" t="str">
        <f t="shared" si="161"/>
        <v/>
      </c>
      <c r="D1313" s="4" t="str">
        <f t="shared" si="162"/>
        <v/>
      </c>
      <c r="E1313" s="5" t="str">
        <f t="shared" si="163"/>
        <v/>
      </c>
      <c r="F1313" s="6" t="str">
        <f t="shared" si="164"/>
        <v/>
      </c>
      <c r="G1313" s="7" t="str">
        <f t="shared" si="165"/>
        <v/>
      </c>
      <c r="H1313" s="7" t="str">
        <f t="shared" si="166"/>
        <v/>
      </c>
      <c r="I1313" s="8" t="str">
        <f t="shared" si="167"/>
        <v/>
      </c>
      <c r="L1313" t="str">
        <f>IFERROR(MATCH($C$5&amp;"|"&amp;RIGHT("000000"&amp;1297,6),LdgRankKeyA,0),"")</f>
        <v/>
      </c>
      <c r="M1313" t="str">
        <f>IFERROR(MATCH($C$5&amp;"|"&amp;RIGHT("000000"&amp;1297,6),LdgRankKeyB,0),"")</f>
        <v/>
      </c>
    </row>
    <row r="1314" spans="1:13" x14ac:dyDescent="0.2">
      <c r="A1314" s="9">
        <v>1298</v>
      </c>
      <c r="B1314" s="10" t="str">
        <f t="shared" si="160"/>
        <v/>
      </c>
      <c r="C1314" s="10" t="str">
        <f t="shared" si="161"/>
        <v/>
      </c>
      <c r="D1314" s="10" t="str">
        <f t="shared" si="162"/>
        <v/>
      </c>
      <c r="E1314" s="11" t="str">
        <f t="shared" si="163"/>
        <v/>
      </c>
      <c r="F1314" s="12" t="str">
        <f t="shared" si="164"/>
        <v/>
      </c>
      <c r="G1314" s="13" t="str">
        <f t="shared" si="165"/>
        <v/>
      </c>
      <c r="H1314" s="13" t="str">
        <f t="shared" si="166"/>
        <v/>
      </c>
      <c r="I1314" s="14" t="str">
        <f t="shared" si="167"/>
        <v/>
      </c>
      <c r="L1314" t="str">
        <f>IFERROR(MATCH($C$5&amp;"|"&amp;RIGHT("000000"&amp;1298,6),LdgRankKeyA,0),"")</f>
        <v/>
      </c>
      <c r="M1314" t="str">
        <f>IFERROR(MATCH($C$5&amp;"|"&amp;RIGHT("000000"&amp;1298,6),LdgRankKeyB,0),"")</f>
        <v/>
      </c>
    </row>
    <row r="1315" spans="1:13" x14ac:dyDescent="0.2">
      <c r="A1315" s="3">
        <v>1299</v>
      </c>
      <c r="B1315" s="4" t="str">
        <f t="shared" si="160"/>
        <v/>
      </c>
      <c r="C1315" s="4" t="str">
        <f t="shared" si="161"/>
        <v/>
      </c>
      <c r="D1315" s="4" t="str">
        <f t="shared" si="162"/>
        <v/>
      </c>
      <c r="E1315" s="5" t="str">
        <f t="shared" si="163"/>
        <v/>
      </c>
      <c r="F1315" s="6" t="str">
        <f t="shared" si="164"/>
        <v/>
      </c>
      <c r="G1315" s="7" t="str">
        <f t="shared" si="165"/>
        <v/>
      </c>
      <c r="H1315" s="7" t="str">
        <f t="shared" si="166"/>
        <v/>
      </c>
      <c r="I1315" s="8" t="str">
        <f t="shared" si="167"/>
        <v/>
      </c>
      <c r="L1315" t="str">
        <f>IFERROR(MATCH($C$5&amp;"|"&amp;RIGHT("000000"&amp;1299,6),LdgRankKeyA,0),"")</f>
        <v/>
      </c>
      <c r="M1315" t="str">
        <f>IFERROR(MATCH($C$5&amp;"|"&amp;RIGHT("000000"&amp;1299,6),LdgRankKeyB,0),"")</f>
        <v/>
      </c>
    </row>
    <row r="1316" spans="1:13" x14ac:dyDescent="0.2">
      <c r="A1316" s="9">
        <v>1300</v>
      </c>
      <c r="B1316" s="10" t="str">
        <f t="shared" si="160"/>
        <v/>
      </c>
      <c r="C1316" s="10" t="str">
        <f t="shared" si="161"/>
        <v/>
      </c>
      <c r="D1316" s="10" t="str">
        <f t="shared" si="162"/>
        <v/>
      </c>
      <c r="E1316" s="11" t="str">
        <f t="shared" si="163"/>
        <v/>
      </c>
      <c r="F1316" s="12" t="str">
        <f t="shared" si="164"/>
        <v/>
      </c>
      <c r="G1316" s="13" t="str">
        <f t="shared" si="165"/>
        <v/>
      </c>
      <c r="H1316" s="13" t="str">
        <f t="shared" si="166"/>
        <v/>
      </c>
      <c r="I1316" s="14" t="str">
        <f t="shared" si="167"/>
        <v/>
      </c>
      <c r="L1316" t="str">
        <f>IFERROR(MATCH($C$5&amp;"|"&amp;RIGHT("000000"&amp;1300,6),LdgRankKeyA,0),"")</f>
        <v/>
      </c>
      <c r="M1316" t="str">
        <f>IFERROR(MATCH($C$5&amp;"|"&amp;RIGHT("000000"&amp;1300,6),LdgRankKeyB,0),"")</f>
        <v/>
      </c>
    </row>
    <row r="1317" spans="1:13" x14ac:dyDescent="0.2">
      <c r="A1317" s="3">
        <v>1301</v>
      </c>
      <c r="B1317" s="4" t="str">
        <f t="shared" si="160"/>
        <v/>
      </c>
      <c r="C1317" s="4" t="str">
        <f t="shared" si="161"/>
        <v/>
      </c>
      <c r="D1317" s="4" t="str">
        <f t="shared" si="162"/>
        <v/>
      </c>
      <c r="E1317" s="5" t="str">
        <f t="shared" si="163"/>
        <v/>
      </c>
      <c r="F1317" s="6" t="str">
        <f t="shared" si="164"/>
        <v/>
      </c>
      <c r="G1317" s="7" t="str">
        <f t="shared" si="165"/>
        <v/>
      </c>
      <c r="H1317" s="7" t="str">
        <f t="shared" si="166"/>
        <v/>
      </c>
      <c r="I1317" s="8" t="str">
        <f t="shared" si="167"/>
        <v/>
      </c>
      <c r="L1317" t="str">
        <f>IFERROR(MATCH($C$5&amp;"|"&amp;RIGHT("000000"&amp;1301,6),LdgRankKeyA,0),"")</f>
        <v/>
      </c>
      <c r="M1317" t="str">
        <f>IFERROR(MATCH($C$5&amp;"|"&amp;RIGHT("000000"&amp;1301,6),LdgRankKeyB,0),"")</f>
        <v/>
      </c>
    </row>
    <row r="1318" spans="1:13" x14ac:dyDescent="0.2">
      <c r="A1318" s="9">
        <v>1302</v>
      </c>
      <c r="B1318" s="10" t="str">
        <f t="shared" si="160"/>
        <v/>
      </c>
      <c r="C1318" s="10" t="str">
        <f t="shared" si="161"/>
        <v/>
      </c>
      <c r="D1318" s="10" t="str">
        <f t="shared" si="162"/>
        <v/>
      </c>
      <c r="E1318" s="11" t="str">
        <f t="shared" si="163"/>
        <v/>
      </c>
      <c r="F1318" s="12" t="str">
        <f t="shared" si="164"/>
        <v/>
      </c>
      <c r="G1318" s="13" t="str">
        <f t="shared" si="165"/>
        <v/>
      </c>
      <c r="H1318" s="13" t="str">
        <f t="shared" si="166"/>
        <v/>
      </c>
      <c r="I1318" s="14" t="str">
        <f t="shared" si="167"/>
        <v/>
      </c>
      <c r="L1318" t="str">
        <f>IFERROR(MATCH($C$5&amp;"|"&amp;RIGHT("000000"&amp;1302,6),LdgRankKeyA,0),"")</f>
        <v/>
      </c>
      <c r="M1318" t="str">
        <f>IFERROR(MATCH($C$5&amp;"|"&amp;RIGHT("000000"&amp;1302,6),LdgRankKeyB,0),"")</f>
        <v/>
      </c>
    </row>
    <row r="1319" spans="1:13" x14ac:dyDescent="0.2">
      <c r="A1319" s="3">
        <v>1303</v>
      </c>
      <c r="B1319" s="4" t="str">
        <f t="shared" si="160"/>
        <v/>
      </c>
      <c r="C1319" s="4" t="str">
        <f t="shared" si="161"/>
        <v/>
      </c>
      <c r="D1319" s="4" t="str">
        <f t="shared" si="162"/>
        <v/>
      </c>
      <c r="E1319" s="5" t="str">
        <f t="shared" si="163"/>
        <v/>
      </c>
      <c r="F1319" s="6" t="str">
        <f t="shared" si="164"/>
        <v/>
      </c>
      <c r="G1319" s="7" t="str">
        <f t="shared" si="165"/>
        <v/>
      </c>
      <c r="H1319" s="7" t="str">
        <f t="shared" si="166"/>
        <v/>
      </c>
      <c r="I1319" s="8" t="str">
        <f t="shared" si="167"/>
        <v/>
      </c>
      <c r="L1319" t="str">
        <f>IFERROR(MATCH($C$5&amp;"|"&amp;RIGHT("000000"&amp;1303,6),LdgRankKeyA,0),"")</f>
        <v/>
      </c>
      <c r="M1319" t="str">
        <f>IFERROR(MATCH($C$5&amp;"|"&amp;RIGHT("000000"&amp;1303,6),LdgRankKeyB,0),"")</f>
        <v/>
      </c>
    </row>
    <row r="1320" spans="1:13" x14ac:dyDescent="0.2">
      <c r="A1320" s="9">
        <v>1304</v>
      </c>
      <c r="B1320" s="10" t="str">
        <f t="shared" si="160"/>
        <v/>
      </c>
      <c r="C1320" s="10" t="str">
        <f t="shared" si="161"/>
        <v/>
      </c>
      <c r="D1320" s="10" t="str">
        <f t="shared" si="162"/>
        <v/>
      </c>
      <c r="E1320" s="11" t="str">
        <f t="shared" si="163"/>
        <v/>
      </c>
      <c r="F1320" s="12" t="str">
        <f t="shared" si="164"/>
        <v/>
      </c>
      <c r="G1320" s="13" t="str">
        <f t="shared" si="165"/>
        <v/>
      </c>
      <c r="H1320" s="13" t="str">
        <f t="shared" si="166"/>
        <v/>
      </c>
      <c r="I1320" s="14" t="str">
        <f t="shared" si="167"/>
        <v/>
      </c>
      <c r="L1320" t="str">
        <f>IFERROR(MATCH($C$5&amp;"|"&amp;RIGHT("000000"&amp;1304,6),LdgRankKeyA,0),"")</f>
        <v/>
      </c>
      <c r="M1320" t="str">
        <f>IFERROR(MATCH($C$5&amp;"|"&amp;RIGHT("000000"&amp;1304,6),LdgRankKeyB,0),"")</f>
        <v/>
      </c>
    </row>
    <row r="1321" spans="1:13" x14ac:dyDescent="0.2">
      <c r="A1321" s="3">
        <v>1305</v>
      </c>
      <c r="B1321" s="4" t="str">
        <f t="shared" si="160"/>
        <v/>
      </c>
      <c r="C1321" s="4" t="str">
        <f t="shared" si="161"/>
        <v/>
      </c>
      <c r="D1321" s="4" t="str">
        <f t="shared" si="162"/>
        <v/>
      </c>
      <c r="E1321" s="5" t="str">
        <f t="shared" si="163"/>
        <v/>
      </c>
      <c r="F1321" s="6" t="str">
        <f t="shared" si="164"/>
        <v/>
      </c>
      <c r="G1321" s="7" t="str">
        <f t="shared" si="165"/>
        <v/>
      </c>
      <c r="H1321" s="7" t="str">
        <f t="shared" si="166"/>
        <v/>
      </c>
      <c r="I1321" s="8" t="str">
        <f t="shared" si="167"/>
        <v/>
      </c>
      <c r="L1321" t="str">
        <f>IFERROR(MATCH($C$5&amp;"|"&amp;RIGHT("000000"&amp;1305,6),LdgRankKeyA,0),"")</f>
        <v/>
      </c>
      <c r="M1321" t="str">
        <f>IFERROR(MATCH($C$5&amp;"|"&amp;RIGHT("000000"&amp;1305,6),LdgRankKeyB,0),"")</f>
        <v/>
      </c>
    </row>
    <row r="1322" spans="1:13" x14ac:dyDescent="0.2">
      <c r="A1322" s="9">
        <v>1306</v>
      </c>
      <c r="B1322" s="10" t="str">
        <f t="shared" si="160"/>
        <v/>
      </c>
      <c r="C1322" s="10" t="str">
        <f t="shared" si="161"/>
        <v/>
      </c>
      <c r="D1322" s="10" t="str">
        <f t="shared" si="162"/>
        <v/>
      </c>
      <c r="E1322" s="11" t="str">
        <f t="shared" si="163"/>
        <v/>
      </c>
      <c r="F1322" s="12" t="str">
        <f t="shared" si="164"/>
        <v/>
      </c>
      <c r="G1322" s="13" t="str">
        <f t="shared" si="165"/>
        <v/>
      </c>
      <c r="H1322" s="13" t="str">
        <f t="shared" si="166"/>
        <v/>
      </c>
      <c r="I1322" s="14" t="str">
        <f t="shared" si="167"/>
        <v/>
      </c>
      <c r="L1322" t="str">
        <f>IFERROR(MATCH($C$5&amp;"|"&amp;RIGHT("000000"&amp;1306,6),LdgRankKeyA,0),"")</f>
        <v/>
      </c>
      <c r="M1322" t="str">
        <f>IFERROR(MATCH($C$5&amp;"|"&amp;RIGHT("000000"&amp;1306,6),LdgRankKeyB,0),"")</f>
        <v/>
      </c>
    </row>
    <row r="1323" spans="1:13" x14ac:dyDescent="0.2">
      <c r="A1323" s="3">
        <v>1307</v>
      </c>
      <c r="B1323" s="4" t="str">
        <f t="shared" si="160"/>
        <v/>
      </c>
      <c r="C1323" s="4" t="str">
        <f t="shared" si="161"/>
        <v/>
      </c>
      <c r="D1323" s="4" t="str">
        <f t="shared" si="162"/>
        <v/>
      </c>
      <c r="E1323" s="5" t="str">
        <f t="shared" si="163"/>
        <v/>
      </c>
      <c r="F1323" s="6" t="str">
        <f t="shared" si="164"/>
        <v/>
      </c>
      <c r="G1323" s="7" t="str">
        <f t="shared" si="165"/>
        <v/>
      </c>
      <c r="H1323" s="7" t="str">
        <f t="shared" si="166"/>
        <v/>
      </c>
      <c r="I1323" s="8" t="str">
        <f t="shared" si="167"/>
        <v/>
      </c>
      <c r="L1323" t="str">
        <f>IFERROR(MATCH($C$5&amp;"|"&amp;RIGHT("000000"&amp;1307,6),LdgRankKeyA,0),"")</f>
        <v/>
      </c>
      <c r="M1323" t="str">
        <f>IFERROR(MATCH($C$5&amp;"|"&amp;RIGHT("000000"&amp;1307,6),LdgRankKeyB,0),"")</f>
        <v/>
      </c>
    </row>
    <row r="1324" spans="1:13" x14ac:dyDescent="0.2">
      <c r="A1324" s="9">
        <v>1308</v>
      </c>
      <c r="B1324" s="10" t="str">
        <f t="shared" si="160"/>
        <v/>
      </c>
      <c r="C1324" s="10" t="str">
        <f t="shared" si="161"/>
        <v/>
      </c>
      <c r="D1324" s="10" t="str">
        <f t="shared" si="162"/>
        <v/>
      </c>
      <c r="E1324" s="11" t="str">
        <f t="shared" si="163"/>
        <v/>
      </c>
      <c r="F1324" s="12" t="str">
        <f t="shared" si="164"/>
        <v/>
      </c>
      <c r="G1324" s="13" t="str">
        <f t="shared" si="165"/>
        <v/>
      </c>
      <c r="H1324" s="13" t="str">
        <f t="shared" si="166"/>
        <v/>
      </c>
      <c r="I1324" s="14" t="str">
        <f t="shared" si="167"/>
        <v/>
      </c>
      <c r="L1324" t="str">
        <f>IFERROR(MATCH($C$5&amp;"|"&amp;RIGHT("000000"&amp;1308,6),LdgRankKeyA,0),"")</f>
        <v/>
      </c>
      <c r="M1324" t="str">
        <f>IFERROR(MATCH($C$5&amp;"|"&amp;RIGHT("000000"&amp;1308,6),LdgRankKeyB,0),"")</f>
        <v/>
      </c>
    </row>
    <row r="1325" spans="1:13" x14ac:dyDescent="0.2">
      <c r="A1325" s="3">
        <v>1309</v>
      </c>
      <c r="B1325" s="4" t="str">
        <f t="shared" si="160"/>
        <v/>
      </c>
      <c r="C1325" s="4" t="str">
        <f t="shared" si="161"/>
        <v/>
      </c>
      <c r="D1325" s="4" t="str">
        <f t="shared" si="162"/>
        <v/>
      </c>
      <c r="E1325" s="5" t="str">
        <f t="shared" si="163"/>
        <v/>
      </c>
      <c r="F1325" s="6" t="str">
        <f t="shared" si="164"/>
        <v/>
      </c>
      <c r="G1325" s="7" t="str">
        <f t="shared" si="165"/>
        <v/>
      </c>
      <c r="H1325" s="7" t="str">
        <f t="shared" si="166"/>
        <v/>
      </c>
      <c r="I1325" s="8" t="str">
        <f t="shared" si="167"/>
        <v/>
      </c>
      <c r="L1325" t="str">
        <f>IFERROR(MATCH($C$5&amp;"|"&amp;RIGHT("000000"&amp;1309,6),LdgRankKeyA,0),"")</f>
        <v/>
      </c>
      <c r="M1325" t="str">
        <f>IFERROR(MATCH($C$5&amp;"|"&amp;RIGHT("000000"&amp;1309,6),LdgRankKeyB,0),"")</f>
        <v/>
      </c>
    </row>
    <row r="1326" spans="1:13" x14ac:dyDescent="0.2">
      <c r="A1326" s="9">
        <v>1310</v>
      </c>
      <c r="B1326" s="10" t="str">
        <f t="shared" si="160"/>
        <v/>
      </c>
      <c r="C1326" s="10" t="str">
        <f t="shared" si="161"/>
        <v/>
      </c>
      <c r="D1326" s="10" t="str">
        <f t="shared" si="162"/>
        <v/>
      </c>
      <c r="E1326" s="11" t="str">
        <f t="shared" si="163"/>
        <v/>
      </c>
      <c r="F1326" s="12" t="str">
        <f t="shared" si="164"/>
        <v/>
      </c>
      <c r="G1326" s="13" t="str">
        <f t="shared" si="165"/>
        <v/>
      </c>
      <c r="H1326" s="13" t="str">
        <f t="shared" si="166"/>
        <v/>
      </c>
      <c r="I1326" s="14" t="str">
        <f t="shared" si="167"/>
        <v/>
      </c>
      <c r="L1326" t="str">
        <f>IFERROR(MATCH($C$5&amp;"|"&amp;RIGHT("000000"&amp;1310,6),LdgRankKeyA,0),"")</f>
        <v/>
      </c>
      <c r="M1326" t="str">
        <f>IFERROR(MATCH($C$5&amp;"|"&amp;RIGHT("000000"&amp;1310,6),LdgRankKeyB,0),"")</f>
        <v/>
      </c>
    </row>
    <row r="1327" spans="1:13" x14ac:dyDescent="0.2">
      <c r="A1327" s="3">
        <v>1311</v>
      </c>
      <c r="B1327" s="4" t="str">
        <f t="shared" si="160"/>
        <v/>
      </c>
      <c r="C1327" s="4" t="str">
        <f t="shared" si="161"/>
        <v/>
      </c>
      <c r="D1327" s="4" t="str">
        <f t="shared" si="162"/>
        <v/>
      </c>
      <c r="E1327" s="5" t="str">
        <f t="shared" si="163"/>
        <v/>
      </c>
      <c r="F1327" s="6" t="str">
        <f t="shared" si="164"/>
        <v/>
      </c>
      <c r="G1327" s="7" t="str">
        <f t="shared" si="165"/>
        <v/>
      </c>
      <c r="H1327" s="7" t="str">
        <f t="shared" si="166"/>
        <v/>
      </c>
      <c r="I1327" s="8" t="str">
        <f t="shared" si="167"/>
        <v/>
      </c>
      <c r="L1327" t="str">
        <f>IFERROR(MATCH($C$5&amp;"|"&amp;RIGHT("000000"&amp;1311,6),LdgRankKeyA,0),"")</f>
        <v/>
      </c>
      <c r="M1327" t="str">
        <f>IFERROR(MATCH($C$5&amp;"|"&amp;RIGHT("000000"&amp;1311,6),LdgRankKeyB,0),"")</f>
        <v/>
      </c>
    </row>
    <row r="1328" spans="1:13" x14ac:dyDescent="0.2">
      <c r="A1328" s="9">
        <v>1312</v>
      </c>
      <c r="B1328" s="10" t="str">
        <f t="shared" si="160"/>
        <v/>
      </c>
      <c r="C1328" s="10" t="str">
        <f t="shared" si="161"/>
        <v/>
      </c>
      <c r="D1328" s="10" t="str">
        <f t="shared" si="162"/>
        <v/>
      </c>
      <c r="E1328" s="11" t="str">
        <f t="shared" si="163"/>
        <v/>
      </c>
      <c r="F1328" s="12" t="str">
        <f t="shared" si="164"/>
        <v/>
      </c>
      <c r="G1328" s="13" t="str">
        <f t="shared" si="165"/>
        <v/>
      </c>
      <c r="H1328" s="13" t="str">
        <f t="shared" si="166"/>
        <v/>
      </c>
      <c r="I1328" s="14" t="str">
        <f t="shared" si="167"/>
        <v/>
      </c>
      <c r="L1328" t="str">
        <f>IFERROR(MATCH($C$5&amp;"|"&amp;RIGHT("000000"&amp;1312,6),LdgRankKeyA,0),"")</f>
        <v/>
      </c>
      <c r="M1328" t="str">
        <f>IFERROR(MATCH($C$5&amp;"|"&amp;RIGHT("000000"&amp;1312,6),LdgRankKeyB,0),"")</f>
        <v/>
      </c>
    </row>
    <row r="1329" spans="1:13" x14ac:dyDescent="0.2">
      <c r="A1329" s="3">
        <v>1313</v>
      </c>
      <c r="B1329" s="4" t="str">
        <f t="shared" si="160"/>
        <v/>
      </c>
      <c r="C1329" s="4" t="str">
        <f t="shared" si="161"/>
        <v/>
      </c>
      <c r="D1329" s="4" t="str">
        <f t="shared" si="162"/>
        <v/>
      </c>
      <c r="E1329" s="5" t="str">
        <f t="shared" si="163"/>
        <v/>
      </c>
      <c r="F1329" s="6" t="str">
        <f t="shared" si="164"/>
        <v/>
      </c>
      <c r="G1329" s="7" t="str">
        <f t="shared" si="165"/>
        <v/>
      </c>
      <c r="H1329" s="7" t="str">
        <f t="shared" si="166"/>
        <v/>
      </c>
      <c r="I1329" s="8" t="str">
        <f t="shared" si="167"/>
        <v/>
      </c>
      <c r="L1329" t="str">
        <f>IFERROR(MATCH($C$5&amp;"|"&amp;RIGHT("000000"&amp;1313,6),LdgRankKeyA,0),"")</f>
        <v/>
      </c>
      <c r="M1329" t="str">
        <f>IFERROR(MATCH($C$5&amp;"|"&amp;RIGHT("000000"&amp;1313,6),LdgRankKeyB,0),"")</f>
        <v/>
      </c>
    </row>
    <row r="1330" spans="1:13" x14ac:dyDescent="0.2">
      <c r="A1330" s="9">
        <v>1314</v>
      </c>
      <c r="B1330" s="10" t="str">
        <f t="shared" si="160"/>
        <v/>
      </c>
      <c r="C1330" s="10" t="str">
        <f t="shared" si="161"/>
        <v/>
      </c>
      <c r="D1330" s="10" t="str">
        <f t="shared" si="162"/>
        <v/>
      </c>
      <c r="E1330" s="11" t="str">
        <f t="shared" si="163"/>
        <v/>
      </c>
      <c r="F1330" s="12" t="str">
        <f t="shared" si="164"/>
        <v/>
      </c>
      <c r="G1330" s="13" t="str">
        <f t="shared" si="165"/>
        <v/>
      </c>
      <c r="H1330" s="13" t="str">
        <f t="shared" si="166"/>
        <v/>
      </c>
      <c r="I1330" s="14" t="str">
        <f t="shared" si="167"/>
        <v/>
      </c>
      <c r="L1330" t="str">
        <f>IFERROR(MATCH($C$5&amp;"|"&amp;RIGHT("000000"&amp;1314,6),LdgRankKeyA,0),"")</f>
        <v/>
      </c>
      <c r="M1330" t="str">
        <f>IFERROR(MATCH($C$5&amp;"|"&amp;RIGHT("000000"&amp;1314,6),LdgRankKeyB,0),"")</f>
        <v/>
      </c>
    </row>
    <row r="1331" spans="1:13" x14ac:dyDescent="0.2">
      <c r="A1331" s="3">
        <v>1315</v>
      </c>
      <c r="B1331" s="4" t="str">
        <f t="shared" si="160"/>
        <v/>
      </c>
      <c r="C1331" s="4" t="str">
        <f t="shared" si="161"/>
        <v/>
      </c>
      <c r="D1331" s="4" t="str">
        <f t="shared" si="162"/>
        <v/>
      </c>
      <c r="E1331" s="5" t="str">
        <f t="shared" si="163"/>
        <v/>
      </c>
      <c r="F1331" s="6" t="str">
        <f t="shared" si="164"/>
        <v/>
      </c>
      <c r="G1331" s="7" t="str">
        <f t="shared" si="165"/>
        <v/>
      </c>
      <c r="H1331" s="7" t="str">
        <f t="shared" si="166"/>
        <v/>
      </c>
      <c r="I1331" s="8" t="str">
        <f t="shared" si="167"/>
        <v/>
      </c>
      <c r="L1331" t="str">
        <f>IFERROR(MATCH($C$5&amp;"|"&amp;RIGHT("000000"&amp;1315,6),LdgRankKeyA,0),"")</f>
        <v/>
      </c>
      <c r="M1331" t="str">
        <f>IFERROR(MATCH($C$5&amp;"|"&amp;RIGHT("000000"&amp;1315,6),LdgRankKeyB,0),"")</f>
        <v/>
      </c>
    </row>
    <row r="1332" spans="1:13" x14ac:dyDescent="0.2">
      <c r="A1332" s="9">
        <v>1316</v>
      </c>
      <c r="B1332" s="10" t="str">
        <f t="shared" si="160"/>
        <v/>
      </c>
      <c r="C1332" s="10" t="str">
        <f t="shared" si="161"/>
        <v/>
      </c>
      <c r="D1332" s="10" t="str">
        <f t="shared" si="162"/>
        <v/>
      </c>
      <c r="E1332" s="11" t="str">
        <f t="shared" si="163"/>
        <v/>
      </c>
      <c r="F1332" s="12" t="str">
        <f t="shared" si="164"/>
        <v/>
      </c>
      <c r="G1332" s="13" t="str">
        <f t="shared" si="165"/>
        <v/>
      </c>
      <c r="H1332" s="13" t="str">
        <f t="shared" si="166"/>
        <v/>
      </c>
      <c r="I1332" s="14" t="str">
        <f t="shared" si="167"/>
        <v/>
      </c>
      <c r="L1332" t="str">
        <f>IFERROR(MATCH($C$5&amp;"|"&amp;RIGHT("000000"&amp;1316,6),LdgRankKeyA,0),"")</f>
        <v/>
      </c>
      <c r="M1332" t="str">
        <f>IFERROR(MATCH($C$5&amp;"|"&amp;RIGHT("000000"&amp;1316,6),LdgRankKeyB,0),"")</f>
        <v/>
      </c>
    </row>
    <row r="1333" spans="1:13" x14ac:dyDescent="0.2">
      <c r="A1333" s="3">
        <v>1317</v>
      </c>
      <c r="B1333" s="4" t="str">
        <f t="shared" si="160"/>
        <v/>
      </c>
      <c r="C1333" s="4" t="str">
        <f t="shared" si="161"/>
        <v/>
      </c>
      <c r="D1333" s="4" t="str">
        <f t="shared" si="162"/>
        <v/>
      </c>
      <c r="E1333" s="5" t="str">
        <f t="shared" si="163"/>
        <v/>
      </c>
      <c r="F1333" s="6" t="str">
        <f t="shared" si="164"/>
        <v/>
      </c>
      <c r="G1333" s="7" t="str">
        <f t="shared" si="165"/>
        <v/>
      </c>
      <c r="H1333" s="7" t="str">
        <f t="shared" si="166"/>
        <v/>
      </c>
      <c r="I1333" s="8" t="str">
        <f t="shared" si="167"/>
        <v/>
      </c>
      <c r="L1333" t="str">
        <f>IFERROR(MATCH($C$5&amp;"|"&amp;RIGHT("000000"&amp;1317,6),LdgRankKeyA,0),"")</f>
        <v/>
      </c>
      <c r="M1333" t="str">
        <f>IFERROR(MATCH($C$5&amp;"|"&amp;RIGHT("000000"&amp;1317,6),LdgRankKeyB,0),"")</f>
        <v/>
      </c>
    </row>
    <row r="1334" spans="1:13" x14ac:dyDescent="0.2">
      <c r="A1334" s="9">
        <v>1318</v>
      </c>
      <c r="B1334" s="10" t="str">
        <f t="shared" si="160"/>
        <v/>
      </c>
      <c r="C1334" s="10" t="str">
        <f t="shared" si="161"/>
        <v/>
      </c>
      <c r="D1334" s="10" t="str">
        <f t="shared" si="162"/>
        <v/>
      </c>
      <c r="E1334" s="11" t="str">
        <f t="shared" si="163"/>
        <v/>
      </c>
      <c r="F1334" s="12" t="str">
        <f t="shared" si="164"/>
        <v/>
      </c>
      <c r="G1334" s="13" t="str">
        <f t="shared" si="165"/>
        <v/>
      </c>
      <c r="H1334" s="13" t="str">
        <f t="shared" si="166"/>
        <v/>
      </c>
      <c r="I1334" s="14" t="str">
        <f t="shared" si="167"/>
        <v/>
      </c>
      <c r="L1334" t="str">
        <f>IFERROR(MATCH($C$5&amp;"|"&amp;RIGHT("000000"&amp;1318,6),LdgRankKeyA,0),"")</f>
        <v/>
      </c>
      <c r="M1334" t="str">
        <f>IFERROR(MATCH($C$5&amp;"|"&amp;RIGHT("000000"&amp;1318,6),LdgRankKeyB,0),"")</f>
        <v/>
      </c>
    </row>
    <row r="1335" spans="1:13" x14ac:dyDescent="0.2">
      <c r="A1335" s="3">
        <v>1319</v>
      </c>
      <c r="B1335" s="4" t="str">
        <f t="shared" si="160"/>
        <v/>
      </c>
      <c r="C1335" s="4" t="str">
        <f t="shared" si="161"/>
        <v/>
      </c>
      <c r="D1335" s="4" t="str">
        <f t="shared" si="162"/>
        <v/>
      </c>
      <c r="E1335" s="5" t="str">
        <f t="shared" si="163"/>
        <v/>
      </c>
      <c r="F1335" s="6" t="str">
        <f t="shared" si="164"/>
        <v/>
      </c>
      <c r="G1335" s="7" t="str">
        <f t="shared" si="165"/>
        <v/>
      </c>
      <c r="H1335" s="7" t="str">
        <f t="shared" si="166"/>
        <v/>
      </c>
      <c r="I1335" s="8" t="str">
        <f t="shared" si="167"/>
        <v/>
      </c>
      <c r="L1335" t="str">
        <f>IFERROR(MATCH($C$5&amp;"|"&amp;RIGHT("000000"&amp;1319,6),LdgRankKeyA,0),"")</f>
        <v/>
      </c>
      <c r="M1335" t="str">
        <f>IFERROR(MATCH($C$5&amp;"|"&amp;RIGHT("000000"&amp;1319,6),LdgRankKeyB,0),"")</f>
        <v/>
      </c>
    </row>
    <row r="1336" spans="1:13" x14ac:dyDescent="0.2">
      <c r="A1336" s="9">
        <v>1320</v>
      </c>
      <c r="B1336" s="10" t="str">
        <f t="shared" si="160"/>
        <v/>
      </c>
      <c r="C1336" s="10" t="str">
        <f t="shared" si="161"/>
        <v/>
      </c>
      <c r="D1336" s="10" t="str">
        <f t="shared" si="162"/>
        <v/>
      </c>
      <c r="E1336" s="11" t="str">
        <f t="shared" si="163"/>
        <v/>
      </c>
      <c r="F1336" s="12" t="str">
        <f t="shared" si="164"/>
        <v/>
      </c>
      <c r="G1336" s="13" t="str">
        <f t="shared" si="165"/>
        <v/>
      </c>
      <c r="H1336" s="13" t="str">
        <f t="shared" si="166"/>
        <v/>
      </c>
      <c r="I1336" s="14" t="str">
        <f t="shared" si="167"/>
        <v/>
      </c>
      <c r="L1336" t="str">
        <f>IFERROR(MATCH($C$5&amp;"|"&amp;RIGHT("000000"&amp;1320,6),LdgRankKeyA,0),"")</f>
        <v/>
      </c>
      <c r="M1336" t="str">
        <f>IFERROR(MATCH($C$5&amp;"|"&amp;RIGHT("000000"&amp;1320,6),LdgRankKeyB,0),"")</f>
        <v/>
      </c>
    </row>
    <row r="1337" spans="1:13" x14ac:dyDescent="0.2">
      <c r="A1337" s="3">
        <v>1321</v>
      </c>
      <c r="B1337" s="4" t="str">
        <f t="shared" si="160"/>
        <v/>
      </c>
      <c r="C1337" s="4" t="str">
        <f t="shared" si="161"/>
        <v/>
      </c>
      <c r="D1337" s="4" t="str">
        <f t="shared" si="162"/>
        <v/>
      </c>
      <c r="E1337" s="5" t="str">
        <f t="shared" si="163"/>
        <v/>
      </c>
      <c r="F1337" s="6" t="str">
        <f t="shared" si="164"/>
        <v/>
      </c>
      <c r="G1337" s="7" t="str">
        <f t="shared" si="165"/>
        <v/>
      </c>
      <c r="H1337" s="7" t="str">
        <f t="shared" si="166"/>
        <v/>
      </c>
      <c r="I1337" s="8" t="str">
        <f t="shared" si="167"/>
        <v/>
      </c>
      <c r="L1337" t="str">
        <f>IFERROR(MATCH($C$5&amp;"|"&amp;RIGHT("000000"&amp;1321,6),LdgRankKeyA,0),"")</f>
        <v/>
      </c>
      <c r="M1337" t="str">
        <f>IFERROR(MATCH($C$5&amp;"|"&amp;RIGHT("000000"&amp;1321,6),LdgRankKeyB,0),"")</f>
        <v/>
      </c>
    </row>
    <row r="1338" spans="1:13" x14ac:dyDescent="0.2">
      <c r="A1338" s="9">
        <v>1322</v>
      </c>
      <c r="B1338" s="10" t="str">
        <f t="shared" si="160"/>
        <v/>
      </c>
      <c r="C1338" s="10" t="str">
        <f t="shared" si="161"/>
        <v/>
      </c>
      <c r="D1338" s="10" t="str">
        <f t="shared" si="162"/>
        <v/>
      </c>
      <c r="E1338" s="11" t="str">
        <f t="shared" si="163"/>
        <v/>
      </c>
      <c r="F1338" s="12" t="str">
        <f t="shared" si="164"/>
        <v/>
      </c>
      <c r="G1338" s="13" t="str">
        <f t="shared" si="165"/>
        <v/>
      </c>
      <c r="H1338" s="13" t="str">
        <f t="shared" si="166"/>
        <v/>
      </c>
      <c r="I1338" s="14" t="str">
        <f t="shared" si="167"/>
        <v/>
      </c>
      <c r="L1338" t="str">
        <f>IFERROR(MATCH($C$5&amp;"|"&amp;RIGHT("000000"&amp;1322,6),LdgRankKeyA,0),"")</f>
        <v/>
      </c>
      <c r="M1338" t="str">
        <f>IFERROR(MATCH($C$5&amp;"|"&amp;RIGHT("000000"&amp;1322,6),LdgRankKeyB,0),"")</f>
        <v/>
      </c>
    </row>
    <row r="1339" spans="1:13" x14ac:dyDescent="0.2">
      <c r="A1339" s="3">
        <v>1323</v>
      </c>
      <c r="B1339" s="4" t="str">
        <f t="shared" si="160"/>
        <v/>
      </c>
      <c r="C1339" s="4" t="str">
        <f t="shared" si="161"/>
        <v/>
      </c>
      <c r="D1339" s="4" t="str">
        <f t="shared" si="162"/>
        <v/>
      </c>
      <c r="E1339" s="5" t="str">
        <f t="shared" si="163"/>
        <v/>
      </c>
      <c r="F1339" s="6" t="str">
        <f t="shared" si="164"/>
        <v/>
      </c>
      <c r="G1339" s="7" t="str">
        <f t="shared" si="165"/>
        <v/>
      </c>
      <c r="H1339" s="7" t="str">
        <f t="shared" si="166"/>
        <v/>
      </c>
      <c r="I1339" s="8" t="str">
        <f t="shared" si="167"/>
        <v/>
      </c>
      <c r="L1339" t="str">
        <f>IFERROR(MATCH($C$5&amp;"|"&amp;RIGHT("000000"&amp;1323,6),LdgRankKeyA,0),"")</f>
        <v/>
      </c>
      <c r="M1339" t="str">
        <f>IFERROR(MATCH($C$5&amp;"|"&amp;RIGHT("000000"&amp;1323,6),LdgRankKeyB,0),"")</f>
        <v/>
      </c>
    </row>
    <row r="1340" spans="1:13" x14ac:dyDescent="0.2">
      <c r="A1340" s="9">
        <v>1324</v>
      </c>
      <c r="B1340" s="10" t="str">
        <f t="shared" si="160"/>
        <v/>
      </c>
      <c r="C1340" s="10" t="str">
        <f t="shared" si="161"/>
        <v/>
      </c>
      <c r="D1340" s="10" t="str">
        <f t="shared" si="162"/>
        <v/>
      </c>
      <c r="E1340" s="11" t="str">
        <f t="shared" si="163"/>
        <v/>
      </c>
      <c r="F1340" s="12" t="str">
        <f t="shared" si="164"/>
        <v/>
      </c>
      <c r="G1340" s="13" t="str">
        <f t="shared" si="165"/>
        <v/>
      </c>
      <c r="H1340" s="13" t="str">
        <f t="shared" si="166"/>
        <v/>
      </c>
      <c r="I1340" s="14" t="str">
        <f t="shared" si="167"/>
        <v/>
      </c>
      <c r="L1340" t="str">
        <f>IFERROR(MATCH($C$5&amp;"|"&amp;RIGHT("000000"&amp;1324,6),LdgRankKeyA,0),"")</f>
        <v/>
      </c>
      <c r="M1340" t="str">
        <f>IFERROR(MATCH($C$5&amp;"|"&amp;RIGHT("000000"&amp;1324,6),LdgRankKeyB,0),"")</f>
        <v/>
      </c>
    </row>
    <row r="1341" spans="1:13" x14ac:dyDescent="0.2">
      <c r="A1341" s="3">
        <v>1325</v>
      </c>
      <c r="B1341" s="4" t="str">
        <f t="shared" si="160"/>
        <v/>
      </c>
      <c r="C1341" s="4" t="str">
        <f t="shared" si="161"/>
        <v/>
      </c>
      <c r="D1341" s="4" t="str">
        <f t="shared" si="162"/>
        <v/>
      </c>
      <c r="E1341" s="5" t="str">
        <f t="shared" si="163"/>
        <v/>
      </c>
      <c r="F1341" s="6" t="str">
        <f t="shared" si="164"/>
        <v/>
      </c>
      <c r="G1341" s="7" t="str">
        <f t="shared" si="165"/>
        <v/>
      </c>
      <c r="H1341" s="7" t="str">
        <f t="shared" si="166"/>
        <v/>
      </c>
      <c r="I1341" s="8" t="str">
        <f t="shared" si="167"/>
        <v/>
      </c>
      <c r="L1341" t="str">
        <f>IFERROR(MATCH($C$5&amp;"|"&amp;RIGHT("000000"&amp;1325,6),LdgRankKeyA,0),"")</f>
        <v/>
      </c>
      <c r="M1341" t="str">
        <f>IFERROR(MATCH($C$5&amp;"|"&amp;RIGHT("000000"&amp;1325,6),LdgRankKeyB,0),"")</f>
        <v/>
      </c>
    </row>
    <row r="1342" spans="1:13" x14ac:dyDescent="0.2">
      <c r="A1342" s="9">
        <v>1326</v>
      </c>
      <c r="B1342" s="10" t="str">
        <f t="shared" si="160"/>
        <v/>
      </c>
      <c r="C1342" s="10" t="str">
        <f t="shared" si="161"/>
        <v/>
      </c>
      <c r="D1342" s="10" t="str">
        <f t="shared" si="162"/>
        <v/>
      </c>
      <c r="E1342" s="11" t="str">
        <f t="shared" si="163"/>
        <v/>
      </c>
      <c r="F1342" s="12" t="str">
        <f t="shared" si="164"/>
        <v/>
      </c>
      <c r="G1342" s="13" t="str">
        <f t="shared" si="165"/>
        <v/>
      </c>
      <c r="H1342" s="13" t="str">
        <f t="shared" si="166"/>
        <v/>
      </c>
      <c r="I1342" s="14" t="str">
        <f t="shared" si="167"/>
        <v/>
      </c>
      <c r="L1342" t="str">
        <f>IFERROR(MATCH($C$5&amp;"|"&amp;RIGHT("000000"&amp;1326,6),LdgRankKeyA,0),"")</f>
        <v/>
      </c>
      <c r="M1342" t="str">
        <f>IFERROR(MATCH($C$5&amp;"|"&amp;RIGHT("000000"&amp;1326,6),LdgRankKeyB,0),"")</f>
        <v/>
      </c>
    </row>
    <row r="1343" spans="1:13" x14ac:dyDescent="0.2">
      <c r="A1343" s="3">
        <v>1327</v>
      </c>
      <c r="B1343" s="4" t="str">
        <f t="shared" si="160"/>
        <v/>
      </c>
      <c r="C1343" s="4" t="str">
        <f t="shared" si="161"/>
        <v/>
      </c>
      <c r="D1343" s="4" t="str">
        <f t="shared" si="162"/>
        <v/>
      </c>
      <c r="E1343" s="5" t="str">
        <f t="shared" si="163"/>
        <v/>
      </c>
      <c r="F1343" s="6" t="str">
        <f t="shared" si="164"/>
        <v/>
      </c>
      <c r="G1343" s="7" t="str">
        <f t="shared" si="165"/>
        <v/>
      </c>
      <c r="H1343" s="7" t="str">
        <f t="shared" si="166"/>
        <v/>
      </c>
      <c r="I1343" s="8" t="str">
        <f t="shared" si="167"/>
        <v/>
      </c>
      <c r="L1343" t="str">
        <f>IFERROR(MATCH($C$5&amp;"|"&amp;RIGHT("000000"&amp;1327,6),LdgRankKeyA,0),"")</f>
        <v/>
      </c>
      <c r="M1343" t="str">
        <f>IFERROR(MATCH($C$5&amp;"|"&amp;RIGHT("000000"&amp;1327,6),LdgRankKeyB,0),"")</f>
        <v/>
      </c>
    </row>
    <row r="1344" spans="1:13" x14ac:dyDescent="0.2">
      <c r="A1344" s="9">
        <v>1328</v>
      </c>
      <c r="B1344" s="10" t="str">
        <f t="shared" si="160"/>
        <v/>
      </c>
      <c r="C1344" s="10" t="str">
        <f t="shared" si="161"/>
        <v/>
      </c>
      <c r="D1344" s="10" t="str">
        <f t="shared" si="162"/>
        <v/>
      </c>
      <c r="E1344" s="11" t="str">
        <f t="shared" si="163"/>
        <v/>
      </c>
      <c r="F1344" s="12" t="str">
        <f t="shared" si="164"/>
        <v/>
      </c>
      <c r="G1344" s="13" t="str">
        <f t="shared" si="165"/>
        <v/>
      </c>
      <c r="H1344" s="13" t="str">
        <f t="shared" si="166"/>
        <v/>
      </c>
      <c r="I1344" s="14" t="str">
        <f t="shared" si="167"/>
        <v/>
      </c>
      <c r="L1344" t="str">
        <f>IFERROR(MATCH($C$5&amp;"|"&amp;RIGHT("000000"&amp;1328,6),LdgRankKeyA,0),"")</f>
        <v/>
      </c>
      <c r="M1344" t="str">
        <f>IFERROR(MATCH($C$5&amp;"|"&amp;RIGHT("000000"&amp;1328,6),LdgRankKeyB,0),"")</f>
        <v/>
      </c>
    </row>
    <row r="1345" spans="1:13" x14ac:dyDescent="0.2">
      <c r="A1345" s="3">
        <v>1329</v>
      </c>
      <c r="B1345" s="4" t="str">
        <f t="shared" si="160"/>
        <v/>
      </c>
      <c r="C1345" s="4" t="str">
        <f t="shared" si="161"/>
        <v/>
      </c>
      <c r="D1345" s="4" t="str">
        <f t="shared" si="162"/>
        <v/>
      </c>
      <c r="E1345" s="5" t="str">
        <f t="shared" si="163"/>
        <v/>
      </c>
      <c r="F1345" s="6" t="str">
        <f t="shared" si="164"/>
        <v/>
      </c>
      <c r="G1345" s="7" t="str">
        <f t="shared" si="165"/>
        <v/>
      </c>
      <c r="H1345" s="7" t="str">
        <f t="shared" si="166"/>
        <v/>
      </c>
      <c r="I1345" s="8" t="str">
        <f t="shared" si="167"/>
        <v/>
      </c>
      <c r="L1345" t="str">
        <f>IFERROR(MATCH($C$5&amp;"|"&amp;RIGHT("000000"&amp;1329,6),LdgRankKeyA,0),"")</f>
        <v/>
      </c>
      <c r="M1345" t="str">
        <f>IFERROR(MATCH($C$5&amp;"|"&amp;RIGHT("000000"&amp;1329,6),LdgRankKeyB,0),"")</f>
        <v/>
      </c>
    </row>
    <row r="1346" spans="1:13" x14ac:dyDescent="0.2">
      <c r="A1346" s="9">
        <v>1330</v>
      </c>
      <c r="B1346" s="10" t="str">
        <f t="shared" si="160"/>
        <v/>
      </c>
      <c r="C1346" s="10" t="str">
        <f t="shared" si="161"/>
        <v/>
      </c>
      <c r="D1346" s="10" t="str">
        <f t="shared" si="162"/>
        <v/>
      </c>
      <c r="E1346" s="11" t="str">
        <f t="shared" si="163"/>
        <v/>
      </c>
      <c r="F1346" s="12" t="str">
        <f t="shared" si="164"/>
        <v/>
      </c>
      <c r="G1346" s="13" t="str">
        <f t="shared" si="165"/>
        <v/>
      </c>
      <c r="H1346" s="13" t="str">
        <f t="shared" si="166"/>
        <v/>
      </c>
      <c r="I1346" s="14" t="str">
        <f t="shared" si="167"/>
        <v/>
      </c>
      <c r="L1346" t="str">
        <f>IFERROR(MATCH($C$5&amp;"|"&amp;RIGHT("000000"&amp;1330,6),LdgRankKeyA,0),"")</f>
        <v/>
      </c>
      <c r="M1346" t="str">
        <f>IFERROR(MATCH($C$5&amp;"|"&amp;RIGHT("000000"&amp;1330,6),LdgRankKeyB,0),"")</f>
        <v/>
      </c>
    </row>
    <row r="1347" spans="1:13" x14ac:dyDescent="0.2">
      <c r="A1347" s="3">
        <v>1331</v>
      </c>
      <c r="B1347" s="4" t="str">
        <f t="shared" si="160"/>
        <v/>
      </c>
      <c r="C1347" s="4" t="str">
        <f t="shared" si="161"/>
        <v/>
      </c>
      <c r="D1347" s="4" t="str">
        <f t="shared" si="162"/>
        <v/>
      </c>
      <c r="E1347" s="5" t="str">
        <f t="shared" si="163"/>
        <v/>
      </c>
      <c r="F1347" s="6" t="str">
        <f t="shared" si="164"/>
        <v/>
      </c>
      <c r="G1347" s="7" t="str">
        <f t="shared" si="165"/>
        <v/>
      </c>
      <c r="H1347" s="7" t="str">
        <f t="shared" si="166"/>
        <v/>
      </c>
      <c r="I1347" s="8" t="str">
        <f t="shared" si="167"/>
        <v/>
      </c>
      <c r="L1347" t="str">
        <f>IFERROR(MATCH($C$5&amp;"|"&amp;RIGHT("000000"&amp;1331,6),LdgRankKeyA,0),"")</f>
        <v/>
      </c>
      <c r="M1347" t="str">
        <f>IFERROR(MATCH($C$5&amp;"|"&amp;RIGHT("000000"&amp;1331,6),LdgRankKeyB,0),"")</f>
        <v/>
      </c>
    </row>
    <row r="1348" spans="1:13" x14ac:dyDescent="0.2">
      <c r="A1348" s="9">
        <v>1332</v>
      </c>
      <c r="B1348" s="10" t="str">
        <f t="shared" si="160"/>
        <v/>
      </c>
      <c r="C1348" s="10" t="str">
        <f t="shared" si="161"/>
        <v/>
      </c>
      <c r="D1348" s="10" t="str">
        <f t="shared" si="162"/>
        <v/>
      </c>
      <c r="E1348" s="11" t="str">
        <f t="shared" si="163"/>
        <v/>
      </c>
      <c r="F1348" s="12" t="str">
        <f t="shared" si="164"/>
        <v/>
      </c>
      <c r="G1348" s="13" t="str">
        <f t="shared" si="165"/>
        <v/>
      </c>
      <c r="H1348" s="13" t="str">
        <f t="shared" si="166"/>
        <v/>
      </c>
      <c r="I1348" s="14" t="str">
        <f t="shared" si="167"/>
        <v/>
      </c>
      <c r="L1348" t="str">
        <f>IFERROR(MATCH($C$5&amp;"|"&amp;RIGHT("000000"&amp;1332,6),LdgRankKeyA,0),"")</f>
        <v/>
      </c>
      <c r="M1348" t="str">
        <f>IFERROR(MATCH($C$5&amp;"|"&amp;RIGHT("000000"&amp;1332,6),LdgRankKeyB,0),"")</f>
        <v/>
      </c>
    </row>
    <row r="1349" spans="1:13" x14ac:dyDescent="0.2">
      <c r="A1349" s="3">
        <v>1333</v>
      </c>
      <c r="B1349" s="4" t="str">
        <f t="shared" si="160"/>
        <v/>
      </c>
      <c r="C1349" s="4" t="str">
        <f t="shared" si="161"/>
        <v/>
      </c>
      <c r="D1349" s="4" t="str">
        <f t="shared" si="162"/>
        <v/>
      </c>
      <c r="E1349" s="5" t="str">
        <f t="shared" si="163"/>
        <v/>
      </c>
      <c r="F1349" s="6" t="str">
        <f t="shared" si="164"/>
        <v/>
      </c>
      <c r="G1349" s="7" t="str">
        <f t="shared" si="165"/>
        <v/>
      </c>
      <c r="H1349" s="7" t="str">
        <f t="shared" si="166"/>
        <v/>
      </c>
      <c r="I1349" s="8" t="str">
        <f t="shared" si="167"/>
        <v/>
      </c>
      <c r="L1349" t="str">
        <f>IFERROR(MATCH($C$5&amp;"|"&amp;RIGHT("000000"&amp;1333,6),LdgRankKeyA,0),"")</f>
        <v/>
      </c>
      <c r="M1349" t="str">
        <f>IFERROR(MATCH($C$5&amp;"|"&amp;RIGHT("000000"&amp;1333,6),LdgRankKeyB,0),"")</f>
        <v/>
      </c>
    </row>
    <row r="1350" spans="1:13" x14ac:dyDescent="0.2">
      <c r="A1350" s="9">
        <v>1334</v>
      </c>
      <c r="B1350" s="10" t="str">
        <f t="shared" si="160"/>
        <v/>
      </c>
      <c r="C1350" s="10" t="str">
        <f t="shared" si="161"/>
        <v/>
      </c>
      <c r="D1350" s="10" t="str">
        <f t="shared" si="162"/>
        <v/>
      </c>
      <c r="E1350" s="11" t="str">
        <f t="shared" si="163"/>
        <v/>
      </c>
      <c r="F1350" s="12" t="str">
        <f t="shared" si="164"/>
        <v/>
      </c>
      <c r="G1350" s="13" t="str">
        <f t="shared" si="165"/>
        <v/>
      </c>
      <c r="H1350" s="13" t="str">
        <f t="shared" si="166"/>
        <v/>
      </c>
      <c r="I1350" s="14" t="str">
        <f t="shared" si="167"/>
        <v/>
      </c>
      <c r="L1350" t="str">
        <f>IFERROR(MATCH($C$5&amp;"|"&amp;RIGHT("000000"&amp;1334,6),LdgRankKeyA,0),"")</f>
        <v/>
      </c>
      <c r="M1350" t="str">
        <f>IFERROR(MATCH($C$5&amp;"|"&amp;RIGHT("000000"&amp;1334,6),LdgRankKeyB,0),"")</f>
        <v/>
      </c>
    </row>
    <row r="1351" spans="1:13" x14ac:dyDescent="0.2">
      <c r="A1351" s="3">
        <v>1335</v>
      </c>
      <c r="B1351" s="4" t="str">
        <f t="shared" si="160"/>
        <v/>
      </c>
      <c r="C1351" s="4" t="str">
        <f t="shared" si="161"/>
        <v/>
      </c>
      <c r="D1351" s="4" t="str">
        <f t="shared" si="162"/>
        <v/>
      </c>
      <c r="E1351" s="5" t="str">
        <f t="shared" si="163"/>
        <v/>
      </c>
      <c r="F1351" s="6" t="str">
        <f t="shared" si="164"/>
        <v/>
      </c>
      <c r="G1351" s="7" t="str">
        <f t="shared" si="165"/>
        <v/>
      </c>
      <c r="H1351" s="7" t="str">
        <f t="shared" si="166"/>
        <v/>
      </c>
      <c r="I1351" s="8" t="str">
        <f t="shared" si="167"/>
        <v/>
      </c>
      <c r="L1351" t="str">
        <f>IFERROR(MATCH($C$5&amp;"|"&amp;RIGHT("000000"&amp;1335,6),LdgRankKeyA,0),"")</f>
        <v/>
      </c>
      <c r="M1351" t="str">
        <f>IFERROR(MATCH($C$5&amp;"|"&amp;RIGHT("000000"&amp;1335,6),LdgRankKeyB,0),"")</f>
        <v/>
      </c>
    </row>
    <row r="1352" spans="1:13" x14ac:dyDescent="0.2">
      <c r="A1352" s="9">
        <v>1336</v>
      </c>
      <c r="B1352" s="10" t="str">
        <f t="shared" si="160"/>
        <v/>
      </c>
      <c r="C1352" s="10" t="str">
        <f t="shared" si="161"/>
        <v/>
      </c>
      <c r="D1352" s="10" t="str">
        <f t="shared" si="162"/>
        <v/>
      </c>
      <c r="E1352" s="11" t="str">
        <f t="shared" si="163"/>
        <v/>
      </c>
      <c r="F1352" s="12" t="str">
        <f t="shared" si="164"/>
        <v/>
      </c>
      <c r="G1352" s="13" t="str">
        <f t="shared" si="165"/>
        <v/>
      </c>
      <c r="H1352" s="13" t="str">
        <f t="shared" si="166"/>
        <v/>
      </c>
      <c r="I1352" s="14" t="str">
        <f t="shared" si="167"/>
        <v/>
      </c>
      <c r="L1352" t="str">
        <f>IFERROR(MATCH($C$5&amp;"|"&amp;RIGHT("000000"&amp;1336,6),LdgRankKeyA,0),"")</f>
        <v/>
      </c>
      <c r="M1352" t="str">
        <f>IFERROR(MATCH($C$5&amp;"|"&amp;RIGHT("000000"&amp;1336,6),LdgRankKeyB,0),"")</f>
        <v/>
      </c>
    </row>
    <row r="1353" spans="1:13" x14ac:dyDescent="0.2">
      <c r="A1353" s="3">
        <v>1337</v>
      </c>
      <c r="B1353" s="4" t="str">
        <f t="shared" si="160"/>
        <v/>
      </c>
      <c r="C1353" s="4" t="str">
        <f t="shared" si="161"/>
        <v/>
      </c>
      <c r="D1353" s="4" t="str">
        <f t="shared" si="162"/>
        <v/>
      </c>
      <c r="E1353" s="5" t="str">
        <f t="shared" si="163"/>
        <v/>
      </c>
      <c r="F1353" s="6" t="str">
        <f t="shared" si="164"/>
        <v/>
      </c>
      <c r="G1353" s="7" t="str">
        <f t="shared" si="165"/>
        <v/>
      </c>
      <c r="H1353" s="7" t="str">
        <f t="shared" si="166"/>
        <v/>
      </c>
      <c r="I1353" s="8" t="str">
        <f t="shared" si="167"/>
        <v/>
      </c>
      <c r="L1353" t="str">
        <f>IFERROR(MATCH($C$5&amp;"|"&amp;RIGHT("000000"&amp;1337,6),LdgRankKeyA,0),"")</f>
        <v/>
      </c>
      <c r="M1353" t="str">
        <f>IFERROR(MATCH($C$5&amp;"|"&amp;RIGHT("000000"&amp;1337,6),LdgRankKeyB,0),"")</f>
        <v/>
      </c>
    </row>
    <row r="1354" spans="1:13" x14ac:dyDescent="0.2">
      <c r="A1354" s="9">
        <v>1338</v>
      </c>
      <c r="B1354" s="10" t="str">
        <f t="shared" si="160"/>
        <v/>
      </c>
      <c r="C1354" s="10" t="str">
        <f t="shared" si="161"/>
        <v/>
      </c>
      <c r="D1354" s="10" t="str">
        <f t="shared" si="162"/>
        <v/>
      </c>
      <c r="E1354" s="11" t="str">
        <f t="shared" si="163"/>
        <v/>
      </c>
      <c r="F1354" s="12" t="str">
        <f t="shared" si="164"/>
        <v/>
      </c>
      <c r="G1354" s="13" t="str">
        <f t="shared" si="165"/>
        <v/>
      </c>
      <c r="H1354" s="13" t="str">
        <f t="shared" si="166"/>
        <v/>
      </c>
      <c r="I1354" s="14" t="str">
        <f t="shared" si="167"/>
        <v/>
      </c>
      <c r="L1354" t="str">
        <f>IFERROR(MATCH($C$5&amp;"|"&amp;RIGHT("000000"&amp;1338,6),LdgRankKeyA,0),"")</f>
        <v/>
      </c>
      <c r="M1354" t="str">
        <f>IFERROR(MATCH($C$5&amp;"|"&amp;RIGHT("000000"&amp;1338,6),LdgRankKeyB,0),"")</f>
        <v/>
      </c>
    </row>
    <row r="1355" spans="1:13" x14ac:dyDescent="0.2">
      <c r="A1355" s="3">
        <v>1339</v>
      </c>
      <c r="B1355" s="4" t="str">
        <f t="shared" si="160"/>
        <v/>
      </c>
      <c r="C1355" s="4" t="str">
        <f t="shared" si="161"/>
        <v/>
      </c>
      <c r="D1355" s="4" t="str">
        <f t="shared" si="162"/>
        <v/>
      </c>
      <c r="E1355" s="5" t="str">
        <f t="shared" si="163"/>
        <v/>
      </c>
      <c r="F1355" s="6" t="str">
        <f t="shared" si="164"/>
        <v/>
      </c>
      <c r="G1355" s="7" t="str">
        <f t="shared" si="165"/>
        <v/>
      </c>
      <c r="H1355" s="7" t="str">
        <f t="shared" si="166"/>
        <v/>
      </c>
      <c r="I1355" s="8" t="str">
        <f t="shared" si="167"/>
        <v/>
      </c>
      <c r="L1355" t="str">
        <f>IFERROR(MATCH($C$5&amp;"|"&amp;RIGHT("000000"&amp;1339,6),LdgRankKeyA,0),"")</f>
        <v/>
      </c>
      <c r="M1355" t="str">
        <f>IFERROR(MATCH($C$5&amp;"|"&amp;RIGHT("000000"&amp;1339,6),LdgRankKeyB,0),"")</f>
        <v/>
      </c>
    </row>
    <row r="1356" spans="1:13" x14ac:dyDescent="0.2">
      <c r="A1356" s="9">
        <v>1340</v>
      </c>
      <c r="B1356" s="10" t="str">
        <f t="shared" si="160"/>
        <v/>
      </c>
      <c r="C1356" s="10" t="str">
        <f t="shared" si="161"/>
        <v/>
      </c>
      <c r="D1356" s="10" t="str">
        <f t="shared" si="162"/>
        <v/>
      </c>
      <c r="E1356" s="11" t="str">
        <f t="shared" si="163"/>
        <v/>
      </c>
      <c r="F1356" s="12" t="str">
        <f t="shared" si="164"/>
        <v/>
      </c>
      <c r="G1356" s="13" t="str">
        <f t="shared" si="165"/>
        <v/>
      </c>
      <c r="H1356" s="13" t="str">
        <f t="shared" si="166"/>
        <v/>
      </c>
      <c r="I1356" s="14" t="str">
        <f t="shared" si="167"/>
        <v/>
      </c>
      <c r="L1356" t="str">
        <f>IFERROR(MATCH($C$5&amp;"|"&amp;RIGHT("000000"&amp;1340,6),LdgRankKeyA,0),"")</f>
        <v/>
      </c>
      <c r="M1356" t="str">
        <f>IFERROR(MATCH($C$5&amp;"|"&amp;RIGHT("000000"&amp;1340,6),LdgRankKeyB,0),"")</f>
        <v/>
      </c>
    </row>
    <row r="1357" spans="1:13" x14ac:dyDescent="0.2">
      <c r="A1357" s="3">
        <v>1341</v>
      </c>
      <c r="B1357" s="4" t="str">
        <f t="shared" si="160"/>
        <v/>
      </c>
      <c r="C1357" s="4" t="str">
        <f t="shared" si="161"/>
        <v/>
      </c>
      <c r="D1357" s="4" t="str">
        <f t="shared" si="162"/>
        <v/>
      </c>
      <c r="E1357" s="5" t="str">
        <f t="shared" si="163"/>
        <v/>
      </c>
      <c r="F1357" s="6" t="str">
        <f t="shared" si="164"/>
        <v/>
      </c>
      <c r="G1357" s="7" t="str">
        <f t="shared" si="165"/>
        <v/>
      </c>
      <c r="H1357" s="7" t="str">
        <f t="shared" si="166"/>
        <v/>
      </c>
      <c r="I1357" s="8" t="str">
        <f t="shared" si="167"/>
        <v/>
      </c>
      <c r="L1357" t="str">
        <f>IFERROR(MATCH($C$5&amp;"|"&amp;RIGHT("000000"&amp;1341,6),LdgRankKeyA,0),"")</f>
        <v/>
      </c>
      <c r="M1357" t="str">
        <f>IFERROR(MATCH($C$5&amp;"|"&amp;RIGHT("000000"&amp;1341,6),LdgRankKeyB,0),"")</f>
        <v/>
      </c>
    </row>
    <row r="1358" spans="1:13" x14ac:dyDescent="0.2">
      <c r="A1358" s="9">
        <v>1342</v>
      </c>
      <c r="B1358" s="10" t="str">
        <f t="shared" si="160"/>
        <v/>
      </c>
      <c r="C1358" s="10" t="str">
        <f t="shared" si="161"/>
        <v/>
      </c>
      <c r="D1358" s="10" t="str">
        <f t="shared" si="162"/>
        <v/>
      </c>
      <c r="E1358" s="11" t="str">
        <f t="shared" si="163"/>
        <v/>
      </c>
      <c r="F1358" s="12" t="str">
        <f t="shared" si="164"/>
        <v/>
      </c>
      <c r="G1358" s="13" t="str">
        <f t="shared" si="165"/>
        <v/>
      </c>
      <c r="H1358" s="13" t="str">
        <f t="shared" si="166"/>
        <v/>
      </c>
      <c r="I1358" s="14" t="str">
        <f t="shared" si="167"/>
        <v/>
      </c>
      <c r="L1358" t="str">
        <f>IFERROR(MATCH($C$5&amp;"|"&amp;RIGHT("000000"&amp;1342,6),LdgRankKeyA,0),"")</f>
        <v/>
      </c>
      <c r="M1358" t="str">
        <f>IFERROR(MATCH($C$5&amp;"|"&amp;RIGHT("000000"&amp;1342,6),LdgRankKeyB,0),"")</f>
        <v/>
      </c>
    </row>
    <row r="1359" spans="1:13" x14ac:dyDescent="0.2">
      <c r="A1359" s="3">
        <v>1343</v>
      </c>
      <c r="B1359" s="4" t="str">
        <f t="shared" si="160"/>
        <v/>
      </c>
      <c r="C1359" s="4" t="str">
        <f t="shared" si="161"/>
        <v/>
      </c>
      <c r="D1359" s="4" t="str">
        <f t="shared" si="162"/>
        <v/>
      </c>
      <c r="E1359" s="5" t="str">
        <f t="shared" si="163"/>
        <v/>
      </c>
      <c r="F1359" s="6" t="str">
        <f t="shared" si="164"/>
        <v/>
      </c>
      <c r="G1359" s="7" t="str">
        <f t="shared" si="165"/>
        <v/>
      </c>
      <c r="H1359" s="7" t="str">
        <f t="shared" si="166"/>
        <v/>
      </c>
      <c r="I1359" s="8" t="str">
        <f t="shared" si="167"/>
        <v/>
      </c>
      <c r="L1359" t="str">
        <f>IFERROR(MATCH($C$5&amp;"|"&amp;RIGHT("000000"&amp;1343,6),LdgRankKeyA,0),"")</f>
        <v/>
      </c>
      <c r="M1359" t="str">
        <f>IFERROR(MATCH($C$5&amp;"|"&amp;RIGHT("000000"&amp;1343,6),LdgRankKeyB,0),"")</f>
        <v/>
      </c>
    </row>
    <row r="1360" spans="1:13" x14ac:dyDescent="0.2">
      <c r="A1360" s="9">
        <v>1344</v>
      </c>
      <c r="B1360" s="10" t="str">
        <f t="shared" si="160"/>
        <v/>
      </c>
      <c r="C1360" s="10" t="str">
        <f t="shared" si="161"/>
        <v/>
      </c>
      <c r="D1360" s="10" t="str">
        <f t="shared" si="162"/>
        <v/>
      </c>
      <c r="E1360" s="11" t="str">
        <f t="shared" si="163"/>
        <v/>
      </c>
      <c r="F1360" s="12" t="str">
        <f t="shared" si="164"/>
        <v/>
      </c>
      <c r="G1360" s="13" t="str">
        <f t="shared" si="165"/>
        <v/>
      </c>
      <c r="H1360" s="13" t="str">
        <f t="shared" si="166"/>
        <v/>
      </c>
      <c r="I1360" s="14" t="str">
        <f t="shared" si="167"/>
        <v/>
      </c>
      <c r="L1360" t="str">
        <f>IFERROR(MATCH($C$5&amp;"|"&amp;RIGHT("000000"&amp;1344,6),LdgRankKeyA,0),"")</f>
        <v/>
      </c>
      <c r="M1360" t="str">
        <f>IFERROR(MATCH($C$5&amp;"|"&amp;RIGHT("000000"&amp;1344,6),LdgRankKeyB,0),"")</f>
        <v/>
      </c>
    </row>
    <row r="1361" spans="1:13" x14ac:dyDescent="0.2">
      <c r="A1361" s="3">
        <v>1345</v>
      </c>
      <c r="B1361" s="4" t="str">
        <f t="shared" ref="B1361:B1424" si="168">IF(AND($L1361="",$M1361=""),"",IF($L1361&lt;&gt;"",INDEX(SCNormDate,$L1361),INDEX(LdgDateB,$M1361)))</f>
        <v/>
      </c>
      <c r="C1361" s="4" t="str">
        <f t="shared" ref="C1361:C1424" si="169">IF($L1361&lt;&gt;"",INDEX(SCOp,$L1361),IF($M1361&lt;&gt;"","پرداخت بانکی",""))</f>
        <v/>
      </c>
      <c r="D1361" s="4" t="str">
        <f t="shared" ref="D1361:D1424" si="170">IF($L1361&lt;&gt;"",IF(INDEX(SCDoc,$L1361)="","—",INDEX(SCDoc,$L1361)),IF($M1361&lt;&gt;"",INDEX(LdgBankB,$M1361),""))</f>
        <v/>
      </c>
      <c r="E1361" s="5" t="str">
        <f t="shared" ref="E1361:E1424" si="171">IF($L1361&lt;&gt;"",IF(INDEX(SCCitrus,$L1361)&amp;INDEX(SCNotes,$L1361)="","",IF(INDEX(SCCitrus,$L1361)="","",INDEX(SCCitrus,$L1361))&amp;IF(INDEX(SCNotes,$L1361)="",""," — "&amp;INDEX(SCNotes,$L1361))),IF($M1361&lt;&gt;"",IF(INDEX(LdgNoteB,$M1361)="","—",INDEX(LdgNoteB,$M1361)),""))</f>
        <v/>
      </c>
      <c r="F1361" s="6" t="str">
        <f t="shared" ref="F1361:F1424" si="172">IF($L1361&lt;&gt;"",IF(INDEX(SCNet,$L1361)=0,"",INDEX(SCNet,$L1361)),"")</f>
        <v/>
      </c>
      <c r="G1361" s="7" t="str">
        <f t="shared" ref="G1361:G1424" si="173">IF($L1361&lt;&gt;"",IF(INDEX(SCOp,$L1361)="مرجوعی فروش","",IF(INDEX(SCAmount,$L1361)&lt;=0,"",INDEX(SCAmount,$L1361))),IF($M1361&lt;&gt;"",IF(INDEX(LdgWitB,$M1361)=0,"",INDEX(LdgWitB,$M1361)),""))</f>
        <v/>
      </c>
      <c r="H1361" s="7" t="str">
        <f t="shared" ref="H1361:H1424" si="174">IF($L1361&lt;&gt;"",IF(INDEX(SCOp,$L1361)="مرجوعی فروش",IF(INDEX(SCAmount,$L1361)=0,"",-INDEX(SCAmount,$L1361)),""),IF($M1361&lt;&gt;"",IF(INDEX(LdgDepB,$M1361)=0,"",INDEX(LdgDepB,$M1361)),""))</f>
        <v/>
      </c>
      <c r="I1361" s="8" t="str">
        <f t="shared" si="167"/>
        <v/>
      </c>
      <c r="L1361" t="str">
        <f>IFERROR(MATCH($C$5&amp;"|"&amp;RIGHT("000000"&amp;1345,6),LdgRankKeyA,0),"")</f>
        <v/>
      </c>
      <c r="M1361" t="str">
        <f>IFERROR(MATCH($C$5&amp;"|"&amp;RIGHT("000000"&amp;1345,6),LdgRankKeyB,0),"")</f>
        <v/>
      </c>
    </row>
    <row r="1362" spans="1:13" x14ac:dyDescent="0.2">
      <c r="A1362" s="9">
        <v>1346</v>
      </c>
      <c r="B1362" s="10" t="str">
        <f t="shared" si="168"/>
        <v/>
      </c>
      <c r="C1362" s="10" t="str">
        <f t="shared" si="169"/>
        <v/>
      </c>
      <c r="D1362" s="10" t="str">
        <f t="shared" si="170"/>
        <v/>
      </c>
      <c r="E1362" s="11" t="str">
        <f t="shared" si="171"/>
        <v/>
      </c>
      <c r="F1362" s="12" t="str">
        <f t="shared" si="172"/>
        <v/>
      </c>
      <c r="G1362" s="13" t="str">
        <f t="shared" si="173"/>
        <v/>
      </c>
      <c r="H1362" s="13" t="str">
        <f t="shared" si="174"/>
        <v/>
      </c>
      <c r="I1362" s="14" t="str">
        <f t="shared" ref="I1362:I1425" si="175">IF($B1362="","",IF($I1361="",$C$10,$I1361)+IF($G1362="",0,$G1362)-IF($H1362="",0,$H1362))</f>
        <v/>
      </c>
      <c r="L1362" t="str">
        <f>IFERROR(MATCH($C$5&amp;"|"&amp;RIGHT("000000"&amp;1346,6),LdgRankKeyA,0),"")</f>
        <v/>
      </c>
      <c r="M1362" t="str">
        <f>IFERROR(MATCH($C$5&amp;"|"&amp;RIGHT("000000"&amp;1346,6),LdgRankKeyB,0),"")</f>
        <v/>
      </c>
    </row>
    <row r="1363" spans="1:13" x14ac:dyDescent="0.2">
      <c r="A1363" s="3">
        <v>1347</v>
      </c>
      <c r="B1363" s="4" t="str">
        <f t="shared" si="168"/>
        <v/>
      </c>
      <c r="C1363" s="4" t="str">
        <f t="shared" si="169"/>
        <v/>
      </c>
      <c r="D1363" s="4" t="str">
        <f t="shared" si="170"/>
        <v/>
      </c>
      <c r="E1363" s="5" t="str">
        <f t="shared" si="171"/>
        <v/>
      </c>
      <c r="F1363" s="6" t="str">
        <f t="shared" si="172"/>
        <v/>
      </c>
      <c r="G1363" s="7" t="str">
        <f t="shared" si="173"/>
        <v/>
      </c>
      <c r="H1363" s="7" t="str">
        <f t="shared" si="174"/>
        <v/>
      </c>
      <c r="I1363" s="8" t="str">
        <f t="shared" si="175"/>
        <v/>
      </c>
      <c r="L1363" t="str">
        <f>IFERROR(MATCH($C$5&amp;"|"&amp;RIGHT("000000"&amp;1347,6),LdgRankKeyA,0),"")</f>
        <v/>
      </c>
      <c r="M1363" t="str">
        <f>IFERROR(MATCH($C$5&amp;"|"&amp;RIGHT("000000"&amp;1347,6),LdgRankKeyB,0),"")</f>
        <v/>
      </c>
    </row>
    <row r="1364" spans="1:13" x14ac:dyDescent="0.2">
      <c r="A1364" s="9">
        <v>1348</v>
      </c>
      <c r="B1364" s="10" t="str">
        <f t="shared" si="168"/>
        <v/>
      </c>
      <c r="C1364" s="10" t="str">
        <f t="shared" si="169"/>
        <v/>
      </c>
      <c r="D1364" s="10" t="str">
        <f t="shared" si="170"/>
        <v/>
      </c>
      <c r="E1364" s="11" t="str">
        <f t="shared" si="171"/>
        <v/>
      </c>
      <c r="F1364" s="12" t="str">
        <f t="shared" si="172"/>
        <v/>
      </c>
      <c r="G1364" s="13" t="str">
        <f t="shared" si="173"/>
        <v/>
      </c>
      <c r="H1364" s="13" t="str">
        <f t="shared" si="174"/>
        <v/>
      </c>
      <c r="I1364" s="14" t="str">
        <f t="shared" si="175"/>
        <v/>
      </c>
      <c r="L1364" t="str">
        <f>IFERROR(MATCH($C$5&amp;"|"&amp;RIGHT("000000"&amp;1348,6),LdgRankKeyA,0),"")</f>
        <v/>
      </c>
      <c r="M1364" t="str">
        <f>IFERROR(MATCH($C$5&amp;"|"&amp;RIGHT("000000"&amp;1348,6),LdgRankKeyB,0),"")</f>
        <v/>
      </c>
    </row>
    <row r="1365" spans="1:13" x14ac:dyDescent="0.2">
      <c r="A1365" s="3">
        <v>1349</v>
      </c>
      <c r="B1365" s="4" t="str">
        <f t="shared" si="168"/>
        <v/>
      </c>
      <c r="C1365" s="4" t="str">
        <f t="shared" si="169"/>
        <v/>
      </c>
      <c r="D1365" s="4" t="str">
        <f t="shared" si="170"/>
        <v/>
      </c>
      <c r="E1365" s="5" t="str">
        <f t="shared" si="171"/>
        <v/>
      </c>
      <c r="F1365" s="6" t="str">
        <f t="shared" si="172"/>
        <v/>
      </c>
      <c r="G1365" s="7" t="str">
        <f t="shared" si="173"/>
        <v/>
      </c>
      <c r="H1365" s="7" t="str">
        <f t="shared" si="174"/>
        <v/>
      </c>
      <c r="I1365" s="8" t="str">
        <f t="shared" si="175"/>
        <v/>
      </c>
      <c r="L1365" t="str">
        <f>IFERROR(MATCH($C$5&amp;"|"&amp;RIGHT("000000"&amp;1349,6),LdgRankKeyA,0),"")</f>
        <v/>
      </c>
      <c r="M1365" t="str">
        <f>IFERROR(MATCH($C$5&amp;"|"&amp;RIGHT("000000"&amp;1349,6),LdgRankKeyB,0),"")</f>
        <v/>
      </c>
    </row>
    <row r="1366" spans="1:13" x14ac:dyDescent="0.2">
      <c r="A1366" s="9">
        <v>1350</v>
      </c>
      <c r="B1366" s="10" t="str">
        <f t="shared" si="168"/>
        <v/>
      </c>
      <c r="C1366" s="10" t="str">
        <f t="shared" si="169"/>
        <v/>
      </c>
      <c r="D1366" s="10" t="str">
        <f t="shared" si="170"/>
        <v/>
      </c>
      <c r="E1366" s="11" t="str">
        <f t="shared" si="171"/>
        <v/>
      </c>
      <c r="F1366" s="12" t="str">
        <f t="shared" si="172"/>
        <v/>
      </c>
      <c r="G1366" s="13" t="str">
        <f t="shared" si="173"/>
        <v/>
      </c>
      <c r="H1366" s="13" t="str">
        <f t="shared" si="174"/>
        <v/>
      </c>
      <c r="I1366" s="14" t="str">
        <f t="shared" si="175"/>
        <v/>
      </c>
      <c r="L1366" t="str">
        <f>IFERROR(MATCH($C$5&amp;"|"&amp;RIGHT("000000"&amp;1350,6),LdgRankKeyA,0),"")</f>
        <v/>
      </c>
      <c r="M1366" t="str">
        <f>IFERROR(MATCH($C$5&amp;"|"&amp;RIGHT("000000"&amp;1350,6),LdgRankKeyB,0),"")</f>
        <v/>
      </c>
    </row>
    <row r="1367" spans="1:13" x14ac:dyDescent="0.2">
      <c r="A1367" s="3">
        <v>1351</v>
      </c>
      <c r="B1367" s="4" t="str">
        <f t="shared" si="168"/>
        <v/>
      </c>
      <c r="C1367" s="4" t="str">
        <f t="shared" si="169"/>
        <v/>
      </c>
      <c r="D1367" s="4" t="str">
        <f t="shared" si="170"/>
        <v/>
      </c>
      <c r="E1367" s="5" t="str">
        <f t="shared" si="171"/>
        <v/>
      </c>
      <c r="F1367" s="6" t="str">
        <f t="shared" si="172"/>
        <v/>
      </c>
      <c r="G1367" s="7" t="str">
        <f t="shared" si="173"/>
        <v/>
      </c>
      <c r="H1367" s="7" t="str">
        <f t="shared" si="174"/>
        <v/>
      </c>
      <c r="I1367" s="8" t="str">
        <f t="shared" si="175"/>
        <v/>
      </c>
      <c r="L1367" t="str">
        <f>IFERROR(MATCH($C$5&amp;"|"&amp;RIGHT("000000"&amp;1351,6),LdgRankKeyA,0),"")</f>
        <v/>
      </c>
      <c r="M1367" t="str">
        <f>IFERROR(MATCH($C$5&amp;"|"&amp;RIGHT("000000"&amp;1351,6),LdgRankKeyB,0),"")</f>
        <v/>
      </c>
    </row>
    <row r="1368" spans="1:13" x14ac:dyDescent="0.2">
      <c r="A1368" s="9">
        <v>1352</v>
      </c>
      <c r="B1368" s="10" t="str">
        <f t="shared" si="168"/>
        <v/>
      </c>
      <c r="C1368" s="10" t="str">
        <f t="shared" si="169"/>
        <v/>
      </c>
      <c r="D1368" s="10" t="str">
        <f t="shared" si="170"/>
        <v/>
      </c>
      <c r="E1368" s="11" t="str">
        <f t="shared" si="171"/>
        <v/>
      </c>
      <c r="F1368" s="12" t="str">
        <f t="shared" si="172"/>
        <v/>
      </c>
      <c r="G1368" s="13" t="str">
        <f t="shared" si="173"/>
        <v/>
      </c>
      <c r="H1368" s="13" t="str">
        <f t="shared" si="174"/>
        <v/>
      </c>
      <c r="I1368" s="14" t="str">
        <f t="shared" si="175"/>
        <v/>
      </c>
      <c r="L1368" t="str">
        <f>IFERROR(MATCH($C$5&amp;"|"&amp;RIGHT("000000"&amp;1352,6),LdgRankKeyA,0),"")</f>
        <v/>
      </c>
      <c r="M1368" t="str">
        <f>IFERROR(MATCH($C$5&amp;"|"&amp;RIGHT("000000"&amp;1352,6),LdgRankKeyB,0),"")</f>
        <v/>
      </c>
    </row>
    <row r="1369" spans="1:13" x14ac:dyDescent="0.2">
      <c r="A1369" s="3">
        <v>1353</v>
      </c>
      <c r="B1369" s="4" t="str">
        <f t="shared" si="168"/>
        <v/>
      </c>
      <c r="C1369" s="4" t="str">
        <f t="shared" si="169"/>
        <v/>
      </c>
      <c r="D1369" s="4" t="str">
        <f t="shared" si="170"/>
        <v/>
      </c>
      <c r="E1369" s="5" t="str">
        <f t="shared" si="171"/>
        <v/>
      </c>
      <c r="F1369" s="6" t="str">
        <f t="shared" si="172"/>
        <v/>
      </c>
      <c r="G1369" s="7" t="str">
        <f t="shared" si="173"/>
        <v/>
      </c>
      <c r="H1369" s="7" t="str">
        <f t="shared" si="174"/>
        <v/>
      </c>
      <c r="I1369" s="8" t="str">
        <f t="shared" si="175"/>
        <v/>
      </c>
      <c r="L1369" t="str">
        <f>IFERROR(MATCH($C$5&amp;"|"&amp;RIGHT("000000"&amp;1353,6),LdgRankKeyA,0),"")</f>
        <v/>
      </c>
      <c r="M1369" t="str">
        <f>IFERROR(MATCH($C$5&amp;"|"&amp;RIGHT("000000"&amp;1353,6),LdgRankKeyB,0),"")</f>
        <v/>
      </c>
    </row>
    <row r="1370" spans="1:13" x14ac:dyDescent="0.2">
      <c r="A1370" s="9">
        <v>1354</v>
      </c>
      <c r="B1370" s="10" t="str">
        <f t="shared" si="168"/>
        <v/>
      </c>
      <c r="C1370" s="10" t="str">
        <f t="shared" si="169"/>
        <v/>
      </c>
      <c r="D1370" s="10" t="str">
        <f t="shared" si="170"/>
        <v/>
      </c>
      <c r="E1370" s="11" t="str">
        <f t="shared" si="171"/>
        <v/>
      </c>
      <c r="F1370" s="12" t="str">
        <f t="shared" si="172"/>
        <v/>
      </c>
      <c r="G1370" s="13" t="str">
        <f t="shared" si="173"/>
        <v/>
      </c>
      <c r="H1370" s="13" t="str">
        <f t="shared" si="174"/>
        <v/>
      </c>
      <c r="I1370" s="14" t="str">
        <f t="shared" si="175"/>
        <v/>
      </c>
      <c r="L1370" t="str">
        <f>IFERROR(MATCH($C$5&amp;"|"&amp;RIGHT("000000"&amp;1354,6),LdgRankKeyA,0),"")</f>
        <v/>
      </c>
      <c r="M1370" t="str">
        <f>IFERROR(MATCH($C$5&amp;"|"&amp;RIGHT("000000"&amp;1354,6),LdgRankKeyB,0),"")</f>
        <v/>
      </c>
    </row>
    <row r="1371" spans="1:13" x14ac:dyDescent="0.2">
      <c r="A1371" s="3">
        <v>1355</v>
      </c>
      <c r="B1371" s="4" t="str">
        <f t="shared" si="168"/>
        <v/>
      </c>
      <c r="C1371" s="4" t="str">
        <f t="shared" si="169"/>
        <v/>
      </c>
      <c r="D1371" s="4" t="str">
        <f t="shared" si="170"/>
        <v/>
      </c>
      <c r="E1371" s="5" t="str">
        <f t="shared" si="171"/>
        <v/>
      </c>
      <c r="F1371" s="6" t="str">
        <f t="shared" si="172"/>
        <v/>
      </c>
      <c r="G1371" s="7" t="str">
        <f t="shared" si="173"/>
        <v/>
      </c>
      <c r="H1371" s="7" t="str">
        <f t="shared" si="174"/>
        <v/>
      </c>
      <c r="I1371" s="8" t="str">
        <f t="shared" si="175"/>
        <v/>
      </c>
      <c r="L1371" t="str">
        <f>IFERROR(MATCH($C$5&amp;"|"&amp;RIGHT("000000"&amp;1355,6),LdgRankKeyA,0),"")</f>
        <v/>
      </c>
      <c r="M1371" t="str">
        <f>IFERROR(MATCH($C$5&amp;"|"&amp;RIGHT("000000"&amp;1355,6),LdgRankKeyB,0),"")</f>
        <v/>
      </c>
    </row>
    <row r="1372" spans="1:13" x14ac:dyDescent="0.2">
      <c r="A1372" s="9">
        <v>1356</v>
      </c>
      <c r="B1372" s="10" t="str">
        <f t="shared" si="168"/>
        <v/>
      </c>
      <c r="C1372" s="10" t="str">
        <f t="shared" si="169"/>
        <v/>
      </c>
      <c r="D1372" s="10" t="str">
        <f t="shared" si="170"/>
        <v/>
      </c>
      <c r="E1372" s="11" t="str">
        <f t="shared" si="171"/>
        <v/>
      </c>
      <c r="F1372" s="12" t="str">
        <f t="shared" si="172"/>
        <v/>
      </c>
      <c r="G1372" s="13" t="str">
        <f t="shared" si="173"/>
        <v/>
      </c>
      <c r="H1372" s="13" t="str">
        <f t="shared" si="174"/>
        <v/>
      </c>
      <c r="I1372" s="14" t="str">
        <f t="shared" si="175"/>
        <v/>
      </c>
      <c r="L1372" t="str">
        <f>IFERROR(MATCH($C$5&amp;"|"&amp;RIGHT("000000"&amp;1356,6),LdgRankKeyA,0),"")</f>
        <v/>
      </c>
      <c r="M1372" t="str">
        <f>IFERROR(MATCH($C$5&amp;"|"&amp;RIGHT("000000"&amp;1356,6),LdgRankKeyB,0),"")</f>
        <v/>
      </c>
    </row>
    <row r="1373" spans="1:13" x14ac:dyDescent="0.2">
      <c r="A1373" s="3">
        <v>1357</v>
      </c>
      <c r="B1373" s="4" t="str">
        <f t="shared" si="168"/>
        <v/>
      </c>
      <c r="C1373" s="4" t="str">
        <f t="shared" si="169"/>
        <v/>
      </c>
      <c r="D1373" s="4" t="str">
        <f t="shared" si="170"/>
        <v/>
      </c>
      <c r="E1373" s="5" t="str">
        <f t="shared" si="171"/>
        <v/>
      </c>
      <c r="F1373" s="6" t="str">
        <f t="shared" si="172"/>
        <v/>
      </c>
      <c r="G1373" s="7" t="str">
        <f t="shared" si="173"/>
        <v/>
      </c>
      <c r="H1373" s="7" t="str">
        <f t="shared" si="174"/>
        <v/>
      </c>
      <c r="I1373" s="8" t="str">
        <f t="shared" si="175"/>
        <v/>
      </c>
      <c r="L1373" t="str">
        <f>IFERROR(MATCH($C$5&amp;"|"&amp;RIGHT("000000"&amp;1357,6),LdgRankKeyA,0),"")</f>
        <v/>
      </c>
      <c r="M1373" t="str">
        <f>IFERROR(MATCH($C$5&amp;"|"&amp;RIGHT("000000"&amp;1357,6),LdgRankKeyB,0),"")</f>
        <v/>
      </c>
    </row>
    <row r="1374" spans="1:13" x14ac:dyDescent="0.2">
      <c r="A1374" s="9">
        <v>1358</v>
      </c>
      <c r="B1374" s="10" t="str">
        <f t="shared" si="168"/>
        <v/>
      </c>
      <c r="C1374" s="10" t="str">
        <f t="shared" si="169"/>
        <v/>
      </c>
      <c r="D1374" s="10" t="str">
        <f t="shared" si="170"/>
        <v/>
      </c>
      <c r="E1374" s="11" t="str">
        <f t="shared" si="171"/>
        <v/>
      </c>
      <c r="F1374" s="12" t="str">
        <f t="shared" si="172"/>
        <v/>
      </c>
      <c r="G1374" s="13" t="str">
        <f t="shared" si="173"/>
        <v/>
      </c>
      <c r="H1374" s="13" t="str">
        <f t="shared" si="174"/>
        <v/>
      </c>
      <c r="I1374" s="14" t="str">
        <f t="shared" si="175"/>
        <v/>
      </c>
      <c r="L1374" t="str">
        <f>IFERROR(MATCH($C$5&amp;"|"&amp;RIGHT("000000"&amp;1358,6),LdgRankKeyA,0),"")</f>
        <v/>
      </c>
      <c r="M1374" t="str">
        <f>IFERROR(MATCH($C$5&amp;"|"&amp;RIGHT("000000"&amp;1358,6),LdgRankKeyB,0),"")</f>
        <v/>
      </c>
    </row>
    <row r="1375" spans="1:13" x14ac:dyDescent="0.2">
      <c r="A1375" s="3">
        <v>1359</v>
      </c>
      <c r="B1375" s="4" t="str">
        <f t="shared" si="168"/>
        <v/>
      </c>
      <c r="C1375" s="4" t="str">
        <f t="shared" si="169"/>
        <v/>
      </c>
      <c r="D1375" s="4" t="str">
        <f t="shared" si="170"/>
        <v/>
      </c>
      <c r="E1375" s="5" t="str">
        <f t="shared" si="171"/>
        <v/>
      </c>
      <c r="F1375" s="6" t="str">
        <f t="shared" si="172"/>
        <v/>
      </c>
      <c r="G1375" s="7" t="str">
        <f t="shared" si="173"/>
        <v/>
      </c>
      <c r="H1375" s="7" t="str">
        <f t="shared" si="174"/>
        <v/>
      </c>
      <c r="I1375" s="8" t="str">
        <f t="shared" si="175"/>
        <v/>
      </c>
      <c r="L1375" t="str">
        <f>IFERROR(MATCH($C$5&amp;"|"&amp;RIGHT("000000"&amp;1359,6),LdgRankKeyA,0),"")</f>
        <v/>
      </c>
      <c r="M1375" t="str">
        <f>IFERROR(MATCH($C$5&amp;"|"&amp;RIGHT("000000"&amp;1359,6),LdgRankKeyB,0),"")</f>
        <v/>
      </c>
    </row>
    <row r="1376" spans="1:13" x14ac:dyDescent="0.2">
      <c r="A1376" s="9">
        <v>1360</v>
      </c>
      <c r="B1376" s="10" t="str">
        <f t="shared" si="168"/>
        <v/>
      </c>
      <c r="C1376" s="10" t="str">
        <f t="shared" si="169"/>
        <v/>
      </c>
      <c r="D1376" s="10" t="str">
        <f t="shared" si="170"/>
        <v/>
      </c>
      <c r="E1376" s="11" t="str">
        <f t="shared" si="171"/>
        <v/>
      </c>
      <c r="F1376" s="12" t="str">
        <f t="shared" si="172"/>
        <v/>
      </c>
      <c r="G1376" s="13" t="str">
        <f t="shared" si="173"/>
        <v/>
      </c>
      <c r="H1376" s="13" t="str">
        <f t="shared" si="174"/>
        <v/>
      </c>
      <c r="I1376" s="14" t="str">
        <f t="shared" si="175"/>
        <v/>
      </c>
      <c r="L1376" t="str">
        <f>IFERROR(MATCH($C$5&amp;"|"&amp;RIGHT("000000"&amp;1360,6),LdgRankKeyA,0),"")</f>
        <v/>
      </c>
      <c r="M1376" t="str">
        <f>IFERROR(MATCH($C$5&amp;"|"&amp;RIGHT("000000"&amp;1360,6),LdgRankKeyB,0),"")</f>
        <v/>
      </c>
    </row>
    <row r="1377" spans="1:13" x14ac:dyDescent="0.2">
      <c r="A1377" s="3">
        <v>1361</v>
      </c>
      <c r="B1377" s="4" t="str">
        <f t="shared" si="168"/>
        <v/>
      </c>
      <c r="C1377" s="4" t="str">
        <f t="shared" si="169"/>
        <v/>
      </c>
      <c r="D1377" s="4" t="str">
        <f t="shared" si="170"/>
        <v/>
      </c>
      <c r="E1377" s="5" t="str">
        <f t="shared" si="171"/>
        <v/>
      </c>
      <c r="F1377" s="6" t="str">
        <f t="shared" si="172"/>
        <v/>
      </c>
      <c r="G1377" s="7" t="str">
        <f t="shared" si="173"/>
        <v/>
      </c>
      <c r="H1377" s="7" t="str">
        <f t="shared" si="174"/>
        <v/>
      </c>
      <c r="I1377" s="8" t="str">
        <f t="shared" si="175"/>
        <v/>
      </c>
      <c r="L1377" t="str">
        <f>IFERROR(MATCH($C$5&amp;"|"&amp;RIGHT("000000"&amp;1361,6),LdgRankKeyA,0),"")</f>
        <v/>
      </c>
      <c r="M1377" t="str">
        <f>IFERROR(MATCH($C$5&amp;"|"&amp;RIGHT("000000"&amp;1361,6),LdgRankKeyB,0),"")</f>
        <v/>
      </c>
    </row>
    <row r="1378" spans="1:13" x14ac:dyDescent="0.2">
      <c r="A1378" s="9">
        <v>1362</v>
      </c>
      <c r="B1378" s="10" t="str">
        <f t="shared" si="168"/>
        <v/>
      </c>
      <c r="C1378" s="10" t="str">
        <f t="shared" si="169"/>
        <v/>
      </c>
      <c r="D1378" s="10" t="str">
        <f t="shared" si="170"/>
        <v/>
      </c>
      <c r="E1378" s="11" t="str">
        <f t="shared" si="171"/>
        <v/>
      </c>
      <c r="F1378" s="12" t="str">
        <f t="shared" si="172"/>
        <v/>
      </c>
      <c r="G1378" s="13" t="str">
        <f t="shared" si="173"/>
        <v/>
      </c>
      <c r="H1378" s="13" t="str">
        <f t="shared" si="174"/>
        <v/>
      </c>
      <c r="I1378" s="14" t="str">
        <f t="shared" si="175"/>
        <v/>
      </c>
      <c r="L1378" t="str">
        <f>IFERROR(MATCH($C$5&amp;"|"&amp;RIGHT("000000"&amp;1362,6),LdgRankKeyA,0),"")</f>
        <v/>
      </c>
      <c r="M1378" t="str">
        <f>IFERROR(MATCH($C$5&amp;"|"&amp;RIGHT("000000"&amp;1362,6),LdgRankKeyB,0),"")</f>
        <v/>
      </c>
    </row>
    <row r="1379" spans="1:13" x14ac:dyDescent="0.2">
      <c r="A1379" s="3">
        <v>1363</v>
      </c>
      <c r="B1379" s="4" t="str">
        <f t="shared" si="168"/>
        <v/>
      </c>
      <c r="C1379" s="4" t="str">
        <f t="shared" si="169"/>
        <v/>
      </c>
      <c r="D1379" s="4" t="str">
        <f t="shared" si="170"/>
        <v/>
      </c>
      <c r="E1379" s="5" t="str">
        <f t="shared" si="171"/>
        <v/>
      </c>
      <c r="F1379" s="6" t="str">
        <f t="shared" si="172"/>
        <v/>
      </c>
      <c r="G1379" s="7" t="str">
        <f t="shared" si="173"/>
        <v/>
      </c>
      <c r="H1379" s="7" t="str">
        <f t="shared" si="174"/>
        <v/>
      </c>
      <c r="I1379" s="8" t="str">
        <f t="shared" si="175"/>
        <v/>
      </c>
      <c r="L1379" t="str">
        <f>IFERROR(MATCH($C$5&amp;"|"&amp;RIGHT("000000"&amp;1363,6),LdgRankKeyA,0),"")</f>
        <v/>
      </c>
      <c r="M1379" t="str">
        <f>IFERROR(MATCH($C$5&amp;"|"&amp;RIGHT("000000"&amp;1363,6),LdgRankKeyB,0),"")</f>
        <v/>
      </c>
    </row>
    <row r="1380" spans="1:13" x14ac:dyDescent="0.2">
      <c r="A1380" s="9">
        <v>1364</v>
      </c>
      <c r="B1380" s="10" t="str">
        <f t="shared" si="168"/>
        <v/>
      </c>
      <c r="C1380" s="10" t="str">
        <f t="shared" si="169"/>
        <v/>
      </c>
      <c r="D1380" s="10" t="str">
        <f t="shared" si="170"/>
        <v/>
      </c>
      <c r="E1380" s="11" t="str">
        <f t="shared" si="171"/>
        <v/>
      </c>
      <c r="F1380" s="12" t="str">
        <f t="shared" si="172"/>
        <v/>
      </c>
      <c r="G1380" s="13" t="str">
        <f t="shared" si="173"/>
        <v/>
      </c>
      <c r="H1380" s="13" t="str">
        <f t="shared" si="174"/>
        <v/>
      </c>
      <c r="I1380" s="14" t="str">
        <f t="shared" si="175"/>
        <v/>
      </c>
      <c r="L1380" t="str">
        <f>IFERROR(MATCH($C$5&amp;"|"&amp;RIGHT("000000"&amp;1364,6),LdgRankKeyA,0),"")</f>
        <v/>
      </c>
      <c r="M1380" t="str">
        <f>IFERROR(MATCH($C$5&amp;"|"&amp;RIGHT("000000"&amp;1364,6),LdgRankKeyB,0),"")</f>
        <v/>
      </c>
    </row>
    <row r="1381" spans="1:13" x14ac:dyDescent="0.2">
      <c r="A1381" s="3">
        <v>1365</v>
      </c>
      <c r="B1381" s="4" t="str">
        <f t="shared" si="168"/>
        <v/>
      </c>
      <c r="C1381" s="4" t="str">
        <f t="shared" si="169"/>
        <v/>
      </c>
      <c r="D1381" s="4" t="str">
        <f t="shared" si="170"/>
        <v/>
      </c>
      <c r="E1381" s="5" t="str">
        <f t="shared" si="171"/>
        <v/>
      </c>
      <c r="F1381" s="6" t="str">
        <f t="shared" si="172"/>
        <v/>
      </c>
      <c r="G1381" s="7" t="str">
        <f t="shared" si="173"/>
        <v/>
      </c>
      <c r="H1381" s="7" t="str">
        <f t="shared" si="174"/>
        <v/>
      </c>
      <c r="I1381" s="8" t="str">
        <f t="shared" si="175"/>
        <v/>
      </c>
      <c r="L1381" t="str">
        <f>IFERROR(MATCH($C$5&amp;"|"&amp;RIGHT("000000"&amp;1365,6),LdgRankKeyA,0),"")</f>
        <v/>
      </c>
      <c r="M1381" t="str">
        <f>IFERROR(MATCH($C$5&amp;"|"&amp;RIGHT("000000"&amp;1365,6),LdgRankKeyB,0),"")</f>
        <v/>
      </c>
    </row>
    <row r="1382" spans="1:13" x14ac:dyDescent="0.2">
      <c r="A1382" s="9">
        <v>1366</v>
      </c>
      <c r="B1382" s="10" t="str">
        <f t="shared" si="168"/>
        <v/>
      </c>
      <c r="C1382" s="10" t="str">
        <f t="shared" si="169"/>
        <v/>
      </c>
      <c r="D1382" s="10" t="str">
        <f t="shared" si="170"/>
        <v/>
      </c>
      <c r="E1382" s="11" t="str">
        <f t="shared" si="171"/>
        <v/>
      </c>
      <c r="F1382" s="12" t="str">
        <f t="shared" si="172"/>
        <v/>
      </c>
      <c r="G1382" s="13" t="str">
        <f t="shared" si="173"/>
        <v/>
      </c>
      <c r="H1382" s="13" t="str">
        <f t="shared" si="174"/>
        <v/>
      </c>
      <c r="I1382" s="14" t="str">
        <f t="shared" si="175"/>
        <v/>
      </c>
      <c r="L1382" t="str">
        <f>IFERROR(MATCH($C$5&amp;"|"&amp;RIGHT("000000"&amp;1366,6),LdgRankKeyA,0),"")</f>
        <v/>
      </c>
      <c r="M1382" t="str">
        <f>IFERROR(MATCH($C$5&amp;"|"&amp;RIGHT("000000"&amp;1366,6),LdgRankKeyB,0),"")</f>
        <v/>
      </c>
    </row>
    <row r="1383" spans="1:13" x14ac:dyDescent="0.2">
      <c r="A1383" s="3">
        <v>1367</v>
      </c>
      <c r="B1383" s="4" t="str">
        <f t="shared" si="168"/>
        <v/>
      </c>
      <c r="C1383" s="4" t="str">
        <f t="shared" si="169"/>
        <v/>
      </c>
      <c r="D1383" s="4" t="str">
        <f t="shared" si="170"/>
        <v/>
      </c>
      <c r="E1383" s="5" t="str">
        <f t="shared" si="171"/>
        <v/>
      </c>
      <c r="F1383" s="6" t="str">
        <f t="shared" si="172"/>
        <v/>
      </c>
      <c r="G1383" s="7" t="str">
        <f t="shared" si="173"/>
        <v/>
      </c>
      <c r="H1383" s="7" t="str">
        <f t="shared" si="174"/>
        <v/>
      </c>
      <c r="I1383" s="8" t="str">
        <f t="shared" si="175"/>
        <v/>
      </c>
      <c r="L1383" t="str">
        <f>IFERROR(MATCH($C$5&amp;"|"&amp;RIGHT("000000"&amp;1367,6),LdgRankKeyA,0),"")</f>
        <v/>
      </c>
      <c r="M1383" t="str">
        <f>IFERROR(MATCH($C$5&amp;"|"&amp;RIGHT("000000"&amp;1367,6),LdgRankKeyB,0),"")</f>
        <v/>
      </c>
    </row>
    <row r="1384" spans="1:13" x14ac:dyDescent="0.2">
      <c r="A1384" s="9">
        <v>1368</v>
      </c>
      <c r="B1384" s="10" t="str">
        <f t="shared" si="168"/>
        <v/>
      </c>
      <c r="C1384" s="10" t="str">
        <f t="shared" si="169"/>
        <v/>
      </c>
      <c r="D1384" s="10" t="str">
        <f t="shared" si="170"/>
        <v/>
      </c>
      <c r="E1384" s="11" t="str">
        <f t="shared" si="171"/>
        <v/>
      </c>
      <c r="F1384" s="12" t="str">
        <f t="shared" si="172"/>
        <v/>
      </c>
      <c r="G1384" s="13" t="str">
        <f t="shared" si="173"/>
        <v/>
      </c>
      <c r="H1384" s="13" t="str">
        <f t="shared" si="174"/>
        <v/>
      </c>
      <c r="I1384" s="14" t="str">
        <f t="shared" si="175"/>
        <v/>
      </c>
      <c r="L1384" t="str">
        <f>IFERROR(MATCH($C$5&amp;"|"&amp;RIGHT("000000"&amp;1368,6),LdgRankKeyA,0),"")</f>
        <v/>
      </c>
      <c r="M1384" t="str">
        <f>IFERROR(MATCH($C$5&amp;"|"&amp;RIGHT("000000"&amp;1368,6),LdgRankKeyB,0),"")</f>
        <v/>
      </c>
    </row>
    <row r="1385" spans="1:13" x14ac:dyDescent="0.2">
      <c r="A1385" s="3">
        <v>1369</v>
      </c>
      <c r="B1385" s="4" t="str">
        <f t="shared" si="168"/>
        <v/>
      </c>
      <c r="C1385" s="4" t="str">
        <f t="shared" si="169"/>
        <v/>
      </c>
      <c r="D1385" s="4" t="str">
        <f t="shared" si="170"/>
        <v/>
      </c>
      <c r="E1385" s="5" t="str">
        <f t="shared" si="171"/>
        <v/>
      </c>
      <c r="F1385" s="6" t="str">
        <f t="shared" si="172"/>
        <v/>
      </c>
      <c r="G1385" s="7" t="str">
        <f t="shared" si="173"/>
        <v/>
      </c>
      <c r="H1385" s="7" t="str">
        <f t="shared" si="174"/>
        <v/>
      </c>
      <c r="I1385" s="8" t="str">
        <f t="shared" si="175"/>
        <v/>
      </c>
      <c r="L1385" t="str">
        <f>IFERROR(MATCH($C$5&amp;"|"&amp;RIGHT("000000"&amp;1369,6),LdgRankKeyA,0),"")</f>
        <v/>
      </c>
      <c r="M1385" t="str">
        <f>IFERROR(MATCH($C$5&amp;"|"&amp;RIGHT("000000"&amp;1369,6),LdgRankKeyB,0),"")</f>
        <v/>
      </c>
    </row>
    <row r="1386" spans="1:13" x14ac:dyDescent="0.2">
      <c r="A1386" s="9">
        <v>1370</v>
      </c>
      <c r="B1386" s="10" t="str">
        <f t="shared" si="168"/>
        <v/>
      </c>
      <c r="C1386" s="10" t="str">
        <f t="shared" si="169"/>
        <v/>
      </c>
      <c r="D1386" s="10" t="str">
        <f t="shared" si="170"/>
        <v/>
      </c>
      <c r="E1386" s="11" t="str">
        <f t="shared" si="171"/>
        <v/>
      </c>
      <c r="F1386" s="12" t="str">
        <f t="shared" si="172"/>
        <v/>
      </c>
      <c r="G1386" s="13" t="str">
        <f t="shared" si="173"/>
        <v/>
      </c>
      <c r="H1386" s="13" t="str">
        <f t="shared" si="174"/>
        <v/>
      </c>
      <c r="I1386" s="14" t="str">
        <f t="shared" si="175"/>
        <v/>
      </c>
      <c r="L1386" t="str">
        <f>IFERROR(MATCH($C$5&amp;"|"&amp;RIGHT("000000"&amp;1370,6),LdgRankKeyA,0),"")</f>
        <v/>
      </c>
      <c r="M1386" t="str">
        <f>IFERROR(MATCH($C$5&amp;"|"&amp;RIGHT("000000"&amp;1370,6),LdgRankKeyB,0),"")</f>
        <v/>
      </c>
    </row>
    <row r="1387" spans="1:13" x14ac:dyDescent="0.2">
      <c r="A1387" s="3">
        <v>1371</v>
      </c>
      <c r="B1387" s="4" t="str">
        <f t="shared" si="168"/>
        <v/>
      </c>
      <c r="C1387" s="4" t="str">
        <f t="shared" si="169"/>
        <v/>
      </c>
      <c r="D1387" s="4" t="str">
        <f t="shared" si="170"/>
        <v/>
      </c>
      <c r="E1387" s="5" t="str">
        <f t="shared" si="171"/>
        <v/>
      </c>
      <c r="F1387" s="6" t="str">
        <f t="shared" si="172"/>
        <v/>
      </c>
      <c r="G1387" s="7" t="str">
        <f t="shared" si="173"/>
        <v/>
      </c>
      <c r="H1387" s="7" t="str">
        <f t="shared" si="174"/>
        <v/>
      </c>
      <c r="I1387" s="8" t="str">
        <f t="shared" si="175"/>
        <v/>
      </c>
      <c r="L1387" t="str">
        <f>IFERROR(MATCH($C$5&amp;"|"&amp;RIGHT("000000"&amp;1371,6),LdgRankKeyA,0),"")</f>
        <v/>
      </c>
      <c r="M1387" t="str">
        <f>IFERROR(MATCH($C$5&amp;"|"&amp;RIGHT("000000"&amp;1371,6),LdgRankKeyB,0),"")</f>
        <v/>
      </c>
    </row>
    <row r="1388" spans="1:13" x14ac:dyDescent="0.2">
      <c r="A1388" s="9">
        <v>1372</v>
      </c>
      <c r="B1388" s="10" t="str">
        <f t="shared" si="168"/>
        <v/>
      </c>
      <c r="C1388" s="10" t="str">
        <f t="shared" si="169"/>
        <v/>
      </c>
      <c r="D1388" s="10" t="str">
        <f t="shared" si="170"/>
        <v/>
      </c>
      <c r="E1388" s="11" t="str">
        <f t="shared" si="171"/>
        <v/>
      </c>
      <c r="F1388" s="12" t="str">
        <f t="shared" si="172"/>
        <v/>
      </c>
      <c r="G1388" s="13" t="str">
        <f t="shared" si="173"/>
        <v/>
      </c>
      <c r="H1388" s="13" t="str">
        <f t="shared" si="174"/>
        <v/>
      </c>
      <c r="I1388" s="14" t="str">
        <f t="shared" si="175"/>
        <v/>
      </c>
      <c r="L1388" t="str">
        <f>IFERROR(MATCH($C$5&amp;"|"&amp;RIGHT("000000"&amp;1372,6),LdgRankKeyA,0),"")</f>
        <v/>
      </c>
      <c r="M1388" t="str">
        <f>IFERROR(MATCH($C$5&amp;"|"&amp;RIGHT("000000"&amp;1372,6),LdgRankKeyB,0),"")</f>
        <v/>
      </c>
    </row>
    <row r="1389" spans="1:13" x14ac:dyDescent="0.2">
      <c r="A1389" s="3">
        <v>1373</v>
      </c>
      <c r="B1389" s="4" t="str">
        <f t="shared" si="168"/>
        <v/>
      </c>
      <c r="C1389" s="4" t="str">
        <f t="shared" si="169"/>
        <v/>
      </c>
      <c r="D1389" s="4" t="str">
        <f t="shared" si="170"/>
        <v/>
      </c>
      <c r="E1389" s="5" t="str">
        <f t="shared" si="171"/>
        <v/>
      </c>
      <c r="F1389" s="6" t="str">
        <f t="shared" si="172"/>
        <v/>
      </c>
      <c r="G1389" s="7" t="str">
        <f t="shared" si="173"/>
        <v/>
      </c>
      <c r="H1389" s="7" t="str">
        <f t="shared" si="174"/>
        <v/>
      </c>
      <c r="I1389" s="8" t="str">
        <f t="shared" si="175"/>
        <v/>
      </c>
      <c r="L1389" t="str">
        <f>IFERROR(MATCH($C$5&amp;"|"&amp;RIGHT("000000"&amp;1373,6),LdgRankKeyA,0),"")</f>
        <v/>
      </c>
      <c r="M1389" t="str">
        <f>IFERROR(MATCH($C$5&amp;"|"&amp;RIGHT("000000"&amp;1373,6),LdgRankKeyB,0),"")</f>
        <v/>
      </c>
    </row>
    <row r="1390" spans="1:13" x14ac:dyDescent="0.2">
      <c r="A1390" s="9">
        <v>1374</v>
      </c>
      <c r="B1390" s="10" t="str">
        <f t="shared" si="168"/>
        <v/>
      </c>
      <c r="C1390" s="10" t="str">
        <f t="shared" si="169"/>
        <v/>
      </c>
      <c r="D1390" s="10" t="str">
        <f t="shared" si="170"/>
        <v/>
      </c>
      <c r="E1390" s="11" t="str">
        <f t="shared" si="171"/>
        <v/>
      </c>
      <c r="F1390" s="12" t="str">
        <f t="shared" si="172"/>
        <v/>
      </c>
      <c r="G1390" s="13" t="str">
        <f t="shared" si="173"/>
        <v/>
      </c>
      <c r="H1390" s="13" t="str">
        <f t="shared" si="174"/>
        <v/>
      </c>
      <c r="I1390" s="14" t="str">
        <f t="shared" si="175"/>
        <v/>
      </c>
      <c r="L1390" t="str">
        <f>IFERROR(MATCH($C$5&amp;"|"&amp;RIGHT("000000"&amp;1374,6),LdgRankKeyA,0),"")</f>
        <v/>
      </c>
      <c r="M1390" t="str">
        <f>IFERROR(MATCH($C$5&amp;"|"&amp;RIGHT("000000"&amp;1374,6),LdgRankKeyB,0),"")</f>
        <v/>
      </c>
    </row>
    <row r="1391" spans="1:13" x14ac:dyDescent="0.2">
      <c r="A1391" s="3">
        <v>1375</v>
      </c>
      <c r="B1391" s="4" t="str">
        <f t="shared" si="168"/>
        <v/>
      </c>
      <c r="C1391" s="4" t="str">
        <f t="shared" si="169"/>
        <v/>
      </c>
      <c r="D1391" s="4" t="str">
        <f t="shared" si="170"/>
        <v/>
      </c>
      <c r="E1391" s="5" t="str">
        <f t="shared" si="171"/>
        <v/>
      </c>
      <c r="F1391" s="6" t="str">
        <f t="shared" si="172"/>
        <v/>
      </c>
      <c r="G1391" s="7" t="str">
        <f t="shared" si="173"/>
        <v/>
      </c>
      <c r="H1391" s="7" t="str">
        <f t="shared" si="174"/>
        <v/>
      </c>
      <c r="I1391" s="8" t="str">
        <f t="shared" si="175"/>
        <v/>
      </c>
      <c r="L1391" t="str">
        <f>IFERROR(MATCH($C$5&amp;"|"&amp;RIGHT("000000"&amp;1375,6),LdgRankKeyA,0),"")</f>
        <v/>
      </c>
      <c r="M1391" t="str">
        <f>IFERROR(MATCH($C$5&amp;"|"&amp;RIGHT("000000"&amp;1375,6),LdgRankKeyB,0),"")</f>
        <v/>
      </c>
    </row>
    <row r="1392" spans="1:13" x14ac:dyDescent="0.2">
      <c r="A1392" s="9">
        <v>1376</v>
      </c>
      <c r="B1392" s="10" t="str">
        <f t="shared" si="168"/>
        <v/>
      </c>
      <c r="C1392" s="10" t="str">
        <f t="shared" si="169"/>
        <v/>
      </c>
      <c r="D1392" s="10" t="str">
        <f t="shared" si="170"/>
        <v/>
      </c>
      <c r="E1392" s="11" t="str">
        <f t="shared" si="171"/>
        <v/>
      </c>
      <c r="F1392" s="12" t="str">
        <f t="shared" si="172"/>
        <v/>
      </c>
      <c r="G1392" s="13" t="str">
        <f t="shared" si="173"/>
        <v/>
      </c>
      <c r="H1392" s="13" t="str">
        <f t="shared" si="174"/>
        <v/>
      </c>
      <c r="I1392" s="14" t="str">
        <f t="shared" si="175"/>
        <v/>
      </c>
      <c r="L1392" t="str">
        <f>IFERROR(MATCH($C$5&amp;"|"&amp;RIGHT("000000"&amp;1376,6),LdgRankKeyA,0),"")</f>
        <v/>
      </c>
      <c r="M1392" t="str">
        <f>IFERROR(MATCH($C$5&amp;"|"&amp;RIGHT("000000"&amp;1376,6),LdgRankKeyB,0),"")</f>
        <v/>
      </c>
    </row>
    <row r="1393" spans="1:13" x14ac:dyDescent="0.2">
      <c r="A1393" s="3">
        <v>1377</v>
      </c>
      <c r="B1393" s="4" t="str">
        <f t="shared" si="168"/>
        <v/>
      </c>
      <c r="C1393" s="4" t="str">
        <f t="shared" si="169"/>
        <v/>
      </c>
      <c r="D1393" s="4" t="str">
        <f t="shared" si="170"/>
        <v/>
      </c>
      <c r="E1393" s="5" t="str">
        <f t="shared" si="171"/>
        <v/>
      </c>
      <c r="F1393" s="6" t="str">
        <f t="shared" si="172"/>
        <v/>
      </c>
      <c r="G1393" s="7" t="str">
        <f t="shared" si="173"/>
        <v/>
      </c>
      <c r="H1393" s="7" t="str">
        <f t="shared" si="174"/>
        <v/>
      </c>
      <c r="I1393" s="8" t="str">
        <f t="shared" si="175"/>
        <v/>
      </c>
      <c r="L1393" t="str">
        <f>IFERROR(MATCH($C$5&amp;"|"&amp;RIGHT("000000"&amp;1377,6),LdgRankKeyA,0),"")</f>
        <v/>
      </c>
      <c r="M1393" t="str">
        <f>IFERROR(MATCH($C$5&amp;"|"&amp;RIGHT("000000"&amp;1377,6),LdgRankKeyB,0),"")</f>
        <v/>
      </c>
    </row>
    <row r="1394" spans="1:13" x14ac:dyDescent="0.2">
      <c r="A1394" s="9">
        <v>1378</v>
      </c>
      <c r="B1394" s="10" t="str">
        <f t="shared" si="168"/>
        <v/>
      </c>
      <c r="C1394" s="10" t="str">
        <f t="shared" si="169"/>
        <v/>
      </c>
      <c r="D1394" s="10" t="str">
        <f t="shared" si="170"/>
        <v/>
      </c>
      <c r="E1394" s="11" t="str">
        <f t="shared" si="171"/>
        <v/>
      </c>
      <c r="F1394" s="12" t="str">
        <f t="shared" si="172"/>
        <v/>
      </c>
      <c r="G1394" s="13" t="str">
        <f t="shared" si="173"/>
        <v/>
      </c>
      <c r="H1394" s="13" t="str">
        <f t="shared" si="174"/>
        <v/>
      </c>
      <c r="I1394" s="14" t="str">
        <f t="shared" si="175"/>
        <v/>
      </c>
      <c r="L1394" t="str">
        <f>IFERROR(MATCH($C$5&amp;"|"&amp;RIGHT("000000"&amp;1378,6),LdgRankKeyA,0),"")</f>
        <v/>
      </c>
      <c r="M1394" t="str">
        <f>IFERROR(MATCH($C$5&amp;"|"&amp;RIGHT("000000"&amp;1378,6),LdgRankKeyB,0),"")</f>
        <v/>
      </c>
    </row>
    <row r="1395" spans="1:13" x14ac:dyDescent="0.2">
      <c r="A1395" s="3">
        <v>1379</v>
      </c>
      <c r="B1395" s="4" t="str">
        <f t="shared" si="168"/>
        <v/>
      </c>
      <c r="C1395" s="4" t="str">
        <f t="shared" si="169"/>
        <v/>
      </c>
      <c r="D1395" s="4" t="str">
        <f t="shared" si="170"/>
        <v/>
      </c>
      <c r="E1395" s="5" t="str">
        <f t="shared" si="171"/>
        <v/>
      </c>
      <c r="F1395" s="6" t="str">
        <f t="shared" si="172"/>
        <v/>
      </c>
      <c r="G1395" s="7" t="str">
        <f t="shared" si="173"/>
        <v/>
      </c>
      <c r="H1395" s="7" t="str">
        <f t="shared" si="174"/>
        <v/>
      </c>
      <c r="I1395" s="8" t="str">
        <f t="shared" si="175"/>
        <v/>
      </c>
      <c r="L1395" t="str">
        <f>IFERROR(MATCH($C$5&amp;"|"&amp;RIGHT("000000"&amp;1379,6),LdgRankKeyA,0),"")</f>
        <v/>
      </c>
      <c r="M1395" t="str">
        <f>IFERROR(MATCH($C$5&amp;"|"&amp;RIGHT("000000"&amp;1379,6),LdgRankKeyB,0),"")</f>
        <v/>
      </c>
    </row>
    <row r="1396" spans="1:13" x14ac:dyDescent="0.2">
      <c r="A1396" s="9">
        <v>1380</v>
      </c>
      <c r="B1396" s="10" t="str">
        <f t="shared" si="168"/>
        <v/>
      </c>
      <c r="C1396" s="10" t="str">
        <f t="shared" si="169"/>
        <v/>
      </c>
      <c r="D1396" s="10" t="str">
        <f t="shared" si="170"/>
        <v/>
      </c>
      <c r="E1396" s="11" t="str">
        <f t="shared" si="171"/>
        <v/>
      </c>
      <c r="F1396" s="12" t="str">
        <f t="shared" si="172"/>
        <v/>
      </c>
      <c r="G1396" s="13" t="str">
        <f t="shared" si="173"/>
        <v/>
      </c>
      <c r="H1396" s="13" t="str">
        <f t="shared" si="174"/>
        <v/>
      </c>
      <c r="I1396" s="14" t="str">
        <f t="shared" si="175"/>
        <v/>
      </c>
      <c r="L1396" t="str">
        <f>IFERROR(MATCH($C$5&amp;"|"&amp;RIGHT("000000"&amp;1380,6),LdgRankKeyA,0),"")</f>
        <v/>
      </c>
      <c r="M1396" t="str">
        <f>IFERROR(MATCH($C$5&amp;"|"&amp;RIGHT("000000"&amp;1380,6),LdgRankKeyB,0),"")</f>
        <v/>
      </c>
    </row>
    <row r="1397" spans="1:13" x14ac:dyDescent="0.2">
      <c r="A1397" s="3">
        <v>1381</v>
      </c>
      <c r="B1397" s="4" t="str">
        <f t="shared" si="168"/>
        <v/>
      </c>
      <c r="C1397" s="4" t="str">
        <f t="shared" si="169"/>
        <v/>
      </c>
      <c r="D1397" s="4" t="str">
        <f t="shared" si="170"/>
        <v/>
      </c>
      <c r="E1397" s="5" t="str">
        <f t="shared" si="171"/>
        <v/>
      </c>
      <c r="F1397" s="6" t="str">
        <f t="shared" si="172"/>
        <v/>
      </c>
      <c r="G1397" s="7" t="str">
        <f t="shared" si="173"/>
        <v/>
      </c>
      <c r="H1397" s="7" t="str">
        <f t="shared" si="174"/>
        <v/>
      </c>
      <c r="I1397" s="8" t="str">
        <f t="shared" si="175"/>
        <v/>
      </c>
      <c r="L1397" t="str">
        <f>IFERROR(MATCH($C$5&amp;"|"&amp;RIGHT("000000"&amp;1381,6),LdgRankKeyA,0),"")</f>
        <v/>
      </c>
      <c r="M1397" t="str">
        <f>IFERROR(MATCH($C$5&amp;"|"&amp;RIGHT("000000"&amp;1381,6),LdgRankKeyB,0),"")</f>
        <v/>
      </c>
    </row>
    <row r="1398" spans="1:13" x14ac:dyDescent="0.2">
      <c r="A1398" s="9">
        <v>1382</v>
      </c>
      <c r="B1398" s="10" t="str">
        <f t="shared" si="168"/>
        <v/>
      </c>
      <c r="C1398" s="10" t="str">
        <f t="shared" si="169"/>
        <v/>
      </c>
      <c r="D1398" s="10" t="str">
        <f t="shared" si="170"/>
        <v/>
      </c>
      <c r="E1398" s="11" t="str">
        <f t="shared" si="171"/>
        <v/>
      </c>
      <c r="F1398" s="12" t="str">
        <f t="shared" si="172"/>
        <v/>
      </c>
      <c r="G1398" s="13" t="str">
        <f t="shared" si="173"/>
        <v/>
      </c>
      <c r="H1398" s="13" t="str">
        <f t="shared" si="174"/>
        <v/>
      </c>
      <c r="I1398" s="14" t="str">
        <f t="shared" si="175"/>
        <v/>
      </c>
      <c r="L1398" t="str">
        <f>IFERROR(MATCH($C$5&amp;"|"&amp;RIGHT("000000"&amp;1382,6),LdgRankKeyA,0),"")</f>
        <v/>
      </c>
      <c r="M1398" t="str">
        <f>IFERROR(MATCH($C$5&amp;"|"&amp;RIGHT("000000"&amp;1382,6),LdgRankKeyB,0),"")</f>
        <v/>
      </c>
    </row>
    <row r="1399" spans="1:13" x14ac:dyDescent="0.2">
      <c r="A1399" s="3">
        <v>1383</v>
      </c>
      <c r="B1399" s="4" t="str">
        <f t="shared" si="168"/>
        <v/>
      </c>
      <c r="C1399" s="4" t="str">
        <f t="shared" si="169"/>
        <v/>
      </c>
      <c r="D1399" s="4" t="str">
        <f t="shared" si="170"/>
        <v/>
      </c>
      <c r="E1399" s="5" t="str">
        <f t="shared" si="171"/>
        <v/>
      </c>
      <c r="F1399" s="6" t="str">
        <f t="shared" si="172"/>
        <v/>
      </c>
      <c r="G1399" s="7" t="str">
        <f t="shared" si="173"/>
        <v/>
      </c>
      <c r="H1399" s="7" t="str">
        <f t="shared" si="174"/>
        <v/>
      </c>
      <c r="I1399" s="8" t="str">
        <f t="shared" si="175"/>
        <v/>
      </c>
      <c r="L1399" t="str">
        <f>IFERROR(MATCH($C$5&amp;"|"&amp;RIGHT("000000"&amp;1383,6),LdgRankKeyA,0),"")</f>
        <v/>
      </c>
      <c r="M1399" t="str">
        <f>IFERROR(MATCH($C$5&amp;"|"&amp;RIGHT("000000"&amp;1383,6),LdgRankKeyB,0),"")</f>
        <v/>
      </c>
    </row>
    <row r="1400" spans="1:13" x14ac:dyDescent="0.2">
      <c r="A1400" s="9">
        <v>1384</v>
      </c>
      <c r="B1400" s="10" t="str">
        <f t="shared" si="168"/>
        <v/>
      </c>
      <c r="C1400" s="10" t="str">
        <f t="shared" si="169"/>
        <v/>
      </c>
      <c r="D1400" s="10" t="str">
        <f t="shared" si="170"/>
        <v/>
      </c>
      <c r="E1400" s="11" t="str">
        <f t="shared" si="171"/>
        <v/>
      </c>
      <c r="F1400" s="12" t="str">
        <f t="shared" si="172"/>
        <v/>
      </c>
      <c r="G1400" s="13" t="str">
        <f t="shared" si="173"/>
        <v/>
      </c>
      <c r="H1400" s="13" t="str">
        <f t="shared" si="174"/>
        <v/>
      </c>
      <c r="I1400" s="14" t="str">
        <f t="shared" si="175"/>
        <v/>
      </c>
      <c r="L1400" t="str">
        <f>IFERROR(MATCH($C$5&amp;"|"&amp;RIGHT("000000"&amp;1384,6),LdgRankKeyA,0),"")</f>
        <v/>
      </c>
      <c r="M1400" t="str">
        <f>IFERROR(MATCH($C$5&amp;"|"&amp;RIGHT("000000"&amp;1384,6),LdgRankKeyB,0),"")</f>
        <v/>
      </c>
    </row>
    <row r="1401" spans="1:13" x14ac:dyDescent="0.2">
      <c r="A1401" s="3">
        <v>1385</v>
      </c>
      <c r="B1401" s="4" t="str">
        <f t="shared" si="168"/>
        <v/>
      </c>
      <c r="C1401" s="4" t="str">
        <f t="shared" si="169"/>
        <v/>
      </c>
      <c r="D1401" s="4" t="str">
        <f t="shared" si="170"/>
        <v/>
      </c>
      <c r="E1401" s="5" t="str">
        <f t="shared" si="171"/>
        <v/>
      </c>
      <c r="F1401" s="6" t="str">
        <f t="shared" si="172"/>
        <v/>
      </c>
      <c r="G1401" s="7" t="str">
        <f t="shared" si="173"/>
        <v/>
      </c>
      <c r="H1401" s="7" t="str">
        <f t="shared" si="174"/>
        <v/>
      </c>
      <c r="I1401" s="8" t="str">
        <f t="shared" si="175"/>
        <v/>
      </c>
      <c r="L1401" t="str">
        <f>IFERROR(MATCH($C$5&amp;"|"&amp;RIGHT("000000"&amp;1385,6),LdgRankKeyA,0),"")</f>
        <v/>
      </c>
      <c r="M1401" t="str">
        <f>IFERROR(MATCH($C$5&amp;"|"&amp;RIGHT("000000"&amp;1385,6),LdgRankKeyB,0),"")</f>
        <v/>
      </c>
    </row>
    <row r="1402" spans="1:13" x14ac:dyDescent="0.2">
      <c r="A1402" s="9">
        <v>1386</v>
      </c>
      <c r="B1402" s="10" t="str">
        <f t="shared" si="168"/>
        <v/>
      </c>
      <c r="C1402" s="10" t="str">
        <f t="shared" si="169"/>
        <v/>
      </c>
      <c r="D1402" s="10" t="str">
        <f t="shared" si="170"/>
        <v/>
      </c>
      <c r="E1402" s="11" t="str">
        <f t="shared" si="171"/>
        <v/>
      </c>
      <c r="F1402" s="12" t="str">
        <f t="shared" si="172"/>
        <v/>
      </c>
      <c r="G1402" s="13" t="str">
        <f t="shared" si="173"/>
        <v/>
      </c>
      <c r="H1402" s="13" t="str">
        <f t="shared" si="174"/>
        <v/>
      </c>
      <c r="I1402" s="14" t="str">
        <f t="shared" si="175"/>
        <v/>
      </c>
      <c r="L1402" t="str">
        <f>IFERROR(MATCH($C$5&amp;"|"&amp;RIGHT("000000"&amp;1386,6),LdgRankKeyA,0),"")</f>
        <v/>
      </c>
      <c r="M1402" t="str">
        <f>IFERROR(MATCH($C$5&amp;"|"&amp;RIGHT("000000"&amp;1386,6),LdgRankKeyB,0),"")</f>
        <v/>
      </c>
    </row>
    <row r="1403" spans="1:13" x14ac:dyDescent="0.2">
      <c r="A1403" s="3">
        <v>1387</v>
      </c>
      <c r="B1403" s="4" t="str">
        <f t="shared" si="168"/>
        <v/>
      </c>
      <c r="C1403" s="4" t="str">
        <f t="shared" si="169"/>
        <v/>
      </c>
      <c r="D1403" s="4" t="str">
        <f t="shared" si="170"/>
        <v/>
      </c>
      <c r="E1403" s="5" t="str">
        <f t="shared" si="171"/>
        <v/>
      </c>
      <c r="F1403" s="6" t="str">
        <f t="shared" si="172"/>
        <v/>
      </c>
      <c r="G1403" s="7" t="str">
        <f t="shared" si="173"/>
        <v/>
      </c>
      <c r="H1403" s="7" t="str">
        <f t="shared" si="174"/>
        <v/>
      </c>
      <c r="I1403" s="8" t="str">
        <f t="shared" si="175"/>
        <v/>
      </c>
      <c r="L1403" t="str">
        <f>IFERROR(MATCH($C$5&amp;"|"&amp;RIGHT("000000"&amp;1387,6),LdgRankKeyA,0),"")</f>
        <v/>
      </c>
      <c r="M1403" t="str">
        <f>IFERROR(MATCH($C$5&amp;"|"&amp;RIGHT("000000"&amp;1387,6),LdgRankKeyB,0),"")</f>
        <v/>
      </c>
    </row>
    <row r="1404" spans="1:13" x14ac:dyDescent="0.2">
      <c r="A1404" s="9">
        <v>1388</v>
      </c>
      <c r="B1404" s="10" t="str">
        <f t="shared" si="168"/>
        <v/>
      </c>
      <c r="C1404" s="10" t="str">
        <f t="shared" si="169"/>
        <v/>
      </c>
      <c r="D1404" s="10" t="str">
        <f t="shared" si="170"/>
        <v/>
      </c>
      <c r="E1404" s="11" t="str">
        <f t="shared" si="171"/>
        <v/>
      </c>
      <c r="F1404" s="12" t="str">
        <f t="shared" si="172"/>
        <v/>
      </c>
      <c r="G1404" s="13" t="str">
        <f t="shared" si="173"/>
        <v/>
      </c>
      <c r="H1404" s="13" t="str">
        <f t="shared" si="174"/>
        <v/>
      </c>
      <c r="I1404" s="14" t="str">
        <f t="shared" si="175"/>
        <v/>
      </c>
      <c r="L1404" t="str">
        <f>IFERROR(MATCH($C$5&amp;"|"&amp;RIGHT("000000"&amp;1388,6),LdgRankKeyA,0),"")</f>
        <v/>
      </c>
      <c r="M1404" t="str">
        <f>IFERROR(MATCH($C$5&amp;"|"&amp;RIGHT("000000"&amp;1388,6),LdgRankKeyB,0),"")</f>
        <v/>
      </c>
    </row>
    <row r="1405" spans="1:13" x14ac:dyDescent="0.2">
      <c r="A1405" s="3">
        <v>1389</v>
      </c>
      <c r="B1405" s="4" t="str">
        <f t="shared" si="168"/>
        <v/>
      </c>
      <c r="C1405" s="4" t="str">
        <f t="shared" si="169"/>
        <v/>
      </c>
      <c r="D1405" s="4" t="str">
        <f t="shared" si="170"/>
        <v/>
      </c>
      <c r="E1405" s="5" t="str">
        <f t="shared" si="171"/>
        <v/>
      </c>
      <c r="F1405" s="6" t="str">
        <f t="shared" si="172"/>
        <v/>
      </c>
      <c r="G1405" s="7" t="str">
        <f t="shared" si="173"/>
        <v/>
      </c>
      <c r="H1405" s="7" t="str">
        <f t="shared" si="174"/>
        <v/>
      </c>
      <c r="I1405" s="8" t="str">
        <f t="shared" si="175"/>
        <v/>
      </c>
      <c r="L1405" t="str">
        <f>IFERROR(MATCH($C$5&amp;"|"&amp;RIGHT("000000"&amp;1389,6),LdgRankKeyA,0),"")</f>
        <v/>
      </c>
      <c r="M1405" t="str">
        <f>IFERROR(MATCH($C$5&amp;"|"&amp;RIGHT("000000"&amp;1389,6),LdgRankKeyB,0),"")</f>
        <v/>
      </c>
    </row>
    <row r="1406" spans="1:13" x14ac:dyDescent="0.2">
      <c r="A1406" s="9">
        <v>1390</v>
      </c>
      <c r="B1406" s="10" t="str">
        <f t="shared" si="168"/>
        <v/>
      </c>
      <c r="C1406" s="10" t="str">
        <f t="shared" si="169"/>
        <v/>
      </c>
      <c r="D1406" s="10" t="str">
        <f t="shared" si="170"/>
        <v/>
      </c>
      <c r="E1406" s="11" t="str">
        <f t="shared" si="171"/>
        <v/>
      </c>
      <c r="F1406" s="12" t="str">
        <f t="shared" si="172"/>
        <v/>
      </c>
      <c r="G1406" s="13" t="str">
        <f t="shared" si="173"/>
        <v/>
      </c>
      <c r="H1406" s="13" t="str">
        <f t="shared" si="174"/>
        <v/>
      </c>
      <c r="I1406" s="14" t="str">
        <f t="shared" si="175"/>
        <v/>
      </c>
      <c r="L1406" t="str">
        <f>IFERROR(MATCH($C$5&amp;"|"&amp;RIGHT("000000"&amp;1390,6),LdgRankKeyA,0),"")</f>
        <v/>
      </c>
      <c r="M1406" t="str">
        <f>IFERROR(MATCH($C$5&amp;"|"&amp;RIGHT("000000"&amp;1390,6),LdgRankKeyB,0),"")</f>
        <v/>
      </c>
    </row>
    <row r="1407" spans="1:13" x14ac:dyDescent="0.2">
      <c r="A1407" s="3">
        <v>1391</v>
      </c>
      <c r="B1407" s="4" t="str">
        <f t="shared" si="168"/>
        <v/>
      </c>
      <c r="C1407" s="4" t="str">
        <f t="shared" si="169"/>
        <v/>
      </c>
      <c r="D1407" s="4" t="str">
        <f t="shared" si="170"/>
        <v/>
      </c>
      <c r="E1407" s="5" t="str">
        <f t="shared" si="171"/>
        <v/>
      </c>
      <c r="F1407" s="6" t="str">
        <f t="shared" si="172"/>
        <v/>
      </c>
      <c r="G1407" s="7" t="str">
        <f t="shared" si="173"/>
        <v/>
      </c>
      <c r="H1407" s="7" t="str">
        <f t="shared" si="174"/>
        <v/>
      </c>
      <c r="I1407" s="8" t="str">
        <f t="shared" si="175"/>
        <v/>
      </c>
      <c r="L1407" t="str">
        <f>IFERROR(MATCH($C$5&amp;"|"&amp;RIGHT("000000"&amp;1391,6),LdgRankKeyA,0),"")</f>
        <v/>
      </c>
      <c r="M1407" t="str">
        <f>IFERROR(MATCH($C$5&amp;"|"&amp;RIGHT("000000"&amp;1391,6),LdgRankKeyB,0),"")</f>
        <v/>
      </c>
    </row>
    <row r="1408" spans="1:13" x14ac:dyDescent="0.2">
      <c r="A1408" s="9">
        <v>1392</v>
      </c>
      <c r="B1408" s="10" t="str">
        <f t="shared" si="168"/>
        <v/>
      </c>
      <c r="C1408" s="10" t="str">
        <f t="shared" si="169"/>
        <v/>
      </c>
      <c r="D1408" s="10" t="str">
        <f t="shared" si="170"/>
        <v/>
      </c>
      <c r="E1408" s="11" t="str">
        <f t="shared" si="171"/>
        <v/>
      </c>
      <c r="F1408" s="12" t="str">
        <f t="shared" si="172"/>
        <v/>
      </c>
      <c r="G1408" s="13" t="str">
        <f t="shared" si="173"/>
        <v/>
      </c>
      <c r="H1408" s="13" t="str">
        <f t="shared" si="174"/>
        <v/>
      </c>
      <c r="I1408" s="14" t="str">
        <f t="shared" si="175"/>
        <v/>
      </c>
      <c r="L1408" t="str">
        <f>IFERROR(MATCH($C$5&amp;"|"&amp;RIGHT("000000"&amp;1392,6),LdgRankKeyA,0),"")</f>
        <v/>
      </c>
      <c r="M1408" t="str">
        <f>IFERROR(MATCH($C$5&amp;"|"&amp;RIGHT("000000"&amp;1392,6),LdgRankKeyB,0),"")</f>
        <v/>
      </c>
    </row>
    <row r="1409" spans="1:13" x14ac:dyDescent="0.2">
      <c r="A1409" s="3">
        <v>1393</v>
      </c>
      <c r="B1409" s="4" t="str">
        <f t="shared" si="168"/>
        <v/>
      </c>
      <c r="C1409" s="4" t="str">
        <f t="shared" si="169"/>
        <v/>
      </c>
      <c r="D1409" s="4" t="str">
        <f t="shared" si="170"/>
        <v/>
      </c>
      <c r="E1409" s="5" t="str">
        <f t="shared" si="171"/>
        <v/>
      </c>
      <c r="F1409" s="6" t="str">
        <f t="shared" si="172"/>
        <v/>
      </c>
      <c r="G1409" s="7" t="str">
        <f t="shared" si="173"/>
        <v/>
      </c>
      <c r="H1409" s="7" t="str">
        <f t="shared" si="174"/>
        <v/>
      </c>
      <c r="I1409" s="8" t="str">
        <f t="shared" si="175"/>
        <v/>
      </c>
      <c r="L1409" t="str">
        <f>IFERROR(MATCH($C$5&amp;"|"&amp;RIGHT("000000"&amp;1393,6),LdgRankKeyA,0),"")</f>
        <v/>
      </c>
      <c r="M1409" t="str">
        <f>IFERROR(MATCH($C$5&amp;"|"&amp;RIGHT("000000"&amp;1393,6),LdgRankKeyB,0),"")</f>
        <v/>
      </c>
    </row>
    <row r="1410" spans="1:13" x14ac:dyDescent="0.2">
      <c r="A1410" s="9">
        <v>1394</v>
      </c>
      <c r="B1410" s="10" t="str">
        <f t="shared" si="168"/>
        <v/>
      </c>
      <c r="C1410" s="10" t="str">
        <f t="shared" si="169"/>
        <v/>
      </c>
      <c r="D1410" s="10" t="str">
        <f t="shared" si="170"/>
        <v/>
      </c>
      <c r="E1410" s="11" t="str">
        <f t="shared" si="171"/>
        <v/>
      </c>
      <c r="F1410" s="12" t="str">
        <f t="shared" si="172"/>
        <v/>
      </c>
      <c r="G1410" s="13" t="str">
        <f t="shared" si="173"/>
        <v/>
      </c>
      <c r="H1410" s="13" t="str">
        <f t="shared" si="174"/>
        <v/>
      </c>
      <c r="I1410" s="14" t="str">
        <f t="shared" si="175"/>
        <v/>
      </c>
      <c r="L1410" t="str">
        <f>IFERROR(MATCH($C$5&amp;"|"&amp;RIGHT("000000"&amp;1394,6),LdgRankKeyA,0),"")</f>
        <v/>
      </c>
      <c r="M1410" t="str">
        <f>IFERROR(MATCH($C$5&amp;"|"&amp;RIGHT("000000"&amp;1394,6),LdgRankKeyB,0),"")</f>
        <v/>
      </c>
    </row>
    <row r="1411" spans="1:13" x14ac:dyDescent="0.2">
      <c r="A1411" s="3">
        <v>1395</v>
      </c>
      <c r="B1411" s="4" t="str">
        <f t="shared" si="168"/>
        <v/>
      </c>
      <c r="C1411" s="4" t="str">
        <f t="shared" si="169"/>
        <v/>
      </c>
      <c r="D1411" s="4" t="str">
        <f t="shared" si="170"/>
        <v/>
      </c>
      <c r="E1411" s="5" t="str">
        <f t="shared" si="171"/>
        <v/>
      </c>
      <c r="F1411" s="6" t="str">
        <f t="shared" si="172"/>
        <v/>
      </c>
      <c r="G1411" s="7" t="str">
        <f t="shared" si="173"/>
        <v/>
      </c>
      <c r="H1411" s="7" t="str">
        <f t="shared" si="174"/>
        <v/>
      </c>
      <c r="I1411" s="8" t="str">
        <f t="shared" si="175"/>
        <v/>
      </c>
      <c r="L1411" t="str">
        <f>IFERROR(MATCH($C$5&amp;"|"&amp;RIGHT("000000"&amp;1395,6),LdgRankKeyA,0),"")</f>
        <v/>
      </c>
      <c r="M1411" t="str">
        <f>IFERROR(MATCH($C$5&amp;"|"&amp;RIGHT("000000"&amp;1395,6),LdgRankKeyB,0),"")</f>
        <v/>
      </c>
    </row>
    <row r="1412" spans="1:13" x14ac:dyDescent="0.2">
      <c r="A1412" s="9">
        <v>1396</v>
      </c>
      <c r="B1412" s="10" t="str">
        <f t="shared" si="168"/>
        <v/>
      </c>
      <c r="C1412" s="10" t="str">
        <f t="shared" si="169"/>
        <v/>
      </c>
      <c r="D1412" s="10" t="str">
        <f t="shared" si="170"/>
        <v/>
      </c>
      <c r="E1412" s="11" t="str">
        <f t="shared" si="171"/>
        <v/>
      </c>
      <c r="F1412" s="12" t="str">
        <f t="shared" si="172"/>
        <v/>
      </c>
      <c r="G1412" s="13" t="str">
        <f t="shared" si="173"/>
        <v/>
      </c>
      <c r="H1412" s="13" t="str">
        <f t="shared" si="174"/>
        <v/>
      </c>
      <c r="I1412" s="14" t="str">
        <f t="shared" si="175"/>
        <v/>
      </c>
      <c r="L1412" t="str">
        <f>IFERROR(MATCH($C$5&amp;"|"&amp;RIGHT("000000"&amp;1396,6),LdgRankKeyA,0),"")</f>
        <v/>
      </c>
      <c r="M1412" t="str">
        <f>IFERROR(MATCH($C$5&amp;"|"&amp;RIGHT("000000"&amp;1396,6),LdgRankKeyB,0),"")</f>
        <v/>
      </c>
    </row>
    <row r="1413" spans="1:13" x14ac:dyDescent="0.2">
      <c r="A1413" s="3">
        <v>1397</v>
      </c>
      <c r="B1413" s="4" t="str">
        <f t="shared" si="168"/>
        <v/>
      </c>
      <c r="C1413" s="4" t="str">
        <f t="shared" si="169"/>
        <v/>
      </c>
      <c r="D1413" s="4" t="str">
        <f t="shared" si="170"/>
        <v/>
      </c>
      <c r="E1413" s="5" t="str">
        <f t="shared" si="171"/>
        <v/>
      </c>
      <c r="F1413" s="6" t="str">
        <f t="shared" si="172"/>
        <v/>
      </c>
      <c r="G1413" s="7" t="str">
        <f t="shared" si="173"/>
        <v/>
      </c>
      <c r="H1413" s="7" t="str">
        <f t="shared" si="174"/>
        <v/>
      </c>
      <c r="I1413" s="8" t="str">
        <f t="shared" si="175"/>
        <v/>
      </c>
      <c r="L1413" t="str">
        <f>IFERROR(MATCH($C$5&amp;"|"&amp;RIGHT("000000"&amp;1397,6),LdgRankKeyA,0),"")</f>
        <v/>
      </c>
      <c r="M1413" t="str">
        <f>IFERROR(MATCH($C$5&amp;"|"&amp;RIGHT("000000"&amp;1397,6),LdgRankKeyB,0),"")</f>
        <v/>
      </c>
    </row>
    <row r="1414" spans="1:13" x14ac:dyDescent="0.2">
      <c r="A1414" s="9">
        <v>1398</v>
      </c>
      <c r="B1414" s="10" t="str">
        <f t="shared" si="168"/>
        <v/>
      </c>
      <c r="C1414" s="10" t="str">
        <f t="shared" si="169"/>
        <v/>
      </c>
      <c r="D1414" s="10" t="str">
        <f t="shared" si="170"/>
        <v/>
      </c>
      <c r="E1414" s="11" t="str">
        <f t="shared" si="171"/>
        <v/>
      </c>
      <c r="F1414" s="12" t="str">
        <f t="shared" si="172"/>
        <v/>
      </c>
      <c r="G1414" s="13" t="str">
        <f t="shared" si="173"/>
        <v/>
      </c>
      <c r="H1414" s="13" t="str">
        <f t="shared" si="174"/>
        <v/>
      </c>
      <c r="I1414" s="14" t="str">
        <f t="shared" si="175"/>
        <v/>
      </c>
      <c r="L1414" t="str">
        <f>IFERROR(MATCH($C$5&amp;"|"&amp;RIGHT("000000"&amp;1398,6),LdgRankKeyA,0),"")</f>
        <v/>
      </c>
      <c r="M1414" t="str">
        <f>IFERROR(MATCH($C$5&amp;"|"&amp;RIGHT("000000"&amp;1398,6),LdgRankKeyB,0),"")</f>
        <v/>
      </c>
    </row>
    <row r="1415" spans="1:13" x14ac:dyDescent="0.2">
      <c r="A1415" s="3">
        <v>1399</v>
      </c>
      <c r="B1415" s="4" t="str">
        <f t="shared" si="168"/>
        <v/>
      </c>
      <c r="C1415" s="4" t="str">
        <f t="shared" si="169"/>
        <v/>
      </c>
      <c r="D1415" s="4" t="str">
        <f t="shared" si="170"/>
        <v/>
      </c>
      <c r="E1415" s="5" t="str">
        <f t="shared" si="171"/>
        <v/>
      </c>
      <c r="F1415" s="6" t="str">
        <f t="shared" si="172"/>
        <v/>
      </c>
      <c r="G1415" s="7" t="str">
        <f t="shared" si="173"/>
        <v/>
      </c>
      <c r="H1415" s="7" t="str">
        <f t="shared" si="174"/>
        <v/>
      </c>
      <c r="I1415" s="8" t="str">
        <f t="shared" si="175"/>
        <v/>
      </c>
      <c r="L1415" t="str">
        <f>IFERROR(MATCH($C$5&amp;"|"&amp;RIGHT("000000"&amp;1399,6),LdgRankKeyA,0),"")</f>
        <v/>
      </c>
      <c r="M1415" t="str">
        <f>IFERROR(MATCH($C$5&amp;"|"&amp;RIGHT("000000"&amp;1399,6),LdgRankKeyB,0),"")</f>
        <v/>
      </c>
    </row>
    <row r="1416" spans="1:13" x14ac:dyDescent="0.2">
      <c r="A1416" s="9">
        <v>1400</v>
      </c>
      <c r="B1416" s="10" t="str">
        <f t="shared" si="168"/>
        <v/>
      </c>
      <c r="C1416" s="10" t="str">
        <f t="shared" si="169"/>
        <v/>
      </c>
      <c r="D1416" s="10" t="str">
        <f t="shared" si="170"/>
        <v/>
      </c>
      <c r="E1416" s="11" t="str">
        <f t="shared" si="171"/>
        <v/>
      </c>
      <c r="F1416" s="12" t="str">
        <f t="shared" si="172"/>
        <v/>
      </c>
      <c r="G1416" s="13" t="str">
        <f t="shared" si="173"/>
        <v/>
      </c>
      <c r="H1416" s="13" t="str">
        <f t="shared" si="174"/>
        <v/>
      </c>
      <c r="I1416" s="14" t="str">
        <f t="shared" si="175"/>
        <v/>
      </c>
      <c r="L1416" t="str">
        <f>IFERROR(MATCH($C$5&amp;"|"&amp;RIGHT("000000"&amp;1400,6),LdgRankKeyA,0),"")</f>
        <v/>
      </c>
      <c r="M1416" t="str">
        <f>IFERROR(MATCH($C$5&amp;"|"&amp;RIGHT("000000"&amp;1400,6),LdgRankKeyB,0),"")</f>
        <v/>
      </c>
    </row>
    <row r="1417" spans="1:13" x14ac:dyDescent="0.2">
      <c r="A1417" s="3">
        <v>1401</v>
      </c>
      <c r="B1417" s="4" t="str">
        <f t="shared" si="168"/>
        <v/>
      </c>
      <c r="C1417" s="4" t="str">
        <f t="shared" si="169"/>
        <v/>
      </c>
      <c r="D1417" s="4" t="str">
        <f t="shared" si="170"/>
        <v/>
      </c>
      <c r="E1417" s="5" t="str">
        <f t="shared" si="171"/>
        <v/>
      </c>
      <c r="F1417" s="6" t="str">
        <f t="shared" si="172"/>
        <v/>
      </c>
      <c r="G1417" s="7" t="str">
        <f t="shared" si="173"/>
        <v/>
      </c>
      <c r="H1417" s="7" t="str">
        <f t="shared" si="174"/>
        <v/>
      </c>
      <c r="I1417" s="8" t="str">
        <f t="shared" si="175"/>
        <v/>
      </c>
      <c r="L1417" t="str">
        <f>IFERROR(MATCH($C$5&amp;"|"&amp;RIGHT("000000"&amp;1401,6),LdgRankKeyA,0),"")</f>
        <v/>
      </c>
      <c r="M1417" t="str">
        <f>IFERROR(MATCH($C$5&amp;"|"&amp;RIGHT("000000"&amp;1401,6),LdgRankKeyB,0),"")</f>
        <v/>
      </c>
    </row>
    <row r="1418" spans="1:13" x14ac:dyDescent="0.2">
      <c r="A1418" s="9">
        <v>1402</v>
      </c>
      <c r="B1418" s="10" t="str">
        <f t="shared" si="168"/>
        <v/>
      </c>
      <c r="C1418" s="10" t="str">
        <f t="shared" si="169"/>
        <v/>
      </c>
      <c r="D1418" s="10" t="str">
        <f t="shared" si="170"/>
        <v/>
      </c>
      <c r="E1418" s="11" t="str">
        <f t="shared" si="171"/>
        <v/>
      </c>
      <c r="F1418" s="12" t="str">
        <f t="shared" si="172"/>
        <v/>
      </c>
      <c r="G1418" s="13" t="str">
        <f t="shared" si="173"/>
        <v/>
      </c>
      <c r="H1418" s="13" t="str">
        <f t="shared" si="174"/>
        <v/>
      </c>
      <c r="I1418" s="14" t="str">
        <f t="shared" si="175"/>
        <v/>
      </c>
      <c r="L1418" t="str">
        <f>IFERROR(MATCH($C$5&amp;"|"&amp;RIGHT("000000"&amp;1402,6),LdgRankKeyA,0),"")</f>
        <v/>
      </c>
      <c r="M1418" t="str">
        <f>IFERROR(MATCH($C$5&amp;"|"&amp;RIGHT("000000"&amp;1402,6),LdgRankKeyB,0),"")</f>
        <v/>
      </c>
    </row>
    <row r="1419" spans="1:13" x14ac:dyDescent="0.2">
      <c r="A1419" s="3">
        <v>1403</v>
      </c>
      <c r="B1419" s="4" t="str">
        <f t="shared" si="168"/>
        <v/>
      </c>
      <c r="C1419" s="4" t="str">
        <f t="shared" si="169"/>
        <v/>
      </c>
      <c r="D1419" s="4" t="str">
        <f t="shared" si="170"/>
        <v/>
      </c>
      <c r="E1419" s="5" t="str">
        <f t="shared" si="171"/>
        <v/>
      </c>
      <c r="F1419" s="6" t="str">
        <f t="shared" si="172"/>
        <v/>
      </c>
      <c r="G1419" s="7" t="str">
        <f t="shared" si="173"/>
        <v/>
      </c>
      <c r="H1419" s="7" t="str">
        <f t="shared" si="174"/>
        <v/>
      </c>
      <c r="I1419" s="8" t="str">
        <f t="shared" si="175"/>
        <v/>
      </c>
      <c r="L1419" t="str">
        <f>IFERROR(MATCH($C$5&amp;"|"&amp;RIGHT("000000"&amp;1403,6),LdgRankKeyA,0),"")</f>
        <v/>
      </c>
      <c r="M1419" t="str">
        <f>IFERROR(MATCH($C$5&amp;"|"&amp;RIGHT("000000"&amp;1403,6),LdgRankKeyB,0),"")</f>
        <v/>
      </c>
    </row>
    <row r="1420" spans="1:13" x14ac:dyDescent="0.2">
      <c r="A1420" s="9">
        <v>1404</v>
      </c>
      <c r="B1420" s="10" t="str">
        <f t="shared" si="168"/>
        <v/>
      </c>
      <c r="C1420" s="10" t="str">
        <f t="shared" si="169"/>
        <v/>
      </c>
      <c r="D1420" s="10" t="str">
        <f t="shared" si="170"/>
        <v/>
      </c>
      <c r="E1420" s="11" t="str">
        <f t="shared" si="171"/>
        <v/>
      </c>
      <c r="F1420" s="12" t="str">
        <f t="shared" si="172"/>
        <v/>
      </c>
      <c r="G1420" s="13" t="str">
        <f t="shared" si="173"/>
        <v/>
      </c>
      <c r="H1420" s="13" t="str">
        <f t="shared" si="174"/>
        <v/>
      </c>
      <c r="I1420" s="14" t="str">
        <f t="shared" si="175"/>
        <v/>
      </c>
      <c r="L1420" t="str">
        <f>IFERROR(MATCH($C$5&amp;"|"&amp;RIGHT("000000"&amp;1404,6),LdgRankKeyA,0),"")</f>
        <v/>
      </c>
      <c r="M1420" t="str">
        <f>IFERROR(MATCH($C$5&amp;"|"&amp;RIGHT("000000"&amp;1404,6),LdgRankKeyB,0),"")</f>
        <v/>
      </c>
    </row>
    <row r="1421" spans="1:13" x14ac:dyDescent="0.2">
      <c r="A1421" s="3">
        <v>1405</v>
      </c>
      <c r="B1421" s="4" t="str">
        <f t="shared" si="168"/>
        <v/>
      </c>
      <c r="C1421" s="4" t="str">
        <f t="shared" si="169"/>
        <v/>
      </c>
      <c r="D1421" s="4" t="str">
        <f t="shared" si="170"/>
        <v/>
      </c>
      <c r="E1421" s="5" t="str">
        <f t="shared" si="171"/>
        <v/>
      </c>
      <c r="F1421" s="6" t="str">
        <f t="shared" si="172"/>
        <v/>
      </c>
      <c r="G1421" s="7" t="str">
        <f t="shared" si="173"/>
        <v/>
      </c>
      <c r="H1421" s="7" t="str">
        <f t="shared" si="174"/>
        <v/>
      </c>
      <c r="I1421" s="8" t="str">
        <f t="shared" si="175"/>
        <v/>
      </c>
      <c r="L1421" t="str">
        <f>IFERROR(MATCH($C$5&amp;"|"&amp;RIGHT("000000"&amp;1405,6),LdgRankKeyA,0),"")</f>
        <v/>
      </c>
      <c r="M1421" t="str">
        <f>IFERROR(MATCH($C$5&amp;"|"&amp;RIGHT("000000"&amp;1405,6),LdgRankKeyB,0),"")</f>
        <v/>
      </c>
    </row>
    <row r="1422" spans="1:13" x14ac:dyDescent="0.2">
      <c r="A1422" s="9">
        <v>1406</v>
      </c>
      <c r="B1422" s="10" t="str">
        <f t="shared" si="168"/>
        <v/>
      </c>
      <c r="C1422" s="10" t="str">
        <f t="shared" si="169"/>
        <v/>
      </c>
      <c r="D1422" s="10" t="str">
        <f t="shared" si="170"/>
        <v/>
      </c>
      <c r="E1422" s="11" t="str">
        <f t="shared" si="171"/>
        <v/>
      </c>
      <c r="F1422" s="12" t="str">
        <f t="shared" si="172"/>
        <v/>
      </c>
      <c r="G1422" s="13" t="str">
        <f t="shared" si="173"/>
        <v/>
      </c>
      <c r="H1422" s="13" t="str">
        <f t="shared" si="174"/>
        <v/>
      </c>
      <c r="I1422" s="14" t="str">
        <f t="shared" si="175"/>
        <v/>
      </c>
      <c r="L1422" t="str">
        <f>IFERROR(MATCH($C$5&amp;"|"&amp;RIGHT("000000"&amp;1406,6),LdgRankKeyA,0),"")</f>
        <v/>
      </c>
      <c r="M1422" t="str">
        <f>IFERROR(MATCH($C$5&amp;"|"&amp;RIGHT("000000"&amp;1406,6),LdgRankKeyB,0),"")</f>
        <v/>
      </c>
    </row>
    <row r="1423" spans="1:13" x14ac:dyDescent="0.2">
      <c r="A1423" s="3">
        <v>1407</v>
      </c>
      <c r="B1423" s="4" t="str">
        <f t="shared" si="168"/>
        <v/>
      </c>
      <c r="C1423" s="4" t="str">
        <f t="shared" si="169"/>
        <v/>
      </c>
      <c r="D1423" s="4" t="str">
        <f t="shared" si="170"/>
        <v/>
      </c>
      <c r="E1423" s="5" t="str">
        <f t="shared" si="171"/>
        <v/>
      </c>
      <c r="F1423" s="6" t="str">
        <f t="shared" si="172"/>
        <v/>
      </c>
      <c r="G1423" s="7" t="str">
        <f t="shared" si="173"/>
        <v/>
      </c>
      <c r="H1423" s="7" t="str">
        <f t="shared" si="174"/>
        <v/>
      </c>
      <c r="I1423" s="8" t="str">
        <f t="shared" si="175"/>
        <v/>
      </c>
      <c r="L1423" t="str">
        <f>IFERROR(MATCH($C$5&amp;"|"&amp;RIGHT("000000"&amp;1407,6),LdgRankKeyA,0),"")</f>
        <v/>
      </c>
      <c r="M1423" t="str">
        <f>IFERROR(MATCH($C$5&amp;"|"&amp;RIGHT("000000"&amp;1407,6),LdgRankKeyB,0),"")</f>
        <v/>
      </c>
    </row>
    <row r="1424" spans="1:13" x14ac:dyDescent="0.2">
      <c r="A1424" s="9">
        <v>1408</v>
      </c>
      <c r="B1424" s="10" t="str">
        <f t="shared" si="168"/>
        <v/>
      </c>
      <c r="C1424" s="10" t="str">
        <f t="shared" si="169"/>
        <v/>
      </c>
      <c r="D1424" s="10" t="str">
        <f t="shared" si="170"/>
        <v/>
      </c>
      <c r="E1424" s="11" t="str">
        <f t="shared" si="171"/>
        <v/>
      </c>
      <c r="F1424" s="12" t="str">
        <f t="shared" si="172"/>
        <v/>
      </c>
      <c r="G1424" s="13" t="str">
        <f t="shared" si="173"/>
        <v/>
      </c>
      <c r="H1424" s="13" t="str">
        <f t="shared" si="174"/>
        <v/>
      </c>
      <c r="I1424" s="14" t="str">
        <f t="shared" si="175"/>
        <v/>
      </c>
      <c r="L1424" t="str">
        <f>IFERROR(MATCH($C$5&amp;"|"&amp;RIGHT("000000"&amp;1408,6),LdgRankKeyA,0),"")</f>
        <v/>
      </c>
      <c r="M1424" t="str">
        <f>IFERROR(MATCH($C$5&amp;"|"&amp;RIGHT("000000"&amp;1408,6),LdgRankKeyB,0),"")</f>
        <v/>
      </c>
    </row>
    <row r="1425" spans="1:13" x14ac:dyDescent="0.2">
      <c r="A1425" s="3">
        <v>1409</v>
      </c>
      <c r="B1425" s="4" t="str">
        <f t="shared" ref="B1425:B1488" si="176">IF(AND($L1425="",$M1425=""),"",IF($L1425&lt;&gt;"",INDEX(SCNormDate,$L1425),INDEX(LdgDateB,$M1425)))</f>
        <v/>
      </c>
      <c r="C1425" s="4" t="str">
        <f t="shared" ref="C1425:C1488" si="177">IF($L1425&lt;&gt;"",INDEX(SCOp,$L1425),IF($M1425&lt;&gt;"","پرداخت بانکی",""))</f>
        <v/>
      </c>
      <c r="D1425" s="4" t="str">
        <f t="shared" ref="D1425:D1488" si="178">IF($L1425&lt;&gt;"",IF(INDEX(SCDoc,$L1425)="","—",INDEX(SCDoc,$L1425)),IF($M1425&lt;&gt;"",INDEX(LdgBankB,$M1425),""))</f>
        <v/>
      </c>
      <c r="E1425" s="5" t="str">
        <f t="shared" ref="E1425:E1488" si="179">IF($L1425&lt;&gt;"",IF(INDEX(SCCitrus,$L1425)&amp;INDEX(SCNotes,$L1425)="","",IF(INDEX(SCCitrus,$L1425)="","",INDEX(SCCitrus,$L1425))&amp;IF(INDEX(SCNotes,$L1425)="",""," — "&amp;INDEX(SCNotes,$L1425))),IF($M1425&lt;&gt;"",IF(INDEX(LdgNoteB,$M1425)="","—",INDEX(LdgNoteB,$M1425)),""))</f>
        <v/>
      </c>
      <c r="F1425" s="6" t="str">
        <f t="shared" ref="F1425:F1488" si="180">IF($L1425&lt;&gt;"",IF(INDEX(SCNet,$L1425)=0,"",INDEX(SCNet,$L1425)),"")</f>
        <v/>
      </c>
      <c r="G1425" s="7" t="str">
        <f t="shared" ref="G1425:G1488" si="181">IF($L1425&lt;&gt;"",IF(INDEX(SCOp,$L1425)="مرجوعی فروش","",IF(INDEX(SCAmount,$L1425)&lt;=0,"",INDEX(SCAmount,$L1425))),IF($M1425&lt;&gt;"",IF(INDEX(LdgWitB,$M1425)=0,"",INDEX(LdgWitB,$M1425)),""))</f>
        <v/>
      </c>
      <c r="H1425" s="7" t="str">
        <f t="shared" ref="H1425:H1488" si="182">IF($L1425&lt;&gt;"",IF(INDEX(SCOp,$L1425)="مرجوعی فروش",IF(INDEX(SCAmount,$L1425)=0,"",-INDEX(SCAmount,$L1425)),""),IF($M1425&lt;&gt;"",IF(INDEX(LdgDepB,$M1425)=0,"",INDEX(LdgDepB,$M1425)),""))</f>
        <v/>
      </c>
      <c r="I1425" s="8" t="str">
        <f t="shared" si="175"/>
        <v/>
      </c>
      <c r="L1425" t="str">
        <f>IFERROR(MATCH($C$5&amp;"|"&amp;RIGHT("000000"&amp;1409,6),LdgRankKeyA,0),"")</f>
        <v/>
      </c>
      <c r="M1425" t="str">
        <f>IFERROR(MATCH($C$5&amp;"|"&amp;RIGHT("000000"&amp;1409,6),LdgRankKeyB,0),"")</f>
        <v/>
      </c>
    </row>
    <row r="1426" spans="1:13" x14ac:dyDescent="0.2">
      <c r="A1426" s="9">
        <v>1410</v>
      </c>
      <c r="B1426" s="10" t="str">
        <f t="shared" si="176"/>
        <v/>
      </c>
      <c r="C1426" s="10" t="str">
        <f t="shared" si="177"/>
        <v/>
      </c>
      <c r="D1426" s="10" t="str">
        <f t="shared" si="178"/>
        <v/>
      </c>
      <c r="E1426" s="11" t="str">
        <f t="shared" si="179"/>
        <v/>
      </c>
      <c r="F1426" s="12" t="str">
        <f t="shared" si="180"/>
        <v/>
      </c>
      <c r="G1426" s="13" t="str">
        <f t="shared" si="181"/>
        <v/>
      </c>
      <c r="H1426" s="13" t="str">
        <f t="shared" si="182"/>
        <v/>
      </c>
      <c r="I1426" s="14" t="str">
        <f t="shared" ref="I1426:I1489" si="183">IF($B1426="","",IF($I1425="",$C$10,$I1425)+IF($G1426="",0,$G1426)-IF($H1426="",0,$H1426))</f>
        <v/>
      </c>
      <c r="L1426" t="str">
        <f>IFERROR(MATCH($C$5&amp;"|"&amp;RIGHT("000000"&amp;1410,6),LdgRankKeyA,0),"")</f>
        <v/>
      </c>
      <c r="M1426" t="str">
        <f>IFERROR(MATCH($C$5&amp;"|"&amp;RIGHT("000000"&amp;1410,6),LdgRankKeyB,0),"")</f>
        <v/>
      </c>
    </row>
    <row r="1427" spans="1:13" x14ac:dyDescent="0.2">
      <c r="A1427" s="3">
        <v>1411</v>
      </c>
      <c r="B1427" s="4" t="str">
        <f t="shared" si="176"/>
        <v/>
      </c>
      <c r="C1427" s="4" t="str">
        <f t="shared" si="177"/>
        <v/>
      </c>
      <c r="D1427" s="4" t="str">
        <f t="shared" si="178"/>
        <v/>
      </c>
      <c r="E1427" s="5" t="str">
        <f t="shared" si="179"/>
        <v/>
      </c>
      <c r="F1427" s="6" t="str">
        <f t="shared" si="180"/>
        <v/>
      </c>
      <c r="G1427" s="7" t="str">
        <f t="shared" si="181"/>
        <v/>
      </c>
      <c r="H1427" s="7" t="str">
        <f t="shared" si="182"/>
        <v/>
      </c>
      <c r="I1427" s="8" t="str">
        <f t="shared" si="183"/>
        <v/>
      </c>
      <c r="L1427" t="str">
        <f>IFERROR(MATCH($C$5&amp;"|"&amp;RIGHT("000000"&amp;1411,6),LdgRankKeyA,0),"")</f>
        <v/>
      </c>
      <c r="M1427" t="str">
        <f>IFERROR(MATCH($C$5&amp;"|"&amp;RIGHT("000000"&amp;1411,6),LdgRankKeyB,0),"")</f>
        <v/>
      </c>
    </row>
    <row r="1428" spans="1:13" x14ac:dyDescent="0.2">
      <c r="A1428" s="9">
        <v>1412</v>
      </c>
      <c r="B1428" s="10" t="str">
        <f t="shared" si="176"/>
        <v/>
      </c>
      <c r="C1428" s="10" t="str">
        <f t="shared" si="177"/>
        <v/>
      </c>
      <c r="D1428" s="10" t="str">
        <f t="shared" si="178"/>
        <v/>
      </c>
      <c r="E1428" s="11" t="str">
        <f t="shared" si="179"/>
        <v/>
      </c>
      <c r="F1428" s="12" t="str">
        <f t="shared" si="180"/>
        <v/>
      </c>
      <c r="G1428" s="13" t="str">
        <f t="shared" si="181"/>
        <v/>
      </c>
      <c r="H1428" s="13" t="str">
        <f t="shared" si="182"/>
        <v/>
      </c>
      <c r="I1428" s="14" t="str">
        <f t="shared" si="183"/>
        <v/>
      </c>
      <c r="L1428" t="str">
        <f>IFERROR(MATCH($C$5&amp;"|"&amp;RIGHT("000000"&amp;1412,6),LdgRankKeyA,0),"")</f>
        <v/>
      </c>
      <c r="M1428" t="str">
        <f>IFERROR(MATCH($C$5&amp;"|"&amp;RIGHT("000000"&amp;1412,6),LdgRankKeyB,0),"")</f>
        <v/>
      </c>
    </row>
    <row r="1429" spans="1:13" x14ac:dyDescent="0.2">
      <c r="A1429" s="3">
        <v>1413</v>
      </c>
      <c r="B1429" s="4" t="str">
        <f t="shared" si="176"/>
        <v/>
      </c>
      <c r="C1429" s="4" t="str">
        <f t="shared" si="177"/>
        <v/>
      </c>
      <c r="D1429" s="4" t="str">
        <f t="shared" si="178"/>
        <v/>
      </c>
      <c r="E1429" s="5" t="str">
        <f t="shared" si="179"/>
        <v/>
      </c>
      <c r="F1429" s="6" t="str">
        <f t="shared" si="180"/>
        <v/>
      </c>
      <c r="G1429" s="7" t="str">
        <f t="shared" si="181"/>
        <v/>
      </c>
      <c r="H1429" s="7" t="str">
        <f t="shared" si="182"/>
        <v/>
      </c>
      <c r="I1429" s="8" t="str">
        <f t="shared" si="183"/>
        <v/>
      </c>
      <c r="L1429" t="str">
        <f>IFERROR(MATCH($C$5&amp;"|"&amp;RIGHT("000000"&amp;1413,6),LdgRankKeyA,0),"")</f>
        <v/>
      </c>
      <c r="M1429" t="str">
        <f>IFERROR(MATCH($C$5&amp;"|"&amp;RIGHT("000000"&amp;1413,6),LdgRankKeyB,0),"")</f>
        <v/>
      </c>
    </row>
    <row r="1430" spans="1:13" x14ac:dyDescent="0.2">
      <c r="A1430" s="9">
        <v>1414</v>
      </c>
      <c r="B1430" s="10" t="str">
        <f t="shared" si="176"/>
        <v/>
      </c>
      <c r="C1430" s="10" t="str">
        <f t="shared" si="177"/>
        <v/>
      </c>
      <c r="D1430" s="10" t="str">
        <f t="shared" si="178"/>
        <v/>
      </c>
      <c r="E1430" s="11" t="str">
        <f t="shared" si="179"/>
        <v/>
      </c>
      <c r="F1430" s="12" t="str">
        <f t="shared" si="180"/>
        <v/>
      </c>
      <c r="G1430" s="13" t="str">
        <f t="shared" si="181"/>
        <v/>
      </c>
      <c r="H1430" s="13" t="str">
        <f t="shared" si="182"/>
        <v/>
      </c>
      <c r="I1430" s="14" t="str">
        <f t="shared" si="183"/>
        <v/>
      </c>
      <c r="L1430" t="str">
        <f>IFERROR(MATCH($C$5&amp;"|"&amp;RIGHT("000000"&amp;1414,6),LdgRankKeyA,0),"")</f>
        <v/>
      </c>
      <c r="M1430" t="str">
        <f>IFERROR(MATCH($C$5&amp;"|"&amp;RIGHT("000000"&amp;1414,6),LdgRankKeyB,0),"")</f>
        <v/>
      </c>
    </row>
    <row r="1431" spans="1:13" x14ac:dyDescent="0.2">
      <c r="A1431" s="3">
        <v>1415</v>
      </c>
      <c r="B1431" s="4" t="str">
        <f t="shared" si="176"/>
        <v/>
      </c>
      <c r="C1431" s="4" t="str">
        <f t="shared" si="177"/>
        <v/>
      </c>
      <c r="D1431" s="4" t="str">
        <f t="shared" si="178"/>
        <v/>
      </c>
      <c r="E1431" s="5" t="str">
        <f t="shared" si="179"/>
        <v/>
      </c>
      <c r="F1431" s="6" t="str">
        <f t="shared" si="180"/>
        <v/>
      </c>
      <c r="G1431" s="7" t="str">
        <f t="shared" si="181"/>
        <v/>
      </c>
      <c r="H1431" s="7" t="str">
        <f t="shared" si="182"/>
        <v/>
      </c>
      <c r="I1431" s="8" t="str">
        <f t="shared" si="183"/>
        <v/>
      </c>
      <c r="L1431" t="str">
        <f>IFERROR(MATCH($C$5&amp;"|"&amp;RIGHT("000000"&amp;1415,6),LdgRankKeyA,0),"")</f>
        <v/>
      </c>
      <c r="M1431" t="str">
        <f>IFERROR(MATCH($C$5&amp;"|"&amp;RIGHT("000000"&amp;1415,6),LdgRankKeyB,0),"")</f>
        <v/>
      </c>
    </row>
    <row r="1432" spans="1:13" x14ac:dyDescent="0.2">
      <c r="A1432" s="9">
        <v>1416</v>
      </c>
      <c r="B1432" s="10" t="str">
        <f t="shared" si="176"/>
        <v/>
      </c>
      <c r="C1432" s="10" t="str">
        <f t="shared" si="177"/>
        <v/>
      </c>
      <c r="D1432" s="10" t="str">
        <f t="shared" si="178"/>
        <v/>
      </c>
      <c r="E1432" s="11" t="str">
        <f t="shared" si="179"/>
        <v/>
      </c>
      <c r="F1432" s="12" t="str">
        <f t="shared" si="180"/>
        <v/>
      </c>
      <c r="G1432" s="13" t="str">
        <f t="shared" si="181"/>
        <v/>
      </c>
      <c r="H1432" s="13" t="str">
        <f t="shared" si="182"/>
        <v/>
      </c>
      <c r="I1432" s="14" t="str">
        <f t="shared" si="183"/>
        <v/>
      </c>
      <c r="L1432" t="str">
        <f>IFERROR(MATCH($C$5&amp;"|"&amp;RIGHT("000000"&amp;1416,6),LdgRankKeyA,0),"")</f>
        <v/>
      </c>
      <c r="M1432" t="str">
        <f>IFERROR(MATCH($C$5&amp;"|"&amp;RIGHT("000000"&amp;1416,6),LdgRankKeyB,0),"")</f>
        <v/>
      </c>
    </row>
    <row r="1433" spans="1:13" x14ac:dyDescent="0.2">
      <c r="A1433" s="3">
        <v>1417</v>
      </c>
      <c r="B1433" s="4" t="str">
        <f t="shared" si="176"/>
        <v/>
      </c>
      <c r="C1433" s="4" t="str">
        <f t="shared" si="177"/>
        <v/>
      </c>
      <c r="D1433" s="4" t="str">
        <f t="shared" si="178"/>
        <v/>
      </c>
      <c r="E1433" s="5" t="str">
        <f t="shared" si="179"/>
        <v/>
      </c>
      <c r="F1433" s="6" t="str">
        <f t="shared" si="180"/>
        <v/>
      </c>
      <c r="G1433" s="7" t="str">
        <f t="shared" si="181"/>
        <v/>
      </c>
      <c r="H1433" s="7" t="str">
        <f t="shared" si="182"/>
        <v/>
      </c>
      <c r="I1433" s="8" t="str">
        <f t="shared" si="183"/>
        <v/>
      </c>
      <c r="L1433" t="str">
        <f>IFERROR(MATCH($C$5&amp;"|"&amp;RIGHT("000000"&amp;1417,6),LdgRankKeyA,0),"")</f>
        <v/>
      </c>
      <c r="M1433" t="str">
        <f>IFERROR(MATCH($C$5&amp;"|"&amp;RIGHT("000000"&amp;1417,6),LdgRankKeyB,0),"")</f>
        <v/>
      </c>
    </row>
    <row r="1434" spans="1:13" x14ac:dyDescent="0.2">
      <c r="A1434" s="9">
        <v>1418</v>
      </c>
      <c r="B1434" s="10" t="str">
        <f t="shared" si="176"/>
        <v/>
      </c>
      <c r="C1434" s="10" t="str">
        <f t="shared" si="177"/>
        <v/>
      </c>
      <c r="D1434" s="10" t="str">
        <f t="shared" si="178"/>
        <v/>
      </c>
      <c r="E1434" s="11" t="str">
        <f t="shared" si="179"/>
        <v/>
      </c>
      <c r="F1434" s="12" t="str">
        <f t="shared" si="180"/>
        <v/>
      </c>
      <c r="G1434" s="13" t="str">
        <f t="shared" si="181"/>
        <v/>
      </c>
      <c r="H1434" s="13" t="str">
        <f t="shared" si="182"/>
        <v/>
      </c>
      <c r="I1434" s="14" t="str">
        <f t="shared" si="183"/>
        <v/>
      </c>
      <c r="L1434" t="str">
        <f>IFERROR(MATCH($C$5&amp;"|"&amp;RIGHT("000000"&amp;1418,6),LdgRankKeyA,0),"")</f>
        <v/>
      </c>
      <c r="M1434" t="str">
        <f>IFERROR(MATCH($C$5&amp;"|"&amp;RIGHT("000000"&amp;1418,6),LdgRankKeyB,0),"")</f>
        <v/>
      </c>
    </row>
    <row r="1435" spans="1:13" x14ac:dyDescent="0.2">
      <c r="A1435" s="3">
        <v>1419</v>
      </c>
      <c r="B1435" s="4" t="str">
        <f t="shared" si="176"/>
        <v/>
      </c>
      <c r="C1435" s="4" t="str">
        <f t="shared" si="177"/>
        <v/>
      </c>
      <c r="D1435" s="4" t="str">
        <f t="shared" si="178"/>
        <v/>
      </c>
      <c r="E1435" s="5" t="str">
        <f t="shared" si="179"/>
        <v/>
      </c>
      <c r="F1435" s="6" t="str">
        <f t="shared" si="180"/>
        <v/>
      </c>
      <c r="G1435" s="7" t="str">
        <f t="shared" si="181"/>
        <v/>
      </c>
      <c r="H1435" s="7" t="str">
        <f t="shared" si="182"/>
        <v/>
      </c>
      <c r="I1435" s="8" t="str">
        <f t="shared" si="183"/>
        <v/>
      </c>
      <c r="L1435" t="str">
        <f>IFERROR(MATCH($C$5&amp;"|"&amp;RIGHT("000000"&amp;1419,6),LdgRankKeyA,0),"")</f>
        <v/>
      </c>
      <c r="M1435" t="str">
        <f>IFERROR(MATCH($C$5&amp;"|"&amp;RIGHT("000000"&amp;1419,6),LdgRankKeyB,0),"")</f>
        <v/>
      </c>
    </row>
    <row r="1436" spans="1:13" x14ac:dyDescent="0.2">
      <c r="A1436" s="9">
        <v>1420</v>
      </c>
      <c r="B1436" s="10" t="str">
        <f t="shared" si="176"/>
        <v/>
      </c>
      <c r="C1436" s="10" t="str">
        <f t="shared" si="177"/>
        <v/>
      </c>
      <c r="D1436" s="10" t="str">
        <f t="shared" si="178"/>
        <v/>
      </c>
      <c r="E1436" s="11" t="str">
        <f t="shared" si="179"/>
        <v/>
      </c>
      <c r="F1436" s="12" t="str">
        <f t="shared" si="180"/>
        <v/>
      </c>
      <c r="G1436" s="13" t="str">
        <f t="shared" si="181"/>
        <v/>
      </c>
      <c r="H1436" s="13" t="str">
        <f t="shared" si="182"/>
        <v/>
      </c>
      <c r="I1436" s="14" t="str">
        <f t="shared" si="183"/>
        <v/>
      </c>
      <c r="L1436" t="str">
        <f>IFERROR(MATCH($C$5&amp;"|"&amp;RIGHT("000000"&amp;1420,6),LdgRankKeyA,0),"")</f>
        <v/>
      </c>
      <c r="M1436" t="str">
        <f>IFERROR(MATCH($C$5&amp;"|"&amp;RIGHT("000000"&amp;1420,6),LdgRankKeyB,0),"")</f>
        <v/>
      </c>
    </row>
    <row r="1437" spans="1:13" x14ac:dyDescent="0.2">
      <c r="A1437" s="3">
        <v>1421</v>
      </c>
      <c r="B1437" s="4" t="str">
        <f t="shared" si="176"/>
        <v/>
      </c>
      <c r="C1437" s="4" t="str">
        <f t="shared" si="177"/>
        <v/>
      </c>
      <c r="D1437" s="4" t="str">
        <f t="shared" si="178"/>
        <v/>
      </c>
      <c r="E1437" s="5" t="str">
        <f t="shared" si="179"/>
        <v/>
      </c>
      <c r="F1437" s="6" t="str">
        <f t="shared" si="180"/>
        <v/>
      </c>
      <c r="G1437" s="7" t="str">
        <f t="shared" si="181"/>
        <v/>
      </c>
      <c r="H1437" s="7" t="str">
        <f t="shared" si="182"/>
        <v/>
      </c>
      <c r="I1437" s="8" t="str">
        <f t="shared" si="183"/>
        <v/>
      </c>
      <c r="L1437" t="str">
        <f>IFERROR(MATCH($C$5&amp;"|"&amp;RIGHT("000000"&amp;1421,6),LdgRankKeyA,0),"")</f>
        <v/>
      </c>
      <c r="M1437" t="str">
        <f>IFERROR(MATCH($C$5&amp;"|"&amp;RIGHT("000000"&amp;1421,6),LdgRankKeyB,0),"")</f>
        <v/>
      </c>
    </row>
    <row r="1438" spans="1:13" x14ac:dyDescent="0.2">
      <c r="A1438" s="9">
        <v>1422</v>
      </c>
      <c r="B1438" s="10" t="str">
        <f t="shared" si="176"/>
        <v/>
      </c>
      <c r="C1438" s="10" t="str">
        <f t="shared" si="177"/>
        <v/>
      </c>
      <c r="D1438" s="10" t="str">
        <f t="shared" si="178"/>
        <v/>
      </c>
      <c r="E1438" s="11" t="str">
        <f t="shared" si="179"/>
        <v/>
      </c>
      <c r="F1438" s="12" t="str">
        <f t="shared" si="180"/>
        <v/>
      </c>
      <c r="G1438" s="13" t="str">
        <f t="shared" si="181"/>
        <v/>
      </c>
      <c r="H1438" s="13" t="str">
        <f t="shared" si="182"/>
        <v/>
      </c>
      <c r="I1438" s="14" t="str">
        <f t="shared" si="183"/>
        <v/>
      </c>
      <c r="L1438" t="str">
        <f>IFERROR(MATCH($C$5&amp;"|"&amp;RIGHT("000000"&amp;1422,6),LdgRankKeyA,0),"")</f>
        <v/>
      </c>
      <c r="M1438" t="str">
        <f>IFERROR(MATCH($C$5&amp;"|"&amp;RIGHT("000000"&amp;1422,6),LdgRankKeyB,0),"")</f>
        <v/>
      </c>
    </row>
    <row r="1439" spans="1:13" x14ac:dyDescent="0.2">
      <c r="A1439" s="3">
        <v>1423</v>
      </c>
      <c r="B1439" s="4" t="str">
        <f t="shared" si="176"/>
        <v/>
      </c>
      <c r="C1439" s="4" t="str">
        <f t="shared" si="177"/>
        <v/>
      </c>
      <c r="D1439" s="4" t="str">
        <f t="shared" si="178"/>
        <v/>
      </c>
      <c r="E1439" s="5" t="str">
        <f t="shared" si="179"/>
        <v/>
      </c>
      <c r="F1439" s="6" t="str">
        <f t="shared" si="180"/>
        <v/>
      </c>
      <c r="G1439" s="7" t="str">
        <f t="shared" si="181"/>
        <v/>
      </c>
      <c r="H1439" s="7" t="str">
        <f t="shared" si="182"/>
        <v/>
      </c>
      <c r="I1439" s="8" t="str">
        <f t="shared" si="183"/>
        <v/>
      </c>
      <c r="L1439" t="str">
        <f>IFERROR(MATCH($C$5&amp;"|"&amp;RIGHT("000000"&amp;1423,6),LdgRankKeyA,0),"")</f>
        <v/>
      </c>
      <c r="M1439" t="str">
        <f>IFERROR(MATCH($C$5&amp;"|"&amp;RIGHT("000000"&amp;1423,6),LdgRankKeyB,0),"")</f>
        <v/>
      </c>
    </row>
    <row r="1440" spans="1:13" x14ac:dyDescent="0.2">
      <c r="A1440" s="9">
        <v>1424</v>
      </c>
      <c r="B1440" s="10" t="str">
        <f t="shared" si="176"/>
        <v/>
      </c>
      <c r="C1440" s="10" t="str">
        <f t="shared" si="177"/>
        <v/>
      </c>
      <c r="D1440" s="10" t="str">
        <f t="shared" si="178"/>
        <v/>
      </c>
      <c r="E1440" s="11" t="str">
        <f t="shared" si="179"/>
        <v/>
      </c>
      <c r="F1440" s="12" t="str">
        <f t="shared" si="180"/>
        <v/>
      </c>
      <c r="G1440" s="13" t="str">
        <f t="shared" si="181"/>
        <v/>
      </c>
      <c r="H1440" s="13" t="str">
        <f t="shared" si="182"/>
        <v/>
      </c>
      <c r="I1440" s="14" t="str">
        <f t="shared" si="183"/>
        <v/>
      </c>
      <c r="L1440" t="str">
        <f>IFERROR(MATCH($C$5&amp;"|"&amp;RIGHT("000000"&amp;1424,6),LdgRankKeyA,0),"")</f>
        <v/>
      </c>
      <c r="M1440" t="str">
        <f>IFERROR(MATCH($C$5&amp;"|"&amp;RIGHT("000000"&amp;1424,6),LdgRankKeyB,0),"")</f>
        <v/>
      </c>
    </row>
    <row r="1441" spans="1:13" x14ac:dyDescent="0.2">
      <c r="A1441" s="3">
        <v>1425</v>
      </c>
      <c r="B1441" s="4" t="str">
        <f t="shared" si="176"/>
        <v/>
      </c>
      <c r="C1441" s="4" t="str">
        <f t="shared" si="177"/>
        <v/>
      </c>
      <c r="D1441" s="4" t="str">
        <f t="shared" si="178"/>
        <v/>
      </c>
      <c r="E1441" s="5" t="str">
        <f t="shared" si="179"/>
        <v/>
      </c>
      <c r="F1441" s="6" t="str">
        <f t="shared" si="180"/>
        <v/>
      </c>
      <c r="G1441" s="7" t="str">
        <f t="shared" si="181"/>
        <v/>
      </c>
      <c r="H1441" s="7" t="str">
        <f t="shared" si="182"/>
        <v/>
      </c>
      <c r="I1441" s="8" t="str">
        <f t="shared" si="183"/>
        <v/>
      </c>
      <c r="L1441" t="str">
        <f>IFERROR(MATCH($C$5&amp;"|"&amp;RIGHT("000000"&amp;1425,6),LdgRankKeyA,0),"")</f>
        <v/>
      </c>
      <c r="M1441" t="str">
        <f>IFERROR(MATCH($C$5&amp;"|"&amp;RIGHT("000000"&amp;1425,6),LdgRankKeyB,0),"")</f>
        <v/>
      </c>
    </row>
    <row r="1442" spans="1:13" x14ac:dyDescent="0.2">
      <c r="A1442" s="9">
        <v>1426</v>
      </c>
      <c r="B1442" s="10" t="str">
        <f t="shared" si="176"/>
        <v/>
      </c>
      <c r="C1442" s="10" t="str">
        <f t="shared" si="177"/>
        <v/>
      </c>
      <c r="D1442" s="10" t="str">
        <f t="shared" si="178"/>
        <v/>
      </c>
      <c r="E1442" s="11" t="str">
        <f t="shared" si="179"/>
        <v/>
      </c>
      <c r="F1442" s="12" t="str">
        <f t="shared" si="180"/>
        <v/>
      </c>
      <c r="G1442" s="13" t="str">
        <f t="shared" si="181"/>
        <v/>
      </c>
      <c r="H1442" s="13" t="str">
        <f t="shared" si="182"/>
        <v/>
      </c>
      <c r="I1442" s="14" t="str">
        <f t="shared" si="183"/>
        <v/>
      </c>
      <c r="L1442" t="str">
        <f>IFERROR(MATCH($C$5&amp;"|"&amp;RIGHT("000000"&amp;1426,6),LdgRankKeyA,0),"")</f>
        <v/>
      </c>
      <c r="M1442" t="str">
        <f>IFERROR(MATCH($C$5&amp;"|"&amp;RIGHT("000000"&amp;1426,6),LdgRankKeyB,0),"")</f>
        <v/>
      </c>
    </row>
    <row r="1443" spans="1:13" x14ac:dyDescent="0.2">
      <c r="A1443" s="3">
        <v>1427</v>
      </c>
      <c r="B1443" s="4" t="str">
        <f t="shared" si="176"/>
        <v/>
      </c>
      <c r="C1443" s="4" t="str">
        <f t="shared" si="177"/>
        <v/>
      </c>
      <c r="D1443" s="4" t="str">
        <f t="shared" si="178"/>
        <v/>
      </c>
      <c r="E1443" s="5" t="str">
        <f t="shared" si="179"/>
        <v/>
      </c>
      <c r="F1443" s="6" t="str">
        <f t="shared" si="180"/>
        <v/>
      </c>
      <c r="G1443" s="7" t="str">
        <f t="shared" si="181"/>
        <v/>
      </c>
      <c r="H1443" s="7" t="str">
        <f t="shared" si="182"/>
        <v/>
      </c>
      <c r="I1443" s="8" t="str">
        <f t="shared" si="183"/>
        <v/>
      </c>
      <c r="L1443" t="str">
        <f>IFERROR(MATCH($C$5&amp;"|"&amp;RIGHT("000000"&amp;1427,6),LdgRankKeyA,0),"")</f>
        <v/>
      </c>
      <c r="M1443" t="str">
        <f>IFERROR(MATCH($C$5&amp;"|"&amp;RIGHT("000000"&amp;1427,6),LdgRankKeyB,0),"")</f>
        <v/>
      </c>
    </row>
    <row r="1444" spans="1:13" x14ac:dyDescent="0.2">
      <c r="A1444" s="9">
        <v>1428</v>
      </c>
      <c r="B1444" s="10" t="str">
        <f t="shared" si="176"/>
        <v/>
      </c>
      <c r="C1444" s="10" t="str">
        <f t="shared" si="177"/>
        <v/>
      </c>
      <c r="D1444" s="10" t="str">
        <f t="shared" si="178"/>
        <v/>
      </c>
      <c r="E1444" s="11" t="str">
        <f t="shared" si="179"/>
        <v/>
      </c>
      <c r="F1444" s="12" t="str">
        <f t="shared" si="180"/>
        <v/>
      </c>
      <c r="G1444" s="13" t="str">
        <f t="shared" si="181"/>
        <v/>
      </c>
      <c r="H1444" s="13" t="str">
        <f t="shared" si="182"/>
        <v/>
      </c>
      <c r="I1444" s="14" t="str">
        <f t="shared" si="183"/>
        <v/>
      </c>
      <c r="L1444" t="str">
        <f>IFERROR(MATCH($C$5&amp;"|"&amp;RIGHT("000000"&amp;1428,6),LdgRankKeyA,0),"")</f>
        <v/>
      </c>
      <c r="M1444" t="str">
        <f>IFERROR(MATCH($C$5&amp;"|"&amp;RIGHT("000000"&amp;1428,6),LdgRankKeyB,0),"")</f>
        <v/>
      </c>
    </row>
    <row r="1445" spans="1:13" x14ac:dyDescent="0.2">
      <c r="A1445" s="3">
        <v>1429</v>
      </c>
      <c r="B1445" s="4" t="str">
        <f t="shared" si="176"/>
        <v/>
      </c>
      <c r="C1445" s="4" t="str">
        <f t="shared" si="177"/>
        <v/>
      </c>
      <c r="D1445" s="4" t="str">
        <f t="shared" si="178"/>
        <v/>
      </c>
      <c r="E1445" s="5" t="str">
        <f t="shared" si="179"/>
        <v/>
      </c>
      <c r="F1445" s="6" t="str">
        <f t="shared" si="180"/>
        <v/>
      </c>
      <c r="G1445" s="7" t="str">
        <f t="shared" si="181"/>
        <v/>
      </c>
      <c r="H1445" s="7" t="str">
        <f t="shared" si="182"/>
        <v/>
      </c>
      <c r="I1445" s="8" t="str">
        <f t="shared" si="183"/>
        <v/>
      </c>
      <c r="L1445" t="str">
        <f>IFERROR(MATCH($C$5&amp;"|"&amp;RIGHT("000000"&amp;1429,6),LdgRankKeyA,0),"")</f>
        <v/>
      </c>
      <c r="M1445" t="str">
        <f>IFERROR(MATCH($C$5&amp;"|"&amp;RIGHT("000000"&amp;1429,6),LdgRankKeyB,0),"")</f>
        <v/>
      </c>
    </row>
    <row r="1446" spans="1:13" x14ac:dyDescent="0.2">
      <c r="A1446" s="9">
        <v>1430</v>
      </c>
      <c r="B1446" s="10" t="str">
        <f t="shared" si="176"/>
        <v/>
      </c>
      <c r="C1446" s="10" t="str">
        <f t="shared" si="177"/>
        <v/>
      </c>
      <c r="D1446" s="10" t="str">
        <f t="shared" si="178"/>
        <v/>
      </c>
      <c r="E1446" s="11" t="str">
        <f t="shared" si="179"/>
        <v/>
      </c>
      <c r="F1446" s="12" t="str">
        <f t="shared" si="180"/>
        <v/>
      </c>
      <c r="G1446" s="13" t="str">
        <f t="shared" si="181"/>
        <v/>
      </c>
      <c r="H1446" s="13" t="str">
        <f t="shared" si="182"/>
        <v/>
      </c>
      <c r="I1446" s="14" t="str">
        <f t="shared" si="183"/>
        <v/>
      </c>
      <c r="L1446" t="str">
        <f>IFERROR(MATCH($C$5&amp;"|"&amp;RIGHT("000000"&amp;1430,6),LdgRankKeyA,0),"")</f>
        <v/>
      </c>
      <c r="M1446" t="str">
        <f>IFERROR(MATCH($C$5&amp;"|"&amp;RIGHT("000000"&amp;1430,6),LdgRankKeyB,0),"")</f>
        <v/>
      </c>
    </row>
    <row r="1447" spans="1:13" x14ac:dyDescent="0.2">
      <c r="A1447" s="3">
        <v>1431</v>
      </c>
      <c r="B1447" s="4" t="str">
        <f t="shared" si="176"/>
        <v/>
      </c>
      <c r="C1447" s="4" t="str">
        <f t="shared" si="177"/>
        <v/>
      </c>
      <c r="D1447" s="4" t="str">
        <f t="shared" si="178"/>
        <v/>
      </c>
      <c r="E1447" s="5" t="str">
        <f t="shared" si="179"/>
        <v/>
      </c>
      <c r="F1447" s="6" t="str">
        <f t="shared" si="180"/>
        <v/>
      </c>
      <c r="G1447" s="7" t="str">
        <f t="shared" si="181"/>
        <v/>
      </c>
      <c r="H1447" s="7" t="str">
        <f t="shared" si="182"/>
        <v/>
      </c>
      <c r="I1447" s="8" t="str">
        <f t="shared" si="183"/>
        <v/>
      </c>
      <c r="L1447" t="str">
        <f>IFERROR(MATCH($C$5&amp;"|"&amp;RIGHT("000000"&amp;1431,6),LdgRankKeyA,0),"")</f>
        <v/>
      </c>
      <c r="M1447" t="str">
        <f>IFERROR(MATCH($C$5&amp;"|"&amp;RIGHT("000000"&amp;1431,6),LdgRankKeyB,0),"")</f>
        <v/>
      </c>
    </row>
    <row r="1448" spans="1:13" x14ac:dyDescent="0.2">
      <c r="A1448" s="9">
        <v>1432</v>
      </c>
      <c r="B1448" s="10" t="str">
        <f t="shared" si="176"/>
        <v/>
      </c>
      <c r="C1448" s="10" t="str">
        <f t="shared" si="177"/>
        <v/>
      </c>
      <c r="D1448" s="10" t="str">
        <f t="shared" si="178"/>
        <v/>
      </c>
      <c r="E1448" s="11" t="str">
        <f t="shared" si="179"/>
        <v/>
      </c>
      <c r="F1448" s="12" t="str">
        <f t="shared" si="180"/>
        <v/>
      </c>
      <c r="G1448" s="13" t="str">
        <f t="shared" si="181"/>
        <v/>
      </c>
      <c r="H1448" s="13" t="str">
        <f t="shared" si="182"/>
        <v/>
      </c>
      <c r="I1448" s="14" t="str">
        <f t="shared" si="183"/>
        <v/>
      </c>
      <c r="L1448" t="str">
        <f>IFERROR(MATCH($C$5&amp;"|"&amp;RIGHT("000000"&amp;1432,6),LdgRankKeyA,0),"")</f>
        <v/>
      </c>
      <c r="M1448" t="str">
        <f>IFERROR(MATCH($C$5&amp;"|"&amp;RIGHT("000000"&amp;1432,6),LdgRankKeyB,0),"")</f>
        <v/>
      </c>
    </row>
    <row r="1449" spans="1:13" x14ac:dyDescent="0.2">
      <c r="A1449" s="3">
        <v>1433</v>
      </c>
      <c r="B1449" s="4" t="str">
        <f t="shared" si="176"/>
        <v/>
      </c>
      <c r="C1449" s="4" t="str">
        <f t="shared" si="177"/>
        <v/>
      </c>
      <c r="D1449" s="4" t="str">
        <f t="shared" si="178"/>
        <v/>
      </c>
      <c r="E1449" s="5" t="str">
        <f t="shared" si="179"/>
        <v/>
      </c>
      <c r="F1449" s="6" t="str">
        <f t="shared" si="180"/>
        <v/>
      </c>
      <c r="G1449" s="7" t="str">
        <f t="shared" si="181"/>
        <v/>
      </c>
      <c r="H1449" s="7" t="str">
        <f t="shared" si="182"/>
        <v/>
      </c>
      <c r="I1449" s="8" t="str">
        <f t="shared" si="183"/>
        <v/>
      </c>
      <c r="L1449" t="str">
        <f>IFERROR(MATCH($C$5&amp;"|"&amp;RIGHT("000000"&amp;1433,6),LdgRankKeyA,0),"")</f>
        <v/>
      </c>
      <c r="M1449" t="str">
        <f>IFERROR(MATCH($C$5&amp;"|"&amp;RIGHT("000000"&amp;1433,6),LdgRankKeyB,0),"")</f>
        <v/>
      </c>
    </row>
    <row r="1450" spans="1:13" x14ac:dyDescent="0.2">
      <c r="A1450" s="9">
        <v>1434</v>
      </c>
      <c r="B1450" s="10" t="str">
        <f t="shared" si="176"/>
        <v/>
      </c>
      <c r="C1450" s="10" t="str">
        <f t="shared" si="177"/>
        <v/>
      </c>
      <c r="D1450" s="10" t="str">
        <f t="shared" si="178"/>
        <v/>
      </c>
      <c r="E1450" s="11" t="str">
        <f t="shared" si="179"/>
        <v/>
      </c>
      <c r="F1450" s="12" t="str">
        <f t="shared" si="180"/>
        <v/>
      </c>
      <c r="G1450" s="13" t="str">
        <f t="shared" si="181"/>
        <v/>
      </c>
      <c r="H1450" s="13" t="str">
        <f t="shared" si="182"/>
        <v/>
      </c>
      <c r="I1450" s="14" t="str">
        <f t="shared" si="183"/>
        <v/>
      </c>
      <c r="L1450" t="str">
        <f>IFERROR(MATCH($C$5&amp;"|"&amp;RIGHT("000000"&amp;1434,6),LdgRankKeyA,0),"")</f>
        <v/>
      </c>
      <c r="M1450" t="str">
        <f>IFERROR(MATCH($C$5&amp;"|"&amp;RIGHT("000000"&amp;1434,6),LdgRankKeyB,0),"")</f>
        <v/>
      </c>
    </row>
    <row r="1451" spans="1:13" x14ac:dyDescent="0.2">
      <c r="A1451" s="3">
        <v>1435</v>
      </c>
      <c r="B1451" s="4" t="str">
        <f t="shared" si="176"/>
        <v/>
      </c>
      <c r="C1451" s="4" t="str">
        <f t="shared" si="177"/>
        <v/>
      </c>
      <c r="D1451" s="4" t="str">
        <f t="shared" si="178"/>
        <v/>
      </c>
      <c r="E1451" s="5" t="str">
        <f t="shared" si="179"/>
        <v/>
      </c>
      <c r="F1451" s="6" t="str">
        <f t="shared" si="180"/>
        <v/>
      </c>
      <c r="G1451" s="7" t="str">
        <f t="shared" si="181"/>
        <v/>
      </c>
      <c r="H1451" s="7" t="str">
        <f t="shared" si="182"/>
        <v/>
      </c>
      <c r="I1451" s="8" t="str">
        <f t="shared" si="183"/>
        <v/>
      </c>
      <c r="L1451" t="str">
        <f>IFERROR(MATCH($C$5&amp;"|"&amp;RIGHT("000000"&amp;1435,6),LdgRankKeyA,0),"")</f>
        <v/>
      </c>
      <c r="M1451" t="str">
        <f>IFERROR(MATCH($C$5&amp;"|"&amp;RIGHT("000000"&amp;1435,6),LdgRankKeyB,0),"")</f>
        <v/>
      </c>
    </row>
    <row r="1452" spans="1:13" x14ac:dyDescent="0.2">
      <c r="A1452" s="9">
        <v>1436</v>
      </c>
      <c r="B1452" s="10" t="str">
        <f t="shared" si="176"/>
        <v/>
      </c>
      <c r="C1452" s="10" t="str">
        <f t="shared" si="177"/>
        <v/>
      </c>
      <c r="D1452" s="10" t="str">
        <f t="shared" si="178"/>
        <v/>
      </c>
      <c r="E1452" s="11" t="str">
        <f t="shared" si="179"/>
        <v/>
      </c>
      <c r="F1452" s="12" t="str">
        <f t="shared" si="180"/>
        <v/>
      </c>
      <c r="G1452" s="13" t="str">
        <f t="shared" si="181"/>
        <v/>
      </c>
      <c r="H1452" s="13" t="str">
        <f t="shared" si="182"/>
        <v/>
      </c>
      <c r="I1452" s="14" t="str">
        <f t="shared" si="183"/>
        <v/>
      </c>
      <c r="L1452" t="str">
        <f>IFERROR(MATCH($C$5&amp;"|"&amp;RIGHT("000000"&amp;1436,6),LdgRankKeyA,0),"")</f>
        <v/>
      </c>
      <c r="M1452" t="str">
        <f>IFERROR(MATCH($C$5&amp;"|"&amp;RIGHT("000000"&amp;1436,6),LdgRankKeyB,0),"")</f>
        <v/>
      </c>
    </row>
    <row r="1453" spans="1:13" x14ac:dyDescent="0.2">
      <c r="A1453" s="3">
        <v>1437</v>
      </c>
      <c r="B1453" s="4" t="str">
        <f t="shared" si="176"/>
        <v/>
      </c>
      <c r="C1453" s="4" t="str">
        <f t="shared" si="177"/>
        <v/>
      </c>
      <c r="D1453" s="4" t="str">
        <f t="shared" si="178"/>
        <v/>
      </c>
      <c r="E1453" s="5" t="str">
        <f t="shared" si="179"/>
        <v/>
      </c>
      <c r="F1453" s="6" t="str">
        <f t="shared" si="180"/>
        <v/>
      </c>
      <c r="G1453" s="7" t="str">
        <f t="shared" si="181"/>
        <v/>
      </c>
      <c r="H1453" s="7" t="str">
        <f t="shared" si="182"/>
        <v/>
      </c>
      <c r="I1453" s="8" t="str">
        <f t="shared" si="183"/>
        <v/>
      </c>
      <c r="L1453" t="str">
        <f>IFERROR(MATCH($C$5&amp;"|"&amp;RIGHT("000000"&amp;1437,6),LdgRankKeyA,0),"")</f>
        <v/>
      </c>
      <c r="M1453" t="str">
        <f>IFERROR(MATCH($C$5&amp;"|"&amp;RIGHT("000000"&amp;1437,6),LdgRankKeyB,0),"")</f>
        <v/>
      </c>
    </row>
    <row r="1454" spans="1:13" x14ac:dyDescent="0.2">
      <c r="A1454" s="9">
        <v>1438</v>
      </c>
      <c r="B1454" s="10" t="str">
        <f t="shared" si="176"/>
        <v/>
      </c>
      <c r="C1454" s="10" t="str">
        <f t="shared" si="177"/>
        <v/>
      </c>
      <c r="D1454" s="10" t="str">
        <f t="shared" si="178"/>
        <v/>
      </c>
      <c r="E1454" s="11" t="str">
        <f t="shared" si="179"/>
        <v/>
      </c>
      <c r="F1454" s="12" t="str">
        <f t="shared" si="180"/>
        <v/>
      </c>
      <c r="G1454" s="13" t="str">
        <f t="shared" si="181"/>
        <v/>
      </c>
      <c r="H1454" s="13" t="str">
        <f t="shared" si="182"/>
        <v/>
      </c>
      <c r="I1454" s="14" t="str">
        <f t="shared" si="183"/>
        <v/>
      </c>
      <c r="L1454" t="str">
        <f>IFERROR(MATCH($C$5&amp;"|"&amp;RIGHT("000000"&amp;1438,6),LdgRankKeyA,0),"")</f>
        <v/>
      </c>
      <c r="M1454" t="str">
        <f>IFERROR(MATCH($C$5&amp;"|"&amp;RIGHT("000000"&amp;1438,6),LdgRankKeyB,0),"")</f>
        <v/>
      </c>
    </row>
    <row r="1455" spans="1:13" x14ac:dyDescent="0.2">
      <c r="A1455" s="3">
        <v>1439</v>
      </c>
      <c r="B1455" s="4" t="str">
        <f t="shared" si="176"/>
        <v/>
      </c>
      <c r="C1455" s="4" t="str">
        <f t="shared" si="177"/>
        <v/>
      </c>
      <c r="D1455" s="4" t="str">
        <f t="shared" si="178"/>
        <v/>
      </c>
      <c r="E1455" s="5" t="str">
        <f t="shared" si="179"/>
        <v/>
      </c>
      <c r="F1455" s="6" t="str">
        <f t="shared" si="180"/>
        <v/>
      </c>
      <c r="G1455" s="7" t="str">
        <f t="shared" si="181"/>
        <v/>
      </c>
      <c r="H1455" s="7" t="str">
        <f t="shared" si="182"/>
        <v/>
      </c>
      <c r="I1455" s="8" t="str">
        <f t="shared" si="183"/>
        <v/>
      </c>
      <c r="L1455" t="str">
        <f>IFERROR(MATCH($C$5&amp;"|"&amp;RIGHT("000000"&amp;1439,6),LdgRankKeyA,0),"")</f>
        <v/>
      </c>
      <c r="M1455" t="str">
        <f>IFERROR(MATCH($C$5&amp;"|"&amp;RIGHT("000000"&amp;1439,6),LdgRankKeyB,0),"")</f>
        <v/>
      </c>
    </row>
    <row r="1456" spans="1:13" x14ac:dyDescent="0.2">
      <c r="A1456" s="9">
        <v>1440</v>
      </c>
      <c r="B1456" s="10" t="str">
        <f t="shared" si="176"/>
        <v/>
      </c>
      <c r="C1456" s="10" t="str">
        <f t="shared" si="177"/>
        <v/>
      </c>
      <c r="D1456" s="10" t="str">
        <f t="shared" si="178"/>
        <v/>
      </c>
      <c r="E1456" s="11" t="str">
        <f t="shared" si="179"/>
        <v/>
      </c>
      <c r="F1456" s="12" t="str">
        <f t="shared" si="180"/>
        <v/>
      </c>
      <c r="G1456" s="13" t="str">
        <f t="shared" si="181"/>
        <v/>
      </c>
      <c r="H1456" s="13" t="str">
        <f t="shared" si="182"/>
        <v/>
      </c>
      <c r="I1456" s="14" t="str">
        <f t="shared" si="183"/>
        <v/>
      </c>
      <c r="L1456" t="str">
        <f>IFERROR(MATCH($C$5&amp;"|"&amp;RIGHT("000000"&amp;1440,6),LdgRankKeyA,0),"")</f>
        <v/>
      </c>
      <c r="M1456" t="str">
        <f>IFERROR(MATCH($C$5&amp;"|"&amp;RIGHT("000000"&amp;1440,6),LdgRankKeyB,0),"")</f>
        <v/>
      </c>
    </row>
    <row r="1457" spans="1:13" x14ac:dyDescent="0.2">
      <c r="A1457" s="3">
        <v>1441</v>
      </c>
      <c r="B1457" s="4" t="str">
        <f t="shared" si="176"/>
        <v/>
      </c>
      <c r="C1457" s="4" t="str">
        <f t="shared" si="177"/>
        <v/>
      </c>
      <c r="D1457" s="4" t="str">
        <f t="shared" si="178"/>
        <v/>
      </c>
      <c r="E1457" s="5" t="str">
        <f t="shared" si="179"/>
        <v/>
      </c>
      <c r="F1457" s="6" t="str">
        <f t="shared" si="180"/>
        <v/>
      </c>
      <c r="G1457" s="7" t="str">
        <f t="shared" si="181"/>
        <v/>
      </c>
      <c r="H1457" s="7" t="str">
        <f t="shared" si="182"/>
        <v/>
      </c>
      <c r="I1457" s="8" t="str">
        <f t="shared" si="183"/>
        <v/>
      </c>
      <c r="L1457" t="str">
        <f>IFERROR(MATCH($C$5&amp;"|"&amp;RIGHT("000000"&amp;1441,6),LdgRankKeyA,0),"")</f>
        <v/>
      </c>
      <c r="M1457" t="str">
        <f>IFERROR(MATCH($C$5&amp;"|"&amp;RIGHT("000000"&amp;1441,6),LdgRankKeyB,0),"")</f>
        <v/>
      </c>
    </row>
    <row r="1458" spans="1:13" x14ac:dyDescent="0.2">
      <c r="A1458" s="9">
        <v>1442</v>
      </c>
      <c r="B1458" s="10" t="str">
        <f t="shared" si="176"/>
        <v/>
      </c>
      <c r="C1458" s="10" t="str">
        <f t="shared" si="177"/>
        <v/>
      </c>
      <c r="D1458" s="10" t="str">
        <f t="shared" si="178"/>
        <v/>
      </c>
      <c r="E1458" s="11" t="str">
        <f t="shared" si="179"/>
        <v/>
      </c>
      <c r="F1458" s="12" t="str">
        <f t="shared" si="180"/>
        <v/>
      </c>
      <c r="G1458" s="13" t="str">
        <f t="shared" si="181"/>
        <v/>
      </c>
      <c r="H1458" s="13" t="str">
        <f t="shared" si="182"/>
        <v/>
      </c>
      <c r="I1458" s="14" t="str">
        <f t="shared" si="183"/>
        <v/>
      </c>
      <c r="L1458" t="str">
        <f>IFERROR(MATCH($C$5&amp;"|"&amp;RIGHT("000000"&amp;1442,6),LdgRankKeyA,0),"")</f>
        <v/>
      </c>
      <c r="M1458" t="str">
        <f>IFERROR(MATCH($C$5&amp;"|"&amp;RIGHT("000000"&amp;1442,6),LdgRankKeyB,0),"")</f>
        <v/>
      </c>
    </row>
    <row r="1459" spans="1:13" x14ac:dyDescent="0.2">
      <c r="A1459" s="3">
        <v>1443</v>
      </c>
      <c r="B1459" s="4" t="str">
        <f t="shared" si="176"/>
        <v/>
      </c>
      <c r="C1459" s="4" t="str">
        <f t="shared" si="177"/>
        <v/>
      </c>
      <c r="D1459" s="4" t="str">
        <f t="shared" si="178"/>
        <v/>
      </c>
      <c r="E1459" s="5" t="str">
        <f t="shared" si="179"/>
        <v/>
      </c>
      <c r="F1459" s="6" t="str">
        <f t="shared" si="180"/>
        <v/>
      </c>
      <c r="G1459" s="7" t="str">
        <f t="shared" si="181"/>
        <v/>
      </c>
      <c r="H1459" s="7" t="str">
        <f t="shared" si="182"/>
        <v/>
      </c>
      <c r="I1459" s="8" t="str">
        <f t="shared" si="183"/>
        <v/>
      </c>
      <c r="L1459" t="str">
        <f>IFERROR(MATCH($C$5&amp;"|"&amp;RIGHT("000000"&amp;1443,6),LdgRankKeyA,0),"")</f>
        <v/>
      </c>
      <c r="M1459" t="str">
        <f>IFERROR(MATCH($C$5&amp;"|"&amp;RIGHT("000000"&amp;1443,6),LdgRankKeyB,0),"")</f>
        <v/>
      </c>
    </row>
    <row r="1460" spans="1:13" x14ac:dyDescent="0.2">
      <c r="A1460" s="9">
        <v>1444</v>
      </c>
      <c r="B1460" s="10" t="str">
        <f t="shared" si="176"/>
        <v/>
      </c>
      <c r="C1460" s="10" t="str">
        <f t="shared" si="177"/>
        <v/>
      </c>
      <c r="D1460" s="10" t="str">
        <f t="shared" si="178"/>
        <v/>
      </c>
      <c r="E1460" s="11" t="str">
        <f t="shared" si="179"/>
        <v/>
      </c>
      <c r="F1460" s="12" t="str">
        <f t="shared" si="180"/>
        <v/>
      </c>
      <c r="G1460" s="13" t="str">
        <f t="shared" si="181"/>
        <v/>
      </c>
      <c r="H1460" s="13" t="str">
        <f t="shared" si="182"/>
        <v/>
      </c>
      <c r="I1460" s="14" t="str">
        <f t="shared" si="183"/>
        <v/>
      </c>
      <c r="L1460" t="str">
        <f>IFERROR(MATCH($C$5&amp;"|"&amp;RIGHT("000000"&amp;1444,6),LdgRankKeyA,0),"")</f>
        <v/>
      </c>
      <c r="M1460" t="str">
        <f>IFERROR(MATCH($C$5&amp;"|"&amp;RIGHT("000000"&amp;1444,6),LdgRankKeyB,0),"")</f>
        <v/>
      </c>
    </row>
    <row r="1461" spans="1:13" x14ac:dyDescent="0.2">
      <c r="A1461" s="3">
        <v>1445</v>
      </c>
      <c r="B1461" s="4" t="str">
        <f t="shared" si="176"/>
        <v/>
      </c>
      <c r="C1461" s="4" t="str">
        <f t="shared" si="177"/>
        <v/>
      </c>
      <c r="D1461" s="4" t="str">
        <f t="shared" si="178"/>
        <v/>
      </c>
      <c r="E1461" s="5" t="str">
        <f t="shared" si="179"/>
        <v/>
      </c>
      <c r="F1461" s="6" t="str">
        <f t="shared" si="180"/>
        <v/>
      </c>
      <c r="G1461" s="7" t="str">
        <f t="shared" si="181"/>
        <v/>
      </c>
      <c r="H1461" s="7" t="str">
        <f t="shared" si="182"/>
        <v/>
      </c>
      <c r="I1461" s="8" t="str">
        <f t="shared" si="183"/>
        <v/>
      </c>
      <c r="L1461" t="str">
        <f>IFERROR(MATCH($C$5&amp;"|"&amp;RIGHT("000000"&amp;1445,6),LdgRankKeyA,0),"")</f>
        <v/>
      </c>
      <c r="M1461" t="str">
        <f>IFERROR(MATCH($C$5&amp;"|"&amp;RIGHT("000000"&amp;1445,6),LdgRankKeyB,0),"")</f>
        <v/>
      </c>
    </row>
    <row r="1462" spans="1:13" x14ac:dyDescent="0.2">
      <c r="A1462" s="9">
        <v>1446</v>
      </c>
      <c r="B1462" s="10" t="str">
        <f t="shared" si="176"/>
        <v/>
      </c>
      <c r="C1462" s="10" t="str">
        <f t="shared" si="177"/>
        <v/>
      </c>
      <c r="D1462" s="10" t="str">
        <f t="shared" si="178"/>
        <v/>
      </c>
      <c r="E1462" s="11" t="str">
        <f t="shared" si="179"/>
        <v/>
      </c>
      <c r="F1462" s="12" t="str">
        <f t="shared" si="180"/>
        <v/>
      </c>
      <c r="G1462" s="13" t="str">
        <f t="shared" si="181"/>
        <v/>
      </c>
      <c r="H1462" s="13" t="str">
        <f t="shared" si="182"/>
        <v/>
      </c>
      <c r="I1462" s="14" t="str">
        <f t="shared" si="183"/>
        <v/>
      </c>
      <c r="L1462" t="str">
        <f>IFERROR(MATCH($C$5&amp;"|"&amp;RIGHT("000000"&amp;1446,6),LdgRankKeyA,0),"")</f>
        <v/>
      </c>
      <c r="M1462" t="str">
        <f>IFERROR(MATCH($C$5&amp;"|"&amp;RIGHT("000000"&amp;1446,6),LdgRankKeyB,0),"")</f>
        <v/>
      </c>
    </row>
    <row r="1463" spans="1:13" x14ac:dyDescent="0.2">
      <c r="A1463" s="3">
        <v>1447</v>
      </c>
      <c r="B1463" s="4" t="str">
        <f t="shared" si="176"/>
        <v/>
      </c>
      <c r="C1463" s="4" t="str">
        <f t="shared" si="177"/>
        <v/>
      </c>
      <c r="D1463" s="4" t="str">
        <f t="shared" si="178"/>
        <v/>
      </c>
      <c r="E1463" s="5" t="str">
        <f t="shared" si="179"/>
        <v/>
      </c>
      <c r="F1463" s="6" t="str">
        <f t="shared" si="180"/>
        <v/>
      </c>
      <c r="G1463" s="7" t="str">
        <f t="shared" si="181"/>
        <v/>
      </c>
      <c r="H1463" s="7" t="str">
        <f t="shared" si="182"/>
        <v/>
      </c>
      <c r="I1463" s="8" t="str">
        <f t="shared" si="183"/>
        <v/>
      </c>
      <c r="L1463" t="str">
        <f>IFERROR(MATCH($C$5&amp;"|"&amp;RIGHT("000000"&amp;1447,6),LdgRankKeyA,0),"")</f>
        <v/>
      </c>
      <c r="M1463" t="str">
        <f>IFERROR(MATCH($C$5&amp;"|"&amp;RIGHT("000000"&amp;1447,6),LdgRankKeyB,0),"")</f>
        <v/>
      </c>
    </row>
    <row r="1464" spans="1:13" x14ac:dyDescent="0.2">
      <c r="A1464" s="9">
        <v>1448</v>
      </c>
      <c r="B1464" s="10" t="str">
        <f t="shared" si="176"/>
        <v/>
      </c>
      <c r="C1464" s="10" t="str">
        <f t="shared" si="177"/>
        <v/>
      </c>
      <c r="D1464" s="10" t="str">
        <f t="shared" si="178"/>
        <v/>
      </c>
      <c r="E1464" s="11" t="str">
        <f t="shared" si="179"/>
        <v/>
      </c>
      <c r="F1464" s="12" t="str">
        <f t="shared" si="180"/>
        <v/>
      </c>
      <c r="G1464" s="13" t="str">
        <f t="shared" si="181"/>
        <v/>
      </c>
      <c r="H1464" s="13" t="str">
        <f t="shared" si="182"/>
        <v/>
      </c>
      <c r="I1464" s="14" t="str">
        <f t="shared" si="183"/>
        <v/>
      </c>
      <c r="L1464" t="str">
        <f>IFERROR(MATCH($C$5&amp;"|"&amp;RIGHT("000000"&amp;1448,6),LdgRankKeyA,0),"")</f>
        <v/>
      </c>
      <c r="M1464" t="str">
        <f>IFERROR(MATCH($C$5&amp;"|"&amp;RIGHT("000000"&amp;1448,6),LdgRankKeyB,0),"")</f>
        <v/>
      </c>
    </row>
    <row r="1465" spans="1:13" x14ac:dyDescent="0.2">
      <c r="A1465" s="3">
        <v>1449</v>
      </c>
      <c r="B1465" s="4" t="str">
        <f t="shared" si="176"/>
        <v/>
      </c>
      <c r="C1465" s="4" t="str">
        <f t="shared" si="177"/>
        <v/>
      </c>
      <c r="D1465" s="4" t="str">
        <f t="shared" si="178"/>
        <v/>
      </c>
      <c r="E1465" s="5" t="str">
        <f t="shared" si="179"/>
        <v/>
      </c>
      <c r="F1465" s="6" t="str">
        <f t="shared" si="180"/>
        <v/>
      </c>
      <c r="G1465" s="7" t="str">
        <f t="shared" si="181"/>
        <v/>
      </c>
      <c r="H1465" s="7" t="str">
        <f t="shared" si="182"/>
        <v/>
      </c>
      <c r="I1465" s="8" t="str">
        <f t="shared" si="183"/>
        <v/>
      </c>
      <c r="L1465" t="str">
        <f>IFERROR(MATCH($C$5&amp;"|"&amp;RIGHT("000000"&amp;1449,6),LdgRankKeyA,0),"")</f>
        <v/>
      </c>
      <c r="M1465" t="str">
        <f>IFERROR(MATCH($C$5&amp;"|"&amp;RIGHT("000000"&amp;1449,6),LdgRankKeyB,0),"")</f>
        <v/>
      </c>
    </row>
    <row r="1466" spans="1:13" x14ac:dyDescent="0.2">
      <c r="A1466" s="9">
        <v>1450</v>
      </c>
      <c r="B1466" s="10" t="str">
        <f t="shared" si="176"/>
        <v/>
      </c>
      <c r="C1466" s="10" t="str">
        <f t="shared" si="177"/>
        <v/>
      </c>
      <c r="D1466" s="10" t="str">
        <f t="shared" si="178"/>
        <v/>
      </c>
      <c r="E1466" s="11" t="str">
        <f t="shared" si="179"/>
        <v/>
      </c>
      <c r="F1466" s="12" t="str">
        <f t="shared" si="180"/>
        <v/>
      </c>
      <c r="G1466" s="13" t="str">
        <f t="shared" si="181"/>
        <v/>
      </c>
      <c r="H1466" s="13" t="str">
        <f t="shared" si="182"/>
        <v/>
      </c>
      <c r="I1466" s="14" t="str">
        <f t="shared" si="183"/>
        <v/>
      </c>
      <c r="L1466" t="str">
        <f>IFERROR(MATCH($C$5&amp;"|"&amp;RIGHT("000000"&amp;1450,6),LdgRankKeyA,0),"")</f>
        <v/>
      </c>
      <c r="M1466" t="str">
        <f>IFERROR(MATCH($C$5&amp;"|"&amp;RIGHT("000000"&amp;1450,6),LdgRankKeyB,0),"")</f>
        <v/>
      </c>
    </row>
    <row r="1467" spans="1:13" x14ac:dyDescent="0.2">
      <c r="A1467" s="3">
        <v>1451</v>
      </c>
      <c r="B1467" s="4" t="str">
        <f t="shared" si="176"/>
        <v/>
      </c>
      <c r="C1467" s="4" t="str">
        <f t="shared" si="177"/>
        <v/>
      </c>
      <c r="D1467" s="4" t="str">
        <f t="shared" si="178"/>
        <v/>
      </c>
      <c r="E1467" s="5" t="str">
        <f t="shared" si="179"/>
        <v/>
      </c>
      <c r="F1467" s="6" t="str">
        <f t="shared" si="180"/>
        <v/>
      </c>
      <c r="G1467" s="7" t="str">
        <f t="shared" si="181"/>
        <v/>
      </c>
      <c r="H1467" s="7" t="str">
        <f t="shared" si="182"/>
        <v/>
      </c>
      <c r="I1467" s="8" t="str">
        <f t="shared" si="183"/>
        <v/>
      </c>
      <c r="L1467" t="str">
        <f>IFERROR(MATCH($C$5&amp;"|"&amp;RIGHT("000000"&amp;1451,6),LdgRankKeyA,0),"")</f>
        <v/>
      </c>
      <c r="M1467" t="str">
        <f>IFERROR(MATCH($C$5&amp;"|"&amp;RIGHT("000000"&amp;1451,6),LdgRankKeyB,0),"")</f>
        <v/>
      </c>
    </row>
    <row r="1468" spans="1:13" x14ac:dyDescent="0.2">
      <c r="A1468" s="9">
        <v>1452</v>
      </c>
      <c r="B1468" s="10" t="str">
        <f t="shared" si="176"/>
        <v/>
      </c>
      <c r="C1468" s="10" t="str">
        <f t="shared" si="177"/>
        <v/>
      </c>
      <c r="D1468" s="10" t="str">
        <f t="shared" si="178"/>
        <v/>
      </c>
      <c r="E1468" s="11" t="str">
        <f t="shared" si="179"/>
        <v/>
      </c>
      <c r="F1468" s="12" t="str">
        <f t="shared" si="180"/>
        <v/>
      </c>
      <c r="G1468" s="13" t="str">
        <f t="shared" si="181"/>
        <v/>
      </c>
      <c r="H1468" s="13" t="str">
        <f t="shared" si="182"/>
        <v/>
      </c>
      <c r="I1468" s="14" t="str">
        <f t="shared" si="183"/>
        <v/>
      </c>
      <c r="L1468" t="str">
        <f>IFERROR(MATCH($C$5&amp;"|"&amp;RIGHT("000000"&amp;1452,6),LdgRankKeyA,0),"")</f>
        <v/>
      </c>
      <c r="M1468" t="str">
        <f>IFERROR(MATCH($C$5&amp;"|"&amp;RIGHT("000000"&amp;1452,6),LdgRankKeyB,0),"")</f>
        <v/>
      </c>
    </row>
    <row r="1469" spans="1:13" x14ac:dyDescent="0.2">
      <c r="A1469" s="3">
        <v>1453</v>
      </c>
      <c r="B1469" s="4" t="str">
        <f t="shared" si="176"/>
        <v/>
      </c>
      <c r="C1469" s="4" t="str">
        <f t="shared" si="177"/>
        <v/>
      </c>
      <c r="D1469" s="4" t="str">
        <f t="shared" si="178"/>
        <v/>
      </c>
      <c r="E1469" s="5" t="str">
        <f t="shared" si="179"/>
        <v/>
      </c>
      <c r="F1469" s="6" t="str">
        <f t="shared" si="180"/>
        <v/>
      </c>
      <c r="G1469" s="7" t="str">
        <f t="shared" si="181"/>
        <v/>
      </c>
      <c r="H1469" s="7" t="str">
        <f t="shared" si="182"/>
        <v/>
      </c>
      <c r="I1469" s="8" t="str">
        <f t="shared" si="183"/>
        <v/>
      </c>
      <c r="L1469" t="str">
        <f>IFERROR(MATCH($C$5&amp;"|"&amp;RIGHT("000000"&amp;1453,6),LdgRankKeyA,0),"")</f>
        <v/>
      </c>
      <c r="M1469" t="str">
        <f>IFERROR(MATCH($C$5&amp;"|"&amp;RIGHT("000000"&amp;1453,6),LdgRankKeyB,0),"")</f>
        <v/>
      </c>
    </row>
    <row r="1470" spans="1:13" x14ac:dyDescent="0.2">
      <c r="A1470" s="9">
        <v>1454</v>
      </c>
      <c r="B1470" s="10" t="str">
        <f t="shared" si="176"/>
        <v/>
      </c>
      <c r="C1470" s="10" t="str">
        <f t="shared" si="177"/>
        <v/>
      </c>
      <c r="D1470" s="10" t="str">
        <f t="shared" si="178"/>
        <v/>
      </c>
      <c r="E1470" s="11" t="str">
        <f t="shared" si="179"/>
        <v/>
      </c>
      <c r="F1470" s="12" t="str">
        <f t="shared" si="180"/>
        <v/>
      </c>
      <c r="G1470" s="13" t="str">
        <f t="shared" si="181"/>
        <v/>
      </c>
      <c r="H1470" s="13" t="str">
        <f t="shared" si="182"/>
        <v/>
      </c>
      <c r="I1470" s="14" t="str">
        <f t="shared" si="183"/>
        <v/>
      </c>
      <c r="L1470" t="str">
        <f>IFERROR(MATCH($C$5&amp;"|"&amp;RIGHT("000000"&amp;1454,6),LdgRankKeyA,0),"")</f>
        <v/>
      </c>
      <c r="M1470" t="str">
        <f>IFERROR(MATCH($C$5&amp;"|"&amp;RIGHT("000000"&amp;1454,6),LdgRankKeyB,0),"")</f>
        <v/>
      </c>
    </row>
    <row r="1471" spans="1:13" x14ac:dyDescent="0.2">
      <c r="A1471" s="3">
        <v>1455</v>
      </c>
      <c r="B1471" s="4" t="str">
        <f t="shared" si="176"/>
        <v/>
      </c>
      <c r="C1471" s="4" t="str">
        <f t="shared" si="177"/>
        <v/>
      </c>
      <c r="D1471" s="4" t="str">
        <f t="shared" si="178"/>
        <v/>
      </c>
      <c r="E1471" s="5" t="str">
        <f t="shared" si="179"/>
        <v/>
      </c>
      <c r="F1471" s="6" t="str">
        <f t="shared" si="180"/>
        <v/>
      </c>
      <c r="G1471" s="7" t="str">
        <f t="shared" si="181"/>
        <v/>
      </c>
      <c r="H1471" s="7" t="str">
        <f t="shared" si="182"/>
        <v/>
      </c>
      <c r="I1471" s="8" t="str">
        <f t="shared" si="183"/>
        <v/>
      </c>
      <c r="L1471" t="str">
        <f>IFERROR(MATCH($C$5&amp;"|"&amp;RIGHT("000000"&amp;1455,6),LdgRankKeyA,0),"")</f>
        <v/>
      </c>
      <c r="M1471" t="str">
        <f>IFERROR(MATCH($C$5&amp;"|"&amp;RIGHT("000000"&amp;1455,6),LdgRankKeyB,0),"")</f>
        <v/>
      </c>
    </row>
    <row r="1472" spans="1:13" x14ac:dyDescent="0.2">
      <c r="A1472" s="9">
        <v>1456</v>
      </c>
      <c r="B1472" s="10" t="str">
        <f t="shared" si="176"/>
        <v/>
      </c>
      <c r="C1472" s="10" t="str">
        <f t="shared" si="177"/>
        <v/>
      </c>
      <c r="D1472" s="10" t="str">
        <f t="shared" si="178"/>
        <v/>
      </c>
      <c r="E1472" s="11" t="str">
        <f t="shared" si="179"/>
        <v/>
      </c>
      <c r="F1472" s="12" t="str">
        <f t="shared" si="180"/>
        <v/>
      </c>
      <c r="G1472" s="13" t="str">
        <f t="shared" si="181"/>
        <v/>
      </c>
      <c r="H1472" s="13" t="str">
        <f t="shared" si="182"/>
        <v/>
      </c>
      <c r="I1472" s="14" t="str">
        <f t="shared" si="183"/>
        <v/>
      </c>
      <c r="L1472" t="str">
        <f>IFERROR(MATCH($C$5&amp;"|"&amp;RIGHT("000000"&amp;1456,6),LdgRankKeyA,0),"")</f>
        <v/>
      </c>
      <c r="M1472" t="str">
        <f>IFERROR(MATCH($C$5&amp;"|"&amp;RIGHT("000000"&amp;1456,6),LdgRankKeyB,0),"")</f>
        <v/>
      </c>
    </row>
    <row r="1473" spans="1:13" x14ac:dyDescent="0.2">
      <c r="A1473" s="3">
        <v>1457</v>
      </c>
      <c r="B1473" s="4" t="str">
        <f t="shared" si="176"/>
        <v/>
      </c>
      <c r="C1473" s="4" t="str">
        <f t="shared" si="177"/>
        <v/>
      </c>
      <c r="D1473" s="4" t="str">
        <f t="shared" si="178"/>
        <v/>
      </c>
      <c r="E1473" s="5" t="str">
        <f t="shared" si="179"/>
        <v/>
      </c>
      <c r="F1473" s="6" t="str">
        <f t="shared" si="180"/>
        <v/>
      </c>
      <c r="G1473" s="7" t="str">
        <f t="shared" si="181"/>
        <v/>
      </c>
      <c r="H1473" s="7" t="str">
        <f t="shared" si="182"/>
        <v/>
      </c>
      <c r="I1473" s="8" t="str">
        <f t="shared" si="183"/>
        <v/>
      </c>
      <c r="L1473" t="str">
        <f>IFERROR(MATCH($C$5&amp;"|"&amp;RIGHT("000000"&amp;1457,6),LdgRankKeyA,0),"")</f>
        <v/>
      </c>
      <c r="M1473" t="str">
        <f>IFERROR(MATCH($C$5&amp;"|"&amp;RIGHT("000000"&amp;1457,6),LdgRankKeyB,0),"")</f>
        <v/>
      </c>
    </row>
    <row r="1474" spans="1:13" x14ac:dyDescent="0.2">
      <c r="A1474" s="9">
        <v>1458</v>
      </c>
      <c r="B1474" s="10" t="str">
        <f t="shared" si="176"/>
        <v/>
      </c>
      <c r="C1474" s="10" t="str">
        <f t="shared" si="177"/>
        <v/>
      </c>
      <c r="D1474" s="10" t="str">
        <f t="shared" si="178"/>
        <v/>
      </c>
      <c r="E1474" s="11" t="str">
        <f t="shared" si="179"/>
        <v/>
      </c>
      <c r="F1474" s="12" t="str">
        <f t="shared" si="180"/>
        <v/>
      </c>
      <c r="G1474" s="13" t="str">
        <f t="shared" si="181"/>
        <v/>
      </c>
      <c r="H1474" s="13" t="str">
        <f t="shared" si="182"/>
        <v/>
      </c>
      <c r="I1474" s="14" t="str">
        <f t="shared" si="183"/>
        <v/>
      </c>
      <c r="L1474" t="str">
        <f>IFERROR(MATCH($C$5&amp;"|"&amp;RIGHT("000000"&amp;1458,6),LdgRankKeyA,0),"")</f>
        <v/>
      </c>
      <c r="M1474" t="str">
        <f>IFERROR(MATCH($C$5&amp;"|"&amp;RIGHT("000000"&amp;1458,6),LdgRankKeyB,0),"")</f>
        <v/>
      </c>
    </row>
    <row r="1475" spans="1:13" x14ac:dyDescent="0.2">
      <c r="A1475" s="3">
        <v>1459</v>
      </c>
      <c r="B1475" s="4" t="str">
        <f t="shared" si="176"/>
        <v/>
      </c>
      <c r="C1475" s="4" t="str">
        <f t="shared" si="177"/>
        <v/>
      </c>
      <c r="D1475" s="4" t="str">
        <f t="shared" si="178"/>
        <v/>
      </c>
      <c r="E1475" s="5" t="str">
        <f t="shared" si="179"/>
        <v/>
      </c>
      <c r="F1475" s="6" t="str">
        <f t="shared" si="180"/>
        <v/>
      </c>
      <c r="G1475" s="7" t="str">
        <f t="shared" si="181"/>
        <v/>
      </c>
      <c r="H1475" s="7" t="str">
        <f t="shared" si="182"/>
        <v/>
      </c>
      <c r="I1475" s="8" t="str">
        <f t="shared" si="183"/>
        <v/>
      </c>
      <c r="L1475" t="str">
        <f>IFERROR(MATCH($C$5&amp;"|"&amp;RIGHT("000000"&amp;1459,6),LdgRankKeyA,0),"")</f>
        <v/>
      </c>
      <c r="M1475" t="str">
        <f>IFERROR(MATCH($C$5&amp;"|"&amp;RIGHT("000000"&amp;1459,6),LdgRankKeyB,0),"")</f>
        <v/>
      </c>
    </row>
    <row r="1476" spans="1:13" x14ac:dyDescent="0.2">
      <c r="A1476" s="9">
        <v>1460</v>
      </c>
      <c r="B1476" s="10" t="str">
        <f t="shared" si="176"/>
        <v/>
      </c>
      <c r="C1476" s="10" t="str">
        <f t="shared" si="177"/>
        <v/>
      </c>
      <c r="D1476" s="10" t="str">
        <f t="shared" si="178"/>
        <v/>
      </c>
      <c r="E1476" s="11" t="str">
        <f t="shared" si="179"/>
        <v/>
      </c>
      <c r="F1476" s="12" t="str">
        <f t="shared" si="180"/>
        <v/>
      </c>
      <c r="G1476" s="13" t="str">
        <f t="shared" si="181"/>
        <v/>
      </c>
      <c r="H1476" s="13" t="str">
        <f t="shared" si="182"/>
        <v/>
      </c>
      <c r="I1476" s="14" t="str">
        <f t="shared" si="183"/>
        <v/>
      </c>
      <c r="L1476" t="str">
        <f>IFERROR(MATCH($C$5&amp;"|"&amp;RIGHT("000000"&amp;1460,6),LdgRankKeyA,0),"")</f>
        <v/>
      </c>
      <c r="M1476" t="str">
        <f>IFERROR(MATCH($C$5&amp;"|"&amp;RIGHT("000000"&amp;1460,6),LdgRankKeyB,0),"")</f>
        <v/>
      </c>
    </row>
    <row r="1477" spans="1:13" x14ac:dyDescent="0.2">
      <c r="A1477" s="3">
        <v>1461</v>
      </c>
      <c r="B1477" s="4" t="str">
        <f t="shared" si="176"/>
        <v/>
      </c>
      <c r="C1477" s="4" t="str">
        <f t="shared" si="177"/>
        <v/>
      </c>
      <c r="D1477" s="4" t="str">
        <f t="shared" si="178"/>
        <v/>
      </c>
      <c r="E1477" s="5" t="str">
        <f t="shared" si="179"/>
        <v/>
      </c>
      <c r="F1477" s="6" t="str">
        <f t="shared" si="180"/>
        <v/>
      </c>
      <c r="G1477" s="7" t="str">
        <f t="shared" si="181"/>
        <v/>
      </c>
      <c r="H1477" s="7" t="str">
        <f t="shared" si="182"/>
        <v/>
      </c>
      <c r="I1477" s="8" t="str">
        <f t="shared" si="183"/>
        <v/>
      </c>
      <c r="L1477" t="str">
        <f>IFERROR(MATCH($C$5&amp;"|"&amp;RIGHT("000000"&amp;1461,6),LdgRankKeyA,0),"")</f>
        <v/>
      </c>
      <c r="M1477" t="str">
        <f>IFERROR(MATCH($C$5&amp;"|"&amp;RIGHT("000000"&amp;1461,6),LdgRankKeyB,0),"")</f>
        <v/>
      </c>
    </row>
    <row r="1478" spans="1:13" x14ac:dyDescent="0.2">
      <c r="A1478" s="9">
        <v>1462</v>
      </c>
      <c r="B1478" s="10" t="str">
        <f t="shared" si="176"/>
        <v/>
      </c>
      <c r="C1478" s="10" t="str">
        <f t="shared" si="177"/>
        <v/>
      </c>
      <c r="D1478" s="10" t="str">
        <f t="shared" si="178"/>
        <v/>
      </c>
      <c r="E1478" s="11" t="str">
        <f t="shared" si="179"/>
        <v/>
      </c>
      <c r="F1478" s="12" t="str">
        <f t="shared" si="180"/>
        <v/>
      </c>
      <c r="G1478" s="13" t="str">
        <f t="shared" si="181"/>
        <v/>
      </c>
      <c r="H1478" s="13" t="str">
        <f t="shared" si="182"/>
        <v/>
      </c>
      <c r="I1478" s="14" t="str">
        <f t="shared" si="183"/>
        <v/>
      </c>
      <c r="L1478" t="str">
        <f>IFERROR(MATCH($C$5&amp;"|"&amp;RIGHT("000000"&amp;1462,6),LdgRankKeyA,0),"")</f>
        <v/>
      </c>
      <c r="M1478" t="str">
        <f>IFERROR(MATCH($C$5&amp;"|"&amp;RIGHT("000000"&amp;1462,6),LdgRankKeyB,0),"")</f>
        <v/>
      </c>
    </row>
    <row r="1479" spans="1:13" x14ac:dyDescent="0.2">
      <c r="A1479" s="3">
        <v>1463</v>
      </c>
      <c r="B1479" s="4" t="str">
        <f t="shared" si="176"/>
        <v/>
      </c>
      <c r="C1479" s="4" t="str">
        <f t="shared" si="177"/>
        <v/>
      </c>
      <c r="D1479" s="4" t="str">
        <f t="shared" si="178"/>
        <v/>
      </c>
      <c r="E1479" s="5" t="str">
        <f t="shared" si="179"/>
        <v/>
      </c>
      <c r="F1479" s="6" t="str">
        <f t="shared" si="180"/>
        <v/>
      </c>
      <c r="G1479" s="7" t="str">
        <f t="shared" si="181"/>
        <v/>
      </c>
      <c r="H1479" s="7" t="str">
        <f t="shared" si="182"/>
        <v/>
      </c>
      <c r="I1479" s="8" t="str">
        <f t="shared" si="183"/>
        <v/>
      </c>
      <c r="L1479" t="str">
        <f>IFERROR(MATCH($C$5&amp;"|"&amp;RIGHT("000000"&amp;1463,6),LdgRankKeyA,0),"")</f>
        <v/>
      </c>
      <c r="M1479" t="str">
        <f>IFERROR(MATCH($C$5&amp;"|"&amp;RIGHT("000000"&amp;1463,6),LdgRankKeyB,0),"")</f>
        <v/>
      </c>
    </row>
    <row r="1480" spans="1:13" x14ac:dyDescent="0.2">
      <c r="A1480" s="9">
        <v>1464</v>
      </c>
      <c r="B1480" s="10" t="str">
        <f t="shared" si="176"/>
        <v/>
      </c>
      <c r="C1480" s="10" t="str">
        <f t="shared" si="177"/>
        <v/>
      </c>
      <c r="D1480" s="10" t="str">
        <f t="shared" si="178"/>
        <v/>
      </c>
      <c r="E1480" s="11" t="str">
        <f t="shared" si="179"/>
        <v/>
      </c>
      <c r="F1480" s="12" t="str">
        <f t="shared" si="180"/>
        <v/>
      </c>
      <c r="G1480" s="13" t="str">
        <f t="shared" si="181"/>
        <v/>
      </c>
      <c r="H1480" s="13" t="str">
        <f t="shared" si="182"/>
        <v/>
      </c>
      <c r="I1480" s="14" t="str">
        <f t="shared" si="183"/>
        <v/>
      </c>
      <c r="L1480" t="str">
        <f>IFERROR(MATCH($C$5&amp;"|"&amp;RIGHT("000000"&amp;1464,6),LdgRankKeyA,0),"")</f>
        <v/>
      </c>
      <c r="M1480" t="str">
        <f>IFERROR(MATCH($C$5&amp;"|"&amp;RIGHT("000000"&amp;1464,6),LdgRankKeyB,0),"")</f>
        <v/>
      </c>
    </row>
    <row r="1481" spans="1:13" x14ac:dyDescent="0.2">
      <c r="A1481" s="3">
        <v>1465</v>
      </c>
      <c r="B1481" s="4" t="str">
        <f t="shared" si="176"/>
        <v/>
      </c>
      <c r="C1481" s="4" t="str">
        <f t="shared" si="177"/>
        <v/>
      </c>
      <c r="D1481" s="4" t="str">
        <f t="shared" si="178"/>
        <v/>
      </c>
      <c r="E1481" s="5" t="str">
        <f t="shared" si="179"/>
        <v/>
      </c>
      <c r="F1481" s="6" t="str">
        <f t="shared" si="180"/>
        <v/>
      </c>
      <c r="G1481" s="7" t="str">
        <f t="shared" si="181"/>
        <v/>
      </c>
      <c r="H1481" s="7" t="str">
        <f t="shared" si="182"/>
        <v/>
      </c>
      <c r="I1481" s="8" t="str">
        <f t="shared" si="183"/>
        <v/>
      </c>
      <c r="L1481" t="str">
        <f>IFERROR(MATCH($C$5&amp;"|"&amp;RIGHT("000000"&amp;1465,6),LdgRankKeyA,0),"")</f>
        <v/>
      </c>
      <c r="M1481" t="str">
        <f>IFERROR(MATCH($C$5&amp;"|"&amp;RIGHT("000000"&amp;1465,6),LdgRankKeyB,0),"")</f>
        <v/>
      </c>
    </row>
    <row r="1482" spans="1:13" x14ac:dyDescent="0.2">
      <c r="A1482" s="9">
        <v>1466</v>
      </c>
      <c r="B1482" s="10" t="str">
        <f t="shared" si="176"/>
        <v/>
      </c>
      <c r="C1482" s="10" t="str">
        <f t="shared" si="177"/>
        <v/>
      </c>
      <c r="D1482" s="10" t="str">
        <f t="shared" si="178"/>
        <v/>
      </c>
      <c r="E1482" s="11" t="str">
        <f t="shared" si="179"/>
        <v/>
      </c>
      <c r="F1482" s="12" t="str">
        <f t="shared" si="180"/>
        <v/>
      </c>
      <c r="G1482" s="13" t="str">
        <f t="shared" si="181"/>
        <v/>
      </c>
      <c r="H1482" s="13" t="str">
        <f t="shared" si="182"/>
        <v/>
      </c>
      <c r="I1482" s="14" t="str">
        <f t="shared" si="183"/>
        <v/>
      </c>
      <c r="L1482" t="str">
        <f>IFERROR(MATCH($C$5&amp;"|"&amp;RIGHT("000000"&amp;1466,6),LdgRankKeyA,0),"")</f>
        <v/>
      </c>
      <c r="M1482" t="str">
        <f>IFERROR(MATCH($C$5&amp;"|"&amp;RIGHT("000000"&amp;1466,6),LdgRankKeyB,0),"")</f>
        <v/>
      </c>
    </row>
    <row r="1483" spans="1:13" x14ac:dyDescent="0.2">
      <c r="A1483" s="3">
        <v>1467</v>
      </c>
      <c r="B1483" s="4" t="str">
        <f t="shared" si="176"/>
        <v/>
      </c>
      <c r="C1483" s="4" t="str">
        <f t="shared" si="177"/>
        <v/>
      </c>
      <c r="D1483" s="4" t="str">
        <f t="shared" si="178"/>
        <v/>
      </c>
      <c r="E1483" s="5" t="str">
        <f t="shared" si="179"/>
        <v/>
      </c>
      <c r="F1483" s="6" t="str">
        <f t="shared" si="180"/>
        <v/>
      </c>
      <c r="G1483" s="7" t="str">
        <f t="shared" si="181"/>
        <v/>
      </c>
      <c r="H1483" s="7" t="str">
        <f t="shared" si="182"/>
        <v/>
      </c>
      <c r="I1483" s="8" t="str">
        <f t="shared" si="183"/>
        <v/>
      </c>
      <c r="L1483" t="str">
        <f>IFERROR(MATCH($C$5&amp;"|"&amp;RIGHT("000000"&amp;1467,6),LdgRankKeyA,0),"")</f>
        <v/>
      </c>
      <c r="M1483" t="str">
        <f>IFERROR(MATCH($C$5&amp;"|"&amp;RIGHT("000000"&amp;1467,6),LdgRankKeyB,0),"")</f>
        <v/>
      </c>
    </row>
    <row r="1484" spans="1:13" x14ac:dyDescent="0.2">
      <c r="A1484" s="9">
        <v>1468</v>
      </c>
      <c r="B1484" s="10" t="str">
        <f t="shared" si="176"/>
        <v/>
      </c>
      <c r="C1484" s="10" t="str">
        <f t="shared" si="177"/>
        <v/>
      </c>
      <c r="D1484" s="10" t="str">
        <f t="shared" si="178"/>
        <v/>
      </c>
      <c r="E1484" s="11" t="str">
        <f t="shared" si="179"/>
        <v/>
      </c>
      <c r="F1484" s="12" t="str">
        <f t="shared" si="180"/>
        <v/>
      </c>
      <c r="G1484" s="13" t="str">
        <f t="shared" si="181"/>
        <v/>
      </c>
      <c r="H1484" s="13" t="str">
        <f t="shared" si="182"/>
        <v/>
      </c>
      <c r="I1484" s="14" t="str">
        <f t="shared" si="183"/>
        <v/>
      </c>
      <c r="L1484" t="str">
        <f>IFERROR(MATCH($C$5&amp;"|"&amp;RIGHT("000000"&amp;1468,6),LdgRankKeyA,0),"")</f>
        <v/>
      </c>
      <c r="M1484" t="str">
        <f>IFERROR(MATCH($C$5&amp;"|"&amp;RIGHT("000000"&amp;1468,6),LdgRankKeyB,0),"")</f>
        <v/>
      </c>
    </row>
    <row r="1485" spans="1:13" x14ac:dyDescent="0.2">
      <c r="A1485" s="3">
        <v>1469</v>
      </c>
      <c r="B1485" s="4" t="str">
        <f t="shared" si="176"/>
        <v/>
      </c>
      <c r="C1485" s="4" t="str">
        <f t="shared" si="177"/>
        <v/>
      </c>
      <c r="D1485" s="4" t="str">
        <f t="shared" si="178"/>
        <v/>
      </c>
      <c r="E1485" s="5" t="str">
        <f t="shared" si="179"/>
        <v/>
      </c>
      <c r="F1485" s="6" t="str">
        <f t="shared" si="180"/>
        <v/>
      </c>
      <c r="G1485" s="7" t="str">
        <f t="shared" si="181"/>
        <v/>
      </c>
      <c r="H1485" s="7" t="str">
        <f t="shared" si="182"/>
        <v/>
      </c>
      <c r="I1485" s="8" t="str">
        <f t="shared" si="183"/>
        <v/>
      </c>
      <c r="L1485" t="str">
        <f>IFERROR(MATCH($C$5&amp;"|"&amp;RIGHT("000000"&amp;1469,6),LdgRankKeyA,0),"")</f>
        <v/>
      </c>
      <c r="M1485" t="str">
        <f>IFERROR(MATCH($C$5&amp;"|"&amp;RIGHT("000000"&amp;1469,6),LdgRankKeyB,0),"")</f>
        <v/>
      </c>
    </row>
    <row r="1486" spans="1:13" x14ac:dyDescent="0.2">
      <c r="A1486" s="9">
        <v>1470</v>
      </c>
      <c r="B1486" s="10" t="str">
        <f t="shared" si="176"/>
        <v/>
      </c>
      <c r="C1486" s="10" t="str">
        <f t="shared" si="177"/>
        <v/>
      </c>
      <c r="D1486" s="10" t="str">
        <f t="shared" si="178"/>
        <v/>
      </c>
      <c r="E1486" s="11" t="str">
        <f t="shared" si="179"/>
        <v/>
      </c>
      <c r="F1486" s="12" t="str">
        <f t="shared" si="180"/>
        <v/>
      </c>
      <c r="G1486" s="13" t="str">
        <f t="shared" si="181"/>
        <v/>
      </c>
      <c r="H1486" s="13" t="str">
        <f t="shared" si="182"/>
        <v/>
      </c>
      <c r="I1486" s="14" t="str">
        <f t="shared" si="183"/>
        <v/>
      </c>
      <c r="L1486" t="str">
        <f>IFERROR(MATCH($C$5&amp;"|"&amp;RIGHT("000000"&amp;1470,6),LdgRankKeyA,0),"")</f>
        <v/>
      </c>
      <c r="M1486" t="str">
        <f>IFERROR(MATCH($C$5&amp;"|"&amp;RIGHT("000000"&amp;1470,6),LdgRankKeyB,0),"")</f>
        <v/>
      </c>
    </row>
    <row r="1487" spans="1:13" x14ac:dyDescent="0.2">
      <c r="A1487" s="3">
        <v>1471</v>
      </c>
      <c r="B1487" s="4" t="str">
        <f t="shared" si="176"/>
        <v/>
      </c>
      <c r="C1487" s="4" t="str">
        <f t="shared" si="177"/>
        <v/>
      </c>
      <c r="D1487" s="4" t="str">
        <f t="shared" si="178"/>
        <v/>
      </c>
      <c r="E1487" s="5" t="str">
        <f t="shared" si="179"/>
        <v/>
      </c>
      <c r="F1487" s="6" t="str">
        <f t="shared" si="180"/>
        <v/>
      </c>
      <c r="G1487" s="7" t="str">
        <f t="shared" si="181"/>
        <v/>
      </c>
      <c r="H1487" s="7" t="str">
        <f t="shared" si="182"/>
        <v/>
      </c>
      <c r="I1487" s="8" t="str">
        <f t="shared" si="183"/>
        <v/>
      </c>
      <c r="L1487" t="str">
        <f>IFERROR(MATCH($C$5&amp;"|"&amp;RIGHT("000000"&amp;1471,6),LdgRankKeyA,0),"")</f>
        <v/>
      </c>
      <c r="M1487" t="str">
        <f>IFERROR(MATCH($C$5&amp;"|"&amp;RIGHT("000000"&amp;1471,6),LdgRankKeyB,0),"")</f>
        <v/>
      </c>
    </row>
    <row r="1488" spans="1:13" x14ac:dyDescent="0.2">
      <c r="A1488" s="9">
        <v>1472</v>
      </c>
      <c r="B1488" s="10" t="str">
        <f t="shared" si="176"/>
        <v/>
      </c>
      <c r="C1488" s="10" t="str">
        <f t="shared" si="177"/>
        <v/>
      </c>
      <c r="D1488" s="10" t="str">
        <f t="shared" si="178"/>
        <v/>
      </c>
      <c r="E1488" s="11" t="str">
        <f t="shared" si="179"/>
        <v/>
      </c>
      <c r="F1488" s="12" t="str">
        <f t="shared" si="180"/>
        <v/>
      </c>
      <c r="G1488" s="13" t="str">
        <f t="shared" si="181"/>
        <v/>
      </c>
      <c r="H1488" s="13" t="str">
        <f t="shared" si="182"/>
        <v/>
      </c>
      <c r="I1488" s="14" t="str">
        <f t="shared" si="183"/>
        <v/>
      </c>
      <c r="L1488" t="str">
        <f>IFERROR(MATCH($C$5&amp;"|"&amp;RIGHT("000000"&amp;1472,6),LdgRankKeyA,0),"")</f>
        <v/>
      </c>
      <c r="M1488" t="str">
        <f>IFERROR(MATCH($C$5&amp;"|"&amp;RIGHT("000000"&amp;1472,6),LdgRankKeyB,0),"")</f>
        <v/>
      </c>
    </row>
    <row r="1489" spans="1:13" x14ac:dyDescent="0.2">
      <c r="A1489" s="3">
        <v>1473</v>
      </c>
      <c r="B1489" s="4" t="str">
        <f t="shared" ref="B1489:B1552" si="184">IF(AND($L1489="",$M1489=""),"",IF($L1489&lt;&gt;"",INDEX(SCNormDate,$L1489),INDEX(LdgDateB,$M1489)))</f>
        <v/>
      </c>
      <c r="C1489" s="4" t="str">
        <f t="shared" ref="C1489:C1552" si="185">IF($L1489&lt;&gt;"",INDEX(SCOp,$L1489),IF($M1489&lt;&gt;"","پرداخت بانکی",""))</f>
        <v/>
      </c>
      <c r="D1489" s="4" t="str">
        <f t="shared" ref="D1489:D1552" si="186">IF($L1489&lt;&gt;"",IF(INDEX(SCDoc,$L1489)="","—",INDEX(SCDoc,$L1489)),IF($M1489&lt;&gt;"",INDEX(LdgBankB,$M1489),""))</f>
        <v/>
      </c>
      <c r="E1489" s="5" t="str">
        <f t="shared" ref="E1489:E1552" si="187">IF($L1489&lt;&gt;"",IF(INDEX(SCCitrus,$L1489)&amp;INDEX(SCNotes,$L1489)="","",IF(INDEX(SCCitrus,$L1489)="","",INDEX(SCCitrus,$L1489))&amp;IF(INDEX(SCNotes,$L1489)="",""," — "&amp;INDEX(SCNotes,$L1489))),IF($M1489&lt;&gt;"",IF(INDEX(LdgNoteB,$M1489)="","—",INDEX(LdgNoteB,$M1489)),""))</f>
        <v/>
      </c>
      <c r="F1489" s="6" t="str">
        <f t="shared" ref="F1489:F1552" si="188">IF($L1489&lt;&gt;"",IF(INDEX(SCNet,$L1489)=0,"",INDEX(SCNet,$L1489)),"")</f>
        <v/>
      </c>
      <c r="G1489" s="7" t="str">
        <f t="shared" ref="G1489:G1552" si="189">IF($L1489&lt;&gt;"",IF(INDEX(SCOp,$L1489)="مرجوعی فروش","",IF(INDEX(SCAmount,$L1489)&lt;=0,"",INDEX(SCAmount,$L1489))),IF($M1489&lt;&gt;"",IF(INDEX(LdgWitB,$M1489)=0,"",INDEX(LdgWitB,$M1489)),""))</f>
        <v/>
      </c>
      <c r="H1489" s="7" t="str">
        <f t="shared" ref="H1489:H1552" si="190">IF($L1489&lt;&gt;"",IF(INDEX(SCOp,$L1489)="مرجوعی فروش",IF(INDEX(SCAmount,$L1489)=0,"",-INDEX(SCAmount,$L1489)),""),IF($M1489&lt;&gt;"",IF(INDEX(LdgDepB,$M1489)=0,"",INDEX(LdgDepB,$M1489)),""))</f>
        <v/>
      </c>
      <c r="I1489" s="8" t="str">
        <f t="shared" si="183"/>
        <v/>
      </c>
      <c r="L1489" t="str">
        <f>IFERROR(MATCH($C$5&amp;"|"&amp;RIGHT("000000"&amp;1473,6),LdgRankKeyA,0),"")</f>
        <v/>
      </c>
      <c r="M1489" t="str">
        <f>IFERROR(MATCH($C$5&amp;"|"&amp;RIGHT("000000"&amp;1473,6),LdgRankKeyB,0),"")</f>
        <v/>
      </c>
    </row>
    <row r="1490" spans="1:13" x14ac:dyDescent="0.2">
      <c r="A1490" s="9">
        <v>1474</v>
      </c>
      <c r="B1490" s="10" t="str">
        <f t="shared" si="184"/>
        <v/>
      </c>
      <c r="C1490" s="10" t="str">
        <f t="shared" si="185"/>
        <v/>
      </c>
      <c r="D1490" s="10" t="str">
        <f t="shared" si="186"/>
        <v/>
      </c>
      <c r="E1490" s="11" t="str">
        <f t="shared" si="187"/>
        <v/>
      </c>
      <c r="F1490" s="12" t="str">
        <f t="shared" si="188"/>
        <v/>
      </c>
      <c r="G1490" s="13" t="str">
        <f t="shared" si="189"/>
        <v/>
      </c>
      <c r="H1490" s="13" t="str">
        <f t="shared" si="190"/>
        <v/>
      </c>
      <c r="I1490" s="14" t="str">
        <f t="shared" ref="I1490:I1553" si="191">IF($B1490="","",IF($I1489="",$C$10,$I1489)+IF($G1490="",0,$G1490)-IF($H1490="",0,$H1490))</f>
        <v/>
      </c>
      <c r="L1490" t="str">
        <f>IFERROR(MATCH($C$5&amp;"|"&amp;RIGHT("000000"&amp;1474,6),LdgRankKeyA,0),"")</f>
        <v/>
      </c>
      <c r="M1490" t="str">
        <f>IFERROR(MATCH($C$5&amp;"|"&amp;RIGHT("000000"&amp;1474,6),LdgRankKeyB,0),"")</f>
        <v/>
      </c>
    </row>
    <row r="1491" spans="1:13" x14ac:dyDescent="0.2">
      <c r="A1491" s="3">
        <v>1475</v>
      </c>
      <c r="B1491" s="4" t="str">
        <f t="shared" si="184"/>
        <v/>
      </c>
      <c r="C1491" s="4" t="str">
        <f t="shared" si="185"/>
        <v/>
      </c>
      <c r="D1491" s="4" t="str">
        <f t="shared" si="186"/>
        <v/>
      </c>
      <c r="E1491" s="5" t="str">
        <f t="shared" si="187"/>
        <v/>
      </c>
      <c r="F1491" s="6" t="str">
        <f t="shared" si="188"/>
        <v/>
      </c>
      <c r="G1491" s="7" t="str">
        <f t="shared" si="189"/>
        <v/>
      </c>
      <c r="H1491" s="7" t="str">
        <f t="shared" si="190"/>
        <v/>
      </c>
      <c r="I1491" s="8" t="str">
        <f t="shared" si="191"/>
        <v/>
      </c>
      <c r="L1491" t="str">
        <f>IFERROR(MATCH($C$5&amp;"|"&amp;RIGHT("000000"&amp;1475,6),LdgRankKeyA,0),"")</f>
        <v/>
      </c>
      <c r="M1491" t="str">
        <f>IFERROR(MATCH($C$5&amp;"|"&amp;RIGHT("000000"&amp;1475,6),LdgRankKeyB,0),"")</f>
        <v/>
      </c>
    </row>
    <row r="1492" spans="1:13" x14ac:dyDescent="0.2">
      <c r="A1492" s="9">
        <v>1476</v>
      </c>
      <c r="B1492" s="10" t="str">
        <f t="shared" si="184"/>
        <v/>
      </c>
      <c r="C1492" s="10" t="str">
        <f t="shared" si="185"/>
        <v/>
      </c>
      <c r="D1492" s="10" t="str">
        <f t="shared" si="186"/>
        <v/>
      </c>
      <c r="E1492" s="11" t="str">
        <f t="shared" si="187"/>
        <v/>
      </c>
      <c r="F1492" s="12" t="str">
        <f t="shared" si="188"/>
        <v/>
      </c>
      <c r="G1492" s="13" t="str">
        <f t="shared" si="189"/>
        <v/>
      </c>
      <c r="H1492" s="13" t="str">
        <f t="shared" si="190"/>
        <v/>
      </c>
      <c r="I1492" s="14" t="str">
        <f t="shared" si="191"/>
        <v/>
      </c>
      <c r="L1492" t="str">
        <f>IFERROR(MATCH($C$5&amp;"|"&amp;RIGHT("000000"&amp;1476,6),LdgRankKeyA,0),"")</f>
        <v/>
      </c>
      <c r="M1492" t="str">
        <f>IFERROR(MATCH($C$5&amp;"|"&amp;RIGHT("000000"&amp;1476,6),LdgRankKeyB,0),"")</f>
        <v/>
      </c>
    </row>
    <row r="1493" spans="1:13" x14ac:dyDescent="0.2">
      <c r="A1493" s="3">
        <v>1477</v>
      </c>
      <c r="B1493" s="4" t="str">
        <f t="shared" si="184"/>
        <v/>
      </c>
      <c r="C1493" s="4" t="str">
        <f t="shared" si="185"/>
        <v/>
      </c>
      <c r="D1493" s="4" t="str">
        <f t="shared" si="186"/>
        <v/>
      </c>
      <c r="E1493" s="5" t="str">
        <f t="shared" si="187"/>
        <v/>
      </c>
      <c r="F1493" s="6" t="str">
        <f t="shared" si="188"/>
        <v/>
      </c>
      <c r="G1493" s="7" t="str">
        <f t="shared" si="189"/>
        <v/>
      </c>
      <c r="H1493" s="7" t="str">
        <f t="shared" si="190"/>
        <v/>
      </c>
      <c r="I1493" s="8" t="str">
        <f t="shared" si="191"/>
        <v/>
      </c>
      <c r="L1493" t="str">
        <f>IFERROR(MATCH($C$5&amp;"|"&amp;RIGHT("000000"&amp;1477,6),LdgRankKeyA,0),"")</f>
        <v/>
      </c>
      <c r="M1493" t="str">
        <f>IFERROR(MATCH($C$5&amp;"|"&amp;RIGHT("000000"&amp;1477,6),LdgRankKeyB,0),"")</f>
        <v/>
      </c>
    </row>
    <row r="1494" spans="1:13" x14ac:dyDescent="0.2">
      <c r="A1494" s="9">
        <v>1478</v>
      </c>
      <c r="B1494" s="10" t="str">
        <f t="shared" si="184"/>
        <v/>
      </c>
      <c r="C1494" s="10" t="str">
        <f t="shared" si="185"/>
        <v/>
      </c>
      <c r="D1494" s="10" t="str">
        <f t="shared" si="186"/>
        <v/>
      </c>
      <c r="E1494" s="11" t="str">
        <f t="shared" si="187"/>
        <v/>
      </c>
      <c r="F1494" s="12" t="str">
        <f t="shared" si="188"/>
        <v/>
      </c>
      <c r="G1494" s="13" t="str">
        <f t="shared" si="189"/>
        <v/>
      </c>
      <c r="H1494" s="13" t="str">
        <f t="shared" si="190"/>
        <v/>
      </c>
      <c r="I1494" s="14" t="str">
        <f t="shared" si="191"/>
        <v/>
      </c>
      <c r="L1494" t="str">
        <f>IFERROR(MATCH($C$5&amp;"|"&amp;RIGHT("000000"&amp;1478,6),LdgRankKeyA,0),"")</f>
        <v/>
      </c>
      <c r="M1494" t="str">
        <f>IFERROR(MATCH($C$5&amp;"|"&amp;RIGHT("000000"&amp;1478,6),LdgRankKeyB,0),"")</f>
        <v/>
      </c>
    </row>
    <row r="1495" spans="1:13" x14ac:dyDescent="0.2">
      <c r="A1495" s="3">
        <v>1479</v>
      </c>
      <c r="B1495" s="4" t="str">
        <f t="shared" si="184"/>
        <v/>
      </c>
      <c r="C1495" s="4" t="str">
        <f t="shared" si="185"/>
        <v/>
      </c>
      <c r="D1495" s="4" t="str">
        <f t="shared" si="186"/>
        <v/>
      </c>
      <c r="E1495" s="5" t="str">
        <f t="shared" si="187"/>
        <v/>
      </c>
      <c r="F1495" s="6" t="str">
        <f t="shared" si="188"/>
        <v/>
      </c>
      <c r="G1495" s="7" t="str">
        <f t="shared" si="189"/>
        <v/>
      </c>
      <c r="H1495" s="7" t="str">
        <f t="shared" si="190"/>
        <v/>
      </c>
      <c r="I1495" s="8" t="str">
        <f t="shared" si="191"/>
        <v/>
      </c>
      <c r="L1495" t="str">
        <f>IFERROR(MATCH($C$5&amp;"|"&amp;RIGHT("000000"&amp;1479,6),LdgRankKeyA,0),"")</f>
        <v/>
      </c>
      <c r="M1495" t="str">
        <f>IFERROR(MATCH($C$5&amp;"|"&amp;RIGHT("000000"&amp;1479,6),LdgRankKeyB,0),"")</f>
        <v/>
      </c>
    </row>
    <row r="1496" spans="1:13" x14ac:dyDescent="0.2">
      <c r="A1496" s="9">
        <v>1480</v>
      </c>
      <c r="B1496" s="10" t="str">
        <f t="shared" si="184"/>
        <v/>
      </c>
      <c r="C1496" s="10" t="str">
        <f t="shared" si="185"/>
        <v/>
      </c>
      <c r="D1496" s="10" t="str">
        <f t="shared" si="186"/>
        <v/>
      </c>
      <c r="E1496" s="11" t="str">
        <f t="shared" si="187"/>
        <v/>
      </c>
      <c r="F1496" s="12" t="str">
        <f t="shared" si="188"/>
        <v/>
      </c>
      <c r="G1496" s="13" t="str">
        <f t="shared" si="189"/>
        <v/>
      </c>
      <c r="H1496" s="13" t="str">
        <f t="shared" si="190"/>
        <v/>
      </c>
      <c r="I1496" s="14" t="str">
        <f t="shared" si="191"/>
        <v/>
      </c>
      <c r="L1496" t="str">
        <f>IFERROR(MATCH($C$5&amp;"|"&amp;RIGHT("000000"&amp;1480,6),LdgRankKeyA,0),"")</f>
        <v/>
      </c>
      <c r="M1496" t="str">
        <f>IFERROR(MATCH($C$5&amp;"|"&amp;RIGHT("000000"&amp;1480,6),LdgRankKeyB,0),"")</f>
        <v/>
      </c>
    </row>
    <row r="1497" spans="1:13" x14ac:dyDescent="0.2">
      <c r="A1497" s="3">
        <v>1481</v>
      </c>
      <c r="B1497" s="4" t="str">
        <f t="shared" si="184"/>
        <v/>
      </c>
      <c r="C1497" s="4" t="str">
        <f t="shared" si="185"/>
        <v/>
      </c>
      <c r="D1497" s="4" t="str">
        <f t="shared" si="186"/>
        <v/>
      </c>
      <c r="E1497" s="5" t="str">
        <f t="shared" si="187"/>
        <v/>
      </c>
      <c r="F1497" s="6" t="str">
        <f t="shared" si="188"/>
        <v/>
      </c>
      <c r="G1497" s="7" t="str">
        <f t="shared" si="189"/>
        <v/>
      </c>
      <c r="H1497" s="7" t="str">
        <f t="shared" si="190"/>
        <v/>
      </c>
      <c r="I1497" s="8" t="str">
        <f t="shared" si="191"/>
        <v/>
      </c>
      <c r="L1497" t="str">
        <f>IFERROR(MATCH($C$5&amp;"|"&amp;RIGHT("000000"&amp;1481,6),LdgRankKeyA,0),"")</f>
        <v/>
      </c>
      <c r="M1497" t="str">
        <f>IFERROR(MATCH($C$5&amp;"|"&amp;RIGHT("000000"&amp;1481,6),LdgRankKeyB,0),"")</f>
        <v/>
      </c>
    </row>
    <row r="1498" spans="1:13" x14ac:dyDescent="0.2">
      <c r="A1498" s="9">
        <v>1482</v>
      </c>
      <c r="B1498" s="10" t="str">
        <f t="shared" si="184"/>
        <v/>
      </c>
      <c r="C1498" s="10" t="str">
        <f t="shared" si="185"/>
        <v/>
      </c>
      <c r="D1498" s="10" t="str">
        <f t="shared" si="186"/>
        <v/>
      </c>
      <c r="E1498" s="11" t="str">
        <f t="shared" si="187"/>
        <v/>
      </c>
      <c r="F1498" s="12" t="str">
        <f t="shared" si="188"/>
        <v/>
      </c>
      <c r="G1498" s="13" t="str">
        <f t="shared" si="189"/>
        <v/>
      </c>
      <c r="H1498" s="13" t="str">
        <f t="shared" si="190"/>
        <v/>
      </c>
      <c r="I1498" s="14" t="str">
        <f t="shared" si="191"/>
        <v/>
      </c>
      <c r="L1498" t="str">
        <f>IFERROR(MATCH($C$5&amp;"|"&amp;RIGHT("000000"&amp;1482,6),LdgRankKeyA,0),"")</f>
        <v/>
      </c>
      <c r="M1498" t="str">
        <f>IFERROR(MATCH($C$5&amp;"|"&amp;RIGHT("000000"&amp;1482,6),LdgRankKeyB,0),"")</f>
        <v/>
      </c>
    </row>
    <row r="1499" spans="1:13" x14ac:dyDescent="0.2">
      <c r="A1499" s="3">
        <v>1483</v>
      </c>
      <c r="B1499" s="4" t="str">
        <f t="shared" si="184"/>
        <v/>
      </c>
      <c r="C1499" s="4" t="str">
        <f t="shared" si="185"/>
        <v/>
      </c>
      <c r="D1499" s="4" t="str">
        <f t="shared" si="186"/>
        <v/>
      </c>
      <c r="E1499" s="5" t="str">
        <f t="shared" si="187"/>
        <v/>
      </c>
      <c r="F1499" s="6" t="str">
        <f t="shared" si="188"/>
        <v/>
      </c>
      <c r="G1499" s="7" t="str">
        <f t="shared" si="189"/>
        <v/>
      </c>
      <c r="H1499" s="7" t="str">
        <f t="shared" si="190"/>
        <v/>
      </c>
      <c r="I1499" s="8" t="str">
        <f t="shared" si="191"/>
        <v/>
      </c>
      <c r="L1499" t="str">
        <f>IFERROR(MATCH($C$5&amp;"|"&amp;RIGHT("000000"&amp;1483,6),LdgRankKeyA,0),"")</f>
        <v/>
      </c>
      <c r="M1499" t="str">
        <f>IFERROR(MATCH($C$5&amp;"|"&amp;RIGHT("000000"&amp;1483,6),LdgRankKeyB,0),"")</f>
        <v/>
      </c>
    </row>
    <row r="1500" spans="1:13" x14ac:dyDescent="0.2">
      <c r="A1500" s="9">
        <v>1484</v>
      </c>
      <c r="B1500" s="10" t="str">
        <f t="shared" si="184"/>
        <v/>
      </c>
      <c r="C1500" s="10" t="str">
        <f t="shared" si="185"/>
        <v/>
      </c>
      <c r="D1500" s="10" t="str">
        <f t="shared" si="186"/>
        <v/>
      </c>
      <c r="E1500" s="11" t="str">
        <f t="shared" si="187"/>
        <v/>
      </c>
      <c r="F1500" s="12" t="str">
        <f t="shared" si="188"/>
        <v/>
      </c>
      <c r="G1500" s="13" t="str">
        <f t="shared" si="189"/>
        <v/>
      </c>
      <c r="H1500" s="13" t="str">
        <f t="shared" si="190"/>
        <v/>
      </c>
      <c r="I1500" s="14" t="str">
        <f t="shared" si="191"/>
        <v/>
      </c>
      <c r="L1500" t="str">
        <f>IFERROR(MATCH($C$5&amp;"|"&amp;RIGHT("000000"&amp;1484,6),LdgRankKeyA,0),"")</f>
        <v/>
      </c>
      <c r="M1500" t="str">
        <f>IFERROR(MATCH($C$5&amp;"|"&amp;RIGHT("000000"&amp;1484,6),LdgRankKeyB,0),"")</f>
        <v/>
      </c>
    </row>
    <row r="1501" spans="1:13" x14ac:dyDescent="0.2">
      <c r="A1501" s="3">
        <v>1485</v>
      </c>
      <c r="B1501" s="4" t="str">
        <f t="shared" si="184"/>
        <v/>
      </c>
      <c r="C1501" s="4" t="str">
        <f t="shared" si="185"/>
        <v/>
      </c>
      <c r="D1501" s="4" t="str">
        <f t="shared" si="186"/>
        <v/>
      </c>
      <c r="E1501" s="5" t="str">
        <f t="shared" si="187"/>
        <v/>
      </c>
      <c r="F1501" s="6" t="str">
        <f t="shared" si="188"/>
        <v/>
      </c>
      <c r="G1501" s="7" t="str">
        <f t="shared" si="189"/>
        <v/>
      </c>
      <c r="H1501" s="7" t="str">
        <f t="shared" si="190"/>
        <v/>
      </c>
      <c r="I1501" s="8" t="str">
        <f t="shared" si="191"/>
        <v/>
      </c>
      <c r="L1501" t="str">
        <f>IFERROR(MATCH($C$5&amp;"|"&amp;RIGHT("000000"&amp;1485,6),LdgRankKeyA,0),"")</f>
        <v/>
      </c>
      <c r="M1501" t="str">
        <f>IFERROR(MATCH($C$5&amp;"|"&amp;RIGHT("000000"&amp;1485,6),LdgRankKeyB,0),"")</f>
        <v/>
      </c>
    </row>
    <row r="1502" spans="1:13" x14ac:dyDescent="0.2">
      <c r="A1502" s="9">
        <v>1486</v>
      </c>
      <c r="B1502" s="10" t="str">
        <f t="shared" si="184"/>
        <v/>
      </c>
      <c r="C1502" s="10" t="str">
        <f t="shared" si="185"/>
        <v/>
      </c>
      <c r="D1502" s="10" t="str">
        <f t="shared" si="186"/>
        <v/>
      </c>
      <c r="E1502" s="11" t="str">
        <f t="shared" si="187"/>
        <v/>
      </c>
      <c r="F1502" s="12" t="str">
        <f t="shared" si="188"/>
        <v/>
      </c>
      <c r="G1502" s="13" t="str">
        <f t="shared" si="189"/>
        <v/>
      </c>
      <c r="H1502" s="13" t="str">
        <f t="shared" si="190"/>
        <v/>
      </c>
      <c r="I1502" s="14" t="str">
        <f t="shared" si="191"/>
        <v/>
      </c>
      <c r="L1502" t="str">
        <f>IFERROR(MATCH($C$5&amp;"|"&amp;RIGHT("000000"&amp;1486,6),LdgRankKeyA,0),"")</f>
        <v/>
      </c>
      <c r="M1502" t="str">
        <f>IFERROR(MATCH($C$5&amp;"|"&amp;RIGHT("000000"&amp;1486,6),LdgRankKeyB,0),"")</f>
        <v/>
      </c>
    </row>
    <row r="1503" spans="1:13" x14ac:dyDescent="0.2">
      <c r="A1503" s="3">
        <v>1487</v>
      </c>
      <c r="B1503" s="4" t="str">
        <f t="shared" si="184"/>
        <v/>
      </c>
      <c r="C1503" s="4" t="str">
        <f t="shared" si="185"/>
        <v/>
      </c>
      <c r="D1503" s="4" t="str">
        <f t="shared" si="186"/>
        <v/>
      </c>
      <c r="E1503" s="5" t="str">
        <f t="shared" si="187"/>
        <v/>
      </c>
      <c r="F1503" s="6" t="str">
        <f t="shared" si="188"/>
        <v/>
      </c>
      <c r="G1503" s="7" t="str">
        <f t="shared" si="189"/>
        <v/>
      </c>
      <c r="H1503" s="7" t="str">
        <f t="shared" si="190"/>
        <v/>
      </c>
      <c r="I1503" s="8" t="str">
        <f t="shared" si="191"/>
        <v/>
      </c>
      <c r="L1503" t="str">
        <f>IFERROR(MATCH($C$5&amp;"|"&amp;RIGHT("000000"&amp;1487,6),LdgRankKeyA,0),"")</f>
        <v/>
      </c>
      <c r="M1503" t="str">
        <f>IFERROR(MATCH($C$5&amp;"|"&amp;RIGHT("000000"&amp;1487,6),LdgRankKeyB,0),"")</f>
        <v/>
      </c>
    </row>
    <row r="1504" spans="1:13" x14ac:dyDescent="0.2">
      <c r="A1504" s="9">
        <v>1488</v>
      </c>
      <c r="B1504" s="10" t="str">
        <f t="shared" si="184"/>
        <v/>
      </c>
      <c r="C1504" s="10" t="str">
        <f t="shared" si="185"/>
        <v/>
      </c>
      <c r="D1504" s="10" t="str">
        <f t="shared" si="186"/>
        <v/>
      </c>
      <c r="E1504" s="11" t="str">
        <f t="shared" si="187"/>
        <v/>
      </c>
      <c r="F1504" s="12" t="str">
        <f t="shared" si="188"/>
        <v/>
      </c>
      <c r="G1504" s="13" t="str">
        <f t="shared" si="189"/>
        <v/>
      </c>
      <c r="H1504" s="13" t="str">
        <f t="shared" si="190"/>
        <v/>
      </c>
      <c r="I1504" s="14" t="str">
        <f t="shared" si="191"/>
        <v/>
      </c>
      <c r="L1504" t="str">
        <f>IFERROR(MATCH($C$5&amp;"|"&amp;RIGHT("000000"&amp;1488,6),LdgRankKeyA,0),"")</f>
        <v/>
      </c>
      <c r="M1504" t="str">
        <f>IFERROR(MATCH($C$5&amp;"|"&amp;RIGHT("000000"&amp;1488,6),LdgRankKeyB,0),"")</f>
        <v/>
      </c>
    </row>
    <row r="1505" spans="1:13" x14ac:dyDescent="0.2">
      <c r="A1505" s="3">
        <v>1489</v>
      </c>
      <c r="B1505" s="4" t="str">
        <f t="shared" si="184"/>
        <v/>
      </c>
      <c r="C1505" s="4" t="str">
        <f t="shared" si="185"/>
        <v/>
      </c>
      <c r="D1505" s="4" t="str">
        <f t="shared" si="186"/>
        <v/>
      </c>
      <c r="E1505" s="5" t="str">
        <f t="shared" si="187"/>
        <v/>
      </c>
      <c r="F1505" s="6" t="str">
        <f t="shared" si="188"/>
        <v/>
      </c>
      <c r="G1505" s="7" t="str">
        <f t="shared" si="189"/>
        <v/>
      </c>
      <c r="H1505" s="7" t="str">
        <f t="shared" si="190"/>
        <v/>
      </c>
      <c r="I1505" s="8" t="str">
        <f t="shared" si="191"/>
        <v/>
      </c>
      <c r="L1505" t="str">
        <f>IFERROR(MATCH($C$5&amp;"|"&amp;RIGHT("000000"&amp;1489,6),LdgRankKeyA,0),"")</f>
        <v/>
      </c>
      <c r="M1505" t="str">
        <f>IFERROR(MATCH($C$5&amp;"|"&amp;RIGHT("000000"&amp;1489,6),LdgRankKeyB,0),"")</f>
        <v/>
      </c>
    </row>
    <row r="1506" spans="1:13" x14ac:dyDescent="0.2">
      <c r="A1506" s="9">
        <v>1490</v>
      </c>
      <c r="B1506" s="10" t="str">
        <f t="shared" si="184"/>
        <v/>
      </c>
      <c r="C1506" s="10" t="str">
        <f t="shared" si="185"/>
        <v/>
      </c>
      <c r="D1506" s="10" t="str">
        <f t="shared" si="186"/>
        <v/>
      </c>
      <c r="E1506" s="11" t="str">
        <f t="shared" si="187"/>
        <v/>
      </c>
      <c r="F1506" s="12" t="str">
        <f t="shared" si="188"/>
        <v/>
      </c>
      <c r="G1506" s="13" t="str">
        <f t="shared" si="189"/>
        <v/>
      </c>
      <c r="H1506" s="13" t="str">
        <f t="shared" si="190"/>
        <v/>
      </c>
      <c r="I1506" s="14" t="str">
        <f t="shared" si="191"/>
        <v/>
      </c>
      <c r="L1506" t="str">
        <f>IFERROR(MATCH($C$5&amp;"|"&amp;RIGHT("000000"&amp;1490,6),LdgRankKeyA,0),"")</f>
        <v/>
      </c>
      <c r="M1506" t="str">
        <f>IFERROR(MATCH($C$5&amp;"|"&amp;RIGHT("000000"&amp;1490,6),LdgRankKeyB,0),"")</f>
        <v/>
      </c>
    </row>
    <row r="1507" spans="1:13" x14ac:dyDescent="0.2">
      <c r="A1507" s="3">
        <v>1491</v>
      </c>
      <c r="B1507" s="4" t="str">
        <f t="shared" si="184"/>
        <v/>
      </c>
      <c r="C1507" s="4" t="str">
        <f t="shared" si="185"/>
        <v/>
      </c>
      <c r="D1507" s="4" t="str">
        <f t="shared" si="186"/>
        <v/>
      </c>
      <c r="E1507" s="5" t="str">
        <f t="shared" si="187"/>
        <v/>
      </c>
      <c r="F1507" s="6" t="str">
        <f t="shared" si="188"/>
        <v/>
      </c>
      <c r="G1507" s="7" t="str">
        <f t="shared" si="189"/>
        <v/>
      </c>
      <c r="H1507" s="7" t="str">
        <f t="shared" si="190"/>
        <v/>
      </c>
      <c r="I1507" s="8" t="str">
        <f t="shared" si="191"/>
        <v/>
      </c>
      <c r="L1507" t="str">
        <f>IFERROR(MATCH($C$5&amp;"|"&amp;RIGHT("000000"&amp;1491,6),LdgRankKeyA,0),"")</f>
        <v/>
      </c>
      <c r="M1507" t="str">
        <f>IFERROR(MATCH($C$5&amp;"|"&amp;RIGHT("000000"&amp;1491,6),LdgRankKeyB,0),"")</f>
        <v/>
      </c>
    </row>
    <row r="1508" spans="1:13" x14ac:dyDescent="0.2">
      <c r="A1508" s="9">
        <v>1492</v>
      </c>
      <c r="B1508" s="10" t="str">
        <f t="shared" si="184"/>
        <v/>
      </c>
      <c r="C1508" s="10" t="str">
        <f t="shared" si="185"/>
        <v/>
      </c>
      <c r="D1508" s="10" t="str">
        <f t="shared" si="186"/>
        <v/>
      </c>
      <c r="E1508" s="11" t="str">
        <f t="shared" si="187"/>
        <v/>
      </c>
      <c r="F1508" s="12" t="str">
        <f t="shared" si="188"/>
        <v/>
      </c>
      <c r="G1508" s="13" t="str">
        <f t="shared" si="189"/>
        <v/>
      </c>
      <c r="H1508" s="13" t="str">
        <f t="shared" si="190"/>
        <v/>
      </c>
      <c r="I1508" s="14" t="str">
        <f t="shared" si="191"/>
        <v/>
      </c>
      <c r="L1508" t="str">
        <f>IFERROR(MATCH($C$5&amp;"|"&amp;RIGHT("000000"&amp;1492,6),LdgRankKeyA,0),"")</f>
        <v/>
      </c>
      <c r="M1508" t="str">
        <f>IFERROR(MATCH($C$5&amp;"|"&amp;RIGHT("000000"&amp;1492,6),LdgRankKeyB,0),"")</f>
        <v/>
      </c>
    </row>
    <row r="1509" spans="1:13" x14ac:dyDescent="0.2">
      <c r="A1509" s="3">
        <v>1493</v>
      </c>
      <c r="B1509" s="4" t="str">
        <f t="shared" si="184"/>
        <v/>
      </c>
      <c r="C1509" s="4" t="str">
        <f t="shared" si="185"/>
        <v/>
      </c>
      <c r="D1509" s="4" t="str">
        <f t="shared" si="186"/>
        <v/>
      </c>
      <c r="E1509" s="5" t="str">
        <f t="shared" si="187"/>
        <v/>
      </c>
      <c r="F1509" s="6" t="str">
        <f t="shared" si="188"/>
        <v/>
      </c>
      <c r="G1509" s="7" t="str">
        <f t="shared" si="189"/>
        <v/>
      </c>
      <c r="H1509" s="7" t="str">
        <f t="shared" si="190"/>
        <v/>
      </c>
      <c r="I1509" s="8" t="str">
        <f t="shared" si="191"/>
        <v/>
      </c>
      <c r="L1509" t="str">
        <f>IFERROR(MATCH($C$5&amp;"|"&amp;RIGHT("000000"&amp;1493,6),LdgRankKeyA,0),"")</f>
        <v/>
      </c>
      <c r="M1509" t="str">
        <f>IFERROR(MATCH($C$5&amp;"|"&amp;RIGHT("000000"&amp;1493,6),LdgRankKeyB,0),"")</f>
        <v/>
      </c>
    </row>
    <row r="1510" spans="1:13" x14ac:dyDescent="0.2">
      <c r="A1510" s="9">
        <v>1494</v>
      </c>
      <c r="B1510" s="10" t="str">
        <f t="shared" si="184"/>
        <v/>
      </c>
      <c r="C1510" s="10" t="str">
        <f t="shared" si="185"/>
        <v/>
      </c>
      <c r="D1510" s="10" t="str">
        <f t="shared" si="186"/>
        <v/>
      </c>
      <c r="E1510" s="11" t="str">
        <f t="shared" si="187"/>
        <v/>
      </c>
      <c r="F1510" s="12" t="str">
        <f t="shared" si="188"/>
        <v/>
      </c>
      <c r="G1510" s="13" t="str">
        <f t="shared" si="189"/>
        <v/>
      </c>
      <c r="H1510" s="13" t="str">
        <f t="shared" si="190"/>
        <v/>
      </c>
      <c r="I1510" s="14" t="str">
        <f t="shared" si="191"/>
        <v/>
      </c>
      <c r="L1510" t="str">
        <f>IFERROR(MATCH($C$5&amp;"|"&amp;RIGHT("000000"&amp;1494,6),LdgRankKeyA,0),"")</f>
        <v/>
      </c>
      <c r="M1510" t="str">
        <f>IFERROR(MATCH($C$5&amp;"|"&amp;RIGHT("000000"&amp;1494,6),LdgRankKeyB,0),"")</f>
        <v/>
      </c>
    </row>
    <row r="1511" spans="1:13" x14ac:dyDescent="0.2">
      <c r="A1511" s="3">
        <v>1495</v>
      </c>
      <c r="B1511" s="4" t="str">
        <f t="shared" si="184"/>
        <v/>
      </c>
      <c r="C1511" s="4" t="str">
        <f t="shared" si="185"/>
        <v/>
      </c>
      <c r="D1511" s="4" t="str">
        <f t="shared" si="186"/>
        <v/>
      </c>
      <c r="E1511" s="5" t="str">
        <f t="shared" si="187"/>
        <v/>
      </c>
      <c r="F1511" s="6" t="str">
        <f t="shared" si="188"/>
        <v/>
      </c>
      <c r="G1511" s="7" t="str">
        <f t="shared" si="189"/>
        <v/>
      </c>
      <c r="H1511" s="7" t="str">
        <f t="shared" si="190"/>
        <v/>
      </c>
      <c r="I1511" s="8" t="str">
        <f t="shared" si="191"/>
        <v/>
      </c>
      <c r="L1511" t="str">
        <f>IFERROR(MATCH($C$5&amp;"|"&amp;RIGHT("000000"&amp;1495,6),LdgRankKeyA,0),"")</f>
        <v/>
      </c>
      <c r="M1511" t="str">
        <f>IFERROR(MATCH($C$5&amp;"|"&amp;RIGHT("000000"&amp;1495,6),LdgRankKeyB,0),"")</f>
        <v/>
      </c>
    </row>
    <row r="1512" spans="1:13" x14ac:dyDescent="0.2">
      <c r="A1512" s="9">
        <v>1496</v>
      </c>
      <c r="B1512" s="10" t="str">
        <f t="shared" si="184"/>
        <v/>
      </c>
      <c r="C1512" s="10" t="str">
        <f t="shared" si="185"/>
        <v/>
      </c>
      <c r="D1512" s="10" t="str">
        <f t="shared" si="186"/>
        <v/>
      </c>
      <c r="E1512" s="11" t="str">
        <f t="shared" si="187"/>
        <v/>
      </c>
      <c r="F1512" s="12" t="str">
        <f t="shared" si="188"/>
        <v/>
      </c>
      <c r="G1512" s="13" t="str">
        <f t="shared" si="189"/>
        <v/>
      </c>
      <c r="H1512" s="13" t="str">
        <f t="shared" si="190"/>
        <v/>
      </c>
      <c r="I1512" s="14" t="str">
        <f t="shared" si="191"/>
        <v/>
      </c>
      <c r="L1512" t="str">
        <f>IFERROR(MATCH($C$5&amp;"|"&amp;RIGHT("000000"&amp;1496,6),LdgRankKeyA,0),"")</f>
        <v/>
      </c>
      <c r="M1512" t="str">
        <f>IFERROR(MATCH($C$5&amp;"|"&amp;RIGHT("000000"&amp;1496,6),LdgRankKeyB,0),"")</f>
        <v/>
      </c>
    </row>
    <row r="1513" spans="1:13" x14ac:dyDescent="0.2">
      <c r="A1513" s="3">
        <v>1497</v>
      </c>
      <c r="B1513" s="4" t="str">
        <f t="shared" si="184"/>
        <v/>
      </c>
      <c r="C1513" s="4" t="str">
        <f t="shared" si="185"/>
        <v/>
      </c>
      <c r="D1513" s="4" t="str">
        <f t="shared" si="186"/>
        <v/>
      </c>
      <c r="E1513" s="5" t="str">
        <f t="shared" si="187"/>
        <v/>
      </c>
      <c r="F1513" s="6" t="str">
        <f t="shared" si="188"/>
        <v/>
      </c>
      <c r="G1513" s="7" t="str">
        <f t="shared" si="189"/>
        <v/>
      </c>
      <c r="H1513" s="7" t="str">
        <f t="shared" si="190"/>
        <v/>
      </c>
      <c r="I1513" s="8" t="str">
        <f t="shared" si="191"/>
        <v/>
      </c>
      <c r="L1513" t="str">
        <f>IFERROR(MATCH($C$5&amp;"|"&amp;RIGHT("000000"&amp;1497,6),LdgRankKeyA,0),"")</f>
        <v/>
      </c>
      <c r="M1513" t="str">
        <f>IFERROR(MATCH($C$5&amp;"|"&amp;RIGHT("000000"&amp;1497,6),LdgRankKeyB,0),"")</f>
        <v/>
      </c>
    </row>
    <row r="1514" spans="1:13" x14ac:dyDescent="0.2">
      <c r="A1514" s="9">
        <v>1498</v>
      </c>
      <c r="B1514" s="10" t="str">
        <f t="shared" si="184"/>
        <v/>
      </c>
      <c r="C1514" s="10" t="str">
        <f t="shared" si="185"/>
        <v/>
      </c>
      <c r="D1514" s="10" t="str">
        <f t="shared" si="186"/>
        <v/>
      </c>
      <c r="E1514" s="11" t="str">
        <f t="shared" si="187"/>
        <v/>
      </c>
      <c r="F1514" s="12" t="str">
        <f t="shared" si="188"/>
        <v/>
      </c>
      <c r="G1514" s="13" t="str">
        <f t="shared" si="189"/>
        <v/>
      </c>
      <c r="H1514" s="13" t="str">
        <f t="shared" si="190"/>
        <v/>
      </c>
      <c r="I1514" s="14" t="str">
        <f t="shared" si="191"/>
        <v/>
      </c>
      <c r="L1514" t="str">
        <f>IFERROR(MATCH($C$5&amp;"|"&amp;RIGHT("000000"&amp;1498,6),LdgRankKeyA,0),"")</f>
        <v/>
      </c>
      <c r="M1514" t="str">
        <f>IFERROR(MATCH($C$5&amp;"|"&amp;RIGHT("000000"&amp;1498,6),LdgRankKeyB,0),"")</f>
        <v/>
      </c>
    </row>
    <row r="1515" spans="1:13" x14ac:dyDescent="0.2">
      <c r="A1515" s="3">
        <v>1499</v>
      </c>
      <c r="B1515" s="4" t="str">
        <f t="shared" si="184"/>
        <v/>
      </c>
      <c r="C1515" s="4" t="str">
        <f t="shared" si="185"/>
        <v/>
      </c>
      <c r="D1515" s="4" t="str">
        <f t="shared" si="186"/>
        <v/>
      </c>
      <c r="E1515" s="5" t="str">
        <f t="shared" si="187"/>
        <v/>
      </c>
      <c r="F1515" s="6" t="str">
        <f t="shared" si="188"/>
        <v/>
      </c>
      <c r="G1515" s="7" t="str">
        <f t="shared" si="189"/>
        <v/>
      </c>
      <c r="H1515" s="7" t="str">
        <f t="shared" si="190"/>
        <v/>
      </c>
      <c r="I1515" s="8" t="str">
        <f t="shared" si="191"/>
        <v/>
      </c>
      <c r="L1515" t="str">
        <f>IFERROR(MATCH($C$5&amp;"|"&amp;RIGHT("000000"&amp;1499,6),LdgRankKeyA,0),"")</f>
        <v/>
      </c>
      <c r="M1515" t="str">
        <f>IFERROR(MATCH($C$5&amp;"|"&amp;RIGHT("000000"&amp;1499,6),LdgRankKeyB,0),"")</f>
        <v/>
      </c>
    </row>
    <row r="1516" spans="1:13" x14ac:dyDescent="0.2">
      <c r="A1516" s="9">
        <v>1500</v>
      </c>
      <c r="B1516" s="10" t="str">
        <f t="shared" si="184"/>
        <v/>
      </c>
      <c r="C1516" s="10" t="str">
        <f t="shared" si="185"/>
        <v/>
      </c>
      <c r="D1516" s="10" t="str">
        <f t="shared" si="186"/>
        <v/>
      </c>
      <c r="E1516" s="11" t="str">
        <f t="shared" si="187"/>
        <v/>
      </c>
      <c r="F1516" s="12" t="str">
        <f t="shared" si="188"/>
        <v/>
      </c>
      <c r="G1516" s="13" t="str">
        <f t="shared" si="189"/>
        <v/>
      </c>
      <c r="H1516" s="13" t="str">
        <f t="shared" si="190"/>
        <v/>
      </c>
      <c r="I1516" s="14" t="str">
        <f t="shared" si="191"/>
        <v/>
      </c>
      <c r="L1516" t="str">
        <f>IFERROR(MATCH($C$5&amp;"|"&amp;RIGHT("000000"&amp;1500,6),LdgRankKeyA,0),"")</f>
        <v/>
      </c>
      <c r="M1516" t="str">
        <f>IFERROR(MATCH($C$5&amp;"|"&amp;RIGHT("000000"&amp;1500,6),LdgRankKeyB,0),"")</f>
        <v/>
      </c>
    </row>
    <row r="1517" spans="1:13" x14ac:dyDescent="0.2">
      <c r="A1517" s="3">
        <v>1501</v>
      </c>
      <c r="B1517" s="4" t="str">
        <f t="shared" si="184"/>
        <v/>
      </c>
      <c r="C1517" s="4" t="str">
        <f t="shared" si="185"/>
        <v/>
      </c>
      <c r="D1517" s="4" t="str">
        <f t="shared" si="186"/>
        <v/>
      </c>
      <c r="E1517" s="5" t="str">
        <f t="shared" si="187"/>
        <v/>
      </c>
      <c r="F1517" s="6" t="str">
        <f t="shared" si="188"/>
        <v/>
      </c>
      <c r="G1517" s="7" t="str">
        <f t="shared" si="189"/>
        <v/>
      </c>
      <c r="H1517" s="7" t="str">
        <f t="shared" si="190"/>
        <v/>
      </c>
      <c r="I1517" s="8" t="str">
        <f t="shared" si="191"/>
        <v/>
      </c>
      <c r="L1517" t="str">
        <f>IFERROR(MATCH($C$5&amp;"|"&amp;RIGHT("000000"&amp;1501,6),LdgRankKeyA,0),"")</f>
        <v/>
      </c>
      <c r="M1517" t="str">
        <f>IFERROR(MATCH($C$5&amp;"|"&amp;RIGHT("000000"&amp;1501,6),LdgRankKeyB,0),"")</f>
        <v/>
      </c>
    </row>
    <row r="1518" spans="1:13" x14ac:dyDescent="0.2">
      <c r="A1518" s="9">
        <v>1502</v>
      </c>
      <c r="B1518" s="10" t="str">
        <f t="shared" si="184"/>
        <v/>
      </c>
      <c r="C1518" s="10" t="str">
        <f t="shared" si="185"/>
        <v/>
      </c>
      <c r="D1518" s="10" t="str">
        <f t="shared" si="186"/>
        <v/>
      </c>
      <c r="E1518" s="11" t="str">
        <f t="shared" si="187"/>
        <v/>
      </c>
      <c r="F1518" s="12" t="str">
        <f t="shared" si="188"/>
        <v/>
      </c>
      <c r="G1518" s="13" t="str">
        <f t="shared" si="189"/>
        <v/>
      </c>
      <c r="H1518" s="13" t="str">
        <f t="shared" si="190"/>
        <v/>
      </c>
      <c r="I1518" s="14" t="str">
        <f t="shared" si="191"/>
        <v/>
      </c>
      <c r="L1518" t="str">
        <f>IFERROR(MATCH($C$5&amp;"|"&amp;RIGHT("000000"&amp;1502,6),LdgRankKeyA,0),"")</f>
        <v/>
      </c>
      <c r="M1518" t="str">
        <f>IFERROR(MATCH($C$5&amp;"|"&amp;RIGHT("000000"&amp;1502,6),LdgRankKeyB,0),"")</f>
        <v/>
      </c>
    </row>
    <row r="1519" spans="1:13" x14ac:dyDescent="0.2">
      <c r="A1519" s="3">
        <v>1503</v>
      </c>
      <c r="B1519" s="4" t="str">
        <f t="shared" si="184"/>
        <v/>
      </c>
      <c r="C1519" s="4" t="str">
        <f t="shared" si="185"/>
        <v/>
      </c>
      <c r="D1519" s="4" t="str">
        <f t="shared" si="186"/>
        <v/>
      </c>
      <c r="E1519" s="5" t="str">
        <f t="shared" si="187"/>
        <v/>
      </c>
      <c r="F1519" s="6" t="str">
        <f t="shared" si="188"/>
        <v/>
      </c>
      <c r="G1519" s="7" t="str">
        <f t="shared" si="189"/>
        <v/>
      </c>
      <c r="H1519" s="7" t="str">
        <f t="shared" si="190"/>
        <v/>
      </c>
      <c r="I1519" s="8" t="str">
        <f t="shared" si="191"/>
        <v/>
      </c>
      <c r="L1519" t="str">
        <f>IFERROR(MATCH($C$5&amp;"|"&amp;RIGHT("000000"&amp;1503,6),LdgRankKeyA,0),"")</f>
        <v/>
      </c>
      <c r="M1519" t="str">
        <f>IFERROR(MATCH($C$5&amp;"|"&amp;RIGHT("000000"&amp;1503,6),LdgRankKeyB,0),"")</f>
        <v/>
      </c>
    </row>
    <row r="1520" spans="1:13" x14ac:dyDescent="0.2">
      <c r="A1520" s="9">
        <v>1504</v>
      </c>
      <c r="B1520" s="10" t="str">
        <f t="shared" si="184"/>
        <v/>
      </c>
      <c r="C1520" s="10" t="str">
        <f t="shared" si="185"/>
        <v/>
      </c>
      <c r="D1520" s="10" t="str">
        <f t="shared" si="186"/>
        <v/>
      </c>
      <c r="E1520" s="11" t="str">
        <f t="shared" si="187"/>
        <v/>
      </c>
      <c r="F1520" s="12" t="str">
        <f t="shared" si="188"/>
        <v/>
      </c>
      <c r="G1520" s="13" t="str">
        <f t="shared" si="189"/>
        <v/>
      </c>
      <c r="H1520" s="13" t="str">
        <f t="shared" si="190"/>
        <v/>
      </c>
      <c r="I1520" s="14" t="str">
        <f t="shared" si="191"/>
        <v/>
      </c>
      <c r="L1520" t="str">
        <f>IFERROR(MATCH($C$5&amp;"|"&amp;RIGHT("000000"&amp;1504,6),LdgRankKeyA,0),"")</f>
        <v/>
      </c>
      <c r="M1520" t="str">
        <f>IFERROR(MATCH($C$5&amp;"|"&amp;RIGHT("000000"&amp;1504,6),LdgRankKeyB,0),"")</f>
        <v/>
      </c>
    </row>
    <row r="1521" spans="1:13" x14ac:dyDescent="0.2">
      <c r="A1521" s="3">
        <v>1505</v>
      </c>
      <c r="B1521" s="4" t="str">
        <f t="shared" si="184"/>
        <v/>
      </c>
      <c r="C1521" s="4" t="str">
        <f t="shared" si="185"/>
        <v/>
      </c>
      <c r="D1521" s="4" t="str">
        <f t="shared" si="186"/>
        <v/>
      </c>
      <c r="E1521" s="5" t="str">
        <f t="shared" si="187"/>
        <v/>
      </c>
      <c r="F1521" s="6" t="str">
        <f t="shared" si="188"/>
        <v/>
      </c>
      <c r="G1521" s="7" t="str">
        <f t="shared" si="189"/>
        <v/>
      </c>
      <c r="H1521" s="7" t="str">
        <f t="shared" si="190"/>
        <v/>
      </c>
      <c r="I1521" s="8" t="str">
        <f t="shared" si="191"/>
        <v/>
      </c>
      <c r="L1521" t="str">
        <f>IFERROR(MATCH($C$5&amp;"|"&amp;RIGHT("000000"&amp;1505,6),LdgRankKeyA,0),"")</f>
        <v/>
      </c>
      <c r="M1521" t="str">
        <f>IFERROR(MATCH($C$5&amp;"|"&amp;RIGHT("000000"&amp;1505,6),LdgRankKeyB,0),"")</f>
        <v/>
      </c>
    </row>
    <row r="1522" spans="1:13" x14ac:dyDescent="0.2">
      <c r="A1522" s="9">
        <v>1506</v>
      </c>
      <c r="B1522" s="10" t="str">
        <f t="shared" si="184"/>
        <v/>
      </c>
      <c r="C1522" s="10" t="str">
        <f t="shared" si="185"/>
        <v/>
      </c>
      <c r="D1522" s="10" t="str">
        <f t="shared" si="186"/>
        <v/>
      </c>
      <c r="E1522" s="11" t="str">
        <f t="shared" si="187"/>
        <v/>
      </c>
      <c r="F1522" s="12" t="str">
        <f t="shared" si="188"/>
        <v/>
      </c>
      <c r="G1522" s="13" t="str">
        <f t="shared" si="189"/>
        <v/>
      </c>
      <c r="H1522" s="13" t="str">
        <f t="shared" si="190"/>
        <v/>
      </c>
      <c r="I1522" s="14" t="str">
        <f t="shared" si="191"/>
        <v/>
      </c>
      <c r="L1522" t="str">
        <f>IFERROR(MATCH($C$5&amp;"|"&amp;RIGHT("000000"&amp;1506,6),LdgRankKeyA,0),"")</f>
        <v/>
      </c>
      <c r="M1522" t="str">
        <f>IFERROR(MATCH($C$5&amp;"|"&amp;RIGHT("000000"&amp;1506,6),LdgRankKeyB,0),"")</f>
        <v/>
      </c>
    </row>
    <row r="1523" spans="1:13" x14ac:dyDescent="0.2">
      <c r="A1523" s="3">
        <v>1507</v>
      </c>
      <c r="B1523" s="4" t="str">
        <f t="shared" si="184"/>
        <v/>
      </c>
      <c r="C1523" s="4" t="str">
        <f t="shared" si="185"/>
        <v/>
      </c>
      <c r="D1523" s="4" t="str">
        <f t="shared" si="186"/>
        <v/>
      </c>
      <c r="E1523" s="5" t="str">
        <f t="shared" si="187"/>
        <v/>
      </c>
      <c r="F1523" s="6" t="str">
        <f t="shared" si="188"/>
        <v/>
      </c>
      <c r="G1523" s="7" t="str">
        <f t="shared" si="189"/>
        <v/>
      </c>
      <c r="H1523" s="7" t="str">
        <f t="shared" si="190"/>
        <v/>
      </c>
      <c r="I1523" s="8" t="str">
        <f t="shared" si="191"/>
        <v/>
      </c>
      <c r="L1523" t="str">
        <f>IFERROR(MATCH($C$5&amp;"|"&amp;RIGHT("000000"&amp;1507,6),LdgRankKeyA,0),"")</f>
        <v/>
      </c>
      <c r="M1523" t="str">
        <f>IFERROR(MATCH($C$5&amp;"|"&amp;RIGHT("000000"&amp;1507,6),LdgRankKeyB,0),"")</f>
        <v/>
      </c>
    </row>
    <row r="1524" spans="1:13" x14ac:dyDescent="0.2">
      <c r="A1524" s="9">
        <v>1508</v>
      </c>
      <c r="B1524" s="10" t="str">
        <f t="shared" si="184"/>
        <v/>
      </c>
      <c r="C1524" s="10" t="str">
        <f t="shared" si="185"/>
        <v/>
      </c>
      <c r="D1524" s="10" t="str">
        <f t="shared" si="186"/>
        <v/>
      </c>
      <c r="E1524" s="11" t="str">
        <f t="shared" si="187"/>
        <v/>
      </c>
      <c r="F1524" s="12" t="str">
        <f t="shared" si="188"/>
        <v/>
      </c>
      <c r="G1524" s="13" t="str">
        <f t="shared" si="189"/>
        <v/>
      </c>
      <c r="H1524" s="13" t="str">
        <f t="shared" si="190"/>
        <v/>
      </c>
      <c r="I1524" s="14" t="str">
        <f t="shared" si="191"/>
        <v/>
      </c>
      <c r="L1524" t="str">
        <f>IFERROR(MATCH($C$5&amp;"|"&amp;RIGHT("000000"&amp;1508,6),LdgRankKeyA,0),"")</f>
        <v/>
      </c>
      <c r="M1524" t="str">
        <f>IFERROR(MATCH($C$5&amp;"|"&amp;RIGHT("000000"&amp;1508,6),LdgRankKeyB,0),"")</f>
        <v/>
      </c>
    </row>
    <row r="1525" spans="1:13" x14ac:dyDescent="0.2">
      <c r="A1525" s="3">
        <v>1509</v>
      </c>
      <c r="B1525" s="4" t="str">
        <f t="shared" si="184"/>
        <v/>
      </c>
      <c r="C1525" s="4" t="str">
        <f t="shared" si="185"/>
        <v/>
      </c>
      <c r="D1525" s="4" t="str">
        <f t="shared" si="186"/>
        <v/>
      </c>
      <c r="E1525" s="5" t="str">
        <f t="shared" si="187"/>
        <v/>
      </c>
      <c r="F1525" s="6" t="str">
        <f t="shared" si="188"/>
        <v/>
      </c>
      <c r="G1525" s="7" t="str">
        <f t="shared" si="189"/>
        <v/>
      </c>
      <c r="H1525" s="7" t="str">
        <f t="shared" si="190"/>
        <v/>
      </c>
      <c r="I1525" s="8" t="str">
        <f t="shared" si="191"/>
        <v/>
      </c>
      <c r="L1525" t="str">
        <f>IFERROR(MATCH($C$5&amp;"|"&amp;RIGHT("000000"&amp;1509,6),LdgRankKeyA,0),"")</f>
        <v/>
      </c>
      <c r="M1525" t="str">
        <f>IFERROR(MATCH($C$5&amp;"|"&amp;RIGHT("000000"&amp;1509,6),LdgRankKeyB,0),"")</f>
        <v/>
      </c>
    </row>
    <row r="1526" spans="1:13" x14ac:dyDescent="0.2">
      <c r="A1526" s="9">
        <v>1510</v>
      </c>
      <c r="B1526" s="10" t="str">
        <f t="shared" si="184"/>
        <v/>
      </c>
      <c r="C1526" s="10" t="str">
        <f t="shared" si="185"/>
        <v/>
      </c>
      <c r="D1526" s="10" t="str">
        <f t="shared" si="186"/>
        <v/>
      </c>
      <c r="E1526" s="11" t="str">
        <f t="shared" si="187"/>
        <v/>
      </c>
      <c r="F1526" s="12" t="str">
        <f t="shared" si="188"/>
        <v/>
      </c>
      <c r="G1526" s="13" t="str">
        <f t="shared" si="189"/>
        <v/>
      </c>
      <c r="H1526" s="13" t="str">
        <f t="shared" si="190"/>
        <v/>
      </c>
      <c r="I1526" s="14" t="str">
        <f t="shared" si="191"/>
        <v/>
      </c>
      <c r="L1526" t="str">
        <f>IFERROR(MATCH($C$5&amp;"|"&amp;RIGHT("000000"&amp;1510,6),LdgRankKeyA,0),"")</f>
        <v/>
      </c>
      <c r="M1526" t="str">
        <f>IFERROR(MATCH($C$5&amp;"|"&amp;RIGHT("000000"&amp;1510,6),LdgRankKeyB,0),"")</f>
        <v/>
      </c>
    </row>
    <row r="1527" spans="1:13" x14ac:dyDescent="0.2">
      <c r="A1527" s="3">
        <v>1511</v>
      </c>
      <c r="B1527" s="4" t="str">
        <f t="shared" si="184"/>
        <v/>
      </c>
      <c r="C1527" s="4" t="str">
        <f t="shared" si="185"/>
        <v/>
      </c>
      <c r="D1527" s="4" t="str">
        <f t="shared" si="186"/>
        <v/>
      </c>
      <c r="E1527" s="5" t="str">
        <f t="shared" si="187"/>
        <v/>
      </c>
      <c r="F1527" s="6" t="str">
        <f t="shared" si="188"/>
        <v/>
      </c>
      <c r="G1527" s="7" t="str">
        <f t="shared" si="189"/>
        <v/>
      </c>
      <c r="H1527" s="7" t="str">
        <f t="shared" si="190"/>
        <v/>
      </c>
      <c r="I1527" s="8" t="str">
        <f t="shared" si="191"/>
        <v/>
      </c>
      <c r="L1527" t="str">
        <f>IFERROR(MATCH($C$5&amp;"|"&amp;RIGHT("000000"&amp;1511,6),LdgRankKeyA,0),"")</f>
        <v/>
      </c>
      <c r="M1527" t="str">
        <f>IFERROR(MATCH($C$5&amp;"|"&amp;RIGHT("000000"&amp;1511,6),LdgRankKeyB,0),"")</f>
        <v/>
      </c>
    </row>
    <row r="1528" spans="1:13" x14ac:dyDescent="0.2">
      <c r="A1528" s="9">
        <v>1512</v>
      </c>
      <c r="B1528" s="10" t="str">
        <f t="shared" si="184"/>
        <v/>
      </c>
      <c r="C1528" s="10" t="str">
        <f t="shared" si="185"/>
        <v/>
      </c>
      <c r="D1528" s="10" t="str">
        <f t="shared" si="186"/>
        <v/>
      </c>
      <c r="E1528" s="11" t="str">
        <f t="shared" si="187"/>
        <v/>
      </c>
      <c r="F1528" s="12" t="str">
        <f t="shared" si="188"/>
        <v/>
      </c>
      <c r="G1528" s="13" t="str">
        <f t="shared" si="189"/>
        <v/>
      </c>
      <c r="H1528" s="13" t="str">
        <f t="shared" si="190"/>
        <v/>
      </c>
      <c r="I1528" s="14" t="str">
        <f t="shared" si="191"/>
        <v/>
      </c>
      <c r="L1528" t="str">
        <f>IFERROR(MATCH($C$5&amp;"|"&amp;RIGHT("000000"&amp;1512,6),LdgRankKeyA,0),"")</f>
        <v/>
      </c>
      <c r="M1528" t="str">
        <f>IFERROR(MATCH($C$5&amp;"|"&amp;RIGHT("000000"&amp;1512,6),LdgRankKeyB,0),"")</f>
        <v/>
      </c>
    </row>
    <row r="1529" spans="1:13" x14ac:dyDescent="0.2">
      <c r="A1529" s="3">
        <v>1513</v>
      </c>
      <c r="B1529" s="4" t="str">
        <f t="shared" si="184"/>
        <v/>
      </c>
      <c r="C1529" s="4" t="str">
        <f t="shared" si="185"/>
        <v/>
      </c>
      <c r="D1529" s="4" t="str">
        <f t="shared" si="186"/>
        <v/>
      </c>
      <c r="E1529" s="5" t="str">
        <f t="shared" si="187"/>
        <v/>
      </c>
      <c r="F1529" s="6" t="str">
        <f t="shared" si="188"/>
        <v/>
      </c>
      <c r="G1529" s="7" t="str">
        <f t="shared" si="189"/>
        <v/>
      </c>
      <c r="H1529" s="7" t="str">
        <f t="shared" si="190"/>
        <v/>
      </c>
      <c r="I1529" s="8" t="str">
        <f t="shared" si="191"/>
        <v/>
      </c>
      <c r="L1529" t="str">
        <f>IFERROR(MATCH($C$5&amp;"|"&amp;RIGHT("000000"&amp;1513,6),LdgRankKeyA,0),"")</f>
        <v/>
      </c>
      <c r="M1529" t="str">
        <f>IFERROR(MATCH($C$5&amp;"|"&amp;RIGHT("000000"&amp;1513,6),LdgRankKeyB,0),"")</f>
        <v/>
      </c>
    </row>
    <row r="1530" spans="1:13" x14ac:dyDescent="0.2">
      <c r="A1530" s="9">
        <v>1514</v>
      </c>
      <c r="B1530" s="10" t="str">
        <f t="shared" si="184"/>
        <v/>
      </c>
      <c r="C1530" s="10" t="str">
        <f t="shared" si="185"/>
        <v/>
      </c>
      <c r="D1530" s="10" t="str">
        <f t="shared" si="186"/>
        <v/>
      </c>
      <c r="E1530" s="11" t="str">
        <f t="shared" si="187"/>
        <v/>
      </c>
      <c r="F1530" s="12" t="str">
        <f t="shared" si="188"/>
        <v/>
      </c>
      <c r="G1530" s="13" t="str">
        <f t="shared" si="189"/>
        <v/>
      </c>
      <c r="H1530" s="13" t="str">
        <f t="shared" si="190"/>
        <v/>
      </c>
      <c r="I1530" s="14" t="str">
        <f t="shared" si="191"/>
        <v/>
      </c>
      <c r="L1530" t="str">
        <f>IFERROR(MATCH($C$5&amp;"|"&amp;RIGHT("000000"&amp;1514,6),LdgRankKeyA,0),"")</f>
        <v/>
      </c>
      <c r="M1530" t="str">
        <f>IFERROR(MATCH($C$5&amp;"|"&amp;RIGHT("000000"&amp;1514,6),LdgRankKeyB,0),"")</f>
        <v/>
      </c>
    </row>
    <row r="1531" spans="1:13" x14ac:dyDescent="0.2">
      <c r="A1531" s="3">
        <v>1515</v>
      </c>
      <c r="B1531" s="4" t="str">
        <f t="shared" si="184"/>
        <v/>
      </c>
      <c r="C1531" s="4" t="str">
        <f t="shared" si="185"/>
        <v/>
      </c>
      <c r="D1531" s="4" t="str">
        <f t="shared" si="186"/>
        <v/>
      </c>
      <c r="E1531" s="5" t="str">
        <f t="shared" si="187"/>
        <v/>
      </c>
      <c r="F1531" s="6" t="str">
        <f t="shared" si="188"/>
        <v/>
      </c>
      <c r="G1531" s="7" t="str">
        <f t="shared" si="189"/>
        <v/>
      </c>
      <c r="H1531" s="7" t="str">
        <f t="shared" si="190"/>
        <v/>
      </c>
      <c r="I1531" s="8" t="str">
        <f t="shared" si="191"/>
        <v/>
      </c>
      <c r="L1531" t="str">
        <f>IFERROR(MATCH($C$5&amp;"|"&amp;RIGHT("000000"&amp;1515,6),LdgRankKeyA,0),"")</f>
        <v/>
      </c>
      <c r="M1531" t="str">
        <f>IFERROR(MATCH($C$5&amp;"|"&amp;RIGHT("000000"&amp;1515,6),LdgRankKeyB,0),"")</f>
        <v/>
      </c>
    </row>
    <row r="1532" spans="1:13" x14ac:dyDescent="0.2">
      <c r="A1532" s="9">
        <v>1516</v>
      </c>
      <c r="B1532" s="10" t="str">
        <f t="shared" si="184"/>
        <v/>
      </c>
      <c r="C1532" s="10" t="str">
        <f t="shared" si="185"/>
        <v/>
      </c>
      <c r="D1532" s="10" t="str">
        <f t="shared" si="186"/>
        <v/>
      </c>
      <c r="E1532" s="11" t="str">
        <f t="shared" si="187"/>
        <v/>
      </c>
      <c r="F1532" s="12" t="str">
        <f t="shared" si="188"/>
        <v/>
      </c>
      <c r="G1532" s="13" t="str">
        <f t="shared" si="189"/>
        <v/>
      </c>
      <c r="H1532" s="13" t="str">
        <f t="shared" si="190"/>
        <v/>
      </c>
      <c r="I1532" s="14" t="str">
        <f t="shared" si="191"/>
        <v/>
      </c>
      <c r="L1532" t="str">
        <f>IFERROR(MATCH($C$5&amp;"|"&amp;RIGHT("000000"&amp;1516,6),LdgRankKeyA,0),"")</f>
        <v/>
      </c>
      <c r="M1532" t="str">
        <f>IFERROR(MATCH($C$5&amp;"|"&amp;RIGHT("000000"&amp;1516,6),LdgRankKeyB,0),"")</f>
        <v/>
      </c>
    </row>
    <row r="1533" spans="1:13" x14ac:dyDescent="0.2">
      <c r="A1533" s="3">
        <v>1517</v>
      </c>
      <c r="B1533" s="4" t="str">
        <f t="shared" si="184"/>
        <v/>
      </c>
      <c r="C1533" s="4" t="str">
        <f t="shared" si="185"/>
        <v/>
      </c>
      <c r="D1533" s="4" t="str">
        <f t="shared" si="186"/>
        <v/>
      </c>
      <c r="E1533" s="5" t="str">
        <f t="shared" si="187"/>
        <v/>
      </c>
      <c r="F1533" s="6" t="str">
        <f t="shared" si="188"/>
        <v/>
      </c>
      <c r="G1533" s="7" t="str">
        <f t="shared" si="189"/>
        <v/>
      </c>
      <c r="H1533" s="7" t="str">
        <f t="shared" si="190"/>
        <v/>
      </c>
      <c r="I1533" s="8" t="str">
        <f t="shared" si="191"/>
        <v/>
      </c>
      <c r="L1533" t="str">
        <f>IFERROR(MATCH($C$5&amp;"|"&amp;RIGHT("000000"&amp;1517,6),LdgRankKeyA,0),"")</f>
        <v/>
      </c>
      <c r="M1533" t="str">
        <f>IFERROR(MATCH($C$5&amp;"|"&amp;RIGHT("000000"&amp;1517,6),LdgRankKeyB,0),"")</f>
        <v/>
      </c>
    </row>
    <row r="1534" spans="1:13" x14ac:dyDescent="0.2">
      <c r="A1534" s="9">
        <v>1518</v>
      </c>
      <c r="B1534" s="10" t="str">
        <f t="shared" si="184"/>
        <v/>
      </c>
      <c r="C1534" s="10" t="str">
        <f t="shared" si="185"/>
        <v/>
      </c>
      <c r="D1534" s="10" t="str">
        <f t="shared" si="186"/>
        <v/>
      </c>
      <c r="E1534" s="11" t="str">
        <f t="shared" si="187"/>
        <v/>
      </c>
      <c r="F1534" s="12" t="str">
        <f t="shared" si="188"/>
        <v/>
      </c>
      <c r="G1534" s="13" t="str">
        <f t="shared" si="189"/>
        <v/>
      </c>
      <c r="H1534" s="13" t="str">
        <f t="shared" si="190"/>
        <v/>
      </c>
      <c r="I1534" s="14" t="str">
        <f t="shared" si="191"/>
        <v/>
      </c>
      <c r="L1534" t="str">
        <f>IFERROR(MATCH($C$5&amp;"|"&amp;RIGHT("000000"&amp;1518,6),LdgRankKeyA,0),"")</f>
        <v/>
      </c>
      <c r="M1534" t="str">
        <f>IFERROR(MATCH($C$5&amp;"|"&amp;RIGHT("000000"&amp;1518,6),LdgRankKeyB,0),"")</f>
        <v/>
      </c>
    </row>
    <row r="1535" spans="1:13" x14ac:dyDescent="0.2">
      <c r="A1535" s="3">
        <v>1519</v>
      </c>
      <c r="B1535" s="4" t="str">
        <f t="shared" si="184"/>
        <v/>
      </c>
      <c r="C1535" s="4" t="str">
        <f t="shared" si="185"/>
        <v/>
      </c>
      <c r="D1535" s="4" t="str">
        <f t="shared" si="186"/>
        <v/>
      </c>
      <c r="E1535" s="5" t="str">
        <f t="shared" si="187"/>
        <v/>
      </c>
      <c r="F1535" s="6" t="str">
        <f t="shared" si="188"/>
        <v/>
      </c>
      <c r="G1535" s="7" t="str">
        <f t="shared" si="189"/>
        <v/>
      </c>
      <c r="H1535" s="7" t="str">
        <f t="shared" si="190"/>
        <v/>
      </c>
      <c r="I1535" s="8" t="str">
        <f t="shared" si="191"/>
        <v/>
      </c>
      <c r="L1535" t="str">
        <f>IFERROR(MATCH($C$5&amp;"|"&amp;RIGHT("000000"&amp;1519,6),LdgRankKeyA,0),"")</f>
        <v/>
      </c>
      <c r="M1535" t="str">
        <f>IFERROR(MATCH($C$5&amp;"|"&amp;RIGHT("000000"&amp;1519,6),LdgRankKeyB,0),"")</f>
        <v/>
      </c>
    </row>
    <row r="1536" spans="1:13" x14ac:dyDescent="0.2">
      <c r="A1536" s="9">
        <v>1520</v>
      </c>
      <c r="B1536" s="10" t="str">
        <f t="shared" si="184"/>
        <v/>
      </c>
      <c r="C1536" s="10" t="str">
        <f t="shared" si="185"/>
        <v/>
      </c>
      <c r="D1536" s="10" t="str">
        <f t="shared" si="186"/>
        <v/>
      </c>
      <c r="E1536" s="11" t="str">
        <f t="shared" si="187"/>
        <v/>
      </c>
      <c r="F1536" s="12" t="str">
        <f t="shared" si="188"/>
        <v/>
      </c>
      <c r="G1536" s="13" t="str">
        <f t="shared" si="189"/>
        <v/>
      </c>
      <c r="H1536" s="13" t="str">
        <f t="shared" si="190"/>
        <v/>
      </c>
      <c r="I1536" s="14" t="str">
        <f t="shared" si="191"/>
        <v/>
      </c>
      <c r="L1536" t="str">
        <f>IFERROR(MATCH($C$5&amp;"|"&amp;RIGHT("000000"&amp;1520,6),LdgRankKeyA,0),"")</f>
        <v/>
      </c>
      <c r="M1536" t="str">
        <f>IFERROR(MATCH($C$5&amp;"|"&amp;RIGHT("000000"&amp;1520,6),LdgRankKeyB,0),"")</f>
        <v/>
      </c>
    </row>
    <row r="1537" spans="1:13" x14ac:dyDescent="0.2">
      <c r="A1537" s="3">
        <v>1521</v>
      </c>
      <c r="B1537" s="4" t="str">
        <f t="shared" si="184"/>
        <v/>
      </c>
      <c r="C1537" s="4" t="str">
        <f t="shared" si="185"/>
        <v/>
      </c>
      <c r="D1537" s="4" t="str">
        <f t="shared" si="186"/>
        <v/>
      </c>
      <c r="E1537" s="5" t="str">
        <f t="shared" si="187"/>
        <v/>
      </c>
      <c r="F1537" s="6" t="str">
        <f t="shared" si="188"/>
        <v/>
      </c>
      <c r="G1537" s="7" t="str">
        <f t="shared" si="189"/>
        <v/>
      </c>
      <c r="H1537" s="7" t="str">
        <f t="shared" si="190"/>
        <v/>
      </c>
      <c r="I1537" s="8" t="str">
        <f t="shared" si="191"/>
        <v/>
      </c>
      <c r="L1537" t="str">
        <f>IFERROR(MATCH($C$5&amp;"|"&amp;RIGHT("000000"&amp;1521,6),LdgRankKeyA,0),"")</f>
        <v/>
      </c>
      <c r="M1537" t="str">
        <f>IFERROR(MATCH($C$5&amp;"|"&amp;RIGHT("000000"&amp;1521,6),LdgRankKeyB,0),"")</f>
        <v/>
      </c>
    </row>
    <row r="1538" spans="1:13" x14ac:dyDescent="0.2">
      <c r="A1538" s="9">
        <v>1522</v>
      </c>
      <c r="B1538" s="10" t="str">
        <f t="shared" si="184"/>
        <v/>
      </c>
      <c r="C1538" s="10" t="str">
        <f t="shared" si="185"/>
        <v/>
      </c>
      <c r="D1538" s="10" t="str">
        <f t="shared" si="186"/>
        <v/>
      </c>
      <c r="E1538" s="11" t="str">
        <f t="shared" si="187"/>
        <v/>
      </c>
      <c r="F1538" s="12" t="str">
        <f t="shared" si="188"/>
        <v/>
      </c>
      <c r="G1538" s="13" t="str">
        <f t="shared" si="189"/>
        <v/>
      </c>
      <c r="H1538" s="13" t="str">
        <f t="shared" si="190"/>
        <v/>
      </c>
      <c r="I1538" s="14" t="str">
        <f t="shared" si="191"/>
        <v/>
      </c>
      <c r="L1538" t="str">
        <f>IFERROR(MATCH($C$5&amp;"|"&amp;RIGHT("000000"&amp;1522,6),LdgRankKeyA,0),"")</f>
        <v/>
      </c>
      <c r="M1538" t="str">
        <f>IFERROR(MATCH($C$5&amp;"|"&amp;RIGHT("000000"&amp;1522,6),LdgRankKeyB,0),"")</f>
        <v/>
      </c>
    </row>
    <row r="1539" spans="1:13" x14ac:dyDescent="0.2">
      <c r="A1539" s="3">
        <v>1523</v>
      </c>
      <c r="B1539" s="4" t="str">
        <f t="shared" si="184"/>
        <v/>
      </c>
      <c r="C1539" s="4" t="str">
        <f t="shared" si="185"/>
        <v/>
      </c>
      <c r="D1539" s="4" t="str">
        <f t="shared" si="186"/>
        <v/>
      </c>
      <c r="E1539" s="5" t="str">
        <f t="shared" si="187"/>
        <v/>
      </c>
      <c r="F1539" s="6" t="str">
        <f t="shared" si="188"/>
        <v/>
      </c>
      <c r="G1539" s="7" t="str">
        <f t="shared" si="189"/>
        <v/>
      </c>
      <c r="H1539" s="7" t="str">
        <f t="shared" si="190"/>
        <v/>
      </c>
      <c r="I1539" s="8" t="str">
        <f t="shared" si="191"/>
        <v/>
      </c>
      <c r="L1539" t="str">
        <f>IFERROR(MATCH($C$5&amp;"|"&amp;RIGHT("000000"&amp;1523,6),LdgRankKeyA,0),"")</f>
        <v/>
      </c>
      <c r="M1539" t="str">
        <f>IFERROR(MATCH($C$5&amp;"|"&amp;RIGHT("000000"&amp;1523,6),LdgRankKeyB,0),"")</f>
        <v/>
      </c>
    </row>
    <row r="1540" spans="1:13" x14ac:dyDescent="0.2">
      <c r="A1540" s="9">
        <v>1524</v>
      </c>
      <c r="B1540" s="10" t="str">
        <f t="shared" si="184"/>
        <v/>
      </c>
      <c r="C1540" s="10" t="str">
        <f t="shared" si="185"/>
        <v/>
      </c>
      <c r="D1540" s="10" t="str">
        <f t="shared" si="186"/>
        <v/>
      </c>
      <c r="E1540" s="11" t="str">
        <f t="shared" si="187"/>
        <v/>
      </c>
      <c r="F1540" s="12" t="str">
        <f t="shared" si="188"/>
        <v/>
      </c>
      <c r="G1540" s="13" t="str">
        <f t="shared" si="189"/>
        <v/>
      </c>
      <c r="H1540" s="13" t="str">
        <f t="shared" si="190"/>
        <v/>
      </c>
      <c r="I1540" s="14" t="str">
        <f t="shared" si="191"/>
        <v/>
      </c>
      <c r="L1540" t="str">
        <f>IFERROR(MATCH($C$5&amp;"|"&amp;RIGHT("000000"&amp;1524,6),LdgRankKeyA,0),"")</f>
        <v/>
      </c>
      <c r="M1540" t="str">
        <f>IFERROR(MATCH($C$5&amp;"|"&amp;RIGHT("000000"&amp;1524,6),LdgRankKeyB,0),"")</f>
        <v/>
      </c>
    </row>
    <row r="1541" spans="1:13" x14ac:dyDescent="0.2">
      <c r="A1541" s="3">
        <v>1525</v>
      </c>
      <c r="B1541" s="4" t="str">
        <f t="shared" si="184"/>
        <v/>
      </c>
      <c r="C1541" s="4" t="str">
        <f t="shared" si="185"/>
        <v/>
      </c>
      <c r="D1541" s="4" t="str">
        <f t="shared" si="186"/>
        <v/>
      </c>
      <c r="E1541" s="5" t="str">
        <f t="shared" si="187"/>
        <v/>
      </c>
      <c r="F1541" s="6" t="str">
        <f t="shared" si="188"/>
        <v/>
      </c>
      <c r="G1541" s="7" t="str">
        <f t="shared" si="189"/>
        <v/>
      </c>
      <c r="H1541" s="7" t="str">
        <f t="shared" si="190"/>
        <v/>
      </c>
      <c r="I1541" s="8" t="str">
        <f t="shared" si="191"/>
        <v/>
      </c>
      <c r="L1541" t="str">
        <f>IFERROR(MATCH($C$5&amp;"|"&amp;RIGHT("000000"&amp;1525,6),LdgRankKeyA,0),"")</f>
        <v/>
      </c>
      <c r="M1541" t="str">
        <f>IFERROR(MATCH($C$5&amp;"|"&amp;RIGHT("000000"&amp;1525,6),LdgRankKeyB,0),"")</f>
        <v/>
      </c>
    </row>
    <row r="1542" spans="1:13" x14ac:dyDescent="0.2">
      <c r="A1542" s="9">
        <v>1526</v>
      </c>
      <c r="B1542" s="10" t="str">
        <f t="shared" si="184"/>
        <v/>
      </c>
      <c r="C1542" s="10" t="str">
        <f t="shared" si="185"/>
        <v/>
      </c>
      <c r="D1542" s="10" t="str">
        <f t="shared" si="186"/>
        <v/>
      </c>
      <c r="E1542" s="11" t="str">
        <f t="shared" si="187"/>
        <v/>
      </c>
      <c r="F1542" s="12" t="str">
        <f t="shared" si="188"/>
        <v/>
      </c>
      <c r="G1542" s="13" t="str">
        <f t="shared" si="189"/>
        <v/>
      </c>
      <c r="H1542" s="13" t="str">
        <f t="shared" si="190"/>
        <v/>
      </c>
      <c r="I1542" s="14" t="str">
        <f t="shared" si="191"/>
        <v/>
      </c>
      <c r="L1542" t="str">
        <f>IFERROR(MATCH($C$5&amp;"|"&amp;RIGHT("000000"&amp;1526,6),LdgRankKeyA,0),"")</f>
        <v/>
      </c>
      <c r="M1542" t="str">
        <f>IFERROR(MATCH($C$5&amp;"|"&amp;RIGHT("000000"&amp;1526,6),LdgRankKeyB,0),"")</f>
        <v/>
      </c>
    </row>
    <row r="1543" spans="1:13" x14ac:dyDescent="0.2">
      <c r="A1543" s="3">
        <v>1527</v>
      </c>
      <c r="B1543" s="4" t="str">
        <f t="shared" si="184"/>
        <v/>
      </c>
      <c r="C1543" s="4" t="str">
        <f t="shared" si="185"/>
        <v/>
      </c>
      <c r="D1543" s="4" t="str">
        <f t="shared" si="186"/>
        <v/>
      </c>
      <c r="E1543" s="5" t="str">
        <f t="shared" si="187"/>
        <v/>
      </c>
      <c r="F1543" s="6" t="str">
        <f t="shared" si="188"/>
        <v/>
      </c>
      <c r="G1543" s="7" t="str">
        <f t="shared" si="189"/>
        <v/>
      </c>
      <c r="H1543" s="7" t="str">
        <f t="shared" si="190"/>
        <v/>
      </c>
      <c r="I1543" s="8" t="str">
        <f t="shared" si="191"/>
        <v/>
      </c>
      <c r="L1543" t="str">
        <f>IFERROR(MATCH($C$5&amp;"|"&amp;RIGHT("000000"&amp;1527,6),LdgRankKeyA,0),"")</f>
        <v/>
      </c>
      <c r="M1543" t="str">
        <f>IFERROR(MATCH($C$5&amp;"|"&amp;RIGHT("000000"&amp;1527,6),LdgRankKeyB,0),"")</f>
        <v/>
      </c>
    </row>
    <row r="1544" spans="1:13" x14ac:dyDescent="0.2">
      <c r="A1544" s="9">
        <v>1528</v>
      </c>
      <c r="B1544" s="10" t="str">
        <f t="shared" si="184"/>
        <v/>
      </c>
      <c r="C1544" s="10" t="str">
        <f t="shared" si="185"/>
        <v/>
      </c>
      <c r="D1544" s="10" t="str">
        <f t="shared" si="186"/>
        <v/>
      </c>
      <c r="E1544" s="11" t="str">
        <f t="shared" si="187"/>
        <v/>
      </c>
      <c r="F1544" s="12" t="str">
        <f t="shared" si="188"/>
        <v/>
      </c>
      <c r="G1544" s="13" t="str">
        <f t="shared" si="189"/>
        <v/>
      </c>
      <c r="H1544" s="13" t="str">
        <f t="shared" si="190"/>
        <v/>
      </c>
      <c r="I1544" s="14" t="str">
        <f t="shared" si="191"/>
        <v/>
      </c>
      <c r="L1544" t="str">
        <f>IFERROR(MATCH($C$5&amp;"|"&amp;RIGHT("000000"&amp;1528,6),LdgRankKeyA,0),"")</f>
        <v/>
      </c>
      <c r="M1544" t="str">
        <f>IFERROR(MATCH($C$5&amp;"|"&amp;RIGHT("000000"&amp;1528,6),LdgRankKeyB,0),"")</f>
        <v/>
      </c>
    </row>
    <row r="1545" spans="1:13" x14ac:dyDescent="0.2">
      <c r="A1545" s="3">
        <v>1529</v>
      </c>
      <c r="B1545" s="4" t="str">
        <f t="shared" si="184"/>
        <v/>
      </c>
      <c r="C1545" s="4" t="str">
        <f t="shared" si="185"/>
        <v/>
      </c>
      <c r="D1545" s="4" t="str">
        <f t="shared" si="186"/>
        <v/>
      </c>
      <c r="E1545" s="5" t="str">
        <f t="shared" si="187"/>
        <v/>
      </c>
      <c r="F1545" s="6" t="str">
        <f t="shared" si="188"/>
        <v/>
      </c>
      <c r="G1545" s="7" t="str">
        <f t="shared" si="189"/>
        <v/>
      </c>
      <c r="H1545" s="7" t="str">
        <f t="shared" si="190"/>
        <v/>
      </c>
      <c r="I1545" s="8" t="str">
        <f t="shared" si="191"/>
        <v/>
      </c>
      <c r="L1545" t="str">
        <f>IFERROR(MATCH($C$5&amp;"|"&amp;RIGHT("000000"&amp;1529,6),LdgRankKeyA,0),"")</f>
        <v/>
      </c>
      <c r="M1545" t="str">
        <f>IFERROR(MATCH($C$5&amp;"|"&amp;RIGHT("000000"&amp;1529,6),LdgRankKeyB,0),"")</f>
        <v/>
      </c>
    </row>
    <row r="1546" spans="1:13" x14ac:dyDescent="0.2">
      <c r="A1546" s="9">
        <v>1530</v>
      </c>
      <c r="B1546" s="10" t="str">
        <f t="shared" si="184"/>
        <v/>
      </c>
      <c r="C1546" s="10" t="str">
        <f t="shared" si="185"/>
        <v/>
      </c>
      <c r="D1546" s="10" t="str">
        <f t="shared" si="186"/>
        <v/>
      </c>
      <c r="E1546" s="11" t="str">
        <f t="shared" si="187"/>
        <v/>
      </c>
      <c r="F1546" s="12" t="str">
        <f t="shared" si="188"/>
        <v/>
      </c>
      <c r="G1546" s="13" t="str">
        <f t="shared" si="189"/>
        <v/>
      </c>
      <c r="H1546" s="13" t="str">
        <f t="shared" si="190"/>
        <v/>
      </c>
      <c r="I1546" s="14" t="str">
        <f t="shared" si="191"/>
        <v/>
      </c>
      <c r="L1546" t="str">
        <f>IFERROR(MATCH($C$5&amp;"|"&amp;RIGHT("000000"&amp;1530,6),LdgRankKeyA,0),"")</f>
        <v/>
      </c>
      <c r="M1546" t="str">
        <f>IFERROR(MATCH($C$5&amp;"|"&amp;RIGHT("000000"&amp;1530,6),LdgRankKeyB,0),"")</f>
        <v/>
      </c>
    </row>
    <row r="1547" spans="1:13" x14ac:dyDescent="0.2">
      <c r="A1547" s="3">
        <v>1531</v>
      </c>
      <c r="B1547" s="4" t="str">
        <f t="shared" si="184"/>
        <v/>
      </c>
      <c r="C1547" s="4" t="str">
        <f t="shared" si="185"/>
        <v/>
      </c>
      <c r="D1547" s="4" t="str">
        <f t="shared" si="186"/>
        <v/>
      </c>
      <c r="E1547" s="5" t="str">
        <f t="shared" si="187"/>
        <v/>
      </c>
      <c r="F1547" s="6" t="str">
        <f t="shared" si="188"/>
        <v/>
      </c>
      <c r="G1547" s="7" t="str">
        <f t="shared" si="189"/>
        <v/>
      </c>
      <c r="H1547" s="7" t="str">
        <f t="shared" si="190"/>
        <v/>
      </c>
      <c r="I1547" s="8" t="str">
        <f t="shared" si="191"/>
        <v/>
      </c>
      <c r="L1547" t="str">
        <f>IFERROR(MATCH($C$5&amp;"|"&amp;RIGHT("000000"&amp;1531,6),LdgRankKeyA,0),"")</f>
        <v/>
      </c>
      <c r="M1547" t="str">
        <f>IFERROR(MATCH($C$5&amp;"|"&amp;RIGHT("000000"&amp;1531,6),LdgRankKeyB,0),"")</f>
        <v/>
      </c>
    </row>
    <row r="1548" spans="1:13" x14ac:dyDescent="0.2">
      <c r="A1548" s="9">
        <v>1532</v>
      </c>
      <c r="B1548" s="10" t="str">
        <f t="shared" si="184"/>
        <v/>
      </c>
      <c r="C1548" s="10" t="str">
        <f t="shared" si="185"/>
        <v/>
      </c>
      <c r="D1548" s="10" t="str">
        <f t="shared" si="186"/>
        <v/>
      </c>
      <c r="E1548" s="11" t="str">
        <f t="shared" si="187"/>
        <v/>
      </c>
      <c r="F1548" s="12" t="str">
        <f t="shared" si="188"/>
        <v/>
      </c>
      <c r="G1548" s="13" t="str">
        <f t="shared" si="189"/>
        <v/>
      </c>
      <c r="H1548" s="13" t="str">
        <f t="shared" si="190"/>
        <v/>
      </c>
      <c r="I1548" s="14" t="str">
        <f t="shared" si="191"/>
        <v/>
      </c>
      <c r="L1548" t="str">
        <f>IFERROR(MATCH($C$5&amp;"|"&amp;RIGHT("000000"&amp;1532,6),LdgRankKeyA,0),"")</f>
        <v/>
      </c>
      <c r="M1548" t="str">
        <f>IFERROR(MATCH($C$5&amp;"|"&amp;RIGHT("000000"&amp;1532,6),LdgRankKeyB,0),"")</f>
        <v/>
      </c>
    </row>
    <row r="1549" spans="1:13" x14ac:dyDescent="0.2">
      <c r="A1549" s="3">
        <v>1533</v>
      </c>
      <c r="B1549" s="4" t="str">
        <f t="shared" si="184"/>
        <v/>
      </c>
      <c r="C1549" s="4" t="str">
        <f t="shared" si="185"/>
        <v/>
      </c>
      <c r="D1549" s="4" t="str">
        <f t="shared" si="186"/>
        <v/>
      </c>
      <c r="E1549" s="5" t="str">
        <f t="shared" si="187"/>
        <v/>
      </c>
      <c r="F1549" s="6" t="str">
        <f t="shared" si="188"/>
        <v/>
      </c>
      <c r="G1549" s="7" t="str">
        <f t="shared" si="189"/>
        <v/>
      </c>
      <c r="H1549" s="7" t="str">
        <f t="shared" si="190"/>
        <v/>
      </c>
      <c r="I1549" s="8" t="str">
        <f t="shared" si="191"/>
        <v/>
      </c>
      <c r="L1549" t="str">
        <f>IFERROR(MATCH($C$5&amp;"|"&amp;RIGHT("000000"&amp;1533,6),LdgRankKeyA,0),"")</f>
        <v/>
      </c>
      <c r="M1549" t="str">
        <f>IFERROR(MATCH($C$5&amp;"|"&amp;RIGHT("000000"&amp;1533,6),LdgRankKeyB,0),"")</f>
        <v/>
      </c>
    </row>
    <row r="1550" spans="1:13" x14ac:dyDescent="0.2">
      <c r="A1550" s="9">
        <v>1534</v>
      </c>
      <c r="B1550" s="10" t="str">
        <f t="shared" si="184"/>
        <v/>
      </c>
      <c r="C1550" s="10" t="str">
        <f t="shared" si="185"/>
        <v/>
      </c>
      <c r="D1550" s="10" t="str">
        <f t="shared" si="186"/>
        <v/>
      </c>
      <c r="E1550" s="11" t="str">
        <f t="shared" si="187"/>
        <v/>
      </c>
      <c r="F1550" s="12" t="str">
        <f t="shared" si="188"/>
        <v/>
      </c>
      <c r="G1550" s="13" t="str">
        <f t="shared" si="189"/>
        <v/>
      </c>
      <c r="H1550" s="13" t="str">
        <f t="shared" si="190"/>
        <v/>
      </c>
      <c r="I1550" s="14" t="str">
        <f t="shared" si="191"/>
        <v/>
      </c>
      <c r="L1550" t="str">
        <f>IFERROR(MATCH($C$5&amp;"|"&amp;RIGHT("000000"&amp;1534,6),LdgRankKeyA,0),"")</f>
        <v/>
      </c>
      <c r="M1550" t="str">
        <f>IFERROR(MATCH($C$5&amp;"|"&amp;RIGHT("000000"&amp;1534,6),LdgRankKeyB,0),"")</f>
        <v/>
      </c>
    </row>
    <row r="1551" spans="1:13" x14ac:dyDescent="0.2">
      <c r="A1551" s="3">
        <v>1535</v>
      </c>
      <c r="B1551" s="4" t="str">
        <f t="shared" si="184"/>
        <v/>
      </c>
      <c r="C1551" s="4" t="str">
        <f t="shared" si="185"/>
        <v/>
      </c>
      <c r="D1551" s="4" t="str">
        <f t="shared" si="186"/>
        <v/>
      </c>
      <c r="E1551" s="5" t="str">
        <f t="shared" si="187"/>
        <v/>
      </c>
      <c r="F1551" s="6" t="str">
        <f t="shared" si="188"/>
        <v/>
      </c>
      <c r="G1551" s="7" t="str">
        <f t="shared" si="189"/>
        <v/>
      </c>
      <c r="H1551" s="7" t="str">
        <f t="shared" si="190"/>
        <v/>
      </c>
      <c r="I1551" s="8" t="str">
        <f t="shared" si="191"/>
        <v/>
      </c>
      <c r="L1551" t="str">
        <f>IFERROR(MATCH($C$5&amp;"|"&amp;RIGHT("000000"&amp;1535,6),LdgRankKeyA,0),"")</f>
        <v/>
      </c>
      <c r="M1551" t="str">
        <f>IFERROR(MATCH($C$5&amp;"|"&amp;RIGHT("000000"&amp;1535,6),LdgRankKeyB,0),"")</f>
        <v/>
      </c>
    </row>
    <row r="1552" spans="1:13" x14ac:dyDescent="0.2">
      <c r="A1552" s="9">
        <v>1536</v>
      </c>
      <c r="B1552" s="10" t="str">
        <f t="shared" si="184"/>
        <v/>
      </c>
      <c r="C1552" s="10" t="str">
        <f t="shared" si="185"/>
        <v/>
      </c>
      <c r="D1552" s="10" t="str">
        <f t="shared" si="186"/>
        <v/>
      </c>
      <c r="E1552" s="11" t="str">
        <f t="shared" si="187"/>
        <v/>
      </c>
      <c r="F1552" s="12" t="str">
        <f t="shared" si="188"/>
        <v/>
      </c>
      <c r="G1552" s="13" t="str">
        <f t="shared" si="189"/>
        <v/>
      </c>
      <c r="H1552" s="13" t="str">
        <f t="shared" si="190"/>
        <v/>
      </c>
      <c r="I1552" s="14" t="str">
        <f t="shared" si="191"/>
        <v/>
      </c>
      <c r="L1552" t="str">
        <f>IFERROR(MATCH($C$5&amp;"|"&amp;RIGHT("000000"&amp;1536,6),LdgRankKeyA,0),"")</f>
        <v/>
      </c>
      <c r="M1552" t="str">
        <f>IFERROR(MATCH($C$5&amp;"|"&amp;RIGHT("000000"&amp;1536,6),LdgRankKeyB,0),"")</f>
        <v/>
      </c>
    </row>
    <row r="1553" spans="1:13" x14ac:dyDescent="0.2">
      <c r="A1553" s="3">
        <v>1537</v>
      </c>
      <c r="B1553" s="4" t="str">
        <f t="shared" ref="B1553:B1616" si="192">IF(AND($L1553="",$M1553=""),"",IF($L1553&lt;&gt;"",INDEX(SCNormDate,$L1553),INDEX(LdgDateB,$M1553)))</f>
        <v/>
      </c>
      <c r="C1553" s="4" t="str">
        <f t="shared" ref="C1553:C1616" si="193">IF($L1553&lt;&gt;"",INDEX(SCOp,$L1553),IF($M1553&lt;&gt;"","پرداخت بانکی",""))</f>
        <v/>
      </c>
      <c r="D1553" s="4" t="str">
        <f t="shared" ref="D1553:D1616" si="194">IF($L1553&lt;&gt;"",IF(INDEX(SCDoc,$L1553)="","—",INDEX(SCDoc,$L1553)),IF($M1553&lt;&gt;"",INDEX(LdgBankB,$M1553),""))</f>
        <v/>
      </c>
      <c r="E1553" s="5" t="str">
        <f t="shared" ref="E1553:E1616" si="195">IF($L1553&lt;&gt;"",IF(INDEX(SCCitrus,$L1553)&amp;INDEX(SCNotes,$L1553)="","",IF(INDEX(SCCitrus,$L1553)="","",INDEX(SCCitrus,$L1553))&amp;IF(INDEX(SCNotes,$L1553)="",""," — "&amp;INDEX(SCNotes,$L1553))),IF($M1553&lt;&gt;"",IF(INDEX(LdgNoteB,$M1553)="","—",INDEX(LdgNoteB,$M1553)),""))</f>
        <v/>
      </c>
      <c r="F1553" s="6" t="str">
        <f t="shared" ref="F1553:F1616" si="196">IF($L1553&lt;&gt;"",IF(INDEX(SCNet,$L1553)=0,"",INDEX(SCNet,$L1553)),"")</f>
        <v/>
      </c>
      <c r="G1553" s="7" t="str">
        <f t="shared" ref="G1553:G1616" si="197">IF($L1553&lt;&gt;"",IF(INDEX(SCOp,$L1553)="مرجوعی فروش","",IF(INDEX(SCAmount,$L1553)&lt;=0,"",INDEX(SCAmount,$L1553))),IF($M1553&lt;&gt;"",IF(INDEX(LdgWitB,$M1553)=0,"",INDEX(LdgWitB,$M1553)),""))</f>
        <v/>
      </c>
      <c r="H1553" s="7" t="str">
        <f t="shared" ref="H1553:H1616" si="198">IF($L1553&lt;&gt;"",IF(INDEX(SCOp,$L1553)="مرجوعی فروش",IF(INDEX(SCAmount,$L1553)=0,"",-INDEX(SCAmount,$L1553)),""),IF($M1553&lt;&gt;"",IF(INDEX(LdgDepB,$M1553)=0,"",INDEX(LdgDepB,$M1553)),""))</f>
        <v/>
      </c>
      <c r="I1553" s="8" t="str">
        <f t="shared" si="191"/>
        <v/>
      </c>
      <c r="L1553" t="str">
        <f>IFERROR(MATCH($C$5&amp;"|"&amp;RIGHT("000000"&amp;1537,6),LdgRankKeyA,0),"")</f>
        <v/>
      </c>
      <c r="M1553" t="str">
        <f>IFERROR(MATCH($C$5&amp;"|"&amp;RIGHT("000000"&amp;1537,6),LdgRankKeyB,0),"")</f>
        <v/>
      </c>
    </row>
    <row r="1554" spans="1:13" x14ac:dyDescent="0.2">
      <c r="A1554" s="9">
        <v>1538</v>
      </c>
      <c r="B1554" s="10" t="str">
        <f t="shared" si="192"/>
        <v/>
      </c>
      <c r="C1554" s="10" t="str">
        <f t="shared" si="193"/>
        <v/>
      </c>
      <c r="D1554" s="10" t="str">
        <f t="shared" si="194"/>
        <v/>
      </c>
      <c r="E1554" s="11" t="str">
        <f t="shared" si="195"/>
        <v/>
      </c>
      <c r="F1554" s="12" t="str">
        <f t="shared" si="196"/>
        <v/>
      </c>
      <c r="G1554" s="13" t="str">
        <f t="shared" si="197"/>
        <v/>
      </c>
      <c r="H1554" s="13" t="str">
        <f t="shared" si="198"/>
        <v/>
      </c>
      <c r="I1554" s="14" t="str">
        <f t="shared" ref="I1554:I1617" si="199">IF($B1554="","",IF($I1553="",$C$10,$I1553)+IF($G1554="",0,$G1554)-IF($H1554="",0,$H1554))</f>
        <v/>
      </c>
      <c r="L1554" t="str">
        <f>IFERROR(MATCH($C$5&amp;"|"&amp;RIGHT("000000"&amp;1538,6),LdgRankKeyA,0),"")</f>
        <v/>
      </c>
      <c r="M1554" t="str">
        <f>IFERROR(MATCH($C$5&amp;"|"&amp;RIGHT("000000"&amp;1538,6),LdgRankKeyB,0),"")</f>
        <v/>
      </c>
    </row>
    <row r="1555" spans="1:13" x14ac:dyDescent="0.2">
      <c r="A1555" s="3">
        <v>1539</v>
      </c>
      <c r="B1555" s="4" t="str">
        <f t="shared" si="192"/>
        <v/>
      </c>
      <c r="C1555" s="4" t="str">
        <f t="shared" si="193"/>
        <v/>
      </c>
      <c r="D1555" s="4" t="str">
        <f t="shared" si="194"/>
        <v/>
      </c>
      <c r="E1555" s="5" t="str">
        <f t="shared" si="195"/>
        <v/>
      </c>
      <c r="F1555" s="6" t="str">
        <f t="shared" si="196"/>
        <v/>
      </c>
      <c r="G1555" s="7" t="str">
        <f t="shared" si="197"/>
        <v/>
      </c>
      <c r="H1555" s="7" t="str">
        <f t="shared" si="198"/>
        <v/>
      </c>
      <c r="I1555" s="8" t="str">
        <f t="shared" si="199"/>
        <v/>
      </c>
      <c r="L1555" t="str">
        <f>IFERROR(MATCH($C$5&amp;"|"&amp;RIGHT("000000"&amp;1539,6),LdgRankKeyA,0),"")</f>
        <v/>
      </c>
      <c r="M1555" t="str">
        <f>IFERROR(MATCH($C$5&amp;"|"&amp;RIGHT("000000"&amp;1539,6),LdgRankKeyB,0),"")</f>
        <v/>
      </c>
    </row>
    <row r="1556" spans="1:13" x14ac:dyDescent="0.2">
      <c r="A1556" s="9">
        <v>1540</v>
      </c>
      <c r="B1556" s="10" t="str">
        <f t="shared" si="192"/>
        <v/>
      </c>
      <c r="C1556" s="10" t="str">
        <f t="shared" si="193"/>
        <v/>
      </c>
      <c r="D1556" s="10" t="str">
        <f t="shared" si="194"/>
        <v/>
      </c>
      <c r="E1556" s="11" t="str">
        <f t="shared" si="195"/>
        <v/>
      </c>
      <c r="F1556" s="12" t="str">
        <f t="shared" si="196"/>
        <v/>
      </c>
      <c r="G1556" s="13" t="str">
        <f t="shared" si="197"/>
        <v/>
      </c>
      <c r="H1556" s="13" t="str">
        <f t="shared" si="198"/>
        <v/>
      </c>
      <c r="I1556" s="14" t="str">
        <f t="shared" si="199"/>
        <v/>
      </c>
      <c r="L1556" t="str">
        <f>IFERROR(MATCH($C$5&amp;"|"&amp;RIGHT("000000"&amp;1540,6),LdgRankKeyA,0),"")</f>
        <v/>
      </c>
      <c r="M1556" t="str">
        <f>IFERROR(MATCH($C$5&amp;"|"&amp;RIGHT("000000"&amp;1540,6),LdgRankKeyB,0),"")</f>
        <v/>
      </c>
    </row>
    <row r="1557" spans="1:13" x14ac:dyDescent="0.2">
      <c r="A1557" s="3">
        <v>1541</v>
      </c>
      <c r="B1557" s="4" t="str">
        <f t="shared" si="192"/>
        <v/>
      </c>
      <c r="C1557" s="4" t="str">
        <f t="shared" si="193"/>
        <v/>
      </c>
      <c r="D1557" s="4" t="str">
        <f t="shared" si="194"/>
        <v/>
      </c>
      <c r="E1557" s="5" t="str">
        <f t="shared" si="195"/>
        <v/>
      </c>
      <c r="F1557" s="6" t="str">
        <f t="shared" si="196"/>
        <v/>
      </c>
      <c r="G1557" s="7" t="str">
        <f t="shared" si="197"/>
        <v/>
      </c>
      <c r="H1557" s="7" t="str">
        <f t="shared" si="198"/>
        <v/>
      </c>
      <c r="I1557" s="8" t="str">
        <f t="shared" si="199"/>
        <v/>
      </c>
      <c r="L1557" t="str">
        <f>IFERROR(MATCH($C$5&amp;"|"&amp;RIGHT("000000"&amp;1541,6),LdgRankKeyA,0),"")</f>
        <v/>
      </c>
      <c r="M1557" t="str">
        <f>IFERROR(MATCH($C$5&amp;"|"&amp;RIGHT("000000"&amp;1541,6),LdgRankKeyB,0),"")</f>
        <v/>
      </c>
    </row>
    <row r="1558" spans="1:13" x14ac:dyDescent="0.2">
      <c r="A1558" s="9">
        <v>1542</v>
      </c>
      <c r="B1558" s="10" t="str">
        <f t="shared" si="192"/>
        <v/>
      </c>
      <c r="C1558" s="10" t="str">
        <f t="shared" si="193"/>
        <v/>
      </c>
      <c r="D1558" s="10" t="str">
        <f t="shared" si="194"/>
        <v/>
      </c>
      <c r="E1558" s="11" t="str">
        <f t="shared" si="195"/>
        <v/>
      </c>
      <c r="F1558" s="12" t="str">
        <f t="shared" si="196"/>
        <v/>
      </c>
      <c r="G1558" s="13" t="str">
        <f t="shared" si="197"/>
        <v/>
      </c>
      <c r="H1558" s="13" t="str">
        <f t="shared" si="198"/>
        <v/>
      </c>
      <c r="I1558" s="14" t="str">
        <f t="shared" si="199"/>
        <v/>
      </c>
      <c r="L1558" t="str">
        <f>IFERROR(MATCH($C$5&amp;"|"&amp;RIGHT("000000"&amp;1542,6),LdgRankKeyA,0),"")</f>
        <v/>
      </c>
      <c r="M1558" t="str">
        <f>IFERROR(MATCH($C$5&amp;"|"&amp;RIGHT("000000"&amp;1542,6),LdgRankKeyB,0),"")</f>
        <v/>
      </c>
    </row>
    <row r="1559" spans="1:13" x14ac:dyDescent="0.2">
      <c r="A1559" s="3">
        <v>1543</v>
      </c>
      <c r="B1559" s="4" t="str">
        <f t="shared" si="192"/>
        <v/>
      </c>
      <c r="C1559" s="4" t="str">
        <f t="shared" si="193"/>
        <v/>
      </c>
      <c r="D1559" s="4" t="str">
        <f t="shared" si="194"/>
        <v/>
      </c>
      <c r="E1559" s="5" t="str">
        <f t="shared" si="195"/>
        <v/>
      </c>
      <c r="F1559" s="6" t="str">
        <f t="shared" si="196"/>
        <v/>
      </c>
      <c r="G1559" s="7" t="str">
        <f t="shared" si="197"/>
        <v/>
      </c>
      <c r="H1559" s="7" t="str">
        <f t="shared" si="198"/>
        <v/>
      </c>
      <c r="I1559" s="8" t="str">
        <f t="shared" si="199"/>
        <v/>
      </c>
      <c r="L1559" t="str">
        <f>IFERROR(MATCH($C$5&amp;"|"&amp;RIGHT("000000"&amp;1543,6),LdgRankKeyA,0),"")</f>
        <v/>
      </c>
      <c r="M1559" t="str">
        <f>IFERROR(MATCH($C$5&amp;"|"&amp;RIGHT("000000"&amp;1543,6),LdgRankKeyB,0),"")</f>
        <v/>
      </c>
    </row>
    <row r="1560" spans="1:13" x14ac:dyDescent="0.2">
      <c r="A1560" s="9">
        <v>1544</v>
      </c>
      <c r="B1560" s="10" t="str">
        <f t="shared" si="192"/>
        <v/>
      </c>
      <c r="C1560" s="10" t="str">
        <f t="shared" si="193"/>
        <v/>
      </c>
      <c r="D1560" s="10" t="str">
        <f t="shared" si="194"/>
        <v/>
      </c>
      <c r="E1560" s="11" t="str">
        <f t="shared" si="195"/>
        <v/>
      </c>
      <c r="F1560" s="12" t="str">
        <f t="shared" si="196"/>
        <v/>
      </c>
      <c r="G1560" s="13" t="str">
        <f t="shared" si="197"/>
        <v/>
      </c>
      <c r="H1560" s="13" t="str">
        <f t="shared" si="198"/>
        <v/>
      </c>
      <c r="I1560" s="14" t="str">
        <f t="shared" si="199"/>
        <v/>
      </c>
      <c r="L1560" t="str">
        <f>IFERROR(MATCH($C$5&amp;"|"&amp;RIGHT("000000"&amp;1544,6),LdgRankKeyA,0),"")</f>
        <v/>
      </c>
      <c r="M1560" t="str">
        <f>IFERROR(MATCH($C$5&amp;"|"&amp;RIGHT("000000"&amp;1544,6),LdgRankKeyB,0),"")</f>
        <v/>
      </c>
    </row>
    <row r="1561" spans="1:13" x14ac:dyDescent="0.2">
      <c r="A1561" s="3">
        <v>1545</v>
      </c>
      <c r="B1561" s="4" t="str">
        <f t="shared" si="192"/>
        <v/>
      </c>
      <c r="C1561" s="4" t="str">
        <f t="shared" si="193"/>
        <v/>
      </c>
      <c r="D1561" s="4" t="str">
        <f t="shared" si="194"/>
        <v/>
      </c>
      <c r="E1561" s="5" t="str">
        <f t="shared" si="195"/>
        <v/>
      </c>
      <c r="F1561" s="6" t="str">
        <f t="shared" si="196"/>
        <v/>
      </c>
      <c r="G1561" s="7" t="str">
        <f t="shared" si="197"/>
        <v/>
      </c>
      <c r="H1561" s="7" t="str">
        <f t="shared" si="198"/>
        <v/>
      </c>
      <c r="I1561" s="8" t="str">
        <f t="shared" si="199"/>
        <v/>
      </c>
      <c r="L1561" t="str">
        <f>IFERROR(MATCH($C$5&amp;"|"&amp;RIGHT("000000"&amp;1545,6),LdgRankKeyA,0),"")</f>
        <v/>
      </c>
      <c r="M1561" t="str">
        <f>IFERROR(MATCH($C$5&amp;"|"&amp;RIGHT("000000"&amp;1545,6),LdgRankKeyB,0),"")</f>
        <v/>
      </c>
    </row>
    <row r="1562" spans="1:13" x14ac:dyDescent="0.2">
      <c r="A1562" s="9">
        <v>1546</v>
      </c>
      <c r="B1562" s="10" t="str">
        <f t="shared" si="192"/>
        <v/>
      </c>
      <c r="C1562" s="10" t="str">
        <f t="shared" si="193"/>
        <v/>
      </c>
      <c r="D1562" s="10" t="str">
        <f t="shared" si="194"/>
        <v/>
      </c>
      <c r="E1562" s="11" t="str">
        <f t="shared" si="195"/>
        <v/>
      </c>
      <c r="F1562" s="12" t="str">
        <f t="shared" si="196"/>
        <v/>
      </c>
      <c r="G1562" s="13" t="str">
        <f t="shared" si="197"/>
        <v/>
      </c>
      <c r="H1562" s="13" t="str">
        <f t="shared" si="198"/>
        <v/>
      </c>
      <c r="I1562" s="14" t="str">
        <f t="shared" si="199"/>
        <v/>
      </c>
      <c r="L1562" t="str">
        <f>IFERROR(MATCH($C$5&amp;"|"&amp;RIGHT("000000"&amp;1546,6),LdgRankKeyA,0),"")</f>
        <v/>
      </c>
      <c r="M1562" t="str">
        <f>IFERROR(MATCH($C$5&amp;"|"&amp;RIGHT("000000"&amp;1546,6),LdgRankKeyB,0),"")</f>
        <v/>
      </c>
    </row>
    <row r="1563" spans="1:13" x14ac:dyDescent="0.2">
      <c r="A1563" s="3">
        <v>1547</v>
      </c>
      <c r="B1563" s="4" t="str">
        <f t="shared" si="192"/>
        <v/>
      </c>
      <c r="C1563" s="4" t="str">
        <f t="shared" si="193"/>
        <v/>
      </c>
      <c r="D1563" s="4" t="str">
        <f t="shared" si="194"/>
        <v/>
      </c>
      <c r="E1563" s="5" t="str">
        <f t="shared" si="195"/>
        <v/>
      </c>
      <c r="F1563" s="6" t="str">
        <f t="shared" si="196"/>
        <v/>
      </c>
      <c r="G1563" s="7" t="str">
        <f t="shared" si="197"/>
        <v/>
      </c>
      <c r="H1563" s="7" t="str">
        <f t="shared" si="198"/>
        <v/>
      </c>
      <c r="I1563" s="8" t="str">
        <f t="shared" si="199"/>
        <v/>
      </c>
      <c r="L1563" t="str">
        <f>IFERROR(MATCH($C$5&amp;"|"&amp;RIGHT("000000"&amp;1547,6),LdgRankKeyA,0),"")</f>
        <v/>
      </c>
      <c r="M1563" t="str">
        <f>IFERROR(MATCH($C$5&amp;"|"&amp;RIGHT("000000"&amp;1547,6),LdgRankKeyB,0),"")</f>
        <v/>
      </c>
    </row>
    <row r="1564" spans="1:13" x14ac:dyDescent="0.2">
      <c r="A1564" s="9">
        <v>1548</v>
      </c>
      <c r="B1564" s="10" t="str">
        <f t="shared" si="192"/>
        <v/>
      </c>
      <c r="C1564" s="10" t="str">
        <f t="shared" si="193"/>
        <v/>
      </c>
      <c r="D1564" s="10" t="str">
        <f t="shared" si="194"/>
        <v/>
      </c>
      <c r="E1564" s="11" t="str">
        <f t="shared" si="195"/>
        <v/>
      </c>
      <c r="F1564" s="12" t="str">
        <f t="shared" si="196"/>
        <v/>
      </c>
      <c r="G1564" s="13" t="str">
        <f t="shared" si="197"/>
        <v/>
      </c>
      <c r="H1564" s="13" t="str">
        <f t="shared" si="198"/>
        <v/>
      </c>
      <c r="I1564" s="14" t="str">
        <f t="shared" si="199"/>
        <v/>
      </c>
      <c r="L1564" t="str">
        <f>IFERROR(MATCH($C$5&amp;"|"&amp;RIGHT("000000"&amp;1548,6),LdgRankKeyA,0),"")</f>
        <v/>
      </c>
      <c r="M1564" t="str">
        <f>IFERROR(MATCH($C$5&amp;"|"&amp;RIGHT("000000"&amp;1548,6),LdgRankKeyB,0),"")</f>
        <v/>
      </c>
    </row>
    <row r="1565" spans="1:13" x14ac:dyDescent="0.2">
      <c r="A1565" s="3">
        <v>1549</v>
      </c>
      <c r="B1565" s="4" t="str">
        <f t="shared" si="192"/>
        <v/>
      </c>
      <c r="C1565" s="4" t="str">
        <f t="shared" si="193"/>
        <v/>
      </c>
      <c r="D1565" s="4" t="str">
        <f t="shared" si="194"/>
        <v/>
      </c>
      <c r="E1565" s="5" t="str">
        <f t="shared" si="195"/>
        <v/>
      </c>
      <c r="F1565" s="6" t="str">
        <f t="shared" si="196"/>
        <v/>
      </c>
      <c r="G1565" s="7" t="str">
        <f t="shared" si="197"/>
        <v/>
      </c>
      <c r="H1565" s="7" t="str">
        <f t="shared" si="198"/>
        <v/>
      </c>
      <c r="I1565" s="8" t="str">
        <f t="shared" si="199"/>
        <v/>
      </c>
      <c r="L1565" t="str">
        <f>IFERROR(MATCH($C$5&amp;"|"&amp;RIGHT("000000"&amp;1549,6),LdgRankKeyA,0),"")</f>
        <v/>
      </c>
      <c r="M1565" t="str">
        <f>IFERROR(MATCH($C$5&amp;"|"&amp;RIGHT("000000"&amp;1549,6),LdgRankKeyB,0),"")</f>
        <v/>
      </c>
    </row>
    <row r="1566" spans="1:13" x14ac:dyDescent="0.2">
      <c r="A1566" s="9">
        <v>1550</v>
      </c>
      <c r="B1566" s="10" t="str">
        <f t="shared" si="192"/>
        <v/>
      </c>
      <c r="C1566" s="10" t="str">
        <f t="shared" si="193"/>
        <v/>
      </c>
      <c r="D1566" s="10" t="str">
        <f t="shared" si="194"/>
        <v/>
      </c>
      <c r="E1566" s="11" t="str">
        <f t="shared" si="195"/>
        <v/>
      </c>
      <c r="F1566" s="12" t="str">
        <f t="shared" si="196"/>
        <v/>
      </c>
      <c r="G1566" s="13" t="str">
        <f t="shared" si="197"/>
        <v/>
      </c>
      <c r="H1566" s="13" t="str">
        <f t="shared" si="198"/>
        <v/>
      </c>
      <c r="I1566" s="14" t="str">
        <f t="shared" si="199"/>
        <v/>
      </c>
      <c r="L1566" t="str">
        <f>IFERROR(MATCH($C$5&amp;"|"&amp;RIGHT("000000"&amp;1550,6),LdgRankKeyA,0),"")</f>
        <v/>
      </c>
      <c r="M1566" t="str">
        <f>IFERROR(MATCH($C$5&amp;"|"&amp;RIGHT("000000"&amp;1550,6),LdgRankKeyB,0),"")</f>
        <v/>
      </c>
    </row>
    <row r="1567" spans="1:13" x14ac:dyDescent="0.2">
      <c r="A1567" s="3">
        <v>1551</v>
      </c>
      <c r="B1567" s="4" t="str">
        <f t="shared" si="192"/>
        <v/>
      </c>
      <c r="C1567" s="4" t="str">
        <f t="shared" si="193"/>
        <v/>
      </c>
      <c r="D1567" s="4" t="str">
        <f t="shared" si="194"/>
        <v/>
      </c>
      <c r="E1567" s="5" t="str">
        <f t="shared" si="195"/>
        <v/>
      </c>
      <c r="F1567" s="6" t="str">
        <f t="shared" si="196"/>
        <v/>
      </c>
      <c r="G1567" s="7" t="str">
        <f t="shared" si="197"/>
        <v/>
      </c>
      <c r="H1567" s="7" t="str">
        <f t="shared" si="198"/>
        <v/>
      </c>
      <c r="I1567" s="8" t="str">
        <f t="shared" si="199"/>
        <v/>
      </c>
      <c r="L1567" t="str">
        <f>IFERROR(MATCH($C$5&amp;"|"&amp;RIGHT("000000"&amp;1551,6),LdgRankKeyA,0),"")</f>
        <v/>
      </c>
      <c r="M1567" t="str">
        <f>IFERROR(MATCH($C$5&amp;"|"&amp;RIGHT("000000"&amp;1551,6),LdgRankKeyB,0),"")</f>
        <v/>
      </c>
    </row>
    <row r="1568" spans="1:13" x14ac:dyDescent="0.2">
      <c r="A1568" s="9">
        <v>1552</v>
      </c>
      <c r="B1568" s="10" t="str">
        <f t="shared" si="192"/>
        <v/>
      </c>
      <c r="C1568" s="10" t="str">
        <f t="shared" si="193"/>
        <v/>
      </c>
      <c r="D1568" s="10" t="str">
        <f t="shared" si="194"/>
        <v/>
      </c>
      <c r="E1568" s="11" t="str">
        <f t="shared" si="195"/>
        <v/>
      </c>
      <c r="F1568" s="12" t="str">
        <f t="shared" si="196"/>
        <v/>
      </c>
      <c r="G1568" s="13" t="str">
        <f t="shared" si="197"/>
        <v/>
      </c>
      <c r="H1568" s="13" t="str">
        <f t="shared" si="198"/>
        <v/>
      </c>
      <c r="I1568" s="14" t="str">
        <f t="shared" si="199"/>
        <v/>
      </c>
      <c r="L1568" t="str">
        <f>IFERROR(MATCH($C$5&amp;"|"&amp;RIGHT("000000"&amp;1552,6),LdgRankKeyA,0),"")</f>
        <v/>
      </c>
      <c r="M1568" t="str">
        <f>IFERROR(MATCH($C$5&amp;"|"&amp;RIGHT("000000"&amp;1552,6),LdgRankKeyB,0),"")</f>
        <v/>
      </c>
    </row>
    <row r="1569" spans="1:13" x14ac:dyDescent="0.2">
      <c r="A1569" s="3">
        <v>1553</v>
      </c>
      <c r="B1569" s="4" t="str">
        <f t="shared" si="192"/>
        <v/>
      </c>
      <c r="C1569" s="4" t="str">
        <f t="shared" si="193"/>
        <v/>
      </c>
      <c r="D1569" s="4" t="str">
        <f t="shared" si="194"/>
        <v/>
      </c>
      <c r="E1569" s="5" t="str">
        <f t="shared" si="195"/>
        <v/>
      </c>
      <c r="F1569" s="6" t="str">
        <f t="shared" si="196"/>
        <v/>
      </c>
      <c r="G1569" s="7" t="str">
        <f t="shared" si="197"/>
        <v/>
      </c>
      <c r="H1569" s="7" t="str">
        <f t="shared" si="198"/>
        <v/>
      </c>
      <c r="I1569" s="8" t="str">
        <f t="shared" si="199"/>
        <v/>
      </c>
      <c r="L1569" t="str">
        <f>IFERROR(MATCH($C$5&amp;"|"&amp;RIGHT("000000"&amp;1553,6),LdgRankKeyA,0),"")</f>
        <v/>
      </c>
      <c r="M1569" t="str">
        <f>IFERROR(MATCH($C$5&amp;"|"&amp;RIGHT("000000"&amp;1553,6),LdgRankKeyB,0),"")</f>
        <v/>
      </c>
    </row>
    <row r="1570" spans="1:13" x14ac:dyDescent="0.2">
      <c r="A1570" s="9">
        <v>1554</v>
      </c>
      <c r="B1570" s="10" t="str">
        <f t="shared" si="192"/>
        <v/>
      </c>
      <c r="C1570" s="10" t="str">
        <f t="shared" si="193"/>
        <v/>
      </c>
      <c r="D1570" s="10" t="str">
        <f t="shared" si="194"/>
        <v/>
      </c>
      <c r="E1570" s="11" t="str">
        <f t="shared" si="195"/>
        <v/>
      </c>
      <c r="F1570" s="12" t="str">
        <f t="shared" si="196"/>
        <v/>
      </c>
      <c r="G1570" s="13" t="str">
        <f t="shared" si="197"/>
        <v/>
      </c>
      <c r="H1570" s="13" t="str">
        <f t="shared" si="198"/>
        <v/>
      </c>
      <c r="I1570" s="14" t="str">
        <f t="shared" si="199"/>
        <v/>
      </c>
      <c r="L1570" t="str">
        <f>IFERROR(MATCH($C$5&amp;"|"&amp;RIGHT("000000"&amp;1554,6),LdgRankKeyA,0),"")</f>
        <v/>
      </c>
      <c r="M1570" t="str">
        <f>IFERROR(MATCH($C$5&amp;"|"&amp;RIGHT("000000"&amp;1554,6),LdgRankKeyB,0),"")</f>
        <v/>
      </c>
    </row>
    <row r="1571" spans="1:13" x14ac:dyDescent="0.2">
      <c r="A1571" s="3">
        <v>1555</v>
      </c>
      <c r="B1571" s="4" t="str">
        <f t="shared" si="192"/>
        <v/>
      </c>
      <c r="C1571" s="4" t="str">
        <f t="shared" si="193"/>
        <v/>
      </c>
      <c r="D1571" s="4" t="str">
        <f t="shared" si="194"/>
        <v/>
      </c>
      <c r="E1571" s="5" t="str">
        <f t="shared" si="195"/>
        <v/>
      </c>
      <c r="F1571" s="6" t="str">
        <f t="shared" si="196"/>
        <v/>
      </c>
      <c r="G1571" s="7" t="str">
        <f t="shared" si="197"/>
        <v/>
      </c>
      <c r="H1571" s="7" t="str">
        <f t="shared" si="198"/>
        <v/>
      </c>
      <c r="I1571" s="8" t="str">
        <f t="shared" si="199"/>
        <v/>
      </c>
      <c r="L1571" t="str">
        <f>IFERROR(MATCH($C$5&amp;"|"&amp;RIGHT("000000"&amp;1555,6),LdgRankKeyA,0),"")</f>
        <v/>
      </c>
      <c r="M1571" t="str">
        <f>IFERROR(MATCH($C$5&amp;"|"&amp;RIGHT("000000"&amp;1555,6),LdgRankKeyB,0),"")</f>
        <v/>
      </c>
    </row>
    <row r="1572" spans="1:13" x14ac:dyDescent="0.2">
      <c r="A1572" s="9">
        <v>1556</v>
      </c>
      <c r="B1572" s="10" t="str">
        <f t="shared" si="192"/>
        <v/>
      </c>
      <c r="C1572" s="10" t="str">
        <f t="shared" si="193"/>
        <v/>
      </c>
      <c r="D1572" s="10" t="str">
        <f t="shared" si="194"/>
        <v/>
      </c>
      <c r="E1572" s="11" t="str">
        <f t="shared" si="195"/>
        <v/>
      </c>
      <c r="F1572" s="12" t="str">
        <f t="shared" si="196"/>
        <v/>
      </c>
      <c r="G1572" s="13" t="str">
        <f t="shared" si="197"/>
        <v/>
      </c>
      <c r="H1572" s="13" t="str">
        <f t="shared" si="198"/>
        <v/>
      </c>
      <c r="I1572" s="14" t="str">
        <f t="shared" si="199"/>
        <v/>
      </c>
      <c r="L1572" t="str">
        <f>IFERROR(MATCH($C$5&amp;"|"&amp;RIGHT("000000"&amp;1556,6),LdgRankKeyA,0),"")</f>
        <v/>
      </c>
      <c r="M1572" t="str">
        <f>IFERROR(MATCH($C$5&amp;"|"&amp;RIGHT("000000"&amp;1556,6),LdgRankKeyB,0),"")</f>
        <v/>
      </c>
    </row>
    <row r="1573" spans="1:13" x14ac:dyDescent="0.2">
      <c r="A1573" s="3">
        <v>1557</v>
      </c>
      <c r="B1573" s="4" t="str">
        <f t="shared" si="192"/>
        <v/>
      </c>
      <c r="C1573" s="4" t="str">
        <f t="shared" si="193"/>
        <v/>
      </c>
      <c r="D1573" s="4" t="str">
        <f t="shared" si="194"/>
        <v/>
      </c>
      <c r="E1573" s="5" t="str">
        <f t="shared" si="195"/>
        <v/>
      </c>
      <c r="F1573" s="6" t="str">
        <f t="shared" si="196"/>
        <v/>
      </c>
      <c r="G1573" s="7" t="str">
        <f t="shared" si="197"/>
        <v/>
      </c>
      <c r="H1573" s="7" t="str">
        <f t="shared" si="198"/>
        <v/>
      </c>
      <c r="I1573" s="8" t="str">
        <f t="shared" si="199"/>
        <v/>
      </c>
      <c r="L1573" t="str">
        <f>IFERROR(MATCH($C$5&amp;"|"&amp;RIGHT("000000"&amp;1557,6),LdgRankKeyA,0),"")</f>
        <v/>
      </c>
      <c r="M1573" t="str">
        <f>IFERROR(MATCH($C$5&amp;"|"&amp;RIGHT("000000"&amp;1557,6),LdgRankKeyB,0),"")</f>
        <v/>
      </c>
    </row>
    <row r="1574" spans="1:13" x14ac:dyDescent="0.2">
      <c r="A1574" s="9">
        <v>1558</v>
      </c>
      <c r="B1574" s="10" t="str">
        <f t="shared" si="192"/>
        <v/>
      </c>
      <c r="C1574" s="10" t="str">
        <f t="shared" si="193"/>
        <v/>
      </c>
      <c r="D1574" s="10" t="str">
        <f t="shared" si="194"/>
        <v/>
      </c>
      <c r="E1574" s="11" t="str">
        <f t="shared" si="195"/>
        <v/>
      </c>
      <c r="F1574" s="12" t="str">
        <f t="shared" si="196"/>
        <v/>
      </c>
      <c r="G1574" s="13" t="str">
        <f t="shared" si="197"/>
        <v/>
      </c>
      <c r="H1574" s="13" t="str">
        <f t="shared" si="198"/>
        <v/>
      </c>
      <c r="I1574" s="14" t="str">
        <f t="shared" si="199"/>
        <v/>
      </c>
      <c r="L1574" t="str">
        <f>IFERROR(MATCH($C$5&amp;"|"&amp;RIGHT("000000"&amp;1558,6),LdgRankKeyA,0),"")</f>
        <v/>
      </c>
      <c r="M1574" t="str">
        <f>IFERROR(MATCH($C$5&amp;"|"&amp;RIGHT("000000"&amp;1558,6),LdgRankKeyB,0),"")</f>
        <v/>
      </c>
    </row>
    <row r="1575" spans="1:13" x14ac:dyDescent="0.2">
      <c r="A1575" s="3">
        <v>1559</v>
      </c>
      <c r="B1575" s="4" t="str">
        <f t="shared" si="192"/>
        <v/>
      </c>
      <c r="C1575" s="4" t="str">
        <f t="shared" si="193"/>
        <v/>
      </c>
      <c r="D1575" s="4" t="str">
        <f t="shared" si="194"/>
        <v/>
      </c>
      <c r="E1575" s="5" t="str">
        <f t="shared" si="195"/>
        <v/>
      </c>
      <c r="F1575" s="6" t="str">
        <f t="shared" si="196"/>
        <v/>
      </c>
      <c r="G1575" s="7" t="str">
        <f t="shared" si="197"/>
        <v/>
      </c>
      <c r="H1575" s="7" t="str">
        <f t="shared" si="198"/>
        <v/>
      </c>
      <c r="I1575" s="8" t="str">
        <f t="shared" si="199"/>
        <v/>
      </c>
      <c r="L1575" t="str">
        <f>IFERROR(MATCH($C$5&amp;"|"&amp;RIGHT("000000"&amp;1559,6),LdgRankKeyA,0),"")</f>
        <v/>
      </c>
      <c r="M1575" t="str">
        <f>IFERROR(MATCH($C$5&amp;"|"&amp;RIGHT("000000"&amp;1559,6),LdgRankKeyB,0),"")</f>
        <v/>
      </c>
    </row>
    <row r="1576" spans="1:13" x14ac:dyDescent="0.2">
      <c r="A1576" s="9">
        <v>1560</v>
      </c>
      <c r="B1576" s="10" t="str">
        <f t="shared" si="192"/>
        <v/>
      </c>
      <c r="C1576" s="10" t="str">
        <f t="shared" si="193"/>
        <v/>
      </c>
      <c r="D1576" s="10" t="str">
        <f t="shared" si="194"/>
        <v/>
      </c>
      <c r="E1576" s="11" t="str">
        <f t="shared" si="195"/>
        <v/>
      </c>
      <c r="F1576" s="12" t="str">
        <f t="shared" si="196"/>
        <v/>
      </c>
      <c r="G1576" s="13" t="str">
        <f t="shared" si="197"/>
        <v/>
      </c>
      <c r="H1576" s="13" t="str">
        <f t="shared" si="198"/>
        <v/>
      </c>
      <c r="I1576" s="14" t="str">
        <f t="shared" si="199"/>
        <v/>
      </c>
      <c r="L1576" t="str">
        <f>IFERROR(MATCH($C$5&amp;"|"&amp;RIGHT("000000"&amp;1560,6),LdgRankKeyA,0),"")</f>
        <v/>
      </c>
      <c r="M1576" t="str">
        <f>IFERROR(MATCH($C$5&amp;"|"&amp;RIGHT("000000"&amp;1560,6),LdgRankKeyB,0),"")</f>
        <v/>
      </c>
    </row>
    <row r="1577" spans="1:13" x14ac:dyDescent="0.2">
      <c r="A1577" s="3">
        <v>1561</v>
      </c>
      <c r="B1577" s="4" t="str">
        <f t="shared" si="192"/>
        <v/>
      </c>
      <c r="C1577" s="4" t="str">
        <f t="shared" si="193"/>
        <v/>
      </c>
      <c r="D1577" s="4" t="str">
        <f t="shared" si="194"/>
        <v/>
      </c>
      <c r="E1577" s="5" t="str">
        <f t="shared" si="195"/>
        <v/>
      </c>
      <c r="F1577" s="6" t="str">
        <f t="shared" si="196"/>
        <v/>
      </c>
      <c r="G1577" s="7" t="str">
        <f t="shared" si="197"/>
        <v/>
      </c>
      <c r="H1577" s="7" t="str">
        <f t="shared" si="198"/>
        <v/>
      </c>
      <c r="I1577" s="8" t="str">
        <f t="shared" si="199"/>
        <v/>
      </c>
      <c r="L1577" t="str">
        <f>IFERROR(MATCH($C$5&amp;"|"&amp;RIGHT("000000"&amp;1561,6),LdgRankKeyA,0),"")</f>
        <v/>
      </c>
      <c r="M1577" t="str">
        <f>IFERROR(MATCH($C$5&amp;"|"&amp;RIGHT("000000"&amp;1561,6),LdgRankKeyB,0),"")</f>
        <v/>
      </c>
    </row>
    <row r="1578" spans="1:13" x14ac:dyDescent="0.2">
      <c r="A1578" s="9">
        <v>1562</v>
      </c>
      <c r="B1578" s="10" t="str">
        <f t="shared" si="192"/>
        <v/>
      </c>
      <c r="C1578" s="10" t="str">
        <f t="shared" si="193"/>
        <v/>
      </c>
      <c r="D1578" s="10" t="str">
        <f t="shared" si="194"/>
        <v/>
      </c>
      <c r="E1578" s="11" t="str">
        <f t="shared" si="195"/>
        <v/>
      </c>
      <c r="F1578" s="12" t="str">
        <f t="shared" si="196"/>
        <v/>
      </c>
      <c r="G1578" s="13" t="str">
        <f t="shared" si="197"/>
        <v/>
      </c>
      <c r="H1578" s="13" t="str">
        <f t="shared" si="198"/>
        <v/>
      </c>
      <c r="I1578" s="14" t="str">
        <f t="shared" si="199"/>
        <v/>
      </c>
      <c r="L1578" t="str">
        <f>IFERROR(MATCH($C$5&amp;"|"&amp;RIGHT("000000"&amp;1562,6),LdgRankKeyA,0),"")</f>
        <v/>
      </c>
      <c r="M1578" t="str">
        <f>IFERROR(MATCH($C$5&amp;"|"&amp;RIGHT("000000"&amp;1562,6),LdgRankKeyB,0),"")</f>
        <v/>
      </c>
    </row>
    <row r="1579" spans="1:13" x14ac:dyDescent="0.2">
      <c r="A1579" s="3">
        <v>1563</v>
      </c>
      <c r="B1579" s="4" t="str">
        <f t="shared" si="192"/>
        <v/>
      </c>
      <c r="C1579" s="4" t="str">
        <f t="shared" si="193"/>
        <v/>
      </c>
      <c r="D1579" s="4" t="str">
        <f t="shared" si="194"/>
        <v/>
      </c>
      <c r="E1579" s="5" t="str">
        <f t="shared" si="195"/>
        <v/>
      </c>
      <c r="F1579" s="6" t="str">
        <f t="shared" si="196"/>
        <v/>
      </c>
      <c r="G1579" s="7" t="str">
        <f t="shared" si="197"/>
        <v/>
      </c>
      <c r="H1579" s="7" t="str">
        <f t="shared" si="198"/>
        <v/>
      </c>
      <c r="I1579" s="8" t="str">
        <f t="shared" si="199"/>
        <v/>
      </c>
      <c r="L1579" t="str">
        <f>IFERROR(MATCH($C$5&amp;"|"&amp;RIGHT("000000"&amp;1563,6),LdgRankKeyA,0),"")</f>
        <v/>
      </c>
      <c r="M1579" t="str">
        <f>IFERROR(MATCH($C$5&amp;"|"&amp;RIGHT("000000"&amp;1563,6),LdgRankKeyB,0),"")</f>
        <v/>
      </c>
    </row>
    <row r="1580" spans="1:13" x14ac:dyDescent="0.2">
      <c r="A1580" s="9">
        <v>1564</v>
      </c>
      <c r="B1580" s="10" t="str">
        <f t="shared" si="192"/>
        <v/>
      </c>
      <c r="C1580" s="10" t="str">
        <f t="shared" si="193"/>
        <v/>
      </c>
      <c r="D1580" s="10" t="str">
        <f t="shared" si="194"/>
        <v/>
      </c>
      <c r="E1580" s="11" t="str">
        <f t="shared" si="195"/>
        <v/>
      </c>
      <c r="F1580" s="12" t="str">
        <f t="shared" si="196"/>
        <v/>
      </c>
      <c r="G1580" s="13" t="str">
        <f t="shared" si="197"/>
        <v/>
      </c>
      <c r="H1580" s="13" t="str">
        <f t="shared" si="198"/>
        <v/>
      </c>
      <c r="I1580" s="14" t="str">
        <f t="shared" si="199"/>
        <v/>
      </c>
      <c r="L1580" t="str">
        <f>IFERROR(MATCH($C$5&amp;"|"&amp;RIGHT("000000"&amp;1564,6),LdgRankKeyA,0),"")</f>
        <v/>
      </c>
      <c r="M1580" t="str">
        <f>IFERROR(MATCH($C$5&amp;"|"&amp;RIGHT("000000"&amp;1564,6),LdgRankKeyB,0),"")</f>
        <v/>
      </c>
    </row>
    <row r="1581" spans="1:13" x14ac:dyDescent="0.2">
      <c r="A1581" s="3">
        <v>1565</v>
      </c>
      <c r="B1581" s="4" t="str">
        <f t="shared" si="192"/>
        <v/>
      </c>
      <c r="C1581" s="4" t="str">
        <f t="shared" si="193"/>
        <v/>
      </c>
      <c r="D1581" s="4" t="str">
        <f t="shared" si="194"/>
        <v/>
      </c>
      <c r="E1581" s="5" t="str">
        <f t="shared" si="195"/>
        <v/>
      </c>
      <c r="F1581" s="6" t="str">
        <f t="shared" si="196"/>
        <v/>
      </c>
      <c r="G1581" s="7" t="str">
        <f t="shared" si="197"/>
        <v/>
      </c>
      <c r="H1581" s="7" t="str">
        <f t="shared" si="198"/>
        <v/>
      </c>
      <c r="I1581" s="8" t="str">
        <f t="shared" si="199"/>
        <v/>
      </c>
      <c r="L1581" t="str">
        <f>IFERROR(MATCH($C$5&amp;"|"&amp;RIGHT("000000"&amp;1565,6),LdgRankKeyA,0),"")</f>
        <v/>
      </c>
      <c r="M1581" t="str">
        <f>IFERROR(MATCH($C$5&amp;"|"&amp;RIGHT("000000"&amp;1565,6),LdgRankKeyB,0),"")</f>
        <v/>
      </c>
    </row>
    <row r="1582" spans="1:13" x14ac:dyDescent="0.2">
      <c r="A1582" s="9">
        <v>1566</v>
      </c>
      <c r="B1582" s="10" t="str">
        <f t="shared" si="192"/>
        <v/>
      </c>
      <c r="C1582" s="10" t="str">
        <f t="shared" si="193"/>
        <v/>
      </c>
      <c r="D1582" s="10" t="str">
        <f t="shared" si="194"/>
        <v/>
      </c>
      <c r="E1582" s="11" t="str">
        <f t="shared" si="195"/>
        <v/>
      </c>
      <c r="F1582" s="12" t="str">
        <f t="shared" si="196"/>
        <v/>
      </c>
      <c r="G1582" s="13" t="str">
        <f t="shared" si="197"/>
        <v/>
      </c>
      <c r="H1582" s="13" t="str">
        <f t="shared" si="198"/>
        <v/>
      </c>
      <c r="I1582" s="14" t="str">
        <f t="shared" si="199"/>
        <v/>
      </c>
      <c r="L1582" t="str">
        <f>IFERROR(MATCH($C$5&amp;"|"&amp;RIGHT("000000"&amp;1566,6),LdgRankKeyA,0),"")</f>
        <v/>
      </c>
      <c r="M1582" t="str">
        <f>IFERROR(MATCH($C$5&amp;"|"&amp;RIGHT("000000"&amp;1566,6),LdgRankKeyB,0),"")</f>
        <v/>
      </c>
    </row>
    <row r="1583" spans="1:13" x14ac:dyDescent="0.2">
      <c r="A1583" s="3">
        <v>1567</v>
      </c>
      <c r="B1583" s="4" t="str">
        <f t="shared" si="192"/>
        <v/>
      </c>
      <c r="C1583" s="4" t="str">
        <f t="shared" si="193"/>
        <v/>
      </c>
      <c r="D1583" s="4" t="str">
        <f t="shared" si="194"/>
        <v/>
      </c>
      <c r="E1583" s="5" t="str">
        <f t="shared" si="195"/>
        <v/>
      </c>
      <c r="F1583" s="6" t="str">
        <f t="shared" si="196"/>
        <v/>
      </c>
      <c r="G1583" s="7" t="str">
        <f t="shared" si="197"/>
        <v/>
      </c>
      <c r="H1583" s="7" t="str">
        <f t="shared" si="198"/>
        <v/>
      </c>
      <c r="I1583" s="8" t="str">
        <f t="shared" si="199"/>
        <v/>
      </c>
      <c r="L1583" t="str">
        <f>IFERROR(MATCH($C$5&amp;"|"&amp;RIGHT("000000"&amp;1567,6),LdgRankKeyA,0),"")</f>
        <v/>
      </c>
      <c r="M1583" t="str">
        <f>IFERROR(MATCH($C$5&amp;"|"&amp;RIGHT("000000"&amp;1567,6),LdgRankKeyB,0),"")</f>
        <v/>
      </c>
    </row>
    <row r="1584" spans="1:13" x14ac:dyDescent="0.2">
      <c r="A1584" s="9">
        <v>1568</v>
      </c>
      <c r="B1584" s="10" t="str">
        <f t="shared" si="192"/>
        <v/>
      </c>
      <c r="C1584" s="10" t="str">
        <f t="shared" si="193"/>
        <v/>
      </c>
      <c r="D1584" s="10" t="str">
        <f t="shared" si="194"/>
        <v/>
      </c>
      <c r="E1584" s="11" t="str">
        <f t="shared" si="195"/>
        <v/>
      </c>
      <c r="F1584" s="12" t="str">
        <f t="shared" si="196"/>
        <v/>
      </c>
      <c r="G1584" s="13" t="str">
        <f t="shared" si="197"/>
        <v/>
      </c>
      <c r="H1584" s="13" t="str">
        <f t="shared" si="198"/>
        <v/>
      </c>
      <c r="I1584" s="14" t="str">
        <f t="shared" si="199"/>
        <v/>
      </c>
      <c r="L1584" t="str">
        <f>IFERROR(MATCH($C$5&amp;"|"&amp;RIGHT("000000"&amp;1568,6),LdgRankKeyA,0),"")</f>
        <v/>
      </c>
      <c r="M1584" t="str">
        <f>IFERROR(MATCH($C$5&amp;"|"&amp;RIGHT("000000"&amp;1568,6),LdgRankKeyB,0),"")</f>
        <v/>
      </c>
    </row>
    <row r="1585" spans="1:13" x14ac:dyDescent="0.2">
      <c r="A1585" s="3">
        <v>1569</v>
      </c>
      <c r="B1585" s="4" t="str">
        <f t="shared" si="192"/>
        <v/>
      </c>
      <c r="C1585" s="4" t="str">
        <f t="shared" si="193"/>
        <v/>
      </c>
      <c r="D1585" s="4" t="str">
        <f t="shared" si="194"/>
        <v/>
      </c>
      <c r="E1585" s="5" t="str">
        <f t="shared" si="195"/>
        <v/>
      </c>
      <c r="F1585" s="6" t="str">
        <f t="shared" si="196"/>
        <v/>
      </c>
      <c r="G1585" s="7" t="str">
        <f t="shared" si="197"/>
        <v/>
      </c>
      <c r="H1585" s="7" t="str">
        <f t="shared" si="198"/>
        <v/>
      </c>
      <c r="I1585" s="8" t="str">
        <f t="shared" si="199"/>
        <v/>
      </c>
      <c r="L1585" t="str">
        <f>IFERROR(MATCH($C$5&amp;"|"&amp;RIGHT("000000"&amp;1569,6),LdgRankKeyA,0),"")</f>
        <v/>
      </c>
      <c r="M1585" t="str">
        <f>IFERROR(MATCH($C$5&amp;"|"&amp;RIGHT("000000"&amp;1569,6),LdgRankKeyB,0),"")</f>
        <v/>
      </c>
    </row>
    <row r="1586" spans="1:13" x14ac:dyDescent="0.2">
      <c r="A1586" s="9">
        <v>1570</v>
      </c>
      <c r="B1586" s="10" t="str">
        <f t="shared" si="192"/>
        <v/>
      </c>
      <c r="C1586" s="10" t="str">
        <f t="shared" si="193"/>
        <v/>
      </c>
      <c r="D1586" s="10" t="str">
        <f t="shared" si="194"/>
        <v/>
      </c>
      <c r="E1586" s="11" t="str">
        <f t="shared" si="195"/>
        <v/>
      </c>
      <c r="F1586" s="12" t="str">
        <f t="shared" si="196"/>
        <v/>
      </c>
      <c r="G1586" s="13" t="str">
        <f t="shared" si="197"/>
        <v/>
      </c>
      <c r="H1586" s="13" t="str">
        <f t="shared" si="198"/>
        <v/>
      </c>
      <c r="I1586" s="14" t="str">
        <f t="shared" si="199"/>
        <v/>
      </c>
      <c r="L1586" t="str">
        <f>IFERROR(MATCH($C$5&amp;"|"&amp;RIGHT("000000"&amp;1570,6),LdgRankKeyA,0),"")</f>
        <v/>
      </c>
      <c r="M1586" t="str">
        <f>IFERROR(MATCH($C$5&amp;"|"&amp;RIGHT("000000"&amp;1570,6),LdgRankKeyB,0),"")</f>
        <v/>
      </c>
    </row>
    <row r="1587" spans="1:13" x14ac:dyDescent="0.2">
      <c r="A1587" s="3">
        <v>1571</v>
      </c>
      <c r="B1587" s="4" t="str">
        <f t="shared" si="192"/>
        <v/>
      </c>
      <c r="C1587" s="4" t="str">
        <f t="shared" si="193"/>
        <v/>
      </c>
      <c r="D1587" s="4" t="str">
        <f t="shared" si="194"/>
        <v/>
      </c>
      <c r="E1587" s="5" t="str">
        <f t="shared" si="195"/>
        <v/>
      </c>
      <c r="F1587" s="6" t="str">
        <f t="shared" si="196"/>
        <v/>
      </c>
      <c r="G1587" s="7" t="str">
        <f t="shared" si="197"/>
        <v/>
      </c>
      <c r="H1587" s="7" t="str">
        <f t="shared" si="198"/>
        <v/>
      </c>
      <c r="I1587" s="8" t="str">
        <f t="shared" si="199"/>
        <v/>
      </c>
      <c r="L1587" t="str">
        <f>IFERROR(MATCH($C$5&amp;"|"&amp;RIGHT("000000"&amp;1571,6),LdgRankKeyA,0),"")</f>
        <v/>
      </c>
      <c r="M1587" t="str">
        <f>IFERROR(MATCH($C$5&amp;"|"&amp;RIGHT("000000"&amp;1571,6),LdgRankKeyB,0),"")</f>
        <v/>
      </c>
    </row>
    <row r="1588" spans="1:13" x14ac:dyDescent="0.2">
      <c r="A1588" s="9">
        <v>1572</v>
      </c>
      <c r="B1588" s="10" t="str">
        <f t="shared" si="192"/>
        <v/>
      </c>
      <c r="C1588" s="10" t="str">
        <f t="shared" si="193"/>
        <v/>
      </c>
      <c r="D1588" s="10" t="str">
        <f t="shared" si="194"/>
        <v/>
      </c>
      <c r="E1588" s="11" t="str">
        <f t="shared" si="195"/>
        <v/>
      </c>
      <c r="F1588" s="12" t="str">
        <f t="shared" si="196"/>
        <v/>
      </c>
      <c r="G1588" s="13" t="str">
        <f t="shared" si="197"/>
        <v/>
      </c>
      <c r="H1588" s="13" t="str">
        <f t="shared" si="198"/>
        <v/>
      </c>
      <c r="I1588" s="14" t="str">
        <f t="shared" si="199"/>
        <v/>
      </c>
      <c r="L1588" t="str">
        <f>IFERROR(MATCH($C$5&amp;"|"&amp;RIGHT("000000"&amp;1572,6),LdgRankKeyA,0),"")</f>
        <v/>
      </c>
      <c r="M1588" t="str">
        <f>IFERROR(MATCH($C$5&amp;"|"&amp;RIGHT("000000"&amp;1572,6),LdgRankKeyB,0),"")</f>
        <v/>
      </c>
    </row>
    <row r="1589" spans="1:13" x14ac:dyDescent="0.2">
      <c r="A1589" s="3">
        <v>1573</v>
      </c>
      <c r="B1589" s="4" t="str">
        <f t="shared" si="192"/>
        <v/>
      </c>
      <c r="C1589" s="4" t="str">
        <f t="shared" si="193"/>
        <v/>
      </c>
      <c r="D1589" s="4" t="str">
        <f t="shared" si="194"/>
        <v/>
      </c>
      <c r="E1589" s="5" t="str">
        <f t="shared" si="195"/>
        <v/>
      </c>
      <c r="F1589" s="6" t="str">
        <f t="shared" si="196"/>
        <v/>
      </c>
      <c r="G1589" s="7" t="str">
        <f t="shared" si="197"/>
        <v/>
      </c>
      <c r="H1589" s="7" t="str">
        <f t="shared" si="198"/>
        <v/>
      </c>
      <c r="I1589" s="8" t="str">
        <f t="shared" si="199"/>
        <v/>
      </c>
      <c r="L1589" t="str">
        <f>IFERROR(MATCH($C$5&amp;"|"&amp;RIGHT("000000"&amp;1573,6),LdgRankKeyA,0),"")</f>
        <v/>
      </c>
      <c r="M1589" t="str">
        <f>IFERROR(MATCH($C$5&amp;"|"&amp;RIGHT("000000"&amp;1573,6),LdgRankKeyB,0),"")</f>
        <v/>
      </c>
    </row>
    <row r="1590" spans="1:13" x14ac:dyDescent="0.2">
      <c r="A1590" s="9">
        <v>1574</v>
      </c>
      <c r="B1590" s="10" t="str">
        <f t="shared" si="192"/>
        <v/>
      </c>
      <c r="C1590" s="10" t="str">
        <f t="shared" si="193"/>
        <v/>
      </c>
      <c r="D1590" s="10" t="str">
        <f t="shared" si="194"/>
        <v/>
      </c>
      <c r="E1590" s="11" t="str">
        <f t="shared" si="195"/>
        <v/>
      </c>
      <c r="F1590" s="12" t="str">
        <f t="shared" si="196"/>
        <v/>
      </c>
      <c r="G1590" s="13" t="str">
        <f t="shared" si="197"/>
        <v/>
      </c>
      <c r="H1590" s="13" t="str">
        <f t="shared" si="198"/>
        <v/>
      </c>
      <c r="I1590" s="14" t="str">
        <f t="shared" si="199"/>
        <v/>
      </c>
      <c r="L1590" t="str">
        <f>IFERROR(MATCH($C$5&amp;"|"&amp;RIGHT("000000"&amp;1574,6),LdgRankKeyA,0),"")</f>
        <v/>
      </c>
      <c r="M1590" t="str">
        <f>IFERROR(MATCH($C$5&amp;"|"&amp;RIGHT("000000"&amp;1574,6),LdgRankKeyB,0),"")</f>
        <v/>
      </c>
    </row>
    <row r="1591" spans="1:13" x14ac:dyDescent="0.2">
      <c r="A1591" s="3">
        <v>1575</v>
      </c>
      <c r="B1591" s="4" t="str">
        <f t="shared" si="192"/>
        <v/>
      </c>
      <c r="C1591" s="4" t="str">
        <f t="shared" si="193"/>
        <v/>
      </c>
      <c r="D1591" s="4" t="str">
        <f t="shared" si="194"/>
        <v/>
      </c>
      <c r="E1591" s="5" t="str">
        <f t="shared" si="195"/>
        <v/>
      </c>
      <c r="F1591" s="6" t="str">
        <f t="shared" si="196"/>
        <v/>
      </c>
      <c r="G1591" s="7" t="str">
        <f t="shared" si="197"/>
        <v/>
      </c>
      <c r="H1591" s="7" t="str">
        <f t="shared" si="198"/>
        <v/>
      </c>
      <c r="I1591" s="8" t="str">
        <f t="shared" si="199"/>
        <v/>
      </c>
      <c r="L1591" t="str">
        <f>IFERROR(MATCH($C$5&amp;"|"&amp;RIGHT("000000"&amp;1575,6),LdgRankKeyA,0),"")</f>
        <v/>
      </c>
      <c r="M1591" t="str">
        <f>IFERROR(MATCH($C$5&amp;"|"&amp;RIGHT("000000"&amp;1575,6),LdgRankKeyB,0),"")</f>
        <v/>
      </c>
    </row>
    <row r="1592" spans="1:13" x14ac:dyDescent="0.2">
      <c r="A1592" s="9">
        <v>1576</v>
      </c>
      <c r="B1592" s="10" t="str">
        <f t="shared" si="192"/>
        <v/>
      </c>
      <c r="C1592" s="10" t="str">
        <f t="shared" si="193"/>
        <v/>
      </c>
      <c r="D1592" s="10" t="str">
        <f t="shared" si="194"/>
        <v/>
      </c>
      <c r="E1592" s="11" t="str">
        <f t="shared" si="195"/>
        <v/>
      </c>
      <c r="F1592" s="12" t="str">
        <f t="shared" si="196"/>
        <v/>
      </c>
      <c r="G1592" s="13" t="str">
        <f t="shared" si="197"/>
        <v/>
      </c>
      <c r="H1592" s="13" t="str">
        <f t="shared" si="198"/>
        <v/>
      </c>
      <c r="I1592" s="14" t="str">
        <f t="shared" si="199"/>
        <v/>
      </c>
      <c r="L1592" t="str">
        <f>IFERROR(MATCH($C$5&amp;"|"&amp;RIGHT("000000"&amp;1576,6),LdgRankKeyA,0),"")</f>
        <v/>
      </c>
      <c r="M1592" t="str">
        <f>IFERROR(MATCH($C$5&amp;"|"&amp;RIGHT("000000"&amp;1576,6),LdgRankKeyB,0),"")</f>
        <v/>
      </c>
    </row>
    <row r="1593" spans="1:13" x14ac:dyDescent="0.2">
      <c r="A1593" s="3">
        <v>1577</v>
      </c>
      <c r="B1593" s="4" t="str">
        <f t="shared" si="192"/>
        <v/>
      </c>
      <c r="C1593" s="4" t="str">
        <f t="shared" si="193"/>
        <v/>
      </c>
      <c r="D1593" s="4" t="str">
        <f t="shared" si="194"/>
        <v/>
      </c>
      <c r="E1593" s="5" t="str">
        <f t="shared" si="195"/>
        <v/>
      </c>
      <c r="F1593" s="6" t="str">
        <f t="shared" si="196"/>
        <v/>
      </c>
      <c r="G1593" s="7" t="str">
        <f t="shared" si="197"/>
        <v/>
      </c>
      <c r="H1593" s="7" t="str">
        <f t="shared" si="198"/>
        <v/>
      </c>
      <c r="I1593" s="8" t="str">
        <f t="shared" si="199"/>
        <v/>
      </c>
      <c r="L1593" t="str">
        <f>IFERROR(MATCH($C$5&amp;"|"&amp;RIGHT("000000"&amp;1577,6),LdgRankKeyA,0),"")</f>
        <v/>
      </c>
      <c r="M1593" t="str">
        <f>IFERROR(MATCH($C$5&amp;"|"&amp;RIGHT("000000"&amp;1577,6),LdgRankKeyB,0),"")</f>
        <v/>
      </c>
    </row>
    <row r="1594" spans="1:13" x14ac:dyDescent="0.2">
      <c r="A1594" s="9">
        <v>1578</v>
      </c>
      <c r="B1594" s="10" t="str">
        <f t="shared" si="192"/>
        <v/>
      </c>
      <c r="C1594" s="10" t="str">
        <f t="shared" si="193"/>
        <v/>
      </c>
      <c r="D1594" s="10" t="str">
        <f t="shared" si="194"/>
        <v/>
      </c>
      <c r="E1594" s="11" t="str">
        <f t="shared" si="195"/>
        <v/>
      </c>
      <c r="F1594" s="12" t="str">
        <f t="shared" si="196"/>
        <v/>
      </c>
      <c r="G1594" s="13" t="str">
        <f t="shared" si="197"/>
        <v/>
      </c>
      <c r="H1594" s="13" t="str">
        <f t="shared" si="198"/>
        <v/>
      </c>
      <c r="I1594" s="14" t="str">
        <f t="shared" si="199"/>
        <v/>
      </c>
      <c r="L1594" t="str">
        <f>IFERROR(MATCH($C$5&amp;"|"&amp;RIGHT("000000"&amp;1578,6),LdgRankKeyA,0),"")</f>
        <v/>
      </c>
      <c r="M1594" t="str">
        <f>IFERROR(MATCH($C$5&amp;"|"&amp;RIGHT("000000"&amp;1578,6),LdgRankKeyB,0),"")</f>
        <v/>
      </c>
    </row>
    <row r="1595" spans="1:13" x14ac:dyDescent="0.2">
      <c r="A1595" s="3">
        <v>1579</v>
      </c>
      <c r="B1595" s="4" t="str">
        <f t="shared" si="192"/>
        <v/>
      </c>
      <c r="C1595" s="4" t="str">
        <f t="shared" si="193"/>
        <v/>
      </c>
      <c r="D1595" s="4" t="str">
        <f t="shared" si="194"/>
        <v/>
      </c>
      <c r="E1595" s="5" t="str">
        <f t="shared" si="195"/>
        <v/>
      </c>
      <c r="F1595" s="6" t="str">
        <f t="shared" si="196"/>
        <v/>
      </c>
      <c r="G1595" s="7" t="str">
        <f t="shared" si="197"/>
        <v/>
      </c>
      <c r="H1595" s="7" t="str">
        <f t="shared" si="198"/>
        <v/>
      </c>
      <c r="I1595" s="8" t="str">
        <f t="shared" si="199"/>
        <v/>
      </c>
      <c r="L1595" t="str">
        <f>IFERROR(MATCH($C$5&amp;"|"&amp;RIGHT("000000"&amp;1579,6),LdgRankKeyA,0),"")</f>
        <v/>
      </c>
      <c r="M1595" t="str">
        <f>IFERROR(MATCH($C$5&amp;"|"&amp;RIGHT("000000"&amp;1579,6),LdgRankKeyB,0),"")</f>
        <v/>
      </c>
    </row>
    <row r="1596" spans="1:13" x14ac:dyDescent="0.2">
      <c r="A1596" s="9">
        <v>1580</v>
      </c>
      <c r="B1596" s="10" t="str">
        <f t="shared" si="192"/>
        <v/>
      </c>
      <c r="C1596" s="10" t="str">
        <f t="shared" si="193"/>
        <v/>
      </c>
      <c r="D1596" s="10" t="str">
        <f t="shared" si="194"/>
        <v/>
      </c>
      <c r="E1596" s="11" t="str">
        <f t="shared" si="195"/>
        <v/>
      </c>
      <c r="F1596" s="12" t="str">
        <f t="shared" si="196"/>
        <v/>
      </c>
      <c r="G1596" s="13" t="str">
        <f t="shared" si="197"/>
        <v/>
      </c>
      <c r="H1596" s="13" t="str">
        <f t="shared" si="198"/>
        <v/>
      </c>
      <c r="I1596" s="14" t="str">
        <f t="shared" si="199"/>
        <v/>
      </c>
      <c r="L1596" t="str">
        <f>IFERROR(MATCH($C$5&amp;"|"&amp;RIGHT("000000"&amp;1580,6),LdgRankKeyA,0),"")</f>
        <v/>
      </c>
      <c r="M1596" t="str">
        <f>IFERROR(MATCH($C$5&amp;"|"&amp;RIGHT("000000"&amp;1580,6),LdgRankKeyB,0),"")</f>
        <v/>
      </c>
    </row>
    <row r="1597" spans="1:13" x14ac:dyDescent="0.2">
      <c r="A1597" s="3">
        <v>1581</v>
      </c>
      <c r="B1597" s="4" t="str">
        <f t="shared" si="192"/>
        <v/>
      </c>
      <c r="C1597" s="4" t="str">
        <f t="shared" si="193"/>
        <v/>
      </c>
      <c r="D1597" s="4" t="str">
        <f t="shared" si="194"/>
        <v/>
      </c>
      <c r="E1597" s="5" t="str">
        <f t="shared" si="195"/>
        <v/>
      </c>
      <c r="F1597" s="6" t="str">
        <f t="shared" si="196"/>
        <v/>
      </c>
      <c r="G1597" s="7" t="str">
        <f t="shared" si="197"/>
        <v/>
      </c>
      <c r="H1597" s="7" t="str">
        <f t="shared" si="198"/>
        <v/>
      </c>
      <c r="I1597" s="8" t="str">
        <f t="shared" si="199"/>
        <v/>
      </c>
      <c r="L1597" t="str">
        <f>IFERROR(MATCH($C$5&amp;"|"&amp;RIGHT("000000"&amp;1581,6),LdgRankKeyA,0),"")</f>
        <v/>
      </c>
      <c r="M1597" t="str">
        <f>IFERROR(MATCH($C$5&amp;"|"&amp;RIGHT("000000"&amp;1581,6),LdgRankKeyB,0),"")</f>
        <v/>
      </c>
    </row>
    <row r="1598" spans="1:13" x14ac:dyDescent="0.2">
      <c r="A1598" s="9">
        <v>1582</v>
      </c>
      <c r="B1598" s="10" t="str">
        <f t="shared" si="192"/>
        <v/>
      </c>
      <c r="C1598" s="10" t="str">
        <f t="shared" si="193"/>
        <v/>
      </c>
      <c r="D1598" s="10" t="str">
        <f t="shared" si="194"/>
        <v/>
      </c>
      <c r="E1598" s="11" t="str">
        <f t="shared" si="195"/>
        <v/>
      </c>
      <c r="F1598" s="12" t="str">
        <f t="shared" si="196"/>
        <v/>
      </c>
      <c r="G1598" s="13" t="str">
        <f t="shared" si="197"/>
        <v/>
      </c>
      <c r="H1598" s="13" t="str">
        <f t="shared" si="198"/>
        <v/>
      </c>
      <c r="I1598" s="14" t="str">
        <f t="shared" si="199"/>
        <v/>
      </c>
      <c r="L1598" t="str">
        <f>IFERROR(MATCH($C$5&amp;"|"&amp;RIGHT("000000"&amp;1582,6),LdgRankKeyA,0),"")</f>
        <v/>
      </c>
      <c r="M1598" t="str">
        <f>IFERROR(MATCH($C$5&amp;"|"&amp;RIGHT("000000"&amp;1582,6),LdgRankKeyB,0),"")</f>
        <v/>
      </c>
    </row>
    <row r="1599" spans="1:13" x14ac:dyDescent="0.2">
      <c r="A1599" s="3">
        <v>1583</v>
      </c>
      <c r="B1599" s="4" t="str">
        <f t="shared" si="192"/>
        <v/>
      </c>
      <c r="C1599" s="4" t="str">
        <f t="shared" si="193"/>
        <v/>
      </c>
      <c r="D1599" s="4" t="str">
        <f t="shared" si="194"/>
        <v/>
      </c>
      <c r="E1599" s="5" t="str">
        <f t="shared" si="195"/>
        <v/>
      </c>
      <c r="F1599" s="6" t="str">
        <f t="shared" si="196"/>
        <v/>
      </c>
      <c r="G1599" s="7" t="str">
        <f t="shared" si="197"/>
        <v/>
      </c>
      <c r="H1599" s="7" t="str">
        <f t="shared" si="198"/>
        <v/>
      </c>
      <c r="I1599" s="8" t="str">
        <f t="shared" si="199"/>
        <v/>
      </c>
      <c r="L1599" t="str">
        <f>IFERROR(MATCH($C$5&amp;"|"&amp;RIGHT("000000"&amp;1583,6),LdgRankKeyA,0),"")</f>
        <v/>
      </c>
      <c r="M1599" t="str">
        <f>IFERROR(MATCH($C$5&amp;"|"&amp;RIGHT("000000"&amp;1583,6),LdgRankKeyB,0),"")</f>
        <v/>
      </c>
    </row>
    <row r="1600" spans="1:13" x14ac:dyDescent="0.2">
      <c r="A1600" s="9">
        <v>1584</v>
      </c>
      <c r="B1600" s="10" t="str">
        <f t="shared" si="192"/>
        <v/>
      </c>
      <c r="C1600" s="10" t="str">
        <f t="shared" si="193"/>
        <v/>
      </c>
      <c r="D1600" s="10" t="str">
        <f t="shared" si="194"/>
        <v/>
      </c>
      <c r="E1600" s="11" t="str">
        <f t="shared" si="195"/>
        <v/>
      </c>
      <c r="F1600" s="12" t="str">
        <f t="shared" si="196"/>
        <v/>
      </c>
      <c r="G1600" s="13" t="str">
        <f t="shared" si="197"/>
        <v/>
      </c>
      <c r="H1600" s="13" t="str">
        <f t="shared" si="198"/>
        <v/>
      </c>
      <c r="I1600" s="14" t="str">
        <f t="shared" si="199"/>
        <v/>
      </c>
      <c r="L1600" t="str">
        <f>IFERROR(MATCH($C$5&amp;"|"&amp;RIGHT("000000"&amp;1584,6),LdgRankKeyA,0),"")</f>
        <v/>
      </c>
      <c r="M1600" t="str">
        <f>IFERROR(MATCH($C$5&amp;"|"&amp;RIGHT("000000"&amp;1584,6),LdgRankKeyB,0),"")</f>
        <v/>
      </c>
    </row>
    <row r="1601" spans="1:13" x14ac:dyDescent="0.2">
      <c r="A1601" s="3">
        <v>1585</v>
      </c>
      <c r="B1601" s="4" t="str">
        <f t="shared" si="192"/>
        <v/>
      </c>
      <c r="C1601" s="4" t="str">
        <f t="shared" si="193"/>
        <v/>
      </c>
      <c r="D1601" s="4" t="str">
        <f t="shared" si="194"/>
        <v/>
      </c>
      <c r="E1601" s="5" t="str">
        <f t="shared" si="195"/>
        <v/>
      </c>
      <c r="F1601" s="6" t="str">
        <f t="shared" si="196"/>
        <v/>
      </c>
      <c r="G1601" s="7" t="str">
        <f t="shared" si="197"/>
        <v/>
      </c>
      <c r="H1601" s="7" t="str">
        <f t="shared" si="198"/>
        <v/>
      </c>
      <c r="I1601" s="8" t="str">
        <f t="shared" si="199"/>
        <v/>
      </c>
      <c r="L1601" t="str">
        <f>IFERROR(MATCH($C$5&amp;"|"&amp;RIGHT("000000"&amp;1585,6),LdgRankKeyA,0),"")</f>
        <v/>
      </c>
      <c r="M1601" t="str">
        <f>IFERROR(MATCH($C$5&amp;"|"&amp;RIGHT("000000"&amp;1585,6),LdgRankKeyB,0),"")</f>
        <v/>
      </c>
    </row>
    <row r="1602" spans="1:13" x14ac:dyDescent="0.2">
      <c r="A1602" s="9">
        <v>1586</v>
      </c>
      <c r="B1602" s="10" t="str">
        <f t="shared" si="192"/>
        <v/>
      </c>
      <c r="C1602" s="10" t="str">
        <f t="shared" si="193"/>
        <v/>
      </c>
      <c r="D1602" s="10" t="str">
        <f t="shared" si="194"/>
        <v/>
      </c>
      <c r="E1602" s="11" t="str">
        <f t="shared" si="195"/>
        <v/>
      </c>
      <c r="F1602" s="12" t="str">
        <f t="shared" si="196"/>
        <v/>
      </c>
      <c r="G1602" s="13" t="str">
        <f t="shared" si="197"/>
        <v/>
      </c>
      <c r="H1602" s="13" t="str">
        <f t="shared" si="198"/>
        <v/>
      </c>
      <c r="I1602" s="14" t="str">
        <f t="shared" si="199"/>
        <v/>
      </c>
      <c r="L1602" t="str">
        <f>IFERROR(MATCH($C$5&amp;"|"&amp;RIGHT("000000"&amp;1586,6),LdgRankKeyA,0),"")</f>
        <v/>
      </c>
      <c r="M1602" t="str">
        <f>IFERROR(MATCH($C$5&amp;"|"&amp;RIGHT("000000"&amp;1586,6),LdgRankKeyB,0),"")</f>
        <v/>
      </c>
    </row>
    <row r="1603" spans="1:13" x14ac:dyDescent="0.2">
      <c r="A1603" s="3">
        <v>1587</v>
      </c>
      <c r="B1603" s="4" t="str">
        <f t="shared" si="192"/>
        <v/>
      </c>
      <c r="C1603" s="4" t="str">
        <f t="shared" si="193"/>
        <v/>
      </c>
      <c r="D1603" s="4" t="str">
        <f t="shared" si="194"/>
        <v/>
      </c>
      <c r="E1603" s="5" t="str">
        <f t="shared" si="195"/>
        <v/>
      </c>
      <c r="F1603" s="6" t="str">
        <f t="shared" si="196"/>
        <v/>
      </c>
      <c r="G1603" s="7" t="str">
        <f t="shared" si="197"/>
        <v/>
      </c>
      <c r="H1603" s="7" t="str">
        <f t="shared" si="198"/>
        <v/>
      </c>
      <c r="I1603" s="8" t="str">
        <f t="shared" si="199"/>
        <v/>
      </c>
      <c r="L1603" t="str">
        <f>IFERROR(MATCH($C$5&amp;"|"&amp;RIGHT("000000"&amp;1587,6),LdgRankKeyA,0),"")</f>
        <v/>
      </c>
      <c r="M1603" t="str">
        <f>IFERROR(MATCH($C$5&amp;"|"&amp;RIGHT("000000"&amp;1587,6),LdgRankKeyB,0),"")</f>
        <v/>
      </c>
    </row>
    <row r="1604" spans="1:13" x14ac:dyDescent="0.2">
      <c r="A1604" s="9">
        <v>1588</v>
      </c>
      <c r="B1604" s="10" t="str">
        <f t="shared" si="192"/>
        <v/>
      </c>
      <c r="C1604" s="10" t="str">
        <f t="shared" si="193"/>
        <v/>
      </c>
      <c r="D1604" s="10" t="str">
        <f t="shared" si="194"/>
        <v/>
      </c>
      <c r="E1604" s="11" t="str">
        <f t="shared" si="195"/>
        <v/>
      </c>
      <c r="F1604" s="12" t="str">
        <f t="shared" si="196"/>
        <v/>
      </c>
      <c r="G1604" s="13" t="str">
        <f t="shared" si="197"/>
        <v/>
      </c>
      <c r="H1604" s="13" t="str">
        <f t="shared" si="198"/>
        <v/>
      </c>
      <c r="I1604" s="14" t="str">
        <f t="shared" si="199"/>
        <v/>
      </c>
      <c r="L1604" t="str">
        <f>IFERROR(MATCH($C$5&amp;"|"&amp;RIGHT("000000"&amp;1588,6),LdgRankKeyA,0),"")</f>
        <v/>
      </c>
      <c r="M1604" t="str">
        <f>IFERROR(MATCH($C$5&amp;"|"&amp;RIGHT("000000"&amp;1588,6),LdgRankKeyB,0),"")</f>
        <v/>
      </c>
    </row>
    <row r="1605" spans="1:13" x14ac:dyDescent="0.2">
      <c r="A1605" s="3">
        <v>1589</v>
      </c>
      <c r="B1605" s="4" t="str">
        <f t="shared" si="192"/>
        <v/>
      </c>
      <c r="C1605" s="4" t="str">
        <f t="shared" si="193"/>
        <v/>
      </c>
      <c r="D1605" s="4" t="str">
        <f t="shared" si="194"/>
        <v/>
      </c>
      <c r="E1605" s="5" t="str">
        <f t="shared" si="195"/>
        <v/>
      </c>
      <c r="F1605" s="6" t="str">
        <f t="shared" si="196"/>
        <v/>
      </c>
      <c r="G1605" s="7" t="str">
        <f t="shared" si="197"/>
        <v/>
      </c>
      <c r="H1605" s="7" t="str">
        <f t="shared" si="198"/>
        <v/>
      </c>
      <c r="I1605" s="8" t="str">
        <f t="shared" si="199"/>
        <v/>
      </c>
      <c r="L1605" t="str">
        <f>IFERROR(MATCH($C$5&amp;"|"&amp;RIGHT("000000"&amp;1589,6),LdgRankKeyA,0),"")</f>
        <v/>
      </c>
      <c r="M1605" t="str">
        <f>IFERROR(MATCH($C$5&amp;"|"&amp;RIGHT("000000"&amp;1589,6),LdgRankKeyB,0),"")</f>
        <v/>
      </c>
    </row>
    <row r="1606" spans="1:13" x14ac:dyDescent="0.2">
      <c r="A1606" s="9">
        <v>1590</v>
      </c>
      <c r="B1606" s="10" t="str">
        <f t="shared" si="192"/>
        <v/>
      </c>
      <c r="C1606" s="10" t="str">
        <f t="shared" si="193"/>
        <v/>
      </c>
      <c r="D1606" s="10" t="str">
        <f t="shared" si="194"/>
        <v/>
      </c>
      <c r="E1606" s="11" t="str">
        <f t="shared" si="195"/>
        <v/>
      </c>
      <c r="F1606" s="12" t="str">
        <f t="shared" si="196"/>
        <v/>
      </c>
      <c r="G1606" s="13" t="str">
        <f t="shared" si="197"/>
        <v/>
      </c>
      <c r="H1606" s="13" t="str">
        <f t="shared" si="198"/>
        <v/>
      </c>
      <c r="I1606" s="14" t="str">
        <f t="shared" si="199"/>
        <v/>
      </c>
      <c r="L1606" t="str">
        <f>IFERROR(MATCH($C$5&amp;"|"&amp;RIGHT("000000"&amp;1590,6),LdgRankKeyA,0),"")</f>
        <v/>
      </c>
      <c r="M1606" t="str">
        <f>IFERROR(MATCH($C$5&amp;"|"&amp;RIGHT("000000"&amp;1590,6),LdgRankKeyB,0),"")</f>
        <v/>
      </c>
    </row>
    <row r="1607" spans="1:13" x14ac:dyDescent="0.2">
      <c r="A1607" s="3">
        <v>1591</v>
      </c>
      <c r="B1607" s="4" t="str">
        <f t="shared" si="192"/>
        <v/>
      </c>
      <c r="C1607" s="4" t="str">
        <f t="shared" si="193"/>
        <v/>
      </c>
      <c r="D1607" s="4" t="str">
        <f t="shared" si="194"/>
        <v/>
      </c>
      <c r="E1607" s="5" t="str">
        <f t="shared" si="195"/>
        <v/>
      </c>
      <c r="F1607" s="6" t="str">
        <f t="shared" si="196"/>
        <v/>
      </c>
      <c r="G1607" s="7" t="str">
        <f t="shared" si="197"/>
        <v/>
      </c>
      <c r="H1607" s="7" t="str">
        <f t="shared" si="198"/>
        <v/>
      </c>
      <c r="I1607" s="8" t="str">
        <f t="shared" si="199"/>
        <v/>
      </c>
      <c r="L1607" t="str">
        <f>IFERROR(MATCH($C$5&amp;"|"&amp;RIGHT("000000"&amp;1591,6),LdgRankKeyA,0),"")</f>
        <v/>
      </c>
      <c r="M1607" t="str">
        <f>IFERROR(MATCH($C$5&amp;"|"&amp;RIGHT("000000"&amp;1591,6),LdgRankKeyB,0),"")</f>
        <v/>
      </c>
    </row>
    <row r="1608" spans="1:13" x14ac:dyDescent="0.2">
      <c r="A1608" s="9">
        <v>1592</v>
      </c>
      <c r="B1608" s="10" t="str">
        <f t="shared" si="192"/>
        <v/>
      </c>
      <c r="C1608" s="10" t="str">
        <f t="shared" si="193"/>
        <v/>
      </c>
      <c r="D1608" s="10" t="str">
        <f t="shared" si="194"/>
        <v/>
      </c>
      <c r="E1608" s="11" t="str">
        <f t="shared" si="195"/>
        <v/>
      </c>
      <c r="F1608" s="12" t="str">
        <f t="shared" si="196"/>
        <v/>
      </c>
      <c r="G1608" s="13" t="str">
        <f t="shared" si="197"/>
        <v/>
      </c>
      <c r="H1608" s="13" t="str">
        <f t="shared" si="198"/>
        <v/>
      </c>
      <c r="I1608" s="14" t="str">
        <f t="shared" si="199"/>
        <v/>
      </c>
      <c r="L1608" t="str">
        <f>IFERROR(MATCH($C$5&amp;"|"&amp;RIGHT("000000"&amp;1592,6),LdgRankKeyA,0),"")</f>
        <v/>
      </c>
      <c r="M1608" t="str">
        <f>IFERROR(MATCH($C$5&amp;"|"&amp;RIGHT("000000"&amp;1592,6),LdgRankKeyB,0),"")</f>
        <v/>
      </c>
    </row>
    <row r="1609" spans="1:13" x14ac:dyDescent="0.2">
      <c r="A1609" s="3">
        <v>1593</v>
      </c>
      <c r="B1609" s="4" t="str">
        <f t="shared" si="192"/>
        <v/>
      </c>
      <c r="C1609" s="4" t="str">
        <f t="shared" si="193"/>
        <v/>
      </c>
      <c r="D1609" s="4" t="str">
        <f t="shared" si="194"/>
        <v/>
      </c>
      <c r="E1609" s="5" t="str">
        <f t="shared" si="195"/>
        <v/>
      </c>
      <c r="F1609" s="6" t="str">
        <f t="shared" si="196"/>
        <v/>
      </c>
      <c r="G1609" s="7" t="str">
        <f t="shared" si="197"/>
        <v/>
      </c>
      <c r="H1609" s="7" t="str">
        <f t="shared" si="198"/>
        <v/>
      </c>
      <c r="I1609" s="8" t="str">
        <f t="shared" si="199"/>
        <v/>
      </c>
      <c r="L1609" t="str">
        <f>IFERROR(MATCH($C$5&amp;"|"&amp;RIGHT("000000"&amp;1593,6),LdgRankKeyA,0),"")</f>
        <v/>
      </c>
      <c r="M1609" t="str">
        <f>IFERROR(MATCH($C$5&amp;"|"&amp;RIGHT("000000"&amp;1593,6),LdgRankKeyB,0),"")</f>
        <v/>
      </c>
    </row>
    <row r="1610" spans="1:13" x14ac:dyDescent="0.2">
      <c r="A1610" s="9">
        <v>1594</v>
      </c>
      <c r="B1610" s="10" t="str">
        <f t="shared" si="192"/>
        <v/>
      </c>
      <c r="C1610" s="10" t="str">
        <f t="shared" si="193"/>
        <v/>
      </c>
      <c r="D1610" s="10" t="str">
        <f t="shared" si="194"/>
        <v/>
      </c>
      <c r="E1610" s="11" t="str">
        <f t="shared" si="195"/>
        <v/>
      </c>
      <c r="F1610" s="12" t="str">
        <f t="shared" si="196"/>
        <v/>
      </c>
      <c r="G1610" s="13" t="str">
        <f t="shared" si="197"/>
        <v/>
      </c>
      <c r="H1610" s="13" t="str">
        <f t="shared" si="198"/>
        <v/>
      </c>
      <c r="I1610" s="14" t="str">
        <f t="shared" si="199"/>
        <v/>
      </c>
      <c r="L1610" t="str">
        <f>IFERROR(MATCH($C$5&amp;"|"&amp;RIGHT("000000"&amp;1594,6),LdgRankKeyA,0),"")</f>
        <v/>
      </c>
      <c r="M1610" t="str">
        <f>IFERROR(MATCH($C$5&amp;"|"&amp;RIGHT("000000"&amp;1594,6),LdgRankKeyB,0),"")</f>
        <v/>
      </c>
    </row>
    <row r="1611" spans="1:13" x14ac:dyDescent="0.2">
      <c r="A1611" s="3">
        <v>1595</v>
      </c>
      <c r="B1611" s="4" t="str">
        <f t="shared" si="192"/>
        <v/>
      </c>
      <c r="C1611" s="4" t="str">
        <f t="shared" si="193"/>
        <v/>
      </c>
      <c r="D1611" s="4" t="str">
        <f t="shared" si="194"/>
        <v/>
      </c>
      <c r="E1611" s="5" t="str">
        <f t="shared" si="195"/>
        <v/>
      </c>
      <c r="F1611" s="6" t="str">
        <f t="shared" si="196"/>
        <v/>
      </c>
      <c r="G1611" s="7" t="str">
        <f t="shared" si="197"/>
        <v/>
      </c>
      <c r="H1611" s="7" t="str">
        <f t="shared" si="198"/>
        <v/>
      </c>
      <c r="I1611" s="8" t="str">
        <f t="shared" si="199"/>
        <v/>
      </c>
      <c r="L1611" t="str">
        <f>IFERROR(MATCH($C$5&amp;"|"&amp;RIGHT("000000"&amp;1595,6),LdgRankKeyA,0),"")</f>
        <v/>
      </c>
      <c r="M1611" t="str">
        <f>IFERROR(MATCH($C$5&amp;"|"&amp;RIGHT("000000"&amp;1595,6),LdgRankKeyB,0),"")</f>
        <v/>
      </c>
    </row>
    <row r="1612" spans="1:13" x14ac:dyDescent="0.2">
      <c r="A1612" s="9">
        <v>1596</v>
      </c>
      <c r="B1612" s="10" t="str">
        <f t="shared" si="192"/>
        <v/>
      </c>
      <c r="C1612" s="10" t="str">
        <f t="shared" si="193"/>
        <v/>
      </c>
      <c r="D1612" s="10" t="str">
        <f t="shared" si="194"/>
        <v/>
      </c>
      <c r="E1612" s="11" t="str">
        <f t="shared" si="195"/>
        <v/>
      </c>
      <c r="F1612" s="12" t="str">
        <f t="shared" si="196"/>
        <v/>
      </c>
      <c r="G1612" s="13" t="str">
        <f t="shared" si="197"/>
        <v/>
      </c>
      <c r="H1612" s="13" t="str">
        <f t="shared" si="198"/>
        <v/>
      </c>
      <c r="I1612" s="14" t="str">
        <f t="shared" si="199"/>
        <v/>
      </c>
      <c r="L1612" t="str">
        <f>IFERROR(MATCH($C$5&amp;"|"&amp;RIGHT("000000"&amp;1596,6),LdgRankKeyA,0),"")</f>
        <v/>
      </c>
      <c r="M1612" t="str">
        <f>IFERROR(MATCH($C$5&amp;"|"&amp;RIGHT("000000"&amp;1596,6),LdgRankKeyB,0),"")</f>
        <v/>
      </c>
    </row>
    <row r="1613" spans="1:13" x14ac:dyDescent="0.2">
      <c r="A1613" s="3">
        <v>1597</v>
      </c>
      <c r="B1613" s="4" t="str">
        <f t="shared" si="192"/>
        <v/>
      </c>
      <c r="C1613" s="4" t="str">
        <f t="shared" si="193"/>
        <v/>
      </c>
      <c r="D1613" s="4" t="str">
        <f t="shared" si="194"/>
        <v/>
      </c>
      <c r="E1613" s="5" t="str">
        <f t="shared" si="195"/>
        <v/>
      </c>
      <c r="F1613" s="6" t="str">
        <f t="shared" si="196"/>
        <v/>
      </c>
      <c r="G1613" s="7" t="str">
        <f t="shared" si="197"/>
        <v/>
      </c>
      <c r="H1613" s="7" t="str">
        <f t="shared" si="198"/>
        <v/>
      </c>
      <c r="I1613" s="8" t="str">
        <f t="shared" si="199"/>
        <v/>
      </c>
      <c r="L1613" t="str">
        <f>IFERROR(MATCH($C$5&amp;"|"&amp;RIGHT("000000"&amp;1597,6),LdgRankKeyA,0),"")</f>
        <v/>
      </c>
      <c r="M1613" t="str">
        <f>IFERROR(MATCH($C$5&amp;"|"&amp;RIGHT("000000"&amp;1597,6),LdgRankKeyB,0),"")</f>
        <v/>
      </c>
    </row>
    <row r="1614" spans="1:13" x14ac:dyDescent="0.2">
      <c r="A1614" s="9">
        <v>1598</v>
      </c>
      <c r="B1614" s="10" t="str">
        <f t="shared" si="192"/>
        <v/>
      </c>
      <c r="C1614" s="10" t="str">
        <f t="shared" si="193"/>
        <v/>
      </c>
      <c r="D1614" s="10" t="str">
        <f t="shared" si="194"/>
        <v/>
      </c>
      <c r="E1614" s="11" t="str">
        <f t="shared" si="195"/>
        <v/>
      </c>
      <c r="F1614" s="12" t="str">
        <f t="shared" si="196"/>
        <v/>
      </c>
      <c r="G1614" s="13" t="str">
        <f t="shared" si="197"/>
        <v/>
      </c>
      <c r="H1614" s="13" t="str">
        <f t="shared" si="198"/>
        <v/>
      </c>
      <c r="I1614" s="14" t="str">
        <f t="shared" si="199"/>
        <v/>
      </c>
      <c r="L1614" t="str">
        <f>IFERROR(MATCH($C$5&amp;"|"&amp;RIGHT("000000"&amp;1598,6),LdgRankKeyA,0),"")</f>
        <v/>
      </c>
      <c r="M1614" t="str">
        <f>IFERROR(MATCH($C$5&amp;"|"&amp;RIGHT("000000"&amp;1598,6),LdgRankKeyB,0),"")</f>
        <v/>
      </c>
    </row>
    <row r="1615" spans="1:13" x14ac:dyDescent="0.2">
      <c r="A1615" s="3">
        <v>1599</v>
      </c>
      <c r="B1615" s="4" t="str">
        <f t="shared" si="192"/>
        <v/>
      </c>
      <c r="C1615" s="4" t="str">
        <f t="shared" si="193"/>
        <v/>
      </c>
      <c r="D1615" s="4" t="str">
        <f t="shared" si="194"/>
        <v/>
      </c>
      <c r="E1615" s="5" t="str">
        <f t="shared" si="195"/>
        <v/>
      </c>
      <c r="F1615" s="6" t="str">
        <f t="shared" si="196"/>
        <v/>
      </c>
      <c r="G1615" s="7" t="str">
        <f t="shared" si="197"/>
        <v/>
      </c>
      <c r="H1615" s="7" t="str">
        <f t="shared" si="198"/>
        <v/>
      </c>
      <c r="I1615" s="8" t="str">
        <f t="shared" si="199"/>
        <v/>
      </c>
      <c r="L1615" t="str">
        <f>IFERROR(MATCH($C$5&amp;"|"&amp;RIGHT("000000"&amp;1599,6),LdgRankKeyA,0),"")</f>
        <v/>
      </c>
      <c r="M1615" t="str">
        <f>IFERROR(MATCH($C$5&amp;"|"&amp;RIGHT("000000"&amp;1599,6),LdgRankKeyB,0),"")</f>
        <v/>
      </c>
    </row>
    <row r="1616" spans="1:13" x14ac:dyDescent="0.2">
      <c r="A1616" s="9">
        <v>1600</v>
      </c>
      <c r="B1616" s="10" t="str">
        <f t="shared" si="192"/>
        <v/>
      </c>
      <c r="C1616" s="10" t="str">
        <f t="shared" si="193"/>
        <v/>
      </c>
      <c r="D1616" s="10" t="str">
        <f t="shared" si="194"/>
        <v/>
      </c>
      <c r="E1616" s="11" t="str">
        <f t="shared" si="195"/>
        <v/>
      </c>
      <c r="F1616" s="12" t="str">
        <f t="shared" si="196"/>
        <v/>
      </c>
      <c r="G1616" s="13" t="str">
        <f t="shared" si="197"/>
        <v/>
      </c>
      <c r="H1616" s="13" t="str">
        <f t="shared" si="198"/>
        <v/>
      </c>
      <c r="I1616" s="14" t="str">
        <f t="shared" si="199"/>
        <v/>
      </c>
      <c r="L1616" t="str">
        <f>IFERROR(MATCH($C$5&amp;"|"&amp;RIGHT("000000"&amp;1600,6),LdgRankKeyA,0),"")</f>
        <v/>
      </c>
      <c r="M1616" t="str">
        <f>IFERROR(MATCH($C$5&amp;"|"&amp;RIGHT("000000"&amp;1600,6),LdgRankKeyB,0),"")</f>
        <v/>
      </c>
    </row>
    <row r="1617" spans="1:13" x14ac:dyDescent="0.2">
      <c r="A1617" s="3">
        <v>1601</v>
      </c>
      <c r="B1617" s="4" t="str">
        <f t="shared" ref="B1617:B1680" si="200">IF(AND($L1617="",$M1617=""),"",IF($L1617&lt;&gt;"",INDEX(SCNormDate,$L1617),INDEX(LdgDateB,$M1617)))</f>
        <v/>
      </c>
      <c r="C1617" s="4" t="str">
        <f t="shared" ref="C1617:C1680" si="201">IF($L1617&lt;&gt;"",INDEX(SCOp,$L1617),IF($M1617&lt;&gt;"","پرداخت بانکی",""))</f>
        <v/>
      </c>
      <c r="D1617" s="4" t="str">
        <f t="shared" ref="D1617:D1680" si="202">IF($L1617&lt;&gt;"",IF(INDEX(SCDoc,$L1617)="","—",INDEX(SCDoc,$L1617)),IF($M1617&lt;&gt;"",INDEX(LdgBankB,$M1617),""))</f>
        <v/>
      </c>
      <c r="E1617" s="5" t="str">
        <f t="shared" ref="E1617:E1680" si="203">IF($L1617&lt;&gt;"",IF(INDEX(SCCitrus,$L1617)&amp;INDEX(SCNotes,$L1617)="","",IF(INDEX(SCCitrus,$L1617)="","",INDEX(SCCitrus,$L1617))&amp;IF(INDEX(SCNotes,$L1617)="",""," — "&amp;INDEX(SCNotes,$L1617))),IF($M1617&lt;&gt;"",IF(INDEX(LdgNoteB,$M1617)="","—",INDEX(LdgNoteB,$M1617)),""))</f>
        <v/>
      </c>
      <c r="F1617" s="6" t="str">
        <f t="shared" ref="F1617:F1680" si="204">IF($L1617&lt;&gt;"",IF(INDEX(SCNet,$L1617)=0,"",INDEX(SCNet,$L1617)),"")</f>
        <v/>
      </c>
      <c r="G1617" s="7" t="str">
        <f t="shared" ref="G1617:G1680" si="205">IF($L1617&lt;&gt;"",IF(INDEX(SCOp,$L1617)="مرجوعی فروش","",IF(INDEX(SCAmount,$L1617)&lt;=0,"",INDEX(SCAmount,$L1617))),IF($M1617&lt;&gt;"",IF(INDEX(LdgWitB,$M1617)=0,"",INDEX(LdgWitB,$M1617)),""))</f>
        <v/>
      </c>
      <c r="H1617" s="7" t="str">
        <f t="shared" ref="H1617:H1680" si="206">IF($L1617&lt;&gt;"",IF(INDEX(SCOp,$L1617)="مرجوعی فروش",IF(INDEX(SCAmount,$L1617)=0,"",-INDEX(SCAmount,$L1617)),""),IF($M1617&lt;&gt;"",IF(INDEX(LdgDepB,$M1617)=0,"",INDEX(LdgDepB,$M1617)),""))</f>
        <v/>
      </c>
      <c r="I1617" s="8" t="str">
        <f t="shared" si="199"/>
        <v/>
      </c>
      <c r="L1617" t="str">
        <f>IFERROR(MATCH($C$5&amp;"|"&amp;RIGHT("000000"&amp;1601,6),LdgRankKeyA,0),"")</f>
        <v/>
      </c>
      <c r="M1617" t="str">
        <f>IFERROR(MATCH($C$5&amp;"|"&amp;RIGHT("000000"&amp;1601,6),LdgRankKeyB,0),"")</f>
        <v/>
      </c>
    </row>
    <row r="1618" spans="1:13" x14ac:dyDescent="0.2">
      <c r="A1618" s="9">
        <v>1602</v>
      </c>
      <c r="B1618" s="10" t="str">
        <f t="shared" si="200"/>
        <v/>
      </c>
      <c r="C1618" s="10" t="str">
        <f t="shared" si="201"/>
        <v/>
      </c>
      <c r="D1618" s="10" t="str">
        <f t="shared" si="202"/>
        <v/>
      </c>
      <c r="E1618" s="11" t="str">
        <f t="shared" si="203"/>
        <v/>
      </c>
      <c r="F1618" s="12" t="str">
        <f t="shared" si="204"/>
        <v/>
      </c>
      <c r="G1618" s="13" t="str">
        <f t="shared" si="205"/>
        <v/>
      </c>
      <c r="H1618" s="13" t="str">
        <f t="shared" si="206"/>
        <v/>
      </c>
      <c r="I1618" s="14" t="str">
        <f t="shared" ref="I1618:I1681" si="207">IF($B1618="","",IF($I1617="",$C$10,$I1617)+IF($G1618="",0,$G1618)-IF($H1618="",0,$H1618))</f>
        <v/>
      </c>
      <c r="L1618" t="str">
        <f>IFERROR(MATCH($C$5&amp;"|"&amp;RIGHT("000000"&amp;1602,6),LdgRankKeyA,0),"")</f>
        <v/>
      </c>
      <c r="M1618" t="str">
        <f>IFERROR(MATCH($C$5&amp;"|"&amp;RIGHT("000000"&amp;1602,6),LdgRankKeyB,0),"")</f>
        <v/>
      </c>
    </row>
    <row r="1619" spans="1:13" x14ac:dyDescent="0.2">
      <c r="A1619" s="3">
        <v>1603</v>
      </c>
      <c r="B1619" s="4" t="str">
        <f t="shared" si="200"/>
        <v/>
      </c>
      <c r="C1619" s="4" t="str">
        <f t="shared" si="201"/>
        <v/>
      </c>
      <c r="D1619" s="4" t="str">
        <f t="shared" si="202"/>
        <v/>
      </c>
      <c r="E1619" s="5" t="str">
        <f t="shared" si="203"/>
        <v/>
      </c>
      <c r="F1619" s="6" t="str">
        <f t="shared" si="204"/>
        <v/>
      </c>
      <c r="G1619" s="7" t="str">
        <f t="shared" si="205"/>
        <v/>
      </c>
      <c r="H1619" s="7" t="str">
        <f t="shared" si="206"/>
        <v/>
      </c>
      <c r="I1619" s="8" t="str">
        <f t="shared" si="207"/>
        <v/>
      </c>
      <c r="L1619" t="str">
        <f>IFERROR(MATCH($C$5&amp;"|"&amp;RIGHT("000000"&amp;1603,6),LdgRankKeyA,0),"")</f>
        <v/>
      </c>
      <c r="M1619" t="str">
        <f>IFERROR(MATCH($C$5&amp;"|"&amp;RIGHT("000000"&amp;1603,6),LdgRankKeyB,0),"")</f>
        <v/>
      </c>
    </row>
    <row r="1620" spans="1:13" x14ac:dyDescent="0.2">
      <c r="A1620" s="9">
        <v>1604</v>
      </c>
      <c r="B1620" s="10" t="str">
        <f t="shared" si="200"/>
        <v/>
      </c>
      <c r="C1620" s="10" t="str">
        <f t="shared" si="201"/>
        <v/>
      </c>
      <c r="D1620" s="10" t="str">
        <f t="shared" si="202"/>
        <v/>
      </c>
      <c r="E1620" s="11" t="str">
        <f t="shared" si="203"/>
        <v/>
      </c>
      <c r="F1620" s="12" t="str">
        <f t="shared" si="204"/>
        <v/>
      </c>
      <c r="G1620" s="13" t="str">
        <f t="shared" si="205"/>
        <v/>
      </c>
      <c r="H1620" s="13" t="str">
        <f t="shared" si="206"/>
        <v/>
      </c>
      <c r="I1620" s="14" t="str">
        <f t="shared" si="207"/>
        <v/>
      </c>
      <c r="L1620" t="str">
        <f>IFERROR(MATCH($C$5&amp;"|"&amp;RIGHT("000000"&amp;1604,6),LdgRankKeyA,0),"")</f>
        <v/>
      </c>
      <c r="M1620" t="str">
        <f>IFERROR(MATCH($C$5&amp;"|"&amp;RIGHT("000000"&amp;1604,6),LdgRankKeyB,0),"")</f>
        <v/>
      </c>
    </row>
    <row r="1621" spans="1:13" x14ac:dyDescent="0.2">
      <c r="A1621" s="3">
        <v>1605</v>
      </c>
      <c r="B1621" s="4" t="str">
        <f t="shared" si="200"/>
        <v/>
      </c>
      <c r="C1621" s="4" t="str">
        <f t="shared" si="201"/>
        <v/>
      </c>
      <c r="D1621" s="4" t="str">
        <f t="shared" si="202"/>
        <v/>
      </c>
      <c r="E1621" s="5" t="str">
        <f t="shared" si="203"/>
        <v/>
      </c>
      <c r="F1621" s="6" t="str">
        <f t="shared" si="204"/>
        <v/>
      </c>
      <c r="G1621" s="7" t="str">
        <f t="shared" si="205"/>
        <v/>
      </c>
      <c r="H1621" s="7" t="str">
        <f t="shared" si="206"/>
        <v/>
      </c>
      <c r="I1621" s="8" t="str">
        <f t="shared" si="207"/>
        <v/>
      </c>
      <c r="L1621" t="str">
        <f>IFERROR(MATCH($C$5&amp;"|"&amp;RIGHT("000000"&amp;1605,6),LdgRankKeyA,0),"")</f>
        <v/>
      </c>
      <c r="M1621" t="str">
        <f>IFERROR(MATCH($C$5&amp;"|"&amp;RIGHT("000000"&amp;1605,6),LdgRankKeyB,0),"")</f>
        <v/>
      </c>
    </row>
    <row r="1622" spans="1:13" x14ac:dyDescent="0.2">
      <c r="A1622" s="9">
        <v>1606</v>
      </c>
      <c r="B1622" s="10" t="str">
        <f t="shared" si="200"/>
        <v/>
      </c>
      <c r="C1622" s="10" t="str">
        <f t="shared" si="201"/>
        <v/>
      </c>
      <c r="D1622" s="10" t="str">
        <f t="shared" si="202"/>
        <v/>
      </c>
      <c r="E1622" s="11" t="str">
        <f t="shared" si="203"/>
        <v/>
      </c>
      <c r="F1622" s="12" t="str">
        <f t="shared" si="204"/>
        <v/>
      </c>
      <c r="G1622" s="13" t="str">
        <f t="shared" si="205"/>
        <v/>
      </c>
      <c r="H1622" s="13" t="str">
        <f t="shared" si="206"/>
        <v/>
      </c>
      <c r="I1622" s="14" t="str">
        <f t="shared" si="207"/>
        <v/>
      </c>
      <c r="L1622" t="str">
        <f>IFERROR(MATCH($C$5&amp;"|"&amp;RIGHT("000000"&amp;1606,6),LdgRankKeyA,0),"")</f>
        <v/>
      </c>
      <c r="M1622" t="str">
        <f>IFERROR(MATCH($C$5&amp;"|"&amp;RIGHT("000000"&amp;1606,6),LdgRankKeyB,0),"")</f>
        <v/>
      </c>
    </row>
    <row r="1623" spans="1:13" x14ac:dyDescent="0.2">
      <c r="A1623" s="3">
        <v>1607</v>
      </c>
      <c r="B1623" s="4" t="str">
        <f t="shared" si="200"/>
        <v/>
      </c>
      <c r="C1623" s="4" t="str">
        <f t="shared" si="201"/>
        <v/>
      </c>
      <c r="D1623" s="4" t="str">
        <f t="shared" si="202"/>
        <v/>
      </c>
      <c r="E1623" s="5" t="str">
        <f t="shared" si="203"/>
        <v/>
      </c>
      <c r="F1623" s="6" t="str">
        <f t="shared" si="204"/>
        <v/>
      </c>
      <c r="G1623" s="7" t="str">
        <f t="shared" si="205"/>
        <v/>
      </c>
      <c r="H1623" s="7" t="str">
        <f t="shared" si="206"/>
        <v/>
      </c>
      <c r="I1623" s="8" t="str">
        <f t="shared" si="207"/>
        <v/>
      </c>
      <c r="L1623" t="str">
        <f>IFERROR(MATCH($C$5&amp;"|"&amp;RIGHT("000000"&amp;1607,6),LdgRankKeyA,0),"")</f>
        <v/>
      </c>
      <c r="M1623" t="str">
        <f>IFERROR(MATCH($C$5&amp;"|"&amp;RIGHT("000000"&amp;1607,6),LdgRankKeyB,0),"")</f>
        <v/>
      </c>
    </row>
    <row r="1624" spans="1:13" x14ac:dyDescent="0.2">
      <c r="A1624" s="9">
        <v>1608</v>
      </c>
      <c r="B1624" s="10" t="str">
        <f t="shared" si="200"/>
        <v/>
      </c>
      <c r="C1624" s="10" t="str">
        <f t="shared" si="201"/>
        <v/>
      </c>
      <c r="D1624" s="10" t="str">
        <f t="shared" si="202"/>
        <v/>
      </c>
      <c r="E1624" s="11" t="str">
        <f t="shared" si="203"/>
        <v/>
      </c>
      <c r="F1624" s="12" t="str">
        <f t="shared" si="204"/>
        <v/>
      </c>
      <c r="G1624" s="13" t="str">
        <f t="shared" si="205"/>
        <v/>
      </c>
      <c r="H1624" s="13" t="str">
        <f t="shared" si="206"/>
        <v/>
      </c>
      <c r="I1624" s="14" t="str">
        <f t="shared" si="207"/>
        <v/>
      </c>
      <c r="L1624" t="str">
        <f>IFERROR(MATCH($C$5&amp;"|"&amp;RIGHT("000000"&amp;1608,6),LdgRankKeyA,0),"")</f>
        <v/>
      </c>
      <c r="M1624" t="str">
        <f>IFERROR(MATCH($C$5&amp;"|"&amp;RIGHT("000000"&amp;1608,6),LdgRankKeyB,0),"")</f>
        <v/>
      </c>
    </row>
    <row r="1625" spans="1:13" x14ac:dyDescent="0.2">
      <c r="A1625" s="3">
        <v>1609</v>
      </c>
      <c r="B1625" s="4" t="str">
        <f t="shared" si="200"/>
        <v/>
      </c>
      <c r="C1625" s="4" t="str">
        <f t="shared" si="201"/>
        <v/>
      </c>
      <c r="D1625" s="4" t="str">
        <f t="shared" si="202"/>
        <v/>
      </c>
      <c r="E1625" s="5" t="str">
        <f t="shared" si="203"/>
        <v/>
      </c>
      <c r="F1625" s="6" t="str">
        <f t="shared" si="204"/>
        <v/>
      </c>
      <c r="G1625" s="7" t="str">
        <f t="shared" si="205"/>
        <v/>
      </c>
      <c r="H1625" s="7" t="str">
        <f t="shared" si="206"/>
        <v/>
      </c>
      <c r="I1625" s="8" t="str">
        <f t="shared" si="207"/>
        <v/>
      </c>
      <c r="L1625" t="str">
        <f>IFERROR(MATCH($C$5&amp;"|"&amp;RIGHT("000000"&amp;1609,6),LdgRankKeyA,0),"")</f>
        <v/>
      </c>
      <c r="M1625" t="str">
        <f>IFERROR(MATCH($C$5&amp;"|"&amp;RIGHT("000000"&amp;1609,6),LdgRankKeyB,0),"")</f>
        <v/>
      </c>
    </row>
    <row r="1626" spans="1:13" x14ac:dyDescent="0.2">
      <c r="A1626" s="9">
        <v>1610</v>
      </c>
      <c r="B1626" s="10" t="str">
        <f t="shared" si="200"/>
        <v/>
      </c>
      <c r="C1626" s="10" t="str">
        <f t="shared" si="201"/>
        <v/>
      </c>
      <c r="D1626" s="10" t="str">
        <f t="shared" si="202"/>
        <v/>
      </c>
      <c r="E1626" s="11" t="str">
        <f t="shared" si="203"/>
        <v/>
      </c>
      <c r="F1626" s="12" t="str">
        <f t="shared" si="204"/>
        <v/>
      </c>
      <c r="G1626" s="13" t="str">
        <f t="shared" si="205"/>
        <v/>
      </c>
      <c r="H1626" s="13" t="str">
        <f t="shared" si="206"/>
        <v/>
      </c>
      <c r="I1626" s="14" t="str">
        <f t="shared" si="207"/>
        <v/>
      </c>
      <c r="L1626" t="str">
        <f>IFERROR(MATCH($C$5&amp;"|"&amp;RIGHT("000000"&amp;1610,6),LdgRankKeyA,0),"")</f>
        <v/>
      </c>
      <c r="M1626" t="str">
        <f>IFERROR(MATCH($C$5&amp;"|"&amp;RIGHT("000000"&amp;1610,6),LdgRankKeyB,0),"")</f>
        <v/>
      </c>
    </row>
    <row r="1627" spans="1:13" x14ac:dyDescent="0.2">
      <c r="A1627" s="3">
        <v>1611</v>
      </c>
      <c r="B1627" s="4" t="str">
        <f t="shared" si="200"/>
        <v/>
      </c>
      <c r="C1627" s="4" t="str">
        <f t="shared" si="201"/>
        <v/>
      </c>
      <c r="D1627" s="4" t="str">
        <f t="shared" si="202"/>
        <v/>
      </c>
      <c r="E1627" s="5" t="str">
        <f t="shared" si="203"/>
        <v/>
      </c>
      <c r="F1627" s="6" t="str">
        <f t="shared" si="204"/>
        <v/>
      </c>
      <c r="G1627" s="7" t="str">
        <f t="shared" si="205"/>
        <v/>
      </c>
      <c r="H1627" s="7" t="str">
        <f t="shared" si="206"/>
        <v/>
      </c>
      <c r="I1627" s="8" t="str">
        <f t="shared" si="207"/>
        <v/>
      </c>
      <c r="L1627" t="str">
        <f>IFERROR(MATCH($C$5&amp;"|"&amp;RIGHT("000000"&amp;1611,6),LdgRankKeyA,0),"")</f>
        <v/>
      </c>
      <c r="M1627" t="str">
        <f>IFERROR(MATCH($C$5&amp;"|"&amp;RIGHT("000000"&amp;1611,6),LdgRankKeyB,0),"")</f>
        <v/>
      </c>
    </row>
    <row r="1628" spans="1:13" x14ac:dyDescent="0.2">
      <c r="A1628" s="9">
        <v>1612</v>
      </c>
      <c r="B1628" s="10" t="str">
        <f t="shared" si="200"/>
        <v/>
      </c>
      <c r="C1628" s="10" t="str">
        <f t="shared" si="201"/>
        <v/>
      </c>
      <c r="D1628" s="10" t="str">
        <f t="shared" si="202"/>
        <v/>
      </c>
      <c r="E1628" s="11" t="str">
        <f t="shared" si="203"/>
        <v/>
      </c>
      <c r="F1628" s="12" t="str">
        <f t="shared" si="204"/>
        <v/>
      </c>
      <c r="G1628" s="13" t="str">
        <f t="shared" si="205"/>
        <v/>
      </c>
      <c r="H1628" s="13" t="str">
        <f t="shared" si="206"/>
        <v/>
      </c>
      <c r="I1628" s="14" t="str">
        <f t="shared" si="207"/>
        <v/>
      </c>
      <c r="L1628" t="str">
        <f>IFERROR(MATCH($C$5&amp;"|"&amp;RIGHT("000000"&amp;1612,6),LdgRankKeyA,0),"")</f>
        <v/>
      </c>
      <c r="M1628" t="str">
        <f>IFERROR(MATCH($C$5&amp;"|"&amp;RIGHT("000000"&amp;1612,6),LdgRankKeyB,0),"")</f>
        <v/>
      </c>
    </row>
    <row r="1629" spans="1:13" x14ac:dyDescent="0.2">
      <c r="A1629" s="3">
        <v>1613</v>
      </c>
      <c r="B1629" s="4" t="str">
        <f t="shared" si="200"/>
        <v/>
      </c>
      <c r="C1629" s="4" t="str">
        <f t="shared" si="201"/>
        <v/>
      </c>
      <c r="D1629" s="4" t="str">
        <f t="shared" si="202"/>
        <v/>
      </c>
      <c r="E1629" s="5" t="str">
        <f t="shared" si="203"/>
        <v/>
      </c>
      <c r="F1629" s="6" t="str">
        <f t="shared" si="204"/>
        <v/>
      </c>
      <c r="G1629" s="7" t="str">
        <f t="shared" si="205"/>
        <v/>
      </c>
      <c r="H1629" s="7" t="str">
        <f t="shared" si="206"/>
        <v/>
      </c>
      <c r="I1629" s="8" t="str">
        <f t="shared" si="207"/>
        <v/>
      </c>
      <c r="L1629" t="str">
        <f>IFERROR(MATCH($C$5&amp;"|"&amp;RIGHT("000000"&amp;1613,6),LdgRankKeyA,0),"")</f>
        <v/>
      </c>
      <c r="M1629" t="str">
        <f>IFERROR(MATCH($C$5&amp;"|"&amp;RIGHT("000000"&amp;1613,6),LdgRankKeyB,0),"")</f>
        <v/>
      </c>
    </row>
    <row r="1630" spans="1:13" x14ac:dyDescent="0.2">
      <c r="A1630" s="9">
        <v>1614</v>
      </c>
      <c r="B1630" s="10" t="str">
        <f t="shared" si="200"/>
        <v/>
      </c>
      <c r="C1630" s="10" t="str">
        <f t="shared" si="201"/>
        <v/>
      </c>
      <c r="D1630" s="10" t="str">
        <f t="shared" si="202"/>
        <v/>
      </c>
      <c r="E1630" s="11" t="str">
        <f t="shared" si="203"/>
        <v/>
      </c>
      <c r="F1630" s="12" t="str">
        <f t="shared" si="204"/>
        <v/>
      </c>
      <c r="G1630" s="13" t="str">
        <f t="shared" si="205"/>
        <v/>
      </c>
      <c r="H1630" s="13" t="str">
        <f t="shared" si="206"/>
        <v/>
      </c>
      <c r="I1630" s="14" t="str">
        <f t="shared" si="207"/>
        <v/>
      </c>
      <c r="L1630" t="str">
        <f>IFERROR(MATCH($C$5&amp;"|"&amp;RIGHT("000000"&amp;1614,6),LdgRankKeyA,0),"")</f>
        <v/>
      </c>
      <c r="M1630" t="str">
        <f>IFERROR(MATCH($C$5&amp;"|"&amp;RIGHT("000000"&amp;1614,6),LdgRankKeyB,0),"")</f>
        <v/>
      </c>
    </row>
    <row r="1631" spans="1:13" x14ac:dyDescent="0.2">
      <c r="A1631" s="3">
        <v>1615</v>
      </c>
      <c r="B1631" s="4" t="str">
        <f t="shared" si="200"/>
        <v/>
      </c>
      <c r="C1631" s="4" t="str">
        <f t="shared" si="201"/>
        <v/>
      </c>
      <c r="D1631" s="4" t="str">
        <f t="shared" si="202"/>
        <v/>
      </c>
      <c r="E1631" s="5" t="str">
        <f t="shared" si="203"/>
        <v/>
      </c>
      <c r="F1631" s="6" t="str">
        <f t="shared" si="204"/>
        <v/>
      </c>
      <c r="G1631" s="7" t="str">
        <f t="shared" si="205"/>
        <v/>
      </c>
      <c r="H1631" s="7" t="str">
        <f t="shared" si="206"/>
        <v/>
      </c>
      <c r="I1631" s="8" t="str">
        <f t="shared" si="207"/>
        <v/>
      </c>
      <c r="L1631" t="str">
        <f>IFERROR(MATCH($C$5&amp;"|"&amp;RIGHT("000000"&amp;1615,6),LdgRankKeyA,0),"")</f>
        <v/>
      </c>
      <c r="M1631" t="str">
        <f>IFERROR(MATCH($C$5&amp;"|"&amp;RIGHT("000000"&amp;1615,6),LdgRankKeyB,0),"")</f>
        <v/>
      </c>
    </row>
    <row r="1632" spans="1:13" x14ac:dyDescent="0.2">
      <c r="A1632" s="9">
        <v>1616</v>
      </c>
      <c r="B1632" s="10" t="str">
        <f t="shared" si="200"/>
        <v/>
      </c>
      <c r="C1632" s="10" t="str">
        <f t="shared" si="201"/>
        <v/>
      </c>
      <c r="D1632" s="10" t="str">
        <f t="shared" si="202"/>
        <v/>
      </c>
      <c r="E1632" s="11" t="str">
        <f t="shared" si="203"/>
        <v/>
      </c>
      <c r="F1632" s="12" t="str">
        <f t="shared" si="204"/>
        <v/>
      </c>
      <c r="G1632" s="13" t="str">
        <f t="shared" si="205"/>
        <v/>
      </c>
      <c r="H1632" s="13" t="str">
        <f t="shared" si="206"/>
        <v/>
      </c>
      <c r="I1632" s="14" t="str">
        <f t="shared" si="207"/>
        <v/>
      </c>
      <c r="L1632" t="str">
        <f>IFERROR(MATCH($C$5&amp;"|"&amp;RIGHT("000000"&amp;1616,6),LdgRankKeyA,0),"")</f>
        <v/>
      </c>
      <c r="M1632" t="str">
        <f>IFERROR(MATCH($C$5&amp;"|"&amp;RIGHT("000000"&amp;1616,6),LdgRankKeyB,0),"")</f>
        <v/>
      </c>
    </row>
    <row r="1633" spans="1:13" x14ac:dyDescent="0.2">
      <c r="A1633" s="3">
        <v>1617</v>
      </c>
      <c r="B1633" s="4" t="str">
        <f t="shared" si="200"/>
        <v/>
      </c>
      <c r="C1633" s="4" t="str">
        <f t="shared" si="201"/>
        <v/>
      </c>
      <c r="D1633" s="4" t="str">
        <f t="shared" si="202"/>
        <v/>
      </c>
      <c r="E1633" s="5" t="str">
        <f t="shared" si="203"/>
        <v/>
      </c>
      <c r="F1633" s="6" t="str">
        <f t="shared" si="204"/>
        <v/>
      </c>
      <c r="G1633" s="7" t="str">
        <f t="shared" si="205"/>
        <v/>
      </c>
      <c r="H1633" s="7" t="str">
        <f t="shared" si="206"/>
        <v/>
      </c>
      <c r="I1633" s="8" t="str">
        <f t="shared" si="207"/>
        <v/>
      </c>
      <c r="L1633" t="str">
        <f>IFERROR(MATCH($C$5&amp;"|"&amp;RIGHT("000000"&amp;1617,6),LdgRankKeyA,0),"")</f>
        <v/>
      </c>
      <c r="M1633" t="str">
        <f>IFERROR(MATCH($C$5&amp;"|"&amp;RIGHT("000000"&amp;1617,6),LdgRankKeyB,0),"")</f>
        <v/>
      </c>
    </row>
    <row r="1634" spans="1:13" x14ac:dyDescent="0.2">
      <c r="A1634" s="9">
        <v>1618</v>
      </c>
      <c r="B1634" s="10" t="str">
        <f t="shared" si="200"/>
        <v/>
      </c>
      <c r="C1634" s="10" t="str">
        <f t="shared" si="201"/>
        <v/>
      </c>
      <c r="D1634" s="10" t="str">
        <f t="shared" si="202"/>
        <v/>
      </c>
      <c r="E1634" s="11" t="str">
        <f t="shared" si="203"/>
        <v/>
      </c>
      <c r="F1634" s="12" t="str">
        <f t="shared" si="204"/>
        <v/>
      </c>
      <c r="G1634" s="13" t="str">
        <f t="shared" si="205"/>
        <v/>
      </c>
      <c r="H1634" s="13" t="str">
        <f t="shared" si="206"/>
        <v/>
      </c>
      <c r="I1634" s="14" t="str">
        <f t="shared" si="207"/>
        <v/>
      </c>
      <c r="L1634" t="str">
        <f>IFERROR(MATCH($C$5&amp;"|"&amp;RIGHT("000000"&amp;1618,6),LdgRankKeyA,0),"")</f>
        <v/>
      </c>
      <c r="M1634" t="str">
        <f>IFERROR(MATCH($C$5&amp;"|"&amp;RIGHT("000000"&amp;1618,6),LdgRankKeyB,0),"")</f>
        <v/>
      </c>
    </row>
    <row r="1635" spans="1:13" x14ac:dyDescent="0.2">
      <c r="A1635" s="3">
        <v>1619</v>
      </c>
      <c r="B1635" s="4" t="str">
        <f t="shared" si="200"/>
        <v/>
      </c>
      <c r="C1635" s="4" t="str">
        <f t="shared" si="201"/>
        <v/>
      </c>
      <c r="D1635" s="4" t="str">
        <f t="shared" si="202"/>
        <v/>
      </c>
      <c r="E1635" s="5" t="str">
        <f t="shared" si="203"/>
        <v/>
      </c>
      <c r="F1635" s="6" t="str">
        <f t="shared" si="204"/>
        <v/>
      </c>
      <c r="G1635" s="7" t="str">
        <f t="shared" si="205"/>
        <v/>
      </c>
      <c r="H1635" s="7" t="str">
        <f t="shared" si="206"/>
        <v/>
      </c>
      <c r="I1635" s="8" t="str">
        <f t="shared" si="207"/>
        <v/>
      </c>
      <c r="L1635" t="str">
        <f>IFERROR(MATCH($C$5&amp;"|"&amp;RIGHT("000000"&amp;1619,6),LdgRankKeyA,0),"")</f>
        <v/>
      </c>
      <c r="M1635" t="str">
        <f>IFERROR(MATCH($C$5&amp;"|"&amp;RIGHT("000000"&amp;1619,6),LdgRankKeyB,0),"")</f>
        <v/>
      </c>
    </row>
    <row r="1636" spans="1:13" x14ac:dyDescent="0.2">
      <c r="A1636" s="9">
        <v>1620</v>
      </c>
      <c r="B1636" s="10" t="str">
        <f t="shared" si="200"/>
        <v/>
      </c>
      <c r="C1636" s="10" t="str">
        <f t="shared" si="201"/>
        <v/>
      </c>
      <c r="D1636" s="10" t="str">
        <f t="shared" si="202"/>
        <v/>
      </c>
      <c r="E1636" s="11" t="str">
        <f t="shared" si="203"/>
        <v/>
      </c>
      <c r="F1636" s="12" t="str">
        <f t="shared" si="204"/>
        <v/>
      </c>
      <c r="G1636" s="13" t="str">
        <f t="shared" si="205"/>
        <v/>
      </c>
      <c r="H1636" s="13" t="str">
        <f t="shared" si="206"/>
        <v/>
      </c>
      <c r="I1636" s="14" t="str">
        <f t="shared" si="207"/>
        <v/>
      </c>
      <c r="L1636" t="str">
        <f>IFERROR(MATCH($C$5&amp;"|"&amp;RIGHT("000000"&amp;1620,6),LdgRankKeyA,0),"")</f>
        <v/>
      </c>
      <c r="M1636" t="str">
        <f>IFERROR(MATCH($C$5&amp;"|"&amp;RIGHT("000000"&amp;1620,6),LdgRankKeyB,0),"")</f>
        <v/>
      </c>
    </row>
    <row r="1637" spans="1:13" x14ac:dyDescent="0.2">
      <c r="A1637" s="3">
        <v>1621</v>
      </c>
      <c r="B1637" s="4" t="str">
        <f t="shared" si="200"/>
        <v/>
      </c>
      <c r="C1637" s="4" t="str">
        <f t="shared" si="201"/>
        <v/>
      </c>
      <c r="D1637" s="4" t="str">
        <f t="shared" si="202"/>
        <v/>
      </c>
      <c r="E1637" s="5" t="str">
        <f t="shared" si="203"/>
        <v/>
      </c>
      <c r="F1637" s="6" t="str">
        <f t="shared" si="204"/>
        <v/>
      </c>
      <c r="G1637" s="7" t="str">
        <f t="shared" si="205"/>
        <v/>
      </c>
      <c r="H1637" s="7" t="str">
        <f t="shared" si="206"/>
        <v/>
      </c>
      <c r="I1637" s="8" t="str">
        <f t="shared" si="207"/>
        <v/>
      </c>
      <c r="L1637" t="str">
        <f>IFERROR(MATCH($C$5&amp;"|"&amp;RIGHT("000000"&amp;1621,6),LdgRankKeyA,0),"")</f>
        <v/>
      </c>
      <c r="M1637" t="str">
        <f>IFERROR(MATCH($C$5&amp;"|"&amp;RIGHT("000000"&amp;1621,6),LdgRankKeyB,0),"")</f>
        <v/>
      </c>
    </row>
    <row r="1638" spans="1:13" x14ac:dyDescent="0.2">
      <c r="A1638" s="9">
        <v>1622</v>
      </c>
      <c r="B1638" s="10" t="str">
        <f t="shared" si="200"/>
        <v/>
      </c>
      <c r="C1638" s="10" t="str">
        <f t="shared" si="201"/>
        <v/>
      </c>
      <c r="D1638" s="10" t="str">
        <f t="shared" si="202"/>
        <v/>
      </c>
      <c r="E1638" s="11" t="str">
        <f t="shared" si="203"/>
        <v/>
      </c>
      <c r="F1638" s="12" t="str">
        <f t="shared" si="204"/>
        <v/>
      </c>
      <c r="G1638" s="13" t="str">
        <f t="shared" si="205"/>
        <v/>
      </c>
      <c r="H1638" s="13" t="str">
        <f t="shared" si="206"/>
        <v/>
      </c>
      <c r="I1638" s="14" t="str">
        <f t="shared" si="207"/>
        <v/>
      </c>
      <c r="L1638" t="str">
        <f>IFERROR(MATCH($C$5&amp;"|"&amp;RIGHT("000000"&amp;1622,6),LdgRankKeyA,0),"")</f>
        <v/>
      </c>
      <c r="M1638" t="str">
        <f>IFERROR(MATCH($C$5&amp;"|"&amp;RIGHT("000000"&amp;1622,6),LdgRankKeyB,0),"")</f>
        <v/>
      </c>
    </row>
    <row r="1639" spans="1:13" x14ac:dyDescent="0.2">
      <c r="A1639" s="3">
        <v>1623</v>
      </c>
      <c r="B1639" s="4" t="str">
        <f t="shared" si="200"/>
        <v/>
      </c>
      <c r="C1639" s="4" t="str">
        <f t="shared" si="201"/>
        <v/>
      </c>
      <c r="D1639" s="4" t="str">
        <f t="shared" si="202"/>
        <v/>
      </c>
      <c r="E1639" s="5" t="str">
        <f t="shared" si="203"/>
        <v/>
      </c>
      <c r="F1639" s="6" t="str">
        <f t="shared" si="204"/>
        <v/>
      </c>
      <c r="G1639" s="7" t="str">
        <f t="shared" si="205"/>
        <v/>
      </c>
      <c r="H1639" s="7" t="str">
        <f t="shared" si="206"/>
        <v/>
      </c>
      <c r="I1639" s="8" t="str">
        <f t="shared" si="207"/>
        <v/>
      </c>
      <c r="L1639" t="str">
        <f>IFERROR(MATCH($C$5&amp;"|"&amp;RIGHT("000000"&amp;1623,6),LdgRankKeyA,0),"")</f>
        <v/>
      </c>
      <c r="M1639" t="str">
        <f>IFERROR(MATCH($C$5&amp;"|"&amp;RIGHT("000000"&amp;1623,6),LdgRankKeyB,0),"")</f>
        <v/>
      </c>
    </row>
    <row r="1640" spans="1:13" x14ac:dyDescent="0.2">
      <c r="A1640" s="9">
        <v>1624</v>
      </c>
      <c r="B1640" s="10" t="str">
        <f t="shared" si="200"/>
        <v/>
      </c>
      <c r="C1640" s="10" t="str">
        <f t="shared" si="201"/>
        <v/>
      </c>
      <c r="D1640" s="10" t="str">
        <f t="shared" si="202"/>
        <v/>
      </c>
      <c r="E1640" s="11" t="str">
        <f t="shared" si="203"/>
        <v/>
      </c>
      <c r="F1640" s="12" t="str">
        <f t="shared" si="204"/>
        <v/>
      </c>
      <c r="G1640" s="13" t="str">
        <f t="shared" si="205"/>
        <v/>
      </c>
      <c r="H1640" s="13" t="str">
        <f t="shared" si="206"/>
        <v/>
      </c>
      <c r="I1640" s="14" t="str">
        <f t="shared" si="207"/>
        <v/>
      </c>
      <c r="L1640" t="str">
        <f>IFERROR(MATCH($C$5&amp;"|"&amp;RIGHT("000000"&amp;1624,6),LdgRankKeyA,0),"")</f>
        <v/>
      </c>
      <c r="M1640" t="str">
        <f>IFERROR(MATCH($C$5&amp;"|"&amp;RIGHT("000000"&amp;1624,6),LdgRankKeyB,0),"")</f>
        <v/>
      </c>
    </row>
    <row r="1641" spans="1:13" x14ac:dyDescent="0.2">
      <c r="A1641" s="3">
        <v>1625</v>
      </c>
      <c r="B1641" s="4" t="str">
        <f t="shared" si="200"/>
        <v/>
      </c>
      <c r="C1641" s="4" t="str">
        <f t="shared" si="201"/>
        <v/>
      </c>
      <c r="D1641" s="4" t="str">
        <f t="shared" si="202"/>
        <v/>
      </c>
      <c r="E1641" s="5" t="str">
        <f t="shared" si="203"/>
        <v/>
      </c>
      <c r="F1641" s="6" t="str">
        <f t="shared" si="204"/>
        <v/>
      </c>
      <c r="G1641" s="7" t="str">
        <f t="shared" si="205"/>
        <v/>
      </c>
      <c r="H1641" s="7" t="str">
        <f t="shared" si="206"/>
        <v/>
      </c>
      <c r="I1641" s="8" t="str">
        <f t="shared" si="207"/>
        <v/>
      </c>
      <c r="L1641" t="str">
        <f>IFERROR(MATCH($C$5&amp;"|"&amp;RIGHT("000000"&amp;1625,6),LdgRankKeyA,0),"")</f>
        <v/>
      </c>
      <c r="M1641" t="str">
        <f>IFERROR(MATCH($C$5&amp;"|"&amp;RIGHT("000000"&amp;1625,6),LdgRankKeyB,0),"")</f>
        <v/>
      </c>
    </row>
    <row r="1642" spans="1:13" x14ac:dyDescent="0.2">
      <c r="A1642" s="9">
        <v>1626</v>
      </c>
      <c r="B1642" s="10" t="str">
        <f t="shared" si="200"/>
        <v/>
      </c>
      <c r="C1642" s="10" t="str">
        <f t="shared" si="201"/>
        <v/>
      </c>
      <c r="D1642" s="10" t="str">
        <f t="shared" si="202"/>
        <v/>
      </c>
      <c r="E1642" s="11" t="str">
        <f t="shared" si="203"/>
        <v/>
      </c>
      <c r="F1642" s="12" t="str">
        <f t="shared" si="204"/>
        <v/>
      </c>
      <c r="G1642" s="13" t="str">
        <f t="shared" si="205"/>
        <v/>
      </c>
      <c r="H1642" s="13" t="str">
        <f t="shared" si="206"/>
        <v/>
      </c>
      <c r="I1642" s="14" t="str">
        <f t="shared" si="207"/>
        <v/>
      </c>
      <c r="L1642" t="str">
        <f>IFERROR(MATCH($C$5&amp;"|"&amp;RIGHT("000000"&amp;1626,6),LdgRankKeyA,0),"")</f>
        <v/>
      </c>
      <c r="M1642" t="str">
        <f>IFERROR(MATCH($C$5&amp;"|"&amp;RIGHT("000000"&amp;1626,6),LdgRankKeyB,0),"")</f>
        <v/>
      </c>
    </row>
    <row r="1643" spans="1:13" x14ac:dyDescent="0.2">
      <c r="A1643" s="3">
        <v>1627</v>
      </c>
      <c r="B1643" s="4" t="str">
        <f t="shared" si="200"/>
        <v/>
      </c>
      <c r="C1643" s="4" t="str">
        <f t="shared" si="201"/>
        <v/>
      </c>
      <c r="D1643" s="4" t="str">
        <f t="shared" si="202"/>
        <v/>
      </c>
      <c r="E1643" s="5" t="str">
        <f t="shared" si="203"/>
        <v/>
      </c>
      <c r="F1643" s="6" t="str">
        <f t="shared" si="204"/>
        <v/>
      </c>
      <c r="G1643" s="7" t="str">
        <f t="shared" si="205"/>
        <v/>
      </c>
      <c r="H1643" s="7" t="str">
        <f t="shared" si="206"/>
        <v/>
      </c>
      <c r="I1643" s="8" t="str">
        <f t="shared" si="207"/>
        <v/>
      </c>
      <c r="L1643" t="str">
        <f>IFERROR(MATCH($C$5&amp;"|"&amp;RIGHT("000000"&amp;1627,6),LdgRankKeyA,0),"")</f>
        <v/>
      </c>
      <c r="M1643" t="str">
        <f>IFERROR(MATCH($C$5&amp;"|"&amp;RIGHT("000000"&amp;1627,6),LdgRankKeyB,0),"")</f>
        <v/>
      </c>
    </row>
    <row r="1644" spans="1:13" x14ac:dyDescent="0.2">
      <c r="A1644" s="9">
        <v>1628</v>
      </c>
      <c r="B1644" s="10" t="str">
        <f t="shared" si="200"/>
        <v/>
      </c>
      <c r="C1644" s="10" t="str">
        <f t="shared" si="201"/>
        <v/>
      </c>
      <c r="D1644" s="10" t="str">
        <f t="shared" si="202"/>
        <v/>
      </c>
      <c r="E1644" s="11" t="str">
        <f t="shared" si="203"/>
        <v/>
      </c>
      <c r="F1644" s="12" t="str">
        <f t="shared" si="204"/>
        <v/>
      </c>
      <c r="G1644" s="13" t="str">
        <f t="shared" si="205"/>
        <v/>
      </c>
      <c r="H1644" s="13" t="str">
        <f t="shared" si="206"/>
        <v/>
      </c>
      <c r="I1644" s="14" t="str">
        <f t="shared" si="207"/>
        <v/>
      </c>
      <c r="L1644" t="str">
        <f>IFERROR(MATCH($C$5&amp;"|"&amp;RIGHT("000000"&amp;1628,6),LdgRankKeyA,0),"")</f>
        <v/>
      </c>
      <c r="M1644" t="str">
        <f>IFERROR(MATCH($C$5&amp;"|"&amp;RIGHT("000000"&amp;1628,6),LdgRankKeyB,0),"")</f>
        <v/>
      </c>
    </row>
    <row r="1645" spans="1:13" x14ac:dyDescent="0.2">
      <c r="A1645" s="3">
        <v>1629</v>
      </c>
      <c r="B1645" s="4" t="str">
        <f t="shared" si="200"/>
        <v/>
      </c>
      <c r="C1645" s="4" t="str">
        <f t="shared" si="201"/>
        <v/>
      </c>
      <c r="D1645" s="4" t="str">
        <f t="shared" si="202"/>
        <v/>
      </c>
      <c r="E1645" s="5" t="str">
        <f t="shared" si="203"/>
        <v/>
      </c>
      <c r="F1645" s="6" t="str">
        <f t="shared" si="204"/>
        <v/>
      </c>
      <c r="G1645" s="7" t="str">
        <f t="shared" si="205"/>
        <v/>
      </c>
      <c r="H1645" s="7" t="str">
        <f t="shared" si="206"/>
        <v/>
      </c>
      <c r="I1645" s="8" t="str">
        <f t="shared" si="207"/>
        <v/>
      </c>
      <c r="L1645" t="str">
        <f>IFERROR(MATCH($C$5&amp;"|"&amp;RIGHT("000000"&amp;1629,6),LdgRankKeyA,0),"")</f>
        <v/>
      </c>
      <c r="M1645" t="str">
        <f>IFERROR(MATCH($C$5&amp;"|"&amp;RIGHT("000000"&amp;1629,6),LdgRankKeyB,0),"")</f>
        <v/>
      </c>
    </row>
    <row r="1646" spans="1:13" x14ac:dyDescent="0.2">
      <c r="A1646" s="9">
        <v>1630</v>
      </c>
      <c r="B1646" s="10" t="str">
        <f t="shared" si="200"/>
        <v/>
      </c>
      <c r="C1646" s="10" t="str">
        <f t="shared" si="201"/>
        <v/>
      </c>
      <c r="D1646" s="10" t="str">
        <f t="shared" si="202"/>
        <v/>
      </c>
      <c r="E1646" s="11" t="str">
        <f t="shared" si="203"/>
        <v/>
      </c>
      <c r="F1646" s="12" t="str">
        <f t="shared" si="204"/>
        <v/>
      </c>
      <c r="G1646" s="13" t="str">
        <f t="shared" si="205"/>
        <v/>
      </c>
      <c r="H1646" s="13" t="str">
        <f t="shared" si="206"/>
        <v/>
      </c>
      <c r="I1646" s="14" t="str">
        <f t="shared" si="207"/>
        <v/>
      </c>
      <c r="L1646" t="str">
        <f>IFERROR(MATCH($C$5&amp;"|"&amp;RIGHT("000000"&amp;1630,6),LdgRankKeyA,0),"")</f>
        <v/>
      </c>
      <c r="M1646" t="str">
        <f>IFERROR(MATCH($C$5&amp;"|"&amp;RIGHT("000000"&amp;1630,6),LdgRankKeyB,0),"")</f>
        <v/>
      </c>
    </row>
    <row r="1647" spans="1:13" x14ac:dyDescent="0.2">
      <c r="A1647" s="3">
        <v>1631</v>
      </c>
      <c r="B1647" s="4" t="str">
        <f t="shared" si="200"/>
        <v/>
      </c>
      <c r="C1647" s="4" t="str">
        <f t="shared" si="201"/>
        <v/>
      </c>
      <c r="D1647" s="4" t="str">
        <f t="shared" si="202"/>
        <v/>
      </c>
      <c r="E1647" s="5" t="str">
        <f t="shared" si="203"/>
        <v/>
      </c>
      <c r="F1647" s="6" t="str">
        <f t="shared" si="204"/>
        <v/>
      </c>
      <c r="G1647" s="7" t="str">
        <f t="shared" si="205"/>
        <v/>
      </c>
      <c r="H1647" s="7" t="str">
        <f t="shared" si="206"/>
        <v/>
      </c>
      <c r="I1647" s="8" t="str">
        <f t="shared" si="207"/>
        <v/>
      </c>
      <c r="L1647" t="str">
        <f>IFERROR(MATCH($C$5&amp;"|"&amp;RIGHT("000000"&amp;1631,6),LdgRankKeyA,0),"")</f>
        <v/>
      </c>
      <c r="M1647" t="str">
        <f>IFERROR(MATCH($C$5&amp;"|"&amp;RIGHT("000000"&amp;1631,6),LdgRankKeyB,0),"")</f>
        <v/>
      </c>
    </row>
    <row r="1648" spans="1:13" x14ac:dyDescent="0.2">
      <c r="A1648" s="9">
        <v>1632</v>
      </c>
      <c r="B1648" s="10" t="str">
        <f t="shared" si="200"/>
        <v/>
      </c>
      <c r="C1648" s="10" t="str">
        <f t="shared" si="201"/>
        <v/>
      </c>
      <c r="D1648" s="10" t="str">
        <f t="shared" si="202"/>
        <v/>
      </c>
      <c r="E1648" s="11" t="str">
        <f t="shared" si="203"/>
        <v/>
      </c>
      <c r="F1648" s="12" t="str">
        <f t="shared" si="204"/>
        <v/>
      </c>
      <c r="G1648" s="13" t="str">
        <f t="shared" si="205"/>
        <v/>
      </c>
      <c r="H1648" s="13" t="str">
        <f t="shared" si="206"/>
        <v/>
      </c>
      <c r="I1648" s="14" t="str">
        <f t="shared" si="207"/>
        <v/>
      </c>
      <c r="L1648" t="str">
        <f>IFERROR(MATCH($C$5&amp;"|"&amp;RIGHT("000000"&amp;1632,6),LdgRankKeyA,0),"")</f>
        <v/>
      </c>
      <c r="M1648" t="str">
        <f>IFERROR(MATCH($C$5&amp;"|"&amp;RIGHT("000000"&amp;1632,6),LdgRankKeyB,0),"")</f>
        <v/>
      </c>
    </row>
    <row r="1649" spans="1:13" x14ac:dyDescent="0.2">
      <c r="A1649" s="3">
        <v>1633</v>
      </c>
      <c r="B1649" s="4" t="str">
        <f t="shared" si="200"/>
        <v/>
      </c>
      <c r="C1649" s="4" t="str">
        <f t="shared" si="201"/>
        <v/>
      </c>
      <c r="D1649" s="4" t="str">
        <f t="shared" si="202"/>
        <v/>
      </c>
      <c r="E1649" s="5" t="str">
        <f t="shared" si="203"/>
        <v/>
      </c>
      <c r="F1649" s="6" t="str">
        <f t="shared" si="204"/>
        <v/>
      </c>
      <c r="G1649" s="7" t="str">
        <f t="shared" si="205"/>
        <v/>
      </c>
      <c r="H1649" s="7" t="str">
        <f t="shared" si="206"/>
        <v/>
      </c>
      <c r="I1649" s="8" t="str">
        <f t="shared" si="207"/>
        <v/>
      </c>
      <c r="L1649" t="str">
        <f>IFERROR(MATCH($C$5&amp;"|"&amp;RIGHT("000000"&amp;1633,6),LdgRankKeyA,0),"")</f>
        <v/>
      </c>
      <c r="M1649" t="str">
        <f>IFERROR(MATCH($C$5&amp;"|"&amp;RIGHT("000000"&amp;1633,6),LdgRankKeyB,0),"")</f>
        <v/>
      </c>
    </row>
    <row r="1650" spans="1:13" x14ac:dyDescent="0.2">
      <c r="A1650" s="9">
        <v>1634</v>
      </c>
      <c r="B1650" s="10" t="str">
        <f t="shared" si="200"/>
        <v/>
      </c>
      <c r="C1650" s="10" t="str">
        <f t="shared" si="201"/>
        <v/>
      </c>
      <c r="D1650" s="10" t="str">
        <f t="shared" si="202"/>
        <v/>
      </c>
      <c r="E1650" s="11" t="str">
        <f t="shared" si="203"/>
        <v/>
      </c>
      <c r="F1650" s="12" t="str">
        <f t="shared" si="204"/>
        <v/>
      </c>
      <c r="G1650" s="13" t="str">
        <f t="shared" si="205"/>
        <v/>
      </c>
      <c r="H1650" s="13" t="str">
        <f t="shared" si="206"/>
        <v/>
      </c>
      <c r="I1650" s="14" t="str">
        <f t="shared" si="207"/>
        <v/>
      </c>
      <c r="L1650" t="str">
        <f>IFERROR(MATCH($C$5&amp;"|"&amp;RIGHT("000000"&amp;1634,6),LdgRankKeyA,0),"")</f>
        <v/>
      </c>
      <c r="M1650" t="str">
        <f>IFERROR(MATCH($C$5&amp;"|"&amp;RIGHT("000000"&amp;1634,6),LdgRankKeyB,0),"")</f>
        <v/>
      </c>
    </row>
    <row r="1651" spans="1:13" x14ac:dyDescent="0.2">
      <c r="A1651" s="3">
        <v>1635</v>
      </c>
      <c r="B1651" s="4" t="str">
        <f t="shared" si="200"/>
        <v/>
      </c>
      <c r="C1651" s="4" t="str">
        <f t="shared" si="201"/>
        <v/>
      </c>
      <c r="D1651" s="4" t="str">
        <f t="shared" si="202"/>
        <v/>
      </c>
      <c r="E1651" s="5" t="str">
        <f t="shared" si="203"/>
        <v/>
      </c>
      <c r="F1651" s="6" t="str">
        <f t="shared" si="204"/>
        <v/>
      </c>
      <c r="G1651" s="7" t="str">
        <f t="shared" si="205"/>
        <v/>
      </c>
      <c r="H1651" s="7" t="str">
        <f t="shared" si="206"/>
        <v/>
      </c>
      <c r="I1651" s="8" t="str">
        <f t="shared" si="207"/>
        <v/>
      </c>
      <c r="L1651" t="str">
        <f>IFERROR(MATCH($C$5&amp;"|"&amp;RIGHT("000000"&amp;1635,6),LdgRankKeyA,0),"")</f>
        <v/>
      </c>
      <c r="M1651" t="str">
        <f>IFERROR(MATCH($C$5&amp;"|"&amp;RIGHT("000000"&amp;1635,6),LdgRankKeyB,0),"")</f>
        <v/>
      </c>
    </row>
    <row r="1652" spans="1:13" x14ac:dyDescent="0.2">
      <c r="A1652" s="9">
        <v>1636</v>
      </c>
      <c r="B1652" s="10" t="str">
        <f t="shared" si="200"/>
        <v/>
      </c>
      <c r="C1652" s="10" t="str">
        <f t="shared" si="201"/>
        <v/>
      </c>
      <c r="D1652" s="10" t="str">
        <f t="shared" si="202"/>
        <v/>
      </c>
      <c r="E1652" s="11" t="str">
        <f t="shared" si="203"/>
        <v/>
      </c>
      <c r="F1652" s="12" t="str">
        <f t="shared" si="204"/>
        <v/>
      </c>
      <c r="G1652" s="13" t="str">
        <f t="shared" si="205"/>
        <v/>
      </c>
      <c r="H1652" s="13" t="str">
        <f t="shared" si="206"/>
        <v/>
      </c>
      <c r="I1652" s="14" t="str">
        <f t="shared" si="207"/>
        <v/>
      </c>
      <c r="L1652" t="str">
        <f>IFERROR(MATCH($C$5&amp;"|"&amp;RIGHT("000000"&amp;1636,6),LdgRankKeyA,0),"")</f>
        <v/>
      </c>
      <c r="M1652" t="str">
        <f>IFERROR(MATCH($C$5&amp;"|"&amp;RIGHT("000000"&amp;1636,6),LdgRankKeyB,0),"")</f>
        <v/>
      </c>
    </row>
    <row r="1653" spans="1:13" x14ac:dyDescent="0.2">
      <c r="A1653" s="3">
        <v>1637</v>
      </c>
      <c r="B1653" s="4" t="str">
        <f t="shared" si="200"/>
        <v/>
      </c>
      <c r="C1653" s="4" t="str">
        <f t="shared" si="201"/>
        <v/>
      </c>
      <c r="D1653" s="4" t="str">
        <f t="shared" si="202"/>
        <v/>
      </c>
      <c r="E1653" s="5" t="str">
        <f t="shared" si="203"/>
        <v/>
      </c>
      <c r="F1653" s="6" t="str">
        <f t="shared" si="204"/>
        <v/>
      </c>
      <c r="G1653" s="7" t="str">
        <f t="shared" si="205"/>
        <v/>
      </c>
      <c r="H1653" s="7" t="str">
        <f t="shared" si="206"/>
        <v/>
      </c>
      <c r="I1653" s="8" t="str">
        <f t="shared" si="207"/>
        <v/>
      </c>
      <c r="L1653" t="str">
        <f>IFERROR(MATCH($C$5&amp;"|"&amp;RIGHT("000000"&amp;1637,6),LdgRankKeyA,0),"")</f>
        <v/>
      </c>
      <c r="M1653" t="str">
        <f>IFERROR(MATCH($C$5&amp;"|"&amp;RIGHT("000000"&amp;1637,6),LdgRankKeyB,0),"")</f>
        <v/>
      </c>
    </row>
    <row r="1654" spans="1:13" x14ac:dyDescent="0.2">
      <c r="A1654" s="9">
        <v>1638</v>
      </c>
      <c r="B1654" s="10" t="str">
        <f t="shared" si="200"/>
        <v/>
      </c>
      <c r="C1654" s="10" t="str">
        <f t="shared" si="201"/>
        <v/>
      </c>
      <c r="D1654" s="10" t="str">
        <f t="shared" si="202"/>
        <v/>
      </c>
      <c r="E1654" s="11" t="str">
        <f t="shared" si="203"/>
        <v/>
      </c>
      <c r="F1654" s="12" t="str">
        <f t="shared" si="204"/>
        <v/>
      </c>
      <c r="G1654" s="13" t="str">
        <f t="shared" si="205"/>
        <v/>
      </c>
      <c r="H1654" s="13" t="str">
        <f t="shared" si="206"/>
        <v/>
      </c>
      <c r="I1654" s="14" t="str">
        <f t="shared" si="207"/>
        <v/>
      </c>
      <c r="L1654" t="str">
        <f>IFERROR(MATCH($C$5&amp;"|"&amp;RIGHT("000000"&amp;1638,6),LdgRankKeyA,0),"")</f>
        <v/>
      </c>
      <c r="M1654" t="str">
        <f>IFERROR(MATCH($C$5&amp;"|"&amp;RIGHT("000000"&amp;1638,6),LdgRankKeyB,0),"")</f>
        <v/>
      </c>
    </row>
    <row r="1655" spans="1:13" x14ac:dyDescent="0.2">
      <c r="A1655" s="3">
        <v>1639</v>
      </c>
      <c r="B1655" s="4" t="str">
        <f t="shared" si="200"/>
        <v/>
      </c>
      <c r="C1655" s="4" t="str">
        <f t="shared" si="201"/>
        <v/>
      </c>
      <c r="D1655" s="4" t="str">
        <f t="shared" si="202"/>
        <v/>
      </c>
      <c r="E1655" s="5" t="str">
        <f t="shared" si="203"/>
        <v/>
      </c>
      <c r="F1655" s="6" t="str">
        <f t="shared" si="204"/>
        <v/>
      </c>
      <c r="G1655" s="7" t="str">
        <f t="shared" si="205"/>
        <v/>
      </c>
      <c r="H1655" s="7" t="str">
        <f t="shared" si="206"/>
        <v/>
      </c>
      <c r="I1655" s="8" t="str">
        <f t="shared" si="207"/>
        <v/>
      </c>
      <c r="L1655" t="str">
        <f>IFERROR(MATCH($C$5&amp;"|"&amp;RIGHT("000000"&amp;1639,6),LdgRankKeyA,0),"")</f>
        <v/>
      </c>
      <c r="M1655" t="str">
        <f>IFERROR(MATCH($C$5&amp;"|"&amp;RIGHT("000000"&amp;1639,6),LdgRankKeyB,0),"")</f>
        <v/>
      </c>
    </row>
    <row r="1656" spans="1:13" x14ac:dyDescent="0.2">
      <c r="A1656" s="9">
        <v>1640</v>
      </c>
      <c r="B1656" s="10" t="str">
        <f t="shared" si="200"/>
        <v/>
      </c>
      <c r="C1656" s="10" t="str">
        <f t="shared" si="201"/>
        <v/>
      </c>
      <c r="D1656" s="10" t="str">
        <f t="shared" si="202"/>
        <v/>
      </c>
      <c r="E1656" s="11" t="str">
        <f t="shared" si="203"/>
        <v/>
      </c>
      <c r="F1656" s="12" t="str">
        <f t="shared" si="204"/>
        <v/>
      </c>
      <c r="G1656" s="13" t="str">
        <f t="shared" si="205"/>
        <v/>
      </c>
      <c r="H1656" s="13" t="str">
        <f t="shared" si="206"/>
        <v/>
      </c>
      <c r="I1656" s="14" t="str">
        <f t="shared" si="207"/>
        <v/>
      </c>
      <c r="L1656" t="str">
        <f>IFERROR(MATCH($C$5&amp;"|"&amp;RIGHT("000000"&amp;1640,6),LdgRankKeyA,0),"")</f>
        <v/>
      </c>
      <c r="M1656" t="str">
        <f>IFERROR(MATCH($C$5&amp;"|"&amp;RIGHT("000000"&amp;1640,6),LdgRankKeyB,0),"")</f>
        <v/>
      </c>
    </row>
    <row r="1657" spans="1:13" x14ac:dyDescent="0.2">
      <c r="A1657" s="3">
        <v>1641</v>
      </c>
      <c r="B1657" s="4" t="str">
        <f t="shared" si="200"/>
        <v/>
      </c>
      <c r="C1657" s="4" t="str">
        <f t="shared" si="201"/>
        <v/>
      </c>
      <c r="D1657" s="4" t="str">
        <f t="shared" si="202"/>
        <v/>
      </c>
      <c r="E1657" s="5" t="str">
        <f t="shared" si="203"/>
        <v/>
      </c>
      <c r="F1657" s="6" t="str">
        <f t="shared" si="204"/>
        <v/>
      </c>
      <c r="G1657" s="7" t="str">
        <f t="shared" si="205"/>
        <v/>
      </c>
      <c r="H1657" s="7" t="str">
        <f t="shared" si="206"/>
        <v/>
      </c>
      <c r="I1657" s="8" t="str">
        <f t="shared" si="207"/>
        <v/>
      </c>
      <c r="L1657" t="str">
        <f>IFERROR(MATCH($C$5&amp;"|"&amp;RIGHT("000000"&amp;1641,6),LdgRankKeyA,0),"")</f>
        <v/>
      </c>
      <c r="M1657" t="str">
        <f>IFERROR(MATCH($C$5&amp;"|"&amp;RIGHT("000000"&amp;1641,6),LdgRankKeyB,0),"")</f>
        <v/>
      </c>
    </row>
    <row r="1658" spans="1:13" x14ac:dyDescent="0.2">
      <c r="A1658" s="9">
        <v>1642</v>
      </c>
      <c r="B1658" s="10" t="str">
        <f t="shared" si="200"/>
        <v/>
      </c>
      <c r="C1658" s="10" t="str">
        <f t="shared" si="201"/>
        <v/>
      </c>
      <c r="D1658" s="10" t="str">
        <f t="shared" si="202"/>
        <v/>
      </c>
      <c r="E1658" s="11" t="str">
        <f t="shared" si="203"/>
        <v/>
      </c>
      <c r="F1658" s="12" t="str">
        <f t="shared" si="204"/>
        <v/>
      </c>
      <c r="G1658" s="13" t="str">
        <f t="shared" si="205"/>
        <v/>
      </c>
      <c r="H1658" s="13" t="str">
        <f t="shared" si="206"/>
        <v/>
      </c>
      <c r="I1658" s="14" t="str">
        <f t="shared" si="207"/>
        <v/>
      </c>
      <c r="L1658" t="str">
        <f>IFERROR(MATCH($C$5&amp;"|"&amp;RIGHT("000000"&amp;1642,6),LdgRankKeyA,0),"")</f>
        <v/>
      </c>
      <c r="M1658" t="str">
        <f>IFERROR(MATCH($C$5&amp;"|"&amp;RIGHT("000000"&amp;1642,6),LdgRankKeyB,0),"")</f>
        <v/>
      </c>
    </row>
    <row r="1659" spans="1:13" x14ac:dyDescent="0.2">
      <c r="A1659" s="3">
        <v>1643</v>
      </c>
      <c r="B1659" s="4" t="str">
        <f t="shared" si="200"/>
        <v/>
      </c>
      <c r="C1659" s="4" t="str">
        <f t="shared" si="201"/>
        <v/>
      </c>
      <c r="D1659" s="4" t="str">
        <f t="shared" si="202"/>
        <v/>
      </c>
      <c r="E1659" s="5" t="str">
        <f t="shared" si="203"/>
        <v/>
      </c>
      <c r="F1659" s="6" t="str">
        <f t="shared" si="204"/>
        <v/>
      </c>
      <c r="G1659" s="7" t="str">
        <f t="shared" si="205"/>
        <v/>
      </c>
      <c r="H1659" s="7" t="str">
        <f t="shared" si="206"/>
        <v/>
      </c>
      <c r="I1659" s="8" t="str">
        <f t="shared" si="207"/>
        <v/>
      </c>
      <c r="L1659" t="str">
        <f>IFERROR(MATCH($C$5&amp;"|"&amp;RIGHT("000000"&amp;1643,6),LdgRankKeyA,0),"")</f>
        <v/>
      </c>
      <c r="M1659" t="str">
        <f>IFERROR(MATCH($C$5&amp;"|"&amp;RIGHT("000000"&amp;1643,6),LdgRankKeyB,0),"")</f>
        <v/>
      </c>
    </row>
    <row r="1660" spans="1:13" x14ac:dyDescent="0.2">
      <c r="A1660" s="9">
        <v>1644</v>
      </c>
      <c r="B1660" s="10" t="str">
        <f t="shared" si="200"/>
        <v/>
      </c>
      <c r="C1660" s="10" t="str">
        <f t="shared" si="201"/>
        <v/>
      </c>
      <c r="D1660" s="10" t="str">
        <f t="shared" si="202"/>
        <v/>
      </c>
      <c r="E1660" s="11" t="str">
        <f t="shared" si="203"/>
        <v/>
      </c>
      <c r="F1660" s="12" t="str">
        <f t="shared" si="204"/>
        <v/>
      </c>
      <c r="G1660" s="13" t="str">
        <f t="shared" si="205"/>
        <v/>
      </c>
      <c r="H1660" s="13" t="str">
        <f t="shared" si="206"/>
        <v/>
      </c>
      <c r="I1660" s="14" t="str">
        <f t="shared" si="207"/>
        <v/>
      </c>
      <c r="L1660" t="str">
        <f>IFERROR(MATCH($C$5&amp;"|"&amp;RIGHT("000000"&amp;1644,6),LdgRankKeyA,0),"")</f>
        <v/>
      </c>
      <c r="M1660" t="str">
        <f>IFERROR(MATCH($C$5&amp;"|"&amp;RIGHT("000000"&amp;1644,6),LdgRankKeyB,0),"")</f>
        <v/>
      </c>
    </row>
    <row r="1661" spans="1:13" x14ac:dyDescent="0.2">
      <c r="A1661" s="3">
        <v>1645</v>
      </c>
      <c r="B1661" s="4" t="str">
        <f t="shared" si="200"/>
        <v/>
      </c>
      <c r="C1661" s="4" t="str">
        <f t="shared" si="201"/>
        <v/>
      </c>
      <c r="D1661" s="4" t="str">
        <f t="shared" si="202"/>
        <v/>
      </c>
      <c r="E1661" s="5" t="str">
        <f t="shared" si="203"/>
        <v/>
      </c>
      <c r="F1661" s="6" t="str">
        <f t="shared" si="204"/>
        <v/>
      </c>
      <c r="G1661" s="7" t="str">
        <f t="shared" si="205"/>
        <v/>
      </c>
      <c r="H1661" s="7" t="str">
        <f t="shared" si="206"/>
        <v/>
      </c>
      <c r="I1661" s="8" t="str">
        <f t="shared" si="207"/>
        <v/>
      </c>
      <c r="L1661" t="str">
        <f>IFERROR(MATCH($C$5&amp;"|"&amp;RIGHT("000000"&amp;1645,6),LdgRankKeyA,0),"")</f>
        <v/>
      </c>
      <c r="M1661" t="str">
        <f>IFERROR(MATCH($C$5&amp;"|"&amp;RIGHT("000000"&amp;1645,6),LdgRankKeyB,0),"")</f>
        <v/>
      </c>
    </row>
    <row r="1662" spans="1:13" x14ac:dyDescent="0.2">
      <c r="A1662" s="9">
        <v>1646</v>
      </c>
      <c r="B1662" s="10" t="str">
        <f t="shared" si="200"/>
        <v/>
      </c>
      <c r="C1662" s="10" t="str">
        <f t="shared" si="201"/>
        <v/>
      </c>
      <c r="D1662" s="10" t="str">
        <f t="shared" si="202"/>
        <v/>
      </c>
      <c r="E1662" s="11" t="str">
        <f t="shared" si="203"/>
        <v/>
      </c>
      <c r="F1662" s="12" t="str">
        <f t="shared" si="204"/>
        <v/>
      </c>
      <c r="G1662" s="13" t="str">
        <f t="shared" si="205"/>
        <v/>
      </c>
      <c r="H1662" s="13" t="str">
        <f t="shared" si="206"/>
        <v/>
      </c>
      <c r="I1662" s="14" t="str">
        <f t="shared" si="207"/>
        <v/>
      </c>
      <c r="L1662" t="str">
        <f>IFERROR(MATCH($C$5&amp;"|"&amp;RIGHT("000000"&amp;1646,6),LdgRankKeyA,0),"")</f>
        <v/>
      </c>
      <c r="M1662" t="str">
        <f>IFERROR(MATCH($C$5&amp;"|"&amp;RIGHT("000000"&amp;1646,6),LdgRankKeyB,0),"")</f>
        <v/>
      </c>
    </row>
    <row r="1663" spans="1:13" x14ac:dyDescent="0.2">
      <c r="A1663" s="3">
        <v>1647</v>
      </c>
      <c r="B1663" s="4" t="str">
        <f t="shared" si="200"/>
        <v/>
      </c>
      <c r="C1663" s="4" t="str">
        <f t="shared" si="201"/>
        <v/>
      </c>
      <c r="D1663" s="4" t="str">
        <f t="shared" si="202"/>
        <v/>
      </c>
      <c r="E1663" s="5" t="str">
        <f t="shared" si="203"/>
        <v/>
      </c>
      <c r="F1663" s="6" t="str">
        <f t="shared" si="204"/>
        <v/>
      </c>
      <c r="G1663" s="7" t="str">
        <f t="shared" si="205"/>
        <v/>
      </c>
      <c r="H1663" s="7" t="str">
        <f t="shared" si="206"/>
        <v/>
      </c>
      <c r="I1663" s="8" t="str">
        <f t="shared" si="207"/>
        <v/>
      </c>
      <c r="L1663" t="str">
        <f>IFERROR(MATCH($C$5&amp;"|"&amp;RIGHT("000000"&amp;1647,6),LdgRankKeyA,0),"")</f>
        <v/>
      </c>
      <c r="M1663" t="str">
        <f>IFERROR(MATCH($C$5&amp;"|"&amp;RIGHT("000000"&amp;1647,6),LdgRankKeyB,0),"")</f>
        <v/>
      </c>
    </row>
    <row r="1664" spans="1:13" x14ac:dyDescent="0.2">
      <c r="A1664" s="9">
        <v>1648</v>
      </c>
      <c r="B1664" s="10" t="str">
        <f t="shared" si="200"/>
        <v/>
      </c>
      <c r="C1664" s="10" t="str">
        <f t="shared" si="201"/>
        <v/>
      </c>
      <c r="D1664" s="10" t="str">
        <f t="shared" si="202"/>
        <v/>
      </c>
      <c r="E1664" s="11" t="str">
        <f t="shared" si="203"/>
        <v/>
      </c>
      <c r="F1664" s="12" t="str">
        <f t="shared" si="204"/>
        <v/>
      </c>
      <c r="G1664" s="13" t="str">
        <f t="shared" si="205"/>
        <v/>
      </c>
      <c r="H1664" s="13" t="str">
        <f t="shared" si="206"/>
        <v/>
      </c>
      <c r="I1664" s="14" t="str">
        <f t="shared" si="207"/>
        <v/>
      </c>
      <c r="L1664" t="str">
        <f>IFERROR(MATCH($C$5&amp;"|"&amp;RIGHT("000000"&amp;1648,6),LdgRankKeyA,0),"")</f>
        <v/>
      </c>
      <c r="M1664" t="str">
        <f>IFERROR(MATCH($C$5&amp;"|"&amp;RIGHT("000000"&amp;1648,6),LdgRankKeyB,0),"")</f>
        <v/>
      </c>
    </row>
    <row r="1665" spans="1:13" x14ac:dyDescent="0.2">
      <c r="A1665" s="3">
        <v>1649</v>
      </c>
      <c r="B1665" s="4" t="str">
        <f t="shared" si="200"/>
        <v/>
      </c>
      <c r="C1665" s="4" t="str">
        <f t="shared" si="201"/>
        <v/>
      </c>
      <c r="D1665" s="4" t="str">
        <f t="shared" si="202"/>
        <v/>
      </c>
      <c r="E1665" s="5" t="str">
        <f t="shared" si="203"/>
        <v/>
      </c>
      <c r="F1665" s="6" t="str">
        <f t="shared" si="204"/>
        <v/>
      </c>
      <c r="G1665" s="7" t="str">
        <f t="shared" si="205"/>
        <v/>
      </c>
      <c r="H1665" s="7" t="str">
        <f t="shared" si="206"/>
        <v/>
      </c>
      <c r="I1665" s="8" t="str">
        <f t="shared" si="207"/>
        <v/>
      </c>
      <c r="L1665" t="str">
        <f>IFERROR(MATCH($C$5&amp;"|"&amp;RIGHT("000000"&amp;1649,6),LdgRankKeyA,0),"")</f>
        <v/>
      </c>
      <c r="M1665" t="str">
        <f>IFERROR(MATCH($C$5&amp;"|"&amp;RIGHT("000000"&amp;1649,6),LdgRankKeyB,0),"")</f>
        <v/>
      </c>
    </row>
    <row r="1666" spans="1:13" x14ac:dyDescent="0.2">
      <c r="A1666" s="9">
        <v>1650</v>
      </c>
      <c r="B1666" s="10" t="str">
        <f t="shared" si="200"/>
        <v/>
      </c>
      <c r="C1666" s="10" t="str">
        <f t="shared" si="201"/>
        <v/>
      </c>
      <c r="D1666" s="10" t="str">
        <f t="shared" si="202"/>
        <v/>
      </c>
      <c r="E1666" s="11" t="str">
        <f t="shared" si="203"/>
        <v/>
      </c>
      <c r="F1666" s="12" t="str">
        <f t="shared" si="204"/>
        <v/>
      </c>
      <c r="G1666" s="13" t="str">
        <f t="shared" si="205"/>
        <v/>
      </c>
      <c r="H1666" s="13" t="str">
        <f t="shared" si="206"/>
        <v/>
      </c>
      <c r="I1666" s="14" t="str">
        <f t="shared" si="207"/>
        <v/>
      </c>
      <c r="L1666" t="str">
        <f>IFERROR(MATCH($C$5&amp;"|"&amp;RIGHT("000000"&amp;1650,6),LdgRankKeyA,0),"")</f>
        <v/>
      </c>
      <c r="M1666" t="str">
        <f>IFERROR(MATCH($C$5&amp;"|"&amp;RIGHT("000000"&amp;1650,6),LdgRankKeyB,0),"")</f>
        <v/>
      </c>
    </row>
    <row r="1667" spans="1:13" x14ac:dyDescent="0.2">
      <c r="A1667" s="3">
        <v>1651</v>
      </c>
      <c r="B1667" s="4" t="str">
        <f t="shared" si="200"/>
        <v/>
      </c>
      <c r="C1667" s="4" t="str">
        <f t="shared" si="201"/>
        <v/>
      </c>
      <c r="D1667" s="4" t="str">
        <f t="shared" si="202"/>
        <v/>
      </c>
      <c r="E1667" s="5" t="str">
        <f t="shared" si="203"/>
        <v/>
      </c>
      <c r="F1667" s="6" t="str">
        <f t="shared" si="204"/>
        <v/>
      </c>
      <c r="G1667" s="7" t="str">
        <f t="shared" si="205"/>
        <v/>
      </c>
      <c r="H1667" s="7" t="str">
        <f t="shared" si="206"/>
        <v/>
      </c>
      <c r="I1667" s="8" t="str">
        <f t="shared" si="207"/>
        <v/>
      </c>
      <c r="L1667" t="str">
        <f>IFERROR(MATCH($C$5&amp;"|"&amp;RIGHT("000000"&amp;1651,6),LdgRankKeyA,0),"")</f>
        <v/>
      </c>
      <c r="M1667" t="str">
        <f>IFERROR(MATCH($C$5&amp;"|"&amp;RIGHT("000000"&amp;1651,6),LdgRankKeyB,0),"")</f>
        <v/>
      </c>
    </row>
    <row r="1668" spans="1:13" x14ac:dyDescent="0.2">
      <c r="A1668" s="9">
        <v>1652</v>
      </c>
      <c r="B1668" s="10" t="str">
        <f t="shared" si="200"/>
        <v/>
      </c>
      <c r="C1668" s="10" t="str">
        <f t="shared" si="201"/>
        <v/>
      </c>
      <c r="D1668" s="10" t="str">
        <f t="shared" si="202"/>
        <v/>
      </c>
      <c r="E1668" s="11" t="str">
        <f t="shared" si="203"/>
        <v/>
      </c>
      <c r="F1668" s="12" t="str">
        <f t="shared" si="204"/>
        <v/>
      </c>
      <c r="G1668" s="13" t="str">
        <f t="shared" si="205"/>
        <v/>
      </c>
      <c r="H1668" s="13" t="str">
        <f t="shared" si="206"/>
        <v/>
      </c>
      <c r="I1668" s="14" t="str">
        <f t="shared" si="207"/>
        <v/>
      </c>
      <c r="L1668" t="str">
        <f>IFERROR(MATCH($C$5&amp;"|"&amp;RIGHT("000000"&amp;1652,6),LdgRankKeyA,0),"")</f>
        <v/>
      </c>
      <c r="M1668" t="str">
        <f>IFERROR(MATCH($C$5&amp;"|"&amp;RIGHT("000000"&amp;1652,6),LdgRankKeyB,0),"")</f>
        <v/>
      </c>
    </row>
    <row r="1669" spans="1:13" x14ac:dyDescent="0.2">
      <c r="A1669" s="3">
        <v>1653</v>
      </c>
      <c r="B1669" s="4" t="str">
        <f t="shared" si="200"/>
        <v/>
      </c>
      <c r="C1669" s="4" t="str">
        <f t="shared" si="201"/>
        <v/>
      </c>
      <c r="D1669" s="4" t="str">
        <f t="shared" si="202"/>
        <v/>
      </c>
      <c r="E1669" s="5" t="str">
        <f t="shared" si="203"/>
        <v/>
      </c>
      <c r="F1669" s="6" t="str">
        <f t="shared" si="204"/>
        <v/>
      </c>
      <c r="G1669" s="7" t="str">
        <f t="shared" si="205"/>
        <v/>
      </c>
      <c r="H1669" s="7" t="str">
        <f t="shared" si="206"/>
        <v/>
      </c>
      <c r="I1669" s="8" t="str">
        <f t="shared" si="207"/>
        <v/>
      </c>
      <c r="L1669" t="str">
        <f>IFERROR(MATCH($C$5&amp;"|"&amp;RIGHT("000000"&amp;1653,6),LdgRankKeyA,0),"")</f>
        <v/>
      </c>
      <c r="M1669" t="str">
        <f>IFERROR(MATCH($C$5&amp;"|"&amp;RIGHT("000000"&amp;1653,6),LdgRankKeyB,0),"")</f>
        <v/>
      </c>
    </row>
    <row r="1670" spans="1:13" x14ac:dyDescent="0.2">
      <c r="A1670" s="9">
        <v>1654</v>
      </c>
      <c r="B1670" s="10" t="str">
        <f t="shared" si="200"/>
        <v/>
      </c>
      <c r="C1670" s="10" t="str">
        <f t="shared" si="201"/>
        <v/>
      </c>
      <c r="D1670" s="10" t="str">
        <f t="shared" si="202"/>
        <v/>
      </c>
      <c r="E1670" s="11" t="str">
        <f t="shared" si="203"/>
        <v/>
      </c>
      <c r="F1670" s="12" t="str">
        <f t="shared" si="204"/>
        <v/>
      </c>
      <c r="G1670" s="13" t="str">
        <f t="shared" si="205"/>
        <v/>
      </c>
      <c r="H1670" s="13" t="str">
        <f t="shared" si="206"/>
        <v/>
      </c>
      <c r="I1670" s="14" t="str">
        <f t="shared" si="207"/>
        <v/>
      </c>
      <c r="L1670" t="str">
        <f>IFERROR(MATCH($C$5&amp;"|"&amp;RIGHT("000000"&amp;1654,6),LdgRankKeyA,0),"")</f>
        <v/>
      </c>
      <c r="M1670" t="str">
        <f>IFERROR(MATCH($C$5&amp;"|"&amp;RIGHT("000000"&amp;1654,6),LdgRankKeyB,0),"")</f>
        <v/>
      </c>
    </row>
    <row r="1671" spans="1:13" x14ac:dyDescent="0.2">
      <c r="A1671" s="3">
        <v>1655</v>
      </c>
      <c r="B1671" s="4" t="str">
        <f t="shared" si="200"/>
        <v/>
      </c>
      <c r="C1671" s="4" t="str">
        <f t="shared" si="201"/>
        <v/>
      </c>
      <c r="D1671" s="4" t="str">
        <f t="shared" si="202"/>
        <v/>
      </c>
      <c r="E1671" s="5" t="str">
        <f t="shared" si="203"/>
        <v/>
      </c>
      <c r="F1671" s="6" t="str">
        <f t="shared" si="204"/>
        <v/>
      </c>
      <c r="G1671" s="7" t="str">
        <f t="shared" si="205"/>
        <v/>
      </c>
      <c r="H1671" s="7" t="str">
        <f t="shared" si="206"/>
        <v/>
      </c>
      <c r="I1671" s="8" t="str">
        <f t="shared" si="207"/>
        <v/>
      </c>
      <c r="L1671" t="str">
        <f>IFERROR(MATCH($C$5&amp;"|"&amp;RIGHT("000000"&amp;1655,6),LdgRankKeyA,0),"")</f>
        <v/>
      </c>
      <c r="M1671" t="str">
        <f>IFERROR(MATCH($C$5&amp;"|"&amp;RIGHT("000000"&amp;1655,6),LdgRankKeyB,0),"")</f>
        <v/>
      </c>
    </row>
    <row r="1672" spans="1:13" x14ac:dyDescent="0.2">
      <c r="A1672" s="9">
        <v>1656</v>
      </c>
      <c r="B1672" s="10" t="str">
        <f t="shared" si="200"/>
        <v/>
      </c>
      <c r="C1672" s="10" t="str">
        <f t="shared" si="201"/>
        <v/>
      </c>
      <c r="D1672" s="10" t="str">
        <f t="shared" si="202"/>
        <v/>
      </c>
      <c r="E1672" s="11" t="str">
        <f t="shared" si="203"/>
        <v/>
      </c>
      <c r="F1672" s="12" t="str">
        <f t="shared" si="204"/>
        <v/>
      </c>
      <c r="G1672" s="13" t="str">
        <f t="shared" si="205"/>
        <v/>
      </c>
      <c r="H1672" s="13" t="str">
        <f t="shared" si="206"/>
        <v/>
      </c>
      <c r="I1672" s="14" t="str">
        <f t="shared" si="207"/>
        <v/>
      </c>
      <c r="L1672" t="str">
        <f>IFERROR(MATCH($C$5&amp;"|"&amp;RIGHT("000000"&amp;1656,6),LdgRankKeyA,0),"")</f>
        <v/>
      </c>
      <c r="M1672" t="str">
        <f>IFERROR(MATCH($C$5&amp;"|"&amp;RIGHT("000000"&amp;1656,6),LdgRankKeyB,0),"")</f>
        <v/>
      </c>
    </row>
    <row r="1673" spans="1:13" x14ac:dyDescent="0.2">
      <c r="A1673" s="3">
        <v>1657</v>
      </c>
      <c r="B1673" s="4" t="str">
        <f t="shared" si="200"/>
        <v/>
      </c>
      <c r="C1673" s="4" t="str">
        <f t="shared" si="201"/>
        <v/>
      </c>
      <c r="D1673" s="4" t="str">
        <f t="shared" si="202"/>
        <v/>
      </c>
      <c r="E1673" s="5" t="str">
        <f t="shared" si="203"/>
        <v/>
      </c>
      <c r="F1673" s="6" t="str">
        <f t="shared" si="204"/>
        <v/>
      </c>
      <c r="G1673" s="7" t="str">
        <f t="shared" si="205"/>
        <v/>
      </c>
      <c r="H1673" s="7" t="str">
        <f t="shared" si="206"/>
        <v/>
      </c>
      <c r="I1673" s="8" t="str">
        <f t="shared" si="207"/>
        <v/>
      </c>
      <c r="L1673" t="str">
        <f>IFERROR(MATCH($C$5&amp;"|"&amp;RIGHT("000000"&amp;1657,6),LdgRankKeyA,0),"")</f>
        <v/>
      </c>
      <c r="M1673" t="str">
        <f>IFERROR(MATCH($C$5&amp;"|"&amp;RIGHT("000000"&amp;1657,6),LdgRankKeyB,0),"")</f>
        <v/>
      </c>
    </row>
    <row r="1674" spans="1:13" x14ac:dyDescent="0.2">
      <c r="A1674" s="9">
        <v>1658</v>
      </c>
      <c r="B1674" s="10" t="str">
        <f t="shared" si="200"/>
        <v/>
      </c>
      <c r="C1674" s="10" t="str">
        <f t="shared" si="201"/>
        <v/>
      </c>
      <c r="D1674" s="10" t="str">
        <f t="shared" si="202"/>
        <v/>
      </c>
      <c r="E1674" s="11" t="str">
        <f t="shared" si="203"/>
        <v/>
      </c>
      <c r="F1674" s="12" t="str">
        <f t="shared" si="204"/>
        <v/>
      </c>
      <c r="G1674" s="13" t="str">
        <f t="shared" si="205"/>
        <v/>
      </c>
      <c r="H1674" s="13" t="str">
        <f t="shared" si="206"/>
        <v/>
      </c>
      <c r="I1674" s="14" t="str">
        <f t="shared" si="207"/>
        <v/>
      </c>
      <c r="L1674" t="str">
        <f>IFERROR(MATCH($C$5&amp;"|"&amp;RIGHT("000000"&amp;1658,6),LdgRankKeyA,0),"")</f>
        <v/>
      </c>
      <c r="M1674" t="str">
        <f>IFERROR(MATCH($C$5&amp;"|"&amp;RIGHT("000000"&amp;1658,6),LdgRankKeyB,0),"")</f>
        <v/>
      </c>
    </row>
    <row r="1675" spans="1:13" x14ac:dyDescent="0.2">
      <c r="A1675" s="3">
        <v>1659</v>
      </c>
      <c r="B1675" s="4" t="str">
        <f t="shared" si="200"/>
        <v/>
      </c>
      <c r="C1675" s="4" t="str">
        <f t="shared" si="201"/>
        <v/>
      </c>
      <c r="D1675" s="4" t="str">
        <f t="shared" si="202"/>
        <v/>
      </c>
      <c r="E1675" s="5" t="str">
        <f t="shared" si="203"/>
        <v/>
      </c>
      <c r="F1675" s="6" t="str">
        <f t="shared" si="204"/>
        <v/>
      </c>
      <c r="G1675" s="7" t="str">
        <f t="shared" si="205"/>
        <v/>
      </c>
      <c r="H1675" s="7" t="str">
        <f t="shared" si="206"/>
        <v/>
      </c>
      <c r="I1675" s="8" t="str">
        <f t="shared" si="207"/>
        <v/>
      </c>
      <c r="L1675" t="str">
        <f>IFERROR(MATCH($C$5&amp;"|"&amp;RIGHT("000000"&amp;1659,6),LdgRankKeyA,0),"")</f>
        <v/>
      </c>
      <c r="M1675" t="str">
        <f>IFERROR(MATCH($C$5&amp;"|"&amp;RIGHT("000000"&amp;1659,6),LdgRankKeyB,0),"")</f>
        <v/>
      </c>
    </row>
    <row r="1676" spans="1:13" x14ac:dyDescent="0.2">
      <c r="A1676" s="9">
        <v>1660</v>
      </c>
      <c r="B1676" s="10" t="str">
        <f t="shared" si="200"/>
        <v/>
      </c>
      <c r="C1676" s="10" t="str">
        <f t="shared" si="201"/>
        <v/>
      </c>
      <c r="D1676" s="10" t="str">
        <f t="shared" si="202"/>
        <v/>
      </c>
      <c r="E1676" s="11" t="str">
        <f t="shared" si="203"/>
        <v/>
      </c>
      <c r="F1676" s="12" t="str">
        <f t="shared" si="204"/>
        <v/>
      </c>
      <c r="G1676" s="13" t="str">
        <f t="shared" si="205"/>
        <v/>
      </c>
      <c r="H1676" s="13" t="str">
        <f t="shared" si="206"/>
        <v/>
      </c>
      <c r="I1676" s="14" t="str">
        <f t="shared" si="207"/>
        <v/>
      </c>
      <c r="L1676" t="str">
        <f>IFERROR(MATCH($C$5&amp;"|"&amp;RIGHT("000000"&amp;1660,6),LdgRankKeyA,0),"")</f>
        <v/>
      </c>
      <c r="M1676" t="str">
        <f>IFERROR(MATCH($C$5&amp;"|"&amp;RIGHT("000000"&amp;1660,6),LdgRankKeyB,0),"")</f>
        <v/>
      </c>
    </row>
    <row r="1677" spans="1:13" x14ac:dyDescent="0.2">
      <c r="A1677" s="3">
        <v>1661</v>
      </c>
      <c r="B1677" s="4" t="str">
        <f t="shared" si="200"/>
        <v/>
      </c>
      <c r="C1677" s="4" t="str">
        <f t="shared" si="201"/>
        <v/>
      </c>
      <c r="D1677" s="4" t="str">
        <f t="shared" si="202"/>
        <v/>
      </c>
      <c r="E1677" s="5" t="str">
        <f t="shared" si="203"/>
        <v/>
      </c>
      <c r="F1677" s="6" t="str">
        <f t="shared" si="204"/>
        <v/>
      </c>
      <c r="G1677" s="7" t="str">
        <f t="shared" si="205"/>
        <v/>
      </c>
      <c r="H1677" s="7" t="str">
        <f t="shared" si="206"/>
        <v/>
      </c>
      <c r="I1677" s="8" t="str">
        <f t="shared" si="207"/>
        <v/>
      </c>
      <c r="L1677" t="str">
        <f>IFERROR(MATCH($C$5&amp;"|"&amp;RIGHT("000000"&amp;1661,6),LdgRankKeyA,0),"")</f>
        <v/>
      </c>
      <c r="M1677" t="str">
        <f>IFERROR(MATCH($C$5&amp;"|"&amp;RIGHT("000000"&amp;1661,6),LdgRankKeyB,0),"")</f>
        <v/>
      </c>
    </row>
    <row r="1678" spans="1:13" x14ac:dyDescent="0.2">
      <c r="A1678" s="9">
        <v>1662</v>
      </c>
      <c r="B1678" s="10" t="str">
        <f t="shared" si="200"/>
        <v/>
      </c>
      <c r="C1678" s="10" t="str">
        <f t="shared" si="201"/>
        <v/>
      </c>
      <c r="D1678" s="10" t="str">
        <f t="shared" si="202"/>
        <v/>
      </c>
      <c r="E1678" s="11" t="str">
        <f t="shared" si="203"/>
        <v/>
      </c>
      <c r="F1678" s="12" t="str">
        <f t="shared" si="204"/>
        <v/>
      </c>
      <c r="G1678" s="13" t="str">
        <f t="shared" si="205"/>
        <v/>
      </c>
      <c r="H1678" s="13" t="str">
        <f t="shared" si="206"/>
        <v/>
      </c>
      <c r="I1678" s="14" t="str">
        <f t="shared" si="207"/>
        <v/>
      </c>
      <c r="L1678" t="str">
        <f>IFERROR(MATCH($C$5&amp;"|"&amp;RIGHT("000000"&amp;1662,6),LdgRankKeyA,0),"")</f>
        <v/>
      </c>
      <c r="M1678" t="str">
        <f>IFERROR(MATCH($C$5&amp;"|"&amp;RIGHT("000000"&amp;1662,6),LdgRankKeyB,0),"")</f>
        <v/>
      </c>
    </row>
    <row r="1679" spans="1:13" x14ac:dyDescent="0.2">
      <c r="A1679" s="3">
        <v>1663</v>
      </c>
      <c r="B1679" s="4" t="str">
        <f t="shared" si="200"/>
        <v/>
      </c>
      <c r="C1679" s="4" t="str">
        <f t="shared" si="201"/>
        <v/>
      </c>
      <c r="D1679" s="4" t="str">
        <f t="shared" si="202"/>
        <v/>
      </c>
      <c r="E1679" s="5" t="str">
        <f t="shared" si="203"/>
        <v/>
      </c>
      <c r="F1679" s="6" t="str">
        <f t="shared" si="204"/>
        <v/>
      </c>
      <c r="G1679" s="7" t="str">
        <f t="shared" si="205"/>
        <v/>
      </c>
      <c r="H1679" s="7" t="str">
        <f t="shared" si="206"/>
        <v/>
      </c>
      <c r="I1679" s="8" t="str">
        <f t="shared" si="207"/>
        <v/>
      </c>
      <c r="L1679" t="str">
        <f>IFERROR(MATCH($C$5&amp;"|"&amp;RIGHT("000000"&amp;1663,6),LdgRankKeyA,0),"")</f>
        <v/>
      </c>
      <c r="M1679" t="str">
        <f>IFERROR(MATCH($C$5&amp;"|"&amp;RIGHT("000000"&amp;1663,6),LdgRankKeyB,0),"")</f>
        <v/>
      </c>
    </row>
    <row r="1680" spans="1:13" x14ac:dyDescent="0.2">
      <c r="A1680" s="9">
        <v>1664</v>
      </c>
      <c r="B1680" s="10" t="str">
        <f t="shared" si="200"/>
        <v/>
      </c>
      <c r="C1680" s="10" t="str">
        <f t="shared" si="201"/>
        <v/>
      </c>
      <c r="D1680" s="10" t="str">
        <f t="shared" si="202"/>
        <v/>
      </c>
      <c r="E1680" s="11" t="str">
        <f t="shared" si="203"/>
        <v/>
      </c>
      <c r="F1680" s="12" t="str">
        <f t="shared" si="204"/>
        <v/>
      </c>
      <c r="G1680" s="13" t="str">
        <f t="shared" si="205"/>
        <v/>
      </c>
      <c r="H1680" s="13" t="str">
        <f t="shared" si="206"/>
        <v/>
      </c>
      <c r="I1680" s="14" t="str">
        <f t="shared" si="207"/>
        <v/>
      </c>
      <c r="L1680" t="str">
        <f>IFERROR(MATCH($C$5&amp;"|"&amp;RIGHT("000000"&amp;1664,6),LdgRankKeyA,0),"")</f>
        <v/>
      </c>
      <c r="M1680" t="str">
        <f>IFERROR(MATCH($C$5&amp;"|"&amp;RIGHT("000000"&amp;1664,6),LdgRankKeyB,0),"")</f>
        <v/>
      </c>
    </row>
    <row r="1681" spans="1:13" x14ac:dyDescent="0.2">
      <c r="A1681" s="3">
        <v>1665</v>
      </c>
      <c r="B1681" s="4" t="str">
        <f t="shared" ref="B1681:B1744" si="208">IF(AND($L1681="",$M1681=""),"",IF($L1681&lt;&gt;"",INDEX(SCNormDate,$L1681),INDEX(LdgDateB,$M1681)))</f>
        <v/>
      </c>
      <c r="C1681" s="4" t="str">
        <f t="shared" ref="C1681:C1744" si="209">IF($L1681&lt;&gt;"",INDEX(SCOp,$L1681),IF($M1681&lt;&gt;"","پرداخت بانکی",""))</f>
        <v/>
      </c>
      <c r="D1681" s="4" t="str">
        <f t="shared" ref="D1681:D1744" si="210">IF($L1681&lt;&gt;"",IF(INDEX(SCDoc,$L1681)="","—",INDEX(SCDoc,$L1681)),IF($M1681&lt;&gt;"",INDEX(LdgBankB,$M1681),""))</f>
        <v/>
      </c>
      <c r="E1681" s="5" t="str">
        <f t="shared" ref="E1681:E1744" si="211">IF($L1681&lt;&gt;"",IF(INDEX(SCCitrus,$L1681)&amp;INDEX(SCNotes,$L1681)="","",IF(INDEX(SCCitrus,$L1681)="","",INDEX(SCCitrus,$L1681))&amp;IF(INDEX(SCNotes,$L1681)="",""," — "&amp;INDEX(SCNotes,$L1681))),IF($M1681&lt;&gt;"",IF(INDEX(LdgNoteB,$M1681)="","—",INDEX(LdgNoteB,$M1681)),""))</f>
        <v/>
      </c>
      <c r="F1681" s="6" t="str">
        <f t="shared" ref="F1681:F1744" si="212">IF($L1681&lt;&gt;"",IF(INDEX(SCNet,$L1681)=0,"",INDEX(SCNet,$L1681)),"")</f>
        <v/>
      </c>
      <c r="G1681" s="7" t="str">
        <f t="shared" ref="G1681:G1744" si="213">IF($L1681&lt;&gt;"",IF(INDEX(SCOp,$L1681)="مرجوعی فروش","",IF(INDEX(SCAmount,$L1681)&lt;=0,"",INDEX(SCAmount,$L1681))),IF($M1681&lt;&gt;"",IF(INDEX(LdgWitB,$M1681)=0,"",INDEX(LdgWitB,$M1681)),""))</f>
        <v/>
      </c>
      <c r="H1681" s="7" t="str">
        <f t="shared" ref="H1681:H1744" si="214">IF($L1681&lt;&gt;"",IF(INDEX(SCOp,$L1681)="مرجوعی فروش",IF(INDEX(SCAmount,$L1681)=0,"",-INDEX(SCAmount,$L1681)),""),IF($M1681&lt;&gt;"",IF(INDEX(LdgDepB,$M1681)=0,"",INDEX(LdgDepB,$M1681)),""))</f>
        <v/>
      </c>
      <c r="I1681" s="8" t="str">
        <f t="shared" si="207"/>
        <v/>
      </c>
      <c r="L1681" t="str">
        <f>IFERROR(MATCH($C$5&amp;"|"&amp;RIGHT("000000"&amp;1665,6),LdgRankKeyA,0),"")</f>
        <v/>
      </c>
      <c r="M1681" t="str">
        <f>IFERROR(MATCH($C$5&amp;"|"&amp;RIGHT("000000"&amp;1665,6),LdgRankKeyB,0),"")</f>
        <v/>
      </c>
    </row>
    <row r="1682" spans="1:13" x14ac:dyDescent="0.2">
      <c r="A1682" s="9">
        <v>1666</v>
      </c>
      <c r="B1682" s="10" t="str">
        <f t="shared" si="208"/>
        <v/>
      </c>
      <c r="C1682" s="10" t="str">
        <f t="shared" si="209"/>
        <v/>
      </c>
      <c r="D1682" s="10" t="str">
        <f t="shared" si="210"/>
        <v/>
      </c>
      <c r="E1682" s="11" t="str">
        <f t="shared" si="211"/>
        <v/>
      </c>
      <c r="F1682" s="12" t="str">
        <f t="shared" si="212"/>
        <v/>
      </c>
      <c r="G1682" s="13" t="str">
        <f t="shared" si="213"/>
        <v/>
      </c>
      <c r="H1682" s="13" t="str">
        <f t="shared" si="214"/>
        <v/>
      </c>
      <c r="I1682" s="14" t="str">
        <f t="shared" ref="I1682:I1745" si="215">IF($B1682="","",IF($I1681="",$C$10,$I1681)+IF($G1682="",0,$G1682)-IF($H1682="",0,$H1682))</f>
        <v/>
      </c>
      <c r="L1682" t="str">
        <f>IFERROR(MATCH($C$5&amp;"|"&amp;RIGHT("000000"&amp;1666,6),LdgRankKeyA,0),"")</f>
        <v/>
      </c>
      <c r="M1682" t="str">
        <f>IFERROR(MATCH($C$5&amp;"|"&amp;RIGHT("000000"&amp;1666,6),LdgRankKeyB,0),"")</f>
        <v/>
      </c>
    </row>
    <row r="1683" spans="1:13" x14ac:dyDescent="0.2">
      <c r="A1683" s="3">
        <v>1667</v>
      </c>
      <c r="B1683" s="4" t="str">
        <f t="shared" si="208"/>
        <v/>
      </c>
      <c r="C1683" s="4" t="str">
        <f t="shared" si="209"/>
        <v/>
      </c>
      <c r="D1683" s="4" t="str">
        <f t="shared" si="210"/>
        <v/>
      </c>
      <c r="E1683" s="5" t="str">
        <f t="shared" si="211"/>
        <v/>
      </c>
      <c r="F1683" s="6" t="str">
        <f t="shared" si="212"/>
        <v/>
      </c>
      <c r="G1683" s="7" t="str">
        <f t="shared" si="213"/>
        <v/>
      </c>
      <c r="H1683" s="7" t="str">
        <f t="shared" si="214"/>
        <v/>
      </c>
      <c r="I1683" s="8" t="str">
        <f t="shared" si="215"/>
        <v/>
      </c>
      <c r="L1683" t="str">
        <f>IFERROR(MATCH($C$5&amp;"|"&amp;RIGHT("000000"&amp;1667,6),LdgRankKeyA,0),"")</f>
        <v/>
      </c>
      <c r="M1683" t="str">
        <f>IFERROR(MATCH($C$5&amp;"|"&amp;RIGHT("000000"&amp;1667,6),LdgRankKeyB,0),"")</f>
        <v/>
      </c>
    </row>
    <row r="1684" spans="1:13" x14ac:dyDescent="0.2">
      <c r="A1684" s="9">
        <v>1668</v>
      </c>
      <c r="B1684" s="10" t="str">
        <f t="shared" si="208"/>
        <v/>
      </c>
      <c r="C1684" s="10" t="str">
        <f t="shared" si="209"/>
        <v/>
      </c>
      <c r="D1684" s="10" t="str">
        <f t="shared" si="210"/>
        <v/>
      </c>
      <c r="E1684" s="11" t="str">
        <f t="shared" si="211"/>
        <v/>
      </c>
      <c r="F1684" s="12" t="str">
        <f t="shared" si="212"/>
        <v/>
      </c>
      <c r="G1684" s="13" t="str">
        <f t="shared" si="213"/>
        <v/>
      </c>
      <c r="H1684" s="13" t="str">
        <f t="shared" si="214"/>
        <v/>
      </c>
      <c r="I1684" s="14" t="str">
        <f t="shared" si="215"/>
        <v/>
      </c>
      <c r="L1684" t="str">
        <f>IFERROR(MATCH($C$5&amp;"|"&amp;RIGHT("000000"&amp;1668,6),LdgRankKeyA,0),"")</f>
        <v/>
      </c>
      <c r="M1684" t="str">
        <f>IFERROR(MATCH($C$5&amp;"|"&amp;RIGHT("000000"&amp;1668,6),LdgRankKeyB,0),"")</f>
        <v/>
      </c>
    </row>
    <row r="1685" spans="1:13" x14ac:dyDescent="0.2">
      <c r="A1685" s="3">
        <v>1669</v>
      </c>
      <c r="B1685" s="4" t="str">
        <f t="shared" si="208"/>
        <v/>
      </c>
      <c r="C1685" s="4" t="str">
        <f t="shared" si="209"/>
        <v/>
      </c>
      <c r="D1685" s="4" t="str">
        <f t="shared" si="210"/>
        <v/>
      </c>
      <c r="E1685" s="5" t="str">
        <f t="shared" si="211"/>
        <v/>
      </c>
      <c r="F1685" s="6" t="str">
        <f t="shared" si="212"/>
        <v/>
      </c>
      <c r="G1685" s="7" t="str">
        <f t="shared" si="213"/>
        <v/>
      </c>
      <c r="H1685" s="7" t="str">
        <f t="shared" si="214"/>
        <v/>
      </c>
      <c r="I1685" s="8" t="str">
        <f t="shared" si="215"/>
        <v/>
      </c>
      <c r="L1685" t="str">
        <f>IFERROR(MATCH($C$5&amp;"|"&amp;RIGHT("000000"&amp;1669,6),LdgRankKeyA,0),"")</f>
        <v/>
      </c>
      <c r="M1685" t="str">
        <f>IFERROR(MATCH($C$5&amp;"|"&amp;RIGHT("000000"&amp;1669,6),LdgRankKeyB,0),"")</f>
        <v/>
      </c>
    </row>
    <row r="1686" spans="1:13" x14ac:dyDescent="0.2">
      <c r="A1686" s="9">
        <v>1670</v>
      </c>
      <c r="B1686" s="10" t="str">
        <f t="shared" si="208"/>
        <v/>
      </c>
      <c r="C1686" s="10" t="str">
        <f t="shared" si="209"/>
        <v/>
      </c>
      <c r="D1686" s="10" t="str">
        <f t="shared" si="210"/>
        <v/>
      </c>
      <c r="E1686" s="11" t="str">
        <f t="shared" si="211"/>
        <v/>
      </c>
      <c r="F1686" s="12" t="str">
        <f t="shared" si="212"/>
        <v/>
      </c>
      <c r="G1686" s="13" t="str">
        <f t="shared" si="213"/>
        <v/>
      </c>
      <c r="H1686" s="13" t="str">
        <f t="shared" si="214"/>
        <v/>
      </c>
      <c r="I1686" s="14" t="str">
        <f t="shared" si="215"/>
        <v/>
      </c>
      <c r="L1686" t="str">
        <f>IFERROR(MATCH($C$5&amp;"|"&amp;RIGHT("000000"&amp;1670,6),LdgRankKeyA,0),"")</f>
        <v/>
      </c>
      <c r="M1686" t="str">
        <f>IFERROR(MATCH($C$5&amp;"|"&amp;RIGHT("000000"&amp;1670,6),LdgRankKeyB,0),"")</f>
        <v/>
      </c>
    </row>
    <row r="1687" spans="1:13" x14ac:dyDescent="0.2">
      <c r="A1687" s="3">
        <v>1671</v>
      </c>
      <c r="B1687" s="4" t="str">
        <f t="shared" si="208"/>
        <v/>
      </c>
      <c r="C1687" s="4" t="str">
        <f t="shared" si="209"/>
        <v/>
      </c>
      <c r="D1687" s="4" t="str">
        <f t="shared" si="210"/>
        <v/>
      </c>
      <c r="E1687" s="5" t="str">
        <f t="shared" si="211"/>
        <v/>
      </c>
      <c r="F1687" s="6" t="str">
        <f t="shared" si="212"/>
        <v/>
      </c>
      <c r="G1687" s="7" t="str">
        <f t="shared" si="213"/>
        <v/>
      </c>
      <c r="H1687" s="7" t="str">
        <f t="shared" si="214"/>
        <v/>
      </c>
      <c r="I1687" s="8" t="str">
        <f t="shared" si="215"/>
        <v/>
      </c>
      <c r="L1687" t="str">
        <f>IFERROR(MATCH($C$5&amp;"|"&amp;RIGHT("000000"&amp;1671,6),LdgRankKeyA,0),"")</f>
        <v/>
      </c>
      <c r="M1687" t="str">
        <f>IFERROR(MATCH($C$5&amp;"|"&amp;RIGHT("000000"&amp;1671,6),LdgRankKeyB,0),"")</f>
        <v/>
      </c>
    </row>
    <row r="1688" spans="1:13" x14ac:dyDescent="0.2">
      <c r="A1688" s="9">
        <v>1672</v>
      </c>
      <c r="B1688" s="10" t="str">
        <f t="shared" si="208"/>
        <v/>
      </c>
      <c r="C1688" s="10" t="str">
        <f t="shared" si="209"/>
        <v/>
      </c>
      <c r="D1688" s="10" t="str">
        <f t="shared" si="210"/>
        <v/>
      </c>
      <c r="E1688" s="11" t="str">
        <f t="shared" si="211"/>
        <v/>
      </c>
      <c r="F1688" s="12" t="str">
        <f t="shared" si="212"/>
        <v/>
      </c>
      <c r="G1688" s="13" t="str">
        <f t="shared" si="213"/>
        <v/>
      </c>
      <c r="H1688" s="13" t="str">
        <f t="shared" si="214"/>
        <v/>
      </c>
      <c r="I1688" s="14" t="str">
        <f t="shared" si="215"/>
        <v/>
      </c>
      <c r="L1688" t="str">
        <f>IFERROR(MATCH($C$5&amp;"|"&amp;RIGHT("000000"&amp;1672,6),LdgRankKeyA,0),"")</f>
        <v/>
      </c>
      <c r="M1688" t="str">
        <f>IFERROR(MATCH($C$5&amp;"|"&amp;RIGHT("000000"&amp;1672,6),LdgRankKeyB,0),"")</f>
        <v/>
      </c>
    </row>
    <row r="1689" spans="1:13" x14ac:dyDescent="0.2">
      <c r="A1689" s="3">
        <v>1673</v>
      </c>
      <c r="B1689" s="4" t="str">
        <f t="shared" si="208"/>
        <v/>
      </c>
      <c r="C1689" s="4" t="str">
        <f t="shared" si="209"/>
        <v/>
      </c>
      <c r="D1689" s="4" t="str">
        <f t="shared" si="210"/>
        <v/>
      </c>
      <c r="E1689" s="5" t="str">
        <f t="shared" si="211"/>
        <v/>
      </c>
      <c r="F1689" s="6" t="str">
        <f t="shared" si="212"/>
        <v/>
      </c>
      <c r="G1689" s="7" t="str">
        <f t="shared" si="213"/>
        <v/>
      </c>
      <c r="H1689" s="7" t="str">
        <f t="shared" si="214"/>
        <v/>
      </c>
      <c r="I1689" s="8" t="str">
        <f t="shared" si="215"/>
        <v/>
      </c>
      <c r="L1689" t="str">
        <f>IFERROR(MATCH($C$5&amp;"|"&amp;RIGHT("000000"&amp;1673,6),LdgRankKeyA,0),"")</f>
        <v/>
      </c>
      <c r="M1689" t="str">
        <f>IFERROR(MATCH($C$5&amp;"|"&amp;RIGHT("000000"&amp;1673,6),LdgRankKeyB,0),"")</f>
        <v/>
      </c>
    </row>
    <row r="1690" spans="1:13" x14ac:dyDescent="0.2">
      <c r="A1690" s="9">
        <v>1674</v>
      </c>
      <c r="B1690" s="10" t="str">
        <f t="shared" si="208"/>
        <v/>
      </c>
      <c r="C1690" s="10" t="str">
        <f t="shared" si="209"/>
        <v/>
      </c>
      <c r="D1690" s="10" t="str">
        <f t="shared" si="210"/>
        <v/>
      </c>
      <c r="E1690" s="11" t="str">
        <f t="shared" si="211"/>
        <v/>
      </c>
      <c r="F1690" s="12" t="str">
        <f t="shared" si="212"/>
        <v/>
      </c>
      <c r="G1690" s="13" t="str">
        <f t="shared" si="213"/>
        <v/>
      </c>
      <c r="H1690" s="13" t="str">
        <f t="shared" si="214"/>
        <v/>
      </c>
      <c r="I1690" s="14" t="str">
        <f t="shared" si="215"/>
        <v/>
      </c>
      <c r="L1690" t="str">
        <f>IFERROR(MATCH($C$5&amp;"|"&amp;RIGHT("000000"&amp;1674,6),LdgRankKeyA,0),"")</f>
        <v/>
      </c>
      <c r="M1690" t="str">
        <f>IFERROR(MATCH($C$5&amp;"|"&amp;RIGHT("000000"&amp;1674,6),LdgRankKeyB,0),"")</f>
        <v/>
      </c>
    </row>
    <row r="1691" spans="1:13" x14ac:dyDescent="0.2">
      <c r="A1691" s="3">
        <v>1675</v>
      </c>
      <c r="B1691" s="4" t="str">
        <f t="shared" si="208"/>
        <v/>
      </c>
      <c r="C1691" s="4" t="str">
        <f t="shared" si="209"/>
        <v/>
      </c>
      <c r="D1691" s="4" t="str">
        <f t="shared" si="210"/>
        <v/>
      </c>
      <c r="E1691" s="5" t="str">
        <f t="shared" si="211"/>
        <v/>
      </c>
      <c r="F1691" s="6" t="str">
        <f t="shared" si="212"/>
        <v/>
      </c>
      <c r="G1691" s="7" t="str">
        <f t="shared" si="213"/>
        <v/>
      </c>
      <c r="H1691" s="7" t="str">
        <f t="shared" si="214"/>
        <v/>
      </c>
      <c r="I1691" s="8" t="str">
        <f t="shared" si="215"/>
        <v/>
      </c>
      <c r="L1691" t="str">
        <f>IFERROR(MATCH($C$5&amp;"|"&amp;RIGHT("000000"&amp;1675,6),LdgRankKeyA,0),"")</f>
        <v/>
      </c>
      <c r="M1691" t="str">
        <f>IFERROR(MATCH($C$5&amp;"|"&amp;RIGHT("000000"&amp;1675,6),LdgRankKeyB,0),"")</f>
        <v/>
      </c>
    </row>
    <row r="1692" spans="1:13" x14ac:dyDescent="0.2">
      <c r="A1692" s="9">
        <v>1676</v>
      </c>
      <c r="B1692" s="10" t="str">
        <f t="shared" si="208"/>
        <v/>
      </c>
      <c r="C1692" s="10" t="str">
        <f t="shared" si="209"/>
        <v/>
      </c>
      <c r="D1692" s="10" t="str">
        <f t="shared" si="210"/>
        <v/>
      </c>
      <c r="E1692" s="11" t="str">
        <f t="shared" si="211"/>
        <v/>
      </c>
      <c r="F1692" s="12" t="str">
        <f t="shared" si="212"/>
        <v/>
      </c>
      <c r="G1692" s="13" t="str">
        <f t="shared" si="213"/>
        <v/>
      </c>
      <c r="H1692" s="13" t="str">
        <f t="shared" si="214"/>
        <v/>
      </c>
      <c r="I1692" s="14" t="str">
        <f t="shared" si="215"/>
        <v/>
      </c>
      <c r="L1692" t="str">
        <f>IFERROR(MATCH($C$5&amp;"|"&amp;RIGHT("000000"&amp;1676,6),LdgRankKeyA,0),"")</f>
        <v/>
      </c>
      <c r="M1692" t="str">
        <f>IFERROR(MATCH($C$5&amp;"|"&amp;RIGHT("000000"&amp;1676,6),LdgRankKeyB,0),"")</f>
        <v/>
      </c>
    </row>
    <row r="1693" spans="1:13" x14ac:dyDescent="0.2">
      <c r="A1693" s="3">
        <v>1677</v>
      </c>
      <c r="B1693" s="4" t="str">
        <f t="shared" si="208"/>
        <v/>
      </c>
      <c r="C1693" s="4" t="str">
        <f t="shared" si="209"/>
        <v/>
      </c>
      <c r="D1693" s="4" t="str">
        <f t="shared" si="210"/>
        <v/>
      </c>
      <c r="E1693" s="5" t="str">
        <f t="shared" si="211"/>
        <v/>
      </c>
      <c r="F1693" s="6" t="str">
        <f t="shared" si="212"/>
        <v/>
      </c>
      <c r="G1693" s="7" t="str">
        <f t="shared" si="213"/>
        <v/>
      </c>
      <c r="H1693" s="7" t="str">
        <f t="shared" si="214"/>
        <v/>
      </c>
      <c r="I1693" s="8" t="str">
        <f t="shared" si="215"/>
        <v/>
      </c>
      <c r="L1693" t="str">
        <f>IFERROR(MATCH($C$5&amp;"|"&amp;RIGHT("000000"&amp;1677,6),LdgRankKeyA,0),"")</f>
        <v/>
      </c>
      <c r="M1693" t="str">
        <f>IFERROR(MATCH($C$5&amp;"|"&amp;RIGHT("000000"&amp;1677,6),LdgRankKeyB,0),"")</f>
        <v/>
      </c>
    </row>
    <row r="1694" spans="1:13" x14ac:dyDescent="0.2">
      <c r="A1694" s="9">
        <v>1678</v>
      </c>
      <c r="B1694" s="10" t="str">
        <f t="shared" si="208"/>
        <v/>
      </c>
      <c r="C1694" s="10" t="str">
        <f t="shared" si="209"/>
        <v/>
      </c>
      <c r="D1694" s="10" t="str">
        <f t="shared" si="210"/>
        <v/>
      </c>
      <c r="E1694" s="11" t="str">
        <f t="shared" si="211"/>
        <v/>
      </c>
      <c r="F1694" s="12" t="str">
        <f t="shared" si="212"/>
        <v/>
      </c>
      <c r="G1694" s="13" t="str">
        <f t="shared" si="213"/>
        <v/>
      </c>
      <c r="H1694" s="13" t="str">
        <f t="shared" si="214"/>
        <v/>
      </c>
      <c r="I1694" s="14" t="str">
        <f t="shared" si="215"/>
        <v/>
      </c>
      <c r="L1694" t="str">
        <f>IFERROR(MATCH($C$5&amp;"|"&amp;RIGHT("000000"&amp;1678,6),LdgRankKeyA,0),"")</f>
        <v/>
      </c>
      <c r="M1694" t="str">
        <f>IFERROR(MATCH($C$5&amp;"|"&amp;RIGHT("000000"&amp;1678,6),LdgRankKeyB,0),"")</f>
        <v/>
      </c>
    </row>
    <row r="1695" spans="1:13" x14ac:dyDescent="0.2">
      <c r="A1695" s="3">
        <v>1679</v>
      </c>
      <c r="B1695" s="4" t="str">
        <f t="shared" si="208"/>
        <v/>
      </c>
      <c r="C1695" s="4" t="str">
        <f t="shared" si="209"/>
        <v/>
      </c>
      <c r="D1695" s="4" t="str">
        <f t="shared" si="210"/>
        <v/>
      </c>
      <c r="E1695" s="5" t="str">
        <f t="shared" si="211"/>
        <v/>
      </c>
      <c r="F1695" s="6" t="str">
        <f t="shared" si="212"/>
        <v/>
      </c>
      <c r="G1695" s="7" t="str">
        <f t="shared" si="213"/>
        <v/>
      </c>
      <c r="H1695" s="7" t="str">
        <f t="shared" si="214"/>
        <v/>
      </c>
      <c r="I1695" s="8" t="str">
        <f t="shared" si="215"/>
        <v/>
      </c>
      <c r="L1695" t="str">
        <f>IFERROR(MATCH($C$5&amp;"|"&amp;RIGHT("000000"&amp;1679,6),LdgRankKeyA,0),"")</f>
        <v/>
      </c>
      <c r="M1695" t="str">
        <f>IFERROR(MATCH($C$5&amp;"|"&amp;RIGHT("000000"&amp;1679,6),LdgRankKeyB,0),"")</f>
        <v/>
      </c>
    </row>
    <row r="1696" spans="1:13" x14ac:dyDescent="0.2">
      <c r="A1696" s="9">
        <v>1680</v>
      </c>
      <c r="B1696" s="10" t="str">
        <f t="shared" si="208"/>
        <v/>
      </c>
      <c r="C1696" s="10" t="str">
        <f t="shared" si="209"/>
        <v/>
      </c>
      <c r="D1696" s="10" t="str">
        <f t="shared" si="210"/>
        <v/>
      </c>
      <c r="E1696" s="11" t="str">
        <f t="shared" si="211"/>
        <v/>
      </c>
      <c r="F1696" s="12" t="str">
        <f t="shared" si="212"/>
        <v/>
      </c>
      <c r="G1696" s="13" t="str">
        <f t="shared" si="213"/>
        <v/>
      </c>
      <c r="H1696" s="13" t="str">
        <f t="shared" si="214"/>
        <v/>
      </c>
      <c r="I1696" s="14" t="str">
        <f t="shared" si="215"/>
        <v/>
      </c>
      <c r="L1696" t="str">
        <f>IFERROR(MATCH($C$5&amp;"|"&amp;RIGHT("000000"&amp;1680,6),LdgRankKeyA,0),"")</f>
        <v/>
      </c>
      <c r="M1696" t="str">
        <f>IFERROR(MATCH($C$5&amp;"|"&amp;RIGHT("000000"&amp;1680,6),LdgRankKeyB,0),"")</f>
        <v/>
      </c>
    </row>
    <row r="1697" spans="1:13" x14ac:dyDescent="0.2">
      <c r="A1697" s="3">
        <v>1681</v>
      </c>
      <c r="B1697" s="4" t="str">
        <f t="shared" si="208"/>
        <v/>
      </c>
      <c r="C1697" s="4" t="str">
        <f t="shared" si="209"/>
        <v/>
      </c>
      <c r="D1697" s="4" t="str">
        <f t="shared" si="210"/>
        <v/>
      </c>
      <c r="E1697" s="5" t="str">
        <f t="shared" si="211"/>
        <v/>
      </c>
      <c r="F1697" s="6" t="str">
        <f t="shared" si="212"/>
        <v/>
      </c>
      <c r="G1697" s="7" t="str">
        <f t="shared" si="213"/>
        <v/>
      </c>
      <c r="H1697" s="7" t="str">
        <f t="shared" si="214"/>
        <v/>
      </c>
      <c r="I1697" s="8" t="str">
        <f t="shared" si="215"/>
        <v/>
      </c>
      <c r="L1697" t="str">
        <f>IFERROR(MATCH($C$5&amp;"|"&amp;RIGHT("000000"&amp;1681,6),LdgRankKeyA,0),"")</f>
        <v/>
      </c>
      <c r="M1697" t="str">
        <f>IFERROR(MATCH($C$5&amp;"|"&amp;RIGHT("000000"&amp;1681,6),LdgRankKeyB,0),"")</f>
        <v/>
      </c>
    </row>
    <row r="1698" spans="1:13" x14ac:dyDescent="0.2">
      <c r="A1698" s="9">
        <v>1682</v>
      </c>
      <c r="B1698" s="10" t="str">
        <f t="shared" si="208"/>
        <v/>
      </c>
      <c r="C1698" s="10" t="str">
        <f t="shared" si="209"/>
        <v/>
      </c>
      <c r="D1698" s="10" t="str">
        <f t="shared" si="210"/>
        <v/>
      </c>
      <c r="E1698" s="11" t="str">
        <f t="shared" si="211"/>
        <v/>
      </c>
      <c r="F1698" s="12" t="str">
        <f t="shared" si="212"/>
        <v/>
      </c>
      <c r="G1698" s="13" t="str">
        <f t="shared" si="213"/>
        <v/>
      </c>
      <c r="H1698" s="13" t="str">
        <f t="shared" si="214"/>
        <v/>
      </c>
      <c r="I1698" s="14" t="str">
        <f t="shared" si="215"/>
        <v/>
      </c>
      <c r="L1698" t="str">
        <f>IFERROR(MATCH($C$5&amp;"|"&amp;RIGHT("000000"&amp;1682,6),LdgRankKeyA,0),"")</f>
        <v/>
      </c>
      <c r="M1698" t="str">
        <f>IFERROR(MATCH($C$5&amp;"|"&amp;RIGHT("000000"&amp;1682,6),LdgRankKeyB,0),"")</f>
        <v/>
      </c>
    </row>
    <row r="1699" spans="1:13" x14ac:dyDescent="0.2">
      <c r="A1699" s="3">
        <v>1683</v>
      </c>
      <c r="B1699" s="4" t="str">
        <f t="shared" si="208"/>
        <v/>
      </c>
      <c r="C1699" s="4" t="str">
        <f t="shared" si="209"/>
        <v/>
      </c>
      <c r="D1699" s="4" t="str">
        <f t="shared" si="210"/>
        <v/>
      </c>
      <c r="E1699" s="5" t="str">
        <f t="shared" si="211"/>
        <v/>
      </c>
      <c r="F1699" s="6" t="str">
        <f t="shared" si="212"/>
        <v/>
      </c>
      <c r="G1699" s="7" t="str">
        <f t="shared" si="213"/>
        <v/>
      </c>
      <c r="H1699" s="7" t="str">
        <f t="shared" si="214"/>
        <v/>
      </c>
      <c r="I1699" s="8" t="str">
        <f t="shared" si="215"/>
        <v/>
      </c>
      <c r="L1699" t="str">
        <f>IFERROR(MATCH($C$5&amp;"|"&amp;RIGHT("000000"&amp;1683,6),LdgRankKeyA,0),"")</f>
        <v/>
      </c>
      <c r="M1699" t="str">
        <f>IFERROR(MATCH($C$5&amp;"|"&amp;RIGHT("000000"&amp;1683,6),LdgRankKeyB,0),"")</f>
        <v/>
      </c>
    </row>
    <row r="1700" spans="1:13" x14ac:dyDescent="0.2">
      <c r="A1700" s="9">
        <v>1684</v>
      </c>
      <c r="B1700" s="10" t="str">
        <f t="shared" si="208"/>
        <v/>
      </c>
      <c r="C1700" s="10" t="str">
        <f t="shared" si="209"/>
        <v/>
      </c>
      <c r="D1700" s="10" t="str">
        <f t="shared" si="210"/>
        <v/>
      </c>
      <c r="E1700" s="11" t="str">
        <f t="shared" si="211"/>
        <v/>
      </c>
      <c r="F1700" s="12" t="str">
        <f t="shared" si="212"/>
        <v/>
      </c>
      <c r="G1700" s="13" t="str">
        <f t="shared" si="213"/>
        <v/>
      </c>
      <c r="H1700" s="13" t="str">
        <f t="shared" si="214"/>
        <v/>
      </c>
      <c r="I1700" s="14" t="str">
        <f t="shared" si="215"/>
        <v/>
      </c>
      <c r="L1700" t="str">
        <f>IFERROR(MATCH($C$5&amp;"|"&amp;RIGHT("000000"&amp;1684,6),LdgRankKeyA,0),"")</f>
        <v/>
      </c>
      <c r="M1700" t="str">
        <f>IFERROR(MATCH($C$5&amp;"|"&amp;RIGHT("000000"&amp;1684,6),LdgRankKeyB,0),"")</f>
        <v/>
      </c>
    </row>
    <row r="1701" spans="1:13" x14ac:dyDescent="0.2">
      <c r="A1701" s="3">
        <v>1685</v>
      </c>
      <c r="B1701" s="4" t="str">
        <f t="shared" si="208"/>
        <v/>
      </c>
      <c r="C1701" s="4" t="str">
        <f t="shared" si="209"/>
        <v/>
      </c>
      <c r="D1701" s="4" t="str">
        <f t="shared" si="210"/>
        <v/>
      </c>
      <c r="E1701" s="5" t="str">
        <f t="shared" si="211"/>
        <v/>
      </c>
      <c r="F1701" s="6" t="str">
        <f t="shared" si="212"/>
        <v/>
      </c>
      <c r="G1701" s="7" t="str">
        <f t="shared" si="213"/>
        <v/>
      </c>
      <c r="H1701" s="7" t="str">
        <f t="shared" si="214"/>
        <v/>
      </c>
      <c r="I1701" s="8" t="str">
        <f t="shared" si="215"/>
        <v/>
      </c>
      <c r="L1701" t="str">
        <f>IFERROR(MATCH($C$5&amp;"|"&amp;RIGHT("000000"&amp;1685,6),LdgRankKeyA,0),"")</f>
        <v/>
      </c>
      <c r="M1701" t="str">
        <f>IFERROR(MATCH($C$5&amp;"|"&amp;RIGHT("000000"&amp;1685,6),LdgRankKeyB,0),"")</f>
        <v/>
      </c>
    </row>
    <row r="1702" spans="1:13" x14ac:dyDescent="0.2">
      <c r="A1702" s="9">
        <v>1686</v>
      </c>
      <c r="B1702" s="10" t="str">
        <f t="shared" si="208"/>
        <v/>
      </c>
      <c r="C1702" s="10" t="str">
        <f t="shared" si="209"/>
        <v/>
      </c>
      <c r="D1702" s="10" t="str">
        <f t="shared" si="210"/>
        <v/>
      </c>
      <c r="E1702" s="11" t="str">
        <f t="shared" si="211"/>
        <v/>
      </c>
      <c r="F1702" s="12" t="str">
        <f t="shared" si="212"/>
        <v/>
      </c>
      <c r="G1702" s="13" t="str">
        <f t="shared" si="213"/>
        <v/>
      </c>
      <c r="H1702" s="13" t="str">
        <f t="shared" si="214"/>
        <v/>
      </c>
      <c r="I1702" s="14" t="str">
        <f t="shared" si="215"/>
        <v/>
      </c>
      <c r="L1702" t="str">
        <f>IFERROR(MATCH($C$5&amp;"|"&amp;RIGHT("000000"&amp;1686,6),LdgRankKeyA,0),"")</f>
        <v/>
      </c>
      <c r="M1702" t="str">
        <f>IFERROR(MATCH($C$5&amp;"|"&amp;RIGHT("000000"&amp;1686,6),LdgRankKeyB,0),"")</f>
        <v/>
      </c>
    </row>
    <row r="1703" spans="1:13" x14ac:dyDescent="0.2">
      <c r="A1703" s="3">
        <v>1687</v>
      </c>
      <c r="B1703" s="4" t="str">
        <f t="shared" si="208"/>
        <v/>
      </c>
      <c r="C1703" s="4" t="str">
        <f t="shared" si="209"/>
        <v/>
      </c>
      <c r="D1703" s="4" t="str">
        <f t="shared" si="210"/>
        <v/>
      </c>
      <c r="E1703" s="5" t="str">
        <f t="shared" si="211"/>
        <v/>
      </c>
      <c r="F1703" s="6" t="str">
        <f t="shared" si="212"/>
        <v/>
      </c>
      <c r="G1703" s="7" t="str">
        <f t="shared" si="213"/>
        <v/>
      </c>
      <c r="H1703" s="7" t="str">
        <f t="shared" si="214"/>
        <v/>
      </c>
      <c r="I1703" s="8" t="str">
        <f t="shared" si="215"/>
        <v/>
      </c>
      <c r="L1703" t="str">
        <f>IFERROR(MATCH($C$5&amp;"|"&amp;RIGHT("000000"&amp;1687,6),LdgRankKeyA,0),"")</f>
        <v/>
      </c>
      <c r="M1703" t="str">
        <f>IFERROR(MATCH($C$5&amp;"|"&amp;RIGHT("000000"&amp;1687,6),LdgRankKeyB,0),"")</f>
        <v/>
      </c>
    </row>
    <row r="1704" spans="1:13" x14ac:dyDescent="0.2">
      <c r="A1704" s="9">
        <v>1688</v>
      </c>
      <c r="B1704" s="10" t="str">
        <f t="shared" si="208"/>
        <v/>
      </c>
      <c r="C1704" s="10" t="str">
        <f t="shared" si="209"/>
        <v/>
      </c>
      <c r="D1704" s="10" t="str">
        <f t="shared" si="210"/>
        <v/>
      </c>
      <c r="E1704" s="11" t="str">
        <f t="shared" si="211"/>
        <v/>
      </c>
      <c r="F1704" s="12" t="str">
        <f t="shared" si="212"/>
        <v/>
      </c>
      <c r="G1704" s="13" t="str">
        <f t="shared" si="213"/>
        <v/>
      </c>
      <c r="H1704" s="13" t="str">
        <f t="shared" si="214"/>
        <v/>
      </c>
      <c r="I1704" s="14" t="str">
        <f t="shared" si="215"/>
        <v/>
      </c>
      <c r="L1704" t="str">
        <f>IFERROR(MATCH($C$5&amp;"|"&amp;RIGHT("000000"&amp;1688,6),LdgRankKeyA,0),"")</f>
        <v/>
      </c>
      <c r="M1704" t="str">
        <f>IFERROR(MATCH($C$5&amp;"|"&amp;RIGHT("000000"&amp;1688,6),LdgRankKeyB,0),"")</f>
        <v/>
      </c>
    </row>
    <row r="1705" spans="1:13" x14ac:dyDescent="0.2">
      <c r="A1705" s="3">
        <v>1689</v>
      </c>
      <c r="B1705" s="4" t="str">
        <f t="shared" si="208"/>
        <v/>
      </c>
      <c r="C1705" s="4" t="str">
        <f t="shared" si="209"/>
        <v/>
      </c>
      <c r="D1705" s="4" t="str">
        <f t="shared" si="210"/>
        <v/>
      </c>
      <c r="E1705" s="5" t="str">
        <f t="shared" si="211"/>
        <v/>
      </c>
      <c r="F1705" s="6" t="str">
        <f t="shared" si="212"/>
        <v/>
      </c>
      <c r="G1705" s="7" t="str">
        <f t="shared" si="213"/>
        <v/>
      </c>
      <c r="H1705" s="7" t="str">
        <f t="shared" si="214"/>
        <v/>
      </c>
      <c r="I1705" s="8" t="str">
        <f t="shared" si="215"/>
        <v/>
      </c>
      <c r="L1705" t="str">
        <f>IFERROR(MATCH($C$5&amp;"|"&amp;RIGHT("000000"&amp;1689,6),LdgRankKeyA,0),"")</f>
        <v/>
      </c>
      <c r="M1705" t="str">
        <f>IFERROR(MATCH($C$5&amp;"|"&amp;RIGHT("000000"&amp;1689,6),LdgRankKeyB,0),"")</f>
        <v/>
      </c>
    </row>
    <row r="1706" spans="1:13" x14ac:dyDescent="0.2">
      <c r="A1706" s="9">
        <v>1690</v>
      </c>
      <c r="B1706" s="10" t="str">
        <f t="shared" si="208"/>
        <v/>
      </c>
      <c r="C1706" s="10" t="str">
        <f t="shared" si="209"/>
        <v/>
      </c>
      <c r="D1706" s="10" t="str">
        <f t="shared" si="210"/>
        <v/>
      </c>
      <c r="E1706" s="11" t="str">
        <f t="shared" si="211"/>
        <v/>
      </c>
      <c r="F1706" s="12" t="str">
        <f t="shared" si="212"/>
        <v/>
      </c>
      <c r="G1706" s="13" t="str">
        <f t="shared" si="213"/>
        <v/>
      </c>
      <c r="H1706" s="13" t="str">
        <f t="shared" si="214"/>
        <v/>
      </c>
      <c r="I1706" s="14" t="str">
        <f t="shared" si="215"/>
        <v/>
      </c>
      <c r="L1706" t="str">
        <f>IFERROR(MATCH($C$5&amp;"|"&amp;RIGHT("000000"&amp;1690,6),LdgRankKeyA,0),"")</f>
        <v/>
      </c>
      <c r="M1706" t="str">
        <f>IFERROR(MATCH($C$5&amp;"|"&amp;RIGHT("000000"&amp;1690,6),LdgRankKeyB,0),"")</f>
        <v/>
      </c>
    </row>
    <row r="1707" spans="1:13" x14ac:dyDescent="0.2">
      <c r="A1707" s="3">
        <v>1691</v>
      </c>
      <c r="B1707" s="4" t="str">
        <f t="shared" si="208"/>
        <v/>
      </c>
      <c r="C1707" s="4" t="str">
        <f t="shared" si="209"/>
        <v/>
      </c>
      <c r="D1707" s="4" t="str">
        <f t="shared" si="210"/>
        <v/>
      </c>
      <c r="E1707" s="5" t="str">
        <f t="shared" si="211"/>
        <v/>
      </c>
      <c r="F1707" s="6" t="str">
        <f t="shared" si="212"/>
        <v/>
      </c>
      <c r="G1707" s="7" t="str">
        <f t="shared" si="213"/>
        <v/>
      </c>
      <c r="H1707" s="7" t="str">
        <f t="shared" si="214"/>
        <v/>
      </c>
      <c r="I1707" s="8" t="str">
        <f t="shared" si="215"/>
        <v/>
      </c>
      <c r="L1707" t="str">
        <f>IFERROR(MATCH($C$5&amp;"|"&amp;RIGHT("000000"&amp;1691,6),LdgRankKeyA,0),"")</f>
        <v/>
      </c>
      <c r="M1707" t="str">
        <f>IFERROR(MATCH($C$5&amp;"|"&amp;RIGHT("000000"&amp;1691,6),LdgRankKeyB,0),"")</f>
        <v/>
      </c>
    </row>
    <row r="1708" spans="1:13" x14ac:dyDescent="0.2">
      <c r="A1708" s="9">
        <v>1692</v>
      </c>
      <c r="B1708" s="10" t="str">
        <f t="shared" si="208"/>
        <v/>
      </c>
      <c r="C1708" s="10" t="str">
        <f t="shared" si="209"/>
        <v/>
      </c>
      <c r="D1708" s="10" t="str">
        <f t="shared" si="210"/>
        <v/>
      </c>
      <c r="E1708" s="11" t="str">
        <f t="shared" si="211"/>
        <v/>
      </c>
      <c r="F1708" s="12" t="str">
        <f t="shared" si="212"/>
        <v/>
      </c>
      <c r="G1708" s="13" t="str">
        <f t="shared" si="213"/>
        <v/>
      </c>
      <c r="H1708" s="13" t="str">
        <f t="shared" si="214"/>
        <v/>
      </c>
      <c r="I1708" s="14" t="str">
        <f t="shared" si="215"/>
        <v/>
      </c>
      <c r="L1708" t="str">
        <f>IFERROR(MATCH($C$5&amp;"|"&amp;RIGHT("000000"&amp;1692,6),LdgRankKeyA,0),"")</f>
        <v/>
      </c>
      <c r="M1708" t="str">
        <f>IFERROR(MATCH($C$5&amp;"|"&amp;RIGHT("000000"&amp;1692,6),LdgRankKeyB,0),"")</f>
        <v/>
      </c>
    </row>
    <row r="1709" spans="1:13" x14ac:dyDescent="0.2">
      <c r="A1709" s="3">
        <v>1693</v>
      </c>
      <c r="B1709" s="4" t="str">
        <f t="shared" si="208"/>
        <v/>
      </c>
      <c r="C1709" s="4" t="str">
        <f t="shared" si="209"/>
        <v/>
      </c>
      <c r="D1709" s="4" t="str">
        <f t="shared" si="210"/>
        <v/>
      </c>
      <c r="E1709" s="5" t="str">
        <f t="shared" si="211"/>
        <v/>
      </c>
      <c r="F1709" s="6" t="str">
        <f t="shared" si="212"/>
        <v/>
      </c>
      <c r="G1709" s="7" t="str">
        <f t="shared" si="213"/>
        <v/>
      </c>
      <c r="H1709" s="7" t="str">
        <f t="shared" si="214"/>
        <v/>
      </c>
      <c r="I1709" s="8" t="str">
        <f t="shared" si="215"/>
        <v/>
      </c>
      <c r="L1709" t="str">
        <f>IFERROR(MATCH($C$5&amp;"|"&amp;RIGHT("000000"&amp;1693,6),LdgRankKeyA,0),"")</f>
        <v/>
      </c>
      <c r="M1709" t="str">
        <f>IFERROR(MATCH($C$5&amp;"|"&amp;RIGHT("000000"&amp;1693,6),LdgRankKeyB,0),"")</f>
        <v/>
      </c>
    </row>
    <row r="1710" spans="1:13" x14ac:dyDescent="0.2">
      <c r="A1710" s="9">
        <v>1694</v>
      </c>
      <c r="B1710" s="10" t="str">
        <f t="shared" si="208"/>
        <v/>
      </c>
      <c r="C1710" s="10" t="str">
        <f t="shared" si="209"/>
        <v/>
      </c>
      <c r="D1710" s="10" t="str">
        <f t="shared" si="210"/>
        <v/>
      </c>
      <c r="E1710" s="11" t="str">
        <f t="shared" si="211"/>
        <v/>
      </c>
      <c r="F1710" s="12" t="str">
        <f t="shared" si="212"/>
        <v/>
      </c>
      <c r="G1710" s="13" t="str">
        <f t="shared" si="213"/>
        <v/>
      </c>
      <c r="H1710" s="13" t="str">
        <f t="shared" si="214"/>
        <v/>
      </c>
      <c r="I1710" s="14" t="str">
        <f t="shared" si="215"/>
        <v/>
      </c>
      <c r="L1710" t="str">
        <f>IFERROR(MATCH($C$5&amp;"|"&amp;RIGHT("000000"&amp;1694,6),LdgRankKeyA,0),"")</f>
        <v/>
      </c>
      <c r="M1710" t="str">
        <f>IFERROR(MATCH($C$5&amp;"|"&amp;RIGHT("000000"&amp;1694,6),LdgRankKeyB,0),"")</f>
        <v/>
      </c>
    </row>
    <row r="1711" spans="1:13" x14ac:dyDescent="0.2">
      <c r="A1711" s="3">
        <v>1695</v>
      </c>
      <c r="B1711" s="4" t="str">
        <f t="shared" si="208"/>
        <v/>
      </c>
      <c r="C1711" s="4" t="str">
        <f t="shared" si="209"/>
        <v/>
      </c>
      <c r="D1711" s="4" t="str">
        <f t="shared" si="210"/>
        <v/>
      </c>
      <c r="E1711" s="5" t="str">
        <f t="shared" si="211"/>
        <v/>
      </c>
      <c r="F1711" s="6" t="str">
        <f t="shared" si="212"/>
        <v/>
      </c>
      <c r="G1711" s="7" t="str">
        <f t="shared" si="213"/>
        <v/>
      </c>
      <c r="H1711" s="7" t="str">
        <f t="shared" si="214"/>
        <v/>
      </c>
      <c r="I1711" s="8" t="str">
        <f t="shared" si="215"/>
        <v/>
      </c>
      <c r="L1711" t="str">
        <f>IFERROR(MATCH($C$5&amp;"|"&amp;RIGHT("000000"&amp;1695,6),LdgRankKeyA,0),"")</f>
        <v/>
      </c>
      <c r="M1711" t="str">
        <f>IFERROR(MATCH($C$5&amp;"|"&amp;RIGHT("000000"&amp;1695,6),LdgRankKeyB,0),"")</f>
        <v/>
      </c>
    </row>
    <row r="1712" spans="1:13" x14ac:dyDescent="0.2">
      <c r="A1712" s="9">
        <v>1696</v>
      </c>
      <c r="B1712" s="10" t="str">
        <f t="shared" si="208"/>
        <v/>
      </c>
      <c r="C1712" s="10" t="str">
        <f t="shared" si="209"/>
        <v/>
      </c>
      <c r="D1712" s="10" t="str">
        <f t="shared" si="210"/>
        <v/>
      </c>
      <c r="E1712" s="11" t="str">
        <f t="shared" si="211"/>
        <v/>
      </c>
      <c r="F1712" s="12" t="str">
        <f t="shared" si="212"/>
        <v/>
      </c>
      <c r="G1712" s="13" t="str">
        <f t="shared" si="213"/>
        <v/>
      </c>
      <c r="H1712" s="13" t="str">
        <f t="shared" si="214"/>
        <v/>
      </c>
      <c r="I1712" s="14" t="str">
        <f t="shared" si="215"/>
        <v/>
      </c>
      <c r="L1712" t="str">
        <f>IFERROR(MATCH($C$5&amp;"|"&amp;RIGHT("000000"&amp;1696,6),LdgRankKeyA,0),"")</f>
        <v/>
      </c>
      <c r="M1712" t="str">
        <f>IFERROR(MATCH($C$5&amp;"|"&amp;RIGHT("000000"&amp;1696,6),LdgRankKeyB,0),"")</f>
        <v/>
      </c>
    </row>
    <row r="1713" spans="1:13" x14ac:dyDescent="0.2">
      <c r="A1713" s="3">
        <v>1697</v>
      </c>
      <c r="B1713" s="4" t="str">
        <f t="shared" si="208"/>
        <v/>
      </c>
      <c r="C1713" s="4" t="str">
        <f t="shared" si="209"/>
        <v/>
      </c>
      <c r="D1713" s="4" t="str">
        <f t="shared" si="210"/>
        <v/>
      </c>
      <c r="E1713" s="5" t="str">
        <f t="shared" si="211"/>
        <v/>
      </c>
      <c r="F1713" s="6" t="str">
        <f t="shared" si="212"/>
        <v/>
      </c>
      <c r="G1713" s="7" t="str">
        <f t="shared" si="213"/>
        <v/>
      </c>
      <c r="H1713" s="7" t="str">
        <f t="shared" si="214"/>
        <v/>
      </c>
      <c r="I1713" s="8" t="str">
        <f t="shared" si="215"/>
        <v/>
      </c>
      <c r="L1713" t="str">
        <f>IFERROR(MATCH($C$5&amp;"|"&amp;RIGHT("000000"&amp;1697,6),LdgRankKeyA,0),"")</f>
        <v/>
      </c>
      <c r="M1713" t="str">
        <f>IFERROR(MATCH($C$5&amp;"|"&amp;RIGHT("000000"&amp;1697,6),LdgRankKeyB,0),"")</f>
        <v/>
      </c>
    </row>
    <row r="1714" spans="1:13" x14ac:dyDescent="0.2">
      <c r="A1714" s="9">
        <v>1698</v>
      </c>
      <c r="B1714" s="10" t="str">
        <f t="shared" si="208"/>
        <v/>
      </c>
      <c r="C1714" s="10" t="str">
        <f t="shared" si="209"/>
        <v/>
      </c>
      <c r="D1714" s="10" t="str">
        <f t="shared" si="210"/>
        <v/>
      </c>
      <c r="E1714" s="11" t="str">
        <f t="shared" si="211"/>
        <v/>
      </c>
      <c r="F1714" s="12" t="str">
        <f t="shared" si="212"/>
        <v/>
      </c>
      <c r="G1714" s="13" t="str">
        <f t="shared" si="213"/>
        <v/>
      </c>
      <c r="H1714" s="13" t="str">
        <f t="shared" si="214"/>
        <v/>
      </c>
      <c r="I1714" s="14" t="str">
        <f t="shared" si="215"/>
        <v/>
      </c>
      <c r="L1714" t="str">
        <f>IFERROR(MATCH($C$5&amp;"|"&amp;RIGHT("000000"&amp;1698,6),LdgRankKeyA,0),"")</f>
        <v/>
      </c>
      <c r="M1714" t="str">
        <f>IFERROR(MATCH($C$5&amp;"|"&amp;RIGHT("000000"&amp;1698,6),LdgRankKeyB,0),"")</f>
        <v/>
      </c>
    </row>
    <row r="1715" spans="1:13" x14ac:dyDescent="0.2">
      <c r="A1715" s="3">
        <v>1699</v>
      </c>
      <c r="B1715" s="4" t="str">
        <f t="shared" si="208"/>
        <v/>
      </c>
      <c r="C1715" s="4" t="str">
        <f t="shared" si="209"/>
        <v/>
      </c>
      <c r="D1715" s="4" t="str">
        <f t="shared" si="210"/>
        <v/>
      </c>
      <c r="E1715" s="5" t="str">
        <f t="shared" si="211"/>
        <v/>
      </c>
      <c r="F1715" s="6" t="str">
        <f t="shared" si="212"/>
        <v/>
      </c>
      <c r="G1715" s="7" t="str">
        <f t="shared" si="213"/>
        <v/>
      </c>
      <c r="H1715" s="7" t="str">
        <f t="shared" si="214"/>
        <v/>
      </c>
      <c r="I1715" s="8" t="str">
        <f t="shared" si="215"/>
        <v/>
      </c>
      <c r="L1715" t="str">
        <f>IFERROR(MATCH($C$5&amp;"|"&amp;RIGHT("000000"&amp;1699,6),LdgRankKeyA,0),"")</f>
        <v/>
      </c>
      <c r="M1715" t="str">
        <f>IFERROR(MATCH($C$5&amp;"|"&amp;RIGHT("000000"&amp;1699,6),LdgRankKeyB,0),"")</f>
        <v/>
      </c>
    </row>
    <row r="1716" spans="1:13" x14ac:dyDescent="0.2">
      <c r="A1716" s="9">
        <v>1700</v>
      </c>
      <c r="B1716" s="10" t="str">
        <f t="shared" si="208"/>
        <v/>
      </c>
      <c r="C1716" s="10" t="str">
        <f t="shared" si="209"/>
        <v/>
      </c>
      <c r="D1716" s="10" t="str">
        <f t="shared" si="210"/>
        <v/>
      </c>
      <c r="E1716" s="11" t="str">
        <f t="shared" si="211"/>
        <v/>
      </c>
      <c r="F1716" s="12" t="str">
        <f t="shared" si="212"/>
        <v/>
      </c>
      <c r="G1716" s="13" t="str">
        <f t="shared" si="213"/>
        <v/>
      </c>
      <c r="H1716" s="13" t="str">
        <f t="shared" si="214"/>
        <v/>
      </c>
      <c r="I1716" s="14" t="str">
        <f t="shared" si="215"/>
        <v/>
      </c>
      <c r="L1716" t="str">
        <f>IFERROR(MATCH($C$5&amp;"|"&amp;RIGHT("000000"&amp;1700,6),LdgRankKeyA,0),"")</f>
        <v/>
      </c>
      <c r="M1716" t="str">
        <f>IFERROR(MATCH($C$5&amp;"|"&amp;RIGHT("000000"&amp;1700,6),LdgRankKeyB,0),"")</f>
        <v/>
      </c>
    </row>
    <row r="1717" spans="1:13" x14ac:dyDescent="0.2">
      <c r="A1717" s="3">
        <v>1701</v>
      </c>
      <c r="B1717" s="4" t="str">
        <f t="shared" si="208"/>
        <v/>
      </c>
      <c r="C1717" s="4" t="str">
        <f t="shared" si="209"/>
        <v/>
      </c>
      <c r="D1717" s="4" t="str">
        <f t="shared" si="210"/>
        <v/>
      </c>
      <c r="E1717" s="5" t="str">
        <f t="shared" si="211"/>
        <v/>
      </c>
      <c r="F1717" s="6" t="str">
        <f t="shared" si="212"/>
        <v/>
      </c>
      <c r="G1717" s="7" t="str">
        <f t="shared" si="213"/>
        <v/>
      </c>
      <c r="H1717" s="7" t="str">
        <f t="shared" si="214"/>
        <v/>
      </c>
      <c r="I1717" s="8" t="str">
        <f t="shared" si="215"/>
        <v/>
      </c>
      <c r="L1717" t="str">
        <f>IFERROR(MATCH($C$5&amp;"|"&amp;RIGHT("000000"&amp;1701,6),LdgRankKeyA,0),"")</f>
        <v/>
      </c>
      <c r="M1717" t="str">
        <f>IFERROR(MATCH($C$5&amp;"|"&amp;RIGHT("000000"&amp;1701,6),LdgRankKeyB,0),"")</f>
        <v/>
      </c>
    </row>
    <row r="1718" spans="1:13" x14ac:dyDescent="0.2">
      <c r="A1718" s="9">
        <v>1702</v>
      </c>
      <c r="B1718" s="10" t="str">
        <f t="shared" si="208"/>
        <v/>
      </c>
      <c r="C1718" s="10" t="str">
        <f t="shared" si="209"/>
        <v/>
      </c>
      <c r="D1718" s="10" t="str">
        <f t="shared" si="210"/>
        <v/>
      </c>
      <c r="E1718" s="11" t="str">
        <f t="shared" si="211"/>
        <v/>
      </c>
      <c r="F1718" s="12" t="str">
        <f t="shared" si="212"/>
        <v/>
      </c>
      <c r="G1718" s="13" t="str">
        <f t="shared" si="213"/>
        <v/>
      </c>
      <c r="H1718" s="13" t="str">
        <f t="shared" si="214"/>
        <v/>
      </c>
      <c r="I1718" s="14" t="str">
        <f t="shared" si="215"/>
        <v/>
      </c>
      <c r="L1718" t="str">
        <f>IFERROR(MATCH($C$5&amp;"|"&amp;RIGHT("000000"&amp;1702,6),LdgRankKeyA,0),"")</f>
        <v/>
      </c>
      <c r="M1718" t="str">
        <f>IFERROR(MATCH($C$5&amp;"|"&amp;RIGHT("000000"&amp;1702,6),LdgRankKeyB,0),"")</f>
        <v/>
      </c>
    </row>
    <row r="1719" spans="1:13" x14ac:dyDescent="0.2">
      <c r="A1719" s="3">
        <v>1703</v>
      </c>
      <c r="B1719" s="4" t="str">
        <f t="shared" si="208"/>
        <v/>
      </c>
      <c r="C1719" s="4" t="str">
        <f t="shared" si="209"/>
        <v/>
      </c>
      <c r="D1719" s="4" t="str">
        <f t="shared" si="210"/>
        <v/>
      </c>
      <c r="E1719" s="5" t="str">
        <f t="shared" si="211"/>
        <v/>
      </c>
      <c r="F1719" s="6" t="str">
        <f t="shared" si="212"/>
        <v/>
      </c>
      <c r="G1719" s="7" t="str">
        <f t="shared" si="213"/>
        <v/>
      </c>
      <c r="H1719" s="7" t="str">
        <f t="shared" si="214"/>
        <v/>
      </c>
      <c r="I1719" s="8" t="str">
        <f t="shared" si="215"/>
        <v/>
      </c>
      <c r="L1719" t="str">
        <f>IFERROR(MATCH($C$5&amp;"|"&amp;RIGHT("000000"&amp;1703,6),LdgRankKeyA,0),"")</f>
        <v/>
      </c>
      <c r="M1719" t="str">
        <f>IFERROR(MATCH($C$5&amp;"|"&amp;RIGHT("000000"&amp;1703,6),LdgRankKeyB,0),"")</f>
        <v/>
      </c>
    </row>
    <row r="1720" spans="1:13" x14ac:dyDescent="0.2">
      <c r="A1720" s="9">
        <v>1704</v>
      </c>
      <c r="B1720" s="10" t="str">
        <f t="shared" si="208"/>
        <v/>
      </c>
      <c r="C1720" s="10" t="str">
        <f t="shared" si="209"/>
        <v/>
      </c>
      <c r="D1720" s="10" t="str">
        <f t="shared" si="210"/>
        <v/>
      </c>
      <c r="E1720" s="11" t="str">
        <f t="shared" si="211"/>
        <v/>
      </c>
      <c r="F1720" s="12" t="str">
        <f t="shared" si="212"/>
        <v/>
      </c>
      <c r="G1720" s="13" t="str">
        <f t="shared" si="213"/>
        <v/>
      </c>
      <c r="H1720" s="13" t="str">
        <f t="shared" si="214"/>
        <v/>
      </c>
      <c r="I1720" s="14" t="str">
        <f t="shared" si="215"/>
        <v/>
      </c>
      <c r="L1720" t="str">
        <f>IFERROR(MATCH($C$5&amp;"|"&amp;RIGHT("000000"&amp;1704,6),LdgRankKeyA,0),"")</f>
        <v/>
      </c>
      <c r="M1720" t="str">
        <f>IFERROR(MATCH($C$5&amp;"|"&amp;RIGHT("000000"&amp;1704,6),LdgRankKeyB,0),"")</f>
        <v/>
      </c>
    </row>
    <row r="1721" spans="1:13" x14ac:dyDescent="0.2">
      <c r="A1721" s="3">
        <v>1705</v>
      </c>
      <c r="B1721" s="4" t="str">
        <f t="shared" si="208"/>
        <v/>
      </c>
      <c r="C1721" s="4" t="str">
        <f t="shared" si="209"/>
        <v/>
      </c>
      <c r="D1721" s="4" t="str">
        <f t="shared" si="210"/>
        <v/>
      </c>
      <c r="E1721" s="5" t="str">
        <f t="shared" si="211"/>
        <v/>
      </c>
      <c r="F1721" s="6" t="str">
        <f t="shared" si="212"/>
        <v/>
      </c>
      <c r="G1721" s="7" t="str">
        <f t="shared" si="213"/>
        <v/>
      </c>
      <c r="H1721" s="7" t="str">
        <f t="shared" si="214"/>
        <v/>
      </c>
      <c r="I1721" s="8" t="str">
        <f t="shared" si="215"/>
        <v/>
      </c>
      <c r="L1721" t="str">
        <f>IFERROR(MATCH($C$5&amp;"|"&amp;RIGHT("000000"&amp;1705,6),LdgRankKeyA,0),"")</f>
        <v/>
      </c>
      <c r="M1721" t="str">
        <f>IFERROR(MATCH($C$5&amp;"|"&amp;RIGHT("000000"&amp;1705,6),LdgRankKeyB,0),"")</f>
        <v/>
      </c>
    </row>
    <row r="1722" spans="1:13" x14ac:dyDescent="0.2">
      <c r="A1722" s="9">
        <v>1706</v>
      </c>
      <c r="B1722" s="10" t="str">
        <f t="shared" si="208"/>
        <v/>
      </c>
      <c r="C1722" s="10" t="str">
        <f t="shared" si="209"/>
        <v/>
      </c>
      <c r="D1722" s="10" t="str">
        <f t="shared" si="210"/>
        <v/>
      </c>
      <c r="E1722" s="11" t="str">
        <f t="shared" si="211"/>
        <v/>
      </c>
      <c r="F1722" s="12" t="str">
        <f t="shared" si="212"/>
        <v/>
      </c>
      <c r="G1722" s="13" t="str">
        <f t="shared" si="213"/>
        <v/>
      </c>
      <c r="H1722" s="13" t="str">
        <f t="shared" si="214"/>
        <v/>
      </c>
      <c r="I1722" s="14" t="str">
        <f t="shared" si="215"/>
        <v/>
      </c>
      <c r="L1722" t="str">
        <f>IFERROR(MATCH($C$5&amp;"|"&amp;RIGHT("000000"&amp;1706,6),LdgRankKeyA,0),"")</f>
        <v/>
      </c>
      <c r="M1722" t="str">
        <f>IFERROR(MATCH($C$5&amp;"|"&amp;RIGHT("000000"&amp;1706,6),LdgRankKeyB,0),"")</f>
        <v/>
      </c>
    </row>
    <row r="1723" spans="1:13" x14ac:dyDescent="0.2">
      <c r="A1723" s="3">
        <v>1707</v>
      </c>
      <c r="B1723" s="4" t="str">
        <f t="shared" si="208"/>
        <v/>
      </c>
      <c r="C1723" s="4" t="str">
        <f t="shared" si="209"/>
        <v/>
      </c>
      <c r="D1723" s="4" t="str">
        <f t="shared" si="210"/>
        <v/>
      </c>
      <c r="E1723" s="5" t="str">
        <f t="shared" si="211"/>
        <v/>
      </c>
      <c r="F1723" s="6" t="str">
        <f t="shared" si="212"/>
        <v/>
      </c>
      <c r="G1723" s="7" t="str">
        <f t="shared" si="213"/>
        <v/>
      </c>
      <c r="H1723" s="7" t="str">
        <f t="shared" si="214"/>
        <v/>
      </c>
      <c r="I1723" s="8" t="str">
        <f t="shared" si="215"/>
        <v/>
      </c>
      <c r="L1723" t="str">
        <f>IFERROR(MATCH($C$5&amp;"|"&amp;RIGHT("000000"&amp;1707,6),LdgRankKeyA,0),"")</f>
        <v/>
      </c>
      <c r="M1723" t="str">
        <f>IFERROR(MATCH($C$5&amp;"|"&amp;RIGHT("000000"&amp;1707,6),LdgRankKeyB,0),"")</f>
        <v/>
      </c>
    </row>
    <row r="1724" spans="1:13" x14ac:dyDescent="0.2">
      <c r="A1724" s="9">
        <v>1708</v>
      </c>
      <c r="B1724" s="10" t="str">
        <f t="shared" si="208"/>
        <v/>
      </c>
      <c r="C1724" s="10" t="str">
        <f t="shared" si="209"/>
        <v/>
      </c>
      <c r="D1724" s="10" t="str">
        <f t="shared" si="210"/>
        <v/>
      </c>
      <c r="E1724" s="11" t="str">
        <f t="shared" si="211"/>
        <v/>
      </c>
      <c r="F1724" s="12" t="str">
        <f t="shared" si="212"/>
        <v/>
      </c>
      <c r="G1724" s="13" t="str">
        <f t="shared" si="213"/>
        <v/>
      </c>
      <c r="H1724" s="13" t="str">
        <f t="shared" si="214"/>
        <v/>
      </c>
      <c r="I1724" s="14" t="str">
        <f t="shared" si="215"/>
        <v/>
      </c>
      <c r="L1724" t="str">
        <f>IFERROR(MATCH($C$5&amp;"|"&amp;RIGHT("000000"&amp;1708,6),LdgRankKeyA,0),"")</f>
        <v/>
      </c>
      <c r="M1724" t="str">
        <f>IFERROR(MATCH($C$5&amp;"|"&amp;RIGHT("000000"&amp;1708,6),LdgRankKeyB,0),"")</f>
        <v/>
      </c>
    </row>
    <row r="1725" spans="1:13" x14ac:dyDescent="0.2">
      <c r="A1725" s="3">
        <v>1709</v>
      </c>
      <c r="B1725" s="4" t="str">
        <f t="shared" si="208"/>
        <v/>
      </c>
      <c r="C1725" s="4" t="str">
        <f t="shared" si="209"/>
        <v/>
      </c>
      <c r="D1725" s="4" t="str">
        <f t="shared" si="210"/>
        <v/>
      </c>
      <c r="E1725" s="5" t="str">
        <f t="shared" si="211"/>
        <v/>
      </c>
      <c r="F1725" s="6" t="str">
        <f t="shared" si="212"/>
        <v/>
      </c>
      <c r="G1725" s="7" t="str">
        <f t="shared" si="213"/>
        <v/>
      </c>
      <c r="H1725" s="7" t="str">
        <f t="shared" si="214"/>
        <v/>
      </c>
      <c r="I1725" s="8" t="str">
        <f t="shared" si="215"/>
        <v/>
      </c>
      <c r="L1725" t="str">
        <f>IFERROR(MATCH($C$5&amp;"|"&amp;RIGHT("000000"&amp;1709,6),LdgRankKeyA,0),"")</f>
        <v/>
      </c>
      <c r="M1725" t="str">
        <f>IFERROR(MATCH($C$5&amp;"|"&amp;RIGHT("000000"&amp;1709,6),LdgRankKeyB,0),"")</f>
        <v/>
      </c>
    </row>
    <row r="1726" spans="1:13" x14ac:dyDescent="0.2">
      <c r="A1726" s="9">
        <v>1710</v>
      </c>
      <c r="B1726" s="10" t="str">
        <f t="shared" si="208"/>
        <v/>
      </c>
      <c r="C1726" s="10" t="str">
        <f t="shared" si="209"/>
        <v/>
      </c>
      <c r="D1726" s="10" t="str">
        <f t="shared" si="210"/>
        <v/>
      </c>
      <c r="E1726" s="11" t="str">
        <f t="shared" si="211"/>
        <v/>
      </c>
      <c r="F1726" s="12" t="str">
        <f t="shared" si="212"/>
        <v/>
      </c>
      <c r="G1726" s="13" t="str">
        <f t="shared" si="213"/>
        <v/>
      </c>
      <c r="H1726" s="13" t="str">
        <f t="shared" si="214"/>
        <v/>
      </c>
      <c r="I1726" s="14" t="str">
        <f t="shared" si="215"/>
        <v/>
      </c>
      <c r="L1726" t="str">
        <f>IFERROR(MATCH($C$5&amp;"|"&amp;RIGHT("000000"&amp;1710,6),LdgRankKeyA,0),"")</f>
        <v/>
      </c>
      <c r="M1726" t="str">
        <f>IFERROR(MATCH($C$5&amp;"|"&amp;RIGHT("000000"&amp;1710,6),LdgRankKeyB,0),"")</f>
        <v/>
      </c>
    </row>
    <row r="1727" spans="1:13" x14ac:dyDescent="0.2">
      <c r="A1727" s="3">
        <v>1711</v>
      </c>
      <c r="B1727" s="4" t="str">
        <f t="shared" si="208"/>
        <v/>
      </c>
      <c r="C1727" s="4" t="str">
        <f t="shared" si="209"/>
        <v/>
      </c>
      <c r="D1727" s="4" t="str">
        <f t="shared" si="210"/>
        <v/>
      </c>
      <c r="E1727" s="5" t="str">
        <f t="shared" si="211"/>
        <v/>
      </c>
      <c r="F1727" s="6" t="str">
        <f t="shared" si="212"/>
        <v/>
      </c>
      <c r="G1727" s="7" t="str">
        <f t="shared" si="213"/>
        <v/>
      </c>
      <c r="H1727" s="7" t="str">
        <f t="shared" si="214"/>
        <v/>
      </c>
      <c r="I1727" s="8" t="str">
        <f t="shared" si="215"/>
        <v/>
      </c>
      <c r="L1727" t="str">
        <f>IFERROR(MATCH($C$5&amp;"|"&amp;RIGHT("000000"&amp;1711,6),LdgRankKeyA,0),"")</f>
        <v/>
      </c>
      <c r="M1727" t="str">
        <f>IFERROR(MATCH($C$5&amp;"|"&amp;RIGHT("000000"&amp;1711,6),LdgRankKeyB,0),"")</f>
        <v/>
      </c>
    </row>
    <row r="1728" spans="1:13" x14ac:dyDescent="0.2">
      <c r="A1728" s="9">
        <v>1712</v>
      </c>
      <c r="B1728" s="10" t="str">
        <f t="shared" si="208"/>
        <v/>
      </c>
      <c r="C1728" s="10" t="str">
        <f t="shared" si="209"/>
        <v/>
      </c>
      <c r="D1728" s="10" t="str">
        <f t="shared" si="210"/>
        <v/>
      </c>
      <c r="E1728" s="11" t="str">
        <f t="shared" si="211"/>
        <v/>
      </c>
      <c r="F1728" s="12" t="str">
        <f t="shared" si="212"/>
        <v/>
      </c>
      <c r="G1728" s="13" t="str">
        <f t="shared" si="213"/>
        <v/>
      </c>
      <c r="H1728" s="13" t="str">
        <f t="shared" si="214"/>
        <v/>
      </c>
      <c r="I1728" s="14" t="str">
        <f t="shared" si="215"/>
        <v/>
      </c>
      <c r="L1728" t="str">
        <f>IFERROR(MATCH($C$5&amp;"|"&amp;RIGHT("000000"&amp;1712,6),LdgRankKeyA,0),"")</f>
        <v/>
      </c>
      <c r="M1728" t="str">
        <f>IFERROR(MATCH($C$5&amp;"|"&amp;RIGHT("000000"&amp;1712,6),LdgRankKeyB,0),"")</f>
        <v/>
      </c>
    </row>
    <row r="1729" spans="1:13" x14ac:dyDescent="0.2">
      <c r="A1729" s="3">
        <v>1713</v>
      </c>
      <c r="B1729" s="4" t="str">
        <f t="shared" si="208"/>
        <v/>
      </c>
      <c r="C1729" s="4" t="str">
        <f t="shared" si="209"/>
        <v/>
      </c>
      <c r="D1729" s="4" t="str">
        <f t="shared" si="210"/>
        <v/>
      </c>
      <c r="E1729" s="5" t="str">
        <f t="shared" si="211"/>
        <v/>
      </c>
      <c r="F1729" s="6" t="str">
        <f t="shared" si="212"/>
        <v/>
      </c>
      <c r="G1729" s="7" t="str">
        <f t="shared" si="213"/>
        <v/>
      </c>
      <c r="H1729" s="7" t="str">
        <f t="shared" si="214"/>
        <v/>
      </c>
      <c r="I1729" s="8" t="str">
        <f t="shared" si="215"/>
        <v/>
      </c>
      <c r="L1729" t="str">
        <f>IFERROR(MATCH($C$5&amp;"|"&amp;RIGHT("000000"&amp;1713,6),LdgRankKeyA,0),"")</f>
        <v/>
      </c>
      <c r="M1729" t="str">
        <f>IFERROR(MATCH($C$5&amp;"|"&amp;RIGHT("000000"&amp;1713,6),LdgRankKeyB,0),"")</f>
        <v/>
      </c>
    </row>
    <row r="1730" spans="1:13" x14ac:dyDescent="0.2">
      <c r="A1730" s="9">
        <v>1714</v>
      </c>
      <c r="B1730" s="10" t="str">
        <f t="shared" si="208"/>
        <v/>
      </c>
      <c r="C1730" s="10" t="str">
        <f t="shared" si="209"/>
        <v/>
      </c>
      <c r="D1730" s="10" t="str">
        <f t="shared" si="210"/>
        <v/>
      </c>
      <c r="E1730" s="11" t="str">
        <f t="shared" si="211"/>
        <v/>
      </c>
      <c r="F1730" s="12" t="str">
        <f t="shared" si="212"/>
        <v/>
      </c>
      <c r="G1730" s="13" t="str">
        <f t="shared" si="213"/>
        <v/>
      </c>
      <c r="H1730" s="13" t="str">
        <f t="shared" si="214"/>
        <v/>
      </c>
      <c r="I1730" s="14" t="str">
        <f t="shared" si="215"/>
        <v/>
      </c>
      <c r="L1730" t="str">
        <f>IFERROR(MATCH($C$5&amp;"|"&amp;RIGHT("000000"&amp;1714,6),LdgRankKeyA,0),"")</f>
        <v/>
      </c>
      <c r="M1730" t="str">
        <f>IFERROR(MATCH($C$5&amp;"|"&amp;RIGHT("000000"&amp;1714,6),LdgRankKeyB,0),"")</f>
        <v/>
      </c>
    </row>
    <row r="1731" spans="1:13" x14ac:dyDescent="0.2">
      <c r="A1731" s="3">
        <v>1715</v>
      </c>
      <c r="B1731" s="4" t="str">
        <f t="shared" si="208"/>
        <v/>
      </c>
      <c r="C1731" s="4" t="str">
        <f t="shared" si="209"/>
        <v/>
      </c>
      <c r="D1731" s="4" t="str">
        <f t="shared" si="210"/>
        <v/>
      </c>
      <c r="E1731" s="5" t="str">
        <f t="shared" si="211"/>
        <v/>
      </c>
      <c r="F1731" s="6" t="str">
        <f t="shared" si="212"/>
        <v/>
      </c>
      <c r="G1731" s="7" t="str">
        <f t="shared" si="213"/>
        <v/>
      </c>
      <c r="H1731" s="7" t="str">
        <f t="shared" si="214"/>
        <v/>
      </c>
      <c r="I1731" s="8" t="str">
        <f t="shared" si="215"/>
        <v/>
      </c>
      <c r="L1731" t="str">
        <f>IFERROR(MATCH($C$5&amp;"|"&amp;RIGHT("000000"&amp;1715,6),LdgRankKeyA,0),"")</f>
        <v/>
      </c>
      <c r="M1731" t="str">
        <f>IFERROR(MATCH($C$5&amp;"|"&amp;RIGHT("000000"&amp;1715,6),LdgRankKeyB,0),"")</f>
        <v/>
      </c>
    </row>
    <row r="1732" spans="1:13" x14ac:dyDescent="0.2">
      <c r="A1732" s="9">
        <v>1716</v>
      </c>
      <c r="B1732" s="10" t="str">
        <f t="shared" si="208"/>
        <v/>
      </c>
      <c r="C1732" s="10" t="str">
        <f t="shared" si="209"/>
        <v/>
      </c>
      <c r="D1732" s="10" t="str">
        <f t="shared" si="210"/>
        <v/>
      </c>
      <c r="E1732" s="11" t="str">
        <f t="shared" si="211"/>
        <v/>
      </c>
      <c r="F1732" s="12" t="str">
        <f t="shared" si="212"/>
        <v/>
      </c>
      <c r="G1732" s="13" t="str">
        <f t="shared" si="213"/>
        <v/>
      </c>
      <c r="H1732" s="13" t="str">
        <f t="shared" si="214"/>
        <v/>
      </c>
      <c r="I1732" s="14" t="str">
        <f t="shared" si="215"/>
        <v/>
      </c>
      <c r="L1732" t="str">
        <f>IFERROR(MATCH($C$5&amp;"|"&amp;RIGHT("000000"&amp;1716,6),LdgRankKeyA,0),"")</f>
        <v/>
      </c>
      <c r="M1732" t="str">
        <f>IFERROR(MATCH($C$5&amp;"|"&amp;RIGHT("000000"&amp;1716,6),LdgRankKeyB,0),"")</f>
        <v/>
      </c>
    </row>
    <row r="1733" spans="1:13" x14ac:dyDescent="0.2">
      <c r="A1733" s="3">
        <v>1717</v>
      </c>
      <c r="B1733" s="4" t="str">
        <f t="shared" si="208"/>
        <v/>
      </c>
      <c r="C1733" s="4" t="str">
        <f t="shared" si="209"/>
        <v/>
      </c>
      <c r="D1733" s="4" t="str">
        <f t="shared" si="210"/>
        <v/>
      </c>
      <c r="E1733" s="5" t="str">
        <f t="shared" si="211"/>
        <v/>
      </c>
      <c r="F1733" s="6" t="str">
        <f t="shared" si="212"/>
        <v/>
      </c>
      <c r="G1733" s="7" t="str">
        <f t="shared" si="213"/>
        <v/>
      </c>
      <c r="H1733" s="7" t="str">
        <f t="shared" si="214"/>
        <v/>
      </c>
      <c r="I1733" s="8" t="str">
        <f t="shared" si="215"/>
        <v/>
      </c>
      <c r="L1733" t="str">
        <f>IFERROR(MATCH($C$5&amp;"|"&amp;RIGHT("000000"&amp;1717,6),LdgRankKeyA,0),"")</f>
        <v/>
      </c>
      <c r="M1733" t="str">
        <f>IFERROR(MATCH($C$5&amp;"|"&amp;RIGHT("000000"&amp;1717,6),LdgRankKeyB,0),"")</f>
        <v/>
      </c>
    </row>
    <row r="1734" spans="1:13" x14ac:dyDescent="0.2">
      <c r="A1734" s="9">
        <v>1718</v>
      </c>
      <c r="B1734" s="10" t="str">
        <f t="shared" si="208"/>
        <v/>
      </c>
      <c r="C1734" s="10" t="str">
        <f t="shared" si="209"/>
        <v/>
      </c>
      <c r="D1734" s="10" t="str">
        <f t="shared" si="210"/>
        <v/>
      </c>
      <c r="E1734" s="11" t="str">
        <f t="shared" si="211"/>
        <v/>
      </c>
      <c r="F1734" s="12" t="str">
        <f t="shared" si="212"/>
        <v/>
      </c>
      <c r="G1734" s="13" t="str">
        <f t="shared" si="213"/>
        <v/>
      </c>
      <c r="H1734" s="13" t="str">
        <f t="shared" si="214"/>
        <v/>
      </c>
      <c r="I1734" s="14" t="str">
        <f t="shared" si="215"/>
        <v/>
      </c>
      <c r="L1734" t="str">
        <f>IFERROR(MATCH($C$5&amp;"|"&amp;RIGHT("000000"&amp;1718,6),LdgRankKeyA,0),"")</f>
        <v/>
      </c>
      <c r="M1734" t="str">
        <f>IFERROR(MATCH($C$5&amp;"|"&amp;RIGHT("000000"&amp;1718,6),LdgRankKeyB,0),"")</f>
        <v/>
      </c>
    </row>
    <row r="1735" spans="1:13" x14ac:dyDescent="0.2">
      <c r="A1735" s="3">
        <v>1719</v>
      </c>
      <c r="B1735" s="4" t="str">
        <f t="shared" si="208"/>
        <v/>
      </c>
      <c r="C1735" s="4" t="str">
        <f t="shared" si="209"/>
        <v/>
      </c>
      <c r="D1735" s="4" t="str">
        <f t="shared" si="210"/>
        <v/>
      </c>
      <c r="E1735" s="5" t="str">
        <f t="shared" si="211"/>
        <v/>
      </c>
      <c r="F1735" s="6" t="str">
        <f t="shared" si="212"/>
        <v/>
      </c>
      <c r="G1735" s="7" t="str">
        <f t="shared" si="213"/>
        <v/>
      </c>
      <c r="H1735" s="7" t="str">
        <f t="shared" si="214"/>
        <v/>
      </c>
      <c r="I1735" s="8" t="str">
        <f t="shared" si="215"/>
        <v/>
      </c>
      <c r="L1735" t="str">
        <f>IFERROR(MATCH($C$5&amp;"|"&amp;RIGHT("000000"&amp;1719,6),LdgRankKeyA,0),"")</f>
        <v/>
      </c>
      <c r="M1735" t="str">
        <f>IFERROR(MATCH($C$5&amp;"|"&amp;RIGHT("000000"&amp;1719,6),LdgRankKeyB,0),"")</f>
        <v/>
      </c>
    </row>
    <row r="1736" spans="1:13" x14ac:dyDescent="0.2">
      <c r="A1736" s="9">
        <v>1720</v>
      </c>
      <c r="B1736" s="10" t="str">
        <f t="shared" si="208"/>
        <v/>
      </c>
      <c r="C1736" s="10" t="str">
        <f t="shared" si="209"/>
        <v/>
      </c>
      <c r="D1736" s="10" t="str">
        <f t="shared" si="210"/>
        <v/>
      </c>
      <c r="E1736" s="11" t="str">
        <f t="shared" si="211"/>
        <v/>
      </c>
      <c r="F1736" s="12" t="str">
        <f t="shared" si="212"/>
        <v/>
      </c>
      <c r="G1736" s="13" t="str">
        <f t="shared" si="213"/>
        <v/>
      </c>
      <c r="H1736" s="13" t="str">
        <f t="shared" si="214"/>
        <v/>
      </c>
      <c r="I1736" s="14" t="str">
        <f t="shared" si="215"/>
        <v/>
      </c>
      <c r="L1736" t="str">
        <f>IFERROR(MATCH($C$5&amp;"|"&amp;RIGHT("000000"&amp;1720,6),LdgRankKeyA,0),"")</f>
        <v/>
      </c>
      <c r="M1736" t="str">
        <f>IFERROR(MATCH($C$5&amp;"|"&amp;RIGHT("000000"&amp;1720,6),LdgRankKeyB,0),"")</f>
        <v/>
      </c>
    </row>
    <row r="1737" spans="1:13" x14ac:dyDescent="0.2">
      <c r="A1737" s="3">
        <v>1721</v>
      </c>
      <c r="B1737" s="4" t="str">
        <f t="shared" si="208"/>
        <v/>
      </c>
      <c r="C1737" s="4" t="str">
        <f t="shared" si="209"/>
        <v/>
      </c>
      <c r="D1737" s="4" t="str">
        <f t="shared" si="210"/>
        <v/>
      </c>
      <c r="E1737" s="5" t="str">
        <f t="shared" si="211"/>
        <v/>
      </c>
      <c r="F1737" s="6" t="str">
        <f t="shared" si="212"/>
        <v/>
      </c>
      <c r="G1737" s="7" t="str">
        <f t="shared" si="213"/>
        <v/>
      </c>
      <c r="H1737" s="7" t="str">
        <f t="shared" si="214"/>
        <v/>
      </c>
      <c r="I1737" s="8" t="str">
        <f t="shared" si="215"/>
        <v/>
      </c>
      <c r="L1737" t="str">
        <f>IFERROR(MATCH($C$5&amp;"|"&amp;RIGHT("000000"&amp;1721,6),LdgRankKeyA,0),"")</f>
        <v/>
      </c>
      <c r="M1737" t="str">
        <f>IFERROR(MATCH($C$5&amp;"|"&amp;RIGHT("000000"&amp;1721,6),LdgRankKeyB,0),"")</f>
        <v/>
      </c>
    </row>
    <row r="1738" spans="1:13" x14ac:dyDescent="0.2">
      <c r="A1738" s="9">
        <v>1722</v>
      </c>
      <c r="B1738" s="10" t="str">
        <f t="shared" si="208"/>
        <v/>
      </c>
      <c r="C1738" s="10" t="str">
        <f t="shared" si="209"/>
        <v/>
      </c>
      <c r="D1738" s="10" t="str">
        <f t="shared" si="210"/>
        <v/>
      </c>
      <c r="E1738" s="11" t="str">
        <f t="shared" si="211"/>
        <v/>
      </c>
      <c r="F1738" s="12" t="str">
        <f t="shared" si="212"/>
        <v/>
      </c>
      <c r="G1738" s="13" t="str">
        <f t="shared" si="213"/>
        <v/>
      </c>
      <c r="H1738" s="13" t="str">
        <f t="shared" si="214"/>
        <v/>
      </c>
      <c r="I1738" s="14" t="str">
        <f t="shared" si="215"/>
        <v/>
      </c>
      <c r="L1738" t="str">
        <f>IFERROR(MATCH($C$5&amp;"|"&amp;RIGHT("000000"&amp;1722,6),LdgRankKeyA,0),"")</f>
        <v/>
      </c>
      <c r="M1738" t="str">
        <f>IFERROR(MATCH($C$5&amp;"|"&amp;RIGHT("000000"&amp;1722,6),LdgRankKeyB,0),"")</f>
        <v/>
      </c>
    </row>
    <row r="1739" spans="1:13" x14ac:dyDescent="0.2">
      <c r="A1739" s="3">
        <v>1723</v>
      </c>
      <c r="B1739" s="4" t="str">
        <f t="shared" si="208"/>
        <v/>
      </c>
      <c r="C1739" s="4" t="str">
        <f t="shared" si="209"/>
        <v/>
      </c>
      <c r="D1739" s="4" t="str">
        <f t="shared" si="210"/>
        <v/>
      </c>
      <c r="E1739" s="5" t="str">
        <f t="shared" si="211"/>
        <v/>
      </c>
      <c r="F1739" s="6" t="str">
        <f t="shared" si="212"/>
        <v/>
      </c>
      <c r="G1739" s="7" t="str">
        <f t="shared" si="213"/>
        <v/>
      </c>
      <c r="H1739" s="7" t="str">
        <f t="shared" si="214"/>
        <v/>
      </c>
      <c r="I1739" s="8" t="str">
        <f t="shared" si="215"/>
        <v/>
      </c>
      <c r="L1739" t="str">
        <f>IFERROR(MATCH($C$5&amp;"|"&amp;RIGHT("000000"&amp;1723,6),LdgRankKeyA,0),"")</f>
        <v/>
      </c>
      <c r="M1739" t="str">
        <f>IFERROR(MATCH($C$5&amp;"|"&amp;RIGHT("000000"&amp;1723,6),LdgRankKeyB,0),"")</f>
        <v/>
      </c>
    </row>
    <row r="1740" spans="1:13" x14ac:dyDescent="0.2">
      <c r="A1740" s="9">
        <v>1724</v>
      </c>
      <c r="B1740" s="10" t="str">
        <f t="shared" si="208"/>
        <v/>
      </c>
      <c r="C1740" s="10" t="str">
        <f t="shared" si="209"/>
        <v/>
      </c>
      <c r="D1740" s="10" t="str">
        <f t="shared" si="210"/>
        <v/>
      </c>
      <c r="E1740" s="11" t="str">
        <f t="shared" si="211"/>
        <v/>
      </c>
      <c r="F1740" s="12" t="str">
        <f t="shared" si="212"/>
        <v/>
      </c>
      <c r="G1740" s="13" t="str">
        <f t="shared" si="213"/>
        <v/>
      </c>
      <c r="H1740" s="13" t="str">
        <f t="shared" si="214"/>
        <v/>
      </c>
      <c r="I1740" s="14" t="str">
        <f t="shared" si="215"/>
        <v/>
      </c>
      <c r="L1740" t="str">
        <f>IFERROR(MATCH($C$5&amp;"|"&amp;RIGHT("000000"&amp;1724,6),LdgRankKeyA,0),"")</f>
        <v/>
      </c>
      <c r="M1740" t="str">
        <f>IFERROR(MATCH($C$5&amp;"|"&amp;RIGHT("000000"&amp;1724,6),LdgRankKeyB,0),"")</f>
        <v/>
      </c>
    </row>
    <row r="1741" spans="1:13" x14ac:dyDescent="0.2">
      <c r="A1741" s="3">
        <v>1725</v>
      </c>
      <c r="B1741" s="4" t="str">
        <f t="shared" si="208"/>
        <v/>
      </c>
      <c r="C1741" s="4" t="str">
        <f t="shared" si="209"/>
        <v/>
      </c>
      <c r="D1741" s="4" t="str">
        <f t="shared" si="210"/>
        <v/>
      </c>
      <c r="E1741" s="5" t="str">
        <f t="shared" si="211"/>
        <v/>
      </c>
      <c r="F1741" s="6" t="str">
        <f t="shared" si="212"/>
        <v/>
      </c>
      <c r="G1741" s="7" t="str">
        <f t="shared" si="213"/>
        <v/>
      </c>
      <c r="H1741" s="7" t="str">
        <f t="shared" si="214"/>
        <v/>
      </c>
      <c r="I1741" s="8" t="str">
        <f t="shared" si="215"/>
        <v/>
      </c>
      <c r="L1741" t="str">
        <f>IFERROR(MATCH($C$5&amp;"|"&amp;RIGHT("000000"&amp;1725,6),LdgRankKeyA,0),"")</f>
        <v/>
      </c>
      <c r="M1741" t="str">
        <f>IFERROR(MATCH($C$5&amp;"|"&amp;RIGHT("000000"&amp;1725,6),LdgRankKeyB,0),"")</f>
        <v/>
      </c>
    </row>
    <row r="1742" spans="1:13" x14ac:dyDescent="0.2">
      <c r="A1742" s="9">
        <v>1726</v>
      </c>
      <c r="B1742" s="10" t="str">
        <f t="shared" si="208"/>
        <v/>
      </c>
      <c r="C1742" s="10" t="str">
        <f t="shared" si="209"/>
        <v/>
      </c>
      <c r="D1742" s="10" t="str">
        <f t="shared" si="210"/>
        <v/>
      </c>
      <c r="E1742" s="11" t="str">
        <f t="shared" si="211"/>
        <v/>
      </c>
      <c r="F1742" s="12" t="str">
        <f t="shared" si="212"/>
        <v/>
      </c>
      <c r="G1742" s="13" t="str">
        <f t="shared" si="213"/>
        <v/>
      </c>
      <c r="H1742" s="13" t="str">
        <f t="shared" si="214"/>
        <v/>
      </c>
      <c r="I1742" s="14" t="str">
        <f t="shared" si="215"/>
        <v/>
      </c>
      <c r="L1742" t="str">
        <f>IFERROR(MATCH($C$5&amp;"|"&amp;RIGHT("000000"&amp;1726,6),LdgRankKeyA,0),"")</f>
        <v/>
      </c>
      <c r="M1742" t="str">
        <f>IFERROR(MATCH($C$5&amp;"|"&amp;RIGHT("000000"&amp;1726,6),LdgRankKeyB,0),"")</f>
        <v/>
      </c>
    </row>
    <row r="1743" spans="1:13" x14ac:dyDescent="0.2">
      <c r="A1743" s="3">
        <v>1727</v>
      </c>
      <c r="B1743" s="4" t="str">
        <f t="shared" si="208"/>
        <v/>
      </c>
      <c r="C1743" s="4" t="str">
        <f t="shared" si="209"/>
        <v/>
      </c>
      <c r="D1743" s="4" t="str">
        <f t="shared" si="210"/>
        <v/>
      </c>
      <c r="E1743" s="5" t="str">
        <f t="shared" si="211"/>
        <v/>
      </c>
      <c r="F1743" s="6" t="str">
        <f t="shared" si="212"/>
        <v/>
      </c>
      <c r="G1743" s="7" t="str">
        <f t="shared" si="213"/>
        <v/>
      </c>
      <c r="H1743" s="7" t="str">
        <f t="shared" si="214"/>
        <v/>
      </c>
      <c r="I1743" s="8" t="str">
        <f t="shared" si="215"/>
        <v/>
      </c>
      <c r="L1743" t="str">
        <f>IFERROR(MATCH($C$5&amp;"|"&amp;RIGHT("000000"&amp;1727,6),LdgRankKeyA,0),"")</f>
        <v/>
      </c>
      <c r="M1743" t="str">
        <f>IFERROR(MATCH($C$5&amp;"|"&amp;RIGHT("000000"&amp;1727,6),LdgRankKeyB,0),"")</f>
        <v/>
      </c>
    </row>
    <row r="1744" spans="1:13" x14ac:dyDescent="0.2">
      <c r="A1744" s="9">
        <v>1728</v>
      </c>
      <c r="B1744" s="10" t="str">
        <f t="shared" si="208"/>
        <v/>
      </c>
      <c r="C1744" s="10" t="str">
        <f t="shared" si="209"/>
        <v/>
      </c>
      <c r="D1744" s="10" t="str">
        <f t="shared" si="210"/>
        <v/>
      </c>
      <c r="E1744" s="11" t="str">
        <f t="shared" si="211"/>
        <v/>
      </c>
      <c r="F1744" s="12" t="str">
        <f t="shared" si="212"/>
        <v/>
      </c>
      <c r="G1744" s="13" t="str">
        <f t="shared" si="213"/>
        <v/>
      </c>
      <c r="H1744" s="13" t="str">
        <f t="shared" si="214"/>
        <v/>
      </c>
      <c r="I1744" s="14" t="str">
        <f t="shared" si="215"/>
        <v/>
      </c>
      <c r="L1744" t="str">
        <f>IFERROR(MATCH($C$5&amp;"|"&amp;RIGHT("000000"&amp;1728,6),LdgRankKeyA,0),"")</f>
        <v/>
      </c>
      <c r="M1744" t="str">
        <f>IFERROR(MATCH($C$5&amp;"|"&amp;RIGHT("000000"&amp;1728,6),LdgRankKeyB,0),"")</f>
        <v/>
      </c>
    </row>
    <row r="1745" spans="1:13" x14ac:dyDescent="0.2">
      <c r="A1745" s="3">
        <v>1729</v>
      </c>
      <c r="B1745" s="4" t="str">
        <f t="shared" ref="B1745:B1808" si="216">IF(AND($L1745="",$M1745=""),"",IF($L1745&lt;&gt;"",INDEX(SCNormDate,$L1745),INDEX(LdgDateB,$M1745)))</f>
        <v/>
      </c>
      <c r="C1745" s="4" t="str">
        <f t="shared" ref="C1745:C1808" si="217">IF($L1745&lt;&gt;"",INDEX(SCOp,$L1745),IF($M1745&lt;&gt;"","پرداخت بانکی",""))</f>
        <v/>
      </c>
      <c r="D1745" s="4" t="str">
        <f t="shared" ref="D1745:D1808" si="218">IF($L1745&lt;&gt;"",IF(INDEX(SCDoc,$L1745)="","—",INDEX(SCDoc,$L1745)),IF($M1745&lt;&gt;"",INDEX(LdgBankB,$M1745),""))</f>
        <v/>
      </c>
      <c r="E1745" s="5" t="str">
        <f t="shared" ref="E1745:E1808" si="219">IF($L1745&lt;&gt;"",IF(INDEX(SCCitrus,$L1745)&amp;INDEX(SCNotes,$L1745)="","",IF(INDEX(SCCitrus,$L1745)="","",INDEX(SCCitrus,$L1745))&amp;IF(INDEX(SCNotes,$L1745)="",""," — "&amp;INDEX(SCNotes,$L1745))),IF($M1745&lt;&gt;"",IF(INDEX(LdgNoteB,$M1745)="","—",INDEX(LdgNoteB,$M1745)),""))</f>
        <v/>
      </c>
      <c r="F1745" s="6" t="str">
        <f t="shared" ref="F1745:F1808" si="220">IF($L1745&lt;&gt;"",IF(INDEX(SCNet,$L1745)=0,"",INDEX(SCNet,$L1745)),"")</f>
        <v/>
      </c>
      <c r="G1745" s="7" t="str">
        <f t="shared" ref="G1745:G1808" si="221">IF($L1745&lt;&gt;"",IF(INDEX(SCOp,$L1745)="مرجوعی فروش","",IF(INDEX(SCAmount,$L1745)&lt;=0,"",INDEX(SCAmount,$L1745))),IF($M1745&lt;&gt;"",IF(INDEX(LdgWitB,$M1745)=0,"",INDEX(LdgWitB,$M1745)),""))</f>
        <v/>
      </c>
      <c r="H1745" s="7" t="str">
        <f t="shared" ref="H1745:H1808" si="222">IF($L1745&lt;&gt;"",IF(INDEX(SCOp,$L1745)="مرجوعی فروش",IF(INDEX(SCAmount,$L1745)=0,"",-INDEX(SCAmount,$L1745)),""),IF($M1745&lt;&gt;"",IF(INDEX(LdgDepB,$M1745)=0,"",INDEX(LdgDepB,$M1745)),""))</f>
        <v/>
      </c>
      <c r="I1745" s="8" t="str">
        <f t="shared" si="215"/>
        <v/>
      </c>
      <c r="L1745" t="str">
        <f>IFERROR(MATCH($C$5&amp;"|"&amp;RIGHT("000000"&amp;1729,6),LdgRankKeyA,0),"")</f>
        <v/>
      </c>
      <c r="M1745" t="str">
        <f>IFERROR(MATCH($C$5&amp;"|"&amp;RIGHT("000000"&amp;1729,6),LdgRankKeyB,0),"")</f>
        <v/>
      </c>
    </row>
    <row r="1746" spans="1:13" x14ac:dyDescent="0.2">
      <c r="A1746" s="9">
        <v>1730</v>
      </c>
      <c r="B1746" s="10" t="str">
        <f t="shared" si="216"/>
        <v/>
      </c>
      <c r="C1746" s="10" t="str">
        <f t="shared" si="217"/>
        <v/>
      </c>
      <c r="D1746" s="10" t="str">
        <f t="shared" si="218"/>
        <v/>
      </c>
      <c r="E1746" s="11" t="str">
        <f t="shared" si="219"/>
        <v/>
      </c>
      <c r="F1746" s="12" t="str">
        <f t="shared" si="220"/>
        <v/>
      </c>
      <c r="G1746" s="13" t="str">
        <f t="shared" si="221"/>
        <v/>
      </c>
      <c r="H1746" s="13" t="str">
        <f t="shared" si="222"/>
        <v/>
      </c>
      <c r="I1746" s="14" t="str">
        <f t="shared" ref="I1746:I1809" si="223">IF($B1746="","",IF($I1745="",$C$10,$I1745)+IF($G1746="",0,$G1746)-IF($H1746="",0,$H1746))</f>
        <v/>
      </c>
      <c r="L1746" t="str">
        <f>IFERROR(MATCH($C$5&amp;"|"&amp;RIGHT("000000"&amp;1730,6),LdgRankKeyA,0),"")</f>
        <v/>
      </c>
      <c r="M1746" t="str">
        <f>IFERROR(MATCH($C$5&amp;"|"&amp;RIGHT("000000"&amp;1730,6),LdgRankKeyB,0),"")</f>
        <v/>
      </c>
    </row>
    <row r="1747" spans="1:13" x14ac:dyDescent="0.2">
      <c r="A1747" s="3">
        <v>1731</v>
      </c>
      <c r="B1747" s="4" t="str">
        <f t="shared" si="216"/>
        <v/>
      </c>
      <c r="C1747" s="4" t="str">
        <f t="shared" si="217"/>
        <v/>
      </c>
      <c r="D1747" s="4" t="str">
        <f t="shared" si="218"/>
        <v/>
      </c>
      <c r="E1747" s="5" t="str">
        <f t="shared" si="219"/>
        <v/>
      </c>
      <c r="F1747" s="6" t="str">
        <f t="shared" si="220"/>
        <v/>
      </c>
      <c r="G1747" s="7" t="str">
        <f t="shared" si="221"/>
        <v/>
      </c>
      <c r="H1747" s="7" t="str">
        <f t="shared" si="222"/>
        <v/>
      </c>
      <c r="I1747" s="8" t="str">
        <f t="shared" si="223"/>
        <v/>
      </c>
      <c r="L1747" t="str">
        <f>IFERROR(MATCH($C$5&amp;"|"&amp;RIGHT("000000"&amp;1731,6),LdgRankKeyA,0),"")</f>
        <v/>
      </c>
      <c r="M1747" t="str">
        <f>IFERROR(MATCH($C$5&amp;"|"&amp;RIGHT("000000"&amp;1731,6),LdgRankKeyB,0),"")</f>
        <v/>
      </c>
    </row>
    <row r="1748" spans="1:13" x14ac:dyDescent="0.2">
      <c r="A1748" s="9">
        <v>1732</v>
      </c>
      <c r="B1748" s="10" t="str">
        <f t="shared" si="216"/>
        <v/>
      </c>
      <c r="C1748" s="10" t="str">
        <f t="shared" si="217"/>
        <v/>
      </c>
      <c r="D1748" s="10" t="str">
        <f t="shared" si="218"/>
        <v/>
      </c>
      <c r="E1748" s="11" t="str">
        <f t="shared" si="219"/>
        <v/>
      </c>
      <c r="F1748" s="12" t="str">
        <f t="shared" si="220"/>
        <v/>
      </c>
      <c r="G1748" s="13" t="str">
        <f t="shared" si="221"/>
        <v/>
      </c>
      <c r="H1748" s="13" t="str">
        <f t="shared" si="222"/>
        <v/>
      </c>
      <c r="I1748" s="14" t="str">
        <f t="shared" si="223"/>
        <v/>
      </c>
      <c r="L1748" t="str">
        <f>IFERROR(MATCH($C$5&amp;"|"&amp;RIGHT("000000"&amp;1732,6),LdgRankKeyA,0),"")</f>
        <v/>
      </c>
      <c r="M1748" t="str">
        <f>IFERROR(MATCH($C$5&amp;"|"&amp;RIGHT("000000"&amp;1732,6),LdgRankKeyB,0),"")</f>
        <v/>
      </c>
    </row>
    <row r="1749" spans="1:13" x14ac:dyDescent="0.2">
      <c r="A1749" s="3">
        <v>1733</v>
      </c>
      <c r="B1749" s="4" t="str">
        <f t="shared" si="216"/>
        <v/>
      </c>
      <c r="C1749" s="4" t="str">
        <f t="shared" si="217"/>
        <v/>
      </c>
      <c r="D1749" s="4" t="str">
        <f t="shared" si="218"/>
        <v/>
      </c>
      <c r="E1749" s="5" t="str">
        <f t="shared" si="219"/>
        <v/>
      </c>
      <c r="F1749" s="6" t="str">
        <f t="shared" si="220"/>
        <v/>
      </c>
      <c r="G1749" s="7" t="str">
        <f t="shared" si="221"/>
        <v/>
      </c>
      <c r="H1749" s="7" t="str">
        <f t="shared" si="222"/>
        <v/>
      </c>
      <c r="I1749" s="8" t="str">
        <f t="shared" si="223"/>
        <v/>
      </c>
      <c r="L1749" t="str">
        <f>IFERROR(MATCH($C$5&amp;"|"&amp;RIGHT("000000"&amp;1733,6),LdgRankKeyA,0),"")</f>
        <v/>
      </c>
      <c r="M1749" t="str">
        <f>IFERROR(MATCH($C$5&amp;"|"&amp;RIGHT("000000"&amp;1733,6),LdgRankKeyB,0),"")</f>
        <v/>
      </c>
    </row>
    <row r="1750" spans="1:13" x14ac:dyDescent="0.2">
      <c r="A1750" s="9">
        <v>1734</v>
      </c>
      <c r="B1750" s="10" t="str">
        <f t="shared" si="216"/>
        <v/>
      </c>
      <c r="C1750" s="10" t="str">
        <f t="shared" si="217"/>
        <v/>
      </c>
      <c r="D1750" s="10" t="str">
        <f t="shared" si="218"/>
        <v/>
      </c>
      <c r="E1750" s="11" t="str">
        <f t="shared" si="219"/>
        <v/>
      </c>
      <c r="F1750" s="12" t="str">
        <f t="shared" si="220"/>
        <v/>
      </c>
      <c r="G1750" s="13" t="str">
        <f t="shared" si="221"/>
        <v/>
      </c>
      <c r="H1750" s="13" t="str">
        <f t="shared" si="222"/>
        <v/>
      </c>
      <c r="I1750" s="14" t="str">
        <f t="shared" si="223"/>
        <v/>
      </c>
      <c r="L1750" t="str">
        <f>IFERROR(MATCH($C$5&amp;"|"&amp;RIGHT("000000"&amp;1734,6),LdgRankKeyA,0),"")</f>
        <v/>
      </c>
      <c r="M1750" t="str">
        <f>IFERROR(MATCH($C$5&amp;"|"&amp;RIGHT("000000"&amp;1734,6),LdgRankKeyB,0),"")</f>
        <v/>
      </c>
    </row>
    <row r="1751" spans="1:13" x14ac:dyDescent="0.2">
      <c r="A1751" s="3">
        <v>1735</v>
      </c>
      <c r="B1751" s="4" t="str">
        <f t="shared" si="216"/>
        <v/>
      </c>
      <c r="C1751" s="4" t="str">
        <f t="shared" si="217"/>
        <v/>
      </c>
      <c r="D1751" s="4" t="str">
        <f t="shared" si="218"/>
        <v/>
      </c>
      <c r="E1751" s="5" t="str">
        <f t="shared" si="219"/>
        <v/>
      </c>
      <c r="F1751" s="6" t="str">
        <f t="shared" si="220"/>
        <v/>
      </c>
      <c r="G1751" s="7" t="str">
        <f t="shared" si="221"/>
        <v/>
      </c>
      <c r="H1751" s="7" t="str">
        <f t="shared" si="222"/>
        <v/>
      </c>
      <c r="I1751" s="8" t="str">
        <f t="shared" si="223"/>
        <v/>
      </c>
      <c r="L1751" t="str">
        <f>IFERROR(MATCH($C$5&amp;"|"&amp;RIGHT("000000"&amp;1735,6),LdgRankKeyA,0),"")</f>
        <v/>
      </c>
      <c r="M1751" t="str">
        <f>IFERROR(MATCH($C$5&amp;"|"&amp;RIGHT("000000"&amp;1735,6),LdgRankKeyB,0),"")</f>
        <v/>
      </c>
    </row>
    <row r="1752" spans="1:13" x14ac:dyDescent="0.2">
      <c r="A1752" s="9">
        <v>1736</v>
      </c>
      <c r="B1752" s="10" t="str">
        <f t="shared" si="216"/>
        <v/>
      </c>
      <c r="C1752" s="10" t="str">
        <f t="shared" si="217"/>
        <v/>
      </c>
      <c r="D1752" s="10" t="str">
        <f t="shared" si="218"/>
        <v/>
      </c>
      <c r="E1752" s="11" t="str">
        <f t="shared" si="219"/>
        <v/>
      </c>
      <c r="F1752" s="12" t="str">
        <f t="shared" si="220"/>
        <v/>
      </c>
      <c r="G1752" s="13" t="str">
        <f t="shared" si="221"/>
        <v/>
      </c>
      <c r="H1752" s="13" t="str">
        <f t="shared" si="222"/>
        <v/>
      </c>
      <c r="I1752" s="14" t="str">
        <f t="shared" si="223"/>
        <v/>
      </c>
      <c r="L1752" t="str">
        <f>IFERROR(MATCH($C$5&amp;"|"&amp;RIGHT("000000"&amp;1736,6),LdgRankKeyA,0),"")</f>
        <v/>
      </c>
      <c r="M1752" t="str">
        <f>IFERROR(MATCH($C$5&amp;"|"&amp;RIGHT("000000"&amp;1736,6),LdgRankKeyB,0),"")</f>
        <v/>
      </c>
    </row>
    <row r="1753" spans="1:13" x14ac:dyDescent="0.2">
      <c r="A1753" s="3">
        <v>1737</v>
      </c>
      <c r="B1753" s="4" t="str">
        <f t="shared" si="216"/>
        <v/>
      </c>
      <c r="C1753" s="4" t="str">
        <f t="shared" si="217"/>
        <v/>
      </c>
      <c r="D1753" s="4" t="str">
        <f t="shared" si="218"/>
        <v/>
      </c>
      <c r="E1753" s="5" t="str">
        <f t="shared" si="219"/>
        <v/>
      </c>
      <c r="F1753" s="6" t="str">
        <f t="shared" si="220"/>
        <v/>
      </c>
      <c r="G1753" s="7" t="str">
        <f t="shared" si="221"/>
        <v/>
      </c>
      <c r="H1753" s="7" t="str">
        <f t="shared" si="222"/>
        <v/>
      </c>
      <c r="I1753" s="8" t="str">
        <f t="shared" si="223"/>
        <v/>
      </c>
      <c r="L1753" t="str">
        <f>IFERROR(MATCH($C$5&amp;"|"&amp;RIGHT("000000"&amp;1737,6),LdgRankKeyA,0),"")</f>
        <v/>
      </c>
      <c r="M1753" t="str">
        <f>IFERROR(MATCH($C$5&amp;"|"&amp;RIGHT("000000"&amp;1737,6),LdgRankKeyB,0),"")</f>
        <v/>
      </c>
    </row>
    <row r="1754" spans="1:13" x14ac:dyDescent="0.2">
      <c r="A1754" s="9">
        <v>1738</v>
      </c>
      <c r="B1754" s="10" t="str">
        <f t="shared" si="216"/>
        <v/>
      </c>
      <c r="C1754" s="10" t="str">
        <f t="shared" si="217"/>
        <v/>
      </c>
      <c r="D1754" s="10" t="str">
        <f t="shared" si="218"/>
        <v/>
      </c>
      <c r="E1754" s="11" t="str">
        <f t="shared" si="219"/>
        <v/>
      </c>
      <c r="F1754" s="12" t="str">
        <f t="shared" si="220"/>
        <v/>
      </c>
      <c r="G1754" s="13" t="str">
        <f t="shared" si="221"/>
        <v/>
      </c>
      <c r="H1754" s="13" t="str">
        <f t="shared" si="222"/>
        <v/>
      </c>
      <c r="I1754" s="14" t="str">
        <f t="shared" si="223"/>
        <v/>
      </c>
      <c r="L1754" t="str">
        <f>IFERROR(MATCH($C$5&amp;"|"&amp;RIGHT("000000"&amp;1738,6),LdgRankKeyA,0),"")</f>
        <v/>
      </c>
      <c r="M1754" t="str">
        <f>IFERROR(MATCH($C$5&amp;"|"&amp;RIGHT("000000"&amp;1738,6),LdgRankKeyB,0),"")</f>
        <v/>
      </c>
    </row>
    <row r="1755" spans="1:13" x14ac:dyDescent="0.2">
      <c r="A1755" s="3">
        <v>1739</v>
      </c>
      <c r="B1755" s="4" t="str">
        <f t="shared" si="216"/>
        <v/>
      </c>
      <c r="C1755" s="4" t="str">
        <f t="shared" si="217"/>
        <v/>
      </c>
      <c r="D1755" s="4" t="str">
        <f t="shared" si="218"/>
        <v/>
      </c>
      <c r="E1755" s="5" t="str">
        <f t="shared" si="219"/>
        <v/>
      </c>
      <c r="F1755" s="6" t="str">
        <f t="shared" si="220"/>
        <v/>
      </c>
      <c r="G1755" s="7" t="str">
        <f t="shared" si="221"/>
        <v/>
      </c>
      <c r="H1755" s="7" t="str">
        <f t="shared" si="222"/>
        <v/>
      </c>
      <c r="I1755" s="8" t="str">
        <f t="shared" si="223"/>
        <v/>
      </c>
      <c r="L1755" t="str">
        <f>IFERROR(MATCH($C$5&amp;"|"&amp;RIGHT("000000"&amp;1739,6),LdgRankKeyA,0),"")</f>
        <v/>
      </c>
      <c r="M1755" t="str">
        <f>IFERROR(MATCH($C$5&amp;"|"&amp;RIGHT("000000"&amp;1739,6),LdgRankKeyB,0),"")</f>
        <v/>
      </c>
    </row>
    <row r="1756" spans="1:13" x14ac:dyDescent="0.2">
      <c r="A1756" s="9">
        <v>1740</v>
      </c>
      <c r="B1756" s="10" t="str">
        <f t="shared" si="216"/>
        <v/>
      </c>
      <c r="C1756" s="10" t="str">
        <f t="shared" si="217"/>
        <v/>
      </c>
      <c r="D1756" s="10" t="str">
        <f t="shared" si="218"/>
        <v/>
      </c>
      <c r="E1756" s="11" t="str">
        <f t="shared" si="219"/>
        <v/>
      </c>
      <c r="F1756" s="12" t="str">
        <f t="shared" si="220"/>
        <v/>
      </c>
      <c r="G1756" s="13" t="str">
        <f t="shared" si="221"/>
        <v/>
      </c>
      <c r="H1756" s="13" t="str">
        <f t="shared" si="222"/>
        <v/>
      </c>
      <c r="I1756" s="14" t="str">
        <f t="shared" si="223"/>
        <v/>
      </c>
      <c r="L1756" t="str">
        <f>IFERROR(MATCH($C$5&amp;"|"&amp;RIGHT("000000"&amp;1740,6),LdgRankKeyA,0),"")</f>
        <v/>
      </c>
      <c r="M1756" t="str">
        <f>IFERROR(MATCH($C$5&amp;"|"&amp;RIGHT("000000"&amp;1740,6),LdgRankKeyB,0),"")</f>
        <v/>
      </c>
    </row>
    <row r="1757" spans="1:13" x14ac:dyDescent="0.2">
      <c r="A1757" s="3">
        <v>1741</v>
      </c>
      <c r="B1757" s="4" t="str">
        <f t="shared" si="216"/>
        <v/>
      </c>
      <c r="C1757" s="4" t="str">
        <f t="shared" si="217"/>
        <v/>
      </c>
      <c r="D1757" s="4" t="str">
        <f t="shared" si="218"/>
        <v/>
      </c>
      <c r="E1757" s="5" t="str">
        <f t="shared" si="219"/>
        <v/>
      </c>
      <c r="F1757" s="6" t="str">
        <f t="shared" si="220"/>
        <v/>
      </c>
      <c r="G1757" s="7" t="str">
        <f t="shared" si="221"/>
        <v/>
      </c>
      <c r="H1757" s="7" t="str">
        <f t="shared" si="222"/>
        <v/>
      </c>
      <c r="I1757" s="8" t="str">
        <f t="shared" si="223"/>
        <v/>
      </c>
      <c r="L1757" t="str">
        <f>IFERROR(MATCH($C$5&amp;"|"&amp;RIGHT("000000"&amp;1741,6),LdgRankKeyA,0),"")</f>
        <v/>
      </c>
      <c r="M1757" t="str">
        <f>IFERROR(MATCH($C$5&amp;"|"&amp;RIGHT("000000"&amp;1741,6),LdgRankKeyB,0),"")</f>
        <v/>
      </c>
    </row>
    <row r="1758" spans="1:13" x14ac:dyDescent="0.2">
      <c r="A1758" s="9">
        <v>1742</v>
      </c>
      <c r="B1758" s="10" t="str">
        <f t="shared" si="216"/>
        <v/>
      </c>
      <c r="C1758" s="10" t="str">
        <f t="shared" si="217"/>
        <v/>
      </c>
      <c r="D1758" s="10" t="str">
        <f t="shared" si="218"/>
        <v/>
      </c>
      <c r="E1758" s="11" t="str">
        <f t="shared" si="219"/>
        <v/>
      </c>
      <c r="F1758" s="12" t="str">
        <f t="shared" si="220"/>
        <v/>
      </c>
      <c r="G1758" s="13" t="str">
        <f t="shared" si="221"/>
        <v/>
      </c>
      <c r="H1758" s="13" t="str">
        <f t="shared" si="222"/>
        <v/>
      </c>
      <c r="I1758" s="14" t="str">
        <f t="shared" si="223"/>
        <v/>
      </c>
      <c r="L1758" t="str">
        <f>IFERROR(MATCH($C$5&amp;"|"&amp;RIGHT("000000"&amp;1742,6),LdgRankKeyA,0),"")</f>
        <v/>
      </c>
      <c r="M1758" t="str">
        <f>IFERROR(MATCH($C$5&amp;"|"&amp;RIGHT("000000"&amp;1742,6),LdgRankKeyB,0),"")</f>
        <v/>
      </c>
    </row>
    <row r="1759" spans="1:13" x14ac:dyDescent="0.2">
      <c r="A1759" s="3">
        <v>1743</v>
      </c>
      <c r="B1759" s="4" t="str">
        <f t="shared" si="216"/>
        <v/>
      </c>
      <c r="C1759" s="4" t="str">
        <f t="shared" si="217"/>
        <v/>
      </c>
      <c r="D1759" s="4" t="str">
        <f t="shared" si="218"/>
        <v/>
      </c>
      <c r="E1759" s="5" t="str">
        <f t="shared" si="219"/>
        <v/>
      </c>
      <c r="F1759" s="6" t="str">
        <f t="shared" si="220"/>
        <v/>
      </c>
      <c r="G1759" s="7" t="str">
        <f t="shared" si="221"/>
        <v/>
      </c>
      <c r="H1759" s="7" t="str">
        <f t="shared" si="222"/>
        <v/>
      </c>
      <c r="I1759" s="8" t="str">
        <f t="shared" si="223"/>
        <v/>
      </c>
      <c r="L1759" t="str">
        <f>IFERROR(MATCH($C$5&amp;"|"&amp;RIGHT("000000"&amp;1743,6),LdgRankKeyA,0),"")</f>
        <v/>
      </c>
      <c r="M1759" t="str">
        <f>IFERROR(MATCH($C$5&amp;"|"&amp;RIGHT("000000"&amp;1743,6),LdgRankKeyB,0),"")</f>
        <v/>
      </c>
    </row>
    <row r="1760" spans="1:13" x14ac:dyDescent="0.2">
      <c r="A1760" s="9">
        <v>1744</v>
      </c>
      <c r="B1760" s="10" t="str">
        <f t="shared" si="216"/>
        <v/>
      </c>
      <c r="C1760" s="10" t="str">
        <f t="shared" si="217"/>
        <v/>
      </c>
      <c r="D1760" s="10" t="str">
        <f t="shared" si="218"/>
        <v/>
      </c>
      <c r="E1760" s="11" t="str">
        <f t="shared" si="219"/>
        <v/>
      </c>
      <c r="F1760" s="12" t="str">
        <f t="shared" si="220"/>
        <v/>
      </c>
      <c r="G1760" s="13" t="str">
        <f t="shared" si="221"/>
        <v/>
      </c>
      <c r="H1760" s="13" t="str">
        <f t="shared" si="222"/>
        <v/>
      </c>
      <c r="I1760" s="14" t="str">
        <f t="shared" si="223"/>
        <v/>
      </c>
      <c r="L1760" t="str">
        <f>IFERROR(MATCH($C$5&amp;"|"&amp;RIGHT("000000"&amp;1744,6),LdgRankKeyA,0),"")</f>
        <v/>
      </c>
      <c r="M1760" t="str">
        <f>IFERROR(MATCH($C$5&amp;"|"&amp;RIGHT("000000"&amp;1744,6),LdgRankKeyB,0),"")</f>
        <v/>
      </c>
    </row>
    <row r="1761" spans="1:13" x14ac:dyDescent="0.2">
      <c r="A1761" s="3">
        <v>1745</v>
      </c>
      <c r="B1761" s="4" t="str">
        <f t="shared" si="216"/>
        <v/>
      </c>
      <c r="C1761" s="4" t="str">
        <f t="shared" si="217"/>
        <v/>
      </c>
      <c r="D1761" s="4" t="str">
        <f t="shared" si="218"/>
        <v/>
      </c>
      <c r="E1761" s="5" t="str">
        <f t="shared" si="219"/>
        <v/>
      </c>
      <c r="F1761" s="6" t="str">
        <f t="shared" si="220"/>
        <v/>
      </c>
      <c r="G1761" s="7" t="str">
        <f t="shared" si="221"/>
        <v/>
      </c>
      <c r="H1761" s="7" t="str">
        <f t="shared" si="222"/>
        <v/>
      </c>
      <c r="I1761" s="8" t="str">
        <f t="shared" si="223"/>
        <v/>
      </c>
      <c r="L1761" t="str">
        <f>IFERROR(MATCH($C$5&amp;"|"&amp;RIGHT("000000"&amp;1745,6),LdgRankKeyA,0),"")</f>
        <v/>
      </c>
      <c r="M1761" t="str">
        <f>IFERROR(MATCH($C$5&amp;"|"&amp;RIGHT("000000"&amp;1745,6),LdgRankKeyB,0),"")</f>
        <v/>
      </c>
    </row>
    <row r="1762" spans="1:13" x14ac:dyDescent="0.2">
      <c r="A1762" s="9">
        <v>1746</v>
      </c>
      <c r="B1762" s="10" t="str">
        <f t="shared" si="216"/>
        <v/>
      </c>
      <c r="C1762" s="10" t="str">
        <f t="shared" si="217"/>
        <v/>
      </c>
      <c r="D1762" s="10" t="str">
        <f t="shared" si="218"/>
        <v/>
      </c>
      <c r="E1762" s="11" t="str">
        <f t="shared" si="219"/>
        <v/>
      </c>
      <c r="F1762" s="12" t="str">
        <f t="shared" si="220"/>
        <v/>
      </c>
      <c r="G1762" s="13" t="str">
        <f t="shared" si="221"/>
        <v/>
      </c>
      <c r="H1762" s="13" t="str">
        <f t="shared" si="222"/>
        <v/>
      </c>
      <c r="I1762" s="14" t="str">
        <f t="shared" si="223"/>
        <v/>
      </c>
      <c r="L1762" t="str">
        <f>IFERROR(MATCH($C$5&amp;"|"&amp;RIGHT("000000"&amp;1746,6),LdgRankKeyA,0),"")</f>
        <v/>
      </c>
      <c r="M1762" t="str">
        <f>IFERROR(MATCH($C$5&amp;"|"&amp;RIGHT("000000"&amp;1746,6),LdgRankKeyB,0),"")</f>
        <v/>
      </c>
    </row>
    <row r="1763" spans="1:13" x14ac:dyDescent="0.2">
      <c r="A1763" s="3">
        <v>1747</v>
      </c>
      <c r="B1763" s="4" t="str">
        <f t="shared" si="216"/>
        <v/>
      </c>
      <c r="C1763" s="4" t="str">
        <f t="shared" si="217"/>
        <v/>
      </c>
      <c r="D1763" s="4" t="str">
        <f t="shared" si="218"/>
        <v/>
      </c>
      <c r="E1763" s="5" t="str">
        <f t="shared" si="219"/>
        <v/>
      </c>
      <c r="F1763" s="6" t="str">
        <f t="shared" si="220"/>
        <v/>
      </c>
      <c r="G1763" s="7" t="str">
        <f t="shared" si="221"/>
        <v/>
      </c>
      <c r="H1763" s="7" t="str">
        <f t="shared" si="222"/>
        <v/>
      </c>
      <c r="I1763" s="8" t="str">
        <f t="shared" si="223"/>
        <v/>
      </c>
      <c r="L1763" t="str">
        <f>IFERROR(MATCH($C$5&amp;"|"&amp;RIGHT("000000"&amp;1747,6),LdgRankKeyA,0),"")</f>
        <v/>
      </c>
      <c r="M1763" t="str">
        <f>IFERROR(MATCH($C$5&amp;"|"&amp;RIGHT("000000"&amp;1747,6),LdgRankKeyB,0),"")</f>
        <v/>
      </c>
    </row>
    <row r="1764" spans="1:13" x14ac:dyDescent="0.2">
      <c r="A1764" s="9">
        <v>1748</v>
      </c>
      <c r="B1764" s="10" t="str">
        <f t="shared" si="216"/>
        <v/>
      </c>
      <c r="C1764" s="10" t="str">
        <f t="shared" si="217"/>
        <v/>
      </c>
      <c r="D1764" s="10" t="str">
        <f t="shared" si="218"/>
        <v/>
      </c>
      <c r="E1764" s="11" t="str">
        <f t="shared" si="219"/>
        <v/>
      </c>
      <c r="F1764" s="12" t="str">
        <f t="shared" si="220"/>
        <v/>
      </c>
      <c r="G1764" s="13" t="str">
        <f t="shared" si="221"/>
        <v/>
      </c>
      <c r="H1764" s="13" t="str">
        <f t="shared" si="222"/>
        <v/>
      </c>
      <c r="I1764" s="14" t="str">
        <f t="shared" si="223"/>
        <v/>
      </c>
      <c r="L1764" t="str">
        <f>IFERROR(MATCH($C$5&amp;"|"&amp;RIGHT("000000"&amp;1748,6),LdgRankKeyA,0),"")</f>
        <v/>
      </c>
      <c r="M1764" t="str">
        <f>IFERROR(MATCH($C$5&amp;"|"&amp;RIGHT("000000"&amp;1748,6),LdgRankKeyB,0),"")</f>
        <v/>
      </c>
    </row>
    <row r="1765" spans="1:13" x14ac:dyDescent="0.2">
      <c r="A1765" s="3">
        <v>1749</v>
      </c>
      <c r="B1765" s="4" t="str">
        <f t="shared" si="216"/>
        <v/>
      </c>
      <c r="C1765" s="4" t="str">
        <f t="shared" si="217"/>
        <v/>
      </c>
      <c r="D1765" s="4" t="str">
        <f t="shared" si="218"/>
        <v/>
      </c>
      <c r="E1765" s="5" t="str">
        <f t="shared" si="219"/>
        <v/>
      </c>
      <c r="F1765" s="6" t="str">
        <f t="shared" si="220"/>
        <v/>
      </c>
      <c r="G1765" s="7" t="str">
        <f t="shared" si="221"/>
        <v/>
      </c>
      <c r="H1765" s="7" t="str">
        <f t="shared" si="222"/>
        <v/>
      </c>
      <c r="I1765" s="8" t="str">
        <f t="shared" si="223"/>
        <v/>
      </c>
      <c r="L1765" t="str">
        <f>IFERROR(MATCH($C$5&amp;"|"&amp;RIGHT("000000"&amp;1749,6),LdgRankKeyA,0),"")</f>
        <v/>
      </c>
      <c r="M1765" t="str">
        <f>IFERROR(MATCH($C$5&amp;"|"&amp;RIGHT("000000"&amp;1749,6),LdgRankKeyB,0),"")</f>
        <v/>
      </c>
    </row>
    <row r="1766" spans="1:13" x14ac:dyDescent="0.2">
      <c r="A1766" s="9">
        <v>1750</v>
      </c>
      <c r="B1766" s="10" t="str">
        <f t="shared" si="216"/>
        <v/>
      </c>
      <c r="C1766" s="10" t="str">
        <f t="shared" si="217"/>
        <v/>
      </c>
      <c r="D1766" s="10" t="str">
        <f t="shared" si="218"/>
        <v/>
      </c>
      <c r="E1766" s="11" t="str">
        <f t="shared" si="219"/>
        <v/>
      </c>
      <c r="F1766" s="12" t="str">
        <f t="shared" si="220"/>
        <v/>
      </c>
      <c r="G1766" s="13" t="str">
        <f t="shared" si="221"/>
        <v/>
      </c>
      <c r="H1766" s="13" t="str">
        <f t="shared" si="222"/>
        <v/>
      </c>
      <c r="I1766" s="14" t="str">
        <f t="shared" si="223"/>
        <v/>
      </c>
      <c r="L1766" t="str">
        <f>IFERROR(MATCH($C$5&amp;"|"&amp;RIGHT("000000"&amp;1750,6),LdgRankKeyA,0),"")</f>
        <v/>
      </c>
      <c r="M1766" t="str">
        <f>IFERROR(MATCH($C$5&amp;"|"&amp;RIGHT("000000"&amp;1750,6),LdgRankKeyB,0),"")</f>
        <v/>
      </c>
    </row>
    <row r="1767" spans="1:13" x14ac:dyDescent="0.2">
      <c r="A1767" s="3">
        <v>1751</v>
      </c>
      <c r="B1767" s="4" t="str">
        <f t="shared" si="216"/>
        <v/>
      </c>
      <c r="C1767" s="4" t="str">
        <f t="shared" si="217"/>
        <v/>
      </c>
      <c r="D1767" s="4" t="str">
        <f t="shared" si="218"/>
        <v/>
      </c>
      <c r="E1767" s="5" t="str">
        <f t="shared" si="219"/>
        <v/>
      </c>
      <c r="F1767" s="6" t="str">
        <f t="shared" si="220"/>
        <v/>
      </c>
      <c r="G1767" s="7" t="str">
        <f t="shared" si="221"/>
        <v/>
      </c>
      <c r="H1767" s="7" t="str">
        <f t="shared" si="222"/>
        <v/>
      </c>
      <c r="I1767" s="8" t="str">
        <f t="shared" si="223"/>
        <v/>
      </c>
      <c r="L1767" t="str">
        <f>IFERROR(MATCH($C$5&amp;"|"&amp;RIGHT("000000"&amp;1751,6),LdgRankKeyA,0),"")</f>
        <v/>
      </c>
      <c r="M1767" t="str">
        <f>IFERROR(MATCH($C$5&amp;"|"&amp;RIGHT("000000"&amp;1751,6),LdgRankKeyB,0),"")</f>
        <v/>
      </c>
    </row>
    <row r="1768" spans="1:13" x14ac:dyDescent="0.2">
      <c r="A1768" s="9">
        <v>1752</v>
      </c>
      <c r="B1768" s="10" t="str">
        <f t="shared" si="216"/>
        <v/>
      </c>
      <c r="C1768" s="10" t="str">
        <f t="shared" si="217"/>
        <v/>
      </c>
      <c r="D1768" s="10" t="str">
        <f t="shared" si="218"/>
        <v/>
      </c>
      <c r="E1768" s="11" t="str">
        <f t="shared" si="219"/>
        <v/>
      </c>
      <c r="F1768" s="12" t="str">
        <f t="shared" si="220"/>
        <v/>
      </c>
      <c r="G1768" s="13" t="str">
        <f t="shared" si="221"/>
        <v/>
      </c>
      <c r="H1768" s="13" t="str">
        <f t="shared" si="222"/>
        <v/>
      </c>
      <c r="I1768" s="14" t="str">
        <f t="shared" si="223"/>
        <v/>
      </c>
      <c r="L1768" t="str">
        <f>IFERROR(MATCH($C$5&amp;"|"&amp;RIGHT("000000"&amp;1752,6),LdgRankKeyA,0),"")</f>
        <v/>
      </c>
      <c r="M1768" t="str">
        <f>IFERROR(MATCH($C$5&amp;"|"&amp;RIGHT("000000"&amp;1752,6),LdgRankKeyB,0),"")</f>
        <v/>
      </c>
    </row>
    <row r="1769" spans="1:13" x14ac:dyDescent="0.2">
      <c r="A1769" s="3">
        <v>1753</v>
      </c>
      <c r="B1769" s="4" t="str">
        <f t="shared" si="216"/>
        <v/>
      </c>
      <c r="C1769" s="4" t="str">
        <f t="shared" si="217"/>
        <v/>
      </c>
      <c r="D1769" s="4" t="str">
        <f t="shared" si="218"/>
        <v/>
      </c>
      <c r="E1769" s="5" t="str">
        <f t="shared" si="219"/>
        <v/>
      </c>
      <c r="F1769" s="6" t="str">
        <f t="shared" si="220"/>
        <v/>
      </c>
      <c r="G1769" s="7" t="str">
        <f t="shared" si="221"/>
        <v/>
      </c>
      <c r="H1769" s="7" t="str">
        <f t="shared" si="222"/>
        <v/>
      </c>
      <c r="I1769" s="8" t="str">
        <f t="shared" si="223"/>
        <v/>
      </c>
      <c r="L1769" t="str">
        <f>IFERROR(MATCH($C$5&amp;"|"&amp;RIGHT("000000"&amp;1753,6),LdgRankKeyA,0),"")</f>
        <v/>
      </c>
      <c r="M1769" t="str">
        <f>IFERROR(MATCH($C$5&amp;"|"&amp;RIGHT("000000"&amp;1753,6),LdgRankKeyB,0),"")</f>
        <v/>
      </c>
    </row>
    <row r="1770" spans="1:13" x14ac:dyDescent="0.2">
      <c r="A1770" s="9">
        <v>1754</v>
      </c>
      <c r="B1770" s="10" t="str">
        <f t="shared" si="216"/>
        <v/>
      </c>
      <c r="C1770" s="10" t="str">
        <f t="shared" si="217"/>
        <v/>
      </c>
      <c r="D1770" s="10" t="str">
        <f t="shared" si="218"/>
        <v/>
      </c>
      <c r="E1770" s="11" t="str">
        <f t="shared" si="219"/>
        <v/>
      </c>
      <c r="F1770" s="12" t="str">
        <f t="shared" si="220"/>
        <v/>
      </c>
      <c r="G1770" s="13" t="str">
        <f t="shared" si="221"/>
        <v/>
      </c>
      <c r="H1770" s="13" t="str">
        <f t="shared" si="222"/>
        <v/>
      </c>
      <c r="I1770" s="14" t="str">
        <f t="shared" si="223"/>
        <v/>
      </c>
      <c r="L1770" t="str">
        <f>IFERROR(MATCH($C$5&amp;"|"&amp;RIGHT("000000"&amp;1754,6),LdgRankKeyA,0),"")</f>
        <v/>
      </c>
      <c r="M1770" t="str">
        <f>IFERROR(MATCH($C$5&amp;"|"&amp;RIGHT("000000"&amp;1754,6),LdgRankKeyB,0),"")</f>
        <v/>
      </c>
    </row>
    <row r="1771" spans="1:13" x14ac:dyDescent="0.2">
      <c r="A1771" s="3">
        <v>1755</v>
      </c>
      <c r="B1771" s="4" t="str">
        <f t="shared" si="216"/>
        <v/>
      </c>
      <c r="C1771" s="4" t="str">
        <f t="shared" si="217"/>
        <v/>
      </c>
      <c r="D1771" s="4" t="str">
        <f t="shared" si="218"/>
        <v/>
      </c>
      <c r="E1771" s="5" t="str">
        <f t="shared" si="219"/>
        <v/>
      </c>
      <c r="F1771" s="6" t="str">
        <f t="shared" si="220"/>
        <v/>
      </c>
      <c r="G1771" s="7" t="str">
        <f t="shared" si="221"/>
        <v/>
      </c>
      <c r="H1771" s="7" t="str">
        <f t="shared" si="222"/>
        <v/>
      </c>
      <c r="I1771" s="8" t="str">
        <f t="shared" si="223"/>
        <v/>
      </c>
      <c r="L1771" t="str">
        <f>IFERROR(MATCH($C$5&amp;"|"&amp;RIGHT("000000"&amp;1755,6),LdgRankKeyA,0),"")</f>
        <v/>
      </c>
      <c r="M1771" t="str">
        <f>IFERROR(MATCH($C$5&amp;"|"&amp;RIGHT("000000"&amp;1755,6),LdgRankKeyB,0),"")</f>
        <v/>
      </c>
    </row>
    <row r="1772" spans="1:13" x14ac:dyDescent="0.2">
      <c r="A1772" s="9">
        <v>1756</v>
      </c>
      <c r="B1772" s="10" t="str">
        <f t="shared" si="216"/>
        <v/>
      </c>
      <c r="C1772" s="10" t="str">
        <f t="shared" si="217"/>
        <v/>
      </c>
      <c r="D1772" s="10" t="str">
        <f t="shared" si="218"/>
        <v/>
      </c>
      <c r="E1772" s="11" t="str">
        <f t="shared" si="219"/>
        <v/>
      </c>
      <c r="F1772" s="12" t="str">
        <f t="shared" si="220"/>
        <v/>
      </c>
      <c r="G1772" s="13" t="str">
        <f t="shared" si="221"/>
        <v/>
      </c>
      <c r="H1772" s="13" t="str">
        <f t="shared" si="222"/>
        <v/>
      </c>
      <c r="I1772" s="14" t="str">
        <f t="shared" si="223"/>
        <v/>
      </c>
      <c r="L1772" t="str">
        <f>IFERROR(MATCH($C$5&amp;"|"&amp;RIGHT("000000"&amp;1756,6),LdgRankKeyA,0),"")</f>
        <v/>
      </c>
      <c r="M1772" t="str">
        <f>IFERROR(MATCH($C$5&amp;"|"&amp;RIGHT("000000"&amp;1756,6),LdgRankKeyB,0),"")</f>
        <v/>
      </c>
    </row>
    <row r="1773" spans="1:13" x14ac:dyDescent="0.2">
      <c r="A1773" s="3">
        <v>1757</v>
      </c>
      <c r="B1773" s="4" t="str">
        <f t="shared" si="216"/>
        <v/>
      </c>
      <c r="C1773" s="4" t="str">
        <f t="shared" si="217"/>
        <v/>
      </c>
      <c r="D1773" s="4" t="str">
        <f t="shared" si="218"/>
        <v/>
      </c>
      <c r="E1773" s="5" t="str">
        <f t="shared" si="219"/>
        <v/>
      </c>
      <c r="F1773" s="6" t="str">
        <f t="shared" si="220"/>
        <v/>
      </c>
      <c r="G1773" s="7" t="str">
        <f t="shared" si="221"/>
        <v/>
      </c>
      <c r="H1773" s="7" t="str">
        <f t="shared" si="222"/>
        <v/>
      </c>
      <c r="I1773" s="8" t="str">
        <f t="shared" si="223"/>
        <v/>
      </c>
      <c r="L1773" t="str">
        <f>IFERROR(MATCH($C$5&amp;"|"&amp;RIGHT("000000"&amp;1757,6),LdgRankKeyA,0),"")</f>
        <v/>
      </c>
      <c r="M1773" t="str">
        <f>IFERROR(MATCH($C$5&amp;"|"&amp;RIGHT("000000"&amp;1757,6),LdgRankKeyB,0),"")</f>
        <v/>
      </c>
    </row>
    <row r="1774" spans="1:13" x14ac:dyDescent="0.2">
      <c r="A1774" s="9">
        <v>1758</v>
      </c>
      <c r="B1774" s="10" t="str">
        <f t="shared" si="216"/>
        <v/>
      </c>
      <c r="C1774" s="10" t="str">
        <f t="shared" si="217"/>
        <v/>
      </c>
      <c r="D1774" s="10" t="str">
        <f t="shared" si="218"/>
        <v/>
      </c>
      <c r="E1774" s="11" t="str">
        <f t="shared" si="219"/>
        <v/>
      </c>
      <c r="F1774" s="12" t="str">
        <f t="shared" si="220"/>
        <v/>
      </c>
      <c r="G1774" s="13" t="str">
        <f t="shared" si="221"/>
        <v/>
      </c>
      <c r="H1774" s="13" t="str">
        <f t="shared" si="222"/>
        <v/>
      </c>
      <c r="I1774" s="14" t="str">
        <f t="shared" si="223"/>
        <v/>
      </c>
      <c r="L1774" t="str">
        <f>IFERROR(MATCH($C$5&amp;"|"&amp;RIGHT("000000"&amp;1758,6),LdgRankKeyA,0),"")</f>
        <v/>
      </c>
      <c r="M1774" t="str">
        <f>IFERROR(MATCH($C$5&amp;"|"&amp;RIGHT("000000"&amp;1758,6),LdgRankKeyB,0),"")</f>
        <v/>
      </c>
    </row>
    <row r="1775" spans="1:13" x14ac:dyDescent="0.2">
      <c r="A1775" s="3">
        <v>1759</v>
      </c>
      <c r="B1775" s="4" t="str">
        <f t="shared" si="216"/>
        <v/>
      </c>
      <c r="C1775" s="4" t="str">
        <f t="shared" si="217"/>
        <v/>
      </c>
      <c r="D1775" s="4" t="str">
        <f t="shared" si="218"/>
        <v/>
      </c>
      <c r="E1775" s="5" t="str">
        <f t="shared" si="219"/>
        <v/>
      </c>
      <c r="F1775" s="6" t="str">
        <f t="shared" si="220"/>
        <v/>
      </c>
      <c r="G1775" s="7" t="str">
        <f t="shared" si="221"/>
        <v/>
      </c>
      <c r="H1775" s="7" t="str">
        <f t="shared" si="222"/>
        <v/>
      </c>
      <c r="I1775" s="8" t="str">
        <f t="shared" si="223"/>
        <v/>
      </c>
      <c r="L1775" t="str">
        <f>IFERROR(MATCH($C$5&amp;"|"&amp;RIGHT("000000"&amp;1759,6),LdgRankKeyA,0),"")</f>
        <v/>
      </c>
      <c r="M1775" t="str">
        <f>IFERROR(MATCH($C$5&amp;"|"&amp;RIGHT("000000"&amp;1759,6),LdgRankKeyB,0),"")</f>
        <v/>
      </c>
    </row>
    <row r="1776" spans="1:13" x14ac:dyDescent="0.2">
      <c r="A1776" s="9">
        <v>1760</v>
      </c>
      <c r="B1776" s="10" t="str">
        <f t="shared" si="216"/>
        <v/>
      </c>
      <c r="C1776" s="10" t="str">
        <f t="shared" si="217"/>
        <v/>
      </c>
      <c r="D1776" s="10" t="str">
        <f t="shared" si="218"/>
        <v/>
      </c>
      <c r="E1776" s="11" t="str">
        <f t="shared" si="219"/>
        <v/>
      </c>
      <c r="F1776" s="12" t="str">
        <f t="shared" si="220"/>
        <v/>
      </c>
      <c r="G1776" s="13" t="str">
        <f t="shared" si="221"/>
        <v/>
      </c>
      <c r="H1776" s="13" t="str">
        <f t="shared" si="222"/>
        <v/>
      </c>
      <c r="I1776" s="14" t="str">
        <f t="shared" si="223"/>
        <v/>
      </c>
      <c r="L1776" t="str">
        <f>IFERROR(MATCH($C$5&amp;"|"&amp;RIGHT("000000"&amp;1760,6),LdgRankKeyA,0),"")</f>
        <v/>
      </c>
      <c r="M1776" t="str">
        <f>IFERROR(MATCH($C$5&amp;"|"&amp;RIGHT("000000"&amp;1760,6),LdgRankKeyB,0),"")</f>
        <v/>
      </c>
    </row>
    <row r="1777" spans="1:13" x14ac:dyDescent="0.2">
      <c r="A1777" s="3">
        <v>1761</v>
      </c>
      <c r="B1777" s="4" t="str">
        <f t="shared" si="216"/>
        <v/>
      </c>
      <c r="C1777" s="4" t="str">
        <f t="shared" si="217"/>
        <v/>
      </c>
      <c r="D1777" s="4" t="str">
        <f t="shared" si="218"/>
        <v/>
      </c>
      <c r="E1777" s="5" t="str">
        <f t="shared" si="219"/>
        <v/>
      </c>
      <c r="F1777" s="6" t="str">
        <f t="shared" si="220"/>
        <v/>
      </c>
      <c r="G1777" s="7" t="str">
        <f t="shared" si="221"/>
        <v/>
      </c>
      <c r="H1777" s="7" t="str">
        <f t="shared" si="222"/>
        <v/>
      </c>
      <c r="I1777" s="8" t="str">
        <f t="shared" si="223"/>
        <v/>
      </c>
      <c r="L1777" t="str">
        <f>IFERROR(MATCH($C$5&amp;"|"&amp;RIGHT("000000"&amp;1761,6),LdgRankKeyA,0),"")</f>
        <v/>
      </c>
      <c r="M1777" t="str">
        <f>IFERROR(MATCH($C$5&amp;"|"&amp;RIGHT("000000"&amp;1761,6),LdgRankKeyB,0),"")</f>
        <v/>
      </c>
    </row>
    <row r="1778" spans="1:13" x14ac:dyDescent="0.2">
      <c r="A1778" s="9">
        <v>1762</v>
      </c>
      <c r="B1778" s="10" t="str">
        <f t="shared" si="216"/>
        <v/>
      </c>
      <c r="C1778" s="10" t="str">
        <f t="shared" si="217"/>
        <v/>
      </c>
      <c r="D1778" s="10" t="str">
        <f t="shared" si="218"/>
        <v/>
      </c>
      <c r="E1778" s="11" t="str">
        <f t="shared" si="219"/>
        <v/>
      </c>
      <c r="F1778" s="12" t="str">
        <f t="shared" si="220"/>
        <v/>
      </c>
      <c r="G1778" s="13" t="str">
        <f t="shared" si="221"/>
        <v/>
      </c>
      <c r="H1778" s="13" t="str">
        <f t="shared" si="222"/>
        <v/>
      </c>
      <c r="I1778" s="14" t="str">
        <f t="shared" si="223"/>
        <v/>
      </c>
      <c r="L1778" t="str">
        <f>IFERROR(MATCH($C$5&amp;"|"&amp;RIGHT("000000"&amp;1762,6),LdgRankKeyA,0),"")</f>
        <v/>
      </c>
      <c r="M1778" t="str">
        <f>IFERROR(MATCH($C$5&amp;"|"&amp;RIGHT("000000"&amp;1762,6),LdgRankKeyB,0),"")</f>
        <v/>
      </c>
    </row>
    <row r="1779" spans="1:13" x14ac:dyDescent="0.2">
      <c r="A1779" s="3">
        <v>1763</v>
      </c>
      <c r="B1779" s="4" t="str">
        <f t="shared" si="216"/>
        <v/>
      </c>
      <c r="C1779" s="4" t="str">
        <f t="shared" si="217"/>
        <v/>
      </c>
      <c r="D1779" s="4" t="str">
        <f t="shared" si="218"/>
        <v/>
      </c>
      <c r="E1779" s="5" t="str">
        <f t="shared" si="219"/>
        <v/>
      </c>
      <c r="F1779" s="6" t="str">
        <f t="shared" si="220"/>
        <v/>
      </c>
      <c r="G1779" s="7" t="str">
        <f t="shared" si="221"/>
        <v/>
      </c>
      <c r="H1779" s="7" t="str">
        <f t="shared" si="222"/>
        <v/>
      </c>
      <c r="I1779" s="8" t="str">
        <f t="shared" si="223"/>
        <v/>
      </c>
      <c r="L1779" t="str">
        <f>IFERROR(MATCH($C$5&amp;"|"&amp;RIGHT("000000"&amp;1763,6),LdgRankKeyA,0),"")</f>
        <v/>
      </c>
      <c r="M1779" t="str">
        <f>IFERROR(MATCH($C$5&amp;"|"&amp;RIGHT("000000"&amp;1763,6),LdgRankKeyB,0),"")</f>
        <v/>
      </c>
    </row>
    <row r="1780" spans="1:13" x14ac:dyDescent="0.2">
      <c r="A1780" s="9">
        <v>1764</v>
      </c>
      <c r="B1780" s="10" t="str">
        <f t="shared" si="216"/>
        <v/>
      </c>
      <c r="C1780" s="10" t="str">
        <f t="shared" si="217"/>
        <v/>
      </c>
      <c r="D1780" s="10" t="str">
        <f t="shared" si="218"/>
        <v/>
      </c>
      <c r="E1780" s="11" t="str">
        <f t="shared" si="219"/>
        <v/>
      </c>
      <c r="F1780" s="12" t="str">
        <f t="shared" si="220"/>
        <v/>
      </c>
      <c r="G1780" s="13" t="str">
        <f t="shared" si="221"/>
        <v/>
      </c>
      <c r="H1780" s="13" t="str">
        <f t="shared" si="222"/>
        <v/>
      </c>
      <c r="I1780" s="14" t="str">
        <f t="shared" si="223"/>
        <v/>
      </c>
      <c r="L1780" t="str">
        <f>IFERROR(MATCH($C$5&amp;"|"&amp;RIGHT("000000"&amp;1764,6),LdgRankKeyA,0),"")</f>
        <v/>
      </c>
      <c r="M1780" t="str">
        <f>IFERROR(MATCH($C$5&amp;"|"&amp;RIGHT("000000"&amp;1764,6),LdgRankKeyB,0),"")</f>
        <v/>
      </c>
    </row>
    <row r="1781" spans="1:13" x14ac:dyDescent="0.2">
      <c r="A1781" s="3">
        <v>1765</v>
      </c>
      <c r="B1781" s="4" t="str">
        <f t="shared" si="216"/>
        <v/>
      </c>
      <c r="C1781" s="4" t="str">
        <f t="shared" si="217"/>
        <v/>
      </c>
      <c r="D1781" s="4" t="str">
        <f t="shared" si="218"/>
        <v/>
      </c>
      <c r="E1781" s="5" t="str">
        <f t="shared" si="219"/>
        <v/>
      </c>
      <c r="F1781" s="6" t="str">
        <f t="shared" si="220"/>
        <v/>
      </c>
      <c r="G1781" s="7" t="str">
        <f t="shared" si="221"/>
        <v/>
      </c>
      <c r="H1781" s="7" t="str">
        <f t="shared" si="222"/>
        <v/>
      </c>
      <c r="I1781" s="8" t="str">
        <f t="shared" si="223"/>
        <v/>
      </c>
      <c r="L1781" t="str">
        <f>IFERROR(MATCH($C$5&amp;"|"&amp;RIGHT("000000"&amp;1765,6),LdgRankKeyA,0),"")</f>
        <v/>
      </c>
      <c r="M1781" t="str">
        <f>IFERROR(MATCH($C$5&amp;"|"&amp;RIGHT("000000"&amp;1765,6),LdgRankKeyB,0),"")</f>
        <v/>
      </c>
    </row>
    <row r="1782" spans="1:13" x14ac:dyDescent="0.2">
      <c r="A1782" s="9">
        <v>1766</v>
      </c>
      <c r="B1782" s="10" t="str">
        <f t="shared" si="216"/>
        <v/>
      </c>
      <c r="C1782" s="10" t="str">
        <f t="shared" si="217"/>
        <v/>
      </c>
      <c r="D1782" s="10" t="str">
        <f t="shared" si="218"/>
        <v/>
      </c>
      <c r="E1782" s="11" t="str">
        <f t="shared" si="219"/>
        <v/>
      </c>
      <c r="F1782" s="12" t="str">
        <f t="shared" si="220"/>
        <v/>
      </c>
      <c r="G1782" s="13" t="str">
        <f t="shared" si="221"/>
        <v/>
      </c>
      <c r="H1782" s="13" t="str">
        <f t="shared" si="222"/>
        <v/>
      </c>
      <c r="I1782" s="14" t="str">
        <f t="shared" si="223"/>
        <v/>
      </c>
      <c r="L1782" t="str">
        <f>IFERROR(MATCH($C$5&amp;"|"&amp;RIGHT("000000"&amp;1766,6),LdgRankKeyA,0),"")</f>
        <v/>
      </c>
      <c r="M1782" t="str">
        <f>IFERROR(MATCH($C$5&amp;"|"&amp;RIGHT("000000"&amp;1766,6),LdgRankKeyB,0),"")</f>
        <v/>
      </c>
    </row>
    <row r="1783" spans="1:13" x14ac:dyDescent="0.2">
      <c r="A1783" s="3">
        <v>1767</v>
      </c>
      <c r="B1783" s="4" t="str">
        <f t="shared" si="216"/>
        <v/>
      </c>
      <c r="C1783" s="4" t="str">
        <f t="shared" si="217"/>
        <v/>
      </c>
      <c r="D1783" s="4" t="str">
        <f t="shared" si="218"/>
        <v/>
      </c>
      <c r="E1783" s="5" t="str">
        <f t="shared" si="219"/>
        <v/>
      </c>
      <c r="F1783" s="6" t="str">
        <f t="shared" si="220"/>
        <v/>
      </c>
      <c r="G1783" s="7" t="str">
        <f t="shared" si="221"/>
        <v/>
      </c>
      <c r="H1783" s="7" t="str">
        <f t="shared" si="222"/>
        <v/>
      </c>
      <c r="I1783" s="8" t="str">
        <f t="shared" si="223"/>
        <v/>
      </c>
      <c r="L1783" t="str">
        <f>IFERROR(MATCH($C$5&amp;"|"&amp;RIGHT("000000"&amp;1767,6),LdgRankKeyA,0),"")</f>
        <v/>
      </c>
      <c r="M1783" t="str">
        <f>IFERROR(MATCH($C$5&amp;"|"&amp;RIGHT("000000"&amp;1767,6),LdgRankKeyB,0),"")</f>
        <v/>
      </c>
    </row>
    <row r="1784" spans="1:13" x14ac:dyDescent="0.2">
      <c r="A1784" s="9">
        <v>1768</v>
      </c>
      <c r="B1784" s="10" t="str">
        <f t="shared" si="216"/>
        <v/>
      </c>
      <c r="C1784" s="10" t="str">
        <f t="shared" si="217"/>
        <v/>
      </c>
      <c r="D1784" s="10" t="str">
        <f t="shared" si="218"/>
        <v/>
      </c>
      <c r="E1784" s="11" t="str">
        <f t="shared" si="219"/>
        <v/>
      </c>
      <c r="F1784" s="12" t="str">
        <f t="shared" si="220"/>
        <v/>
      </c>
      <c r="G1784" s="13" t="str">
        <f t="shared" si="221"/>
        <v/>
      </c>
      <c r="H1784" s="13" t="str">
        <f t="shared" si="222"/>
        <v/>
      </c>
      <c r="I1784" s="14" t="str">
        <f t="shared" si="223"/>
        <v/>
      </c>
      <c r="L1784" t="str">
        <f>IFERROR(MATCH($C$5&amp;"|"&amp;RIGHT("000000"&amp;1768,6),LdgRankKeyA,0),"")</f>
        <v/>
      </c>
      <c r="M1784" t="str">
        <f>IFERROR(MATCH($C$5&amp;"|"&amp;RIGHT("000000"&amp;1768,6),LdgRankKeyB,0),"")</f>
        <v/>
      </c>
    </row>
    <row r="1785" spans="1:13" x14ac:dyDescent="0.2">
      <c r="A1785" s="3">
        <v>1769</v>
      </c>
      <c r="B1785" s="4" t="str">
        <f t="shared" si="216"/>
        <v/>
      </c>
      <c r="C1785" s="4" t="str">
        <f t="shared" si="217"/>
        <v/>
      </c>
      <c r="D1785" s="4" t="str">
        <f t="shared" si="218"/>
        <v/>
      </c>
      <c r="E1785" s="5" t="str">
        <f t="shared" si="219"/>
        <v/>
      </c>
      <c r="F1785" s="6" t="str">
        <f t="shared" si="220"/>
        <v/>
      </c>
      <c r="G1785" s="7" t="str">
        <f t="shared" si="221"/>
        <v/>
      </c>
      <c r="H1785" s="7" t="str">
        <f t="shared" si="222"/>
        <v/>
      </c>
      <c r="I1785" s="8" t="str">
        <f t="shared" si="223"/>
        <v/>
      </c>
      <c r="L1785" t="str">
        <f>IFERROR(MATCH($C$5&amp;"|"&amp;RIGHT("000000"&amp;1769,6),LdgRankKeyA,0),"")</f>
        <v/>
      </c>
      <c r="M1785" t="str">
        <f>IFERROR(MATCH($C$5&amp;"|"&amp;RIGHT("000000"&amp;1769,6),LdgRankKeyB,0),"")</f>
        <v/>
      </c>
    </row>
    <row r="1786" spans="1:13" x14ac:dyDescent="0.2">
      <c r="A1786" s="9">
        <v>1770</v>
      </c>
      <c r="B1786" s="10" t="str">
        <f t="shared" si="216"/>
        <v/>
      </c>
      <c r="C1786" s="10" t="str">
        <f t="shared" si="217"/>
        <v/>
      </c>
      <c r="D1786" s="10" t="str">
        <f t="shared" si="218"/>
        <v/>
      </c>
      <c r="E1786" s="11" t="str">
        <f t="shared" si="219"/>
        <v/>
      </c>
      <c r="F1786" s="12" t="str">
        <f t="shared" si="220"/>
        <v/>
      </c>
      <c r="G1786" s="13" t="str">
        <f t="shared" si="221"/>
        <v/>
      </c>
      <c r="H1786" s="13" t="str">
        <f t="shared" si="222"/>
        <v/>
      </c>
      <c r="I1786" s="14" t="str">
        <f t="shared" si="223"/>
        <v/>
      </c>
      <c r="L1786" t="str">
        <f>IFERROR(MATCH($C$5&amp;"|"&amp;RIGHT("000000"&amp;1770,6),LdgRankKeyA,0),"")</f>
        <v/>
      </c>
      <c r="M1786" t="str">
        <f>IFERROR(MATCH($C$5&amp;"|"&amp;RIGHT("000000"&amp;1770,6),LdgRankKeyB,0),"")</f>
        <v/>
      </c>
    </row>
    <row r="1787" spans="1:13" x14ac:dyDescent="0.2">
      <c r="A1787" s="3">
        <v>1771</v>
      </c>
      <c r="B1787" s="4" t="str">
        <f t="shared" si="216"/>
        <v/>
      </c>
      <c r="C1787" s="4" t="str">
        <f t="shared" si="217"/>
        <v/>
      </c>
      <c r="D1787" s="4" t="str">
        <f t="shared" si="218"/>
        <v/>
      </c>
      <c r="E1787" s="5" t="str">
        <f t="shared" si="219"/>
        <v/>
      </c>
      <c r="F1787" s="6" t="str">
        <f t="shared" si="220"/>
        <v/>
      </c>
      <c r="G1787" s="7" t="str">
        <f t="shared" si="221"/>
        <v/>
      </c>
      <c r="H1787" s="7" t="str">
        <f t="shared" si="222"/>
        <v/>
      </c>
      <c r="I1787" s="8" t="str">
        <f t="shared" si="223"/>
        <v/>
      </c>
      <c r="L1787" t="str">
        <f>IFERROR(MATCH($C$5&amp;"|"&amp;RIGHT("000000"&amp;1771,6),LdgRankKeyA,0),"")</f>
        <v/>
      </c>
      <c r="M1787" t="str">
        <f>IFERROR(MATCH($C$5&amp;"|"&amp;RIGHT("000000"&amp;1771,6),LdgRankKeyB,0),"")</f>
        <v/>
      </c>
    </row>
    <row r="1788" spans="1:13" x14ac:dyDescent="0.2">
      <c r="A1788" s="9">
        <v>1772</v>
      </c>
      <c r="B1788" s="10" t="str">
        <f t="shared" si="216"/>
        <v/>
      </c>
      <c r="C1788" s="10" t="str">
        <f t="shared" si="217"/>
        <v/>
      </c>
      <c r="D1788" s="10" t="str">
        <f t="shared" si="218"/>
        <v/>
      </c>
      <c r="E1788" s="11" t="str">
        <f t="shared" si="219"/>
        <v/>
      </c>
      <c r="F1788" s="12" t="str">
        <f t="shared" si="220"/>
        <v/>
      </c>
      <c r="G1788" s="13" t="str">
        <f t="shared" si="221"/>
        <v/>
      </c>
      <c r="H1788" s="13" t="str">
        <f t="shared" si="222"/>
        <v/>
      </c>
      <c r="I1788" s="14" t="str">
        <f t="shared" si="223"/>
        <v/>
      </c>
      <c r="L1788" t="str">
        <f>IFERROR(MATCH($C$5&amp;"|"&amp;RIGHT("000000"&amp;1772,6),LdgRankKeyA,0),"")</f>
        <v/>
      </c>
      <c r="M1788" t="str">
        <f>IFERROR(MATCH($C$5&amp;"|"&amp;RIGHT("000000"&amp;1772,6),LdgRankKeyB,0),"")</f>
        <v/>
      </c>
    </row>
    <row r="1789" spans="1:13" x14ac:dyDescent="0.2">
      <c r="A1789" s="3">
        <v>1773</v>
      </c>
      <c r="B1789" s="4" t="str">
        <f t="shared" si="216"/>
        <v/>
      </c>
      <c r="C1789" s="4" t="str">
        <f t="shared" si="217"/>
        <v/>
      </c>
      <c r="D1789" s="4" t="str">
        <f t="shared" si="218"/>
        <v/>
      </c>
      <c r="E1789" s="5" t="str">
        <f t="shared" si="219"/>
        <v/>
      </c>
      <c r="F1789" s="6" t="str">
        <f t="shared" si="220"/>
        <v/>
      </c>
      <c r="G1789" s="7" t="str">
        <f t="shared" si="221"/>
        <v/>
      </c>
      <c r="H1789" s="7" t="str">
        <f t="shared" si="222"/>
        <v/>
      </c>
      <c r="I1789" s="8" t="str">
        <f t="shared" si="223"/>
        <v/>
      </c>
      <c r="L1789" t="str">
        <f>IFERROR(MATCH($C$5&amp;"|"&amp;RIGHT("000000"&amp;1773,6),LdgRankKeyA,0),"")</f>
        <v/>
      </c>
      <c r="M1789" t="str">
        <f>IFERROR(MATCH($C$5&amp;"|"&amp;RIGHT("000000"&amp;1773,6),LdgRankKeyB,0),"")</f>
        <v/>
      </c>
    </row>
    <row r="1790" spans="1:13" x14ac:dyDescent="0.2">
      <c r="A1790" s="9">
        <v>1774</v>
      </c>
      <c r="B1790" s="10" t="str">
        <f t="shared" si="216"/>
        <v/>
      </c>
      <c r="C1790" s="10" t="str">
        <f t="shared" si="217"/>
        <v/>
      </c>
      <c r="D1790" s="10" t="str">
        <f t="shared" si="218"/>
        <v/>
      </c>
      <c r="E1790" s="11" t="str">
        <f t="shared" si="219"/>
        <v/>
      </c>
      <c r="F1790" s="12" t="str">
        <f t="shared" si="220"/>
        <v/>
      </c>
      <c r="G1790" s="13" t="str">
        <f t="shared" si="221"/>
        <v/>
      </c>
      <c r="H1790" s="13" t="str">
        <f t="shared" si="222"/>
        <v/>
      </c>
      <c r="I1790" s="14" t="str">
        <f t="shared" si="223"/>
        <v/>
      </c>
      <c r="L1790" t="str">
        <f>IFERROR(MATCH($C$5&amp;"|"&amp;RIGHT("000000"&amp;1774,6),LdgRankKeyA,0),"")</f>
        <v/>
      </c>
      <c r="M1790" t="str">
        <f>IFERROR(MATCH($C$5&amp;"|"&amp;RIGHT("000000"&amp;1774,6),LdgRankKeyB,0),"")</f>
        <v/>
      </c>
    </row>
    <row r="1791" spans="1:13" x14ac:dyDescent="0.2">
      <c r="A1791" s="3">
        <v>1775</v>
      </c>
      <c r="B1791" s="4" t="str">
        <f t="shared" si="216"/>
        <v/>
      </c>
      <c r="C1791" s="4" t="str">
        <f t="shared" si="217"/>
        <v/>
      </c>
      <c r="D1791" s="4" t="str">
        <f t="shared" si="218"/>
        <v/>
      </c>
      <c r="E1791" s="5" t="str">
        <f t="shared" si="219"/>
        <v/>
      </c>
      <c r="F1791" s="6" t="str">
        <f t="shared" si="220"/>
        <v/>
      </c>
      <c r="G1791" s="7" t="str">
        <f t="shared" si="221"/>
        <v/>
      </c>
      <c r="H1791" s="7" t="str">
        <f t="shared" si="222"/>
        <v/>
      </c>
      <c r="I1791" s="8" t="str">
        <f t="shared" si="223"/>
        <v/>
      </c>
      <c r="L1791" t="str">
        <f>IFERROR(MATCH($C$5&amp;"|"&amp;RIGHT("000000"&amp;1775,6),LdgRankKeyA,0),"")</f>
        <v/>
      </c>
      <c r="M1791" t="str">
        <f>IFERROR(MATCH($C$5&amp;"|"&amp;RIGHT("000000"&amp;1775,6),LdgRankKeyB,0),"")</f>
        <v/>
      </c>
    </row>
    <row r="1792" spans="1:13" x14ac:dyDescent="0.2">
      <c r="A1792" s="9">
        <v>1776</v>
      </c>
      <c r="B1792" s="10" t="str">
        <f t="shared" si="216"/>
        <v/>
      </c>
      <c r="C1792" s="10" t="str">
        <f t="shared" si="217"/>
        <v/>
      </c>
      <c r="D1792" s="10" t="str">
        <f t="shared" si="218"/>
        <v/>
      </c>
      <c r="E1792" s="11" t="str">
        <f t="shared" si="219"/>
        <v/>
      </c>
      <c r="F1792" s="12" t="str">
        <f t="shared" si="220"/>
        <v/>
      </c>
      <c r="G1792" s="13" t="str">
        <f t="shared" si="221"/>
        <v/>
      </c>
      <c r="H1792" s="13" t="str">
        <f t="shared" si="222"/>
        <v/>
      </c>
      <c r="I1792" s="14" t="str">
        <f t="shared" si="223"/>
        <v/>
      </c>
      <c r="L1792" t="str">
        <f>IFERROR(MATCH($C$5&amp;"|"&amp;RIGHT("000000"&amp;1776,6),LdgRankKeyA,0),"")</f>
        <v/>
      </c>
      <c r="M1792" t="str">
        <f>IFERROR(MATCH($C$5&amp;"|"&amp;RIGHT("000000"&amp;1776,6),LdgRankKeyB,0),"")</f>
        <v/>
      </c>
    </row>
    <row r="1793" spans="1:13" x14ac:dyDescent="0.2">
      <c r="A1793" s="3">
        <v>1777</v>
      </c>
      <c r="B1793" s="4" t="str">
        <f t="shared" si="216"/>
        <v/>
      </c>
      <c r="C1793" s="4" t="str">
        <f t="shared" si="217"/>
        <v/>
      </c>
      <c r="D1793" s="4" t="str">
        <f t="shared" si="218"/>
        <v/>
      </c>
      <c r="E1793" s="5" t="str">
        <f t="shared" si="219"/>
        <v/>
      </c>
      <c r="F1793" s="6" t="str">
        <f t="shared" si="220"/>
        <v/>
      </c>
      <c r="G1793" s="7" t="str">
        <f t="shared" si="221"/>
        <v/>
      </c>
      <c r="H1793" s="7" t="str">
        <f t="shared" si="222"/>
        <v/>
      </c>
      <c r="I1793" s="8" t="str">
        <f t="shared" si="223"/>
        <v/>
      </c>
      <c r="L1793" t="str">
        <f>IFERROR(MATCH($C$5&amp;"|"&amp;RIGHT("000000"&amp;1777,6),LdgRankKeyA,0),"")</f>
        <v/>
      </c>
      <c r="M1793" t="str">
        <f>IFERROR(MATCH($C$5&amp;"|"&amp;RIGHT("000000"&amp;1777,6),LdgRankKeyB,0),"")</f>
        <v/>
      </c>
    </row>
    <row r="1794" spans="1:13" x14ac:dyDescent="0.2">
      <c r="A1794" s="9">
        <v>1778</v>
      </c>
      <c r="B1794" s="10" t="str">
        <f t="shared" si="216"/>
        <v/>
      </c>
      <c r="C1794" s="10" t="str">
        <f t="shared" si="217"/>
        <v/>
      </c>
      <c r="D1794" s="10" t="str">
        <f t="shared" si="218"/>
        <v/>
      </c>
      <c r="E1794" s="11" t="str">
        <f t="shared" si="219"/>
        <v/>
      </c>
      <c r="F1794" s="12" t="str">
        <f t="shared" si="220"/>
        <v/>
      </c>
      <c r="G1794" s="13" t="str">
        <f t="shared" si="221"/>
        <v/>
      </c>
      <c r="H1794" s="13" t="str">
        <f t="shared" si="222"/>
        <v/>
      </c>
      <c r="I1794" s="14" t="str">
        <f t="shared" si="223"/>
        <v/>
      </c>
      <c r="L1794" t="str">
        <f>IFERROR(MATCH($C$5&amp;"|"&amp;RIGHT("000000"&amp;1778,6),LdgRankKeyA,0),"")</f>
        <v/>
      </c>
      <c r="M1794" t="str">
        <f>IFERROR(MATCH($C$5&amp;"|"&amp;RIGHT("000000"&amp;1778,6),LdgRankKeyB,0),"")</f>
        <v/>
      </c>
    </row>
    <row r="1795" spans="1:13" x14ac:dyDescent="0.2">
      <c r="A1795" s="3">
        <v>1779</v>
      </c>
      <c r="B1795" s="4" t="str">
        <f t="shared" si="216"/>
        <v/>
      </c>
      <c r="C1795" s="4" t="str">
        <f t="shared" si="217"/>
        <v/>
      </c>
      <c r="D1795" s="4" t="str">
        <f t="shared" si="218"/>
        <v/>
      </c>
      <c r="E1795" s="5" t="str">
        <f t="shared" si="219"/>
        <v/>
      </c>
      <c r="F1795" s="6" t="str">
        <f t="shared" si="220"/>
        <v/>
      </c>
      <c r="G1795" s="7" t="str">
        <f t="shared" si="221"/>
        <v/>
      </c>
      <c r="H1795" s="7" t="str">
        <f t="shared" si="222"/>
        <v/>
      </c>
      <c r="I1795" s="8" t="str">
        <f t="shared" si="223"/>
        <v/>
      </c>
      <c r="L1795" t="str">
        <f>IFERROR(MATCH($C$5&amp;"|"&amp;RIGHT("000000"&amp;1779,6),LdgRankKeyA,0),"")</f>
        <v/>
      </c>
      <c r="M1795" t="str">
        <f>IFERROR(MATCH($C$5&amp;"|"&amp;RIGHT("000000"&amp;1779,6),LdgRankKeyB,0),"")</f>
        <v/>
      </c>
    </row>
    <row r="1796" spans="1:13" x14ac:dyDescent="0.2">
      <c r="A1796" s="9">
        <v>1780</v>
      </c>
      <c r="B1796" s="10" t="str">
        <f t="shared" si="216"/>
        <v/>
      </c>
      <c r="C1796" s="10" t="str">
        <f t="shared" si="217"/>
        <v/>
      </c>
      <c r="D1796" s="10" t="str">
        <f t="shared" si="218"/>
        <v/>
      </c>
      <c r="E1796" s="11" t="str">
        <f t="shared" si="219"/>
        <v/>
      </c>
      <c r="F1796" s="12" t="str">
        <f t="shared" si="220"/>
        <v/>
      </c>
      <c r="G1796" s="13" t="str">
        <f t="shared" si="221"/>
        <v/>
      </c>
      <c r="H1796" s="13" t="str">
        <f t="shared" si="222"/>
        <v/>
      </c>
      <c r="I1796" s="14" t="str">
        <f t="shared" si="223"/>
        <v/>
      </c>
      <c r="L1796" t="str">
        <f>IFERROR(MATCH($C$5&amp;"|"&amp;RIGHT("000000"&amp;1780,6),LdgRankKeyA,0),"")</f>
        <v/>
      </c>
      <c r="M1796" t="str">
        <f>IFERROR(MATCH($C$5&amp;"|"&amp;RIGHT("000000"&amp;1780,6),LdgRankKeyB,0),"")</f>
        <v/>
      </c>
    </row>
    <row r="1797" spans="1:13" x14ac:dyDescent="0.2">
      <c r="A1797" s="3">
        <v>1781</v>
      </c>
      <c r="B1797" s="4" t="str">
        <f t="shared" si="216"/>
        <v/>
      </c>
      <c r="C1797" s="4" t="str">
        <f t="shared" si="217"/>
        <v/>
      </c>
      <c r="D1797" s="4" t="str">
        <f t="shared" si="218"/>
        <v/>
      </c>
      <c r="E1797" s="5" t="str">
        <f t="shared" si="219"/>
        <v/>
      </c>
      <c r="F1797" s="6" t="str">
        <f t="shared" si="220"/>
        <v/>
      </c>
      <c r="G1797" s="7" t="str">
        <f t="shared" si="221"/>
        <v/>
      </c>
      <c r="H1797" s="7" t="str">
        <f t="shared" si="222"/>
        <v/>
      </c>
      <c r="I1797" s="8" t="str">
        <f t="shared" si="223"/>
        <v/>
      </c>
      <c r="L1797" t="str">
        <f>IFERROR(MATCH($C$5&amp;"|"&amp;RIGHT("000000"&amp;1781,6),LdgRankKeyA,0),"")</f>
        <v/>
      </c>
      <c r="M1797" t="str">
        <f>IFERROR(MATCH($C$5&amp;"|"&amp;RIGHT("000000"&amp;1781,6),LdgRankKeyB,0),"")</f>
        <v/>
      </c>
    </row>
    <row r="1798" spans="1:13" x14ac:dyDescent="0.2">
      <c r="A1798" s="9">
        <v>1782</v>
      </c>
      <c r="B1798" s="10" t="str">
        <f t="shared" si="216"/>
        <v/>
      </c>
      <c r="C1798" s="10" t="str">
        <f t="shared" si="217"/>
        <v/>
      </c>
      <c r="D1798" s="10" t="str">
        <f t="shared" si="218"/>
        <v/>
      </c>
      <c r="E1798" s="11" t="str">
        <f t="shared" si="219"/>
        <v/>
      </c>
      <c r="F1798" s="12" t="str">
        <f t="shared" si="220"/>
        <v/>
      </c>
      <c r="G1798" s="13" t="str">
        <f t="shared" si="221"/>
        <v/>
      </c>
      <c r="H1798" s="13" t="str">
        <f t="shared" si="222"/>
        <v/>
      </c>
      <c r="I1798" s="14" t="str">
        <f t="shared" si="223"/>
        <v/>
      </c>
      <c r="L1798" t="str">
        <f>IFERROR(MATCH($C$5&amp;"|"&amp;RIGHT("000000"&amp;1782,6),LdgRankKeyA,0),"")</f>
        <v/>
      </c>
      <c r="M1798" t="str">
        <f>IFERROR(MATCH($C$5&amp;"|"&amp;RIGHT("000000"&amp;1782,6),LdgRankKeyB,0),"")</f>
        <v/>
      </c>
    </row>
    <row r="1799" spans="1:13" x14ac:dyDescent="0.2">
      <c r="A1799" s="3">
        <v>1783</v>
      </c>
      <c r="B1799" s="4" t="str">
        <f t="shared" si="216"/>
        <v/>
      </c>
      <c r="C1799" s="4" t="str">
        <f t="shared" si="217"/>
        <v/>
      </c>
      <c r="D1799" s="4" t="str">
        <f t="shared" si="218"/>
        <v/>
      </c>
      <c r="E1799" s="5" t="str">
        <f t="shared" si="219"/>
        <v/>
      </c>
      <c r="F1799" s="6" t="str">
        <f t="shared" si="220"/>
        <v/>
      </c>
      <c r="G1799" s="7" t="str">
        <f t="shared" si="221"/>
        <v/>
      </c>
      <c r="H1799" s="7" t="str">
        <f t="shared" si="222"/>
        <v/>
      </c>
      <c r="I1799" s="8" t="str">
        <f t="shared" si="223"/>
        <v/>
      </c>
      <c r="L1799" t="str">
        <f>IFERROR(MATCH($C$5&amp;"|"&amp;RIGHT("000000"&amp;1783,6),LdgRankKeyA,0),"")</f>
        <v/>
      </c>
      <c r="M1799" t="str">
        <f>IFERROR(MATCH($C$5&amp;"|"&amp;RIGHT("000000"&amp;1783,6),LdgRankKeyB,0),"")</f>
        <v/>
      </c>
    </row>
    <row r="1800" spans="1:13" x14ac:dyDescent="0.2">
      <c r="A1800" s="9">
        <v>1784</v>
      </c>
      <c r="B1800" s="10" t="str">
        <f t="shared" si="216"/>
        <v/>
      </c>
      <c r="C1800" s="10" t="str">
        <f t="shared" si="217"/>
        <v/>
      </c>
      <c r="D1800" s="10" t="str">
        <f t="shared" si="218"/>
        <v/>
      </c>
      <c r="E1800" s="11" t="str">
        <f t="shared" si="219"/>
        <v/>
      </c>
      <c r="F1800" s="12" t="str">
        <f t="shared" si="220"/>
        <v/>
      </c>
      <c r="G1800" s="13" t="str">
        <f t="shared" si="221"/>
        <v/>
      </c>
      <c r="H1800" s="13" t="str">
        <f t="shared" si="222"/>
        <v/>
      </c>
      <c r="I1800" s="14" t="str">
        <f t="shared" si="223"/>
        <v/>
      </c>
      <c r="L1800" t="str">
        <f>IFERROR(MATCH($C$5&amp;"|"&amp;RIGHT("000000"&amp;1784,6),LdgRankKeyA,0),"")</f>
        <v/>
      </c>
      <c r="M1800" t="str">
        <f>IFERROR(MATCH($C$5&amp;"|"&amp;RIGHT("000000"&amp;1784,6),LdgRankKeyB,0),"")</f>
        <v/>
      </c>
    </row>
    <row r="1801" spans="1:13" x14ac:dyDescent="0.2">
      <c r="A1801" s="3">
        <v>1785</v>
      </c>
      <c r="B1801" s="4" t="str">
        <f t="shared" si="216"/>
        <v/>
      </c>
      <c r="C1801" s="4" t="str">
        <f t="shared" si="217"/>
        <v/>
      </c>
      <c r="D1801" s="4" t="str">
        <f t="shared" si="218"/>
        <v/>
      </c>
      <c r="E1801" s="5" t="str">
        <f t="shared" si="219"/>
        <v/>
      </c>
      <c r="F1801" s="6" t="str">
        <f t="shared" si="220"/>
        <v/>
      </c>
      <c r="G1801" s="7" t="str">
        <f t="shared" si="221"/>
        <v/>
      </c>
      <c r="H1801" s="7" t="str">
        <f t="shared" si="222"/>
        <v/>
      </c>
      <c r="I1801" s="8" t="str">
        <f t="shared" si="223"/>
        <v/>
      </c>
      <c r="L1801" t="str">
        <f>IFERROR(MATCH($C$5&amp;"|"&amp;RIGHT("000000"&amp;1785,6),LdgRankKeyA,0),"")</f>
        <v/>
      </c>
      <c r="M1801" t="str">
        <f>IFERROR(MATCH($C$5&amp;"|"&amp;RIGHT("000000"&amp;1785,6),LdgRankKeyB,0),"")</f>
        <v/>
      </c>
    </row>
    <row r="1802" spans="1:13" x14ac:dyDescent="0.2">
      <c r="A1802" s="9">
        <v>1786</v>
      </c>
      <c r="B1802" s="10" t="str">
        <f t="shared" si="216"/>
        <v/>
      </c>
      <c r="C1802" s="10" t="str">
        <f t="shared" si="217"/>
        <v/>
      </c>
      <c r="D1802" s="10" t="str">
        <f t="shared" si="218"/>
        <v/>
      </c>
      <c r="E1802" s="11" t="str">
        <f t="shared" si="219"/>
        <v/>
      </c>
      <c r="F1802" s="12" t="str">
        <f t="shared" si="220"/>
        <v/>
      </c>
      <c r="G1802" s="13" t="str">
        <f t="shared" si="221"/>
        <v/>
      </c>
      <c r="H1802" s="13" t="str">
        <f t="shared" si="222"/>
        <v/>
      </c>
      <c r="I1802" s="14" t="str">
        <f t="shared" si="223"/>
        <v/>
      </c>
      <c r="L1802" t="str">
        <f>IFERROR(MATCH($C$5&amp;"|"&amp;RIGHT("000000"&amp;1786,6),LdgRankKeyA,0),"")</f>
        <v/>
      </c>
      <c r="M1802" t="str">
        <f>IFERROR(MATCH($C$5&amp;"|"&amp;RIGHT("000000"&amp;1786,6),LdgRankKeyB,0),"")</f>
        <v/>
      </c>
    </row>
    <row r="1803" spans="1:13" x14ac:dyDescent="0.2">
      <c r="A1803" s="3">
        <v>1787</v>
      </c>
      <c r="B1803" s="4" t="str">
        <f t="shared" si="216"/>
        <v/>
      </c>
      <c r="C1803" s="4" t="str">
        <f t="shared" si="217"/>
        <v/>
      </c>
      <c r="D1803" s="4" t="str">
        <f t="shared" si="218"/>
        <v/>
      </c>
      <c r="E1803" s="5" t="str">
        <f t="shared" si="219"/>
        <v/>
      </c>
      <c r="F1803" s="6" t="str">
        <f t="shared" si="220"/>
        <v/>
      </c>
      <c r="G1803" s="7" t="str">
        <f t="shared" si="221"/>
        <v/>
      </c>
      <c r="H1803" s="7" t="str">
        <f t="shared" si="222"/>
        <v/>
      </c>
      <c r="I1803" s="8" t="str">
        <f t="shared" si="223"/>
        <v/>
      </c>
      <c r="L1803" t="str">
        <f>IFERROR(MATCH($C$5&amp;"|"&amp;RIGHT("000000"&amp;1787,6),LdgRankKeyA,0),"")</f>
        <v/>
      </c>
      <c r="M1803" t="str">
        <f>IFERROR(MATCH($C$5&amp;"|"&amp;RIGHT("000000"&amp;1787,6),LdgRankKeyB,0),"")</f>
        <v/>
      </c>
    </row>
    <row r="1804" spans="1:13" x14ac:dyDescent="0.2">
      <c r="A1804" s="9">
        <v>1788</v>
      </c>
      <c r="B1804" s="10" t="str">
        <f t="shared" si="216"/>
        <v/>
      </c>
      <c r="C1804" s="10" t="str">
        <f t="shared" si="217"/>
        <v/>
      </c>
      <c r="D1804" s="10" t="str">
        <f t="shared" si="218"/>
        <v/>
      </c>
      <c r="E1804" s="11" t="str">
        <f t="shared" si="219"/>
        <v/>
      </c>
      <c r="F1804" s="12" t="str">
        <f t="shared" si="220"/>
        <v/>
      </c>
      <c r="G1804" s="13" t="str">
        <f t="shared" si="221"/>
        <v/>
      </c>
      <c r="H1804" s="13" t="str">
        <f t="shared" si="222"/>
        <v/>
      </c>
      <c r="I1804" s="14" t="str">
        <f t="shared" si="223"/>
        <v/>
      </c>
      <c r="L1804" t="str">
        <f>IFERROR(MATCH($C$5&amp;"|"&amp;RIGHT("000000"&amp;1788,6),LdgRankKeyA,0),"")</f>
        <v/>
      </c>
      <c r="M1804" t="str">
        <f>IFERROR(MATCH($C$5&amp;"|"&amp;RIGHT("000000"&amp;1788,6),LdgRankKeyB,0),"")</f>
        <v/>
      </c>
    </row>
    <row r="1805" spans="1:13" x14ac:dyDescent="0.2">
      <c r="A1805" s="3">
        <v>1789</v>
      </c>
      <c r="B1805" s="4" t="str">
        <f t="shared" si="216"/>
        <v/>
      </c>
      <c r="C1805" s="4" t="str">
        <f t="shared" si="217"/>
        <v/>
      </c>
      <c r="D1805" s="4" t="str">
        <f t="shared" si="218"/>
        <v/>
      </c>
      <c r="E1805" s="5" t="str">
        <f t="shared" si="219"/>
        <v/>
      </c>
      <c r="F1805" s="6" t="str">
        <f t="shared" si="220"/>
        <v/>
      </c>
      <c r="G1805" s="7" t="str">
        <f t="shared" si="221"/>
        <v/>
      </c>
      <c r="H1805" s="7" t="str">
        <f t="shared" si="222"/>
        <v/>
      </c>
      <c r="I1805" s="8" t="str">
        <f t="shared" si="223"/>
        <v/>
      </c>
      <c r="L1805" t="str">
        <f>IFERROR(MATCH($C$5&amp;"|"&amp;RIGHT("000000"&amp;1789,6),LdgRankKeyA,0),"")</f>
        <v/>
      </c>
      <c r="M1805" t="str">
        <f>IFERROR(MATCH($C$5&amp;"|"&amp;RIGHT("000000"&amp;1789,6),LdgRankKeyB,0),"")</f>
        <v/>
      </c>
    </row>
    <row r="1806" spans="1:13" x14ac:dyDescent="0.2">
      <c r="A1806" s="9">
        <v>1790</v>
      </c>
      <c r="B1806" s="10" t="str">
        <f t="shared" si="216"/>
        <v/>
      </c>
      <c r="C1806" s="10" t="str">
        <f t="shared" si="217"/>
        <v/>
      </c>
      <c r="D1806" s="10" t="str">
        <f t="shared" si="218"/>
        <v/>
      </c>
      <c r="E1806" s="11" t="str">
        <f t="shared" si="219"/>
        <v/>
      </c>
      <c r="F1806" s="12" t="str">
        <f t="shared" si="220"/>
        <v/>
      </c>
      <c r="G1806" s="13" t="str">
        <f t="shared" si="221"/>
        <v/>
      </c>
      <c r="H1806" s="13" t="str">
        <f t="shared" si="222"/>
        <v/>
      </c>
      <c r="I1806" s="14" t="str">
        <f t="shared" si="223"/>
        <v/>
      </c>
      <c r="L1806" t="str">
        <f>IFERROR(MATCH($C$5&amp;"|"&amp;RIGHT("000000"&amp;1790,6),LdgRankKeyA,0),"")</f>
        <v/>
      </c>
      <c r="M1806" t="str">
        <f>IFERROR(MATCH($C$5&amp;"|"&amp;RIGHT("000000"&amp;1790,6),LdgRankKeyB,0),"")</f>
        <v/>
      </c>
    </row>
    <row r="1807" spans="1:13" x14ac:dyDescent="0.2">
      <c r="A1807" s="3">
        <v>1791</v>
      </c>
      <c r="B1807" s="4" t="str">
        <f t="shared" si="216"/>
        <v/>
      </c>
      <c r="C1807" s="4" t="str">
        <f t="shared" si="217"/>
        <v/>
      </c>
      <c r="D1807" s="4" t="str">
        <f t="shared" si="218"/>
        <v/>
      </c>
      <c r="E1807" s="5" t="str">
        <f t="shared" si="219"/>
        <v/>
      </c>
      <c r="F1807" s="6" t="str">
        <f t="shared" si="220"/>
        <v/>
      </c>
      <c r="G1807" s="7" t="str">
        <f t="shared" si="221"/>
        <v/>
      </c>
      <c r="H1807" s="7" t="str">
        <f t="shared" si="222"/>
        <v/>
      </c>
      <c r="I1807" s="8" t="str">
        <f t="shared" si="223"/>
        <v/>
      </c>
      <c r="L1807" t="str">
        <f>IFERROR(MATCH($C$5&amp;"|"&amp;RIGHT("000000"&amp;1791,6),LdgRankKeyA,0),"")</f>
        <v/>
      </c>
      <c r="M1807" t="str">
        <f>IFERROR(MATCH($C$5&amp;"|"&amp;RIGHT("000000"&amp;1791,6),LdgRankKeyB,0),"")</f>
        <v/>
      </c>
    </row>
    <row r="1808" spans="1:13" x14ac:dyDescent="0.2">
      <c r="A1808" s="9">
        <v>1792</v>
      </c>
      <c r="B1808" s="10" t="str">
        <f t="shared" si="216"/>
        <v/>
      </c>
      <c r="C1808" s="10" t="str">
        <f t="shared" si="217"/>
        <v/>
      </c>
      <c r="D1808" s="10" t="str">
        <f t="shared" si="218"/>
        <v/>
      </c>
      <c r="E1808" s="11" t="str">
        <f t="shared" si="219"/>
        <v/>
      </c>
      <c r="F1808" s="12" t="str">
        <f t="shared" si="220"/>
        <v/>
      </c>
      <c r="G1808" s="13" t="str">
        <f t="shared" si="221"/>
        <v/>
      </c>
      <c r="H1808" s="13" t="str">
        <f t="shared" si="222"/>
        <v/>
      </c>
      <c r="I1808" s="14" t="str">
        <f t="shared" si="223"/>
        <v/>
      </c>
      <c r="L1808" t="str">
        <f>IFERROR(MATCH($C$5&amp;"|"&amp;RIGHT("000000"&amp;1792,6),LdgRankKeyA,0),"")</f>
        <v/>
      </c>
      <c r="M1808" t="str">
        <f>IFERROR(MATCH($C$5&amp;"|"&amp;RIGHT("000000"&amp;1792,6),LdgRankKeyB,0),"")</f>
        <v/>
      </c>
    </row>
    <row r="1809" spans="1:13" x14ac:dyDescent="0.2">
      <c r="A1809" s="3">
        <v>1793</v>
      </c>
      <c r="B1809" s="4" t="str">
        <f t="shared" ref="B1809:B1872" si="224">IF(AND($L1809="",$M1809=""),"",IF($L1809&lt;&gt;"",INDEX(SCNormDate,$L1809),INDEX(LdgDateB,$M1809)))</f>
        <v/>
      </c>
      <c r="C1809" s="4" t="str">
        <f t="shared" ref="C1809:C1872" si="225">IF($L1809&lt;&gt;"",INDEX(SCOp,$L1809),IF($M1809&lt;&gt;"","پرداخت بانکی",""))</f>
        <v/>
      </c>
      <c r="D1809" s="4" t="str">
        <f t="shared" ref="D1809:D1872" si="226">IF($L1809&lt;&gt;"",IF(INDEX(SCDoc,$L1809)="","—",INDEX(SCDoc,$L1809)),IF($M1809&lt;&gt;"",INDEX(LdgBankB,$M1809),""))</f>
        <v/>
      </c>
      <c r="E1809" s="5" t="str">
        <f t="shared" ref="E1809:E1872" si="227">IF($L1809&lt;&gt;"",IF(INDEX(SCCitrus,$L1809)&amp;INDEX(SCNotes,$L1809)="","",IF(INDEX(SCCitrus,$L1809)="","",INDEX(SCCitrus,$L1809))&amp;IF(INDEX(SCNotes,$L1809)="",""," — "&amp;INDEX(SCNotes,$L1809))),IF($M1809&lt;&gt;"",IF(INDEX(LdgNoteB,$M1809)="","—",INDEX(LdgNoteB,$M1809)),""))</f>
        <v/>
      </c>
      <c r="F1809" s="6" t="str">
        <f t="shared" ref="F1809:F1872" si="228">IF($L1809&lt;&gt;"",IF(INDEX(SCNet,$L1809)=0,"",INDEX(SCNet,$L1809)),"")</f>
        <v/>
      </c>
      <c r="G1809" s="7" t="str">
        <f t="shared" ref="G1809:G1872" si="229">IF($L1809&lt;&gt;"",IF(INDEX(SCOp,$L1809)="مرجوعی فروش","",IF(INDEX(SCAmount,$L1809)&lt;=0,"",INDEX(SCAmount,$L1809))),IF($M1809&lt;&gt;"",IF(INDEX(LdgWitB,$M1809)=0,"",INDEX(LdgWitB,$M1809)),""))</f>
        <v/>
      </c>
      <c r="H1809" s="7" t="str">
        <f t="shared" ref="H1809:H1872" si="230">IF($L1809&lt;&gt;"",IF(INDEX(SCOp,$L1809)="مرجوعی فروش",IF(INDEX(SCAmount,$L1809)=0,"",-INDEX(SCAmount,$L1809)),""),IF($M1809&lt;&gt;"",IF(INDEX(LdgDepB,$M1809)=0,"",INDEX(LdgDepB,$M1809)),""))</f>
        <v/>
      </c>
      <c r="I1809" s="8" t="str">
        <f t="shared" si="223"/>
        <v/>
      </c>
      <c r="L1809" t="str">
        <f>IFERROR(MATCH($C$5&amp;"|"&amp;RIGHT("000000"&amp;1793,6),LdgRankKeyA,0),"")</f>
        <v/>
      </c>
      <c r="M1809" t="str">
        <f>IFERROR(MATCH($C$5&amp;"|"&amp;RIGHT("000000"&amp;1793,6),LdgRankKeyB,0),"")</f>
        <v/>
      </c>
    </row>
    <row r="1810" spans="1:13" x14ac:dyDescent="0.2">
      <c r="A1810" s="9">
        <v>1794</v>
      </c>
      <c r="B1810" s="10" t="str">
        <f t="shared" si="224"/>
        <v/>
      </c>
      <c r="C1810" s="10" t="str">
        <f t="shared" si="225"/>
        <v/>
      </c>
      <c r="D1810" s="10" t="str">
        <f t="shared" si="226"/>
        <v/>
      </c>
      <c r="E1810" s="11" t="str">
        <f t="shared" si="227"/>
        <v/>
      </c>
      <c r="F1810" s="12" t="str">
        <f t="shared" si="228"/>
        <v/>
      </c>
      <c r="G1810" s="13" t="str">
        <f t="shared" si="229"/>
        <v/>
      </c>
      <c r="H1810" s="13" t="str">
        <f t="shared" si="230"/>
        <v/>
      </c>
      <c r="I1810" s="14" t="str">
        <f t="shared" ref="I1810:I1873" si="231">IF($B1810="","",IF($I1809="",$C$10,$I1809)+IF($G1810="",0,$G1810)-IF($H1810="",0,$H1810))</f>
        <v/>
      </c>
      <c r="L1810" t="str">
        <f>IFERROR(MATCH($C$5&amp;"|"&amp;RIGHT("000000"&amp;1794,6),LdgRankKeyA,0),"")</f>
        <v/>
      </c>
      <c r="M1810" t="str">
        <f>IFERROR(MATCH($C$5&amp;"|"&amp;RIGHT("000000"&amp;1794,6),LdgRankKeyB,0),"")</f>
        <v/>
      </c>
    </row>
    <row r="1811" spans="1:13" x14ac:dyDescent="0.2">
      <c r="A1811" s="3">
        <v>1795</v>
      </c>
      <c r="B1811" s="4" t="str">
        <f t="shared" si="224"/>
        <v/>
      </c>
      <c r="C1811" s="4" t="str">
        <f t="shared" si="225"/>
        <v/>
      </c>
      <c r="D1811" s="4" t="str">
        <f t="shared" si="226"/>
        <v/>
      </c>
      <c r="E1811" s="5" t="str">
        <f t="shared" si="227"/>
        <v/>
      </c>
      <c r="F1811" s="6" t="str">
        <f t="shared" si="228"/>
        <v/>
      </c>
      <c r="G1811" s="7" t="str">
        <f t="shared" si="229"/>
        <v/>
      </c>
      <c r="H1811" s="7" t="str">
        <f t="shared" si="230"/>
        <v/>
      </c>
      <c r="I1811" s="8" t="str">
        <f t="shared" si="231"/>
        <v/>
      </c>
      <c r="L1811" t="str">
        <f>IFERROR(MATCH($C$5&amp;"|"&amp;RIGHT("000000"&amp;1795,6),LdgRankKeyA,0),"")</f>
        <v/>
      </c>
      <c r="M1811" t="str">
        <f>IFERROR(MATCH($C$5&amp;"|"&amp;RIGHT("000000"&amp;1795,6),LdgRankKeyB,0),"")</f>
        <v/>
      </c>
    </row>
    <row r="1812" spans="1:13" x14ac:dyDescent="0.2">
      <c r="A1812" s="9">
        <v>1796</v>
      </c>
      <c r="B1812" s="10" t="str">
        <f t="shared" si="224"/>
        <v/>
      </c>
      <c r="C1812" s="10" t="str">
        <f t="shared" si="225"/>
        <v/>
      </c>
      <c r="D1812" s="10" t="str">
        <f t="shared" si="226"/>
        <v/>
      </c>
      <c r="E1812" s="11" t="str">
        <f t="shared" si="227"/>
        <v/>
      </c>
      <c r="F1812" s="12" t="str">
        <f t="shared" si="228"/>
        <v/>
      </c>
      <c r="G1812" s="13" t="str">
        <f t="shared" si="229"/>
        <v/>
      </c>
      <c r="H1812" s="13" t="str">
        <f t="shared" si="230"/>
        <v/>
      </c>
      <c r="I1812" s="14" t="str">
        <f t="shared" si="231"/>
        <v/>
      </c>
      <c r="L1812" t="str">
        <f>IFERROR(MATCH($C$5&amp;"|"&amp;RIGHT("000000"&amp;1796,6),LdgRankKeyA,0),"")</f>
        <v/>
      </c>
      <c r="M1812" t="str">
        <f>IFERROR(MATCH($C$5&amp;"|"&amp;RIGHT("000000"&amp;1796,6),LdgRankKeyB,0),"")</f>
        <v/>
      </c>
    </row>
    <row r="1813" spans="1:13" x14ac:dyDescent="0.2">
      <c r="A1813" s="3">
        <v>1797</v>
      </c>
      <c r="B1813" s="4" t="str">
        <f t="shared" si="224"/>
        <v/>
      </c>
      <c r="C1813" s="4" t="str">
        <f t="shared" si="225"/>
        <v/>
      </c>
      <c r="D1813" s="4" t="str">
        <f t="shared" si="226"/>
        <v/>
      </c>
      <c r="E1813" s="5" t="str">
        <f t="shared" si="227"/>
        <v/>
      </c>
      <c r="F1813" s="6" t="str">
        <f t="shared" si="228"/>
        <v/>
      </c>
      <c r="G1813" s="7" t="str">
        <f t="shared" si="229"/>
        <v/>
      </c>
      <c r="H1813" s="7" t="str">
        <f t="shared" si="230"/>
        <v/>
      </c>
      <c r="I1813" s="8" t="str">
        <f t="shared" si="231"/>
        <v/>
      </c>
      <c r="L1813" t="str">
        <f>IFERROR(MATCH($C$5&amp;"|"&amp;RIGHT("000000"&amp;1797,6),LdgRankKeyA,0),"")</f>
        <v/>
      </c>
      <c r="M1813" t="str">
        <f>IFERROR(MATCH($C$5&amp;"|"&amp;RIGHT("000000"&amp;1797,6),LdgRankKeyB,0),"")</f>
        <v/>
      </c>
    </row>
    <row r="1814" spans="1:13" x14ac:dyDescent="0.2">
      <c r="A1814" s="9">
        <v>1798</v>
      </c>
      <c r="B1814" s="10" t="str">
        <f t="shared" si="224"/>
        <v/>
      </c>
      <c r="C1814" s="10" t="str">
        <f t="shared" si="225"/>
        <v/>
      </c>
      <c r="D1814" s="10" t="str">
        <f t="shared" si="226"/>
        <v/>
      </c>
      <c r="E1814" s="11" t="str">
        <f t="shared" si="227"/>
        <v/>
      </c>
      <c r="F1814" s="12" t="str">
        <f t="shared" si="228"/>
        <v/>
      </c>
      <c r="G1814" s="13" t="str">
        <f t="shared" si="229"/>
        <v/>
      </c>
      <c r="H1814" s="13" t="str">
        <f t="shared" si="230"/>
        <v/>
      </c>
      <c r="I1814" s="14" t="str">
        <f t="shared" si="231"/>
        <v/>
      </c>
      <c r="L1814" t="str">
        <f>IFERROR(MATCH($C$5&amp;"|"&amp;RIGHT("000000"&amp;1798,6),LdgRankKeyA,0),"")</f>
        <v/>
      </c>
      <c r="M1814" t="str">
        <f>IFERROR(MATCH($C$5&amp;"|"&amp;RIGHT("000000"&amp;1798,6),LdgRankKeyB,0),"")</f>
        <v/>
      </c>
    </row>
    <row r="1815" spans="1:13" x14ac:dyDescent="0.2">
      <c r="A1815" s="3">
        <v>1799</v>
      </c>
      <c r="B1815" s="4" t="str">
        <f t="shared" si="224"/>
        <v/>
      </c>
      <c r="C1815" s="4" t="str">
        <f t="shared" si="225"/>
        <v/>
      </c>
      <c r="D1815" s="4" t="str">
        <f t="shared" si="226"/>
        <v/>
      </c>
      <c r="E1815" s="5" t="str">
        <f t="shared" si="227"/>
        <v/>
      </c>
      <c r="F1815" s="6" t="str">
        <f t="shared" si="228"/>
        <v/>
      </c>
      <c r="G1815" s="7" t="str">
        <f t="shared" si="229"/>
        <v/>
      </c>
      <c r="H1815" s="7" t="str">
        <f t="shared" si="230"/>
        <v/>
      </c>
      <c r="I1815" s="8" t="str">
        <f t="shared" si="231"/>
        <v/>
      </c>
      <c r="L1815" t="str">
        <f>IFERROR(MATCH($C$5&amp;"|"&amp;RIGHT("000000"&amp;1799,6),LdgRankKeyA,0),"")</f>
        <v/>
      </c>
      <c r="M1815" t="str">
        <f>IFERROR(MATCH($C$5&amp;"|"&amp;RIGHT("000000"&amp;1799,6),LdgRankKeyB,0),"")</f>
        <v/>
      </c>
    </row>
    <row r="1816" spans="1:13" x14ac:dyDescent="0.2">
      <c r="A1816" s="9">
        <v>1800</v>
      </c>
      <c r="B1816" s="10" t="str">
        <f t="shared" si="224"/>
        <v/>
      </c>
      <c r="C1816" s="10" t="str">
        <f t="shared" si="225"/>
        <v/>
      </c>
      <c r="D1816" s="10" t="str">
        <f t="shared" si="226"/>
        <v/>
      </c>
      <c r="E1816" s="11" t="str">
        <f t="shared" si="227"/>
        <v/>
      </c>
      <c r="F1816" s="12" t="str">
        <f t="shared" si="228"/>
        <v/>
      </c>
      <c r="G1816" s="13" t="str">
        <f t="shared" si="229"/>
        <v/>
      </c>
      <c r="H1816" s="13" t="str">
        <f t="shared" si="230"/>
        <v/>
      </c>
      <c r="I1816" s="14" t="str">
        <f t="shared" si="231"/>
        <v/>
      </c>
      <c r="L1816" t="str">
        <f>IFERROR(MATCH($C$5&amp;"|"&amp;RIGHT("000000"&amp;1800,6),LdgRankKeyA,0),"")</f>
        <v/>
      </c>
      <c r="M1816" t="str">
        <f>IFERROR(MATCH($C$5&amp;"|"&amp;RIGHT("000000"&amp;1800,6),LdgRankKeyB,0),"")</f>
        <v/>
      </c>
    </row>
    <row r="1817" spans="1:13" x14ac:dyDescent="0.2">
      <c r="A1817" s="3">
        <v>1801</v>
      </c>
      <c r="B1817" s="4" t="str">
        <f t="shared" si="224"/>
        <v/>
      </c>
      <c r="C1817" s="4" t="str">
        <f t="shared" si="225"/>
        <v/>
      </c>
      <c r="D1817" s="4" t="str">
        <f t="shared" si="226"/>
        <v/>
      </c>
      <c r="E1817" s="5" t="str">
        <f t="shared" si="227"/>
        <v/>
      </c>
      <c r="F1817" s="6" t="str">
        <f t="shared" si="228"/>
        <v/>
      </c>
      <c r="G1817" s="7" t="str">
        <f t="shared" si="229"/>
        <v/>
      </c>
      <c r="H1817" s="7" t="str">
        <f t="shared" si="230"/>
        <v/>
      </c>
      <c r="I1817" s="8" t="str">
        <f t="shared" si="231"/>
        <v/>
      </c>
      <c r="L1817" t="str">
        <f>IFERROR(MATCH($C$5&amp;"|"&amp;RIGHT("000000"&amp;1801,6),LdgRankKeyA,0),"")</f>
        <v/>
      </c>
      <c r="M1817" t="str">
        <f>IFERROR(MATCH($C$5&amp;"|"&amp;RIGHT("000000"&amp;1801,6),LdgRankKeyB,0),"")</f>
        <v/>
      </c>
    </row>
    <row r="1818" spans="1:13" x14ac:dyDescent="0.2">
      <c r="A1818" s="9">
        <v>1802</v>
      </c>
      <c r="B1818" s="10" t="str">
        <f t="shared" si="224"/>
        <v/>
      </c>
      <c r="C1818" s="10" t="str">
        <f t="shared" si="225"/>
        <v/>
      </c>
      <c r="D1818" s="10" t="str">
        <f t="shared" si="226"/>
        <v/>
      </c>
      <c r="E1818" s="11" t="str">
        <f t="shared" si="227"/>
        <v/>
      </c>
      <c r="F1818" s="12" t="str">
        <f t="shared" si="228"/>
        <v/>
      </c>
      <c r="G1818" s="13" t="str">
        <f t="shared" si="229"/>
        <v/>
      </c>
      <c r="H1818" s="13" t="str">
        <f t="shared" si="230"/>
        <v/>
      </c>
      <c r="I1818" s="14" t="str">
        <f t="shared" si="231"/>
        <v/>
      </c>
      <c r="L1818" t="str">
        <f>IFERROR(MATCH($C$5&amp;"|"&amp;RIGHT("000000"&amp;1802,6),LdgRankKeyA,0),"")</f>
        <v/>
      </c>
      <c r="M1818" t="str">
        <f>IFERROR(MATCH($C$5&amp;"|"&amp;RIGHT("000000"&amp;1802,6),LdgRankKeyB,0),"")</f>
        <v/>
      </c>
    </row>
    <row r="1819" spans="1:13" x14ac:dyDescent="0.2">
      <c r="A1819" s="3">
        <v>1803</v>
      </c>
      <c r="B1819" s="4" t="str">
        <f t="shared" si="224"/>
        <v/>
      </c>
      <c r="C1819" s="4" t="str">
        <f t="shared" si="225"/>
        <v/>
      </c>
      <c r="D1819" s="4" t="str">
        <f t="shared" si="226"/>
        <v/>
      </c>
      <c r="E1819" s="5" t="str">
        <f t="shared" si="227"/>
        <v/>
      </c>
      <c r="F1819" s="6" t="str">
        <f t="shared" si="228"/>
        <v/>
      </c>
      <c r="G1819" s="7" t="str">
        <f t="shared" si="229"/>
        <v/>
      </c>
      <c r="H1819" s="7" t="str">
        <f t="shared" si="230"/>
        <v/>
      </c>
      <c r="I1819" s="8" t="str">
        <f t="shared" si="231"/>
        <v/>
      </c>
      <c r="L1819" t="str">
        <f>IFERROR(MATCH($C$5&amp;"|"&amp;RIGHT("000000"&amp;1803,6),LdgRankKeyA,0),"")</f>
        <v/>
      </c>
      <c r="M1819" t="str">
        <f>IFERROR(MATCH($C$5&amp;"|"&amp;RIGHT("000000"&amp;1803,6),LdgRankKeyB,0),"")</f>
        <v/>
      </c>
    </row>
    <row r="1820" spans="1:13" x14ac:dyDescent="0.2">
      <c r="A1820" s="9">
        <v>1804</v>
      </c>
      <c r="B1820" s="10" t="str">
        <f t="shared" si="224"/>
        <v/>
      </c>
      <c r="C1820" s="10" t="str">
        <f t="shared" si="225"/>
        <v/>
      </c>
      <c r="D1820" s="10" t="str">
        <f t="shared" si="226"/>
        <v/>
      </c>
      <c r="E1820" s="11" t="str">
        <f t="shared" si="227"/>
        <v/>
      </c>
      <c r="F1820" s="12" t="str">
        <f t="shared" si="228"/>
        <v/>
      </c>
      <c r="G1820" s="13" t="str">
        <f t="shared" si="229"/>
        <v/>
      </c>
      <c r="H1820" s="13" t="str">
        <f t="shared" si="230"/>
        <v/>
      </c>
      <c r="I1820" s="14" t="str">
        <f t="shared" si="231"/>
        <v/>
      </c>
      <c r="L1820" t="str">
        <f>IFERROR(MATCH($C$5&amp;"|"&amp;RIGHT("000000"&amp;1804,6),LdgRankKeyA,0),"")</f>
        <v/>
      </c>
      <c r="M1820" t="str">
        <f>IFERROR(MATCH($C$5&amp;"|"&amp;RIGHT("000000"&amp;1804,6),LdgRankKeyB,0),"")</f>
        <v/>
      </c>
    </row>
    <row r="1821" spans="1:13" x14ac:dyDescent="0.2">
      <c r="A1821" s="3">
        <v>1805</v>
      </c>
      <c r="B1821" s="4" t="str">
        <f t="shared" si="224"/>
        <v/>
      </c>
      <c r="C1821" s="4" t="str">
        <f t="shared" si="225"/>
        <v/>
      </c>
      <c r="D1821" s="4" t="str">
        <f t="shared" si="226"/>
        <v/>
      </c>
      <c r="E1821" s="5" t="str">
        <f t="shared" si="227"/>
        <v/>
      </c>
      <c r="F1821" s="6" t="str">
        <f t="shared" si="228"/>
        <v/>
      </c>
      <c r="G1821" s="7" t="str">
        <f t="shared" si="229"/>
        <v/>
      </c>
      <c r="H1821" s="7" t="str">
        <f t="shared" si="230"/>
        <v/>
      </c>
      <c r="I1821" s="8" t="str">
        <f t="shared" si="231"/>
        <v/>
      </c>
      <c r="L1821" t="str">
        <f>IFERROR(MATCH($C$5&amp;"|"&amp;RIGHT("000000"&amp;1805,6),LdgRankKeyA,0),"")</f>
        <v/>
      </c>
      <c r="M1821" t="str">
        <f>IFERROR(MATCH($C$5&amp;"|"&amp;RIGHT("000000"&amp;1805,6),LdgRankKeyB,0),"")</f>
        <v/>
      </c>
    </row>
    <row r="1822" spans="1:13" x14ac:dyDescent="0.2">
      <c r="A1822" s="9">
        <v>1806</v>
      </c>
      <c r="B1822" s="10" t="str">
        <f t="shared" si="224"/>
        <v/>
      </c>
      <c r="C1822" s="10" t="str">
        <f t="shared" si="225"/>
        <v/>
      </c>
      <c r="D1822" s="10" t="str">
        <f t="shared" si="226"/>
        <v/>
      </c>
      <c r="E1822" s="11" t="str">
        <f t="shared" si="227"/>
        <v/>
      </c>
      <c r="F1822" s="12" t="str">
        <f t="shared" si="228"/>
        <v/>
      </c>
      <c r="G1822" s="13" t="str">
        <f t="shared" si="229"/>
        <v/>
      </c>
      <c r="H1822" s="13" t="str">
        <f t="shared" si="230"/>
        <v/>
      </c>
      <c r="I1822" s="14" t="str">
        <f t="shared" si="231"/>
        <v/>
      </c>
      <c r="L1822" t="str">
        <f>IFERROR(MATCH($C$5&amp;"|"&amp;RIGHT("000000"&amp;1806,6),LdgRankKeyA,0),"")</f>
        <v/>
      </c>
      <c r="M1822" t="str">
        <f>IFERROR(MATCH($C$5&amp;"|"&amp;RIGHT("000000"&amp;1806,6),LdgRankKeyB,0),"")</f>
        <v/>
      </c>
    </row>
    <row r="1823" spans="1:13" x14ac:dyDescent="0.2">
      <c r="A1823" s="3">
        <v>1807</v>
      </c>
      <c r="B1823" s="4" t="str">
        <f t="shared" si="224"/>
        <v/>
      </c>
      <c r="C1823" s="4" t="str">
        <f t="shared" si="225"/>
        <v/>
      </c>
      <c r="D1823" s="4" t="str">
        <f t="shared" si="226"/>
        <v/>
      </c>
      <c r="E1823" s="5" t="str">
        <f t="shared" si="227"/>
        <v/>
      </c>
      <c r="F1823" s="6" t="str">
        <f t="shared" si="228"/>
        <v/>
      </c>
      <c r="G1823" s="7" t="str">
        <f t="shared" si="229"/>
        <v/>
      </c>
      <c r="H1823" s="7" t="str">
        <f t="shared" si="230"/>
        <v/>
      </c>
      <c r="I1823" s="8" t="str">
        <f t="shared" si="231"/>
        <v/>
      </c>
      <c r="L1823" t="str">
        <f>IFERROR(MATCH($C$5&amp;"|"&amp;RIGHT("000000"&amp;1807,6),LdgRankKeyA,0),"")</f>
        <v/>
      </c>
      <c r="M1823" t="str">
        <f>IFERROR(MATCH($C$5&amp;"|"&amp;RIGHT("000000"&amp;1807,6),LdgRankKeyB,0),"")</f>
        <v/>
      </c>
    </row>
    <row r="1824" spans="1:13" x14ac:dyDescent="0.2">
      <c r="A1824" s="9">
        <v>1808</v>
      </c>
      <c r="B1824" s="10" t="str">
        <f t="shared" si="224"/>
        <v/>
      </c>
      <c r="C1824" s="10" t="str">
        <f t="shared" si="225"/>
        <v/>
      </c>
      <c r="D1824" s="10" t="str">
        <f t="shared" si="226"/>
        <v/>
      </c>
      <c r="E1824" s="11" t="str">
        <f t="shared" si="227"/>
        <v/>
      </c>
      <c r="F1824" s="12" t="str">
        <f t="shared" si="228"/>
        <v/>
      </c>
      <c r="G1824" s="13" t="str">
        <f t="shared" si="229"/>
        <v/>
      </c>
      <c r="H1824" s="13" t="str">
        <f t="shared" si="230"/>
        <v/>
      </c>
      <c r="I1824" s="14" t="str">
        <f t="shared" si="231"/>
        <v/>
      </c>
      <c r="L1824" t="str">
        <f>IFERROR(MATCH($C$5&amp;"|"&amp;RIGHT("000000"&amp;1808,6),LdgRankKeyA,0),"")</f>
        <v/>
      </c>
      <c r="M1824" t="str">
        <f>IFERROR(MATCH($C$5&amp;"|"&amp;RIGHT("000000"&amp;1808,6),LdgRankKeyB,0),"")</f>
        <v/>
      </c>
    </row>
    <row r="1825" spans="1:13" x14ac:dyDescent="0.2">
      <c r="A1825" s="3">
        <v>1809</v>
      </c>
      <c r="B1825" s="4" t="str">
        <f t="shared" si="224"/>
        <v/>
      </c>
      <c r="C1825" s="4" t="str">
        <f t="shared" si="225"/>
        <v/>
      </c>
      <c r="D1825" s="4" t="str">
        <f t="shared" si="226"/>
        <v/>
      </c>
      <c r="E1825" s="5" t="str">
        <f t="shared" si="227"/>
        <v/>
      </c>
      <c r="F1825" s="6" t="str">
        <f t="shared" si="228"/>
        <v/>
      </c>
      <c r="G1825" s="7" t="str">
        <f t="shared" si="229"/>
        <v/>
      </c>
      <c r="H1825" s="7" t="str">
        <f t="shared" si="230"/>
        <v/>
      </c>
      <c r="I1825" s="8" t="str">
        <f t="shared" si="231"/>
        <v/>
      </c>
      <c r="L1825" t="str">
        <f>IFERROR(MATCH($C$5&amp;"|"&amp;RIGHT("000000"&amp;1809,6),LdgRankKeyA,0),"")</f>
        <v/>
      </c>
      <c r="M1825" t="str">
        <f>IFERROR(MATCH($C$5&amp;"|"&amp;RIGHT("000000"&amp;1809,6),LdgRankKeyB,0),"")</f>
        <v/>
      </c>
    </row>
    <row r="1826" spans="1:13" x14ac:dyDescent="0.2">
      <c r="A1826" s="9">
        <v>1810</v>
      </c>
      <c r="B1826" s="10" t="str">
        <f t="shared" si="224"/>
        <v/>
      </c>
      <c r="C1826" s="10" t="str">
        <f t="shared" si="225"/>
        <v/>
      </c>
      <c r="D1826" s="10" t="str">
        <f t="shared" si="226"/>
        <v/>
      </c>
      <c r="E1826" s="11" t="str">
        <f t="shared" si="227"/>
        <v/>
      </c>
      <c r="F1826" s="12" t="str">
        <f t="shared" si="228"/>
        <v/>
      </c>
      <c r="G1826" s="13" t="str">
        <f t="shared" si="229"/>
        <v/>
      </c>
      <c r="H1826" s="13" t="str">
        <f t="shared" si="230"/>
        <v/>
      </c>
      <c r="I1826" s="14" t="str">
        <f t="shared" si="231"/>
        <v/>
      </c>
      <c r="L1826" t="str">
        <f>IFERROR(MATCH($C$5&amp;"|"&amp;RIGHT("000000"&amp;1810,6),LdgRankKeyA,0),"")</f>
        <v/>
      </c>
      <c r="M1826" t="str">
        <f>IFERROR(MATCH($C$5&amp;"|"&amp;RIGHT("000000"&amp;1810,6),LdgRankKeyB,0),"")</f>
        <v/>
      </c>
    </row>
    <row r="1827" spans="1:13" x14ac:dyDescent="0.2">
      <c r="A1827" s="3">
        <v>1811</v>
      </c>
      <c r="B1827" s="4" t="str">
        <f t="shared" si="224"/>
        <v/>
      </c>
      <c r="C1827" s="4" t="str">
        <f t="shared" si="225"/>
        <v/>
      </c>
      <c r="D1827" s="4" t="str">
        <f t="shared" si="226"/>
        <v/>
      </c>
      <c r="E1827" s="5" t="str">
        <f t="shared" si="227"/>
        <v/>
      </c>
      <c r="F1827" s="6" t="str">
        <f t="shared" si="228"/>
        <v/>
      </c>
      <c r="G1827" s="7" t="str">
        <f t="shared" si="229"/>
        <v/>
      </c>
      <c r="H1827" s="7" t="str">
        <f t="shared" si="230"/>
        <v/>
      </c>
      <c r="I1827" s="8" t="str">
        <f t="shared" si="231"/>
        <v/>
      </c>
      <c r="L1827" t="str">
        <f>IFERROR(MATCH($C$5&amp;"|"&amp;RIGHT("000000"&amp;1811,6),LdgRankKeyA,0),"")</f>
        <v/>
      </c>
      <c r="M1827" t="str">
        <f>IFERROR(MATCH($C$5&amp;"|"&amp;RIGHT("000000"&amp;1811,6),LdgRankKeyB,0),"")</f>
        <v/>
      </c>
    </row>
    <row r="1828" spans="1:13" x14ac:dyDescent="0.2">
      <c r="A1828" s="9">
        <v>1812</v>
      </c>
      <c r="B1828" s="10" t="str">
        <f t="shared" si="224"/>
        <v/>
      </c>
      <c r="C1828" s="10" t="str">
        <f t="shared" si="225"/>
        <v/>
      </c>
      <c r="D1828" s="10" t="str">
        <f t="shared" si="226"/>
        <v/>
      </c>
      <c r="E1828" s="11" t="str">
        <f t="shared" si="227"/>
        <v/>
      </c>
      <c r="F1828" s="12" t="str">
        <f t="shared" si="228"/>
        <v/>
      </c>
      <c r="G1828" s="13" t="str">
        <f t="shared" si="229"/>
        <v/>
      </c>
      <c r="H1828" s="13" t="str">
        <f t="shared" si="230"/>
        <v/>
      </c>
      <c r="I1828" s="14" t="str">
        <f t="shared" si="231"/>
        <v/>
      </c>
      <c r="L1828" t="str">
        <f>IFERROR(MATCH($C$5&amp;"|"&amp;RIGHT("000000"&amp;1812,6),LdgRankKeyA,0),"")</f>
        <v/>
      </c>
      <c r="M1828" t="str">
        <f>IFERROR(MATCH($C$5&amp;"|"&amp;RIGHT("000000"&amp;1812,6),LdgRankKeyB,0),"")</f>
        <v/>
      </c>
    </row>
    <row r="1829" spans="1:13" x14ac:dyDescent="0.2">
      <c r="A1829" s="3">
        <v>1813</v>
      </c>
      <c r="B1829" s="4" t="str">
        <f t="shared" si="224"/>
        <v/>
      </c>
      <c r="C1829" s="4" t="str">
        <f t="shared" si="225"/>
        <v/>
      </c>
      <c r="D1829" s="4" t="str">
        <f t="shared" si="226"/>
        <v/>
      </c>
      <c r="E1829" s="5" t="str">
        <f t="shared" si="227"/>
        <v/>
      </c>
      <c r="F1829" s="6" t="str">
        <f t="shared" si="228"/>
        <v/>
      </c>
      <c r="G1829" s="7" t="str">
        <f t="shared" si="229"/>
        <v/>
      </c>
      <c r="H1829" s="7" t="str">
        <f t="shared" si="230"/>
        <v/>
      </c>
      <c r="I1829" s="8" t="str">
        <f t="shared" si="231"/>
        <v/>
      </c>
      <c r="L1829" t="str">
        <f>IFERROR(MATCH($C$5&amp;"|"&amp;RIGHT("000000"&amp;1813,6),LdgRankKeyA,0),"")</f>
        <v/>
      </c>
      <c r="M1829" t="str">
        <f>IFERROR(MATCH($C$5&amp;"|"&amp;RIGHT("000000"&amp;1813,6),LdgRankKeyB,0),"")</f>
        <v/>
      </c>
    </row>
    <row r="1830" spans="1:13" x14ac:dyDescent="0.2">
      <c r="A1830" s="9">
        <v>1814</v>
      </c>
      <c r="B1830" s="10" t="str">
        <f t="shared" si="224"/>
        <v/>
      </c>
      <c r="C1830" s="10" t="str">
        <f t="shared" si="225"/>
        <v/>
      </c>
      <c r="D1830" s="10" t="str">
        <f t="shared" si="226"/>
        <v/>
      </c>
      <c r="E1830" s="11" t="str">
        <f t="shared" si="227"/>
        <v/>
      </c>
      <c r="F1830" s="12" t="str">
        <f t="shared" si="228"/>
        <v/>
      </c>
      <c r="G1830" s="13" t="str">
        <f t="shared" si="229"/>
        <v/>
      </c>
      <c r="H1830" s="13" t="str">
        <f t="shared" si="230"/>
        <v/>
      </c>
      <c r="I1830" s="14" t="str">
        <f t="shared" si="231"/>
        <v/>
      </c>
      <c r="L1830" t="str">
        <f>IFERROR(MATCH($C$5&amp;"|"&amp;RIGHT("000000"&amp;1814,6),LdgRankKeyA,0),"")</f>
        <v/>
      </c>
      <c r="M1830" t="str">
        <f>IFERROR(MATCH($C$5&amp;"|"&amp;RIGHT("000000"&amp;1814,6),LdgRankKeyB,0),"")</f>
        <v/>
      </c>
    </row>
    <row r="1831" spans="1:13" x14ac:dyDescent="0.2">
      <c r="A1831" s="3">
        <v>1815</v>
      </c>
      <c r="B1831" s="4" t="str">
        <f t="shared" si="224"/>
        <v/>
      </c>
      <c r="C1831" s="4" t="str">
        <f t="shared" si="225"/>
        <v/>
      </c>
      <c r="D1831" s="4" t="str">
        <f t="shared" si="226"/>
        <v/>
      </c>
      <c r="E1831" s="5" t="str">
        <f t="shared" si="227"/>
        <v/>
      </c>
      <c r="F1831" s="6" t="str">
        <f t="shared" si="228"/>
        <v/>
      </c>
      <c r="G1831" s="7" t="str">
        <f t="shared" si="229"/>
        <v/>
      </c>
      <c r="H1831" s="7" t="str">
        <f t="shared" si="230"/>
        <v/>
      </c>
      <c r="I1831" s="8" t="str">
        <f t="shared" si="231"/>
        <v/>
      </c>
      <c r="L1831" t="str">
        <f>IFERROR(MATCH($C$5&amp;"|"&amp;RIGHT("000000"&amp;1815,6),LdgRankKeyA,0),"")</f>
        <v/>
      </c>
      <c r="M1831" t="str">
        <f>IFERROR(MATCH($C$5&amp;"|"&amp;RIGHT("000000"&amp;1815,6),LdgRankKeyB,0),"")</f>
        <v/>
      </c>
    </row>
    <row r="1832" spans="1:13" x14ac:dyDescent="0.2">
      <c r="A1832" s="9">
        <v>1816</v>
      </c>
      <c r="B1832" s="10" t="str">
        <f t="shared" si="224"/>
        <v/>
      </c>
      <c r="C1832" s="10" t="str">
        <f t="shared" si="225"/>
        <v/>
      </c>
      <c r="D1832" s="10" t="str">
        <f t="shared" si="226"/>
        <v/>
      </c>
      <c r="E1832" s="11" t="str">
        <f t="shared" si="227"/>
        <v/>
      </c>
      <c r="F1832" s="12" t="str">
        <f t="shared" si="228"/>
        <v/>
      </c>
      <c r="G1832" s="13" t="str">
        <f t="shared" si="229"/>
        <v/>
      </c>
      <c r="H1832" s="13" t="str">
        <f t="shared" si="230"/>
        <v/>
      </c>
      <c r="I1832" s="14" t="str">
        <f t="shared" si="231"/>
        <v/>
      </c>
      <c r="L1832" t="str">
        <f>IFERROR(MATCH($C$5&amp;"|"&amp;RIGHT("000000"&amp;1816,6),LdgRankKeyA,0),"")</f>
        <v/>
      </c>
      <c r="M1832" t="str">
        <f>IFERROR(MATCH($C$5&amp;"|"&amp;RIGHT("000000"&amp;1816,6),LdgRankKeyB,0),"")</f>
        <v/>
      </c>
    </row>
    <row r="1833" spans="1:13" x14ac:dyDescent="0.2">
      <c r="A1833" s="3">
        <v>1817</v>
      </c>
      <c r="B1833" s="4" t="str">
        <f t="shared" si="224"/>
        <v/>
      </c>
      <c r="C1833" s="4" t="str">
        <f t="shared" si="225"/>
        <v/>
      </c>
      <c r="D1833" s="4" t="str">
        <f t="shared" si="226"/>
        <v/>
      </c>
      <c r="E1833" s="5" t="str">
        <f t="shared" si="227"/>
        <v/>
      </c>
      <c r="F1833" s="6" t="str">
        <f t="shared" si="228"/>
        <v/>
      </c>
      <c r="G1833" s="7" t="str">
        <f t="shared" si="229"/>
        <v/>
      </c>
      <c r="H1833" s="7" t="str">
        <f t="shared" si="230"/>
        <v/>
      </c>
      <c r="I1833" s="8" t="str">
        <f t="shared" si="231"/>
        <v/>
      </c>
      <c r="L1833" t="str">
        <f>IFERROR(MATCH($C$5&amp;"|"&amp;RIGHT("000000"&amp;1817,6),LdgRankKeyA,0),"")</f>
        <v/>
      </c>
      <c r="M1833" t="str">
        <f>IFERROR(MATCH($C$5&amp;"|"&amp;RIGHT("000000"&amp;1817,6),LdgRankKeyB,0),"")</f>
        <v/>
      </c>
    </row>
    <row r="1834" spans="1:13" x14ac:dyDescent="0.2">
      <c r="A1834" s="9">
        <v>1818</v>
      </c>
      <c r="B1834" s="10" t="str">
        <f t="shared" si="224"/>
        <v/>
      </c>
      <c r="C1834" s="10" t="str">
        <f t="shared" si="225"/>
        <v/>
      </c>
      <c r="D1834" s="10" t="str">
        <f t="shared" si="226"/>
        <v/>
      </c>
      <c r="E1834" s="11" t="str">
        <f t="shared" si="227"/>
        <v/>
      </c>
      <c r="F1834" s="12" t="str">
        <f t="shared" si="228"/>
        <v/>
      </c>
      <c r="G1834" s="13" t="str">
        <f t="shared" si="229"/>
        <v/>
      </c>
      <c r="H1834" s="13" t="str">
        <f t="shared" si="230"/>
        <v/>
      </c>
      <c r="I1834" s="14" t="str">
        <f t="shared" si="231"/>
        <v/>
      </c>
      <c r="L1834" t="str">
        <f>IFERROR(MATCH($C$5&amp;"|"&amp;RIGHT("000000"&amp;1818,6),LdgRankKeyA,0),"")</f>
        <v/>
      </c>
      <c r="M1834" t="str">
        <f>IFERROR(MATCH($C$5&amp;"|"&amp;RIGHT("000000"&amp;1818,6),LdgRankKeyB,0),"")</f>
        <v/>
      </c>
    </row>
    <row r="1835" spans="1:13" x14ac:dyDescent="0.2">
      <c r="A1835" s="3">
        <v>1819</v>
      </c>
      <c r="B1835" s="4" t="str">
        <f t="shared" si="224"/>
        <v/>
      </c>
      <c r="C1835" s="4" t="str">
        <f t="shared" si="225"/>
        <v/>
      </c>
      <c r="D1835" s="4" t="str">
        <f t="shared" si="226"/>
        <v/>
      </c>
      <c r="E1835" s="5" t="str">
        <f t="shared" si="227"/>
        <v/>
      </c>
      <c r="F1835" s="6" t="str">
        <f t="shared" si="228"/>
        <v/>
      </c>
      <c r="G1835" s="7" t="str">
        <f t="shared" si="229"/>
        <v/>
      </c>
      <c r="H1835" s="7" t="str">
        <f t="shared" si="230"/>
        <v/>
      </c>
      <c r="I1835" s="8" t="str">
        <f t="shared" si="231"/>
        <v/>
      </c>
      <c r="L1835" t="str">
        <f>IFERROR(MATCH($C$5&amp;"|"&amp;RIGHT("000000"&amp;1819,6),LdgRankKeyA,0),"")</f>
        <v/>
      </c>
      <c r="M1835" t="str">
        <f>IFERROR(MATCH($C$5&amp;"|"&amp;RIGHT("000000"&amp;1819,6),LdgRankKeyB,0),"")</f>
        <v/>
      </c>
    </row>
    <row r="1836" spans="1:13" x14ac:dyDescent="0.2">
      <c r="A1836" s="9">
        <v>1820</v>
      </c>
      <c r="B1836" s="10" t="str">
        <f t="shared" si="224"/>
        <v/>
      </c>
      <c r="C1836" s="10" t="str">
        <f t="shared" si="225"/>
        <v/>
      </c>
      <c r="D1836" s="10" t="str">
        <f t="shared" si="226"/>
        <v/>
      </c>
      <c r="E1836" s="11" t="str">
        <f t="shared" si="227"/>
        <v/>
      </c>
      <c r="F1836" s="12" t="str">
        <f t="shared" si="228"/>
        <v/>
      </c>
      <c r="G1836" s="13" t="str">
        <f t="shared" si="229"/>
        <v/>
      </c>
      <c r="H1836" s="13" t="str">
        <f t="shared" si="230"/>
        <v/>
      </c>
      <c r="I1836" s="14" t="str">
        <f t="shared" si="231"/>
        <v/>
      </c>
      <c r="L1836" t="str">
        <f>IFERROR(MATCH($C$5&amp;"|"&amp;RIGHT("000000"&amp;1820,6),LdgRankKeyA,0),"")</f>
        <v/>
      </c>
      <c r="M1836" t="str">
        <f>IFERROR(MATCH($C$5&amp;"|"&amp;RIGHT("000000"&amp;1820,6),LdgRankKeyB,0),"")</f>
        <v/>
      </c>
    </row>
    <row r="1837" spans="1:13" x14ac:dyDescent="0.2">
      <c r="A1837" s="3">
        <v>1821</v>
      </c>
      <c r="B1837" s="4" t="str">
        <f t="shared" si="224"/>
        <v/>
      </c>
      <c r="C1837" s="4" t="str">
        <f t="shared" si="225"/>
        <v/>
      </c>
      <c r="D1837" s="4" t="str">
        <f t="shared" si="226"/>
        <v/>
      </c>
      <c r="E1837" s="5" t="str">
        <f t="shared" si="227"/>
        <v/>
      </c>
      <c r="F1837" s="6" t="str">
        <f t="shared" si="228"/>
        <v/>
      </c>
      <c r="G1837" s="7" t="str">
        <f t="shared" si="229"/>
        <v/>
      </c>
      <c r="H1837" s="7" t="str">
        <f t="shared" si="230"/>
        <v/>
      </c>
      <c r="I1837" s="8" t="str">
        <f t="shared" si="231"/>
        <v/>
      </c>
      <c r="L1837" t="str">
        <f>IFERROR(MATCH($C$5&amp;"|"&amp;RIGHT("000000"&amp;1821,6),LdgRankKeyA,0),"")</f>
        <v/>
      </c>
      <c r="M1837" t="str">
        <f>IFERROR(MATCH($C$5&amp;"|"&amp;RIGHT("000000"&amp;1821,6),LdgRankKeyB,0),"")</f>
        <v/>
      </c>
    </row>
    <row r="1838" spans="1:13" x14ac:dyDescent="0.2">
      <c r="A1838" s="9">
        <v>1822</v>
      </c>
      <c r="B1838" s="10" t="str">
        <f t="shared" si="224"/>
        <v/>
      </c>
      <c r="C1838" s="10" t="str">
        <f t="shared" si="225"/>
        <v/>
      </c>
      <c r="D1838" s="10" t="str">
        <f t="shared" si="226"/>
        <v/>
      </c>
      <c r="E1838" s="11" t="str">
        <f t="shared" si="227"/>
        <v/>
      </c>
      <c r="F1838" s="12" t="str">
        <f t="shared" si="228"/>
        <v/>
      </c>
      <c r="G1838" s="13" t="str">
        <f t="shared" si="229"/>
        <v/>
      </c>
      <c r="H1838" s="13" t="str">
        <f t="shared" si="230"/>
        <v/>
      </c>
      <c r="I1838" s="14" t="str">
        <f t="shared" si="231"/>
        <v/>
      </c>
      <c r="L1838" t="str">
        <f>IFERROR(MATCH($C$5&amp;"|"&amp;RIGHT("000000"&amp;1822,6),LdgRankKeyA,0),"")</f>
        <v/>
      </c>
      <c r="M1838" t="str">
        <f>IFERROR(MATCH($C$5&amp;"|"&amp;RIGHT("000000"&amp;1822,6),LdgRankKeyB,0),"")</f>
        <v/>
      </c>
    </row>
    <row r="1839" spans="1:13" x14ac:dyDescent="0.2">
      <c r="A1839" s="3">
        <v>1823</v>
      </c>
      <c r="B1839" s="4" t="str">
        <f t="shared" si="224"/>
        <v/>
      </c>
      <c r="C1839" s="4" t="str">
        <f t="shared" si="225"/>
        <v/>
      </c>
      <c r="D1839" s="4" t="str">
        <f t="shared" si="226"/>
        <v/>
      </c>
      <c r="E1839" s="5" t="str">
        <f t="shared" si="227"/>
        <v/>
      </c>
      <c r="F1839" s="6" t="str">
        <f t="shared" si="228"/>
        <v/>
      </c>
      <c r="G1839" s="7" t="str">
        <f t="shared" si="229"/>
        <v/>
      </c>
      <c r="H1839" s="7" t="str">
        <f t="shared" si="230"/>
        <v/>
      </c>
      <c r="I1839" s="8" t="str">
        <f t="shared" si="231"/>
        <v/>
      </c>
      <c r="L1839" t="str">
        <f>IFERROR(MATCH($C$5&amp;"|"&amp;RIGHT("000000"&amp;1823,6),LdgRankKeyA,0),"")</f>
        <v/>
      </c>
      <c r="M1839" t="str">
        <f>IFERROR(MATCH($C$5&amp;"|"&amp;RIGHT("000000"&amp;1823,6),LdgRankKeyB,0),"")</f>
        <v/>
      </c>
    </row>
    <row r="1840" spans="1:13" x14ac:dyDescent="0.2">
      <c r="A1840" s="9">
        <v>1824</v>
      </c>
      <c r="B1840" s="10" t="str">
        <f t="shared" si="224"/>
        <v/>
      </c>
      <c r="C1840" s="10" t="str">
        <f t="shared" si="225"/>
        <v/>
      </c>
      <c r="D1840" s="10" t="str">
        <f t="shared" si="226"/>
        <v/>
      </c>
      <c r="E1840" s="11" t="str">
        <f t="shared" si="227"/>
        <v/>
      </c>
      <c r="F1840" s="12" t="str">
        <f t="shared" si="228"/>
        <v/>
      </c>
      <c r="G1840" s="13" t="str">
        <f t="shared" si="229"/>
        <v/>
      </c>
      <c r="H1840" s="13" t="str">
        <f t="shared" si="230"/>
        <v/>
      </c>
      <c r="I1840" s="14" t="str">
        <f t="shared" si="231"/>
        <v/>
      </c>
      <c r="L1840" t="str">
        <f>IFERROR(MATCH($C$5&amp;"|"&amp;RIGHT("000000"&amp;1824,6),LdgRankKeyA,0),"")</f>
        <v/>
      </c>
      <c r="M1840" t="str">
        <f>IFERROR(MATCH($C$5&amp;"|"&amp;RIGHT("000000"&amp;1824,6),LdgRankKeyB,0),"")</f>
        <v/>
      </c>
    </row>
    <row r="1841" spans="1:13" x14ac:dyDescent="0.2">
      <c r="A1841" s="3">
        <v>1825</v>
      </c>
      <c r="B1841" s="4" t="str">
        <f t="shared" si="224"/>
        <v/>
      </c>
      <c r="C1841" s="4" t="str">
        <f t="shared" si="225"/>
        <v/>
      </c>
      <c r="D1841" s="4" t="str">
        <f t="shared" si="226"/>
        <v/>
      </c>
      <c r="E1841" s="5" t="str">
        <f t="shared" si="227"/>
        <v/>
      </c>
      <c r="F1841" s="6" t="str">
        <f t="shared" si="228"/>
        <v/>
      </c>
      <c r="G1841" s="7" t="str">
        <f t="shared" si="229"/>
        <v/>
      </c>
      <c r="H1841" s="7" t="str">
        <f t="shared" si="230"/>
        <v/>
      </c>
      <c r="I1841" s="8" t="str">
        <f t="shared" si="231"/>
        <v/>
      </c>
      <c r="L1841" t="str">
        <f>IFERROR(MATCH($C$5&amp;"|"&amp;RIGHT("000000"&amp;1825,6),LdgRankKeyA,0),"")</f>
        <v/>
      </c>
      <c r="M1841" t="str">
        <f>IFERROR(MATCH($C$5&amp;"|"&amp;RIGHT("000000"&amp;1825,6),LdgRankKeyB,0),"")</f>
        <v/>
      </c>
    </row>
    <row r="1842" spans="1:13" x14ac:dyDescent="0.2">
      <c r="A1842" s="9">
        <v>1826</v>
      </c>
      <c r="B1842" s="10" t="str">
        <f t="shared" si="224"/>
        <v/>
      </c>
      <c r="C1842" s="10" t="str">
        <f t="shared" si="225"/>
        <v/>
      </c>
      <c r="D1842" s="10" t="str">
        <f t="shared" si="226"/>
        <v/>
      </c>
      <c r="E1842" s="11" t="str">
        <f t="shared" si="227"/>
        <v/>
      </c>
      <c r="F1842" s="12" t="str">
        <f t="shared" si="228"/>
        <v/>
      </c>
      <c r="G1842" s="13" t="str">
        <f t="shared" si="229"/>
        <v/>
      </c>
      <c r="H1842" s="13" t="str">
        <f t="shared" si="230"/>
        <v/>
      </c>
      <c r="I1842" s="14" t="str">
        <f t="shared" si="231"/>
        <v/>
      </c>
      <c r="L1842" t="str">
        <f>IFERROR(MATCH($C$5&amp;"|"&amp;RIGHT("000000"&amp;1826,6),LdgRankKeyA,0),"")</f>
        <v/>
      </c>
      <c r="M1842" t="str">
        <f>IFERROR(MATCH($C$5&amp;"|"&amp;RIGHT("000000"&amp;1826,6),LdgRankKeyB,0),"")</f>
        <v/>
      </c>
    </row>
    <row r="1843" spans="1:13" x14ac:dyDescent="0.2">
      <c r="A1843" s="3">
        <v>1827</v>
      </c>
      <c r="B1843" s="4" t="str">
        <f t="shared" si="224"/>
        <v/>
      </c>
      <c r="C1843" s="4" t="str">
        <f t="shared" si="225"/>
        <v/>
      </c>
      <c r="D1843" s="4" t="str">
        <f t="shared" si="226"/>
        <v/>
      </c>
      <c r="E1843" s="5" t="str">
        <f t="shared" si="227"/>
        <v/>
      </c>
      <c r="F1843" s="6" t="str">
        <f t="shared" si="228"/>
        <v/>
      </c>
      <c r="G1843" s="7" t="str">
        <f t="shared" si="229"/>
        <v/>
      </c>
      <c r="H1843" s="7" t="str">
        <f t="shared" si="230"/>
        <v/>
      </c>
      <c r="I1843" s="8" t="str">
        <f t="shared" si="231"/>
        <v/>
      </c>
      <c r="L1843" t="str">
        <f>IFERROR(MATCH($C$5&amp;"|"&amp;RIGHT("000000"&amp;1827,6),LdgRankKeyA,0),"")</f>
        <v/>
      </c>
      <c r="M1843" t="str">
        <f>IFERROR(MATCH($C$5&amp;"|"&amp;RIGHT("000000"&amp;1827,6),LdgRankKeyB,0),"")</f>
        <v/>
      </c>
    </row>
    <row r="1844" spans="1:13" x14ac:dyDescent="0.2">
      <c r="A1844" s="9">
        <v>1828</v>
      </c>
      <c r="B1844" s="10" t="str">
        <f t="shared" si="224"/>
        <v/>
      </c>
      <c r="C1844" s="10" t="str">
        <f t="shared" si="225"/>
        <v/>
      </c>
      <c r="D1844" s="10" t="str">
        <f t="shared" si="226"/>
        <v/>
      </c>
      <c r="E1844" s="11" t="str">
        <f t="shared" si="227"/>
        <v/>
      </c>
      <c r="F1844" s="12" t="str">
        <f t="shared" si="228"/>
        <v/>
      </c>
      <c r="G1844" s="13" t="str">
        <f t="shared" si="229"/>
        <v/>
      </c>
      <c r="H1844" s="13" t="str">
        <f t="shared" si="230"/>
        <v/>
      </c>
      <c r="I1844" s="14" t="str">
        <f t="shared" si="231"/>
        <v/>
      </c>
      <c r="L1844" t="str">
        <f>IFERROR(MATCH($C$5&amp;"|"&amp;RIGHT("000000"&amp;1828,6),LdgRankKeyA,0),"")</f>
        <v/>
      </c>
      <c r="M1844" t="str">
        <f>IFERROR(MATCH($C$5&amp;"|"&amp;RIGHT("000000"&amp;1828,6),LdgRankKeyB,0),"")</f>
        <v/>
      </c>
    </row>
    <row r="1845" spans="1:13" x14ac:dyDescent="0.2">
      <c r="A1845" s="3">
        <v>1829</v>
      </c>
      <c r="B1845" s="4" t="str">
        <f t="shared" si="224"/>
        <v/>
      </c>
      <c r="C1845" s="4" t="str">
        <f t="shared" si="225"/>
        <v/>
      </c>
      <c r="D1845" s="4" t="str">
        <f t="shared" si="226"/>
        <v/>
      </c>
      <c r="E1845" s="5" t="str">
        <f t="shared" si="227"/>
        <v/>
      </c>
      <c r="F1845" s="6" t="str">
        <f t="shared" si="228"/>
        <v/>
      </c>
      <c r="G1845" s="7" t="str">
        <f t="shared" si="229"/>
        <v/>
      </c>
      <c r="H1845" s="7" t="str">
        <f t="shared" si="230"/>
        <v/>
      </c>
      <c r="I1845" s="8" t="str">
        <f t="shared" si="231"/>
        <v/>
      </c>
      <c r="L1845" t="str">
        <f>IFERROR(MATCH($C$5&amp;"|"&amp;RIGHT("000000"&amp;1829,6),LdgRankKeyA,0),"")</f>
        <v/>
      </c>
      <c r="M1845" t="str">
        <f>IFERROR(MATCH($C$5&amp;"|"&amp;RIGHT("000000"&amp;1829,6),LdgRankKeyB,0),"")</f>
        <v/>
      </c>
    </row>
    <row r="1846" spans="1:13" x14ac:dyDescent="0.2">
      <c r="A1846" s="9">
        <v>1830</v>
      </c>
      <c r="B1846" s="10" t="str">
        <f t="shared" si="224"/>
        <v/>
      </c>
      <c r="C1846" s="10" t="str">
        <f t="shared" si="225"/>
        <v/>
      </c>
      <c r="D1846" s="10" t="str">
        <f t="shared" si="226"/>
        <v/>
      </c>
      <c r="E1846" s="11" t="str">
        <f t="shared" si="227"/>
        <v/>
      </c>
      <c r="F1846" s="12" t="str">
        <f t="shared" si="228"/>
        <v/>
      </c>
      <c r="G1846" s="13" t="str">
        <f t="shared" si="229"/>
        <v/>
      </c>
      <c r="H1846" s="13" t="str">
        <f t="shared" si="230"/>
        <v/>
      </c>
      <c r="I1846" s="14" t="str">
        <f t="shared" si="231"/>
        <v/>
      </c>
      <c r="L1846" t="str">
        <f>IFERROR(MATCH($C$5&amp;"|"&amp;RIGHT("000000"&amp;1830,6),LdgRankKeyA,0),"")</f>
        <v/>
      </c>
      <c r="M1846" t="str">
        <f>IFERROR(MATCH($C$5&amp;"|"&amp;RIGHT("000000"&amp;1830,6),LdgRankKeyB,0),"")</f>
        <v/>
      </c>
    </row>
    <row r="1847" spans="1:13" x14ac:dyDescent="0.2">
      <c r="A1847" s="3">
        <v>1831</v>
      </c>
      <c r="B1847" s="4" t="str">
        <f t="shared" si="224"/>
        <v/>
      </c>
      <c r="C1847" s="4" t="str">
        <f t="shared" si="225"/>
        <v/>
      </c>
      <c r="D1847" s="4" t="str">
        <f t="shared" si="226"/>
        <v/>
      </c>
      <c r="E1847" s="5" t="str">
        <f t="shared" si="227"/>
        <v/>
      </c>
      <c r="F1847" s="6" t="str">
        <f t="shared" si="228"/>
        <v/>
      </c>
      <c r="G1847" s="7" t="str">
        <f t="shared" si="229"/>
        <v/>
      </c>
      <c r="H1847" s="7" t="str">
        <f t="shared" si="230"/>
        <v/>
      </c>
      <c r="I1847" s="8" t="str">
        <f t="shared" si="231"/>
        <v/>
      </c>
      <c r="L1847" t="str">
        <f>IFERROR(MATCH($C$5&amp;"|"&amp;RIGHT("000000"&amp;1831,6),LdgRankKeyA,0),"")</f>
        <v/>
      </c>
      <c r="M1847" t="str">
        <f>IFERROR(MATCH($C$5&amp;"|"&amp;RIGHT("000000"&amp;1831,6),LdgRankKeyB,0),"")</f>
        <v/>
      </c>
    </row>
    <row r="1848" spans="1:13" x14ac:dyDescent="0.2">
      <c r="A1848" s="9">
        <v>1832</v>
      </c>
      <c r="B1848" s="10" t="str">
        <f t="shared" si="224"/>
        <v/>
      </c>
      <c r="C1848" s="10" t="str">
        <f t="shared" si="225"/>
        <v/>
      </c>
      <c r="D1848" s="10" t="str">
        <f t="shared" si="226"/>
        <v/>
      </c>
      <c r="E1848" s="11" t="str">
        <f t="shared" si="227"/>
        <v/>
      </c>
      <c r="F1848" s="12" t="str">
        <f t="shared" si="228"/>
        <v/>
      </c>
      <c r="G1848" s="13" t="str">
        <f t="shared" si="229"/>
        <v/>
      </c>
      <c r="H1848" s="13" t="str">
        <f t="shared" si="230"/>
        <v/>
      </c>
      <c r="I1848" s="14" t="str">
        <f t="shared" si="231"/>
        <v/>
      </c>
      <c r="L1848" t="str">
        <f>IFERROR(MATCH($C$5&amp;"|"&amp;RIGHT("000000"&amp;1832,6),LdgRankKeyA,0),"")</f>
        <v/>
      </c>
      <c r="M1848" t="str">
        <f>IFERROR(MATCH($C$5&amp;"|"&amp;RIGHT("000000"&amp;1832,6),LdgRankKeyB,0),"")</f>
        <v/>
      </c>
    </row>
    <row r="1849" spans="1:13" x14ac:dyDescent="0.2">
      <c r="A1849" s="3">
        <v>1833</v>
      </c>
      <c r="B1849" s="4" t="str">
        <f t="shared" si="224"/>
        <v/>
      </c>
      <c r="C1849" s="4" t="str">
        <f t="shared" si="225"/>
        <v/>
      </c>
      <c r="D1849" s="4" t="str">
        <f t="shared" si="226"/>
        <v/>
      </c>
      <c r="E1849" s="5" t="str">
        <f t="shared" si="227"/>
        <v/>
      </c>
      <c r="F1849" s="6" t="str">
        <f t="shared" si="228"/>
        <v/>
      </c>
      <c r="G1849" s="7" t="str">
        <f t="shared" si="229"/>
        <v/>
      </c>
      <c r="H1849" s="7" t="str">
        <f t="shared" si="230"/>
        <v/>
      </c>
      <c r="I1849" s="8" t="str">
        <f t="shared" si="231"/>
        <v/>
      </c>
      <c r="L1849" t="str">
        <f>IFERROR(MATCH($C$5&amp;"|"&amp;RIGHT("000000"&amp;1833,6),LdgRankKeyA,0),"")</f>
        <v/>
      </c>
      <c r="M1849" t="str">
        <f>IFERROR(MATCH($C$5&amp;"|"&amp;RIGHT("000000"&amp;1833,6),LdgRankKeyB,0),"")</f>
        <v/>
      </c>
    </row>
    <row r="1850" spans="1:13" x14ac:dyDescent="0.2">
      <c r="A1850" s="9">
        <v>1834</v>
      </c>
      <c r="B1850" s="10" t="str">
        <f t="shared" si="224"/>
        <v/>
      </c>
      <c r="C1850" s="10" t="str">
        <f t="shared" si="225"/>
        <v/>
      </c>
      <c r="D1850" s="10" t="str">
        <f t="shared" si="226"/>
        <v/>
      </c>
      <c r="E1850" s="11" t="str">
        <f t="shared" si="227"/>
        <v/>
      </c>
      <c r="F1850" s="12" t="str">
        <f t="shared" si="228"/>
        <v/>
      </c>
      <c r="G1850" s="13" t="str">
        <f t="shared" si="229"/>
        <v/>
      </c>
      <c r="H1850" s="13" t="str">
        <f t="shared" si="230"/>
        <v/>
      </c>
      <c r="I1850" s="14" t="str">
        <f t="shared" si="231"/>
        <v/>
      </c>
      <c r="L1850" t="str">
        <f>IFERROR(MATCH($C$5&amp;"|"&amp;RIGHT("000000"&amp;1834,6),LdgRankKeyA,0),"")</f>
        <v/>
      </c>
      <c r="M1850" t="str">
        <f>IFERROR(MATCH($C$5&amp;"|"&amp;RIGHT("000000"&amp;1834,6),LdgRankKeyB,0),"")</f>
        <v/>
      </c>
    </row>
    <row r="1851" spans="1:13" x14ac:dyDescent="0.2">
      <c r="A1851" s="3">
        <v>1835</v>
      </c>
      <c r="B1851" s="4" t="str">
        <f t="shared" si="224"/>
        <v/>
      </c>
      <c r="C1851" s="4" t="str">
        <f t="shared" si="225"/>
        <v/>
      </c>
      <c r="D1851" s="4" t="str">
        <f t="shared" si="226"/>
        <v/>
      </c>
      <c r="E1851" s="5" t="str">
        <f t="shared" si="227"/>
        <v/>
      </c>
      <c r="F1851" s="6" t="str">
        <f t="shared" si="228"/>
        <v/>
      </c>
      <c r="G1851" s="7" t="str">
        <f t="shared" si="229"/>
        <v/>
      </c>
      <c r="H1851" s="7" t="str">
        <f t="shared" si="230"/>
        <v/>
      </c>
      <c r="I1851" s="8" t="str">
        <f t="shared" si="231"/>
        <v/>
      </c>
      <c r="L1851" t="str">
        <f>IFERROR(MATCH($C$5&amp;"|"&amp;RIGHT("000000"&amp;1835,6),LdgRankKeyA,0),"")</f>
        <v/>
      </c>
      <c r="M1851" t="str">
        <f>IFERROR(MATCH($C$5&amp;"|"&amp;RIGHT("000000"&amp;1835,6),LdgRankKeyB,0),"")</f>
        <v/>
      </c>
    </row>
    <row r="1852" spans="1:13" x14ac:dyDescent="0.2">
      <c r="A1852" s="9">
        <v>1836</v>
      </c>
      <c r="B1852" s="10" t="str">
        <f t="shared" si="224"/>
        <v/>
      </c>
      <c r="C1852" s="10" t="str">
        <f t="shared" si="225"/>
        <v/>
      </c>
      <c r="D1852" s="10" t="str">
        <f t="shared" si="226"/>
        <v/>
      </c>
      <c r="E1852" s="11" t="str">
        <f t="shared" si="227"/>
        <v/>
      </c>
      <c r="F1852" s="12" t="str">
        <f t="shared" si="228"/>
        <v/>
      </c>
      <c r="G1852" s="13" t="str">
        <f t="shared" si="229"/>
        <v/>
      </c>
      <c r="H1852" s="13" t="str">
        <f t="shared" si="230"/>
        <v/>
      </c>
      <c r="I1852" s="14" t="str">
        <f t="shared" si="231"/>
        <v/>
      </c>
      <c r="L1852" t="str">
        <f>IFERROR(MATCH($C$5&amp;"|"&amp;RIGHT("000000"&amp;1836,6),LdgRankKeyA,0),"")</f>
        <v/>
      </c>
      <c r="M1852" t="str">
        <f>IFERROR(MATCH($C$5&amp;"|"&amp;RIGHT("000000"&amp;1836,6),LdgRankKeyB,0),"")</f>
        <v/>
      </c>
    </row>
    <row r="1853" spans="1:13" x14ac:dyDescent="0.2">
      <c r="A1853" s="3">
        <v>1837</v>
      </c>
      <c r="B1853" s="4" t="str">
        <f t="shared" si="224"/>
        <v/>
      </c>
      <c r="C1853" s="4" t="str">
        <f t="shared" si="225"/>
        <v/>
      </c>
      <c r="D1853" s="4" t="str">
        <f t="shared" si="226"/>
        <v/>
      </c>
      <c r="E1853" s="5" t="str">
        <f t="shared" si="227"/>
        <v/>
      </c>
      <c r="F1853" s="6" t="str">
        <f t="shared" si="228"/>
        <v/>
      </c>
      <c r="G1853" s="7" t="str">
        <f t="shared" si="229"/>
        <v/>
      </c>
      <c r="H1853" s="7" t="str">
        <f t="shared" si="230"/>
        <v/>
      </c>
      <c r="I1853" s="8" t="str">
        <f t="shared" si="231"/>
        <v/>
      </c>
      <c r="L1853" t="str">
        <f>IFERROR(MATCH($C$5&amp;"|"&amp;RIGHT("000000"&amp;1837,6),LdgRankKeyA,0),"")</f>
        <v/>
      </c>
      <c r="M1853" t="str">
        <f>IFERROR(MATCH($C$5&amp;"|"&amp;RIGHT("000000"&amp;1837,6),LdgRankKeyB,0),"")</f>
        <v/>
      </c>
    </row>
    <row r="1854" spans="1:13" x14ac:dyDescent="0.2">
      <c r="A1854" s="9">
        <v>1838</v>
      </c>
      <c r="B1854" s="10" t="str">
        <f t="shared" si="224"/>
        <v/>
      </c>
      <c r="C1854" s="10" t="str">
        <f t="shared" si="225"/>
        <v/>
      </c>
      <c r="D1854" s="10" t="str">
        <f t="shared" si="226"/>
        <v/>
      </c>
      <c r="E1854" s="11" t="str">
        <f t="shared" si="227"/>
        <v/>
      </c>
      <c r="F1854" s="12" t="str">
        <f t="shared" si="228"/>
        <v/>
      </c>
      <c r="G1854" s="13" t="str">
        <f t="shared" si="229"/>
        <v/>
      </c>
      <c r="H1854" s="13" t="str">
        <f t="shared" si="230"/>
        <v/>
      </c>
      <c r="I1854" s="14" t="str">
        <f t="shared" si="231"/>
        <v/>
      </c>
      <c r="L1854" t="str">
        <f>IFERROR(MATCH($C$5&amp;"|"&amp;RIGHT("000000"&amp;1838,6),LdgRankKeyA,0),"")</f>
        <v/>
      </c>
      <c r="M1854" t="str">
        <f>IFERROR(MATCH($C$5&amp;"|"&amp;RIGHT("000000"&amp;1838,6),LdgRankKeyB,0),"")</f>
        <v/>
      </c>
    </row>
    <row r="1855" spans="1:13" x14ac:dyDescent="0.2">
      <c r="A1855" s="3">
        <v>1839</v>
      </c>
      <c r="B1855" s="4" t="str">
        <f t="shared" si="224"/>
        <v/>
      </c>
      <c r="C1855" s="4" t="str">
        <f t="shared" si="225"/>
        <v/>
      </c>
      <c r="D1855" s="4" t="str">
        <f t="shared" si="226"/>
        <v/>
      </c>
      <c r="E1855" s="5" t="str">
        <f t="shared" si="227"/>
        <v/>
      </c>
      <c r="F1855" s="6" t="str">
        <f t="shared" si="228"/>
        <v/>
      </c>
      <c r="G1855" s="7" t="str">
        <f t="shared" si="229"/>
        <v/>
      </c>
      <c r="H1855" s="7" t="str">
        <f t="shared" si="230"/>
        <v/>
      </c>
      <c r="I1855" s="8" t="str">
        <f t="shared" si="231"/>
        <v/>
      </c>
      <c r="L1855" t="str">
        <f>IFERROR(MATCH($C$5&amp;"|"&amp;RIGHT("000000"&amp;1839,6),LdgRankKeyA,0),"")</f>
        <v/>
      </c>
      <c r="M1855" t="str">
        <f>IFERROR(MATCH($C$5&amp;"|"&amp;RIGHT("000000"&amp;1839,6),LdgRankKeyB,0),"")</f>
        <v/>
      </c>
    </row>
    <row r="1856" spans="1:13" x14ac:dyDescent="0.2">
      <c r="A1856" s="9">
        <v>1840</v>
      </c>
      <c r="B1856" s="10" t="str">
        <f t="shared" si="224"/>
        <v/>
      </c>
      <c r="C1856" s="10" t="str">
        <f t="shared" si="225"/>
        <v/>
      </c>
      <c r="D1856" s="10" t="str">
        <f t="shared" si="226"/>
        <v/>
      </c>
      <c r="E1856" s="11" t="str">
        <f t="shared" si="227"/>
        <v/>
      </c>
      <c r="F1856" s="12" t="str">
        <f t="shared" si="228"/>
        <v/>
      </c>
      <c r="G1856" s="13" t="str">
        <f t="shared" si="229"/>
        <v/>
      </c>
      <c r="H1856" s="13" t="str">
        <f t="shared" si="230"/>
        <v/>
      </c>
      <c r="I1856" s="14" t="str">
        <f t="shared" si="231"/>
        <v/>
      </c>
      <c r="L1856" t="str">
        <f>IFERROR(MATCH($C$5&amp;"|"&amp;RIGHT("000000"&amp;1840,6),LdgRankKeyA,0),"")</f>
        <v/>
      </c>
      <c r="M1856" t="str">
        <f>IFERROR(MATCH($C$5&amp;"|"&amp;RIGHT("000000"&amp;1840,6),LdgRankKeyB,0),"")</f>
        <v/>
      </c>
    </row>
    <row r="1857" spans="1:13" x14ac:dyDescent="0.2">
      <c r="A1857" s="3">
        <v>1841</v>
      </c>
      <c r="B1857" s="4" t="str">
        <f t="shared" si="224"/>
        <v/>
      </c>
      <c r="C1857" s="4" t="str">
        <f t="shared" si="225"/>
        <v/>
      </c>
      <c r="D1857" s="4" t="str">
        <f t="shared" si="226"/>
        <v/>
      </c>
      <c r="E1857" s="5" t="str">
        <f t="shared" si="227"/>
        <v/>
      </c>
      <c r="F1857" s="6" t="str">
        <f t="shared" si="228"/>
        <v/>
      </c>
      <c r="G1857" s="7" t="str">
        <f t="shared" si="229"/>
        <v/>
      </c>
      <c r="H1857" s="7" t="str">
        <f t="shared" si="230"/>
        <v/>
      </c>
      <c r="I1857" s="8" t="str">
        <f t="shared" si="231"/>
        <v/>
      </c>
      <c r="L1857" t="str">
        <f>IFERROR(MATCH($C$5&amp;"|"&amp;RIGHT("000000"&amp;1841,6),LdgRankKeyA,0),"")</f>
        <v/>
      </c>
      <c r="M1857" t="str">
        <f>IFERROR(MATCH($C$5&amp;"|"&amp;RIGHT("000000"&amp;1841,6),LdgRankKeyB,0),"")</f>
        <v/>
      </c>
    </row>
    <row r="1858" spans="1:13" x14ac:dyDescent="0.2">
      <c r="A1858" s="9">
        <v>1842</v>
      </c>
      <c r="B1858" s="10" t="str">
        <f t="shared" si="224"/>
        <v/>
      </c>
      <c r="C1858" s="10" t="str">
        <f t="shared" si="225"/>
        <v/>
      </c>
      <c r="D1858" s="10" t="str">
        <f t="shared" si="226"/>
        <v/>
      </c>
      <c r="E1858" s="11" t="str">
        <f t="shared" si="227"/>
        <v/>
      </c>
      <c r="F1858" s="12" t="str">
        <f t="shared" si="228"/>
        <v/>
      </c>
      <c r="G1858" s="13" t="str">
        <f t="shared" si="229"/>
        <v/>
      </c>
      <c r="H1858" s="13" t="str">
        <f t="shared" si="230"/>
        <v/>
      </c>
      <c r="I1858" s="14" t="str">
        <f t="shared" si="231"/>
        <v/>
      </c>
      <c r="L1858" t="str">
        <f>IFERROR(MATCH($C$5&amp;"|"&amp;RIGHT("000000"&amp;1842,6),LdgRankKeyA,0),"")</f>
        <v/>
      </c>
      <c r="M1858" t="str">
        <f>IFERROR(MATCH($C$5&amp;"|"&amp;RIGHT("000000"&amp;1842,6),LdgRankKeyB,0),"")</f>
        <v/>
      </c>
    </row>
    <row r="1859" spans="1:13" x14ac:dyDescent="0.2">
      <c r="A1859" s="3">
        <v>1843</v>
      </c>
      <c r="B1859" s="4" t="str">
        <f t="shared" si="224"/>
        <v/>
      </c>
      <c r="C1859" s="4" t="str">
        <f t="shared" si="225"/>
        <v/>
      </c>
      <c r="D1859" s="4" t="str">
        <f t="shared" si="226"/>
        <v/>
      </c>
      <c r="E1859" s="5" t="str">
        <f t="shared" si="227"/>
        <v/>
      </c>
      <c r="F1859" s="6" t="str">
        <f t="shared" si="228"/>
        <v/>
      </c>
      <c r="G1859" s="7" t="str">
        <f t="shared" si="229"/>
        <v/>
      </c>
      <c r="H1859" s="7" t="str">
        <f t="shared" si="230"/>
        <v/>
      </c>
      <c r="I1859" s="8" t="str">
        <f t="shared" si="231"/>
        <v/>
      </c>
      <c r="L1859" t="str">
        <f>IFERROR(MATCH($C$5&amp;"|"&amp;RIGHT("000000"&amp;1843,6),LdgRankKeyA,0),"")</f>
        <v/>
      </c>
      <c r="M1859" t="str">
        <f>IFERROR(MATCH($C$5&amp;"|"&amp;RIGHT("000000"&amp;1843,6),LdgRankKeyB,0),"")</f>
        <v/>
      </c>
    </row>
    <row r="1860" spans="1:13" x14ac:dyDescent="0.2">
      <c r="A1860" s="9">
        <v>1844</v>
      </c>
      <c r="B1860" s="10" t="str">
        <f t="shared" si="224"/>
        <v/>
      </c>
      <c r="C1860" s="10" t="str">
        <f t="shared" si="225"/>
        <v/>
      </c>
      <c r="D1860" s="10" t="str">
        <f t="shared" si="226"/>
        <v/>
      </c>
      <c r="E1860" s="11" t="str">
        <f t="shared" si="227"/>
        <v/>
      </c>
      <c r="F1860" s="12" t="str">
        <f t="shared" si="228"/>
        <v/>
      </c>
      <c r="G1860" s="13" t="str">
        <f t="shared" si="229"/>
        <v/>
      </c>
      <c r="H1860" s="13" t="str">
        <f t="shared" si="230"/>
        <v/>
      </c>
      <c r="I1860" s="14" t="str">
        <f t="shared" si="231"/>
        <v/>
      </c>
      <c r="L1860" t="str">
        <f>IFERROR(MATCH($C$5&amp;"|"&amp;RIGHT("000000"&amp;1844,6),LdgRankKeyA,0),"")</f>
        <v/>
      </c>
      <c r="M1860" t="str">
        <f>IFERROR(MATCH($C$5&amp;"|"&amp;RIGHT("000000"&amp;1844,6),LdgRankKeyB,0),"")</f>
        <v/>
      </c>
    </row>
    <row r="1861" spans="1:13" x14ac:dyDescent="0.2">
      <c r="A1861" s="3">
        <v>1845</v>
      </c>
      <c r="B1861" s="4" t="str">
        <f t="shared" si="224"/>
        <v/>
      </c>
      <c r="C1861" s="4" t="str">
        <f t="shared" si="225"/>
        <v/>
      </c>
      <c r="D1861" s="4" t="str">
        <f t="shared" si="226"/>
        <v/>
      </c>
      <c r="E1861" s="5" t="str">
        <f t="shared" si="227"/>
        <v/>
      </c>
      <c r="F1861" s="6" t="str">
        <f t="shared" si="228"/>
        <v/>
      </c>
      <c r="G1861" s="7" t="str">
        <f t="shared" si="229"/>
        <v/>
      </c>
      <c r="H1861" s="7" t="str">
        <f t="shared" si="230"/>
        <v/>
      </c>
      <c r="I1861" s="8" t="str">
        <f t="shared" si="231"/>
        <v/>
      </c>
      <c r="L1861" t="str">
        <f>IFERROR(MATCH($C$5&amp;"|"&amp;RIGHT("000000"&amp;1845,6),LdgRankKeyA,0),"")</f>
        <v/>
      </c>
      <c r="M1861" t="str">
        <f>IFERROR(MATCH($C$5&amp;"|"&amp;RIGHT("000000"&amp;1845,6),LdgRankKeyB,0),"")</f>
        <v/>
      </c>
    </row>
    <row r="1862" spans="1:13" x14ac:dyDescent="0.2">
      <c r="A1862" s="9">
        <v>1846</v>
      </c>
      <c r="B1862" s="10" t="str">
        <f t="shared" si="224"/>
        <v/>
      </c>
      <c r="C1862" s="10" t="str">
        <f t="shared" si="225"/>
        <v/>
      </c>
      <c r="D1862" s="10" t="str">
        <f t="shared" si="226"/>
        <v/>
      </c>
      <c r="E1862" s="11" t="str">
        <f t="shared" si="227"/>
        <v/>
      </c>
      <c r="F1862" s="12" t="str">
        <f t="shared" si="228"/>
        <v/>
      </c>
      <c r="G1862" s="13" t="str">
        <f t="shared" si="229"/>
        <v/>
      </c>
      <c r="H1862" s="13" t="str">
        <f t="shared" si="230"/>
        <v/>
      </c>
      <c r="I1862" s="14" t="str">
        <f t="shared" si="231"/>
        <v/>
      </c>
      <c r="L1862" t="str">
        <f>IFERROR(MATCH($C$5&amp;"|"&amp;RIGHT("000000"&amp;1846,6),LdgRankKeyA,0),"")</f>
        <v/>
      </c>
      <c r="M1862" t="str">
        <f>IFERROR(MATCH($C$5&amp;"|"&amp;RIGHT("000000"&amp;1846,6),LdgRankKeyB,0),"")</f>
        <v/>
      </c>
    </row>
    <row r="1863" spans="1:13" x14ac:dyDescent="0.2">
      <c r="A1863" s="3">
        <v>1847</v>
      </c>
      <c r="B1863" s="4" t="str">
        <f t="shared" si="224"/>
        <v/>
      </c>
      <c r="C1863" s="4" t="str">
        <f t="shared" si="225"/>
        <v/>
      </c>
      <c r="D1863" s="4" t="str">
        <f t="shared" si="226"/>
        <v/>
      </c>
      <c r="E1863" s="5" t="str">
        <f t="shared" si="227"/>
        <v/>
      </c>
      <c r="F1863" s="6" t="str">
        <f t="shared" si="228"/>
        <v/>
      </c>
      <c r="G1863" s="7" t="str">
        <f t="shared" si="229"/>
        <v/>
      </c>
      <c r="H1863" s="7" t="str">
        <f t="shared" si="230"/>
        <v/>
      </c>
      <c r="I1863" s="8" t="str">
        <f t="shared" si="231"/>
        <v/>
      </c>
      <c r="L1863" t="str">
        <f>IFERROR(MATCH($C$5&amp;"|"&amp;RIGHT("000000"&amp;1847,6),LdgRankKeyA,0),"")</f>
        <v/>
      </c>
      <c r="M1863" t="str">
        <f>IFERROR(MATCH($C$5&amp;"|"&amp;RIGHT("000000"&amp;1847,6),LdgRankKeyB,0),"")</f>
        <v/>
      </c>
    </row>
    <row r="1864" spans="1:13" x14ac:dyDescent="0.2">
      <c r="A1864" s="9">
        <v>1848</v>
      </c>
      <c r="B1864" s="10" t="str">
        <f t="shared" si="224"/>
        <v/>
      </c>
      <c r="C1864" s="10" t="str">
        <f t="shared" si="225"/>
        <v/>
      </c>
      <c r="D1864" s="10" t="str">
        <f t="shared" si="226"/>
        <v/>
      </c>
      <c r="E1864" s="11" t="str">
        <f t="shared" si="227"/>
        <v/>
      </c>
      <c r="F1864" s="12" t="str">
        <f t="shared" si="228"/>
        <v/>
      </c>
      <c r="G1864" s="13" t="str">
        <f t="shared" si="229"/>
        <v/>
      </c>
      <c r="H1864" s="13" t="str">
        <f t="shared" si="230"/>
        <v/>
      </c>
      <c r="I1864" s="14" t="str">
        <f t="shared" si="231"/>
        <v/>
      </c>
      <c r="L1864" t="str">
        <f>IFERROR(MATCH($C$5&amp;"|"&amp;RIGHT("000000"&amp;1848,6),LdgRankKeyA,0),"")</f>
        <v/>
      </c>
      <c r="M1864" t="str">
        <f>IFERROR(MATCH($C$5&amp;"|"&amp;RIGHT("000000"&amp;1848,6),LdgRankKeyB,0),"")</f>
        <v/>
      </c>
    </row>
    <row r="1865" spans="1:13" x14ac:dyDescent="0.2">
      <c r="A1865" s="3">
        <v>1849</v>
      </c>
      <c r="B1865" s="4" t="str">
        <f t="shared" si="224"/>
        <v/>
      </c>
      <c r="C1865" s="4" t="str">
        <f t="shared" si="225"/>
        <v/>
      </c>
      <c r="D1865" s="4" t="str">
        <f t="shared" si="226"/>
        <v/>
      </c>
      <c r="E1865" s="5" t="str">
        <f t="shared" si="227"/>
        <v/>
      </c>
      <c r="F1865" s="6" t="str">
        <f t="shared" si="228"/>
        <v/>
      </c>
      <c r="G1865" s="7" t="str">
        <f t="shared" si="229"/>
        <v/>
      </c>
      <c r="H1865" s="7" t="str">
        <f t="shared" si="230"/>
        <v/>
      </c>
      <c r="I1865" s="8" t="str">
        <f t="shared" si="231"/>
        <v/>
      </c>
      <c r="L1865" t="str">
        <f>IFERROR(MATCH($C$5&amp;"|"&amp;RIGHT("000000"&amp;1849,6),LdgRankKeyA,0),"")</f>
        <v/>
      </c>
      <c r="M1865" t="str">
        <f>IFERROR(MATCH($C$5&amp;"|"&amp;RIGHT("000000"&amp;1849,6),LdgRankKeyB,0),"")</f>
        <v/>
      </c>
    </row>
    <row r="1866" spans="1:13" x14ac:dyDescent="0.2">
      <c r="A1866" s="9">
        <v>1850</v>
      </c>
      <c r="B1866" s="10" t="str">
        <f t="shared" si="224"/>
        <v/>
      </c>
      <c r="C1866" s="10" t="str">
        <f t="shared" si="225"/>
        <v/>
      </c>
      <c r="D1866" s="10" t="str">
        <f t="shared" si="226"/>
        <v/>
      </c>
      <c r="E1866" s="11" t="str">
        <f t="shared" si="227"/>
        <v/>
      </c>
      <c r="F1866" s="12" t="str">
        <f t="shared" si="228"/>
        <v/>
      </c>
      <c r="G1866" s="13" t="str">
        <f t="shared" si="229"/>
        <v/>
      </c>
      <c r="H1866" s="13" t="str">
        <f t="shared" si="230"/>
        <v/>
      </c>
      <c r="I1866" s="14" t="str">
        <f t="shared" si="231"/>
        <v/>
      </c>
      <c r="L1866" t="str">
        <f>IFERROR(MATCH($C$5&amp;"|"&amp;RIGHT("000000"&amp;1850,6),LdgRankKeyA,0),"")</f>
        <v/>
      </c>
      <c r="M1866" t="str">
        <f>IFERROR(MATCH($C$5&amp;"|"&amp;RIGHT("000000"&amp;1850,6),LdgRankKeyB,0),"")</f>
        <v/>
      </c>
    </row>
    <row r="1867" spans="1:13" x14ac:dyDescent="0.2">
      <c r="A1867" s="3">
        <v>1851</v>
      </c>
      <c r="B1867" s="4" t="str">
        <f t="shared" si="224"/>
        <v/>
      </c>
      <c r="C1867" s="4" t="str">
        <f t="shared" si="225"/>
        <v/>
      </c>
      <c r="D1867" s="4" t="str">
        <f t="shared" si="226"/>
        <v/>
      </c>
      <c r="E1867" s="5" t="str">
        <f t="shared" si="227"/>
        <v/>
      </c>
      <c r="F1867" s="6" t="str">
        <f t="shared" si="228"/>
        <v/>
      </c>
      <c r="G1867" s="7" t="str">
        <f t="shared" si="229"/>
        <v/>
      </c>
      <c r="H1867" s="7" t="str">
        <f t="shared" si="230"/>
        <v/>
      </c>
      <c r="I1867" s="8" t="str">
        <f t="shared" si="231"/>
        <v/>
      </c>
      <c r="L1867" t="str">
        <f>IFERROR(MATCH($C$5&amp;"|"&amp;RIGHT("000000"&amp;1851,6),LdgRankKeyA,0),"")</f>
        <v/>
      </c>
      <c r="M1867" t="str">
        <f>IFERROR(MATCH($C$5&amp;"|"&amp;RIGHT("000000"&amp;1851,6),LdgRankKeyB,0),"")</f>
        <v/>
      </c>
    </row>
    <row r="1868" spans="1:13" x14ac:dyDescent="0.2">
      <c r="A1868" s="9">
        <v>1852</v>
      </c>
      <c r="B1868" s="10" t="str">
        <f t="shared" si="224"/>
        <v/>
      </c>
      <c r="C1868" s="10" t="str">
        <f t="shared" si="225"/>
        <v/>
      </c>
      <c r="D1868" s="10" t="str">
        <f t="shared" si="226"/>
        <v/>
      </c>
      <c r="E1868" s="11" t="str">
        <f t="shared" si="227"/>
        <v/>
      </c>
      <c r="F1868" s="12" t="str">
        <f t="shared" si="228"/>
        <v/>
      </c>
      <c r="G1868" s="13" t="str">
        <f t="shared" si="229"/>
        <v/>
      </c>
      <c r="H1868" s="13" t="str">
        <f t="shared" si="230"/>
        <v/>
      </c>
      <c r="I1868" s="14" t="str">
        <f t="shared" si="231"/>
        <v/>
      </c>
      <c r="L1868" t="str">
        <f>IFERROR(MATCH($C$5&amp;"|"&amp;RIGHT("000000"&amp;1852,6),LdgRankKeyA,0),"")</f>
        <v/>
      </c>
      <c r="M1868" t="str">
        <f>IFERROR(MATCH($C$5&amp;"|"&amp;RIGHT("000000"&amp;1852,6),LdgRankKeyB,0),"")</f>
        <v/>
      </c>
    </row>
    <row r="1869" spans="1:13" x14ac:dyDescent="0.2">
      <c r="A1869" s="3">
        <v>1853</v>
      </c>
      <c r="B1869" s="4" t="str">
        <f t="shared" si="224"/>
        <v/>
      </c>
      <c r="C1869" s="4" t="str">
        <f t="shared" si="225"/>
        <v/>
      </c>
      <c r="D1869" s="4" t="str">
        <f t="shared" si="226"/>
        <v/>
      </c>
      <c r="E1869" s="5" t="str">
        <f t="shared" si="227"/>
        <v/>
      </c>
      <c r="F1869" s="6" t="str">
        <f t="shared" si="228"/>
        <v/>
      </c>
      <c r="G1869" s="7" t="str">
        <f t="shared" si="229"/>
        <v/>
      </c>
      <c r="H1869" s="7" t="str">
        <f t="shared" si="230"/>
        <v/>
      </c>
      <c r="I1869" s="8" t="str">
        <f t="shared" si="231"/>
        <v/>
      </c>
      <c r="L1869" t="str">
        <f>IFERROR(MATCH($C$5&amp;"|"&amp;RIGHT("000000"&amp;1853,6),LdgRankKeyA,0),"")</f>
        <v/>
      </c>
      <c r="M1869" t="str">
        <f>IFERROR(MATCH($C$5&amp;"|"&amp;RIGHT("000000"&amp;1853,6),LdgRankKeyB,0),"")</f>
        <v/>
      </c>
    </row>
    <row r="1870" spans="1:13" x14ac:dyDescent="0.2">
      <c r="A1870" s="9">
        <v>1854</v>
      </c>
      <c r="B1870" s="10" t="str">
        <f t="shared" si="224"/>
        <v/>
      </c>
      <c r="C1870" s="10" t="str">
        <f t="shared" si="225"/>
        <v/>
      </c>
      <c r="D1870" s="10" t="str">
        <f t="shared" si="226"/>
        <v/>
      </c>
      <c r="E1870" s="11" t="str">
        <f t="shared" si="227"/>
        <v/>
      </c>
      <c r="F1870" s="12" t="str">
        <f t="shared" si="228"/>
        <v/>
      </c>
      <c r="G1870" s="13" t="str">
        <f t="shared" si="229"/>
        <v/>
      </c>
      <c r="H1870" s="13" t="str">
        <f t="shared" si="230"/>
        <v/>
      </c>
      <c r="I1870" s="14" t="str">
        <f t="shared" si="231"/>
        <v/>
      </c>
      <c r="L1870" t="str">
        <f>IFERROR(MATCH($C$5&amp;"|"&amp;RIGHT("000000"&amp;1854,6),LdgRankKeyA,0),"")</f>
        <v/>
      </c>
      <c r="M1870" t="str">
        <f>IFERROR(MATCH($C$5&amp;"|"&amp;RIGHT("000000"&amp;1854,6),LdgRankKeyB,0),"")</f>
        <v/>
      </c>
    </row>
    <row r="1871" spans="1:13" x14ac:dyDescent="0.2">
      <c r="A1871" s="3">
        <v>1855</v>
      </c>
      <c r="B1871" s="4" t="str">
        <f t="shared" si="224"/>
        <v/>
      </c>
      <c r="C1871" s="4" t="str">
        <f t="shared" si="225"/>
        <v/>
      </c>
      <c r="D1871" s="4" t="str">
        <f t="shared" si="226"/>
        <v/>
      </c>
      <c r="E1871" s="5" t="str">
        <f t="shared" si="227"/>
        <v/>
      </c>
      <c r="F1871" s="6" t="str">
        <f t="shared" si="228"/>
        <v/>
      </c>
      <c r="G1871" s="7" t="str">
        <f t="shared" si="229"/>
        <v/>
      </c>
      <c r="H1871" s="7" t="str">
        <f t="shared" si="230"/>
        <v/>
      </c>
      <c r="I1871" s="8" t="str">
        <f t="shared" si="231"/>
        <v/>
      </c>
      <c r="L1871" t="str">
        <f>IFERROR(MATCH($C$5&amp;"|"&amp;RIGHT("000000"&amp;1855,6),LdgRankKeyA,0),"")</f>
        <v/>
      </c>
      <c r="M1871" t="str">
        <f>IFERROR(MATCH($C$5&amp;"|"&amp;RIGHT("000000"&amp;1855,6),LdgRankKeyB,0),"")</f>
        <v/>
      </c>
    </row>
    <row r="1872" spans="1:13" x14ac:dyDescent="0.2">
      <c r="A1872" s="9">
        <v>1856</v>
      </c>
      <c r="B1872" s="10" t="str">
        <f t="shared" si="224"/>
        <v/>
      </c>
      <c r="C1872" s="10" t="str">
        <f t="shared" si="225"/>
        <v/>
      </c>
      <c r="D1872" s="10" t="str">
        <f t="shared" si="226"/>
        <v/>
      </c>
      <c r="E1872" s="11" t="str">
        <f t="shared" si="227"/>
        <v/>
      </c>
      <c r="F1872" s="12" t="str">
        <f t="shared" si="228"/>
        <v/>
      </c>
      <c r="G1872" s="13" t="str">
        <f t="shared" si="229"/>
        <v/>
      </c>
      <c r="H1872" s="13" t="str">
        <f t="shared" si="230"/>
        <v/>
      </c>
      <c r="I1872" s="14" t="str">
        <f t="shared" si="231"/>
        <v/>
      </c>
      <c r="L1872" t="str">
        <f>IFERROR(MATCH($C$5&amp;"|"&amp;RIGHT("000000"&amp;1856,6),LdgRankKeyA,0),"")</f>
        <v/>
      </c>
      <c r="M1872" t="str">
        <f>IFERROR(MATCH($C$5&amp;"|"&amp;RIGHT("000000"&amp;1856,6),LdgRankKeyB,0),"")</f>
        <v/>
      </c>
    </row>
    <row r="1873" spans="1:13" x14ac:dyDescent="0.2">
      <c r="A1873" s="3">
        <v>1857</v>
      </c>
      <c r="B1873" s="4" t="str">
        <f t="shared" ref="B1873:B1936" si="232">IF(AND($L1873="",$M1873=""),"",IF($L1873&lt;&gt;"",INDEX(SCNormDate,$L1873),INDEX(LdgDateB,$M1873)))</f>
        <v/>
      </c>
      <c r="C1873" s="4" t="str">
        <f t="shared" ref="C1873:C1936" si="233">IF($L1873&lt;&gt;"",INDEX(SCOp,$L1873),IF($M1873&lt;&gt;"","پرداخت بانکی",""))</f>
        <v/>
      </c>
      <c r="D1873" s="4" t="str">
        <f t="shared" ref="D1873:D1936" si="234">IF($L1873&lt;&gt;"",IF(INDEX(SCDoc,$L1873)="","—",INDEX(SCDoc,$L1873)),IF($M1873&lt;&gt;"",INDEX(LdgBankB,$M1873),""))</f>
        <v/>
      </c>
      <c r="E1873" s="5" t="str">
        <f t="shared" ref="E1873:E1936" si="235">IF($L1873&lt;&gt;"",IF(INDEX(SCCitrus,$L1873)&amp;INDEX(SCNotes,$L1873)="","",IF(INDEX(SCCitrus,$L1873)="","",INDEX(SCCitrus,$L1873))&amp;IF(INDEX(SCNotes,$L1873)="",""," — "&amp;INDEX(SCNotes,$L1873))),IF($M1873&lt;&gt;"",IF(INDEX(LdgNoteB,$M1873)="","—",INDEX(LdgNoteB,$M1873)),""))</f>
        <v/>
      </c>
      <c r="F1873" s="6" t="str">
        <f t="shared" ref="F1873:F1936" si="236">IF($L1873&lt;&gt;"",IF(INDEX(SCNet,$L1873)=0,"",INDEX(SCNet,$L1873)),"")</f>
        <v/>
      </c>
      <c r="G1873" s="7" t="str">
        <f t="shared" ref="G1873:G1936" si="237">IF($L1873&lt;&gt;"",IF(INDEX(SCOp,$L1873)="مرجوعی فروش","",IF(INDEX(SCAmount,$L1873)&lt;=0,"",INDEX(SCAmount,$L1873))),IF($M1873&lt;&gt;"",IF(INDEX(LdgWitB,$M1873)=0,"",INDEX(LdgWitB,$M1873)),""))</f>
        <v/>
      </c>
      <c r="H1873" s="7" t="str">
        <f t="shared" ref="H1873:H1936" si="238">IF($L1873&lt;&gt;"",IF(INDEX(SCOp,$L1873)="مرجوعی فروش",IF(INDEX(SCAmount,$L1873)=0,"",-INDEX(SCAmount,$L1873)),""),IF($M1873&lt;&gt;"",IF(INDEX(LdgDepB,$M1873)=0,"",INDEX(LdgDepB,$M1873)),""))</f>
        <v/>
      </c>
      <c r="I1873" s="8" t="str">
        <f t="shared" si="231"/>
        <v/>
      </c>
      <c r="L1873" t="str">
        <f>IFERROR(MATCH($C$5&amp;"|"&amp;RIGHT("000000"&amp;1857,6),LdgRankKeyA,0),"")</f>
        <v/>
      </c>
      <c r="M1873" t="str">
        <f>IFERROR(MATCH($C$5&amp;"|"&amp;RIGHT("000000"&amp;1857,6),LdgRankKeyB,0),"")</f>
        <v/>
      </c>
    </row>
    <row r="1874" spans="1:13" x14ac:dyDescent="0.2">
      <c r="A1874" s="9">
        <v>1858</v>
      </c>
      <c r="B1874" s="10" t="str">
        <f t="shared" si="232"/>
        <v/>
      </c>
      <c r="C1874" s="10" t="str">
        <f t="shared" si="233"/>
        <v/>
      </c>
      <c r="D1874" s="10" t="str">
        <f t="shared" si="234"/>
        <v/>
      </c>
      <c r="E1874" s="11" t="str">
        <f t="shared" si="235"/>
        <v/>
      </c>
      <c r="F1874" s="12" t="str">
        <f t="shared" si="236"/>
        <v/>
      </c>
      <c r="G1874" s="13" t="str">
        <f t="shared" si="237"/>
        <v/>
      </c>
      <c r="H1874" s="13" t="str">
        <f t="shared" si="238"/>
        <v/>
      </c>
      <c r="I1874" s="14" t="str">
        <f t="shared" ref="I1874:I1937" si="239">IF($B1874="","",IF($I1873="",$C$10,$I1873)+IF($G1874="",0,$G1874)-IF($H1874="",0,$H1874))</f>
        <v/>
      </c>
      <c r="L1874" t="str">
        <f>IFERROR(MATCH($C$5&amp;"|"&amp;RIGHT("000000"&amp;1858,6),LdgRankKeyA,0),"")</f>
        <v/>
      </c>
      <c r="M1874" t="str">
        <f>IFERROR(MATCH($C$5&amp;"|"&amp;RIGHT("000000"&amp;1858,6),LdgRankKeyB,0),"")</f>
        <v/>
      </c>
    </row>
    <row r="1875" spans="1:13" x14ac:dyDescent="0.2">
      <c r="A1875" s="3">
        <v>1859</v>
      </c>
      <c r="B1875" s="4" t="str">
        <f t="shared" si="232"/>
        <v/>
      </c>
      <c r="C1875" s="4" t="str">
        <f t="shared" si="233"/>
        <v/>
      </c>
      <c r="D1875" s="4" t="str">
        <f t="shared" si="234"/>
        <v/>
      </c>
      <c r="E1875" s="5" t="str">
        <f t="shared" si="235"/>
        <v/>
      </c>
      <c r="F1875" s="6" t="str">
        <f t="shared" si="236"/>
        <v/>
      </c>
      <c r="G1875" s="7" t="str">
        <f t="shared" si="237"/>
        <v/>
      </c>
      <c r="H1875" s="7" t="str">
        <f t="shared" si="238"/>
        <v/>
      </c>
      <c r="I1875" s="8" t="str">
        <f t="shared" si="239"/>
        <v/>
      </c>
      <c r="L1875" t="str">
        <f>IFERROR(MATCH($C$5&amp;"|"&amp;RIGHT("000000"&amp;1859,6),LdgRankKeyA,0),"")</f>
        <v/>
      </c>
      <c r="M1875" t="str">
        <f>IFERROR(MATCH($C$5&amp;"|"&amp;RIGHT("000000"&amp;1859,6),LdgRankKeyB,0),"")</f>
        <v/>
      </c>
    </row>
    <row r="1876" spans="1:13" x14ac:dyDescent="0.2">
      <c r="A1876" s="9">
        <v>1860</v>
      </c>
      <c r="B1876" s="10" t="str">
        <f t="shared" si="232"/>
        <v/>
      </c>
      <c r="C1876" s="10" t="str">
        <f t="shared" si="233"/>
        <v/>
      </c>
      <c r="D1876" s="10" t="str">
        <f t="shared" si="234"/>
        <v/>
      </c>
      <c r="E1876" s="11" t="str">
        <f t="shared" si="235"/>
        <v/>
      </c>
      <c r="F1876" s="12" t="str">
        <f t="shared" si="236"/>
        <v/>
      </c>
      <c r="G1876" s="13" t="str">
        <f t="shared" si="237"/>
        <v/>
      </c>
      <c r="H1876" s="13" t="str">
        <f t="shared" si="238"/>
        <v/>
      </c>
      <c r="I1876" s="14" t="str">
        <f t="shared" si="239"/>
        <v/>
      </c>
      <c r="L1876" t="str">
        <f>IFERROR(MATCH($C$5&amp;"|"&amp;RIGHT("000000"&amp;1860,6),LdgRankKeyA,0),"")</f>
        <v/>
      </c>
      <c r="M1876" t="str">
        <f>IFERROR(MATCH($C$5&amp;"|"&amp;RIGHT("000000"&amp;1860,6),LdgRankKeyB,0),"")</f>
        <v/>
      </c>
    </row>
    <row r="1877" spans="1:13" x14ac:dyDescent="0.2">
      <c r="A1877" s="3">
        <v>1861</v>
      </c>
      <c r="B1877" s="4" t="str">
        <f t="shared" si="232"/>
        <v/>
      </c>
      <c r="C1877" s="4" t="str">
        <f t="shared" si="233"/>
        <v/>
      </c>
      <c r="D1877" s="4" t="str">
        <f t="shared" si="234"/>
        <v/>
      </c>
      <c r="E1877" s="5" t="str">
        <f t="shared" si="235"/>
        <v/>
      </c>
      <c r="F1877" s="6" t="str">
        <f t="shared" si="236"/>
        <v/>
      </c>
      <c r="G1877" s="7" t="str">
        <f t="shared" si="237"/>
        <v/>
      </c>
      <c r="H1877" s="7" t="str">
        <f t="shared" si="238"/>
        <v/>
      </c>
      <c r="I1877" s="8" t="str">
        <f t="shared" si="239"/>
        <v/>
      </c>
      <c r="L1877" t="str">
        <f>IFERROR(MATCH($C$5&amp;"|"&amp;RIGHT("000000"&amp;1861,6),LdgRankKeyA,0),"")</f>
        <v/>
      </c>
      <c r="M1877" t="str">
        <f>IFERROR(MATCH($C$5&amp;"|"&amp;RIGHT("000000"&amp;1861,6),LdgRankKeyB,0),"")</f>
        <v/>
      </c>
    </row>
    <row r="1878" spans="1:13" x14ac:dyDescent="0.2">
      <c r="A1878" s="9">
        <v>1862</v>
      </c>
      <c r="B1878" s="10" t="str">
        <f t="shared" si="232"/>
        <v/>
      </c>
      <c r="C1878" s="10" t="str">
        <f t="shared" si="233"/>
        <v/>
      </c>
      <c r="D1878" s="10" t="str">
        <f t="shared" si="234"/>
        <v/>
      </c>
      <c r="E1878" s="11" t="str">
        <f t="shared" si="235"/>
        <v/>
      </c>
      <c r="F1878" s="12" t="str">
        <f t="shared" si="236"/>
        <v/>
      </c>
      <c r="G1878" s="13" t="str">
        <f t="shared" si="237"/>
        <v/>
      </c>
      <c r="H1878" s="13" t="str">
        <f t="shared" si="238"/>
        <v/>
      </c>
      <c r="I1878" s="14" t="str">
        <f t="shared" si="239"/>
        <v/>
      </c>
      <c r="L1878" t="str">
        <f>IFERROR(MATCH($C$5&amp;"|"&amp;RIGHT("000000"&amp;1862,6),LdgRankKeyA,0),"")</f>
        <v/>
      </c>
      <c r="M1878" t="str">
        <f>IFERROR(MATCH($C$5&amp;"|"&amp;RIGHT("000000"&amp;1862,6),LdgRankKeyB,0),"")</f>
        <v/>
      </c>
    </row>
    <row r="1879" spans="1:13" x14ac:dyDescent="0.2">
      <c r="A1879" s="3">
        <v>1863</v>
      </c>
      <c r="B1879" s="4" t="str">
        <f t="shared" si="232"/>
        <v/>
      </c>
      <c r="C1879" s="4" t="str">
        <f t="shared" si="233"/>
        <v/>
      </c>
      <c r="D1879" s="4" t="str">
        <f t="shared" si="234"/>
        <v/>
      </c>
      <c r="E1879" s="5" t="str">
        <f t="shared" si="235"/>
        <v/>
      </c>
      <c r="F1879" s="6" t="str">
        <f t="shared" si="236"/>
        <v/>
      </c>
      <c r="G1879" s="7" t="str">
        <f t="shared" si="237"/>
        <v/>
      </c>
      <c r="H1879" s="7" t="str">
        <f t="shared" si="238"/>
        <v/>
      </c>
      <c r="I1879" s="8" t="str">
        <f t="shared" si="239"/>
        <v/>
      </c>
      <c r="L1879" t="str">
        <f>IFERROR(MATCH($C$5&amp;"|"&amp;RIGHT("000000"&amp;1863,6),LdgRankKeyA,0),"")</f>
        <v/>
      </c>
      <c r="M1879" t="str">
        <f>IFERROR(MATCH($C$5&amp;"|"&amp;RIGHT("000000"&amp;1863,6),LdgRankKeyB,0),"")</f>
        <v/>
      </c>
    </row>
    <row r="1880" spans="1:13" x14ac:dyDescent="0.2">
      <c r="A1880" s="9">
        <v>1864</v>
      </c>
      <c r="B1880" s="10" t="str">
        <f t="shared" si="232"/>
        <v/>
      </c>
      <c r="C1880" s="10" t="str">
        <f t="shared" si="233"/>
        <v/>
      </c>
      <c r="D1880" s="10" t="str">
        <f t="shared" si="234"/>
        <v/>
      </c>
      <c r="E1880" s="11" t="str">
        <f t="shared" si="235"/>
        <v/>
      </c>
      <c r="F1880" s="12" t="str">
        <f t="shared" si="236"/>
        <v/>
      </c>
      <c r="G1880" s="13" t="str">
        <f t="shared" si="237"/>
        <v/>
      </c>
      <c r="H1880" s="13" t="str">
        <f t="shared" si="238"/>
        <v/>
      </c>
      <c r="I1880" s="14" t="str">
        <f t="shared" si="239"/>
        <v/>
      </c>
      <c r="L1880" t="str">
        <f>IFERROR(MATCH($C$5&amp;"|"&amp;RIGHT("000000"&amp;1864,6),LdgRankKeyA,0),"")</f>
        <v/>
      </c>
      <c r="M1880" t="str">
        <f>IFERROR(MATCH($C$5&amp;"|"&amp;RIGHT("000000"&amp;1864,6),LdgRankKeyB,0),"")</f>
        <v/>
      </c>
    </row>
    <row r="1881" spans="1:13" x14ac:dyDescent="0.2">
      <c r="A1881" s="3">
        <v>1865</v>
      </c>
      <c r="B1881" s="4" t="str">
        <f t="shared" si="232"/>
        <v/>
      </c>
      <c r="C1881" s="4" t="str">
        <f t="shared" si="233"/>
        <v/>
      </c>
      <c r="D1881" s="4" t="str">
        <f t="shared" si="234"/>
        <v/>
      </c>
      <c r="E1881" s="5" t="str">
        <f t="shared" si="235"/>
        <v/>
      </c>
      <c r="F1881" s="6" t="str">
        <f t="shared" si="236"/>
        <v/>
      </c>
      <c r="G1881" s="7" t="str">
        <f t="shared" si="237"/>
        <v/>
      </c>
      <c r="H1881" s="7" t="str">
        <f t="shared" si="238"/>
        <v/>
      </c>
      <c r="I1881" s="8" t="str">
        <f t="shared" si="239"/>
        <v/>
      </c>
      <c r="L1881" t="str">
        <f>IFERROR(MATCH($C$5&amp;"|"&amp;RIGHT("000000"&amp;1865,6),LdgRankKeyA,0),"")</f>
        <v/>
      </c>
      <c r="M1881" t="str">
        <f>IFERROR(MATCH($C$5&amp;"|"&amp;RIGHT("000000"&amp;1865,6),LdgRankKeyB,0),"")</f>
        <v/>
      </c>
    </row>
    <row r="1882" spans="1:13" x14ac:dyDescent="0.2">
      <c r="A1882" s="9">
        <v>1866</v>
      </c>
      <c r="B1882" s="10" t="str">
        <f t="shared" si="232"/>
        <v/>
      </c>
      <c r="C1882" s="10" t="str">
        <f t="shared" si="233"/>
        <v/>
      </c>
      <c r="D1882" s="10" t="str">
        <f t="shared" si="234"/>
        <v/>
      </c>
      <c r="E1882" s="11" t="str">
        <f t="shared" si="235"/>
        <v/>
      </c>
      <c r="F1882" s="12" t="str">
        <f t="shared" si="236"/>
        <v/>
      </c>
      <c r="G1882" s="13" t="str">
        <f t="shared" si="237"/>
        <v/>
      </c>
      <c r="H1882" s="13" t="str">
        <f t="shared" si="238"/>
        <v/>
      </c>
      <c r="I1882" s="14" t="str">
        <f t="shared" si="239"/>
        <v/>
      </c>
      <c r="L1882" t="str">
        <f>IFERROR(MATCH($C$5&amp;"|"&amp;RIGHT("000000"&amp;1866,6),LdgRankKeyA,0),"")</f>
        <v/>
      </c>
      <c r="M1882" t="str">
        <f>IFERROR(MATCH($C$5&amp;"|"&amp;RIGHT("000000"&amp;1866,6),LdgRankKeyB,0),"")</f>
        <v/>
      </c>
    </row>
    <row r="1883" spans="1:13" x14ac:dyDescent="0.2">
      <c r="A1883" s="3">
        <v>1867</v>
      </c>
      <c r="B1883" s="4" t="str">
        <f t="shared" si="232"/>
        <v/>
      </c>
      <c r="C1883" s="4" t="str">
        <f t="shared" si="233"/>
        <v/>
      </c>
      <c r="D1883" s="4" t="str">
        <f t="shared" si="234"/>
        <v/>
      </c>
      <c r="E1883" s="5" t="str">
        <f t="shared" si="235"/>
        <v/>
      </c>
      <c r="F1883" s="6" t="str">
        <f t="shared" si="236"/>
        <v/>
      </c>
      <c r="G1883" s="7" t="str">
        <f t="shared" si="237"/>
        <v/>
      </c>
      <c r="H1883" s="7" t="str">
        <f t="shared" si="238"/>
        <v/>
      </c>
      <c r="I1883" s="8" t="str">
        <f t="shared" si="239"/>
        <v/>
      </c>
      <c r="L1883" t="str">
        <f>IFERROR(MATCH($C$5&amp;"|"&amp;RIGHT("000000"&amp;1867,6),LdgRankKeyA,0),"")</f>
        <v/>
      </c>
      <c r="M1883" t="str">
        <f>IFERROR(MATCH($C$5&amp;"|"&amp;RIGHT("000000"&amp;1867,6),LdgRankKeyB,0),"")</f>
        <v/>
      </c>
    </row>
    <row r="1884" spans="1:13" x14ac:dyDescent="0.2">
      <c r="A1884" s="9">
        <v>1868</v>
      </c>
      <c r="B1884" s="10" t="str">
        <f t="shared" si="232"/>
        <v/>
      </c>
      <c r="C1884" s="10" t="str">
        <f t="shared" si="233"/>
        <v/>
      </c>
      <c r="D1884" s="10" t="str">
        <f t="shared" si="234"/>
        <v/>
      </c>
      <c r="E1884" s="11" t="str">
        <f t="shared" si="235"/>
        <v/>
      </c>
      <c r="F1884" s="12" t="str">
        <f t="shared" si="236"/>
        <v/>
      </c>
      <c r="G1884" s="13" t="str">
        <f t="shared" si="237"/>
        <v/>
      </c>
      <c r="H1884" s="13" t="str">
        <f t="shared" si="238"/>
        <v/>
      </c>
      <c r="I1884" s="14" t="str">
        <f t="shared" si="239"/>
        <v/>
      </c>
      <c r="L1884" t="str">
        <f>IFERROR(MATCH($C$5&amp;"|"&amp;RIGHT("000000"&amp;1868,6),LdgRankKeyA,0),"")</f>
        <v/>
      </c>
      <c r="M1884" t="str">
        <f>IFERROR(MATCH($C$5&amp;"|"&amp;RIGHT("000000"&amp;1868,6),LdgRankKeyB,0),"")</f>
        <v/>
      </c>
    </row>
    <row r="1885" spans="1:13" x14ac:dyDescent="0.2">
      <c r="A1885" s="3">
        <v>1869</v>
      </c>
      <c r="B1885" s="4" t="str">
        <f t="shared" si="232"/>
        <v/>
      </c>
      <c r="C1885" s="4" t="str">
        <f t="shared" si="233"/>
        <v/>
      </c>
      <c r="D1885" s="4" t="str">
        <f t="shared" si="234"/>
        <v/>
      </c>
      <c r="E1885" s="5" t="str">
        <f t="shared" si="235"/>
        <v/>
      </c>
      <c r="F1885" s="6" t="str">
        <f t="shared" si="236"/>
        <v/>
      </c>
      <c r="G1885" s="7" t="str">
        <f t="shared" si="237"/>
        <v/>
      </c>
      <c r="H1885" s="7" t="str">
        <f t="shared" si="238"/>
        <v/>
      </c>
      <c r="I1885" s="8" t="str">
        <f t="shared" si="239"/>
        <v/>
      </c>
      <c r="L1885" t="str">
        <f>IFERROR(MATCH($C$5&amp;"|"&amp;RIGHT("000000"&amp;1869,6),LdgRankKeyA,0),"")</f>
        <v/>
      </c>
      <c r="M1885" t="str">
        <f>IFERROR(MATCH($C$5&amp;"|"&amp;RIGHT("000000"&amp;1869,6),LdgRankKeyB,0),"")</f>
        <v/>
      </c>
    </row>
    <row r="1886" spans="1:13" x14ac:dyDescent="0.2">
      <c r="A1886" s="9">
        <v>1870</v>
      </c>
      <c r="B1886" s="10" t="str">
        <f t="shared" si="232"/>
        <v/>
      </c>
      <c r="C1886" s="10" t="str">
        <f t="shared" si="233"/>
        <v/>
      </c>
      <c r="D1886" s="10" t="str">
        <f t="shared" si="234"/>
        <v/>
      </c>
      <c r="E1886" s="11" t="str">
        <f t="shared" si="235"/>
        <v/>
      </c>
      <c r="F1886" s="12" t="str">
        <f t="shared" si="236"/>
        <v/>
      </c>
      <c r="G1886" s="13" t="str">
        <f t="shared" si="237"/>
        <v/>
      </c>
      <c r="H1886" s="13" t="str">
        <f t="shared" si="238"/>
        <v/>
      </c>
      <c r="I1886" s="14" t="str">
        <f t="shared" si="239"/>
        <v/>
      </c>
      <c r="L1886" t="str">
        <f>IFERROR(MATCH($C$5&amp;"|"&amp;RIGHT("000000"&amp;1870,6),LdgRankKeyA,0),"")</f>
        <v/>
      </c>
      <c r="M1886" t="str">
        <f>IFERROR(MATCH($C$5&amp;"|"&amp;RIGHT("000000"&amp;1870,6),LdgRankKeyB,0),"")</f>
        <v/>
      </c>
    </row>
    <row r="1887" spans="1:13" x14ac:dyDescent="0.2">
      <c r="A1887" s="3">
        <v>1871</v>
      </c>
      <c r="B1887" s="4" t="str">
        <f t="shared" si="232"/>
        <v/>
      </c>
      <c r="C1887" s="4" t="str">
        <f t="shared" si="233"/>
        <v/>
      </c>
      <c r="D1887" s="4" t="str">
        <f t="shared" si="234"/>
        <v/>
      </c>
      <c r="E1887" s="5" t="str">
        <f t="shared" si="235"/>
        <v/>
      </c>
      <c r="F1887" s="6" t="str">
        <f t="shared" si="236"/>
        <v/>
      </c>
      <c r="G1887" s="7" t="str">
        <f t="shared" si="237"/>
        <v/>
      </c>
      <c r="H1887" s="7" t="str">
        <f t="shared" si="238"/>
        <v/>
      </c>
      <c r="I1887" s="8" t="str">
        <f t="shared" si="239"/>
        <v/>
      </c>
      <c r="L1887" t="str">
        <f>IFERROR(MATCH($C$5&amp;"|"&amp;RIGHT("000000"&amp;1871,6),LdgRankKeyA,0),"")</f>
        <v/>
      </c>
      <c r="M1887" t="str">
        <f>IFERROR(MATCH($C$5&amp;"|"&amp;RIGHT("000000"&amp;1871,6),LdgRankKeyB,0),"")</f>
        <v/>
      </c>
    </row>
    <row r="1888" spans="1:13" x14ac:dyDescent="0.2">
      <c r="A1888" s="9">
        <v>1872</v>
      </c>
      <c r="B1888" s="10" t="str">
        <f t="shared" si="232"/>
        <v/>
      </c>
      <c r="C1888" s="10" t="str">
        <f t="shared" si="233"/>
        <v/>
      </c>
      <c r="D1888" s="10" t="str">
        <f t="shared" si="234"/>
        <v/>
      </c>
      <c r="E1888" s="11" t="str">
        <f t="shared" si="235"/>
        <v/>
      </c>
      <c r="F1888" s="12" t="str">
        <f t="shared" si="236"/>
        <v/>
      </c>
      <c r="G1888" s="13" t="str">
        <f t="shared" si="237"/>
        <v/>
      </c>
      <c r="H1888" s="13" t="str">
        <f t="shared" si="238"/>
        <v/>
      </c>
      <c r="I1888" s="14" t="str">
        <f t="shared" si="239"/>
        <v/>
      </c>
      <c r="L1888" t="str">
        <f>IFERROR(MATCH($C$5&amp;"|"&amp;RIGHT("000000"&amp;1872,6),LdgRankKeyA,0),"")</f>
        <v/>
      </c>
      <c r="M1888" t="str">
        <f>IFERROR(MATCH($C$5&amp;"|"&amp;RIGHT("000000"&amp;1872,6),LdgRankKeyB,0),"")</f>
        <v/>
      </c>
    </row>
    <row r="1889" spans="1:13" x14ac:dyDescent="0.2">
      <c r="A1889" s="3">
        <v>1873</v>
      </c>
      <c r="B1889" s="4" t="str">
        <f t="shared" si="232"/>
        <v/>
      </c>
      <c r="C1889" s="4" t="str">
        <f t="shared" si="233"/>
        <v/>
      </c>
      <c r="D1889" s="4" t="str">
        <f t="shared" si="234"/>
        <v/>
      </c>
      <c r="E1889" s="5" t="str">
        <f t="shared" si="235"/>
        <v/>
      </c>
      <c r="F1889" s="6" t="str">
        <f t="shared" si="236"/>
        <v/>
      </c>
      <c r="G1889" s="7" t="str">
        <f t="shared" si="237"/>
        <v/>
      </c>
      <c r="H1889" s="7" t="str">
        <f t="shared" si="238"/>
        <v/>
      </c>
      <c r="I1889" s="8" t="str">
        <f t="shared" si="239"/>
        <v/>
      </c>
      <c r="L1889" t="str">
        <f>IFERROR(MATCH($C$5&amp;"|"&amp;RIGHT("000000"&amp;1873,6),LdgRankKeyA,0),"")</f>
        <v/>
      </c>
      <c r="M1889" t="str">
        <f>IFERROR(MATCH($C$5&amp;"|"&amp;RIGHT("000000"&amp;1873,6),LdgRankKeyB,0),"")</f>
        <v/>
      </c>
    </row>
    <row r="1890" spans="1:13" x14ac:dyDescent="0.2">
      <c r="A1890" s="9">
        <v>1874</v>
      </c>
      <c r="B1890" s="10" t="str">
        <f t="shared" si="232"/>
        <v/>
      </c>
      <c r="C1890" s="10" t="str">
        <f t="shared" si="233"/>
        <v/>
      </c>
      <c r="D1890" s="10" t="str">
        <f t="shared" si="234"/>
        <v/>
      </c>
      <c r="E1890" s="11" t="str">
        <f t="shared" si="235"/>
        <v/>
      </c>
      <c r="F1890" s="12" t="str">
        <f t="shared" si="236"/>
        <v/>
      </c>
      <c r="G1890" s="13" t="str">
        <f t="shared" si="237"/>
        <v/>
      </c>
      <c r="H1890" s="13" t="str">
        <f t="shared" si="238"/>
        <v/>
      </c>
      <c r="I1890" s="14" t="str">
        <f t="shared" si="239"/>
        <v/>
      </c>
      <c r="L1890" t="str">
        <f>IFERROR(MATCH($C$5&amp;"|"&amp;RIGHT("000000"&amp;1874,6),LdgRankKeyA,0),"")</f>
        <v/>
      </c>
      <c r="M1890" t="str">
        <f>IFERROR(MATCH($C$5&amp;"|"&amp;RIGHT("000000"&amp;1874,6),LdgRankKeyB,0),"")</f>
        <v/>
      </c>
    </row>
    <row r="1891" spans="1:13" x14ac:dyDescent="0.2">
      <c r="A1891" s="3">
        <v>1875</v>
      </c>
      <c r="B1891" s="4" t="str">
        <f t="shared" si="232"/>
        <v/>
      </c>
      <c r="C1891" s="4" t="str">
        <f t="shared" si="233"/>
        <v/>
      </c>
      <c r="D1891" s="4" t="str">
        <f t="shared" si="234"/>
        <v/>
      </c>
      <c r="E1891" s="5" t="str">
        <f t="shared" si="235"/>
        <v/>
      </c>
      <c r="F1891" s="6" t="str">
        <f t="shared" si="236"/>
        <v/>
      </c>
      <c r="G1891" s="7" t="str">
        <f t="shared" si="237"/>
        <v/>
      </c>
      <c r="H1891" s="7" t="str">
        <f t="shared" si="238"/>
        <v/>
      </c>
      <c r="I1891" s="8" t="str">
        <f t="shared" si="239"/>
        <v/>
      </c>
      <c r="L1891" t="str">
        <f>IFERROR(MATCH($C$5&amp;"|"&amp;RIGHT("000000"&amp;1875,6),LdgRankKeyA,0),"")</f>
        <v/>
      </c>
      <c r="M1891" t="str">
        <f>IFERROR(MATCH($C$5&amp;"|"&amp;RIGHT("000000"&amp;1875,6),LdgRankKeyB,0),"")</f>
        <v/>
      </c>
    </row>
    <row r="1892" spans="1:13" x14ac:dyDescent="0.2">
      <c r="A1892" s="9">
        <v>1876</v>
      </c>
      <c r="B1892" s="10" t="str">
        <f t="shared" si="232"/>
        <v/>
      </c>
      <c r="C1892" s="10" t="str">
        <f t="shared" si="233"/>
        <v/>
      </c>
      <c r="D1892" s="10" t="str">
        <f t="shared" si="234"/>
        <v/>
      </c>
      <c r="E1892" s="11" t="str">
        <f t="shared" si="235"/>
        <v/>
      </c>
      <c r="F1892" s="12" t="str">
        <f t="shared" si="236"/>
        <v/>
      </c>
      <c r="G1892" s="13" t="str">
        <f t="shared" si="237"/>
        <v/>
      </c>
      <c r="H1892" s="13" t="str">
        <f t="shared" si="238"/>
        <v/>
      </c>
      <c r="I1892" s="14" t="str">
        <f t="shared" si="239"/>
        <v/>
      </c>
      <c r="L1892" t="str">
        <f>IFERROR(MATCH($C$5&amp;"|"&amp;RIGHT("000000"&amp;1876,6),LdgRankKeyA,0),"")</f>
        <v/>
      </c>
      <c r="M1892" t="str">
        <f>IFERROR(MATCH($C$5&amp;"|"&amp;RIGHT("000000"&amp;1876,6),LdgRankKeyB,0),"")</f>
        <v/>
      </c>
    </row>
    <row r="1893" spans="1:13" x14ac:dyDescent="0.2">
      <c r="A1893" s="3">
        <v>1877</v>
      </c>
      <c r="B1893" s="4" t="str">
        <f t="shared" si="232"/>
        <v/>
      </c>
      <c r="C1893" s="4" t="str">
        <f t="shared" si="233"/>
        <v/>
      </c>
      <c r="D1893" s="4" t="str">
        <f t="shared" si="234"/>
        <v/>
      </c>
      <c r="E1893" s="5" t="str">
        <f t="shared" si="235"/>
        <v/>
      </c>
      <c r="F1893" s="6" t="str">
        <f t="shared" si="236"/>
        <v/>
      </c>
      <c r="G1893" s="7" t="str">
        <f t="shared" si="237"/>
        <v/>
      </c>
      <c r="H1893" s="7" t="str">
        <f t="shared" si="238"/>
        <v/>
      </c>
      <c r="I1893" s="8" t="str">
        <f t="shared" si="239"/>
        <v/>
      </c>
      <c r="L1893" t="str">
        <f>IFERROR(MATCH($C$5&amp;"|"&amp;RIGHT("000000"&amp;1877,6),LdgRankKeyA,0),"")</f>
        <v/>
      </c>
      <c r="M1893" t="str">
        <f>IFERROR(MATCH($C$5&amp;"|"&amp;RIGHT("000000"&amp;1877,6),LdgRankKeyB,0),"")</f>
        <v/>
      </c>
    </row>
    <row r="1894" spans="1:13" x14ac:dyDescent="0.2">
      <c r="A1894" s="9">
        <v>1878</v>
      </c>
      <c r="B1894" s="10" t="str">
        <f t="shared" si="232"/>
        <v/>
      </c>
      <c r="C1894" s="10" t="str">
        <f t="shared" si="233"/>
        <v/>
      </c>
      <c r="D1894" s="10" t="str">
        <f t="shared" si="234"/>
        <v/>
      </c>
      <c r="E1894" s="11" t="str">
        <f t="shared" si="235"/>
        <v/>
      </c>
      <c r="F1894" s="12" t="str">
        <f t="shared" si="236"/>
        <v/>
      </c>
      <c r="G1894" s="13" t="str">
        <f t="shared" si="237"/>
        <v/>
      </c>
      <c r="H1894" s="13" t="str">
        <f t="shared" si="238"/>
        <v/>
      </c>
      <c r="I1894" s="14" t="str">
        <f t="shared" si="239"/>
        <v/>
      </c>
      <c r="L1894" t="str">
        <f>IFERROR(MATCH($C$5&amp;"|"&amp;RIGHT("000000"&amp;1878,6),LdgRankKeyA,0),"")</f>
        <v/>
      </c>
      <c r="M1894" t="str">
        <f>IFERROR(MATCH($C$5&amp;"|"&amp;RIGHT("000000"&amp;1878,6),LdgRankKeyB,0),"")</f>
        <v/>
      </c>
    </row>
    <row r="1895" spans="1:13" x14ac:dyDescent="0.2">
      <c r="A1895" s="3">
        <v>1879</v>
      </c>
      <c r="B1895" s="4" t="str">
        <f t="shared" si="232"/>
        <v/>
      </c>
      <c r="C1895" s="4" t="str">
        <f t="shared" si="233"/>
        <v/>
      </c>
      <c r="D1895" s="4" t="str">
        <f t="shared" si="234"/>
        <v/>
      </c>
      <c r="E1895" s="5" t="str">
        <f t="shared" si="235"/>
        <v/>
      </c>
      <c r="F1895" s="6" t="str">
        <f t="shared" si="236"/>
        <v/>
      </c>
      <c r="G1895" s="7" t="str">
        <f t="shared" si="237"/>
        <v/>
      </c>
      <c r="H1895" s="7" t="str">
        <f t="shared" si="238"/>
        <v/>
      </c>
      <c r="I1895" s="8" t="str">
        <f t="shared" si="239"/>
        <v/>
      </c>
      <c r="L1895" t="str">
        <f>IFERROR(MATCH($C$5&amp;"|"&amp;RIGHT("000000"&amp;1879,6),LdgRankKeyA,0),"")</f>
        <v/>
      </c>
      <c r="M1895" t="str">
        <f>IFERROR(MATCH($C$5&amp;"|"&amp;RIGHT("000000"&amp;1879,6),LdgRankKeyB,0),"")</f>
        <v/>
      </c>
    </row>
    <row r="1896" spans="1:13" x14ac:dyDescent="0.2">
      <c r="A1896" s="9">
        <v>1880</v>
      </c>
      <c r="B1896" s="10" t="str">
        <f t="shared" si="232"/>
        <v/>
      </c>
      <c r="C1896" s="10" t="str">
        <f t="shared" si="233"/>
        <v/>
      </c>
      <c r="D1896" s="10" t="str">
        <f t="shared" si="234"/>
        <v/>
      </c>
      <c r="E1896" s="11" t="str">
        <f t="shared" si="235"/>
        <v/>
      </c>
      <c r="F1896" s="12" t="str">
        <f t="shared" si="236"/>
        <v/>
      </c>
      <c r="G1896" s="13" t="str">
        <f t="shared" si="237"/>
        <v/>
      </c>
      <c r="H1896" s="13" t="str">
        <f t="shared" si="238"/>
        <v/>
      </c>
      <c r="I1896" s="14" t="str">
        <f t="shared" si="239"/>
        <v/>
      </c>
      <c r="L1896" t="str">
        <f>IFERROR(MATCH($C$5&amp;"|"&amp;RIGHT("000000"&amp;1880,6),LdgRankKeyA,0),"")</f>
        <v/>
      </c>
      <c r="M1896" t="str">
        <f>IFERROR(MATCH($C$5&amp;"|"&amp;RIGHT("000000"&amp;1880,6),LdgRankKeyB,0),"")</f>
        <v/>
      </c>
    </row>
    <row r="1897" spans="1:13" x14ac:dyDescent="0.2">
      <c r="A1897" s="3">
        <v>1881</v>
      </c>
      <c r="B1897" s="4" t="str">
        <f t="shared" si="232"/>
        <v/>
      </c>
      <c r="C1897" s="4" t="str">
        <f t="shared" si="233"/>
        <v/>
      </c>
      <c r="D1897" s="4" t="str">
        <f t="shared" si="234"/>
        <v/>
      </c>
      <c r="E1897" s="5" t="str">
        <f t="shared" si="235"/>
        <v/>
      </c>
      <c r="F1897" s="6" t="str">
        <f t="shared" si="236"/>
        <v/>
      </c>
      <c r="G1897" s="7" t="str">
        <f t="shared" si="237"/>
        <v/>
      </c>
      <c r="H1897" s="7" t="str">
        <f t="shared" si="238"/>
        <v/>
      </c>
      <c r="I1897" s="8" t="str">
        <f t="shared" si="239"/>
        <v/>
      </c>
      <c r="L1897" t="str">
        <f>IFERROR(MATCH($C$5&amp;"|"&amp;RIGHT("000000"&amp;1881,6),LdgRankKeyA,0),"")</f>
        <v/>
      </c>
      <c r="M1897" t="str">
        <f>IFERROR(MATCH($C$5&amp;"|"&amp;RIGHT("000000"&amp;1881,6),LdgRankKeyB,0),"")</f>
        <v/>
      </c>
    </row>
    <row r="1898" spans="1:13" x14ac:dyDescent="0.2">
      <c r="A1898" s="9">
        <v>1882</v>
      </c>
      <c r="B1898" s="10" t="str">
        <f t="shared" si="232"/>
        <v/>
      </c>
      <c r="C1898" s="10" t="str">
        <f t="shared" si="233"/>
        <v/>
      </c>
      <c r="D1898" s="10" t="str">
        <f t="shared" si="234"/>
        <v/>
      </c>
      <c r="E1898" s="11" t="str">
        <f t="shared" si="235"/>
        <v/>
      </c>
      <c r="F1898" s="12" t="str">
        <f t="shared" si="236"/>
        <v/>
      </c>
      <c r="G1898" s="13" t="str">
        <f t="shared" si="237"/>
        <v/>
      </c>
      <c r="H1898" s="13" t="str">
        <f t="shared" si="238"/>
        <v/>
      </c>
      <c r="I1898" s="14" t="str">
        <f t="shared" si="239"/>
        <v/>
      </c>
      <c r="L1898" t="str">
        <f>IFERROR(MATCH($C$5&amp;"|"&amp;RIGHT("000000"&amp;1882,6),LdgRankKeyA,0),"")</f>
        <v/>
      </c>
      <c r="M1898" t="str">
        <f>IFERROR(MATCH($C$5&amp;"|"&amp;RIGHT("000000"&amp;1882,6),LdgRankKeyB,0),"")</f>
        <v/>
      </c>
    </row>
    <row r="1899" spans="1:13" x14ac:dyDescent="0.2">
      <c r="A1899" s="3">
        <v>1883</v>
      </c>
      <c r="B1899" s="4" t="str">
        <f t="shared" si="232"/>
        <v/>
      </c>
      <c r="C1899" s="4" t="str">
        <f t="shared" si="233"/>
        <v/>
      </c>
      <c r="D1899" s="4" t="str">
        <f t="shared" si="234"/>
        <v/>
      </c>
      <c r="E1899" s="5" t="str">
        <f t="shared" si="235"/>
        <v/>
      </c>
      <c r="F1899" s="6" t="str">
        <f t="shared" si="236"/>
        <v/>
      </c>
      <c r="G1899" s="7" t="str">
        <f t="shared" si="237"/>
        <v/>
      </c>
      <c r="H1899" s="7" t="str">
        <f t="shared" si="238"/>
        <v/>
      </c>
      <c r="I1899" s="8" t="str">
        <f t="shared" si="239"/>
        <v/>
      </c>
      <c r="L1899" t="str">
        <f>IFERROR(MATCH($C$5&amp;"|"&amp;RIGHT("000000"&amp;1883,6),LdgRankKeyA,0),"")</f>
        <v/>
      </c>
      <c r="M1899" t="str">
        <f>IFERROR(MATCH($C$5&amp;"|"&amp;RIGHT("000000"&amp;1883,6),LdgRankKeyB,0),"")</f>
        <v/>
      </c>
    </row>
    <row r="1900" spans="1:13" x14ac:dyDescent="0.2">
      <c r="A1900" s="9">
        <v>1884</v>
      </c>
      <c r="B1900" s="10" t="str">
        <f t="shared" si="232"/>
        <v/>
      </c>
      <c r="C1900" s="10" t="str">
        <f t="shared" si="233"/>
        <v/>
      </c>
      <c r="D1900" s="10" t="str">
        <f t="shared" si="234"/>
        <v/>
      </c>
      <c r="E1900" s="11" t="str">
        <f t="shared" si="235"/>
        <v/>
      </c>
      <c r="F1900" s="12" t="str">
        <f t="shared" si="236"/>
        <v/>
      </c>
      <c r="G1900" s="13" t="str">
        <f t="shared" si="237"/>
        <v/>
      </c>
      <c r="H1900" s="13" t="str">
        <f t="shared" si="238"/>
        <v/>
      </c>
      <c r="I1900" s="14" t="str">
        <f t="shared" si="239"/>
        <v/>
      </c>
      <c r="L1900" t="str">
        <f>IFERROR(MATCH($C$5&amp;"|"&amp;RIGHT("000000"&amp;1884,6),LdgRankKeyA,0),"")</f>
        <v/>
      </c>
      <c r="M1900" t="str">
        <f>IFERROR(MATCH($C$5&amp;"|"&amp;RIGHT("000000"&amp;1884,6),LdgRankKeyB,0),"")</f>
        <v/>
      </c>
    </row>
    <row r="1901" spans="1:13" x14ac:dyDescent="0.2">
      <c r="A1901" s="3">
        <v>1885</v>
      </c>
      <c r="B1901" s="4" t="str">
        <f t="shared" si="232"/>
        <v/>
      </c>
      <c r="C1901" s="4" t="str">
        <f t="shared" si="233"/>
        <v/>
      </c>
      <c r="D1901" s="4" t="str">
        <f t="shared" si="234"/>
        <v/>
      </c>
      <c r="E1901" s="5" t="str">
        <f t="shared" si="235"/>
        <v/>
      </c>
      <c r="F1901" s="6" t="str">
        <f t="shared" si="236"/>
        <v/>
      </c>
      <c r="G1901" s="7" t="str">
        <f t="shared" si="237"/>
        <v/>
      </c>
      <c r="H1901" s="7" t="str">
        <f t="shared" si="238"/>
        <v/>
      </c>
      <c r="I1901" s="8" t="str">
        <f t="shared" si="239"/>
        <v/>
      </c>
      <c r="L1901" t="str">
        <f>IFERROR(MATCH($C$5&amp;"|"&amp;RIGHT("000000"&amp;1885,6),LdgRankKeyA,0),"")</f>
        <v/>
      </c>
      <c r="M1901" t="str">
        <f>IFERROR(MATCH($C$5&amp;"|"&amp;RIGHT("000000"&amp;1885,6),LdgRankKeyB,0),"")</f>
        <v/>
      </c>
    </row>
    <row r="1902" spans="1:13" x14ac:dyDescent="0.2">
      <c r="A1902" s="9">
        <v>1886</v>
      </c>
      <c r="B1902" s="10" t="str">
        <f t="shared" si="232"/>
        <v/>
      </c>
      <c r="C1902" s="10" t="str">
        <f t="shared" si="233"/>
        <v/>
      </c>
      <c r="D1902" s="10" t="str">
        <f t="shared" si="234"/>
        <v/>
      </c>
      <c r="E1902" s="11" t="str">
        <f t="shared" si="235"/>
        <v/>
      </c>
      <c r="F1902" s="12" t="str">
        <f t="shared" si="236"/>
        <v/>
      </c>
      <c r="G1902" s="13" t="str">
        <f t="shared" si="237"/>
        <v/>
      </c>
      <c r="H1902" s="13" t="str">
        <f t="shared" si="238"/>
        <v/>
      </c>
      <c r="I1902" s="14" t="str">
        <f t="shared" si="239"/>
        <v/>
      </c>
      <c r="L1902" t="str">
        <f>IFERROR(MATCH($C$5&amp;"|"&amp;RIGHT("000000"&amp;1886,6),LdgRankKeyA,0),"")</f>
        <v/>
      </c>
      <c r="M1902" t="str">
        <f>IFERROR(MATCH($C$5&amp;"|"&amp;RIGHT("000000"&amp;1886,6),LdgRankKeyB,0),"")</f>
        <v/>
      </c>
    </row>
    <row r="1903" spans="1:13" x14ac:dyDescent="0.2">
      <c r="A1903" s="3">
        <v>1887</v>
      </c>
      <c r="B1903" s="4" t="str">
        <f t="shared" si="232"/>
        <v/>
      </c>
      <c r="C1903" s="4" t="str">
        <f t="shared" si="233"/>
        <v/>
      </c>
      <c r="D1903" s="4" t="str">
        <f t="shared" si="234"/>
        <v/>
      </c>
      <c r="E1903" s="5" t="str">
        <f t="shared" si="235"/>
        <v/>
      </c>
      <c r="F1903" s="6" t="str">
        <f t="shared" si="236"/>
        <v/>
      </c>
      <c r="G1903" s="7" t="str">
        <f t="shared" si="237"/>
        <v/>
      </c>
      <c r="H1903" s="7" t="str">
        <f t="shared" si="238"/>
        <v/>
      </c>
      <c r="I1903" s="8" t="str">
        <f t="shared" si="239"/>
        <v/>
      </c>
      <c r="L1903" t="str">
        <f>IFERROR(MATCH($C$5&amp;"|"&amp;RIGHT("000000"&amp;1887,6),LdgRankKeyA,0),"")</f>
        <v/>
      </c>
      <c r="M1903" t="str">
        <f>IFERROR(MATCH($C$5&amp;"|"&amp;RIGHT("000000"&amp;1887,6),LdgRankKeyB,0),"")</f>
        <v/>
      </c>
    </row>
    <row r="1904" spans="1:13" x14ac:dyDescent="0.2">
      <c r="A1904" s="9">
        <v>1888</v>
      </c>
      <c r="B1904" s="10" t="str">
        <f t="shared" si="232"/>
        <v/>
      </c>
      <c r="C1904" s="10" t="str">
        <f t="shared" si="233"/>
        <v/>
      </c>
      <c r="D1904" s="10" t="str">
        <f t="shared" si="234"/>
        <v/>
      </c>
      <c r="E1904" s="11" t="str">
        <f t="shared" si="235"/>
        <v/>
      </c>
      <c r="F1904" s="12" t="str">
        <f t="shared" si="236"/>
        <v/>
      </c>
      <c r="G1904" s="13" t="str">
        <f t="shared" si="237"/>
        <v/>
      </c>
      <c r="H1904" s="13" t="str">
        <f t="shared" si="238"/>
        <v/>
      </c>
      <c r="I1904" s="14" t="str">
        <f t="shared" si="239"/>
        <v/>
      </c>
      <c r="L1904" t="str">
        <f>IFERROR(MATCH($C$5&amp;"|"&amp;RIGHT("000000"&amp;1888,6),LdgRankKeyA,0),"")</f>
        <v/>
      </c>
      <c r="M1904" t="str">
        <f>IFERROR(MATCH($C$5&amp;"|"&amp;RIGHT("000000"&amp;1888,6),LdgRankKeyB,0),"")</f>
        <v/>
      </c>
    </row>
    <row r="1905" spans="1:13" x14ac:dyDescent="0.2">
      <c r="A1905" s="3">
        <v>1889</v>
      </c>
      <c r="B1905" s="4" t="str">
        <f t="shared" si="232"/>
        <v/>
      </c>
      <c r="C1905" s="4" t="str">
        <f t="shared" si="233"/>
        <v/>
      </c>
      <c r="D1905" s="4" t="str">
        <f t="shared" si="234"/>
        <v/>
      </c>
      <c r="E1905" s="5" t="str">
        <f t="shared" si="235"/>
        <v/>
      </c>
      <c r="F1905" s="6" t="str">
        <f t="shared" si="236"/>
        <v/>
      </c>
      <c r="G1905" s="7" t="str">
        <f t="shared" si="237"/>
        <v/>
      </c>
      <c r="H1905" s="7" t="str">
        <f t="shared" si="238"/>
        <v/>
      </c>
      <c r="I1905" s="8" t="str">
        <f t="shared" si="239"/>
        <v/>
      </c>
      <c r="L1905" t="str">
        <f>IFERROR(MATCH($C$5&amp;"|"&amp;RIGHT("000000"&amp;1889,6),LdgRankKeyA,0),"")</f>
        <v/>
      </c>
      <c r="M1905" t="str">
        <f>IFERROR(MATCH($C$5&amp;"|"&amp;RIGHT("000000"&amp;1889,6),LdgRankKeyB,0),"")</f>
        <v/>
      </c>
    </row>
    <row r="1906" spans="1:13" x14ac:dyDescent="0.2">
      <c r="A1906" s="9">
        <v>1890</v>
      </c>
      <c r="B1906" s="10" t="str">
        <f t="shared" si="232"/>
        <v/>
      </c>
      <c r="C1906" s="10" t="str">
        <f t="shared" si="233"/>
        <v/>
      </c>
      <c r="D1906" s="10" t="str">
        <f t="shared" si="234"/>
        <v/>
      </c>
      <c r="E1906" s="11" t="str">
        <f t="shared" si="235"/>
        <v/>
      </c>
      <c r="F1906" s="12" t="str">
        <f t="shared" si="236"/>
        <v/>
      </c>
      <c r="G1906" s="13" t="str">
        <f t="shared" si="237"/>
        <v/>
      </c>
      <c r="H1906" s="13" t="str">
        <f t="shared" si="238"/>
        <v/>
      </c>
      <c r="I1906" s="14" t="str">
        <f t="shared" si="239"/>
        <v/>
      </c>
      <c r="L1906" t="str">
        <f>IFERROR(MATCH($C$5&amp;"|"&amp;RIGHT("000000"&amp;1890,6),LdgRankKeyA,0),"")</f>
        <v/>
      </c>
      <c r="M1906" t="str">
        <f>IFERROR(MATCH($C$5&amp;"|"&amp;RIGHT("000000"&amp;1890,6),LdgRankKeyB,0),"")</f>
        <v/>
      </c>
    </row>
    <row r="1907" spans="1:13" x14ac:dyDescent="0.2">
      <c r="A1907" s="3">
        <v>1891</v>
      </c>
      <c r="B1907" s="4" t="str">
        <f t="shared" si="232"/>
        <v/>
      </c>
      <c r="C1907" s="4" t="str">
        <f t="shared" si="233"/>
        <v/>
      </c>
      <c r="D1907" s="4" t="str">
        <f t="shared" si="234"/>
        <v/>
      </c>
      <c r="E1907" s="5" t="str">
        <f t="shared" si="235"/>
        <v/>
      </c>
      <c r="F1907" s="6" t="str">
        <f t="shared" si="236"/>
        <v/>
      </c>
      <c r="G1907" s="7" t="str">
        <f t="shared" si="237"/>
        <v/>
      </c>
      <c r="H1907" s="7" t="str">
        <f t="shared" si="238"/>
        <v/>
      </c>
      <c r="I1907" s="8" t="str">
        <f t="shared" si="239"/>
        <v/>
      </c>
      <c r="L1907" t="str">
        <f>IFERROR(MATCH($C$5&amp;"|"&amp;RIGHT("000000"&amp;1891,6),LdgRankKeyA,0),"")</f>
        <v/>
      </c>
      <c r="M1907" t="str">
        <f>IFERROR(MATCH($C$5&amp;"|"&amp;RIGHT("000000"&amp;1891,6),LdgRankKeyB,0),"")</f>
        <v/>
      </c>
    </row>
    <row r="1908" spans="1:13" x14ac:dyDescent="0.2">
      <c r="A1908" s="9">
        <v>1892</v>
      </c>
      <c r="B1908" s="10" t="str">
        <f t="shared" si="232"/>
        <v/>
      </c>
      <c r="C1908" s="10" t="str">
        <f t="shared" si="233"/>
        <v/>
      </c>
      <c r="D1908" s="10" t="str">
        <f t="shared" si="234"/>
        <v/>
      </c>
      <c r="E1908" s="11" t="str">
        <f t="shared" si="235"/>
        <v/>
      </c>
      <c r="F1908" s="12" t="str">
        <f t="shared" si="236"/>
        <v/>
      </c>
      <c r="G1908" s="13" t="str">
        <f t="shared" si="237"/>
        <v/>
      </c>
      <c r="H1908" s="13" t="str">
        <f t="shared" si="238"/>
        <v/>
      </c>
      <c r="I1908" s="14" t="str">
        <f t="shared" si="239"/>
        <v/>
      </c>
      <c r="L1908" t="str">
        <f>IFERROR(MATCH($C$5&amp;"|"&amp;RIGHT("000000"&amp;1892,6),LdgRankKeyA,0),"")</f>
        <v/>
      </c>
      <c r="M1908" t="str">
        <f>IFERROR(MATCH($C$5&amp;"|"&amp;RIGHT("000000"&amp;1892,6),LdgRankKeyB,0),"")</f>
        <v/>
      </c>
    </row>
    <row r="1909" spans="1:13" x14ac:dyDescent="0.2">
      <c r="A1909" s="3">
        <v>1893</v>
      </c>
      <c r="B1909" s="4" t="str">
        <f t="shared" si="232"/>
        <v/>
      </c>
      <c r="C1909" s="4" t="str">
        <f t="shared" si="233"/>
        <v/>
      </c>
      <c r="D1909" s="4" t="str">
        <f t="shared" si="234"/>
        <v/>
      </c>
      <c r="E1909" s="5" t="str">
        <f t="shared" si="235"/>
        <v/>
      </c>
      <c r="F1909" s="6" t="str">
        <f t="shared" si="236"/>
        <v/>
      </c>
      <c r="G1909" s="7" t="str">
        <f t="shared" si="237"/>
        <v/>
      </c>
      <c r="H1909" s="7" t="str">
        <f t="shared" si="238"/>
        <v/>
      </c>
      <c r="I1909" s="8" t="str">
        <f t="shared" si="239"/>
        <v/>
      </c>
      <c r="L1909" t="str">
        <f>IFERROR(MATCH($C$5&amp;"|"&amp;RIGHT("000000"&amp;1893,6),LdgRankKeyA,0),"")</f>
        <v/>
      </c>
      <c r="M1909" t="str">
        <f>IFERROR(MATCH($C$5&amp;"|"&amp;RIGHT("000000"&amp;1893,6),LdgRankKeyB,0),"")</f>
        <v/>
      </c>
    </row>
    <row r="1910" spans="1:13" x14ac:dyDescent="0.2">
      <c r="A1910" s="9">
        <v>1894</v>
      </c>
      <c r="B1910" s="10" t="str">
        <f t="shared" si="232"/>
        <v/>
      </c>
      <c r="C1910" s="10" t="str">
        <f t="shared" si="233"/>
        <v/>
      </c>
      <c r="D1910" s="10" t="str">
        <f t="shared" si="234"/>
        <v/>
      </c>
      <c r="E1910" s="11" t="str">
        <f t="shared" si="235"/>
        <v/>
      </c>
      <c r="F1910" s="12" t="str">
        <f t="shared" si="236"/>
        <v/>
      </c>
      <c r="G1910" s="13" t="str">
        <f t="shared" si="237"/>
        <v/>
      </c>
      <c r="H1910" s="13" t="str">
        <f t="shared" si="238"/>
        <v/>
      </c>
      <c r="I1910" s="14" t="str">
        <f t="shared" si="239"/>
        <v/>
      </c>
      <c r="L1910" t="str">
        <f>IFERROR(MATCH($C$5&amp;"|"&amp;RIGHT("000000"&amp;1894,6),LdgRankKeyA,0),"")</f>
        <v/>
      </c>
      <c r="M1910" t="str">
        <f>IFERROR(MATCH($C$5&amp;"|"&amp;RIGHT("000000"&amp;1894,6),LdgRankKeyB,0),"")</f>
        <v/>
      </c>
    </row>
    <row r="1911" spans="1:13" x14ac:dyDescent="0.2">
      <c r="A1911" s="3">
        <v>1895</v>
      </c>
      <c r="B1911" s="4" t="str">
        <f t="shared" si="232"/>
        <v/>
      </c>
      <c r="C1911" s="4" t="str">
        <f t="shared" si="233"/>
        <v/>
      </c>
      <c r="D1911" s="4" t="str">
        <f t="shared" si="234"/>
        <v/>
      </c>
      <c r="E1911" s="5" t="str">
        <f t="shared" si="235"/>
        <v/>
      </c>
      <c r="F1911" s="6" t="str">
        <f t="shared" si="236"/>
        <v/>
      </c>
      <c r="G1911" s="7" t="str">
        <f t="shared" si="237"/>
        <v/>
      </c>
      <c r="H1911" s="7" t="str">
        <f t="shared" si="238"/>
        <v/>
      </c>
      <c r="I1911" s="8" t="str">
        <f t="shared" si="239"/>
        <v/>
      </c>
      <c r="L1911" t="str">
        <f>IFERROR(MATCH($C$5&amp;"|"&amp;RIGHT("000000"&amp;1895,6),LdgRankKeyA,0),"")</f>
        <v/>
      </c>
      <c r="M1911" t="str">
        <f>IFERROR(MATCH($C$5&amp;"|"&amp;RIGHT("000000"&amp;1895,6),LdgRankKeyB,0),"")</f>
        <v/>
      </c>
    </row>
    <row r="1912" spans="1:13" x14ac:dyDescent="0.2">
      <c r="A1912" s="9">
        <v>1896</v>
      </c>
      <c r="B1912" s="10" t="str">
        <f t="shared" si="232"/>
        <v/>
      </c>
      <c r="C1912" s="10" t="str">
        <f t="shared" si="233"/>
        <v/>
      </c>
      <c r="D1912" s="10" t="str">
        <f t="shared" si="234"/>
        <v/>
      </c>
      <c r="E1912" s="11" t="str">
        <f t="shared" si="235"/>
        <v/>
      </c>
      <c r="F1912" s="12" t="str">
        <f t="shared" si="236"/>
        <v/>
      </c>
      <c r="G1912" s="13" t="str">
        <f t="shared" si="237"/>
        <v/>
      </c>
      <c r="H1912" s="13" t="str">
        <f t="shared" si="238"/>
        <v/>
      </c>
      <c r="I1912" s="14" t="str">
        <f t="shared" si="239"/>
        <v/>
      </c>
      <c r="L1912" t="str">
        <f>IFERROR(MATCH($C$5&amp;"|"&amp;RIGHT("000000"&amp;1896,6),LdgRankKeyA,0),"")</f>
        <v/>
      </c>
      <c r="M1912" t="str">
        <f>IFERROR(MATCH($C$5&amp;"|"&amp;RIGHT("000000"&amp;1896,6),LdgRankKeyB,0),"")</f>
        <v/>
      </c>
    </row>
    <row r="1913" spans="1:13" x14ac:dyDescent="0.2">
      <c r="A1913" s="3">
        <v>1897</v>
      </c>
      <c r="B1913" s="4" t="str">
        <f t="shared" si="232"/>
        <v/>
      </c>
      <c r="C1913" s="4" t="str">
        <f t="shared" si="233"/>
        <v/>
      </c>
      <c r="D1913" s="4" t="str">
        <f t="shared" si="234"/>
        <v/>
      </c>
      <c r="E1913" s="5" t="str">
        <f t="shared" si="235"/>
        <v/>
      </c>
      <c r="F1913" s="6" t="str">
        <f t="shared" si="236"/>
        <v/>
      </c>
      <c r="G1913" s="7" t="str">
        <f t="shared" si="237"/>
        <v/>
      </c>
      <c r="H1913" s="7" t="str">
        <f t="shared" si="238"/>
        <v/>
      </c>
      <c r="I1913" s="8" t="str">
        <f t="shared" si="239"/>
        <v/>
      </c>
      <c r="L1913" t="str">
        <f>IFERROR(MATCH($C$5&amp;"|"&amp;RIGHT("000000"&amp;1897,6),LdgRankKeyA,0),"")</f>
        <v/>
      </c>
      <c r="M1913" t="str">
        <f>IFERROR(MATCH($C$5&amp;"|"&amp;RIGHT("000000"&amp;1897,6),LdgRankKeyB,0),"")</f>
        <v/>
      </c>
    </row>
    <row r="1914" spans="1:13" x14ac:dyDescent="0.2">
      <c r="A1914" s="9">
        <v>1898</v>
      </c>
      <c r="B1914" s="10" t="str">
        <f t="shared" si="232"/>
        <v/>
      </c>
      <c r="C1914" s="10" t="str">
        <f t="shared" si="233"/>
        <v/>
      </c>
      <c r="D1914" s="10" t="str">
        <f t="shared" si="234"/>
        <v/>
      </c>
      <c r="E1914" s="11" t="str">
        <f t="shared" si="235"/>
        <v/>
      </c>
      <c r="F1914" s="12" t="str">
        <f t="shared" si="236"/>
        <v/>
      </c>
      <c r="G1914" s="13" t="str">
        <f t="shared" si="237"/>
        <v/>
      </c>
      <c r="H1914" s="13" t="str">
        <f t="shared" si="238"/>
        <v/>
      </c>
      <c r="I1914" s="14" t="str">
        <f t="shared" si="239"/>
        <v/>
      </c>
      <c r="L1914" t="str">
        <f>IFERROR(MATCH($C$5&amp;"|"&amp;RIGHT("000000"&amp;1898,6),LdgRankKeyA,0),"")</f>
        <v/>
      </c>
      <c r="M1914" t="str">
        <f>IFERROR(MATCH($C$5&amp;"|"&amp;RIGHT("000000"&amp;1898,6),LdgRankKeyB,0),"")</f>
        <v/>
      </c>
    </row>
    <row r="1915" spans="1:13" x14ac:dyDescent="0.2">
      <c r="A1915" s="3">
        <v>1899</v>
      </c>
      <c r="B1915" s="4" t="str">
        <f t="shared" si="232"/>
        <v/>
      </c>
      <c r="C1915" s="4" t="str">
        <f t="shared" si="233"/>
        <v/>
      </c>
      <c r="D1915" s="4" t="str">
        <f t="shared" si="234"/>
        <v/>
      </c>
      <c r="E1915" s="5" t="str">
        <f t="shared" si="235"/>
        <v/>
      </c>
      <c r="F1915" s="6" t="str">
        <f t="shared" si="236"/>
        <v/>
      </c>
      <c r="G1915" s="7" t="str">
        <f t="shared" si="237"/>
        <v/>
      </c>
      <c r="H1915" s="7" t="str">
        <f t="shared" si="238"/>
        <v/>
      </c>
      <c r="I1915" s="8" t="str">
        <f t="shared" si="239"/>
        <v/>
      </c>
      <c r="L1915" t="str">
        <f>IFERROR(MATCH($C$5&amp;"|"&amp;RIGHT("000000"&amp;1899,6),LdgRankKeyA,0),"")</f>
        <v/>
      </c>
      <c r="M1915" t="str">
        <f>IFERROR(MATCH($C$5&amp;"|"&amp;RIGHT("000000"&amp;1899,6),LdgRankKeyB,0),"")</f>
        <v/>
      </c>
    </row>
    <row r="1916" spans="1:13" x14ac:dyDescent="0.2">
      <c r="A1916" s="9">
        <v>1900</v>
      </c>
      <c r="B1916" s="10" t="str">
        <f t="shared" si="232"/>
        <v/>
      </c>
      <c r="C1916" s="10" t="str">
        <f t="shared" si="233"/>
        <v/>
      </c>
      <c r="D1916" s="10" t="str">
        <f t="shared" si="234"/>
        <v/>
      </c>
      <c r="E1916" s="11" t="str">
        <f t="shared" si="235"/>
        <v/>
      </c>
      <c r="F1916" s="12" t="str">
        <f t="shared" si="236"/>
        <v/>
      </c>
      <c r="G1916" s="13" t="str">
        <f t="shared" si="237"/>
        <v/>
      </c>
      <c r="H1916" s="13" t="str">
        <f t="shared" si="238"/>
        <v/>
      </c>
      <c r="I1916" s="14" t="str">
        <f t="shared" si="239"/>
        <v/>
      </c>
      <c r="L1916" t="str">
        <f>IFERROR(MATCH($C$5&amp;"|"&amp;RIGHT("000000"&amp;1900,6),LdgRankKeyA,0),"")</f>
        <v/>
      </c>
      <c r="M1916" t="str">
        <f>IFERROR(MATCH($C$5&amp;"|"&amp;RIGHT("000000"&amp;1900,6),LdgRankKeyB,0),"")</f>
        <v/>
      </c>
    </row>
    <row r="1917" spans="1:13" x14ac:dyDescent="0.2">
      <c r="A1917" s="3">
        <v>1901</v>
      </c>
      <c r="B1917" s="4" t="str">
        <f t="shared" si="232"/>
        <v/>
      </c>
      <c r="C1917" s="4" t="str">
        <f t="shared" si="233"/>
        <v/>
      </c>
      <c r="D1917" s="4" t="str">
        <f t="shared" si="234"/>
        <v/>
      </c>
      <c r="E1917" s="5" t="str">
        <f t="shared" si="235"/>
        <v/>
      </c>
      <c r="F1917" s="6" t="str">
        <f t="shared" si="236"/>
        <v/>
      </c>
      <c r="G1917" s="7" t="str">
        <f t="shared" si="237"/>
        <v/>
      </c>
      <c r="H1917" s="7" t="str">
        <f t="shared" si="238"/>
        <v/>
      </c>
      <c r="I1917" s="8" t="str">
        <f t="shared" si="239"/>
        <v/>
      </c>
      <c r="L1917" t="str">
        <f>IFERROR(MATCH($C$5&amp;"|"&amp;RIGHT("000000"&amp;1901,6),LdgRankKeyA,0),"")</f>
        <v/>
      </c>
      <c r="M1917" t="str">
        <f>IFERROR(MATCH($C$5&amp;"|"&amp;RIGHT("000000"&amp;1901,6),LdgRankKeyB,0),"")</f>
        <v/>
      </c>
    </row>
    <row r="1918" spans="1:13" x14ac:dyDescent="0.2">
      <c r="A1918" s="9">
        <v>1902</v>
      </c>
      <c r="B1918" s="10" t="str">
        <f t="shared" si="232"/>
        <v/>
      </c>
      <c r="C1918" s="10" t="str">
        <f t="shared" si="233"/>
        <v/>
      </c>
      <c r="D1918" s="10" t="str">
        <f t="shared" si="234"/>
        <v/>
      </c>
      <c r="E1918" s="11" t="str">
        <f t="shared" si="235"/>
        <v/>
      </c>
      <c r="F1918" s="12" t="str">
        <f t="shared" si="236"/>
        <v/>
      </c>
      <c r="G1918" s="13" t="str">
        <f t="shared" si="237"/>
        <v/>
      </c>
      <c r="H1918" s="13" t="str">
        <f t="shared" si="238"/>
        <v/>
      </c>
      <c r="I1918" s="14" t="str">
        <f t="shared" si="239"/>
        <v/>
      </c>
      <c r="L1918" t="str">
        <f>IFERROR(MATCH($C$5&amp;"|"&amp;RIGHT("000000"&amp;1902,6),LdgRankKeyA,0),"")</f>
        <v/>
      </c>
      <c r="M1918" t="str">
        <f>IFERROR(MATCH($C$5&amp;"|"&amp;RIGHT("000000"&amp;1902,6),LdgRankKeyB,0),"")</f>
        <v/>
      </c>
    </row>
    <row r="1919" spans="1:13" x14ac:dyDescent="0.2">
      <c r="A1919" s="3">
        <v>1903</v>
      </c>
      <c r="B1919" s="4" t="str">
        <f t="shared" si="232"/>
        <v/>
      </c>
      <c r="C1919" s="4" t="str">
        <f t="shared" si="233"/>
        <v/>
      </c>
      <c r="D1919" s="4" t="str">
        <f t="shared" si="234"/>
        <v/>
      </c>
      <c r="E1919" s="5" t="str">
        <f t="shared" si="235"/>
        <v/>
      </c>
      <c r="F1919" s="6" t="str">
        <f t="shared" si="236"/>
        <v/>
      </c>
      <c r="G1919" s="7" t="str">
        <f t="shared" si="237"/>
        <v/>
      </c>
      <c r="H1919" s="7" t="str">
        <f t="shared" si="238"/>
        <v/>
      </c>
      <c r="I1919" s="8" t="str">
        <f t="shared" si="239"/>
        <v/>
      </c>
      <c r="L1919" t="str">
        <f>IFERROR(MATCH($C$5&amp;"|"&amp;RIGHT("000000"&amp;1903,6),LdgRankKeyA,0),"")</f>
        <v/>
      </c>
      <c r="M1919" t="str">
        <f>IFERROR(MATCH($C$5&amp;"|"&amp;RIGHT("000000"&amp;1903,6),LdgRankKeyB,0),"")</f>
        <v/>
      </c>
    </row>
    <row r="1920" spans="1:13" x14ac:dyDescent="0.2">
      <c r="A1920" s="9">
        <v>1904</v>
      </c>
      <c r="B1920" s="10" t="str">
        <f t="shared" si="232"/>
        <v/>
      </c>
      <c r="C1920" s="10" t="str">
        <f t="shared" si="233"/>
        <v/>
      </c>
      <c r="D1920" s="10" t="str">
        <f t="shared" si="234"/>
        <v/>
      </c>
      <c r="E1920" s="11" t="str">
        <f t="shared" si="235"/>
        <v/>
      </c>
      <c r="F1920" s="12" t="str">
        <f t="shared" si="236"/>
        <v/>
      </c>
      <c r="G1920" s="13" t="str">
        <f t="shared" si="237"/>
        <v/>
      </c>
      <c r="H1920" s="13" t="str">
        <f t="shared" si="238"/>
        <v/>
      </c>
      <c r="I1920" s="14" t="str">
        <f t="shared" si="239"/>
        <v/>
      </c>
      <c r="L1920" t="str">
        <f>IFERROR(MATCH($C$5&amp;"|"&amp;RIGHT("000000"&amp;1904,6),LdgRankKeyA,0),"")</f>
        <v/>
      </c>
      <c r="M1920" t="str">
        <f>IFERROR(MATCH($C$5&amp;"|"&amp;RIGHT("000000"&amp;1904,6),LdgRankKeyB,0),"")</f>
        <v/>
      </c>
    </row>
    <row r="1921" spans="1:13" x14ac:dyDescent="0.2">
      <c r="A1921" s="3">
        <v>1905</v>
      </c>
      <c r="B1921" s="4" t="str">
        <f t="shared" si="232"/>
        <v/>
      </c>
      <c r="C1921" s="4" t="str">
        <f t="shared" si="233"/>
        <v/>
      </c>
      <c r="D1921" s="4" t="str">
        <f t="shared" si="234"/>
        <v/>
      </c>
      <c r="E1921" s="5" t="str">
        <f t="shared" si="235"/>
        <v/>
      </c>
      <c r="F1921" s="6" t="str">
        <f t="shared" si="236"/>
        <v/>
      </c>
      <c r="G1921" s="7" t="str">
        <f t="shared" si="237"/>
        <v/>
      </c>
      <c r="H1921" s="7" t="str">
        <f t="shared" si="238"/>
        <v/>
      </c>
      <c r="I1921" s="8" t="str">
        <f t="shared" si="239"/>
        <v/>
      </c>
      <c r="L1921" t="str">
        <f>IFERROR(MATCH($C$5&amp;"|"&amp;RIGHT("000000"&amp;1905,6),LdgRankKeyA,0),"")</f>
        <v/>
      </c>
      <c r="M1921" t="str">
        <f>IFERROR(MATCH($C$5&amp;"|"&amp;RIGHT("000000"&amp;1905,6),LdgRankKeyB,0),"")</f>
        <v/>
      </c>
    </row>
    <row r="1922" spans="1:13" x14ac:dyDescent="0.2">
      <c r="A1922" s="9">
        <v>1906</v>
      </c>
      <c r="B1922" s="10" t="str">
        <f t="shared" si="232"/>
        <v/>
      </c>
      <c r="C1922" s="10" t="str">
        <f t="shared" si="233"/>
        <v/>
      </c>
      <c r="D1922" s="10" t="str">
        <f t="shared" si="234"/>
        <v/>
      </c>
      <c r="E1922" s="11" t="str">
        <f t="shared" si="235"/>
        <v/>
      </c>
      <c r="F1922" s="12" t="str">
        <f t="shared" si="236"/>
        <v/>
      </c>
      <c r="G1922" s="13" t="str">
        <f t="shared" si="237"/>
        <v/>
      </c>
      <c r="H1922" s="13" t="str">
        <f t="shared" si="238"/>
        <v/>
      </c>
      <c r="I1922" s="14" t="str">
        <f t="shared" si="239"/>
        <v/>
      </c>
      <c r="L1922" t="str">
        <f>IFERROR(MATCH($C$5&amp;"|"&amp;RIGHT("000000"&amp;1906,6),LdgRankKeyA,0),"")</f>
        <v/>
      </c>
      <c r="M1922" t="str">
        <f>IFERROR(MATCH($C$5&amp;"|"&amp;RIGHT("000000"&amp;1906,6),LdgRankKeyB,0),"")</f>
        <v/>
      </c>
    </row>
    <row r="1923" spans="1:13" x14ac:dyDescent="0.2">
      <c r="A1923" s="3">
        <v>1907</v>
      </c>
      <c r="B1923" s="4" t="str">
        <f t="shared" si="232"/>
        <v/>
      </c>
      <c r="C1923" s="4" t="str">
        <f t="shared" si="233"/>
        <v/>
      </c>
      <c r="D1923" s="4" t="str">
        <f t="shared" si="234"/>
        <v/>
      </c>
      <c r="E1923" s="5" t="str">
        <f t="shared" si="235"/>
        <v/>
      </c>
      <c r="F1923" s="6" t="str">
        <f t="shared" si="236"/>
        <v/>
      </c>
      <c r="G1923" s="7" t="str">
        <f t="shared" si="237"/>
        <v/>
      </c>
      <c r="H1923" s="7" t="str">
        <f t="shared" si="238"/>
        <v/>
      </c>
      <c r="I1923" s="8" t="str">
        <f t="shared" si="239"/>
        <v/>
      </c>
      <c r="L1923" t="str">
        <f>IFERROR(MATCH($C$5&amp;"|"&amp;RIGHT("000000"&amp;1907,6),LdgRankKeyA,0),"")</f>
        <v/>
      </c>
      <c r="M1923" t="str">
        <f>IFERROR(MATCH($C$5&amp;"|"&amp;RIGHT("000000"&amp;1907,6),LdgRankKeyB,0),"")</f>
        <v/>
      </c>
    </row>
    <row r="1924" spans="1:13" x14ac:dyDescent="0.2">
      <c r="A1924" s="9">
        <v>1908</v>
      </c>
      <c r="B1924" s="10" t="str">
        <f t="shared" si="232"/>
        <v/>
      </c>
      <c r="C1924" s="10" t="str">
        <f t="shared" si="233"/>
        <v/>
      </c>
      <c r="D1924" s="10" t="str">
        <f t="shared" si="234"/>
        <v/>
      </c>
      <c r="E1924" s="11" t="str">
        <f t="shared" si="235"/>
        <v/>
      </c>
      <c r="F1924" s="12" t="str">
        <f t="shared" si="236"/>
        <v/>
      </c>
      <c r="G1924" s="13" t="str">
        <f t="shared" si="237"/>
        <v/>
      </c>
      <c r="H1924" s="13" t="str">
        <f t="shared" si="238"/>
        <v/>
      </c>
      <c r="I1924" s="14" t="str">
        <f t="shared" si="239"/>
        <v/>
      </c>
      <c r="L1924" t="str">
        <f>IFERROR(MATCH($C$5&amp;"|"&amp;RIGHT("000000"&amp;1908,6),LdgRankKeyA,0),"")</f>
        <v/>
      </c>
      <c r="M1924" t="str">
        <f>IFERROR(MATCH($C$5&amp;"|"&amp;RIGHT("000000"&amp;1908,6),LdgRankKeyB,0),"")</f>
        <v/>
      </c>
    </row>
    <row r="1925" spans="1:13" x14ac:dyDescent="0.2">
      <c r="A1925" s="3">
        <v>1909</v>
      </c>
      <c r="B1925" s="4" t="str">
        <f t="shared" si="232"/>
        <v/>
      </c>
      <c r="C1925" s="4" t="str">
        <f t="shared" si="233"/>
        <v/>
      </c>
      <c r="D1925" s="4" t="str">
        <f t="shared" si="234"/>
        <v/>
      </c>
      <c r="E1925" s="5" t="str">
        <f t="shared" si="235"/>
        <v/>
      </c>
      <c r="F1925" s="6" t="str">
        <f t="shared" si="236"/>
        <v/>
      </c>
      <c r="G1925" s="7" t="str">
        <f t="shared" si="237"/>
        <v/>
      </c>
      <c r="H1925" s="7" t="str">
        <f t="shared" si="238"/>
        <v/>
      </c>
      <c r="I1925" s="8" t="str">
        <f t="shared" si="239"/>
        <v/>
      </c>
      <c r="L1925" t="str">
        <f>IFERROR(MATCH($C$5&amp;"|"&amp;RIGHT("000000"&amp;1909,6),LdgRankKeyA,0),"")</f>
        <v/>
      </c>
      <c r="M1925" t="str">
        <f>IFERROR(MATCH($C$5&amp;"|"&amp;RIGHT("000000"&amp;1909,6),LdgRankKeyB,0),"")</f>
        <v/>
      </c>
    </row>
    <row r="1926" spans="1:13" x14ac:dyDescent="0.2">
      <c r="A1926" s="9">
        <v>1910</v>
      </c>
      <c r="B1926" s="10" t="str">
        <f t="shared" si="232"/>
        <v/>
      </c>
      <c r="C1926" s="10" t="str">
        <f t="shared" si="233"/>
        <v/>
      </c>
      <c r="D1926" s="10" t="str">
        <f t="shared" si="234"/>
        <v/>
      </c>
      <c r="E1926" s="11" t="str">
        <f t="shared" si="235"/>
        <v/>
      </c>
      <c r="F1926" s="12" t="str">
        <f t="shared" si="236"/>
        <v/>
      </c>
      <c r="G1926" s="13" t="str">
        <f t="shared" si="237"/>
        <v/>
      </c>
      <c r="H1926" s="13" t="str">
        <f t="shared" si="238"/>
        <v/>
      </c>
      <c r="I1926" s="14" t="str">
        <f t="shared" si="239"/>
        <v/>
      </c>
      <c r="L1926" t="str">
        <f>IFERROR(MATCH($C$5&amp;"|"&amp;RIGHT("000000"&amp;1910,6),LdgRankKeyA,0),"")</f>
        <v/>
      </c>
      <c r="M1926" t="str">
        <f>IFERROR(MATCH($C$5&amp;"|"&amp;RIGHT("000000"&amp;1910,6),LdgRankKeyB,0),"")</f>
        <v/>
      </c>
    </row>
    <row r="1927" spans="1:13" x14ac:dyDescent="0.2">
      <c r="A1927" s="3">
        <v>1911</v>
      </c>
      <c r="B1927" s="4" t="str">
        <f t="shared" si="232"/>
        <v/>
      </c>
      <c r="C1927" s="4" t="str">
        <f t="shared" si="233"/>
        <v/>
      </c>
      <c r="D1927" s="4" t="str">
        <f t="shared" si="234"/>
        <v/>
      </c>
      <c r="E1927" s="5" t="str">
        <f t="shared" si="235"/>
        <v/>
      </c>
      <c r="F1927" s="6" t="str">
        <f t="shared" si="236"/>
        <v/>
      </c>
      <c r="G1927" s="7" t="str">
        <f t="shared" si="237"/>
        <v/>
      </c>
      <c r="H1927" s="7" t="str">
        <f t="shared" si="238"/>
        <v/>
      </c>
      <c r="I1927" s="8" t="str">
        <f t="shared" si="239"/>
        <v/>
      </c>
      <c r="L1927" t="str">
        <f>IFERROR(MATCH($C$5&amp;"|"&amp;RIGHT("000000"&amp;1911,6),LdgRankKeyA,0),"")</f>
        <v/>
      </c>
      <c r="M1927" t="str">
        <f>IFERROR(MATCH($C$5&amp;"|"&amp;RIGHT("000000"&amp;1911,6),LdgRankKeyB,0),"")</f>
        <v/>
      </c>
    </row>
    <row r="1928" spans="1:13" x14ac:dyDescent="0.2">
      <c r="A1928" s="9">
        <v>1912</v>
      </c>
      <c r="B1928" s="10" t="str">
        <f t="shared" si="232"/>
        <v/>
      </c>
      <c r="C1928" s="10" t="str">
        <f t="shared" si="233"/>
        <v/>
      </c>
      <c r="D1928" s="10" t="str">
        <f t="shared" si="234"/>
        <v/>
      </c>
      <c r="E1928" s="11" t="str">
        <f t="shared" si="235"/>
        <v/>
      </c>
      <c r="F1928" s="12" t="str">
        <f t="shared" si="236"/>
        <v/>
      </c>
      <c r="G1928" s="13" t="str">
        <f t="shared" si="237"/>
        <v/>
      </c>
      <c r="H1928" s="13" t="str">
        <f t="shared" si="238"/>
        <v/>
      </c>
      <c r="I1928" s="14" t="str">
        <f t="shared" si="239"/>
        <v/>
      </c>
      <c r="L1928" t="str">
        <f>IFERROR(MATCH($C$5&amp;"|"&amp;RIGHT("000000"&amp;1912,6),LdgRankKeyA,0),"")</f>
        <v/>
      </c>
      <c r="M1928" t="str">
        <f>IFERROR(MATCH($C$5&amp;"|"&amp;RIGHT("000000"&amp;1912,6),LdgRankKeyB,0),"")</f>
        <v/>
      </c>
    </row>
    <row r="1929" spans="1:13" x14ac:dyDescent="0.2">
      <c r="A1929" s="3">
        <v>1913</v>
      </c>
      <c r="B1929" s="4" t="str">
        <f t="shared" si="232"/>
        <v/>
      </c>
      <c r="C1929" s="4" t="str">
        <f t="shared" si="233"/>
        <v/>
      </c>
      <c r="D1929" s="4" t="str">
        <f t="shared" si="234"/>
        <v/>
      </c>
      <c r="E1929" s="5" t="str">
        <f t="shared" si="235"/>
        <v/>
      </c>
      <c r="F1929" s="6" t="str">
        <f t="shared" si="236"/>
        <v/>
      </c>
      <c r="G1929" s="7" t="str">
        <f t="shared" si="237"/>
        <v/>
      </c>
      <c r="H1929" s="7" t="str">
        <f t="shared" si="238"/>
        <v/>
      </c>
      <c r="I1929" s="8" t="str">
        <f t="shared" si="239"/>
        <v/>
      </c>
      <c r="L1929" t="str">
        <f>IFERROR(MATCH($C$5&amp;"|"&amp;RIGHT("000000"&amp;1913,6),LdgRankKeyA,0),"")</f>
        <v/>
      </c>
      <c r="M1929" t="str">
        <f>IFERROR(MATCH($C$5&amp;"|"&amp;RIGHT("000000"&amp;1913,6),LdgRankKeyB,0),"")</f>
        <v/>
      </c>
    </row>
    <row r="1930" spans="1:13" x14ac:dyDescent="0.2">
      <c r="A1930" s="9">
        <v>1914</v>
      </c>
      <c r="B1930" s="10" t="str">
        <f t="shared" si="232"/>
        <v/>
      </c>
      <c r="C1930" s="10" t="str">
        <f t="shared" si="233"/>
        <v/>
      </c>
      <c r="D1930" s="10" t="str">
        <f t="shared" si="234"/>
        <v/>
      </c>
      <c r="E1930" s="11" t="str">
        <f t="shared" si="235"/>
        <v/>
      </c>
      <c r="F1930" s="12" t="str">
        <f t="shared" si="236"/>
        <v/>
      </c>
      <c r="G1930" s="13" t="str">
        <f t="shared" si="237"/>
        <v/>
      </c>
      <c r="H1930" s="13" t="str">
        <f t="shared" si="238"/>
        <v/>
      </c>
      <c r="I1930" s="14" t="str">
        <f t="shared" si="239"/>
        <v/>
      </c>
      <c r="L1930" t="str">
        <f>IFERROR(MATCH($C$5&amp;"|"&amp;RIGHT("000000"&amp;1914,6),LdgRankKeyA,0),"")</f>
        <v/>
      </c>
      <c r="M1930" t="str">
        <f>IFERROR(MATCH($C$5&amp;"|"&amp;RIGHT("000000"&amp;1914,6),LdgRankKeyB,0),"")</f>
        <v/>
      </c>
    </row>
    <row r="1931" spans="1:13" x14ac:dyDescent="0.2">
      <c r="A1931" s="3">
        <v>1915</v>
      </c>
      <c r="B1931" s="4" t="str">
        <f t="shared" si="232"/>
        <v/>
      </c>
      <c r="C1931" s="4" t="str">
        <f t="shared" si="233"/>
        <v/>
      </c>
      <c r="D1931" s="4" t="str">
        <f t="shared" si="234"/>
        <v/>
      </c>
      <c r="E1931" s="5" t="str">
        <f t="shared" si="235"/>
        <v/>
      </c>
      <c r="F1931" s="6" t="str">
        <f t="shared" si="236"/>
        <v/>
      </c>
      <c r="G1931" s="7" t="str">
        <f t="shared" si="237"/>
        <v/>
      </c>
      <c r="H1931" s="7" t="str">
        <f t="shared" si="238"/>
        <v/>
      </c>
      <c r="I1931" s="8" t="str">
        <f t="shared" si="239"/>
        <v/>
      </c>
      <c r="L1931" t="str">
        <f>IFERROR(MATCH($C$5&amp;"|"&amp;RIGHT("000000"&amp;1915,6),LdgRankKeyA,0),"")</f>
        <v/>
      </c>
      <c r="M1931" t="str">
        <f>IFERROR(MATCH($C$5&amp;"|"&amp;RIGHT("000000"&amp;1915,6),LdgRankKeyB,0),"")</f>
        <v/>
      </c>
    </row>
    <row r="1932" spans="1:13" x14ac:dyDescent="0.2">
      <c r="A1932" s="9">
        <v>1916</v>
      </c>
      <c r="B1932" s="10" t="str">
        <f t="shared" si="232"/>
        <v/>
      </c>
      <c r="C1932" s="10" t="str">
        <f t="shared" si="233"/>
        <v/>
      </c>
      <c r="D1932" s="10" t="str">
        <f t="shared" si="234"/>
        <v/>
      </c>
      <c r="E1932" s="11" t="str">
        <f t="shared" si="235"/>
        <v/>
      </c>
      <c r="F1932" s="12" t="str">
        <f t="shared" si="236"/>
        <v/>
      </c>
      <c r="G1932" s="13" t="str">
        <f t="shared" si="237"/>
        <v/>
      </c>
      <c r="H1932" s="13" t="str">
        <f t="shared" si="238"/>
        <v/>
      </c>
      <c r="I1932" s="14" t="str">
        <f t="shared" si="239"/>
        <v/>
      </c>
      <c r="L1932" t="str">
        <f>IFERROR(MATCH($C$5&amp;"|"&amp;RIGHT("000000"&amp;1916,6),LdgRankKeyA,0),"")</f>
        <v/>
      </c>
      <c r="M1932" t="str">
        <f>IFERROR(MATCH($C$5&amp;"|"&amp;RIGHT("000000"&amp;1916,6),LdgRankKeyB,0),"")</f>
        <v/>
      </c>
    </row>
    <row r="1933" spans="1:13" x14ac:dyDescent="0.2">
      <c r="A1933" s="3">
        <v>1917</v>
      </c>
      <c r="B1933" s="4" t="str">
        <f t="shared" si="232"/>
        <v/>
      </c>
      <c r="C1933" s="4" t="str">
        <f t="shared" si="233"/>
        <v/>
      </c>
      <c r="D1933" s="4" t="str">
        <f t="shared" si="234"/>
        <v/>
      </c>
      <c r="E1933" s="5" t="str">
        <f t="shared" si="235"/>
        <v/>
      </c>
      <c r="F1933" s="6" t="str">
        <f t="shared" si="236"/>
        <v/>
      </c>
      <c r="G1933" s="7" t="str">
        <f t="shared" si="237"/>
        <v/>
      </c>
      <c r="H1933" s="7" t="str">
        <f t="shared" si="238"/>
        <v/>
      </c>
      <c r="I1933" s="8" t="str">
        <f t="shared" si="239"/>
        <v/>
      </c>
      <c r="L1933" t="str">
        <f>IFERROR(MATCH($C$5&amp;"|"&amp;RIGHT("000000"&amp;1917,6),LdgRankKeyA,0),"")</f>
        <v/>
      </c>
      <c r="M1933" t="str">
        <f>IFERROR(MATCH($C$5&amp;"|"&amp;RIGHT("000000"&amp;1917,6),LdgRankKeyB,0),"")</f>
        <v/>
      </c>
    </row>
    <row r="1934" spans="1:13" x14ac:dyDescent="0.2">
      <c r="A1934" s="9">
        <v>1918</v>
      </c>
      <c r="B1934" s="10" t="str">
        <f t="shared" si="232"/>
        <v/>
      </c>
      <c r="C1934" s="10" t="str">
        <f t="shared" si="233"/>
        <v/>
      </c>
      <c r="D1934" s="10" t="str">
        <f t="shared" si="234"/>
        <v/>
      </c>
      <c r="E1934" s="11" t="str">
        <f t="shared" si="235"/>
        <v/>
      </c>
      <c r="F1934" s="12" t="str">
        <f t="shared" si="236"/>
        <v/>
      </c>
      <c r="G1934" s="13" t="str">
        <f t="shared" si="237"/>
        <v/>
      </c>
      <c r="H1934" s="13" t="str">
        <f t="shared" si="238"/>
        <v/>
      </c>
      <c r="I1934" s="14" t="str">
        <f t="shared" si="239"/>
        <v/>
      </c>
      <c r="L1934" t="str">
        <f>IFERROR(MATCH($C$5&amp;"|"&amp;RIGHT("000000"&amp;1918,6),LdgRankKeyA,0),"")</f>
        <v/>
      </c>
      <c r="M1934" t="str">
        <f>IFERROR(MATCH($C$5&amp;"|"&amp;RIGHT("000000"&amp;1918,6),LdgRankKeyB,0),"")</f>
        <v/>
      </c>
    </row>
    <row r="1935" spans="1:13" x14ac:dyDescent="0.2">
      <c r="A1935" s="3">
        <v>1919</v>
      </c>
      <c r="B1935" s="4" t="str">
        <f t="shared" si="232"/>
        <v/>
      </c>
      <c r="C1935" s="4" t="str">
        <f t="shared" si="233"/>
        <v/>
      </c>
      <c r="D1935" s="4" t="str">
        <f t="shared" si="234"/>
        <v/>
      </c>
      <c r="E1935" s="5" t="str">
        <f t="shared" si="235"/>
        <v/>
      </c>
      <c r="F1935" s="6" t="str">
        <f t="shared" si="236"/>
        <v/>
      </c>
      <c r="G1935" s="7" t="str">
        <f t="shared" si="237"/>
        <v/>
      </c>
      <c r="H1935" s="7" t="str">
        <f t="shared" si="238"/>
        <v/>
      </c>
      <c r="I1935" s="8" t="str">
        <f t="shared" si="239"/>
        <v/>
      </c>
      <c r="L1935" t="str">
        <f>IFERROR(MATCH($C$5&amp;"|"&amp;RIGHT("000000"&amp;1919,6),LdgRankKeyA,0),"")</f>
        <v/>
      </c>
      <c r="M1935" t="str">
        <f>IFERROR(MATCH($C$5&amp;"|"&amp;RIGHT("000000"&amp;1919,6),LdgRankKeyB,0),"")</f>
        <v/>
      </c>
    </row>
    <row r="1936" spans="1:13" x14ac:dyDescent="0.2">
      <c r="A1936" s="9">
        <v>1920</v>
      </c>
      <c r="B1936" s="10" t="str">
        <f t="shared" si="232"/>
        <v/>
      </c>
      <c r="C1936" s="10" t="str">
        <f t="shared" si="233"/>
        <v/>
      </c>
      <c r="D1936" s="10" t="str">
        <f t="shared" si="234"/>
        <v/>
      </c>
      <c r="E1936" s="11" t="str">
        <f t="shared" si="235"/>
        <v/>
      </c>
      <c r="F1936" s="12" t="str">
        <f t="shared" si="236"/>
        <v/>
      </c>
      <c r="G1936" s="13" t="str">
        <f t="shared" si="237"/>
        <v/>
      </c>
      <c r="H1936" s="13" t="str">
        <f t="shared" si="238"/>
        <v/>
      </c>
      <c r="I1936" s="14" t="str">
        <f t="shared" si="239"/>
        <v/>
      </c>
      <c r="L1936" t="str">
        <f>IFERROR(MATCH($C$5&amp;"|"&amp;RIGHT("000000"&amp;1920,6),LdgRankKeyA,0),"")</f>
        <v/>
      </c>
      <c r="M1936" t="str">
        <f>IFERROR(MATCH($C$5&amp;"|"&amp;RIGHT("000000"&amp;1920,6),LdgRankKeyB,0),"")</f>
        <v/>
      </c>
    </row>
    <row r="1937" spans="1:13" x14ac:dyDescent="0.2">
      <c r="A1937" s="3">
        <v>1921</v>
      </c>
      <c r="B1937" s="4" t="str">
        <f t="shared" ref="B1937:B2000" si="240">IF(AND($L1937="",$M1937=""),"",IF($L1937&lt;&gt;"",INDEX(SCNormDate,$L1937),INDEX(LdgDateB,$M1937)))</f>
        <v/>
      </c>
      <c r="C1937" s="4" t="str">
        <f t="shared" ref="C1937:C2000" si="241">IF($L1937&lt;&gt;"",INDEX(SCOp,$L1937),IF($M1937&lt;&gt;"","پرداخت بانکی",""))</f>
        <v/>
      </c>
      <c r="D1937" s="4" t="str">
        <f t="shared" ref="D1937:D2000" si="242">IF($L1937&lt;&gt;"",IF(INDEX(SCDoc,$L1937)="","—",INDEX(SCDoc,$L1937)),IF($M1937&lt;&gt;"",INDEX(LdgBankB,$M1937),""))</f>
        <v/>
      </c>
      <c r="E1937" s="5" t="str">
        <f t="shared" ref="E1937:E2000" si="243">IF($L1937&lt;&gt;"",IF(INDEX(SCCitrus,$L1937)&amp;INDEX(SCNotes,$L1937)="","",IF(INDEX(SCCitrus,$L1937)="","",INDEX(SCCitrus,$L1937))&amp;IF(INDEX(SCNotes,$L1937)="",""," — "&amp;INDEX(SCNotes,$L1937))),IF($M1937&lt;&gt;"",IF(INDEX(LdgNoteB,$M1937)="","—",INDEX(LdgNoteB,$M1937)),""))</f>
        <v/>
      </c>
      <c r="F1937" s="6" t="str">
        <f t="shared" ref="F1937:F2000" si="244">IF($L1937&lt;&gt;"",IF(INDEX(SCNet,$L1937)=0,"",INDEX(SCNet,$L1937)),"")</f>
        <v/>
      </c>
      <c r="G1937" s="7" t="str">
        <f t="shared" ref="G1937:G2000" si="245">IF($L1937&lt;&gt;"",IF(INDEX(SCOp,$L1937)="مرجوعی فروش","",IF(INDEX(SCAmount,$L1937)&lt;=0,"",INDEX(SCAmount,$L1937))),IF($M1937&lt;&gt;"",IF(INDEX(LdgWitB,$M1937)=0,"",INDEX(LdgWitB,$M1937)),""))</f>
        <v/>
      </c>
      <c r="H1937" s="7" t="str">
        <f t="shared" ref="H1937:H2000" si="246">IF($L1937&lt;&gt;"",IF(INDEX(SCOp,$L1937)="مرجوعی فروش",IF(INDEX(SCAmount,$L1937)=0,"",-INDEX(SCAmount,$L1937)),""),IF($M1937&lt;&gt;"",IF(INDEX(LdgDepB,$M1937)=0,"",INDEX(LdgDepB,$M1937)),""))</f>
        <v/>
      </c>
      <c r="I1937" s="8" t="str">
        <f t="shared" si="239"/>
        <v/>
      </c>
      <c r="L1937" t="str">
        <f>IFERROR(MATCH($C$5&amp;"|"&amp;RIGHT("000000"&amp;1921,6),LdgRankKeyA,0),"")</f>
        <v/>
      </c>
      <c r="M1937" t="str">
        <f>IFERROR(MATCH($C$5&amp;"|"&amp;RIGHT("000000"&amp;1921,6),LdgRankKeyB,0),"")</f>
        <v/>
      </c>
    </row>
    <row r="1938" spans="1:13" x14ac:dyDescent="0.2">
      <c r="A1938" s="9">
        <v>1922</v>
      </c>
      <c r="B1938" s="10" t="str">
        <f t="shared" si="240"/>
        <v/>
      </c>
      <c r="C1938" s="10" t="str">
        <f t="shared" si="241"/>
        <v/>
      </c>
      <c r="D1938" s="10" t="str">
        <f t="shared" si="242"/>
        <v/>
      </c>
      <c r="E1938" s="11" t="str">
        <f t="shared" si="243"/>
        <v/>
      </c>
      <c r="F1938" s="12" t="str">
        <f t="shared" si="244"/>
        <v/>
      </c>
      <c r="G1938" s="13" t="str">
        <f t="shared" si="245"/>
        <v/>
      </c>
      <c r="H1938" s="13" t="str">
        <f t="shared" si="246"/>
        <v/>
      </c>
      <c r="I1938" s="14" t="str">
        <f t="shared" ref="I1938:I2001" si="247">IF($B1938="","",IF($I1937="",$C$10,$I1937)+IF($G1938="",0,$G1938)-IF($H1938="",0,$H1938))</f>
        <v/>
      </c>
      <c r="L1938" t="str">
        <f>IFERROR(MATCH($C$5&amp;"|"&amp;RIGHT("000000"&amp;1922,6),LdgRankKeyA,0),"")</f>
        <v/>
      </c>
      <c r="M1938" t="str">
        <f>IFERROR(MATCH($C$5&amp;"|"&amp;RIGHT("000000"&amp;1922,6),LdgRankKeyB,0),"")</f>
        <v/>
      </c>
    </row>
    <row r="1939" spans="1:13" x14ac:dyDescent="0.2">
      <c r="A1939" s="3">
        <v>1923</v>
      </c>
      <c r="B1939" s="4" t="str">
        <f t="shared" si="240"/>
        <v/>
      </c>
      <c r="C1939" s="4" t="str">
        <f t="shared" si="241"/>
        <v/>
      </c>
      <c r="D1939" s="4" t="str">
        <f t="shared" si="242"/>
        <v/>
      </c>
      <c r="E1939" s="5" t="str">
        <f t="shared" si="243"/>
        <v/>
      </c>
      <c r="F1939" s="6" t="str">
        <f t="shared" si="244"/>
        <v/>
      </c>
      <c r="G1939" s="7" t="str">
        <f t="shared" si="245"/>
        <v/>
      </c>
      <c r="H1939" s="7" t="str">
        <f t="shared" si="246"/>
        <v/>
      </c>
      <c r="I1939" s="8" t="str">
        <f t="shared" si="247"/>
        <v/>
      </c>
      <c r="L1939" t="str">
        <f>IFERROR(MATCH($C$5&amp;"|"&amp;RIGHT("000000"&amp;1923,6),LdgRankKeyA,0),"")</f>
        <v/>
      </c>
      <c r="M1939" t="str">
        <f>IFERROR(MATCH($C$5&amp;"|"&amp;RIGHT("000000"&amp;1923,6),LdgRankKeyB,0),"")</f>
        <v/>
      </c>
    </row>
    <row r="1940" spans="1:13" x14ac:dyDescent="0.2">
      <c r="A1940" s="9">
        <v>1924</v>
      </c>
      <c r="B1940" s="10" t="str">
        <f t="shared" si="240"/>
        <v/>
      </c>
      <c r="C1940" s="10" t="str">
        <f t="shared" si="241"/>
        <v/>
      </c>
      <c r="D1940" s="10" t="str">
        <f t="shared" si="242"/>
        <v/>
      </c>
      <c r="E1940" s="11" t="str">
        <f t="shared" si="243"/>
        <v/>
      </c>
      <c r="F1940" s="12" t="str">
        <f t="shared" si="244"/>
        <v/>
      </c>
      <c r="G1940" s="13" t="str">
        <f t="shared" si="245"/>
        <v/>
      </c>
      <c r="H1940" s="13" t="str">
        <f t="shared" si="246"/>
        <v/>
      </c>
      <c r="I1940" s="14" t="str">
        <f t="shared" si="247"/>
        <v/>
      </c>
      <c r="L1940" t="str">
        <f>IFERROR(MATCH($C$5&amp;"|"&amp;RIGHT("000000"&amp;1924,6),LdgRankKeyA,0),"")</f>
        <v/>
      </c>
      <c r="M1940" t="str">
        <f>IFERROR(MATCH($C$5&amp;"|"&amp;RIGHT("000000"&amp;1924,6),LdgRankKeyB,0),"")</f>
        <v/>
      </c>
    </row>
    <row r="1941" spans="1:13" x14ac:dyDescent="0.2">
      <c r="A1941" s="3">
        <v>1925</v>
      </c>
      <c r="B1941" s="4" t="str">
        <f t="shared" si="240"/>
        <v/>
      </c>
      <c r="C1941" s="4" t="str">
        <f t="shared" si="241"/>
        <v/>
      </c>
      <c r="D1941" s="4" t="str">
        <f t="shared" si="242"/>
        <v/>
      </c>
      <c r="E1941" s="5" t="str">
        <f t="shared" si="243"/>
        <v/>
      </c>
      <c r="F1941" s="6" t="str">
        <f t="shared" si="244"/>
        <v/>
      </c>
      <c r="G1941" s="7" t="str">
        <f t="shared" si="245"/>
        <v/>
      </c>
      <c r="H1941" s="7" t="str">
        <f t="shared" si="246"/>
        <v/>
      </c>
      <c r="I1941" s="8" t="str">
        <f t="shared" si="247"/>
        <v/>
      </c>
      <c r="L1941" t="str">
        <f>IFERROR(MATCH($C$5&amp;"|"&amp;RIGHT("000000"&amp;1925,6),LdgRankKeyA,0),"")</f>
        <v/>
      </c>
      <c r="M1941" t="str">
        <f>IFERROR(MATCH($C$5&amp;"|"&amp;RIGHT("000000"&amp;1925,6),LdgRankKeyB,0),"")</f>
        <v/>
      </c>
    </row>
    <row r="1942" spans="1:13" x14ac:dyDescent="0.2">
      <c r="A1942" s="9">
        <v>1926</v>
      </c>
      <c r="B1942" s="10" t="str">
        <f t="shared" si="240"/>
        <v/>
      </c>
      <c r="C1942" s="10" t="str">
        <f t="shared" si="241"/>
        <v/>
      </c>
      <c r="D1942" s="10" t="str">
        <f t="shared" si="242"/>
        <v/>
      </c>
      <c r="E1942" s="11" t="str">
        <f t="shared" si="243"/>
        <v/>
      </c>
      <c r="F1942" s="12" t="str">
        <f t="shared" si="244"/>
        <v/>
      </c>
      <c r="G1942" s="13" t="str">
        <f t="shared" si="245"/>
        <v/>
      </c>
      <c r="H1942" s="13" t="str">
        <f t="shared" si="246"/>
        <v/>
      </c>
      <c r="I1942" s="14" t="str">
        <f t="shared" si="247"/>
        <v/>
      </c>
      <c r="L1942" t="str">
        <f>IFERROR(MATCH($C$5&amp;"|"&amp;RIGHT("000000"&amp;1926,6),LdgRankKeyA,0),"")</f>
        <v/>
      </c>
      <c r="M1942" t="str">
        <f>IFERROR(MATCH($C$5&amp;"|"&amp;RIGHT("000000"&amp;1926,6),LdgRankKeyB,0),"")</f>
        <v/>
      </c>
    </row>
    <row r="1943" spans="1:13" x14ac:dyDescent="0.2">
      <c r="A1943" s="3">
        <v>1927</v>
      </c>
      <c r="B1943" s="4" t="str">
        <f t="shared" si="240"/>
        <v/>
      </c>
      <c r="C1943" s="4" t="str">
        <f t="shared" si="241"/>
        <v/>
      </c>
      <c r="D1943" s="4" t="str">
        <f t="shared" si="242"/>
        <v/>
      </c>
      <c r="E1943" s="5" t="str">
        <f t="shared" si="243"/>
        <v/>
      </c>
      <c r="F1943" s="6" t="str">
        <f t="shared" si="244"/>
        <v/>
      </c>
      <c r="G1943" s="7" t="str">
        <f t="shared" si="245"/>
        <v/>
      </c>
      <c r="H1943" s="7" t="str">
        <f t="shared" si="246"/>
        <v/>
      </c>
      <c r="I1943" s="8" t="str">
        <f t="shared" si="247"/>
        <v/>
      </c>
      <c r="L1943" t="str">
        <f>IFERROR(MATCH($C$5&amp;"|"&amp;RIGHT("000000"&amp;1927,6),LdgRankKeyA,0),"")</f>
        <v/>
      </c>
      <c r="M1943" t="str">
        <f>IFERROR(MATCH($C$5&amp;"|"&amp;RIGHT("000000"&amp;1927,6),LdgRankKeyB,0),"")</f>
        <v/>
      </c>
    </row>
    <row r="1944" spans="1:13" x14ac:dyDescent="0.2">
      <c r="A1944" s="9">
        <v>1928</v>
      </c>
      <c r="B1944" s="10" t="str">
        <f t="shared" si="240"/>
        <v/>
      </c>
      <c r="C1944" s="10" t="str">
        <f t="shared" si="241"/>
        <v/>
      </c>
      <c r="D1944" s="10" t="str">
        <f t="shared" si="242"/>
        <v/>
      </c>
      <c r="E1944" s="11" t="str">
        <f t="shared" si="243"/>
        <v/>
      </c>
      <c r="F1944" s="12" t="str">
        <f t="shared" si="244"/>
        <v/>
      </c>
      <c r="G1944" s="13" t="str">
        <f t="shared" si="245"/>
        <v/>
      </c>
      <c r="H1944" s="13" t="str">
        <f t="shared" si="246"/>
        <v/>
      </c>
      <c r="I1944" s="14" t="str">
        <f t="shared" si="247"/>
        <v/>
      </c>
      <c r="L1944" t="str">
        <f>IFERROR(MATCH($C$5&amp;"|"&amp;RIGHT("000000"&amp;1928,6),LdgRankKeyA,0),"")</f>
        <v/>
      </c>
      <c r="M1944" t="str">
        <f>IFERROR(MATCH($C$5&amp;"|"&amp;RIGHT("000000"&amp;1928,6),LdgRankKeyB,0),"")</f>
        <v/>
      </c>
    </row>
    <row r="1945" spans="1:13" x14ac:dyDescent="0.2">
      <c r="A1945" s="3">
        <v>1929</v>
      </c>
      <c r="B1945" s="4" t="str">
        <f t="shared" si="240"/>
        <v/>
      </c>
      <c r="C1945" s="4" t="str">
        <f t="shared" si="241"/>
        <v/>
      </c>
      <c r="D1945" s="4" t="str">
        <f t="shared" si="242"/>
        <v/>
      </c>
      <c r="E1945" s="5" t="str">
        <f t="shared" si="243"/>
        <v/>
      </c>
      <c r="F1945" s="6" t="str">
        <f t="shared" si="244"/>
        <v/>
      </c>
      <c r="G1945" s="7" t="str">
        <f t="shared" si="245"/>
        <v/>
      </c>
      <c r="H1945" s="7" t="str">
        <f t="shared" si="246"/>
        <v/>
      </c>
      <c r="I1945" s="8" t="str">
        <f t="shared" si="247"/>
        <v/>
      </c>
      <c r="L1945" t="str">
        <f>IFERROR(MATCH($C$5&amp;"|"&amp;RIGHT("000000"&amp;1929,6),LdgRankKeyA,0),"")</f>
        <v/>
      </c>
      <c r="M1945" t="str">
        <f>IFERROR(MATCH($C$5&amp;"|"&amp;RIGHT("000000"&amp;1929,6),LdgRankKeyB,0),"")</f>
        <v/>
      </c>
    </row>
    <row r="1946" spans="1:13" x14ac:dyDescent="0.2">
      <c r="A1946" s="9">
        <v>1930</v>
      </c>
      <c r="B1946" s="10" t="str">
        <f t="shared" si="240"/>
        <v/>
      </c>
      <c r="C1946" s="10" t="str">
        <f t="shared" si="241"/>
        <v/>
      </c>
      <c r="D1946" s="10" t="str">
        <f t="shared" si="242"/>
        <v/>
      </c>
      <c r="E1946" s="11" t="str">
        <f t="shared" si="243"/>
        <v/>
      </c>
      <c r="F1946" s="12" t="str">
        <f t="shared" si="244"/>
        <v/>
      </c>
      <c r="G1946" s="13" t="str">
        <f t="shared" si="245"/>
        <v/>
      </c>
      <c r="H1946" s="13" t="str">
        <f t="shared" si="246"/>
        <v/>
      </c>
      <c r="I1946" s="14" t="str">
        <f t="shared" si="247"/>
        <v/>
      </c>
      <c r="L1946" t="str">
        <f>IFERROR(MATCH($C$5&amp;"|"&amp;RIGHT("000000"&amp;1930,6),LdgRankKeyA,0),"")</f>
        <v/>
      </c>
      <c r="M1946" t="str">
        <f>IFERROR(MATCH($C$5&amp;"|"&amp;RIGHT("000000"&amp;1930,6),LdgRankKeyB,0),"")</f>
        <v/>
      </c>
    </row>
    <row r="1947" spans="1:13" x14ac:dyDescent="0.2">
      <c r="A1947" s="3">
        <v>1931</v>
      </c>
      <c r="B1947" s="4" t="str">
        <f t="shared" si="240"/>
        <v/>
      </c>
      <c r="C1947" s="4" t="str">
        <f t="shared" si="241"/>
        <v/>
      </c>
      <c r="D1947" s="4" t="str">
        <f t="shared" si="242"/>
        <v/>
      </c>
      <c r="E1947" s="5" t="str">
        <f t="shared" si="243"/>
        <v/>
      </c>
      <c r="F1947" s="6" t="str">
        <f t="shared" si="244"/>
        <v/>
      </c>
      <c r="G1947" s="7" t="str">
        <f t="shared" si="245"/>
        <v/>
      </c>
      <c r="H1947" s="7" t="str">
        <f t="shared" si="246"/>
        <v/>
      </c>
      <c r="I1947" s="8" t="str">
        <f t="shared" si="247"/>
        <v/>
      </c>
      <c r="L1947" t="str">
        <f>IFERROR(MATCH($C$5&amp;"|"&amp;RIGHT("000000"&amp;1931,6),LdgRankKeyA,0),"")</f>
        <v/>
      </c>
      <c r="M1947" t="str">
        <f>IFERROR(MATCH($C$5&amp;"|"&amp;RIGHT("000000"&amp;1931,6),LdgRankKeyB,0),"")</f>
        <v/>
      </c>
    </row>
    <row r="1948" spans="1:13" x14ac:dyDescent="0.2">
      <c r="A1948" s="9">
        <v>1932</v>
      </c>
      <c r="B1948" s="10" t="str">
        <f t="shared" si="240"/>
        <v/>
      </c>
      <c r="C1948" s="10" t="str">
        <f t="shared" si="241"/>
        <v/>
      </c>
      <c r="D1948" s="10" t="str">
        <f t="shared" si="242"/>
        <v/>
      </c>
      <c r="E1948" s="11" t="str">
        <f t="shared" si="243"/>
        <v/>
      </c>
      <c r="F1948" s="12" t="str">
        <f t="shared" si="244"/>
        <v/>
      </c>
      <c r="G1948" s="13" t="str">
        <f t="shared" si="245"/>
        <v/>
      </c>
      <c r="H1948" s="13" t="str">
        <f t="shared" si="246"/>
        <v/>
      </c>
      <c r="I1948" s="14" t="str">
        <f t="shared" si="247"/>
        <v/>
      </c>
      <c r="L1948" t="str">
        <f>IFERROR(MATCH($C$5&amp;"|"&amp;RIGHT("000000"&amp;1932,6),LdgRankKeyA,0),"")</f>
        <v/>
      </c>
      <c r="M1948" t="str">
        <f>IFERROR(MATCH($C$5&amp;"|"&amp;RIGHT("000000"&amp;1932,6),LdgRankKeyB,0),"")</f>
        <v/>
      </c>
    </row>
    <row r="1949" spans="1:13" x14ac:dyDescent="0.2">
      <c r="A1949" s="3">
        <v>1933</v>
      </c>
      <c r="B1949" s="4" t="str">
        <f t="shared" si="240"/>
        <v/>
      </c>
      <c r="C1949" s="4" t="str">
        <f t="shared" si="241"/>
        <v/>
      </c>
      <c r="D1949" s="4" t="str">
        <f t="shared" si="242"/>
        <v/>
      </c>
      <c r="E1949" s="5" t="str">
        <f t="shared" si="243"/>
        <v/>
      </c>
      <c r="F1949" s="6" t="str">
        <f t="shared" si="244"/>
        <v/>
      </c>
      <c r="G1949" s="7" t="str">
        <f t="shared" si="245"/>
        <v/>
      </c>
      <c r="H1949" s="7" t="str">
        <f t="shared" si="246"/>
        <v/>
      </c>
      <c r="I1949" s="8" t="str">
        <f t="shared" si="247"/>
        <v/>
      </c>
      <c r="L1949" t="str">
        <f>IFERROR(MATCH($C$5&amp;"|"&amp;RIGHT("000000"&amp;1933,6),LdgRankKeyA,0),"")</f>
        <v/>
      </c>
      <c r="M1949" t="str">
        <f>IFERROR(MATCH($C$5&amp;"|"&amp;RIGHT("000000"&amp;1933,6),LdgRankKeyB,0),"")</f>
        <v/>
      </c>
    </row>
    <row r="1950" spans="1:13" x14ac:dyDescent="0.2">
      <c r="A1950" s="9">
        <v>1934</v>
      </c>
      <c r="B1950" s="10" t="str">
        <f t="shared" si="240"/>
        <v/>
      </c>
      <c r="C1950" s="10" t="str">
        <f t="shared" si="241"/>
        <v/>
      </c>
      <c r="D1950" s="10" t="str">
        <f t="shared" si="242"/>
        <v/>
      </c>
      <c r="E1950" s="11" t="str">
        <f t="shared" si="243"/>
        <v/>
      </c>
      <c r="F1950" s="12" t="str">
        <f t="shared" si="244"/>
        <v/>
      </c>
      <c r="G1950" s="13" t="str">
        <f t="shared" si="245"/>
        <v/>
      </c>
      <c r="H1950" s="13" t="str">
        <f t="shared" si="246"/>
        <v/>
      </c>
      <c r="I1950" s="14" t="str">
        <f t="shared" si="247"/>
        <v/>
      </c>
      <c r="L1950" t="str">
        <f>IFERROR(MATCH($C$5&amp;"|"&amp;RIGHT("000000"&amp;1934,6),LdgRankKeyA,0),"")</f>
        <v/>
      </c>
      <c r="M1950" t="str">
        <f>IFERROR(MATCH($C$5&amp;"|"&amp;RIGHT("000000"&amp;1934,6),LdgRankKeyB,0),"")</f>
        <v/>
      </c>
    </row>
    <row r="1951" spans="1:13" x14ac:dyDescent="0.2">
      <c r="A1951" s="3">
        <v>1935</v>
      </c>
      <c r="B1951" s="4" t="str">
        <f t="shared" si="240"/>
        <v/>
      </c>
      <c r="C1951" s="4" t="str">
        <f t="shared" si="241"/>
        <v/>
      </c>
      <c r="D1951" s="4" t="str">
        <f t="shared" si="242"/>
        <v/>
      </c>
      <c r="E1951" s="5" t="str">
        <f t="shared" si="243"/>
        <v/>
      </c>
      <c r="F1951" s="6" t="str">
        <f t="shared" si="244"/>
        <v/>
      </c>
      <c r="G1951" s="7" t="str">
        <f t="shared" si="245"/>
        <v/>
      </c>
      <c r="H1951" s="7" t="str">
        <f t="shared" si="246"/>
        <v/>
      </c>
      <c r="I1951" s="8" t="str">
        <f t="shared" si="247"/>
        <v/>
      </c>
      <c r="L1951" t="str">
        <f>IFERROR(MATCH($C$5&amp;"|"&amp;RIGHT("000000"&amp;1935,6),LdgRankKeyA,0),"")</f>
        <v/>
      </c>
      <c r="M1951" t="str">
        <f>IFERROR(MATCH($C$5&amp;"|"&amp;RIGHT("000000"&amp;1935,6),LdgRankKeyB,0),"")</f>
        <v/>
      </c>
    </row>
    <row r="1952" spans="1:13" x14ac:dyDescent="0.2">
      <c r="A1952" s="9">
        <v>1936</v>
      </c>
      <c r="B1952" s="10" t="str">
        <f t="shared" si="240"/>
        <v/>
      </c>
      <c r="C1952" s="10" t="str">
        <f t="shared" si="241"/>
        <v/>
      </c>
      <c r="D1952" s="10" t="str">
        <f t="shared" si="242"/>
        <v/>
      </c>
      <c r="E1952" s="11" t="str">
        <f t="shared" si="243"/>
        <v/>
      </c>
      <c r="F1952" s="12" t="str">
        <f t="shared" si="244"/>
        <v/>
      </c>
      <c r="G1952" s="13" t="str">
        <f t="shared" si="245"/>
        <v/>
      </c>
      <c r="H1952" s="13" t="str">
        <f t="shared" si="246"/>
        <v/>
      </c>
      <c r="I1952" s="14" t="str">
        <f t="shared" si="247"/>
        <v/>
      </c>
      <c r="L1952" t="str">
        <f>IFERROR(MATCH($C$5&amp;"|"&amp;RIGHT("000000"&amp;1936,6),LdgRankKeyA,0),"")</f>
        <v/>
      </c>
      <c r="M1952" t="str">
        <f>IFERROR(MATCH($C$5&amp;"|"&amp;RIGHT("000000"&amp;1936,6),LdgRankKeyB,0),"")</f>
        <v/>
      </c>
    </row>
    <row r="1953" spans="1:13" x14ac:dyDescent="0.2">
      <c r="A1953" s="3">
        <v>1937</v>
      </c>
      <c r="B1953" s="4" t="str">
        <f t="shared" si="240"/>
        <v/>
      </c>
      <c r="C1953" s="4" t="str">
        <f t="shared" si="241"/>
        <v/>
      </c>
      <c r="D1953" s="4" t="str">
        <f t="shared" si="242"/>
        <v/>
      </c>
      <c r="E1953" s="5" t="str">
        <f t="shared" si="243"/>
        <v/>
      </c>
      <c r="F1953" s="6" t="str">
        <f t="shared" si="244"/>
        <v/>
      </c>
      <c r="G1953" s="7" t="str">
        <f t="shared" si="245"/>
        <v/>
      </c>
      <c r="H1953" s="7" t="str">
        <f t="shared" si="246"/>
        <v/>
      </c>
      <c r="I1953" s="8" t="str">
        <f t="shared" si="247"/>
        <v/>
      </c>
      <c r="L1953" t="str">
        <f>IFERROR(MATCH($C$5&amp;"|"&amp;RIGHT("000000"&amp;1937,6),LdgRankKeyA,0),"")</f>
        <v/>
      </c>
      <c r="M1953" t="str">
        <f>IFERROR(MATCH($C$5&amp;"|"&amp;RIGHT("000000"&amp;1937,6),LdgRankKeyB,0),"")</f>
        <v/>
      </c>
    </row>
    <row r="1954" spans="1:13" x14ac:dyDescent="0.2">
      <c r="A1954" s="9">
        <v>1938</v>
      </c>
      <c r="B1954" s="10" t="str">
        <f t="shared" si="240"/>
        <v/>
      </c>
      <c r="C1954" s="10" t="str">
        <f t="shared" si="241"/>
        <v/>
      </c>
      <c r="D1954" s="10" t="str">
        <f t="shared" si="242"/>
        <v/>
      </c>
      <c r="E1954" s="11" t="str">
        <f t="shared" si="243"/>
        <v/>
      </c>
      <c r="F1954" s="12" t="str">
        <f t="shared" si="244"/>
        <v/>
      </c>
      <c r="G1954" s="13" t="str">
        <f t="shared" si="245"/>
        <v/>
      </c>
      <c r="H1954" s="13" t="str">
        <f t="shared" si="246"/>
        <v/>
      </c>
      <c r="I1954" s="14" t="str">
        <f t="shared" si="247"/>
        <v/>
      </c>
      <c r="L1954" t="str">
        <f>IFERROR(MATCH($C$5&amp;"|"&amp;RIGHT("000000"&amp;1938,6),LdgRankKeyA,0),"")</f>
        <v/>
      </c>
      <c r="M1954" t="str">
        <f>IFERROR(MATCH($C$5&amp;"|"&amp;RIGHT("000000"&amp;1938,6),LdgRankKeyB,0),"")</f>
        <v/>
      </c>
    </row>
    <row r="1955" spans="1:13" x14ac:dyDescent="0.2">
      <c r="A1955" s="3">
        <v>1939</v>
      </c>
      <c r="B1955" s="4" t="str">
        <f t="shared" si="240"/>
        <v/>
      </c>
      <c r="C1955" s="4" t="str">
        <f t="shared" si="241"/>
        <v/>
      </c>
      <c r="D1955" s="4" t="str">
        <f t="shared" si="242"/>
        <v/>
      </c>
      <c r="E1955" s="5" t="str">
        <f t="shared" si="243"/>
        <v/>
      </c>
      <c r="F1955" s="6" t="str">
        <f t="shared" si="244"/>
        <v/>
      </c>
      <c r="G1955" s="7" t="str">
        <f t="shared" si="245"/>
        <v/>
      </c>
      <c r="H1955" s="7" t="str">
        <f t="shared" si="246"/>
        <v/>
      </c>
      <c r="I1955" s="8" t="str">
        <f t="shared" si="247"/>
        <v/>
      </c>
      <c r="L1955" t="str">
        <f>IFERROR(MATCH($C$5&amp;"|"&amp;RIGHT("000000"&amp;1939,6),LdgRankKeyA,0),"")</f>
        <v/>
      </c>
      <c r="M1955" t="str">
        <f>IFERROR(MATCH($C$5&amp;"|"&amp;RIGHT("000000"&amp;1939,6),LdgRankKeyB,0),"")</f>
        <v/>
      </c>
    </row>
    <row r="1956" spans="1:13" x14ac:dyDescent="0.2">
      <c r="A1956" s="9">
        <v>1940</v>
      </c>
      <c r="B1956" s="10" t="str">
        <f t="shared" si="240"/>
        <v/>
      </c>
      <c r="C1956" s="10" t="str">
        <f t="shared" si="241"/>
        <v/>
      </c>
      <c r="D1956" s="10" t="str">
        <f t="shared" si="242"/>
        <v/>
      </c>
      <c r="E1956" s="11" t="str">
        <f t="shared" si="243"/>
        <v/>
      </c>
      <c r="F1956" s="12" t="str">
        <f t="shared" si="244"/>
        <v/>
      </c>
      <c r="G1956" s="13" t="str">
        <f t="shared" si="245"/>
        <v/>
      </c>
      <c r="H1956" s="13" t="str">
        <f t="shared" si="246"/>
        <v/>
      </c>
      <c r="I1956" s="14" t="str">
        <f t="shared" si="247"/>
        <v/>
      </c>
      <c r="L1956" t="str">
        <f>IFERROR(MATCH($C$5&amp;"|"&amp;RIGHT("000000"&amp;1940,6),LdgRankKeyA,0),"")</f>
        <v/>
      </c>
      <c r="M1956" t="str">
        <f>IFERROR(MATCH($C$5&amp;"|"&amp;RIGHT("000000"&amp;1940,6),LdgRankKeyB,0),"")</f>
        <v/>
      </c>
    </row>
    <row r="1957" spans="1:13" x14ac:dyDescent="0.2">
      <c r="A1957" s="3">
        <v>1941</v>
      </c>
      <c r="B1957" s="4" t="str">
        <f t="shared" si="240"/>
        <v/>
      </c>
      <c r="C1957" s="4" t="str">
        <f t="shared" si="241"/>
        <v/>
      </c>
      <c r="D1957" s="4" t="str">
        <f t="shared" si="242"/>
        <v/>
      </c>
      <c r="E1957" s="5" t="str">
        <f t="shared" si="243"/>
        <v/>
      </c>
      <c r="F1957" s="6" t="str">
        <f t="shared" si="244"/>
        <v/>
      </c>
      <c r="G1957" s="7" t="str">
        <f t="shared" si="245"/>
        <v/>
      </c>
      <c r="H1957" s="7" t="str">
        <f t="shared" si="246"/>
        <v/>
      </c>
      <c r="I1957" s="8" t="str">
        <f t="shared" si="247"/>
        <v/>
      </c>
      <c r="L1957" t="str">
        <f>IFERROR(MATCH($C$5&amp;"|"&amp;RIGHT("000000"&amp;1941,6),LdgRankKeyA,0),"")</f>
        <v/>
      </c>
      <c r="M1957" t="str">
        <f>IFERROR(MATCH($C$5&amp;"|"&amp;RIGHT("000000"&amp;1941,6),LdgRankKeyB,0),"")</f>
        <v/>
      </c>
    </row>
    <row r="1958" spans="1:13" x14ac:dyDescent="0.2">
      <c r="A1958" s="9">
        <v>1942</v>
      </c>
      <c r="B1958" s="10" t="str">
        <f t="shared" si="240"/>
        <v/>
      </c>
      <c r="C1958" s="10" t="str">
        <f t="shared" si="241"/>
        <v/>
      </c>
      <c r="D1958" s="10" t="str">
        <f t="shared" si="242"/>
        <v/>
      </c>
      <c r="E1958" s="11" t="str">
        <f t="shared" si="243"/>
        <v/>
      </c>
      <c r="F1958" s="12" t="str">
        <f t="shared" si="244"/>
        <v/>
      </c>
      <c r="G1958" s="13" t="str">
        <f t="shared" si="245"/>
        <v/>
      </c>
      <c r="H1958" s="13" t="str">
        <f t="shared" si="246"/>
        <v/>
      </c>
      <c r="I1958" s="14" t="str">
        <f t="shared" si="247"/>
        <v/>
      </c>
      <c r="L1958" t="str">
        <f>IFERROR(MATCH($C$5&amp;"|"&amp;RIGHT("000000"&amp;1942,6),LdgRankKeyA,0),"")</f>
        <v/>
      </c>
      <c r="M1958" t="str">
        <f>IFERROR(MATCH($C$5&amp;"|"&amp;RIGHT("000000"&amp;1942,6),LdgRankKeyB,0),"")</f>
        <v/>
      </c>
    </row>
    <row r="1959" spans="1:13" x14ac:dyDescent="0.2">
      <c r="A1959" s="3">
        <v>1943</v>
      </c>
      <c r="B1959" s="4" t="str">
        <f t="shared" si="240"/>
        <v/>
      </c>
      <c r="C1959" s="4" t="str">
        <f t="shared" si="241"/>
        <v/>
      </c>
      <c r="D1959" s="4" t="str">
        <f t="shared" si="242"/>
        <v/>
      </c>
      <c r="E1959" s="5" t="str">
        <f t="shared" si="243"/>
        <v/>
      </c>
      <c r="F1959" s="6" t="str">
        <f t="shared" si="244"/>
        <v/>
      </c>
      <c r="G1959" s="7" t="str">
        <f t="shared" si="245"/>
        <v/>
      </c>
      <c r="H1959" s="7" t="str">
        <f t="shared" si="246"/>
        <v/>
      </c>
      <c r="I1959" s="8" t="str">
        <f t="shared" si="247"/>
        <v/>
      </c>
      <c r="L1959" t="str">
        <f>IFERROR(MATCH($C$5&amp;"|"&amp;RIGHT("000000"&amp;1943,6),LdgRankKeyA,0),"")</f>
        <v/>
      </c>
      <c r="M1959" t="str">
        <f>IFERROR(MATCH($C$5&amp;"|"&amp;RIGHT("000000"&amp;1943,6),LdgRankKeyB,0),"")</f>
        <v/>
      </c>
    </row>
    <row r="1960" spans="1:13" x14ac:dyDescent="0.2">
      <c r="A1960" s="9">
        <v>1944</v>
      </c>
      <c r="B1960" s="10" t="str">
        <f t="shared" si="240"/>
        <v/>
      </c>
      <c r="C1960" s="10" t="str">
        <f t="shared" si="241"/>
        <v/>
      </c>
      <c r="D1960" s="10" t="str">
        <f t="shared" si="242"/>
        <v/>
      </c>
      <c r="E1960" s="11" t="str">
        <f t="shared" si="243"/>
        <v/>
      </c>
      <c r="F1960" s="12" t="str">
        <f t="shared" si="244"/>
        <v/>
      </c>
      <c r="G1960" s="13" t="str">
        <f t="shared" si="245"/>
        <v/>
      </c>
      <c r="H1960" s="13" t="str">
        <f t="shared" si="246"/>
        <v/>
      </c>
      <c r="I1960" s="14" t="str">
        <f t="shared" si="247"/>
        <v/>
      </c>
      <c r="L1960" t="str">
        <f>IFERROR(MATCH($C$5&amp;"|"&amp;RIGHT("000000"&amp;1944,6),LdgRankKeyA,0),"")</f>
        <v/>
      </c>
      <c r="M1960" t="str">
        <f>IFERROR(MATCH($C$5&amp;"|"&amp;RIGHT("000000"&amp;1944,6),LdgRankKeyB,0),"")</f>
        <v/>
      </c>
    </row>
    <row r="1961" spans="1:13" x14ac:dyDescent="0.2">
      <c r="A1961" s="3">
        <v>1945</v>
      </c>
      <c r="B1961" s="4" t="str">
        <f t="shared" si="240"/>
        <v/>
      </c>
      <c r="C1961" s="4" t="str">
        <f t="shared" si="241"/>
        <v/>
      </c>
      <c r="D1961" s="4" t="str">
        <f t="shared" si="242"/>
        <v/>
      </c>
      <c r="E1961" s="5" t="str">
        <f t="shared" si="243"/>
        <v/>
      </c>
      <c r="F1961" s="6" t="str">
        <f t="shared" si="244"/>
        <v/>
      </c>
      <c r="G1961" s="7" t="str">
        <f t="shared" si="245"/>
        <v/>
      </c>
      <c r="H1961" s="7" t="str">
        <f t="shared" si="246"/>
        <v/>
      </c>
      <c r="I1961" s="8" t="str">
        <f t="shared" si="247"/>
        <v/>
      </c>
      <c r="L1961" t="str">
        <f>IFERROR(MATCH($C$5&amp;"|"&amp;RIGHT("000000"&amp;1945,6),LdgRankKeyA,0),"")</f>
        <v/>
      </c>
      <c r="M1961" t="str">
        <f>IFERROR(MATCH($C$5&amp;"|"&amp;RIGHT("000000"&amp;1945,6),LdgRankKeyB,0),"")</f>
        <v/>
      </c>
    </row>
    <row r="1962" spans="1:13" x14ac:dyDescent="0.2">
      <c r="A1962" s="9">
        <v>1946</v>
      </c>
      <c r="B1962" s="10" t="str">
        <f t="shared" si="240"/>
        <v/>
      </c>
      <c r="C1962" s="10" t="str">
        <f t="shared" si="241"/>
        <v/>
      </c>
      <c r="D1962" s="10" t="str">
        <f t="shared" si="242"/>
        <v/>
      </c>
      <c r="E1962" s="11" t="str">
        <f t="shared" si="243"/>
        <v/>
      </c>
      <c r="F1962" s="12" t="str">
        <f t="shared" si="244"/>
        <v/>
      </c>
      <c r="G1962" s="13" t="str">
        <f t="shared" si="245"/>
        <v/>
      </c>
      <c r="H1962" s="13" t="str">
        <f t="shared" si="246"/>
        <v/>
      </c>
      <c r="I1962" s="14" t="str">
        <f t="shared" si="247"/>
        <v/>
      </c>
      <c r="L1962" t="str">
        <f>IFERROR(MATCH($C$5&amp;"|"&amp;RIGHT("000000"&amp;1946,6),LdgRankKeyA,0),"")</f>
        <v/>
      </c>
      <c r="M1962" t="str">
        <f>IFERROR(MATCH($C$5&amp;"|"&amp;RIGHT("000000"&amp;1946,6),LdgRankKeyB,0),"")</f>
        <v/>
      </c>
    </row>
    <row r="1963" spans="1:13" x14ac:dyDescent="0.2">
      <c r="A1963" s="3">
        <v>1947</v>
      </c>
      <c r="B1963" s="4" t="str">
        <f t="shared" si="240"/>
        <v/>
      </c>
      <c r="C1963" s="4" t="str">
        <f t="shared" si="241"/>
        <v/>
      </c>
      <c r="D1963" s="4" t="str">
        <f t="shared" si="242"/>
        <v/>
      </c>
      <c r="E1963" s="5" t="str">
        <f t="shared" si="243"/>
        <v/>
      </c>
      <c r="F1963" s="6" t="str">
        <f t="shared" si="244"/>
        <v/>
      </c>
      <c r="G1963" s="7" t="str">
        <f t="shared" si="245"/>
        <v/>
      </c>
      <c r="H1963" s="7" t="str">
        <f t="shared" si="246"/>
        <v/>
      </c>
      <c r="I1963" s="8" t="str">
        <f t="shared" si="247"/>
        <v/>
      </c>
      <c r="L1963" t="str">
        <f>IFERROR(MATCH($C$5&amp;"|"&amp;RIGHT("000000"&amp;1947,6),LdgRankKeyA,0),"")</f>
        <v/>
      </c>
      <c r="M1963" t="str">
        <f>IFERROR(MATCH($C$5&amp;"|"&amp;RIGHT("000000"&amp;1947,6),LdgRankKeyB,0),"")</f>
        <v/>
      </c>
    </row>
    <row r="1964" spans="1:13" x14ac:dyDescent="0.2">
      <c r="A1964" s="9">
        <v>1948</v>
      </c>
      <c r="B1964" s="10" t="str">
        <f t="shared" si="240"/>
        <v/>
      </c>
      <c r="C1964" s="10" t="str">
        <f t="shared" si="241"/>
        <v/>
      </c>
      <c r="D1964" s="10" t="str">
        <f t="shared" si="242"/>
        <v/>
      </c>
      <c r="E1964" s="11" t="str">
        <f t="shared" si="243"/>
        <v/>
      </c>
      <c r="F1964" s="12" t="str">
        <f t="shared" si="244"/>
        <v/>
      </c>
      <c r="G1964" s="13" t="str">
        <f t="shared" si="245"/>
        <v/>
      </c>
      <c r="H1964" s="13" t="str">
        <f t="shared" si="246"/>
        <v/>
      </c>
      <c r="I1964" s="14" t="str">
        <f t="shared" si="247"/>
        <v/>
      </c>
      <c r="L1964" t="str">
        <f>IFERROR(MATCH($C$5&amp;"|"&amp;RIGHT("000000"&amp;1948,6),LdgRankKeyA,0),"")</f>
        <v/>
      </c>
      <c r="M1964" t="str">
        <f>IFERROR(MATCH($C$5&amp;"|"&amp;RIGHT("000000"&amp;1948,6),LdgRankKeyB,0),"")</f>
        <v/>
      </c>
    </row>
    <row r="1965" spans="1:13" x14ac:dyDescent="0.2">
      <c r="A1965" s="3">
        <v>1949</v>
      </c>
      <c r="B1965" s="4" t="str">
        <f t="shared" si="240"/>
        <v/>
      </c>
      <c r="C1965" s="4" t="str">
        <f t="shared" si="241"/>
        <v/>
      </c>
      <c r="D1965" s="4" t="str">
        <f t="shared" si="242"/>
        <v/>
      </c>
      <c r="E1965" s="5" t="str">
        <f t="shared" si="243"/>
        <v/>
      </c>
      <c r="F1965" s="6" t="str">
        <f t="shared" si="244"/>
        <v/>
      </c>
      <c r="G1965" s="7" t="str">
        <f t="shared" si="245"/>
        <v/>
      </c>
      <c r="H1965" s="7" t="str">
        <f t="shared" si="246"/>
        <v/>
      </c>
      <c r="I1965" s="8" t="str">
        <f t="shared" si="247"/>
        <v/>
      </c>
      <c r="L1965" t="str">
        <f>IFERROR(MATCH($C$5&amp;"|"&amp;RIGHT("000000"&amp;1949,6),LdgRankKeyA,0),"")</f>
        <v/>
      </c>
      <c r="M1965" t="str">
        <f>IFERROR(MATCH($C$5&amp;"|"&amp;RIGHT("000000"&amp;1949,6),LdgRankKeyB,0),"")</f>
        <v/>
      </c>
    </row>
    <row r="1966" spans="1:13" x14ac:dyDescent="0.2">
      <c r="A1966" s="9">
        <v>1950</v>
      </c>
      <c r="B1966" s="10" t="str">
        <f t="shared" si="240"/>
        <v/>
      </c>
      <c r="C1966" s="10" t="str">
        <f t="shared" si="241"/>
        <v/>
      </c>
      <c r="D1966" s="10" t="str">
        <f t="shared" si="242"/>
        <v/>
      </c>
      <c r="E1966" s="11" t="str">
        <f t="shared" si="243"/>
        <v/>
      </c>
      <c r="F1966" s="12" t="str">
        <f t="shared" si="244"/>
        <v/>
      </c>
      <c r="G1966" s="13" t="str">
        <f t="shared" si="245"/>
        <v/>
      </c>
      <c r="H1966" s="13" t="str">
        <f t="shared" si="246"/>
        <v/>
      </c>
      <c r="I1966" s="14" t="str">
        <f t="shared" si="247"/>
        <v/>
      </c>
      <c r="L1966" t="str">
        <f>IFERROR(MATCH($C$5&amp;"|"&amp;RIGHT("000000"&amp;1950,6),LdgRankKeyA,0),"")</f>
        <v/>
      </c>
      <c r="M1966" t="str">
        <f>IFERROR(MATCH($C$5&amp;"|"&amp;RIGHT("000000"&amp;1950,6),LdgRankKeyB,0),"")</f>
        <v/>
      </c>
    </row>
    <row r="1967" spans="1:13" x14ac:dyDescent="0.2">
      <c r="A1967" s="3">
        <v>1951</v>
      </c>
      <c r="B1967" s="4" t="str">
        <f t="shared" si="240"/>
        <v/>
      </c>
      <c r="C1967" s="4" t="str">
        <f t="shared" si="241"/>
        <v/>
      </c>
      <c r="D1967" s="4" t="str">
        <f t="shared" si="242"/>
        <v/>
      </c>
      <c r="E1967" s="5" t="str">
        <f t="shared" si="243"/>
        <v/>
      </c>
      <c r="F1967" s="6" t="str">
        <f t="shared" si="244"/>
        <v/>
      </c>
      <c r="G1967" s="7" t="str">
        <f t="shared" si="245"/>
        <v/>
      </c>
      <c r="H1967" s="7" t="str">
        <f t="shared" si="246"/>
        <v/>
      </c>
      <c r="I1967" s="8" t="str">
        <f t="shared" si="247"/>
        <v/>
      </c>
      <c r="L1967" t="str">
        <f>IFERROR(MATCH($C$5&amp;"|"&amp;RIGHT("000000"&amp;1951,6),LdgRankKeyA,0),"")</f>
        <v/>
      </c>
      <c r="M1967" t="str">
        <f>IFERROR(MATCH($C$5&amp;"|"&amp;RIGHT("000000"&amp;1951,6),LdgRankKeyB,0),"")</f>
        <v/>
      </c>
    </row>
    <row r="1968" spans="1:13" x14ac:dyDescent="0.2">
      <c r="A1968" s="9">
        <v>1952</v>
      </c>
      <c r="B1968" s="10" t="str">
        <f t="shared" si="240"/>
        <v/>
      </c>
      <c r="C1968" s="10" t="str">
        <f t="shared" si="241"/>
        <v/>
      </c>
      <c r="D1968" s="10" t="str">
        <f t="shared" si="242"/>
        <v/>
      </c>
      <c r="E1968" s="11" t="str">
        <f t="shared" si="243"/>
        <v/>
      </c>
      <c r="F1968" s="12" t="str">
        <f t="shared" si="244"/>
        <v/>
      </c>
      <c r="G1968" s="13" t="str">
        <f t="shared" si="245"/>
        <v/>
      </c>
      <c r="H1968" s="13" t="str">
        <f t="shared" si="246"/>
        <v/>
      </c>
      <c r="I1968" s="14" t="str">
        <f t="shared" si="247"/>
        <v/>
      </c>
      <c r="L1968" t="str">
        <f>IFERROR(MATCH($C$5&amp;"|"&amp;RIGHT("000000"&amp;1952,6),LdgRankKeyA,0),"")</f>
        <v/>
      </c>
      <c r="M1968" t="str">
        <f>IFERROR(MATCH($C$5&amp;"|"&amp;RIGHT("000000"&amp;1952,6),LdgRankKeyB,0),"")</f>
        <v/>
      </c>
    </row>
    <row r="1969" spans="1:13" x14ac:dyDescent="0.2">
      <c r="A1969" s="3">
        <v>1953</v>
      </c>
      <c r="B1969" s="4" t="str">
        <f t="shared" si="240"/>
        <v/>
      </c>
      <c r="C1969" s="4" t="str">
        <f t="shared" si="241"/>
        <v/>
      </c>
      <c r="D1969" s="4" t="str">
        <f t="shared" si="242"/>
        <v/>
      </c>
      <c r="E1969" s="5" t="str">
        <f t="shared" si="243"/>
        <v/>
      </c>
      <c r="F1969" s="6" t="str">
        <f t="shared" si="244"/>
        <v/>
      </c>
      <c r="G1969" s="7" t="str">
        <f t="shared" si="245"/>
        <v/>
      </c>
      <c r="H1969" s="7" t="str">
        <f t="shared" si="246"/>
        <v/>
      </c>
      <c r="I1969" s="8" t="str">
        <f t="shared" si="247"/>
        <v/>
      </c>
      <c r="L1969" t="str">
        <f>IFERROR(MATCH($C$5&amp;"|"&amp;RIGHT("000000"&amp;1953,6),LdgRankKeyA,0),"")</f>
        <v/>
      </c>
      <c r="M1969" t="str">
        <f>IFERROR(MATCH($C$5&amp;"|"&amp;RIGHT("000000"&amp;1953,6),LdgRankKeyB,0),"")</f>
        <v/>
      </c>
    </row>
    <row r="1970" spans="1:13" x14ac:dyDescent="0.2">
      <c r="A1970" s="9">
        <v>1954</v>
      </c>
      <c r="B1970" s="10" t="str">
        <f t="shared" si="240"/>
        <v/>
      </c>
      <c r="C1970" s="10" t="str">
        <f t="shared" si="241"/>
        <v/>
      </c>
      <c r="D1970" s="10" t="str">
        <f t="shared" si="242"/>
        <v/>
      </c>
      <c r="E1970" s="11" t="str">
        <f t="shared" si="243"/>
        <v/>
      </c>
      <c r="F1970" s="12" t="str">
        <f t="shared" si="244"/>
        <v/>
      </c>
      <c r="G1970" s="13" t="str">
        <f t="shared" si="245"/>
        <v/>
      </c>
      <c r="H1970" s="13" t="str">
        <f t="shared" si="246"/>
        <v/>
      </c>
      <c r="I1970" s="14" t="str">
        <f t="shared" si="247"/>
        <v/>
      </c>
      <c r="L1970" t="str">
        <f>IFERROR(MATCH($C$5&amp;"|"&amp;RIGHT("000000"&amp;1954,6),LdgRankKeyA,0),"")</f>
        <v/>
      </c>
      <c r="M1970" t="str">
        <f>IFERROR(MATCH($C$5&amp;"|"&amp;RIGHT("000000"&amp;1954,6),LdgRankKeyB,0),"")</f>
        <v/>
      </c>
    </row>
    <row r="1971" spans="1:13" x14ac:dyDescent="0.2">
      <c r="A1971" s="3">
        <v>1955</v>
      </c>
      <c r="B1971" s="4" t="str">
        <f t="shared" si="240"/>
        <v/>
      </c>
      <c r="C1971" s="4" t="str">
        <f t="shared" si="241"/>
        <v/>
      </c>
      <c r="D1971" s="4" t="str">
        <f t="shared" si="242"/>
        <v/>
      </c>
      <c r="E1971" s="5" t="str">
        <f t="shared" si="243"/>
        <v/>
      </c>
      <c r="F1971" s="6" t="str">
        <f t="shared" si="244"/>
        <v/>
      </c>
      <c r="G1971" s="7" t="str">
        <f t="shared" si="245"/>
        <v/>
      </c>
      <c r="H1971" s="7" t="str">
        <f t="shared" si="246"/>
        <v/>
      </c>
      <c r="I1971" s="8" t="str">
        <f t="shared" si="247"/>
        <v/>
      </c>
      <c r="L1971" t="str">
        <f>IFERROR(MATCH($C$5&amp;"|"&amp;RIGHT("000000"&amp;1955,6),LdgRankKeyA,0),"")</f>
        <v/>
      </c>
      <c r="M1971" t="str">
        <f>IFERROR(MATCH($C$5&amp;"|"&amp;RIGHT("000000"&amp;1955,6),LdgRankKeyB,0),"")</f>
        <v/>
      </c>
    </row>
    <row r="1972" spans="1:13" x14ac:dyDescent="0.2">
      <c r="A1972" s="9">
        <v>1956</v>
      </c>
      <c r="B1972" s="10" t="str">
        <f t="shared" si="240"/>
        <v/>
      </c>
      <c r="C1972" s="10" t="str">
        <f t="shared" si="241"/>
        <v/>
      </c>
      <c r="D1972" s="10" t="str">
        <f t="shared" si="242"/>
        <v/>
      </c>
      <c r="E1972" s="11" t="str">
        <f t="shared" si="243"/>
        <v/>
      </c>
      <c r="F1972" s="12" t="str">
        <f t="shared" si="244"/>
        <v/>
      </c>
      <c r="G1972" s="13" t="str">
        <f t="shared" si="245"/>
        <v/>
      </c>
      <c r="H1972" s="13" t="str">
        <f t="shared" si="246"/>
        <v/>
      </c>
      <c r="I1972" s="14" t="str">
        <f t="shared" si="247"/>
        <v/>
      </c>
      <c r="L1972" t="str">
        <f>IFERROR(MATCH($C$5&amp;"|"&amp;RIGHT("000000"&amp;1956,6),LdgRankKeyA,0),"")</f>
        <v/>
      </c>
      <c r="M1972" t="str">
        <f>IFERROR(MATCH($C$5&amp;"|"&amp;RIGHT("000000"&amp;1956,6),LdgRankKeyB,0),"")</f>
        <v/>
      </c>
    </row>
    <row r="1973" spans="1:13" x14ac:dyDescent="0.2">
      <c r="A1973" s="3">
        <v>1957</v>
      </c>
      <c r="B1973" s="4" t="str">
        <f t="shared" si="240"/>
        <v/>
      </c>
      <c r="C1973" s="4" t="str">
        <f t="shared" si="241"/>
        <v/>
      </c>
      <c r="D1973" s="4" t="str">
        <f t="shared" si="242"/>
        <v/>
      </c>
      <c r="E1973" s="5" t="str">
        <f t="shared" si="243"/>
        <v/>
      </c>
      <c r="F1973" s="6" t="str">
        <f t="shared" si="244"/>
        <v/>
      </c>
      <c r="G1973" s="7" t="str">
        <f t="shared" si="245"/>
        <v/>
      </c>
      <c r="H1973" s="7" t="str">
        <f t="shared" si="246"/>
        <v/>
      </c>
      <c r="I1973" s="8" t="str">
        <f t="shared" si="247"/>
        <v/>
      </c>
      <c r="L1973" t="str">
        <f>IFERROR(MATCH($C$5&amp;"|"&amp;RIGHT("000000"&amp;1957,6),LdgRankKeyA,0),"")</f>
        <v/>
      </c>
      <c r="M1973" t="str">
        <f>IFERROR(MATCH($C$5&amp;"|"&amp;RIGHT("000000"&amp;1957,6),LdgRankKeyB,0),"")</f>
        <v/>
      </c>
    </row>
    <row r="1974" spans="1:13" x14ac:dyDescent="0.2">
      <c r="A1974" s="9">
        <v>1958</v>
      </c>
      <c r="B1974" s="10" t="str">
        <f t="shared" si="240"/>
        <v/>
      </c>
      <c r="C1974" s="10" t="str">
        <f t="shared" si="241"/>
        <v/>
      </c>
      <c r="D1974" s="10" t="str">
        <f t="shared" si="242"/>
        <v/>
      </c>
      <c r="E1974" s="11" t="str">
        <f t="shared" si="243"/>
        <v/>
      </c>
      <c r="F1974" s="12" t="str">
        <f t="shared" si="244"/>
        <v/>
      </c>
      <c r="G1974" s="13" t="str">
        <f t="shared" si="245"/>
        <v/>
      </c>
      <c r="H1974" s="13" t="str">
        <f t="shared" si="246"/>
        <v/>
      </c>
      <c r="I1974" s="14" t="str">
        <f t="shared" si="247"/>
        <v/>
      </c>
      <c r="L1974" t="str">
        <f>IFERROR(MATCH($C$5&amp;"|"&amp;RIGHT("000000"&amp;1958,6),LdgRankKeyA,0),"")</f>
        <v/>
      </c>
      <c r="M1974" t="str">
        <f>IFERROR(MATCH($C$5&amp;"|"&amp;RIGHT("000000"&amp;1958,6),LdgRankKeyB,0),"")</f>
        <v/>
      </c>
    </row>
    <row r="1975" spans="1:13" x14ac:dyDescent="0.2">
      <c r="A1975" s="3">
        <v>1959</v>
      </c>
      <c r="B1975" s="4" t="str">
        <f t="shared" si="240"/>
        <v/>
      </c>
      <c r="C1975" s="4" t="str">
        <f t="shared" si="241"/>
        <v/>
      </c>
      <c r="D1975" s="4" t="str">
        <f t="shared" si="242"/>
        <v/>
      </c>
      <c r="E1975" s="5" t="str">
        <f t="shared" si="243"/>
        <v/>
      </c>
      <c r="F1975" s="6" t="str">
        <f t="shared" si="244"/>
        <v/>
      </c>
      <c r="G1975" s="7" t="str">
        <f t="shared" si="245"/>
        <v/>
      </c>
      <c r="H1975" s="7" t="str">
        <f t="shared" si="246"/>
        <v/>
      </c>
      <c r="I1975" s="8" t="str">
        <f t="shared" si="247"/>
        <v/>
      </c>
      <c r="L1975" t="str">
        <f>IFERROR(MATCH($C$5&amp;"|"&amp;RIGHT("000000"&amp;1959,6),LdgRankKeyA,0),"")</f>
        <v/>
      </c>
      <c r="M1975" t="str">
        <f>IFERROR(MATCH($C$5&amp;"|"&amp;RIGHT("000000"&amp;1959,6),LdgRankKeyB,0),"")</f>
        <v/>
      </c>
    </row>
    <row r="1976" spans="1:13" x14ac:dyDescent="0.2">
      <c r="A1976" s="9">
        <v>1960</v>
      </c>
      <c r="B1976" s="10" t="str">
        <f t="shared" si="240"/>
        <v/>
      </c>
      <c r="C1976" s="10" t="str">
        <f t="shared" si="241"/>
        <v/>
      </c>
      <c r="D1976" s="10" t="str">
        <f t="shared" si="242"/>
        <v/>
      </c>
      <c r="E1976" s="11" t="str">
        <f t="shared" si="243"/>
        <v/>
      </c>
      <c r="F1976" s="12" t="str">
        <f t="shared" si="244"/>
        <v/>
      </c>
      <c r="G1976" s="13" t="str">
        <f t="shared" si="245"/>
        <v/>
      </c>
      <c r="H1976" s="13" t="str">
        <f t="shared" si="246"/>
        <v/>
      </c>
      <c r="I1976" s="14" t="str">
        <f t="shared" si="247"/>
        <v/>
      </c>
      <c r="L1976" t="str">
        <f>IFERROR(MATCH($C$5&amp;"|"&amp;RIGHT("000000"&amp;1960,6),LdgRankKeyA,0),"")</f>
        <v/>
      </c>
      <c r="M1976" t="str">
        <f>IFERROR(MATCH($C$5&amp;"|"&amp;RIGHT("000000"&amp;1960,6),LdgRankKeyB,0),"")</f>
        <v/>
      </c>
    </row>
    <row r="1977" spans="1:13" x14ac:dyDescent="0.2">
      <c r="A1977" s="3">
        <v>1961</v>
      </c>
      <c r="B1977" s="4" t="str">
        <f t="shared" si="240"/>
        <v/>
      </c>
      <c r="C1977" s="4" t="str">
        <f t="shared" si="241"/>
        <v/>
      </c>
      <c r="D1977" s="4" t="str">
        <f t="shared" si="242"/>
        <v/>
      </c>
      <c r="E1977" s="5" t="str">
        <f t="shared" si="243"/>
        <v/>
      </c>
      <c r="F1977" s="6" t="str">
        <f t="shared" si="244"/>
        <v/>
      </c>
      <c r="G1977" s="7" t="str">
        <f t="shared" si="245"/>
        <v/>
      </c>
      <c r="H1977" s="7" t="str">
        <f t="shared" si="246"/>
        <v/>
      </c>
      <c r="I1977" s="8" t="str">
        <f t="shared" si="247"/>
        <v/>
      </c>
      <c r="L1977" t="str">
        <f>IFERROR(MATCH($C$5&amp;"|"&amp;RIGHT("000000"&amp;1961,6),LdgRankKeyA,0),"")</f>
        <v/>
      </c>
      <c r="M1977" t="str">
        <f>IFERROR(MATCH($C$5&amp;"|"&amp;RIGHT("000000"&amp;1961,6),LdgRankKeyB,0),"")</f>
        <v/>
      </c>
    </row>
    <row r="1978" spans="1:13" x14ac:dyDescent="0.2">
      <c r="A1978" s="9">
        <v>1962</v>
      </c>
      <c r="B1978" s="10" t="str">
        <f t="shared" si="240"/>
        <v/>
      </c>
      <c r="C1978" s="10" t="str">
        <f t="shared" si="241"/>
        <v/>
      </c>
      <c r="D1978" s="10" t="str">
        <f t="shared" si="242"/>
        <v/>
      </c>
      <c r="E1978" s="11" t="str">
        <f t="shared" si="243"/>
        <v/>
      </c>
      <c r="F1978" s="12" t="str">
        <f t="shared" si="244"/>
        <v/>
      </c>
      <c r="G1978" s="13" t="str">
        <f t="shared" si="245"/>
        <v/>
      </c>
      <c r="H1978" s="13" t="str">
        <f t="shared" si="246"/>
        <v/>
      </c>
      <c r="I1978" s="14" t="str">
        <f t="shared" si="247"/>
        <v/>
      </c>
      <c r="L1978" t="str">
        <f>IFERROR(MATCH($C$5&amp;"|"&amp;RIGHT("000000"&amp;1962,6),LdgRankKeyA,0),"")</f>
        <v/>
      </c>
      <c r="M1978" t="str">
        <f>IFERROR(MATCH($C$5&amp;"|"&amp;RIGHT("000000"&amp;1962,6),LdgRankKeyB,0),"")</f>
        <v/>
      </c>
    </row>
    <row r="1979" spans="1:13" x14ac:dyDescent="0.2">
      <c r="A1979" s="3">
        <v>1963</v>
      </c>
      <c r="B1979" s="4" t="str">
        <f t="shared" si="240"/>
        <v/>
      </c>
      <c r="C1979" s="4" t="str">
        <f t="shared" si="241"/>
        <v/>
      </c>
      <c r="D1979" s="4" t="str">
        <f t="shared" si="242"/>
        <v/>
      </c>
      <c r="E1979" s="5" t="str">
        <f t="shared" si="243"/>
        <v/>
      </c>
      <c r="F1979" s="6" t="str">
        <f t="shared" si="244"/>
        <v/>
      </c>
      <c r="G1979" s="7" t="str">
        <f t="shared" si="245"/>
        <v/>
      </c>
      <c r="H1979" s="7" t="str">
        <f t="shared" si="246"/>
        <v/>
      </c>
      <c r="I1979" s="8" t="str">
        <f t="shared" si="247"/>
        <v/>
      </c>
      <c r="L1979" t="str">
        <f>IFERROR(MATCH($C$5&amp;"|"&amp;RIGHT("000000"&amp;1963,6),LdgRankKeyA,0),"")</f>
        <v/>
      </c>
      <c r="M1979" t="str">
        <f>IFERROR(MATCH($C$5&amp;"|"&amp;RIGHT("000000"&amp;1963,6),LdgRankKeyB,0),"")</f>
        <v/>
      </c>
    </row>
    <row r="1980" spans="1:13" x14ac:dyDescent="0.2">
      <c r="A1980" s="9">
        <v>1964</v>
      </c>
      <c r="B1980" s="10" t="str">
        <f t="shared" si="240"/>
        <v/>
      </c>
      <c r="C1980" s="10" t="str">
        <f t="shared" si="241"/>
        <v/>
      </c>
      <c r="D1980" s="10" t="str">
        <f t="shared" si="242"/>
        <v/>
      </c>
      <c r="E1980" s="11" t="str">
        <f t="shared" si="243"/>
        <v/>
      </c>
      <c r="F1980" s="12" t="str">
        <f t="shared" si="244"/>
        <v/>
      </c>
      <c r="G1980" s="13" t="str">
        <f t="shared" si="245"/>
        <v/>
      </c>
      <c r="H1980" s="13" t="str">
        <f t="shared" si="246"/>
        <v/>
      </c>
      <c r="I1980" s="14" t="str">
        <f t="shared" si="247"/>
        <v/>
      </c>
      <c r="L1980" t="str">
        <f>IFERROR(MATCH($C$5&amp;"|"&amp;RIGHT("000000"&amp;1964,6),LdgRankKeyA,0),"")</f>
        <v/>
      </c>
      <c r="M1980" t="str">
        <f>IFERROR(MATCH($C$5&amp;"|"&amp;RIGHT("000000"&amp;1964,6),LdgRankKeyB,0),"")</f>
        <v/>
      </c>
    </row>
    <row r="1981" spans="1:13" x14ac:dyDescent="0.2">
      <c r="A1981" s="3">
        <v>1965</v>
      </c>
      <c r="B1981" s="4" t="str">
        <f t="shared" si="240"/>
        <v/>
      </c>
      <c r="C1981" s="4" t="str">
        <f t="shared" si="241"/>
        <v/>
      </c>
      <c r="D1981" s="4" t="str">
        <f t="shared" si="242"/>
        <v/>
      </c>
      <c r="E1981" s="5" t="str">
        <f t="shared" si="243"/>
        <v/>
      </c>
      <c r="F1981" s="6" t="str">
        <f t="shared" si="244"/>
        <v/>
      </c>
      <c r="G1981" s="7" t="str">
        <f t="shared" si="245"/>
        <v/>
      </c>
      <c r="H1981" s="7" t="str">
        <f t="shared" si="246"/>
        <v/>
      </c>
      <c r="I1981" s="8" t="str">
        <f t="shared" si="247"/>
        <v/>
      </c>
      <c r="L1981" t="str">
        <f>IFERROR(MATCH($C$5&amp;"|"&amp;RIGHT("000000"&amp;1965,6),LdgRankKeyA,0),"")</f>
        <v/>
      </c>
      <c r="M1981" t="str">
        <f>IFERROR(MATCH($C$5&amp;"|"&amp;RIGHT("000000"&amp;1965,6),LdgRankKeyB,0),"")</f>
        <v/>
      </c>
    </row>
    <row r="1982" spans="1:13" x14ac:dyDescent="0.2">
      <c r="A1982" s="9">
        <v>1966</v>
      </c>
      <c r="B1982" s="10" t="str">
        <f t="shared" si="240"/>
        <v/>
      </c>
      <c r="C1982" s="10" t="str">
        <f t="shared" si="241"/>
        <v/>
      </c>
      <c r="D1982" s="10" t="str">
        <f t="shared" si="242"/>
        <v/>
      </c>
      <c r="E1982" s="11" t="str">
        <f t="shared" si="243"/>
        <v/>
      </c>
      <c r="F1982" s="12" t="str">
        <f t="shared" si="244"/>
        <v/>
      </c>
      <c r="G1982" s="13" t="str">
        <f t="shared" si="245"/>
        <v/>
      </c>
      <c r="H1982" s="13" t="str">
        <f t="shared" si="246"/>
        <v/>
      </c>
      <c r="I1982" s="14" t="str">
        <f t="shared" si="247"/>
        <v/>
      </c>
      <c r="L1982" t="str">
        <f>IFERROR(MATCH($C$5&amp;"|"&amp;RIGHT("000000"&amp;1966,6),LdgRankKeyA,0),"")</f>
        <v/>
      </c>
      <c r="M1982" t="str">
        <f>IFERROR(MATCH($C$5&amp;"|"&amp;RIGHT("000000"&amp;1966,6),LdgRankKeyB,0),"")</f>
        <v/>
      </c>
    </row>
    <row r="1983" spans="1:13" x14ac:dyDescent="0.2">
      <c r="A1983" s="3">
        <v>1967</v>
      </c>
      <c r="B1983" s="4" t="str">
        <f t="shared" si="240"/>
        <v/>
      </c>
      <c r="C1983" s="4" t="str">
        <f t="shared" si="241"/>
        <v/>
      </c>
      <c r="D1983" s="4" t="str">
        <f t="shared" si="242"/>
        <v/>
      </c>
      <c r="E1983" s="5" t="str">
        <f t="shared" si="243"/>
        <v/>
      </c>
      <c r="F1983" s="6" t="str">
        <f t="shared" si="244"/>
        <v/>
      </c>
      <c r="G1983" s="7" t="str">
        <f t="shared" si="245"/>
        <v/>
      </c>
      <c r="H1983" s="7" t="str">
        <f t="shared" si="246"/>
        <v/>
      </c>
      <c r="I1983" s="8" t="str">
        <f t="shared" si="247"/>
        <v/>
      </c>
      <c r="L1983" t="str">
        <f>IFERROR(MATCH($C$5&amp;"|"&amp;RIGHT("000000"&amp;1967,6),LdgRankKeyA,0),"")</f>
        <v/>
      </c>
      <c r="M1983" t="str">
        <f>IFERROR(MATCH($C$5&amp;"|"&amp;RIGHT("000000"&amp;1967,6),LdgRankKeyB,0),"")</f>
        <v/>
      </c>
    </row>
    <row r="1984" spans="1:13" x14ac:dyDescent="0.2">
      <c r="A1984" s="9">
        <v>1968</v>
      </c>
      <c r="B1984" s="10" t="str">
        <f t="shared" si="240"/>
        <v/>
      </c>
      <c r="C1984" s="10" t="str">
        <f t="shared" si="241"/>
        <v/>
      </c>
      <c r="D1984" s="10" t="str">
        <f t="shared" si="242"/>
        <v/>
      </c>
      <c r="E1984" s="11" t="str">
        <f t="shared" si="243"/>
        <v/>
      </c>
      <c r="F1984" s="12" t="str">
        <f t="shared" si="244"/>
        <v/>
      </c>
      <c r="G1984" s="13" t="str">
        <f t="shared" si="245"/>
        <v/>
      </c>
      <c r="H1984" s="13" t="str">
        <f t="shared" si="246"/>
        <v/>
      </c>
      <c r="I1984" s="14" t="str">
        <f t="shared" si="247"/>
        <v/>
      </c>
      <c r="L1984" t="str">
        <f>IFERROR(MATCH($C$5&amp;"|"&amp;RIGHT("000000"&amp;1968,6),LdgRankKeyA,0),"")</f>
        <v/>
      </c>
      <c r="M1984" t="str">
        <f>IFERROR(MATCH($C$5&amp;"|"&amp;RIGHT("000000"&amp;1968,6),LdgRankKeyB,0),"")</f>
        <v/>
      </c>
    </row>
    <row r="1985" spans="1:13" x14ac:dyDescent="0.2">
      <c r="A1985" s="3">
        <v>1969</v>
      </c>
      <c r="B1985" s="4" t="str">
        <f t="shared" si="240"/>
        <v/>
      </c>
      <c r="C1985" s="4" t="str">
        <f t="shared" si="241"/>
        <v/>
      </c>
      <c r="D1985" s="4" t="str">
        <f t="shared" si="242"/>
        <v/>
      </c>
      <c r="E1985" s="5" t="str">
        <f t="shared" si="243"/>
        <v/>
      </c>
      <c r="F1985" s="6" t="str">
        <f t="shared" si="244"/>
        <v/>
      </c>
      <c r="G1985" s="7" t="str">
        <f t="shared" si="245"/>
        <v/>
      </c>
      <c r="H1985" s="7" t="str">
        <f t="shared" si="246"/>
        <v/>
      </c>
      <c r="I1985" s="8" t="str">
        <f t="shared" si="247"/>
        <v/>
      </c>
      <c r="L1985" t="str">
        <f>IFERROR(MATCH($C$5&amp;"|"&amp;RIGHT("000000"&amp;1969,6),LdgRankKeyA,0),"")</f>
        <v/>
      </c>
      <c r="M1985" t="str">
        <f>IFERROR(MATCH($C$5&amp;"|"&amp;RIGHT("000000"&amp;1969,6),LdgRankKeyB,0),"")</f>
        <v/>
      </c>
    </row>
    <row r="1986" spans="1:13" x14ac:dyDescent="0.2">
      <c r="A1986" s="9">
        <v>1970</v>
      </c>
      <c r="B1986" s="10" t="str">
        <f t="shared" si="240"/>
        <v/>
      </c>
      <c r="C1986" s="10" t="str">
        <f t="shared" si="241"/>
        <v/>
      </c>
      <c r="D1986" s="10" t="str">
        <f t="shared" si="242"/>
        <v/>
      </c>
      <c r="E1986" s="11" t="str">
        <f t="shared" si="243"/>
        <v/>
      </c>
      <c r="F1986" s="12" t="str">
        <f t="shared" si="244"/>
        <v/>
      </c>
      <c r="G1986" s="13" t="str">
        <f t="shared" si="245"/>
        <v/>
      </c>
      <c r="H1986" s="13" t="str">
        <f t="shared" si="246"/>
        <v/>
      </c>
      <c r="I1986" s="14" t="str">
        <f t="shared" si="247"/>
        <v/>
      </c>
      <c r="L1986" t="str">
        <f>IFERROR(MATCH($C$5&amp;"|"&amp;RIGHT("000000"&amp;1970,6),LdgRankKeyA,0),"")</f>
        <v/>
      </c>
      <c r="M1986" t="str">
        <f>IFERROR(MATCH($C$5&amp;"|"&amp;RIGHT("000000"&amp;1970,6),LdgRankKeyB,0),"")</f>
        <v/>
      </c>
    </row>
    <row r="1987" spans="1:13" x14ac:dyDescent="0.2">
      <c r="A1987" s="3">
        <v>1971</v>
      </c>
      <c r="B1987" s="4" t="str">
        <f t="shared" si="240"/>
        <v/>
      </c>
      <c r="C1987" s="4" t="str">
        <f t="shared" si="241"/>
        <v/>
      </c>
      <c r="D1987" s="4" t="str">
        <f t="shared" si="242"/>
        <v/>
      </c>
      <c r="E1987" s="5" t="str">
        <f t="shared" si="243"/>
        <v/>
      </c>
      <c r="F1987" s="6" t="str">
        <f t="shared" si="244"/>
        <v/>
      </c>
      <c r="G1987" s="7" t="str">
        <f t="shared" si="245"/>
        <v/>
      </c>
      <c r="H1987" s="7" t="str">
        <f t="shared" si="246"/>
        <v/>
      </c>
      <c r="I1987" s="8" t="str">
        <f t="shared" si="247"/>
        <v/>
      </c>
      <c r="L1987" t="str">
        <f>IFERROR(MATCH($C$5&amp;"|"&amp;RIGHT("000000"&amp;1971,6),LdgRankKeyA,0),"")</f>
        <v/>
      </c>
      <c r="M1987" t="str">
        <f>IFERROR(MATCH($C$5&amp;"|"&amp;RIGHT("000000"&amp;1971,6),LdgRankKeyB,0),"")</f>
        <v/>
      </c>
    </row>
    <row r="1988" spans="1:13" x14ac:dyDescent="0.2">
      <c r="A1988" s="9">
        <v>1972</v>
      </c>
      <c r="B1988" s="10" t="str">
        <f t="shared" si="240"/>
        <v/>
      </c>
      <c r="C1988" s="10" t="str">
        <f t="shared" si="241"/>
        <v/>
      </c>
      <c r="D1988" s="10" t="str">
        <f t="shared" si="242"/>
        <v/>
      </c>
      <c r="E1988" s="11" t="str">
        <f t="shared" si="243"/>
        <v/>
      </c>
      <c r="F1988" s="12" t="str">
        <f t="shared" si="244"/>
        <v/>
      </c>
      <c r="G1988" s="13" t="str">
        <f t="shared" si="245"/>
        <v/>
      </c>
      <c r="H1988" s="13" t="str">
        <f t="shared" si="246"/>
        <v/>
      </c>
      <c r="I1988" s="14" t="str">
        <f t="shared" si="247"/>
        <v/>
      </c>
      <c r="L1988" t="str">
        <f>IFERROR(MATCH($C$5&amp;"|"&amp;RIGHT("000000"&amp;1972,6),LdgRankKeyA,0),"")</f>
        <v/>
      </c>
      <c r="M1988" t="str">
        <f>IFERROR(MATCH($C$5&amp;"|"&amp;RIGHT("000000"&amp;1972,6),LdgRankKeyB,0),"")</f>
        <v/>
      </c>
    </row>
    <row r="1989" spans="1:13" x14ac:dyDescent="0.2">
      <c r="A1989" s="3">
        <v>1973</v>
      </c>
      <c r="B1989" s="4" t="str">
        <f t="shared" si="240"/>
        <v/>
      </c>
      <c r="C1989" s="4" t="str">
        <f t="shared" si="241"/>
        <v/>
      </c>
      <c r="D1989" s="4" t="str">
        <f t="shared" si="242"/>
        <v/>
      </c>
      <c r="E1989" s="5" t="str">
        <f t="shared" si="243"/>
        <v/>
      </c>
      <c r="F1989" s="6" t="str">
        <f t="shared" si="244"/>
        <v/>
      </c>
      <c r="G1989" s="7" t="str">
        <f t="shared" si="245"/>
        <v/>
      </c>
      <c r="H1989" s="7" t="str">
        <f t="shared" si="246"/>
        <v/>
      </c>
      <c r="I1989" s="8" t="str">
        <f t="shared" si="247"/>
        <v/>
      </c>
      <c r="L1989" t="str">
        <f>IFERROR(MATCH($C$5&amp;"|"&amp;RIGHT("000000"&amp;1973,6),LdgRankKeyA,0),"")</f>
        <v/>
      </c>
      <c r="M1989" t="str">
        <f>IFERROR(MATCH($C$5&amp;"|"&amp;RIGHT("000000"&amp;1973,6),LdgRankKeyB,0),"")</f>
        <v/>
      </c>
    </row>
    <row r="1990" spans="1:13" x14ac:dyDescent="0.2">
      <c r="A1990" s="9">
        <v>1974</v>
      </c>
      <c r="B1990" s="10" t="str">
        <f t="shared" si="240"/>
        <v/>
      </c>
      <c r="C1990" s="10" t="str">
        <f t="shared" si="241"/>
        <v/>
      </c>
      <c r="D1990" s="10" t="str">
        <f t="shared" si="242"/>
        <v/>
      </c>
      <c r="E1990" s="11" t="str">
        <f t="shared" si="243"/>
        <v/>
      </c>
      <c r="F1990" s="12" t="str">
        <f t="shared" si="244"/>
        <v/>
      </c>
      <c r="G1990" s="13" t="str">
        <f t="shared" si="245"/>
        <v/>
      </c>
      <c r="H1990" s="13" t="str">
        <f t="shared" si="246"/>
        <v/>
      </c>
      <c r="I1990" s="14" t="str">
        <f t="shared" si="247"/>
        <v/>
      </c>
      <c r="L1990" t="str">
        <f>IFERROR(MATCH($C$5&amp;"|"&amp;RIGHT("000000"&amp;1974,6),LdgRankKeyA,0),"")</f>
        <v/>
      </c>
      <c r="M1990" t="str">
        <f>IFERROR(MATCH($C$5&amp;"|"&amp;RIGHT("000000"&amp;1974,6),LdgRankKeyB,0),"")</f>
        <v/>
      </c>
    </row>
    <row r="1991" spans="1:13" x14ac:dyDescent="0.2">
      <c r="A1991" s="3">
        <v>1975</v>
      </c>
      <c r="B1991" s="4" t="str">
        <f t="shared" si="240"/>
        <v/>
      </c>
      <c r="C1991" s="4" t="str">
        <f t="shared" si="241"/>
        <v/>
      </c>
      <c r="D1991" s="4" t="str">
        <f t="shared" si="242"/>
        <v/>
      </c>
      <c r="E1991" s="5" t="str">
        <f t="shared" si="243"/>
        <v/>
      </c>
      <c r="F1991" s="6" t="str">
        <f t="shared" si="244"/>
        <v/>
      </c>
      <c r="G1991" s="7" t="str">
        <f t="shared" si="245"/>
        <v/>
      </c>
      <c r="H1991" s="7" t="str">
        <f t="shared" si="246"/>
        <v/>
      </c>
      <c r="I1991" s="8" t="str">
        <f t="shared" si="247"/>
        <v/>
      </c>
      <c r="L1991" t="str">
        <f>IFERROR(MATCH($C$5&amp;"|"&amp;RIGHT("000000"&amp;1975,6),LdgRankKeyA,0),"")</f>
        <v/>
      </c>
      <c r="M1991" t="str">
        <f>IFERROR(MATCH($C$5&amp;"|"&amp;RIGHT("000000"&amp;1975,6),LdgRankKeyB,0),"")</f>
        <v/>
      </c>
    </row>
    <row r="1992" spans="1:13" x14ac:dyDescent="0.2">
      <c r="A1992" s="9">
        <v>1976</v>
      </c>
      <c r="B1992" s="10" t="str">
        <f t="shared" si="240"/>
        <v/>
      </c>
      <c r="C1992" s="10" t="str">
        <f t="shared" si="241"/>
        <v/>
      </c>
      <c r="D1992" s="10" t="str">
        <f t="shared" si="242"/>
        <v/>
      </c>
      <c r="E1992" s="11" t="str">
        <f t="shared" si="243"/>
        <v/>
      </c>
      <c r="F1992" s="12" t="str">
        <f t="shared" si="244"/>
        <v/>
      </c>
      <c r="G1992" s="13" t="str">
        <f t="shared" si="245"/>
        <v/>
      </c>
      <c r="H1992" s="13" t="str">
        <f t="shared" si="246"/>
        <v/>
      </c>
      <c r="I1992" s="14" t="str">
        <f t="shared" si="247"/>
        <v/>
      </c>
      <c r="L1992" t="str">
        <f>IFERROR(MATCH($C$5&amp;"|"&amp;RIGHT("000000"&amp;1976,6),LdgRankKeyA,0),"")</f>
        <v/>
      </c>
      <c r="M1992" t="str">
        <f>IFERROR(MATCH($C$5&amp;"|"&amp;RIGHT("000000"&amp;1976,6),LdgRankKeyB,0),"")</f>
        <v/>
      </c>
    </row>
    <row r="1993" spans="1:13" x14ac:dyDescent="0.2">
      <c r="A1993" s="3">
        <v>1977</v>
      </c>
      <c r="B1993" s="4" t="str">
        <f t="shared" si="240"/>
        <v/>
      </c>
      <c r="C1993" s="4" t="str">
        <f t="shared" si="241"/>
        <v/>
      </c>
      <c r="D1993" s="4" t="str">
        <f t="shared" si="242"/>
        <v/>
      </c>
      <c r="E1993" s="5" t="str">
        <f t="shared" si="243"/>
        <v/>
      </c>
      <c r="F1993" s="6" t="str">
        <f t="shared" si="244"/>
        <v/>
      </c>
      <c r="G1993" s="7" t="str">
        <f t="shared" si="245"/>
        <v/>
      </c>
      <c r="H1993" s="7" t="str">
        <f t="shared" si="246"/>
        <v/>
      </c>
      <c r="I1993" s="8" t="str">
        <f t="shared" si="247"/>
        <v/>
      </c>
      <c r="L1993" t="str">
        <f>IFERROR(MATCH($C$5&amp;"|"&amp;RIGHT("000000"&amp;1977,6),LdgRankKeyA,0),"")</f>
        <v/>
      </c>
      <c r="M1993" t="str">
        <f>IFERROR(MATCH($C$5&amp;"|"&amp;RIGHT("000000"&amp;1977,6),LdgRankKeyB,0),"")</f>
        <v/>
      </c>
    </row>
    <row r="1994" spans="1:13" x14ac:dyDescent="0.2">
      <c r="A1994" s="9">
        <v>1978</v>
      </c>
      <c r="B1994" s="10" t="str">
        <f t="shared" si="240"/>
        <v/>
      </c>
      <c r="C1994" s="10" t="str">
        <f t="shared" si="241"/>
        <v/>
      </c>
      <c r="D1994" s="10" t="str">
        <f t="shared" si="242"/>
        <v/>
      </c>
      <c r="E1994" s="11" t="str">
        <f t="shared" si="243"/>
        <v/>
      </c>
      <c r="F1994" s="12" t="str">
        <f t="shared" si="244"/>
        <v/>
      </c>
      <c r="G1994" s="13" t="str">
        <f t="shared" si="245"/>
        <v/>
      </c>
      <c r="H1994" s="13" t="str">
        <f t="shared" si="246"/>
        <v/>
      </c>
      <c r="I1994" s="14" t="str">
        <f t="shared" si="247"/>
        <v/>
      </c>
      <c r="L1994" t="str">
        <f>IFERROR(MATCH($C$5&amp;"|"&amp;RIGHT("000000"&amp;1978,6),LdgRankKeyA,0),"")</f>
        <v/>
      </c>
      <c r="M1994" t="str">
        <f>IFERROR(MATCH($C$5&amp;"|"&amp;RIGHT("000000"&amp;1978,6),LdgRankKeyB,0),"")</f>
        <v/>
      </c>
    </row>
    <row r="1995" spans="1:13" x14ac:dyDescent="0.2">
      <c r="A1995" s="3">
        <v>1979</v>
      </c>
      <c r="B1995" s="4" t="str">
        <f t="shared" si="240"/>
        <v/>
      </c>
      <c r="C1995" s="4" t="str">
        <f t="shared" si="241"/>
        <v/>
      </c>
      <c r="D1995" s="4" t="str">
        <f t="shared" si="242"/>
        <v/>
      </c>
      <c r="E1995" s="5" t="str">
        <f t="shared" si="243"/>
        <v/>
      </c>
      <c r="F1995" s="6" t="str">
        <f t="shared" si="244"/>
        <v/>
      </c>
      <c r="G1995" s="7" t="str">
        <f t="shared" si="245"/>
        <v/>
      </c>
      <c r="H1995" s="7" t="str">
        <f t="shared" si="246"/>
        <v/>
      </c>
      <c r="I1995" s="8" t="str">
        <f t="shared" si="247"/>
        <v/>
      </c>
      <c r="L1995" t="str">
        <f>IFERROR(MATCH($C$5&amp;"|"&amp;RIGHT("000000"&amp;1979,6),LdgRankKeyA,0),"")</f>
        <v/>
      </c>
      <c r="M1995" t="str">
        <f>IFERROR(MATCH($C$5&amp;"|"&amp;RIGHT("000000"&amp;1979,6),LdgRankKeyB,0),"")</f>
        <v/>
      </c>
    </row>
    <row r="1996" spans="1:13" x14ac:dyDescent="0.2">
      <c r="A1996" s="9">
        <v>1980</v>
      </c>
      <c r="B1996" s="10" t="str">
        <f t="shared" si="240"/>
        <v/>
      </c>
      <c r="C1996" s="10" t="str">
        <f t="shared" si="241"/>
        <v/>
      </c>
      <c r="D1996" s="10" t="str">
        <f t="shared" si="242"/>
        <v/>
      </c>
      <c r="E1996" s="11" t="str">
        <f t="shared" si="243"/>
        <v/>
      </c>
      <c r="F1996" s="12" t="str">
        <f t="shared" si="244"/>
        <v/>
      </c>
      <c r="G1996" s="13" t="str">
        <f t="shared" si="245"/>
        <v/>
      </c>
      <c r="H1996" s="13" t="str">
        <f t="shared" si="246"/>
        <v/>
      </c>
      <c r="I1996" s="14" t="str">
        <f t="shared" si="247"/>
        <v/>
      </c>
      <c r="L1996" t="str">
        <f>IFERROR(MATCH($C$5&amp;"|"&amp;RIGHT("000000"&amp;1980,6),LdgRankKeyA,0),"")</f>
        <v/>
      </c>
      <c r="M1996" t="str">
        <f>IFERROR(MATCH($C$5&amp;"|"&amp;RIGHT("000000"&amp;1980,6),LdgRankKeyB,0),"")</f>
        <v/>
      </c>
    </row>
    <row r="1997" spans="1:13" x14ac:dyDescent="0.2">
      <c r="A1997" s="3">
        <v>1981</v>
      </c>
      <c r="B1997" s="4" t="str">
        <f t="shared" si="240"/>
        <v/>
      </c>
      <c r="C1997" s="4" t="str">
        <f t="shared" si="241"/>
        <v/>
      </c>
      <c r="D1997" s="4" t="str">
        <f t="shared" si="242"/>
        <v/>
      </c>
      <c r="E1997" s="5" t="str">
        <f t="shared" si="243"/>
        <v/>
      </c>
      <c r="F1997" s="6" t="str">
        <f t="shared" si="244"/>
        <v/>
      </c>
      <c r="G1997" s="7" t="str">
        <f t="shared" si="245"/>
        <v/>
      </c>
      <c r="H1997" s="7" t="str">
        <f t="shared" si="246"/>
        <v/>
      </c>
      <c r="I1997" s="8" t="str">
        <f t="shared" si="247"/>
        <v/>
      </c>
      <c r="L1997" t="str">
        <f>IFERROR(MATCH($C$5&amp;"|"&amp;RIGHT("000000"&amp;1981,6),LdgRankKeyA,0),"")</f>
        <v/>
      </c>
      <c r="M1997" t="str">
        <f>IFERROR(MATCH($C$5&amp;"|"&amp;RIGHT("000000"&amp;1981,6),LdgRankKeyB,0),"")</f>
        <v/>
      </c>
    </row>
    <row r="1998" spans="1:13" x14ac:dyDescent="0.2">
      <c r="A1998" s="9">
        <v>1982</v>
      </c>
      <c r="B1998" s="10" t="str">
        <f t="shared" si="240"/>
        <v/>
      </c>
      <c r="C1998" s="10" t="str">
        <f t="shared" si="241"/>
        <v/>
      </c>
      <c r="D1998" s="10" t="str">
        <f t="shared" si="242"/>
        <v/>
      </c>
      <c r="E1998" s="11" t="str">
        <f t="shared" si="243"/>
        <v/>
      </c>
      <c r="F1998" s="12" t="str">
        <f t="shared" si="244"/>
        <v/>
      </c>
      <c r="G1998" s="13" t="str">
        <f t="shared" si="245"/>
        <v/>
      </c>
      <c r="H1998" s="13" t="str">
        <f t="shared" si="246"/>
        <v/>
      </c>
      <c r="I1998" s="14" t="str">
        <f t="shared" si="247"/>
        <v/>
      </c>
      <c r="L1998" t="str">
        <f>IFERROR(MATCH($C$5&amp;"|"&amp;RIGHT("000000"&amp;1982,6),LdgRankKeyA,0),"")</f>
        <v/>
      </c>
      <c r="M1998" t="str">
        <f>IFERROR(MATCH($C$5&amp;"|"&amp;RIGHT("000000"&amp;1982,6),LdgRankKeyB,0),"")</f>
        <v/>
      </c>
    </row>
    <row r="1999" spans="1:13" x14ac:dyDescent="0.2">
      <c r="A1999" s="3">
        <v>1983</v>
      </c>
      <c r="B1999" s="4" t="str">
        <f t="shared" si="240"/>
        <v/>
      </c>
      <c r="C1999" s="4" t="str">
        <f t="shared" si="241"/>
        <v/>
      </c>
      <c r="D1999" s="4" t="str">
        <f t="shared" si="242"/>
        <v/>
      </c>
      <c r="E1999" s="5" t="str">
        <f t="shared" si="243"/>
        <v/>
      </c>
      <c r="F1999" s="6" t="str">
        <f t="shared" si="244"/>
        <v/>
      </c>
      <c r="G1999" s="7" t="str">
        <f t="shared" si="245"/>
        <v/>
      </c>
      <c r="H1999" s="7" t="str">
        <f t="shared" si="246"/>
        <v/>
      </c>
      <c r="I1999" s="8" t="str">
        <f t="shared" si="247"/>
        <v/>
      </c>
      <c r="L1999" t="str">
        <f>IFERROR(MATCH($C$5&amp;"|"&amp;RIGHT("000000"&amp;1983,6),LdgRankKeyA,0),"")</f>
        <v/>
      </c>
      <c r="M1999" t="str">
        <f>IFERROR(MATCH($C$5&amp;"|"&amp;RIGHT("000000"&amp;1983,6),LdgRankKeyB,0),"")</f>
        <v/>
      </c>
    </row>
    <row r="2000" spans="1:13" x14ac:dyDescent="0.2">
      <c r="A2000" s="9">
        <v>1984</v>
      </c>
      <c r="B2000" s="10" t="str">
        <f t="shared" si="240"/>
        <v/>
      </c>
      <c r="C2000" s="10" t="str">
        <f t="shared" si="241"/>
        <v/>
      </c>
      <c r="D2000" s="10" t="str">
        <f t="shared" si="242"/>
        <v/>
      </c>
      <c r="E2000" s="11" t="str">
        <f t="shared" si="243"/>
        <v/>
      </c>
      <c r="F2000" s="12" t="str">
        <f t="shared" si="244"/>
        <v/>
      </c>
      <c r="G2000" s="13" t="str">
        <f t="shared" si="245"/>
        <v/>
      </c>
      <c r="H2000" s="13" t="str">
        <f t="shared" si="246"/>
        <v/>
      </c>
      <c r="I2000" s="14" t="str">
        <f t="shared" si="247"/>
        <v/>
      </c>
      <c r="L2000" t="str">
        <f>IFERROR(MATCH($C$5&amp;"|"&amp;RIGHT("000000"&amp;1984,6),LdgRankKeyA,0),"")</f>
        <v/>
      </c>
      <c r="M2000" t="str">
        <f>IFERROR(MATCH($C$5&amp;"|"&amp;RIGHT("000000"&amp;1984,6),LdgRankKeyB,0),"")</f>
        <v/>
      </c>
    </row>
    <row r="2001" spans="1:13" x14ac:dyDescent="0.2">
      <c r="A2001" s="3">
        <v>1985</v>
      </c>
      <c r="B2001" s="4" t="str">
        <f t="shared" ref="B2001:B2016" si="248">IF(AND($L2001="",$M2001=""),"",IF($L2001&lt;&gt;"",INDEX(SCNormDate,$L2001),INDEX(LdgDateB,$M2001)))</f>
        <v/>
      </c>
      <c r="C2001" s="4" t="str">
        <f t="shared" ref="C2001:C2016" si="249">IF($L2001&lt;&gt;"",INDEX(SCOp,$L2001),IF($M2001&lt;&gt;"","پرداخت بانکی",""))</f>
        <v/>
      </c>
      <c r="D2001" s="4" t="str">
        <f t="shared" ref="D2001:D2016" si="250">IF($L2001&lt;&gt;"",IF(INDEX(SCDoc,$L2001)="","—",INDEX(SCDoc,$L2001)),IF($M2001&lt;&gt;"",INDEX(LdgBankB,$M2001),""))</f>
        <v/>
      </c>
      <c r="E2001" s="5" t="str">
        <f t="shared" ref="E2001:E2016" si="251">IF($L2001&lt;&gt;"",IF(INDEX(SCCitrus,$L2001)&amp;INDEX(SCNotes,$L2001)="","",IF(INDEX(SCCitrus,$L2001)="","",INDEX(SCCitrus,$L2001))&amp;IF(INDEX(SCNotes,$L2001)="",""," — "&amp;INDEX(SCNotes,$L2001))),IF($M2001&lt;&gt;"",IF(INDEX(LdgNoteB,$M2001)="","—",INDEX(LdgNoteB,$M2001)),""))</f>
        <v/>
      </c>
      <c r="F2001" s="6" t="str">
        <f t="shared" ref="F2001:F2016" si="252">IF($L2001&lt;&gt;"",IF(INDEX(SCNet,$L2001)=0,"",INDEX(SCNet,$L2001)),"")</f>
        <v/>
      </c>
      <c r="G2001" s="7" t="str">
        <f t="shared" ref="G2001:G2016" si="253">IF($L2001&lt;&gt;"",IF(INDEX(SCOp,$L2001)="مرجوعی فروش","",IF(INDEX(SCAmount,$L2001)&lt;=0,"",INDEX(SCAmount,$L2001))),IF($M2001&lt;&gt;"",IF(INDEX(LdgWitB,$M2001)=0,"",INDEX(LdgWitB,$M2001)),""))</f>
        <v/>
      </c>
      <c r="H2001" s="7" t="str">
        <f t="shared" ref="H2001:H2016" si="254">IF($L2001&lt;&gt;"",IF(INDEX(SCOp,$L2001)="مرجوعی فروش",IF(INDEX(SCAmount,$L2001)=0,"",-INDEX(SCAmount,$L2001)),""),IF($M2001&lt;&gt;"",IF(INDEX(LdgDepB,$M2001)=0,"",INDEX(LdgDepB,$M2001)),""))</f>
        <v/>
      </c>
      <c r="I2001" s="8" t="str">
        <f t="shared" si="247"/>
        <v/>
      </c>
      <c r="L2001" t="str">
        <f>IFERROR(MATCH($C$5&amp;"|"&amp;RIGHT("000000"&amp;1985,6),LdgRankKeyA,0),"")</f>
        <v/>
      </c>
      <c r="M2001" t="str">
        <f>IFERROR(MATCH($C$5&amp;"|"&amp;RIGHT("000000"&amp;1985,6),LdgRankKeyB,0),"")</f>
        <v/>
      </c>
    </row>
    <row r="2002" spans="1:13" x14ac:dyDescent="0.2">
      <c r="A2002" s="9">
        <v>1986</v>
      </c>
      <c r="B2002" s="10" t="str">
        <f t="shared" si="248"/>
        <v/>
      </c>
      <c r="C2002" s="10" t="str">
        <f t="shared" si="249"/>
        <v/>
      </c>
      <c r="D2002" s="10" t="str">
        <f t="shared" si="250"/>
        <v/>
      </c>
      <c r="E2002" s="11" t="str">
        <f t="shared" si="251"/>
        <v/>
      </c>
      <c r="F2002" s="12" t="str">
        <f t="shared" si="252"/>
        <v/>
      </c>
      <c r="G2002" s="13" t="str">
        <f t="shared" si="253"/>
        <v/>
      </c>
      <c r="H2002" s="13" t="str">
        <f t="shared" si="254"/>
        <v/>
      </c>
      <c r="I2002" s="14" t="str">
        <f t="shared" ref="I2002:I2016" si="255">IF($B2002="","",IF($I2001="",$C$10,$I2001)+IF($G2002="",0,$G2002)-IF($H2002="",0,$H2002))</f>
        <v/>
      </c>
      <c r="L2002" t="str">
        <f>IFERROR(MATCH($C$5&amp;"|"&amp;RIGHT("000000"&amp;1986,6),LdgRankKeyA,0),"")</f>
        <v/>
      </c>
      <c r="M2002" t="str">
        <f>IFERROR(MATCH($C$5&amp;"|"&amp;RIGHT("000000"&amp;1986,6),LdgRankKeyB,0),"")</f>
        <v/>
      </c>
    </row>
    <row r="2003" spans="1:13" x14ac:dyDescent="0.2">
      <c r="A2003" s="3">
        <v>1987</v>
      </c>
      <c r="B2003" s="4" t="str">
        <f t="shared" si="248"/>
        <v/>
      </c>
      <c r="C2003" s="4" t="str">
        <f t="shared" si="249"/>
        <v/>
      </c>
      <c r="D2003" s="4" t="str">
        <f t="shared" si="250"/>
        <v/>
      </c>
      <c r="E2003" s="5" t="str">
        <f t="shared" si="251"/>
        <v/>
      </c>
      <c r="F2003" s="6" t="str">
        <f t="shared" si="252"/>
        <v/>
      </c>
      <c r="G2003" s="7" t="str">
        <f t="shared" si="253"/>
        <v/>
      </c>
      <c r="H2003" s="7" t="str">
        <f t="shared" si="254"/>
        <v/>
      </c>
      <c r="I2003" s="8" t="str">
        <f t="shared" si="255"/>
        <v/>
      </c>
      <c r="L2003" t="str">
        <f>IFERROR(MATCH($C$5&amp;"|"&amp;RIGHT("000000"&amp;1987,6),LdgRankKeyA,0),"")</f>
        <v/>
      </c>
      <c r="M2003" t="str">
        <f>IFERROR(MATCH($C$5&amp;"|"&amp;RIGHT("000000"&amp;1987,6),LdgRankKeyB,0),"")</f>
        <v/>
      </c>
    </row>
    <row r="2004" spans="1:13" x14ac:dyDescent="0.2">
      <c r="A2004" s="9">
        <v>1988</v>
      </c>
      <c r="B2004" s="10" t="str">
        <f t="shared" si="248"/>
        <v/>
      </c>
      <c r="C2004" s="10" t="str">
        <f t="shared" si="249"/>
        <v/>
      </c>
      <c r="D2004" s="10" t="str">
        <f t="shared" si="250"/>
        <v/>
      </c>
      <c r="E2004" s="11" t="str">
        <f t="shared" si="251"/>
        <v/>
      </c>
      <c r="F2004" s="12" t="str">
        <f t="shared" si="252"/>
        <v/>
      </c>
      <c r="G2004" s="13" t="str">
        <f t="shared" si="253"/>
        <v/>
      </c>
      <c r="H2004" s="13" t="str">
        <f t="shared" si="254"/>
        <v/>
      </c>
      <c r="I2004" s="14" t="str">
        <f t="shared" si="255"/>
        <v/>
      </c>
      <c r="L2004" t="str">
        <f>IFERROR(MATCH($C$5&amp;"|"&amp;RIGHT("000000"&amp;1988,6),LdgRankKeyA,0),"")</f>
        <v/>
      </c>
      <c r="M2004" t="str">
        <f>IFERROR(MATCH($C$5&amp;"|"&amp;RIGHT("000000"&amp;1988,6),LdgRankKeyB,0),"")</f>
        <v/>
      </c>
    </row>
    <row r="2005" spans="1:13" x14ac:dyDescent="0.2">
      <c r="A2005" s="3">
        <v>1989</v>
      </c>
      <c r="B2005" s="4" t="str">
        <f t="shared" si="248"/>
        <v/>
      </c>
      <c r="C2005" s="4" t="str">
        <f t="shared" si="249"/>
        <v/>
      </c>
      <c r="D2005" s="4" t="str">
        <f t="shared" si="250"/>
        <v/>
      </c>
      <c r="E2005" s="5" t="str">
        <f t="shared" si="251"/>
        <v/>
      </c>
      <c r="F2005" s="6" t="str">
        <f t="shared" si="252"/>
        <v/>
      </c>
      <c r="G2005" s="7" t="str">
        <f t="shared" si="253"/>
        <v/>
      </c>
      <c r="H2005" s="7" t="str">
        <f t="shared" si="254"/>
        <v/>
      </c>
      <c r="I2005" s="8" t="str">
        <f t="shared" si="255"/>
        <v/>
      </c>
      <c r="L2005" t="str">
        <f>IFERROR(MATCH($C$5&amp;"|"&amp;RIGHT("000000"&amp;1989,6),LdgRankKeyA,0),"")</f>
        <v/>
      </c>
      <c r="M2005" t="str">
        <f>IFERROR(MATCH($C$5&amp;"|"&amp;RIGHT("000000"&amp;1989,6),LdgRankKeyB,0),"")</f>
        <v/>
      </c>
    </row>
    <row r="2006" spans="1:13" x14ac:dyDescent="0.2">
      <c r="A2006" s="9">
        <v>1990</v>
      </c>
      <c r="B2006" s="10" t="str">
        <f t="shared" si="248"/>
        <v/>
      </c>
      <c r="C2006" s="10" t="str">
        <f t="shared" si="249"/>
        <v/>
      </c>
      <c r="D2006" s="10" t="str">
        <f t="shared" si="250"/>
        <v/>
      </c>
      <c r="E2006" s="11" t="str">
        <f t="shared" si="251"/>
        <v/>
      </c>
      <c r="F2006" s="12" t="str">
        <f t="shared" si="252"/>
        <v/>
      </c>
      <c r="G2006" s="13" t="str">
        <f t="shared" si="253"/>
        <v/>
      </c>
      <c r="H2006" s="13" t="str">
        <f t="shared" si="254"/>
        <v/>
      </c>
      <c r="I2006" s="14" t="str">
        <f t="shared" si="255"/>
        <v/>
      </c>
      <c r="L2006" t="str">
        <f>IFERROR(MATCH($C$5&amp;"|"&amp;RIGHT("000000"&amp;1990,6),LdgRankKeyA,0),"")</f>
        <v/>
      </c>
      <c r="M2006" t="str">
        <f>IFERROR(MATCH($C$5&amp;"|"&amp;RIGHT("000000"&amp;1990,6),LdgRankKeyB,0),"")</f>
        <v/>
      </c>
    </row>
    <row r="2007" spans="1:13" x14ac:dyDescent="0.2">
      <c r="A2007" s="3">
        <v>1991</v>
      </c>
      <c r="B2007" s="4" t="str">
        <f t="shared" si="248"/>
        <v/>
      </c>
      <c r="C2007" s="4" t="str">
        <f t="shared" si="249"/>
        <v/>
      </c>
      <c r="D2007" s="4" t="str">
        <f t="shared" si="250"/>
        <v/>
      </c>
      <c r="E2007" s="5" t="str">
        <f t="shared" si="251"/>
        <v/>
      </c>
      <c r="F2007" s="6" t="str">
        <f t="shared" si="252"/>
        <v/>
      </c>
      <c r="G2007" s="7" t="str">
        <f t="shared" si="253"/>
        <v/>
      </c>
      <c r="H2007" s="7" t="str">
        <f t="shared" si="254"/>
        <v/>
      </c>
      <c r="I2007" s="8" t="str">
        <f t="shared" si="255"/>
        <v/>
      </c>
      <c r="L2007" t="str">
        <f>IFERROR(MATCH($C$5&amp;"|"&amp;RIGHT("000000"&amp;1991,6),LdgRankKeyA,0),"")</f>
        <v/>
      </c>
      <c r="M2007" t="str">
        <f>IFERROR(MATCH($C$5&amp;"|"&amp;RIGHT("000000"&amp;1991,6),LdgRankKeyB,0),"")</f>
        <v/>
      </c>
    </row>
    <row r="2008" spans="1:13" x14ac:dyDescent="0.2">
      <c r="A2008" s="9">
        <v>1992</v>
      </c>
      <c r="B2008" s="10" t="str">
        <f t="shared" si="248"/>
        <v/>
      </c>
      <c r="C2008" s="10" t="str">
        <f t="shared" si="249"/>
        <v/>
      </c>
      <c r="D2008" s="10" t="str">
        <f t="shared" si="250"/>
        <v/>
      </c>
      <c r="E2008" s="11" t="str">
        <f t="shared" si="251"/>
        <v/>
      </c>
      <c r="F2008" s="12" t="str">
        <f t="shared" si="252"/>
        <v/>
      </c>
      <c r="G2008" s="13" t="str">
        <f t="shared" si="253"/>
        <v/>
      </c>
      <c r="H2008" s="13" t="str">
        <f t="shared" si="254"/>
        <v/>
      </c>
      <c r="I2008" s="14" t="str">
        <f t="shared" si="255"/>
        <v/>
      </c>
      <c r="L2008" t="str">
        <f>IFERROR(MATCH($C$5&amp;"|"&amp;RIGHT("000000"&amp;1992,6),LdgRankKeyA,0),"")</f>
        <v/>
      </c>
      <c r="M2008" t="str">
        <f>IFERROR(MATCH($C$5&amp;"|"&amp;RIGHT("000000"&amp;1992,6),LdgRankKeyB,0),"")</f>
        <v/>
      </c>
    </row>
    <row r="2009" spans="1:13" x14ac:dyDescent="0.2">
      <c r="A2009" s="3">
        <v>1993</v>
      </c>
      <c r="B2009" s="4" t="str">
        <f t="shared" si="248"/>
        <v/>
      </c>
      <c r="C2009" s="4" t="str">
        <f t="shared" si="249"/>
        <v/>
      </c>
      <c r="D2009" s="4" t="str">
        <f t="shared" si="250"/>
        <v/>
      </c>
      <c r="E2009" s="5" t="str">
        <f t="shared" si="251"/>
        <v/>
      </c>
      <c r="F2009" s="6" t="str">
        <f t="shared" si="252"/>
        <v/>
      </c>
      <c r="G2009" s="7" t="str">
        <f t="shared" si="253"/>
        <v/>
      </c>
      <c r="H2009" s="7" t="str">
        <f t="shared" si="254"/>
        <v/>
      </c>
      <c r="I2009" s="8" t="str">
        <f t="shared" si="255"/>
        <v/>
      </c>
      <c r="L2009" t="str">
        <f>IFERROR(MATCH($C$5&amp;"|"&amp;RIGHT("000000"&amp;1993,6),LdgRankKeyA,0),"")</f>
        <v/>
      </c>
      <c r="M2009" t="str">
        <f>IFERROR(MATCH($C$5&amp;"|"&amp;RIGHT("000000"&amp;1993,6),LdgRankKeyB,0),"")</f>
        <v/>
      </c>
    </row>
    <row r="2010" spans="1:13" x14ac:dyDescent="0.2">
      <c r="A2010" s="9">
        <v>1994</v>
      </c>
      <c r="B2010" s="10" t="str">
        <f t="shared" si="248"/>
        <v/>
      </c>
      <c r="C2010" s="10" t="str">
        <f t="shared" si="249"/>
        <v/>
      </c>
      <c r="D2010" s="10" t="str">
        <f t="shared" si="250"/>
        <v/>
      </c>
      <c r="E2010" s="11" t="str">
        <f t="shared" si="251"/>
        <v/>
      </c>
      <c r="F2010" s="12" t="str">
        <f t="shared" si="252"/>
        <v/>
      </c>
      <c r="G2010" s="13" t="str">
        <f t="shared" si="253"/>
        <v/>
      </c>
      <c r="H2010" s="13" t="str">
        <f t="shared" si="254"/>
        <v/>
      </c>
      <c r="I2010" s="14" t="str">
        <f t="shared" si="255"/>
        <v/>
      </c>
      <c r="L2010" t="str">
        <f>IFERROR(MATCH($C$5&amp;"|"&amp;RIGHT("000000"&amp;1994,6),LdgRankKeyA,0),"")</f>
        <v/>
      </c>
      <c r="M2010" t="str">
        <f>IFERROR(MATCH($C$5&amp;"|"&amp;RIGHT("000000"&amp;1994,6),LdgRankKeyB,0),"")</f>
        <v/>
      </c>
    </row>
    <row r="2011" spans="1:13" x14ac:dyDescent="0.2">
      <c r="A2011" s="3">
        <v>1995</v>
      </c>
      <c r="B2011" s="4" t="str">
        <f t="shared" si="248"/>
        <v/>
      </c>
      <c r="C2011" s="4" t="str">
        <f t="shared" si="249"/>
        <v/>
      </c>
      <c r="D2011" s="4" t="str">
        <f t="shared" si="250"/>
        <v/>
      </c>
      <c r="E2011" s="5" t="str">
        <f t="shared" si="251"/>
        <v/>
      </c>
      <c r="F2011" s="6" t="str">
        <f t="shared" si="252"/>
        <v/>
      </c>
      <c r="G2011" s="7" t="str">
        <f t="shared" si="253"/>
        <v/>
      </c>
      <c r="H2011" s="7" t="str">
        <f t="shared" si="254"/>
        <v/>
      </c>
      <c r="I2011" s="8" t="str">
        <f t="shared" si="255"/>
        <v/>
      </c>
      <c r="L2011" t="str">
        <f>IFERROR(MATCH($C$5&amp;"|"&amp;RIGHT("000000"&amp;1995,6),LdgRankKeyA,0),"")</f>
        <v/>
      </c>
      <c r="M2011" t="str">
        <f>IFERROR(MATCH($C$5&amp;"|"&amp;RIGHT("000000"&amp;1995,6),LdgRankKeyB,0),"")</f>
        <v/>
      </c>
    </row>
    <row r="2012" spans="1:13" x14ac:dyDescent="0.2">
      <c r="A2012" s="9">
        <v>1996</v>
      </c>
      <c r="B2012" s="10" t="str">
        <f t="shared" si="248"/>
        <v/>
      </c>
      <c r="C2012" s="10" t="str">
        <f t="shared" si="249"/>
        <v/>
      </c>
      <c r="D2012" s="10" t="str">
        <f t="shared" si="250"/>
        <v/>
      </c>
      <c r="E2012" s="11" t="str">
        <f t="shared" si="251"/>
        <v/>
      </c>
      <c r="F2012" s="12" t="str">
        <f t="shared" si="252"/>
        <v/>
      </c>
      <c r="G2012" s="13" t="str">
        <f t="shared" si="253"/>
        <v/>
      </c>
      <c r="H2012" s="13" t="str">
        <f t="shared" si="254"/>
        <v/>
      </c>
      <c r="I2012" s="14" t="str">
        <f t="shared" si="255"/>
        <v/>
      </c>
      <c r="L2012" t="str">
        <f>IFERROR(MATCH($C$5&amp;"|"&amp;RIGHT("000000"&amp;1996,6),LdgRankKeyA,0),"")</f>
        <v/>
      </c>
      <c r="M2012" t="str">
        <f>IFERROR(MATCH($C$5&amp;"|"&amp;RIGHT("000000"&amp;1996,6),LdgRankKeyB,0),"")</f>
        <v/>
      </c>
    </row>
    <row r="2013" spans="1:13" x14ac:dyDescent="0.2">
      <c r="A2013" s="3">
        <v>1997</v>
      </c>
      <c r="B2013" s="4" t="str">
        <f t="shared" si="248"/>
        <v/>
      </c>
      <c r="C2013" s="4" t="str">
        <f t="shared" si="249"/>
        <v/>
      </c>
      <c r="D2013" s="4" t="str">
        <f t="shared" si="250"/>
        <v/>
      </c>
      <c r="E2013" s="5" t="str">
        <f t="shared" si="251"/>
        <v/>
      </c>
      <c r="F2013" s="6" t="str">
        <f t="shared" si="252"/>
        <v/>
      </c>
      <c r="G2013" s="7" t="str">
        <f t="shared" si="253"/>
        <v/>
      </c>
      <c r="H2013" s="7" t="str">
        <f t="shared" si="254"/>
        <v/>
      </c>
      <c r="I2013" s="8" t="str">
        <f t="shared" si="255"/>
        <v/>
      </c>
      <c r="L2013" t="str">
        <f>IFERROR(MATCH($C$5&amp;"|"&amp;RIGHT("000000"&amp;1997,6),LdgRankKeyA,0),"")</f>
        <v/>
      </c>
      <c r="M2013" t="str">
        <f>IFERROR(MATCH($C$5&amp;"|"&amp;RIGHT("000000"&amp;1997,6),LdgRankKeyB,0),"")</f>
        <v/>
      </c>
    </row>
    <row r="2014" spans="1:13" x14ac:dyDescent="0.2">
      <c r="A2014" s="9">
        <v>1998</v>
      </c>
      <c r="B2014" s="10" t="str">
        <f t="shared" si="248"/>
        <v/>
      </c>
      <c r="C2014" s="10" t="str">
        <f t="shared" si="249"/>
        <v/>
      </c>
      <c r="D2014" s="10" t="str">
        <f t="shared" si="250"/>
        <v/>
      </c>
      <c r="E2014" s="11" t="str">
        <f t="shared" si="251"/>
        <v/>
      </c>
      <c r="F2014" s="12" t="str">
        <f t="shared" si="252"/>
        <v/>
      </c>
      <c r="G2014" s="13" t="str">
        <f t="shared" si="253"/>
        <v/>
      </c>
      <c r="H2014" s="13" t="str">
        <f t="shared" si="254"/>
        <v/>
      </c>
      <c r="I2014" s="14" t="str">
        <f t="shared" si="255"/>
        <v/>
      </c>
      <c r="L2014" t="str">
        <f>IFERROR(MATCH($C$5&amp;"|"&amp;RIGHT("000000"&amp;1998,6),LdgRankKeyA,0),"")</f>
        <v/>
      </c>
      <c r="M2014" t="str">
        <f>IFERROR(MATCH($C$5&amp;"|"&amp;RIGHT("000000"&amp;1998,6),LdgRankKeyB,0),"")</f>
        <v/>
      </c>
    </row>
    <row r="2015" spans="1:13" x14ac:dyDescent="0.2">
      <c r="A2015" s="3">
        <v>1999</v>
      </c>
      <c r="B2015" s="4" t="str">
        <f t="shared" si="248"/>
        <v/>
      </c>
      <c r="C2015" s="4" t="str">
        <f t="shared" si="249"/>
        <v/>
      </c>
      <c r="D2015" s="4" t="str">
        <f t="shared" si="250"/>
        <v/>
      </c>
      <c r="E2015" s="5" t="str">
        <f t="shared" si="251"/>
        <v/>
      </c>
      <c r="F2015" s="6" t="str">
        <f t="shared" si="252"/>
        <v/>
      </c>
      <c r="G2015" s="7" t="str">
        <f t="shared" si="253"/>
        <v/>
      </c>
      <c r="H2015" s="7" t="str">
        <f t="shared" si="254"/>
        <v/>
      </c>
      <c r="I2015" s="8" t="str">
        <f t="shared" si="255"/>
        <v/>
      </c>
      <c r="L2015" t="str">
        <f>IFERROR(MATCH($C$5&amp;"|"&amp;RIGHT("000000"&amp;1999,6),LdgRankKeyA,0),"")</f>
        <v/>
      </c>
      <c r="M2015" t="str">
        <f>IFERROR(MATCH($C$5&amp;"|"&amp;RIGHT("000000"&amp;1999,6),LdgRankKeyB,0),"")</f>
        <v/>
      </c>
    </row>
    <row r="2016" spans="1:13" x14ac:dyDescent="0.2">
      <c r="A2016" s="9">
        <v>2000</v>
      </c>
      <c r="B2016" s="10" t="str">
        <f t="shared" si="248"/>
        <v/>
      </c>
      <c r="C2016" s="10" t="str">
        <f t="shared" si="249"/>
        <v/>
      </c>
      <c r="D2016" s="10" t="str">
        <f t="shared" si="250"/>
        <v/>
      </c>
      <c r="E2016" s="11" t="str">
        <f t="shared" si="251"/>
        <v/>
      </c>
      <c r="F2016" s="12" t="str">
        <f t="shared" si="252"/>
        <v/>
      </c>
      <c r="G2016" s="13" t="str">
        <f t="shared" si="253"/>
        <v/>
      </c>
      <c r="H2016" s="13" t="str">
        <f t="shared" si="254"/>
        <v/>
      </c>
      <c r="I2016" s="14" t="str">
        <f t="shared" si="255"/>
        <v/>
      </c>
      <c r="L2016" t="str">
        <f>IFERROR(MATCH($C$5&amp;"|"&amp;RIGHT("000000"&amp;2000,6),LdgRankKeyA,0),"")</f>
        <v/>
      </c>
      <c r="M2016" t="str">
        <f>IFERROR(MATCH($C$5&amp;"|"&amp;RIGHT("000000"&amp;2000,6),LdgRankKeyB,0),"")</f>
        <v/>
      </c>
    </row>
  </sheetData>
  <mergeCells count="33">
    <mergeCell ref="G11:J11"/>
    <mergeCell ref="C14:D14"/>
    <mergeCell ref="E14:F14"/>
    <mergeCell ref="A6:B6"/>
    <mergeCell ref="C10:D10"/>
    <mergeCell ref="A7:B7"/>
    <mergeCell ref="E13:F13"/>
    <mergeCell ref="A12:B12"/>
    <mergeCell ref="C9:J9"/>
    <mergeCell ref="A14:B14"/>
    <mergeCell ref="G13:J13"/>
    <mergeCell ref="A13:B13"/>
    <mergeCell ref="C13:D13"/>
    <mergeCell ref="G14:J14"/>
    <mergeCell ref="E12:F12"/>
    <mergeCell ref="E10:J10"/>
    <mergeCell ref="A11:B11"/>
    <mergeCell ref="A1:J1"/>
    <mergeCell ref="C12:D12"/>
    <mergeCell ref="C11:D11"/>
    <mergeCell ref="E11:F11"/>
    <mergeCell ref="A5:B5"/>
    <mergeCell ref="A8:B8"/>
    <mergeCell ref="C8:J8"/>
    <mergeCell ref="C7:J7"/>
    <mergeCell ref="A3:J3"/>
    <mergeCell ref="E5:J5"/>
    <mergeCell ref="A10:B10"/>
    <mergeCell ref="A2:J2"/>
    <mergeCell ref="A9:B9"/>
    <mergeCell ref="C6:J6"/>
    <mergeCell ref="C5:D5"/>
    <mergeCell ref="G12:J12"/>
  </mergeCells>
  <conditionalFormatting sqref="C17:C2016">
    <cfRule type="cellIs" dxfId="11" priority="1" operator="equal">
      <formula>"فروش"</formula>
    </cfRule>
    <cfRule type="cellIs" dxfId="10" priority="2" operator="equal">
      <formula>"مرجوعی فروش"</formula>
    </cfRule>
    <cfRule type="cellIs" dxfId="9" priority="3" operator="equal">
      <formula>"پرداخت بانکی"</formula>
    </cfRule>
  </conditionalFormatting>
  <conditionalFormatting sqref="G17:G2016">
    <cfRule type="cellIs" dxfId="8" priority="4" operator="greaterThan">
      <formula>0</formula>
    </cfRule>
  </conditionalFormatting>
  <conditionalFormatting sqref="H17:H2016">
    <cfRule type="cellIs" dxfId="7" priority="5" operator="greaterThan">
      <formula>0</formula>
    </cfRule>
  </conditionalFormatting>
  <conditionalFormatting sqref="I17:I2016">
    <cfRule type="cellIs" dxfId="6" priority="6" operator="lessThan">
      <formula>0</formula>
    </cfRule>
  </conditionalFormatting>
  <conditionalFormatting sqref="G12">
    <cfRule type="expression" dxfId="5" priority="7">
      <formula>ISNUMBER(SEARCH("▲",$G$12))</formula>
    </cfRule>
    <cfRule type="expression" dxfId="4" priority="8">
      <formula>ISNUMBER(SEARCH("▼",$G$12))</formula>
    </cfRule>
    <cfRule type="expression" dxfId="3" priority="9">
      <formula>ISNUMBER(SEARCH("تسویه",$G$12))</formula>
    </cfRule>
  </conditionalFormatting>
  <conditionalFormatting sqref="E12">
    <cfRule type="cellIs" dxfId="2" priority="10" operator="greaterThan">
      <formula>0</formula>
    </cfRule>
    <cfRule type="cellIs" dxfId="1" priority="11" operator="lessThan">
      <formula>0</formula>
    </cfRule>
    <cfRule type="cellIs" dxfId="0" priority="12" operator="equal">
      <formula>0</formula>
    </cfRule>
  </conditionalFormatting>
  <dataValidations count="1">
    <dataValidation type="custom" errorStyle="warning" allowBlank="1" showInputMessage="1" errorTitle="کد حساب نامعتبر" error="کد از فایل INFO (شیت Accounts) — C…، SL…، S…، E…، X…" promptTitle="کد حساب" prompt="کد را وارد کنید؛ کل صورت‌حساب خودکار به‌روز می‌شود. برای حساب دیگر، شیت را کپی کنید و این کد را عوض کنید." sqref="C5">
      <formula1>OR($C$5="",COUNTIF(AcctCodes,$C$5)&gt;0)</formula1>
    </dataValidation>
  </dataValidations>
  <printOptions horizontalCentered="1"/>
  <pageMargins left="0.35" right="0.35" top="0.62" bottom="0.55000000000000004" header="0.28000000000000003" footer="0.25"/>
  <pageSetup paperSize="9" fitToHeight="0" orientation="landscape"/>
  <headerFooter>
    <oddHeader>&amp;L&amp;"Tahoma"&amp;8 مازندشت — سامانه حساب‌های بانکی&amp;C&amp;"Tahoma"&amp;8 صورت حساب حساب — فایل فروش&amp;R&amp;"Tahoma"&amp;8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A4AE"/>
  </sheetPr>
  <dimension ref="A1:AM2005"/>
  <sheetViews>
    <sheetView showGridLines="0" workbookViewId="0">
      <pane ySplit="5" topLeftCell="A6" activePane="bottomLeft" state="frozen"/>
      <selection pane="bottomLeft"/>
    </sheetView>
  </sheetViews>
  <sheetFormatPr defaultRowHeight="14.25" x14ac:dyDescent="0.2"/>
  <cols>
    <col min="1" max="1" width="9" customWidth="1"/>
    <col min="2" max="2" width="14" customWidth="1"/>
    <col min="3" max="3" width="20" customWidth="1"/>
    <col min="4" max="4" width="28" customWidth="1"/>
    <col min="5" max="6" width="13" customWidth="1"/>
    <col min="7" max="7" width="30" customWidth="1"/>
    <col min="9" max="9" width="9" customWidth="1"/>
    <col min="10" max="10" width="22" customWidth="1"/>
    <col min="11" max="11" width="10" customWidth="1"/>
    <col min="12" max="12" width="13" customWidth="1"/>
    <col min="14" max="14" width="9" customWidth="1"/>
    <col min="15" max="15" width="24" customWidth="1"/>
    <col min="16" max="16" width="10" customWidth="1"/>
    <col min="18" max="18" width="30" customWidth="1"/>
    <col min="20" max="20" width="11" customWidth="1"/>
    <col min="21" max="21" width="8" customWidth="1"/>
    <col min="22" max="22" width="10" customWidth="1"/>
    <col min="23" max="23" width="16" customWidth="1"/>
    <col min="24" max="24" width="12" customWidth="1"/>
    <col min="25" max="25" width="15" customWidth="1"/>
    <col min="26" max="27" width="13" customWidth="1"/>
    <col min="28" max="28" width="11" customWidth="1"/>
    <col min="29" max="29" width="15" customWidth="1"/>
    <col min="30" max="30" width="30" customWidth="1"/>
    <col min="31" max="31" width="12" customWidth="1"/>
    <col min="32" max="32" width="8" customWidth="1"/>
    <col min="33" max="33" width="28" customWidth="1"/>
    <col min="34" max="34" width="10" customWidth="1"/>
    <col min="35" max="35" width="12" customWidth="1"/>
    <col min="36" max="36" width="15" customWidth="1"/>
    <col min="37" max="38" width="14" customWidth="1"/>
    <col min="39" max="39" width="30" customWidth="1"/>
  </cols>
  <sheetData>
    <row r="1" spans="1:39" ht="26.1" customHeight="1" x14ac:dyDescent="0.2">
      <c r="A1" s="19" t="s">
        <v>35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</row>
    <row r="2" spans="1:39" ht="14.1" customHeight="1" x14ac:dyDescent="0.2">
      <c r="A2" s="27" t="s">
        <v>36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</row>
    <row r="3" spans="1:39" x14ac:dyDescent="0.2">
      <c r="A3" s="33" t="s">
        <v>37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</row>
    <row r="5" spans="1:39" ht="21" x14ac:dyDescent="0.2">
      <c r="A5" s="15" t="s">
        <v>38</v>
      </c>
      <c r="B5" s="15" t="s">
        <v>39</v>
      </c>
      <c r="C5" s="15" t="s">
        <v>40</v>
      </c>
      <c r="D5" s="15" t="s">
        <v>41</v>
      </c>
      <c r="E5" s="15" t="s">
        <v>42</v>
      </c>
      <c r="F5" s="15" t="s">
        <v>43</v>
      </c>
      <c r="G5" s="15" t="s">
        <v>44</v>
      </c>
      <c r="I5" s="15" t="s">
        <v>45</v>
      </c>
      <c r="J5" s="15" t="s">
        <v>46</v>
      </c>
      <c r="K5" s="15" t="s">
        <v>47</v>
      </c>
      <c r="L5" s="15" t="s">
        <v>48</v>
      </c>
      <c r="N5" s="15" t="s">
        <v>49</v>
      </c>
      <c r="O5" s="15" t="s">
        <v>41</v>
      </c>
      <c r="P5" s="15" t="s">
        <v>50</v>
      </c>
      <c r="R5" s="15" t="s">
        <v>51</v>
      </c>
      <c r="T5" s="15" t="s">
        <v>52</v>
      </c>
      <c r="U5" s="15" t="s">
        <v>53</v>
      </c>
      <c r="V5" s="15" t="s">
        <v>54</v>
      </c>
      <c r="W5" s="15" t="s">
        <v>55</v>
      </c>
      <c r="X5" s="15" t="s">
        <v>56</v>
      </c>
      <c r="Y5" s="15" t="s">
        <v>57</v>
      </c>
      <c r="Z5" s="15" t="s">
        <v>58</v>
      </c>
      <c r="AA5" s="15" t="s">
        <v>59</v>
      </c>
      <c r="AB5" s="15" t="s">
        <v>60</v>
      </c>
      <c r="AC5" s="15" t="s">
        <v>61</v>
      </c>
      <c r="AD5" s="15" t="s">
        <v>62</v>
      </c>
      <c r="AE5" s="15" t="s">
        <v>63</v>
      </c>
      <c r="AF5" s="15" t="s">
        <v>64</v>
      </c>
      <c r="AG5" s="15" t="s">
        <v>65</v>
      </c>
      <c r="AH5" s="15" t="s">
        <v>66</v>
      </c>
      <c r="AI5" s="15" t="s">
        <v>67</v>
      </c>
      <c r="AJ5" s="15" t="s">
        <v>68</v>
      </c>
      <c r="AK5" s="15" t="s">
        <v>69</v>
      </c>
      <c r="AL5" s="15" t="s">
        <v>70</v>
      </c>
      <c r="AM5" s="15" t="s">
        <v>71</v>
      </c>
    </row>
    <row r="6" spans="1:39" x14ac:dyDescent="0.2">
      <c r="A6" t="str">
        <f>IF([1]Accounts!$D$7="","",[1]Accounts!$A$7)</f>
        <v>C001</v>
      </c>
      <c r="B6" t="str">
        <f>IF([1]Accounts!$D$7="","",[1]Accounts!$B$7)</f>
        <v>فروشنده</v>
      </c>
      <c r="C6" t="str">
        <f>IF([1]Accounts!$D$7="","",[1]Accounts!$C$7)</f>
        <v>عمده</v>
      </c>
      <c r="D6" t="str">
        <f>IF([1]Accounts!$D$7="","",[1]Accounts!$D$7)</f>
        <v>زینب زاهدی</v>
      </c>
      <c r="E6" t="str">
        <f>IF([1]Accounts!$D$7="","",[1]Accounts!$E$7)</f>
        <v>011-33330001</v>
      </c>
      <c r="F6" t="str">
        <f>IF([1]Accounts!$D$7="","",[1]Accounts!$F$7)</f>
        <v>09110000001</v>
      </c>
      <c r="G6" t="str">
        <f>IF([1]Accounts!$D$7="","",[1]Accounts!$G$7)</f>
        <v>بابل — میدان مرکبات</v>
      </c>
      <c r="I6" t="str">
        <f>IF([1]Ops!$B$7="","",[1]Ops!$A$7)</f>
        <v>OP01</v>
      </c>
      <c r="J6" t="str">
        <f>IF([1]Ops!$B$7="","",[1]Ops!$B$7)</f>
        <v>خرید مرکبات</v>
      </c>
      <c r="K6" t="str">
        <f>IF([1]Ops!$B$7="","",[1]Ops!$C$7)</f>
        <v>ورود</v>
      </c>
      <c r="L6" t="str">
        <f>IF([1]Ops!$B$7="","",[1]Ops!$D$7)</f>
        <v>خرید</v>
      </c>
      <c r="N6" t="str">
        <f>IF([1]Params!$A$7="","",[1]Params!$A$7)</f>
        <v>P01</v>
      </c>
      <c r="O6" t="str">
        <f>IF([1]Params!$B$7="","",[1]Params!$B$7)</f>
        <v>وزن هر سبد (تار)</v>
      </c>
      <c r="P6">
        <f>[1]Params!$C$7</f>
        <v>1.5</v>
      </c>
      <c r="R6" t="str">
        <f>IF([1]Company!$C$5="","",[1]Company!$C$5)</f>
        <v>سورتینگ و بسته‌بندی مرکبات مازندشت</v>
      </c>
      <c r="T6" t="str">
        <f>IF([2]Baskol!$B$9="","",[2]Baskol!$B$9)</f>
        <v>1405/07/06</v>
      </c>
      <c r="U6" t="str">
        <f>IF([2]Baskol!$C$9="","",[2]Baskol!$C$9)</f>
        <v>07:45</v>
      </c>
      <c r="V6" t="str">
        <f>IF([2]Baskol!$D$9="","",[2]Baskol!$D$9)</f>
        <v>BS-001</v>
      </c>
      <c r="W6" t="str">
        <f>IF([2]Baskol!$E$9="","",[2]Baskol!$E$9)</f>
        <v>خرید مرکبات</v>
      </c>
      <c r="X6" t="str">
        <f>IF([2]Baskol!$G$9="","",[2]Baskol!$G$9)</f>
        <v>c001</v>
      </c>
      <c r="Y6" t="str">
        <f>IF([2]Baskol!$I$9="","",[2]Baskol!$I$9)</f>
        <v/>
      </c>
      <c r="Z6" t="str">
        <f>IF([2]Baskol!$J$9="","",[2]Baskol!$J$9)</f>
        <v>نارنگی</v>
      </c>
      <c r="AA6">
        <f>IF([2]Baskol!$K$9="","",[2]Baskol!$K$9)</f>
        <v>2290</v>
      </c>
      <c r="AB6">
        <f>IF([2]Baskol!$L$9="","",[2]Baskol!$L$9)</f>
        <v>139</v>
      </c>
      <c r="AC6" t="str">
        <f>IF([2]Baskol!$N$9="","",[2]Baskol!$N$9)</f>
        <v/>
      </c>
      <c r="AD6" t="str">
        <f>IF([2]Baskol!$O$9="","",[2]Baskol!$O$9)</f>
        <v/>
      </c>
      <c r="AE6" t="str">
        <f>IF([3]Entry!$C$9="","",[3]Entry!$C$9)</f>
        <v>1405/07/01</v>
      </c>
      <c r="AF6" t="str">
        <f>IF([3]Entry!$D$9="","",[3]Entry!$D$9)</f>
        <v>08:30</v>
      </c>
      <c r="AG6" t="str">
        <f>IF([3]Entry!$E$9="","",[3]Entry!$E$9)</f>
        <v>BANK01 – ملت — جاری شرکت</v>
      </c>
      <c r="AH6" t="str">
        <f>IF([3]Entry!$G$9="","",[3]Entry!$G$9)</f>
        <v>C001</v>
      </c>
      <c r="AI6" t="str">
        <f>IF([3]Entry!$K$9="","",[3]Entry!$K$9)</f>
        <v>فروش</v>
      </c>
      <c r="AJ6" t="str">
        <f>IF([3]Entry!$L$9="","",[3]Entry!$L$9)</f>
        <v/>
      </c>
      <c r="AK6">
        <f>IF([3]Entry!$M$9="","",[3]Entry!$M$9)</f>
        <v>250000000</v>
      </c>
      <c r="AL6" t="str">
        <f>IF([3]Entry!$N$9="","",[3]Entry!$N$9)</f>
        <v/>
      </c>
      <c r="AM6" t="str">
        <f>IF([3]Entry!$R$9="","",[3]Entry!$R$9)</f>
        <v>واریز بابت خرید مرکبات (ردیف نمونه)</v>
      </c>
    </row>
    <row r="7" spans="1:39" x14ac:dyDescent="0.2">
      <c r="A7" t="str">
        <f>IF([1]Accounts!$D$8="","",[1]Accounts!$A$8)</f>
        <v>C002</v>
      </c>
      <c r="B7" t="str">
        <f>IF([1]Accounts!$D$8="","",[1]Accounts!$B$8)</f>
        <v>فروشنده</v>
      </c>
      <c r="C7" t="str">
        <f>IF([1]Accounts!$D$8="","",[1]Accounts!$C$8)</f>
        <v>صادراتی</v>
      </c>
      <c r="D7" t="str">
        <f>IF([1]Accounts!$D$8="","",[1]Accounts!$D$8)</f>
        <v>سید عباس موسوی</v>
      </c>
      <c r="E7" t="str">
        <f>IF([1]Accounts!$D$8="","",[1]Accounts!$E$8)</f>
        <v>011-33330002</v>
      </c>
      <c r="F7" t="str">
        <f>IF([1]Accounts!$D$8="","",[1]Accounts!$F$8)</f>
        <v>09110000002</v>
      </c>
      <c r="G7" t="str">
        <f>IF([1]Accounts!$D$8="","",[1]Accounts!$G$8)</f>
        <v>ساری — شهرک صنعتی</v>
      </c>
      <c r="I7" t="str">
        <f>IF([1]Ops!$B$8="","",[1]Ops!$A$8)</f>
        <v>OP02</v>
      </c>
      <c r="J7" t="str">
        <f>IF([1]Ops!$B$8="","",[1]Ops!$B$8)</f>
        <v>فروش</v>
      </c>
      <c r="K7" t="str">
        <f>IF([1]Ops!$B$8="","",[1]Ops!$C$8)</f>
        <v>خروج</v>
      </c>
      <c r="L7" t="str">
        <f>IF([1]Ops!$B$8="","",[1]Ops!$D$8)</f>
        <v>فروش</v>
      </c>
      <c r="N7" t="str">
        <f>IF([1]Params!$A$8="","",[1]Params!$A$8)</f>
        <v>P02</v>
      </c>
      <c r="O7" t="str">
        <f>IF([1]Params!$B$8="","",[1]Params!$B$8)</f>
        <v>درصد افت</v>
      </c>
      <c r="P7">
        <f>[1]Params!$C$8</f>
        <v>1</v>
      </c>
      <c r="R7" t="str">
        <f>IF([1]Company!$C$8="","",[1]Company!$C$8)</f>
        <v>باغدشت، بخش مرکزی، شهرستان قائم‌شهر، استان مازندران، ایران</v>
      </c>
      <c r="T7" t="str">
        <f>IF([2]Baskol!$B$10="","",[2]Baskol!$B$10)</f>
        <v>1405/07/06</v>
      </c>
      <c r="U7" t="str">
        <f>IF([2]Baskol!$C$10="","",[2]Baskol!$C$10)</f>
        <v>09:10</v>
      </c>
      <c r="V7" t="str">
        <f>IF([2]Baskol!$D$10="","",[2]Baskol!$D$10)</f>
        <v>BS-002</v>
      </c>
      <c r="W7" t="str">
        <f>IF([2]Baskol!$E$10="","",[2]Baskol!$E$10)</f>
        <v>خرید مرکبات</v>
      </c>
      <c r="X7" t="str">
        <f>IF([2]Baskol!$G$10="","",[2]Baskol!$G$10)</f>
        <v>c001</v>
      </c>
      <c r="Y7" t="str">
        <f>IF([2]Baskol!$I$10="","",[2]Baskol!$I$10)</f>
        <v/>
      </c>
      <c r="Z7" t="str">
        <f>IF([2]Baskol!$J$10="","",[2]Baskol!$J$10)</f>
        <v>نارنگی</v>
      </c>
      <c r="AA7">
        <f>IF([2]Baskol!$K$10="","",[2]Baskol!$K$10)</f>
        <v>910</v>
      </c>
      <c r="AB7">
        <f>IF([2]Baskol!$L$10="","",[2]Baskol!$L$10)</f>
        <v>53</v>
      </c>
      <c r="AC7" t="str">
        <f>IF([2]Baskol!$N$10="","",[2]Baskol!$N$10)</f>
        <v/>
      </c>
      <c r="AD7" t="str">
        <f>IF([2]Baskol!$O$10="","",[2]Baskol!$O$10)</f>
        <v/>
      </c>
      <c r="AE7" t="str">
        <f>IF([3]Entry!$C$10="","",[3]Entry!$C$10)</f>
        <v>1405/07/01</v>
      </c>
      <c r="AF7" t="str">
        <f>IF([3]Entry!$D$10="","",[3]Entry!$D$10)</f>
        <v>10:15</v>
      </c>
      <c r="AG7" t="str">
        <f>IF([3]Entry!$E$10="","",[3]Entry!$E$10)</f>
        <v>BANK01 – ملت — جاری شرکت</v>
      </c>
      <c r="AH7" t="str">
        <f>IF([3]Entry!$G$10="","",[3]Entry!$G$10)</f>
        <v>X001</v>
      </c>
      <c r="AI7" t="str">
        <f>IF([3]Entry!$K$10="","",[3]Entry!$K$10)</f>
        <v>هزینه</v>
      </c>
      <c r="AJ7" t="str">
        <f>IF([3]Entry!$L$10="","",[3]Entry!$L$10)</f>
        <v>کارمزد بانکی</v>
      </c>
      <c r="AK7" t="str">
        <f>IF([3]Entry!$M$10="","",[3]Entry!$M$10)</f>
        <v/>
      </c>
      <c r="AL7">
        <f>IF([3]Entry!$N$10="","",[3]Entry!$N$10)</f>
        <v>1200000</v>
      </c>
      <c r="AM7" t="str">
        <f>IF([3]Entry!$R$10="","",[3]Entry!$R$10)</f>
        <v>کارمزد بانکی (نمونه)</v>
      </c>
    </row>
    <row r="8" spans="1:39" x14ac:dyDescent="0.2">
      <c r="A8" t="str">
        <f>IF([1]Accounts!$D$9="","",[1]Accounts!$A$9)</f>
        <v>C003</v>
      </c>
      <c r="B8" t="str">
        <f>IF([1]Accounts!$D$9="","",[1]Accounts!$B$9)</f>
        <v>فروشنده</v>
      </c>
      <c r="C8" t="str">
        <f>IF([1]Accounts!$D$9="","",[1]Accounts!$C$9)</f>
        <v>خرده‌فروش</v>
      </c>
      <c r="D8" t="str">
        <f>IF([1]Accounts!$D$9="","",[1]Accounts!$D$9)</f>
        <v>حاج احمد عیسی پور</v>
      </c>
      <c r="E8" t="str">
        <f>IF([1]Accounts!$D$9="","",[1]Accounts!$E$9)</f>
        <v>011-33330003</v>
      </c>
      <c r="F8" t="str">
        <f>IF([1]Accounts!$D$9="","",[1]Accounts!$F$9)</f>
        <v>09110000003</v>
      </c>
      <c r="G8" t="str">
        <f>IF([1]Accounts!$D$9="","",[1]Accounts!$G$9)</f>
        <v>قائم‌شهر — خیابان طالب آملی</v>
      </c>
      <c r="I8" t="str">
        <f>IF([1]Ops!$B$9="","",[1]Ops!$A$9)</f>
        <v>OP03</v>
      </c>
      <c r="J8" t="str">
        <f>IF([1]Ops!$B$9="","",[1]Ops!$B$9)</f>
        <v>مرجوعی خرید</v>
      </c>
      <c r="K8" t="str">
        <f>IF([1]Ops!$B$9="","",[1]Ops!$C$9)</f>
        <v>خروج</v>
      </c>
      <c r="L8" t="str">
        <f>IF([1]Ops!$B$9="","",[1]Ops!$D$9)</f>
        <v>خرید</v>
      </c>
      <c r="N8" t="str">
        <f>IF([1]Params!$A$9="","",[1]Params!$A$9)</f>
        <v>P03</v>
      </c>
      <c r="O8" t="str">
        <f>IF([1]Params!$B$9="","",[1]Params!$B$9)</f>
        <v/>
      </c>
      <c r="P8">
        <f>[1]Params!$C$9</f>
        <v>0</v>
      </c>
      <c r="R8" t="str">
        <f>IF([1]Company!$C$9="","",[1]Company!$C$9)</f>
        <v>011-42116449</v>
      </c>
      <c r="T8" t="str">
        <f>IF([2]Baskol!$B$11="","",[2]Baskol!$B$11)</f>
        <v>1405/07/07</v>
      </c>
      <c r="U8" t="str">
        <f>IF([2]Baskol!$C$11="","",[2]Baskol!$C$11)</f>
        <v>11:30</v>
      </c>
      <c r="V8" t="str">
        <f>IF([2]Baskol!$D$11="","",[2]Baskol!$D$11)</f>
        <v>BS-003</v>
      </c>
      <c r="W8" t="str">
        <f>IF([2]Baskol!$E$11="","",[2]Baskol!$E$11)</f>
        <v>خرید مرکبات</v>
      </c>
      <c r="X8" t="str">
        <f>IF([2]Baskol!$G$11="","",[2]Baskol!$G$11)</f>
        <v>c002</v>
      </c>
      <c r="Y8" t="str">
        <f>IF([2]Baskol!$I$11="","",[2]Baskol!$I$11)</f>
        <v/>
      </c>
      <c r="Z8" t="str">
        <f>IF([2]Baskol!$J$11="","",[2]Baskol!$J$11)</f>
        <v>نارنگی</v>
      </c>
      <c r="AA8">
        <f>IF([2]Baskol!$K$11="","",[2]Baskol!$K$11)</f>
        <v>1385</v>
      </c>
      <c r="AB8">
        <f>IF([2]Baskol!$L$11="","",[2]Baskol!$L$11)</f>
        <v>85</v>
      </c>
      <c r="AC8" t="str">
        <f>IF([2]Baskol!$N$11="","",[2]Baskol!$N$11)</f>
        <v/>
      </c>
      <c r="AD8" t="str">
        <f>IF([2]Baskol!$O$11="","",[2]Baskol!$O$11)</f>
        <v/>
      </c>
      <c r="AE8" t="str">
        <f>IF([3]Entry!$C$11="","",[3]Entry!$C$11)</f>
        <v>1405/07/02</v>
      </c>
      <c r="AF8" t="str">
        <f>IF([3]Entry!$D$11="","",[3]Entry!$D$11)</f>
        <v>09:00</v>
      </c>
      <c r="AG8" t="str">
        <f>IF([3]Entry!$E$11="","",[3]Entry!$E$11)</f>
        <v>BANK01 – ملت — جاری شرکت</v>
      </c>
      <c r="AH8" t="str">
        <f>IF([3]Entry!$G$11="","",[3]Entry!$G$11)</f>
        <v>S002</v>
      </c>
      <c r="AI8" t="str">
        <f>IF([3]Entry!$K$11="","",[3]Entry!$K$11)</f>
        <v>خرید</v>
      </c>
      <c r="AJ8" t="str">
        <f>IF([3]Entry!$L$11="","",[3]Entry!$L$11)</f>
        <v/>
      </c>
      <c r="AK8" t="str">
        <f>IF([3]Entry!$M$11="","",[3]Entry!$M$11)</f>
        <v/>
      </c>
      <c r="AL8">
        <f>IF([3]Entry!$N$11="","",[3]Entry!$N$11)</f>
        <v>80000000</v>
      </c>
      <c r="AM8" t="str">
        <f>IF([3]Entry!$R$11="","",[3]Entry!$R$11)</f>
        <v>خرید پرتقال از میدان بار (نمونه)</v>
      </c>
    </row>
    <row r="9" spans="1:39" x14ac:dyDescent="0.2">
      <c r="A9" t="str">
        <f>IF([1]Accounts!$D$10="","",[1]Accounts!$A$10)</f>
        <v>C004</v>
      </c>
      <c r="B9" t="str">
        <f>IF([1]Accounts!$D$10="","",[1]Accounts!$B$10)</f>
        <v>فروشنده</v>
      </c>
      <c r="C9">
        <f>IF([1]Accounts!$D$10="","",[1]Accounts!$C$10)</f>
        <v>0</v>
      </c>
      <c r="D9" t="str">
        <f>IF([1]Accounts!$D$10="","",[1]Accounts!$D$10)</f>
        <v>امید زاهدی</v>
      </c>
      <c r="E9">
        <f>IF([1]Accounts!$D$10="","",[1]Accounts!$E$10)</f>
        <v>0</v>
      </c>
      <c r="F9">
        <f>IF([1]Accounts!$D$10="","",[1]Accounts!$F$10)</f>
        <v>0</v>
      </c>
      <c r="G9">
        <f>IF([1]Accounts!$D$10="","",[1]Accounts!$G$10)</f>
        <v>0</v>
      </c>
      <c r="I9" t="str">
        <f>IF([1]Ops!$B$10="","",[1]Ops!$A$10)</f>
        <v>OP04</v>
      </c>
      <c r="J9" t="str">
        <f>IF([1]Ops!$B$10="","",[1]Ops!$B$10)</f>
        <v>مرجوعی فروش</v>
      </c>
      <c r="K9" t="str">
        <f>IF([1]Ops!$B$10="","",[1]Ops!$C$10)</f>
        <v>ورود</v>
      </c>
      <c r="L9" t="str">
        <f>IF([1]Ops!$B$10="","",[1]Ops!$D$10)</f>
        <v>فروش</v>
      </c>
      <c r="N9" t="str">
        <f>IF([1]Params!$A$10="","",[1]Params!$A$10)</f>
        <v>P04</v>
      </c>
      <c r="O9" t="str">
        <f>IF([1]Params!$B$10="","",[1]Params!$B$10)</f>
        <v/>
      </c>
      <c r="P9">
        <f>[1]Params!$C$10</f>
        <v>0</v>
      </c>
      <c r="R9" t="str">
        <f>IF([1]Company!$C$7="","",[1]Company!$C$7)</f>
        <v>سورتینگ، بسته‌بندی و بازرگانی مرکبات</v>
      </c>
      <c r="T9" t="str">
        <f>IF([2]Baskol!$B$12="","",[2]Baskol!$B$12)</f>
        <v>1405/07/08</v>
      </c>
      <c r="U9" t="str">
        <f>IF([2]Baskol!$C$12="","",[2]Baskol!$C$12)</f>
        <v>08:20</v>
      </c>
      <c r="V9" t="str">
        <f>IF([2]Baskol!$D$12="","",[2]Baskol!$D$12)</f>
        <v>BS-004</v>
      </c>
      <c r="W9" t="str">
        <f>IF([2]Baskol!$E$12="","",[2]Baskol!$E$12)</f>
        <v>خرید مرکبات</v>
      </c>
      <c r="X9" t="str">
        <f>IF([2]Baskol!$G$12="","",[2]Baskol!$G$12)</f>
        <v>c003</v>
      </c>
      <c r="Y9" t="str">
        <f>IF([2]Baskol!$I$12="","",[2]Baskol!$I$12)</f>
        <v/>
      </c>
      <c r="Z9" t="str">
        <f>IF([2]Baskol!$J$12="","",[2]Baskol!$J$12)</f>
        <v>نارنگی</v>
      </c>
      <c r="AA9">
        <f>IF([2]Baskol!$K$12="","",[2]Baskol!$K$12)</f>
        <v>605</v>
      </c>
      <c r="AB9">
        <f>IF([2]Baskol!$L$12="","",[2]Baskol!$L$12)</f>
        <v>36</v>
      </c>
      <c r="AC9" t="str">
        <f>IF([2]Baskol!$N$12="","",[2]Baskol!$N$12)</f>
        <v/>
      </c>
      <c r="AD9" t="str">
        <f>IF([2]Baskol!$O$12="","",[2]Baskol!$O$12)</f>
        <v/>
      </c>
      <c r="AE9" t="str">
        <f>IF([3]Entry!$C$12="","",[3]Entry!$C$12)</f>
        <v>1405/07/02</v>
      </c>
      <c r="AF9" t="str">
        <f>IF([3]Entry!$D$12="","",[3]Entry!$D$12)</f>
        <v>12:45</v>
      </c>
      <c r="AG9" t="str">
        <f>IF([3]Entry!$E$12="","",[3]Entry!$E$12)</f>
        <v>BANK02 – صادرات — جاری شرکت</v>
      </c>
      <c r="AH9" t="str">
        <f>IF([3]Entry!$G$12="","",[3]Entry!$G$12)</f>
        <v>C002</v>
      </c>
      <c r="AI9" t="str">
        <f>IF([3]Entry!$K$12="","",[3]Entry!$K$12)</f>
        <v>فروش</v>
      </c>
      <c r="AJ9" t="str">
        <f>IF([3]Entry!$L$12="","",[3]Entry!$L$12)</f>
        <v/>
      </c>
      <c r="AK9">
        <f>IF([3]Entry!$M$12="","",[3]Entry!$M$12)</f>
        <v>90000000</v>
      </c>
      <c r="AL9" t="str">
        <f>IF([3]Entry!$N$12="","",[3]Entry!$N$12)</f>
        <v/>
      </c>
      <c r="AM9" t="str">
        <f>IF([3]Entry!$R$12="","",[3]Entry!$R$12)</f>
        <v>واریز مشتری — مغایرت عمدی برای نمایش × (نمونه)</v>
      </c>
    </row>
    <row r="10" spans="1:39" x14ac:dyDescent="0.2">
      <c r="A10" t="str">
        <f>IF([1]Accounts!$D$11="","",[1]Accounts!$A$11)</f>
        <v>C005</v>
      </c>
      <c r="B10" t="str">
        <f>IF([1]Accounts!$D$11="","",[1]Accounts!$B$11)</f>
        <v>فروشنده</v>
      </c>
      <c r="C10">
        <f>IF([1]Accounts!$D$11="","",[1]Accounts!$C$11)</f>
        <v>0</v>
      </c>
      <c r="D10" t="str">
        <f>IF([1]Accounts!$D$11="","",[1]Accounts!$D$11)</f>
        <v>بار شخصی قاسم زاهدی</v>
      </c>
      <c r="E10">
        <f>IF([1]Accounts!$D$11="","",[1]Accounts!$E$11)</f>
        <v>0</v>
      </c>
      <c r="F10">
        <f>IF([1]Accounts!$D$11="","",[1]Accounts!$F$11)</f>
        <v>0</v>
      </c>
      <c r="G10">
        <f>IF([1]Accounts!$D$11="","",[1]Accounts!$G$11)</f>
        <v>0</v>
      </c>
      <c r="I10" t="str">
        <f>IF([1]Ops!$B$11="","",[1]Ops!$A$11)</f>
        <v>OP05</v>
      </c>
      <c r="J10" t="str">
        <f>IF([1]Ops!$B$11="","",[1]Ops!$B$11)</f>
        <v>انتقال به انبار دیگر</v>
      </c>
      <c r="K10" t="str">
        <f>IF([1]Ops!$B$11="","",[1]Ops!$C$11)</f>
        <v>خروج</v>
      </c>
      <c r="L10">
        <f>IF([1]Ops!$B$11="","",[1]Ops!$D$11)</f>
        <v>0</v>
      </c>
      <c r="N10" t="str">
        <f>IF([1]Params!$A$11="","",[1]Params!$A$11)</f>
        <v>P05</v>
      </c>
      <c r="O10" t="str">
        <f>IF([1]Params!$B$11="","",[1]Params!$B$11)</f>
        <v/>
      </c>
      <c r="P10">
        <f>[1]Params!$C$11</f>
        <v>0</v>
      </c>
      <c r="T10" t="str">
        <f>IF([2]Baskol!$B$13="","",[2]Baskol!$B$13)</f>
        <v>1405/07/08</v>
      </c>
      <c r="U10" t="str">
        <f>IF([2]Baskol!$C$13="","",[2]Baskol!$C$13)</f>
        <v>10:00</v>
      </c>
      <c r="V10" t="str">
        <f>IF([2]Baskol!$D$13="","",[2]Baskol!$D$13)</f>
        <v>1001</v>
      </c>
      <c r="W10" t="str">
        <f>IF([2]Baskol!$E$13="","",[2]Baskol!$E$13)</f>
        <v>خرید مرکبات</v>
      </c>
      <c r="X10" t="str">
        <f>IF([2]Baskol!$G$13="","",[2]Baskol!$G$13)</f>
        <v>c002</v>
      </c>
      <c r="Y10" t="str">
        <f>IF([2]Baskol!$I$13="","",[2]Baskol!$I$13)</f>
        <v/>
      </c>
      <c r="Z10" t="str">
        <f>IF([2]Baskol!$J$13="","",[2]Baskol!$J$13)</f>
        <v>نارنگی</v>
      </c>
      <c r="AA10">
        <f>IF([2]Baskol!$K$13="","",[2]Baskol!$K$13)</f>
        <v>805</v>
      </c>
      <c r="AB10">
        <f>IF([2]Baskol!$L$13="","",[2]Baskol!$L$13)</f>
        <v>49</v>
      </c>
      <c r="AC10" t="str">
        <f>IF([2]Baskol!$N$13="","",[2]Baskol!$N$13)</f>
        <v/>
      </c>
      <c r="AD10" t="str">
        <f>IF([2]Baskol!$O$13="","",[2]Baskol!$O$13)</f>
        <v/>
      </c>
      <c r="AE10" t="str">
        <f>IF([3]Entry!$C$13="","",[3]Entry!$C$13)</f>
        <v>1405/07/03</v>
      </c>
      <c r="AF10" t="str">
        <f>IF([3]Entry!$D$13="","",[3]Entry!$D$13)</f>
        <v>11:20</v>
      </c>
      <c r="AG10" t="str">
        <f>IF([3]Entry!$E$13="","",[3]Entry!$E$13)</f>
        <v>BANK02 – صادرات — جاری شرکت</v>
      </c>
      <c r="AH10" t="str">
        <f>IF([3]Entry!$G$13="","",[3]Entry!$G$13)</f>
        <v>X003</v>
      </c>
      <c r="AI10" t="str">
        <f>IF([3]Entry!$K$13="","",[3]Entry!$K$13)</f>
        <v/>
      </c>
      <c r="AJ10" t="str">
        <f>IF([3]Entry!$L$13="","",[3]Entry!$L$13)</f>
        <v/>
      </c>
      <c r="AK10" t="str">
        <f>IF([3]Entry!$M$13="","",[3]Entry!$M$13)</f>
        <v/>
      </c>
      <c r="AL10">
        <f>IF([3]Entry!$N$13="","",[3]Entry!$N$13)</f>
        <v>15000000</v>
      </c>
      <c r="AM10" t="str">
        <f>IF([3]Entry!$R$13="","",[3]Entry!$R$13)</f>
        <v>برداشت نقدی به صندوق — بدون گروه (نمونه)</v>
      </c>
    </row>
    <row r="11" spans="1:39" x14ac:dyDescent="0.2">
      <c r="A11" t="str">
        <f>IF([1]Accounts!$D$12="","",[1]Accounts!$A$12)</f>
        <v>C006</v>
      </c>
      <c r="B11" t="str">
        <f>IF([1]Accounts!$D$12="","",[1]Accounts!$B$12)</f>
        <v>فروشنده</v>
      </c>
      <c r="C11">
        <f>IF([1]Accounts!$D$12="","",[1]Accounts!$C$12)</f>
        <v>0</v>
      </c>
      <c r="D11" t="str">
        <f>IF([1]Accounts!$D$12="","",[1]Accounts!$D$12)</f>
        <v>هوشنگ عیسی پور</v>
      </c>
      <c r="E11">
        <f>IF([1]Accounts!$D$12="","",[1]Accounts!$E$12)</f>
        <v>0</v>
      </c>
      <c r="F11">
        <f>IF([1]Accounts!$D$12="","",[1]Accounts!$F$12)</f>
        <v>0</v>
      </c>
      <c r="G11">
        <f>IF([1]Accounts!$D$12="","",[1]Accounts!$G$12)</f>
        <v>0</v>
      </c>
      <c r="I11" t="str">
        <f>IF([1]Ops!$B$12="","",[1]Ops!$A$12)</f>
        <v>OP06</v>
      </c>
      <c r="J11" t="str">
        <f>IF([1]Ops!$B$12="","",[1]Ops!$B$12)</f>
        <v>انتقال از انبار دیگر</v>
      </c>
      <c r="K11" t="str">
        <f>IF([1]Ops!$B$12="","",[1]Ops!$C$12)</f>
        <v>ورود</v>
      </c>
      <c r="L11">
        <f>IF([1]Ops!$B$12="","",[1]Ops!$D$12)</f>
        <v>0</v>
      </c>
      <c r="N11" t="str">
        <f>IF([1]Params!$A$12="","",[1]Params!$A$12)</f>
        <v>P06</v>
      </c>
      <c r="O11" t="str">
        <f>IF([1]Params!$B$12="","",[1]Params!$B$12)</f>
        <v/>
      </c>
      <c r="P11">
        <f>[1]Params!$C$12</f>
        <v>0</v>
      </c>
      <c r="T11" t="str">
        <f>IF([2]Baskol!$B$14="","",[2]Baskol!$B$14)</f>
        <v>1405/07/08</v>
      </c>
      <c r="U11" t="str">
        <f>IF([2]Baskol!$C$14="","",[2]Baskol!$C$14)</f>
        <v>11:20</v>
      </c>
      <c r="V11" t="str">
        <f>IF([2]Baskol!$D$14="","",[2]Baskol!$D$14)</f>
        <v>1002</v>
      </c>
      <c r="W11" t="str">
        <f>IF([2]Baskol!$E$14="","",[2]Baskol!$E$14)</f>
        <v>خرید مرکبات</v>
      </c>
      <c r="X11" t="str">
        <f>IF([2]Baskol!$G$14="","",[2]Baskol!$G$14)</f>
        <v>c004</v>
      </c>
      <c r="Y11" t="str">
        <f>IF([2]Baskol!$I$14="","",[2]Baskol!$I$14)</f>
        <v/>
      </c>
      <c r="Z11" t="str">
        <f>IF([2]Baskol!$J$14="","",[2]Baskol!$J$14)</f>
        <v>نارنگی</v>
      </c>
      <c r="AA11">
        <f>IF([2]Baskol!$K$14="","",[2]Baskol!$K$14)</f>
        <v>865</v>
      </c>
      <c r="AB11">
        <f>IF([2]Baskol!$L$14="","",[2]Baskol!$L$14)</f>
        <v>51</v>
      </c>
      <c r="AC11" t="str">
        <f>IF([2]Baskol!$N$14="","",[2]Baskol!$N$14)</f>
        <v/>
      </c>
      <c r="AD11" t="str">
        <f>IF([2]Baskol!$O$14="","",[2]Baskol!$O$14)</f>
        <v/>
      </c>
      <c r="AE11" t="str">
        <f>IF([3]Entry!$C$14="","",[3]Entry!$C$14)</f>
        <v>1405/07/01</v>
      </c>
      <c r="AF11" t="str">
        <f>IF([3]Entry!$D$14="","",[3]Entry!$D$14)</f>
        <v>08:30</v>
      </c>
      <c r="AG11" t="str">
        <f>IF([3]Entry!$E$14="","",[3]Entry!$E$14)</f>
        <v>BANK01 – ملت — جاری شرکت</v>
      </c>
      <c r="AH11" t="str">
        <f>IF([3]Entry!$G$14="","",[3]Entry!$G$14)</f>
        <v>C001</v>
      </c>
      <c r="AI11" t="str">
        <f>IF([3]Entry!$K$14="","",[3]Entry!$K$14)</f>
        <v>فروش</v>
      </c>
      <c r="AJ11" t="str">
        <f>IF([3]Entry!$L$14="","",[3]Entry!$L$14)</f>
        <v/>
      </c>
      <c r="AK11">
        <f>IF([3]Entry!$M$14="","",[3]Entry!$M$14)</f>
        <v>250000000</v>
      </c>
      <c r="AL11" t="str">
        <f>IF([3]Entry!$N$14="","",[3]Entry!$N$14)</f>
        <v/>
      </c>
      <c r="AM11" t="str">
        <f>IF([3]Entry!$R$14="","",[3]Entry!$R$14)</f>
        <v>ردیف تکراری — اثر آن را بر ستون وضعیت ببینید (نمونه)</v>
      </c>
    </row>
    <row r="12" spans="1:39" x14ac:dyDescent="0.2">
      <c r="A12" t="str">
        <f>IF([1]Accounts!$D$13="","",[1]Accounts!$A$13)</f>
        <v>C007</v>
      </c>
      <c r="B12" t="str">
        <f>IF([1]Accounts!$D$13="","",[1]Accounts!$B$13)</f>
        <v>فروشنده</v>
      </c>
      <c r="C12">
        <f>IF([1]Accounts!$D$13="","",[1]Accounts!$C$13)</f>
        <v>0</v>
      </c>
      <c r="D12" t="str">
        <f>IF([1]Accounts!$D$13="","",[1]Accounts!$D$13)</f>
        <v>علی آهنگر</v>
      </c>
      <c r="E12">
        <f>IF([1]Accounts!$D$13="","",[1]Accounts!$E$13)</f>
        <v>0</v>
      </c>
      <c r="F12">
        <f>IF([1]Accounts!$D$13="","",[1]Accounts!$F$13)</f>
        <v>0</v>
      </c>
      <c r="G12">
        <f>IF([1]Accounts!$D$13="","",[1]Accounts!$G$13)</f>
        <v>0</v>
      </c>
      <c r="I12" t="str">
        <f>IF([1]Ops!$B$13="","",[1]Ops!$A$13)</f>
        <v>OP07</v>
      </c>
      <c r="J12" t="str">
        <f>IF([1]Ops!$B$13="","",[1]Ops!$B$13)</f>
        <v>سایر ورود</v>
      </c>
      <c r="K12" t="str">
        <f>IF([1]Ops!$B$13="","",[1]Ops!$C$13)</f>
        <v>ورود</v>
      </c>
      <c r="L12">
        <f>IF([1]Ops!$B$13="","",[1]Ops!$D$13)</f>
        <v>0</v>
      </c>
      <c r="N12" t="str">
        <f>IF([1]Params!$A$13="","",[1]Params!$A$13)</f>
        <v>P07</v>
      </c>
      <c r="O12" t="str">
        <f>IF([1]Params!$B$13="","",[1]Params!$B$13)</f>
        <v/>
      </c>
      <c r="P12">
        <f>[1]Params!$C$13</f>
        <v>0</v>
      </c>
      <c r="T12" t="str">
        <f>IF([2]Baskol!$B$15="","",[2]Baskol!$B$15)</f>
        <v>1405/07/08</v>
      </c>
      <c r="U12" t="str">
        <f>IF([2]Baskol!$C$15="","",[2]Baskol!$C$15)</f>
        <v>09:40</v>
      </c>
      <c r="V12" t="str">
        <f>IF([2]Baskol!$D$15="","",[2]Baskol!$D$15)</f>
        <v>1003</v>
      </c>
      <c r="W12" t="str">
        <f>IF([2]Baskol!$E$15="","",[2]Baskol!$E$15)</f>
        <v>خرید مرکبات</v>
      </c>
      <c r="X12" t="str">
        <f>IF([2]Baskol!$G$15="","",[2]Baskol!$G$15)</f>
        <v>c003</v>
      </c>
      <c r="Y12" t="str">
        <f>IF([2]Baskol!$I$15="","",[2]Baskol!$I$15)</f>
        <v/>
      </c>
      <c r="Z12" t="str">
        <f>IF([2]Baskol!$J$15="","",[2]Baskol!$J$15)</f>
        <v>نارنگی</v>
      </c>
      <c r="AA12">
        <f>IF([2]Baskol!$K$15="","",[2]Baskol!$K$15)</f>
        <v>650</v>
      </c>
      <c r="AB12">
        <f>IF([2]Baskol!$L$15="","",[2]Baskol!$L$15)</f>
        <v>40</v>
      </c>
      <c r="AC12" t="str">
        <f>IF([2]Baskol!$N$15="","",[2]Baskol!$N$15)</f>
        <v/>
      </c>
      <c r="AD12" t="str">
        <f>IF([2]Baskol!$O$15="","",[2]Baskol!$O$15)</f>
        <v/>
      </c>
      <c r="AE12" t="str">
        <f>IF([3]Entry!$C$15="","",[3]Entry!$C$15)</f>
        <v>1405/07/04</v>
      </c>
      <c r="AF12" t="str">
        <f>IF([3]Entry!$D$15="","",[3]Entry!$D$15)</f>
        <v>10:30</v>
      </c>
      <c r="AG12" t="str">
        <f>IF([3]Entry!$E$15="","",[3]Entry!$E$15)</f>
        <v>BANK01 – ملت — جاری شرکت</v>
      </c>
      <c r="AH12" t="str">
        <f>IF([3]Entry!$G$15="","",[3]Entry!$G$15)</f>
        <v>SL001</v>
      </c>
      <c r="AI12" t="str">
        <f>IF([3]Entry!$K$15="","",[3]Entry!$K$15)</f>
        <v>فروش</v>
      </c>
      <c r="AJ12" t="str">
        <f>IF([3]Entry!$L$15="","",[3]Entry!$L$15)</f>
        <v/>
      </c>
      <c r="AK12">
        <f>IF([3]Entry!$M$15="","",[3]Entry!$M$15)</f>
        <v>300000000</v>
      </c>
      <c r="AL12" t="str">
        <f>IF([3]Entry!$N$15="","",[3]Entry!$N$15)</f>
        <v/>
      </c>
      <c r="AM12" t="str">
        <f>IF([3]Entry!$R$15="","",[3]Entry!$R$15)</f>
        <v>واریز فروشنده SL001 (نمونه)</v>
      </c>
    </row>
    <row r="13" spans="1:39" x14ac:dyDescent="0.2">
      <c r="A13" t="str">
        <f>IF([1]Accounts!$D$14="","",[1]Accounts!$A$14)</f>
        <v>C008</v>
      </c>
      <c r="B13" t="str">
        <f>IF([1]Accounts!$D$14="","",[1]Accounts!$B$14)</f>
        <v>فروشنده</v>
      </c>
      <c r="C13">
        <f>IF([1]Accounts!$D$14="","",[1]Accounts!$C$14)</f>
        <v>0</v>
      </c>
      <c r="D13" t="str">
        <f>IF([1]Accounts!$D$14="","",[1]Accounts!$D$14)</f>
        <v>صفدر مسلمی</v>
      </c>
      <c r="E13">
        <f>IF([1]Accounts!$D$14="","",[1]Accounts!$E$14)</f>
        <v>0</v>
      </c>
      <c r="F13">
        <f>IF([1]Accounts!$D$14="","",[1]Accounts!$F$14)</f>
        <v>0</v>
      </c>
      <c r="G13">
        <f>IF([1]Accounts!$D$14="","",[1]Accounts!$G$14)</f>
        <v>0</v>
      </c>
      <c r="I13" t="str">
        <f>IF([1]Ops!$B$14="","",[1]Ops!$A$14)</f>
        <v>OP08</v>
      </c>
      <c r="J13" t="str">
        <f>IF([1]Ops!$B$14="","",[1]Ops!$B$14)</f>
        <v>سایر خروج</v>
      </c>
      <c r="K13" t="str">
        <f>IF([1]Ops!$B$14="","",[1]Ops!$C$14)</f>
        <v>خروج</v>
      </c>
      <c r="L13">
        <f>IF([1]Ops!$B$14="","",[1]Ops!$D$14)</f>
        <v>0</v>
      </c>
      <c r="N13" t="str">
        <f>IF([1]Params!$A$14="","",[1]Params!$A$14)</f>
        <v>P08</v>
      </c>
      <c r="O13" t="str">
        <f>IF([1]Params!$B$14="","",[1]Params!$B$14)</f>
        <v/>
      </c>
      <c r="P13">
        <f>[1]Params!$C$14</f>
        <v>0</v>
      </c>
      <c r="T13" t="str">
        <f>IF([2]Baskol!$B$16="","",[2]Baskol!$B$16)</f>
        <v>1405/07/09</v>
      </c>
      <c r="U13" t="str">
        <f>IF([2]Baskol!$C$16="","",[2]Baskol!$C$16)</f>
        <v>08:50</v>
      </c>
      <c r="V13" t="str">
        <f>IF([2]Baskol!$D$16="","",[2]Baskol!$D$16)</f>
        <v>1005</v>
      </c>
      <c r="W13" t="str">
        <f>IF([2]Baskol!$E$16="","",[2]Baskol!$E$16)</f>
        <v>خرید مرکبات</v>
      </c>
      <c r="X13" t="str">
        <f>IF([2]Baskol!$G$16="","",[2]Baskol!$G$16)</f>
        <v>c005</v>
      </c>
      <c r="Y13" t="str">
        <f>IF([2]Baskol!$I$16="","",[2]Baskol!$I$16)</f>
        <v/>
      </c>
      <c r="Z13" t="str">
        <f>IF([2]Baskol!$J$16="","",[2]Baskol!$J$16)</f>
        <v>نارنگی</v>
      </c>
      <c r="AA13">
        <f>IF([2]Baskol!$K$16="","",[2]Baskol!$K$16)</f>
        <v>1105</v>
      </c>
      <c r="AB13">
        <f>IF([2]Baskol!$L$16="","",[2]Baskol!$L$16)</f>
        <v>66</v>
      </c>
      <c r="AC13" t="str">
        <f>IF([2]Baskol!$N$16="","",[2]Baskol!$N$16)</f>
        <v/>
      </c>
      <c r="AD13" t="str">
        <f>IF([2]Baskol!$O$16="","",[2]Baskol!$O$16)</f>
        <v/>
      </c>
      <c r="AE13" t="str">
        <f>IF([3]Entry!$C$16="","",[3]Entry!$C$16)</f>
        <v>1405/07/09</v>
      </c>
      <c r="AF13" t="str">
        <f>IF([3]Entry!$D$16="","",[3]Entry!$D$16)</f>
        <v>11:30</v>
      </c>
      <c r="AG13" t="str">
        <f>IF([3]Entry!$E$16="","",[3]Entry!$E$16)</f>
        <v>BANK02 – صادرات — جاری شرکت</v>
      </c>
      <c r="AH13" t="str">
        <f>IF([3]Entry!$G$16="","",[3]Entry!$G$16)</f>
        <v>SL002</v>
      </c>
      <c r="AI13" t="str">
        <f>IF([3]Entry!$K$16="","",[3]Entry!$K$16)</f>
        <v>فروش</v>
      </c>
      <c r="AJ13" t="str">
        <f>IF([3]Entry!$L$16="","",[3]Entry!$L$16)</f>
        <v/>
      </c>
      <c r="AK13">
        <f>IF([3]Entry!$M$16="","",[3]Entry!$M$16)</f>
        <v>1600000000</v>
      </c>
      <c r="AL13" t="str">
        <f>IF([3]Entry!$N$16="","",[3]Entry!$N$16)</f>
        <v/>
      </c>
      <c r="AM13" t="str">
        <f>IF([3]Entry!$R$16="","",[3]Entry!$R$16)</f>
        <v>تسویه فروشنده SL002 (نمونه)</v>
      </c>
    </row>
    <row r="14" spans="1:39" x14ac:dyDescent="0.2">
      <c r="A14" t="str">
        <f>IF([1]Accounts!$D$15="","",[1]Accounts!$A$15)</f>
        <v>C009</v>
      </c>
      <c r="B14" t="str">
        <f>IF([1]Accounts!$D$15="","",[1]Accounts!$B$15)</f>
        <v>فروشنده</v>
      </c>
      <c r="C14">
        <f>IF([1]Accounts!$D$15="","",[1]Accounts!$C$15)</f>
        <v>0</v>
      </c>
      <c r="D14" t="str">
        <f>IF([1]Accounts!$D$15="","",[1]Accounts!$D$15)</f>
        <v>همایون بابایی</v>
      </c>
      <c r="E14">
        <f>IF([1]Accounts!$D$15="","",[1]Accounts!$E$15)</f>
        <v>0</v>
      </c>
      <c r="F14">
        <f>IF([1]Accounts!$D$15="","",[1]Accounts!$F$15)</f>
        <v>0</v>
      </c>
      <c r="G14">
        <f>IF([1]Accounts!$D$15="","",[1]Accounts!$G$15)</f>
        <v>0</v>
      </c>
      <c r="I14" t="str">
        <f>IF([1]Ops!$B$15="","",[1]Ops!$A$15)</f>
        <v/>
      </c>
      <c r="J14" t="str">
        <f>IF([1]Ops!$B$15="","",[1]Ops!$B$15)</f>
        <v/>
      </c>
      <c r="K14" t="str">
        <f>IF([1]Ops!$B$15="","",[1]Ops!$C$15)</f>
        <v/>
      </c>
      <c r="L14" t="str">
        <f>IF([1]Ops!$B$15="","",[1]Ops!$D$15)</f>
        <v/>
      </c>
      <c r="N14" t="str">
        <f>IF([1]Params!$A$15="","",[1]Params!$A$15)</f>
        <v>P09</v>
      </c>
      <c r="O14" t="str">
        <f>IF([1]Params!$B$15="","",[1]Params!$B$15)</f>
        <v/>
      </c>
      <c r="P14">
        <f>[1]Params!$C$15</f>
        <v>0</v>
      </c>
      <c r="T14" t="str">
        <f>IF([2]Baskol!$B$17="","",[2]Baskol!$B$17)</f>
        <v>1405/07/09</v>
      </c>
      <c r="U14" t="str">
        <f>IF([2]Baskol!$C$17="","",[2]Baskol!$C$17)</f>
        <v/>
      </c>
      <c r="V14" t="str">
        <f>IF([2]Baskol!$D$17="","",[2]Baskol!$D$17)</f>
        <v/>
      </c>
      <c r="W14" t="str">
        <f>IF([2]Baskol!$E$17="","",[2]Baskol!$E$17)</f>
        <v>خرید مرکبات</v>
      </c>
      <c r="X14" t="str">
        <f>IF([2]Baskol!$G$17="","",[2]Baskol!$G$17)</f>
        <v>c006</v>
      </c>
      <c r="Y14" t="str">
        <f>IF([2]Baskol!$I$17="","",[2]Baskol!$I$17)</f>
        <v/>
      </c>
      <c r="Z14" t="str">
        <f>IF([2]Baskol!$J$17="","",[2]Baskol!$J$17)</f>
        <v>نارنگی</v>
      </c>
      <c r="AA14">
        <f>IF([2]Baskol!$K$17="","",[2]Baskol!$K$17)</f>
        <v>1595</v>
      </c>
      <c r="AB14">
        <f>IF([2]Baskol!$L$17="","",[2]Baskol!$L$17)</f>
        <v>101</v>
      </c>
      <c r="AC14" t="str">
        <f>IF([2]Baskol!$N$17="","",[2]Baskol!$N$17)</f>
        <v/>
      </c>
      <c r="AD14" t="str">
        <f>IF([2]Baskol!$O$17="","",[2]Baskol!$O$17)</f>
        <v/>
      </c>
      <c r="AE14" t="str">
        <f>IF([3]Entry!$C$17="","",[3]Entry!$C$17)</f>
        <v>1405/07/05</v>
      </c>
      <c r="AF14" t="str">
        <f>IF([3]Entry!$D$17="","",[3]Entry!$D$17)</f>
        <v>13:00</v>
      </c>
      <c r="AG14" t="str">
        <f>IF([3]Entry!$E$17="","",[3]Entry!$E$17)</f>
        <v>BANK01 – ملت — جاری شرکت</v>
      </c>
      <c r="AH14" t="str">
        <f>IF([3]Entry!$G$17="","",[3]Entry!$G$17)</f>
        <v>E002</v>
      </c>
      <c r="AI14" t="str">
        <f>IF([3]Entry!$K$17="","",[3]Entry!$K$17)</f>
        <v>هزینه</v>
      </c>
      <c r="AJ14" t="str">
        <f>IF([3]Entry!$L$17="","",[3]Entry!$L$17)</f>
        <v>دستمزد کارکنان</v>
      </c>
      <c r="AK14" t="str">
        <f>IF([3]Entry!$M$17="","",[3]Entry!$M$17)</f>
        <v/>
      </c>
      <c r="AL14">
        <f>IF([3]Entry!$N$17="","",[3]Entry!$N$17)</f>
        <v>25000000</v>
      </c>
      <c r="AM14" t="str">
        <f>IF([3]Entry!$R$17="","",[3]Entry!$R$17)</f>
        <v>دستمزد هفتگی (نمونه)</v>
      </c>
    </row>
    <row r="15" spans="1:39" x14ac:dyDescent="0.2">
      <c r="A15" t="str">
        <f>IF([1]Accounts!$D$16="","",[1]Accounts!$A$16)</f>
        <v>C010</v>
      </c>
      <c r="B15" t="str">
        <f>IF([1]Accounts!$D$16="","",[1]Accounts!$B$16)</f>
        <v>فروشنده</v>
      </c>
      <c r="C15">
        <f>IF([1]Accounts!$D$16="","",[1]Accounts!$C$16)</f>
        <v>0</v>
      </c>
      <c r="D15" t="str">
        <f>IF([1]Accounts!$D$16="","",[1]Accounts!$D$16)</f>
        <v>دبیر فرجی</v>
      </c>
      <c r="E15">
        <f>IF([1]Accounts!$D$16="","",[1]Accounts!$E$16)</f>
        <v>0</v>
      </c>
      <c r="F15">
        <f>IF([1]Accounts!$D$16="","",[1]Accounts!$F$16)</f>
        <v>0</v>
      </c>
      <c r="G15">
        <f>IF([1]Accounts!$D$16="","",[1]Accounts!$G$16)</f>
        <v>0</v>
      </c>
      <c r="I15" t="str">
        <f>IF([1]Ops!$B$16="","",[1]Ops!$A$16)</f>
        <v/>
      </c>
      <c r="J15" t="str">
        <f>IF([1]Ops!$B$16="","",[1]Ops!$B$16)</f>
        <v/>
      </c>
      <c r="K15" t="str">
        <f>IF([1]Ops!$B$16="","",[1]Ops!$C$16)</f>
        <v/>
      </c>
      <c r="L15" t="str">
        <f>IF([1]Ops!$B$16="","",[1]Ops!$D$16)</f>
        <v/>
      </c>
      <c r="N15" t="str">
        <f>IF([1]Params!$A$16="","",[1]Params!$A$16)</f>
        <v>P10</v>
      </c>
      <c r="O15" t="str">
        <f>IF([1]Params!$B$16="","",[1]Params!$B$16)</f>
        <v/>
      </c>
      <c r="P15">
        <f>[1]Params!$C$16</f>
        <v>0</v>
      </c>
      <c r="T15" t="str">
        <f>IF([2]Baskol!$B$18="","",[2]Baskol!$B$18)</f>
        <v>1405/07/09</v>
      </c>
      <c r="U15" t="str">
        <f>IF([2]Baskol!$C$18="","",[2]Baskol!$C$18)</f>
        <v/>
      </c>
      <c r="V15" t="str">
        <f>IF([2]Baskol!$D$18="","",[2]Baskol!$D$18)</f>
        <v/>
      </c>
      <c r="W15" t="str">
        <f>IF([2]Baskol!$E$18="","",[2]Baskol!$E$18)</f>
        <v>خرید مرکبات</v>
      </c>
      <c r="X15" t="str">
        <f>IF([2]Baskol!$G$18="","",[2]Baskol!$G$18)</f>
        <v>c006</v>
      </c>
      <c r="Y15" t="str">
        <f>IF([2]Baskol!$I$18="","",[2]Baskol!$I$18)</f>
        <v/>
      </c>
      <c r="Z15" t="str">
        <f>IF([2]Baskol!$J$18="","",[2]Baskol!$J$18)</f>
        <v>نارنگی</v>
      </c>
      <c r="AA15">
        <f>IF([2]Baskol!$K$18="","",[2]Baskol!$K$18)</f>
        <v>700</v>
      </c>
      <c r="AB15">
        <f>IF([2]Baskol!$L$18="","",[2]Baskol!$L$18)</f>
        <v>43</v>
      </c>
      <c r="AC15" t="str">
        <f>IF([2]Baskol!$N$18="","",[2]Baskol!$N$18)</f>
        <v/>
      </c>
      <c r="AD15" t="str">
        <f>IF([2]Baskol!$O$18="","",[2]Baskol!$O$18)</f>
        <v/>
      </c>
      <c r="AE15" t="str">
        <f>IF([3]Entry!$C$18="","",[3]Entry!$C$18)</f>
        <v>1405/07/06</v>
      </c>
      <c r="AF15" t="str">
        <f>IF([3]Entry!$D$18="","",[3]Entry!$D$18)</f>
        <v>16:30</v>
      </c>
      <c r="AG15" t="str">
        <f>IF([3]Entry!$E$18="","",[3]Entry!$E$18)</f>
        <v>BANK02 – صادرات — جاری شرکت</v>
      </c>
      <c r="AH15" t="str">
        <f>IF([3]Entry!$G$18="","",[3]Entry!$G$18)</f>
        <v>S002</v>
      </c>
      <c r="AI15" t="str">
        <f>IF([3]Entry!$K$18="","",[3]Entry!$K$18)</f>
        <v>هزینه</v>
      </c>
      <c r="AJ15" t="str">
        <f>IF([3]Entry!$L$18="","",[3]Entry!$L$18)</f>
        <v>رنگ و واکس</v>
      </c>
      <c r="AK15" t="str">
        <f>IF([3]Entry!$M$18="","",[3]Entry!$M$18)</f>
        <v/>
      </c>
      <c r="AL15">
        <f>IF([3]Entry!$N$18="","",[3]Entry!$N$18)</f>
        <v>4500000</v>
      </c>
      <c r="AM15" t="str">
        <f>IF([3]Entry!$R$18="","",[3]Entry!$R$18)</f>
        <v>خرید رنگ و واکس بسته‌بندی (نمونه)</v>
      </c>
    </row>
    <row r="16" spans="1:39" x14ac:dyDescent="0.2">
      <c r="A16" t="str">
        <f>IF([1]Accounts!$D$17="","",[1]Accounts!$A$17)</f>
        <v>C011</v>
      </c>
      <c r="B16" t="str">
        <f>IF([1]Accounts!$D$17="","",[1]Accounts!$B$17)</f>
        <v>فروشنده</v>
      </c>
      <c r="C16">
        <f>IF([1]Accounts!$D$17="","",[1]Accounts!$C$17)</f>
        <v>0</v>
      </c>
      <c r="D16" t="str">
        <f>IF([1]Accounts!$D$17="","",[1]Accounts!$D$17)</f>
        <v>محمود علیجانی</v>
      </c>
      <c r="E16">
        <f>IF([1]Accounts!$D$17="","",[1]Accounts!$E$17)</f>
        <v>0</v>
      </c>
      <c r="F16">
        <f>IF([1]Accounts!$D$17="","",[1]Accounts!$F$17)</f>
        <v>0</v>
      </c>
      <c r="G16">
        <f>IF([1]Accounts!$D$17="","",[1]Accounts!$G$17)</f>
        <v>0</v>
      </c>
      <c r="I16" t="str">
        <f>IF([1]Ops!$B$17="","",[1]Ops!$A$17)</f>
        <v/>
      </c>
      <c r="J16" t="str">
        <f>IF([1]Ops!$B$17="","",[1]Ops!$B$17)</f>
        <v/>
      </c>
      <c r="K16" t="str">
        <f>IF([1]Ops!$B$17="","",[1]Ops!$C$17)</f>
        <v/>
      </c>
      <c r="L16" t="str">
        <f>IF([1]Ops!$B$17="","",[1]Ops!$D$17)</f>
        <v/>
      </c>
      <c r="N16" t="str">
        <f>IF([1]Params!$A$17="","",[1]Params!$A$17)</f>
        <v>P11</v>
      </c>
      <c r="O16" t="str">
        <f>IF([1]Params!$B$17="","",[1]Params!$B$17)</f>
        <v/>
      </c>
      <c r="P16">
        <f>[1]Params!$C$17</f>
        <v>0</v>
      </c>
      <c r="T16" t="str">
        <f>IF([2]Baskol!$B$19="","",[2]Baskol!$B$19)</f>
        <v>1405/07/09</v>
      </c>
      <c r="U16" t="str">
        <f>IF([2]Baskol!$C$19="","",[2]Baskol!$C$19)</f>
        <v/>
      </c>
      <c r="V16" t="str">
        <f>IF([2]Baskol!$D$19="","",[2]Baskol!$D$19)</f>
        <v/>
      </c>
      <c r="W16" t="str">
        <f>IF([2]Baskol!$E$19="","",[2]Baskol!$E$19)</f>
        <v>خرید مرکبات</v>
      </c>
      <c r="X16" t="str">
        <f>IF([2]Baskol!$G$19="","",[2]Baskol!$G$19)</f>
        <v>c007</v>
      </c>
      <c r="Y16" t="str">
        <f>IF([2]Baskol!$I$19="","",[2]Baskol!$I$19)</f>
        <v/>
      </c>
      <c r="Z16" t="str">
        <f>IF([2]Baskol!$J$19="","",[2]Baskol!$J$19)</f>
        <v>نارنگی</v>
      </c>
      <c r="AA16">
        <f>IF([2]Baskol!$K$19="","",[2]Baskol!$K$19)</f>
        <v>2085</v>
      </c>
      <c r="AB16">
        <f>IF([2]Baskol!$L$19="","",[2]Baskol!$L$19)</f>
        <v>120</v>
      </c>
      <c r="AC16" t="str">
        <f>IF([2]Baskol!$N$19="","",[2]Baskol!$N$19)</f>
        <v/>
      </c>
      <c r="AD16" t="str">
        <f>IF([2]Baskol!$O$19="","",[2]Baskol!$O$19)</f>
        <v/>
      </c>
      <c r="AE16" t="str">
        <f>IF([3]Entry!$C$19="","",[3]Entry!$C$19)</f>
        <v>1405/07/07</v>
      </c>
      <c r="AF16" t="str">
        <f>IF([3]Entry!$D$19="","",[3]Entry!$D$19)</f>
        <v>09:15</v>
      </c>
      <c r="AG16" t="str">
        <f>IF([3]Entry!$E$19="","",[3]Entry!$E$19)</f>
        <v>BANK01 – ملت — جاری شرکت</v>
      </c>
      <c r="AH16" t="str">
        <f>IF([3]Entry!$G$19="","",[3]Entry!$G$19)</f>
        <v>E003</v>
      </c>
      <c r="AI16" t="str">
        <f>IF([3]Entry!$K$19="","",[3]Entry!$K$19)</f>
        <v>هزینه</v>
      </c>
      <c r="AJ16" t="str">
        <f>IF([3]Entry!$L$19="","",[3]Entry!$L$19)</f>
        <v>مواد غذایی</v>
      </c>
      <c r="AK16" t="str">
        <f>IF([3]Entry!$M$19="","",[3]Entry!$M$19)</f>
        <v/>
      </c>
      <c r="AL16">
        <f>IF([3]Entry!$N$19="","",[3]Entry!$N$19)</f>
        <v>8000000</v>
      </c>
      <c r="AM16" t="str">
        <f>IF([3]Entry!$R$19="","",[3]Entry!$R$19)</f>
        <v>خوراک سالن (نمونه)</v>
      </c>
    </row>
    <row r="17" spans="1:39" x14ac:dyDescent="0.2">
      <c r="A17" t="str">
        <f>IF([1]Accounts!$D$18="","",[1]Accounts!$A$18)</f>
        <v>C012</v>
      </c>
      <c r="B17" t="str">
        <f>IF([1]Accounts!$D$18="","",[1]Accounts!$B$18)</f>
        <v>فروشنده</v>
      </c>
      <c r="C17">
        <f>IF([1]Accounts!$D$18="","",[1]Accounts!$C$18)</f>
        <v>0</v>
      </c>
      <c r="D17" t="str">
        <f>IF([1]Accounts!$D$18="","",[1]Accounts!$D$18)</f>
        <v>افشین بشتکار</v>
      </c>
      <c r="E17">
        <f>IF([1]Accounts!$D$18="","",[1]Accounts!$E$18)</f>
        <v>0</v>
      </c>
      <c r="F17">
        <f>IF([1]Accounts!$D$18="","",[1]Accounts!$F$18)</f>
        <v>0</v>
      </c>
      <c r="G17">
        <f>IF([1]Accounts!$D$18="","",[1]Accounts!$G$18)</f>
        <v>0</v>
      </c>
      <c r="I17" t="str">
        <f>IF([1]Ops!$B$18="","",[1]Ops!$A$18)</f>
        <v/>
      </c>
      <c r="J17" t="str">
        <f>IF([1]Ops!$B$18="","",[1]Ops!$B$18)</f>
        <v/>
      </c>
      <c r="K17" t="str">
        <f>IF([1]Ops!$B$18="","",[1]Ops!$C$18)</f>
        <v/>
      </c>
      <c r="L17" t="str">
        <f>IF([1]Ops!$B$18="","",[1]Ops!$D$18)</f>
        <v/>
      </c>
      <c r="N17" t="str">
        <f>IF([1]Params!$A$18="","",[1]Params!$A$18)</f>
        <v>P12</v>
      </c>
      <c r="O17" t="str">
        <f>IF([1]Params!$B$18="","",[1]Params!$B$18)</f>
        <v/>
      </c>
      <c r="P17">
        <f>[1]Params!$C$18</f>
        <v>0</v>
      </c>
      <c r="T17" t="str">
        <f>IF([2]Baskol!$B$20="","",[2]Baskol!$B$20)</f>
        <v>1405/07/09</v>
      </c>
      <c r="U17" t="str">
        <f>IF([2]Baskol!$C$20="","",[2]Baskol!$C$20)</f>
        <v/>
      </c>
      <c r="V17" t="str">
        <f>IF([2]Baskol!$D$20="","",[2]Baskol!$D$20)</f>
        <v/>
      </c>
      <c r="W17" t="str">
        <f>IF([2]Baskol!$E$20="","",[2]Baskol!$E$20)</f>
        <v>خرید مرکبات</v>
      </c>
      <c r="X17" t="str">
        <f>IF([2]Baskol!$G$20="","",[2]Baskol!$G$20)</f>
        <v>c006</v>
      </c>
      <c r="Y17" t="str">
        <f>IF([2]Baskol!$I$20="","",[2]Baskol!$I$20)</f>
        <v/>
      </c>
      <c r="Z17" t="str">
        <f>IF([2]Baskol!$J$20="","",[2]Baskol!$J$20)</f>
        <v>نارنگی</v>
      </c>
      <c r="AA17">
        <f>IF([2]Baskol!$K$20="","",[2]Baskol!$K$20)</f>
        <v>1762</v>
      </c>
      <c r="AB17">
        <f>IF([2]Baskol!$L$20="","",[2]Baskol!$L$20)</f>
        <v>108</v>
      </c>
      <c r="AC17" t="str">
        <f>IF([2]Baskol!$N$20="","",[2]Baskol!$N$20)</f>
        <v/>
      </c>
      <c r="AD17" t="str">
        <f>IF([2]Baskol!$O$20="","",[2]Baskol!$O$20)</f>
        <v/>
      </c>
      <c r="AE17" t="str">
        <f>IF([3]Entry!$C$20="","",[3]Entry!$C$20)</f>
        <v>1405/07/08</v>
      </c>
      <c r="AF17" t="str">
        <f>IF([3]Entry!$D$20="","",[3]Entry!$D$20)</f>
        <v>12:00</v>
      </c>
      <c r="AG17" t="str">
        <f>IF([3]Entry!$E$20="","",[3]Entry!$E$20)</f>
        <v>BANK01 – ملت — جاری شرکت</v>
      </c>
      <c r="AH17" t="str">
        <f>IF([3]Entry!$G$20="","",[3]Entry!$G$20)</f>
        <v>E001</v>
      </c>
      <c r="AI17" t="str">
        <f>IF([3]Entry!$K$20="","",[3]Entry!$K$20)</f>
        <v>شخصی قاسم</v>
      </c>
      <c r="AJ17" t="str">
        <f>IF([3]Entry!$L$20="","",[3]Entry!$L$20)</f>
        <v/>
      </c>
      <c r="AK17" t="str">
        <f>IF([3]Entry!$M$20="","",[3]Entry!$M$20)</f>
        <v/>
      </c>
      <c r="AL17">
        <f>IF([3]Entry!$N$20="","",[3]Entry!$N$20)</f>
        <v>20000000</v>
      </c>
      <c r="AM17" t="str">
        <f>IF([3]Entry!$R$20="","",[3]Entry!$R$20)</f>
        <v>برداشت شخصی مدیریت (نمونه)</v>
      </c>
    </row>
    <row r="18" spans="1:39" x14ac:dyDescent="0.2">
      <c r="A18" t="str">
        <f>IF([1]Accounts!$D$19="","",[1]Accounts!$A$19)</f>
        <v>C013</v>
      </c>
      <c r="B18" t="str">
        <f>IF([1]Accounts!$D$19="","",[1]Accounts!$B$19)</f>
        <v>فروشنده</v>
      </c>
      <c r="C18">
        <f>IF([1]Accounts!$D$19="","",[1]Accounts!$C$19)</f>
        <v>0</v>
      </c>
      <c r="D18" t="str">
        <f>IF([1]Accounts!$D$19="","",[1]Accounts!$D$19)</f>
        <v>میرقربان موسویان</v>
      </c>
      <c r="E18">
        <f>IF([1]Accounts!$D$19="","",[1]Accounts!$E$19)</f>
        <v>0</v>
      </c>
      <c r="F18">
        <f>IF([1]Accounts!$D$19="","",[1]Accounts!$F$19)</f>
        <v>0</v>
      </c>
      <c r="G18">
        <f>IF([1]Accounts!$D$19="","",[1]Accounts!$G$19)</f>
        <v>0</v>
      </c>
      <c r="I18" t="str">
        <f>IF([1]Ops!$B$19="","",[1]Ops!$A$19)</f>
        <v/>
      </c>
      <c r="J18" t="str">
        <f>IF([1]Ops!$B$19="","",[1]Ops!$B$19)</f>
        <v/>
      </c>
      <c r="K18" t="str">
        <f>IF([1]Ops!$B$19="","",[1]Ops!$C$19)</f>
        <v/>
      </c>
      <c r="L18" t="str">
        <f>IF([1]Ops!$B$19="","",[1]Ops!$D$19)</f>
        <v/>
      </c>
      <c r="T18" t="str">
        <f>IF([2]Baskol!$B$21="","",[2]Baskol!$B$21)</f>
        <v>1405/07/09</v>
      </c>
      <c r="U18" t="str">
        <f>IF([2]Baskol!$C$21="","",[2]Baskol!$C$21)</f>
        <v/>
      </c>
      <c r="V18" t="str">
        <f>IF([2]Baskol!$D$21="","",[2]Baskol!$D$21)</f>
        <v/>
      </c>
      <c r="W18" t="str">
        <f>IF([2]Baskol!$E$21="","",[2]Baskol!$E$21)</f>
        <v>خرید مرکبات</v>
      </c>
      <c r="X18" t="str">
        <f>IF([2]Baskol!$G$21="","",[2]Baskol!$G$21)</f>
        <v>c003</v>
      </c>
      <c r="Y18" t="str">
        <f>IF([2]Baskol!$I$21="","",[2]Baskol!$I$21)</f>
        <v/>
      </c>
      <c r="Z18" t="str">
        <f>IF([2]Baskol!$J$21="","",[2]Baskol!$J$21)</f>
        <v>نارنگی</v>
      </c>
      <c r="AA18">
        <f>IF([2]Baskol!$K$21="","",[2]Baskol!$K$21)</f>
        <v>733</v>
      </c>
      <c r="AB18">
        <f>IF([2]Baskol!$L$21="","",[2]Baskol!$L$21)</f>
        <v>45</v>
      </c>
      <c r="AC18" t="str">
        <f>IF([2]Baskol!$N$21="","",[2]Baskol!$N$21)</f>
        <v/>
      </c>
      <c r="AD18" t="str">
        <f>IF([2]Baskol!$O$21="","",[2]Baskol!$O$21)</f>
        <v/>
      </c>
      <c r="AE18" t="str">
        <f>IF([3]Entry!$C$21="","",[3]Entry!$C$21)</f>
        <v>1405/07/07</v>
      </c>
      <c r="AF18" t="str">
        <f>IF([3]Entry!$D$21="","",[3]Entry!$D$21)</f>
        <v>10:00</v>
      </c>
      <c r="AG18" t="str">
        <f>IF([3]Entry!$E$21="","",[3]Entry!$E$21)</f>
        <v>BANK01 – ملت — جاری شرکت</v>
      </c>
      <c r="AH18" t="str">
        <f>IF([3]Entry!$G$21="","",[3]Entry!$G$21)</f>
        <v>S001</v>
      </c>
      <c r="AI18" t="str">
        <f>IF([3]Entry!$K$21="","",[3]Entry!$K$21)</f>
        <v>خرید</v>
      </c>
      <c r="AJ18" t="str">
        <f>IF([3]Entry!$L$21="","",[3]Entry!$L$21)</f>
        <v/>
      </c>
      <c r="AK18" t="str">
        <f>IF([3]Entry!$M$21="","",[3]Entry!$M$21)</f>
        <v/>
      </c>
      <c r="AL18">
        <f>IF([3]Entry!$N$21="","",[3]Entry!$N$21)</f>
        <v>15000000</v>
      </c>
      <c r="AM18" t="str">
        <f>IF([3]Entry!$R$21="","",[3]Entry!$R$21)</f>
        <v>پیش‌پرداخت باغ آقای رستمی (نمونه)</v>
      </c>
    </row>
    <row r="19" spans="1:39" x14ac:dyDescent="0.2">
      <c r="A19" t="str">
        <f>IF([1]Accounts!$D$20="","",[1]Accounts!$A$20)</f>
        <v>C014</v>
      </c>
      <c r="B19" t="str">
        <f>IF([1]Accounts!$D$20="","",[1]Accounts!$B$20)</f>
        <v>فروشنده</v>
      </c>
      <c r="C19">
        <f>IF([1]Accounts!$D$20="","",[1]Accounts!$C$20)</f>
        <v>0</v>
      </c>
      <c r="D19" t="str">
        <f>IF([1]Accounts!$D$20="","",[1]Accounts!$D$20)</f>
        <v>باباجانی (تراجیکلا)</v>
      </c>
      <c r="E19">
        <f>IF([1]Accounts!$D$20="","",[1]Accounts!$E$20)</f>
        <v>0</v>
      </c>
      <c r="F19">
        <f>IF([1]Accounts!$D$20="","",[1]Accounts!$F$20)</f>
        <v>0</v>
      </c>
      <c r="G19">
        <f>IF([1]Accounts!$D$20="","",[1]Accounts!$G$20)</f>
        <v>0</v>
      </c>
      <c r="I19" t="str">
        <f>IF([1]Ops!$B$20="","",[1]Ops!$A$20)</f>
        <v/>
      </c>
      <c r="J19" t="str">
        <f>IF([1]Ops!$B$20="","",[1]Ops!$B$20)</f>
        <v/>
      </c>
      <c r="K19" t="str">
        <f>IF([1]Ops!$B$20="","",[1]Ops!$C$20)</f>
        <v/>
      </c>
      <c r="L19" t="str">
        <f>IF([1]Ops!$B$20="","",[1]Ops!$D$20)</f>
        <v/>
      </c>
      <c r="T19" t="str">
        <f>IF([2]Baskol!$B$22="","",[2]Baskol!$B$22)</f>
        <v>1405/07/09</v>
      </c>
      <c r="U19" t="str">
        <f>IF([2]Baskol!$C$22="","",[2]Baskol!$C$22)</f>
        <v/>
      </c>
      <c r="V19" t="str">
        <f>IF([2]Baskol!$D$22="","",[2]Baskol!$D$22)</f>
        <v/>
      </c>
      <c r="W19" t="str">
        <f>IF([2]Baskol!$E$22="","",[2]Baskol!$E$22)</f>
        <v>خرید مرکبات</v>
      </c>
      <c r="X19" t="str">
        <f>IF([2]Baskol!$G$22="","",[2]Baskol!$G$22)</f>
        <v>c008</v>
      </c>
      <c r="Y19" t="str">
        <f>IF([2]Baskol!$I$22="","",[2]Baskol!$I$22)</f>
        <v/>
      </c>
      <c r="Z19" t="str">
        <f>IF([2]Baskol!$J$22="","",[2]Baskol!$J$22)</f>
        <v>نارنگی</v>
      </c>
      <c r="AA19">
        <f>IF([2]Baskol!$K$22="","",[2]Baskol!$K$22)</f>
        <v>605</v>
      </c>
      <c r="AB19">
        <f>IF([2]Baskol!$L$22="","",[2]Baskol!$L$22)</f>
        <v>36</v>
      </c>
      <c r="AC19" t="str">
        <f>IF([2]Baskol!$N$22="","",[2]Baskol!$N$22)</f>
        <v/>
      </c>
      <c r="AD19" t="str">
        <f>IF([2]Baskol!$O$22="","",[2]Baskol!$O$22)</f>
        <v/>
      </c>
      <c r="AE19" t="str">
        <f>IF([3]Entry!$C$22="","",[3]Entry!$C$22)</f>
        <v>1405/07/15</v>
      </c>
      <c r="AF19" t="str">
        <f>IF([3]Entry!$D$22="","",[3]Entry!$D$22)</f>
        <v>09:00</v>
      </c>
      <c r="AG19" t="str">
        <f>IF([3]Entry!$E$22="","",[3]Entry!$E$22)</f>
        <v>BANK01 – ملت — جاری شرکت</v>
      </c>
      <c r="AH19" t="str">
        <f>IF([3]Entry!$G$22="","",[3]Entry!$G$22)</f>
        <v>S001</v>
      </c>
      <c r="AI19" t="str">
        <f>IF([3]Entry!$K$22="","",[3]Entry!$K$22)</f>
        <v/>
      </c>
      <c r="AJ19" t="str">
        <f>IF([3]Entry!$L$22="","",[3]Entry!$L$22)</f>
        <v/>
      </c>
      <c r="AK19" t="str">
        <f>IF([3]Entry!$M$22="","",[3]Entry!$M$22)</f>
        <v/>
      </c>
      <c r="AL19">
        <f>IF([3]Entry!$N$22="","",[3]Entry!$N$22)</f>
        <v>80000000</v>
      </c>
      <c r="AM19" t="str">
        <f>IF([3]Entry!$R$22="","",[3]Entry!$R$22)</f>
        <v>پاس شدن چک ۲۴۰۱۲۳۴۵ — تسویه خرید باغ (نمونه)</v>
      </c>
    </row>
    <row r="20" spans="1:39" x14ac:dyDescent="0.2">
      <c r="A20" t="str">
        <f>IF([1]Accounts!$D$21="","",[1]Accounts!$A$21)</f>
        <v>C015</v>
      </c>
      <c r="B20" t="str">
        <f>IF([1]Accounts!$D$21="","",[1]Accounts!$B$21)</f>
        <v>فروشنده</v>
      </c>
      <c r="C20">
        <f>IF([1]Accounts!$D$21="","",[1]Accounts!$C$21)</f>
        <v>0</v>
      </c>
      <c r="D20" t="str">
        <f>IF([1]Accounts!$D$21="","",[1]Accounts!$D$21)</f>
        <v>کاظم میرزازاده</v>
      </c>
      <c r="E20">
        <f>IF([1]Accounts!$D$21="","",[1]Accounts!$E$21)</f>
        <v>0</v>
      </c>
      <c r="F20">
        <f>IF([1]Accounts!$D$21="","",[1]Accounts!$F$21)</f>
        <v>0</v>
      </c>
      <c r="G20">
        <f>IF([1]Accounts!$D$21="","",[1]Accounts!$G$21)</f>
        <v>0</v>
      </c>
      <c r="I20" t="str">
        <f>IF([1]Ops!$B$21="","",[1]Ops!$A$21)</f>
        <v/>
      </c>
      <c r="J20" t="str">
        <f>IF([1]Ops!$B$21="","",[1]Ops!$B$21)</f>
        <v/>
      </c>
      <c r="K20" t="str">
        <f>IF([1]Ops!$B$21="","",[1]Ops!$C$21)</f>
        <v/>
      </c>
      <c r="L20" t="str">
        <f>IF([1]Ops!$B$21="","",[1]Ops!$D$21)</f>
        <v/>
      </c>
      <c r="T20" t="str">
        <f>IF([2]Baskol!$B$23="","",[2]Baskol!$B$23)</f>
        <v>1405/07/10</v>
      </c>
      <c r="U20" t="str">
        <f>IF([2]Baskol!$C$23="","",[2]Baskol!$C$23)</f>
        <v/>
      </c>
      <c r="V20" t="str">
        <f>IF([2]Baskol!$D$23="","",[2]Baskol!$D$23)</f>
        <v/>
      </c>
      <c r="W20" t="str">
        <f>IF([2]Baskol!$E$23="","",[2]Baskol!$E$23)</f>
        <v>خرید مرکبات</v>
      </c>
      <c r="X20" t="str">
        <f>IF([2]Baskol!$G$23="","",[2]Baskol!$G$23)</f>
        <v>c009</v>
      </c>
      <c r="Y20" t="str">
        <f>IF([2]Baskol!$I$23="","",[2]Baskol!$I$23)</f>
        <v/>
      </c>
      <c r="Z20" t="str">
        <f>IF([2]Baskol!$J$23="","",[2]Baskol!$J$23)</f>
        <v>نارنگی</v>
      </c>
      <c r="AA20">
        <f>IF([2]Baskol!$K$23="","",[2]Baskol!$K$23)</f>
        <v>3065</v>
      </c>
      <c r="AB20">
        <f>IF([2]Baskol!$L$23="","",[2]Baskol!$L$23)</f>
        <v>190</v>
      </c>
      <c r="AC20" t="str">
        <f>IF([2]Baskol!$N$23="","",[2]Baskol!$N$23)</f>
        <v/>
      </c>
      <c r="AD20" t="str">
        <f>IF([2]Baskol!$O$23="","",[2]Baskol!$O$23)</f>
        <v/>
      </c>
      <c r="AE20" t="str">
        <f>IF([3]Entry!$C$23="","",[3]Entry!$C$23)</f>
        <v>1405/07/11</v>
      </c>
      <c r="AF20" t="str">
        <f>IF([3]Entry!$D$23="","",[3]Entry!$D$23)</f>
        <v>10:00</v>
      </c>
      <c r="AG20" t="str">
        <f>IF([3]Entry!$E$23="","",[3]Entry!$E$23)</f>
        <v>BANK01 – ملت — جاری شرکت</v>
      </c>
      <c r="AH20" t="str">
        <f>IF([3]Entry!$G$23="","",[3]Entry!$G$23)</f>
        <v>CAP001</v>
      </c>
      <c r="AI20" t="str">
        <f>IF([3]Entry!$K$23="","",[3]Entry!$K$23)</f>
        <v>سرمایه و آورده</v>
      </c>
      <c r="AJ20" t="str">
        <f>IF([3]Entry!$L$23="","",[3]Entry!$L$23)</f>
        <v>سرمایه اولیه و آورده نقدی</v>
      </c>
      <c r="AK20">
        <f>IF([3]Entry!$M$23="","",[3]Entry!$M$23)</f>
        <v>400000000</v>
      </c>
      <c r="AL20" t="str">
        <f>IF([3]Entry!$N$23="","",[3]Entry!$N$23)</f>
        <v/>
      </c>
      <c r="AM20" t="str">
        <f>IF([3]Entry!$R$23="","",[3]Entry!$R$23)</f>
        <v>فروش زمین شخصی و آورده نقدی صاحب سرمایه (نمونه)</v>
      </c>
    </row>
    <row r="21" spans="1:39" x14ac:dyDescent="0.2">
      <c r="A21" t="str">
        <f>IF([1]Accounts!$D$22="","",[1]Accounts!$A$22)</f>
        <v>C016</v>
      </c>
      <c r="B21" t="str">
        <f>IF([1]Accounts!$D$22="","",[1]Accounts!$B$22)</f>
        <v>فروشنده</v>
      </c>
      <c r="C21">
        <f>IF([1]Accounts!$D$22="","",[1]Accounts!$C$22)</f>
        <v>0</v>
      </c>
      <c r="D21" t="str">
        <f>IF([1]Accounts!$D$22="","",[1]Accounts!$D$22)</f>
        <v>علی جانبرارپور</v>
      </c>
      <c r="E21">
        <f>IF([1]Accounts!$D$22="","",[1]Accounts!$E$22)</f>
        <v>0</v>
      </c>
      <c r="F21">
        <f>IF([1]Accounts!$D$22="","",[1]Accounts!$F$22)</f>
        <v>0</v>
      </c>
      <c r="G21">
        <f>IF([1]Accounts!$D$22="","",[1]Accounts!$G$22)</f>
        <v>0</v>
      </c>
      <c r="I21" t="str">
        <f>IF([1]Ops!$B$22="","",[1]Ops!$A$22)</f>
        <v/>
      </c>
      <c r="J21" t="str">
        <f>IF([1]Ops!$B$22="","",[1]Ops!$B$22)</f>
        <v/>
      </c>
      <c r="K21" t="str">
        <f>IF([1]Ops!$B$22="","",[1]Ops!$C$22)</f>
        <v/>
      </c>
      <c r="L21" t="str">
        <f>IF([1]Ops!$B$22="","",[1]Ops!$D$22)</f>
        <v/>
      </c>
      <c r="T21" t="str">
        <f>IF([2]Baskol!$B$24="","",[2]Baskol!$B$24)</f>
        <v>1405/07/10</v>
      </c>
      <c r="U21" t="str">
        <f>IF([2]Baskol!$C$24="","",[2]Baskol!$C$24)</f>
        <v/>
      </c>
      <c r="V21" t="str">
        <f>IF([2]Baskol!$D$24="","",[2]Baskol!$D$24)</f>
        <v/>
      </c>
      <c r="W21" t="str">
        <f>IF([2]Baskol!$E$24="","",[2]Baskol!$E$24)</f>
        <v>خرید مرکبات</v>
      </c>
      <c r="X21" t="str">
        <f>IF([2]Baskol!$G$24="","",[2]Baskol!$G$24)</f>
        <v>c010</v>
      </c>
      <c r="Y21" t="str">
        <f>IF([2]Baskol!$I$24="","",[2]Baskol!$I$24)</f>
        <v/>
      </c>
      <c r="Z21" t="str">
        <f>IF([2]Baskol!$J$24="","",[2]Baskol!$J$24)</f>
        <v>خرمالو</v>
      </c>
      <c r="AA21">
        <f>IF([2]Baskol!$K$24="","",[2]Baskol!$K$24)</f>
        <v>95</v>
      </c>
      <c r="AB21">
        <f>IF([2]Baskol!$L$24="","",[2]Baskol!$L$24)</f>
        <v>0</v>
      </c>
      <c r="AC21" t="str">
        <f>IF([2]Baskol!$N$24="","",[2]Baskol!$N$24)</f>
        <v/>
      </c>
      <c r="AD21" t="str">
        <f>IF([2]Baskol!$O$24="","",[2]Baskol!$O$24)</f>
        <v/>
      </c>
      <c r="AE21" t="str">
        <f>IF([3]Entry!$C$24="","",[3]Entry!$C$24)</f>
        <v>1405/07/12</v>
      </c>
      <c r="AF21" t="str">
        <f>IF([3]Entry!$D$24="","",[3]Entry!$D$24)</f>
        <v>09:30</v>
      </c>
      <c r="AG21" t="str">
        <f>IF([3]Entry!$E$24="","",[3]Entry!$E$24)</f>
        <v>BANK02 – صادرات — جاری شرکت</v>
      </c>
      <c r="AH21" t="str">
        <f>IF([3]Entry!$G$24="","",[3]Entry!$G$24)</f>
        <v>L001</v>
      </c>
      <c r="AI21" t="str">
        <f>IF([3]Entry!$K$24="","",[3]Entry!$K$24)</f>
        <v>وام و تسهیلات</v>
      </c>
      <c r="AJ21" t="str">
        <f>IF([3]Entry!$L$24="","",[3]Entry!$L$24)</f>
        <v/>
      </c>
      <c r="AK21">
        <f>IF([3]Entry!$M$24="","",[3]Entry!$M$24)</f>
        <v>200000000</v>
      </c>
      <c r="AL21" t="str">
        <f>IF([3]Entry!$N$24="","",[3]Entry!$N$24)</f>
        <v/>
      </c>
      <c r="AM21" t="str">
        <f>IF([3]Entry!$R$24="","",[3]Entry!$R$24)</f>
        <v>دریافت وام بانک ملت (نمونه)</v>
      </c>
    </row>
    <row r="22" spans="1:39" x14ac:dyDescent="0.2">
      <c r="A22" t="str">
        <f>IF([1]Accounts!$D$23="","",[1]Accounts!$A$23)</f>
        <v>C017</v>
      </c>
      <c r="B22" t="str">
        <f>IF([1]Accounts!$D$23="","",[1]Accounts!$B$23)</f>
        <v>فروشنده</v>
      </c>
      <c r="C22">
        <f>IF([1]Accounts!$D$23="","",[1]Accounts!$C$23)</f>
        <v>0</v>
      </c>
      <c r="D22" t="str">
        <f>IF([1]Accounts!$D$23="","",[1]Accounts!$D$23)</f>
        <v>لیلا محمودنیا</v>
      </c>
      <c r="E22">
        <f>IF([1]Accounts!$D$23="","",[1]Accounts!$E$23)</f>
        <v>0</v>
      </c>
      <c r="F22">
        <f>IF([1]Accounts!$D$23="","",[1]Accounts!$F$23)</f>
        <v>0</v>
      </c>
      <c r="G22">
        <f>IF([1]Accounts!$D$23="","",[1]Accounts!$G$23)</f>
        <v>0</v>
      </c>
      <c r="I22" t="str">
        <f>IF([1]Ops!$B$23="","",[1]Ops!$A$23)</f>
        <v/>
      </c>
      <c r="J22" t="str">
        <f>IF([1]Ops!$B$23="","",[1]Ops!$B$23)</f>
        <v/>
      </c>
      <c r="K22" t="str">
        <f>IF([1]Ops!$B$23="","",[1]Ops!$C$23)</f>
        <v/>
      </c>
      <c r="L22" t="str">
        <f>IF([1]Ops!$B$23="","",[1]Ops!$D$23)</f>
        <v/>
      </c>
      <c r="T22" t="str">
        <f>IF([2]Baskol!$B$25="","",[2]Baskol!$B$25)</f>
        <v>1405/07/10</v>
      </c>
      <c r="U22" t="str">
        <f>IF([2]Baskol!$C$25="","",[2]Baskol!$C$25)</f>
        <v/>
      </c>
      <c r="V22" t="str">
        <f>IF([2]Baskol!$D$25="","",[2]Baskol!$D$25)</f>
        <v/>
      </c>
      <c r="W22" t="str">
        <f>IF([2]Baskol!$E$25="","",[2]Baskol!$E$25)</f>
        <v>خرید مرکبات</v>
      </c>
      <c r="X22" t="str">
        <f>IF([2]Baskol!$G$25="","",[2]Baskol!$G$25)</f>
        <v>c011</v>
      </c>
      <c r="Y22" t="str">
        <f>IF([2]Baskol!$I$25="","",[2]Baskol!$I$25)</f>
        <v/>
      </c>
      <c r="Z22" t="str">
        <f>IF([2]Baskol!$J$25="","",[2]Baskol!$J$25)</f>
        <v>نارنگی</v>
      </c>
      <c r="AA22">
        <f>IF([2]Baskol!$K$25="","",[2]Baskol!$K$25)</f>
        <v>585</v>
      </c>
      <c r="AB22">
        <f>IF([2]Baskol!$L$25="","",[2]Baskol!$L$25)</f>
        <v>33</v>
      </c>
      <c r="AC22" t="str">
        <f>IF([2]Baskol!$N$25="","",[2]Baskol!$N$25)</f>
        <v/>
      </c>
      <c r="AD22" t="str">
        <f>IF([2]Baskol!$O$25="","",[2]Baskol!$O$25)</f>
        <v/>
      </c>
      <c r="AE22" t="str">
        <f>IF([3]Entry!$C$25="","",[3]Entry!$C$25)</f>
        <v>1405/07/16</v>
      </c>
      <c r="AF22" t="str">
        <f>IF([3]Entry!$D$25="","",[3]Entry!$D$25)</f>
        <v>10:00</v>
      </c>
      <c r="AG22" t="str">
        <f>IF([3]Entry!$E$25="","",[3]Entry!$E$25)</f>
        <v>BANK02 – صادرات — جاری شرکت</v>
      </c>
      <c r="AH22" t="str">
        <f>IF([3]Entry!$G$25="","",[3]Entry!$G$25)</f>
        <v>L001</v>
      </c>
      <c r="AI22" t="str">
        <f>IF([3]Entry!$K$25="","",[3]Entry!$K$25)</f>
        <v>وام و تسهیلات</v>
      </c>
      <c r="AJ22" t="str">
        <f>IF([3]Entry!$L$25="","",[3]Entry!$L$25)</f>
        <v/>
      </c>
      <c r="AK22" t="str">
        <f>IF([3]Entry!$M$25="","",[3]Entry!$M$25)</f>
        <v/>
      </c>
      <c r="AL22">
        <f>IF([3]Entry!$N$25="","",[3]Entry!$N$25)</f>
        <v>20000000</v>
      </c>
      <c r="AM22" t="str">
        <f>IF([3]Entry!$R$25="","",[3]Entry!$R$25)</f>
        <v>پرداخت قسط وام — اصل (نمونه)</v>
      </c>
    </row>
    <row r="23" spans="1:39" x14ac:dyDescent="0.2">
      <c r="A23" t="str">
        <f>IF([1]Accounts!$D$24="","",[1]Accounts!$A$24)</f>
        <v>C018</v>
      </c>
      <c r="B23" t="str">
        <f>IF([1]Accounts!$D$24="","",[1]Accounts!$B$24)</f>
        <v>فروشنده</v>
      </c>
      <c r="C23">
        <f>IF([1]Accounts!$D$24="","",[1]Accounts!$C$24)</f>
        <v>0</v>
      </c>
      <c r="D23" t="str">
        <f>IF([1]Accounts!$D$24="","",[1]Accounts!$D$24)</f>
        <v>اسماعیل خانیا</v>
      </c>
      <c r="E23">
        <f>IF([1]Accounts!$D$24="","",[1]Accounts!$E$24)</f>
        <v>0</v>
      </c>
      <c r="F23">
        <f>IF([1]Accounts!$D$24="","",[1]Accounts!$F$24)</f>
        <v>0</v>
      </c>
      <c r="G23">
        <f>IF([1]Accounts!$D$24="","",[1]Accounts!$G$24)</f>
        <v>0</v>
      </c>
      <c r="I23" t="str">
        <f>IF([1]Ops!$B$24="","",[1]Ops!$A$24)</f>
        <v/>
      </c>
      <c r="J23" t="str">
        <f>IF([1]Ops!$B$24="","",[1]Ops!$B$24)</f>
        <v/>
      </c>
      <c r="K23" t="str">
        <f>IF([1]Ops!$B$24="","",[1]Ops!$C$24)</f>
        <v/>
      </c>
      <c r="L23" t="str">
        <f>IF([1]Ops!$B$24="","",[1]Ops!$D$24)</f>
        <v/>
      </c>
      <c r="T23" t="str">
        <f>IF([2]Baskol!$B$26="","",[2]Baskol!$B$26)</f>
        <v>1405/07/10</v>
      </c>
      <c r="U23" t="str">
        <f>IF([2]Baskol!$C$26="","",[2]Baskol!$C$26)</f>
        <v/>
      </c>
      <c r="V23" t="str">
        <f>IF([2]Baskol!$D$26="","",[2]Baskol!$D$26)</f>
        <v/>
      </c>
      <c r="W23" t="str">
        <f>IF([2]Baskol!$E$26="","",[2]Baskol!$E$26)</f>
        <v>خرید مرکبات</v>
      </c>
      <c r="X23" t="str">
        <f>IF([2]Baskol!$G$26="","",[2]Baskol!$G$26)</f>
        <v>c008</v>
      </c>
      <c r="Y23" t="str">
        <f>IF([2]Baskol!$I$26="","",[2]Baskol!$I$26)</f>
        <v/>
      </c>
      <c r="Z23" t="str">
        <f>IF([2]Baskol!$J$26="","",[2]Baskol!$J$26)</f>
        <v>نارنگی</v>
      </c>
      <c r="AA23">
        <f>IF([2]Baskol!$K$26="","",[2]Baskol!$K$26)</f>
        <v>40</v>
      </c>
      <c r="AB23">
        <f>IF([2]Baskol!$L$26="","",[2]Baskol!$L$26)</f>
        <v>3</v>
      </c>
      <c r="AC23" t="str">
        <f>IF([2]Baskol!$N$26="","",[2]Baskol!$N$26)</f>
        <v/>
      </c>
      <c r="AD23" t="str">
        <f>IF([2]Baskol!$O$26="","",[2]Baskol!$O$26)</f>
        <v/>
      </c>
      <c r="AE23" t="str">
        <f>IF([3]Entry!$C$26="","",[3]Entry!$C$26)</f>
        <v>1405/07/16</v>
      </c>
      <c r="AF23" t="str">
        <f>IF([3]Entry!$D$26="","",[3]Entry!$D$26)</f>
        <v>10:05</v>
      </c>
      <c r="AG23" t="str">
        <f>IF([3]Entry!$E$26="","",[3]Entry!$E$26)</f>
        <v>BANK01 – ملت — جاری شرکت</v>
      </c>
      <c r="AH23" t="str">
        <f>IF([3]Entry!$G$26="","",[3]Entry!$G$26)</f>
        <v>L001</v>
      </c>
      <c r="AI23" t="str">
        <f>IF([3]Entry!$K$26="","",[3]Entry!$K$26)</f>
        <v>هزینه</v>
      </c>
      <c r="AJ23" t="str">
        <f>IF([3]Entry!$L$26="","",[3]Entry!$L$26)</f>
        <v>بهره و کارمزد وام</v>
      </c>
      <c r="AK23" t="str">
        <f>IF([3]Entry!$M$26="","",[3]Entry!$M$26)</f>
        <v/>
      </c>
      <c r="AL23">
        <f>IF([3]Entry!$N$26="","",[3]Entry!$N$26)</f>
        <v>2000000</v>
      </c>
      <c r="AM23" t="str">
        <f>IF([3]Entry!$R$26="","",[3]Entry!$R$26)</f>
        <v>بهره و کارمزد اقساط وام — گروه هزینه (نمونه)</v>
      </c>
    </row>
    <row r="24" spans="1:39" x14ac:dyDescent="0.2">
      <c r="A24" t="str">
        <f>IF([1]Accounts!$D$25="","",[1]Accounts!$A$25)</f>
        <v>C019</v>
      </c>
      <c r="B24" t="str">
        <f>IF([1]Accounts!$D$25="","",[1]Accounts!$B$25)</f>
        <v>فروشنده</v>
      </c>
      <c r="C24">
        <f>IF([1]Accounts!$D$25="","",[1]Accounts!$C$25)</f>
        <v>0</v>
      </c>
      <c r="D24" t="str">
        <f>IF([1]Accounts!$D$25="","",[1]Accounts!$D$25)</f>
        <v>یوسف یوسف نژاد</v>
      </c>
      <c r="E24">
        <f>IF([1]Accounts!$D$25="","",[1]Accounts!$E$25)</f>
        <v>0</v>
      </c>
      <c r="F24">
        <f>IF([1]Accounts!$D$25="","",[1]Accounts!$F$25)</f>
        <v>0</v>
      </c>
      <c r="G24">
        <f>IF([1]Accounts!$D$25="","",[1]Accounts!$G$25)</f>
        <v>0</v>
      </c>
      <c r="I24" t="str">
        <f>IF([1]Ops!$B$25="","",[1]Ops!$A$25)</f>
        <v/>
      </c>
      <c r="J24" t="str">
        <f>IF([1]Ops!$B$25="","",[1]Ops!$B$25)</f>
        <v/>
      </c>
      <c r="K24" t="str">
        <f>IF([1]Ops!$B$25="","",[1]Ops!$C$25)</f>
        <v/>
      </c>
      <c r="L24" t="str">
        <f>IF([1]Ops!$B$25="","",[1]Ops!$D$25)</f>
        <v/>
      </c>
      <c r="T24" t="str">
        <f>IF([2]Baskol!$B$27="","",[2]Baskol!$B$27)</f>
        <v>1405/07/10</v>
      </c>
      <c r="U24" t="str">
        <f>IF([2]Baskol!$C$27="","",[2]Baskol!$C$27)</f>
        <v/>
      </c>
      <c r="V24" t="str">
        <f>IF([2]Baskol!$D$27="","",[2]Baskol!$D$27)</f>
        <v/>
      </c>
      <c r="W24" t="str">
        <f>IF([2]Baskol!$E$27="","",[2]Baskol!$E$27)</f>
        <v>خرید مرکبات</v>
      </c>
      <c r="X24" t="str">
        <f>IF([2]Baskol!$G$27="","",[2]Baskol!$G$27)</f>
        <v>c009</v>
      </c>
      <c r="Y24" t="str">
        <f>IF([2]Baskol!$I$27="","",[2]Baskol!$I$27)</f>
        <v/>
      </c>
      <c r="Z24" t="str">
        <f>IF([2]Baskol!$J$27="","",[2]Baskol!$J$27)</f>
        <v>نارنگی</v>
      </c>
      <c r="AA24">
        <f>IF([2]Baskol!$K$27="","",[2]Baskol!$K$27)</f>
        <v>1400</v>
      </c>
      <c r="AB24">
        <f>IF([2]Baskol!$L$27="","",[2]Baskol!$L$27)</f>
        <v>87</v>
      </c>
      <c r="AC24" t="str">
        <f>IF([2]Baskol!$N$27="","",[2]Baskol!$N$27)</f>
        <v/>
      </c>
      <c r="AD24" t="str">
        <f>IF([2]Baskol!$O$27="","",[2]Baskol!$O$27)</f>
        <v/>
      </c>
      <c r="AE24" t="str">
        <f>IF([3]Entry!$C$27="","",[3]Entry!$C$27)</f>
        <v>1405/07/18</v>
      </c>
      <c r="AF24" t="str">
        <f>IF([3]Entry!$D$27="","",[3]Entry!$D$27)</f>
        <v>11:00</v>
      </c>
      <c r="AG24" t="str">
        <f>IF([3]Entry!$E$27="","",[3]Entry!$E$27)</f>
        <v>BANK01 – ملت — جاری شرکت</v>
      </c>
      <c r="AH24" t="str">
        <f>IF([3]Entry!$G$27="","",[3]Entry!$G$27)</f>
        <v>F002</v>
      </c>
      <c r="AI24" t="str">
        <f>IF([3]Entry!$K$27="","",[3]Entry!$K$27)</f>
        <v>دارایی ثابت</v>
      </c>
      <c r="AJ24" t="str">
        <f>IF([3]Entry!$L$27="","",[3]Entry!$L$27)</f>
        <v/>
      </c>
      <c r="AK24" t="str">
        <f>IF([3]Entry!$M$27="","",[3]Entry!$M$27)</f>
        <v/>
      </c>
      <c r="AL24">
        <f>IF([3]Entry!$N$27="","",[3]Entry!$N$27)</f>
        <v>150000000</v>
      </c>
      <c r="AM24" t="str">
        <f>IF([3]Entry!$R$27="","",[3]Entry!$R$27)</f>
        <v>خرید خودرو وانت حمل بار — دارایی ثابت شرکت (نمونه)</v>
      </c>
    </row>
    <row r="25" spans="1:39" x14ac:dyDescent="0.2">
      <c r="A25" t="str">
        <f>IF([1]Accounts!$D$26="","",[1]Accounts!$A$26)</f>
        <v>C020</v>
      </c>
      <c r="B25" t="str">
        <f>IF([1]Accounts!$D$26="","",[1]Accounts!$B$26)</f>
        <v>فروشنده</v>
      </c>
      <c r="C25">
        <f>IF([1]Accounts!$D$26="","",[1]Accounts!$C$26)</f>
        <v>0</v>
      </c>
      <c r="D25" t="str">
        <f>IF([1]Accounts!$D$26="","",[1]Accounts!$D$26)</f>
        <v>علی نوایی</v>
      </c>
      <c r="E25">
        <f>IF([1]Accounts!$D$26="","",[1]Accounts!$E$26)</f>
        <v>0</v>
      </c>
      <c r="F25">
        <f>IF([1]Accounts!$D$26="","",[1]Accounts!$F$26)</f>
        <v>0</v>
      </c>
      <c r="G25">
        <f>IF([1]Accounts!$D$26="","",[1]Accounts!$G$26)</f>
        <v>0</v>
      </c>
      <c r="I25" t="str">
        <f>IF([1]Ops!$B$26="","",[1]Ops!$A$26)</f>
        <v/>
      </c>
      <c r="J25" t="str">
        <f>IF([1]Ops!$B$26="","",[1]Ops!$B$26)</f>
        <v/>
      </c>
      <c r="K25" t="str">
        <f>IF([1]Ops!$B$26="","",[1]Ops!$C$26)</f>
        <v/>
      </c>
      <c r="L25" t="str">
        <f>IF([1]Ops!$B$26="","",[1]Ops!$D$26)</f>
        <v/>
      </c>
      <c r="T25" t="str">
        <f>IF([2]Baskol!$B$28="","",[2]Baskol!$B$28)</f>
        <v>1405/07/11</v>
      </c>
      <c r="U25" t="str">
        <f>IF([2]Baskol!$C$28="","",[2]Baskol!$C$28)</f>
        <v/>
      </c>
      <c r="V25" t="str">
        <f>IF([2]Baskol!$D$28="","",[2]Baskol!$D$28)</f>
        <v/>
      </c>
      <c r="W25" t="str">
        <f>IF([2]Baskol!$E$28="","",[2]Baskol!$E$28)</f>
        <v>خرید مرکبات</v>
      </c>
      <c r="X25" t="str">
        <f>IF([2]Baskol!$G$28="","",[2]Baskol!$G$28)</f>
        <v>c006</v>
      </c>
      <c r="Y25" t="str">
        <f>IF([2]Baskol!$I$28="","",[2]Baskol!$I$28)</f>
        <v/>
      </c>
      <c r="Z25" t="str">
        <f>IF([2]Baskol!$J$28="","",[2]Baskol!$J$28)</f>
        <v>نارنگی</v>
      </c>
      <c r="AA25">
        <f>IF([2]Baskol!$K$28="","",[2]Baskol!$K$28)</f>
        <v>650</v>
      </c>
      <c r="AB25">
        <f>IF([2]Baskol!$L$28="","",[2]Baskol!$L$28)</f>
        <v>39</v>
      </c>
      <c r="AC25" t="str">
        <f>IF([2]Baskol!$N$28="","",[2]Baskol!$N$28)</f>
        <v/>
      </c>
      <c r="AD25" t="str">
        <f>IF([2]Baskol!$O$28="","",[2]Baskol!$O$28)</f>
        <v/>
      </c>
      <c r="AE25" t="str">
        <f>IF([3]Entry!$C$28="","",[3]Entry!$C$28)</f>
        <v>1405/07/15</v>
      </c>
      <c r="AF25" t="str">
        <f>IF([3]Entry!$D$28="","",[3]Entry!$D$28)</f>
        <v>10:30</v>
      </c>
      <c r="AG25" t="str">
        <f>IF([3]Entry!$E$28="","",[3]Entry!$E$28)</f>
        <v>BANK01 – ملت — جاری شرکت</v>
      </c>
      <c r="AH25" t="str">
        <f>IF([3]Entry!$G$28="","",[3]Entry!$G$28)</f>
        <v>S004</v>
      </c>
      <c r="AI25" t="str">
        <f>IF([3]Entry!$K$28="","",[3]Entry!$K$28)</f>
        <v>خرید</v>
      </c>
      <c r="AJ25" t="str">
        <f>IF([3]Entry!$L$28="","",[3]Entry!$L$28)</f>
        <v/>
      </c>
      <c r="AK25" t="str">
        <f>IF([3]Entry!$M$28="","",[3]Entry!$M$28)</f>
        <v/>
      </c>
      <c r="AL25">
        <f>IF([3]Entry!$N$28="","",[3]Entry!$N$28)</f>
        <v>25000000</v>
      </c>
      <c r="AM25" t="str">
        <f>IF([3]Entry!$R$28="","",[3]Entry!$R$28)</f>
        <v>پرداخت بابت سبد خریداری‌شده — تسویه فایل Baskets.xlsx (نمونه)</v>
      </c>
    </row>
    <row r="26" spans="1:39" x14ac:dyDescent="0.2">
      <c r="A26" t="str">
        <f>IF([1]Accounts!$D$27="","",[1]Accounts!$A$27)</f>
        <v>C021</v>
      </c>
      <c r="B26" t="str">
        <f>IF([1]Accounts!$D$27="","",[1]Accounts!$B$27)</f>
        <v>فروشنده</v>
      </c>
      <c r="C26">
        <f>IF([1]Accounts!$D$27="","",[1]Accounts!$C$27)</f>
        <v>0</v>
      </c>
      <c r="D26" t="str">
        <f>IF([1]Accounts!$D$27="","",[1]Accounts!$D$27)</f>
        <v>دومیری</v>
      </c>
      <c r="E26">
        <f>IF([1]Accounts!$D$27="","",[1]Accounts!$E$27)</f>
        <v>0</v>
      </c>
      <c r="F26">
        <f>IF([1]Accounts!$D$27="","",[1]Accounts!$F$27)</f>
        <v>0</v>
      </c>
      <c r="G26">
        <f>IF([1]Accounts!$D$27="","",[1]Accounts!$G$27)</f>
        <v>0</v>
      </c>
      <c r="T26" t="str">
        <f>IF([2]Baskol!$B$29="","",[2]Baskol!$B$29)</f>
        <v>1405/07/11</v>
      </c>
      <c r="U26" t="str">
        <f>IF([2]Baskol!$C$29="","",[2]Baskol!$C$29)</f>
        <v/>
      </c>
      <c r="V26" t="str">
        <f>IF([2]Baskol!$D$29="","",[2]Baskol!$D$29)</f>
        <v/>
      </c>
      <c r="W26" t="str">
        <f>IF([2]Baskol!$E$29="","",[2]Baskol!$E$29)</f>
        <v>خرید مرکبات</v>
      </c>
      <c r="X26" t="str">
        <f>IF([2]Baskol!$G$29="","",[2]Baskol!$G$29)</f>
        <v>c012</v>
      </c>
      <c r="Y26" t="str">
        <f>IF([2]Baskol!$I$29="","",[2]Baskol!$I$29)</f>
        <v/>
      </c>
      <c r="Z26" t="str">
        <f>IF([2]Baskol!$J$29="","",[2]Baskol!$J$29)</f>
        <v>نارنگی</v>
      </c>
      <c r="AA26">
        <f>IF([2]Baskol!$K$29="","",[2]Baskol!$K$29)</f>
        <v>3130</v>
      </c>
      <c r="AB26">
        <f>IF([2]Baskol!$L$29="","",[2]Baskol!$L$29)</f>
        <v>195</v>
      </c>
      <c r="AC26" t="str">
        <f>IF([2]Baskol!$N$29="","",[2]Baskol!$N$29)</f>
        <v/>
      </c>
      <c r="AD26" t="str">
        <f>IF([2]Baskol!$O$29="","",[2]Baskol!$O$29)</f>
        <v/>
      </c>
      <c r="AE26" t="str">
        <f>IF([3]Entry!$C$29="","",[3]Entry!$C$29)</f>
        <v>1405/07/20</v>
      </c>
      <c r="AF26" t="str">
        <f>IF([3]Entry!$D$29="","",[3]Entry!$D$29)</f>
        <v>12:00</v>
      </c>
      <c r="AG26" t="str">
        <f>IF([3]Entry!$E$29="","",[3]Entry!$E$29)</f>
        <v>BANK01 – ملت — جاری شرکت</v>
      </c>
      <c r="AH26" t="str">
        <f>IF([3]Entry!$G$29="","",[3]Entry!$G$29)</f>
        <v>C099</v>
      </c>
      <c r="AI26" t="str">
        <f>IF([3]Entry!$K$29="","",[3]Entry!$K$29)</f>
        <v>فروش</v>
      </c>
      <c r="AJ26" t="str">
        <f>IF([3]Entry!$L$29="","",[3]Entry!$L$29)</f>
        <v/>
      </c>
      <c r="AK26">
        <f>IF([3]Entry!$M$29="","",[3]Entry!$M$29)</f>
        <v>5000000</v>
      </c>
      <c r="AL26" t="str">
        <f>IF([3]Entry!$N$29="","",[3]Entry!$N$29)</f>
        <v/>
      </c>
      <c r="AM26" t="str">
        <f>IF([3]Entry!$R$29="","",[3]Entry!$R$29)</f>
        <v>مشتری جدید — هنوز در INFO تعریف نشده (نمونه برای شیت کنترل)</v>
      </c>
    </row>
    <row r="27" spans="1:39" x14ac:dyDescent="0.2">
      <c r="A27" t="str">
        <f>IF([1]Accounts!$D$28="","",[1]Accounts!$A$28)</f>
        <v>C022</v>
      </c>
      <c r="B27" t="str">
        <f>IF([1]Accounts!$D$28="","",[1]Accounts!$B$28)</f>
        <v>فروشنده</v>
      </c>
      <c r="C27">
        <f>IF([1]Accounts!$D$28="","",[1]Accounts!$C$28)</f>
        <v>0</v>
      </c>
      <c r="D27" t="str">
        <f>IF([1]Accounts!$D$28="","",[1]Accounts!$D$28)</f>
        <v>شمسعلی علیجانی</v>
      </c>
      <c r="E27">
        <f>IF([1]Accounts!$D$28="","",[1]Accounts!$E$28)</f>
        <v>0</v>
      </c>
      <c r="F27">
        <f>IF([1]Accounts!$D$28="","",[1]Accounts!$F$28)</f>
        <v>0</v>
      </c>
      <c r="G27">
        <f>IF([1]Accounts!$D$28="","",[1]Accounts!$G$28)</f>
        <v>0</v>
      </c>
      <c r="T27" t="str">
        <f>IF([2]Baskol!$B$30="","",[2]Baskol!$B$30)</f>
        <v>1405/07/11</v>
      </c>
      <c r="U27" t="str">
        <f>IF([2]Baskol!$C$30="","",[2]Baskol!$C$30)</f>
        <v/>
      </c>
      <c r="V27" t="str">
        <f>IF([2]Baskol!$D$30="","",[2]Baskol!$D$30)</f>
        <v/>
      </c>
      <c r="W27" t="str">
        <f>IF([2]Baskol!$E$30="","",[2]Baskol!$E$30)</f>
        <v>خرید مرکبات</v>
      </c>
      <c r="X27" t="str">
        <f>IF([2]Baskol!$G$30="","",[2]Baskol!$G$30)</f>
        <v>c020</v>
      </c>
      <c r="Y27" t="str">
        <f>IF([2]Baskol!$I$30="","",[2]Baskol!$I$30)</f>
        <v/>
      </c>
      <c r="Z27" t="str">
        <f>IF([2]Baskol!$J$30="","",[2]Baskol!$J$30)</f>
        <v>نارنگی</v>
      </c>
      <c r="AA27">
        <f>IF([2]Baskol!$K$30="","",[2]Baskol!$K$30)</f>
        <v>117</v>
      </c>
      <c r="AB27">
        <f>IF([2]Baskol!$L$30="","",[2]Baskol!$L$30)</f>
        <v>7</v>
      </c>
      <c r="AC27" t="str">
        <f>IF([2]Baskol!$N$30="","",[2]Baskol!$N$30)</f>
        <v/>
      </c>
      <c r="AD27" t="str">
        <f>IF([2]Baskol!$O$30="","",[2]Baskol!$O$30)</f>
        <v/>
      </c>
      <c r="AE27" t="str">
        <f>IF([3]Entry!$C$30="","",[3]Entry!$C$30)</f>
        <v>1405/07/21</v>
      </c>
      <c r="AF27" t="str">
        <f>IF([3]Entry!$D$30="","",[3]Entry!$D$30)</f>
        <v>09:40</v>
      </c>
      <c r="AG27" t="str">
        <f>IF([3]Entry!$E$30="","",[3]Entry!$E$30)</f>
        <v>BANK01 – ملت — جاری شرکت</v>
      </c>
      <c r="AH27" t="str">
        <f>IF([3]Entry!$G$30="","",[3]Entry!$G$30)</f>
        <v>X003</v>
      </c>
      <c r="AI27" t="str">
        <f>IF([3]Entry!$K$30="","",[3]Entry!$K$30)</f>
        <v>هزینه</v>
      </c>
      <c r="AJ27" t="str">
        <f>IF([3]Entry!$L$30="","",[3]Entry!$L$30)</f>
        <v/>
      </c>
      <c r="AK27" t="str">
        <f>IF([3]Entry!$M$30="","",[3]Entry!$M$30)</f>
        <v/>
      </c>
      <c r="AL27">
        <f>IF([3]Entry!$N$30="","",[3]Entry!$N$30)</f>
        <v>3000000</v>
      </c>
      <c r="AM27" t="str">
        <f>IF([3]Entry!$R$30="","",[3]Entry!$R$30)</f>
        <v>هزینه بدون زیرگروه — برای نمایش در شیت کنترل (نمونه)</v>
      </c>
    </row>
    <row r="28" spans="1:39" x14ac:dyDescent="0.2">
      <c r="A28" t="str">
        <f>IF([1]Accounts!$D$29="","",[1]Accounts!$A$29)</f>
        <v>C023</v>
      </c>
      <c r="B28" t="str">
        <f>IF([1]Accounts!$D$29="","",[1]Accounts!$B$29)</f>
        <v>فروشنده</v>
      </c>
      <c r="C28">
        <f>IF([1]Accounts!$D$29="","",[1]Accounts!$C$29)</f>
        <v>0</v>
      </c>
      <c r="D28" t="str">
        <f>IF([1]Accounts!$D$29="","",[1]Accounts!$D$29)</f>
        <v>یوسف نیا(موزیج)</v>
      </c>
      <c r="E28">
        <f>IF([1]Accounts!$D$29="","",[1]Accounts!$E$29)</f>
        <v>0</v>
      </c>
      <c r="F28">
        <f>IF([1]Accounts!$D$29="","",[1]Accounts!$F$29)</f>
        <v>0</v>
      </c>
      <c r="G28">
        <f>IF([1]Accounts!$D$29="","",[1]Accounts!$G$29)</f>
        <v>0</v>
      </c>
      <c r="T28" t="str">
        <f>IF([2]Baskol!$B$31="","",[2]Baskol!$B$31)</f>
        <v>1405/07/11</v>
      </c>
      <c r="U28" t="str">
        <f>IF([2]Baskol!$C$31="","",[2]Baskol!$C$31)</f>
        <v/>
      </c>
      <c r="V28" t="str">
        <f>IF([2]Baskol!$D$31="","",[2]Baskol!$D$31)</f>
        <v/>
      </c>
      <c r="W28" t="str">
        <f>IF([2]Baskol!$E$31="","",[2]Baskol!$E$31)</f>
        <v>خرید مرکبات</v>
      </c>
      <c r="X28" t="str">
        <f>IF([2]Baskol!$G$31="","",[2]Baskol!$G$31)</f>
        <v>c018</v>
      </c>
      <c r="Y28" t="str">
        <f>IF([2]Baskol!$I$31="","",[2]Baskol!$I$31)</f>
        <v/>
      </c>
      <c r="Z28" t="str">
        <f>IF([2]Baskol!$J$31="","",[2]Baskol!$J$31)</f>
        <v>نارنگی</v>
      </c>
      <c r="AA28">
        <f>IF([2]Baskol!$K$31="","",[2]Baskol!$K$31)</f>
        <v>129</v>
      </c>
      <c r="AB28">
        <f>IF([2]Baskol!$L$31="","",[2]Baskol!$L$31)</f>
        <v>7</v>
      </c>
      <c r="AC28" t="str">
        <f>IF([2]Baskol!$N$31="","",[2]Baskol!$N$31)</f>
        <v/>
      </c>
      <c r="AD28" t="str">
        <f>IF([2]Baskol!$O$31="","",[2]Baskol!$O$31)</f>
        <v/>
      </c>
      <c r="AE28" t="str">
        <f>IF([3]Entry!$C$31="","",[3]Entry!$C$31)</f>
        <v/>
      </c>
      <c r="AF28" t="str">
        <f>IF([3]Entry!$D$31="","",[3]Entry!$D$31)</f>
        <v/>
      </c>
      <c r="AG28" t="str">
        <f>IF([3]Entry!$E$31="","",[3]Entry!$E$31)</f>
        <v/>
      </c>
      <c r="AH28" t="str">
        <f>IF([3]Entry!$G$31="","",[3]Entry!$G$31)</f>
        <v/>
      </c>
      <c r="AI28" t="str">
        <f>IF([3]Entry!$K$31="","",[3]Entry!$K$31)</f>
        <v/>
      </c>
      <c r="AJ28" t="str">
        <f>IF([3]Entry!$L$31="","",[3]Entry!$L$31)</f>
        <v/>
      </c>
      <c r="AK28" t="str">
        <f>IF([3]Entry!$M$31="","",[3]Entry!$M$31)</f>
        <v/>
      </c>
      <c r="AL28" t="str">
        <f>IF([3]Entry!$N$31="","",[3]Entry!$N$31)</f>
        <v/>
      </c>
      <c r="AM28" t="str">
        <f>IF([3]Entry!$R$31="","",[3]Entry!$R$31)</f>
        <v/>
      </c>
    </row>
    <row r="29" spans="1:39" x14ac:dyDescent="0.2">
      <c r="A29" t="str">
        <f>IF([1]Accounts!$D$30="","",[1]Accounts!$A$30)</f>
        <v>C024</v>
      </c>
      <c r="B29" t="str">
        <f>IF([1]Accounts!$D$30="","",[1]Accounts!$B$30)</f>
        <v>فروشنده</v>
      </c>
      <c r="C29">
        <f>IF([1]Accounts!$D$30="","",[1]Accounts!$C$30)</f>
        <v>0</v>
      </c>
      <c r="D29" t="str">
        <f>IF([1]Accounts!$D$30="","",[1]Accounts!$D$30)</f>
        <v>کاظم ذبیح پور</v>
      </c>
      <c r="E29">
        <f>IF([1]Accounts!$D$30="","",[1]Accounts!$E$30)</f>
        <v>0</v>
      </c>
      <c r="F29">
        <f>IF([1]Accounts!$D$30="","",[1]Accounts!$F$30)</f>
        <v>0</v>
      </c>
      <c r="G29">
        <f>IF([1]Accounts!$D$30="","",[1]Accounts!$G$30)</f>
        <v>0</v>
      </c>
      <c r="T29" t="str">
        <f>IF([2]Baskol!$B$32="","",[2]Baskol!$B$32)</f>
        <v>1405/07/11</v>
      </c>
      <c r="U29" t="str">
        <f>IF([2]Baskol!$C$32="","",[2]Baskol!$C$32)</f>
        <v/>
      </c>
      <c r="V29" t="str">
        <f>IF([2]Baskol!$D$32="","",[2]Baskol!$D$32)</f>
        <v/>
      </c>
      <c r="W29" t="str">
        <f>IF([2]Baskol!$E$32="","",[2]Baskol!$E$32)</f>
        <v>خرید مرکبات</v>
      </c>
      <c r="X29" t="str">
        <f>IF([2]Baskol!$G$32="","",[2]Baskol!$G$32)</f>
        <v>c012</v>
      </c>
      <c r="Y29" t="str">
        <f>IF([2]Baskol!$I$32="","",[2]Baskol!$I$32)</f>
        <v/>
      </c>
      <c r="Z29" t="str">
        <f>IF([2]Baskol!$J$32="","",[2]Baskol!$J$32)</f>
        <v>نارنگی</v>
      </c>
      <c r="AA29">
        <f>IF([2]Baskol!$K$32="","",[2]Baskol!$K$32)</f>
        <v>2690</v>
      </c>
      <c r="AB29">
        <f>IF([2]Baskol!$L$32="","",[2]Baskol!$L$32)</f>
        <v>167</v>
      </c>
      <c r="AC29" t="str">
        <f>IF([2]Baskol!$N$32="","",[2]Baskol!$N$32)</f>
        <v/>
      </c>
      <c r="AD29" t="str">
        <f>IF([2]Baskol!$O$32="","",[2]Baskol!$O$32)</f>
        <v/>
      </c>
      <c r="AE29" t="str">
        <f>IF([3]Entry!$C$32="","",[3]Entry!$C$32)</f>
        <v/>
      </c>
      <c r="AF29" t="str">
        <f>IF([3]Entry!$D$32="","",[3]Entry!$D$32)</f>
        <v/>
      </c>
      <c r="AG29" t="str">
        <f>IF([3]Entry!$E$32="","",[3]Entry!$E$32)</f>
        <v/>
      </c>
      <c r="AH29" t="str">
        <f>IF([3]Entry!$G$32="","",[3]Entry!$G$32)</f>
        <v/>
      </c>
      <c r="AI29" t="str">
        <f>IF([3]Entry!$K$32="","",[3]Entry!$K$32)</f>
        <v/>
      </c>
      <c r="AJ29" t="str">
        <f>IF([3]Entry!$L$32="","",[3]Entry!$L$32)</f>
        <v/>
      </c>
      <c r="AK29" t="str">
        <f>IF([3]Entry!$M$32="","",[3]Entry!$M$32)</f>
        <v/>
      </c>
      <c r="AL29" t="str">
        <f>IF([3]Entry!$N$32="","",[3]Entry!$N$32)</f>
        <v/>
      </c>
      <c r="AM29" t="str">
        <f>IF([3]Entry!$R$32="","",[3]Entry!$R$32)</f>
        <v/>
      </c>
    </row>
    <row r="30" spans="1:39" x14ac:dyDescent="0.2">
      <c r="A30" t="str">
        <f>IF([1]Accounts!$D$31="","",[1]Accounts!$A$31)</f>
        <v>C025</v>
      </c>
      <c r="B30" t="str">
        <f>IF([1]Accounts!$D$31="","",[1]Accounts!$B$31)</f>
        <v>فروشنده</v>
      </c>
      <c r="C30">
        <f>IF([1]Accounts!$D$31="","",[1]Accounts!$C$31)</f>
        <v>0</v>
      </c>
      <c r="D30" t="str">
        <f>IF([1]Accounts!$D$31="","",[1]Accounts!$D$31)</f>
        <v>علی غلام رضاپور</v>
      </c>
      <c r="E30">
        <f>IF([1]Accounts!$D$31="","",[1]Accounts!$E$31)</f>
        <v>0</v>
      </c>
      <c r="F30">
        <f>IF([1]Accounts!$D$31="","",[1]Accounts!$F$31)</f>
        <v>0</v>
      </c>
      <c r="G30">
        <f>IF([1]Accounts!$D$31="","",[1]Accounts!$G$31)</f>
        <v>0</v>
      </c>
      <c r="T30" t="str">
        <f>IF([2]Baskol!$B$33="","",[2]Baskol!$B$33)</f>
        <v>1405/07/11</v>
      </c>
      <c r="U30" t="str">
        <f>IF([2]Baskol!$C$33="","",[2]Baskol!$C$33)</f>
        <v/>
      </c>
      <c r="V30" t="str">
        <f>IF([2]Baskol!$D$33="","",[2]Baskol!$D$33)</f>
        <v/>
      </c>
      <c r="W30" t="str">
        <f>IF([2]Baskol!$E$33="","",[2]Baskol!$E$33)</f>
        <v>خرید مرکبات</v>
      </c>
      <c r="X30" t="str">
        <f>IF([2]Baskol!$G$33="","",[2]Baskol!$G$33)</f>
        <v>c013</v>
      </c>
      <c r="Y30" t="str">
        <f>IF([2]Baskol!$I$33="","",[2]Baskol!$I$33)</f>
        <v/>
      </c>
      <c r="Z30" t="str">
        <f>IF([2]Baskol!$J$33="","",[2]Baskol!$J$33)</f>
        <v>نارنگی</v>
      </c>
      <c r="AA30">
        <f>IF([2]Baskol!$K$33="","",[2]Baskol!$K$33)</f>
        <v>1415</v>
      </c>
      <c r="AB30">
        <f>IF([2]Baskol!$L$33="","",[2]Baskol!$L$33)</f>
        <v>85</v>
      </c>
      <c r="AC30" t="str">
        <f>IF([2]Baskol!$N$33="","",[2]Baskol!$N$33)</f>
        <v/>
      </c>
      <c r="AD30" t="str">
        <f>IF([2]Baskol!$O$33="","",[2]Baskol!$O$33)</f>
        <v/>
      </c>
      <c r="AE30" t="str">
        <f>IF([3]Entry!$C$33="","",[3]Entry!$C$33)</f>
        <v/>
      </c>
      <c r="AF30" t="str">
        <f>IF([3]Entry!$D$33="","",[3]Entry!$D$33)</f>
        <v/>
      </c>
      <c r="AG30" t="str">
        <f>IF([3]Entry!$E$33="","",[3]Entry!$E$33)</f>
        <v/>
      </c>
      <c r="AH30" t="str">
        <f>IF([3]Entry!$G$33="","",[3]Entry!$G$33)</f>
        <v/>
      </c>
      <c r="AI30" t="str">
        <f>IF([3]Entry!$K$33="","",[3]Entry!$K$33)</f>
        <v/>
      </c>
      <c r="AJ30" t="str">
        <f>IF([3]Entry!$L$33="","",[3]Entry!$L$33)</f>
        <v/>
      </c>
      <c r="AK30" t="str">
        <f>IF([3]Entry!$M$33="","",[3]Entry!$M$33)</f>
        <v/>
      </c>
      <c r="AL30" t="str">
        <f>IF([3]Entry!$N$33="","",[3]Entry!$N$33)</f>
        <v/>
      </c>
      <c r="AM30" t="str">
        <f>IF([3]Entry!$R$33="","",[3]Entry!$R$33)</f>
        <v/>
      </c>
    </row>
    <row r="31" spans="1:39" x14ac:dyDescent="0.2">
      <c r="A31" t="str">
        <f>IF([1]Accounts!$D$32="","",[1]Accounts!$A$32)</f>
        <v>C026</v>
      </c>
      <c r="B31" t="str">
        <f>IF([1]Accounts!$D$32="","",[1]Accounts!$B$32)</f>
        <v>فروشنده</v>
      </c>
      <c r="C31">
        <f>IF([1]Accounts!$D$32="","",[1]Accounts!$C$32)</f>
        <v>0</v>
      </c>
      <c r="D31" t="str">
        <f>IF([1]Accounts!$D$32="","",[1]Accounts!$D$32)</f>
        <v>حسین شکرالله نیا</v>
      </c>
      <c r="E31">
        <f>IF([1]Accounts!$D$32="","",[1]Accounts!$E$32)</f>
        <v>0</v>
      </c>
      <c r="F31">
        <f>IF([1]Accounts!$D$32="","",[1]Accounts!$F$32)</f>
        <v>0</v>
      </c>
      <c r="G31">
        <f>IF([1]Accounts!$D$32="","",[1]Accounts!$G$32)</f>
        <v>0</v>
      </c>
      <c r="T31" t="str">
        <f>IF([2]Baskol!$B$34="","",[2]Baskol!$B$34)</f>
        <v>1405/07/11</v>
      </c>
      <c r="U31" t="str">
        <f>IF([2]Baskol!$C$34="","",[2]Baskol!$C$34)</f>
        <v/>
      </c>
      <c r="V31" t="str">
        <f>IF([2]Baskol!$D$34="","",[2]Baskol!$D$34)</f>
        <v/>
      </c>
      <c r="W31" t="str">
        <f>IF([2]Baskol!$E$34="","",[2]Baskol!$E$34)</f>
        <v>خرید مرکبات</v>
      </c>
      <c r="X31" t="str">
        <f>IF([2]Baskol!$G$34="","",[2]Baskol!$G$34)</f>
        <v>c012</v>
      </c>
      <c r="Y31" t="str">
        <f>IF([2]Baskol!$I$34="","",[2]Baskol!$I$34)</f>
        <v/>
      </c>
      <c r="Z31" t="str">
        <f>IF([2]Baskol!$J$34="","",[2]Baskol!$J$34)</f>
        <v>نارنگی</v>
      </c>
      <c r="AA31">
        <f>IF([2]Baskol!$K$34="","",[2]Baskol!$K$34)</f>
        <v>1035</v>
      </c>
      <c r="AB31">
        <f>IF([2]Baskol!$L$34="","",[2]Baskol!$L$34)</f>
        <v>64</v>
      </c>
      <c r="AC31" t="str">
        <f>IF([2]Baskol!$N$34="","",[2]Baskol!$N$34)</f>
        <v/>
      </c>
      <c r="AD31" t="str">
        <f>IF([2]Baskol!$O$34="","",[2]Baskol!$O$34)</f>
        <v/>
      </c>
      <c r="AE31" t="str">
        <f>IF([3]Entry!$C$34="","",[3]Entry!$C$34)</f>
        <v/>
      </c>
      <c r="AF31" t="str">
        <f>IF([3]Entry!$D$34="","",[3]Entry!$D$34)</f>
        <v/>
      </c>
      <c r="AG31" t="str">
        <f>IF([3]Entry!$E$34="","",[3]Entry!$E$34)</f>
        <v/>
      </c>
      <c r="AH31" t="str">
        <f>IF([3]Entry!$G$34="","",[3]Entry!$G$34)</f>
        <v/>
      </c>
      <c r="AI31" t="str">
        <f>IF([3]Entry!$K$34="","",[3]Entry!$K$34)</f>
        <v/>
      </c>
      <c r="AJ31" t="str">
        <f>IF([3]Entry!$L$34="","",[3]Entry!$L$34)</f>
        <v/>
      </c>
      <c r="AK31" t="str">
        <f>IF([3]Entry!$M$34="","",[3]Entry!$M$34)</f>
        <v/>
      </c>
      <c r="AL31" t="str">
        <f>IF([3]Entry!$N$34="","",[3]Entry!$N$34)</f>
        <v/>
      </c>
      <c r="AM31" t="str">
        <f>IF([3]Entry!$R$34="","",[3]Entry!$R$34)</f>
        <v/>
      </c>
    </row>
    <row r="32" spans="1:39" x14ac:dyDescent="0.2">
      <c r="A32" t="str">
        <f>IF([1]Accounts!$D$33="","",[1]Accounts!$A$33)</f>
        <v>C027</v>
      </c>
      <c r="B32" t="str">
        <f>IF([1]Accounts!$D$33="","",[1]Accounts!$B$33)</f>
        <v>فروشنده</v>
      </c>
      <c r="C32">
        <f>IF([1]Accounts!$D$33="","",[1]Accounts!$C$33)</f>
        <v>0</v>
      </c>
      <c r="D32" t="str">
        <f>IF([1]Accounts!$D$33="","",[1]Accounts!$D$33)</f>
        <v>سید مهدی حسینی(دوست حاج هوشنگ)</v>
      </c>
      <c r="E32">
        <f>IF([1]Accounts!$D$33="","",[1]Accounts!$E$33)</f>
        <v>0</v>
      </c>
      <c r="F32">
        <f>IF([1]Accounts!$D$33="","",[1]Accounts!$F$33)</f>
        <v>0</v>
      </c>
      <c r="G32">
        <f>IF([1]Accounts!$D$33="","",[1]Accounts!$G$33)</f>
        <v>0</v>
      </c>
      <c r="T32" t="str">
        <f>IF([2]Baskol!$B$35="","",[2]Baskol!$B$35)</f>
        <v>1405/07/11</v>
      </c>
      <c r="U32" t="str">
        <f>IF([2]Baskol!$C$35="","",[2]Baskol!$C$35)</f>
        <v/>
      </c>
      <c r="V32" t="str">
        <f>IF([2]Baskol!$D$35="","",[2]Baskol!$D$35)</f>
        <v/>
      </c>
      <c r="W32" t="str">
        <f>IF([2]Baskol!$E$35="","",[2]Baskol!$E$35)</f>
        <v>خرید مرکبات</v>
      </c>
      <c r="X32" t="str">
        <f>IF([2]Baskol!$G$35="","",[2]Baskol!$G$35)</f>
        <v>c012</v>
      </c>
      <c r="Y32" t="str">
        <f>IF([2]Baskol!$I$35="","",[2]Baskol!$I$35)</f>
        <v/>
      </c>
      <c r="Z32" t="str">
        <f>IF([2]Baskol!$J$35="","",[2]Baskol!$J$35)</f>
        <v>خرمالو</v>
      </c>
      <c r="AA32">
        <f>IF([2]Baskol!$K$35="","",[2]Baskol!$K$35)</f>
        <v>345</v>
      </c>
      <c r="AB32">
        <f>IF([2]Baskol!$L$35="","",[2]Baskol!$L$35)</f>
        <v>22</v>
      </c>
      <c r="AC32" t="str">
        <f>IF([2]Baskol!$N$35="","",[2]Baskol!$N$35)</f>
        <v/>
      </c>
      <c r="AD32" t="str">
        <f>IF([2]Baskol!$O$35="","",[2]Baskol!$O$35)</f>
        <v/>
      </c>
      <c r="AE32" t="str">
        <f>IF([3]Entry!$C$35="","",[3]Entry!$C$35)</f>
        <v/>
      </c>
      <c r="AF32" t="str">
        <f>IF([3]Entry!$D$35="","",[3]Entry!$D$35)</f>
        <v/>
      </c>
      <c r="AG32" t="str">
        <f>IF([3]Entry!$E$35="","",[3]Entry!$E$35)</f>
        <v/>
      </c>
      <c r="AH32" t="str">
        <f>IF([3]Entry!$G$35="","",[3]Entry!$G$35)</f>
        <v/>
      </c>
      <c r="AI32" t="str">
        <f>IF([3]Entry!$K$35="","",[3]Entry!$K$35)</f>
        <v/>
      </c>
      <c r="AJ32" t="str">
        <f>IF([3]Entry!$L$35="","",[3]Entry!$L$35)</f>
        <v/>
      </c>
      <c r="AK32" t="str">
        <f>IF([3]Entry!$M$35="","",[3]Entry!$M$35)</f>
        <v/>
      </c>
      <c r="AL32" t="str">
        <f>IF([3]Entry!$N$35="","",[3]Entry!$N$35)</f>
        <v/>
      </c>
      <c r="AM32" t="str">
        <f>IF([3]Entry!$R$35="","",[3]Entry!$R$35)</f>
        <v/>
      </c>
    </row>
    <row r="33" spans="1:39" x14ac:dyDescent="0.2">
      <c r="A33" t="str">
        <f>IF([1]Accounts!$D$34="","",[1]Accounts!$A$34)</f>
        <v>C028</v>
      </c>
      <c r="B33" t="str">
        <f>IF([1]Accounts!$D$34="","",[1]Accounts!$B$34)</f>
        <v>فروشنده</v>
      </c>
      <c r="C33">
        <f>IF([1]Accounts!$D$34="","",[1]Accounts!$C$34)</f>
        <v>0</v>
      </c>
      <c r="D33" t="str">
        <f>IF([1]Accounts!$D$34="","",[1]Accounts!$D$34)</f>
        <v>آقای عزیزی</v>
      </c>
      <c r="E33">
        <f>IF([1]Accounts!$D$34="","",[1]Accounts!$E$34)</f>
        <v>0</v>
      </c>
      <c r="F33">
        <f>IF([1]Accounts!$D$34="","",[1]Accounts!$F$34)</f>
        <v>0</v>
      </c>
      <c r="G33">
        <f>IF([1]Accounts!$D$34="","",[1]Accounts!$G$34)</f>
        <v>0</v>
      </c>
      <c r="T33" t="str">
        <f>IF([2]Baskol!$B$36="","",[2]Baskol!$B$36)</f>
        <v>1405/07/11</v>
      </c>
      <c r="U33" t="str">
        <f>IF([2]Baskol!$C$36="","",[2]Baskol!$C$36)</f>
        <v/>
      </c>
      <c r="V33" t="str">
        <f>IF([2]Baskol!$D$36="","",[2]Baskol!$D$36)</f>
        <v/>
      </c>
      <c r="W33" t="str">
        <f>IF([2]Baskol!$E$36="","",[2]Baskol!$E$36)</f>
        <v>خرید مرکبات</v>
      </c>
      <c r="X33" t="str">
        <f>IF([2]Baskol!$G$36="","",[2]Baskol!$G$36)</f>
        <v>c014</v>
      </c>
      <c r="Y33" t="str">
        <f>IF([2]Baskol!$I$36="","",[2]Baskol!$I$36)</f>
        <v/>
      </c>
      <c r="Z33" t="str">
        <f>IF([2]Baskol!$J$36="","",[2]Baskol!$J$36)</f>
        <v>نارنگی</v>
      </c>
      <c r="AA33">
        <f>IF([2]Baskol!$K$36="","",[2]Baskol!$K$36)</f>
        <v>385</v>
      </c>
      <c r="AB33">
        <f>IF([2]Baskol!$L$36="","",[2]Baskol!$L$36)</f>
        <v>26</v>
      </c>
      <c r="AC33" t="str">
        <f>IF([2]Baskol!$N$36="","",[2]Baskol!$N$36)</f>
        <v/>
      </c>
      <c r="AD33" t="str">
        <f>IF([2]Baskol!$O$36="","",[2]Baskol!$O$36)</f>
        <v/>
      </c>
      <c r="AE33" t="str">
        <f>IF([3]Entry!$C$36="","",[3]Entry!$C$36)</f>
        <v/>
      </c>
      <c r="AF33" t="str">
        <f>IF([3]Entry!$D$36="","",[3]Entry!$D$36)</f>
        <v/>
      </c>
      <c r="AG33" t="str">
        <f>IF([3]Entry!$E$36="","",[3]Entry!$E$36)</f>
        <v/>
      </c>
      <c r="AH33" t="str">
        <f>IF([3]Entry!$G$36="","",[3]Entry!$G$36)</f>
        <v/>
      </c>
      <c r="AI33" t="str">
        <f>IF([3]Entry!$K$36="","",[3]Entry!$K$36)</f>
        <v/>
      </c>
      <c r="AJ33" t="str">
        <f>IF([3]Entry!$L$36="","",[3]Entry!$L$36)</f>
        <v/>
      </c>
      <c r="AK33" t="str">
        <f>IF([3]Entry!$M$36="","",[3]Entry!$M$36)</f>
        <v/>
      </c>
      <c r="AL33" t="str">
        <f>IF([3]Entry!$N$36="","",[3]Entry!$N$36)</f>
        <v/>
      </c>
      <c r="AM33" t="str">
        <f>IF([3]Entry!$R$36="","",[3]Entry!$R$36)</f>
        <v/>
      </c>
    </row>
    <row r="34" spans="1:39" x14ac:dyDescent="0.2">
      <c r="A34" t="str">
        <f>IF([1]Accounts!$D$35="","",[1]Accounts!$A$35)</f>
        <v>C029</v>
      </c>
      <c r="B34" t="str">
        <f>IF([1]Accounts!$D$35="","",[1]Accounts!$B$35)</f>
        <v>فروشنده</v>
      </c>
      <c r="C34">
        <f>IF([1]Accounts!$D$35="","",[1]Accounts!$C$35)</f>
        <v>0</v>
      </c>
      <c r="D34" t="str">
        <f>IF([1]Accounts!$D$35="","",[1]Accounts!$D$35)</f>
        <v>آقای حبیبی(بانک صادرات)</v>
      </c>
      <c r="E34">
        <f>IF([1]Accounts!$D$35="","",[1]Accounts!$E$35)</f>
        <v>0</v>
      </c>
      <c r="F34">
        <f>IF([1]Accounts!$D$35="","",[1]Accounts!$F$35)</f>
        <v>0</v>
      </c>
      <c r="G34">
        <f>IF([1]Accounts!$D$35="","",[1]Accounts!$G$35)</f>
        <v>0</v>
      </c>
      <c r="T34" t="str">
        <f>IF([2]Baskol!$B$37="","",[2]Baskol!$B$37)</f>
        <v>1405/07/13</v>
      </c>
      <c r="U34" t="str">
        <f>IF([2]Baskol!$C$37="","",[2]Baskol!$C$37)</f>
        <v/>
      </c>
      <c r="V34" t="str">
        <f>IF([2]Baskol!$D$37="","",[2]Baskol!$D$37)</f>
        <v/>
      </c>
      <c r="W34" t="str">
        <f>IF([2]Baskol!$E$37="","",[2]Baskol!$E$37)</f>
        <v>خرید مرکبات</v>
      </c>
      <c r="X34" t="str">
        <f>IF([2]Baskol!$G$37="","",[2]Baskol!$G$37)</f>
        <v>c012</v>
      </c>
      <c r="Y34" t="str">
        <f>IF([2]Baskol!$I$37="","",[2]Baskol!$I$37)</f>
        <v/>
      </c>
      <c r="Z34" t="str">
        <f>IF([2]Baskol!$J$37="","",[2]Baskol!$J$37)</f>
        <v>نارنگی</v>
      </c>
      <c r="AA34">
        <f>IF([2]Baskol!$K$37="","",[2]Baskol!$K$37)</f>
        <v>1065</v>
      </c>
      <c r="AB34">
        <f>IF([2]Baskol!$L$37="","",[2]Baskol!$L$37)</f>
        <v>67</v>
      </c>
      <c r="AC34" t="str">
        <f>IF([2]Baskol!$N$37="","",[2]Baskol!$N$37)</f>
        <v/>
      </c>
      <c r="AD34" t="str">
        <f>IF([2]Baskol!$O$37="","",[2]Baskol!$O$37)</f>
        <v/>
      </c>
      <c r="AE34" t="str">
        <f>IF([3]Entry!$C$37="","",[3]Entry!$C$37)</f>
        <v/>
      </c>
      <c r="AF34" t="str">
        <f>IF([3]Entry!$D$37="","",[3]Entry!$D$37)</f>
        <v/>
      </c>
      <c r="AG34" t="str">
        <f>IF([3]Entry!$E$37="","",[3]Entry!$E$37)</f>
        <v/>
      </c>
      <c r="AH34" t="str">
        <f>IF([3]Entry!$G$37="","",[3]Entry!$G$37)</f>
        <v/>
      </c>
      <c r="AI34" t="str">
        <f>IF([3]Entry!$K$37="","",[3]Entry!$K$37)</f>
        <v/>
      </c>
      <c r="AJ34" t="str">
        <f>IF([3]Entry!$L$37="","",[3]Entry!$L$37)</f>
        <v/>
      </c>
      <c r="AK34" t="str">
        <f>IF([3]Entry!$M$37="","",[3]Entry!$M$37)</f>
        <v/>
      </c>
      <c r="AL34" t="str">
        <f>IF([3]Entry!$N$37="","",[3]Entry!$N$37)</f>
        <v/>
      </c>
      <c r="AM34" t="str">
        <f>IF([3]Entry!$R$37="","",[3]Entry!$R$37)</f>
        <v/>
      </c>
    </row>
    <row r="35" spans="1:39" x14ac:dyDescent="0.2">
      <c r="A35" t="str">
        <f>IF([1]Accounts!$D$36="","",[1]Accounts!$A$36)</f>
        <v>C030</v>
      </c>
      <c r="B35" t="str">
        <f>IF([1]Accounts!$D$36="","",[1]Accounts!$B$36)</f>
        <v>فروشنده</v>
      </c>
      <c r="C35">
        <f>IF([1]Accounts!$D$36="","",[1]Accounts!$C$36)</f>
        <v>0</v>
      </c>
      <c r="D35" t="str">
        <f>IF([1]Accounts!$D$36="","",[1]Accounts!$D$36)</f>
        <v>محمد علی اصغرزاده</v>
      </c>
      <c r="E35">
        <f>IF([1]Accounts!$D$36="","",[1]Accounts!$E$36)</f>
        <v>0</v>
      </c>
      <c r="F35">
        <f>IF([1]Accounts!$D$36="","",[1]Accounts!$F$36)</f>
        <v>0</v>
      </c>
      <c r="G35">
        <f>IF([1]Accounts!$D$36="","",[1]Accounts!$G$36)</f>
        <v>0</v>
      </c>
      <c r="T35" t="str">
        <f>IF([2]Baskol!$B$38="","",[2]Baskol!$B$38)</f>
        <v>1405/07/13</v>
      </c>
      <c r="U35" t="str">
        <f>IF([2]Baskol!$C$38="","",[2]Baskol!$C$38)</f>
        <v/>
      </c>
      <c r="V35" t="str">
        <f>IF([2]Baskol!$D$38="","",[2]Baskol!$D$38)</f>
        <v/>
      </c>
      <c r="W35" t="str">
        <f>IF([2]Baskol!$E$38="","",[2]Baskol!$E$38)</f>
        <v>خرید مرکبات</v>
      </c>
      <c r="X35" t="str">
        <f>IF([2]Baskol!$G$38="","",[2]Baskol!$G$38)</f>
        <v>c013</v>
      </c>
      <c r="Y35" t="str">
        <f>IF([2]Baskol!$I$38="","",[2]Baskol!$I$38)</f>
        <v/>
      </c>
      <c r="Z35" t="str">
        <f>IF([2]Baskol!$J$38="","",[2]Baskol!$J$38)</f>
        <v>نارنگی</v>
      </c>
      <c r="AA35">
        <f>IF([2]Baskol!$K$38="","",[2]Baskol!$K$38)</f>
        <v>3040</v>
      </c>
      <c r="AB35">
        <f>IF([2]Baskol!$L$38="","",[2]Baskol!$L$38)</f>
        <v>190</v>
      </c>
      <c r="AC35" t="str">
        <f>IF([2]Baskol!$N$38="","",[2]Baskol!$N$38)</f>
        <v/>
      </c>
      <c r="AD35" t="str">
        <f>IF([2]Baskol!$O$38="","",[2]Baskol!$O$38)</f>
        <v/>
      </c>
      <c r="AE35" t="str">
        <f>IF([3]Entry!$C$38="","",[3]Entry!$C$38)</f>
        <v/>
      </c>
      <c r="AF35" t="str">
        <f>IF([3]Entry!$D$38="","",[3]Entry!$D$38)</f>
        <v/>
      </c>
      <c r="AG35" t="str">
        <f>IF([3]Entry!$E$38="","",[3]Entry!$E$38)</f>
        <v/>
      </c>
      <c r="AH35" t="str">
        <f>IF([3]Entry!$G$38="","",[3]Entry!$G$38)</f>
        <v/>
      </c>
      <c r="AI35" t="str">
        <f>IF([3]Entry!$K$38="","",[3]Entry!$K$38)</f>
        <v/>
      </c>
      <c r="AJ35" t="str">
        <f>IF([3]Entry!$L$38="","",[3]Entry!$L$38)</f>
        <v/>
      </c>
      <c r="AK35" t="str">
        <f>IF([3]Entry!$M$38="","",[3]Entry!$M$38)</f>
        <v/>
      </c>
      <c r="AL35" t="str">
        <f>IF([3]Entry!$N$38="","",[3]Entry!$N$38)</f>
        <v/>
      </c>
      <c r="AM35" t="str">
        <f>IF([3]Entry!$R$38="","",[3]Entry!$R$38)</f>
        <v/>
      </c>
    </row>
    <row r="36" spans="1:39" x14ac:dyDescent="0.2">
      <c r="A36" t="str">
        <f>IF([1]Accounts!$D$37="","",[1]Accounts!$A$37)</f>
        <v>C031</v>
      </c>
      <c r="B36" t="str">
        <f>IF([1]Accounts!$D$37="","",[1]Accounts!$B$37)</f>
        <v>فروشنده</v>
      </c>
      <c r="C36">
        <f>IF([1]Accounts!$D$37="","",[1]Accounts!$C$37)</f>
        <v>0</v>
      </c>
      <c r="D36" t="str">
        <f>IF([1]Accounts!$D$37="","",[1]Accounts!$D$37)</f>
        <v>فغان پور</v>
      </c>
      <c r="E36">
        <f>IF([1]Accounts!$D$37="","",[1]Accounts!$E$37)</f>
        <v>0</v>
      </c>
      <c r="F36">
        <f>IF([1]Accounts!$D$37="","",[1]Accounts!$F$37)</f>
        <v>0</v>
      </c>
      <c r="G36">
        <f>IF([1]Accounts!$D$37="","",[1]Accounts!$G$37)</f>
        <v>0</v>
      </c>
      <c r="T36" t="str">
        <f>IF([2]Baskol!$B$39="","",[2]Baskol!$B$39)</f>
        <v>1405/07/13</v>
      </c>
      <c r="U36" t="str">
        <f>IF([2]Baskol!$C$39="","",[2]Baskol!$C$39)</f>
        <v/>
      </c>
      <c r="V36" t="str">
        <f>IF([2]Baskol!$D$39="","",[2]Baskol!$D$39)</f>
        <v/>
      </c>
      <c r="W36" t="str">
        <f>IF([2]Baskol!$E$39="","",[2]Baskol!$E$39)</f>
        <v>خرید مرکبات</v>
      </c>
      <c r="X36" t="str">
        <f>IF([2]Baskol!$G$39="","",[2]Baskol!$G$39)</f>
        <v>c013</v>
      </c>
      <c r="Y36" t="str">
        <f>IF([2]Baskol!$I$39="","",[2]Baskol!$I$39)</f>
        <v/>
      </c>
      <c r="Z36" t="str">
        <f>IF([2]Baskol!$J$39="","",[2]Baskol!$J$39)</f>
        <v>نارنگی</v>
      </c>
      <c r="AA36">
        <f>IF([2]Baskol!$K$39="","",[2]Baskol!$K$39)</f>
        <v>3080</v>
      </c>
      <c r="AB36">
        <f>IF([2]Baskol!$L$39="","",[2]Baskol!$L$39)</f>
        <v>190</v>
      </c>
      <c r="AC36" t="str">
        <f>IF([2]Baskol!$N$39="","",[2]Baskol!$N$39)</f>
        <v/>
      </c>
      <c r="AD36" t="str">
        <f>IF([2]Baskol!$O$39="","",[2]Baskol!$O$39)</f>
        <v/>
      </c>
      <c r="AE36" t="str">
        <f>IF([3]Entry!$C$39="","",[3]Entry!$C$39)</f>
        <v/>
      </c>
      <c r="AF36" t="str">
        <f>IF([3]Entry!$D$39="","",[3]Entry!$D$39)</f>
        <v/>
      </c>
      <c r="AG36" t="str">
        <f>IF([3]Entry!$E$39="","",[3]Entry!$E$39)</f>
        <v/>
      </c>
      <c r="AH36" t="str">
        <f>IF([3]Entry!$G$39="","",[3]Entry!$G$39)</f>
        <v/>
      </c>
      <c r="AI36" t="str">
        <f>IF([3]Entry!$K$39="","",[3]Entry!$K$39)</f>
        <v/>
      </c>
      <c r="AJ36" t="str">
        <f>IF([3]Entry!$L$39="","",[3]Entry!$L$39)</f>
        <v/>
      </c>
      <c r="AK36" t="str">
        <f>IF([3]Entry!$M$39="","",[3]Entry!$M$39)</f>
        <v/>
      </c>
      <c r="AL36" t="str">
        <f>IF([3]Entry!$N$39="","",[3]Entry!$N$39)</f>
        <v/>
      </c>
      <c r="AM36" t="str">
        <f>IF([3]Entry!$R$39="","",[3]Entry!$R$39)</f>
        <v/>
      </c>
    </row>
    <row r="37" spans="1:39" x14ac:dyDescent="0.2">
      <c r="A37" t="str">
        <f>IF([1]Accounts!$D$38="","",[1]Accounts!$A$38)</f>
        <v>C032</v>
      </c>
      <c r="B37" t="str">
        <f>IF([1]Accounts!$D$38="","",[1]Accounts!$B$38)</f>
        <v>فروشنده</v>
      </c>
      <c r="C37">
        <f>IF([1]Accounts!$D$38="","",[1]Accounts!$C$38)</f>
        <v>0</v>
      </c>
      <c r="D37" t="str">
        <f>IF([1]Accounts!$D$38="","",[1]Accounts!$D$38)</f>
        <v>عباس پور(بهنمیر)</v>
      </c>
      <c r="E37">
        <f>IF([1]Accounts!$D$38="","",[1]Accounts!$E$38)</f>
        <v>0</v>
      </c>
      <c r="F37">
        <f>IF([1]Accounts!$D$38="","",[1]Accounts!$F$38)</f>
        <v>0</v>
      </c>
      <c r="G37">
        <f>IF([1]Accounts!$D$38="","",[1]Accounts!$G$38)</f>
        <v>0</v>
      </c>
      <c r="T37" t="str">
        <f>IF([2]Baskol!$B$40="","",[2]Baskol!$B$40)</f>
        <v>1405/07/13</v>
      </c>
      <c r="U37" t="str">
        <f>IF([2]Baskol!$C$40="","",[2]Baskol!$C$40)</f>
        <v/>
      </c>
      <c r="V37" t="str">
        <f>IF([2]Baskol!$D$40="","",[2]Baskol!$D$40)</f>
        <v/>
      </c>
      <c r="W37" t="str">
        <f>IF([2]Baskol!$E$40="","",[2]Baskol!$E$40)</f>
        <v>خرید مرکبات</v>
      </c>
      <c r="X37" t="str">
        <f>IF([2]Baskol!$G$40="","",[2]Baskol!$G$40)</f>
        <v>c013</v>
      </c>
      <c r="Y37" t="str">
        <f>IF([2]Baskol!$I$40="","",[2]Baskol!$I$40)</f>
        <v/>
      </c>
      <c r="Z37" t="str">
        <f>IF([2]Baskol!$J$40="","",[2]Baskol!$J$40)</f>
        <v>نارنگی</v>
      </c>
      <c r="AA37">
        <f>IF([2]Baskol!$K$40="","",[2]Baskol!$K$40)</f>
        <v>660</v>
      </c>
      <c r="AB37">
        <f>IF([2]Baskol!$L$40="","",[2]Baskol!$L$40)</f>
        <v>43</v>
      </c>
      <c r="AC37" t="str">
        <f>IF([2]Baskol!$N$40="","",[2]Baskol!$N$40)</f>
        <v/>
      </c>
      <c r="AD37" t="str">
        <f>IF([2]Baskol!$O$40="","",[2]Baskol!$O$40)</f>
        <v/>
      </c>
      <c r="AE37" t="str">
        <f>IF([3]Entry!$C$40="","",[3]Entry!$C$40)</f>
        <v/>
      </c>
      <c r="AF37" t="str">
        <f>IF([3]Entry!$D$40="","",[3]Entry!$D$40)</f>
        <v/>
      </c>
      <c r="AG37" t="str">
        <f>IF([3]Entry!$E$40="","",[3]Entry!$E$40)</f>
        <v/>
      </c>
      <c r="AH37" t="str">
        <f>IF([3]Entry!$G$40="","",[3]Entry!$G$40)</f>
        <v/>
      </c>
      <c r="AI37" t="str">
        <f>IF([3]Entry!$K$40="","",[3]Entry!$K$40)</f>
        <v/>
      </c>
      <c r="AJ37" t="str">
        <f>IF([3]Entry!$L$40="","",[3]Entry!$L$40)</f>
        <v/>
      </c>
      <c r="AK37" t="str">
        <f>IF([3]Entry!$M$40="","",[3]Entry!$M$40)</f>
        <v/>
      </c>
      <c r="AL37" t="str">
        <f>IF([3]Entry!$N$40="","",[3]Entry!$N$40)</f>
        <v/>
      </c>
      <c r="AM37" t="str">
        <f>IF([3]Entry!$R$40="","",[3]Entry!$R$40)</f>
        <v/>
      </c>
    </row>
    <row r="38" spans="1:39" x14ac:dyDescent="0.2">
      <c r="A38" t="str">
        <f>IF([1]Accounts!$D$39="","",[1]Accounts!$A$39)</f>
        <v>C033</v>
      </c>
      <c r="B38" t="str">
        <f>IF([1]Accounts!$D$39="","",[1]Accounts!$B$39)</f>
        <v>فروشنده</v>
      </c>
      <c r="C38">
        <f>IF([1]Accounts!$D$39="","",[1]Accounts!$C$39)</f>
        <v>0</v>
      </c>
      <c r="D38" t="str">
        <f>IF([1]Accounts!$D$39="","",[1]Accounts!$D$39)</f>
        <v>رمضان خانیا(فرهاد پلنگ)</v>
      </c>
      <c r="E38">
        <f>IF([1]Accounts!$D$39="","",[1]Accounts!$E$39)</f>
        <v>0</v>
      </c>
      <c r="F38">
        <f>IF([1]Accounts!$D$39="","",[1]Accounts!$F$39)</f>
        <v>0</v>
      </c>
      <c r="G38">
        <f>IF([1]Accounts!$D$39="","",[1]Accounts!$G$39)</f>
        <v>0</v>
      </c>
      <c r="T38" t="str">
        <f>IF([2]Baskol!$B$41="","",[2]Baskol!$B$41)</f>
        <v>1405/07/14</v>
      </c>
      <c r="U38" t="str">
        <f>IF([2]Baskol!$C$41="","",[2]Baskol!$C$41)</f>
        <v/>
      </c>
      <c r="V38" t="str">
        <f>IF([2]Baskol!$D$41="","",[2]Baskol!$D$41)</f>
        <v/>
      </c>
      <c r="W38" t="str">
        <f>IF([2]Baskol!$E$41="","",[2]Baskol!$E$41)</f>
        <v>فروش</v>
      </c>
      <c r="X38" t="str">
        <f>IF([2]Baskol!$G$41="","",[2]Baskol!$G$41)</f>
        <v>SL001</v>
      </c>
      <c r="Y38" t="str">
        <f>IF([2]Baskol!$I$41="","",[2]Baskol!$I$41)</f>
        <v/>
      </c>
      <c r="Z38" t="str">
        <f>IF([2]Baskol!$J$41="","",[2]Baskol!$J$41)</f>
        <v/>
      </c>
      <c r="AA38">
        <f>IF([2]Baskol!$K$41="","",[2]Baskol!$K$41)</f>
        <v>3020</v>
      </c>
      <c r="AB38" t="str">
        <f>IF([2]Baskol!$L$41="","",[2]Baskol!$L$41)</f>
        <v/>
      </c>
      <c r="AC38" t="str">
        <f>IF([2]Baskol!$N$41="","",[2]Baskol!$N$41)</f>
        <v/>
      </c>
      <c r="AD38" t="str">
        <f>IF([2]Baskol!$O$41="","",[2]Baskol!$O$41)</f>
        <v/>
      </c>
      <c r="AE38" t="str">
        <f>IF([3]Entry!$C$41="","",[3]Entry!$C$41)</f>
        <v/>
      </c>
      <c r="AF38" t="str">
        <f>IF([3]Entry!$D$41="","",[3]Entry!$D$41)</f>
        <v/>
      </c>
      <c r="AG38" t="str">
        <f>IF([3]Entry!$E$41="","",[3]Entry!$E$41)</f>
        <v/>
      </c>
      <c r="AH38" t="str">
        <f>IF([3]Entry!$G$41="","",[3]Entry!$G$41)</f>
        <v/>
      </c>
      <c r="AI38" t="str">
        <f>IF([3]Entry!$K$41="","",[3]Entry!$K$41)</f>
        <v/>
      </c>
      <c r="AJ38" t="str">
        <f>IF([3]Entry!$L$41="","",[3]Entry!$L$41)</f>
        <v/>
      </c>
      <c r="AK38" t="str">
        <f>IF([3]Entry!$M$41="","",[3]Entry!$M$41)</f>
        <v/>
      </c>
      <c r="AL38" t="str">
        <f>IF([3]Entry!$N$41="","",[3]Entry!$N$41)</f>
        <v/>
      </c>
      <c r="AM38" t="str">
        <f>IF([3]Entry!$R$41="","",[3]Entry!$R$41)</f>
        <v/>
      </c>
    </row>
    <row r="39" spans="1:39" x14ac:dyDescent="0.2">
      <c r="A39" t="str">
        <f>IF([1]Accounts!$D$40="","",[1]Accounts!$A$40)</f>
        <v>C034</v>
      </c>
      <c r="B39" t="str">
        <f>IF([1]Accounts!$D$40="","",[1]Accounts!$B$40)</f>
        <v>فروشنده</v>
      </c>
      <c r="C39">
        <f>IF([1]Accounts!$D$40="","",[1]Accounts!$C$40)</f>
        <v>0</v>
      </c>
      <c r="D39" t="str">
        <f>IF([1]Accounts!$D$40="","",[1]Accounts!$D$40)</f>
        <v>محمد رضایی</v>
      </c>
      <c r="E39">
        <f>IF([1]Accounts!$D$40="","",[1]Accounts!$E$40)</f>
        <v>0</v>
      </c>
      <c r="F39">
        <f>IF([1]Accounts!$D$40="","",[1]Accounts!$F$40)</f>
        <v>0</v>
      </c>
      <c r="G39">
        <f>IF([1]Accounts!$D$40="","",[1]Accounts!$G$40)</f>
        <v>0</v>
      </c>
      <c r="T39" t="str">
        <f>IF([2]Baskol!$B$42="","",[2]Baskol!$B$42)</f>
        <v>1405/07/14</v>
      </c>
      <c r="U39" t="str">
        <f>IF([2]Baskol!$C$42="","",[2]Baskol!$C$42)</f>
        <v/>
      </c>
      <c r="V39" t="str">
        <f>IF([2]Baskol!$D$42="","",[2]Baskol!$D$42)</f>
        <v/>
      </c>
      <c r="W39" t="str">
        <f>IF([2]Baskol!$E$42="","",[2]Baskol!$E$42)</f>
        <v>خرید مرکبات</v>
      </c>
      <c r="X39" t="str">
        <f>IF([2]Baskol!$G$42="","",[2]Baskol!$G$42)</f>
        <v>c013</v>
      </c>
      <c r="Y39" t="str">
        <f>IF([2]Baskol!$I$42="","",[2]Baskol!$I$42)</f>
        <v/>
      </c>
      <c r="Z39" t="str">
        <f>IF([2]Baskol!$J$42="","",[2]Baskol!$J$42)</f>
        <v>نارنگی</v>
      </c>
      <c r="AA39">
        <f>IF([2]Baskol!$K$42="","",[2]Baskol!$K$42)</f>
        <v>2115</v>
      </c>
      <c r="AB39">
        <f>IF([2]Baskol!$L$42="","",[2]Baskol!$L$42)</f>
        <v>139</v>
      </c>
      <c r="AC39" t="str">
        <f>IF([2]Baskol!$N$42="","",[2]Baskol!$N$42)</f>
        <v/>
      </c>
      <c r="AD39" t="str">
        <f>IF([2]Baskol!$O$42="","",[2]Baskol!$O$42)</f>
        <v/>
      </c>
      <c r="AE39" t="str">
        <f>IF([3]Entry!$C$42="","",[3]Entry!$C$42)</f>
        <v/>
      </c>
      <c r="AF39" t="str">
        <f>IF([3]Entry!$D$42="","",[3]Entry!$D$42)</f>
        <v/>
      </c>
      <c r="AG39" t="str">
        <f>IF([3]Entry!$E$42="","",[3]Entry!$E$42)</f>
        <v/>
      </c>
      <c r="AH39" t="str">
        <f>IF([3]Entry!$G$42="","",[3]Entry!$G$42)</f>
        <v/>
      </c>
      <c r="AI39" t="str">
        <f>IF([3]Entry!$K$42="","",[3]Entry!$K$42)</f>
        <v/>
      </c>
      <c r="AJ39" t="str">
        <f>IF([3]Entry!$L$42="","",[3]Entry!$L$42)</f>
        <v/>
      </c>
      <c r="AK39" t="str">
        <f>IF([3]Entry!$M$42="","",[3]Entry!$M$42)</f>
        <v/>
      </c>
      <c r="AL39" t="str">
        <f>IF([3]Entry!$N$42="","",[3]Entry!$N$42)</f>
        <v/>
      </c>
      <c r="AM39" t="str">
        <f>IF([3]Entry!$R$42="","",[3]Entry!$R$42)</f>
        <v/>
      </c>
    </row>
    <row r="40" spans="1:39" x14ac:dyDescent="0.2">
      <c r="A40" t="str">
        <f>IF([1]Accounts!$D$41="","",[1]Accounts!$A$41)</f>
        <v>C035</v>
      </c>
      <c r="B40" t="str">
        <f>IF([1]Accounts!$D$41="","",[1]Accounts!$B$41)</f>
        <v>فروشنده</v>
      </c>
      <c r="C40">
        <f>IF([1]Accounts!$D$41="","",[1]Accounts!$C$41)</f>
        <v>0</v>
      </c>
      <c r="D40" t="str">
        <f>IF([1]Accounts!$D$41="","",[1]Accounts!$D$41)</f>
        <v>داریوش اسماعیلی</v>
      </c>
      <c r="E40">
        <f>IF([1]Accounts!$D$41="","",[1]Accounts!$E$41)</f>
        <v>0</v>
      </c>
      <c r="F40">
        <f>IF([1]Accounts!$D$41="","",[1]Accounts!$F$41)</f>
        <v>0</v>
      </c>
      <c r="G40">
        <f>IF([1]Accounts!$D$41="","",[1]Accounts!$G$41)</f>
        <v>0</v>
      </c>
      <c r="T40" t="str">
        <f>IF([2]Baskol!$B$43="","",[2]Baskol!$B$43)</f>
        <v>1405/07/14</v>
      </c>
      <c r="U40" t="str">
        <f>IF([2]Baskol!$C$43="","",[2]Baskol!$C$43)</f>
        <v/>
      </c>
      <c r="V40" t="str">
        <f>IF([2]Baskol!$D$43="","",[2]Baskol!$D$43)</f>
        <v/>
      </c>
      <c r="W40" t="str">
        <f>IF([2]Baskol!$E$43="","",[2]Baskol!$E$43)</f>
        <v>خرید مرکبات</v>
      </c>
      <c r="X40" t="str">
        <f>IF([2]Baskol!$G$43="","",[2]Baskol!$G$43)</f>
        <v>c013</v>
      </c>
      <c r="Y40" t="str">
        <f>IF([2]Baskol!$I$43="","",[2]Baskol!$I$43)</f>
        <v/>
      </c>
      <c r="Z40" t="str">
        <f>IF([2]Baskol!$J$43="","",[2]Baskol!$J$43)</f>
        <v>نارنگی</v>
      </c>
      <c r="AA40">
        <f>IF([2]Baskol!$K$43="","",[2]Baskol!$K$43)</f>
        <v>570</v>
      </c>
      <c r="AB40">
        <f>IF([2]Baskol!$L$43="","",[2]Baskol!$L$43)</f>
        <v>33</v>
      </c>
      <c r="AC40" t="str">
        <f>IF([2]Baskol!$N$43="","",[2]Baskol!$N$43)</f>
        <v/>
      </c>
      <c r="AD40" t="str">
        <f>IF([2]Baskol!$O$43="","",[2]Baskol!$O$43)</f>
        <v/>
      </c>
      <c r="AE40" t="str">
        <f>IF([3]Entry!$C$43="","",[3]Entry!$C$43)</f>
        <v/>
      </c>
      <c r="AF40" t="str">
        <f>IF([3]Entry!$D$43="","",[3]Entry!$D$43)</f>
        <v/>
      </c>
      <c r="AG40" t="str">
        <f>IF([3]Entry!$E$43="","",[3]Entry!$E$43)</f>
        <v/>
      </c>
      <c r="AH40" t="str">
        <f>IF([3]Entry!$G$43="","",[3]Entry!$G$43)</f>
        <v/>
      </c>
      <c r="AI40" t="str">
        <f>IF([3]Entry!$K$43="","",[3]Entry!$K$43)</f>
        <v/>
      </c>
      <c r="AJ40" t="str">
        <f>IF([3]Entry!$L$43="","",[3]Entry!$L$43)</f>
        <v/>
      </c>
      <c r="AK40" t="str">
        <f>IF([3]Entry!$M$43="","",[3]Entry!$M$43)</f>
        <v/>
      </c>
      <c r="AL40" t="str">
        <f>IF([3]Entry!$N$43="","",[3]Entry!$N$43)</f>
        <v/>
      </c>
      <c r="AM40" t="str">
        <f>IF([3]Entry!$R$43="","",[3]Entry!$R$43)</f>
        <v/>
      </c>
    </row>
    <row r="41" spans="1:39" x14ac:dyDescent="0.2">
      <c r="A41" t="str">
        <f>IF([1]Accounts!$D$42="","",[1]Accounts!$A$42)</f>
        <v>C036</v>
      </c>
      <c r="B41" t="str">
        <f>IF([1]Accounts!$D$42="","",[1]Accounts!$B$42)</f>
        <v>فروشنده</v>
      </c>
      <c r="C41">
        <f>IF([1]Accounts!$D$42="","",[1]Accounts!$C$42)</f>
        <v>0</v>
      </c>
      <c r="D41" t="str">
        <f>IF([1]Accounts!$D$42="","",[1]Accounts!$D$42)</f>
        <v>محسن قبادی</v>
      </c>
      <c r="E41">
        <f>IF([1]Accounts!$D$42="","",[1]Accounts!$E$42)</f>
        <v>0</v>
      </c>
      <c r="F41">
        <f>IF([1]Accounts!$D$42="","",[1]Accounts!$F$42)</f>
        <v>0</v>
      </c>
      <c r="G41">
        <f>IF([1]Accounts!$D$42="","",[1]Accounts!$G$42)</f>
        <v>0</v>
      </c>
      <c r="T41" t="str">
        <f>IF([2]Baskol!$B$44="","",[2]Baskol!$B$44)</f>
        <v>1405/07/14</v>
      </c>
      <c r="U41" t="str">
        <f>IF([2]Baskol!$C$44="","",[2]Baskol!$C$44)</f>
        <v/>
      </c>
      <c r="V41" t="str">
        <f>IF([2]Baskol!$D$44="","",[2]Baskol!$D$44)</f>
        <v/>
      </c>
      <c r="W41" t="str">
        <f>IF([2]Baskol!$E$44="","",[2]Baskol!$E$44)</f>
        <v>خرید مرکبات</v>
      </c>
      <c r="X41" t="str">
        <f>IF([2]Baskol!$G$44="","",[2]Baskol!$G$44)</f>
        <v>c015</v>
      </c>
      <c r="Y41" t="str">
        <f>IF([2]Baskol!$I$44="","",[2]Baskol!$I$44)</f>
        <v/>
      </c>
      <c r="Z41" t="str">
        <f>IF([2]Baskol!$J$44="","",[2]Baskol!$J$44)</f>
        <v>خرمالو</v>
      </c>
      <c r="AA41">
        <f>IF([2]Baskol!$K$44="","",[2]Baskol!$K$44)</f>
        <v>205</v>
      </c>
      <c r="AB41">
        <f>IF([2]Baskol!$L$44="","",[2]Baskol!$L$44)</f>
        <v>11</v>
      </c>
      <c r="AC41" t="str">
        <f>IF([2]Baskol!$N$44="","",[2]Baskol!$N$44)</f>
        <v/>
      </c>
      <c r="AD41" t="str">
        <f>IF([2]Baskol!$O$44="","",[2]Baskol!$O$44)</f>
        <v/>
      </c>
      <c r="AE41" t="str">
        <f>IF([3]Entry!$C$44="","",[3]Entry!$C$44)</f>
        <v/>
      </c>
      <c r="AF41" t="str">
        <f>IF([3]Entry!$D$44="","",[3]Entry!$D$44)</f>
        <v/>
      </c>
      <c r="AG41" t="str">
        <f>IF([3]Entry!$E$44="","",[3]Entry!$E$44)</f>
        <v/>
      </c>
      <c r="AH41" t="str">
        <f>IF([3]Entry!$G$44="","",[3]Entry!$G$44)</f>
        <v/>
      </c>
      <c r="AI41" t="str">
        <f>IF([3]Entry!$K$44="","",[3]Entry!$K$44)</f>
        <v/>
      </c>
      <c r="AJ41" t="str">
        <f>IF([3]Entry!$L$44="","",[3]Entry!$L$44)</f>
        <v/>
      </c>
      <c r="AK41" t="str">
        <f>IF([3]Entry!$M$44="","",[3]Entry!$M$44)</f>
        <v/>
      </c>
      <c r="AL41" t="str">
        <f>IF([3]Entry!$N$44="","",[3]Entry!$N$44)</f>
        <v/>
      </c>
      <c r="AM41" t="str">
        <f>IF([3]Entry!$R$44="","",[3]Entry!$R$44)</f>
        <v/>
      </c>
    </row>
    <row r="42" spans="1:39" x14ac:dyDescent="0.2">
      <c r="A42" t="str">
        <f>IF([1]Accounts!$D$43="","",[1]Accounts!$A$43)</f>
        <v>C037</v>
      </c>
      <c r="B42" t="str">
        <f>IF([1]Accounts!$D$43="","",[1]Accounts!$B$43)</f>
        <v>فروشنده</v>
      </c>
      <c r="C42">
        <f>IF([1]Accounts!$D$43="","",[1]Accounts!$C$43)</f>
        <v>0</v>
      </c>
      <c r="D42" t="str">
        <f>IF([1]Accounts!$D$43="","",[1]Accounts!$D$43)</f>
        <v>خانم قلی پور(یوسف نیا)</v>
      </c>
      <c r="E42">
        <f>IF([1]Accounts!$D$43="","",[1]Accounts!$E$43)</f>
        <v>0</v>
      </c>
      <c r="F42">
        <f>IF([1]Accounts!$D$43="","",[1]Accounts!$F$43)</f>
        <v>0</v>
      </c>
      <c r="G42">
        <f>IF([1]Accounts!$D$43="","",[1]Accounts!$G$43)</f>
        <v>0</v>
      </c>
      <c r="T42" t="str">
        <f>IF([2]Baskol!$B$45="","",[2]Baskol!$B$45)</f>
        <v>1405/07/14</v>
      </c>
      <c r="U42" t="str">
        <f>IF([2]Baskol!$C$45="","",[2]Baskol!$C$45)</f>
        <v/>
      </c>
      <c r="V42" t="str">
        <f>IF([2]Baskol!$D$45="","",[2]Baskol!$D$45)</f>
        <v/>
      </c>
      <c r="W42" t="str">
        <f>IF([2]Baskol!$E$45="","",[2]Baskol!$E$45)</f>
        <v>خرید مرکبات</v>
      </c>
      <c r="X42" t="str">
        <f>IF([2]Baskol!$G$45="","",[2]Baskol!$G$45)</f>
        <v>c016</v>
      </c>
      <c r="Y42" t="str">
        <f>IF([2]Baskol!$I$45="","",[2]Baskol!$I$45)</f>
        <v/>
      </c>
      <c r="Z42" t="str">
        <f>IF([2]Baskol!$J$45="","",[2]Baskol!$J$45)</f>
        <v>خرمالو</v>
      </c>
      <c r="AA42">
        <f>IF([2]Baskol!$K$45="","",[2]Baskol!$K$45)</f>
        <v>390</v>
      </c>
      <c r="AB42">
        <f>IF([2]Baskol!$L$45="","",[2]Baskol!$L$45)</f>
        <v>21</v>
      </c>
      <c r="AC42" t="str">
        <f>IF([2]Baskol!$N$45="","",[2]Baskol!$N$45)</f>
        <v/>
      </c>
      <c r="AD42" t="str">
        <f>IF([2]Baskol!$O$45="","",[2]Baskol!$O$45)</f>
        <v/>
      </c>
      <c r="AE42" t="str">
        <f>IF([3]Entry!$C$45="","",[3]Entry!$C$45)</f>
        <v/>
      </c>
      <c r="AF42" t="str">
        <f>IF([3]Entry!$D$45="","",[3]Entry!$D$45)</f>
        <v/>
      </c>
      <c r="AG42" t="str">
        <f>IF([3]Entry!$E$45="","",[3]Entry!$E$45)</f>
        <v/>
      </c>
      <c r="AH42" t="str">
        <f>IF([3]Entry!$G$45="","",[3]Entry!$G$45)</f>
        <v/>
      </c>
      <c r="AI42" t="str">
        <f>IF([3]Entry!$K$45="","",[3]Entry!$K$45)</f>
        <v/>
      </c>
      <c r="AJ42" t="str">
        <f>IF([3]Entry!$L$45="","",[3]Entry!$L$45)</f>
        <v/>
      </c>
      <c r="AK42" t="str">
        <f>IF([3]Entry!$M$45="","",[3]Entry!$M$45)</f>
        <v/>
      </c>
      <c r="AL42" t="str">
        <f>IF([3]Entry!$N$45="","",[3]Entry!$N$45)</f>
        <v/>
      </c>
      <c r="AM42" t="str">
        <f>IF([3]Entry!$R$45="","",[3]Entry!$R$45)</f>
        <v/>
      </c>
    </row>
    <row r="43" spans="1:39" x14ac:dyDescent="0.2">
      <c r="A43" t="str">
        <f>IF([1]Accounts!$D$44="","",[1]Accounts!$A$44)</f>
        <v>C038</v>
      </c>
      <c r="B43" t="str">
        <f>IF([1]Accounts!$D$44="","",[1]Accounts!$B$44)</f>
        <v>فروشنده</v>
      </c>
      <c r="C43">
        <f>IF([1]Accounts!$D$44="","",[1]Accounts!$C$44)</f>
        <v>0</v>
      </c>
      <c r="D43" t="str">
        <f>IF([1]Accounts!$D$44="","",[1]Accounts!$D$44)</f>
        <v>مهدی ولیپور</v>
      </c>
      <c r="E43">
        <f>IF([1]Accounts!$D$44="","",[1]Accounts!$E$44)</f>
        <v>0</v>
      </c>
      <c r="F43">
        <f>IF([1]Accounts!$D$44="","",[1]Accounts!$F$44)</f>
        <v>0</v>
      </c>
      <c r="G43">
        <f>IF([1]Accounts!$D$44="","",[1]Accounts!$G$44)</f>
        <v>0</v>
      </c>
      <c r="T43" t="str">
        <f>IF([2]Baskol!$B$46="","",[2]Baskol!$B$46)</f>
        <v>1405/07/14</v>
      </c>
      <c r="U43" t="str">
        <f>IF([2]Baskol!$C$46="","",[2]Baskol!$C$46)</f>
        <v/>
      </c>
      <c r="V43" t="str">
        <f>IF([2]Baskol!$D$46="","",[2]Baskol!$D$46)</f>
        <v/>
      </c>
      <c r="W43" t="str">
        <f>IF([2]Baskol!$E$46="","",[2]Baskol!$E$46)</f>
        <v>خرید مرکبات</v>
      </c>
      <c r="X43" t="str">
        <f>IF([2]Baskol!$G$46="","",[2]Baskol!$G$46)</f>
        <v>c015</v>
      </c>
      <c r="Y43" t="str">
        <f>IF([2]Baskol!$I$46="","",[2]Baskol!$I$46)</f>
        <v/>
      </c>
      <c r="Z43" t="str">
        <f>IF([2]Baskol!$J$46="","",[2]Baskol!$J$46)</f>
        <v>نارنگی</v>
      </c>
      <c r="AA43">
        <f>IF([2]Baskol!$K$46="","",[2]Baskol!$K$46)</f>
        <v>935</v>
      </c>
      <c r="AB43">
        <f>IF([2]Baskol!$L$46="","",[2]Baskol!$L$46)</f>
        <v>55</v>
      </c>
      <c r="AC43" t="str">
        <f>IF([2]Baskol!$N$46="","",[2]Baskol!$N$46)</f>
        <v/>
      </c>
      <c r="AD43" t="str">
        <f>IF([2]Baskol!$O$46="","",[2]Baskol!$O$46)</f>
        <v/>
      </c>
      <c r="AE43" t="str">
        <f>IF([3]Entry!$C$46="","",[3]Entry!$C$46)</f>
        <v/>
      </c>
      <c r="AF43" t="str">
        <f>IF([3]Entry!$D$46="","",[3]Entry!$D$46)</f>
        <v/>
      </c>
      <c r="AG43" t="str">
        <f>IF([3]Entry!$E$46="","",[3]Entry!$E$46)</f>
        <v/>
      </c>
      <c r="AH43" t="str">
        <f>IF([3]Entry!$G$46="","",[3]Entry!$G$46)</f>
        <v/>
      </c>
      <c r="AI43" t="str">
        <f>IF([3]Entry!$K$46="","",[3]Entry!$K$46)</f>
        <v/>
      </c>
      <c r="AJ43" t="str">
        <f>IF([3]Entry!$L$46="","",[3]Entry!$L$46)</f>
        <v/>
      </c>
      <c r="AK43" t="str">
        <f>IF([3]Entry!$M$46="","",[3]Entry!$M$46)</f>
        <v/>
      </c>
      <c r="AL43" t="str">
        <f>IF([3]Entry!$N$46="","",[3]Entry!$N$46)</f>
        <v/>
      </c>
      <c r="AM43" t="str">
        <f>IF([3]Entry!$R$46="","",[3]Entry!$R$46)</f>
        <v/>
      </c>
    </row>
    <row r="44" spans="1:39" x14ac:dyDescent="0.2">
      <c r="A44" t="str">
        <f>IF([1]Accounts!$D$45="","",[1]Accounts!$A$45)</f>
        <v>C039</v>
      </c>
      <c r="B44" t="str">
        <f>IF([1]Accounts!$D$45="","",[1]Accounts!$B$45)</f>
        <v>فروشنده</v>
      </c>
      <c r="C44">
        <f>IF([1]Accounts!$D$45="","",[1]Accounts!$C$45)</f>
        <v>0</v>
      </c>
      <c r="D44" t="str">
        <f>IF([1]Accounts!$D$45="","",[1]Accounts!$D$45)</f>
        <v>رمضان علی محمدیان</v>
      </c>
      <c r="E44">
        <f>IF([1]Accounts!$D$45="","",[1]Accounts!$E$45)</f>
        <v>0</v>
      </c>
      <c r="F44">
        <f>IF([1]Accounts!$D$45="","",[1]Accounts!$F$45)</f>
        <v>0</v>
      </c>
      <c r="G44">
        <f>IF([1]Accounts!$D$45="","",[1]Accounts!$G$45)</f>
        <v>0</v>
      </c>
      <c r="T44" t="str">
        <f>IF([2]Baskol!$B$47="","",[2]Baskol!$B$47)</f>
        <v>1405/07/15</v>
      </c>
      <c r="U44" t="str">
        <f>IF([2]Baskol!$C$47="","",[2]Baskol!$C$47)</f>
        <v/>
      </c>
      <c r="V44" t="str">
        <f>IF([2]Baskol!$D$47="","",[2]Baskol!$D$47)</f>
        <v/>
      </c>
      <c r="W44" t="str">
        <f>IF([2]Baskol!$E$47="","",[2]Baskol!$E$47)</f>
        <v>فروش</v>
      </c>
      <c r="X44" t="str">
        <f>IF([2]Baskol!$G$47="","",[2]Baskol!$G$47)</f>
        <v>SL002</v>
      </c>
      <c r="Y44" t="str">
        <f>IF([2]Baskol!$I$47="","",[2]Baskol!$I$47)</f>
        <v/>
      </c>
      <c r="Z44" t="str">
        <f>IF([2]Baskol!$J$47="","",[2]Baskol!$J$47)</f>
        <v/>
      </c>
      <c r="AA44">
        <f>IF([2]Baskol!$K$47="","",[2]Baskol!$K$47)</f>
        <v>3065</v>
      </c>
      <c r="AB44" t="str">
        <f>IF([2]Baskol!$L$47="","",[2]Baskol!$L$47)</f>
        <v/>
      </c>
      <c r="AC44" t="str">
        <f>IF([2]Baskol!$N$47="","",[2]Baskol!$N$47)</f>
        <v/>
      </c>
      <c r="AD44" t="str">
        <f>IF([2]Baskol!$O$47="","",[2]Baskol!$O$47)</f>
        <v/>
      </c>
      <c r="AE44" t="str">
        <f>IF([3]Entry!$C$47="","",[3]Entry!$C$47)</f>
        <v/>
      </c>
      <c r="AF44" t="str">
        <f>IF([3]Entry!$D$47="","",[3]Entry!$D$47)</f>
        <v/>
      </c>
      <c r="AG44" t="str">
        <f>IF([3]Entry!$E$47="","",[3]Entry!$E$47)</f>
        <v/>
      </c>
      <c r="AH44" t="str">
        <f>IF([3]Entry!$G$47="","",[3]Entry!$G$47)</f>
        <v/>
      </c>
      <c r="AI44" t="str">
        <f>IF([3]Entry!$K$47="","",[3]Entry!$K$47)</f>
        <v/>
      </c>
      <c r="AJ44" t="str">
        <f>IF([3]Entry!$L$47="","",[3]Entry!$L$47)</f>
        <v/>
      </c>
      <c r="AK44" t="str">
        <f>IF([3]Entry!$M$47="","",[3]Entry!$M$47)</f>
        <v/>
      </c>
      <c r="AL44" t="str">
        <f>IF([3]Entry!$N$47="","",[3]Entry!$N$47)</f>
        <v/>
      </c>
      <c r="AM44" t="str">
        <f>IF([3]Entry!$R$47="","",[3]Entry!$R$47)</f>
        <v/>
      </c>
    </row>
    <row r="45" spans="1:39" x14ac:dyDescent="0.2">
      <c r="A45" t="str">
        <f>IF([1]Accounts!$D$46="","",[1]Accounts!$A$46)</f>
        <v>C040</v>
      </c>
      <c r="B45" t="str">
        <f>IF([1]Accounts!$D$46="","",[1]Accounts!$B$46)</f>
        <v>فروشنده</v>
      </c>
      <c r="C45">
        <f>IF([1]Accounts!$D$46="","",[1]Accounts!$C$46)</f>
        <v>0</v>
      </c>
      <c r="D45" t="str">
        <f>IF([1]Accounts!$D$46="","",[1]Accounts!$D$46)</f>
        <v>محمود آهنگر</v>
      </c>
      <c r="E45">
        <f>IF([1]Accounts!$D$46="","",[1]Accounts!$E$46)</f>
        <v>0</v>
      </c>
      <c r="F45">
        <f>IF([1]Accounts!$D$46="","",[1]Accounts!$F$46)</f>
        <v>0</v>
      </c>
      <c r="G45">
        <f>IF([1]Accounts!$D$46="","",[1]Accounts!$G$46)</f>
        <v>0</v>
      </c>
      <c r="T45" t="str">
        <f>IF([2]Baskol!$B$48="","",[2]Baskol!$B$48)</f>
        <v>1405/07/15</v>
      </c>
      <c r="U45" t="str">
        <f>IF([2]Baskol!$C$48="","",[2]Baskol!$C$48)</f>
        <v/>
      </c>
      <c r="V45" t="str">
        <f>IF([2]Baskol!$D$48="","",[2]Baskol!$D$48)</f>
        <v/>
      </c>
      <c r="W45" t="str">
        <f>IF([2]Baskol!$E$48="","",[2]Baskol!$E$48)</f>
        <v>خرید مرکبات</v>
      </c>
      <c r="X45" t="str">
        <f>IF([2]Baskol!$G$48="","",[2]Baskol!$G$48)</f>
        <v>c019</v>
      </c>
      <c r="Y45" t="str">
        <f>IF([2]Baskol!$I$48="","",[2]Baskol!$I$48)</f>
        <v/>
      </c>
      <c r="Z45" t="str">
        <f>IF([2]Baskol!$J$48="","",[2]Baskol!$J$48)</f>
        <v>نارنگی</v>
      </c>
      <c r="AA45">
        <f>IF([2]Baskol!$K$48="","",[2]Baskol!$K$48)</f>
        <v>1185</v>
      </c>
      <c r="AB45">
        <f>IF([2]Baskol!$L$48="","",[2]Baskol!$L$48)</f>
        <v>71</v>
      </c>
      <c r="AC45" t="str">
        <f>IF([2]Baskol!$N$48="","",[2]Baskol!$N$48)</f>
        <v/>
      </c>
      <c r="AD45" t="str">
        <f>IF([2]Baskol!$O$48="","",[2]Baskol!$O$48)</f>
        <v/>
      </c>
      <c r="AE45" t="str">
        <f>IF([3]Entry!$C$48="","",[3]Entry!$C$48)</f>
        <v/>
      </c>
      <c r="AF45" t="str">
        <f>IF([3]Entry!$D$48="","",[3]Entry!$D$48)</f>
        <v/>
      </c>
      <c r="AG45" t="str">
        <f>IF([3]Entry!$E$48="","",[3]Entry!$E$48)</f>
        <v/>
      </c>
      <c r="AH45" t="str">
        <f>IF([3]Entry!$G$48="","",[3]Entry!$G$48)</f>
        <v/>
      </c>
      <c r="AI45" t="str">
        <f>IF([3]Entry!$K$48="","",[3]Entry!$K$48)</f>
        <v/>
      </c>
      <c r="AJ45" t="str">
        <f>IF([3]Entry!$L$48="","",[3]Entry!$L$48)</f>
        <v/>
      </c>
      <c r="AK45" t="str">
        <f>IF([3]Entry!$M$48="","",[3]Entry!$M$48)</f>
        <v/>
      </c>
      <c r="AL45" t="str">
        <f>IF([3]Entry!$N$48="","",[3]Entry!$N$48)</f>
        <v/>
      </c>
      <c r="AM45" t="str">
        <f>IF([3]Entry!$R$48="","",[3]Entry!$R$48)</f>
        <v/>
      </c>
    </row>
    <row r="46" spans="1:39" x14ac:dyDescent="0.2">
      <c r="A46" t="str">
        <f>IF([1]Accounts!$D$47="","",[1]Accounts!$A$47)</f>
        <v>C041</v>
      </c>
      <c r="B46" t="str">
        <f>IF([1]Accounts!$D$47="","",[1]Accounts!$B$47)</f>
        <v>فروشنده</v>
      </c>
      <c r="C46">
        <f>IF([1]Accounts!$D$47="","",[1]Accounts!$C$47)</f>
        <v>0</v>
      </c>
      <c r="D46" t="str">
        <f>IF([1]Accounts!$D$47="","",[1]Accounts!$D$47)</f>
        <v>محمد حسین عزیزی</v>
      </c>
      <c r="E46">
        <f>IF([1]Accounts!$D$47="","",[1]Accounts!$E$47)</f>
        <v>0</v>
      </c>
      <c r="F46">
        <f>IF([1]Accounts!$D$47="","",[1]Accounts!$F$47)</f>
        <v>0</v>
      </c>
      <c r="G46">
        <f>IF([1]Accounts!$D$47="","",[1]Accounts!$G$47)</f>
        <v>0</v>
      </c>
      <c r="T46" t="str">
        <f>IF([2]Baskol!$B$49="","",[2]Baskol!$B$49)</f>
        <v>1405/07/15</v>
      </c>
      <c r="U46" t="str">
        <f>IF([2]Baskol!$C$49="","",[2]Baskol!$C$49)</f>
        <v/>
      </c>
      <c r="V46" t="str">
        <f>IF([2]Baskol!$D$49="","",[2]Baskol!$D$49)</f>
        <v/>
      </c>
      <c r="W46" t="str">
        <f>IF([2]Baskol!$E$49="","",[2]Baskol!$E$49)</f>
        <v>خرید مرکبات</v>
      </c>
      <c r="X46" t="str">
        <f>IF([2]Baskol!$G$49="","",[2]Baskol!$G$49)</f>
        <v>c019</v>
      </c>
      <c r="Y46" t="str">
        <f>IF([2]Baskol!$I$49="","",[2]Baskol!$I$49)</f>
        <v/>
      </c>
      <c r="Z46" t="str">
        <f>IF([2]Baskol!$J$49="","",[2]Baskol!$J$49)</f>
        <v>نارنگی</v>
      </c>
      <c r="AA46">
        <f>IF([2]Baskol!$K$49="","",[2]Baskol!$K$49)</f>
        <v>770</v>
      </c>
      <c r="AB46">
        <f>IF([2]Baskol!$L$49="","",[2]Baskol!$L$49)</f>
        <v>50</v>
      </c>
      <c r="AC46" t="str">
        <f>IF([2]Baskol!$N$49="","",[2]Baskol!$N$49)</f>
        <v/>
      </c>
      <c r="AD46" t="str">
        <f>IF([2]Baskol!$O$49="","",[2]Baskol!$O$49)</f>
        <v/>
      </c>
      <c r="AE46" t="str">
        <f>IF([3]Entry!$C$49="","",[3]Entry!$C$49)</f>
        <v/>
      </c>
      <c r="AF46" t="str">
        <f>IF([3]Entry!$D$49="","",[3]Entry!$D$49)</f>
        <v/>
      </c>
      <c r="AG46" t="str">
        <f>IF([3]Entry!$E$49="","",[3]Entry!$E$49)</f>
        <v/>
      </c>
      <c r="AH46" t="str">
        <f>IF([3]Entry!$G$49="","",[3]Entry!$G$49)</f>
        <v/>
      </c>
      <c r="AI46" t="str">
        <f>IF([3]Entry!$K$49="","",[3]Entry!$K$49)</f>
        <v/>
      </c>
      <c r="AJ46" t="str">
        <f>IF([3]Entry!$L$49="","",[3]Entry!$L$49)</f>
        <v/>
      </c>
      <c r="AK46" t="str">
        <f>IF([3]Entry!$M$49="","",[3]Entry!$M$49)</f>
        <v/>
      </c>
      <c r="AL46" t="str">
        <f>IF([3]Entry!$N$49="","",[3]Entry!$N$49)</f>
        <v/>
      </c>
      <c r="AM46" t="str">
        <f>IF([3]Entry!$R$49="","",[3]Entry!$R$49)</f>
        <v/>
      </c>
    </row>
    <row r="47" spans="1:39" x14ac:dyDescent="0.2">
      <c r="A47" t="str">
        <f>IF([1]Accounts!$D$48="","",[1]Accounts!$A$48)</f>
        <v>C042</v>
      </c>
      <c r="B47" t="str">
        <f>IF([1]Accounts!$D$48="","",[1]Accounts!$B$48)</f>
        <v>فروشنده</v>
      </c>
      <c r="C47">
        <f>IF([1]Accounts!$D$48="","",[1]Accounts!$C$48)</f>
        <v>0</v>
      </c>
      <c r="D47" t="str">
        <f>IF([1]Accounts!$D$48="","",[1]Accounts!$D$48)</f>
        <v>مغداد طلایی</v>
      </c>
      <c r="E47">
        <f>IF([1]Accounts!$D$48="","",[1]Accounts!$E$48)</f>
        <v>0</v>
      </c>
      <c r="F47">
        <f>IF([1]Accounts!$D$48="","",[1]Accounts!$F$48)</f>
        <v>0</v>
      </c>
      <c r="G47">
        <f>IF([1]Accounts!$D$48="","",[1]Accounts!$G$48)</f>
        <v>0</v>
      </c>
      <c r="T47" t="str">
        <f>IF([2]Baskol!$B$50="","",[2]Baskol!$B$50)</f>
        <v>1405/07/15</v>
      </c>
      <c r="U47" t="str">
        <f>IF([2]Baskol!$C$50="","",[2]Baskol!$C$50)</f>
        <v/>
      </c>
      <c r="V47" t="str">
        <f>IF([2]Baskol!$D$50="","",[2]Baskol!$D$50)</f>
        <v/>
      </c>
      <c r="W47" t="str">
        <f>IF([2]Baskol!$E$50="","",[2]Baskol!$E$50)</f>
        <v>فروش</v>
      </c>
      <c r="X47" t="str">
        <f>IF([2]Baskol!$G$50="","",[2]Baskol!$G$50)</f>
        <v>SL003</v>
      </c>
      <c r="Y47" t="str">
        <f>IF([2]Baskol!$I$50="","",[2]Baskol!$I$50)</f>
        <v/>
      </c>
      <c r="Z47" t="str">
        <f>IF([2]Baskol!$J$50="","",[2]Baskol!$J$50)</f>
        <v/>
      </c>
      <c r="AA47">
        <f>IF([2]Baskol!$K$50="","",[2]Baskol!$K$50)</f>
        <v>3035</v>
      </c>
      <c r="AB47" t="str">
        <f>IF([2]Baskol!$L$50="","",[2]Baskol!$L$50)</f>
        <v/>
      </c>
      <c r="AC47" t="str">
        <f>IF([2]Baskol!$N$50="","",[2]Baskol!$N$50)</f>
        <v/>
      </c>
      <c r="AD47" t="str">
        <f>IF([2]Baskol!$O$50="","",[2]Baskol!$O$50)</f>
        <v/>
      </c>
      <c r="AE47" t="str">
        <f>IF([3]Entry!$C$50="","",[3]Entry!$C$50)</f>
        <v/>
      </c>
      <c r="AF47" t="str">
        <f>IF([3]Entry!$D$50="","",[3]Entry!$D$50)</f>
        <v/>
      </c>
      <c r="AG47" t="str">
        <f>IF([3]Entry!$E$50="","",[3]Entry!$E$50)</f>
        <v/>
      </c>
      <c r="AH47" t="str">
        <f>IF([3]Entry!$G$50="","",[3]Entry!$G$50)</f>
        <v/>
      </c>
      <c r="AI47" t="str">
        <f>IF([3]Entry!$K$50="","",[3]Entry!$K$50)</f>
        <v/>
      </c>
      <c r="AJ47" t="str">
        <f>IF([3]Entry!$L$50="","",[3]Entry!$L$50)</f>
        <v/>
      </c>
      <c r="AK47" t="str">
        <f>IF([3]Entry!$M$50="","",[3]Entry!$M$50)</f>
        <v/>
      </c>
      <c r="AL47" t="str">
        <f>IF([3]Entry!$N$50="","",[3]Entry!$N$50)</f>
        <v/>
      </c>
      <c r="AM47" t="str">
        <f>IF([3]Entry!$R$50="","",[3]Entry!$R$50)</f>
        <v/>
      </c>
    </row>
    <row r="48" spans="1:39" x14ac:dyDescent="0.2">
      <c r="A48" t="str">
        <f>IF([1]Accounts!$D$49="","",[1]Accounts!$A$49)</f>
        <v>C043</v>
      </c>
      <c r="B48" t="str">
        <f>IF([1]Accounts!$D$49="","",[1]Accounts!$B$49)</f>
        <v>فروشنده</v>
      </c>
      <c r="C48">
        <f>IF([1]Accounts!$D$49="","",[1]Accounts!$C$49)</f>
        <v>0</v>
      </c>
      <c r="D48" t="str">
        <f>IF([1]Accounts!$D$49="","",[1]Accounts!$D$49)</f>
        <v>سید عبدالله میراقازاده</v>
      </c>
      <c r="E48">
        <f>IF([1]Accounts!$D$49="","",[1]Accounts!$E$49)</f>
        <v>0</v>
      </c>
      <c r="F48">
        <f>IF([1]Accounts!$D$49="","",[1]Accounts!$F$49)</f>
        <v>0</v>
      </c>
      <c r="G48">
        <f>IF([1]Accounts!$D$49="","",[1]Accounts!$G$49)</f>
        <v>0</v>
      </c>
      <c r="T48" t="str">
        <f>IF([2]Baskol!$B$51="","",[2]Baskol!$B$51)</f>
        <v>1405/07/15</v>
      </c>
      <c r="U48" t="str">
        <f>IF([2]Baskol!$C$51="","",[2]Baskol!$C$51)</f>
        <v/>
      </c>
      <c r="V48" t="str">
        <f>IF([2]Baskol!$D$51="","",[2]Baskol!$D$51)</f>
        <v/>
      </c>
      <c r="W48" t="str">
        <f>IF([2]Baskol!$E$51="","",[2]Baskol!$E$51)</f>
        <v>فروش</v>
      </c>
      <c r="X48" t="str">
        <f>IF([2]Baskol!$G$51="","",[2]Baskol!$G$51)</f>
        <v>SL001</v>
      </c>
      <c r="Y48" t="str">
        <f>IF([2]Baskol!$I$51="","",[2]Baskol!$I$51)</f>
        <v/>
      </c>
      <c r="Z48" t="str">
        <f>IF([2]Baskol!$J$51="","",[2]Baskol!$J$51)</f>
        <v/>
      </c>
      <c r="AA48">
        <f>IF([2]Baskol!$K$51="","",[2]Baskol!$K$51)</f>
        <v>2210</v>
      </c>
      <c r="AB48" t="str">
        <f>IF([2]Baskol!$L$51="","",[2]Baskol!$L$51)</f>
        <v/>
      </c>
      <c r="AC48" t="str">
        <f>IF([2]Baskol!$N$51="","",[2]Baskol!$N$51)</f>
        <v/>
      </c>
      <c r="AD48" t="str">
        <f>IF([2]Baskol!$O$51="","",[2]Baskol!$O$51)</f>
        <v/>
      </c>
      <c r="AE48" t="str">
        <f>IF([3]Entry!$C$51="","",[3]Entry!$C$51)</f>
        <v/>
      </c>
      <c r="AF48" t="str">
        <f>IF([3]Entry!$D$51="","",[3]Entry!$D$51)</f>
        <v/>
      </c>
      <c r="AG48" t="str">
        <f>IF([3]Entry!$E$51="","",[3]Entry!$E$51)</f>
        <v/>
      </c>
      <c r="AH48" t="str">
        <f>IF([3]Entry!$G$51="","",[3]Entry!$G$51)</f>
        <v/>
      </c>
      <c r="AI48" t="str">
        <f>IF([3]Entry!$K$51="","",[3]Entry!$K$51)</f>
        <v/>
      </c>
      <c r="AJ48" t="str">
        <f>IF([3]Entry!$L$51="","",[3]Entry!$L$51)</f>
        <v/>
      </c>
      <c r="AK48" t="str">
        <f>IF([3]Entry!$M$51="","",[3]Entry!$M$51)</f>
        <v/>
      </c>
      <c r="AL48" t="str">
        <f>IF([3]Entry!$N$51="","",[3]Entry!$N$51)</f>
        <v/>
      </c>
      <c r="AM48" t="str">
        <f>IF([3]Entry!$R$51="","",[3]Entry!$R$51)</f>
        <v/>
      </c>
    </row>
    <row r="49" spans="1:39" x14ac:dyDescent="0.2">
      <c r="A49" t="str">
        <f>IF([1]Accounts!$D$50="","",[1]Accounts!$A$50)</f>
        <v>C044</v>
      </c>
      <c r="B49" t="str">
        <f>IF([1]Accounts!$D$50="","",[1]Accounts!$B$50)</f>
        <v>فروشنده</v>
      </c>
      <c r="C49">
        <f>IF([1]Accounts!$D$50="","",[1]Accounts!$C$50)</f>
        <v>0</v>
      </c>
      <c r="D49" t="str">
        <f>IF([1]Accounts!$D$50="","",[1]Accounts!$D$50)</f>
        <v>رجب پور</v>
      </c>
      <c r="E49">
        <f>IF([1]Accounts!$D$50="","",[1]Accounts!$E$50)</f>
        <v>0</v>
      </c>
      <c r="F49">
        <f>IF([1]Accounts!$D$50="","",[1]Accounts!$F$50)</f>
        <v>0</v>
      </c>
      <c r="G49">
        <f>IF([1]Accounts!$D$50="","",[1]Accounts!$G$50)</f>
        <v>0</v>
      </c>
      <c r="T49" t="str">
        <f>IF([2]Baskol!$B$52="","",[2]Baskol!$B$52)</f>
        <v>1405/07/15</v>
      </c>
      <c r="U49" t="str">
        <f>IF([2]Baskol!$C$52="","",[2]Baskol!$C$52)</f>
        <v/>
      </c>
      <c r="V49" t="str">
        <f>IF([2]Baskol!$D$52="","",[2]Baskol!$D$52)</f>
        <v/>
      </c>
      <c r="W49" t="str">
        <f>IF([2]Baskol!$E$52="","",[2]Baskol!$E$52)</f>
        <v>خرید مرکبات</v>
      </c>
      <c r="X49" t="str">
        <f>IF([2]Baskol!$G$52="","",[2]Baskol!$G$52)</f>
        <v>c024</v>
      </c>
      <c r="Y49" t="str">
        <f>IF([2]Baskol!$I$52="","",[2]Baskol!$I$52)</f>
        <v/>
      </c>
      <c r="Z49" t="str">
        <f>IF([2]Baskol!$J$52="","",[2]Baskol!$J$52)</f>
        <v>نارنگی</v>
      </c>
      <c r="AA49">
        <f>IF([2]Baskol!$K$52="","",[2]Baskol!$K$52)</f>
        <v>665</v>
      </c>
      <c r="AB49">
        <f>IF([2]Baskol!$L$52="","",[2]Baskol!$L$52)</f>
        <v>37</v>
      </c>
      <c r="AC49" t="str">
        <f>IF([2]Baskol!$N$52="","",[2]Baskol!$N$52)</f>
        <v/>
      </c>
      <c r="AD49" t="str">
        <f>IF([2]Baskol!$O$52="","",[2]Baskol!$O$52)</f>
        <v/>
      </c>
      <c r="AE49" t="str">
        <f>IF([3]Entry!$C$52="","",[3]Entry!$C$52)</f>
        <v/>
      </c>
      <c r="AF49" t="str">
        <f>IF([3]Entry!$D$52="","",[3]Entry!$D$52)</f>
        <v/>
      </c>
      <c r="AG49" t="str">
        <f>IF([3]Entry!$E$52="","",[3]Entry!$E$52)</f>
        <v/>
      </c>
      <c r="AH49" t="str">
        <f>IF([3]Entry!$G$52="","",[3]Entry!$G$52)</f>
        <v/>
      </c>
      <c r="AI49" t="str">
        <f>IF([3]Entry!$K$52="","",[3]Entry!$K$52)</f>
        <v/>
      </c>
      <c r="AJ49" t="str">
        <f>IF([3]Entry!$L$52="","",[3]Entry!$L$52)</f>
        <v/>
      </c>
      <c r="AK49" t="str">
        <f>IF([3]Entry!$M$52="","",[3]Entry!$M$52)</f>
        <v/>
      </c>
      <c r="AL49" t="str">
        <f>IF([3]Entry!$N$52="","",[3]Entry!$N$52)</f>
        <v/>
      </c>
      <c r="AM49" t="str">
        <f>IF([3]Entry!$R$52="","",[3]Entry!$R$52)</f>
        <v/>
      </c>
    </row>
    <row r="50" spans="1:39" x14ac:dyDescent="0.2">
      <c r="A50" t="str">
        <f>IF([1]Accounts!$D$51="","",[1]Accounts!$A$51)</f>
        <v>C045</v>
      </c>
      <c r="B50" t="str">
        <f>IF([1]Accounts!$D$51="","",[1]Accounts!$B$51)</f>
        <v>فروشنده</v>
      </c>
      <c r="C50">
        <f>IF([1]Accounts!$D$51="","",[1]Accounts!$C$51)</f>
        <v>0</v>
      </c>
      <c r="D50" t="str">
        <f>IF([1]Accounts!$D$51="","",[1]Accounts!$D$51)</f>
        <v>سعید بابایی</v>
      </c>
      <c r="E50">
        <f>IF([1]Accounts!$D$51="","",[1]Accounts!$E$51)</f>
        <v>0</v>
      </c>
      <c r="F50">
        <f>IF([1]Accounts!$D$51="","",[1]Accounts!$F$51)</f>
        <v>0</v>
      </c>
      <c r="G50">
        <f>IF([1]Accounts!$D$51="","",[1]Accounts!$G$51)</f>
        <v>0</v>
      </c>
      <c r="T50" t="str">
        <f>IF([2]Baskol!$B$53="","",[2]Baskol!$B$53)</f>
        <v>1405/07/15</v>
      </c>
      <c r="U50" t="str">
        <f>IF([2]Baskol!$C$53="","",[2]Baskol!$C$53)</f>
        <v/>
      </c>
      <c r="V50" t="str">
        <f>IF([2]Baskol!$D$53="","",[2]Baskol!$D$53)</f>
        <v/>
      </c>
      <c r="W50" t="str">
        <f>IF([2]Baskol!$E$53="","",[2]Baskol!$E$53)</f>
        <v>خرید مرکبات</v>
      </c>
      <c r="X50" t="str">
        <f>IF([2]Baskol!$G$53="","",[2]Baskol!$G$53)</f>
        <v>c021</v>
      </c>
      <c r="Y50" t="str">
        <f>IF([2]Baskol!$I$53="","",[2]Baskol!$I$53)</f>
        <v/>
      </c>
      <c r="Z50" t="str">
        <f>IF([2]Baskol!$J$53="","",[2]Baskol!$J$53)</f>
        <v>نارنگی</v>
      </c>
      <c r="AA50">
        <f>IF([2]Baskol!$K$53="","",[2]Baskol!$K$53)</f>
        <v>710</v>
      </c>
      <c r="AB50">
        <f>IF([2]Baskol!$L$53="","",[2]Baskol!$L$53)</f>
        <v>64</v>
      </c>
      <c r="AC50" t="str">
        <f>IF([2]Baskol!$N$53="","",[2]Baskol!$N$53)</f>
        <v/>
      </c>
      <c r="AD50" t="str">
        <f>IF([2]Baskol!$O$53="","",[2]Baskol!$O$53)</f>
        <v/>
      </c>
      <c r="AE50" t="str">
        <f>IF([3]Entry!$C$53="","",[3]Entry!$C$53)</f>
        <v/>
      </c>
      <c r="AF50" t="str">
        <f>IF([3]Entry!$D$53="","",[3]Entry!$D$53)</f>
        <v/>
      </c>
      <c r="AG50" t="str">
        <f>IF([3]Entry!$E$53="","",[3]Entry!$E$53)</f>
        <v/>
      </c>
      <c r="AH50" t="str">
        <f>IF([3]Entry!$G$53="","",[3]Entry!$G$53)</f>
        <v/>
      </c>
      <c r="AI50" t="str">
        <f>IF([3]Entry!$K$53="","",[3]Entry!$K$53)</f>
        <v/>
      </c>
      <c r="AJ50" t="str">
        <f>IF([3]Entry!$L$53="","",[3]Entry!$L$53)</f>
        <v/>
      </c>
      <c r="AK50" t="str">
        <f>IF([3]Entry!$M$53="","",[3]Entry!$M$53)</f>
        <v/>
      </c>
      <c r="AL50" t="str">
        <f>IF([3]Entry!$N$53="","",[3]Entry!$N$53)</f>
        <v/>
      </c>
      <c r="AM50" t="str">
        <f>IF([3]Entry!$R$53="","",[3]Entry!$R$53)</f>
        <v/>
      </c>
    </row>
    <row r="51" spans="1:39" x14ac:dyDescent="0.2">
      <c r="A51" t="str">
        <f>IF([1]Accounts!$D$52="","",[1]Accounts!$A$52)</f>
        <v>C046</v>
      </c>
      <c r="B51" t="str">
        <f>IF([1]Accounts!$D$52="","",[1]Accounts!$B$52)</f>
        <v>فروشنده</v>
      </c>
      <c r="C51">
        <f>IF([1]Accounts!$D$52="","",[1]Accounts!$C$52)</f>
        <v>0</v>
      </c>
      <c r="D51" t="str">
        <f>IF([1]Accounts!$D$52="","",[1]Accounts!$D$52)</f>
        <v>مطلب عیسی پور</v>
      </c>
      <c r="E51">
        <f>IF([1]Accounts!$D$52="","",[1]Accounts!$E$52)</f>
        <v>0</v>
      </c>
      <c r="F51">
        <f>IF([1]Accounts!$D$52="","",[1]Accounts!$F$52)</f>
        <v>0</v>
      </c>
      <c r="G51">
        <f>IF([1]Accounts!$D$52="","",[1]Accounts!$G$52)</f>
        <v>0</v>
      </c>
      <c r="T51" t="str">
        <f>IF([2]Baskol!$B$54="","",[2]Baskol!$B$54)</f>
        <v>1405/07/15</v>
      </c>
      <c r="U51" t="str">
        <f>IF([2]Baskol!$C$54="","",[2]Baskol!$C$54)</f>
        <v/>
      </c>
      <c r="V51" t="str">
        <f>IF([2]Baskol!$D$54="","",[2]Baskol!$D$54)</f>
        <v/>
      </c>
      <c r="W51" t="str">
        <f>IF([2]Baskol!$E$54="","",[2]Baskol!$E$54)</f>
        <v>خرید مرکبات</v>
      </c>
      <c r="X51" t="str">
        <f>IF([2]Baskol!$G$54="","",[2]Baskol!$G$54)</f>
        <v>c022</v>
      </c>
      <c r="Y51" t="str">
        <f>IF([2]Baskol!$I$54="","",[2]Baskol!$I$54)</f>
        <v/>
      </c>
      <c r="Z51" t="str">
        <f>IF([2]Baskol!$J$54="","",[2]Baskol!$J$54)</f>
        <v>خرمالو</v>
      </c>
      <c r="AA51">
        <f>IF([2]Baskol!$K$54="","",[2]Baskol!$K$54)</f>
        <v>340</v>
      </c>
      <c r="AB51">
        <f>IF([2]Baskol!$L$54="","",[2]Baskol!$L$54)</f>
        <v>19</v>
      </c>
      <c r="AC51" t="str">
        <f>IF([2]Baskol!$N$54="","",[2]Baskol!$N$54)</f>
        <v/>
      </c>
      <c r="AD51" t="str">
        <f>IF([2]Baskol!$O$54="","",[2]Baskol!$O$54)</f>
        <v/>
      </c>
      <c r="AE51" t="str">
        <f>IF([3]Entry!$C$54="","",[3]Entry!$C$54)</f>
        <v/>
      </c>
      <c r="AF51" t="str">
        <f>IF([3]Entry!$D$54="","",[3]Entry!$D$54)</f>
        <v/>
      </c>
      <c r="AG51" t="str">
        <f>IF([3]Entry!$E$54="","",[3]Entry!$E$54)</f>
        <v/>
      </c>
      <c r="AH51" t="str">
        <f>IF([3]Entry!$G$54="","",[3]Entry!$G$54)</f>
        <v/>
      </c>
      <c r="AI51" t="str">
        <f>IF([3]Entry!$K$54="","",[3]Entry!$K$54)</f>
        <v/>
      </c>
      <c r="AJ51" t="str">
        <f>IF([3]Entry!$L$54="","",[3]Entry!$L$54)</f>
        <v/>
      </c>
      <c r="AK51" t="str">
        <f>IF([3]Entry!$M$54="","",[3]Entry!$M$54)</f>
        <v/>
      </c>
      <c r="AL51" t="str">
        <f>IF([3]Entry!$N$54="","",[3]Entry!$N$54)</f>
        <v/>
      </c>
      <c r="AM51" t="str">
        <f>IF([3]Entry!$R$54="","",[3]Entry!$R$54)</f>
        <v/>
      </c>
    </row>
    <row r="52" spans="1:39" x14ac:dyDescent="0.2">
      <c r="A52" t="str">
        <f>IF([1]Accounts!$D$53="","",[1]Accounts!$A$53)</f>
        <v>C047</v>
      </c>
      <c r="B52" t="str">
        <f>IF([1]Accounts!$D$53="","",[1]Accounts!$B$53)</f>
        <v>فروشنده</v>
      </c>
      <c r="C52">
        <f>IF([1]Accounts!$D$53="","",[1]Accounts!$C$53)</f>
        <v>0</v>
      </c>
      <c r="D52" t="str">
        <f>IF([1]Accounts!$D$53="","",[1]Accounts!$D$53)</f>
        <v>عزیز زاده</v>
      </c>
      <c r="E52">
        <f>IF([1]Accounts!$D$53="","",[1]Accounts!$E$53)</f>
        <v>0</v>
      </c>
      <c r="F52">
        <f>IF([1]Accounts!$D$53="","",[1]Accounts!$F$53)</f>
        <v>0</v>
      </c>
      <c r="G52">
        <f>IF([1]Accounts!$D$53="","",[1]Accounts!$G$53)</f>
        <v>0</v>
      </c>
      <c r="T52" t="str">
        <f>IF([2]Baskol!$B$55="","",[2]Baskol!$B$55)</f>
        <v>1405/07/16</v>
      </c>
      <c r="U52" t="str">
        <f>IF([2]Baskol!$C$55="","",[2]Baskol!$C$55)</f>
        <v/>
      </c>
      <c r="V52" t="str">
        <f>IF([2]Baskol!$D$55="","",[2]Baskol!$D$55)</f>
        <v/>
      </c>
      <c r="W52" t="str">
        <f>IF([2]Baskol!$E$55="","",[2]Baskol!$E$55)</f>
        <v>خرید مرکبات</v>
      </c>
      <c r="X52" t="str">
        <f>IF([2]Baskol!$G$55="","",[2]Baskol!$G$55)</f>
        <v>c023</v>
      </c>
      <c r="Y52" t="str">
        <f>IF([2]Baskol!$I$55="","",[2]Baskol!$I$55)</f>
        <v/>
      </c>
      <c r="Z52" t="str">
        <f>IF([2]Baskol!$J$55="","",[2]Baskol!$J$55)</f>
        <v>نارنگی</v>
      </c>
      <c r="AA52">
        <f>IF([2]Baskol!$K$55="","",[2]Baskol!$K$55)</f>
        <v>2345</v>
      </c>
      <c r="AB52">
        <f>IF([2]Baskol!$L$55="","",[2]Baskol!$L$55)</f>
        <v>142</v>
      </c>
      <c r="AC52" t="str">
        <f>IF([2]Baskol!$N$55="","",[2]Baskol!$N$55)</f>
        <v/>
      </c>
      <c r="AD52" t="str">
        <f>IF([2]Baskol!$O$55="","",[2]Baskol!$O$55)</f>
        <v/>
      </c>
      <c r="AE52" t="str">
        <f>IF([3]Entry!$C$55="","",[3]Entry!$C$55)</f>
        <v/>
      </c>
      <c r="AF52" t="str">
        <f>IF([3]Entry!$D$55="","",[3]Entry!$D$55)</f>
        <v/>
      </c>
      <c r="AG52" t="str">
        <f>IF([3]Entry!$E$55="","",[3]Entry!$E$55)</f>
        <v/>
      </c>
      <c r="AH52" t="str">
        <f>IF([3]Entry!$G$55="","",[3]Entry!$G$55)</f>
        <v/>
      </c>
      <c r="AI52" t="str">
        <f>IF([3]Entry!$K$55="","",[3]Entry!$K$55)</f>
        <v/>
      </c>
      <c r="AJ52" t="str">
        <f>IF([3]Entry!$L$55="","",[3]Entry!$L$55)</f>
        <v/>
      </c>
      <c r="AK52" t="str">
        <f>IF([3]Entry!$M$55="","",[3]Entry!$M$55)</f>
        <v/>
      </c>
      <c r="AL52" t="str">
        <f>IF([3]Entry!$N$55="","",[3]Entry!$N$55)</f>
        <v/>
      </c>
      <c r="AM52" t="str">
        <f>IF([3]Entry!$R$55="","",[3]Entry!$R$55)</f>
        <v/>
      </c>
    </row>
    <row r="53" spans="1:39" x14ac:dyDescent="0.2">
      <c r="A53" t="str">
        <f>IF([1]Accounts!$D$54="","",[1]Accounts!$A$54)</f>
        <v>C048</v>
      </c>
      <c r="B53" t="str">
        <f>IF([1]Accounts!$D$54="","",[1]Accounts!$B$54)</f>
        <v>فروشنده</v>
      </c>
      <c r="C53">
        <f>IF([1]Accounts!$D$54="","",[1]Accounts!$C$54)</f>
        <v>0</v>
      </c>
      <c r="D53" t="str">
        <f>IF([1]Accounts!$D$54="","",[1]Accounts!$D$54)</f>
        <v>تقی اصغرنیا</v>
      </c>
      <c r="E53">
        <f>IF([1]Accounts!$D$54="","",[1]Accounts!$E$54)</f>
        <v>0</v>
      </c>
      <c r="F53">
        <f>IF([1]Accounts!$D$54="","",[1]Accounts!$F$54)</f>
        <v>0</v>
      </c>
      <c r="G53">
        <f>IF([1]Accounts!$D$54="","",[1]Accounts!$G$54)</f>
        <v>0</v>
      </c>
      <c r="T53" t="str">
        <f>IF([2]Baskol!$B$56="","",[2]Baskol!$B$56)</f>
        <v>1405/07/16</v>
      </c>
      <c r="U53" t="str">
        <f>IF([2]Baskol!$C$56="","",[2]Baskol!$C$56)</f>
        <v/>
      </c>
      <c r="V53" t="str">
        <f>IF([2]Baskol!$D$56="","",[2]Baskol!$D$56)</f>
        <v/>
      </c>
      <c r="W53" t="str">
        <f>IF([2]Baskol!$E$56="","",[2]Baskol!$E$56)</f>
        <v>فروش</v>
      </c>
      <c r="X53" t="str">
        <f>IF([2]Baskol!$G$56="","",[2]Baskol!$G$56)</f>
        <v>SL004</v>
      </c>
      <c r="Y53" t="str">
        <f>IF([2]Baskol!$I$56="","",[2]Baskol!$I$56)</f>
        <v/>
      </c>
      <c r="Z53" t="str">
        <f>IF([2]Baskol!$J$56="","",[2]Baskol!$J$56)</f>
        <v/>
      </c>
      <c r="AA53">
        <f>IF([2]Baskol!$K$56="","",[2]Baskol!$K$56)</f>
        <v>4755</v>
      </c>
      <c r="AB53" t="str">
        <f>IF([2]Baskol!$L$56="","",[2]Baskol!$L$56)</f>
        <v/>
      </c>
      <c r="AC53" t="str">
        <f>IF([2]Baskol!$N$56="","",[2]Baskol!$N$56)</f>
        <v/>
      </c>
      <c r="AD53" t="str">
        <f>IF([2]Baskol!$O$56="","",[2]Baskol!$O$56)</f>
        <v/>
      </c>
      <c r="AE53" t="str">
        <f>IF([3]Entry!$C$56="","",[3]Entry!$C$56)</f>
        <v/>
      </c>
      <c r="AF53" t="str">
        <f>IF([3]Entry!$D$56="","",[3]Entry!$D$56)</f>
        <v/>
      </c>
      <c r="AG53" t="str">
        <f>IF([3]Entry!$E$56="","",[3]Entry!$E$56)</f>
        <v/>
      </c>
      <c r="AH53" t="str">
        <f>IF([3]Entry!$G$56="","",[3]Entry!$G$56)</f>
        <v/>
      </c>
      <c r="AI53" t="str">
        <f>IF([3]Entry!$K$56="","",[3]Entry!$K$56)</f>
        <v/>
      </c>
      <c r="AJ53" t="str">
        <f>IF([3]Entry!$L$56="","",[3]Entry!$L$56)</f>
        <v/>
      </c>
      <c r="AK53" t="str">
        <f>IF([3]Entry!$M$56="","",[3]Entry!$M$56)</f>
        <v/>
      </c>
      <c r="AL53" t="str">
        <f>IF([3]Entry!$N$56="","",[3]Entry!$N$56)</f>
        <v/>
      </c>
      <c r="AM53" t="str">
        <f>IF([3]Entry!$R$56="","",[3]Entry!$R$56)</f>
        <v/>
      </c>
    </row>
    <row r="54" spans="1:39" x14ac:dyDescent="0.2">
      <c r="A54" t="str">
        <f>IF([1]Accounts!$D$55="","",[1]Accounts!$A$55)</f>
        <v>C049</v>
      </c>
      <c r="B54" t="str">
        <f>IF([1]Accounts!$D$55="","",[1]Accounts!$B$55)</f>
        <v>فروشنده</v>
      </c>
      <c r="C54">
        <f>IF([1]Accounts!$D$55="","",[1]Accounts!$C$55)</f>
        <v>0</v>
      </c>
      <c r="D54" t="str">
        <f>IF([1]Accounts!$D$55="","",[1]Accounts!$D$55)</f>
        <v>مدانلو</v>
      </c>
      <c r="E54">
        <f>IF([1]Accounts!$D$55="","",[1]Accounts!$E$55)</f>
        <v>0</v>
      </c>
      <c r="F54">
        <f>IF([1]Accounts!$D$55="","",[1]Accounts!$F$55)</f>
        <v>0</v>
      </c>
      <c r="G54">
        <f>IF([1]Accounts!$D$55="","",[1]Accounts!$G$55)</f>
        <v>0</v>
      </c>
      <c r="T54" t="str">
        <f>IF([2]Baskol!$B$57="","",[2]Baskol!$B$57)</f>
        <v>1405/07/16</v>
      </c>
      <c r="U54" t="str">
        <f>IF([2]Baskol!$C$57="","",[2]Baskol!$C$57)</f>
        <v/>
      </c>
      <c r="V54" t="str">
        <f>IF([2]Baskol!$D$57="","",[2]Baskol!$D$57)</f>
        <v/>
      </c>
      <c r="W54" t="str">
        <f>IF([2]Baskol!$E$57="","",[2]Baskol!$E$57)</f>
        <v>خرید مرکبات</v>
      </c>
      <c r="X54" t="str">
        <f>IF([2]Baskol!$G$57="","",[2]Baskol!$G$57)</f>
        <v>c024</v>
      </c>
      <c r="Y54" t="str">
        <f>IF([2]Baskol!$I$57="","",[2]Baskol!$I$57)</f>
        <v/>
      </c>
      <c r="Z54" t="str">
        <f>IF([2]Baskol!$J$57="","",[2]Baskol!$J$57)</f>
        <v>خرمالو</v>
      </c>
      <c r="AA54">
        <f>IF([2]Baskol!$K$57="","",[2]Baskol!$K$57)</f>
        <v>555</v>
      </c>
      <c r="AB54">
        <f>IF([2]Baskol!$L$57="","",[2]Baskol!$L$57)</f>
        <v>31</v>
      </c>
      <c r="AC54" t="str">
        <f>IF([2]Baskol!$N$57="","",[2]Baskol!$N$57)</f>
        <v/>
      </c>
      <c r="AD54" t="str">
        <f>IF([2]Baskol!$O$57="","",[2]Baskol!$O$57)</f>
        <v/>
      </c>
      <c r="AE54" t="str">
        <f>IF([3]Entry!$C$57="","",[3]Entry!$C$57)</f>
        <v/>
      </c>
      <c r="AF54" t="str">
        <f>IF([3]Entry!$D$57="","",[3]Entry!$D$57)</f>
        <v/>
      </c>
      <c r="AG54" t="str">
        <f>IF([3]Entry!$E$57="","",[3]Entry!$E$57)</f>
        <v/>
      </c>
      <c r="AH54" t="str">
        <f>IF([3]Entry!$G$57="","",[3]Entry!$G$57)</f>
        <v/>
      </c>
      <c r="AI54" t="str">
        <f>IF([3]Entry!$K$57="","",[3]Entry!$K$57)</f>
        <v/>
      </c>
      <c r="AJ54" t="str">
        <f>IF([3]Entry!$L$57="","",[3]Entry!$L$57)</f>
        <v/>
      </c>
      <c r="AK54" t="str">
        <f>IF([3]Entry!$M$57="","",[3]Entry!$M$57)</f>
        <v/>
      </c>
      <c r="AL54" t="str">
        <f>IF([3]Entry!$N$57="","",[3]Entry!$N$57)</f>
        <v/>
      </c>
      <c r="AM54" t="str">
        <f>IF([3]Entry!$R$57="","",[3]Entry!$R$57)</f>
        <v/>
      </c>
    </row>
    <row r="55" spans="1:39" x14ac:dyDescent="0.2">
      <c r="A55" t="str">
        <f>IF([1]Accounts!$D$56="","",[1]Accounts!$A$56)</f>
        <v>C050</v>
      </c>
      <c r="B55" t="str">
        <f>IF([1]Accounts!$D$56="","",[1]Accounts!$B$56)</f>
        <v>فروشنده</v>
      </c>
      <c r="C55">
        <f>IF([1]Accounts!$D$56="","",[1]Accounts!$C$56)</f>
        <v>0</v>
      </c>
      <c r="D55" t="str">
        <f>IF([1]Accounts!$D$56="","",[1]Accounts!$D$56)</f>
        <v>خدیجه اصغرنیا</v>
      </c>
      <c r="E55">
        <f>IF([1]Accounts!$D$56="","",[1]Accounts!$E$56)</f>
        <v>0</v>
      </c>
      <c r="F55">
        <f>IF([1]Accounts!$D$56="","",[1]Accounts!$F$56)</f>
        <v>0</v>
      </c>
      <c r="G55">
        <f>IF([1]Accounts!$D$56="","",[1]Accounts!$G$56)</f>
        <v>0</v>
      </c>
      <c r="T55" t="str">
        <f>IF([2]Baskol!$B$58="","",[2]Baskol!$B$58)</f>
        <v>1405/07/16</v>
      </c>
      <c r="U55" t="str">
        <f>IF([2]Baskol!$C$58="","",[2]Baskol!$C$58)</f>
        <v/>
      </c>
      <c r="V55" t="str">
        <f>IF([2]Baskol!$D$58="","",[2]Baskol!$D$58)</f>
        <v/>
      </c>
      <c r="W55" t="str">
        <f>IF([2]Baskol!$E$58="","",[2]Baskol!$E$58)</f>
        <v>خرید مرکبات</v>
      </c>
      <c r="X55" t="str">
        <f>IF([2]Baskol!$G$58="","",[2]Baskol!$G$58)</f>
        <v>c010</v>
      </c>
      <c r="Y55" t="str">
        <f>IF([2]Baskol!$I$58="","",[2]Baskol!$I$58)</f>
        <v/>
      </c>
      <c r="Z55" t="str">
        <f>IF([2]Baskol!$J$58="","",[2]Baskol!$J$58)</f>
        <v>نارنگی</v>
      </c>
      <c r="AA55">
        <f>IF([2]Baskol!$K$58="","",[2]Baskol!$K$58)</f>
        <v>1335</v>
      </c>
      <c r="AB55">
        <f>IF([2]Baskol!$L$58="","",[2]Baskol!$L$58)</f>
        <v>80</v>
      </c>
      <c r="AC55" t="str">
        <f>IF([2]Baskol!$N$58="","",[2]Baskol!$N$58)</f>
        <v/>
      </c>
      <c r="AD55" t="str">
        <f>IF([2]Baskol!$O$58="","",[2]Baskol!$O$58)</f>
        <v/>
      </c>
      <c r="AE55" t="str">
        <f>IF([3]Entry!$C$58="","",[3]Entry!$C$58)</f>
        <v/>
      </c>
      <c r="AF55" t="str">
        <f>IF([3]Entry!$D$58="","",[3]Entry!$D$58)</f>
        <v/>
      </c>
      <c r="AG55" t="str">
        <f>IF([3]Entry!$E$58="","",[3]Entry!$E$58)</f>
        <v/>
      </c>
      <c r="AH55" t="str">
        <f>IF([3]Entry!$G$58="","",[3]Entry!$G$58)</f>
        <v/>
      </c>
      <c r="AI55" t="str">
        <f>IF([3]Entry!$K$58="","",[3]Entry!$K$58)</f>
        <v/>
      </c>
      <c r="AJ55" t="str">
        <f>IF([3]Entry!$L$58="","",[3]Entry!$L$58)</f>
        <v/>
      </c>
      <c r="AK55" t="str">
        <f>IF([3]Entry!$M$58="","",[3]Entry!$M$58)</f>
        <v/>
      </c>
      <c r="AL55" t="str">
        <f>IF([3]Entry!$N$58="","",[3]Entry!$N$58)</f>
        <v/>
      </c>
      <c r="AM55" t="str">
        <f>IF([3]Entry!$R$58="","",[3]Entry!$R$58)</f>
        <v/>
      </c>
    </row>
    <row r="56" spans="1:39" x14ac:dyDescent="0.2">
      <c r="A56" t="str">
        <f>IF([1]Accounts!$D$57="","",[1]Accounts!$A$57)</f>
        <v>C051</v>
      </c>
      <c r="B56" t="str">
        <f>IF([1]Accounts!$D$57="","",[1]Accounts!$B$57)</f>
        <v>فروشنده</v>
      </c>
      <c r="C56">
        <f>IF([1]Accounts!$D$57="","",[1]Accounts!$C$57)</f>
        <v>0</v>
      </c>
      <c r="D56" t="str">
        <f>IF([1]Accounts!$D$57="","",[1]Accounts!$D$57)</f>
        <v>اصغر عزیزی</v>
      </c>
      <c r="E56">
        <f>IF([1]Accounts!$D$57="","",[1]Accounts!$E$57)</f>
        <v>0</v>
      </c>
      <c r="F56">
        <f>IF([1]Accounts!$D$57="","",[1]Accounts!$F$57)</f>
        <v>0</v>
      </c>
      <c r="G56">
        <f>IF([1]Accounts!$D$57="","",[1]Accounts!$G$57)</f>
        <v>0</v>
      </c>
      <c r="T56" t="str">
        <f>IF([2]Baskol!$B$59="","",[2]Baskol!$B$59)</f>
        <v>1405/07/16</v>
      </c>
      <c r="U56" t="str">
        <f>IF([2]Baskol!$C$59="","",[2]Baskol!$C$59)</f>
        <v/>
      </c>
      <c r="V56" t="str">
        <f>IF([2]Baskol!$D$59="","",[2]Baskol!$D$59)</f>
        <v/>
      </c>
      <c r="W56" t="str">
        <f>IF([2]Baskol!$E$59="","",[2]Baskol!$E$59)</f>
        <v>خرید مرکبات</v>
      </c>
      <c r="X56" t="str">
        <f>IF([2]Baskol!$G$59="","",[2]Baskol!$G$59)</f>
        <v>c024</v>
      </c>
      <c r="Y56" t="str">
        <f>IF([2]Baskol!$I$59="","",[2]Baskol!$I$59)</f>
        <v/>
      </c>
      <c r="Z56" t="str">
        <f>IF([2]Baskol!$J$59="","",[2]Baskol!$J$59)</f>
        <v>نارنگی</v>
      </c>
      <c r="AA56" t="str">
        <f>IF([2]Baskol!$K$59="","",[2]Baskol!$K$59)</f>
        <v/>
      </c>
      <c r="AB56">
        <f>IF([2]Baskol!$L$59="","",[2]Baskol!$L$59)</f>
        <v>28</v>
      </c>
      <c r="AC56" t="str">
        <f>IF([2]Baskol!$N$59="","",[2]Baskol!$N$59)</f>
        <v/>
      </c>
      <c r="AD56" t="str">
        <f>IF([2]Baskol!$O$59="","",[2]Baskol!$O$59)</f>
        <v/>
      </c>
      <c r="AE56" t="str">
        <f>IF([3]Entry!$C$59="","",[3]Entry!$C$59)</f>
        <v/>
      </c>
      <c r="AF56" t="str">
        <f>IF([3]Entry!$D$59="","",[3]Entry!$D$59)</f>
        <v/>
      </c>
      <c r="AG56" t="str">
        <f>IF([3]Entry!$E$59="","",[3]Entry!$E$59)</f>
        <v/>
      </c>
      <c r="AH56" t="str">
        <f>IF([3]Entry!$G$59="","",[3]Entry!$G$59)</f>
        <v/>
      </c>
      <c r="AI56" t="str">
        <f>IF([3]Entry!$K$59="","",[3]Entry!$K$59)</f>
        <v/>
      </c>
      <c r="AJ56" t="str">
        <f>IF([3]Entry!$L$59="","",[3]Entry!$L$59)</f>
        <v/>
      </c>
      <c r="AK56" t="str">
        <f>IF([3]Entry!$M$59="","",[3]Entry!$M$59)</f>
        <v/>
      </c>
      <c r="AL56" t="str">
        <f>IF([3]Entry!$N$59="","",[3]Entry!$N$59)</f>
        <v/>
      </c>
      <c r="AM56" t="str">
        <f>IF([3]Entry!$R$59="","",[3]Entry!$R$59)</f>
        <v/>
      </c>
    </row>
    <row r="57" spans="1:39" x14ac:dyDescent="0.2">
      <c r="A57" t="str">
        <f>IF([1]Accounts!$D$58="","",[1]Accounts!$A$58)</f>
        <v>C052</v>
      </c>
      <c r="B57" t="str">
        <f>IF([1]Accounts!$D$58="","",[1]Accounts!$B$58)</f>
        <v>فروشنده</v>
      </c>
      <c r="C57">
        <f>IF([1]Accounts!$D$58="","",[1]Accounts!$C$58)</f>
        <v>0</v>
      </c>
      <c r="D57" t="str">
        <f>IF([1]Accounts!$D$58="","",[1]Accounts!$D$58)</f>
        <v>غلامی</v>
      </c>
      <c r="E57">
        <f>IF([1]Accounts!$D$58="","",[1]Accounts!$E$58)</f>
        <v>0</v>
      </c>
      <c r="F57">
        <f>IF([1]Accounts!$D$58="","",[1]Accounts!$F$58)</f>
        <v>0</v>
      </c>
      <c r="G57">
        <f>IF([1]Accounts!$D$58="","",[1]Accounts!$G$58)</f>
        <v>0</v>
      </c>
      <c r="T57" t="str">
        <f>IF([2]Baskol!$B$60="","",[2]Baskol!$B$60)</f>
        <v>1405/07/17</v>
      </c>
      <c r="U57" t="str">
        <f>IF([2]Baskol!$C$60="","",[2]Baskol!$C$60)</f>
        <v/>
      </c>
      <c r="V57" t="str">
        <f>IF([2]Baskol!$D$60="","",[2]Baskol!$D$60)</f>
        <v/>
      </c>
      <c r="W57" t="str">
        <f>IF([2]Baskol!$E$60="","",[2]Baskol!$E$60)</f>
        <v>فروش</v>
      </c>
      <c r="X57" t="str">
        <f>IF([2]Baskol!$G$60="","",[2]Baskol!$G$60)</f>
        <v>SL001</v>
      </c>
      <c r="Y57" t="str">
        <f>IF([2]Baskol!$I$60="","",[2]Baskol!$I$60)</f>
        <v/>
      </c>
      <c r="Z57" t="str">
        <f>IF([2]Baskol!$J$60="","",[2]Baskol!$J$60)</f>
        <v/>
      </c>
      <c r="AA57">
        <f>IF([2]Baskol!$K$60="","",[2]Baskol!$K$60)</f>
        <v>3035</v>
      </c>
      <c r="AB57">
        <f>IF([2]Baskol!$L$60="","",[2]Baskol!$L$60)</f>
        <v>0</v>
      </c>
      <c r="AC57" t="str">
        <f>IF([2]Baskol!$N$60="","",[2]Baskol!$N$60)</f>
        <v/>
      </c>
      <c r="AD57" t="str">
        <f>IF([2]Baskol!$O$60="","",[2]Baskol!$O$60)</f>
        <v/>
      </c>
      <c r="AE57" t="str">
        <f>IF([3]Entry!$C$60="","",[3]Entry!$C$60)</f>
        <v/>
      </c>
      <c r="AF57" t="str">
        <f>IF([3]Entry!$D$60="","",[3]Entry!$D$60)</f>
        <v/>
      </c>
      <c r="AG57" t="str">
        <f>IF([3]Entry!$E$60="","",[3]Entry!$E$60)</f>
        <v/>
      </c>
      <c r="AH57" t="str">
        <f>IF([3]Entry!$G$60="","",[3]Entry!$G$60)</f>
        <v/>
      </c>
      <c r="AI57" t="str">
        <f>IF([3]Entry!$K$60="","",[3]Entry!$K$60)</f>
        <v/>
      </c>
      <c r="AJ57" t="str">
        <f>IF([3]Entry!$L$60="","",[3]Entry!$L$60)</f>
        <v/>
      </c>
      <c r="AK57" t="str">
        <f>IF([3]Entry!$M$60="","",[3]Entry!$M$60)</f>
        <v/>
      </c>
      <c r="AL57" t="str">
        <f>IF([3]Entry!$N$60="","",[3]Entry!$N$60)</f>
        <v/>
      </c>
      <c r="AM57" t="str">
        <f>IF([3]Entry!$R$60="","",[3]Entry!$R$60)</f>
        <v/>
      </c>
    </row>
    <row r="58" spans="1:39" x14ac:dyDescent="0.2">
      <c r="A58" t="str">
        <f>IF([1]Accounts!$D$59="","",[1]Accounts!$A$59)</f>
        <v>C053</v>
      </c>
      <c r="B58" t="str">
        <f>IF([1]Accounts!$D$59="","",[1]Accounts!$B$59)</f>
        <v>فروشنده</v>
      </c>
      <c r="C58">
        <f>IF([1]Accounts!$D$59="","",[1]Accounts!$C$59)</f>
        <v>0</v>
      </c>
      <c r="D58" t="str">
        <f>IF([1]Accounts!$D$59="","",[1]Accounts!$D$59)</f>
        <v>علی عزیزنژاد</v>
      </c>
      <c r="E58">
        <f>IF([1]Accounts!$D$59="","",[1]Accounts!$E$59)</f>
        <v>0</v>
      </c>
      <c r="F58">
        <f>IF([1]Accounts!$D$59="","",[1]Accounts!$F$59)</f>
        <v>0</v>
      </c>
      <c r="G58">
        <f>IF([1]Accounts!$D$59="","",[1]Accounts!$G$59)</f>
        <v>0</v>
      </c>
      <c r="T58" t="str">
        <f>IF([2]Baskol!$B$61="","",[2]Baskol!$B$61)</f>
        <v>1405/07/17</v>
      </c>
      <c r="U58" t="str">
        <f>IF([2]Baskol!$C$61="","",[2]Baskol!$C$61)</f>
        <v/>
      </c>
      <c r="V58" t="str">
        <f>IF([2]Baskol!$D$61="","",[2]Baskol!$D$61)</f>
        <v/>
      </c>
      <c r="W58" t="str">
        <f>IF([2]Baskol!$E$61="","",[2]Baskol!$E$61)</f>
        <v>فروش</v>
      </c>
      <c r="X58" t="str">
        <f>IF([2]Baskol!$G$61="","",[2]Baskol!$G$61)</f>
        <v>SL003</v>
      </c>
      <c r="Y58" t="str">
        <f>IF([2]Baskol!$I$61="","",[2]Baskol!$I$61)</f>
        <v/>
      </c>
      <c r="Z58" t="str">
        <f>IF([2]Baskol!$J$61="","",[2]Baskol!$J$61)</f>
        <v/>
      </c>
      <c r="AA58">
        <f>IF([2]Baskol!$K$61="","",[2]Baskol!$K$61)</f>
        <v>3190</v>
      </c>
      <c r="AB58">
        <f>IF([2]Baskol!$L$61="","",[2]Baskol!$L$61)</f>
        <v>0</v>
      </c>
      <c r="AC58" t="str">
        <f>IF([2]Baskol!$N$61="","",[2]Baskol!$N$61)</f>
        <v/>
      </c>
      <c r="AD58" t="str">
        <f>IF([2]Baskol!$O$61="","",[2]Baskol!$O$61)</f>
        <v/>
      </c>
      <c r="AE58" t="str">
        <f>IF([3]Entry!$C$61="","",[3]Entry!$C$61)</f>
        <v/>
      </c>
      <c r="AF58" t="str">
        <f>IF([3]Entry!$D$61="","",[3]Entry!$D$61)</f>
        <v/>
      </c>
      <c r="AG58" t="str">
        <f>IF([3]Entry!$E$61="","",[3]Entry!$E$61)</f>
        <v/>
      </c>
      <c r="AH58" t="str">
        <f>IF([3]Entry!$G$61="","",[3]Entry!$G$61)</f>
        <v/>
      </c>
      <c r="AI58" t="str">
        <f>IF([3]Entry!$K$61="","",[3]Entry!$K$61)</f>
        <v/>
      </c>
      <c r="AJ58" t="str">
        <f>IF([3]Entry!$L$61="","",[3]Entry!$L$61)</f>
        <v/>
      </c>
      <c r="AK58" t="str">
        <f>IF([3]Entry!$M$61="","",[3]Entry!$M$61)</f>
        <v/>
      </c>
      <c r="AL58" t="str">
        <f>IF([3]Entry!$N$61="","",[3]Entry!$N$61)</f>
        <v/>
      </c>
      <c r="AM58" t="str">
        <f>IF([3]Entry!$R$61="","",[3]Entry!$R$61)</f>
        <v/>
      </c>
    </row>
    <row r="59" spans="1:39" x14ac:dyDescent="0.2">
      <c r="A59" t="str">
        <f>IF([1]Accounts!$D$60="","",[1]Accounts!$A$60)</f>
        <v>C054</v>
      </c>
      <c r="B59" t="str">
        <f>IF([1]Accounts!$D$60="","",[1]Accounts!$B$60)</f>
        <v>فروشنده</v>
      </c>
      <c r="C59">
        <f>IF([1]Accounts!$D$60="","",[1]Accounts!$C$60)</f>
        <v>0</v>
      </c>
      <c r="D59" t="str">
        <f>IF([1]Accounts!$D$60="","",[1]Accounts!$D$60)</f>
        <v>حسن عیسی پور</v>
      </c>
      <c r="E59">
        <f>IF([1]Accounts!$D$60="","",[1]Accounts!$E$60)</f>
        <v>0</v>
      </c>
      <c r="F59">
        <f>IF([1]Accounts!$D$60="","",[1]Accounts!$F$60)</f>
        <v>0</v>
      </c>
      <c r="G59">
        <f>IF([1]Accounts!$D$60="","",[1]Accounts!$G$60)</f>
        <v>0</v>
      </c>
      <c r="T59" t="str">
        <f>IF([2]Baskol!$B$62="","",[2]Baskol!$B$62)</f>
        <v>1405/07/17</v>
      </c>
      <c r="U59" t="str">
        <f>IF([2]Baskol!$C$62="","",[2]Baskol!$C$62)</f>
        <v/>
      </c>
      <c r="V59" t="str">
        <f>IF([2]Baskol!$D$62="","",[2]Baskol!$D$62)</f>
        <v/>
      </c>
      <c r="W59" t="str">
        <f>IF([2]Baskol!$E$62="","",[2]Baskol!$E$62)</f>
        <v>خرید مرکبات</v>
      </c>
      <c r="X59" t="str">
        <f>IF([2]Baskol!$G$62="","",[2]Baskol!$G$62)</f>
        <v>C025</v>
      </c>
      <c r="Y59" t="str">
        <f>IF([2]Baskol!$I$62="","",[2]Baskol!$I$62)</f>
        <v/>
      </c>
      <c r="Z59" t="str">
        <f>IF([2]Baskol!$J$62="","",[2]Baskol!$J$62)</f>
        <v>خرمالو</v>
      </c>
      <c r="AA59">
        <f>IF([2]Baskol!$K$62="","",[2]Baskol!$K$62)</f>
        <v>62</v>
      </c>
      <c r="AB59">
        <f>IF([2]Baskol!$L$62="","",[2]Baskol!$L$62)</f>
        <v>4</v>
      </c>
      <c r="AC59" t="str">
        <f>IF([2]Baskol!$N$62="","",[2]Baskol!$N$62)</f>
        <v/>
      </c>
      <c r="AD59" t="str">
        <f>IF([2]Baskol!$O$62="","",[2]Baskol!$O$62)</f>
        <v/>
      </c>
      <c r="AE59" t="str">
        <f>IF([3]Entry!$C$62="","",[3]Entry!$C$62)</f>
        <v/>
      </c>
      <c r="AF59" t="str">
        <f>IF([3]Entry!$D$62="","",[3]Entry!$D$62)</f>
        <v/>
      </c>
      <c r="AG59" t="str">
        <f>IF([3]Entry!$E$62="","",[3]Entry!$E$62)</f>
        <v/>
      </c>
      <c r="AH59" t="str">
        <f>IF([3]Entry!$G$62="","",[3]Entry!$G$62)</f>
        <v/>
      </c>
      <c r="AI59" t="str">
        <f>IF([3]Entry!$K$62="","",[3]Entry!$K$62)</f>
        <v/>
      </c>
      <c r="AJ59" t="str">
        <f>IF([3]Entry!$L$62="","",[3]Entry!$L$62)</f>
        <v/>
      </c>
      <c r="AK59" t="str">
        <f>IF([3]Entry!$M$62="","",[3]Entry!$M$62)</f>
        <v/>
      </c>
      <c r="AL59" t="str">
        <f>IF([3]Entry!$N$62="","",[3]Entry!$N$62)</f>
        <v/>
      </c>
      <c r="AM59" t="str">
        <f>IF([3]Entry!$R$62="","",[3]Entry!$R$62)</f>
        <v/>
      </c>
    </row>
    <row r="60" spans="1:39" x14ac:dyDescent="0.2">
      <c r="A60" t="str">
        <f>IF([1]Accounts!$D$61="","",[1]Accounts!$A$61)</f>
        <v>C055</v>
      </c>
      <c r="B60" t="str">
        <f>IF([1]Accounts!$D$61="","",[1]Accounts!$B$61)</f>
        <v>فروشنده</v>
      </c>
      <c r="C60">
        <f>IF([1]Accounts!$D$61="","",[1]Accounts!$C$61)</f>
        <v>0</v>
      </c>
      <c r="D60" t="str">
        <f>IF([1]Accounts!$D$61="","",[1]Accounts!$D$61)</f>
        <v>عسگری محمودی</v>
      </c>
      <c r="E60">
        <f>IF([1]Accounts!$D$61="","",[1]Accounts!$E$61)</f>
        <v>0</v>
      </c>
      <c r="F60">
        <f>IF([1]Accounts!$D$61="","",[1]Accounts!$F$61)</f>
        <v>0</v>
      </c>
      <c r="G60">
        <f>IF([1]Accounts!$D$61="","",[1]Accounts!$G$61)</f>
        <v>0</v>
      </c>
      <c r="T60" t="str">
        <f>IF([2]Baskol!$B$63="","",[2]Baskol!$B$63)</f>
        <v>1405/07/17</v>
      </c>
      <c r="U60" t="str">
        <f>IF([2]Baskol!$C$63="","",[2]Baskol!$C$63)</f>
        <v/>
      </c>
      <c r="V60" t="str">
        <f>IF([2]Baskol!$D$63="","",[2]Baskol!$D$63)</f>
        <v/>
      </c>
      <c r="W60" t="str">
        <f>IF([2]Baskol!$E$63="","",[2]Baskol!$E$63)</f>
        <v>خرید مرکبات</v>
      </c>
      <c r="X60" t="str">
        <f>IF([2]Baskol!$G$63="","",[2]Baskol!$G$63)</f>
        <v>C001</v>
      </c>
      <c r="Y60" t="str">
        <f>IF([2]Baskol!$I$63="","",[2]Baskol!$I$63)</f>
        <v/>
      </c>
      <c r="Z60" t="str">
        <f>IF([2]Baskol!$J$63="","",[2]Baskol!$J$63)</f>
        <v>نارنگی</v>
      </c>
      <c r="AA60">
        <f>IF([2]Baskol!$K$63="","",[2]Baskol!$K$63)</f>
        <v>65</v>
      </c>
      <c r="AB60">
        <f>IF([2]Baskol!$L$63="","",[2]Baskol!$L$63)</f>
        <v>4</v>
      </c>
      <c r="AC60" t="str">
        <f>IF([2]Baskol!$N$63="","",[2]Baskol!$N$63)</f>
        <v/>
      </c>
      <c r="AD60" t="str">
        <f>IF([2]Baskol!$O$63="","",[2]Baskol!$O$63)</f>
        <v/>
      </c>
      <c r="AE60" t="str">
        <f>IF([3]Entry!$C$63="","",[3]Entry!$C$63)</f>
        <v/>
      </c>
      <c r="AF60" t="str">
        <f>IF([3]Entry!$D$63="","",[3]Entry!$D$63)</f>
        <v/>
      </c>
      <c r="AG60" t="str">
        <f>IF([3]Entry!$E$63="","",[3]Entry!$E$63)</f>
        <v/>
      </c>
      <c r="AH60" t="str">
        <f>IF([3]Entry!$G$63="","",[3]Entry!$G$63)</f>
        <v/>
      </c>
      <c r="AI60" t="str">
        <f>IF([3]Entry!$K$63="","",[3]Entry!$K$63)</f>
        <v/>
      </c>
      <c r="AJ60" t="str">
        <f>IF([3]Entry!$L$63="","",[3]Entry!$L$63)</f>
        <v/>
      </c>
      <c r="AK60" t="str">
        <f>IF([3]Entry!$M$63="","",[3]Entry!$M$63)</f>
        <v/>
      </c>
      <c r="AL60" t="str">
        <f>IF([3]Entry!$N$63="","",[3]Entry!$N$63)</f>
        <v/>
      </c>
      <c r="AM60" t="str">
        <f>IF([3]Entry!$R$63="","",[3]Entry!$R$63)</f>
        <v/>
      </c>
    </row>
    <row r="61" spans="1:39" x14ac:dyDescent="0.2">
      <c r="A61" t="str">
        <f>IF([1]Accounts!$D$62="","",[1]Accounts!$A$62)</f>
        <v>C056</v>
      </c>
      <c r="B61" t="str">
        <f>IF([1]Accounts!$D$62="","",[1]Accounts!$B$62)</f>
        <v>فروشنده</v>
      </c>
      <c r="C61">
        <f>IF([1]Accounts!$D$62="","",[1]Accounts!$C$62)</f>
        <v>0</v>
      </c>
      <c r="D61" t="str">
        <f>IF([1]Accounts!$D$62="","",[1]Accounts!$D$62)</f>
        <v>اسماعیل حیدری</v>
      </c>
      <c r="E61">
        <f>IF([1]Accounts!$D$62="","",[1]Accounts!$E$62)</f>
        <v>0</v>
      </c>
      <c r="F61">
        <f>IF([1]Accounts!$D$62="","",[1]Accounts!$F$62)</f>
        <v>0</v>
      </c>
      <c r="G61">
        <f>IF([1]Accounts!$D$62="","",[1]Accounts!$G$62)</f>
        <v>0</v>
      </c>
      <c r="T61" t="str">
        <f>IF([2]Baskol!$B$64="","",[2]Baskol!$B$64)</f>
        <v>1405/07/17</v>
      </c>
      <c r="U61" t="str">
        <f>IF([2]Baskol!$C$64="","",[2]Baskol!$C$64)</f>
        <v/>
      </c>
      <c r="V61" t="str">
        <f>IF([2]Baskol!$D$64="","",[2]Baskol!$D$64)</f>
        <v/>
      </c>
      <c r="W61" t="str">
        <f>IF([2]Baskol!$E$64="","",[2]Baskol!$E$64)</f>
        <v>فروش</v>
      </c>
      <c r="X61" t="str">
        <f>IF([2]Baskol!$G$64="","",[2]Baskol!$G$64)</f>
        <v>SL002</v>
      </c>
      <c r="Y61" t="str">
        <f>IF([2]Baskol!$I$64="","",[2]Baskol!$I$64)</f>
        <v/>
      </c>
      <c r="Z61" t="str">
        <f>IF([2]Baskol!$J$64="","",[2]Baskol!$J$64)</f>
        <v/>
      </c>
      <c r="AA61">
        <f>IF([2]Baskol!$K$64="","",[2]Baskol!$K$64)</f>
        <v>2220</v>
      </c>
      <c r="AB61">
        <f>IF([2]Baskol!$L$64="","",[2]Baskol!$L$64)</f>
        <v>0</v>
      </c>
      <c r="AC61" t="str">
        <f>IF([2]Baskol!$N$64="","",[2]Baskol!$N$64)</f>
        <v/>
      </c>
      <c r="AD61" t="str">
        <f>IF([2]Baskol!$O$64="","",[2]Baskol!$O$64)</f>
        <v/>
      </c>
      <c r="AE61" t="str">
        <f>IF([3]Entry!$C$64="","",[3]Entry!$C$64)</f>
        <v/>
      </c>
      <c r="AF61" t="str">
        <f>IF([3]Entry!$D$64="","",[3]Entry!$D$64)</f>
        <v/>
      </c>
      <c r="AG61" t="str">
        <f>IF([3]Entry!$E$64="","",[3]Entry!$E$64)</f>
        <v/>
      </c>
      <c r="AH61" t="str">
        <f>IF([3]Entry!$G$64="","",[3]Entry!$G$64)</f>
        <v/>
      </c>
      <c r="AI61" t="str">
        <f>IF([3]Entry!$K$64="","",[3]Entry!$K$64)</f>
        <v/>
      </c>
      <c r="AJ61" t="str">
        <f>IF([3]Entry!$L$64="","",[3]Entry!$L$64)</f>
        <v/>
      </c>
      <c r="AK61" t="str">
        <f>IF([3]Entry!$M$64="","",[3]Entry!$M$64)</f>
        <v/>
      </c>
      <c r="AL61" t="str">
        <f>IF([3]Entry!$N$64="","",[3]Entry!$N$64)</f>
        <v/>
      </c>
      <c r="AM61" t="str">
        <f>IF([3]Entry!$R$64="","",[3]Entry!$R$64)</f>
        <v/>
      </c>
    </row>
    <row r="62" spans="1:39" x14ac:dyDescent="0.2">
      <c r="A62" t="str">
        <f>IF([1]Accounts!$D$63="","",[1]Accounts!$A$63)</f>
        <v>C057</v>
      </c>
      <c r="B62" t="str">
        <f>IF([1]Accounts!$D$63="","",[1]Accounts!$B$63)</f>
        <v>فروشنده</v>
      </c>
      <c r="C62">
        <f>IF([1]Accounts!$D$63="","",[1]Accounts!$C$63)</f>
        <v>0</v>
      </c>
      <c r="D62" t="str">
        <f>IF([1]Accounts!$D$63="","",[1]Accounts!$D$63)</f>
        <v>کبری اصغرنیا</v>
      </c>
      <c r="E62">
        <f>IF([1]Accounts!$D$63="","",[1]Accounts!$E$63)</f>
        <v>0</v>
      </c>
      <c r="F62">
        <f>IF([1]Accounts!$D$63="","",[1]Accounts!$F$63)</f>
        <v>0</v>
      </c>
      <c r="G62">
        <f>IF([1]Accounts!$D$63="","",[1]Accounts!$G$63)</f>
        <v>0</v>
      </c>
      <c r="T62" t="str">
        <f>IF([2]Baskol!$B$65="","",[2]Baskol!$B$65)</f>
        <v>1405/07/17</v>
      </c>
      <c r="U62" t="str">
        <f>IF([2]Baskol!$C$65="","",[2]Baskol!$C$65)</f>
        <v/>
      </c>
      <c r="V62" t="str">
        <f>IF([2]Baskol!$D$65="","",[2]Baskol!$D$65)</f>
        <v/>
      </c>
      <c r="W62" t="str">
        <f>IF([2]Baskol!$E$65="","",[2]Baskol!$E$65)</f>
        <v>خرید مرکبات</v>
      </c>
      <c r="X62" t="str">
        <f>IF([2]Baskol!$G$65="","",[2]Baskol!$G$65)</f>
        <v>c010</v>
      </c>
      <c r="Y62" t="str">
        <f>IF([2]Baskol!$I$65="","",[2]Baskol!$I$65)</f>
        <v/>
      </c>
      <c r="Z62" t="str">
        <f>IF([2]Baskol!$J$65="","",[2]Baskol!$J$65)</f>
        <v>نارنگی</v>
      </c>
      <c r="AA62">
        <f>IF([2]Baskol!$K$65="","",[2]Baskol!$K$65)</f>
        <v>132</v>
      </c>
      <c r="AB62">
        <f>IF([2]Baskol!$L$65="","",[2]Baskol!$L$65)</f>
        <v>8</v>
      </c>
      <c r="AC62" t="str">
        <f>IF([2]Baskol!$N$65="","",[2]Baskol!$N$65)</f>
        <v/>
      </c>
      <c r="AD62" t="str">
        <f>IF([2]Baskol!$O$65="","",[2]Baskol!$O$65)</f>
        <v/>
      </c>
      <c r="AE62" t="str">
        <f>IF([3]Entry!$C$65="","",[3]Entry!$C$65)</f>
        <v/>
      </c>
      <c r="AF62" t="str">
        <f>IF([3]Entry!$D$65="","",[3]Entry!$D$65)</f>
        <v/>
      </c>
      <c r="AG62" t="str">
        <f>IF([3]Entry!$E$65="","",[3]Entry!$E$65)</f>
        <v/>
      </c>
      <c r="AH62" t="str">
        <f>IF([3]Entry!$G$65="","",[3]Entry!$G$65)</f>
        <v/>
      </c>
      <c r="AI62" t="str">
        <f>IF([3]Entry!$K$65="","",[3]Entry!$K$65)</f>
        <v/>
      </c>
      <c r="AJ62" t="str">
        <f>IF([3]Entry!$L$65="","",[3]Entry!$L$65)</f>
        <v/>
      </c>
      <c r="AK62" t="str">
        <f>IF([3]Entry!$M$65="","",[3]Entry!$M$65)</f>
        <v/>
      </c>
      <c r="AL62" t="str">
        <f>IF([3]Entry!$N$65="","",[3]Entry!$N$65)</f>
        <v/>
      </c>
      <c r="AM62" t="str">
        <f>IF([3]Entry!$R$65="","",[3]Entry!$R$65)</f>
        <v/>
      </c>
    </row>
    <row r="63" spans="1:39" x14ac:dyDescent="0.2">
      <c r="A63" t="str">
        <f>IF([1]Accounts!$D$64="","",[1]Accounts!$A$64)</f>
        <v/>
      </c>
      <c r="B63" t="str">
        <f>IF([1]Accounts!$D$64="","",[1]Accounts!$B$64)</f>
        <v/>
      </c>
      <c r="C63" t="str">
        <f>IF([1]Accounts!$D$64="","",[1]Accounts!$C$64)</f>
        <v/>
      </c>
      <c r="D63" t="str">
        <f>IF([1]Accounts!$D$64="","",[1]Accounts!$D$64)</f>
        <v/>
      </c>
      <c r="E63" t="str">
        <f>IF([1]Accounts!$D$64="","",[1]Accounts!$E$64)</f>
        <v/>
      </c>
      <c r="F63" t="str">
        <f>IF([1]Accounts!$D$64="","",[1]Accounts!$F$64)</f>
        <v/>
      </c>
      <c r="G63" t="str">
        <f>IF([1]Accounts!$D$64="","",[1]Accounts!$G$64)</f>
        <v/>
      </c>
      <c r="T63" t="str">
        <f>IF([2]Baskol!$B$66="","",[2]Baskol!$B$66)</f>
        <v>1405/07/17</v>
      </c>
      <c r="U63" t="str">
        <f>IF([2]Baskol!$C$66="","",[2]Baskol!$C$66)</f>
        <v/>
      </c>
      <c r="V63" t="str">
        <f>IF([2]Baskol!$D$66="","",[2]Baskol!$D$66)</f>
        <v/>
      </c>
      <c r="W63" t="str">
        <f>IF([2]Baskol!$E$66="","",[2]Baskol!$E$66)</f>
        <v>خرید مرکبات</v>
      </c>
      <c r="X63" t="str">
        <f>IF([2]Baskol!$G$66="","",[2]Baskol!$G$66)</f>
        <v>c010</v>
      </c>
      <c r="Y63" t="str">
        <f>IF([2]Baskol!$I$66="","",[2]Baskol!$I$66)</f>
        <v/>
      </c>
      <c r="Z63" t="str">
        <f>IF([2]Baskol!$J$66="","",[2]Baskol!$J$66)</f>
        <v>خرمالو</v>
      </c>
      <c r="AA63">
        <f>IF([2]Baskol!$K$66="","",[2]Baskol!$K$66)</f>
        <v>235</v>
      </c>
      <c r="AB63">
        <f>IF([2]Baskol!$L$66="","",[2]Baskol!$L$66)</f>
        <v>14</v>
      </c>
      <c r="AC63" t="str">
        <f>IF([2]Baskol!$N$66="","",[2]Baskol!$N$66)</f>
        <v/>
      </c>
      <c r="AD63" t="str">
        <f>IF([2]Baskol!$O$66="","",[2]Baskol!$O$66)</f>
        <v/>
      </c>
      <c r="AE63" t="str">
        <f>IF([3]Entry!$C$66="","",[3]Entry!$C$66)</f>
        <v/>
      </c>
      <c r="AF63" t="str">
        <f>IF([3]Entry!$D$66="","",[3]Entry!$D$66)</f>
        <v/>
      </c>
      <c r="AG63" t="str">
        <f>IF([3]Entry!$E$66="","",[3]Entry!$E$66)</f>
        <v/>
      </c>
      <c r="AH63" t="str">
        <f>IF([3]Entry!$G$66="","",[3]Entry!$G$66)</f>
        <v/>
      </c>
      <c r="AI63" t="str">
        <f>IF([3]Entry!$K$66="","",[3]Entry!$K$66)</f>
        <v/>
      </c>
      <c r="AJ63" t="str">
        <f>IF([3]Entry!$L$66="","",[3]Entry!$L$66)</f>
        <v/>
      </c>
      <c r="AK63" t="str">
        <f>IF([3]Entry!$M$66="","",[3]Entry!$M$66)</f>
        <v/>
      </c>
      <c r="AL63" t="str">
        <f>IF([3]Entry!$N$66="","",[3]Entry!$N$66)</f>
        <v/>
      </c>
      <c r="AM63" t="str">
        <f>IF([3]Entry!$R$66="","",[3]Entry!$R$66)</f>
        <v/>
      </c>
    </row>
    <row r="64" spans="1:39" x14ac:dyDescent="0.2">
      <c r="A64" t="str">
        <f>IF([1]Accounts!$D$65="","",[1]Accounts!$A$65)</f>
        <v/>
      </c>
      <c r="B64" t="str">
        <f>IF([1]Accounts!$D$65="","",[1]Accounts!$B$65)</f>
        <v/>
      </c>
      <c r="C64" t="str">
        <f>IF([1]Accounts!$D$65="","",[1]Accounts!$C$65)</f>
        <v/>
      </c>
      <c r="D64" t="str">
        <f>IF([1]Accounts!$D$65="","",[1]Accounts!$D$65)</f>
        <v/>
      </c>
      <c r="E64" t="str">
        <f>IF([1]Accounts!$D$65="","",[1]Accounts!$E$65)</f>
        <v/>
      </c>
      <c r="F64" t="str">
        <f>IF([1]Accounts!$D$65="","",[1]Accounts!$F$65)</f>
        <v/>
      </c>
      <c r="G64" t="str">
        <f>IF([1]Accounts!$D$65="","",[1]Accounts!$G$65)</f>
        <v/>
      </c>
      <c r="T64" t="str">
        <f>IF([2]Baskol!$B$67="","",[2]Baskol!$B$67)</f>
        <v>1405/07/17</v>
      </c>
      <c r="U64" t="str">
        <f>IF([2]Baskol!$C$67="","",[2]Baskol!$C$67)</f>
        <v/>
      </c>
      <c r="V64" t="str">
        <f>IF([2]Baskol!$D$67="","",[2]Baskol!$D$67)</f>
        <v/>
      </c>
      <c r="W64" t="str">
        <f>IF([2]Baskol!$E$67="","",[2]Baskol!$E$67)</f>
        <v>خرید مرکبات</v>
      </c>
      <c r="X64" t="str">
        <f>IF([2]Baskol!$G$67="","",[2]Baskol!$G$67)</f>
        <v>c026</v>
      </c>
      <c r="Y64" t="str">
        <f>IF([2]Baskol!$I$67="","",[2]Baskol!$I$67)</f>
        <v/>
      </c>
      <c r="Z64" t="str">
        <f>IF([2]Baskol!$J$67="","",[2]Baskol!$J$67)</f>
        <v>نارنگی</v>
      </c>
      <c r="AA64">
        <f>IF([2]Baskol!$K$67="","",[2]Baskol!$K$67)</f>
        <v>1130</v>
      </c>
      <c r="AB64">
        <f>IF([2]Baskol!$L$67="","",[2]Baskol!$L$67)</f>
        <v>71</v>
      </c>
      <c r="AC64" t="str">
        <f>IF([2]Baskol!$N$67="","",[2]Baskol!$N$67)</f>
        <v/>
      </c>
      <c r="AD64" t="str">
        <f>IF([2]Baskol!$O$67="","",[2]Baskol!$O$67)</f>
        <v/>
      </c>
      <c r="AE64" t="str">
        <f>IF([3]Entry!$C$67="","",[3]Entry!$C$67)</f>
        <v/>
      </c>
      <c r="AF64" t="str">
        <f>IF([3]Entry!$D$67="","",[3]Entry!$D$67)</f>
        <v/>
      </c>
      <c r="AG64" t="str">
        <f>IF([3]Entry!$E$67="","",[3]Entry!$E$67)</f>
        <v/>
      </c>
      <c r="AH64" t="str">
        <f>IF([3]Entry!$G$67="","",[3]Entry!$G$67)</f>
        <v/>
      </c>
      <c r="AI64" t="str">
        <f>IF([3]Entry!$K$67="","",[3]Entry!$K$67)</f>
        <v/>
      </c>
      <c r="AJ64" t="str">
        <f>IF([3]Entry!$L$67="","",[3]Entry!$L$67)</f>
        <v/>
      </c>
      <c r="AK64" t="str">
        <f>IF([3]Entry!$M$67="","",[3]Entry!$M$67)</f>
        <v/>
      </c>
      <c r="AL64" t="str">
        <f>IF([3]Entry!$N$67="","",[3]Entry!$N$67)</f>
        <v/>
      </c>
      <c r="AM64" t="str">
        <f>IF([3]Entry!$R$67="","",[3]Entry!$R$67)</f>
        <v/>
      </c>
    </row>
    <row r="65" spans="1:39" x14ac:dyDescent="0.2">
      <c r="A65" t="str">
        <f>IF([1]Accounts!$D$66="","",[1]Accounts!$A$66)</f>
        <v/>
      </c>
      <c r="B65" t="str">
        <f>IF([1]Accounts!$D$66="","",[1]Accounts!$B$66)</f>
        <v/>
      </c>
      <c r="C65" t="str">
        <f>IF([1]Accounts!$D$66="","",[1]Accounts!$C$66)</f>
        <v/>
      </c>
      <c r="D65" t="str">
        <f>IF([1]Accounts!$D$66="","",[1]Accounts!$D$66)</f>
        <v/>
      </c>
      <c r="E65" t="str">
        <f>IF([1]Accounts!$D$66="","",[1]Accounts!$E$66)</f>
        <v/>
      </c>
      <c r="F65" t="str">
        <f>IF([1]Accounts!$D$66="","",[1]Accounts!$F$66)</f>
        <v/>
      </c>
      <c r="G65" t="str">
        <f>IF([1]Accounts!$D$66="","",[1]Accounts!$G$66)</f>
        <v/>
      </c>
      <c r="T65" t="str">
        <f>IF([2]Baskol!$B$68="","",[2]Baskol!$B$68)</f>
        <v>1405/07/17</v>
      </c>
      <c r="U65" t="str">
        <f>IF([2]Baskol!$C$68="","",[2]Baskol!$C$68)</f>
        <v/>
      </c>
      <c r="V65" t="str">
        <f>IF([2]Baskol!$D$68="","",[2]Baskol!$D$68)</f>
        <v/>
      </c>
      <c r="W65" t="str">
        <f>IF([2]Baskol!$E$68="","",[2]Baskol!$E$68)</f>
        <v>خرید مرکبات</v>
      </c>
      <c r="X65" t="str">
        <f>IF([2]Baskol!$G$68="","",[2]Baskol!$G$68)</f>
        <v>c026</v>
      </c>
      <c r="Y65" t="str">
        <f>IF([2]Baskol!$I$68="","",[2]Baskol!$I$68)</f>
        <v/>
      </c>
      <c r="Z65" t="str">
        <f>IF([2]Baskol!$J$68="","",[2]Baskol!$J$68)</f>
        <v>خرمالو</v>
      </c>
      <c r="AA65">
        <f>IF([2]Baskol!$K$68="","",[2]Baskol!$K$68)</f>
        <v>260</v>
      </c>
      <c r="AB65">
        <f>IF([2]Baskol!$L$68="","",[2]Baskol!$L$68)</f>
        <v>16</v>
      </c>
      <c r="AC65" t="str">
        <f>IF([2]Baskol!$N$68="","",[2]Baskol!$N$68)</f>
        <v/>
      </c>
      <c r="AD65" t="str">
        <f>IF([2]Baskol!$O$68="","",[2]Baskol!$O$68)</f>
        <v/>
      </c>
      <c r="AE65" t="str">
        <f>IF([3]Entry!$C$68="","",[3]Entry!$C$68)</f>
        <v/>
      </c>
      <c r="AF65" t="str">
        <f>IF([3]Entry!$D$68="","",[3]Entry!$D$68)</f>
        <v/>
      </c>
      <c r="AG65" t="str">
        <f>IF([3]Entry!$E$68="","",[3]Entry!$E$68)</f>
        <v/>
      </c>
      <c r="AH65" t="str">
        <f>IF([3]Entry!$G$68="","",[3]Entry!$G$68)</f>
        <v/>
      </c>
      <c r="AI65" t="str">
        <f>IF([3]Entry!$K$68="","",[3]Entry!$K$68)</f>
        <v/>
      </c>
      <c r="AJ65" t="str">
        <f>IF([3]Entry!$L$68="","",[3]Entry!$L$68)</f>
        <v/>
      </c>
      <c r="AK65" t="str">
        <f>IF([3]Entry!$M$68="","",[3]Entry!$M$68)</f>
        <v/>
      </c>
      <c r="AL65" t="str">
        <f>IF([3]Entry!$N$68="","",[3]Entry!$N$68)</f>
        <v/>
      </c>
      <c r="AM65" t="str">
        <f>IF([3]Entry!$R$68="","",[3]Entry!$R$68)</f>
        <v/>
      </c>
    </row>
    <row r="66" spans="1:39" x14ac:dyDescent="0.2">
      <c r="A66" t="str">
        <f>IF([1]Accounts!$D$67="","",[1]Accounts!$A$67)</f>
        <v/>
      </c>
      <c r="B66" t="str">
        <f>IF([1]Accounts!$D$67="","",[1]Accounts!$B$67)</f>
        <v/>
      </c>
      <c r="C66" t="str">
        <f>IF([1]Accounts!$D$67="","",[1]Accounts!$C$67)</f>
        <v/>
      </c>
      <c r="D66" t="str">
        <f>IF([1]Accounts!$D$67="","",[1]Accounts!$D$67)</f>
        <v/>
      </c>
      <c r="E66" t="str">
        <f>IF([1]Accounts!$D$67="","",[1]Accounts!$E$67)</f>
        <v/>
      </c>
      <c r="F66" t="str">
        <f>IF([1]Accounts!$D$67="","",[1]Accounts!$F$67)</f>
        <v/>
      </c>
      <c r="G66" t="str">
        <f>IF([1]Accounts!$D$67="","",[1]Accounts!$G$67)</f>
        <v/>
      </c>
      <c r="T66" t="str">
        <f>IF([2]Baskol!$B$69="","",[2]Baskol!$B$69)</f>
        <v>1405/07/17</v>
      </c>
      <c r="U66" t="str">
        <f>IF([2]Baskol!$C$69="","",[2]Baskol!$C$69)</f>
        <v/>
      </c>
      <c r="V66" t="str">
        <f>IF([2]Baskol!$D$69="","",[2]Baskol!$D$69)</f>
        <v/>
      </c>
      <c r="W66" t="str">
        <f>IF([2]Baskol!$E$69="","",[2]Baskol!$E$69)</f>
        <v>خرید مرکبات</v>
      </c>
      <c r="X66" t="str">
        <f>IF([2]Baskol!$G$69="","",[2]Baskol!$G$69)</f>
        <v>c027</v>
      </c>
      <c r="Y66" t="str">
        <f>IF([2]Baskol!$I$69="","",[2]Baskol!$I$69)</f>
        <v/>
      </c>
      <c r="Z66" t="str">
        <f>IF([2]Baskol!$J$69="","",[2]Baskol!$J$69)</f>
        <v>خرمالو</v>
      </c>
      <c r="AA66">
        <f>IF([2]Baskol!$K$69="","",[2]Baskol!$K$69)</f>
        <v>210</v>
      </c>
      <c r="AB66">
        <f>IF([2]Baskol!$L$69="","",[2]Baskol!$L$69)</f>
        <v>10</v>
      </c>
      <c r="AC66" t="str">
        <f>IF([2]Baskol!$N$69="","",[2]Baskol!$N$69)</f>
        <v/>
      </c>
      <c r="AD66" t="str">
        <f>IF([2]Baskol!$O$69="","",[2]Baskol!$O$69)</f>
        <v/>
      </c>
      <c r="AE66" t="str">
        <f>IF([3]Entry!$C$69="","",[3]Entry!$C$69)</f>
        <v/>
      </c>
      <c r="AF66" t="str">
        <f>IF([3]Entry!$D$69="","",[3]Entry!$D$69)</f>
        <v/>
      </c>
      <c r="AG66" t="str">
        <f>IF([3]Entry!$E$69="","",[3]Entry!$E$69)</f>
        <v/>
      </c>
      <c r="AH66" t="str">
        <f>IF([3]Entry!$G$69="","",[3]Entry!$G$69)</f>
        <v/>
      </c>
      <c r="AI66" t="str">
        <f>IF([3]Entry!$K$69="","",[3]Entry!$K$69)</f>
        <v/>
      </c>
      <c r="AJ66" t="str">
        <f>IF([3]Entry!$L$69="","",[3]Entry!$L$69)</f>
        <v/>
      </c>
      <c r="AK66" t="str">
        <f>IF([3]Entry!$M$69="","",[3]Entry!$M$69)</f>
        <v/>
      </c>
      <c r="AL66" t="str">
        <f>IF([3]Entry!$N$69="","",[3]Entry!$N$69)</f>
        <v/>
      </c>
      <c r="AM66" t="str">
        <f>IF([3]Entry!$R$69="","",[3]Entry!$R$69)</f>
        <v/>
      </c>
    </row>
    <row r="67" spans="1:39" x14ac:dyDescent="0.2">
      <c r="A67" t="str">
        <f>IF([1]Accounts!$D$68="","",[1]Accounts!$A$68)</f>
        <v/>
      </c>
      <c r="B67" t="str">
        <f>IF([1]Accounts!$D$68="","",[1]Accounts!$B$68)</f>
        <v/>
      </c>
      <c r="C67" t="str">
        <f>IF([1]Accounts!$D$68="","",[1]Accounts!$C$68)</f>
        <v/>
      </c>
      <c r="D67" t="str">
        <f>IF([1]Accounts!$D$68="","",[1]Accounts!$D$68)</f>
        <v/>
      </c>
      <c r="E67" t="str">
        <f>IF([1]Accounts!$D$68="","",[1]Accounts!$E$68)</f>
        <v/>
      </c>
      <c r="F67" t="str">
        <f>IF([1]Accounts!$D$68="","",[1]Accounts!$F$68)</f>
        <v/>
      </c>
      <c r="G67" t="str">
        <f>IF([1]Accounts!$D$68="","",[1]Accounts!$G$68)</f>
        <v/>
      </c>
      <c r="T67" t="str">
        <f>IF([2]Baskol!$B$70="","",[2]Baskol!$B$70)</f>
        <v>1405/07/17</v>
      </c>
      <c r="U67" t="str">
        <f>IF([2]Baskol!$C$70="","",[2]Baskol!$C$70)</f>
        <v/>
      </c>
      <c r="V67" t="str">
        <f>IF([2]Baskol!$D$70="","",[2]Baskol!$D$70)</f>
        <v/>
      </c>
      <c r="W67" t="str">
        <f>IF([2]Baskol!$E$70="","",[2]Baskol!$E$70)</f>
        <v>خرید مرکبات</v>
      </c>
      <c r="X67" t="str">
        <f>IF([2]Baskol!$G$70="","",[2]Baskol!$G$70)</f>
        <v>c028</v>
      </c>
      <c r="Y67" t="str">
        <f>IF([2]Baskol!$I$70="","",[2]Baskol!$I$70)</f>
        <v/>
      </c>
      <c r="Z67" t="str">
        <f>IF([2]Baskol!$J$70="","",[2]Baskol!$J$70)</f>
        <v>خرمالو و نارنگی</v>
      </c>
      <c r="AA67">
        <f>IF([2]Baskol!$K$70="","",[2]Baskol!$K$70)</f>
        <v>42</v>
      </c>
      <c r="AB67">
        <f>IF([2]Baskol!$L$70="","",[2]Baskol!$L$70)</f>
        <v>2</v>
      </c>
      <c r="AC67" t="str">
        <f>IF([2]Baskol!$N$70="","",[2]Baskol!$N$70)</f>
        <v/>
      </c>
      <c r="AD67" t="str">
        <f>IF([2]Baskol!$O$70="","",[2]Baskol!$O$70)</f>
        <v/>
      </c>
      <c r="AE67" t="str">
        <f>IF([3]Entry!$C$70="","",[3]Entry!$C$70)</f>
        <v/>
      </c>
      <c r="AF67" t="str">
        <f>IF([3]Entry!$D$70="","",[3]Entry!$D$70)</f>
        <v/>
      </c>
      <c r="AG67" t="str">
        <f>IF([3]Entry!$E$70="","",[3]Entry!$E$70)</f>
        <v/>
      </c>
      <c r="AH67" t="str">
        <f>IF([3]Entry!$G$70="","",[3]Entry!$G$70)</f>
        <v/>
      </c>
      <c r="AI67" t="str">
        <f>IF([3]Entry!$K$70="","",[3]Entry!$K$70)</f>
        <v/>
      </c>
      <c r="AJ67" t="str">
        <f>IF([3]Entry!$L$70="","",[3]Entry!$L$70)</f>
        <v/>
      </c>
      <c r="AK67" t="str">
        <f>IF([3]Entry!$M$70="","",[3]Entry!$M$70)</f>
        <v/>
      </c>
      <c r="AL67" t="str">
        <f>IF([3]Entry!$N$70="","",[3]Entry!$N$70)</f>
        <v/>
      </c>
      <c r="AM67" t="str">
        <f>IF([3]Entry!$R$70="","",[3]Entry!$R$70)</f>
        <v/>
      </c>
    </row>
    <row r="68" spans="1:39" x14ac:dyDescent="0.2">
      <c r="A68" t="str">
        <f>IF([1]Accounts!$D$69="","",[1]Accounts!$A$69)</f>
        <v/>
      </c>
      <c r="B68" t="str">
        <f>IF([1]Accounts!$D$69="","",[1]Accounts!$B$69)</f>
        <v/>
      </c>
      <c r="C68" t="str">
        <f>IF([1]Accounts!$D$69="","",[1]Accounts!$C$69)</f>
        <v/>
      </c>
      <c r="D68" t="str">
        <f>IF([1]Accounts!$D$69="","",[1]Accounts!$D$69)</f>
        <v/>
      </c>
      <c r="E68" t="str">
        <f>IF([1]Accounts!$D$69="","",[1]Accounts!$E$69)</f>
        <v/>
      </c>
      <c r="F68" t="str">
        <f>IF([1]Accounts!$D$69="","",[1]Accounts!$F$69)</f>
        <v/>
      </c>
      <c r="G68" t="str">
        <f>IF([1]Accounts!$D$69="","",[1]Accounts!$G$69)</f>
        <v/>
      </c>
      <c r="T68" t="str">
        <f>IF([2]Baskol!$B$71="","",[2]Baskol!$B$71)</f>
        <v>1405/07/17</v>
      </c>
      <c r="U68" t="str">
        <f>IF([2]Baskol!$C$71="","",[2]Baskol!$C$71)</f>
        <v/>
      </c>
      <c r="V68" t="str">
        <f>IF([2]Baskol!$D$71="","",[2]Baskol!$D$71)</f>
        <v/>
      </c>
      <c r="W68" t="str">
        <f>IF([2]Baskol!$E$71="","",[2]Baskol!$E$71)</f>
        <v>خرید مرکبات</v>
      </c>
      <c r="X68" t="str">
        <f>IF([2]Baskol!$G$71="","",[2]Baskol!$G$71)</f>
        <v>c029</v>
      </c>
      <c r="Y68" t="str">
        <f>IF([2]Baskol!$I$71="","",[2]Baskol!$I$71)</f>
        <v/>
      </c>
      <c r="Z68" t="str">
        <f>IF([2]Baskol!$J$71="","",[2]Baskol!$J$71)</f>
        <v>نارنگی</v>
      </c>
      <c r="AA68">
        <f>IF([2]Baskol!$K$71="","",[2]Baskol!$K$71)</f>
        <v>710</v>
      </c>
      <c r="AB68">
        <f>IF([2]Baskol!$L$71="","",[2]Baskol!$L$71)</f>
        <v>41</v>
      </c>
      <c r="AC68" t="str">
        <f>IF([2]Baskol!$N$71="","",[2]Baskol!$N$71)</f>
        <v/>
      </c>
      <c r="AD68" t="str">
        <f>IF([2]Baskol!$O$71="","",[2]Baskol!$O$71)</f>
        <v/>
      </c>
      <c r="AE68" t="str">
        <f>IF([3]Entry!$C$71="","",[3]Entry!$C$71)</f>
        <v/>
      </c>
      <c r="AF68" t="str">
        <f>IF([3]Entry!$D$71="","",[3]Entry!$D$71)</f>
        <v/>
      </c>
      <c r="AG68" t="str">
        <f>IF([3]Entry!$E$71="","",[3]Entry!$E$71)</f>
        <v/>
      </c>
      <c r="AH68" t="str">
        <f>IF([3]Entry!$G$71="","",[3]Entry!$G$71)</f>
        <v/>
      </c>
      <c r="AI68" t="str">
        <f>IF([3]Entry!$K$71="","",[3]Entry!$K$71)</f>
        <v/>
      </c>
      <c r="AJ68" t="str">
        <f>IF([3]Entry!$L$71="","",[3]Entry!$L$71)</f>
        <v/>
      </c>
      <c r="AK68" t="str">
        <f>IF([3]Entry!$M$71="","",[3]Entry!$M$71)</f>
        <v/>
      </c>
      <c r="AL68" t="str">
        <f>IF([3]Entry!$N$71="","",[3]Entry!$N$71)</f>
        <v/>
      </c>
      <c r="AM68" t="str">
        <f>IF([3]Entry!$R$71="","",[3]Entry!$R$71)</f>
        <v/>
      </c>
    </row>
    <row r="69" spans="1:39" x14ac:dyDescent="0.2">
      <c r="A69" t="str">
        <f>IF([1]Accounts!$D$70="","",[1]Accounts!$A$70)</f>
        <v/>
      </c>
      <c r="B69" t="str">
        <f>IF([1]Accounts!$D$70="","",[1]Accounts!$B$70)</f>
        <v/>
      </c>
      <c r="C69" t="str">
        <f>IF([1]Accounts!$D$70="","",[1]Accounts!$C$70)</f>
        <v/>
      </c>
      <c r="D69" t="str">
        <f>IF([1]Accounts!$D$70="","",[1]Accounts!$D$70)</f>
        <v/>
      </c>
      <c r="E69" t="str">
        <f>IF([1]Accounts!$D$70="","",[1]Accounts!$E$70)</f>
        <v/>
      </c>
      <c r="F69" t="str">
        <f>IF([1]Accounts!$D$70="","",[1]Accounts!$F$70)</f>
        <v/>
      </c>
      <c r="G69" t="str">
        <f>IF([1]Accounts!$D$70="","",[1]Accounts!$G$70)</f>
        <v/>
      </c>
      <c r="T69" t="str">
        <f>IF([2]Baskol!$B$72="","",[2]Baskol!$B$72)</f>
        <v>1405/07/17</v>
      </c>
      <c r="U69" t="str">
        <f>IF([2]Baskol!$C$72="","",[2]Baskol!$C$72)</f>
        <v/>
      </c>
      <c r="V69" t="str">
        <f>IF([2]Baskol!$D$72="","",[2]Baskol!$D$72)</f>
        <v/>
      </c>
      <c r="W69" t="str">
        <f>IF([2]Baskol!$E$72="","",[2]Baskol!$E$72)</f>
        <v>خرید مرکبات</v>
      </c>
      <c r="X69" t="str">
        <f>IF([2]Baskol!$G$72="","",[2]Baskol!$G$72)</f>
        <v>c030</v>
      </c>
      <c r="Y69" t="str">
        <f>IF([2]Baskol!$I$72="","",[2]Baskol!$I$72)</f>
        <v/>
      </c>
      <c r="Z69" t="str">
        <f>IF([2]Baskol!$J$72="","",[2]Baskol!$J$72)</f>
        <v>خرمالو</v>
      </c>
      <c r="AA69">
        <f>IF([2]Baskol!$K$72="","",[2]Baskol!$K$72)</f>
        <v>35</v>
      </c>
      <c r="AB69">
        <f>IF([2]Baskol!$L$72="","",[2]Baskol!$L$72)</f>
        <v>2</v>
      </c>
      <c r="AC69" t="str">
        <f>IF([2]Baskol!$N$72="","",[2]Baskol!$N$72)</f>
        <v/>
      </c>
      <c r="AD69" t="str">
        <f>IF([2]Baskol!$O$72="","",[2]Baskol!$O$72)</f>
        <v/>
      </c>
      <c r="AE69" t="str">
        <f>IF([3]Entry!$C$72="","",[3]Entry!$C$72)</f>
        <v/>
      </c>
      <c r="AF69" t="str">
        <f>IF([3]Entry!$D$72="","",[3]Entry!$D$72)</f>
        <v/>
      </c>
      <c r="AG69" t="str">
        <f>IF([3]Entry!$E$72="","",[3]Entry!$E$72)</f>
        <v/>
      </c>
      <c r="AH69" t="str">
        <f>IF([3]Entry!$G$72="","",[3]Entry!$G$72)</f>
        <v/>
      </c>
      <c r="AI69" t="str">
        <f>IF([3]Entry!$K$72="","",[3]Entry!$K$72)</f>
        <v/>
      </c>
      <c r="AJ69" t="str">
        <f>IF([3]Entry!$L$72="","",[3]Entry!$L$72)</f>
        <v/>
      </c>
      <c r="AK69" t="str">
        <f>IF([3]Entry!$M$72="","",[3]Entry!$M$72)</f>
        <v/>
      </c>
      <c r="AL69" t="str">
        <f>IF([3]Entry!$N$72="","",[3]Entry!$N$72)</f>
        <v/>
      </c>
      <c r="AM69" t="str">
        <f>IF([3]Entry!$R$72="","",[3]Entry!$R$72)</f>
        <v/>
      </c>
    </row>
    <row r="70" spans="1:39" x14ac:dyDescent="0.2">
      <c r="A70" t="str">
        <f>IF([1]Accounts!$D$71="","",[1]Accounts!$A$71)</f>
        <v/>
      </c>
      <c r="B70" t="str">
        <f>IF([1]Accounts!$D$71="","",[1]Accounts!$B$71)</f>
        <v/>
      </c>
      <c r="C70" t="str">
        <f>IF([1]Accounts!$D$71="","",[1]Accounts!$C$71)</f>
        <v/>
      </c>
      <c r="D70" t="str">
        <f>IF([1]Accounts!$D$71="","",[1]Accounts!$D$71)</f>
        <v/>
      </c>
      <c r="E70" t="str">
        <f>IF([1]Accounts!$D$71="","",[1]Accounts!$E$71)</f>
        <v/>
      </c>
      <c r="F70" t="str">
        <f>IF([1]Accounts!$D$71="","",[1]Accounts!$F$71)</f>
        <v/>
      </c>
      <c r="G70" t="str">
        <f>IF([1]Accounts!$D$71="","",[1]Accounts!$G$71)</f>
        <v/>
      </c>
      <c r="T70" t="str">
        <f>IF([2]Baskol!$B$73="","",[2]Baskol!$B$73)</f>
        <v>1405/07/17</v>
      </c>
      <c r="U70" t="str">
        <f>IF([2]Baskol!$C$73="","",[2]Baskol!$C$73)</f>
        <v/>
      </c>
      <c r="V70" t="str">
        <f>IF([2]Baskol!$D$73="","",[2]Baskol!$D$73)</f>
        <v/>
      </c>
      <c r="W70" t="str">
        <f>IF([2]Baskol!$E$73="","",[2]Baskol!$E$73)</f>
        <v>خرید مرکبات</v>
      </c>
      <c r="X70" t="str">
        <f>IF([2]Baskol!$G$73="","",[2]Baskol!$G$73)</f>
        <v>c030</v>
      </c>
      <c r="Y70" t="str">
        <f>IF([2]Baskol!$I$73="","",[2]Baskol!$I$73)</f>
        <v/>
      </c>
      <c r="Z70" t="str">
        <f>IF([2]Baskol!$J$73="","",[2]Baskol!$J$73)</f>
        <v>نارنگی</v>
      </c>
      <c r="AA70">
        <f>IF([2]Baskol!$K$73="","",[2]Baskol!$K$73)</f>
        <v>465</v>
      </c>
      <c r="AB70">
        <f>IF([2]Baskol!$L$73="","",[2]Baskol!$L$73)</f>
        <v>29</v>
      </c>
      <c r="AC70" t="str">
        <f>IF([2]Baskol!$N$73="","",[2]Baskol!$N$73)</f>
        <v/>
      </c>
      <c r="AD70" t="str">
        <f>IF([2]Baskol!$O$73="","",[2]Baskol!$O$73)</f>
        <v/>
      </c>
      <c r="AE70" t="str">
        <f>IF([3]Entry!$C$73="","",[3]Entry!$C$73)</f>
        <v/>
      </c>
      <c r="AF70" t="str">
        <f>IF([3]Entry!$D$73="","",[3]Entry!$D$73)</f>
        <v/>
      </c>
      <c r="AG70" t="str">
        <f>IF([3]Entry!$E$73="","",[3]Entry!$E$73)</f>
        <v/>
      </c>
      <c r="AH70" t="str">
        <f>IF([3]Entry!$G$73="","",[3]Entry!$G$73)</f>
        <v/>
      </c>
      <c r="AI70" t="str">
        <f>IF([3]Entry!$K$73="","",[3]Entry!$K$73)</f>
        <v/>
      </c>
      <c r="AJ70" t="str">
        <f>IF([3]Entry!$L$73="","",[3]Entry!$L$73)</f>
        <v/>
      </c>
      <c r="AK70" t="str">
        <f>IF([3]Entry!$M$73="","",[3]Entry!$M$73)</f>
        <v/>
      </c>
      <c r="AL70" t="str">
        <f>IF([3]Entry!$N$73="","",[3]Entry!$N$73)</f>
        <v/>
      </c>
      <c r="AM70" t="str">
        <f>IF([3]Entry!$R$73="","",[3]Entry!$R$73)</f>
        <v/>
      </c>
    </row>
    <row r="71" spans="1:39" x14ac:dyDescent="0.2">
      <c r="A71" t="str">
        <f>IF([1]Accounts!$D$72="","",[1]Accounts!$A$72)</f>
        <v/>
      </c>
      <c r="B71" t="str">
        <f>IF([1]Accounts!$D$72="","",[1]Accounts!$B$72)</f>
        <v/>
      </c>
      <c r="C71" t="str">
        <f>IF([1]Accounts!$D$72="","",[1]Accounts!$C$72)</f>
        <v/>
      </c>
      <c r="D71" t="str">
        <f>IF([1]Accounts!$D$72="","",[1]Accounts!$D$72)</f>
        <v/>
      </c>
      <c r="E71" t="str">
        <f>IF([1]Accounts!$D$72="","",[1]Accounts!$E$72)</f>
        <v/>
      </c>
      <c r="F71" t="str">
        <f>IF([1]Accounts!$D$72="","",[1]Accounts!$F$72)</f>
        <v/>
      </c>
      <c r="G71" t="str">
        <f>IF([1]Accounts!$D$72="","",[1]Accounts!$G$72)</f>
        <v/>
      </c>
      <c r="T71" t="str">
        <f>IF([2]Baskol!$B$74="","",[2]Baskol!$B$74)</f>
        <v>1405/07/17</v>
      </c>
      <c r="U71" t="str">
        <f>IF([2]Baskol!$C$74="","",[2]Baskol!$C$74)</f>
        <v/>
      </c>
      <c r="V71" t="str">
        <f>IF([2]Baskol!$D$74="","",[2]Baskol!$D$74)</f>
        <v/>
      </c>
      <c r="W71" t="str">
        <f>IF([2]Baskol!$E$74="","",[2]Baskol!$E$74)</f>
        <v>خرید مرکبات</v>
      </c>
      <c r="X71" t="str">
        <f>IF([2]Baskol!$G$74="","",[2]Baskol!$G$74)</f>
        <v>c031</v>
      </c>
      <c r="Y71" t="str">
        <f>IF([2]Baskol!$I$74="","",[2]Baskol!$I$74)</f>
        <v/>
      </c>
      <c r="Z71" t="str">
        <f>IF([2]Baskol!$J$74="","",[2]Baskol!$J$74)</f>
        <v>خرمالو</v>
      </c>
      <c r="AA71">
        <f>IF([2]Baskol!$K$74="","",[2]Baskol!$K$74)</f>
        <v>21</v>
      </c>
      <c r="AB71">
        <f>IF([2]Baskol!$L$74="","",[2]Baskol!$L$74)</f>
        <v>0</v>
      </c>
      <c r="AC71" t="str">
        <f>IF([2]Baskol!$N$74="","",[2]Baskol!$N$74)</f>
        <v/>
      </c>
      <c r="AD71" t="str">
        <f>IF([2]Baskol!$O$74="","",[2]Baskol!$O$74)</f>
        <v/>
      </c>
      <c r="AE71" t="str">
        <f>IF([3]Entry!$C$74="","",[3]Entry!$C$74)</f>
        <v/>
      </c>
      <c r="AF71" t="str">
        <f>IF([3]Entry!$D$74="","",[3]Entry!$D$74)</f>
        <v/>
      </c>
      <c r="AG71" t="str">
        <f>IF([3]Entry!$E$74="","",[3]Entry!$E$74)</f>
        <v/>
      </c>
      <c r="AH71" t="str">
        <f>IF([3]Entry!$G$74="","",[3]Entry!$G$74)</f>
        <v/>
      </c>
      <c r="AI71" t="str">
        <f>IF([3]Entry!$K$74="","",[3]Entry!$K$74)</f>
        <v/>
      </c>
      <c r="AJ71" t="str">
        <f>IF([3]Entry!$L$74="","",[3]Entry!$L$74)</f>
        <v/>
      </c>
      <c r="AK71" t="str">
        <f>IF([3]Entry!$M$74="","",[3]Entry!$M$74)</f>
        <v/>
      </c>
      <c r="AL71" t="str">
        <f>IF([3]Entry!$N$74="","",[3]Entry!$N$74)</f>
        <v/>
      </c>
      <c r="AM71" t="str">
        <f>IF([3]Entry!$R$74="","",[3]Entry!$R$74)</f>
        <v/>
      </c>
    </row>
    <row r="72" spans="1:39" x14ac:dyDescent="0.2">
      <c r="A72" t="str">
        <f>IF([1]Accounts!$D$73="","",[1]Accounts!$A$73)</f>
        <v/>
      </c>
      <c r="B72" t="str">
        <f>IF([1]Accounts!$D$73="","",[1]Accounts!$B$73)</f>
        <v/>
      </c>
      <c r="C72" t="str">
        <f>IF([1]Accounts!$D$73="","",[1]Accounts!$C$73)</f>
        <v/>
      </c>
      <c r="D72" t="str">
        <f>IF([1]Accounts!$D$73="","",[1]Accounts!$D$73)</f>
        <v/>
      </c>
      <c r="E72" t="str">
        <f>IF([1]Accounts!$D$73="","",[1]Accounts!$E$73)</f>
        <v/>
      </c>
      <c r="F72" t="str">
        <f>IF([1]Accounts!$D$73="","",[1]Accounts!$F$73)</f>
        <v/>
      </c>
      <c r="G72" t="str">
        <f>IF([1]Accounts!$D$73="","",[1]Accounts!$G$73)</f>
        <v/>
      </c>
      <c r="T72" t="str">
        <f>IF([2]Baskol!$B$75="","",[2]Baskol!$B$75)</f>
        <v>1405/07/17</v>
      </c>
      <c r="U72" t="str">
        <f>IF([2]Baskol!$C$75="","",[2]Baskol!$C$75)</f>
        <v/>
      </c>
      <c r="V72" t="str">
        <f>IF([2]Baskol!$D$75="","",[2]Baskol!$D$75)</f>
        <v/>
      </c>
      <c r="W72" t="str">
        <f>IF([2]Baskol!$E$75="","",[2]Baskol!$E$75)</f>
        <v>خرید مرکبات</v>
      </c>
      <c r="X72" t="str">
        <f>IF([2]Baskol!$G$75="","",[2]Baskol!$G$75)</f>
        <v>c031</v>
      </c>
      <c r="Y72" t="str">
        <f>IF([2]Baskol!$I$75="","",[2]Baskol!$I$75)</f>
        <v/>
      </c>
      <c r="Z72" t="str">
        <f>IF([2]Baskol!$J$75="","",[2]Baskol!$J$75)</f>
        <v>خرمالو</v>
      </c>
      <c r="AA72">
        <f>IF([2]Baskol!$K$75="","",[2]Baskol!$K$75)</f>
        <v>75</v>
      </c>
      <c r="AB72">
        <f>IF([2]Baskol!$L$75="","",[2]Baskol!$L$75)</f>
        <v>0</v>
      </c>
      <c r="AC72" t="str">
        <f>IF([2]Baskol!$N$75="","",[2]Baskol!$N$75)</f>
        <v/>
      </c>
      <c r="AD72" t="str">
        <f>IF([2]Baskol!$O$75="","",[2]Baskol!$O$75)</f>
        <v/>
      </c>
      <c r="AE72" t="str">
        <f>IF([3]Entry!$C$75="","",[3]Entry!$C$75)</f>
        <v/>
      </c>
      <c r="AF72" t="str">
        <f>IF([3]Entry!$D$75="","",[3]Entry!$D$75)</f>
        <v/>
      </c>
      <c r="AG72" t="str">
        <f>IF([3]Entry!$E$75="","",[3]Entry!$E$75)</f>
        <v/>
      </c>
      <c r="AH72" t="str">
        <f>IF([3]Entry!$G$75="","",[3]Entry!$G$75)</f>
        <v/>
      </c>
      <c r="AI72" t="str">
        <f>IF([3]Entry!$K$75="","",[3]Entry!$K$75)</f>
        <v/>
      </c>
      <c r="AJ72" t="str">
        <f>IF([3]Entry!$L$75="","",[3]Entry!$L$75)</f>
        <v/>
      </c>
      <c r="AK72" t="str">
        <f>IF([3]Entry!$M$75="","",[3]Entry!$M$75)</f>
        <v/>
      </c>
      <c r="AL72" t="str">
        <f>IF([3]Entry!$N$75="","",[3]Entry!$N$75)</f>
        <v/>
      </c>
      <c r="AM72" t="str">
        <f>IF([3]Entry!$R$75="","",[3]Entry!$R$75)</f>
        <v/>
      </c>
    </row>
    <row r="73" spans="1:39" x14ac:dyDescent="0.2">
      <c r="A73" t="str">
        <f>IF([1]Accounts!$D$74="","",[1]Accounts!$A$74)</f>
        <v/>
      </c>
      <c r="B73" t="str">
        <f>IF([1]Accounts!$D$74="","",[1]Accounts!$B$74)</f>
        <v/>
      </c>
      <c r="C73" t="str">
        <f>IF([1]Accounts!$D$74="","",[1]Accounts!$C$74)</f>
        <v/>
      </c>
      <c r="D73" t="str">
        <f>IF([1]Accounts!$D$74="","",[1]Accounts!$D$74)</f>
        <v/>
      </c>
      <c r="E73" t="str">
        <f>IF([1]Accounts!$D$74="","",[1]Accounts!$E$74)</f>
        <v/>
      </c>
      <c r="F73" t="str">
        <f>IF([1]Accounts!$D$74="","",[1]Accounts!$F$74)</f>
        <v/>
      </c>
      <c r="G73" t="str">
        <f>IF([1]Accounts!$D$74="","",[1]Accounts!$G$74)</f>
        <v/>
      </c>
      <c r="T73" t="str">
        <f>IF([2]Baskol!$B$76="","",[2]Baskol!$B$76)</f>
        <v>1405/07/17</v>
      </c>
      <c r="U73" t="str">
        <f>IF([2]Baskol!$C$76="","",[2]Baskol!$C$76)</f>
        <v/>
      </c>
      <c r="V73" t="str">
        <f>IF([2]Baskol!$D$76="","",[2]Baskol!$D$76)</f>
        <v/>
      </c>
      <c r="W73" t="str">
        <f>IF([2]Baskol!$E$76="","",[2]Baskol!$E$76)</f>
        <v>خرید مرکبات</v>
      </c>
      <c r="X73" t="str">
        <f>IF([2]Baskol!$G$76="","",[2]Baskol!$G$76)</f>
        <v>c001</v>
      </c>
      <c r="Y73" t="str">
        <f>IF([2]Baskol!$I$76="","",[2]Baskol!$I$76)</f>
        <v/>
      </c>
      <c r="Z73" t="str">
        <f>IF([2]Baskol!$J$76="","",[2]Baskol!$J$76)</f>
        <v>خرمالو</v>
      </c>
      <c r="AA73">
        <f>IF([2]Baskol!$K$76="","",[2]Baskol!$K$76)</f>
        <v>55</v>
      </c>
      <c r="AB73">
        <f>IF([2]Baskol!$L$76="","",[2]Baskol!$L$76)</f>
        <v>3</v>
      </c>
      <c r="AC73" t="str">
        <f>IF([2]Baskol!$N$76="","",[2]Baskol!$N$76)</f>
        <v/>
      </c>
      <c r="AD73" t="str">
        <f>IF([2]Baskol!$O$76="","",[2]Baskol!$O$76)</f>
        <v/>
      </c>
      <c r="AE73" t="str">
        <f>IF([3]Entry!$C$76="","",[3]Entry!$C$76)</f>
        <v/>
      </c>
      <c r="AF73" t="str">
        <f>IF([3]Entry!$D$76="","",[3]Entry!$D$76)</f>
        <v/>
      </c>
      <c r="AG73" t="str">
        <f>IF([3]Entry!$E$76="","",[3]Entry!$E$76)</f>
        <v/>
      </c>
      <c r="AH73" t="str">
        <f>IF([3]Entry!$G$76="","",[3]Entry!$G$76)</f>
        <v/>
      </c>
      <c r="AI73" t="str">
        <f>IF([3]Entry!$K$76="","",[3]Entry!$K$76)</f>
        <v/>
      </c>
      <c r="AJ73" t="str">
        <f>IF([3]Entry!$L$76="","",[3]Entry!$L$76)</f>
        <v/>
      </c>
      <c r="AK73" t="str">
        <f>IF([3]Entry!$M$76="","",[3]Entry!$M$76)</f>
        <v/>
      </c>
      <c r="AL73" t="str">
        <f>IF([3]Entry!$N$76="","",[3]Entry!$N$76)</f>
        <v/>
      </c>
      <c r="AM73" t="str">
        <f>IF([3]Entry!$R$76="","",[3]Entry!$R$76)</f>
        <v/>
      </c>
    </row>
    <row r="74" spans="1:39" x14ac:dyDescent="0.2">
      <c r="A74" t="str">
        <f>IF([1]Accounts!$D$75="","",[1]Accounts!$A$75)</f>
        <v/>
      </c>
      <c r="B74" t="str">
        <f>IF([1]Accounts!$D$75="","",[1]Accounts!$B$75)</f>
        <v/>
      </c>
      <c r="C74" t="str">
        <f>IF([1]Accounts!$D$75="","",[1]Accounts!$C$75)</f>
        <v/>
      </c>
      <c r="D74" t="str">
        <f>IF([1]Accounts!$D$75="","",[1]Accounts!$D$75)</f>
        <v/>
      </c>
      <c r="E74" t="str">
        <f>IF([1]Accounts!$D$75="","",[1]Accounts!$E$75)</f>
        <v/>
      </c>
      <c r="F74" t="str">
        <f>IF([1]Accounts!$D$75="","",[1]Accounts!$F$75)</f>
        <v/>
      </c>
      <c r="G74" t="str">
        <f>IF([1]Accounts!$D$75="","",[1]Accounts!$G$75)</f>
        <v/>
      </c>
      <c r="T74" t="str">
        <f>IF([2]Baskol!$B$77="","",[2]Baskol!$B$77)</f>
        <v>1405/07/18</v>
      </c>
      <c r="U74" t="str">
        <f>IF([2]Baskol!$C$77="","",[2]Baskol!$C$77)</f>
        <v/>
      </c>
      <c r="V74" t="str">
        <f>IF([2]Baskol!$D$77="","",[2]Baskol!$D$77)</f>
        <v/>
      </c>
      <c r="W74" t="str">
        <f>IF([2]Baskol!$E$77="","",[2]Baskol!$E$77)</f>
        <v>خرید مرکبات</v>
      </c>
      <c r="X74" t="str">
        <f>IF([2]Baskol!$G$77="","",[2]Baskol!$G$77)</f>
        <v>c032</v>
      </c>
      <c r="Y74" t="str">
        <f>IF([2]Baskol!$I$77="","",[2]Baskol!$I$77)</f>
        <v/>
      </c>
      <c r="Z74" t="str">
        <f>IF([2]Baskol!$J$77="","",[2]Baskol!$J$77)</f>
        <v>نارنگی</v>
      </c>
      <c r="AA74">
        <f>IF([2]Baskol!$K$77="","",[2]Baskol!$K$77)</f>
        <v>2285</v>
      </c>
      <c r="AB74">
        <f>IF([2]Baskol!$L$77="","",[2]Baskol!$L$77)</f>
        <v>147</v>
      </c>
      <c r="AC74" t="str">
        <f>IF([2]Baskol!$N$77="","",[2]Baskol!$N$77)</f>
        <v/>
      </c>
      <c r="AD74" t="str">
        <f>IF([2]Baskol!$O$77="","",[2]Baskol!$O$77)</f>
        <v/>
      </c>
      <c r="AE74" t="str">
        <f>IF([3]Entry!$C$77="","",[3]Entry!$C$77)</f>
        <v/>
      </c>
      <c r="AF74" t="str">
        <f>IF([3]Entry!$D$77="","",[3]Entry!$D$77)</f>
        <v/>
      </c>
      <c r="AG74" t="str">
        <f>IF([3]Entry!$E$77="","",[3]Entry!$E$77)</f>
        <v/>
      </c>
      <c r="AH74" t="str">
        <f>IF([3]Entry!$G$77="","",[3]Entry!$G$77)</f>
        <v/>
      </c>
      <c r="AI74" t="str">
        <f>IF([3]Entry!$K$77="","",[3]Entry!$K$77)</f>
        <v/>
      </c>
      <c r="AJ74" t="str">
        <f>IF([3]Entry!$L$77="","",[3]Entry!$L$77)</f>
        <v/>
      </c>
      <c r="AK74" t="str">
        <f>IF([3]Entry!$M$77="","",[3]Entry!$M$77)</f>
        <v/>
      </c>
      <c r="AL74" t="str">
        <f>IF([3]Entry!$N$77="","",[3]Entry!$N$77)</f>
        <v/>
      </c>
      <c r="AM74" t="str">
        <f>IF([3]Entry!$R$77="","",[3]Entry!$R$77)</f>
        <v/>
      </c>
    </row>
    <row r="75" spans="1:39" x14ac:dyDescent="0.2">
      <c r="A75" t="str">
        <f>IF([1]Accounts!$D$76="","",[1]Accounts!$A$76)</f>
        <v/>
      </c>
      <c r="B75" t="str">
        <f>IF([1]Accounts!$D$76="","",[1]Accounts!$B$76)</f>
        <v/>
      </c>
      <c r="C75" t="str">
        <f>IF([1]Accounts!$D$76="","",[1]Accounts!$C$76)</f>
        <v/>
      </c>
      <c r="D75" t="str">
        <f>IF([1]Accounts!$D$76="","",[1]Accounts!$D$76)</f>
        <v/>
      </c>
      <c r="E75" t="str">
        <f>IF([1]Accounts!$D$76="","",[1]Accounts!$E$76)</f>
        <v/>
      </c>
      <c r="F75" t="str">
        <f>IF([1]Accounts!$D$76="","",[1]Accounts!$F$76)</f>
        <v/>
      </c>
      <c r="G75" t="str">
        <f>IF([1]Accounts!$D$76="","",[1]Accounts!$G$76)</f>
        <v/>
      </c>
      <c r="T75" t="str">
        <f>IF([2]Baskol!$B$78="","",[2]Baskol!$B$78)</f>
        <v>1405/07/18</v>
      </c>
      <c r="U75" t="str">
        <f>IF([2]Baskol!$C$78="","",[2]Baskol!$C$78)</f>
        <v/>
      </c>
      <c r="V75" t="str">
        <f>IF([2]Baskol!$D$78="","",[2]Baskol!$D$78)</f>
        <v/>
      </c>
      <c r="W75" t="str">
        <f>IF([2]Baskol!$E$78="","",[2]Baskol!$E$78)</f>
        <v>خرید مرکبات</v>
      </c>
      <c r="X75" t="str">
        <f>IF([2]Baskol!$G$78="","",[2]Baskol!$G$78)</f>
        <v>c033</v>
      </c>
      <c r="Y75" t="str">
        <f>IF([2]Baskol!$I$78="","",[2]Baskol!$I$78)</f>
        <v/>
      </c>
      <c r="Z75" t="str">
        <f>IF([2]Baskol!$J$78="","",[2]Baskol!$J$78)</f>
        <v>خرمالو</v>
      </c>
      <c r="AA75">
        <f>IF([2]Baskol!$K$78="","",[2]Baskol!$K$78)</f>
        <v>35</v>
      </c>
      <c r="AB75" t="str">
        <f>IF([2]Baskol!$L$78="","",[2]Baskol!$L$78)</f>
        <v/>
      </c>
      <c r="AC75" t="str">
        <f>IF([2]Baskol!$N$78="","",[2]Baskol!$N$78)</f>
        <v/>
      </c>
      <c r="AD75" t="str">
        <f>IF([2]Baskol!$O$78="","",[2]Baskol!$O$78)</f>
        <v/>
      </c>
      <c r="AE75" t="str">
        <f>IF([3]Entry!$C$78="","",[3]Entry!$C$78)</f>
        <v/>
      </c>
      <c r="AF75" t="str">
        <f>IF([3]Entry!$D$78="","",[3]Entry!$D$78)</f>
        <v/>
      </c>
      <c r="AG75" t="str">
        <f>IF([3]Entry!$E$78="","",[3]Entry!$E$78)</f>
        <v/>
      </c>
      <c r="AH75" t="str">
        <f>IF([3]Entry!$G$78="","",[3]Entry!$G$78)</f>
        <v/>
      </c>
      <c r="AI75" t="str">
        <f>IF([3]Entry!$K$78="","",[3]Entry!$K$78)</f>
        <v/>
      </c>
      <c r="AJ75" t="str">
        <f>IF([3]Entry!$L$78="","",[3]Entry!$L$78)</f>
        <v/>
      </c>
      <c r="AK75" t="str">
        <f>IF([3]Entry!$M$78="","",[3]Entry!$M$78)</f>
        <v/>
      </c>
      <c r="AL75" t="str">
        <f>IF([3]Entry!$N$78="","",[3]Entry!$N$78)</f>
        <v/>
      </c>
      <c r="AM75" t="str">
        <f>IF([3]Entry!$R$78="","",[3]Entry!$R$78)</f>
        <v/>
      </c>
    </row>
    <row r="76" spans="1:39" x14ac:dyDescent="0.2">
      <c r="A76" t="str">
        <f>IF([1]Accounts!$D$77="","",[1]Accounts!$A$77)</f>
        <v/>
      </c>
      <c r="B76" t="str">
        <f>IF([1]Accounts!$D$77="","",[1]Accounts!$B$77)</f>
        <v/>
      </c>
      <c r="C76" t="str">
        <f>IF([1]Accounts!$D$77="","",[1]Accounts!$C$77)</f>
        <v/>
      </c>
      <c r="D76" t="str">
        <f>IF([1]Accounts!$D$77="","",[1]Accounts!$D$77)</f>
        <v/>
      </c>
      <c r="E76" t="str">
        <f>IF([1]Accounts!$D$77="","",[1]Accounts!$E$77)</f>
        <v/>
      </c>
      <c r="F76" t="str">
        <f>IF([1]Accounts!$D$77="","",[1]Accounts!$F$77)</f>
        <v/>
      </c>
      <c r="G76" t="str">
        <f>IF([1]Accounts!$D$77="","",[1]Accounts!$G$77)</f>
        <v/>
      </c>
      <c r="T76" t="str">
        <f>IF([2]Baskol!$B$79="","",[2]Baskol!$B$79)</f>
        <v>1405/07/18</v>
      </c>
      <c r="U76" t="str">
        <f>IF([2]Baskol!$C$79="","",[2]Baskol!$C$79)</f>
        <v/>
      </c>
      <c r="V76" t="str">
        <f>IF([2]Baskol!$D$79="","",[2]Baskol!$D$79)</f>
        <v/>
      </c>
      <c r="W76" t="str">
        <f>IF([2]Baskol!$E$79="","",[2]Baskol!$E$79)</f>
        <v>فروش</v>
      </c>
      <c r="X76" t="str">
        <f>IF([2]Baskol!$G$79="","",[2]Baskol!$G$79)</f>
        <v>SL003</v>
      </c>
      <c r="Y76" t="str">
        <f>IF([2]Baskol!$I$79="","",[2]Baskol!$I$79)</f>
        <v/>
      </c>
      <c r="Z76" t="str">
        <f>IF([2]Baskol!$J$79="","",[2]Baskol!$J$79)</f>
        <v/>
      </c>
      <c r="AA76">
        <f>IF([2]Baskol!$K$79="","",[2]Baskol!$K$79)</f>
        <v>3045</v>
      </c>
      <c r="AB76" t="str">
        <f>IF([2]Baskol!$L$79="","",[2]Baskol!$L$79)</f>
        <v/>
      </c>
      <c r="AC76" t="str">
        <f>IF([2]Baskol!$N$79="","",[2]Baskol!$N$79)</f>
        <v/>
      </c>
      <c r="AD76" t="str">
        <f>IF([2]Baskol!$O$79="","",[2]Baskol!$O$79)</f>
        <v/>
      </c>
      <c r="AE76" t="str">
        <f>IF([3]Entry!$C$79="","",[3]Entry!$C$79)</f>
        <v/>
      </c>
      <c r="AF76" t="str">
        <f>IF([3]Entry!$D$79="","",[3]Entry!$D$79)</f>
        <v/>
      </c>
      <c r="AG76" t="str">
        <f>IF([3]Entry!$E$79="","",[3]Entry!$E$79)</f>
        <v/>
      </c>
      <c r="AH76" t="str">
        <f>IF([3]Entry!$G$79="","",[3]Entry!$G$79)</f>
        <v/>
      </c>
      <c r="AI76" t="str">
        <f>IF([3]Entry!$K$79="","",[3]Entry!$K$79)</f>
        <v/>
      </c>
      <c r="AJ76" t="str">
        <f>IF([3]Entry!$L$79="","",[3]Entry!$L$79)</f>
        <v/>
      </c>
      <c r="AK76" t="str">
        <f>IF([3]Entry!$M$79="","",[3]Entry!$M$79)</f>
        <v/>
      </c>
      <c r="AL76" t="str">
        <f>IF([3]Entry!$N$79="","",[3]Entry!$N$79)</f>
        <v/>
      </c>
      <c r="AM76" t="str">
        <f>IF([3]Entry!$R$79="","",[3]Entry!$R$79)</f>
        <v/>
      </c>
    </row>
    <row r="77" spans="1:39" x14ac:dyDescent="0.2">
      <c r="A77" t="str">
        <f>IF([1]Accounts!$D$78="","",[1]Accounts!$A$78)</f>
        <v/>
      </c>
      <c r="B77" t="str">
        <f>IF([1]Accounts!$D$78="","",[1]Accounts!$B$78)</f>
        <v/>
      </c>
      <c r="C77" t="str">
        <f>IF([1]Accounts!$D$78="","",[1]Accounts!$C$78)</f>
        <v/>
      </c>
      <c r="D77" t="str">
        <f>IF([1]Accounts!$D$78="","",[1]Accounts!$D$78)</f>
        <v/>
      </c>
      <c r="E77" t="str">
        <f>IF([1]Accounts!$D$78="","",[1]Accounts!$E$78)</f>
        <v/>
      </c>
      <c r="F77" t="str">
        <f>IF([1]Accounts!$D$78="","",[1]Accounts!$F$78)</f>
        <v/>
      </c>
      <c r="G77" t="str">
        <f>IF([1]Accounts!$D$78="","",[1]Accounts!$G$78)</f>
        <v/>
      </c>
      <c r="T77" t="str">
        <f>IF([2]Baskol!$B$80="","",[2]Baskol!$B$80)</f>
        <v>1405/07/18</v>
      </c>
      <c r="U77" t="str">
        <f>IF([2]Baskol!$C$80="","",[2]Baskol!$C$80)</f>
        <v/>
      </c>
      <c r="V77" t="str">
        <f>IF([2]Baskol!$D$80="","",[2]Baskol!$D$80)</f>
        <v/>
      </c>
      <c r="W77" t="str">
        <f>IF([2]Baskol!$E$80="","",[2]Baskol!$E$80)</f>
        <v>خرید مرکبات</v>
      </c>
      <c r="X77" t="str">
        <f>IF([2]Baskol!$G$80="","",[2]Baskol!$G$80)</f>
        <v>c032</v>
      </c>
      <c r="Y77" t="str">
        <f>IF([2]Baskol!$I$80="","",[2]Baskol!$I$80)</f>
        <v/>
      </c>
      <c r="Z77" t="str">
        <f>IF([2]Baskol!$J$80="","",[2]Baskol!$J$80)</f>
        <v>نارنگی</v>
      </c>
      <c r="AA77">
        <f>IF([2]Baskol!$K$80="","",[2]Baskol!$K$80)</f>
        <v>3140</v>
      </c>
      <c r="AB77">
        <f>IF([2]Baskol!$L$80="","",[2]Baskol!$L$80)</f>
        <v>187</v>
      </c>
      <c r="AC77" t="str">
        <f>IF([2]Baskol!$N$80="","",[2]Baskol!$N$80)</f>
        <v/>
      </c>
      <c r="AD77" t="str">
        <f>IF([2]Baskol!$O$80="","",[2]Baskol!$O$80)</f>
        <v/>
      </c>
      <c r="AE77" t="str">
        <f>IF([3]Entry!$C$80="","",[3]Entry!$C$80)</f>
        <v/>
      </c>
      <c r="AF77" t="str">
        <f>IF([3]Entry!$D$80="","",[3]Entry!$D$80)</f>
        <v/>
      </c>
      <c r="AG77" t="str">
        <f>IF([3]Entry!$E$80="","",[3]Entry!$E$80)</f>
        <v/>
      </c>
      <c r="AH77" t="str">
        <f>IF([3]Entry!$G$80="","",[3]Entry!$G$80)</f>
        <v/>
      </c>
      <c r="AI77" t="str">
        <f>IF([3]Entry!$K$80="","",[3]Entry!$K$80)</f>
        <v/>
      </c>
      <c r="AJ77" t="str">
        <f>IF([3]Entry!$L$80="","",[3]Entry!$L$80)</f>
        <v/>
      </c>
      <c r="AK77" t="str">
        <f>IF([3]Entry!$M$80="","",[3]Entry!$M$80)</f>
        <v/>
      </c>
      <c r="AL77" t="str">
        <f>IF([3]Entry!$N$80="","",[3]Entry!$N$80)</f>
        <v/>
      </c>
      <c r="AM77" t="str">
        <f>IF([3]Entry!$R$80="","",[3]Entry!$R$80)</f>
        <v/>
      </c>
    </row>
    <row r="78" spans="1:39" x14ac:dyDescent="0.2">
      <c r="A78" t="str">
        <f>IF([1]Accounts!$D$79="","",[1]Accounts!$A$79)</f>
        <v/>
      </c>
      <c r="B78" t="str">
        <f>IF([1]Accounts!$D$79="","",[1]Accounts!$B$79)</f>
        <v/>
      </c>
      <c r="C78" t="str">
        <f>IF([1]Accounts!$D$79="","",[1]Accounts!$C$79)</f>
        <v/>
      </c>
      <c r="D78" t="str">
        <f>IF([1]Accounts!$D$79="","",[1]Accounts!$D$79)</f>
        <v/>
      </c>
      <c r="E78" t="str">
        <f>IF([1]Accounts!$D$79="","",[1]Accounts!$E$79)</f>
        <v/>
      </c>
      <c r="F78" t="str">
        <f>IF([1]Accounts!$D$79="","",[1]Accounts!$F$79)</f>
        <v/>
      </c>
      <c r="G78" t="str">
        <f>IF([1]Accounts!$D$79="","",[1]Accounts!$G$79)</f>
        <v/>
      </c>
      <c r="T78" t="str">
        <f>IF([2]Baskol!$B$81="","",[2]Baskol!$B$81)</f>
        <v>1405/07/18</v>
      </c>
      <c r="U78" t="str">
        <f>IF([2]Baskol!$C$81="","",[2]Baskol!$C$81)</f>
        <v/>
      </c>
      <c r="V78" t="str">
        <f>IF([2]Baskol!$D$81="","",[2]Baskol!$D$81)</f>
        <v/>
      </c>
      <c r="W78" t="str">
        <f>IF([2]Baskol!$E$81="","",[2]Baskol!$E$81)</f>
        <v>فروش</v>
      </c>
      <c r="X78" t="str">
        <f>IF([2]Baskol!$G$81="","",[2]Baskol!$G$81)</f>
        <v>SL001</v>
      </c>
      <c r="Y78" t="str">
        <f>IF([2]Baskol!$I$81="","",[2]Baskol!$I$81)</f>
        <v/>
      </c>
      <c r="Z78" t="str">
        <f>IF([2]Baskol!$J$81="","",[2]Baskol!$J$81)</f>
        <v/>
      </c>
      <c r="AA78">
        <f>IF([2]Baskol!$K$81="","",[2]Baskol!$K$81)</f>
        <v>2195</v>
      </c>
      <c r="AB78" t="str">
        <f>IF([2]Baskol!$L$81="","",[2]Baskol!$L$81)</f>
        <v/>
      </c>
      <c r="AC78" t="str">
        <f>IF([2]Baskol!$N$81="","",[2]Baskol!$N$81)</f>
        <v/>
      </c>
      <c r="AD78" t="str">
        <f>IF([2]Baskol!$O$81="","",[2]Baskol!$O$81)</f>
        <v/>
      </c>
      <c r="AE78" t="str">
        <f>IF([3]Entry!$C$81="","",[3]Entry!$C$81)</f>
        <v/>
      </c>
      <c r="AF78" t="str">
        <f>IF([3]Entry!$D$81="","",[3]Entry!$D$81)</f>
        <v/>
      </c>
      <c r="AG78" t="str">
        <f>IF([3]Entry!$E$81="","",[3]Entry!$E$81)</f>
        <v/>
      </c>
      <c r="AH78" t="str">
        <f>IF([3]Entry!$G$81="","",[3]Entry!$G$81)</f>
        <v/>
      </c>
      <c r="AI78" t="str">
        <f>IF([3]Entry!$K$81="","",[3]Entry!$K$81)</f>
        <v/>
      </c>
      <c r="AJ78" t="str">
        <f>IF([3]Entry!$L$81="","",[3]Entry!$L$81)</f>
        <v/>
      </c>
      <c r="AK78" t="str">
        <f>IF([3]Entry!$M$81="","",[3]Entry!$M$81)</f>
        <v/>
      </c>
      <c r="AL78" t="str">
        <f>IF([3]Entry!$N$81="","",[3]Entry!$N$81)</f>
        <v/>
      </c>
      <c r="AM78" t="str">
        <f>IF([3]Entry!$R$81="","",[3]Entry!$R$81)</f>
        <v/>
      </c>
    </row>
    <row r="79" spans="1:39" x14ac:dyDescent="0.2">
      <c r="A79" t="str">
        <f>IF([1]Accounts!$D$80="","",[1]Accounts!$A$80)</f>
        <v/>
      </c>
      <c r="B79" t="str">
        <f>IF([1]Accounts!$D$80="","",[1]Accounts!$B$80)</f>
        <v/>
      </c>
      <c r="C79" t="str">
        <f>IF([1]Accounts!$D$80="","",[1]Accounts!$C$80)</f>
        <v/>
      </c>
      <c r="D79" t="str">
        <f>IF([1]Accounts!$D$80="","",[1]Accounts!$D$80)</f>
        <v/>
      </c>
      <c r="E79" t="str">
        <f>IF([1]Accounts!$D$80="","",[1]Accounts!$E$80)</f>
        <v/>
      </c>
      <c r="F79" t="str">
        <f>IF([1]Accounts!$D$80="","",[1]Accounts!$F$80)</f>
        <v/>
      </c>
      <c r="G79" t="str">
        <f>IF([1]Accounts!$D$80="","",[1]Accounts!$G$80)</f>
        <v/>
      </c>
      <c r="T79" t="str">
        <f>IF([2]Baskol!$B$82="","",[2]Baskol!$B$82)</f>
        <v>1405/07/18</v>
      </c>
      <c r="U79" t="str">
        <f>IF([2]Baskol!$C$82="","",[2]Baskol!$C$82)</f>
        <v/>
      </c>
      <c r="V79" t="str">
        <f>IF([2]Baskol!$D$82="","",[2]Baskol!$D$82)</f>
        <v/>
      </c>
      <c r="W79" t="str">
        <f>IF([2]Baskol!$E$82="","",[2]Baskol!$E$82)</f>
        <v>خرید مرکبات</v>
      </c>
      <c r="X79" t="str">
        <f>IF([2]Baskol!$G$82="","",[2]Baskol!$G$82)</f>
        <v>c006</v>
      </c>
      <c r="Y79" t="str">
        <f>IF([2]Baskol!$I$82="","",[2]Baskol!$I$82)</f>
        <v/>
      </c>
      <c r="Z79" t="str">
        <f>IF([2]Baskol!$J$82="","",[2]Baskol!$J$82)</f>
        <v>خرمالو</v>
      </c>
      <c r="AA79">
        <f>IF([2]Baskol!$K$82="","",[2]Baskol!$K$82)</f>
        <v>175</v>
      </c>
      <c r="AB79">
        <f>IF([2]Baskol!$L$82="","",[2]Baskol!$L$82)</f>
        <v>9</v>
      </c>
      <c r="AC79" t="str">
        <f>IF([2]Baskol!$N$82="","",[2]Baskol!$N$82)</f>
        <v/>
      </c>
      <c r="AD79" t="str">
        <f>IF([2]Baskol!$O$82="","",[2]Baskol!$O$82)</f>
        <v/>
      </c>
      <c r="AE79" t="str">
        <f>IF([3]Entry!$C$82="","",[3]Entry!$C$82)</f>
        <v/>
      </c>
      <c r="AF79" t="str">
        <f>IF([3]Entry!$D$82="","",[3]Entry!$D$82)</f>
        <v/>
      </c>
      <c r="AG79" t="str">
        <f>IF([3]Entry!$E$82="","",[3]Entry!$E$82)</f>
        <v/>
      </c>
      <c r="AH79" t="str">
        <f>IF([3]Entry!$G$82="","",[3]Entry!$G$82)</f>
        <v/>
      </c>
      <c r="AI79" t="str">
        <f>IF([3]Entry!$K$82="","",[3]Entry!$K$82)</f>
        <v/>
      </c>
      <c r="AJ79" t="str">
        <f>IF([3]Entry!$L$82="","",[3]Entry!$L$82)</f>
        <v/>
      </c>
      <c r="AK79" t="str">
        <f>IF([3]Entry!$M$82="","",[3]Entry!$M$82)</f>
        <v/>
      </c>
      <c r="AL79" t="str">
        <f>IF([3]Entry!$N$82="","",[3]Entry!$N$82)</f>
        <v/>
      </c>
      <c r="AM79" t="str">
        <f>IF([3]Entry!$R$82="","",[3]Entry!$R$82)</f>
        <v/>
      </c>
    </row>
    <row r="80" spans="1:39" x14ac:dyDescent="0.2">
      <c r="A80" t="str">
        <f>IF([1]Accounts!$D$81="","",[1]Accounts!$A$81)</f>
        <v/>
      </c>
      <c r="B80" t="str">
        <f>IF([1]Accounts!$D$81="","",[1]Accounts!$B$81)</f>
        <v/>
      </c>
      <c r="C80" t="str">
        <f>IF([1]Accounts!$D$81="","",[1]Accounts!$C$81)</f>
        <v/>
      </c>
      <c r="D80" t="str">
        <f>IF([1]Accounts!$D$81="","",[1]Accounts!$D$81)</f>
        <v/>
      </c>
      <c r="E80" t="str">
        <f>IF([1]Accounts!$D$81="","",[1]Accounts!$E$81)</f>
        <v/>
      </c>
      <c r="F80" t="str">
        <f>IF([1]Accounts!$D$81="","",[1]Accounts!$F$81)</f>
        <v/>
      </c>
      <c r="G80" t="str">
        <f>IF([1]Accounts!$D$81="","",[1]Accounts!$G$81)</f>
        <v/>
      </c>
      <c r="T80" t="str">
        <f>IF([2]Baskol!$B$83="","",[2]Baskol!$B$83)</f>
        <v>1405/07/18</v>
      </c>
      <c r="U80" t="str">
        <f>IF([2]Baskol!$C$83="","",[2]Baskol!$C$83)</f>
        <v/>
      </c>
      <c r="V80" t="str">
        <f>IF([2]Baskol!$D$83="","",[2]Baskol!$D$83)</f>
        <v/>
      </c>
      <c r="W80" t="str">
        <f>IF([2]Baskol!$E$83="","",[2]Baskol!$E$83)</f>
        <v>فروش</v>
      </c>
      <c r="X80" t="str">
        <f>IF([2]Baskol!$G$83="","",[2]Baskol!$G$83)</f>
        <v>SL005</v>
      </c>
      <c r="Y80" t="str">
        <f>IF([2]Baskol!$I$83="","",[2]Baskol!$I$83)</f>
        <v/>
      </c>
      <c r="Z80" t="str">
        <f>IF([2]Baskol!$J$83="","",[2]Baskol!$J$83)</f>
        <v/>
      </c>
      <c r="AA80">
        <f>IF([2]Baskol!$K$83="","",[2]Baskol!$K$83)</f>
        <v>2155</v>
      </c>
      <c r="AB80" t="str">
        <f>IF([2]Baskol!$L$83="","",[2]Baskol!$L$83)</f>
        <v/>
      </c>
      <c r="AC80" t="str">
        <f>IF([2]Baskol!$N$83="","",[2]Baskol!$N$83)</f>
        <v/>
      </c>
      <c r="AD80" t="str">
        <f>IF([2]Baskol!$O$83="","",[2]Baskol!$O$83)</f>
        <v/>
      </c>
      <c r="AE80" t="str">
        <f>IF([3]Entry!$C$83="","",[3]Entry!$C$83)</f>
        <v/>
      </c>
      <c r="AF80" t="str">
        <f>IF([3]Entry!$D$83="","",[3]Entry!$D$83)</f>
        <v/>
      </c>
      <c r="AG80" t="str">
        <f>IF([3]Entry!$E$83="","",[3]Entry!$E$83)</f>
        <v/>
      </c>
      <c r="AH80" t="str">
        <f>IF([3]Entry!$G$83="","",[3]Entry!$G$83)</f>
        <v/>
      </c>
      <c r="AI80" t="str">
        <f>IF([3]Entry!$K$83="","",[3]Entry!$K$83)</f>
        <v/>
      </c>
      <c r="AJ80" t="str">
        <f>IF([3]Entry!$L$83="","",[3]Entry!$L$83)</f>
        <v/>
      </c>
      <c r="AK80" t="str">
        <f>IF([3]Entry!$M$83="","",[3]Entry!$M$83)</f>
        <v/>
      </c>
      <c r="AL80" t="str">
        <f>IF([3]Entry!$N$83="","",[3]Entry!$N$83)</f>
        <v/>
      </c>
      <c r="AM80" t="str">
        <f>IF([3]Entry!$R$83="","",[3]Entry!$R$83)</f>
        <v/>
      </c>
    </row>
    <row r="81" spans="1:39" x14ac:dyDescent="0.2">
      <c r="A81" t="str">
        <f>IF([1]Accounts!$D$82="","",[1]Accounts!$A$82)</f>
        <v/>
      </c>
      <c r="B81" t="str">
        <f>IF([1]Accounts!$D$82="","",[1]Accounts!$B$82)</f>
        <v/>
      </c>
      <c r="C81" t="str">
        <f>IF([1]Accounts!$D$82="","",[1]Accounts!$C$82)</f>
        <v/>
      </c>
      <c r="D81" t="str">
        <f>IF([1]Accounts!$D$82="","",[1]Accounts!$D$82)</f>
        <v/>
      </c>
      <c r="E81" t="str">
        <f>IF([1]Accounts!$D$82="","",[1]Accounts!$E$82)</f>
        <v/>
      </c>
      <c r="F81" t="str">
        <f>IF([1]Accounts!$D$82="","",[1]Accounts!$F$82)</f>
        <v/>
      </c>
      <c r="G81" t="str">
        <f>IF([1]Accounts!$D$82="","",[1]Accounts!$G$82)</f>
        <v/>
      </c>
      <c r="T81" t="str">
        <f>IF([2]Baskol!$B$84="","",[2]Baskol!$B$84)</f>
        <v>1405/07/18</v>
      </c>
      <c r="U81" t="str">
        <f>IF([2]Baskol!$C$84="","",[2]Baskol!$C$84)</f>
        <v/>
      </c>
      <c r="V81" t="str">
        <f>IF([2]Baskol!$D$84="","",[2]Baskol!$D$84)</f>
        <v/>
      </c>
      <c r="W81" t="str">
        <f>IF([2]Baskol!$E$84="","",[2]Baskol!$E$84)</f>
        <v>خرید مرکبات</v>
      </c>
      <c r="X81" t="str">
        <f>IF([2]Baskol!$G$84="","",[2]Baskol!$G$84)</f>
        <v>c032</v>
      </c>
      <c r="Y81" t="str">
        <f>IF([2]Baskol!$I$84="","",[2]Baskol!$I$84)</f>
        <v/>
      </c>
      <c r="Z81" t="str">
        <f>IF([2]Baskol!$J$84="","",[2]Baskol!$J$84)</f>
        <v>نارنگی</v>
      </c>
      <c r="AA81">
        <f>IF([2]Baskol!$K$84="","",[2]Baskol!$K$84)</f>
        <v>1235</v>
      </c>
      <c r="AB81">
        <f>IF([2]Baskol!$L$84="","",[2]Baskol!$L$84)</f>
        <v>77</v>
      </c>
      <c r="AC81" t="str">
        <f>IF([2]Baskol!$N$84="","",[2]Baskol!$N$84)</f>
        <v/>
      </c>
      <c r="AD81" t="str">
        <f>IF([2]Baskol!$O$84="","",[2]Baskol!$O$84)</f>
        <v/>
      </c>
      <c r="AE81" t="str">
        <f>IF([3]Entry!$C$84="","",[3]Entry!$C$84)</f>
        <v/>
      </c>
      <c r="AF81" t="str">
        <f>IF([3]Entry!$D$84="","",[3]Entry!$D$84)</f>
        <v/>
      </c>
      <c r="AG81" t="str">
        <f>IF([3]Entry!$E$84="","",[3]Entry!$E$84)</f>
        <v/>
      </c>
      <c r="AH81" t="str">
        <f>IF([3]Entry!$G$84="","",[3]Entry!$G$84)</f>
        <v/>
      </c>
      <c r="AI81" t="str">
        <f>IF([3]Entry!$K$84="","",[3]Entry!$K$84)</f>
        <v/>
      </c>
      <c r="AJ81" t="str">
        <f>IF([3]Entry!$L$84="","",[3]Entry!$L$84)</f>
        <v/>
      </c>
      <c r="AK81" t="str">
        <f>IF([3]Entry!$M$84="","",[3]Entry!$M$84)</f>
        <v/>
      </c>
      <c r="AL81" t="str">
        <f>IF([3]Entry!$N$84="","",[3]Entry!$N$84)</f>
        <v/>
      </c>
      <c r="AM81" t="str">
        <f>IF([3]Entry!$R$84="","",[3]Entry!$R$84)</f>
        <v/>
      </c>
    </row>
    <row r="82" spans="1:39" x14ac:dyDescent="0.2">
      <c r="A82" t="str">
        <f>IF([1]Accounts!$D$83="","",[1]Accounts!$A$83)</f>
        <v/>
      </c>
      <c r="B82" t="str">
        <f>IF([1]Accounts!$D$83="","",[1]Accounts!$B$83)</f>
        <v/>
      </c>
      <c r="C82" t="str">
        <f>IF([1]Accounts!$D$83="","",[1]Accounts!$C$83)</f>
        <v/>
      </c>
      <c r="D82" t="str">
        <f>IF([1]Accounts!$D$83="","",[1]Accounts!$D$83)</f>
        <v/>
      </c>
      <c r="E82" t="str">
        <f>IF([1]Accounts!$D$83="","",[1]Accounts!$E$83)</f>
        <v/>
      </c>
      <c r="F82" t="str">
        <f>IF([1]Accounts!$D$83="","",[1]Accounts!$F$83)</f>
        <v/>
      </c>
      <c r="G82" t="str">
        <f>IF([1]Accounts!$D$83="","",[1]Accounts!$G$83)</f>
        <v/>
      </c>
      <c r="T82" t="str">
        <f>IF([2]Baskol!$B$85="","",[2]Baskol!$B$85)</f>
        <v>1405/07/19</v>
      </c>
      <c r="U82" t="str">
        <f>IF([2]Baskol!$C$85="","",[2]Baskol!$C$85)</f>
        <v/>
      </c>
      <c r="V82" t="str">
        <f>IF([2]Baskol!$D$85="","",[2]Baskol!$D$85)</f>
        <v/>
      </c>
      <c r="W82" t="str">
        <f>IF([2]Baskol!$E$85="","",[2]Baskol!$E$85)</f>
        <v>خرید مرکبات</v>
      </c>
      <c r="X82" t="str">
        <f>IF([2]Baskol!$G$85="","",[2]Baskol!$G$85)</f>
        <v>c034</v>
      </c>
      <c r="Y82" t="str">
        <f>IF([2]Baskol!$I$85="","",[2]Baskol!$I$85)</f>
        <v/>
      </c>
      <c r="Z82" t="str">
        <f>IF([2]Baskol!$J$85="","",[2]Baskol!$J$85)</f>
        <v>نارنگی</v>
      </c>
      <c r="AA82">
        <f>IF([2]Baskol!$K$85="","",[2]Baskol!$K$85)</f>
        <v>2665</v>
      </c>
      <c r="AB82">
        <f>IF([2]Baskol!$L$85="","",[2]Baskol!$L$85)</f>
        <v>129</v>
      </c>
      <c r="AC82" t="str">
        <f>IF([2]Baskol!$N$85="","",[2]Baskol!$N$85)</f>
        <v/>
      </c>
      <c r="AD82" t="str">
        <f>IF([2]Baskol!$O$85="","",[2]Baskol!$O$85)</f>
        <v/>
      </c>
      <c r="AE82" t="str">
        <f>IF([3]Entry!$C$85="","",[3]Entry!$C$85)</f>
        <v/>
      </c>
      <c r="AF82" t="str">
        <f>IF([3]Entry!$D$85="","",[3]Entry!$D$85)</f>
        <v/>
      </c>
      <c r="AG82" t="str">
        <f>IF([3]Entry!$E$85="","",[3]Entry!$E$85)</f>
        <v/>
      </c>
      <c r="AH82" t="str">
        <f>IF([3]Entry!$G$85="","",[3]Entry!$G$85)</f>
        <v/>
      </c>
      <c r="AI82" t="str">
        <f>IF([3]Entry!$K$85="","",[3]Entry!$K$85)</f>
        <v/>
      </c>
      <c r="AJ82" t="str">
        <f>IF([3]Entry!$L$85="","",[3]Entry!$L$85)</f>
        <v/>
      </c>
      <c r="AK82" t="str">
        <f>IF([3]Entry!$M$85="","",[3]Entry!$M$85)</f>
        <v/>
      </c>
      <c r="AL82" t="str">
        <f>IF([3]Entry!$N$85="","",[3]Entry!$N$85)</f>
        <v/>
      </c>
      <c r="AM82" t="str">
        <f>IF([3]Entry!$R$85="","",[3]Entry!$R$85)</f>
        <v/>
      </c>
    </row>
    <row r="83" spans="1:39" x14ac:dyDescent="0.2">
      <c r="A83" t="str">
        <f>IF([1]Accounts!$D$84="","",[1]Accounts!$A$84)</f>
        <v/>
      </c>
      <c r="B83" t="str">
        <f>IF([1]Accounts!$D$84="","",[1]Accounts!$B$84)</f>
        <v/>
      </c>
      <c r="C83" t="str">
        <f>IF([1]Accounts!$D$84="","",[1]Accounts!$C$84)</f>
        <v/>
      </c>
      <c r="D83" t="str">
        <f>IF([1]Accounts!$D$84="","",[1]Accounts!$D$84)</f>
        <v/>
      </c>
      <c r="E83" t="str">
        <f>IF([1]Accounts!$D$84="","",[1]Accounts!$E$84)</f>
        <v/>
      </c>
      <c r="F83" t="str">
        <f>IF([1]Accounts!$D$84="","",[1]Accounts!$F$84)</f>
        <v/>
      </c>
      <c r="G83" t="str">
        <f>IF([1]Accounts!$D$84="","",[1]Accounts!$G$84)</f>
        <v/>
      </c>
      <c r="T83" t="str">
        <f>IF([2]Baskol!$B$86="","",[2]Baskol!$B$86)</f>
        <v>1405/07/19</v>
      </c>
      <c r="U83" t="str">
        <f>IF([2]Baskol!$C$86="","",[2]Baskol!$C$86)</f>
        <v/>
      </c>
      <c r="V83" t="str">
        <f>IF([2]Baskol!$D$86="","",[2]Baskol!$D$86)</f>
        <v/>
      </c>
      <c r="W83" t="str">
        <f>IF([2]Baskol!$E$86="","",[2]Baskol!$E$86)</f>
        <v>فروش</v>
      </c>
      <c r="X83" t="str">
        <f>IF([2]Baskol!$G$86="","",[2]Baskol!$G$86)</f>
        <v>SL005</v>
      </c>
      <c r="Y83" t="str">
        <f>IF([2]Baskol!$I$86="","",[2]Baskol!$I$86)</f>
        <v/>
      </c>
      <c r="Z83" t="str">
        <f>IF([2]Baskol!$J$86="","",[2]Baskol!$J$86)</f>
        <v/>
      </c>
      <c r="AA83">
        <f>IF([2]Baskol!$K$86="","",[2]Baskol!$K$86)</f>
        <v>2975</v>
      </c>
      <c r="AB83" t="str">
        <f>IF([2]Baskol!$L$86="","",[2]Baskol!$L$86)</f>
        <v/>
      </c>
      <c r="AC83" t="str">
        <f>IF([2]Baskol!$N$86="","",[2]Baskol!$N$86)</f>
        <v/>
      </c>
      <c r="AD83" t="str">
        <f>IF([2]Baskol!$O$86="","",[2]Baskol!$O$86)</f>
        <v/>
      </c>
      <c r="AE83" t="str">
        <f>IF([3]Entry!$C$86="","",[3]Entry!$C$86)</f>
        <v/>
      </c>
      <c r="AF83" t="str">
        <f>IF([3]Entry!$D$86="","",[3]Entry!$D$86)</f>
        <v/>
      </c>
      <c r="AG83" t="str">
        <f>IF([3]Entry!$E$86="","",[3]Entry!$E$86)</f>
        <v/>
      </c>
      <c r="AH83" t="str">
        <f>IF([3]Entry!$G$86="","",[3]Entry!$G$86)</f>
        <v/>
      </c>
      <c r="AI83" t="str">
        <f>IF([3]Entry!$K$86="","",[3]Entry!$K$86)</f>
        <v/>
      </c>
      <c r="AJ83" t="str">
        <f>IF([3]Entry!$L$86="","",[3]Entry!$L$86)</f>
        <v/>
      </c>
      <c r="AK83" t="str">
        <f>IF([3]Entry!$M$86="","",[3]Entry!$M$86)</f>
        <v/>
      </c>
      <c r="AL83" t="str">
        <f>IF([3]Entry!$N$86="","",[3]Entry!$N$86)</f>
        <v/>
      </c>
      <c r="AM83" t="str">
        <f>IF([3]Entry!$R$86="","",[3]Entry!$R$86)</f>
        <v/>
      </c>
    </row>
    <row r="84" spans="1:39" x14ac:dyDescent="0.2">
      <c r="A84" t="str">
        <f>IF([1]Accounts!$D$85="","",[1]Accounts!$A$85)</f>
        <v/>
      </c>
      <c r="B84" t="str">
        <f>IF([1]Accounts!$D$85="","",[1]Accounts!$B$85)</f>
        <v/>
      </c>
      <c r="C84" t="str">
        <f>IF([1]Accounts!$D$85="","",[1]Accounts!$C$85)</f>
        <v/>
      </c>
      <c r="D84" t="str">
        <f>IF([1]Accounts!$D$85="","",[1]Accounts!$D$85)</f>
        <v/>
      </c>
      <c r="E84" t="str">
        <f>IF([1]Accounts!$D$85="","",[1]Accounts!$E$85)</f>
        <v/>
      </c>
      <c r="F84" t="str">
        <f>IF([1]Accounts!$D$85="","",[1]Accounts!$F$85)</f>
        <v/>
      </c>
      <c r="G84" t="str">
        <f>IF([1]Accounts!$D$85="","",[1]Accounts!$G$85)</f>
        <v/>
      </c>
      <c r="T84" t="str">
        <f>IF([2]Baskol!$B$87="","",[2]Baskol!$B$87)</f>
        <v>1405/07/19</v>
      </c>
      <c r="U84" t="str">
        <f>IF([2]Baskol!$C$87="","",[2]Baskol!$C$87)</f>
        <v/>
      </c>
      <c r="V84" t="str">
        <f>IF([2]Baskol!$D$87="","",[2]Baskol!$D$87)</f>
        <v/>
      </c>
      <c r="W84" t="str">
        <f>IF([2]Baskol!$E$87="","",[2]Baskol!$E$87)</f>
        <v>خرید مرکبات</v>
      </c>
      <c r="X84" t="str">
        <f>IF([2]Baskol!$G$87="","",[2]Baskol!$G$87)</f>
        <v>c035</v>
      </c>
      <c r="Y84" t="str">
        <f>IF([2]Baskol!$I$87="","",[2]Baskol!$I$87)</f>
        <v/>
      </c>
      <c r="Z84" t="str">
        <f>IF([2]Baskol!$J$87="","",[2]Baskol!$J$87)</f>
        <v>خرمالو</v>
      </c>
      <c r="AA84">
        <f>IF([2]Baskol!$K$87="","",[2]Baskol!$K$87)</f>
        <v>73</v>
      </c>
      <c r="AB84">
        <f>IF([2]Baskol!$L$87="","",[2]Baskol!$L$87)</f>
        <v>4</v>
      </c>
      <c r="AC84" t="str">
        <f>IF([2]Baskol!$N$87="","",[2]Baskol!$N$87)</f>
        <v/>
      </c>
      <c r="AD84" t="str">
        <f>IF([2]Baskol!$O$87="","",[2]Baskol!$O$87)</f>
        <v/>
      </c>
      <c r="AE84" t="str">
        <f>IF([3]Entry!$C$87="","",[3]Entry!$C$87)</f>
        <v/>
      </c>
      <c r="AF84" t="str">
        <f>IF([3]Entry!$D$87="","",[3]Entry!$D$87)</f>
        <v/>
      </c>
      <c r="AG84" t="str">
        <f>IF([3]Entry!$E$87="","",[3]Entry!$E$87)</f>
        <v/>
      </c>
      <c r="AH84" t="str">
        <f>IF([3]Entry!$G$87="","",[3]Entry!$G$87)</f>
        <v/>
      </c>
      <c r="AI84" t="str">
        <f>IF([3]Entry!$K$87="","",[3]Entry!$K$87)</f>
        <v/>
      </c>
      <c r="AJ84" t="str">
        <f>IF([3]Entry!$L$87="","",[3]Entry!$L$87)</f>
        <v/>
      </c>
      <c r="AK84" t="str">
        <f>IF([3]Entry!$M$87="","",[3]Entry!$M$87)</f>
        <v/>
      </c>
      <c r="AL84" t="str">
        <f>IF([3]Entry!$N$87="","",[3]Entry!$N$87)</f>
        <v/>
      </c>
      <c r="AM84" t="str">
        <f>IF([3]Entry!$R$87="","",[3]Entry!$R$87)</f>
        <v/>
      </c>
    </row>
    <row r="85" spans="1:39" x14ac:dyDescent="0.2">
      <c r="A85" t="str">
        <f>IF([1]Accounts!$D$86="","",[1]Accounts!$A$86)</f>
        <v/>
      </c>
      <c r="B85" t="str">
        <f>IF([1]Accounts!$D$86="","",[1]Accounts!$B$86)</f>
        <v/>
      </c>
      <c r="C85" t="str">
        <f>IF([1]Accounts!$D$86="","",[1]Accounts!$C$86)</f>
        <v/>
      </c>
      <c r="D85" t="str">
        <f>IF([1]Accounts!$D$86="","",[1]Accounts!$D$86)</f>
        <v/>
      </c>
      <c r="E85" t="str">
        <f>IF([1]Accounts!$D$86="","",[1]Accounts!$E$86)</f>
        <v/>
      </c>
      <c r="F85" t="str">
        <f>IF([1]Accounts!$D$86="","",[1]Accounts!$F$86)</f>
        <v/>
      </c>
      <c r="G85" t="str">
        <f>IF([1]Accounts!$D$86="","",[1]Accounts!$G$86)</f>
        <v/>
      </c>
      <c r="T85" t="str">
        <f>IF([2]Baskol!$B$88="","",[2]Baskol!$B$88)</f>
        <v>1405/07/19</v>
      </c>
      <c r="U85" t="str">
        <f>IF([2]Baskol!$C$88="","",[2]Baskol!$C$88)</f>
        <v/>
      </c>
      <c r="V85" t="str">
        <f>IF([2]Baskol!$D$88="","",[2]Baskol!$D$88)</f>
        <v/>
      </c>
      <c r="W85" t="str">
        <f>IF([2]Baskol!$E$88="","",[2]Baskol!$E$88)</f>
        <v>خرید مرکبات</v>
      </c>
      <c r="X85" t="str">
        <f>IF([2]Baskol!$G$88="","",[2]Baskol!$G$88)</f>
        <v>c036</v>
      </c>
      <c r="Y85" t="str">
        <f>IF([2]Baskol!$I$88="","",[2]Baskol!$I$88)</f>
        <v/>
      </c>
      <c r="Z85" t="str">
        <f>IF([2]Baskol!$J$88="","",[2]Baskol!$J$88)</f>
        <v>نارنگی</v>
      </c>
      <c r="AA85">
        <f>IF([2]Baskol!$K$88="","",[2]Baskol!$K$88)</f>
        <v>840</v>
      </c>
      <c r="AB85">
        <f>IF([2]Baskol!$L$88="","",[2]Baskol!$L$88)</f>
        <v>54</v>
      </c>
      <c r="AC85" t="str">
        <f>IF([2]Baskol!$N$88="","",[2]Baskol!$N$88)</f>
        <v/>
      </c>
      <c r="AD85" t="str">
        <f>IF([2]Baskol!$O$88="","",[2]Baskol!$O$88)</f>
        <v/>
      </c>
      <c r="AE85" t="str">
        <f>IF([3]Entry!$C$88="","",[3]Entry!$C$88)</f>
        <v/>
      </c>
      <c r="AF85" t="str">
        <f>IF([3]Entry!$D$88="","",[3]Entry!$D$88)</f>
        <v/>
      </c>
      <c r="AG85" t="str">
        <f>IF([3]Entry!$E$88="","",[3]Entry!$E$88)</f>
        <v/>
      </c>
      <c r="AH85" t="str">
        <f>IF([3]Entry!$G$88="","",[3]Entry!$G$88)</f>
        <v/>
      </c>
      <c r="AI85" t="str">
        <f>IF([3]Entry!$K$88="","",[3]Entry!$K$88)</f>
        <v/>
      </c>
      <c r="AJ85" t="str">
        <f>IF([3]Entry!$L$88="","",[3]Entry!$L$88)</f>
        <v/>
      </c>
      <c r="AK85" t="str">
        <f>IF([3]Entry!$M$88="","",[3]Entry!$M$88)</f>
        <v/>
      </c>
      <c r="AL85" t="str">
        <f>IF([3]Entry!$N$88="","",[3]Entry!$N$88)</f>
        <v/>
      </c>
      <c r="AM85" t="str">
        <f>IF([3]Entry!$R$88="","",[3]Entry!$R$88)</f>
        <v/>
      </c>
    </row>
    <row r="86" spans="1:39" x14ac:dyDescent="0.2">
      <c r="A86" t="str">
        <f>IF([1]Accounts!$D$87="","",[1]Accounts!$A$87)</f>
        <v/>
      </c>
      <c r="B86" t="str">
        <f>IF([1]Accounts!$D$87="","",[1]Accounts!$B$87)</f>
        <v/>
      </c>
      <c r="C86" t="str">
        <f>IF([1]Accounts!$D$87="","",[1]Accounts!$C$87)</f>
        <v/>
      </c>
      <c r="D86" t="str">
        <f>IF([1]Accounts!$D$87="","",[1]Accounts!$D$87)</f>
        <v/>
      </c>
      <c r="E86" t="str">
        <f>IF([1]Accounts!$D$87="","",[1]Accounts!$E$87)</f>
        <v/>
      </c>
      <c r="F86" t="str">
        <f>IF([1]Accounts!$D$87="","",[1]Accounts!$F$87)</f>
        <v/>
      </c>
      <c r="G86" t="str">
        <f>IF([1]Accounts!$D$87="","",[1]Accounts!$G$87)</f>
        <v/>
      </c>
      <c r="T86" t="str">
        <f>IF([2]Baskol!$B$89="","",[2]Baskol!$B$89)</f>
        <v>1405/07/19</v>
      </c>
      <c r="U86" t="str">
        <f>IF([2]Baskol!$C$89="","",[2]Baskol!$C$89)</f>
        <v/>
      </c>
      <c r="V86" t="str">
        <f>IF([2]Baskol!$D$89="","",[2]Baskol!$D$89)</f>
        <v/>
      </c>
      <c r="W86" t="str">
        <f>IF([2]Baskol!$E$89="","",[2]Baskol!$E$89)</f>
        <v>فروش</v>
      </c>
      <c r="X86" t="str">
        <f>IF([2]Baskol!$G$89="","",[2]Baskol!$G$89)</f>
        <v>SL003</v>
      </c>
      <c r="Y86" t="str">
        <f>IF([2]Baskol!$I$89="","",[2]Baskol!$I$89)</f>
        <v/>
      </c>
      <c r="Z86" t="str">
        <f>IF([2]Baskol!$J$89="","",[2]Baskol!$J$89)</f>
        <v/>
      </c>
      <c r="AA86">
        <f>IF([2]Baskol!$K$89="","",[2]Baskol!$K$89)</f>
        <v>3105</v>
      </c>
      <c r="AB86" t="str">
        <f>IF([2]Baskol!$L$89="","",[2]Baskol!$L$89)</f>
        <v/>
      </c>
      <c r="AC86" t="str">
        <f>IF([2]Baskol!$N$89="","",[2]Baskol!$N$89)</f>
        <v/>
      </c>
      <c r="AD86" t="str">
        <f>IF([2]Baskol!$O$89="","",[2]Baskol!$O$89)</f>
        <v/>
      </c>
      <c r="AE86" t="str">
        <f>IF([3]Entry!$C$89="","",[3]Entry!$C$89)</f>
        <v/>
      </c>
      <c r="AF86" t="str">
        <f>IF([3]Entry!$D$89="","",[3]Entry!$D$89)</f>
        <v/>
      </c>
      <c r="AG86" t="str">
        <f>IF([3]Entry!$E$89="","",[3]Entry!$E$89)</f>
        <v/>
      </c>
      <c r="AH86" t="str">
        <f>IF([3]Entry!$G$89="","",[3]Entry!$G$89)</f>
        <v/>
      </c>
      <c r="AI86" t="str">
        <f>IF([3]Entry!$K$89="","",[3]Entry!$K$89)</f>
        <v/>
      </c>
      <c r="AJ86" t="str">
        <f>IF([3]Entry!$L$89="","",[3]Entry!$L$89)</f>
        <v/>
      </c>
      <c r="AK86" t="str">
        <f>IF([3]Entry!$M$89="","",[3]Entry!$M$89)</f>
        <v/>
      </c>
      <c r="AL86" t="str">
        <f>IF([3]Entry!$N$89="","",[3]Entry!$N$89)</f>
        <v/>
      </c>
      <c r="AM86" t="str">
        <f>IF([3]Entry!$R$89="","",[3]Entry!$R$89)</f>
        <v/>
      </c>
    </row>
    <row r="87" spans="1:39" x14ac:dyDescent="0.2">
      <c r="A87" t="str">
        <f>IF([1]Accounts!$D$88="","",[1]Accounts!$A$88)</f>
        <v/>
      </c>
      <c r="B87" t="str">
        <f>IF([1]Accounts!$D$88="","",[1]Accounts!$B$88)</f>
        <v/>
      </c>
      <c r="C87" t="str">
        <f>IF([1]Accounts!$D$88="","",[1]Accounts!$C$88)</f>
        <v/>
      </c>
      <c r="D87" t="str">
        <f>IF([1]Accounts!$D$88="","",[1]Accounts!$D$88)</f>
        <v/>
      </c>
      <c r="E87" t="str">
        <f>IF([1]Accounts!$D$88="","",[1]Accounts!$E$88)</f>
        <v/>
      </c>
      <c r="F87" t="str">
        <f>IF([1]Accounts!$D$88="","",[1]Accounts!$F$88)</f>
        <v/>
      </c>
      <c r="G87" t="str">
        <f>IF([1]Accounts!$D$88="","",[1]Accounts!$G$88)</f>
        <v/>
      </c>
      <c r="T87" t="str">
        <f>IF([2]Baskol!$B$90="","",[2]Baskol!$B$90)</f>
        <v>1405/07/19</v>
      </c>
      <c r="U87" t="str">
        <f>IF([2]Baskol!$C$90="","",[2]Baskol!$C$90)</f>
        <v/>
      </c>
      <c r="V87" t="str">
        <f>IF([2]Baskol!$D$90="","",[2]Baskol!$D$90)</f>
        <v/>
      </c>
      <c r="W87" t="str">
        <f>IF([2]Baskol!$E$90="","",[2]Baskol!$E$90)</f>
        <v>خرید مرکبات</v>
      </c>
      <c r="X87" t="str">
        <f>IF([2]Baskol!$G$90="","",[2]Baskol!$G$90)</f>
        <v>c036</v>
      </c>
      <c r="Y87" t="str">
        <f>IF([2]Baskol!$I$90="","",[2]Baskol!$I$90)</f>
        <v/>
      </c>
      <c r="Z87" t="str">
        <f>IF([2]Baskol!$J$90="","",[2]Baskol!$J$90)</f>
        <v>نارنگی</v>
      </c>
      <c r="AA87">
        <f>IF([2]Baskol!$K$90="","",[2]Baskol!$K$90)</f>
        <v>790</v>
      </c>
      <c r="AB87">
        <f>IF([2]Baskol!$L$90="","",[2]Baskol!$L$90)</f>
        <v>52</v>
      </c>
      <c r="AC87" t="str">
        <f>IF([2]Baskol!$N$90="","",[2]Baskol!$N$90)</f>
        <v/>
      </c>
      <c r="AD87" t="str">
        <f>IF([2]Baskol!$O$90="","",[2]Baskol!$O$90)</f>
        <v/>
      </c>
      <c r="AE87" t="str">
        <f>IF([3]Entry!$C$90="","",[3]Entry!$C$90)</f>
        <v/>
      </c>
      <c r="AF87" t="str">
        <f>IF([3]Entry!$D$90="","",[3]Entry!$D$90)</f>
        <v/>
      </c>
      <c r="AG87" t="str">
        <f>IF([3]Entry!$E$90="","",[3]Entry!$E$90)</f>
        <v/>
      </c>
      <c r="AH87" t="str">
        <f>IF([3]Entry!$G$90="","",[3]Entry!$G$90)</f>
        <v/>
      </c>
      <c r="AI87" t="str">
        <f>IF([3]Entry!$K$90="","",[3]Entry!$K$90)</f>
        <v/>
      </c>
      <c r="AJ87" t="str">
        <f>IF([3]Entry!$L$90="","",[3]Entry!$L$90)</f>
        <v/>
      </c>
      <c r="AK87" t="str">
        <f>IF([3]Entry!$M$90="","",[3]Entry!$M$90)</f>
        <v/>
      </c>
      <c r="AL87" t="str">
        <f>IF([3]Entry!$N$90="","",[3]Entry!$N$90)</f>
        <v/>
      </c>
      <c r="AM87" t="str">
        <f>IF([3]Entry!$R$90="","",[3]Entry!$R$90)</f>
        <v/>
      </c>
    </row>
    <row r="88" spans="1:39" x14ac:dyDescent="0.2">
      <c r="A88" t="str">
        <f>IF([1]Accounts!$D$89="","",[1]Accounts!$A$89)</f>
        <v/>
      </c>
      <c r="B88" t="str">
        <f>IF([1]Accounts!$D$89="","",[1]Accounts!$B$89)</f>
        <v/>
      </c>
      <c r="C88" t="str">
        <f>IF([1]Accounts!$D$89="","",[1]Accounts!$C$89)</f>
        <v/>
      </c>
      <c r="D88" t="str">
        <f>IF([1]Accounts!$D$89="","",[1]Accounts!$D$89)</f>
        <v/>
      </c>
      <c r="E88" t="str">
        <f>IF([1]Accounts!$D$89="","",[1]Accounts!$E$89)</f>
        <v/>
      </c>
      <c r="F88" t="str">
        <f>IF([1]Accounts!$D$89="","",[1]Accounts!$F$89)</f>
        <v/>
      </c>
      <c r="G88" t="str">
        <f>IF([1]Accounts!$D$89="","",[1]Accounts!$G$89)</f>
        <v/>
      </c>
      <c r="T88" t="str">
        <f>IF([2]Baskol!$B$91="","",[2]Baskol!$B$91)</f>
        <v>1405/07/19</v>
      </c>
      <c r="U88" t="str">
        <f>IF([2]Baskol!$C$91="","",[2]Baskol!$C$91)</f>
        <v/>
      </c>
      <c r="V88" t="str">
        <f>IF([2]Baskol!$D$91="","",[2]Baskol!$D$91)</f>
        <v/>
      </c>
      <c r="W88" t="str">
        <f>IF([2]Baskol!$E$91="","",[2]Baskol!$E$91)</f>
        <v>فروش</v>
      </c>
      <c r="X88" t="str">
        <f>IF([2]Baskol!$G$91="","",[2]Baskol!$G$91)</f>
        <v>SL001</v>
      </c>
      <c r="Y88" t="str">
        <f>IF([2]Baskol!$I$91="","",[2]Baskol!$I$91)</f>
        <v/>
      </c>
      <c r="Z88" t="str">
        <f>IF([2]Baskol!$J$91="","",[2]Baskol!$J$91)</f>
        <v/>
      </c>
      <c r="AA88">
        <f>IF([2]Baskol!$K$91="","",[2]Baskol!$K$91)</f>
        <v>3025</v>
      </c>
      <c r="AB88" t="str">
        <f>IF([2]Baskol!$L$91="","",[2]Baskol!$L$91)</f>
        <v/>
      </c>
      <c r="AC88" t="str">
        <f>IF([2]Baskol!$N$91="","",[2]Baskol!$N$91)</f>
        <v/>
      </c>
      <c r="AD88" t="str">
        <f>IF([2]Baskol!$O$91="","",[2]Baskol!$O$91)</f>
        <v/>
      </c>
      <c r="AE88" t="str">
        <f>IF([3]Entry!$C$91="","",[3]Entry!$C$91)</f>
        <v/>
      </c>
      <c r="AF88" t="str">
        <f>IF([3]Entry!$D$91="","",[3]Entry!$D$91)</f>
        <v/>
      </c>
      <c r="AG88" t="str">
        <f>IF([3]Entry!$E$91="","",[3]Entry!$E$91)</f>
        <v/>
      </c>
      <c r="AH88" t="str">
        <f>IF([3]Entry!$G$91="","",[3]Entry!$G$91)</f>
        <v/>
      </c>
      <c r="AI88" t="str">
        <f>IF([3]Entry!$K$91="","",[3]Entry!$K$91)</f>
        <v/>
      </c>
      <c r="AJ88" t="str">
        <f>IF([3]Entry!$L$91="","",[3]Entry!$L$91)</f>
        <v/>
      </c>
      <c r="AK88" t="str">
        <f>IF([3]Entry!$M$91="","",[3]Entry!$M$91)</f>
        <v/>
      </c>
      <c r="AL88" t="str">
        <f>IF([3]Entry!$N$91="","",[3]Entry!$N$91)</f>
        <v/>
      </c>
      <c r="AM88" t="str">
        <f>IF([3]Entry!$R$91="","",[3]Entry!$R$91)</f>
        <v/>
      </c>
    </row>
    <row r="89" spans="1:39" x14ac:dyDescent="0.2">
      <c r="A89" t="str">
        <f>IF([1]Accounts!$D$90="","",[1]Accounts!$A$90)</f>
        <v/>
      </c>
      <c r="B89" t="str">
        <f>IF([1]Accounts!$D$90="","",[1]Accounts!$B$90)</f>
        <v/>
      </c>
      <c r="C89" t="str">
        <f>IF([1]Accounts!$D$90="","",[1]Accounts!$C$90)</f>
        <v/>
      </c>
      <c r="D89" t="str">
        <f>IF([1]Accounts!$D$90="","",[1]Accounts!$D$90)</f>
        <v/>
      </c>
      <c r="E89" t="str">
        <f>IF([1]Accounts!$D$90="","",[1]Accounts!$E$90)</f>
        <v/>
      </c>
      <c r="F89" t="str">
        <f>IF([1]Accounts!$D$90="","",[1]Accounts!$F$90)</f>
        <v/>
      </c>
      <c r="G89" t="str">
        <f>IF([1]Accounts!$D$90="","",[1]Accounts!$G$90)</f>
        <v/>
      </c>
      <c r="T89" t="str">
        <f>IF([2]Baskol!$B$92="","",[2]Baskol!$B$92)</f>
        <v>1405/07/20</v>
      </c>
      <c r="U89" t="str">
        <f>IF([2]Baskol!$C$92="","",[2]Baskol!$C$92)</f>
        <v/>
      </c>
      <c r="V89" t="str">
        <f>IF([2]Baskol!$D$92="","",[2]Baskol!$D$92)</f>
        <v/>
      </c>
      <c r="W89" t="str">
        <f>IF([2]Baskol!$E$92="","",[2]Baskol!$E$92)</f>
        <v>خرید مرکبات</v>
      </c>
      <c r="X89" t="str">
        <f>IF([2]Baskol!$G$92="","",[2]Baskol!$G$92)</f>
        <v>c032</v>
      </c>
      <c r="Y89" t="str">
        <f>IF([2]Baskol!$I$92="","",[2]Baskol!$I$92)</f>
        <v/>
      </c>
      <c r="Z89" t="str">
        <f>IF([2]Baskol!$J$92="","",[2]Baskol!$J$92)</f>
        <v>نارنگی</v>
      </c>
      <c r="AA89">
        <f>IF([2]Baskol!$K$92="","",[2]Baskol!$K$92)</f>
        <v>1915</v>
      </c>
      <c r="AB89">
        <f>IF([2]Baskol!$L$92="","",[2]Baskol!$L$92)</f>
        <v>116</v>
      </c>
      <c r="AC89" t="str">
        <f>IF([2]Baskol!$N$92="","",[2]Baskol!$N$92)</f>
        <v/>
      </c>
      <c r="AD89" t="str">
        <f>IF([2]Baskol!$O$92="","",[2]Baskol!$O$92)</f>
        <v/>
      </c>
      <c r="AE89" t="str">
        <f>IF([3]Entry!$C$92="","",[3]Entry!$C$92)</f>
        <v/>
      </c>
      <c r="AF89" t="str">
        <f>IF([3]Entry!$D$92="","",[3]Entry!$D$92)</f>
        <v/>
      </c>
      <c r="AG89" t="str">
        <f>IF([3]Entry!$E$92="","",[3]Entry!$E$92)</f>
        <v/>
      </c>
      <c r="AH89" t="str">
        <f>IF([3]Entry!$G$92="","",[3]Entry!$G$92)</f>
        <v/>
      </c>
      <c r="AI89" t="str">
        <f>IF([3]Entry!$K$92="","",[3]Entry!$K$92)</f>
        <v/>
      </c>
      <c r="AJ89" t="str">
        <f>IF([3]Entry!$L$92="","",[3]Entry!$L$92)</f>
        <v/>
      </c>
      <c r="AK89" t="str">
        <f>IF([3]Entry!$M$92="","",[3]Entry!$M$92)</f>
        <v/>
      </c>
      <c r="AL89" t="str">
        <f>IF([3]Entry!$N$92="","",[3]Entry!$N$92)</f>
        <v/>
      </c>
      <c r="AM89" t="str">
        <f>IF([3]Entry!$R$92="","",[3]Entry!$R$92)</f>
        <v/>
      </c>
    </row>
    <row r="90" spans="1:39" x14ac:dyDescent="0.2">
      <c r="A90" t="str">
        <f>IF([1]Accounts!$D$91="","",[1]Accounts!$A$91)</f>
        <v/>
      </c>
      <c r="B90" t="str">
        <f>IF([1]Accounts!$D$91="","",[1]Accounts!$B$91)</f>
        <v/>
      </c>
      <c r="C90" t="str">
        <f>IF([1]Accounts!$D$91="","",[1]Accounts!$C$91)</f>
        <v/>
      </c>
      <c r="D90" t="str">
        <f>IF([1]Accounts!$D$91="","",[1]Accounts!$D$91)</f>
        <v/>
      </c>
      <c r="E90" t="str">
        <f>IF([1]Accounts!$D$91="","",[1]Accounts!$E$91)</f>
        <v/>
      </c>
      <c r="F90" t="str">
        <f>IF([1]Accounts!$D$91="","",[1]Accounts!$F$91)</f>
        <v/>
      </c>
      <c r="G90" t="str">
        <f>IF([1]Accounts!$D$91="","",[1]Accounts!$G$91)</f>
        <v/>
      </c>
      <c r="T90" t="str">
        <f>IF([2]Baskol!$B$93="","",[2]Baskol!$B$93)</f>
        <v>1405/07/20</v>
      </c>
      <c r="U90" t="str">
        <f>IF([2]Baskol!$C$93="","",[2]Baskol!$C$93)</f>
        <v/>
      </c>
      <c r="V90" t="str">
        <f>IF([2]Baskol!$D$93="","",[2]Baskol!$D$93)</f>
        <v/>
      </c>
      <c r="W90" t="str">
        <f>IF([2]Baskol!$E$93="","",[2]Baskol!$E$93)</f>
        <v>خرید مرکبات</v>
      </c>
      <c r="X90" t="str">
        <f>IF([2]Baskol!$G$93="","",[2]Baskol!$G$93)</f>
        <v>c032</v>
      </c>
      <c r="Y90" t="str">
        <f>IF([2]Baskol!$I$93="","",[2]Baskol!$I$93)</f>
        <v/>
      </c>
      <c r="Z90" t="str">
        <f>IF([2]Baskol!$J$93="","",[2]Baskol!$J$93)</f>
        <v>نارنگی</v>
      </c>
      <c r="AA90">
        <f>IF([2]Baskol!$K$93="","",[2]Baskol!$K$93)</f>
        <v>2915</v>
      </c>
      <c r="AB90">
        <f>IF([2]Baskol!$L$93="","",[2]Baskol!$L$93)</f>
        <v>187</v>
      </c>
      <c r="AC90" t="str">
        <f>IF([2]Baskol!$N$93="","",[2]Baskol!$N$93)</f>
        <v/>
      </c>
      <c r="AD90" t="str">
        <f>IF([2]Baskol!$O$93="","",[2]Baskol!$O$93)</f>
        <v/>
      </c>
      <c r="AE90" t="str">
        <f>IF([3]Entry!$C$93="","",[3]Entry!$C$93)</f>
        <v/>
      </c>
      <c r="AF90" t="str">
        <f>IF([3]Entry!$D$93="","",[3]Entry!$D$93)</f>
        <v/>
      </c>
      <c r="AG90" t="str">
        <f>IF([3]Entry!$E$93="","",[3]Entry!$E$93)</f>
        <v/>
      </c>
      <c r="AH90" t="str">
        <f>IF([3]Entry!$G$93="","",[3]Entry!$G$93)</f>
        <v/>
      </c>
      <c r="AI90" t="str">
        <f>IF([3]Entry!$K$93="","",[3]Entry!$K$93)</f>
        <v/>
      </c>
      <c r="AJ90" t="str">
        <f>IF([3]Entry!$L$93="","",[3]Entry!$L$93)</f>
        <v/>
      </c>
      <c r="AK90" t="str">
        <f>IF([3]Entry!$M$93="","",[3]Entry!$M$93)</f>
        <v/>
      </c>
      <c r="AL90" t="str">
        <f>IF([3]Entry!$N$93="","",[3]Entry!$N$93)</f>
        <v/>
      </c>
      <c r="AM90" t="str">
        <f>IF([3]Entry!$R$93="","",[3]Entry!$R$93)</f>
        <v/>
      </c>
    </row>
    <row r="91" spans="1:39" x14ac:dyDescent="0.2">
      <c r="A91" t="str">
        <f>IF([1]Accounts!$D$92="","",[1]Accounts!$A$92)</f>
        <v/>
      </c>
      <c r="B91" t="str">
        <f>IF([1]Accounts!$D$92="","",[1]Accounts!$B$92)</f>
        <v/>
      </c>
      <c r="C91" t="str">
        <f>IF([1]Accounts!$D$92="","",[1]Accounts!$C$92)</f>
        <v/>
      </c>
      <c r="D91" t="str">
        <f>IF([1]Accounts!$D$92="","",[1]Accounts!$D$92)</f>
        <v/>
      </c>
      <c r="E91" t="str">
        <f>IF([1]Accounts!$D$92="","",[1]Accounts!$E$92)</f>
        <v/>
      </c>
      <c r="F91" t="str">
        <f>IF([1]Accounts!$D$92="","",[1]Accounts!$F$92)</f>
        <v/>
      </c>
      <c r="G91" t="str">
        <f>IF([1]Accounts!$D$92="","",[1]Accounts!$G$92)</f>
        <v/>
      </c>
      <c r="T91" t="str">
        <f>IF([2]Baskol!$B$94="","",[2]Baskol!$B$94)</f>
        <v>1405/07/20</v>
      </c>
      <c r="U91" t="str">
        <f>IF([2]Baskol!$C$94="","",[2]Baskol!$C$94)</f>
        <v/>
      </c>
      <c r="V91" t="str">
        <f>IF([2]Baskol!$D$94="","",[2]Baskol!$D$94)</f>
        <v/>
      </c>
      <c r="W91" t="str">
        <f>IF([2]Baskol!$E$94="","",[2]Baskol!$E$94)</f>
        <v>فروش</v>
      </c>
      <c r="X91" t="str">
        <f>IF([2]Baskol!$G$94="","",[2]Baskol!$G$94)</f>
        <v>SL001</v>
      </c>
      <c r="Y91" t="str">
        <f>IF([2]Baskol!$I$94="","",[2]Baskol!$I$94)</f>
        <v/>
      </c>
      <c r="Z91" t="str">
        <f>IF([2]Baskol!$J$94="","",[2]Baskol!$J$94)</f>
        <v/>
      </c>
      <c r="AA91">
        <f>IF([2]Baskol!$K$94="","",[2]Baskol!$K$94)</f>
        <v>3045</v>
      </c>
      <c r="AB91" t="str">
        <f>IF([2]Baskol!$L$94="","",[2]Baskol!$L$94)</f>
        <v/>
      </c>
      <c r="AC91" t="str">
        <f>IF([2]Baskol!$N$94="","",[2]Baskol!$N$94)</f>
        <v/>
      </c>
      <c r="AD91" t="str">
        <f>IF([2]Baskol!$O$94="","",[2]Baskol!$O$94)</f>
        <v/>
      </c>
      <c r="AE91" t="str">
        <f>IF([3]Entry!$C$94="","",[3]Entry!$C$94)</f>
        <v/>
      </c>
      <c r="AF91" t="str">
        <f>IF([3]Entry!$D$94="","",[3]Entry!$D$94)</f>
        <v/>
      </c>
      <c r="AG91" t="str">
        <f>IF([3]Entry!$E$94="","",[3]Entry!$E$94)</f>
        <v/>
      </c>
      <c r="AH91" t="str">
        <f>IF([3]Entry!$G$94="","",[3]Entry!$G$94)</f>
        <v/>
      </c>
      <c r="AI91" t="str">
        <f>IF([3]Entry!$K$94="","",[3]Entry!$K$94)</f>
        <v/>
      </c>
      <c r="AJ91" t="str">
        <f>IF([3]Entry!$L$94="","",[3]Entry!$L$94)</f>
        <v/>
      </c>
      <c r="AK91" t="str">
        <f>IF([3]Entry!$M$94="","",[3]Entry!$M$94)</f>
        <v/>
      </c>
      <c r="AL91" t="str">
        <f>IF([3]Entry!$N$94="","",[3]Entry!$N$94)</f>
        <v/>
      </c>
      <c r="AM91" t="str">
        <f>IF([3]Entry!$R$94="","",[3]Entry!$R$94)</f>
        <v/>
      </c>
    </row>
    <row r="92" spans="1:39" x14ac:dyDescent="0.2">
      <c r="A92" t="str">
        <f>IF([1]Accounts!$D$93="","",[1]Accounts!$A$93)</f>
        <v/>
      </c>
      <c r="B92" t="str">
        <f>IF([1]Accounts!$D$93="","",[1]Accounts!$B$93)</f>
        <v/>
      </c>
      <c r="C92" t="str">
        <f>IF([1]Accounts!$D$93="","",[1]Accounts!$C$93)</f>
        <v/>
      </c>
      <c r="D92" t="str">
        <f>IF([1]Accounts!$D$93="","",[1]Accounts!$D$93)</f>
        <v/>
      </c>
      <c r="E92" t="str">
        <f>IF([1]Accounts!$D$93="","",[1]Accounts!$E$93)</f>
        <v/>
      </c>
      <c r="F92" t="str">
        <f>IF([1]Accounts!$D$93="","",[1]Accounts!$F$93)</f>
        <v/>
      </c>
      <c r="G92" t="str">
        <f>IF([1]Accounts!$D$93="","",[1]Accounts!$G$93)</f>
        <v/>
      </c>
      <c r="T92" t="str">
        <f>IF([2]Baskol!$B$95="","",[2]Baskol!$B$95)</f>
        <v>1405/07/20</v>
      </c>
      <c r="U92" t="str">
        <f>IF([2]Baskol!$C$95="","",[2]Baskol!$C$95)</f>
        <v/>
      </c>
      <c r="V92" t="str">
        <f>IF([2]Baskol!$D$95="","",[2]Baskol!$D$95)</f>
        <v/>
      </c>
      <c r="W92" t="str">
        <f>IF([2]Baskol!$E$95="","",[2]Baskol!$E$95)</f>
        <v>فروش</v>
      </c>
      <c r="X92" t="str">
        <f>IF([2]Baskol!$G$95="","",[2]Baskol!$G$95)</f>
        <v>SL003</v>
      </c>
      <c r="Y92" t="str">
        <f>IF([2]Baskol!$I$95="","",[2]Baskol!$I$95)</f>
        <v/>
      </c>
      <c r="Z92" t="str">
        <f>IF([2]Baskol!$J$95="","",[2]Baskol!$J$95)</f>
        <v/>
      </c>
      <c r="AA92">
        <f>IF([2]Baskol!$K$95="","",[2]Baskol!$K$95)</f>
        <v>3035</v>
      </c>
      <c r="AB92" t="str">
        <f>IF([2]Baskol!$L$95="","",[2]Baskol!$L$95)</f>
        <v/>
      </c>
      <c r="AC92" t="str">
        <f>IF([2]Baskol!$N$95="","",[2]Baskol!$N$95)</f>
        <v/>
      </c>
      <c r="AD92" t="str">
        <f>IF([2]Baskol!$O$95="","",[2]Baskol!$O$95)</f>
        <v/>
      </c>
      <c r="AE92" t="str">
        <f>IF([3]Entry!$C$95="","",[3]Entry!$C$95)</f>
        <v/>
      </c>
      <c r="AF92" t="str">
        <f>IF([3]Entry!$D$95="","",[3]Entry!$D$95)</f>
        <v/>
      </c>
      <c r="AG92" t="str">
        <f>IF([3]Entry!$E$95="","",[3]Entry!$E$95)</f>
        <v/>
      </c>
      <c r="AH92" t="str">
        <f>IF([3]Entry!$G$95="","",[3]Entry!$G$95)</f>
        <v/>
      </c>
      <c r="AI92" t="str">
        <f>IF([3]Entry!$K$95="","",[3]Entry!$K$95)</f>
        <v/>
      </c>
      <c r="AJ92" t="str">
        <f>IF([3]Entry!$L$95="","",[3]Entry!$L$95)</f>
        <v/>
      </c>
      <c r="AK92" t="str">
        <f>IF([3]Entry!$M$95="","",[3]Entry!$M$95)</f>
        <v/>
      </c>
      <c r="AL92" t="str">
        <f>IF([3]Entry!$N$95="","",[3]Entry!$N$95)</f>
        <v/>
      </c>
      <c r="AM92" t="str">
        <f>IF([3]Entry!$R$95="","",[3]Entry!$R$95)</f>
        <v/>
      </c>
    </row>
    <row r="93" spans="1:39" x14ac:dyDescent="0.2">
      <c r="A93" t="str">
        <f>IF([1]Accounts!$D$94="","",[1]Accounts!$A$94)</f>
        <v/>
      </c>
      <c r="B93" t="str">
        <f>IF([1]Accounts!$D$94="","",[1]Accounts!$B$94)</f>
        <v/>
      </c>
      <c r="C93" t="str">
        <f>IF([1]Accounts!$D$94="","",[1]Accounts!$C$94)</f>
        <v/>
      </c>
      <c r="D93" t="str">
        <f>IF([1]Accounts!$D$94="","",[1]Accounts!$D$94)</f>
        <v/>
      </c>
      <c r="E93" t="str">
        <f>IF([1]Accounts!$D$94="","",[1]Accounts!$E$94)</f>
        <v/>
      </c>
      <c r="F93" t="str">
        <f>IF([1]Accounts!$D$94="","",[1]Accounts!$F$94)</f>
        <v/>
      </c>
      <c r="G93" t="str">
        <f>IF([1]Accounts!$D$94="","",[1]Accounts!$G$94)</f>
        <v/>
      </c>
      <c r="T93" t="str">
        <f>IF([2]Baskol!$B$96="","",[2]Baskol!$B$96)</f>
        <v>1405/07/20</v>
      </c>
      <c r="U93" t="str">
        <f>IF([2]Baskol!$C$96="","",[2]Baskol!$C$96)</f>
        <v/>
      </c>
      <c r="V93" t="str">
        <f>IF([2]Baskol!$D$96="","",[2]Baskol!$D$96)</f>
        <v/>
      </c>
      <c r="W93" t="str">
        <f>IF([2]Baskol!$E$96="","",[2]Baskol!$E$96)</f>
        <v>خرید مرکبات</v>
      </c>
      <c r="X93" t="str">
        <f>IF([2]Baskol!$G$96="","",[2]Baskol!$G$96)</f>
        <v>c037</v>
      </c>
      <c r="Y93" t="str">
        <f>IF([2]Baskol!$I$96="","",[2]Baskol!$I$96)</f>
        <v/>
      </c>
      <c r="Z93" t="str">
        <f>IF([2]Baskol!$J$96="","",[2]Baskol!$J$96)</f>
        <v>نارنگی</v>
      </c>
      <c r="AA93">
        <f>IF([2]Baskol!$K$96="","",[2]Baskol!$K$96)</f>
        <v>107</v>
      </c>
      <c r="AB93">
        <f>IF([2]Baskol!$L$96="","",[2]Baskol!$L$96)</f>
        <v>6</v>
      </c>
      <c r="AC93" t="str">
        <f>IF([2]Baskol!$N$96="","",[2]Baskol!$N$96)</f>
        <v/>
      </c>
      <c r="AD93" t="str">
        <f>IF([2]Baskol!$O$96="","",[2]Baskol!$O$96)</f>
        <v/>
      </c>
      <c r="AE93" t="str">
        <f>IF([3]Entry!$C$96="","",[3]Entry!$C$96)</f>
        <v/>
      </c>
      <c r="AF93" t="str">
        <f>IF([3]Entry!$D$96="","",[3]Entry!$D$96)</f>
        <v/>
      </c>
      <c r="AG93" t="str">
        <f>IF([3]Entry!$E$96="","",[3]Entry!$E$96)</f>
        <v/>
      </c>
      <c r="AH93" t="str">
        <f>IF([3]Entry!$G$96="","",[3]Entry!$G$96)</f>
        <v/>
      </c>
      <c r="AI93" t="str">
        <f>IF([3]Entry!$K$96="","",[3]Entry!$K$96)</f>
        <v/>
      </c>
      <c r="AJ93" t="str">
        <f>IF([3]Entry!$L$96="","",[3]Entry!$L$96)</f>
        <v/>
      </c>
      <c r="AK93" t="str">
        <f>IF([3]Entry!$M$96="","",[3]Entry!$M$96)</f>
        <v/>
      </c>
      <c r="AL93" t="str">
        <f>IF([3]Entry!$N$96="","",[3]Entry!$N$96)</f>
        <v/>
      </c>
      <c r="AM93" t="str">
        <f>IF([3]Entry!$R$96="","",[3]Entry!$R$96)</f>
        <v/>
      </c>
    </row>
    <row r="94" spans="1:39" x14ac:dyDescent="0.2">
      <c r="A94" t="str">
        <f>IF([1]Accounts!$D$95="","",[1]Accounts!$A$95)</f>
        <v/>
      </c>
      <c r="B94" t="str">
        <f>IF([1]Accounts!$D$95="","",[1]Accounts!$B$95)</f>
        <v/>
      </c>
      <c r="C94" t="str">
        <f>IF([1]Accounts!$D$95="","",[1]Accounts!$C$95)</f>
        <v/>
      </c>
      <c r="D94" t="str">
        <f>IF([1]Accounts!$D$95="","",[1]Accounts!$D$95)</f>
        <v/>
      </c>
      <c r="E94" t="str">
        <f>IF([1]Accounts!$D$95="","",[1]Accounts!$E$95)</f>
        <v/>
      </c>
      <c r="F94" t="str">
        <f>IF([1]Accounts!$D$95="","",[1]Accounts!$F$95)</f>
        <v/>
      </c>
      <c r="G94" t="str">
        <f>IF([1]Accounts!$D$95="","",[1]Accounts!$G$95)</f>
        <v/>
      </c>
      <c r="T94" t="str">
        <f>IF([2]Baskol!$B$97="","",[2]Baskol!$B$97)</f>
        <v>1405/07/20</v>
      </c>
      <c r="U94" t="str">
        <f>IF([2]Baskol!$C$97="","",[2]Baskol!$C$97)</f>
        <v/>
      </c>
      <c r="V94" t="str">
        <f>IF([2]Baskol!$D$97="","",[2]Baskol!$D$97)</f>
        <v/>
      </c>
      <c r="W94" t="str">
        <f>IF([2]Baskol!$E$97="","",[2]Baskol!$E$97)</f>
        <v>خرید مرکبات</v>
      </c>
      <c r="X94" t="str">
        <f>IF([2]Baskol!$G$97="","",[2]Baskol!$G$97)</f>
        <v>c032</v>
      </c>
      <c r="Y94" t="str">
        <f>IF([2]Baskol!$I$97="","",[2]Baskol!$I$97)</f>
        <v/>
      </c>
      <c r="Z94" t="str">
        <f>IF([2]Baskol!$J$97="","",[2]Baskol!$J$97)</f>
        <v>نارنگی</v>
      </c>
      <c r="AA94">
        <f>IF([2]Baskol!$K$97="","",[2]Baskol!$K$97)</f>
        <v>2875</v>
      </c>
      <c r="AB94">
        <f>IF([2]Baskol!$L$97="","",[2]Baskol!$L$97)</f>
        <v>187</v>
      </c>
      <c r="AC94" t="str">
        <f>IF([2]Baskol!$N$97="","",[2]Baskol!$N$97)</f>
        <v/>
      </c>
      <c r="AD94" t="str">
        <f>IF([2]Baskol!$O$97="","",[2]Baskol!$O$97)</f>
        <v/>
      </c>
      <c r="AE94" t="str">
        <f>IF([3]Entry!$C$97="","",[3]Entry!$C$97)</f>
        <v/>
      </c>
      <c r="AF94" t="str">
        <f>IF([3]Entry!$D$97="","",[3]Entry!$D$97)</f>
        <v/>
      </c>
      <c r="AG94" t="str">
        <f>IF([3]Entry!$E$97="","",[3]Entry!$E$97)</f>
        <v/>
      </c>
      <c r="AH94" t="str">
        <f>IF([3]Entry!$G$97="","",[3]Entry!$G$97)</f>
        <v/>
      </c>
      <c r="AI94" t="str">
        <f>IF([3]Entry!$K$97="","",[3]Entry!$K$97)</f>
        <v/>
      </c>
      <c r="AJ94" t="str">
        <f>IF([3]Entry!$L$97="","",[3]Entry!$L$97)</f>
        <v/>
      </c>
      <c r="AK94" t="str">
        <f>IF([3]Entry!$M$97="","",[3]Entry!$M$97)</f>
        <v/>
      </c>
      <c r="AL94" t="str">
        <f>IF([3]Entry!$N$97="","",[3]Entry!$N$97)</f>
        <v/>
      </c>
      <c r="AM94" t="str">
        <f>IF([3]Entry!$R$97="","",[3]Entry!$R$97)</f>
        <v/>
      </c>
    </row>
    <row r="95" spans="1:39" x14ac:dyDescent="0.2">
      <c r="A95" t="str">
        <f>IF([1]Accounts!$D$96="","",[1]Accounts!$A$96)</f>
        <v/>
      </c>
      <c r="B95" t="str">
        <f>IF([1]Accounts!$D$96="","",[1]Accounts!$B$96)</f>
        <v/>
      </c>
      <c r="C95" t="str">
        <f>IF([1]Accounts!$D$96="","",[1]Accounts!$C$96)</f>
        <v/>
      </c>
      <c r="D95" t="str">
        <f>IF([1]Accounts!$D$96="","",[1]Accounts!$D$96)</f>
        <v/>
      </c>
      <c r="E95" t="str">
        <f>IF([1]Accounts!$D$96="","",[1]Accounts!$E$96)</f>
        <v/>
      </c>
      <c r="F95" t="str">
        <f>IF([1]Accounts!$D$96="","",[1]Accounts!$F$96)</f>
        <v/>
      </c>
      <c r="G95" t="str">
        <f>IF([1]Accounts!$D$96="","",[1]Accounts!$G$96)</f>
        <v/>
      </c>
      <c r="T95" t="str">
        <f>IF([2]Baskol!$B$98="","",[2]Baskol!$B$98)</f>
        <v>1405/07/20</v>
      </c>
      <c r="U95" t="str">
        <f>IF([2]Baskol!$C$98="","",[2]Baskol!$C$98)</f>
        <v/>
      </c>
      <c r="V95" t="str">
        <f>IF([2]Baskol!$D$98="","",[2]Baskol!$D$98)</f>
        <v/>
      </c>
      <c r="W95" t="str">
        <f>IF([2]Baskol!$E$98="","",[2]Baskol!$E$98)</f>
        <v>خرید مرکبات</v>
      </c>
      <c r="X95" t="str">
        <f>IF([2]Baskol!$G$98="","",[2]Baskol!$G$98)</f>
        <v>c038</v>
      </c>
      <c r="Y95" t="str">
        <f>IF([2]Baskol!$I$98="","",[2]Baskol!$I$98)</f>
        <v/>
      </c>
      <c r="Z95" t="str">
        <f>IF([2]Baskol!$J$98="","",[2]Baskol!$J$98)</f>
        <v>خرمالو</v>
      </c>
      <c r="AA95">
        <f>IF([2]Baskol!$K$98="","",[2]Baskol!$K$98)</f>
        <v>130</v>
      </c>
      <c r="AB95">
        <f>IF([2]Baskol!$L$98="","",[2]Baskol!$L$98)</f>
        <v>7</v>
      </c>
      <c r="AC95" t="str">
        <f>IF([2]Baskol!$N$98="","",[2]Baskol!$N$98)</f>
        <v/>
      </c>
      <c r="AD95" t="str">
        <f>IF([2]Baskol!$O$98="","",[2]Baskol!$O$98)</f>
        <v/>
      </c>
      <c r="AE95" t="str">
        <f>IF([3]Entry!$C$98="","",[3]Entry!$C$98)</f>
        <v/>
      </c>
      <c r="AF95" t="str">
        <f>IF([3]Entry!$D$98="","",[3]Entry!$D$98)</f>
        <v/>
      </c>
      <c r="AG95" t="str">
        <f>IF([3]Entry!$E$98="","",[3]Entry!$E$98)</f>
        <v/>
      </c>
      <c r="AH95" t="str">
        <f>IF([3]Entry!$G$98="","",[3]Entry!$G$98)</f>
        <v/>
      </c>
      <c r="AI95" t="str">
        <f>IF([3]Entry!$K$98="","",[3]Entry!$K$98)</f>
        <v/>
      </c>
      <c r="AJ95" t="str">
        <f>IF([3]Entry!$L$98="","",[3]Entry!$L$98)</f>
        <v/>
      </c>
      <c r="AK95" t="str">
        <f>IF([3]Entry!$M$98="","",[3]Entry!$M$98)</f>
        <v/>
      </c>
      <c r="AL95" t="str">
        <f>IF([3]Entry!$N$98="","",[3]Entry!$N$98)</f>
        <v/>
      </c>
      <c r="AM95" t="str">
        <f>IF([3]Entry!$R$98="","",[3]Entry!$R$98)</f>
        <v/>
      </c>
    </row>
    <row r="96" spans="1:39" x14ac:dyDescent="0.2">
      <c r="A96" t="str">
        <f>IF([1]Accounts!$D$97="","",[1]Accounts!$A$97)</f>
        <v/>
      </c>
      <c r="B96" t="str">
        <f>IF([1]Accounts!$D$97="","",[1]Accounts!$B$97)</f>
        <v/>
      </c>
      <c r="C96" t="str">
        <f>IF([1]Accounts!$D$97="","",[1]Accounts!$C$97)</f>
        <v/>
      </c>
      <c r="D96" t="str">
        <f>IF([1]Accounts!$D$97="","",[1]Accounts!$D$97)</f>
        <v/>
      </c>
      <c r="E96" t="str">
        <f>IF([1]Accounts!$D$97="","",[1]Accounts!$E$97)</f>
        <v/>
      </c>
      <c r="F96" t="str">
        <f>IF([1]Accounts!$D$97="","",[1]Accounts!$F$97)</f>
        <v/>
      </c>
      <c r="G96" t="str">
        <f>IF([1]Accounts!$D$97="","",[1]Accounts!$G$97)</f>
        <v/>
      </c>
      <c r="T96" t="str">
        <f>IF([2]Baskol!$B$99="","",[2]Baskol!$B$99)</f>
        <v>1405/07/19</v>
      </c>
      <c r="U96" t="str">
        <f>IF([2]Baskol!$C$99="","",[2]Baskol!$C$99)</f>
        <v/>
      </c>
      <c r="V96" t="str">
        <f>IF([2]Baskol!$D$99="","",[2]Baskol!$D$99)</f>
        <v/>
      </c>
      <c r="W96" t="str">
        <f>IF([2]Baskol!$E$99="","",[2]Baskol!$E$99)</f>
        <v>خرید مرکبات</v>
      </c>
      <c r="X96" t="str">
        <f>IF([2]Baskol!$G$99="","",[2]Baskol!$G$99)</f>
        <v>c032</v>
      </c>
      <c r="Y96" t="str">
        <f>IF([2]Baskol!$I$99="","",[2]Baskol!$I$99)</f>
        <v/>
      </c>
      <c r="Z96" t="str">
        <f>IF([2]Baskol!$J$99="","",[2]Baskol!$J$99)</f>
        <v>نارنگی</v>
      </c>
      <c r="AA96">
        <f>IF([2]Baskol!$K$99="","",[2]Baskol!$K$99)</f>
        <v>2285</v>
      </c>
      <c r="AB96">
        <f>IF([2]Baskol!$L$99="","",[2]Baskol!$L$99)</f>
        <v>147</v>
      </c>
      <c r="AC96" t="str">
        <f>IF([2]Baskol!$N$99="","",[2]Baskol!$N$99)</f>
        <v/>
      </c>
      <c r="AD96" t="str">
        <f>IF([2]Baskol!$O$99="","",[2]Baskol!$O$99)</f>
        <v/>
      </c>
      <c r="AE96" t="str">
        <f>IF([3]Entry!$C$99="","",[3]Entry!$C$99)</f>
        <v/>
      </c>
      <c r="AF96" t="str">
        <f>IF([3]Entry!$D$99="","",[3]Entry!$D$99)</f>
        <v/>
      </c>
      <c r="AG96" t="str">
        <f>IF([3]Entry!$E$99="","",[3]Entry!$E$99)</f>
        <v/>
      </c>
      <c r="AH96" t="str">
        <f>IF([3]Entry!$G$99="","",[3]Entry!$G$99)</f>
        <v/>
      </c>
      <c r="AI96" t="str">
        <f>IF([3]Entry!$K$99="","",[3]Entry!$K$99)</f>
        <v/>
      </c>
      <c r="AJ96" t="str">
        <f>IF([3]Entry!$L$99="","",[3]Entry!$L$99)</f>
        <v/>
      </c>
      <c r="AK96" t="str">
        <f>IF([3]Entry!$M$99="","",[3]Entry!$M$99)</f>
        <v/>
      </c>
      <c r="AL96" t="str">
        <f>IF([3]Entry!$N$99="","",[3]Entry!$N$99)</f>
        <v/>
      </c>
      <c r="AM96" t="str">
        <f>IF([3]Entry!$R$99="","",[3]Entry!$R$99)</f>
        <v/>
      </c>
    </row>
    <row r="97" spans="1:39" x14ac:dyDescent="0.2">
      <c r="A97" t="str">
        <f>IF([1]Accounts!$D$98="","",[1]Accounts!$A$98)</f>
        <v/>
      </c>
      <c r="B97" t="str">
        <f>IF([1]Accounts!$D$98="","",[1]Accounts!$B$98)</f>
        <v/>
      </c>
      <c r="C97" t="str">
        <f>IF([1]Accounts!$D$98="","",[1]Accounts!$C$98)</f>
        <v/>
      </c>
      <c r="D97" t="str">
        <f>IF([1]Accounts!$D$98="","",[1]Accounts!$D$98)</f>
        <v/>
      </c>
      <c r="E97" t="str">
        <f>IF([1]Accounts!$D$98="","",[1]Accounts!$E$98)</f>
        <v/>
      </c>
      <c r="F97" t="str">
        <f>IF([1]Accounts!$D$98="","",[1]Accounts!$F$98)</f>
        <v/>
      </c>
      <c r="G97" t="str">
        <f>IF([1]Accounts!$D$98="","",[1]Accounts!$G$98)</f>
        <v/>
      </c>
      <c r="T97" t="str">
        <f>IF([2]Baskol!$B$100="","",[2]Baskol!$B$100)</f>
        <v>1405/07/21</v>
      </c>
      <c r="U97" t="str">
        <f>IF([2]Baskol!$C$100="","",[2]Baskol!$C$100)</f>
        <v/>
      </c>
      <c r="V97" t="str">
        <f>IF([2]Baskol!$D$100="","",[2]Baskol!$D$100)</f>
        <v/>
      </c>
      <c r="W97" t="str">
        <f>IF([2]Baskol!$E$100="","",[2]Baskol!$E$100)</f>
        <v>خرید مرکبات</v>
      </c>
      <c r="X97" t="str">
        <f>IF([2]Baskol!$G$100="","",[2]Baskol!$G$100)</f>
        <v>c032</v>
      </c>
      <c r="Y97" t="str">
        <f>IF([2]Baskol!$I$100="","",[2]Baskol!$I$100)</f>
        <v/>
      </c>
      <c r="Z97" t="str">
        <f>IF([2]Baskol!$J$100="","",[2]Baskol!$J$100)</f>
        <v>نارنگی</v>
      </c>
      <c r="AA97">
        <f>IF([2]Baskol!$K$100="","",[2]Baskol!$K$100)</f>
        <v>2260</v>
      </c>
      <c r="AB97">
        <f>IF([2]Baskol!$L$100="","",[2]Baskol!$L$100)</f>
        <v>149</v>
      </c>
      <c r="AC97" t="str">
        <f>IF([2]Baskol!$N$100="","",[2]Baskol!$N$100)</f>
        <v/>
      </c>
      <c r="AD97" t="str">
        <f>IF([2]Baskol!$O$100="","",[2]Baskol!$O$100)</f>
        <v/>
      </c>
      <c r="AE97" t="str">
        <f>IF([3]Entry!$C$100="","",[3]Entry!$C$100)</f>
        <v/>
      </c>
      <c r="AF97" t="str">
        <f>IF([3]Entry!$D$100="","",[3]Entry!$D$100)</f>
        <v/>
      </c>
      <c r="AG97" t="str">
        <f>IF([3]Entry!$E$100="","",[3]Entry!$E$100)</f>
        <v/>
      </c>
      <c r="AH97" t="str">
        <f>IF([3]Entry!$G$100="","",[3]Entry!$G$100)</f>
        <v/>
      </c>
      <c r="AI97" t="str">
        <f>IF([3]Entry!$K$100="","",[3]Entry!$K$100)</f>
        <v/>
      </c>
      <c r="AJ97" t="str">
        <f>IF([3]Entry!$L$100="","",[3]Entry!$L$100)</f>
        <v/>
      </c>
      <c r="AK97" t="str">
        <f>IF([3]Entry!$M$100="","",[3]Entry!$M$100)</f>
        <v/>
      </c>
      <c r="AL97" t="str">
        <f>IF([3]Entry!$N$100="","",[3]Entry!$N$100)</f>
        <v/>
      </c>
      <c r="AM97" t="str">
        <f>IF([3]Entry!$R$100="","",[3]Entry!$R$100)</f>
        <v/>
      </c>
    </row>
    <row r="98" spans="1:39" x14ac:dyDescent="0.2">
      <c r="A98" t="str">
        <f>IF([1]Accounts!$D$99="","",[1]Accounts!$A$99)</f>
        <v/>
      </c>
      <c r="B98" t="str">
        <f>IF([1]Accounts!$D$99="","",[1]Accounts!$B$99)</f>
        <v/>
      </c>
      <c r="C98" t="str">
        <f>IF([1]Accounts!$D$99="","",[1]Accounts!$C$99)</f>
        <v/>
      </c>
      <c r="D98" t="str">
        <f>IF([1]Accounts!$D$99="","",[1]Accounts!$D$99)</f>
        <v/>
      </c>
      <c r="E98" t="str">
        <f>IF([1]Accounts!$D$99="","",[1]Accounts!$E$99)</f>
        <v/>
      </c>
      <c r="F98" t="str">
        <f>IF([1]Accounts!$D$99="","",[1]Accounts!$F$99)</f>
        <v/>
      </c>
      <c r="G98" t="str">
        <f>IF([1]Accounts!$D$99="","",[1]Accounts!$G$99)</f>
        <v/>
      </c>
      <c r="T98" t="str">
        <f>IF([2]Baskol!$B$101="","",[2]Baskol!$B$101)</f>
        <v>1405/07/21</v>
      </c>
      <c r="U98" t="str">
        <f>IF([2]Baskol!$C$101="","",[2]Baskol!$C$101)</f>
        <v/>
      </c>
      <c r="V98" t="str">
        <f>IF([2]Baskol!$D$101="","",[2]Baskol!$D$101)</f>
        <v/>
      </c>
      <c r="W98" t="str">
        <f>IF([2]Baskol!$E$101="","",[2]Baskol!$E$101)</f>
        <v>خرید مرکبات</v>
      </c>
      <c r="X98" t="str">
        <f>IF([2]Baskol!$G$101="","",[2]Baskol!$G$101)</f>
        <v>c039</v>
      </c>
      <c r="Y98" t="str">
        <f>IF([2]Baskol!$I$101="","",[2]Baskol!$I$101)</f>
        <v/>
      </c>
      <c r="Z98" t="str">
        <f>IF([2]Baskol!$J$101="","",[2]Baskol!$J$101)</f>
        <v>خرمالو</v>
      </c>
      <c r="AA98">
        <f>IF([2]Baskol!$K$101="","",[2]Baskol!$K$101)</f>
        <v>364</v>
      </c>
      <c r="AB98">
        <f>IF([2]Baskol!$L$101="","",[2]Baskol!$L$101)</f>
        <v>20</v>
      </c>
      <c r="AC98" t="str">
        <f>IF([2]Baskol!$N$101="","",[2]Baskol!$N$101)</f>
        <v/>
      </c>
      <c r="AD98" t="str">
        <f>IF([2]Baskol!$O$101="","",[2]Baskol!$O$101)</f>
        <v/>
      </c>
      <c r="AE98" t="str">
        <f>IF([3]Entry!$C$101="","",[3]Entry!$C$101)</f>
        <v/>
      </c>
      <c r="AF98" t="str">
        <f>IF([3]Entry!$D$101="","",[3]Entry!$D$101)</f>
        <v/>
      </c>
      <c r="AG98" t="str">
        <f>IF([3]Entry!$E$101="","",[3]Entry!$E$101)</f>
        <v/>
      </c>
      <c r="AH98" t="str">
        <f>IF([3]Entry!$G$101="","",[3]Entry!$G$101)</f>
        <v/>
      </c>
      <c r="AI98" t="str">
        <f>IF([3]Entry!$K$101="","",[3]Entry!$K$101)</f>
        <v/>
      </c>
      <c r="AJ98" t="str">
        <f>IF([3]Entry!$L$101="","",[3]Entry!$L$101)</f>
        <v/>
      </c>
      <c r="AK98" t="str">
        <f>IF([3]Entry!$M$101="","",[3]Entry!$M$101)</f>
        <v/>
      </c>
      <c r="AL98" t="str">
        <f>IF([3]Entry!$N$101="","",[3]Entry!$N$101)</f>
        <v/>
      </c>
      <c r="AM98" t="str">
        <f>IF([3]Entry!$R$101="","",[3]Entry!$R$101)</f>
        <v/>
      </c>
    </row>
    <row r="99" spans="1:39" x14ac:dyDescent="0.2">
      <c r="A99" t="str">
        <f>IF([1]Accounts!$D$100="","",[1]Accounts!$A$100)</f>
        <v/>
      </c>
      <c r="B99" t="str">
        <f>IF([1]Accounts!$D$100="","",[1]Accounts!$B$100)</f>
        <v/>
      </c>
      <c r="C99" t="str">
        <f>IF([1]Accounts!$D$100="","",[1]Accounts!$C$100)</f>
        <v/>
      </c>
      <c r="D99" t="str">
        <f>IF([1]Accounts!$D$100="","",[1]Accounts!$D$100)</f>
        <v/>
      </c>
      <c r="E99" t="str">
        <f>IF([1]Accounts!$D$100="","",[1]Accounts!$E$100)</f>
        <v/>
      </c>
      <c r="F99" t="str">
        <f>IF([1]Accounts!$D$100="","",[1]Accounts!$F$100)</f>
        <v/>
      </c>
      <c r="G99" t="str">
        <f>IF([1]Accounts!$D$100="","",[1]Accounts!$G$100)</f>
        <v/>
      </c>
      <c r="T99" t="str">
        <f>IF([2]Baskol!$B$102="","",[2]Baskol!$B$102)</f>
        <v>1405/07/21</v>
      </c>
      <c r="U99" t="str">
        <f>IF([2]Baskol!$C$102="","",[2]Baskol!$C$102)</f>
        <v/>
      </c>
      <c r="V99" t="str">
        <f>IF([2]Baskol!$D$102="","",[2]Baskol!$D$102)</f>
        <v/>
      </c>
      <c r="W99" t="str">
        <f>IF([2]Baskol!$E$102="","",[2]Baskol!$E$102)</f>
        <v>خرید مرکبات</v>
      </c>
      <c r="X99" t="str">
        <f>IF([2]Baskol!$G$102="","",[2]Baskol!$G$102)</f>
        <v>c016</v>
      </c>
      <c r="Y99" t="str">
        <f>IF([2]Baskol!$I$102="","",[2]Baskol!$I$102)</f>
        <v/>
      </c>
      <c r="Z99" t="str">
        <f>IF([2]Baskol!$J$102="","",[2]Baskol!$J$102)</f>
        <v>خرمالو</v>
      </c>
      <c r="AA99">
        <f>IF([2]Baskol!$K$102="","",[2]Baskol!$K$102)</f>
        <v>495</v>
      </c>
      <c r="AB99">
        <f>IF([2]Baskol!$L$102="","",[2]Baskol!$L$102)</f>
        <v>34</v>
      </c>
      <c r="AC99" t="str">
        <f>IF([2]Baskol!$N$102="","",[2]Baskol!$N$102)</f>
        <v/>
      </c>
      <c r="AD99" t="str">
        <f>IF([2]Baskol!$O$102="","",[2]Baskol!$O$102)</f>
        <v/>
      </c>
      <c r="AE99" t="str">
        <f>IF([3]Entry!$C$102="","",[3]Entry!$C$102)</f>
        <v/>
      </c>
      <c r="AF99" t="str">
        <f>IF([3]Entry!$D$102="","",[3]Entry!$D$102)</f>
        <v/>
      </c>
      <c r="AG99" t="str">
        <f>IF([3]Entry!$E$102="","",[3]Entry!$E$102)</f>
        <v/>
      </c>
      <c r="AH99" t="str">
        <f>IF([3]Entry!$G$102="","",[3]Entry!$G$102)</f>
        <v/>
      </c>
      <c r="AI99" t="str">
        <f>IF([3]Entry!$K$102="","",[3]Entry!$K$102)</f>
        <v/>
      </c>
      <c r="AJ99" t="str">
        <f>IF([3]Entry!$L$102="","",[3]Entry!$L$102)</f>
        <v/>
      </c>
      <c r="AK99" t="str">
        <f>IF([3]Entry!$M$102="","",[3]Entry!$M$102)</f>
        <v/>
      </c>
      <c r="AL99" t="str">
        <f>IF([3]Entry!$N$102="","",[3]Entry!$N$102)</f>
        <v/>
      </c>
      <c r="AM99" t="str">
        <f>IF([3]Entry!$R$102="","",[3]Entry!$R$102)</f>
        <v/>
      </c>
    </row>
    <row r="100" spans="1:39" x14ac:dyDescent="0.2">
      <c r="A100" t="str">
        <f>IF([1]Accounts!$D$101="","",[1]Accounts!$A$101)</f>
        <v/>
      </c>
      <c r="B100" t="str">
        <f>IF([1]Accounts!$D$101="","",[1]Accounts!$B$101)</f>
        <v/>
      </c>
      <c r="C100" t="str">
        <f>IF([1]Accounts!$D$101="","",[1]Accounts!$C$101)</f>
        <v/>
      </c>
      <c r="D100" t="str">
        <f>IF([1]Accounts!$D$101="","",[1]Accounts!$D$101)</f>
        <v/>
      </c>
      <c r="E100" t="str">
        <f>IF([1]Accounts!$D$101="","",[1]Accounts!$E$101)</f>
        <v/>
      </c>
      <c r="F100" t="str">
        <f>IF([1]Accounts!$D$101="","",[1]Accounts!$F$101)</f>
        <v/>
      </c>
      <c r="G100" t="str">
        <f>IF([1]Accounts!$D$101="","",[1]Accounts!$G$101)</f>
        <v/>
      </c>
      <c r="T100" t="str">
        <f>IF([2]Baskol!$B$103="","",[2]Baskol!$B$103)</f>
        <v>1405/07/21</v>
      </c>
      <c r="U100" t="str">
        <f>IF([2]Baskol!$C$103="","",[2]Baskol!$C$103)</f>
        <v/>
      </c>
      <c r="V100" t="str">
        <f>IF([2]Baskol!$D$103="","",[2]Baskol!$D$103)</f>
        <v/>
      </c>
      <c r="W100" t="str">
        <f>IF([2]Baskol!$E$103="","",[2]Baskol!$E$103)</f>
        <v>خرید مرکبات</v>
      </c>
      <c r="X100" t="str">
        <f>IF([2]Baskol!$G$103="","",[2]Baskol!$G$103)</f>
        <v>c040</v>
      </c>
      <c r="Y100" t="str">
        <f>IF([2]Baskol!$I$103="","",[2]Baskol!$I$103)</f>
        <v/>
      </c>
      <c r="Z100" t="str">
        <f>IF([2]Baskol!$J$103="","",[2]Baskol!$J$103)</f>
        <v>خرمالو</v>
      </c>
      <c r="AA100">
        <f>IF([2]Baskol!$K$103="","",[2]Baskol!$K$103)</f>
        <v>885</v>
      </c>
      <c r="AB100">
        <f>IF([2]Baskol!$L$103="","",[2]Baskol!$L$103)</f>
        <v>54</v>
      </c>
      <c r="AC100" t="str">
        <f>IF([2]Baskol!$N$103="","",[2]Baskol!$N$103)</f>
        <v/>
      </c>
      <c r="AD100" t="str">
        <f>IF([2]Baskol!$O$103="","",[2]Baskol!$O$103)</f>
        <v/>
      </c>
      <c r="AE100" t="str">
        <f>IF([3]Entry!$C$103="","",[3]Entry!$C$103)</f>
        <v/>
      </c>
      <c r="AF100" t="str">
        <f>IF([3]Entry!$D$103="","",[3]Entry!$D$103)</f>
        <v/>
      </c>
      <c r="AG100" t="str">
        <f>IF([3]Entry!$E$103="","",[3]Entry!$E$103)</f>
        <v/>
      </c>
      <c r="AH100" t="str">
        <f>IF([3]Entry!$G$103="","",[3]Entry!$G$103)</f>
        <v/>
      </c>
      <c r="AI100" t="str">
        <f>IF([3]Entry!$K$103="","",[3]Entry!$K$103)</f>
        <v/>
      </c>
      <c r="AJ100" t="str">
        <f>IF([3]Entry!$L$103="","",[3]Entry!$L$103)</f>
        <v/>
      </c>
      <c r="AK100" t="str">
        <f>IF([3]Entry!$M$103="","",[3]Entry!$M$103)</f>
        <v/>
      </c>
      <c r="AL100" t="str">
        <f>IF([3]Entry!$N$103="","",[3]Entry!$N$103)</f>
        <v/>
      </c>
      <c r="AM100" t="str">
        <f>IF([3]Entry!$R$103="","",[3]Entry!$R$103)</f>
        <v/>
      </c>
    </row>
    <row r="101" spans="1:39" x14ac:dyDescent="0.2">
      <c r="A101" t="str">
        <f>IF([1]Accounts!$D$102="","",[1]Accounts!$A$102)</f>
        <v/>
      </c>
      <c r="B101" t="str">
        <f>IF([1]Accounts!$D$102="","",[1]Accounts!$B$102)</f>
        <v/>
      </c>
      <c r="C101" t="str">
        <f>IF([1]Accounts!$D$102="","",[1]Accounts!$C$102)</f>
        <v/>
      </c>
      <c r="D101" t="str">
        <f>IF([1]Accounts!$D$102="","",[1]Accounts!$D$102)</f>
        <v/>
      </c>
      <c r="E101" t="str">
        <f>IF([1]Accounts!$D$102="","",[1]Accounts!$E$102)</f>
        <v/>
      </c>
      <c r="F101" t="str">
        <f>IF([1]Accounts!$D$102="","",[1]Accounts!$F$102)</f>
        <v/>
      </c>
      <c r="G101" t="str">
        <f>IF([1]Accounts!$D$102="","",[1]Accounts!$G$102)</f>
        <v/>
      </c>
      <c r="T101" t="str">
        <f>IF([2]Baskol!$B$104="","",[2]Baskol!$B$104)</f>
        <v>1405/07/21</v>
      </c>
      <c r="U101" t="str">
        <f>IF([2]Baskol!$C$104="","",[2]Baskol!$C$104)</f>
        <v/>
      </c>
      <c r="V101" t="str">
        <f>IF([2]Baskol!$D$104="","",[2]Baskol!$D$104)</f>
        <v/>
      </c>
      <c r="W101" t="str">
        <f>IF([2]Baskol!$E$104="","",[2]Baskol!$E$104)</f>
        <v>فروش</v>
      </c>
      <c r="X101" t="str">
        <f>IF([2]Baskol!$G$104="","",[2]Baskol!$G$104)</f>
        <v>SL001</v>
      </c>
      <c r="Y101" t="str">
        <f>IF([2]Baskol!$I$104="","",[2]Baskol!$I$104)</f>
        <v/>
      </c>
      <c r="Z101" t="str">
        <f>IF([2]Baskol!$J$104="","",[2]Baskol!$J$104)</f>
        <v/>
      </c>
      <c r="AA101">
        <f>IF([2]Baskol!$K$104="","",[2]Baskol!$K$104)</f>
        <v>2170</v>
      </c>
      <c r="AB101" t="str">
        <f>IF([2]Baskol!$L$104="","",[2]Baskol!$L$104)</f>
        <v/>
      </c>
      <c r="AC101" t="str">
        <f>IF([2]Baskol!$N$104="","",[2]Baskol!$N$104)</f>
        <v/>
      </c>
      <c r="AD101" t="str">
        <f>IF([2]Baskol!$O$104="","",[2]Baskol!$O$104)</f>
        <v/>
      </c>
      <c r="AE101" t="str">
        <f>IF([3]Entry!$C$104="","",[3]Entry!$C$104)</f>
        <v/>
      </c>
      <c r="AF101" t="str">
        <f>IF([3]Entry!$D$104="","",[3]Entry!$D$104)</f>
        <v/>
      </c>
      <c r="AG101" t="str">
        <f>IF([3]Entry!$E$104="","",[3]Entry!$E$104)</f>
        <v/>
      </c>
      <c r="AH101" t="str">
        <f>IF([3]Entry!$G$104="","",[3]Entry!$G$104)</f>
        <v/>
      </c>
      <c r="AI101" t="str">
        <f>IF([3]Entry!$K$104="","",[3]Entry!$K$104)</f>
        <v/>
      </c>
      <c r="AJ101" t="str">
        <f>IF([3]Entry!$L$104="","",[3]Entry!$L$104)</f>
        <v/>
      </c>
      <c r="AK101" t="str">
        <f>IF([3]Entry!$M$104="","",[3]Entry!$M$104)</f>
        <v/>
      </c>
      <c r="AL101" t="str">
        <f>IF([3]Entry!$N$104="","",[3]Entry!$N$104)</f>
        <v/>
      </c>
      <c r="AM101" t="str">
        <f>IF([3]Entry!$R$104="","",[3]Entry!$R$104)</f>
        <v/>
      </c>
    </row>
    <row r="102" spans="1:39" x14ac:dyDescent="0.2">
      <c r="A102" t="str">
        <f>IF([1]Accounts!$D$103="","",[1]Accounts!$A$103)</f>
        <v/>
      </c>
      <c r="B102" t="str">
        <f>IF([1]Accounts!$D$103="","",[1]Accounts!$B$103)</f>
        <v/>
      </c>
      <c r="C102" t="str">
        <f>IF([1]Accounts!$D$103="","",[1]Accounts!$C$103)</f>
        <v/>
      </c>
      <c r="D102" t="str">
        <f>IF([1]Accounts!$D$103="","",[1]Accounts!$D$103)</f>
        <v/>
      </c>
      <c r="E102" t="str">
        <f>IF([1]Accounts!$D$103="","",[1]Accounts!$E$103)</f>
        <v/>
      </c>
      <c r="F102" t="str">
        <f>IF([1]Accounts!$D$103="","",[1]Accounts!$F$103)</f>
        <v/>
      </c>
      <c r="G102" t="str">
        <f>IF([1]Accounts!$D$103="","",[1]Accounts!$G$103)</f>
        <v/>
      </c>
      <c r="T102" t="str">
        <f>IF([2]Baskol!$B$105="","",[2]Baskol!$B$105)</f>
        <v>1405/07/21</v>
      </c>
      <c r="U102" t="str">
        <f>IF([2]Baskol!$C$105="","",[2]Baskol!$C$105)</f>
        <v/>
      </c>
      <c r="V102" t="str">
        <f>IF([2]Baskol!$D$105="","",[2]Baskol!$D$105)</f>
        <v/>
      </c>
      <c r="W102" t="str">
        <f>IF([2]Baskol!$E$105="","",[2]Baskol!$E$105)</f>
        <v>خرید مرکبات</v>
      </c>
      <c r="X102" t="str">
        <f>IF([2]Baskol!$G$105="","",[2]Baskol!$G$105)</f>
        <v>c041</v>
      </c>
      <c r="Y102" t="str">
        <f>IF([2]Baskol!$I$105="","",[2]Baskol!$I$105)</f>
        <v/>
      </c>
      <c r="Z102" t="str">
        <f>IF([2]Baskol!$J$105="","",[2]Baskol!$J$105)</f>
        <v>خرمالو</v>
      </c>
      <c r="AA102">
        <f>IF([2]Baskol!$K$105="","",[2]Baskol!$K$105)</f>
        <v>518</v>
      </c>
      <c r="AB102">
        <f>IF([2]Baskol!$L$105="","",[2]Baskol!$L$105)</f>
        <v>31</v>
      </c>
      <c r="AC102" t="str">
        <f>IF([2]Baskol!$N$105="","",[2]Baskol!$N$105)</f>
        <v/>
      </c>
      <c r="AD102" t="str">
        <f>IF([2]Baskol!$O$105="","",[2]Baskol!$O$105)</f>
        <v/>
      </c>
      <c r="AE102" t="str">
        <f>IF([3]Entry!$C$105="","",[3]Entry!$C$105)</f>
        <v/>
      </c>
      <c r="AF102" t="str">
        <f>IF([3]Entry!$D$105="","",[3]Entry!$D$105)</f>
        <v/>
      </c>
      <c r="AG102" t="str">
        <f>IF([3]Entry!$E$105="","",[3]Entry!$E$105)</f>
        <v/>
      </c>
      <c r="AH102" t="str">
        <f>IF([3]Entry!$G$105="","",[3]Entry!$G$105)</f>
        <v/>
      </c>
      <c r="AI102" t="str">
        <f>IF([3]Entry!$K$105="","",[3]Entry!$K$105)</f>
        <v/>
      </c>
      <c r="AJ102" t="str">
        <f>IF([3]Entry!$L$105="","",[3]Entry!$L$105)</f>
        <v/>
      </c>
      <c r="AK102" t="str">
        <f>IF([3]Entry!$M$105="","",[3]Entry!$M$105)</f>
        <v/>
      </c>
      <c r="AL102" t="str">
        <f>IF([3]Entry!$N$105="","",[3]Entry!$N$105)</f>
        <v/>
      </c>
      <c r="AM102" t="str">
        <f>IF([3]Entry!$R$105="","",[3]Entry!$R$105)</f>
        <v/>
      </c>
    </row>
    <row r="103" spans="1:39" x14ac:dyDescent="0.2">
      <c r="A103" t="str">
        <f>IF([1]Accounts!$D$104="","",[1]Accounts!$A$104)</f>
        <v/>
      </c>
      <c r="B103" t="str">
        <f>IF([1]Accounts!$D$104="","",[1]Accounts!$B$104)</f>
        <v/>
      </c>
      <c r="C103" t="str">
        <f>IF([1]Accounts!$D$104="","",[1]Accounts!$C$104)</f>
        <v/>
      </c>
      <c r="D103" t="str">
        <f>IF([1]Accounts!$D$104="","",[1]Accounts!$D$104)</f>
        <v/>
      </c>
      <c r="E103" t="str">
        <f>IF([1]Accounts!$D$104="","",[1]Accounts!$E$104)</f>
        <v/>
      </c>
      <c r="F103" t="str">
        <f>IF([1]Accounts!$D$104="","",[1]Accounts!$F$104)</f>
        <v/>
      </c>
      <c r="G103" t="str">
        <f>IF([1]Accounts!$D$104="","",[1]Accounts!$G$104)</f>
        <v/>
      </c>
      <c r="T103" t="str">
        <f>IF([2]Baskol!$B$106="","",[2]Baskol!$B$106)</f>
        <v>1405/07/21</v>
      </c>
      <c r="U103" t="str">
        <f>IF([2]Baskol!$C$106="","",[2]Baskol!$C$106)</f>
        <v/>
      </c>
      <c r="V103" t="str">
        <f>IF([2]Baskol!$D$106="","",[2]Baskol!$D$106)</f>
        <v/>
      </c>
      <c r="W103" t="str">
        <f>IF([2]Baskol!$E$106="","",[2]Baskol!$E$106)</f>
        <v>خرید مرکبات</v>
      </c>
      <c r="X103" t="str">
        <f>IF([2]Baskol!$G$106="","",[2]Baskol!$G$106)</f>
        <v>c042</v>
      </c>
      <c r="Y103" t="str">
        <f>IF([2]Baskol!$I$106="","",[2]Baskol!$I$106)</f>
        <v/>
      </c>
      <c r="Z103" t="str">
        <f>IF([2]Baskol!$J$106="","",[2]Baskol!$J$106)</f>
        <v>نارنگی</v>
      </c>
      <c r="AA103">
        <f>IF([2]Baskol!$K$106="","",[2]Baskol!$K$106)</f>
        <v>2415</v>
      </c>
      <c r="AB103">
        <f>IF([2]Baskol!$L$106="","",[2]Baskol!$L$106)</f>
        <v>147</v>
      </c>
      <c r="AC103" t="str">
        <f>IF([2]Baskol!$N$106="","",[2]Baskol!$N$106)</f>
        <v/>
      </c>
      <c r="AD103" t="str">
        <f>IF([2]Baskol!$O$106="","",[2]Baskol!$O$106)</f>
        <v/>
      </c>
      <c r="AE103" t="str">
        <f>IF([3]Entry!$C$106="","",[3]Entry!$C$106)</f>
        <v/>
      </c>
      <c r="AF103" t="str">
        <f>IF([3]Entry!$D$106="","",[3]Entry!$D$106)</f>
        <v/>
      </c>
      <c r="AG103" t="str">
        <f>IF([3]Entry!$E$106="","",[3]Entry!$E$106)</f>
        <v/>
      </c>
      <c r="AH103" t="str">
        <f>IF([3]Entry!$G$106="","",[3]Entry!$G$106)</f>
        <v/>
      </c>
      <c r="AI103" t="str">
        <f>IF([3]Entry!$K$106="","",[3]Entry!$K$106)</f>
        <v/>
      </c>
      <c r="AJ103" t="str">
        <f>IF([3]Entry!$L$106="","",[3]Entry!$L$106)</f>
        <v/>
      </c>
      <c r="AK103" t="str">
        <f>IF([3]Entry!$M$106="","",[3]Entry!$M$106)</f>
        <v/>
      </c>
      <c r="AL103" t="str">
        <f>IF([3]Entry!$N$106="","",[3]Entry!$N$106)</f>
        <v/>
      </c>
      <c r="AM103" t="str">
        <f>IF([3]Entry!$R$106="","",[3]Entry!$R$106)</f>
        <v/>
      </c>
    </row>
    <row r="104" spans="1:39" x14ac:dyDescent="0.2">
      <c r="A104" t="str">
        <f>IF([1]Accounts!$D$105="","",[1]Accounts!$A$105)</f>
        <v/>
      </c>
      <c r="B104" t="str">
        <f>IF([1]Accounts!$D$105="","",[1]Accounts!$B$105)</f>
        <v/>
      </c>
      <c r="C104" t="str">
        <f>IF([1]Accounts!$D$105="","",[1]Accounts!$C$105)</f>
        <v/>
      </c>
      <c r="D104" t="str">
        <f>IF([1]Accounts!$D$105="","",[1]Accounts!$D$105)</f>
        <v/>
      </c>
      <c r="E104" t="str">
        <f>IF([1]Accounts!$D$105="","",[1]Accounts!$E$105)</f>
        <v/>
      </c>
      <c r="F104" t="str">
        <f>IF([1]Accounts!$D$105="","",[1]Accounts!$F$105)</f>
        <v/>
      </c>
      <c r="G104" t="str">
        <f>IF([1]Accounts!$D$105="","",[1]Accounts!$G$105)</f>
        <v/>
      </c>
      <c r="T104" t="str">
        <f>IF([2]Baskol!$B$107="","",[2]Baskol!$B$107)</f>
        <v>1405/07/21</v>
      </c>
      <c r="U104" t="str">
        <f>IF([2]Baskol!$C$107="","",[2]Baskol!$C$107)</f>
        <v/>
      </c>
      <c r="V104" t="str">
        <f>IF([2]Baskol!$D$107="","",[2]Baskol!$D$107)</f>
        <v/>
      </c>
      <c r="W104" t="str">
        <f>IF([2]Baskol!$E$107="","",[2]Baskol!$E$107)</f>
        <v>خرید مرکبات</v>
      </c>
      <c r="X104" t="str">
        <f>IF([2]Baskol!$G$107="","",[2]Baskol!$G$107)</f>
        <v>c015</v>
      </c>
      <c r="Y104" t="str">
        <f>IF([2]Baskol!$I$107="","",[2]Baskol!$I$107)</f>
        <v/>
      </c>
      <c r="Z104" t="str">
        <f>IF([2]Baskol!$J$107="","",[2]Baskol!$J$107)</f>
        <v>خرمالو</v>
      </c>
      <c r="AA104">
        <f>IF([2]Baskol!$K$107="","",[2]Baskol!$K$107)</f>
        <v>875</v>
      </c>
      <c r="AB104">
        <f>IF([2]Baskol!$L$107="","",[2]Baskol!$L$107)</f>
        <v>60</v>
      </c>
      <c r="AC104" t="str">
        <f>IF([2]Baskol!$N$107="","",[2]Baskol!$N$107)</f>
        <v/>
      </c>
      <c r="AD104" t="str">
        <f>IF([2]Baskol!$O$107="","",[2]Baskol!$O$107)</f>
        <v/>
      </c>
      <c r="AE104" t="str">
        <f>IF([3]Entry!$C$107="","",[3]Entry!$C$107)</f>
        <v/>
      </c>
      <c r="AF104" t="str">
        <f>IF([3]Entry!$D$107="","",[3]Entry!$D$107)</f>
        <v/>
      </c>
      <c r="AG104" t="str">
        <f>IF([3]Entry!$E$107="","",[3]Entry!$E$107)</f>
        <v/>
      </c>
      <c r="AH104" t="str">
        <f>IF([3]Entry!$G$107="","",[3]Entry!$G$107)</f>
        <v/>
      </c>
      <c r="AI104" t="str">
        <f>IF([3]Entry!$K$107="","",[3]Entry!$K$107)</f>
        <v/>
      </c>
      <c r="AJ104" t="str">
        <f>IF([3]Entry!$L$107="","",[3]Entry!$L$107)</f>
        <v/>
      </c>
      <c r="AK104" t="str">
        <f>IF([3]Entry!$M$107="","",[3]Entry!$M$107)</f>
        <v/>
      </c>
      <c r="AL104" t="str">
        <f>IF([3]Entry!$N$107="","",[3]Entry!$N$107)</f>
        <v/>
      </c>
      <c r="AM104" t="str">
        <f>IF([3]Entry!$R$107="","",[3]Entry!$R$107)</f>
        <v/>
      </c>
    </row>
    <row r="105" spans="1:39" x14ac:dyDescent="0.2">
      <c r="A105" t="str">
        <f>IF([1]Accounts!$D$106="","",[1]Accounts!$A$106)</f>
        <v/>
      </c>
      <c r="B105" t="str">
        <f>IF([1]Accounts!$D$106="","",[1]Accounts!$B$106)</f>
        <v/>
      </c>
      <c r="C105" t="str">
        <f>IF([1]Accounts!$D$106="","",[1]Accounts!$C$106)</f>
        <v/>
      </c>
      <c r="D105" t="str">
        <f>IF([1]Accounts!$D$106="","",[1]Accounts!$D$106)</f>
        <v/>
      </c>
      <c r="E105" t="str">
        <f>IF([1]Accounts!$D$106="","",[1]Accounts!$E$106)</f>
        <v/>
      </c>
      <c r="F105" t="str">
        <f>IF([1]Accounts!$D$106="","",[1]Accounts!$F$106)</f>
        <v/>
      </c>
      <c r="G105" t="str">
        <f>IF([1]Accounts!$D$106="","",[1]Accounts!$G$106)</f>
        <v/>
      </c>
      <c r="T105" t="str">
        <f>IF([2]Baskol!$B$108="","",[2]Baskol!$B$108)</f>
        <v>1405/07/21</v>
      </c>
      <c r="U105" t="str">
        <f>IF([2]Baskol!$C$108="","",[2]Baskol!$C$108)</f>
        <v/>
      </c>
      <c r="V105" t="str">
        <f>IF([2]Baskol!$D$108="","",[2]Baskol!$D$108)</f>
        <v/>
      </c>
      <c r="W105" t="str">
        <f>IF([2]Baskol!$E$108="","",[2]Baskol!$E$108)</f>
        <v>خرید مرکبات</v>
      </c>
      <c r="X105" t="str">
        <f>IF([2]Baskol!$G$108="","",[2]Baskol!$G$108)</f>
        <v>c015</v>
      </c>
      <c r="Y105" t="str">
        <f>IF([2]Baskol!$I$108="","",[2]Baskol!$I$108)</f>
        <v/>
      </c>
      <c r="Z105" t="str">
        <f>IF([2]Baskol!$J$108="","",[2]Baskol!$J$108)</f>
        <v>نارنگی</v>
      </c>
      <c r="AA105">
        <f>IF([2]Baskol!$K$108="","",[2]Baskol!$K$108)</f>
        <v>35</v>
      </c>
      <c r="AB105">
        <f>IF([2]Baskol!$L$108="","",[2]Baskol!$L$108)</f>
        <v>3</v>
      </c>
      <c r="AC105" t="str">
        <f>IF([2]Baskol!$N$108="","",[2]Baskol!$N$108)</f>
        <v/>
      </c>
      <c r="AD105" t="str">
        <f>IF([2]Baskol!$O$108="","",[2]Baskol!$O$108)</f>
        <v/>
      </c>
      <c r="AE105" t="str">
        <f>IF([3]Entry!$C$108="","",[3]Entry!$C$108)</f>
        <v/>
      </c>
      <c r="AF105" t="str">
        <f>IF([3]Entry!$D$108="","",[3]Entry!$D$108)</f>
        <v/>
      </c>
      <c r="AG105" t="str">
        <f>IF([3]Entry!$E$108="","",[3]Entry!$E$108)</f>
        <v/>
      </c>
      <c r="AH105" t="str">
        <f>IF([3]Entry!$G$108="","",[3]Entry!$G$108)</f>
        <v/>
      </c>
      <c r="AI105" t="str">
        <f>IF([3]Entry!$K$108="","",[3]Entry!$K$108)</f>
        <v/>
      </c>
      <c r="AJ105" t="str">
        <f>IF([3]Entry!$L$108="","",[3]Entry!$L$108)</f>
        <v/>
      </c>
      <c r="AK105" t="str">
        <f>IF([3]Entry!$M$108="","",[3]Entry!$M$108)</f>
        <v/>
      </c>
      <c r="AL105" t="str">
        <f>IF([3]Entry!$N$108="","",[3]Entry!$N$108)</f>
        <v/>
      </c>
      <c r="AM105" t="str">
        <f>IF([3]Entry!$R$108="","",[3]Entry!$R$108)</f>
        <v/>
      </c>
    </row>
    <row r="106" spans="1:39" x14ac:dyDescent="0.2">
      <c r="A106" t="str">
        <f>IF([1]Accounts!$D$107="","",[1]Accounts!$A$107)</f>
        <v/>
      </c>
      <c r="B106" t="str">
        <f>IF([1]Accounts!$D$107="","",[1]Accounts!$B$107)</f>
        <v/>
      </c>
      <c r="C106" t="str">
        <f>IF([1]Accounts!$D$107="","",[1]Accounts!$C$107)</f>
        <v/>
      </c>
      <c r="D106" t="str">
        <f>IF([1]Accounts!$D$107="","",[1]Accounts!$D$107)</f>
        <v/>
      </c>
      <c r="E106" t="str">
        <f>IF([1]Accounts!$D$107="","",[1]Accounts!$E$107)</f>
        <v/>
      </c>
      <c r="F106" t="str">
        <f>IF([1]Accounts!$D$107="","",[1]Accounts!$F$107)</f>
        <v/>
      </c>
      <c r="G106" t="str">
        <f>IF([1]Accounts!$D$107="","",[1]Accounts!$G$107)</f>
        <v/>
      </c>
      <c r="T106" t="str">
        <f>IF([2]Baskol!$B$109="","",[2]Baskol!$B$109)</f>
        <v>1405/07/21</v>
      </c>
      <c r="U106" t="str">
        <f>IF([2]Baskol!$C$109="","",[2]Baskol!$C$109)</f>
        <v/>
      </c>
      <c r="V106" t="str">
        <f>IF([2]Baskol!$D$109="","",[2]Baskol!$D$109)</f>
        <v/>
      </c>
      <c r="W106" t="str">
        <f>IF([2]Baskol!$E$109="","",[2]Baskol!$E$109)</f>
        <v>خرید مرکبات</v>
      </c>
      <c r="X106" t="str">
        <f>IF([2]Baskol!$G$109="","",[2]Baskol!$G$109)</f>
        <v>c040</v>
      </c>
      <c r="Y106" t="str">
        <f>IF([2]Baskol!$I$109="","",[2]Baskol!$I$109)</f>
        <v/>
      </c>
      <c r="Z106" t="str">
        <f>IF([2]Baskol!$J$109="","",[2]Baskol!$J$109)</f>
        <v>خرمالو</v>
      </c>
      <c r="AA106">
        <f>IF([2]Baskol!$K$109="","",[2]Baskol!$K$109)</f>
        <v>110</v>
      </c>
      <c r="AB106">
        <f>IF([2]Baskol!$L$109="","",[2]Baskol!$L$109)</f>
        <v>8</v>
      </c>
      <c r="AC106" t="str">
        <f>IF([2]Baskol!$N$109="","",[2]Baskol!$N$109)</f>
        <v/>
      </c>
      <c r="AD106" t="str">
        <f>IF([2]Baskol!$O$109="","",[2]Baskol!$O$109)</f>
        <v/>
      </c>
      <c r="AE106" t="str">
        <f>IF([3]Entry!$C$109="","",[3]Entry!$C$109)</f>
        <v/>
      </c>
      <c r="AF106" t="str">
        <f>IF([3]Entry!$D$109="","",[3]Entry!$D$109)</f>
        <v/>
      </c>
      <c r="AG106" t="str">
        <f>IF([3]Entry!$E$109="","",[3]Entry!$E$109)</f>
        <v/>
      </c>
      <c r="AH106" t="str">
        <f>IF([3]Entry!$G$109="","",[3]Entry!$G$109)</f>
        <v/>
      </c>
      <c r="AI106" t="str">
        <f>IF([3]Entry!$K$109="","",[3]Entry!$K$109)</f>
        <v/>
      </c>
      <c r="AJ106" t="str">
        <f>IF([3]Entry!$L$109="","",[3]Entry!$L$109)</f>
        <v/>
      </c>
      <c r="AK106" t="str">
        <f>IF([3]Entry!$M$109="","",[3]Entry!$M$109)</f>
        <v/>
      </c>
      <c r="AL106" t="str">
        <f>IF([3]Entry!$N$109="","",[3]Entry!$N$109)</f>
        <v/>
      </c>
      <c r="AM106" t="str">
        <f>IF([3]Entry!$R$109="","",[3]Entry!$R$109)</f>
        <v/>
      </c>
    </row>
    <row r="107" spans="1:39" x14ac:dyDescent="0.2">
      <c r="A107" t="str">
        <f>IF([1]Accounts!$D$108="","",[1]Accounts!$A$108)</f>
        <v/>
      </c>
      <c r="B107" t="str">
        <f>IF([1]Accounts!$D$108="","",[1]Accounts!$B$108)</f>
        <v/>
      </c>
      <c r="C107" t="str">
        <f>IF([1]Accounts!$D$108="","",[1]Accounts!$C$108)</f>
        <v/>
      </c>
      <c r="D107" t="str">
        <f>IF([1]Accounts!$D$108="","",[1]Accounts!$D$108)</f>
        <v/>
      </c>
      <c r="E107" t="str">
        <f>IF([1]Accounts!$D$108="","",[1]Accounts!$E$108)</f>
        <v/>
      </c>
      <c r="F107" t="str">
        <f>IF([1]Accounts!$D$108="","",[1]Accounts!$F$108)</f>
        <v/>
      </c>
      <c r="G107" t="str">
        <f>IF([1]Accounts!$D$108="","",[1]Accounts!$G$108)</f>
        <v/>
      </c>
      <c r="T107" t="str">
        <f>IF([2]Baskol!$B$110="","",[2]Baskol!$B$110)</f>
        <v>1405/07/21</v>
      </c>
      <c r="U107" t="str">
        <f>IF([2]Baskol!$C$110="","",[2]Baskol!$C$110)</f>
        <v/>
      </c>
      <c r="V107" t="str">
        <f>IF([2]Baskol!$D$110="","",[2]Baskol!$D$110)</f>
        <v/>
      </c>
      <c r="W107" t="str">
        <f>IF([2]Baskol!$E$110="","",[2]Baskol!$E$110)</f>
        <v>خرید مرکبات</v>
      </c>
      <c r="X107" t="str">
        <f>IF([2]Baskol!$G$110="","",[2]Baskol!$G$110)</f>
        <v>c042</v>
      </c>
      <c r="Y107" t="str">
        <f>IF([2]Baskol!$I$110="","",[2]Baskol!$I$110)</f>
        <v/>
      </c>
      <c r="Z107" t="str">
        <f>IF([2]Baskol!$J$110="","",[2]Baskol!$J$110)</f>
        <v>نارنگی</v>
      </c>
      <c r="AA107">
        <f>IF([2]Baskol!$K$110="","",[2]Baskol!$K$110)</f>
        <v>2860</v>
      </c>
      <c r="AB107">
        <f>IF([2]Baskol!$L$110="","",[2]Baskol!$L$110)</f>
        <v>182</v>
      </c>
      <c r="AC107" t="str">
        <f>IF([2]Baskol!$N$110="","",[2]Baskol!$N$110)</f>
        <v/>
      </c>
      <c r="AD107" t="str">
        <f>IF([2]Baskol!$O$110="","",[2]Baskol!$O$110)</f>
        <v/>
      </c>
      <c r="AE107" t="str">
        <f>IF([3]Entry!$C$110="","",[3]Entry!$C$110)</f>
        <v/>
      </c>
      <c r="AF107" t="str">
        <f>IF([3]Entry!$D$110="","",[3]Entry!$D$110)</f>
        <v/>
      </c>
      <c r="AG107" t="str">
        <f>IF([3]Entry!$E$110="","",[3]Entry!$E$110)</f>
        <v/>
      </c>
      <c r="AH107" t="str">
        <f>IF([3]Entry!$G$110="","",[3]Entry!$G$110)</f>
        <v/>
      </c>
      <c r="AI107" t="str">
        <f>IF([3]Entry!$K$110="","",[3]Entry!$K$110)</f>
        <v/>
      </c>
      <c r="AJ107" t="str">
        <f>IF([3]Entry!$L$110="","",[3]Entry!$L$110)</f>
        <v/>
      </c>
      <c r="AK107" t="str">
        <f>IF([3]Entry!$M$110="","",[3]Entry!$M$110)</f>
        <v/>
      </c>
      <c r="AL107" t="str">
        <f>IF([3]Entry!$N$110="","",[3]Entry!$N$110)</f>
        <v/>
      </c>
      <c r="AM107" t="str">
        <f>IF([3]Entry!$R$110="","",[3]Entry!$R$110)</f>
        <v/>
      </c>
    </row>
    <row r="108" spans="1:39" x14ac:dyDescent="0.2">
      <c r="A108" t="str">
        <f>IF([1]Accounts!$D$109="","",[1]Accounts!$A$109)</f>
        <v/>
      </c>
      <c r="B108" t="str">
        <f>IF([1]Accounts!$D$109="","",[1]Accounts!$B$109)</f>
        <v/>
      </c>
      <c r="C108" t="str">
        <f>IF([1]Accounts!$D$109="","",[1]Accounts!$C$109)</f>
        <v/>
      </c>
      <c r="D108" t="str">
        <f>IF([1]Accounts!$D$109="","",[1]Accounts!$D$109)</f>
        <v/>
      </c>
      <c r="E108" t="str">
        <f>IF([1]Accounts!$D$109="","",[1]Accounts!$E$109)</f>
        <v/>
      </c>
      <c r="F108" t="str">
        <f>IF([1]Accounts!$D$109="","",[1]Accounts!$F$109)</f>
        <v/>
      </c>
      <c r="G108" t="str">
        <f>IF([1]Accounts!$D$109="","",[1]Accounts!$G$109)</f>
        <v/>
      </c>
      <c r="T108" t="str">
        <f>IF([2]Baskol!$B$111="","",[2]Baskol!$B$111)</f>
        <v>1405/07/21</v>
      </c>
      <c r="U108" t="str">
        <f>IF([2]Baskol!$C$111="","",[2]Baskol!$C$111)</f>
        <v/>
      </c>
      <c r="V108" t="str">
        <f>IF([2]Baskol!$D$111="","",[2]Baskol!$D$111)</f>
        <v/>
      </c>
      <c r="W108" t="str">
        <f>IF([2]Baskol!$E$111="","",[2]Baskol!$E$111)</f>
        <v>خرید مرکبات</v>
      </c>
      <c r="X108" t="str">
        <f>IF([2]Baskol!$G$111="","",[2]Baskol!$G$111)</f>
        <v>c043</v>
      </c>
      <c r="Y108" t="str">
        <f>IF([2]Baskol!$I$111="","",[2]Baskol!$I$111)</f>
        <v/>
      </c>
      <c r="Z108" t="str">
        <f>IF([2]Baskol!$J$111="","",[2]Baskol!$J$111)</f>
        <v>خرمالو</v>
      </c>
      <c r="AA108">
        <f>IF([2]Baskol!$K$111="","",[2]Baskol!$K$111)</f>
        <v>550</v>
      </c>
      <c r="AB108">
        <f>IF([2]Baskol!$L$111="","",[2]Baskol!$L$111)</f>
        <v>42</v>
      </c>
      <c r="AC108" t="str">
        <f>IF([2]Baskol!$N$111="","",[2]Baskol!$N$111)</f>
        <v/>
      </c>
      <c r="AD108" t="str">
        <f>IF([2]Baskol!$O$111="","",[2]Baskol!$O$111)</f>
        <v/>
      </c>
      <c r="AE108" t="str">
        <f>IF([3]Entry!$C$111="","",[3]Entry!$C$111)</f>
        <v/>
      </c>
      <c r="AF108" t="str">
        <f>IF([3]Entry!$D$111="","",[3]Entry!$D$111)</f>
        <v/>
      </c>
      <c r="AG108" t="str">
        <f>IF([3]Entry!$E$111="","",[3]Entry!$E$111)</f>
        <v/>
      </c>
      <c r="AH108" t="str">
        <f>IF([3]Entry!$G$111="","",[3]Entry!$G$111)</f>
        <v/>
      </c>
      <c r="AI108" t="str">
        <f>IF([3]Entry!$K$111="","",[3]Entry!$K$111)</f>
        <v/>
      </c>
      <c r="AJ108" t="str">
        <f>IF([3]Entry!$L$111="","",[3]Entry!$L$111)</f>
        <v/>
      </c>
      <c r="AK108" t="str">
        <f>IF([3]Entry!$M$111="","",[3]Entry!$M$111)</f>
        <v/>
      </c>
      <c r="AL108" t="str">
        <f>IF([3]Entry!$N$111="","",[3]Entry!$N$111)</f>
        <v/>
      </c>
      <c r="AM108" t="str">
        <f>IF([3]Entry!$R$111="","",[3]Entry!$R$111)</f>
        <v/>
      </c>
    </row>
    <row r="109" spans="1:39" x14ac:dyDescent="0.2">
      <c r="A109" t="str">
        <f>IF([1]Accounts!$D$110="","",[1]Accounts!$A$110)</f>
        <v/>
      </c>
      <c r="B109" t="str">
        <f>IF([1]Accounts!$D$110="","",[1]Accounts!$B$110)</f>
        <v/>
      </c>
      <c r="C109" t="str">
        <f>IF([1]Accounts!$D$110="","",[1]Accounts!$C$110)</f>
        <v/>
      </c>
      <c r="D109" t="str">
        <f>IF([1]Accounts!$D$110="","",[1]Accounts!$D$110)</f>
        <v/>
      </c>
      <c r="E109" t="str">
        <f>IF([1]Accounts!$D$110="","",[1]Accounts!$E$110)</f>
        <v/>
      </c>
      <c r="F109" t="str">
        <f>IF([1]Accounts!$D$110="","",[1]Accounts!$F$110)</f>
        <v/>
      </c>
      <c r="G109" t="str">
        <f>IF([1]Accounts!$D$110="","",[1]Accounts!$G$110)</f>
        <v/>
      </c>
      <c r="T109" t="str">
        <f>IF([2]Baskol!$B$112="","",[2]Baskol!$B$112)</f>
        <v>1405/07/21</v>
      </c>
      <c r="U109" t="str">
        <f>IF([2]Baskol!$C$112="","",[2]Baskol!$C$112)</f>
        <v/>
      </c>
      <c r="V109" t="str">
        <f>IF([2]Baskol!$D$112="","",[2]Baskol!$D$112)</f>
        <v/>
      </c>
      <c r="W109" t="str">
        <f>IF([2]Baskol!$E$112="","",[2]Baskol!$E$112)</f>
        <v>خرید مرکبات</v>
      </c>
      <c r="X109" t="str">
        <f>IF([2]Baskol!$G$112="","",[2]Baskol!$G$112)</f>
        <v>c005</v>
      </c>
      <c r="Y109" t="str">
        <f>IF([2]Baskol!$I$112="","",[2]Baskol!$I$112)</f>
        <v/>
      </c>
      <c r="Z109" t="str">
        <f>IF([2]Baskol!$J$112="","",[2]Baskol!$J$112)</f>
        <v>خرمالو</v>
      </c>
      <c r="AA109">
        <f>IF([2]Baskol!$K$112="","",[2]Baskol!$K$112)</f>
        <v>144</v>
      </c>
      <c r="AB109">
        <f>IF([2]Baskol!$L$112="","",[2]Baskol!$L$112)</f>
        <v>9</v>
      </c>
      <c r="AC109" t="str">
        <f>IF([2]Baskol!$N$112="","",[2]Baskol!$N$112)</f>
        <v/>
      </c>
      <c r="AD109" t="str">
        <f>IF([2]Baskol!$O$112="","",[2]Baskol!$O$112)</f>
        <v/>
      </c>
      <c r="AE109" t="str">
        <f>IF([3]Entry!$C$112="","",[3]Entry!$C$112)</f>
        <v/>
      </c>
      <c r="AF109" t="str">
        <f>IF([3]Entry!$D$112="","",[3]Entry!$D$112)</f>
        <v/>
      </c>
      <c r="AG109" t="str">
        <f>IF([3]Entry!$E$112="","",[3]Entry!$E$112)</f>
        <v/>
      </c>
      <c r="AH109" t="str">
        <f>IF([3]Entry!$G$112="","",[3]Entry!$G$112)</f>
        <v/>
      </c>
      <c r="AI109" t="str">
        <f>IF([3]Entry!$K$112="","",[3]Entry!$K$112)</f>
        <v/>
      </c>
      <c r="AJ109" t="str">
        <f>IF([3]Entry!$L$112="","",[3]Entry!$L$112)</f>
        <v/>
      </c>
      <c r="AK109" t="str">
        <f>IF([3]Entry!$M$112="","",[3]Entry!$M$112)</f>
        <v/>
      </c>
      <c r="AL109" t="str">
        <f>IF([3]Entry!$N$112="","",[3]Entry!$N$112)</f>
        <v/>
      </c>
      <c r="AM109" t="str">
        <f>IF([3]Entry!$R$112="","",[3]Entry!$R$112)</f>
        <v/>
      </c>
    </row>
    <row r="110" spans="1:39" x14ac:dyDescent="0.2">
      <c r="A110" t="str">
        <f>IF([1]Accounts!$D$111="","",[1]Accounts!$A$111)</f>
        <v/>
      </c>
      <c r="B110" t="str">
        <f>IF([1]Accounts!$D$111="","",[1]Accounts!$B$111)</f>
        <v/>
      </c>
      <c r="C110" t="str">
        <f>IF([1]Accounts!$D$111="","",[1]Accounts!$C$111)</f>
        <v/>
      </c>
      <c r="D110" t="str">
        <f>IF([1]Accounts!$D$111="","",[1]Accounts!$D$111)</f>
        <v/>
      </c>
      <c r="E110" t="str">
        <f>IF([1]Accounts!$D$111="","",[1]Accounts!$E$111)</f>
        <v/>
      </c>
      <c r="F110" t="str">
        <f>IF([1]Accounts!$D$111="","",[1]Accounts!$F$111)</f>
        <v/>
      </c>
      <c r="G110" t="str">
        <f>IF([1]Accounts!$D$111="","",[1]Accounts!$G$111)</f>
        <v/>
      </c>
      <c r="T110" t="str">
        <f>IF([2]Baskol!$B$113="","",[2]Baskol!$B$113)</f>
        <v>1405/07/21</v>
      </c>
      <c r="U110" t="str">
        <f>IF([2]Baskol!$C$113="","",[2]Baskol!$C$113)</f>
        <v/>
      </c>
      <c r="V110" t="str">
        <f>IF([2]Baskol!$D$113="","",[2]Baskol!$D$113)</f>
        <v/>
      </c>
      <c r="W110" t="str">
        <f>IF([2]Baskol!$E$113="","",[2]Baskol!$E$113)</f>
        <v>خرید مرکبات</v>
      </c>
      <c r="X110" t="str">
        <f>IF([2]Baskol!$G$113="","",[2]Baskol!$G$113)</f>
        <v>c034</v>
      </c>
      <c r="Y110" t="str">
        <f>IF([2]Baskol!$I$113="","",[2]Baskol!$I$113)</f>
        <v/>
      </c>
      <c r="Z110" t="str">
        <f>IF([2]Baskol!$J$113="","",[2]Baskol!$J$113)</f>
        <v>نارنگی</v>
      </c>
      <c r="AA110">
        <f>IF([2]Baskol!$K$113="","",[2]Baskol!$K$113)</f>
        <v>1955</v>
      </c>
      <c r="AB110">
        <f>IF([2]Baskol!$L$113="","",[2]Baskol!$L$113)</f>
        <v>85</v>
      </c>
      <c r="AC110" t="str">
        <f>IF([2]Baskol!$N$113="","",[2]Baskol!$N$113)</f>
        <v/>
      </c>
      <c r="AD110" t="str">
        <f>IF([2]Baskol!$O$113="","",[2]Baskol!$O$113)</f>
        <v/>
      </c>
      <c r="AE110" t="str">
        <f>IF([3]Entry!$C$113="","",[3]Entry!$C$113)</f>
        <v/>
      </c>
      <c r="AF110" t="str">
        <f>IF([3]Entry!$D$113="","",[3]Entry!$D$113)</f>
        <v/>
      </c>
      <c r="AG110" t="str">
        <f>IF([3]Entry!$E$113="","",[3]Entry!$E$113)</f>
        <v/>
      </c>
      <c r="AH110" t="str">
        <f>IF([3]Entry!$G$113="","",[3]Entry!$G$113)</f>
        <v/>
      </c>
      <c r="AI110" t="str">
        <f>IF([3]Entry!$K$113="","",[3]Entry!$K$113)</f>
        <v/>
      </c>
      <c r="AJ110" t="str">
        <f>IF([3]Entry!$L$113="","",[3]Entry!$L$113)</f>
        <v/>
      </c>
      <c r="AK110" t="str">
        <f>IF([3]Entry!$M$113="","",[3]Entry!$M$113)</f>
        <v/>
      </c>
      <c r="AL110" t="str">
        <f>IF([3]Entry!$N$113="","",[3]Entry!$N$113)</f>
        <v/>
      </c>
      <c r="AM110" t="str">
        <f>IF([3]Entry!$R$113="","",[3]Entry!$R$113)</f>
        <v/>
      </c>
    </row>
    <row r="111" spans="1:39" x14ac:dyDescent="0.2">
      <c r="A111" t="str">
        <f>IF([1]Accounts!$D$112="","",[1]Accounts!$A$112)</f>
        <v/>
      </c>
      <c r="B111" t="str">
        <f>IF([1]Accounts!$D$112="","",[1]Accounts!$B$112)</f>
        <v/>
      </c>
      <c r="C111" t="str">
        <f>IF([1]Accounts!$D$112="","",[1]Accounts!$C$112)</f>
        <v/>
      </c>
      <c r="D111" t="str">
        <f>IF([1]Accounts!$D$112="","",[1]Accounts!$D$112)</f>
        <v/>
      </c>
      <c r="E111" t="str">
        <f>IF([1]Accounts!$D$112="","",[1]Accounts!$E$112)</f>
        <v/>
      </c>
      <c r="F111" t="str">
        <f>IF([1]Accounts!$D$112="","",[1]Accounts!$F$112)</f>
        <v/>
      </c>
      <c r="G111" t="str">
        <f>IF([1]Accounts!$D$112="","",[1]Accounts!$G$112)</f>
        <v/>
      </c>
      <c r="T111" t="str">
        <f>IF([2]Baskol!$B$114="","",[2]Baskol!$B$114)</f>
        <v>1405/07/22</v>
      </c>
      <c r="U111" t="str">
        <f>IF([2]Baskol!$C$114="","",[2]Baskol!$C$114)</f>
        <v/>
      </c>
      <c r="V111" t="str">
        <f>IF([2]Baskol!$D$114="","",[2]Baskol!$D$114)</f>
        <v/>
      </c>
      <c r="W111" t="str">
        <f>IF([2]Baskol!$E$114="","",[2]Baskol!$E$114)</f>
        <v>فروش</v>
      </c>
      <c r="X111" t="str">
        <f>IF([2]Baskol!$G$114="","",[2]Baskol!$G$114)</f>
        <v>SL002</v>
      </c>
      <c r="Y111" t="str">
        <f>IF([2]Baskol!$I$114="","",[2]Baskol!$I$114)</f>
        <v/>
      </c>
      <c r="Z111" t="str">
        <f>IF([2]Baskol!$J$114="","",[2]Baskol!$J$114)</f>
        <v/>
      </c>
      <c r="AA111">
        <f>IF([2]Baskol!$K$114="","",[2]Baskol!$K$114)</f>
        <v>3030</v>
      </c>
      <c r="AB111" t="str">
        <f>IF([2]Baskol!$L$114="","",[2]Baskol!$L$114)</f>
        <v/>
      </c>
      <c r="AC111" t="str">
        <f>IF([2]Baskol!$N$114="","",[2]Baskol!$N$114)</f>
        <v/>
      </c>
      <c r="AD111" t="str">
        <f>IF([2]Baskol!$O$114="","",[2]Baskol!$O$114)</f>
        <v/>
      </c>
      <c r="AE111" t="str">
        <f>IF([3]Entry!$C$114="","",[3]Entry!$C$114)</f>
        <v/>
      </c>
      <c r="AF111" t="str">
        <f>IF([3]Entry!$D$114="","",[3]Entry!$D$114)</f>
        <v/>
      </c>
      <c r="AG111" t="str">
        <f>IF([3]Entry!$E$114="","",[3]Entry!$E$114)</f>
        <v/>
      </c>
      <c r="AH111" t="str">
        <f>IF([3]Entry!$G$114="","",[3]Entry!$G$114)</f>
        <v/>
      </c>
      <c r="AI111" t="str">
        <f>IF([3]Entry!$K$114="","",[3]Entry!$K$114)</f>
        <v/>
      </c>
      <c r="AJ111" t="str">
        <f>IF([3]Entry!$L$114="","",[3]Entry!$L$114)</f>
        <v/>
      </c>
      <c r="AK111" t="str">
        <f>IF([3]Entry!$M$114="","",[3]Entry!$M$114)</f>
        <v/>
      </c>
      <c r="AL111" t="str">
        <f>IF([3]Entry!$N$114="","",[3]Entry!$N$114)</f>
        <v/>
      </c>
      <c r="AM111" t="str">
        <f>IF([3]Entry!$R$114="","",[3]Entry!$R$114)</f>
        <v/>
      </c>
    </row>
    <row r="112" spans="1:39" x14ac:dyDescent="0.2">
      <c r="A112" t="str">
        <f>IF([1]Accounts!$D$113="","",[1]Accounts!$A$113)</f>
        <v/>
      </c>
      <c r="B112" t="str">
        <f>IF([1]Accounts!$D$113="","",[1]Accounts!$B$113)</f>
        <v/>
      </c>
      <c r="C112" t="str">
        <f>IF([1]Accounts!$D$113="","",[1]Accounts!$C$113)</f>
        <v/>
      </c>
      <c r="D112" t="str">
        <f>IF([1]Accounts!$D$113="","",[1]Accounts!$D$113)</f>
        <v/>
      </c>
      <c r="E112" t="str">
        <f>IF([1]Accounts!$D$113="","",[1]Accounts!$E$113)</f>
        <v/>
      </c>
      <c r="F112" t="str">
        <f>IF([1]Accounts!$D$113="","",[1]Accounts!$F$113)</f>
        <v/>
      </c>
      <c r="G112" t="str">
        <f>IF([1]Accounts!$D$113="","",[1]Accounts!$G$113)</f>
        <v/>
      </c>
      <c r="T112" t="str">
        <f>IF([2]Baskol!$B$115="","",[2]Baskol!$B$115)</f>
        <v>1405/07/22</v>
      </c>
      <c r="U112" t="str">
        <f>IF([2]Baskol!$C$115="","",[2]Baskol!$C$115)</f>
        <v/>
      </c>
      <c r="V112" t="str">
        <f>IF([2]Baskol!$D$115="","",[2]Baskol!$D$115)</f>
        <v/>
      </c>
      <c r="W112" t="str">
        <f>IF([2]Baskol!$E$115="","",[2]Baskol!$E$115)</f>
        <v>خرید مرکبات</v>
      </c>
      <c r="X112" t="str">
        <f>IF([2]Baskol!$G$115="","",[2]Baskol!$G$115)</f>
        <v>c042</v>
      </c>
      <c r="Y112" t="str">
        <f>IF([2]Baskol!$I$115="","",[2]Baskol!$I$115)</f>
        <v/>
      </c>
      <c r="Z112" t="str">
        <f>IF([2]Baskol!$J$115="","",[2]Baskol!$J$115)</f>
        <v>نارنگی</v>
      </c>
      <c r="AA112">
        <f>IF([2]Baskol!$K$115="","",[2]Baskol!$K$115)</f>
        <v>2850</v>
      </c>
      <c r="AB112">
        <f>IF([2]Baskol!$L$115="","",[2]Baskol!$L$115)</f>
        <v>185</v>
      </c>
      <c r="AC112" t="str">
        <f>IF([2]Baskol!$N$115="","",[2]Baskol!$N$115)</f>
        <v/>
      </c>
      <c r="AD112" t="str">
        <f>IF([2]Baskol!$O$115="","",[2]Baskol!$O$115)</f>
        <v/>
      </c>
      <c r="AE112" t="str">
        <f>IF([3]Entry!$C$115="","",[3]Entry!$C$115)</f>
        <v/>
      </c>
      <c r="AF112" t="str">
        <f>IF([3]Entry!$D$115="","",[3]Entry!$D$115)</f>
        <v/>
      </c>
      <c r="AG112" t="str">
        <f>IF([3]Entry!$E$115="","",[3]Entry!$E$115)</f>
        <v/>
      </c>
      <c r="AH112" t="str">
        <f>IF([3]Entry!$G$115="","",[3]Entry!$G$115)</f>
        <v/>
      </c>
      <c r="AI112" t="str">
        <f>IF([3]Entry!$K$115="","",[3]Entry!$K$115)</f>
        <v/>
      </c>
      <c r="AJ112" t="str">
        <f>IF([3]Entry!$L$115="","",[3]Entry!$L$115)</f>
        <v/>
      </c>
      <c r="AK112" t="str">
        <f>IF([3]Entry!$M$115="","",[3]Entry!$M$115)</f>
        <v/>
      </c>
      <c r="AL112" t="str">
        <f>IF([3]Entry!$N$115="","",[3]Entry!$N$115)</f>
        <v/>
      </c>
      <c r="AM112" t="str">
        <f>IF([3]Entry!$R$115="","",[3]Entry!$R$115)</f>
        <v/>
      </c>
    </row>
    <row r="113" spans="1:39" x14ac:dyDescent="0.2">
      <c r="A113" t="str">
        <f>IF([1]Accounts!$D$114="","",[1]Accounts!$A$114)</f>
        <v/>
      </c>
      <c r="B113" t="str">
        <f>IF([1]Accounts!$D$114="","",[1]Accounts!$B$114)</f>
        <v/>
      </c>
      <c r="C113" t="str">
        <f>IF([1]Accounts!$D$114="","",[1]Accounts!$C$114)</f>
        <v/>
      </c>
      <c r="D113" t="str">
        <f>IF([1]Accounts!$D$114="","",[1]Accounts!$D$114)</f>
        <v/>
      </c>
      <c r="E113" t="str">
        <f>IF([1]Accounts!$D$114="","",[1]Accounts!$E$114)</f>
        <v/>
      </c>
      <c r="F113" t="str">
        <f>IF([1]Accounts!$D$114="","",[1]Accounts!$F$114)</f>
        <v/>
      </c>
      <c r="G113" t="str">
        <f>IF([1]Accounts!$D$114="","",[1]Accounts!$G$114)</f>
        <v/>
      </c>
      <c r="T113" t="str">
        <f>IF([2]Baskol!$B$116="","",[2]Baskol!$B$116)</f>
        <v>1405/07/22</v>
      </c>
      <c r="U113" t="str">
        <f>IF([2]Baskol!$C$116="","",[2]Baskol!$C$116)</f>
        <v/>
      </c>
      <c r="V113" t="str">
        <f>IF([2]Baskol!$D$116="","",[2]Baskol!$D$116)</f>
        <v/>
      </c>
      <c r="W113" t="str">
        <f>IF([2]Baskol!$E$116="","",[2]Baskol!$E$116)</f>
        <v>خرید مرکبات</v>
      </c>
      <c r="X113" t="str">
        <f>IF([2]Baskol!$G$116="","",[2]Baskol!$G$116)</f>
        <v>c026</v>
      </c>
      <c r="Y113" t="str">
        <f>IF([2]Baskol!$I$116="","",[2]Baskol!$I$116)</f>
        <v/>
      </c>
      <c r="Z113" t="str">
        <f>IF([2]Baskol!$J$116="","",[2]Baskol!$J$116)</f>
        <v>خرمالو</v>
      </c>
      <c r="AA113">
        <f>IF([2]Baskol!$K$116="","",[2]Baskol!$K$116)</f>
        <v>260</v>
      </c>
      <c r="AB113">
        <f>IF([2]Baskol!$L$116="","",[2]Baskol!$L$116)</f>
        <v>20</v>
      </c>
      <c r="AC113" t="str">
        <f>IF([2]Baskol!$N$116="","",[2]Baskol!$N$116)</f>
        <v/>
      </c>
      <c r="AD113" t="str">
        <f>IF([2]Baskol!$O$116="","",[2]Baskol!$O$116)</f>
        <v/>
      </c>
      <c r="AE113" t="str">
        <f>IF([3]Entry!$C$116="","",[3]Entry!$C$116)</f>
        <v/>
      </c>
      <c r="AF113" t="str">
        <f>IF([3]Entry!$D$116="","",[3]Entry!$D$116)</f>
        <v/>
      </c>
      <c r="AG113" t="str">
        <f>IF([3]Entry!$E$116="","",[3]Entry!$E$116)</f>
        <v/>
      </c>
      <c r="AH113" t="str">
        <f>IF([3]Entry!$G$116="","",[3]Entry!$G$116)</f>
        <v/>
      </c>
      <c r="AI113" t="str">
        <f>IF([3]Entry!$K$116="","",[3]Entry!$K$116)</f>
        <v/>
      </c>
      <c r="AJ113" t="str">
        <f>IF([3]Entry!$L$116="","",[3]Entry!$L$116)</f>
        <v/>
      </c>
      <c r="AK113" t="str">
        <f>IF([3]Entry!$M$116="","",[3]Entry!$M$116)</f>
        <v/>
      </c>
      <c r="AL113" t="str">
        <f>IF([3]Entry!$N$116="","",[3]Entry!$N$116)</f>
        <v/>
      </c>
      <c r="AM113" t="str">
        <f>IF([3]Entry!$R$116="","",[3]Entry!$R$116)</f>
        <v/>
      </c>
    </row>
    <row r="114" spans="1:39" x14ac:dyDescent="0.2">
      <c r="A114" t="str">
        <f>IF([1]Accounts!$D$115="","",[1]Accounts!$A$115)</f>
        <v/>
      </c>
      <c r="B114" t="str">
        <f>IF([1]Accounts!$D$115="","",[1]Accounts!$B$115)</f>
        <v/>
      </c>
      <c r="C114" t="str">
        <f>IF([1]Accounts!$D$115="","",[1]Accounts!$C$115)</f>
        <v/>
      </c>
      <c r="D114" t="str">
        <f>IF([1]Accounts!$D$115="","",[1]Accounts!$D$115)</f>
        <v/>
      </c>
      <c r="E114" t="str">
        <f>IF([1]Accounts!$D$115="","",[1]Accounts!$E$115)</f>
        <v/>
      </c>
      <c r="F114" t="str">
        <f>IF([1]Accounts!$D$115="","",[1]Accounts!$F$115)</f>
        <v/>
      </c>
      <c r="G114" t="str">
        <f>IF([1]Accounts!$D$115="","",[1]Accounts!$G$115)</f>
        <v/>
      </c>
      <c r="T114" t="str">
        <f>IF([2]Baskol!$B$117="","",[2]Baskol!$B$117)</f>
        <v>1405/07/22</v>
      </c>
      <c r="U114" t="str">
        <f>IF([2]Baskol!$C$117="","",[2]Baskol!$C$117)</f>
        <v/>
      </c>
      <c r="V114" t="str">
        <f>IF([2]Baskol!$D$117="","",[2]Baskol!$D$117)</f>
        <v/>
      </c>
      <c r="W114" t="str">
        <f>IF([2]Baskol!$E$117="","",[2]Baskol!$E$117)</f>
        <v>خرید مرکبات</v>
      </c>
      <c r="X114" t="str">
        <f>IF([2]Baskol!$G$117="","",[2]Baskol!$G$117)</f>
        <v>c044</v>
      </c>
      <c r="Y114" t="str">
        <f>IF([2]Baskol!$I$117="","",[2]Baskol!$I$117)</f>
        <v/>
      </c>
      <c r="Z114" t="str">
        <f>IF([2]Baskol!$J$117="","",[2]Baskol!$J$117)</f>
        <v>خرمالو</v>
      </c>
      <c r="AA114">
        <f>IF([2]Baskol!$K$117="","",[2]Baskol!$K$117)</f>
        <v>255</v>
      </c>
      <c r="AB114">
        <f>IF([2]Baskol!$L$117="","",[2]Baskol!$L$117)</f>
        <v>16</v>
      </c>
      <c r="AC114" t="str">
        <f>IF([2]Baskol!$N$117="","",[2]Baskol!$N$117)</f>
        <v/>
      </c>
      <c r="AD114" t="str">
        <f>IF([2]Baskol!$O$117="","",[2]Baskol!$O$117)</f>
        <v/>
      </c>
      <c r="AE114" t="str">
        <f>IF([3]Entry!$C$117="","",[3]Entry!$C$117)</f>
        <v/>
      </c>
      <c r="AF114" t="str">
        <f>IF([3]Entry!$D$117="","",[3]Entry!$D$117)</f>
        <v/>
      </c>
      <c r="AG114" t="str">
        <f>IF([3]Entry!$E$117="","",[3]Entry!$E$117)</f>
        <v/>
      </c>
      <c r="AH114" t="str">
        <f>IF([3]Entry!$G$117="","",[3]Entry!$G$117)</f>
        <v/>
      </c>
      <c r="AI114" t="str">
        <f>IF([3]Entry!$K$117="","",[3]Entry!$K$117)</f>
        <v/>
      </c>
      <c r="AJ114" t="str">
        <f>IF([3]Entry!$L$117="","",[3]Entry!$L$117)</f>
        <v/>
      </c>
      <c r="AK114" t="str">
        <f>IF([3]Entry!$M$117="","",[3]Entry!$M$117)</f>
        <v/>
      </c>
      <c r="AL114" t="str">
        <f>IF([3]Entry!$N$117="","",[3]Entry!$N$117)</f>
        <v/>
      </c>
      <c r="AM114" t="str">
        <f>IF([3]Entry!$R$117="","",[3]Entry!$R$117)</f>
        <v/>
      </c>
    </row>
    <row r="115" spans="1:39" x14ac:dyDescent="0.2">
      <c r="A115" t="str">
        <f>IF([1]Accounts!$D$116="","",[1]Accounts!$A$116)</f>
        <v/>
      </c>
      <c r="B115" t="str">
        <f>IF([1]Accounts!$D$116="","",[1]Accounts!$B$116)</f>
        <v/>
      </c>
      <c r="C115" t="str">
        <f>IF([1]Accounts!$D$116="","",[1]Accounts!$C$116)</f>
        <v/>
      </c>
      <c r="D115" t="str">
        <f>IF([1]Accounts!$D$116="","",[1]Accounts!$D$116)</f>
        <v/>
      </c>
      <c r="E115" t="str">
        <f>IF([1]Accounts!$D$116="","",[1]Accounts!$E$116)</f>
        <v/>
      </c>
      <c r="F115" t="str">
        <f>IF([1]Accounts!$D$116="","",[1]Accounts!$F$116)</f>
        <v/>
      </c>
      <c r="G115" t="str">
        <f>IF([1]Accounts!$D$116="","",[1]Accounts!$G$116)</f>
        <v/>
      </c>
      <c r="T115" t="str">
        <f>IF([2]Baskol!$B$118="","",[2]Baskol!$B$118)</f>
        <v>1405/07/22</v>
      </c>
      <c r="U115" t="str">
        <f>IF([2]Baskol!$C$118="","",[2]Baskol!$C$118)</f>
        <v/>
      </c>
      <c r="V115" t="str">
        <f>IF([2]Baskol!$D$118="","",[2]Baskol!$D$118)</f>
        <v/>
      </c>
      <c r="W115" t="str">
        <f>IF([2]Baskol!$E$118="","",[2]Baskol!$E$118)</f>
        <v>خرید مرکبات</v>
      </c>
      <c r="X115" t="str">
        <f>IF([2]Baskol!$G$118="","",[2]Baskol!$G$118)</f>
        <v>c015</v>
      </c>
      <c r="Y115" t="str">
        <f>IF([2]Baskol!$I$118="","",[2]Baskol!$I$118)</f>
        <v/>
      </c>
      <c r="Z115" t="str">
        <f>IF([2]Baskol!$J$118="","",[2]Baskol!$J$118)</f>
        <v>خرمالو</v>
      </c>
      <c r="AA115">
        <f>IF([2]Baskol!$K$118="","",[2]Baskol!$K$118)</f>
        <v>84</v>
      </c>
      <c r="AB115">
        <f>IF([2]Baskol!$L$118="","",[2]Baskol!$L$118)</f>
        <v>5</v>
      </c>
      <c r="AC115" t="str">
        <f>IF([2]Baskol!$N$118="","",[2]Baskol!$N$118)</f>
        <v/>
      </c>
      <c r="AD115" t="str">
        <f>IF([2]Baskol!$O$118="","",[2]Baskol!$O$118)</f>
        <v/>
      </c>
      <c r="AE115" t="str">
        <f>IF([3]Entry!$C$118="","",[3]Entry!$C$118)</f>
        <v/>
      </c>
      <c r="AF115" t="str">
        <f>IF([3]Entry!$D$118="","",[3]Entry!$D$118)</f>
        <v/>
      </c>
      <c r="AG115" t="str">
        <f>IF([3]Entry!$E$118="","",[3]Entry!$E$118)</f>
        <v/>
      </c>
      <c r="AH115" t="str">
        <f>IF([3]Entry!$G$118="","",[3]Entry!$G$118)</f>
        <v/>
      </c>
      <c r="AI115" t="str">
        <f>IF([3]Entry!$K$118="","",[3]Entry!$K$118)</f>
        <v/>
      </c>
      <c r="AJ115" t="str">
        <f>IF([3]Entry!$L$118="","",[3]Entry!$L$118)</f>
        <v/>
      </c>
      <c r="AK115" t="str">
        <f>IF([3]Entry!$M$118="","",[3]Entry!$M$118)</f>
        <v/>
      </c>
      <c r="AL115" t="str">
        <f>IF([3]Entry!$N$118="","",[3]Entry!$N$118)</f>
        <v/>
      </c>
      <c r="AM115" t="str">
        <f>IF([3]Entry!$R$118="","",[3]Entry!$R$118)</f>
        <v/>
      </c>
    </row>
    <row r="116" spans="1:39" x14ac:dyDescent="0.2">
      <c r="A116" t="str">
        <f>IF([1]Accounts!$D$117="","",[1]Accounts!$A$117)</f>
        <v/>
      </c>
      <c r="B116" t="str">
        <f>IF([1]Accounts!$D$117="","",[1]Accounts!$B$117)</f>
        <v/>
      </c>
      <c r="C116" t="str">
        <f>IF([1]Accounts!$D$117="","",[1]Accounts!$C$117)</f>
        <v/>
      </c>
      <c r="D116" t="str">
        <f>IF([1]Accounts!$D$117="","",[1]Accounts!$D$117)</f>
        <v/>
      </c>
      <c r="E116" t="str">
        <f>IF([1]Accounts!$D$117="","",[1]Accounts!$E$117)</f>
        <v/>
      </c>
      <c r="F116" t="str">
        <f>IF([1]Accounts!$D$117="","",[1]Accounts!$F$117)</f>
        <v/>
      </c>
      <c r="G116" t="str">
        <f>IF([1]Accounts!$D$117="","",[1]Accounts!$G$117)</f>
        <v/>
      </c>
      <c r="T116" t="str">
        <f>IF([2]Baskol!$B$119="","",[2]Baskol!$B$119)</f>
        <v>1405/07/22</v>
      </c>
      <c r="U116" t="str">
        <f>IF([2]Baskol!$C$119="","",[2]Baskol!$C$119)</f>
        <v/>
      </c>
      <c r="V116" t="str">
        <f>IF([2]Baskol!$D$119="","",[2]Baskol!$D$119)</f>
        <v/>
      </c>
      <c r="W116" t="str">
        <f>IF([2]Baskol!$E$119="","",[2]Baskol!$E$119)</f>
        <v>خرید مرکبات</v>
      </c>
      <c r="X116" t="str">
        <f>IF([2]Baskol!$G$119="","",[2]Baskol!$G$119)</f>
        <v>c041</v>
      </c>
      <c r="Y116" t="str">
        <f>IF([2]Baskol!$I$119="","",[2]Baskol!$I$119)</f>
        <v/>
      </c>
      <c r="Z116" t="str">
        <f>IF([2]Baskol!$J$119="","",[2]Baskol!$J$119)</f>
        <v>نارنگی</v>
      </c>
      <c r="AA116">
        <f>IF([2]Baskol!$K$119="","",[2]Baskol!$K$119)</f>
        <v>1515</v>
      </c>
      <c r="AB116">
        <f>IF([2]Baskol!$L$119="","",[2]Baskol!$L$119)</f>
        <v>86</v>
      </c>
      <c r="AC116" t="str">
        <f>IF([2]Baskol!$N$119="","",[2]Baskol!$N$119)</f>
        <v/>
      </c>
      <c r="AD116" t="str">
        <f>IF([2]Baskol!$O$119="","",[2]Baskol!$O$119)</f>
        <v/>
      </c>
      <c r="AE116" t="str">
        <f>IF([3]Entry!$C$119="","",[3]Entry!$C$119)</f>
        <v/>
      </c>
      <c r="AF116" t="str">
        <f>IF([3]Entry!$D$119="","",[3]Entry!$D$119)</f>
        <v/>
      </c>
      <c r="AG116" t="str">
        <f>IF([3]Entry!$E$119="","",[3]Entry!$E$119)</f>
        <v/>
      </c>
      <c r="AH116" t="str">
        <f>IF([3]Entry!$G$119="","",[3]Entry!$G$119)</f>
        <v/>
      </c>
      <c r="AI116" t="str">
        <f>IF([3]Entry!$K$119="","",[3]Entry!$K$119)</f>
        <v/>
      </c>
      <c r="AJ116" t="str">
        <f>IF([3]Entry!$L$119="","",[3]Entry!$L$119)</f>
        <v/>
      </c>
      <c r="AK116" t="str">
        <f>IF([3]Entry!$M$119="","",[3]Entry!$M$119)</f>
        <v/>
      </c>
      <c r="AL116" t="str">
        <f>IF([3]Entry!$N$119="","",[3]Entry!$N$119)</f>
        <v/>
      </c>
      <c r="AM116" t="str">
        <f>IF([3]Entry!$R$119="","",[3]Entry!$R$119)</f>
        <v/>
      </c>
    </row>
    <row r="117" spans="1:39" x14ac:dyDescent="0.2">
      <c r="A117" t="str">
        <f>IF([1]Accounts!$D$118="","",[1]Accounts!$A$118)</f>
        <v/>
      </c>
      <c r="B117" t="str">
        <f>IF([1]Accounts!$D$118="","",[1]Accounts!$B$118)</f>
        <v/>
      </c>
      <c r="C117" t="str">
        <f>IF([1]Accounts!$D$118="","",[1]Accounts!$C$118)</f>
        <v/>
      </c>
      <c r="D117" t="str">
        <f>IF([1]Accounts!$D$118="","",[1]Accounts!$D$118)</f>
        <v/>
      </c>
      <c r="E117" t="str">
        <f>IF([1]Accounts!$D$118="","",[1]Accounts!$E$118)</f>
        <v/>
      </c>
      <c r="F117" t="str">
        <f>IF([1]Accounts!$D$118="","",[1]Accounts!$F$118)</f>
        <v/>
      </c>
      <c r="G117" t="str">
        <f>IF([1]Accounts!$D$118="","",[1]Accounts!$G$118)</f>
        <v/>
      </c>
      <c r="T117" t="str">
        <f>IF([2]Baskol!$B$120="","",[2]Baskol!$B$120)</f>
        <v>1405/07/22</v>
      </c>
      <c r="U117" t="str">
        <f>IF([2]Baskol!$C$120="","",[2]Baskol!$C$120)</f>
        <v/>
      </c>
      <c r="V117" t="str">
        <f>IF([2]Baskol!$D$120="","",[2]Baskol!$D$120)</f>
        <v/>
      </c>
      <c r="W117" t="str">
        <f>IF([2]Baskol!$E$120="","",[2]Baskol!$E$120)</f>
        <v>خرید مرکبات</v>
      </c>
      <c r="X117" t="str">
        <f>IF([2]Baskol!$G$120="","",[2]Baskol!$G$120)</f>
        <v>c042</v>
      </c>
      <c r="Y117" t="str">
        <f>IF([2]Baskol!$I$120="","",[2]Baskol!$I$120)</f>
        <v/>
      </c>
      <c r="Z117" t="str">
        <f>IF([2]Baskol!$J$120="","",[2]Baskol!$J$120)</f>
        <v>نارنگی</v>
      </c>
      <c r="AA117">
        <f>IF([2]Baskol!$K$120="","",[2]Baskol!$K$120)</f>
        <v>2375</v>
      </c>
      <c r="AB117">
        <f>IF([2]Baskol!$L$120="","",[2]Baskol!$L$120)</f>
        <v>147</v>
      </c>
      <c r="AC117" t="str">
        <f>IF([2]Baskol!$N$120="","",[2]Baskol!$N$120)</f>
        <v/>
      </c>
      <c r="AD117" t="str">
        <f>IF([2]Baskol!$O$120="","",[2]Baskol!$O$120)</f>
        <v/>
      </c>
      <c r="AE117" t="str">
        <f>IF([3]Entry!$C$120="","",[3]Entry!$C$120)</f>
        <v/>
      </c>
      <c r="AF117" t="str">
        <f>IF([3]Entry!$D$120="","",[3]Entry!$D$120)</f>
        <v/>
      </c>
      <c r="AG117" t="str">
        <f>IF([3]Entry!$E$120="","",[3]Entry!$E$120)</f>
        <v/>
      </c>
      <c r="AH117" t="str">
        <f>IF([3]Entry!$G$120="","",[3]Entry!$G$120)</f>
        <v/>
      </c>
      <c r="AI117" t="str">
        <f>IF([3]Entry!$K$120="","",[3]Entry!$K$120)</f>
        <v/>
      </c>
      <c r="AJ117" t="str">
        <f>IF([3]Entry!$L$120="","",[3]Entry!$L$120)</f>
        <v/>
      </c>
      <c r="AK117" t="str">
        <f>IF([3]Entry!$M$120="","",[3]Entry!$M$120)</f>
        <v/>
      </c>
      <c r="AL117" t="str">
        <f>IF([3]Entry!$N$120="","",[3]Entry!$N$120)</f>
        <v/>
      </c>
      <c r="AM117" t="str">
        <f>IF([3]Entry!$R$120="","",[3]Entry!$R$120)</f>
        <v/>
      </c>
    </row>
    <row r="118" spans="1:39" x14ac:dyDescent="0.2">
      <c r="A118" t="str">
        <f>IF([1]Accounts!$D$119="","",[1]Accounts!$A$119)</f>
        <v/>
      </c>
      <c r="B118" t="str">
        <f>IF([1]Accounts!$D$119="","",[1]Accounts!$B$119)</f>
        <v/>
      </c>
      <c r="C118" t="str">
        <f>IF([1]Accounts!$D$119="","",[1]Accounts!$C$119)</f>
        <v/>
      </c>
      <c r="D118" t="str">
        <f>IF([1]Accounts!$D$119="","",[1]Accounts!$D$119)</f>
        <v/>
      </c>
      <c r="E118" t="str">
        <f>IF([1]Accounts!$D$119="","",[1]Accounts!$E$119)</f>
        <v/>
      </c>
      <c r="F118" t="str">
        <f>IF([1]Accounts!$D$119="","",[1]Accounts!$F$119)</f>
        <v/>
      </c>
      <c r="G118" t="str">
        <f>IF([1]Accounts!$D$119="","",[1]Accounts!$G$119)</f>
        <v/>
      </c>
      <c r="T118" t="str">
        <f>IF([2]Baskol!$B$121="","",[2]Baskol!$B$121)</f>
        <v>1405/07/22</v>
      </c>
      <c r="U118" t="str">
        <f>IF([2]Baskol!$C$121="","",[2]Baskol!$C$121)</f>
        <v/>
      </c>
      <c r="V118" t="str">
        <f>IF([2]Baskol!$D$121="","",[2]Baskol!$D$121)</f>
        <v/>
      </c>
      <c r="W118" t="str">
        <f>IF([2]Baskol!$E$121="","",[2]Baskol!$E$121)</f>
        <v>خرید مرکبات</v>
      </c>
      <c r="X118" t="str">
        <f>IF([2]Baskol!$G$121="","",[2]Baskol!$G$121)</f>
        <v>c034</v>
      </c>
      <c r="Y118" t="str">
        <f>IF([2]Baskol!$I$121="","",[2]Baskol!$I$121)</f>
        <v/>
      </c>
      <c r="Z118" t="str">
        <f>IF([2]Baskol!$J$121="","",[2]Baskol!$J$121)</f>
        <v>نارنگی</v>
      </c>
      <c r="AA118">
        <f>IF([2]Baskol!$K$121="","",[2]Baskol!$K$121)</f>
        <v>1250</v>
      </c>
      <c r="AB118">
        <f>IF([2]Baskol!$L$121="","",[2]Baskol!$L$121)</f>
        <v>66</v>
      </c>
      <c r="AC118" t="str">
        <f>IF([2]Baskol!$N$121="","",[2]Baskol!$N$121)</f>
        <v/>
      </c>
      <c r="AD118" t="str">
        <f>IF([2]Baskol!$O$121="","",[2]Baskol!$O$121)</f>
        <v/>
      </c>
      <c r="AE118" t="str">
        <f>IF([3]Entry!$C$121="","",[3]Entry!$C$121)</f>
        <v/>
      </c>
      <c r="AF118" t="str">
        <f>IF([3]Entry!$D$121="","",[3]Entry!$D$121)</f>
        <v/>
      </c>
      <c r="AG118" t="str">
        <f>IF([3]Entry!$E$121="","",[3]Entry!$E$121)</f>
        <v/>
      </c>
      <c r="AH118" t="str">
        <f>IF([3]Entry!$G$121="","",[3]Entry!$G$121)</f>
        <v/>
      </c>
      <c r="AI118" t="str">
        <f>IF([3]Entry!$K$121="","",[3]Entry!$K$121)</f>
        <v/>
      </c>
      <c r="AJ118" t="str">
        <f>IF([3]Entry!$L$121="","",[3]Entry!$L$121)</f>
        <v/>
      </c>
      <c r="AK118" t="str">
        <f>IF([3]Entry!$M$121="","",[3]Entry!$M$121)</f>
        <v/>
      </c>
      <c r="AL118" t="str">
        <f>IF([3]Entry!$N$121="","",[3]Entry!$N$121)</f>
        <v/>
      </c>
      <c r="AM118" t="str">
        <f>IF([3]Entry!$R$121="","",[3]Entry!$R$121)</f>
        <v/>
      </c>
    </row>
    <row r="119" spans="1:39" x14ac:dyDescent="0.2">
      <c r="A119" t="str">
        <f>IF([1]Accounts!$D$120="","",[1]Accounts!$A$120)</f>
        <v/>
      </c>
      <c r="B119" t="str">
        <f>IF([1]Accounts!$D$120="","",[1]Accounts!$B$120)</f>
        <v/>
      </c>
      <c r="C119" t="str">
        <f>IF([1]Accounts!$D$120="","",[1]Accounts!$C$120)</f>
        <v/>
      </c>
      <c r="D119" t="str">
        <f>IF([1]Accounts!$D$120="","",[1]Accounts!$D$120)</f>
        <v/>
      </c>
      <c r="E119" t="str">
        <f>IF([1]Accounts!$D$120="","",[1]Accounts!$E$120)</f>
        <v/>
      </c>
      <c r="F119" t="str">
        <f>IF([1]Accounts!$D$120="","",[1]Accounts!$F$120)</f>
        <v/>
      </c>
      <c r="G119" t="str">
        <f>IF([1]Accounts!$D$120="","",[1]Accounts!$G$120)</f>
        <v/>
      </c>
      <c r="T119" t="str">
        <f>IF([2]Baskol!$B$122="","",[2]Baskol!$B$122)</f>
        <v>1405/07/22</v>
      </c>
      <c r="U119" t="str">
        <f>IF([2]Baskol!$C$122="","",[2]Baskol!$C$122)</f>
        <v/>
      </c>
      <c r="V119" t="str">
        <f>IF([2]Baskol!$D$122="","",[2]Baskol!$D$122)</f>
        <v/>
      </c>
      <c r="W119" t="str">
        <f>IF([2]Baskol!$E$122="","",[2]Baskol!$E$122)</f>
        <v>فروش</v>
      </c>
      <c r="X119" t="str">
        <f>IF([2]Baskol!$G$122="","",[2]Baskol!$G$122)</f>
        <v>SL003</v>
      </c>
      <c r="Y119" t="str">
        <f>IF([2]Baskol!$I$122="","",[2]Baskol!$I$122)</f>
        <v/>
      </c>
      <c r="Z119" t="str">
        <f>IF([2]Baskol!$J$122="","",[2]Baskol!$J$122)</f>
        <v/>
      </c>
      <c r="AA119">
        <f>IF([2]Baskol!$K$122="","",[2]Baskol!$K$122)</f>
        <v>2015</v>
      </c>
      <c r="AB119" t="str">
        <f>IF([2]Baskol!$L$122="","",[2]Baskol!$L$122)</f>
        <v/>
      </c>
      <c r="AC119" t="str">
        <f>IF([2]Baskol!$N$122="","",[2]Baskol!$N$122)</f>
        <v/>
      </c>
      <c r="AD119" t="str">
        <f>IF([2]Baskol!$O$122="","",[2]Baskol!$O$122)</f>
        <v/>
      </c>
      <c r="AE119" t="str">
        <f>IF([3]Entry!$C$122="","",[3]Entry!$C$122)</f>
        <v/>
      </c>
      <c r="AF119" t="str">
        <f>IF([3]Entry!$D$122="","",[3]Entry!$D$122)</f>
        <v/>
      </c>
      <c r="AG119" t="str">
        <f>IF([3]Entry!$E$122="","",[3]Entry!$E$122)</f>
        <v/>
      </c>
      <c r="AH119" t="str">
        <f>IF([3]Entry!$G$122="","",[3]Entry!$G$122)</f>
        <v/>
      </c>
      <c r="AI119" t="str">
        <f>IF([3]Entry!$K$122="","",[3]Entry!$K$122)</f>
        <v/>
      </c>
      <c r="AJ119" t="str">
        <f>IF([3]Entry!$L$122="","",[3]Entry!$L$122)</f>
        <v/>
      </c>
      <c r="AK119" t="str">
        <f>IF([3]Entry!$M$122="","",[3]Entry!$M$122)</f>
        <v/>
      </c>
      <c r="AL119" t="str">
        <f>IF([3]Entry!$N$122="","",[3]Entry!$N$122)</f>
        <v/>
      </c>
      <c r="AM119" t="str">
        <f>IF([3]Entry!$R$122="","",[3]Entry!$R$122)</f>
        <v/>
      </c>
    </row>
    <row r="120" spans="1:39" x14ac:dyDescent="0.2">
      <c r="A120" t="str">
        <f>IF([1]Accounts!$D$121="","",[1]Accounts!$A$121)</f>
        <v/>
      </c>
      <c r="B120" t="str">
        <f>IF([1]Accounts!$D$121="","",[1]Accounts!$B$121)</f>
        <v/>
      </c>
      <c r="C120" t="str">
        <f>IF([1]Accounts!$D$121="","",[1]Accounts!$C$121)</f>
        <v/>
      </c>
      <c r="D120" t="str">
        <f>IF([1]Accounts!$D$121="","",[1]Accounts!$D$121)</f>
        <v/>
      </c>
      <c r="E120" t="str">
        <f>IF([1]Accounts!$D$121="","",[1]Accounts!$E$121)</f>
        <v/>
      </c>
      <c r="F120" t="str">
        <f>IF([1]Accounts!$D$121="","",[1]Accounts!$F$121)</f>
        <v/>
      </c>
      <c r="G120" t="str">
        <f>IF([1]Accounts!$D$121="","",[1]Accounts!$G$121)</f>
        <v/>
      </c>
      <c r="T120" t="str">
        <f>IF([2]Baskol!$B$123="","",[2]Baskol!$B$123)</f>
        <v>1405/07/22</v>
      </c>
      <c r="U120" t="str">
        <f>IF([2]Baskol!$C$123="","",[2]Baskol!$C$123)</f>
        <v/>
      </c>
      <c r="V120" t="str">
        <f>IF([2]Baskol!$D$123="","",[2]Baskol!$D$123)</f>
        <v/>
      </c>
      <c r="W120" t="str">
        <f>IF([2]Baskol!$E$123="","",[2]Baskol!$E$123)</f>
        <v>خرید مرکبات</v>
      </c>
      <c r="X120" t="str">
        <f>IF([2]Baskol!$G$123="","",[2]Baskol!$G$123)</f>
        <v>c042</v>
      </c>
      <c r="Y120" t="str">
        <f>IF([2]Baskol!$I$123="","",[2]Baskol!$I$123)</f>
        <v/>
      </c>
      <c r="Z120" t="str">
        <f>IF([2]Baskol!$J$123="","",[2]Baskol!$J$123)</f>
        <v>نارنگی</v>
      </c>
      <c r="AA120">
        <f>IF([2]Baskol!$K$123="","",[2]Baskol!$K$123)</f>
        <v>3030</v>
      </c>
      <c r="AB120">
        <f>IF([2]Baskol!$L$123="","",[2]Baskol!$L$123)</f>
        <v>189</v>
      </c>
      <c r="AC120" t="str">
        <f>IF([2]Baskol!$N$123="","",[2]Baskol!$N$123)</f>
        <v/>
      </c>
      <c r="AD120" t="str">
        <f>IF([2]Baskol!$O$123="","",[2]Baskol!$O$123)</f>
        <v/>
      </c>
      <c r="AE120" t="str">
        <f>IF([3]Entry!$C$123="","",[3]Entry!$C$123)</f>
        <v/>
      </c>
      <c r="AF120" t="str">
        <f>IF([3]Entry!$D$123="","",[3]Entry!$D$123)</f>
        <v/>
      </c>
      <c r="AG120" t="str">
        <f>IF([3]Entry!$E$123="","",[3]Entry!$E$123)</f>
        <v/>
      </c>
      <c r="AH120" t="str">
        <f>IF([3]Entry!$G$123="","",[3]Entry!$G$123)</f>
        <v/>
      </c>
      <c r="AI120" t="str">
        <f>IF([3]Entry!$K$123="","",[3]Entry!$K$123)</f>
        <v/>
      </c>
      <c r="AJ120" t="str">
        <f>IF([3]Entry!$L$123="","",[3]Entry!$L$123)</f>
        <v/>
      </c>
      <c r="AK120" t="str">
        <f>IF([3]Entry!$M$123="","",[3]Entry!$M$123)</f>
        <v/>
      </c>
      <c r="AL120" t="str">
        <f>IF([3]Entry!$N$123="","",[3]Entry!$N$123)</f>
        <v/>
      </c>
      <c r="AM120" t="str">
        <f>IF([3]Entry!$R$123="","",[3]Entry!$R$123)</f>
        <v/>
      </c>
    </row>
    <row r="121" spans="1:39" x14ac:dyDescent="0.2">
      <c r="A121" t="str">
        <f>IF([1]Accounts!$D$122="","",[1]Accounts!$A$122)</f>
        <v/>
      </c>
      <c r="B121" t="str">
        <f>IF([1]Accounts!$D$122="","",[1]Accounts!$B$122)</f>
        <v/>
      </c>
      <c r="C121" t="str">
        <f>IF([1]Accounts!$D$122="","",[1]Accounts!$C$122)</f>
        <v/>
      </c>
      <c r="D121" t="str">
        <f>IF([1]Accounts!$D$122="","",[1]Accounts!$D$122)</f>
        <v/>
      </c>
      <c r="E121" t="str">
        <f>IF([1]Accounts!$D$122="","",[1]Accounts!$E$122)</f>
        <v/>
      </c>
      <c r="F121" t="str">
        <f>IF([1]Accounts!$D$122="","",[1]Accounts!$F$122)</f>
        <v/>
      </c>
      <c r="G121" t="str">
        <f>IF([1]Accounts!$D$122="","",[1]Accounts!$G$122)</f>
        <v/>
      </c>
      <c r="T121" t="str">
        <f>IF([2]Baskol!$B$124="","",[2]Baskol!$B$124)</f>
        <v>1405/07/22</v>
      </c>
      <c r="U121" t="str">
        <f>IF([2]Baskol!$C$124="","",[2]Baskol!$C$124)</f>
        <v/>
      </c>
      <c r="V121" t="str">
        <f>IF([2]Baskol!$D$124="","",[2]Baskol!$D$124)</f>
        <v/>
      </c>
      <c r="W121" t="str">
        <f>IF([2]Baskol!$E$124="","",[2]Baskol!$E$124)</f>
        <v>خرید مرکبات</v>
      </c>
      <c r="X121" t="str">
        <f>IF([2]Baskol!$G$124="","",[2]Baskol!$G$124)</f>
        <v>c026</v>
      </c>
      <c r="Y121" t="str">
        <f>IF([2]Baskol!$I$124="","",[2]Baskol!$I$124)</f>
        <v/>
      </c>
      <c r="Z121" t="str">
        <f>IF([2]Baskol!$J$124="","",[2]Baskol!$J$124)</f>
        <v>خرمالو</v>
      </c>
      <c r="AA121">
        <f>IF([2]Baskol!$K$124="","",[2]Baskol!$K$124)</f>
        <v>405</v>
      </c>
      <c r="AB121">
        <f>IF([2]Baskol!$L$124="","",[2]Baskol!$L$124)</f>
        <v>28</v>
      </c>
      <c r="AC121" t="str">
        <f>IF([2]Baskol!$N$124="","",[2]Baskol!$N$124)</f>
        <v/>
      </c>
      <c r="AD121" t="str">
        <f>IF([2]Baskol!$O$124="","",[2]Baskol!$O$124)</f>
        <v/>
      </c>
      <c r="AE121" t="str">
        <f>IF([3]Entry!$C$124="","",[3]Entry!$C$124)</f>
        <v/>
      </c>
      <c r="AF121" t="str">
        <f>IF([3]Entry!$D$124="","",[3]Entry!$D$124)</f>
        <v/>
      </c>
      <c r="AG121" t="str">
        <f>IF([3]Entry!$E$124="","",[3]Entry!$E$124)</f>
        <v/>
      </c>
      <c r="AH121" t="str">
        <f>IF([3]Entry!$G$124="","",[3]Entry!$G$124)</f>
        <v/>
      </c>
      <c r="AI121" t="str">
        <f>IF([3]Entry!$K$124="","",[3]Entry!$K$124)</f>
        <v/>
      </c>
      <c r="AJ121" t="str">
        <f>IF([3]Entry!$L$124="","",[3]Entry!$L$124)</f>
        <v/>
      </c>
      <c r="AK121" t="str">
        <f>IF([3]Entry!$M$124="","",[3]Entry!$M$124)</f>
        <v/>
      </c>
      <c r="AL121" t="str">
        <f>IF([3]Entry!$N$124="","",[3]Entry!$N$124)</f>
        <v/>
      </c>
      <c r="AM121" t="str">
        <f>IF([3]Entry!$R$124="","",[3]Entry!$R$124)</f>
        <v/>
      </c>
    </row>
    <row r="122" spans="1:39" x14ac:dyDescent="0.2">
      <c r="A122" t="str">
        <f>IF([1]Accounts!$D$123="","",[1]Accounts!$A$123)</f>
        <v/>
      </c>
      <c r="B122" t="str">
        <f>IF([1]Accounts!$D$123="","",[1]Accounts!$B$123)</f>
        <v/>
      </c>
      <c r="C122" t="str">
        <f>IF([1]Accounts!$D$123="","",[1]Accounts!$C$123)</f>
        <v/>
      </c>
      <c r="D122" t="str">
        <f>IF([1]Accounts!$D$123="","",[1]Accounts!$D$123)</f>
        <v/>
      </c>
      <c r="E122" t="str">
        <f>IF([1]Accounts!$D$123="","",[1]Accounts!$E$123)</f>
        <v/>
      </c>
      <c r="F122" t="str">
        <f>IF([1]Accounts!$D$123="","",[1]Accounts!$F$123)</f>
        <v/>
      </c>
      <c r="G122" t="str">
        <f>IF([1]Accounts!$D$123="","",[1]Accounts!$G$123)</f>
        <v/>
      </c>
      <c r="T122" t="str">
        <f>IF([2]Baskol!$B$125="","",[2]Baskol!$B$125)</f>
        <v>1405/07/22</v>
      </c>
      <c r="U122" t="str">
        <f>IF([2]Baskol!$C$125="","",[2]Baskol!$C$125)</f>
        <v/>
      </c>
      <c r="V122" t="str">
        <f>IF([2]Baskol!$D$125="","",[2]Baskol!$D$125)</f>
        <v/>
      </c>
      <c r="W122" t="str">
        <f>IF([2]Baskol!$E$125="","",[2]Baskol!$E$125)</f>
        <v>خرید مرکبات</v>
      </c>
      <c r="X122" t="str">
        <f>IF([2]Baskol!$G$125="","",[2]Baskol!$G$125)</f>
        <v>c045</v>
      </c>
      <c r="Y122" t="str">
        <f>IF([2]Baskol!$I$125="","",[2]Baskol!$I$125)</f>
        <v/>
      </c>
      <c r="Z122" t="str">
        <f>IF([2]Baskol!$J$125="","",[2]Baskol!$J$125)</f>
        <v>خرمالو</v>
      </c>
      <c r="AA122">
        <f>IF([2]Baskol!$K$125="","",[2]Baskol!$K$125)</f>
        <v>225</v>
      </c>
      <c r="AB122">
        <f>IF([2]Baskol!$L$125="","",[2]Baskol!$L$125)</f>
        <v>12</v>
      </c>
      <c r="AC122" t="str">
        <f>IF([2]Baskol!$N$125="","",[2]Baskol!$N$125)</f>
        <v/>
      </c>
      <c r="AD122" t="str">
        <f>IF([2]Baskol!$O$125="","",[2]Baskol!$O$125)</f>
        <v/>
      </c>
      <c r="AE122" t="str">
        <f>IF([3]Entry!$C$125="","",[3]Entry!$C$125)</f>
        <v/>
      </c>
      <c r="AF122" t="str">
        <f>IF([3]Entry!$D$125="","",[3]Entry!$D$125)</f>
        <v/>
      </c>
      <c r="AG122" t="str">
        <f>IF([3]Entry!$E$125="","",[3]Entry!$E$125)</f>
        <v/>
      </c>
      <c r="AH122" t="str">
        <f>IF([3]Entry!$G$125="","",[3]Entry!$G$125)</f>
        <v/>
      </c>
      <c r="AI122" t="str">
        <f>IF([3]Entry!$K$125="","",[3]Entry!$K$125)</f>
        <v/>
      </c>
      <c r="AJ122" t="str">
        <f>IF([3]Entry!$L$125="","",[3]Entry!$L$125)</f>
        <v/>
      </c>
      <c r="AK122" t="str">
        <f>IF([3]Entry!$M$125="","",[3]Entry!$M$125)</f>
        <v/>
      </c>
      <c r="AL122" t="str">
        <f>IF([3]Entry!$N$125="","",[3]Entry!$N$125)</f>
        <v/>
      </c>
      <c r="AM122" t="str">
        <f>IF([3]Entry!$R$125="","",[3]Entry!$R$125)</f>
        <v/>
      </c>
    </row>
    <row r="123" spans="1:39" x14ac:dyDescent="0.2">
      <c r="A123" t="str">
        <f>IF([1]Accounts!$D$124="","",[1]Accounts!$A$124)</f>
        <v/>
      </c>
      <c r="B123" t="str">
        <f>IF([1]Accounts!$D$124="","",[1]Accounts!$B$124)</f>
        <v/>
      </c>
      <c r="C123" t="str">
        <f>IF([1]Accounts!$D$124="","",[1]Accounts!$C$124)</f>
        <v/>
      </c>
      <c r="D123" t="str">
        <f>IF([1]Accounts!$D$124="","",[1]Accounts!$D$124)</f>
        <v/>
      </c>
      <c r="E123" t="str">
        <f>IF([1]Accounts!$D$124="","",[1]Accounts!$E$124)</f>
        <v/>
      </c>
      <c r="F123" t="str">
        <f>IF([1]Accounts!$D$124="","",[1]Accounts!$F$124)</f>
        <v/>
      </c>
      <c r="G123" t="str">
        <f>IF([1]Accounts!$D$124="","",[1]Accounts!$G$124)</f>
        <v/>
      </c>
      <c r="T123" t="str">
        <f>IF([2]Baskol!$B$126="","",[2]Baskol!$B$126)</f>
        <v>1405/07/22</v>
      </c>
      <c r="U123" t="str">
        <f>IF([2]Baskol!$C$126="","",[2]Baskol!$C$126)</f>
        <v/>
      </c>
      <c r="V123" t="str">
        <f>IF([2]Baskol!$D$126="","",[2]Baskol!$D$126)</f>
        <v/>
      </c>
      <c r="W123" t="str">
        <f>IF([2]Baskol!$E$126="","",[2]Baskol!$E$126)</f>
        <v>فروش</v>
      </c>
      <c r="X123" t="str">
        <f>IF([2]Baskol!$G$126="","",[2]Baskol!$G$126)</f>
        <v>SL001</v>
      </c>
      <c r="Y123" t="str">
        <f>IF([2]Baskol!$I$126="","",[2]Baskol!$I$126)</f>
        <v/>
      </c>
      <c r="Z123" t="str">
        <f>IF([2]Baskol!$J$126="","",[2]Baskol!$J$126)</f>
        <v/>
      </c>
      <c r="AA123">
        <f>IF([2]Baskol!$K$126="","",[2]Baskol!$K$126)</f>
        <v>2175</v>
      </c>
      <c r="AB123" t="str">
        <f>IF([2]Baskol!$L$126="","",[2]Baskol!$L$126)</f>
        <v/>
      </c>
      <c r="AC123" t="str">
        <f>IF([2]Baskol!$N$126="","",[2]Baskol!$N$126)</f>
        <v/>
      </c>
      <c r="AD123" t="str">
        <f>IF([2]Baskol!$O$126="","",[2]Baskol!$O$126)</f>
        <v/>
      </c>
      <c r="AE123" t="str">
        <f>IF([3]Entry!$C$126="","",[3]Entry!$C$126)</f>
        <v/>
      </c>
      <c r="AF123" t="str">
        <f>IF([3]Entry!$D$126="","",[3]Entry!$D$126)</f>
        <v/>
      </c>
      <c r="AG123" t="str">
        <f>IF([3]Entry!$E$126="","",[3]Entry!$E$126)</f>
        <v/>
      </c>
      <c r="AH123" t="str">
        <f>IF([3]Entry!$G$126="","",[3]Entry!$G$126)</f>
        <v/>
      </c>
      <c r="AI123" t="str">
        <f>IF([3]Entry!$K$126="","",[3]Entry!$K$126)</f>
        <v/>
      </c>
      <c r="AJ123" t="str">
        <f>IF([3]Entry!$L$126="","",[3]Entry!$L$126)</f>
        <v/>
      </c>
      <c r="AK123" t="str">
        <f>IF([3]Entry!$M$126="","",[3]Entry!$M$126)</f>
        <v/>
      </c>
      <c r="AL123" t="str">
        <f>IF([3]Entry!$N$126="","",[3]Entry!$N$126)</f>
        <v/>
      </c>
      <c r="AM123" t="str">
        <f>IF([3]Entry!$R$126="","",[3]Entry!$R$126)</f>
        <v/>
      </c>
    </row>
    <row r="124" spans="1:39" x14ac:dyDescent="0.2">
      <c r="A124" t="str">
        <f>IF([1]Accounts!$D$125="","",[1]Accounts!$A$125)</f>
        <v/>
      </c>
      <c r="B124" t="str">
        <f>IF([1]Accounts!$D$125="","",[1]Accounts!$B$125)</f>
        <v/>
      </c>
      <c r="C124" t="str">
        <f>IF([1]Accounts!$D$125="","",[1]Accounts!$C$125)</f>
        <v/>
      </c>
      <c r="D124" t="str">
        <f>IF([1]Accounts!$D$125="","",[1]Accounts!$D$125)</f>
        <v/>
      </c>
      <c r="E124" t="str">
        <f>IF([1]Accounts!$D$125="","",[1]Accounts!$E$125)</f>
        <v/>
      </c>
      <c r="F124" t="str">
        <f>IF([1]Accounts!$D$125="","",[1]Accounts!$F$125)</f>
        <v/>
      </c>
      <c r="G124" t="str">
        <f>IF([1]Accounts!$D$125="","",[1]Accounts!$G$125)</f>
        <v/>
      </c>
      <c r="T124" t="str">
        <f>IF([2]Baskol!$B$127="","",[2]Baskol!$B$127)</f>
        <v>1405/07/22</v>
      </c>
      <c r="U124" t="str">
        <f>IF([2]Baskol!$C$127="","",[2]Baskol!$C$127)</f>
        <v/>
      </c>
      <c r="V124" t="str">
        <f>IF([2]Baskol!$D$127="","",[2]Baskol!$D$127)</f>
        <v/>
      </c>
      <c r="W124" t="str">
        <f>IF([2]Baskol!$E$127="","",[2]Baskol!$E$127)</f>
        <v>خرید مرکبات</v>
      </c>
      <c r="X124" t="str">
        <f>IF([2]Baskol!$G$127="","",[2]Baskol!$G$127)</f>
        <v>c041</v>
      </c>
      <c r="Y124" t="str">
        <f>IF([2]Baskol!$I$127="","",[2]Baskol!$I$127)</f>
        <v/>
      </c>
      <c r="Z124" t="str">
        <f>IF([2]Baskol!$J$127="","",[2]Baskol!$J$127)</f>
        <v>نارنگی</v>
      </c>
      <c r="AA124">
        <f>IF([2]Baskol!$K$127="","",[2]Baskol!$K$127)</f>
        <v>1430</v>
      </c>
      <c r="AB124">
        <f>IF([2]Baskol!$L$127="","",[2]Baskol!$L$127)</f>
        <v>80</v>
      </c>
      <c r="AC124" t="str">
        <f>IF([2]Baskol!$N$127="","",[2]Baskol!$N$127)</f>
        <v/>
      </c>
      <c r="AD124" t="str">
        <f>IF([2]Baskol!$O$127="","",[2]Baskol!$O$127)</f>
        <v/>
      </c>
      <c r="AE124" t="str">
        <f>IF([3]Entry!$C$127="","",[3]Entry!$C$127)</f>
        <v/>
      </c>
      <c r="AF124" t="str">
        <f>IF([3]Entry!$D$127="","",[3]Entry!$D$127)</f>
        <v/>
      </c>
      <c r="AG124" t="str">
        <f>IF([3]Entry!$E$127="","",[3]Entry!$E$127)</f>
        <v/>
      </c>
      <c r="AH124" t="str">
        <f>IF([3]Entry!$G$127="","",[3]Entry!$G$127)</f>
        <v/>
      </c>
      <c r="AI124" t="str">
        <f>IF([3]Entry!$K$127="","",[3]Entry!$K$127)</f>
        <v/>
      </c>
      <c r="AJ124" t="str">
        <f>IF([3]Entry!$L$127="","",[3]Entry!$L$127)</f>
        <v/>
      </c>
      <c r="AK124" t="str">
        <f>IF([3]Entry!$M$127="","",[3]Entry!$M$127)</f>
        <v/>
      </c>
      <c r="AL124" t="str">
        <f>IF([3]Entry!$N$127="","",[3]Entry!$N$127)</f>
        <v/>
      </c>
      <c r="AM124" t="str">
        <f>IF([3]Entry!$R$127="","",[3]Entry!$R$127)</f>
        <v/>
      </c>
    </row>
    <row r="125" spans="1:39" x14ac:dyDescent="0.2">
      <c r="A125" t="str">
        <f>IF([1]Accounts!$D$126="","",[1]Accounts!$A$126)</f>
        <v/>
      </c>
      <c r="B125" t="str">
        <f>IF([1]Accounts!$D$126="","",[1]Accounts!$B$126)</f>
        <v/>
      </c>
      <c r="C125" t="str">
        <f>IF([1]Accounts!$D$126="","",[1]Accounts!$C$126)</f>
        <v/>
      </c>
      <c r="D125" t="str">
        <f>IF([1]Accounts!$D$126="","",[1]Accounts!$D$126)</f>
        <v/>
      </c>
      <c r="E125" t="str">
        <f>IF([1]Accounts!$D$126="","",[1]Accounts!$E$126)</f>
        <v/>
      </c>
      <c r="F125" t="str">
        <f>IF([1]Accounts!$D$126="","",[1]Accounts!$F$126)</f>
        <v/>
      </c>
      <c r="G125" t="str">
        <f>IF([1]Accounts!$D$126="","",[1]Accounts!$G$126)</f>
        <v/>
      </c>
      <c r="T125" t="str">
        <f>IF([2]Baskol!$B$128="","",[2]Baskol!$B$128)</f>
        <v>1405/07/22</v>
      </c>
      <c r="U125" t="str">
        <f>IF([2]Baskol!$C$128="","",[2]Baskol!$C$128)</f>
        <v/>
      </c>
      <c r="V125" t="str">
        <f>IF([2]Baskol!$D$128="","",[2]Baskol!$D$128)</f>
        <v/>
      </c>
      <c r="W125" t="str">
        <f>IF([2]Baskol!$E$128="","",[2]Baskol!$E$128)</f>
        <v>خرید مرکبات</v>
      </c>
      <c r="X125" t="str">
        <f>IF([2]Baskol!$G$128="","",[2]Baskol!$G$128)</f>
        <v>c046</v>
      </c>
      <c r="Y125" t="str">
        <f>IF([2]Baskol!$I$128="","",[2]Baskol!$I$128)</f>
        <v/>
      </c>
      <c r="Z125" t="str">
        <f>IF([2]Baskol!$J$128="","",[2]Baskol!$J$128)</f>
        <v/>
      </c>
      <c r="AA125">
        <f>IF([2]Baskol!$K$128="","",[2]Baskol!$K$128)</f>
        <v>75</v>
      </c>
      <c r="AB125" t="str">
        <f>IF([2]Baskol!$L$128="","",[2]Baskol!$L$128)</f>
        <v/>
      </c>
      <c r="AC125" t="str">
        <f>IF([2]Baskol!$N$128="","",[2]Baskol!$N$128)</f>
        <v/>
      </c>
      <c r="AD125" t="str">
        <f>IF([2]Baskol!$O$128="","",[2]Baskol!$O$128)</f>
        <v/>
      </c>
      <c r="AE125" t="str">
        <f>IF([3]Entry!$C$128="","",[3]Entry!$C$128)</f>
        <v/>
      </c>
      <c r="AF125" t="str">
        <f>IF([3]Entry!$D$128="","",[3]Entry!$D$128)</f>
        <v/>
      </c>
      <c r="AG125" t="str">
        <f>IF([3]Entry!$E$128="","",[3]Entry!$E$128)</f>
        <v/>
      </c>
      <c r="AH125" t="str">
        <f>IF([3]Entry!$G$128="","",[3]Entry!$G$128)</f>
        <v/>
      </c>
      <c r="AI125" t="str">
        <f>IF([3]Entry!$K$128="","",[3]Entry!$K$128)</f>
        <v/>
      </c>
      <c r="AJ125" t="str">
        <f>IF([3]Entry!$L$128="","",[3]Entry!$L$128)</f>
        <v/>
      </c>
      <c r="AK125" t="str">
        <f>IF([3]Entry!$M$128="","",[3]Entry!$M$128)</f>
        <v/>
      </c>
      <c r="AL125" t="str">
        <f>IF([3]Entry!$N$128="","",[3]Entry!$N$128)</f>
        <v/>
      </c>
      <c r="AM125" t="str">
        <f>IF([3]Entry!$R$128="","",[3]Entry!$R$128)</f>
        <v/>
      </c>
    </row>
    <row r="126" spans="1:39" x14ac:dyDescent="0.2">
      <c r="A126" t="str">
        <f>IF([1]Accounts!$D$127="","",[1]Accounts!$A$127)</f>
        <v/>
      </c>
      <c r="B126" t="str">
        <f>IF([1]Accounts!$D$127="","",[1]Accounts!$B$127)</f>
        <v/>
      </c>
      <c r="C126" t="str">
        <f>IF([1]Accounts!$D$127="","",[1]Accounts!$C$127)</f>
        <v/>
      </c>
      <c r="D126" t="str">
        <f>IF([1]Accounts!$D$127="","",[1]Accounts!$D$127)</f>
        <v/>
      </c>
      <c r="E126" t="str">
        <f>IF([1]Accounts!$D$127="","",[1]Accounts!$E$127)</f>
        <v/>
      </c>
      <c r="F126" t="str">
        <f>IF([1]Accounts!$D$127="","",[1]Accounts!$F$127)</f>
        <v/>
      </c>
      <c r="G126" t="str">
        <f>IF([1]Accounts!$D$127="","",[1]Accounts!$G$127)</f>
        <v/>
      </c>
      <c r="T126" t="str">
        <f>IF([2]Baskol!$B$129="","",[2]Baskol!$B$129)</f>
        <v>1405/07/22</v>
      </c>
      <c r="U126" t="str">
        <f>IF([2]Baskol!$C$129="","",[2]Baskol!$C$129)</f>
        <v/>
      </c>
      <c r="V126" t="str">
        <f>IF([2]Baskol!$D$129="","",[2]Baskol!$D$129)</f>
        <v/>
      </c>
      <c r="W126" t="str">
        <f>IF([2]Baskol!$E$129="","",[2]Baskol!$E$129)</f>
        <v>خرید مرکبات</v>
      </c>
      <c r="X126" t="str">
        <f>IF([2]Baskol!$G$129="","",[2]Baskol!$G$129)</f>
        <v>c034</v>
      </c>
      <c r="Y126" t="str">
        <f>IF([2]Baskol!$I$129="","",[2]Baskol!$I$129)</f>
        <v/>
      </c>
      <c r="Z126" t="str">
        <f>IF([2]Baskol!$J$129="","",[2]Baskol!$J$129)</f>
        <v>خرمالو</v>
      </c>
      <c r="AA126">
        <f>IF([2]Baskol!$K$129="","",[2]Baskol!$K$129)</f>
        <v>445</v>
      </c>
      <c r="AB126" t="str">
        <f>IF([2]Baskol!$L$129="","",[2]Baskol!$L$129)</f>
        <v/>
      </c>
      <c r="AC126" t="str">
        <f>IF([2]Baskol!$N$129="","",[2]Baskol!$N$129)</f>
        <v/>
      </c>
      <c r="AD126" t="str">
        <f>IF([2]Baskol!$O$129="","",[2]Baskol!$O$129)</f>
        <v/>
      </c>
      <c r="AE126" t="str">
        <f>IF([3]Entry!$C$129="","",[3]Entry!$C$129)</f>
        <v/>
      </c>
      <c r="AF126" t="str">
        <f>IF([3]Entry!$D$129="","",[3]Entry!$D$129)</f>
        <v/>
      </c>
      <c r="AG126" t="str">
        <f>IF([3]Entry!$E$129="","",[3]Entry!$E$129)</f>
        <v/>
      </c>
      <c r="AH126" t="str">
        <f>IF([3]Entry!$G$129="","",[3]Entry!$G$129)</f>
        <v/>
      </c>
      <c r="AI126" t="str">
        <f>IF([3]Entry!$K$129="","",[3]Entry!$K$129)</f>
        <v/>
      </c>
      <c r="AJ126" t="str">
        <f>IF([3]Entry!$L$129="","",[3]Entry!$L$129)</f>
        <v/>
      </c>
      <c r="AK126" t="str">
        <f>IF([3]Entry!$M$129="","",[3]Entry!$M$129)</f>
        <v/>
      </c>
      <c r="AL126" t="str">
        <f>IF([3]Entry!$N$129="","",[3]Entry!$N$129)</f>
        <v/>
      </c>
      <c r="AM126" t="str">
        <f>IF([3]Entry!$R$129="","",[3]Entry!$R$129)</f>
        <v/>
      </c>
    </row>
    <row r="127" spans="1:39" x14ac:dyDescent="0.2">
      <c r="A127" t="str">
        <f>IF([1]Accounts!$D$128="","",[1]Accounts!$A$128)</f>
        <v/>
      </c>
      <c r="B127" t="str">
        <f>IF([1]Accounts!$D$128="","",[1]Accounts!$B$128)</f>
        <v/>
      </c>
      <c r="C127" t="str">
        <f>IF([1]Accounts!$D$128="","",[1]Accounts!$C$128)</f>
        <v/>
      </c>
      <c r="D127" t="str">
        <f>IF([1]Accounts!$D$128="","",[1]Accounts!$D$128)</f>
        <v/>
      </c>
      <c r="E127" t="str">
        <f>IF([1]Accounts!$D$128="","",[1]Accounts!$E$128)</f>
        <v/>
      </c>
      <c r="F127" t="str">
        <f>IF([1]Accounts!$D$128="","",[1]Accounts!$F$128)</f>
        <v/>
      </c>
      <c r="G127" t="str">
        <f>IF([1]Accounts!$D$128="","",[1]Accounts!$G$128)</f>
        <v/>
      </c>
      <c r="T127" t="str">
        <f>IF([2]Baskol!$B$130="","",[2]Baskol!$B$130)</f>
        <v>1405/07/22</v>
      </c>
      <c r="U127" t="str">
        <f>IF([2]Baskol!$C$130="","",[2]Baskol!$C$130)</f>
        <v/>
      </c>
      <c r="V127" t="str">
        <f>IF([2]Baskol!$D$130="","",[2]Baskol!$D$130)</f>
        <v/>
      </c>
      <c r="W127" t="str">
        <f>IF([2]Baskol!$E$130="","",[2]Baskol!$E$130)</f>
        <v>خرید مرکبات</v>
      </c>
      <c r="X127" t="str">
        <f>IF([2]Baskol!$G$130="","",[2]Baskol!$G$130)</f>
        <v>c047</v>
      </c>
      <c r="Y127" t="str">
        <f>IF([2]Baskol!$I$130="","",[2]Baskol!$I$130)</f>
        <v/>
      </c>
      <c r="Z127" t="str">
        <f>IF([2]Baskol!$J$130="","",[2]Baskol!$J$130)</f>
        <v>نارنگی</v>
      </c>
      <c r="AA127">
        <f>IF([2]Baskol!$K$130="","",[2]Baskol!$K$130)</f>
        <v>255</v>
      </c>
      <c r="AB127" t="str">
        <f>IF([2]Baskol!$L$130="","",[2]Baskol!$L$130)</f>
        <v/>
      </c>
      <c r="AC127" t="str">
        <f>IF([2]Baskol!$N$130="","",[2]Baskol!$N$130)</f>
        <v/>
      </c>
      <c r="AD127" t="str">
        <f>IF([2]Baskol!$O$130="","",[2]Baskol!$O$130)</f>
        <v/>
      </c>
      <c r="AE127" t="str">
        <f>IF([3]Entry!$C$130="","",[3]Entry!$C$130)</f>
        <v/>
      </c>
      <c r="AF127" t="str">
        <f>IF([3]Entry!$D$130="","",[3]Entry!$D$130)</f>
        <v/>
      </c>
      <c r="AG127" t="str">
        <f>IF([3]Entry!$E$130="","",[3]Entry!$E$130)</f>
        <v/>
      </c>
      <c r="AH127" t="str">
        <f>IF([3]Entry!$G$130="","",[3]Entry!$G$130)</f>
        <v/>
      </c>
      <c r="AI127" t="str">
        <f>IF([3]Entry!$K$130="","",[3]Entry!$K$130)</f>
        <v/>
      </c>
      <c r="AJ127" t="str">
        <f>IF([3]Entry!$L$130="","",[3]Entry!$L$130)</f>
        <v/>
      </c>
      <c r="AK127" t="str">
        <f>IF([3]Entry!$M$130="","",[3]Entry!$M$130)</f>
        <v/>
      </c>
      <c r="AL127" t="str">
        <f>IF([3]Entry!$N$130="","",[3]Entry!$N$130)</f>
        <v/>
      </c>
      <c r="AM127" t="str">
        <f>IF([3]Entry!$R$130="","",[3]Entry!$R$130)</f>
        <v/>
      </c>
    </row>
    <row r="128" spans="1:39" x14ac:dyDescent="0.2">
      <c r="A128" t="str">
        <f>IF([1]Accounts!$D$129="","",[1]Accounts!$A$129)</f>
        <v/>
      </c>
      <c r="B128" t="str">
        <f>IF([1]Accounts!$D$129="","",[1]Accounts!$B$129)</f>
        <v/>
      </c>
      <c r="C128" t="str">
        <f>IF([1]Accounts!$D$129="","",[1]Accounts!$C$129)</f>
        <v/>
      </c>
      <c r="D128" t="str">
        <f>IF([1]Accounts!$D$129="","",[1]Accounts!$D$129)</f>
        <v/>
      </c>
      <c r="E128" t="str">
        <f>IF([1]Accounts!$D$129="","",[1]Accounts!$E$129)</f>
        <v/>
      </c>
      <c r="F128" t="str">
        <f>IF([1]Accounts!$D$129="","",[1]Accounts!$F$129)</f>
        <v/>
      </c>
      <c r="G128" t="str">
        <f>IF([1]Accounts!$D$129="","",[1]Accounts!$G$129)</f>
        <v/>
      </c>
      <c r="T128" t="str">
        <f>IF([2]Baskol!$B$131="","",[2]Baskol!$B$131)</f>
        <v>1405/07/23</v>
      </c>
      <c r="U128" t="str">
        <f>IF([2]Baskol!$C$131="","",[2]Baskol!$C$131)</f>
        <v/>
      </c>
      <c r="V128" t="str">
        <f>IF([2]Baskol!$D$131="","",[2]Baskol!$D$131)</f>
        <v/>
      </c>
      <c r="W128" t="str">
        <f>IF([2]Baskol!$E$131="","",[2]Baskol!$E$131)</f>
        <v>خرید مرکبات</v>
      </c>
      <c r="X128" t="str">
        <f>IF([2]Baskol!$G$131="","",[2]Baskol!$G$131)</f>
        <v>c048</v>
      </c>
      <c r="Y128" t="str">
        <f>IF([2]Baskol!$I$131="","",[2]Baskol!$I$131)</f>
        <v/>
      </c>
      <c r="Z128" t="str">
        <f>IF([2]Baskol!$J$131="","",[2]Baskol!$J$131)</f>
        <v>نارنگی</v>
      </c>
      <c r="AA128">
        <f>IF([2]Baskol!$K$131="","",[2]Baskol!$K$131)</f>
        <v>410</v>
      </c>
      <c r="AB128">
        <f>IF([2]Baskol!$L$131="","",[2]Baskol!$L$131)</f>
        <v>28</v>
      </c>
      <c r="AC128" t="str">
        <f>IF([2]Baskol!$N$131="","",[2]Baskol!$N$131)</f>
        <v/>
      </c>
      <c r="AD128" t="str">
        <f>IF([2]Baskol!$O$131="","",[2]Baskol!$O$131)</f>
        <v/>
      </c>
      <c r="AE128" t="str">
        <f>IF([3]Entry!$C$131="","",[3]Entry!$C$131)</f>
        <v/>
      </c>
      <c r="AF128" t="str">
        <f>IF([3]Entry!$D$131="","",[3]Entry!$D$131)</f>
        <v/>
      </c>
      <c r="AG128" t="str">
        <f>IF([3]Entry!$E$131="","",[3]Entry!$E$131)</f>
        <v/>
      </c>
      <c r="AH128" t="str">
        <f>IF([3]Entry!$G$131="","",[3]Entry!$G$131)</f>
        <v/>
      </c>
      <c r="AI128" t="str">
        <f>IF([3]Entry!$K$131="","",[3]Entry!$K$131)</f>
        <v/>
      </c>
      <c r="AJ128" t="str">
        <f>IF([3]Entry!$L$131="","",[3]Entry!$L$131)</f>
        <v/>
      </c>
      <c r="AK128" t="str">
        <f>IF([3]Entry!$M$131="","",[3]Entry!$M$131)</f>
        <v/>
      </c>
      <c r="AL128" t="str">
        <f>IF([3]Entry!$N$131="","",[3]Entry!$N$131)</f>
        <v/>
      </c>
      <c r="AM128" t="str">
        <f>IF([3]Entry!$R$131="","",[3]Entry!$R$131)</f>
        <v/>
      </c>
    </row>
    <row r="129" spans="1:39" x14ac:dyDescent="0.2">
      <c r="A129" t="str">
        <f>IF([1]Accounts!$D$130="","",[1]Accounts!$A$130)</f>
        <v/>
      </c>
      <c r="B129" t="str">
        <f>IF([1]Accounts!$D$130="","",[1]Accounts!$B$130)</f>
        <v/>
      </c>
      <c r="C129" t="str">
        <f>IF([1]Accounts!$D$130="","",[1]Accounts!$C$130)</f>
        <v/>
      </c>
      <c r="D129" t="str">
        <f>IF([1]Accounts!$D$130="","",[1]Accounts!$D$130)</f>
        <v/>
      </c>
      <c r="E129" t="str">
        <f>IF([1]Accounts!$D$130="","",[1]Accounts!$E$130)</f>
        <v/>
      </c>
      <c r="F129" t="str">
        <f>IF([1]Accounts!$D$130="","",[1]Accounts!$F$130)</f>
        <v/>
      </c>
      <c r="G129" t="str">
        <f>IF([1]Accounts!$D$130="","",[1]Accounts!$G$130)</f>
        <v/>
      </c>
      <c r="T129" t="str">
        <f>IF([2]Baskol!$B$132="","",[2]Baskol!$B$132)</f>
        <v>1405/07/23</v>
      </c>
      <c r="U129" t="str">
        <f>IF([2]Baskol!$C$132="","",[2]Baskol!$C$132)</f>
        <v/>
      </c>
      <c r="V129" t="str">
        <f>IF([2]Baskol!$D$132="","",[2]Baskol!$D$132)</f>
        <v/>
      </c>
      <c r="W129" t="str">
        <f>IF([2]Baskol!$E$132="","",[2]Baskol!$E$132)</f>
        <v>خرید مرکبات</v>
      </c>
      <c r="X129" t="str">
        <f>IF([2]Baskol!$G$132="","",[2]Baskol!$G$132)</f>
        <v>c049</v>
      </c>
      <c r="Y129" t="str">
        <f>IF([2]Baskol!$I$132="","",[2]Baskol!$I$132)</f>
        <v/>
      </c>
      <c r="Z129" t="str">
        <f>IF([2]Baskol!$J$132="","",[2]Baskol!$J$132)</f>
        <v>نارنگی</v>
      </c>
      <c r="AA129">
        <f>IF([2]Baskol!$K$132="","",[2]Baskol!$K$132)</f>
        <v>2820</v>
      </c>
      <c r="AB129">
        <f>IF([2]Baskol!$L$132="","",[2]Baskol!$L$132)</f>
        <v>173</v>
      </c>
      <c r="AC129" t="str">
        <f>IF([2]Baskol!$N$132="","",[2]Baskol!$N$132)</f>
        <v/>
      </c>
      <c r="AD129" t="str">
        <f>IF([2]Baskol!$O$132="","",[2]Baskol!$O$132)</f>
        <v/>
      </c>
      <c r="AE129" t="str">
        <f>IF([3]Entry!$C$132="","",[3]Entry!$C$132)</f>
        <v/>
      </c>
      <c r="AF129" t="str">
        <f>IF([3]Entry!$D$132="","",[3]Entry!$D$132)</f>
        <v/>
      </c>
      <c r="AG129" t="str">
        <f>IF([3]Entry!$E$132="","",[3]Entry!$E$132)</f>
        <v/>
      </c>
      <c r="AH129" t="str">
        <f>IF([3]Entry!$G$132="","",[3]Entry!$G$132)</f>
        <v/>
      </c>
      <c r="AI129" t="str">
        <f>IF([3]Entry!$K$132="","",[3]Entry!$K$132)</f>
        <v/>
      </c>
      <c r="AJ129" t="str">
        <f>IF([3]Entry!$L$132="","",[3]Entry!$L$132)</f>
        <v/>
      </c>
      <c r="AK129" t="str">
        <f>IF([3]Entry!$M$132="","",[3]Entry!$M$132)</f>
        <v/>
      </c>
      <c r="AL129" t="str">
        <f>IF([3]Entry!$N$132="","",[3]Entry!$N$132)</f>
        <v/>
      </c>
      <c r="AM129" t="str">
        <f>IF([3]Entry!$R$132="","",[3]Entry!$R$132)</f>
        <v/>
      </c>
    </row>
    <row r="130" spans="1:39" x14ac:dyDescent="0.2">
      <c r="A130" t="str">
        <f>IF([1]Accounts!$D$131="","",[1]Accounts!$A$131)</f>
        <v/>
      </c>
      <c r="B130" t="str">
        <f>IF([1]Accounts!$D$131="","",[1]Accounts!$B$131)</f>
        <v/>
      </c>
      <c r="C130" t="str">
        <f>IF([1]Accounts!$D$131="","",[1]Accounts!$C$131)</f>
        <v/>
      </c>
      <c r="D130" t="str">
        <f>IF([1]Accounts!$D$131="","",[1]Accounts!$D$131)</f>
        <v/>
      </c>
      <c r="E130" t="str">
        <f>IF([1]Accounts!$D$131="","",[1]Accounts!$E$131)</f>
        <v/>
      </c>
      <c r="F130" t="str">
        <f>IF([1]Accounts!$D$131="","",[1]Accounts!$F$131)</f>
        <v/>
      </c>
      <c r="G130" t="str">
        <f>IF([1]Accounts!$D$131="","",[1]Accounts!$G$131)</f>
        <v/>
      </c>
      <c r="T130" t="str">
        <f>IF([2]Baskol!$B$133="","",[2]Baskol!$B$133)</f>
        <v>1405/07/23</v>
      </c>
      <c r="U130" t="str">
        <f>IF([2]Baskol!$C$133="","",[2]Baskol!$C$133)</f>
        <v/>
      </c>
      <c r="V130" t="str">
        <f>IF([2]Baskol!$D$133="","",[2]Baskol!$D$133)</f>
        <v/>
      </c>
      <c r="W130" t="str">
        <f>IF([2]Baskol!$E$133="","",[2]Baskol!$E$133)</f>
        <v>خرید مرکبات</v>
      </c>
      <c r="X130" t="str">
        <f>IF([2]Baskol!$G$133="","",[2]Baskol!$G$133)</f>
        <v>c049</v>
      </c>
      <c r="Y130" t="str">
        <f>IF([2]Baskol!$I$133="","",[2]Baskol!$I$133)</f>
        <v/>
      </c>
      <c r="Z130" t="str">
        <f>IF([2]Baskol!$J$133="","",[2]Baskol!$J$133)</f>
        <v>نارنگی</v>
      </c>
      <c r="AA130">
        <f>IF([2]Baskol!$K$133="","",[2]Baskol!$K$133)</f>
        <v>1125</v>
      </c>
      <c r="AB130">
        <f>IF([2]Baskol!$L$133="","",[2]Baskol!$L$133)</f>
        <v>73</v>
      </c>
      <c r="AC130" t="str">
        <f>IF([2]Baskol!$N$133="","",[2]Baskol!$N$133)</f>
        <v/>
      </c>
      <c r="AD130" t="str">
        <f>IF([2]Baskol!$O$133="","",[2]Baskol!$O$133)</f>
        <v/>
      </c>
      <c r="AE130" t="str">
        <f>IF([3]Entry!$C$133="","",[3]Entry!$C$133)</f>
        <v/>
      </c>
      <c r="AF130" t="str">
        <f>IF([3]Entry!$D$133="","",[3]Entry!$D$133)</f>
        <v/>
      </c>
      <c r="AG130" t="str">
        <f>IF([3]Entry!$E$133="","",[3]Entry!$E$133)</f>
        <v/>
      </c>
      <c r="AH130" t="str">
        <f>IF([3]Entry!$G$133="","",[3]Entry!$G$133)</f>
        <v/>
      </c>
      <c r="AI130" t="str">
        <f>IF([3]Entry!$K$133="","",[3]Entry!$K$133)</f>
        <v/>
      </c>
      <c r="AJ130" t="str">
        <f>IF([3]Entry!$L$133="","",[3]Entry!$L$133)</f>
        <v/>
      </c>
      <c r="AK130" t="str">
        <f>IF([3]Entry!$M$133="","",[3]Entry!$M$133)</f>
        <v/>
      </c>
      <c r="AL130" t="str">
        <f>IF([3]Entry!$N$133="","",[3]Entry!$N$133)</f>
        <v/>
      </c>
      <c r="AM130" t="str">
        <f>IF([3]Entry!$R$133="","",[3]Entry!$R$133)</f>
        <v/>
      </c>
    </row>
    <row r="131" spans="1:39" x14ac:dyDescent="0.2">
      <c r="A131" t="str">
        <f>IF([1]Accounts!$D$132="","",[1]Accounts!$A$132)</f>
        <v/>
      </c>
      <c r="B131" t="str">
        <f>IF([1]Accounts!$D$132="","",[1]Accounts!$B$132)</f>
        <v/>
      </c>
      <c r="C131" t="str">
        <f>IF([1]Accounts!$D$132="","",[1]Accounts!$C$132)</f>
        <v/>
      </c>
      <c r="D131" t="str">
        <f>IF([1]Accounts!$D$132="","",[1]Accounts!$D$132)</f>
        <v/>
      </c>
      <c r="E131" t="str">
        <f>IF([1]Accounts!$D$132="","",[1]Accounts!$E$132)</f>
        <v/>
      </c>
      <c r="F131" t="str">
        <f>IF([1]Accounts!$D$132="","",[1]Accounts!$F$132)</f>
        <v/>
      </c>
      <c r="G131" t="str">
        <f>IF([1]Accounts!$D$132="","",[1]Accounts!$G$132)</f>
        <v/>
      </c>
      <c r="T131" t="str">
        <f>IF([2]Baskol!$B$134="","",[2]Baskol!$B$134)</f>
        <v>1405/07/23</v>
      </c>
      <c r="U131" t="str">
        <f>IF([2]Baskol!$C$134="","",[2]Baskol!$C$134)</f>
        <v/>
      </c>
      <c r="V131" t="str">
        <f>IF([2]Baskol!$D$134="","",[2]Baskol!$D$134)</f>
        <v/>
      </c>
      <c r="W131" t="str">
        <f>IF([2]Baskol!$E$134="","",[2]Baskol!$E$134)</f>
        <v>خرید مرکبات</v>
      </c>
      <c r="X131" t="str">
        <f>IF([2]Baskol!$G$134="","",[2]Baskol!$G$134)</f>
        <v>c050</v>
      </c>
      <c r="Y131" t="str">
        <f>IF([2]Baskol!$I$134="","",[2]Baskol!$I$134)</f>
        <v/>
      </c>
      <c r="Z131" t="str">
        <f>IF([2]Baskol!$J$134="","",[2]Baskol!$J$134)</f>
        <v>نارنگی</v>
      </c>
      <c r="AA131">
        <f>IF([2]Baskol!$K$134="","",[2]Baskol!$K$134)</f>
        <v>860</v>
      </c>
      <c r="AB131">
        <f>IF([2]Baskol!$L$134="","",[2]Baskol!$L$134)</f>
        <v>58</v>
      </c>
      <c r="AC131" t="str">
        <f>IF([2]Baskol!$N$134="","",[2]Baskol!$N$134)</f>
        <v/>
      </c>
      <c r="AD131" t="str">
        <f>IF([2]Baskol!$O$134="","",[2]Baskol!$O$134)</f>
        <v/>
      </c>
      <c r="AE131" t="str">
        <f>IF([3]Entry!$C$134="","",[3]Entry!$C$134)</f>
        <v/>
      </c>
      <c r="AF131" t="str">
        <f>IF([3]Entry!$D$134="","",[3]Entry!$D$134)</f>
        <v/>
      </c>
      <c r="AG131" t="str">
        <f>IF([3]Entry!$E$134="","",[3]Entry!$E$134)</f>
        <v/>
      </c>
      <c r="AH131" t="str">
        <f>IF([3]Entry!$G$134="","",[3]Entry!$G$134)</f>
        <v/>
      </c>
      <c r="AI131" t="str">
        <f>IF([3]Entry!$K$134="","",[3]Entry!$K$134)</f>
        <v/>
      </c>
      <c r="AJ131" t="str">
        <f>IF([3]Entry!$L$134="","",[3]Entry!$L$134)</f>
        <v/>
      </c>
      <c r="AK131" t="str">
        <f>IF([3]Entry!$M$134="","",[3]Entry!$M$134)</f>
        <v/>
      </c>
      <c r="AL131" t="str">
        <f>IF([3]Entry!$N$134="","",[3]Entry!$N$134)</f>
        <v/>
      </c>
      <c r="AM131" t="str">
        <f>IF([3]Entry!$R$134="","",[3]Entry!$R$134)</f>
        <v/>
      </c>
    </row>
    <row r="132" spans="1:39" x14ac:dyDescent="0.2">
      <c r="A132" t="str">
        <f>IF([1]Accounts!$D$133="","",[1]Accounts!$A$133)</f>
        <v/>
      </c>
      <c r="B132" t="str">
        <f>IF([1]Accounts!$D$133="","",[1]Accounts!$B$133)</f>
        <v/>
      </c>
      <c r="C132" t="str">
        <f>IF([1]Accounts!$D$133="","",[1]Accounts!$C$133)</f>
        <v/>
      </c>
      <c r="D132" t="str">
        <f>IF([1]Accounts!$D$133="","",[1]Accounts!$D$133)</f>
        <v/>
      </c>
      <c r="E132" t="str">
        <f>IF([1]Accounts!$D$133="","",[1]Accounts!$E$133)</f>
        <v/>
      </c>
      <c r="F132" t="str">
        <f>IF([1]Accounts!$D$133="","",[1]Accounts!$F$133)</f>
        <v/>
      </c>
      <c r="G132" t="str">
        <f>IF([1]Accounts!$D$133="","",[1]Accounts!$G$133)</f>
        <v/>
      </c>
      <c r="T132" t="str">
        <f>IF([2]Baskol!$B$135="","",[2]Baskol!$B$135)</f>
        <v>1405/07/23</v>
      </c>
      <c r="U132" t="str">
        <f>IF([2]Baskol!$C$135="","",[2]Baskol!$C$135)</f>
        <v/>
      </c>
      <c r="V132" t="str">
        <f>IF([2]Baskol!$D$135="","",[2]Baskol!$D$135)</f>
        <v/>
      </c>
      <c r="W132" t="str">
        <f>IF([2]Baskol!$E$135="","",[2]Baskol!$E$135)</f>
        <v>خرید مرکبات</v>
      </c>
      <c r="X132" t="str">
        <f>IF([2]Baskol!$G$135="","",[2]Baskol!$G$135)</f>
        <v>c051</v>
      </c>
      <c r="Y132" t="str">
        <f>IF([2]Baskol!$I$135="","",[2]Baskol!$I$135)</f>
        <v/>
      </c>
      <c r="Z132" t="str">
        <f>IF([2]Baskol!$J$135="","",[2]Baskol!$J$135)</f>
        <v>نارنگی</v>
      </c>
      <c r="AA132">
        <f>IF([2]Baskol!$K$135="","",[2]Baskol!$K$135)</f>
        <v>380</v>
      </c>
      <c r="AB132" t="str">
        <f>IF([2]Baskol!$L$135="","",[2]Baskol!$L$135)</f>
        <v/>
      </c>
      <c r="AC132" t="str">
        <f>IF([2]Baskol!$N$135="","",[2]Baskol!$N$135)</f>
        <v/>
      </c>
      <c r="AD132" t="str">
        <f>IF([2]Baskol!$O$135="","",[2]Baskol!$O$135)</f>
        <v/>
      </c>
      <c r="AE132" t="str">
        <f>IF([3]Entry!$C$135="","",[3]Entry!$C$135)</f>
        <v/>
      </c>
      <c r="AF132" t="str">
        <f>IF([3]Entry!$D$135="","",[3]Entry!$D$135)</f>
        <v/>
      </c>
      <c r="AG132" t="str">
        <f>IF([3]Entry!$E$135="","",[3]Entry!$E$135)</f>
        <v/>
      </c>
      <c r="AH132" t="str">
        <f>IF([3]Entry!$G$135="","",[3]Entry!$G$135)</f>
        <v/>
      </c>
      <c r="AI132" t="str">
        <f>IF([3]Entry!$K$135="","",[3]Entry!$K$135)</f>
        <v/>
      </c>
      <c r="AJ132" t="str">
        <f>IF([3]Entry!$L$135="","",[3]Entry!$L$135)</f>
        <v/>
      </c>
      <c r="AK132" t="str">
        <f>IF([3]Entry!$M$135="","",[3]Entry!$M$135)</f>
        <v/>
      </c>
      <c r="AL132" t="str">
        <f>IF([3]Entry!$N$135="","",[3]Entry!$N$135)</f>
        <v/>
      </c>
      <c r="AM132" t="str">
        <f>IF([3]Entry!$R$135="","",[3]Entry!$R$135)</f>
        <v/>
      </c>
    </row>
    <row r="133" spans="1:39" x14ac:dyDescent="0.2">
      <c r="A133" t="str">
        <f>IF([1]Accounts!$D$134="","",[1]Accounts!$A$134)</f>
        <v/>
      </c>
      <c r="B133" t="str">
        <f>IF([1]Accounts!$D$134="","",[1]Accounts!$B$134)</f>
        <v/>
      </c>
      <c r="C133" t="str">
        <f>IF([1]Accounts!$D$134="","",[1]Accounts!$C$134)</f>
        <v/>
      </c>
      <c r="D133" t="str">
        <f>IF([1]Accounts!$D$134="","",[1]Accounts!$D$134)</f>
        <v/>
      </c>
      <c r="E133" t="str">
        <f>IF([1]Accounts!$D$134="","",[1]Accounts!$E$134)</f>
        <v/>
      </c>
      <c r="F133" t="str">
        <f>IF([1]Accounts!$D$134="","",[1]Accounts!$F$134)</f>
        <v/>
      </c>
      <c r="G133" t="str">
        <f>IF([1]Accounts!$D$134="","",[1]Accounts!$G$134)</f>
        <v/>
      </c>
      <c r="T133" t="str">
        <f>IF([2]Baskol!$B$136="","",[2]Baskol!$B$136)</f>
        <v>1405/07/23</v>
      </c>
      <c r="U133" t="str">
        <f>IF([2]Baskol!$C$136="","",[2]Baskol!$C$136)</f>
        <v/>
      </c>
      <c r="V133" t="str">
        <f>IF([2]Baskol!$D$136="","",[2]Baskol!$D$136)</f>
        <v/>
      </c>
      <c r="W133" t="str">
        <f>IF([2]Baskol!$E$136="","",[2]Baskol!$E$136)</f>
        <v>خرید مرکبات</v>
      </c>
      <c r="X133" t="str">
        <f>IF([2]Baskol!$G$136="","",[2]Baskol!$G$136)</f>
        <v>c048</v>
      </c>
      <c r="Y133" t="str">
        <f>IF([2]Baskol!$I$136="","",[2]Baskol!$I$136)</f>
        <v/>
      </c>
      <c r="Z133" t="str">
        <f>IF([2]Baskol!$J$136="","",[2]Baskol!$J$136)</f>
        <v>خرمالو</v>
      </c>
      <c r="AA133">
        <f>IF([2]Baskol!$K$136="","",[2]Baskol!$K$136)</f>
        <v>500</v>
      </c>
      <c r="AB133">
        <f>IF([2]Baskol!$L$136="","",[2]Baskol!$L$136)</f>
        <v>30</v>
      </c>
      <c r="AC133" t="str">
        <f>IF([2]Baskol!$N$136="","",[2]Baskol!$N$136)</f>
        <v/>
      </c>
      <c r="AD133" t="str">
        <f>IF([2]Baskol!$O$136="","",[2]Baskol!$O$136)</f>
        <v/>
      </c>
      <c r="AE133" t="str">
        <f>IF([3]Entry!$C$136="","",[3]Entry!$C$136)</f>
        <v/>
      </c>
      <c r="AF133" t="str">
        <f>IF([3]Entry!$D$136="","",[3]Entry!$D$136)</f>
        <v/>
      </c>
      <c r="AG133" t="str">
        <f>IF([3]Entry!$E$136="","",[3]Entry!$E$136)</f>
        <v/>
      </c>
      <c r="AH133" t="str">
        <f>IF([3]Entry!$G$136="","",[3]Entry!$G$136)</f>
        <v/>
      </c>
      <c r="AI133" t="str">
        <f>IF([3]Entry!$K$136="","",[3]Entry!$K$136)</f>
        <v/>
      </c>
      <c r="AJ133" t="str">
        <f>IF([3]Entry!$L$136="","",[3]Entry!$L$136)</f>
        <v/>
      </c>
      <c r="AK133" t="str">
        <f>IF([3]Entry!$M$136="","",[3]Entry!$M$136)</f>
        <v/>
      </c>
      <c r="AL133" t="str">
        <f>IF([3]Entry!$N$136="","",[3]Entry!$N$136)</f>
        <v/>
      </c>
      <c r="AM133" t="str">
        <f>IF([3]Entry!$R$136="","",[3]Entry!$R$136)</f>
        <v/>
      </c>
    </row>
    <row r="134" spans="1:39" x14ac:dyDescent="0.2">
      <c r="A134" t="str">
        <f>IF([1]Accounts!$D$135="","",[1]Accounts!$A$135)</f>
        <v/>
      </c>
      <c r="B134" t="str">
        <f>IF([1]Accounts!$D$135="","",[1]Accounts!$B$135)</f>
        <v/>
      </c>
      <c r="C134" t="str">
        <f>IF([1]Accounts!$D$135="","",[1]Accounts!$C$135)</f>
        <v/>
      </c>
      <c r="D134" t="str">
        <f>IF([1]Accounts!$D$135="","",[1]Accounts!$D$135)</f>
        <v/>
      </c>
      <c r="E134" t="str">
        <f>IF([1]Accounts!$D$135="","",[1]Accounts!$E$135)</f>
        <v/>
      </c>
      <c r="F134" t="str">
        <f>IF([1]Accounts!$D$135="","",[1]Accounts!$F$135)</f>
        <v/>
      </c>
      <c r="G134" t="str">
        <f>IF([1]Accounts!$D$135="","",[1]Accounts!$G$135)</f>
        <v/>
      </c>
      <c r="T134" t="str">
        <f>IF([2]Baskol!$B$137="","",[2]Baskol!$B$137)</f>
        <v>1405/07/23</v>
      </c>
      <c r="U134" t="str">
        <f>IF([2]Baskol!$C$137="","",[2]Baskol!$C$137)</f>
        <v/>
      </c>
      <c r="V134" t="str">
        <f>IF([2]Baskol!$D$137="","",[2]Baskol!$D$137)</f>
        <v/>
      </c>
      <c r="W134" t="str">
        <f>IF([2]Baskol!$E$137="","",[2]Baskol!$E$137)</f>
        <v>خرید مرکبات</v>
      </c>
      <c r="X134" t="str">
        <f>IF([2]Baskol!$G$137="","",[2]Baskol!$G$137)</f>
        <v>c041</v>
      </c>
      <c r="Y134" t="str">
        <f>IF([2]Baskol!$I$137="","",[2]Baskol!$I$137)</f>
        <v/>
      </c>
      <c r="Z134" t="str">
        <f>IF([2]Baskol!$J$137="","",[2]Baskol!$J$137)</f>
        <v>نارنگی</v>
      </c>
      <c r="AA134">
        <f>IF([2]Baskol!$K$137="","",[2]Baskol!$K$137)</f>
        <v>445</v>
      </c>
      <c r="AB134">
        <f>IF([2]Baskol!$L$137="","",[2]Baskol!$L$137)</f>
        <v>29</v>
      </c>
      <c r="AC134" t="str">
        <f>IF([2]Baskol!$N$137="","",[2]Baskol!$N$137)</f>
        <v/>
      </c>
      <c r="AD134" t="str">
        <f>IF([2]Baskol!$O$137="","",[2]Baskol!$O$137)</f>
        <v/>
      </c>
      <c r="AE134" t="str">
        <f>IF([3]Entry!$C$137="","",[3]Entry!$C$137)</f>
        <v/>
      </c>
      <c r="AF134" t="str">
        <f>IF([3]Entry!$D$137="","",[3]Entry!$D$137)</f>
        <v/>
      </c>
      <c r="AG134" t="str">
        <f>IF([3]Entry!$E$137="","",[3]Entry!$E$137)</f>
        <v/>
      </c>
      <c r="AH134" t="str">
        <f>IF([3]Entry!$G$137="","",[3]Entry!$G$137)</f>
        <v/>
      </c>
      <c r="AI134" t="str">
        <f>IF([3]Entry!$K$137="","",[3]Entry!$K$137)</f>
        <v/>
      </c>
      <c r="AJ134" t="str">
        <f>IF([3]Entry!$L$137="","",[3]Entry!$L$137)</f>
        <v/>
      </c>
      <c r="AK134" t="str">
        <f>IF([3]Entry!$M$137="","",[3]Entry!$M$137)</f>
        <v/>
      </c>
      <c r="AL134" t="str">
        <f>IF([3]Entry!$N$137="","",[3]Entry!$N$137)</f>
        <v/>
      </c>
      <c r="AM134" t="str">
        <f>IF([3]Entry!$R$137="","",[3]Entry!$R$137)</f>
        <v/>
      </c>
    </row>
    <row r="135" spans="1:39" x14ac:dyDescent="0.2">
      <c r="A135" t="str">
        <f>IF([1]Accounts!$D$136="","",[1]Accounts!$A$136)</f>
        <v/>
      </c>
      <c r="B135" t="str">
        <f>IF([1]Accounts!$D$136="","",[1]Accounts!$B$136)</f>
        <v/>
      </c>
      <c r="C135" t="str">
        <f>IF([1]Accounts!$D$136="","",[1]Accounts!$C$136)</f>
        <v/>
      </c>
      <c r="D135" t="str">
        <f>IF([1]Accounts!$D$136="","",[1]Accounts!$D$136)</f>
        <v/>
      </c>
      <c r="E135" t="str">
        <f>IF([1]Accounts!$D$136="","",[1]Accounts!$E$136)</f>
        <v/>
      </c>
      <c r="F135" t="str">
        <f>IF([1]Accounts!$D$136="","",[1]Accounts!$F$136)</f>
        <v/>
      </c>
      <c r="G135" t="str">
        <f>IF([1]Accounts!$D$136="","",[1]Accounts!$G$136)</f>
        <v/>
      </c>
      <c r="T135" t="str">
        <f>IF([2]Baskol!$B$138="","",[2]Baskol!$B$138)</f>
        <v>1405/07/23</v>
      </c>
      <c r="U135" t="str">
        <f>IF([2]Baskol!$C$138="","",[2]Baskol!$C$138)</f>
        <v/>
      </c>
      <c r="V135" t="str">
        <f>IF([2]Baskol!$D$138="","",[2]Baskol!$D$138)</f>
        <v/>
      </c>
      <c r="W135" t="str">
        <f>IF([2]Baskol!$E$138="","",[2]Baskol!$E$138)</f>
        <v>خرید مرکبات</v>
      </c>
      <c r="X135" t="str">
        <f>IF([2]Baskol!$G$138="","",[2]Baskol!$G$138)</f>
        <v>c049</v>
      </c>
      <c r="Y135" t="str">
        <f>IF([2]Baskol!$I$138="","",[2]Baskol!$I$138)</f>
        <v/>
      </c>
      <c r="Z135" t="str">
        <f>IF([2]Baskol!$J$138="","",[2]Baskol!$J$138)</f>
        <v>نارنگی</v>
      </c>
      <c r="AA135">
        <f>IF([2]Baskol!$K$138="","",[2]Baskol!$K$138)</f>
        <v>3035</v>
      </c>
      <c r="AB135">
        <f>IF([2]Baskol!$L$138="","",[2]Baskol!$L$138)</f>
        <v>187</v>
      </c>
      <c r="AC135" t="str">
        <f>IF([2]Baskol!$N$138="","",[2]Baskol!$N$138)</f>
        <v/>
      </c>
      <c r="AD135" t="str">
        <f>IF([2]Baskol!$O$138="","",[2]Baskol!$O$138)</f>
        <v/>
      </c>
      <c r="AE135" t="str">
        <f>IF([3]Entry!$C$138="","",[3]Entry!$C$138)</f>
        <v/>
      </c>
      <c r="AF135" t="str">
        <f>IF([3]Entry!$D$138="","",[3]Entry!$D$138)</f>
        <v/>
      </c>
      <c r="AG135" t="str">
        <f>IF([3]Entry!$E$138="","",[3]Entry!$E$138)</f>
        <v/>
      </c>
      <c r="AH135" t="str">
        <f>IF([3]Entry!$G$138="","",[3]Entry!$G$138)</f>
        <v/>
      </c>
      <c r="AI135" t="str">
        <f>IF([3]Entry!$K$138="","",[3]Entry!$K$138)</f>
        <v/>
      </c>
      <c r="AJ135" t="str">
        <f>IF([3]Entry!$L$138="","",[3]Entry!$L$138)</f>
        <v/>
      </c>
      <c r="AK135" t="str">
        <f>IF([3]Entry!$M$138="","",[3]Entry!$M$138)</f>
        <v/>
      </c>
      <c r="AL135" t="str">
        <f>IF([3]Entry!$N$138="","",[3]Entry!$N$138)</f>
        <v/>
      </c>
      <c r="AM135" t="str">
        <f>IF([3]Entry!$R$138="","",[3]Entry!$R$138)</f>
        <v/>
      </c>
    </row>
    <row r="136" spans="1:39" x14ac:dyDescent="0.2">
      <c r="A136" t="str">
        <f>IF([1]Accounts!$D$137="","",[1]Accounts!$A$137)</f>
        <v/>
      </c>
      <c r="B136" t="str">
        <f>IF([1]Accounts!$D$137="","",[1]Accounts!$B$137)</f>
        <v/>
      </c>
      <c r="C136" t="str">
        <f>IF([1]Accounts!$D$137="","",[1]Accounts!$C$137)</f>
        <v/>
      </c>
      <c r="D136" t="str">
        <f>IF([1]Accounts!$D$137="","",[1]Accounts!$D$137)</f>
        <v/>
      </c>
      <c r="E136" t="str">
        <f>IF([1]Accounts!$D$137="","",[1]Accounts!$E$137)</f>
        <v/>
      </c>
      <c r="F136" t="str">
        <f>IF([1]Accounts!$D$137="","",[1]Accounts!$F$137)</f>
        <v/>
      </c>
      <c r="G136" t="str">
        <f>IF([1]Accounts!$D$137="","",[1]Accounts!$G$137)</f>
        <v/>
      </c>
      <c r="T136" t="str">
        <f>IF([2]Baskol!$B$139="","",[2]Baskol!$B$139)</f>
        <v>1405/07/23</v>
      </c>
      <c r="U136" t="str">
        <f>IF([2]Baskol!$C$139="","",[2]Baskol!$C$139)</f>
        <v/>
      </c>
      <c r="V136" t="str">
        <f>IF([2]Baskol!$D$139="","",[2]Baskol!$D$139)</f>
        <v/>
      </c>
      <c r="W136" t="str">
        <f>IF([2]Baskol!$E$139="","",[2]Baskol!$E$139)</f>
        <v>خرید مرکبات</v>
      </c>
      <c r="X136" t="str">
        <f>IF([2]Baskol!$G$139="","",[2]Baskol!$G$139)</f>
        <v>c013</v>
      </c>
      <c r="Y136" t="str">
        <f>IF([2]Baskol!$I$139="","",[2]Baskol!$I$139)</f>
        <v/>
      </c>
      <c r="Z136" t="str">
        <f>IF([2]Baskol!$J$139="","",[2]Baskol!$J$139)</f>
        <v>خرمالو</v>
      </c>
      <c r="AA136">
        <f>IF([2]Baskol!$K$139="","",[2]Baskol!$K$139)</f>
        <v>260</v>
      </c>
      <c r="AB136">
        <f>IF([2]Baskol!$L$139="","",[2]Baskol!$L$139)</f>
        <v>30</v>
      </c>
      <c r="AC136" t="str">
        <f>IF([2]Baskol!$N$139="","",[2]Baskol!$N$139)</f>
        <v/>
      </c>
      <c r="AD136" t="str">
        <f>IF([2]Baskol!$O$139="","",[2]Baskol!$O$139)</f>
        <v/>
      </c>
      <c r="AE136" t="str">
        <f>IF([3]Entry!$C$139="","",[3]Entry!$C$139)</f>
        <v/>
      </c>
      <c r="AF136" t="str">
        <f>IF([3]Entry!$D$139="","",[3]Entry!$D$139)</f>
        <v/>
      </c>
      <c r="AG136" t="str">
        <f>IF([3]Entry!$E$139="","",[3]Entry!$E$139)</f>
        <v/>
      </c>
      <c r="AH136" t="str">
        <f>IF([3]Entry!$G$139="","",[3]Entry!$G$139)</f>
        <v/>
      </c>
      <c r="AI136" t="str">
        <f>IF([3]Entry!$K$139="","",[3]Entry!$K$139)</f>
        <v/>
      </c>
      <c r="AJ136" t="str">
        <f>IF([3]Entry!$L$139="","",[3]Entry!$L$139)</f>
        <v/>
      </c>
      <c r="AK136" t="str">
        <f>IF([3]Entry!$M$139="","",[3]Entry!$M$139)</f>
        <v/>
      </c>
      <c r="AL136" t="str">
        <f>IF([3]Entry!$N$139="","",[3]Entry!$N$139)</f>
        <v/>
      </c>
      <c r="AM136" t="str">
        <f>IF([3]Entry!$R$139="","",[3]Entry!$R$139)</f>
        <v/>
      </c>
    </row>
    <row r="137" spans="1:39" x14ac:dyDescent="0.2">
      <c r="A137" t="str">
        <f>IF([1]Accounts!$D$138="","",[1]Accounts!$A$138)</f>
        <v/>
      </c>
      <c r="B137" t="str">
        <f>IF([1]Accounts!$D$138="","",[1]Accounts!$B$138)</f>
        <v/>
      </c>
      <c r="C137" t="str">
        <f>IF([1]Accounts!$D$138="","",[1]Accounts!$C$138)</f>
        <v/>
      </c>
      <c r="D137" t="str">
        <f>IF([1]Accounts!$D$138="","",[1]Accounts!$D$138)</f>
        <v/>
      </c>
      <c r="E137" t="str">
        <f>IF([1]Accounts!$D$138="","",[1]Accounts!$E$138)</f>
        <v/>
      </c>
      <c r="F137" t="str">
        <f>IF([1]Accounts!$D$138="","",[1]Accounts!$F$138)</f>
        <v/>
      </c>
      <c r="G137" t="str">
        <f>IF([1]Accounts!$D$138="","",[1]Accounts!$G$138)</f>
        <v/>
      </c>
      <c r="T137" t="str">
        <f>IF([2]Baskol!$B$140="","",[2]Baskol!$B$140)</f>
        <v>1405/07/23</v>
      </c>
      <c r="U137" t="str">
        <f>IF([2]Baskol!$C$140="","",[2]Baskol!$C$140)</f>
        <v/>
      </c>
      <c r="V137" t="str">
        <f>IF([2]Baskol!$D$140="","",[2]Baskol!$D$140)</f>
        <v/>
      </c>
      <c r="W137" t="str">
        <f>IF([2]Baskol!$E$140="","",[2]Baskol!$E$140)</f>
        <v>خرید مرکبات</v>
      </c>
      <c r="X137" t="str">
        <f>IF([2]Baskol!$G$140="","",[2]Baskol!$G$140)</f>
        <v>c041</v>
      </c>
      <c r="Y137" t="str">
        <f>IF([2]Baskol!$I$140="","",[2]Baskol!$I$140)</f>
        <v/>
      </c>
      <c r="Z137" t="str">
        <f>IF([2]Baskol!$J$140="","",[2]Baskol!$J$140)</f>
        <v>نارنگی</v>
      </c>
      <c r="AA137">
        <f>IF([2]Baskol!$K$140="","",[2]Baskol!$K$140)</f>
        <v>920</v>
      </c>
      <c r="AB137">
        <f>IF([2]Baskol!$L$140="","",[2]Baskol!$L$140)</f>
        <v>52</v>
      </c>
      <c r="AC137" t="str">
        <f>IF([2]Baskol!$N$140="","",[2]Baskol!$N$140)</f>
        <v/>
      </c>
      <c r="AD137" t="str">
        <f>IF([2]Baskol!$O$140="","",[2]Baskol!$O$140)</f>
        <v/>
      </c>
      <c r="AE137" t="str">
        <f>IF([3]Entry!$C$140="","",[3]Entry!$C$140)</f>
        <v/>
      </c>
      <c r="AF137" t="str">
        <f>IF([3]Entry!$D$140="","",[3]Entry!$D$140)</f>
        <v/>
      </c>
      <c r="AG137" t="str">
        <f>IF([3]Entry!$E$140="","",[3]Entry!$E$140)</f>
        <v/>
      </c>
      <c r="AH137" t="str">
        <f>IF([3]Entry!$G$140="","",[3]Entry!$G$140)</f>
        <v/>
      </c>
      <c r="AI137" t="str">
        <f>IF([3]Entry!$K$140="","",[3]Entry!$K$140)</f>
        <v/>
      </c>
      <c r="AJ137" t="str">
        <f>IF([3]Entry!$L$140="","",[3]Entry!$L$140)</f>
        <v/>
      </c>
      <c r="AK137" t="str">
        <f>IF([3]Entry!$M$140="","",[3]Entry!$M$140)</f>
        <v/>
      </c>
      <c r="AL137" t="str">
        <f>IF([3]Entry!$N$140="","",[3]Entry!$N$140)</f>
        <v/>
      </c>
      <c r="AM137" t="str">
        <f>IF([3]Entry!$R$140="","",[3]Entry!$R$140)</f>
        <v/>
      </c>
    </row>
    <row r="138" spans="1:39" x14ac:dyDescent="0.2">
      <c r="A138" t="str">
        <f>IF([1]Accounts!$D$139="","",[1]Accounts!$A$139)</f>
        <v/>
      </c>
      <c r="B138" t="str">
        <f>IF([1]Accounts!$D$139="","",[1]Accounts!$B$139)</f>
        <v/>
      </c>
      <c r="C138" t="str">
        <f>IF([1]Accounts!$D$139="","",[1]Accounts!$C$139)</f>
        <v/>
      </c>
      <c r="D138" t="str">
        <f>IF([1]Accounts!$D$139="","",[1]Accounts!$D$139)</f>
        <v/>
      </c>
      <c r="E138" t="str">
        <f>IF([1]Accounts!$D$139="","",[1]Accounts!$E$139)</f>
        <v/>
      </c>
      <c r="F138" t="str">
        <f>IF([1]Accounts!$D$139="","",[1]Accounts!$F$139)</f>
        <v/>
      </c>
      <c r="G138" t="str">
        <f>IF([1]Accounts!$D$139="","",[1]Accounts!$G$139)</f>
        <v/>
      </c>
      <c r="T138" t="str">
        <f>IF([2]Baskol!$B$141="","",[2]Baskol!$B$141)</f>
        <v>1405/07/23</v>
      </c>
      <c r="U138" t="str">
        <f>IF([2]Baskol!$C$141="","",[2]Baskol!$C$141)</f>
        <v/>
      </c>
      <c r="V138" t="str">
        <f>IF([2]Baskol!$D$141="","",[2]Baskol!$D$141)</f>
        <v/>
      </c>
      <c r="W138" t="str">
        <f>IF([2]Baskol!$E$141="","",[2]Baskol!$E$141)</f>
        <v>خرید مرکبات</v>
      </c>
      <c r="X138" t="str">
        <f>IF([2]Baskol!$G$141="","",[2]Baskol!$G$141)</f>
        <v>c049</v>
      </c>
      <c r="Y138" t="str">
        <f>IF([2]Baskol!$I$141="","",[2]Baskol!$I$141)</f>
        <v/>
      </c>
      <c r="Z138" t="str">
        <f>IF([2]Baskol!$J$141="","",[2]Baskol!$J$141)</f>
        <v>نارنگی</v>
      </c>
      <c r="AA138">
        <f>IF([2]Baskol!$K$141="","",[2]Baskol!$K$141)</f>
        <v>945</v>
      </c>
      <c r="AB138">
        <f>IF([2]Baskol!$L$141="","",[2]Baskol!$L$141)</f>
        <v>56</v>
      </c>
      <c r="AC138" t="str">
        <f>IF([2]Baskol!$N$141="","",[2]Baskol!$N$141)</f>
        <v/>
      </c>
      <c r="AD138" t="str">
        <f>IF([2]Baskol!$O$141="","",[2]Baskol!$O$141)</f>
        <v/>
      </c>
      <c r="AE138" t="str">
        <f>IF([3]Entry!$C$141="","",[3]Entry!$C$141)</f>
        <v/>
      </c>
      <c r="AF138" t="str">
        <f>IF([3]Entry!$D$141="","",[3]Entry!$D$141)</f>
        <v/>
      </c>
      <c r="AG138" t="str">
        <f>IF([3]Entry!$E$141="","",[3]Entry!$E$141)</f>
        <v/>
      </c>
      <c r="AH138" t="str">
        <f>IF([3]Entry!$G$141="","",[3]Entry!$G$141)</f>
        <v/>
      </c>
      <c r="AI138" t="str">
        <f>IF([3]Entry!$K$141="","",[3]Entry!$K$141)</f>
        <v/>
      </c>
      <c r="AJ138" t="str">
        <f>IF([3]Entry!$L$141="","",[3]Entry!$L$141)</f>
        <v/>
      </c>
      <c r="AK138" t="str">
        <f>IF([3]Entry!$M$141="","",[3]Entry!$M$141)</f>
        <v/>
      </c>
      <c r="AL138" t="str">
        <f>IF([3]Entry!$N$141="","",[3]Entry!$N$141)</f>
        <v/>
      </c>
      <c r="AM138" t="str">
        <f>IF([3]Entry!$R$141="","",[3]Entry!$R$141)</f>
        <v/>
      </c>
    </row>
    <row r="139" spans="1:39" x14ac:dyDescent="0.2">
      <c r="A139" t="str">
        <f>IF([1]Accounts!$D$140="","",[1]Accounts!$A$140)</f>
        <v/>
      </c>
      <c r="B139" t="str">
        <f>IF([1]Accounts!$D$140="","",[1]Accounts!$B$140)</f>
        <v/>
      </c>
      <c r="C139" t="str">
        <f>IF([1]Accounts!$D$140="","",[1]Accounts!$C$140)</f>
        <v/>
      </c>
      <c r="D139" t="str">
        <f>IF([1]Accounts!$D$140="","",[1]Accounts!$D$140)</f>
        <v/>
      </c>
      <c r="E139" t="str">
        <f>IF([1]Accounts!$D$140="","",[1]Accounts!$E$140)</f>
        <v/>
      </c>
      <c r="F139" t="str">
        <f>IF([1]Accounts!$D$140="","",[1]Accounts!$F$140)</f>
        <v/>
      </c>
      <c r="G139" t="str">
        <f>IF([1]Accounts!$D$140="","",[1]Accounts!$G$140)</f>
        <v/>
      </c>
      <c r="T139" t="str">
        <f>IF([2]Baskol!$B$142="","",[2]Baskol!$B$142)</f>
        <v>1405/07/23</v>
      </c>
      <c r="U139" t="str">
        <f>IF([2]Baskol!$C$142="","",[2]Baskol!$C$142)</f>
        <v/>
      </c>
      <c r="V139" t="str">
        <f>IF([2]Baskol!$D$142="","",[2]Baskol!$D$142)</f>
        <v/>
      </c>
      <c r="W139" t="str">
        <f>IF([2]Baskol!$E$142="","",[2]Baskol!$E$142)</f>
        <v>خرید مرکبات</v>
      </c>
      <c r="X139" t="str">
        <f>IF([2]Baskol!$G$142="","",[2]Baskol!$G$142)</f>
        <v>c041</v>
      </c>
      <c r="Y139" t="str">
        <f>IF([2]Baskol!$I$142="","",[2]Baskol!$I$142)</f>
        <v/>
      </c>
      <c r="Z139" t="str">
        <f>IF([2]Baskol!$J$142="","",[2]Baskol!$J$142)</f>
        <v>نارنگی</v>
      </c>
      <c r="AA139">
        <f>IF([2]Baskol!$K$142="","",[2]Baskol!$K$142)</f>
        <v>310</v>
      </c>
      <c r="AB139">
        <f>IF([2]Baskol!$L$142="","",[2]Baskol!$L$142)</f>
        <v>18</v>
      </c>
      <c r="AC139" t="str">
        <f>IF([2]Baskol!$N$142="","",[2]Baskol!$N$142)</f>
        <v/>
      </c>
      <c r="AD139" t="str">
        <f>IF([2]Baskol!$O$142="","",[2]Baskol!$O$142)</f>
        <v/>
      </c>
      <c r="AE139" t="str">
        <f>IF([3]Entry!$C$142="","",[3]Entry!$C$142)</f>
        <v/>
      </c>
      <c r="AF139" t="str">
        <f>IF([3]Entry!$D$142="","",[3]Entry!$D$142)</f>
        <v/>
      </c>
      <c r="AG139" t="str">
        <f>IF([3]Entry!$E$142="","",[3]Entry!$E$142)</f>
        <v/>
      </c>
      <c r="AH139" t="str">
        <f>IF([3]Entry!$G$142="","",[3]Entry!$G$142)</f>
        <v/>
      </c>
      <c r="AI139" t="str">
        <f>IF([3]Entry!$K$142="","",[3]Entry!$K$142)</f>
        <v/>
      </c>
      <c r="AJ139" t="str">
        <f>IF([3]Entry!$L$142="","",[3]Entry!$L$142)</f>
        <v/>
      </c>
      <c r="AK139" t="str">
        <f>IF([3]Entry!$M$142="","",[3]Entry!$M$142)</f>
        <v/>
      </c>
      <c r="AL139" t="str">
        <f>IF([3]Entry!$N$142="","",[3]Entry!$N$142)</f>
        <v/>
      </c>
      <c r="AM139" t="str">
        <f>IF([3]Entry!$R$142="","",[3]Entry!$R$142)</f>
        <v/>
      </c>
    </row>
    <row r="140" spans="1:39" x14ac:dyDescent="0.2">
      <c r="A140" t="str">
        <f>IF([1]Accounts!$D$141="","",[1]Accounts!$A$141)</f>
        <v/>
      </c>
      <c r="B140" t="str">
        <f>IF([1]Accounts!$D$141="","",[1]Accounts!$B$141)</f>
        <v/>
      </c>
      <c r="C140" t="str">
        <f>IF([1]Accounts!$D$141="","",[1]Accounts!$C$141)</f>
        <v/>
      </c>
      <c r="D140" t="str">
        <f>IF([1]Accounts!$D$141="","",[1]Accounts!$D$141)</f>
        <v/>
      </c>
      <c r="E140" t="str">
        <f>IF([1]Accounts!$D$141="","",[1]Accounts!$E$141)</f>
        <v/>
      </c>
      <c r="F140" t="str">
        <f>IF([1]Accounts!$D$141="","",[1]Accounts!$F$141)</f>
        <v/>
      </c>
      <c r="G140" t="str">
        <f>IF([1]Accounts!$D$141="","",[1]Accounts!$G$141)</f>
        <v/>
      </c>
      <c r="T140" t="str">
        <f>IF([2]Baskol!$B$143="","",[2]Baskol!$B$143)</f>
        <v>1405/07/24</v>
      </c>
      <c r="U140" t="str">
        <f>IF([2]Baskol!$C$143="","",[2]Baskol!$C$143)</f>
        <v/>
      </c>
      <c r="V140" t="str">
        <f>IF([2]Baskol!$D$143="","",[2]Baskol!$D$143)</f>
        <v/>
      </c>
      <c r="W140" t="str">
        <f>IF([2]Baskol!$E$143="","",[2]Baskol!$E$143)</f>
        <v>فروش</v>
      </c>
      <c r="X140" t="str">
        <f>IF([2]Baskol!$G$143="","",[2]Baskol!$G$143)</f>
        <v>SL002</v>
      </c>
      <c r="Y140" t="str">
        <f>IF([2]Baskol!$I$143="","",[2]Baskol!$I$143)</f>
        <v/>
      </c>
      <c r="Z140" t="str">
        <f>IF([2]Baskol!$J$143="","",[2]Baskol!$J$143)</f>
        <v/>
      </c>
      <c r="AA140">
        <f>IF([2]Baskol!$K$143="","",[2]Baskol!$K$143)</f>
        <v>2640</v>
      </c>
      <c r="AB140" t="str">
        <f>IF([2]Baskol!$L$143="","",[2]Baskol!$L$143)</f>
        <v/>
      </c>
      <c r="AC140" t="str">
        <f>IF([2]Baskol!$N$143="","",[2]Baskol!$N$143)</f>
        <v/>
      </c>
      <c r="AD140" t="str">
        <f>IF([2]Baskol!$O$143="","",[2]Baskol!$O$143)</f>
        <v/>
      </c>
      <c r="AE140" t="str">
        <f>IF([3]Entry!$C$143="","",[3]Entry!$C$143)</f>
        <v/>
      </c>
      <c r="AF140" t="str">
        <f>IF([3]Entry!$D$143="","",[3]Entry!$D$143)</f>
        <v/>
      </c>
      <c r="AG140" t="str">
        <f>IF([3]Entry!$E$143="","",[3]Entry!$E$143)</f>
        <v/>
      </c>
      <c r="AH140" t="str">
        <f>IF([3]Entry!$G$143="","",[3]Entry!$G$143)</f>
        <v/>
      </c>
      <c r="AI140" t="str">
        <f>IF([3]Entry!$K$143="","",[3]Entry!$K$143)</f>
        <v/>
      </c>
      <c r="AJ140" t="str">
        <f>IF([3]Entry!$L$143="","",[3]Entry!$L$143)</f>
        <v/>
      </c>
      <c r="AK140" t="str">
        <f>IF([3]Entry!$M$143="","",[3]Entry!$M$143)</f>
        <v/>
      </c>
      <c r="AL140" t="str">
        <f>IF([3]Entry!$N$143="","",[3]Entry!$N$143)</f>
        <v/>
      </c>
      <c r="AM140" t="str">
        <f>IF([3]Entry!$R$143="","",[3]Entry!$R$143)</f>
        <v/>
      </c>
    </row>
    <row r="141" spans="1:39" x14ac:dyDescent="0.2">
      <c r="A141" t="str">
        <f>IF([1]Accounts!$D$142="","",[1]Accounts!$A$142)</f>
        <v/>
      </c>
      <c r="B141" t="str">
        <f>IF([1]Accounts!$D$142="","",[1]Accounts!$B$142)</f>
        <v/>
      </c>
      <c r="C141" t="str">
        <f>IF([1]Accounts!$D$142="","",[1]Accounts!$C$142)</f>
        <v/>
      </c>
      <c r="D141" t="str">
        <f>IF([1]Accounts!$D$142="","",[1]Accounts!$D$142)</f>
        <v/>
      </c>
      <c r="E141" t="str">
        <f>IF([1]Accounts!$D$142="","",[1]Accounts!$E$142)</f>
        <v/>
      </c>
      <c r="F141" t="str">
        <f>IF([1]Accounts!$D$142="","",[1]Accounts!$F$142)</f>
        <v/>
      </c>
      <c r="G141" t="str">
        <f>IF([1]Accounts!$D$142="","",[1]Accounts!$G$142)</f>
        <v/>
      </c>
      <c r="T141" t="str">
        <f>IF([2]Baskol!$B$144="","",[2]Baskol!$B$144)</f>
        <v>1405/07/24</v>
      </c>
      <c r="U141" t="str">
        <f>IF([2]Baskol!$C$144="","",[2]Baskol!$C$144)</f>
        <v/>
      </c>
      <c r="V141" t="str">
        <f>IF([2]Baskol!$D$144="","",[2]Baskol!$D$144)</f>
        <v/>
      </c>
      <c r="W141" t="str">
        <f>IF([2]Baskol!$E$144="","",[2]Baskol!$E$144)</f>
        <v>فروش</v>
      </c>
      <c r="X141" t="str">
        <f>IF([2]Baskol!$G$144="","",[2]Baskol!$G$144)</f>
        <v>SL005</v>
      </c>
      <c r="Y141" t="str">
        <f>IF([2]Baskol!$I$144="","",[2]Baskol!$I$144)</f>
        <v/>
      </c>
      <c r="Z141" t="str">
        <f>IF([2]Baskol!$J$144="","",[2]Baskol!$J$144)</f>
        <v/>
      </c>
      <c r="AA141">
        <f>IF([2]Baskol!$K$144="","",[2]Baskol!$K$144)</f>
        <v>3135</v>
      </c>
      <c r="AB141" t="str">
        <f>IF([2]Baskol!$L$144="","",[2]Baskol!$L$144)</f>
        <v/>
      </c>
      <c r="AC141" t="str">
        <f>IF([2]Baskol!$N$144="","",[2]Baskol!$N$144)</f>
        <v/>
      </c>
      <c r="AD141" t="str">
        <f>IF([2]Baskol!$O$144="","",[2]Baskol!$O$144)</f>
        <v/>
      </c>
      <c r="AE141" t="str">
        <f>IF([3]Entry!$C$144="","",[3]Entry!$C$144)</f>
        <v/>
      </c>
      <c r="AF141" t="str">
        <f>IF([3]Entry!$D$144="","",[3]Entry!$D$144)</f>
        <v/>
      </c>
      <c r="AG141" t="str">
        <f>IF([3]Entry!$E$144="","",[3]Entry!$E$144)</f>
        <v/>
      </c>
      <c r="AH141" t="str">
        <f>IF([3]Entry!$G$144="","",[3]Entry!$G$144)</f>
        <v/>
      </c>
      <c r="AI141" t="str">
        <f>IF([3]Entry!$K$144="","",[3]Entry!$K$144)</f>
        <v/>
      </c>
      <c r="AJ141" t="str">
        <f>IF([3]Entry!$L$144="","",[3]Entry!$L$144)</f>
        <v/>
      </c>
      <c r="AK141" t="str">
        <f>IF([3]Entry!$M$144="","",[3]Entry!$M$144)</f>
        <v/>
      </c>
      <c r="AL141" t="str">
        <f>IF([3]Entry!$N$144="","",[3]Entry!$N$144)</f>
        <v/>
      </c>
      <c r="AM141" t="str">
        <f>IF([3]Entry!$R$144="","",[3]Entry!$R$144)</f>
        <v/>
      </c>
    </row>
    <row r="142" spans="1:39" x14ac:dyDescent="0.2">
      <c r="A142" t="str">
        <f>IF([1]Accounts!$D$143="","",[1]Accounts!$A$143)</f>
        <v/>
      </c>
      <c r="B142" t="str">
        <f>IF([1]Accounts!$D$143="","",[1]Accounts!$B$143)</f>
        <v/>
      </c>
      <c r="C142" t="str">
        <f>IF([1]Accounts!$D$143="","",[1]Accounts!$C$143)</f>
        <v/>
      </c>
      <c r="D142" t="str">
        <f>IF([1]Accounts!$D$143="","",[1]Accounts!$D$143)</f>
        <v/>
      </c>
      <c r="E142" t="str">
        <f>IF([1]Accounts!$D$143="","",[1]Accounts!$E$143)</f>
        <v/>
      </c>
      <c r="F142" t="str">
        <f>IF([1]Accounts!$D$143="","",[1]Accounts!$F$143)</f>
        <v/>
      </c>
      <c r="G142" t="str">
        <f>IF([1]Accounts!$D$143="","",[1]Accounts!$G$143)</f>
        <v/>
      </c>
      <c r="T142" t="str">
        <f>IF([2]Baskol!$B$145="","",[2]Baskol!$B$145)</f>
        <v>1405/07/24</v>
      </c>
      <c r="U142" t="str">
        <f>IF([2]Baskol!$C$145="","",[2]Baskol!$C$145)</f>
        <v/>
      </c>
      <c r="V142" t="str">
        <f>IF([2]Baskol!$D$145="","",[2]Baskol!$D$145)</f>
        <v/>
      </c>
      <c r="W142" t="str">
        <f>IF([2]Baskol!$E$145="","",[2]Baskol!$E$145)</f>
        <v>خرید مرکبات</v>
      </c>
      <c r="X142" t="str">
        <f>IF([2]Baskol!$G$145="","",[2]Baskol!$G$145)</f>
        <v>c052</v>
      </c>
      <c r="Y142" t="str">
        <f>IF([2]Baskol!$I$145="","",[2]Baskol!$I$145)</f>
        <v/>
      </c>
      <c r="Z142" t="str">
        <f>IF([2]Baskol!$J$145="","",[2]Baskol!$J$145)</f>
        <v/>
      </c>
      <c r="AA142">
        <f>IF([2]Baskol!$K$145="","",[2]Baskol!$K$145)</f>
        <v>3440</v>
      </c>
      <c r="AB142">
        <f>IF([2]Baskol!$L$145="","",[2]Baskol!$L$145)</f>
        <v>190</v>
      </c>
      <c r="AC142" t="str">
        <f>IF([2]Baskol!$N$145="","",[2]Baskol!$N$145)</f>
        <v/>
      </c>
      <c r="AD142" t="str">
        <f>IF([2]Baskol!$O$145="","",[2]Baskol!$O$145)</f>
        <v/>
      </c>
      <c r="AE142" t="str">
        <f>IF([3]Entry!$C$145="","",[3]Entry!$C$145)</f>
        <v/>
      </c>
      <c r="AF142" t="str">
        <f>IF([3]Entry!$D$145="","",[3]Entry!$D$145)</f>
        <v/>
      </c>
      <c r="AG142" t="str">
        <f>IF([3]Entry!$E$145="","",[3]Entry!$E$145)</f>
        <v/>
      </c>
      <c r="AH142" t="str">
        <f>IF([3]Entry!$G$145="","",[3]Entry!$G$145)</f>
        <v/>
      </c>
      <c r="AI142" t="str">
        <f>IF([3]Entry!$K$145="","",[3]Entry!$K$145)</f>
        <v/>
      </c>
      <c r="AJ142" t="str">
        <f>IF([3]Entry!$L$145="","",[3]Entry!$L$145)</f>
        <v/>
      </c>
      <c r="AK142" t="str">
        <f>IF([3]Entry!$M$145="","",[3]Entry!$M$145)</f>
        <v/>
      </c>
      <c r="AL142" t="str">
        <f>IF([3]Entry!$N$145="","",[3]Entry!$N$145)</f>
        <v/>
      </c>
      <c r="AM142" t="str">
        <f>IF([3]Entry!$R$145="","",[3]Entry!$R$145)</f>
        <v/>
      </c>
    </row>
    <row r="143" spans="1:39" x14ac:dyDescent="0.2">
      <c r="A143" t="str">
        <f>IF([1]Accounts!$D$144="","",[1]Accounts!$A$144)</f>
        <v/>
      </c>
      <c r="B143" t="str">
        <f>IF([1]Accounts!$D$144="","",[1]Accounts!$B$144)</f>
        <v/>
      </c>
      <c r="C143" t="str">
        <f>IF([1]Accounts!$D$144="","",[1]Accounts!$C$144)</f>
        <v/>
      </c>
      <c r="D143" t="str">
        <f>IF([1]Accounts!$D$144="","",[1]Accounts!$D$144)</f>
        <v/>
      </c>
      <c r="E143" t="str">
        <f>IF([1]Accounts!$D$144="","",[1]Accounts!$E$144)</f>
        <v/>
      </c>
      <c r="F143" t="str">
        <f>IF([1]Accounts!$D$144="","",[1]Accounts!$F$144)</f>
        <v/>
      </c>
      <c r="G143" t="str">
        <f>IF([1]Accounts!$D$144="","",[1]Accounts!$G$144)</f>
        <v/>
      </c>
      <c r="T143" t="str">
        <f>IF([2]Baskol!$B$146="","",[2]Baskol!$B$146)</f>
        <v>1405/07/24</v>
      </c>
      <c r="U143" t="str">
        <f>IF([2]Baskol!$C$146="","",[2]Baskol!$C$146)</f>
        <v/>
      </c>
      <c r="V143" t="str">
        <f>IF([2]Baskol!$D$146="","",[2]Baskol!$D$146)</f>
        <v/>
      </c>
      <c r="W143" t="str">
        <f>IF([2]Baskol!$E$146="","",[2]Baskol!$E$146)</f>
        <v>فروش</v>
      </c>
      <c r="X143" t="str">
        <f>IF([2]Baskol!$G$146="","",[2]Baskol!$G$146)</f>
        <v>SL003</v>
      </c>
      <c r="Y143" t="str">
        <f>IF([2]Baskol!$I$146="","",[2]Baskol!$I$146)</f>
        <v/>
      </c>
      <c r="Z143" t="str">
        <f>IF([2]Baskol!$J$146="","",[2]Baskol!$J$146)</f>
        <v/>
      </c>
      <c r="AA143">
        <f>IF([2]Baskol!$K$146="","",[2]Baskol!$K$146)</f>
        <v>3060</v>
      </c>
      <c r="AB143" t="str">
        <f>IF([2]Baskol!$L$146="","",[2]Baskol!$L$146)</f>
        <v/>
      </c>
      <c r="AC143" t="str">
        <f>IF([2]Baskol!$N$146="","",[2]Baskol!$N$146)</f>
        <v/>
      </c>
      <c r="AD143" t="str">
        <f>IF([2]Baskol!$O$146="","",[2]Baskol!$O$146)</f>
        <v/>
      </c>
      <c r="AE143" t="str">
        <f>IF([3]Entry!$C$146="","",[3]Entry!$C$146)</f>
        <v/>
      </c>
      <c r="AF143" t="str">
        <f>IF([3]Entry!$D$146="","",[3]Entry!$D$146)</f>
        <v/>
      </c>
      <c r="AG143" t="str">
        <f>IF([3]Entry!$E$146="","",[3]Entry!$E$146)</f>
        <v/>
      </c>
      <c r="AH143" t="str">
        <f>IF([3]Entry!$G$146="","",[3]Entry!$G$146)</f>
        <v/>
      </c>
      <c r="AI143" t="str">
        <f>IF([3]Entry!$K$146="","",[3]Entry!$K$146)</f>
        <v/>
      </c>
      <c r="AJ143" t="str">
        <f>IF([3]Entry!$L$146="","",[3]Entry!$L$146)</f>
        <v/>
      </c>
      <c r="AK143" t="str">
        <f>IF([3]Entry!$M$146="","",[3]Entry!$M$146)</f>
        <v/>
      </c>
      <c r="AL143" t="str">
        <f>IF([3]Entry!$N$146="","",[3]Entry!$N$146)</f>
        <v/>
      </c>
      <c r="AM143" t="str">
        <f>IF([3]Entry!$R$146="","",[3]Entry!$R$146)</f>
        <v/>
      </c>
    </row>
    <row r="144" spans="1:39" x14ac:dyDescent="0.2">
      <c r="A144" t="str">
        <f>IF([1]Accounts!$D$145="","",[1]Accounts!$A$145)</f>
        <v/>
      </c>
      <c r="B144" t="str">
        <f>IF([1]Accounts!$D$145="","",[1]Accounts!$B$145)</f>
        <v/>
      </c>
      <c r="C144" t="str">
        <f>IF([1]Accounts!$D$145="","",[1]Accounts!$C$145)</f>
        <v/>
      </c>
      <c r="D144" t="str">
        <f>IF([1]Accounts!$D$145="","",[1]Accounts!$D$145)</f>
        <v/>
      </c>
      <c r="E144" t="str">
        <f>IF([1]Accounts!$D$145="","",[1]Accounts!$E$145)</f>
        <v/>
      </c>
      <c r="F144" t="str">
        <f>IF([1]Accounts!$D$145="","",[1]Accounts!$F$145)</f>
        <v/>
      </c>
      <c r="G144" t="str">
        <f>IF([1]Accounts!$D$145="","",[1]Accounts!$G$145)</f>
        <v/>
      </c>
      <c r="T144" t="str">
        <f>IF([2]Baskol!$B$147="","",[2]Baskol!$B$147)</f>
        <v>1405/07/24</v>
      </c>
      <c r="U144" t="str">
        <f>IF([2]Baskol!$C$147="","",[2]Baskol!$C$147)</f>
        <v/>
      </c>
      <c r="V144" t="str">
        <f>IF([2]Baskol!$D$147="","",[2]Baskol!$D$147)</f>
        <v/>
      </c>
      <c r="W144" t="str">
        <f>IF([2]Baskol!$E$147="","",[2]Baskol!$E$147)</f>
        <v>خرید مرکبات</v>
      </c>
      <c r="X144" t="str">
        <f>IF([2]Baskol!$G$147="","",[2]Baskol!$G$147)</f>
        <v>c041</v>
      </c>
      <c r="Y144" t="str">
        <f>IF([2]Baskol!$I$147="","",[2]Baskol!$I$147)</f>
        <v/>
      </c>
      <c r="Z144" t="str">
        <f>IF([2]Baskol!$J$147="","",[2]Baskol!$J$147)</f>
        <v>نارنگی</v>
      </c>
      <c r="AA144">
        <f>IF([2]Baskol!$K$147="","",[2]Baskol!$K$147)</f>
        <v>1435</v>
      </c>
      <c r="AB144">
        <f>IF([2]Baskol!$L$147="","",[2]Baskol!$L$147)</f>
        <v>82</v>
      </c>
      <c r="AC144" t="str">
        <f>IF([2]Baskol!$N$147="","",[2]Baskol!$N$147)</f>
        <v/>
      </c>
      <c r="AD144" t="str">
        <f>IF([2]Baskol!$O$147="","",[2]Baskol!$O$147)</f>
        <v/>
      </c>
      <c r="AE144" t="str">
        <f>IF([3]Entry!$C$147="","",[3]Entry!$C$147)</f>
        <v/>
      </c>
      <c r="AF144" t="str">
        <f>IF([3]Entry!$D$147="","",[3]Entry!$D$147)</f>
        <v/>
      </c>
      <c r="AG144" t="str">
        <f>IF([3]Entry!$E$147="","",[3]Entry!$E$147)</f>
        <v/>
      </c>
      <c r="AH144" t="str">
        <f>IF([3]Entry!$G$147="","",[3]Entry!$G$147)</f>
        <v/>
      </c>
      <c r="AI144" t="str">
        <f>IF([3]Entry!$K$147="","",[3]Entry!$K$147)</f>
        <v/>
      </c>
      <c r="AJ144" t="str">
        <f>IF([3]Entry!$L$147="","",[3]Entry!$L$147)</f>
        <v/>
      </c>
      <c r="AK144" t="str">
        <f>IF([3]Entry!$M$147="","",[3]Entry!$M$147)</f>
        <v/>
      </c>
      <c r="AL144" t="str">
        <f>IF([3]Entry!$N$147="","",[3]Entry!$N$147)</f>
        <v/>
      </c>
      <c r="AM144" t="str">
        <f>IF([3]Entry!$R$147="","",[3]Entry!$R$147)</f>
        <v/>
      </c>
    </row>
    <row r="145" spans="1:39" x14ac:dyDescent="0.2">
      <c r="A145" t="str">
        <f>IF([1]Accounts!$D$146="","",[1]Accounts!$A$146)</f>
        <v/>
      </c>
      <c r="B145" t="str">
        <f>IF([1]Accounts!$D$146="","",[1]Accounts!$B$146)</f>
        <v/>
      </c>
      <c r="C145" t="str">
        <f>IF([1]Accounts!$D$146="","",[1]Accounts!$C$146)</f>
        <v/>
      </c>
      <c r="D145" t="str">
        <f>IF([1]Accounts!$D$146="","",[1]Accounts!$D$146)</f>
        <v/>
      </c>
      <c r="E145" t="str">
        <f>IF([1]Accounts!$D$146="","",[1]Accounts!$E$146)</f>
        <v/>
      </c>
      <c r="F145" t="str">
        <f>IF([1]Accounts!$D$146="","",[1]Accounts!$F$146)</f>
        <v/>
      </c>
      <c r="G145" t="str">
        <f>IF([1]Accounts!$D$146="","",[1]Accounts!$G$146)</f>
        <v/>
      </c>
      <c r="T145" t="str">
        <f>IF([2]Baskol!$B$148="","",[2]Baskol!$B$148)</f>
        <v>1405/07/24</v>
      </c>
      <c r="U145" t="str">
        <f>IF([2]Baskol!$C$148="","",[2]Baskol!$C$148)</f>
        <v/>
      </c>
      <c r="V145" t="str">
        <f>IF([2]Baskol!$D$148="","",[2]Baskol!$D$148)</f>
        <v/>
      </c>
      <c r="W145" t="str">
        <f>IF([2]Baskol!$E$148="","",[2]Baskol!$E$148)</f>
        <v>فروش</v>
      </c>
      <c r="X145" t="str">
        <f>IF([2]Baskol!$G$148="","",[2]Baskol!$G$148)</f>
        <v>SL001</v>
      </c>
      <c r="Y145" t="str">
        <f>IF([2]Baskol!$I$148="","",[2]Baskol!$I$148)</f>
        <v/>
      </c>
      <c r="Z145" t="str">
        <f>IF([2]Baskol!$J$148="","",[2]Baskol!$J$148)</f>
        <v/>
      </c>
      <c r="AA145">
        <f>IF([2]Baskol!$K$148="","",[2]Baskol!$K$148)</f>
        <v>2130</v>
      </c>
      <c r="AB145" t="str">
        <f>IF([2]Baskol!$L$148="","",[2]Baskol!$L$148)</f>
        <v/>
      </c>
      <c r="AC145" t="str">
        <f>IF([2]Baskol!$N$148="","",[2]Baskol!$N$148)</f>
        <v/>
      </c>
      <c r="AD145" t="str">
        <f>IF([2]Baskol!$O$148="","",[2]Baskol!$O$148)</f>
        <v/>
      </c>
      <c r="AE145" t="str">
        <f>IF([3]Entry!$C$148="","",[3]Entry!$C$148)</f>
        <v/>
      </c>
      <c r="AF145" t="str">
        <f>IF([3]Entry!$D$148="","",[3]Entry!$D$148)</f>
        <v/>
      </c>
      <c r="AG145" t="str">
        <f>IF([3]Entry!$E$148="","",[3]Entry!$E$148)</f>
        <v/>
      </c>
      <c r="AH145" t="str">
        <f>IF([3]Entry!$G$148="","",[3]Entry!$G$148)</f>
        <v/>
      </c>
      <c r="AI145" t="str">
        <f>IF([3]Entry!$K$148="","",[3]Entry!$K$148)</f>
        <v/>
      </c>
      <c r="AJ145" t="str">
        <f>IF([3]Entry!$L$148="","",[3]Entry!$L$148)</f>
        <v/>
      </c>
      <c r="AK145" t="str">
        <f>IF([3]Entry!$M$148="","",[3]Entry!$M$148)</f>
        <v/>
      </c>
      <c r="AL145" t="str">
        <f>IF([3]Entry!$N$148="","",[3]Entry!$N$148)</f>
        <v/>
      </c>
      <c r="AM145" t="str">
        <f>IF([3]Entry!$R$148="","",[3]Entry!$R$148)</f>
        <v/>
      </c>
    </row>
    <row r="146" spans="1:39" x14ac:dyDescent="0.2">
      <c r="A146" t="str">
        <f>IF([1]Accounts!$D$147="","",[1]Accounts!$A$147)</f>
        <v/>
      </c>
      <c r="B146" t="str">
        <f>IF([1]Accounts!$D$147="","",[1]Accounts!$B$147)</f>
        <v/>
      </c>
      <c r="C146" t="str">
        <f>IF([1]Accounts!$D$147="","",[1]Accounts!$C$147)</f>
        <v/>
      </c>
      <c r="D146" t="str">
        <f>IF([1]Accounts!$D$147="","",[1]Accounts!$D$147)</f>
        <v/>
      </c>
      <c r="E146" t="str">
        <f>IF([1]Accounts!$D$147="","",[1]Accounts!$E$147)</f>
        <v/>
      </c>
      <c r="F146" t="str">
        <f>IF([1]Accounts!$D$147="","",[1]Accounts!$F$147)</f>
        <v/>
      </c>
      <c r="G146" t="str">
        <f>IF([1]Accounts!$D$147="","",[1]Accounts!$G$147)</f>
        <v/>
      </c>
      <c r="T146" t="str">
        <f>IF([2]Baskol!$B$149="","",[2]Baskol!$B$149)</f>
        <v>1405/07/24</v>
      </c>
      <c r="U146" t="str">
        <f>IF([2]Baskol!$C$149="","",[2]Baskol!$C$149)</f>
        <v/>
      </c>
      <c r="V146" t="str">
        <f>IF([2]Baskol!$D$149="","",[2]Baskol!$D$149)</f>
        <v/>
      </c>
      <c r="W146" t="str">
        <f>IF([2]Baskol!$E$149="","",[2]Baskol!$E$149)</f>
        <v>خرید مرکبات</v>
      </c>
      <c r="X146" t="str">
        <f>IF([2]Baskol!$G$149="","",[2]Baskol!$G$149)</f>
        <v>c041</v>
      </c>
      <c r="Y146" t="str">
        <f>IF([2]Baskol!$I$149="","",[2]Baskol!$I$149)</f>
        <v/>
      </c>
      <c r="Z146" t="str">
        <f>IF([2]Baskol!$J$149="","",[2]Baskol!$J$149)</f>
        <v>نارنگی</v>
      </c>
      <c r="AA146">
        <f>IF([2]Baskol!$K$149="","",[2]Baskol!$K$149)</f>
        <v>415</v>
      </c>
      <c r="AB146">
        <f>IF([2]Baskol!$L$149="","",[2]Baskol!$L$149)</f>
        <v>25</v>
      </c>
      <c r="AC146" t="str">
        <f>IF([2]Baskol!$N$149="","",[2]Baskol!$N$149)</f>
        <v/>
      </c>
      <c r="AD146" t="str">
        <f>IF([2]Baskol!$O$149="","",[2]Baskol!$O$149)</f>
        <v/>
      </c>
      <c r="AE146" t="str">
        <f>IF([3]Entry!$C$149="","",[3]Entry!$C$149)</f>
        <v/>
      </c>
      <c r="AF146" t="str">
        <f>IF([3]Entry!$D$149="","",[3]Entry!$D$149)</f>
        <v/>
      </c>
      <c r="AG146" t="str">
        <f>IF([3]Entry!$E$149="","",[3]Entry!$E$149)</f>
        <v/>
      </c>
      <c r="AH146" t="str">
        <f>IF([3]Entry!$G$149="","",[3]Entry!$G$149)</f>
        <v/>
      </c>
      <c r="AI146" t="str">
        <f>IF([3]Entry!$K$149="","",[3]Entry!$K$149)</f>
        <v/>
      </c>
      <c r="AJ146" t="str">
        <f>IF([3]Entry!$L$149="","",[3]Entry!$L$149)</f>
        <v/>
      </c>
      <c r="AK146" t="str">
        <f>IF([3]Entry!$M$149="","",[3]Entry!$M$149)</f>
        <v/>
      </c>
      <c r="AL146" t="str">
        <f>IF([3]Entry!$N$149="","",[3]Entry!$N$149)</f>
        <v/>
      </c>
      <c r="AM146" t="str">
        <f>IF([3]Entry!$R$149="","",[3]Entry!$R$149)</f>
        <v/>
      </c>
    </row>
    <row r="147" spans="1:39" x14ac:dyDescent="0.2">
      <c r="A147" t="str">
        <f>IF([1]Accounts!$D$148="","",[1]Accounts!$A$148)</f>
        <v/>
      </c>
      <c r="B147" t="str">
        <f>IF([1]Accounts!$D$148="","",[1]Accounts!$B$148)</f>
        <v/>
      </c>
      <c r="C147" t="str">
        <f>IF([1]Accounts!$D$148="","",[1]Accounts!$C$148)</f>
        <v/>
      </c>
      <c r="D147" t="str">
        <f>IF([1]Accounts!$D$148="","",[1]Accounts!$D$148)</f>
        <v/>
      </c>
      <c r="E147" t="str">
        <f>IF([1]Accounts!$D$148="","",[1]Accounts!$E$148)</f>
        <v/>
      </c>
      <c r="F147" t="str">
        <f>IF([1]Accounts!$D$148="","",[1]Accounts!$F$148)</f>
        <v/>
      </c>
      <c r="G147" t="str">
        <f>IF([1]Accounts!$D$148="","",[1]Accounts!$G$148)</f>
        <v/>
      </c>
      <c r="T147" t="str">
        <f>IF([2]Baskol!$B$150="","",[2]Baskol!$B$150)</f>
        <v>1405/07/24</v>
      </c>
      <c r="U147" t="str">
        <f>IF([2]Baskol!$C$150="","",[2]Baskol!$C$150)</f>
        <v/>
      </c>
      <c r="V147" t="str">
        <f>IF([2]Baskol!$D$150="","",[2]Baskol!$D$150)</f>
        <v/>
      </c>
      <c r="W147" t="str">
        <f>IF([2]Baskol!$E$150="","",[2]Baskol!$E$150)</f>
        <v>خرید مرکبات</v>
      </c>
      <c r="X147" t="str">
        <f>IF([2]Baskol!$G$150="","",[2]Baskol!$G$150)</f>
        <v>c052</v>
      </c>
      <c r="Y147" t="str">
        <f>IF([2]Baskol!$I$150="","",[2]Baskol!$I$150)</f>
        <v/>
      </c>
      <c r="Z147" t="str">
        <f>IF([2]Baskol!$J$150="","",[2]Baskol!$J$150)</f>
        <v>نارنگی</v>
      </c>
      <c r="AA147">
        <f>IF([2]Baskol!$K$150="","",[2]Baskol!$K$150)</f>
        <v>365</v>
      </c>
      <c r="AB147">
        <f>IF([2]Baskol!$L$150="","",[2]Baskol!$L$150)</f>
        <v>20</v>
      </c>
      <c r="AC147" t="str">
        <f>IF([2]Baskol!$N$150="","",[2]Baskol!$N$150)</f>
        <v/>
      </c>
      <c r="AD147" t="str">
        <f>IF([2]Baskol!$O$150="","",[2]Baskol!$O$150)</f>
        <v/>
      </c>
      <c r="AE147" t="str">
        <f>IF([3]Entry!$C$150="","",[3]Entry!$C$150)</f>
        <v/>
      </c>
      <c r="AF147" t="str">
        <f>IF([3]Entry!$D$150="","",[3]Entry!$D$150)</f>
        <v/>
      </c>
      <c r="AG147" t="str">
        <f>IF([3]Entry!$E$150="","",[3]Entry!$E$150)</f>
        <v/>
      </c>
      <c r="AH147" t="str">
        <f>IF([3]Entry!$G$150="","",[3]Entry!$G$150)</f>
        <v/>
      </c>
      <c r="AI147" t="str">
        <f>IF([3]Entry!$K$150="","",[3]Entry!$K$150)</f>
        <v/>
      </c>
      <c r="AJ147" t="str">
        <f>IF([3]Entry!$L$150="","",[3]Entry!$L$150)</f>
        <v/>
      </c>
      <c r="AK147" t="str">
        <f>IF([3]Entry!$M$150="","",[3]Entry!$M$150)</f>
        <v/>
      </c>
      <c r="AL147" t="str">
        <f>IF([3]Entry!$N$150="","",[3]Entry!$N$150)</f>
        <v/>
      </c>
      <c r="AM147" t="str">
        <f>IF([3]Entry!$R$150="","",[3]Entry!$R$150)</f>
        <v/>
      </c>
    </row>
    <row r="148" spans="1:39" x14ac:dyDescent="0.2">
      <c r="A148" t="str">
        <f>IF([1]Accounts!$D$149="","",[1]Accounts!$A$149)</f>
        <v/>
      </c>
      <c r="B148" t="str">
        <f>IF([1]Accounts!$D$149="","",[1]Accounts!$B$149)</f>
        <v/>
      </c>
      <c r="C148" t="str">
        <f>IF([1]Accounts!$D$149="","",[1]Accounts!$C$149)</f>
        <v/>
      </c>
      <c r="D148" t="str">
        <f>IF([1]Accounts!$D$149="","",[1]Accounts!$D$149)</f>
        <v/>
      </c>
      <c r="E148" t="str">
        <f>IF([1]Accounts!$D$149="","",[1]Accounts!$E$149)</f>
        <v/>
      </c>
      <c r="F148" t="str">
        <f>IF([1]Accounts!$D$149="","",[1]Accounts!$F$149)</f>
        <v/>
      </c>
      <c r="G148" t="str">
        <f>IF([1]Accounts!$D$149="","",[1]Accounts!$G$149)</f>
        <v/>
      </c>
      <c r="T148" t="str">
        <f>IF([2]Baskol!$B$151="","",[2]Baskol!$B$151)</f>
        <v>1405/07/24</v>
      </c>
      <c r="U148" t="str">
        <f>IF([2]Baskol!$C$151="","",[2]Baskol!$C$151)</f>
        <v/>
      </c>
      <c r="V148" t="str">
        <f>IF([2]Baskol!$D$151="","",[2]Baskol!$D$151)</f>
        <v/>
      </c>
      <c r="W148" t="str">
        <f>IF([2]Baskol!$E$151="","",[2]Baskol!$E$151)</f>
        <v>خرید مرکبات</v>
      </c>
      <c r="X148" t="str">
        <f>IF([2]Baskol!$G$151="","",[2]Baskol!$G$151)</f>
        <v>c052</v>
      </c>
      <c r="Y148" t="str">
        <f>IF([2]Baskol!$I$151="","",[2]Baskol!$I$151)</f>
        <v/>
      </c>
      <c r="Z148" t="str">
        <f>IF([2]Baskol!$J$151="","",[2]Baskol!$J$151)</f>
        <v>نارنگی</v>
      </c>
      <c r="AA148">
        <f>IF([2]Baskol!$K$151="","",[2]Baskol!$K$151)</f>
        <v>2800</v>
      </c>
      <c r="AB148">
        <f>IF([2]Baskol!$L$151="","",[2]Baskol!$L$151)</f>
        <v>150</v>
      </c>
      <c r="AC148" t="str">
        <f>IF([2]Baskol!$N$151="","",[2]Baskol!$N$151)</f>
        <v/>
      </c>
      <c r="AD148" t="str">
        <f>IF([2]Baskol!$O$151="","",[2]Baskol!$O$151)</f>
        <v/>
      </c>
      <c r="AE148" t="str">
        <f>IF([3]Entry!$C$151="","",[3]Entry!$C$151)</f>
        <v/>
      </c>
      <c r="AF148" t="str">
        <f>IF([3]Entry!$D$151="","",[3]Entry!$D$151)</f>
        <v/>
      </c>
      <c r="AG148" t="str">
        <f>IF([3]Entry!$E$151="","",[3]Entry!$E$151)</f>
        <v/>
      </c>
      <c r="AH148" t="str">
        <f>IF([3]Entry!$G$151="","",[3]Entry!$G$151)</f>
        <v/>
      </c>
      <c r="AI148" t="str">
        <f>IF([3]Entry!$K$151="","",[3]Entry!$K$151)</f>
        <v/>
      </c>
      <c r="AJ148" t="str">
        <f>IF([3]Entry!$L$151="","",[3]Entry!$L$151)</f>
        <v/>
      </c>
      <c r="AK148" t="str">
        <f>IF([3]Entry!$M$151="","",[3]Entry!$M$151)</f>
        <v/>
      </c>
      <c r="AL148" t="str">
        <f>IF([3]Entry!$N$151="","",[3]Entry!$N$151)</f>
        <v/>
      </c>
      <c r="AM148" t="str">
        <f>IF([3]Entry!$R$151="","",[3]Entry!$R$151)</f>
        <v/>
      </c>
    </row>
    <row r="149" spans="1:39" x14ac:dyDescent="0.2">
      <c r="A149" t="str">
        <f>IF([1]Accounts!$D$150="","",[1]Accounts!$A$150)</f>
        <v/>
      </c>
      <c r="B149" t="str">
        <f>IF([1]Accounts!$D$150="","",[1]Accounts!$B$150)</f>
        <v/>
      </c>
      <c r="C149" t="str">
        <f>IF([1]Accounts!$D$150="","",[1]Accounts!$C$150)</f>
        <v/>
      </c>
      <c r="D149" t="str">
        <f>IF([1]Accounts!$D$150="","",[1]Accounts!$D$150)</f>
        <v/>
      </c>
      <c r="E149" t="str">
        <f>IF([1]Accounts!$D$150="","",[1]Accounts!$E$150)</f>
        <v/>
      </c>
      <c r="F149" t="str">
        <f>IF([1]Accounts!$D$150="","",[1]Accounts!$F$150)</f>
        <v/>
      </c>
      <c r="G149" t="str">
        <f>IF([1]Accounts!$D$150="","",[1]Accounts!$G$150)</f>
        <v/>
      </c>
      <c r="T149" t="str">
        <f>IF([2]Baskol!$B$152="","",[2]Baskol!$B$152)</f>
        <v>1405/07/24</v>
      </c>
      <c r="U149" t="str">
        <f>IF([2]Baskol!$C$152="","",[2]Baskol!$C$152)</f>
        <v/>
      </c>
      <c r="V149" t="str">
        <f>IF([2]Baskol!$D$152="","",[2]Baskol!$D$152)</f>
        <v/>
      </c>
      <c r="W149" t="str">
        <f>IF([2]Baskol!$E$152="","",[2]Baskol!$E$152)</f>
        <v>خرید مرکبات</v>
      </c>
      <c r="X149" t="str">
        <f>IF([2]Baskol!$G$152="","",[2]Baskol!$G$152)</f>
        <v>c054</v>
      </c>
      <c r="Y149" t="str">
        <f>IF([2]Baskol!$I$152="","",[2]Baskol!$I$152)</f>
        <v/>
      </c>
      <c r="Z149" t="str">
        <f>IF([2]Baskol!$J$152="","",[2]Baskol!$J$152)</f>
        <v>خرمالو</v>
      </c>
      <c r="AA149">
        <f>IF([2]Baskol!$K$152="","",[2]Baskol!$K$152)</f>
        <v>225</v>
      </c>
      <c r="AB149">
        <f>IF([2]Baskol!$L$152="","",[2]Baskol!$L$152)</f>
        <v>13</v>
      </c>
      <c r="AC149" t="str">
        <f>IF([2]Baskol!$N$152="","",[2]Baskol!$N$152)</f>
        <v/>
      </c>
      <c r="AD149" t="str">
        <f>IF([2]Baskol!$O$152="","",[2]Baskol!$O$152)</f>
        <v/>
      </c>
      <c r="AE149" t="str">
        <f>IF([3]Entry!$C$152="","",[3]Entry!$C$152)</f>
        <v/>
      </c>
      <c r="AF149" t="str">
        <f>IF([3]Entry!$D$152="","",[3]Entry!$D$152)</f>
        <v/>
      </c>
      <c r="AG149" t="str">
        <f>IF([3]Entry!$E$152="","",[3]Entry!$E$152)</f>
        <v/>
      </c>
      <c r="AH149" t="str">
        <f>IF([3]Entry!$G$152="","",[3]Entry!$G$152)</f>
        <v/>
      </c>
      <c r="AI149" t="str">
        <f>IF([3]Entry!$K$152="","",[3]Entry!$K$152)</f>
        <v/>
      </c>
      <c r="AJ149" t="str">
        <f>IF([3]Entry!$L$152="","",[3]Entry!$L$152)</f>
        <v/>
      </c>
      <c r="AK149" t="str">
        <f>IF([3]Entry!$M$152="","",[3]Entry!$M$152)</f>
        <v/>
      </c>
      <c r="AL149" t="str">
        <f>IF([3]Entry!$N$152="","",[3]Entry!$N$152)</f>
        <v/>
      </c>
      <c r="AM149" t="str">
        <f>IF([3]Entry!$R$152="","",[3]Entry!$R$152)</f>
        <v/>
      </c>
    </row>
    <row r="150" spans="1:39" x14ac:dyDescent="0.2">
      <c r="A150" t="str">
        <f>IF([1]Accounts!$D$151="","",[1]Accounts!$A$151)</f>
        <v/>
      </c>
      <c r="B150" t="str">
        <f>IF([1]Accounts!$D$151="","",[1]Accounts!$B$151)</f>
        <v/>
      </c>
      <c r="C150" t="str">
        <f>IF([1]Accounts!$D$151="","",[1]Accounts!$C$151)</f>
        <v/>
      </c>
      <c r="D150" t="str">
        <f>IF([1]Accounts!$D$151="","",[1]Accounts!$D$151)</f>
        <v/>
      </c>
      <c r="E150" t="str">
        <f>IF([1]Accounts!$D$151="","",[1]Accounts!$E$151)</f>
        <v/>
      </c>
      <c r="F150" t="str">
        <f>IF([1]Accounts!$D$151="","",[1]Accounts!$F$151)</f>
        <v/>
      </c>
      <c r="G150" t="str">
        <f>IF([1]Accounts!$D$151="","",[1]Accounts!$G$151)</f>
        <v/>
      </c>
      <c r="T150" t="str">
        <f>IF([2]Baskol!$B$153="","",[2]Baskol!$B$153)</f>
        <v>1405/07/24</v>
      </c>
      <c r="U150" t="str">
        <f>IF([2]Baskol!$C$153="","",[2]Baskol!$C$153)</f>
        <v/>
      </c>
      <c r="V150" t="str">
        <f>IF([2]Baskol!$D$153="","",[2]Baskol!$D$153)</f>
        <v/>
      </c>
      <c r="W150" t="str">
        <f>IF([2]Baskol!$E$153="","",[2]Baskol!$E$153)</f>
        <v>خرید مرکبات</v>
      </c>
      <c r="X150" t="str">
        <f>IF([2]Baskol!$G$153="","",[2]Baskol!$G$153)</f>
        <v>c052</v>
      </c>
      <c r="Y150" t="str">
        <f>IF([2]Baskol!$I$153="","",[2]Baskol!$I$153)</f>
        <v/>
      </c>
      <c r="Z150" t="str">
        <f>IF([2]Baskol!$J$153="","",[2]Baskol!$J$153)</f>
        <v>نارنگی</v>
      </c>
      <c r="AA150">
        <f>IF([2]Baskol!$K$153="","",[2]Baskol!$K$153)</f>
        <v>1900</v>
      </c>
      <c r="AB150">
        <f>IF([2]Baskol!$L$153="","",[2]Baskol!$L$153)</f>
        <v>100</v>
      </c>
      <c r="AC150" t="str">
        <f>IF([2]Baskol!$N$153="","",[2]Baskol!$N$153)</f>
        <v/>
      </c>
      <c r="AD150" t="str">
        <f>IF([2]Baskol!$O$153="","",[2]Baskol!$O$153)</f>
        <v/>
      </c>
      <c r="AE150" t="str">
        <f>IF([3]Entry!$C$153="","",[3]Entry!$C$153)</f>
        <v/>
      </c>
      <c r="AF150" t="str">
        <f>IF([3]Entry!$D$153="","",[3]Entry!$D$153)</f>
        <v/>
      </c>
      <c r="AG150" t="str">
        <f>IF([3]Entry!$E$153="","",[3]Entry!$E$153)</f>
        <v/>
      </c>
      <c r="AH150" t="str">
        <f>IF([3]Entry!$G$153="","",[3]Entry!$G$153)</f>
        <v/>
      </c>
      <c r="AI150" t="str">
        <f>IF([3]Entry!$K$153="","",[3]Entry!$K$153)</f>
        <v/>
      </c>
      <c r="AJ150" t="str">
        <f>IF([3]Entry!$L$153="","",[3]Entry!$L$153)</f>
        <v/>
      </c>
      <c r="AK150" t="str">
        <f>IF([3]Entry!$M$153="","",[3]Entry!$M$153)</f>
        <v/>
      </c>
      <c r="AL150" t="str">
        <f>IF([3]Entry!$N$153="","",[3]Entry!$N$153)</f>
        <v/>
      </c>
      <c r="AM150" t="str">
        <f>IF([3]Entry!$R$153="","",[3]Entry!$R$153)</f>
        <v/>
      </c>
    </row>
    <row r="151" spans="1:39" x14ac:dyDescent="0.2">
      <c r="A151" t="str">
        <f>IF([1]Accounts!$D$152="","",[1]Accounts!$A$152)</f>
        <v/>
      </c>
      <c r="B151" t="str">
        <f>IF([1]Accounts!$D$152="","",[1]Accounts!$B$152)</f>
        <v/>
      </c>
      <c r="C151" t="str">
        <f>IF([1]Accounts!$D$152="","",[1]Accounts!$C$152)</f>
        <v/>
      </c>
      <c r="D151" t="str">
        <f>IF([1]Accounts!$D$152="","",[1]Accounts!$D$152)</f>
        <v/>
      </c>
      <c r="E151" t="str">
        <f>IF([1]Accounts!$D$152="","",[1]Accounts!$E$152)</f>
        <v/>
      </c>
      <c r="F151" t="str">
        <f>IF([1]Accounts!$D$152="","",[1]Accounts!$F$152)</f>
        <v/>
      </c>
      <c r="G151" t="str">
        <f>IF([1]Accounts!$D$152="","",[1]Accounts!$G$152)</f>
        <v/>
      </c>
      <c r="T151" t="str">
        <f>IF([2]Baskol!$B$154="","",[2]Baskol!$B$154)</f>
        <v>1405/07/25</v>
      </c>
      <c r="U151" t="str">
        <f>IF([2]Baskol!$C$154="","",[2]Baskol!$C$154)</f>
        <v/>
      </c>
      <c r="V151" t="str">
        <f>IF([2]Baskol!$D$154="","",[2]Baskol!$D$154)</f>
        <v/>
      </c>
      <c r="W151" t="str">
        <f>IF([2]Baskol!$E$154="","",[2]Baskol!$E$154)</f>
        <v>فروش</v>
      </c>
      <c r="X151" t="str">
        <f>IF([2]Baskol!$G$154="","",[2]Baskol!$G$154)</f>
        <v>SL005</v>
      </c>
      <c r="Y151" t="str">
        <f>IF([2]Baskol!$I$154="","",[2]Baskol!$I$154)</f>
        <v/>
      </c>
      <c r="Z151" t="str">
        <f>IF([2]Baskol!$J$154="","",[2]Baskol!$J$154)</f>
        <v/>
      </c>
      <c r="AA151">
        <f>IF([2]Baskol!$K$154="","",[2]Baskol!$K$154)</f>
        <v>4405</v>
      </c>
      <c r="AB151" t="str">
        <f>IF([2]Baskol!$L$154="","",[2]Baskol!$L$154)</f>
        <v/>
      </c>
      <c r="AC151" t="str">
        <f>IF([2]Baskol!$N$154="","",[2]Baskol!$N$154)</f>
        <v/>
      </c>
      <c r="AD151" t="str">
        <f>IF([2]Baskol!$O$154="","",[2]Baskol!$O$154)</f>
        <v/>
      </c>
      <c r="AE151" t="str">
        <f>IF([3]Entry!$C$154="","",[3]Entry!$C$154)</f>
        <v/>
      </c>
      <c r="AF151" t="str">
        <f>IF([3]Entry!$D$154="","",[3]Entry!$D$154)</f>
        <v/>
      </c>
      <c r="AG151" t="str">
        <f>IF([3]Entry!$E$154="","",[3]Entry!$E$154)</f>
        <v/>
      </c>
      <c r="AH151" t="str">
        <f>IF([3]Entry!$G$154="","",[3]Entry!$G$154)</f>
        <v/>
      </c>
      <c r="AI151" t="str">
        <f>IF([3]Entry!$K$154="","",[3]Entry!$K$154)</f>
        <v/>
      </c>
      <c r="AJ151" t="str">
        <f>IF([3]Entry!$L$154="","",[3]Entry!$L$154)</f>
        <v/>
      </c>
      <c r="AK151" t="str">
        <f>IF([3]Entry!$M$154="","",[3]Entry!$M$154)</f>
        <v/>
      </c>
      <c r="AL151" t="str">
        <f>IF([3]Entry!$N$154="","",[3]Entry!$N$154)</f>
        <v/>
      </c>
      <c r="AM151" t="str">
        <f>IF([3]Entry!$R$154="","",[3]Entry!$R$154)</f>
        <v/>
      </c>
    </row>
    <row r="152" spans="1:39" x14ac:dyDescent="0.2">
      <c r="A152" t="str">
        <f>IF([1]Accounts!$D$153="","",[1]Accounts!$A$153)</f>
        <v/>
      </c>
      <c r="B152" t="str">
        <f>IF([1]Accounts!$D$153="","",[1]Accounts!$B$153)</f>
        <v/>
      </c>
      <c r="C152" t="str">
        <f>IF([1]Accounts!$D$153="","",[1]Accounts!$C$153)</f>
        <v/>
      </c>
      <c r="D152" t="str">
        <f>IF([1]Accounts!$D$153="","",[1]Accounts!$D$153)</f>
        <v/>
      </c>
      <c r="E152" t="str">
        <f>IF([1]Accounts!$D$153="","",[1]Accounts!$E$153)</f>
        <v/>
      </c>
      <c r="F152" t="str">
        <f>IF([1]Accounts!$D$153="","",[1]Accounts!$F$153)</f>
        <v/>
      </c>
      <c r="G152" t="str">
        <f>IF([1]Accounts!$D$153="","",[1]Accounts!$G$153)</f>
        <v/>
      </c>
      <c r="T152" t="str">
        <f>IF([2]Baskol!$B$155="","",[2]Baskol!$B$155)</f>
        <v>1405/07/25</v>
      </c>
      <c r="U152" t="str">
        <f>IF([2]Baskol!$C$155="","",[2]Baskol!$C$155)</f>
        <v/>
      </c>
      <c r="V152" t="str">
        <f>IF([2]Baskol!$D$155="","",[2]Baskol!$D$155)</f>
        <v/>
      </c>
      <c r="W152" t="str">
        <f>IF([2]Baskol!$E$155="","",[2]Baskol!$E$155)</f>
        <v>خرید مرکبات</v>
      </c>
      <c r="X152" t="str">
        <f>IF([2]Baskol!$G$155="","",[2]Baskol!$G$155)</f>
        <v>c013</v>
      </c>
      <c r="Y152" t="str">
        <f>IF([2]Baskol!$I$155="","",[2]Baskol!$I$155)</f>
        <v/>
      </c>
      <c r="Z152" t="str">
        <f>IF([2]Baskol!$J$155="","",[2]Baskol!$J$155)</f>
        <v>خرمالو</v>
      </c>
      <c r="AA152">
        <f>IF([2]Baskol!$K$155="","",[2]Baskol!$K$155)</f>
        <v>735</v>
      </c>
      <c r="AB152">
        <f>IF([2]Baskol!$L$155="","",[2]Baskol!$L$155)</f>
        <v>58</v>
      </c>
      <c r="AC152" t="str">
        <f>IF([2]Baskol!$N$155="","",[2]Baskol!$N$155)</f>
        <v/>
      </c>
      <c r="AD152" t="str">
        <f>IF([2]Baskol!$O$155="","",[2]Baskol!$O$155)</f>
        <v/>
      </c>
      <c r="AE152" t="str">
        <f>IF([3]Entry!$C$155="","",[3]Entry!$C$155)</f>
        <v/>
      </c>
      <c r="AF152" t="str">
        <f>IF([3]Entry!$D$155="","",[3]Entry!$D$155)</f>
        <v/>
      </c>
      <c r="AG152" t="str">
        <f>IF([3]Entry!$E$155="","",[3]Entry!$E$155)</f>
        <v/>
      </c>
      <c r="AH152" t="str">
        <f>IF([3]Entry!$G$155="","",[3]Entry!$G$155)</f>
        <v/>
      </c>
      <c r="AI152" t="str">
        <f>IF([3]Entry!$K$155="","",[3]Entry!$K$155)</f>
        <v/>
      </c>
      <c r="AJ152" t="str">
        <f>IF([3]Entry!$L$155="","",[3]Entry!$L$155)</f>
        <v/>
      </c>
      <c r="AK152" t="str">
        <f>IF([3]Entry!$M$155="","",[3]Entry!$M$155)</f>
        <v/>
      </c>
      <c r="AL152" t="str">
        <f>IF([3]Entry!$N$155="","",[3]Entry!$N$155)</f>
        <v/>
      </c>
      <c r="AM152" t="str">
        <f>IF([3]Entry!$R$155="","",[3]Entry!$R$155)</f>
        <v/>
      </c>
    </row>
    <row r="153" spans="1:39" x14ac:dyDescent="0.2">
      <c r="A153" t="str">
        <f>IF([1]Accounts!$D$154="","",[1]Accounts!$A$154)</f>
        <v/>
      </c>
      <c r="B153" t="str">
        <f>IF([1]Accounts!$D$154="","",[1]Accounts!$B$154)</f>
        <v/>
      </c>
      <c r="C153" t="str">
        <f>IF([1]Accounts!$D$154="","",[1]Accounts!$C$154)</f>
        <v/>
      </c>
      <c r="D153" t="str">
        <f>IF([1]Accounts!$D$154="","",[1]Accounts!$D$154)</f>
        <v/>
      </c>
      <c r="E153" t="str">
        <f>IF([1]Accounts!$D$154="","",[1]Accounts!$E$154)</f>
        <v/>
      </c>
      <c r="F153" t="str">
        <f>IF([1]Accounts!$D$154="","",[1]Accounts!$F$154)</f>
        <v/>
      </c>
      <c r="G153" t="str">
        <f>IF([1]Accounts!$D$154="","",[1]Accounts!$G$154)</f>
        <v/>
      </c>
      <c r="T153" t="str">
        <f>IF([2]Baskol!$B$156="","",[2]Baskol!$B$156)</f>
        <v>1405/07/25</v>
      </c>
      <c r="U153" t="str">
        <f>IF([2]Baskol!$C$156="","",[2]Baskol!$C$156)</f>
        <v/>
      </c>
      <c r="V153" t="str">
        <f>IF([2]Baskol!$D$156="","",[2]Baskol!$D$156)</f>
        <v/>
      </c>
      <c r="W153" t="str">
        <f>IF([2]Baskol!$E$156="","",[2]Baskol!$E$156)</f>
        <v>خرید مرکبات</v>
      </c>
      <c r="X153" t="str">
        <f>IF([2]Baskol!$G$156="","",[2]Baskol!$G$156)</f>
        <v>c052</v>
      </c>
      <c r="Y153" t="str">
        <f>IF([2]Baskol!$I$156="","",[2]Baskol!$I$156)</f>
        <v/>
      </c>
      <c r="Z153" t="str">
        <f>IF([2]Baskol!$J$156="","",[2]Baskol!$J$156)</f>
        <v>نارنگی</v>
      </c>
      <c r="AA153">
        <f>IF([2]Baskol!$K$156="","",[2]Baskol!$K$156)</f>
        <v>2100</v>
      </c>
      <c r="AB153">
        <f>IF([2]Baskol!$L$156="","",[2]Baskol!$L$156)</f>
        <v>147</v>
      </c>
      <c r="AC153" t="str">
        <f>IF([2]Baskol!$N$156="","",[2]Baskol!$N$156)</f>
        <v/>
      </c>
      <c r="AD153" t="str">
        <f>IF([2]Baskol!$O$156="","",[2]Baskol!$O$156)</f>
        <v/>
      </c>
      <c r="AE153" t="str">
        <f>IF([3]Entry!$C$156="","",[3]Entry!$C$156)</f>
        <v/>
      </c>
      <c r="AF153" t="str">
        <f>IF([3]Entry!$D$156="","",[3]Entry!$D$156)</f>
        <v/>
      </c>
      <c r="AG153" t="str">
        <f>IF([3]Entry!$E$156="","",[3]Entry!$E$156)</f>
        <v/>
      </c>
      <c r="AH153" t="str">
        <f>IF([3]Entry!$G$156="","",[3]Entry!$G$156)</f>
        <v/>
      </c>
      <c r="AI153" t="str">
        <f>IF([3]Entry!$K$156="","",[3]Entry!$K$156)</f>
        <v/>
      </c>
      <c r="AJ153" t="str">
        <f>IF([3]Entry!$L$156="","",[3]Entry!$L$156)</f>
        <v/>
      </c>
      <c r="AK153" t="str">
        <f>IF([3]Entry!$M$156="","",[3]Entry!$M$156)</f>
        <v/>
      </c>
      <c r="AL153" t="str">
        <f>IF([3]Entry!$N$156="","",[3]Entry!$N$156)</f>
        <v/>
      </c>
      <c r="AM153" t="str">
        <f>IF([3]Entry!$R$156="","",[3]Entry!$R$156)</f>
        <v/>
      </c>
    </row>
    <row r="154" spans="1:39" x14ac:dyDescent="0.2">
      <c r="A154" t="str">
        <f>IF([1]Accounts!$D$155="","",[1]Accounts!$A$155)</f>
        <v/>
      </c>
      <c r="B154" t="str">
        <f>IF([1]Accounts!$D$155="","",[1]Accounts!$B$155)</f>
        <v/>
      </c>
      <c r="C154" t="str">
        <f>IF([1]Accounts!$D$155="","",[1]Accounts!$C$155)</f>
        <v/>
      </c>
      <c r="D154" t="str">
        <f>IF([1]Accounts!$D$155="","",[1]Accounts!$D$155)</f>
        <v/>
      </c>
      <c r="E154" t="str">
        <f>IF([1]Accounts!$D$155="","",[1]Accounts!$E$155)</f>
        <v/>
      </c>
      <c r="F154" t="str">
        <f>IF([1]Accounts!$D$155="","",[1]Accounts!$F$155)</f>
        <v/>
      </c>
      <c r="G154" t="str">
        <f>IF([1]Accounts!$D$155="","",[1]Accounts!$G$155)</f>
        <v/>
      </c>
      <c r="T154" t="str">
        <f>IF([2]Baskol!$B$157="","",[2]Baskol!$B$157)</f>
        <v>1405/07/25</v>
      </c>
      <c r="U154" t="str">
        <f>IF([2]Baskol!$C$157="","",[2]Baskol!$C$157)</f>
        <v/>
      </c>
      <c r="V154" t="str">
        <f>IF([2]Baskol!$D$157="","",[2]Baskol!$D$157)</f>
        <v/>
      </c>
      <c r="W154" t="str">
        <f>IF([2]Baskol!$E$157="","",[2]Baskol!$E$157)</f>
        <v>خرید مرکبات</v>
      </c>
      <c r="X154" t="str">
        <f>IF([2]Baskol!$G$157="","",[2]Baskol!$G$157)</f>
        <v>c052</v>
      </c>
      <c r="Y154" t="str">
        <f>IF([2]Baskol!$I$157="","",[2]Baskol!$I$157)</f>
        <v/>
      </c>
      <c r="Z154" t="str">
        <f>IF([2]Baskol!$J$157="","",[2]Baskol!$J$157)</f>
        <v>نارنگی</v>
      </c>
      <c r="AA154">
        <f>IF([2]Baskol!$K$157="","",[2]Baskol!$K$157)</f>
        <v>2030</v>
      </c>
      <c r="AB154">
        <f>IF([2]Baskol!$L$157="","",[2]Baskol!$L$157)</f>
        <v>116</v>
      </c>
      <c r="AC154" t="str">
        <f>IF([2]Baskol!$N$157="","",[2]Baskol!$N$157)</f>
        <v/>
      </c>
      <c r="AD154" t="str">
        <f>IF([2]Baskol!$O$157="","",[2]Baskol!$O$157)</f>
        <v/>
      </c>
      <c r="AE154" t="str">
        <f>IF([3]Entry!$C$157="","",[3]Entry!$C$157)</f>
        <v/>
      </c>
      <c r="AF154" t="str">
        <f>IF([3]Entry!$D$157="","",[3]Entry!$D$157)</f>
        <v/>
      </c>
      <c r="AG154" t="str">
        <f>IF([3]Entry!$E$157="","",[3]Entry!$E$157)</f>
        <v/>
      </c>
      <c r="AH154" t="str">
        <f>IF([3]Entry!$G$157="","",[3]Entry!$G$157)</f>
        <v/>
      </c>
      <c r="AI154" t="str">
        <f>IF([3]Entry!$K$157="","",[3]Entry!$K$157)</f>
        <v/>
      </c>
      <c r="AJ154" t="str">
        <f>IF([3]Entry!$L$157="","",[3]Entry!$L$157)</f>
        <v/>
      </c>
      <c r="AK154" t="str">
        <f>IF([3]Entry!$M$157="","",[3]Entry!$M$157)</f>
        <v/>
      </c>
      <c r="AL154" t="str">
        <f>IF([3]Entry!$N$157="","",[3]Entry!$N$157)</f>
        <v/>
      </c>
      <c r="AM154" t="str">
        <f>IF([3]Entry!$R$157="","",[3]Entry!$R$157)</f>
        <v/>
      </c>
    </row>
    <row r="155" spans="1:39" x14ac:dyDescent="0.2">
      <c r="A155" t="str">
        <f>IF([1]Accounts!$D$156="","",[1]Accounts!$A$156)</f>
        <v/>
      </c>
      <c r="B155" t="str">
        <f>IF([1]Accounts!$D$156="","",[1]Accounts!$B$156)</f>
        <v/>
      </c>
      <c r="C155" t="str">
        <f>IF([1]Accounts!$D$156="","",[1]Accounts!$C$156)</f>
        <v/>
      </c>
      <c r="D155" t="str">
        <f>IF([1]Accounts!$D$156="","",[1]Accounts!$D$156)</f>
        <v/>
      </c>
      <c r="E155" t="str">
        <f>IF([1]Accounts!$D$156="","",[1]Accounts!$E$156)</f>
        <v/>
      </c>
      <c r="F155" t="str">
        <f>IF([1]Accounts!$D$156="","",[1]Accounts!$F$156)</f>
        <v/>
      </c>
      <c r="G155" t="str">
        <f>IF([1]Accounts!$D$156="","",[1]Accounts!$G$156)</f>
        <v/>
      </c>
      <c r="T155" t="str">
        <f>IF([2]Baskol!$B$158="","",[2]Baskol!$B$158)</f>
        <v>1405/07/25</v>
      </c>
      <c r="U155" t="str">
        <f>IF([2]Baskol!$C$158="","",[2]Baskol!$C$158)</f>
        <v/>
      </c>
      <c r="V155" t="str">
        <f>IF([2]Baskol!$D$158="","",[2]Baskol!$D$158)</f>
        <v/>
      </c>
      <c r="W155" t="str">
        <f>IF([2]Baskol!$E$158="","",[2]Baskol!$E$158)</f>
        <v>فروش</v>
      </c>
      <c r="X155" t="str">
        <f>IF([2]Baskol!$G$158="","",[2]Baskol!$G$158)</f>
        <v>SL001</v>
      </c>
      <c r="Y155" t="str">
        <f>IF([2]Baskol!$I$158="","",[2]Baskol!$I$158)</f>
        <v/>
      </c>
      <c r="Z155" t="str">
        <f>IF([2]Baskol!$J$158="","",[2]Baskol!$J$158)</f>
        <v/>
      </c>
      <c r="AA155">
        <f>IF([2]Baskol!$K$158="","",[2]Baskol!$K$158)</f>
        <v>2165</v>
      </c>
      <c r="AB155" t="str">
        <f>IF([2]Baskol!$L$158="","",[2]Baskol!$L$158)</f>
        <v/>
      </c>
      <c r="AC155" t="str">
        <f>IF([2]Baskol!$N$158="","",[2]Baskol!$N$158)</f>
        <v/>
      </c>
      <c r="AD155" t="str">
        <f>IF([2]Baskol!$O$158="","",[2]Baskol!$O$158)</f>
        <v/>
      </c>
      <c r="AE155" t="str">
        <f>IF([3]Entry!$C$158="","",[3]Entry!$C$158)</f>
        <v/>
      </c>
      <c r="AF155" t="str">
        <f>IF([3]Entry!$D$158="","",[3]Entry!$D$158)</f>
        <v/>
      </c>
      <c r="AG155" t="str">
        <f>IF([3]Entry!$E$158="","",[3]Entry!$E$158)</f>
        <v/>
      </c>
      <c r="AH155" t="str">
        <f>IF([3]Entry!$G$158="","",[3]Entry!$G$158)</f>
        <v/>
      </c>
      <c r="AI155" t="str">
        <f>IF([3]Entry!$K$158="","",[3]Entry!$K$158)</f>
        <v/>
      </c>
      <c r="AJ155" t="str">
        <f>IF([3]Entry!$L$158="","",[3]Entry!$L$158)</f>
        <v/>
      </c>
      <c r="AK155" t="str">
        <f>IF([3]Entry!$M$158="","",[3]Entry!$M$158)</f>
        <v/>
      </c>
      <c r="AL155" t="str">
        <f>IF([3]Entry!$N$158="","",[3]Entry!$N$158)</f>
        <v/>
      </c>
      <c r="AM155" t="str">
        <f>IF([3]Entry!$R$158="","",[3]Entry!$R$158)</f>
        <v/>
      </c>
    </row>
    <row r="156" spans="1:39" x14ac:dyDescent="0.2">
      <c r="A156" t="str">
        <f>IF([1]Accounts!$D$157="","",[1]Accounts!$A$157)</f>
        <v/>
      </c>
      <c r="B156" t="str">
        <f>IF([1]Accounts!$D$157="","",[1]Accounts!$B$157)</f>
        <v/>
      </c>
      <c r="C156" t="str">
        <f>IF([1]Accounts!$D$157="","",[1]Accounts!$C$157)</f>
        <v/>
      </c>
      <c r="D156" t="str">
        <f>IF([1]Accounts!$D$157="","",[1]Accounts!$D$157)</f>
        <v/>
      </c>
      <c r="E156" t="str">
        <f>IF([1]Accounts!$D$157="","",[1]Accounts!$E$157)</f>
        <v/>
      </c>
      <c r="F156" t="str">
        <f>IF([1]Accounts!$D$157="","",[1]Accounts!$F$157)</f>
        <v/>
      </c>
      <c r="G156" t="str">
        <f>IF([1]Accounts!$D$157="","",[1]Accounts!$G$157)</f>
        <v/>
      </c>
      <c r="T156" t="str">
        <f>IF([2]Baskol!$B$159="","",[2]Baskol!$B$159)</f>
        <v>1405/07/25</v>
      </c>
      <c r="U156" t="str">
        <f>IF([2]Baskol!$C$159="","",[2]Baskol!$C$159)</f>
        <v/>
      </c>
      <c r="V156" t="str">
        <f>IF([2]Baskol!$D$159="","",[2]Baskol!$D$159)</f>
        <v/>
      </c>
      <c r="W156" t="str">
        <f>IF([2]Baskol!$E$159="","",[2]Baskol!$E$159)</f>
        <v>فروش</v>
      </c>
      <c r="X156" t="str">
        <f>IF([2]Baskol!$G$159="","",[2]Baskol!$G$159)</f>
        <v>SL003</v>
      </c>
      <c r="Y156" t="str">
        <f>IF([2]Baskol!$I$159="","",[2]Baskol!$I$159)</f>
        <v/>
      </c>
      <c r="Z156" t="str">
        <f>IF([2]Baskol!$J$159="","",[2]Baskol!$J$159)</f>
        <v/>
      </c>
      <c r="AA156">
        <f>IF([2]Baskol!$K$159="","",[2]Baskol!$K$159)</f>
        <v>2175</v>
      </c>
      <c r="AB156" t="str">
        <f>IF([2]Baskol!$L$159="","",[2]Baskol!$L$159)</f>
        <v/>
      </c>
      <c r="AC156" t="str">
        <f>IF([2]Baskol!$N$159="","",[2]Baskol!$N$159)</f>
        <v/>
      </c>
      <c r="AD156" t="str">
        <f>IF([2]Baskol!$O$159="","",[2]Baskol!$O$159)</f>
        <v/>
      </c>
      <c r="AE156" t="str">
        <f>IF([3]Entry!$C$159="","",[3]Entry!$C$159)</f>
        <v/>
      </c>
      <c r="AF156" t="str">
        <f>IF([3]Entry!$D$159="","",[3]Entry!$D$159)</f>
        <v/>
      </c>
      <c r="AG156" t="str">
        <f>IF([3]Entry!$E$159="","",[3]Entry!$E$159)</f>
        <v/>
      </c>
      <c r="AH156" t="str">
        <f>IF([3]Entry!$G$159="","",[3]Entry!$G$159)</f>
        <v/>
      </c>
      <c r="AI156" t="str">
        <f>IF([3]Entry!$K$159="","",[3]Entry!$K$159)</f>
        <v/>
      </c>
      <c r="AJ156" t="str">
        <f>IF([3]Entry!$L$159="","",[3]Entry!$L$159)</f>
        <v/>
      </c>
      <c r="AK156" t="str">
        <f>IF([3]Entry!$M$159="","",[3]Entry!$M$159)</f>
        <v/>
      </c>
      <c r="AL156" t="str">
        <f>IF([3]Entry!$N$159="","",[3]Entry!$N$159)</f>
        <v/>
      </c>
      <c r="AM156" t="str">
        <f>IF([3]Entry!$R$159="","",[3]Entry!$R$159)</f>
        <v/>
      </c>
    </row>
    <row r="157" spans="1:39" x14ac:dyDescent="0.2">
      <c r="A157" t="str">
        <f>IF([1]Accounts!$D$158="","",[1]Accounts!$A$158)</f>
        <v/>
      </c>
      <c r="B157" t="str">
        <f>IF([1]Accounts!$D$158="","",[1]Accounts!$B$158)</f>
        <v/>
      </c>
      <c r="C157" t="str">
        <f>IF([1]Accounts!$D$158="","",[1]Accounts!$C$158)</f>
        <v/>
      </c>
      <c r="D157" t="str">
        <f>IF([1]Accounts!$D$158="","",[1]Accounts!$D$158)</f>
        <v/>
      </c>
      <c r="E157" t="str">
        <f>IF([1]Accounts!$D$158="","",[1]Accounts!$E$158)</f>
        <v/>
      </c>
      <c r="F157" t="str">
        <f>IF([1]Accounts!$D$158="","",[1]Accounts!$F$158)</f>
        <v/>
      </c>
      <c r="G157" t="str">
        <f>IF([1]Accounts!$D$158="","",[1]Accounts!$G$158)</f>
        <v/>
      </c>
      <c r="T157" t="str">
        <f>IF([2]Baskol!$B$160="","",[2]Baskol!$B$160)</f>
        <v>1405/07/25</v>
      </c>
      <c r="U157" t="str">
        <f>IF([2]Baskol!$C$160="","",[2]Baskol!$C$160)</f>
        <v/>
      </c>
      <c r="V157" t="str">
        <f>IF([2]Baskol!$D$160="","",[2]Baskol!$D$160)</f>
        <v/>
      </c>
      <c r="W157" t="str">
        <f>IF([2]Baskol!$E$160="","",[2]Baskol!$E$160)</f>
        <v>خرید مرکبات</v>
      </c>
      <c r="X157" t="str">
        <f>IF([2]Baskol!$G$160="","",[2]Baskol!$G$160)</f>
        <v>c034</v>
      </c>
      <c r="Y157" t="str">
        <f>IF([2]Baskol!$I$160="","",[2]Baskol!$I$160)</f>
        <v/>
      </c>
      <c r="Z157" t="str">
        <f>IF([2]Baskol!$J$160="","",[2]Baskol!$J$160)</f>
        <v>خرمالو</v>
      </c>
      <c r="AA157">
        <f>IF([2]Baskol!$K$160="","",[2]Baskol!$K$160)</f>
        <v>415</v>
      </c>
      <c r="AB157" t="str">
        <f>IF([2]Baskol!$L$160="","",[2]Baskol!$L$160)</f>
        <v/>
      </c>
      <c r="AC157" t="str">
        <f>IF([2]Baskol!$N$160="","",[2]Baskol!$N$160)</f>
        <v/>
      </c>
      <c r="AD157" t="str">
        <f>IF([2]Baskol!$O$160="","",[2]Baskol!$O$160)</f>
        <v/>
      </c>
      <c r="AE157" t="str">
        <f>IF([3]Entry!$C$160="","",[3]Entry!$C$160)</f>
        <v/>
      </c>
      <c r="AF157" t="str">
        <f>IF([3]Entry!$D$160="","",[3]Entry!$D$160)</f>
        <v/>
      </c>
      <c r="AG157" t="str">
        <f>IF([3]Entry!$E$160="","",[3]Entry!$E$160)</f>
        <v/>
      </c>
      <c r="AH157" t="str">
        <f>IF([3]Entry!$G$160="","",[3]Entry!$G$160)</f>
        <v/>
      </c>
      <c r="AI157" t="str">
        <f>IF([3]Entry!$K$160="","",[3]Entry!$K$160)</f>
        <v/>
      </c>
      <c r="AJ157" t="str">
        <f>IF([3]Entry!$L$160="","",[3]Entry!$L$160)</f>
        <v/>
      </c>
      <c r="AK157" t="str">
        <f>IF([3]Entry!$M$160="","",[3]Entry!$M$160)</f>
        <v/>
      </c>
      <c r="AL157" t="str">
        <f>IF([3]Entry!$N$160="","",[3]Entry!$N$160)</f>
        <v/>
      </c>
      <c r="AM157" t="str">
        <f>IF([3]Entry!$R$160="","",[3]Entry!$R$160)</f>
        <v/>
      </c>
    </row>
    <row r="158" spans="1:39" x14ac:dyDescent="0.2">
      <c r="A158" t="str">
        <f>IF([1]Accounts!$D$159="","",[1]Accounts!$A$159)</f>
        <v/>
      </c>
      <c r="B158" t="str">
        <f>IF([1]Accounts!$D$159="","",[1]Accounts!$B$159)</f>
        <v/>
      </c>
      <c r="C158" t="str">
        <f>IF([1]Accounts!$D$159="","",[1]Accounts!$C$159)</f>
        <v/>
      </c>
      <c r="D158" t="str">
        <f>IF([1]Accounts!$D$159="","",[1]Accounts!$D$159)</f>
        <v/>
      </c>
      <c r="E158" t="str">
        <f>IF([1]Accounts!$D$159="","",[1]Accounts!$E$159)</f>
        <v/>
      </c>
      <c r="F158" t="str">
        <f>IF([1]Accounts!$D$159="","",[1]Accounts!$F$159)</f>
        <v/>
      </c>
      <c r="G158" t="str">
        <f>IF([1]Accounts!$D$159="","",[1]Accounts!$G$159)</f>
        <v/>
      </c>
      <c r="T158" t="str">
        <f>IF([2]Baskol!$B$161="","",[2]Baskol!$B$161)</f>
        <v>1405/07/25</v>
      </c>
      <c r="U158" t="str">
        <f>IF([2]Baskol!$C$161="","",[2]Baskol!$C$161)</f>
        <v/>
      </c>
      <c r="V158" t="str">
        <f>IF([2]Baskol!$D$161="","",[2]Baskol!$D$161)</f>
        <v/>
      </c>
      <c r="W158" t="str">
        <f>IF([2]Baskol!$E$161="","",[2]Baskol!$E$161)</f>
        <v>خرید مرکبات</v>
      </c>
      <c r="X158" t="str">
        <f>IF([2]Baskol!$G$161="","",[2]Baskol!$G$161)</f>
        <v>c052</v>
      </c>
      <c r="Y158" t="str">
        <f>IF([2]Baskol!$I$161="","",[2]Baskol!$I$161)</f>
        <v/>
      </c>
      <c r="Z158" t="str">
        <f>IF([2]Baskol!$J$161="","",[2]Baskol!$J$161)</f>
        <v>نارنگی</v>
      </c>
      <c r="AA158">
        <f>IF([2]Baskol!$K$161="","",[2]Baskol!$K$161)</f>
        <v>3280</v>
      </c>
      <c r="AB158">
        <f>IF([2]Baskol!$L$161="","",[2]Baskol!$L$161)</f>
        <v>190</v>
      </c>
      <c r="AC158" t="str">
        <f>IF([2]Baskol!$N$161="","",[2]Baskol!$N$161)</f>
        <v/>
      </c>
      <c r="AD158" t="str">
        <f>IF([2]Baskol!$O$161="","",[2]Baskol!$O$161)</f>
        <v/>
      </c>
      <c r="AE158" t="str">
        <f>IF([3]Entry!$C$161="","",[3]Entry!$C$161)</f>
        <v/>
      </c>
      <c r="AF158" t="str">
        <f>IF([3]Entry!$D$161="","",[3]Entry!$D$161)</f>
        <v/>
      </c>
      <c r="AG158" t="str">
        <f>IF([3]Entry!$E$161="","",[3]Entry!$E$161)</f>
        <v/>
      </c>
      <c r="AH158" t="str">
        <f>IF([3]Entry!$G$161="","",[3]Entry!$G$161)</f>
        <v/>
      </c>
      <c r="AI158" t="str">
        <f>IF([3]Entry!$K$161="","",[3]Entry!$K$161)</f>
        <v/>
      </c>
      <c r="AJ158" t="str">
        <f>IF([3]Entry!$L$161="","",[3]Entry!$L$161)</f>
        <v/>
      </c>
      <c r="AK158" t="str">
        <f>IF([3]Entry!$M$161="","",[3]Entry!$M$161)</f>
        <v/>
      </c>
      <c r="AL158" t="str">
        <f>IF([3]Entry!$N$161="","",[3]Entry!$N$161)</f>
        <v/>
      </c>
      <c r="AM158" t="str">
        <f>IF([3]Entry!$R$161="","",[3]Entry!$R$161)</f>
        <v/>
      </c>
    </row>
    <row r="159" spans="1:39" x14ac:dyDescent="0.2">
      <c r="A159" t="str">
        <f>IF([1]Accounts!$D$160="","",[1]Accounts!$A$160)</f>
        <v/>
      </c>
      <c r="B159" t="str">
        <f>IF([1]Accounts!$D$160="","",[1]Accounts!$B$160)</f>
        <v/>
      </c>
      <c r="C159" t="str">
        <f>IF([1]Accounts!$D$160="","",[1]Accounts!$C$160)</f>
        <v/>
      </c>
      <c r="D159" t="str">
        <f>IF([1]Accounts!$D$160="","",[1]Accounts!$D$160)</f>
        <v/>
      </c>
      <c r="E159" t="str">
        <f>IF([1]Accounts!$D$160="","",[1]Accounts!$E$160)</f>
        <v/>
      </c>
      <c r="F159" t="str">
        <f>IF([1]Accounts!$D$160="","",[1]Accounts!$F$160)</f>
        <v/>
      </c>
      <c r="G159" t="str">
        <f>IF([1]Accounts!$D$160="","",[1]Accounts!$G$160)</f>
        <v/>
      </c>
      <c r="T159" t="str">
        <f>IF([2]Baskol!$B$162="","",[2]Baskol!$B$162)</f>
        <v>1405/07/26</v>
      </c>
      <c r="U159" t="str">
        <f>IF([2]Baskol!$C$162="","",[2]Baskol!$C$162)</f>
        <v/>
      </c>
      <c r="V159" t="str">
        <f>IF([2]Baskol!$D$162="","",[2]Baskol!$D$162)</f>
        <v/>
      </c>
      <c r="W159" t="str">
        <f>IF([2]Baskol!$E$162="","",[2]Baskol!$E$162)</f>
        <v>خرید مرکبات</v>
      </c>
      <c r="X159" t="str">
        <f>IF([2]Baskol!$G$162="","",[2]Baskol!$G$162)</f>
        <v>c052</v>
      </c>
      <c r="Y159" t="str">
        <f>IF([2]Baskol!$I$162="","",[2]Baskol!$I$162)</f>
        <v/>
      </c>
      <c r="Z159" t="str">
        <f>IF([2]Baskol!$J$162="","",[2]Baskol!$J$162)</f>
        <v>نارنگی</v>
      </c>
      <c r="AA159">
        <f>IF([2]Baskol!$K$162="","",[2]Baskol!$K$162)</f>
        <v>1965</v>
      </c>
      <c r="AB159">
        <f>IF([2]Baskol!$L$162="","",[2]Baskol!$L$162)</f>
        <v>147</v>
      </c>
      <c r="AC159" t="str">
        <f>IF([2]Baskol!$N$162="","",[2]Baskol!$N$162)</f>
        <v/>
      </c>
      <c r="AD159" t="str">
        <f>IF([2]Baskol!$O$162="","",[2]Baskol!$O$162)</f>
        <v/>
      </c>
      <c r="AE159" t="str">
        <f>IF([3]Entry!$C$162="","",[3]Entry!$C$162)</f>
        <v/>
      </c>
      <c r="AF159" t="str">
        <f>IF([3]Entry!$D$162="","",[3]Entry!$D$162)</f>
        <v/>
      </c>
      <c r="AG159" t="str">
        <f>IF([3]Entry!$E$162="","",[3]Entry!$E$162)</f>
        <v/>
      </c>
      <c r="AH159" t="str">
        <f>IF([3]Entry!$G$162="","",[3]Entry!$G$162)</f>
        <v/>
      </c>
      <c r="AI159" t="str">
        <f>IF([3]Entry!$K$162="","",[3]Entry!$K$162)</f>
        <v/>
      </c>
      <c r="AJ159" t="str">
        <f>IF([3]Entry!$L$162="","",[3]Entry!$L$162)</f>
        <v/>
      </c>
      <c r="AK159" t="str">
        <f>IF([3]Entry!$M$162="","",[3]Entry!$M$162)</f>
        <v/>
      </c>
      <c r="AL159" t="str">
        <f>IF([3]Entry!$N$162="","",[3]Entry!$N$162)</f>
        <v/>
      </c>
      <c r="AM159" t="str">
        <f>IF([3]Entry!$R$162="","",[3]Entry!$R$162)</f>
        <v/>
      </c>
    </row>
    <row r="160" spans="1:39" x14ac:dyDescent="0.2">
      <c r="A160" t="str">
        <f>IF([1]Accounts!$D$161="","",[1]Accounts!$A$161)</f>
        <v/>
      </c>
      <c r="B160" t="str">
        <f>IF([1]Accounts!$D$161="","",[1]Accounts!$B$161)</f>
        <v/>
      </c>
      <c r="C160" t="str">
        <f>IF([1]Accounts!$D$161="","",[1]Accounts!$C$161)</f>
        <v/>
      </c>
      <c r="D160" t="str">
        <f>IF([1]Accounts!$D$161="","",[1]Accounts!$D$161)</f>
        <v/>
      </c>
      <c r="E160" t="str">
        <f>IF([1]Accounts!$D$161="","",[1]Accounts!$E$161)</f>
        <v/>
      </c>
      <c r="F160" t="str">
        <f>IF([1]Accounts!$D$161="","",[1]Accounts!$F$161)</f>
        <v/>
      </c>
      <c r="G160" t="str">
        <f>IF([1]Accounts!$D$161="","",[1]Accounts!$G$161)</f>
        <v/>
      </c>
      <c r="T160" t="str">
        <f>IF([2]Baskol!$B$163="","",[2]Baskol!$B$163)</f>
        <v>1405/07/26</v>
      </c>
      <c r="U160" t="str">
        <f>IF([2]Baskol!$C$163="","",[2]Baskol!$C$163)</f>
        <v/>
      </c>
      <c r="V160" t="str">
        <f>IF([2]Baskol!$D$163="","",[2]Baskol!$D$163)</f>
        <v/>
      </c>
      <c r="W160" t="str">
        <f>IF([2]Baskol!$E$163="","",[2]Baskol!$E$163)</f>
        <v>خرید مرکبات</v>
      </c>
      <c r="X160" t="str">
        <f>IF([2]Baskol!$G$163="","",[2]Baskol!$G$163)</f>
        <v>c053</v>
      </c>
      <c r="Y160" t="str">
        <f>IF([2]Baskol!$I$163="","",[2]Baskol!$I$163)</f>
        <v/>
      </c>
      <c r="Z160" t="str">
        <f>IF([2]Baskol!$J$163="","",[2]Baskol!$J$163)</f>
        <v>تامسون</v>
      </c>
      <c r="AA160">
        <f>IF([2]Baskol!$K$163="","",[2]Baskol!$K$163)</f>
        <v>1780</v>
      </c>
      <c r="AB160">
        <f>IF([2]Baskol!$L$163="","",[2]Baskol!$L$163)</f>
        <v>125</v>
      </c>
      <c r="AC160" t="str">
        <f>IF([2]Baskol!$N$163="","",[2]Baskol!$N$163)</f>
        <v/>
      </c>
      <c r="AD160" t="str">
        <f>IF([2]Baskol!$O$163="","",[2]Baskol!$O$163)</f>
        <v/>
      </c>
      <c r="AE160" t="str">
        <f>IF([3]Entry!$C$163="","",[3]Entry!$C$163)</f>
        <v/>
      </c>
      <c r="AF160" t="str">
        <f>IF([3]Entry!$D$163="","",[3]Entry!$D$163)</f>
        <v/>
      </c>
      <c r="AG160" t="str">
        <f>IF([3]Entry!$E$163="","",[3]Entry!$E$163)</f>
        <v/>
      </c>
      <c r="AH160" t="str">
        <f>IF([3]Entry!$G$163="","",[3]Entry!$G$163)</f>
        <v/>
      </c>
      <c r="AI160" t="str">
        <f>IF([3]Entry!$K$163="","",[3]Entry!$K$163)</f>
        <v/>
      </c>
      <c r="AJ160" t="str">
        <f>IF([3]Entry!$L$163="","",[3]Entry!$L$163)</f>
        <v/>
      </c>
      <c r="AK160" t="str">
        <f>IF([3]Entry!$M$163="","",[3]Entry!$M$163)</f>
        <v/>
      </c>
      <c r="AL160" t="str">
        <f>IF([3]Entry!$N$163="","",[3]Entry!$N$163)</f>
        <v/>
      </c>
      <c r="AM160" t="str">
        <f>IF([3]Entry!$R$163="","",[3]Entry!$R$163)</f>
        <v/>
      </c>
    </row>
    <row r="161" spans="1:39" x14ac:dyDescent="0.2">
      <c r="A161" t="str">
        <f>IF([1]Accounts!$D$162="","",[1]Accounts!$A$162)</f>
        <v/>
      </c>
      <c r="B161" t="str">
        <f>IF([1]Accounts!$D$162="","",[1]Accounts!$B$162)</f>
        <v/>
      </c>
      <c r="C161" t="str">
        <f>IF([1]Accounts!$D$162="","",[1]Accounts!$C$162)</f>
        <v/>
      </c>
      <c r="D161" t="str">
        <f>IF([1]Accounts!$D$162="","",[1]Accounts!$D$162)</f>
        <v/>
      </c>
      <c r="E161" t="str">
        <f>IF([1]Accounts!$D$162="","",[1]Accounts!$E$162)</f>
        <v/>
      </c>
      <c r="F161" t="str">
        <f>IF([1]Accounts!$D$162="","",[1]Accounts!$F$162)</f>
        <v/>
      </c>
      <c r="G161" t="str">
        <f>IF([1]Accounts!$D$162="","",[1]Accounts!$G$162)</f>
        <v/>
      </c>
      <c r="T161" t="str">
        <f>IF([2]Baskol!$B$164="","",[2]Baskol!$B$164)</f>
        <v>1405/07/26</v>
      </c>
      <c r="U161" t="str">
        <f>IF([2]Baskol!$C$164="","",[2]Baskol!$C$164)</f>
        <v/>
      </c>
      <c r="V161" t="str">
        <f>IF([2]Baskol!$D$164="","",[2]Baskol!$D$164)</f>
        <v/>
      </c>
      <c r="W161" t="str">
        <f>IF([2]Baskol!$E$164="","",[2]Baskol!$E$164)</f>
        <v>فروش</v>
      </c>
      <c r="X161" t="str">
        <f>IF([2]Baskol!$G$164="","",[2]Baskol!$G$164)</f>
        <v>SL002</v>
      </c>
      <c r="Y161" t="str">
        <f>IF([2]Baskol!$I$164="","",[2]Baskol!$I$164)</f>
        <v/>
      </c>
      <c r="Z161" t="str">
        <f>IF([2]Baskol!$J$164="","",[2]Baskol!$J$164)</f>
        <v/>
      </c>
      <c r="AA161">
        <f>IF([2]Baskol!$K$164="","",[2]Baskol!$K$164)</f>
        <v>3000</v>
      </c>
      <c r="AB161" t="str">
        <f>IF([2]Baskol!$L$164="","",[2]Baskol!$L$164)</f>
        <v/>
      </c>
      <c r="AC161" t="str">
        <f>IF([2]Baskol!$N$164="","",[2]Baskol!$N$164)</f>
        <v/>
      </c>
      <c r="AD161" t="str">
        <f>IF([2]Baskol!$O$164="","",[2]Baskol!$O$164)</f>
        <v/>
      </c>
      <c r="AE161" t="str">
        <f>IF([3]Entry!$C$164="","",[3]Entry!$C$164)</f>
        <v/>
      </c>
      <c r="AF161" t="str">
        <f>IF([3]Entry!$D$164="","",[3]Entry!$D$164)</f>
        <v/>
      </c>
      <c r="AG161" t="str">
        <f>IF([3]Entry!$E$164="","",[3]Entry!$E$164)</f>
        <v/>
      </c>
      <c r="AH161" t="str">
        <f>IF([3]Entry!$G$164="","",[3]Entry!$G$164)</f>
        <v/>
      </c>
      <c r="AI161" t="str">
        <f>IF([3]Entry!$K$164="","",[3]Entry!$K$164)</f>
        <v/>
      </c>
      <c r="AJ161" t="str">
        <f>IF([3]Entry!$L$164="","",[3]Entry!$L$164)</f>
        <v/>
      </c>
      <c r="AK161" t="str">
        <f>IF([3]Entry!$M$164="","",[3]Entry!$M$164)</f>
        <v/>
      </c>
      <c r="AL161" t="str">
        <f>IF([3]Entry!$N$164="","",[3]Entry!$N$164)</f>
        <v/>
      </c>
      <c r="AM161" t="str">
        <f>IF([3]Entry!$R$164="","",[3]Entry!$R$164)</f>
        <v/>
      </c>
    </row>
    <row r="162" spans="1:39" x14ac:dyDescent="0.2">
      <c r="A162" t="str">
        <f>IF([1]Accounts!$D$163="","",[1]Accounts!$A$163)</f>
        <v/>
      </c>
      <c r="B162" t="str">
        <f>IF([1]Accounts!$D$163="","",[1]Accounts!$B$163)</f>
        <v/>
      </c>
      <c r="C162" t="str">
        <f>IF([1]Accounts!$D$163="","",[1]Accounts!$C$163)</f>
        <v/>
      </c>
      <c r="D162" t="str">
        <f>IF([1]Accounts!$D$163="","",[1]Accounts!$D$163)</f>
        <v/>
      </c>
      <c r="E162" t="str">
        <f>IF([1]Accounts!$D$163="","",[1]Accounts!$E$163)</f>
        <v/>
      </c>
      <c r="F162" t="str">
        <f>IF([1]Accounts!$D$163="","",[1]Accounts!$F$163)</f>
        <v/>
      </c>
      <c r="G162" t="str">
        <f>IF([1]Accounts!$D$163="","",[1]Accounts!$G$163)</f>
        <v/>
      </c>
      <c r="T162" t="str">
        <f>IF([2]Baskol!$B$165="","",[2]Baskol!$B$165)</f>
        <v>1405/07/26</v>
      </c>
      <c r="U162" t="str">
        <f>IF([2]Baskol!$C$165="","",[2]Baskol!$C$165)</f>
        <v/>
      </c>
      <c r="V162" t="str">
        <f>IF([2]Baskol!$D$165="","",[2]Baskol!$D$165)</f>
        <v/>
      </c>
      <c r="W162" t="str">
        <f>IF([2]Baskol!$E$165="","",[2]Baskol!$E$165)</f>
        <v>خرید مرکبات</v>
      </c>
      <c r="X162" t="str">
        <f>IF([2]Baskol!$G$165="","",[2]Baskol!$G$165)</f>
        <v>c052</v>
      </c>
      <c r="Y162" t="str">
        <f>IF([2]Baskol!$I$165="","",[2]Baskol!$I$165)</f>
        <v/>
      </c>
      <c r="Z162" t="str">
        <f>IF([2]Baskol!$J$165="","",[2]Baskol!$J$165)</f>
        <v>نارنگی</v>
      </c>
      <c r="AA162">
        <f>IF([2]Baskol!$K$165="","",[2]Baskol!$K$165)</f>
        <v>3220</v>
      </c>
      <c r="AB162">
        <f>IF([2]Baskol!$L$165="","",[2]Baskol!$L$165)</f>
        <v>190</v>
      </c>
      <c r="AC162" t="str">
        <f>IF([2]Baskol!$N$165="","",[2]Baskol!$N$165)</f>
        <v/>
      </c>
      <c r="AD162" t="str">
        <f>IF([2]Baskol!$O$165="","",[2]Baskol!$O$165)</f>
        <v/>
      </c>
      <c r="AE162" t="str">
        <f>IF([3]Entry!$C$165="","",[3]Entry!$C$165)</f>
        <v/>
      </c>
      <c r="AF162" t="str">
        <f>IF([3]Entry!$D$165="","",[3]Entry!$D$165)</f>
        <v/>
      </c>
      <c r="AG162" t="str">
        <f>IF([3]Entry!$E$165="","",[3]Entry!$E$165)</f>
        <v/>
      </c>
      <c r="AH162" t="str">
        <f>IF([3]Entry!$G$165="","",[3]Entry!$G$165)</f>
        <v/>
      </c>
      <c r="AI162" t="str">
        <f>IF([3]Entry!$K$165="","",[3]Entry!$K$165)</f>
        <v/>
      </c>
      <c r="AJ162" t="str">
        <f>IF([3]Entry!$L$165="","",[3]Entry!$L$165)</f>
        <v/>
      </c>
      <c r="AK162" t="str">
        <f>IF([3]Entry!$M$165="","",[3]Entry!$M$165)</f>
        <v/>
      </c>
      <c r="AL162" t="str">
        <f>IF([3]Entry!$N$165="","",[3]Entry!$N$165)</f>
        <v/>
      </c>
      <c r="AM162" t="str">
        <f>IF([3]Entry!$R$165="","",[3]Entry!$R$165)</f>
        <v/>
      </c>
    </row>
    <row r="163" spans="1:39" x14ac:dyDescent="0.2">
      <c r="A163" t="str">
        <f>IF([1]Accounts!$D$164="","",[1]Accounts!$A$164)</f>
        <v/>
      </c>
      <c r="B163" t="str">
        <f>IF([1]Accounts!$D$164="","",[1]Accounts!$B$164)</f>
        <v/>
      </c>
      <c r="C163" t="str">
        <f>IF([1]Accounts!$D$164="","",[1]Accounts!$C$164)</f>
        <v/>
      </c>
      <c r="D163" t="str">
        <f>IF([1]Accounts!$D$164="","",[1]Accounts!$D$164)</f>
        <v/>
      </c>
      <c r="E163" t="str">
        <f>IF([1]Accounts!$D$164="","",[1]Accounts!$E$164)</f>
        <v/>
      </c>
      <c r="F163" t="str">
        <f>IF([1]Accounts!$D$164="","",[1]Accounts!$F$164)</f>
        <v/>
      </c>
      <c r="G163" t="str">
        <f>IF([1]Accounts!$D$164="","",[1]Accounts!$G$164)</f>
        <v/>
      </c>
      <c r="T163" t="str">
        <f>IF([2]Baskol!$B$166="","",[2]Baskol!$B$166)</f>
        <v>1405/07/26</v>
      </c>
      <c r="U163" t="str">
        <f>IF([2]Baskol!$C$166="","",[2]Baskol!$C$166)</f>
        <v/>
      </c>
      <c r="V163" t="str">
        <f>IF([2]Baskol!$D$166="","",[2]Baskol!$D$166)</f>
        <v/>
      </c>
      <c r="W163" t="str">
        <f>IF([2]Baskol!$E$166="","",[2]Baskol!$E$166)</f>
        <v>فروش</v>
      </c>
      <c r="X163" t="str">
        <f>IF([2]Baskol!$G$166="","",[2]Baskol!$G$166)</f>
        <v>SL003</v>
      </c>
      <c r="Y163" t="str">
        <f>IF([2]Baskol!$I$166="","",[2]Baskol!$I$166)</f>
        <v/>
      </c>
      <c r="Z163" t="str">
        <f>IF([2]Baskol!$J$166="","",[2]Baskol!$J$166)</f>
        <v/>
      </c>
      <c r="AA163">
        <f>IF([2]Baskol!$K$166="","",[2]Baskol!$K$166)</f>
        <v>2250</v>
      </c>
      <c r="AB163" t="str">
        <f>IF([2]Baskol!$L$166="","",[2]Baskol!$L$166)</f>
        <v/>
      </c>
      <c r="AC163" t="str">
        <f>IF([2]Baskol!$N$166="","",[2]Baskol!$N$166)</f>
        <v/>
      </c>
      <c r="AD163" t="str">
        <f>IF([2]Baskol!$O$166="","",[2]Baskol!$O$166)</f>
        <v/>
      </c>
      <c r="AE163" t="str">
        <f>IF([3]Entry!$C$166="","",[3]Entry!$C$166)</f>
        <v/>
      </c>
      <c r="AF163" t="str">
        <f>IF([3]Entry!$D$166="","",[3]Entry!$D$166)</f>
        <v/>
      </c>
      <c r="AG163" t="str">
        <f>IF([3]Entry!$E$166="","",[3]Entry!$E$166)</f>
        <v/>
      </c>
      <c r="AH163" t="str">
        <f>IF([3]Entry!$G$166="","",[3]Entry!$G$166)</f>
        <v/>
      </c>
      <c r="AI163" t="str">
        <f>IF([3]Entry!$K$166="","",[3]Entry!$K$166)</f>
        <v/>
      </c>
      <c r="AJ163" t="str">
        <f>IF([3]Entry!$L$166="","",[3]Entry!$L$166)</f>
        <v/>
      </c>
      <c r="AK163" t="str">
        <f>IF([3]Entry!$M$166="","",[3]Entry!$M$166)</f>
        <v/>
      </c>
      <c r="AL163" t="str">
        <f>IF([3]Entry!$N$166="","",[3]Entry!$N$166)</f>
        <v/>
      </c>
      <c r="AM163" t="str">
        <f>IF([3]Entry!$R$166="","",[3]Entry!$R$166)</f>
        <v/>
      </c>
    </row>
    <row r="164" spans="1:39" x14ac:dyDescent="0.2">
      <c r="A164" t="str">
        <f>IF([1]Accounts!$D$165="","",[1]Accounts!$A$165)</f>
        <v/>
      </c>
      <c r="B164" t="str">
        <f>IF([1]Accounts!$D$165="","",[1]Accounts!$B$165)</f>
        <v/>
      </c>
      <c r="C164" t="str">
        <f>IF([1]Accounts!$D$165="","",[1]Accounts!$C$165)</f>
        <v/>
      </c>
      <c r="D164" t="str">
        <f>IF([1]Accounts!$D$165="","",[1]Accounts!$D$165)</f>
        <v/>
      </c>
      <c r="E164" t="str">
        <f>IF([1]Accounts!$D$165="","",[1]Accounts!$E$165)</f>
        <v/>
      </c>
      <c r="F164" t="str">
        <f>IF([1]Accounts!$D$165="","",[1]Accounts!$F$165)</f>
        <v/>
      </c>
      <c r="G164" t="str">
        <f>IF([1]Accounts!$D$165="","",[1]Accounts!$G$165)</f>
        <v/>
      </c>
      <c r="T164" t="str">
        <f>IF([2]Baskol!$B$167="","",[2]Baskol!$B$167)</f>
        <v>1405/07/26</v>
      </c>
      <c r="U164" t="str">
        <f>IF([2]Baskol!$C$167="","",[2]Baskol!$C$167)</f>
        <v/>
      </c>
      <c r="V164" t="str">
        <f>IF([2]Baskol!$D$167="","",[2]Baskol!$D$167)</f>
        <v/>
      </c>
      <c r="W164" t="str">
        <f>IF([2]Baskol!$E$167="","",[2]Baskol!$E$167)</f>
        <v>فروش</v>
      </c>
      <c r="X164" t="str">
        <f>IF([2]Baskol!$G$167="","",[2]Baskol!$G$167)</f>
        <v>SL001</v>
      </c>
      <c r="Y164" t="str">
        <f>IF([2]Baskol!$I$167="","",[2]Baskol!$I$167)</f>
        <v/>
      </c>
      <c r="Z164" t="str">
        <f>IF([2]Baskol!$J$167="","",[2]Baskol!$J$167)</f>
        <v/>
      </c>
      <c r="AA164">
        <f>IF([2]Baskol!$K$167="","",[2]Baskol!$K$167)</f>
        <v>2245</v>
      </c>
      <c r="AB164" t="str">
        <f>IF([2]Baskol!$L$167="","",[2]Baskol!$L$167)</f>
        <v/>
      </c>
      <c r="AC164" t="str">
        <f>IF([2]Baskol!$N$167="","",[2]Baskol!$N$167)</f>
        <v/>
      </c>
      <c r="AD164" t="str">
        <f>IF([2]Baskol!$O$167="","",[2]Baskol!$O$167)</f>
        <v/>
      </c>
      <c r="AE164" t="str">
        <f>IF([3]Entry!$C$167="","",[3]Entry!$C$167)</f>
        <v/>
      </c>
      <c r="AF164" t="str">
        <f>IF([3]Entry!$D$167="","",[3]Entry!$D$167)</f>
        <v/>
      </c>
      <c r="AG164" t="str">
        <f>IF([3]Entry!$E$167="","",[3]Entry!$E$167)</f>
        <v/>
      </c>
      <c r="AH164" t="str">
        <f>IF([3]Entry!$G$167="","",[3]Entry!$G$167)</f>
        <v/>
      </c>
      <c r="AI164" t="str">
        <f>IF([3]Entry!$K$167="","",[3]Entry!$K$167)</f>
        <v/>
      </c>
      <c r="AJ164" t="str">
        <f>IF([3]Entry!$L$167="","",[3]Entry!$L$167)</f>
        <v/>
      </c>
      <c r="AK164" t="str">
        <f>IF([3]Entry!$M$167="","",[3]Entry!$M$167)</f>
        <v/>
      </c>
      <c r="AL164" t="str">
        <f>IF([3]Entry!$N$167="","",[3]Entry!$N$167)</f>
        <v/>
      </c>
      <c r="AM164" t="str">
        <f>IF([3]Entry!$R$167="","",[3]Entry!$R$167)</f>
        <v/>
      </c>
    </row>
    <row r="165" spans="1:39" x14ac:dyDescent="0.2">
      <c r="A165" t="str">
        <f>IF([1]Accounts!$D$166="","",[1]Accounts!$A$166)</f>
        <v/>
      </c>
      <c r="B165" t="str">
        <f>IF([1]Accounts!$D$166="","",[1]Accounts!$B$166)</f>
        <v/>
      </c>
      <c r="C165" t="str">
        <f>IF([1]Accounts!$D$166="","",[1]Accounts!$C$166)</f>
        <v/>
      </c>
      <c r="D165" t="str">
        <f>IF([1]Accounts!$D$166="","",[1]Accounts!$D$166)</f>
        <v/>
      </c>
      <c r="E165" t="str">
        <f>IF([1]Accounts!$D$166="","",[1]Accounts!$E$166)</f>
        <v/>
      </c>
      <c r="F165" t="str">
        <f>IF([1]Accounts!$D$166="","",[1]Accounts!$F$166)</f>
        <v/>
      </c>
      <c r="G165" t="str">
        <f>IF([1]Accounts!$D$166="","",[1]Accounts!$G$166)</f>
        <v/>
      </c>
      <c r="T165" t="str">
        <f>IF([2]Baskol!$B$168="","",[2]Baskol!$B$168)</f>
        <v>1405/07/26</v>
      </c>
      <c r="U165" t="str">
        <f>IF([2]Baskol!$C$168="","",[2]Baskol!$C$168)</f>
        <v/>
      </c>
      <c r="V165" t="str">
        <f>IF([2]Baskol!$D$168="","",[2]Baskol!$D$168)</f>
        <v/>
      </c>
      <c r="W165" t="str">
        <f>IF([2]Baskol!$E$168="","",[2]Baskol!$E$168)</f>
        <v>خرید مرکبات</v>
      </c>
      <c r="X165" t="str">
        <f>IF([2]Baskol!$G$168="","",[2]Baskol!$G$168)</f>
        <v>c053</v>
      </c>
      <c r="Y165" t="str">
        <f>IF([2]Baskol!$I$168="","",[2]Baskol!$I$168)</f>
        <v/>
      </c>
      <c r="Z165" t="str">
        <f>IF([2]Baskol!$J$168="","",[2]Baskol!$J$168)</f>
        <v>تامسون</v>
      </c>
      <c r="AA165">
        <f>IF([2]Baskol!$K$168="","",[2]Baskol!$K$168)</f>
        <v>2000</v>
      </c>
      <c r="AB165">
        <f>IF([2]Baskol!$L$168="","",[2]Baskol!$L$168)</f>
        <v>140</v>
      </c>
      <c r="AC165" t="str">
        <f>IF([2]Baskol!$N$168="","",[2]Baskol!$N$168)</f>
        <v/>
      </c>
      <c r="AD165" t="str">
        <f>IF([2]Baskol!$O$168="","",[2]Baskol!$O$168)</f>
        <v/>
      </c>
      <c r="AE165" t="str">
        <f>IF([3]Entry!$C$168="","",[3]Entry!$C$168)</f>
        <v/>
      </c>
      <c r="AF165" t="str">
        <f>IF([3]Entry!$D$168="","",[3]Entry!$D$168)</f>
        <v/>
      </c>
      <c r="AG165" t="str">
        <f>IF([3]Entry!$E$168="","",[3]Entry!$E$168)</f>
        <v/>
      </c>
      <c r="AH165" t="str">
        <f>IF([3]Entry!$G$168="","",[3]Entry!$G$168)</f>
        <v/>
      </c>
      <c r="AI165" t="str">
        <f>IF([3]Entry!$K$168="","",[3]Entry!$K$168)</f>
        <v/>
      </c>
      <c r="AJ165" t="str">
        <f>IF([3]Entry!$L$168="","",[3]Entry!$L$168)</f>
        <v/>
      </c>
      <c r="AK165" t="str">
        <f>IF([3]Entry!$M$168="","",[3]Entry!$M$168)</f>
        <v/>
      </c>
      <c r="AL165" t="str">
        <f>IF([3]Entry!$N$168="","",[3]Entry!$N$168)</f>
        <v/>
      </c>
      <c r="AM165" t="str">
        <f>IF([3]Entry!$R$168="","",[3]Entry!$R$168)</f>
        <v/>
      </c>
    </row>
    <row r="166" spans="1:39" x14ac:dyDescent="0.2">
      <c r="A166" t="str">
        <f>IF([1]Accounts!$D$167="","",[1]Accounts!$A$167)</f>
        <v/>
      </c>
      <c r="B166" t="str">
        <f>IF([1]Accounts!$D$167="","",[1]Accounts!$B$167)</f>
        <v/>
      </c>
      <c r="C166" t="str">
        <f>IF([1]Accounts!$D$167="","",[1]Accounts!$C$167)</f>
        <v/>
      </c>
      <c r="D166" t="str">
        <f>IF([1]Accounts!$D$167="","",[1]Accounts!$D$167)</f>
        <v/>
      </c>
      <c r="E166" t="str">
        <f>IF([1]Accounts!$D$167="","",[1]Accounts!$E$167)</f>
        <v/>
      </c>
      <c r="F166" t="str">
        <f>IF([1]Accounts!$D$167="","",[1]Accounts!$F$167)</f>
        <v/>
      </c>
      <c r="G166" t="str">
        <f>IF([1]Accounts!$D$167="","",[1]Accounts!$G$167)</f>
        <v/>
      </c>
      <c r="T166" t="str">
        <f>IF([2]Baskol!$B$169="","",[2]Baskol!$B$169)</f>
        <v>1405/07/26</v>
      </c>
      <c r="U166" t="str">
        <f>IF([2]Baskol!$C$169="","",[2]Baskol!$C$169)</f>
        <v/>
      </c>
      <c r="V166" t="str">
        <f>IF([2]Baskol!$D$169="","",[2]Baskol!$D$169)</f>
        <v/>
      </c>
      <c r="W166" t="str">
        <f>IF([2]Baskol!$E$169="","",[2]Baskol!$E$169)</f>
        <v>خرید مرکبات</v>
      </c>
      <c r="X166" t="str">
        <f>IF([2]Baskol!$G$169="","",[2]Baskol!$G$169)</f>
        <v>c041</v>
      </c>
      <c r="Y166" t="str">
        <f>IF([2]Baskol!$I$169="","",[2]Baskol!$I$169)</f>
        <v/>
      </c>
      <c r="Z166" t="str">
        <f>IF([2]Baskol!$J$169="","",[2]Baskol!$J$169)</f>
        <v>نارنگی</v>
      </c>
      <c r="AA166">
        <f>IF([2]Baskol!$K$169="","",[2]Baskol!$K$169)</f>
        <v>1165</v>
      </c>
      <c r="AB166">
        <f>IF([2]Baskol!$L$169="","",[2]Baskol!$L$169)</f>
        <v>78</v>
      </c>
      <c r="AC166" t="str">
        <f>IF([2]Baskol!$N$169="","",[2]Baskol!$N$169)</f>
        <v/>
      </c>
      <c r="AD166" t="str">
        <f>IF([2]Baskol!$O$169="","",[2]Baskol!$O$169)</f>
        <v/>
      </c>
      <c r="AE166" t="str">
        <f>IF([3]Entry!$C$169="","",[3]Entry!$C$169)</f>
        <v/>
      </c>
      <c r="AF166" t="str">
        <f>IF([3]Entry!$D$169="","",[3]Entry!$D$169)</f>
        <v/>
      </c>
      <c r="AG166" t="str">
        <f>IF([3]Entry!$E$169="","",[3]Entry!$E$169)</f>
        <v/>
      </c>
      <c r="AH166" t="str">
        <f>IF([3]Entry!$G$169="","",[3]Entry!$G$169)</f>
        <v/>
      </c>
      <c r="AI166" t="str">
        <f>IF([3]Entry!$K$169="","",[3]Entry!$K$169)</f>
        <v/>
      </c>
      <c r="AJ166" t="str">
        <f>IF([3]Entry!$L$169="","",[3]Entry!$L$169)</f>
        <v/>
      </c>
      <c r="AK166" t="str">
        <f>IF([3]Entry!$M$169="","",[3]Entry!$M$169)</f>
        <v/>
      </c>
      <c r="AL166" t="str">
        <f>IF([3]Entry!$N$169="","",[3]Entry!$N$169)</f>
        <v/>
      </c>
      <c r="AM166" t="str">
        <f>IF([3]Entry!$R$169="","",[3]Entry!$R$169)</f>
        <v/>
      </c>
    </row>
    <row r="167" spans="1:39" x14ac:dyDescent="0.2">
      <c r="A167" t="str">
        <f>IF([1]Accounts!$D$168="","",[1]Accounts!$A$168)</f>
        <v/>
      </c>
      <c r="B167" t="str">
        <f>IF([1]Accounts!$D$168="","",[1]Accounts!$B$168)</f>
        <v/>
      </c>
      <c r="C167" t="str">
        <f>IF([1]Accounts!$D$168="","",[1]Accounts!$C$168)</f>
        <v/>
      </c>
      <c r="D167" t="str">
        <f>IF([1]Accounts!$D$168="","",[1]Accounts!$D$168)</f>
        <v/>
      </c>
      <c r="E167" t="str">
        <f>IF([1]Accounts!$D$168="","",[1]Accounts!$E$168)</f>
        <v/>
      </c>
      <c r="F167" t="str">
        <f>IF([1]Accounts!$D$168="","",[1]Accounts!$F$168)</f>
        <v/>
      </c>
      <c r="G167" t="str">
        <f>IF([1]Accounts!$D$168="","",[1]Accounts!$G$168)</f>
        <v/>
      </c>
      <c r="T167" t="str">
        <f>IF([2]Baskol!$B$170="","",[2]Baskol!$B$170)</f>
        <v>1405/07/26</v>
      </c>
      <c r="U167" t="str">
        <f>IF([2]Baskol!$C$170="","",[2]Baskol!$C$170)</f>
        <v/>
      </c>
      <c r="V167" t="str">
        <f>IF([2]Baskol!$D$170="","",[2]Baskol!$D$170)</f>
        <v/>
      </c>
      <c r="W167" t="str">
        <f>IF([2]Baskol!$E$170="","",[2]Baskol!$E$170)</f>
        <v>خرید مرکبات</v>
      </c>
      <c r="X167" t="str">
        <f>IF([2]Baskol!$G$170="","",[2]Baskol!$G$170)</f>
        <v>c041</v>
      </c>
      <c r="Y167" t="str">
        <f>IF([2]Baskol!$I$170="","",[2]Baskol!$I$170)</f>
        <v/>
      </c>
      <c r="Z167" t="str">
        <f>IF([2]Baskol!$J$170="","",[2]Baskol!$J$170)</f>
        <v>نارنگی</v>
      </c>
      <c r="AA167">
        <f>IF([2]Baskol!$K$170="","",[2]Baskol!$K$170)</f>
        <v>460</v>
      </c>
      <c r="AB167">
        <f>IF([2]Baskol!$L$170="","",[2]Baskol!$L$170)</f>
        <v>27</v>
      </c>
      <c r="AC167" t="str">
        <f>IF([2]Baskol!$N$170="","",[2]Baskol!$N$170)</f>
        <v/>
      </c>
      <c r="AD167" t="str">
        <f>IF([2]Baskol!$O$170="","",[2]Baskol!$O$170)</f>
        <v/>
      </c>
      <c r="AE167" t="str">
        <f>IF([3]Entry!$C$170="","",[3]Entry!$C$170)</f>
        <v/>
      </c>
      <c r="AF167" t="str">
        <f>IF([3]Entry!$D$170="","",[3]Entry!$D$170)</f>
        <v/>
      </c>
      <c r="AG167" t="str">
        <f>IF([3]Entry!$E$170="","",[3]Entry!$E$170)</f>
        <v/>
      </c>
      <c r="AH167" t="str">
        <f>IF([3]Entry!$G$170="","",[3]Entry!$G$170)</f>
        <v/>
      </c>
      <c r="AI167" t="str">
        <f>IF([3]Entry!$K$170="","",[3]Entry!$K$170)</f>
        <v/>
      </c>
      <c r="AJ167" t="str">
        <f>IF([3]Entry!$L$170="","",[3]Entry!$L$170)</f>
        <v/>
      </c>
      <c r="AK167" t="str">
        <f>IF([3]Entry!$M$170="","",[3]Entry!$M$170)</f>
        <v/>
      </c>
      <c r="AL167" t="str">
        <f>IF([3]Entry!$N$170="","",[3]Entry!$N$170)</f>
        <v/>
      </c>
      <c r="AM167" t="str">
        <f>IF([3]Entry!$R$170="","",[3]Entry!$R$170)</f>
        <v/>
      </c>
    </row>
    <row r="168" spans="1:39" x14ac:dyDescent="0.2">
      <c r="A168" t="str">
        <f>IF([1]Accounts!$D$169="","",[1]Accounts!$A$169)</f>
        <v/>
      </c>
      <c r="B168" t="str">
        <f>IF([1]Accounts!$D$169="","",[1]Accounts!$B$169)</f>
        <v/>
      </c>
      <c r="C168" t="str">
        <f>IF([1]Accounts!$D$169="","",[1]Accounts!$C$169)</f>
        <v/>
      </c>
      <c r="D168" t="str">
        <f>IF([1]Accounts!$D$169="","",[1]Accounts!$D$169)</f>
        <v/>
      </c>
      <c r="E168" t="str">
        <f>IF([1]Accounts!$D$169="","",[1]Accounts!$E$169)</f>
        <v/>
      </c>
      <c r="F168" t="str">
        <f>IF([1]Accounts!$D$169="","",[1]Accounts!$F$169)</f>
        <v/>
      </c>
      <c r="G168" t="str">
        <f>IF([1]Accounts!$D$169="","",[1]Accounts!$G$169)</f>
        <v/>
      </c>
      <c r="T168" t="str">
        <f>IF([2]Baskol!$B$171="","",[2]Baskol!$B$171)</f>
        <v>1405/07/26</v>
      </c>
      <c r="U168" t="str">
        <f>IF([2]Baskol!$C$171="","",[2]Baskol!$C$171)</f>
        <v/>
      </c>
      <c r="V168" t="str">
        <f>IF([2]Baskol!$D$171="","",[2]Baskol!$D$171)</f>
        <v/>
      </c>
      <c r="W168" t="str">
        <f>IF([2]Baskol!$E$171="","",[2]Baskol!$E$171)</f>
        <v>خرید مرکبات</v>
      </c>
      <c r="X168" t="str">
        <f>IF([2]Baskol!$G$171="","",[2]Baskol!$G$171)</f>
        <v>c052</v>
      </c>
      <c r="Y168" t="str">
        <f>IF([2]Baskol!$I$171="","",[2]Baskol!$I$171)</f>
        <v/>
      </c>
      <c r="Z168" t="str">
        <f>IF([2]Baskol!$J$171="","",[2]Baskol!$J$171)</f>
        <v>نارنگی</v>
      </c>
      <c r="AA168">
        <f>IF([2]Baskol!$K$171="","",[2]Baskol!$K$171)</f>
        <v>3310</v>
      </c>
      <c r="AB168">
        <f>IF([2]Baskol!$L$171="","",[2]Baskol!$L$171)</f>
        <v>190</v>
      </c>
      <c r="AC168" t="str">
        <f>IF([2]Baskol!$N$171="","",[2]Baskol!$N$171)</f>
        <v/>
      </c>
      <c r="AD168" t="str">
        <f>IF([2]Baskol!$O$171="","",[2]Baskol!$O$171)</f>
        <v/>
      </c>
      <c r="AE168" t="str">
        <f>IF([3]Entry!$C$171="","",[3]Entry!$C$171)</f>
        <v/>
      </c>
      <c r="AF168" t="str">
        <f>IF([3]Entry!$D$171="","",[3]Entry!$D$171)</f>
        <v/>
      </c>
      <c r="AG168" t="str">
        <f>IF([3]Entry!$E$171="","",[3]Entry!$E$171)</f>
        <v/>
      </c>
      <c r="AH168" t="str">
        <f>IF([3]Entry!$G$171="","",[3]Entry!$G$171)</f>
        <v/>
      </c>
      <c r="AI168" t="str">
        <f>IF([3]Entry!$K$171="","",[3]Entry!$K$171)</f>
        <v/>
      </c>
      <c r="AJ168" t="str">
        <f>IF([3]Entry!$L$171="","",[3]Entry!$L$171)</f>
        <v/>
      </c>
      <c r="AK168" t="str">
        <f>IF([3]Entry!$M$171="","",[3]Entry!$M$171)</f>
        <v/>
      </c>
      <c r="AL168" t="str">
        <f>IF([3]Entry!$N$171="","",[3]Entry!$N$171)</f>
        <v/>
      </c>
      <c r="AM168" t="str">
        <f>IF([3]Entry!$R$171="","",[3]Entry!$R$171)</f>
        <v/>
      </c>
    </row>
    <row r="169" spans="1:39" x14ac:dyDescent="0.2">
      <c r="A169" t="str">
        <f>IF([1]Accounts!$D$170="","",[1]Accounts!$A$170)</f>
        <v/>
      </c>
      <c r="B169" t="str">
        <f>IF([1]Accounts!$D$170="","",[1]Accounts!$B$170)</f>
        <v/>
      </c>
      <c r="C169" t="str">
        <f>IF([1]Accounts!$D$170="","",[1]Accounts!$C$170)</f>
        <v/>
      </c>
      <c r="D169" t="str">
        <f>IF([1]Accounts!$D$170="","",[1]Accounts!$D$170)</f>
        <v/>
      </c>
      <c r="E169" t="str">
        <f>IF([1]Accounts!$D$170="","",[1]Accounts!$E$170)</f>
        <v/>
      </c>
      <c r="F169" t="str">
        <f>IF([1]Accounts!$D$170="","",[1]Accounts!$F$170)</f>
        <v/>
      </c>
      <c r="G169" t="str">
        <f>IF([1]Accounts!$D$170="","",[1]Accounts!$G$170)</f>
        <v/>
      </c>
      <c r="T169" t="str">
        <f>IF([2]Baskol!$B$172="","",[2]Baskol!$B$172)</f>
        <v>1405/07/26</v>
      </c>
      <c r="U169" t="str">
        <f>IF([2]Baskol!$C$172="","",[2]Baskol!$C$172)</f>
        <v/>
      </c>
      <c r="V169" t="str">
        <f>IF([2]Baskol!$D$172="","",[2]Baskol!$D$172)</f>
        <v/>
      </c>
      <c r="W169" t="str">
        <f>IF([2]Baskol!$E$172="","",[2]Baskol!$E$172)</f>
        <v>خرید مرکبات</v>
      </c>
      <c r="X169" t="str">
        <f>IF([2]Baskol!$G$172="","",[2]Baskol!$G$172)</f>
        <v>c034</v>
      </c>
      <c r="Y169" t="str">
        <f>IF([2]Baskol!$I$172="","",[2]Baskol!$I$172)</f>
        <v/>
      </c>
      <c r="Z169" t="str">
        <f>IF([2]Baskol!$J$172="","",[2]Baskol!$J$172)</f>
        <v>خرمالو</v>
      </c>
      <c r="AA169">
        <f>IF([2]Baskol!$K$172="","",[2]Baskol!$K$172)</f>
        <v>805</v>
      </c>
      <c r="AB169" t="str">
        <f>IF([2]Baskol!$L$172="","",[2]Baskol!$L$172)</f>
        <v/>
      </c>
      <c r="AC169" t="str">
        <f>IF([2]Baskol!$N$172="","",[2]Baskol!$N$172)</f>
        <v/>
      </c>
      <c r="AD169" t="str">
        <f>IF([2]Baskol!$O$172="","",[2]Baskol!$O$172)</f>
        <v/>
      </c>
      <c r="AE169" t="str">
        <f>IF([3]Entry!$C$172="","",[3]Entry!$C$172)</f>
        <v/>
      </c>
      <c r="AF169" t="str">
        <f>IF([3]Entry!$D$172="","",[3]Entry!$D$172)</f>
        <v/>
      </c>
      <c r="AG169" t="str">
        <f>IF([3]Entry!$E$172="","",[3]Entry!$E$172)</f>
        <v/>
      </c>
      <c r="AH169" t="str">
        <f>IF([3]Entry!$G$172="","",[3]Entry!$G$172)</f>
        <v/>
      </c>
      <c r="AI169" t="str">
        <f>IF([3]Entry!$K$172="","",[3]Entry!$K$172)</f>
        <v/>
      </c>
      <c r="AJ169" t="str">
        <f>IF([3]Entry!$L$172="","",[3]Entry!$L$172)</f>
        <v/>
      </c>
      <c r="AK169" t="str">
        <f>IF([3]Entry!$M$172="","",[3]Entry!$M$172)</f>
        <v/>
      </c>
      <c r="AL169" t="str">
        <f>IF([3]Entry!$N$172="","",[3]Entry!$N$172)</f>
        <v/>
      </c>
      <c r="AM169" t="str">
        <f>IF([3]Entry!$R$172="","",[3]Entry!$R$172)</f>
        <v/>
      </c>
    </row>
    <row r="170" spans="1:39" x14ac:dyDescent="0.2">
      <c r="A170" t="str">
        <f>IF([1]Accounts!$D$171="","",[1]Accounts!$A$171)</f>
        <v/>
      </c>
      <c r="B170" t="str">
        <f>IF([1]Accounts!$D$171="","",[1]Accounts!$B$171)</f>
        <v/>
      </c>
      <c r="C170" t="str">
        <f>IF([1]Accounts!$D$171="","",[1]Accounts!$C$171)</f>
        <v/>
      </c>
      <c r="D170" t="str">
        <f>IF([1]Accounts!$D$171="","",[1]Accounts!$D$171)</f>
        <v/>
      </c>
      <c r="E170" t="str">
        <f>IF([1]Accounts!$D$171="","",[1]Accounts!$E$171)</f>
        <v/>
      </c>
      <c r="F170" t="str">
        <f>IF([1]Accounts!$D$171="","",[1]Accounts!$F$171)</f>
        <v/>
      </c>
      <c r="G170" t="str">
        <f>IF([1]Accounts!$D$171="","",[1]Accounts!$G$171)</f>
        <v/>
      </c>
      <c r="T170" t="str">
        <f>IF([2]Baskol!$B$173="","",[2]Baskol!$B$173)</f>
        <v>1405/07/27</v>
      </c>
      <c r="U170" t="str">
        <f>IF([2]Baskol!$C$173="","",[2]Baskol!$C$173)</f>
        <v/>
      </c>
      <c r="V170" t="str">
        <f>IF([2]Baskol!$D$173="","",[2]Baskol!$D$173)</f>
        <v/>
      </c>
      <c r="W170" t="str">
        <f>IF([2]Baskol!$E$173="","",[2]Baskol!$E$173)</f>
        <v>خرید مرکبات</v>
      </c>
      <c r="X170" t="str">
        <f>IF([2]Baskol!$G$173="","",[2]Baskol!$G$173)</f>
        <v>c052</v>
      </c>
      <c r="Y170" t="str">
        <f>IF([2]Baskol!$I$173="","",[2]Baskol!$I$173)</f>
        <v/>
      </c>
      <c r="Z170" t="str">
        <f>IF([2]Baskol!$J$173="","",[2]Baskol!$J$173)</f>
        <v>نارنگی</v>
      </c>
      <c r="AA170">
        <f>IF([2]Baskol!$K$173="","",[2]Baskol!$K$173)</f>
        <v>290</v>
      </c>
      <c r="AB170">
        <f>IF([2]Baskol!$L$173="","",[2]Baskol!$L$173)</f>
        <v>174</v>
      </c>
      <c r="AC170" t="str">
        <f>IF([2]Baskol!$N$173="","",[2]Baskol!$N$173)</f>
        <v/>
      </c>
      <c r="AD170" t="str">
        <f>IF([2]Baskol!$O$173="","",[2]Baskol!$O$173)</f>
        <v/>
      </c>
      <c r="AE170" t="str">
        <f>IF([3]Entry!$C$173="","",[3]Entry!$C$173)</f>
        <v/>
      </c>
      <c r="AF170" t="str">
        <f>IF([3]Entry!$D$173="","",[3]Entry!$D$173)</f>
        <v/>
      </c>
      <c r="AG170" t="str">
        <f>IF([3]Entry!$E$173="","",[3]Entry!$E$173)</f>
        <v/>
      </c>
      <c r="AH170" t="str">
        <f>IF([3]Entry!$G$173="","",[3]Entry!$G$173)</f>
        <v/>
      </c>
      <c r="AI170" t="str">
        <f>IF([3]Entry!$K$173="","",[3]Entry!$K$173)</f>
        <v/>
      </c>
      <c r="AJ170" t="str">
        <f>IF([3]Entry!$L$173="","",[3]Entry!$L$173)</f>
        <v/>
      </c>
      <c r="AK170" t="str">
        <f>IF([3]Entry!$M$173="","",[3]Entry!$M$173)</f>
        <v/>
      </c>
      <c r="AL170" t="str">
        <f>IF([3]Entry!$N$173="","",[3]Entry!$N$173)</f>
        <v/>
      </c>
      <c r="AM170" t="str">
        <f>IF([3]Entry!$R$173="","",[3]Entry!$R$173)</f>
        <v/>
      </c>
    </row>
    <row r="171" spans="1:39" x14ac:dyDescent="0.2">
      <c r="A171" t="str">
        <f>IF([1]Accounts!$D$172="","",[1]Accounts!$A$172)</f>
        <v/>
      </c>
      <c r="B171" t="str">
        <f>IF([1]Accounts!$D$172="","",[1]Accounts!$B$172)</f>
        <v/>
      </c>
      <c r="C171" t="str">
        <f>IF([1]Accounts!$D$172="","",[1]Accounts!$C$172)</f>
        <v/>
      </c>
      <c r="D171" t="str">
        <f>IF([1]Accounts!$D$172="","",[1]Accounts!$D$172)</f>
        <v/>
      </c>
      <c r="E171" t="str">
        <f>IF([1]Accounts!$D$172="","",[1]Accounts!$E$172)</f>
        <v/>
      </c>
      <c r="F171" t="str">
        <f>IF([1]Accounts!$D$172="","",[1]Accounts!$F$172)</f>
        <v/>
      </c>
      <c r="G171" t="str">
        <f>IF([1]Accounts!$D$172="","",[1]Accounts!$G$172)</f>
        <v/>
      </c>
      <c r="T171" t="str">
        <f>IF([2]Baskol!$B$174="","",[2]Baskol!$B$174)</f>
        <v>1405/07/27</v>
      </c>
      <c r="U171" t="str">
        <f>IF([2]Baskol!$C$174="","",[2]Baskol!$C$174)</f>
        <v/>
      </c>
      <c r="V171" t="str">
        <f>IF([2]Baskol!$D$174="","",[2]Baskol!$D$174)</f>
        <v/>
      </c>
      <c r="W171" t="str">
        <f>IF([2]Baskol!$E$174="","",[2]Baskol!$E$174)</f>
        <v>خرید مرکبات</v>
      </c>
      <c r="X171" t="str">
        <f>IF([2]Baskol!$G$174="","",[2]Baskol!$G$174)</f>
        <v>c052</v>
      </c>
      <c r="Y171" t="str">
        <f>IF([2]Baskol!$I$174="","",[2]Baskol!$I$174)</f>
        <v/>
      </c>
      <c r="Z171" t="str">
        <f>IF([2]Baskol!$J$174="","",[2]Baskol!$J$174)</f>
        <v>نارنگی</v>
      </c>
      <c r="AA171">
        <f>IF([2]Baskol!$K$174="","",[2]Baskol!$K$174)</f>
        <v>990</v>
      </c>
      <c r="AB171">
        <f>IF([2]Baskol!$L$174="","",[2]Baskol!$L$174)</f>
        <v>65</v>
      </c>
      <c r="AC171" t="str">
        <f>IF([2]Baskol!$N$174="","",[2]Baskol!$N$174)</f>
        <v/>
      </c>
      <c r="AD171" t="str">
        <f>IF([2]Baskol!$O$174="","",[2]Baskol!$O$174)</f>
        <v/>
      </c>
      <c r="AE171" t="str">
        <f>IF([3]Entry!$C$174="","",[3]Entry!$C$174)</f>
        <v/>
      </c>
      <c r="AF171" t="str">
        <f>IF([3]Entry!$D$174="","",[3]Entry!$D$174)</f>
        <v/>
      </c>
      <c r="AG171" t="str">
        <f>IF([3]Entry!$E$174="","",[3]Entry!$E$174)</f>
        <v/>
      </c>
      <c r="AH171" t="str">
        <f>IF([3]Entry!$G$174="","",[3]Entry!$G$174)</f>
        <v/>
      </c>
      <c r="AI171" t="str">
        <f>IF([3]Entry!$K$174="","",[3]Entry!$K$174)</f>
        <v/>
      </c>
      <c r="AJ171" t="str">
        <f>IF([3]Entry!$L$174="","",[3]Entry!$L$174)</f>
        <v/>
      </c>
      <c r="AK171" t="str">
        <f>IF([3]Entry!$M$174="","",[3]Entry!$M$174)</f>
        <v/>
      </c>
      <c r="AL171" t="str">
        <f>IF([3]Entry!$N$174="","",[3]Entry!$N$174)</f>
        <v/>
      </c>
      <c r="AM171" t="str">
        <f>IF([3]Entry!$R$174="","",[3]Entry!$R$174)</f>
        <v/>
      </c>
    </row>
    <row r="172" spans="1:39" x14ac:dyDescent="0.2">
      <c r="A172" t="str">
        <f>IF([1]Accounts!$D$173="","",[1]Accounts!$A$173)</f>
        <v/>
      </c>
      <c r="B172" t="str">
        <f>IF([1]Accounts!$D$173="","",[1]Accounts!$B$173)</f>
        <v/>
      </c>
      <c r="C172" t="str">
        <f>IF([1]Accounts!$D$173="","",[1]Accounts!$C$173)</f>
        <v/>
      </c>
      <c r="D172" t="str">
        <f>IF([1]Accounts!$D$173="","",[1]Accounts!$D$173)</f>
        <v/>
      </c>
      <c r="E172" t="str">
        <f>IF([1]Accounts!$D$173="","",[1]Accounts!$E$173)</f>
        <v/>
      </c>
      <c r="F172" t="str">
        <f>IF([1]Accounts!$D$173="","",[1]Accounts!$F$173)</f>
        <v/>
      </c>
      <c r="G172" t="str">
        <f>IF([1]Accounts!$D$173="","",[1]Accounts!$G$173)</f>
        <v/>
      </c>
      <c r="T172" t="str">
        <f>IF([2]Baskol!$B$175="","",[2]Baskol!$B$175)</f>
        <v>1405/07/27</v>
      </c>
      <c r="U172" t="str">
        <f>IF([2]Baskol!$C$175="","",[2]Baskol!$C$175)</f>
        <v/>
      </c>
      <c r="V172" t="str">
        <f>IF([2]Baskol!$D$175="","",[2]Baskol!$D$175)</f>
        <v/>
      </c>
      <c r="W172" t="str">
        <f>IF([2]Baskol!$E$175="","",[2]Baskol!$E$175)</f>
        <v>خرید مرکبات</v>
      </c>
      <c r="X172" t="str">
        <f>IF([2]Baskol!$G$175="","",[2]Baskol!$G$175)</f>
        <v>c053</v>
      </c>
      <c r="Y172" t="str">
        <f>IF([2]Baskol!$I$175="","",[2]Baskol!$I$175)</f>
        <v/>
      </c>
      <c r="Z172" t="str">
        <f>IF([2]Baskol!$J$175="","",[2]Baskol!$J$175)</f>
        <v>نارنگی</v>
      </c>
      <c r="AA172">
        <f>IF([2]Baskol!$K$175="","",[2]Baskol!$K$175)</f>
        <v>1180</v>
      </c>
      <c r="AB172">
        <f>IF([2]Baskol!$L$175="","",[2]Baskol!$L$175)</f>
        <v>85</v>
      </c>
      <c r="AC172" t="str">
        <f>IF([2]Baskol!$N$175="","",[2]Baskol!$N$175)</f>
        <v/>
      </c>
      <c r="AD172" t="str">
        <f>IF([2]Baskol!$O$175="","",[2]Baskol!$O$175)</f>
        <v/>
      </c>
      <c r="AE172" t="str">
        <f>IF([3]Entry!$C$175="","",[3]Entry!$C$175)</f>
        <v/>
      </c>
      <c r="AF172" t="str">
        <f>IF([3]Entry!$D$175="","",[3]Entry!$D$175)</f>
        <v/>
      </c>
      <c r="AG172" t="str">
        <f>IF([3]Entry!$E$175="","",[3]Entry!$E$175)</f>
        <v/>
      </c>
      <c r="AH172" t="str">
        <f>IF([3]Entry!$G$175="","",[3]Entry!$G$175)</f>
        <v/>
      </c>
      <c r="AI172" t="str">
        <f>IF([3]Entry!$K$175="","",[3]Entry!$K$175)</f>
        <v/>
      </c>
      <c r="AJ172" t="str">
        <f>IF([3]Entry!$L$175="","",[3]Entry!$L$175)</f>
        <v/>
      </c>
      <c r="AK172" t="str">
        <f>IF([3]Entry!$M$175="","",[3]Entry!$M$175)</f>
        <v/>
      </c>
      <c r="AL172" t="str">
        <f>IF([3]Entry!$N$175="","",[3]Entry!$N$175)</f>
        <v/>
      </c>
      <c r="AM172" t="str">
        <f>IF([3]Entry!$R$175="","",[3]Entry!$R$175)</f>
        <v/>
      </c>
    </row>
    <row r="173" spans="1:39" x14ac:dyDescent="0.2">
      <c r="A173" t="str">
        <f>IF([1]Accounts!$D$174="","",[1]Accounts!$A$174)</f>
        <v/>
      </c>
      <c r="B173" t="str">
        <f>IF([1]Accounts!$D$174="","",[1]Accounts!$B$174)</f>
        <v/>
      </c>
      <c r="C173" t="str">
        <f>IF([1]Accounts!$D$174="","",[1]Accounts!$C$174)</f>
        <v/>
      </c>
      <c r="D173" t="str">
        <f>IF([1]Accounts!$D$174="","",[1]Accounts!$D$174)</f>
        <v/>
      </c>
      <c r="E173" t="str">
        <f>IF([1]Accounts!$D$174="","",[1]Accounts!$E$174)</f>
        <v/>
      </c>
      <c r="F173" t="str">
        <f>IF([1]Accounts!$D$174="","",[1]Accounts!$F$174)</f>
        <v/>
      </c>
      <c r="G173" t="str">
        <f>IF([1]Accounts!$D$174="","",[1]Accounts!$G$174)</f>
        <v/>
      </c>
      <c r="T173" t="str">
        <f>IF([2]Baskol!$B$176="","",[2]Baskol!$B$176)</f>
        <v>1405/07/27</v>
      </c>
      <c r="U173" t="str">
        <f>IF([2]Baskol!$C$176="","",[2]Baskol!$C$176)</f>
        <v/>
      </c>
      <c r="V173" t="str">
        <f>IF([2]Baskol!$D$176="","",[2]Baskol!$D$176)</f>
        <v/>
      </c>
      <c r="W173" t="str">
        <f>IF([2]Baskol!$E$176="","",[2]Baskol!$E$176)</f>
        <v>فروش</v>
      </c>
      <c r="X173" t="str">
        <f>IF([2]Baskol!$G$176="","",[2]Baskol!$G$176)</f>
        <v>SL005</v>
      </c>
      <c r="Y173" t="str">
        <f>IF([2]Baskol!$I$176="","",[2]Baskol!$I$176)</f>
        <v/>
      </c>
      <c r="Z173" t="str">
        <f>IF([2]Baskol!$J$176="","",[2]Baskol!$J$176)</f>
        <v/>
      </c>
      <c r="AA173">
        <f>IF([2]Baskol!$K$176="","",[2]Baskol!$K$176)</f>
        <v>4680</v>
      </c>
      <c r="AB173" t="str">
        <f>IF([2]Baskol!$L$176="","",[2]Baskol!$L$176)</f>
        <v/>
      </c>
      <c r="AC173" t="str">
        <f>IF([2]Baskol!$N$176="","",[2]Baskol!$N$176)</f>
        <v/>
      </c>
      <c r="AD173" t="str">
        <f>IF([2]Baskol!$O$176="","",[2]Baskol!$O$176)</f>
        <v/>
      </c>
      <c r="AE173" t="str">
        <f>IF([3]Entry!$C$176="","",[3]Entry!$C$176)</f>
        <v/>
      </c>
      <c r="AF173" t="str">
        <f>IF([3]Entry!$D$176="","",[3]Entry!$D$176)</f>
        <v/>
      </c>
      <c r="AG173" t="str">
        <f>IF([3]Entry!$E$176="","",[3]Entry!$E$176)</f>
        <v/>
      </c>
      <c r="AH173" t="str">
        <f>IF([3]Entry!$G$176="","",[3]Entry!$G$176)</f>
        <v/>
      </c>
      <c r="AI173" t="str">
        <f>IF([3]Entry!$K$176="","",[3]Entry!$K$176)</f>
        <v/>
      </c>
      <c r="AJ173" t="str">
        <f>IF([3]Entry!$L$176="","",[3]Entry!$L$176)</f>
        <v/>
      </c>
      <c r="AK173" t="str">
        <f>IF([3]Entry!$M$176="","",[3]Entry!$M$176)</f>
        <v/>
      </c>
      <c r="AL173" t="str">
        <f>IF([3]Entry!$N$176="","",[3]Entry!$N$176)</f>
        <v/>
      </c>
      <c r="AM173" t="str">
        <f>IF([3]Entry!$R$176="","",[3]Entry!$R$176)</f>
        <v/>
      </c>
    </row>
    <row r="174" spans="1:39" x14ac:dyDescent="0.2">
      <c r="A174" t="str">
        <f>IF([1]Accounts!$D$175="","",[1]Accounts!$A$175)</f>
        <v/>
      </c>
      <c r="B174" t="str">
        <f>IF([1]Accounts!$D$175="","",[1]Accounts!$B$175)</f>
        <v/>
      </c>
      <c r="C174" t="str">
        <f>IF([1]Accounts!$D$175="","",[1]Accounts!$C$175)</f>
        <v/>
      </c>
      <c r="D174" t="str">
        <f>IF([1]Accounts!$D$175="","",[1]Accounts!$D$175)</f>
        <v/>
      </c>
      <c r="E174" t="str">
        <f>IF([1]Accounts!$D$175="","",[1]Accounts!$E$175)</f>
        <v/>
      </c>
      <c r="F174" t="str">
        <f>IF([1]Accounts!$D$175="","",[1]Accounts!$F$175)</f>
        <v/>
      </c>
      <c r="G174" t="str">
        <f>IF([1]Accounts!$D$175="","",[1]Accounts!$G$175)</f>
        <v/>
      </c>
      <c r="T174" t="str">
        <f>IF([2]Baskol!$B$177="","",[2]Baskol!$B$177)</f>
        <v>1405/07/27</v>
      </c>
      <c r="U174" t="str">
        <f>IF([2]Baskol!$C$177="","",[2]Baskol!$C$177)</f>
        <v/>
      </c>
      <c r="V174" t="str">
        <f>IF([2]Baskol!$D$177="","",[2]Baskol!$D$177)</f>
        <v/>
      </c>
      <c r="W174" t="str">
        <f>IF([2]Baskol!$E$177="","",[2]Baskol!$E$177)</f>
        <v>فروش</v>
      </c>
      <c r="X174" t="str">
        <f>IF([2]Baskol!$G$177="","",[2]Baskol!$G$177)</f>
        <v>SL004</v>
      </c>
      <c r="Y174" t="str">
        <f>IF([2]Baskol!$I$177="","",[2]Baskol!$I$177)</f>
        <v/>
      </c>
      <c r="Z174" t="str">
        <f>IF([2]Baskol!$J$177="","",[2]Baskol!$J$177)</f>
        <v/>
      </c>
      <c r="AA174">
        <f>IF([2]Baskol!$K$177="","",[2]Baskol!$K$177)</f>
        <v>4675</v>
      </c>
      <c r="AB174" t="str">
        <f>IF([2]Baskol!$L$177="","",[2]Baskol!$L$177)</f>
        <v/>
      </c>
      <c r="AC174" t="str">
        <f>IF([2]Baskol!$N$177="","",[2]Baskol!$N$177)</f>
        <v/>
      </c>
      <c r="AD174" t="str">
        <f>IF([2]Baskol!$O$177="","",[2]Baskol!$O$177)</f>
        <v/>
      </c>
      <c r="AE174" t="str">
        <f>IF([3]Entry!$C$177="","",[3]Entry!$C$177)</f>
        <v/>
      </c>
      <c r="AF174" t="str">
        <f>IF([3]Entry!$D$177="","",[3]Entry!$D$177)</f>
        <v/>
      </c>
      <c r="AG174" t="str">
        <f>IF([3]Entry!$E$177="","",[3]Entry!$E$177)</f>
        <v/>
      </c>
      <c r="AH174" t="str">
        <f>IF([3]Entry!$G$177="","",[3]Entry!$G$177)</f>
        <v/>
      </c>
      <c r="AI174" t="str">
        <f>IF([3]Entry!$K$177="","",[3]Entry!$K$177)</f>
        <v/>
      </c>
      <c r="AJ174" t="str">
        <f>IF([3]Entry!$L$177="","",[3]Entry!$L$177)</f>
        <v/>
      </c>
      <c r="AK174" t="str">
        <f>IF([3]Entry!$M$177="","",[3]Entry!$M$177)</f>
        <v/>
      </c>
      <c r="AL174" t="str">
        <f>IF([3]Entry!$N$177="","",[3]Entry!$N$177)</f>
        <v/>
      </c>
      <c r="AM174" t="str">
        <f>IF([3]Entry!$R$177="","",[3]Entry!$R$177)</f>
        <v/>
      </c>
    </row>
    <row r="175" spans="1:39" x14ac:dyDescent="0.2">
      <c r="A175" t="str">
        <f>IF([1]Accounts!$D$176="","",[1]Accounts!$A$176)</f>
        <v/>
      </c>
      <c r="B175" t="str">
        <f>IF([1]Accounts!$D$176="","",[1]Accounts!$B$176)</f>
        <v/>
      </c>
      <c r="C175" t="str">
        <f>IF([1]Accounts!$D$176="","",[1]Accounts!$C$176)</f>
        <v/>
      </c>
      <c r="D175" t="str">
        <f>IF([1]Accounts!$D$176="","",[1]Accounts!$D$176)</f>
        <v/>
      </c>
      <c r="E175" t="str">
        <f>IF([1]Accounts!$D$176="","",[1]Accounts!$E$176)</f>
        <v/>
      </c>
      <c r="F175" t="str">
        <f>IF([1]Accounts!$D$176="","",[1]Accounts!$F$176)</f>
        <v/>
      </c>
      <c r="G175" t="str">
        <f>IF([1]Accounts!$D$176="","",[1]Accounts!$G$176)</f>
        <v/>
      </c>
      <c r="T175" t="str">
        <f>IF([2]Baskol!$B$178="","",[2]Baskol!$B$178)</f>
        <v>1405/07/27</v>
      </c>
      <c r="U175" t="str">
        <f>IF([2]Baskol!$C$178="","",[2]Baskol!$C$178)</f>
        <v/>
      </c>
      <c r="V175" t="str">
        <f>IF([2]Baskol!$D$178="","",[2]Baskol!$D$178)</f>
        <v/>
      </c>
      <c r="W175" t="str">
        <f>IF([2]Baskol!$E$178="","",[2]Baskol!$E$178)</f>
        <v>خرید مرکبات</v>
      </c>
      <c r="X175" t="str">
        <f>IF([2]Baskol!$G$178="","",[2]Baskol!$G$178)</f>
        <v>c052</v>
      </c>
      <c r="Y175" t="str">
        <f>IF([2]Baskol!$I$178="","",[2]Baskol!$I$178)</f>
        <v/>
      </c>
      <c r="Z175" t="str">
        <f>IF([2]Baskol!$J$178="","",[2]Baskol!$J$178)</f>
        <v>نارنگی</v>
      </c>
      <c r="AA175">
        <f>IF([2]Baskol!$K$178="","",[2]Baskol!$K$178)</f>
        <v>3165</v>
      </c>
      <c r="AB175">
        <f>IF([2]Baskol!$L$178="","",[2]Baskol!$L$178)</f>
        <v>175</v>
      </c>
      <c r="AC175" t="str">
        <f>IF([2]Baskol!$N$178="","",[2]Baskol!$N$178)</f>
        <v/>
      </c>
      <c r="AD175" t="str">
        <f>IF([2]Baskol!$O$178="","",[2]Baskol!$O$178)</f>
        <v/>
      </c>
      <c r="AE175" t="str">
        <f>IF([3]Entry!$C$178="","",[3]Entry!$C$178)</f>
        <v/>
      </c>
      <c r="AF175" t="str">
        <f>IF([3]Entry!$D$178="","",[3]Entry!$D$178)</f>
        <v/>
      </c>
      <c r="AG175" t="str">
        <f>IF([3]Entry!$E$178="","",[3]Entry!$E$178)</f>
        <v/>
      </c>
      <c r="AH175" t="str">
        <f>IF([3]Entry!$G$178="","",[3]Entry!$G$178)</f>
        <v/>
      </c>
      <c r="AI175" t="str">
        <f>IF([3]Entry!$K$178="","",[3]Entry!$K$178)</f>
        <v/>
      </c>
      <c r="AJ175" t="str">
        <f>IF([3]Entry!$L$178="","",[3]Entry!$L$178)</f>
        <v/>
      </c>
      <c r="AK175" t="str">
        <f>IF([3]Entry!$M$178="","",[3]Entry!$M$178)</f>
        <v/>
      </c>
      <c r="AL175" t="str">
        <f>IF([3]Entry!$N$178="","",[3]Entry!$N$178)</f>
        <v/>
      </c>
      <c r="AM175" t="str">
        <f>IF([3]Entry!$R$178="","",[3]Entry!$R$178)</f>
        <v/>
      </c>
    </row>
    <row r="176" spans="1:39" x14ac:dyDescent="0.2">
      <c r="A176" t="str">
        <f>IF([1]Accounts!$D$177="","",[1]Accounts!$A$177)</f>
        <v/>
      </c>
      <c r="B176" t="str">
        <f>IF([1]Accounts!$D$177="","",[1]Accounts!$B$177)</f>
        <v/>
      </c>
      <c r="C176" t="str">
        <f>IF([1]Accounts!$D$177="","",[1]Accounts!$C$177)</f>
        <v/>
      </c>
      <c r="D176" t="str">
        <f>IF([1]Accounts!$D$177="","",[1]Accounts!$D$177)</f>
        <v/>
      </c>
      <c r="E176" t="str">
        <f>IF([1]Accounts!$D$177="","",[1]Accounts!$E$177)</f>
        <v/>
      </c>
      <c r="F176" t="str">
        <f>IF([1]Accounts!$D$177="","",[1]Accounts!$F$177)</f>
        <v/>
      </c>
      <c r="G176" t="str">
        <f>IF([1]Accounts!$D$177="","",[1]Accounts!$G$177)</f>
        <v/>
      </c>
      <c r="T176" t="str">
        <f>IF([2]Baskol!$B$179="","",[2]Baskol!$B$179)</f>
        <v>1405/07/27</v>
      </c>
      <c r="U176" t="str">
        <f>IF([2]Baskol!$C$179="","",[2]Baskol!$C$179)</f>
        <v/>
      </c>
      <c r="V176" t="str">
        <f>IF([2]Baskol!$D$179="","",[2]Baskol!$D$179)</f>
        <v/>
      </c>
      <c r="W176" t="str">
        <f>IF([2]Baskol!$E$179="","",[2]Baskol!$E$179)</f>
        <v>فروش</v>
      </c>
      <c r="X176" t="str">
        <f>IF([2]Baskol!$G$179="","",[2]Baskol!$G$179)</f>
        <v>SL003</v>
      </c>
      <c r="Y176" t="str">
        <f>IF([2]Baskol!$I$179="","",[2]Baskol!$I$179)</f>
        <v/>
      </c>
      <c r="Z176" t="str">
        <f>IF([2]Baskol!$J$179="","",[2]Baskol!$J$179)</f>
        <v/>
      </c>
      <c r="AA176">
        <f>IF([2]Baskol!$K$179="","",[2]Baskol!$K$179)</f>
        <v>2150</v>
      </c>
      <c r="AB176" t="str">
        <f>IF([2]Baskol!$L$179="","",[2]Baskol!$L$179)</f>
        <v/>
      </c>
      <c r="AC176" t="str">
        <f>IF([2]Baskol!$N$179="","",[2]Baskol!$N$179)</f>
        <v/>
      </c>
      <c r="AD176" t="str">
        <f>IF([2]Baskol!$O$179="","",[2]Baskol!$O$179)</f>
        <v/>
      </c>
      <c r="AE176" t="str">
        <f>IF([3]Entry!$C$179="","",[3]Entry!$C$179)</f>
        <v/>
      </c>
      <c r="AF176" t="str">
        <f>IF([3]Entry!$D$179="","",[3]Entry!$D$179)</f>
        <v/>
      </c>
      <c r="AG176" t="str">
        <f>IF([3]Entry!$E$179="","",[3]Entry!$E$179)</f>
        <v/>
      </c>
      <c r="AH176" t="str">
        <f>IF([3]Entry!$G$179="","",[3]Entry!$G$179)</f>
        <v/>
      </c>
      <c r="AI176" t="str">
        <f>IF([3]Entry!$K$179="","",[3]Entry!$K$179)</f>
        <v/>
      </c>
      <c r="AJ176" t="str">
        <f>IF([3]Entry!$L$179="","",[3]Entry!$L$179)</f>
        <v/>
      </c>
      <c r="AK176" t="str">
        <f>IF([3]Entry!$M$179="","",[3]Entry!$M$179)</f>
        <v/>
      </c>
      <c r="AL176" t="str">
        <f>IF([3]Entry!$N$179="","",[3]Entry!$N$179)</f>
        <v/>
      </c>
      <c r="AM176" t="str">
        <f>IF([3]Entry!$R$179="","",[3]Entry!$R$179)</f>
        <v/>
      </c>
    </row>
    <row r="177" spans="1:39" x14ac:dyDescent="0.2">
      <c r="A177" t="str">
        <f>IF([1]Accounts!$D$178="","",[1]Accounts!$A$178)</f>
        <v/>
      </c>
      <c r="B177" t="str">
        <f>IF([1]Accounts!$D$178="","",[1]Accounts!$B$178)</f>
        <v/>
      </c>
      <c r="C177" t="str">
        <f>IF([1]Accounts!$D$178="","",[1]Accounts!$C$178)</f>
        <v/>
      </c>
      <c r="D177" t="str">
        <f>IF([1]Accounts!$D$178="","",[1]Accounts!$D$178)</f>
        <v/>
      </c>
      <c r="E177" t="str">
        <f>IF([1]Accounts!$D$178="","",[1]Accounts!$E$178)</f>
        <v/>
      </c>
      <c r="F177" t="str">
        <f>IF([1]Accounts!$D$178="","",[1]Accounts!$F$178)</f>
        <v/>
      </c>
      <c r="G177" t="str">
        <f>IF([1]Accounts!$D$178="","",[1]Accounts!$G$178)</f>
        <v/>
      </c>
      <c r="T177" t="str">
        <f>IF([2]Baskol!$B$180="","",[2]Baskol!$B$180)</f>
        <v>1405/07/27</v>
      </c>
      <c r="U177" t="str">
        <f>IF([2]Baskol!$C$180="","",[2]Baskol!$C$180)</f>
        <v/>
      </c>
      <c r="V177" t="str">
        <f>IF([2]Baskol!$D$180="","",[2]Baskol!$D$180)</f>
        <v/>
      </c>
      <c r="W177" t="str">
        <f>IF([2]Baskol!$E$180="","",[2]Baskol!$E$180)</f>
        <v>خرید مرکبات</v>
      </c>
      <c r="X177" t="str">
        <f>IF([2]Baskol!$G$180="","",[2]Baskol!$G$180)</f>
        <v>c055</v>
      </c>
      <c r="Y177" t="str">
        <f>IF([2]Baskol!$I$180="","",[2]Baskol!$I$180)</f>
        <v/>
      </c>
      <c r="Z177" t="str">
        <f>IF([2]Baskol!$J$180="","",[2]Baskol!$J$180)</f>
        <v>خرمالو</v>
      </c>
      <c r="AA177">
        <f>IF([2]Baskol!$K$180="","",[2]Baskol!$K$180)</f>
        <v>270</v>
      </c>
      <c r="AB177" t="str">
        <f>IF([2]Baskol!$L$180="","",[2]Baskol!$L$180)</f>
        <v/>
      </c>
      <c r="AC177" t="str">
        <f>IF([2]Baskol!$N$180="","",[2]Baskol!$N$180)</f>
        <v/>
      </c>
      <c r="AD177" t="str">
        <f>IF([2]Baskol!$O$180="","",[2]Baskol!$O$180)</f>
        <v/>
      </c>
      <c r="AE177" t="str">
        <f>IF([3]Entry!$C$180="","",[3]Entry!$C$180)</f>
        <v/>
      </c>
      <c r="AF177" t="str">
        <f>IF([3]Entry!$D$180="","",[3]Entry!$D$180)</f>
        <v/>
      </c>
      <c r="AG177" t="str">
        <f>IF([3]Entry!$E$180="","",[3]Entry!$E$180)</f>
        <v/>
      </c>
      <c r="AH177" t="str">
        <f>IF([3]Entry!$G$180="","",[3]Entry!$G$180)</f>
        <v/>
      </c>
      <c r="AI177" t="str">
        <f>IF([3]Entry!$K$180="","",[3]Entry!$K$180)</f>
        <v/>
      </c>
      <c r="AJ177" t="str">
        <f>IF([3]Entry!$L$180="","",[3]Entry!$L$180)</f>
        <v/>
      </c>
      <c r="AK177" t="str">
        <f>IF([3]Entry!$M$180="","",[3]Entry!$M$180)</f>
        <v/>
      </c>
      <c r="AL177" t="str">
        <f>IF([3]Entry!$N$180="","",[3]Entry!$N$180)</f>
        <v/>
      </c>
      <c r="AM177" t="str">
        <f>IF([3]Entry!$R$180="","",[3]Entry!$R$180)</f>
        <v/>
      </c>
    </row>
    <row r="178" spans="1:39" x14ac:dyDescent="0.2">
      <c r="A178" t="str">
        <f>IF([1]Accounts!$D$179="","",[1]Accounts!$A$179)</f>
        <v/>
      </c>
      <c r="B178" t="str">
        <f>IF([1]Accounts!$D$179="","",[1]Accounts!$B$179)</f>
        <v/>
      </c>
      <c r="C178" t="str">
        <f>IF([1]Accounts!$D$179="","",[1]Accounts!$C$179)</f>
        <v/>
      </c>
      <c r="D178" t="str">
        <f>IF([1]Accounts!$D$179="","",[1]Accounts!$D$179)</f>
        <v/>
      </c>
      <c r="E178" t="str">
        <f>IF([1]Accounts!$D$179="","",[1]Accounts!$E$179)</f>
        <v/>
      </c>
      <c r="F178" t="str">
        <f>IF([1]Accounts!$D$179="","",[1]Accounts!$F$179)</f>
        <v/>
      </c>
      <c r="G178" t="str">
        <f>IF([1]Accounts!$D$179="","",[1]Accounts!$G$179)</f>
        <v/>
      </c>
      <c r="T178" t="str">
        <f>IF([2]Baskol!$B$181="","",[2]Baskol!$B$181)</f>
        <v>1405/07/27</v>
      </c>
      <c r="U178" t="str">
        <f>IF([2]Baskol!$C$181="","",[2]Baskol!$C$181)</f>
        <v/>
      </c>
      <c r="V178" t="str">
        <f>IF([2]Baskol!$D$181="","",[2]Baskol!$D$181)</f>
        <v/>
      </c>
      <c r="W178" t="str">
        <f>IF([2]Baskol!$E$181="","",[2]Baskol!$E$181)</f>
        <v>خرید مرکبات</v>
      </c>
      <c r="X178" t="str">
        <f>IF([2]Baskol!$G$181="","",[2]Baskol!$G$181)</f>
        <v>c050</v>
      </c>
      <c r="Y178" t="str">
        <f>IF([2]Baskol!$I$181="","",[2]Baskol!$I$181)</f>
        <v/>
      </c>
      <c r="Z178" t="str">
        <f>IF([2]Baskol!$J$181="","",[2]Baskol!$J$181)</f>
        <v>خرمالو</v>
      </c>
      <c r="AA178">
        <f>IF([2]Baskol!$K$181="","",[2]Baskol!$K$181)</f>
        <v>60</v>
      </c>
      <c r="AB178">
        <f>IF([2]Baskol!$L$181="","",[2]Baskol!$L$181)</f>
        <v>4</v>
      </c>
      <c r="AC178" t="str">
        <f>IF([2]Baskol!$N$181="","",[2]Baskol!$N$181)</f>
        <v/>
      </c>
      <c r="AD178" t="str">
        <f>IF([2]Baskol!$O$181="","",[2]Baskol!$O$181)</f>
        <v/>
      </c>
      <c r="AE178" t="str">
        <f>IF([3]Entry!$C$181="","",[3]Entry!$C$181)</f>
        <v/>
      </c>
      <c r="AF178" t="str">
        <f>IF([3]Entry!$D$181="","",[3]Entry!$D$181)</f>
        <v/>
      </c>
      <c r="AG178" t="str">
        <f>IF([3]Entry!$E$181="","",[3]Entry!$E$181)</f>
        <v/>
      </c>
      <c r="AH178" t="str">
        <f>IF([3]Entry!$G$181="","",[3]Entry!$G$181)</f>
        <v/>
      </c>
      <c r="AI178" t="str">
        <f>IF([3]Entry!$K$181="","",[3]Entry!$K$181)</f>
        <v/>
      </c>
      <c r="AJ178" t="str">
        <f>IF([3]Entry!$L$181="","",[3]Entry!$L$181)</f>
        <v/>
      </c>
      <c r="AK178" t="str">
        <f>IF([3]Entry!$M$181="","",[3]Entry!$M$181)</f>
        <v/>
      </c>
      <c r="AL178" t="str">
        <f>IF([3]Entry!$N$181="","",[3]Entry!$N$181)</f>
        <v/>
      </c>
      <c r="AM178" t="str">
        <f>IF([3]Entry!$R$181="","",[3]Entry!$R$181)</f>
        <v/>
      </c>
    </row>
    <row r="179" spans="1:39" x14ac:dyDescent="0.2">
      <c r="A179" t="str">
        <f>IF([1]Accounts!$D$180="","",[1]Accounts!$A$180)</f>
        <v/>
      </c>
      <c r="B179" t="str">
        <f>IF([1]Accounts!$D$180="","",[1]Accounts!$B$180)</f>
        <v/>
      </c>
      <c r="C179" t="str">
        <f>IF([1]Accounts!$D$180="","",[1]Accounts!$C$180)</f>
        <v/>
      </c>
      <c r="D179" t="str">
        <f>IF([1]Accounts!$D$180="","",[1]Accounts!$D$180)</f>
        <v/>
      </c>
      <c r="E179" t="str">
        <f>IF([1]Accounts!$D$180="","",[1]Accounts!$E$180)</f>
        <v/>
      </c>
      <c r="F179" t="str">
        <f>IF([1]Accounts!$D$180="","",[1]Accounts!$F$180)</f>
        <v/>
      </c>
      <c r="G179" t="str">
        <f>IF([1]Accounts!$D$180="","",[1]Accounts!$G$180)</f>
        <v/>
      </c>
      <c r="T179" t="str">
        <f>IF([2]Baskol!$B$182="","",[2]Baskol!$B$182)</f>
        <v>1405/07/27</v>
      </c>
      <c r="U179" t="str">
        <f>IF([2]Baskol!$C$182="","",[2]Baskol!$C$182)</f>
        <v/>
      </c>
      <c r="V179" t="str">
        <f>IF([2]Baskol!$D$182="","",[2]Baskol!$D$182)</f>
        <v/>
      </c>
      <c r="W179" t="str">
        <f>IF([2]Baskol!$E$182="","",[2]Baskol!$E$182)</f>
        <v>خرید مرکبات</v>
      </c>
      <c r="X179" t="str">
        <f>IF([2]Baskol!$G$182="","",[2]Baskol!$G$182)</f>
        <v>c048</v>
      </c>
      <c r="Y179" t="str">
        <f>IF([2]Baskol!$I$182="","",[2]Baskol!$I$182)</f>
        <v/>
      </c>
      <c r="Z179" t="str">
        <f>IF([2]Baskol!$J$182="","",[2]Baskol!$J$182)</f>
        <v>خرمالو</v>
      </c>
      <c r="AA179">
        <f>IF([2]Baskol!$K$182="","",[2]Baskol!$K$182)</f>
        <v>170</v>
      </c>
      <c r="AB179">
        <f>IF([2]Baskol!$L$182="","",[2]Baskol!$L$182)</f>
        <v>15</v>
      </c>
      <c r="AC179" t="str">
        <f>IF([2]Baskol!$N$182="","",[2]Baskol!$N$182)</f>
        <v/>
      </c>
      <c r="AD179" t="str">
        <f>IF([2]Baskol!$O$182="","",[2]Baskol!$O$182)</f>
        <v/>
      </c>
      <c r="AE179" t="str">
        <f>IF([3]Entry!$C$182="","",[3]Entry!$C$182)</f>
        <v/>
      </c>
      <c r="AF179" t="str">
        <f>IF([3]Entry!$D$182="","",[3]Entry!$D$182)</f>
        <v/>
      </c>
      <c r="AG179" t="str">
        <f>IF([3]Entry!$E$182="","",[3]Entry!$E$182)</f>
        <v/>
      </c>
      <c r="AH179" t="str">
        <f>IF([3]Entry!$G$182="","",[3]Entry!$G$182)</f>
        <v/>
      </c>
      <c r="AI179" t="str">
        <f>IF([3]Entry!$K$182="","",[3]Entry!$K$182)</f>
        <v/>
      </c>
      <c r="AJ179" t="str">
        <f>IF([3]Entry!$L$182="","",[3]Entry!$L$182)</f>
        <v/>
      </c>
      <c r="AK179" t="str">
        <f>IF([3]Entry!$M$182="","",[3]Entry!$M$182)</f>
        <v/>
      </c>
      <c r="AL179" t="str">
        <f>IF([3]Entry!$N$182="","",[3]Entry!$N$182)</f>
        <v/>
      </c>
      <c r="AM179" t="str">
        <f>IF([3]Entry!$R$182="","",[3]Entry!$R$182)</f>
        <v/>
      </c>
    </row>
    <row r="180" spans="1:39" x14ac:dyDescent="0.2">
      <c r="A180" t="str">
        <f>IF([1]Accounts!$D$181="","",[1]Accounts!$A$181)</f>
        <v/>
      </c>
      <c r="B180" t="str">
        <f>IF([1]Accounts!$D$181="","",[1]Accounts!$B$181)</f>
        <v/>
      </c>
      <c r="C180" t="str">
        <f>IF([1]Accounts!$D$181="","",[1]Accounts!$C$181)</f>
        <v/>
      </c>
      <c r="D180" t="str">
        <f>IF([1]Accounts!$D$181="","",[1]Accounts!$D$181)</f>
        <v/>
      </c>
      <c r="E180" t="str">
        <f>IF([1]Accounts!$D$181="","",[1]Accounts!$E$181)</f>
        <v/>
      </c>
      <c r="F180" t="str">
        <f>IF([1]Accounts!$D$181="","",[1]Accounts!$F$181)</f>
        <v/>
      </c>
      <c r="G180" t="str">
        <f>IF([1]Accounts!$D$181="","",[1]Accounts!$G$181)</f>
        <v/>
      </c>
      <c r="T180" t="str">
        <f>IF([2]Baskol!$B$183="","",[2]Baskol!$B$183)</f>
        <v>1405/07/27</v>
      </c>
      <c r="U180" t="str">
        <f>IF([2]Baskol!$C$183="","",[2]Baskol!$C$183)</f>
        <v/>
      </c>
      <c r="V180" t="str">
        <f>IF([2]Baskol!$D$183="","",[2]Baskol!$D$183)</f>
        <v/>
      </c>
      <c r="W180" t="str">
        <f>IF([2]Baskol!$E$183="","",[2]Baskol!$E$183)</f>
        <v>خرید مرکبات</v>
      </c>
      <c r="X180" t="str">
        <f>IF([2]Baskol!$G$183="","",[2]Baskol!$G$183)</f>
        <v>c048</v>
      </c>
      <c r="Y180" t="str">
        <f>IF([2]Baskol!$I$183="","",[2]Baskol!$I$183)</f>
        <v/>
      </c>
      <c r="Z180" t="str">
        <f>IF([2]Baskol!$J$183="","",[2]Baskol!$J$183)</f>
        <v>نارنگی</v>
      </c>
      <c r="AA180">
        <f>IF([2]Baskol!$K$183="","",[2]Baskol!$K$183)</f>
        <v>855</v>
      </c>
      <c r="AB180">
        <f>IF([2]Baskol!$L$183="","",[2]Baskol!$L$183)</f>
        <v>47</v>
      </c>
      <c r="AC180" t="str">
        <f>IF([2]Baskol!$N$183="","",[2]Baskol!$N$183)</f>
        <v/>
      </c>
      <c r="AD180" t="str">
        <f>IF([2]Baskol!$O$183="","",[2]Baskol!$O$183)</f>
        <v/>
      </c>
      <c r="AE180" t="str">
        <f>IF([3]Entry!$C$183="","",[3]Entry!$C$183)</f>
        <v/>
      </c>
      <c r="AF180" t="str">
        <f>IF([3]Entry!$D$183="","",[3]Entry!$D$183)</f>
        <v/>
      </c>
      <c r="AG180" t="str">
        <f>IF([3]Entry!$E$183="","",[3]Entry!$E$183)</f>
        <v/>
      </c>
      <c r="AH180" t="str">
        <f>IF([3]Entry!$G$183="","",[3]Entry!$G$183)</f>
        <v/>
      </c>
      <c r="AI180" t="str">
        <f>IF([3]Entry!$K$183="","",[3]Entry!$K$183)</f>
        <v/>
      </c>
      <c r="AJ180" t="str">
        <f>IF([3]Entry!$L$183="","",[3]Entry!$L$183)</f>
        <v/>
      </c>
      <c r="AK180" t="str">
        <f>IF([3]Entry!$M$183="","",[3]Entry!$M$183)</f>
        <v/>
      </c>
      <c r="AL180" t="str">
        <f>IF([3]Entry!$N$183="","",[3]Entry!$N$183)</f>
        <v/>
      </c>
      <c r="AM180" t="str">
        <f>IF([3]Entry!$R$183="","",[3]Entry!$R$183)</f>
        <v/>
      </c>
    </row>
    <row r="181" spans="1:39" x14ac:dyDescent="0.2">
      <c r="A181" t="str">
        <f>IF([1]Accounts!$D$182="","",[1]Accounts!$A$182)</f>
        <v/>
      </c>
      <c r="B181" t="str">
        <f>IF([1]Accounts!$D$182="","",[1]Accounts!$B$182)</f>
        <v/>
      </c>
      <c r="C181" t="str">
        <f>IF([1]Accounts!$D$182="","",[1]Accounts!$C$182)</f>
        <v/>
      </c>
      <c r="D181" t="str">
        <f>IF([1]Accounts!$D$182="","",[1]Accounts!$D$182)</f>
        <v/>
      </c>
      <c r="E181" t="str">
        <f>IF([1]Accounts!$D$182="","",[1]Accounts!$E$182)</f>
        <v/>
      </c>
      <c r="F181" t="str">
        <f>IF([1]Accounts!$D$182="","",[1]Accounts!$F$182)</f>
        <v/>
      </c>
      <c r="G181" t="str">
        <f>IF([1]Accounts!$D$182="","",[1]Accounts!$G$182)</f>
        <v/>
      </c>
      <c r="T181" t="str">
        <f>IF([2]Baskol!$B$184="","",[2]Baskol!$B$184)</f>
        <v>1405/07/27</v>
      </c>
      <c r="U181" t="str">
        <f>IF([2]Baskol!$C$184="","",[2]Baskol!$C$184)</f>
        <v/>
      </c>
      <c r="V181" t="str">
        <f>IF([2]Baskol!$D$184="","",[2]Baskol!$D$184)</f>
        <v/>
      </c>
      <c r="W181" t="str">
        <f>IF([2]Baskol!$E$184="","",[2]Baskol!$E$184)</f>
        <v>خرید مرکبات</v>
      </c>
      <c r="X181" t="str">
        <f>IF([2]Baskol!$G$184="","",[2]Baskol!$G$184)</f>
        <v>c034</v>
      </c>
      <c r="Y181" t="str">
        <f>IF([2]Baskol!$I$184="","",[2]Baskol!$I$184)</f>
        <v/>
      </c>
      <c r="Z181" t="str">
        <f>IF([2]Baskol!$J$184="","",[2]Baskol!$J$184)</f>
        <v/>
      </c>
      <c r="AA181">
        <f>IF([2]Baskol!$K$184="","",[2]Baskol!$K$184)</f>
        <v>1075</v>
      </c>
      <c r="AB181">
        <f>IF([2]Baskol!$L$184="","",[2]Baskol!$L$184)</f>
        <v>56</v>
      </c>
      <c r="AC181" t="str">
        <f>IF([2]Baskol!$N$184="","",[2]Baskol!$N$184)</f>
        <v/>
      </c>
      <c r="AD181" t="str">
        <f>IF([2]Baskol!$O$184="","",[2]Baskol!$O$184)</f>
        <v/>
      </c>
      <c r="AE181" t="str">
        <f>IF([3]Entry!$C$184="","",[3]Entry!$C$184)</f>
        <v/>
      </c>
      <c r="AF181" t="str">
        <f>IF([3]Entry!$D$184="","",[3]Entry!$D$184)</f>
        <v/>
      </c>
      <c r="AG181" t="str">
        <f>IF([3]Entry!$E$184="","",[3]Entry!$E$184)</f>
        <v/>
      </c>
      <c r="AH181" t="str">
        <f>IF([3]Entry!$G$184="","",[3]Entry!$G$184)</f>
        <v/>
      </c>
      <c r="AI181" t="str">
        <f>IF([3]Entry!$K$184="","",[3]Entry!$K$184)</f>
        <v/>
      </c>
      <c r="AJ181" t="str">
        <f>IF([3]Entry!$L$184="","",[3]Entry!$L$184)</f>
        <v/>
      </c>
      <c r="AK181" t="str">
        <f>IF([3]Entry!$M$184="","",[3]Entry!$M$184)</f>
        <v/>
      </c>
      <c r="AL181" t="str">
        <f>IF([3]Entry!$N$184="","",[3]Entry!$N$184)</f>
        <v/>
      </c>
      <c r="AM181" t="str">
        <f>IF([3]Entry!$R$184="","",[3]Entry!$R$184)</f>
        <v/>
      </c>
    </row>
    <row r="182" spans="1:39" x14ac:dyDescent="0.2">
      <c r="A182" t="str">
        <f>IF([1]Accounts!$D$183="","",[1]Accounts!$A$183)</f>
        <v/>
      </c>
      <c r="B182" t="str">
        <f>IF([1]Accounts!$D$183="","",[1]Accounts!$B$183)</f>
        <v/>
      </c>
      <c r="C182" t="str">
        <f>IF([1]Accounts!$D$183="","",[1]Accounts!$C$183)</f>
        <v/>
      </c>
      <c r="D182" t="str">
        <f>IF([1]Accounts!$D$183="","",[1]Accounts!$D$183)</f>
        <v/>
      </c>
      <c r="E182" t="str">
        <f>IF([1]Accounts!$D$183="","",[1]Accounts!$E$183)</f>
        <v/>
      </c>
      <c r="F182" t="str">
        <f>IF([1]Accounts!$D$183="","",[1]Accounts!$F$183)</f>
        <v/>
      </c>
      <c r="G182" t="str">
        <f>IF([1]Accounts!$D$183="","",[1]Accounts!$G$183)</f>
        <v/>
      </c>
      <c r="T182" t="str">
        <f>IF([2]Baskol!$B$185="","",[2]Baskol!$B$185)</f>
        <v>1405/07/27</v>
      </c>
      <c r="U182" t="str">
        <f>IF([2]Baskol!$C$185="","",[2]Baskol!$C$185)</f>
        <v/>
      </c>
      <c r="V182" t="str">
        <f>IF([2]Baskol!$D$185="","",[2]Baskol!$D$185)</f>
        <v/>
      </c>
      <c r="W182" t="str">
        <f>IF([2]Baskol!$E$185="","",[2]Baskol!$E$185)</f>
        <v>خرید مرکبات</v>
      </c>
      <c r="X182" t="str">
        <f>IF([2]Baskol!$G$185="","",[2]Baskol!$G$185)</f>
        <v>c041</v>
      </c>
      <c r="Y182" t="str">
        <f>IF([2]Baskol!$I$185="","",[2]Baskol!$I$185)</f>
        <v/>
      </c>
      <c r="Z182" t="str">
        <f>IF([2]Baskol!$J$185="","",[2]Baskol!$J$185)</f>
        <v/>
      </c>
      <c r="AA182">
        <f>IF([2]Baskol!$K$185="","",[2]Baskol!$K$185)</f>
        <v>380</v>
      </c>
      <c r="AB182">
        <f>IF([2]Baskol!$L$185="","",[2]Baskol!$L$185)</f>
        <v>21</v>
      </c>
      <c r="AC182" t="str">
        <f>IF([2]Baskol!$N$185="","",[2]Baskol!$N$185)</f>
        <v/>
      </c>
      <c r="AD182" t="str">
        <f>IF([2]Baskol!$O$185="","",[2]Baskol!$O$185)</f>
        <v/>
      </c>
      <c r="AE182" t="str">
        <f>IF([3]Entry!$C$185="","",[3]Entry!$C$185)</f>
        <v/>
      </c>
      <c r="AF182" t="str">
        <f>IF([3]Entry!$D$185="","",[3]Entry!$D$185)</f>
        <v/>
      </c>
      <c r="AG182" t="str">
        <f>IF([3]Entry!$E$185="","",[3]Entry!$E$185)</f>
        <v/>
      </c>
      <c r="AH182" t="str">
        <f>IF([3]Entry!$G$185="","",[3]Entry!$G$185)</f>
        <v/>
      </c>
      <c r="AI182" t="str">
        <f>IF([3]Entry!$K$185="","",[3]Entry!$K$185)</f>
        <v/>
      </c>
      <c r="AJ182" t="str">
        <f>IF([3]Entry!$L$185="","",[3]Entry!$L$185)</f>
        <v/>
      </c>
      <c r="AK182" t="str">
        <f>IF([3]Entry!$M$185="","",[3]Entry!$M$185)</f>
        <v/>
      </c>
      <c r="AL182" t="str">
        <f>IF([3]Entry!$N$185="","",[3]Entry!$N$185)</f>
        <v/>
      </c>
      <c r="AM182" t="str">
        <f>IF([3]Entry!$R$185="","",[3]Entry!$R$185)</f>
        <v/>
      </c>
    </row>
    <row r="183" spans="1:39" x14ac:dyDescent="0.2">
      <c r="A183" t="str">
        <f>IF([1]Accounts!$D$184="","",[1]Accounts!$A$184)</f>
        <v/>
      </c>
      <c r="B183" t="str">
        <f>IF([1]Accounts!$D$184="","",[1]Accounts!$B$184)</f>
        <v/>
      </c>
      <c r="C183" t="str">
        <f>IF([1]Accounts!$D$184="","",[1]Accounts!$C$184)</f>
        <v/>
      </c>
      <c r="D183" t="str">
        <f>IF([1]Accounts!$D$184="","",[1]Accounts!$D$184)</f>
        <v/>
      </c>
      <c r="E183" t="str">
        <f>IF([1]Accounts!$D$184="","",[1]Accounts!$E$184)</f>
        <v/>
      </c>
      <c r="F183" t="str">
        <f>IF([1]Accounts!$D$184="","",[1]Accounts!$F$184)</f>
        <v/>
      </c>
      <c r="G183" t="str">
        <f>IF([1]Accounts!$D$184="","",[1]Accounts!$G$184)</f>
        <v/>
      </c>
      <c r="T183" t="str">
        <f>IF([2]Baskol!$B$186="","",[2]Baskol!$B$186)</f>
        <v>1405/07/28</v>
      </c>
      <c r="U183" t="str">
        <f>IF([2]Baskol!$C$186="","",[2]Baskol!$C$186)</f>
        <v/>
      </c>
      <c r="V183" t="str">
        <f>IF([2]Baskol!$D$186="","",[2]Baskol!$D$186)</f>
        <v/>
      </c>
      <c r="W183" t="str">
        <f>IF([2]Baskol!$E$186="","",[2]Baskol!$E$186)</f>
        <v>خرید مرکبات</v>
      </c>
      <c r="X183" t="str">
        <f>IF([2]Baskol!$G$186="","",[2]Baskol!$G$186)</f>
        <v>c056</v>
      </c>
      <c r="Y183" t="str">
        <f>IF([2]Baskol!$I$186="","",[2]Baskol!$I$186)</f>
        <v/>
      </c>
      <c r="Z183" t="str">
        <f>IF([2]Baskol!$J$186="","",[2]Baskol!$J$186)</f>
        <v>خرمالو</v>
      </c>
      <c r="AA183">
        <f>IF([2]Baskol!$K$186="","",[2]Baskol!$K$186)</f>
        <v>185</v>
      </c>
      <c r="AB183">
        <f>IF([2]Baskol!$L$186="","",[2]Baskol!$L$186)</f>
        <v>11</v>
      </c>
      <c r="AC183" t="str">
        <f>IF([2]Baskol!$N$186="","",[2]Baskol!$N$186)</f>
        <v/>
      </c>
      <c r="AD183" t="str">
        <f>IF([2]Baskol!$O$186="","",[2]Baskol!$O$186)</f>
        <v/>
      </c>
      <c r="AE183" t="str">
        <f>IF([3]Entry!$C$186="","",[3]Entry!$C$186)</f>
        <v/>
      </c>
      <c r="AF183" t="str">
        <f>IF([3]Entry!$D$186="","",[3]Entry!$D$186)</f>
        <v/>
      </c>
      <c r="AG183" t="str">
        <f>IF([3]Entry!$E$186="","",[3]Entry!$E$186)</f>
        <v/>
      </c>
      <c r="AH183" t="str">
        <f>IF([3]Entry!$G$186="","",[3]Entry!$G$186)</f>
        <v/>
      </c>
      <c r="AI183" t="str">
        <f>IF([3]Entry!$K$186="","",[3]Entry!$K$186)</f>
        <v/>
      </c>
      <c r="AJ183" t="str">
        <f>IF([3]Entry!$L$186="","",[3]Entry!$L$186)</f>
        <v/>
      </c>
      <c r="AK183" t="str">
        <f>IF([3]Entry!$M$186="","",[3]Entry!$M$186)</f>
        <v/>
      </c>
      <c r="AL183" t="str">
        <f>IF([3]Entry!$N$186="","",[3]Entry!$N$186)</f>
        <v/>
      </c>
      <c r="AM183" t="str">
        <f>IF([3]Entry!$R$186="","",[3]Entry!$R$186)</f>
        <v/>
      </c>
    </row>
    <row r="184" spans="1:39" x14ac:dyDescent="0.2">
      <c r="A184" t="str">
        <f>IF([1]Accounts!$D$185="","",[1]Accounts!$A$185)</f>
        <v/>
      </c>
      <c r="B184" t="str">
        <f>IF([1]Accounts!$D$185="","",[1]Accounts!$B$185)</f>
        <v/>
      </c>
      <c r="C184" t="str">
        <f>IF([1]Accounts!$D$185="","",[1]Accounts!$C$185)</f>
        <v/>
      </c>
      <c r="D184" t="str">
        <f>IF([1]Accounts!$D$185="","",[1]Accounts!$D$185)</f>
        <v/>
      </c>
      <c r="E184" t="str">
        <f>IF([1]Accounts!$D$185="","",[1]Accounts!$E$185)</f>
        <v/>
      </c>
      <c r="F184" t="str">
        <f>IF([1]Accounts!$D$185="","",[1]Accounts!$F$185)</f>
        <v/>
      </c>
      <c r="G184" t="str">
        <f>IF([1]Accounts!$D$185="","",[1]Accounts!$G$185)</f>
        <v/>
      </c>
      <c r="T184" t="str">
        <f>IF([2]Baskol!$B$187="","",[2]Baskol!$B$187)</f>
        <v>1405/07/28</v>
      </c>
      <c r="U184" t="str">
        <f>IF([2]Baskol!$C$187="","",[2]Baskol!$C$187)</f>
        <v/>
      </c>
      <c r="V184" t="str">
        <f>IF([2]Baskol!$D$187="","",[2]Baskol!$D$187)</f>
        <v/>
      </c>
      <c r="W184" t="str">
        <f>IF([2]Baskol!$E$187="","",[2]Baskol!$E$187)</f>
        <v>خرید مرکبات</v>
      </c>
      <c r="X184" t="str">
        <f>IF([2]Baskol!$G$187="","",[2]Baskol!$G$187)</f>
        <v>c052</v>
      </c>
      <c r="Y184" t="str">
        <f>IF([2]Baskol!$I$187="","",[2]Baskol!$I$187)</f>
        <v/>
      </c>
      <c r="Z184" t="str">
        <f>IF([2]Baskol!$J$187="","",[2]Baskol!$J$187)</f>
        <v>نارنگی</v>
      </c>
      <c r="AA184">
        <f>IF([2]Baskol!$K$187="","",[2]Baskol!$K$187)</f>
        <v>2760</v>
      </c>
      <c r="AB184">
        <f>IF([2]Baskol!$L$187="","",[2]Baskol!$L$187)</f>
        <v>160</v>
      </c>
      <c r="AC184" t="str">
        <f>IF([2]Baskol!$N$187="","",[2]Baskol!$N$187)</f>
        <v/>
      </c>
      <c r="AD184" t="str">
        <f>IF([2]Baskol!$O$187="","",[2]Baskol!$O$187)</f>
        <v/>
      </c>
      <c r="AE184" t="str">
        <f>IF([3]Entry!$C$187="","",[3]Entry!$C$187)</f>
        <v/>
      </c>
      <c r="AF184" t="str">
        <f>IF([3]Entry!$D$187="","",[3]Entry!$D$187)</f>
        <v/>
      </c>
      <c r="AG184" t="str">
        <f>IF([3]Entry!$E$187="","",[3]Entry!$E$187)</f>
        <v/>
      </c>
      <c r="AH184" t="str">
        <f>IF([3]Entry!$G$187="","",[3]Entry!$G$187)</f>
        <v/>
      </c>
      <c r="AI184" t="str">
        <f>IF([3]Entry!$K$187="","",[3]Entry!$K$187)</f>
        <v/>
      </c>
      <c r="AJ184" t="str">
        <f>IF([3]Entry!$L$187="","",[3]Entry!$L$187)</f>
        <v/>
      </c>
      <c r="AK184" t="str">
        <f>IF([3]Entry!$M$187="","",[3]Entry!$M$187)</f>
        <v/>
      </c>
      <c r="AL184" t="str">
        <f>IF([3]Entry!$N$187="","",[3]Entry!$N$187)</f>
        <v/>
      </c>
      <c r="AM184" t="str">
        <f>IF([3]Entry!$R$187="","",[3]Entry!$R$187)</f>
        <v/>
      </c>
    </row>
    <row r="185" spans="1:39" x14ac:dyDescent="0.2">
      <c r="A185" t="str">
        <f>IF([1]Accounts!$D$186="","",[1]Accounts!$A$186)</f>
        <v/>
      </c>
      <c r="B185" t="str">
        <f>IF([1]Accounts!$D$186="","",[1]Accounts!$B$186)</f>
        <v/>
      </c>
      <c r="C185" t="str">
        <f>IF([1]Accounts!$D$186="","",[1]Accounts!$C$186)</f>
        <v/>
      </c>
      <c r="D185" t="str">
        <f>IF([1]Accounts!$D$186="","",[1]Accounts!$D$186)</f>
        <v/>
      </c>
      <c r="E185" t="str">
        <f>IF([1]Accounts!$D$186="","",[1]Accounts!$E$186)</f>
        <v/>
      </c>
      <c r="F185" t="str">
        <f>IF([1]Accounts!$D$186="","",[1]Accounts!$F$186)</f>
        <v/>
      </c>
      <c r="G185" t="str">
        <f>IF([1]Accounts!$D$186="","",[1]Accounts!$G$186)</f>
        <v/>
      </c>
      <c r="T185" t="str">
        <f>IF([2]Baskol!$B$188="","",[2]Baskol!$B$188)</f>
        <v>1405/07/28</v>
      </c>
      <c r="U185" t="str">
        <f>IF([2]Baskol!$C$188="","",[2]Baskol!$C$188)</f>
        <v/>
      </c>
      <c r="V185" t="str">
        <f>IF([2]Baskol!$D$188="","",[2]Baskol!$D$188)</f>
        <v/>
      </c>
      <c r="W185" t="str">
        <f>IF([2]Baskol!$E$188="","",[2]Baskol!$E$188)</f>
        <v>خرید مرکبات</v>
      </c>
      <c r="X185" t="str">
        <f>IF([2]Baskol!$G$188="","",[2]Baskol!$G$188)</f>
        <v>c052</v>
      </c>
      <c r="Y185" t="str">
        <f>IF([2]Baskol!$I$188="","",[2]Baskol!$I$188)</f>
        <v/>
      </c>
      <c r="Z185" t="str">
        <f>IF([2]Baskol!$J$188="","",[2]Baskol!$J$188)</f>
        <v>نارنگی</v>
      </c>
      <c r="AA185">
        <f>IF([2]Baskol!$K$188="","",[2]Baskol!$K$188)</f>
        <v>1315</v>
      </c>
      <c r="AB185">
        <f>IF([2]Baskol!$L$188="","",[2]Baskol!$L$188)</f>
        <v>79</v>
      </c>
      <c r="AC185" t="str">
        <f>IF([2]Baskol!$N$188="","",[2]Baskol!$N$188)</f>
        <v/>
      </c>
      <c r="AD185" t="str">
        <f>IF([2]Baskol!$O$188="","",[2]Baskol!$O$188)</f>
        <v/>
      </c>
      <c r="AE185" t="str">
        <f>IF([3]Entry!$C$188="","",[3]Entry!$C$188)</f>
        <v/>
      </c>
      <c r="AF185" t="str">
        <f>IF([3]Entry!$D$188="","",[3]Entry!$D$188)</f>
        <v/>
      </c>
      <c r="AG185" t="str">
        <f>IF([3]Entry!$E$188="","",[3]Entry!$E$188)</f>
        <v/>
      </c>
      <c r="AH185" t="str">
        <f>IF([3]Entry!$G$188="","",[3]Entry!$G$188)</f>
        <v/>
      </c>
      <c r="AI185" t="str">
        <f>IF([3]Entry!$K$188="","",[3]Entry!$K$188)</f>
        <v/>
      </c>
      <c r="AJ185" t="str">
        <f>IF([3]Entry!$L$188="","",[3]Entry!$L$188)</f>
        <v/>
      </c>
      <c r="AK185" t="str">
        <f>IF([3]Entry!$M$188="","",[3]Entry!$M$188)</f>
        <v/>
      </c>
      <c r="AL185" t="str">
        <f>IF([3]Entry!$N$188="","",[3]Entry!$N$188)</f>
        <v/>
      </c>
      <c r="AM185" t="str">
        <f>IF([3]Entry!$R$188="","",[3]Entry!$R$188)</f>
        <v/>
      </c>
    </row>
    <row r="186" spans="1:39" x14ac:dyDescent="0.2">
      <c r="A186" t="str">
        <f>IF([1]Accounts!$D$187="","",[1]Accounts!$A$187)</f>
        <v/>
      </c>
      <c r="B186" t="str">
        <f>IF([1]Accounts!$D$187="","",[1]Accounts!$B$187)</f>
        <v/>
      </c>
      <c r="C186" t="str">
        <f>IF([1]Accounts!$D$187="","",[1]Accounts!$C$187)</f>
        <v/>
      </c>
      <c r="D186" t="str">
        <f>IF([1]Accounts!$D$187="","",[1]Accounts!$D$187)</f>
        <v/>
      </c>
      <c r="E186" t="str">
        <f>IF([1]Accounts!$D$187="","",[1]Accounts!$E$187)</f>
        <v/>
      </c>
      <c r="F186" t="str">
        <f>IF([1]Accounts!$D$187="","",[1]Accounts!$F$187)</f>
        <v/>
      </c>
      <c r="G186" t="str">
        <f>IF([1]Accounts!$D$187="","",[1]Accounts!$G$187)</f>
        <v/>
      </c>
      <c r="T186" t="str">
        <f>IF([2]Baskol!$B$189="","",[2]Baskol!$B$189)</f>
        <v>1405/07/28</v>
      </c>
      <c r="U186" t="str">
        <f>IF([2]Baskol!$C$189="","",[2]Baskol!$C$189)</f>
        <v/>
      </c>
      <c r="V186" t="str">
        <f>IF([2]Baskol!$D$189="","",[2]Baskol!$D$189)</f>
        <v/>
      </c>
      <c r="W186" t="str">
        <f>IF([2]Baskol!$E$189="","",[2]Baskol!$E$189)</f>
        <v>فروش</v>
      </c>
      <c r="X186" t="str">
        <f>IF([2]Baskol!$G$189="","",[2]Baskol!$G$189)</f>
        <v>SL004</v>
      </c>
      <c r="Y186" t="str">
        <f>IF([2]Baskol!$I$189="","",[2]Baskol!$I$189)</f>
        <v/>
      </c>
      <c r="Z186" t="str">
        <f>IF([2]Baskol!$J$189="","",[2]Baskol!$J$189)</f>
        <v/>
      </c>
      <c r="AA186">
        <f>IF([2]Baskol!$K$189="","",[2]Baskol!$K$189)</f>
        <v>4545</v>
      </c>
      <c r="AB186" t="str">
        <f>IF([2]Baskol!$L$189="","",[2]Baskol!$L$189)</f>
        <v/>
      </c>
      <c r="AC186" t="str">
        <f>IF([2]Baskol!$N$189="","",[2]Baskol!$N$189)</f>
        <v/>
      </c>
      <c r="AD186" t="str">
        <f>IF([2]Baskol!$O$189="","",[2]Baskol!$O$189)</f>
        <v/>
      </c>
      <c r="AE186" t="str">
        <f>IF([3]Entry!$C$189="","",[3]Entry!$C$189)</f>
        <v/>
      </c>
      <c r="AF186" t="str">
        <f>IF([3]Entry!$D$189="","",[3]Entry!$D$189)</f>
        <v/>
      </c>
      <c r="AG186" t="str">
        <f>IF([3]Entry!$E$189="","",[3]Entry!$E$189)</f>
        <v/>
      </c>
      <c r="AH186" t="str">
        <f>IF([3]Entry!$G$189="","",[3]Entry!$G$189)</f>
        <v/>
      </c>
      <c r="AI186" t="str">
        <f>IF([3]Entry!$K$189="","",[3]Entry!$K$189)</f>
        <v/>
      </c>
      <c r="AJ186" t="str">
        <f>IF([3]Entry!$L$189="","",[3]Entry!$L$189)</f>
        <v/>
      </c>
      <c r="AK186" t="str">
        <f>IF([3]Entry!$M$189="","",[3]Entry!$M$189)</f>
        <v/>
      </c>
      <c r="AL186" t="str">
        <f>IF([3]Entry!$N$189="","",[3]Entry!$N$189)</f>
        <v/>
      </c>
      <c r="AM186" t="str">
        <f>IF([3]Entry!$R$189="","",[3]Entry!$R$189)</f>
        <v/>
      </c>
    </row>
    <row r="187" spans="1:39" x14ac:dyDescent="0.2">
      <c r="A187" t="str">
        <f>IF([1]Accounts!$D$188="","",[1]Accounts!$A$188)</f>
        <v/>
      </c>
      <c r="B187" t="str">
        <f>IF([1]Accounts!$D$188="","",[1]Accounts!$B$188)</f>
        <v/>
      </c>
      <c r="C187" t="str">
        <f>IF([1]Accounts!$D$188="","",[1]Accounts!$C$188)</f>
        <v/>
      </c>
      <c r="D187" t="str">
        <f>IF([1]Accounts!$D$188="","",[1]Accounts!$D$188)</f>
        <v/>
      </c>
      <c r="E187" t="str">
        <f>IF([1]Accounts!$D$188="","",[1]Accounts!$E$188)</f>
        <v/>
      </c>
      <c r="F187" t="str">
        <f>IF([1]Accounts!$D$188="","",[1]Accounts!$F$188)</f>
        <v/>
      </c>
      <c r="G187" t="str">
        <f>IF([1]Accounts!$D$188="","",[1]Accounts!$G$188)</f>
        <v/>
      </c>
      <c r="T187" t="str">
        <f>IF([2]Baskol!$B$190="","",[2]Baskol!$B$190)</f>
        <v>1405/07/28</v>
      </c>
      <c r="U187" t="str">
        <f>IF([2]Baskol!$C$190="","",[2]Baskol!$C$190)</f>
        <v/>
      </c>
      <c r="V187" t="str">
        <f>IF([2]Baskol!$D$190="","",[2]Baskol!$D$190)</f>
        <v/>
      </c>
      <c r="W187" t="str">
        <f>IF([2]Baskol!$E$190="","",[2]Baskol!$E$190)</f>
        <v>فروش</v>
      </c>
      <c r="X187" t="str">
        <f>IF([2]Baskol!$G$190="","",[2]Baskol!$G$190)</f>
        <v>SL003</v>
      </c>
      <c r="Y187" t="str">
        <f>IF([2]Baskol!$I$190="","",[2]Baskol!$I$190)</f>
        <v/>
      </c>
      <c r="Z187" t="str">
        <f>IF([2]Baskol!$J$190="","",[2]Baskol!$J$190)</f>
        <v/>
      </c>
      <c r="AA187">
        <f>IF([2]Baskol!$K$190="","",[2]Baskol!$K$190)</f>
        <v>2995</v>
      </c>
      <c r="AB187" t="str">
        <f>IF([2]Baskol!$L$190="","",[2]Baskol!$L$190)</f>
        <v/>
      </c>
      <c r="AC187" t="str">
        <f>IF([2]Baskol!$N$190="","",[2]Baskol!$N$190)</f>
        <v/>
      </c>
      <c r="AD187" t="str">
        <f>IF([2]Baskol!$O$190="","",[2]Baskol!$O$190)</f>
        <v/>
      </c>
      <c r="AE187" t="str">
        <f>IF([3]Entry!$C$190="","",[3]Entry!$C$190)</f>
        <v/>
      </c>
      <c r="AF187" t="str">
        <f>IF([3]Entry!$D$190="","",[3]Entry!$D$190)</f>
        <v/>
      </c>
      <c r="AG187" t="str">
        <f>IF([3]Entry!$E$190="","",[3]Entry!$E$190)</f>
        <v/>
      </c>
      <c r="AH187" t="str">
        <f>IF([3]Entry!$G$190="","",[3]Entry!$G$190)</f>
        <v/>
      </c>
      <c r="AI187" t="str">
        <f>IF([3]Entry!$K$190="","",[3]Entry!$K$190)</f>
        <v/>
      </c>
      <c r="AJ187" t="str">
        <f>IF([3]Entry!$L$190="","",[3]Entry!$L$190)</f>
        <v/>
      </c>
      <c r="AK187" t="str">
        <f>IF([3]Entry!$M$190="","",[3]Entry!$M$190)</f>
        <v/>
      </c>
      <c r="AL187" t="str">
        <f>IF([3]Entry!$N$190="","",[3]Entry!$N$190)</f>
        <v/>
      </c>
      <c r="AM187" t="str">
        <f>IF([3]Entry!$R$190="","",[3]Entry!$R$190)</f>
        <v/>
      </c>
    </row>
    <row r="188" spans="1:39" x14ac:dyDescent="0.2">
      <c r="A188" t="str">
        <f>IF([1]Accounts!$D$189="","",[1]Accounts!$A$189)</f>
        <v/>
      </c>
      <c r="B188" t="str">
        <f>IF([1]Accounts!$D$189="","",[1]Accounts!$B$189)</f>
        <v/>
      </c>
      <c r="C188" t="str">
        <f>IF([1]Accounts!$D$189="","",[1]Accounts!$C$189)</f>
        <v/>
      </c>
      <c r="D188" t="str">
        <f>IF([1]Accounts!$D$189="","",[1]Accounts!$D$189)</f>
        <v/>
      </c>
      <c r="E188" t="str">
        <f>IF([1]Accounts!$D$189="","",[1]Accounts!$E$189)</f>
        <v/>
      </c>
      <c r="F188" t="str">
        <f>IF([1]Accounts!$D$189="","",[1]Accounts!$F$189)</f>
        <v/>
      </c>
      <c r="G188" t="str">
        <f>IF([1]Accounts!$D$189="","",[1]Accounts!$G$189)</f>
        <v/>
      </c>
      <c r="T188" t="str">
        <f>IF([2]Baskol!$B$191="","",[2]Baskol!$B$191)</f>
        <v>1405/07/28</v>
      </c>
      <c r="U188" t="str">
        <f>IF([2]Baskol!$C$191="","",[2]Baskol!$C$191)</f>
        <v/>
      </c>
      <c r="V188" t="str">
        <f>IF([2]Baskol!$D$191="","",[2]Baskol!$D$191)</f>
        <v/>
      </c>
      <c r="W188" t="str">
        <f>IF([2]Baskol!$E$191="","",[2]Baskol!$E$191)</f>
        <v>خرید مرکبات</v>
      </c>
      <c r="X188" t="str">
        <f>IF([2]Baskol!$G$191="","",[2]Baskol!$G$191)</f>
        <v>c052</v>
      </c>
      <c r="Y188" t="str">
        <f>IF([2]Baskol!$I$191="","",[2]Baskol!$I$191)</f>
        <v/>
      </c>
      <c r="Z188" t="str">
        <f>IF([2]Baskol!$J$191="","",[2]Baskol!$J$191)</f>
        <v>نارنگی</v>
      </c>
      <c r="AA188">
        <f>IF([2]Baskol!$K$191="","",[2]Baskol!$K$191)</f>
        <v>3070</v>
      </c>
      <c r="AB188">
        <f>IF([2]Baskol!$L$191="","",[2]Baskol!$L$191)</f>
        <v>170</v>
      </c>
      <c r="AC188" t="str">
        <f>IF([2]Baskol!$N$191="","",[2]Baskol!$N$191)</f>
        <v/>
      </c>
      <c r="AD188" t="str">
        <f>IF([2]Baskol!$O$191="","",[2]Baskol!$O$191)</f>
        <v/>
      </c>
      <c r="AE188" t="str">
        <f>IF([3]Entry!$C$191="","",[3]Entry!$C$191)</f>
        <v/>
      </c>
      <c r="AF188" t="str">
        <f>IF([3]Entry!$D$191="","",[3]Entry!$D$191)</f>
        <v/>
      </c>
      <c r="AG188" t="str">
        <f>IF([3]Entry!$E$191="","",[3]Entry!$E$191)</f>
        <v/>
      </c>
      <c r="AH188" t="str">
        <f>IF([3]Entry!$G$191="","",[3]Entry!$G$191)</f>
        <v/>
      </c>
      <c r="AI188" t="str">
        <f>IF([3]Entry!$K$191="","",[3]Entry!$K$191)</f>
        <v/>
      </c>
      <c r="AJ188" t="str">
        <f>IF([3]Entry!$L$191="","",[3]Entry!$L$191)</f>
        <v/>
      </c>
      <c r="AK188" t="str">
        <f>IF([3]Entry!$M$191="","",[3]Entry!$M$191)</f>
        <v/>
      </c>
      <c r="AL188" t="str">
        <f>IF([3]Entry!$N$191="","",[3]Entry!$N$191)</f>
        <v/>
      </c>
      <c r="AM188" t="str">
        <f>IF([3]Entry!$R$191="","",[3]Entry!$R$191)</f>
        <v/>
      </c>
    </row>
    <row r="189" spans="1:39" x14ac:dyDescent="0.2">
      <c r="A189" t="str">
        <f>IF([1]Accounts!$D$190="","",[1]Accounts!$A$190)</f>
        <v/>
      </c>
      <c r="B189" t="str">
        <f>IF([1]Accounts!$D$190="","",[1]Accounts!$B$190)</f>
        <v/>
      </c>
      <c r="C189" t="str">
        <f>IF([1]Accounts!$D$190="","",[1]Accounts!$C$190)</f>
        <v/>
      </c>
      <c r="D189" t="str">
        <f>IF([1]Accounts!$D$190="","",[1]Accounts!$D$190)</f>
        <v/>
      </c>
      <c r="E189" t="str">
        <f>IF([1]Accounts!$D$190="","",[1]Accounts!$E$190)</f>
        <v/>
      </c>
      <c r="F189" t="str">
        <f>IF([1]Accounts!$D$190="","",[1]Accounts!$F$190)</f>
        <v/>
      </c>
      <c r="G189" t="str">
        <f>IF([1]Accounts!$D$190="","",[1]Accounts!$G$190)</f>
        <v/>
      </c>
      <c r="T189" t="str">
        <f>IF([2]Baskol!$B$192="","",[2]Baskol!$B$192)</f>
        <v>1405/07/28</v>
      </c>
      <c r="U189" t="str">
        <f>IF([2]Baskol!$C$192="","",[2]Baskol!$C$192)</f>
        <v/>
      </c>
      <c r="V189" t="str">
        <f>IF([2]Baskol!$D$192="","",[2]Baskol!$D$192)</f>
        <v/>
      </c>
      <c r="W189" t="str">
        <f>IF([2]Baskol!$E$192="","",[2]Baskol!$E$192)</f>
        <v>خرید مرکبات</v>
      </c>
      <c r="X189" t="str">
        <f>IF([2]Baskol!$G$192="","",[2]Baskol!$G$192)</f>
        <v>c050</v>
      </c>
      <c r="Y189" t="str">
        <f>IF([2]Baskol!$I$192="","",[2]Baskol!$I$192)</f>
        <v/>
      </c>
      <c r="Z189" t="str">
        <f>IF([2]Baskol!$J$192="","",[2]Baskol!$J$192)</f>
        <v>خرمالو</v>
      </c>
      <c r="AA189">
        <f>IF([2]Baskol!$K$192="","",[2]Baskol!$K$192)</f>
        <v>420</v>
      </c>
      <c r="AB189">
        <f>IF([2]Baskol!$L$192="","",[2]Baskol!$L$192)</f>
        <v>37</v>
      </c>
      <c r="AC189" t="str">
        <f>IF([2]Baskol!$N$192="","",[2]Baskol!$N$192)</f>
        <v/>
      </c>
      <c r="AD189" t="str">
        <f>IF([2]Baskol!$O$192="","",[2]Baskol!$O$192)</f>
        <v/>
      </c>
      <c r="AE189" t="str">
        <f>IF([3]Entry!$C$192="","",[3]Entry!$C$192)</f>
        <v/>
      </c>
      <c r="AF189" t="str">
        <f>IF([3]Entry!$D$192="","",[3]Entry!$D$192)</f>
        <v/>
      </c>
      <c r="AG189" t="str">
        <f>IF([3]Entry!$E$192="","",[3]Entry!$E$192)</f>
        <v/>
      </c>
      <c r="AH189" t="str">
        <f>IF([3]Entry!$G$192="","",[3]Entry!$G$192)</f>
        <v/>
      </c>
      <c r="AI189" t="str">
        <f>IF([3]Entry!$K$192="","",[3]Entry!$K$192)</f>
        <v/>
      </c>
      <c r="AJ189" t="str">
        <f>IF([3]Entry!$L$192="","",[3]Entry!$L$192)</f>
        <v/>
      </c>
      <c r="AK189" t="str">
        <f>IF([3]Entry!$M$192="","",[3]Entry!$M$192)</f>
        <v/>
      </c>
      <c r="AL189" t="str">
        <f>IF([3]Entry!$N$192="","",[3]Entry!$N$192)</f>
        <v/>
      </c>
      <c r="AM189" t="str">
        <f>IF([3]Entry!$R$192="","",[3]Entry!$R$192)</f>
        <v/>
      </c>
    </row>
    <row r="190" spans="1:39" x14ac:dyDescent="0.2">
      <c r="A190" t="str">
        <f>IF([1]Accounts!$D$191="","",[1]Accounts!$A$191)</f>
        <v/>
      </c>
      <c r="B190" t="str">
        <f>IF([1]Accounts!$D$191="","",[1]Accounts!$B$191)</f>
        <v/>
      </c>
      <c r="C190" t="str">
        <f>IF([1]Accounts!$D$191="","",[1]Accounts!$C$191)</f>
        <v/>
      </c>
      <c r="D190" t="str">
        <f>IF([1]Accounts!$D$191="","",[1]Accounts!$D$191)</f>
        <v/>
      </c>
      <c r="E190" t="str">
        <f>IF([1]Accounts!$D$191="","",[1]Accounts!$E$191)</f>
        <v/>
      </c>
      <c r="F190" t="str">
        <f>IF([1]Accounts!$D$191="","",[1]Accounts!$F$191)</f>
        <v/>
      </c>
      <c r="G190" t="str">
        <f>IF([1]Accounts!$D$191="","",[1]Accounts!$G$191)</f>
        <v/>
      </c>
      <c r="T190" t="str">
        <f>IF([2]Baskol!$B$193="","",[2]Baskol!$B$193)</f>
        <v>1405/07/28</v>
      </c>
      <c r="U190" t="str">
        <f>IF([2]Baskol!$C$193="","",[2]Baskol!$C$193)</f>
        <v/>
      </c>
      <c r="V190" t="str">
        <f>IF([2]Baskol!$D$193="","",[2]Baskol!$D$193)</f>
        <v/>
      </c>
      <c r="W190" t="str">
        <f>IF([2]Baskol!$E$193="","",[2]Baskol!$E$193)</f>
        <v>خرید مرکبات</v>
      </c>
      <c r="X190" t="str">
        <f>IF([2]Baskol!$G$193="","",[2]Baskol!$G$193)</f>
        <v>c057</v>
      </c>
      <c r="Y190" t="str">
        <f>IF([2]Baskol!$I$193="","",[2]Baskol!$I$193)</f>
        <v/>
      </c>
      <c r="Z190" t="str">
        <f>IF([2]Baskol!$J$193="","",[2]Baskol!$J$193)</f>
        <v>خرمالو</v>
      </c>
      <c r="AA190">
        <f>IF([2]Baskol!$K$193="","",[2]Baskol!$K$193)</f>
        <v>1275</v>
      </c>
      <c r="AB190">
        <f>IF([2]Baskol!$L$193="","",[2]Baskol!$L$193)</f>
        <v>74</v>
      </c>
      <c r="AC190" t="str">
        <f>IF([2]Baskol!$N$193="","",[2]Baskol!$N$193)</f>
        <v/>
      </c>
      <c r="AD190" t="str">
        <f>IF([2]Baskol!$O$193="","",[2]Baskol!$O$193)</f>
        <v/>
      </c>
      <c r="AE190" t="str">
        <f>IF([3]Entry!$C$193="","",[3]Entry!$C$193)</f>
        <v/>
      </c>
      <c r="AF190" t="str">
        <f>IF([3]Entry!$D$193="","",[3]Entry!$D$193)</f>
        <v/>
      </c>
      <c r="AG190" t="str">
        <f>IF([3]Entry!$E$193="","",[3]Entry!$E$193)</f>
        <v/>
      </c>
      <c r="AH190" t="str">
        <f>IF([3]Entry!$G$193="","",[3]Entry!$G$193)</f>
        <v/>
      </c>
      <c r="AI190" t="str">
        <f>IF([3]Entry!$K$193="","",[3]Entry!$K$193)</f>
        <v/>
      </c>
      <c r="AJ190" t="str">
        <f>IF([3]Entry!$L$193="","",[3]Entry!$L$193)</f>
        <v/>
      </c>
      <c r="AK190" t="str">
        <f>IF([3]Entry!$M$193="","",[3]Entry!$M$193)</f>
        <v/>
      </c>
      <c r="AL190" t="str">
        <f>IF([3]Entry!$N$193="","",[3]Entry!$N$193)</f>
        <v/>
      </c>
      <c r="AM190" t="str">
        <f>IF([3]Entry!$R$193="","",[3]Entry!$R$193)</f>
        <v/>
      </c>
    </row>
    <row r="191" spans="1:39" x14ac:dyDescent="0.2">
      <c r="A191" t="str">
        <f>IF([1]Accounts!$D$192="","",[1]Accounts!$A$192)</f>
        <v/>
      </c>
      <c r="B191" t="str">
        <f>IF([1]Accounts!$D$192="","",[1]Accounts!$B$192)</f>
        <v/>
      </c>
      <c r="C191" t="str">
        <f>IF([1]Accounts!$D$192="","",[1]Accounts!$C$192)</f>
        <v/>
      </c>
      <c r="D191" t="str">
        <f>IF([1]Accounts!$D$192="","",[1]Accounts!$D$192)</f>
        <v/>
      </c>
      <c r="E191" t="str">
        <f>IF([1]Accounts!$D$192="","",[1]Accounts!$E$192)</f>
        <v/>
      </c>
      <c r="F191" t="str">
        <f>IF([1]Accounts!$D$192="","",[1]Accounts!$F$192)</f>
        <v/>
      </c>
      <c r="G191" t="str">
        <f>IF([1]Accounts!$D$192="","",[1]Accounts!$G$192)</f>
        <v/>
      </c>
      <c r="T191" t="str">
        <f>IF([2]Baskol!$B$194="","",[2]Baskol!$B$194)</f>
        <v>1405/07/28</v>
      </c>
      <c r="U191" t="str">
        <f>IF([2]Baskol!$C$194="","",[2]Baskol!$C$194)</f>
        <v/>
      </c>
      <c r="V191" t="str">
        <f>IF([2]Baskol!$D$194="","",[2]Baskol!$D$194)</f>
        <v/>
      </c>
      <c r="W191" t="str">
        <f>IF([2]Baskol!$E$194="","",[2]Baskol!$E$194)</f>
        <v>خرید مرکبات</v>
      </c>
      <c r="X191" t="str">
        <f>IF([2]Baskol!$G$194="","",[2]Baskol!$G$194)</f>
        <v>c027</v>
      </c>
      <c r="Y191" t="str">
        <f>IF([2]Baskol!$I$194="","",[2]Baskol!$I$194)</f>
        <v/>
      </c>
      <c r="Z191" t="str">
        <f>IF([2]Baskol!$J$194="","",[2]Baskol!$J$194)</f>
        <v>خرمالو</v>
      </c>
      <c r="AA191">
        <f>IF([2]Baskol!$K$194="","",[2]Baskol!$K$194)</f>
        <v>219</v>
      </c>
      <c r="AB191" t="str">
        <f>IF([2]Baskol!$L$194="","",[2]Baskol!$L$194)</f>
        <v/>
      </c>
      <c r="AC191" t="str">
        <f>IF([2]Baskol!$N$194="","",[2]Baskol!$N$194)</f>
        <v/>
      </c>
      <c r="AD191" t="str">
        <f>IF([2]Baskol!$O$194="","",[2]Baskol!$O$194)</f>
        <v/>
      </c>
      <c r="AE191" t="str">
        <f>IF([3]Entry!$C$194="","",[3]Entry!$C$194)</f>
        <v/>
      </c>
      <c r="AF191" t="str">
        <f>IF([3]Entry!$D$194="","",[3]Entry!$D$194)</f>
        <v/>
      </c>
      <c r="AG191" t="str">
        <f>IF([3]Entry!$E$194="","",[3]Entry!$E$194)</f>
        <v/>
      </c>
      <c r="AH191" t="str">
        <f>IF([3]Entry!$G$194="","",[3]Entry!$G$194)</f>
        <v/>
      </c>
      <c r="AI191" t="str">
        <f>IF([3]Entry!$K$194="","",[3]Entry!$K$194)</f>
        <v/>
      </c>
      <c r="AJ191" t="str">
        <f>IF([3]Entry!$L$194="","",[3]Entry!$L$194)</f>
        <v/>
      </c>
      <c r="AK191" t="str">
        <f>IF([3]Entry!$M$194="","",[3]Entry!$M$194)</f>
        <v/>
      </c>
      <c r="AL191" t="str">
        <f>IF([3]Entry!$N$194="","",[3]Entry!$N$194)</f>
        <v/>
      </c>
      <c r="AM191" t="str">
        <f>IF([3]Entry!$R$194="","",[3]Entry!$R$194)</f>
        <v/>
      </c>
    </row>
    <row r="192" spans="1:39" x14ac:dyDescent="0.2">
      <c r="A192" t="str">
        <f>IF([1]Accounts!$D$193="","",[1]Accounts!$A$193)</f>
        <v/>
      </c>
      <c r="B192" t="str">
        <f>IF([1]Accounts!$D$193="","",[1]Accounts!$B$193)</f>
        <v/>
      </c>
      <c r="C192" t="str">
        <f>IF([1]Accounts!$D$193="","",[1]Accounts!$C$193)</f>
        <v/>
      </c>
      <c r="D192" t="str">
        <f>IF([1]Accounts!$D$193="","",[1]Accounts!$D$193)</f>
        <v/>
      </c>
      <c r="E192" t="str">
        <f>IF([1]Accounts!$D$193="","",[1]Accounts!$E$193)</f>
        <v/>
      </c>
      <c r="F192" t="str">
        <f>IF([1]Accounts!$D$193="","",[1]Accounts!$F$193)</f>
        <v/>
      </c>
      <c r="G192" t="str">
        <f>IF([1]Accounts!$D$193="","",[1]Accounts!$G$193)</f>
        <v/>
      </c>
      <c r="T192" t="str">
        <f>IF([2]Baskol!$B$195="","",[2]Baskol!$B$195)</f>
        <v>1405/07/29</v>
      </c>
      <c r="U192" t="str">
        <f>IF([2]Baskol!$C$195="","",[2]Baskol!$C$195)</f>
        <v/>
      </c>
      <c r="V192" t="str">
        <f>IF([2]Baskol!$D$195="","",[2]Baskol!$D$195)</f>
        <v/>
      </c>
      <c r="W192" t="str">
        <f>IF([2]Baskol!$E$195="","",[2]Baskol!$E$195)</f>
        <v/>
      </c>
      <c r="X192" t="str">
        <f>IF([2]Baskol!$G$195="","",[2]Baskol!$G$195)</f>
        <v/>
      </c>
      <c r="Y192" t="str">
        <f>IF([2]Baskol!$I$195="","",[2]Baskol!$I$195)</f>
        <v/>
      </c>
      <c r="Z192" t="str">
        <f>IF([2]Baskol!$J$195="","",[2]Baskol!$J$195)</f>
        <v/>
      </c>
      <c r="AA192" t="str">
        <f>IF([2]Baskol!$K$195="","",[2]Baskol!$K$195)</f>
        <v/>
      </c>
      <c r="AB192" t="str">
        <f>IF([2]Baskol!$L$195="","",[2]Baskol!$L$195)</f>
        <v/>
      </c>
      <c r="AC192" t="str">
        <f>IF([2]Baskol!$N$195="","",[2]Baskol!$N$195)</f>
        <v/>
      </c>
      <c r="AD192" t="str">
        <f>IF([2]Baskol!$O$195="","",[2]Baskol!$O$195)</f>
        <v/>
      </c>
      <c r="AE192" t="str">
        <f>IF([3]Entry!$C$195="","",[3]Entry!$C$195)</f>
        <v/>
      </c>
      <c r="AF192" t="str">
        <f>IF([3]Entry!$D$195="","",[3]Entry!$D$195)</f>
        <v/>
      </c>
      <c r="AG192" t="str">
        <f>IF([3]Entry!$E$195="","",[3]Entry!$E$195)</f>
        <v/>
      </c>
      <c r="AH192" t="str">
        <f>IF([3]Entry!$G$195="","",[3]Entry!$G$195)</f>
        <v/>
      </c>
      <c r="AI192" t="str">
        <f>IF([3]Entry!$K$195="","",[3]Entry!$K$195)</f>
        <v/>
      </c>
      <c r="AJ192" t="str">
        <f>IF([3]Entry!$L$195="","",[3]Entry!$L$195)</f>
        <v/>
      </c>
      <c r="AK192" t="str">
        <f>IF([3]Entry!$M$195="","",[3]Entry!$M$195)</f>
        <v/>
      </c>
      <c r="AL192" t="str">
        <f>IF([3]Entry!$N$195="","",[3]Entry!$N$195)</f>
        <v/>
      </c>
      <c r="AM192" t="str">
        <f>IF([3]Entry!$R$195="","",[3]Entry!$R$195)</f>
        <v/>
      </c>
    </row>
    <row r="193" spans="1:39" x14ac:dyDescent="0.2">
      <c r="A193" t="str">
        <f>IF([1]Accounts!$D$194="","",[1]Accounts!$A$194)</f>
        <v/>
      </c>
      <c r="B193" t="str">
        <f>IF([1]Accounts!$D$194="","",[1]Accounts!$B$194)</f>
        <v/>
      </c>
      <c r="C193" t="str">
        <f>IF([1]Accounts!$D$194="","",[1]Accounts!$C$194)</f>
        <v/>
      </c>
      <c r="D193" t="str">
        <f>IF([1]Accounts!$D$194="","",[1]Accounts!$D$194)</f>
        <v/>
      </c>
      <c r="E193" t="str">
        <f>IF([1]Accounts!$D$194="","",[1]Accounts!$E$194)</f>
        <v/>
      </c>
      <c r="F193" t="str">
        <f>IF([1]Accounts!$D$194="","",[1]Accounts!$F$194)</f>
        <v/>
      </c>
      <c r="G193" t="str">
        <f>IF([1]Accounts!$D$194="","",[1]Accounts!$G$194)</f>
        <v/>
      </c>
      <c r="T193" t="str">
        <f>IF([2]Baskol!$B$196="","",[2]Baskol!$B$196)</f>
        <v/>
      </c>
      <c r="U193" t="str">
        <f>IF([2]Baskol!$C$196="","",[2]Baskol!$C$196)</f>
        <v/>
      </c>
      <c r="V193" t="str">
        <f>IF([2]Baskol!$D$196="","",[2]Baskol!$D$196)</f>
        <v/>
      </c>
      <c r="W193" t="str">
        <f>IF([2]Baskol!$E$196="","",[2]Baskol!$E$196)</f>
        <v/>
      </c>
      <c r="X193" t="str">
        <f>IF([2]Baskol!$G$196="","",[2]Baskol!$G$196)</f>
        <v/>
      </c>
      <c r="Y193" t="str">
        <f>IF([2]Baskol!$I$196="","",[2]Baskol!$I$196)</f>
        <v/>
      </c>
      <c r="Z193" t="str">
        <f>IF([2]Baskol!$J$196="","",[2]Baskol!$J$196)</f>
        <v/>
      </c>
      <c r="AA193" t="str">
        <f>IF([2]Baskol!$K$196="","",[2]Baskol!$K$196)</f>
        <v/>
      </c>
      <c r="AB193" t="str">
        <f>IF([2]Baskol!$L$196="","",[2]Baskol!$L$196)</f>
        <v/>
      </c>
      <c r="AC193" t="str">
        <f>IF([2]Baskol!$N$196="","",[2]Baskol!$N$196)</f>
        <v/>
      </c>
      <c r="AD193" t="str">
        <f>IF([2]Baskol!$O$196="","",[2]Baskol!$O$196)</f>
        <v/>
      </c>
      <c r="AE193" t="str">
        <f>IF([3]Entry!$C$196="","",[3]Entry!$C$196)</f>
        <v/>
      </c>
      <c r="AF193" t="str">
        <f>IF([3]Entry!$D$196="","",[3]Entry!$D$196)</f>
        <v/>
      </c>
      <c r="AG193" t="str">
        <f>IF([3]Entry!$E$196="","",[3]Entry!$E$196)</f>
        <v/>
      </c>
      <c r="AH193" t="str">
        <f>IF([3]Entry!$G$196="","",[3]Entry!$G$196)</f>
        <v/>
      </c>
      <c r="AI193" t="str">
        <f>IF([3]Entry!$K$196="","",[3]Entry!$K$196)</f>
        <v/>
      </c>
      <c r="AJ193" t="str">
        <f>IF([3]Entry!$L$196="","",[3]Entry!$L$196)</f>
        <v/>
      </c>
      <c r="AK193" t="str">
        <f>IF([3]Entry!$M$196="","",[3]Entry!$M$196)</f>
        <v/>
      </c>
      <c r="AL193" t="str">
        <f>IF([3]Entry!$N$196="","",[3]Entry!$N$196)</f>
        <v/>
      </c>
      <c r="AM193" t="str">
        <f>IF([3]Entry!$R$196="","",[3]Entry!$R$196)</f>
        <v/>
      </c>
    </row>
    <row r="194" spans="1:39" x14ac:dyDescent="0.2">
      <c r="A194" t="str">
        <f>IF([1]Accounts!$D$195="","",[1]Accounts!$A$195)</f>
        <v/>
      </c>
      <c r="B194" t="str">
        <f>IF([1]Accounts!$D$195="","",[1]Accounts!$B$195)</f>
        <v/>
      </c>
      <c r="C194" t="str">
        <f>IF([1]Accounts!$D$195="","",[1]Accounts!$C$195)</f>
        <v/>
      </c>
      <c r="D194" t="str">
        <f>IF([1]Accounts!$D$195="","",[1]Accounts!$D$195)</f>
        <v/>
      </c>
      <c r="E194" t="str">
        <f>IF([1]Accounts!$D$195="","",[1]Accounts!$E$195)</f>
        <v/>
      </c>
      <c r="F194" t="str">
        <f>IF([1]Accounts!$D$195="","",[1]Accounts!$F$195)</f>
        <v/>
      </c>
      <c r="G194" t="str">
        <f>IF([1]Accounts!$D$195="","",[1]Accounts!$G$195)</f>
        <v/>
      </c>
      <c r="T194" t="str">
        <f>IF([2]Baskol!$B$197="","",[2]Baskol!$B$197)</f>
        <v/>
      </c>
      <c r="U194" t="str">
        <f>IF([2]Baskol!$C$197="","",[2]Baskol!$C$197)</f>
        <v/>
      </c>
      <c r="V194" t="str">
        <f>IF([2]Baskol!$D$197="","",[2]Baskol!$D$197)</f>
        <v/>
      </c>
      <c r="W194" t="str">
        <f>IF([2]Baskol!$E$197="","",[2]Baskol!$E$197)</f>
        <v/>
      </c>
      <c r="X194" t="str">
        <f>IF([2]Baskol!$G$197="","",[2]Baskol!$G$197)</f>
        <v/>
      </c>
      <c r="Y194" t="str">
        <f>IF([2]Baskol!$I$197="","",[2]Baskol!$I$197)</f>
        <v/>
      </c>
      <c r="Z194" t="str">
        <f>IF([2]Baskol!$J$197="","",[2]Baskol!$J$197)</f>
        <v/>
      </c>
      <c r="AA194" t="str">
        <f>IF([2]Baskol!$K$197="","",[2]Baskol!$K$197)</f>
        <v/>
      </c>
      <c r="AB194" t="str">
        <f>IF([2]Baskol!$L$197="","",[2]Baskol!$L$197)</f>
        <v/>
      </c>
      <c r="AC194" t="str">
        <f>IF([2]Baskol!$N$197="","",[2]Baskol!$N$197)</f>
        <v/>
      </c>
      <c r="AD194" t="str">
        <f>IF([2]Baskol!$O$197="","",[2]Baskol!$O$197)</f>
        <v/>
      </c>
      <c r="AE194" t="str">
        <f>IF([3]Entry!$C$197="","",[3]Entry!$C$197)</f>
        <v/>
      </c>
      <c r="AF194" t="str">
        <f>IF([3]Entry!$D$197="","",[3]Entry!$D$197)</f>
        <v/>
      </c>
      <c r="AG194" t="str">
        <f>IF([3]Entry!$E$197="","",[3]Entry!$E$197)</f>
        <v/>
      </c>
      <c r="AH194" t="str">
        <f>IF([3]Entry!$G$197="","",[3]Entry!$G$197)</f>
        <v/>
      </c>
      <c r="AI194" t="str">
        <f>IF([3]Entry!$K$197="","",[3]Entry!$K$197)</f>
        <v/>
      </c>
      <c r="AJ194" t="str">
        <f>IF([3]Entry!$L$197="","",[3]Entry!$L$197)</f>
        <v/>
      </c>
      <c r="AK194" t="str">
        <f>IF([3]Entry!$M$197="","",[3]Entry!$M$197)</f>
        <v/>
      </c>
      <c r="AL194" t="str">
        <f>IF([3]Entry!$N$197="","",[3]Entry!$N$197)</f>
        <v/>
      </c>
      <c r="AM194" t="str">
        <f>IF([3]Entry!$R$197="","",[3]Entry!$R$197)</f>
        <v/>
      </c>
    </row>
    <row r="195" spans="1:39" x14ac:dyDescent="0.2">
      <c r="A195" t="str">
        <f>IF([1]Accounts!$D$196="","",[1]Accounts!$A$196)</f>
        <v/>
      </c>
      <c r="B195" t="str">
        <f>IF([1]Accounts!$D$196="","",[1]Accounts!$B$196)</f>
        <v/>
      </c>
      <c r="C195" t="str">
        <f>IF([1]Accounts!$D$196="","",[1]Accounts!$C$196)</f>
        <v/>
      </c>
      <c r="D195" t="str">
        <f>IF([1]Accounts!$D$196="","",[1]Accounts!$D$196)</f>
        <v/>
      </c>
      <c r="E195" t="str">
        <f>IF([1]Accounts!$D$196="","",[1]Accounts!$E$196)</f>
        <v/>
      </c>
      <c r="F195" t="str">
        <f>IF([1]Accounts!$D$196="","",[1]Accounts!$F$196)</f>
        <v/>
      </c>
      <c r="G195" t="str">
        <f>IF([1]Accounts!$D$196="","",[1]Accounts!$G$196)</f>
        <v/>
      </c>
      <c r="T195" t="str">
        <f>IF([2]Baskol!$B$198="","",[2]Baskol!$B$198)</f>
        <v/>
      </c>
      <c r="U195" t="str">
        <f>IF([2]Baskol!$C$198="","",[2]Baskol!$C$198)</f>
        <v/>
      </c>
      <c r="V195" t="str">
        <f>IF([2]Baskol!$D$198="","",[2]Baskol!$D$198)</f>
        <v/>
      </c>
      <c r="W195" t="str">
        <f>IF([2]Baskol!$E$198="","",[2]Baskol!$E$198)</f>
        <v/>
      </c>
      <c r="X195" t="str">
        <f>IF([2]Baskol!$G$198="","",[2]Baskol!$G$198)</f>
        <v/>
      </c>
      <c r="Y195" t="str">
        <f>IF([2]Baskol!$I$198="","",[2]Baskol!$I$198)</f>
        <v/>
      </c>
      <c r="Z195" t="str">
        <f>IF([2]Baskol!$J$198="","",[2]Baskol!$J$198)</f>
        <v/>
      </c>
      <c r="AA195" t="str">
        <f>IF([2]Baskol!$K$198="","",[2]Baskol!$K$198)</f>
        <v/>
      </c>
      <c r="AB195" t="str">
        <f>IF([2]Baskol!$L$198="","",[2]Baskol!$L$198)</f>
        <v/>
      </c>
      <c r="AC195" t="str">
        <f>IF([2]Baskol!$N$198="","",[2]Baskol!$N$198)</f>
        <v/>
      </c>
      <c r="AD195" t="str">
        <f>IF([2]Baskol!$O$198="","",[2]Baskol!$O$198)</f>
        <v/>
      </c>
      <c r="AE195" t="str">
        <f>IF([3]Entry!$C$198="","",[3]Entry!$C$198)</f>
        <v/>
      </c>
      <c r="AF195" t="str">
        <f>IF([3]Entry!$D$198="","",[3]Entry!$D$198)</f>
        <v/>
      </c>
      <c r="AG195" t="str">
        <f>IF([3]Entry!$E$198="","",[3]Entry!$E$198)</f>
        <v/>
      </c>
      <c r="AH195" t="str">
        <f>IF([3]Entry!$G$198="","",[3]Entry!$G$198)</f>
        <v/>
      </c>
      <c r="AI195" t="str">
        <f>IF([3]Entry!$K$198="","",[3]Entry!$K$198)</f>
        <v/>
      </c>
      <c r="AJ195" t="str">
        <f>IF([3]Entry!$L$198="","",[3]Entry!$L$198)</f>
        <v/>
      </c>
      <c r="AK195" t="str">
        <f>IF([3]Entry!$M$198="","",[3]Entry!$M$198)</f>
        <v/>
      </c>
      <c r="AL195" t="str">
        <f>IF([3]Entry!$N$198="","",[3]Entry!$N$198)</f>
        <v/>
      </c>
      <c r="AM195" t="str">
        <f>IF([3]Entry!$R$198="","",[3]Entry!$R$198)</f>
        <v/>
      </c>
    </row>
    <row r="196" spans="1:39" x14ac:dyDescent="0.2">
      <c r="A196" t="str">
        <f>IF([1]Accounts!$D$197="","",[1]Accounts!$A$197)</f>
        <v/>
      </c>
      <c r="B196" t="str">
        <f>IF([1]Accounts!$D$197="","",[1]Accounts!$B$197)</f>
        <v/>
      </c>
      <c r="C196" t="str">
        <f>IF([1]Accounts!$D$197="","",[1]Accounts!$C$197)</f>
        <v/>
      </c>
      <c r="D196" t="str">
        <f>IF([1]Accounts!$D$197="","",[1]Accounts!$D$197)</f>
        <v/>
      </c>
      <c r="E196" t="str">
        <f>IF([1]Accounts!$D$197="","",[1]Accounts!$E$197)</f>
        <v/>
      </c>
      <c r="F196" t="str">
        <f>IF([1]Accounts!$D$197="","",[1]Accounts!$F$197)</f>
        <v/>
      </c>
      <c r="G196" t="str">
        <f>IF([1]Accounts!$D$197="","",[1]Accounts!$G$197)</f>
        <v/>
      </c>
      <c r="T196" t="str">
        <f>IF([2]Baskol!$B$199="","",[2]Baskol!$B$199)</f>
        <v/>
      </c>
      <c r="U196" t="str">
        <f>IF([2]Baskol!$C$199="","",[2]Baskol!$C$199)</f>
        <v/>
      </c>
      <c r="V196" t="str">
        <f>IF([2]Baskol!$D$199="","",[2]Baskol!$D$199)</f>
        <v/>
      </c>
      <c r="W196" t="str">
        <f>IF([2]Baskol!$E$199="","",[2]Baskol!$E$199)</f>
        <v/>
      </c>
      <c r="X196" t="str">
        <f>IF([2]Baskol!$G$199="","",[2]Baskol!$G$199)</f>
        <v/>
      </c>
      <c r="Y196" t="str">
        <f>IF([2]Baskol!$I$199="","",[2]Baskol!$I$199)</f>
        <v/>
      </c>
      <c r="Z196" t="str">
        <f>IF([2]Baskol!$J$199="","",[2]Baskol!$J$199)</f>
        <v/>
      </c>
      <c r="AA196" t="str">
        <f>IF([2]Baskol!$K$199="","",[2]Baskol!$K$199)</f>
        <v/>
      </c>
      <c r="AB196" t="str">
        <f>IF([2]Baskol!$L$199="","",[2]Baskol!$L$199)</f>
        <v/>
      </c>
      <c r="AC196" t="str">
        <f>IF([2]Baskol!$N$199="","",[2]Baskol!$N$199)</f>
        <v/>
      </c>
      <c r="AD196" t="str">
        <f>IF([2]Baskol!$O$199="","",[2]Baskol!$O$199)</f>
        <v/>
      </c>
      <c r="AE196" t="str">
        <f>IF([3]Entry!$C$199="","",[3]Entry!$C$199)</f>
        <v/>
      </c>
      <c r="AF196" t="str">
        <f>IF([3]Entry!$D$199="","",[3]Entry!$D$199)</f>
        <v/>
      </c>
      <c r="AG196" t="str">
        <f>IF([3]Entry!$E$199="","",[3]Entry!$E$199)</f>
        <v/>
      </c>
      <c r="AH196" t="str">
        <f>IF([3]Entry!$G$199="","",[3]Entry!$G$199)</f>
        <v/>
      </c>
      <c r="AI196" t="str">
        <f>IF([3]Entry!$K$199="","",[3]Entry!$K$199)</f>
        <v/>
      </c>
      <c r="AJ196" t="str">
        <f>IF([3]Entry!$L$199="","",[3]Entry!$L$199)</f>
        <v/>
      </c>
      <c r="AK196" t="str">
        <f>IF([3]Entry!$M$199="","",[3]Entry!$M$199)</f>
        <v/>
      </c>
      <c r="AL196" t="str">
        <f>IF([3]Entry!$N$199="","",[3]Entry!$N$199)</f>
        <v/>
      </c>
      <c r="AM196" t="str">
        <f>IF([3]Entry!$R$199="","",[3]Entry!$R$199)</f>
        <v/>
      </c>
    </row>
    <row r="197" spans="1:39" x14ac:dyDescent="0.2">
      <c r="A197" t="str">
        <f>IF([1]Accounts!$D$198="","",[1]Accounts!$A$198)</f>
        <v/>
      </c>
      <c r="B197" t="str">
        <f>IF([1]Accounts!$D$198="","",[1]Accounts!$B$198)</f>
        <v/>
      </c>
      <c r="C197" t="str">
        <f>IF([1]Accounts!$D$198="","",[1]Accounts!$C$198)</f>
        <v/>
      </c>
      <c r="D197" t="str">
        <f>IF([1]Accounts!$D$198="","",[1]Accounts!$D$198)</f>
        <v/>
      </c>
      <c r="E197" t="str">
        <f>IF([1]Accounts!$D$198="","",[1]Accounts!$E$198)</f>
        <v/>
      </c>
      <c r="F197" t="str">
        <f>IF([1]Accounts!$D$198="","",[1]Accounts!$F$198)</f>
        <v/>
      </c>
      <c r="G197" t="str">
        <f>IF([1]Accounts!$D$198="","",[1]Accounts!$G$198)</f>
        <v/>
      </c>
      <c r="T197" t="str">
        <f>IF([2]Baskol!$B$200="","",[2]Baskol!$B$200)</f>
        <v/>
      </c>
      <c r="U197" t="str">
        <f>IF([2]Baskol!$C$200="","",[2]Baskol!$C$200)</f>
        <v/>
      </c>
      <c r="V197" t="str">
        <f>IF([2]Baskol!$D$200="","",[2]Baskol!$D$200)</f>
        <v/>
      </c>
      <c r="W197" t="str">
        <f>IF([2]Baskol!$E$200="","",[2]Baskol!$E$200)</f>
        <v/>
      </c>
      <c r="X197" t="str">
        <f>IF([2]Baskol!$G$200="","",[2]Baskol!$G$200)</f>
        <v/>
      </c>
      <c r="Y197" t="str">
        <f>IF([2]Baskol!$I$200="","",[2]Baskol!$I$200)</f>
        <v/>
      </c>
      <c r="Z197" t="str">
        <f>IF([2]Baskol!$J$200="","",[2]Baskol!$J$200)</f>
        <v/>
      </c>
      <c r="AA197" t="str">
        <f>IF([2]Baskol!$K$200="","",[2]Baskol!$K$200)</f>
        <v/>
      </c>
      <c r="AB197" t="str">
        <f>IF([2]Baskol!$L$200="","",[2]Baskol!$L$200)</f>
        <v/>
      </c>
      <c r="AC197" t="str">
        <f>IF([2]Baskol!$N$200="","",[2]Baskol!$N$200)</f>
        <v/>
      </c>
      <c r="AD197" t="str">
        <f>IF([2]Baskol!$O$200="","",[2]Baskol!$O$200)</f>
        <v/>
      </c>
      <c r="AE197" t="str">
        <f>IF([3]Entry!$C$200="","",[3]Entry!$C$200)</f>
        <v/>
      </c>
      <c r="AF197" t="str">
        <f>IF([3]Entry!$D$200="","",[3]Entry!$D$200)</f>
        <v/>
      </c>
      <c r="AG197" t="str">
        <f>IF([3]Entry!$E$200="","",[3]Entry!$E$200)</f>
        <v/>
      </c>
      <c r="AH197" t="str">
        <f>IF([3]Entry!$G$200="","",[3]Entry!$G$200)</f>
        <v/>
      </c>
      <c r="AI197" t="str">
        <f>IF([3]Entry!$K$200="","",[3]Entry!$K$200)</f>
        <v/>
      </c>
      <c r="AJ197" t="str">
        <f>IF([3]Entry!$L$200="","",[3]Entry!$L$200)</f>
        <v/>
      </c>
      <c r="AK197" t="str">
        <f>IF([3]Entry!$M$200="","",[3]Entry!$M$200)</f>
        <v/>
      </c>
      <c r="AL197" t="str">
        <f>IF([3]Entry!$N$200="","",[3]Entry!$N$200)</f>
        <v/>
      </c>
      <c r="AM197" t="str">
        <f>IF([3]Entry!$R$200="","",[3]Entry!$R$200)</f>
        <v/>
      </c>
    </row>
    <row r="198" spans="1:39" x14ac:dyDescent="0.2">
      <c r="A198" t="str">
        <f>IF([1]Accounts!$D$199="","",[1]Accounts!$A$199)</f>
        <v/>
      </c>
      <c r="B198" t="str">
        <f>IF([1]Accounts!$D$199="","",[1]Accounts!$B$199)</f>
        <v/>
      </c>
      <c r="C198" t="str">
        <f>IF([1]Accounts!$D$199="","",[1]Accounts!$C$199)</f>
        <v/>
      </c>
      <c r="D198" t="str">
        <f>IF([1]Accounts!$D$199="","",[1]Accounts!$D$199)</f>
        <v/>
      </c>
      <c r="E198" t="str">
        <f>IF([1]Accounts!$D$199="","",[1]Accounts!$E$199)</f>
        <v/>
      </c>
      <c r="F198" t="str">
        <f>IF([1]Accounts!$D$199="","",[1]Accounts!$F$199)</f>
        <v/>
      </c>
      <c r="G198" t="str">
        <f>IF([1]Accounts!$D$199="","",[1]Accounts!$G$199)</f>
        <v/>
      </c>
      <c r="T198" t="str">
        <f>IF([2]Baskol!$B$201="","",[2]Baskol!$B$201)</f>
        <v/>
      </c>
      <c r="U198" t="str">
        <f>IF([2]Baskol!$C$201="","",[2]Baskol!$C$201)</f>
        <v/>
      </c>
      <c r="V198" t="str">
        <f>IF([2]Baskol!$D$201="","",[2]Baskol!$D$201)</f>
        <v/>
      </c>
      <c r="W198" t="str">
        <f>IF([2]Baskol!$E$201="","",[2]Baskol!$E$201)</f>
        <v/>
      </c>
      <c r="X198" t="str">
        <f>IF([2]Baskol!$G$201="","",[2]Baskol!$G$201)</f>
        <v/>
      </c>
      <c r="Y198" t="str">
        <f>IF([2]Baskol!$I$201="","",[2]Baskol!$I$201)</f>
        <v/>
      </c>
      <c r="Z198" t="str">
        <f>IF([2]Baskol!$J$201="","",[2]Baskol!$J$201)</f>
        <v/>
      </c>
      <c r="AA198" t="str">
        <f>IF([2]Baskol!$K$201="","",[2]Baskol!$K$201)</f>
        <v/>
      </c>
      <c r="AB198" t="str">
        <f>IF([2]Baskol!$L$201="","",[2]Baskol!$L$201)</f>
        <v/>
      </c>
      <c r="AC198" t="str">
        <f>IF([2]Baskol!$N$201="","",[2]Baskol!$N$201)</f>
        <v/>
      </c>
      <c r="AD198" t="str">
        <f>IF([2]Baskol!$O$201="","",[2]Baskol!$O$201)</f>
        <v/>
      </c>
      <c r="AE198" t="str">
        <f>IF([3]Entry!$C$201="","",[3]Entry!$C$201)</f>
        <v/>
      </c>
      <c r="AF198" t="str">
        <f>IF([3]Entry!$D$201="","",[3]Entry!$D$201)</f>
        <v/>
      </c>
      <c r="AG198" t="str">
        <f>IF([3]Entry!$E$201="","",[3]Entry!$E$201)</f>
        <v/>
      </c>
      <c r="AH198" t="str">
        <f>IF([3]Entry!$G$201="","",[3]Entry!$G$201)</f>
        <v/>
      </c>
      <c r="AI198" t="str">
        <f>IF([3]Entry!$K$201="","",[3]Entry!$K$201)</f>
        <v/>
      </c>
      <c r="AJ198" t="str">
        <f>IF([3]Entry!$L$201="","",[3]Entry!$L$201)</f>
        <v/>
      </c>
      <c r="AK198" t="str">
        <f>IF([3]Entry!$M$201="","",[3]Entry!$M$201)</f>
        <v/>
      </c>
      <c r="AL198" t="str">
        <f>IF([3]Entry!$N$201="","",[3]Entry!$N$201)</f>
        <v/>
      </c>
      <c r="AM198" t="str">
        <f>IF([3]Entry!$R$201="","",[3]Entry!$R$201)</f>
        <v/>
      </c>
    </row>
    <row r="199" spans="1:39" x14ac:dyDescent="0.2">
      <c r="A199" t="str">
        <f>IF([1]Accounts!$D$200="","",[1]Accounts!$A$200)</f>
        <v/>
      </c>
      <c r="B199" t="str">
        <f>IF([1]Accounts!$D$200="","",[1]Accounts!$B$200)</f>
        <v/>
      </c>
      <c r="C199" t="str">
        <f>IF([1]Accounts!$D$200="","",[1]Accounts!$C$200)</f>
        <v/>
      </c>
      <c r="D199" t="str">
        <f>IF([1]Accounts!$D$200="","",[1]Accounts!$D$200)</f>
        <v/>
      </c>
      <c r="E199" t="str">
        <f>IF([1]Accounts!$D$200="","",[1]Accounts!$E$200)</f>
        <v/>
      </c>
      <c r="F199" t="str">
        <f>IF([1]Accounts!$D$200="","",[1]Accounts!$F$200)</f>
        <v/>
      </c>
      <c r="G199" t="str">
        <f>IF([1]Accounts!$D$200="","",[1]Accounts!$G$200)</f>
        <v/>
      </c>
      <c r="T199" t="str">
        <f>IF([2]Baskol!$B$202="","",[2]Baskol!$B$202)</f>
        <v/>
      </c>
      <c r="U199" t="str">
        <f>IF([2]Baskol!$C$202="","",[2]Baskol!$C$202)</f>
        <v/>
      </c>
      <c r="V199" t="str">
        <f>IF([2]Baskol!$D$202="","",[2]Baskol!$D$202)</f>
        <v/>
      </c>
      <c r="W199" t="str">
        <f>IF([2]Baskol!$E$202="","",[2]Baskol!$E$202)</f>
        <v/>
      </c>
      <c r="X199" t="str">
        <f>IF([2]Baskol!$G$202="","",[2]Baskol!$G$202)</f>
        <v/>
      </c>
      <c r="Y199" t="str">
        <f>IF([2]Baskol!$I$202="","",[2]Baskol!$I$202)</f>
        <v/>
      </c>
      <c r="Z199" t="str">
        <f>IF([2]Baskol!$J$202="","",[2]Baskol!$J$202)</f>
        <v/>
      </c>
      <c r="AA199" t="str">
        <f>IF([2]Baskol!$K$202="","",[2]Baskol!$K$202)</f>
        <v/>
      </c>
      <c r="AB199" t="str">
        <f>IF([2]Baskol!$L$202="","",[2]Baskol!$L$202)</f>
        <v/>
      </c>
      <c r="AC199" t="str">
        <f>IF([2]Baskol!$N$202="","",[2]Baskol!$N$202)</f>
        <v/>
      </c>
      <c r="AD199" t="str">
        <f>IF([2]Baskol!$O$202="","",[2]Baskol!$O$202)</f>
        <v/>
      </c>
      <c r="AE199" t="str">
        <f>IF([3]Entry!$C$202="","",[3]Entry!$C$202)</f>
        <v/>
      </c>
      <c r="AF199" t="str">
        <f>IF([3]Entry!$D$202="","",[3]Entry!$D$202)</f>
        <v/>
      </c>
      <c r="AG199" t="str">
        <f>IF([3]Entry!$E$202="","",[3]Entry!$E$202)</f>
        <v/>
      </c>
      <c r="AH199" t="str">
        <f>IF([3]Entry!$G$202="","",[3]Entry!$G$202)</f>
        <v/>
      </c>
      <c r="AI199" t="str">
        <f>IF([3]Entry!$K$202="","",[3]Entry!$K$202)</f>
        <v/>
      </c>
      <c r="AJ199" t="str">
        <f>IF([3]Entry!$L$202="","",[3]Entry!$L$202)</f>
        <v/>
      </c>
      <c r="AK199" t="str">
        <f>IF([3]Entry!$M$202="","",[3]Entry!$M$202)</f>
        <v/>
      </c>
      <c r="AL199" t="str">
        <f>IF([3]Entry!$N$202="","",[3]Entry!$N$202)</f>
        <v/>
      </c>
      <c r="AM199" t="str">
        <f>IF([3]Entry!$R$202="","",[3]Entry!$R$202)</f>
        <v/>
      </c>
    </row>
    <row r="200" spans="1:39" x14ac:dyDescent="0.2">
      <c r="A200" t="str">
        <f>IF([1]Accounts!$D$201="","",[1]Accounts!$A$201)</f>
        <v/>
      </c>
      <c r="B200" t="str">
        <f>IF([1]Accounts!$D$201="","",[1]Accounts!$B$201)</f>
        <v/>
      </c>
      <c r="C200" t="str">
        <f>IF([1]Accounts!$D$201="","",[1]Accounts!$C$201)</f>
        <v/>
      </c>
      <c r="D200" t="str">
        <f>IF([1]Accounts!$D$201="","",[1]Accounts!$D$201)</f>
        <v/>
      </c>
      <c r="E200" t="str">
        <f>IF([1]Accounts!$D$201="","",[1]Accounts!$E$201)</f>
        <v/>
      </c>
      <c r="F200" t="str">
        <f>IF([1]Accounts!$D$201="","",[1]Accounts!$F$201)</f>
        <v/>
      </c>
      <c r="G200" t="str">
        <f>IF([1]Accounts!$D$201="","",[1]Accounts!$G$201)</f>
        <v/>
      </c>
      <c r="T200" t="str">
        <f>IF([2]Baskol!$B$203="","",[2]Baskol!$B$203)</f>
        <v/>
      </c>
      <c r="U200" t="str">
        <f>IF([2]Baskol!$C$203="","",[2]Baskol!$C$203)</f>
        <v/>
      </c>
      <c r="V200" t="str">
        <f>IF([2]Baskol!$D$203="","",[2]Baskol!$D$203)</f>
        <v/>
      </c>
      <c r="W200" t="str">
        <f>IF([2]Baskol!$E$203="","",[2]Baskol!$E$203)</f>
        <v/>
      </c>
      <c r="X200" t="str">
        <f>IF([2]Baskol!$G$203="","",[2]Baskol!$G$203)</f>
        <v/>
      </c>
      <c r="Y200" t="str">
        <f>IF([2]Baskol!$I$203="","",[2]Baskol!$I$203)</f>
        <v/>
      </c>
      <c r="Z200" t="str">
        <f>IF([2]Baskol!$J$203="","",[2]Baskol!$J$203)</f>
        <v/>
      </c>
      <c r="AA200" t="str">
        <f>IF([2]Baskol!$K$203="","",[2]Baskol!$K$203)</f>
        <v/>
      </c>
      <c r="AB200" t="str">
        <f>IF([2]Baskol!$L$203="","",[2]Baskol!$L$203)</f>
        <v/>
      </c>
      <c r="AC200" t="str">
        <f>IF([2]Baskol!$N$203="","",[2]Baskol!$N$203)</f>
        <v/>
      </c>
      <c r="AD200" t="str">
        <f>IF([2]Baskol!$O$203="","",[2]Baskol!$O$203)</f>
        <v/>
      </c>
      <c r="AE200" t="str">
        <f>IF([3]Entry!$C$203="","",[3]Entry!$C$203)</f>
        <v/>
      </c>
      <c r="AF200" t="str">
        <f>IF([3]Entry!$D$203="","",[3]Entry!$D$203)</f>
        <v/>
      </c>
      <c r="AG200" t="str">
        <f>IF([3]Entry!$E$203="","",[3]Entry!$E$203)</f>
        <v/>
      </c>
      <c r="AH200" t="str">
        <f>IF([3]Entry!$G$203="","",[3]Entry!$G$203)</f>
        <v/>
      </c>
      <c r="AI200" t="str">
        <f>IF([3]Entry!$K$203="","",[3]Entry!$K$203)</f>
        <v/>
      </c>
      <c r="AJ200" t="str">
        <f>IF([3]Entry!$L$203="","",[3]Entry!$L$203)</f>
        <v/>
      </c>
      <c r="AK200" t="str">
        <f>IF([3]Entry!$M$203="","",[3]Entry!$M$203)</f>
        <v/>
      </c>
      <c r="AL200" t="str">
        <f>IF([3]Entry!$N$203="","",[3]Entry!$N$203)</f>
        <v/>
      </c>
      <c r="AM200" t="str">
        <f>IF([3]Entry!$R$203="","",[3]Entry!$R$203)</f>
        <v/>
      </c>
    </row>
    <row r="201" spans="1:39" x14ac:dyDescent="0.2">
      <c r="A201" t="str">
        <f>IF([1]Accounts!$D$202="","",[1]Accounts!$A$202)</f>
        <v/>
      </c>
      <c r="B201" t="str">
        <f>IF([1]Accounts!$D$202="","",[1]Accounts!$B$202)</f>
        <v/>
      </c>
      <c r="C201" t="str">
        <f>IF([1]Accounts!$D$202="","",[1]Accounts!$C$202)</f>
        <v/>
      </c>
      <c r="D201" t="str">
        <f>IF([1]Accounts!$D$202="","",[1]Accounts!$D$202)</f>
        <v/>
      </c>
      <c r="E201" t="str">
        <f>IF([1]Accounts!$D$202="","",[1]Accounts!$E$202)</f>
        <v/>
      </c>
      <c r="F201" t="str">
        <f>IF([1]Accounts!$D$202="","",[1]Accounts!$F$202)</f>
        <v/>
      </c>
      <c r="G201" t="str">
        <f>IF([1]Accounts!$D$202="","",[1]Accounts!$G$202)</f>
        <v/>
      </c>
      <c r="T201" t="str">
        <f>IF([2]Baskol!$B$204="","",[2]Baskol!$B$204)</f>
        <v/>
      </c>
      <c r="U201" t="str">
        <f>IF([2]Baskol!$C$204="","",[2]Baskol!$C$204)</f>
        <v/>
      </c>
      <c r="V201" t="str">
        <f>IF([2]Baskol!$D$204="","",[2]Baskol!$D$204)</f>
        <v/>
      </c>
      <c r="W201" t="str">
        <f>IF([2]Baskol!$E$204="","",[2]Baskol!$E$204)</f>
        <v/>
      </c>
      <c r="X201" t="str">
        <f>IF([2]Baskol!$G$204="","",[2]Baskol!$G$204)</f>
        <v/>
      </c>
      <c r="Y201" t="str">
        <f>IF([2]Baskol!$I$204="","",[2]Baskol!$I$204)</f>
        <v/>
      </c>
      <c r="Z201" t="str">
        <f>IF([2]Baskol!$J$204="","",[2]Baskol!$J$204)</f>
        <v/>
      </c>
      <c r="AA201" t="str">
        <f>IF([2]Baskol!$K$204="","",[2]Baskol!$K$204)</f>
        <v/>
      </c>
      <c r="AB201" t="str">
        <f>IF([2]Baskol!$L$204="","",[2]Baskol!$L$204)</f>
        <v/>
      </c>
      <c r="AC201" t="str">
        <f>IF([2]Baskol!$N$204="","",[2]Baskol!$N$204)</f>
        <v/>
      </c>
      <c r="AD201" t="str">
        <f>IF([2]Baskol!$O$204="","",[2]Baskol!$O$204)</f>
        <v/>
      </c>
      <c r="AE201" t="str">
        <f>IF([3]Entry!$C$204="","",[3]Entry!$C$204)</f>
        <v/>
      </c>
      <c r="AF201" t="str">
        <f>IF([3]Entry!$D$204="","",[3]Entry!$D$204)</f>
        <v/>
      </c>
      <c r="AG201" t="str">
        <f>IF([3]Entry!$E$204="","",[3]Entry!$E$204)</f>
        <v/>
      </c>
      <c r="AH201" t="str">
        <f>IF([3]Entry!$G$204="","",[3]Entry!$G$204)</f>
        <v/>
      </c>
      <c r="AI201" t="str">
        <f>IF([3]Entry!$K$204="","",[3]Entry!$K$204)</f>
        <v/>
      </c>
      <c r="AJ201" t="str">
        <f>IF([3]Entry!$L$204="","",[3]Entry!$L$204)</f>
        <v/>
      </c>
      <c r="AK201" t="str">
        <f>IF([3]Entry!$M$204="","",[3]Entry!$M$204)</f>
        <v/>
      </c>
      <c r="AL201" t="str">
        <f>IF([3]Entry!$N$204="","",[3]Entry!$N$204)</f>
        <v/>
      </c>
      <c r="AM201" t="str">
        <f>IF([3]Entry!$R$204="","",[3]Entry!$R$204)</f>
        <v/>
      </c>
    </row>
    <row r="202" spans="1:39" x14ac:dyDescent="0.2">
      <c r="A202" t="str">
        <f>IF([1]Accounts!$D$203="","",[1]Accounts!$A$203)</f>
        <v/>
      </c>
      <c r="B202" t="str">
        <f>IF([1]Accounts!$D$203="","",[1]Accounts!$B$203)</f>
        <v/>
      </c>
      <c r="C202" t="str">
        <f>IF([1]Accounts!$D$203="","",[1]Accounts!$C$203)</f>
        <v/>
      </c>
      <c r="D202" t="str">
        <f>IF([1]Accounts!$D$203="","",[1]Accounts!$D$203)</f>
        <v/>
      </c>
      <c r="E202" t="str">
        <f>IF([1]Accounts!$D$203="","",[1]Accounts!$E$203)</f>
        <v/>
      </c>
      <c r="F202" t="str">
        <f>IF([1]Accounts!$D$203="","",[1]Accounts!$F$203)</f>
        <v/>
      </c>
      <c r="G202" t="str">
        <f>IF([1]Accounts!$D$203="","",[1]Accounts!$G$203)</f>
        <v/>
      </c>
      <c r="T202" t="str">
        <f>IF([2]Baskol!$B$205="","",[2]Baskol!$B$205)</f>
        <v/>
      </c>
      <c r="U202" t="str">
        <f>IF([2]Baskol!$C$205="","",[2]Baskol!$C$205)</f>
        <v/>
      </c>
      <c r="V202" t="str">
        <f>IF([2]Baskol!$D$205="","",[2]Baskol!$D$205)</f>
        <v/>
      </c>
      <c r="W202" t="str">
        <f>IF([2]Baskol!$E$205="","",[2]Baskol!$E$205)</f>
        <v/>
      </c>
      <c r="X202" t="str">
        <f>IF([2]Baskol!$G$205="","",[2]Baskol!$G$205)</f>
        <v/>
      </c>
      <c r="Y202" t="str">
        <f>IF([2]Baskol!$I$205="","",[2]Baskol!$I$205)</f>
        <v/>
      </c>
      <c r="Z202" t="str">
        <f>IF([2]Baskol!$J$205="","",[2]Baskol!$J$205)</f>
        <v/>
      </c>
      <c r="AA202" t="str">
        <f>IF([2]Baskol!$K$205="","",[2]Baskol!$K$205)</f>
        <v/>
      </c>
      <c r="AB202" t="str">
        <f>IF([2]Baskol!$L$205="","",[2]Baskol!$L$205)</f>
        <v/>
      </c>
      <c r="AC202" t="str">
        <f>IF([2]Baskol!$N$205="","",[2]Baskol!$N$205)</f>
        <v/>
      </c>
      <c r="AD202" t="str">
        <f>IF([2]Baskol!$O$205="","",[2]Baskol!$O$205)</f>
        <v/>
      </c>
      <c r="AE202" t="str">
        <f>IF([3]Entry!$C$205="","",[3]Entry!$C$205)</f>
        <v/>
      </c>
      <c r="AF202" t="str">
        <f>IF([3]Entry!$D$205="","",[3]Entry!$D$205)</f>
        <v/>
      </c>
      <c r="AG202" t="str">
        <f>IF([3]Entry!$E$205="","",[3]Entry!$E$205)</f>
        <v/>
      </c>
      <c r="AH202" t="str">
        <f>IF([3]Entry!$G$205="","",[3]Entry!$G$205)</f>
        <v/>
      </c>
      <c r="AI202" t="str">
        <f>IF([3]Entry!$K$205="","",[3]Entry!$K$205)</f>
        <v/>
      </c>
      <c r="AJ202" t="str">
        <f>IF([3]Entry!$L$205="","",[3]Entry!$L$205)</f>
        <v/>
      </c>
      <c r="AK202" t="str">
        <f>IF([3]Entry!$M$205="","",[3]Entry!$M$205)</f>
        <v/>
      </c>
      <c r="AL202" t="str">
        <f>IF([3]Entry!$N$205="","",[3]Entry!$N$205)</f>
        <v/>
      </c>
      <c r="AM202" t="str">
        <f>IF([3]Entry!$R$205="","",[3]Entry!$R$205)</f>
        <v/>
      </c>
    </row>
    <row r="203" spans="1:39" x14ac:dyDescent="0.2">
      <c r="A203" t="str">
        <f>IF([1]Accounts!$D$204="","",[1]Accounts!$A$204)</f>
        <v/>
      </c>
      <c r="B203" t="str">
        <f>IF([1]Accounts!$D$204="","",[1]Accounts!$B$204)</f>
        <v/>
      </c>
      <c r="C203" t="str">
        <f>IF([1]Accounts!$D$204="","",[1]Accounts!$C$204)</f>
        <v/>
      </c>
      <c r="D203" t="str">
        <f>IF([1]Accounts!$D$204="","",[1]Accounts!$D$204)</f>
        <v/>
      </c>
      <c r="E203" t="str">
        <f>IF([1]Accounts!$D$204="","",[1]Accounts!$E$204)</f>
        <v/>
      </c>
      <c r="F203" t="str">
        <f>IF([1]Accounts!$D$204="","",[1]Accounts!$F$204)</f>
        <v/>
      </c>
      <c r="G203" t="str">
        <f>IF([1]Accounts!$D$204="","",[1]Accounts!$G$204)</f>
        <v/>
      </c>
      <c r="T203" t="str">
        <f>IF([2]Baskol!$B$206="","",[2]Baskol!$B$206)</f>
        <v/>
      </c>
      <c r="U203" t="str">
        <f>IF([2]Baskol!$C$206="","",[2]Baskol!$C$206)</f>
        <v/>
      </c>
      <c r="V203" t="str">
        <f>IF([2]Baskol!$D$206="","",[2]Baskol!$D$206)</f>
        <v/>
      </c>
      <c r="W203" t="str">
        <f>IF([2]Baskol!$E$206="","",[2]Baskol!$E$206)</f>
        <v/>
      </c>
      <c r="X203" t="str">
        <f>IF([2]Baskol!$G$206="","",[2]Baskol!$G$206)</f>
        <v/>
      </c>
      <c r="Y203" t="str">
        <f>IF([2]Baskol!$I$206="","",[2]Baskol!$I$206)</f>
        <v/>
      </c>
      <c r="Z203" t="str">
        <f>IF([2]Baskol!$J$206="","",[2]Baskol!$J$206)</f>
        <v/>
      </c>
      <c r="AA203" t="str">
        <f>IF([2]Baskol!$K$206="","",[2]Baskol!$K$206)</f>
        <v/>
      </c>
      <c r="AB203" t="str">
        <f>IF([2]Baskol!$L$206="","",[2]Baskol!$L$206)</f>
        <v/>
      </c>
      <c r="AC203" t="str">
        <f>IF([2]Baskol!$N$206="","",[2]Baskol!$N$206)</f>
        <v/>
      </c>
      <c r="AD203" t="str">
        <f>IF([2]Baskol!$O$206="","",[2]Baskol!$O$206)</f>
        <v/>
      </c>
      <c r="AE203" t="str">
        <f>IF([3]Entry!$C$206="","",[3]Entry!$C$206)</f>
        <v/>
      </c>
      <c r="AF203" t="str">
        <f>IF([3]Entry!$D$206="","",[3]Entry!$D$206)</f>
        <v/>
      </c>
      <c r="AG203" t="str">
        <f>IF([3]Entry!$E$206="","",[3]Entry!$E$206)</f>
        <v/>
      </c>
      <c r="AH203" t="str">
        <f>IF([3]Entry!$G$206="","",[3]Entry!$G$206)</f>
        <v/>
      </c>
      <c r="AI203" t="str">
        <f>IF([3]Entry!$K$206="","",[3]Entry!$K$206)</f>
        <v/>
      </c>
      <c r="AJ203" t="str">
        <f>IF([3]Entry!$L$206="","",[3]Entry!$L$206)</f>
        <v/>
      </c>
      <c r="AK203" t="str">
        <f>IF([3]Entry!$M$206="","",[3]Entry!$M$206)</f>
        <v/>
      </c>
      <c r="AL203" t="str">
        <f>IF([3]Entry!$N$206="","",[3]Entry!$N$206)</f>
        <v/>
      </c>
      <c r="AM203" t="str">
        <f>IF([3]Entry!$R$206="","",[3]Entry!$R$206)</f>
        <v/>
      </c>
    </row>
    <row r="204" spans="1:39" x14ac:dyDescent="0.2">
      <c r="A204" t="str">
        <f>IF([1]Accounts!$D$205="","",[1]Accounts!$A$205)</f>
        <v/>
      </c>
      <c r="B204" t="str">
        <f>IF([1]Accounts!$D$205="","",[1]Accounts!$B$205)</f>
        <v/>
      </c>
      <c r="C204" t="str">
        <f>IF([1]Accounts!$D$205="","",[1]Accounts!$C$205)</f>
        <v/>
      </c>
      <c r="D204" t="str">
        <f>IF([1]Accounts!$D$205="","",[1]Accounts!$D$205)</f>
        <v/>
      </c>
      <c r="E204" t="str">
        <f>IF([1]Accounts!$D$205="","",[1]Accounts!$E$205)</f>
        <v/>
      </c>
      <c r="F204" t="str">
        <f>IF([1]Accounts!$D$205="","",[1]Accounts!$F$205)</f>
        <v/>
      </c>
      <c r="G204" t="str">
        <f>IF([1]Accounts!$D$205="","",[1]Accounts!$G$205)</f>
        <v/>
      </c>
      <c r="T204" t="str">
        <f>IF([2]Baskol!$B$207="","",[2]Baskol!$B$207)</f>
        <v/>
      </c>
      <c r="U204" t="str">
        <f>IF([2]Baskol!$C$207="","",[2]Baskol!$C$207)</f>
        <v/>
      </c>
      <c r="V204" t="str">
        <f>IF([2]Baskol!$D$207="","",[2]Baskol!$D$207)</f>
        <v/>
      </c>
      <c r="W204" t="str">
        <f>IF([2]Baskol!$E$207="","",[2]Baskol!$E$207)</f>
        <v/>
      </c>
      <c r="X204" t="str">
        <f>IF([2]Baskol!$G$207="","",[2]Baskol!$G$207)</f>
        <v/>
      </c>
      <c r="Y204" t="str">
        <f>IF([2]Baskol!$I$207="","",[2]Baskol!$I$207)</f>
        <v/>
      </c>
      <c r="Z204" t="str">
        <f>IF([2]Baskol!$J$207="","",[2]Baskol!$J$207)</f>
        <v/>
      </c>
      <c r="AA204" t="str">
        <f>IF([2]Baskol!$K$207="","",[2]Baskol!$K$207)</f>
        <v/>
      </c>
      <c r="AB204" t="str">
        <f>IF([2]Baskol!$L$207="","",[2]Baskol!$L$207)</f>
        <v/>
      </c>
      <c r="AC204" t="str">
        <f>IF([2]Baskol!$N$207="","",[2]Baskol!$N$207)</f>
        <v/>
      </c>
      <c r="AD204" t="str">
        <f>IF([2]Baskol!$O$207="","",[2]Baskol!$O$207)</f>
        <v/>
      </c>
      <c r="AE204" t="str">
        <f>IF([3]Entry!$C$207="","",[3]Entry!$C$207)</f>
        <v/>
      </c>
      <c r="AF204" t="str">
        <f>IF([3]Entry!$D$207="","",[3]Entry!$D$207)</f>
        <v/>
      </c>
      <c r="AG204" t="str">
        <f>IF([3]Entry!$E$207="","",[3]Entry!$E$207)</f>
        <v/>
      </c>
      <c r="AH204" t="str">
        <f>IF([3]Entry!$G$207="","",[3]Entry!$G$207)</f>
        <v/>
      </c>
      <c r="AI204" t="str">
        <f>IF([3]Entry!$K$207="","",[3]Entry!$K$207)</f>
        <v/>
      </c>
      <c r="AJ204" t="str">
        <f>IF([3]Entry!$L$207="","",[3]Entry!$L$207)</f>
        <v/>
      </c>
      <c r="AK204" t="str">
        <f>IF([3]Entry!$M$207="","",[3]Entry!$M$207)</f>
        <v/>
      </c>
      <c r="AL204" t="str">
        <f>IF([3]Entry!$N$207="","",[3]Entry!$N$207)</f>
        <v/>
      </c>
      <c r="AM204" t="str">
        <f>IF([3]Entry!$R$207="","",[3]Entry!$R$207)</f>
        <v/>
      </c>
    </row>
    <row r="205" spans="1:39" x14ac:dyDescent="0.2">
      <c r="A205" t="str">
        <f>IF([1]Accounts!$D$206="","",[1]Accounts!$A$206)</f>
        <v/>
      </c>
      <c r="B205" t="str">
        <f>IF([1]Accounts!$D$206="","",[1]Accounts!$B$206)</f>
        <v/>
      </c>
      <c r="C205" t="str">
        <f>IF([1]Accounts!$D$206="","",[1]Accounts!$C$206)</f>
        <v/>
      </c>
      <c r="D205" t="str">
        <f>IF([1]Accounts!$D$206="","",[1]Accounts!$D$206)</f>
        <v/>
      </c>
      <c r="E205" t="str">
        <f>IF([1]Accounts!$D$206="","",[1]Accounts!$E$206)</f>
        <v/>
      </c>
      <c r="F205" t="str">
        <f>IF([1]Accounts!$D$206="","",[1]Accounts!$F$206)</f>
        <v/>
      </c>
      <c r="G205" t="str">
        <f>IF([1]Accounts!$D$206="","",[1]Accounts!$G$206)</f>
        <v/>
      </c>
      <c r="T205" t="str">
        <f>IF([2]Baskol!$B$208="","",[2]Baskol!$B$208)</f>
        <v/>
      </c>
      <c r="U205" t="str">
        <f>IF([2]Baskol!$C$208="","",[2]Baskol!$C$208)</f>
        <v/>
      </c>
      <c r="V205" t="str">
        <f>IF([2]Baskol!$D$208="","",[2]Baskol!$D$208)</f>
        <v/>
      </c>
      <c r="W205" t="str">
        <f>IF([2]Baskol!$E$208="","",[2]Baskol!$E$208)</f>
        <v/>
      </c>
      <c r="X205" t="str">
        <f>IF([2]Baskol!$G$208="","",[2]Baskol!$G$208)</f>
        <v/>
      </c>
      <c r="Y205" t="str">
        <f>IF([2]Baskol!$I$208="","",[2]Baskol!$I$208)</f>
        <v/>
      </c>
      <c r="Z205" t="str">
        <f>IF([2]Baskol!$J$208="","",[2]Baskol!$J$208)</f>
        <v/>
      </c>
      <c r="AA205" t="str">
        <f>IF([2]Baskol!$K$208="","",[2]Baskol!$K$208)</f>
        <v/>
      </c>
      <c r="AB205" t="str">
        <f>IF([2]Baskol!$L$208="","",[2]Baskol!$L$208)</f>
        <v/>
      </c>
      <c r="AC205" t="str">
        <f>IF([2]Baskol!$N$208="","",[2]Baskol!$N$208)</f>
        <v/>
      </c>
      <c r="AD205" t="str">
        <f>IF([2]Baskol!$O$208="","",[2]Baskol!$O$208)</f>
        <v/>
      </c>
      <c r="AE205" t="str">
        <f>IF([3]Entry!$C$208="","",[3]Entry!$C$208)</f>
        <v/>
      </c>
      <c r="AF205" t="str">
        <f>IF([3]Entry!$D$208="","",[3]Entry!$D$208)</f>
        <v/>
      </c>
      <c r="AG205" t="str">
        <f>IF([3]Entry!$E$208="","",[3]Entry!$E$208)</f>
        <v/>
      </c>
      <c r="AH205" t="str">
        <f>IF([3]Entry!$G$208="","",[3]Entry!$G$208)</f>
        <v/>
      </c>
      <c r="AI205" t="str">
        <f>IF([3]Entry!$K$208="","",[3]Entry!$K$208)</f>
        <v/>
      </c>
      <c r="AJ205" t="str">
        <f>IF([3]Entry!$L$208="","",[3]Entry!$L$208)</f>
        <v/>
      </c>
      <c r="AK205" t="str">
        <f>IF([3]Entry!$M$208="","",[3]Entry!$M$208)</f>
        <v/>
      </c>
      <c r="AL205" t="str">
        <f>IF([3]Entry!$N$208="","",[3]Entry!$N$208)</f>
        <v/>
      </c>
      <c r="AM205" t="str">
        <f>IF([3]Entry!$R$208="","",[3]Entry!$R$208)</f>
        <v/>
      </c>
    </row>
    <row r="206" spans="1:39" x14ac:dyDescent="0.2">
      <c r="A206" t="str">
        <f>IF([1]Accounts!$D$207="","",[1]Accounts!$A$207)</f>
        <v>SL001</v>
      </c>
      <c r="B206" t="str">
        <f>IF([1]Accounts!$D$207="","",[1]Accounts!$B$207)</f>
        <v>فروشنده</v>
      </c>
      <c r="C206">
        <f>IF([1]Accounts!$D$207="","",[1]Accounts!$C$207)</f>
        <v>0</v>
      </c>
      <c r="D206" t="str">
        <f>IF([1]Accounts!$D$207="","",[1]Accounts!$D$207)</f>
        <v>قم-سید حسین حسینی</v>
      </c>
      <c r="E206">
        <f>IF([1]Accounts!$D$207="","",[1]Accounts!$E$207)</f>
        <v>0</v>
      </c>
      <c r="F206">
        <f>IF([1]Accounts!$D$207="","",[1]Accounts!$F$207)</f>
        <v>9125528445</v>
      </c>
      <c r="G206" t="str">
        <f>IF([1]Accounts!$D$207="","",[1]Accounts!$G$207)</f>
        <v>قم-میدان تره بار-بلوک4-غرفه22</v>
      </c>
      <c r="T206" t="str">
        <f>IF([2]Baskol!$B$209="","",[2]Baskol!$B$209)</f>
        <v/>
      </c>
      <c r="U206" t="str">
        <f>IF([2]Baskol!$C$209="","",[2]Baskol!$C$209)</f>
        <v/>
      </c>
      <c r="V206" t="str">
        <f>IF([2]Baskol!$D$209="","",[2]Baskol!$D$209)</f>
        <v/>
      </c>
      <c r="W206" t="str">
        <f>IF([2]Baskol!$E$209="","",[2]Baskol!$E$209)</f>
        <v/>
      </c>
      <c r="X206" t="str">
        <f>IF([2]Baskol!$G$209="","",[2]Baskol!$G$209)</f>
        <v/>
      </c>
      <c r="Y206" t="str">
        <f>IF([2]Baskol!$I$209="","",[2]Baskol!$I$209)</f>
        <v/>
      </c>
      <c r="Z206" t="str">
        <f>IF([2]Baskol!$J$209="","",[2]Baskol!$J$209)</f>
        <v/>
      </c>
      <c r="AA206" t="str">
        <f>IF([2]Baskol!$K$209="","",[2]Baskol!$K$209)</f>
        <v/>
      </c>
      <c r="AB206" t="str">
        <f>IF([2]Baskol!$L$209="","",[2]Baskol!$L$209)</f>
        <v/>
      </c>
      <c r="AC206" t="str">
        <f>IF([2]Baskol!$N$209="","",[2]Baskol!$N$209)</f>
        <v/>
      </c>
      <c r="AD206" t="str">
        <f>IF([2]Baskol!$O$209="","",[2]Baskol!$O$209)</f>
        <v/>
      </c>
      <c r="AE206" t="str">
        <f>IF([3]Entry!$C$209="","",[3]Entry!$C$209)</f>
        <v/>
      </c>
      <c r="AF206" t="str">
        <f>IF([3]Entry!$D$209="","",[3]Entry!$D$209)</f>
        <v/>
      </c>
      <c r="AG206" t="str">
        <f>IF([3]Entry!$E$209="","",[3]Entry!$E$209)</f>
        <v/>
      </c>
      <c r="AH206" t="str">
        <f>IF([3]Entry!$G$209="","",[3]Entry!$G$209)</f>
        <v/>
      </c>
      <c r="AI206" t="str">
        <f>IF([3]Entry!$K$209="","",[3]Entry!$K$209)</f>
        <v/>
      </c>
      <c r="AJ206" t="str">
        <f>IF([3]Entry!$L$209="","",[3]Entry!$L$209)</f>
        <v/>
      </c>
      <c r="AK206" t="str">
        <f>IF([3]Entry!$M$209="","",[3]Entry!$M$209)</f>
        <v/>
      </c>
      <c r="AL206" t="str">
        <f>IF([3]Entry!$N$209="","",[3]Entry!$N$209)</f>
        <v/>
      </c>
      <c r="AM206" t="str">
        <f>IF([3]Entry!$R$209="","",[3]Entry!$R$209)</f>
        <v/>
      </c>
    </row>
    <row r="207" spans="1:39" x14ac:dyDescent="0.2">
      <c r="A207" t="str">
        <f>IF([1]Accounts!$D$208="","",[1]Accounts!$A$208)</f>
        <v>SL002</v>
      </c>
      <c r="B207" t="str">
        <f>IF([1]Accounts!$D$208="","",[1]Accounts!$B$208)</f>
        <v>فروشنده</v>
      </c>
      <c r="C207">
        <f>IF([1]Accounts!$D$208="","",[1]Accounts!$C$208)</f>
        <v>0</v>
      </c>
      <c r="D207" t="str">
        <f>IF([1]Accounts!$D$208="","",[1]Accounts!$D$208)</f>
        <v>مشهد-محمد توکلی</v>
      </c>
      <c r="E207">
        <f>IF([1]Accounts!$D$208="","",[1]Accounts!$E$208)</f>
        <v>0</v>
      </c>
      <c r="F207">
        <f>IF([1]Accounts!$D$208="","",[1]Accounts!$F$208)</f>
        <v>9154018185</v>
      </c>
      <c r="G207" t="str">
        <f>IF([1]Accounts!$D$208="","",[1]Accounts!$G$208)</f>
        <v>مشهد-میدان بارسپاد-تالار6-حجره15</v>
      </c>
      <c r="T207" t="str">
        <f>IF([2]Baskol!$B$210="","",[2]Baskol!$B$210)</f>
        <v/>
      </c>
      <c r="U207" t="str">
        <f>IF([2]Baskol!$C$210="","",[2]Baskol!$C$210)</f>
        <v/>
      </c>
      <c r="V207" t="str">
        <f>IF([2]Baskol!$D$210="","",[2]Baskol!$D$210)</f>
        <v/>
      </c>
      <c r="W207" t="str">
        <f>IF([2]Baskol!$E$210="","",[2]Baskol!$E$210)</f>
        <v/>
      </c>
      <c r="X207" t="str">
        <f>IF([2]Baskol!$G$210="","",[2]Baskol!$G$210)</f>
        <v/>
      </c>
      <c r="Y207" t="str">
        <f>IF([2]Baskol!$I$210="","",[2]Baskol!$I$210)</f>
        <v/>
      </c>
      <c r="Z207" t="str">
        <f>IF([2]Baskol!$J$210="","",[2]Baskol!$J$210)</f>
        <v/>
      </c>
      <c r="AA207" t="str">
        <f>IF([2]Baskol!$K$210="","",[2]Baskol!$K$210)</f>
        <v/>
      </c>
      <c r="AB207" t="str">
        <f>IF([2]Baskol!$L$210="","",[2]Baskol!$L$210)</f>
        <v/>
      </c>
      <c r="AC207" t="str">
        <f>IF([2]Baskol!$N$210="","",[2]Baskol!$N$210)</f>
        <v/>
      </c>
      <c r="AD207" t="str">
        <f>IF([2]Baskol!$O$210="","",[2]Baskol!$O$210)</f>
        <v/>
      </c>
      <c r="AE207" t="str">
        <f>IF([3]Entry!$C$210="","",[3]Entry!$C$210)</f>
        <v/>
      </c>
      <c r="AF207" t="str">
        <f>IF([3]Entry!$D$210="","",[3]Entry!$D$210)</f>
        <v/>
      </c>
      <c r="AG207" t="str">
        <f>IF([3]Entry!$E$210="","",[3]Entry!$E$210)</f>
        <v/>
      </c>
      <c r="AH207" t="str">
        <f>IF([3]Entry!$G$210="","",[3]Entry!$G$210)</f>
        <v/>
      </c>
      <c r="AI207" t="str">
        <f>IF([3]Entry!$K$210="","",[3]Entry!$K$210)</f>
        <v/>
      </c>
      <c r="AJ207" t="str">
        <f>IF([3]Entry!$L$210="","",[3]Entry!$L$210)</f>
        <v/>
      </c>
      <c r="AK207" t="str">
        <f>IF([3]Entry!$M$210="","",[3]Entry!$M$210)</f>
        <v/>
      </c>
      <c r="AL207" t="str">
        <f>IF([3]Entry!$N$210="","",[3]Entry!$N$210)</f>
        <v/>
      </c>
      <c r="AM207" t="str">
        <f>IF([3]Entry!$R$210="","",[3]Entry!$R$210)</f>
        <v/>
      </c>
    </row>
    <row r="208" spans="1:39" x14ac:dyDescent="0.2">
      <c r="A208" t="str">
        <f>IF([1]Accounts!$D$209="","",[1]Accounts!$A$209)</f>
        <v>SL003</v>
      </c>
      <c r="B208" t="str">
        <f>IF([1]Accounts!$D$209="","",[1]Accounts!$B$209)</f>
        <v>فروشنده</v>
      </c>
      <c r="C208">
        <f>IF([1]Accounts!$D$209="","",[1]Accounts!$C$209)</f>
        <v>0</v>
      </c>
      <c r="D208" t="str">
        <f>IF([1]Accounts!$D$209="","",[1]Accounts!$D$209)</f>
        <v>اراک-پوریا خوشنمکیان</v>
      </c>
      <c r="E208">
        <f>IF([1]Accounts!$D$209="","",[1]Accounts!$E$209)</f>
        <v>0</v>
      </c>
      <c r="F208">
        <f>IF([1]Accounts!$D$209="","",[1]Accounts!$F$209)</f>
        <v>9369182495</v>
      </c>
      <c r="G208" t="str">
        <f>IF([1]Accounts!$D$209="","",[1]Accounts!$G$209)</f>
        <v>اراک-میدان بار-فاز2-سالن شهید رجایی-حجره6</v>
      </c>
      <c r="T208" t="str">
        <f>IF([2]Baskol!$B$211="","",[2]Baskol!$B$211)</f>
        <v/>
      </c>
      <c r="U208" t="str">
        <f>IF([2]Baskol!$C$211="","",[2]Baskol!$C$211)</f>
        <v/>
      </c>
      <c r="V208" t="str">
        <f>IF([2]Baskol!$D$211="","",[2]Baskol!$D$211)</f>
        <v/>
      </c>
      <c r="W208" t="str">
        <f>IF([2]Baskol!$E$211="","",[2]Baskol!$E$211)</f>
        <v/>
      </c>
      <c r="X208" t="str">
        <f>IF([2]Baskol!$G$211="","",[2]Baskol!$G$211)</f>
        <v/>
      </c>
      <c r="Y208" t="str">
        <f>IF([2]Baskol!$I$211="","",[2]Baskol!$I$211)</f>
        <v/>
      </c>
      <c r="Z208" t="str">
        <f>IF([2]Baskol!$J$211="","",[2]Baskol!$J$211)</f>
        <v/>
      </c>
      <c r="AA208" t="str">
        <f>IF([2]Baskol!$K$211="","",[2]Baskol!$K$211)</f>
        <v/>
      </c>
      <c r="AB208" t="str">
        <f>IF([2]Baskol!$L$211="","",[2]Baskol!$L$211)</f>
        <v/>
      </c>
      <c r="AC208" t="str">
        <f>IF([2]Baskol!$N$211="","",[2]Baskol!$N$211)</f>
        <v/>
      </c>
      <c r="AD208" t="str">
        <f>IF([2]Baskol!$O$211="","",[2]Baskol!$O$211)</f>
        <v/>
      </c>
      <c r="AE208" t="str">
        <f>IF([3]Entry!$C$211="","",[3]Entry!$C$211)</f>
        <v/>
      </c>
      <c r="AF208" t="str">
        <f>IF([3]Entry!$D$211="","",[3]Entry!$D$211)</f>
        <v/>
      </c>
      <c r="AG208" t="str">
        <f>IF([3]Entry!$E$211="","",[3]Entry!$E$211)</f>
        <v/>
      </c>
      <c r="AH208" t="str">
        <f>IF([3]Entry!$G$211="","",[3]Entry!$G$211)</f>
        <v/>
      </c>
      <c r="AI208" t="str">
        <f>IF([3]Entry!$K$211="","",[3]Entry!$K$211)</f>
        <v/>
      </c>
      <c r="AJ208" t="str">
        <f>IF([3]Entry!$L$211="","",[3]Entry!$L$211)</f>
        <v/>
      </c>
      <c r="AK208" t="str">
        <f>IF([3]Entry!$M$211="","",[3]Entry!$M$211)</f>
        <v/>
      </c>
      <c r="AL208" t="str">
        <f>IF([3]Entry!$N$211="","",[3]Entry!$N$211)</f>
        <v/>
      </c>
      <c r="AM208" t="str">
        <f>IF([3]Entry!$R$211="","",[3]Entry!$R$211)</f>
        <v/>
      </c>
    </row>
    <row r="209" spans="1:39" x14ac:dyDescent="0.2">
      <c r="A209" t="str">
        <f>IF([1]Accounts!$D$210="","",[1]Accounts!$A$210)</f>
        <v>SL004</v>
      </c>
      <c r="B209" t="str">
        <f>IF([1]Accounts!$D$210="","",[1]Accounts!$B$210)</f>
        <v>فروشنده</v>
      </c>
      <c r="C209">
        <f>IF([1]Accounts!$D$210="","",[1]Accounts!$C$210)</f>
        <v>0</v>
      </c>
      <c r="D209" t="str">
        <f>IF([1]Accounts!$D$210="","",[1]Accounts!$D$210)</f>
        <v>نورزاده-تبریز</v>
      </c>
      <c r="E209">
        <f>IF([1]Accounts!$D$210="","",[1]Accounts!$E$210)</f>
        <v>0</v>
      </c>
      <c r="F209">
        <f>IF([1]Accounts!$D$210="","",[1]Accounts!$F$210)</f>
        <v>0</v>
      </c>
      <c r="G209">
        <f>IF([1]Accounts!$D$210="","",[1]Accounts!$G$210)</f>
        <v>0</v>
      </c>
      <c r="T209" t="str">
        <f>IF([2]Baskol!$B$212="","",[2]Baskol!$B$212)</f>
        <v/>
      </c>
      <c r="U209" t="str">
        <f>IF([2]Baskol!$C$212="","",[2]Baskol!$C$212)</f>
        <v/>
      </c>
      <c r="V209" t="str">
        <f>IF([2]Baskol!$D$212="","",[2]Baskol!$D$212)</f>
        <v/>
      </c>
      <c r="W209" t="str">
        <f>IF([2]Baskol!$E$212="","",[2]Baskol!$E$212)</f>
        <v/>
      </c>
      <c r="X209" t="str">
        <f>IF([2]Baskol!$G$212="","",[2]Baskol!$G$212)</f>
        <v/>
      </c>
      <c r="Y209" t="str">
        <f>IF([2]Baskol!$I$212="","",[2]Baskol!$I$212)</f>
        <v/>
      </c>
      <c r="Z209" t="str">
        <f>IF([2]Baskol!$J$212="","",[2]Baskol!$J$212)</f>
        <v/>
      </c>
      <c r="AA209" t="str">
        <f>IF([2]Baskol!$K$212="","",[2]Baskol!$K$212)</f>
        <v/>
      </c>
      <c r="AB209" t="str">
        <f>IF([2]Baskol!$L$212="","",[2]Baskol!$L$212)</f>
        <v/>
      </c>
      <c r="AC209" t="str">
        <f>IF([2]Baskol!$N$212="","",[2]Baskol!$N$212)</f>
        <v/>
      </c>
      <c r="AD209" t="str">
        <f>IF([2]Baskol!$O$212="","",[2]Baskol!$O$212)</f>
        <v/>
      </c>
      <c r="AE209" t="str">
        <f>IF([3]Entry!$C$212="","",[3]Entry!$C$212)</f>
        <v/>
      </c>
      <c r="AF209" t="str">
        <f>IF([3]Entry!$D$212="","",[3]Entry!$D$212)</f>
        <v/>
      </c>
      <c r="AG209" t="str">
        <f>IF([3]Entry!$E$212="","",[3]Entry!$E$212)</f>
        <v/>
      </c>
      <c r="AH209" t="str">
        <f>IF([3]Entry!$G$212="","",[3]Entry!$G$212)</f>
        <v/>
      </c>
      <c r="AI209" t="str">
        <f>IF([3]Entry!$K$212="","",[3]Entry!$K$212)</f>
        <v/>
      </c>
      <c r="AJ209" t="str">
        <f>IF([3]Entry!$L$212="","",[3]Entry!$L$212)</f>
        <v/>
      </c>
      <c r="AK209" t="str">
        <f>IF([3]Entry!$M$212="","",[3]Entry!$M$212)</f>
        <v/>
      </c>
      <c r="AL209" t="str">
        <f>IF([3]Entry!$N$212="","",[3]Entry!$N$212)</f>
        <v/>
      </c>
      <c r="AM209" t="str">
        <f>IF([3]Entry!$R$212="","",[3]Entry!$R$212)</f>
        <v/>
      </c>
    </row>
    <row r="210" spans="1:39" x14ac:dyDescent="0.2">
      <c r="A210" t="str">
        <f>IF([1]Accounts!$D$211="","",[1]Accounts!$A$211)</f>
        <v>SL005</v>
      </c>
      <c r="B210" t="str">
        <f>IF([1]Accounts!$D$211="","",[1]Accounts!$B$211)</f>
        <v>فروشنده</v>
      </c>
      <c r="C210">
        <f>IF([1]Accounts!$D$211="","",[1]Accounts!$C$211)</f>
        <v>0</v>
      </c>
      <c r="D210" t="str">
        <f>IF([1]Accounts!$D$211="","",[1]Accounts!$D$211)</f>
        <v>زنجان-خانی</v>
      </c>
      <c r="E210">
        <f>IF([1]Accounts!$D$211="","",[1]Accounts!$E$211)</f>
        <v>0</v>
      </c>
      <c r="F210">
        <f>IF([1]Accounts!$D$211="","",[1]Accounts!$F$211)</f>
        <v>0</v>
      </c>
      <c r="G210">
        <f>IF([1]Accounts!$D$211="","",[1]Accounts!$G$211)</f>
        <v>0</v>
      </c>
      <c r="T210" t="str">
        <f>IF([2]Baskol!$B$213="","",[2]Baskol!$B$213)</f>
        <v/>
      </c>
      <c r="U210" t="str">
        <f>IF([2]Baskol!$C$213="","",[2]Baskol!$C$213)</f>
        <v/>
      </c>
      <c r="V210" t="str">
        <f>IF([2]Baskol!$D$213="","",[2]Baskol!$D$213)</f>
        <v/>
      </c>
      <c r="W210" t="str">
        <f>IF([2]Baskol!$E$213="","",[2]Baskol!$E$213)</f>
        <v/>
      </c>
      <c r="X210" t="str">
        <f>IF([2]Baskol!$G$213="","",[2]Baskol!$G$213)</f>
        <v/>
      </c>
      <c r="Y210" t="str">
        <f>IF([2]Baskol!$I$213="","",[2]Baskol!$I$213)</f>
        <v/>
      </c>
      <c r="Z210" t="str">
        <f>IF([2]Baskol!$J$213="","",[2]Baskol!$J$213)</f>
        <v/>
      </c>
      <c r="AA210" t="str">
        <f>IF([2]Baskol!$K$213="","",[2]Baskol!$K$213)</f>
        <v/>
      </c>
      <c r="AB210" t="str">
        <f>IF([2]Baskol!$L$213="","",[2]Baskol!$L$213)</f>
        <v/>
      </c>
      <c r="AC210" t="str">
        <f>IF([2]Baskol!$N$213="","",[2]Baskol!$N$213)</f>
        <v/>
      </c>
      <c r="AD210" t="str">
        <f>IF([2]Baskol!$O$213="","",[2]Baskol!$O$213)</f>
        <v/>
      </c>
      <c r="AE210" t="str">
        <f>IF([3]Entry!$C$213="","",[3]Entry!$C$213)</f>
        <v/>
      </c>
      <c r="AF210" t="str">
        <f>IF([3]Entry!$D$213="","",[3]Entry!$D$213)</f>
        <v/>
      </c>
      <c r="AG210" t="str">
        <f>IF([3]Entry!$E$213="","",[3]Entry!$E$213)</f>
        <v/>
      </c>
      <c r="AH210" t="str">
        <f>IF([3]Entry!$G$213="","",[3]Entry!$G$213)</f>
        <v/>
      </c>
      <c r="AI210" t="str">
        <f>IF([3]Entry!$K$213="","",[3]Entry!$K$213)</f>
        <v/>
      </c>
      <c r="AJ210" t="str">
        <f>IF([3]Entry!$L$213="","",[3]Entry!$L$213)</f>
        <v/>
      </c>
      <c r="AK210" t="str">
        <f>IF([3]Entry!$M$213="","",[3]Entry!$M$213)</f>
        <v/>
      </c>
      <c r="AL210" t="str">
        <f>IF([3]Entry!$N$213="","",[3]Entry!$N$213)</f>
        <v/>
      </c>
      <c r="AM210" t="str">
        <f>IF([3]Entry!$R$213="","",[3]Entry!$R$213)</f>
        <v/>
      </c>
    </row>
    <row r="211" spans="1:39" x14ac:dyDescent="0.2">
      <c r="A211" t="str">
        <f>IF([1]Accounts!$D$212="","",[1]Accounts!$A$212)</f>
        <v/>
      </c>
      <c r="B211" t="str">
        <f>IF([1]Accounts!$D$212="","",[1]Accounts!$B$212)</f>
        <v/>
      </c>
      <c r="C211" t="str">
        <f>IF([1]Accounts!$D$212="","",[1]Accounts!$C$212)</f>
        <v/>
      </c>
      <c r="D211" t="str">
        <f>IF([1]Accounts!$D$212="","",[1]Accounts!$D$212)</f>
        <v/>
      </c>
      <c r="E211" t="str">
        <f>IF([1]Accounts!$D$212="","",[1]Accounts!$E$212)</f>
        <v/>
      </c>
      <c r="F211" t="str">
        <f>IF([1]Accounts!$D$212="","",[1]Accounts!$F$212)</f>
        <v/>
      </c>
      <c r="G211" t="str">
        <f>IF([1]Accounts!$D$212="","",[1]Accounts!$G$212)</f>
        <v/>
      </c>
      <c r="T211" t="str">
        <f>IF([2]Baskol!$B$214="","",[2]Baskol!$B$214)</f>
        <v/>
      </c>
      <c r="U211" t="str">
        <f>IF([2]Baskol!$C$214="","",[2]Baskol!$C$214)</f>
        <v/>
      </c>
      <c r="V211" t="str">
        <f>IF([2]Baskol!$D$214="","",[2]Baskol!$D$214)</f>
        <v/>
      </c>
      <c r="W211" t="str">
        <f>IF([2]Baskol!$E$214="","",[2]Baskol!$E$214)</f>
        <v/>
      </c>
      <c r="X211" t="str">
        <f>IF([2]Baskol!$G$214="","",[2]Baskol!$G$214)</f>
        <v/>
      </c>
      <c r="Y211" t="str">
        <f>IF([2]Baskol!$I$214="","",[2]Baskol!$I$214)</f>
        <v/>
      </c>
      <c r="Z211" t="str">
        <f>IF([2]Baskol!$J$214="","",[2]Baskol!$J$214)</f>
        <v/>
      </c>
      <c r="AA211" t="str">
        <f>IF([2]Baskol!$K$214="","",[2]Baskol!$K$214)</f>
        <v/>
      </c>
      <c r="AB211" t="str">
        <f>IF([2]Baskol!$L$214="","",[2]Baskol!$L$214)</f>
        <v/>
      </c>
      <c r="AC211" t="str">
        <f>IF([2]Baskol!$N$214="","",[2]Baskol!$N$214)</f>
        <v/>
      </c>
      <c r="AD211" t="str">
        <f>IF([2]Baskol!$O$214="","",[2]Baskol!$O$214)</f>
        <v/>
      </c>
      <c r="AE211" t="str">
        <f>IF([3]Entry!$C$214="","",[3]Entry!$C$214)</f>
        <v/>
      </c>
      <c r="AF211" t="str">
        <f>IF([3]Entry!$D$214="","",[3]Entry!$D$214)</f>
        <v/>
      </c>
      <c r="AG211" t="str">
        <f>IF([3]Entry!$E$214="","",[3]Entry!$E$214)</f>
        <v/>
      </c>
      <c r="AH211" t="str">
        <f>IF([3]Entry!$G$214="","",[3]Entry!$G$214)</f>
        <v/>
      </c>
      <c r="AI211" t="str">
        <f>IF([3]Entry!$K$214="","",[3]Entry!$K$214)</f>
        <v/>
      </c>
      <c r="AJ211" t="str">
        <f>IF([3]Entry!$L$214="","",[3]Entry!$L$214)</f>
        <v/>
      </c>
      <c r="AK211" t="str">
        <f>IF([3]Entry!$M$214="","",[3]Entry!$M$214)</f>
        <v/>
      </c>
      <c r="AL211" t="str">
        <f>IF([3]Entry!$N$214="","",[3]Entry!$N$214)</f>
        <v/>
      </c>
      <c r="AM211" t="str">
        <f>IF([3]Entry!$R$214="","",[3]Entry!$R$214)</f>
        <v/>
      </c>
    </row>
    <row r="212" spans="1:39" x14ac:dyDescent="0.2">
      <c r="A212" t="str">
        <f>IF([1]Accounts!$D$213="","",[1]Accounts!$A$213)</f>
        <v/>
      </c>
      <c r="B212" t="str">
        <f>IF([1]Accounts!$D$213="","",[1]Accounts!$B$213)</f>
        <v/>
      </c>
      <c r="C212" t="str">
        <f>IF([1]Accounts!$D$213="","",[1]Accounts!$C$213)</f>
        <v/>
      </c>
      <c r="D212" t="str">
        <f>IF([1]Accounts!$D$213="","",[1]Accounts!$D$213)</f>
        <v/>
      </c>
      <c r="E212" t="str">
        <f>IF([1]Accounts!$D$213="","",[1]Accounts!$E$213)</f>
        <v/>
      </c>
      <c r="F212" t="str">
        <f>IF([1]Accounts!$D$213="","",[1]Accounts!$F$213)</f>
        <v/>
      </c>
      <c r="G212" t="str">
        <f>IF([1]Accounts!$D$213="","",[1]Accounts!$G$213)</f>
        <v/>
      </c>
      <c r="T212" t="str">
        <f>IF([2]Baskol!$B$215="","",[2]Baskol!$B$215)</f>
        <v/>
      </c>
      <c r="U212" t="str">
        <f>IF([2]Baskol!$C$215="","",[2]Baskol!$C$215)</f>
        <v/>
      </c>
      <c r="V212" t="str">
        <f>IF([2]Baskol!$D$215="","",[2]Baskol!$D$215)</f>
        <v/>
      </c>
      <c r="W212" t="str">
        <f>IF([2]Baskol!$E$215="","",[2]Baskol!$E$215)</f>
        <v/>
      </c>
      <c r="X212" t="str">
        <f>IF([2]Baskol!$G$215="","",[2]Baskol!$G$215)</f>
        <v/>
      </c>
      <c r="Y212" t="str">
        <f>IF([2]Baskol!$I$215="","",[2]Baskol!$I$215)</f>
        <v/>
      </c>
      <c r="Z212" t="str">
        <f>IF([2]Baskol!$J$215="","",[2]Baskol!$J$215)</f>
        <v/>
      </c>
      <c r="AA212" t="str">
        <f>IF([2]Baskol!$K$215="","",[2]Baskol!$K$215)</f>
        <v/>
      </c>
      <c r="AB212" t="str">
        <f>IF([2]Baskol!$L$215="","",[2]Baskol!$L$215)</f>
        <v/>
      </c>
      <c r="AC212" t="str">
        <f>IF([2]Baskol!$N$215="","",[2]Baskol!$N$215)</f>
        <v/>
      </c>
      <c r="AD212" t="str">
        <f>IF([2]Baskol!$O$215="","",[2]Baskol!$O$215)</f>
        <v/>
      </c>
      <c r="AE212" t="str">
        <f>IF([3]Entry!$C$215="","",[3]Entry!$C$215)</f>
        <v/>
      </c>
      <c r="AF212" t="str">
        <f>IF([3]Entry!$D$215="","",[3]Entry!$D$215)</f>
        <v/>
      </c>
      <c r="AG212" t="str">
        <f>IF([3]Entry!$E$215="","",[3]Entry!$E$215)</f>
        <v/>
      </c>
      <c r="AH212" t="str">
        <f>IF([3]Entry!$G$215="","",[3]Entry!$G$215)</f>
        <v/>
      </c>
      <c r="AI212" t="str">
        <f>IF([3]Entry!$K$215="","",[3]Entry!$K$215)</f>
        <v/>
      </c>
      <c r="AJ212" t="str">
        <f>IF([3]Entry!$L$215="","",[3]Entry!$L$215)</f>
        <v/>
      </c>
      <c r="AK212" t="str">
        <f>IF([3]Entry!$M$215="","",[3]Entry!$M$215)</f>
        <v/>
      </c>
      <c r="AL212" t="str">
        <f>IF([3]Entry!$N$215="","",[3]Entry!$N$215)</f>
        <v/>
      </c>
      <c r="AM212" t="str">
        <f>IF([3]Entry!$R$215="","",[3]Entry!$R$215)</f>
        <v/>
      </c>
    </row>
    <row r="213" spans="1:39" x14ac:dyDescent="0.2">
      <c r="A213" t="str">
        <f>IF([1]Accounts!$D$214="","",[1]Accounts!$A$214)</f>
        <v/>
      </c>
      <c r="B213" t="str">
        <f>IF([1]Accounts!$D$214="","",[1]Accounts!$B$214)</f>
        <v/>
      </c>
      <c r="C213" t="str">
        <f>IF([1]Accounts!$D$214="","",[1]Accounts!$C$214)</f>
        <v/>
      </c>
      <c r="D213" t="str">
        <f>IF([1]Accounts!$D$214="","",[1]Accounts!$D$214)</f>
        <v/>
      </c>
      <c r="E213" t="str">
        <f>IF([1]Accounts!$D$214="","",[1]Accounts!$E$214)</f>
        <v/>
      </c>
      <c r="F213" t="str">
        <f>IF([1]Accounts!$D$214="","",[1]Accounts!$F$214)</f>
        <v/>
      </c>
      <c r="G213" t="str">
        <f>IF([1]Accounts!$D$214="","",[1]Accounts!$G$214)</f>
        <v/>
      </c>
      <c r="T213" t="str">
        <f>IF([2]Baskol!$B$216="","",[2]Baskol!$B$216)</f>
        <v/>
      </c>
      <c r="U213" t="str">
        <f>IF([2]Baskol!$C$216="","",[2]Baskol!$C$216)</f>
        <v/>
      </c>
      <c r="V213" t="str">
        <f>IF([2]Baskol!$D$216="","",[2]Baskol!$D$216)</f>
        <v/>
      </c>
      <c r="W213" t="str">
        <f>IF([2]Baskol!$E$216="","",[2]Baskol!$E$216)</f>
        <v/>
      </c>
      <c r="X213" t="str">
        <f>IF([2]Baskol!$G$216="","",[2]Baskol!$G$216)</f>
        <v/>
      </c>
      <c r="Y213" t="str">
        <f>IF([2]Baskol!$I$216="","",[2]Baskol!$I$216)</f>
        <v/>
      </c>
      <c r="Z213" t="str">
        <f>IF([2]Baskol!$J$216="","",[2]Baskol!$J$216)</f>
        <v/>
      </c>
      <c r="AA213" t="str">
        <f>IF([2]Baskol!$K$216="","",[2]Baskol!$K$216)</f>
        <v/>
      </c>
      <c r="AB213" t="str">
        <f>IF([2]Baskol!$L$216="","",[2]Baskol!$L$216)</f>
        <v/>
      </c>
      <c r="AC213" t="str">
        <f>IF([2]Baskol!$N$216="","",[2]Baskol!$N$216)</f>
        <v/>
      </c>
      <c r="AD213" t="str">
        <f>IF([2]Baskol!$O$216="","",[2]Baskol!$O$216)</f>
        <v/>
      </c>
      <c r="AE213" t="str">
        <f>IF([3]Entry!$C$216="","",[3]Entry!$C$216)</f>
        <v/>
      </c>
      <c r="AF213" t="str">
        <f>IF([3]Entry!$D$216="","",[3]Entry!$D$216)</f>
        <v/>
      </c>
      <c r="AG213" t="str">
        <f>IF([3]Entry!$E$216="","",[3]Entry!$E$216)</f>
        <v/>
      </c>
      <c r="AH213" t="str">
        <f>IF([3]Entry!$G$216="","",[3]Entry!$G$216)</f>
        <v/>
      </c>
      <c r="AI213" t="str">
        <f>IF([3]Entry!$K$216="","",[3]Entry!$K$216)</f>
        <v/>
      </c>
      <c r="AJ213" t="str">
        <f>IF([3]Entry!$L$216="","",[3]Entry!$L$216)</f>
        <v/>
      </c>
      <c r="AK213" t="str">
        <f>IF([3]Entry!$M$216="","",[3]Entry!$M$216)</f>
        <v/>
      </c>
      <c r="AL213" t="str">
        <f>IF([3]Entry!$N$216="","",[3]Entry!$N$216)</f>
        <v/>
      </c>
      <c r="AM213" t="str">
        <f>IF([3]Entry!$R$216="","",[3]Entry!$R$216)</f>
        <v/>
      </c>
    </row>
    <row r="214" spans="1:39" x14ac:dyDescent="0.2">
      <c r="A214" t="str">
        <f>IF([1]Accounts!$D$215="","",[1]Accounts!$A$215)</f>
        <v/>
      </c>
      <c r="B214" t="str">
        <f>IF([1]Accounts!$D$215="","",[1]Accounts!$B$215)</f>
        <v/>
      </c>
      <c r="C214" t="str">
        <f>IF([1]Accounts!$D$215="","",[1]Accounts!$C$215)</f>
        <v/>
      </c>
      <c r="D214" t="str">
        <f>IF([1]Accounts!$D$215="","",[1]Accounts!$D$215)</f>
        <v/>
      </c>
      <c r="E214" t="str">
        <f>IF([1]Accounts!$D$215="","",[1]Accounts!$E$215)</f>
        <v/>
      </c>
      <c r="F214" t="str">
        <f>IF([1]Accounts!$D$215="","",[1]Accounts!$F$215)</f>
        <v/>
      </c>
      <c r="G214" t="str">
        <f>IF([1]Accounts!$D$215="","",[1]Accounts!$G$215)</f>
        <v/>
      </c>
      <c r="T214" t="str">
        <f>IF([2]Baskol!$B$217="","",[2]Baskol!$B$217)</f>
        <v/>
      </c>
      <c r="U214" t="str">
        <f>IF([2]Baskol!$C$217="","",[2]Baskol!$C$217)</f>
        <v/>
      </c>
      <c r="V214" t="str">
        <f>IF([2]Baskol!$D$217="","",[2]Baskol!$D$217)</f>
        <v/>
      </c>
      <c r="W214" t="str">
        <f>IF([2]Baskol!$E$217="","",[2]Baskol!$E$217)</f>
        <v/>
      </c>
      <c r="X214" t="str">
        <f>IF([2]Baskol!$G$217="","",[2]Baskol!$G$217)</f>
        <v/>
      </c>
      <c r="Y214" t="str">
        <f>IF([2]Baskol!$I$217="","",[2]Baskol!$I$217)</f>
        <v/>
      </c>
      <c r="Z214" t="str">
        <f>IF([2]Baskol!$J$217="","",[2]Baskol!$J$217)</f>
        <v/>
      </c>
      <c r="AA214" t="str">
        <f>IF([2]Baskol!$K$217="","",[2]Baskol!$K$217)</f>
        <v/>
      </c>
      <c r="AB214" t="str">
        <f>IF([2]Baskol!$L$217="","",[2]Baskol!$L$217)</f>
        <v/>
      </c>
      <c r="AC214" t="str">
        <f>IF([2]Baskol!$N$217="","",[2]Baskol!$N$217)</f>
        <v/>
      </c>
      <c r="AD214" t="str">
        <f>IF([2]Baskol!$O$217="","",[2]Baskol!$O$217)</f>
        <v/>
      </c>
      <c r="AE214" t="str">
        <f>IF([3]Entry!$C$217="","",[3]Entry!$C$217)</f>
        <v/>
      </c>
      <c r="AF214" t="str">
        <f>IF([3]Entry!$D$217="","",[3]Entry!$D$217)</f>
        <v/>
      </c>
      <c r="AG214" t="str">
        <f>IF([3]Entry!$E$217="","",[3]Entry!$E$217)</f>
        <v/>
      </c>
      <c r="AH214" t="str">
        <f>IF([3]Entry!$G$217="","",[3]Entry!$G$217)</f>
        <v/>
      </c>
      <c r="AI214" t="str">
        <f>IF([3]Entry!$K$217="","",[3]Entry!$K$217)</f>
        <v/>
      </c>
      <c r="AJ214" t="str">
        <f>IF([3]Entry!$L$217="","",[3]Entry!$L$217)</f>
        <v/>
      </c>
      <c r="AK214" t="str">
        <f>IF([3]Entry!$M$217="","",[3]Entry!$M$217)</f>
        <v/>
      </c>
      <c r="AL214" t="str">
        <f>IF([3]Entry!$N$217="","",[3]Entry!$N$217)</f>
        <v/>
      </c>
      <c r="AM214" t="str">
        <f>IF([3]Entry!$R$217="","",[3]Entry!$R$217)</f>
        <v/>
      </c>
    </row>
    <row r="215" spans="1:39" x14ac:dyDescent="0.2">
      <c r="A215" t="str">
        <f>IF([1]Accounts!$D$216="","",[1]Accounts!$A$216)</f>
        <v/>
      </c>
      <c r="B215" t="str">
        <f>IF([1]Accounts!$D$216="","",[1]Accounts!$B$216)</f>
        <v/>
      </c>
      <c r="C215" t="str">
        <f>IF([1]Accounts!$D$216="","",[1]Accounts!$C$216)</f>
        <v/>
      </c>
      <c r="D215" t="str">
        <f>IF([1]Accounts!$D$216="","",[1]Accounts!$D$216)</f>
        <v/>
      </c>
      <c r="E215" t="str">
        <f>IF([1]Accounts!$D$216="","",[1]Accounts!$E$216)</f>
        <v/>
      </c>
      <c r="F215" t="str">
        <f>IF([1]Accounts!$D$216="","",[1]Accounts!$F$216)</f>
        <v/>
      </c>
      <c r="G215" t="str">
        <f>IF([1]Accounts!$D$216="","",[1]Accounts!$G$216)</f>
        <v/>
      </c>
      <c r="T215" t="str">
        <f>IF([2]Baskol!$B$218="","",[2]Baskol!$B$218)</f>
        <v/>
      </c>
      <c r="U215" t="str">
        <f>IF([2]Baskol!$C$218="","",[2]Baskol!$C$218)</f>
        <v/>
      </c>
      <c r="V215" t="str">
        <f>IF([2]Baskol!$D$218="","",[2]Baskol!$D$218)</f>
        <v/>
      </c>
      <c r="W215" t="str">
        <f>IF([2]Baskol!$E$218="","",[2]Baskol!$E$218)</f>
        <v/>
      </c>
      <c r="X215" t="str">
        <f>IF([2]Baskol!$G$218="","",[2]Baskol!$G$218)</f>
        <v/>
      </c>
      <c r="Y215" t="str">
        <f>IF([2]Baskol!$I$218="","",[2]Baskol!$I$218)</f>
        <v/>
      </c>
      <c r="Z215" t="str">
        <f>IF([2]Baskol!$J$218="","",[2]Baskol!$J$218)</f>
        <v/>
      </c>
      <c r="AA215" t="str">
        <f>IF([2]Baskol!$K$218="","",[2]Baskol!$K$218)</f>
        <v/>
      </c>
      <c r="AB215" t="str">
        <f>IF([2]Baskol!$L$218="","",[2]Baskol!$L$218)</f>
        <v/>
      </c>
      <c r="AC215" t="str">
        <f>IF([2]Baskol!$N$218="","",[2]Baskol!$N$218)</f>
        <v/>
      </c>
      <c r="AD215" t="str">
        <f>IF([2]Baskol!$O$218="","",[2]Baskol!$O$218)</f>
        <v/>
      </c>
      <c r="AE215" t="str">
        <f>IF([3]Entry!$C$218="","",[3]Entry!$C$218)</f>
        <v/>
      </c>
      <c r="AF215" t="str">
        <f>IF([3]Entry!$D$218="","",[3]Entry!$D$218)</f>
        <v/>
      </c>
      <c r="AG215" t="str">
        <f>IF([3]Entry!$E$218="","",[3]Entry!$E$218)</f>
        <v/>
      </c>
      <c r="AH215" t="str">
        <f>IF([3]Entry!$G$218="","",[3]Entry!$G$218)</f>
        <v/>
      </c>
      <c r="AI215" t="str">
        <f>IF([3]Entry!$K$218="","",[3]Entry!$K$218)</f>
        <v/>
      </c>
      <c r="AJ215" t="str">
        <f>IF([3]Entry!$L$218="","",[3]Entry!$L$218)</f>
        <v/>
      </c>
      <c r="AK215" t="str">
        <f>IF([3]Entry!$M$218="","",[3]Entry!$M$218)</f>
        <v/>
      </c>
      <c r="AL215" t="str">
        <f>IF([3]Entry!$N$218="","",[3]Entry!$N$218)</f>
        <v/>
      </c>
      <c r="AM215" t="str">
        <f>IF([3]Entry!$R$218="","",[3]Entry!$R$218)</f>
        <v/>
      </c>
    </row>
    <row r="216" spans="1:39" x14ac:dyDescent="0.2">
      <c r="A216" t="str">
        <f>IF([1]Accounts!$D$217="","",[1]Accounts!$A$217)</f>
        <v/>
      </c>
      <c r="B216" t="str">
        <f>IF([1]Accounts!$D$217="","",[1]Accounts!$B$217)</f>
        <v/>
      </c>
      <c r="C216" t="str">
        <f>IF([1]Accounts!$D$217="","",[1]Accounts!$C$217)</f>
        <v/>
      </c>
      <c r="D216" t="str">
        <f>IF([1]Accounts!$D$217="","",[1]Accounts!$D$217)</f>
        <v/>
      </c>
      <c r="E216" t="str">
        <f>IF([1]Accounts!$D$217="","",[1]Accounts!$E$217)</f>
        <v/>
      </c>
      <c r="F216" t="str">
        <f>IF([1]Accounts!$D$217="","",[1]Accounts!$F$217)</f>
        <v/>
      </c>
      <c r="G216" t="str">
        <f>IF([1]Accounts!$D$217="","",[1]Accounts!$G$217)</f>
        <v/>
      </c>
      <c r="T216" t="str">
        <f>IF([2]Baskol!$B$219="","",[2]Baskol!$B$219)</f>
        <v/>
      </c>
      <c r="U216" t="str">
        <f>IF([2]Baskol!$C$219="","",[2]Baskol!$C$219)</f>
        <v/>
      </c>
      <c r="V216" t="str">
        <f>IF([2]Baskol!$D$219="","",[2]Baskol!$D$219)</f>
        <v/>
      </c>
      <c r="W216" t="str">
        <f>IF([2]Baskol!$E$219="","",[2]Baskol!$E$219)</f>
        <v/>
      </c>
      <c r="X216" t="str">
        <f>IF([2]Baskol!$G$219="","",[2]Baskol!$G$219)</f>
        <v/>
      </c>
      <c r="Y216" t="str">
        <f>IF([2]Baskol!$I$219="","",[2]Baskol!$I$219)</f>
        <v/>
      </c>
      <c r="Z216" t="str">
        <f>IF([2]Baskol!$J$219="","",[2]Baskol!$J$219)</f>
        <v/>
      </c>
      <c r="AA216" t="str">
        <f>IF([2]Baskol!$K$219="","",[2]Baskol!$K$219)</f>
        <v/>
      </c>
      <c r="AB216" t="str">
        <f>IF([2]Baskol!$L$219="","",[2]Baskol!$L$219)</f>
        <v/>
      </c>
      <c r="AC216" t="str">
        <f>IF([2]Baskol!$N$219="","",[2]Baskol!$N$219)</f>
        <v/>
      </c>
      <c r="AD216" t="str">
        <f>IF([2]Baskol!$O$219="","",[2]Baskol!$O$219)</f>
        <v/>
      </c>
      <c r="AE216" t="str">
        <f>IF([3]Entry!$C$219="","",[3]Entry!$C$219)</f>
        <v/>
      </c>
      <c r="AF216" t="str">
        <f>IF([3]Entry!$D$219="","",[3]Entry!$D$219)</f>
        <v/>
      </c>
      <c r="AG216" t="str">
        <f>IF([3]Entry!$E$219="","",[3]Entry!$E$219)</f>
        <v/>
      </c>
      <c r="AH216" t="str">
        <f>IF([3]Entry!$G$219="","",[3]Entry!$G$219)</f>
        <v/>
      </c>
      <c r="AI216" t="str">
        <f>IF([3]Entry!$K$219="","",[3]Entry!$K$219)</f>
        <v/>
      </c>
      <c r="AJ216" t="str">
        <f>IF([3]Entry!$L$219="","",[3]Entry!$L$219)</f>
        <v/>
      </c>
      <c r="AK216" t="str">
        <f>IF([3]Entry!$M$219="","",[3]Entry!$M$219)</f>
        <v/>
      </c>
      <c r="AL216" t="str">
        <f>IF([3]Entry!$N$219="","",[3]Entry!$N$219)</f>
        <v/>
      </c>
      <c r="AM216" t="str">
        <f>IF([3]Entry!$R$219="","",[3]Entry!$R$219)</f>
        <v/>
      </c>
    </row>
    <row r="217" spans="1:39" x14ac:dyDescent="0.2">
      <c r="A217" t="str">
        <f>IF([1]Accounts!$D$218="","",[1]Accounts!$A$218)</f>
        <v/>
      </c>
      <c r="B217" t="str">
        <f>IF([1]Accounts!$D$218="","",[1]Accounts!$B$218)</f>
        <v/>
      </c>
      <c r="C217" t="str">
        <f>IF([1]Accounts!$D$218="","",[1]Accounts!$C$218)</f>
        <v/>
      </c>
      <c r="D217" t="str">
        <f>IF([1]Accounts!$D$218="","",[1]Accounts!$D$218)</f>
        <v/>
      </c>
      <c r="E217" t="str">
        <f>IF([1]Accounts!$D$218="","",[1]Accounts!$E$218)</f>
        <v/>
      </c>
      <c r="F217" t="str">
        <f>IF([1]Accounts!$D$218="","",[1]Accounts!$F$218)</f>
        <v/>
      </c>
      <c r="G217" t="str">
        <f>IF([1]Accounts!$D$218="","",[1]Accounts!$G$218)</f>
        <v/>
      </c>
      <c r="T217" t="str">
        <f>IF([2]Baskol!$B$220="","",[2]Baskol!$B$220)</f>
        <v/>
      </c>
      <c r="U217" t="str">
        <f>IF([2]Baskol!$C$220="","",[2]Baskol!$C$220)</f>
        <v/>
      </c>
      <c r="V217" t="str">
        <f>IF([2]Baskol!$D$220="","",[2]Baskol!$D$220)</f>
        <v/>
      </c>
      <c r="W217" t="str">
        <f>IF([2]Baskol!$E$220="","",[2]Baskol!$E$220)</f>
        <v/>
      </c>
      <c r="X217" t="str">
        <f>IF([2]Baskol!$G$220="","",[2]Baskol!$G$220)</f>
        <v/>
      </c>
      <c r="Y217" t="str">
        <f>IF([2]Baskol!$I$220="","",[2]Baskol!$I$220)</f>
        <v/>
      </c>
      <c r="Z217" t="str">
        <f>IF([2]Baskol!$J$220="","",[2]Baskol!$J$220)</f>
        <v/>
      </c>
      <c r="AA217" t="str">
        <f>IF([2]Baskol!$K$220="","",[2]Baskol!$K$220)</f>
        <v/>
      </c>
      <c r="AB217" t="str">
        <f>IF([2]Baskol!$L$220="","",[2]Baskol!$L$220)</f>
        <v/>
      </c>
      <c r="AC217" t="str">
        <f>IF([2]Baskol!$N$220="","",[2]Baskol!$N$220)</f>
        <v/>
      </c>
      <c r="AD217" t="str">
        <f>IF([2]Baskol!$O$220="","",[2]Baskol!$O$220)</f>
        <v/>
      </c>
      <c r="AE217" t="str">
        <f>IF([3]Entry!$C$220="","",[3]Entry!$C$220)</f>
        <v/>
      </c>
      <c r="AF217" t="str">
        <f>IF([3]Entry!$D$220="","",[3]Entry!$D$220)</f>
        <v/>
      </c>
      <c r="AG217" t="str">
        <f>IF([3]Entry!$E$220="","",[3]Entry!$E$220)</f>
        <v/>
      </c>
      <c r="AH217" t="str">
        <f>IF([3]Entry!$G$220="","",[3]Entry!$G$220)</f>
        <v/>
      </c>
      <c r="AI217" t="str">
        <f>IF([3]Entry!$K$220="","",[3]Entry!$K$220)</f>
        <v/>
      </c>
      <c r="AJ217" t="str">
        <f>IF([3]Entry!$L$220="","",[3]Entry!$L$220)</f>
        <v/>
      </c>
      <c r="AK217" t="str">
        <f>IF([3]Entry!$M$220="","",[3]Entry!$M$220)</f>
        <v/>
      </c>
      <c r="AL217" t="str">
        <f>IF([3]Entry!$N$220="","",[3]Entry!$N$220)</f>
        <v/>
      </c>
      <c r="AM217" t="str">
        <f>IF([3]Entry!$R$220="","",[3]Entry!$R$220)</f>
        <v/>
      </c>
    </row>
    <row r="218" spans="1:39" x14ac:dyDescent="0.2">
      <c r="A218" t="str">
        <f>IF([1]Accounts!$D$219="","",[1]Accounts!$A$219)</f>
        <v/>
      </c>
      <c r="B218" t="str">
        <f>IF([1]Accounts!$D$219="","",[1]Accounts!$B$219)</f>
        <v/>
      </c>
      <c r="C218" t="str">
        <f>IF([1]Accounts!$D$219="","",[1]Accounts!$C$219)</f>
        <v/>
      </c>
      <c r="D218" t="str">
        <f>IF([1]Accounts!$D$219="","",[1]Accounts!$D$219)</f>
        <v/>
      </c>
      <c r="E218" t="str">
        <f>IF([1]Accounts!$D$219="","",[1]Accounts!$E$219)</f>
        <v/>
      </c>
      <c r="F218" t="str">
        <f>IF([1]Accounts!$D$219="","",[1]Accounts!$F$219)</f>
        <v/>
      </c>
      <c r="G218" t="str">
        <f>IF([1]Accounts!$D$219="","",[1]Accounts!$G$219)</f>
        <v/>
      </c>
      <c r="T218" t="str">
        <f>IF([2]Baskol!$B$221="","",[2]Baskol!$B$221)</f>
        <v/>
      </c>
      <c r="U218" t="str">
        <f>IF([2]Baskol!$C$221="","",[2]Baskol!$C$221)</f>
        <v/>
      </c>
      <c r="V218" t="str">
        <f>IF([2]Baskol!$D$221="","",[2]Baskol!$D$221)</f>
        <v/>
      </c>
      <c r="W218" t="str">
        <f>IF([2]Baskol!$E$221="","",[2]Baskol!$E$221)</f>
        <v/>
      </c>
      <c r="X218" t="str">
        <f>IF([2]Baskol!$G$221="","",[2]Baskol!$G$221)</f>
        <v/>
      </c>
      <c r="Y218" t="str">
        <f>IF([2]Baskol!$I$221="","",[2]Baskol!$I$221)</f>
        <v/>
      </c>
      <c r="Z218" t="str">
        <f>IF([2]Baskol!$J$221="","",[2]Baskol!$J$221)</f>
        <v/>
      </c>
      <c r="AA218" t="str">
        <f>IF([2]Baskol!$K$221="","",[2]Baskol!$K$221)</f>
        <v/>
      </c>
      <c r="AB218" t="str">
        <f>IF([2]Baskol!$L$221="","",[2]Baskol!$L$221)</f>
        <v/>
      </c>
      <c r="AC218" t="str">
        <f>IF([2]Baskol!$N$221="","",[2]Baskol!$N$221)</f>
        <v/>
      </c>
      <c r="AD218" t="str">
        <f>IF([2]Baskol!$O$221="","",[2]Baskol!$O$221)</f>
        <v/>
      </c>
      <c r="AE218" t="str">
        <f>IF([3]Entry!$C$221="","",[3]Entry!$C$221)</f>
        <v/>
      </c>
      <c r="AF218" t="str">
        <f>IF([3]Entry!$D$221="","",[3]Entry!$D$221)</f>
        <v/>
      </c>
      <c r="AG218" t="str">
        <f>IF([3]Entry!$E$221="","",[3]Entry!$E$221)</f>
        <v/>
      </c>
      <c r="AH218" t="str">
        <f>IF([3]Entry!$G$221="","",[3]Entry!$G$221)</f>
        <v/>
      </c>
      <c r="AI218" t="str">
        <f>IF([3]Entry!$K$221="","",[3]Entry!$K$221)</f>
        <v/>
      </c>
      <c r="AJ218" t="str">
        <f>IF([3]Entry!$L$221="","",[3]Entry!$L$221)</f>
        <v/>
      </c>
      <c r="AK218" t="str">
        <f>IF([3]Entry!$M$221="","",[3]Entry!$M$221)</f>
        <v/>
      </c>
      <c r="AL218" t="str">
        <f>IF([3]Entry!$N$221="","",[3]Entry!$N$221)</f>
        <v/>
      </c>
      <c r="AM218" t="str">
        <f>IF([3]Entry!$R$221="","",[3]Entry!$R$221)</f>
        <v/>
      </c>
    </row>
    <row r="219" spans="1:39" x14ac:dyDescent="0.2">
      <c r="A219" t="str">
        <f>IF([1]Accounts!$D$220="","",[1]Accounts!$A$220)</f>
        <v/>
      </c>
      <c r="B219" t="str">
        <f>IF([1]Accounts!$D$220="","",[1]Accounts!$B$220)</f>
        <v/>
      </c>
      <c r="C219" t="str">
        <f>IF([1]Accounts!$D$220="","",[1]Accounts!$C$220)</f>
        <v/>
      </c>
      <c r="D219" t="str">
        <f>IF([1]Accounts!$D$220="","",[1]Accounts!$D$220)</f>
        <v/>
      </c>
      <c r="E219" t="str">
        <f>IF([1]Accounts!$D$220="","",[1]Accounts!$E$220)</f>
        <v/>
      </c>
      <c r="F219" t="str">
        <f>IF([1]Accounts!$D$220="","",[1]Accounts!$F$220)</f>
        <v/>
      </c>
      <c r="G219" t="str">
        <f>IF([1]Accounts!$D$220="","",[1]Accounts!$G$220)</f>
        <v/>
      </c>
      <c r="T219" t="str">
        <f>IF([2]Baskol!$B$222="","",[2]Baskol!$B$222)</f>
        <v/>
      </c>
      <c r="U219" t="str">
        <f>IF([2]Baskol!$C$222="","",[2]Baskol!$C$222)</f>
        <v/>
      </c>
      <c r="V219" t="str">
        <f>IF([2]Baskol!$D$222="","",[2]Baskol!$D$222)</f>
        <v/>
      </c>
      <c r="W219" t="str">
        <f>IF([2]Baskol!$E$222="","",[2]Baskol!$E$222)</f>
        <v/>
      </c>
      <c r="X219" t="str">
        <f>IF([2]Baskol!$G$222="","",[2]Baskol!$G$222)</f>
        <v/>
      </c>
      <c r="Y219" t="str">
        <f>IF([2]Baskol!$I$222="","",[2]Baskol!$I$222)</f>
        <v/>
      </c>
      <c r="Z219" t="str">
        <f>IF([2]Baskol!$J$222="","",[2]Baskol!$J$222)</f>
        <v/>
      </c>
      <c r="AA219" t="str">
        <f>IF([2]Baskol!$K$222="","",[2]Baskol!$K$222)</f>
        <v/>
      </c>
      <c r="AB219" t="str">
        <f>IF([2]Baskol!$L$222="","",[2]Baskol!$L$222)</f>
        <v/>
      </c>
      <c r="AC219" t="str">
        <f>IF([2]Baskol!$N$222="","",[2]Baskol!$N$222)</f>
        <v/>
      </c>
      <c r="AD219" t="str">
        <f>IF([2]Baskol!$O$222="","",[2]Baskol!$O$222)</f>
        <v/>
      </c>
      <c r="AE219" t="str">
        <f>IF([3]Entry!$C$222="","",[3]Entry!$C$222)</f>
        <v/>
      </c>
      <c r="AF219" t="str">
        <f>IF([3]Entry!$D$222="","",[3]Entry!$D$222)</f>
        <v/>
      </c>
      <c r="AG219" t="str">
        <f>IF([3]Entry!$E$222="","",[3]Entry!$E$222)</f>
        <v/>
      </c>
      <c r="AH219" t="str">
        <f>IF([3]Entry!$G$222="","",[3]Entry!$G$222)</f>
        <v/>
      </c>
      <c r="AI219" t="str">
        <f>IF([3]Entry!$K$222="","",[3]Entry!$K$222)</f>
        <v/>
      </c>
      <c r="AJ219" t="str">
        <f>IF([3]Entry!$L$222="","",[3]Entry!$L$222)</f>
        <v/>
      </c>
      <c r="AK219" t="str">
        <f>IF([3]Entry!$M$222="","",[3]Entry!$M$222)</f>
        <v/>
      </c>
      <c r="AL219" t="str">
        <f>IF([3]Entry!$N$222="","",[3]Entry!$N$222)</f>
        <v/>
      </c>
      <c r="AM219" t="str">
        <f>IF([3]Entry!$R$222="","",[3]Entry!$R$222)</f>
        <v/>
      </c>
    </row>
    <row r="220" spans="1:39" x14ac:dyDescent="0.2">
      <c r="A220" t="str">
        <f>IF([1]Accounts!$D$221="","",[1]Accounts!$A$221)</f>
        <v/>
      </c>
      <c r="B220" t="str">
        <f>IF([1]Accounts!$D$221="","",[1]Accounts!$B$221)</f>
        <v/>
      </c>
      <c r="C220" t="str">
        <f>IF([1]Accounts!$D$221="","",[1]Accounts!$C$221)</f>
        <v/>
      </c>
      <c r="D220" t="str">
        <f>IF([1]Accounts!$D$221="","",[1]Accounts!$D$221)</f>
        <v/>
      </c>
      <c r="E220" t="str">
        <f>IF([1]Accounts!$D$221="","",[1]Accounts!$E$221)</f>
        <v/>
      </c>
      <c r="F220" t="str">
        <f>IF([1]Accounts!$D$221="","",[1]Accounts!$F$221)</f>
        <v/>
      </c>
      <c r="G220" t="str">
        <f>IF([1]Accounts!$D$221="","",[1]Accounts!$G$221)</f>
        <v/>
      </c>
      <c r="T220" t="str">
        <f>IF([2]Baskol!$B$223="","",[2]Baskol!$B$223)</f>
        <v/>
      </c>
      <c r="U220" t="str">
        <f>IF([2]Baskol!$C$223="","",[2]Baskol!$C$223)</f>
        <v/>
      </c>
      <c r="V220" t="str">
        <f>IF([2]Baskol!$D$223="","",[2]Baskol!$D$223)</f>
        <v/>
      </c>
      <c r="W220" t="str">
        <f>IF([2]Baskol!$E$223="","",[2]Baskol!$E$223)</f>
        <v/>
      </c>
      <c r="X220" t="str">
        <f>IF([2]Baskol!$G$223="","",[2]Baskol!$G$223)</f>
        <v/>
      </c>
      <c r="Y220" t="str">
        <f>IF([2]Baskol!$I$223="","",[2]Baskol!$I$223)</f>
        <v/>
      </c>
      <c r="Z220" t="str">
        <f>IF([2]Baskol!$J$223="","",[2]Baskol!$J$223)</f>
        <v/>
      </c>
      <c r="AA220" t="str">
        <f>IF([2]Baskol!$K$223="","",[2]Baskol!$K$223)</f>
        <v/>
      </c>
      <c r="AB220" t="str">
        <f>IF([2]Baskol!$L$223="","",[2]Baskol!$L$223)</f>
        <v/>
      </c>
      <c r="AC220" t="str">
        <f>IF([2]Baskol!$N$223="","",[2]Baskol!$N$223)</f>
        <v/>
      </c>
      <c r="AD220" t="str">
        <f>IF([2]Baskol!$O$223="","",[2]Baskol!$O$223)</f>
        <v/>
      </c>
      <c r="AE220" t="str">
        <f>IF([3]Entry!$C$223="","",[3]Entry!$C$223)</f>
        <v/>
      </c>
      <c r="AF220" t="str">
        <f>IF([3]Entry!$D$223="","",[3]Entry!$D$223)</f>
        <v/>
      </c>
      <c r="AG220" t="str">
        <f>IF([3]Entry!$E$223="","",[3]Entry!$E$223)</f>
        <v/>
      </c>
      <c r="AH220" t="str">
        <f>IF([3]Entry!$G$223="","",[3]Entry!$G$223)</f>
        <v/>
      </c>
      <c r="AI220" t="str">
        <f>IF([3]Entry!$K$223="","",[3]Entry!$K$223)</f>
        <v/>
      </c>
      <c r="AJ220" t="str">
        <f>IF([3]Entry!$L$223="","",[3]Entry!$L$223)</f>
        <v/>
      </c>
      <c r="AK220" t="str">
        <f>IF([3]Entry!$M$223="","",[3]Entry!$M$223)</f>
        <v/>
      </c>
      <c r="AL220" t="str">
        <f>IF([3]Entry!$N$223="","",[3]Entry!$N$223)</f>
        <v/>
      </c>
      <c r="AM220" t="str">
        <f>IF([3]Entry!$R$223="","",[3]Entry!$R$223)</f>
        <v/>
      </c>
    </row>
    <row r="221" spans="1:39" x14ac:dyDescent="0.2">
      <c r="A221" t="str">
        <f>IF([1]Accounts!$D$222="","",[1]Accounts!$A$222)</f>
        <v/>
      </c>
      <c r="B221" t="str">
        <f>IF([1]Accounts!$D$222="","",[1]Accounts!$B$222)</f>
        <v/>
      </c>
      <c r="C221" t="str">
        <f>IF([1]Accounts!$D$222="","",[1]Accounts!$C$222)</f>
        <v/>
      </c>
      <c r="D221" t="str">
        <f>IF([1]Accounts!$D$222="","",[1]Accounts!$D$222)</f>
        <v/>
      </c>
      <c r="E221" t="str">
        <f>IF([1]Accounts!$D$222="","",[1]Accounts!$E$222)</f>
        <v/>
      </c>
      <c r="F221" t="str">
        <f>IF([1]Accounts!$D$222="","",[1]Accounts!$F$222)</f>
        <v/>
      </c>
      <c r="G221" t="str">
        <f>IF([1]Accounts!$D$222="","",[1]Accounts!$G$222)</f>
        <v/>
      </c>
      <c r="T221" t="str">
        <f>IF([2]Baskol!$B$224="","",[2]Baskol!$B$224)</f>
        <v/>
      </c>
      <c r="U221" t="str">
        <f>IF([2]Baskol!$C$224="","",[2]Baskol!$C$224)</f>
        <v/>
      </c>
      <c r="V221" t="str">
        <f>IF([2]Baskol!$D$224="","",[2]Baskol!$D$224)</f>
        <v/>
      </c>
      <c r="W221" t="str">
        <f>IF([2]Baskol!$E$224="","",[2]Baskol!$E$224)</f>
        <v/>
      </c>
      <c r="X221" t="str">
        <f>IF([2]Baskol!$G$224="","",[2]Baskol!$G$224)</f>
        <v/>
      </c>
      <c r="Y221" t="str">
        <f>IF([2]Baskol!$I$224="","",[2]Baskol!$I$224)</f>
        <v/>
      </c>
      <c r="Z221" t="str">
        <f>IF([2]Baskol!$J$224="","",[2]Baskol!$J$224)</f>
        <v/>
      </c>
      <c r="AA221" t="str">
        <f>IF([2]Baskol!$K$224="","",[2]Baskol!$K$224)</f>
        <v/>
      </c>
      <c r="AB221" t="str">
        <f>IF([2]Baskol!$L$224="","",[2]Baskol!$L$224)</f>
        <v/>
      </c>
      <c r="AC221" t="str">
        <f>IF([2]Baskol!$N$224="","",[2]Baskol!$N$224)</f>
        <v/>
      </c>
      <c r="AD221" t="str">
        <f>IF([2]Baskol!$O$224="","",[2]Baskol!$O$224)</f>
        <v/>
      </c>
      <c r="AE221" t="str">
        <f>IF([3]Entry!$C$224="","",[3]Entry!$C$224)</f>
        <v/>
      </c>
      <c r="AF221" t="str">
        <f>IF([3]Entry!$D$224="","",[3]Entry!$D$224)</f>
        <v/>
      </c>
      <c r="AG221" t="str">
        <f>IF([3]Entry!$E$224="","",[3]Entry!$E$224)</f>
        <v/>
      </c>
      <c r="AH221" t="str">
        <f>IF([3]Entry!$G$224="","",[3]Entry!$G$224)</f>
        <v/>
      </c>
      <c r="AI221" t="str">
        <f>IF([3]Entry!$K$224="","",[3]Entry!$K$224)</f>
        <v/>
      </c>
      <c r="AJ221" t="str">
        <f>IF([3]Entry!$L$224="","",[3]Entry!$L$224)</f>
        <v/>
      </c>
      <c r="AK221" t="str">
        <f>IF([3]Entry!$M$224="","",[3]Entry!$M$224)</f>
        <v/>
      </c>
      <c r="AL221" t="str">
        <f>IF([3]Entry!$N$224="","",[3]Entry!$N$224)</f>
        <v/>
      </c>
      <c r="AM221" t="str">
        <f>IF([3]Entry!$R$224="","",[3]Entry!$R$224)</f>
        <v/>
      </c>
    </row>
    <row r="222" spans="1:39" x14ac:dyDescent="0.2">
      <c r="A222" t="str">
        <f>IF([1]Accounts!$D$223="","",[1]Accounts!$A$223)</f>
        <v/>
      </c>
      <c r="B222" t="str">
        <f>IF([1]Accounts!$D$223="","",[1]Accounts!$B$223)</f>
        <v/>
      </c>
      <c r="C222" t="str">
        <f>IF([1]Accounts!$D$223="","",[1]Accounts!$C$223)</f>
        <v/>
      </c>
      <c r="D222" t="str">
        <f>IF([1]Accounts!$D$223="","",[1]Accounts!$D$223)</f>
        <v/>
      </c>
      <c r="E222" t="str">
        <f>IF([1]Accounts!$D$223="","",[1]Accounts!$E$223)</f>
        <v/>
      </c>
      <c r="F222" t="str">
        <f>IF([1]Accounts!$D$223="","",[1]Accounts!$F$223)</f>
        <v/>
      </c>
      <c r="G222" t="str">
        <f>IF([1]Accounts!$D$223="","",[1]Accounts!$G$223)</f>
        <v/>
      </c>
      <c r="T222" t="str">
        <f>IF([2]Baskol!$B$225="","",[2]Baskol!$B$225)</f>
        <v/>
      </c>
      <c r="U222" t="str">
        <f>IF([2]Baskol!$C$225="","",[2]Baskol!$C$225)</f>
        <v/>
      </c>
      <c r="V222" t="str">
        <f>IF([2]Baskol!$D$225="","",[2]Baskol!$D$225)</f>
        <v/>
      </c>
      <c r="W222" t="str">
        <f>IF([2]Baskol!$E$225="","",[2]Baskol!$E$225)</f>
        <v/>
      </c>
      <c r="X222" t="str">
        <f>IF([2]Baskol!$G$225="","",[2]Baskol!$G$225)</f>
        <v/>
      </c>
      <c r="Y222" t="str">
        <f>IF([2]Baskol!$I$225="","",[2]Baskol!$I$225)</f>
        <v/>
      </c>
      <c r="Z222" t="str">
        <f>IF([2]Baskol!$J$225="","",[2]Baskol!$J$225)</f>
        <v/>
      </c>
      <c r="AA222" t="str">
        <f>IF([2]Baskol!$K$225="","",[2]Baskol!$K$225)</f>
        <v/>
      </c>
      <c r="AB222" t="str">
        <f>IF([2]Baskol!$L$225="","",[2]Baskol!$L$225)</f>
        <v/>
      </c>
      <c r="AC222" t="str">
        <f>IF([2]Baskol!$N$225="","",[2]Baskol!$N$225)</f>
        <v/>
      </c>
      <c r="AD222" t="str">
        <f>IF([2]Baskol!$O$225="","",[2]Baskol!$O$225)</f>
        <v/>
      </c>
      <c r="AE222" t="str">
        <f>IF([3]Entry!$C$225="","",[3]Entry!$C$225)</f>
        <v/>
      </c>
      <c r="AF222" t="str">
        <f>IF([3]Entry!$D$225="","",[3]Entry!$D$225)</f>
        <v/>
      </c>
      <c r="AG222" t="str">
        <f>IF([3]Entry!$E$225="","",[3]Entry!$E$225)</f>
        <v/>
      </c>
      <c r="AH222" t="str">
        <f>IF([3]Entry!$G$225="","",[3]Entry!$G$225)</f>
        <v/>
      </c>
      <c r="AI222" t="str">
        <f>IF([3]Entry!$K$225="","",[3]Entry!$K$225)</f>
        <v/>
      </c>
      <c r="AJ222" t="str">
        <f>IF([3]Entry!$L$225="","",[3]Entry!$L$225)</f>
        <v/>
      </c>
      <c r="AK222" t="str">
        <f>IF([3]Entry!$M$225="","",[3]Entry!$M$225)</f>
        <v/>
      </c>
      <c r="AL222" t="str">
        <f>IF([3]Entry!$N$225="","",[3]Entry!$N$225)</f>
        <v/>
      </c>
      <c r="AM222" t="str">
        <f>IF([3]Entry!$R$225="","",[3]Entry!$R$225)</f>
        <v/>
      </c>
    </row>
    <row r="223" spans="1:39" x14ac:dyDescent="0.2">
      <c r="A223" t="str">
        <f>IF([1]Accounts!$D$224="","",[1]Accounts!$A$224)</f>
        <v/>
      </c>
      <c r="B223" t="str">
        <f>IF([1]Accounts!$D$224="","",[1]Accounts!$B$224)</f>
        <v/>
      </c>
      <c r="C223" t="str">
        <f>IF([1]Accounts!$D$224="","",[1]Accounts!$C$224)</f>
        <v/>
      </c>
      <c r="D223" t="str">
        <f>IF([1]Accounts!$D$224="","",[1]Accounts!$D$224)</f>
        <v/>
      </c>
      <c r="E223" t="str">
        <f>IF([1]Accounts!$D$224="","",[1]Accounts!$E$224)</f>
        <v/>
      </c>
      <c r="F223" t="str">
        <f>IF([1]Accounts!$D$224="","",[1]Accounts!$F$224)</f>
        <v/>
      </c>
      <c r="G223" t="str">
        <f>IF([1]Accounts!$D$224="","",[1]Accounts!$G$224)</f>
        <v/>
      </c>
      <c r="T223" t="str">
        <f>IF([2]Baskol!$B$226="","",[2]Baskol!$B$226)</f>
        <v/>
      </c>
      <c r="U223" t="str">
        <f>IF([2]Baskol!$C$226="","",[2]Baskol!$C$226)</f>
        <v/>
      </c>
      <c r="V223" t="str">
        <f>IF([2]Baskol!$D$226="","",[2]Baskol!$D$226)</f>
        <v/>
      </c>
      <c r="W223" t="str">
        <f>IF([2]Baskol!$E$226="","",[2]Baskol!$E$226)</f>
        <v/>
      </c>
      <c r="X223" t="str">
        <f>IF([2]Baskol!$G$226="","",[2]Baskol!$G$226)</f>
        <v/>
      </c>
      <c r="Y223" t="str">
        <f>IF([2]Baskol!$I$226="","",[2]Baskol!$I$226)</f>
        <v/>
      </c>
      <c r="Z223" t="str">
        <f>IF([2]Baskol!$J$226="","",[2]Baskol!$J$226)</f>
        <v/>
      </c>
      <c r="AA223" t="str">
        <f>IF([2]Baskol!$K$226="","",[2]Baskol!$K$226)</f>
        <v/>
      </c>
      <c r="AB223" t="str">
        <f>IF([2]Baskol!$L$226="","",[2]Baskol!$L$226)</f>
        <v/>
      </c>
      <c r="AC223" t="str">
        <f>IF([2]Baskol!$N$226="","",[2]Baskol!$N$226)</f>
        <v/>
      </c>
      <c r="AD223" t="str">
        <f>IF([2]Baskol!$O$226="","",[2]Baskol!$O$226)</f>
        <v/>
      </c>
      <c r="AE223" t="str">
        <f>IF([3]Entry!$C$226="","",[3]Entry!$C$226)</f>
        <v/>
      </c>
      <c r="AF223" t="str">
        <f>IF([3]Entry!$D$226="","",[3]Entry!$D$226)</f>
        <v/>
      </c>
      <c r="AG223" t="str">
        <f>IF([3]Entry!$E$226="","",[3]Entry!$E$226)</f>
        <v/>
      </c>
      <c r="AH223" t="str">
        <f>IF([3]Entry!$G$226="","",[3]Entry!$G$226)</f>
        <v/>
      </c>
      <c r="AI223" t="str">
        <f>IF([3]Entry!$K$226="","",[3]Entry!$K$226)</f>
        <v/>
      </c>
      <c r="AJ223" t="str">
        <f>IF([3]Entry!$L$226="","",[3]Entry!$L$226)</f>
        <v/>
      </c>
      <c r="AK223" t="str">
        <f>IF([3]Entry!$M$226="","",[3]Entry!$M$226)</f>
        <v/>
      </c>
      <c r="AL223" t="str">
        <f>IF([3]Entry!$N$226="","",[3]Entry!$N$226)</f>
        <v/>
      </c>
      <c r="AM223" t="str">
        <f>IF([3]Entry!$R$226="","",[3]Entry!$R$226)</f>
        <v/>
      </c>
    </row>
    <row r="224" spans="1:39" x14ac:dyDescent="0.2">
      <c r="A224" t="str">
        <f>IF([1]Accounts!$D$225="","",[1]Accounts!$A$225)</f>
        <v/>
      </c>
      <c r="B224" t="str">
        <f>IF([1]Accounts!$D$225="","",[1]Accounts!$B$225)</f>
        <v/>
      </c>
      <c r="C224" t="str">
        <f>IF([1]Accounts!$D$225="","",[1]Accounts!$C$225)</f>
        <v/>
      </c>
      <c r="D224" t="str">
        <f>IF([1]Accounts!$D$225="","",[1]Accounts!$D$225)</f>
        <v/>
      </c>
      <c r="E224" t="str">
        <f>IF([1]Accounts!$D$225="","",[1]Accounts!$E$225)</f>
        <v/>
      </c>
      <c r="F224" t="str">
        <f>IF([1]Accounts!$D$225="","",[1]Accounts!$F$225)</f>
        <v/>
      </c>
      <c r="G224" t="str">
        <f>IF([1]Accounts!$D$225="","",[1]Accounts!$G$225)</f>
        <v/>
      </c>
      <c r="T224" t="str">
        <f>IF([2]Baskol!$B$227="","",[2]Baskol!$B$227)</f>
        <v/>
      </c>
      <c r="U224" t="str">
        <f>IF([2]Baskol!$C$227="","",[2]Baskol!$C$227)</f>
        <v/>
      </c>
      <c r="V224" t="str">
        <f>IF([2]Baskol!$D$227="","",[2]Baskol!$D$227)</f>
        <v/>
      </c>
      <c r="W224" t="str">
        <f>IF([2]Baskol!$E$227="","",[2]Baskol!$E$227)</f>
        <v/>
      </c>
      <c r="X224" t="str">
        <f>IF([2]Baskol!$G$227="","",[2]Baskol!$G$227)</f>
        <v/>
      </c>
      <c r="Y224" t="str">
        <f>IF([2]Baskol!$I$227="","",[2]Baskol!$I$227)</f>
        <v/>
      </c>
      <c r="Z224" t="str">
        <f>IF([2]Baskol!$J$227="","",[2]Baskol!$J$227)</f>
        <v/>
      </c>
      <c r="AA224" t="str">
        <f>IF([2]Baskol!$K$227="","",[2]Baskol!$K$227)</f>
        <v/>
      </c>
      <c r="AB224" t="str">
        <f>IF([2]Baskol!$L$227="","",[2]Baskol!$L$227)</f>
        <v/>
      </c>
      <c r="AC224" t="str">
        <f>IF([2]Baskol!$N$227="","",[2]Baskol!$N$227)</f>
        <v/>
      </c>
      <c r="AD224" t="str">
        <f>IF([2]Baskol!$O$227="","",[2]Baskol!$O$227)</f>
        <v/>
      </c>
      <c r="AE224" t="str">
        <f>IF([3]Entry!$C$227="","",[3]Entry!$C$227)</f>
        <v/>
      </c>
      <c r="AF224" t="str">
        <f>IF([3]Entry!$D$227="","",[3]Entry!$D$227)</f>
        <v/>
      </c>
      <c r="AG224" t="str">
        <f>IF([3]Entry!$E$227="","",[3]Entry!$E$227)</f>
        <v/>
      </c>
      <c r="AH224" t="str">
        <f>IF([3]Entry!$G$227="","",[3]Entry!$G$227)</f>
        <v/>
      </c>
      <c r="AI224" t="str">
        <f>IF([3]Entry!$K$227="","",[3]Entry!$K$227)</f>
        <v/>
      </c>
      <c r="AJ224" t="str">
        <f>IF([3]Entry!$L$227="","",[3]Entry!$L$227)</f>
        <v/>
      </c>
      <c r="AK224" t="str">
        <f>IF([3]Entry!$M$227="","",[3]Entry!$M$227)</f>
        <v/>
      </c>
      <c r="AL224" t="str">
        <f>IF([3]Entry!$N$227="","",[3]Entry!$N$227)</f>
        <v/>
      </c>
      <c r="AM224" t="str">
        <f>IF([3]Entry!$R$227="","",[3]Entry!$R$227)</f>
        <v/>
      </c>
    </row>
    <row r="225" spans="1:39" x14ac:dyDescent="0.2">
      <c r="A225" t="str">
        <f>IF([1]Accounts!$D$226="","",[1]Accounts!$A$226)</f>
        <v/>
      </c>
      <c r="B225" t="str">
        <f>IF([1]Accounts!$D$226="","",[1]Accounts!$B$226)</f>
        <v/>
      </c>
      <c r="C225" t="str">
        <f>IF([1]Accounts!$D$226="","",[1]Accounts!$C$226)</f>
        <v/>
      </c>
      <c r="D225" t="str">
        <f>IF([1]Accounts!$D$226="","",[1]Accounts!$D$226)</f>
        <v/>
      </c>
      <c r="E225" t="str">
        <f>IF([1]Accounts!$D$226="","",[1]Accounts!$E$226)</f>
        <v/>
      </c>
      <c r="F225" t="str">
        <f>IF([1]Accounts!$D$226="","",[1]Accounts!$F$226)</f>
        <v/>
      </c>
      <c r="G225" t="str">
        <f>IF([1]Accounts!$D$226="","",[1]Accounts!$G$226)</f>
        <v/>
      </c>
      <c r="T225" t="str">
        <f>IF([2]Baskol!$B$228="","",[2]Baskol!$B$228)</f>
        <v/>
      </c>
      <c r="U225" t="str">
        <f>IF([2]Baskol!$C$228="","",[2]Baskol!$C$228)</f>
        <v/>
      </c>
      <c r="V225" t="str">
        <f>IF([2]Baskol!$D$228="","",[2]Baskol!$D$228)</f>
        <v/>
      </c>
      <c r="W225" t="str">
        <f>IF([2]Baskol!$E$228="","",[2]Baskol!$E$228)</f>
        <v/>
      </c>
      <c r="X225" t="str">
        <f>IF([2]Baskol!$G$228="","",[2]Baskol!$G$228)</f>
        <v/>
      </c>
      <c r="Y225" t="str">
        <f>IF([2]Baskol!$I$228="","",[2]Baskol!$I$228)</f>
        <v/>
      </c>
      <c r="Z225" t="str">
        <f>IF([2]Baskol!$J$228="","",[2]Baskol!$J$228)</f>
        <v/>
      </c>
      <c r="AA225" t="str">
        <f>IF([2]Baskol!$K$228="","",[2]Baskol!$K$228)</f>
        <v/>
      </c>
      <c r="AB225" t="str">
        <f>IF([2]Baskol!$L$228="","",[2]Baskol!$L$228)</f>
        <v/>
      </c>
      <c r="AC225" t="str">
        <f>IF([2]Baskol!$N$228="","",[2]Baskol!$N$228)</f>
        <v/>
      </c>
      <c r="AD225" t="str">
        <f>IF([2]Baskol!$O$228="","",[2]Baskol!$O$228)</f>
        <v/>
      </c>
      <c r="AE225" t="str">
        <f>IF([3]Entry!$C$228="","",[3]Entry!$C$228)</f>
        <v/>
      </c>
      <c r="AF225" t="str">
        <f>IF([3]Entry!$D$228="","",[3]Entry!$D$228)</f>
        <v/>
      </c>
      <c r="AG225" t="str">
        <f>IF([3]Entry!$E$228="","",[3]Entry!$E$228)</f>
        <v/>
      </c>
      <c r="AH225" t="str">
        <f>IF([3]Entry!$G$228="","",[3]Entry!$G$228)</f>
        <v/>
      </c>
      <c r="AI225" t="str">
        <f>IF([3]Entry!$K$228="","",[3]Entry!$K$228)</f>
        <v/>
      </c>
      <c r="AJ225" t="str">
        <f>IF([3]Entry!$L$228="","",[3]Entry!$L$228)</f>
        <v/>
      </c>
      <c r="AK225" t="str">
        <f>IF([3]Entry!$M$228="","",[3]Entry!$M$228)</f>
        <v/>
      </c>
      <c r="AL225" t="str">
        <f>IF([3]Entry!$N$228="","",[3]Entry!$N$228)</f>
        <v/>
      </c>
      <c r="AM225" t="str">
        <f>IF([3]Entry!$R$228="","",[3]Entry!$R$228)</f>
        <v/>
      </c>
    </row>
    <row r="226" spans="1:39" x14ac:dyDescent="0.2">
      <c r="A226" t="str">
        <f>IF([1]Accounts!$D$227="","",[1]Accounts!$A$227)</f>
        <v/>
      </c>
      <c r="B226" t="str">
        <f>IF([1]Accounts!$D$227="","",[1]Accounts!$B$227)</f>
        <v/>
      </c>
      <c r="C226" t="str">
        <f>IF([1]Accounts!$D$227="","",[1]Accounts!$C$227)</f>
        <v/>
      </c>
      <c r="D226" t="str">
        <f>IF([1]Accounts!$D$227="","",[1]Accounts!$D$227)</f>
        <v/>
      </c>
      <c r="E226" t="str">
        <f>IF([1]Accounts!$D$227="","",[1]Accounts!$E$227)</f>
        <v/>
      </c>
      <c r="F226" t="str">
        <f>IF([1]Accounts!$D$227="","",[1]Accounts!$F$227)</f>
        <v/>
      </c>
      <c r="G226" t="str">
        <f>IF([1]Accounts!$D$227="","",[1]Accounts!$G$227)</f>
        <v/>
      </c>
      <c r="T226" t="str">
        <f>IF([2]Baskol!$B$229="","",[2]Baskol!$B$229)</f>
        <v/>
      </c>
      <c r="U226" t="str">
        <f>IF([2]Baskol!$C$229="","",[2]Baskol!$C$229)</f>
        <v/>
      </c>
      <c r="V226" t="str">
        <f>IF([2]Baskol!$D$229="","",[2]Baskol!$D$229)</f>
        <v/>
      </c>
      <c r="W226" t="str">
        <f>IF([2]Baskol!$E$229="","",[2]Baskol!$E$229)</f>
        <v/>
      </c>
      <c r="X226" t="str">
        <f>IF([2]Baskol!$G$229="","",[2]Baskol!$G$229)</f>
        <v/>
      </c>
      <c r="Y226" t="str">
        <f>IF([2]Baskol!$I$229="","",[2]Baskol!$I$229)</f>
        <v/>
      </c>
      <c r="Z226" t="str">
        <f>IF([2]Baskol!$J$229="","",[2]Baskol!$J$229)</f>
        <v/>
      </c>
      <c r="AA226" t="str">
        <f>IF([2]Baskol!$K$229="","",[2]Baskol!$K$229)</f>
        <v/>
      </c>
      <c r="AB226" t="str">
        <f>IF([2]Baskol!$L$229="","",[2]Baskol!$L$229)</f>
        <v/>
      </c>
      <c r="AC226" t="str">
        <f>IF([2]Baskol!$N$229="","",[2]Baskol!$N$229)</f>
        <v/>
      </c>
      <c r="AD226" t="str">
        <f>IF([2]Baskol!$O$229="","",[2]Baskol!$O$229)</f>
        <v/>
      </c>
      <c r="AE226" t="str">
        <f>IF([3]Entry!$C$229="","",[3]Entry!$C$229)</f>
        <v/>
      </c>
      <c r="AF226" t="str">
        <f>IF([3]Entry!$D$229="","",[3]Entry!$D$229)</f>
        <v/>
      </c>
      <c r="AG226" t="str">
        <f>IF([3]Entry!$E$229="","",[3]Entry!$E$229)</f>
        <v/>
      </c>
      <c r="AH226" t="str">
        <f>IF([3]Entry!$G$229="","",[3]Entry!$G$229)</f>
        <v/>
      </c>
      <c r="AI226" t="str">
        <f>IF([3]Entry!$K$229="","",[3]Entry!$K$229)</f>
        <v/>
      </c>
      <c r="AJ226" t="str">
        <f>IF([3]Entry!$L$229="","",[3]Entry!$L$229)</f>
        <v/>
      </c>
      <c r="AK226" t="str">
        <f>IF([3]Entry!$M$229="","",[3]Entry!$M$229)</f>
        <v/>
      </c>
      <c r="AL226" t="str">
        <f>IF([3]Entry!$N$229="","",[3]Entry!$N$229)</f>
        <v/>
      </c>
      <c r="AM226" t="str">
        <f>IF([3]Entry!$R$229="","",[3]Entry!$R$229)</f>
        <v/>
      </c>
    </row>
    <row r="227" spans="1:39" x14ac:dyDescent="0.2">
      <c r="A227" t="str">
        <f>IF([1]Accounts!$D$228="","",[1]Accounts!$A$228)</f>
        <v/>
      </c>
      <c r="B227" t="str">
        <f>IF([1]Accounts!$D$228="","",[1]Accounts!$B$228)</f>
        <v/>
      </c>
      <c r="C227" t="str">
        <f>IF([1]Accounts!$D$228="","",[1]Accounts!$C$228)</f>
        <v/>
      </c>
      <c r="D227" t="str">
        <f>IF([1]Accounts!$D$228="","",[1]Accounts!$D$228)</f>
        <v/>
      </c>
      <c r="E227" t="str">
        <f>IF([1]Accounts!$D$228="","",[1]Accounts!$E$228)</f>
        <v/>
      </c>
      <c r="F227" t="str">
        <f>IF([1]Accounts!$D$228="","",[1]Accounts!$F$228)</f>
        <v/>
      </c>
      <c r="G227" t="str">
        <f>IF([1]Accounts!$D$228="","",[1]Accounts!$G$228)</f>
        <v/>
      </c>
      <c r="T227" t="str">
        <f>IF([2]Baskol!$B$230="","",[2]Baskol!$B$230)</f>
        <v/>
      </c>
      <c r="U227" t="str">
        <f>IF([2]Baskol!$C$230="","",[2]Baskol!$C$230)</f>
        <v/>
      </c>
      <c r="V227" t="str">
        <f>IF([2]Baskol!$D$230="","",[2]Baskol!$D$230)</f>
        <v/>
      </c>
      <c r="W227" t="str">
        <f>IF([2]Baskol!$E$230="","",[2]Baskol!$E$230)</f>
        <v/>
      </c>
      <c r="X227" t="str">
        <f>IF([2]Baskol!$G$230="","",[2]Baskol!$G$230)</f>
        <v/>
      </c>
      <c r="Y227" t="str">
        <f>IF([2]Baskol!$I$230="","",[2]Baskol!$I$230)</f>
        <v/>
      </c>
      <c r="Z227" t="str">
        <f>IF([2]Baskol!$J$230="","",[2]Baskol!$J$230)</f>
        <v/>
      </c>
      <c r="AA227" t="str">
        <f>IF([2]Baskol!$K$230="","",[2]Baskol!$K$230)</f>
        <v/>
      </c>
      <c r="AB227" t="str">
        <f>IF([2]Baskol!$L$230="","",[2]Baskol!$L$230)</f>
        <v/>
      </c>
      <c r="AC227" t="str">
        <f>IF([2]Baskol!$N$230="","",[2]Baskol!$N$230)</f>
        <v/>
      </c>
      <c r="AD227" t="str">
        <f>IF([2]Baskol!$O$230="","",[2]Baskol!$O$230)</f>
        <v/>
      </c>
      <c r="AE227" t="str">
        <f>IF([3]Entry!$C$230="","",[3]Entry!$C$230)</f>
        <v/>
      </c>
      <c r="AF227" t="str">
        <f>IF([3]Entry!$D$230="","",[3]Entry!$D$230)</f>
        <v/>
      </c>
      <c r="AG227" t="str">
        <f>IF([3]Entry!$E$230="","",[3]Entry!$E$230)</f>
        <v/>
      </c>
      <c r="AH227" t="str">
        <f>IF([3]Entry!$G$230="","",[3]Entry!$G$230)</f>
        <v/>
      </c>
      <c r="AI227" t="str">
        <f>IF([3]Entry!$K$230="","",[3]Entry!$K$230)</f>
        <v/>
      </c>
      <c r="AJ227" t="str">
        <f>IF([3]Entry!$L$230="","",[3]Entry!$L$230)</f>
        <v/>
      </c>
      <c r="AK227" t="str">
        <f>IF([3]Entry!$M$230="","",[3]Entry!$M$230)</f>
        <v/>
      </c>
      <c r="AL227" t="str">
        <f>IF([3]Entry!$N$230="","",[3]Entry!$N$230)</f>
        <v/>
      </c>
      <c r="AM227" t="str">
        <f>IF([3]Entry!$R$230="","",[3]Entry!$R$230)</f>
        <v/>
      </c>
    </row>
    <row r="228" spans="1:39" x14ac:dyDescent="0.2">
      <c r="A228" t="str">
        <f>IF([1]Accounts!$D$229="","",[1]Accounts!$A$229)</f>
        <v/>
      </c>
      <c r="B228" t="str">
        <f>IF([1]Accounts!$D$229="","",[1]Accounts!$B$229)</f>
        <v/>
      </c>
      <c r="C228" t="str">
        <f>IF([1]Accounts!$D$229="","",[1]Accounts!$C$229)</f>
        <v/>
      </c>
      <c r="D228" t="str">
        <f>IF([1]Accounts!$D$229="","",[1]Accounts!$D$229)</f>
        <v/>
      </c>
      <c r="E228" t="str">
        <f>IF([1]Accounts!$D$229="","",[1]Accounts!$E$229)</f>
        <v/>
      </c>
      <c r="F228" t="str">
        <f>IF([1]Accounts!$D$229="","",[1]Accounts!$F$229)</f>
        <v/>
      </c>
      <c r="G228" t="str">
        <f>IF([1]Accounts!$D$229="","",[1]Accounts!$G$229)</f>
        <v/>
      </c>
      <c r="T228" t="str">
        <f>IF([2]Baskol!$B$231="","",[2]Baskol!$B$231)</f>
        <v/>
      </c>
      <c r="U228" t="str">
        <f>IF([2]Baskol!$C$231="","",[2]Baskol!$C$231)</f>
        <v/>
      </c>
      <c r="V228" t="str">
        <f>IF([2]Baskol!$D$231="","",[2]Baskol!$D$231)</f>
        <v/>
      </c>
      <c r="W228" t="str">
        <f>IF([2]Baskol!$E$231="","",[2]Baskol!$E$231)</f>
        <v/>
      </c>
      <c r="X228" t="str">
        <f>IF([2]Baskol!$G$231="","",[2]Baskol!$G$231)</f>
        <v/>
      </c>
      <c r="Y228" t="str">
        <f>IF([2]Baskol!$I$231="","",[2]Baskol!$I$231)</f>
        <v/>
      </c>
      <c r="Z228" t="str">
        <f>IF([2]Baskol!$J$231="","",[2]Baskol!$J$231)</f>
        <v/>
      </c>
      <c r="AA228" t="str">
        <f>IF([2]Baskol!$K$231="","",[2]Baskol!$K$231)</f>
        <v/>
      </c>
      <c r="AB228" t="str">
        <f>IF([2]Baskol!$L$231="","",[2]Baskol!$L$231)</f>
        <v/>
      </c>
      <c r="AC228" t="str">
        <f>IF([2]Baskol!$N$231="","",[2]Baskol!$N$231)</f>
        <v/>
      </c>
      <c r="AD228" t="str">
        <f>IF([2]Baskol!$O$231="","",[2]Baskol!$O$231)</f>
        <v/>
      </c>
      <c r="AE228" t="str">
        <f>IF([3]Entry!$C$231="","",[3]Entry!$C$231)</f>
        <v/>
      </c>
      <c r="AF228" t="str">
        <f>IF([3]Entry!$D$231="","",[3]Entry!$D$231)</f>
        <v/>
      </c>
      <c r="AG228" t="str">
        <f>IF([3]Entry!$E$231="","",[3]Entry!$E$231)</f>
        <v/>
      </c>
      <c r="AH228" t="str">
        <f>IF([3]Entry!$G$231="","",[3]Entry!$G$231)</f>
        <v/>
      </c>
      <c r="AI228" t="str">
        <f>IF([3]Entry!$K$231="","",[3]Entry!$K$231)</f>
        <v/>
      </c>
      <c r="AJ228" t="str">
        <f>IF([3]Entry!$L$231="","",[3]Entry!$L$231)</f>
        <v/>
      </c>
      <c r="AK228" t="str">
        <f>IF([3]Entry!$M$231="","",[3]Entry!$M$231)</f>
        <v/>
      </c>
      <c r="AL228" t="str">
        <f>IF([3]Entry!$N$231="","",[3]Entry!$N$231)</f>
        <v/>
      </c>
      <c r="AM228" t="str">
        <f>IF([3]Entry!$R$231="","",[3]Entry!$R$231)</f>
        <v/>
      </c>
    </row>
    <row r="229" spans="1:39" x14ac:dyDescent="0.2">
      <c r="A229" t="str">
        <f>IF([1]Accounts!$D$230="","",[1]Accounts!$A$230)</f>
        <v/>
      </c>
      <c r="B229" t="str">
        <f>IF([1]Accounts!$D$230="","",[1]Accounts!$B$230)</f>
        <v/>
      </c>
      <c r="C229" t="str">
        <f>IF([1]Accounts!$D$230="","",[1]Accounts!$C$230)</f>
        <v/>
      </c>
      <c r="D229" t="str">
        <f>IF([1]Accounts!$D$230="","",[1]Accounts!$D$230)</f>
        <v/>
      </c>
      <c r="E229" t="str">
        <f>IF([1]Accounts!$D$230="","",[1]Accounts!$E$230)</f>
        <v/>
      </c>
      <c r="F229" t="str">
        <f>IF([1]Accounts!$D$230="","",[1]Accounts!$F$230)</f>
        <v/>
      </c>
      <c r="G229" t="str">
        <f>IF([1]Accounts!$D$230="","",[1]Accounts!$G$230)</f>
        <v/>
      </c>
      <c r="T229" t="str">
        <f>IF([2]Baskol!$B$232="","",[2]Baskol!$B$232)</f>
        <v/>
      </c>
      <c r="U229" t="str">
        <f>IF([2]Baskol!$C$232="","",[2]Baskol!$C$232)</f>
        <v/>
      </c>
      <c r="V229" t="str">
        <f>IF([2]Baskol!$D$232="","",[2]Baskol!$D$232)</f>
        <v/>
      </c>
      <c r="W229" t="str">
        <f>IF([2]Baskol!$E$232="","",[2]Baskol!$E$232)</f>
        <v/>
      </c>
      <c r="X229" t="str">
        <f>IF([2]Baskol!$G$232="","",[2]Baskol!$G$232)</f>
        <v/>
      </c>
      <c r="Y229" t="str">
        <f>IF([2]Baskol!$I$232="","",[2]Baskol!$I$232)</f>
        <v/>
      </c>
      <c r="Z229" t="str">
        <f>IF([2]Baskol!$J$232="","",[2]Baskol!$J$232)</f>
        <v/>
      </c>
      <c r="AA229" t="str">
        <f>IF([2]Baskol!$K$232="","",[2]Baskol!$K$232)</f>
        <v/>
      </c>
      <c r="AB229" t="str">
        <f>IF([2]Baskol!$L$232="","",[2]Baskol!$L$232)</f>
        <v/>
      </c>
      <c r="AC229" t="str">
        <f>IF([2]Baskol!$N$232="","",[2]Baskol!$N$232)</f>
        <v/>
      </c>
      <c r="AD229" t="str">
        <f>IF([2]Baskol!$O$232="","",[2]Baskol!$O$232)</f>
        <v/>
      </c>
      <c r="AE229" t="str">
        <f>IF([3]Entry!$C$232="","",[3]Entry!$C$232)</f>
        <v/>
      </c>
      <c r="AF229" t="str">
        <f>IF([3]Entry!$D$232="","",[3]Entry!$D$232)</f>
        <v/>
      </c>
      <c r="AG229" t="str">
        <f>IF([3]Entry!$E$232="","",[3]Entry!$E$232)</f>
        <v/>
      </c>
      <c r="AH229" t="str">
        <f>IF([3]Entry!$G$232="","",[3]Entry!$G$232)</f>
        <v/>
      </c>
      <c r="AI229" t="str">
        <f>IF([3]Entry!$K$232="","",[3]Entry!$K$232)</f>
        <v/>
      </c>
      <c r="AJ229" t="str">
        <f>IF([3]Entry!$L$232="","",[3]Entry!$L$232)</f>
        <v/>
      </c>
      <c r="AK229" t="str">
        <f>IF([3]Entry!$M$232="","",[3]Entry!$M$232)</f>
        <v/>
      </c>
      <c r="AL229" t="str">
        <f>IF([3]Entry!$N$232="","",[3]Entry!$N$232)</f>
        <v/>
      </c>
      <c r="AM229" t="str">
        <f>IF([3]Entry!$R$232="","",[3]Entry!$R$232)</f>
        <v/>
      </c>
    </row>
    <row r="230" spans="1:39" x14ac:dyDescent="0.2">
      <c r="A230" t="str">
        <f>IF([1]Accounts!$D$231="","",[1]Accounts!$A$231)</f>
        <v/>
      </c>
      <c r="B230" t="str">
        <f>IF([1]Accounts!$D$231="","",[1]Accounts!$B$231)</f>
        <v/>
      </c>
      <c r="C230" t="str">
        <f>IF([1]Accounts!$D$231="","",[1]Accounts!$C$231)</f>
        <v/>
      </c>
      <c r="D230" t="str">
        <f>IF([1]Accounts!$D$231="","",[1]Accounts!$D$231)</f>
        <v/>
      </c>
      <c r="E230" t="str">
        <f>IF([1]Accounts!$D$231="","",[1]Accounts!$E$231)</f>
        <v/>
      </c>
      <c r="F230" t="str">
        <f>IF([1]Accounts!$D$231="","",[1]Accounts!$F$231)</f>
        <v/>
      </c>
      <c r="G230" t="str">
        <f>IF([1]Accounts!$D$231="","",[1]Accounts!$G$231)</f>
        <v/>
      </c>
      <c r="T230" t="str">
        <f>IF([2]Baskol!$B$233="","",[2]Baskol!$B$233)</f>
        <v/>
      </c>
      <c r="U230" t="str">
        <f>IF([2]Baskol!$C$233="","",[2]Baskol!$C$233)</f>
        <v/>
      </c>
      <c r="V230" t="str">
        <f>IF([2]Baskol!$D$233="","",[2]Baskol!$D$233)</f>
        <v/>
      </c>
      <c r="W230" t="str">
        <f>IF([2]Baskol!$E$233="","",[2]Baskol!$E$233)</f>
        <v/>
      </c>
      <c r="X230" t="str">
        <f>IF([2]Baskol!$G$233="","",[2]Baskol!$G$233)</f>
        <v/>
      </c>
      <c r="Y230" t="str">
        <f>IF([2]Baskol!$I$233="","",[2]Baskol!$I$233)</f>
        <v/>
      </c>
      <c r="Z230" t="str">
        <f>IF([2]Baskol!$J$233="","",[2]Baskol!$J$233)</f>
        <v/>
      </c>
      <c r="AA230" t="str">
        <f>IF([2]Baskol!$K$233="","",[2]Baskol!$K$233)</f>
        <v/>
      </c>
      <c r="AB230" t="str">
        <f>IF([2]Baskol!$L$233="","",[2]Baskol!$L$233)</f>
        <v/>
      </c>
      <c r="AC230" t="str">
        <f>IF([2]Baskol!$N$233="","",[2]Baskol!$N$233)</f>
        <v/>
      </c>
      <c r="AD230" t="str">
        <f>IF([2]Baskol!$O$233="","",[2]Baskol!$O$233)</f>
        <v/>
      </c>
      <c r="AE230" t="str">
        <f>IF([3]Entry!$C$233="","",[3]Entry!$C$233)</f>
        <v/>
      </c>
      <c r="AF230" t="str">
        <f>IF([3]Entry!$D$233="","",[3]Entry!$D$233)</f>
        <v/>
      </c>
      <c r="AG230" t="str">
        <f>IF([3]Entry!$E$233="","",[3]Entry!$E$233)</f>
        <v/>
      </c>
      <c r="AH230" t="str">
        <f>IF([3]Entry!$G$233="","",[3]Entry!$G$233)</f>
        <v/>
      </c>
      <c r="AI230" t="str">
        <f>IF([3]Entry!$K$233="","",[3]Entry!$K$233)</f>
        <v/>
      </c>
      <c r="AJ230" t="str">
        <f>IF([3]Entry!$L$233="","",[3]Entry!$L$233)</f>
        <v/>
      </c>
      <c r="AK230" t="str">
        <f>IF([3]Entry!$M$233="","",[3]Entry!$M$233)</f>
        <v/>
      </c>
      <c r="AL230" t="str">
        <f>IF([3]Entry!$N$233="","",[3]Entry!$N$233)</f>
        <v/>
      </c>
      <c r="AM230" t="str">
        <f>IF([3]Entry!$R$233="","",[3]Entry!$R$233)</f>
        <v/>
      </c>
    </row>
    <row r="231" spans="1:39" x14ac:dyDescent="0.2">
      <c r="A231" t="str">
        <f>IF([1]Accounts!$D$232="","",[1]Accounts!$A$232)</f>
        <v/>
      </c>
      <c r="B231" t="str">
        <f>IF([1]Accounts!$D$232="","",[1]Accounts!$B$232)</f>
        <v/>
      </c>
      <c r="C231" t="str">
        <f>IF([1]Accounts!$D$232="","",[1]Accounts!$C$232)</f>
        <v/>
      </c>
      <c r="D231" t="str">
        <f>IF([1]Accounts!$D$232="","",[1]Accounts!$D$232)</f>
        <v/>
      </c>
      <c r="E231" t="str">
        <f>IF([1]Accounts!$D$232="","",[1]Accounts!$E$232)</f>
        <v/>
      </c>
      <c r="F231" t="str">
        <f>IF([1]Accounts!$D$232="","",[1]Accounts!$F$232)</f>
        <v/>
      </c>
      <c r="G231" t="str">
        <f>IF([1]Accounts!$D$232="","",[1]Accounts!$G$232)</f>
        <v/>
      </c>
      <c r="T231" t="str">
        <f>IF([2]Baskol!$B$234="","",[2]Baskol!$B$234)</f>
        <v/>
      </c>
      <c r="U231" t="str">
        <f>IF([2]Baskol!$C$234="","",[2]Baskol!$C$234)</f>
        <v/>
      </c>
      <c r="V231" t="str">
        <f>IF([2]Baskol!$D$234="","",[2]Baskol!$D$234)</f>
        <v/>
      </c>
      <c r="W231" t="str">
        <f>IF([2]Baskol!$E$234="","",[2]Baskol!$E$234)</f>
        <v/>
      </c>
      <c r="X231" t="str">
        <f>IF([2]Baskol!$G$234="","",[2]Baskol!$G$234)</f>
        <v/>
      </c>
      <c r="Y231" t="str">
        <f>IF([2]Baskol!$I$234="","",[2]Baskol!$I$234)</f>
        <v/>
      </c>
      <c r="Z231" t="str">
        <f>IF([2]Baskol!$J$234="","",[2]Baskol!$J$234)</f>
        <v/>
      </c>
      <c r="AA231" t="str">
        <f>IF([2]Baskol!$K$234="","",[2]Baskol!$K$234)</f>
        <v/>
      </c>
      <c r="AB231" t="str">
        <f>IF([2]Baskol!$L$234="","",[2]Baskol!$L$234)</f>
        <v/>
      </c>
      <c r="AC231" t="str">
        <f>IF([2]Baskol!$N$234="","",[2]Baskol!$N$234)</f>
        <v/>
      </c>
      <c r="AD231" t="str">
        <f>IF([2]Baskol!$O$234="","",[2]Baskol!$O$234)</f>
        <v/>
      </c>
      <c r="AE231" t="str">
        <f>IF([3]Entry!$C$234="","",[3]Entry!$C$234)</f>
        <v/>
      </c>
      <c r="AF231" t="str">
        <f>IF([3]Entry!$D$234="","",[3]Entry!$D$234)</f>
        <v/>
      </c>
      <c r="AG231" t="str">
        <f>IF([3]Entry!$E$234="","",[3]Entry!$E$234)</f>
        <v/>
      </c>
      <c r="AH231" t="str">
        <f>IF([3]Entry!$G$234="","",[3]Entry!$G$234)</f>
        <v/>
      </c>
      <c r="AI231" t="str">
        <f>IF([3]Entry!$K$234="","",[3]Entry!$K$234)</f>
        <v/>
      </c>
      <c r="AJ231" t="str">
        <f>IF([3]Entry!$L$234="","",[3]Entry!$L$234)</f>
        <v/>
      </c>
      <c r="AK231" t="str">
        <f>IF([3]Entry!$M$234="","",[3]Entry!$M$234)</f>
        <v/>
      </c>
      <c r="AL231" t="str">
        <f>IF([3]Entry!$N$234="","",[3]Entry!$N$234)</f>
        <v/>
      </c>
      <c r="AM231" t="str">
        <f>IF([3]Entry!$R$234="","",[3]Entry!$R$234)</f>
        <v/>
      </c>
    </row>
    <row r="232" spans="1:39" x14ac:dyDescent="0.2">
      <c r="A232" t="str">
        <f>IF([1]Accounts!$D$233="","",[1]Accounts!$A$233)</f>
        <v/>
      </c>
      <c r="B232" t="str">
        <f>IF([1]Accounts!$D$233="","",[1]Accounts!$B$233)</f>
        <v/>
      </c>
      <c r="C232" t="str">
        <f>IF([1]Accounts!$D$233="","",[1]Accounts!$C$233)</f>
        <v/>
      </c>
      <c r="D232" t="str">
        <f>IF([1]Accounts!$D$233="","",[1]Accounts!$D$233)</f>
        <v/>
      </c>
      <c r="E232" t="str">
        <f>IF([1]Accounts!$D$233="","",[1]Accounts!$E$233)</f>
        <v/>
      </c>
      <c r="F232" t="str">
        <f>IF([1]Accounts!$D$233="","",[1]Accounts!$F$233)</f>
        <v/>
      </c>
      <c r="G232" t="str">
        <f>IF([1]Accounts!$D$233="","",[1]Accounts!$G$233)</f>
        <v/>
      </c>
      <c r="T232" t="str">
        <f>IF([2]Baskol!$B$235="","",[2]Baskol!$B$235)</f>
        <v/>
      </c>
      <c r="U232" t="str">
        <f>IF([2]Baskol!$C$235="","",[2]Baskol!$C$235)</f>
        <v/>
      </c>
      <c r="V232" t="str">
        <f>IF([2]Baskol!$D$235="","",[2]Baskol!$D$235)</f>
        <v/>
      </c>
      <c r="W232" t="str">
        <f>IF([2]Baskol!$E$235="","",[2]Baskol!$E$235)</f>
        <v/>
      </c>
      <c r="X232" t="str">
        <f>IF([2]Baskol!$G$235="","",[2]Baskol!$G$235)</f>
        <v/>
      </c>
      <c r="Y232" t="str">
        <f>IF([2]Baskol!$I$235="","",[2]Baskol!$I$235)</f>
        <v/>
      </c>
      <c r="Z232" t="str">
        <f>IF([2]Baskol!$J$235="","",[2]Baskol!$J$235)</f>
        <v/>
      </c>
      <c r="AA232" t="str">
        <f>IF([2]Baskol!$K$235="","",[2]Baskol!$K$235)</f>
        <v/>
      </c>
      <c r="AB232" t="str">
        <f>IF([2]Baskol!$L$235="","",[2]Baskol!$L$235)</f>
        <v/>
      </c>
      <c r="AC232" t="str">
        <f>IF([2]Baskol!$N$235="","",[2]Baskol!$N$235)</f>
        <v/>
      </c>
      <c r="AD232" t="str">
        <f>IF([2]Baskol!$O$235="","",[2]Baskol!$O$235)</f>
        <v/>
      </c>
      <c r="AE232" t="str">
        <f>IF([3]Entry!$C$235="","",[3]Entry!$C$235)</f>
        <v/>
      </c>
      <c r="AF232" t="str">
        <f>IF([3]Entry!$D$235="","",[3]Entry!$D$235)</f>
        <v/>
      </c>
      <c r="AG232" t="str">
        <f>IF([3]Entry!$E$235="","",[3]Entry!$E$235)</f>
        <v/>
      </c>
      <c r="AH232" t="str">
        <f>IF([3]Entry!$G$235="","",[3]Entry!$G$235)</f>
        <v/>
      </c>
      <c r="AI232" t="str">
        <f>IF([3]Entry!$K$235="","",[3]Entry!$K$235)</f>
        <v/>
      </c>
      <c r="AJ232" t="str">
        <f>IF([3]Entry!$L$235="","",[3]Entry!$L$235)</f>
        <v/>
      </c>
      <c r="AK232" t="str">
        <f>IF([3]Entry!$M$235="","",[3]Entry!$M$235)</f>
        <v/>
      </c>
      <c r="AL232" t="str">
        <f>IF([3]Entry!$N$235="","",[3]Entry!$N$235)</f>
        <v/>
      </c>
      <c r="AM232" t="str">
        <f>IF([3]Entry!$R$235="","",[3]Entry!$R$235)</f>
        <v/>
      </c>
    </row>
    <row r="233" spans="1:39" x14ac:dyDescent="0.2">
      <c r="A233" t="str">
        <f>IF([1]Accounts!$D$234="","",[1]Accounts!$A$234)</f>
        <v/>
      </c>
      <c r="B233" t="str">
        <f>IF([1]Accounts!$D$234="","",[1]Accounts!$B$234)</f>
        <v/>
      </c>
      <c r="C233" t="str">
        <f>IF([1]Accounts!$D$234="","",[1]Accounts!$C$234)</f>
        <v/>
      </c>
      <c r="D233" t="str">
        <f>IF([1]Accounts!$D$234="","",[1]Accounts!$D$234)</f>
        <v/>
      </c>
      <c r="E233" t="str">
        <f>IF([1]Accounts!$D$234="","",[1]Accounts!$E$234)</f>
        <v/>
      </c>
      <c r="F233" t="str">
        <f>IF([1]Accounts!$D$234="","",[1]Accounts!$F$234)</f>
        <v/>
      </c>
      <c r="G233" t="str">
        <f>IF([1]Accounts!$D$234="","",[1]Accounts!$G$234)</f>
        <v/>
      </c>
      <c r="T233" t="str">
        <f>IF([2]Baskol!$B$236="","",[2]Baskol!$B$236)</f>
        <v/>
      </c>
      <c r="U233" t="str">
        <f>IF([2]Baskol!$C$236="","",[2]Baskol!$C$236)</f>
        <v/>
      </c>
      <c r="V233" t="str">
        <f>IF([2]Baskol!$D$236="","",[2]Baskol!$D$236)</f>
        <v/>
      </c>
      <c r="W233" t="str">
        <f>IF([2]Baskol!$E$236="","",[2]Baskol!$E$236)</f>
        <v/>
      </c>
      <c r="X233" t="str">
        <f>IF([2]Baskol!$G$236="","",[2]Baskol!$G$236)</f>
        <v/>
      </c>
      <c r="Y233" t="str">
        <f>IF([2]Baskol!$I$236="","",[2]Baskol!$I$236)</f>
        <v/>
      </c>
      <c r="Z233" t="str">
        <f>IF([2]Baskol!$J$236="","",[2]Baskol!$J$236)</f>
        <v/>
      </c>
      <c r="AA233" t="str">
        <f>IF([2]Baskol!$K$236="","",[2]Baskol!$K$236)</f>
        <v/>
      </c>
      <c r="AB233" t="str">
        <f>IF([2]Baskol!$L$236="","",[2]Baskol!$L$236)</f>
        <v/>
      </c>
      <c r="AC233" t="str">
        <f>IF([2]Baskol!$N$236="","",[2]Baskol!$N$236)</f>
        <v/>
      </c>
      <c r="AD233" t="str">
        <f>IF([2]Baskol!$O$236="","",[2]Baskol!$O$236)</f>
        <v/>
      </c>
      <c r="AE233" t="str">
        <f>IF([3]Entry!$C$236="","",[3]Entry!$C$236)</f>
        <v/>
      </c>
      <c r="AF233" t="str">
        <f>IF([3]Entry!$D$236="","",[3]Entry!$D$236)</f>
        <v/>
      </c>
      <c r="AG233" t="str">
        <f>IF([3]Entry!$E$236="","",[3]Entry!$E$236)</f>
        <v/>
      </c>
      <c r="AH233" t="str">
        <f>IF([3]Entry!$G$236="","",[3]Entry!$G$236)</f>
        <v/>
      </c>
      <c r="AI233" t="str">
        <f>IF([3]Entry!$K$236="","",[3]Entry!$K$236)</f>
        <v/>
      </c>
      <c r="AJ233" t="str">
        <f>IF([3]Entry!$L$236="","",[3]Entry!$L$236)</f>
        <v/>
      </c>
      <c r="AK233" t="str">
        <f>IF([3]Entry!$M$236="","",[3]Entry!$M$236)</f>
        <v/>
      </c>
      <c r="AL233" t="str">
        <f>IF([3]Entry!$N$236="","",[3]Entry!$N$236)</f>
        <v/>
      </c>
      <c r="AM233" t="str">
        <f>IF([3]Entry!$R$236="","",[3]Entry!$R$236)</f>
        <v/>
      </c>
    </row>
    <row r="234" spans="1:39" x14ac:dyDescent="0.2">
      <c r="A234" t="str">
        <f>IF([1]Accounts!$D$235="","",[1]Accounts!$A$235)</f>
        <v/>
      </c>
      <c r="B234" t="str">
        <f>IF([1]Accounts!$D$235="","",[1]Accounts!$B$235)</f>
        <v/>
      </c>
      <c r="C234" t="str">
        <f>IF([1]Accounts!$D$235="","",[1]Accounts!$C$235)</f>
        <v/>
      </c>
      <c r="D234" t="str">
        <f>IF([1]Accounts!$D$235="","",[1]Accounts!$D$235)</f>
        <v/>
      </c>
      <c r="E234" t="str">
        <f>IF([1]Accounts!$D$235="","",[1]Accounts!$E$235)</f>
        <v/>
      </c>
      <c r="F234" t="str">
        <f>IF([1]Accounts!$D$235="","",[1]Accounts!$F$235)</f>
        <v/>
      </c>
      <c r="G234" t="str">
        <f>IF([1]Accounts!$D$235="","",[1]Accounts!$G$235)</f>
        <v/>
      </c>
      <c r="T234" t="str">
        <f>IF([2]Baskol!$B$237="","",[2]Baskol!$B$237)</f>
        <v/>
      </c>
      <c r="U234" t="str">
        <f>IF([2]Baskol!$C$237="","",[2]Baskol!$C$237)</f>
        <v/>
      </c>
      <c r="V234" t="str">
        <f>IF([2]Baskol!$D$237="","",[2]Baskol!$D$237)</f>
        <v/>
      </c>
      <c r="W234" t="str">
        <f>IF([2]Baskol!$E$237="","",[2]Baskol!$E$237)</f>
        <v/>
      </c>
      <c r="X234" t="str">
        <f>IF([2]Baskol!$G$237="","",[2]Baskol!$G$237)</f>
        <v/>
      </c>
      <c r="Y234" t="str">
        <f>IF([2]Baskol!$I$237="","",[2]Baskol!$I$237)</f>
        <v/>
      </c>
      <c r="Z234" t="str">
        <f>IF([2]Baskol!$J$237="","",[2]Baskol!$J$237)</f>
        <v/>
      </c>
      <c r="AA234" t="str">
        <f>IF([2]Baskol!$K$237="","",[2]Baskol!$K$237)</f>
        <v/>
      </c>
      <c r="AB234" t="str">
        <f>IF([2]Baskol!$L$237="","",[2]Baskol!$L$237)</f>
        <v/>
      </c>
      <c r="AC234" t="str">
        <f>IF([2]Baskol!$N$237="","",[2]Baskol!$N$237)</f>
        <v/>
      </c>
      <c r="AD234" t="str">
        <f>IF([2]Baskol!$O$237="","",[2]Baskol!$O$237)</f>
        <v/>
      </c>
      <c r="AE234" t="str">
        <f>IF([3]Entry!$C$237="","",[3]Entry!$C$237)</f>
        <v/>
      </c>
      <c r="AF234" t="str">
        <f>IF([3]Entry!$D$237="","",[3]Entry!$D$237)</f>
        <v/>
      </c>
      <c r="AG234" t="str">
        <f>IF([3]Entry!$E$237="","",[3]Entry!$E$237)</f>
        <v/>
      </c>
      <c r="AH234" t="str">
        <f>IF([3]Entry!$G$237="","",[3]Entry!$G$237)</f>
        <v/>
      </c>
      <c r="AI234" t="str">
        <f>IF([3]Entry!$K$237="","",[3]Entry!$K$237)</f>
        <v/>
      </c>
      <c r="AJ234" t="str">
        <f>IF([3]Entry!$L$237="","",[3]Entry!$L$237)</f>
        <v/>
      </c>
      <c r="AK234" t="str">
        <f>IF([3]Entry!$M$237="","",[3]Entry!$M$237)</f>
        <v/>
      </c>
      <c r="AL234" t="str">
        <f>IF([3]Entry!$N$237="","",[3]Entry!$N$237)</f>
        <v/>
      </c>
      <c r="AM234" t="str">
        <f>IF([3]Entry!$R$237="","",[3]Entry!$R$237)</f>
        <v/>
      </c>
    </row>
    <row r="235" spans="1:39" x14ac:dyDescent="0.2">
      <c r="A235" t="str">
        <f>IF([1]Accounts!$D$236="","",[1]Accounts!$A$236)</f>
        <v/>
      </c>
      <c r="B235" t="str">
        <f>IF([1]Accounts!$D$236="","",[1]Accounts!$B$236)</f>
        <v/>
      </c>
      <c r="C235" t="str">
        <f>IF([1]Accounts!$D$236="","",[1]Accounts!$C$236)</f>
        <v/>
      </c>
      <c r="D235" t="str">
        <f>IF([1]Accounts!$D$236="","",[1]Accounts!$D$236)</f>
        <v/>
      </c>
      <c r="E235" t="str">
        <f>IF([1]Accounts!$D$236="","",[1]Accounts!$E$236)</f>
        <v/>
      </c>
      <c r="F235" t="str">
        <f>IF([1]Accounts!$D$236="","",[1]Accounts!$F$236)</f>
        <v/>
      </c>
      <c r="G235" t="str">
        <f>IF([1]Accounts!$D$236="","",[1]Accounts!$G$236)</f>
        <v/>
      </c>
      <c r="T235" t="str">
        <f>IF([2]Baskol!$B$238="","",[2]Baskol!$B$238)</f>
        <v/>
      </c>
      <c r="U235" t="str">
        <f>IF([2]Baskol!$C$238="","",[2]Baskol!$C$238)</f>
        <v/>
      </c>
      <c r="V235" t="str">
        <f>IF([2]Baskol!$D$238="","",[2]Baskol!$D$238)</f>
        <v/>
      </c>
      <c r="W235" t="str">
        <f>IF([2]Baskol!$E$238="","",[2]Baskol!$E$238)</f>
        <v/>
      </c>
      <c r="X235" t="str">
        <f>IF([2]Baskol!$G$238="","",[2]Baskol!$G$238)</f>
        <v/>
      </c>
      <c r="Y235" t="str">
        <f>IF([2]Baskol!$I$238="","",[2]Baskol!$I$238)</f>
        <v/>
      </c>
      <c r="Z235" t="str">
        <f>IF([2]Baskol!$J$238="","",[2]Baskol!$J$238)</f>
        <v/>
      </c>
      <c r="AA235" t="str">
        <f>IF([2]Baskol!$K$238="","",[2]Baskol!$K$238)</f>
        <v/>
      </c>
      <c r="AB235" t="str">
        <f>IF([2]Baskol!$L$238="","",[2]Baskol!$L$238)</f>
        <v/>
      </c>
      <c r="AC235" t="str">
        <f>IF([2]Baskol!$N$238="","",[2]Baskol!$N$238)</f>
        <v/>
      </c>
      <c r="AD235" t="str">
        <f>IF([2]Baskol!$O$238="","",[2]Baskol!$O$238)</f>
        <v/>
      </c>
      <c r="AE235" t="str">
        <f>IF([3]Entry!$C$238="","",[3]Entry!$C$238)</f>
        <v/>
      </c>
      <c r="AF235" t="str">
        <f>IF([3]Entry!$D$238="","",[3]Entry!$D$238)</f>
        <v/>
      </c>
      <c r="AG235" t="str">
        <f>IF([3]Entry!$E$238="","",[3]Entry!$E$238)</f>
        <v/>
      </c>
      <c r="AH235" t="str">
        <f>IF([3]Entry!$G$238="","",[3]Entry!$G$238)</f>
        <v/>
      </c>
      <c r="AI235" t="str">
        <f>IF([3]Entry!$K$238="","",[3]Entry!$K$238)</f>
        <v/>
      </c>
      <c r="AJ235" t="str">
        <f>IF([3]Entry!$L$238="","",[3]Entry!$L$238)</f>
        <v/>
      </c>
      <c r="AK235" t="str">
        <f>IF([3]Entry!$M$238="","",[3]Entry!$M$238)</f>
        <v/>
      </c>
      <c r="AL235" t="str">
        <f>IF([3]Entry!$N$238="","",[3]Entry!$N$238)</f>
        <v/>
      </c>
      <c r="AM235" t="str">
        <f>IF([3]Entry!$R$238="","",[3]Entry!$R$238)</f>
        <v/>
      </c>
    </row>
    <row r="236" spans="1:39" x14ac:dyDescent="0.2">
      <c r="A236" t="str">
        <f>IF([1]Accounts!$D$237="","",[1]Accounts!$A$237)</f>
        <v/>
      </c>
      <c r="B236" t="str">
        <f>IF([1]Accounts!$D$237="","",[1]Accounts!$B$237)</f>
        <v/>
      </c>
      <c r="C236" t="str">
        <f>IF([1]Accounts!$D$237="","",[1]Accounts!$C$237)</f>
        <v/>
      </c>
      <c r="D236" t="str">
        <f>IF([1]Accounts!$D$237="","",[1]Accounts!$D$237)</f>
        <v/>
      </c>
      <c r="E236" t="str">
        <f>IF([1]Accounts!$D$237="","",[1]Accounts!$E$237)</f>
        <v/>
      </c>
      <c r="F236" t="str">
        <f>IF([1]Accounts!$D$237="","",[1]Accounts!$F$237)</f>
        <v/>
      </c>
      <c r="G236" t="str">
        <f>IF([1]Accounts!$D$237="","",[1]Accounts!$G$237)</f>
        <v/>
      </c>
      <c r="T236" t="str">
        <f>IF([2]Baskol!$B$239="","",[2]Baskol!$B$239)</f>
        <v/>
      </c>
      <c r="U236" t="str">
        <f>IF([2]Baskol!$C$239="","",[2]Baskol!$C$239)</f>
        <v/>
      </c>
      <c r="V236" t="str">
        <f>IF([2]Baskol!$D$239="","",[2]Baskol!$D$239)</f>
        <v/>
      </c>
      <c r="W236" t="str">
        <f>IF([2]Baskol!$E$239="","",[2]Baskol!$E$239)</f>
        <v/>
      </c>
      <c r="X236" t="str">
        <f>IF([2]Baskol!$G$239="","",[2]Baskol!$G$239)</f>
        <v/>
      </c>
      <c r="Y236" t="str">
        <f>IF([2]Baskol!$I$239="","",[2]Baskol!$I$239)</f>
        <v/>
      </c>
      <c r="Z236" t="str">
        <f>IF([2]Baskol!$J$239="","",[2]Baskol!$J$239)</f>
        <v/>
      </c>
      <c r="AA236" t="str">
        <f>IF([2]Baskol!$K$239="","",[2]Baskol!$K$239)</f>
        <v/>
      </c>
      <c r="AB236" t="str">
        <f>IF([2]Baskol!$L$239="","",[2]Baskol!$L$239)</f>
        <v/>
      </c>
      <c r="AC236" t="str">
        <f>IF([2]Baskol!$N$239="","",[2]Baskol!$N$239)</f>
        <v/>
      </c>
      <c r="AD236" t="str">
        <f>IF([2]Baskol!$O$239="","",[2]Baskol!$O$239)</f>
        <v/>
      </c>
      <c r="AE236" t="str">
        <f>IF([3]Entry!$C$239="","",[3]Entry!$C$239)</f>
        <v/>
      </c>
      <c r="AF236" t="str">
        <f>IF([3]Entry!$D$239="","",[3]Entry!$D$239)</f>
        <v/>
      </c>
      <c r="AG236" t="str">
        <f>IF([3]Entry!$E$239="","",[3]Entry!$E$239)</f>
        <v/>
      </c>
      <c r="AH236" t="str">
        <f>IF([3]Entry!$G$239="","",[3]Entry!$G$239)</f>
        <v/>
      </c>
      <c r="AI236" t="str">
        <f>IF([3]Entry!$K$239="","",[3]Entry!$K$239)</f>
        <v/>
      </c>
      <c r="AJ236" t="str">
        <f>IF([3]Entry!$L$239="","",[3]Entry!$L$239)</f>
        <v/>
      </c>
      <c r="AK236" t="str">
        <f>IF([3]Entry!$M$239="","",[3]Entry!$M$239)</f>
        <v/>
      </c>
      <c r="AL236" t="str">
        <f>IF([3]Entry!$N$239="","",[3]Entry!$N$239)</f>
        <v/>
      </c>
      <c r="AM236" t="str">
        <f>IF([3]Entry!$R$239="","",[3]Entry!$R$239)</f>
        <v/>
      </c>
    </row>
    <row r="237" spans="1:39" x14ac:dyDescent="0.2">
      <c r="A237" t="str">
        <f>IF([1]Accounts!$D$238="","",[1]Accounts!$A$238)</f>
        <v/>
      </c>
      <c r="B237" t="str">
        <f>IF([1]Accounts!$D$238="","",[1]Accounts!$B$238)</f>
        <v/>
      </c>
      <c r="C237" t="str">
        <f>IF([1]Accounts!$D$238="","",[1]Accounts!$C$238)</f>
        <v/>
      </c>
      <c r="D237" t="str">
        <f>IF([1]Accounts!$D$238="","",[1]Accounts!$D$238)</f>
        <v/>
      </c>
      <c r="E237" t="str">
        <f>IF([1]Accounts!$D$238="","",[1]Accounts!$E$238)</f>
        <v/>
      </c>
      <c r="F237" t="str">
        <f>IF([1]Accounts!$D$238="","",[1]Accounts!$F$238)</f>
        <v/>
      </c>
      <c r="G237" t="str">
        <f>IF([1]Accounts!$D$238="","",[1]Accounts!$G$238)</f>
        <v/>
      </c>
      <c r="T237" t="str">
        <f>IF([2]Baskol!$B$240="","",[2]Baskol!$B$240)</f>
        <v/>
      </c>
      <c r="U237" t="str">
        <f>IF([2]Baskol!$C$240="","",[2]Baskol!$C$240)</f>
        <v/>
      </c>
      <c r="V237" t="str">
        <f>IF([2]Baskol!$D$240="","",[2]Baskol!$D$240)</f>
        <v/>
      </c>
      <c r="W237" t="str">
        <f>IF([2]Baskol!$E$240="","",[2]Baskol!$E$240)</f>
        <v/>
      </c>
      <c r="X237" t="str">
        <f>IF([2]Baskol!$G$240="","",[2]Baskol!$G$240)</f>
        <v/>
      </c>
      <c r="Y237" t="str">
        <f>IF([2]Baskol!$I$240="","",[2]Baskol!$I$240)</f>
        <v/>
      </c>
      <c r="Z237" t="str">
        <f>IF([2]Baskol!$J$240="","",[2]Baskol!$J$240)</f>
        <v/>
      </c>
      <c r="AA237" t="str">
        <f>IF([2]Baskol!$K$240="","",[2]Baskol!$K$240)</f>
        <v/>
      </c>
      <c r="AB237" t="str">
        <f>IF([2]Baskol!$L$240="","",[2]Baskol!$L$240)</f>
        <v/>
      </c>
      <c r="AC237" t="str">
        <f>IF([2]Baskol!$N$240="","",[2]Baskol!$N$240)</f>
        <v/>
      </c>
      <c r="AD237" t="str">
        <f>IF([2]Baskol!$O$240="","",[2]Baskol!$O$240)</f>
        <v/>
      </c>
      <c r="AE237" t="str">
        <f>IF([3]Entry!$C$240="","",[3]Entry!$C$240)</f>
        <v/>
      </c>
      <c r="AF237" t="str">
        <f>IF([3]Entry!$D$240="","",[3]Entry!$D$240)</f>
        <v/>
      </c>
      <c r="AG237" t="str">
        <f>IF([3]Entry!$E$240="","",[3]Entry!$E$240)</f>
        <v/>
      </c>
      <c r="AH237" t="str">
        <f>IF([3]Entry!$G$240="","",[3]Entry!$G$240)</f>
        <v/>
      </c>
      <c r="AI237" t="str">
        <f>IF([3]Entry!$K$240="","",[3]Entry!$K$240)</f>
        <v/>
      </c>
      <c r="AJ237" t="str">
        <f>IF([3]Entry!$L$240="","",[3]Entry!$L$240)</f>
        <v/>
      </c>
      <c r="AK237" t="str">
        <f>IF([3]Entry!$M$240="","",[3]Entry!$M$240)</f>
        <v/>
      </c>
      <c r="AL237" t="str">
        <f>IF([3]Entry!$N$240="","",[3]Entry!$N$240)</f>
        <v/>
      </c>
      <c r="AM237" t="str">
        <f>IF([3]Entry!$R$240="","",[3]Entry!$R$240)</f>
        <v/>
      </c>
    </row>
    <row r="238" spans="1:39" x14ac:dyDescent="0.2">
      <c r="A238" t="str">
        <f>IF([1]Accounts!$D$239="","",[1]Accounts!$A$239)</f>
        <v/>
      </c>
      <c r="B238" t="str">
        <f>IF([1]Accounts!$D$239="","",[1]Accounts!$B$239)</f>
        <v/>
      </c>
      <c r="C238" t="str">
        <f>IF([1]Accounts!$D$239="","",[1]Accounts!$C$239)</f>
        <v/>
      </c>
      <c r="D238" t="str">
        <f>IF([1]Accounts!$D$239="","",[1]Accounts!$D$239)</f>
        <v/>
      </c>
      <c r="E238" t="str">
        <f>IF([1]Accounts!$D$239="","",[1]Accounts!$E$239)</f>
        <v/>
      </c>
      <c r="F238" t="str">
        <f>IF([1]Accounts!$D$239="","",[1]Accounts!$F$239)</f>
        <v/>
      </c>
      <c r="G238" t="str">
        <f>IF([1]Accounts!$D$239="","",[1]Accounts!$G$239)</f>
        <v/>
      </c>
      <c r="T238" t="str">
        <f>IF([2]Baskol!$B$241="","",[2]Baskol!$B$241)</f>
        <v/>
      </c>
      <c r="U238" t="str">
        <f>IF([2]Baskol!$C$241="","",[2]Baskol!$C$241)</f>
        <v/>
      </c>
      <c r="V238" t="str">
        <f>IF([2]Baskol!$D$241="","",[2]Baskol!$D$241)</f>
        <v/>
      </c>
      <c r="W238" t="str">
        <f>IF([2]Baskol!$E$241="","",[2]Baskol!$E$241)</f>
        <v/>
      </c>
      <c r="X238" t="str">
        <f>IF([2]Baskol!$G$241="","",[2]Baskol!$G$241)</f>
        <v/>
      </c>
      <c r="Y238" t="str">
        <f>IF([2]Baskol!$I$241="","",[2]Baskol!$I$241)</f>
        <v/>
      </c>
      <c r="Z238" t="str">
        <f>IF([2]Baskol!$J$241="","",[2]Baskol!$J$241)</f>
        <v/>
      </c>
      <c r="AA238" t="str">
        <f>IF([2]Baskol!$K$241="","",[2]Baskol!$K$241)</f>
        <v/>
      </c>
      <c r="AB238" t="str">
        <f>IF([2]Baskol!$L$241="","",[2]Baskol!$L$241)</f>
        <v/>
      </c>
      <c r="AC238" t="str">
        <f>IF([2]Baskol!$N$241="","",[2]Baskol!$N$241)</f>
        <v/>
      </c>
      <c r="AD238" t="str">
        <f>IF([2]Baskol!$O$241="","",[2]Baskol!$O$241)</f>
        <v/>
      </c>
      <c r="AE238" t="str">
        <f>IF([3]Entry!$C$241="","",[3]Entry!$C$241)</f>
        <v/>
      </c>
      <c r="AF238" t="str">
        <f>IF([3]Entry!$D$241="","",[3]Entry!$D$241)</f>
        <v/>
      </c>
      <c r="AG238" t="str">
        <f>IF([3]Entry!$E$241="","",[3]Entry!$E$241)</f>
        <v/>
      </c>
      <c r="AH238" t="str">
        <f>IF([3]Entry!$G$241="","",[3]Entry!$G$241)</f>
        <v/>
      </c>
      <c r="AI238" t="str">
        <f>IF([3]Entry!$K$241="","",[3]Entry!$K$241)</f>
        <v/>
      </c>
      <c r="AJ238" t="str">
        <f>IF([3]Entry!$L$241="","",[3]Entry!$L$241)</f>
        <v/>
      </c>
      <c r="AK238" t="str">
        <f>IF([3]Entry!$M$241="","",[3]Entry!$M$241)</f>
        <v/>
      </c>
      <c r="AL238" t="str">
        <f>IF([3]Entry!$N$241="","",[3]Entry!$N$241)</f>
        <v/>
      </c>
      <c r="AM238" t="str">
        <f>IF([3]Entry!$R$241="","",[3]Entry!$R$241)</f>
        <v/>
      </c>
    </row>
    <row r="239" spans="1:39" x14ac:dyDescent="0.2">
      <c r="A239" t="str">
        <f>IF([1]Accounts!$D$240="","",[1]Accounts!$A$240)</f>
        <v/>
      </c>
      <c r="B239" t="str">
        <f>IF([1]Accounts!$D$240="","",[1]Accounts!$B$240)</f>
        <v/>
      </c>
      <c r="C239" t="str">
        <f>IF([1]Accounts!$D$240="","",[1]Accounts!$C$240)</f>
        <v/>
      </c>
      <c r="D239" t="str">
        <f>IF([1]Accounts!$D$240="","",[1]Accounts!$D$240)</f>
        <v/>
      </c>
      <c r="E239" t="str">
        <f>IF([1]Accounts!$D$240="","",[1]Accounts!$E$240)</f>
        <v/>
      </c>
      <c r="F239" t="str">
        <f>IF([1]Accounts!$D$240="","",[1]Accounts!$F$240)</f>
        <v/>
      </c>
      <c r="G239" t="str">
        <f>IF([1]Accounts!$D$240="","",[1]Accounts!$G$240)</f>
        <v/>
      </c>
      <c r="T239" t="str">
        <f>IF([2]Baskol!$B$242="","",[2]Baskol!$B$242)</f>
        <v/>
      </c>
      <c r="U239" t="str">
        <f>IF([2]Baskol!$C$242="","",[2]Baskol!$C$242)</f>
        <v/>
      </c>
      <c r="V239" t="str">
        <f>IF([2]Baskol!$D$242="","",[2]Baskol!$D$242)</f>
        <v/>
      </c>
      <c r="W239" t="str">
        <f>IF([2]Baskol!$E$242="","",[2]Baskol!$E$242)</f>
        <v/>
      </c>
      <c r="X239" t="str">
        <f>IF([2]Baskol!$G$242="","",[2]Baskol!$G$242)</f>
        <v/>
      </c>
      <c r="Y239" t="str">
        <f>IF([2]Baskol!$I$242="","",[2]Baskol!$I$242)</f>
        <v/>
      </c>
      <c r="Z239" t="str">
        <f>IF([2]Baskol!$J$242="","",[2]Baskol!$J$242)</f>
        <v/>
      </c>
      <c r="AA239" t="str">
        <f>IF([2]Baskol!$K$242="","",[2]Baskol!$K$242)</f>
        <v/>
      </c>
      <c r="AB239" t="str">
        <f>IF([2]Baskol!$L$242="","",[2]Baskol!$L$242)</f>
        <v/>
      </c>
      <c r="AC239" t="str">
        <f>IF([2]Baskol!$N$242="","",[2]Baskol!$N$242)</f>
        <v/>
      </c>
      <c r="AD239" t="str">
        <f>IF([2]Baskol!$O$242="","",[2]Baskol!$O$242)</f>
        <v/>
      </c>
      <c r="AE239" t="str">
        <f>IF([3]Entry!$C$242="","",[3]Entry!$C$242)</f>
        <v/>
      </c>
      <c r="AF239" t="str">
        <f>IF([3]Entry!$D$242="","",[3]Entry!$D$242)</f>
        <v/>
      </c>
      <c r="AG239" t="str">
        <f>IF([3]Entry!$E$242="","",[3]Entry!$E$242)</f>
        <v/>
      </c>
      <c r="AH239" t="str">
        <f>IF([3]Entry!$G$242="","",[3]Entry!$G$242)</f>
        <v/>
      </c>
      <c r="AI239" t="str">
        <f>IF([3]Entry!$K$242="","",[3]Entry!$K$242)</f>
        <v/>
      </c>
      <c r="AJ239" t="str">
        <f>IF([3]Entry!$L$242="","",[3]Entry!$L$242)</f>
        <v/>
      </c>
      <c r="AK239" t="str">
        <f>IF([3]Entry!$M$242="","",[3]Entry!$M$242)</f>
        <v/>
      </c>
      <c r="AL239" t="str">
        <f>IF([3]Entry!$N$242="","",[3]Entry!$N$242)</f>
        <v/>
      </c>
      <c r="AM239" t="str">
        <f>IF([3]Entry!$R$242="","",[3]Entry!$R$242)</f>
        <v/>
      </c>
    </row>
    <row r="240" spans="1:39" x14ac:dyDescent="0.2">
      <c r="A240" t="str">
        <f>IF([1]Accounts!$D$241="","",[1]Accounts!$A$241)</f>
        <v/>
      </c>
      <c r="B240" t="str">
        <f>IF([1]Accounts!$D$241="","",[1]Accounts!$B$241)</f>
        <v/>
      </c>
      <c r="C240" t="str">
        <f>IF([1]Accounts!$D$241="","",[1]Accounts!$C$241)</f>
        <v/>
      </c>
      <c r="D240" t="str">
        <f>IF([1]Accounts!$D$241="","",[1]Accounts!$D$241)</f>
        <v/>
      </c>
      <c r="E240" t="str">
        <f>IF([1]Accounts!$D$241="","",[1]Accounts!$E$241)</f>
        <v/>
      </c>
      <c r="F240" t="str">
        <f>IF([1]Accounts!$D$241="","",[1]Accounts!$F$241)</f>
        <v/>
      </c>
      <c r="G240" t="str">
        <f>IF([1]Accounts!$D$241="","",[1]Accounts!$G$241)</f>
        <v/>
      </c>
      <c r="T240" t="str">
        <f>IF([2]Baskol!$B$243="","",[2]Baskol!$B$243)</f>
        <v/>
      </c>
      <c r="U240" t="str">
        <f>IF([2]Baskol!$C$243="","",[2]Baskol!$C$243)</f>
        <v/>
      </c>
      <c r="V240" t="str">
        <f>IF([2]Baskol!$D$243="","",[2]Baskol!$D$243)</f>
        <v/>
      </c>
      <c r="W240" t="str">
        <f>IF([2]Baskol!$E$243="","",[2]Baskol!$E$243)</f>
        <v/>
      </c>
      <c r="X240" t="str">
        <f>IF([2]Baskol!$G$243="","",[2]Baskol!$G$243)</f>
        <v/>
      </c>
      <c r="Y240" t="str">
        <f>IF([2]Baskol!$I$243="","",[2]Baskol!$I$243)</f>
        <v/>
      </c>
      <c r="Z240" t="str">
        <f>IF([2]Baskol!$J$243="","",[2]Baskol!$J$243)</f>
        <v/>
      </c>
      <c r="AA240" t="str">
        <f>IF([2]Baskol!$K$243="","",[2]Baskol!$K$243)</f>
        <v/>
      </c>
      <c r="AB240" t="str">
        <f>IF([2]Baskol!$L$243="","",[2]Baskol!$L$243)</f>
        <v/>
      </c>
      <c r="AC240" t="str">
        <f>IF([2]Baskol!$N$243="","",[2]Baskol!$N$243)</f>
        <v/>
      </c>
      <c r="AD240" t="str">
        <f>IF([2]Baskol!$O$243="","",[2]Baskol!$O$243)</f>
        <v/>
      </c>
      <c r="AE240" t="str">
        <f>IF([3]Entry!$C$243="","",[3]Entry!$C$243)</f>
        <v/>
      </c>
      <c r="AF240" t="str">
        <f>IF([3]Entry!$D$243="","",[3]Entry!$D$243)</f>
        <v/>
      </c>
      <c r="AG240" t="str">
        <f>IF([3]Entry!$E$243="","",[3]Entry!$E$243)</f>
        <v/>
      </c>
      <c r="AH240" t="str">
        <f>IF([3]Entry!$G$243="","",[3]Entry!$G$243)</f>
        <v/>
      </c>
      <c r="AI240" t="str">
        <f>IF([3]Entry!$K$243="","",[3]Entry!$K$243)</f>
        <v/>
      </c>
      <c r="AJ240" t="str">
        <f>IF([3]Entry!$L$243="","",[3]Entry!$L$243)</f>
        <v/>
      </c>
      <c r="AK240" t="str">
        <f>IF([3]Entry!$M$243="","",[3]Entry!$M$243)</f>
        <v/>
      </c>
      <c r="AL240" t="str">
        <f>IF([3]Entry!$N$243="","",[3]Entry!$N$243)</f>
        <v/>
      </c>
      <c r="AM240" t="str">
        <f>IF([3]Entry!$R$243="","",[3]Entry!$R$243)</f>
        <v/>
      </c>
    </row>
    <row r="241" spans="1:39" x14ac:dyDescent="0.2">
      <c r="A241" t="str">
        <f>IF([1]Accounts!$D$242="","",[1]Accounts!$A$242)</f>
        <v/>
      </c>
      <c r="B241" t="str">
        <f>IF([1]Accounts!$D$242="","",[1]Accounts!$B$242)</f>
        <v/>
      </c>
      <c r="C241" t="str">
        <f>IF([1]Accounts!$D$242="","",[1]Accounts!$C$242)</f>
        <v/>
      </c>
      <c r="D241" t="str">
        <f>IF([1]Accounts!$D$242="","",[1]Accounts!$D$242)</f>
        <v/>
      </c>
      <c r="E241" t="str">
        <f>IF([1]Accounts!$D$242="","",[1]Accounts!$E$242)</f>
        <v/>
      </c>
      <c r="F241" t="str">
        <f>IF([1]Accounts!$D$242="","",[1]Accounts!$F$242)</f>
        <v/>
      </c>
      <c r="G241" t="str">
        <f>IF([1]Accounts!$D$242="","",[1]Accounts!$G$242)</f>
        <v/>
      </c>
      <c r="T241" t="str">
        <f>IF([2]Baskol!$B$244="","",[2]Baskol!$B$244)</f>
        <v/>
      </c>
      <c r="U241" t="str">
        <f>IF([2]Baskol!$C$244="","",[2]Baskol!$C$244)</f>
        <v/>
      </c>
      <c r="V241" t="str">
        <f>IF([2]Baskol!$D$244="","",[2]Baskol!$D$244)</f>
        <v/>
      </c>
      <c r="W241" t="str">
        <f>IF([2]Baskol!$E$244="","",[2]Baskol!$E$244)</f>
        <v/>
      </c>
      <c r="X241" t="str">
        <f>IF([2]Baskol!$G$244="","",[2]Baskol!$G$244)</f>
        <v/>
      </c>
      <c r="Y241" t="str">
        <f>IF([2]Baskol!$I$244="","",[2]Baskol!$I$244)</f>
        <v/>
      </c>
      <c r="Z241" t="str">
        <f>IF([2]Baskol!$J$244="","",[2]Baskol!$J$244)</f>
        <v/>
      </c>
      <c r="AA241" t="str">
        <f>IF([2]Baskol!$K$244="","",[2]Baskol!$K$244)</f>
        <v/>
      </c>
      <c r="AB241" t="str">
        <f>IF([2]Baskol!$L$244="","",[2]Baskol!$L$244)</f>
        <v/>
      </c>
      <c r="AC241" t="str">
        <f>IF([2]Baskol!$N$244="","",[2]Baskol!$N$244)</f>
        <v/>
      </c>
      <c r="AD241" t="str">
        <f>IF([2]Baskol!$O$244="","",[2]Baskol!$O$244)</f>
        <v/>
      </c>
      <c r="AE241" t="str">
        <f>IF([3]Entry!$C$244="","",[3]Entry!$C$244)</f>
        <v/>
      </c>
      <c r="AF241" t="str">
        <f>IF([3]Entry!$D$244="","",[3]Entry!$D$244)</f>
        <v/>
      </c>
      <c r="AG241" t="str">
        <f>IF([3]Entry!$E$244="","",[3]Entry!$E$244)</f>
        <v/>
      </c>
      <c r="AH241" t="str">
        <f>IF([3]Entry!$G$244="","",[3]Entry!$G$244)</f>
        <v/>
      </c>
      <c r="AI241" t="str">
        <f>IF([3]Entry!$K$244="","",[3]Entry!$K$244)</f>
        <v/>
      </c>
      <c r="AJ241" t="str">
        <f>IF([3]Entry!$L$244="","",[3]Entry!$L$244)</f>
        <v/>
      </c>
      <c r="AK241" t="str">
        <f>IF([3]Entry!$M$244="","",[3]Entry!$M$244)</f>
        <v/>
      </c>
      <c r="AL241" t="str">
        <f>IF([3]Entry!$N$244="","",[3]Entry!$N$244)</f>
        <v/>
      </c>
      <c r="AM241" t="str">
        <f>IF([3]Entry!$R$244="","",[3]Entry!$R$244)</f>
        <v/>
      </c>
    </row>
    <row r="242" spans="1:39" x14ac:dyDescent="0.2">
      <c r="A242" t="str">
        <f>IF([1]Accounts!$D$243="","",[1]Accounts!$A$243)</f>
        <v/>
      </c>
      <c r="B242" t="str">
        <f>IF([1]Accounts!$D$243="","",[1]Accounts!$B$243)</f>
        <v/>
      </c>
      <c r="C242" t="str">
        <f>IF([1]Accounts!$D$243="","",[1]Accounts!$C$243)</f>
        <v/>
      </c>
      <c r="D242" t="str">
        <f>IF([1]Accounts!$D$243="","",[1]Accounts!$D$243)</f>
        <v/>
      </c>
      <c r="E242" t="str">
        <f>IF([1]Accounts!$D$243="","",[1]Accounts!$E$243)</f>
        <v/>
      </c>
      <c r="F242" t="str">
        <f>IF([1]Accounts!$D$243="","",[1]Accounts!$F$243)</f>
        <v/>
      </c>
      <c r="G242" t="str">
        <f>IF([1]Accounts!$D$243="","",[1]Accounts!$G$243)</f>
        <v/>
      </c>
      <c r="T242" t="str">
        <f>IF([2]Baskol!$B$245="","",[2]Baskol!$B$245)</f>
        <v/>
      </c>
      <c r="U242" t="str">
        <f>IF([2]Baskol!$C$245="","",[2]Baskol!$C$245)</f>
        <v/>
      </c>
      <c r="V242" t="str">
        <f>IF([2]Baskol!$D$245="","",[2]Baskol!$D$245)</f>
        <v/>
      </c>
      <c r="W242" t="str">
        <f>IF([2]Baskol!$E$245="","",[2]Baskol!$E$245)</f>
        <v/>
      </c>
      <c r="X242" t="str">
        <f>IF([2]Baskol!$G$245="","",[2]Baskol!$G$245)</f>
        <v/>
      </c>
      <c r="Y242" t="str">
        <f>IF([2]Baskol!$I$245="","",[2]Baskol!$I$245)</f>
        <v/>
      </c>
      <c r="Z242" t="str">
        <f>IF([2]Baskol!$J$245="","",[2]Baskol!$J$245)</f>
        <v/>
      </c>
      <c r="AA242" t="str">
        <f>IF([2]Baskol!$K$245="","",[2]Baskol!$K$245)</f>
        <v/>
      </c>
      <c r="AB242" t="str">
        <f>IF([2]Baskol!$L$245="","",[2]Baskol!$L$245)</f>
        <v/>
      </c>
      <c r="AC242" t="str">
        <f>IF([2]Baskol!$N$245="","",[2]Baskol!$N$245)</f>
        <v/>
      </c>
      <c r="AD242" t="str">
        <f>IF([2]Baskol!$O$245="","",[2]Baskol!$O$245)</f>
        <v/>
      </c>
      <c r="AE242" t="str">
        <f>IF([3]Entry!$C$245="","",[3]Entry!$C$245)</f>
        <v/>
      </c>
      <c r="AF242" t="str">
        <f>IF([3]Entry!$D$245="","",[3]Entry!$D$245)</f>
        <v/>
      </c>
      <c r="AG242" t="str">
        <f>IF([3]Entry!$E$245="","",[3]Entry!$E$245)</f>
        <v/>
      </c>
      <c r="AH242" t="str">
        <f>IF([3]Entry!$G$245="","",[3]Entry!$G$245)</f>
        <v/>
      </c>
      <c r="AI242" t="str">
        <f>IF([3]Entry!$K$245="","",[3]Entry!$K$245)</f>
        <v/>
      </c>
      <c r="AJ242" t="str">
        <f>IF([3]Entry!$L$245="","",[3]Entry!$L$245)</f>
        <v/>
      </c>
      <c r="AK242" t="str">
        <f>IF([3]Entry!$M$245="","",[3]Entry!$M$245)</f>
        <v/>
      </c>
      <c r="AL242" t="str">
        <f>IF([3]Entry!$N$245="","",[3]Entry!$N$245)</f>
        <v/>
      </c>
      <c r="AM242" t="str">
        <f>IF([3]Entry!$R$245="","",[3]Entry!$R$245)</f>
        <v/>
      </c>
    </row>
    <row r="243" spans="1:39" x14ac:dyDescent="0.2">
      <c r="A243" t="str">
        <f>IF([1]Accounts!$D$244="","",[1]Accounts!$A$244)</f>
        <v/>
      </c>
      <c r="B243" t="str">
        <f>IF([1]Accounts!$D$244="","",[1]Accounts!$B$244)</f>
        <v/>
      </c>
      <c r="C243" t="str">
        <f>IF([1]Accounts!$D$244="","",[1]Accounts!$C$244)</f>
        <v/>
      </c>
      <c r="D243" t="str">
        <f>IF([1]Accounts!$D$244="","",[1]Accounts!$D$244)</f>
        <v/>
      </c>
      <c r="E243" t="str">
        <f>IF([1]Accounts!$D$244="","",[1]Accounts!$E$244)</f>
        <v/>
      </c>
      <c r="F243" t="str">
        <f>IF([1]Accounts!$D$244="","",[1]Accounts!$F$244)</f>
        <v/>
      </c>
      <c r="G243" t="str">
        <f>IF([1]Accounts!$D$244="","",[1]Accounts!$G$244)</f>
        <v/>
      </c>
      <c r="T243" t="str">
        <f>IF([2]Baskol!$B$246="","",[2]Baskol!$B$246)</f>
        <v/>
      </c>
      <c r="U243" t="str">
        <f>IF([2]Baskol!$C$246="","",[2]Baskol!$C$246)</f>
        <v/>
      </c>
      <c r="V243" t="str">
        <f>IF([2]Baskol!$D$246="","",[2]Baskol!$D$246)</f>
        <v/>
      </c>
      <c r="W243" t="str">
        <f>IF([2]Baskol!$E$246="","",[2]Baskol!$E$246)</f>
        <v/>
      </c>
      <c r="X243" t="str">
        <f>IF([2]Baskol!$G$246="","",[2]Baskol!$G$246)</f>
        <v/>
      </c>
      <c r="Y243" t="str">
        <f>IF([2]Baskol!$I$246="","",[2]Baskol!$I$246)</f>
        <v/>
      </c>
      <c r="Z243" t="str">
        <f>IF([2]Baskol!$J$246="","",[2]Baskol!$J$246)</f>
        <v/>
      </c>
      <c r="AA243" t="str">
        <f>IF([2]Baskol!$K$246="","",[2]Baskol!$K$246)</f>
        <v/>
      </c>
      <c r="AB243" t="str">
        <f>IF([2]Baskol!$L$246="","",[2]Baskol!$L$246)</f>
        <v/>
      </c>
      <c r="AC243" t="str">
        <f>IF([2]Baskol!$N$246="","",[2]Baskol!$N$246)</f>
        <v/>
      </c>
      <c r="AD243" t="str">
        <f>IF([2]Baskol!$O$246="","",[2]Baskol!$O$246)</f>
        <v/>
      </c>
      <c r="AE243" t="str">
        <f>IF([3]Entry!$C$246="","",[3]Entry!$C$246)</f>
        <v/>
      </c>
      <c r="AF243" t="str">
        <f>IF([3]Entry!$D$246="","",[3]Entry!$D$246)</f>
        <v/>
      </c>
      <c r="AG243" t="str">
        <f>IF([3]Entry!$E$246="","",[3]Entry!$E$246)</f>
        <v/>
      </c>
      <c r="AH243" t="str">
        <f>IF([3]Entry!$G$246="","",[3]Entry!$G$246)</f>
        <v/>
      </c>
      <c r="AI243" t="str">
        <f>IF([3]Entry!$K$246="","",[3]Entry!$K$246)</f>
        <v/>
      </c>
      <c r="AJ243" t="str">
        <f>IF([3]Entry!$L$246="","",[3]Entry!$L$246)</f>
        <v/>
      </c>
      <c r="AK243" t="str">
        <f>IF([3]Entry!$M$246="","",[3]Entry!$M$246)</f>
        <v/>
      </c>
      <c r="AL243" t="str">
        <f>IF([3]Entry!$N$246="","",[3]Entry!$N$246)</f>
        <v/>
      </c>
      <c r="AM243" t="str">
        <f>IF([3]Entry!$R$246="","",[3]Entry!$R$246)</f>
        <v/>
      </c>
    </row>
    <row r="244" spans="1:39" x14ac:dyDescent="0.2">
      <c r="A244" t="str">
        <f>IF([1]Accounts!$D$245="","",[1]Accounts!$A$245)</f>
        <v/>
      </c>
      <c r="B244" t="str">
        <f>IF([1]Accounts!$D$245="","",[1]Accounts!$B$245)</f>
        <v/>
      </c>
      <c r="C244" t="str">
        <f>IF([1]Accounts!$D$245="","",[1]Accounts!$C$245)</f>
        <v/>
      </c>
      <c r="D244" t="str">
        <f>IF([1]Accounts!$D$245="","",[1]Accounts!$D$245)</f>
        <v/>
      </c>
      <c r="E244" t="str">
        <f>IF([1]Accounts!$D$245="","",[1]Accounts!$E$245)</f>
        <v/>
      </c>
      <c r="F244" t="str">
        <f>IF([1]Accounts!$D$245="","",[1]Accounts!$F$245)</f>
        <v/>
      </c>
      <c r="G244" t="str">
        <f>IF([1]Accounts!$D$245="","",[1]Accounts!$G$245)</f>
        <v/>
      </c>
      <c r="T244" t="str">
        <f>IF([2]Baskol!$B$247="","",[2]Baskol!$B$247)</f>
        <v/>
      </c>
      <c r="U244" t="str">
        <f>IF([2]Baskol!$C$247="","",[2]Baskol!$C$247)</f>
        <v/>
      </c>
      <c r="V244" t="str">
        <f>IF([2]Baskol!$D$247="","",[2]Baskol!$D$247)</f>
        <v/>
      </c>
      <c r="W244" t="str">
        <f>IF([2]Baskol!$E$247="","",[2]Baskol!$E$247)</f>
        <v/>
      </c>
      <c r="X244" t="str">
        <f>IF([2]Baskol!$G$247="","",[2]Baskol!$G$247)</f>
        <v/>
      </c>
      <c r="Y244" t="str">
        <f>IF([2]Baskol!$I$247="","",[2]Baskol!$I$247)</f>
        <v/>
      </c>
      <c r="Z244" t="str">
        <f>IF([2]Baskol!$J$247="","",[2]Baskol!$J$247)</f>
        <v/>
      </c>
      <c r="AA244" t="str">
        <f>IF([2]Baskol!$K$247="","",[2]Baskol!$K$247)</f>
        <v/>
      </c>
      <c r="AB244" t="str">
        <f>IF([2]Baskol!$L$247="","",[2]Baskol!$L$247)</f>
        <v/>
      </c>
      <c r="AC244" t="str">
        <f>IF([2]Baskol!$N$247="","",[2]Baskol!$N$247)</f>
        <v/>
      </c>
      <c r="AD244" t="str">
        <f>IF([2]Baskol!$O$247="","",[2]Baskol!$O$247)</f>
        <v/>
      </c>
      <c r="AE244" t="str">
        <f>IF([3]Entry!$C$247="","",[3]Entry!$C$247)</f>
        <v/>
      </c>
      <c r="AF244" t="str">
        <f>IF([3]Entry!$D$247="","",[3]Entry!$D$247)</f>
        <v/>
      </c>
      <c r="AG244" t="str">
        <f>IF([3]Entry!$E$247="","",[3]Entry!$E$247)</f>
        <v/>
      </c>
      <c r="AH244" t="str">
        <f>IF([3]Entry!$G$247="","",[3]Entry!$G$247)</f>
        <v/>
      </c>
      <c r="AI244" t="str">
        <f>IF([3]Entry!$K$247="","",[3]Entry!$K$247)</f>
        <v/>
      </c>
      <c r="AJ244" t="str">
        <f>IF([3]Entry!$L$247="","",[3]Entry!$L$247)</f>
        <v/>
      </c>
      <c r="AK244" t="str">
        <f>IF([3]Entry!$M$247="","",[3]Entry!$M$247)</f>
        <v/>
      </c>
      <c r="AL244" t="str">
        <f>IF([3]Entry!$N$247="","",[3]Entry!$N$247)</f>
        <v/>
      </c>
      <c r="AM244" t="str">
        <f>IF([3]Entry!$R$247="","",[3]Entry!$R$247)</f>
        <v/>
      </c>
    </row>
    <row r="245" spans="1:39" x14ac:dyDescent="0.2">
      <c r="A245" t="str">
        <f>IF([1]Accounts!$D$246="","",[1]Accounts!$A$246)</f>
        <v/>
      </c>
      <c r="B245" t="str">
        <f>IF([1]Accounts!$D$246="","",[1]Accounts!$B$246)</f>
        <v/>
      </c>
      <c r="C245" t="str">
        <f>IF([1]Accounts!$D$246="","",[1]Accounts!$C$246)</f>
        <v/>
      </c>
      <c r="D245" t="str">
        <f>IF([1]Accounts!$D$246="","",[1]Accounts!$D$246)</f>
        <v/>
      </c>
      <c r="E245" t="str">
        <f>IF([1]Accounts!$D$246="","",[1]Accounts!$E$246)</f>
        <v/>
      </c>
      <c r="F245" t="str">
        <f>IF([1]Accounts!$D$246="","",[1]Accounts!$F$246)</f>
        <v/>
      </c>
      <c r="G245" t="str">
        <f>IF([1]Accounts!$D$246="","",[1]Accounts!$G$246)</f>
        <v/>
      </c>
      <c r="T245" t="str">
        <f>IF([2]Baskol!$B$248="","",[2]Baskol!$B$248)</f>
        <v/>
      </c>
      <c r="U245" t="str">
        <f>IF([2]Baskol!$C$248="","",[2]Baskol!$C$248)</f>
        <v/>
      </c>
      <c r="V245" t="str">
        <f>IF([2]Baskol!$D$248="","",[2]Baskol!$D$248)</f>
        <v/>
      </c>
      <c r="W245" t="str">
        <f>IF([2]Baskol!$E$248="","",[2]Baskol!$E$248)</f>
        <v/>
      </c>
      <c r="X245" t="str">
        <f>IF([2]Baskol!$G$248="","",[2]Baskol!$G$248)</f>
        <v/>
      </c>
      <c r="Y245" t="str">
        <f>IF([2]Baskol!$I$248="","",[2]Baskol!$I$248)</f>
        <v/>
      </c>
      <c r="Z245" t="str">
        <f>IF([2]Baskol!$J$248="","",[2]Baskol!$J$248)</f>
        <v/>
      </c>
      <c r="AA245" t="str">
        <f>IF([2]Baskol!$K$248="","",[2]Baskol!$K$248)</f>
        <v/>
      </c>
      <c r="AB245" t="str">
        <f>IF([2]Baskol!$L$248="","",[2]Baskol!$L$248)</f>
        <v/>
      </c>
      <c r="AC245" t="str">
        <f>IF([2]Baskol!$N$248="","",[2]Baskol!$N$248)</f>
        <v/>
      </c>
      <c r="AD245" t="str">
        <f>IF([2]Baskol!$O$248="","",[2]Baskol!$O$248)</f>
        <v/>
      </c>
      <c r="AE245" t="str">
        <f>IF([3]Entry!$C$248="","",[3]Entry!$C$248)</f>
        <v/>
      </c>
      <c r="AF245" t="str">
        <f>IF([3]Entry!$D$248="","",[3]Entry!$D$248)</f>
        <v/>
      </c>
      <c r="AG245" t="str">
        <f>IF([3]Entry!$E$248="","",[3]Entry!$E$248)</f>
        <v/>
      </c>
      <c r="AH245" t="str">
        <f>IF([3]Entry!$G$248="","",[3]Entry!$G$248)</f>
        <v/>
      </c>
      <c r="AI245" t="str">
        <f>IF([3]Entry!$K$248="","",[3]Entry!$K$248)</f>
        <v/>
      </c>
      <c r="AJ245" t="str">
        <f>IF([3]Entry!$L$248="","",[3]Entry!$L$248)</f>
        <v/>
      </c>
      <c r="AK245" t="str">
        <f>IF([3]Entry!$M$248="","",[3]Entry!$M$248)</f>
        <v/>
      </c>
      <c r="AL245" t="str">
        <f>IF([3]Entry!$N$248="","",[3]Entry!$N$248)</f>
        <v/>
      </c>
      <c r="AM245" t="str">
        <f>IF([3]Entry!$R$248="","",[3]Entry!$R$248)</f>
        <v/>
      </c>
    </row>
    <row r="246" spans="1:39" x14ac:dyDescent="0.2">
      <c r="A246" t="str">
        <f>IF([1]Accounts!$D$247="","",[1]Accounts!$A$247)</f>
        <v/>
      </c>
      <c r="B246" t="str">
        <f>IF([1]Accounts!$D$247="","",[1]Accounts!$B$247)</f>
        <v/>
      </c>
      <c r="C246" t="str">
        <f>IF([1]Accounts!$D$247="","",[1]Accounts!$C$247)</f>
        <v/>
      </c>
      <c r="D246" t="str">
        <f>IF([1]Accounts!$D$247="","",[1]Accounts!$D$247)</f>
        <v/>
      </c>
      <c r="E246" t="str">
        <f>IF([1]Accounts!$D$247="","",[1]Accounts!$E$247)</f>
        <v/>
      </c>
      <c r="F246" t="str">
        <f>IF([1]Accounts!$D$247="","",[1]Accounts!$F$247)</f>
        <v/>
      </c>
      <c r="G246" t="str">
        <f>IF([1]Accounts!$D$247="","",[1]Accounts!$G$247)</f>
        <v/>
      </c>
      <c r="T246" t="str">
        <f>IF([2]Baskol!$B$249="","",[2]Baskol!$B$249)</f>
        <v/>
      </c>
      <c r="U246" t="str">
        <f>IF([2]Baskol!$C$249="","",[2]Baskol!$C$249)</f>
        <v/>
      </c>
      <c r="V246" t="str">
        <f>IF([2]Baskol!$D$249="","",[2]Baskol!$D$249)</f>
        <v/>
      </c>
      <c r="W246" t="str">
        <f>IF([2]Baskol!$E$249="","",[2]Baskol!$E$249)</f>
        <v/>
      </c>
      <c r="X246" t="str">
        <f>IF([2]Baskol!$G$249="","",[2]Baskol!$G$249)</f>
        <v/>
      </c>
      <c r="Y246" t="str">
        <f>IF([2]Baskol!$I$249="","",[2]Baskol!$I$249)</f>
        <v/>
      </c>
      <c r="Z246" t="str">
        <f>IF([2]Baskol!$J$249="","",[2]Baskol!$J$249)</f>
        <v/>
      </c>
      <c r="AA246" t="str">
        <f>IF([2]Baskol!$K$249="","",[2]Baskol!$K$249)</f>
        <v/>
      </c>
      <c r="AB246" t="str">
        <f>IF([2]Baskol!$L$249="","",[2]Baskol!$L$249)</f>
        <v/>
      </c>
      <c r="AC246" t="str">
        <f>IF([2]Baskol!$N$249="","",[2]Baskol!$N$249)</f>
        <v/>
      </c>
      <c r="AD246" t="str">
        <f>IF([2]Baskol!$O$249="","",[2]Baskol!$O$249)</f>
        <v/>
      </c>
      <c r="AE246" t="str">
        <f>IF([3]Entry!$C$249="","",[3]Entry!$C$249)</f>
        <v/>
      </c>
      <c r="AF246" t="str">
        <f>IF([3]Entry!$D$249="","",[3]Entry!$D$249)</f>
        <v/>
      </c>
      <c r="AG246" t="str">
        <f>IF([3]Entry!$E$249="","",[3]Entry!$E$249)</f>
        <v/>
      </c>
      <c r="AH246" t="str">
        <f>IF([3]Entry!$G$249="","",[3]Entry!$G$249)</f>
        <v/>
      </c>
      <c r="AI246" t="str">
        <f>IF([3]Entry!$K$249="","",[3]Entry!$K$249)</f>
        <v/>
      </c>
      <c r="AJ246" t="str">
        <f>IF([3]Entry!$L$249="","",[3]Entry!$L$249)</f>
        <v/>
      </c>
      <c r="AK246" t="str">
        <f>IF([3]Entry!$M$249="","",[3]Entry!$M$249)</f>
        <v/>
      </c>
      <c r="AL246" t="str">
        <f>IF([3]Entry!$N$249="","",[3]Entry!$N$249)</f>
        <v/>
      </c>
      <c r="AM246" t="str">
        <f>IF([3]Entry!$R$249="","",[3]Entry!$R$249)</f>
        <v/>
      </c>
    </row>
    <row r="247" spans="1:39" x14ac:dyDescent="0.2">
      <c r="A247" t="str">
        <f>IF([1]Accounts!$D$248="","",[1]Accounts!$A$248)</f>
        <v/>
      </c>
      <c r="B247" t="str">
        <f>IF([1]Accounts!$D$248="","",[1]Accounts!$B$248)</f>
        <v/>
      </c>
      <c r="C247" t="str">
        <f>IF([1]Accounts!$D$248="","",[1]Accounts!$C$248)</f>
        <v/>
      </c>
      <c r="D247" t="str">
        <f>IF([1]Accounts!$D$248="","",[1]Accounts!$D$248)</f>
        <v/>
      </c>
      <c r="E247" t="str">
        <f>IF([1]Accounts!$D$248="","",[1]Accounts!$E$248)</f>
        <v/>
      </c>
      <c r="F247" t="str">
        <f>IF([1]Accounts!$D$248="","",[1]Accounts!$F$248)</f>
        <v/>
      </c>
      <c r="G247" t="str">
        <f>IF([1]Accounts!$D$248="","",[1]Accounts!$G$248)</f>
        <v/>
      </c>
      <c r="T247" t="str">
        <f>IF([2]Baskol!$B$250="","",[2]Baskol!$B$250)</f>
        <v/>
      </c>
      <c r="U247" t="str">
        <f>IF([2]Baskol!$C$250="","",[2]Baskol!$C$250)</f>
        <v/>
      </c>
      <c r="V247" t="str">
        <f>IF([2]Baskol!$D$250="","",[2]Baskol!$D$250)</f>
        <v/>
      </c>
      <c r="W247" t="str">
        <f>IF([2]Baskol!$E$250="","",[2]Baskol!$E$250)</f>
        <v/>
      </c>
      <c r="X247" t="str">
        <f>IF([2]Baskol!$G$250="","",[2]Baskol!$G$250)</f>
        <v/>
      </c>
      <c r="Y247" t="str">
        <f>IF([2]Baskol!$I$250="","",[2]Baskol!$I$250)</f>
        <v/>
      </c>
      <c r="Z247" t="str">
        <f>IF([2]Baskol!$J$250="","",[2]Baskol!$J$250)</f>
        <v/>
      </c>
      <c r="AA247" t="str">
        <f>IF([2]Baskol!$K$250="","",[2]Baskol!$K$250)</f>
        <v/>
      </c>
      <c r="AB247" t="str">
        <f>IF([2]Baskol!$L$250="","",[2]Baskol!$L$250)</f>
        <v/>
      </c>
      <c r="AC247" t="str">
        <f>IF([2]Baskol!$N$250="","",[2]Baskol!$N$250)</f>
        <v/>
      </c>
      <c r="AD247" t="str">
        <f>IF([2]Baskol!$O$250="","",[2]Baskol!$O$250)</f>
        <v/>
      </c>
      <c r="AE247" t="str">
        <f>IF([3]Entry!$C$250="","",[3]Entry!$C$250)</f>
        <v/>
      </c>
      <c r="AF247" t="str">
        <f>IF([3]Entry!$D$250="","",[3]Entry!$D$250)</f>
        <v/>
      </c>
      <c r="AG247" t="str">
        <f>IF([3]Entry!$E$250="","",[3]Entry!$E$250)</f>
        <v/>
      </c>
      <c r="AH247" t="str">
        <f>IF([3]Entry!$G$250="","",[3]Entry!$G$250)</f>
        <v/>
      </c>
      <c r="AI247" t="str">
        <f>IF([3]Entry!$K$250="","",[3]Entry!$K$250)</f>
        <v/>
      </c>
      <c r="AJ247" t="str">
        <f>IF([3]Entry!$L$250="","",[3]Entry!$L$250)</f>
        <v/>
      </c>
      <c r="AK247" t="str">
        <f>IF([3]Entry!$M$250="","",[3]Entry!$M$250)</f>
        <v/>
      </c>
      <c r="AL247" t="str">
        <f>IF([3]Entry!$N$250="","",[3]Entry!$N$250)</f>
        <v/>
      </c>
      <c r="AM247" t="str">
        <f>IF([3]Entry!$R$250="","",[3]Entry!$R$250)</f>
        <v/>
      </c>
    </row>
    <row r="248" spans="1:39" x14ac:dyDescent="0.2">
      <c r="A248" t="str">
        <f>IF([1]Accounts!$D$249="","",[1]Accounts!$A$249)</f>
        <v/>
      </c>
      <c r="B248" t="str">
        <f>IF([1]Accounts!$D$249="","",[1]Accounts!$B$249)</f>
        <v/>
      </c>
      <c r="C248" t="str">
        <f>IF([1]Accounts!$D$249="","",[1]Accounts!$C$249)</f>
        <v/>
      </c>
      <c r="D248" t="str">
        <f>IF([1]Accounts!$D$249="","",[1]Accounts!$D$249)</f>
        <v/>
      </c>
      <c r="E248" t="str">
        <f>IF([1]Accounts!$D$249="","",[1]Accounts!$E$249)</f>
        <v/>
      </c>
      <c r="F248" t="str">
        <f>IF([1]Accounts!$D$249="","",[1]Accounts!$F$249)</f>
        <v/>
      </c>
      <c r="G248" t="str">
        <f>IF([1]Accounts!$D$249="","",[1]Accounts!$G$249)</f>
        <v/>
      </c>
      <c r="T248" t="str">
        <f>IF([2]Baskol!$B$251="","",[2]Baskol!$B$251)</f>
        <v/>
      </c>
      <c r="U248" t="str">
        <f>IF([2]Baskol!$C$251="","",[2]Baskol!$C$251)</f>
        <v/>
      </c>
      <c r="V248" t="str">
        <f>IF([2]Baskol!$D$251="","",[2]Baskol!$D$251)</f>
        <v/>
      </c>
      <c r="W248" t="str">
        <f>IF([2]Baskol!$E$251="","",[2]Baskol!$E$251)</f>
        <v/>
      </c>
      <c r="X248" t="str">
        <f>IF([2]Baskol!$G$251="","",[2]Baskol!$G$251)</f>
        <v/>
      </c>
      <c r="Y248" t="str">
        <f>IF([2]Baskol!$I$251="","",[2]Baskol!$I$251)</f>
        <v/>
      </c>
      <c r="Z248" t="str">
        <f>IF([2]Baskol!$J$251="","",[2]Baskol!$J$251)</f>
        <v/>
      </c>
      <c r="AA248" t="str">
        <f>IF([2]Baskol!$K$251="","",[2]Baskol!$K$251)</f>
        <v/>
      </c>
      <c r="AB248" t="str">
        <f>IF([2]Baskol!$L$251="","",[2]Baskol!$L$251)</f>
        <v/>
      </c>
      <c r="AC248" t="str">
        <f>IF([2]Baskol!$N$251="","",[2]Baskol!$N$251)</f>
        <v/>
      </c>
      <c r="AD248" t="str">
        <f>IF([2]Baskol!$O$251="","",[2]Baskol!$O$251)</f>
        <v/>
      </c>
      <c r="AE248" t="str">
        <f>IF([3]Entry!$C$251="","",[3]Entry!$C$251)</f>
        <v/>
      </c>
      <c r="AF248" t="str">
        <f>IF([3]Entry!$D$251="","",[3]Entry!$D$251)</f>
        <v/>
      </c>
      <c r="AG248" t="str">
        <f>IF([3]Entry!$E$251="","",[3]Entry!$E$251)</f>
        <v/>
      </c>
      <c r="AH248" t="str">
        <f>IF([3]Entry!$G$251="","",[3]Entry!$G$251)</f>
        <v/>
      </c>
      <c r="AI248" t="str">
        <f>IF([3]Entry!$K$251="","",[3]Entry!$K$251)</f>
        <v/>
      </c>
      <c r="AJ248" t="str">
        <f>IF([3]Entry!$L$251="","",[3]Entry!$L$251)</f>
        <v/>
      </c>
      <c r="AK248" t="str">
        <f>IF([3]Entry!$M$251="","",[3]Entry!$M$251)</f>
        <v/>
      </c>
      <c r="AL248" t="str">
        <f>IF([3]Entry!$N$251="","",[3]Entry!$N$251)</f>
        <v/>
      </c>
      <c r="AM248" t="str">
        <f>IF([3]Entry!$R$251="","",[3]Entry!$R$251)</f>
        <v/>
      </c>
    </row>
    <row r="249" spans="1:39" x14ac:dyDescent="0.2">
      <c r="A249" t="str">
        <f>IF([1]Accounts!$D$250="","",[1]Accounts!$A$250)</f>
        <v/>
      </c>
      <c r="B249" t="str">
        <f>IF([1]Accounts!$D$250="","",[1]Accounts!$B$250)</f>
        <v/>
      </c>
      <c r="C249" t="str">
        <f>IF([1]Accounts!$D$250="","",[1]Accounts!$C$250)</f>
        <v/>
      </c>
      <c r="D249" t="str">
        <f>IF([1]Accounts!$D$250="","",[1]Accounts!$D$250)</f>
        <v/>
      </c>
      <c r="E249" t="str">
        <f>IF([1]Accounts!$D$250="","",[1]Accounts!$E$250)</f>
        <v/>
      </c>
      <c r="F249" t="str">
        <f>IF([1]Accounts!$D$250="","",[1]Accounts!$F$250)</f>
        <v/>
      </c>
      <c r="G249" t="str">
        <f>IF([1]Accounts!$D$250="","",[1]Accounts!$G$250)</f>
        <v/>
      </c>
      <c r="T249" t="str">
        <f>IF([2]Baskol!$B$252="","",[2]Baskol!$B$252)</f>
        <v/>
      </c>
      <c r="U249" t="str">
        <f>IF([2]Baskol!$C$252="","",[2]Baskol!$C$252)</f>
        <v/>
      </c>
      <c r="V249" t="str">
        <f>IF([2]Baskol!$D$252="","",[2]Baskol!$D$252)</f>
        <v/>
      </c>
      <c r="W249" t="str">
        <f>IF([2]Baskol!$E$252="","",[2]Baskol!$E$252)</f>
        <v/>
      </c>
      <c r="X249" t="str">
        <f>IF([2]Baskol!$G$252="","",[2]Baskol!$G$252)</f>
        <v/>
      </c>
      <c r="Y249" t="str">
        <f>IF([2]Baskol!$I$252="","",[2]Baskol!$I$252)</f>
        <v/>
      </c>
      <c r="Z249" t="str">
        <f>IF([2]Baskol!$J$252="","",[2]Baskol!$J$252)</f>
        <v/>
      </c>
      <c r="AA249" t="str">
        <f>IF([2]Baskol!$K$252="","",[2]Baskol!$K$252)</f>
        <v/>
      </c>
      <c r="AB249" t="str">
        <f>IF([2]Baskol!$L$252="","",[2]Baskol!$L$252)</f>
        <v/>
      </c>
      <c r="AC249" t="str">
        <f>IF([2]Baskol!$N$252="","",[2]Baskol!$N$252)</f>
        <v/>
      </c>
      <c r="AD249" t="str">
        <f>IF([2]Baskol!$O$252="","",[2]Baskol!$O$252)</f>
        <v/>
      </c>
      <c r="AE249" t="str">
        <f>IF([3]Entry!$C$252="","",[3]Entry!$C$252)</f>
        <v/>
      </c>
      <c r="AF249" t="str">
        <f>IF([3]Entry!$D$252="","",[3]Entry!$D$252)</f>
        <v/>
      </c>
      <c r="AG249" t="str">
        <f>IF([3]Entry!$E$252="","",[3]Entry!$E$252)</f>
        <v/>
      </c>
      <c r="AH249" t="str">
        <f>IF([3]Entry!$G$252="","",[3]Entry!$G$252)</f>
        <v/>
      </c>
      <c r="AI249" t="str">
        <f>IF([3]Entry!$K$252="","",[3]Entry!$K$252)</f>
        <v/>
      </c>
      <c r="AJ249" t="str">
        <f>IF([3]Entry!$L$252="","",[3]Entry!$L$252)</f>
        <v/>
      </c>
      <c r="AK249" t="str">
        <f>IF([3]Entry!$M$252="","",[3]Entry!$M$252)</f>
        <v/>
      </c>
      <c r="AL249" t="str">
        <f>IF([3]Entry!$N$252="","",[3]Entry!$N$252)</f>
        <v/>
      </c>
      <c r="AM249" t="str">
        <f>IF([3]Entry!$R$252="","",[3]Entry!$R$252)</f>
        <v/>
      </c>
    </row>
    <row r="250" spans="1:39" x14ac:dyDescent="0.2">
      <c r="A250" t="str">
        <f>IF([1]Accounts!$D$251="","",[1]Accounts!$A$251)</f>
        <v/>
      </c>
      <c r="B250" t="str">
        <f>IF([1]Accounts!$D$251="","",[1]Accounts!$B$251)</f>
        <v/>
      </c>
      <c r="C250" t="str">
        <f>IF([1]Accounts!$D$251="","",[1]Accounts!$C$251)</f>
        <v/>
      </c>
      <c r="D250" t="str">
        <f>IF([1]Accounts!$D$251="","",[1]Accounts!$D$251)</f>
        <v/>
      </c>
      <c r="E250" t="str">
        <f>IF([1]Accounts!$D$251="","",[1]Accounts!$E$251)</f>
        <v/>
      </c>
      <c r="F250" t="str">
        <f>IF([1]Accounts!$D$251="","",[1]Accounts!$F$251)</f>
        <v/>
      </c>
      <c r="G250" t="str">
        <f>IF([1]Accounts!$D$251="","",[1]Accounts!$G$251)</f>
        <v/>
      </c>
      <c r="T250" t="str">
        <f>IF([2]Baskol!$B$253="","",[2]Baskol!$B$253)</f>
        <v/>
      </c>
      <c r="U250" t="str">
        <f>IF([2]Baskol!$C$253="","",[2]Baskol!$C$253)</f>
        <v/>
      </c>
      <c r="V250" t="str">
        <f>IF([2]Baskol!$D$253="","",[2]Baskol!$D$253)</f>
        <v/>
      </c>
      <c r="W250" t="str">
        <f>IF([2]Baskol!$E$253="","",[2]Baskol!$E$253)</f>
        <v/>
      </c>
      <c r="X250" t="str">
        <f>IF([2]Baskol!$G$253="","",[2]Baskol!$G$253)</f>
        <v/>
      </c>
      <c r="Y250" t="str">
        <f>IF([2]Baskol!$I$253="","",[2]Baskol!$I$253)</f>
        <v/>
      </c>
      <c r="Z250" t="str">
        <f>IF([2]Baskol!$J$253="","",[2]Baskol!$J$253)</f>
        <v/>
      </c>
      <c r="AA250" t="str">
        <f>IF([2]Baskol!$K$253="","",[2]Baskol!$K$253)</f>
        <v/>
      </c>
      <c r="AB250" t="str">
        <f>IF([2]Baskol!$L$253="","",[2]Baskol!$L$253)</f>
        <v/>
      </c>
      <c r="AC250" t="str">
        <f>IF([2]Baskol!$N$253="","",[2]Baskol!$N$253)</f>
        <v/>
      </c>
      <c r="AD250" t="str">
        <f>IF([2]Baskol!$O$253="","",[2]Baskol!$O$253)</f>
        <v/>
      </c>
      <c r="AE250" t="str">
        <f>IF([3]Entry!$C$253="","",[3]Entry!$C$253)</f>
        <v/>
      </c>
      <c r="AF250" t="str">
        <f>IF([3]Entry!$D$253="","",[3]Entry!$D$253)</f>
        <v/>
      </c>
      <c r="AG250" t="str">
        <f>IF([3]Entry!$E$253="","",[3]Entry!$E$253)</f>
        <v/>
      </c>
      <c r="AH250" t="str">
        <f>IF([3]Entry!$G$253="","",[3]Entry!$G$253)</f>
        <v/>
      </c>
      <c r="AI250" t="str">
        <f>IF([3]Entry!$K$253="","",[3]Entry!$K$253)</f>
        <v/>
      </c>
      <c r="AJ250" t="str">
        <f>IF([3]Entry!$L$253="","",[3]Entry!$L$253)</f>
        <v/>
      </c>
      <c r="AK250" t="str">
        <f>IF([3]Entry!$M$253="","",[3]Entry!$M$253)</f>
        <v/>
      </c>
      <c r="AL250" t="str">
        <f>IF([3]Entry!$N$253="","",[3]Entry!$N$253)</f>
        <v/>
      </c>
      <c r="AM250" t="str">
        <f>IF([3]Entry!$R$253="","",[3]Entry!$R$253)</f>
        <v/>
      </c>
    </row>
    <row r="251" spans="1:39" x14ac:dyDescent="0.2">
      <c r="A251" t="str">
        <f>IF([1]Accounts!$D$252="","",[1]Accounts!$A$252)</f>
        <v/>
      </c>
      <c r="B251" t="str">
        <f>IF([1]Accounts!$D$252="","",[1]Accounts!$B$252)</f>
        <v/>
      </c>
      <c r="C251" t="str">
        <f>IF([1]Accounts!$D$252="","",[1]Accounts!$C$252)</f>
        <v/>
      </c>
      <c r="D251" t="str">
        <f>IF([1]Accounts!$D$252="","",[1]Accounts!$D$252)</f>
        <v/>
      </c>
      <c r="E251" t="str">
        <f>IF([1]Accounts!$D$252="","",[1]Accounts!$E$252)</f>
        <v/>
      </c>
      <c r="F251" t="str">
        <f>IF([1]Accounts!$D$252="","",[1]Accounts!$F$252)</f>
        <v/>
      </c>
      <c r="G251" t="str">
        <f>IF([1]Accounts!$D$252="","",[1]Accounts!$G$252)</f>
        <v/>
      </c>
      <c r="T251" t="str">
        <f>IF([2]Baskol!$B$254="","",[2]Baskol!$B$254)</f>
        <v/>
      </c>
      <c r="U251" t="str">
        <f>IF([2]Baskol!$C$254="","",[2]Baskol!$C$254)</f>
        <v/>
      </c>
      <c r="V251" t="str">
        <f>IF([2]Baskol!$D$254="","",[2]Baskol!$D$254)</f>
        <v/>
      </c>
      <c r="W251" t="str">
        <f>IF([2]Baskol!$E$254="","",[2]Baskol!$E$254)</f>
        <v/>
      </c>
      <c r="X251" t="str">
        <f>IF([2]Baskol!$G$254="","",[2]Baskol!$G$254)</f>
        <v/>
      </c>
      <c r="Y251" t="str">
        <f>IF([2]Baskol!$I$254="","",[2]Baskol!$I$254)</f>
        <v/>
      </c>
      <c r="Z251" t="str">
        <f>IF([2]Baskol!$J$254="","",[2]Baskol!$J$254)</f>
        <v/>
      </c>
      <c r="AA251" t="str">
        <f>IF([2]Baskol!$K$254="","",[2]Baskol!$K$254)</f>
        <v/>
      </c>
      <c r="AB251" t="str">
        <f>IF([2]Baskol!$L$254="","",[2]Baskol!$L$254)</f>
        <v/>
      </c>
      <c r="AC251" t="str">
        <f>IF([2]Baskol!$N$254="","",[2]Baskol!$N$254)</f>
        <v/>
      </c>
      <c r="AD251" t="str">
        <f>IF([2]Baskol!$O$254="","",[2]Baskol!$O$254)</f>
        <v/>
      </c>
      <c r="AE251" t="str">
        <f>IF([3]Entry!$C$254="","",[3]Entry!$C$254)</f>
        <v/>
      </c>
      <c r="AF251" t="str">
        <f>IF([3]Entry!$D$254="","",[3]Entry!$D$254)</f>
        <v/>
      </c>
      <c r="AG251" t="str">
        <f>IF([3]Entry!$E$254="","",[3]Entry!$E$254)</f>
        <v/>
      </c>
      <c r="AH251" t="str">
        <f>IF([3]Entry!$G$254="","",[3]Entry!$G$254)</f>
        <v/>
      </c>
      <c r="AI251" t="str">
        <f>IF([3]Entry!$K$254="","",[3]Entry!$K$254)</f>
        <v/>
      </c>
      <c r="AJ251" t="str">
        <f>IF([3]Entry!$L$254="","",[3]Entry!$L$254)</f>
        <v/>
      </c>
      <c r="AK251" t="str">
        <f>IF([3]Entry!$M$254="","",[3]Entry!$M$254)</f>
        <v/>
      </c>
      <c r="AL251" t="str">
        <f>IF([3]Entry!$N$254="","",[3]Entry!$N$254)</f>
        <v/>
      </c>
      <c r="AM251" t="str">
        <f>IF([3]Entry!$R$254="","",[3]Entry!$R$254)</f>
        <v/>
      </c>
    </row>
    <row r="252" spans="1:39" x14ac:dyDescent="0.2">
      <c r="A252" t="str">
        <f>IF([1]Accounts!$D$253="","",[1]Accounts!$A$253)</f>
        <v/>
      </c>
      <c r="B252" t="str">
        <f>IF([1]Accounts!$D$253="","",[1]Accounts!$B$253)</f>
        <v/>
      </c>
      <c r="C252" t="str">
        <f>IF([1]Accounts!$D$253="","",[1]Accounts!$C$253)</f>
        <v/>
      </c>
      <c r="D252" t="str">
        <f>IF([1]Accounts!$D$253="","",[1]Accounts!$D$253)</f>
        <v/>
      </c>
      <c r="E252" t="str">
        <f>IF([1]Accounts!$D$253="","",[1]Accounts!$E$253)</f>
        <v/>
      </c>
      <c r="F252" t="str">
        <f>IF([1]Accounts!$D$253="","",[1]Accounts!$F$253)</f>
        <v/>
      </c>
      <c r="G252" t="str">
        <f>IF([1]Accounts!$D$253="","",[1]Accounts!$G$253)</f>
        <v/>
      </c>
      <c r="T252" t="str">
        <f>IF([2]Baskol!$B$255="","",[2]Baskol!$B$255)</f>
        <v/>
      </c>
      <c r="U252" t="str">
        <f>IF([2]Baskol!$C$255="","",[2]Baskol!$C$255)</f>
        <v/>
      </c>
      <c r="V252" t="str">
        <f>IF([2]Baskol!$D$255="","",[2]Baskol!$D$255)</f>
        <v/>
      </c>
      <c r="W252" t="str">
        <f>IF([2]Baskol!$E$255="","",[2]Baskol!$E$255)</f>
        <v/>
      </c>
      <c r="X252" t="str">
        <f>IF([2]Baskol!$G$255="","",[2]Baskol!$G$255)</f>
        <v/>
      </c>
      <c r="Y252" t="str">
        <f>IF([2]Baskol!$I$255="","",[2]Baskol!$I$255)</f>
        <v/>
      </c>
      <c r="Z252" t="str">
        <f>IF([2]Baskol!$J$255="","",[2]Baskol!$J$255)</f>
        <v/>
      </c>
      <c r="AA252" t="str">
        <f>IF([2]Baskol!$K$255="","",[2]Baskol!$K$255)</f>
        <v/>
      </c>
      <c r="AB252" t="str">
        <f>IF([2]Baskol!$L$255="","",[2]Baskol!$L$255)</f>
        <v/>
      </c>
      <c r="AC252" t="str">
        <f>IF([2]Baskol!$N$255="","",[2]Baskol!$N$255)</f>
        <v/>
      </c>
      <c r="AD252" t="str">
        <f>IF([2]Baskol!$O$255="","",[2]Baskol!$O$255)</f>
        <v/>
      </c>
      <c r="AE252" t="str">
        <f>IF([3]Entry!$C$255="","",[3]Entry!$C$255)</f>
        <v/>
      </c>
      <c r="AF252" t="str">
        <f>IF([3]Entry!$D$255="","",[3]Entry!$D$255)</f>
        <v/>
      </c>
      <c r="AG252" t="str">
        <f>IF([3]Entry!$E$255="","",[3]Entry!$E$255)</f>
        <v/>
      </c>
      <c r="AH252" t="str">
        <f>IF([3]Entry!$G$255="","",[3]Entry!$G$255)</f>
        <v/>
      </c>
      <c r="AI252" t="str">
        <f>IF([3]Entry!$K$255="","",[3]Entry!$K$255)</f>
        <v/>
      </c>
      <c r="AJ252" t="str">
        <f>IF([3]Entry!$L$255="","",[3]Entry!$L$255)</f>
        <v/>
      </c>
      <c r="AK252" t="str">
        <f>IF([3]Entry!$M$255="","",[3]Entry!$M$255)</f>
        <v/>
      </c>
      <c r="AL252" t="str">
        <f>IF([3]Entry!$N$255="","",[3]Entry!$N$255)</f>
        <v/>
      </c>
      <c r="AM252" t="str">
        <f>IF([3]Entry!$R$255="","",[3]Entry!$R$255)</f>
        <v/>
      </c>
    </row>
    <row r="253" spans="1:39" x14ac:dyDescent="0.2">
      <c r="A253" t="str">
        <f>IF([1]Accounts!$D$254="","",[1]Accounts!$A$254)</f>
        <v/>
      </c>
      <c r="B253" t="str">
        <f>IF([1]Accounts!$D$254="","",[1]Accounts!$B$254)</f>
        <v/>
      </c>
      <c r="C253" t="str">
        <f>IF([1]Accounts!$D$254="","",[1]Accounts!$C$254)</f>
        <v/>
      </c>
      <c r="D253" t="str">
        <f>IF([1]Accounts!$D$254="","",[1]Accounts!$D$254)</f>
        <v/>
      </c>
      <c r="E253" t="str">
        <f>IF([1]Accounts!$D$254="","",[1]Accounts!$E$254)</f>
        <v/>
      </c>
      <c r="F253" t="str">
        <f>IF([1]Accounts!$D$254="","",[1]Accounts!$F$254)</f>
        <v/>
      </c>
      <c r="G253" t="str">
        <f>IF([1]Accounts!$D$254="","",[1]Accounts!$G$254)</f>
        <v/>
      </c>
      <c r="T253" t="str">
        <f>IF([2]Baskol!$B$256="","",[2]Baskol!$B$256)</f>
        <v/>
      </c>
      <c r="U253" t="str">
        <f>IF([2]Baskol!$C$256="","",[2]Baskol!$C$256)</f>
        <v/>
      </c>
      <c r="V253" t="str">
        <f>IF([2]Baskol!$D$256="","",[2]Baskol!$D$256)</f>
        <v/>
      </c>
      <c r="W253" t="str">
        <f>IF([2]Baskol!$E$256="","",[2]Baskol!$E$256)</f>
        <v/>
      </c>
      <c r="X253" t="str">
        <f>IF([2]Baskol!$G$256="","",[2]Baskol!$G$256)</f>
        <v/>
      </c>
      <c r="Y253" t="str">
        <f>IF([2]Baskol!$I$256="","",[2]Baskol!$I$256)</f>
        <v/>
      </c>
      <c r="Z253" t="str">
        <f>IF([2]Baskol!$J$256="","",[2]Baskol!$J$256)</f>
        <v/>
      </c>
      <c r="AA253" t="str">
        <f>IF([2]Baskol!$K$256="","",[2]Baskol!$K$256)</f>
        <v/>
      </c>
      <c r="AB253" t="str">
        <f>IF([2]Baskol!$L$256="","",[2]Baskol!$L$256)</f>
        <v/>
      </c>
      <c r="AC253" t="str">
        <f>IF([2]Baskol!$N$256="","",[2]Baskol!$N$256)</f>
        <v/>
      </c>
      <c r="AD253" t="str">
        <f>IF([2]Baskol!$O$256="","",[2]Baskol!$O$256)</f>
        <v/>
      </c>
      <c r="AE253" t="str">
        <f>IF([3]Entry!$C$256="","",[3]Entry!$C$256)</f>
        <v/>
      </c>
      <c r="AF253" t="str">
        <f>IF([3]Entry!$D$256="","",[3]Entry!$D$256)</f>
        <v/>
      </c>
      <c r="AG253" t="str">
        <f>IF([3]Entry!$E$256="","",[3]Entry!$E$256)</f>
        <v/>
      </c>
      <c r="AH253" t="str">
        <f>IF([3]Entry!$G$256="","",[3]Entry!$G$256)</f>
        <v/>
      </c>
      <c r="AI253" t="str">
        <f>IF([3]Entry!$K$256="","",[3]Entry!$K$256)</f>
        <v/>
      </c>
      <c r="AJ253" t="str">
        <f>IF([3]Entry!$L$256="","",[3]Entry!$L$256)</f>
        <v/>
      </c>
      <c r="AK253" t="str">
        <f>IF([3]Entry!$M$256="","",[3]Entry!$M$256)</f>
        <v/>
      </c>
      <c r="AL253" t="str">
        <f>IF([3]Entry!$N$256="","",[3]Entry!$N$256)</f>
        <v/>
      </c>
      <c r="AM253" t="str">
        <f>IF([3]Entry!$R$256="","",[3]Entry!$R$256)</f>
        <v/>
      </c>
    </row>
    <row r="254" spans="1:39" x14ac:dyDescent="0.2">
      <c r="A254" t="str">
        <f>IF([1]Accounts!$D$255="","",[1]Accounts!$A$255)</f>
        <v/>
      </c>
      <c r="B254" t="str">
        <f>IF([1]Accounts!$D$255="","",[1]Accounts!$B$255)</f>
        <v/>
      </c>
      <c r="C254" t="str">
        <f>IF([1]Accounts!$D$255="","",[1]Accounts!$C$255)</f>
        <v/>
      </c>
      <c r="D254" t="str">
        <f>IF([1]Accounts!$D$255="","",[1]Accounts!$D$255)</f>
        <v/>
      </c>
      <c r="E254" t="str">
        <f>IF([1]Accounts!$D$255="","",[1]Accounts!$E$255)</f>
        <v/>
      </c>
      <c r="F254" t="str">
        <f>IF([1]Accounts!$D$255="","",[1]Accounts!$F$255)</f>
        <v/>
      </c>
      <c r="G254" t="str">
        <f>IF([1]Accounts!$D$255="","",[1]Accounts!$G$255)</f>
        <v/>
      </c>
      <c r="T254" t="str">
        <f>IF([2]Baskol!$B$257="","",[2]Baskol!$B$257)</f>
        <v/>
      </c>
      <c r="U254" t="str">
        <f>IF([2]Baskol!$C$257="","",[2]Baskol!$C$257)</f>
        <v/>
      </c>
      <c r="V254" t="str">
        <f>IF([2]Baskol!$D$257="","",[2]Baskol!$D$257)</f>
        <v/>
      </c>
      <c r="W254" t="str">
        <f>IF([2]Baskol!$E$257="","",[2]Baskol!$E$257)</f>
        <v/>
      </c>
      <c r="X254" t="str">
        <f>IF([2]Baskol!$G$257="","",[2]Baskol!$G$257)</f>
        <v/>
      </c>
      <c r="Y254" t="str">
        <f>IF([2]Baskol!$I$257="","",[2]Baskol!$I$257)</f>
        <v/>
      </c>
      <c r="Z254" t="str">
        <f>IF([2]Baskol!$J$257="","",[2]Baskol!$J$257)</f>
        <v/>
      </c>
      <c r="AA254" t="str">
        <f>IF([2]Baskol!$K$257="","",[2]Baskol!$K$257)</f>
        <v/>
      </c>
      <c r="AB254" t="str">
        <f>IF([2]Baskol!$L$257="","",[2]Baskol!$L$257)</f>
        <v/>
      </c>
      <c r="AC254" t="str">
        <f>IF([2]Baskol!$N$257="","",[2]Baskol!$N$257)</f>
        <v/>
      </c>
      <c r="AD254" t="str">
        <f>IF([2]Baskol!$O$257="","",[2]Baskol!$O$257)</f>
        <v/>
      </c>
      <c r="AE254" t="str">
        <f>IF([3]Entry!$C$257="","",[3]Entry!$C$257)</f>
        <v/>
      </c>
      <c r="AF254" t="str">
        <f>IF([3]Entry!$D$257="","",[3]Entry!$D$257)</f>
        <v/>
      </c>
      <c r="AG254" t="str">
        <f>IF([3]Entry!$E$257="","",[3]Entry!$E$257)</f>
        <v/>
      </c>
      <c r="AH254" t="str">
        <f>IF([3]Entry!$G$257="","",[3]Entry!$G$257)</f>
        <v/>
      </c>
      <c r="AI254" t="str">
        <f>IF([3]Entry!$K$257="","",[3]Entry!$K$257)</f>
        <v/>
      </c>
      <c r="AJ254" t="str">
        <f>IF([3]Entry!$L$257="","",[3]Entry!$L$257)</f>
        <v/>
      </c>
      <c r="AK254" t="str">
        <f>IF([3]Entry!$M$257="","",[3]Entry!$M$257)</f>
        <v/>
      </c>
      <c r="AL254" t="str">
        <f>IF([3]Entry!$N$257="","",[3]Entry!$N$257)</f>
        <v/>
      </c>
      <c r="AM254" t="str">
        <f>IF([3]Entry!$R$257="","",[3]Entry!$R$257)</f>
        <v/>
      </c>
    </row>
    <row r="255" spans="1:39" x14ac:dyDescent="0.2">
      <c r="A255" t="str">
        <f>IF([1]Accounts!$D$256="","",[1]Accounts!$A$256)</f>
        <v/>
      </c>
      <c r="B255" t="str">
        <f>IF([1]Accounts!$D$256="","",[1]Accounts!$B$256)</f>
        <v/>
      </c>
      <c r="C255" t="str">
        <f>IF([1]Accounts!$D$256="","",[1]Accounts!$C$256)</f>
        <v/>
      </c>
      <c r="D255" t="str">
        <f>IF([1]Accounts!$D$256="","",[1]Accounts!$D$256)</f>
        <v/>
      </c>
      <c r="E255" t="str">
        <f>IF([1]Accounts!$D$256="","",[1]Accounts!$E$256)</f>
        <v/>
      </c>
      <c r="F255" t="str">
        <f>IF([1]Accounts!$D$256="","",[1]Accounts!$F$256)</f>
        <v/>
      </c>
      <c r="G255" t="str">
        <f>IF([1]Accounts!$D$256="","",[1]Accounts!$G$256)</f>
        <v/>
      </c>
      <c r="T255" t="str">
        <f>IF([2]Baskol!$B$258="","",[2]Baskol!$B$258)</f>
        <v/>
      </c>
      <c r="U255" t="str">
        <f>IF([2]Baskol!$C$258="","",[2]Baskol!$C$258)</f>
        <v/>
      </c>
      <c r="V255" t="str">
        <f>IF([2]Baskol!$D$258="","",[2]Baskol!$D$258)</f>
        <v/>
      </c>
      <c r="W255" t="str">
        <f>IF([2]Baskol!$E$258="","",[2]Baskol!$E$258)</f>
        <v/>
      </c>
      <c r="X255" t="str">
        <f>IF([2]Baskol!$G$258="","",[2]Baskol!$G$258)</f>
        <v/>
      </c>
      <c r="Y255" t="str">
        <f>IF([2]Baskol!$I$258="","",[2]Baskol!$I$258)</f>
        <v/>
      </c>
      <c r="Z255" t="str">
        <f>IF([2]Baskol!$J$258="","",[2]Baskol!$J$258)</f>
        <v/>
      </c>
      <c r="AA255" t="str">
        <f>IF([2]Baskol!$K$258="","",[2]Baskol!$K$258)</f>
        <v/>
      </c>
      <c r="AB255" t="str">
        <f>IF([2]Baskol!$L$258="","",[2]Baskol!$L$258)</f>
        <v/>
      </c>
      <c r="AC255" t="str">
        <f>IF([2]Baskol!$N$258="","",[2]Baskol!$N$258)</f>
        <v/>
      </c>
      <c r="AD255" t="str">
        <f>IF([2]Baskol!$O$258="","",[2]Baskol!$O$258)</f>
        <v/>
      </c>
      <c r="AE255" t="str">
        <f>IF([3]Entry!$C$258="","",[3]Entry!$C$258)</f>
        <v/>
      </c>
      <c r="AF255" t="str">
        <f>IF([3]Entry!$D$258="","",[3]Entry!$D$258)</f>
        <v/>
      </c>
      <c r="AG255" t="str">
        <f>IF([3]Entry!$E$258="","",[3]Entry!$E$258)</f>
        <v/>
      </c>
      <c r="AH255" t="str">
        <f>IF([3]Entry!$G$258="","",[3]Entry!$G$258)</f>
        <v/>
      </c>
      <c r="AI255" t="str">
        <f>IF([3]Entry!$K$258="","",[3]Entry!$K$258)</f>
        <v/>
      </c>
      <c r="AJ255" t="str">
        <f>IF([3]Entry!$L$258="","",[3]Entry!$L$258)</f>
        <v/>
      </c>
      <c r="AK255" t="str">
        <f>IF([3]Entry!$M$258="","",[3]Entry!$M$258)</f>
        <v/>
      </c>
      <c r="AL255" t="str">
        <f>IF([3]Entry!$N$258="","",[3]Entry!$N$258)</f>
        <v/>
      </c>
      <c r="AM255" t="str">
        <f>IF([3]Entry!$R$258="","",[3]Entry!$R$258)</f>
        <v/>
      </c>
    </row>
    <row r="256" spans="1:39" x14ac:dyDescent="0.2">
      <c r="A256" t="str">
        <f>IF([1]Accounts!$D$257="","",[1]Accounts!$A$257)</f>
        <v/>
      </c>
      <c r="B256" t="str">
        <f>IF([1]Accounts!$D$257="","",[1]Accounts!$B$257)</f>
        <v/>
      </c>
      <c r="C256" t="str">
        <f>IF([1]Accounts!$D$257="","",[1]Accounts!$C$257)</f>
        <v/>
      </c>
      <c r="D256" t="str">
        <f>IF([1]Accounts!$D$257="","",[1]Accounts!$D$257)</f>
        <v/>
      </c>
      <c r="E256" t="str">
        <f>IF([1]Accounts!$D$257="","",[1]Accounts!$E$257)</f>
        <v/>
      </c>
      <c r="F256" t="str">
        <f>IF([1]Accounts!$D$257="","",[1]Accounts!$F$257)</f>
        <v/>
      </c>
      <c r="G256" t="str">
        <f>IF([1]Accounts!$D$257="","",[1]Accounts!$G$257)</f>
        <v/>
      </c>
      <c r="T256" t="str">
        <f>IF([2]Baskol!$B$259="","",[2]Baskol!$B$259)</f>
        <v/>
      </c>
      <c r="U256" t="str">
        <f>IF([2]Baskol!$C$259="","",[2]Baskol!$C$259)</f>
        <v/>
      </c>
      <c r="V256" t="str">
        <f>IF([2]Baskol!$D$259="","",[2]Baskol!$D$259)</f>
        <v/>
      </c>
      <c r="W256" t="str">
        <f>IF([2]Baskol!$E$259="","",[2]Baskol!$E$259)</f>
        <v/>
      </c>
      <c r="X256" t="str">
        <f>IF([2]Baskol!$G$259="","",[2]Baskol!$G$259)</f>
        <v/>
      </c>
      <c r="Y256" t="str">
        <f>IF([2]Baskol!$I$259="","",[2]Baskol!$I$259)</f>
        <v/>
      </c>
      <c r="Z256" t="str">
        <f>IF([2]Baskol!$J$259="","",[2]Baskol!$J$259)</f>
        <v/>
      </c>
      <c r="AA256" t="str">
        <f>IF([2]Baskol!$K$259="","",[2]Baskol!$K$259)</f>
        <v/>
      </c>
      <c r="AB256" t="str">
        <f>IF([2]Baskol!$L$259="","",[2]Baskol!$L$259)</f>
        <v/>
      </c>
      <c r="AC256" t="str">
        <f>IF([2]Baskol!$N$259="","",[2]Baskol!$N$259)</f>
        <v/>
      </c>
      <c r="AD256" t="str">
        <f>IF([2]Baskol!$O$259="","",[2]Baskol!$O$259)</f>
        <v/>
      </c>
      <c r="AE256" t="str">
        <f>IF([3]Entry!$C$259="","",[3]Entry!$C$259)</f>
        <v/>
      </c>
      <c r="AF256" t="str">
        <f>IF([3]Entry!$D$259="","",[3]Entry!$D$259)</f>
        <v/>
      </c>
      <c r="AG256" t="str">
        <f>IF([3]Entry!$E$259="","",[3]Entry!$E$259)</f>
        <v/>
      </c>
      <c r="AH256" t="str">
        <f>IF([3]Entry!$G$259="","",[3]Entry!$G$259)</f>
        <v/>
      </c>
      <c r="AI256" t="str">
        <f>IF([3]Entry!$K$259="","",[3]Entry!$K$259)</f>
        <v/>
      </c>
      <c r="AJ256" t="str">
        <f>IF([3]Entry!$L$259="","",[3]Entry!$L$259)</f>
        <v/>
      </c>
      <c r="AK256" t="str">
        <f>IF([3]Entry!$M$259="","",[3]Entry!$M$259)</f>
        <v/>
      </c>
      <c r="AL256" t="str">
        <f>IF([3]Entry!$N$259="","",[3]Entry!$N$259)</f>
        <v/>
      </c>
      <c r="AM256" t="str">
        <f>IF([3]Entry!$R$259="","",[3]Entry!$R$259)</f>
        <v/>
      </c>
    </row>
    <row r="257" spans="1:39" x14ac:dyDescent="0.2">
      <c r="A257" t="str">
        <f>IF([1]Accounts!$D$258="","",[1]Accounts!$A$258)</f>
        <v/>
      </c>
      <c r="B257" t="str">
        <f>IF([1]Accounts!$D$258="","",[1]Accounts!$B$258)</f>
        <v/>
      </c>
      <c r="C257" t="str">
        <f>IF([1]Accounts!$D$258="","",[1]Accounts!$C$258)</f>
        <v/>
      </c>
      <c r="D257" t="str">
        <f>IF([1]Accounts!$D$258="","",[1]Accounts!$D$258)</f>
        <v/>
      </c>
      <c r="E257" t="str">
        <f>IF([1]Accounts!$D$258="","",[1]Accounts!$E$258)</f>
        <v/>
      </c>
      <c r="F257" t="str">
        <f>IF([1]Accounts!$D$258="","",[1]Accounts!$F$258)</f>
        <v/>
      </c>
      <c r="G257" t="str">
        <f>IF([1]Accounts!$D$258="","",[1]Accounts!$G$258)</f>
        <v/>
      </c>
      <c r="T257" t="str">
        <f>IF([2]Baskol!$B$260="","",[2]Baskol!$B$260)</f>
        <v/>
      </c>
      <c r="U257" t="str">
        <f>IF([2]Baskol!$C$260="","",[2]Baskol!$C$260)</f>
        <v/>
      </c>
      <c r="V257" t="str">
        <f>IF([2]Baskol!$D$260="","",[2]Baskol!$D$260)</f>
        <v/>
      </c>
      <c r="W257" t="str">
        <f>IF([2]Baskol!$E$260="","",[2]Baskol!$E$260)</f>
        <v/>
      </c>
      <c r="X257" t="str">
        <f>IF([2]Baskol!$G$260="","",[2]Baskol!$G$260)</f>
        <v/>
      </c>
      <c r="Y257" t="str">
        <f>IF([2]Baskol!$I$260="","",[2]Baskol!$I$260)</f>
        <v/>
      </c>
      <c r="Z257" t="str">
        <f>IF([2]Baskol!$J$260="","",[2]Baskol!$J$260)</f>
        <v/>
      </c>
      <c r="AA257" t="str">
        <f>IF([2]Baskol!$K$260="","",[2]Baskol!$K$260)</f>
        <v/>
      </c>
      <c r="AB257" t="str">
        <f>IF([2]Baskol!$L$260="","",[2]Baskol!$L$260)</f>
        <v/>
      </c>
      <c r="AC257" t="str">
        <f>IF([2]Baskol!$N$260="","",[2]Baskol!$N$260)</f>
        <v/>
      </c>
      <c r="AD257" t="str">
        <f>IF([2]Baskol!$O$260="","",[2]Baskol!$O$260)</f>
        <v/>
      </c>
      <c r="AE257" t="str">
        <f>IF([3]Entry!$C$260="","",[3]Entry!$C$260)</f>
        <v/>
      </c>
      <c r="AF257" t="str">
        <f>IF([3]Entry!$D$260="","",[3]Entry!$D$260)</f>
        <v/>
      </c>
      <c r="AG257" t="str">
        <f>IF([3]Entry!$E$260="","",[3]Entry!$E$260)</f>
        <v/>
      </c>
      <c r="AH257" t="str">
        <f>IF([3]Entry!$G$260="","",[3]Entry!$G$260)</f>
        <v/>
      </c>
      <c r="AI257" t="str">
        <f>IF([3]Entry!$K$260="","",[3]Entry!$K$260)</f>
        <v/>
      </c>
      <c r="AJ257" t="str">
        <f>IF([3]Entry!$L$260="","",[3]Entry!$L$260)</f>
        <v/>
      </c>
      <c r="AK257" t="str">
        <f>IF([3]Entry!$M$260="","",[3]Entry!$M$260)</f>
        <v/>
      </c>
      <c r="AL257" t="str">
        <f>IF([3]Entry!$N$260="","",[3]Entry!$N$260)</f>
        <v/>
      </c>
      <c r="AM257" t="str">
        <f>IF([3]Entry!$R$260="","",[3]Entry!$R$260)</f>
        <v/>
      </c>
    </row>
    <row r="258" spans="1:39" x14ac:dyDescent="0.2">
      <c r="A258" t="str">
        <f>IF([1]Accounts!$D$259="","",[1]Accounts!$A$259)</f>
        <v/>
      </c>
      <c r="B258" t="str">
        <f>IF([1]Accounts!$D$259="","",[1]Accounts!$B$259)</f>
        <v/>
      </c>
      <c r="C258" t="str">
        <f>IF([1]Accounts!$D$259="","",[1]Accounts!$C$259)</f>
        <v/>
      </c>
      <c r="D258" t="str">
        <f>IF([1]Accounts!$D$259="","",[1]Accounts!$D$259)</f>
        <v/>
      </c>
      <c r="E258" t="str">
        <f>IF([1]Accounts!$D$259="","",[1]Accounts!$E$259)</f>
        <v/>
      </c>
      <c r="F258" t="str">
        <f>IF([1]Accounts!$D$259="","",[1]Accounts!$F$259)</f>
        <v/>
      </c>
      <c r="G258" t="str">
        <f>IF([1]Accounts!$D$259="","",[1]Accounts!$G$259)</f>
        <v/>
      </c>
      <c r="T258" t="str">
        <f>IF([2]Baskol!$B$261="","",[2]Baskol!$B$261)</f>
        <v/>
      </c>
      <c r="U258" t="str">
        <f>IF([2]Baskol!$C$261="","",[2]Baskol!$C$261)</f>
        <v/>
      </c>
      <c r="V258" t="str">
        <f>IF([2]Baskol!$D$261="","",[2]Baskol!$D$261)</f>
        <v/>
      </c>
      <c r="W258" t="str">
        <f>IF([2]Baskol!$E$261="","",[2]Baskol!$E$261)</f>
        <v/>
      </c>
      <c r="X258" t="str">
        <f>IF([2]Baskol!$G$261="","",[2]Baskol!$G$261)</f>
        <v/>
      </c>
      <c r="Y258" t="str">
        <f>IF([2]Baskol!$I$261="","",[2]Baskol!$I$261)</f>
        <v/>
      </c>
      <c r="Z258" t="str">
        <f>IF([2]Baskol!$J$261="","",[2]Baskol!$J$261)</f>
        <v/>
      </c>
      <c r="AA258" t="str">
        <f>IF([2]Baskol!$K$261="","",[2]Baskol!$K$261)</f>
        <v/>
      </c>
      <c r="AB258" t="str">
        <f>IF([2]Baskol!$L$261="","",[2]Baskol!$L$261)</f>
        <v/>
      </c>
      <c r="AC258" t="str">
        <f>IF([2]Baskol!$N$261="","",[2]Baskol!$N$261)</f>
        <v/>
      </c>
      <c r="AD258" t="str">
        <f>IF([2]Baskol!$O$261="","",[2]Baskol!$O$261)</f>
        <v/>
      </c>
      <c r="AE258" t="str">
        <f>IF([3]Entry!$C$261="","",[3]Entry!$C$261)</f>
        <v/>
      </c>
      <c r="AF258" t="str">
        <f>IF([3]Entry!$D$261="","",[3]Entry!$D$261)</f>
        <v/>
      </c>
      <c r="AG258" t="str">
        <f>IF([3]Entry!$E$261="","",[3]Entry!$E$261)</f>
        <v/>
      </c>
      <c r="AH258" t="str">
        <f>IF([3]Entry!$G$261="","",[3]Entry!$G$261)</f>
        <v/>
      </c>
      <c r="AI258" t="str">
        <f>IF([3]Entry!$K$261="","",[3]Entry!$K$261)</f>
        <v/>
      </c>
      <c r="AJ258" t="str">
        <f>IF([3]Entry!$L$261="","",[3]Entry!$L$261)</f>
        <v/>
      </c>
      <c r="AK258" t="str">
        <f>IF([3]Entry!$M$261="","",[3]Entry!$M$261)</f>
        <v/>
      </c>
      <c r="AL258" t="str">
        <f>IF([3]Entry!$N$261="","",[3]Entry!$N$261)</f>
        <v/>
      </c>
      <c r="AM258" t="str">
        <f>IF([3]Entry!$R$261="","",[3]Entry!$R$261)</f>
        <v/>
      </c>
    </row>
    <row r="259" spans="1:39" x14ac:dyDescent="0.2">
      <c r="A259" t="str">
        <f>IF([1]Accounts!$D$260="","",[1]Accounts!$A$260)</f>
        <v/>
      </c>
      <c r="B259" t="str">
        <f>IF([1]Accounts!$D$260="","",[1]Accounts!$B$260)</f>
        <v/>
      </c>
      <c r="C259" t="str">
        <f>IF([1]Accounts!$D$260="","",[1]Accounts!$C$260)</f>
        <v/>
      </c>
      <c r="D259" t="str">
        <f>IF([1]Accounts!$D$260="","",[1]Accounts!$D$260)</f>
        <v/>
      </c>
      <c r="E259" t="str">
        <f>IF([1]Accounts!$D$260="","",[1]Accounts!$E$260)</f>
        <v/>
      </c>
      <c r="F259" t="str">
        <f>IF([1]Accounts!$D$260="","",[1]Accounts!$F$260)</f>
        <v/>
      </c>
      <c r="G259" t="str">
        <f>IF([1]Accounts!$D$260="","",[1]Accounts!$G$260)</f>
        <v/>
      </c>
      <c r="T259" t="str">
        <f>IF([2]Baskol!$B$262="","",[2]Baskol!$B$262)</f>
        <v/>
      </c>
      <c r="U259" t="str">
        <f>IF([2]Baskol!$C$262="","",[2]Baskol!$C$262)</f>
        <v/>
      </c>
      <c r="V259" t="str">
        <f>IF([2]Baskol!$D$262="","",[2]Baskol!$D$262)</f>
        <v/>
      </c>
      <c r="W259" t="str">
        <f>IF([2]Baskol!$E$262="","",[2]Baskol!$E$262)</f>
        <v/>
      </c>
      <c r="X259" t="str">
        <f>IF([2]Baskol!$G$262="","",[2]Baskol!$G$262)</f>
        <v/>
      </c>
      <c r="Y259" t="str">
        <f>IF([2]Baskol!$I$262="","",[2]Baskol!$I$262)</f>
        <v/>
      </c>
      <c r="Z259" t="str">
        <f>IF([2]Baskol!$J$262="","",[2]Baskol!$J$262)</f>
        <v/>
      </c>
      <c r="AA259" t="str">
        <f>IF([2]Baskol!$K$262="","",[2]Baskol!$K$262)</f>
        <v/>
      </c>
      <c r="AB259" t="str">
        <f>IF([2]Baskol!$L$262="","",[2]Baskol!$L$262)</f>
        <v/>
      </c>
      <c r="AC259" t="str">
        <f>IF([2]Baskol!$N$262="","",[2]Baskol!$N$262)</f>
        <v/>
      </c>
      <c r="AD259" t="str">
        <f>IF([2]Baskol!$O$262="","",[2]Baskol!$O$262)</f>
        <v/>
      </c>
      <c r="AE259" t="str">
        <f>IF([3]Entry!$C$262="","",[3]Entry!$C$262)</f>
        <v/>
      </c>
      <c r="AF259" t="str">
        <f>IF([3]Entry!$D$262="","",[3]Entry!$D$262)</f>
        <v/>
      </c>
      <c r="AG259" t="str">
        <f>IF([3]Entry!$E$262="","",[3]Entry!$E$262)</f>
        <v/>
      </c>
      <c r="AH259" t="str">
        <f>IF([3]Entry!$G$262="","",[3]Entry!$G$262)</f>
        <v/>
      </c>
      <c r="AI259" t="str">
        <f>IF([3]Entry!$K$262="","",[3]Entry!$K$262)</f>
        <v/>
      </c>
      <c r="AJ259" t="str">
        <f>IF([3]Entry!$L$262="","",[3]Entry!$L$262)</f>
        <v/>
      </c>
      <c r="AK259" t="str">
        <f>IF([3]Entry!$M$262="","",[3]Entry!$M$262)</f>
        <v/>
      </c>
      <c r="AL259" t="str">
        <f>IF([3]Entry!$N$262="","",[3]Entry!$N$262)</f>
        <v/>
      </c>
      <c r="AM259" t="str">
        <f>IF([3]Entry!$R$262="","",[3]Entry!$R$262)</f>
        <v/>
      </c>
    </row>
    <row r="260" spans="1:39" x14ac:dyDescent="0.2">
      <c r="A260" t="str">
        <f>IF([1]Accounts!$D$261="","",[1]Accounts!$A$261)</f>
        <v/>
      </c>
      <c r="B260" t="str">
        <f>IF([1]Accounts!$D$261="","",[1]Accounts!$B$261)</f>
        <v/>
      </c>
      <c r="C260" t="str">
        <f>IF([1]Accounts!$D$261="","",[1]Accounts!$C$261)</f>
        <v/>
      </c>
      <c r="D260" t="str">
        <f>IF([1]Accounts!$D$261="","",[1]Accounts!$D$261)</f>
        <v/>
      </c>
      <c r="E260" t="str">
        <f>IF([1]Accounts!$D$261="","",[1]Accounts!$E$261)</f>
        <v/>
      </c>
      <c r="F260" t="str">
        <f>IF([1]Accounts!$D$261="","",[1]Accounts!$F$261)</f>
        <v/>
      </c>
      <c r="G260" t="str">
        <f>IF([1]Accounts!$D$261="","",[1]Accounts!$G$261)</f>
        <v/>
      </c>
      <c r="T260" t="str">
        <f>IF([2]Baskol!$B$263="","",[2]Baskol!$B$263)</f>
        <v/>
      </c>
      <c r="U260" t="str">
        <f>IF([2]Baskol!$C$263="","",[2]Baskol!$C$263)</f>
        <v/>
      </c>
      <c r="V260" t="str">
        <f>IF([2]Baskol!$D$263="","",[2]Baskol!$D$263)</f>
        <v/>
      </c>
      <c r="W260" t="str">
        <f>IF([2]Baskol!$E$263="","",[2]Baskol!$E$263)</f>
        <v/>
      </c>
      <c r="X260" t="str">
        <f>IF([2]Baskol!$G$263="","",[2]Baskol!$G$263)</f>
        <v/>
      </c>
      <c r="Y260" t="str">
        <f>IF([2]Baskol!$I$263="","",[2]Baskol!$I$263)</f>
        <v/>
      </c>
      <c r="Z260" t="str">
        <f>IF([2]Baskol!$J$263="","",[2]Baskol!$J$263)</f>
        <v/>
      </c>
      <c r="AA260" t="str">
        <f>IF([2]Baskol!$K$263="","",[2]Baskol!$K$263)</f>
        <v/>
      </c>
      <c r="AB260" t="str">
        <f>IF([2]Baskol!$L$263="","",[2]Baskol!$L$263)</f>
        <v/>
      </c>
      <c r="AC260" t="str">
        <f>IF([2]Baskol!$N$263="","",[2]Baskol!$N$263)</f>
        <v/>
      </c>
      <c r="AD260" t="str">
        <f>IF([2]Baskol!$O$263="","",[2]Baskol!$O$263)</f>
        <v/>
      </c>
      <c r="AE260" t="str">
        <f>IF([3]Entry!$C$263="","",[3]Entry!$C$263)</f>
        <v/>
      </c>
      <c r="AF260" t="str">
        <f>IF([3]Entry!$D$263="","",[3]Entry!$D$263)</f>
        <v/>
      </c>
      <c r="AG260" t="str">
        <f>IF([3]Entry!$E$263="","",[3]Entry!$E$263)</f>
        <v/>
      </c>
      <c r="AH260" t="str">
        <f>IF([3]Entry!$G$263="","",[3]Entry!$G$263)</f>
        <v/>
      </c>
      <c r="AI260" t="str">
        <f>IF([3]Entry!$K$263="","",[3]Entry!$K$263)</f>
        <v/>
      </c>
      <c r="AJ260" t="str">
        <f>IF([3]Entry!$L$263="","",[3]Entry!$L$263)</f>
        <v/>
      </c>
      <c r="AK260" t="str">
        <f>IF([3]Entry!$M$263="","",[3]Entry!$M$263)</f>
        <v/>
      </c>
      <c r="AL260" t="str">
        <f>IF([3]Entry!$N$263="","",[3]Entry!$N$263)</f>
        <v/>
      </c>
      <c r="AM260" t="str">
        <f>IF([3]Entry!$R$263="","",[3]Entry!$R$263)</f>
        <v/>
      </c>
    </row>
    <row r="261" spans="1:39" x14ac:dyDescent="0.2">
      <c r="A261" t="str">
        <f>IF([1]Accounts!$D$262="","",[1]Accounts!$A$262)</f>
        <v/>
      </c>
      <c r="B261" t="str">
        <f>IF([1]Accounts!$D$262="","",[1]Accounts!$B$262)</f>
        <v/>
      </c>
      <c r="C261" t="str">
        <f>IF([1]Accounts!$D$262="","",[1]Accounts!$C$262)</f>
        <v/>
      </c>
      <c r="D261" t="str">
        <f>IF([1]Accounts!$D$262="","",[1]Accounts!$D$262)</f>
        <v/>
      </c>
      <c r="E261" t="str">
        <f>IF([1]Accounts!$D$262="","",[1]Accounts!$E$262)</f>
        <v/>
      </c>
      <c r="F261" t="str">
        <f>IF([1]Accounts!$D$262="","",[1]Accounts!$F$262)</f>
        <v/>
      </c>
      <c r="G261" t="str">
        <f>IF([1]Accounts!$D$262="","",[1]Accounts!$G$262)</f>
        <v/>
      </c>
      <c r="T261" t="str">
        <f>IF([2]Baskol!$B$264="","",[2]Baskol!$B$264)</f>
        <v/>
      </c>
      <c r="U261" t="str">
        <f>IF([2]Baskol!$C$264="","",[2]Baskol!$C$264)</f>
        <v/>
      </c>
      <c r="V261" t="str">
        <f>IF([2]Baskol!$D$264="","",[2]Baskol!$D$264)</f>
        <v/>
      </c>
      <c r="W261" t="str">
        <f>IF([2]Baskol!$E$264="","",[2]Baskol!$E$264)</f>
        <v/>
      </c>
      <c r="X261" t="str">
        <f>IF([2]Baskol!$G$264="","",[2]Baskol!$G$264)</f>
        <v/>
      </c>
      <c r="Y261" t="str">
        <f>IF([2]Baskol!$I$264="","",[2]Baskol!$I$264)</f>
        <v/>
      </c>
      <c r="Z261" t="str">
        <f>IF([2]Baskol!$J$264="","",[2]Baskol!$J$264)</f>
        <v/>
      </c>
      <c r="AA261" t="str">
        <f>IF([2]Baskol!$K$264="","",[2]Baskol!$K$264)</f>
        <v/>
      </c>
      <c r="AB261" t="str">
        <f>IF([2]Baskol!$L$264="","",[2]Baskol!$L$264)</f>
        <v/>
      </c>
      <c r="AC261" t="str">
        <f>IF([2]Baskol!$N$264="","",[2]Baskol!$N$264)</f>
        <v/>
      </c>
      <c r="AD261" t="str">
        <f>IF([2]Baskol!$O$264="","",[2]Baskol!$O$264)</f>
        <v/>
      </c>
      <c r="AE261" t="str">
        <f>IF([3]Entry!$C$264="","",[3]Entry!$C$264)</f>
        <v/>
      </c>
      <c r="AF261" t="str">
        <f>IF([3]Entry!$D$264="","",[3]Entry!$D$264)</f>
        <v/>
      </c>
      <c r="AG261" t="str">
        <f>IF([3]Entry!$E$264="","",[3]Entry!$E$264)</f>
        <v/>
      </c>
      <c r="AH261" t="str">
        <f>IF([3]Entry!$G$264="","",[3]Entry!$G$264)</f>
        <v/>
      </c>
      <c r="AI261" t="str">
        <f>IF([3]Entry!$K$264="","",[3]Entry!$K$264)</f>
        <v/>
      </c>
      <c r="AJ261" t="str">
        <f>IF([3]Entry!$L$264="","",[3]Entry!$L$264)</f>
        <v/>
      </c>
      <c r="AK261" t="str">
        <f>IF([3]Entry!$M$264="","",[3]Entry!$M$264)</f>
        <v/>
      </c>
      <c r="AL261" t="str">
        <f>IF([3]Entry!$N$264="","",[3]Entry!$N$264)</f>
        <v/>
      </c>
      <c r="AM261" t="str">
        <f>IF([3]Entry!$R$264="","",[3]Entry!$R$264)</f>
        <v/>
      </c>
    </row>
    <row r="262" spans="1:39" x14ac:dyDescent="0.2">
      <c r="A262" t="str">
        <f>IF([1]Accounts!$D$263="","",[1]Accounts!$A$263)</f>
        <v/>
      </c>
      <c r="B262" t="str">
        <f>IF([1]Accounts!$D$263="","",[1]Accounts!$B$263)</f>
        <v/>
      </c>
      <c r="C262" t="str">
        <f>IF([1]Accounts!$D$263="","",[1]Accounts!$C$263)</f>
        <v/>
      </c>
      <c r="D262" t="str">
        <f>IF([1]Accounts!$D$263="","",[1]Accounts!$D$263)</f>
        <v/>
      </c>
      <c r="E262" t="str">
        <f>IF([1]Accounts!$D$263="","",[1]Accounts!$E$263)</f>
        <v/>
      </c>
      <c r="F262" t="str">
        <f>IF([1]Accounts!$D$263="","",[1]Accounts!$F$263)</f>
        <v/>
      </c>
      <c r="G262" t="str">
        <f>IF([1]Accounts!$D$263="","",[1]Accounts!$G$263)</f>
        <v/>
      </c>
      <c r="T262" t="str">
        <f>IF([2]Baskol!$B$265="","",[2]Baskol!$B$265)</f>
        <v/>
      </c>
      <c r="U262" t="str">
        <f>IF([2]Baskol!$C$265="","",[2]Baskol!$C$265)</f>
        <v/>
      </c>
      <c r="V262" t="str">
        <f>IF([2]Baskol!$D$265="","",[2]Baskol!$D$265)</f>
        <v/>
      </c>
      <c r="W262" t="str">
        <f>IF([2]Baskol!$E$265="","",[2]Baskol!$E$265)</f>
        <v/>
      </c>
      <c r="X262" t="str">
        <f>IF([2]Baskol!$G$265="","",[2]Baskol!$G$265)</f>
        <v/>
      </c>
      <c r="Y262" t="str">
        <f>IF([2]Baskol!$I$265="","",[2]Baskol!$I$265)</f>
        <v/>
      </c>
      <c r="Z262" t="str">
        <f>IF([2]Baskol!$J$265="","",[2]Baskol!$J$265)</f>
        <v/>
      </c>
      <c r="AA262" t="str">
        <f>IF([2]Baskol!$K$265="","",[2]Baskol!$K$265)</f>
        <v/>
      </c>
      <c r="AB262" t="str">
        <f>IF([2]Baskol!$L$265="","",[2]Baskol!$L$265)</f>
        <v/>
      </c>
      <c r="AC262" t="str">
        <f>IF([2]Baskol!$N$265="","",[2]Baskol!$N$265)</f>
        <v/>
      </c>
      <c r="AD262" t="str">
        <f>IF([2]Baskol!$O$265="","",[2]Baskol!$O$265)</f>
        <v/>
      </c>
      <c r="AE262" t="str">
        <f>IF([3]Entry!$C$265="","",[3]Entry!$C$265)</f>
        <v/>
      </c>
      <c r="AF262" t="str">
        <f>IF([3]Entry!$D$265="","",[3]Entry!$D$265)</f>
        <v/>
      </c>
      <c r="AG262" t="str">
        <f>IF([3]Entry!$E$265="","",[3]Entry!$E$265)</f>
        <v/>
      </c>
      <c r="AH262" t="str">
        <f>IF([3]Entry!$G$265="","",[3]Entry!$G$265)</f>
        <v/>
      </c>
      <c r="AI262" t="str">
        <f>IF([3]Entry!$K$265="","",[3]Entry!$K$265)</f>
        <v/>
      </c>
      <c r="AJ262" t="str">
        <f>IF([3]Entry!$L$265="","",[3]Entry!$L$265)</f>
        <v/>
      </c>
      <c r="AK262" t="str">
        <f>IF([3]Entry!$M$265="","",[3]Entry!$M$265)</f>
        <v/>
      </c>
      <c r="AL262" t="str">
        <f>IF([3]Entry!$N$265="","",[3]Entry!$N$265)</f>
        <v/>
      </c>
      <c r="AM262" t="str">
        <f>IF([3]Entry!$R$265="","",[3]Entry!$R$265)</f>
        <v/>
      </c>
    </row>
    <row r="263" spans="1:39" x14ac:dyDescent="0.2">
      <c r="A263" t="str">
        <f>IF([1]Accounts!$D$264="","",[1]Accounts!$A$264)</f>
        <v/>
      </c>
      <c r="B263" t="str">
        <f>IF([1]Accounts!$D$264="","",[1]Accounts!$B$264)</f>
        <v/>
      </c>
      <c r="C263" t="str">
        <f>IF([1]Accounts!$D$264="","",[1]Accounts!$C$264)</f>
        <v/>
      </c>
      <c r="D263" t="str">
        <f>IF([1]Accounts!$D$264="","",[1]Accounts!$D$264)</f>
        <v/>
      </c>
      <c r="E263" t="str">
        <f>IF([1]Accounts!$D$264="","",[1]Accounts!$E$264)</f>
        <v/>
      </c>
      <c r="F263" t="str">
        <f>IF([1]Accounts!$D$264="","",[1]Accounts!$F$264)</f>
        <v/>
      </c>
      <c r="G263" t="str">
        <f>IF([1]Accounts!$D$264="","",[1]Accounts!$G$264)</f>
        <v/>
      </c>
      <c r="T263" t="str">
        <f>IF([2]Baskol!$B$266="","",[2]Baskol!$B$266)</f>
        <v/>
      </c>
      <c r="U263" t="str">
        <f>IF([2]Baskol!$C$266="","",[2]Baskol!$C$266)</f>
        <v/>
      </c>
      <c r="V263" t="str">
        <f>IF([2]Baskol!$D$266="","",[2]Baskol!$D$266)</f>
        <v/>
      </c>
      <c r="W263" t="str">
        <f>IF([2]Baskol!$E$266="","",[2]Baskol!$E$266)</f>
        <v/>
      </c>
      <c r="X263" t="str">
        <f>IF([2]Baskol!$G$266="","",[2]Baskol!$G$266)</f>
        <v/>
      </c>
      <c r="Y263" t="str">
        <f>IF([2]Baskol!$I$266="","",[2]Baskol!$I$266)</f>
        <v/>
      </c>
      <c r="Z263" t="str">
        <f>IF([2]Baskol!$J$266="","",[2]Baskol!$J$266)</f>
        <v/>
      </c>
      <c r="AA263" t="str">
        <f>IF([2]Baskol!$K$266="","",[2]Baskol!$K$266)</f>
        <v/>
      </c>
      <c r="AB263" t="str">
        <f>IF([2]Baskol!$L$266="","",[2]Baskol!$L$266)</f>
        <v/>
      </c>
      <c r="AC263" t="str">
        <f>IF([2]Baskol!$N$266="","",[2]Baskol!$N$266)</f>
        <v/>
      </c>
      <c r="AD263" t="str">
        <f>IF([2]Baskol!$O$266="","",[2]Baskol!$O$266)</f>
        <v/>
      </c>
      <c r="AE263" t="str">
        <f>IF([3]Entry!$C$266="","",[3]Entry!$C$266)</f>
        <v/>
      </c>
      <c r="AF263" t="str">
        <f>IF([3]Entry!$D$266="","",[3]Entry!$D$266)</f>
        <v/>
      </c>
      <c r="AG263" t="str">
        <f>IF([3]Entry!$E$266="","",[3]Entry!$E$266)</f>
        <v/>
      </c>
      <c r="AH263" t="str">
        <f>IF([3]Entry!$G$266="","",[3]Entry!$G$266)</f>
        <v/>
      </c>
      <c r="AI263" t="str">
        <f>IF([3]Entry!$K$266="","",[3]Entry!$K$266)</f>
        <v/>
      </c>
      <c r="AJ263" t="str">
        <f>IF([3]Entry!$L$266="","",[3]Entry!$L$266)</f>
        <v/>
      </c>
      <c r="AK263" t="str">
        <f>IF([3]Entry!$M$266="","",[3]Entry!$M$266)</f>
        <v/>
      </c>
      <c r="AL263" t="str">
        <f>IF([3]Entry!$N$266="","",[3]Entry!$N$266)</f>
        <v/>
      </c>
      <c r="AM263" t="str">
        <f>IF([3]Entry!$R$266="","",[3]Entry!$R$266)</f>
        <v/>
      </c>
    </row>
    <row r="264" spans="1:39" x14ac:dyDescent="0.2">
      <c r="A264" t="str">
        <f>IF([1]Accounts!$D$265="","",[1]Accounts!$A$265)</f>
        <v/>
      </c>
      <c r="B264" t="str">
        <f>IF([1]Accounts!$D$265="","",[1]Accounts!$B$265)</f>
        <v/>
      </c>
      <c r="C264" t="str">
        <f>IF([1]Accounts!$D$265="","",[1]Accounts!$C$265)</f>
        <v/>
      </c>
      <c r="D264" t="str">
        <f>IF([1]Accounts!$D$265="","",[1]Accounts!$D$265)</f>
        <v/>
      </c>
      <c r="E264" t="str">
        <f>IF([1]Accounts!$D$265="","",[1]Accounts!$E$265)</f>
        <v/>
      </c>
      <c r="F264" t="str">
        <f>IF([1]Accounts!$D$265="","",[1]Accounts!$F$265)</f>
        <v/>
      </c>
      <c r="G264" t="str">
        <f>IF([1]Accounts!$D$265="","",[1]Accounts!$G$265)</f>
        <v/>
      </c>
      <c r="T264" t="str">
        <f>IF([2]Baskol!$B$267="","",[2]Baskol!$B$267)</f>
        <v/>
      </c>
      <c r="U264" t="str">
        <f>IF([2]Baskol!$C$267="","",[2]Baskol!$C$267)</f>
        <v/>
      </c>
      <c r="V264" t="str">
        <f>IF([2]Baskol!$D$267="","",[2]Baskol!$D$267)</f>
        <v/>
      </c>
      <c r="W264" t="str">
        <f>IF([2]Baskol!$E$267="","",[2]Baskol!$E$267)</f>
        <v/>
      </c>
      <c r="X264" t="str">
        <f>IF([2]Baskol!$G$267="","",[2]Baskol!$G$267)</f>
        <v/>
      </c>
      <c r="Y264" t="str">
        <f>IF([2]Baskol!$I$267="","",[2]Baskol!$I$267)</f>
        <v/>
      </c>
      <c r="Z264" t="str">
        <f>IF([2]Baskol!$J$267="","",[2]Baskol!$J$267)</f>
        <v/>
      </c>
      <c r="AA264" t="str">
        <f>IF([2]Baskol!$K$267="","",[2]Baskol!$K$267)</f>
        <v/>
      </c>
      <c r="AB264" t="str">
        <f>IF([2]Baskol!$L$267="","",[2]Baskol!$L$267)</f>
        <v/>
      </c>
      <c r="AC264" t="str">
        <f>IF([2]Baskol!$N$267="","",[2]Baskol!$N$267)</f>
        <v/>
      </c>
      <c r="AD264" t="str">
        <f>IF([2]Baskol!$O$267="","",[2]Baskol!$O$267)</f>
        <v/>
      </c>
      <c r="AE264" t="str">
        <f>IF([3]Entry!$C$267="","",[3]Entry!$C$267)</f>
        <v/>
      </c>
      <c r="AF264" t="str">
        <f>IF([3]Entry!$D$267="","",[3]Entry!$D$267)</f>
        <v/>
      </c>
      <c r="AG264" t="str">
        <f>IF([3]Entry!$E$267="","",[3]Entry!$E$267)</f>
        <v/>
      </c>
      <c r="AH264" t="str">
        <f>IF([3]Entry!$G$267="","",[3]Entry!$G$267)</f>
        <v/>
      </c>
      <c r="AI264" t="str">
        <f>IF([3]Entry!$K$267="","",[3]Entry!$K$267)</f>
        <v/>
      </c>
      <c r="AJ264" t="str">
        <f>IF([3]Entry!$L$267="","",[3]Entry!$L$267)</f>
        <v/>
      </c>
      <c r="AK264" t="str">
        <f>IF([3]Entry!$M$267="","",[3]Entry!$M$267)</f>
        <v/>
      </c>
      <c r="AL264" t="str">
        <f>IF([3]Entry!$N$267="","",[3]Entry!$N$267)</f>
        <v/>
      </c>
      <c r="AM264" t="str">
        <f>IF([3]Entry!$R$267="","",[3]Entry!$R$267)</f>
        <v/>
      </c>
    </row>
    <row r="265" spans="1:39" x14ac:dyDescent="0.2">
      <c r="A265" t="str">
        <f>IF([1]Accounts!$D$266="","",[1]Accounts!$A$266)</f>
        <v/>
      </c>
      <c r="B265" t="str">
        <f>IF([1]Accounts!$D$266="","",[1]Accounts!$B$266)</f>
        <v/>
      </c>
      <c r="C265" t="str">
        <f>IF([1]Accounts!$D$266="","",[1]Accounts!$C$266)</f>
        <v/>
      </c>
      <c r="D265" t="str">
        <f>IF([1]Accounts!$D$266="","",[1]Accounts!$D$266)</f>
        <v/>
      </c>
      <c r="E265" t="str">
        <f>IF([1]Accounts!$D$266="","",[1]Accounts!$E$266)</f>
        <v/>
      </c>
      <c r="F265" t="str">
        <f>IF([1]Accounts!$D$266="","",[1]Accounts!$F$266)</f>
        <v/>
      </c>
      <c r="G265" t="str">
        <f>IF([1]Accounts!$D$266="","",[1]Accounts!$G$266)</f>
        <v/>
      </c>
      <c r="T265" t="str">
        <f>IF([2]Baskol!$B$268="","",[2]Baskol!$B$268)</f>
        <v/>
      </c>
      <c r="U265" t="str">
        <f>IF([2]Baskol!$C$268="","",[2]Baskol!$C$268)</f>
        <v/>
      </c>
      <c r="V265" t="str">
        <f>IF([2]Baskol!$D$268="","",[2]Baskol!$D$268)</f>
        <v/>
      </c>
      <c r="W265" t="str">
        <f>IF([2]Baskol!$E$268="","",[2]Baskol!$E$268)</f>
        <v/>
      </c>
      <c r="X265" t="str">
        <f>IF([2]Baskol!$G$268="","",[2]Baskol!$G$268)</f>
        <v/>
      </c>
      <c r="Y265" t="str">
        <f>IF([2]Baskol!$I$268="","",[2]Baskol!$I$268)</f>
        <v/>
      </c>
      <c r="Z265" t="str">
        <f>IF([2]Baskol!$J$268="","",[2]Baskol!$J$268)</f>
        <v/>
      </c>
      <c r="AA265" t="str">
        <f>IF([2]Baskol!$K$268="","",[2]Baskol!$K$268)</f>
        <v/>
      </c>
      <c r="AB265" t="str">
        <f>IF([2]Baskol!$L$268="","",[2]Baskol!$L$268)</f>
        <v/>
      </c>
      <c r="AC265" t="str">
        <f>IF([2]Baskol!$N$268="","",[2]Baskol!$N$268)</f>
        <v/>
      </c>
      <c r="AD265" t="str">
        <f>IF([2]Baskol!$O$268="","",[2]Baskol!$O$268)</f>
        <v/>
      </c>
      <c r="AE265" t="str">
        <f>IF([3]Entry!$C$268="","",[3]Entry!$C$268)</f>
        <v/>
      </c>
      <c r="AF265" t="str">
        <f>IF([3]Entry!$D$268="","",[3]Entry!$D$268)</f>
        <v/>
      </c>
      <c r="AG265" t="str">
        <f>IF([3]Entry!$E$268="","",[3]Entry!$E$268)</f>
        <v/>
      </c>
      <c r="AH265" t="str">
        <f>IF([3]Entry!$G$268="","",[3]Entry!$G$268)</f>
        <v/>
      </c>
      <c r="AI265" t="str">
        <f>IF([3]Entry!$K$268="","",[3]Entry!$K$268)</f>
        <v/>
      </c>
      <c r="AJ265" t="str">
        <f>IF([3]Entry!$L$268="","",[3]Entry!$L$268)</f>
        <v/>
      </c>
      <c r="AK265" t="str">
        <f>IF([3]Entry!$M$268="","",[3]Entry!$M$268)</f>
        <v/>
      </c>
      <c r="AL265" t="str">
        <f>IF([3]Entry!$N$268="","",[3]Entry!$N$268)</f>
        <v/>
      </c>
      <c r="AM265" t="str">
        <f>IF([3]Entry!$R$268="","",[3]Entry!$R$268)</f>
        <v/>
      </c>
    </row>
    <row r="266" spans="1:39" x14ac:dyDescent="0.2">
      <c r="A266" t="str">
        <f>IF([1]Accounts!$D$267="","",[1]Accounts!$A$267)</f>
        <v/>
      </c>
      <c r="B266" t="str">
        <f>IF([1]Accounts!$D$267="","",[1]Accounts!$B$267)</f>
        <v/>
      </c>
      <c r="C266" t="str">
        <f>IF([1]Accounts!$D$267="","",[1]Accounts!$C$267)</f>
        <v/>
      </c>
      <c r="D266" t="str">
        <f>IF([1]Accounts!$D$267="","",[1]Accounts!$D$267)</f>
        <v/>
      </c>
      <c r="E266" t="str">
        <f>IF([1]Accounts!$D$267="","",[1]Accounts!$E$267)</f>
        <v/>
      </c>
      <c r="F266" t="str">
        <f>IF([1]Accounts!$D$267="","",[1]Accounts!$F$267)</f>
        <v/>
      </c>
      <c r="G266" t="str">
        <f>IF([1]Accounts!$D$267="","",[1]Accounts!$G$267)</f>
        <v/>
      </c>
      <c r="T266" t="str">
        <f>IF([2]Baskol!$B$269="","",[2]Baskol!$B$269)</f>
        <v/>
      </c>
      <c r="U266" t="str">
        <f>IF([2]Baskol!$C$269="","",[2]Baskol!$C$269)</f>
        <v/>
      </c>
      <c r="V266" t="str">
        <f>IF([2]Baskol!$D$269="","",[2]Baskol!$D$269)</f>
        <v/>
      </c>
      <c r="W266" t="str">
        <f>IF([2]Baskol!$E$269="","",[2]Baskol!$E$269)</f>
        <v/>
      </c>
      <c r="X266" t="str">
        <f>IF([2]Baskol!$G$269="","",[2]Baskol!$G$269)</f>
        <v/>
      </c>
      <c r="Y266" t="str">
        <f>IF([2]Baskol!$I$269="","",[2]Baskol!$I$269)</f>
        <v/>
      </c>
      <c r="Z266" t="str">
        <f>IF([2]Baskol!$J$269="","",[2]Baskol!$J$269)</f>
        <v/>
      </c>
      <c r="AA266" t="str">
        <f>IF([2]Baskol!$K$269="","",[2]Baskol!$K$269)</f>
        <v/>
      </c>
      <c r="AB266" t="str">
        <f>IF([2]Baskol!$L$269="","",[2]Baskol!$L$269)</f>
        <v/>
      </c>
      <c r="AC266" t="str">
        <f>IF([2]Baskol!$N$269="","",[2]Baskol!$N$269)</f>
        <v/>
      </c>
      <c r="AD266" t="str">
        <f>IF([2]Baskol!$O$269="","",[2]Baskol!$O$269)</f>
        <v/>
      </c>
      <c r="AE266" t="str">
        <f>IF([3]Entry!$C$269="","",[3]Entry!$C$269)</f>
        <v/>
      </c>
      <c r="AF266" t="str">
        <f>IF([3]Entry!$D$269="","",[3]Entry!$D$269)</f>
        <v/>
      </c>
      <c r="AG266" t="str">
        <f>IF([3]Entry!$E$269="","",[3]Entry!$E$269)</f>
        <v/>
      </c>
      <c r="AH266" t="str">
        <f>IF([3]Entry!$G$269="","",[3]Entry!$G$269)</f>
        <v/>
      </c>
      <c r="AI266" t="str">
        <f>IF([3]Entry!$K$269="","",[3]Entry!$K$269)</f>
        <v/>
      </c>
      <c r="AJ266" t="str">
        <f>IF([3]Entry!$L$269="","",[3]Entry!$L$269)</f>
        <v/>
      </c>
      <c r="AK266" t="str">
        <f>IF([3]Entry!$M$269="","",[3]Entry!$M$269)</f>
        <v/>
      </c>
      <c r="AL266" t="str">
        <f>IF([3]Entry!$N$269="","",[3]Entry!$N$269)</f>
        <v/>
      </c>
      <c r="AM266" t="str">
        <f>IF([3]Entry!$R$269="","",[3]Entry!$R$269)</f>
        <v/>
      </c>
    </row>
    <row r="267" spans="1:39" x14ac:dyDescent="0.2">
      <c r="A267" t="str">
        <f>IF([1]Accounts!$D$268="","",[1]Accounts!$A$268)</f>
        <v/>
      </c>
      <c r="B267" t="str">
        <f>IF([1]Accounts!$D$268="","",[1]Accounts!$B$268)</f>
        <v/>
      </c>
      <c r="C267" t="str">
        <f>IF([1]Accounts!$D$268="","",[1]Accounts!$C$268)</f>
        <v/>
      </c>
      <c r="D267" t="str">
        <f>IF([1]Accounts!$D$268="","",[1]Accounts!$D$268)</f>
        <v/>
      </c>
      <c r="E267" t="str">
        <f>IF([1]Accounts!$D$268="","",[1]Accounts!$E$268)</f>
        <v/>
      </c>
      <c r="F267" t="str">
        <f>IF([1]Accounts!$D$268="","",[1]Accounts!$F$268)</f>
        <v/>
      </c>
      <c r="G267" t="str">
        <f>IF([1]Accounts!$D$268="","",[1]Accounts!$G$268)</f>
        <v/>
      </c>
      <c r="T267" t="str">
        <f>IF([2]Baskol!$B$270="","",[2]Baskol!$B$270)</f>
        <v/>
      </c>
      <c r="U267" t="str">
        <f>IF([2]Baskol!$C$270="","",[2]Baskol!$C$270)</f>
        <v/>
      </c>
      <c r="V267" t="str">
        <f>IF([2]Baskol!$D$270="","",[2]Baskol!$D$270)</f>
        <v/>
      </c>
      <c r="W267" t="str">
        <f>IF([2]Baskol!$E$270="","",[2]Baskol!$E$270)</f>
        <v/>
      </c>
      <c r="X267" t="str">
        <f>IF([2]Baskol!$G$270="","",[2]Baskol!$G$270)</f>
        <v/>
      </c>
      <c r="Y267" t="str">
        <f>IF([2]Baskol!$I$270="","",[2]Baskol!$I$270)</f>
        <v/>
      </c>
      <c r="Z267" t="str">
        <f>IF([2]Baskol!$J$270="","",[2]Baskol!$J$270)</f>
        <v/>
      </c>
      <c r="AA267" t="str">
        <f>IF([2]Baskol!$K$270="","",[2]Baskol!$K$270)</f>
        <v/>
      </c>
      <c r="AB267" t="str">
        <f>IF([2]Baskol!$L$270="","",[2]Baskol!$L$270)</f>
        <v/>
      </c>
      <c r="AC267" t="str">
        <f>IF([2]Baskol!$N$270="","",[2]Baskol!$N$270)</f>
        <v/>
      </c>
      <c r="AD267" t="str">
        <f>IF([2]Baskol!$O$270="","",[2]Baskol!$O$270)</f>
        <v/>
      </c>
      <c r="AE267" t="str">
        <f>IF([3]Entry!$C$270="","",[3]Entry!$C$270)</f>
        <v/>
      </c>
      <c r="AF267" t="str">
        <f>IF([3]Entry!$D$270="","",[3]Entry!$D$270)</f>
        <v/>
      </c>
      <c r="AG267" t="str">
        <f>IF([3]Entry!$E$270="","",[3]Entry!$E$270)</f>
        <v/>
      </c>
      <c r="AH267" t="str">
        <f>IF([3]Entry!$G$270="","",[3]Entry!$G$270)</f>
        <v/>
      </c>
      <c r="AI267" t="str">
        <f>IF([3]Entry!$K$270="","",[3]Entry!$K$270)</f>
        <v/>
      </c>
      <c r="AJ267" t="str">
        <f>IF([3]Entry!$L$270="","",[3]Entry!$L$270)</f>
        <v/>
      </c>
      <c r="AK267" t="str">
        <f>IF([3]Entry!$M$270="","",[3]Entry!$M$270)</f>
        <v/>
      </c>
      <c r="AL267" t="str">
        <f>IF([3]Entry!$N$270="","",[3]Entry!$N$270)</f>
        <v/>
      </c>
      <c r="AM267" t="str">
        <f>IF([3]Entry!$R$270="","",[3]Entry!$R$270)</f>
        <v/>
      </c>
    </row>
    <row r="268" spans="1:39" x14ac:dyDescent="0.2">
      <c r="A268" t="str">
        <f>IF([1]Accounts!$D$269="","",[1]Accounts!$A$269)</f>
        <v/>
      </c>
      <c r="B268" t="str">
        <f>IF([1]Accounts!$D$269="","",[1]Accounts!$B$269)</f>
        <v/>
      </c>
      <c r="C268" t="str">
        <f>IF([1]Accounts!$D$269="","",[1]Accounts!$C$269)</f>
        <v/>
      </c>
      <c r="D268" t="str">
        <f>IF([1]Accounts!$D$269="","",[1]Accounts!$D$269)</f>
        <v/>
      </c>
      <c r="E268" t="str">
        <f>IF([1]Accounts!$D$269="","",[1]Accounts!$E$269)</f>
        <v/>
      </c>
      <c r="F268" t="str">
        <f>IF([1]Accounts!$D$269="","",[1]Accounts!$F$269)</f>
        <v/>
      </c>
      <c r="G268" t="str">
        <f>IF([1]Accounts!$D$269="","",[1]Accounts!$G$269)</f>
        <v/>
      </c>
      <c r="T268" t="str">
        <f>IF([2]Baskol!$B$271="","",[2]Baskol!$B$271)</f>
        <v/>
      </c>
      <c r="U268" t="str">
        <f>IF([2]Baskol!$C$271="","",[2]Baskol!$C$271)</f>
        <v/>
      </c>
      <c r="V268" t="str">
        <f>IF([2]Baskol!$D$271="","",[2]Baskol!$D$271)</f>
        <v/>
      </c>
      <c r="W268" t="str">
        <f>IF([2]Baskol!$E$271="","",[2]Baskol!$E$271)</f>
        <v/>
      </c>
      <c r="X268" t="str">
        <f>IF([2]Baskol!$G$271="","",[2]Baskol!$G$271)</f>
        <v/>
      </c>
      <c r="Y268" t="str">
        <f>IF([2]Baskol!$I$271="","",[2]Baskol!$I$271)</f>
        <v/>
      </c>
      <c r="Z268" t="str">
        <f>IF([2]Baskol!$J$271="","",[2]Baskol!$J$271)</f>
        <v/>
      </c>
      <c r="AA268" t="str">
        <f>IF([2]Baskol!$K$271="","",[2]Baskol!$K$271)</f>
        <v/>
      </c>
      <c r="AB268" t="str">
        <f>IF([2]Baskol!$L$271="","",[2]Baskol!$L$271)</f>
        <v/>
      </c>
      <c r="AC268" t="str">
        <f>IF([2]Baskol!$N$271="","",[2]Baskol!$N$271)</f>
        <v/>
      </c>
      <c r="AD268" t="str">
        <f>IF([2]Baskol!$O$271="","",[2]Baskol!$O$271)</f>
        <v/>
      </c>
      <c r="AE268" t="str">
        <f>IF([3]Entry!$C$271="","",[3]Entry!$C$271)</f>
        <v/>
      </c>
      <c r="AF268" t="str">
        <f>IF([3]Entry!$D$271="","",[3]Entry!$D$271)</f>
        <v/>
      </c>
      <c r="AG268" t="str">
        <f>IF([3]Entry!$E$271="","",[3]Entry!$E$271)</f>
        <v/>
      </c>
      <c r="AH268" t="str">
        <f>IF([3]Entry!$G$271="","",[3]Entry!$G$271)</f>
        <v/>
      </c>
      <c r="AI268" t="str">
        <f>IF([3]Entry!$K$271="","",[3]Entry!$K$271)</f>
        <v/>
      </c>
      <c r="AJ268" t="str">
        <f>IF([3]Entry!$L$271="","",[3]Entry!$L$271)</f>
        <v/>
      </c>
      <c r="AK268" t="str">
        <f>IF([3]Entry!$M$271="","",[3]Entry!$M$271)</f>
        <v/>
      </c>
      <c r="AL268" t="str">
        <f>IF([3]Entry!$N$271="","",[3]Entry!$N$271)</f>
        <v/>
      </c>
      <c r="AM268" t="str">
        <f>IF([3]Entry!$R$271="","",[3]Entry!$R$271)</f>
        <v/>
      </c>
    </row>
    <row r="269" spans="1:39" x14ac:dyDescent="0.2">
      <c r="A269" t="str">
        <f>IF([1]Accounts!$D$270="","",[1]Accounts!$A$270)</f>
        <v/>
      </c>
      <c r="B269" t="str">
        <f>IF([1]Accounts!$D$270="","",[1]Accounts!$B$270)</f>
        <v/>
      </c>
      <c r="C269" t="str">
        <f>IF([1]Accounts!$D$270="","",[1]Accounts!$C$270)</f>
        <v/>
      </c>
      <c r="D269" t="str">
        <f>IF([1]Accounts!$D$270="","",[1]Accounts!$D$270)</f>
        <v/>
      </c>
      <c r="E269" t="str">
        <f>IF([1]Accounts!$D$270="","",[1]Accounts!$E$270)</f>
        <v/>
      </c>
      <c r="F269" t="str">
        <f>IF([1]Accounts!$D$270="","",[1]Accounts!$F$270)</f>
        <v/>
      </c>
      <c r="G269" t="str">
        <f>IF([1]Accounts!$D$270="","",[1]Accounts!$G$270)</f>
        <v/>
      </c>
      <c r="T269" t="str">
        <f>IF([2]Baskol!$B$272="","",[2]Baskol!$B$272)</f>
        <v/>
      </c>
      <c r="U269" t="str">
        <f>IF([2]Baskol!$C$272="","",[2]Baskol!$C$272)</f>
        <v/>
      </c>
      <c r="V269" t="str">
        <f>IF([2]Baskol!$D$272="","",[2]Baskol!$D$272)</f>
        <v/>
      </c>
      <c r="W269" t="str">
        <f>IF([2]Baskol!$E$272="","",[2]Baskol!$E$272)</f>
        <v/>
      </c>
      <c r="X269" t="str">
        <f>IF([2]Baskol!$G$272="","",[2]Baskol!$G$272)</f>
        <v/>
      </c>
      <c r="Y269" t="str">
        <f>IF([2]Baskol!$I$272="","",[2]Baskol!$I$272)</f>
        <v/>
      </c>
      <c r="Z269" t="str">
        <f>IF([2]Baskol!$J$272="","",[2]Baskol!$J$272)</f>
        <v/>
      </c>
      <c r="AA269" t="str">
        <f>IF([2]Baskol!$K$272="","",[2]Baskol!$K$272)</f>
        <v/>
      </c>
      <c r="AB269" t="str">
        <f>IF([2]Baskol!$L$272="","",[2]Baskol!$L$272)</f>
        <v/>
      </c>
      <c r="AC269" t="str">
        <f>IF([2]Baskol!$N$272="","",[2]Baskol!$N$272)</f>
        <v/>
      </c>
      <c r="AD269" t="str">
        <f>IF([2]Baskol!$O$272="","",[2]Baskol!$O$272)</f>
        <v/>
      </c>
      <c r="AE269" t="str">
        <f>IF([3]Entry!$C$272="","",[3]Entry!$C$272)</f>
        <v/>
      </c>
      <c r="AF269" t="str">
        <f>IF([3]Entry!$D$272="","",[3]Entry!$D$272)</f>
        <v/>
      </c>
      <c r="AG269" t="str">
        <f>IF([3]Entry!$E$272="","",[3]Entry!$E$272)</f>
        <v/>
      </c>
      <c r="AH269" t="str">
        <f>IF([3]Entry!$G$272="","",[3]Entry!$G$272)</f>
        <v/>
      </c>
      <c r="AI269" t="str">
        <f>IF([3]Entry!$K$272="","",[3]Entry!$K$272)</f>
        <v/>
      </c>
      <c r="AJ269" t="str">
        <f>IF([3]Entry!$L$272="","",[3]Entry!$L$272)</f>
        <v/>
      </c>
      <c r="AK269" t="str">
        <f>IF([3]Entry!$M$272="","",[3]Entry!$M$272)</f>
        <v/>
      </c>
      <c r="AL269" t="str">
        <f>IF([3]Entry!$N$272="","",[3]Entry!$N$272)</f>
        <v/>
      </c>
      <c r="AM269" t="str">
        <f>IF([3]Entry!$R$272="","",[3]Entry!$R$272)</f>
        <v/>
      </c>
    </row>
    <row r="270" spans="1:39" x14ac:dyDescent="0.2">
      <c r="A270" t="str">
        <f>IF([1]Accounts!$D$271="","",[1]Accounts!$A$271)</f>
        <v/>
      </c>
      <c r="B270" t="str">
        <f>IF([1]Accounts!$D$271="","",[1]Accounts!$B$271)</f>
        <v/>
      </c>
      <c r="C270" t="str">
        <f>IF([1]Accounts!$D$271="","",[1]Accounts!$C$271)</f>
        <v/>
      </c>
      <c r="D270" t="str">
        <f>IF([1]Accounts!$D$271="","",[1]Accounts!$D$271)</f>
        <v/>
      </c>
      <c r="E270" t="str">
        <f>IF([1]Accounts!$D$271="","",[1]Accounts!$E$271)</f>
        <v/>
      </c>
      <c r="F270" t="str">
        <f>IF([1]Accounts!$D$271="","",[1]Accounts!$F$271)</f>
        <v/>
      </c>
      <c r="G270" t="str">
        <f>IF([1]Accounts!$D$271="","",[1]Accounts!$G$271)</f>
        <v/>
      </c>
      <c r="T270" t="str">
        <f>IF([2]Baskol!$B$273="","",[2]Baskol!$B$273)</f>
        <v/>
      </c>
      <c r="U270" t="str">
        <f>IF([2]Baskol!$C$273="","",[2]Baskol!$C$273)</f>
        <v/>
      </c>
      <c r="V270" t="str">
        <f>IF([2]Baskol!$D$273="","",[2]Baskol!$D$273)</f>
        <v/>
      </c>
      <c r="W270" t="str">
        <f>IF([2]Baskol!$E$273="","",[2]Baskol!$E$273)</f>
        <v/>
      </c>
      <c r="X270" t="str">
        <f>IF([2]Baskol!$G$273="","",[2]Baskol!$G$273)</f>
        <v/>
      </c>
      <c r="Y270" t="str">
        <f>IF([2]Baskol!$I$273="","",[2]Baskol!$I$273)</f>
        <v/>
      </c>
      <c r="Z270" t="str">
        <f>IF([2]Baskol!$J$273="","",[2]Baskol!$J$273)</f>
        <v/>
      </c>
      <c r="AA270" t="str">
        <f>IF([2]Baskol!$K$273="","",[2]Baskol!$K$273)</f>
        <v/>
      </c>
      <c r="AB270" t="str">
        <f>IF([2]Baskol!$L$273="","",[2]Baskol!$L$273)</f>
        <v/>
      </c>
      <c r="AC270" t="str">
        <f>IF([2]Baskol!$N$273="","",[2]Baskol!$N$273)</f>
        <v/>
      </c>
      <c r="AD270" t="str">
        <f>IF([2]Baskol!$O$273="","",[2]Baskol!$O$273)</f>
        <v/>
      </c>
      <c r="AE270" t="str">
        <f>IF([3]Entry!$C$273="","",[3]Entry!$C$273)</f>
        <v/>
      </c>
      <c r="AF270" t="str">
        <f>IF([3]Entry!$D$273="","",[3]Entry!$D$273)</f>
        <v/>
      </c>
      <c r="AG270" t="str">
        <f>IF([3]Entry!$E$273="","",[3]Entry!$E$273)</f>
        <v/>
      </c>
      <c r="AH270" t="str">
        <f>IF([3]Entry!$G$273="","",[3]Entry!$G$273)</f>
        <v/>
      </c>
      <c r="AI270" t="str">
        <f>IF([3]Entry!$K$273="","",[3]Entry!$K$273)</f>
        <v/>
      </c>
      <c r="AJ270" t="str">
        <f>IF([3]Entry!$L$273="","",[3]Entry!$L$273)</f>
        <v/>
      </c>
      <c r="AK270" t="str">
        <f>IF([3]Entry!$M$273="","",[3]Entry!$M$273)</f>
        <v/>
      </c>
      <c r="AL270" t="str">
        <f>IF([3]Entry!$N$273="","",[3]Entry!$N$273)</f>
        <v/>
      </c>
      <c r="AM270" t="str">
        <f>IF([3]Entry!$R$273="","",[3]Entry!$R$273)</f>
        <v/>
      </c>
    </row>
    <row r="271" spans="1:39" x14ac:dyDescent="0.2">
      <c r="A271" t="str">
        <f>IF([1]Accounts!$D$272="","",[1]Accounts!$A$272)</f>
        <v/>
      </c>
      <c r="B271" t="str">
        <f>IF([1]Accounts!$D$272="","",[1]Accounts!$B$272)</f>
        <v/>
      </c>
      <c r="C271" t="str">
        <f>IF([1]Accounts!$D$272="","",[1]Accounts!$C$272)</f>
        <v/>
      </c>
      <c r="D271" t="str">
        <f>IF([1]Accounts!$D$272="","",[1]Accounts!$D$272)</f>
        <v/>
      </c>
      <c r="E271" t="str">
        <f>IF([1]Accounts!$D$272="","",[1]Accounts!$E$272)</f>
        <v/>
      </c>
      <c r="F271" t="str">
        <f>IF([1]Accounts!$D$272="","",[1]Accounts!$F$272)</f>
        <v/>
      </c>
      <c r="G271" t="str">
        <f>IF([1]Accounts!$D$272="","",[1]Accounts!$G$272)</f>
        <v/>
      </c>
      <c r="T271" t="str">
        <f>IF([2]Baskol!$B$274="","",[2]Baskol!$B$274)</f>
        <v/>
      </c>
      <c r="U271" t="str">
        <f>IF([2]Baskol!$C$274="","",[2]Baskol!$C$274)</f>
        <v/>
      </c>
      <c r="V271" t="str">
        <f>IF([2]Baskol!$D$274="","",[2]Baskol!$D$274)</f>
        <v/>
      </c>
      <c r="W271" t="str">
        <f>IF([2]Baskol!$E$274="","",[2]Baskol!$E$274)</f>
        <v/>
      </c>
      <c r="X271" t="str">
        <f>IF([2]Baskol!$G$274="","",[2]Baskol!$G$274)</f>
        <v/>
      </c>
      <c r="Y271" t="str">
        <f>IF([2]Baskol!$I$274="","",[2]Baskol!$I$274)</f>
        <v/>
      </c>
      <c r="Z271" t="str">
        <f>IF([2]Baskol!$J$274="","",[2]Baskol!$J$274)</f>
        <v/>
      </c>
      <c r="AA271" t="str">
        <f>IF([2]Baskol!$K$274="","",[2]Baskol!$K$274)</f>
        <v/>
      </c>
      <c r="AB271" t="str">
        <f>IF([2]Baskol!$L$274="","",[2]Baskol!$L$274)</f>
        <v/>
      </c>
      <c r="AC271" t="str">
        <f>IF([2]Baskol!$N$274="","",[2]Baskol!$N$274)</f>
        <v/>
      </c>
      <c r="AD271" t="str">
        <f>IF([2]Baskol!$O$274="","",[2]Baskol!$O$274)</f>
        <v/>
      </c>
      <c r="AE271" t="str">
        <f>IF([3]Entry!$C$274="","",[3]Entry!$C$274)</f>
        <v/>
      </c>
      <c r="AF271" t="str">
        <f>IF([3]Entry!$D$274="","",[3]Entry!$D$274)</f>
        <v/>
      </c>
      <c r="AG271" t="str">
        <f>IF([3]Entry!$E$274="","",[3]Entry!$E$274)</f>
        <v/>
      </c>
      <c r="AH271" t="str">
        <f>IF([3]Entry!$G$274="","",[3]Entry!$G$274)</f>
        <v/>
      </c>
      <c r="AI271" t="str">
        <f>IF([3]Entry!$K$274="","",[3]Entry!$K$274)</f>
        <v/>
      </c>
      <c r="AJ271" t="str">
        <f>IF([3]Entry!$L$274="","",[3]Entry!$L$274)</f>
        <v/>
      </c>
      <c r="AK271" t="str">
        <f>IF([3]Entry!$M$274="","",[3]Entry!$M$274)</f>
        <v/>
      </c>
      <c r="AL271" t="str">
        <f>IF([3]Entry!$N$274="","",[3]Entry!$N$274)</f>
        <v/>
      </c>
      <c r="AM271" t="str">
        <f>IF([3]Entry!$R$274="","",[3]Entry!$R$274)</f>
        <v/>
      </c>
    </row>
    <row r="272" spans="1:39" x14ac:dyDescent="0.2">
      <c r="A272" t="str">
        <f>IF([1]Accounts!$D$273="","",[1]Accounts!$A$273)</f>
        <v/>
      </c>
      <c r="B272" t="str">
        <f>IF([1]Accounts!$D$273="","",[1]Accounts!$B$273)</f>
        <v/>
      </c>
      <c r="C272" t="str">
        <f>IF([1]Accounts!$D$273="","",[1]Accounts!$C$273)</f>
        <v/>
      </c>
      <c r="D272" t="str">
        <f>IF([1]Accounts!$D$273="","",[1]Accounts!$D$273)</f>
        <v/>
      </c>
      <c r="E272" t="str">
        <f>IF([1]Accounts!$D$273="","",[1]Accounts!$E$273)</f>
        <v/>
      </c>
      <c r="F272" t="str">
        <f>IF([1]Accounts!$D$273="","",[1]Accounts!$F$273)</f>
        <v/>
      </c>
      <c r="G272" t="str">
        <f>IF([1]Accounts!$D$273="","",[1]Accounts!$G$273)</f>
        <v/>
      </c>
      <c r="T272" t="str">
        <f>IF([2]Baskol!$B$275="","",[2]Baskol!$B$275)</f>
        <v/>
      </c>
      <c r="U272" t="str">
        <f>IF([2]Baskol!$C$275="","",[2]Baskol!$C$275)</f>
        <v/>
      </c>
      <c r="V272" t="str">
        <f>IF([2]Baskol!$D$275="","",[2]Baskol!$D$275)</f>
        <v/>
      </c>
      <c r="W272" t="str">
        <f>IF([2]Baskol!$E$275="","",[2]Baskol!$E$275)</f>
        <v/>
      </c>
      <c r="X272" t="str">
        <f>IF([2]Baskol!$G$275="","",[2]Baskol!$G$275)</f>
        <v/>
      </c>
      <c r="Y272" t="str">
        <f>IF([2]Baskol!$I$275="","",[2]Baskol!$I$275)</f>
        <v/>
      </c>
      <c r="Z272" t="str">
        <f>IF([2]Baskol!$J$275="","",[2]Baskol!$J$275)</f>
        <v/>
      </c>
      <c r="AA272" t="str">
        <f>IF([2]Baskol!$K$275="","",[2]Baskol!$K$275)</f>
        <v/>
      </c>
      <c r="AB272" t="str">
        <f>IF([2]Baskol!$L$275="","",[2]Baskol!$L$275)</f>
        <v/>
      </c>
      <c r="AC272" t="str">
        <f>IF([2]Baskol!$N$275="","",[2]Baskol!$N$275)</f>
        <v/>
      </c>
      <c r="AD272" t="str">
        <f>IF([2]Baskol!$O$275="","",[2]Baskol!$O$275)</f>
        <v/>
      </c>
      <c r="AE272" t="str">
        <f>IF([3]Entry!$C$275="","",[3]Entry!$C$275)</f>
        <v/>
      </c>
      <c r="AF272" t="str">
        <f>IF([3]Entry!$D$275="","",[3]Entry!$D$275)</f>
        <v/>
      </c>
      <c r="AG272" t="str">
        <f>IF([3]Entry!$E$275="","",[3]Entry!$E$275)</f>
        <v/>
      </c>
      <c r="AH272" t="str">
        <f>IF([3]Entry!$G$275="","",[3]Entry!$G$275)</f>
        <v/>
      </c>
      <c r="AI272" t="str">
        <f>IF([3]Entry!$K$275="","",[3]Entry!$K$275)</f>
        <v/>
      </c>
      <c r="AJ272" t="str">
        <f>IF([3]Entry!$L$275="","",[3]Entry!$L$275)</f>
        <v/>
      </c>
      <c r="AK272" t="str">
        <f>IF([3]Entry!$M$275="","",[3]Entry!$M$275)</f>
        <v/>
      </c>
      <c r="AL272" t="str">
        <f>IF([3]Entry!$N$275="","",[3]Entry!$N$275)</f>
        <v/>
      </c>
      <c r="AM272" t="str">
        <f>IF([3]Entry!$R$275="","",[3]Entry!$R$275)</f>
        <v/>
      </c>
    </row>
    <row r="273" spans="1:39" x14ac:dyDescent="0.2">
      <c r="A273" t="str">
        <f>IF([1]Accounts!$D$274="","",[1]Accounts!$A$274)</f>
        <v/>
      </c>
      <c r="B273" t="str">
        <f>IF([1]Accounts!$D$274="","",[1]Accounts!$B$274)</f>
        <v/>
      </c>
      <c r="C273" t="str">
        <f>IF([1]Accounts!$D$274="","",[1]Accounts!$C$274)</f>
        <v/>
      </c>
      <c r="D273" t="str">
        <f>IF([1]Accounts!$D$274="","",[1]Accounts!$D$274)</f>
        <v/>
      </c>
      <c r="E273" t="str">
        <f>IF([1]Accounts!$D$274="","",[1]Accounts!$E$274)</f>
        <v/>
      </c>
      <c r="F273" t="str">
        <f>IF([1]Accounts!$D$274="","",[1]Accounts!$F$274)</f>
        <v/>
      </c>
      <c r="G273" t="str">
        <f>IF([1]Accounts!$D$274="","",[1]Accounts!$G$274)</f>
        <v/>
      </c>
      <c r="T273" t="str">
        <f>IF([2]Baskol!$B$276="","",[2]Baskol!$B$276)</f>
        <v/>
      </c>
      <c r="U273" t="str">
        <f>IF([2]Baskol!$C$276="","",[2]Baskol!$C$276)</f>
        <v/>
      </c>
      <c r="V273" t="str">
        <f>IF([2]Baskol!$D$276="","",[2]Baskol!$D$276)</f>
        <v/>
      </c>
      <c r="W273" t="str">
        <f>IF([2]Baskol!$E$276="","",[2]Baskol!$E$276)</f>
        <v/>
      </c>
      <c r="X273" t="str">
        <f>IF([2]Baskol!$G$276="","",[2]Baskol!$G$276)</f>
        <v/>
      </c>
      <c r="Y273" t="str">
        <f>IF([2]Baskol!$I$276="","",[2]Baskol!$I$276)</f>
        <v/>
      </c>
      <c r="Z273" t="str">
        <f>IF([2]Baskol!$J$276="","",[2]Baskol!$J$276)</f>
        <v/>
      </c>
      <c r="AA273" t="str">
        <f>IF([2]Baskol!$K$276="","",[2]Baskol!$K$276)</f>
        <v/>
      </c>
      <c r="AB273" t="str">
        <f>IF([2]Baskol!$L$276="","",[2]Baskol!$L$276)</f>
        <v/>
      </c>
      <c r="AC273" t="str">
        <f>IF([2]Baskol!$N$276="","",[2]Baskol!$N$276)</f>
        <v/>
      </c>
      <c r="AD273" t="str">
        <f>IF([2]Baskol!$O$276="","",[2]Baskol!$O$276)</f>
        <v/>
      </c>
      <c r="AE273" t="str">
        <f>IF([3]Entry!$C$276="","",[3]Entry!$C$276)</f>
        <v/>
      </c>
      <c r="AF273" t="str">
        <f>IF([3]Entry!$D$276="","",[3]Entry!$D$276)</f>
        <v/>
      </c>
      <c r="AG273" t="str">
        <f>IF([3]Entry!$E$276="","",[3]Entry!$E$276)</f>
        <v/>
      </c>
      <c r="AH273" t="str">
        <f>IF([3]Entry!$G$276="","",[3]Entry!$G$276)</f>
        <v/>
      </c>
      <c r="AI273" t="str">
        <f>IF([3]Entry!$K$276="","",[3]Entry!$K$276)</f>
        <v/>
      </c>
      <c r="AJ273" t="str">
        <f>IF([3]Entry!$L$276="","",[3]Entry!$L$276)</f>
        <v/>
      </c>
      <c r="AK273" t="str">
        <f>IF([3]Entry!$M$276="","",[3]Entry!$M$276)</f>
        <v/>
      </c>
      <c r="AL273" t="str">
        <f>IF([3]Entry!$N$276="","",[3]Entry!$N$276)</f>
        <v/>
      </c>
      <c r="AM273" t="str">
        <f>IF([3]Entry!$R$276="","",[3]Entry!$R$276)</f>
        <v/>
      </c>
    </row>
    <row r="274" spans="1:39" x14ac:dyDescent="0.2">
      <c r="A274" t="str">
        <f>IF([1]Accounts!$D$275="","",[1]Accounts!$A$275)</f>
        <v/>
      </c>
      <c r="B274" t="str">
        <f>IF([1]Accounts!$D$275="","",[1]Accounts!$B$275)</f>
        <v/>
      </c>
      <c r="C274" t="str">
        <f>IF([1]Accounts!$D$275="","",[1]Accounts!$C$275)</f>
        <v/>
      </c>
      <c r="D274" t="str">
        <f>IF([1]Accounts!$D$275="","",[1]Accounts!$D$275)</f>
        <v/>
      </c>
      <c r="E274" t="str">
        <f>IF([1]Accounts!$D$275="","",[1]Accounts!$E$275)</f>
        <v/>
      </c>
      <c r="F274" t="str">
        <f>IF([1]Accounts!$D$275="","",[1]Accounts!$F$275)</f>
        <v/>
      </c>
      <c r="G274" t="str">
        <f>IF([1]Accounts!$D$275="","",[1]Accounts!$G$275)</f>
        <v/>
      </c>
      <c r="T274" t="str">
        <f>IF([2]Baskol!$B$277="","",[2]Baskol!$B$277)</f>
        <v/>
      </c>
      <c r="U274" t="str">
        <f>IF([2]Baskol!$C$277="","",[2]Baskol!$C$277)</f>
        <v/>
      </c>
      <c r="V274" t="str">
        <f>IF([2]Baskol!$D$277="","",[2]Baskol!$D$277)</f>
        <v/>
      </c>
      <c r="W274" t="str">
        <f>IF([2]Baskol!$E$277="","",[2]Baskol!$E$277)</f>
        <v/>
      </c>
      <c r="X274" t="str">
        <f>IF([2]Baskol!$G$277="","",[2]Baskol!$G$277)</f>
        <v/>
      </c>
      <c r="Y274" t="str">
        <f>IF([2]Baskol!$I$277="","",[2]Baskol!$I$277)</f>
        <v/>
      </c>
      <c r="Z274" t="str">
        <f>IF([2]Baskol!$J$277="","",[2]Baskol!$J$277)</f>
        <v/>
      </c>
      <c r="AA274" t="str">
        <f>IF([2]Baskol!$K$277="","",[2]Baskol!$K$277)</f>
        <v/>
      </c>
      <c r="AB274" t="str">
        <f>IF([2]Baskol!$L$277="","",[2]Baskol!$L$277)</f>
        <v/>
      </c>
      <c r="AC274" t="str">
        <f>IF([2]Baskol!$N$277="","",[2]Baskol!$N$277)</f>
        <v/>
      </c>
      <c r="AD274" t="str">
        <f>IF([2]Baskol!$O$277="","",[2]Baskol!$O$277)</f>
        <v/>
      </c>
      <c r="AE274" t="str">
        <f>IF([3]Entry!$C$277="","",[3]Entry!$C$277)</f>
        <v/>
      </c>
      <c r="AF274" t="str">
        <f>IF([3]Entry!$D$277="","",[3]Entry!$D$277)</f>
        <v/>
      </c>
      <c r="AG274" t="str">
        <f>IF([3]Entry!$E$277="","",[3]Entry!$E$277)</f>
        <v/>
      </c>
      <c r="AH274" t="str">
        <f>IF([3]Entry!$G$277="","",[3]Entry!$G$277)</f>
        <v/>
      </c>
      <c r="AI274" t="str">
        <f>IF([3]Entry!$K$277="","",[3]Entry!$K$277)</f>
        <v/>
      </c>
      <c r="AJ274" t="str">
        <f>IF([3]Entry!$L$277="","",[3]Entry!$L$277)</f>
        <v/>
      </c>
      <c r="AK274" t="str">
        <f>IF([3]Entry!$M$277="","",[3]Entry!$M$277)</f>
        <v/>
      </c>
      <c r="AL274" t="str">
        <f>IF([3]Entry!$N$277="","",[3]Entry!$N$277)</f>
        <v/>
      </c>
      <c r="AM274" t="str">
        <f>IF([3]Entry!$R$277="","",[3]Entry!$R$277)</f>
        <v/>
      </c>
    </row>
    <row r="275" spans="1:39" x14ac:dyDescent="0.2">
      <c r="A275" t="str">
        <f>IF([1]Accounts!$D$276="","",[1]Accounts!$A$276)</f>
        <v/>
      </c>
      <c r="B275" t="str">
        <f>IF([1]Accounts!$D$276="","",[1]Accounts!$B$276)</f>
        <v/>
      </c>
      <c r="C275" t="str">
        <f>IF([1]Accounts!$D$276="","",[1]Accounts!$C$276)</f>
        <v/>
      </c>
      <c r="D275" t="str">
        <f>IF([1]Accounts!$D$276="","",[1]Accounts!$D$276)</f>
        <v/>
      </c>
      <c r="E275" t="str">
        <f>IF([1]Accounts!$D$276="","",[1]Accounts!$E$276)</f>
        <v/>
      </c>
      <c r="F275" t="str">
        <f>IF([1]Accounts!$D$276="","",[1]Accounts!$F$276)</f>
        <v/>
      </c>
      <c r="G275" t="str">
        <f>IF([1]Accounts!$D$276="","",[1]Accounts!$G$276)</f>
        <v/>
      </c>
      <c r="T275" t="str">
        <f>IF([2]Baskol!$B$278="","",[2]Baskol!$B$278)</f>
        <v/>
      </c>
      <c r="U275" t="str">
        <f>IF([2]Baskol!$C$278="","",[2]Baskol!$C$278)</f>
        <v/>
      </c>
      <c r="V275" t="str">
        <f>IF([2]Baskol!$D$278="","",[2]Baskol!$D$278)</f>
        <v/>
      </c>
      <c r="W275" t="str">
        <f>IF([2]Baskol!$E$278="","",[2]Baskol!$E$278)</f>
        <v/>
      </c>
      <c r="X275" t="str">
        <f>IF([2]Baskol!$G$278="","",[2]Baskol!$G$278)</f>
        <v/>
      </c>
      <c r="Y275" t="str">
        <f>IF([2]Baskol!$I$278="","",[2]Baskol!$I$278)</f>
        <v/>
      </c>
      <c r="Z275" t="str">
        <f>IF([2]Baskol!$J$278="","",[2]Baskol!$J$278)</f>
        <v/>
      </c>
      <c r="AA275" t="str">
        <f>IF([2]Baskol!$K$278="","",[2]Baskol!$K$278)</f>
        <v/>
      </c>
      <c r="AB275" t="str">
        <f>IF([2]Baskol!$L$278="","",[2]Baskol!$L$278)</f>
        <v/>
      </c>
      <c r="AC275" t="str">
        <f>IF([2]Baskol!$N$278="","",[2]Baskol!$N$278)</f>
        <v/>
      </c>
      <c r="AD275" t="str">
        <f>IF([2]Baskol!$O$278="","",[2]Baskol!$O$278)</f>
        <v/>
      </c>
      <c r="AE275" t="str">
        <f>IF([3]Entry!$C$278="","",[3]Entry!$C$278)</f>
        <v/>
      </c>
      <c r="AF275" t="str">
        <f>IF([3]Entry!$D$278="","",[3]Entry!$D$278)</f>
        <v/>
      </c>
      <c r="AG275" t="str">
        <f>IF([3]Entry!$E$278="","",[3]Entry!$E$278)</f>
        <v/>
      </c>
      <c r="AH275" t="str">
        <f>IF([3]Entry!$G$278="","",[3]Entry!$G$278)</f>
        <v/>
      </c>
      <c r="AI275" t="str">
        <f>IF([3]Entry!$K$278="","",[3]Entry!$K$278)</f>
        <v/>
      </c>
      <c r="AJ275" t="str">
        <f>IF([3]Entry!$L$278="","",[3]Entry!$L$278)</f>
        <v/>
      </c>
      <c r="AK275" t="str">
        <f>IF([3]Entry!$M$278="","",[3]Entry!$M$278)</f>
        <v/>
      </c>
      <c r="AL275" t="str">
        <f>IF([3]Entry!$N$278="","",[3]Entry!$N$278)</f>
        <v/>
      </c>
      <c r="AM275" t="str">
        <f>IF([3]Entry!$R$278="","",[3]Entry!$R$278)</f>
        <v/>
      </c>
    </row>
    <row r="276" spans="1:39" x14ac:dyDescent="0.2">
      <c r="A276" t="str">
        <f>IF([1]Accounts!$D$277="","",[1]Accounts!$A$277)</f>
        <v/>
      </c>
      <c r="B276" t="str">
        <f>IF([1]Accounts!$D$277="","",[1]Accounts!$B$277)</f>
        <v/>
      </c>
      <c r="C276" t="str">
        <f>IF([1]Accounts!$D$277="","",[1]Accounts!$C$277)</f>
        <v/>
      </c>
      <c r="D276" t="str">
        <f>IF([1]Accounts!$D$277="","",[1]Accounts!$D$277)</f>
        <v/>
      </c>
      <c r="E276" t="str">
        <f>IF([1]Accounts!$D$277="","",[1]Accounts!$E$277)</f>
        <v/>
      </c>
      <c r="F276" t="str">
        <f>IF([1]Accounts!$D$277="","",[1]Accounts!$F$277)</f>
        <v/>
      </c>
      <c r="G276" t="str">
        <f>IF([1]Accounts!$D$277="","",[1]Accounts!$G$277)</f>
        <v/>
      </c>
      <c r="T276" t="str">
        <f>IF([2]Baskol!$B$279="","",[2]Baskol!$B$279)</f>
        <v/>
      </c>
      <c r="U276" t="str">
        <f>IF([2]Baskol!$C$279="","",[2]Baskol!$C$279)</f>
        <v/>
      </c>
      <c r="V276" t="str">
        <f>IF([2]Baskol!$D$279="","",[2]Baskol!$D$279)</f>
        <v/>
      </c>
      <c r="W276" t="str">
        <f>IF([2]Baskol!$E$279="","",[2]Baskol!$E$279)</f>
        <v/>
      </c>
      <c r="X276" t="str">
        <f>IF([2]Baskol!$G$279="","",[2]Baskol!$G$279)</f>
        <v/>
      </c>
      <c r="Y276" t="str">
        <f>IF([2]Baskol!$I$279="","",[2]Baskol!$I$279)</f>
        <v/>
      </c>
      <c r="Z276" t="str">
        <f>IF([2]Baskol!$J$279="","",[2]Baskol!$J$279)</f>
        <v/>
      </c>
      <c r="AA276" t="str">
        <f>IF([2]Baskol!$K$279="","",[2]Baskol!$K$279)</f>
        <v/>
      </c>
      <c r="AB276" t="str">
        <f>IF([2]Baskol!$L$279="","",[2]Baskol!$L$279)</f>
        <v/>
      </c>
      <c r="AC276" t="str">
        <f>IF([2]Baskol!$N$279="","",[2]Baskol!$N$279)</f>
        <v/>
      </c>
      <c r="AD276" t="str">
        <f>IF([2]Baskol!$O$279="","",[2]Baskol!$O$279)</f>
        <v/>
      </c>
      <c r="AE276" t="str">
        <f>IF([3]Entry!$C$279="","",[3]Entry!$C$279)</f>
        <v/>
      </c>
      <c r="AF276" t="str">
        <f>IF([3]Entry!$D$279="","",[3]Entry!$D$279)</f>
        <v/>
      </c>
      <c r="AG276" t="str">
        <f>IF([3]Entry!$E$279="","",[3]Entry!$E$279)</f>
        <v/>
      </c>
      <c r="AH276" t="str">
        <f>IF([3]Entry!$G$279="","",[3]Entry!$G$279)</f>
        <v/>
      </c>
      <c r="AI276" t="str">
        <f>IF([3]Entry!$K$279="","",[3]Entry!$K$279)</f>
        <v/>
      </c>
      <c r="AJ276" t="str">
        <f>IF([3]Entry!$L$279="","",[3]Entry!$L$279)</f>
        <v/>
      </c>
      <c r="AK276" t="str">
        <f>IF([3]Entry!$M$279="","",[3]Entry!$M$279)</f>
        <v/>
      </c>
      <c r="AL276" t="str">
        <f>IF([3]Entry!$N$279="","",[3]Entry!$N$279)</f>
        <v/>
      </c>
      <c r="AM276" t="str">
        <f>IF([3]Entry!$R$279="","",[3]Entry!$R$279)</f>
        <v/>
      </c>
    </row>
    <row r="277" spans="1:39" x14ac:dyDescent="0.2">
      <c r="A277" t="str">
        <f>IF([1]Accounts!$D$278="","",[1]Accounts!$A$278)</f>
        <v/>
      </c>
      <c r="B277" t="str">
        <f>IF([1]Accounts!$D$278="","",[1]Accounts!$B$278)</f>
        <v/>
      </c>
      <c r="C277" t="str">
        <f>IF([1]Accounts!$D$278="","",[1]Accounts!$C$278)</f>
        <v/>
      </c>
      <c r="D277" t="str">
        <f>IF([1]Accounts!$D$278="","",[1]Accounts!$D$278)</f>
        <v/>
      </c>
      <c r="E277" t="str">
        <f>IF([1]Accounts!$D$278="","",[1]Accounts!$E$278)</f>
        <v/>
      </c>
      <c r="F277" t="str">
        <f>IF([1]Accounts!$D$278="","",[1]Accounts!$F$278)</f>
        <v/>
      </c>
      <c r="G277" t="str">
        <f>IF([1]Accounts!$D$278="","",[1]Accounts!$G$278)</f>
        <v/>
      </c>
      <c r="T277" t="str">
        <f>IF([2]Baskol!$B$280="","",[2]Baskol!$B$280)</f>
        <v/>
      </c>
      <c r="U277" t="str">
        <f>IF([2]Baskol!$C$280="","",[2]Baskol!$C$280)</f>
        <v/>
      </c>
      <c r="V277" t="str">
        <f>IF([2]Baskol!$D$280="","",[2]Baskol!$D$280)</f>
        <v/>
      </c>
      <c r="W277" t="str">
        <f>IF([2]Baskol!$E$280="","",[2]Baskol!$E$280)</f>
        <v/>
      </c>
      <c r="X277" t="str">
        <f>IF([2]Baskol!$G$280="","",[2]Baskol!$G$280)</f>
        <v/>
      </c>
      <c r="Y277" t="str">
        <f>IF([2]Baskol!$I$280="","",[2]Baskol!$I$280)</f>
        <v/>
      </c>
      <c r="Z277" t="str">
        <f>IF([2]Baskol!$J$280="","",[2]Baskol!$J$280)</f>
        <v/>
      </c>
      <c r="AA277" t="str">
        <f>IF([2]Baskol!$K$280="","",[2]Baskol!$K$280)</f>
        <v/>
      </c>
      <c r="AB277" t="str">
        <f>IF([2]Baskol!$L$280="","",[2]Baskol!$L$280)</f>
        <v/>
      </c>
      <c r="AC277" t="str">
        <f>IF([2]Baskol!$N$280="","",[2]Baskol!$N$280)</f>
        <v/>
      </c>
      <c r="AD277" t="str">
        <f>IF([2]Baskol!$O$280="","",[2]Baskol!$O$280)</f>
        <v/>
      </c>
      <c r="AE277" t="str">
        <f>IF([3]Entry!$C$280="","",[3]Entry!$C$280)</f>
        <v/>
      </c>
      <c r="AF277" t="str">
        <f>IF([3]Entry!$D$280="","",[3]Entry!$D$280)</f>
        <v/>
      </c>
      <c r="AG277" t="str">
        <f>IF([3]Entry!$E$280="","",[3]Entry!$E$280)</f>
        <v/>
      </c>
      <c r="AH277" t="str">
        <f>IF([3]Entry!$G$280="","",[3]Entry!$G$280)</f>
        <v/>
      </c>
      <c r="AI277" t="str">
        <f>IF([3]Entry!$K$280="","",[3]Entry!$K$280)</f>
        <v/>
      </c>
      <c r="AJ277" t="str">
        <f>IF([3]Entry!$L$280="","",[3]Entry!$L$280)</f>
        <v/>
      </c>
      <c r="AK277" t="str">
        <f>IF([3]Entry!$M$280="","",[3]Entry!$M$280)</f>
        <v/>
      </c>
      <c r="AL277" t="str">
        <f>IF([3]Entry!$N$280="","",[3]Entry!$N$280)</f>
        <v/>
      </c>
      <c r="AM277" t="str">
        <f>IF([3]Entry!$R$280="","",[3]Entry!$R$280)</f>
        <v/>
      </c>
    </row>
    <row r="278" spans="1:39" x14ac:dyDescent="0.2">
      <c r="A278" t="str">
        <f>IF([1]Accounts!$D$279="","",[1]Accounts!$A$279)</f>
        <v/>
      </c>
      <c r="B278" t="str">
        <f>IF([1]Accounts!$D$279="","",[1]Accounts!$B$279)</f>
        <v/>
      </c>
      <c r="C278" t="str">
        <f>IF([1]Accounts!$D$279="","",[1]Accounts!$C$279)</f>
        <v/>
      </c>
      <c r="D278" t="str">
        <f>IF([1]Accounts!$D$279="","",[1]Accounts!$D$279)</f>
        <v/>
      </c>
      <c r="E278" t="str">
        <f>IF([1]Accounts!$D$279="","",[1]Accounts!$E$279)</f>
        <v/>
      </c>
      <c r="F278" t="str">
        <f>IF([1]Accounts!$D$279="","",[1]Accounts!$F$279)</f>
        <v/>
      </c>
      <c r="G278" t="str">
        <f>IF([1]Accounts!$D$279="","",[1]Accounts!$G$279)</f>
        <v/>
      </c>
      <c r="T278" t="str">
        <f>IF([2]Baskol!$B$281="","",[2]Baskol!$B$281)</f>
        <v/>
      </c>
      <c r="U278" t="str">
        <f>IF([2]Baskol!$C$281="","",[2]Baskol!$C$281)</f>
        <v/>
      </c>
      <c r="V278" t="str">
        <f>IF([2]Baskol!$D$281="","",[2]Baskol!$D$281)</f>
        <v/>
      </c>
      <c r="W278" t="str">
        <f>IF([2]Baskol!$E$281="","",[2]Baskol!$E$281)</f>
        <v/>
      </c>
      <c r="X278" t="str">
        <f>IF([2]Baskol!$G$281="","",[2]Baskol!$G$281)</f>
        <v/>
      </c>
      <c r="Y278" t="str">
        <f>IF([2]Baskol!$I$281="","",[2]Baskol!$I$281)</f>
        <v/>
      </c>
      <c r="Z278" t="str">
        <f>IF([2]Baskol!$J$281="","",[2]Baskol!$J$281)</f>
        <v/>
      </c>
      <c r="AA278" t="str">
        <f>IF([2]Baskol!$K$281="","",[2]Baskol!$K$281)</f>
        <v/>
      </c>
      <c r="AB278" t="str">
        <f>IF([2]Baskol!$L$281="","",[2]Baskol!$L$281)</f>
        <v/>
      </c>
      <c r="AC278" t="str">
        <f>IF([2]Baskol!$N$281="","",[2]Baskol!$N$281)</f>
        <v/>
      </c>
      <c r="AD278" t="str">
        <f>IF([2]Baskol!$O$281="","",[2]Baskol!$O$281)</f>
        <v/>
      </c>
      <c r="AE278" t="str">
        <f>IF([3]Entry!$C$281="","",[3]Entry!$C$281)</f>
        <v/>
      </c>
      <c r="AF278" t="str">
        <f>IF([3]Entry!$D$281="","",[3]Entry!$D$281)</f>
        <v/>
      </c>
      <c r="AG278" t="str">
        <f>IF([3]Entry!$E$281="","",[3]Entry!$E$281)</f>
        <v/>
      </c>
      <c r="AH278" t="str">
        <f>IF([3]Entry!$G$281="","",[3]Entry!$G$281)</f>
        <v/>
      </c>
      <c r="AI278" t="str">
        <f>IF([3]Entry!$K$281="","",[3]Entry!$K$281)</f>
        <v/>
      </c>
      <c r="AJ278" t="str">
        <f>IF([3]Entry!$L$281="","",[3]Entry!$L$281)</f>
        <v/>
      </c>
      <c r="AK278" t="str">
        <f>IF([3]Entry!$M$281="","",[3]Entry!$M$281)</f>
        <v/>
      </c>
      <c r="AL278" t="str">
        <f>IF([3]Entry!$N$281="","",[3]Entry!$N$281)</f>
        <v/>
      </c>
      <c r="AM278" t="str">
        <f>IF([3]Entry!$R$281="","",[3]Entry!$R$281)</f>
        <v/>
      </c>
    </row>
    <row r="279" spans="1:39" x14ac:dyDescent="0.2">
      <c r="A279" t="str">
        <f>IF([1]Accounts!$D$280="","",[1]Accounts!$A$280)</f>
        <v/>
      </c>
      <c r="B279" t="str">
        <f>IF([1]Accounts!$D$280="","",[1]Accounts!$B$280)</f>
        <v/>
      </c>
      <c r="C279" t="str">
        <f>IF([1]Accounts!$D$280="","",[1]Accounts!$C$280)</f>
        <v/>
      </c>
      <c r="D279" t="str">
        <f>IF([1]Accounts!$D$280="","",[1]Accounts!$D$280)</f>
        <v/>
      </c>
      <c r="E279" t="str">
        <f>IF([1]Accounts!$D$280="","",[1]Accounts!$E$280)</f>
        <v/>
      </c>
      <c r="F279" t="str">
        <f>IF([1]Accounts!$D$280="","",[1]Accounts!$F$280)</f>
        <v/>
      </c>
      <c r="G279" t="str">
        <f>IF([1]Accounts!$D$280="","",[1]Accounts!$G$280)</f>
        <v/>
      </c>
      <c r="T279" t="str">
        <f>IF([2]Baskol!$B$282="","",[2]Baskol!$B$282)</f>
        <v/>
      </c>
      <c r="U279" t="str">
        <f>IF([2]Baskol!$C$282="","",[2]Baskol!$C$282)</f>
        <v/>
      </c>
      <c r="V279" t="str">
        <f>IF([2]Baskol!$D$282="","",[2]Baskol!$D$282)</f>
        <v/>
      </c>
      <c r="W279" t="str">
        <f>IF([2]Baskol!$E$282="","",[2]Baskol!$E$282)</f>
        <v/>
      </c>
      <c r="X279" t="str">
        <f>IF([2]Baskol!$G$282="","",[2]Baskol!$G$282)</f>
        <v/>
      </c>
      <c r="Y279" t="str">
        <f>IF([2]Baskol!$I$282="","",[2]Baskol!$I$282)</f>
        <v/>
      </c>
      <c r="Z279" t="str">
        <f>IF([2]Baskol!$J$282="","",[2]Baskol!$J$282)</f>
        <v/>
      </c>
      <c r="AA279" t="str">
        <f>IF([2]Baskol!$K$282="","",[2]Baskol!$K$282)</f>
        <v/>
      </c>
      <c r="AB279" t="str">
        <f>IF([2]Baskol!$L$282="","",[2]Baskol!$L$282)</f>
        <v/>
      </c>
      <c r="AC279" t="str">
        <f>IF([2]Baskol!$N$282="","",[2]Baskol!$N$282)</f>
        <v/>
      </c>
      <c r="AD279" t="str">
        <f>IF([2]Baskol!$O$282="","",[2]Baskol!$O$282)</f>
        <v/>
      </c>
      <c r="AE279" t="str">
        <f>IF([3]Entry!$C$282="","",[3]Entry!$C$282)</f>
        <v/>
      </c>
      <c r="AF279" t="str">
        <f>IF([3]Entry!$D$282="","",[3]Entry!$D$282)</f>
        <v/>
      </c>
      <c r="AG279" t="str">
        <f>IF([3]Entry!$E$282="","",[3]Entry!$E$282)</f>
        <v/>
      </c>
      <c r="AH279" t="str">
        <f>IF([3]Entry!$G$282="","",[3]Entry!$G$282)</f>
        <v/>
      </c>
      <c r="AI279" t="str">
        <f>IF([3]Entry!$K$282="","",[3]Entry!$K$282)</f>
        <v/>
      </c>
      <c r="AJ279" t="str">
        <f>IF([3]Entry!$L$282="","",[3]Entry!$L$282)</f>
        <v/>
      </c>
      <c r="AK279" t="str">
        <f>IF([3]Entry!$M$282="","",[3]Entry!$M$282)</f>
        <v/>
      </c>
      <c r="AL279" t="str">
        <f>IF([3]Entry!$N$282="","",[3]Entry!$N$282)</f>
        <v/>
      </c>
      <c r="AM279" t="str">
        <f>IF([3]Entry!$R$282="","",[3]Entry!$R$282)</f>
        <v/>
      </c>
    </row>
    <row r="280" spans="1:39" x14ac:dyDescent="0.2">
      <c r="A280" t="str">
        <f>IF([1]Accounts!$D$281="","",[1]Accounts!$A$281)</f>
        <v/>
      </c>
      <c r="B280" t="str">
        <f>IF([1]Accounts!$D$281="","",[1]Accounts!$B$281)</f>
        <v/>
      </c>
      <c r="C280" t="str">
        <f>IF([1]Accounts!$D$281="","",[1]Accounts!$C$281)</f>
        <v/>
      </c>
      <c r="D280" t="str">
        <f>IF([1]Accounts!$D$281="","",[1]Accounts!$D$281)</f>
        <v/>
      </c>
      <c r="E280" t="str">
        <f>IF([1]Accounts!$D$281="","",[1]Accounts!$E$281)</f>
        <v/>
      </c>
      <c r="F280" t="str">
        <f>IF([1]Accounts!$D$281="","",[1]Accounts!$F$281)</f>
        <v/>
      </c>
      <c r="G280" t="str">
        <f>IF([1]Accounts!$D$281="","",[1]Accounts!$G$281)</f>
        <v/>
      </c>
      <c r="T280" t="str">
        <f>IF([2]Baskol!$B$283="","",[2]Baskol!$B$283)</f>
        <v/>
      </c>
      <c r="U280" t="str">
        <f>IF([2]Baskol!$C$283="","",[2]Baskol!$C$283)</f>
        <v/>
      </c>
      <c r="V280" t="str">
        <f>IF([2]Baskol!$D$283="","",[2]Baskol!$D$283)</f>
        <v/>
      </c>
      <c r="W280" t="str">
        <f>IF([2]Baskol!$E$283="","",[2]Baskol!$E$283)</f>
        <v/>
      </c>
      <c r="X280" t="str">
        <f>IF([2]Baskol!$G$283="","",[2]Baskol!$G$283)</f>
        <v/>
      </c>
      <c r="Y280" t="str">
        <f>IF([2]Baskol!$I$283="","",[2]Baskol!$I$283)</f>
        <v/>
      </c>
      <c r="Z280" t="str">
        <f>IF([2]Baskol!$J$283="","",[2]Baskol!$J$283)</f>
        <v/>
      </c>
      <c r="AA280" t="str">
        <f>IF([2]Baskol!$K$283="","",[2]Baskol!$K$283)</f>
        <v/>
      </c>
      <c r="AB280" t="str">
        <f>IF([2]Baskol!$L$283="","",[2]Baskol!$L$283)</f>
        <v/>
      </c>
      <c r="AC280" t="str">
        <f>IF([2]Baskol!$N$283="","",[2]Baskol!$N$283)</f>
        <v/>
      </c>
      <c r="AD280" t="str">
        <f>IF([2]Baskol!$O$283="","",[2]Baskol!$O$283)</f>
        <v/>
      </c>
      <c r="AE280" t="str">
        <f>IF([3]Entry!$C$283="","",[3]Entry!$C$283)</f>
        <v/>
      </c>
      <c r="AF280" t="str">
        <f>IF([3]Entry!$D$283="","",[3]Entry!$D$283)</f>
        <v/>
      </c>
      <c r="AG280" t="str">
        <f>IF([3]Entry!$E$283="","",[3]Entry!$E$283)</f>
        <v/>
      </c>
      <c r="AH280" t="str">
        <f>IF([3]Entry!$G$283="","",[3]Entry!$G$283)</f>
        <v/>
      </c>
      <c r="AI280" t="str">
        <f>IF([3]Entry!$K$283="","",[3]Entry!$K$283)</f>
        <v/>
      </c>
      <c r="AJ280" t="str">
        <f>IF([3]Entry!$L$283="","",[3]Entry!$L$283)</f>
        <v/>
      </c>
      <c r="AK280" t="str">
        <f>IF([3]Entry!$M$283="","",[3]Entry!$M$283)</f>
        <v/>
      </c>
      <c r="AL280" t="str">
        <f>IF([3]Entry!$N$283="","",[3]Entry!$N$283)</f>
        <v/>
      </c>
      <c r="AM280" t="str">
        <f>IF([3]Entry!$R$283="","",[3]Entry!$R$283)</f>
        <v/>
      </c>
    </row>
    <row r="281" spans="1:39" x14ac:dyDescent="0.2">
      <c r="A281" t="str">
        <f>IF([1]Accounts!$D$282="","",[1]Accounts!$A$282)</f>
        <v/>
      </c>
      <c r="B281" t="str">
        <f>IF([1]Accounts!$D$282="","",[1]Accounts!$B$282)</f>
        <v/>
      </c>
      <c r="C281" t="str">
        <f>IF([1]Accounts!$D$282="","",[1]Accounts!$C$282)</f>
        <v/>
      </c>
      <c r="D281" t="str">
        <f>IF([1]Accounts!$D$282="","",[1]Accounts!$D$282)</f>
        <v/>
      </c>
      <c r="E281" t="str">
        <f>IF([1]Accounts!$D$282="","",[1]Accounts!$E$282)</f>
        <v/>
      </c>
      <c r="F281" t="str">
        <f>IF([1]Accounts!$D$282="","",[1]Accounts!$F$282)</f>
        <v/>
      </c>
      <c r="G281" t="str">
        <f>IF([1]Accounts!$D$282="","",[1]Accounts!$G$282)</f>
        <v/>
      </c>
      <c r="T281" t="str">
        <f>IF([2]Baskol!$B$284="","",[2]Baskol!$B$284)</f>
        <v/>
      </c>
      <c r="U281" t="str">
        <f>IF([2]Baskol!$C$284="","",[2]Baskol!$C$284)</f>
        <v/>
      </c>
      <c r="V281" t="str">
        <f>IF([2]Baskol!$D$284="","",[2]Baskol!$D$284)</f>
        <v/>
      </c>
      <c r="W281" t="str">
        <f>IF([2]Baskol!$E$284="","",[2]Baskol!$E$284)</f>
        <v/>
      </c>
      <c r="X281" t="str">
        <f>IF([2]Baskol!$G$284="","",[2]Baskol!$G$284)</f>
        <v/>
      </c>
      <c r="Y281" t="str">
        <f>IF([2]Baskol!$I$284="","",[2]Baskol!$I$284)</f>
        <v/>
      </c>
      <c r="Z281" t="str">
        <f>IF([2]Baskol!$J$284="","",[2]Baskol!$J$284)</f>
        <v/>
      </c>
      <c r="AA281" t="str">
        <f>IF([2]Baskol!$K$284="","",[2]Baskol!$K$284)</f>
        <v/>
      </c>
      <c r="AB281" t="str">
        <f>IF([2]Baskol!$L$284="","",[2]Baskol!$L$284)</f>
        <v/>
      </c>
      <c r="AC281" t="str">
        <f>IF([2]Baskol!$N$284="","",[2]Baskol!$N$284)</f>
        <v/>
      </c>
      <c r="AD281" t="str">
        <f>IF([2]Baskol!$O$284="","",[2]Baskol!$O$284)</f>
        <v/>
      </c>
      <c r="AE281" t="str">
        <f>IF([3]Entry!$C$284="","",[3]Entry!$C$284)</f>
        <v/>
      </c>
      <c r="AF281" t="str">
        <f>IF([3]Entry!$D$284="","",[3]Entry!$D$284)</f>
        <v/>
      </c>
      <c r="AG281" t="str">
        <f>IF([3]Entry!$E$284="","",[3]Entry!$E$284)</f>
        <v/>
      </c>
      <c r="AH281" t="str">
        <f>IF([3]Entry!$G$284="","",[3]Entry!$G$284)</f>
        <v/>
      </c>
      <c r="AI281" t="str">
        <f>IF([3]Entry!$K$284="","",[3]Entry!$K$284)</f>
        <v/>
      </c>
      <c r="AJ281" t="str">
        <f>IF([3]Entry!$L$284="","",[3]Entry!$L$284)</f>
        <v/>
      </c>
      <c r="AK281" t="str">
        <f>IF([3]Entry!$M$284="","",[3]Entry!$M$284)</f>
        <v/>
      </c>
      <c r="AL281" t="str">
        <f>IF([3]Entry!$N$284="","",[3]Entry!$N$284)</f>
        <v/>
      </c>
      <c r="AM281" t="str">
        <f>IF([3]Entry!$R$284="","",[3]Entry!$R$284)</f>
        <v/>
      </c>
    </row>
    <row r="282" spans="1:39" x14ac:dyDescent="0.2">
      <c r="A282" t="str">
        <f>IF([1]Accounts!$D$283="","",[1]Accounts!$A$283)</f>
        <v/>
      </c>
      <c r="B282" t="str">
        <f>IF([1]Accounts!$D$283="","",[1]Accounts!$B$283)</f>
        <v/>
      </c>
      <c r="C282" t="str">
        <f>IF([1]Accounts!$D$283="","",[1]Accounts!$C$283)</f>
        <v/>
      </c>
      <c r="D282" t="str">
        <f>IF([1]Accounts!$D$283="","",[1]Accounts!$D$283)</f>
        <v/>
      </c>
      <c r="E282" t="str">
        <f>IF([1]Accounts!$D$283="","",[1]Accounts!$E$283)</f>
        <v/>
      </c>
      <c r="F282" t="str">
        <f>IF([1]Accounts!$D$283="","",[1]Accounts!$F$283)</f>
        <v/>
      </c>
      <c r="G282" t="str">
        <f>IF([1]Accounts!$D$283="","",[1]Accounts!$G$283)</f>
        <v/>
      </c>
      <c r="T282" t="str">
        <f>IF([2]Baskol!$B$285="","",[2]Baskol!$B$285)</f>
        <v/>
      </c>
      <c r="U282" t="str">
        <f>IF([2]Baskol!$C$285="","",[2]Baskol!$C$285)</f>
        <v/>
      </c>
      <c r="V282" t="str">
        <f>IF([2]Baskol!$D$285="","",[2]Baskol!$D$285)</f>
        <v/>
      </c>
      <c r="W282" t="str">
        <f>IF([2]Baskol!$E$285="","",[2]Baskol!$E$285)</f>
        <v/>
      </c>
      <c r="X282" t="str">
        <f>IF([2]Baskol!$G$285="","",[2]Baskol!$G$285)</f>
        <v/>
      </c>
      <c r="Y282" t="str">
        <f>IF([2]Baskol!$I$285="","",[2]Baskol!$I$285)</f>
        <v/>
      </c>
      <c r="Z282" t="str">
        <f>IF([2]Baskol!$J$285="","",[2]Baskol!$J$285)</f>
        <v/>
      </c>
      <c r="AA282" t="str">
        <f>IF([2]Baskol!$K$285="","",[2]Baskol!$K$285)</f>
        <v/>
      </c>
      <c r="AB282" t="str">
        <f>IF([2]Baskol!$L$285="","",[2]Baskol!$L$285)</f>
        <v/>
      </c>
      <c r="AC282" t="str">
        <f>IF([2]Baskol!$N$285="","",[2]Baskol!$N$285)</f>
        <v/>
      </c>
      <c r="AD282" t="str">
        <f>IF([2]Baskol!$O$285="","",[2]Baskol!$O$285)</f>
        <v/>
      </c>
      <c r="AE282" t="str">
        <f>IF([3]Entry!$C$285="","",[3]Entry!$C$285)</f>
        <v/>
      </c>
      <c r="AF282" t="str">
        <f>IF([3]Entry!$D$285="","",[3]Entry!$D$285)</f>
        <v/>
      </c>
      <c r="AG282" t="str">
        <f>IF([3]Entry!$E$285="","",[3]Entry!$E$285)</f>
        <v/>
      </c>
      <c r="AH282" t="str">
        <f>IF([3]Entry!$G$285="","",[3]Entry!$G$285)</f>
        <v/>
      </c>
      <c r="AI282" t="str">
        <f>IF([3]Entry!$K$285="","",[3]Entry!$K$285)</f>
        <v/>
      </c>
      <c r="AJ282" t="str">
        <f>IF([3]Entry!$L$285="","",[3]Entry!$L$285)</f>
        <v/>
      </c>
      <c r="AK282" t="str">
        <f>IF([3]Entry!$M$285="","",[3]Entry!$M$285)</f>
        <v/>
      </c>
      <c r="AL282" t="str">
        <f>IF([3]Entry!$N$285="","",[3]Entry!$N$285)</f>
        <v/>
      </c>
      <c r="AM282" t="str">
        <f>IF([3]Entry!$R$285="","",[3]Entry!$R$285)</f>
        <v/>
      </c>
    </row>
    <row r="283" spans="1:39" x14ac:dyDescent="0.2">
      <c r="A283" t="str">
        <f>IF([1]Accounts!$D$284="","",[1]Accounts!$A$284)</f>
        <v/>
      </c>
      <c r="B283" t="str">
        <f>IF([1]Accounts!$D$284="","",[1]Accounts!$B$284)</f>
        <v/>
      </c>
      <c r="C283" t="str">
        <f>IF([1]Accounts!$D$284="","",[1]Accounts!$C$284)</f>
        <v/>
      </c>
      <c r="D283" t="str">
        <f>IF([1]Accounts!$D$284="","",[1]Accounts!$D$284)</f>
        <v/>
      </c>
      <c r="E283" t="str">
        <f>IF([1]Accounts!$D$284="","",[1]Accounts!$E$284)</f>
        <v/>
      </c>
      <c r="F283" t="str">
        <f>IF([1]Accounts!$D$284="","",[1]Accounts!$F$284)</f>
        <v/>
      </c>
      <c r="G283" t="str">
        <f>IF([1]Accounts!$D$284="","",[1]Accounts!$G$284)</f>
        <v/>
      </c>
      <c r="T283" t="str">
        <f>IF([2]Baskol!$B$286="","",[2]Baskol!$B$286)</f>
        <v/>
      </c>
      <c r="U283" t="str">
        <f>IF([2]Baskol!$C$286="","",[2]Baskol!$C$286)</f>
        <v/>
      </c>
      <c r="V283" t="str">
        <f>IF([2]Baskol!$D$286="","",[2]Baskol!$D$286)</f>
        <v/>
      </c>
      <c r="W283" t="str">
        <f>IF([2]Baskol!$E$286="","",[2]Baskol!$E$286)</f>
        <v/>
      </c>
      <c r="X283" t="str">
        <f>IF([2]Baskol!$G$286="","",[2]Baskol!$G$286)</f>
        <v/>
      </c>
      <c r="Y283" t="str">
        <f>IF([2]Baskol!$I$286="","",[2]Baskol!$I$286)</f>
        <v/>
      </c>
      <c r="Z283" t="str">
        <f>IF([2]Baskol!$J$286="","",[2]Baskol!$J$286)</f>
        <v/>
      </c>
      <c r="AA283" t="str">
        <f>IF([2]Baskol!$K$286="","",[2]Baskol!$K$286)</f>
        <v/>
      </c>
      <c r="AB283" t="str">
        <f>IF([2]Baskol!$L$286="","",[2]Baskol!$L$286)</f>
        <v/>
      </c>
      <c r="AC283" t="str">
        <f>IF([2]Baskol!$N$286="","",[2]Baskol!$N$286)</f>
        <v/>
      </c>
      <c r="AD283" t="str">
        <f>IF([2]Baskol!$O$286="","",[2]Baskol!$O$286)</f>
        <v/>
      </c>
      <c r="AE283" t="str">
        <f>IF([3]Entry!$C$286="","",[3]Entry!$C$286)</f>
        <v/>
      </c>
      <c r="AF283" t="str">
        <f>IF([3]Entry!$D$286="","",[3]Entry!$D$286)</f>
        <v/>
      </c>
      <c r="AG283" t="str">
        <f>IF([3]Entry!$E$286="","",[3]Entry!$E$286)</f>
        <v/>
      </c>
      <c r="AH283" t="str">
        <f>IF([3]Entry!$G$286="","",[3]Entry!$G$286)</f>
        <v/>
      </c>
      <c r="AI283" t="str">
        <f>IF([3]Entry!$K$286="","",[3]Entry!$K$286)</f>
        <v/>
      </c>
      <c r="AJ283" t="str">
        <f>IF([3]Entry!$L$286="","",[3]Entry!$L$286)</f>
        <v/>
      </c>
      <c r="AK283" t="str">
        <f>IF([3]Entry!$M$286="","",[3]Entry!$M$286)</f>
        <v/>
      </c>
      <c r="AL283" t="str">
        <f>IF([3]Entry!$N$286="","",[3]Entry!$N$286)</f>
        <v/>
      </c>
      <c r="AM283" t="str">
        <f>IF([3]Entry!$R$286="","",[3]Entry!$R$286)</f>
        <v/>
      </c>
    </row>
    <row r="284" spans="1:39" x14ac:dyDescent="0.2">
      <c r="A284" t="str">
        <f>IF([1]Accounts!$D$285="","",[1]Accounts!$A$285)</f>
        <v/>
      </c>
      <c r="B284" t="str">
        <f>IF([1]Accounts!$D$285="","",[1]Accounts!$B$285)</f>
        <v/>
      </c>
      <c r="C284" t="str">
        <f>IF([1]Accounts!$D$285="","",[1]Accounts!$C$285)</f>
        <v/>
      </c>
      <c r="D284" t="str">
        <f>IF([1]Accounts!$D$285="","",[1]Accounts!$D$285)</f>
        <v/>
      </c>
      <c r="E284" t="str">
        <f>IF([1]Accounts!$D$285="","",[1]Accounts!$E$285)</f>
        <v/>
      </c>
      <c r="F284" t="str">
        <f>IF([1]Accounts!$D$285="","",[1]Accounts!$F$285)</f>
        <v/>
      </c>
      <c r="G284" t="str">
        <f>IF([1]Accounts!$D$285="","",[1]Accounts!$G$285)</f>
        <v/>
      </c>
      <c r="T284" t="str">
        <f>IF([2]Baskol!$B$287="","",[2]Baskol!$B$287)</f>
        <v/>
      </c>
      <c r="U284" t="str">
        <f>IF([2]Baskol!$C$287="","",[2]Baskol!$C$287)</f>
        <v/>
      </c>
      <c r="V284" t="str">
        <f>IF([2]Baskol!$D$287="","",[2]Baskol!$D$287)</f>
        <v/>
      </c>
      <c r="W284" t="str">
        <f>IF([2]Baskol!$E$287="","",[2]Baskol!$E$287)</f>
        <v/>
      </c>
      <c r="X284" t="str">
        <f>IF([2]Baskol!$G$287="","",[2]Baskol!$G$287)</f>
        <v/>
      </c>
      <c r="Y284" t="str">
        <f>IF([2]Baskol!$I$287="","",[2]Baskol!$I$287)</f>
        <v/>
      </c>
      <c r="Z284" t="str">
        <f>IF([2]Baskol!$J$287="","",[2]Baskol!$J$287)</f>
        <v/>
      </c>
      <c r="AA284" t="str">
        <f>IF([2]Baskol!$K$287="","",[2]Baskol!$K$287)</f>
        <v/>
      </c>
      <c r="AB284" t="str">
        <f>IF([2]Baskol!$L$287="","",[2]Baskol!$L$287)</f>
        <v/>
      </c>
      <c r="AC284" t="str">
        <f>IF([2]Baskol!$N$287="","",[2]Baskol!$N$287)</f>
        <v/>
      </c>
      <c r="AD284" t="str">
        <f>IF([2]Baskol!$O$287="","",[2]Baskol!$O$287)</f>
        <v/>
      </c>
      <c r="AE284" t="str">
        <f>IF([3]Entry!$C$287="","",[3]Entry!$C$287)</f>
        <v/>
      </c>
      <c r="AF284" t="str">
        <f>IF([3]Entry!$D$287="","",[3]Entry!$D$287)</f>
        <v/>
      </c>
      <c r="AG284" t="str">
        <f>IF([3]Entry!$E$287="","",[3]Entry!$E$287)</f>
        <v/>
      </c>
      <c r="AH284" t="str">
        <f>IF([3]Entry!$G$287="","",[3]Entry!$G$287)</f>
        <v/>
      </c>
      <c r="AI284" t="str">
        <f>IF([3]Entry!$K$287="","",[3]Entry!$K$287)</f>
        <v/>
      </c>
      <c r="AJ284" t="str">
        <f>IF([3]Entry!$L$287="","",[3]Entry!$L$287)</f>
        <v/>
      </c>
      <c r="AK284" t="str">
        <f>IF([3]Entry!$M$287="","",[3]Entry!$M$287)</f>
        <v/>
      </c>
      <c r="AL284" t="str">
        <f>IF([3]Entry!$N$287="","",[3]Entry!$N$287)</f>
        <v/>
      </c>
      <c r="AM284" t="str">
        <f>IF([3]Entry!$R$287="","",[3]Entry!$R$287)</f>
        <v/>
      </c>
    </row>
    <row r="285" spans="1:39" x14ac:dyDescent="0.2">
      <c r="A285" t="str">
        <f>IF([1]Accounts!$D$286="","",[1]Accounts!$A$286)</f>
        <v/>
      </c>
      <c r="B285" t="str">
        <f>IF([1]Accounts!$D$286="","",[1]Accounts!$B$286)</f>
        <v/>
      </c>
      <c r="C285" t="str">
        <f>IF([1]Accounts!$D$286="","",[1]Accounts!$C$286)</f>
        <v/>
      </c>
      <c r="D285" t="str">
        <f>IF([1]Accounts!$D$286="","",[1]Accounts!$D$286)</f>
        <v/>
      </c>
      <c r="E285" t="str">
        <f>IF([1]Accounts!$D$286="","",[1]Accounts!$E$286)</f>
        <v/>
      </c>
      <c r="F285" t="str">
        <f>IF([1]Accounts!$D$286="","",[1]Accounts!$F$286)</f>
        <v/>
      </c>
      <c r="G285" t="str">
        <f>IF([1]Accounts!$D$286="","",[1]Accounts!$G$286)</f>
        <v/>
      </c>
      <c r="T285" t="str">
        <f>IF([2]Baskol!$B$288="","",[2]Baskol!$B$288)</f>
        <v/>
      </c>
      <c r="U285" t="str">
        <f>IF([2]Baskol!$C$288="","",[2]Baskol!$C$288)</f>
        <v/>
      </c>
      <c r="V285" t="str">
        <f>IF([2]Baskol!$D$288="","",[2]Baskol!$D$288)</f>
        <v/>
      </c>
      <c r="W285" t="str">
        <f>IF([2]Baskol!$E$288="","",[2]Baskol!$E$288)</f>
        <v/>
      </c>
      <c r="X285" t="str">
        <f>IF([2]Baskol!$G$288="","",[2]Baskol!$G$288)</f>
        <v/>
      </c>
      <c r="Y285" t="str">
        <f>IF([2]Baskol!$I$288="","",[2]Baskol!$I$288)</f>
        <v/>
      </c>
      <c r="Z285" t="str">
        <f>IF([2]Baskol!$J$288="","",[2]Baskol!$J$288)</f>
        <v/>
      </c>
      <c r="AA285" t="str">
        <f>IF([2]Baskol!$K$288="","",[2]Baskol!$K$288)</f>
        <v/>
      </c>
      <c r="AB285" t="str">
        <f>IF([2]Baskol!$L$288="","",[2]Baskol!$L$288)</f>
        <v/>
      </c>
      <c r="AC285" t="str">
        <f>IF([2]Baskol!$N$288="","",[2]Baskol!$N$288)</f>
        <v/>
      </c>
      <c r="AD285" t="str">
        <f>IF([2]Baskol!$O$288="","",[2]Baskol!$O$288)</f>
        <v/>
      </c>
      <c r="AE285" t="str">
        <f>IF([3]Entry!$C$288="","",[3]Entry!$C$288)</f>
        <v/>
      </c>
      <c r="AF285" t="str">
        <f>IF([3]Entry!$D$288="","",[3]Entry!$D$288)</f>
        <v/>
      </c>
      <c r="AG285" t="str">
        <f>IF([3]Entry!$E$288="","",[3]Entry!$E$288)</f>
        <v/>
      </c>
      <c r="AH285" t="str">
        <f>IF([3]Entry!$G$288="","",[3]Entry!$G$288)</f>
        <v/>
      </c>
      <c r="AI285" t="str">
        <f>IF([3]Entry!$K$288="","",[3]Entry!$K$288)</f>
        <v/>
      </c>
      <c r="AJ285" t="str">
        <f>IF([3]Entry!$L$288="","",[3]Entry!$L$288)</f>
        <v/>
      </c>
      <c r="AK285" t="str">
        <f>IF([3]Entry!$M$288="","",[3]Entry!$M$288)</f>
        <v/>
      </c>
      <c r="AL285" t="str">
        <f>IF([3]Entry!$N$288="","",[3]Entry!$N$288)</f>
        <v/>
      </c>
      <c r="AM285" t="str">
        <f>IF([3]Entry!$R$288="","",[3]Entry!$R$288)</f>
        <v/>
      </c>
    </row>
    <row r="286" spans="1:39" x14ac:dyDescent="0.2">
      <c r="A286" t="str">
        <f>IF([1]Accounts!$D$287="","",[1]Accounts!$A$287)</f>
        <v/>
      </c>
      <c r="B286" t="str">
        <f>IF([1]Accounts!$D$287="","",[1]Accounts!$B$287)</f>
        <v/>
      </c>
      <c r="C286" t="str">
        <f>IF([1]Accounts!$D$287="","",[1]Accounts!$C$287)</f>
        <v/>
      </c>
      <c r="D286" t="str">
        <f>IF([1]Accounts!$D$287="","",[1]Accounts!$D$287)</f>
        <v/>
      </c>
      <c r="E286" t="str">
        <f>IF([1]Accounts!$D$287="","",[1]Accounts!$E$287)</f>
        <v/>
      </c>
      <c r="F286" t="str">
        <f>IF([1]Accounts!$D$287="","",[1]Accounts!$F$287)</f>
        <v/>
      </c>
      <c r="G286" t="str">
        <f>IF([1]Accounts!$D$287="","",[1]Accounts!$G$287)</f>
        <v/>
      </c>
      <c r="T286" t="str">
        <f>IF([2]Baskol!$B$289="","",[2]Baskol!$B$289)</f>
        <v/>
      </c>
      <c r="U286" t="str">
        <f>IF([2]Baskol!$C$289="","",[2]Baskol!$C$289)</f>
        <v/>
      </c>
      <c r="V286" t="str">
        <f>IF([2]Baskol!$D$289="","",[2]Baskol!$D$289)</f>
        <v/>
      </c>
      <c r="W286" t="str">
        <f>IF([2]Baskol!$E$289="","",[2]Baskol!$E$289)</f>
        <v/>
      </c>
      <c r="X286" t="str">
        <f>IF([2]Baskol!$G$289="","",[2]Baskol!$G$289)</f>
        <v/>
      </c>
      <c r="Y286" t="str">
        <f>IF([2]Baskol!$I$289="","",[2]Baskol!$I$289)</f>
        <v/>
      </c>
      <c r="Z286" t="str">
        <f>IF([2]Baskol!$J$289="","",[2]Baskol!$J$289)</f>
        <v/>
      </c>
      <c r="AA286" t="str">
        <f>IF([2]Baskol!$K$289="","",[2]Baskol!$K$289)</f>
        <v/>
      </c>
      <c r="AB286" t="str">
        <f>IF([2]Baskol!$L$289="","",[2]Baskol!$L$289)</f>
        <v/>
      </c>
      <c r="AC286" t="str">
        <f>IF([2]Baskol!$N$289="","",[2]Baskol!$N$289)</f>
        <v/>
      </c>
      <c r="AD286" t="str">
        <f>IF([2]Baskol!$O$289="","",[2]Baskol!$O$289)</f>
        <v/>
      </c>
      <c r="AE286" t="str">
        <f>IF([3]Entry!$C$289="","",[3]Entry!$C$289)</f>
        <v/>
      </c>
      <c r="AF286" t="str">
        <f>IF([3]Entry!$D$289="","",[3]Entry!$D$289)</f>
        <v/>
      </c>
      <c r="AG286" t="str">
        <f>IF([3]Entry!$E$289="","",[3]Entry!$E$289)</f>
        <v/>
      </c>
      <c r="AH286" t="str">
        <f>IF([3]Entry!$G$289="","",[3]Entry!$G$289)</f>
        <v/>
      </c>
      <c r="AI286" t="str">
        <f>IF([3]Entry!$K$289="","",[3]Entry!$K$289)</f>
        <v/>
      </c>
      <c r="AJ286" t="str">
        <f>IF([3]Entry!$L$289="","",[3]Entry!$L$289)</f>
        <v/>
      </c>
      <c r="AK286" t="str">
        <f>IF([3]Entry!$M$289="","",[3]Entry!$M$289)</f>
        <v/>
      </c>
      <c r="AL286" t="str">
        <f>IF([3]Entry!$N$289="","",[3]Entry!$N$289)</f>
        <v/>
      </c>
      <c r="AM286" t="str">
        <f>IF([3]Entry!$R$289="","",[3]Entry!$R$289)</f>
        <v/>
      </c>
    </row>
    <row r="287" spans="1:39" x14ac:dyDescent="0.2">
      <c r="A287" t="str">
        <f>IF([1]Accounts!$D$288="","",[1]Accounts!$A$288)</f>
        <v/>
      </c>
      <c r="B287" t="str">
        <f>IF([1]Accounts!$D$288="","",[1]Accounts!$B$288)</f>
        <v/>
      </c>
      <c r="C287" t="str">
        <f>IF([1]Accounts!$D$288="","",[1]Accounts!$C$288)</f>
        <v/>
      </c>
      <c r="D287" t="str">
        <f>IF([1]Accounts!$D$288="","",[1]Accounts!$D$288)</f>
        <v/>
      </c>
      <c r="E287" t="str">
        <f>IF([1]Accounts!$D$288="","",[1]Accounts!$E$288)</f>
        <v/>
      </c>
      <c r="F287" t="str">
        <f>IF([1]Accounts!$D$288="","",[1]Accounts!$F$288)</f>
        <v/>
      </c>
      <c r="G287" t="str">
        <f>IF([1]Accounts!$D$288="","",[1]Accounts!$G$288)</f>
        <v/>
      </c>
      <c r="T287" t="str">
        <f>IF([2]Baskol!$B$290="","",[2]Baskol!$B$290)</f>
        <v/>
      </c>
      <c r="U287" t="str">
        <f>IF([2]Baskol!$C$290="","",[2]Baskol!$C$290)</f>
        <v/>
      </c>
      <c r="V287" t="str">
        <f>IF([2]Baskol!$D$290="","",[2]Baskol!$D$290)</f>
        <v/>
      </c>
      <c r="W287" t="str">
        <f>IF([2]Baskol!$E$290="","",[2]Baskol!$E$290)</f>
        <v/>
      </c>
      <c r="X287" t="str">
        <f>IF([2]Baskol!$G$290="","",[2]Baskol!$G$290)</f>
        <v/>
      </c>
      <c r="Y287" t="str">
        <f>IF([2]Baskol!$I$290="","",[2]Baskol!$I$290)</f>
        <v/>
      </c>
      <c r="Z287" t="str">
        <f>IF([2]Baskol!$J$290="","",[2]Baskol!$J$290)</f>
        <v/>
      </c>
      <c r="AA287" t="str">
        <f>IF([2]Baskol!$K$290="","",[2]Baskol!$K$290)</f>
        <v/>
      </c>
      <c r="AB287" t="str">
        <f>IF([2]Baskol!$L$290="","",[2]Baskol!$L$290)</f>
        <v/>
      </c>
      <c r="AC287" t="str">
        <f>IF([2]Baskol!$N$290="","",[2]Baskol!$N$290)</f>
        <v/>
      </c>
      <c r="AD287" t="str">
        <f>IF([2]Baskol!$O$290="","",[2]Baskol!$O$290)</f>
        <v/>
      </c>
      <c r="AE287" t="str">
        <f>IF([3]Entry!$C$290="","",[3]Entry!$C$290)</f>
        <v/>
      </c>
      <c r="AF287" t="str">
        <f>IF([3]Entry!$D$290="","",[3]Entry!$D$290)</f>
        <v/>
      </c>
      <c r="AG287" t="str">
        <f>IF([3]Entry!$E$290="","",[3]Entry!$E$290)</f>
        <v/>
      </c>
      <c r="AH287" t="str">
        <f>IF([3]Entry!$G$290="","",[3]Entry!$G$290)</f>
        <v/>
      </c>
      <c r="AI287" t="str">
        <f>IF([3]Entry!$K$290="","",[3]Entry!$K$290)</f>
        <v/>
      </c>
      <c r="AJ287" t="str">
        <f>IF([3]Entry!$L$290="","",[3]Entry!$L$290)</f>
        <v/>
      </c>
      <c r="AK287" t="str">
        <f>IF([3]Entry!$M$290="","",[3]Entry!$M$290)</f>
        <v/>
      </c>
      <c r="AL287" t="str">
        <f>IF([3]Entry!$N$290="","",[3]Entry!$N$290)</f>
        <v/>
      </c>
      <c r="AM287" t="str">
        <f>IF([3]Entry!$R$290="","",[3]Entry!$R$290)</f>
        <v/>
      </c>
    </row>
    <row r="288" spans="1:39" x14ac:dyDescent="0.2">
      <c r="A288" t="str">
        <f>IF([1]Accounts!$D$289="","",[1]Accounts!$A$289)</f>
        <v/>
      </c>
      <c r="B288" t="str">
        <f>IF([1]Accounts!$D$289="","",[1]Accounts!$B$289)</f>
        <v/>
      </c>
      <c r="C288" t="str">
        <f>IF([1]Accounts!$D$289="","",[1]Accounts!$C$289)</f>
        <v/>
      </c>
      <c r="D288" t="str">
        <f>IF([1]Accounts!$D$289="","",[1]Accounts!$D$289)</f>
        <v/>
      </c>
      <c r="E288" t="str">
        <f>IF([1]Accounts!$D$289="","",[1]Accounts!$E$289)</f>
        <v/>
      </c>
      <c r="F288" t="str">
        <f>IF([1]Accounts!$D$289="","",[1]Accounts!$F$289)</f>
        <v/>
      </c>
      <c r="G288" t="str">
        <f>IF([1]Accounts!$D$289="","",[1]Accounts!$G$289)</f>
        <v/>
      </c>
      <c r="T288" t="str">
        <f>IF([2]Baskol!$B$291="","",[2]Baskol!$B$291)</f>
        <v/>
      </c>
      <c r="U288" t="str">
        <f>IF([2]Baskol!$C$291="","",[2]Baskol!$C$291)</f>
        <v/>
      </c>
      <c r="V288" t="str">
        <f>IF([2]Baskol!$D$291="","",[2]Baskol!$D$291)</f>
        <v/>
      </c>
      <c r="W288" t="str">
        <f>IF([2]Baskol!$E$291="","",[2]Baskol!$E$291)</f>
        <v/>
      </c>
      <c r="X288" t="str">
        <f>IF([2]Baskol!$G$291="","",[2]Baskol!$G$291)</f>
        <v/>
      </c>
      <c r="Y288" t="str">
        <f>IF([2]Baskol!$I$291="","",[2]Baskol!$I$291)</f>
        <v/>
      </c>
      <c r="Z288" t="str">
        <f>IF([2]Baskol!$J$291="","",[2]Baskol!$J$291)</f>
        <v/>
      </c>
      <c r="AA288" t="str">
        <f>IF([2]Baskol!$K$291="","",[2]Baskol!$K$291)</f>
        <v/>
      </c>
      <c r="AB288" t="str">
        <f>IF([2]Baskol!$L$291="","",[2]Baskol!$L$291)</f>
        <v/>
      </c>
      <c r="AC288" t="str">
        <f>IF([2]Baskol!$N$291="","",[2]Baskol!$N$291)</f>
        <v/>
      </c>
      <c r="AD288" t="str">
        <f>IF([2]Baskol!$O$291="","",[2]Baskol!$O$291)</f>
        <v/>
      </c>
      <c r="AE288" t="str">
        <f>IF([3]Entry!$C$291="","",[3]Entry!$C$291)</f>
        <v/>
      </c>
      <c r="AF288" t="str">
        <f>IF([3]Entry!$D$291="","",[3]Entry!$D$291)</f>
        <v/>
      </c>
      <c r="AG288" t="str">
        <f>IF([3]Entry!$E$291="","",[3]Entry!$E$291)</f>
        <v/>
      </c>
      <c r="AH288" t="str">
        <f>IF([3]Entry!$G$291="","",[3]Entry!$G$291)</f>
        <v/>
      </c>
      <c r="AI288" t="str">
        <f>IF([3]Entry!$K$291="","",[3]Entry!$K$291)</f>
        <v/>
      </c>
      <c r="AJ288" t="str">
        <f>IF([3]Entry!$L$291="","",[3]Entry!$L$291)</f>
        <v/>
      </c>
      <c r="AK288" t="str">
        <f>IF([3]Entry!$M$291="","",[3]Entry!$M$291)</f>
        <v/>
      </c>
      <c r="AL288" t="str">
        <f>IF([3]Entry!$N$291="","",[3]Entry!$N$291)</f>
        <v/>
      </c>
      <c r="AM288" t="str">
        <f>IF([3]Entry!$R$291="","",[3]Entry!$R$291)</f>
        <v/>
      </c>
    </row>
    <row r="289" spans="1:39" x14ac:dyDescent="0.2">
      <c r="A289" t="str">
        <f>IF([1]Accounts!$D$290="","",[1]Accounts!$A$290)</f>
        <v/>
      </c>
      <c r="B289" t="str">
        <f>IF([1]Accounts!$D$290="","",[1]Accounts!$B$290)</f>
        <v/>
      </c>
      <c r="C289" t="str">
        <f>IF([1]Accounts!$D$290="","",[1]Accounts!$C$290)</f>
        <v/>
      </c>
      <c r="D289" t="str">
        <f>IF([1]Accounts!$D$290="","",[1]Accounts!$D$290)</f>
        <v/>
      </c>
      <c r="E289" t="str">
        <f>IF([1]Accounts!$D$290="","",[1]Accounts!$E$290)</f>
        <v/>
      </c>
      <c r="F289" t="str">
        <f>IF([1]Accounts!$D$290="","",[1]Accounts!$F$290)</f>
        <v/>
      </c>
      <c r="G289" t="str">
        <f>IF([1]Accounts!$D$290="","",[1]Accounts!$G$290)</f>
        <v/>
      </c>
      <c r="T289" t="str">
        <f>IF([2]Baskol!$B$292="","",[2]Baskol!$B$292)</f>
        <v/>
      </c>
      <c r="U289" t="str">
        <f>IF([2]Baskol!$C$292="","",[2]Baskol!$C$292)</f>
        <v/>
      </c>
      <c r="V289" t="str">
        <f>IF([2]Baskol!$D$292="","",[2]Baskol!$D$292)</f>
        <v/>
      </c>
      <c r="W289" t="str">
        <f>IF([2]Baskol!$E$292="","",[2]Baskol!$E$292)</f>
        <v/>
      </c>
      <c r="X289" t="str">
        <f>IF([2]Baskol!$G$292="","",[2]Baskol!$G$292)</f>
        <v/>
      </c>
      <c r="Y289" t="str">
        <f>IF([2]Baskol!$I$292="","",[2]Baskol!$I$292)</f>
        <v/>
      </c>
      <c r="Z289" t="str">
        <f>IF([2]Baskol!$J$292="","",[2]Baskol!$J$292)</f>
        <v/>
      </c>
      <c r="AA289" t="str">
        <f>IF([2]Baskol!$K$292="","",[2]Baskol!$K$292)</f>
        <v/>
      </c>
      <c r="AB289" t="str">
        <f>IF([2]Baskol!$L$292="","",[2]Baskol!$L$292)</f>
        <v/>
      </c>
      <c r="AC289" t="str">
        <f>IF([2]Baskol!$N$292="","",[2]Baskol!$N$292)</f>
        <v/>
      </c>
      <c r="AD289" t="str">
        <f>IF([2]Baskol!$O$292="","",[2]Baskol!$O$292)</f>
        <v/>
      </c>
      <c r="AE289" t="str">
        <f>IF([3]Entry!$C$292="","",[3]Entry!$C$292)</f>
        <v/>
      </c>
      <c r="AF289" t="str">
        <f>IF([3]Entry!$D$292="","",[3]Entry!$D$292)</f>
        <v/>
      </c>
      <c r="AG289" t="str">
        <f>IF([3]Entry!$E$292="","",[3]Entry!$E$292)</f>
        <v/>
      </c>
      <c r="AH289" t="str">
        <f>IF([3]Entry!$G$292="","",[3]Entry!$G$292)</f>
        <v/>
      </c>
      <c r="AI289" t="str">
        <f>IF([3]Entry!$K$292="","",[3]Entry!$K$292)</f>
        <v/>
      </c>
      <c r="AJ289" t="str">
        <f>IF([3]Entry!$L$292="","",[3]Entry!$L$292)</f>
        <v/>
      </c>
      <c r="AK289" t="str">
        <f>IF([3]Entry!$M$292="","",[3]Entry!$M$292)</f>
        <v/>
      </c>
      <c r="AL289" t="str">
        <f>IF([3]Entry!$N$292="","",[3]Entry!$N$292)</f>
        <v/>
      </c>
      <c r="AM289" t="str">
        <f>IF([3]Entry!$R$292="","",[3]Entry!$R$292)</f>
        <v/>
      </c>
    </row>
    <row r="290" spans="1:39" x14ac:dyDescent="0.2">
      <c r="A290" t="str">
        <f>IF([1]Accounts!$D$291="","",[1]Accounts!$A$291)</f>
        <v/>
      </c>
      <c r="B290" t="str">
        <f>IF([1]Accounts!$D$291="","",[1]Accounts!$B$291)</f>
        <v/>
      </c>
      <c r="C290" t="str">
        <f>IF([1]Accounts!$D$291="","",[1]Accounts!$C$291)</f>
        <v/>
      </c>
      <c r="D290" t="str">
        <f>IF([1]Accounts!$D$291="","",[1]Accounts!$D$291)</f>
        <v/>
      </c>
      <c r="E290" t="str">
        <f>IF([1]Accounts!$D$291="","",[1]Accounts!$E$291)</f>
        <v/>
      </c>
      <c r="F290" t="str">
        <f>IF([1]Accounts!$D$291="","",[1]Accounts!$F$291)</f>
        <v/>
      </c>
      <c r="G290" t="str">
        <f>IF([1]Accounts!$D$291="","",[1]Accounts!$G$291)</f>
        <v/>
      </c>
      <c r="T290" t="str">
        <f>IF([2]Baskol!$B$293="","",[2]Baskol!$B$293)</f>
        <v/>
      </c>
      <c r="U290" t="str">
        <f>IF([2]Baskol!$C$293="","",[2]Baskol!$C$293)</f>
        <v/>
      </c>
      <c r="V290" t="str">
        <f>IF([2]Baskol!$D$293="","",[2]Baskol!$D$293)</f>
        <v/>
      </c>
      <c r="W290" t="str">
        <f>IF([2]Baskol!$E$293="","",[2]Baskol!$E$293)</f>
        <v/>
      </c>
      <c r="X290" t="str">
        <f>IF([2]Baskol!$G$293="","",[2]Baskol!$G$293)</f>
        <v/>
      </c>
      <c r="Y290" t="str">
        <f>IF([2]Baskol!$I$293="","",[2]Baskol!$I$293)</f>
        <v/>
      </c>
      <c r="Z290" t="str">
        <f>IF([2]Baskol!$J$293="","",[2]Baskol!$J$293)</f>
        <v/>
      </c>
      <c r="AA290" t="str">
        <f>IF([2]Baskol!$K$293="","",[2]Baskol!$K$293)</f>
        <v/>
      </c>
      <c r="AB290" t="str">
        <f>IF([2]Baskol!$L$293="","",[2]Baskol!$L$293)</f>
        <v/>
      </c>
      <c r="AC290" t="str">
        <f>IF([2]Baskol!$N$293="","",[2]Baskol!$N$293)</f>
        <v/>
      </c>
      <c r="AD290" t="str">
        <f>IF([2]Baskol!$O$293="","",[2]Baskol!$O$293)</f>
        <v/>
      </c>
      <c r="AE290" t="str">
        <f>IF([3]Entry!$C$293="","",[3]Entry!$C$293)</f>
        <v/>
      </c>
      <c r="AF290" t="str">
        <f>IF([3]Entry!$D$293="","",[3]Entry!$D$293)</f>
        <v/>
      </c>
      <c r="AG290" t="str">
        <f>IF([3]Entry!$E$293="","",[3]Entry!$E$293)</f>
        <v/>
      </c>
      <c r="AH290" t="str">
        <f>IF([3]Entry!$G$293="","",[3]Entry!$G$293)</f>
        <v/>
      </c>
      <c r="AI290" t="str">
        <f>IF([3]Entry!$K$293="","",[3]Entry!$K$293)</f>
        <v/>
      </c>
      <c r="AJ290" t="str">
        <f>IF([3]Entry!$L$293="","",[3]Entry!$L$293)</f>
        <v/>
      </c>
      <c r="AK290" t="str">
        <f>IF([3]Entry!$M$293="","",[3]Entry!$M$293)</f>
        <v/>
      </c>
      <c r="AL290" t="str">
        <f>IF([3]Entry!$N$293="","",[3]Entry!$N$293)</f>
        <v/>
      </c>
      <c r="AM290" t="str">
        <f>IF([3]Entry!$R$293="","",[3]Entry!$R$293)</f>
        <v/>
      </c>
    </row>
    <row r="291" spans="1:39" x14ac:dyDescent="0.2">
      <c r="A291" t="str">
        <f>IF([1]Accounts!$D$292="","",[1]Accounts!$A$292)</f>
        <v/>
      </c>
      <c r="B291" t="str">
        <f>IF([1]Accounts!$D$292="","",[1]Accounts!$B$292)</f>
        <v/>
      </c>
      <c r="C291" t="str">
        <f>IF([1]Accounts!$D$292="","",[1]Accounts!$C$292)</f>
        <v/>
      </c>
      <c r="D291" t="str">
        <f>IF([1]Accounts!$D$292="","",[1]Accounts!$D$292)</f>
        <v/>
      </c>
      <c r="E291" t="str">
        <f>IF([1]Accounts!$D$292="","",[1]Accounts!$E$292)</f>
        <v/>
      </c>
      <c r="F291" t="str">
        <f>IF([1]Accounts!$D$292="","",[1]Accounts!$F$292)</f>
        <v/>
      </c>
      <c r="G291" t="str">
        <f>IF([1]Accounts!$D$292="","",[1]Accounts!$G$292)</f>
        <v/>
      </c>
      <c r="T291" t="str">
        <f>IF([2]Baskol!$B$294="","",[2]Baskol!$B$294)</f>
        <v/>
      </c>
      <c r="U291" t="str">
        <f>IF([2]Baskol!$C$294="","",[2]Baskol!$C$294)</f>
        <v/>
      </c>
      <c r="V291" t="str">
        <f>IF([2]Baskol!$D$294="","",[2]Baskol!$D$294)</f>
        <v/>
      </c>
      <c r="W291" t="str">
        <f>IF([2]Baskol!$E$294="","",[2]Baskol!$E$294)</f>
        <v/>
      </c>
      <c r="X291" t="str">
        <f>IF([2]Baskol!$G$294="","",[2]Baskol!$G$294)</f>
        <v/>
      </c>
      <c r="Y291" t="str">
        <f>IF([2]Baskol!$I$294="","",[2]Baskol!$I$294)</f>
        <v/>
      </c>
      <c r="Z291" t="str">
        <f>IF([2]Baskol!$J$294="","",[2]Baskol!$J$294)</f>
        <v/>
      </c>
      <c r="AA291" t="str">
        <f>IF([2]Baskol!$K$294="","",[2]Baskol!$K$294)</f>
        <v/>
      </c>
      <c r="AB291" t="str">
        <f>IF([2]Baskol!$L$294="","",[2]Baskol!$L$294)</f>
        <v/>
      </c>
      <c r="AC291" t="str">
        <f>IF([2]Baskol!$N$294="","",[2]Baskol!$N$294)</f>
        <v/>
      </c>
      <c r="AD291" t="str">
        <f>IF([2]Baskol!$O$294="","",[2]Baskol!$O$294)</f>
        <v/>
      </c>
      <c r="AE291" t="str">
        <f>IF([3]Entry!$C$294="","",[3]Entry!$C$294)</f>
        <v/>
      </c>
      <c r="AF291" t="str">
        <f>IF([3]Entry!$D$294="","",[3]Entry!$D$294)</f>
        <v/>
      </c>
      <c r="AG291" t="str">
        <f>IF([3]Entry!$E$294="","",[3]Entry!$E$294)</f>
        <v/>
      </c>
      <c r="AH291" t="str">
        <f>IF([3]Entry!$G$294="","",[3]Entry!$G$294)</f>
        <v/>
      </c>
      <c r="AI291" t="str">
        <f>IF([3]Entry!$K$294="","",[3]Entry!$K$294)</f>
        <v/>
      </c>
      <c r="AJ291" t="str">
        <f>IF([3]Entry!$L$294="","",[3]Entry!$L$294)</f>
        <v/>
      </c>
      <c r="AK291" t="str">
        <f>IF([3]Entry!$M$294="","",[3]Entry!$M$294)</f>
        <v/>
      </c>
      <c r="AL291" t="str">
        <f>IF([3]Entry!$N$294="","",[3]Entry!$N$294)</f>
        <v/>
      </c>
      <c r="AM291" t="str">
        <f>IF([3]Entry!$R$294="","",[3]Entry!$R$294)</f>
        <v/>
      </c>
    </row>
    <row r="292" spans="1:39" x14ac:dyDescent="0.2">
      <c r="A292" t="str">
        <f>IF([1]Accounts!$D$293="","",[1]Accounts!$A$293)</f>
        <v/>
      </c>
      <c r="B292" t="str">
        <f>IF([1]Accounts!$D$293="","",[1]Accounts!$B$293)</f>
        <v/>
      </c>
      <c r="C292" t="str">
        <f>IF([1]Accounts!$D$293="","",[1]Accounts!$C$293)</f>
        <v/>
      </c>
      <c r="D292" t="str">
        <f>IF([1]Accounts!$D$293="","",[1]Accounts!$D$293)</f>
        <v/>
      </c>
      <c r="E292" t="str">
        <f>IF([1]Accounts!$D$293="","",[1]Accounts!$E$293)</f>
        <v/>
      </c>
      <c r="F292" t="str">
        <f>IF([1]Accounts!$D$293="","",[1]Accounts!$F$293)</f>
        <v/>
      </c>
      <c r="G292" t="str">
        <f>IF([1]Accounts!$D$293="","",[1]Accounts!$G$293)</f>
        <v/>
      </c>
      <c r="T292" t="str">
        <f>IF([2]Baskol!$B$295="","",[2]Baskol!$B$295)</f>
        <v/>
      </c>
      <c r="U292" t="str">
        <f>IF([2]Baskol!$C$295="","",[2]Baskol!$C$295)</f>
        <v/>
      </c>
      <c r="V292" t="str">
        <f>IF([2]Baskol!$D$295="","",[2]Baskol!$D$295)</f>
        <v/>
      </c>
      <c r="W292" t="str">
        <f>IF([2]Baskol!$E$295="","",[2]Baskol!$E$295)</f>
        <v/>
      </c>
      <c r="X292" t="str">
        <f>IF([2]Baskol!$G$295="","",[2]Baskol!$G$295)</f>
        <v/>
      </c>
      <c r="Y292" t="str">
        <f>IF([2]Baskol!$I$295="","",[2]Baskol!$I$295)</f>
        <v/>
      </c>
      <c r="Z292" t="str">
        <f>IF([2]Baskol!$J$295="","",[2]Baskol!$J$295)</f>
        <v/>
      </c>
      <c r="AA292" t="str">
        <f>IF([2]Baskol!$K$295="","",[2]Baskol!$K$295)</f>
        <v/>
      </c>
      <c r="AB292" t="str">
        <f>IF([2]Baskol!$L$295="","",[2]Baskol!$L$295)</f>
        <v/>
      </c>
      <c r="AC292" t="str">
        <f>IF([2]Baskol!$N$295="","",[2]Baskol!$N$295)</f>
        <v/>
      </c>
      <c r="AD292" t="str">
        <f>IF([2]Baskol!$O$295="","",[2]Baskol!$O$295)</f>
        <v/>
      </c>
      <c r="AE292" t="str">
        <f>IF([3]Entry!$C$295="","",[3]Entry!$C$295)</f>
        <v/>
      </c>
      <c r="AF292" t="str">
        <f>IF([3]Entry!$D$295="","",[3]Entry!$D$295)</f>
        <v/>
      </c>
      <c r="AG292" t="str">
        <f>IF([3]Entry!$E$295="","",[3]Entry!$E$295)</f>
        <v/>
      </c>
      <c r="AH292" t="str">
        <f>IF([3]Entry!$G$295="","",[3]Entry!$G$295)</f>
        <v/>
      </c>
      <c r="AI292" t="str">
        <f>IF([3]Entry!$K$295="","",[3]Entry!$K$295)</f>
        <v/>
      </c>
      <c r="AJ292" t="str">
        <f>IF([3]Entry!$L$295="","",[3]Entry!$L$295)</f>
        <v/>
      </c>
      <c r="AK292" t="str">
        <f>IF([3]Entry!$M$295="","",[3]Entry!$M$295)</f>
        <v/>
      </c>
      <c r="AL292" t="str">
        <f>IF([3]Entry!$N$295="","",[3]Entry!$N$295)</f>
        <v/>
      </c>
      <c r="AM292" t="str">
        <f>IF([3]Entry!$R$295="","",[3]Entry!$R$295)</f>
        <v/>
      </c>
    </row>
    <row r="293" spans="1:39" x14ac:dyDescent="0.2">
      <c r="A293" t="str">
        <f>IF([1]Accounts!$D$294="","",[1]Accounts!$A$294)</f>
        <v/>
      </c>
      <c r="B293" t="str">
        <f>IF([1]Accounts!$D$294="","",[1]Accounts!$B$294)</f>
        <v/>
      </c>
      <c r="C293" t="str">
        <f>IF([1]Accounts!$D$294="","",[1]Accounts!$C$294)</f>
        <v/>
      </c>
      <c r="D293" t="str">
        <f>IF([1]Accounts!$D$294="","",[1]Accounts!$D$294)</f>
        <v/>
      </c>
      <c r="E293" t="str">
        <f>IF([1]Accounts!$D$294="","",[1]Accounts!$E$294)</f>
        <v/>
      </c>
      <c r="F293" t="str">
        <f>IF([1]Accounts!$D$294="","",[1]Accounts!$F$294)</f>
        <v/>
      </c>
      <c r="G293" t="str">
        <f>IF([1]Accounts!$D$294="","",[1]Accounts!$G$294)</f>
        <v/>
      </c>
      <c r="T293" t="str">
        <f>IF([2]Baskol!$B$296="","",[2]Baskol!$B$296)</f>
        <v/>
      </c>
      <c r="U293" t="str">
        <f>IF([2]Baskol!$C$296="","",[2]Baskol!$C$296)</f>
        <v/>
      </c>
      <c r="V293" t="str">
        <f>IF([2]Baskol!$D$296="","",[2]Baskol!$D$296)</f>
        <v/>
      </c>
      <c r="W293" t="str">
        <f>IF([2]Baskol!$E$296="","",[2]Baskol!$E$296)</f>
        <v/>
      </c>
      <c r="X293" t="str">
        <f>IF([2]Baskol!$G$296="","",[2]Baskol!$G$296)</f>
        <v/>
      </c>
      <c r="Y293" t="str">
        <f>IF([2]Baskol!$I$296="","",[2]Baskol!$I$296)</f>
        <v/>
      </c>
      <c r="Z293" t="str">
        <f>IF([2]Baskol!$J$296="","",[2]Baskol!$J$296)</f>
        <v/>
      </c>
      <c r="AA293" t="str">
        <f>IF([2]Baskol!$K$296="","",[2]Baskol!$K$296)</f>
        <v/>
      </c>
      <c r="AB293" t="str">
        <f>IF([2]Baskol!$L$296="","",[2]Baskol!$L$296)</f>
        <v/>
      </c>
      <c r="AC293" t="str">
        <f>IF([2]Baskol!$N$296="","",[2]Baskol!$N$296)</f>
        <v/>
      </c>
      <c r="AD293" t="str">
        <f>IF([2]Baskol!$O$296="","",[2]Baskol!$O$296)</f>
        <v/>
      </c>
      <c r="AE293" t="str">
        <f>IF([3]Entry!$C$296="","",[3]Entry!$C$296)</f>
        <v/>
      </c>
      <c r="AF293" t="str">
        <f>IF([3]Entry!$D$296="","",[3]Entry!$D$296)</f>
        <v/>
      </c>
      <c r="AG293" t="str">
        <f>IF([3]Entry!$E$296="","",[3]Entry!$E$296)</f>
        <v/>
      </c>
      <c r="AH293" t="str">
        <f>IF([3]Entry!$G$296="","",[3]Entry!$G$296)</f>
        <v/>
      </c>
      <c r="AI293" t="str">
        <f>IF([3]Entry!$K$296="","",[3]Entry!$K$296)</f>
        <v/>
      </c>
      <c r="AJ293" t="str">
        <f>IF([3]Entry!$L$296="","",[3]Entry!$L$296)</f>
        <v/>
      </c>
      <c r="AK293" t="str">
        <f>IF([3]Entry!$M$296="","",[3]Entry!$M$296)</f>
        <v/>
      </c>
      <c r="AL293" t="str">
        <f>IF([3]Entry!$N$296="","",[3]Entry!$N$296)</f>
        <v/>
      </c>
      <c r="AM293" t="str">
        <f>IF([3]Entry!$R$296="","",[3]Entry!$R$296)</f>
        <v/>
      </c>
    </row>
    <row r="294" spans="1:39" x14ac:dyDescent="0.2">
      <c r="A294" t="str">
        <f>IF([1]Accounts!$D$295="","",[1]Accounts!$A$295)</f>
        <v/>
      </c>
      <c r="B294" t="str">
        <f>IF([1]Accounts!$D$295="","",[1]Accounts!$B$295)</f>
        <v/>
      </c>
      <c r="C294" t="str">
        <f>IF([1]Accounts!$D$295="","",[1]Accounts!$C$295)</f>
        <v/>
      </c>
      <c r="D294" t="str">
        <f>IF([1]Accounts!$D$295="","",[1]Accounts!$D$295)</f>
        <v/>
      </c>
      <c r="E294" t="str">
        <f>IF([1]Accounts!$D$295="","",[1]Accounts!$E$295)</f>
        <v/>
      </c>
      <c r="F294" t="str">
        <f>IF([1]Accounts!$D$295="","",[1]Accounts!$F$295)</f>
        <v/>
      </c>
      <c r="G294" t="str">
        <f>IF([1]Accounts!$D$295="","",[1]Accounts!$G$295)</f>
        <v/>
      </c>
      <c r="T294" t="str">
        <f>IF([2]Baskol!$B$297="","",[2]Baskol!$B$297)</f>
        <v/>
      </c>
      <c r="U294" t="str">
        <f>IF([2]Baskol!$C$297="","",[2]Baskol!$C$297)</f>
        <v/>
      </c>
      <c r="V294" t="str">
        <f>IF([2]Baskol!$D$297="","",[2]Baskol!$D$297)</f>
        <v/>
      </c>
      <c r="W294" t="str">
        <f>IF([2]Baskol!$E$297="","",[2]Baskol!$E$297)</f>
        <v/>
      </c>
      <c r="X294" t="str">
        <f>IF([2]Baskol!$G$297="","",[2]Baskol!$G$297)</f>
        <v/>
      </c>
      <c r="Y294" t="str">
        <f>IF([2]Baskol!$I$297="","",[2]Baskol!$I$297)</f>
        <v/>
      </c>
      <c r="Z294" t="str">
        <f>IF([2]Baskol!$J$297="","",[2]Baskol!$J$297)</f>
        <v/>
      </c>
      <c r="AA294" t="str">
        <f>IF([2]Baskol!$K$297="","",[2]Baskol!$K$297)</f>
        <v/>
      </c>
      <c r="AB294" t="str">
        <f>IF([2]Baskol!$L$297="","",[2]Baskol!$L$297)</f>
        <v/>
      </c>
      <c r="AC294" t="str">
        <f>IF([2]Baskol!$N$297="","",[2]Baskol!$N$297)</f>
        <v/>
      </c>
      <c r="AD294" t="str">
        <f>IF([2]Baskol!$O$297="","",[2]Baskol!$O$297)</f>
        <v/>
      </c>
      <c r="AE294" t="str">
        <f>IF([3]Entry!$C$297="","",[3]Entry!$C$297)</f>
        <v/>
      </c>
      <c r="AF294" t="str">
        <f>IF([3]Entry!$D$297="","",[3]Entry!$D$297)</f>
        <v/>
      </c>
      <c r="AG294" t="str">
        <f>IF([3]Entry!$E$297="","",[3]Entry!$E$297)</f>
        <v/>
      </c>
      <c r="AH294" t="str">
        <f>IF([3]Entry!$G$297="","",[3]Entry!$G$297)</f>
        <v/>
      </c>
      <c r="AI294" t="str">
        <f>IF([3]Entry!$K$297="","",[3]Entry!$K$297)</f>
        <v/>
      </c>
      <c r="AJ294" t="str">
        <f>IF([3]Entry!$L$297="","",[3]Entry!$L$297)</f>
        <v/>
      </c>
      <c r="AK294" t="str">
        <f>IF([3]Entry!$M$297="","",[3]Entry!$M$297)</f>
        <v/>
      </c>
      <c r="AL294" t="str">
        <f>IF([3]Entry!$N$297="","",[3]Entry!$N$297)</f>
        <v/>
      </c>
      <c r="AM294" t="str">
        <f>IF([3]Entry!$R$297="","",[3]Entry!$R$297)</f>
        <v/>
      </c>
    </row>
    <row r="295" spans="1:39" x14ac:dyDescent="0.2">
      <c r="A295" t="str">
        <f>IF([1]Accounts!$D$296="","",[1]Accounts!$A$296)</f>
        <v/>
      </c>
      <c r="B295" t="str">
        <f>IF([1]Accounts!$D$296="","",[1]Accounts!$B$296)</f>
        <v/>
      </c>
      <c r="C295" t="str">
        <f>IF([1]Accounts!$D$296="","",[1]Accounts!$C$296)</f>
        <v/>
      </c>
      <c r="D295" t="str">
        <f>IF([1]Accounts!$D$296="","",[1]Accounts!$D$296)</f>
        <v/>
      </c>
      <c r="E295" t="str">
        <f>IF([1]Accounts!$D$296="","",[1]Accounts!$E$296)</f>
        <v/>
      </c>
      <c r="F295" t="str">
        <f>IF([1]Accounts!$D$296="","",[1]Accounts!$F$296)</f>
        <v/>
      </c>
      <c r="G295" t="str">
        <f>IF([1]Accounts!$D$296="","",[1]Accounts!$G$296)</f>
        <v/>
      </c>
      <c r="T295" t="str">
        <f>IF([2]Baskol!$B$298="","",[2]Baskol!$B$298)</f>
        <v/>
      </c>
      <c r="U295" t="str">
        <f>IF([2]Baskol!$C$298="","",[2]Baskol!$C$298)</f>
        <v/>
      </c>
      <c r="V295" t="str">
        <f>IF([2]Baskol!$D$298="","",[2]Baskol!$D$298)</f>
        <v/>
      </c>
      <c r="W295" t="str">
        <f>IF([2]Baskol!$E$298="","",[2]Baskol!$E$298)</f>
        <v/>
      </c>
      <c r="X295" t="str">
        <f>IF([2]Baskol!$G$298="","",[2]Baskol!$G$298)</f>
        <v/>
      </c>
      <c r="Y295" t="str">
        <f>IF([2]Baskol!$I$298="","",[2]Baskol!$I$298)</f>
        <v/>
      </c>
      <c r="Z295" t="str">
        <f>IF([2]Baskol!$J$298="","",[2]Baskol!$J$298)</f>
        <v/>
      </c>
      <c r="AA295" t="str">
        <f>IF([2]Baskol!$K$298="","",[2]Baskol!$K$298)</f>
        <v/>
      </c>
      <c r="AB295" t="str">
        <f>IF([2]Baskol!$L$298="","",[2]Baskol!$L$298)</f>
        <v/>
      </c>
      <c r="AC295" t="str">
        <f>IF([2]Baskol!$N$298="","",[2]Baskol!$N$298)</f>
        <v/>
      </c>
      <c r="AD295" t="str">
        <f>IF([2]Baskol!$O$298="","",[2]Baskol!$O$298)</f>
        <v/>
      </c>
      <c r="AE295" t="str">
        <f>IF([3]Entry!$C$298="","",[3]Entry!$C$298)</f>
        <v/>
      </c>
      <c r="AF295" t="str">
        <f>IF([3]Entry!$D$298="","",[3]Entry!$D$298)</f>
        <v/>
      </c>
      <c r="AG295" t="str">
        <f>IF([3]Entry!$E$298="","",[3]Entry!$E$298)</f>
        <v/>
      </c>
      <c r="AH295" t="str">
        <f>IF([3]Entry!$G$298="","",[3]Entry!$G$298)</f>
        <v/>
      </c>
      <c r="AI295" t="str">
        <f>IF([3]Entry!$K$298="","",[3]Entry!$K$298)</f>
        <v/>
      </c>
      <c r="AJ295" t="str">
        <f>IF([3]Entry!$L$298="","",[3]Entry!$L$298)</f>
        <v/>
      </c>
      <c r="AK295" t="str">
        <f>IF([3]Entry!$M$298="","",[3]Entry!$M$298)</f>
        <v/>
      </c>
      <c r="AL295" t="str">
        <f>IF([3]Entry!$N$298="","",[3]Entry!$N$298)</f>
        <v/>
      </c>
      <c r="AM295" t="str">
        <f>IF([3]Entry!$R$298="","",[3]Entry!$R$298)</f>
        <v/>
      </c>
    </row>
    <row r="296" spans="1:39" x14ac:dyDescent="0.2">
      <c r="A296" t="str">
        <f>IF([1]Accounts!$D$297="","",[1]Accounts!$A$297)</f>
        <v/>
      </c>
      <c r="B296" t="str">
        <f>IF([1]Accounts!$D$297="","",[1]Accounts!$B$297)</f>
        <v/>
      </c>
      <c r="C296" t="str">
        <f>IF([1]Accounts!$D$297="","",[1]Accounts!$C$297)</f>
        <v/>
      </c>
      <c r="D296" t="str">
        <f>IF([1]Accounts!$D$297="","",[1]Accounts!$D$297)</f>
        <v/>
      </c>
      <c r="E296" t="str">
        <f>IF([1]Accounts!$D$297="","",[1]Accounts!$E$297)</f>
        <v/>
      </c>
      <c r="F296" t="str">
        <f>IF([1]Accounts!$D$297="","",[1]Accounts!$F$297)</f>
        <v/>
      </c>
      <c r="G296" t="str">
        <f>IF([1]Accounts!$D$297="","",[1]Accounts!$G$297)</f>
        <v/>
      </c>
      <c r="T296" t="str">
        <f>IF([2]Baskol!$B$299="","",[2]Baskol!$B$299)</f>
        <v/>
      </c>
      <c r="U296" t="str">
        <f>IF([2]Baskol!$C$299="","",[2]Baskol!$C$299)</f>
        <v/>
      </c>
      <c r="V296" t="str">
        <f>IF([2]Baskol!$D$299="","",[2]Baskol!$D$299)</f>
        <v/>
      </c>
      <c r="W296" t="str">
        <f>IF([2]Baskol!$E$299="","",[2]Baskol!$E$299)</f>
        <v/>
      </c>
      <c r="X296" t="str">
        <f>IF([2]Baskol!$G$299="","",[2]Baskol!$G$299)</f>
        <v/>
      </c>
      <c r="Y296" t="str">
        <f>IF([2]Baskol!$I$299="","",[2]Baskol!$I$299)</f>
        <v/>
      </c>
      <c r="Z296" t="str">
        <f>IF([2]Baskol!$J$299="","",[2]Baskol!$J$299)</f>
        <v/>
      </c>
      <c r="AA296" t="str">
        <f>IF([2]Baskol!$K$299="","",[2]Baskol!$K$299)</f>
        <v/>
      </c>
      <c r="AB296" t="str">
        <f>IF([2]Baskol!$L$299="","",[2]Baskol!$L$299)</f>
        <v/>
      </c>
      <c r="AC296" t="str">
        <f>IF([2]Baskol!$N$299="","",[2]Baskol!$N$299)</f>
        <v/>
      </c>
      <c r="AD296" t="str">
        <f>IF([2]Baskol!$O$299="","",[2]Baskol!$O$299)</f>
        <v/>
      </c>
      <c r="AE296" t="str">
        <f>IF([3]Entry!$C$299="","",[3]Entry!$C$299)</f>
        <v/>
      </c>
      <c r="AF296" t="str">
        <f>IF([3]Entry!$D$299="","",[3]Entry!$D$299)</f>
        <v/>
      </c>
      <c r="AG296" t="str">
        <f>IF([3]Entry!$E$299="","",[3]Entry!$E$299)</f>
        <v/>
      </c>
      <c r="AH296" t="str">
        <f>IF([3]Entry!$G$299="","",[3]Entry!$G$299)</f>
        <v/>
      </c>
      <c r="AI296" t="str">
        <f>IF([3]Entry!$K$299="","",[3]Entry!$K$299)</f>
        <v/>
      </c>
      <c r="AJ296" t="str">
        <f>IF([3]Entry!$L$299="","",[3]Entry!$L$299)</f>
        <v/>
      </c>
      <c r="AK296" t="str">
        <f>IF([3]Entry!$M$299="","",[3]Entry!$M$299)</f>
        <v/>
      </c>
      <c r="AL296" t="str">
        <f>IF([3]Entry!$N$299="","",[3]Entry!$N$299)</f>
        <v/>
      </c>
      <c r="AM296" t="str">
        <f>IF([3]Entry!$R$299="","",[3]Entry!$R$299)</f>
        <v/>
      </c>
    </row>
    <row r="297" spans="1:39" x14ac:dyDescent="0.2">
      <c r="A297" t="str">
        <f>IF([1]Accounts!$D$298="","",[1]Accounts!$A$298)</f>
        <v/>
      </c>
      <c r="B297" t="str">
        <f>IF([1]Accounts!$D$298="","",[1]Accounts!$B$298)</f>
        <v/>
      </c>
      <c r="C297" t="str">
        <f>IF([1]Accounts!$D$298="","",[1]Accounts!$C$298)</f>
        <v/>
      </c>
      <c r="D297" t="str">
        <f>IF([1]Accounts!$D$298="","",[1]Accounts!$D$298)</f>
        <v/>
      </c>
      <c r="E297" t="str">
        <f>IF([1]Accounts!$D$298="","",[1]Accounts!$E$298)</f>
        <v/>
      </c>
      <c r="F297" t="str">
        <f>IF([1]Accounts!$D$298="","",[1]Accounts!$F$298)</f>
        <v/>
      </c>
      <c r="G297" t="str">
        <f>IF([1]Accounts!$D$298="","",[1]Accounts!$G$298)</f>
        <v/>
      </c>
      <c r="T297" t="str">
        <f>IF([2]Baskol!$B$300="","",[2]Baskol!$B$300)</f>
        <v/>
      </c>
      <c r="U297" t="str">
        <f>IF([2]Baskol!$C$300="","",[2]Baskol!$C$300)</f>
        <v/>
      </c>
      <c r="V297" t="str">
        <f>IF([2]Baskol!$D$300="","",[2]Baskol!$D$300)</f>
        <v/>
      </c>
      <c r="W297" t="str">
        <f>IF([2]Baskol!$E$300="","",[2]Baskol!$E$300)</f>
        <v/>
      </c>
      <c r="X297" t="str">
        <f>IF([2]Baskol!$G$300="","",[2]Baskol!$G$300)</f>
        <v/>
      </c>
      <c r="Y297" t="str">
        <f>IF([2]Baskol!$I$300="","",[2]Baskol!$I$300)</f>
        <v/>
      </c>
      <c r="Z297" t="str">
        <f>IF([2]Baskol!$J$300="","",[2]Baskol!$J$300)</f>
        <v/>
      </c>
      <c r="AA297" t="str">
        <f>IF([2]Baskol!$K$300="","",[2]Baskol!$K$300)</f>
        <v/>
      </c>
      <c r="AB297" t="str">
        <f>IF([2]Baskol!$L$300="","",[2]Baskol!$L$300)</f>
        <v/>
      </c>
      <c r="AC297" t="str">
        <f>IF([2]Baskol!$N$300="","",[2]Baskol!$N$300)</f>
        <v/>
      </c>
      <c r="AD297" t="str">
        <f>IF([2]Baskol!$O$300="","",[2]Baskol!$O$300)</f>
        <v/>
      </c>
      <c r="AE297" t="str">
        <f>IF([3]Entry!$C$300="","",[3]Entry!$C$300)</f>
        <v/>
      </c>
      <c r="AF297" t="str">
        <f>IF([3]Entry!$D$300="","",[3]Entry!$D$300)</f>
        <v/>
      </c>
      <c r="AG297" t="str">
        <f>IF([3]Entry!$E$300="","",[3]Entry!$E$300)</f>
        <v/>
      </c>
      <c r="AH297" t="str">
        <f>IF([3]Entry!$G$300="","",[3]Entry!$G$300)</f>
        <v/>
      </c>
      <c r="AI297" t="str">
        <f>IF([3]Entry!$K$300="","",[3]Entry!$K$300)</f>
        <v/>
      </c>
      <c r="AJ297" t="str">
        <f>IF([3]Entry!$L$300="","",[3]Entry!$L$300)</f>
        <v/>
      </c>
      <c r="AK297" t="str">
        <f>IF([3]Entry!$M$300="","",[3]Entry!$M$300)</f>
        <v/>
      </c>
      <c r="AL297" t="str">
        <f>IF([3]Entry!$N$300="","",[3]Entry!$N$300)</f>
        <v/>
      </c>
      <c r="AM297" t="str">
        <f>IF([3]Entry!$R$300="","",[3]Entry!$R$300)</f>
        <v/>
      </c>
    </row>
    <row r="298" spans="1:39" x14ac:dyDescent="0.2">
      <c r="A298" t="str">
        <f>IF([1]Accounts!$D$299="","",[1]Accounts!$A$299)</f>
        <v/>
      </c>
      <c r="B298" t="str">
        <f>IF([1]Accounts!$D$299="","",[1]Accounts!$B$299)</f>
        <v/>
      </c>
      <c r="C298" t="str">
        <f>IF([1]Accounts!$D$299="","",[1]Accounts!$C$299)</f>
        <v/>
      </c>
      <c r="D298" t="str">
        <f>IF([1]Accounts!$D$299="","",[1]Accounts!$D$299)</f>
        <v/>
      </c>
      <c r="E298" t="str">
        <f>IF([1]Accounts!$D$299="","",[1]Accounts!$E$299)</f>
        <v/>
      </c>
      <c r="F298" t="str">
        <f>IF([1]Accounts!$D$299="","",[1]Accounts!$F$299)</f>
        <v/>
      </c>
      <c r="G298" t="str">
        <f>IF([1]Accounts!$D$299="","",[1]Accounts!$G$299)</f>
        <v/>
      </c>
      <c r="T298" t="str">
        <f>IF([2]Baskol!$B$301="","",[2]Baskol!$B$301)</f>
        <v/>
      </c>
      <c r="U298" t="str">
        <f>IF([2]Baskol!$C$301="","",[2]Baskol!$C$301)</f>
        <v/>
      </c>
      <c r="V298" t="str">
        <f>IF([2]Baskol!$D$301="","",[2]Baskol!$D$301)</f>
        <v/>
      </c>
      <c r="W298" t="str">
        <f>IF([2]Baskol!$E$301="","",[2]Baskol!$E$301)</f>
        <v/>
      </c>
      <c r="X298" t="str">
        <f>IF([2]Baskol!$G$301="","",[2]Baskol!$G$301)</f>
        <v/>
      </c>
      <c r="Y298" t="str">
        <f>IF([2]Baskol!$I$301="","",[2]Baskol!$I$301)</f>
        <v/>
      </c>
      <c r="Z298" t="str">
        <f>IF([2]Baskol!$J$301="","",[2]Baskol!$J$301)</f>
        <v/>
      </c>
      <c r="AA298" t="str">
        <f>IF([2]Baskol!$K$301="","",[2]Baskol!$K$301)</f>
        <v/>
      </c>
      <c r="AB298" t="str">
        <f>IF([2]Baskol!$L$301="","",[2]Baskol!$L$301)</f>
        <v/>
      </c>
      <c r="AC298" t="str">
        <f>IF([2]Baskol!$N$301="","",[2]Baskol!$N$301)</f>
        <v/>
      </c>
      <c r="AD298" t="str">
        <f>IF([2]Baskol!$O$301="","",[2]Baskol!$O$301)</f>
        <v/>
      </c>
      <c r="AE298" t="str">
        <f>IF([3]Entry!$C$301="","",[3]Entry!$C$301)</f>
        <v/>
      </c>
      <c r="AF298" t="str">
        <f>IF([3]Entry!$D$301="","",[3]Entry!$D$301)</f>
        <v/>
      </c>
      <c r="AG298" t="str">
        <f>IF([3]Entry!$E$301="","",[3]Entry!$E$301)</f>
        <v/>
      </c>
      <c r="AH298" t="str">
        <f>IF([3]Entry!$G$301="","",[3]Entry!$G$301)</f>
        <v/>
      </c>
      <c r="AI298" t="str">
        <f>IF([3]Entry!$K$301="","",[3]Entry!$K$301)</f>
        <v/>
      </c>
      <c r="AJ298" t="str">
        <f>IF([3]Entry!$L$301="","",[3]Entry!$L$301)</f>
        <v/>
      </c>
      <c r="AK298" t="str">
        <f>IF([3]Entry!$M$301="","",[3]Entry!$M$301)</f>
        <v/>
      </c>
      <c r="AL298" t="str">
        <f>IF([3]Entry!$N$301="","",[3]Entry!$N$301)</f>
        <v/>
      </c>
      <c r="AM298" t="str">
        <f>IF([3]Entry!$R$301="","",[3]Entry!$R$301)</f>
        <v/>
      </c>
    </row>
    <row r="299" spans="1:39" x14ac:dyDescent="0.2">
      <c r="A299" t="str">
        <f>IF([1]Accounts!$D$300="","",[1]Accounts!$A$300)</f>
        <v/>
      </c>
      <c r="B299" t="str">
        <f>IF([1]Accounts!$D$300="","",[1]Accounts!$B$300)</f>
        <v/>
      </c>
      <c r="C299" t="str">
        <f>IF([1]Accounts!$D$300="","",[1]Accounts!$C$300)</f>
        <v/>
      </c>
      <c r="D299" t="str">
        <f>IF([1]Accounts!$D$300="","",[1]Accounts!$D$300)</f>
        <v/>
      </c>
      <c r="E299" t="str">
        <f>IF([1]Accounts!$D$300="","",[1]Accounts!$E$300)</f>
        <v/>
      </c>
      <c r="F299" t="str">
        <f>IF([1]Accounts!$D$300="","",[1]Accounts!$F$300)</f>
        <v/>
      </c>
      <c r="G299" t="str">
        <f>IF([1]Accounts!$D$300="","",[1]Accounts!$G$300)</f>
        <v/>
      </c>
      <c r="T299" t="str">
        <f>IF([2]Baskol!$B$302="","",[2]Baskol!$B$302)</f>
        <v/>
      </c>
      <c r="U299" t="str">
        <f>IF([2]Baskol!$C$302="","",[2]Baskol!$C$302)</f>
        <v/>
      </c>
      <c r="V299" t="str">
        <f>IF([2]Baskol!$D$302="","",[2]Baskol!$D$302)</f>
        <v/>
      </c>
      <c r="W299" t="str">
        <f>IF([2]Baskol!$E$302="","",[2]Baskol!$E$302)</f>
        <v/>
      </c>
      <c r="X299" t="str">
        <f>IF([2]Baskol!$G$302="","",[2]Baskol!$G$302)</f>
        <v/>
      </c>
      <c r="Y299" t="str">
        <f>IF([2]Baskol!$I$302="","",[2]Baskol!$I$302)</f>
        <v/>
      </c>
      <c r="Z299" t="str">
        <f>IF([2]Baskol!$J$302="","",[2]Baskol!$J$302)</f>
        <v/>
      </c>
      <c r="AA299" t="str">
        <f>IF([2]Baskol!$K$302="","",[2]Baskol!$K$302)</f>
        <v/>
      </c>
      <c r="AB299" t="str">
        <f>IF([2]Baskol!$L$302="","",[2]Baskol!$L$302)</f>
        <v/>
      </c>
      <c r="AC299" t="str">
        <f>IF([2]Baskol!$N$302="","",[2]Baskol!$N$302)</f>
        <v/>
      </c>
      <c r="AD299" t="str">
        <f>IF([2]Baskol!$O$302="","",[2]Baskol!$O$302)</f>
        <v/>
      </c>
      <c r="AE299" t="str">
        <f>IF([3]Entry!$C$302="","",[3]Entry!$C$302)</f>
        <v/>
      </c>
      <c r="AF299" t="str">
        <f>IF([3]Entry!$D$302="","",[3]Entry!$D$302)</f>
        <v/>
      </c>
      <c r="AG299" t="str">
        <f>IF([3]Entry!$E$302="","",[3]Entry!$E$302)</f>
        <v/>
      </c>
      <c r="AH299" t="str">
        <f>IF([3]Entry!$G$302="","",[3]Entry!$G$302)</f>
        <v/>
      </c>
      <c r="AI299" t="str">
        <f>IF([3]Entry!$K$302="","",[3]Entry!$K$302)</f>
        <v/>
      </c>
      <c r="AJ299" t="str">
        <f>IF([3]Entry!$L$302="","",[3]Entry!$L$302)</f>
        <v/>
      </c>
      <c r="AK299" t="str">
        <f>IF([3]Entry!$M$302="","",[3]Entry!$M$302)</f>
        <v/>
      </c>
      <c r="AL299" t="str">
        <f>IF([3]Entry!$N$302="","",[3]Entry!$N$302)</f>
        <v/>
      </c>
      <c r="AM299" t="str">
        <f>IF([3]Entry!$R$302="","",[3]Entry!$R$302)</f>
        <v/>
      </c>
    </row>
    <row r="300" spans="1:39" x14ac:dyDescent="0.2">
      <c r="A300" t="str">
        <f>IF([1]Accounts!$D$301="","",[1]Accounts!$A$301)</f>
        <v/>
      </c>
      <c r="B300" t="str">
        <f>IF([1]Accounts!$D$301="","",[1]Accounts!$B$301)</f>
        <v/>
      </c>
      <c r="C300" t="str">
        <f>IF([1]Accounts!$D$301="","",[1]Accounts!$C$301)</f>
        <v/>
      </c>
      <c r="D300" t="str">
        <f>IF([1]Accounts!$D$301="","",[1]Accounts!$D$301)</f>
        <v/>
      </c>
      <c r="E300" t="str">
        <f>IF([1]Accounts!$D$301="","",[1]Accounts!$E$301)</f>
        <v/>
      </c>
      <c r="F300" t="str">
        <f>IF([1]Accounts!$D$301="","",[1]Accounts!$F$301)</f>
        <v/>
      </c>
      <c r="G300" t="str">
        <f>IF([1]Accounts!$D$301="","",[1]Accounts!$G$301)</f>
        <v/>
      </c>
      <c r="T300" t="str">
        <f>IF([2]Baskol!$B$303="","",[2]Baskol!$B$303)</f>
        <v/>
      </c>
      <c r="U300" t="str">
        <f>IF([2]Baskol!$C$303="","",[2]Baskol!$C$303)</f>
        <v/>
      </c>
      <c r="V300" t="str">
        <f>IF([2]Baskol!$D$303="","",[2]Baskol!$D$303)</f>
        <v/>
      </c>
      <c r="W300" t="str">
        <f>IF([2]Baskol!$E$303="","",[2]Baskol!$E$303)</f>
        <v/>
      </c>
      <c r="X300" t="str">
        <f>IF([2]Baskol!$G$303="","",[2]Baskol!$G$303)</f>
        <v/>
      </c>
      <c r="Y300" t="str">
        <f>IF([2]Baskol!$I$303="","",[2]Baskol!$I$303)</f>
        <v/>
      </c>
      <c r="Z300" t="str">
        <f>IF([2]Baskol!$J$303="","",[2]Baskol!$J$303)</f>
        <v/>
      </c>
      <c r="AA300" t="str">
        <f>IF([2]Baskol!$K$303="","",[2]Baskol!$K$303)</f>
        <v/>
      </c>
      <c r="AB300" t="str">
        <f>IF([2]Baskol!$L$303="","",[2]Baskol!$L$303)</f>
        <v/>
      </c>
      <c r="AC300" t="str">
        <f>IF([2]Baskol!$N$303="","",[2]Baskol!$N$303)</f>
        <v/>
      </c>
      <c r="AD300" t="str">
        <f>IF([2]Baskol!$O$303="","",[2]Baskol!$O$303)</f>
        <v/>
      </c>
      <c r="AE300" t="str">
        <f>IF([3]Entry!$C$303="","",[3]Entry!$C$303)</f>
        <v/>
      </c>
      <c r="AF300" t="str">
        <f>IF([3]Entry!$D$303="","",[3]Entry!$D$303)</f>
        <v/>
      </c>
      <c r="AG300" t="str">
        <f>IF([3]Entry!$E$303="","",[3]Entry!$E$303)</f>
        <v/>
      </c>
      <c r="AH300" t="str">
        <f>IF([3]Entry!$G$303="","",[3]Entry!$G$303)</f>
        <v/>
      </c>
      <c r="AI300" t="str">
        <f>IF([3]Entry!$K$303="","",[3]Entry!$K$303)</f>
        <v/>
      </c>
      <c r="AJ300" t="str">
        <f>IF([3]Entry!$L$303="","",[3]Entry!$L$303)</f>
        <v/>
      </c>
      <c r="AK300" t="str">
        <f>IF([3]Entry!$M$303="","",[3]Entry!$M$303)</f>
        <v/>
      </c>
      <c r="AL300" t="str">
        <f>IF([3]Entry!$N$303="","",[3]Entry!$N$303)</f>
        <v/>
      </c>
      <c r="AM300" t="str">
        <f>IF([3]Entry!$R$303="","",[3]Entry!$R$303)</f>
        <v/>
      </c>
    </row>
    <row r="301" spans="1:39" x14ac:dyDescent="0.2">
      <c r="A301" t="str">
        <f>IF([1]Accounts!$D$302="","",[1]Accounts!$A$302)</f>
        <v/>
      </c>
      <c r="B301" t="str">
        <f>IF([1]Accounts!$D$302="","",[1]Accounts!$B$302)</f>
        <v/>
      </c>
      <c r="C301" t="str">
        <f>IF([1]Accounts!$D$302="","",[1]Accounts!$C$302)</f>
        <v/>
      </c>
      <c r="D301" t="str">
        <f>IF([1]Accounts!$D$302="","",[1]Accounts!$D$302)</f>
        <v/>
      </c>
      <c r="E301" t="str">
        <f>IF([1]Accounts!$D$302="","",[1]Accounts!$E$302)</f>
        <v/>
      </c>
      <c r="F301" t="str">
        <f>IF([1]Accounts!$D$302="","",[1]Accounts!$F$302)</f>
        <v/>
      </c>
      <c r="G301" t="str">
        <f>IF([1]Accounts!$D$302="","",[1]Accounts!$G$302)</f>
        <v/>
      </c>
      <c r="T301" t="str">
        <f>IF([2]Baskol!$B$304="","",[2]Baskol!$B$304)</f>
        <v/>
      </c>
      <c r="U301" t="str">
        <f>IF([2]Baskol!$C$304="","",[2]Baskol!$C$304)</f>
        <v/>
      </c>
      <c r="V301" t="str">
        <f>IF([2]Baskol!$D$304="","",[2]Baskol!$D$304)</f>
        <v/>
      </c>
      <c r="W301" t="str">
        <f>IF([2]Baskol!$E$304="","",[2]Baskol!$E$304)</f>
        <v/>
      </c>
      <c r="X301" t="str">
        <f>IF([2]Baskol!$G$304="","",[2]Baskol!$G$304)</f>
        <v/>
      </c>
      <c r="Y301" t="str">
        <f>IF([2]Baskol!$I$304="","",[2]Baskol!$I$304)</f>
        <v/>
      </c>
      <c r="Z301" t="str">
        <f>IF([2]Baskol!$J$304="","",[2]Baskol!$J$304)</f>
        <v/>
      </c>
      <c r="AA301" t="str">
        <f>IF([2]Baskol!$K$304="","",[2]Baskol!$K$304)</f>
        <v/>
      </c>
      <c r="AB301" t="str">
        <f>IF([2]Baskol!$L$304="","",[2]Baskol!$L$304)</f>
        <v/>
      </c>
      <c r="AC301" t="str">
        <f>IF([2]Baskol!$N$304="","",[2]Baskol!$N$304)</f>
        <v/>
      </c>
      <c r="AD301" t="str">
        <f>IF([2]Baskol!$O$304="","",[2]Baskol!$O$304)</f>
        <v/>
      </c>
      <c r="AE301" t="str">
        <f>IF([3]Entry!$C$304="","",[3]Entry!$C$304)</f>
        <v/>
      </c>
      <c r="AF301" t="str">
        <f>IF([3]Entry!$D$304="","",[3]Entry!$D$304)</f>
        <v/>
      </c>
      <c r="AG301" t="str">
        <f>IF([3]Entry!$E$304="","",[3]Entry!$E$304)</f>
        <v/>
      </c>
      <c r="AH301" t="str">
        <f>IF([3]Entry!$G$304="","",[3]Entry!$G$304)</f>
        <v/>
      </c>
      <c r="AI301" t="str">
        <f>IF([3]Entry!$K$304="","",[3]Entry!$K$304)</f>
        <v/>
      </c>
      <c r="AJ301" t="str">
        <f>IF([3]Entry!$L$304="","",[3]Entry!$L$304)</f>
        <v/>
      </c>
      <c r="AK301" t="str">
        <f>IF([3]Entry!$M$304="","",[3]Entry!$M$304)</f>
        <v/>
      </c>
      <c r="AL301" t="str">
        <f>IF([3]Entry!$N$304="","",[3]Entry!$N$304)</f>
        <v/>
      </c>
      <c r="AM301" t="str">
        <f>IF([3]Entry!$R$304="","",[3]Entry!$R$304)</f>
        <v/>
      </c>
    </row>
    <row r="302" spans="1:39" x14ac:dyDescent="0.2">
      <c r="A302" t="str">
        <f>IF([1]Accounts!$D$303="","",[1]Accounts!$A$303)</f>
        <v/>
      </c>
      <c r="B302" t="str">
        <f>IF([1]Accounts!$D$303="","",[1]Accounts!$B$303)</f>
        <v/>
      </c>
      <c r="C302" t="str">
        <f>IF([1]Accounts!$D$303="","",[1]Accounts!$C$303)</f>
        <v/>
      </c>
      <c r="D302" t="str">
        <f>IF([1]Accounts!$D$303="","",[1]Accounts!$D$303)</f>
        <v/>
      </c>
      <c r="E302" t="str">
        <f>IF([1]Accounts!$D$303="","",[1]Accounts!$E$303)</f>
        <v/>
      </c>
      <c r="F302" t="str">
        <f>IF([1]Accounts!$D$303="","",[1]Accounts!$F$303)</f>
        <v/>
      </c>
      <c r="G302" t="str">
        <f>IF([1]Accounts!$D$303="","",[1]Accounts!$G$303)</f>
        <v/>
      </c>
      <c r="T302" t="str">
        <f>IF([2]Baskol!$B$305="","",[2]Baskol!$B$305)</f>
        <v/>
      </c>
      <c r="U302" t="str">
        <f>IF([2]Baskol!$C$305="","",[2]Baskol!$C$305)</f>
        <v/>
      </c>
      <c r="V302" t="str">
        <f>IF([2]Baskol!$D$305="","",[2]Baskol!$D$305)</f>
        <v/>
      </c>
      <c r="W302" t="str">
        <f>IF([2]Baskol!$E$305="","",[2]Baskol!$E$305)</f>
        <v/>
      </c>
      <c r="X302" t="str">
        <f>IF([2]Baskol!$G$305="","",[2]Baskol!$G$305)</f>
        <v/>
      </c>
      <c r="Y302" t="str">
        <f>IF([2]Baskol!$I$305="","",[2]Baskol!$I$305)</f>
        <v/>
      </c>
      <c r="Z302" t="str">
        <f>IF([2]Baskol!$J$305="","",[2]Baskol!$J$305)</f>
        <v/>
      </c>
      <c r="AA302" t="str">
        <f>IF([2]Baskol!$K$305="","",[2]Baskol!$K$305)</f>
        <v/>
      </c>
      <c r="AB302" t="str">
        <f>IF([2]Baskol!$L$305="","",[2]Baskol!$L$305)</f>
        <v/>
      </c>
      <c r="AC302" t="str">
        <f>IF([2]Baskol!$N$305="","",[2]Baskol!$N$305)</f>
        <v/>
      </c>
      <c r="AD302" t="str">
        <f>IF([2]Baskol!$O$305="","",[2]Baskol!$O$305)</f>
        <v/>
      </c>
      <c r="AE302" t="str">
        <f>IF([3]Entry!$C$305="","",[3]Entry!$C$305)</f>
        <v/>
      </c>
      <c r="AF302" t="str">
        <f>IF([3]Entry!$D$305="","",[3]Entry!$D$305)</f>
        <v/>
      </c>
      <c r="AG302" t="str">
        <f>IF([3]Entry!$E$305="","",[3]Entry!$E$305)</f>
        <v/>
      </c>
      <c r="AH302" t="str">
        <f>IF([3]Entry!$G$305="","",[3]Entry!$G$305)</f>
        <v/>
      </c>
      <c r="AI302" t="str">
        <f>IF([3]Entry!$K$305="","",[3]Entry!$K$305)</f>
        <v/>
      </c>
      <c r="AJ302" t="str">
        <f>IF([3]Entry!$L$305="","",[3]Entry!$L$305)</f>
        <v/>
      </c>
      <c r="AK302" t="str">
        <f>IF([3]Entry!$M$305="","",[3]Entry!$M$305)</f>
        <v/>
      </c>
      <c r="AL302" t="str">
        <f>IF([3]Entry!$N$305="","",[3]Entry!$N$305)</f>
        <v/>
      </c>
      <c r="AM302" t="str">
        <f>IF([3]Entry!$R$305="","",[3]Entry!$R$305)</f>
        <v/>
      </c>
    </row>
    <row r="303" spans="1:39" x14ac:dyDescent="0.2">
      <c r="A303" t="str">
        <f>IF([1]Accounts!$D$304="","",[1]Accounts!$A$304)</f>
        <v/>
      </c>
      <c r="B303" t="str">
        <f>IF([1]Accounts!$D$304="","",[1]Accounts!$B$304)</f>
        <v/>
      </c>
      <c r="C303" t="str">
        <f>IF([1]Accounts!$D$304="","",[1]Accounts!$C$304)</f>
        <v/>
      </c>
      <c r="D303" t="str">
        <f>IF([1]Accounts!$D$304="","",[1]Accounts!$D$304)</f>
        <v/>
      </c>
      <c r="E303" t="str">
        <f>IF([1]Accounts!$D$304="","",[1]Accounts!$E$304)</f>
        <v/>
      </c>
      <c r="F303" t="str">
        <f>IF([1]Accounts!$D$304="","",[1]Accounts!$F$304)</f>
        <v/>
      </c>
      <c r="G303" t="str">
        <f>IF([1]Accounts!$D$304="","",[1]Accounts!$G$304)</f>
        <v/>
      </c>
      <c r="T303" t="str">
        <f>IF([2]Baskol!$B$306="","",[2]Baskol!$B$306)</f>
        <v/>
      </c>
      <c r="U303" t="str">
        <f>IF([2]Baskol!$C$306="","",[2]Baskol!$C$306)</f>
        <v/>
      </c>
      <c r="V303" t="str">
        <f>IF([2]Baskol!$D$306="","",[2]Baskol!$D$306)</f>
        <v/>
      </c>
      <c r="W303" t="str">
        <f>IF([2]Baskol!$E$306="","",[2]Baskol!$E$306)</f>
        <v/>
      </c>
      <c r="X303" t="str">
        <f>IF([2]Baskol!$G$306="","",[2]Baskol!$G$306)</f>
        <v/>
      </c>
      <c r="Y303" t="str">
        <f>IF([2]Baskol!$I$306="","",[2]Baskol!$I$306)</f>
        <v/>
      </c>
      <c r="Z303" t="str">
        <f>IF([2]Baskol!$J$306="","",[2]Baskol!$J$306)</f>
        <v/>
      </c>
      <c r="AA303" t="str">
        <f>IF([2]Baskol!$K$306="","",[2]Baskol!$K$306)</f>
        <v/>
      </c>
      <c r="AB303" t="str">
        <f>IF([2]Baskol!$L$306="","",[2]Baskol!$L$306)</f>
        <v/>
      </c>
      <c r="AC303" t="str">
        <f>IF([2]Baskol!$N$306="","",[2]Baskol!$N$306)</f>
        <v/>
      </c>
      <c r="AD303" t="str">
        <f>IF([2]Baskol!$O$306="","",[2]Baskol!$O$306)</f>
        <v/>
      </c>
      <c r="AE303" t="str">
        <f>IF([3]Entry!$C$306="","",[3]Entry!$C$306)</f>
        <v/>
      </c>
      <c r="AF303" t="str">
        <f>IF([3]Entry!$D$306="","",[3]Entry!$D$306)</f>
        <v/>
      </c>
      <c r="AG303" t="str">
        <f>IF([3]Entry!$E$306="","",[3]Entry!$E$306)</f>
        <v/>
      </c>
      <c r="AH303" t="str">
        <f>IF([3]Entry!$G$306="","",[3]Entry!$G$306)</f>
        <v/>
      </c>
      <c r="AI303" t="str">
        <f>IF([3]Entry!$K$306="","",[3]Entry!$K$306)</f>
        <v/>
      </c>
      <c r="AJ303" t="str">
        <f>IF([3]Entry!$L$306="","",[3]Entry!$L$306)</f>
        <v/>
      </c>
      <c r="AK303" t="str">
        <f>IF([3]Entry!$M$306="","",[3]Entry!$M$306)</f>
        <v/>
      </c>
      <c r="AL303" t="str">
        <f>IF([3]Entry!$N$306="","",[3]Entry!$N$306)</f>
        <v/>
      </c>
      <c r="AM303" t="str">
        <f>IF([3]Entry!$R$306="","",[3]Entry!$R$306)</f>
        <v/>
      </c>
    </row>
    <row r="304" spans="1:39" x14ac:dyDescent="0.2">
      <c r="A304" t="str">
        <f>IF([1]Accounts!$D$305="","",[1]Accounts!$A$305)</f>
        <v/>
      </c>
      <c r="B304" t="str">
        <f>IF([1]Accounts!$D$305="","",[1]Accounts!$B$305)</f>
        <v/>
      </c>
      <c r="C304" t="str">
        <f>IF([1]Accounts!$D$305="","",[1]Accounts!$C$305)</f>
        <v/>
      </c>
      <c r="D304" t="str">
        <f>IF([1]Accounts!$D$305="","",[1]Accounts!$D$305)</f>
        <v/>
      </c>
      <c r="E304" t="str">
        <f>IF([1]Accounts!$D$305="","",[1]Accounts!$E$305)</f>
        <v/>
      </c>
      <c r="F304" t="str">
        <f>IF([1]Accounts!$D$305="","",[1]Accounts!$F$305)</f>
        <v/>
      </c>
      <c r="G304" t="str">
        <f>IF([1]Accounts!$D$305="","",[1]Accounts!$G$305)</f>
        <v/>
      </c>
      <c r="T304" t="str">
        <f>IF([2]Baskol!$B$307="","",[2]Baskol!$B$307)</f>
        <v/>
      </c>
      <c r="U304" t="str">
        <f>IF([2]Baskol!$C$307="","",[2]Baskol!$C$307)</f>
        <v/>
      </c>
      <c r="V304" t="str">
        <f>IF([2]Baskol!$D$307="","",[2]Baskol!$D$307)</f>
        <v/>
      </c>
      <c r="W304" t="str">
        <f>IF([2]Baskol!$E$307="","",[2]Baskol!$E$307)</f>
        <v/>
      </c>
      <c r="X304" t="str">
        <f>IF([2]Baskol!$G$307="","",[2]Baskol!$G$307)</f>
        <v/>
      </c>
      <c r="Y304" t="str">
        <f>IF([2]Baskol!$I$307="","",[2]Baskol!$I$307)</f>
        <v/>
      </c>
      <c r="Z304" t="str">
        <f>IF([2]Baskol!$J$307="","",[2]Baskol!$J$307)</f>
        <v/>
      </c>
      <c r="AA304" t="str">
        <f>IF([2]Baskol!$K$307="","",[2]Baskol!$K$307)</f>
        <v/>
      </c>
      <c r="AB304" t="str">
        <f>IF([2]Baskol!$L$307="","",[2]Baskol!$L$307)</f>
        <v/>
      </c>
      <c r="AC304" t="str">
        <f>IF([2]Baskol!$N$307="","",[2]Baskol!$N$307)</f>
        <v/>
      </c>
      <c r="AD304" t="str">
        <f>IF([2]Baskol!$O$307="","",[2]Baskol!$O$307)</f>
        <v/>
      </c>
      <c r="AE304" t="str">
        <f>IF([3]Entry!$C$307="","",[3]Entry!$C$307)</f>
        <v/>
      </c>
      <c r="AF304" t="str">
        <f>IF([3]Entry!$D$307="","",[3]Entry!$D$307)</f>
        <v/>
      </c>
      <c r="AG304" t="str">
        <f>IF([3]Entry!$E$307="","",[3]Entry!$E$307)</f>
        <v/>
      </c>
      <c r="AH304" t="str">
        <f>IF([3]Entry!$G$307="","",[3]Entry!$G$307)</f>
        <v/>
      </c>
      <c r="AI304" t="str">
        <f>IF([3]Entry!$K$307="","",[3]Entry!$K$307)</f>
        <v/>
      </c>
      <c r="AJ304" t="str">
        <f>IF([3]Entry!$L$307="","",[3]Entry!$L$307)</f>
        <v/>
      </c>
      <c r="AK304" t="str">
        <f>IF([3]Entry!$M$307="","",[3]Entry!$M$307)</f>
        <v/>
      </c>
      <c r="AL304" t="str">
        <f>IF([3]Entry!$N$307="","",[3]Entry!$N$307)</f>
        <v/>
      </c>
      <c r="AM304" t="str">
        <f>IF([3]Entry!$R$307="","",[3]Entry!$R$307)</f>
        <v/>
      </c>
    </row>
    <row r="305" spans="1:39" x14ac:dyDescent="0.2">
      <c r="A305" t="str">
        <f>IF([1]Accounts!$D$306="","",[1]Accounts!$A$306)</f>
        <v/>
      </c>
      <c r="B305" t="str">
        <f>IF([1]Accounts!$D$306="","",[1]Accounts!$B$306)</f>
        <v/>
      </c>
      <c r="C305" t="str">
        <f>IF([1]Accounts!$D$306="","",[1]Accounts!$C$306)</f>
        <v/>
      </c>
      <c r="D305" t="str">
        <f>IF([1]Accounts!$D$306="","",[1]Accounts!$D$306)</f>
        <v/>
      </c>
      <c r="E305" t="str">
        <f>IF([1]Accounts!$D$306="","",[1]Accounts!$E$306)</f>
        <v/>
      </c>
      <c r="F305" t="str">
        <f>IF([1]Accounts!$D$306="","",[1]Accounts!$F$306)</f>
        <v/>
      </c>
      <c r="G305" t="str">
        <f>IF([1]Accounts!$D$306="","",[1]Accounts!$G$306)</f>
        <v/>
      </c>
      <c r="T305" t="str">
        <f>IF([2]Baskol!$B$308="","",[2]Baskol!$B$308)</f>
        <v/>
      </c>
      <c r="U305" t="str">
        <f>IF([2]Baskol!$C$308="","",[2]Baskol!$C$308)</f>
        <v/>
      </c>
      <c r="V305" t="str">
        <f>IF([2]Baskol!$D$308="","",[2]Baskol!$D$308)</f>
        <v/>
      </c>
      <c r="W305" t="str">
        <f>IF([2]Baskol!$E$308="","",[2]Baskol!$E$308)</f>
        <v/>
      </c>
      <c r="X305" t="str">
        <f>IF([2]Baskol!$G$308="","",[2]Baskol!$G$308)</f>
        <v/>
      </c>
      <c r="Y305" t="str">
        <f>IF([2]Baskol!$I$308="","",[2]Baskol!$I$308)</f>
        <v/>
      </c>
      <c r="Z305" t="str">
        <f>IF([2]Baskol!$J$308="","",[2]Baskol!$J$308)</f>
        <v/>
      </c>
      <c r="AA305" t="str">
        <f>IF([2]Baskol!$K$308="","",[2]Baskol!$K$308)</f>
        <v/>
      </c>
      <c r="AB305" t="str">
        <f>IF([2]Baskol!$L$308="","",[2]Baskol!$L$308)</f>
        <v/>
      </c>
      <c r="AC305" t="str">
        <f>IF([2]Baskol!$N$308="","",[2]Baskol!$N$308)</f>
        <v/>
      </c>
      <c r="AD305" t="str">
        <f>IF([2]Baskol!$O$308="","",[2]Baskol!$O$308)</f>
        <v/>
      </c>
      <c r="AE305" t="str">
        <f>IF([3]Entry!$C$308="","",[3]Entry!$C$308)</f>
        <v/>
      </c>
      <c r="AF305" t="str">
        <f>IF([3]Entry!$D$308="","",[3]Entry!$D$308)</f>
        <v/>
      </c>
      <c r="AG305" t="str">
        <f>IF([3]Entry!$E$308="","",[3]Entry!$E$308)</f>
        <v/>
      </c>
      <c r="AH305" t="str">
        <f>IF([3]Entry!$G$308="","",[3]Entry!$G$308)</f>
        <v/>
      </c>
      <c r="AI305" t="str">
        <f>IF([3]Entry!$K$308="","",[3]Entry!$K$308)</f>
        <v/>
      </c>
      <c r="AJ305" t="str">
        <f>IF([3]Entry!$L$308="","",[3]Entry!$L$308)</f>
        <v/>
      </c>
      <c r="AK305" t="str">
        <f>IF([3]Entry!$M$308="","",[3]Entry!$M$308)</f>
        <v/>
      </c>
      <c r="AL305" t="str">
        <f>IF([3]Entry!$N$308="","",[3]Entry!$N$308)</f>
        <v/>
      </c>
      <c r="AM305" t="str">
        <f>IF([3]Entry!$R$308="","",[3]Entry!$R$308)</f>
        <v/>
      </c>
    </row>
    <row r="306" spans="1:39" x14ac:dyDescent="0.2">
      <c r="A306" t="str">
        <f>IF([1]Accounts!$D$307="","",[1]Accounts!$A$307)</f>
        <v>S001</v>
      </c>
      <c r="B306" t="str">
        <f>IF([1]Accounts!$D$307="","",[1]Accounts!$B$307)</f>
        <v>تأمین‌کننده</v>
      </c>
      <c r="C306" t="str">
        <f>IF([1]Accounts!$D$307="","",[1]Accounts!$C$307)</f>
        <v>فروشنده سبد</v>
      </c>
      <c r="D306" t="str">
        <f>IF([1]Accounts!$D$307="","",[1]Accounts!$D$307)</f>
        <v>حسن کوچکزاده</v>
      </c>
      <c r="E306" t="str">
        <f>IF([1]Accounts!$D$307="","",[1]Accounts!$E$307)</f>
        <v>011-44440001</v>
      </c>
      <c r="F306" t="str">
        <f>IF([1]Accounts!$D$307="","",[1]Accounts!$F$307)</f>
        <v>09110000004</v>
      </c>
      <c r="G306" t="str">
        <f>IF([1]Accounts!$D$307="","",[1]Accounts!$G$307)</f>
        <v>باغدشت</v>
      </c>
      <c r="T306" t="str">
        <f>IF([2]Baskol!$B$309="","",[2]Baskol!$B$309)</f>
        <v/>
      </c>
      <c r="U306" t="str">
        <f>IF([2]Baskol!$C$309="","",[2]Baskol!$C$309)</f>
        <v/>
      </c>
      <c r="V306" t="str">
        <f>IF([2]Baskol!$D$309="","",[2]Baskol!$D$309)</f>
        <v/>
      </c>
      <c r="W306" t="str">
        <f>IF([2]Baskol!$E$309="","",[2]Baskol!$E$309)</f>
        <v/>
      </c>
      <c r="X306" t="str">
        <f>IF([2]Baskol!$G$309="","",[2]Baskol!$G$309)</f>
        <v/>
      </c>
      <c r="Y306" t="str">
        <f>IF([2]Baskol!$I$309="","",[2]Baskol!$I$309)</f>
        <v/>
      </c>
      <c r="Z306" t="str">
        <f>IF([2]Baskol!$J$309="","",[2]Baskol!$J$309)</f>
        <v/>
      </c>
      <c r="AA306" t="str">
        <f>IF([2]Baskol!$K$309="","",[2]Baskol!$K$309)</f>
        <v/>
      </c>
      <c r="AB306" t="str">
        <f>IF([2]Baskol!$L$309="","",[2]Baskol!$L$309)</f>
        <v/>
      </c>
      <c r="AC306" t="str">
        <f>IF([2]Baskol!$N$309="","",[2]Baskol!$N$309)</f>
        <v/>
      </c>
      <c r="AD306" t="str">
        <f>IF([2]Baskol!$O$309="","",[2]Baskol!$O$309)</f>
        <v/>
      </c>
      <c r="AE306" t="str">
        <f>IF([3]Entry!$C$309="","",[3]Entry!$C$309)</f>
        <v/>
      </c>
      <c r="AF306" t="str">
        <f>IF([3]Entry!$D$309="","",[3]Entry!$D$309)</f>
        <v/>
      </c>
      <c r="AG306" t="str">
        <f>IF([3]Entry!$E$309="","",[3]Entry!$E$309)</f>
        <v/>
      </c>
      <c r="AH306" t="str">
        <f>IF([3]Entry!$G$309="","",[3]Entry!$G$309)</f>
        <v/>
      </c>
      <c r="AI306" t="str">
        <f>IF([3]Entry!$K$309="","",[3]Entry!$K$309)</f>
        <v/>
      </c>
      <c r="AJ306" t="str">
        <f>IF([3]Entry!$L$309="","",[3]Entry!$L$309)</f>
        <v/>
      </c>
      <c r="AK306" t="str">
        <f>IF([3]Entry!$M$309="","",[3]Entry!$M$309)</f>
        <v/>
      </c>
      <c r="AL306" t="str">
        <f>IF([3]Entry!$N$309="","",[3]Entry!$N$309)</f>
        <v/>
      </c>
      <c r="AM306" t="str">
        <f>IF([3]Entry!$R$309="","",[3]Entry!$R$309)</f>
        <v/>
      </c>
    </row>
    <row r="307" spans="1:39" x14ac:dyDescent="0.2">
      <c r="A307" t="str">
        <f>IF([1]Accounts!$D$308="","",[1]Accounts!$A$308)</f>
        <v>S002</v>
      </c>
      <c r="B307" t="str">
        <f>IF([1]Accounts!$D$308="","",[1]Accounts!$B$308)</f>
        <v>تأمین‌کننده</v>
      </c>
      <c r="C307" t="str">
        <f>IF([1]Accounts!$D$308="","",[1]Accounts!$C$308)</f>
        <v>فروشنده سبد</v>
      </c>
      <c r="D307" t="str">
        <f>IF([1]Accounts!$D$308="","",[1]Accounts!$D$308)</f>
        <v>سید محمد موسویان</v>
      </c>
      <c r="E307" t="str">
        <f>IF([1]Accounts!$D$308="","",[1]Accounts!$E$308)</f>
        <v>011-44440002</v>
      </c>
      <c r="F307" t="str">
        <f>IF([1]Accounts!$D$308="","",[1]Accounts!$F$308)</f>
        <v>09110000005</v>
      </c>
      <c r="G307" t="str">
        <f>IF([1]Accounts!$D$308="","",[1]Accounts!$G$308)</f>
        <v>قائم‌شهر — میدان بار</v>
      </c>
      <c r="T307" t="str">
        <f>IF([2]Baskol!$B$310="","",[2]Baskol!$B$310)</f>
        <v/>
      </c>
      <c r="U307" t="str">
        <f>IF([2]Baskol!$C$310="","",[2]Baskol!$C$310)</f>
        <v/>
      </c>
      <c r="V307" t="str">
        <f>IF([2]Baskol!$D$310="","",[2]Baskol!$D$310)</f>
        <v/>
      </c>
      <c r="W307" t="str">
        <f>IF([2]Baskol!$E$310="","",[2]Baskol!$E$310)</f>
        <v/>
      </c>
      <c r="X307" t="str">
        <f>IF([2]Baskol!$G$310="","",[2]Baskol!$G$310)</f>
        <v/>
      </c>
      <c r="Y307" t="str">
        <f>IF([2]Baskol!$I$310="","",[2]Baskol!$I$310)</f>
        <v/>
      </c>
      <c r="Z307" t="str">
        <f>IF([2]Baskol!$J$310="","",[2]Baskol!$J$310)</f>
        <v/>
      </c>
      <c r="AA307" t="str">
        <f>IF([2]Baskol!$K$310="","",[2]Baskol!$K$310)</f>
        <v/>
      </c>
      <c r="AB307" t="str">
        <f>IF([2]Baskol!$L$310="","",[2]Baskol!$L$310)</f>
        <v/>
      </c>
      <c r="AC307" t="str">
        <f>IF([2]Baskol!$N$310="","",[2]Baskol!$N$310)</f>
        <v/>
      </c>
      <c r="AD307" t="str">
        <f>IF([2]Baskol!$O$310="","",[2]Baskol!$O$310)</f>
        <v/>
      </c>
      <c r="AE307" t="str">
        <f>IF([3]Entry!$C$310="","",[3]Entry!$C$310)</f>
        <v/>
      </c>
      <c r="AF307" t="str">
        <f>IF([3]Entry!$D$310="","",[3]Entry!$D$310)</f>
        <v/>
      </c>
      <c r="AG307" t="str">
        <f>IF([3]Entry!$E$310="","",[3]Entry!$E$310)</f>
        <v/>
      </c>
      <c r="AH307" t="str">
        <f>IF([3]Entry!$G$310="","",[3]Entry!$G$310)</f>
        <v/>
      </c>
      <c r="AI307" t="str">
        <f>IF([3]Entry!$K$310="","",[3]Entry!$K$310)</f>
        <v/>
      </c>
      <c r="AJ307" t="str">
        <f>IF([3]Entry!$L$310="","",[3]Entry!$L$310)</f>
        <v/>
      </c>
      <c r="AK307" t="str">
        <f>IF([3]Entry!$M$310="","",[3]Entry!$M$310)</f>
        <v/>
      </c>
      <c r="AL307" t="str">
        <f>IF([3]Entry!$N$310="","",[3]Entry!$N$310)</f>
        <v/>
      </c>
      <c r="AM307" t="str">
        <f>IF([3]Entry!$R$310="","",[3]Entry!$R$310)</f>
        <v/>
      </c>
    </row>
    <row r="308" spans="1:39" x14ac:dyDescent="0.2">
      <c r="A308" t="str">
        <f>IF([1]Accounts!$D$309="","",[1]Accounts!$A$309)</f>
        <v>S003</v>
      </c>
      <c r="B308" t="str">
        <f>IF([1]Accounts!$D$309="","",[1]Accounts!$B$309)</f>
        <v>تأمین‌کننده</v>
      </c>
      <c r="C308" t="str">
        <f>IF([1]Accounts!$D$309="","",[1]Accounts!$C$309)</f>
        <v>فروشنده سبد</v>
      </c>
      <c r="D308" t="str">
        <f>IF([1]Accounts!$D$309="","",[1]Accounts!$D$309)</f>
        <v>سید ربیع موسویان</v>
      </c>
      <c r="E308">
        <f>IF([1]Accounts!$D$309="","",[1]Accounts!$E$309)</f>
        <v>0</v>
      </c>
      <c r="F308">
        <f>IF([1]Accounts!$D$309="","",[1]Accounts!$F$309)</f>
        <v>0</v>
      </c>
      <c r="G308">
        <f>IF([1]Accounts!$D$309="","",[1]Accounts!$G$309)</f>
        <v>0</v>
      </c>
      <c r="T308" t="str">
        <f>IF([2]Baskol!$B$311="","",[2]Baskol!$B$311)</f>
        <v/>
      </c>
      <c r="U308" t="str">
        <f>IF([2]Baskol!$C$311="","",[2]Baskol!$C$311)</f>
        <v/>
      </c>
      <c r="V308" t="str">
        <f>IF([2]Baskol!$D$311="","",[2]Baskol!$D$311)</f>
        <v/>
      </c>
      <c r="W308" t="str">
        <f>IF([2]Baskol!$E$311="","",[2]Baskol!$E$311)</f>
        <v/>
      </c>
      <c r="X308" t="str">
        <f>IF([2]Baskol!$G$311="","",[2]Baskol!$G$311)</f>
        <v/>
      </c>
      <c r="Y308" t="str">
        <f>IF([2]Baskol!$I$311="","",[2]Baskol!$I$311)</f>
        <v/>
      </c>
      <c r="Z308" t="str">
        <f>IF([2]Baskol!$J$311="","",[2]Baskol!$J$311)</f>
        <v/>
      </c>
      <c r="AA308" t="str">
        <f>IF([2]Baskol!$K$311="","",[2]Baskol!$K$311)</f>
        <v/>
      </c>
      <c r="AB308" t="str">
        <f>IF([2]Baskol!$L$311="","",[2]Baskol!$L$311)</f>
        <v/>
      </c>
      <c r="AC308" t="str">
        <f>IF([2]Baskol!$N$311="","",[2]Baskol!$N$311)</f>
        <v/>
      </c>
      <c r="AD308" t="str">
        <f>IF([2]Baskol!$O$311="","",[2]Baskol!$O$311)</f>
        <v/>
      </c>
      <c r="AE308" t="str">
        <f>IF([3]Entry!$C$311="","",[3]Entry!$C$311)</f>
        <v/>
      </c>
      <c r="AF308" t="str">
        <f>IF([3]Entry!$D$311="","",[3]Entry!$D$311)</f>
        <v/>
      </c>
      <c r="AG308" t="str">
        <f>IF([3]Entry!$E$311="","",[3]Entry!$E$311)</f>
        <v/>
      </c>
      <c r="AH308" t="str">
        <f>IF([3]Entry!$G$311="","",[3]Entry!$G$311)</f>
        <v/>
      </c>
      <c r="AI308" t="str">
        <f>IF([3]Entry!$K$311="","",[3]Entry!$K$311)</f>
        <v/>
      </c>
      <c r="AJ308" t="str">
        <f>IF([3]Entry!$L$311="","",[3]Entry!$L$311)</f>
        <v/>
      </c>
      <c r="AK308" t="str">
        <f>IF([3]Entry!$M$311="","",[3]Entry!$M$311)</f>
        <v/>
      </c>
      <c r="AL308" t="str">
        <f>IF([3]Entry!$N$311="","",[3]Entry!$N$311)</f>
        <v/>
      </c>
      <c r="AM308" t="str">
        <f>IF([3]Entry!$R$311="","",[3]Entry!$R$311)</f>
        <v/>
      </c>
    </row>
    <row r="309" spans="1:39" x14ac:dyDescent="0.2">
      <c r="A309" t="str">
        <f>IF([1]Accounts!$D$310="","",[1]Accounts!$A$310)</f>
        <v/>
      </c>
      <c r="B309" t="str">
        <f>IF([1]Accounts!$D$310="","",[1]Accounts!$B$310)</f>
        <v/>
      </c>
      <c r="C309" t="str">
        <f>IF([1]Accounts!$D$310="","",[1]Accounts!$C$310)</f>
        <v/>
      </c>
      <c r="D309" t="str">
        <f>IF([1]Accounts!$D$310="","",[1]Accounts!$D$310)</f>
        <v/>
      </c>
      <c r="E309" t="str">
        <f>IF([1]Accounts!$D$310="","",[1]Accounts!$E$310)</f>
        <v/>
      </c>
      <c r="F309" t="str">
        <f>IF([1]Accounts!$D$310="","",[1]Accounts!$F$310)</f>
        <v/>
      </c>
      <c r="G309" t="str">
        <f>IF([1]Accounts!$D$310="","",[1]Accounts!$G$310)</f>
        <v/>
      </c>
      <c r="T309" t="str">
        <f>IF([2]Baskol!$B$312="","",[2]Baskol!$B$312)</f>
        <v/>
      </c>
      <c r="U309" t="str">
        <f>IF([2]Baskol!$C$312="","",[2]Baskol!$C$312)</f>
        <v/>
      </c>
      <c r="V309" t="str">
        <f>IF([2]Baskol!$D$312="","",[2]Baskol!$D$312)</f>
        <v/>
      </c>
      <c r="W309" t="str">
        <f>IF([2]Baskol!$E$312="","",[2]Baskol!$E$312)</f>
        <v/>
      </c>
      <c r="X309" t="str">
        <f>IF([2]Baskol!$G$312="","",[2]Baskol!$G$312)</f>
        <v/>
      </c>
      <c r="Y309" t="str">
        <f>IF([2]Baskol!$I$312="","",[2]Baskol!$I$312)</f>
        <v/>
      </c>
      <c r="Z309" t="str">
        <f>IF([2]Baskol!$J$312="","",[2]Baskol!$J$312)</f>
        <v/>
      </c>
      <c r="AA309" t="str">
        <f>IF([2]Baskol!$K$312="","",[2]Baskol!$K$312)</f>
        <v/>
      </c>
      <c r="AB309" t="str">
        <f>IF([2]Baskol!$L$312="","",[2]Baskol!$L$312)</f>
        <v/>
      </c>
      <c r="AC309" t="str">
        <f>IF([2]Baskol!$N$312="","",[2]Baskol!$N$312)</f>
        <v/>
      </c>
      <c r="AD309" t="str">
        <f>IF([2]Baskol!$O$312="","",[2]Baskol!$O$312)</f>
        <v/>
      </c>
      <c r="AE309" t="str">
        <f>IF([3]Entry!$C$312="","",[3]Entry!$C$312)</f>
        <v/>
      </c>
      <c r="AF309" t="str">
        <f>IF([3]Entry!$D$312="","",[3]Entry!$D$312)</f>
        <v/>
      </c>
      <c r="AG309" t="str">
        <f>IF([3]Entry!$E$312="","",[3]Entry!$E$312)</f>
        <v/>
      </c>
      <c r="AH309" t="str">
        <f>IF([3]Entry!$G$312="","",[3]Entry!$G$312)</f>
        <v/>
      </c>
      <c r="AI309" t="str">
        <f>IF([3]Entry!$K$312="","",[3]Entry!$K$312)</f>
        <v/>
      </c>
      <c r="AJ309" t="str">
        <f>IF([3]Entry!$L$312="","",[3]Entry!$L$312)</f>
        <v/>
      </c>
      <c r="AK309" t="str">
        <f>IF([3]Entry!$M$312="","",[3]Entry!$M$312)</f>
        <v/>
      </c>
      <c r="AL309" t="str">
        <f>IF([3]Entry!$N$312="","",[3]Entry!$N$312)</f>
        <v/>
      </c>
      <c r="AM309" t="str">
        <f>IF([3]Entry!$R$312="","",[3]Entry!$R$312)</f>
        <v/>
      </c>
    </row>
    <row r="310" spans="1:39" x14ac:dyDescent="0.2">
      <c r="A310" t="str">
        <f>IF([1]Accounts!$D$311="","",[1]Accounts!$A$311)</f>
        <v/>
      </c>
      <c r="B310" t="str">
        <f>IF([1]Accounts!$D$311="","",[1]Accounts!$B$311)</f>
        <v/>
      </c>
      <c r="C310" t="str">
        <f>IF([1]Accounts!$D$311="","",[1]Accounts!$C$311)</f>
        <v/>
      </c>
      <c r="D310" t="str">
        <f>IF([1]Accounts!$D$311="","",[1]Accounts!$D$311)</f>
        <v/>
      </c>
      <c r="E310" t="str">
        <f>IF([1]Accounts!$D$311="","",[1]Accounts!$E$311)</f>
        <v/>
      </c>
      <c r="F310" t="str">
        <f>IF([1]Accounts!$D$311="","",[1]Accounts!$F$311)</f>
        <v/>
      </c>
      <c r="G310" t="str">
        <f>IF([1]Accounts!$D$311="","",[1]Accounts!$G$311)</f>
        <v/>
      </c>
      <c r="T310" t="str">
        <f>IF([2]Baskol!$B$313="","",[2]Baskol!$B$313)</f>
        <v/>
      </c>
      <c r="U310" t="str">
        <f>IF([2]Baskol!$C$313="","",[2]Baskol!$C$313)</f>
        <v/>
      </c>
      <c r="V310" t="str">
        <f>IF([2]Baskol!$D$313="","",[2]Baskol!$D$313)</f>
        <v/>
      </c>
      <c r="W310" t="str">
        <f>IF([2]Baskol!$E$313="","",[2]Baskol!$E$313)</f>
        <v/>
      </c>
      <c r="X310" t="str">
        <f>IF([2]Baskol!$G$313="","",[2]Baskol!$G$313)</f>
        <v/>
      </c>
      <c r="Y310" t="str">
        <f>IF([2]Baskol!$I$313="","",[2]Baskol!$I$313)</f>
        <v/>
      </c>
      <c r="Z310" t="str">
        <f>IF([2]Baskol!$J$313="","",[2]Baskol!$J$313)</f>
        <v/>
      </c>
      <c r="AA310" t="str">
        <f>IF([2]Baskol!$K$313="","",[2]Baskol!$K$313)</f>
        <v/>
      </c>
      <c r="AB310" t="str">
        <f>IF([2]Baskol!$L$313="","",[2]Baskol!$L$313)</f>
        <v/>
      </c>
      <c r="AC310" t="str">
        <f>IF([2]Baskol!$N$313="","",[2]Baskol!$N$313)</f>
        <v/>
      </c>
      <c r="AD310" t="str">
        <f>IF([2]Baskol!$O$313="","",[2]Baskol!$O$313)</f>
        <v/>
      </c>
      <c r="AE310" t="str">
        <f>IF([3]Entry!$C$313="","",[3]Entry!$C$313)</f>
        <v/>
      </c>
      <c r="AF310" t="str">
        <f>IF([3]Entry!$D$313="","",[3]Entry!$D$313)</f>
        <v/>
      </c>
      <c r="AG310" t="str">
        <f>IF([3]Entry!$E$313="","",[3]Entry!$E$313)</f>
        <v/>
      </c>
      <c r="AH310" t="str">
        <f>IF([3]Entry!$G$313="","",[3]Entry!$G$313)</f>
        <v/>
      </c>
      <c r="AI310" t="str">
        <f>IF([3]Entry!$K$313="","",[3]Entry!$K$313)</f>
        <v/>
      </c>
      <c r="AJ310" t="str">
        <f>IF([3]Entry!$L$313="","",[3]Entry!$L$313)</f>
        <v/>
      </c>
      <c r="AK310" t="str">
        <f>IF([3]Entry!$M$313="","",[3]Entry!$M$313)</f>
        <v/>
      </c>
      <c r="AL310" t="str">
        <f>IF([3]Entry!$N$313="","",[3]Entry!$N$313)</f>
        <v/>
      </c>
      <c r="AM310" t="str">
        <f>IF([3]Entry!$R$313="","",[3]Entry!$R$313)</f>
        <v/>
      </c>
    </row>
    <row r="311" spans="1:39" x14ac:dyDescent="0.2">
      <c r="A311" t="str">
        <f>IF([1]Accounts!$D$312="","",[1]Accounts!$A$312)</f>
        <v/>
      </c>
      <c r="B311" t="str">
        <f>IF([1]Accounts!$D$312="","",[1]Accounts!$B$312)</f>
        <v/>
      </c>
      <c r="C311" t="str">
        <f>IF([1]Accounts!$D$312="","",[1]Accounts!$C$312)</f>
        <v/>
      </c>
      <c r="D311" t="str">
        <f>IF([1]Accounts!$D$312="","",[1]Accounts!$D$312)</f>
        <v/>
      </c>
      <c r="E311" t="str">
        <f>IF([1]Accounts!$D$312="","",[1]Accounts!$E$312)</f>
        <v/>
      </c>
      <c r="F311" t="str">
        <f>IF([1]Accounts!$D$312="","",[1]Accounts!$F$312)</f>
        <v/>
      </c>
      <c r="G311" t="str">
        <f>IF([1]Accounts!$D$312="","",[1]Accounts!$G$312)</f>
        <v/>
      </c>
      <c r="T311" t="str">
        <f>IF([2]Baskol!$B$314="","",[2]Baskol!$B$314)</f>
        <v/>
      </c>
      <c r="U311" t="str">
        <f>IF([2]Baskol!$C$314="","",[2]Baskol!$C$314)</f>
        <v/>
      </c>
      <c r="V311" t="str">
        <f>IF([2]Baskol!$D$314="","",[2]Baskol!$D$314)</f>
        <v/>
      </c>
      <c r="W311" t="str">
        <f>IF([2]Baskol!$E$314="","",[2]Baskol!$E$314)</f>
        <v/>
      </c>
      <c r="X311" t="str">
        <f>IF([2]Baskol!$G$314="","",[2]Baskol!$G$314)</f>
        <v/>
      </c>
      <c r="Y311" t="str">
        <f>IF([2]Baskol!$I$314="","",[2]Baskol!$I$314)</f>
        <v/>
      </c>
      <c r="Z311" t="str">
        <f>IF([2]Baskol!$J$314="","",[2]Baskol!$J$314)</f>
        <v/>
      </c>
      <c r="AA311" t="str">
        <f>IF([2]Baskol!$K$314="","",[2]Baskol!$K$314)</f>
        <v/>
      </c>
      <c r="AB311" t="str">
        <f>IF([2]Baskol!$L$314="","",[2]Baskol!$L$314)</f>
        <v/>
      </c>
      <c r="AC311" t="str">
        <f>IF([2]Baskol!$N$314="","",[2]Baskol!$N$314)</f>
        <v/>
      </c>
      <c r="AD311" t="str">
        <f>IF([2]Baskol!$O$314="","",[2]Baskol!$O$314)</f>
        <v/>
      </c>
      <c r="AE311" t="str">
        <f>IF([3]Entry!$C$314="","",[3]Entry!$C$314)</f>
        <v/>
      </c>
      <c r="AF311" t="str">
        <f>IF([3]Entry!$D$314="","",[3]Entry!$D$314)</f>
        <v/>
      </c>
      <c r="AG311" t="str">
        <f>IF([3]Entry!$E$314="","",[3]Entry!$E$314)</f>
        <v/>
      </c>
      <c r="AH311" t="str">
        <f>IF([3]Entry!$G$314="","",[3]Entry!$G$314)</f>
        <v/>
      </c>
      <c r="AI311" t="str">
        <f>IF([3]Entry!$K$314="","",[3]Entry!$K$314)</f>
        <v/>
      </c>
      <c r="AJ311" t="str">
        <f>IF([3]Entry!$L$314="","",[3]Entry!$L$314)</f>
        <v/>
      </c>
      <c r="AK311" t="str">
        <f>IF([3]Entry!$M$314="","",[3]Entry!$M$314)</f>
        <v/>
      </c>
      <c r="AL311" t="str">
        <f>IF([3]Entry!$N$314="","",[3]Entry!$N$314)</f>
        <v/>
      </c>
      <c r="AM311" t="str">
        <f>IF([3]Entry!$R$314="","",[3]Entry!$R$314)</f>
        <v/>
      </c>
    </row>
    <row r="312" spans="1:39" x14ac:dyDescent="0.2">
      <c r="A312" t="str">
        <f>IF([1]Accounts!$D$313="","",[1]Accounts!$A$313)</f>
        <v/>
      </c>
      <c r="B312" t="str">
        <f>IF([1]Accounts!$D$313="","",[1]Accounts!$B$313)</f>
        <v/>
      </c>
      <c r="C312" t="str">
        <f>IF([1]Accounts!$D$313="","",[1]Accounts!$C$313)</f>
        <v/>
      </c>
      <c r="D312" t="str">
        <f>IF([1]Accounts!$D$313="","",[1]Accounts!$D$313)</f>
        <v/>
      </c>
      <c r="E312" t="str">
        <f>IF([1]Accounts!$D$313="","",[1]Accounts!$E$313)</f>
        <v/>
      </c>
      <c r="F312" t="str">
        <f>IF([1]Accounts!$D$313="","",[1]Accounts!$F$313)</f>
        <v/>
      </c>
      <c r="G312" t="str">
        <f>IF([1]Accounts!$D$313="","",[1]Accounts!$G$313)</f>
        <v/>
      </c>
      <c r="T312" t="str">
        <f>IF([2]Baskol!$B$315="","",[2]Baskol!$B$315)</f>
        <v/>
      </c>
      <c r="U312" t="str">
        <f>IF([2]Baskol!$C$315="","",[2]Baskol!$C$315)</f>
        <v/>
      </c>
      <c r="V312" t="str">
        <f>IF([2]Baskol!$D$315="","",[2]Baskol!$D$315)</f>
        <v/>
      </c>
      <c r="W312" t="str">
        <f>IF([2]Baskol!$E$315="","",[2]Baskol!$E$315)</f>
        <v/>
      </c>
      <c r="X312" t="str">
        <f>IF([2]Baskol!$G$315="","",[2]Baskol!$G$315)</f>
        <v/>
      </c>
      <c r="Y312" t="str">
        <f>IF([2]Baskol!$I$315="","",[2]Baskol!$I$315)</f>
        <v/>
      </c>
      <c r="Z312" t="str">
        <f>IF([2]Baskol!$J$315="","",[2]Baskol!$J$315)</f>
        <v/>
      </c>
      <c r="AA312" t="str">
        <f>IF([2]Baskol!$K$315="","",[2]Baskol!$K$315)</f>
        <v/>
      </c>
      <c r="AB312" t="str">
        <f>IF([2]Baskol!$L$315="","",[2]Baskol!$L$315)</f>
        <v/>
      </c>
      <c r="AC312" t="str">
        <f>IF([2]Baskol!$N$315="","",[2]Baskol!$N$315)</f>
        <v/>
      </c>
      <c r="AD312" t="str">
        <f>IF([2]Baskol!$O$315="","",[2]Baskol!$O$315)</f>
        <v/>
      </c>
      <c r="AE312" t="str">
        <f>IF([3]Entry!$C$315="","",[3]Entry!$C$315)</f>
        <v/>
      </c>
      <c r="AF312" t="str">
        <f>IF([3]Entry!$D$315="","",[3]Entry!$D$315)</f>
        <v/>
      </c>
      <c r="AG312" t="str">
        <f>IF([3]Entry!$E$315="","",[3]Entry!$E$315)</f>
        <v/>
      </c>
      <c r="AH312" t="str">
        <f>IF([3]Entry!$G$315="","",[3]Entry!$G$315)</f>
        <v/>
      </c>
      <c r="AI312" t="str">
        <f>IF([3]Entry!$K$315="","",[3]Entry!$K$315)</f>
        <v/>
      </c>
      <c r="AJ312" t="str">
        <f>IF([3]Entry!$L$315="","",[3]Entry!$L$315)</f>
        <v/>
      </c>
      <c r="AK312" t="str">
        <f>IF([3]Entry!$M$315="","",[3]Entry!$M$315)</f>
        <v/>
      </c>
      <c r="AL312" t="str">
        <f>IF([3]Entry!$N$315="","",[3]Entry!$N$315)</f>
        <v/>
      </c>
      <c r="AM312" t="str">
        <f>IF([3]Entry!$R$315="","",[3]Entry!$R$315)</f>
        <v/>
      </c>
    </row>
    <row r="313" spans="1:39" x14ac:dyDescent="0.2">
      <c r="A313" t="str">
        <f>IF([1]Accounts!$D$314="","",[1]Accounts!$A$314)</f>
        <v/>
      </c>
      <c r="B313" t="str">
        <f>IF([1]Accounts!$D$314="","",[1]Accounts!$B$314)</f>
        <v/>
      </c>
      <c r="C313" t="str">
        <f>IF([1]Accounts!$D$314="","",[1]Accounts!$C$314)</f>
        <v/>
      </c>
      <c r="D313" t="str">
        <f>IF([1]Accounts!$D$314="","",[1]Accounts!$D$314)</f>
        <v/>
      </c>
      <c r="E313" t="str">
        <f>IF([1]Accounts!$D$314="","",[1]Accounts!$E$314)</f>
        <v/>
      </c>
      <c r="F313" t="str">
        <f>IF([1]Accounts!$D$314="","",[1]Accounts!$F$314)</f>
        <v/>
      </c>
      <c r="G313" t="str">
        <f>IF([1]Accounts!$D$314="","",[1]Accounts!$G$314)</f>
        <v/>
      </c>
      <c r="T313" t="str">
        <f>IF([2]Baskol!$B$316="","",[2]Baskol!$B$316)</f>
        <v/>
      </c>
      <c r="U313" t="str">
        <f>IF([2]Baskol!$C$316="","",[2]Baskol!$C$316)</f>
        <v/>
      </c>
      <c r="V313" t="str">
        <f>IF([2]Baskol!$D$316="","",[2]Baskol!$D$316)</f>
        <v/>
      </c>
      <c r="W313" t="str">
        <f>IF([2]Baskol!$E$316="","",[2]Baskol!$E$316)</f>
        <v/>
      </c>
      <c r="X313" t="str">
        <f>IF([2]Baskol!$G$316="","",[2]Baskol!$G$316)</f>
        <v/>
      </c>
      <c r="Y313" t="str">
        <f>IF([2]Baskol!$I$316="","",[2]Baskol!$I$316)</f>
        <v/>
      </c>
      <c r="Z313" t="str">
        <f>IF([2]Baskol!$J$316="","",[2]Baskol!$J$316)</f>
        <v/>
      </c>
      <c r="AA313" t="str">
        <f>IF([2]Baskol!$K$316="","",[2]Baskol!$K$316)</f>
        <v/>
      </c>
      <c r="AB313" t="str">
        <f>IF([2]Baskol!$L$316="","",[2]Baskol!$L$316)</f>
        <v/>
      </c>
      <c r="AC313" t="str">
        <f>IF([2]Baskol!$N$316="","",[2]Baskol!$N$316)</f>
        <v/>
      </c>
      <c r="AD313" t="str">
        <f>IF([2]Baskol!$O$316="","",[2]Baskol!$O$316)</f>
        <v/>
      </c>
      <c r="AE313" t="str">
        <f>IF([3]Entry!$C$316="","",[3]Entry!$C$316)</f>
        <v/>
      </c>
      <c r="AF313" t="str">
        <f>IF([3]Entry!$D$316="","",[3]Entry!$D$316)</f>
        <v/>
      </c>
      <c r="AG313" t="str">
        <f>IF([3]Entry!$E$316="","",[3]Entry!$E$316)</f>
        <v/>
      </c>
      <c r="AH313" t="str">
        <f>IF([3]Entry!$G$316="","",[3]Entry!$G$316)</f>
        <v/>
      </c>
      <c r="AI313" t="str">
        <f>IF([3]Entry!$K$316="","",[3]Entry!$K$316)</f>
        <v/>
      </c>
      <c r="AJ313" t="str">
        <f>IF([3]Entry!$L$316="","",[3]Entry!$L$316)</f>
        <v/>
      </c>
      <c r="AK313" t="str">
        <f>IF([3]Entry!$M$316="","",[3]Entry!$M$316)</f>
        <v/>
      </c>
      <c r="AL313" t="str">
        <f>IF([3]Entry!$N$316="","",[3]Entry!$N$316)</f>
        <v/>
      </c>
      <c r="AM313" t="str">
        <f>IF([3]Entry!$R$316="","",[3]Entry!$R$316)</f>
        <v/>
      </c>
    </row>
    <row r="314" spans="1:39" x14ac:dyDescent="0.2">
      <c r="A314" t="str">
        <f>IF([1]Accounts!$D$315="","",[1]Accounts!$A$315)</f>
        <v/>
      </c>
      <c r="B314" t="str">
        <f>IF([1]Accounts!$D$315="","",[1]Accounts!$B$315)</f>
        <v/>
      </c>
      <c r="C314" t="str">
        <f>IF([1]Accounts!$D$315="","",[1]Accounts!$C$315)</f>
        <v/>
      </c>
      <c r="D314" t="str">
        <f>IF([1]Accounts!$D$315="","",[1]Accounts!$D$315)</f>
        <v/>
      </c>
      <c r="E314" t="str">
        <f>IF([1]Accounts!$D$315="","",[1]Accounts!$E$315)</f>
        <v/>
      </c>
      <c r="F314" t="str">
        <f>IF([1]Accounts!$D$315="","",[1]Accounts!$F$315)</f>
        <v/>
      </c>
      <c r="G314" t="str">
        <f>IF([1]Accounts!$D$315="","",[1]Accounts!$G$315)</f>
        <v/>
      </c>
      <c r="T314" t="str">
        <f>IF([2]Baskol!$B$317="","",[2]Baskol!$B$317)</f>
        <v/>
      </c>
      <c r="U314" t="str">
        <f>IF([2]Baskol!$C$317="","",[2]Baskol!$C$317)</f>
        <v/>
      </c>
      <c r="V314" t="str">
        <f>IF([2]Baskol!$D$317="","",[2]Baskol!$D$317)</f>
        <v/>
      </c>
      <c r="W314" t="str">
        <f>IF([2]Baskol!$E$317="","",[2]Baskol!$E$317)</f>
        <v/>
      </c>
      <c r="X314" t="str">
        <f>IF([2]Baskol!$G$317="","",[2]Baskol!$G$317)</f>
        <v/>
      </c>
      <c r="Y314" t="str">
        <f>IF([2]Baskol!$I$317="","",[2]Baskol!$I$317)</f>
        <v/>
      </c>
      <c r="Z314" t="str">
        <f>IF([2]Baskol!$J$317="","",[2]Baskol!$J$317)</f>
        <v/>
      </c>
      <c r="AA314" t="str">
        <f>IF([2]Baskol!$K$317="","",[2]Baskol!$K$317)</f>
        <v/>
      </c>
      <c r="AB314" t="str">
        <f>IF([2]Baskol!$L$317="","",[2]Baskol!$L$317)</f>
        <v/>
      </c>
      <c r="AC314" t="str">
        <f>IF([2]Baskol!$N$317="","",[2]Baskol!$N$317)</f>
        <v/>
      </c>
      <c r="AD314" t="str">
        <f>IF([2]Baskol!$O$317="","",[2]Baskol!$O$317)</f>
        <v/>
      </c>
      <c r="AE314" t="str">
        <f>IF([3]Entry!$C$317="","",[3]Entry!$C$317)</f>
        <v/>
      </c>
      <c r="AF314" t="str">
        <f>IF([3]Entry!$D$317="","",[3]Entry!$D$317)</f>
        <v/>
      </c>
      <c r="AG314" t="str">
        <f>IF([3]Entry!$E$317="","",[3]Entry!$E$317)</f>
        <v/>
      </c>
      <c r="AH314" t="str">
        <f>IF([3]Entry!$G$317="","",[3]Entry!$G$317)</f>
        <v/>
      </c>
      <c r="AI314" t="str">
        <f>IF([3]Entry!$K$317="","",[3]Entry!$K$317)</f>
        <v/>
      </c>
      <c r="AJ314" t="str">
        <f>IF([3]Entry!$L$317="","",[3]Entry!$L$317)</f>
        <v/>
      </c>
      <c r="AK314" t="str">
        <f>IF([3]Entry!$M$317="","",[3]Entry!$M$317)</f>
        <v/>
      </c>
      <c r="AL314" t="str">
        <f>IF([3]Entry!$N$317="","",[3]Entry!$N$317)</f>
        <v/>
      </c>
      <c r="AM314" t="str">
        <f>IF([3]Entry!$R$317="","",[3]Entry!$R$317)</f>
        <v/>
      </c>
    </row>
    <row r="315" spans="1:39" x14ac:dyDescent="0.2">
      <c r="A315" t="str">
        <f>IF([1]Accounts!$D$316="","",[1]Accounts!$A$316)</f>
        <v/>
      </c>
      <c r="B315" t="str">
        <f>IF([1]Accounts!$D$316="","",[1]Accounts!$B$316)</f>
        <v/>
      </c>
      <c r="C315" t="str">
        <f>IF([1]Accounts!$D$316="","",[1]Accounts!$C$316)</f>
        <v/>
      </c>
      <c r="D315" t="str">
        <f>IF([1]Accounts!$D$316="","",[1]Accounts!$D$316)</f>
        <v/>
      </c>
      <c r="E315" t="str">
        <f>IF([1]Accounts!$D$316="","",[1]Accounts!$E$316)</f>
        <v/>
      </c>
      <c r="F315" t="str">
        <f>IF([1]Accounts!$D$316="","",[1]Accounts!$F$316)</f>
        <v/>
      </c>
      <c r="G315" t="str">
        <f>IF([1]Accounts!$D$316="","",[1]Accounts!$G$316)</f>
        <v/>
      </c>
      <c r="T315" t="str">
        <f>IF([2]Baskol!$B$318="","",[2]Baskol!$B$318)</f>
        <v/>
      </c>
      <c r="U315" t="str">
        <f>IF([2]Baskol!$C$318="","",[2]Baskol!$C$318)</f>
        <v/>
      </c>
      <c r="V315" t="str">
        <f>IF([2]Baskol!$D$318="","",[2]Baskol!$D$318)</f>
        <v/>
      </c>
      <c r="W315" t="str">
        <f>IF([2]Baskol!$E$318="","",[2]Baskol!$E$318)</f>
        <v/>
      </c>
      <c r="X315" t="str">
        <f>IF([2]Baskol!$G$318="","",[2]Baskol!$G$318)</f>
        <v/>
      </c>
      <c r="Y315" t="str">
        <f>IF([2]Baskol!$I$318="","",[2]Baskol!$I$318)</f>
        <v/>
      </c>
      <c r="Z315" t="str">
        <f>IF([2]Baskol!$J$318="","",[2]Baskol!$J$318)</f>
        <v/>
      </c>
      <c r="AA315" t="str">
        <f>IF([2]Baskol!$K$318="","",[2]Baskol!$K$318)</f>
        <v/>
      </c>
      <c r="AB315" t="str">
        <f>IF([2]Baskol!$L$318="","",[2]Baskol!$L$318)</f>
        <v/>
      </c>
      <c r="AC315" t="str">
        <f>IF([2]Baskol!$N$318="","",[2]Baskol!$N$318)</f>
        <v/>
      </c>
      <c r="AD315" t="str">
        <f>IF([2]Baskol!$O$318="","",[2]Baskol!$O$318)</f>
        <v/>
      </c>
      <c r="AE315" t="str">
        <f>IF([3]Entry!$C$318="","",[3]Entry!$C$318)</f>
        <v/>
      </c>
      <c r="AF315" t="str">
        <f>IF([3]Entry!$D$318="","",[3]Entry!$D$318)</f>
        <v/>
      </c>
      <c r="AG315" t="str">
        <f>IF([3]Entry!$E$318="","",[3]Entry!$E$318)</f>
        <v/>
      </c>
      <c r="AH315" t="str">
        <f>IF([3]Entry!$G$318="","",[3]Entry!$G$318)</f>
        <v/>
      </c>
      <c r="AI315" t="str">
        <f>IF([3]Entry!$K$318="","",[3]Entry!$K$318)</f>
        <v/>
      </c>
      <c r="AJ315" t="str">
        <f>IF([3]Entry!$L$318="","",[3]Entry!$L$318)</f>
        <v/>
      </c>
      <c r="AK315" t="str">
        <f>IF([3]Entry!$M$318="","",[3]Entry!$M$318)</f>
        <v/>
      </c>
      <c r="AL315" t="str">
        <f>IF([3]Entry!$N$318="","",[3]Entry!$N$318)</f>
        <v/>
      </c>
      <c r="AM315" t="str">
        <f>IF([3]Entry!$R$318="","",[3]Entry!$R$318)</f>
        <v/>
      </c>
    </row>
    <row r="316" spans="1:39" x14ac:dyDescent="0.2">
      <c r="A316" t="str">
        <f>IF([1]Accounts!$D$317="","",[1]Accounts!$A$317)</f>
        <v/>
      </c>
      <c r="B316" t="str">
        <f>IF([1]Accounts!$D$317="","",[1]Accounts!$B$317)</f>
        <v/>
      </c>
      <c r="C316" t="str">
        <f>IF([1]Accounts!$D$317="","",[1]Accounts!$C$317)</f>
        <v/>
      </c>
      <c r="D316" t="str">
        <f>IF([1]Accounts!$D$317="","",[1]Accounts!$D$317)</f>
        <v/>
      </c>
      <c r="E316" t="str">
        <f>IF([1]Accounts!$D$317="","",[1]Accounts!$E$317)</f>
        <v/>
      </c>
      <c r="F316" t="str">
        <f>IF([1]Accounts!$D$317="","",[1]Accounts!$F$317)</f>
        <v/>
      </c>
      <c r="G316" t="str">
        <f>IF([1]Accounts!$D$317="","",[1]Accounts!$G$317)</f>
        <v/>
      </c>
      <c r="T316" t="str">
        <f>IF([2]Baskol!$B$319="","",[2]Baskol!$B$319)</f>
        <v/>
      </c>
      <c r="U316" t="str">
        <f>IF([2]Baskol!$C$319="","",[2]Baskol!$C$319)</f>
        <v/>
      </c>
      <c r="V316" t="str">
        <f>IF([2]Baskol!$D$319="","",[2]Baskol!$D$319)</f>
        <v/>
      </c>
      <c r="W316" t="str">
        <f>IF([2]Baskol!$E$319="","",[2]Baskol!$E$319)</f>
        <v/>
      </c>
      <c r="X316" t="str">
        <f>IF([2]Baskol!$G$319="","",[2]Baskol!$G$319)</f>
        <v/>
      </c>
      <c r="Y316" t="str">
        <f>IF([2]Baskol!$I$319="","",[2]Baskol!$I$319)</f>
        <v/>
      </c>
      <c r="Z316" t="str">
        <f>IF([2]Baskol!$J$319="","",[2]Baskol!$J$319)</f>
        <v/>
      </c>
      <c r="AA316" t="str">
        <f>IF([2]Baskol!$K$319="","",[2]Baskol!$K$319)</f>
        <v/>
      </c>
      <c r="AB316" t="str">
        <f>IF([2]Baskol!$L$319="","",[2]Baskol!$L$319)</f>
        <v/>
      </c>
      <c r="AC316" t="str">
        <f>IF([2]Baskol!$N$319="","",[2]Baskol!$N$319)</f>
        <v/>
      </c>
      <c r="AD316" t="str">
        <f>IF([2]Baskol!$O$319="","",[2]Baskol!$O$319)</f>
        <v/>
      </c>
      <c r="AE316" t="str">
        <f>IF([3]Entry!$C$319="","",[3]Entry!$C$319)</f>
        <v/>
      </c>
      <c r="AF316" t="str">
        <f>IF([3]Entry!$D$319="","",[3]Entry!$D$319)</f>
        <v/>
      </c>
      <c r="AG316" t="str">
        <f>IF([3]Entry!$E$319="","",[3]Entry!$E$319)</f>
        <v/>
      </c>
      <c r="AH316" t="str">
        <f>IF([3]Entry!$G$319="","",[3]Entry!$G$319)</f>
        <v/>
      </c>
      <c r="AI316" t="str">
        <f>IF([3]Entry!$K$319="","",[3]Entry!$K$319)</f>
        <v/>
      </c>
      <c r="AJ316" t="str">
        <f>IF([3]Entry!$L$319="","",[3]Entry!$L$319)</f>
        <v/>
      </c>
      <c r="AK316" t="str">
        <f>IF([3]Entry!$M$319="","",[3]Entry!$M$319)</f>
        <v/>
      </c>
      <c r="AL316" t="str">
        <f>IF([3]Entry!$N$319="","",[3]Entry!$N$319)</f>
        <v/>
      </c>
      <c r="AM316" t="str">
        <f>IF([3]Entry!$R$319="","",[3]Entry!$R$319)</f>
        <v/>
      </c>
    </row>
    <row r="317" spans="1:39" x14ac:dyDescent="0.2">
      <c r="A317" t="str">
        <f>IF([1]Accounts!$D$318="","",[1]Accounts!$A$318)</f>
        <v/>
      </c>
      <c r="B317" t="str">
        <f>IF([1]Accounts!$D$318="","",[1]Accounts!$B$318)</f>
        <v/>
      </c>
      <c r="C317" t="str">
        <f>IF([1]Accounts!$D$318="","",[1]Accounts!$C$318)</f>
        <v/>
      </c>
      <c r="D317" t="str">
        <f>IF([1]Accounts!$D$318="","",[1]Accounts!$D$318)</f>
        <v/>
      </c>
      <c r="E317" t="str">
        <f>IF([1]Accounts!$D$318="","",[1]Accounts!$E$318)</f>
        <v/>
      </c>
      <c r="F317" t="str">
        <f>IF([1]Accounts!$D$318="","",[1]Accounts!$F$318)</f>
        <v/>
      </c>
      <c r="G317" t="str">
        <f>IF([1]Accounts!$D$318="","",[1]Accounts!$G$318)</f>
        <v/>
      </c>
      <c r="T317" t="str">
        <f>IF([2]Baskol!$B$320="","",[2]Baskol!$B$320)</f>
        <v/>
      </c>
      <c r="U317" t="str">
        <f>IF([2]Baskol!$C$320="","",[2]Baskol!$C$320)</f>
        <v/>
      </c>
      <c r="V317" t="str">
        <f>IF([2]Baskol!$D$320="","",[2]Baskol!$D$320)</f>
        <v/>
      </c>
      <c r="W317" t="str">
        <f>IF([2]Baskol!$E$320="","",[2]Baskol!$E$320)</f>
        <v/>
      </c>
      <c r="X317" t="str">
        <f>IF([2]Baskol!$G$320="","",[2]Baskol!$G$320)</f>
        <v/>
      </c>
      <c r="Y317" t="str">
        <f>IF([2]Baskol!$I$320="","",[2]Baskol!$I$320)</f>
        <v/>
      </c>
      <c r="Z317" t="str">
        <f>IF([2]Baskol!$J$320="","",[2]Baskol!$J$320)</f>
        <v/>
      </c>
      <c r="AA317" t="str">
        <f>IF([2]Baskol!$K$320="","",[2]Baskol!$K$320)</f>
        <v/>
      </c>
      <c r="AB317" t="str">
        <f>IF([2]Baskol!$L$320="","",[2]Baskol!$L$320)</f>
        <v/>
      </c>
      <c r="AC317" t="str">
        <f>IF([2]Baskol!$N$320="","",[2]Baskol!$N$320)</f>
        <v/>
      </c>
      <c r="AD317" t="str">
        <f>IF([2]Baskol!$O$320="","",[2]Baskol!$O$320)</f>
        <v/>
      </c>
      <c r="AE317" t="str">
        <f>IF([3]Entry!$C$320="","",[3]Entry!$C$320)</f>
        <v/>
      </c>
      <c r="AF317" t="str">
        <f>IF([3]Entry!$D$320="","",[3]Entry!$D$320)</f>
        <v/>
      </c>
      <c r="AG317" t="str">
        <f>IF([3]Entry!$E$320="","",[3]Entry!$E$320)</f>
        <v/>
      </c>
      <c r="AH317" t="str">
        <f>IF([3]Entry!$G$320="","",[3]Entry!$G$320)</f>
        <v/>
      </c>
      <c r="AI317" t="str">
        <f>IF([3]Entry!$K$320="","",[3]Entry!$K$320)</f>
        <v/>
      </c>
      <c r="AJ317" t="str">
        <f>IF([3]Entry!$L$320="","",[3]Entry!$L$320)</f>
        <v/>
      </c>
      <c r="AK317" t="str">
        <f>IF([3]Entry!$M$320="","",[3]Entry!$M$320)</f>
        <v/>
      </c>
      <c r="AL317" t="str">
        <f>IF([3]Entry!$N$320="","",[3]Entry!$N$320)</f>
        <v/>
      </c>
      <c r="AM317" t="str">
        <f>IF([3]Entry!$R$320="","",[3]Entry!$R$320)</f>
        <v/>
      </c>
    </row>
    <row r="318" spans="1:39" x14ac:dyDescent="0.2">
      <c r="A318" t="str">
        <f>IF([1]Accounts!$D$319="","",[1]Accounts!$A$319)</f>
        <v/>
      </c>
      <c r="B318" t="str">
        <f>IF([1]Accounts!$D$319="","",[1]Accounts!$B$319)</f>
        <v/>
      </c>
      <c r="C318" t="str">
        <f>IF([1]Accounts!$D$319="","",[1]Accounts!$C$319)</f>
        <v/>
      </c>
      <c r="D318" t="str">
        <f>IF([1]Accounts!$D$319="","",[1]Accounts!$D$319)</f>
        <v/>
      </c>
      <c r="E318" t="str">
        <f>IF([1]Accounts!$D$319="","",[1]Accounts!$E$319)</f>
        <v/>
      </c>
      <c r="F318" t="str">
        <f>IF([1]Accounts!$D$319="","",[1]Accounts!$F$319)</f>
        <v/>
      </c>
      <c r="G318" t="str">
        <f>IF([1]Accounts!$D$319="","",[1]Accounts!$G$319)</f>
        <v/>
      </c>
      <c r="T318" t="str">
        <f>IF([2]Baskol!$B$321="","",[2]Baskol!$B$321)</f>
        <v/>
      </c>
      <c r="U318" t="str">
        <f>IF([2]Baskol!$C$321="","",[2]Baskol!$C$321)</f>
        <v/>
      </c>
      <c r="V318" t="str">
        <f>IF([2]Baskol!$D$321="","",[2]Baskol!$D$321)</f>
        <v/>
      </c>
      <c r="W318" t="str">
        <f>IF([2]Baskol!$E$321="","",[2]Baskol!$E$321)</f>
        <v/>
      </c>
      <c r="X318" t="str">
        <f>IF([2]Baskol!$G$321="","",[2]Baskol!$G$321)</f>
        <v/>
      </c>
      <c r="Y318" t="str">
        <f>IF([2]Baskol!$I$321="","",[2]Baskol!$I$321)</f>
        <v/>
      </c>
      <c r="Z318" t="str">
        <f>IF([2]Baskol!$J$321="","",[2]Baskol!$J$321)</f>
        <v/>
      </c>
      <c r="AA318" t="str">
        <f>IF([2]Baskol!$K$321="","",[2]Baskol!$K$321)</f>
        <v/>
      </c>
      <c r="AB318" t="str">
        <f>IF([2]Baskol!$L$321="","",[2]Baskol!$L$321)</f>
        <v/>
      </c>
      <c r="AC318" t="str">
        <f>IF([2]Baskol!$N$321="","",[2]Baskol!$N$321)</f>
        <v/>
      </c>
      <c r="AD318" t="str">
        <f>IF([2]Baskol!$O$321="","",[2]Baskol!$O$321)</f>
        <v/>
      </c>
      <c r="AE318" t="str">
        <f>IF([3]Entry!$C$321="","",[3]Entry!$C$321)</f>
        <v/>
      </c>
      <c r="AF318" t="str">
        <f>IF([3]Entry!$D$321="","",[3]Entry!$D$321)</f>
        <v/>
      </c>
      <c r="AG318" t="str">
        <f>IF([3]Entry!$E$321="","",[3]Entry!$E$321)</f>
        <v/>
      </c>
      <c r="AH318" t="str">
        <f>IF([3]Entry!$G$321="","",[3]Entry!$G$321)</f>
        <v/>
      </c>
      <c r="AI318" t="str">
        <f>IF([3]Entry!$K$321="","",[3]Entry!$K$321)</f>
        <v/>
      </c>
      <c r="AJ318" t="str">
        <f>IF([3]Entry!$L$321="","",[3]Entry!$L$321)</f>
        <v/>
      </c>
      <c r="AK318" t="str">
        <f>IF([3]Entry!$M$321="","",[3]Entry!$M$321)</f>
        <v/>
      </c>
      <c r="AL318" t="str">
        <f>IF([3]Entry!$N$321="","",[3]Entry!$N$321)</f>
        <v/>
      </c>
      <c r="AM318" t="str">
        <f>IF([3]Entry!$R$321="","",[3]Entry!$R$321)</f>
        <v/>
      </c>
    </row>
    <row r="319" spans="1:39" x14ac:dyDescent="0.2">
      <c r="A319" t="str">
        <f>IF([1]Accounts!$D$320="","",[1]Accounts!$A$320)</f>
        <v/>
      </c>
      <c r="B319" t="str">
        <f>IF([1]Accounts!$D$320="","",[1]Accounts!$B$320)</f>
        <v/>
      </c>
      <c r="C319" t="str">
        <f>IF([1]Accounts!$D$320="","",[1]Accounts!$C$320)</f>
        <v/>
      </c>
      <c r="D319" t="str">
        <f>IF([1]Accounts!$D$320="","",[1]Accounts!$D$320)</f>
        <v/>
      </c>
      <c r="E319" t="str">
        <f>IF([1]Accounts!$D$320="","",[1]Accounts!$E$320)</f>
        <v/>
      </c>
      <c r="F319" t="str">
        <f>IF([1]Accounts!$D$320="","",[1]Accounts!$F$320)</f>
        <v/>
      </c>
      <c r="G319" t="str">
        <f>IF([1]Accounts!$D$320="","",[1]Accounts!$G$320)</f>
        <v/>
      </c>
      <c r="T319" t="str">
        <f>IF([2]Baskol!$B$322="","",[2]Baskol!$B$322)</f>
        <v/>
      </c>
      <c r="U319" t="str">
        <f>IF([2]Baskol!$C$322="","",[2]Baskol!$C$322)</f>
        <v/>
      </c>
      <c r="V319" t="str">
        <f>IF([2]Baskol!$D$322="","",[2]Baskol!$D$322)</f>
        <v/>
      </c>
      <c r="W319" t="str">
        <f>IF([2]Baskol!$E$322="","",[2]Baskol!$E$322)</f>
        <v/>
      </c>
      <c r="X319" t="str">
        <f>IF([2]Baskol!$G$322="","",[2]Baskol!$G$322)</f>
        <v/>
      </c>
      <c r="Y319" t="str">
        <f>IF([2]Baskol!$I$322="","",[2]Baskol!$I$322)</f>
        <v/>
      </c>
      <c r="Z319" t="str">
        <f>IF([2]Baskol!$J$322="","",[2]Baskol!$J$322)</f>
        <v/>
      </c>
      <c r="AA319" t="str">
        <f>IF([2]Baskol!$K$322="","",[2]Baskol!$K$322)</f>
        <v/>
      </c>
      <c r="AB319" t="str">
        <f>IF([2]Baskol!$L$322="","",[2]Baskol!$L$322)</f>
        <v/>
      </c>
      <c r="AC319" t="str">
        <f>IF([2]Baskol!$N$322="","",[2]Baskol!$N$322)</f>
        <v/>
      </c>
      <c r="AD319" t="str">
        <f>IF([2]Baskol!$O$322="","",[2]Baskol!$O$322)</f>
        <v/>
      </c>
      <c r="AE319" t="str">
        <f>IF([3]Entry!$C$322="","",[3]Entry!$C$322)</f>
        <v/>
      </c>
      <c r="AF319" t="str">
        <f>IF([3]Entry!$D$322="","",[3]Entry!$D$322)</f>
        <v/>
      </c>
      <c r="AG319" t="str">
        <f>IF([3]Entry!$E$322="","",[3]Entry!$E$322)</f>
        <v/>
      </c>
      <c r="AH319" t="str">
        <f>IF([3]Entry!$G$322="","",[3]Entry!$G$322)</f>
        <v/>
      </c>
      <c r="AI319" t="str">
        <f>IF([3]Entry!$K$322="","",[3]Entry!$K$322)</f>
        <v/>
      </c>
      <c r="AJ319" t="str">
        <f>IF([3]Entry!$L$322="","",[3]Entry!$L$322)</f>
        <v/>
      </c>
      <c r="AK319" t="str">
        <f>IF([3]Entry!$M$322="","",[3]Entry!$M$322)</f>
        <v/>
      </c>
      <c r="AL319" t="str">
        <f>IF([3]Entry!$N$322="","",[3]Entry!$N$322)</f>
        <v/>
      </c>
      <c r="AM319" t="str">
        <f>IF([3]Entry!$R$322="","",[3]Entry!$R$322)</f>
        <v/>
      </c>
    </row>
    <row r="320" spans="1:39" x14ac:dyDescent="0.2">
      <c r="A320" t="str">
        <f>IF([1]Accounts!$D$321="","",[1]Accounts!$A$321)</f>
        <v/>
      </c>
      <c r="B320" t="str">
        <f>IF([1]Accounts!$D$321="","",[1]Accounts!$B$321)</f>
        <v/>
      </c>
      <c r="C320" t="str">
        <f>IF([1]Accounts!$D$321="","",[1]Accounts!$C$321)</f>
        <v/>
      </c>
      <c r="D320" t="str">
        <f>IF([1]Accounts!$D$321="","",[1]Accounts!$D$321)</f>
        <v/>
      </c>
      <c r="E320" t="str">
        <f>IF([1]Accounts!$D$321="","",[1]Accounts!$E$321)</f>
        <v/>
      </c>
      <c r="F320" t="str">
        <f>IF([1]Accounts!$D$321="","",[1]Accounts!$F$321)</f>
        <v/>
      </c>
      <c r="G320" t="str">
        <f>IF([1]Accounts!$D$321="","",[1]Accounts!$G$321)</f>
        <v/>
      </c>
      <c r="T320" t="str">
        <f>IF([2]Baskol!$B$323="","",[2]Baskol!$B$323)</f>
        <v/>
      </c>
      <c r="U320" t="str">
        <f>IF([2]Baskol!$C$323="","",[2]Baskol!$C$323)</f>
        <v/>
      </c>
      <c r="V320" t="str">
        <f>IF([2]Baskol!$D$323="","",[2]Baskol!$D$323)</f>
        <v/>
      </c>
      <c r="W320" t="str">
        <f>IF([2]Baskol!$E$323="","",[2]Baskol!$E$323)</f>
        <v/>
      </c>
      <c r="X320" t="str">
        <f>IF([2]Baskol!$G$323="","",[2]Baskol!$G$323)</f>
        <v/>
      </c>
      <c r="Y320" t="str">
        <f>IF([2]Baskol!$I$323="","",[2]Baskol!$I$323)</f>
        <v/>
      </c>
      <c r="Z320" t="str">
        <f>IF([2]Baskol!$J$323="","",[2]Baskol!$J$323)</f>
        <v/>
      </c>
      <c r="AA320" t="str">
        <f>IF([2]Baskol!$K$323="","",[2]Baskol!$K$323)</f>
        <v/>
      </c>
      <c r="AB320" t="str">
        <f>IF([2]Baskol!$L$323="","",[2]Baskol!$L$323)</f>
        <v/>
      </c>
      <c r="AC320" t="str">
        <f>IF([2]Baskol!$N$323="","",[2]Baskol!$N$323)</f>
        <v/>
      </c>
      <c r="AD320" t="str">
        <f>IF([2]Baskol!$O$323="","",[2]Baskol!$O$323)</f>
        <v/>
      </c>
      <c r="AE320" t="str">
        <f>IF([3]Entry!$C$323="","",[3]Entry!$C$323)</f>
        <v/>
      </c>
      <c r="AF320" t="str">
        <f>IF([3]Entry!$D$323="","",[3]Entry!$D$323)</f>
        <v/>
      </c>
      <c r="AG320" t="str">
        <f>IF([3]Entry!$E$323="","",[3]Entry!$E$323)</f>
        <v/>
      </c>
      <c r="AH320" t="str">
        <f>IF([3]Entry!$G$323="","",[3]Entry!$G$323)</f>
        <v/>
      </c>
      <c r="AI320" t="str">
        <f>IF([3]Entry!$K$323="","",[3]Entry!$K$323)</f>
        <v/>
      </c>
      <c r="AJ320" t="str">
        <f>IF([3]Entry!$L$323="","",[3]Entry!$L$323)</f>
        <v/>
      </c>
      <c r="AK320" t="str">
        <f>IF([3]Entry!$M$323="","",[3]Entry!$M$323)</f>
        <v/>
      </c>
      <c r="AL320" t="str">
        <f>IF([3]Entry!$N$323="","",[3]Entry!$N$323)</f>
        <v/>
      </c>
      <c r="AM320" t="str">
        <f>IF([3]Entry!$R$323="","",[3]Entry!$R$323)</f>
        <v/>
      </c>
    </row>
    <row r="321" spans="1:39" x14ac:dyDescent="0.2">
      <c r="A321" t="str">
        <f>IF([1]Accounts!$D$322="","",[1]Accounts!$A$322)</f>
        <v/>
      </c>
      <c r="B321" t="str">
        <f>IF([1]Accounts!$D$322="","",[1]Accounts!$B$322)</f>
        <v/>
      </c>
      <c r="C321" t="str">
        <f>IF([1]Accounts!$D$322="","",[1]Accounts!$C$322)</f>
        <v/>
      </c>
      <c r="D321" t="str">
        <f>IF([1]Accounts!$D$322="","",[1]Accounts!$D$322)</f>
        <v/>
      </c>
      <c r="E321" t="str">
        <f>IF([1]Accounts!$D$322="","",[1]Accounts!$E$322)</f>
        <v/>
      </c>
      <c r="F321" t="str">
        <f>IF([1]Accounts!$D$322="","",[1]Accounts!$F$322)</f>
        <v/>
      </c>
      <c r="G321" t="str">
        <f>IF([1]Accounts!$D$322="","",[1]Accounts!$G$322)</f>
        <v/>
      </c>
      <c r="T321" t="str">
        <f>IF([2]Baskol!$B$324="","",[2]Baskol!$B$324)</f>
        <v/>
      </c>
      <c r="U321" t="str">
        <f>IF([2]Baskol!$C$324="","",[2]Baskol!$C$324)</f>
        <v/>
      </c>
      <c r="V321" t="str">
        <f>IF([2]Baskol!$D$324="","",[2]Baskol!$D$324)</f>
        <v/>
      </c>
      <c r="W321" t="str">
        <f>IF([2]Baskol!$E$324="","",[2]Baskol!$E$324)</f>
        <v/>
      </c>
      <c r="X321" t="str">
        <f>IF([2]Baskol!$G$324="","",[2]Baskol!$G$324)</f>
        <v/>
      </c>
      <c r="Y321" t="str">
        <f>IF([2]Baskol!$I$324="","",[2]Baskol!$I$324)</f>
        <v/>
      </c>
      <c r="Z321" t="str">
        <f>IF([2]Baskol!$J$324="","",[2]Baskol!$J$324)</f>
        <v/>
      </c>
      <c r="AA321" t="str">
        <f>IF([2]Baskol!$K$324="","",[2]Baskol!$K$324)</f>
        <v/>
      </c>
      <c r="AB321" t="str">
        <f>IF([2]Baskol!$L$324="","",[2]Baskol!$L$324)</f>
        <v/>
      </c>
      <c r="AC321" t="str">
        <f>IF([2]Baskol!$N$324="","",[2]Baskol!$N$324)</f>
        <v/>
      </c>
      <c r="AD321" t="str">
        <f>IF([2]Baskol!$O$324="","",[2]Baskol!$O$324)</f>
        <v/>
      </c>
      <c r="AE321" t="str">
        <f>IF([3]Entry!$C$324="","",[3]Entry!$C$324)</f>
        <v/>
      </c>
      <c r="AF321" t="str">
        <f>IF([3]Entry!$D$324="","",[3]Entry!$D$324)</f>
        <v/>
      </c>
      <c r="AG321" t="str">
        <f>IF([3]Entry!$E$324="","",[3]Entry!$E$324)</f>
        <v/>
      </c>
      <c r="AH321" t="str">
        <f>IF([3]Entry!$G$324="","",[3]Entry!$G$324)</f>
        <v/>
      </c>
      <c r="AI321" t="str">
        <f>IF([3]Entry!$K$324="","",[3]Entry!$K$324)</f>
        <v/>
      </c>
      <c r="AJ321" t="str">
        <f>IF([3]Entry!$L$324="","",[3]Entry!$L$324)</f>
        <v/>
      </c>
      <c r="AK321" t="str">
        <f>IF([3]Entry!$M$324="","",[3]Entry!$M$324)</f>
        <v/>
      </c>
      <c r="AL321" t="str">
        <f>IF([3]Entry!$N$324="","",[3]Entry!$N$324)</f>
        <v/>
      </c>
      <c r="AM321" t="str">
        <f>IF([3]Entry!$R$324="","",[3]Entry!$R$324)</f>
        <v/>
      </c>
    </row>
    <row r="322" spans="1:39" x14ac:dyDescent="0.2">
      <c r="A322" t="str">
        <f>IF([1]Accounts!$D$323="","",[1]Accounts!$A$323)</f>
        <v/>
      </c>
      <c r="B322" t="str">
        <f>IF([1]Accounts!$D$323="","",[1]Accounts!$B$323)</f>
        <v/>
      </c>
      <c r="C322" t="str">
        <f>IF([1]Accounts!$D$323="","",[1]Accounts!$C$323)</f>
        <v/>
      </c>
      <c r="D322" t="str">
        <f>IF([1]Accounts!$D$323="","",[1]Accounts!$D$323)</f>
        <v/>
      </c>
      <c r="E322" t="str">
        <f>IF([1]Accounts!$D$323="","",[1]Accounts!$E$323)</f>
        <v/>
      </c>
      <c r="F322" t="str">
        <f>IF([1]Accounts!$D$323="","",[1]Accounts!$F$323)</f>
        <v/>
      </c>
      <c r="G322" t="str">
        <f>IF([1]Accounts!$D$323="","",[1]Accounts!$G$323)</f>
        <v/>
      </c>
      <c r="T322" t="str">
        <f>IF([2]Baskol!$B$325="","",[2]Baskol!$B$325)</f>
        <v/>
      </c>
      <c r="U322" t="str">
        <f>IF([2]Baskol!$C$325="","",[2]Baskol!$C$325)</f>
        <v/>
      </c>
      <c r="V322" t="str">
        <f>IF([2]Baskol!$D$325="","",[2]Baskol!$D$325)</f>
        <v/>
      </c>
      <c r="W322" t="str">
        <f>IF([2]Baskol!$E$325="","",[2]Baskol!$E$325)</f>
        <v/>
      </c>
      <c r="X322" t="str">
        <f>IF([2]Baskol!$G$325="","",[2]Baskol!$G$325)</f>
        <v/>
      </c>
      <c r="Y322" t="str">
        <f>IF([2]Baskol!$I$325="","",[2]Baskol!$I$325)</f>
        <v/>
      </c>
      <c r="Z322" t="str">
        <f>IF([2]Baskol!$J$325="","",[2]Baskol!$J$325)</f>
        <v/>
      </c>
      <c r="AA322" t="str">
        <f>IF([2]Baskol!$K$325="","",[2]Baskol!$K$325)</f>
        <v/>
      </c>
      <c r="AB322" t="str">
        <f>IF([2]Baskol!$L$325="","",[2]Baskol!$L$325)</f>
        <v/>
      </c>
      <c r="AC322" t="str">
        <f>IF([2]Baskol!$N$325="","",[2]Baskol!$N$325)</f>
        <v/>
      </c>
      <c r="AD322" t="str">
        <f>IF([2]Baskol!$O$325="","",[2]Baskol!$O$325)</f>
        <v/>
      </c>
      <c r="AE322" t="str">
        <f>IF([3]Entry!$C$325="","",[3]Entry!$C$325)</f>
        <v/>
      </c>
      <c r="AF322" t="str">
        <f>IF([3]Entry!$D$325="","",[3]Entry!$D$325)</f>
        <v/>
      </c>
      <c r="AG322" t="str">
        <f>IF([3]Entry!$E$325="","",[3]Entry!$E$325)</f>
        <v/>
      </c>
      <c r="AH322" t="str">
        <f>IF([3]Entry!$G$325="","",[3]Entry!$G$325)</f>
        <v/>
      </c>
      <c r="AI322" t="str">
        <f>IF([3]Entry!$K$325="","",[3]Entry!$K$325)</f>
        <v/>
      </c>
      <c r="AJ322" t="str">
        <f>IF([3]Entry!$L$325="","",[3]Entry!$L$325)</f>
        <v/>
      </c>
      <c r="AK322" t="str">
        <f>IF([3]Entry!$M$325="","",[3]Entry!$M$325)</f>
        <v/>
      </c>
      <c r="AL322" t="str">
        <f>IF([3]Entry!$N$325="","",[3]Entry!$N$325)</f>
        <v/>
      </c>
      <c r="AM322" t="str">
        <f>IF([3]Entry!$R$325="","",[3]Entry!$R$325)</f>
        <v/>
      </c>
    </row>
    <row r="323" spans="1:39" x14ac:dyDescent="0.2">
      <c r="A323" t="str">
        <f>IF([1]Accounts!$D$324="","",[1]Accounts!$A$324)</f>
        <v/>
      </c>
      <c r="B323" t="str">
        <f>IF([1]Accounts!$D$324="","",[1]Accounts!$B$324)</f>
        <v/>
      </c>
      <c r="C323" t="str">
        <f>IF([1]Accounts!$D$324="","",[1]Accounts!$C$324)</f>
        <v/>
      </c>
      <c r="D323" t="str">
        <f>IF([1]Accounts!$D$324="","",[1]Accounts!$D$324)</f>
        <v/>
      </c>
      <c r="E323" t="str">
        <f>IF([1]Accounts!$D$324="","",[1]Accounts!$E$324)</f>
        <v/>
      </c>
      <c r="F323" t="str">
        <f>IF([1]Accounts!$D$324="","",[1]Accounts!$F$324)</f>
        <v/>
      </c>
      <c r="G323" t="str">
        <f>IF([1]Accounts!$D$324="","",[1]Accounts!$G$324)</f>
        <v/>
      </c>
      <c r="T323" t="str">
        <f>IF([2]Baskol!$B$326="","",[2]Baskol!$B$326)</f>
        <v/>
      </c>
      <c r="U323" t="str">
        <f>IF([2]Baskol!$C$326="","",[2]Baskol!$C$326)</f>
        <v/>
      </c>
      <c r="V323" t="str">
        <f>IF([2]Baskol!$D$326="","",[2]Baskol!$D$326)</f>
        <v/>
      </c>
      <c r="W323" t="str">
        <f>IF([2]Baskol!$E$326="","",[2]Baskol!$E$326)</f>
        <v/>
      </c>
      <c r="X323" t="str">
        <f>IF([2]Baskol!$G$326="","",[2]Baskol!$G$326)</f>
        <v/>
      </c>
      <c r="Y323" t="str">
        <f>IF([2]Baskol!$I$326="","",[2]Baskol!$I$326)</f>
        <v/>
      </c>
      <c r="Z323" t="str">
        <f>IF([2]Baskol!$J$326="","",[2]Baskol!$J$326)</f>
        <v/>
      </c>
      <c r="AA323" t="str">
        <f>IF([2]Baskol!$K$326="","",[2]Baskol!$K$326)</f>
        <v/>
      </c>
      <c r="AB323" t="str">
        <f>IF([2]Baskol!$L$326="","",[2]Baskol!$L$326)</f>
        <v/>
      </c>
      <c r="AC323" t="str">
        <f>IF([2]Baskol!$N$326="","",[2]Baskol!$N$326)</f>
        <v/>
      </c>
      <c r="AD323" t="str">
        <f>IF([2]Baskol!$O$326="","",[2]Baskol!$O$326)</f>
        <v/>
      </c>
      <c r="AE323" t="str">
        <f>IF([3]Entry!$C$326="","",[3]Entry!$C$326)</f>
        <v/>
      </c>
      <c r="AF323" t="str">
        <f>IF([3]Entry!$D$326="","",[3]Entry!$D$326)</f>
        <v/>
      </c>
      <c r="AG323" t="str">
        <f>IF([3]Entry!$E$326="","",[3]Entry!$E$326)</f>
        <v/>
      </c>
      <c r="AH323" t="str">
        <f>IF([3]Entry!$G$326="","",[3]Entry!$G$326)</f>
        <v/>
      </c>
      <c r="AI323" t="str">
        <f>IF([3]Entry!$K$326="","",[3]Entry!$K$326)</f>
        <v/>
      </c>
      <c r="AJ323" t="str">
        <f>IF([3]Entry!$L$326="","",[3]Entry!$L$326)</f>
        <v/>
      </c>
      <c r="AK323" t="str">
        <f>IF([3]Entry!$M$326="","",[3]Entry!$M$326)</f>
        <v/>
      </c>
      <c r="AL323" t="str">
        <f>IF([3]Entry!$N$326="","",[3]Entry!$N$326)</f>
        <v/>
      </c>
      <c r="AM323" t="str">
        <f>IF([3]Entry!$R$326="","",[3]Entry!$R$326)</f>
        <v/>
      </c>
    </row>
    <row r="324" spans="1:39" x14ac:dyDescent="0.2">
      <c r="A324" t="str">
        <f>IF([1]Accounts!$D$325="","",[1]Accounts!$A$325)</f>
        <v/>
      </c>
      <c r="B324" t="str">
        <f>IF([1]Accounts!$D$325="","",[1]Accounts!$B$325)</f>
        <v/>
      </c>
      <c r="C324" t="str">
        <f>IF([1]Accounts!$D$325="","",[1]Accounts!$C$325)</f>
        <v/>
      </c>
      <c r="D324" t="str">
        <f>IF([1]Accounts!$D$325="","",[1]Accounts!$D$325)</f>
        <v/>
      </c>
      <c r="E324" t="str">
        <f>IF([1]Accounts!$D$325="","",[1]Accounts!$E$325)</f>
        <v/>
      </c>
      <c r="F324" t="str">
        <f>IF([1]Accounts!$D$325="","",[1]Accounts!$F$325)</f>
        <v/>
      </c>
      <c r="G324" t="str">
        <f>IF([1]Accounts!$D$325="","",[1]Accounts!$G$325)</f>
        <v/>
      </c>
      <c r="T324" t="str">
        <f>IF([2]Baskol!$B$327="","",[2]Baskol!$B$327)</f>
        <v/>
      </c>
      <c r="U324" t="str">
        <f>IF([2]Baskol!$C$327="","",[2]Baskol!$C$327)</f>
        <v/>
      </c>
      <c r="V324" t="str">
        <f>IF([2]Baskol!$D$327="","",[2]Baskol!$D$327)</f>
        <v/>
      </c>
      <c r="W324" t="str">
        <f>IF([2]Baskol!$E$327="","",[2]Baskol!$E$327)</f>
        <v/>
      </c>
      <c r="X324" t="str">
        <f>IF([2]Baskol!$G$327="","",[2]Baskol!$G$327)</f>
        <v/>
      </c>
      <c r="Y324" t="str">
        <f>IF([2]Baskol!$I$327="","",[2]Baskol!$I$327)</f>
        <v/>
      </c>
      <c r="Z324" t="str">
        <f>IF([2]Baskol!$J$327="","",[2]Baskol!$J$327)</f>
        <v/>
      </c>
      <c r="AA324" t="str">
        <f>IF([2]Baskol!$K$327="","",[2]Baskol!$K$327)</f>
        <v/>
      </c>
      <c r="AB324" t="str">
        <f>IF([2]Baskol!$L$327="","",[2]Baskol!$L$327)</f>
        <v/>
      </c>
      <c r="AC324" t="str">
        <f>IF([2]Baskol!$N$327="","",[2]Baskol!$N$327)</f>
        <v/>
      </c>
      <c r="AD324" t="str">
        <f>IF([2]Baskol!$O$327="","",[2]Baskol!$O$327)</f>
        <v/>
      </c>
      <c r="AE324" t="str">
        <f>IF([3]Entry!$C$327="","",[3]Entry!$C$327)</f>
        <v/>
      </c>
      <c r="AF324" t="str">
        <f>IF([3]Entry!$D$327="","",[3]Entry!$D$327)</f>
        <v/>
      </c>
      <c r="AG324" t="str">
        <f>IF([3]Entry!$E$327="","",[3]Entry!$E$327)</f>
        <v/>
      </c>
      <c r="AH324" t="str">
        <f>IF([3]Entry!$G$327="","",[3]Entry!$G$327)</f>
        <v/>
      </c>
      <c r="AI324" t="str">
        <f>IF([3]Entry!$K$327="","",[3]Entry!$K$327)</f>
        <v/>
      </c>
      <c r="AJ324" t="str">
        <f>IF([3]Entry!$L$327="","",[3]Entry!$L$327)</f>
        <v/>
      </c>
      <c r="AK324" t="str">
        <f>IF([3]Entry!$M$327="","",[3]Entry!$M$327)</f>
        <v/>
      </c>
      <c r="AL324" t="str">
        <f>IF([3]Entry!$N$327="","",[3]Entry!$N$327)</f>
        <v/>
      </c>
      <c r="AM324" t="str">
        <f>IF([3]Entry!$R$327="","",[3]Entry!$R$327)</f>
        <v/>
      </c>
    </row>
    <row r="325" spans="1:39" x14ac:dyDescent="0.2">
      <c r="A325" t="str">
        <f>IF([1]Accounts!$D$326="","",[1]Accounts!$A$326)</f>
        <v/>
      </c>
      <c r="B325" t="str">
        <f>IF([1]Accounts!$D$326="","",[1]Accounts!$B$326)</f>
        <v/>
      </c>
      <c r="C325" t="str">
        <f>IF([1]Accounts!$D$326="","",[1]Accounts!$C$326)</f>
        <v/>
      </c>
      <c r="D325" t="str">
        <f>IF([1]Accounts!$D$326="","",[1]Accounts!$D$326)</f>
        <v/>
      </c>
      <c r="E325" t="str">
        <f>IF([1]Accounts!$D$326="","",[1]Accounts!$E$326)</f>
        <v/>
      </c>
      <c r="F325" t="str">
        <f>IF([1]Accounts!$D$326="","",[1]Accounts!$F$326)</f>
        <v/>
      </c>
      <c r="G325" t="str">
        <f>IF([1]Accounts!$D$326="","",[1]Accounts!$G$326)</f>
        <v/>
      </c>
      <c r="T325" t="str">
        <f>IF([2]Baskol!$B$328="","",[2]Baskol!$B$328)</f>
        <v/>
      </c>
      <c r="U325" t="str">
        <f>IF([2]Baskol!$C$328="","",[2]Baskol!$C$328)</f>
        <v/>
      </c>
      <c r="V325" t="str">
        <f>IF([2]Baskol!$D$328="","",[2]Baskol!$D$328)</f>
        <v/>
      </c>
      <c r="W325" t="str">
        <f>IF([2]Baskol!$E$328="","",[2]Baskol!$E$328)</f>
        <v/>
      </c>
      <c r="X325" t="str">
        <f>IF([2]Baskol!$G$328="","",[2]Baskol!$G$328)</f>
        <v/>
      </c>
      <c r="Y325" t="str">
        <f>IF([2]Baskol!$I$328="","",[2]Baskol!$I$328)</f>
        <v/>
      </c>
      <c r="Z325" t="str">
        <f>IF([2]Baskol!$J$328="","",[2]Baskol!$J$328)</f>
        <v/>
      </c>
      <c r="AA325" t="str">
        <f>IF([2]Baskol!$K$328="","",[2]Baskol!$K$328)</f>
        <v/>
      </c>
      <c r="AB325" t="str">
        <f>IF([2]Baskol!$L$328="","",[2]Baskol!$L$328)</f>
        <v/>
      </c>
      <c r="AC325" t="str">
        <f>IF([2]Baskol!$N$328="","",[2]Baskol!$N$328)</f>
        <v/>
      </c>
      <c r="AD325" t="str">
        <f>IF([2]Baskol!$O$328="","",[2]Baskol!$O$328)</f>
        <v/>
      </c>
      <c r="AE325" t="str">
        <f>IF([3]Entry!$C$328="","",[3]Entry!$C$328)</f>
        <v/>
      </c>
      <c r="AF325" t="str">
        <f>IF([3]Entry!$D$328="","",[3]Entry!$D$328)</f>
        <v/>
      </c>
      <c r="AG325" t="str">
        <f>IF([3]Entry!$E$328="","",[3]Entry!$E$328)</f>
        <v/>
      </c>
      <c r="AH325" t="str">
        <f>IF([3]Entry!$G$328="","",[3]Entry!$G$328)</f>
        <v/>
      </c>
      <c r="AI325" t="str">
        <f>IF([3]Entry!$K$328="","",[3]Entry!$K$328)</f>
        <v/>
      </c>
      <c r="AJ325" t="str">
        <f>IF([3]Entry!$L$328="","",[3]Entry!$L$328)</f>
        <v/>
      </c>
      <c r="AK325" t="str">
        <f>IF([3]Entry!$M$328="","",[3]Entry!$M$328)</f>
        <v/>
      </c>
      <c r="AL325" t="str">
        <f>IF([3]Entry!$N$328="","",[3]Entry!$N$328)</f>
        <v/>
      </c>
      <c r="AM325" t="str">
        <f>IF([3]Entry!$R$328="","",[3]Entry!$R$328)</f>
        <v/>
      </c>
    </row>
    <row r="326" spans="1:39" x14ac:dyDescent="0.2">
      <c r="A326" t="str">
        <f>IF([1]Accounts!$D$327="","",[1]Accounts!$A$327)</f>
        <v/>
      </c>
      <c r="B326" t="str">
        <f>IF([1]Accounts!$D$327="","",[1]Accounts!$B$327)</f>
        <v/>
      </c>
      <c r="C326" t="str">
        <f>IF([1]Accounts!$D$327="","",[1]Accounts!$C$327)</f>
        <v/>
      </c>
      <c r="D326" t="str">
        <f>IF([1]Accounts!$D$327="","",[1]Accounts!$D$327)</f>
        <v/>
      </c>
      <c r="E326" t="str">
        <f>IF([1]Accounts!$D$327="","",[1]Accounts!$E$327)</f>
        <v/>
      </c>
      <c r="F326" t="str">
        <f>IF([1]Accounts!$D$327="","",[1]Accounts!$F$327)</f>
        <v/>
      </c>
      <c r="G326" t="str">
        <f>IF([1]Accounts!$D$327="","",[1]Accounts!$G$327)</f>
        <v/>
      </c>
      <c r="T326" t="str">
        <f>IF([2]Baskol!$B$329="","",[2]Baskol!$B$329)</f>
        <v/>
      </c>
      <c r="U326" t="str">
        <f>IF([2]Baskol!$C$329="","",[2]Baskol!$C$329)</f>
        <v/>
      </c>
      <c r="V326" t="str">
        <f>IF([2]Baskol!$D$329="","",[2]Baskol!$D$329)</f>
        <v/>
      </c>
      <c r="W326" t="str">
        <f>IF([2]Baskol!$E$329="","",[2]Baskol!$E$329)</f>
        <v/>
      </c>
      <c r="X326" t="str">
        <f>IF([2]Baskol!$G$329="","",[2]Baskol!$G$329)</f>
        <v/>
      </c>
      <c r="Y326" t="str">
        <f>IF([2]Baskol!$I$329="","",[2]Baskol!$I$329)</f>
        <v/>
      </c>
      <c r="Z326" t="str">
        <f>IF([2]Baskol!$J$329="","",[2]Baskol!$J$329)</f>
        <v/>
      </c>
      <c r="AA326" t="str">
        <f>IF([2]Baskol!$K$329="","",[2]Baskol!$K$329)</f>
        <v/>
      </c>
      <c r="AB326" t="str">
        <f>IF([2]Baskol!$L$329="","",[2]Baskol!$L$329)</f>
        <v/>
      </c>
      <c r="AC326" t="str">
        <f>IF([2]Baskol!$N$329="","",[2]Baskol!$N$329)</f>
        <v/>
      </c>
      <c r="AD326" t="str">
        <f>IF([2]Baskol!$O$329="","",[2]Baskol!$O$329)</f>
        <v/>
      </c>
      <c r="AE326" t="str">
        <f>IF([3]Entry!$C$329="","",[3]Entry!$C$329)</f>
        <v/>
      </c>
      <c r="AF326" t="str">
        <f>IF([3]Entry!$D$329="","",[3]Entry!$D$329)</f>
        <v/>
      </c>
      <c r="AG326" t="str">
        <f>IF([3]Entry!$E$329="","",[3]Entry!$E$329)</f>
        <v/>
      </c>
      <c r="AH326" t="str">
        <f>IF([3]Entry!$G$329="","",[3]Entry!$G$329)</f>
        <v/>
      </c>
      <c r="AI326" t="str">
        <f>IF([3]Entry!$K$329="","",[3]Entry!$K$329)</f>
        <v/>
      </c>
      <c r="AJ326" t="str">
        <f>IF([3]Entry!$L$329="","",[3]Entry!$L$329)</f>
        <v/>
      </c>
      <c r="AK326" t="str">
        <f>IF([3]Entry!$M$329="","",[3]Entry!$M$329)</f>
        <v/>
      </c>
      <c r="AL326" t="str">
        <f>IF([3]Entry!$N$329="","",[3]Entry!$N$329)</f>
        <v/>
      </c>
      <c r="AM326" t="str">
        <f>IF([3]Entry!$R$329="","",[3]Entry!$R$329)</f>
        <v/>
      </c>
    </row>
    <row r="327" spans="1:39" x14ac:dyDescent="0.2">
      <c r="A327" t="str">
        <f>IF([1]Accounts!$D$328="","",[1]Accounts!$A$328)</f>
        <v/>
      </c>
      <c r="B327" t="str">
        <f>IF([1]Accounts!$D$328="","",[1]Accounts!$B$328)</f>
        <v/>
      </c>
      <c r="C327" t="str">
        <f>IF([1]Accounts!$D$328="","",[1]Accounts!$C$328)</f>
        <v/>
      </c>
      <c r="D327" t="str">
        <f>IF([1]Accounts!$D$328="","",[1]Accounts!$D$328)</f>
        <v/>
      </c>
      <c r="E327" t="str">
        <f>IF([1]Accounts!$D$328="","",[1]Accounts!$E$328)</f>
        <v/>
      </c>
      <c r="F327" t="str">
        <f>IF([1]Accounts!$D$328="","",[1]Accounts!$F$328)</f>
        <v/>
      </c>
      <c r="G327" t="str">
        <f>IF([1]Accounts!$D$328="","",[1]Accounts!$G$328)</f>
        <v/>
      </c>
      <c r="T327" t="str">
        <f>IF([2]Baskol!$B$330="","",[2]Baskol!$B$330)</f>
        <v/>
      </c>
      <c r="U327" t="str">
        <f>IF([2]Baskol!$C$330="","",[2]Baskol!$C$330)</f>
        <v/>
      </c>
      <c r="V327" t="str">
        <f>IF([2]Baskol!$D$330="","",[2]Baskol!$D$330)</f>
        <v/>
      </c>
      <c r="W327" t="str">
        <f>IF([2]Baskol!$E$330="","",[2]Baskol!$E$330)</f>
        <v/>
      </c>
      <c r="X327" t="str">
        <f>IF([2]Baskol!$G$330="","",[2]Baskol!$G$330)</f>
        <v/>
      </c>
      <c r="Y327" t="str">
        <f>IF([2]Baskol!$I$330="","",[2]Baskol!$I$330)</f>
        <v/>
      </c>
      <c r="Z327" t="str">
        <f>IF([2]Baskol!$J$330="","",[2]Baskol!$J$330)</f>
        <v/>
      </c>
      <c r="AA327" t="str">
        <f>IF([2]Baskol!$K$330="","",[2]Baskol!$K$330)</f>
        <v/>
      </c>
      <c r="AB327" t="str">
        <f>IF([2]Baskol!$L$330="","",[2]Baskol!$L$330)</f>
        <v/>
      </c>
      <c r="AC327" t="str">
        <f>IF([2]Baskol!$N$330="","",[2]Baskol!$N$330)</f>
        <v/>
      </c>
      <c r="AD327" t="str">
        <f>IF([2]Baskol!$O$330="","",[2]Baskol!$O$330)</f>
        <v/>
      </c>
      <c r="AE327" t="str">
        <f>IF([3]Entry!$C$330="","",[3]Entry!$C$330)</f>
        <v/>
      </c>
      <c r="AF327" t="str">
        <f>IF([3]Entry!$D$330="","",[3]Entry!$D$330)</f>
        <v/>
      </c>
      <c r="AG327" t="str">
        <f>IF([3]Entry!$E$330="","",[3]Entry!$E$330)</f>
        <v/>
      </c>
      <c r="AH327" t="str">
        <f>IF([3]Entry!$G$330="","",[3]Entry!$G$330)</f>
        <v/>
      </c>
      <c r="AI327" t="str">
        <f>IF([3]Entry!$K$330="","",[3]Entry!$K$330)</f>
        <v/>
      </c>
      <c r="AJ327" t="str">
        <f>IF([3]Entry!$L$330="","",[3]Entry!$L$330)</f>
        <v/>
      </c>
      <c r="AK327" t="str">
        <f>IF([3]Entry!$M$330="","",[3]Entry!$M$330)</f>
        <v/>
      </c>
      <c r="AL327" t="str">
        <f>IF([3]Entry!$N$330="","",[3]Entry!$N$330)</f>
        <v/>
      </c>
      <c r="AM327" t="str">
        <f>IF([3]Entry!$R$330="","",[3]Entry!$R$330)</f>
        <v/>
      </c>
    </row>
    <row r="328" spans="1:39" x14ac:dyDescent="0.2">
      <c r="A328" t="str">
        <f>IF([1]Accounts!$D$329="","",[1]Accounts!$A$329)</f>
        <v/>
      </c>
      <c r="B328" t="str">
        <f>IF([1]Accounts!$D$329="","",[1]Accounts!$B$329)</f>
        <v/>
      </c>
      <c r="C328" t="str">
        <f>IF([1]Accounts!$D$329="","",[1]Accounts!$C$329)</f>
        <v/>
      </c>
      <c r="D328" t="str">
        <f>IF([1]Accounts!$D$329="","",[1]Accounts!$D$329)</f>
        <v/>
      </c>
      <c r="E328" t="str">
        <f>IF([1]Accounts!$D$329="","",[1]Accounts!$E$329)</f>
        <v/>
      </c>
      <c r="F328" t="str">
        <f>IF([1]Accounts!$D$329="","",[1]Accounts!$F$329)</f>
        <v/>
      </c>
      <c r="G328" t="str">
        <f>IF([1]Accounts!$D$329="","",[1]Accounts!$G$329)</f>
        <v/>
      </c>
      <c r="T328" t="str">
        <f>IF([2]Baskol!$B$331="","",[2]Baskol!$B$331)</f>
        <v/>
      </c>
      <c r="U328" t="str">
        <f>IF([2]Baskol!$C$331="","",[2]Baskol!$C$331)</f>
        <v/>
      </c>
      <c r="V328" t="str">
        <f>IF([2]Baskol!$D$331="","",[2]Baskol!$D$331)</f>
        <v/>
      </c>
      <c r="W328" t="str">
        <f>IF([2]Baskol!$E$331="","",[2]Baskol!$E$331)</f>
        <v/>
      </c>
      <c r="X328" t="str">
        <f>IF([2]Baskol!$G$331="","",[2]Baskol!$G$331)</f>
        <v/>
      </c>
      <c r="Y328" t="str">
        <f>IF([2]Baskol!$I$331="","",[2]Baskol!$I$331)</f>
        <v/>
      </c>
      <c r="Z328" t="str">
        <f>IF([2]Baskol!$J$331="","",[2]Baskol!$J$331)</f>
        <v/>
      </c>
      <c r="AA328" t="str">
        <f>IF([2]Baskol!$K$331="","",[2]Baskol!$K$331)</f>
        <v/>
      </c>
      <c r="AB328" t="str">
        <f>IF([2]Baskol!$L$331="","",[2]Baskol!$L$331)</f>
        <v/>
      </c>
      <c r="AC328" t="str">
        <f>IF([2]Baskol!$N$331="","",[2]Baskol!$N$331)</f>
        <v/>
      </c>
      <c r="AD328" t="str">
        <f>IF([2]Baskol!$O$331="","",[2]Baskol!$O$331)</f>
        <v/>
      </c>
      <c r="AE328" t="str">
        <f>IF([3]Entry!$C$331="","",[3]Entry!$C$331)</f>
        <v/>
      </c>
      <c r="AF328" t="str">
        <f>IF([3]Entry!$D$331="","",[3]Entry!$D$331)</f>
        <v/>
      </c>
      <c r="AG328" t="str">
        <f>IF([3]Entry!$E$331="","",[3]Entry!$E$331)</f>
        <v/>
      </c>
      <c r="AH328" t="str">
        <f>IF([3]Entry!$G$331="","",[3]Entry!$G$331)</f>
        <v/>
      </c>
      <c r="AI328" t="str">
        <f>IF([3]Entry!$K$331="","",[3]Entry!$K$331)</f>
        <v/>
      </c>
      <c r="AJ328" t="str">
        <f>IF([3]Entry!$L$331="","",[3]Entry!$L$331)</f>
        <v/>
      </c>
      <c r="AK328" t="str">
        <f>IF([3]Entry!$M$331="","",[3]Entry!$M$331)</f>
        <v/>
      </c>
      <c r="AL328" t="str">
        <f>IF([3]Entry!$N$331="","",[3]Entry!$N$331)</f>
        <v/>
      </c>
      <c r="AM328" t="str">
        <f>IF([3]Entry!$R$331="","",[3]Entry!$R$331)</f>
        <v/>
      </c>
    </row>
    <row r="329" spans="1:39" x14ac:dyDescent="0.2">
      <c r="A329" t="str">
        <f>IF([1]Accounts!$D$330="","",[1]Accounts!$A$330)</f>
        <v/>
      </c>
      <c r="B329" t="str">
        <f>IF([1]Accounts!$D$330="","",[1]Accounts!$B$330)</f>
        <v/>
      </c>
      <c r="C329" t="str">
        <f>IF([1]Accounts!$D$330="","",[1]Accounts!$C$330)</f>
        <v/>
      </c>
      <c r="D329" t="str">
        <f>IF([1]Accounts!$D$330="","",[1]Accounts!$D$330)</f>
        <v/>
      </c>
      <c r="E329" t="str">
        <f>IF([1]Accounts!$D$330="","",[1]Accounts!$E$330)</f>
        <v/>
      </c>
      <c r="F329" t="str">
        <f>IF([1]Accounts!$D$330="","",[1]Accounts!$F$330)</f>
        <v/>
      </c>
      <c r="G329" t="str">
        <f>IF([1]Accounts!$D$330="","",[1]Accounts!$G$330)</f>
        <v/>
      </c>
      <c r="T329" t="str">
        <f>IF([2]Baskol!$B$332="","",[2]Baskol!$B$332)</f>
        <v/>
      </c>
      <c r="U329" t="str">
        <f>IF([2]Baskol!$C$332="","",[2]Baskol!$C$332)</f>
        <v/>
      </c>
      <c r="V329" t="str">
        <f>IF([2]Baskol!$D$332="","",[2]Baskol!$D$332)</f>
        <v/>
      </c>
      <c r="W329" t="str">
        <f>IF([2]Baskol!$E$332="","",[2]Baskol!$E$332)</f>
        <v/>
      </c>
      <c r="X329" t="str">
        <f>IF([2]Baskol!$G$332="","",[2]Baskol!$G$332)</f>
        <v/>
      </c>
      <c r="Y329" t="str">
        <f>IF([2]Baskol!$I$332="","",[2]Baskol!$I$332)</f>
        <v/>
      </c>
      <c r="Z329" t="str">
        <f>IF([2]Baskol!$J$332="","",[2]Baskol!$J$332)</f>
        <v/>
      </c>
      <c r="AA329" t="str">
        <f>IF([2]Baskol!$K$332="","",[2]Baskol!$K$332)</f>
        <v/>
      </c>
      <c r="AB329" t="str">
        <f>IF([2]Baskol!$L$332="","",[2]Baskol!$L$332)</f>
        <v/>
      </c>
      <c r="AC329" t="str">
        <f>IF([2]Baskol!$N$332="","",[2]Baskol!$N$332)</f>
        <v/>
      </c>
      <c r="AD329" t="str">
        <f>IF([2]Baskol!$O$332="","",[2]Baskol!$O$332)</f>
        <v/>
      </c>
      <c r="AE329" t="str">
        <f>IF([3]Entry!$C$332="","",[3]Entry!$C$332)</f>
        <v/>
      </c>
      <c r="AF329" t="str">
        <f>IF([3]Entry!$D$332="","",[3]Entry!$D$332)</f>
        <v/>
      </c>
      <c r="AG329" t="str">
        <f>IF([3]Entry!$E$332="","",[3]Entry!$E$332)</f>
        <v/>
      </c>
      <c r="AH329" t="str">
        <f>IF([3]Entry!$G$332="","",[3]Entry!$G$332)</f>
        <v/>
      </c>
      <c r="AI329" t="str">
        <f>IF([3]Entry!$K$332="","",[3]Entry!$K$332)</f>
        <v/>
      </c>
      <c r="AJ329" t="str">
        <f>IF([3]Entry!$L$332="","",[3]Entry!$L$332)</f>
        <v/>
      </c>
      <c r="AK329" t="str">
        <f>IF([3]Entry!$M$332="","",[3]Entry!$M$332)</f>
        <v/>
      </c>
      <c r="AL329" t="str">
        <f>IF([3]Entry!$N$332="","",[3]Entry!$N$332)</f>
        <v/>
      </c>
      <c r="AM329" t="str">
        <f>IF([3]Entry!$R$332="","",[3]Entry!$R$332)</f>
        <v/>
      </c>
    </row>
    <row r="330" spans="1:39" x14ac:dyDescent="0.2">
      <c r="A330" t="str">
        <f>IF([1]Accounts!$D$331="","",[1]Accounts!$A$331)</f>
        <v/>
      </c>
      <c r="B330" t="str">
        <f>IF([1]Accounts!$D$331="","",[1]Accounts!$B$331)</f>
        <v/>
      </c>
      <c r="C330" t="str">
        <f>IF([1]Accounts!$D$331="","",[1]Accounts!$C$331)</f>
        <v/>
      </c>
      <c r="D330" t="str">
        <f>IF([1]Accounts!$D$331="","",[1]Accounts!$D$331)</f>
        <v/>
      </c>
      <c r="E330" t="str">
        <f>IF([1]Accounts!$D$331="","",[1]Accounts!$E$331)</f>
        <v/>
      </c>
      <c r="F330" t="str">
        <f>IF([1]Accounts!$D$331="","",[1]Accounts!$F$331)</f>
        <v/>
      </c>
      <c r="G330" t="str">
        <f>IF([1]Accounts!$D$331="","",[1]Accounts!$G$331)</f>
        <v/>
      </c>
      <c r="T330" t="str">
        <f>IF([2]Baskol!$B$333="","",[2]Baskol!$B$333)</f>
        <v/>
      </c>
      <c r="U330" t="str">
        <f>IF([2]Baskol!$C$333="","",[2]Baskol!$C$333)</f>
        <v/>
      </c>
      <c r="V330" t="str">
        <f>IF([2]Baskol!$D$333="","",[2]Baskol!$D$333)</f>
        <v/>
      </c>
      <c r="W330" t="str">
        <f>IF([2]Baskol!$E$333="","",[2]Baskol!$E$333)</f>
        <v/>
      </c>
      <c r="X330" t="str">
        <f>IF([2]Baskol!$G$333="","",[2]Baskol!$G$333)</f>
        <v/>
      </c>
      <c r="Y330" t="str">
        <f>IF([2]Baskol!$I$333="","",[2]Baskol!$I$333)</f>
        <v/>
      </c>
      <c r="Z330" t="str">
        <f>IF([2]Baskol!$J$333="","",[2]Baskol!$J$333)</f>
        <v/>
      </c>
      <c r="AA330" t="str">
        <f>IF([2]Baskol!$K$333="","",[2]Baskol!$K$333)</f>
        <v/>
      </c>
      <c r="AB330" t="str">
        <f>IF([2]Baskol!$L$333="","",[2]Baskol!$L$333)</f>
        <v/>
      </c>
      <c r="AC330" t="str">
        <f>IF([2]Baskol!$N$333="","",[2]Baskol!$N$333)</f>
        <v/>
      </c>
      <c r="AD330" t="str">
        <f>IF([2]Baskol!$O$333="","",[2]Baskol!$O$333)</f>
        <v/>
      </c>
      <c r="AE330" t="str">
        <f>IF([3]Entry!$C$333="","",[3]Entry!$C$333)</f>
        <v/>
      </c>
      <c r="AF330" t="str">
        <f>IF([3]Entry!$D$333="","",[3]Entry!$D$333)</f>
        <v/>
      </c>
      <c r="AG330" t="str">
        <f>IF([3]Entry!$E$333="","",[3]Entry!$E$333)</f>
        <v/>
      </c>
      <c r="AH330" t="str">
        <f>IF([3]Entry!$G$333="","",[3]Entry!$G$333)</f>
        <v/>
      </c>
      <c r="AI330" t="str">
        <f>IF([3]Entry!$K$333="","",[3]Entry!$K$333)</f>
        <v/>
      </c>
      <c r="AJ330" t="str">
        <f>IF([3]Entry!$L$333="","",[3]Entry!$L$333)</f>
        <v/>
      </c>
      <c r="AK330" t="str">
        <f>IF([3]Entry!$M$333="","",[3]Entry!$M$333)</f>
        <v/>
      </c>
      <c r="AL330" t="str">
        <f>IF([3]Entry!$N$333="","",[3]Entry!$N$333)</f>
        <v/>
      </c>
      <c r="AM330" t="str">
        <f>IF([3]Entry!$R$333="","",[3]Entry!$R$333)</f>
        <v/>
      </c>
    </row>
    <row r="331" spans="1:39" x14ac:dyDescent="0.2">
      <c r="A331" t="str">
        <f>IF([1]Accounts!$D$332="","",[1]Accounts!$A$332)</f>
        <v/>
      </c>
      <c r="B331" t="str">
        <f>IF([1]Accounts!$D$332="","",[1]Accounts!$B$332)</f>
        <v/>
      </c>
      <c r="C331" t="str">
        <f>IF([1]Accounts!$D$332="","",[1]Accounts!$C$332)</f>
        <v/>
      </c>
      <c r="D331" t="str">
        <f>IF([1]Accounts!$D$332="","",[1]Accounts!$D$332)</f>
        <v/>
      </c>
      <c r="E331" t="str">
        <f>IF([1]Accounts!$D$332="","",[1]Accounts!$E$332)</f>
        <v/>
      </c>
      <c r="F331" t="str">
        <f>IF([1]Accounts!$D$332="","",[1]Accounts!$F$332)</f>
        <v/>
      </c>
      <c r="G331" t="str">
        <f>IF([1]Accounts!$D$332="","",[1]Accounts!$G$332)</f>
        <v/>
      </c>
      <c r="T331" t="str">
        <f>IF([2]Baskol!$B$334="","",[2]Baskol!$B$334)</f>
        <v/>
      </c>
      <c r="U331" t="str">
        <f>IF([2]Baskol!$C$334="","",[2]Baskol!$C$334)</f>
        <v/>
      </c>
      <c r="V331" t="str">
        <f>IF([2]Baskol!$D$334="","",[2]Baskol!$D$334)</f>
        <v/>
      </c>
      <c r="W331" t="str">
        <f>IF([2]Baskol!$E$334="","",[2]Baskol!$E$334)</f>
        <v/>
      </c>
      <c r="X331" t="str">
        <f>IF([2]Baskol!$G$334="","",[2]Baskol!$G$334)</f>
        <v/>
      </c>
      <c r="Y331" t="str">
        <f>IF([2]Baskol!$I$334="","",[2]Baskol!$I$334)</f>
        <v/>
      </c>
      <c r="Z331" t="str">
        <f>IF([2]Baskol!$J$334="","",[2]Baskol!$J$334)</f>
        <v/>
      </c>
      <c r="AA331" t="str">
        <f>IF([2]Baskol!$K$334="","",[2]Baskol!$K$334)</f>
        <v/>
      </c>
      <c r="AB331" t="str">
        <f>IF([2]Baskol!$L$334="","",[2]Baskol!$L$334)</f>
        <v/>
      </c>
      <c r="AC331" t="str">
        <f>IF([2]Baskol!$N$334="","",[2]Baskol!$N$334)</f>
        <v/>
      </c>
      <c r="AD331" t="str">
        <f>IF([2]Baskol!$O$334="","",[2]Baskol!$O$334)</f>
        <v/>
      </c>
      <c r="AE331" t="str">
        <f>IF([3]Entry!$C$334="","",[3]Entry!$C$334)</f>
        <v/>
      </c>
      <c r="AF331" t="str">
        <f>IF([3]Entry!$D$334="","",[3]Entry!$D$334)</f>
        <v/>
      </c>
      <c r="AG331" t="str">
        <f>IF([3]Entry!$E$334="","",[3]Entry!$E$334)</f>
        <v/>
      </c>
      <c r="AH331" t="str">
        <f>IF([3]Entry!$G$334="","",[3]Entry!$G$334)</f>
        <v/>
      </c>
      <c r="AI331" t="str">
        <f>IF([3]Entry!$K$334="","",[3]Entry!$K$334)</f>
        <v/>
      </c>
      <c r="AJ331" t="str">
        <f>IF([3]Entry!$L$334="","",[3]Entry!$L$334)</f>
        <v/>
      </c>
      <c r="AK331" t="str">
        <f>IF([3]Entry!$M$334="","",[3]Entry!$M$334)</f>
        <v/>
      </c>
      <c r="AL331" t="str">
        <f>IF([3]Entry!$N$334="","",[3]Entry!$N$334)</f>
        <v/>
      </c>
      <c r="AM331" t="str">
        <f>IF([3]Entry!$R$334="","",[3]Entry!$R$334)</f>
        <v/>
      </c>
    </row>
    <row r="332" spans="1:39" x14ac:dyDescent="0.2">
      <c r="A332" t="str">
        <f>IF([1]Accounts!$D$333="","",[1]Accounts!$A$333)</f>
        <v/>
      </c>
      <c r="B332" t="str">
        <f>IF([1]Accounts!$D$333="","",[1]Accounts!$B$333)</f>
        <v/>
      </c>
      <c r="C332" t="str">
        <f>IF([1]Accounts!$D$333="","",[1]Accounts!$C$333)</f>
        <v/>
      </c>
      <c r="D332" t="str">
        <f>IF([1]Accounts!$D$333="","",[1]Accounts!$D$333)</f>
        <v/>
      </c>
      <c r="E332" t="str">
        <f>IF([1]Accounts!$D$333="","",[1]Accounts!$E$333)</f>
        <v/>
      </c>
      <c r="F332" t="str">
        <f>IF([1]Accounts!$D$333="","",[1]Accounts!$F$333)</f>
        <v/>
      </c>
      <c r="G332" t="str">
        <f>IF([1]Accounts!$D$333="","",[1]Accounts!$G$333)</f>
        <v/>
      </c>
      <c r="T332" t="str">
        <f>IF([2]Baskol!$B$335="","",[2]Baskol!$B$335)</f>
        <v/>
      </c>
      <c r="U332" t="str">
        <f>IF([2]Baskol!$C$335="","",[2]Baskol!$C$335)</f>
        <v/>
      </c>
      <c r="V332" t="str">
        <f>IF([2]Baskol!$D$335="","",[2]Baskol!$D$335)</f>
        <v/>
      </c>
      <c r="W332" t="str">
        <f>IF([2]Baskol!$E$335="","",[2]Baskol!$E$335)</f>
        <v/>
      </c>
      <c r="X332" t="str">
        <f>IF([2]Baskol!$G$335="","",[2]Baskol!$G$335)</f>
        <v/>
      </c>
      <c r="Y332" t="str">
        <f>IF([2]Baskol!$I$335="","",[2]Baskol!$I$335)</f>
        <v/>
      </c>
      <c r="Z332" t="str">
        <f>IF([2]Baskol!$J$335="","",[2]Baskol!$J$335)</f>
        <v/>
      </c>
      <c r="AA332" t="str">
        <f>IF([2]Baskol!$K$335="","",[2]Baskol!$K$335)</f>
        <v/>
      </c>
      <c r="AB332" t="str">
        <f>IF([2]Baskol!$L$335="","",[2]Baskol!$L$335)</f>
        <v/>
      </c>
      <c r="AC332" t="str">
        <f>IF([2]Baskol!$N$335="","",[2]Baskol!$N$335)</f>
        <v/>
      </c>
      <c r="AD332" t="str">
        <f>IF([2]Baskol!$O$335="","",[2]Baskol!$O$335)</f>
        <v/>
      </c>
      <c r="AE332" t="str">
        <f>IF([3]Entry!$C$335="","",[3]Entry!$C$335)</f>
        <v/>
      </c>
      <c r="AF332" t="str">
        <f>IF([3]Entry!$D$335="","",[3]Entry!$D$335)</f>
        <v/>
      </c>
      <c r="AG332" t="str">
        <f>IF([3]Entry!$E$335="","",[3]Entry!$E$335)</f>
        <v/>
      </c>
      <c r="AH332" t="str">
        <f>IF([3]Entry!$G$335="","",[3]Entry!$G$335)</f>
        <v/>
      </c>
      <c r="AI332" t="str">
        <f>IF([3]Entry!$K$335="","",[3]Entry!$K$335)</f>
        <v/>
      </c>
      <c r="AJ332" t="str">
        <f>IF([3]Entry!$L$335="","",[3]Entry!$L$335)</f>
        <v/>
      </c>
      <c r="AK332" t="str">
        <f>IF([3]Entry!$M$335="","",[3]Entry!$M$335)</f>
        <v/>
      </c>
      <c r="AL332" t="str">
        <f>IF([3]Entry!$N$335="","",[3]Entry!$N$335)</f>
        <v/>
      </c>
      <c r="AM332" t="str">
        <f>IF([3]Entry!$R$335="","",[3]Entry!$R$335)</f>
        <v/>
      </c>
    </row>
    <row r="333" spans="1:39" x14ac:dyDescent="0.2">
      <c r="A333" t="str">
        <f>IF([1]Accounts!$D$334="","",[1]Accounts!$A$334)</f>
        <v/>
      </c>
      <c r="B333" t="str">
        <f>IF([1]Accounts!$D$334="","",[1]Accounts!$B$334)</f>
        <v/>
      </c>
      <c r="C333" t="str">
        <f>IF([1]Accounts!$D$334="","",[1]Accounts!$C$334)</f>
        <v/>
      </c>
      <c r="D333" t="str">
        <f>IF([1]Accounts!$D$334="","",[1]Accounts!$D$334)</f>
        <v/>
      </c>
      <c r="E333" t="str">
        <f>IF([1]Accounts!$D$334="","",[1]Accounts!$E$334)</f>
        <v/>
      </c>
      <c r="F333" t="str">
        <f>IF([1]Accounts!$D$334="","",[1]Accounts!$F$334)</f>
        <v/>
      </c>
      <c r="G333" t="str">
        <f>IF([1]Accounts!$D$334="","",[1]Accounts!$G$334)</f>
        <v/>
      </c>
      <c r="T333" t="str">
        <f>IF([2]Baskol!$B$336="","",[2]Baskol!$B$336)</f>
        <v/>
      </c>
      <c r="U333" t="str">
        <f>IF([2]Baskol!$C$336="","",[2]Baskol!$C$336)</f>
        <v/>
      </c>
      <c r="V333" t="str">
        <f>IF([2]Baskol!$D$336="","",[2]Baskol!$D$336)</f>
        <v/>
      </c>
      <c r="W333" t="str">
        <f>IF([2]Baskol!$E$336="","",[2]Baskol!$E$336)</f>
        <v/>
      </c>
      <c r="X333" t="str">
        <f>IF([2]Baskol!$G$336="","",[2]Baskol!$G$336)</f>
        <v/>
      </c>
      <c r="Y333" t="str">
        <f>IF([2]Baskol!$I$336="","",[2]Baskol!$I$336)</f>
        <v/>
      </c>
      <c r="Z333" t="str">
        <f>IF([2]Baskol!$J$336="","",[2]Baskol!$J$336)</f>
        <v/>
      </c>
      <c r="AA333" t="str">
        <f>IF([2]Baskol!$K$336="","",[2]Baskol!$K$336)</f>
        <v/>
      </c>
      <c r="AB333" t="str">
        <f>IF([2]Baskol!$L$336="","",[2]Baskol!$L$336)</f>
        <v/>
      </c>
      <c r="AC333" t="str">
        <f>IF([2]Baskol!$N$336="","",[2]Baskol!$N$336)</f>
        <v/>
      </c>
      <c r="AD333" t="str">
        <f>IF([2]Baskol!$O$336="","",[2]Baskol!$O$336)</f>
        <v/>
      </c>
      <c r="AE333" t="str">
        <f>IF([3]Entry!$C$336="","",[3]Entry!$C$336)</f>
        <v/>
      </c>
      <c r="AF333" t="str">
        <f>IF([3]Entry!$D$336="","",[3]Entry!$D$336)</f>
        <v/>
      </c>
      <c r="AG333" t="str">
        <f>IF([3]Entry!$E$336="","",[3]Entry!$E$336)</f>
        <v/>
      </c>
      <c r="AH333" t="str">
        <f>IF([3]Entry!$G$336="","",[3]Entry!$G$336)</f>
        <v/>
      </c>
      <c r="AI333" t="str">
        <f>IF([3]Entry!$K$336="","",[3]Entry!$K$336)</f>
        <v/>
      </c>
      <c r="AJ333" t="str">
        <f>IF([3]Entry!$L$336="","",[3]Entry!$L$336)</f>
        <v/>
      </c>
      <c r="AK333" t="str">
        <f>IF([3]Entry!$M$336="","",[3]Entry!$M$336)</f>
        <v/>
      </c>
      <c r="AL333" t="str">
        <f>IF([3]Entry!$N$336="","",[3]Entry!$N$336)</f>
        <v/>
      </c>
      <c r="AM333" t="str">
        <f>IF([3]Entry!$R$336="","",[3]Entry!$R$336)</f>
        <v/>
      </c>
    </row>
    <row r="334" spans="1:39" x14ac:dyDescent="0.2">
      <c r="A334" t="str">
        <f>IF([1]Accounts!$D$335="","",[1]Accounts!$A$335)</f>
        <v/>
      </c>
      <c r="B334" t="str">
        <f>IF([1]Accounts!$D$335="","",[1]Accounts!$B$335)</f>
        <v/>
      </c>
      <c r="C334" t="str">
        <f>IF([1]Accounts!$D$335="","",[1]Accounts!$C$335)</f>
        <v/>
      </c>
      <c r="D334" t="str">
        <f>IF([1]Accounts!$D$335="","",[1]Accounts!$D$335)</f>
        <v/>
      </c>
      <c r="E334" t="str">
        <f>IF([1]Accounts!$D$335="","",[1]Accounts!$E$335)</f>
        <v/>
      </c>
      <c r="F334" t="str">
        <f>IF([1]Accounts!$D$335="","",[1]Accounts!$F$335)</f>
        <v/>
      </c>
      <c r="G334" t="str">
        <f>IF([1]Accounts!$D$335="","",[1]Accounts!$G$335)</f>
        <v/>
      </c>
      <c r="T334" t="str">
        <f>IF([2]Baskol!$B$337="","",[2]Baskol!$B$337)</f>
        <v/>
      </c>
      <c r="U334" t="str">
        <f>IF([2]Baskol!$C$337="","",[2]Baskol!$C$337)</f>
        <v/>
      </c>
      <c r="V334" t="str">
        <f>IF([2]Baskol!$D$337="","",[2]Baskol!$D$337)</f>
        <v/>
      </c>
      <c r="W334" t="str">
        <f>IF([2]Baskol!$E$337="","",[2]Baskol!$E$337)</f>
        <v/>
      </c>
      <c r="X334" t="str">
        <f>IF([2]Baskol!$G$337="","",[2]Baskol!$G$337)</f>
        <v/>
      </c>
      <c r="Y334" t="str">
        <f>IF([2]Baskol!$I$337="","",[2]Baskol!$I$337)</f>
        <v/>
      </c>
      <c r="Z334" t="str">
        <f>IF([2]Baskol!$J$337="","",[2]Baskol!$J$337)</f>
        <v/>
      </c>
      <c r="AA334" t="str">
        <f>IF([2]Baskol!$K$337="","",[2]Baskol!$K$337)</f>
        <v/>
      </c>
      <c r="AB334" t="str">
        <f>IF([2]Baskol!$L$337="","",[2]Baskol!$L$337)</f>
        <v/>
      </c>
      <c r="AC334" t="str">
        <f>IF([2]Baskol!$N$337="","",[2]Baskol!$N$337)</f>
        <v/>
      </c>
      <c r="AD334" t="str">
        <f>IF([2]Baskol!$O$337="","",[2]Baskol!$O$337)</f>
        <v/>
      </c>
      <c r="AE334" t="str">
        <f>IF([3]Entry!$C$337="","",[3]Entry!$C$337)</f>
        <v/>
      </c>
      <c r="AF334" t="str">
        <f>IF([3]Entry!$D$337="","",[3]Entry!$D$337)</f>
        <v/>
      </c>
      <c r="AG334" t="str">
        <f>IF([3]Entry!$E$337="","",[3]Entry!$E$337)</f>
        <v/>
      </c>
      <c r="AH334" t="str">
        <f>IF([3]Entry!$G$337="","",[3]Entry!$G$337)</f>
        <v/>
      </c>
      <c r="AI334" t="str">
        <f>IF([3]Entry!$K$337="","",[3]Entry!$K$337)</f>
        <v/>
      </c>
      <c r="AJ334" t="str">
        <f>IF([3]Entry!$L$337="","",[3]Entry!$L$337)</f>
        <v/>
      </c>
      <c r="AK334" t="str">
        <f>IF([3]Entry!$M$337="","",[3]Entry!$M$337)</f>
        <v/>
      </c>
      <c r="AL334" t="str">
        <f>IF([3]Entry!$N$337="","",[3]Entry!$N$337)</f>
        <v/>
      </c>
      <c r="AM334" t="str">
        <f>IF([3]Entry!$R$337="","",[3]Entry!$R$337)</f>
        <v/>
      </c>
    </row>
    <row r="335" spans="1:39" x14ac:dyDescent="0.2">
      <c r="A335" t="str">
        <f>IF([1]Accounts!$D$336="","",[1]Accounts!$A$336)</f>
        <v/>
      </c>
      <c r="B335" t="str">
        <f>IF([1]Accounts!$D$336="","",[1]Accounts!$B$336)</f>
        <v/>
      </c>
      <c r="C335" t="str">
        <f>IF([1]Accounts!$D$336="","",[1]Accounts!$C$336)</f>
        <v/>
      </c>
      <c r="D335" t="str">
        <f>IF([1]Accounts!$D$336="","",[1]Accounts!$D$336)</f>
        <v/>
      </c>
      <c r="E335" t="str">
        <f>IF([1]Accounts!$D$336="","",[1]Accounts!$E$336)</f>
        <v/>
      </c>
      <c r="F335" t="str">
        <f>IF([1]Accounts!$D$336="","",[1]Accounts!$F$336)</f>
        <v/>
      </c>
      <c r="G335" t="str">
        <f>IF([1]Accounts!$D$336="","",[1]Accounts!$G$336)</f>
        <v/>
      </c>
      <c r="T335" t="str">
        <f>IF([2]Baskol!$B$338="","",[2]Baskol!$B$338)</f>
        <v/>
      </c>
      <c r="U335" t="str">
        <f>IF([2]Baskol!$C$338="","",[2]Baskol!$C$338)</f>
        <v/>
      </c>
      <c r="V335" t="str">
        <f>IF([2]Baskol!$D$338="","",[2]Baskol!$D$338)</f>
        <v/>
      </c>
      <c r="W335" t="str">
        <f>IF([2]Baskol!$E$338="","",[2]Baskol!$E$338)</f>
        <v/>
      </c>
      <c r="X335" t="str">
        <f>IF([2]Baskol!$G$338="","",[2]Baskol!$G$338)</f>
        <v/>
      </c>
      <c r="Y335" t="str">
        <f>IF([2]Baskol!$I$338="","",[2]Baskol!$I$338)</f>
        <v/>
      </c>
      <c r="Z335" t="str">
        <f>IF([2]Baskol!$J$338="","",[2]Baskol!$J$338)</f>
        <v/>
      </c>
      <c r="AA335" t="str">
        <f>IF([2]Baskol!$K$338="","",[2]Baskol!$K$338)</f>
        <v/>
      </c>
      <c r="AB335" t="str">
        <f>IF([2]Baskol!$L$338="","",[2]Baskol!$L$338)</f>
        <v/>
      </c>
      <c r="AC335" t="str">
        <f>IF([2]Baskol!$N$338="","",[2]Baskol!$N$338)</f>
        <v/>
      </c>
      <c r="AD335" t="str">
        <f>IF([2]Baskol!$O$338="","",[2]Baskol!$O$338)</f>
        <v/>
      </c>
      <c r="AE335" t="str">
        <f>IF([3]Entry!$C$338="","",[3]Entry!$C$338)</f>
        <v/>
      </c>
      <c r="AF335" t="str">
        <f>IF([3]Entry!$D$338="","",[3]Entry!$D$338)</f>
        <v/>
      </c>
      <c r="AG335" t="str">
        <f>IF([3]Entry!$E$338="","",[3]Entry!$E$338)</f>
        <v/>
      </c>
      <c r="AH335" t="str">
        <f>IF([3]Entry!$G$338="","",[3]Entry!$G$338)</f>
        <v/>
      </c>
      <c r="AI335" t="str">
        <f>IF([3]Entry!$K$338="","",[3]Entry!$K$338)</f>
        <v/>
      </c>
      <c r="AJ335" t="str">
        <f>IF([3]Entry!$L$338="","",[3]Entry!$L$338)</f>
        <v/>
      </c>
      <c r="AK335" t="str">
        <f>IF([3]Entry!$M$338="","",[3]Entry!$M$338)</f>
        <v/>
      </c>
      <c r="AL335" t="str">
        <f>IF([3]Entry!$N$338="","",[3]Entry!$N$338)</f>
        <v/>
      </c>
      <c r="AM335" t="str">
        <f>IF([3]Entry!$R$338="","",[3]Entry!$R$338)</f>
        <v/>
      </c>
    </row>
    <row r="336" spans="1:39" x14ac:dyDescent="0.2">
      <c r="A336" t="str">
        <f>IF([1]Accounts!$D$337="","",[1]Accounts!$A$337)</f>
        <v/>
      </c>
      <c r="B336" t="str">
        <f>IF([1]Accounts!$D$337="","",[1]Accounts!$B$337)</f>
        <v/>
      </c>
      <c r="C336" t="str">
        <f>IF([1]Accounts!$D$337="","",[1]Accounts!$C$337)</f>
        <v/>
      </c>
      <c r="D336" t="str">
        <f>IF([1]Accounts!$D$337="","",[1]Accounts!$D$337)</f>
        <v/>
      </c>
      <c r="E336" t="str">
        <f>IF([1]Accounts!$D$337="","",[1]Accounts!$E$337)</f>
        <v/>
      </c>
      <c r="F336" t="str">
        <f>IF([1]Accounts!$D$337="","",[1]Accounts!$F$337)</f>
        <v/>
      </c>
      <c r="G336" t="str">
        <f>IF([1]Accounts!$D$337="","",[1]Accounts!$G$337)</f>
        <v/>
      </c>
      <c r="T336" t="str">
        <f>IF([2]Baskol!$B$339="","",[2]Baskol!$B$339)</f>
        <v/>
      </c>
      <c r="U336" t="str">
        <f>IF([2]Baskol!$C$339="","",[2]Baskol!$C$339)</f>
        <v/>
      </c>
      <c r="V336" t="str">
        <f>IF([2]Baskol!$D$339="","",[2]Baskol!$D$339)</f>
        <v/>
      </c>
      <c r="W336" t="str">
        <f>IF([2]Baskol!$E$339="","",[2]Baskol!$E$339)</f>
        <v/>
      </c>
      <c r="X336" t="str">
        <f>IF([2]Baskol!$G$339="","",[2]Baskol!$G$339)</f>
        <v/>
      </c>
      <c r="Y336" t="str">
        <f>IF([2]Baskol!$I$339="","",[2]Baskol!$I$339)</f>
        <v/>
      </c>
      <c r="Z336" t="str">
        <f>IF([2]Baskol!$J$339="","",[2]Baskol!$J$339)</f>
        <v/>
      </c>
      <c r="AA336" t="str">
        <f>IF([2]Baskol!$K$339="","",[2]Baskol!$K$339)</f>
        <v/>
      </c>
      <c r="AB336" t="str">
        <f>IF([2]Baskol!$L$339="","",[2]Baskol!$L$339)</f>
        <v/>
      </c>
      <c r="AC336" t="str">
        <f>IF([2]Baskol!$N$339="","",[2]Baskol!$N$339)</f>
        <v/>
      </c>
      <c r="AD336" t="str">
        <f>IF([2]Baskol!$O$339="","",[2]Baskol!$O$339)</f>
        <v/>
      </c>
      <c r="AE336" t="str">
        <f>IF([3]Entry!$C$339="","",[3]Entry!$C$339)</f>
        <v/>
      </c>
      <c r="AF336" t="str">
        <f>IF([3]Entry!$D$339="","",[3]Entry!$D$339)</f>
        <v/>
      </c>
      <c r="AG336" t="str">
        <f>IF([3]Entry!$E$339="","",[3]Entry!$E$339)</f>
        <v/>
      </c>
      <c r="AH336" t="str">
        <f>IF([3]Entry!$G$339="","",[3]Entry!$G$339)</f>
        <v/>
      </c>
      <c r="AI336" t="str">
        <f>IF([3]Entry!$K$339="","",[3]Entry!$K$339)</f>
        <v/>
      </c>
      <c r="AJ336" t="str">
        <f>IF([3]Entry!$L$339="","",[3]Entry!$L$339)</f>
        <v/>
      </c>
      <c r="AK336" t="str">
        <f>IF([3]Entry!$M$339="","",[3]Entry!$M$339)</f>
        <v/>
      </c>
      <c r="AL336" t="str">
        <f>IF([3]Entry!$N$339="","",[3]Entry!$N$339)</f>
        <v/>
      </c>
      <c r="AM336" t="str">
        <f>IF([3]Entry!$R$339="","",[3]Entry!$R$339)</f>
        <v/>
      </c>
    </row>
    <row r="337" spans="1:39" x14ac:dyDescent="0.2">
      <c r="A337" t="str">
        <f>IF([1]Accounts!$D$338="","",[1]Accounts!$A$338)</f>
        <v/>
      </c>
      <c r="B337" t="str">
        <f>IF([1]Accounts!$D$338="","",[1]Accounts!$B$338)</f>
        <v/>
      </c>
      <c r="C337" t="str">
        <f>IF([1]Accounts!$D$338="","",[1]Accounts!$C$338)</f>
        <v/>
      </c>
      <c r="D337" t="str">
        <f>IF([1]Accounts!$D$338="","",[1]Accounts!$D$338)</f>
        <v/>
      </c>
      <c r="E337" t="str">
        <f>IF([1]Accounts!$D$338="","",[1]Accounts!$E$338)</f>
        <v/>
      </c>
      <c r="F337" t="str">
        <f>IF([1]Accounts!$D$338="","",[1]Accounts!$F$338)</f>
        <v/>
      </c>
      <c r="G337" t="str">
        <f>IF([1]Accounts!$D$338="","",[1]Accounts!$G$338)</f>
        <v/>
      </c>
      <c r="T337" t="str">
        <f>IF([2]Baskol!$B$340="","",[2]Baskol!$B$340)</f>
        <v/>
      </c>
      <c r="U337" t="str">
        <f>IF([2]Baskol!$C$340="","",[2]Baskol!$C$340)</f>
        <v/>
      </c>
      <c r="V337" t="str">
        <f>IF([2]Baskol!$D$340="","",[2]Baskol!$D$340)</f>
        <v/>
      </c>
      <c r="W337" t="str">
        <f>IF([2]Baskol!$E$340="","",[2]Baskol!$E$340)</f>
        <v/>
      </c>
      <c r="X337" t="str">
        <f>IF([2]Baskol!$G$340="","",[2]Baskol!$G$340)</f>
        <v/>
      </c>
      <c r="Y337" t="str">
        <f>IF([2]Baskol!$I$340="","",[2]Baskol!$I$340)</f>
        <v/>
      </c>
      <c r="Z337" t="str">
        <f>IF([2]Baskol!$J$340="","",[2]Baskol!$J$340)</f>
        <v/>
      </c>
      <c r="AA337" t="str">
        <f>IF([2]Baskol!$K$340="","",[2]Baskol!$K$340)</f>
        <v/>
      </c>
      <c r="AB337" t="str">
        <f>IF([2]Baskol!$L$340="","",[2]Baskol!$L$340)</f>
        <v/>
      </c>
      <c r="AC337" t="str">
        <f>IF([2]Baskol!$N$340="","",[2]Baskol!$N$340)</f>
        <v/>
      </c>
      <c r="AD337" t="str">
        <f>IF([2]Baskol!$O$340="","",[2]Baskol!$O$340)</f>
        <v/>
      </c>
      <c r="AE337" t="str">
        <f>IF([3]Entry!$C$340="","",[3]Entry!$C$340)</f>
        <v/>
      </c>
      <c r="AF337" t="str">
        <f>IF([3]Entry!$D$340="","",[3]Entry!$D$340)</f>
        <v/>
      </c>
      <c r="AG337" t="str">
        <f>IF([3]Entry!$E$340="","",[3]Entry!$E$340)</f>
        <v/>
      </c>
      <c r="AH337" t="str">
        <f>IF([3]Entry!$G$340="","",[3]Entry!$G$340)</f>
        <v/>
      </c>
      <c r="AI337" t="str">
        <f>IF([3]Entry!$K$340="","",[3]Entry!$K$340)</f>
        <v/>
      </c>
      <c r="AJ337" t="str">
        <f>IF([3]Entry!$L$340="","",[3]Entry!$L$340)</f>
        <v/>
      </c>
      <c r="AK337" t="str">
        <f>IF([3]Entry!$M$340="","",[3]Entry!$M$340)</f>
        <v/>
      </c>
      <c r="AL337" t="str">
        <f>IF([3]Entry!$N$340="","",[3]Entry!$N$340)</f>
        <v/>
      </c>
      <c r="AM337" t="str">
        <f>IF([3]Entry!$R$340="","",[3]Entry!$R$340)</f>
        <v/>
      </c>
    </row>
    <row r="338" spans="1:39" x14ac:dyDescent="0.2">
      <c r="A338" t="str">
        <f>IF([1]Accounts!$D$339="","",[1]Accounts!$A$339)</f>
        <v/>
      </c>
      <c r="B338" t="str">
        <f>IF([1]Accounts!$D$339="","",[1]Accounts!$B$339)</f>
        <v/>
      </c>
      <c r="C338" t="str">
        <f>IF([1]Accounts!$D$339="","",[1]Accounts!$C$339)</f>
        <v/>
      </c>
      <c r="D338" t="str">
        <f>IF([1]Accounts!$D$339="","",[1]Accounts!$D$339)</f>
        <v/>
      </c>
      <c r="E338" t="str">
        <f>IF([1]Accounts!$D$339="","",[1]Accounts!$E$339)</f>
        <v/>
      </c>
      <c r="F338" t="str">
        <f>IF([1]Accounts!$D$339="","",[1]Accounts!$F$339)</f>
        <v/>
      </c>
      <c r="G338" t="str">
        <f>IF([1]Accounts!$D$339="","",[1]Accounts!$G$339)</f>
        <v/>
      </c>
      <c r="T338" t="str">
        <f>IF([2]Baskol!$B$341="","",[2]Baskol!$B$341)</f>
        <v/>
      </c>
      <c r="U338" t="str">
        <f>IF([2]Baskol!$C$341="","",[2]Baskol!$C$341)</f>
        <v/>
      </c>
      <c r="V338" t="str">
        <f>IF([2]Baskol!$D$341="","",[2]Baskol!$D$341)</f>
        <v/>
      </c>
      <c r="W338" t="str">
        <f>IF([2]Baskol!$E$341="","",[2]Baskol!$E$341)</f>
        <v/>
      </c>
      <c r="X338" t="str">
        <f>IF([2]Baskol!$G$341="","",[2]Baskol!$G$341)</f>
        <v/>
      </c>
      <c r="Y338" t="str">
        <f>IF([2]Baskol!$I$341="","",[2]Baskol!$I$341)</f>
        <v/>
      </c>
      <c r="Z338" t="str">
        <f>IF([2]Baskol!$J$341="","",[2]Baskol!$J$341)</f>
        <v/>
      </c>
      <c r="AA338" t="str">
        <f>IF([2]Baskol!$K$341="","",[2]Baskol!$K$341)</f>
        <v/>
      </c>
      <c r="AB338" t="str">
        <f>IF([2]Baskol!$L$341="","",[2]Baskol!$L$341)</f>
        <v/>
      </c>
      <c r="AC338" t="str">
        <f>IF([2]Baskol!$N$341="","",[2]Baskol!$N$341)</f>
        <v/>
      </c>
      <c r="AD338" t="str">
        <f>IF([2]Baskol!$O$341="","",[2]Baskol!$O$341)</f>
        <v/>
      </c>
      <c r="AE338" t="str">
        <f>IF([3]Entry!$C$341="","",[3]Entry!$C$341)</f>
        <v/>
      </c>
      <c r="AF338" t="str">
        <f>IF([3]Entry!$D$341="","",[3]Entry!$D$341)</f>
        <v/>
      </c>
      <c r="AG338" t="str">
        <f>IF([3]Entry!$E$341="","",[3]Entry!$E$341)</f>
        <v/>
      </c>
      <c r="AH338" t="str">
        <f>IF([3]Entry!$G$341="","",[3]Entry!$G$341)</f>
        <v/>
      </c>
      <c r="AI338" t="str">
        <f>IF([3]Entry!$K$341="","",[3]Entry!$K$341)</f>
        <v/>
      </c>
      <c r="AJ338" t="str">
        <f>IF([3]Entry!$L$341="","",[3]Entry!$L$341)</f>
        <v/>
      </c>
      <c r="AK338" t="str">
        <f>IF([3]Entry!$M$341="","",[3]Entry!$M$341)</f>
        <v/>
      </c>
      <c r="AL338" t="str">
        <f>IF([3]Entry!$N$341="","",[3]Entry!$N$341)</f>
        <v/>
      </c>
      <c r="AM338" t="str">
        <f>IF([3]Entry!$R$341="","",[3]Entry!$R$341)</f>
        <v/>
      </c>
    </row>
    <row r="339" spans="1:39" x14ac:dyDescent="0.2">
      <c r="A339" t="str">
        <f>IF([1]Accounts!$D$340="","",[1]Accounts!$A$340)</f>
        <v/>
      </c>
      <c r="B339" t="str">
        <f>IF([1]Accounts!$D$340="","",[1]Accounts!$B$340)</f>
        <v/>
      </c>
      <c r="C339" t="str">
        <f>IF([1]Accounts!$D$340="","",[1]Accounts!$C$340)</f>
        <v/>
      </c>
      <c r="D339" t="str">
        <f>IF([1]Accounts!$D$340="","",[1]Accounts!$D$340)</f>
        <v/>
      </c>
      <c r="E339" t="str">
        <f>IF([1]Accounts!$D$340="","",[1]Accounts!$E$340)</f>
        <v/>
      </c>
      <c r="F339" t="str">
        <f>IF([1]Accounts!$D$340="","",[1]Accounts!$F$340)</f>
        <v/>
      </c>
      <c r="G339" t="str">
        <f>IF([1]Accounts!$D$340="","",[1]Accounts!$G$340)</f>
        <v/>
      </c>
      <c r="T339" t="str">
        <f>IF([2]Baskol!$B$342="","",[2]Baskol!$B$342)</f>
        <v/>
      </c>
      <c r="U339" t="str">
        <f>IF([2]Baskol!$C$342="","",[2]Baskol!$C$342)</f>
        <v/>
      </c>
      <c r="V339" t="str">
        <f>IF([2]Baskol!$D$342="","",[2]Baskol!$D$342)</f>
        <v/>
      </c>
      <c r="W339" t="str">
        <f>IF([2]Baskol!$E$342="","",[2]Baskol!$E$342)</f>
        <v/>
      </c>
      <c r="X339" t="str">
        <f>IF([2]Baskol!$G$342="","",[2]Baskol!$G$342)</f>
        <v/>
      </c>
      <c r="Y339" t="str">
        <f>IF([2]Baskol!$I$342="","",[2]Baskol!$I$342)</f>
        <v/>
      </c>
      <c r="Z339" t="str">
        <f>IF([2]Baskol!$J$342="","",[2]Baskol!$J$342)</f>
        <v/>
      </c>
      <c r="AA339" t="str">
        <f>IF([2]Baskol!$K$342="","",[2]Baskol!$K$342)</f>
        <v/>
      </c>
      <c r="AB339" t="str">
        <f>IF([2]Baskol!$L$342="","",[2]Baskol!$L$342)</f>
        <v/>
      </c>
      <c r="AC339" t="str">
        <f>IF([2]Baskol!$N$342="","",[2]Baskol!$N$342)</f>
        <v/>
      </c>
      <c r="AD339" t="str">
        <f>IF([2]Baskol!$O$342="","",[2]Baskol!$O$342)</f>
        <v/>
      </c>
      <c r="AE339" t="str">
        <f>IF([3]Entry!$C$342="","",[3]Entry!$C$342)</f>
        <v/>
      </c>
      <c r="AF339" t="str">
        <f>IF([3]Entry!$D$342="","",[3]Entry!$D$342)</f>
        <v/>
      </c>
      <c r="AG339" t="str">
        <f>IF([3]Entry!$E$342="","",[3]Entry!$E$342)</f>
        <v/>
      </c>
      <c r="AH339" t="str">
        <f>IF([3]Entry!$G$342="","",[3]Entry!$G$342)</f>
        <v/>
      </c>
      <c r="AI339" t="str">
        <f>IF([3]Entry!$K$342="","",[3]Entry!$K$342)</f>
        <v/>
      </c>
      <c r="AJ339" t="str">
        <f>IF([3]Entry!$L$342="","",[3]Entry!$L$342)</f>
        <v/>
      </c>
      <c r="AK339" t="str">
        <f>IF([3]Entry!$M$342="","",[3]Entry!$M$342)</f>
        <v/>
      </c>
      <c r="AL339" t="str">
        <f>IF([3]Entry!$N$342="","",[3]Entry!$N$342)</f>
        <v/>
      </c>
      <c r="AM339" t="str">
        <f>IF([3]Entry!$R$342="","",[3]Entry!$R$342)</f>
        <v/>
      </c>
    </row>
    <row r="340" spans="1:39" x14ac:dyDescent="0.2">
      <c r="A340" t="str">
        <f>IF([1]Accounts!$D$341="","",[1]Accounts!$A$341)</f>
        <v/>
      </c>
      <c r="B340" t="str">
        <f>IF([1]Accounts!$D$341="","",[1]Accounts!$B$341)</f>
        <v/>
      </c>
      <c r="C340" t="str">
        <f>IF([1]Accounts!$D$341="","",[1]Accounts!$C$341)</f>
        <v/>
      </c>
      <c r="D340" t="str">
        <f>IF([1]Accounts!$D$341="","",[1]Accounts!$D$341)</f>
        <v/>
      </c>
      <c r="E340" t="str">
        <f>IF([1]Accounts!$D$341="","",[1]Accounts!$E$341)</f>
        <v/>
      </c>
      <c r="F340" t="str">
        <f>IF([1]Accounts!$D$341="","",[1]Accounts!$F$341)</f>
        <v/>
      </c>
      <c r="G340" t="str">
        <f>IF([1]Accounts!$D$341="","",[1]Accounts!$G$341)</f>
        <v/>
      </c>
      <c r="T340" t="str">
        <f>IF([2]Baskol!$B$343="","",[2]Baskol!$B$343)</f>
        <v/>
      </c>
      <c r="U340" t="str">
        <f>IF([2]Baskol!$C$343="","",[2]Baskol!$C$343)</f>
        <v/>
      </c>
      <c r="V340" t="str">
        <f>IF([2]Baskol!$D$343="","",[2]Baskol!$D$343)</f>
        <v/>
      </c>
      <c r="W340" t="str">
        <f>IF([2]Baskol!$E$343="","",[2]Baskol!$E$343)</f>
        <v/>
      </c>
      <c r="X340" t="str">
        <f>IF([2]Baskol!$G$343="","",[2]Baskol!$G$343)</f>
        <v/>
      </c>
      <c r="Y340" t="str">
        <f>IF([2]Baskol!$I$343="","",[2]Baskol!$I$343)</f>
        <v/>
      </c>
      <c r="Z340" t="str">
        <f>IF([2]Baskol!$J$343="","",[2]Baskol!$J$343)</f>
        <v/>
      </c>
      <c r="AA340" t="str">
        <f>IF([2]Baskol!$K$343="","",[2]Baskol!$K$343)</f>
        <v/>
      </c>
      <c r="AB340" t="str">
        <f>IF([2]Baskol!$L$343="","",[2]Baskol!$L$343)</f>
        <v/>
      </c>
      <c r="AC340" t="str">
        <f>IF([2]Baskol!$N$343="","",[2]Baskol!$N$343)</f>
        <v/>
      </c>
      <c r="AD340" t="str">
        <f>IF([2]Baskol!$O$343="","",[2]Baskol!$O$343)</f>
        <v/>
      </c>
      <c r="AE340" t="str">
        <f>IF([3]Entry!$C$343="","",[3]Entry!$C$343)</f>
        <v/>
      </c>
      <c r="AF340" t="str">
        <f>IF([3]Entry!$D$343="","",[3]Entry!$D$343)</f>
        <v/>
      </c>
      <c r="AG340" t="str">
        <f>IF([3]Entry!$E$343="","",[3]Entry!$E$343)</f>
        <v/>
      </c>
      <c r="AH340" t="str">
        <f>IF([3]Entry!$G$343="","",[3]Entry!$G$343)</f>
        <v/>
      </c>
      <c r="AI340" t="str">
        <f>IF([3]Entry!$K$343="","",[3]Entry!$K$343)</f>
        <v/>
      </c>
      <c r="AJ340" t="str">
        <f>IF([3]Entry!$L$343="","",[3]Entry!$L$343)</f>
        <v/>
      </c>
      <c r="AK340" t="str">
        <f>IF([3]Entry!$M$343="","",[3]Entry!$M$343)</f>
        <v/>
      </c>
      <c r="AL340" t="str">
        <f>IF([3]Entry!$N$343="","",[3]Entry!$N$343)</f>
        <v/>
      </c>
      <c r="AM340" t="str">
        <f>IF([3]Entry!$R$343="","",[3]Entry!$R$343)</f>
        <v/>
      </c>
    </row>
    <row r="341" spans="1:39" x14ac:dyDescent="0.2">
      <c r="A341" t="str">
        <f>IF([1]Accounts!$D$342="","",[1]Accounts!$A$342)</f>
        <v/>
      </c>
      <c r="B341" t="str">
        <f>IF([1]Accounts!$D$342="","",[1]Accounts!$B$342)</f>
        <v/>
      </c>
      <c r="C341" t="str">
        <f>IF([1]Accounts!$D$342="","",[1]Accounts!$C$342)</f>
        <v/>
      </c>
      <c r="D341" t="str">
        <f>IF([1]Accounts!$D$342="","",[1]Accounts!$D$342)</f>
        <v/>
      </c>
      <c r="E341" t="str">
        <f>IF([1]Accounts!$D$342="","",[1]Accounts!$E$342)</f>
        <v/>
      </c>
      <c r="F341" t="str">
        <f>IF([1]Accounts!$D$342="","",[1]Accounts!$F$342)</f>
        <v/>
      </c>
      <c r="G341" t="str">
        <f>IF([1]Accounts!$D$342="","",[1]Accounts!$G$342)</f>
        <v/>
      </c>
      <c r="T341" t="str">
        <f>IF([2]Baskol!$B$344="","",[2]Baskol!$B$344)</f>
        <v/>
      </c>
      <c r="U341" t="str">
        <f>IF([2]Baskol!$C$344="","",[2]Baskol!$C$344)</f>
        <v/>
      </c>
      <c r="V341" t="str">
        <f>IF([2]Baskol!$D$344="","",[2]Baskol!$D$344)</f>
        <v/>
      </c>
      <c r="W341" t="str">
        <f>IF([2]Baskol!$E$344="","",[2]Baskol!$E$344)</f>
        <v/>
      </c>
      <c r="X341" t="str">
        <f>IF([2]Baskol!$G$344="","",[2]Baskol!$G$344)</f>
        <v/>
      </c>
      <c r="Y341" t="str">
        <f>IF([2]Baskol!$I$344="","",[2]Baskol!$I$344)</f>
        <v/>
      </c>
      <c r="Z341" t="str">
        <f>IF([2]Baskol!$J$344="","",[2]Baskol!$J$344)</f>
        <v/>
      </c>
      <c r="AA341" t="str">
        <f>IF([2]Baskol!$K$344="","",[2]Baskol!$K$344)</f>
        <v/>
      </c>
      <c r="AB341" t="str">
        <f>IF([2]Baskol!$L$344="","",[2]Baskol!$L$344)</f>
        <v/>
      </c>
      <c r="AC341" t="str">
        <f>IF([2]Baskol!$N$344="","",[2]Baskol!$N$344)</f>
        <v/>
      </c>
      <c r="AD341" t="str">
        <f>IF([2]Baskol!$O$344="","",[2]Baskol!$O$344)</f>
        <v/>
      </c>
      <c r="AE341" t="str">
        <f>IF([3]Entry!$C$344="","",[3]Entry!$C$344)</f>
        <v/>
      </c>
      <c r="AF341" t="str">
        <f>IF([3]Entry!$D$344="","",[3]Entry!$D$344)</f>
        <v/>
      </c>
      <c r="AG341" t="str">
        <f>IF([3]Entry!$E$344="","",[3]Entry!$E$344)</f>
        <v/>
      </c>
      <c r="AH341" t="str">
        <f>IF([3]Entry!$G$344="","",[3]Entry!$G$344)</f>
        <v/>
      </c>
      <c r="AI341" t="str">
        <f>IF([3]Entry!$K$344="","",[3]Entry!$K$344)</f>
        <v/>
      </c>
      <c r="AJ341" t="str">
        <f>IF([3]Entry!$L$344="","",[3]Entry!$L$344)</f>
        <v/>
      </c>
      <c r="AK341" t="str">
        <f>IF([3]Entry!$M$344="","",[3]Entry!$M$344)</f>
        <v/>
      </c>
      <c r="AL341" t="str">
        <f>IF([3]Entry!$N$344="","",[3]Entry!$N$344)</f>
        <v/>
      </c>
      <c r="AM341" t="str">
        <f>IF([3]Entry!$R$344="","",[3]Entry!$R$344)</f>
        <v/>
      </c>
    </row>
    <row r="342" spans="1:39" x14ac:dyDescent="0.2">
      <c r="A342" t="str">
        <f>IF([1]Accounts!$D$343="","",[1]Accounts!$A$343)</f>
        <v/>
      </c>
      <c r="B342" t="str">
        <f>IF([1]Accounts!$D$343="","",[1]Accounts!$B$343)</f>
        <v/>
      </c>
      <c r="C342" t="str">
        <f>IF([1]Accounts!$D$343="","",[1]Accounts!$C$343)</f>
        <v/>
      </c>
      <c r="D342" t="str">
        <f>IF([1]Accounts!$D$343="","",[1]Accounts!$D$343)</f>
        <v/>
      </c>
      <c r="E342" t="str">
        <f>IF([1]Accounts!$D$343="","",[1]Accounts!$E$343)</f>
        <v/>
      </c>
      <c r="F342" t="str">
        <f>IF([1]Accounts!$D$343="","",[1]Accounts!$F$343)</f>
        <v/>
      </c>
      <c r="G342" t="str">
        <f>IF([1]Accounts!$D$343="","",[1]Accounts!$G$343)</f>
        <v/>
      </c>
      <c r="T342" t="str">
        <f>IF([2]Baskol!$B$345="","",[2]Baskol!$B$345)</f>
        <v/>
      </c>
      <c r="U342" t="str">
        <f>IF([2]Baskol!$C$345="","",[2]Baskol!$C$345)</f>
        <v/>
      </c>
      <c r="V342" t="str">
        <f>IF([2]Baskol!$D$345="","",[2]Baskol!$D$345)</f>
        <v/>
      </c>
      <c r="W342" t="str">
        <f>IF([2]Baskol!$E$345="","",[2]Baskol!$E$345)</f>
        <v/>
      </c>
      <c r="X342" t="str">
        <f>IF([2]Baskol!$G$345="","",[2]Baskol!$G$345)</f>
        <v/>
      </c>
      <c r="Y342" t="str">
        <f>IF([2]Baskol!$I$345="","",[2]Baskol!$I$345)</f>
        <v/>
      </c>
      <c r="Z342" t="str">
        <f>IF([2]Baskol!$J$345="","",[2]Baskol!$J$345)</f>
        <v/>
      </c>
      <c r="AA342" t="str">
        <f>IF([2]Baskol!$K$345="","",[2]Baskol!$K$345)</f>
        <v/>
      </c>
      <c r="AB342" t="str">
        <f>IF([2]Baskol!$L$345="","",[2]Baskol!$L$345)</f>
        <v/>
      </c>
      <c r="AC342" t="str">
        <f>IF([2]Baskol!$N$345="","",[2]Baskol!$N$345)</f>
        <v/>
      </c>
      <c r="AD342" t="str">
        <f>IF([2]Baskol!$O$345="","",[2]Baskol!$O$345)</f>
        <v/>
      </c>
      <c r="AE342" t="str">
        <f>IF([3]Entry!$C$345="","",[3]Entry!$C$345)</f>
        <v/>
      </c>
      <c r="AF342" t="str">
        <f>IF([3]Entry!$D$345="","",[3]Entry!$D$345)</f>
        <v/>
      </c>
      <c r="AG342" t="str">
        <f>IF([3]Entry!$E$345="","",[3]Entry!$E$345)</f>
        <v/>
      </c>
      <c r="AH342" t="str">
        <f>IF([3]Entry!$G$345="","",[3]Entry!$G$345)</f>
        <v/>
      </c>
      <c r="AI342" t="str">
        <f>IF([3]Entry!$K$345="","",[3]Entry!$K$345)</f>
        <v/>
      </c>
      <c r="AJ342" t="str">
        <f>IF([3]Entry!$L$345="","",[3]Entry!$L$345)</f>
        <v/>
      </c>
      <c r="AK342" t="str">
        <f>IF([3]Entry!$M$345="","",[3]Entry!$M$345)</f>
        <v/>
      </c>
      <c r="AL342" t="str">
        <f>IF([3]Entry!$N$345="","",[3]Entry!$N$345)</f>
        <v/>
      </c>
      <c r="AM342" t="str">
        <f>IF([3]Entry!$R$345="","",[3]Entry!$R$345)</f>
        <v/>
      </c>
    </row>
    <row r="343" spans="1:39" x14ac:dyDescent="0.2">
      <c r="A343" t="str">
        <f>IF([1]Accounts!$D$344="","",[1]Accounts!$A$344)</f>
        <v/>
      </c>
      <c r="B343" t="str">
        <f>IF([1]Accounts!$D$344="","",[1]Accounts!$B$344)</f>
        <v/>
      </c>
      <c r="C343" t="str">
        <f>IF([1]Accounts!$D$344="","",[1]Accounts!$C$344)</f>
        <v/>
      </c>
      <c r="D343" t="str">
        <f>IF([1]Accounts!$D$344="","",[1]Accounts!$D$344)</f>
        <v/>
      </c>
      <c r="E343" t="str">
        <f>IF([1]Accounts!$D$344="","",[1]Accounts!$E$344)</f>
        <v/>
      </c>
      <c r="F343" t="str">
        <f>IF([1]Accounts!$D$344="","",[1]Accounts!$F$344)</f>
        <v/>
      </c>
      <c r="G343" t="str">
        <f>IF([1]Accounts!$D$344="","",[1]Accounts!$G$344)</f>
        <v/>
      </c>
      <c r="T343" t="str">
        <f>IF([2]Baskol!$B$346="","",[2]Baskol!$B$346)</f>
        <v/>
      </c>
      <c r="U343" t="str">
        <f>IF([2]Baskol!$C$346="","",[2]Baskol!$C$346)</f>
        <v/>
      </c>
      <c r="V343" t="str">
        <f>IF([2]Baskol!$D$346="","",[2]Baskol!$D$346)</f>
        <v/>
      </c>
      <c r="W343" t="str">
        <f>IF([2]Baskol!$E$346="","",[2]Baskol!$E$346)</f>
        <v/>
      </c>
      <c r="X343" t="str">
        <f>IF([2]Baskol!$G$346="","",[2]Baskol!$G$346)</f>
        <v/>
      </c>
      <c r="Y343" t="str">
        <f>IF([2]Baskol!$I$346="","",[2]Baskol!$I$346)</f>
        <v/>
      </c>
      <c r="Z343" t="str">
        <f>IF([2]Baskol!$J$346="","",[2]Baskol!$J$346)</f>
        <v/>
      </c>
      <c r="AA343" t="str">
        <f>IF([2]Baskol!$K$346="","",[2]Baskol!$K$346)</f>
        <v/>
      </c>
      <c r="AB343" t="str">
        <f>IF([2]Baskol!$L$346="","",[2]Baskol!$L$346)</f>
        <v/>
      </c>
      <c r="AC343" t="str">
        <f>IF([2]Baskol!$N$346="","",[2]Baskol!$N$346)</f>
        <v/>
      </c>
      <c r="AD343" t="str">
        <f>IF([2]Baskol!$O$346="","",[2]Baskol!$O$346)</f>
        <v/>
      </c>
      <c r="AE343" t="str">
        <f>IF([3]Entry!$C$346="","",[3]Entry!$C$346)</f>
        <v/>
      </c>
      <c r="AF343" t="str">
        <f>IF([3]Entry!$D$346="","",[3]Entry!$D$346)</f>
        <v/>
      </c>
      <c r="AG343" t="str">
        <f>IF([3]Entry!$E$346="","",[3]Entry!$E$346)</f>
        <v/>
      </c>
      <c r="AH343" t="str">
        <f>IF([3]Entry!$G$346="","",[3]Entry!$G$346)</f>
        <v/>
      </c>
      <c r="AI343" t="str">
        <f>IF([3]Entry!$K$346="","",[3]Entry!$K$346)</f>
        <v/>
      </c>
      <c r="AJ343" t="str">
        <f>IF([3]Entry!$L$346="","",[3]Entry!$L$346)</f>
        <v/>
      </c>
      <c r="AK343" t="str">
        <f>IF([3]Entry!$M$346="","",[3]Entry!$M$346)</f>
        <v/>
      </c>
      <c r="AL343" t="str">
        <f>IF([3]Entry!$N$346="","",[3]Entry!$N$346)</f>
        <v/>
      </c>
      <c r="AM343" t="str">
        <f>IF([3]Entry!$R$346="","",[3]Entry!$R$346)</f>
        <v/>
      </c>
    </row>
    <row r="344" spans="1:39" x14ac:dyDescent="0.2">
      <c r="A344" t="str">
        <f>IF([1]Accounts!$D$345="","",[1]Accounts!$A$345)</f>
        <v/>
      </c>
      <c r="B344" t="str">
        <f>IF([1]Accounts!$D$345="","",[1]Accounts!$B$345)</f>
        <v/>
      </c>
      <c r="C344" t="str">
        <f>IF([1]Accounts!$D$345="","",[1]Accounts!$C$345)</f>
        <v/>
      </c>
      <c r="D344" t="str">
        <f>IF([1]Accounts!$D$345="","",[1]Accounts!$D$345)</f>
        <v/>
      </c>
      <c r="E344" t="str">
        <f>IF([1]Accounts!$D$345="","",[1]Accounts!$E$345)</f>
        <v/>
      </c>
      <c r="F344" t="str">
        <f>IF([1]Accounts!$D$345="","",[1]Accounts!$F$345)</f>
        <v/>
      </c>
      <c r="G344" t="str">
        <f>IF([1]Accounts!$D$345="","",[1]Accounts!$G$345)</f>
        <v/>
      </c>
      <c r="T344" t="str">
        <f>IF([2]Baskol!$B$347="","",[2]Baskol!$B$347)</f>
        <v/>
      </c>
      <c r="U344" t="str">
        <f>IF([2]Baskol!$C$347="","",[2]Baskol!$C$347)</f>
        <v/>
      </c>
      <c r="V344" t="str">
        <f>IF([2]Baskol!$D$347="","",[2]Baskol!$D$347)</f>
        <v/>
      </c>
      <c r="W344" t="str">
        <f>IF([2]Baskol!$E$347="","",[2]Baskol!$E$347)</f>
        <v/>
      </c>
      <c r="X344" t="str">
        <f>IF([2]Baskol!$G$347="","",[2]Baskol!$G$347)</f>
        <v/>
      </c>
      <c r="Y344" t="str">
        <f>IF([2]Baskol!$I$347="","",[2]Baskol!$I$347)</f>
        <v/>
      </c>
      <c r="Z344" t="str">
        <f>IF([2]Baskol!$J$347="","",[2]Baskol!$J$347)</f>
        <v/>
      </c>
      <c r="AA344" t="str">
        <f>IF([2]Baskol!$K$347="","",[2]Baskol!$K$347)</f>
        <v/>
      </c>
      <c r="AB344" t="str">
        <f>IF([2]Baskol!$L$347="","",[2]Baskol!$L$347)</f>
        <v/>
      </c>
      <c r="AC344" t="str">
        <f>IF([2]Baskol!$N$347="","",[2]Baskol!$N$347)</f>
        <v/>
      </c>
      <c r="AD344" t="str">
        <f>IF([2]Baskol!$O$347="","",[2]Baskol!$O$347)</f>
        <v/>
      </c>
      <c r="AE344" t="str">
        <f>IF([3]Entry!$C$347="","",[3]Entry!$C$347)</f>
        <v/>
      </c>
      <c r="AF344" t="str">
        <f>IF([3]Entry!$D$347="","",[3]Entry!$D$347)</f>
        <v/>
      </c>
      <c r="AG344" t="str">
        <f>IF([3]Entry!$E$347="","",[3]Entry!$E$347)</f>
        <v/>
      </c>
      <c r="AH344" t="str">
        <f>IF([3]Entry!$G$347="","",[3]Entry!$G$347)</f>
        <v/>
      </c>
      <c r="AI344" t="str">
        <f>IF([3]Entry!$K$347="","",[3]Entry!$K$347)</f>
        <v/>
      </c>
      <c r="AJ344" t="str">
        <f>IF([3]Entry!$L$347="","",[3]Entry!$L$347)</f>
        <v/>
      </c>
      <c r="AK344" t="str">
        <f>IF([3]Entry!$M$347="","",[3]Entry!$M$347)</f>
        <v/>
      </c>
      <c r="AL344" t="str">
        <f>IF([3]Entry!$N$347="","",[3]Entry!$N$347)</f>
        <v/>
      </c>
      <c r="AM344" t="str">
        <f>IF([3]Entry!$R$347="","",[3]Entry!$R$347)</f>
        <v/>
      </c>
    </row>
    <row r="345" spans="1:39" x14ac:dyDescent="0.2">
      <c r="A345" t="str">
        <f>IF([1]Accounts!$D$346="","",[1]Accounts!$A$346)</f>
        <v/>
      </c>
      <c r="B345" t="str">
        <f>IF([1]Accounts!$D$346="","",[1]Accounts!$B$346)</f>
        <v/>
      </c>
      <c r="C345" t="str">
        <f>IF([1]Accounts!$D$346="","",[1]Accounts!$C$346)</f>
        <v/>
      </c>
      <c r="D345" t="str">
        <f>IF([1]Accounts!$D$346="","",[1]Accounts!$D$346)</f>
        <v/>
      </c>
      <c r="E345" t="str">
        <f>IF([1]Accounts!$D$346="","",[1]Accounts!$E$346)</f>
        <v/>
      </c>
      <c r="F345" t="str">
        <f>IF([1]Accounts!$D$346="","",[1]Accounts!$F$346)</f>
        <v/>
      </c>
      <c r="G345" t="str">
        <f>IF([1]Accounts!$D$346="","",[1]Accounts!$G$346)</f>
        <v/>
      </c>
      <c r="T345" t="str">
        <f>IF([2]Baskol!$B$348="","",[2]Baskol!$B$348)</f>
        <v/>
      </c>
      <c r="U345" t="str">
        <f>IF([2]Baskol!$C$348="","",[2]Baskol!$C$348)</f>
        <v/>
      </c>
      <c r="V345" t="str">
        <f>IF([2]Baskol!$D$348="","",[2]Baskol!$D$348)</f>
        <v/>
      </c>
      <c r="W345" t="str">
        <f>IF([2]Baskol!$E$348="","",[2]Baskol!$E$348)</f>
        <v/>
      </c>
      <c r="X345" t="str">
        <f>IF([2]Baskol!$G$348="","",[2]Baskol!$G$348)</f>
        <v/>
      </c>
      <c r="Y345" t="str">
        <f>IF([2]Baskol!$I$348="","",[2]Baskol!$I$348)</f>
        <v/>
      </c>
      <c r="Z345" t="str">
        <f>IF([2]Baskol!$J$348="","",[2]Baskol!$J$348)</f>
        <v/>
      </c>
      <c r="AA345" t="str">
        <f>IF([2]Baskol!$K$348="","",[2]Baskol!$K$348)</f>
        <v/>
      </c>
      <c r="AB345" t="str">
        <f>IF([2]Baskol!$L$348="","",[2]Baskol!$L$348)</f>
        <v/>
      </c>
      <c r="AC345" t="str">
        <f>IF([2]Baskol!$N$348="","",[2]Baskol!$N$348)</f>
        <v/>
      </c>
      <c r="AD345" t="str">
        <f>IF([2]Baskol!$O$348="","",[2]Baskol!$O$348)</f>
        <v/>
      </c>
      <c r="AE345" t="str">
        <f>IF([3]Entry!$C$348="","",[3]Entry!$C$348)</f>
        <v/>
      </c>
      <c r="AF345" t="str">
        <f>IF([3]Entry!$D$348="","",[3]Entry!$D$348)</f>
        <v/>
      </c>
      <c r="AG345" t="str">
        <f>IF([3]Entry!$E$348="","",[3]Entry!$E$348)</f>
        <v/>
      </c>
      <c r="AH345" t="str">
        <f>IF([3]Entry!$G$348="","",[3]Entry!$G$348)</f>
        <v/>
      </c>
      <c r="AI345" t="str">
        <f>IF([3]Entry!$K$348="","",[3]Entry!$K$348)</f>
        <v/>
      </c>
      <c r="AJ345" t="str">
        <f>IF([3]Entry!$L$348="","",[3]Entry!$L$348)</f>
        <v/>
      </c>
      <c r="AK345" t="str">
        <f>IF([3]Entry!$M$348="","",[3]Entry!$M$348)</f>
        <v/>
      </c>
      <c r="AL345" t="str">
        <f>IF([3]Entry!$N$348="","",[3]Entry!$N$348)</f>
        <v/>
      </c>
      <c r="AM345" t="str">
        <f>IF([3]Entry!$R$348="","",[3]Entry!$R$348)</f>
        <v/>
      </c>
    </row>
    <row r="346" spans="1:39" x14ac:dyDescent="0.2">
      <c r="A346" t="str">
        <f>IF([1]Accounts!$D$347="","",[1]Accounts!$A$347)</f>
        <v/>
      </c>
      <c r="B346" t="str">
        <f>IF([1]Accounts!$D$347="","",[1]Accounts!$B$347)</f>
        <v/>
      </c>
      <c r="C346" t="str">
        <f>IF([1]Accounts!$D$347="","",[1]Accounts!$C$347)</f>
        <v/>
      </c>
      <c r="D346" t="str">
        <f>IF([1]Accounts!$D$347="","",[1]Accounts!$D$347)</f>
        <v/>
      </c>
      <c r="E346" t="str">
        <f>IF([1]Accounts!$D$347="","",[1]Accounts!$E$347)</f>
        <v/>
      </c>
      <c r="F346" t="str">
        <f>IF([1]Accounts!$D$347="","",[1]Accounts!$F$347)</f>
        <v/>
      </c>
      <c r="G346" t="str">
        <f>IF([1]Accounts!$D$347="","",[1]Accounts!$G$347)</f>
        <v/>
      </c>
      <c r="T346" t="str">
        <f>IF([2]Baskol!$B$349="","",[2]Baskol!$B$349)</f>
        <v/>
      </c>
      <c r="U346" t="str">
        <f>IF([2]Baskol!$C$349="","",[2]Baskol!$C$349)</f>
        <v/>
      </c>
      <c r="V346" t="str">
        <f>IF([2]Baskol!$D$349="","",[2]Baskol!$D$349)</f>
        <v/>
      </c>
      <c r="W346" t="str">
        <f>IF([2]Baskol!$E$349="","",[2]Baskol!$E$349)</f>
        <v/>
      </c>
      <c r="X346" t="str">
        <f>IF([2]Baskol!$G$349="","",[2]Baskol!$G$349)</f>
        <v/>
      </c>
      <c r="Y346" t="str">
        <f>IF([2]Baskol!$I$349="","",[2]Baskol!$I$349)</f>
        <v/>
      </c>
      <c r="Z346" t="str">
        <f>IF([2]Baskol!$J$349="","",[2]Baskol!$J$349)</f>
        <v/>
      </c>
      <c r="AA346" t="str">
        <f>IF([2]Baskol!$K$349="","",[2]Baskol!$K$349)</f>
        <v/>
      </c>
      <c r="AB346" t="str">
        <f>IF([2]Baskol!$L$349="","",[2]Baskol!$L$349)</f>
        <v/>
      </c>
      <c r="AC346" t="str">
        <f>IF([2]Baskol!$N$349="","",[2]Baskol!$N$349)</f>
        <v/>
      </c>
      <c r="AD346" t="str">
        <f>IF([2]Baskol!$O$349="","",[2]Baskol!$O$349)</f>
        <v/>
      </c>
      <c r="AE346" t="str">
        <f>IF([3]Entry!$C$349="","",[3]Entry!$C$349)</f>
        <v/>
      </c>
      <c r="AF346" t="str">
        <f>IF([3]Entry!$D$349="","",[3]Entry!$D$349)</f>
        <v/>
      </c>
      <c r="AG346" t="str">
        <f>IF([3]Entry!$E$349="","",[3]Entry!$E$349)</f>
        <v/>
      </c>
      <c r="AH346" t="str">
        <f>IF([3]Entry!$G$349="","",[3]Entry!$G$349)</f>
        <v/>
      </c>
      <c r="AI346" t="str">
        <f>IF([3]Entry!$K$349="","",[3]Entry!$K$349)</f>
        <v/>
      </c>
      <c r="AJ346" t="str">
        <f>IF([3]Entry!$L$349="","",[3]Entry!$L$349)</f>
        <v/>
      </c>
      <c r="AK346" t="str">
        <f>IF([3]Entry!$M$349="","",[3]Entry!$M$349)</f>
        <v/>
      </c>
      <c r="AL346" t="str">
        <f>IF([3]Entry!$N$349="","",[3]Entry!$N$349)</f>
        <v/>
      </c>
      <c r="AM346" t="str">
        <f>IF([3]Entry!$R$349="","",[3]Entry!$R$349)</f>
        <v/>
      </c>
    </row>
    <row r="347" spans="1:39" x14ac:dyDescent="0.2">
      <c r="A347" t="str">
        <f>IF([1]Accounts!$D$348="","",[1]Accounts!$A$348)</f>
        <v/>
      </c>
      <c r="B347" t="str">
        <f>IF([1]Accounts!$D$348="","",[1]Accounts!$B$348)</f>
        <v/>
      </c>
      <c r="C347" t="str">
        <f>IF([1]Accounts!$D$348="","",[1]Accounts!$C$348)</f>
        <v/>
      </c>
      <c r="D347" t="str">
        <f>IF([1]Accounts!$D$348="","",[1]Accounts!$D$348)</f>
        <v/>
      </c>
      <c r="E347" t="str">
        <f>IF([1]Accounts!$D$348="","",[1]Accounts!$E$348)</f>
        <v/>
      </c>
      <c r="F347" t="str">
        <f>IF([1]Accounts!$D$348="","",[1]Accounts!$F$348)</f>
        <v/>
      </c>
      <c r="G347" t="str">
        <f>IF([1]Accounts!$D$348="","",[1]Accounts!$G$348)</f>
        <v/>
      </c>
      <c r="T347" t="str">
        <f>IF([2]Baskol!$B$350="","",[2]Baskol!$B$350)</f>
        <v/>
      </c>
      <c r="U347" t="str">
        <f>IF([2]Baskol!$C$350="","",[2]Baskol!$C$350)</f>
        <v/>
      </c>
      <c r="V347" t="str">
        <f>IF([2]Baskol!$D$350="","",[2]Baskol!$D$350)</f>
        <v/>
      </c>
      <c r="W347" t="str">
        <f>IF([2]Baskol!$E$350="","",[2]Baskol!$E$350)</f>
        <v/>
      </c>
      <c r="X347" t="str">
        <f>IF([2]Baskol!$G$350="","",[2]Baskol!$G$350)</f>
        <v/>
      </c>
      <c r="Y347" t="str">
        <f>IF([2]Baskol!$I$350="","",[2]Baskol!$I$350)</f>
        <v/>
      </c>
      <c r="Z347" t="str">
        <f>IF([2]Baskol!$J$350="","",[2]Baskol!$J$350)</f>
        <v/>
      </c>
      <c r="AA347" t="str">
        <f>IF([2]Baskol!$K$350="","",[2]Baskol!$K$350)</f>
        <v/>
      </c>
      <c r="AB347" t="str">
        <f>IF([2]Baskol!$L$350="","",[2]Baskol!$L$350)</f>
        <v/>
      </c>
      <c r="AC347" t="str">
        <f>IF([2]Baskol!$N$350="","",[2]Baskol!$N$350)</f>
        <v/>
      </c>
      <c r="AD347" t="str">
        <f>IF([2]Baskol!$O$350="","",[2]Baskol!$O$350)</f>
        <v/>
      </c>
      <c r="AE347" t="str">
        <f>IF([3]Entry!$C$350="","",[3]Entry!$C$350)</f>
        <v/>
      </c>
      <c r="AF347" t="str">
        <f>IF([3]Entry!$D$350="","",[3]Entry!$D$350)</f>
        <v/>
      </c>
      <c r="AG347" t="str">
        <f>IF([3]Entry!$E$350="","",[3]Entry!$E$350)</f>
        <v/>
      </c>
      <c r="AH347" t="str">
        <f>IF([3]Entry!$G$350="","",[3]Entry!$G$350)</f>
        <v/>
      </c>
      <c r="AI347" t="str">
        <f>IF([3]Entry!$K$350="","",[3]Entry!$K$350)</f>
        <v/>
      </c>
      <c r="AJ347" t="str">
        <f>IF([3]Entry!$L$350="","",[3]Entry!$L$350)</f>
        <v/>
      </c>
      <c r="AK347" t="str">
        <f>IF([3]Entry!$M$350="","",[3]Entry!$M$350)</f>
        <v/>
      </c>
      <c r="AL347" t="str">
        <f>IF([3]Entry!$N$350="","",[3]Entry!$N$350)</f>
        <v/>
      </c>
      <c r="AM347" t="str">
        <f>IF([3]Entry!$R$350="","",[3]Entry!$R$350)</f>
        <v/>
      </c>
    </row>
    <row r="348" spans="1:39" x14ac:dyDescent="0.2">
      <c r="A348" t="str">
        <f>IF([1]Accounts!$D$349="","",[1]Accounts!$A$349)</f>
        <v/>
      </c>
      <c r="B348" t="str">
        <f>IF([1]Accounts!$D$349="","",[1]Accounts!$B$349)</f>
        <v/>
      </c>
      <c r="C348" t="str">
        <f>IF([1]Accounts!$D$349="","",[1]Accounts!$C$349)</f>
        <v/>
      </c>
      <c r="D348" t="str">
        <f>IF([1]Accounts!$D$349="","",[1]Accounts!$D$349)</f>
        <v/>
      </c>
      <c r="E348" t="str">
        <f>IF([1]Accounts!$D$349="","",[1]Accounts!$E$349)</f>
        <v/>
      </c>
      <c r="F348" t="str">
        <f>IF([1]Accounts!$D$349="","",[1]Accounts!$F$349)</f>
        <v/>
      </c>
      <c r="G348" t="str">
        <f>IF([1]Accounts!$D$349="","",[1]Accounts!$G$349)</f>
        <v/>
      </c>
      <c r="T348" t="str">
        <f>IF([2]Baskol!$B$351="","",[2]Baskol!$B$351)</f>
        <v/>
      </c>
      <c r="U348" t="str">
        <f>IF([2]Baskol!$C$351="","",[2]Baskol!$C$351)</f>
        <v/>
      </c>
      <c r="V348" t="str">
        <f>IF([2]Baskol!$D$351="","",[2]Baskol!$D$351)</f>
        <v/>
      </c>
      <c r="W348" t="str">
        <f>IF([2]Baskol!$E$351="","",[2]Baskol!$E$351)</f>
        <v/>
      </c>
      <c r="X348" t="str">
        <f>IF([2]Baskol!$G$351="","",[2]Baskol!$G$351)</f>
        <v/>
      </c>
      <c r="Y348" t="str">
        <f>IF([2]Baskol!$I$351="","",[2]Baskol!$I$351)</f>
        <v/>
      </c>
      <c r="Z348" t="str">
        <f>IF([2]Baskol!$J$351="","",[2]Baskol!$J$351)</f>
        <v/>
      </c>
      <c r="AA348" t="str">
        <f>IF([2]Baskol!$K$351="","",[2]Baskol!$K$351)</f>
        <v/>
      </c>
      <c r="AB348" t="str">
        <f>IF([2]Baskol!$L$351="","",[2]Baskol!$L$351)</f>
        <v/>
      </c>
      <c r="AC348" t="str">
        <f>IF([2]Baskol!$N$351="","",[2]Baskol!$N$351)</f>
        <v/>
      </c>
      <c r="AD348" t="str">
        <f>IF([2]Baskol!$O$351="","",[2]Baskol!$O$351)</f>
        <v/>
      </c>
      <c r="AE348" t="str">
        <f>IF([3]Entry!$C$351="","",[3]Entry!$C$351)</f>
        <v/>
      </c>
      <c r="AF348" t="str">
        <f>IF([3]Entry!$D$351="","",[3]Entry!$D$351)</f>
        <v/>
      </c>
      <c r="AG348" t="str">
        <f>IF([3]Entry!$E$351="","",[3]Entry!$E$351)</f>
        <v/>
      </c>
      <c r="AH348" t="str">
        <f>IF([3]Entry!$G$351="","",[3]Entry!$G$351)</f>
        <v/>
      </c>
      <c r="AI348" t="str">
        <f>IF([3]Entry!$K$351="","",[3]Entry!$K$351)</f>
        <v/>
      </c>
      <c r="AJ348" t="str">
        <f>IF([3]Entry!$L$351="","",[3]Entry!$L$351)</f>
        <v/>
      </c>
      <c r="AK348" t="str">
        <f>IF([3]Entry!$M$351="","",[3]Entry!$M$351)</f>
        <v/>
      </c>
      <c r="AL348" t="str">
        <f>IF([3]Entry!$N$351="","",[3]Entry!$N$351)</f>
        <v/>
      </c>
      <c r="AM348" t="str">
        <f>IF([3]Entry!$R$351="","",[3]Entry!$R$351)</f>
        <v/>
      </c>
    </row>
    <row r="349" spans="1:39" x14ac:dyDescent="0.2">
      <c r="A349" t="str">
        <f>IF([1]Accounts!$D$350="","",[1]Accounts!$A$350)</f>
        <v/>
      </c>
      <c r="B349" t="str">
        <f>IF([1]Accounts!$D$350="","",[1]Accounts!$B$350)</f>
        <v/>
      </c>
      <c r="C349" t="str">
        <f>IF([1]Accounts!$D$350="","",[1]Accounts!$C$350)</f>
        <v/>
      </c>
      <c r="D349" t="str">
        <f>IF([1]Accounts!$D$350="","",[1]Accounts!$D$350)</f>
        <v/>
      </c>
      <c r="E349" t="str">
        <f>IF([1]Accounts!$D$350="","",[1]Accounts!$E$350)</f>
        <v/>
      </c>
      <c r="F349" t="str">
        <f>IF([1]Accounts!$D$350="","",[1]Accounts!$F$350)</f>
        <v/>
      </c>
      <c r="G349" t="str">
        <f>IF([1]Accounts!$D$350="","",[1]Accounts!$G$350)</f>
        <v/>
      </c>
      <c r="T349" t="str">
        <f>IF([2]Baskol!$B$352="","",[2]Baskol!$B$352)</f>
        <v/>
      </c>
      <c r="U349" t="str">
        <f>IF([2]Baskol!$C$352="","",[2]Baskol!$C$352)</f>
        <v/>
      </c>
      <c r="V349" t="str">
        <f>IF([2]Baskol!$D$352="","",[2]Baskol!$D$352)</f>
        <v/>
      </c>
      <c r="W349" t="str">
        <f>IF([2]Baskol!$E$352="","",[2]Baskol!$E$352)</f>
        <v/>
      </c>
      <c r="X349" t="str">
        <f>IF([2]Baskol!$G$352="","",[2]Baskol!$G$352)</f>
        <v/>
      </c>
      <c r="Y349" t="str">
        <f>IF([2]Baskol!$I$352="","",[2]Baskol!$I$352)</f>
        <v/>
      </c>
      <c r="Z349" t="str">
        <f>IF([2]Baskol!$J$352="","",[2]Baskol!$J$352)</f>
        <v/>
      </c>
      <c r="AA349" t="str">
        <f>IF([2]Baskol!$K$352="","",[2]Baskol!$K$352)</f>
        <v/>
      </c>
      <c r="AB349" t="str">
        <f>IF([2]Baskol!$L$352="","",[2]Baskol!$L$352)</f>
        <v/>
      </c>
      <c r="AC349" t="str">
        <f>IF([2]Baskol!$N$352="","",[2]Baskol!$N$352)</f>
        <v/>
      </c>
      <c r="AD349" t="str">
        <f>IF([2]Baskol!$O$352="","",[2]Baskol!$O$352)</f>
        <v/>
      </c>
      <c r="AE349" t="str">
        <f>IF([3]Entry!$C$352="","",[3]Entry!$C$352)</f>
        <v/>
      </c>
      <c r="AF349" t="str">
        <f>IF([3]Entry!$D$352="","",[3]Entry!$D$352)</f>
        <v/>
      </c>
      <c r="AG349" t="str">
        <f>IF([3]Entry!$E$352="","",[3]Entry!$E$352)</f>
        <v/>
      </c>
      <c r="AH349" t="str">
        <f>IF([3]Entry!$G$352="","",[3]Entry!$G$352)</f>
        <v/>
      </c>
      <c r="AI349" t="str">
        <f>IF([3]Entry!$K$352="","",[3]Entry!$K$352)</f>
        <v/>
      </c>
      <c r="AJ349" t="str">
        <f>IF([3]Entry!$L$352="","",[3]Entry!$L$352)</f>
        <v/>
      </c>
      <c r="AK349" t="str">
        <f>IF([3]Entry!$M$352="","",[3]Entry!$M$352)</f>
        <v/>
      </c>
      <c r="AL349" t="str">
        <f>IF([3]Entry!$N$352="","",[3]Entry!$N$352)</f>
        <v/>
      </c>
      <c r="AM349" t="str">
        <f>IF([3]Entry!$R$352="","",[3]Entry!$R$352)</f>
        <v/>
      </c>
    </row>
    <row r="350" spans="1:39" x14ac:dyDescent="0.2">
      <c r="A350" t="str">
        <f>IF([1]Accounts!$D$351="","",[1]Accounts!$A$351)</f>
        <v/>
      </c>
      <c r="B350" t="str">
        <f>IF([1]Accounts!$D$351="","",[1]Accounts!$B$351)</f>
        <v/>
      </c>
      <c r="C350" t="str">
        <f>IF([1]Accounts!$D$351="","",[1]Accounts!$C$351)</f>
        <v/>
      </c>
      <c r="D350" t="str">
        <f>IF([1]Accounts!$D$351="","",[1]Accounts!$D$351)</f>
        <v/>
      </c>
      <c r="E350" t="str">
        <f>IF([1]Accounts!$D$351="","",[1]Accounts!$E$351)</f>
        <v/>
      </c>
      <c r="F350" t="str">
        <f>IF([1]Accounts!$D$351="","",[1]Accounts!$F$351)</f>
        <v/>
      </c>
      <c r="G350" t="str">
        <f>IF([1]Accounts!$D$351="","",[1]Accounts!$G$351)</f>
        <v/>
      </c>
      <c r="T350" t="str">
        <f>IF([2]Baskol!$B$353="","",[2]Baskol!$B$353)</f>
        <v/>
      </c>
      <c r="U350" t="str">
        <f>IF([2]Baskol!$C$353="","",[2]Baskol!$C$353)</f>
        <v/>
      </c>
      <c r="V350" t="str">
        <f>IF([2]Baskol!$D$353="","",[2]Baskol!$D$353)</f>
        <v/>
      </c>
      <c r="W350" t="str">
        <f>IF([2]Baskol!$E$353="","",[2]Baskol!$E$353)</f>
        <v/>
      </c>
      <c r="X350" t="str">
        <f>IF([2]Baskol!$G$353="","",[2]Baskol!$G$353)</f>
        <v/>
      </c>
      <c r="Y350" t="str">
        <f>IF([2]Baskol!$I$353="","",[2]Baskol!$I$353)</f>
        <v/>
      </c>
      <c r="Z350" t="str">
        <f>IF([2]Baskol!$J$353="","",[2]Baskol!$J$353)</f>
        <v/>
      </c>
      <c r="AA350" t="str">
        <f>IF([2]Baskol!$K$353="","",[2]Baskol!$K$353)</f>
        <v/>
      </c>
      <c r="AB350" t="str">
        <f>IF([2]Baskol!$L$353="","",[2]Baskol!$L$353)</f>
        <v/>
      </c>
      <c r="AC350" t="str">
        <f>IF([2]Baskol!$N$353="","",[2]Baskol!$N$353)</f>
        <v/>
      </c>
      <c r="AD350" t="str">
        <f>IF([2]Baskol!$O$353="","",[2]Baskol!$O$353)</f>
        <v/>
      </c>
      <c r="AE350" t="str">
        <f>IF([3]Entry!$C$353="","",[3]Entry!$C$353)</f>
        <v/>
      </c>
      <c r="AF350" t="str">
        <f>IF([3]Entry!$D$353="","",[3]Entry!$D$353)</f>
        <v/>
      </c>
      <c r="AG350" t="str">
        <f>IF([3]Entry!$E$353="","",[3]Entry!$E$353)</f>
        <v/>
      </c>
      <c r="AH350" t="str">
        <f>IF([3]Entry!$G$353="","",[3]Entry!$G$353)</f>
        <v/>
      </c>
      <c r="AI350" t="str">
        <f>IF([3]Entry!$K$353="","",[3]Entry!$K$353)</f>
        <v/>
      </c>
      <c r="AJ350" t="str">
        <f>IF([3]Entry!$L$353="","",[3]Entry!$L$353)</f>
        <v/>
      </c>
      <c r="AK350" t="str">
        <f>IF([3]Entry!$M$353="","",[3]Entry!$M$353)</f>
        <v/>
      </c>
      <c r="AL350" t="str">
        <f>IF([3]Entry!$N$353="","",[3]Entry!$N$353)</f>
        <v/>
      </c>
      <c r="AM350" t="str">
        <f>IF([3]Entry!$R$353="","",[3]Entry!$R$353)</f>
        <v/>
      </c>
    </row>
    <row r="351" spans="1:39" x14ac:dyDescent="0.2">
      <c r="A351" t="str">
        <f>IF([1]Accounts!$D$352="","",[1]Accounts!$A$352)</f>
        <v/>
      </c>
      <c r="B351" t="str">
        <f>IF([1]Accounts!$D$352="","",[1]Accounts!$B$352)</f>
        <v/>
      </c>
      <c r="C351" t="str">
        <f>IF([1]Accounts!$D$352="","",[1]Accounts!$C$352)</f>
        <v/>
      </c>
      <c r="D351" t="str">
        <f>IF([1]Accounts!$D$352="","",[1]Accounts!$D$352)</f>
        <v/>
      </c>
      <c r="E351" t="str">
        <f>IF([1]Accounts!$D$352="","",[1]Accounts!$E$352)</f>
        <v/>
      </c>
      <c r="F351" t="str">
        <f>IF([1]Accounts!$D$352="","",[1]Accounts!$F$352)</f>
        <v/>
      </c>
      <c r="G351" t="str">
        <f>IF([1]Accounts!$D$352="","",[1]Accounts!$G$352)</f>
        <v/>
      </c>
      <c r="T351" t="str">
        <f>IF([2]Baskol!$B$354="","",[2]Baskol!$B$354)</f>
        <v/>
      </c>
      <c r="U351" t="str">
        <f>IF([2]Baskol!$C$354="","",[2]Baskol!$C$354)</f>
        <v/>
      </c>
      <c r="V351" t="str">
        <f>IF([2]Baskol!$D$354="","",[2]Baskol!$D$354)</f>
        <v/>
      </c>
      <c r="W351" t="str">
        <f>IF([2]Baskol!$E$354="","",[2]Baskol!$E$354)</f>
        <v/>
      </c>
      <c r="X351" t="str">
        <f>IF([2]Baskol!$G$354="","",[2]Baskol!$G$354)</f>
        <v/>
      </c>
      <c r="Y351" t="str">
        <f>IF([2]Baskol!$I$354="","",[2]Baskol!$I$354)</f>
        <v/>
      </c>
      <c r="Z351" t="str">
        <f>IF([2]Baskol!$J$354="","",[2]Baskol!$J$354)</f>
        <v/>
      </c>
      <c r="AA351" t="str">
        <f>IF([2]Baskol!$K$354="","",[2]Baskol!$K$354)</f>
        <v/>
      </c>
      <c r="AB351" t="str">
        <f>IF([2]Baskol!$L$354="","",[2]Baskol!$L$354)</f>
        <v/>
      </c>
      <c r="AC351" t="str">
        <f>IF([2]Baskol!$N$354="","",[2]Baskol!$N$354)</f>
        <v/>
      </c>
      <c r="AD351" t="str">
        <f>IF([2]Baskol!$O$354="","",[2]Baskol!$O$354)</f>
        <v/>
      </c>
      <c r="AE351" t="str">
        <f>IF([3]Entry!$C$354="","",[3]Entry!$C$354)</f>
        <v/>
      </c>
      <c r="AF351" t="str">
        <f>IF([3]Entry!$D$354="","",[3]Entry!$D$354)</f>
        <v/>
      </c>
      <c r="AG351" t="str">
        <f>IF([3]Entry!$E$354="","",[3]Entry!$E$354)</f>
        <v/>
      </c>
      <c r="AH351" t="str">
        <f>IF([3]Entry!$G$354="","",[3]Entry!$G$354)</f>
        <v/>
      </c>
      <c r="AI351" t="str">
        <f>IF([3]Entry!$K$354="","",[3]Entry!$K$354)</f>
        <v/>
      </c>
      <c r="AJ351" t="str">
        <f>IF([3]Entry!$L$354="","",[3]Entry!$L$354)</f>
        <v/>
      </c>
      <c r="AK351" t="str">
        <f>IF([3]Entry!$M$354="","",[3]Entry!$M$354)</f>
        <v/>
      </c>
      <c r="AL351" t="str">
        <f>IF([3]Entry!$N$354="","",[3]Entry!$N$354)</f>
        <v/>
      </c>
      <c r="AM351" t="str">
        <f>IF([3]Entry!$R$354="","",[3]Entry!$R$354)</f>
        <v/>
      </c>
    </row>
    <row r="352" spans="1:39" x14ac:dyDescent="0.2">
      <c r="A352" t="str">
        <f>IF([1]Accounts!$D$353="","",[1]Accounts!$A$353)</f>
        <v/>
      </c>
      <c r="B352" t="str">
        <f>IF([1]Accounts!$D$353="","",[1]Accounts!$B$353)</f>
        <v/>
      </c>
      <c r="C352" t="str">
        <f>IF([1]Accounts!$D$353="","",[1]Accounts!$C$353)</f>
        <v/>
      </c>
      <c r="D352" t="str">
        <f>IF([1]Accounts!$D$353="","",[1]Accounts!$D$353)</f>
        <v/>
      </c>
      <c r="E352" t="str">
        <f>IF([1]Accounts!$D$353="","",[1]Accounts!$E$353)</f>
        <v/>
      </c>
      <c r="F352" t="str">
        <f>IF([1]Accounts!$D$353="","",[1]Accounts!$F$353)</f>
        <v/>
      </c>
      <c r="G352" t="str">
        <f>IF([1]Accounts!$D$353="","",[1]Accounts!$G$353)</f>
        <v/>
      </c>
      <c r="T352" t="str">
        <f>IF([2]Baskol!$B$355="","",[2]Baskol!$B$355)</f>
        <v/>
      </c>
      <c r="U352" t="str">
        <f>IF([2]Baskol!$C$355="","",[2]Baskol!$C$355)</f>
        <v/>
      </c>
      <c r="V352" t="str">
        <f>IF([2]Baskol!$D$355="","",[2]Baskol!$D$355)</f>
        <v/>
      </c>
      <c r="W352" t="str">
        <f>IF([2]Baskol!$E$355="","",[2]Baskol!$E$355)</f>
        <v/>
      </c>
      <c r="X352" t="str">
        <f>IF([2]Baskol!$G$355="","",[2]Baskol!$G$355)</f>
        <v/>
      </c>
      <c r="Y352" t="str">
        <f>IF([2]Baskol!$I$355="","",[2]Baskol!$I$355)</f>
        <v/>
      </c>
      <c r="Z352" t="str">
        <f>IF([2]Baskol!$J$355="","",[2]Baskol!$J$355)</f>
        <v/>
      </c>
      <c r="AA352" t="str">
        <f>IF([2]Baskol!$K$355="","",[2]Baskol!$K$355)</f>
        <v/>
      </c>
      <c r="AB352" t="str">
        <f>IF([2]Baskol!$L$355="","",[2]Baskol!$L$355)</f>
        <v/>
      </c>
      <c r="AC352" t="str">
        <f>IF([2]Baskol!$N$355="","",[2]Baskol!$N$355)</f>
        <v/>
      </c>
      <c r="AD352" t="str">
        <f>IF([2]Baskol!$O$355="","",[2]Baskol!$O$355)</f>
        <v/>
      </c>
      <c r="AE352" t="str">
        <f>IF([3]Entry!$C$355="","",[3]Entry!$C$355)</f>
        <v/>
      </c>
      <c r="AF352" t="str">
        <f>IF([3]Entry!$D$355="","",[3]Entry!$D$355)</f>
        <v/>
      </c>
      <c r="AG352" t="str">
        <f>IF([3]Entry!$E$355="","",[3]Entry!$E$355)</f>
        <v/>
      </c>
      <c r="AH352" t="str">
        <f>IF([3]Entry!$G$355="","",[3]Entry!$G$355)</f>
        <v/>
      </c>
      <c r="AI352" t="str">
        <f>IF([3]Entry!$K$355="","",[3]Entry!$K$355)</f>
        <v/>
      </c>
      <c r="AJ352" t="str">
        <f>IF([3]Entry!$L$355="","",[3]Entry!$L$355)</f>
        <v/>
      </c>
      <c r="AK352" t="str">
        <f>IF([3]Entry!$M$355="","",[3]Entry!$M$355)</f>
        <v/>
      </c>
      <c r="AL352" t="str">
        <f>IF([3]Entry!$N$355="","",[3]Entry!$N$355)</f>
        <v/>
      </c>
      <c r="AM352" t="str">
        <f>IF([3]Entry!$R$355="","",[3]Entry!$R$355)</f>
        <v/>
      </c>
    </row>
    <row r="353" spans="1:39" x14ac:dyDescent="0.2">
      <c r="A353" t="str">
        <f>IF([1]Accounts!$D$354="","",[1]Accounts!$A$354)</f>
        <v/>
      </c>
      <c r="B353" t="str">
        <f>IF([1]Accounts!$D$354="","",[1]Accounts!$B$354)</f>
        <v/>
      </c>
      <c r="C353" t="str">
        <f>IF([1]Accounts!$D$354="","",[1]Accounts!$C$354)</f>
        <v/>
      </c>
      <c r="D353" t="str">
        <f>IF([1]Accounts!$D$354="","",[1]Accounts!$D$354)</f>
        <v/>
      </c>
      <c r="E353" t="str">
        <f>IF([1]Accounts!$D$354="","",[1]Accounts!$E$354)</f>
        <v/>
      </c>
      <c r="F353" t="str">
        <f>IF([1]Accounts!$D$354="","",[1]Accounts!$F$354)</f>
        <v/>
      </c>
      <c r="G353" t="str">
        <f>IF([1]Accounts!$D$354="","",[1]Accounts!$G$354)</f>
        <v/>
      </c>
      <c r="T353" t="str">
        <f>IF([2]Baskol!$B$356="","",[2]Baskol!$B$356)</f>
        <v/>
      </c>
      <c r="U353" t="str">
        <f>IF([2]Baskol!$C$356="","",[2]Baskol!$C$356)</f>
        <v/>
      </c>
      <c r="V353" t="str">
        <f>IF([2]Baskol!$D$356="","",[2]Baskol!$D$356)</f>
        <v/>
      </c>
      <c r="W353" t="str">
        <f>IF([2]Baskol!$E$356="","",[2]Baskol!$E$356)</f>
        <v/>
      </c>
      <c r="X353" t="str">
        <f>IF([2]Baskol!$G$356="","",[2]Baskol!$G$356)</f>
        <v/>
      </c>
      <c r="Y353" t="str">
        <f>IF([2]Baskol!$I$356="","",[2]Baskol!$I$356)</f>
        <v/>
      </c>
      <c r="Z353" t="str">
        <f>IF([2]Baskol!$J$356="","",[2]Baskol!$J$356)</f>
        <v/>
      </c>
      <c r="AA353" t="str">
        <f>IF([2]Baskol!$K$356="","",[2]Baskol!$K$356)</f>
        <v/>
      </c>
      <c r="AB353" t="str">
        <f>IF([2]Baskol!$L$356="","",[2]Baskol!$L$356)</f>
        <v/>
      </c>
      <c r="AC353" t="str">
        <f>IF([2]Baskol!$N$356="","",[2]Baskol!$N$356)</f>
        <v/>
      </c>
      <c r="AD353" t="str">
        <f>IF([2]Baskol!$O$356="","",[2]Baskol!$O$356)</f>
        <v/>
      </c>
      <c r="AE353" t="str">
        <f>IF([3]Entry!$C$356="","",[3]Entry!$C$356)</f>
        <v/>
      </c>
      <c r="AF353" t="str">
        <f>IF([3]Entry!$D$356="","",[3]Entry!$D$356)</f>
        <v/>
      </c>
      <c r="AG353" t="str">
        <f>IF([3]Entry!$E$356="","",[3]Entry!$E$356)</f>
        <v/>
      </c>
      <c r="AH353" t="str">
        <f>IF([3]Entry!$G$356="","",[3]Entry!$G$356)</f>
        <v/>
      </c>
      <c r="AI353" t="str">
        <f>IF([3]Entry!$K$356="","",[3]Entry!$K$356)</f>
        <v/>
      </c>
      <c r="AJ353" t="str">
        <f>IF([3]Entry!$L$356="","",[3]Entry!$L$356)</f>
        <v/>
      </c>
      <c r="AK353" t="str">
        <f>IF([3]Entry!$M$356="","",[3]Entry!$M$356)</f>
        <v/>
      </c>
      <c r="AL353" t="str">
        <f>IF([3]Entry!$N$356="","",[3]Entry!$N$356)</f>
        <v/>
      </c>
      <c r="AM353" t="str">
        <f>IF([3]Entry!$R$356="","",[3]Entry!$R$356)</f>
        <v/>
      </c>
    </row>
    <row r="354" spans="1:39" x14ac:dyDescent="0.2">
      <c r="A354" t="str">
        <f>IF([1]Accounts!$D$355="","",[1]Accounts!$A$355)</f>
        <v/>
      </c>
      <c r="B354" t="str">
        <f>IF([1]Accounts!$D$355="","",[1]Accounts!$B$355)</f>
        <v/>
      </c>
      <c r="C354" t="str">
        <f>IF([1]Accounts!$D$355="","",[1]Accounts!$C$355)</f>
        <v/>
      </c>
      <c r="D354" t="str">
        <f>IF([1]Accounts!$D$355="","",[1]Accounts!$D$355)</f>
        <v/>
      </c>
      <c r="E354" t="str">
        <f>IF([1]Accounts!$D$355="","",[1]Accounts!$E$355)</f>
        <v/>
      </c>
      <c r="F354" t="str">
        <f>IF([1]Accounts!$D$355="","",[1]Accounts!$F$355)</f>
        <v/>
      </c>
      <c r="G354" t="str">
        <f>IF([1]Accounts!$D$355="","",[1]Accounts!$G$355)</f>
        <v/>
      </c>
      <c r="T354" t="str">
        <f>IF([2]Baskol!$B$357="","",[2]Baskol!$B$357)</f>
        <v/>
      </c>
      <c r="U354" t="str">
        <f>IF([2]Baskol!$C$357="","",[2]Baskol!$C$357)</f>
        <v/>
      </c>
      <c r="V354" t="str">
        <f>IF([2]Baskol!$D$357="","",[2]Baskol!$D$357)</f>
        <v/>
      </c>
      <c r="W354" t="str">
        <f>IF([2]Baskol!$E$357="","",[2]Baskol!$E$357)</f>
        <v/>
      </c>
      <c r="X354" t="str">
        <f>IF([2]Baskol!$G$357="","",[2]Baskol!$G$357)</f>
        <v/>
      </c>
      <c r="Y354" t="str">
        <f>IF([2]Baskol!$I$357="","",[2]Baskol!$I$357)</f>
        <v/>
      </c>
      <c r="Z354" t="str">
        <f>IF([2]Baskol!$J$357="","",[2]Baskol!$J$357)</f>
        <v/>
      </c>
      <c r="AA354" t="str">
        <f>IF([2]Baskol!$K$357="","",[2]Baskol!$K$357)</f>
        <v/>
      </c>
      <c r="AB354" t="str">
        <f>IF([2]Baskol!$L$357="","",[2]Baskol!$L$357)</f>
        <v/>
      </c>
      <c r="AC354" t="str">
        <f>IF([2]Baskol!$N$357="","",[2]Baskol!$N$357)</f>
        <v/>
      </c>
      <c r="AD354" t="str">
        <f>IF([2]Baskol!$O$357="","",[2]Baskol!$O$357)</f>
        <v/>
      </c>
      <c r="AE354" t="str">
        <f>IF([3]Entry!$C$357="","",[3]Entry!$C$357)</f>
        <v/>
      </c>
      <c r="AF354" t="str">
        <f>IF([3]Entry!$D$357="","",[3]Entry!$D$357)</f>
        <v/>
      </c>
      <c r="AG354" t="str">
        <f>IF([3]Entry!$E$357="","",[3]Entry!$E$357)</f>
        <v/>
      </c>
      <c r="AH354" t="str">
        <f>IF([3]Entry!$G$357="","",[3]Entry!$G$357)</f>
        <v/>
      </c>
      <c r="AI354" t="str">
        <f>IF([3]Entry!$K$357="","",[3]Entry!$K$357)</f>
        <v/>
      </c>
      <c r="AJ354" t="str">
        <f>IF([3]Entry!$L$357="","",[3]Entry!$L$357)</f>
        <v/>
      </c>
      <c r="AK354" t="str">
        <f>IF([3]Entry!$M$357="","",[3]Entry!$M$357)</f>
        <v/>
      </c>
      <c r="AL354" t="str">
        <f>IF([3]Entry!$N$357="","",[3]Entry!$N$357)</f>
        <v/>
      </c>
      <c r="AM354" t="str">
        <f>IF([3]Entry!$R$357="","",[3]Entry!$R$357)</f>
        <v/>
      </c>
    </row>
    <row r="355" spans="1:39" x14ac:dyDescent="0.2">
      <c r="A355" t="str">
        <f>IF([1]Accounts!$D$356="","",[1]Accounts!$A$356)</f>
        <v/>
      </c>
      <c r="B355" t="str">
        <f>IF([1]Accounts!$D$356="","",[1]Accounts!$B$356)</f>
        <v/>
      </c>
      <c r="C355" t="str">
        <f>IF([1]Accounts!$D$356="","",[1]Accounts!$C$356)</f>
        <v/>
      </c>
      <c r="D355" t="str">
        <f>IF([1]Accounts!$D$356="","",[1]Accounts!$D$356)</f>
        <v/>
      </c>
      <c r="E355" t="str">
        <f>IF([1]Accounts!$D$356="","",[1]Accounts!$E$356)</f>
        <v/>
      </c>
      <c r="F355" t="str">
        <f>IF([1]Accounts!$D$356="","",[1]Accounts!$F$356)</f>
        <v/>
      </c>
      <c r="G355" t="str">
        <f>IF([1]Accounts!$D$356="","",[1]Accounts!$G$356)</f>
        <v/>
      </c>
      <c r="T355" t="str">
        <f>IF([2]Baskol!$B$358="","",[2]Baskol!$B$358)</f>
        <v/>
      </c>
      <c r="U355" t="str">
        <f>IF([2]Baskol!$C$358="","",[2]Baskol!$C$358)</f>
        <v/>
      </c>
      <c r="V355" t="str">
        <f>IF([2]Baskol!$D$358="","",[2]Baskol!$D$358)</f>
        <v/>
      </c>
      <c r="W355" t="str">
        <f>IF([2]Baskol!$E$358="","",[2]Baskol!$E$358)</f>
        <v/>
      </c>
      <c r="X355" t="str">
        <f>IF([2]Baskol!$G$358="","",[2]Baskol!$G$358)</f>
        <v/>
      </c>
      <c r="Y355" t="str">
        <f>IF([2]Baskol!$I$358="","",[2]Baskol!$I$358)</f>
        <v/>
      </c>
      <c r="Z355" t="str">
        <f>IF([2]Baskol!$J$358="","",[2]Baskol!$J$358)</f>
        <v/>
      </c>
      <c r="AA355" t="str">
        <f>IF([2]Baskol!$K$358="","",[2]Baskol!$K$358)</f>
        <v/>
      </c>
      <c r="AB355" t="str">
        <f>IF([2]Baskol!$L$358="","",[2]Baskol!$L$358)</f>
        <v/>
      </c>
      <c r="AC355" t="str">
        <f>IF([2]Baskol!$N$358="","",[2]Baskol!$N$358)</f>
        <v/>
      </c>
      <c r="AD355" t="str">
        <f>IF([2]Baskol!$O$358="","",[2]Baskol!$O$358)</f>
        <v/>
      </c>
      <c r="AE355" t="str">
        <f>IF([3]Entry!$C$358="","",[3]Entry!$C$358)</f>
        <v/>
      </c>
      <c r="AF355" t="str">
        <f>IF([3]Entry!$D$358="","",[3]Entry!$D$358)</f>
        <v/>
      </c>
      <c r="AG355" t="str">
        <f>IF([3]Entry!$E$358="","",[3]Entry!$E$358)</f>
        <v/>
      </c>
      <c r="AH355" t="str">
        <f>IF([3]Entry!$G$358="","",[3]Entry!$G$358)</f>
        <v/>
      </c>
      <c r="AI355" t="str">
        <f>IF([3]Entry!$K$358="","",[3]Entry!$K$358)</f>
        <v/>
      </c>
      <c r="AJ355" t="str">
        <f>IF([3]Entry!$L$358="","",[3]Entry!$L$358)</f>
        <v/>
      </c>
      <c r="AK355" t="str">
        <f>IF([3]Entry!$M$358="","",[3]Entry!$M$358)</f>
        <v/>
      </c>
      <c r="AL355" t="str">
        <f>IF([3]Entry!$N$358="","",[3]Entry!$N$358)</f>
        <v/>
      </c>
      <c r="AM355" t="str">
        <f>IF([3]Entry!$R$358="","",[3]Entry!$R$358)</f>
        <v/>
      </c>
    </row>
    <row r="356" spans="1:39" x14ac:dyDescent="0.2">
      <c r="A356" t="str">
        <f>IF([1]Accounts!$D$357="","",[1]Accounts!$A$357)</f>
        <v/>
      </c>
      <c r="B356" t="str">
        <f>IF([1]Accounts!$D$357="","",[1]Accounts!$B$357)</f>
        <v/>
      </c>
      <c r="C356" t="str">
        <f>IF([1]Accounts!$D$357="","",[1]Accounts!$C$357)</f>
        <v/>
      </c>
      <c r="D356" t="str">
        <f>IF([1]Accounts!$D$357="","",[1]Accounts!$D$357)</f>
        <v/>
      </c>
      <c r="E356" t="str">
        <f>IF([1]Accounts!$D$357="","",[1]Accounts!$E$357)</f>
        <v/>
      </c>
      <c r="F356" t="str">
        <f>IF([1]Accounts!$D$357="","",[1]Accounts!$F$357)</f>
        <v/>
      </c>
      <c r="G356" t="str">
        <f>IF([1]Accounts!$D$357="","",[1]Accounts!$G$357)</f>
        <v/>
      </c>
      <c r="T356" t="str">
        <f>IF([2]Baskol!$B$359="","",[2]Baskol!$B$359)</f>
        <v/>
      </c>
      <c r="U356" t="str">
        <f>IF([2]Baskol!$C$359="","",[2]Baskol!$C$359)</f>
        <v/>
      </c>
      <c r="V356" t="str">
        <f>IF([2]Baskol!$D$359="","",[2]Baskol!$D$359)</f>
        <v/>
      </c>
      <c r="W356" t="str">
        <f>IF([2]Baskol!$E$359="","",[2]Baskol!$E$359)</f>
        <v/>
      </c>
      <c r="X356" t="str">
        <f>IF([2]Baskol!$G$359="","",[2]Baskol!$G$359)</f>
        <v/>
      </c>
      <c r="Y356" t="str">
        <f>IF([2]Baskol!$I$359="","",[2]Baskol!$I$359)</f>
        <v/>
      </c>
      <c r="Z356" t="str">
        <f>IF([2]Baskol!$J$359="","",[2]Baskol!$J$359)</f>
        <v/>
      </c>
      <c r="AA356" t="str">
        <f>IF([2]Baskol!$K$359="","",[2]Baskol!$K$359)</f>
        <v/>
      </c>
      <c r="AB356" t="str">
        <f>IF([2]Baskol!$L$359="","",[2]Baskol!$L$359)</f>
        <v/>
      </c>
      <c r="AC356" t="str">
        <f>IF([2]Baskol!$N$359="","",[2]Baskol!$N$359)</f>
        <v/>
      </c>
      <c r="AD356" t="str">
        <f>IF([2]Baskol!$O$359="","",[2]Baskol!$O$359)</f>
        <v/>
      </c>
      <c r="AE356" t="str">
        <f>IF([3]Entry!$C$359="","",[3]Entry!$C$359)</f>
        <v/>
      </c>
      <c r="AF356" t="str">
        <f>IF([3]Entry!$D$359="","",[3]Entry!$D$359)</f>
        <v/>
      </c>
      <c r="AG356" t="str">
        <f>IF([3]Entry!$E$359="","",[3]Entry!$E$359)</f>
        <v/>
      </c>
      <c r="AH356" t="str">
        <f>IF([3]Entry!$G$359="","",[3]Entry!$G$359)</f>
        <v/>
      </c>
      <c r="AI356" t="str">
        <f>IF([3]Entry!$K$359="","",[3]Entry!$K$359)</f>
        <v/>
      </c>
      <c r="AJ356" t="str">
        <f>IF([3]Entry!$L$359="","",[3]Entry!$L$359)</f>
        <v/>
      </c>
      <c r="AK356" t="str">
        <f>IF([3]Entry!$M$359="","",[3]Entry!$M$359)</f>
        <v/>
      </c>
      <c r="AL356" t="str">
        <f>IF([3]Entry!$N$359="","",[3]Entry!$N$359)</f>
        <v/>
      </c>
      <c r="AM356" t="str">
        <f>IF([3]Entry!$R$359="","",[3]Entry!$R$359)</f>
        <v/>
      </c>
    </row>
    <row r="357" spans="1:39" x14ac:dyDescent="0.2">
      <c r="A357" t="str">
        <f>IF([1]Accounts!$D$358="","",[1]Accounts!$A$358)</f>
        <v/>
      </c>
      <c r="B357" t="str">
        <f>IF([1]Accounts!$D$358="","",[1]Accounts!$B$358)</f>
        <v/>
      </c>
      <c r="C357" t="str">
        <f>IF([1]Accounts!$D$358="","",[1]Accounts!$C$358)</f>
        <v/>
      </c>
      <c r="D357" t="str">
        <f>IF([1]Accounts!$D$358="","",[1]Accounts!$D$358)</f>
        <v/>
      </c>
      <c r="E357" t="str">
        <f>IF([1]Accounts!$D$358="","",[1]Accounts!$E$358)</f>
        <v/>
      </c>
      <c r="F357" t="str">
        <f>IF([1]Accounts!$D$358="","",[1]Accounts!$F$358)</f>
        <v/>
      </c>
      <c r="G357" t="str">
        <f>IF([1]Accounts!$D$358="","",[1]Accounts!$G$358)</f>
        <v/>
      </c>
      <c r="T357" t="str">
        <f>IF([2]Baskol!$B$360="","",[2]Baskol!$B$360)</f>
        <v/>
      </c>
      <c r="U357" t="str">
        <f>IF([2]Baskol!$C$360="","",[2]Baskol!$C$360)</f>
        <v/>
      </c>
      <c r="V357" t="str">
        <f>IF([2]Baskol!$D$360="","",[2]Baskol!$D$360)</f>
        <v/>
      </c>
      <c r="W357" t="str">
        <f>IF([2]Baskol!$E$360="","",[2]Baskol!$E$360)</f>
        <v/>
      </c>
      <c r="X357" t="str">
        <f>IF([2]Baskol!$G$360="","",[2]Baskol!$G$360)</f>
        <v/>
      </c>
      <c r="Y357" t="str">
        <f>IF([2]Baskol!$I$360="","",[2]Baskol!$I$360)</f>
        <v/>
      </c>
      <c r="Z357" t="str">
        <f>IF([2]Baskol!$J$360="","",[2]Baskol!$J$360)</f>
        <v/>
      </c>
      <c r="AA357" t="str">
        <f>IF([2]Baskol!$K$360="","",[2]Baskol!$K$360)</f>
        <v/>
      </c>
      <c r="AB357" t="str">
        <f>IF([2]Baskol!$L$360="","",[2]Baskol!$L$360)</f>
        <v/>
      </c>
      <c r="AC357" t="str">
        <f>IF([2]Baskol!$N$360="","",[2]Baskol!$N$360)</f>
        <v/>
      </c>
      <c r="AD357" t="str">
        <f>IF([2]Baskol!$O$360="","",[2]Baskol!$O$360)</f>
        <v/>
      </c>
      <c r="AE357" t="str">
        <f>IF([3]Entry!$C$360="","",[3]Entry!$C$360)</f>
        <v/>
      </c>
      <c r="AF357" t="str">
        <f>IF([3]Entry!$D$360="","",[3]Entry!$D$360)</f>
        <v/>
      </c>
      <c r="AG357" t="str">
        <f>IF([3]Entry!$E$360="","",[3]Entry!$E$360)</f>
        <v/>
      </c>
      <c r="AH357" t="str">
        <f>IF([3]Entry!$G$360="","",[3]Entry!$G$360)</f>
        <v/>
      </c>
      <c r="AI357" t="str">
        <f>IF([3]Entry!$K$360="","",[3]Entry!$K$360)</f>
        <v/>
      </c>
      <c r="AJ357" t="str">
        <f>IF([3]Entry!$L$360="","",[3]Entry!$L$360)</f>
        <v/>
      </c>
      <c r="AK357" t="str">
        <f>IF([3]Entry!$M$360="","",[3]Entry!$M$360)</f>
        <v/>
      </c>
      <c r="AL357" t="str">
        <f>IF([3]Entry!$N$360="","",[3]Entry!$N$360)</f>
        <v/>
      </c>
      <c r="AM357" t="str">
        <f>IF([3]Entry!$R$360="","",[3]Entry!$R$360)</f>
        <v/>
      </c>
    </row>
    <row r="358" spans="1:39" x14ac:dyDescent="0.2">
      <c r="A358" t="str">
        <f>IF([1]Accounts!$D$359="","",[1]Accounts!$A$359)</f>
        <v/>
      </c>
      <c r="B358" t="str">
        <f>IF([1]Accounts!$D$359="","",[1]Accounts!$B$359)</f>
        <v/>
      </c>
      <c r="C358" t="str">
        <f>IF([1]Accounts!$D$359="","",[1]Accounts!$C$359)</f>
        <v/>
      </c>
      <c r="D358" t="str">
        <f>IF([1]Accounts!$D$359="","",[1]Accounts!$D$359)</f>
        <v/>
      </c>
      <c r="E358" t="str">
        <f>IF([1]Accounts!$D$359="","",[1]Accounts!$E$359)</f>
        <v/>
      </c>
      <c r="F358" t="str">
        <f>IF([1]Accounts!$D$359="","",[1]Accounts!$F$359)</f>
        <v/>
      </c>
      <c r="G358" t="str">
        <f>IF([1]Accounts!$D$359="","",[1]Accounts!$G$359)</f>
        <v/>
      </c>
      <c r="T358" t="str">
        <f>IF([2]Baskol!$B$361="","",[2]Baskol!$B$361)</f>
        <v/>
      </c>
      <c r="U358" t="str">
        <f>IF([2]Baskol!$C$361="","",[2]Baskol!$C$361)</f>
        <v/>
      </c>
      <c r="V358" t="str">
        <f>IF([2]Baskol!$D$361="","",[2]Baskol!$D$361)</f>
        <v/>
      </c>
      <c r="W358" t="str">
        <f>IF([2]Baskol!$E$361="","",[2]Baskol!$E$361)</f>
        <v/>
      </c>
      <c r="X358" t="str">
        <f>IF([2]Baskol!$G$361="","",[2]Baskol!$G$361)</f>
        <v/>
      </c>
      <c r="Y358" t="str">
        <f>IF([2]Baskol!$I$361="","",[2]Baskol!$I$361)</f>
        <v/>
      </c>
      <c r="Z358" t="str">
        <f>IF([2]Baskol!$J$361="","",[2]Baskol!$J$361)</f>
        <v/>
      </c>
      <c r="AA358" t="str">
        <f>IF([2]Baskol!$K$361="","",[2]Baskol!$K$361)</f>
        <v/>
      </c>
      <c r="AB358" t="str">
        <f>IF([2]Baskol!$L$361="","",[2]Baskol!$L$361)</f>
        <v/>
      </c>
      <c r="AC358" t="str">
        <f>IF([2]Baskol!$N$361="","",[2]Baskol!$N$361)</f>
        <v/>
      </c>
      <c r="AD358" t="str">
        <f>IF([2]Baskol!$O$361="","",[2]Baskol!$O$361)</f>
        <v/>
      </c>
      <c r="AE358" t="str">
        <f>IF([3]Entry!$C$361="","",[3]Entry!$C$361)</f>
        <v/>
      </c>
      <c r="AF358" t="str">
        <f>IF([3]Entry!$D$361="","",[3]Entry!$D$361)</f>
        <v/>
      </c>
      <c r="AG358" t="str">
        <f>IF([3]Entry!$E$361="","",[3]Entry!$E$361)</f>
        <v/>
      </c>
      <c r="AH358" t="str">
        <f>IF([3]Entry!$G$361="","",[3]Entry!$G$361)</f>
        <v/>
      </c>
      <c r="AI358" t="str">
        <f>IF([3]Entry!$K$361="","",[3]Entry!$K$361)</f>
        <v/>
      </c>
      <c r="AJ358" t="str">
        <f>IF([3]Entry!$L$361="","",[3]Entry!$L$361)</f>
        <v/>
      </c>
      <c r="AK358" t="str">
        <f>IF([3]Entry!$M$361="","",[3]Entry!$M$361)</f>
        <v/>
      </c>
      <c r="AL358" t="str">
        <f>IF([3]Entry!$N$361="","",[3]Entry!$N$361)</f>
        <v/>
      </c>
      <c r="AM358" t="str">
        <f>IF([3]Entry!$R$361="","",[3]Entry!$R$361)</f>
        <v/>
      </c>
    </row>
    <row r="359" spans="1:39" x14ac:dyDescent="0.2">
      <c r="A359" t="str">
        <f>IF([1]Accounts!$D$360="","",[1]Accounts!$A$360)</f>
        <v/>
      </c>
      <c r="B359" t="str">
        <f>IF([1]Accounts!$D$360="","",[1]Accounts!$B$360)</f>
        <v/>
      </c>
      <c r="C359" t="str">
        <f>IF([1]Accounts!$D$360="","",[1]Accounts!$C$360)</f>
        <v/>
      </c>
      <c r="D359" t="str">
        <f>IF([1]Accounts!$D$360="","",[1]Accounts!$D$360)</f>
        <v/>
      </c>
      <c r="E359" t="str">
        <f>IF([1]Accounts!$D$360="","",[1]Accounts!$E$360)</f>
        <v/>
      </c>
      <c r="F359" t="str">
        <f>IF([1]Accounts!$D$360="","",[1]Accounts!$F$360)</f>
        <v/>
      </c>
      <c r="G359" t="str">
        <f>IF([1]Accounts!$D$360="","",[1]Accounts!$G$360)</f>
        <v/>
      </c>
      <c r="T359" t="str">
        <f>IF([2]Baskol!$B$362="","",[2]Baskol!$B$362)</f>
        <v/>
      </c>
      <c r="U359" t="str">
        <f>IF([2]Baskol!$C$362="","",[2]Baskol!$C$362)</f>
        <v/>
      </c>
      <c r="V359" t="str">
        <f>IF([2]Baskol!$D$362="","",[2]Baskol!$D$362)</f>
        <v/>
      </c>
      <c r="W359" t="str">
        <f>IF([2]Baskol!$E$362="","",[2]Baskol!$E$362)</f>
        <v/>
      </c>
      <c r="X359" t="str">
        <f>IF([2]Baskol!$G$362="","",[2]Baskol!$G$362)</f>
        <v/>
      </c>
      <c r="Y359" t="str">
        <f>IF([2]Baskol!$I$362="","",[2]Baskol!$I$362)</f>
        <v/>
      </c>
      <c r="Z359" t="str">
        <f>IF([2]Baskol!$J$362="","",[2]Baskol!$J$362)</f>
        <v/>
      </c>
      <c r="AA359" t="str">
        <f>IF([2]Baskol!$K$362="","",[2]Baskol!$K$362)</f>
        <v/>
      </c>
      <c r="AB359" t="str">
        <f>IF([2]Baskol!$L$362="","",[2]Baskol!$L$362)</f>
        <v/>
      </c>
      <c r="AC359" t="str">
        <f>IF([2]Baskol!$N$362="","",[2]Baskol!$N$362)</f>
        <v/>
      </c>
      <c r="AD359" t="str">
        <f>IF([2]Baskol!$O$362="","",[2]Baskol!$O$362)</f>
        <v/>
      </c>
      <c r="AE359" t="str">
        <f>IF([3]Entry!$C$362="","",[3]Entry!$C$362)</f>
        <v/>
      </c>
      <c r="AF359" t="str">
        <f>IF([3]Entry!$D$362="","",[3]Entry!$D$362)</f>
        <v/>
      </c>
      <c r="AG359" t="str">
        <f>IF([3]Entry!$E$362="","",[3]Entry!$E$362)</f>
        <v/>
      </c>
      <c r="AH359" t="str">
        <f>IF([3]Entry!$G$362="","",[3]Entry!$G$362)</f>
        <v/>
      </c>
      <c r="AI359" t="str">
        <f>IF([3]Entry!$K$362="","",[3]Entry!$K$362)</f>
        <v/>
      </c>
      <c r="AJ359" t="str">
        <f>IF([3]Entry!$L$362="","",[3]Entry!$L$362)</f>
        <v/>
      </c>
      <c r="AK359" t="str">
        <f>IF([3]Entry!$M$362="","",[3]Entry!$M$362)</f>
        <v/>
      </c>
      <c r="AL359" t="str">
        <f>IF([3]Entry!$N$362="","",[3]Entry!$N$362)</f>
        <v/>
      </c>
      <c r="AM359" t="str">
        <f>IF([3]Entry!$R$362="","",[3]Entry!$R$362)</f>
        <v/>
      </c>
    </row>
    <row r="360" spans="1:39" x14ac:dyDescent="0.2">
      <c r="A360" t="str">
        <f>IF([1]Accounts!$D$361="","",[1]Accounts!$A$361)</f>
        <v/>
      </c>
      <c r="B360" t="str">
        <f>IF([1]Accounts!$D$361="","",[1]Accounts!$B$361)</f>
        <v/>
      </c>
      <c r="C360" t="str">
        <f>IF([1]Accounts!$D$361="","",[1]Accounts!$C$361)</f>
        <v/>
      </c>
      <c r="D360" t="str">
        <f>IF([1]Accounts!$D$361="","",[1]Accounts!$D$361)</f>
        <v/>
      </c>
      <c r="E360" t="str">
        <f>IF([1]Accounts!$D$361="","",[1]Accounts!$E$361)</f>
        <v/>
      </c>
      <c r="F360" t="str">
        <f>IF([1]Accounts!$D$361="","",[1]Accounts!$F$361)</f>
        <v/>
      </c>
      <c r="G360" t="str">
        <f>IF([1]Accounts!$D$361="","",[1]Accounts!$G$361)</f>
        <v/>
      </c>
      <c r="T360" t="str">
        <f>IF([2]Baskol!$B$363="","",[2]Baskol!$B$363)</f>
        <v/>
      </c>
      <c r="U360" t="str">
        <f>IF([2]Baskol!$C$363="","",[2]Baskol!$C$363)</f>
        <v/>
      </c>
      <c r="V360" t="str">
        <f>IF([2]Baskol!$D$363="","",[2]Baskol!$D$363)</f>
        <v/>
      </c>
      <c r="W360" t="str">
        <f>IF([2]Baskol!$E$363="","",[2]Baskol!$E$363)</f>
        <v/>
      </c>
      <c r="X360" t="str">
        <f>IF([2]Baskol!$G$363="","",[2]Baskol!$G$363)</f>
        <v/>
      </c>
      <c r="Y360" t="str">
        <f>IF([2]Baskol!$I$363="","",[2]Baskol!$I$363)</f>
        <v/>
      </c>
      <c r="Z360" t="str">
        <f>IF([2]Baskol!$J$363="","",[2]Baskol!$J$363)</f>
        <v/>
      </c>
      <c r="AA360" t="str">
        <f>IF([2]Baskol!$K$363="","",[2]Baskol!$K$363)</f>
        <v/>
      </c>
      <c r="AB360" t="str">
        <f>IF([2]Baskol!$L$363="","",[2]Baskol!$L$363)</f>
        <v/>
      </c>
      <c r="AC360" t="str">
        <f>IF([2]Baskol!$N$363="","",[2]Baskol!$N$363)</f>
        <v/>
      </c>
      <c r="AD360" t="str">
        <f>IF([2]Baskol!$O$363="","",[2]Baskol!$O$363)</f>
        <v/>
      </c>
      <c r="AE360" t="str">
        <f>IF([3]Entry!$C$363="","",[3]Entry!$C$363)</f>
        <v/>
      </c>
      <c r="AF360" t="str">
        <f>IF([3]Entry!$D$363="","",[3]Entry!$D$363)</f>
        <v/>
      </c>
      <c r="AG360" t="str">
        <f>IF([3]Entry!$E$363="","",[3]Entry!$E$363)</f>
        <v/>
      </c>
      <c r="AH360" t="str">
        <f>IF([3]Entry!$G$363="","",[3]Entry!$G$363)</f>
        <v/>
      </c>
      <c r="AI360" t="str">
        <f>IF([3]Entry!$K$363="","",[3]Entry!$K$363)</f>
        <v/>
      </c>
      <c r="AJ360" t="str">
        <f>IF([3]Entry!$L$363="","",[3]Entry!$L$363)</f>
        <v/>
      </c>
      <c r="AK360" t="str">
        <f>IF([3]Entry!$M$363="","",[3]Entry!$M$363)</f>
        <v/>
      </c>
      <c r="AL360" t="str">
        <f>IF([3]Entry!$N$363="","",[3]Entry!$N$363)</f>
        <v/>
      </c>
      <c r="AM360" t="str">
        <f>IF([3]Entry!$R$363="","",[3]Entry!$R$363)</f>
        <v/>
      </c>
    </row>
    <row r="361" spans="1:39" x14ac:dyDescent="0.2">
      <c r="A361" t="str">
        <f>IF([1]Accounts!$D$362="","",[1]Accounts!$A$362)</f>
        <v/>
      </c>
      <c r="B361" t="str">
        <f>IF([1]Accounts!$D$362="","",[1]Accounts!$B$362)</f>
        <v/>
      </c>
      <c r="C361" t="str">
        <f>IF([1]Accounts!$D$362="","",[1]Accounts!$C$362)</f>
        <v/>
      </c>
      <c r="D361" t="str">
        <f>IF([1]Accounts!$D$362="","",[1]Accounts!$D$362)</f>
        <v/>
      </c>
      <c r="E361" t="str">
        <f>IF([1]Accounts!$D$362="","",[1]Accounts!$E$362)</f>
        <v/>
      </c>
      <c r="F361" t="str">
        <f>IF([1]Accounts!$D$362="","",[1]Accounts!$F$362)</f>
        <v/>
      </c>
      <c r="G361" t="str">
        <f>IF([1]Accounts!$D$362="","",[1]Accounts!$G$362)</f>
        <v/>
      </c>
      <c r="T361" t="str">
        <f>IF([2]Baskol!$B$364="","",[2]Baskol!$B$364)</f>
        <v/>
      </c>
      <c r="U361" t="str">
        <f>IF([2]Baskol!$C$364="","",[2]Baskol!$C$364)</f>
        <v/>
      </c>
      <c r="V361" t="str">
        <f>IF([2]Baskol!$D$364="","",[2]Baskol!$D$364)</f>
        <v/>
      </c>
      <c r="W361" t="str">
        <f>IF([2]Baskol!$E$364="","",[2]Baskol!$E$364)</f>
        <v/>
      </c>
      <c r="X361" t="str">
        <f>IF([2]Baskol!$G$364="","",[2]Baskol!$G$364)</f>
        <v/>
      </c>
      <c r="Y361" t="str">
        <f>IF([2]Baskol!$I$364="","",[2]Baskol!$I$364)</f>
        <v/>
      </c>
      <c r="Z361" t="str">
        <f>IF([2]Baskol!$J$364="","",[2]Baskol!$J$364)</f>
        <v/>
      </c>
      <c r="AA361" t="str">
        <f>IF([2]Baskol!$K$364="","",[2]Baskol!$K$364)</f>
        <v/>
      </c>
      <c r="AB361" t="str">
        <f>IF([2]Baskol!$L$364="","",[2]Baskol!$L$364)</f>
        <v/>
      </c>
      <c r="AC361" t="str">
        <f>IF([2]Baskol!$N$364="","",[2]Baskol!$N$364)</f>
        <v/>
      </c>
      <c r="AD361" t="str">
        <f>IF([2]Baskol!$O$364="","",[2]Baskol!$O$364)</f>
        <v/>
      </c>
      <c r="AE361" t="str">
        <f>IF([3]Entry!$C$364="","",[3]Entry!$C$364)</f>
        <v/>
      </c>
      <c r="AF361" t="str">
        <f>IF([3]Entry!$D$364="","",[3]Entry!$D$364)</f>
        <v/>
      </c>
      <c r="AG361" t="str">
        <f>IF([3]Entry!$E$364="","",[3]Entry!$E$364)</f>
        <v/>
      </c>
      <c r="AH361" t="str">
        <f>IF([3]Entry!$G$364="","",[3]Entry!$G$364)</f>
        <v/>
      </c>
      <c r="AI361" t="str">
        <f>IF([3]Entry!$K$364="","",[3]Entry!$K$364)</f>
        <v/>
      </c>
      <c r="AJ361" t="str">
        <f>IF([3]Entry!$L$364="","",[3]Entry!$L$364)</f>
        <v/>
      </c>
      <c r="AK361" t="str">
        <f>IF([3]Entry!$M$364="","",[3]Entry!$M$364)</f>
        <v/>
      </c>
      <c r="AL361" t="str">
        <f>IF([3]Entry!$N$364="","",[3]Entry!$N$364)</f>
        <v/>
      </c>
      <c r="AM361" t="str">
        <f>IF([3]Entry!$R$364="","",[3]Entry!$R$364)</f>
        <v/>
      </c>
    </row>
    <row r="362" spans="1:39" x14ac:dyDescent="0.2">
      <c r="A362" t="str">
        <f>IF([1]Accounts!$D$363="","",[1]Accounts!$A$363)</f>
        <v/>
      </c>
      <c r="B362" t="str">
        <f>IF([1]Accounts!$D$363="","",[1]Accounts!$B$363)</f>
        <v/>
      </c>
      <c r="C362" t="str">
        <f>IF([1]Accounts!$D$363="","",[1]Accounts!$C$363)</f>
        <v/>
      </c>
      <c r="D362" t="str">
        <f>IF([1]Accounts!$D$363="","",[1]Accounts!$D$363)</f>
        <v/>
      </c>
      <c r="E362" t="str">
        <f>IF([1]Accounts!$D$363="","",[1]Accounts!$E$363)</f>
        <v/>
      </c>
      <c r="F362" t="str">
        <f>IF([1]Accounts!$D$363="","",[1]Accounts!$F$363)</f>
        <v/>
      </c>
      <c r="G362" t="str">
        <f>IF([1]Accounts!$D$363="","",[1]Accounts!$G$363)</f>
        <v/>
      </c>
      <c r="T362" t="str">
        <f>IF([2]Baskol!$B$365="","",[2]Baskol!$B$365)</f>
        <v/>
      </c>
      <c r="U362" t="str">
        <f>IF([2]Baskol!$C$365="","",[2]Baskol!$C$365)</f>
        <v/>
      </c>
      <c r="V362" t="str">
        <f>IF([2]Baskol!$D$365="","",[2]Baskol!$D$365)</f>
        <v/>
      </c>
      <c r="W362" t="str">
        <f>IF([2]Baskol!$E$365="","",[2]Baskol!$E$365)</f>
        <v/>
      </c>
      <c r="X362" t="str">
        <f>IF([2]Baskol!$G$365="","",[2]Baskol!$G$365)</f>
        <v/>
      </c>
      <c r="Y362" t="str">
        <f>IF([2]Baskol!$I$365="","",[2]Baskol!$I$365)</f>
        <v/>
      </c>
      <c r="Z362" t="str">
        <f>IF([2]Baskol!$J$365="","",[2]Baskol!$J$365)</f>
        <v/>
      </c>
      <c r="AA362" t="str">
        <f>IF([2]Baskol!$K$365="","",[2]Baskol!$K$365)</f>
        <v/>
      </c>
      <c r="AB362" t="str">
        <f>IF([2]Baskol!$L$365="","",[2]Baskol!$L$365)</f>
        <v/>
      </c>
      <c r="AC362" t="str">
        <f>IF([2]Baskol!$N$365="","",[2]Baskol!$N$365)</f>
        <v/>
      </c>
      <c r="AD362" t="str">
        <f>IF([2]Baskol!$O$365="","",[2]Baskol!$O$365)</f>
        <v/>
      </c>
      <c r="AE362" t="str">
        <f>IF([3]Entry!$C$365="","",[3]Entry!$C$365)</f>
        <v/>
      </c>
      <c r="AF362" t="str">
        <f>IF([3]Entry!$D$365="","",[3]Entry!$D$365)</f>
        <v/>
      </c>
      <c r="AG362" t="str">
        <f>IF([3]Entry!$E$365="","",[3]Entry!$E$365)</f>
        <v/>
      </c>
      <c r="AH362" t="str">
        <f>IF([3]Entry!$G$365="","",[3]Entry!$G$365)</f>
        <v/>
      </c>
      <c r="AI362" t="str">
        <f>IF([3]Entry!$K$365="","",[3]Entry!$K$365)</f>
        <v/>
      </c>
      <c r="AJ362" t="str">
        <f>IF([3]Entry!$L$365="","",[3]Entry!$L$365)</f>
        <v/>
      </c>
      <c r="AK362" t="str">
        <f>IF([3]Entry!$M$365="","",[3]Entry!$M$365)</f>
        <v/>
      </c>
      <c r="AL362" t="str">
        <f>IF([3]Entry!$N$365="","",[3]Entry!$N$365)</f>
        <v/>
      </c>
      <c r="AM362" t="str">
        <f>IF([3]Entry!$R$365="","",[3]Entry!$R$365)</f>
        <v/>
      </c>
    </row>
    <row r="363" spans="1:39" x14ac:dyDescent="0.2">
      <c r="A363" t="str">
        <f>IF([1]Accounts!$D$364="","",[1]Accounts!$A$364)</f>
        <v/>
      </c>
      <c r="B363" t="str">
        <f>IF([1]Accounts!$D$364="","",[1]Accounts!$B$364)</f>
        <v/>
      </c>
      <c r="C363" t="str">
        <f>IF([1]Accounts!$D$364="","",[1]Accounts!$C$364)</f>
        <v/>
      </c>
      <c r="D363" t="str">
        <f>IF([1]Accounts!$D$364="","",[1]Accounts!$D$364)</f>
        <v/>
      </c>
      <c r="E363" t="str">
        <f>IF([1]Accounts!$D$364="","",[1]Accounts!$E$364)</f>
        <v/>
      </c>
      <c r="F363" t="str">
        <f>IF([1]Accounts!$D$364="","",[1]Accounts!$F$364)</f>
        <v/>
      </c>
      <c r="G363" t="str">
        <f>IF([1]Accounts!$D$364="","",[1]Accounts!$G$364)</f>
        <v/>
      </c>
      <c r="T363" t="str">
        <f>IF([2]Baskol!$B$366="","",[2]Baskol!$B$366)</f>
        <v/>
      </c>
      <c r="U363" t="str">
        <f>IF([2]Baskol!$C$366="","",[2]Baskol!$C$366)</f>
        <v/>
      </c>
      <c r="V363" t="str">
        <f>IF([2]Baskol!$D$366="","",[2]Baskol!$D$366)</f>
        <v/>
      </c>
      <c r="W363" t="str">
        <f>IF([2]Baskol!$E$366="","",[2]Baskol!$E$366)</f>
        <v/>
      </c>
      <c r="X363" t="str">
        <f>IF([2]Baskol!$G$366="","",[2]Baskol!$G$366)</f>
        <v/>
      </c>
      <c r="Y363" t="str">
        <f>IF([2]Baskol!$I$366="","",[2]Baskol!$I$366)</f>
        <v/>
      </c>
      <c r="Z363" t="str">
        <f>IF([2]Baskol!$J$366="","",[2]Baskol!$J$366)</f>
        <v/>
      </c>
      <c r="AA363" t="str">
        <f>IF([2]Baskol!$K$366="","",[2]Baskol!$K$366)</f>
        <v/>
      </c>
      <c r="AB363" t="str">
        <f>IF([2]Baskol!$L$366="","",[2]Baskol!$L$366)</f>
        <v/>
      </c>
      <c r="AC363" t="str">
        <f>IF([2]Baskol!$N$366="","",[2]Baskol!$N$366)</f>
        <v/>
      </c>
      <c r="AD363" t="str">
        <f>IF([2]Baskol!$O$366="","",[2]Baskol!$O$366)</f>
        <v/>
      </c>
      <c r="AE363" t="str">
        <f>IF([3]Entry!$C$366="","",[3]Entry!$C$366)</f>
        <v/>
      </c>
      <c r="AF363" t="str">
        <f>IF([3]Entry!$D$366="","",[3]Entry!$D$366)</f>
        <v/>
      </c>
      <c r="AG363" t="str">
        <f>IF([3]Entry!$E$366="","",[3]Entry!$E$366)</f>
        <v/>
      </c>
      <c r="AH363" t="str">
        <f>IF([3]Entry!$G$366="","",[3]Entry!$G$366)</f>
        <v/>
      </c>
      <c r="AI363" t="str">
        <f>IF([3]Entry!$K$366="","",[3]Entry!$K$366)</f>
        <v/>
      </c>
      <c r="AJ363" t="str">
        <f>IF([3]Entry!$L$366="","",[3]Entry!$L$366)</f>
        <v/>
      </c>
      <c r="AK363" t="str">
        <f>IF([3]Entry!$M$366="","",[3]Entry!$M$366)</f>
        <v/>
      </c>
      <c r="AL363" t="str">
        <f>IF([3]Entry!$N$366="","",[3]Entry!$N$366)</f>
        <v/>
      </c>
      <c r="AM363" t="str">
        <f>IF([3]Entry!$R$366="","",[3]Entry!$R$366)</f>
        <v/>
      </c>
    </row>
    <row r="364" spans="1:39" x14ac:dyDescent="0.2">
      <c r="A364" t="str">
        <f>IF([1]Accounts!$D$365="","",[1]Accounts!$A$365)</f>
        <v/>
      </c>
      <c r="B364" t="str">
        <f>IF([1]Accounts!$D$365="","",[1]Accounts!$B$365)</f>
        <v/>
      </c>
      <c r="C364" t="str">
        <f>IF([1]Accounts!$D$365="","",[1]Accounts!$C$365)</f>
        <v/>
      </c>
      <c r="D364" t="str">
        <f>IF([1]Accounts!$D$365="","",[1]Accounts!$D$365)</f>
        <v/>
      </c>
      <c r="E364" t="str">
        <f>IF([1]Accounts!$D$365="","",[1]Accounts!$E$365)</f>
        <v/>
      </c>
      <c r="F364" t="str">
        <f>IF([1]Accounts!$D$365="","",[1]Accounts!$F$365)</f>
        <v/>
      </c>
      <c r="G364" t="str">
        <f>IF([1]Accounts!$D$365="","",[1]Accounts!$G$365)</f>
        <v/>
      </c>
      <c r="T364" t="str">
        <f>IF([2]Baskol!$B$367="","",[2]Baskol!$B$367)</f>
        <v/>
      </c>
      <c r="U364" t="str">
        <f>IF([2]Baskol!$C$367="","",[2]Baskol!$C$367)</f>
        <v/>
      </c>
      <c r="V364" t="str">
        <f>IF([2]Baskol!$D$367="","",[2]Baskol!$D$367)</f>
        <v/>
      </c>
      <c r="W364" t="str">
        <f>IF([2]Baskol!$E$367="","",[2]Baskol!$E$367)</f>
        <v/>
      </c>
      <c r="X364" t="str">
        <f>IF([2]Baskol!$G$367="","",[2]Baskol!$G$367)</f>
        <v/>
      </c>
      <c r="Y364" t="str">
        <f>IF([2]Baskol!$I$367="","",[2]Baskol!$I$367)</f>
        <v/>
      </c>
      <c r="Z364" t="str">
        <f>IF([2]Baskol!$J$367="","",[2]Baskol!$J$367)</f>
        <v/>
      </c>
      <c r="AA364" t="str">
        <f>IF([2]Baskol!$K$367="","",[2]Baskol!$K$367)</f>
        <v/>
      </c>
      <c r="AB364" t="str">
        <f>IF([2]Baskol!$L$367="","",[2]Baskol!$L$367)</f>
        <v/>
      </c>
      <c r="AC364" t="str">
        <f>IF([2]Baskol!$N$367="","",[2]Baskol!$N$367)</f>
        <v/>
      </c>
      <c r="AD364" t="str">
        <f>IF([2]Baskol!$O$367="","",[2]Baskol!$O$367)</f>
        <v/>
      </c>
      <c r="AE364" t="str">
        <f>IF([3]Entry!$C$367="","",[3]Entry!$C$367)</f>
        <v/>
      </c>
      <c r="AF364" t="str">
        <f>IF([3]Entry!$D$367="","",[3]Entry!$D$367)</f>
        <v/>
      </c>
      <c r="AG364" t="str">
        <f>IF([3]Entry!$E$367="","",[3]Entry!$E$367)</f>
        <v/>
      </c>
      <c r="AH364" t="str">
        <f>IF([3]Entry!$G$367="","",[3]Entry!$G$367)</f>
        <v/>
      </c>
      <c r="AI364" t="str">
        <f>IF([3]Entry!$K$367="","",[3]Entry!$K$367)</f>
        <v/>
      </c>
      <c r="AJ364" t="str">
        <f>IF([3]Entry!$L$367="","",[3]Entry!$L$367)</f>
        <v/>
      </c>
      <c r="AK364" t="str">
        <f>IF([3]Entry!$M$367="","",[3]Entry!$M$367)</f>
        <v/>
      </c>
      <c r="AL364" t="str">
        <f>IF([3]Entry!$N$367="","",[3]Entry!$N$367)</f>
        <v/>
      </c>
      <c r="AM364" t="str">
        <f>IF([3]Entry!$R$367="","",[3]Entry!$R$367)</f>
        <v/>
      </c>
    </row>
    <row r="365" spans="1:39" x14ac:dyDescent="0.2">
      <c r="A365" t="str">
        <f>IF([1]Accounts!$D$366="","",[1]Accounts!$A$366)</f>
        <v/>
      </c>
      <c r="B365" t="str">
        <f>IF([1]Accounts!$D$366="","",[1]Accounts!$B$366)</f>
        <v/>
      </c>
      <c r="C365" t="str">
        <f>IF([1]Accounts!$D$366="","",[1]Accounts!$C$366)</f>
        <v/>
      </c>
      <c r="D365" t="str">
        <f>IF([1]Accounts!$D$366="","",[1]Accounts!$D$366)</f>
        <v/>
      </c>
      <c r="E365" t="str">
        <f>IF([1]Accounts!$D$366="","",[1]Accounts!$E$366)</f>
        <v/>
      </c>
      <c r="F365" t="str">
        <f>IF([1]Accounts!$D$366="","",[1]Accounts!$F$366)</f>
        <v/>
      </c>
      <c r="G365" t="str">
        <f>IF([1]Accounts!$D$366="","",[1]Accounts!$G$366)</f>
        <v/>
      </c>
      <c r="T365" t="str">
        <f>IF([2]Baskol!$B$368="","",[2]Baskol!$B$368)</f>
        <v/>
      </c>
      <c r="U365" t="str">
        <f>IF([2]Baskol!$C$368="","",[2]Baskol!$C$368)</f>
        <v/>
      </c>
      <c r="V365" t="str">
        <f>IF([2]Baskol!$D$368="","",[2]Baskol!$D$368)</f>
        <v/>
      </c>
      <c r="W365" t="str">
        <f>IF([2]Baskol!$E$368="","",[2]Baskol!$E$368)</f>
        <v/>
      </c>
      <c r="X365" t="str">
        <f>IF([2]Baskol!$G$368="","",[2]Baskol!$G$368)</f>
        <v/>
      </c>
      <c r="Y365" t="str">
        <f>IF([2]Baskol!$I$368="","",[2]Baskol!$I$368)</f>
        <v/>
      </c>
      <c r="Z365" t="str">
        <f>IF([2]Baskol!$J$368="","",[2]Baskol!$J$368)</f>
        <v/>
      </c>
      <c r="AA365" t="str">
        <f>IF([2]Baskol!$K$368="","",[2]Baskol!$K$368)</f>
        <v/>
      </c>
      <c r="AB365" t="str">
        <f>IF([2]Baskol!$L$368="","",[2]Baskol!$L$368)</f>
        <v/>
      </c>
      <c r="AC365" t="str">
        <f>IF([2]Baskol!$N$368="","",[2]Baskol!$N$368)</f>
        <v/>
      </c>
      <c r="AD365" t="str">
        <f>IF([2]Baskol!$O$368="","",[2]Baskol!$O$368)</f>
        <v/>
      </c>
      <c r="AE365" t="str">
        <f>IF([3]Entry!$C$368="","",[3]Entry!$C$368)</f>
        <v/>
      </c>
      <c r="AF365" t="str">
        <f>IF([3]Entry!$D$368="","",[3]Entry!$D$368)</f>
        <v/>
      </c>
      <c r="AG365" t="str">
        <f>IF([3]Entry!$E$368="","",[3]Entry!$E$368)</f>
        <v/>
      </c>
      <c r="AH365" t="str">
        <f>IF([3]Entry!$G$368="","",[3]Entry!$G$368)</f>
        <v/>
      </c>
      <c r="AI365" t="str">
        <f>IF([3]Entry!$K$368="","",[3]Entry!$K$368)</f>
        <v/>
      </c>
      <c r="AJ365" t="str">
        <f>IF([3]Entry!$L$368="","",[3]Entry!$L$368)</f>
        <v/>
      </c>
      <c r="AK365" t="str">
        <f>IF([3]Entry!$M$368="","",[3]Entry!$M$368)</f>
        <v/>
      </c>
      <c r="AL365" t="str">
        <f>IF([3]Entry!$N$368="","",[3]Entry!$N$368)</f>
        <v/>
      </c>
      <c r="AM365" t="str">
        <f>IF([3]Entry!$R$368="","",[3]Entry!$R$368)</f>
        <v/>
      </c>
    </row>
    <row r="366" spans="1:39" x14ac:dyDescent="0.2">
      <c r="A366" t="str">
        <f>IF([1]Accounts!$D$367="","",[1]Accounts!$A$367)</f>
        <v/>
      </c>
      <c r="B366" t="str">
        <f>IF([1]Accounts!$D$367="","",[1]Accounts!$B$367)</f>
        <v/>
      </c>
      <c r="C366" t="str">
        <f>IF([1]Accounts!$D$367="","",[1]Accounts!$C$367)</f>
        <v/>
      </c>
      <c r="D366" t="str">
        <f>IF([1]Accounts!$D$367="","",[1]Accounts!$D$367)</f>
        <v/>
      </c>
      <c r="E366" t="str">
        <f>IF([1]Accounts!$D$367="","",[1]Accounts!$E$367)</f>
        <v/>
      </c>
      <c r="F366" t="str">
        <f>IF([1]Accounts!$D$367="","",[1]Accounts!$F$367)</f>
        <v/>
      </c>
      <c r="G366" t="str">
        <f>IF([1]Accounts!$D$367="","",[1]Accounts!$G$367)</f>
        <v/>
      </c>
      <c r="T366" t="str">
        <f>IF([2]Baskol!$B$369="","",[2]Baskol!$B$369)</f>
        <v/>
      </c>
      <c r="U366" t="str">
        <f>IF([2]Baskol!$C$369="","",[2]Baskol!$C$369)</f>
        <v/>
      </c>
      <c r="V366" t="str">
        <f>IF([2]Baskol!$D$369="","",[2]Baskol!$D$369)</f>
        <v/>
      </c>
      <c r="W366" t="str">
        <f>IF([2]Baskol!$E$369="","",[2]Baskol!$E$369)</f>
        <v/>
      </c>
      <c r="X366" t="str">
        <f>IF([2]Baskol!$G$369="","",[2]Baskol!$G$369)</f>
        <v/>
      </c>
      <c r="Y366" t="str">
        <f>IF([2]Baskol!$I$369="","",[2]Baskol!$I$369)</f>
        <v/>
      </c>
      <c r="Z366" t="str">
        <f>IF([2]Baskol!$J$369="","",[2]Baskol!$J$369)</f>
        <v/>
      </c>
      <c r="AA366" t="str">
        <f>IF([2]Baskol!$K$369="","",[2]Baskol!$K$369)</f>
        <v/>
      </c>
      <c r="AB366" t="str">
        <f>IF([2]Baskol!$L$369="","",[2]Baskol!$L$369)</f>
        <v/>
      </c>
      <c r="AC366" t="str">
        <f>IF([2]Baskol!$N$369="","",[2]Baskol!$N$369)</f>
        <v/>
      </c>
      <c r="AD366" t="str">
        <f>IF([2]Baskol!$O$369="","",[2]Baskol!$O$369)</f>
        <v/>
      </c>
      <c r="AE366" t="str">
        <f>IF([3]Entry!$C$369="","",[3]Entry!$C$369)</f>
        <v/>
      </c>
      <c r="AF366" t="str">
        <f>IF([3]Entry!$D$369="","",[3]Entry!$D$369)</f>
        <v/>
      </c>
      <c r="AG366" t="str">
        <f>IF([3]Entry!$E$369="","",[3]Entry!$E$369)</f>
        <v/>
      </c>
      <c r="AH366" t="str">
        <f>IF([3]Entry!$G$369="","",[3]Entry!$G$369)</f>
        <v/>
      </c>
      <c r="AI366" t="str">
        <f>IF([3]Entry!$K$369="","",[3]Entry!$K$369)</f>
        <v/>
      </c>
      <c r="AJ366" t="str">
        <f>IF([3]Entry!$L$369="","",[3]Entry!$L$369)</f>
        <v/>
      </c>
      <c r="AK366" t="str">
        <f>IF([3]Entry!$M$369="","",[3]Entry!$M$369)</f>
        <v/>
      </c>
      <c r="AL366" t="str">
        <f>IF([3]Entry!$N$369="","",[3]Entry!$N$369)</f>
        <v/>
      </c>
      <c r="AM366" t="str">
        <f>IF([3]Entry!$R$369="","",[3]Entry!$R$369)</f>
        <v/>
      </c>
    </row>
    <row r="367" spans="1:39" x14ac:dyDescent="0.2">
      <c r="A367" t="str">
        <f>IF([1]Accounts!$D$368="","",[1]Accounts!$A$368)</f>
        <v/>
      </c>
      <c r="B367" t="str">
        <f>IF([1]Accounts!$D$368="","",[1]Accounts!$B$368)</f>
        <v/>
      </c>
      <c r="C367" t="str">
        <f>IF([1]Accounts!$D$368="","",[1]Accounts!$C$368)</f>
        <v/>
      </c>
      <c r="D367" t="str">
        <f>IF([1]Accounts!$D$368="","",[1]Accounts!$D$368)</f>
        <v/>
      </c>
      <c r="E367" t="str">
        <f>IF([1]Accounts!$D$368="","",[1]Accounts!$E$368)</f>
        <v/>
      </c>
      <c r="F367" t="str">
        <f>IF([1]Accounts!$D$368="","",[1]Accounts!$F$368)</f>
        <v/>
      </c>
      <c r="G367" t="str">
        <f>IF([1]Accounts!$D$368="","",[1]Accounts!$G$368)</f>
        <v/>
      </c>
      <c r="T367" t="str">
        <f>IF([2]Baskol!$B$370="","",[2]Baskol!$B$370)</f>
        <v/>
      </c>
      <c r="U367" t="str">
        <f>IF([2]Baskol!$C$370="","",[2]Baskol!$C$370)</f>
        <v/>
      </c>
      <c r="V367" t="str">
        <f>IF([2]Baskol!$D$370="","",[2]Baskol!$D$370)</f>
        <v/>
      </c>
      <c r="W367" t="str">
        <f>IF([2]Baskol!$E$370="","",[2]Baskol!$E$370)</f>
        <v/>
      </c>
      <c r="X367" t="str">
        <f>IF([2]Baskol!$G$370="","",[2]Baskol!$G$370)</f>
        <v/>
      </c>
      <c r="Y367" t="str">
        <f>IF([2]Baskol!$I$370="","",[2]Baskol!$I$370)</f>
        <v/>
      </c>
      <c r="Z367" t="str">
        <f>IF([2]Baskol!$J$370="","",[2]Baskol!$J$370)</f>
        <v/>
      </c>
      <c r="AA367" t="str">
        <f>IF([2]Baskol!$K$370="","",[2]Baskol!$K$370)</f>
        <v/>
      </c>
      <c r="AB367" t="str">
        <f>IF([2]Baskol!$L$370="","",[2]Baskol!$L$370)</f>
        <v/>
      </c>
      <c r="AC367" t="str">
        <f>IF([2]Baskol!$N$370="","",[2]Baskol!$N$370)</f>
        <v/>
      </c>
      <c r="AD367" t="str">
        <f>IF([2]Baskol!$O$370="","",[2]Baskol!$O$370)</f>
        <v/>
      </c>
      <c r="AE367" t="str">
        <f>IF([3]Entry!$C$370="","",[3]Entry!$C$370)</f>
        <v/>
      </c>
      <c r="AF367" t="str">
        <f>IF([3]Entry!$D$370="","",[3]Entry!$D$370)</f>
        <v/>
      </c>
      <c r="AG367" t="str">
        <f>IF([3]Entry!$E$370="","",[3]Entry!$E$370)</f>
        <v/>
      </c>
      <c r="AH367" t="str">
        <f>IF([3]Entry!$G$370="","",[3]Entry!$G$370)</f>
        <v/>
      </c>
      <c r="AI367" t="str">
        <f>IF([3]Entry!$K$370="","",[3]Entry!$K$370)</f>
        <v/>
      </c>
      <c r="AJ367" t="str">
        <f>IF([3]Entry!$L$370="","",[3]Entry!$L$370)</f>
        <v/>
      </c>
      <c r="AK367" t="str">
        <f>IF([3]Entry!$M$370="","",[3]Entry!$M$370)</f>
        <v/>
      </c>
      <c r="AL367" t="str">
        <f>IF([3]Entry!$N$370="","",[3]Entry!$N$370)</f>
        <v/>
      </c>
      <c r="AM367" t="str">
        <f>IF([3]Entry!$R$370="","",[3]Entry!$R$370)</f>
        <v/>
      </c>
    </row>
    <row r="368" spans="1:39" x14ac:dyDescent="0.2">
      <c r="A368" t="str">
        <f>IF([1]Accounts!$D$369="","",[1]Accounts!$A$369)</f>
        <v/>
      </c>
      <c r="B368" t="str">
        <f>IF([1]Accounts!$D$369="","",[1]Accounts!$B$369)</f>
        <v/>
      </c>
      <c r="C368" t="str">
        <f>IF([1]Accounts!$D$369="","",[1]Accounts!$C$369)</f>
        <v/>
      </c>
      <c r="D368" t="str">
        <f>IF([1]Accounts!$D$369="","",[1]Accounts!$D$369)</f>
        <v/>
      </c>
      <c r="E368" t="str">
        <f>IF([1]Accounts!$D$369="","",[1]Accounts!$E$369)</f>
        <v/>
      </c>
      <c r="F368" t="str">
        <f>IF([1]Accounts!$D$369="","",[1]Accounts!$F$369)</f>
        <v/>
      </c>
      <c r="G368" t="str">
        <f>IF([1]Accounts!$D$369="","",[1]Accounts!$G$369)</f>
        <v/>
      </c>
      <c r="T368" t="str">
        <f>IF([2]Baskol!$B$371="","",[2]Baskol!$B$371)</f>
        <v/>
      </c>
      <c r="U368" t="str">
        <f>IF([2]Baskol!$C$371="","",[2]Baskol!$C$371)</f>
        <v/>
      </c>
      <c r="V368" t="str">
        <f>IF([2]Baskol!$D$371="","",[2]Baskol!$D$371)</f>
        <v/>
      </c>
      <c r="W368" t="str">
        <f>IF([2]Baskol!$E$371="","",[2]Baskol!$E$371)</f>
        <v/>
      </c>
      <c r="X368" t="str">
        <f>IF([2]Baskol!$G$371="","",[2]Baskol!$G$371)</f>
        <v/>
      </c>
      <c r="Y368" t="str">
        <f>IF([2]Baskol!$I$371="","",[2]Baskol!$I$371)</f>
        <v/>
      </c>
      <c r="Z368" t="str">
        <f>IF([2]Baskol!$J$371="","",[2]Baskol!$J$371)</f>
        <v/>
      </c>
      <c r="AA368" t="str">
        <f>IF([2]Baskol!$K$371="","",[2]Baskol!$K$371)</f>
        <v/>
      </c>
      <c r="AB368" t="str">
        <f>IF([2]Baskol!$L$371="","",[2]Baskol!$L$371)</f>
        <v/>
      </c>
      <c r="AC368" t="str">
        <f>IF([2]Baskol!$N$371="","",[2]Baskol!$N$371)</f>
        <v/>
      </c>
      <c r="AD368" t="str">
        <f>IF([2]Baskol!$O$371="","",[2]Baskol!$O$371)</f>
        <v/>
      </c>
      <c r="AE368" t="str">
        <f>IF([3]Entry!$C$371="","",[3]Entry!$C$371)</f>
        <v/>
      </c>
      <c r="AF368" t="str">
        <f>IF([3]Entry!$D$371="","",[3]Entry!$D$371)</f>
        <v/>
      </c>
      <c r="AG368" t="str">
        <f>IF([3]Entry!$E$371="","",[3]Entry!$E$371)</f>
        <v/>
      </c>
      <c r="AH368" t="str">
        <f>IF([3]Entry!$G$371="","",[3]Entry!$G$371)</f>
        <v/>
      </c>
      <c r="AI368" t="str">
        <f>IF([3]Entry!$K$371="","",[3]Entry!$K$371)</f>
        <v/>
      </c>
      <c r="AJ368" t="str">
        <f>IF([3]Entry!$L$371="","",[3]Entry!$L$371)</f>
        <v/>
      </c>
      <c r="AK368" t="str">
        <f>IF([3]Entry!$M$371="","",[3]Entry!$M$371)</f>
        <v/>
      </c>
      <c r="AL368" t="str">
        <f>IF([3]Entry!$N$371="","",[3]Entry!$N$371)</f>
        <v/>
      </c>
      <c r="AM368" t="str">
        <f>IF([3]Entry!$R$371="","",[3]Entry!$R$371)</f>
        <v/>
      </c>
    </row>
    <row r="369" spans="1:39" x14ac:dyDescent="0.2">
      <c r="A369" t="str">
        <f>IF([1]Accounts!$D$370="","",[1]Accounts!$A$370)</f>
        <v/>
      </c>
      <c r="B369" t="str">
        <f>IF([1]Accounts!$D$370="","",[1]Accounts!$B$370)</f>
        <v/>
      </c>
      <c r="C369" t="str">
        <f>IF([1]Accounts!$D$370="","",[1]Accounts!$C$370)</f>
        <v/>
      </c>
      <c r="D369" t="str">
        <f>IF([1]Accounts!$D$370="","",[1]Accounts!$D$370)</f>
        <v/>
      </c>
      <c r="E369" t="str">
        <f>IF([1]Accounts!$D$370="","",[1]Accounts!$E$370)</f>
        <v/>
      </c>
      <c r="F369" t="str">
        <f>IF([1]Accounts!$D$370="","",[1]Accounts!$F$370)</f>
        <v/>
      </c>
      <c r="G369" t="str">
        <f>IF([1]Accounts!$D$370="","",[1]Accounts!$G$370)</f>
        <v/>
      </c>
      <c r="T369" t="str">
        <f>IF([2]Baskol!$B$372="","",[2]Baskol!$B$372)</f>
        <v/>
      </c>
      <c r="U369" t="str">
        <f>IF([2]Baskol!$C$372="","",[2]Baskol!$C$372)</f>
        <v/>
      </c>
      <c r="V369" t="str">
        <f>IF([2]Baskol!$D$372="","",[2]Baskol!$D$372)</f>
        <v/>
      </c>
      <c r="W369" t="str">
        <f>IF([2]Baskol!$E$372="","",[2]Baskol!$E$372)</f>
        <v/>
      </c>
      <c r="X369" t="str">
        <f>IF([2]Baskol!$G$372="","",[2]Baskol!$G$372)</f>
        <v/>
      </c>
      <c r="Y369" t="str">
        <f>IF([2]Baskol!$I$372="","",[2]Baskol!$I$372)</f>
        <v/>
      </c>
      <c r="Z369" t="str">
        <f>IF([2]Baskol!$J$372="","",[2]Baskol!$J$372)</f>
        <v/>
      </c>
      <c r="AA369" t="str">
        <f>IF([2]Baskol!$K$372="","",[2]Baskol!$K$372)</f>
        <v/>
      </c>
      <c r="AB369" t="str">
        <f>IF([2]Baskol!$L$372="","",[2]Baskol!$L$372)</f>
        <v/>
      </c>
      <c r="AC369" t="str">
        <f>IF([2]Baskol!$N$372="","",[2]Baskol!$N$372)</f>
        <v/>
      </c>
      <c r="AD369" t="str">
        <f>IF([2]Baskol!$O$372="","",[2]Baskol!$O$372)</f>
        <v/>
      </c>
      <c r="AE369" t="str">
        <f>IF([3]Entry!$C$372="","",[3]Entry!$C$372)</f>
        <v/>
      </c>
      <c r="AF369" t="str">
        <f>IF([3]Entry!$D$372="","",[3]Entry!$D$372)</f>
        <v/>
      </c>
      <c r="AG369" t="str">
        <f>IF([3]Entry!$E$372="","",[3]Entry!$E$372)</f>
        <v/>
      </c>
      <c r="AH369" t="str">
        <f>IF([3]Entry!$G$372="","",[3]Entry!$G$372)</f>
        <v/>
      </c>
      <c r="AI369" t="str">
        <f>IF([3]Entry!$K$372="","",[3]Entry!$K$372)</f>
        <v/>
      </c>
      <c r="AJ369" t="str">
        <f>IF([3]Entry!$L$372="","",[3]Entry!$L$372)</f>
        <v/>
      </c>
      <c r="AK369" t="str">
        <f>IF([3]Entry!$M$372="","",[3]Entry!$M$372)</f>
        <v/>
      </c>
      <c r="AL369" t="str">
        <f>IF([3]Entry!$N$372="","",[3]Entry!$N$372)</f>
        <v/>
      </c>
      <c r="AM369" t="str">
        <f>IF([3]Entry!$R$372="","",[3]Entry!$R$372)</f>
        <v/>
      </c>
    </row>
    <row r="370" spans="1:39" x14ac:dyDescent="0.2">
      <c r="A370" t="str">
        <f>IF([1]Accounts!$D$371="","",[1]Accounts!$A$371)</f>
        <v/>
      </c>
      <c r="B370" t="str">
        <f>IF([1]Accounts!$D$371="","",[1]Accounts!$B$371)</f>
        <v/>
      </c>
      <c r="C370" t="str">
        <f>IF([1]Accounts!$D$371="","",[1]Accounts!$C$371)</f>
        <v/>
      </c>
      <c r="D370" t="str">
        <f>IF([1]Accounts!$D$371="","",[1]Accounts!$D$371)</f>
        <v/>
      </c>
      <c r="E370" t="str">
        <f>IF([1]Accounts!$D$371="","",[1]Accounts!$E$371)</f>
        <v/>
      </c>
      <c r="F370" t="str">
        <f>IF([1]Accounts!$D$371="","",[1]Accounts!$F$371)</f>
        <v/>
      </c>
      <c r="G370" t="str">
        <f>IF([1]Accounts!$D$371="","",[1]Accounts!$G$371)</f>
        <v/>
      </c>
      <c r="T370" t="str">
        <f>IF([2]Baskol!$B$373="","",[2]Baskol!$B$373)</f>
        <v/>
      </c>
      <c r="U370" t="str">
        <f>IF([2]Baskol!$C$373="","",[2]Baskol!$C$373)</f>
        <v/>
      </c>
      <c r="V370" t="str">
        <f>IF([2]Baskol!$D$373="","",[2]Baskol!$D$373)</f>
        <v/>
      </c>
      <c r="W370" t="str">
        <f>IF([2]Baskol!$E$373="","",[2]Baskol!$E$373)</f>
        <v/>
      </c>
      <c r="X370" t="str">
        <f>IF([2]Baskol!$G$373="","",[2]Baskol!$G$373)</f>
        <v/>
      </c>
      <c r="Y370" t="str">
        <f>IF([2]Baskol!$I$373="","",[2]Baskol!$I$373)</f>
        <v/>
      </c>
      <c r="Z370" t="str">
        <f>IF([2]Baskol!$J$373="","",[2]Baskol!$J$373)</f>
        <v/>
      </c>
      <c r="AA370" t="str">
        <f>IF([2]Baskol!$K$373="","",[2]Baskol!$K$373)</f>
        <v/>
      </c>
      <c r="AB370" t="str">
        <f>IF([2]Baskol!$L$373="","",[2]Baskol!$L$373)</f>
        <v/>
      </c>
      <c r="AC370" t="str">
        <f>IF([2]Baskol!$N$373="","",[2]Baskol!$N$373)</f>
        <v/>
      </c>
      <c r="AD370" t="str">
        <f>IF([2]Baskol!$O$373="","",[2]Baskol!$O$373)</f>
        <v/>
      </c>
      <c r="AE370" t="str">
        <f>IF([3]Entry!$C$373="","",[3]Entry!$C$373)</f>
        <v/>
      </c>
      <c r="AF370" t="str">
        <f>IF([3]Entry!$D$373="","",[3]Entry!$D$373)</f>
        <v/>
      </c>
      <c r="AG370" t="str">
        <f>IF([3]Entry!$E$373="","",[3]Entry!$E$373)</f>
        <v/>
      </c>
      <c r="AH370" t="str">
        <f>IF([3]Entry!$G$373="","",[3]Entry!$G$373)</f>
        <v/>
      </c>
      <c r="AI370" t="str">
        <f>IF([3]Entry!$K$373="","",[3]Entry!$K$373)</f>
        <v/>
      </c>
      <c r="AJ370" t="str">
        <f>IF([3]Entry!$L$373="","",[3]Entry!$L$373)</f>
        <v/>
      </c>
      <c r="AK370" t="str">
        <f>IF([3]Entry!$M$373="","",[3]Entry!$M$373)</f>
        <v/>
      </c>
      <c r="AL370" t="str">
        <f>IF([3]Entry!$N$373="","",[3]Entry!$N$373)</f>
        <v/>
      </c>
      <c r="AM370" t="str">
        <f>IF([3]Entry!$R$373="","",[3]Entry!$R$373)</f>
        <v/>
      </c>
    </row>
    <row r="371" spans="1:39" x14ac:dyDescent="0.2">
      <c r="A371" t="str">
        <f>IF([1]Accounts!$D$372="","",[1]Accounts!$A$372)</f>
        <v/>
      </c>
      <c r="B371" t="str">
        <f>IF([1]Accounts!$D$372="","",[1]Accounts!$B$372)</f>
        <v/>
      </c>
      <c r="C371" t="str">
        <f>IF([1]Accounts!$D$372="","",[1]Accounts!$C$372)</f>
        <v/>
      </c>
      <c r="D371" t="str">
        <f>IF([1]Accounts!$D$372="","",[1]Accounts!$D$372)</f>
        <v/>
      </c>
      <c r="E371" t="str">
        <f>IF([1]Accounts!$D$372="","",[1]Accounts!$E$372)</f>
        <v/>
      </c>
      <c r="F371" t="str">
        <f>IF([1]Accounts!$D$372="","",[1]Accounts!$F$372)</f>
        <v/>
      </c>
      <c r="G371" t="str">
        <f>IF([1]Accounts!$D$372="","",[1]Accounts!$G$372)</f>
        <v/>
      </c>
      <c r="T371" t="str">
        <f>IF([2]Baskol!$B$374="","",[2]Baskol!$B$374)</f>
        <v/>
      </c>
      <c r="U371" t="str">
        <f>IF([2]Baskol!$C$374="","",[2]Baskol!$C$374)</f>
        <v/>
      </c>
      <c r="V371" t="str">
        <f>IF([2]Baskol!$D$374="","",[2]Baskol!$D$374)</f>
        <v/>
      </c>
      <c r="W371" t="str">
        <f>IF([2]Baskol!$E$374="","",[2]Baskol!$E$374)</f>
        <v/>
      </c>
      <c r="X371" t="str">
        <f>IF([2]Baskol!$G$374="","",[2]Baskol!$G$374)</f>
        <v/>
      </c>
      <c r="Y371" t="str">
        <f>IF([2]Baskol!$I$374="","",[2]Baskol!$I$374)</f>
        <v/>
      </c>
      <c r="Z371" t="str">
        <f>IF([2]Baskol!$J$374="","",[2]Baskol!$J$374)</f>
        <v/>
      </c>
      <c r="AA371" t="str">
        <f>IF([2]Baskol!$K$374="","",[2]Baskol!$K$374)</f>
        <v/>
      </c>
      <c r="AB371" t="str">
        <f>IF([2]Baskol!$L$374="","",[2]Baskol!$L$374)</f>
        <v/>
      </c>
      <c r="AC371" t="str">
        <f>IF([2]Baskol!$N$374="","",[2]Baskol!$N$374)</f>
        <v/>
      </c>
      <c r="AD371" t="str">
        <f>IF([2]Baskol!$O$374="","",[2]Baskol!$O$374)</f>
        <v/>
      </c>
      <c r="AE371" t="str">
        <f>IF([3]Entry!$C$374="","",[3]Entry!$C$374)</f>
        <v/>
      </c>
      <c r="AF371" t="str">
        <f>IF([3]Entry!$D$374="","",[3]Entry!$D$374)</f>
        <v/>
      </c>
      <c r="AG371" t="str">
        <f>IF([3]Entry!$E$374="","",[3]Entry!$E$374)</f>
        <v/>
      </c>
      <c r="AH371" t="str">
        <f>IF([3]Entry!$G$374="","",[3]Entry!$G$374)</f>
        <v/>
      </c>
      <c r="AI371" t="str">
        <f>IF([3]Entry!$K$374="","",[3]Entry!$K$374)</f>
        <v/>
      </c>
      <c r="AJ371" t="str">
        <f>IF([3]Entry!$L$374="","",[3]Entry!$L$374)</f>
        <v/>
      </c>
      <c r="AK371" t="str">
        <f>IF([3]Entry!$M$374="","",[3]Entry!$M$374)</f>
        <v/>
      </c>
      <c r="AL371" t="str">
        <f>IF([3]Entry!$N$374="","",[3]Entry!$N$374)</f>
        <v/>
      </c>
      <c r="AM371" t="str">
        <f>IF([3]Entry!$R$374="","",[3]Entry!$R$374)</f>
        <v/>
      </c>
    </row>
    <row r="372" spans="1:39" x14ac:dyDescent="0.2">
      <c r="A372" t="str">
        <f>IF([1]Accounts!$D$373="","",[1]Accounts!$A$373)</f>
        <v/>
      </c>
      <c r="B372" t="str">
        <f>IF([1]Accounts!$D$373="","",[1]Accounts!$B$373)</f>
        <v/>
      </c>
      <c r="C372" t="str">
        <f>IF([1]Accounts!$D$373="","",[1]Accounts!$C$373)</f>
        <v/>
      </c>
      <c r="D372" t="str">
        <f>IF([1]Accounts!$D$373="","",[1]Accounts!$D$373)</f>
        <v/>
      </c>
      <c r="E372" t="str">
        <f>IF([1]Accounts!$D$373="","",[1]Accounts!$E$373)</f>
        <v/>
      </c>
      <c r="F372" t="str">
        <f>IF([1]Accounts!$D$373="","",[1]Accounts!$F$373)</f>
        <v/>
      </c>
      <c r="G372" t="str">
        <f>IF([1]Accounts!$D$373="","",[1]Accounts!$G$373)</f>
        <v/>
      </c>
      <c r="T372" t="str">
        <f>IF([2]Baskol!$B$375="","",[2]Baskol!$B$375)</f>
        <v/>
      </c>
      <c r="U372" t="str">
        <f>IF([2]Baskol!$C$375="","",[2]Baskol!$C$375)</f>
        <v/>
      </c>
      <c r="V372" t="str">
        <f>IF([2]Baskol!$D$375="","",[2]Baskol!$D$375)</f>
        <v/>
      </c>
      <c r="W372" t="str">
        <f>IF([2]Baskol!$E$375="","",[2]Baskol!$E$375)</f>
        <v/>
      </c>
      <c r="X372" t="str">
        <f>IF([2]Baskol!$G$375="","",[2]Baskol!$G$375)</f>
        <v/>
      </c>
      <c r="Y372" t="str">
        <f>IF([2]Baskol!$I$375="","",[2]Baskol!$I$375)</f>
        <v/>
      </c>
      <c r="Z372" t="str">
        <f>IF([2]Baskol!$J$375="","",[2]Baskol!$J$375)</f>
        <v/>
      </c>
      <c r="AA372" t="str">
        <f>IF([2]Baskol!$K$375="","",[2]Baskol!$K$375)</f>
        <v/>
      </c>
      <c r="AB372" t="str">
        <f>IF([2]Baskol!$L$375="","",[2]Baskol!$L$375)</f>
        <v/>
      </c>
      <c r="AC372" t="str">
        <f>IF([2]Baskol!$N$375="","",[2]Baskol!$N$375)</f>
        <v/>
      </c>
      <c r="AD372" t="str">
        <f>IF([2]Baskol!$O$375="","",[2]Baskol!$O$375)</f>
        <v/>
      </c>
      <c r="AE372" t="str">
        <f>IF([3]Entry!$C$375="","",[3]Entry!$C$375)</f>
        <v/>
      </c>
      <c r="AF372" t="str">
        <f>IF([3]Entry!$D$375="","",[3]Entry!$D$375)</f>
        <v/>
      </c>
      <c r="AG372" t="str">
        <f>IF([3]Entry!$E$375="","",[3]Entry!$E$375)</f>
        <v/>
      </c>
      <c r="AH372" t="str">
        <f>IF([3]Entry!$G$375="","",[3]Entry!$G$375)</f>
        <v/>
      </c>
      <c r="AI372" t="str">
        <f>IF([3]Entry!$K$375="","",[3]Entry!$K$375)</f>
        <v/>
      </c>
      <c r="AJ372" t="str">
        <f>IF([3]Entry!$L$375="","",[3]Entry!$L$375)</f>
        <v/>
      </c>
      <c r="AK372" t="str">
        <f>IF([3]Entry!$M$375="","",[3]Entry!$M$375)</f>
        <v/>
      </c>
      <c r="AL372" t="str">
        <f>IF([3]Entry!$N$375="","",[3]Entry!$N$375)</f>
        <v/>
      </c>
      <c r="AM372" t="str">
        <f>IF([3]Entry!$R$375="","",[3]Entry!$R$375)</f>
        <v/>
      </c>
    </row>
    <row r="373" spans="1:39" x14ac:dyDescent="0.2">
      <c r="A373" t="str">
        <f>IF([1]Accounts!$D$374="","",[1]Accounts!$A$374)</f>
        <v/>
      </c>
      <c r="B373" t="str">
        <f>IF([1]Accounts!$D$374="","",[1]Accounts!$B$374)</f>
        <v/>
      </c>
      <c r="C373" t="str">
        <f>IF([1]Accounts!$D$374="","",[1]Accounts!$C$374)</f>
        <v/>
      </c>
      <c r="D373" t="str">
        <f>IF([1]Accounts!$D$374="","",[1]Accounts!$D$374)</f>
        <v/>
      </c>
      <c r="E373" t="str">
        <f>IF([1]Accounts!$D$374="","",[1]Accounts!$E$374)</f>
        <v/>
      </c>
      <c r="F373" t="str">
        <f>IF([1]Accounts!$D$374="","",[1]Accounts!$F$374)</f>
        <v/>
      </c>
      <c r="G373" t="str">
        <f>IF([1]Accounts!$D$374="","",[1]Accounts!$G$374)</f>
        <v/>
      </c>
      <c r="T373" t="str">
        <f>IF([2]Baskol!$B$376="","",[2]Baskol!$B$376)</f>
        <v/>
      </c>
      <c r="U373" t="str">
        <f>IF([2]Baskol!$C$376="","",[2]Baskol!$C$376)</f>
        <v/>
      </c>
      <c r="V373" t="str">
        <f>IF([2]Baskol!$D$376="","",[2]Baskol!$D$376)</f>
        <v/>
      </c>
      <c r="W373" t="str">
        <f>IF([2]Baskol!$E$376="","",[2]Baskol!$E$376)</f>
        <v/>
      </c>
      <c r="X373" t="str">
        <f>IF([2]Baskol!$G$376="","",[2]Baskol!$G$376)</f>
        <v/>
      </c>
      <c r="Y373" t="str">
        <f>IF([2]Baskol!$I$376="","",[2]Baskol!$I$376)</f>
        <v/>
      </c>
      <c r="Z373" t="str">
        <f>IF([2]Baskol!$J$376="","",[2]Baskol!$J$376)</f>
        <v/>
      </c>
      <c r="AA373" t="str">
        <f>IF([2]Baskol!$K$376="","",[2]Baskol!$K$376)</f>
        <v/>
      </c>
      <c r="AB373" t="str">
        <f>IF([2]Baskol!$L$376="","",[2]Baskol!$L$376)</f>
        <v/>
      </c>
      <c r="AC373" t="str">
        <f>IF([2]Baskol!$N$376="","",[2]Baskol!$N$376)</f>
        <v/>
      </c>
      <c r="AD373" t="str">
        <f>IF([2]Baskol!$O$376="","",[2]Baskol!$O$376)</f>
        <v/>
      </c>
      <c r="AE373" t="str">
        <f>IF([3]Entry!$C$376="","",[3]Entry!$C$376)</f>
        <v/>
      </c>
      <c r="AF373" t="str">
        <f>IF([3]Entry!$D$376="","",[3]Entry!$D$376)</f>
        <v/>
      </c>
      <c r="AG373" t="str">
        <f>IF([3]Entry!$E$376="","",[3]Entry!$E$376)</f>
        <v/>
      </c>
      <c r="AH373" t="str">
        <f>IF([3]Entry!$G$376="","",[3]Entry!$G$376)</f>
        <v/>
      </c>
      <c r="AI373" t="str">
        <f>IF([3]Entry!$K$376="","",[3]Entry!$K$376)</f>
        <v/>
      </c>
      <c r="AJ373" t="str">
        <f>IF([3]Entry!$L$376="","",[3]Entry!$L$376)</f>
        <v/>
      </c>
      <c r="AK373" t="str">
        <f>IF([3]Entry!$M$376="","",[3]Entry!$M$376)</f>
        <v/>
      </c>
      <c r="AL373" t="str">
        <f>IF([3]Entry!$N$376="","",[3]Entry!$N$376)</f>
        <v/>
      </c>
      <c r="AM373" t="str">
        <f>IF([3]Entry!$R$376="","",[3]Entry!$R$376)</f>
        <v/>
      </c>
    </row>
    <row r="374" spans="1:39" x14ac:dyDescent="0.2">
      <c r="A374" t="str">
        <f>IF([1]Accounts!$D$375="","",[1]Accounts!$A$375)</f>
        <v/>
      </c>
      <c r="B374" t="str">
        <f>IF([1]Accounts!$D$375="","",[1]Accounts!$B$375)</f>
        <v/>
      </c>
      <c r="C374" t="str">
        <f>IF([1]Accounts!$D$375="","",[1]Accounts!$C$375)</f>
        <v/>
      </c>
      <c r="D374" t="str">
        <f>IF([1]Accounts!$D$375="","",[1]Accounts!$D$375)</f>
        <v/>
      </c>
      <c r="E374" t="str">
        <f>IF([1]Accounts!$D$375="","",[1]Accounts!$E$375)</f>
        <v/>
      </c>
      <c r="F374" t="str">
        <f>IF([1]Accounts!$D$375="","",[1]Accounts!$F$375)</f>
        <v/>
      </c>
      <c r="G374" t="str">
        <f>IF([1]Accounts!$D$375="","",[1]Accounts!$G$375)</f>
        <v/>
      </c>
      <c r="T374" t="str">
        <f>IF([2]Baskol!$B$377="","",[2]Baskol!$B$377)</f>
        <v/>
      </c>
      <c r="U374" t="str">
        <f>IF([2]Baskol!$C$377="","",[2]Baskol!$C$377)</f>
        <v/>
      </c>
      <c r="V374" t="str">
        <f>IF([2]Baskol!$D$377="","",[2]Baskol!$D$377)</f>
        <v/>
      </c>
      <c r="W374" t="str">
        <f>IF([2]Baskol!$E$377="","",[2]Baskol!$E$377)</f>
        <v/>
      </c>
      <c r="X374" t="str">
        <f>IF([2]Baskol!$G$377="","",[2]Baskol!$G$377)</f>
        <v/>
      </c>
      <c r="Y374" t="str">
        <f>IF([2]Baskol!$I$377="","",[2]Baskol!$I$377)</f>
        <v/>
      </c>
      <c r="Z374" t="str">
        <f>IF([2]Baskol!$J$377="","",[2]Baskol!$J$377)</f>
        <v/>
      </c>
      <c r="AA374" t="str">
        <f>IF([2]Baskol!$K$377="","",[2]Baskol!$K$377)</f>
        <v/>
      </c>
      <c r="AB374" t="str">
        <f>IF([2]Baskol!$L$377="","",[2]Baskol!$L$377)</f>
        <v/>
      </c>
      <c r="AC374" t="str">
        <f>IF([2]Baskol!$N$377="","",[2]Baskol!$N$377)</f>
        <v/>
      </c>
      <c r="AD374" t="str">
        <f>IF([2]Baskol!$O$377="","",[2]Baskol!$O$377)</f>
        <v/>
      </c>
      <c r="AE374" t="str">
        <f>IF([3]Entry!$C$377="","",[3]Entry!$C$377)</f>
        <v/>
      </c>
      <c r="AF374" t="str">
        <f>IF([3]Entry!$D$377="","",[3]Entry!$D$377)</f>
        <v/>
      </c>
      <c r="AG374" t="str">
        <f>IF([3]Entry!$E$377="","",[3]Entry!$E$377)</f>
        <v/>
      </c>
      <c r="AH374" t="str">
        <f>IF([3]Entry!$G$377="","",[3]Entry!$G$377)</f>
        <v/>
      </c>
      <c r="AI374" t="str">
        <f>IF([3]Entry!$K$377="","",[3]Entry!$K$377)</f>
        <v/>
      </c>
      <c r="AJ374" t="str">
        <f>IF([3]Entry!$L$377="","",[3]Entry!$L$377)</f>
        <v/>
      </c>
      <c r="AK374" t="str">
        <f>IF([3]Entry!$M$377="","",[3]Entry!$M$377)</f>
        <v/>
      </c>
      <c r="AL374" t="str">
        <f>IF([3]Entry!$N$377="","",[3]Entry!$N$377)</f>
        <v/>
      </c>
      <c r="AM374" t="str">
        <f>IF([3]Entry!$R$377="","",[3]Entry!$R$377)</f>
        <v/>
      </c>
    </row>
    <row r="375" spans="1:39" x14ac:dyDescent="0.2">
      <c r="A375" t="str">
        <f>IF([1]Accounts!$D$376="","",[1]Accounts!$A$376)</f>
        <v/>
      </c>
      <c r="B375" t="str">
        <f>IF([1]Accounts!$D$376="","",[1]Accounts!$B$376)</f>
        <v/>
      </c>
      <c r="C375" t="str">
        <f>IF([1]Accounts!$D$376="","",[1]Accounts!$C$376)</f>
        <v/>
      </c>
      <c r="D375" t="str">
        <f>IF([1]Accounts!$D$376="","",[1]Accounts!$D$376)</f>
        <v/>
      </c>
      <c r="E375" t="str">
        <f>IF([1]Accounts!$D$376="","",[1]Accounts!$E$376)</f>
        <v/>
      </c>
      <c r="F375" t="str">
        <f>IF([1]Accounts!$D$376="","",[1]Accounts!$F$376)</f>
        <v/>
      </c>
      <c r="G375" t="str">
        <f>IF([1]Accounts!$D$376="","",[1]Accounts!$G$376)</f>
        <v/>
      </c>
      <c r="T375" t="str">
        <f>IF([2]Baskol!$B$378="","",[2]Baskol!$B$378)</f>
        <v/>
      </c>
      <c r="U375" t="str">
        <f>IF([2]Baskol!$C$378="","",[2]Baskol!$C$378)</f>
        <v/>
      </c>
      <c r="V375" t="str">
        <f>IF([2]Baskol!$D$378="","",[2]Baskol!$D$378)</f>
        <v/>
      </c>
      <c r="W375" t="str">
        <f>IF([2]Baskol!$E$378="","",[2]Baskol!$E$378)</f>
        <v/>
      </c>
      <c r="X375" t="str">
        <f>IF([2]Baskol!$G$378="","",[2]Baskol!$G$378)</f>
        <v/>
      </c>
      <c r="Y375" t="str">
        <f>IF([2]Baskol!$I$378="","",[2]Baskol!$I$378)</f>
        <v/>
      </c>
      <c r="Z375" t="str">
        <f>IF([2]Baskol!$J$378="","",[2]Baskol!$J$378)</f>
        <v/>
      </c>
      <c r="AA375" t="str">
        <f>IF([2]Baskol!$K$378="","",[2]Baskol!$K$378)</f>
        <v/>
      </c>
      <c r="AB375" t="str">
        <f>IF([2]Baskol!$L$378="","",[2]Baskol!$L$378)</f>
        <v/>
      </c>
      <c r="AC375" t="str">
        <f>IF([2]Baskol!$N$378="","",[2]Baskol!$N$378)</f>
        <v/>
      </c>
      <c r="AD375" t="str">
        <f>IF([2]Baskol!$O$378="","",[2]Baskol!$O$378)</f>
        <v/>
      </c>
      <c r="AE375" t="str">
        <f>IF([3]Entry!$C$378="","",[3]Entry!$C$378)</f>
        <v/>
      </c>
      <c r="AF375" t="str">
        <f>IF([3]Entry!$D$378="","",[3]Entry!$D$378)</f>
        <v/>
      </c>
      <c r="AG375" t="str">
        <f>IF([3]Entry!$E$378="","",[3]Entry!$E$378)</f>
        <v/>
      </c>
      <c r="AH375" t="str">
        <f>IF([3]Entry!$G$378="","",[3]Entry!$G$378)</f>
        <v/>
      </c>
      <c r="AI375" t="str">
        <f>IF([3]Entry!$K$378="","",[3]Entry!$K$378)</f>
        <v/>
      </c>
      <c r="AJ375" t="str">
        <f>IF([3]Entry!$L$378="","",[3]Entry!$L$378)</f>
        <v/>
      </c>
      <c r="AK375" t="str">
        <f>IF([3]Entry!$M$378="","",[3]Entry!$M$378)</f>
        <v/>
      </c>
      <c r="AL375" t="str">
        <f>IF([3]Entry!$N$378="","",[3]Entry!$N$378)</f>
        <v/>
      </c>
      <c r="AM375" t="str">
        <f>IF([3]Entry!$R$378="","",[3]Entry!$R$378)</f>
        <v/>
      </c>
    </row>
    <row r="376" spans="1:39" x14ac:dyDescent="0.2">
      <c r="A376" t="str">
        <f>IF([1]Accounts!$D$377="","",[1]Accounts!$A$377)</f>
        <v/>
      </c>
      <c r="B376" t="str">
        <f>IF([1]Accounts!$D$377="","",[1]Accounts!$B$377)</f>
        <v/>
      </c>
      <c r="C376" t="str">
        <f>IF([1]Accounts!$D$377="","",[1]Accounts!$C$377)</f>
        <v/>
      </c>
      <c r="D376" t="str">
        <f>IF([1]Accounts!$D$377="","",[1]Accounts!$D$377)</f>
        <v/>
      </c>
      <c r="E376" t="str">
        <f>IF([1]Accounts!$D$377="","",[1]Accounts!$E$377)</f>
        <v/>
      </c>
      <c r="F376" t="str">
        <f>IF([1]Accounts!$D$377="","",[1]Accounts!$F$377)</f>
        <v/>
      </c>
      <c r="G376" t="str">
        <f>IF([1]Accounts!$D$377="","",[1]Accounts!$G$377)</f>
        <v/>
      </c>
      <c r="T376" t="str">
        <f>IF([2]Baskol!$B$379="","",[2]Baskol!$B$379)</f>
        <v/>
      </c>
      <c r="U376" t="str">
        <f>IF([2]Baskol!$C$379="","",[2]Baskol!$C$379)</f>
        <v/>
      </c>
      <c r="V376" t="str">
        <f>IF([2]Baskol!$D$379="","",[2]Baskol!$D$379)</f>
        <v/>
      </c>
      <c r="W376" t="str">
        <f>IF([2]Baskol!$E$379="","",[2]Baskol!$E$379)</f>
        <v/>
      </c>
      <c r="X376" t="str">
        <f>IF([2]Baskol!$G$379="","",[2]Baskol!$G$379)</f>
        <v/>
      </c>
      <c r="Y376" t="str">
        <f>IF([2]Baskol!$I$379="","",[2]Baskol!$I$379)</f>
        <v/>
      </c>
      <c r="Z376" t="str">
        <f>IF([2]Baskol!$J$379="","",[2]Baskol!$J$379)</f>
        <v/>
      </c>
      <c r="AA376" t="str">
        <f>IF([2]Baskol!$K$379="","",[2]Baskol!$K$379)</f>
        <v/>
      </c>
      <c r="AB376" t="str">
        <f>IF([2]Baskol!$L$379="","",[2]Baskol!$L$379)</f>
        <v/>
      </c>
      <c r="AC376" t="str">
        <f>IF([2]Baskol!$N$379="","",[2]Baskol!$N$379)</f>
        <v/>
      </c>
      <c r="AD376" t="str">
        <f>IF([2]Baskol!$O$379="","",[2]Baskol!$O$379)</f>
        <v/>
      </c>
      <c r="AE376" t="str">
        <f>IF([3]Entry!$C$379="","",[3]Entry!$C$379)</f>
        <v/>
      </c>
      <c r="AF376" t="str">
        <f>IF([3]Entry!$D$379="","",[3]Entry!$D$379)</f>
        <v/>
      </c>
      <c r="AG376" t="str">
        <f>IF([3]Entry!$E$379="","",[3]Entry!$E$379)</f>
        <v/>
      </c>
      <c r="AH376" t="str">
        <f>IF([3]Entry!$G$379="","",[3]Entry!$G$379)</f>
        <v/>
      </c>
      <c r="AI376" t="str">
        <f>IF([3]Entry!$K$379="","",[3]Entry!$K$379)</f>
        <v/>
      </c>
      <c r="AJ376" t="str">
        <f>IF([3]Entry!$L$379="","",[3]Entry!$L$379)</f>
        <v/>
      </c>
      <c r="AK376" t="str">
        <f>IF([3]Entry!$M$379="","",[3]Entry!$M$379)</f>
        <v/>
      </c>
      <c r="AL376" t="str">
        <f>IF([3]Entry!$N$379="","",[3]Entry!$N$379)</f>
        <v/>
      </c>
      <c r="AM376" t="str">
        <f>IF([3]Entry!$R$379="","",[3]Entry!$R$379)</f>
        <v/>
      </c>
    </row>
    <row r="377" spans="1:39" x14ac:dyDescent="0.2">
      <c r="A377" t="str">
        <f>IF([1]Accounts!$D$378="","",[1]Accounts!$A$378)</f>
        <v/>
      </c>
      <c r="B377" t="str">
        <f>IF([1]Accounts!$D$378="","",[1]Accounts!$B$378)</f>
        <v/>
      </c>
      <c r="C377" t="str">
        <f>IF([1]Accounts!$D$378="","",[1]Accounts!$C$378)</f>
        <v/>
      </c>
      <c r="D377" t="str">
        <f>IF([1]Accounts!$D$378="","",[1]Accounts!$D$378)</f>
        <v/>
      </c>
      <c r="E377" t="str">
        <f>IF([1]Accounts!$D$378="","",[1]Accounts!$E$378)</f>
        <v/>
      </c>
      <c r="F377" t="str">
        <f>IF([1]Accounts!$D$378="","",[1]Accounts!$F$378)</f>
        <v/>
      </c>
      <c r="G377" t="str">
        <f>IF([1]Accounts!$D$378="","",[1]Accounts!$G$378)</f>
        <v/>
      </c>
      <c r="T377" t="str">
        <f>IF([2]Baskol!$B$380="","",[2]Baskol!$B$380)</f>
        <v/>
      </c>
      <c r="U377" t="str">
        <f>IF([2]Baskol!$C$380="","",[2]Baskol!$C$380)</f>
        <v/>
      </c>
      <c r="V377" t="str">
        <f>IF([2]Baskol!$D$380="","",[2]Baskol!$D$380)</f>
        <v/>
      </c>
      <c r="W377" t="str">
        <f>IF([2]Baskol!$E$380="","",[2]Baskol!$E$380)</f>
        <v/>
      </c>
      <c r="X377" t="str">
        <f>IF([2]Baskol!$G$380="","",[2]Baskol!$G$380)</f>
        <v/>
      </c>
      <c r="Y377" t="str">
        <f>IF([2]Baskol!$I$380="","",[2]Baskol!$I$380)</f>
        <v/>
      </c>
      <c r="Z377" t="str">
        <f>IF([2]Baskol!$J$380="","",[2]Baskol!$J$380)</f>
        <v/>
      </c>
      <c r="AA377" t="str">
        <f>IF([2]Baskol!$K$380="","",[2]Baskol!$K$380)</f>
        <v/>
      </c>
      <c r="AB377" t="str">
        <f>IF([2]Baskol!$L$380="","",[2]Baskol!$L$380)</f>
        <v/>
      </c>
      <c r="AC377" t="str">
        <f>IF([2]Baskol!$N$380="","",[2]Baskol!$N$380)</f>
        <v/>
      </c>
      <c r="AD377" t="str">
        <f>IF([2]Baskol!$O$380="","",[2]Baskol!$O$380)</f>
        <v/>
      </c>
      <c r="AE377" t="str">
        <f>IF([3]Entry!$C$380="","",[3]Entry!$C$380)</f>
        <v/>
      </c>
      <c r="AF377" t="str">
        <f>IF([3]Entry!$D$380="","",[3]Entry!$D$380)</f>
        <v/>
      </c>
      <c r="AG377" t="str">
        <f>IF([3]Entry!$E$380="","",[3]Entry!$E$380)</f>
        <v/>
      </c>
      <c r="AH377" t="str">
        <f>IF([3]Entry!$G$380="","",[3]Entry!$G$380)</f>
        <v/>
      </c>
      <c r="AI377" t="str">
        <f>IF([3]Entry!$K$380="","",[3]Entry!$K$380)</f>
        <v/>
      </c>
      <c r="AJ377" t="str">
        <f>IF([3]Entry!$L$380="","",[3]Entry!$L$380)</f>
        <v/>
      </c>
      <c r="AK377" t="str">
        <f>IF([3]Entry!$M$380="","",[3]Entry!$M$380)</f>
        <v/>
      </c>
      <c r="AL377" t="str">
        <f>IF([3]Entry!$N$380="","",[3]Entry!$N$380)</f>
        <v/>
      </c>
      <c r="AM377" t="str">
        <f>IF([3]Entry!$R$380="","",[3]Entry!$R$380)</f>
        <v/>
      </c>
    </row>
    <row r="378" spans="1:39" x14ac:dyDescent="0.2">
      <c r="A378" t="str">
        <f>IF([1]Accounts!$D$379="","",[1]Accounts!$A$379)</f>
        <v/>
      </c>
      <c r="B378" t="str">
        <f>IF([1]Accounts!$D$379="","",[1]Accounts!$B$379)</f>
        <v/>
      </c>
      <c r="C378" t="str">
        <f>IF([1]Accounts!$D$379="","",[1]Accounts!$C$379)</f>
        <v/>
      </c>
      <c r="D378" t="str">
        <f>IF([1]Accounts!$D$379="","",[1]Accounts!$D$379)</f>
        <v/>
      </c>
      <c r="E378" t="str">
        <f>IF([1]Accounts!$D$379="","",[1]Accounts!$E$379)</f>
        <v/>
      </c>
      <c r="F378" t="str">
        <f>IF([1]Accounts!$D$379="","",[1]Accounts!$F$379)</f>
        <v/>
      </c>
      <c r="G378" t="str">
        <f>IF([1]Accounts!$D$379="","",[1]Accounts!$G$379)</f>
        <v/>
      </c>
      <c r="T378" t="str">
        <f>IF([2]Baskol!$B$381="","",[2]Baskol!$B$381)</f>
        <v/>
      </c>
      <c r="U378" t="str">
        <f>IF([2]Baskol!$C$381="","",[2]Baskol!$C$381)</f>
        <v/>
      </c>
      <c r="V378" t="str">
        <f>IF([2]Baskol!$D$381="","",[2]Baskol!$D$381)</f>
        <v/>
      </c>
      <c r="W378" t="str">
        <f>IF([2]Baskol!$E$381="","",[2]Baskol!$E$381)</f>
        <v/>
      </c>
      <c r="X378" t="str">
        <f>IF([2]Baskol!$G$381="","",[2]Baskol!$G$381)</f>
        <v/>
      </c>
      <c r="Y378" t="str">
        <f>IF([2]Baskol!$I$381="","",[2]Baskol!$I$381)</f>
        <v/>
      </c>
      <c r="Z378" t="str">
        <f>IF([2]Baskol!$J$381="","",[2]Baskol!$J$381)</f>
        <v/>
      </c>
      <c r="AA378" t="str">
        <f>IF([2]Baskol!$K$381="","",[2]Baskol!$K$381)</f>
        <v/>
      </c>
      <c r="AB378" t="str">
        <f>IF([2]Baskol!$L$381="","",[2]Baskol!$L$381)</f>
        <v/>
      </c>
      <c r="AC378" t="str">
        <f>IF([2]Baskol!$N$381="","",[2]Baskol!$N$381)</f>
        <v/>
      </c>
      <c r="AD378" t="str">
        <f>IF([2]Baskol!$O$381="","",[2]Baskol!$O$381)</f>
        <v/>
      </c>
      <c r="AE378" t="str">
        <f>IF([3]Entry!$C$381="","",[3]Entry!$C$381)</f>
        <v/>
      </c>
      <c r="AF378" t="str">
        <f>IF([3]Entry!$D$381="","",[3]Entry!$D$381)</f>
        <v/>
      </c>
      <c r="AG378" t="str">
        <f>IF([3]Entry!$E$381="","",[3]Entry!$E$381)</f>
        <v/>
      </c>
      <c r="AH378" t="str">
        <f>IF([3]Entry!$G$381="","",[3]Entry!$G$381)</f>
        <v/>
      </c>
      <c r="AI378" t="str">
        <f>IF([3]Entry!$K$381="","",[3]Entry!$K$381)</f>
        <v/>
      </c>
      <c r="AJ378" t="str">
        <f>IF([3]Entry!$L$381="","",[3]Entry!$L$381)</f>
        <v/>
      </c>
      <c r="AK378" t="str">
        <f>IF([3]Entry!$M$381="","",[3]Entry!$M$381)</f>
        <v/>
      </c>
      <c r="AL378" t="str">
        <f>IF([3]Entry!$N$381="","",[3]Entry!$N$381)</f>
        <v/>
      </c>
      <c r="AM378" t="str">
        <f>IF([3]Entry!$R$381="","",[3]Entry!$R$381)</f>
        <v/>
      </c>
    </row>
    <row r="379" spans="1:39" x14ac:dyDescent="0.2">
      <c r="A379" t="str">
        <f>IF([1]Accounts!$D$380="","",[1]Accounts!$A$380)</f>
        <v/>
      </c>
      <c r="B379" t="str">
        <f>IF([1]Accounts!$D$380="","",[1]Accounts!$B$380)</f>
        <v/>
      </c>
      <c r="C379" t="str">
        <f>IF([1]Accounts!$D$380="","",[1]Accounts!$C$380)</f>
        <v/>
      </c>
      <c r="D379" t="str">
        <f>IF([1]Accounts!$D$380="","",[1]Accounts!$D$380)</f>
        <v/>
      </c>
      <c r="E379" t="str">
        <f>IF([1]Accounts!$D$380="","",[1]Accounts!$E$380)</f>
        <v/>
      </c>
      <c r="F379" t="str">
        <f>IF([1]Accounts!$D$380="","",[1]Accounts!$F$380)</f>
        <v/>
      </c>
      <c r="G379" t="str">
        <f>IF([1]Accounts!$D$380="","",[1]Accounts!$G$380)</f>
        <v/>
      </c>
      <c r="T379" t="str">
        <f>IF([2]Baskol!$B$382="","",[2]Baskol!$B$382)</f>
        <v/>
      </c>
      <c r="U379" t="str">
        <f>IF([2]Baskol!$C$382="","",[2]Baskol!$C$382)</f>
        <v/>
      </c>
      <c r="V379" t="str">
        <f>IF([2]Baskol!$D$382="","",[2]Baskol!$D$382)</f>
        <v/>
      </c>
      <c r="W379" t="str">
        <f>IF([2]Baskol!$E$382="","",[2]Baskol!$E$382)</f>
        <v/>
      </c>
      <c r="X379" t="str">
        <f>IF([2]Baskol!$G$382="","",[2]Baskol!$G$382)</f>
        <v/>
      </c>
      <c r="Y379" t="str">
        <f>IF([2]Baskol!$I$382="","",[2]Baskol!$I$382)</f>
        <v/>
      </c>
      <c r="Z379" t="str">
        <f>IF([2]Baskol!$J$382="","",[2]Baskol!$J$382)</f>
        <v/>
      </c>
      <c r="AA379" t="str">
        <f>IF([2]Baskol!$K$382="","",[2]Baskol!$K$382)</f>
        <v/>
      </c>
      <c r="AB379" t="str">
        <f>IF([2]Baskol!$L$382="","",[2]Baskol!$L$382)</f>
        <v/>
      </c>
      <c r="AC379" t="str">
        <f>IF([2]Baskol!$N$382="","",[2]Baskol!$N$382)</f>
        <v/>
      </c>
      <c r="AD379" t="str">
        <f>IF([2]Baskol!$O$382="","",[2]Baskol!$O$382)</f>
        <v/>
      </c>
      <c r="AE379" t="str">
        <f>IF([3]Entry!$C$382="","",[3]Entry!$C$382)</f>
        <v/>
      </c>
      <c r="AF379" t="str">
        <f>IF([3]Entry!$D$382="","",[3]Entry!$D$382)</f>
        <v/>
      </c>
      <c r="AG379" t="str">
        <f>IF([3]Entry!$E$382="","",[3]Entry!$E$382)</f>
        <v/>
      </c>
      <c r="AH379" t="str">
        <f>IF([3]Entry!$G$382="","",[3]Entry!$G$382)</f>
        <v/>
      </c>
      <c r="AI379" t="str">
        <f>IF([3]Entry!$K$382="","",[3]Entry!$K$382)</f>
        <v/>
      </c>
      <c r="AJ379" t="str">
        <f>IF([3]Entry!$L$382="","",[3]Entry!$L$382)</f>
        <v/>
      </c>
      <c r="AK379" t="str">
        <f>IF([3]Entry!$M$382="","",[3]Entry!$M$382)</f>
        <v/>
      </c>
      <c r="AL379" t="str">
        <f>IF([3]Entry!$N$382="","",[3]Entry!$N$382)</f>
        <v/>
      </c>
      <c r="AM379" t="str">
        <f>IF([3]Entry!$R$382="","",[3]Entry!$R$382)</f>
        <v/>
      </c>
    </row>
    <row r="380" spans="1:39" x14ac:dyDescent="0.2">
      <c r="A380" t="str">
        <f>IF([1]Accounts!$D$381="","",[1]Accounts!$A$381)</f>
        <v/>
      </c>
      <c r="B380" t="str">
        <f>IF([1]Accounts!$D$381="","",[1]Accounts!$B$381)</f>
        <v/>
      </c>
      <c r="C380" t="str">
        <f>IF([1]Accounts!$D$381="","",[1]Accounts!$C$381)</f>
        <v/>
      </c>
      <c r="D380" t="str">
        <f>IF([1]Accounts!$D$381="","",[1]Accounts!$D$381)</f>
        <v/>
      </c>
      <c r="E380" t="str">
        <f>IF([1]Accounts!$D$381="","",[1]Accounts!$E$381)</f>
        <v/>
      </c>
      <c r="F380" t="str">
        <f>IF([1]Accounts!$D$381="","",[1]Accounts!$F$381)</f>
        <v/>
      </c>
      <c r="G380" t="str">
        <f>IF([1]Accounts!$D$381="","",[1]Accounts!$G$381)</f>
        <v/>
      </c>
      <c r="T380" t="str">
        <f>IF([2]Baskol!$B$383="","",[2]Baskol!$B$383)</f>
        <v/>
      </c>
      <c r="U380" t="str">
        <f>IF([2]Baskol!$C$383="","",[2]Baskol!$C$383)</f>
        <v/>
      </c>
      <c r="V380" t="str">
        <f>IF([2]Baskol!$D$383="","",[2]Baskol!$D$383)</f>
        <v/>
      </c>
      <c r="W380" t="str">
        <f>IF([2]Baskol!$E$383="","",[2]Baskol!$E$383)</f>
        <v/>
      </c>
      <c r="X380" t="str">
        <f>IF([2]Baskol!$G$383="","",[2]Baskol!$G$383)</f>
        <v/>
      </c>
      <c r="Y380" t="str">
        <f>IF([2]Baskol!$I$383="","",[2]Baskol!$I$383)</f>
        <v/>
      </c>
      <c r="Z380" t="str">
        <f>IF([2]Baskol!$J$383="","",[2]Baskol!$J$383)</f>
        <v/>
      </c>
      <c r="AA380" t="str">
        <f>IF([2]Baskol!$K$383="","",[2]Baskol!$K$383)</f>
        <v/>
      </c>
      <c r="AB380" t="str">
        <f>IF([2]Baskol!$L$383="","",[2]Baskol!$L$383)</f>
        <v/>
      </c>
      <c r="AC380" t="str">
        <f>IF([2]Baskol!$N$383="","",[2]Baskol!$N$383)</f>
        <v/>
      </c>
      <c r="AD380" t="str">
        <f>IF([2]Baskol!$O$383="","",[2]Baskol!$O$383)</f>
        <v/>
      </c>
      <c r="AE380" t="str">
        <f>IF([3]Entry!$C$383="","",[3]Entry!$C$383)</f>
        <v/>
      </c>
      <c r="AF380" t="str">
        <f>IF([3]Entry!$D$383="","",[3]Entry!$D$383)</f>
        <v/>
      </c>
      <c r="AG380" t="str">
        <f>IF([3]Entry!$E$383="","",[3]Entry!$E$383)</f>
        <v/>
      </c>
      <c r="AH380" t="str">
        <f>IF([3]Entry!$G$383="","",[3]Entry!$G$383)</f>
        <v/>
      </c>
      <c r="AI380" t="str">
        <f>IF([3]Entry!$K$383="","",[3]Entry!$K$383)</f>
        <v/>
      </c>
      <c r="AJ380" t="str">
        <f>IF([3]Entry!$L$383="","",[3]Entry!$L$383)</f>
        <v/>
      </c>
      <c r="AK380" t="str">
        <f>IF([3]Entry!$M$383="","",[3]Entry!$M$383)</f>
        <v/>
      </c>
      <c r="AL380" t="str">
        <f>IF([3]Entry!$N$383="","",[3]Entry!$N$383)</f>
        <v/>
      </c>
      <c r="AM380" t="str">
        <f>IF([3]Entry!$R$383="","",[3]Entry!$R$383)</f>
        <v/>
      </c>
    </row>
    <row r="381" spans="1:39" x14ac:dyDescent="0.2">
      <c r="A381" t="str">
        <f>IF([1]Accounts!$D$382="","",[1]Accounts!$A$382)</f>
        <v/>
      </c>
      <c r="B381" t="str">
        <f>IF([1]Accounts!$D$382="","",[1]Accounts!$B$382)</f>
        <v/>
      </c>
      <c r="C381" t="str">
        <f>IF([1]Accounts!$D$382="","",[1]Accounts!$C$382)</f>
        <v/>
      </c>
      <c r="D381" t="str">
        <f>IF([1]Accounts!$D$382="","",[1]Accounts!$D$382)</f>
        <v/>
      </c>
      <c r="E381" t="str">
        <f>IF([1]Accounts!$D$382="","",[1]Accounts!$E$382)</f>
        <v/>
      </c>
      <c r="F381" t="str">
        <f>IF([1]Accounts!$D$382="","",[1]Accounts!$F$382)</f>
        <v/>
      </c>
      <c r="G381" t="str">
        <f>IF([1]Accounts!$D$382="","",[1]Accounts!$G$382)</f>
        <v/>
      </c>
      <c r="T381" t="str">
        <f>IF([2]Baskol!$B$384="","",[2]Baskol!$B$384)</f>
        <v/>
      </c>
      <c r="U381" t="str">
        <f>IF([2]Baskol!$C$384="","",[2]Baskol!$C$384)</f>
        <v/>
      </c>
      <c r="V381" t="str">
        <f>IF([2]Baskol!$D$384="","",[2]Baskol!$D$384)</f>
        <v/>
      </c>
      <c r="W381" t="str">
        <f>IF([2]Baskol!$E$384="","",[2]Baskol!$E$384)</f>
        <v/>
      </c>
      <c r="X381" t="str">
        <f>IF([2]Baskol!$G$384="","",[2]Baskol!$G$384)</f>
        <v/>
      </c>
      <c r="Y381" t="str">
        <f>IF([2]Baskol!$I$384="","",[2]Baskol!$I$384)</f>
        <v/>
      </c>
      <c r="Z381" t="str">
        <f>IF([2]Baskol!$J$384="","",[2]Baskol!$J$384)</f>
        <v/>
      </c>
      <c r="AA381" t="str">
        <f>IF([2]Baskol!$K$384="","",[2]Baskol!$K$384)</f>
        <v/>
      </c>
      <c r="AB381" t="str">
        <f>IF([2]Baskol!$L$384="","",[2]Baskol!$L$384)</f>
        <v/>
      </c>
      <c r="AC381" t="str">
        <f>IF([2]Baskol!$N$384="","",[2]Baskol!$N$384)</f>
        <v/>
      </c>
      <c r="AD381" t="str">
        <f>IF([2]Baskol!$O$384="","",[2]Baskol!$O$384)</f>
        <v/>
      </c>
      <c r="AE381" t="str">
        <f>IF([3]Entry!$C$384="","",[3]Entry!$C$384)</f>
        <v/>
      </c>
      <c r="AF381" t="str">
        <f>IF([3]Entry!$D$384="","",[3]Entry!$D$384)</f>
        <v/>
      </c>
      <c r="AG381" t="str">
        <f>IF([3]Entry!$E$384="","",[3]Entry!$E$384)</f>
        <v/>
      </c>
      <c r="AH381" t="str">
        <f>IF([3]Entry!$G$384="","",[3]Entry!$G$384)</f>
        <v/>
      </c>
      <c r="AI381" t="str">
        <f>IF([3]Entry!$K$384="","",[3]Entry!$K$384)</f>
        <v/>
      </c>
      <c r="AJ381" t="str">
        <f>IF([3]Entry!$L$384="","",[3]Entry!$L$384)</f>
        <v/>
      </c>
      <c r="AK381" t="str">
        <f>IF([3]Entry!$M$384="","",[3]Entry!$M$384)</f>
        <v/>
      </c>
      <c r="AL381" t="str">
        <f>IF([3]Entry!$N$384="","",[3]Entry!$N$384)</f>
        <v/>
      </c>
      <c r="AM381" t="str">
        <f>IF([3]Entry!$R$384="","",[3]Entry!$R$384)</f>
        <v/>
      </c>
    </row>
    <row r="382" spans="1:39" x14ac:dyDescent="0.2">
      <c r="A382" t="str">
        <f>IF([1]Accounts!$D$383="","",[1]Accounts!$A$383)</f>
        <v/>
      </c>
      <c r="B382" t="str">
        <f>IF([1]Accounts!$D$383="","",[1]Accounts!$B$383)</f>
        <v/>
      </c>
      <c r="C382" t="str">
        <f>IF([1]Accounts!$D$383="","",[1]Accounts!$C$383)</f>
        <v/>
      </c>
      <c r="D382" t="str">
        <f>IF([1]Accounts!$D$383="","",[1]Accounts!$D$383)</f>
        <v/>
      </c>
      <c r="E382" t="str">
        <f>IF([1]Accounts!$D$383="","",[1]Accounts!$E$383)</f>
        <v/>
      </c>
      <c r="F382" t="str">
        <f>IF([1]Accounts!$D$383="","",[1]Accounts!$F$383)</f>
        <v/>
      </c>
      <c r="G382" t="str">
        <f>IF([1]Accounts!$D$383="","",[1]Accounts!$G$383)</f>
        <v/>
      </c>
      <c r="T382" t="str">
        <f>IF([2]Baskol!$B$385="","",[2]Baskol!$B$385)</f>
        <v/>
      </c>
      <c r="U382" t="str">
        <f>IF([2]Baskol!$C$385="","",[2]Baskol!$C$385)</f>
        <v/>
      </c>
      <c r="V382" t="str">
        <f>IF([2]Baskol!$D$385="","",[2]Baskol!$D$385)</f>
        <v/>
      </c>
      <c r="W382" t="str">
        <f>IF([2]Baskol!$E$385="","",[2]Baskol!$E$385)</f>
        <v/>
      </c>
      <c r="X382" t="str">
        <f>IF([2]Baskol!$G$385="","",[2]Baskol!$G$385)</f>
        <v/>
      </c>
      <c r="Y382" t="str">
        <f>IF([2]Baskol!$I$385="","",[2]Baskol!$I$385)</f>
        <v/>
      </c>
      <c r="Z382" t="str">
        <f>IF([2]Baskol!$J$385="","",[2]Baskol!$J$385)</f>
        <v/>
      </c>
      <c r="AA382" t="str">
        <f>IF([2]Baskol!$K$385="","",[2]Baskol!$K$385)</f>
        <v/>
      </c>
      <c r="AB382" t="str">
        <f>IF([2]Baskol!$L$385="","",[2]Baskol!$L$385)</f>
        <v/>
      </c>
      <c r="AC382" t="str">
        <f>IF([2]Baskol!$N$385="","",[2]Baskol!$N$385)</f>
        <v/>
      </c>
      <c r="AD382" t="str">
        <f>IF([2]Baskol!$O$385="","",[2]Baskol!$O$385)</f>
        <v/>
      </c>
      <c r="AE382" t="str">
        <f>IF([3]Entry!$C$385="","",[3]Entry!$C$385)</f>
        <v/>
      </c>
      <c r="AF382" t="str">
        <f>IF([3]Entry!$D$385="","",[3]Entry!$D$385)</f>
        <v/>
      </c>
      <c r="AG382" t="str">
        <f>IF([3]Entry!$E$385="","",[3]Entry!$E$385)</f>
        <v/>
      </c>
      <c r="AH382" t="str">
        <f>IF([3]Entry!$G$385="","",[3]Entry!$G$385)</f>
        <v/>
      </c>
      <c r="AI382" t="str">
        <f>IF([3]Entry!$K$385="","",[3]Entry!$K$385)</f>
        <v/>
      </c>
      <c r="AJ382" t="str">
        <f>IF([3]Entry!$L$385="","",[3]Entry!$L$385)</f>
        <v/>
      </c>
      <c r="AK382" t="str">
        <f>IF([3]Entry!$M$385="","",[3]Entry!$M$385)</f>
        <v/>
      </c>
      <c r="AL382" t="str">
        <f>IF([3]Entry!$N$385="","",[3]Entry!$N$385)</f>
        <v/>
      </c>
      <c r="AM382" t="str">
        <f>IF([3]Entry!$R$385="","",[3]Entry!$R$385)</f>
        <v/>
      </c>
    </row>
    <row r="383" spans="1:39" x14ac:dyDescent="0.2">
      <c r="A383" t="str">
        <f>IF([1]Accounts!$D$384="","",[1]Accounts!$A$384)</f>
        <v/>
      </c>
      <c r="B383" t="str">
        <f>IF([1]Accounts!$D$384="","",[1]Accounts!$B$384)</f>
        <v/>
      </c>
      <c r="C383" t="str">
        <f>IF([1]Accounts!$D$384="","",[1]Accounts!$C$384)</f>
        <v/>
      </c>
      <c r="D383" t="str">
        <f>IF([1]Accounts!$D$384="","",[1]Accounts!$D$384)</f>
        <v/>
      </c>
      <c r="E383" t="str">
        <f>IF([1]Accounts!$D$384="","",[1]Accounts!$E$384)</f>
        <v/>
      </c>
      <c r="F383" t="str">
        <f>IF([1]Accounts!$D$384="","",[1]Accounts!$F$384)</f>
        <v/>
      </c>
      <c r="G383" t="str">
        <f>IF([1]Accounts!$D$384="","",[1]Accounts!$G$384)</f>
        <v/>
      </c>
      <c r="T383" t="str">
        <f>IF([2]Baskol!$B$386="","",[2]Baskol!$B$386)</f>
        <v/>
      </c>
      <c r="U383" t="str">
        <f>IF([2]Baskol!$C$386="","",[2]Baskol!$C$386)</f>
        <v/>
      </c>
      <c r="V383" t="str">
        <f>IF([2]Baskol!$D$386="","",[2]Baskol!$D$386)</f>
        <v/>
      </c>
      <c r="W383" t="str">
        <f>IF([2]Baskol!$E$386="","",[2]Baskol!$E$386)</f>
        <v/>
      </c>
      <c r="X383" t="str">
        <f>IF([2]Baskol!$G$386="","",[2]Baskol!$G$386)</f>
        <v/>
      </c>
      <c r="Y383" t="str">
        <f>IF([2]Baskol!$I$386="","",[2]Baskol!$I$386)</f>
        <v/>
      </c>
      <c r="Z383" t="str">
        <f>IF([2]Baskol!$J$386="","",[2]Baskol!$J$386)</f>
        <v/>
      </c>
      <c r="AA383" t="str">
        <f>IF([2]Baskol!$K$386="","",[2]Baskol!$K$386)</f>
        <v/>
      </c>
      <c r="AB383" t="str">
        <f>IF([2]Baskol!$L$386="","",[2]Baskol!$L$386)</f>
        <v/>
      </c>
      <c r="AC383" t="str">
        <f>IF([2]Baskol!$N$386="","",[2]Baskol!$N$386)</f>
        <v/>
      </c>
      <c r="AD383" t="str">
        <f>IF([2]Baskol!$O$386="","",[2]Baskol!$O$386)</f>
        <v/>
      </c>
      <c r="AE383" t="str">
        <f>IF([3]Entry!$C$386="","",[3]Entry!$C$386)</f>
        <v/>
      </c>
      <c r="AF383" t="str">
        <f>IF([3]Entry!$D$386="","",[3]Entry!$D$386)</f>
        <v/>
      </c>
      <c r="AG383" t="str">
        <f>IF([3]Entry!$E$386="","",[3]Entry!$E$386)</f>
        <v/>
      </c>
      <c r="AH383" t="str">
        <f>IF([3]Entry!$G$386="","",[3]Entry!$G$386)</f>
        <v/>
      </c>
      <c r="AI383" t="str">
        <f>IF([3]Entry!$K$386="","",[3]Entry!$K$386)</f>
        <v/>
      </c>
      <c r="AJ383" t="str">
        <f>IF([3]Entry!$L$386="","",[3]Entry!$L$386)</f>
        <v/>
      </c>
      <c r="AK383" t="str">
        <f>IF([3]Entry!$M$386="","",[3]Entry!$M$386)</f>
        <v/>
      </c>
      <c r="AL383" t="str">
        <f>IF([3]Entry!$N$386="","",[3]Entry!$N$386)</f>
        <v/>
      </c>
      <c r="AM383" t="str">
        <f>IF([3]Entry!$R$386="","",[3]Entry!$R$386)</f>
        <v/>
      </c>
    </row>
    <row r="384" spans="1:39" x14ac:dyDescent="0.2">
      <c r="A384" t="str">
        <f>IF([1]Accounts!$D$385="","",[1]Accounts!$A$385)</f>
        <v/>
      </c>
      <c r="B384" t="str">
        <f>IF([1]Accounts!$D$385="","",[1]Accounts!$B$385)</f>
        <v/>
      </c>
      <c r="C384" t="str">
        <f>IF([1]Accounts!$D$385="","",[1]Accounts!$C$385)</f>
        <v/>
      </c>
      <c r="D384" t="str">
        <f>IF([1]Accounts!$D$385="","",[1]Accounts!$D$385)</f>
        <v/>
      </c>
      <c r="E384" t="str">
        <f>IF([1]Accounts!$D$385="","",[1]Accounts!$E$385)</f>
        <v/>
      </c>
      <c r="F384" t="str">
        <f>IF([1]Accounts!$D$385="","",[1]Accounts!$F$385)</f>
        <v/>
      </c>
      <c r="G384" t="str">
        <f>IF([1]Accounts!$D$385="","",[1]Accounts!$G$385)</f>
        <v/>
      </c>
      <c r="T384" t="str">
        <f>IF([2]Baskol!$B$387="","",[2]Baskol!$B$387)</f>
        <v/>
      </c>
      <c r="U384" t="str">
        <f>IF([2]Baskol!$C$387="","",[2]Baskol!$C$387)</f>
        <v/>
      </c>
      <c r="V384" t="str">
        <f>IF([2]Baskol!$D$387="","",[2]Baskol!$D$387)</f>
        <v/>
      </c>
      <c r="W384" t="str">
        <f>IF([2]Baskol!$E$387="","",[2]Baskol!$E$387)</f>
        <v/>
      </c>
      <c r="X384" t="str">
        <f>IF([2]Baskol!$G$387="","",[2]Baskol!$G$387)</f>
        <v/>
      </c>
      <c r="Y384" t="str">
        <f>IF([2]Baskol!$I$387="","",[2]Baskol!$I$387)</f>
        <v/>
      </c>
      <c r="Z384" t="str">
        <f>IF([2]Baskol!$J$387="","",[2]Baskol!$J$387)</f>
        <v/>
      </c>
      <c r="AA384" t="str">
        <f>IF([2]Baskol!$K$387="","",[2]Baskol!$K$387)</f>
        <v/>
      </c>
      <c r="AB384" t="str">
        <f>IF([2]Baskol!$L$387="","",[2]Baskol!$L$387)</f>
        <v/>
      </c>
      <c r="AC384" t="str">
        <f>IF([2]Baskol!$N$387="","",[2]Baskol!$N$387)</f>
        <v/>
      </c>
      <c r="AD384" t="str">
        <f>IF([2]Baskol!$O$387="","",[2]Baskol!$O$387)</f>
        <v/>
      </c>
      <c r="AE384" t="str">
        <f>IF([3]Entry!$C$387="","",[3]Entry!$C$387)</f>
        <v/>
      </c>
      <c r="AF384" t="str">
        <f>IF([3]Entry!$D$387="","",[3]Entry!$D$387)</f>
        <v/>
      </c>
      <c r="AG384" t="str">
        <f>IF([3]Entry!$E$387="","",[3]Entry!$E$387)</f>
        <v/>
      </c>
      <c r="AH384" t="str">
        <f>IF([3]Entry!$G$387="","",[3]Entry!$G$387)</f>
        <v/>
      </c>
      <c r="AI384" t="str">
        <f>IF([3]Entry!$K$387="","",[3]Entry!$K$387)</f>
        <v/>
      </c>
      <c r="AJ384" t="str">
        <f>IF([3]Entry!$L$387="","",[3]Entry!$L$387)</f>
        <v/>
      </c>
      <c r="AK384" t="str">
        <f>IF([3]Entry!$M$387="","",[3]Entry!$M$387)</f>
        <v/>
      </c>
      <c r="AL384" t="str">
        <f>IF([3]Entry!$N$387="","",[3]Entry!$N$387)</f>
        <v/>
      </c>
      <c r="AM384" t="str">
        <f>IF([3]Entry!$R$387="","",[3]Entry!$R$387)</f>
        <v/>
      </c>
    </row>
    <row r="385" spans="1:39" x14ac:dyDescent="0.2">
      <c r="A385" t="str">
        <f>IF([1]Accounts!$D$386="","",[1]Accounts!$A$386)</f>
        <v/>
      </c>
      <c r="B385" t="str">
        <f>IF([1]Accounts!$D$386="","",[1]Accounts!$B$386)</f>
        <v/>
      </c>
      <c r="C385" t="str">
        <f>IF([1]Accounts!$D$386="","",[1]Accounts!$C$386)</f>
        <v/>
      </c>
      <c r="D385" t="str">
        <f>IF([1]Accounts!$D$386="","",[1]Accounts!$D$386)</f>
        <v/>
      </c>
      <c r="E385" t="str">
        <f>IF([1]Accounts!$D$386="","",[1]Accounts!$E$386)</f>
        <v/>
      </c>
      <c r="F385" t="str">
        <f>IF([1]Accounts!$D$386="","",[1]Accounts!$F$386)</f>
        <v/>
      </c>
      <c r="G385" t="str">
        <f>IF([1]Accounts!$D$386="","",[1]Accounts!$G$386)</f>
        <v/>
      </c>
      <c r="T385" t="str">
        <f>IF([2]Baskol!$B$388="","",[2]Baskol!$B$388)</f>
        <v/>
      </c>
      <c r="U385" t="str">
        <f>IF([2]Baskol!$C$388="","",[2]Baskol!$C$388)</f>
        <v/>
      </c>
      <c r="V385" t="str">
        <f>IF([2]Baskol!$D$388="","",[2]Baskol!$D$388)</f>
        <v/>
      </c>
      <c r="W385" t="str">
        <f>IF([2]Baskol!$E$388="","",[2]Baskol!$E$388)</f>
        <v/>
      </c>
      <c r="X385" t="str">
        <f>IF([2]Baskol!$G$388="","",[2]Baskol!$G$388)</f>
        <v/>
      </c>
      <c r="Y385" t="str">
        <f>IF([2]Baskol!$I$388="","",[2]Baskol!$I$388)</f>
        <v/>
      </c>
      <c r="Z385" t="str">
        <f>IF([2]Baskol!$J$388="","",[2]Baskol!$J$388)</f>
        <v/>
      </c>
      <c r="AA385" t="str">
        <f>IF([2]Baskol!$K$388="","",[2]Baskol!$K$388)</f>
        <v/>
      </c>
      <c r="AB385" t="str">
        <f>IF([2]Baskol!$L$388="","",[2]Baskol!$L$388)</f>
        <v/>
      </c>
      <c r="AC385" t="str">
        <f>IF([2]Baskol!$N$388="","",[2]Baskol!$N$388)</f>
        <v/>
      </c>
      <c r="AD385" t="str">
        <f>IF([2]Baskol!$O$388="","",[2]Baskol!$O$388)</f>
        <v/>
      </c>
      <c r="AE385" t="str">
        <f>IF([3]Entry!$C$388="","",[3]Entry!$C$388)</f>
        <v/>
      </c>
      <c r="AF385" t="str">
        <f>IF([3]Entry!$D$388="","",[3]Entry!$D$388)</f>
        <v/>
      </c>
      <c r="AG385" t="str">
        <f>IF([3]Entry!$E$388="","",[3]Entry!$E$388)</f>
        <v/>
      </c>
      <c r="AH385" t="str">
        <f>IF([3]Entry!$G$388="","",[3]Entry!$G$388)</f>
        <v/>
      </c>
      <c r="AI385" t="str">
        <f>IF([3]Entry!$K$388="","",[3]Entry!$K$388)</f>
        <v/>
      </c>
      <c r="AJ385" t="str">
        <f>IF([3]Entry!$L$388="","",[3]Entry!$L$388)</f>
        <v/>
      </c>
      <c r="AK385" t="str">
        <f>IF([3]Entry!$M$388="","",[3]Entry!$M$388)</f>
        <v/>
      </c>
      <c r="AL385" t="str">
        <f>IF([3]Entry!$N$388="","",[3]Entry!$N$388)</f>
        <v/>
      </c>
      <c r="AM385" t="str">
        <f>IF([3]Entry!$R$388="","",[3]Entry!$R$388)</f>
        <v/>
      </c>
    </row>
    <row r="386" spans="1:39" x14ac:dyDescent="0.2">
      <c r="A386" t="str">
        <f>IF([1]Accounts!$D$387="","",[1]Accounts!$A$387)</f>
        <v/>
      </c>
      <c r="B386" t="str">
        <f>IF([1]Accounts!$D$387="","",[1]Accounts!$B$387)</f>
        <v/>
      </c>
      <c r="C386" t="str">
        <f>IF([1]Accounts!$D$387="","",[1]Accounts!$C$387)</f>
        <v/>
      </c>
      <c r="D386" t="str">
        <f>IF([1]Accounts!$D$387="","",[1]Accounts!$D$387)</f>
        <v/>
      </c>
      <c r="E386" t="str">
        <f>IF([1]Accounts!$D$387="","",[1]Accounts!$E$387)</f>
        <v/>
      </c>
      <c r="F386" t="str">
        <f>IF([1]Accounts!$D$387="","",[1]Accounts!$F$387)</f>
        <v/>
      </c>
      <c r="G386" t="str">
        <f>IF([1]Accounts!$D$387="","",[1]Accounts!$G$387)</f>
        <v/>
      </c>
      <c r="T386" t="str">
        <f>IF([2]Baskol!$B$389="","",[2]Baskol!$B$389)</f>
        <v/>
      </c>
      <c r="U386" t="str">
        <f>IF([2]Baskol!$C$389="","",[2]Baskol!$C$389)</f>
        <v/>
      </c>
      <c r="V386" t="str">
        <f>IF([2]Baskol!$D$389="","",[2]Baskol!$D$389)</f>
        <v/>
      </c>
      <c r="W386" t="str">
        <f>IF([2]Baskol!$E$389="","",[2]Baskol!$E$389)</f>
        <v/>
      </c>
      <c r="X386" t="str">
        <f>IF([2]Baskol!$G$389="","",[2]Baskol!$G$389)</f>
        <v/>
      </c>
      <c r="Y386" t="str">
        <f>IF([2]Baskol!$I$389="","",[2]Baskol!$I$389)</f>
        <v/>
      </c>
      <c r="Z386" t="str">
        <f>IF([2]Baskol!$J$389="","",[2]Baskol!$J$389)</f>
        <v/>
      </c>
      <c r="AA386" t="str">
        <f>IF([2]Baskol!$K$389="","",[2]Baskol!$K$389)</f>
        <v/>
      </c>
      <c r="AB386" t="str">
        <f>IF([2]Baskol!$L$389="","",[2]Baskol!$L$389)</f>
        <v/>
      </c>
      <c r="AC386" t="str">
        <f>IF([2]Baskol!$N$389="","",[2]Baskol!$N$389)</f>
        <v/>
      </c>
      <c r="AD386" t="str">
        <f>IF([2]Baskol!$O$389="","",[2]Baskol!$O$389)</f>
        <v/>
      </c>
      <c r="AE386" t="str">
        <f>IF([3]Entry!$C$389="","",[3]Entry!$C$389)</f>
        <v/>
      </c>
      <c r="AF386" t="str">
        <f>IF([3]Entry!$D$389="","",[3]Entry!$D$389)</f>
        <v/>
      </c>
      <c r="AG386" t="str">
        <f>IF([3]Entry!$E$389="","",[3]Entry!$E$389)</f>
        <v/>
      </c>
      <c r="AH386" t="str">
        <f>IF([3]Entry!$G$389="","",[3]Entry!$G$389)</f>
        <v/>
      </c>
      <c r="AI386" t="str">
        <f>IF([3]Entry!$K$389="","",[3]Entry!$K$389)</f>
        <v/>
      </c>
      <c r="AJ386" t="str">
        <f>IF([3]Entry!$L$389="","",[3]Entry!$L$389)</f>
        <v/>
      </c>
      <c r="AK386" t="str">
        <f>IF([3]Entry!$M$389="","",[3]Entry!$M$389)</f>
        <v/>
      </c>
      <c r="AL386" t="str">
        <f>IF([3]Entry!$N$389="","",[3]Entry!$N$389)</f>
        <v/>
      </c>
      <c r="AM386" t="str">
        <f>IF([3]Entry!$R$389="","",[3]Entry!$R$389)</f>
        <v/>
      </c>
    </row>
    <row r="387" spans="1:39" x14ac:dyDescent="0.2">
      <c r="A387" t="str">
        <f>IF([1]Accounts!$D$388="","",[1]Accounts!$A$388)</f>
        <v/>
      </c>
      <c r="B387" t="str">
        <f>IF([1]Accounts!$D$388="","",[1]Accounts!$B$388)</f>
        <v/>
      </c>
      <c r="C387" t="str">
        <f>IF([1]Accounts!$D$388="","",[1]Accounts!$C$388)</f>
        <v/>
      </c>
      <c r="D387" t="str">
        <f>IF([1]Accounts!$D$388="","",[1]Accounts!$D$388)</f>
        <v/>
      </c>
      <c r="E387" t="str">
        <f>IF([1]Accounts!$D$388="","",[1]Accounts!$E$388)</f>
        <v/>
      </c>
      <c r="F387" t="str">
        <f>IF([1]Accounts!$D$388="","",[1]Accounts!$F$388)</f>
        <v/>
      </c>
      <c r="G387" t="str">
        <f>IF([1]Accounts!$D$388="","",[1]Accounts!$G$388)</f>
        <v/>
      </c>
      <c r="T387" t="str">
        <f>IF([2]Baskol!$B$390="","",[2]Baskol!$B$390)</f>
        <v/>
      </c>
      <c r="U387" t="str">
        <f>IF([2]Baskol!$C$390="","",[2]Baskol!$C$390)</f>
        <v/>
      </c>
      <c r="V387" t="str">
        <f>IF([2]Baskol!$D$390="","",[2]Baskol!$D$390)</f>
        <v/>
      </c>
      <c r="W387" t="str">
        <f>IF([2]Baskol!$E$390="","",[2]Baskol!$E$390)</f>
        <v/>
      </c>
      <c r="X387" t="str">
        <f>IF([2]Baskol!$G$390="","",[2]Baskol!$G$390)</f>
        <v/>
      </c>
      <c r="Y387" t="str">
        <f>IF([2]Baskol!$I$390="","",[2]Baskol!$I$390)</f>
        <v/>
      </c>
      <c r="Z387" t="str">
        <f>IF([2]Baskol!$J$390="","",[2]Baskol!$J$390)</f>
        <v/>
      </c>
      <c r="AA387" t="str">
        <f>IF([2]Baskol!$K$390="","",[2]Baskol!$K$390)</f>
        <v/>
      </c>
      <c r="AB387" t="str">
        <f>IF([2]Baskol!$L$390="","",[2]Baskol!$L$390)</f>
        <v/>
      </c>
      <c r="AC387" t="str">
        <f>IF([2]Baskol!$N$390="","",[2]Baskol!$N$390)</f>
        <v/>
      </c>
      <c r="AD387" t="str">
        <f>IF([2]Baskol!$O$390="","",[2]Baskol!$O$390)</f>
        <v/>
      </c>
      <c r="AE387" t="str">
        <f>IF([3]Entry!$C$390="","",[3]Entry!$C$390)</f>
        <v/>
      </c>
      <c r="AF387" t="str">
        <f>IF([3]Entry!$D$390="","",[3]Entry!$D$390)</f>
        <v/>
      </c>
      <c r="AG387" t="str">
        <f>IF([3]Entry!$E$390="","",[3]Entry!$E$390)</f>
        <v/>
      </c>
      <c r="AH387" t="str">
        <f>IF([3]Entry!$G$390="","",[3]Entry!$G$390)</f>
        <v/>
      </c>
      <c r="AI387" t="str">
        <f>IF([3]Entry!$K$390="","",[3]Entry!$K$390)</f>
        <v/>
      </c>
      <c r="AJ387" t="str">
        <f>IF([3]Entry!$L$390="","",[3]Entry!$L$390)</f>
        <v/>
      </c>
      <c r="AK387" t="str">
        <f>IF([3]Entry!$M$390="","",[3]Entry!$M$390)</f>
        <v/>
      </c>
      <c r="AL387" t="str">
        <f>IF([3]Entry!$N$390="","",[3]Entry!$N$390)</f>
        <v/>
      </c>
      <c r="AM387" t="str">
        <f>IF([3]Entry!$R$390="","",[3]Entry!$R$390)</f>
        <v/>
      </c>
    </row>
    <row r="388" spans="1:39" x14ac:dyDescent="0.2">
      <c r="A388" t="str">
        <f>IF([1]Accounts!$D$389="","",[1]Accounts!$A$389)</f>
        <v/>
      </c>
      <c r="B388" t="str">
        <f>IF([1]Accounts!$D$389="","",[1]Accounts!$B$389)</f>
        <v/>
      </c>
      <c r="C388" t="str">
        <f>IF([1]Accounts!$D$389="","",[1]Accounts!$C$389)</f>
        <v/>
      </c>
      <c r="D388" t="str">
        <f>IF([1]Accounts!$D$389="","",[1]Accounts!$D$389)</f>
        <v/>
      </c>
      <c r="E388" t="str">
        <f>IF([1]Accounts!$D$389="","",[1]Accounts!$E$389)</f>
        <v/>
      </c>
      <c r="F388" t="str">
        <f>IF([1]Accounts!$D$389="","",[1]Accounts!$F$389)</f>
        <v/>
      </c>
      <c r="G388" t="str">
        <f>IF([1]Accounts!$D$389="","",[1]Accounts!$G$389)</f>
        <v/>
      </c>
      <c r="T388" t="str">
        <f>IF([2]Baskol!$B$391="","",[2]Baskol!$B$391)</f>
        <v/>
      </c>
      <c r="U388" t="str">
        <f>IF([2]Baskol!$C$391="","",[2]Baskol!$C$391)</f>
        <v/>
      </c>
      <c r="V388" t="str">
        <f>IF([2]Baskol!$D$391="","",[2]Baskol!$D$391)</f>
        <v/>
      </c>
      <c r="W388" t="str">
        <f>IF([2]Baskol!$E$391="","",[2]Baskol!$E$391)</f>
        <v/>
      </c>
      <c r="X388" t="str">
        <f>IF([2]Baskol!$G$391="","",[2]Baskol!$G$391)</f>
        <v/>
      </c>
      <c r="Y388" t="str">
        <f>IF([2]Baskol!$I$391="","",[2]Baskol!$I$391)</f>
        <v/>
      </c>
      <c r="Z388" t="str">
        <f>IF([2]Baskol!$J$391="","",[2]Baskol!$J$391)</f>
        <v/>
      </c>
      <c r="AA388" t="str">
        <f>IF([2]Baskol!$K$391="","",[2]Baskol!$K$391)</f>
        <v/>
      </c>
      <c r="AB388" t="str">
        <f>IF([2]Baskol!$L$391="","",[2]Baskol!$L$391)</f>
        <v/>
      </c>
      <c r="AC388" t="str">
        <f>IF([2]Baskol!$N$391="","",[2]Baskol!$N$391)</f>
        <v/>
      </c>
      <c r="AD388" t="str">
        <f>IF([2]Baskol!$O$391="","",[2]Baskol!$O$391)</f>
        <v/>
      </c>
      <c r="AE388" t="str">
        <f>IF([3]Entry!$C$391="","",[3]Entry!$C$391)</f>
        <v/>
      </c>
      <c r="AF388" t="str">
        <f>IF([3]Entry!$D$391="","",[3]Entry!$D$391)</f>
        <v/>
      </c>
      <c r="AG388" t="str">
        <f>IF([3]Entry!$E$391="","",[3]Entry!$E$391)</f>
        <v/>
      </c>
      <c r="AH388" t="str">
        <f>IF([3]Entry!$G$391="","",[3]Entry!$G$391)</f>
        <v/>
      </c>
      <c r="AI388" t="str">
        <f>IF([3]Entry!$K$391="","",[3]Entry!$K$391)</f>
        <v/>
      </c>
      <c r="AJ388" t="str">
        <f>IF([3]Entry!$L$391="","",[3]Entry!$L$391)</f>
        <v/>
      </c>
      <c r="AK388" t="str">
        <f>IF([3]Entry!$M$391="","",[3]Entry!$M$391)</f>
        <v/>
      </c>
      <c r="AL388" t="str">
        <f>IF([3]Entry!$N$391="","",[3]Entry!$N$391)</f>
        <v/>
      </c>
      <c r="AM388" t="str">
        <f>IF([3]Entry!$R$391="","",[3]Entry!$R$391)</f>
        <v/>
      </c>
    </row>
    <row r="389" spans="1:39" x14ac:dyDescent="0.2">
      <c r="A389" t="str">
        <f>IF([1]Accounts!$D$390="","",[1]Accounts!$A$390)</f>
        <v/>
      </c>
      <c r="B389" t="str">
        <f>IF([1]Accounts!$D$390="","",[1]Accounts!$B$390)</f>
        <v/>
      </c>
      <c r="C389" t="str">
        <f>IF([1]Accounts!$D$390="","",[1]Accounts!$C$390)</f>
        <v/>
      </c>
      <c r="D389" t="str">
        <f>IF([1]Accounts!$D$390="","",[1]Accounts!$D$390)</f>
        <v/>
      </c>
      <c r="E389" t="str">
        <f>IF([1]Accounts!$D$390="","",[1]Accounts!$E$390)</f>
        <v/>
      </c>
      <c r="F389" t="str">
        <f>IF([1]Accounts!$D$390="","",[1]Accounts!$F$390)</f>
        <v/>
      </c>
      <c r="G389" t="str">
        <f>IF([1]Accounts!$D$390="","",[1]Accounts!$G$390)</f>
        <v/>
      </c>
      <c r="T389" t="str">
        <f>IF([2]Baskol!$B$392="","",[2]Baskol!$B$392)</f>
        <v/>
      </c>
      <c r="U389" t="str">
        <f>IF([2]Baskol!$C$392="","",[2]Baskol!$C$392)</f>
        <v/>
      </c>
      <c r="V389" t="str">
        <f>IF([2]Baskol!$D$392="","",[2]Baskol!$D$392)</f>
        <v/>
      </c>
      <c r="W389" t="str">
        <f>IF([2]Baskol!$E$392="","",[2]Baskol!$E$392)</f>
        <v/>
      </c>
      <c r="X389" t="str">
        <f>IF([2]Baskol!$G$392="","",[2]Baskol!$G$392)</f>
        <v/>
      </c>
      <c r="Y389" t="str">
        <f>IF([2]Baskol!$I$392="","",[2]Baskol!$I$392)</f>
        <v/>
      </c>
      <c r="Z389" t="str">
        <f>IF([2]Baskol!$J$392="","",[2]Baskol!$J$392)</f>
        <v/>
      </c>
      <c r="AA389" t="str">
        <f>IF([2]Baskol!$K$392="","",[2]Baskol!$K$392)</f>
        <v/>
      </c>
      <c r="AB389" t="str">
        <f>IF([2]Baskol!$L$392="","",[2]Baskol!$L$392)</f>
        <v/>
      </c>
      <c r="AC389" t="str">
        <f>IF([2]Baskol!$N$392="","",[2]Baskol!$N$392)</f>
        <v/>
      </c>
      <c r="AD389" t="str">
        <f>IF([2]Baskol!$O$392="","",[2]Baskol!$O$392)</f>
        <v/>
      </c>
      <c r="AE389" t="str">
        <f>IF([3]Entry!$C$392="","",[3]Entry!$C$392)</f>
        <v/>
      </c>
      <c r="AF389" t="str">
        <f>IF([3]Entry!$D$392="","",[3]Entry!$D$392)</f>
        <v/>
      </c>
      <c r="AG389" t="str">
        <f>IF([3]Entry!$E$392="","",[3]Entry!$E$392)</f>
        <v/>
      </c>
      <c r="AH389" t="str">
        <f>IF([3]Entry!$G$392="","",[3]Entry!$G$392)</f>
        <v/>
      </c>
      <c r="AI389" t="str">
        <f>IF([3]Entry!$K$392="","",[3]Entry!$K$392)</f>
        <v/>
      </c>
      <c r="AJ389" t="str">
        <f>IF([3]Entry!$L$392="","",[3]Entry!$L$392)</f>
        <v/>
      </c>
      <c r="AK389" t="str">
        <f>IF([3]Entry!$M$392="","",[3]Entry!$M$392)</f>
        <v/>
      </c>
      <c r="AL389" t="str">
        <f>IF([3]Entry!$N$392="","",[3]Entry!$N$392)</f>
        <v/>
      </c>
      <c r="AM389" t="str">
        <f>IF([3]Entry!$R$392="","",[3]Entry!$R$392)</f>
        <v/>
      </c>
    </row>
    <row r="390" spans="1:39" x14ac:dyDescent="0.2">
      <c r="A390" t="str">
        <f>IF([1]Accounts!$D$391="","",[1]Accounts!$A$391)</f>
        <v/>
      </c>
      <c r="B390" t="str">
        <f>IF([1]Accounts!$D$391="","",[1]Accounts!$B$391)</f>
        <v/>
      </c>
      <c r="C390" t="str">
        <f>IF([1]Accounts!$D$391="","",[1]Accounts!$C$391)</f>
        <v/>
      </c>
      <c r="D390" t="str">
        <f>IF([1]Accounts!$D$391="","",[1]Accounts!$D$391)</f>
        <v/>
      </c>
      <c r="E390" t="str">
        <f>IF([1]Accounts!$D$391="","",[1]Accounts!$E$391)</f>
        <v/>
      </c>
      <c r="F390" t="str">
        <f>IF([1]Accounts!$D$391="","",[1]Accounts!$F$391)</f>
        <v/>
      </c>
      <c r="G390" t="str">
        <f>IF([1]Accounts!$D$391="","",[1]Accounts!$G$391)</f>
        <v/>
      </c>
      <c r="T390" t="str">
        <f>IF([2]Baskol!$B$393="","",[2]Baskol!$B$393)</f>
        <v/>
      </c>
      <c r="U390" t="str">
        <f>IF([2]Baskol!$C$393="","",[2]Baskol!$C$393)</f>
        <v/>
      </c>
      <c r="V390" t="str">
        <f>IF([2]Baskol!$D$393="","",[2]Baskol!$D$393)</f>
        <v/>
      </c>
      <c r="W390" t="str">
        <f>IF([2]Baskol!$E$393="","",[2]Baskol!$E$393)</f>
        <v/>
      </c>
      <c r="X390" t="str">
        <f>IF([2]Baskol!$G$393="","",[2]Baskol!$G$393)</f>
        <v/>
      </c>
      <c r="Y390" t="str">
        <f>IF([2]Baskol!$I$393="","",[2]Baskol!$I$393)</f>
        <v/>
      </c>
      <c r="Z390" t="str">
        <f>IF([2]Baskol!$J$393="","",[2]Baskol!$J$393)</f>
        <v/>
      </c>
      <c r="AA390" t="str">
        <f>IF([2]Baskol!$K$393="","",[2]Baskol!$K$393)</f>
        <v/>
      </c>
      <c r="AB390" t="str">
        <f>IF([2]Baskol!$L$393="","",[2]Baskol!$L$393)</f>
        <v/>
      </c>
      <c r="AC390" t="str">
        <f>IF([2]Baskol!$N$393="","",[2]Baskol!$N$393)</f>
        <v/>
      </c>
      <c r="AD390" t="str">
        <f>IF([2]Baskol!$O$393="","",[2]Baskol!$O$393)</f>
        <v/>
      </c>
      <c r="AE390" t="str">
        <f>IF([3]Entry!$C$393="","",[3]Entry!$C$393)</f>
        <v/>
      </c>
      <c r="AF390" t="str">
        <f>IF([3]Entry!$D$393="","",[3]Entry!$D$393)</f>
        <v/>
      </c>
      <c r="AG390" t="str">
        <f>IF([3]Entry!$E$393="","",[3]Entry!$E$393)</f>
        <v/>
      </c>
      <c r="AH390" t="str">
        <f>IF([3]Entry!$G$393="","",[3]Entry!$G$393)</f>
        <v/>
      </c>
      <c r="AI390" t="str">
        <f>IF([3]Entry!$K$393="","",[3]Entry!$K$393)</f>
        <v/>
      </c>
      <c r="AJ390" t="str">
        <f>IF([3]Entry!$L$393="","",[3]Entry!$L$393)</f>
        <v/>
      </c>
      <c r="AK390" t="str">
        <f>IF([3]Entry!$M$393="","",[3]Entry!$M$393)</f>
        <v/>
      </c>
      <c r="AL390" t="str">
        <f>IF([3]Entry!$N$393="","",[3]Entry!$N$393)</f>
        <v/>
      </c>
      <c r="AM390" t="str">
        <f>IF([3]Entry!$R$393="","",[3]Entry!$R$393)</f>
        <v/>
      </c>
    </row>
    <row r="391" spans="1:39" x14ac:dyDescent="0.2">
      <c r="A391" t="str">
        <f>IF([1]Accounts!$D$392="","",[1]Accounts!$A$392)</f>
        <v/>
      </c>
      <c r="B391" t="str">
        <f>IF([1]Accounts!$D$392="","",[1]Accounts!$B$392)</f>
        <v/>
      </c>
      <c r="C391" t="str">
        <f>IF([1]Accounts!$D$392="","",[1]Accounts!$C$392)</f>
        <v/>
      </c>
      <c r="D391" t="str">
        <f>IF([1]Accounts!$D$392="","",[1]Accounts!$D$392)</f>
        <v/>
      </c>
      <c r="E391" t="str">
        <f>IF([1]Accounts!$D$392="","",[1]Accounts!$E$392)</f>
        <v/>
      </c>
      <c r="F391" t="str">
        <f>IF([1]Accounts!$D$392="","",[1]Accounts!$F$392)</f>
        <v/>
      </c>
      <c r="G391" t="str">
        <f>IF([1]Accounts!$D$392="","",[1]Accounts!$G$392)</f>
        <v/>
      </c>
      <c r="T391" t="str">
        <f>IF([2]Baskol!$B$394="","",[2]Baskol!$B$394)</f>
        <v/>
      </c>
      <c r="U391" t="str">
        <f>IF([2]Baskol!$C$394="","",[2]Baskol!$C$394)</f>
        <v/>
      </c>
      <c r="V391" t="str">
        <f>IF([2]Baskol!$D$394="","",[2]Baskol!$D$394)</f>
        <v/>
      </c>
      <c r="W391" t="str">
        <f>IF([2]Baskol!$E$394="","",[2]Baskol!$E$394)</f>
        <v/>
      </c>
      <c r="X391" t="str">
        <f>IF([2]Baskol!$G$394="","",[2]Baskol!$G$394)</f>
        <v/>
      </c>
      <c r="Y391" t="str">
        <f>IF([2]Baskol!$I$394="","",[2]Baskol!$I$394)</f>
        <v/>
      </c>
      <c r="Z391" t="str">
        <f>IF([2]Baskol!$J$394="","",[2]Baskol!$J$394)</f>
        <v/>
      </c>
      <c r="AA391" t="str">
        <f>IF([2]Baskol!$K$394="","",[2]Baskol!$K$394)</f>
        <v/>
      </c>
      <c r="AB391" t="str">
        <f>IF([2]Baskol!$L$394="","",[2]Baskol!$L$394)</f>
        <v/>
      </c>
      <c r="AC391" t="str">
        <f>IF([2]Baskol!$N$394="","",[2]Baskol!$N$394)</f>
        <v/>
      </c>
      <c r="AD391" t="str">
        <f>IF([2]Baskol!$O$394="","",[2]Baskol!$O$394)</f>
        <v/>
      </c>
      <c r="AE391" t="str">
        <f>IF([3]Entry!$C$394="","",[3]Entry!$C$394)</f>
        <v/>
      </c>
      <c r="AF391" t="str">
        <f>IF([3]Entry!$D$394="","",[3]Entry!$D$394)</f>
        <v/>
      </c>
      <c r="AG391" t="str">
        <f>IF([3]Entry!$E$394="","",[3]Entry!$E$394)</f>
        <v/>
      </c>
      <c r="AH391" t="str">
        <f>IF([3]Entry!$G$394="","",[3]Entry!$G$394)</f>
        <v/>
      </c>
      <c r="AI391" t="str">
        <f>IF([3]Entry!$K$394="","",[3]Entry!$K$394)</f>
        <v/>
      </c>
      <c r="AJ391" t="str">
        <f>IF([3]Entry!$L$394="","",[3]Entry!$L$394)</f>
        <v/>
      </c>
      <c r="AK391" t="str">
        <f>IF([3]Entry!$M$394="","",[3]Entry!$M$394)</f>
        <v/>
      </c>
      <c r="AL391" t="str">
        <f>IF([3]Entry!$N$394="","",[3]Entry!$N$394)</f>
        <v/>
      </c>
      <c r="AM391" t="str">
        <f>IF([3]Entry!$R$394="","",[3]Entry!$R$394)</f>
        <v/>
      </c>
    </row>
    <row r="392" spans="1:39" x14ac:dyDescent="0.2">
      <c r="A392" t="str">
        <f>IF([1]Accounts!$D$393="","",[1]Accounts!$A$393)</f>
        <v/>
      </c>
      <c r="B392" t="str">
        <f>IF([1]Accounts!$D$393="","",[1]Accounts!$B$393)</f>
        <v/>
      </c>
      <c r="C392" t="str">
        <f>IF([1]Accounts!$D$393="","",[1]Accounts!$C$393)</f>
        <v/>
      </c>
      <c r="D392" t="str">
        <f>IF([1]Accounts!$D$393="","",[1]Accounts!$D$393)</f>
        <v/>
      </c>
      <c r="E392" t="str">
        <f>IF([1]Accounts!$D$393="","",[1]Accounts!$E$393)</f>
        <v/>
      </c>
      <c r="F392" t="str">
        <f>IF([1]Accounts!$D$393="","",[1]Accounts!$F$393)</f>
        <v/>
      </c>
      <c r="G392" t="str">
        <f>IF([1]Accounts!$D$393="","",[1]Accounts!$G$393)</f>
        <v/>
      </c>
      <c r="T392" t="str">
        <f>IF([2]Baskol!$B$395="","",[2]Baskol!$B$395)</f>
        <v/>
      </c>
      <c r="U392" t="str">
        <f>IF([2]Baskol!$C$395="","",[2]Baskol!$C$395)</f>
        <v/>
      </c>
      <c r="V392" t="str">
        <f>IF([2]Baskol!$D$395="","",[2]Baskol!$D$395)</f>
        <v/>
      </c>
      <c r="W392" t="str">
        <f>IF([2]Baskol!$E$395="","",[2]Baskol!$E$395)</f>
        <v/>
      </c>
      <c r="X392" t="str">
        <f>IF([2]Baskol!$G$395="","",[2]Baskol!$G$395)</f>
        <v/>
      </c>
      <c r="Y392" t="str">
        <f>IF([2]Baskol!$I$395="","",[2]Baskol!$I$395)</f>
        <v/>
      </c>
      <c r="Z392" t="str">
        <f>IF([2]Baskol!$J$395="","",[2]Baskol!$J$395)</f>
        <v/>
      </c>
      <c r="AA392" t="str">
        <f>IF([2]Baskol!$K$395="","",[2]Baskol!$K$395)</f>
        <v/>
      </c>
      <c r="AB392" t="str">
        <f>IF([2]Baskol!$L$395="","",[2]Baskol!$L$395)</f>
        <v/>
      </c>
      <c r="AC392" t="str">
        <f>IF([2]Baskol!$N$395="","",[2]Baskol!$N$395)</f>
        <v/>
      </c>
      <c r="AD392" t="str">
        <f>IF([2]Baskol!$O$395="","",[2]Baskol!$O$395)</f>
        <v/>
      </c>
      <c r="AE392" t="str">
        <f>IF([3]Entry!$C$395="","",[3]Entry!$C$395)</f>
        <v/>
      </c>
      <c r="AF392" t="str">
        <f>IF([3]Entry!$D$395="","",[3]Entry!$D$395)</f>
        <v/>
      </c>
      <c r="AG392" t="str">
        <f>IF([3]Entry!$E$395="","",[3]Entry!$E$395)</f>
        <v/>
      </c>
      <c r="AH392" t="str">
        <f>IF([3]Entry!$G$395="","",[3]Entry!$G$395)</f>
        <v/>
      </c>
      <c r="AI392" t="str">
        <f>IF([3]Entry!$K$395="","",[3]Entry!$K$395)</f>
        <v/>
      </c>
      <c r="AJ392" t="str">
        <f>IF([3]Entry!$L$395="","",[3]Entry!$L$395)</f>
        <v/>
      </c>
      <c r="AK392" t="str">
        <f>IF([3]Entry!$M$395="","",[3]Entry!$M$395)</f>
        <v/>
      </c>
      <c r="AL392" t="str">
        <f>IF([3]Entry!$N$395="","",[3]Entry!$N$395)</f>
        <v/>
      </c>
      <c r="AM392" t="str">
        <f>IF([3]Entry!$R$395="","",[3]Entry!$R$395)</f>
        <v/>
      </c>
    </row>
    <row r="393" spans="1:39" x14ac:dyDescent="0.2">
      <c r="A393" t="str">
        <f>IF([1]Accounts!$D$394="","",[1]Accounts!$A$394)</f>
        <v/>
      </c>
      <c r="B393" t="str">
        <f>IF([1]Accounts!$D$394="","",[1]Accounts!$B$394)</f>
        <v/>
      </c>
      <c r="C393" t="str">
        <f>IF([1]Accounts!$D$394="","",[1]Accounts!$C$394)</f>
        <v/>
      </c>
      <c r="D393" t="str">
        <f>IF([1]Accounts!$D$394="","",[1]Accounts!$D$394)</f>
        <v/>
      </c>
      <c r="E393" t="str">
        <f>IF([1]Accounts!$D$394="","",[1]Accounts!$E$394)</f>
        <v/>
      </c>
      <c r="F393" t="str">
        <f>IF([1]Accounts!$D$394="","",[1]Accounts!$F$394)</f>
        <v/>
      </c>
      <c r="G393" t="str">
        <f>IF([1]Accounts!$D$394="","",[1]Accounts!$G$394)</f>
        <v/>
      </c>
      <c r="T393" t="str">
        <f>IF([2]Baskol!$B$396="","",[2]Baskol!$B$396)</f>
        <v/>
      </c>
      <c r="U393" t="str">
        <f>IF([2]Baskol!$C$396="","",[2]Baskol!$C$396)</f>
        <v/>
      </c>
      <c r="V393" t="str">
        <f>IF([2]Baskol!$D$396="","",[2]Baskol!$D$396)</f>
        <v/>
      </c>
      <c r="W393" t="str">
        <f>IF([2]Baskol!$E$396="","",[2]Baskol!$E$396)</f>
        <v/>
      </c>
      <c r="X393" t="str">
        <f>IF([2]Baskol!$G$396="","",[2]Baskol!$G$396)</f>
        <v/>
      </c>
      <c r="Y393" t="str">
        <f>IF([2]Baskol!$I$396="","",[2]Baskol!$I$396)</f>
        <v/>
      </c>
      <c r="Z393" t="str">
        <f>IF([2]Baskol!$J$396="","",[2]Baskol!$J$396)</f>
        <v/>
      </c>
      <c r="AA393" t="str">
        <f>IF([2]Baskol!$K$396="","",[2]Baskol!$K$396)</f>
        <v/>
      </c>
      <c r="AB393" t="str">
        <f>IF([2]Baskol!$L$396="","",[2]Baskol!$L$396)</f>
        <v/>
      </c>
      <c r="AC393" t="str">
        <f>IF([2]Baskol!$N$396="","",[2]Baskol!$N$396)</f>
        <v/>
      </c>
      <c r="AD393" t="str">
        <f>IF([2]Baskol!$O$396="","",[2]Baskol!$O$396)</f>
        <v/>
      </c>
      <c r="AE393" t="str">
        <f>IF([3]Entry!$C$396="","",[3]Entry!$C$396)</f>
        <v/>
      </c>
      <c r="AF393" t="str">
        <f>IF([3]Entry!$D$396="","",[3]Entry!$D$396)</f>
        <v/>
      </c>
      <c r="AG393" t="str">
        <f>IF([3]Entry!$E$396="","",[3]Entry!$E$396)</f>
        <v/>
      </c>
      <c r="AH393" t="str">
        <f>IF([3]Entry!$G$396="","",[3]Entry!$G$396)</f>
        <v/>
      </c>
      <c r="AI393" t="str">
        <f>IF([3]Entry!$K$396="","",[3]Entry!$K$396)</f>
        <v/>
      </c>
      <c r="AJ393" t="str">
        <f>IF([3]Entry!$L$396="","",[3]Entry!$L$396)</f>
        <v/>
      </c>
      <c r="AK393" t="str">
        <f>IF([3]Entry!$M$396="","",[3]Entry!$M$396)</f>
        <v/>
      </c>
      <c r="AL393" t="str">
        <f>IF([3]Entry!$N$396="","",[3]Entry!$N$396)</f>
        <v/>
      </c>
      <c r="AM393" t="str">
        <f>IF([3]Entry!$R$396="","",[3]Entry!$R$396)</f>
        <v/>
      </c>
    </row>
    <row r="394" spans="1:39" x14ac:dyDescent="0.2">
      <c r="A394" t="str">
        <f>IF([1]Accounts!$D$395="","",[1]Accounts!$A$395)</f>
        <v/>
      </c>
      <c r="B394" t="str">
        <f>IF([1]Accounts!$D$395="","",[1]Accounts!$B$395)</f>
        <v/>
      </c>
      <c r="C394" t="str">
        <f>IF([1]Accounts!$D$395="","",[1]Accounts!$C$395)</f>
        <v/>
      </c>
      <c r="D394" t="str">
        <f>IF([1]Accounts!$D$395="","",[1]Accounts!$D$395)</f>
        <v/>
      </c>
      <c r="E394" t="str">
        <f>IF([1]Accounts!$D$395="","",[1]Accounts!$E$395)</f>
        <v/>
      </c>
      <c r="F394" t="str">
        <f>IF([1]Accounts!$D$395="","",[1]Accounts!$F$395)</f>
        <v/>
      </c>
      <c r="G394" t="str">
        <f>IF([1]Accounts!$D$395="","",[1]Accounts!$G$395)</f>
        <v/>
      </c>
      <c r="T394" t="str">
        <f>IF([2]Baskol!$B$397="","",[2]Baskol!$B$397)</f>
        <v/>
      </c>
      <c r="U394" t="str">
        <f>IF([2]Baskol!$C$397="","",[2]Baskol!$C$397)</f>
        <v/>
      </c>
      <c r="V394" t="str">
        <f>IF([2]Baskol!$D$397="","",[2]Baskol!$D$397)</f>
        <v/>
      </c>
      <c r="W394" t="str">
        <f>IF([2]Baskol!$E$397="","",[2]Baskol!$E$397)</f>
        <v/>
      </c>
      <c r="X394" t="str">
        <f>IF([2]Baskol!$G$397="","",[2]Baskol!$G$397)</f>
        <v/>
      </c>
      <c r="Y394" t="str">
        <f>IF([2]Baskol!$I$397="","",[2]Baskol!$I$397)</f>
        <v/>
      </c>
      <c r="Z394" t="str">
        <f>IF([2]Baskol!$J$397="","",[2]Baskol!$J$397)</f>
        <v/>
      </c>
      <c r="AA394" t="str">
        <f>IF([2]Baskol!$K$397="","",[2]Baskol!$K$397)</f>
        <v/>
      </c>
      <c r="AB394" t="str">
        <f>IF([2]Baskol!$L$397="","",[2]Baskol!$L$397)</f>
        <v/>
      </c>
      <c r="AC394" t="str">
        <f>IF([2]Baskol!$N$397="","",[2]Baskol!$N$397)</f>
        <v/>
      </c>
      <c r="AD394" t="str">
        <f>IF([2]Baskol!$O$397="","",[2]Baskol!$O$397)</f>
        <v/>
      </c>
      <c r="AE394" t="str">
        <f>IF([3]Entry!$C$397="","",[3]Entry!$C$397)</f>
        <v/>
      </c>
      <c r="AF394" t="str">
        <f>IF([3]Entry!$D$397="","",[3]Entry!$D$397)</f>
        <v/>
      </c>
      <c r="AG394" t="str">
        <f>IF([3]Entry!$E$397="","",[3]Entry!$E$397)</f>
        <v/>
      </c>
      <c r="AH394" t="str">
        <f>IF([3]Entry!$G$397="","",[3]Entry!$G$397)</f>
        <v/>
      </c>
      <c r="AI394" t="str">
        <f>IF([3]Entry!$K$397="","",[3]Entry!$K$397)</f>
        <v/>
      </c>
      <c r="AJ394" t="str">
        <f>IF([3]Entry!$L$397="","",[3]Entry!$L$397)</f>
        <v/>
      </c>
      <c r="AK394" t="str">
        <f>IF([3]Entry!$M$397="","",[3]Entry!$M$397)</f>
        <v/>
      </c>
      <c r="AL394" t="str">
        <f>IF([3]Entry!$N$397="","",[3]Entry!$N$397)</f>
        <v/>
      </c>
      <c r="AM394" t="str">
        <f>IF([3]Entry!$R$397="","",[3]Entry!$R$397)</f>
        <v/>
      </c>
    </row>
    <row r="395" spans="1:39" x14ac:dyDescent="0.2">
      <c r="A395" t="str">
        <f>IF([1]Accounts!$D$396="","",[1]Accounts!$A$396)</f>
        <v/>
      </c>
      <c r="B395" t="str">
        <f>IF([1]Accounts!$D$396="","",[1]Accounts!$B$396)</f>
        <v/>
      </c>
      <c r="C395" t="str">
        <f>IF([1]Accounts!$D$396="","",[1]Accounts!$C$396)</f>
        <v/>
      </c>
      <c r="D395" t="str">
        <f>IF([1]Accounts!$D$396="","",[1]Accounts!$D$396)</f>
        <v/>
      </c>
      <c r="E395" t="str">
        <f>IF([1]Accounts!$D$396="","",[1]Accounts!$E$396)</f>
        <v/>
      </c>
      <c r="F395" t="str">
        <f>IF([1]Accounts!$D$396="","",[1]Accounts!$F$396)</f>
        <v/>
      </c>
      <c r="G395" t="str">
        <f>IF([1]Accounts!$D$396="","",[1]Accounts!$G$396)</f>
        <v/>
      </c>
      <c r="T395" t="str">
        <f>IF([2]Baskol!$B$398="","",[2]Baskol!$B$398)</f>
        <v/>
      </c>
      <c r="U395" t="str">
        <f>IF([2]Baskol!$C$398="","",[2]Baskol!$C$398)</f>
        <v/>
      </c>
      <c r="V395" t="str">
        <f>IF([2]Baskol!$D$398="","",[2]Baskol!$D$398)</f>
        <v/>
      </c>
      <c r="W395" t="str">
        <f>IF([2]Baskol!$E$398="","",[2]Baskol!$E$398)</f>
        <v/>
      </c>
      <c r="X395" t="str">
        <f>IF([2]Baskol!$G$398="","",[2]Baskol!$G$398)</f>
        <v/>
      </c>
      <c r="Y395" t="str">
        <f>IF([2]Baskol!$I$398="","",[2]Baskol!$I$398)</f>
        <v/>
      </c>
      <c r="Z395" t="str">
        <f>IF([2]Baskol!$J$398="","",[2]Baskol!$J$398)</f>
        <v/>
      </c>
      <c r="AA395" t="str">
        <f>IF([2]Baskol!$K$398="","",[2]Baskol!$K$398)</f>
        <v/>
      </c>
      <c r="AB395" t="str">
        <f>IF([2]Baskol!$L$398="","",[2]Baskol!$L$398)</f>
        <v/>
      </c>
      <c r="AC395" t="str">
        <f>IF([2]Baskol!$N$398="","",[2]Baskol!$N$398)</f>
        <v/>
      </c>
      <c r="AD395" t="str">
        <f>IF([2]Baskol!$O$398="","",[2]Baskol!$O$398)</f>
        <v/>
      </c>
      <c r="AE395" t="str">
        <f>IF([3]Entry!$C$398="","",[3]Entry!$C$398)</f>
        <v/>
      </c>
      <c r="AF395" t="str">
        <f>IF([3]Entry!$D$398="","",[3]Entry!$D$398)</f>
        <v/>
      </c>
      <c r="AG395" t="str">
        <f>IF([3]Entry!$E$398="","",[3]Entry!$E$398)</f>
        <v/>
      </c>
      <c r="AH395" t="str">
        <f>IF([3]Entry!$G$398="","",[3]Entry!$G$398)</f>
        <v/>
      </c>
      <c r="AI395" t="str">
        <f>IF([3]Entry!$K$398="","",[3]Entry!$K$398)</f>
        <v/>
      </c>
      <c r="AJ395" t="str">
        <f>IF([3]Entry!$L$398="","",[3]Entry!$L$398)</f>
        <v/>
      </c>
      <c r="AK395" t="str">
        <f>IF([3]Entry!$M$398="","",[3]Entry!$M$398)</f>
        <v/>
      </c>
      <c r="AL395" t="str">
        <f>IF([3]Entry!$N$398="","",[3]Entry!$N$398)</f>
        <v/>
      </c>
      <c r="AM395" t="str">
        <f>IF([3]Entry!$R$398="","",[3]Entry!$R$398)</f>
        <v/>
      </c>
    </row>
    <row r="396" spans="1:39" x14ac:dyDescent="0.2">
      <c r="A396" t="str">
        <f>IF([1]Accounts!$D$397="","",[1]Accounts!$A$397)</f>
        <v/>
      </c>
      <c r="B396" t="str">
        <f>IF([1]Accounts!$D$397="","",[1]Accounts!$B$397)</f>
        <v/>
      </c>
      <c r="C396" t="str">
        <f>IF([1]Accounts!$D$397="","",[1]Accounts!$C$397)</f>
        <v/>
      </c>
      <c r="D396" t="str">
        <f>IF([1]Accounts!$D$397="","",[1]Accounts!$D$397)</f>
        <v/>
      </c>
      <c r="E396" t="str">
        <f>IF([1]Accounts!$D$397="","",[1]Accounts!$E$397)</f>
        <v/>
      </c>
      <c r="F396" t="str">
        <f>IF([1]Accounts!$D$397="","",[1]Accounts!$F$397)</f>
        <v/>
      </c>
      <c r="G396" t="str">
        <f>IF([1]Accounts!$D$397="","",[1]Accounts!$G$397)</f>
        <v/>
      </c>
      <c r="T396" t="str">
        <f>IF([2]Baskol!$B$399="","",[2]Baskol!$B$399)</f>
        <v/>
      </c>
      <c r="U396" t="str">
        <f>IF([2]Baskol!$C$399="","",[2]Baskol!$C$399)</f>
        <v/>
      </c>
      <c r="V396" t="str">
        <f>IF([2]Baskol!$D$399="","",[2]Baskol!$D$399)</f>
        <v/>
      </c>
      <c r="W396" t="str">
        <f>IF([2]Baskol!$E$399="","",[2]Baskol!$E$399)</f>
        <v/>
      </c>
      <c r="X396" t="str">
        <f>IF([2]Baskol!$G$399="","",[2]Baskol!$G$399)</f>
        <v/>
      </c>
      <c r="Y396" t="str">
        <f>IF([2]Baskol!$I$399="","",[2]Baskol!$I$399)</f>
        <v/>
      </c>
      <c r="Z396" t="str">
        <f>IF([2]Baskol!$J$399="","",[2]Baskol!$J$399)</f>
        <v/>
      </c>
      <c r="AA396" t="str">
        <f>IF([2]Baskol!$K$399="","",[2]Baskol!$K$399)</f>
        <v/>
      </c>
      <c r="AB396" t="str">
        <f>IF([2]Baskol!$L$399="","",[2]Baskol!$L$399)</f>
        <v/>
      </c>
      <c r="AC396" t="str">
        <f>IF([2]Baskol!$N$399="","",[2]Baskol!$N$399)</f>
        <v/>
      </c>
      <c r="AD396" t="str">
        <f>IF([2]Baskol!$O$399="","",[2]Baskol!$O$399)</f>
        <v/>
      </c>
      <c r="AE396" t="str">
        <f>IF([3]Entry!$C$399="","",[3]Entry!$C$399)</f>
        <v/>
      </c>
      <c r="AF396" t="str">
        <f>IF([3]Entry!$D$399="","",[3]Entry!$D$399)</f>
        <v/>
      </c>
      <c r="AG396" t="str">
        <f>IF([3]Entry!$E$399="","",[3]Entry!$E$399)</f>
        <v/>
      </c>
      <c r="AH396" t="str">
        <f>IF([3]Entry!$G$399="","",[3]Entry!$G$399)</f>
        <v/>
      </c>
      <c r="AI396" t="str">
        <f>IF([3]Entry!$K$399="","",[3]Entry!$K$399)</f>
        <v/>
      </c>
      <c r="AJ396" t="str">
        <f>IF([3]Entry!$L$399="","",[3]Entry!$L$399)</f>
        <v/>
      </c>
      <c r="AK396" t="str">
        <f>IF([3]Entry!$M$399="","",[3]Entry!$M$399)</f>
        <v/>
      </c>
      <c r="AL396" t="str">
        <f>IF([3]Entry!$N$399="","",[3]Entry!$N$399)</f>
        <v/>
      </c>
      <c r="AM396" t="str">
        <f>IF([3]Entry!$R$399="","",[3]Entry!$R$399)</f>
        <v/>
      </c>
    </row>
    <row r="397" spans="1:39" x14ac:dyDescent="0.2">
      <c r="A397" t="str">
        <f>IF([1]Accounts!$D$398="","",[1]Accounts!$A$398)</f>
        <v/>
      </c>
      <c r="B397" t="str">
        <f>IF([1]Accounts!$D$398="","",[1]Accounts!$B$398)</f>
        <v/>
      </c>
      <c r="C397" t="str">
        <f>IF([1]Accounts!$D$398="","",[1]Accounts!$C$398)</f>
        <v/>
      </c>
      <c r="D397" t="str">
        <f>IF([1]Accounts!$D$398="","",[1]Accounts!$D$398)</f>
        <v/>
      </c>
      <c r="E397" t="str">
        <f>IF([1]Accounts!$D$398="","",[1]Accounts!$E$398)</f>
        <v/>
      </c>
      <c r="F397" t="str">
        <f>IF([1]Accounts!$D$398="","",[1]Accounts!$F$398)</f>
        <v/>
      </c>
      <c r="G397" t="str">
        <f>IF([1]Accounts!$D$398="","",[1]Accounts!$G$398)</f>
        <v/>
      </c>
      <c r="T397" t="str">
        <f>IF([2]Baskol!$B$400="","",[2]Baskol!$B$400)</f>
        <v/>
      </c>
      <c r="U397" t="str">
        <f>IF([2]Baskol!$C$400="","",[2]Baskol!$C$400)</f>
        <v/>
      </c>
      <c r="V397" t="str">
        <f>IF([2]Baskol!$D$400="","",[2]Baskol!$D$400)</f>
        <v/>
      </c>
      <c r="W397" t="str">
        <f>IF([2]Baskol!$E$400="","",[2]Baskol!$E$400)</f>
        <v/>
      </c>
      <c r="X397" t="str">
        <f>IF([2]Baskol!$G$400="","",[2]Baskol!$G$400)</f>
        <v/>
      </c>
      <c r="Y397" t="str">
        <f>IF([2]Baskol!$I$400="","",[2]Baskol!$I$400)</f>
        <v/>
      </c>
      <c r="Z397" t="str">
        <f>IF([2]Baskol!$J$400="","",[2]Baskol!$J$400)</f>
        <v/>
      </c>
      <c r="AA397" t="str">
        <f>IF([2]Baskol!$K$400="","",[2]Baskol!$K$400)</f>
        <v/>
      </c>
      <c r="AB397" t="str">
        <f>IF([2]Baskol!$L$400="","",[2]Baskol!$L$400)</f>
        <v/>
      </c>
      <c r="AC397" t="str">
        <f>IF([2]Baskol!$N$400="","",[2]Baskol!$N$400)</f>
        <v/>
      </c>
      <c r="AD397" t="str">
        <f>IF([2]Baskol!$O$400="","",[2]Baskol!$O$400)</f>
        <v/>
      </c>
      <c r="AE397" t="str">
        <f>IF([3]Entry!$C$400="","",[3]Entry!$C$400)</f>
        <v/>
      </c>
      <c r="AF397" t="str">
        <f>IF([3]Entry!$D$400="","",[3]Entry!$D$400)</f>
        <v/>
      </c>
      <c r="AG397" t="str">
        <f>IF([3]Entry!$E$400="","",[3]Entry!$E$400)</f>
        <v/>
      </c>
      <c r="AH397" t="str">
        <f>IF([3]Entry!$G$400="","",[3]Entry!$G$400)</f>
        <v/>
      </c>
      <c r="AI397" t="str">
        <f>IF([3]Entry!$K$400="","",[3]Entry!$K$400)</f>
        <v/>
      </c>
      <c r="AJ397" t="str">
        <f>IF([3]Entry!$L$400="","",[3]Entry!$L$400)</f>
        <v/>
      </c>
      <c r="AK397" t="str">
        <f>IF([3]Entry!$M$400="","",[3]Entry!$M$400)</f>
        <v/>
      </c>
      <c r="AL397" t="str">
        <f>IF([3]Entry!$N$400="","",[3]Entry!$N$400)</f>
        <v/>
      </c>
      <c r="AM397" t="str">
        <f>IF([3]Entry!$R$400="","",[3]Entry!$R$400)</f>
        <v/>
      </c>
    </row>
    <row r="398" spans="1:39" x14ac:dyDescent="0.2">
      <c r="A398" t="str">
        <f>IF([1]Accounts!$D$399="","",[1]Accounts!$A$399)</f>
        <v/>
      </c>
      <c r="B398" t="str">
        <f>IF([1]Accounts!$D$399="","",[1]Accounts!$B$399)</f>
        <v/>
      </c>
      <c r="C398" t="str">
        <f>IF([1]Accounts!$D$399="","",[1]Accounts!$C$399)</f>
        <v/>
      </c>
      <c r="D398" t="str">
        <f>IF([1]Accounts!$D$399="","",[1]Accounts!$D$399)</f>
        <v/>
      </c>
      <c r="E398" t="str">
        <f>IF([1]Accounts!$D$399="","",[1]Accounts!$E$399)</f>
        <v/>
      </c>
      <c r="F398" t="str">
        <f>IF([1]Accounts!$D$399="","",[1]Accounts!$F$399)</f>
        <v/>
      </c>
      <c r="G398" t="str">
        <f>IF([1]Accounts!$D$399="","",[1]Accounts!$G$399)</f>
        <v/>
      </c>
      <c r="T398" t="str">
        <f>IF([2]Baskol!$B$401="","",[2]Baskol!$B$401)</f>
        <v/>
      </c>
      <c r="U398" t="str">
        <f>IF([2]Baskol!$C$401="","",[2]Baskol!$C$401)</f>
        <v/>
      </c>
      <c r="V398" t="str">
        <f>IF([2]Baskol!$D$401="","",[2]Baskol!$D$401)</f>
        <v/>
      </c>
      <c r="W398" t="str">
        <f>IF([2]Baskol!$E$401="","",[2]Baskol!$E$401)</f>
        <v/>
      </c>
      <c r="X398" t="str">
        <f>IF([2]Baskol!$G$401="","",[2]Baskol!$G$401)</f>
        <v/>
      </c>
      <c r="Y398" t="str">
        <f>IF([2]Baskol!$I$401="","",[2]Baskol!$I$401)</f>
        <v/>
      </c>
      <c r="Z398" t="str">
        <f>IF([2]Baskol!$J$401="","",[2]Baskol!$J$401)</f>
        <v/>
      </c>
      <c r="AA398" t="str">
        <f>IF([2]Baskol!$K$401="","",[2]Baskol!$K$401)</f>
        <v/>
      </c>
      <c r="AB398" t="str">
        <f>IF([2]Baskol!$L$401="","",[2]Baskol!$L$401)</f>
        <v/>
      </c>
      <c r="AC398" t="str">
        <f>IF([2]Baskol!$N$401="","",[2]Baskol!$N$401)</f>
        <v/>
      </c>
      <c r="AD398" t="str">
        <f>IF([2]Baskol!$O$401="","",[2]Baskol!$O$401)</f>
        <v/>
      </c>
      <c r="AE398" t="str">
        <f>IF([3]Entry!$C$401="","",[3]Entry!$C$401)</f>
        <v/>
      </c>
      <c r="AF398" t="str">
        <f>IF([3]Entry!$D$401="","",[3]Entry!$D$401)</f>
        <v/>
      </c>
      <c r="AG398" t="str">
        <f>IF([3]Entry!$E$401="","",[3]Entry!$E$401)</f>
        <v/>
      </c>
      <c r="AH398" t="str">
        <f>IF([3]Entry!$G$401="","",[3]Entry!$G$401)</f>
        <v/>
      </c>
      <c r="AI398" t="str">
        <f>IF([3]Entry!$K$401="","",[3]Entry!$K$401)</f>
        <v/>
      </c>
      <c r="AJ398" t="str">
        <f>IF([3]Entry!$L$401="","",[3]Entry!$L$401)</f>
        <v/>
      </c>
      <c r="AK398" t="str">
        <f>IF([3]Entry!$M$401="","",[3]Entry!$M$401)</f>
        <v/>
      </c>
      <c r="AL398" t="str">
        <f>IF([3]Entry!$N$401="","",[3]Entry!$N$401)</f>
        <v/>
      </c>
      <c r="AM398" t="str">
        <f>IF([3]Entry!$R$401="","",[3]Entry!$R$401)</f>
        <v/>
      </c>
    </row>
    <row r="399" spans="1:39" x14ac:dyDescent="0.2">
      <c r="A399" t="str">
        <f>IF([1]Accounts!$D$400="","",[1]Accounts!$A$400)</f>
        <v/>
      </c>
      <c r="B399" t="str">
        <f>IF([1]Accounts!$D$400="","",[1]Accounts!$B$400)</f>
        <v/>
      </c>
      <c r="C399" t="str">
        <f>IF([1]Accounts!$D$400="","",[1]Accounts!$C$400)</f>
        <v/>
      </c>
      <c r="D399" t="str">
        <f>IF([1]Accounts!$D$400="","",[1]Accounts!$D$400)</f>
        <v/>
      </c>
      <c r="E399" t="str">
        <f>IF([1]Accounts!$D$400="","",[1]Accounts!$E$400)</f>
        <v/>
      </c>
      <c r="F399" t="str">
        <f>IF([1]Accounts!$D$400="","",[1]Accounts!$F$400)</f>
        <v/>
      </c>
      <c r="G399" t="str">
        <f>IF([1]Accounts!$D$400="","",[1]Accounts!$G$400)</f>
        <v/>
      </c>
      <c r="T399" t="str">
        <f>IF([2]Baskol!$B$402="","",[2]Baskol!$B$402)</f>
        <v/>
      </c>
      <c r="U399" t="str">
        <f>IF([2]Baskol!$C$402="","",[2]Baskol!$C$402)</f>
        <v/>
      </c>
      <c r="V399" t="str">
        <f>IF([2]Baskol!$D$402="","",[2]Baskol!$D$402)</f>
        <v/>
      </c>
      <c r="W399" t="str">
        <f>IF([2]Baskol!$E$402="","",[2]Baskol!$E$402)</f>
        <v/>
      </c>
      <c r="X399" t="str">
        <f>IF([2]Baskol!$G$402="","",[2]Baskol!$G$402)</f>
        <v/>
      </c>
      <c r="Y399" t="str">
        <f>IF([2]Baskol!$I$402="","",[2]Baskol!$I$402)</f>
        <v/>
      </c>
      <c r="Z399" t="str">
        <f>IF([2]Baskol!$J$402="","",[2]Baskol!$J$402)</f>
        <v/>
      </c>
      <c r="AA399" t="str">
        <f>IF([2]Baskol!$K$402="","",[2]Baskol!$K$402)</f>
        <v/>
      </c>
      <c r="AB399" t="str">
        <f>IF([2]Baskol!$L$402="","",[2]Baskol!$L$402)</f>
        <v/>
      </c>
      <c r="AC399" t="str">
        <f>IF([2]Baskol!$N$402="","",[2]Baskol!$N$402)</f>
        <v/>
      </c>
      <c r="AD399" t="str">
        <f>IF([2]Baskol!$O$402="","",[2]Baskol!$O$402)</f>
        <v/>
      </c>
      <c r="AE399" t="str">
        <f>IF([3]Entry!$C$402="","",[3]Entry!$C$402)</f>
        <v/>
      </c>
      <c r="AF399" t="str">
        <f>IF([3]Entry!$D$402="","",[3]Entry!$D$402)</f>
        <v/>
      </c>
      <c r="AG399" t="str">
        <f>IF([3]Entry!$E$402="","",[3]Entry!$E$402)</f>
        <v/>
      </c>
      <c r="AH399" t="str">
        <f>IF([3]Entry!$G$402="","",[3]Entry!$G$402)</f>
        <v/>
      </c>
      <c r="AI399" t="str">
        <f>IF([3]Entry!$K$402="","",[3]Entry!$K$402)</f>
        <v/>
      </c>
      <c r="AJ399" t="str">
        <f>IF([3]Entry!$L$402="","",[3]Entry!$L$402)</f>
        <v/>
      </c>
      <c r="AK399" t="str">
        <f>IF([3]Entry!$M$402="","",[3]Entry!$M$402)</f>
        <v/>
      </c>
      <c r="AL399" t="str">
        <f>IF([3]Entry!$N$402="","",[3]Entry!$N$402)</f>
        <v/>
      </c>
      <c r="AM399" t="str">
        <f>IF([3]Entry!$R$402="","",[3]Entry!$R$402)</f>
        <v/>
      </c>
    </row>
    <row r="400" spans="1:39" x14ac:dyDescent="0.2">
      <c r="A400" t="str">
        <f>IF([1]Accounts!$D$401="","",[1]Accounts!$A$401)</f>
        <v/>
      </c>
      <c r="B400" t="str">
        <f>IF([1]Accounts!$D$401="","",[1]Accounts!$B$401)</f>
        <v/>
      </c>
      <c r="C400" t="str">
        <f>IF([1]Accounts!$D$401="","",[1]Accounts!$C$401)</f>
        <v/>
      </c>
      <c r="D400" t="str">
        <f>IF([1]Accounts!$D$401="","",[1]Accounts!$D$401)</f>
        <v/>
      </c>
      <c r="E400" t="str">
        <f>IF([1]Accounts!$D$401="","",[1]Accounts!$E$401)</f>
        <v/>
      </c>
      <c r="F400" t="str">
        <f>IF([1]Accounts!$D$401="","",[1]Accounts!$F$401)</f>
        <v/>
      </c>
      <c r="G400" t="str">
        <f>IF([1]Accounts!$D$401="","",[1]Accounts!$G$401)</f>
        <v/>
      </c>
      <c r="T400" t="str">
        <f>IF([2]Baskol!$B$403="","",[2]Baskol!$B$403)</f>
        <v/>
      </c>
      <c r="U400" t="str">
        <f>IF([2]Baskol!$C$403="","",[2]Baskol!$C$403)</f>
        <v/>
      </c>
      <c r="V400" t="str">
        <f>IF([2]Baskol!$D$403="","",[2]Baskol!$D$403)</f>
        <v/>
      </c>
      <c r="W400" t="str">
        <f>IF([2]Baskol!$E$403="","",[2]Baskol!$E$403)</f>
        <v/>
      </c>
      <c r="X400" t="str">
        <f>IF([2]Baskol!$G$403="","",[2]Baskol!$G$403)</f>
        <v/>
      </c>
      <c r="Y400" t="str">
        <f>IF([2]Baskol!$I$403="","",[2]Baskol!$I$403)</f>
        <v/>
      </c>
      <c r="Z400" t="str">
        <f>IF([2]Baskol!$J$403="","",[2]Baskol!$J$403)</f>
        <v/>
      </c>
      <c r="AA400" t="str">
        <f>IF([2]Baskol!$K$403="","",[2]Baskol!$K$403)</f>
        <v/>
      </c>
      <c r="AB400" t="str">
        <f>IF([2]Baskol!$L$403="","",[2]Baskol!$L$403)</f>
        <v/>
      </c>
      <c r="AC400" t="str">
        <f>IF([2]Baskol!$N$403="","",[2]Baskol!$N$403)</f>
        <v/>
      </c>
      <c r="AD400" t="str">
        <f>IF([2]Baskol!$O$403="","",[2]Baskol!$O$403)</f>
        <v/>
      </c>
      <c r="AE400" t="str">
        <f>IF([3]Entry!$C$403="","",[3]Entry!$C$403)</f>
        <v/>
      </c>
      <c r="AF400" t="str">
        <f>IF([3]Entry!$D$403="","",[3]Entry!$D$403)</f>
        <v/>
      </c>
      <c r="AG400" t="str">
        <f>IF([3]Entry!$E$403="","",[3]Entry!$E$403)</f>
        <v/>
      </c>
      <c r="AH400" t="str">
        <f>IF([3]Entry!$G$403="","",[3]Entry!$G$403)</f>
        <v/>
      </c>
      <c r="AI400" t="str">
        <f>IF([3]Entry!$K$403="","",[3]Entry!$K$403)</f>
        <v/>
      </c>
      <c r="AJ400" t="str">
        <f>IF([3]Entry!$L$403="","",[3]Entry!$L$403)</f>
        <v/>
      </c>
      <c r="AK400" t="str">
        <f>IF([3]Entry!$M$403="","",[3]Entry!$M$403)</f>
        <v/>
      </c>
      <c r="AL400" t="str">
        <f>IF([3]Entry!$N$403="","",[3]Entry!$N$403)</f>
        <v/>
      </c>
      <c r="AM400" t="str">
        <f>IF([3]Entry!$R$403="","",[3]Entry!$R$403)</f>
        <v/>
      </c>
    </row>
    <row r="401" spans="1:39" x14ac:dyDescent="0.2">
      <c r="A401" t="str">
        <f>IF([1]Accounts!$D$402="","",[1]Accounts!$A$402)</f>
        <v/>
      </c>
      <c r="B401" t="str">
        <f>IF([1]Accounts!$D$402="","",[1]Accounts!$B$402)</f>
        <v/>
      </c>
      <c r="C401" t="str">
        <f>IF([1]Accounts!$D$402="","",[1]Accounts!$C$402)</f>
        <v/>
      </c>
      <c r="D401" t="str">
        <f>IF([1]Accounts!$D$402="","",[1]Accounts!$D$402)</f>
        <v/>
      </c>
      <c r="E401" t="str">
        <f>IF([1]Accounts!$D$402="","",[1]Accounts!$E$402)</f>
        <v/>
      </c>
      <c r="F401" t="str">
        <f>IF([1]Accounts!$D$402="","",[1]Accounts!$F$402)</f>
        <v/>
      </c>
      <c r="G401" t="str">
        <f>IF([1]Accounts!$D$402="","",[1]Accounts!$G$402)</f>
        <v/>
      </c>
      <c r="T401" t="str">
        <f>IF([2]Baskol!$B$404="","",[2]Baskol!$B$404)</f>
        <v/>
      </c>
      <c r="U401" t="str">
        <f>IF([2]Baskol!$C$404="","",[2]Baskol!$C$404)</f>
        <v/>
      </c>
      <c r="V401" t="str">
        <f>IF([2]Baskol!$D$404="","",[2]Baskol!$D$404)</f>
        <v/>
      </c>
      <c r="W401" t="str">
        <f>IF([2]Baskol!$E$404="","",[2]Baskol!$E$404)</f>
        <v/>
      </c>
      <c r="X401" t="str">
        <f>IF([2]Baskol!$G$404="","",[2]Baskol!$G$404)</f>
        <v/>
      </c>
      <c r="Y401" t="str">
        <f>IF([2]Baskol!$I$404="","",[2]Baskol!$I$404)</f>
        <v/>
      </c>
      <c r="Z401" t="str">
        <f>IF([2]Baskol!$J$404="","",[2]Baskol!$J$404)</f>
        <v/>
      </c>
      <c r="AA401" t="str">
        <f>IF([2]Baskol!$K$404="","",[2]Baskol!$K$404)</f>
        <v/>
      </c>
      <c r="AB401" t="str">
        <f>IF([2]Baskol!$L$404="","",[2]Baskol!$L$404)</f>
        <v/>
      </c>
      <c r="AC401" t="str">
        <f>IF([2]Baskol!$N$404="","",[2]Baskol!$N$404)</f>
        <v/>
      </c>
      <c r="AD401" t="str">
        <f>IF([2]Baskol!$O$404="","",[2]Baskol!$O$404)</f>
        <v/>
      </c>
      <c r="AE401" t="str">
        <f>IF([3]Entry!$C$404="","",[3]Entry!$C$404)</f>
        <v/>
      </c>
      <c r="AF401" t="str">
        <f>IF([3]Entry!$D$404="","",[3]Entry!$D$404)</f>
        <v/>
      </c>
      <c r="AG401" t="str">
        <f>IF([3]Entry!$E$404="","",[3]Entry!$E$404)</f>
        <v/>
      </c>
      <c r="AH401" t="str">
        <f>IF([3]Entry!$G$404="","",[3]Entry!$G$404)</f>
        <v/>
      </c>
      <c r="AI401" t="str">
        <f>IF([3]Entry!$K$404="","",[3]Entry!$K$404)</f>
        <v/>
      </c>
      <c r="AJ401" t="str">
        <f>IF([3]Entry!$L$404="","",[3]Entry!$L$404)</f>
        <v/>
      </c>
      <c r="AK401" t="str">
        <f>IF([3]Entry!$M$404="","",[3]Entry!$M$404)</f>
        <v/>
      </c>
      <c r="AL401" t="str">
        <f>IF([3]Entry!$N$404="","",[3]Entry!$N$404)</f>
        <v/>
      </c>
      <c r="AM401" t="str">
        <f>IF([3]Entry!$R$404="","",[3]Entry!$R$404)</f>
        <v/>
      </c>
    </row>
    <row r="402" spans="1:39" x14ac:dyDescent="0.2">
      <c r="A402" t="str">
        <f>IF([1]Accounts!$D$403="","",[1]Accounts!$A$403)</f>
        <v/>
      </c>
      <c r="B402" t="str">
        <f>IF([1]Accounts!$D$403="","",[1]Accounts!$B$403)</f>
        <v/>
      </c>
      <c r="C402" t="str">
        <f>IF([1]Accounts!$D$403="","",[1]Accounts!$C$403)</f>
        <v/>
      </c>
      <c r="D402" t="str">
        <f>IF([1]Accounts!$D$403="","",[1]Accounts!$D$403)</f>
        <v/>
      </c>
      <c r="E402" t="str">
        <f>IF([1]Accounts!$D$403="","",[1]Accounts!$E$403)</f>
        <v/>
      </c>
      <c r="F402" t="str">
        <f>IF([1]Accounts!$D$403="","",[1]Accounts!$F$403)</f>
        <v/>
      </c>
      <c r="G402" t="str">
        <f>IF([1]Accounts!$D$403="","",[1]Accounts!$G$403)</f>
        <v/>
      </c>
      <c r="T402" t="str">
        <f>IF([2]Baskol!$B$405="","",[2]Baskol!$B$405)</f>
        <v/>
      </c>
      <c r="U402" t="str">
        <f>IF([2]Baskol!$C$405="","",[2]Baskol!$C$405)</f>
        <v/>
      </c>
      <c r="V402" t="str">
        <f>IF([2]Baskol!$D$405="","",[2]Baskol!$D$405)</f>
        <v/>
      </c>
      <c r="W402" t="str">
        <f>IF([2]Baskol!$E$405="","",[2]Baskol!$E$405)</f>
        <v/>
      </c>
      <c r="X402" t="str">
        <f>IF([2]Baskol!$G$405="","",[2]Baskol!$G$405)</f>
        <v/>
      </c>
      <c r="Y402" t="str">
        <f>IF([2]Baskol!$I$405="","",[2]Baskol!$I$405)</f>
        <v/>
      </c>
      <c r="Z402" t="str">
        <f>IF([2]Baskol!$J$405="","",[2]Baskol!$J$405)</f>
        <v/>
      </c>
      <c r="AA402" t="str">
        <f>IF([2]Baskol!$K$405="","",[2]Baskol!$K$405)</f>
        <v/>
      </c>
      <c r="AB402" t="str">
        <f>IF([2]Baskol!$L$405="","",[2]Baskol!$L$405)</f>
        <v/>
      </c>
      <c r="AC402" t="str">
        <f>IF([2]Baskol!$N$405="","",[2]Baskol!$N$405)</f>
        <v/>
      </c>
      <c r="AD402" t="str">
        <f>IF([2]Baskol!$O$405="","",[2]Baskol!$O$405)</f>
        <v/>
      </c>
      <c r="AE402" t="str">
        <f>IF([3]Entry!$C$405="","",[3]Entry!$C$405)</f>
        <v/>
      </c>
      <c r="AF402" t="str">
        <f>IF([3]Entry!$D$405="","",[3]Entry!$D$405)</f>
        <v/>
      </c>
      <c r="AG402" t="str">
        <f>IF([3]Entry!$E$405="","",[3]Entry!$E$405)</f>
        <v/>
      </c>
      <c r="AH402" t="str">
        <f>IF([3]Entry!$G$405="","",[3]Entry!$G$405)</f>
        <v/>
      </c>
      <c r="AI402" t="str">
        <f>IF([3]Entry!$K$405="","",[3]Entry!$K$405)</f>
        <v/>
      </c>
      <c r="AJ402" t="str">
        <f>IF([3]Entry!$L$405="","",[3]Entry!$L$405)</f>
        <v/>
      </c>
      <c r="AK402" t="str">
        <f>IF([3]Entry!$M$405="","",[3]Entry!$M$405)</f>
        <v/>
      </c>
      <c r="AL402" t="str">
        <f>IF([3]Entry!$N$405="","",[3]Entry!$N$405)</f>
        <v/>
      </c>
      <c r="AM402" t="str">
        <f>IF([3]Entry!$R$405="","",[3]Entry!$R$405)</f>
        <v/>
      </c>
    </row>
    <row r="403" spans="1:39" x14ac:dyDescent="0.2">
      <c r="A403" t="str">
        <f>IF([1]Accounts!$D$404="","",[1]Accounts!$A$404)</f>
        <v/>
      </c>
      <c r="B403" t="str">
        <f>IF([1]Accounts!$D$404="","",[1]Accounts!$B$404)</f>
        <v/>
      </c>
      <c r="C403" t="str">
        <f>IF([1]Accounts!$D$404="","",[1]Accounts!$C$404)</f>
        <v/>
      </c>
      <c r="D403" t="str">
        <f>IF([1]Accounts!$D$404="","",[1]Accounts!$D$404)</f>
        <v/>
      </c>
      <c r="E403" t="str">
        <f>IF([1]Accounts!$D$404="","",[1]Accounts!$E$404)</f>
        <v/>
      </c>
      <c r="F403" t="str">
        <f>IF([1]Accounts!$D$404="","",[1]Accounts!$F$404)</f>
        <v/>
      </c>
      <c r="G403" t="str">
        <f>IF([1]Accounts!$D$404="","",[1]Accounts!$G$404)</f>
        <v/>
      </c>
      <c r="T403" t="str">
        <f>IF([2]Baskol!$B$406="","",[2]Baskol!$B$406)</f>
        <v/>
      </c>
      <c r="U403" t="str">
        <f>IF([2]Baskol!$C$406="","",[2]Baskol!$C$406)</f>
        <v/>
      </c>
      <c r="V403" t="str">
        <f>IF([2]Baskol!$D$406="","",[2]Baskol!$D$406)</f>
        <v/>
      </c>
      <c r="W403" t="str">
        <f>IF([2]Baskol!$E$406="","",[2]Baskol!$E$406)</f>
        <v/>
      </c>
      <c r="X403" t="str">
        <f>IF([2]Baskol!$G$406="","",[2]Baskol!$G$406)</f>
        <v/>
      </c>
      <c r="Y403" t="str">
        <f>IF([2]Baskol!$I$406="","",[2]Baskol!$I$406)</f>
        <v/>
      </c>
      <c r="Z403" t="str">
        <f>IF([2]Baskol!$J$406="","",[2]Baskol!$J$406)</f>
        <v/>
      </c>
      <c r="AA403" t="str">
        <f>IF([2]Baskol!$K$406="","",[2]Baskol!$K$406)</f>
        <v/>
      </c>
      <c r="AB403" t="str">
        <f>IF([2]Baskol!$L$406="","",[2]Baskol!$L$406)</f>
        <v/>
      </c>
      <c r="AC403" t="str">
        <f>IF([2]Baskol!$N$406="","",[2]Baskol!$N$406)</f>
        <v/>
      </c>
      <c r="AD403" t="str">
        <f>IF([2]Baskol!$O$406="","",[2]Baskol!$O$406)</f>
        <v/>
      </c>
      <c r="AE403" t="str">
        <f>IF([3]Entry!$C$406="","",[3]Entry!$C$406)</f>
        <v/>
      </c>
      <c r="AF403" t="str">
        <f>IF([3]Entry!$D$406="","",[3]Entry!$D$406)</f>
        <v/>
      </c>
      <c r="AG403" t="str">
        <f>IF([3]Entry!$E$406="","",[3]Entry!$E$406)</f>
        <v/>
      </c>
      <c r="AH403" t="str">
        <f>IF([3]Entry!$G$406="","",[3]Entry!$G$406)</f>
        <v/>
      </c>
      <c r="AI403" t="str">
        <f>IF([3]Entry!$K$406="","",[3]Entry!$K$406)</f>
        <v/>
      </c>
      <c r="AJ403" t="str">
        <f>IF([3]Entry!$L$406="","",[3]Entry!$L$406)</f>
        <v/>
      </c>
      <c r="AK403" t="str">
        <f>IF([3]Entry!$M$406="","",[3]Entry!$M$406)</f>
        <v/>
      </c>
      <c r="AL403" t="str">
        <f>IF([3]Entry!$N$406="","",[3]Entry!$N$406)</f>
        <v/>
      </c>
      <c r="AM403" t="str">
        <f>IF([3]Entry!$R$406="","",[3]Entry!$R$406)</f>
        <v/>
      </c>
    </row>
    <row r="404" spans="1:39" x14ac:dyDescent="0.2">
      <c r="A404" t="str">
        <f>IF([1]Accounts!$D$405="","",[1]Accounts!$A$405)</f>
        <v/>
      </c>
      <c r="B404" t="str">
        <f>IF([1]Accounts!$D$405="","",[1]Accounts!$B$405)</f>
        <v/>
      </c>
      <c r="C404" t="str">
        <f>IF([1]Accounts!$D$405="","",[1]Accounts!$C$405)</f>
        <v/>
      </c>
      <c r="D404" t="str">
        <f>IF([1]Accounts!$D$405="","",[1]Accounts!$D$405)</f>
        <v/>
      </c>
      <c r="E404" t="str">
        <f>IF([1]Accounts!$D$405="","",[1]Accounts!$E$405)</f>
        <v/>
      </c>
      <c r="F404" t="str">
        <f>IF([1]Accounts!$D$405="","",[1]Accounts!$F$405)</f>
        <v/>
      </c>
      <c r="G404" t="str">
        <f>IF([1]Accounts!$D$405="","",[1]Accounts!$G$405)</f>
        <v/>
      </c>
      <c r="T404" t="str">
        <f>IF([2]Baskol!$B$407="","",[2]Baskol!$B$407)</f>
        <v/>
      </c>
      <c r="U404" t="str">
        <f>IF([2]Baskol!$C$407="","",[2]Baskol!$C$407)</f>
        <v/>
      </c>
      <c r="V404" t="str">
        <f>IF([2]Baskol!$D$407="","",[2]Baskol!$D$407)</f>
        <v/>
      </c>
      <c r="W404" t="str">
        <f>IF([2]Baskol!$E$407="","",[2]Baskol!$E$407)</f>
        <v/>
      </c>
      <c r="X404" t="str">
        <f>IF([2]Baskol!$G$407="","",[2]Baskol!$G$407)</f>
        <v/>
      </c>
      <c r="Y404" t="str">
        <f>IF([2]Baskol!$I$407="","",[2]Baskol!$I$407)</f>
        <v/>
      </c>
      <c r="Z404" t="str">
        <f>IF([2]Baskol!$J$407="","",[2]Baskol!$J$407)</f>
        <v/>
      </c>
      <c r="AA404" t="str">
        <f>IF([2]Baskol!$K$407="","",[2]Baskol!$K$407)</f>
        <v/>
      </c>
      <c r="AB404" t="str">
        <f>IF([2]Baskol!$L$407="","",[2]Baskol!$L$407)</f>
        <v/>
      </c>
      <c r="AC404" t="str">
        <f>IF([2]Baskol!$N$407="","",[2]Baskol!$N$407)</f>
        <v/>
      </c>
      <c r="AD404" t="str">
        <f>IF([2]Baskol!$O$407="","",[2]Baskol!$O$407)</f>
        <v/>
      </c>
      <c r="AE404" t="str">
        <f>IF([3]Entry!$C$407="","",[3]Entry!$C$407)</f>
        <v/>
      </c>
      <c r="AF404" t="str">
        <f>IF([3]Entry!$D$407="","",[3]Entry!$D$407)</f>
        <v/>
      </c>
      <c r="AG404" t="str">
        <f>IF([3]Entry!$E$407="","",[3]Entry!$E$407)</f>
        <v/>
      </c>
      <c r="AH404" t="str">
        <f>IF([3]Entry!$G$407="","",[3]Entry!$G$407)</f>
        <v/>
      </c>
      <c r="AI404" t="str">
        <f>IF([3]Entry!$K$407="","",[3]Entry!$K$407)</f>
        <v/>
      </c>
      <c r="AJ404" t="str">
        <f>IF([3]Entry!$L$407="","",[3]Entry!$L$407)</f>
        <v/>
      </c>
      <c r="AK404" t="str">
        <f>IF([3]Entry!$M$407="","",[3]Entry!$M$407)</f>
        <v/>
      </c>
      <c r="AL404" t="str">
        <f>IF([3]Entry!$N$407="","",[3]Entry!$N$407)</f>
        <v/>
      </c>
      <c r="AM404" t="str">
        <f>IF([3]Entry!$R$407="","",[3]Entry!$R$407)</f>
        <v/>
      </c>
    </row>
    <row r="405" spans="1:39" x14ac:dyDescent="0.2">
      <c r="A405" t="str">
        <f>IF([1]Accounts!$D$406="","",[1]Accounts!$A$406)</f>
        <v/>
      </c>
      <c r="B405" t="str">
        <f>IF([1]Accounts!$D$406="","",[1]Accounts!$B$406)</f>
        <v/>
      </c>
      <c r="C405" t="str">
        <f>IF([1]Accounts!$D$406="","",[1]Accounts!$C$406)</f>
        <v/>
      </c>
      <c r="D405" t="str">
        <f>IF([1]Accounts!$D$406="","",[1]Accounts!$D$406)</f>
        <v/>
      </c>
      <c r="E405" t="str">
        <f>IF([1]Accounts!$D$406="","",[1]Accounts!$E$406)</f>
        <v/>
      </c>
      <c r="F405" t="str">
        <f>IF([1]Accounts!$D$406="","",[1]Accounts!$F$406)</f>
        <v/>
      </c>
      <c r="G405" t="str">
        <f>IF([1]Accounts!$D$406="","",[1]Accounts!$G$406)</f>
        <v/>
      </c>
      <c r="T405" t="str">
        <f>IF([2]Baskol!$B$408="","",[2]Baskol!$B$408)</f>
        <v/>
      </c>
      <c r="U405" t="str">
        <f>IF([2]Baskol!$C$408="","",[2]Baskol!$C$408)</f>
        <v/>
      </c>
      <c r="V405" t="str">
        <f>IF([2]Baskol!$D$408="","",[2]Baskol!$D$408)</f>
        <v/>
      </c>
      <c r="W405" t="str">
        <f>IF([2]Baskol!$E$408="","",[2]Baskol!$E$408)</f>
        <v/>
      </c>
      <c r="X405" t="str">
        <f>IF([2]Baskol!$G$408="","",[2]Baskol!$G$408)</f>
        <v/>
      </c>
      <c r="Y405" t="str">
        <f>IF([2]Baskol!$I$408="","",[2]Baskol!$I$408)</f>
        <v/>
      </c>
      <c r="Z405" t="str">
        <f>IF([2]Baskol!$J$408="","",[2]Baskol!$J$408)</f>
        <v/>
      </c>
      <c r="AA405" t="str">
        <f>IF([2]Baskol!$K$408="","",[2]Baskol!$K$408)</f>
        <v/>
      </c>
      <c r="AB405" t="str">
        <f>IF([2]Baskol!$L$408="","",[2]Baskol!$L$408)</f>
        <v/>
      </c>
      <c r="AC405" t="str">
        <f>IF([2]Baskol!$N$408="","",[2]Baskol!$N$408)</f>
        <v/>
      </c>
      <c r="AD405" t="str">
        <f>IF([2]Baskol!$O$408="","",[2]Baskol!$O$408)</f>
        <v/>
      </c>
      <c r="AE405" t="str">
        <f>IF([3]Entry!$C$408="","",[3]Entry!$C$408)</f>
        <v/>
      </c>
      <c r="AF405" t="str">
        <f>IF([3]Entry!$D$408="","",[3]Entry!$D$408)</f>
        <v/>
      </c>
      <c r="AG405" t="str">
        <f>IF([3]Entry!$E$408="","",[3]Entry!$E$408)</f>
        <v/>
      </c>
      <c r="AH405" t="str">
        <f>IF([3]Entry!$G$408="","",[3]Entry!$G$408)</f>
        <v/>
      </c>
      <c r="AI405" t="str">
        <f>IF([3]Entry!$K$408="","",[3]Entry!$K$408)</f>
        <v/>
      </c>
      <c r="AJ405" t="str">
        <f>IF([3]Entry!$L$408="","",[3]Entry!$L$408)</f>
        <v/>
      </c>
      <c r="AK405" t="str">
        <f>IF([3]Entry!$M$408="","",[3]Entry!$M$408)</f>
        <v/>
      </c>
      <c r="AL405" t="str">
        <f>IF([3]Entry!$N$408="","",[3]Entry!$N$408)</f>
        <v/>
      </c>
      <c r="AM405" t="str">
        <f>IF([3]Entry!$R$408="","",[3]Entry!$R$408)</f>
        <v/>
      </c>
    </row>
    <row r="406" spans="1:39" x14ac:dyDescent="0.2">
      <c r="A406" t="str">
        <f>IF([1]Accounts!$D$407="","",[1]Accounts!$A$407)</f>
        <v>E001</v>
      </c>
      <c r="B406" t="str">
        <f>IF([1]Accounts!$D$407="","",[1]Accounts!$B$407)</f>
        <v>کارمند</v>
      </c>
      <c r="C406" t="str">
        <f>IF([1]Accounts!$D$407="","",[1]Accounts!$C$407)</f>
        <v>مدیرعامل</v>
      </c>
      <c r="D406" t="str">
        <f>IF([1]Accounts!$D$407="","",[1]Accounts!$D$407)</f>
        <v>(نام مدیرعامل)</v>
      </c>
      <c r="E406">
        <f>IF([1]Accounts!$D$407="","",[1]Accounts!$E$407)</f>
        <v>0</v>
      </c>
      <c r="F406" t="str">
        <f>IF([1]Accounts!$D$407="","",[1]Accounts!$F$407)</f>
        <v>09110000010</v>
      </c>
      <c r="G406">
        <f>IF([1]Accounts!$D$407="","",[1]Accounts!$G$407)</f>
        <v>0</v>
      </c>
      <c r="T406" t="str">
        <f>IF([2]Baskol!$B$409="","",[2]Baskol!$B$409)</f>
        <v/>
      </c>
      <c r="U406" t="str">
        <f>IF([2]Baskol!$C$409="","",[2]Baskol!$C$409)</f>
        <v/>
      </c>
      <c r="V406" t="str">
        <f>IF([2]Baskol!$D$409="","",[2]Baskol!$D$409)</f>
        <v/>
      </c>
      <c r="W406" t="str">
        <f>IF([2]Baskol!$E$409="","",[2]Baskol!$E$409)</f>
        <v/>
      </c>
      <c r="X406" t="str">
        <f>IF([2]Baskol!$G$409="","",[2]Baskol!$G$409)</f>
        <v/>
      </c>
      <c r="Y406" t="str">
        <f>IF([2]Baskol!$I$409="","",[2]Baskol!$I$409)</f>
        <v/>
      </c>
      <c r="Z406" t="str">
        <f>IF([2]Baskol!$J$409="","",[2]Baskol!$J$409)</f>
        <v/>
      </c>
      <c r="AA406" t="str">
        <f>IF([2]Baskol!$K$409="","",[2]Baskol!$K$409)</f>
        <v/>
      </c>
      <c r="AB406" t="str">
        <f>IF([2]Baskol!$L$409="","",[2]Baskol!$L$409)</f>
        <v/>
      </c>
      <c r="AC406" t="str">
        <f>IF([2]Baskol!$N$409="","",[2]Baskol!$N$409)</f>
        <v/>
      </c>
      <c r="AD406" t="str">
        <f>IF([2]Baskol!$O$409="","",[2]Baskol!$O$409)</f>
        <v/>
      </c>
      <c r="AE406" t="str">
        <f>IF([3]Entry!$C$409="","",[3]Entry!$C$409)</f>
        <v/>
      </c>
      <c r="AF406" t="str">
        <f>IF([3]Entry!$D$409="","",[3]Entry!$D$409)</f>
        <v/>
      </c>
      <c r="AG406" t="str">
        <f>IF([3]Entry!$E$409="","",[3]Entry!$E$409)</f>
        <v/>
      </c>
      <c r="AH406" t="str">
        <f>IF([3]Entry!$G$409="","",[3]Entry!$G$409)</f>
        <v/>
      </c>
      <c r="AI406" t="str">
        <f>IF([3]Entry!$K$409="","",[3]Entry!$K$409)</f>
        <v/>
      </c>
      <c r="AJ406" t="str">
        <f>IF([3]Entry!$L$409="","",[3]Entry!$L$409)</f>
        <v/>
      </c>
      <c r="AK406" t="str">
        <f>IF([3]Entry!$M$409="","",[3]Entry!$M$409)</f>
        <v/>
      </c>
      <c r="AL406" t="str">
        <f>IF([3]Entry!$N$409="","",[3]Entry!$N$409)</f>
        <v/>
      </c>
      <c r="AM406" t="str">
        <f>IF([3]Entry!$R$409="","",[3]Entry!$R$409)</f>
        <v/>
      </c>
    </row>
    <row r="407" spans="1:39" x14ac:dyDescent="0.2">
      <c r="A407" t="str">
        <f>IF([1]Accounts!$D$408="","",[1]Accounts!$A$408)</f>
        <v>E002</v>
      </c>
      <c r="B407" t="str">
        <f>IF([1]Accounts!$D$408="","",[1]Accounts!$B$408)</f>
        <v>کارمند</v>
      </c>
      <c r="C407" t="str">
        <f>IF([1]Accounts!$D$408="","",[1]Accounts!$C$408)</f>
        <v>حسابدار</v>
      </c>
      <c r="D407" t="str">
        <f>IF([1]Accounts!$D$408="","",[1]Accounts!$D$408)</f>
        <v>(نام حسابدار)</v>
      </c>
      <c r="E407">
        <f>IF([1]Accounts!$D$408="","",[1]Accounts!$E$408)</f>
        <v>0</v>
      </c>
      <c r="F407" t="str">
        <f>IF([1]Accounts!$D$408="","",[1]Accounts!$F$408)</f>
        <v>09110000011</v>
      </c>
      <c r="G407">
        <f>IF([1]Accounts!$D$408="","",[1]Accounts!$G$408)</f>
        <v>0</v>
      </c>
      <c r="T407" t="str">
        <f>IF([2]Baskol!$B$410="","",[2]Baskol!$B$410)</f>
        <v/>
      </c>
      <c r="U407" t="str">
        <f>IF([2]Baskol!$C$410="","",[2]Baskol!$C$410)</f>
        <v/>
      </c>
      <c r="V407" t="str">
        <f>IF([2]Baskol!$D$410="","",[2]Baskol!$D$410)</f>
        <v/>
      </c>
      <c r="W407" t="str">
        <f>IF([2]Baskol!$E$410="","",[2]Baskol!$E$410)</f>
        <v/>
      </c>
      <c r="X407" t="str">
        <f>IF([2]Baskol!$G$410="","",[2]Baskol!$G$410)</f>
        <v/>
      </c>
      <c r="Y407" t="str">
        <f>IF([2]Baskol!$I$410="","",[2]Baskol!$I$410)</f>
        <v/>
      </c>
      <c r="Z407" t="str">
        <f>IF([2]Baskol!$J$410="","",[2]Baskol!$J$410)</f>
        <v/>
      </c>
      <c r="AA407" t="str">
        <f>IF([2]Baskol!$K$410="","",[2]Baskol!$K$410)</f>
        <v/>
      </c>
      <c r="AB407" t="str">
        <f>IF([2]Baskol!$L$410="","",[2]Baskol!$L$410)</f>
        <v/>
      </c>
      <c r="AC407" t="str">
        <f>IF([2]Baskol!$N$410="","",[2]Baskol!$N$410)</f>
        <v/>
      </c>
      <c r="AD407" t="str">
        <f>IF([2]Baskol!$O$410="","",[2]Baskol!$O$410)</f>
        <v/>
      </c>
      <c r="AE407" t="str">
        <f>IF([3]Entry!$C$410="","",[3]Entry!$C$410)</f>
        <v/>
      </c>
      <c r="AF407" t="str">
        <f>IF([3]Entry!$D$410="","",[3]Entry!$D$410)</f>
        <v/>
      </c>
      <c r="AG407" t="str">
        <f>IF([3]Entry!$E$410="","",[3]Entry!$E$410)</f>
        <v/>
      </c>
      <c r="AH407" t="str">
        <f>IF([3]Entry!$G$410="","",[3]Entry!$G$410)</f>
        <v/>
      </c>
      <c r="AI407" t="str">
        <f>IF([3]Entry!$K$410="","",[3]Entry!$K$410)</f>
        <v/>
      </c>
      <c r="AJ407" t="str">
        <f>IF([3]Entry!$L$410="","",[3]Entry!$L$410)</f>
        <v/>
      </c>
      <c r="AK407" t="str">
        <f>IF([3]Entry!$M$410="","",[3]Entry!$M$410)</f>
        <v/>
      </c>
      <c r="AL407" t="str">
        <f>IF([3]Entry!$N$410="","",[3]Entry!$N$410)</f>
        <v/>
      </c>
      <c r="AM407" t="str">
        <f>IF([3]Entry!$R$410="","",[3]Entry!$R$410)</f>
        <v/>
      </c>
    </row>
    <row r="408" spans="1:39" x14ac:dyDescent="0.2">
      <c r="A408" t="str">
        <f>IF([1]Accounts!$D$409="","",[1]Accounts!$A$409)</f>
        <v>E003</v>
      </c>
      <c r="B408" t="str">
        <f>IF([1]Accounts!$D$409="","",[1]Accounts!$B$409)</f>
        <v>کارمند</v>
      </c>
      <c r="C408" t="str">
        <f>IF([1]Accounts!$D$409="","",[1]Accounts!$C$409)</f>
        <v>فروشنده</v>
      </c>
      <c r="D408" t="str">
        <f>IF([1]Accounts!$D$409="","",[1]Accounts!$D$409)</f>
        <v>(نام فروشنده ۱)</v>
      </c>
      <c r="E408">
        <f>IF([1]Accounts!$D$409="","",[1]Accounts!$E$409)</f>
        <v>0</v>
      </c>
      <c r="F408" t="str">
        <f>IF([1]Accounts!$D$409="","",[1]Accounts!$F$409)</f>
        <v>09110000012</v>
      </c>
      <c r="G408">
        <f>IF([1]Accounts!$D$409="","",[1]Accounts!$G$409)</f>
        <v>0</v>
      </c>
      <c r="T408" t="str">
        <f>IF([2]Baskol!$B$411="","",[2]Baskol!$B$411)</f>
        <v/>
      </c>
      <c r="U408" t="str">
        <f>IF([2]Baskol!$C$411="","",[2]Baskol!$C$411)</f>
        <v/>
      </c>
      <c r="V408" t="str">
        <f>IF([2]Baskol!$D$411="","",[2]Baskol!$D$411)</f>
        <v/>
      </c>
      <c r="W408" t="str">
        <f>IF([2]Baskol!$E$411="","",[2]Baskol!$E$411)</f>
        <v/>
      </c>
      <c r="X408" t="str">
        <f>IF([2]Baskol!$G$411="","",[2]Baskol!$G$411)</f>
        <v/>
      </c>
      <c r="Y408" t="str">
        <f>IF([2]Baskol!$I$411="","",[2]Baskol!$I$411)</f>
        <v/>
      </c>
      <c r="Z408" t="str">
        <f>IF([2]Baskol!$J$411="","",[2]Baskol!$J$411)</f>
        <v/>
      </c>
      <c r="AA408" t="str">
        <f>IF([2]Baskol!$K$411="","",[2]Baskol!$K$411)</f>
        <v/>
      </c>
      <c r="AB408" t="str">
        <f>IF([2]Baskol!$L$411="","",[2]Baskol!$L$411)</f>
        <v/>
      </c>
      <c r="AC408" t="str">
        <f>IF([2]Baskol!$N$411="","",[2]Baskol!$N$411)</f>
        <v/>
      </c>
      <c r="AD408" t="str">
        <f>IF([2]Baskol!$O$411="","",[2]Baskol!$O$411)</f>
        <v/>
      </c>
      <c r="AE408" t="str">
        <f>IF([3]Entry!$C$411="","",[3]Entry!$C$411)</f>
        <v/>
      </c>
      <c r="AF408" t="str">
        <f>IF([3]Entry!$D$411="","",[3]Entry!$D$411)</f>
        <v/>
      </c>
      <c r="AG408" t="str">
        <f>IF([3]Entry!$E$411="","",[3]Entry!$E$411)</f>
        <v/>
      </c>
      <c r="AH408" t="str">
        <f>IF([3]Entry!$G$411="","",[3]Entry!$G$411)</f>
        <v/>
      </c>
      <c r="AI408" t="str">
        <f>IF([3]Entry!$K$411="","",[3]Entry!$K$411)</f>
        <v/>
      </c>
      <c r="AJ408" t="str">
        <f>IF([3]Entry!$L$411="","",[3]Entry!$L$411)</f>
        <v/>
      </c>
      <c r="AK408" t="str">
        <f>IF([3]Entry!$M$411="","",[3]Entry!$M$411)</f>
        <v/>
      </c>
      <c r="AL408" t="str">
        <f>IF([3]Entry!$N$411="","",[3]Entry!$N$411)</f>
        <v/>
      </c>
      <c r="AM408" t="str">
        <f>IF([3]Entry!$R$411="","",[3]Entry!$R$411)</f>
        <v/>
      </c>
    </row>
    <row r="409" spans="1:39" x14ac:dyDescent="0.2">
      <c r="A409" t="str">
        <f>IF([1]Accounts!$D$410="","",[1]Accounts!$A$410)</f>
        <v>E004</v>
      </c>
      <c r="B409" t="str">
        <f>IF([1]Accounts!$D$410="","",[1]Accounts!$B$410)</f>
        <v>کارمند</v>
      </c>
      <c r="C409" t="str">
        <f>IF([1]Accounts!$D$410="","",[1]Accounts!$C$410)</f>
        <v>انباردار</v>
      </c>
      <c r="D409" t="str">
        <f>IF([1]Accounts!$D$410="","",[1]Accounts!$D$410)</f>
        <v>(نام انباردار)</v>
      </c>
      <c r="E409">
        <f>IF([1]Accounts!$D$410="","",[1]Accounts!$E$410)</f>
        <v>0</v>
      </c>
      <c r="F409" t="str">
        <f>IF([1]Accounts!$D$410="","",[1]Accounts!$F$410)</f>
        <v>09110000013</v>
      </c>
      <c r="G409">
        <f>IF([1]Accounts!$D$410="","",[1]Accounts!$G$410)</f>
        <v>0</v>
      </c>
      <c r="T409" t="str">
        <f>IF([2]Baskol!$B$412="","",[2]Baskol!$B$412)</f>
        <v/>
      </c>
      <c r="U409" t="str">
        <f>IF([2]Baskol!$C$412="","",[2]Baskol!$C$412)</f>
        <v/>
      </c>
      <c r="V409" t="str">
        <f>IF([2]Baskol!$D$412="","",[2]Baskol!$D$412)</f>
        <v/>
      </c>
      <c r="W409" t="str">
        <f>IF([2]Baskol!$E$412="","",[2]Baskol!$E$412)</f>
        <v/>
      </c>
      <c r="X409" t="str">
        <f>IF([2]Baskol!$G$412="","",[2]Baskol!$G$412)</f>
        <v/>
      </c>
      <c r="Y409" t="str">
        <f>IF([2]Baskol!$I$412="","",[2]Baskol!$I$412)</f>
        <v/>
      </c>
      <c r="Z409" t="str">
        <f>IF([2]Baskol!$J$412="","",[2]Baskol!$J$412)</f>
        <v/>
      </c>
      <c r="AA409" t="str">
        <f>IF([2]Baskol!$K$412="","",[2]Baskol!$K$412)</f>
        <v/>
      </c>
      <c r="AB409" t="str">
        <f>IF([2]Baskol!$L$412="","",[2]Baskol!$L$412)</f>
        <v/>
      </c>
      <c r="AC409" t="str">
        <f>IF([2]Baskol!$N$412="","",[2]Baskol!$N$412)</f>
        <v/>
      </c>
      <c r="AD409" t="str">
        <f>IF([2]Baskol!$O$412="","",[2]Baskol!$O$412)</f>
        <v/>
      </c>
      <c r="AE409" t="str">
        <f>IF([3]Entry!$C$412="","",[3]Entry!$C$412)</f>
        <v/>
      </c>
      <c r="AF409" t="str">
        <f>IF([3]Entry!$D$412="","",[3]Entry!$D$412)</f>
        <v/>
      </c>
      <c r="AG409" t="str">
        <f>IF([3]Entry!$E$412="","",[3]Entry!$E$412)</f>
        <v/>
      </c>
      <c r="AH409" t="str">
        <f>IF([3]Entry!$G$412="","",[3]Entry!$G$412)</f>
        <v/>
      </c>
      <c r="AI409" t="str">
        <f>IF([3]Entry!$K$412="","",[3]Entry!$K$412)</f>
        <v/>
      </c>
      <c r="AJ409" t="str">
        <f>IF([3]Entry!$L$412="","",[3]Entry!$L$412)</f>
        <v/>
      </c>
      <c r="AK409" t="str">
        <f>IF([3]Entry!$M$412="","",[3]Entry!$M$412)</f>
        <v/>
      </c>
      <c r="AL409" t="str">
        <f>IF([3]Entry!$N$412="","",[3]Entry!$N$412)</f>
        <v/>
      </c>
      <c r="AM409" t="str">
        <f>IF([3]Entry!$R$412="","",[3]Entry!$R$412)</f>
        <v/>
      </c>
    </row>
    <row r="410" spans="1:39" x14ac:dyDescent="0.2">
      <c r="A410" t="str">
        <f>IF([1]Accounts!$D$411="","",[1]Accounts!$A$411)</f>
        <v>E005</v>
      </c>
      <c r="B410" t="str">
        <f>IF([1]Accounts!$D$411="","",[1]Accounts!$B$411)</f>
        <v>کارمند</v>
      </c>
      <c r="C410" t="str">
        <f>IF([1]Accounts!$D$411="","",[1]Accounts!$C$411)</f>
        <v>سرپرست خط</v>
      </c>
      <c r="D410" t="str">
        <f>IF([1]Accounts!$D$411="","",[1]Accounts!$D$411)</f>
        <v>رضا کاظمی (نمونه)</v>
      </c>
      <c r="E410">
        <f>IF([1]Accounts!$D$411="","",[1]Accounts!$E$411)</f>
        <v>0</v>
      </c>
      <c r="F410" t="str">
        <f>IF([1]Accounts!$D$411="","",[1]Accounts!$F$411)</f>
        <v>09110000014</v>
      </c>
      <c r="G410" t="str">
        <f>IF([1]Accounts!$D$411="","",[1]Accounts!$G$411)</f>
        <v>قائم‌شهر</v>
      </c>
      <c r="T410" t="str">
        <f>IF([2]Baskol!$B$413="","",[2]Baskol!$B$413)</f>
        <v/>
      </c>
      <c r="U410" t="str">
        <f>IF([2]Baskol!$C$413="","",[2]Baskol!$C$413)</f>
        <v/>
      </c>
      <c r="V410" t="str">
        <f>IF([2]Baskol!$D$413="","",[2]Baskol!$D$413)</f>
        <v/>
      </c>
      <c r="W410" t="str">
        <f>IF([2]Baskol!$E$413="","",[2]Baskol!$E$413)</f>
        <v/>
      </c>
      <c r="X410" t="str">
        <f>IF([2]Baskol!$G$413="","",[2]Baskol!$G$413)</f>
        <v/>
      </c>
      <c r="Y410" t="str">
        <f>IF([2]Baskol!$I$413="","",[2]Baskol!$I$413)</f>
        <v/>
      </c>
      <c r="Z410" t="str">
        <f>IF([2]Baskol!$J$413="","",[2]Baskol!$J$413)</f>
        <v/>
      </c>
      <c r="AA410" t="str">
        <f>IF([2]Baskol!$K$413="","",[2]Baskol!$K$413)</f>
        <v/>
      </c>
      <c r="AB410" t="str">
        <f>IF([2]Baskol!$L$413="","",[2]Baskol!$L$413)</f>
        <v/>
      </c>
      <c r="AC410" t="str">
        <f>IF([2]Baskol!$N$413="","",[2]Baskol!$N$413)</f>
        <v/>
      </c>
      <c r="AD410" t="str">
        <f>IF([2]Baskol!$O$413="","",[2]Baskol!$O$413)</f>
        <v/>
      </c>
      <c r="AE410" t="str">
        <f>IF([3]Entry!$C$413="","",[3]Entry!$C$413)</f>
        <v/>
      </c>
      <c r="AF410" t="str">
        <f>IF([3]Entry!$D$413="","",[3]Entry!$D$413)</f>
        <v/>
      </c>
      <c r="AG410" t="str">
        <f>IF([3]Entry!$E$413="","",[3]Entry!$E$413)</f>
        <v/>
      </c>
      <c r="AH410" t="str">
        <f>IF([3]Entry!$G$413="","",[3]Entry!$G$413)</f>
        <v/>
      </c>
      <c r="AI410" t="str">
        <f>IF([3]Entry!$K$413="","",[3]Entry!$K$413)</f>
        <v/>
      </c>
      <c r="AJ410" t="str">
        <f>IF([3]Entry!$L$413="","",[3]Entry!$L$413)</f>
        <v/>
      </c>
      <c r="AK410" t="str">
        <f>IF([3]Entry!$M$413="","",[3]Entry!$M$413)</f>
        <v/>
      </c>
      <c r="AL410" t="str">
        <f>IF([3]Entry!$N$413="","",[3]Entry!$N$413)</f>
        <v/>
      </c>
      <c r="AM410" t="str">
        <f>IF([3]Entry!$R$413="","",[3]Entry!$R$413)</f>
        <v/>
      </c>
    </row>
    <row r="411" spans="1:39" x14ac:dyDescent="0.2">
      <c r="A411" t="str">
        <f>IF([1]Accounts!$D$412="","",[1]Accounts!$A$412)</f>
        <v>E006</v>
      </c>
      <c r="B411" t="str">
        <f>IF([1]Accounts!$D$412="","",[1]Accounts!$B$412)</f>
        <v>کارمند</v>
      </c>
      <c r="C411" t="str">
        <f>IF([1]Accounts!$D$412="","",[1]Accounts!$C$412)</f>
        <v>کارگر</v>
      </c>
      <c r="D411" t="str">
        <f>IF([1]Accounts!$D$412="","",[1]Accounts!$D$412)</f>
        <v>علی احمدی (نمونه)</v>
      </c>
      <c r="E411">
        <f>IF([1]Accounts!$D$412="","",[1]Accounts!$E$412)</f>
        <v>0</v>
      </c>
      <c r="F411" t="str">
        <f>IF([1]Accounts!$D$412="","",[1]Accounts!$F$412)</f>
        <v>09110000015</v>
      </c>
      <c r="G411" t="str">
        <f>IF([1]Accounts!$D$412="","",[1]Accounts!$G$412)</f>
        <v>قائم‌شهر</v>
      </c>
      <c r="T411" t="str">
        <f>IF([2]Baskol!$B$414="","",[2]Baskol!$B$414)</f>
        <v/>
      </c>
      <c r="U411" t="str">
        <f>IF([2]Baskol!$C$414="","",[2]Baskol!$C$414)</f>
        <v/>
      </c>
      <c r="V411" t="str">
        <f>IF([2]Baskol!$D$414="","",[2]Baskol!$D$414)</f>
        <v/>
      </c>
      <c r="W411" t="str">
        <f>IF([2]Baskol!$E$414="","",[2]Baskol!$E$414)</f>
        <v/>
      </c>
      <c r="X411" t="str">
        <f>IF([2]Baskol!$G$414="","",[2]Baskol!$G$414)</f>
        <v/>
      </c>
      <c r="Y411" t="str">
        <f>IF([2]Baskol!$I$414="","",[2]Baskol!$I$414)</f>
        <v/>
      </c>
      <c r="Z411" t="str">
        <f>IF([2]Baskol!$J$414="","",[2]Baskol!$J$414)</f>
        <v/>
      </c>
      <c r="AA411" t="str">
        <f>IF([2]Baskol!$K$414="","",[2]Baskol!$K$414)</f>
        <v/>
      </c>
      <c r="AB411" t="str">
        <f>IF([2]Baskol!$L$414="","",[2]Baskol!$L$414)</f>
        <v/>
      </c>
      <c r="AC411" t="str">
        <f>IF([2]Baskol!$N$414="","",[2]Baskol!$N$414)</f>
        <v/>
      </c>
      <c r="AD411" t="str">
        <f>IF([2]Baskol!$O$414="","",[2]Baskol!$O$414)</f>
        <v/>
      </c>
      <c r="AE411" t="str">
        <f>IF([3]Entry!$C$414="","",[3]Entry!$C$414)</f>
        <v/>
      </c>
      <c r="AF411" t="str">
        <f>IF([3]Entry!$D$414="","",[3]Entry!$D$414)</f>
        <v/>
      </c>
      <c r="AG411" t="str">
        <f>IF([3]Entry!$E$414="","",[3]Entry!$E$414)</f>
        <v/>
      </c>
      <c r="AH411" t="str">
        <f>IF([3]Entry!$G$414="","",[3]Entry!$G$414)</f>
        <v/>
      </c>
      <c r="AI411" t="str">
        <f>IF([3]Entry!$K$414="","",[3]Entry!$K$414)</f>
        <v/>
      </c>
      <c r="AJ411" t="str">
        <f>IF([3]Entry!$L$414="","",[3]Entry!$L$414)</f>
        <v/>
      </c>
      <c r="AK411" t="str">
        <f>IF([3]Entry!$M$414="","",[3]Entry!$M$414)</f>
        <v/>
      </c>
      <c r="AL411" t="str">
        <f>IF([3]Entry!$N$414="","",[3]Entry!$N$414)</f>
        <v/>
      </c>
      <c r="AM411" t="str">
        <f>IF([3]Entry!$R$414="","",[3]Entry!$R$414)</f>
        <v/>
      </c>
    </row>
    <row r="412" spans="1:39" x14ac:dyDescent="0.2">
      <c r="A412" t="str">
        <f>IF([1]Accounts!$D$413="","",[1]Accounts!$A$413)</f>
        <v/>
      </c>
      <c r="B412" t="str">
        <f>IF([1]Accounts!$D$413="","",[1]Accounts!$B$413)</f>
        <v/>
      </c>
      <c r="C412" t="str">
        <f>IF([1]Accounts!$D$413="","",[1]Accounts!$C$413)</f>
        <v/>
      </c>
      <c r="D412" t="str">
        <f>IF([1]Accounts!$D$413="","",[1]Accounts!$D$413)</f>
        <v/>
      </c>
      <c r="E412" t="str">
        <f>IF([1]Accounts!$D$413="","",[1]Accounts!$E$413)</f>
        <v/>
      </c>
      <c r="F412" t="str">
        <f>IF([1]Accounts!$D$413="","",[1]Accounts!$F$413)</f>
        <v/>
      </c>
      <c r="G412" t="str">
        <f>IF([1]Accounts!$D$413="","",[1]Accounts!$G$413)</f>
        <v/>
      </c>
      <c r="T412" t="str">
        <f>IF([2]Baskol!$B$415="","",[2]Baskol!$B$415)</f>
        <v/>
      </c>
      <c r="U412" t="str">
        <f>IF([2]Baskol!$C$415="","",[2]Baskol!$C$415)</f>
        <v/>
      </c>
      <c r="V412" t="str">
        <f>IF([2]Baskol!$D$415="","",[2]Baskol!$D$415)</f>
        <v/>
      </c>
      <c r="W412" t="str">
        <f>IF([2]Baskol!$E$415="","",[2]Baskol!$E$415)</f>
        <v/>
      </c>
      <c r="X412" t="str">
        <f>IF([2]Baskol!$G$415="","",[2]Baskol!$G$415)</f>
        <v/>
      </c>
      <c r="Y412" t="str">
        <f>IF([2]Baskol!$I$415="","",[2]Baskol!$I$415)</f>
        <v/>
      </c>
      <c r="Z412" t="str">
        <f>IF([2]Baskol!$J$415="","",[2]Baskol!$J$415)</f>
        <v/>
      </c>
      <c r="AA412" t="str">
        <f>IF([2]Baskol!$K$415="","",[2]Baskol!$K$415)</f>
        <v/>
      </c>
      <c r="AB412" t="str">
        <f>IF([2]Baskol!$L$415="","",[2]Baskol!$L$415)</f>
        <v/>
      </c>
      <c r="AC412" t="str">
        <f>IF([2]Baskol!$N$415="","",[2]Baskol!$N$415)</f>
        <v/>
      </c>
      <c r="AD412" t="str">
        <f>IF([2]Baskol!$O$415="","",[2]Baskol!$O$415)</f>
        <v/>
      </c>
      <c r="AE412" t="str">
        <f>IF([3]Entry!$C$415="","",[3]Entry!$C$415)</f>
        <v/>
      </c>
      <c r="AF412" t="str">
        <f>IF([3]Entry!$D$415="","",[3]Entry!$D$415)</f>
        <v/>
      </c>
      <c r="AG412" t="str">
        <f>IF([3]Entry!$E$415="","",[3]Entry!$E$415)</f>
        <v/>
      </c>
      <c r="AH412" t="str">
        <f>IF([3]Entry!$G$415="","",[3]Entry!$G$415)</f>
        <v/>
      </c>
      <c r="AI412" t="str">
        <f>IF([3]Entry!$K$415="","",[3]Entry!$K$415)</f>
        <v/>
      </c>
      <c r="AJ412" t="str">
        <f>IF([3]Entry!$L$415="","",[3]Entry!$L$415)</f>
        <v/>
      </c>
      <c r="AK412" t="str">
        <f>IF([3]Entry!$M$415="","",[3]Entry!$M$415)</f>
        <v/>
      </c>
      <c r="AL412" t="str">
        <f>IF([3]Entry!$N$415="","",[3]Entry!$N$415)</f>
        <v/>
      </c>
      <c r="AM412" t="str">
        <f>IF([3]Entry!$R$415="","",[3]Entry!$R$415)</f>
        <v/>
      </c>
    </row>
    <row r="413" spans="1:39" x14ac:dyDescent="0.2">
      <c r="A413" t="str">
        <f>IF([1]Accounts!$D$414="","",[1]Accounts!$A$414)</f>
        <v/>
      </c>
      <c r="B413" t="str">
        <f>IF([1]Accounts!$D$414="","",[1]Accounts!$B$414)</f>
        <v/>
      </c>
      <c r="C413" t="str">
        <f>IF([1]Accounts!$D$414="","",[1]Accounts!$C$414)</f>
        <v/>
      </c>
      <c r="D413" t="str">
        <f>IF([1]Accounts!$D$414="","",[1]Accounts!$D$414)</f>
        <v/>
      </c>
      <c r="E413" t="str">
        <f>IF([1]Accounts!$D$414="","",[1]Accounts!$E$414)</f>
        <v/>
      </c>
      <c r="F413" t="str">
        <f>IF([1]Accounts!$D$414="","",[1]Accounts!$F$414)</f>
        <v/>
      </c>
      <c r="G413" t="str">
        <f>IF([1]Accounts!$D$414="","",[1]Accounts!$G$414)</f>
        <v/>
      </c>
      <c r="T413" t="str">
        <f>IF([2]Baskol!$B$416="","",[2]Baskol!$B$416)</f>
        <v/>
      </c>
      <c r="U413" t="str">
        <f>IF([2]Baskol!$C$416="","",[2]Baskol!$C$416)</f>
        <v/>
      </c>
      <c r="V413" t="str">
        <f>IF([2]Baskol!$D$416="","",[2]Baskol!$D$416)</f>
        <v/>
      </c>
      <c r="W413" t="str">
        <f>IF([2]Baskol!$E$416="","",[2]Baskol!$E$416)</f>
        <v/>
      </c>
      <c r="X413" t="str">
        <f>IF([2]Baskol!$G$416="","",[2]Baskol!$G$416)</f>
        <v/>
      </c>
      <c r="Y413" t="str">
        <f>IF([2]Baskol!$I$416="","",[2]Baskol!$I$416)</f>
        <v/>
      </c>
      <c r="Z413" t="str">
        <f>IF([2]Baskol!$J$416="","",[2]Baskol!$J$416)</f>
        <v/>
      </c>
      <c r="AA413" t="str">
        <f>IF([2]Baskol!$K$416="","",[2]Baskol!$K$416)</f>
        <v/>
      </c>
      <c r="AB413" t="str">
        <f>IF([2]Baskol!$L$416="","",[2]Baskol!$L$416)</f>
        <v/>
      </c>
      <c r="AC413" t="str">
        <f>IF([2]Baskol!$N$416="","",[2]Baskol!$N$416)</f>
        <v/>
      </c>
      <c r="AD413" t="str">
        <f>IF([2]Baskol!$O$416="","",[2]Baskol!$O$416)</f>
        <v/>
      </c>
      <c r="AE413" t="str">
        <f>IF([3]Entry!$C$416="","",[3]Entry!$C$416)</f>
        <v/>
      </c>
      <c r="AF413" t="str">
        <f>IF([3]Entry!$D$416="","",[3]Entry!$D$416)</f>
        <v/>
      </c>
      <c r="AG413" t="str">
        <f>IF([3]Entry!$E$416="","",[3]Entry!$E$416)</f>
        <v/>
      </c>
      <c r="AH413" t="str">
        <f>IF([3]Entry!$G$416="","",[3]Entry!$G$416)</f>
        <v/>
      </c>
      <c r="AI413" t="str">
        <f>IF([3]Entry!$K$416="","",[3]Entry!$K$416)</f>
        <v/>
      </c>
      <c r="AJ413" t="str">
        <f>IF([3]Entry!$L$416="","",[3]Entry!$L$416)</f>
        <v/>
      </c>
      <c r="AK413" t="str">
        <f>IF([3]Entry!$M$416="","",[3]Entry!$M$416)</f>
        <v/>
      </c>
      <c r="AL413" t="str">
        <f>IF([3]Entry!$N$416="","",[3]Entry!$N$416)</f>
        <v/>
      </c>
      <c r="AM413" t="str">
        <f>IF([3]Entry!$R$416="","",[3]Entry!$R$416)</f>
        <v/>
      </c>
    </row>
    <row r="414" spans="1:39" x14ac:dyDescent="0.2">
      <c r="A414" t="str">
        <f>IF([1]Accounts!$D$415="","",[1]Accounts!$A$415)</f>
        <v/>
      </c>
      <c r="B414" t="str">
        <f>IF([1]Accounts!$D$415="","",[1]Accounts!$B$415)</f>
        <v/>
      </c>
      <c r="C414" t="str">
        <f>IF([1]Accounts!$D$415="","",[1]Accounts!$C$415)</f>
        <v/>
      </c>
      <c r="D414" t="str">
        <f>IF([1]Accounts!$D$415="","",[1]Accounts!$D$415)</f>
        <v/>
      </c>
      <c r="E414" t="str">
        <f>IF([1]Accounts!$D$415="","",[1]Accounts!$E$415)</f>
        <v/>
      </c>
      <c r="F414" t="str">
        <f>IF([1]Accounts!$D$415="","",[1]Accounts!$F$415)</f>
        <v/>
      </c>
      <c r="G414" t="str">
        <f>IF([1]Accounts!$D$415="","",[1]Accounts!$G$415)</f>
        <v/>
      </c>
      <c r="T414" t="str">
        <f>IF([2]Baskol!$B$417="","",[2]Baskol!$B$417)</f>
        <v/>
      </c>
      <c r="U414" t="str">
        <f>IF([2]Baskol!$C$417="","",[2]Baskol!$C$417)</f>
        <v/>
      </c>
      <c r="V414" t="str">
        <f>IF([2]Baskol!$D$417="","",[2]Baskol!$D$417)</f>
        <v/>
      </c>
      <c r="W414" t="str">
        <f>IF([2]Baskol!$E$417="","",[2]Baskol!$E$417)</f>
        <v/>
      </c>
      <c r="X414" t="str">
        <f>IF([2]Baskol!$G$417="","",[2]Baskol!$G$417)</f>
        <v/>
      </c>
      <c r="Y414" t="str">
        <f>IF([2]Baskol!$I$417="","",[2]Baskol!$I$417)</f>
        <v/>
      </c>
      <c r="Z414" t="str">
        <f>IF([2]Baskol!$J$417="","",[2]Baskol!$J$417)</f>
        <v/>
      </c>
      <c r="AA414" t="str">
        <f>IF([2]Baskol!$K$417="","",[2]Baskol!$K$417)</f>
        <v/>
      </c>
      <c r="AB414" t="str">
        <f>IF([2]Baskol!$L$417="","",[2]Baskol!$L$417)</f>
        <v/>
      </c>
      <c r="AC414" t="str">
        <f>IF([2]Baskol!$N$417="","",[2]Baskol!$N$417)</f>
        <v/>
      </c>
      <c r="AD414" t="str">
        <f>IF([2]Baskol!$O$417="","",[2]Baskol!$O$417)</f>
        <v/>
      </c>
      <c r="AE414" t="str">
        <f>IF([3]Entry!$C$417="","",[3]Entry!$C$417)</f>
        <v/>
      </c>
      <c r="AF414" t="str">
        <f>IF([3]Entry!$D$417="","",[3]Entry!$D$417)</f>
        <v/>
      </c>
      <c r="AG414" t="str">
        <f>IF([3]Entry!$E$417="","",[3]Entry!$E$417)</f>
        <v/>
      </c>
      <c r="AH414" t="str">
        <f>IF([3]Entry!$G$417="","",[3]Entry!$G$417)</f>
        <v/>
      </c>
      <c r="AI414" t="str">
        <f>IF([3]Entry!$K$417="","",[3]Entry!$K$417)</f>
        <v/>
      </c>
      <c r="AJ414" t="str">
        <f>IF([3]Entry!$L$417="","",[3]Entry!$L$417)</f>
        <v/>
      </c>
      <c r="AK414" t="str">
        <f>IF([3]Entry!$M$417="","",[3]Entry!$M$417)</f>
        <v/>
      </c>
      <c r="AL414" t="str">
        <f>IF([3]Entry!$N$417="","",[3]Entry!$N$417)</f>
        <v/>
      </c>
      <c r="AM414" t="str">
        <f>IF([3]Entry!$R$417="","",[3]Entry!$R$417)</f>
        <v/>
      </c>
    </row>
    <row r="415" spans="1:39" x14ac:dyDescent="0.2">
      <c r="A415" t="str">
        <f>IF([1]Accounts!$D$416="","",[1]Accounts!$A$416)</f>
        <v/>
      </c>
      <c r="B415" t="str">
        <f>IF([1]Accounts!$D$416="","",[1]Accounts!$B$416)</f>
        <v/>
      </c>
      <c r="C415" t="str">
        <f>IF([1]Accounts!$D$416="","",[1]Accounts!$C$416)</f>
        <v/>
      </c>
      <c r="D415" t="str">
        <f>IF([1]Accounts!$D$416="","",[1]Accounts!$D$416)</f>
        <v/>
      </c>
      <c r="E415" t="str">
        <f>IF([1]Accounts!$D$416="","",[1]Accounts!$E$416)</f>
        <v/>
      </c>
      <c r="F415" t="str">
        <f>IF([1]Accounts!$D$416="","",[1]Accounts!$F$416)</f>
        <v/>
      </c>
      <c r="G415" t="str">
        <f>IF([1]Accounts!$D$416="","",[1]Accounts!$G$416)</f>
        <v/>
      </c>
      <c r="T415" t="str">
        <f>IF([2]Baskol!$B$418="","",[2]Baskol!$B$418)</f>
        <v/>
      </c>
      <c r="U415" t="str">
        <f>IF([2]Baskol!$C$418="","",[2]Baskol!$C$418)</f>
        <v/>
      </c>
      <c r="V415" t="str">
        <f>IF([2]Baskol!$D$418="","",[2]Baskol!$D$418)</f>
        <v/>
      </c>
      <c r="W415" t="str">
        <f>IF([2]Baskol!$E$418="","",[2]Baskol!$E$418)</f>
        <v/>
      </c>
      <c r="X415" t="str">
        <f>IF([2]Baskol!$G$418="","",[2]Baskol!$G$418)</f>
        <v/>
      </c>
      <c r="Y415" t="str">
        <f>IF([2]Baskol!$I$418="","",[2]Baskol!$I$418)</f>
        <v/>
      </c>
      <c r="Z415" t="str">
        <f>IF([2]Baskol!$J$418="","",[2]Baskol!$J$418)</f>
        <v/>
      </c>
      <c r="AA415" t="str">
        <f>IF([2]Baskol!$K$418="","",[2]Baskol!$K$418)</f>
        <v/>
      </c>
      <c r="AB415" t="str">
        <f>IF([2]Baskol!$L$418="","",[2]Baskol!$L$418)</f>
        <v/>
      </c>
      <c r="AC415" t="str">
        <f>IF([2]Baskol!$N$418="","",[2]Baskol!$N$418)</f>
        <v/>
      </c>
      <c r="AD415" t="str">
        <f>IF([2]Baskol!$O$418="","",[2]Baskol!$O$418)</f>
        <v/>
      </c>
      <c r="AE415" t="str">
        <f>IF([3]Entry!$C$418="","",[3]Entry!$C$418)</f>
        <v/>
      </c>
      <c r="AF415" t="str">
        <f>IF([3]Entry!$D$418="","",[3]Entry!$D$418)</f>
        <v/>
      </c>
      <c r="AG415" t="str">
        <f>IF([3]Entry!$E$418="","",[3]Entry!$E$418)</f>
        <v/>
      </c>
      <c r="AH415" t="str">
        <f>IF([3]Entry!$G$418="","",[3]Entry!$G$418)</f>
        <v/>
      </c>
      <c r="AI415" t="str">
        <f>IF([3]Entry!$K$418="","",[3]Entry!$K$418)</f>
        <v/>
      </c>
      <c r="AJ415" t="str">
        <f>IF([3]Entry!$L$418="","",[3]Entry!$L$418)</f>
        <v/>
      </c>
      <c r="AK415" t="str">
        <f>IF([3]Entry!$M$418="","",[3]Entry!$M$418)</f>
        <v/>
      </c>
      <c r="AL415" t="str">
        <f>IF([3]Entry!$N$418="","",[3]Entry!$N$418)</f>
        <v/>
      </c>
      <c r="AM415" t="str">
        <f>IF([3]Entry!$R$418="","",[3]Entry!$R$418)</f>
        <v/>
      </c>
    </row>
    <row r="416" spans="1:39" x14ac:dyDescent="0.2">
      <c r="A416" t="str">
        <f>IF([1]Accounts!$D$417="","",[1]Accounts!$A$417)</f>
        <v/>
      </c>
      <c r="B416" t="str">
        <f>IF([1]Accounts!$D$417="","",[1]Accounts!$B$417)</f>
        <v/>
      </c>
      <c r="C416" t="str">
        <f>IF([1]Accounts!$D$417="","",[1]Accounts!$C$417)</f>
        <v/>
      </c>
      <c r="D416" t="str">
        <f>IF([1]Accounts!$D$417="","",[1]Accounts!$D$417)</f>
        <v/>
      </c>
      <c r="E416" t="str">
        <f>IF([1]Accounts!$D$417="","",[1]Accounts!$E$417)</f>
        <v/>
      </c>
      <c r="F416" t="str">
        <f>IF([1]Accounts!$D$417="","",[1]Accounts!$F$417)</f>
        <v/>
      </c>
      <c r="G416" t="str">
        <f>IF([1]Accounts!$D$417="","",[1]Accounts!$G$417)</f>
        <v/>
      </c>
      <c r="T416" t="str">
        <f>IF([2]Baskol!$B$419="","",[2]Baskol!$B$419)</f>
        <v/>
      </c>
      <c r="U416" t="str">
        <f>IF([2]Baskol!$C$419="","",[2]Baskol!$C$419)</f>
        <v/>
      </c>
      <c r="V416" t="str">
        <f>IF([2]Baskol!$D$419="","",[2]Baskol!$D$419)</f>
        <v/>
      </c>
      <c r="W416" t="str">
        <f>IF([2]Baskol!$E$419="","",[2]Baskol!$E$419)</f>
        <v/>
      </c>
      <c r="X416" t="str">
        <f>IF([2]Baskol!$G$419="","",[2]Baskol!$G$419)</f>
        <v/>
      </c>
      <c r="Y416" t="str">
        <f>IF([2]Baskol!$I$419="","",[2]Baskol!$I$419)</f>
        <v/>
      </c>
      <c r="Z416" t="str">
        <f>IF([2]Baskol!$J$419="","",[2]Baskol!$J$419)</f>
        <v/>
      </c>
      <c r="AA416" t="str">
        <f>IF([2]Baskol!$K$419="","",[2]Baskol!$K$419)</f>
        <v/>
      </c>
      <c r="AB416" t="str">
        <f>IF([2]Baskol!$L$419="","",[2]Baskol!$L$419)</f>
        <v/>
      </c>
      <c r="AC416" t="str">
        <f>IF([2]Baskol!$N$419="","",[2]Baskol!$N$419)</f>
        <v/>
      </c>
      <c r="AD416" t="str">
        <f>IF([2]Baskol!$O$419="","",[2]Baskol!$O$419)</f>
        <v/>
      </c>
      <c r="AE416" t="str">
        <f>IF([3]Entry!$C$419="","",[3]Entry!$C$419)</f>
        <v/>
      </c>
      <c r="AF416" t="str">
        <f>IF([3]Entry!$D$419="","",[3]Entry!$D$419)</f>
        <v/>
      </c>
      <c r="AG416" t="str">
        <f>IF([3]Entry!$E$419="","",[3]Entry!$E$419)</f>
        <v/>
      </c>
      <c r="AH416" t="str">
        <f>IF([3]Entry!$G$419="","",[3]Entry!$G$419)</f>
        <v/>
      </c>
      <c r="AI416" t="str">
        <f>IF([3]Entry!$K$419="","",[3]Entry!$K$419)</f>
        <v/>
      </c>
      <c r="AJ416" t="str">
        <f>IF([3]Entry!$L$419="","",[3]Entry!$L$419)</f>
        <v/>
      </c>
      <c r="AK416" t="str">
        <f>IF([3]Entry!$M$419="","",[3]Entry!$M$419)</f>
        <v/>
      </c>
      <c r="AL416" t="str">
        <f>IF([3]Entry!$N$419="","",[3]Entry!$N$419)</f>
        <v/>
      </c>
      <c r="AM416" t="str">
        <f>IF([3]Entry!$R$419="","",[3]Entry!$R$419)</f>
        <v/>
      </c>
    </row>
    <row r="417" spans="1:39" x14ac:dyDescent="0.2">
      <c r="A417" t="str">
        <f>IF([1]Accounts!$D$418="","",[1]Accounts!$A$418)</f>
        <v/>
      </c>
      <c r="B417" t="str">
        <f>IF([1]Accounts!$D$418="","",[1]Accounts!$B$418)</f>
        <v/>
      </c>
      <c r="C417" t="str">
        <f>IF([1]Accounts!$D$418="","",[1]Accounts!$C$418)</f>
        <v/>
      </c>
      <c r="D417" t="str">
        <f>IF([1]Accounts!$D$418="","",[1]Accounts!$D$418)</f>
        <v/>
      </c>
      <c r="E417" t="str">
        <f>IF([1]Accounts!$D$418="","",[1]Accounts!$E$418)</f>
        <v/>
      </c>
      <c r="F417" t="str">
        <f>IF([1]Accounts!$D$418="","",[1]Accounts!$F$418)</f>
        <v/>
      </c>
      <c r="G417" t="str">
        <f>IF([1]Accounts!$D$418="","",[1]Accounts!$G$418)</f>
        <v/>
      </c>
      <c r="T417" t="str">
        <f>IF([2]Baskol!$B$420="","",[2]Baskol!$B$420)</f>
        <v/>
      </c>
      <c r="U417" t="str">
        <f>IF([2]Baskol!$C$420="","",[2]Baskol!$C$420)</f>
        <v/>
      </c>
      <c r="V417" t="str">
        <f>IF([2]Baskol!$D$420="","",[2]Baskol!$D$420)</f>
        <v/>
      </c>
      <c r="W417" t="str">
        <f>IF([2]Baskol!$E$420="","",[2]Baskol!$E$420)</f>
        <v/>
      </c>
      <c r="X417" t="str">
        <f>IF([2]Baskol!$G$420="","",[2]Baskol!$G$420)</f>
        <v/>
      </c>
      <c r="Y417" t="str">
        <f>IF([2]Baskol!$I$420="","",[2]Baskol!$I$420)</f>
        <v/>
      </c>
      <c r="Z417" t="str">
        <f>IF([2]Baskol!$J$420="","",[2]Baskol!$J$420)</f>
        <v/>
      </c>
      <c r="AA417" t="str">
        <f>IF([2]Baskol!$K$420="","",[2]Baskol!$K$420)</f>
        <v/>
      </c>
      <c r="AB417" t="str">
        <f>IF([2]Baskol!$L$420="","",[2]Baskol!$L$420)</f>
        <v/>
      </c>
      <c r="AC417" t="str">
        <f>IF([2]Baskol!$N$420="","",[2]Baskol!$N$420)</f>
        <v/>
      </c>
      <c r="AD417" t="str">
        <f>IF([2]Baskol!$O$420="","",[2]Baskol!$O$420)</f>
        <v/>
      </c>
      <c r="AE417" t="str">
        <f>IF([3]Entry!$C$420="","",[3]Entry!$C$420)</f>
        <v/>
      </c>
      <c r="AF417" t="str">
        <f>IF([3]Entry!$D$420="","",[3]Entry!$D$420)</f>
        <v/>
      </c>
      <c r="AG417" t="str">
        <f>IF([3]Entry!$E$420="","",[3]Entry!$E$420)</f>
        <v/>
      </c>
      <c r="AH417" t="str">
        <f>IF([3]Entry!$G$420="","",[3]Entry!$G$420)</f>
        <v/>
      </c>
      <c r="AI417" t="str">
        <f>IF([3]Entry!$K$420="","",[3]Entry!$K$420)</f>
        <v/>
      </c>
      <c r="AJ417" t="str">
        <f>IF([3]Entry!$L$420="","",[3]Entry!$L$420)</f>
        <v/>
      </c>
      <c r="AK417" t="str">
        <f>IF([3]Entry!$M$420="","",[3]Entry!$M$420)</f>
        <v/>
      </c>
      <c r="AL417" t="str">
        <f>IF([3]Entry!$N$420="","",[3]Entry!$N$420)</f>
        <v/>
      </c>
      <c r="AM417" t="str">
        <f>IF([3]Entry!$R$420="","",[3]Entry!$R$420)</f>
        <v/>
      </c>
    </row>
    <row r="418" spans="1:39" x14ac:dyDescent="0.2">
      <c r="A418" t="str">
        <f>IF([1]Accounts!$D$419="","",[1]Accounts!$A$419)</f>
        <v/>
      </c>
      <c r="B418" t="str">
        <f>IF([1]Accounts!$D$419="","",[1]Accounts!$B$419)</f>
        <v/>
      </c>
      <c r="C418" t="str">
        <f>IF([1]Accounts!$D$419="","",[1]Accounts!$C$419)</f>
        <v/>
      </c>
      <c r="D418" t="str">
        <f>IF([1]Accounts!$D$419="","",[1]Accounts!$D$419)</f>
        <v/>
      </c>
      <c r="E418" t="str">
        <f>IF([1]Accounts!$D$419="","",[1]Accounts!$E$419)</f>
        <v/>
      </c>
      <c r="F418" t="str">
        <f>IF([1]Accounts!$D$419="","",[1]Accounts!$F$419)</f>
        <v/>
      </c>
      <c r="G418" t="str">
        <f>IF([1]Accounts!$D$419="","",[1]Accounts!$G$419)</f>
        <v/>
      </c>
      <c r="T418" t="str">
        <f>IF([2]Baskol!$B$421="","",[2]Baskol!$B$421)</f>
        <v/>
      </c>
      <c r="U418" t="str">
        <f>IF([2]Baskol!$C$421="","",[2]Baskol!$C$421)</f>
        <v/>
      </c>
      <c r="V418" t="str">
        <f>IF([2]Baskol!$D$421="","",[2]Baskol!$D$421)</f>
        <v/>
      </c>
      <c r="W418" t="str">
        <f>IF([2]Baskol!$E$421="","",[2]Baskol!$E$421)</f>
        <v/>
      </c>
      <c r="X418" t="str">
        <f>IF([2]Baskol!$G$421="","",[2]Baskol!$G$421)</f>
        <v/>
      </c>
      <c r="Y418" t="str">
        <f>IF([2]Baskol!$I$421="","",[2]Baskol!$I$421)</f>
        <v/>
      </c>
      <c r="Z418" t="str">
        <f>IF([2]Baskol!$J$421="","",[2]Baskol!$J$421)</f>
        <v/>
      </c>
      <c r="AA418" t="str">
        <f>IF([2]Baskol!$K$421="","",[2]Baskol!$K$421)</f>
        <v/>
      </c>
      <c r="AB418" t="str">
        <f>IF([2]Baskol!$L$421="","",[2]Baskol!$L$421)</f>
        <v/>
      </c>
      <c r="AC418" t="str">
        <f>IF([2]Baskol!$N$421="","",[2]Baskol!$N$421)</f>
        <v/>
      </c>
      <c r="AD418" t="str">
        <f>IF([2]Baskol!$O$421="","",[2]Baskol!$O$421)</f>
        <v/>
      </c>
      <c r="AE418" t="str">
        <f>IF([3]Entry!$C$421="","",[3]Entry!$C$421)</f>
        <v/>
      </c>
      <c r="AF418" t="str">
        <f>IF([3]Entry!$D$421="","",[3]Entry!$D$421)</f>
        <v/>
      </c>
      <c r="AG418" t="str">
        <f>IF([3]Entry!$E$421="","",[3]Entry!$E$421)</f>
        <v/>
      </c>
      <c r="AH418" t="str">
        <f>IF([3]Entry!$G$421="","",[3]Entry!$G$421)</f>
        <v/>
      </c>
      <c r="AI418" t="str">
        <f>IF([3]Entry!$K$421="","",[3]Entry!$K$421)</f>
        <v/>
      </c>
      <c r="AJ418" t="str">
        <f>IF([3]Entry!$L$421="","",[3]Entry!$L$421)</f>
        <v/>
      </c>
      <c r="AK418" t="str">
        <f>IF([3]Entry!$M$421="","",[3]Entry!$M$421)</f>
        <v/>
      </c>
      <c r="AL418" t="str">
        <f>IF([3]Entry!$N$421="","",[3]Entry!$N$421)</f>
        <v/>
      </c>
      <c r="AM418" t="str">
        <f>IF([3]Entry!$R$421="","",[3]Entry!$R$421)</f>
        <v/>
      </c>
    </row>
    <row r="419" spans="1:39" x14ac:dyDescent="0.2">
      <c r="A419" t="str">
        <f>IF([1]Accounts!$D$420="","",[1]Accounts!$A$420)</f>
        <v/>
      </c>
      <c r="B419" t="str">
        <f>IF([1]Accounts!$D$420="","",[1]Accounts!$B$420)</f>
        <v/>
      </c>
      <c r="C419" t="str">
        <f>IF([1]Accounts!$D$420="","",[1]Accounts!$C$420)</f>
        <v/>
      </c>
      <c r="D419" t="str">
        <f>IF([1]Accounts!$D$420="","",[1]Accounts!$D$420)</f>
        <v/>
      </c>
      <c r="E419" t="str">
        <f>IF([1]Accounts!$D$420="","",[1]Accounts!$E$420)</f>
        <v/>
      </c>
      <c r="F419" t="str">
        <f>IF([1]Accounts!$D$420="","",[1]Accounts!$F$420)</f>
        <v/>
      </c>
      <c r="G419" t="str">
        <f>IF([1]Accounts!$D$420="","",[1]Accounts!$G$420)</f>
        <v/>
      </c>
      <c r="T419" t="str">
        <f>IF([2]Baskol!$B$422="","",[2]Baskol!$B$422)</f>
        <v/>
      </c>
      <c r="U419" t="str">
        <f>IF([2]Baskol!$C$422="","",[2]Baskol!$C$422)</f>
        <v/>
      </c>
      <c r="V419" t="str">
        <f>IF([2]Baskol!$D$422="","",[2]Baskol!$D$422)</f>
        <v/>
      </c>
      <c r="W419" t="str">
        <f>IF([2]Baskol!$E$422="","",[2]Baskol!$E$422)</f>
        <v/>
      </c>
      <c r="X419" t="str">
        <f>IF([2]Baskol!$G$422="","",[2]Baskol!$G$422)</f>
        <v/>
      </c>
      <c r="Y419" t="str">
        <f>IF([2]Baskol!$I$422="","",[2]Baskol!$I$422)</f>
        <v/>
      </c>
      <c r="Z419" t="str">
        <f>IF([2]Baskol!$J$422="","",[2]Baskol!$J$422)</f>
        <v/>
      </c>
      <c r="AA419" t="str">
        <f>IF([2]Baskol!$K$422="","",[2]Baskol!$K$422)</f>
        <v/>
      </c>
      <c r="AB419" t="str">
        <f>IF([2]Baskol!$L$422="","",[2]Baskol!$L$422)</f>
        <v/>
      </c>
      <c r="AC419" t="str">
        <f>IF([2]Baskol!$N$422="","",[2]Baskol!$N$422)</f>
        <v/>
      </c>
      <c r="AD419" t="str">
        <f>IF([2]Baskol!$O$422="","",[2]Baskol!$O$422)</f>
        <v/>
      </c>
      <c r="AE419" t="str">
        <f>IF([3]Entry!$C$422="","",[3]Entry!$C$422)</f>
        <v/>
      </c>
      <c r="AF419" t="str">
        <f>IF([3]Entry!$D$422="","",[3]Entry!$D$422)</f>
        <v/>
      </c>
      <c r="AG419" t="str">
        <f>IF([3]Entry!$E$422="","",[3]Entry!$E$422)</f>
        <v/>
      </c>
      <c r="AH419" t="str">
        <f>IF([3]Entry!$G$422="","",[3]Entry!$G$422)</f>
        <v/>
      </c>
      <c r="AI419" t="str">
        <f>IF([3]Entry!$K$422="","",[3]Entry!$K$422)</f>
        <v/>
      </c>
      <c r="AJ419" t="str">
        <f>IF([3]Entry!$L$422="","",[3]Entry!$L$422)</f>
        <v/>
      </c>
      <c r="AK419" t="str">
        <f>IF([3]Entry!$M$422="","",[3]Entry!$M$422)</f>
        <v/>
      </c>
      <c r="AL419" t="str">
        <f>IF([3]Entry!$N$422="","",[3]Entry!$N$422)</f>
        <v/>
      </c>
      <c r="AM419" t="str">
        <f>IF([3]Entry!$R$422="","",[3]Entry!$R$422)</f>
        <v/>
      </c>
    </row>
    <row r="420" spans="1:39" x14ac:dyDescent="0.2">
      <c r="A420" t="str">
        <f>IF([1]Accounts!$D$421="","",[1]Accounts!$A$421)</f>
        <v/>
      </c>
      <c r="B420" t="str">
        <f>IF([1]Accounts!$D$421="","",[1]Accounts!$B$421)</f>
        <v/>
      </c>
      <c r="C420" t="str">
        <f>IF([1]Accounts!$D$421="","",[1]Accounts!$C$421)</f>
        <v/>
      </c>
      <c r="D420" t="str">
        <f>IF([1]Accounts!$D$421="","",[1]Accounts!$D$421)</f>
        <v/>
      </c>
      <c r="E420" t="str">
        <f>IF([1]Accounts!$D$421="","",[1]Accounts!$E$421)</f>
        <v/>
      </c>
      <c r="F420" t="str">
        <f>IF([1]Accounts!$D$421="","",[1]Accounts!$F$421)</f>
        <v/>
      </c>
      <c r="G420" t="str">
        <f>IF([1]Accounts!$D$421="","",[1]Accounts!$G$421)</f>
        <v/>
      </c>
      <c r="T420" t="str">
        <f>IF([2]Baskol!$B$423="","",[2]Baskol!$B$423)</f>
        <v/>
      </c>
      <c r="U420" t="str">
        <f>IF([2]Baskol!$C$423="","",[2]Baskol!$C$423)</f>
        <v/>
      </c>
      <c r="V420" t="str">
        <f>IF([2]Baskol!$D$423="","",[2]Baskol!$D$423)</f>
        <v/>
      </c>
      <c r="W420" t="str">
        <f>IF([2]Baskol!$E$423="","",[2]Baskol!$E$423)</f>
        <v/>
      </c>
      <c r="X420" t="str">
        <f>IF([2]Baskol!$G$423="","",[2]Baskol!$G$423)</f>
        <v/>
      </c>
      <c r="Y420" t="str">
        <f>IF([2]Baskol!$I$423="","",[2]Baskol!$I$423)</f>
        <v/>
      </c>
      <c r="Z420" t="str">
        <f>IF([2]Baskol!$J$423="","",[2]Baskol!$J$423)</f>
        <v/>
      </c>
      <c r="AA420" t="str">
        <f>IF([2]Baskol!$K$423="","",[2]Baskol!$K$423)</f>
        <v/>
      </c>
      <c r="AB420" t="str">
        <f>IF([2]Baskol!$L$423="","",[2]Baskol!$L$423)</f>
        <v/>
      </c>
      <c r="AC420" t="str">
        <f>IF([2]Baskol!$N$423="","",[2]Baskol!$N$423)</f>
        <v/>
      </c>
      <c r="AD420" t="str">
        <f>IF([2]Baskol!$O$423="","",[2]Baskol!$O$423)</f>
        <v/>
      </c>
      <c r="AE420" t="str">
        <f>IF([3]Entry!$C$423="","",[3]Entry!$C$423)</f>
        <v/>
      </c>
      <c r="AF420" t="str">
        <f>IF([3]Entry!$D$423="","",[3]Entry!$D$423)</f>
        <v/>
      </c>
      <c r="AG420" t="str">
        <f>IF([3]Entry!$E$423="","",[3]Entry!$E$423)</f>
        <v/>
      </c>
      <c r="AH420" t="str">
        <f>IF([3]Entry!$G$423="","",[3]Entry!$G$423)</f>
        <v/>
      </c>
      <c r="AI420" t="str">
        <f>IF([3]Entry!$K$423="","",[3]Entry!$K$423)</f>
        <v/>
      </c>
      <c r="AJ420" t="str">
        <f>IF([3]Entry!$L$423="","",[3]Entry!$L$423)</f>
        <v/>
      </c>
      <c r="AK420" t="str">
        <f>IF([3]Entry!$M$423="","",[3]Entry!$M$423)</f>
        <v/>
      </c>
      <c r="AL420" t="str">
        <f>IF([3]Entry!$N$423="","",[3]Entry!$N$423)</f>
        <v/>
      </c>
      <c r="AM420" t="str">
        <f>IF([3]Entry!$R$423="","",[3]Entry!$R$423)</f>
        <v/>
      </c>
    </row>
    <row r="421" spans="1:39" x14ac:dyDescent="0.2">
      <c r="A421" t="str">
        <f>IF([1]Accounts!$D$422="","",[1]Accounts!$A$422)</f>
        <v/>
      </c>
      <c r="B421" t="str">
        <f>IF([1]Accounts!$D$422="","",[1]Accounts!$B$422)</f>
        <v/>
      </c>
      <c r="C421" t="str">
        <f>IF([1]Accounts!$D$422="","",[1]Accounts!$C$422)</f>
        <v/>
      </c>
      <c r="D421" t="str">
        <f>IF([1]Accounts!$D$422="","",[1]Accounts!$D$422)</f>
        <v/>
      </c>
      <c r="E421" t="str">
        <f>IF([1]Accounts!$D$422="","",[1]Accounts!$E$422)</f>
        <v/>
      </c>
      <c r="F421" t="str">
        <f>IF([1]Accounts!$D$422="","",[1]Accounts!$F$422)</f>
        <v/>
      </c>
      <c r="G421" t="str">
        <f>IF([1]Accounts!$D$422="","",[1]Accounts!$G$422)</f>
        <v/>
      </c>
      <c r="T421" t="str">
        <f>IF([2]Baskol!$B$424="","",[2]Baskol!$B$424)</f>
        <v/>
      </c>
      <c r="U421" t="str">
        <f>IF([2]Baskol!$C$424="","",[2]Baskol!$C$424)</f>
        <v/>
      </c>
      <c r="V421" t="str">
        <f>IF([2]Baskol!$D$424="","",[2]Baskol!$D$424)</f>
        <v/>
      </c>
      <c r="W421" t="str">
        <f>IF([2]Baskol!$E$424="","",[2]Baskol!$E$424)</f>
        <v/>
      </c>
      <c r="X421" t="str">
        <f>IF([2]Baskol!$G$424="","",[2]Baskol!$G$424)</f>
        <v/>
      </c>
      <c r="Y421" t="str">
        <f>IF([2]Baskol!$I$424="","",[2]Baskol!$I$424)</f>
        <v/>
      </c>
      <c r="Z421" t="str">
        <f>IF([2]Baskol!$J$424="","",[2]Baskol!$J$424)</f>
        <v/>
      </c>
      <c r="AA421" t="str">
        <f>IF([2]Baskol!$K$424="","",[2]Baskol!$K$424)</f>
        <v/>
      </c>
      <c r="AB421" t="str">
        <f>IF([2]Baskol!$L$424="","",[2]Baskol!$L$424)</f>
        <v/>
      </c>
      <c r="AC421" t="str">
        <f>IF([2]Baskol!$N$424="","",[2]Baskol!$N$424)</f>
        <v/>
      </c>
      <c r="AD421" t="str">
        <f>IF([2]Baskol!$O$424="","",[2]Baskol!$O$424)</f>
        <v/>
      </c>
      <c r="AE421" t="str">
        <f>IF([3]Entry!$C$424="","",[3]Entry!$C$424)</f>
        <v/>
      </c>
      <c r="AF421" t="str">
        <f>IF([3]Entry!$D$424="","",[3]Entry!$D$424)</f>
        <v/>
      </c>
      <c r="AG421" t="str">
        <f>IF([3]Entry!$E$424="","",[3]Entry!$E$424)</f>
        <v/>
      </c>
      <c r="AH421" t="str">
        <f>IF([3]Entry!$G$424="","",[3]Entry!$G$424)</f>
        <v/>
      </c>
      <c r="AI421" t="str">
        <f>IF([3]Entry!$K$424="","",[3]Entry!$K$424)</f>
        <v/>
      </c>
      <c r="AJ421" t="str">
        <f>IF([3]Entry!$L$424="","",[3]Entry!$L$424)</f>
        <v/>
      </c>
      <c r="AK421" t="str">
        <f>IF([3]Entry!$M$424="","",[3]Entry!$M$424)</f>
        <v/>
      </c>
      <c r="AL421" t="str">
        <f>IF([3]Entry!$N$424="","",[3]Entry!$N$424)</f>
        <v/>
      </c>
      <c r="AM421" t="str">
        <f>IF([3]Entry!$R$424="","",[3]Entry!$R$424)</f>
        <v/>
      </c>
    </row>
    <row r="422" spans="1:39" x14ac:dyDescent="0.2">
      <c r="A422" t="str">
        <f>IF([1]Accounts!$D$423="","",[1]Accounts!$A$423)</f>
        <v/>
      </c>
      <c r="B422" t="str">
        <f>IF([1]Accounts!$D$423="","",[1]Accounts!$B$423)</f>
        <v/>
      </c>
      <c r="C422" t="str">
        <f>IF([1]Accounts!$D$423="","",[1]Accounts!$C$423)</f>
        <v/>
      </c>
      <c r="D422" t="str">
        <f>IF([1]Accounts!$D$423="","",[1]Accounts!$D$423)</f>
        <v/>
      </c>
      <c r="E422" t="str">
        <f>IF([1]Accounts!$D$423="","",[1]Accounts!$E$423)</f>
        <v/>
      </c>
      <c r="F422" t="str">
        <f>IF([1]Accounts!$D$423="","",[1]Accounts!$F$423)</f>
        <v/>
      </c>
      <c r="G422" t="str">
        <f>IF([1]Accounts!$D$423="","",[1]Accounts!$G$423)</f>
        <v/>
      </c>
      <c r="T422" t="str">
        <f>IF([2]Baskol!$B$425="","",[2]Baskol!$B$425)</f>
        <v/>
      </c>
      <c r="U422" t="str">
        <f>IF([2]Baskol!$C$425="","",[2]Baskol!$C$425)</f>
        <v/>
      </c>
      <c r="V422" t="str">
        <f>IF([2]Baskol!$D$425="","",[2]Baskol!$D$425)</f>
        <v/>
      </c>
      <c r="W422" t="str">
        <f>IF([2]Baskol!$E$425="","",[2]Baskol!$E$425)</f>
        <v/>
      </c>
      <c r="X422" t="str">
        <f>IF([2]Baskol!$G$425="","",[2]Baskol!$G$425)</f>
        <v/>
      </c>
      <c r="Y422" t="str">
        <f>IF([2]Baskol!$I$425="","",[2]Baskol!$I$425)</f>
        <v/>
      </c>
      <c r="Z422" t="str">
        <f>IF([2]Baskol!$J$425="","",[2]Baskol!$J$425)</f>
        <v/>
      </c>
      <c r="AA422" t="str">
        <f>IF([2]Baskol!$K$425="","",[2]Baskol!$K$425)</f>
        <v/>
      </c>
      <c r="AB422" t="str">
        <f>IF([2]Baskol!$L$425="","",[2]Baskol!$L$425)</f>
        <v/>
      </c>
      <c r="AC422" t="str">
        <f>IF([2]Baskol!$N$425="","",[2]Baskol!$N$425)</f>
        <v/>
      </c>
      <c r="AD422" t="str">
        <f>IF([2]Baskol!$O$425="","",[2]Baskol!$O$425)</f>
        <v/>
      </c>
      <c r="AE422" t="str">
        <f>IF([3]Entry!$C$425="","",[3]Entry!$C$425)</f>
        <v/>
      </c>
      <c r="AF422" t="str">
        <f>IF([3]Entry!$D$425="","",[3]Entry!$D$425)</f>
        <v/>
      </c>
      <c r="AG422" t="str">
        <f>IF([3]Entry!$E$425="","",[3]Entry!$E$425)</f>
        <v/>
      </c>
      <c r="AH422" t="str">
        <f>IF([3]Entry!$G$425="","",[3]Entry!$G$425)</f>
        <v/>
      </c>
      <c r="AI422" t="str">
        <f>IF([3]Entry!$K$425="","",[3]Entry!$K$425)</f>
        <v/>
      </c>
      <c r="AJ422" t="str">
        <f>IF([3]Entry!$L$425="","",[3]Entry!$L$425)</f>
        <v/>
      </c>
      <c r="AK422" t="str">
        <f>IF([3]Entry!$M$425="","",[3]Entry!$M$425)</f>
        <v/>
      </c>
      <c r="AL422" t="str">
        <f>IF([3]Entry!$N$425="","",[3]Entry!$N$425)</f>
        <v/>
      </c>
      <c r="AM422" t="str">
        <f>IF([3]Entry!$R$425="","",[3]Entry!$R$425)</f>
        <v/>
      </c>
    </row>
    <row r="423" spans="1:39" x14ac:dyDescent="0.2">
      <c r="A423" t="str">
        <f>IF([1]Accounts!$D$424="","",[1]Accounts!$A$424)</f>
        <v/>
      </c>
      <c r="B423" t="str">
        <f>IF([1]Accounts!$D$424="","",[1]Accounts!$B$424)</f>
        <v/>
      </c>
      <c r="C423" t="str">
        <f>IF([1]Accounts!$D$424="","",[1]Accounts!$C$424)</f>
        <v/>
      </c>
      <c r="D423" t="str">
        <f>IF([1]Accounts!$D$424="","",[1]Accounts!$D$424)</f>
        <v/>
      </c>
      <c r="E423" t="str">
        <f>IF([1]Accounts!$D$424="","",[1]Accounts!$E$424)</f>
        <v/>
      </c>
      <c r="F423" t="str">
        <f>IF([1]Accounts!$D$424="","",[1]Accounts!$F$424)</f>
        <v/>
      </c>
      <c r="G423" t="str">
        <f>IF([1]Accounts!$D$424="","",[1]Accounts!$G$424)</f>
        <v/>
      </c>
      <c r="T423" t="str">
        <f>IF([2]Baskol!$B$426="","",[2]Baskol!$B$426)</f>
        <v/>
      </c>
      <c r="U423" t="str">
        <f>IF([2]Baskol!$C$426="","",[2]Baskol!$C$426)</f>
        <v/>
      </c>
      <c r="V423" t="str">
        <f>IF([2]Baskol!$D$426="","",[2]Baskol!$D$426)</f>
        <v/>
      </c>
      <c r="W423" t="str">
        <f>IF([2]Baskol!$E$426="","",[2]Baskol!$E$426)</f>
        <v/>
      </c>
      <c r="X423" t="str">
        <f>IF([2]Baskol!$G$426="","",[2]Baskol!$G$426)</f>
        <v/>
      </c>
      <c r="Y423" t="str">
        <f>IF([2]Baskol!$I$426="","",[2]Baskol!$I$426)</f>
        <v/>
      </c>
      <c r="Z423" t="str">
        <f>IF([2]Baskol!$J$426="","",[2]Baskol!$J$426)</f>
        <v/>
      </c>
      <c r="AA423" t="str">
        <f>IF([2]Baskol!$K$426="","",[2]Baskol!$K$426)</f>
        <v/>
      </c>
      <c r="AB423" t="str">
        <f>IF([2]Baskol!$L$426="","",[2]Baskol!$L$426)</f>
        <v/>
      </c>
      <c r="AC423" t="str">
        <f>IF([2]Baskol!$N$426="","",[2]Baskol!$N$426)</f>
        <v/>
      </c>
      <c r="AD423" t="str">
        <f>IF([2]Baskol!$O$426="","",[2]Baskol!$O$426)</f>
        <v/>
      </c>
      <c r="AE423" t="str">
        <f>IF([3]Entry!$C$426="","",[3]Entry!$C$426)</f>
        <v/>
      </c>
      <c r="AF423" t="str">
        <f>IF([3]Entry!$D$426="","",[3]Entry!$D$426)</f>
        <v/>
      </c>
      <c r="AG423" t="str">
        <f>IF([3]Entry!$E$426="","",[3]Entry!$E$426)</f>
        <v/>
      </c>
      <c r="AH423" t="str">
        <f>IF([3]Entry!$G$426="","",[3]Entry!$G$426)</f>
        <v/>
      </c>
      <c r="AI423" t="str">
        <f>IF([3]Entry!$K$426="","",[3]Entry!$K$426)</f>
        <v/>
      </c>
      <c r="AJ423" t="str">
        <f>IF([3]Entry!$L$426="","",[3]Entry!$L$426)</f>
        <v/>
      </c>
      <c r="AK423" t="str">
        <f>IF([3]Entry!$M$426="","",[3]Entry!$M$426)</f>
        <v/>
      </c>
      <c r="AL423" t="str">
        <f>IF([3]Entry!$N$426="","",[3]Entry!$N$426)</f>
        <v/>
      </c>
      <c r="AM423" t="str">
        <f>IF([3]Entry!$R$426="","",[3]Entry!$R$426)</f>
        <v/>
      </c>
    </row>
    <row r="424" spans="1:39" x14ac:dyDescent="0.2">
      <c r="A424" t="str">
        <f>IF([1]Accounts!$D$425="","",[1]Accounts!$A$425)</f>
        <v/>
      </c>
      <c r="B424" t="str">
        <f>IF([1]Accounts!$D$425="","",[1]Accounts!$B$425)</f>
        <v/>
      </c>
      <c r="C424" t="str">
        <f>IF([1]Accounts!$D$425="","",[1]Accounts!$C$425)</f>
        <v/>
      </c>
      <c r="D424" t="str">
        <f>IF([1]Accounts!$D$425="","",[1]Accounts!$D$425)</f>
        <v/>
      </c>
      <c r="E424" t="str">
        <f>IF([1]Accounts!$D$425="","",[1]Accounts!$E$425)</f>
        <v/>
      </c>
      <c r="F424" t="str">
        <f>IF([1]Accounts!$D$425="","",[1]Accounts!$F$425)</f>
        <v/>
      </c>
      <c r="G424" t="str">
        <f>IF([1]Accounts!$D$425="","",[1]Accounts!$G$425)</f>
        <v/>
      </c>
      <c r="T424" t="str">
        <f>IF([2]Baskol!$B$427="","",[2]Baskol!$B$427)</f>
        <v/>
      </c>
      <c r="U424" t="str">
        <f>IF([2]Baskol!$C$427="","",[2]Baskol!$C$427)</f>
        <v/>
      </c>
      <c r="V424" t="str">
        <f>IF([2]Baskol!$D$427="","",[2]Baskol!$D$427)</f>
        <v/>
      </c>
      <c r="W424" t="str">
        <f>IF([2]Baskol!$E$427="","",[2]Baskol!$E$427)</f>
        <v/>
      </c>
      <c r="X424" t="str">
        <f>IF([2]Baskol!$G$427="","",[2]Baskol!$G$427)</f>
        <v/>
      </c>
      <c r="Y424" t="str">
        <f>IF([2]Baskol!$I$427="","",[2]Baskol!$I$427)</f>
        <v/>
      </c>
      <c r="Z424" t="str">
        <f>IF([2]Baskol!$J$427="","",[2]Baskol!$J$427)</f>
        <v/>
      </c>
      <c r="AA424" t="str">
        <f>IF([2]Baskol!$K$427="","",[2]Baskol!$K$427)</f>
        <v/>
      </c>
      <c r="AB424" t="str">
        <f>IF([2]Baskol!$L$427="","",[2]Baskol!$L$427)</f>
        <v/>
      </c>
      <c r="AC424" t="str">
        <f>IF([2]Baskol!$N$427="","",[2]Baskol!$N$427)</f>
        <v/>
      </c>
      <c r="AD424" t="str">
        <f>IF([2]Baskol!$O$427="","",[2]Baskol!$O$427)</f>
        <v/>
      </c>
      <c r="AE424" t="str">
        <f>IF([3]Entry!$C$427="","",[3]Entry!$C$427)</f>
        <v/>
      </c>
      <c r="AF424" t="str">
        <f>IF([3]Entry!$D$427="","",[3]Entry!$D$427)</f>
        <v/>
      </c>
      <c r="AG424" t="str">
        <f>IF([3]Entry!$E$427="","",[3]Entry!$E$427)</f>
        <v/>
      </c>
      <c r="AH424" t="str">
        <f>IF([3]Entry!$G$427="","",[3]Entry!$G$427)</f>
        <v/>
      </c>
      <c r="AI424" t="str">
        <f>IF([3]Entry!$K$427="","",[3]Entry!$K$427)</f>
        <v/>
      </c>
      <c r="AJ424" t="str">
        <f>IF([3]Entry!$L$427="","",[3]Entry!$L$427)</f>
        <v/>
      </c>
      <c r="AK424" t="str">
        <f>IF([3]Entry!$M$427="","",[3]Entry!$M$427)</f>
        <v/>
      </c>
      <c r="AL424" t="str">
        <f>IF([3]Entry!$N$427="","",[3]Entry!$N$427)</f>
        <v/>
      </c>
      <c r="AM424" t="str">
        <f>IF([3]Entry!$R$427="","",[3]Entry!$R$427)</f>
        <v/>
      </c>
    </row>
    <row r="425" spans="1:39" x14ac:dyDescent="0.2">
      <c r="A425" t="str">
        <f>IF([1]Accounts!$D$426="","",[1]Accounts!$A$426)</f>
        <v/>
      </c>
      <c r="B425" t="str">
        <f>IF([1]Accounts!$D$426="","",[1]Accounts!$B$426)</f>
        <v/>
      </c>
      <c r="C425" t="str">
        <f>IF([1]Accounts!$D$426="","",[1]Accounts!$C$426)</f>
        <v/>
      </c>
      <c r="D425" t="str">
        <f>IF([1]Accounts!$D$426="","",[1]Accounts!$D$426)</f>
        <v/>
      </c>
      <c r="E425" t="str">
        <f>IF([1]Accounts!$D$426="","",[1]Accounts!$E$426)</f>
        <v/>
      </c>
      <c r="F425" t="str">
        <f>IF([1]Accounts!$D$426="","",[1]Accounts!$F$426)</f>
        <v/>
      </c>
      <c r="G425" t="str">
        <f>IF([1]Accounts!$D$426="","",[1]Accounts!$G$426)</f>
        <v/>
      </c>
      <c r="T425" t="str">
        <f>IF([2]Baskol!$B$428="","",[2]Baskol!$B$428)</f>
        <v/>
      </c>
      <c r="U425" t="str">
        <f>IF([2]Baskol!$C$428="","",[2]Baskol!$C$428)</f>
        <v/>
      </c>
      <c r="V425" t="str">
        <f>IF([2]Baskol!$D$428="","",[2]Baskol!$D$428)</f>
        <v/>
      </c>
      <c r="W425" t="str">
        <f>IF([2]Baskol!$E$428="","",[2]Baskol!$E$428)</f>
        <v/>
      </c>
      <c r="X425" t="str">
        <f>IF([2]Baskol!$G$428="","",[2]Baskol!$G$428)</f>
        <v/>
      </c>
      <c r="Y425" t="str">
        <f>IF([2]Baskol!$I$428="","",[2]Baskol!$I$428)</f>
        <v/>
      </c>
      <c r="Z425" t="str">
        <f>IF([2]Baskol!$J$428="","",[2]Baskol!$J$428)</f>
        <v/>
      </c>
      <c r="AA425" t="str">
        <f>IF([2]Baskol!$K$428="","",[2]Baskol!$K$428)</f>
        <v/>
      </c>
      <c r="AB425" t="str">
        <f>IF([2]Baskol!$L$428="","",[2]Baskol!$L$428)</f>
        <v/>
      </c>
      <c r="AC425" t="str">
        <f>IF([2]Baskol!$N$428="","",[2]Baskol!$N$428)</f>
        <v/>
      </c>
      <c r="AD425" t="str">
        <f>IF([2]Baskol!$O$428="","",[2]Baskol!$O$428)</f>
        <v/>
      </c>
      <c r="AE425" t="str">
        <f>IF([3]Entry!$C$428="","",[3]Entry!$C$428)</f>
        <v/>
      </c>
      <c r="AF425" t="str">
        <f>IF([3]Entry!$D$428="","",[3]Entry!$D$428)</f>
        <v/>
      </c>
      <c r="AG425" t="str">
        <f>IF([3]Entry!$E$428="","",[3]Entry!$E$428)</f>
        <v/>
      </c>
      <c r="AH425" t="str">
        <f>IF([3]Entry!$G$428="","",[3]Entry!$G$428)</f>
        <v/>
      </c>
      <c r="AI425" t="str">
        <f>IF([3]Entry!$K$428="","",[3]Entry!$K$428)</f>
        <v/>
      </c>
      <c r="AJ425" t="str">
        <f>IF([3]Entry!$L$428="","",[3]Entry!$L$428)</f>
        <v/>
      </c>
      <c r="AK425" t="str">
        <f>IF([3]Entry!$M$428="","",[3]Entry!$M$428)</f>
        <v/>
      </c>
      <c r="AL425" t="str">
        <f>IF([3]Entry!$N$428="","",[3]Entry!$N$428)</f>
        <v/>
      </c>
      <c r="AM425" t="str">
        <f>IF([3]Entry!$R$428="","",[3]Entry!$R$428)</f>
        <v/>
      </c>
    </row>
    <row r="426" spans="1:39" x14ac:dyDescent="0.2">
      <c r="A426" t="str">
        <f>IF([1]Accounts!$D$427="","",[1]Accounts!$A$427)</f>
        <v/>
      </c>
      <c r="B426" t="str">
        <f>IF([1]Accounts!$D$427="","",[1]Accounts!$B$427)</f>
        <v/>
      </c>
      <c r="C426" t="str">
        <f>IF([1]Accounts!$D$427="","",[1]Accounts!$C$427)</f>
        <v/>
      </c>
      <c r="D426" t="str">
        <f>IF([1]Accounts!$D$427="","",[1]Accounts!$D$427)</f>
        <v/>
      </c>
      <c r="E426" t="str">
        <f>IF([1]Accounts!$D$427="","",[1]Accounts!$E$427)</f>
        <v/>
      </c>
      <c r="F426" t="str">
        <f>IF([1]Accounts!$D$427="","",[1]Accounts!$F$427)</f>
        <v/>
      </c>
      <c r="G426" t="str">
        <f>IF([1]Accounts!$D$427="","",[1]Accounts!$G$427)</f>
        <v/>
      </c>
      <c r="T426" t="str">
        <f>IF([2]Baskol!$B$429="","",[2]Baskol!$B$429)</f>
        <v/>
      </c>
      <c r="U426" t="str">
        <f>IF([2]Baskol!$C$429="","",[2]Baskol!$C$429)</f>
        <v/>
      </c>
      <c r="V426" t="str">
        <f>IF([2]Baskol!$D$429="","",[2]Baskol!$D$429)</f>
        <v/>
      </c>
      <c r="W426" t="str">
        <f>IF([2]Baskol!$E$429="","",[2]Baskol!$E$429)</f>
        <v/>
      </c>
      <c r="X426" t="str">
        <f>IF([2]Baskol!$G$429="","",[2]Baskol!$G$429)</f>
        <v/>
      </c>
      <c r="Y426" t="str">
        <f>IF([2]Baskol!$I$429="","",[2]Baskol!$I$429)</f>
        <v/>
      </c>
      <c r="Z426" t="str">
        <f>IF([2]Baskol!$J$429="","",[2]Baskol!$J$429)</f>
        <v/>
      </c>
      <c r="AA426" t="str">
        <f>IF([2]Baskol!$K$429="","",[2]Baskol!$K$429)</f>
        <v/>
      </c>
      <c r="AB426" t="str">
        <f>IF([2]Baskol!$L$429="","",[2]Baskol!$L$429)</f>
        <v/>
      </c>
      <c r="AC426" t="str">
        <f>IF([2]Baskol!$N$429="","",[2]Baskol!$N$429)</f>
        <v/>
      </c>
      <c r="AD426" t="str">
        <f>IF([2]Baskol!$O$429="","",[2]Baskol!$O$429)</f>
        <v/>
      </c>
      <c r="AE426" t="str">
        <f>IF([3]Entry!$C$429="","",[3]Entry!$C$429)</f>
        <v/>
      </c>
      <c r="AF426" t="str">
        <f>IF([3]Entry!$D$429="","",[3]Entry!$D$429)</f>
        <v/>
      </c>
      <c r="AG426" t="str">
        <f>IF([3]Entry!$E$429="","",[3]Entry!$E$429)</f>
        <v/>
      </c>
      <c r="AH426" t="str">
        <f>IF([3]Entry!$G$429="","",[3]Entry!$G$429)</f>
        <v/>
      </c>
      <c r="AI426" t="str">
        <f>IF([3]Entry!$K$429="","",[3]Entry!$K$429)</f>
        <v/>
      </c>
      <c r="AJ426" t="str">
        <f>IF([3]Entry!$L$429="","",[3]Entry!$L$429)</f>
        <v/>
      </c>
      <c r="AK426" t="str">
        <f>IF([3]Entry!$M$429="","",[3]Entry!$M$429)</f>
        <v/>
      </c>
      <c r="AL426" t="str">
        <f>IF([3]Entry!$N$429="","",[3]Entry!$N$429)</f>
        <v/>
      </c>
      <c r="AM426" t="str">
        <f>IF([3]Entry!$R$429="","",[3]Entry!$R$429)</f>
        <v/>
      </c>
    </row>
    <row r="427" spans="1:39" x14ac:dyDescent="0.2">
      <c r="A427" t="str">
        <f>IF([1]Accounts!$D$428="","",[1]Accounts!$A$428)</f>
        <v/>
      </c>
      <c r="B427" t="str">
        <f>IF([1]Accounts!$D$428="","",[1]Accounts!$B$428)</f>
        <v/>
      </c>
      <c r="C427" t="str">
        <f>IF([1]Accounts!$D$428="","",[1]Accounts!$C$428)</f>
        <v/>
      </c>
      <c r="D427" t="str">
        <f>IF([1]Accounts!$D$428="","",[1]Accounts!$D$428)</f>
        <v/>
      </c>
      <c r="E427" t="str">
        <f>IF([1]Accounts!$D$428="","",[1]Accounts!$E$428)</f>
        <v/>
      </c>
      <c r="F427" t="str">
        <f>IF([1]Accounts!$D$428="","",[1]Accounts!$F$428)</f>
        <v/>
      </c>
      <c r="G427" t="str">
        <f>IF([1]Accounts!$D$428="","",[1]Accounts!$G$428)</f>
        <v/>
      </c>
      <c r="T427" t="str">
        <f>IF([2]Baskol!$B$430="","",[2]Baskol!$B$430)</f>
        <v/>
      </c>
      <c r="U427" t="str">
        <f>IF([2]Baskol!$C$430="","",[2]Baskol!$C$430)</f>
        <v/>
      </c>
      <c r="V427" t="str">
        <f>IF([2]Baskol!$D$430="","",[2]Baskol!$D$430)</f>
        <v/>
      </c>
      <c r="W427" t="str">
        <f>IF([2]Baskol!$E$430="","",[2]Baskol!$E$430)</f>
        <v/>
      </c>
      <c r="X427" t="str">
        <f>IF([2]Baskol!$G$430="","",[2]Baskol!$G$430)</f>
        <v/>
      </c>
      <c r="Y427" t="str">
        <f>IF([2]Baskol!$I$430="","",[2]Baskol!$I$430)</f>
        <v/>
      </c>
      <c r="Z427" t="str">
        <f>IF([2]Baskol!$J$430="","",[2]Baskol!$J$430)</f>
        <v/>
      </c>
      <c r="AA427" t="str">
        <f>IF([2]Baskol!$K$430="","",[2]Baskol!$K$430)</f>
        <v/>
      </c>
      <c r="AB427" t="str">
        <f>IF([2]Baskol!$L$430="","",[2]Baskol!$L$430)</f>
        <v/>
      </c>
      <c r="AC427" t="str">
        <f>IF([2]Baskol!$N$430="","",[2]Baskol!$N$430)</f>
        <v/>
      </c>
      <c r="AD427" t="str">
        <f>IF([2]Baskol!$O$430="","",[2]Baskol!$O$430)</f>
        <v/>
      </c>
      <c r="AE427" t="str">
        <f>IF([3]Entry!$C$430="","",[3]Entry!$C$430)</f>
        <v/>
      </c>
      <c r="AF427" t="str">
        <f>IF([3]Entry!$D$430="","",[3]Entry!$D$430)</f>
        <v/>
      </c>
      <c r="AG427" t="str">
        <f>IF([3]Entry!$E$430="","",[3]Entry!$E$430)</f>
        <v/>
      </c>
      <c r="AH427" t="str">
        <f>IF([3]Entry!$G$430="","",[3]Entry!$G$430)</f>
        <v/>
      </c>
      <c r="AI427" t="str">
        <f>IF([3]Entry!$K$430="","",[3]Entry!$K$430)</f>
        <v/>
      </c>
      <c r="AJ427" t="str">
        <f>IF([3]Entry!$L$430="","",[3]Entry!$L$430)</f>
        <v/>
      </c>
      <c r="AK427" t="str">
        <f>IF([3]Entry!$M$430="","",[3]Entry!$M$430)</f>
        <v/>
      </c>
      <c r="AL427" t="str">
        <f>IF([3]Entry!$N$430="","",[3]Entry!$N$430)</f>
        <v/>
      </c>
      <c r="AM427" t="str">
        <f>IF([3]Entry!$R$430="","",[3]Entry!$R$430)</f>
        <v/>
      </c>
    </row>
    <row r="428" spans="1:39" x14ac:dyDescent="0.2">
      <c r="A428" t="str">
        <f>IF([1]Accounts!$D$429="","",[1]Accounts!$A$429)</f>
        <v/>
      </c>
      <c r="B428" t="str">
        <f>IF([1]Accounts!$D$429="","",[1]Accounts!$B$429)</f>
        <v/>
      </c>
      <c r="C428" t="str">
        <f>IF([1]Accounts!$D$429="","",[1]Accounts!$C$429)</f>
        <v/>
      </c>
      <c r="D428" t="str">
        <f>IF([1]Accounts!$D$429="","",[1]Accounts!$D$429)</f>
        <v/>
      </c>
      <c r="E428" t="str">
        <f>IF([1]Accounts!$D$429="","",[1]Accounts!$E$429)</f>
        <v/>
      </c>
      <c r="F428" t="str">
        <f>IF([1]Accounts!$D$429="","",[1]Accounts!$F$429)</f>
        <v/>
      </c>
      <c r="G428" t="str">
        <f>IF([1]Accounts!$D$429="","",[1]Accounts!$G$429)</f>
        <v/>
      </c>
      <c r="T428" t="str">
        <f>IF([2]Baskol!$B$431="","",[2]Baskol!$B$431)</f>
        <v/>
      </c>
      <c r="U428" t="str">
        <f>IF([2]Baskol!$C$431="","",[2]Baskol!$C$431)</f>
        <v/>
      </c>
      <c r="V428" t="str">
        <f>IF([2]Baskol!$D$431="","",[2]Baskol!$D$431)</f>
        <v/>
      </c>
      <c r="W428" t="str">
        <f>IF([2]Baskol!$E$431="","",[2]Baskol!$E$431)</f>
        <v/>
      </c>
      <c r="X428" t="str">
        <f>IF([2]Baskol!$G$431="","",[2]Baskol!$G$431)</f>
        <v/>
      </c>
      <c r="Y428" t="str">
        <f>IF([2]Baskol!$I$431="","",[2]Baskol!$I$431)</f>
        <v/>
      </c>
      <c r="Z428" t="str">
        <f>IF([2]Baskol!$J$431="","",[2]Baskol!$J$431)</f>
        <v/>
      </c>
      <c r="AA428" t="str">
        <f>IF([2]Baskol!$K$431="","",[2]Baskol!$K$431)</f>
        <v/>
      </c>
      <c r="AB428" t="str">
        <f>IF([2]Baskol!$L$431="","",[2]Baskol!$L$431)</f>
        <v/>
      </c>
      <c r="AC428" t="str">
        <f>IF([2]Baskol!$N$431="","",[2]Baskol!$N$431)</f>
        <v/>
      </c>
      <c r="AD428" t="str">
        <f>IF([2]Baskol!$O$431="","",[2]Baskol!$O$431)</f>
        <v/>
      </c>
      <c r="AE428" t="str">
        <f>IF([3]Entry!$C$431="","",[3]Entry!$C$431)</f>
        <v/>
      </c>
      <c r="AF428" t="str">
        <f>IF([3]Entry!$D$431="","",[3]Entry!$D$431)</f>
        <v/>
      </c>
      <c r="AG428" t="str">
        <f>IF([3]Entry!$E$431="","",[3]Entry!$E$431)</f>
        <v/>
      </c>
      <c r="AH428" t="str">
        <f>IF([3]Entry!$G$431="","",[3]Entry!$G$431)</f>
        <v/>
      </c>
      <c r="AI428" t="str">
        <f>IF([3]Entry!$K$431="","",[3]Entry!$K$431)</f>
        <v/>
      </c>
      <c r="AJ428" t="str">
        <f>IF([3]Entry!$L$431="","",[3]Entry!$L$431)</f>
        <v/>
      </c>
      <c r="AK428" t="str">
        <f>IF([3]Entry!$M$431="","",[3]Entry!$M$431)</f>
        <v/>
      </c>
      <c r="AL428" t="str">
        <f>IF([3]Entry!$N$431="","",[3]Entry!$N$431)</f>
        <v/>
      </c>
      <c r="AM428" t="str">
        <f>IF([3]Entry!$R$431="","",[3]Entry!$R$431)</f>
        <v/>
      </c>
    </row>
    <row r="429" spans="1:39" x14ac:dyDescent="0.2">
      <c r="A429" t="str">
        <f>IF([1]Accounts!$D$430="","",[1]Accounts!$A$430)</f>
        <v/>
      </c>
      <c r="B429" t="str">
        <f>IF([1]Accounts!$D$430="","",[1]Accounts!$B$430)</f>
        <v/>
      </c>
      <c r="C429" t="str">
        <f>IF([1]Accounts!$D$430="","",[1]Accounts!$C$430)</f>
        <v/>
      </c>
      <c r="D429" t="str">
        <f>IF([1]Accounts!$D$430="","",[1]Accounts!$D$430)</f>
        <v/>
      </c>
      <c r="E429" t="str">
        <f>IF([1]Accounts!$D$430="","",[1]Accounts!$E$430)</f>
        <v/>
      </c>
      <c r="F429" t="str">
        <f>IF([1]Accounts!$D$430="","",[1]Accounts!$F$430)</f>
        <v/>
      </c>
      <c r="G429" t="str">
        <f>IF([1]Accounts!$D$430="","",[1]Accounts!$G$430)</f>
        <v/>
      </c>
      <c r="T429" t="str">
        <f>IF([2]Baskol!$B$432="","",[2]Baskol!$B$432)</f>
        <v/>
      </c>
      <c r="U429" t="str">
        <f>IF([2]Baskol!$C$432="","",[2]Baskol!$C$432)</f>
        <v/>
      </c>
      <c r="V429" t="str">
        <f>IF([2]Baskol!$D$432="","",[2]Baskol!$D$432)</f>
        <v/>
      </c>
      <c r="W429" t="str">
        <f>IF([2]Baskol!$E$432="","",[2]Baskol!$E$432)</f>
        <v/>
      </c>
      <c r="X429" t="str">
        <f>IF([2]Baskol!$G$432="","",[2]Baskol!$G$432)</f>
        <v/>
      </c>
      <c r="Y429" t="str">
        <f>IF([2]Baskol!$I$432="","",[2]Baskol!$I$432)</f>
        <v/>
      </c>
      <c r="Z429" t="str">
        <f>IF([2]Baskol!$J$432="","",[2]Baskol!$J$432)</f>
        <v/>
      </c>
      <c r="AA429" t="str">
        <f>IF([2]Baskol!$K$432="","",[2]Baskol!$K$432)</f>
        <v/>
      </c>
      <c r="AB429" t="str">
        <f>IF([2]Baskol!$L$432="","",[2]Baskol!$L$432)</f>
        <v/>
      </c>
      <c r="AC429" t="str">
        <f>IF([2]Baskol!$N$432="","",[2]Baskol!$N$432)</f>
        <v/>
      </c>
      <c r="AD429" t="str">
        <f>IF([2]Baskol!$O$432="","",[2]Baskol!$O$432)</f>
        <v/>
      </c>
      <c r="AE429" t="str">
        <f>IF([3]Entry!$C$432="","",[3]Entry!$C$432)</f>
        <v/>
      </c>
      <c r="AF429" t="str">
        <f>IF([3]Entry!$D$432="","",[3]Entry!$D$432)</f>
        <v/>
      </c>
      <c r="AG429" t="str">
        <f>IF([3]Entry!$E$432="","",[3]Entry!$E$432)</f>
        <v/>
      </c>
      <c r="AH429" t="str">
        <f>IF([3]Entry!$G$432="","",[3]Entry!$G$432)</f>
        <v/>
      </c>
      <c r="AI429" t="str">
        <f>IF([3]Entry!$K$432="","",[3]Entry!$K$432)</f>
        <v/>
      </c>
      <c r="AJ429" t="str">
        <f>IF([3]Entry!$L$432="","",[3]Entry!$L$432)</f>
        <v/>
      </c>
      <c r="AK429" t="str">
        <f>IF([3]Entry!$M$432="","",[3]Entry!$M$432)</f>
        <v/>
      </c>
      <c r="AL429" t="str">
        <f>IF([3]Entry!$N$432="","",[3]Entry!$N$432)</f>
        <v/>
      </c>
      <c r="AM429" t="str">
        <f>IF([3]Entry!$R$432="","",[3]Entry!$R$432)</f>
        <v/>
      </c>
    </row>
    <row r="430" spans="1:39" x14ac:dyDescent="0.2">
      <c r="A430" t="str">
        <f>IF([1]Accounts!$D$431="","",[1]Accounts!$A$431)</f>
        <v/>
      </c>
      <c r="B430" t="str">
        <f>IF([1]Accounts!$D$431="","",[1]Accounts!$B$431)</f>
        <v/>
      </c>
      <c r="C430" t="str">
        <f>IF([1]Accounts!$D$431="","",[1]Accounts!$C$431)</f>
        <v/>
      </c>
      <c r="D430" t="str">
        <f>IF([1]Accounts!$D$431="","",[1]Accounts!$D$431)</f>
        <v/>
      </c>
      <c r="E430" t="str">
        <f>IF([1]Accounts!$D$431="","",[1]Accounts!$E$431)</f>
        <v/>
      </c>
      <c r="F430" t="str">
        <f>IF([1]Accounts!$D$431="","",[1]Accounts!$F$431)</f>
        <v/>
      </c>
      <c r="G430" t="str">
        <f>IF([1]Accounts!$D$431="","",[1]Accounts!$G$431)</f>
        <v/>
      </c>
      <c r="T430" t="str">
        <f>IF([2]Baskol!$B$433="","",[2]Baskol!$B$433)</f>
        <v/>
      </c>
      <c r="U430" t="str">
        <f>IF([2]Baskol!$C$433="","",[2]Baskol!$C$433)</f>
        <v/>
      </c>
      <c r="V430" t="str">
        <f>IF([2]Baskol!$D$433="","",[2]Baskol!$D$433)</f>
        <v/>
      </c>
      <c r="W430" t="str">
        <f>IF([2]Baskol!$E$433="","",[2]Baskol!$E$433)</f>
        <v/>
      </c>
      <c r="X430" t="str">
        <f>IF([2]Baskol!$G$433="","",[2]Baskol!$G$433)</f>
        <v/>
      </c>
      <c r="Y430" t="str">
        <f>IF([2]Baskol!$I$433="","",[2]Baskol!$I$433)</f>
        <v/>
      </c>
      <c r="Z430" t="str">
        <f>IF([2]Baskol!$J$433="","",[2]Baskol!$J$433)</f>
        <v/>
      </c>
      <c r="AA430" t="str">
        <f>IF([2]Baskol!$K$433="","",[2]Baskol!$K$433)</f>
        <v/>
      </c>
      <c r="AB430" t="str">
        <f>IF([2]Baskol!$L$433="","",[2]Baskol!$L$433)</f>
        <v/>
      </c>
      <c r="AC430" t="str">
        <f>IF([2]Baskol!$N$433="","",[2]Baskol!$N$433)</f>
        <v/>
      </c>
      <c r="AD430" t="str">
        <f>IF([2]Baskol!$O$433="","",[2]Baskol!$O$433)</f>
        <v/>
      </c>
      <c r="AE430" t="str">
        <f>IF([3]Entry!$C$433="","",[3]Entry!$C$433)</f>
        <v/>
      </c>
      <c r="AF430" t="str">
        <f>IF([3]Entry!$D$433="","",[3]Entry!$D$433)</f>
        <v/>
      </c>
      <c r="AG430" t="str">
        <f>IF([3]Entry!$E$433="","",[3]Entry!$E$433)</f>
        <v/>
      </c>
      <c r="AH430" t="str">
        <f>IF([3]Entry!$G$433="","",[3]Entry!$G$433)</f>
        <v/>
      </c>
      <c r="AI430" t="str">
        <f>IF([3]Entry!$K$433="","",[3]Entry!$K$433)</f>
        <v/>
      </c>
      <c r="AJ430" t="str">
        <f>IF([3]Entry!$L$433="","",[3]Entry!$L$433)</f>
        <v/>
      </c>
      <c r="AK430" t="str">
        <f>IF([3]Entry!$M$433="","",[3]Entry!$M$433)</f>
        <v/>
      </c>
      <c r="AL430" t="str">
        <f>IF([3]Entry!$N$433="","",[3]Entry!$N$433)</f>
        <v/>
      </c>
      <c r="AM430" t="str">
        <f>IF([3]Entry!$R$433="","",[3]Entry!$R$433)</f>
        <v/>
      </c>
    </row>
    <row r="431" spans="1:39" x14ac:dyDescent="0.2">
      <c r="A431" t="str">
        <f>IF([1]Accounts!$D$432="","",[1]Accounts!$A$432)</f>
        <v/>
      </c>
      <c r="B431" t="str">
        <f>IF([1]Accounts!$D$432="","",[1]Accounts!$B$432)</f>
        <v/>
      </c>
      <c r="C431" t="str">
        <f>IF([1]Accounts!$D$432="","",[1]Accounts!$C$432)</f>
        <v/>
      </c>
      <c r="D431" t="str">
        <f>IF([1]Accounts!$D$432="","",[1]Accounts!$D$432)</f>
        <v/>
      </c>
      <c r="E431" t="str">
        <f>IF([1]Accounts!$D$432="","",[1]Accounts!$E$432)</f>
        <v/>
      </c>
      <c r="F431" t="str">
        <f>IF([1]Accounts!$D$432="","",[1]Accounts!$F$432)</f>
        <v/>
      </c>
      <c r="G431" t="str">
        <f>IF([1]Accounts!$D$432="","",[1]Accounts!$G$432)</f>
        <v/>
      </c>
      <c r="T431" t="str">
        <f>IF([2]Baskol!$B$434="","",[2]Baskol!$B$434)</f>
        <v/>
      </c>
      <c r="U431" t="str">
        <f>IF([2]Baskol!$C$434="","",[2]Baskol!$C$434)</f>
        <v/>
      </c>
      <c r="V431" t="str">
        <f>IF([2]Baskol!$D$434="","",[2]Baskol!$D$434)</f>
        <v/>
      </c>
      <c r="W431" t="str">
        <f>IF([2]Baskol!$E$434="","",[2]Baskol!$E$434)</f>
        <v/>
      </c>
      <c r="X431" t="str">
        <f>IF([2]Baskol!$G$434="","",[2]Baskol!$G$434)</f>
        <v/>
      </c>
      <c r="Y431" t="str">
        <f>IF([2]Baskol!$I$434="","",[2]Baskol!$I$434)</f>
        <v/>
      </c>
      <c r="Z431" t="str">
        <f>IF([2]Baskol!$J$434="","",[2]Baskol!$J$434)</f>
        <v/>
      </c>
      <c r="AA431" t="str">
        <f>IF([2]Baskol!$K$434="","",[2]Baskol!$K$434)</f>
        <v/>
      </c>
      <c r="AB431" t="str">
        <f>IF([2]Baskol!$L$434="","",[2]Baskol!$L$434)</f>
        <v/>
      </c>
      <c r="AC431" t="str">
        <f>IF([2]Baskol!$N$434="","",[2]Baskol!$N$434)</f>
        <v/>
      </c>
      <c r="AD431" t="str">
        <f>IF([2]Baskol!$O$434="","",[2]Baskol!$O$434)</f>
        <v/>
      </c>
      <c r="AE431" t="str">
        <f>IF([3]Entry!$C$434="","",[3]Entry!$C$434)</f>
        <v/>
      </c>
      <c r="AF431" t="str">
        <f>IF([3]Entry!$D$434="","",[3]Entry!$D$434)</f>
        <v/>
      </c>
      <c r="AG431" t="str">
        <f>IF([3]Entry!$E$434="","",[3]Entry!$E$434)</f>
        <v/>
      </c>
      <c r="AH431" t="str">
        <f>IF([3]Entry!$G$434="","",[3]Entry!$G$434)</f>
        <v/>
      </c>
      <c r="AI431" t="str">
        <f>IF([3]Entry!$K$434="","",[3]Entry!$K$434)</f>
        <v/>
      </c>
      <c r="AJ431" t="str">
        <f>IF([3]Entry!$L$434="","",[3]Entry!$L$434)</f>
        <v/>
      </c>
      <c r="AK431" t="str">
        <f>IF([3]Entry!$M$434="","",[3]Entry!$M$434)</f>
        <v/>
      </c>
      <c r="AL431" t="str">
        <f>IF([3]Entry!$N$434="","",[3]Entry!$N$434)</f>
        <v/>
      </c>
      <c r="AM431" t="str">
        <f>IF([3]Entry!$R$434="","",[3]Entry!$R$434)</f>
        <v/>
      </c>
    </row>
    <row r="432" spans="1:39" x14ac:dyDescent="0.2">
      <c r="A432" t="str">
        <f>IF([1]Accounts!$D$433="","",[1]Accounts!$A$433)</f>
        <v/>
      </c>
      <c r="B432" t="str">
        <f>IF([1]Accounts!$D$433="","",[1]Accounts!$B$433)</f>
        <v/>
      </c>
      <c r="C432" t="str">
        <f>IF([1]Accounts!$D$433="","",[1]Accounts!$C$433)</f>
        <v/>
      </c>
      <c r="D432" t="str">
        <f>IF([1]Accounts!$D$433="","",[1]Accounts!$D$433)</f>
        <v/>
      </c>
      <c r="E432" t="str">
        <f>IF([1]Accounts!$D$433="","",[1]Accounts!$E$433)</f>
        <v/>
      </c>
      <c r="F432" t="str">
        <f>IF([1]Accounts!$D$433="","",[1]Accounts!$F$433)</f>
        <v/>
      </c>
      <c r="G432" t="str">
        <f>IF([1]Accounts!$D$433="","",[1]Accounts!$G$433)</f>
        <v/>
      </c>
      <c r="T432" t="str">
        <f>IF([2]Baskol!$B$435="","",[2]Baskol!$B$435)</f>
        <v/>
      </c>
      <c r="U432" t="str">
        <f>IF([2]Baskol!$C$435="","",[2]Baskol!$C$435)</f>
        <v/>
      </c>
      <c r="V432" t="str">
        <f>IF([2]Baskol!$D$435="","",[2]Baskol!$D$435)</f>
        <v/>
      </c>
      <c r="W432" t="str">
        <f>IF([2]Baskol!$E$435="","",[2]Baskol!$E$435)</f>
        <v/>
      </c>
      <c r="X432" t="str">
        <f>IF([2]Baskol!$G$435="","",[2]Baskol!$G$435)</f>
        <v/>
      </c>
      <c r="Y432" t="str">
        <f>IF([2]Baskol!$I$435="","",[2]Baskol!$I$435)</f>
        <v/>
      </c>
      <c r="Z432" t="str">
        <f>IF([2]Baskol!$J$435="","",[2]Baskol!$J$435)</f>
        <v/>
      </c>
      <c r="AA432" t="str">
        <f>IF([2]Baskol!$K$435="","",[2]Baskol!$K$435)</f>
        <v/>
      </c>
      <c r="AB432" t="str">
        <f>IF([2]Baskol!$L$435="","",[2]Baskol!$L$435)</f>
        <v/>
      </c>
      <c r="AC432" t="str">
        <f>IF([2]Baskol!$N$435="","",[2]Baskol!$N$435)</f>
        <v/>
      </c>
      <c r="AD432" t="str">
        <f>IF([2]Baskol!$O$435="","",[2]Baskol!$O$435)</f>
        <v/>
      </c>
      <c r="AE432" t="str">
        <f>IF([3]Entry!$C$435="","",[3]Entry!$C$435)</f>
        <v/>
      </c>
      <c r="AF432" t="str">
        <f>IF([3]Entry!$D$435="","",[3]Entry!$D$435)</f>
        <v/>
      </c>
      <c r="AG432" t="str">
        <f>IF([3]Entry!$E$435="","",[3]Entry!$E$435)</f>
        <v/>
      </c>
      <c r="AH432" t="str">
        <f>IF([3]Entry!$G$435="","",[3]Entry!$G$435)</f>
        <v/>
      </c>
      <c r="AI432" t="str">
        <f>IF([3]Entry!$K$435="","",[3]Entry!$K$435)</f>
        <v/>
      </c>
      <c r="AJ432" t="str">
        <f>IF([3]Entry!$L$435="","",[3]Entry!$L$435)</f>
        <v/>
      </c>
      <c r="AK432" t="str">
        <f>IF([3]Entry!$M$435="","",[3]Entry!$M$435)</f>
        <v/>
      </c>
      <c r="AL432" t="str">
        <f>IF([3]Entry!$N$435="","",[3]Entry!$N$435)</f>
        <v/>
      </c>
      <c r="AM432" t="str">
        <f>IF([3]Entry!$R$435="","",[3]Entry!$R$435)</f>
        <v/>
      </c>
    </row>
    <row r="433" spans="1:39" x14ac:dyDescent="0.2">
      <c r="A433" t="str">
        <f>IF([1]Accounts!$D$434="","",[1]Accounts!$A$434)</f>
        <v/>
      </c>
      <c r="B433" t="str">
        <f>IF([1]Accounts!$D$434="","",[1]Accounts!$B$434)</f>
        <v/>
      </c>
      <c r="C433" t="str">
        <f>IF([1]Accounts!$D$434="","",[1]Accounts!$C$434)</f>
        <v/>
      </c>
      <c r="D433" t="str">
        <f>IF([1]Accounts!$D$434="","",[1]Accounts!$D$434)</f>
        <v/>
      </c>
      <c r="E433" t="str">
        <f>IF([1]Accounts!$D$434="","",[1]Accounts!$E$434)</f>
        <v/>
      </c>
      <c r="F433" t="str">
        <f>IF([1]Accounts!$D$434="","",[1]Accounts!$F$434)</f>
        <v/>
      </c>
      <c r="G433" t="str">
        <f>IF([1]Accounts!$D$434="","",[1]Accounts!$G$434)</f>
        <v/>
      </c>
      <c r="T433" t="str">
        <f>IF([2]Baskol!$B$436="","",[2]Baskol!$B$436)</f>
        <v/>
      </c>
      <c r="U433" t="str">
        <f>IF([2]Baskol!$C$436="","",[2]Baskol!$C$436)</f>
        <v/>
      </c>
      <c r="V433" t="str">
        <f>IF([2]Baskol!$D$436="","",[2]Baskol!$D$436)</f>
        <v/>
      </c>
      <c r="W433" t="str">
        <f>IF([2]Baskol!$E$436="","",[2]Baskol!$E$436)</f>
        <v/>
      </c>
      <c r="X433" t="str">
        <f>IF([2]Baskol!$G$436="","",[2]Baskol!$G$436)</f>
        <v/>
      </c>
      <c r="Y433" t="str">
        <f>IF([2]Baskol!$I$436="","",[2]Baskol!$I$436)</f>
        <v/>
      </c>
      <c r="Z433" t="str">
        <f>IF([2]Baskol!$J$436="","",[2]Baskol!$J$436)</f>
        <v/>
      </c>
      <c r="AA433" t="str">
        <f>IF([2]Baskol!$K$436="","",[2]Baskol!$K$436)</f>
        <v/>
      </c>
      <c r="AB433" t="str">
        <f>IF([2]Baskol!$L$436="","",[2]Baskol!$L$436)</f>
        <v/>
      </c>
      <c r="AC433" t="str">
        <f>IF([2]Baskol!$N$436="","",[2]Baskol!$N$436)</f>
        <v/>
      </c>
      <c r="AD433" t="str">
        <f>IF([2]Baskol!$O$436="","",[2]Baskol!$O$436)</f>
        <v/>
      </c>
      <c r="AE433" t="str">
        <f>IF([3]Entry!$C$436="","",[3]Entry!$C$436)</f>
        <v/>
      </c>
      <c r="AF433" t="str">
        <f>IF([3]Entry!$D$436="","",[3]Entry!$D$436)</f>
        <v/>
      </c>
      <c r="AG433" t="str">
        <f>IF([3]Entry!$E$436="","",[3]Entry!$E$436)</f>
        <v/>
      </c>
      <c r="AH433" t="str">
        <f>IF([3]Entry!$G$436="","",[3]Entry!$G$436)</f>
        <v/>
      </c>
      <c r="AI433" t="str">
        <f>IF([3]Entry!$K$436="","",[3]Entry!$K$436)</f>
        <v/>
      </c>
      <c r="AJ433" t="str">
        <f>IF([3]Entry!$L$436="","",[3]Entry!$L$436)</f>
        <v/>
      </c>
      <c r="AK433" t="str">
        <f>IF([3]Entry!$M$436="","",[3]Entry!$M$436)</f>
        <v/>
      </c>
      <c r="AL433" t="str">
        <f>IF([3]Entry!$N$436="","",[3]Entry!$N$436)</f>
        <v/>
      </c>
      <c r="AM433" t="str">
        <f>IF([3]Entry!$R$436="","",[3]Entry!$R$436)</f>
        <v/>
      </c>
    </row>
    <row r="434" spans="1:39" x14ac:dyDescent="0.2">
      <c r="A434" t="str">
        <f>IF([1]Accounts!$D$435="","",[1]Accounts!$A$435)</f>
        <v/>
      </c>
      <c r="B434" t="str">
        <f>IF([1]Accounts!$D$435="","",[1]Accounts!$B$435)</f>
        <v/>
      </c>
      <c r="C434" t="str">
        <f>IF([1]Accounts!$D$435="","",[1]Accounts!$C$435)</f>
        <v/>
      </c>
      <c r="D434" t="str">
        <f>IF([1]Accounts!$D$435="","",[1]Accounts!$D$435)</f>
        <v/>
      </c>
      <c r="E434" t="str">
        <f>IF([1]Accounts!$D$435="","",[1]Accounts!$E$435)</f>
        <v/>
      </c>
      <c r="F434" t="str">
        <f>IF([1]Accounts!$D$435="","",[1]Accounts!$F$435)</f>
        <v/>
      </c>
      <c r="G434" t="str">
        <f>IF([1]Accounts!$D$435="","",[1]Accounts!$G$435)</f>
        <v/>
      </c>
      <c r="T434" t="str">
        <f>IF([2]Baskol!$B$437="","",[2]Baskol!$B$437)</f>
        <v/>
      </c>
      <c r="U434" t="str">
        <f>IF([2]Baskol!$C$437="","",[2]Baskol!$C$437)</f>
        <v/>
      </c>
      <c r="V434" t="str">
        <f>IF([2]Baskol!$D$437="","",[2]Baskol!$D$437)</f>
        <v/>
      </c>
      <c r="W434" t="str">
        <f>IF([2]Baskol!$E$437="","",[2]Baskol!$E$437)</f>
        <v/>
      </c>
      <c r="X434" t="str">
        <f>IF([2]Baskol!$G$437="","",[2]Baskol!$G$437)</f>
        <v/>
      </c>
      <c r="Y434" t="str">
        <f>IF([2]Baskol!$I$437="","",[2]Baskol!$I$437)</f>
        <v/>
      </c>
      <c r="Z434" t="str">
        <f>IF([2]Baskol!$J$437="","",[2]Baskol!$J$437)</f>
        <v/>
      </c>
      <c r="AA434" t="str">
        <f>IF([2]Baskol!$K$437="","",[2]Baskol!$K$437)</f>
        <v/>
      </c>
      <c r="AB434" t="str">
        <f>IF([2]Baskol!$L$437="","",[2]Baskol!$L$437)</f>
        <v/>
      </c>
      <c r="AC434" t="str">
        <f>IF([2]Baskol!$N$437="","",[2]Baskol!$N$437)</f>
        <v/>
      </c>
      <c r="AD434" t="str">
        <f>IF([2]Baskol!$O$437="","",[2]Baskol!$O$437)</f>
        <v/>
      </c>
      <c r="AE434" t="str">
        <f>IF([3]Entry!$C$437="","",[3]Entry!$C$437)</f>
        <v/>
      </c>
      <c r="AF434" t="str">
        <f>IF([3]Entry!$D$437="","",[3]Entry!$D$437)</f>
        <v/>
      </c>
      <c r="AG434" t="str">
        <f>IF([3]Entry!$E$437="","",[3]Entry!$E$437)</f>
        <v/>
      </c>
      <c r="AH434" t="str">
        <f>IF([3]Entry!$G$437="","",[3]Entry!$G$437)</f>
        <v/>
      </c>
      <c r="AI434" t="str">
        <f>IF([3]Entry!$K$437="","",[3]Entry!$K$437)</f>
        <v/>
      </c>
      <c r="AJ434" t="str">
        <f>IF([3]Entry!$L$437="","",[3]Entry!$L$437)</f>
        <v/>
      </c>
      <c r="AK434" t="str">
        <f>IF([3]Entry!$M$437="","",[3]Entry!$M$437)</f>
        <v/>
      </c>
      <c r="AL434" t="str">
        <f>IF([3]Entry!$N$437="","",[3]Entry!$N$437)</f>
        <v/>
      </c>
      <c r="AM434" t="str">
        <f>IF([3]Entry!$R$437="","",[3]Entry!$R$437)</f>
        <v/>
      </c>
    </row>
    <row r="435" spans="1:39" x14ac:dyDescent="0.2">
      <c r="A435" t="str">
        <f>IF([1]Accounts!$D$436="","",[1]Accounts!$A$436)</f>
        <v/>
      </c>
      <c r="B435" t="str">
        <f>IF([1]Accounts!$D$436="","",[1]Accounts!$B$436)</f>
        <v/>
      </c>
      <c r="C435" t="str">
        <f>IF([1]Accounts!$D$436="","",[1]Accounts!$C$436)</f>
        <v/>
      </c>
      <c r="D435" t="str">
        <f>IF([1]Accounts!$D$436="","",[1]Accounts!$D$436)</f>
        <v/>
      </c>
      <c r="E435" t="str">
        <f>IF([1]Accounts!$D$436="","",[1]Accounts!$E$436)</f>
        <v/>
      </c>
      <c r="F435" t="str">
        <f>IF([1]Accounts!$D$436="","",[1]Accounts!$F$436)</f>
        <v/>
      </c>
      <c r="G435" t="str">
        <f>IF([1]Accounts!$D$436="","",[1]Accounts!$G$436)</f>
        <v/>
      </c>
      <c r="T435" t="str">
        <f>IF([2]Baskol!$B$438="","",[2]Baskol!$B$438)</f>
        <v/>
      </c>
      <c r="U435" t="str">
        <f>IF([2]Baskol!$C$438="","",[2]Baskol!$C$438)</f>
        <v/>
      </c>
      <c r="V435" t="str">
        <f>IF([2]Baskol!$D$438="","",[2]Baskol!$D$438)</f>
        <v/>
      </c>
      <c r="W435" t="str">
        <f>IF([2]Baskol!$E$438="","",[2]Baskol!$E$438)</f>
        <v/>
      </c>
      <c r="X435" t="str">
        <f>IF([2]Baskol!$G$438="","",[2]Baskol!$G$438)</f>
        <v/>
      </c>
      <c r="Y435" t="str">
        <f>IF([2]Baskol!$I$438="","",[2]Baskol!$I$438)</f>
        <v/>
      </c>
      <c r="Z435" t="str">
        <f>IF([2]Baskol!$J$438="","",[2]Baskol!$J$438)</f>
        <v/>
      </c>
      <c r="AA435" t="str">
        <f>IF([2]Baskol!$K$438="","",[2]Baskol!$K$438)</f>
        <v/>
      </c>
      <c r="AB435" t="str">
        <f>IF([2]Baskol!$L$438="","",[2]Baskol!$L$438)</f>
        <v/>
      </c>
      <c r="AC435" t="str">
        <f>IF([2]Baskol!$N$438="","",[2]Baskol!$N$438)</f>
        <v/>
      </c>
      <c r="AD435" t="str">
        <f>IF([2]Baskol!$O$438="","",[2]Baskol!$O$438)</f>
        <v/>
      </c>
      <c r="AE435" t="str">
        <f>IF([3]Entry!$C$438="","",[3]Entry!$C$438)</f>
        <v/>
      </c>
      <c r="AF435" t="str">
        <f>IF([3]Entry!$D$438="","",[3]Entry!$D$438)</f>
        <v/>
      </c>
      <c r="AG435" t="str">
        <f>IF([3]Entry!$E$438="","",[3]Entry!$E$438)</f>
        <v/>
      </c>
      <c r="AH435" t="str">
        <f>IF([3]Entry!$G$438="","",[3]Entry!$G$438)</f>
        <v/>
      </c>
      <c r="AI435" t="str">
        <f>IF([3]Entry!$K$438="","",[3]Entry!$K$438)</f>
        <v/>
      </c>
      <c r="AJ435" t="str">
        <f>IF([3]Entry!$L$438="","",[3]Entry!$L$438)</f>
        <v/>
      </c>
      <c r="AK435" t="str">
        <f>IF([3]Entry!$M$438="","",[3]Entry!$M$438)</f>
        <v/>
      </c>
      <c r="AL435" t="str">
        <f>IF([3]Entry!$N$438="","",[3]Entry!$N$438)</f>
        <v/>
      </c>
      <c r="AM435" t="str">
        <f>IF([3]Entry!$R$438="","",[3]Entry!$R$438)</f>
        <v/>
      </c>
    </row>
    <row r="436" spans="1:39" x14ac:dyDescent="0.2">
      <c r="A436" t="str">
        <f>IF([1]Accounts!$D$437="","",[1]Accounts!$A$437)</f>
        <v/>
      </c>
      <c r="B436" t="str">
        <f>IF([1]Accounts!$D$437="","",[1]Accounts!$B$437)</f>
        <v/>
      </c>
      <c r="C436" t="str">
        <f>IF([1]Accounts!$D$437="","",[1]Accounts!$C$437)</f>
        <v/>
      </c>
      <c r="D436" t="str">
        <f>IF([1]Accounts!$D$437="","",[1]Accounts!$D$437)</f>
        <v/>
      </c>
      <c r="E436" t="str">
        <f>IF([1]Accounts!$D$437="","",[1]Accounts!$E$437)</f>
        <v/>
      </c>
      <c r="F436" t="str">
        <f>IF([1]Accounts!$D$437="","",[1]Accounts!$F$437)</f>
        <v/>
      </c>
      <c r="G436" t="str">
        <f>IF([1]Accounts!$D$437="","",[1]Accounts!$G$437)</f>
        <v/>
      </c>
      <c r="T436" t="str">
        <f>IF([2]Baskol!$B$439="","",[2]Baskol!$B$439)</f>
        <v/>
      </c>
      <c r="U436" t="str">
        <f>IF([2]Baskol!$C$439="","",[2]Baskol!$C$439)</f>
        <v/>
      </c>
      <c r="V436" t="str">
        <f>IF([2]Baskol!$D$439="","",[2]Baskol!$D$439)</f>
        <v/>
      </c>
      <c r="W436" t="str">
        <f>IF([2]Baskol!$E$439="","",[2]Baskol!$E$439)</f>
        <v/>
      </c>
      <c r="X436" t="str">
        <f>IF([2]Baskol!$G$439="","",[2]Baskol!$G$439)</f>
        <v/>
      </c>
      <c r="Y436" t="str">
        <f>IF([2]Baskol!$I$439="","",[2]Baskol!$I$439)</f>
        <v/>
      </c>
      <c r="Z436" t="str">
        <f>IF([2]Baskol!$J$439="","",[2]Baskol!$J$439)</f>
        <v/>
      </c>
      <c r="AA436" t="str">
        <f>IF([2]Baskol!$K$439="","",[2]Baskol!$K$439)</f>
        <v/>
      </c>
      <c r="AB436" t="str">
        <f>IF([2]Baskol!$L$439="","",[2]Baskol!$L$439)</f>
        <v/>
      </c>
      <c r="AC436" t="str">
        <f>IF([2]Baskol!$N$439="","",[2]Baskol!$N$439)</f>
        <v/>
      </c>
      <c r="AD436" t="str">
        <f>IF([2]Baskol!$O$439="","",[2]Baskol!$O$439)</f>
        <v/>
      </c>
      <c r="AE436" t="str">
        <f>IF([3]Entry!$C$439="","",[3]Entry!$C$439)</f>
        <v/>
      </c>
      <c r="AF436" t="str">
        <f>IF([3]Entry!$D$439="","",[3]Entry!$D$439)</f>
        <v/>
      </c>
      <c r="AG436" t="str">
        <f>IF([3]Entry!$E$439="","",[3]Entry!$E$439)</f>
        <v/>
      </c>
      <c r="AH436" t="str">
        <f>IF([3]Entry!$G$439="","",[3]Entry!$G$439)</f>
        <v/>
      </c>
      <c r="AI436" t="str">
        <f>IF([3]Entry!$K$439="","",[3]Entry!$K$439)</f>
        <v/>
      </c>
      <c r="AJ436" t="str">
        <f>IF([3]Entry!$L$439="","",[3]Entry!$L$439)</f>
        <v/>
      </c>
      <c r="AK436" t="str">
        <f>IF([3]Entry!$M$439="","",[3]Entry!$M$439)</f>
        <v/>
      </c>
      <c r="AL436" t="str">
        <f>IF([3]Entry!$N$439="","",[3]Entry!$N$439)</f>
        <v/>
      </c>
      <c r="AM436" t="str">
        <f>IF([3]Entry!$R$439="","",[3]Entry!$R$439)</f>
        <v/>
      </c>
    </row>
    <row r="437" spans="1:39" x14ac:dyDescent="0.2">
      <c r="A437" t="str">
        <f>IF([1]Accounts!$D$438="","",[1]Accounts!$A$438)</f>
        <v/>
      </c>
      <c r="B437" t="str">
        <f>IF([1]Accounts!$D$438="","",[1]Accounts!$B$438)</f>
        <v/>
      </c>
      <c r="C437" t="str">
        <f>IF([1]Accounts!$D$438="","",[1]Accounts!$C$438)</f>
        <v/>
      </c>
      <c r="D437" t="str">
        <f>IF([1]Accounts!$D$438="","",[1]Accounts!$D$438)</f>
        <v/>
      </c>
      <c r="E437" t="str">
        <f>IF([1]Accounts!$D$438="","",[1]Accounts!$E$438)</f>
        <v/>
      </c>
      <c r="F437" t="str">
        <f>IF([1]Accounts!$D$438="","",[1]Accounts!$F$438)</f>
        <v/>
      </c>
      <c r="G437" t="str">
        <f>IF([1]Accounts!$D$438="","",[1]Accounts!$G$438)</f>
        <v/>
      </c>
      <c r="T437" t="str">
        <f>IF([2]Baskol!$B$440="","",[2]Baskol!$B$440)</f>
        <v/>
      </c>
      <c r="U437" t="str">
        <f>IF([2]Baskol!$C$440="","",[2]Baskol!$C$440)</f>
        <v/>
      </c>
      <c r="V437" t="str">
        <f>IF([2]Baskol!$D$440="","",[2]Baskol!$D$440)</f>
        <v/>
      </c>
      <c r="W437" t="str">
        <f>IF([2]Baskol!$E$440="","",[2]Baskol!$E$440)</f>
        <v/>
      </c>
      <c r="X437" t="str">
        <f>IF([2]Baskol!$G$440="","",[2]Baskol!$G$440)</f>
        <v/>
      </c>
      <c r="Y437" t="str">
        <f>IF([2]Baskol!$I$440="","",[2]Baskol!$I$440)</f>
        <v/>
      </c>
      <c r="Z437" t="str">
        <f>IF([2]Baskol!$J$440="","",[2]Baskol!$J$440)</f>
        <v/>
      </c>
      <c r="AA437" t="str">
        <f>IF([2]Baskol!$K$440="","",[2]Baskol!$K$440)</f>
        <v/>
      </c>
      <c r="AB437" t="str">
        <f>IF([2]Baskol!$L$440="","",[2]Baskol!$L$440)</f>
        <v/>
      </c>
      <c r="AC437" t="str">
        <f>IF([2]Baskol!$N$440="","",[2]Baskol!$N$440)</f>
        <v/>
      </c>
      <c r="AD437" t="str">
        <f>IF([2]Baskol!$O$440="","",[2]Baskol!$O$440)</f>
        <v/>
      </c>
      <c r="AE437" t="str">
        <f>IF([3]Entry!$C$440="","",[3]Entry!$C$440)</f>
        <v/>
      </c>
      <c r="AF437" t="str">
        <f>IF([3]Entry!$D$440="","",[3]Entry!$D$440)</f>
        <v/>
      </c>
      <c r="AG437" t="str">
        <f>IF([3]Entry!$E$440="","",[3]Entry!$E$440)</f>
        <v/>
      </c>
      <c r="AH437" t="str">
        <f>IF([3]Entry!$G$440="","",[3]Entry!$G$440)</f>
        <v/>
      </c>
      <c r="AI437" t="str">
        <f>IF([3]Entry!$K$440="","",[3]Entry!$K$440)</f>
        <v/>
      </c>
      <c r="AJ437" t="str">
        <f>IF([3]Entry!$L$440="","",[3]Entry!$L$440)</f>
        <v/>
      </c>
      <c r="AK437" t="str">
        <f>IF([3]Entry!$M$440="","",[3]Entry!$M$440)</f>
        <v/>
      </c>
      <c r="AL437" t="str">
        <f>IF([3]Entry!$N$440="","",[3]Entry!$N$440)</f>
        <v/>
      </c>
      <c r="AM437" t="str">
        <f>IF([3]Entry!$R$440="","",[3]Entry!$R$440)</f>
        <v/>
      </c>
    </row>
    <row r="438" spans="1:39" x14ac:dyDescent="0.2">
      <c r="A438" t="str">
        <f>IF([1]Accounts!$D$439="","",[1]Accounts!$A$439)</f>
        <v/>
      </c>
      <c r="B438" t="str">
        <f>IF([1]Accounts!$D$439="","",[1]Accounts!$B$439)</f>
        <v/>
      </c>
      <c r="C438" t="str">
        <f>IF([1]Accounts!$D$439="","",[1]Accounts!$C$439)</f>
        <v/>
      </c>
      <c r="D438" t="str">
        <f>IF([1]Accounts!$D$439="","",[1]Accounts!$D$439)</f>
        <v/>
      </c>
      <c r="E438" t="str">
        <f>IF([1]Accounts!$D$439="","",[1]Accounts!$E$439)</f>
        <v/>
      </c>
      <c r="F438" t="str">
        <f>IF([1]Accounts!$D$439="","",[1]Accounts!$F$439)</f>
        <v/>
      </c>
      <c r="G438" t="str">
        <f>IF([1]Accounts!$D$439="","",[1]Accounts!$G$439)</f>
        <v/>
      </c>
      <c r="T438" t="str">
        <f>IF([2]Baskol!$B$441="","",[2]Baskol!$B$441)</f>
        <v/>
      </c>
      <c r="U438" t="str">
        <f>IF([2]Baskol!$C$441="","",[2]Baskol!$C$441)</f>
        <v/>
      </c>
      <c r="V438" t="str">
        <f>IF([2]Baskol!$D$441="","",[2]Baskol!$D$441)</f>
        <v/>
      </c>
      <c r="W438" t="str">
        <f>IF([2]Baskol!$E$441="","",[2]Baskol!$E$441)</f>
        <v/>
      </c>
      <c r="X438" t="str">
        <f>IF([2]Baskol!$G$441="","",[2]Baskol!$G$441)</f>
        <v/>
      </c>
      <c r="Y438" t="str">
        <f>IF([2]Baskol!$I$441="","",[2]Baskol!$I$441)</f>
        <v/>
      </c>
      <c r="Z438" t="str">
        <f>IF([2]Baskol!$J$441="","",[2]Baskol!$J$441)</f>
        <v/>
      </c>
      <c r="AA438" t="str">
        <f>IF([2]Baskol!$K$441="","",[2]Baskol!$K$441)</f>
        <v/>
      </c>
      <c r="AB438" t="str">
        <f>IF([2]Baskol!$L$441="","",[2]Baskol!$L$441)</f>
        <v/>
      </c>
      <c r="AC438" t="str">
        <f>IF([2]Baskol!$N$441="","",[2]Baskol!$N$441)</f>
        <v/>
      </c>
      <c r="AD438" t="str">
        <f>IF([2]Baskol!$O$441="","",[2]Baskol!$O$441)</f>
        <v/>
      </c>
      <c r="AE438" t="str">
        <f>IF([3]Entry!$C$441="","",[3]Entry!$C$441)</f>
        <v/>
      </c>
      <c r="AF438" t="str">
        <f>IF([3]Entry!$D$441="","",[3]Entry!$D$441)</f>
        <v/>
      </c>
      <c r="AG438" t="str">
        <f>IF([3]Entry!$E$441="","",[3]Entry!$E$441)</f>
        <v/>
      </c>
      <c r="AH438" t="str">
        <f>IF([3]Entry!$G$441="","",[3]Entry!$G$441)</f>
        <v/>
      </c>
      <c r="AI438" t="str">
        <f>IF([3]Entry!$K$441="","",[3]Entry!$K$441)</f>
        <v/>
      </c>
      <c r="AJ438" t="str">
        <f>IF([3]Entry!$L$441="","",[3]Entry!$L$441)</f>
        <v/>
      </c>
      <c r="AK438" t="str">
        <f>IF([3]Entry!$M$441="","",[3]Entry!$M$441)</f>
        <v/>
      </c>
      <c r="AL438" t="str">
        <f>IF([3]Entry!$N$441="","",[3]Entry!$N$441)</f>
        <v/>
      </c>
      <c r="AM438" t="str">
        <f>IF([3]Entry!$R$441="","",[3]Entry!$R$441)</f>
        <v/>
      </c>
    </row>
    <row r="439" spans="1:39" x14ac:dyDescent="0.2">
      <c r="A439" t="str">
        <f>IF([1]Accounts!$D$440="","",[1]Accounts!$A$440)</f>
        <v/>
      </c>
      <c r="B439" t="str">
        <f>IF([1]Accounts!$D$440="","",[1]Accounts!$B$440)</f>
        <v/>
      </c>
      <c r="C439" t="str">
        <f>IF([1]Accounts!$D$440="","",[1]Accounts!$C$440)</f>
        <v/>
      </c>
      <c r="D439" t="str">
        <f>IF([1]Accounts!$D$440="","",[1]Accounts!$D$440)</f>
        <v/>
      </c>
      <c r="E439" t="str">
        <f>IF([1]Accounts!$D$440="","",[1]Accounts!$E$440)</f>
        <v/>
      </c>
      <c r="F439" t="str">
        <f>IF([1]Accounts!$D$440="","",[1]Accounts!$F$440)</f>
        <v/>
      </c>
      <c r="G439" t="str">
        <f>IF([1]Accounts!$D$440="","",[1]Accounts!$G$440)</f>
        <v/>
      </c>
      <c r="T439" t="str">
        <f>IF([2]Baskol!$B$442="","",[2]Baskol!$B$442)</f>
        <v/>
      </c>
      <c r="U439" t="str">
        <f>IF([2]Baskol!$C$442="","",[2]Baskol!$C$442)</f>
        <v/>
      </c>
      <c r="V439" t="str">
        <f>IF([2]Baskol!$D$442="","",[2]Baskol!$D$442)</f>
        <v/>
      </c>
      <c r="W439" t="str">
        <f>IF([2]Baskol!$E$442="","",[2]Baskol!$E$442)</f>
        <v/>
      </c>
      <c r="X439" t="str">
        <f>IF([2]Baskol!$G$442="","",[2]Baskol!$G$442)</f>
        <v/>
      </c>
      <c r="Y439" t="str">
        <f>IF([2]Baskol!$I$442="","",[2]Baskol!$I$442)</f>
        <v/>
      </c>
      <c r="Z439" t="str">
        <f>IF([2]Baskol!$J$442="","",[2]Baskol!$J$442)</f>
        <v/>
      </c>
      <c r="AA439" t="str">
        <f>IF([2]Baskol!$K$442="","",[2]Baskol!$K$442)</f>
        <v/>
      </c>
      <c r="AB439" t="str">
        <f>IF([2]Baskol!$L$442="","",[2]Baskol!$L$442)</f>
        <v/>
      </c>
      <c r="AC439" t="str">
        <f>IF([2]Baskol!$N$442="","",[2]Baskol!$N$442)</f>
        <v/>
      </c>
      <c r="AD439" t="str">
        <f>IF([2]Baskol!$O$442="","",[2]Baskol!$O$442)</f>
        <v/>
      </c>
      <c r="AE439" t="str">
        <f>IF([3]Entry!$C$442="","",[3]Entry!$C$442)</f>
        <v/>
      </c>
      <c r="AF439" t="str">
        <f>IF([3]Entry!$D$442="","",[3]Entry!$D$442)</f>
        <v/>
      </c>
      <c r="AG439" t="str">
        <f>IF([3]Entry!$E$442="","",[3]Entry!$E$442)</f>
        <v/>
      </c>
      <c r="AH439" t="str">
        <f>IF([3]Entry!$G$442="","",[3]Entry!$G$442)</f>
        <v/>
      </c>
      <c r="AI439" t="str">
        <f>IF([3]Entry!$K$442="","",[3]Entry!$K$442)</f>
        <v/>
      </c>
      <c r="AJ439" t="str">
        <f>IF([3]Entry!$L$442="","",[3]Entry!$L$442)</f>
        <v/>
      </c>
      <c r="AK439" t="str">
        <f>IF([3]Entry!$M$442="","",[3]Entry!$M$442)</f>
        <v/>
      </c>
      <c r="AL439" t="str">
        <f>IF([3]Entry!$N$442="","",[3]Entry!$N$442)</f>
        <v/>
      </c>
      <c r="AM439" t="str">
        <f>IF([3]Entry!$R$442="","",[3]Entry!$R$442)</f>
        <v/>
      </c>
    </row>
    <row r="440" spans="1:39" x14ac:dyDescent="0.2">
      <c r="A440" t="str">
        <f>IF([1]Accounts!$D$441="","",[1]Accounts!$A$441)</f>
        <v/>
      </c>
      <c r="B440" t="str">
        <f>IF([1]Accounts!$D$441="","",[1]Accounts!$B$441)</f>
        <v/>
      </c>
      <c r="C440" t="str">
        <f>IF([1]Accounts!$D$441="","",[1]Accounts!$C$441)</f>
        <v/>
      </c>
      <c r="D440" t="str">
        <f>IF([1]Accounts!$D$441="","",[1]Accounts!$D$441)</f>
        <v/>
      </c>
      <c r="E440" t="str">
        <f>IF([1]Accounts!$D$441="","",[1]Accounts!$E$441)</f>
        <v/>
      </c>
      <c r="F440" t="str">
        <f>IF([1]Accounts!$D$441="","",[1]Accounts!$F$441)</f>
        <v/>
      </c>
      <c r="G440" t="str">
        <f>IF([1]Accounts!$D$441="","",[1]Accounts!$G$441)</f>
        <v/>
      </c>
      <c r="T440" t="str">
        <f>IF([2]Baskol!$B$443="","",[2]Baskol!$B$443)</f>
        <v/>
      </c>
      <c r="U440" t="str">
        <f>IF([2]Baskol!$C$443="","",[2]Baskol!$C$443)</f>
        <v/>
      </c>
      <c r="V440" t="str">
        <f>IF([2]Baskol!$D$443="","",[2]Baskol!$D$443)</f>
        <v/>
      </c>
      <c r="W440" t="str">
        <f>IF([2]Baskol!$E$443="","",[2]Baskol!$E$443)</f>
        <v/>
      </c>
      <c r="X440" t="str">
        <f>IF([2]Baskol!$G$443="","",[2]Baskol!$G$443)</f>
        <v/>
      </c>
      <c r="Y440" t="str">
        <f>IF([2]Baskol!$I$443="","",[2]Baskol!$I$443)</f>
        <v/>
      </c>
      <c r="Z440" t="str">
        <f>IF([2]Baskol!$J$443="","",[2]Baskol!$J$443)</f>
        <v/>
      </c>
      <c r="AA440" t="str">
        <f>IF([2]Baskol!$K$443="","",[2]Baskol!$K$443)</f>
        <v/>
      </c>
      <c r="AB440" t="str">
        <f>IF([2]Baskol!$L$443="","",[2]Baskol!$L$443)</f>
        <v/>
      </c>
      <c r="AC440" t="str">
        <f>IF([2]Baskol!$N$443="","",[2]Baskol!$N$443)</f>
        <v/>
      </c>
      <c r="AD440" t="str">
        <f>IF([2]Baskol!$O$443="","",[2]Baskol!$O$443)</f>
        <v/>
      </c>
      <c r="AE440" t="str">
        <f>IF([3]Entry!$C$443="","",[3]Entry!$C$443)</f>
        <v/>
      </c>
      <c r="AF440" t="str">
        <f>IF([3]Entry!$D$443="","",[3]Entry!$D$443)</f>
        <v/>
      </c>
      <c r="AG440" t="str">
        <f>IF([3]Entry!$E$443="","",[3]Entry!$E$443)</f>
        <v/>
      </c>
      <c r="AH440" t="str">
        <f>IF([3]Entry!$G$443="","",[3]Entry!$G$443)</f>
        <v/>
      </c>
      <c r="AI440" t="str">
        <f>IF([3]Entry!$K$443="","",[3]Entry!$K$443)</f>
        <v/>
      </c>
      <c r="AJ440" t="str">
        <f>IF([3]Entry!$L$443="","",[3]Entry!$L$443)</f>
        <v/>
      </c>
      <c r="AK440" t="str">
        <f>IF([3]Entry!$M$443="","",[3]Entry!$M$443)</f>
        <v/>
      </c>
      <c r="AL440" t="str">
        <f>IF([3]Entry!$N$443="","",[3]Entry!$N$443)</f>
        <v/>
      </c>
      <c r="AM440" t="str">
        <f>IF([3]Entry!$R$443="","",[3]Entry!$R$443)</f>
        <v/>
      </c>
    </row>
    <row r="441" spans="1:39" x14ac:dyDescent="0.2">
      <c r="A441" t="str">
        <f>IF([1]Accounts!$D$442="","",[1]Accounts!$A$442)</f>
        <v/>
      </c>
      <c r="B441" t="str">
        <f>IF([1]Accounts!$D$442="","",[1]Accounts!$B$442)</f>
        <v/>
      </c>
      <c r="C441" t="str">
        <f>IF([1]Accounts!$D$442="","",[1]Accounts!$C$442)</f>
        <v/>
      </c>
      <c r="D441" t="str">
        <f>IF([1]Accounts!$D$442="","",[1]Accounts!$D$442)</f>
        <v/>
      </c>
      <c r="E441" t="str">
        <f>IF([1]Accounts!$D$442="","",[1]Accounts!$E$442)</f>
        <v/>
      </c>
      <c r="F441" t="str">
        <f>IF([1]Accounts!$D$442="","",[1]Accounts!$F$442)</f>
        <v/>
      </c>
      <c r="G441" t="str">
        <f>IF([1]Accounts!$D$442="","",[1]Accounts!$G$442)</f>
        <v/>
      </c>
      <c r="T441" t="str">
        <f>IF([2]Baskol!$B$444="","",[2]Baskol!$B$444)</f>
        <v/>
      </c>
      <c r="U441" t="str">
        <f>IF([2]Baskol!$C$444="","",[2]Baskol!$C$444)</f>
        <v/>
      </c>
      <c r="V441" t="str">
        <f>IF([2]Baskol!$D$444="","",[2]Baskol!$D$444)</f>
        <v/>
      </c>
      <c r="W441" t="str">
        <f>IF([2]Baskol!$E$444="","",[2]Baskol!$E$444)</f>
        <v/>
      </c>
      <c r="X441" t="str">
        <f>IF([2]Baskol!$G$444="","",[2]Baskol!$G$444)</f>
        <v/>
      </c>
      <c r="Y441" t="str">
        <f>IF([2]Baskol!$I$444="","",[2]Baskol!$I$444)</f>
        <v/>
      </c>
      <c r="Z441" t="str">
        <f>IF([2]Baskol!$J$444="","",[2]Baskol!$J$444)</f>
        <v/>
      </c>
      <c r="AA441" t="str">
        <f>IF([2]Baskol!$K$444="","",[2]Baskol!$K$444)</f>
        <v/>
      </c>
      <c r="AB441" t="str">
        <f>IF([2]Baskol!$L$444="","",[2]Baskol!$L$444)</f>
        <v/>
      </c>
      <c r="AC441" t="str">
        <f>IF([2]Baskol!$N$444="","",[2]Baskol!$N$444)</f>
        <v/>
      </c>
      <c r="AD441" t="str">
        <f>IF([2]Baskol!$O$444="","",[2]Baskol!$O$444)</f>
        <v/>
      </c>
      <c r="AE441" t="str">
        <f>IF([3]Entry!$C$444="","",[3]Entry!$C$444)</f>
        <v/>
      </c>
      <c r="AF441" t="str">
        <f>IF([3]Entry!$D$444="","",[3]Entry!$D$444)</f>
        <v/>
      </c>
      <c r="AG441" t="str">
        <f>IF([3]Entry!$E$444="","",[3]Entry!$E$444)</f>
        <v/>
      </c>
      <c r="AH441" t="str">
        <f>IF([3]Entry!$G$444="","",[3]Entry!$G$444)</f>
        <v/>
      </c>
      <c r="AI441" t="str">
        <f>IF([3]Entry!$K$444="","",[3]Entry!$K$444)</f>
        <v/>
      </c>
      <c r="AJ441" t="str">
        <f>IF([3]Entry!$L$444="","",[3]Entry!$L$444)</f>
        <v/>
      </c>
      <c r="AK441" t="str">
        <f>IF([3]Entry!$M$444="","",[3]Entry!$M$444)</f>
        <v/>
      </c>
      <c r="AL441" t="str">
        <f>IF([3]Entry!$N$444="","",[3]Entry!$N$444)</f>
        <v/>
      </c>
      <c r="AM441" t="str">
        <f>IF([3]Entry!$R$444="","",[3]Entry!$R$444)</f>
        <v/>
      </c>
    </row>
    <row r="442" spans="1:39" x14ac:dyDescent="0.2">
      <c r="A442" t="str">
        <f>IF([1]Accounts!$D$443="","",[1]Accounts!$A$443)</f>
        <v/>
      </c>
      <c r="B442" t="str">
        <f>IF([1]Accounts!$D$443="","",[1]Accounts!$B$443)</f>
        <v/>
      </c>
      <c r="C442" t="str">
        <f>IF([1]Accounts!$D$443="","",[1]Accounts!$C$443)</f>
        <v/>
      </c>
      <c r="D442" t="str">
        <f>IF([1]Accounts!$D$443="","",[1]Accounts!$D$443)</f>
        <v/>
      </c>
      <c r="E442" t="str">
        <f>IF([1]Accounts!$D$443="","",[1]Accounts!$E$443)</f>
        <v/>
      </c>
      <c r="F442" t="str">
        <f>IF([1]Accounts!$D$443="","",[1]Accounts!$F$443)</f>
        <v/>
      </c>
      <c r="G442" t="str">
        <f>IF([1]Accounts!$D$443="","",[1]Accounts!$G$443)</f>
        <v/>
      </c>
      <c r="T442" t="str">
        <f>IF([2]Baskol!$B$445="","",[2]Baskol!$B$445)</f>
        <v/>
      </c>
      <c r="U442" t="str">
        <f>IF([2]Baskol!$C$445="","",[2]Baskol!$C$445)</f>
        <v/>
      </c>
      <c r="V442" t="str">
        <f>IF([2]Baskol!$D$445="","",[2]Baskol!$D$445)</f>
        <v/>
      </c>
      <c r="W442" t="str">
        <f>IF([2]Baskol!$E$445="","",[2]Baskol!$E$445)</f>
        <v/>
      </c>
      <c r="X442" t="str">
        <f>IF([2]Baskol!$G$445="","",[2]Baskol!$G$445)</f>
        <v/>
      </c>
      <c r="Y442" t="str">
        <f>IF([2]Baskol!$I$445="","",[2]Baskol!$I$445)</f>
        <v/>
      </c>
      <c r="Z442" t="str">
        <f>IF([2]Baskol!$J$445="","",[2]Baskol!$J$445)</f>
        <v/>
      </c>
      <c r="AA442" t="str">
        <f>IF([2]Baskol!$K$445="","",[2]Baskol!$K$445)</f>
        <v/>
      </c>
      <c r="AB442" t="str">
        <f>IF([2]Baskol!$L$445="","",[2]Baskol!$L$445)</f>
        <v/>
      </c>
      <c r="AC442" t="str">
        <f>IF([2]Baskol!$N$445="","",[2]Baskol!$N$445)</f>
        <v/>
      </c>
      <c r="AD442" t="str">
        <f>IF([2]Baskol!$O$445="","",[2]Baskol!$O$445)</f>
        <v/>
      </c>
      <c r="AE442" t="str">
        <f>IF([3]Entry!$C$445="","",[3]Entry!$C$445)</f>
        <v/>
      </c>
      <c r="AF442" t="str">
        <f>IF([3]Entry!$D$445="","",[3]Entry!$D$445)</f>
        <v/>
      </c>
      <c r="AG442" t="str">
        <f>IF([3]Entry!$E$445="","",[3]Entry!$E$445)</f>
        <v/>
      </c>
      <c r="AH442" t="str">
        <f>IF([3]Entry!$G$445="","",[3]Entry!$G$445)</f>
        <v/>
      </c>
      <c r="AI442" t="str">
        <f>IF([3]Entry!$K$445="","",[3]Entry!$K$445)</f>
        <v/>
      </c>
      <c r="AJ442" t="str">
        <f>IF([3]Entry!$L$445="","",[3]Entry!$L$445)</f>
        <v/>
      </c>
      <c r="AK442" t="str">
        <f>IF([3]Entry!$M$445="","",[3]Entry!$M$445)</f>
        <v/>
      </c>
      <c r="AL442" t="str">
        <f>IF([3]Entry!$N$445="","",[3]Entry!$N$445)</f>
        <v/>
      </c>
      <c r="AM442" t="str">
        <f>IF([3]Entry!$R$445="","",[3]Entry!$R$445)</f>
        <v/>
      </c>
    </row>
    <row r="443" spans="1:39" x14ac:dyDescent="0.2">
      <c r="A443" t="str">
        <f>IF([1]Accounts!$D$444="","",[1]Accounts!$A$444)</f>
        <v/>
      </c>
      <c r="B443" t="str">
        <f>IF([1]Accounts!$D$444="","",[1]Accounts!$B$444)</f>
        <v/>
      </c>
      <c r="C443" t="str">
        <f>IF([1]Accounts!$D$444="","",[1]Accounts!$C$444)</f>
        <v/>
      </c>
      <c r="D443" t="str">
        <f>IF([1]Accounts!$D$444="","",[1]Accounts!$D$444)</f>
        <v/>
      </c>
      <c r="E443" t="str">
        <f>IF([1]Accounts!$D$444="","",[1]Accounts!$E$444)</f>
        <v/>
      </c>
      <c r="F443" t="str">
        <f>IF([1]Accounts!$D$444="","",[1]Accounts!$F$444)</f>
        <v/>
      </c>
      <c r="G443" t="str">
        <f>IF([1]Accounts!$D$444="","",[1]Accounts!$G$444)</f>
        <v/>
      </c>
      <c r="T443" t="str">
        <f>IF([2]Baskol!$B$446="","",[2]Baskol!$B$446)</f>
        <v/>
      </c>
      <c r="U443" t="str">
        <f>IF([2]Baskol!$C$446="","",[2]Baskol!$C$446)</f>
        <v/>
      </c>
      <c r="V443" t="str">
        <f>IF([2]Baskol!$D$446="","",[2]Baskol!$D$446)</f>
        <v/>
      </c>
      <c r="W443" t="str">
        <f>IF([2]Baskol!$E$446="","",[2]Baskol!$E$446)</f>
        <v/>
      </c>
      <c r="X443" t="str">
        <f>IF([2]Baskol!$G$446="","",[2]Baskol!$G$446)</f>
        <v/>
      </c>
      <c r="Y443" t="str">
        <f>IF([2]Baskol!$I$446="","",[2]Baskol!$I$446)</f>
        <v/>
      </c>
      <c r="Z443" t="str">
        <f>IF([2]Baskol!$J$446="","",[2]Baskol!$J$446)</f>
        <v/>
      </c>
      <c r="AA443" t="str">
        <f>IF([2]Baskol!$K$446="","",[2]Baskol!$K$446)</f>
        <v/>
      </c>
      <c r="AB443" t="str">
        <f>IF([2]Baskol!$L$446="","",[2]Baskol!$L$446)</f>
        <v/>
      </c>
      <c r="AC443" t="str">
        <f>IF([2]Baskol!$N$446="","",[2]Baskol!$N$446)</f>
        <v/>
      </c>
      <c r="AD443" t="str">
        <f>IF([2]Baskol!$O$446="","",[2]Baskol!$O$446)</f>
        <v/>
      </c>
      <c r="AE443" t="str">
        <f>IF([3]Entry!$C$446="","",[3]Entry!$C$446)</f>
        <v/>
      </c>
      <c r="AF443" t="str">
        <f>IF([3]Entry!$D$446="","",[3]Entry!$D$446)</f>
        <v/>
      </c>
      <c r="AG443" t="str">
        <f>IF([3]Entry!$E$446="","",[3]Entry!$E$446)</f>
        <v/>
      </c>
      <c r="AH443" t="str">
        <f>IF([3]Entry!$G$446="","",[3]Entry!$G$446)</f>
        <v/>
      </c>
      <c r="AI443" t="str">
        <f>IF([3]Entry!$K$446="","",[3]Entry!$K$446)</f>
        <v/>
      </c>
      <c r="AJ443" t="str">
        <f>IF([3]Entry!$L$446="","",[3]Entry!$L$446)</f>
        <v/>
      </c>
      <c r="AK443" t="str">
        <f>IF([3]Entry!$M$446="","",[3]Entry!$M$446)</f>
        <v/>
      </c>
      <c r="AL443" t="str">
        <f>IF([3]Entry!$N$446="","",[3]Entry!$N$446)</f>
        <v/>
      </c>
      <c r="AM443" t="str">
        <f>IF([3]Entry!$R$446="","",[3]Entry!$R$446)</f>
        <v/>
      </c>
    </row>
    <row r="444" spans="1:39" x14ac:dyDescent="0.2">
      <c r="A444" t="str">
        <f>IF([1]Accounts!$D$445="","",[1]Accounts!$A$445)</f>
        <v/>
      </c>
      <c r="B444" t="str">
        <f>IF([1]Accounts!$D$445="","",[1]Accounts!$B$445)</f>
        <v/>
      </c>
      <c r="C444" t="str">
        <f>IF([1]Accounts!$D$445="","",[1]Accounts!$C$445)</f>
        <v/>
      </c>
      <c r="D444" t="str">
        <f>IF([1]Accounts!$D$445="","",[1]Accounts!$D$445)</f>
        <v/>
      </c>
      <c r="E444" t="str">
        <f>IF([1]Accounts!$D$445="","",[1]Accounts!$E$445)</f>
        <v/>
      </c>
      <c r="F444" t="str">
        <f>IF([1]Accounts!$D$445="","",[1]Accounts!$F$445)</f>
        <v/>
      </c>
      <c r="G444" t="str">
        <f>IF([1]Accounts!$D$445="","",[1]Accounts!$G$445)</f>
        <v/>
      </c>
      <c r="T444" t="str">
        <f>IF([2]Baskol!$B$447="","",[2]Baskol!$B$447)</f>
        <v/>
      </c>
      <c r="U444" t="str">
        <f>IF([2]Baskol!$C$447="","",[2]Baskol!$C$447)</f>
        <v/>
      </c>
      <c r="V444" t="str">
        <f>IF([2]Baskol!$D$447="","",[2]Baskol!$D$447)</f>
        <v/>
      </c>
      <c r="W444" t="str">
        <f>IF([2]Baskol!$E$447="","",[2]Baskol!$E$447)</f>
        <v/>
      </c>
      <c r="X444" t="str">
        <f>IF([2]Baskol!$G$447="","",[2]Baskol!$G$447)</f>
        <v/>
      </c>
      <c r="Y444" t="str">
        <f>IF([2]Baskol!$I$447="","",[2]Baskol!$I$447)</f>
        <v/>
      </c>
      <c r="Z444" t="str">
        <f>IF([2]Baskol!$J$447="","",[2]Baskol!$J$447)</f>
        <v/>
      </c>
      <c r="AA444" t="str">
        <f>IF([2]Baskol!$K$447="","",[2]Baskol!$K$447)</f>
        <v/>
      </c>
      <c r="AB444" t="str">
        <f>IF([2]Baskol!$L$447="","",[2]Baskol!$L$447)</f>
        <v/>
      </c>
      <c r="AC444" t="str">
        <f>IF([2]Baskol!$N$447="","",[2]Baskol!$N$447)</f>
        <v/>
      </c>
      <c r="AD444" t="str">
        <f>IF([2]Baskol!$O$447="","",[2]Baskol!$O$447)</f>
        <v/>
      </c>
      <c r="AE444" t="str">
        <f>IF([3]Entry!$C$447="","",[3]Entry!$C$447)</f>
        <v/>
      </c>
      <c r="AF444" t="str">
        <f>IF([3]Entry!$D$447="","",[3]Entry!$D$447)</f>
        <v/>
      </c>
      <c r="AG444" t="str">
        <f>IF([3]Entry!$E$447="","",[3]Entry!$E$447)</f>
        <v/>
      </c>
      <c r="AH444" t="str">
        <f>IF([3]Entry!$G$447="","",[3]Entry!$G$447)</f>
        <v/>
      </c>
      <c r="AI444" t="str">
        <f>IF([3]Entry!$K$447="","",[3]Entry!$K$447)</f>
        <v/>
      </c>
      <c r="AJ444" t="str">
        <f>IF([3]Entry!$L$447="","",[3]Entry!$L$447)</f>
        <v/>
      </c>
      <c r="AK444" t="str">
        <f>IF([3]Entry!$M$447="","",[3]Entry!$M$447)</f>
        <v/>
      </c>
      <c r="AL444" t="str">
        <f>IF([3]Entry!$N$447="","",[3]Entry!$N$447)</f>
        <v/>
      </c>
      <c r="AM444" t="str">
        <f>IF([3]Entry!$R$447="","",[3]Entry!$R$447)</f>
        <v/>
      </c>
    </row>
    <row r="445" spans="1:39" x14ac:dyDescent="0.2">
      <c r="A445" t="str">
        <f>IF([1]Accounts!$D$446="","",[1]Accounts!$A$446)</f>
        <v/>
      </c>
      <c r="B445" t="str">
        <f>IF([1]Accounts!$D$446="","",[1]Accounts!$B$446)</f>
        <v/>
      </c>
      <c r="C445" t="str">
        <f>IF([1]Accounts!$D$446="","",[1]Accounts!$C$446)</f>
        <v/>
      </c>
      <c r="D445" t="str">
        <f>IF([1]Accounts!$D$446="","",[1]Accounts!$D$446)</f>
        <v/>
      </c>
      <c r="E445" t="str">
        <f>IF([1]Accounts!$D$446="","",[1]Accounts!$E$446)</f>
        <v/>
      </c>
      <c r="F445" t="str">
        <f>IF([1]Accounts!$D$446="","",[1]Accounts!$F$446)</f>
        <v/>
      </c>
      <c r="G445" t="str">
        <f>IF([1]Accounts!$D$446="","",[1]Accounts!$G$446)</f>
        <v/>
      </c>
      <c r="T445" t="str">
        <f>IF([2]Baskol!$B$448="","",[2]Baskol!$B$448)</f>
        <v/>
      </c>
      <c r="U445" t="str">
        <f>IF([2]Baskol!$C$448="","",[2]Baskol!$C$448)</f>
        <v/>
      </c>
      <c r="V445" t="str">
        <f>IF([2]Baskol!$D$448="","",[2]Baskol!$D$448)</f>
        <v/>
      </c>
      <c r="W445" t="str">
        <f>IF([2]Baskol!$E$448="","",[2]Baskol!$E$448)</f>
        <v/>
      </c>
      <c r="X445" t="str">
        <f>IF([2]Baskol!$G$448="","",[2]Baskol!$G$448)</f>
        <v/>
      </c>
      <c r="Y445" t="str">
        <f>IF([2]Baskol!$I$448="","",[2]Baskol!$I$448)</f>
        <v/>
      </c>
      <c r="Z445" t="str">
        <f>IF([2]Baskol!$J$448="","",[2]Baskol!$J$448)</f>
        <v/>
      </c>
      <c r="AA445" t="str">
        <f>IF([2]Baskol!$K$448="","",[2]Baskol!$K$448)</f>
        <v/>
      </c>
      <c r="AB445" t="str">
        <f>IF([2]Baskol!$L$448="","",[2]Baskol!$L$448)</f>
        <v/>
      </c>
      <c r="AC445" t="str">
        <f>IF([2]Baskol!$N$448="","",[2]Baskol!$N$448)</f>
        <v/>
      </c>
      <c r="AD445" t="str">
        <f>IF([2]Baskol!$O$448="","",[2]Baskol!$O$448)</f>
        <v/>
      </c>
      <c r="AE445" t="str">
        <f>IF([3]Entry!$C$448="","",[3]Entry!$C$448)</f>
        <v/>
      </c>
      <c r="AF445" t="str">
        <f>IF([3]Entry!$D$448="","",[3]Entry!$D$448)</f>
        <v/>
      </c>
      <c r="AG445" t="str">
        <f>IF([3]Entry!$E$448="","",[3]Entry!$E$448)</f>
        <v/>
      </c>
      <c r="AH445" t="str">
        <f>IF([3]Entry!$G$448="","",[3]Entry!$G$448)</f>
        <v/>
      </c>
      <c r="AI445" t="str">
        <f>IF([3]Entry!$K$448="","",[3]Entry!$K$448)</f>
        <v/>
      </c>
      <c r="AJ445" t="str">
        <f>IF([3]Entry!$L$448="","",[3]Entry!$L$448)</f>
        <v/>
      </c>
      <c r="AK445" t="str">
        <f>IF([3]Entry!$M$448="","",[3]Entry!$M$448)</f>
        <v/>
      </c>
      <c r="AL445" t="str">
        <f>IF([3]Entry!$N$448="","",[3]Entry!$N$448)</f>
        <v/>
      </c>
      <c r="AM445" t="str">
        <f>IF([3]Entry!$R$448="","",[3]Entry!$R$448)</f>
        <v/>
      </c>
    </row>
    <row r="446" spans="1:39" x14ac:dyDescent="0.2">
      <c r="A446" t="str">
        <f>IF([1]Accounts!$D$447="","",[1]Accounts!$A$447)</f>
        <v/>
      </c>
      <c r="B446" t="str">
        <f>IF([1]Accounts!$D$447="","",[1]Accounts!$B$447)</f>
        <v/>
      </c>
      <c r="C446" t="str">
        <f>IF([1]Accounts!$D$447="","",[1]Accounts!$C$447)</f>
        <v/>
      </c>
      <c r="D446" t="str">
        <f>IF([1]Accounts!$D$447="","",[1]Accounts!$D$447)</f>
        <v/>
      </c>
      <c r="E446" t="str">
        <f>IF([1]Accounts!$D$447="","",[1]Accounts!$E$447)</f>
        <v/>
      </c>
      <c r="F446" t="str">
        <f>IF([1]Accounts!$D$447="","",[1]Accounts!$F$447)</f>
        <v/>
      </c>
      <c r="G446" t="str">
        <f>IF([1]Accounts!$D$447="","",[1]Accounts!$G$447)</f>
        <v/>
      </c>
      <c r="T446" t="str">
        <f>IF([2]Baskol!$B$449="","",[2]Baskol!$B$449)</f>
        <v/>
      </c>
      <c r="U446" t="str">
        <f>IF([2]Baskol!$C$449="","",[2]Baskol!$C$449)</f>
        <v/>
      </c>
      <c r="V446" t="str">
        <f>IF([2]Baskol!$D$449="","",[2]Baskol!$D$449)</f>
        <v/>
      </c>
      <c r="W446" t="str">
        <f>IF([2]Baskol!$E$449="","",[2]Baskol!$E$449)</f>
        <v/>
      </c>
      <c r="X446" t="str">
        <f>IF([2]Baskol!$G$449="","",[2]Baskol!$G$449)</f>
        <v/>
      </c>
      <c r="Y446" t="str">
        <f>IF([2]Baskol!$I$449="","",[2]Baskol!$I$449)</f>
        <v/>
      </c>
      <c r="Z446" t="str">
        <f>IF([2]Baskol!$J$449="","",[2]Baskol!$J$449)</f>
        <v/>
      </c>
      <c r="AA446" t="str">
        <f>IF([2]Baskol!$K$449="","",[2]Baskol!$K$449)</f>
        <v/>
      </c>
      <c r="AB446" t="str">
        <f>IF([2]Baskol!$L$449="","",[2]Baskol!$L$449)</f>
        <v/>
      </c>
      <c r="AC446" t="str">
        <f>IF([2]Baskol!$N$449="","",[2]Baskol!$N$449)</f>
        <v/>
      </c>
      <c r="AD446" t="str">
        <f>IF([2]Baskol!$O$449="","",[2]Baskol!$O$449)</f>
        <v/>
      </c>
      <c r="AE446" t="str">
        <f>IF([3]Entry!$C$449="","",[3]Entry!$C$449)</f>
        <v/>
      </c>
      <c r="AF446" t="str">
        <f>IF([3]Entry!$D$449="","",[3]Entry!$D$449)</f>
        <v/>
      </c>
      <c r="AG446" t="str">
        <f>IF([3]Entry!$E$449="","",[3]Entry!$E$449)</f>
        <v/>
      </c>
      <c r="AH446" t="str">
        <f>IF([3]Entry!$G$449="","",[3]Entry!$G$449)</f>
        <v/>
      </c>
      <c r="AI446" t="str">
        <f>IF([3]Entry!$K$449="","",[3]Entry!$K$449)</f>
        <v/>
      </c>
      <c r="AJ446" t="str">
        <f>IF([3]Entry!$L$449="","",[3]Entry!$L$449)</f>
        <v/>
      </c>
      <c r="AK446" t="str">
        <f>IF([3]Entry!$M$449="","",[3]Entry!$M$449)</f>
        <v/>
      </c>
      <c r="AL446" t="str">
        <f>IF([3]Entry!$N$449="","",[3]Entry!$N$449)</f>
        <v/>
      </c>
      <c r="AM446" t="str">
        <f>IF([3]Entry!$R$449="","",[3]Entry!$R$449)</f>
        <v/>
      </c>
    </row>
    <row r="447" spans="1:39" x14ac:dyDescent="0.2">
      <c r="A447" t="str">
        <f>IF([1]Accounts!$D$448="","",[1]Accounts!$A$448)</f>
        <v/>
      </c>
      <c r="B447" t="str">
        <f>IF([1]Accounts!$D$448="","",[1]Accounts!$B$448)</f>
        <v/>
      </c>
      <c r="C447" t="str">
        <f>IF([1]Accounts!$D$448="","",[1]Accounts!$C$448)</f>
        <v/>
      </c>
      <c r="D447" t="str">
        <f>IF([1]Accounts!$D$448="","",[1]Accounts!$D$448)</f>
        <v/>
      </c>
      <c r="E447" t="str">
        <f>IF([1]Accounts!$D$448="","",[1]Accounts!$E$448)</f>
        <v/>
      </c>
      <c r="F447" t="str">
        <f>IF([1]Accounts!$D$448="","",[1]Accounts!$F$448)</f>
        <v/>
      </c>
      <c r="G447" t="str">
        <f>IF([1]Accounts!$D$448="","",[1]Accounts!$G$448)</f>
        <v/>
      </c>
      <c r="T447" t="str">
        <f>IF([2]Baskol!$B$450="","",[2]Baskol!$B$450)</f>
        <v/>
      </c>
      <c r="U447" t="str">
        <f>IF([2]Baskol!$C$450="","",[2]Baskol!$C$450)</f>
        <v/>
      </c>
      <c r="V447" t="str">
        <f>IF([2]Baskol!$D$450="","",[2]Baskol!$D$450)</f>
        <v/>
      </c>
      <c r="W447" t="str">
        <f>IF([2]Baskol!$E$450="","",[2]Baskol!$E$450)</f>
        <v/>
      </c>
      <c r="X447" t="str">
        <f>IF([2]Baskol!$G$450="","",[2]Baskol!$G$450)</f>
        <v/>
      </c>
      <c r="Y447" t="str">
        <f>IF([2]Baskol!$I$450="","",[2]Baskol!$I$450)</f>
        <v/>
      </c>
      <c r="Z447" t="str">
        <f>IF([2]Baskol!$J$450="","",[2]Baskol!$J$450)</f>
        <v/>
      </c>
      <c r="AA447" t="str">
        <f>IF([2]Baskol!$K$450="","",[2]Baskol!$K$450)</f>
        <v/>
      </c>
      <c r="AB447" t="str">
        <f>IF([2]Baskol!$L$450="","",[2]Baskol!$L$450)</f>
        <v/>
      </c>
      <c r="AC447" t="str">
        <f>IF([2]Baskol!$N$450="","",[2]Baskol!$N$450)</f>
        <v/>
      </c>
      <c r="AD447" t="str">
        <f>IF([2]Baskol!$O$450="","",[2]Baskol!$O$450)</f>
        <v/>
      </c>
      <c r="AE447" t="str">
        <f>IF([3]Entry!$C$450="","",[3]Entry!$C$450)</f>
        <v/>
      </c>
      <c r="AF447" t="str">
        <f>IF([3]Entry!$D$450="","",[3]Entry!$D$450)</f>
        <v/>
      </c>
      <c r="AG447" t="str">
        <f>IF([3]Entry!$E$450="","",[3]Entry!$E$450)</f>
        <v/>
      </c>
      <c r="AH447" t="str">
        <f>IF([3]Entry!$G$450="","",[3]Entry!$G$450)</f>
        <v/>
      </c>
      <c r="AI447" t="str">
        <f>IF([3]Entry!$K$450="","",[3]Entry!$K$450)</f>
        <v/>
      </c>
      <c r="AJ447" t="str">
        <f>IF([3]Entry!$L$450="","",[3]Entry!$L$450)</f>
        <v/>
      </c>
      <c r="AK447" t="str">
        <f>IF([3]Entry!$M$450="","",[3]Entry!$M$450)</f>
        <v/>
      </c>
      <c r="AL447" t="str">
        <f>IF([3]Entry!$N$450="","",[3]Entry!$N$450)</f>
        <v/>
      </c>
      <c r="AM447" t="str">
        <f>IF([3]Entry!$R$450="","",[3]Entry!$R$450)</f>
        <v/>
      </c>
    </row>
    <row r="448" spans="1:39" x14ac:dyDescent="0.2">
      <c r="A448" t="str">
        <f>IF([1]Accounts!$D$449="","",[1]Accounts!$A$449)</f>
        <v/>
      </c>
      <c r="B448" t="str">
        <f>IF([1]Accounts!$D$449="","",[1]Accounts!$B$449)</f>
        <v/>
      </c>
      <c r="C448" t="str">
        <f>IF([1]Accounts!$D$449="","",[1]Accounts!$C$449)</f>
        <v/>
      </c>
      <c r="D448" t="str">
        <f>IF([1]Accounts!$D$449="","",[1]Accounts!$D$449)</f>
        <v/>
      </c>
      <c r="E448" t="str">
        <f>IF([1]Accounts!$D$449="","",[1]Accounts!$E$449)</f>
        <v/>
      </c>
      <c r="F448" t="str">
        <f>IF([1]Accounts!$D$449="","",[1]Accounts!$F$449)</f>
        <v/>
      </c>
      <c r="G448" t="str">
        <f>IF([1]Accounts!$D$449="","",[1]Accounts!$G$449)</f>
        <v/>
      </c>
      <c r="T448" t="str">
        <f>IF([2]Baskol!$B$451="","",[2]Baskol!$B$451)</f>
        <v/>
      </c>
      <c r="U448" t="str">
        <f>IF([2]Baskol!$C$451="","",[2]Baskol!$C$451)</f>
        <v/>
      </c>
      <c r="V448" t="str">
        <f>IF([2]Baskol!$D$451="","",[2]Baskol!$D$451)</f>
        <v/>
      </c>
      <c r="W448" t="str">
        <f>IF([2]Baskol!$E$451="","",[2]Baskol!$E$451)</f>
        <v/>
      </c>
      <c r="X448" t="str">
        <f>IF([2]Baskol!$G$451="","",[2]Baskol!$G$451)</f>
        <v/>
      </c>
      <c r="Y448" t="str">
        <f>IF([2]Baskol!$I$451="","",[2]Baskol!$I$451)</f>
        <v/>
      </c>
      <c r="Z448" t="str">
        <f>IF([2]Baskol!$J$451="","",[2]Baskol!$J$451)</f>
        <v/>
      </c>
      <c r="AA448" t="str">
        <f>IF([2]Baskol!$K$451="","",[2]Baskol!$K$451)</f>
        <v/>
      </c>
      <c r="AB448" t="str">
        <f>IF([2]Baskol!$L$451="","",[2]Baskol!$L$451)</f>
        <v/>
      </c>
      <c r="AC448" t="str">
        <f>IF([2]Baskol!$N$451="","",[2]Baskol!$N$451)</f>
        <v/>
      </c>
      <c r="AD448" t="str">
        <f>IF([2]Baskol!$O$451="","",[2]Baskol!$O$451)</f>
        <v/>
      </c>
      <c r="AE448" t="str">
        <f>IF([3]Entry!$C$451="","",[3]Entry!$C$451)</f>
        <v/>
      </c>
      <c r="AF448" t="str">
        <f>IF([3]Entry!$D$451="","",[3]Entry!$D$451)</f>
        <v/>
      </c>
      <c r="AG448" t="str">
        <f>IF([3]Entry!$E$451="","",[3]Entry!$E$451)</f>
        <v/>
      </c>
      <c r="AH448" t="str">
        <f>IF([3]Entry!$G$451="","",[3]Entry!$G$451)</f>
        <v/>
      </c>
      <c r="AI448" t="str">
        <f>IF([3]Entry!$K$451="","",[3]Entry!$K$451)</f>
        <v/>
      </c>
      <c r="AJ448" t="str">
        <f>IF([3]Entry!$L$451="","",[3]Entry!$L$451)</f>
        <v/>
      </c>
      <c r="AK448" t="str">
        <f>IF([3]Entry!$M$451="","",[3]Entry!$M$451)</f>
        <v/>
      </c>
      <c r="AL448" t="str">
        <f>IF([3]Entry!$N$451="","",[3]Entry!$N$451)</f>
        <v/>
      </c>
      <c r="AM448" t="str">
        <f>IF([3]Entry!$R$451="","",[3]Entry!$R$451)</f>
        <v/>
      </c>
    </row>
    <row r="449" spans="1:39" x14ac:dyDescent="0.2">
      <c r="A449" t="str">
        <f>IF([1]Accounts!$D$450="","",[1]Accounts!$A$450)</f>
        <v/>
      </c>
      <c r="B449" t="str">
        <f>IF([1]Accounts!$D$450="","",[1]Accounts!$B$450)</f>
        <v/>
      </c>
      <c r="C449" t="str">
        <f>IF([1]Accounts!$D$450="","",[1]Accounts!$C$450)</f>
        <v/>
      </c>
      <c r="D449" t="str">
        <f>IF([1]Accounts!$D$450="","",[1]Accounts!$D$450)</f>
        <v/>
      </c>
      <c r="E449" t="str">
        <f>IF([1]Accounts!$D$450="","",[1]Accounts!$E$450)</f>
        <v/>
      </c>
      <c r="F449" t="str">
        <f>IF([1]Accounts!$D$450="","",[1]Accounts!$F$450)</f>
        <v/>
      </c>
      <c r="G449" t="str">
        <f>IF([1]Accounts!$D$450="","",[1]Accounts!$G$450)</f>
        <v/>
      </c>
      <c r="T449" t="str">
        <f>IF([2]Baskol!$B$452="","",[2]Baskol!$B$452)</f>
        <v/>
      </c>
      <c r="U449" t="str">
        <f>IF([2]Baskol!$C$452="","",[2]Baskol!$C$452)</f>
        <v/>
      </c>
      <c r="V449" t="str">
        <f>IF([2]Baskol!$D$452="","",[2]Baskol!$D$452)</f>
        <v/>
      </c>
      <c r="W449" t="str">
        <f>IF([2]Baskol!$E$452="","",[2]Baskol!$E$452)</f>
        <v/>
      </c>
      <c r="X449" t="str">
        <f>IF([2]Baskol!$G$452="","",[2]Baskol!$G$452)</f>
        <v/>
      </c>
      <c r="Y449" t="str">
        <f>IF([2]Baskol!$I$452="","",[2]Baskol!$I$452)</f>
        <v/>
      </c>
      <c r="Z449" t="str">
        <f>IF([2]Baskol!$J$452="","",[2]Baskol!$J$452)</f>
        <v/>
      </c>
      <c r="AA449" t="str">
        <f>IF([2]Baskol!$K$452="","",[2]Baskol!$K$452)</f>
        <v/>
      </c>
      <c r="AB449" t="str">
        <f>IF([2]Baskol!$L$452="","",[2]Baskol!$L$452)</f>
        <v/>
      </c>
      <c r="AC449" t="str">
        <f>IF([2]Baskol!$N$452="","",[2]Baskol!$N$452)</f>
        <v/>
      </c>
      <c r="AD449" t="str">
        <f>IF([2]Baskol!$O$452="","",[2]Baskol!$O$452)</f>
        <v/>
      </c>
      <c r="AE449" t="str">
        <f>IF([3]Entry!$C$452="","",[3]Entry!$C$452)</f>
        <v/>
      </c>
      <c r="AF449" t="str">
        <f>IF([3]Entry!$D$452="","",[3]Entry!$D$452)</f>
        <v/>
      </c>
      <c r="AG449" t="str">
        <f>IF([3]Entry!$E$452="","",[3]Entry!$E$452)</f>
        <v/>
      </c>
      <c r="AH449" t="str">
        <f>IF([3]Entry!$G$452="","",[3]Entry!$G$452)</f>
        <v/>
      </c>
      <c r="AI449" t="str">
        <f>IF([3]Entry!$K$452="","",[3]Entry!$K$452)</f>
        <v/>
      </c>
      <c r="AJ449" t="str">
        <f>IF([3]Entry!$L$452="","",[3]Entry!$L$452)</f>
        <v/>
      </c>
      <c r="AK449" t="str">
        <f>IF([3]Entry!$M$452="","",[3]Entry!$M$452)</f>
        <v/>
      </c>
      <c r="AL449" t="str">
        <f>IF([3]Entry!$N$452="","",[3]Entry!$N$452)</f>
        <v/>
      </c>
      <c r="AM449" t="str">
        <f>IF([3]Entry!$R$452="","",[3]Entry!$R$452)</f>
        <v/>
      </c>
    </row>
    <row r="450" spans="1:39" x14ac:dyDescent="0.2">
      <c r="A450" t="str">
        <f>IF([1]Accounts!$D$451="","",[1]Accounts!$A$451)</f>
        <v/>
      </c>
      <c r="B450" t="str">
        <f>IF([1]Accounts!$D$451="","",[1]Accounts!$B$451)</f>
        <v/>
      </c>
      <c r="C450" t="str">
        <f>IF([1]Accounts!$D$451="","",[1]Accounts!$C$451)</f>
        <v/>
      </c>
      <c r="D450" t="str">
        <f>IF([1]Accounts!$D$451="","",[1]Accounts!$D$451)</f>
        <v/>
      </c>
      <c r="E450" t="str">
        <f>IF([1]Accounts!$D$451="","",[1]Accounts!$E$451)</f>
        <v/>
      </c>
      <c r="F450" t="str">
        <f>IF([1]Accounts!$D$451="","",[1]Accounts!$F$451)</f>
        <v/>
      </c>
      <c r="G450" t="str">
        <f>IF([1]Accounts!$D$451="","",[1]Accounts!$G$451)</f>
        <v/>
      </c>
      <c r="T450" t="str">
        <f>IF([2]Baskol!$B$453="","",[2]Baskol!$B$453)</f>
        <v/>
      </c>
      <c r="U450" t="str">
        <f>IF([2]Baskol!$C$453="","",[2]Baskol!$C$453)</f>
        <v/>
      </c>
      <c r="V450" t="str">
        <f>IF([2]Baskol!$D$453="","",[2]Baskol!$D$453)</f>
        <v/>
      </c>
      <c r="W450" t="str">
        <f>IF([2]Baskol!$E$453="","",[2]Baskol!$E$453)</f>
        <v/>
      </c>
      <c r="X450" t="str">
        <f>IF([2]Baskol!$G$453="","",[2]Baskol!$G$453)</f>
        <v/>
      </c>
      <c r="Y450" t="str">
        <f>IF([2]Baskol!$I$453="","",[2]Baskol!$I$453)</f>
        <v/>
      </c>
      <c r="Z450" t="str">
        <f>IF([2]Baskol!$J$453="","",[2]Baskol!$J$453)</f>
        <v/>
      </c>
      <c r="AA450" t="str">
        <f>IF([2]Baskol!$K$453="","",[2]Baskol!$K$453)</f>
        <v/>
      </c>
      <c r="AB450" t="str">
        <f>IF([2]Baskol!$L$453="","",[2]Baskol!$L$453)</f>
        <v/>
      </c>
      <c r="AC450" t="str">
        <f>IF([2]Baskol!$N$453="","",[2]Baskol!$N$453)</f>
        <v/>
      </c>
      <c r="AD450" t="str">
        <f>IF([2]Baskol!$O$453="","",[2]Baskol!$O$453)</f>
        <v/>
      </c>
      <c r="AE450" t="str">
        <f>IF([3]Entry!$C$453="","",[3]Entry!$C$453)</f>
        <v/>
      </c>
      <c r="AF450" t="str">
        <f>IF([3]Entry!$D$453="","",[3]Entry!$D$453)</f>
        <v/>
      </c>
      <c r="AG450" t="str">
        <f>IF([3]Entry!$E$453="","",[3]Entry!$E$453)</f>
        <v/>
      </c>
      <c r="AH450" t="str">
        <f>IF([3]Entry!$G$453="","",[3]Entry!$G$453)</f>
        <v/>
      </c>
      <c r="AI450" t="str">
        <f>IF([3]Entry!$K$453="","",[3]Entry!$K$453)</f>
        <v/>
      </c>
      <c r="AJ450" t="str">
        <f>IF([3]Entry!$L$453="","",[3]Entry!$L$453)</f>
        <v/>
      </c>
      <c r="AK450" t="str">
        <f>IF([3]Entry!$M$453="","",[3]Entry!$M$453)</f>
        <v/>
      </c>
      <c r="AL450" t="str">
        <f>IF([3]Entry!$N$453="","",[3]Entry!$N$453)</f>
        <v/>
      </c>
      <c r="AM450" t="str">
        <f>IF([3]Entry!$R$453="","",[3]Entry!$R$453)</f>
        <v/>
      </c>
    </row>
    <row r="451" spans="1:39" x14ac:dyDescent="0.2">
      <c r="A451" t="str">
        <f>IF([1]Accounts!$D$452="","",[1]Accounts!$A$452)</f>
        <v/>
      </c>
      <c r="B451" t="str">
        <f>IF([1]Accounts!$D$452="","",[1]Accounts!$B$452)</f>
        <v/>
      </c>
      <c r="C451" t="str">
        <f>IF([1]Accounts!$D$452="","",[1]Accounts!$C$452)</f>
        <v/>
      </c>
      <c r="D451" t="str">
        <f>IF([1]Accounts!$D$452="","",[1]Accounts!$D$452)</f>
        <v/>
      </c>
      <c r="E451" t="str">
        <f>IF([1]Accounts!$D$452="","",[1]Accounts!$E$452)</f>
        <v/>
      </c>
      <c r="F451" t="str">
        <f>IF([1]Accounts!$D$452="","",[1]Accounts!$F$452)</f>
        <v/>
      </c>
      <c r="G451" t="str">
        <f>IF([1]Accounts!$D$452="","",[1]Accounts!$G$452)</f>
        <v/>
      </c>
      <c r="T451" t="str">
        <f>IF([2]Baskol!$B$454="","",[2]Baskol!$B$454)</f>
        <v/>
      </c>
      <c r="U451" t="str">
        <f>IF([2]Baskol!$C$454="","",[2]Baskol!$C$454)</f>
        <v/>
      </c>
      <c r="V451" t="str">
        <f>IF([2]Baskol!$D$454="","",[2]Baskol!$D$454)</f>
        <v/>
      </c>
      <c r="W451" t="str">
        <f>IF([2]Baskol!$E$454="","",[2]Baskol!$E$454)</f>
        <v/>
      </c>
      <c r="X451" t="str">
        <f>IF([2]Baskol!$G$454="","",[2]Baskol!$G$454)</f>
        <v/>
      </c>
      <c r="Y451" t="str">
        <f>IF([2]Baskol!$I$454="","",[2]Baskol!$I$454)</f>
        <v/>
      </c>
      <c r="Z451" t="str">
        <f>IF([2]Baskol!$J$454="","",[2]Baskol!$J$454)</f>
        <v/>
      </c>
      <c r="AA451" t="str">
        <f>IF([2]Baskol!$K$454="","",[2]Baskol!$K$454)</f>
        <v/>
      </c>
      <c r="AB451" t="str">
        <f>IF([2]Baskol!$L$454="","",[2]Baskol!$L$454)</f>
        <v/>
      </c>
      <c r="AC451" t="str">
        <f>IF([2]Baskol!$N$454="","",[2]Baskol!$N$454)</f>
        <v/>
      </c>
      <c r="AD451" t="str">
        <f>IF([2]Baskol!$O$454="","",[2]Baskol!$O$454)</f>
        <v/>
      </c>
      <c r="AE451" t="str">
        <f>IF([3]Entry!$C$454="","",[3]Entry!$C$454)</f>
        <v/>
      </c>
      <c r="AF451" t="str">
        <f>IF([3]Entry!$D$454="","",[3]Entry!$D$454)</f>
        <v/>
      </c>
      <c r="AG451" t="str">
        <f>IF([3]Entry!$E$454="","",[3]Entry!$E$454)</f>
        <v/>
      </c>
      <c r="AH451" t="str">
        <f>IF([3]Entry!$G$454="","",[3]Entry!$G$454)</f>
        <v/>
      </c>
      <c r="AI451" t="str">
        <f>IF([3]Entry!$K$454="","",[3]Entry!$K$454)</f>
        <v/>
      </c>
      <c r="AJ451" t="str">
        <f>IF([3]Entry!$L$454="","",[3]Entry!$L$454)</f>
        <v/>
      </c>
      <c r="AK451" t="str">
        <f>IF([3]Entry!$M$454="","",[3]Entry!$M$454)</f>
        <v/>
      </c>
      <c r="AL451" t="str">
        <f>IF([3]Entry!$N$454="","",[3]Entry!$N$454)</f>
        <v/>
      </c>
      <c r="AM451" t="str">
        <f>IF([3]Entry!$R$454="","",[3]Entry!$R$454)</f>
        <v/>
      </c>
    </row>
    <row r="452" spans="1:39" x14ac:dyDescent="0.2">
      <c r="A452" t="str">
        <f>IF([1]Accounts!$D$453="","",[1]Accounts!$A$453)</f>
        <v/>
      </c>
      <c r="B452" t="str">
        <f>IF([1]Accounts!$D$453="","",[1]Accounts!$B$453)</f>
        <v/>
      </c>
      <c r="C452" t="str">
        <f>IF([1]Accounts!$D$453="","",[1]Accounts!$C$453)</f>
        <v/>
      </c>
      <c r="D452" t="str">
        <f>IF([1]Accounts!$D$453="","",[1]Accounts!$D$453)</f>
        <v/>
      </c>
      <c r="E452" t="str">
        <f>IF([1]Accounts!$D$453="","",[1]Accounts!$E$453)</f>
        <v/>
      </c>
      <c r="F452" t="str">
        <f>IF([1]Accounts!$D$453="","",[1]Accounts!$F$453)</f>
        <v/>
      </c>
      <c r="G452" t="str">
        <f>IF([1]Accounts!$D$453="","",[1]Accounts!$G$453)</f>
        <v/>
      </c>
      <c r="T452" t="str">
        <f>IF([2]Baskol!$B$455="","",[2]Baskol!$B$455)</f>
        <v/>
      </c>
      <c r="U452" t="str">
        <f>IF([2]Baskol!$C$455="","",[2]Baskol!$C$455)</f>
        <v/>
      </c>
      <c r="V452" t="str">
        <f>IF([2]Baskol!$D$455="","",[2]Baskol!$D$455)</f>
        <v/>
      </c>
      <c r="W452" t="str">
        <f>IF([2]Baskol!$E$455="","",[2]Baskol!$E$455)</f>
        <v/>
      </c>
      <c r="X452" t="str">
        <f>IF([2]Baskol!$G$455="","",[2]Baskol!$G$455)</f>
        <v/>
      </c>
      <c r="Y452" t="str">
        <f>IF([2]Baskol!$I$455="","",[2]Baskol!$I$455)</f>
        <v/>
      </c>
      <c r="Z452" t="str">
        <f>IF([2]Baskol!$J$455="","",[2]Baskol!$J$455)</f>
        <v/>
      </c>
      <c r="AA452" t="str">
        <f>IF([2]Baskol!$K$455="","",[2]Baskol!$K$455)</f>
        <v/>
      </c>
      <c r="AB452" t="str">
        <f>IF([2]Baskol!$L$455="","",[2]Baskol!$L$455)</f>
        <v/>
      </c>
      <c r="AC452" t="str">
        <f>IF([2]Baskol!$N$455="","",[2]Baskol!$N$455)</f>
        <v/>
      </c>
      <c r="AD452" t="str">
        <f>IF([2]Baskol!$O$455="","",[2]Baskol!$O$455)</f>
        <v/>
      </c>
      <c r="AE452" t="str">
        <f>IF([3]Entry!$C$455="","",[3]Entry!$C$455)</f>
        <v/>
      </c>
      <c r="AF452" t="str">
        <f>IF([3]Entry!$D$455="","",[3]Entry!$D$455)</f>
        <v/>
      </c>
      <c r="AG452" t="str">
        <f>IF([3]Entry!$E$455="","",[3]Entry!$E$455)</f>
        <v/>
      </c>
      <c r="AH452" t="str">
        <f>IF([3]Entry!$G$455="","",[3]Entry!$G$455)</f>
        <v/>
      </c>
      <c r="AI452" t="str">
        <f>IF([3]Entry!$K$455="","",[3]Entry!$K$455)</f>
        <v/>
      </c>
      <c r="AJ452" t="str">
        <f>IF([3]Entry!$L$455="","",[3]Entry!$L$455)</f>
        <v/>
      </c>
      <c r="AK452" t="str">
        <f>IF([3]Entry!$M$455="","",[3]Entry!$M$455)</f>
        <v/>
      </c>
      <c r="AL452" t="str">
        <f>IF([3]Entry!$N$455="","",[3]Entry!$N$455)</f>
        <v/>
      </c>
      <c r="AM452" t="str">
        <f>IF([3]Entry!$R$455="","",[3]Entry!$R$455)</f>
        <v/>
      </c>
    </row>
    <row r="453" spans="1:39" x14ac:dyDescent="0.2">
      <c r="A453" t="str">
        <f>IF([1]Accounts!$D$454="","",[1]Accounts!$A$454)</f>
        <v/>
      </c>
      <c r="B453" t="str">
        <f>IF([1]Accounts!$D$454="","",[1]Accounts!$B$454)</f>
        <v/>
      </c>
      <c r="C453" t="str">
        <f>IF([1]Accounts!$D$454="","",[1]Accounts!$C$454)</f>
        <v/>
      </c>
      <c r="D453" t="str">
        <f>IF([1]Accounts!$D$454="","",[1]Accounts!$D$454)</f>
        <v/>
      </c>
      <c r="E453" t="str">
        <f>IF([1]Accounts!$D$454="","",[1]Accounts!$E$454)</f>
        <v/>
      </c>
      <c r="F453" t="str">
        <f>IF([1]Accounts!$D$454="","",[1]Accounts!$F$454)</f>
        <v/>
      </c>
      <c r="G453" t="str">
        <f>IF([1]Accounts!$D$454="","",[1]Accounts!$G$454)</f>
        <v/>
      </c>
      <c r="T453" t="str">
        <f>IF([2]Baskol!$B$456="","",[2]Baskol!$B$456)</f>
        <v/>
      </c>
      <c r="U453" t="str">
        <f>IF([2]Baskol!$C$456="","",[2]Baskol!$C$456)</f>
        <v/>
      </c>
      <c r="V453" t="str">
        <f>IF([2]Baskol!$D$456="","",[2]Baskol!$D$456)</f>
        <v/>
      </c>
      <c r="W453" t="str">
        <f>IF([2]Baskol!$E$456="","",[2]Baskol!$E$456)</f>
        <v/>
      </c>
      <c r="X453" t="str">
        <f>IF([2]Baskol!$G$456="","",[2]Baskol!$G$456)</f>
        <v/>
      </c>
      <c r="Y453" t="str">
        <f>IF([2]Baskol!$I$456="","",[2]Baskol!$I$456)</f>
        <v/>
      </c>
      <c r="Z453" t="str">
        <f>IF([2]Baskol!$J$456="","",[2]Baskol!$J$456)</f>
        <v/>
      </c>
      <c r="AA453" t="str">
        <f>IF([2]Baskol!$K$456="","",[2]Baskol!$K$456)</f>
        <v/>
      </c>
      <c r="AB453" t="str">
        <f>IF([2]Baskol!$L$456="","",[2]Baskol!$L$456)</f>
        <v/>
      </c>
      <c r="AC453" t="str">
        <f>IF([2]Baskol!$N$456="","",[2]Baskol!$N$456)</f>
        <v/>
      </c>
      <c r="AD453" t="str">
        <f>IF([2]Baskol!$O$456="","",[2]Baskol!$O$456)</f>
        <v/>
      </c>
      <c r="AE453" t="str">
        <f>IF([3]Entry!$C$456="","",[3]Entry!$C$456)</f>
        <v/>
      </c>
      <c r="AF453" t="str">
        <f>IF([3]Entry!$D$456="","",[3]Entry!$D$456)</f>
        <v/>
      </c>
      <c r="AG453" t="str">
        <f>IF([3]Entry!$E$456="","",[3]Entry!$E$456)</f>
        <v/>
      </c>
      <c r="AH453" t="str">
        <f>IF([3]Entry!$G$456="","",[3]Entry!$G$456)</f>
        <v/>
      </c>
      <c r="AI453" t="str">
        <f>IF([3]Entry!$K$456="","",[3]Entry!$K$456)</f>
        <v/>
      </c>
      <c r="AJ453" t="str">
        <f>IF([3]Entry!$L$456="","",[3]Entry!$L$456)</f>
        <v/>
      </c>
      <c r="AK453" t="str">
        <f>IF([3]Entry!$M$456="","",[3]Entry!$M$456)</f>
        <v/>
      </c>
      <c r="AL453" t="str">
        <f>IF([3]Entry!$N$456="","",[3]Entry!$N$456)</f>
        <v/>
      </c>
      <c r="AM453" t="str">
        <f>IF([3]Entry!$R$456="","",[3]Entry!$R$456)</f>
        <v/>
      </c>
    </row>
    <row r="454" spans="1:39" x14ac:dyDescent="0.2">
      <c r="A454" t="str">
        <f>IF([1]Accounts!$D$455="","",[1]Accounts!$A$455)</f>
        <v/>
      </c>
      <c r="B454" t="str">
        <f>IF([1]Accounts!$D$455="","",[1]Accounts!$B$455)</f>
        <v/>
      </c>
      <c r="C454" t="str">
        <f>IF([1]Accounts!$D$455="","",[1]Accounts!$C$455)</f>
        <v/>
      </c>
      <c r="D454" t="str">
        <f>IF([1]Accounts!$D$455="","",[1]Accounts!$D$455)</f>
        <v/>
      </c>
      <c r="E454" t="str">
        <f>IF([1]Accounts!$D$455="","",[1]Accounts!$E$455)</f>
        <v/>
      </c>
      <c r="F454" t="str">
        <f>IF([1]Accounts!$D$455="","",[1]Accounts!$F$455)</f>
        <v/>
      </c>
      <c r="G454" t="str">
        <f>IF([1]Accounts!$D$455="","",[1]Accounts!$G$455)</f>
        <v/>
      </c>
      <c r="T454" t="str">
        <f>IF([2]Baskol!$B$457="","",[2]Baskol!$B$457)</f>
        <v/>
      </c>
      <c r="U454" t="str">
        <f>IF([2]Baskol!$C$457="","",[2]Baskol!$C$457)</f>
        <v/>
      </c>
      <c r="V454" t="str">
        <f>IF([2]Baskol!$D$457="","",[2]Baskol!$D$457)</f>
        <v/>
      </c>
      <c r="W454" t="str">
        <f>IF([2]Baskol!$E$457="","",[2]Baskol!$E$457)</f>
        <v/>
      </c>
      <c r="X454" t="str">
        <f>IF([2]Baskol!$G$457="","",[2]Baskol!$G$457)</f>
        <v/>
      </c>
      <c r="Y454" t="str">
        <f>IF([2]Baskol!$I$457="","",[2]Baskol!$I$457)</f>
        <v/>
      </c>
      <c r="Z454" t="str">
        <f>IF([2]Baskol!$J$457="","",[2]Baskol!$J$457)</f>
        <v/>
      </c>
      <c r="AA454" t="str">
        <f>IF([2]Baskol!$K$457="","",[2]Baskol!$K$457)</f>
        <v/>
      </c>
      <c r="AB454" t="str">
        <f>IF([2]Baskol!$L$457="","",[2]Baskol!$L$457)</f>
        <v/>
      </c>
      <c r="AC454" t="str">
        <f>IF([2]Baskol!$N$457="","",[2]Baskol!$N$457)</f>
        <v/>
      </c>
      <c r="AD454" t="str">
        <f>IF([2]Baskol!$O$457="","",[2]Baskol!$O$457)</f>
        <v/>
      </c>
      <c r="AE454" t="str">
        <f>IF([3]Entry!$C$457="","",[3]Entry!$C$457)</f>
        <v/>
      </c>
      <c r="AF454" t="str">
        <f>IF([3]Entry!$D$457="","",[3]Entry!$D$457)</f>
        <v/>
      </c>
      <c r="AG454" t="str">
        <f>IF([3]Entry!$E$457="","",[3]Entry!$E$457)</f>
        <v/>
      </c>
      <c r="AH454" t="str">
        <f>IF([3]Entry!$G$457="","",[3]Entry!$G$457)</f>
        <v/>
      </c>
      <c r="AI454" t="str">
        <f>IF([3]Entry!$K$457="","",[3]Entry!$K$457)</f>
        <v/>
      </c>
      <c r="AJ454" t="str">
        <f>IF([3]Entry!$L$457="","",[3]Entry!$L$457)</f>
        <v/>
      </c>
      <c r="AK454" t="str">
        <f>IF([3]Entry!$M$457="","",[3]Entry!$M$457)</f>
        <v/>
      </c>
      <c r="AL454" t="str">
        <f>IF([3]Entry!$N$457="","",[3]Entry!$N$457)</f>
        <v/>
      </c>
      <c r="AM454" t="str">
        <f>IF([3]Entry!$R$457="","",[3]Entry!$R$457)</f>
        <v/>
      </c>
    </row>
    <row r="455" spans="1:39" x14ac:dyDescent="0.2">
      <c r="A455" t="str">
        <f>IF([1]Accounts!$D$456="","",[1]Accounts!$A$456)</f>
        <v/>
      </c>
      <c r="B455" t="str">
        <f>IF([1]Accounts!$D$456="","",[1]Accounts!$B$456)</f>
        <v/>
      </c>
      <c r="C455" t="str">
        <f>IF([1]Accounts!$D$456="","",[1]Accounts!$C$456)</f>
        <v/>
      </c>
      <c r="D455" t="str">
        <f>IF([1]Accounts!$D$456="","",[1]Accounts!$D$456)</f>
        <v/>
      </c>
      <c r="E455" t="str">
        <f>IF([1]Accounts!$D$456="","",[1]Accounts!$E$456)</f>
        <v/>
      </c>
      <c r="F455" t="str">
        <f>IF([1]Accounts!$D$456="","",[1]Accounts!$F$456)</f>
        <v/>
      </c>
      <c r="G455" t="str">
        <f>IF([1]Accounts!$D$456="","",[1]Accounts!$G$456)</f>
        <v/>
      </c>
      <c r="T455" t="str">
        <f>IF([2]Baskol!$B$458="","",[2]Baskol!$B$458)</f>
        <v/>
      </c>
      <c r="U455" t="str">
        <f>IF([2]Baskol!$C$458="","",[2]Baskol!$C$458)</f>
        <v/>
      </c>
      <c r="V455" t="str">
        <f>IF([2]Baskol!$D$458="","",[2]Baskol!$D$458)</f>
        <v/>
      </c>
      <c r="W455" t="str">
        <f>IF([2]Baskol!$E$458="","",[2]Baskol!$E$458)</f>
        <v/>
      </c>
      <c r="X455" t="str">
        <f>IF([2]Baskol!$G$458="","",[2]Baskol!$G$458)</f>
        <v/>
      </c>
      <c r="Y455" t="str">
        <f>IF([2]Baskol!$I$458="","",[2]Baskol!$I$458)</f>
        <v/>
      </c>
      <c r="Z455" t="str">
        <f>IF([2]Baskol!$J$458="","",[2]Baskol!$J$458)</f>
        <v/>
      </c>
      <c r="AA455" t="str">
        <f>IF([2]Baskol!$K$458="","",[2]Baskol!$K$458)</f>
        <v/>
      </c>
      <c r="AB455" t="str">
        <f>IF([2]Baskol!$L$458="","",[2]Baskol!$L$458)</f>
        <v/>
      </c>
      <c r="AC455" t="str">
        <f>IF([2]Baskol!$N$458="","",[2]Baskol!$N$458)</f>
        <v/>
      </c>
      <c r="AD455" t="str">
        <f>IF([2]Baskol!$O$458="","",[2]Baskol!$O$458)</f>
        <v/>
      </c>
      <c r="AE455" t="str">
        <f>IF([3]Entry!$C$458="","",[3]Entry!$C$458)</f>
        <v/>
      </c>
      <c r="AF455" t="str">
        <f>IF([3]Entry!$D$458="","",[3]Entry!$D$458)</f>
        <v/>
      </c>
      <c r="AG455" t="str">
        <f>IF([3]Entry!$E$458="","",[3]Entry!$E$458)</f>
        <v/>
      </c>
      <c r="AH455" t="str">
        <f>IF([3]Entry!$G$458="","",[3]Entry!$G$458)</f>
        <v/>
      </c>
      <c r="AI455" t="str">
        <f>IF([3]Entry!$K$458="","",[3]Entry!$K$458)</f>
        <v/>
      </c>
      <c r="AJ455" t="str">
        <f>IF([3]Entry!$L$458="","",[3]Entry!$L$458)</f>
        <v/>
      </c>
      <c r="AK455" t="str">
        <f>IF([3]Entry!$M$458="","",[3]Entry!$M$458)</f>
        <v/>
      </c>
      <c r="AL455" t="str">
        <f>IF([3]Entry!$N$458="","",[3]Entry!$N$458)</f>
        <v/>
      </c>
      <c r="AM455" t="str">
        <f>IF([3]Entry!$R$458="","",[3]Entry!$R$458)</f>
        <v/>
      </c>
    </row>
    <row r="456" spans="1:39" x14ac:dyDescent="0.2">
      <c r="A456" t="str">
        <f>IF([1]Accounts!$D$457="","",[1]Accounts!$A$457)</f>
        <v>X001</v>
      </c>
      <c r="B456">
        <f>IF([1]Accounts!$D$457="","",[1]Accounts!$B$457)</f>
        <v>0</v>
      </c>
      <c r="C456">
        <f>IF([1]Accounts!$D$457="","",[1]Accounts!$C$457)</f>
        <v>0</v>
      </c>
      <c r="D456" t="str">
        <f>IF([1]Accounts!$D$457="","",[1]Accounts!$D$457)</f>
        <v>انعام مصطفی</v>
      </c>
      <c r="E456">
        <f>IF([1]Accounts!$D$457="","",[1]Accounts!$E$457)</f>
        <v>0</v>
      </c>
      <c r="F456">
        <f>IF([1]Accounts!$D$457="","",[1]Accounts!$F$457)</f>
        <v>0</v>
      </c>
      <c r="G456">
        <f>IF([1]Accounts!$D$457="","",[1]Accounts!$G$457)</f>
        <v>0</v>
      </c>
      <c r="T456" t="str">
        <f>IF([2]Baskol!$B$459="","",[2]Baskol!$B$459)</f>
        <v/>
      </c>
      <c r="U456" t="str">
        <f>IF([2]Baskol!$C$459="","",[2]Baskol!$C$459)</f>
        <v/>
      </c>
      <c r="V456" t="str">
        <f>IF([2]Baskol!$D$459="","",[2]Baskol!$D$459)</f>
        <v/>
      </c>
      <c r="W456" t="str">
        <f>IF([2]Baskol!$E$459="","",[2]Baskol!$E$459)</f>
        <v/>
      </c>
      <c r="X456" t="str">
        <f>IF([2]Baskol!$G$459="","",[2]Baskol!$G$459)</f>
        <v/>
      </c>
      <c r="Y456" t="str">
        <f>IF([2]Baskol!$I$459="","",[2]Baskol!$I$459)</f>
        <v/>
      </c>
      <c r="Z456" t="str">
        <f>IF([2]Baskol!$J$459="","",[2]Baskol!$J$459)</f>
        <v/>
      </c>
      <c r="AA456" t="str">
        <f>IF([2]Baskol!$K$459="","",[2]Baskol!$K$459)</f>
        <v/>
      </c>
      <c r="AB456" t="str">
        <f>IF([2]Baskol!$L$459="","",[2]Baskol!$L$459)</f>
        <v/>
      </c>
      <c r="AC456" t="str">
        <f>IF([2]Baskol!$N$459="","",[2]Baskol!$N$459)</f>
        <v/>
      </c>
      <c r="AD456" t="str">
        <f>IF([2]Baskol!$O$459="","",[2]Baskol!$O$459)</f>
        <v/>
      </c>
      <c r="AE456" t="str">
        <f>IF([3]Entry!$C$459="","",[3]Entry!$C$459)</f>
        <v/>
      </c>
      <c r="AF456" t="str">
        <f>IF([3]Entry!$D$459="","",[3]Entry!$D$459)</f>
        <v/>
      </c>
      <c r="AG456" t="str">
        <f>IF([3]Entry!$E$459="","",[3]Entry!$E$459)</f>
        <v/>
      </c>
      <c r="AH456" t="str">
        <f>IF([3]Entry!$G$459="","",[3]Entry!$G$459)</f>
        <v/>
      </c>
      <c r="AI456" t="str">
        <f>IF([3]Entry!$K$459="","",[3]Entry!$K$459)</f>
        <v/>
      </c>
      <c r="AJ456" t="str">
        <f>IF([3]Entry!$L$459="","",[3]Entry!$L$459)</f>
        <v/>
      </c>
      <c r="AK456" t="str">
        <f>IF([3]Entry!$M$459="","",[3]Entry!$M$459)</f>
        <v/>
      </c>
      <c r="AL456" t="str">
        <f>IF([3]Entry!$N$459="","",[3]Entry!$N$459)</f>
        <v/>
      </c>
      <c r="AM456" t="str">
        <f>IF([3]Entry!$R$459="","",[3]Entry!$R$459)</f>
        <v/>
      </c>
    </row>
    <row r="457" spans="1:39" x14ac:dyDescent="0.2">
      <c r="A457" t="str">
        <f>IF([1]Accounts!$D$458="","",[1]Accounts!$A$458)</f>
        <v>X002</v>
      </c>
      <c r="B457">
        <f>IF([1]Accounts!$D$458="","",[1]Accounts!$B$458)</f>
        <v>0</v>
      </c>
      <c r="C457">
        <f>IF([1]Accounts!$D$458="","",[1]Accounts!$C$458)</f>
        <v>0</v>
      </c>
      <c r="D457" t="str">
        <f>IF([1]Accounts!$D$458="","",[1]Accounts!$D$458)</f>
        <v>درامد باسکول(احمد زاهدی)</v>
      </c>
      <c r="E457">
        <f>IF([1]Accounts!$D$458="","",[1]Accounts!$E$458)</f>
        <v>0</v>
      </c>
      <c r="F457">
        <f>IF([1]Accounts!$D$458="","",[1]Accounts!$F$458)</f>
        <v>0</v>
      </c>
      <c r="G457">
        <f>IF([1]Accounts!$D$458="","",[1]Accounts!$G$458)</f>
        <v>0</v>
      </c>
      <c r="T457" t="str">
        <f>IF([2]Baskol!$B$460="","",[2]Baskol!$B$460)</f>
        <v/>
      </c>
      <c r="U457" t="str">
        <f>IF([2]Baskol!$C$460="","",[2]Baskol!$C$460)</f>
        <v/>
      </c>
      <c r="V457" t="str">
        <f>IF([2]Baskol!$D$460="","",[2]Baskol!$D$460)</f>
        <v/>
      </c>
      <c r="W457" t="str">
        <f>IF([2]Baskol!$E$460="","",[2]Baskol!$E$460)</f>
        <v/>
      </c>
      <c r="X457" t="str">
        <f>IF([2]Baskol!$G$460="","",[2]Baskol!$G$460)</f>
        <v/>
      </c>
      <c r="Y457" t="str">
        <f>IF([2]Baskol!$I$460="","",[2]Baskol!$I$460)</f>
        <v/>
      </c>
      <c r="Z457" t="str">
        <f>IF([2]Baskol!$J$460="","",[2]Baskol!$J$460)</f>
        <v/>
      </c>
      <c r="AA457" t="str">
        <f>IF([2]Baskol!$K$460="","",[2]Baskol!$K$460)</f>
        <v/>
      </c>
      <c r="AB457" t="str">
        <f>IF([2]Baskol!$L$460="","",[2]Baskol!$L$460)</f>
        <v/>
      </c>
      <c r="AC457" t="str">
        <f>IF([2]Baskol!$N$460="","",[2]Baskol!$N$460)</f>
        <v/>
      </c>
      <c r="AD457" t="str">
        <f>IF([2]Baskol!$O$460="","",[2]Baskol!$O$460)</f>
        <v/>
      </c>
      <c r="AE457" t="str">
        <f>IF([3]Entry!$C$460="","",[3]Entry!$C$460)</f>
        <v/>
      </c>
      <c r="AF457" t="str">
        <f>IF([3]Entry!$D$460="","",[3]Entry!$D$460)</f>
        <v/>
      </c>
      <c r="AG457" t="str">
        <f>IF([3]Entry!$E$460="","",[3]Entry!$E$460)</f>
        <v/>
      </c>
      <c r="AH457" t="str">
        <f>IF([3]Entry!$G$460="","",[3]Entry!$G$460)</f>
        <v/>
      </c>
      <c r="AI457" t="str">
        <f>IF([3]Entry!$K$460="","",[3]Entry!$K$460)</f>
        <v/>
      </c>
      <c r="AJ457" t="str">
        <f>IF([3]Entry!$L$460="","",[3]Entry!$L$460)</f>
        <v/>
      </c>
      <c r="AK457" t="str">
        <f>IF([3]Entry!$M$460="","",[3]Entry!$M$460)</f>
        <v/>
      </c>
      <c r="AL457" t="str">
        <f>IF([3]Entry!$N$460="","",[3]Entry!$N$460)</f>
        <v/>
      </c>
      <c r="AM457" t="str">
        <f>IF([3]Entry!$R$460="","",[3]Entry!$R$460)</f>
        <v/>
      </c>
    </row>
    <row r="458" spans="1:39" x14ac:dyDescent="0.2">
      <c r="A458" t="str">
        <f>IF([1]Accounts!$D$459="","",[1]Accounts!$A$459)</f>
        <v/>
      </c>
      <c r="B458" t="str">
        <f>IF([1]Accounts!$D$459="","",[1]Accounts!$B$459)</f>
        <v/>
      </c>
      <c r="C458" t="str">
        <f>IF([1]Accounts!$D$459="","",[1]Accounts!$C$459)</f>
        <v/>
      </c>
      <c r="D458" t="str">
        <f>IF([1]Accounts!$D$459="","",[1]Accounts!$D$459)</f>
        <v/>
      </c>
      <c r="E458" t="str">
        <f>IF([1]Accounts!$D$459="","",[1]Accounts!$E$459)</f>
        <v/>
      </c>
      <c r="F458" t="str">
        <f>IF([1]Accounts!$D$459="","",[1]Accounts!$F$459)</f>
        <v/>
      </c>
      <c r="G458" t="str">
        <f>IF([1]Accounts!$D$459="","",[1]Accounts!$G$459)</f>
        <v/>
      </c>
      <c r="T458" t="str">
        <f>IF([2]Baskol!$B$461="","",[2]Baskol!$B$461)</f>
        <v/>
      </c>
      <c r="U458" t="str">
        <f>IF([2]Baskol!$C$461="","",[2]Baskol!$C$461)</f>
        <v/>
      </c>
      <c r="V458" t="str">
        <f>IF([2]Baskol!$D$461="","",[2]Baskol!$D$461)</f>
        <v/>
      </c>
      <c r="W458" t="str">
        <f>IF([2]Baskol!$E$461="","",[2]Baskol!$E$461)</f>
        <v/>
      </c>
      <c r="X458" t="str">
        <f>IF([2]Baskol!$G$461="","",[2]Baskol!$G$461)</f>
        <v/>
      </c>
      <c r="Y458" t="str">
        <f>IF([2]Baskol!$I$461="","",[2]Baskol!$I$461)</f>
        <v/>
      </c>
      <c r="Z458" t="str">
        <f>IF([2]Baskol!$J$461="","",[2]Baskol!$J$461)</f>
        <v/>
      </c>
      <c r="AA458" t="str">
        <f>IF([2]Baskol!$K$461="","",[2]Baskol!$K$461)</f>
        <v/>
      </c>
      <c r="AB458" t="str">
        <f>IF([2]Baskol!$L$461="","",[2]Baskol!$L$461)</f>
        <v/>
      </c>
      <c r="AC458" t="str">
        <f>IF([2]Baskol!$N$461="","",[2]Baskol!$N$461)</f>
        <v/>
      </c>
      <c r="AD458" t="str">
        <f>IF([2]Baskol!$O$461="","",[2]Baskol!$O$461)</f>
        <v/>
      </c>
      <c r="AE458" t="str">
        <f>IF([3]Entry!$C$461="","",[3]Entry!$C$461)</f>
        <v/>
      </c>
      <c r="AF458" t="str">
        <f>IF([3]Entry!$D$461="","",[3]Entry!$D$461)</f>
        <v/>
      </c>
      <c r="AG458" t="str">
        <f>IF([3]Entry!$E$461="","",[3]Entry!$E$461)</f>
        <v/>
      </c>
      <c r="AH458" t="str">
        <f>IF([3]Entry!$G$461="","",[3]Entry!$G$461)</f>
        <v/>
      </c>
      <c r="AI458" t="str">
        <f>IF([3]Entry!$K$461="","",[3]Entry!$K$461)</f>
        <v/>
      </c>
      <c r="AJ458" t="str">
        <f>IF([3]Entry!$L$461="","",[3]Entry!$L$461)</f>
        <v/>
      </c>
      <c r="AK458" t="str">
        <f>IF([3]Entry!$M$461="","",[3]Entry!$M$461)</f>
        <v/>
      </c>
      <c r="AL458" t="str">
        <f>IF([3]Entry!$N$461="","",[3]Entry!$N$461)</f>
        <v/>
      </c>
      <c r="AM458" t="str">
        <f>IF([3]Entry!$R$461="","",[3]Entry!$R$461)</f>
        <v/>
      </c>
    </row>
    <row r="459" spans="1:39" x14ac:dyDescent="0.2">
      <c r="A459" t="str">
        <f>IF([1]Accounts!$D$460="","",[1]Accounts!$A$460)</f>
        <v/>
      </c>
      <c r="B459" t="str">
        <f>IF([1]Accounts!$D$460="","",[1]Accounts!$B$460)</f>
        <v/>
      </c>
      <c r="C459" t="str">
        <f>IF([1]Accounts!$D$460="","",[1]Accounts!$C$460)</f>
        <v/>
      </c>
      <c r="D459" t="str">
        <f>IF([1]Accounts!$D$460="","",[1]Accounts!$D$460)</f>
        <v/>
      </c>
      <c r="E459" t="str">
        <f>IF([1]Accounts!$D$460="","",[1]Accounts!$E$460)</f>
        <v/>
      </c>
      <c r="F459" t="str">
        <f>IF([1]Accounts!$D$460="","",[1]Accounts!$F$460)</f>
        <v/>
      </c>
      <c r="G459" t="str">
        <f>IF([1]Accounts!$D$460="","",[1]Accounts!$G$460)</f>
        <v/>
      </c>
      <c r="T459" t="str">
        <f>IF([2]Baskol!$B$462="","",[2]Baskol!$B$462)</f>
        <v/>
      </c>
      <c r="U459" t="str">
        <f>IF([2]Baskol!$C$462="","",[2]Baskol!$C$462)</f>
        <v/>
      </c>
      <c r="V459" t="str">
        <f>IF([2]Baskol!$D$462="","",[2]Baskol!$D$462)</f>
        <v/>
      </c>
      <c r="W459" t="str">
        <f>IF([2]Baskol!$E$462="","",[2]Baskol!$E$462)</f>
        <v/>
      </c>
      <c r="X459" t="str">
        <f>IF([2]Baskol!$G$462="","",[2]Baskol!$G$462)</f>
        <v/>
      </c>
      <c r="Y459" t="str">
        <f>IF([2]Baskol!$I$462="","",[2]Baskol!$I$462)</f>
        <v/>
      </c>
      <c r="Z459" t="str">
        <f>IF([2]Baskol!$J$462="","",[2]Baskol!$J$462)</f>
        <v/>
      </c>
      <c r="AA459" t="str">
        <f>IF([2]Baskol!$K$462="","",[2]Baskol!$K$462)</f>
        <v/>
      </c>
      <c r="AB459" t="str">
        <f>IF([2]Baskol!$L$462="","",[2]Baskol!$L$462)</f>
        <v/>
      </c>
      <c r="AC459" t="str">
        <f>IF([2]Baskol!$N$462="","",[2]Baskol!$N$462)</f>
        <v/>
      </c>
      <c r="AD459" t="str">
        <f>IF([2]Baskol!$O$462="","",[2]Baskol!$O$462)</f>
        <v/>
      </c>
      <c r="AE459" t="str">
        <f>IF([3]Entry!$C$462="","",[3]Entry!$C$462)</f>
        <v/>
      </c>
      <c r="AF459" t="str">
        <f>IF([3]Entry!$D$462="","",[3]Entry!$D$462)</f>
        <v/>
      </c>
      <c r="AG459" t="str">
        <f>IF([3]Entry!$E$462="","",[3]Entry!$E$462)</f>
        <v/>
      </c>
      <c r="AH459" t="str">
        <f>IF([3]Entry!$G$462="","",[3]Entry!$G$462)</f>
        <v/>
      </c>
      <c r="AI459" t="str">
        <f>IF([3]Entry!$K$462="","",[3]Entry!$K$462)</f>
        <v/>
      </c>
      <c r="AJ459" t="str">
        <f>IF([3]Entry!$L$462="","",[3]Entry!$L$462)</f>
        <v/>
      </c>
      <c r="AK459" t="str">
        <f>IF([3]Entry!$M$462="","",[3]Entry!$M$462)</f>
        <v/>
      </c>
      <c r="AL459" t="str">
        <f>IF([3]Entry!$N$462="","",[3]Entry!$N$462)</f>
        <v/>
      </c>
      <c r="AM459" t="str">
        <f>IF([3]Entry!$R$462="","",[3]Entry!$R$462)</f>
        <v/>
      </c>
    </row>
    <row r="460" spans="1:39" x14ac:dyDescent="0.2">
      <c r="A460" t="str">
        <f>IF([1]Accounts!$D$461="","",[1]Accounts!$A$461)</f>
        <v/>
      </c>
      <c r="B460" t="str">
        <f>IF([1]Accounts!$D$461="","",[1]Accounts!$B$461)</f>
        <v/>
      </c>
      <c r="C460" t="str">
        <f>IF([1]Accounts!$D$461="","",[1]Accounts!$C$461)</f>
        <v/>
      </c>
      <c r="D460" t="str">
        <f>IF([1]Accounts!$D$461="","",[1]Accounts!$D$461)</f>
        <v/>
      </c>
      <c r="E460" t="str">
        <f>IF([1]Accounts!$D$461="","",[1]Accounts!$E$461)</f>
        <v/>
      </c>
      <c r="F460" t="str">
        <f>IF([1]Accounts!$D$461="","",[1]Accounts!$F$461)</f>
        <v/>
      </c>
      <c r="G460" t="str">
        <f>IF([1]Accounts!$D$461="","",[1]Accounts!$G$461)</f>
        <v/>
      </c>
      <c r="T460" t="str">
        <f>IF([2]Baskol!$B$463="","",[2]Baskol!$B$463)</f>
        <v/>
      </c>
      <c r="U460" t="str">
        <f>IF([2]Baskol!$C$463="","",[2]Baskol!$C$463)</f>
        <v/>
      </c>
      <c r="V460" t="str">
        <f>IF([2]Baskol!$D$463="","",[2]Baskol!$D$463)</f>
        <v/>
      </c>
      <c r="W460" t="str">
        <f>IF([2]Baskol!$E$463="","",[2]Baskol!$E$463)</f>
        <v/>
      </c>
      <c r="X460" t="str">
        <f>IF([2]Baskol!$G$463="","",[2]Baskol!$G$463)</f>
        <v/>
      </c>
      <c r="Y460" t="str">
        <f>IF([2]Baskol!$I$463="","",[2]Baskol!$I$463)</f>
        <v/>
      </c>
      <c r="Z460" t="str">
        <f>IF([2]Baskol!$J$463="","",[2]Baskol!$J$463)</f>
        <v/>
      </c>
      <c r="AA460" t="str">
        <f>IF([2]Baskol!$K$463="","",[2]Baskol!$K$463)</f>
        <v/>
      </c>
      <c r="AB460" t="str">
        <f>IF([2]Baskol!$L$463="","",[2]Baskol!$L$463)</f>
        <v/>
      </c>
      <c r="AC460" t="str">
        <f>IF([2]Baskol!$N$463="","",[2]Baskol!$N$463)</f>
        <v/>
      </c>
      <c r="AD460" t="str">
        <f>IF([2]Baskol!$O$463="","",[2]Baskol!$O$463)</f>
        <v/>
      </c>
      <c r="AE460" t="str">
        <f>IF([3]Entry!$C$463="","",[3]Entry!$C$463)</f>
        <v/>
      </c>
      <c r="AF460" t="str">
        <f>IF([3]Entry!$D$463="","",[3]Entry!$D$463)</f>
        <v/>
      </c>
      <c r="AG460" t="str">
        <f>IF([3]Entry!$E$463="","",[3]Entry!$E$463)</f>
        <v/>
      </c>
      <c r="AH460" t="str">
        <f>IF([3]Entry!$G$463="","",[3]Entry!$G$463)</f>
        <v/>
      </c>
      <c r="AI460" t="str">
        <f>IF([3]Entry!$K$463="","",[3]Entry!$K$463)</f>
        <v/>
      </c>
      <c r="AJ460" t="str">
        <f>IF([3]Entry!$L$463="","",[3]Entry!$L$463)</f>
        <v/>
      </c>
      <c r="AK460" t="str">
        <f>IF([3]Entry!$M$463="","",[3]Entry!$M$463)</f>
        <v/>
      </c>
      <c r="AL460" t="str">
        <f>IF([3]Entry!$N$463="","",[3]Entry!$N$463)</f>
        <v/>
      </c>
      <c r="AM460" t="str">
        <f>IF([3]Entry!$R$463="","",[3]Entry!$R$463)</f>
        <v/>
      </c>
    </row>
    <row r="461" spans="1:39" x14ac:dyDescent="0.2">
      <c r="A461" t="str">
        <f>IF([1]Accounts!$D$462="","",[1]Accounts!$A$462)</f>
        <v/>
      </c>
      <c r="B461" t="str">
        <f>IF([1]Accounts!$D$462="","",[1]Accounts!$B$462)</f>
        <v/>
      </c>
      <c r="C461" t="str">
        <f>IF([1]Accounts!$D$462="","",[1]Accounts!$C$462)</f>
        <v/>
      </c>
      <c r="D461" t="str">
        <f>IF([1]Accounts!$D$462="","",[1]Accounts!$D$462)</f>
        <v/>
      </c>
      <c r="E461" t="str">
        <f>IF([1]Accounts!$D$462="","",[1]Accounts!$E$462)</f>
        <v/>
      </c>
      <c r="F461" t="str">
        <f>IF([1]Accounts!$D$462="","",[1]Accounts!$F$462)</f>
        <v/>
      </c>
      <c r="G461" t="str">
        <f>IF([1]Accounts!$D$462="","",[1]Accounts!$G$462)</f>
        <v/>
      </c>
      <c r="T461" t="str">
        <f>IF([2]Baskol!$B$464="","",[2]Baskol!$B$464)</f>
        <v/>
      </c>
      <c r="U461" t="str">
        <f>IF([2]Baskol!$C$464="","",[2]Baskol!$C$464)</f>
        <v/>
      </c>
      <c r="V461" t="str">
        <f>IF([2]Baskol!$D$464="","",[2]Baskol!$D$464)</f>
        <v/>
      </c>
      <c r="W461" t="str">
        <f>IF([2]Baskol!$E$464="","",[2]Baskol!$E$464)</f>
        <v/>
      </c>
      <c r="X461" t="str">
        <f>IF([2]Baskol!$G$464="","",[2]Baskol!$G$464)</f>
        <v/>
      </c>
      <c r="Y461" t="str">
        <f>IF([2]Baskol!$I$464="","",[2]Baskol!$I$464)</f>
        <v/>
      </c>
      <c r="Z461" t="str">
        <f>IF([2]Baskol!$J$464="","",[2]Baskol!$J$464)</f>
        <v/>
      </c>
      <c r="AA461" t="str">
        <f>IF([2]Baskol!$K$464="","",[2]Baskol!$K$464)</f>
        <v/>
      </c>
      <c r="AB461" t="str">
        <f>IF([2]Baskol!$L$464="","",[2]Baskol!$L$464)</f>
        <v/>
      </c>
      <c r="AC461" t="str">
        <f>IF([2]Baskol!$N$464="","",[2]Baskol!$N$464)</f>
        <v/>
      </c>
      <c r="AD461" t="str">
        <f>IF([2]Baskol!$O$464="","",[2]Baskol!$O$464)</f>
        <v/>
      </c>
      <c r="AE461" t="str">
        <f>IF([3]Entry!$C$464="","",[3]Entry!$C$464)</f>
        <v/>
      </c>
      <c r="AF461" t="str">
        <f>IF([3]Entry!$D$464="","",[3]Entry!$D$464)</f>
        <v/>
      </c>
      <c r="AG461" t="str">
        <f>IF([3]Entry!$E$464="","",[3]Entry!$E$464)</f>
        <v/>
      </c>
      <c r="AH461" t="str">
        <f>IF([3]Entry!$G$464="","",[3]Entry!$G$464)</f>
        <v/>
      </c>
      <c r="AI461" t="str">
        <f>IF([3]Entry!$K$464="","",[3]Entry!$K$464)</f>
        <v/>
      </c>
      <c r="AJ461" t="str">
        <f>IF([3]Entry!$L$464="","",[3]Entry!$L$464)</f>
        <v/>
      </c>
      <c r="AK461" t="str">
        <f>IF([3]Entry!$M$464="","",[3]Entry!$M$464)</f>
        <v/>
      </c>
      <c r="AL461" t="str">
        <f>IF([3]Entry!$N$464="","",[3]Entry!$N$464)</f>
        <v/>
      </c>
      <c r="AM461" t="str">
        <f>IF([3]Entry!$R$464="","",[3]Entry!$R$464)</f>
        <v/>
      </c>
    </row>
    <row r="462" spans="1:39" x14ac:dyDescent="0.2">
      <c r="A462" t="str">
        <f>IF([1]Accounts!$D$463="","",[1]Accounts!$A$463)</f>
        <v/>
      </c>
      <c r="B462" t="str">
        <f>IF([1]Accounts!$D$463="","",[1]Accounts!$B$463)</f>
        <v/>
      </c>
      <c r="C462" t="str">
        <f>IF([1]Accounts!$D$463="","",[1]Accounts!$C$463)</f>
        <v/>
      </c>
      <c r="D462" t="str">
        <f>IF([1]Accounts!$D$463="","",[1]Accounts!$D$463)</f>
        <v/>
      </c>
      <c r="E462" t="str">
        <f>IF([1]Accounts!$D$463="","",[1]Accounts!$E$463)</f>
        <v/>
      </c>
      <c r="F462" t="str">
        <f>IF([1]Accounts!$D$463="","",[1]Accounts!$F$463)</f>
        <v/>
      </c>
      <c r="G462" t="str">
        <f>IF([1]Accounts!$D$463="","",[1]Accounts!$G$463)</f>
        <v/>
      </c>
      <c r="T462" t="str">
        <f>IF([2]Baskol!$B$465="","",[2]Baskol!$B$465)</f>
        <v/>
      </c>
      <c r="U462" t="str">
        <f>IF([2]Baskol!$C$465="","",[2]Baskol!$C$465)</f>
        <v/>
      </c>
      <c r="V462" t="str">
        <f>IF([2]Baskol!$D$465="","",[2]Baskol!$D$465)</f>
        <v/>
      </c>
      <c r="W462" t="str">
        <f>IF([2]Baskol!$E$465="","",[2]Baskol!$E$465)</f>
        <v/>
      </c>
      <c r="X462" t="str">
        <f>IF([2]Baskol!$G$465="","",[2]Baskol!$G$465)</f>
        <v/>
      </c>
      <c r="Y462" t="str">
        <f>IF([2]Baskol!$I$465="","",[2]Baskol!$I$465)</f>
        <v/>
      </c>
      <c r="Z462" t="str">
        <f>IF([2]Baskol!$J$465="","",[2]Baskol!$J$465)</f>
        <v/>
      </c>
      <c r="AA462" t="str">
        <f>IF([2]Baskol!$K$465="","",[2]Baskol!$K$465)</f>
        <v/>
      </c>
      <c r="AB462" t="str">
        <f>IF([2]Baskol!$L$465="","",[2]Baskol!$L$465)</f>
        <v/>
      </c>
      <c r="AC462" t="str">
        <f>IF([2]Baskol!$N$465="","",[2]Baskol!$N$465)</f>
        <v/>
      </c>
      <c r="AD462" t="str">
        <f>IF([2]Baskol!$O$465="","",[2]Baskol!$O$465)</f>
        <v/>
      </c>
      <c r="AE462" t="str">
        <f>IF([3]Entry!$C$465="","",[3]Entry!$C$465)</f>
        <v/>
      </c>
      <c r="AF462" t="str">
        <f>IF([3]Entry!$D$465="","",[3]Entry!$D$465)</f>
        <v/>
      </c>
      <c r="AG462" t="str">
        <f>IF([3]Entry!$E$465="","",[3]Entry!$E$465)</f>
        <v/>
      </c>
      <c r="AH462" t="str">
        <f>IF([3]Entry!$G$465="","",[3]Entry!$G$465)</f>
        <v/>
      </c>
      <c r="AI462" t="str">
        <f>IF([3]Entry!$K$465="","",[3]Entry!$K$465)</f>
        <v/>
      </c>
      <c r="AJ462" t="str">
        <f>IF([3]Entry!$L$465="","",[3]Entry!$L$465)</f>
        <v/>
      </c>
      <c r="AK462" t="str">
        <f>IF([3]Entry!$M$465="","",[3]Entry!$M$465)</f>
        <v/>
      </c>
      <c r="AL462" t="str">
        <f>IF([3]Entry!$N$465="","",[3]Entry!$N$465)</f>
        <v/>
      </c>
      <c r="AM462" t="str">
        <f>IF([3]Entry!$R$465="","",[3]Entry!$R$465)</f>
        <v/>
      </c>
    </row>
    <row r="463" spans="1:39" x14ac:dyDescent="0.2">
      <c r="A463" t="str">
        <f>IF([1]Accounts!$D$464="","",[1]Accounts!$A$464)</f>
        <v/>
      </c>
      <c r="B463" t="str">
        <f>IF([1]Accounts!$D$464="","",[1]Accounts!$B$464)</f>
        <v/>
      </c>
      <c r="C463" t="str">
        <f>IF([1]Accounts!$D$464="","",[1]Accounts!$C$464)</f>
        <v/>
      </c>
      <c r="D463" t="str">
        <f>IF([1]Accounts!$D$464="","",[1]Accounts!$D$464)</f>
        <v/>
      </c>
      <c r="E463" t="str">
        <f>IF([1]Accounts!$D$464="","",[1]Accounts!$E$464)</f>
        <v/>
      </c>
      <c r="F463" t="str">
        <f>IF([1]Accounts!$D$464="","",[1]Accounts!$F$464)</f>
        <v/>
      </c>
      <c r="G463" t="str">
        <f>IF([1]Accounts!$D$464="","",[1]Accounts!$G$464)</f>
        <v/>
      </c>
      <c r="T463" t="str">
        <f>IF([2]Baskol!$B$466="","",[2]Baskol!$B$466)</f>
        <v/>
      </c>
      <c r="U463" t="str">
        <f>IF([2]Baskol!$C$466="","",[2]Baskol!$C$466)</f>
        <v/>
      </c>
      <c r="V463" t="str">
        <f>IF([2]Baskol!$D$466="","",[2]Baskol!$D$466)</f>
        <v/>
      </c>
      <c r="W463" t="str">
        <f>IF([2]Baskol!$E$466="","",[2]Baskol!$E$466)</f>
        <v/>
      </c>
      <c r="X463" t="str">
        <f>IF([2]Baskol!$G$466="","",[2]Baskol!$G$466)</f>
        <v/>
      </c>
      <c r="Y463" t="str">
        <f>IF([2]Baskol!$I$466="","",[2]Baskol!$I$466)</f>
        <v/>
      </c>
      <c r="Z463" t="str">
        <f>IF([2]Baskol!$J$466="","",[2]Baskol!$J$466)</f>
        <v/>
      </c>
      <c r="AA463" t="str">
        <f>IF([2]Baskol!$K$466="","",[2]Baskol!$K$466)</f>
        <v/>
      </c>
      <c r="AB463" t="str">
        <f>IF([2]Baskol!$L$466="","",[2]Baskol!$L$466)</f>
        <v/>
      </c>
      <c r="AC463" t="str">
        <f>IF([2]Baskol!$N$466="","",[2]Baskol!$N$466)</f>
        <v/>
      </c>
      <c r="AD463" t="str">
        <f>IF([2]Baskol!$O$466="","",[2]Baskol!$O$466)</f>
        <v/>
      </c>
      <c r="AE463" t="str">
        <f>IF([3]Entry!$C$466="","",[3]Entry!$C$466)</f>
        <v/>
      </c>
      <c r="AF463" t="str">
        <f>IF([3]Entry!$D$466="","",[3]Entry!$D$466)</f>
        <v/>
      </c>
      <c r="AG463" t="str">
        <f>IF([3]Entry!$E$466="","",[3]Entry!$E$466)</f>
        <v/>
      </c>
      <c r="AH463" t="str">
        <f>IF([3]Entry!$G$466="","",[3]Entry!$G$466)</f>
        <v/>
      </c>
      <c r="AI463" t="str">
        <f>IF([3]Entry!$K$466="","",[3]Entry!$K$466)</f>
        <v/>
      </c>
      <c r="AJ463" t="str">
        <f>IF([3]Entry!$L$466="","",[3]Entry!$L$466)</f>
        <v/>
      </c>
      <c r="AK463" t="str">
        <f>IF([3]Entry!$M$466="","",[3]Entry!$M$466)</f>
        <v/>
      </c>
      <c r="AL463" t="str">
        <f>IF([3]Entry!$N$466="","",[3]Entry!$N$466)</f>
        <v/>
      </c>
      <c r="AM463" t="str">
        <f>IF([3]Entry!$R$466="","",[3]Entry!$R$466)</f>
        <v/>
      </c>
    </row>
    <row r="464" spans="1:39" x14ac:dyDescent="0.2">
      <c r="A464" t="str">
        <f>IF([1]Accounts!$D$465="","",[1]Accounts!$A$465)</f>
        <v/>
      </c>
      <c r="B464" t="str">
        <f>IF([1]Accounts!$D$465="","",[1]Accounts!$B$465)</f>
        <v/>
      </c>
      <c r="C464" t="str">
        <f>IF([1]Accounts!$D$465="","",[1]Accounts!$C$465)</f>
        <v/>
      </c>
      <c r="D464" t="str">
        <f>IF([1]Accounts!$D$465="","",[1]Accounts!$D$465)</f>
        <v/>
      </c>
      <c r="E464" t="str">
        <f>IF([1]Accounts!$D$465="","",[1]Accounts!$E$465)</f>
        <v/>
      </c>
      <c r="F464" t="str">
        <f>IF([1]Accounts!$D$465="","",[1]Accounts!$F$465)</f>
        <v/>
      </c>
      <c r="G464" t="str">
        <f>IF([1]Accounts!$D$465="","",[1]Accounts!$G$465)</f>
        <v/>
      </c>
      <c r="T464" t="str">
        <f>IF([2]Baskol!$B$467="","",[2]Baskol!$B$467)</f>
        <v/>
      </c>
      <c r="U464" t="str">
        <f>IF([2]Baskol!$C$467="","",[2]Baskol!$C$467)</f>
        <v/>
      </c>
      <c r="V464" t="str">
        <f>IF([2]Baskol!$D$467="","",[2]Baskol!$D$467)</f>
        <v/>
      </c>
      <c r="W464" t="str">
        <f>IF([2]Baskol!$E$467="","",[2]Baskol!$E$467)</f>
        <v/>
      </c>
      <c r="X464" t="str">
        <f>IF([2]Baskol!$G$467="","",[2]Baskol!$G$467)</f>
        <v/>
      </c>
      <c r="Y464" t="str">
        <f>IF([2]Baskol!$I$467="","",[2]Baskol!$I$467)</f>
        <v/>
      </c>
      <c r="Z464" t="str">
        <f>IF([2]Baskol!$J$467="","",[2]Baskol!$J$467)</f>
        <v/>
      </c>
      <c r="AA464" t="str">
        <f>IF([2]Baskol!$K$467="","",[2]Baskol!$K$467)</f>
        <v/>
      </c>
      <c r="AB464" t="str">
        <f>IF([2]Baskol!$L$467="","",[2]Baskol!$L$467)</f>
        <v/>
      </c>
      <c r="AC464" t="str">
        <f>IF([2]Baskol!$N$467="","",[2]Baskol!$N$467)</f>
        <v/>
      </c>
      <c r="AD464" t="str">
        <f>IF([2]Baskol!$O$467="","",[2]Baskol!$O$467)</f>
        <v/>
      </c>
      <c r="AE464" t="str">
        <f>IF([3]Entry!$C$467="","",[3]Entry!$C$467)</f>
        <v/>
      </c>
      <c r="AF464" t="str">
        <f>IF([3]Entry!$D$467="","",[3]Entry!$D$467)</f>
        <v/>
      </c>
      <c r="AG464" t="str">
        <f>IF([3]Entry!$E$467="","",[3]Entry!$E$467)</f>
        <v/>
      </c>
      <c r="AH464" t="str">
        <f>IF([3]Entry!$G$467="","",[3]Entry!$G$467)</f>
        <v/>
      </c>
      <c r="AI464" t="str">
        <f>IF([3]Entry!$K$467="","",[3]Entry!$K$467)</f>
        <v/>
      </c>
      <c r="AJ464" t="str">
        <f>IF([3]Entry!$L$467="","",[3]Entry!$L$467)</f>
        <v/>
      </c>
      <c r="AK464" t="str">
        <f>IF([3]Entry!$M$467="","",[3]Entry!$M$467)</f>
        <v/>
      </c>
      <c r="AL464" t="str">
        <f>IF([3]Entry!$N$467="","",[3]Entry!$N$467)</f>
        <v/>
      </c>
      <c r="AM464" t="str">
        <f>IF([3]Entry!$R$467="","",[3]Entry!$R$467)</f>
        <v/>
      </c>
    </row>
    <row r="465" spans="1:39" x14ac:dyDescent="0.2">
      <c r="A465" t="str">
        <f>IF([1]Accounts!$D$466="","",[1]Accounts!$A$466)</f>
        <v/>
      </c>
      <c r="B465" t="str">
        <f>IF([1]Accounts!$D$466="","",[1]Accounts!$B$466)</f>
        <v/>
      </c>
      <c r="C465" t="str">
        <f>IF([1]Accounts!$D$466="","",[1]Accounts!$C$466)</f>
        <v/>
      </c>
      <c r="D465" t="str">
        <f>IF([1]Accounts!$D$466="","",[1]Accounts!$D$466)</f>
        <v/>
      </c>
      <c r="E465" t="str">
        <f>IF([1]Accounts!$D$466="","",[1]Accounts!$E$466)</f>
        <v/>
      </c>
      <c r="F465" t="str">
        <f>IF([1]Accounts!$D$466="","",[1]Accounts!$F$466)</f>
        <v/>
      </c>
      <c r="G465" t="str">
        <f>IF([1]Accounts!$D$466="","",[1]Accounts!$G$466)</f>
        <v/>
      </c>
      <c r="T465" t="str">
        <f>IF([2]Baskol!$B$468="","",[2]Baskol!$B$468)</f>
        <v/>
      </c>
      <c r="U465" t="str">
        <f>IF([2]Baskol!$C$468="","",[2]Baskol!$C$468)</f>
        <v/>
      </c>
      <c r="V465" t="str">
        <f>IF([2]Baskol!$D$468="","",[2]Baskol!$D$468)</f>
        <v/>
      </c>
      <c r="W465" t="str">
        <f>IF([2]Baskol!$E$468="","",[2]Baskol!$E$468)</f>
        <v/>
      </c>
      <c r="X465" t="str">
        <f>IF([2]Baskol!$G$468="","",[2]Baskol!$G$468)</f>
        <v/>
      </c>
      <c r="Y465" t="str">
        <f>IF([2]Baskol!$I$468="","",[2]Baskol!$I$468)</f>
        <v/>
      </c>
      <c r="Z465" t="str">
        <f>IF([2]Baskol!$J$468="","",[2]Baskol!$J$468)</f>
        <v/>
      </c>
      <c r="AA465" t="str">
        <f>IF([2]Baskol!$K$468="","",[2]Baskol!$K$468)</f>
        <v/>
      </c>
      <c r="AB465" t="str">
        <f>IF([2]Baskol!$L$468="","",[2]Baskol!$L$468)</f>
        <v/>
      </c>
      <c r="AC465" t="str">
        <f>IF([2]Baskol!$N$468="","",[2]Baskol!$N$468)</f>
        <v/>
      </c>
      <c r="AD465" t="str">
        <f>IF([2]Baskol!$O$468="","",[2]Baskol!$O$468)</f>
        <v/>
      </c>
      <c r="AE465" t="str">
        <f>IF([3]Entry!$C$468="","",[3]Entry!$C$468)</f>
        <v/>
      </c>
      <c r="AF465" t="str">
        <f>IF([3]Entry!$D$468="","",[3]Entry!$D$468)</f>
        <v/>
      </c>
      <c r="AG465" t="str">
        <f>IF([3]Entry!$E$468="","",[3]Entry!$E$468)</f>
        <v/>
      </c>
      <c r="AH465" t="str">
        <f>IF([3]Entry!$G$468="","",[3]Entry!$G$468)</f>
        <v/>
      </c>
      <c r="AI465" t="str">
        <f>IF([3]Entry!$K$468="","",[3]Entry!$K$468)</f>
        <v/>
      </c>
      <c r="AJ465" t="str">
        <f>IF([3]Entry!$L$468="","",[3]Entry!$L$468)</f>
        <v/>
      </c>
      <c r="AK465" t="str">
        <f>IF([3]Entry!$M$468="","",[3]Entry!$M$468)</f>
        <v/>
      </c>
      <c r="AL465" t="str">
        <f>IF([3]Entry!$N$468="","",[3]Entry!$N$468)</f>
        <v/>
      </c>
      <c r="AM465" t="str">
        <f>IF([3]Entry!$R$468="","",[3]Entry!$R$468)</f>
        <v/>
      </c>
    </row>
    <row r="466" spans="1:39" x14ac:dyDescent="0.2">
      <c r="A466" t="str">
        <f>IF([1]Accounts!$D$467="","",[1]Accounts!$A$467)</f>
        <v/>
      </c>
      <c r="B466" t="str">
        <f>IF([1]Accounts!$D$467="","",[1]Accounts!$B$467)</f>
        <v/>
      </c>
      <c r="C466" t="str">
        <f>IF([1]Accounts!$D$467="","",[1]Accounts!$C$467)</f>
        <v/>
      </c>
      <c r="D466" t="str">
        <f>IF([1]Accounts!$D$467="","",[1]Accounts!$D$467)</f>
        <v/>
      </c>
      <c r="E466" t="str">
        <f>IF([1]Accounts!$D$467="","",[1]Accounts!$E$467)</f>
        <v/>
      </c>
      <c r="F466" t="str">
        <f>IF([1]Accounts!$D$467="","",[1]Accounts!$F$467)</f>
        <v/>
      </c>
      <c r="G466" t="str">
        <f>IF([1]Accounts!$D$467="","",[1]Accounts!$G$467)</f>
        <v/>
      </c>
      <c r="T466" t="str">
        <f>IF([2]Baskol!$B$469="","",[2]Baskol!$B$469)</f>
        <v/>
      </c>
      <c r="U466" t="str">
        <f>IF([2]Baskol!$C$469="","",[2]Baskol!$C$469)</f>
        <v/>
      </c>
      <c r="V466" t="str">
        <f>IF([2]Baskol!$D$469="","",[2]Baskol!$D$469)</f>
        <v/>
      </c>
      <c r="W466" t="str">
        <f>IF([2]Baskol!$E$469="","",[2]Baskol!$E$469)</f>
        <v/>
      </c>
      <c r="X466" t="str">
        <f>IF([2]Baskol!$G$469="","",[2]Baskol!$G$469)</f>
        <v/>
      </c>
      <c r="Y466" t="str">
        <f>IF([2]Baskol!$I$469="","",[2]Baskol!$I$469)</f>
        <v/>
      </c>
      <c r="Z466" t="str">
        <f>IF([2]Baskol!$J$469="","",[2]Baskol!$J$469)</f>
        <v/>
      </c>
      <c r="AA466" t="str">
        <f>IF([2]Baskol!$K$469="","",[2]Baskol!$K$469)</f>
        <v/>
      </c>
      <c r="AB466" t="str">
        <f>IF([2]Baskol!$L$469="","",[2]Baskol!$L$469)</f>
        <v/>
      </c>
      <c r="AC466" t="str">
        <f>IF([2]Baskol!$N$469="","",[2]Baskol!$N$469)</f>
        <v/>
      </c>
      <c r="AD466" t="str">
        <f>IF([2]Baskol!$O$469="","",[2]Baskol!$O$469)</f>
        <v/>
      </c>
      <c r="AE466" t="str">
        <f>IF([3]Entry!$C$469="","",[3]Entry!$C$469)</f>
        <v/>
      </c>
      <c r="AF466" t="str">
        <f>IF([3]Entry!$D$469="","",[3]Entry!$D$469)</f>
        <v/>
      </c>
      <c r="AG466" t="str">
        <f>IF([3]Entry!$E$469="","",[3]Entry!$E$469)</f>
        <v/>
      </c>
      <c r="AH466" t="str">
        <f>IF([3]Entry!$G$469="","",[3]Entry!$G$469)</f>
        <v/>
      </c>
      <c r="AI466" t="str">
        <f>IF([3]Entry!$K$469="","",[3]Entry!$K$469)</f>
        <v/>
      </c>
      <c r="AJ466" t="str">
        <f>IF([3]Entry!$L$469="","",[3]Entry!$L$469)</f>
        <v/>
      </c>
      <c r="AK466" t="str">
        <f>IF([3]Entry!$M$469="","",[3]Entry!$M$469)</f>
        <v/>
      </c>
      <c r="AL466" t="str">
        <f>IF([3]Entry!$N$469="","",[3]Entry!$N$469)</f>
        <v/>
      </c>
      <c r="AM466" t="str">
        <f>IF([3]Entry!$R$469="","",[3]Entry!$R$469)</f>
        <v/>
      </c>
    </row>
    <row r="467" spans="1:39" x14ac:dyDescent="0.2">
      <c r="A467" t="str">
        <f>IF([1]Accounts!$D$468="","",[1]Accounts!$A$468)</f>
        <v/>
      </c>
      <c r="B467" t="str">
        <f>IF([1]Accounts!$D$468="","",[1]Accounts!$B$468)</f>
        <v/>
      </c>
      <c r="C467" t="str">
        <f>IF([1]Accounts!$D$468="","",[1]Accounts!$C$468)</f>
        <v/>
      </c>
      <c r="D467" t="str">
        <f>IF([1]Accounts!$D$468="","",[1]Accounts!$D$468)</f>
        <v/>
      </c>
      <c r="E467" t="str">
        <f>IF([1]Accounts!$D$468="","",[1]Accounts!$E$468)</f>
        <v/>
      </c>
      <c r="F467" t="str">
        <f>IF([1]Accounts!$D$468="","",[1]Accounts!$F$468)</f>
        <v/>
      </c>
      <c r="G467" t="str">
        <f>IF([1]Accounts!$D$468="","",[1]Accounts!$G$468)</f>
        <v/>
      </c>
      <c r="T467" t="str">
        <f>IF([2]Baskol!$B$470="","",[2]Baskol!$B$470)</f>
        <v/>
      </c>
      <c r="U467" t="str">
        <f>IF([2]Baskol!$C$470="","",[2]Baskol!$C$470)</f>
        <v/>
      </c>
      <c r="V467" t="str">
        <f>IF([2]Baskol!$D$470="","",[2]Baskol!$D$470)</f>
        <v/>
      </c>
      <c r="W467" t="str">
        <f>IF([2]Baskol!$E$470="","",[2]Baskol!$E$470)</f>
        <v/>
      </c>
      <c r="X467" t="str">
        <f>IF([2]Baskol!$G$470="","",[2]Baskol!$G$470)</f>
        <v/>
      </c>
      <c r="Y467" t="str">
        <f>IF([2]Baskol!$I$470="","",[2]Baskol!$I$470)</f>
        <v/>
      </c>
      <c r="Z467" t="str">
        <f>IF([2]Baskol!$J$470="","",[2]Baskol!$J$470)</f>
        <v/>
      </c>
      <c r="AA467" t="str">
        <f>IF([2]Baskol!$K$470="","",[2]Baskol!$K$470)</f>
        <v/>
      </c>
      <c r="AB467" t="str">
        <f>IF([2]Baskol!$L$470="","",[2]Baskol!$L$470)</f>
        <v/>
      </c>
      <c r="AC467" t="str">
        <f>IF([2]Baskol!$N$470="","",[2]Baskol!$N$470)</f>
        <v/>
      </c>
      <c r="AD467" t="str">
        <f>IF([2]Baskol!$O$470="","",[2]Baskol!$O$470)</f>
        <v/>
      </c>
      <c r="AE467" t="str">
        <f>IF([3]Entry!$C$470="","",[3]Entry!$C$470)</f>
        <v/>
      </c>
      <c r="AF467" t="str">
        <f>IF([3]Entry!$D$470="","",[3]Entry!$D$470)</f>
        <v/>
      </c>
      <c r="AG467" t="str">
        <f>IF([3]Entry!$E$470="","",[3]Entry!$E$470)</f>
        <v/>
      </c>
      <c r="AH467" t="str">
        <f>IF([3]Entry!$G$470="","",[3]Entry!$G$470)</f>
        <v/>
      </c>
      <c r="AI467" t="str">
        <f>IF([3]Entry!$K$470="","",[3]Entry!$K$470)</f>
        <v/>
      </c>
      <c r="AJ467" t="str">
        <f>IF([3]Entry!$L$470="","",[3]Entry!$L$470)</f>
        <v/>
      </c>
      <c r="AK467" t="str">
        <f>IF([3]Entry!$M$470="","",[3]Entry!$M$470)</f>
        <v/>
      </c>
      <c r="AL467" t="str">
        <f>IF([3]Entry!$N$470="","",[3]Entry!$N$470)</f>
        <v/>
      </c>
      <c r="AM467" t="str">
        <f>IF([3]Entry!$R$470="","",[3]Entry!$R$470)</f>
        <v/>
      </c>
    </row>
    <row r="468" spans="1:39" x14ac:dyDescent="0.2">
      <c r="A468" t="str">
        <f>IF([1]Accounts!$D$469="","",[1]Accounts!$A$469)</f>
        <v/>
      </c>
      <c r="B468" t="str">
        <f>IF([1]Accounts!$D$469="","",[1]Accounts!$B$469)</f>
        <v/>
      </c>
      <c r="C468" t="str">
        <f>IF([1]Accounts!$D$469="","",[1]Accounts!$C$469)</f>
        <v/>
      </c>
      <c r="D468" t="str">
        <f>IF([1]Accounts!$D$469="","",[1]Accounts!$D$469)</f>
        <v/>
      </c>
      <c r="E468" t="str">
        <f>IF([1]Accounts!$D$469="","",[1]Accounts!$E$469)</f>
        <v/>
      </c>
      <c r="F468" t="str">
        <f>IF([1]Accounts!$D$469="","",[1]Accounts!$F$469)</f>
        <v/>
      </c>
      <c r="G468" t="str">
        <f>IF([1]Accounts!$D$469="","",[1]Accounts!$G$469)</f>
        <v/>
      </c>
      <c r="T468" t="str">
        <f>IF([2]Baskol!$B$471="","",[2]Baskol!$B$471)</f>
        <v/>
      </c>
      <c r="U468" t="str">
        <f>IF([2]Baskol!$C$471="","",[2]Baskol!$C$471)</f>
        <v/>
      </c>
      <c r="V468" t="str">
        <f>IF([2]Baskol!$D$471="","",[2]Baskol!$D$471)</f>
        <v/>
      </c>
      <c r="W468" t="str">
        <f>IF([2]Baskol!$E$471="","",[2]Baskol!$E$471)</f>
        <v/>
      </c>
      <c r="X468" t="str">
        <f>IF([2]Baskol!$G$471="","",[2]Baskol!$G$471)</f>
        <v/>
      </c>
      <c r="Y468" t="str">
        <f>IF([2]Baskol!$I$471="","",[2]Baskol!$I$471)</f>
        <v/>
      </c>
      <c r="Z468" t="str">
        <f>IF([2]Baskol!$J$471="","",[2]Baskol!$J$471)</f>
        <v/>
      </c>
      <c r="AA468" t="str">
        <f>IF([2]Baskol!$K$471="","",[2]Baskol!$K$471)</f>
        <v/>
      </c>
      <c r="AB468" t="str">
        <f>IF([2]Baskol!$L$471="","",[2]Baskol!$L$471)</f>
        <v/>
      </c>
      <c r="AC468" t="str">
        <f>IF([2]Baskol!$N$471="","",[2]Baskol!$N$471)</f>
        <v/>
      </c>
      <c r="AD468" t="str">
        <f>IF([2]Baskol!$O$471="","",[2]Baskol!$O$471)</f>
        <v/>
      </c>
      <c r="AE468" t="str">
        <f>IF([3]Entry!$C$471="","",[3]Entry!$C$471)</f>
        <v/>
      </c>
      <c r="AF468" t="str">
        <f>IF([3]Entry!$D$471="","",[3]Entry!$D$471)</f>
        <v/>
      </c>
      <c r="AG468" t="str">
        <f>IF([3]Entry!$E$471="","",[3]Entry!$E$471)</f>
        <v/>
      </c>
      <c r="AH468" t="str">
        <f>IF([3]Entry!$G$471="","",[3]Entry!$G$471)</f>
        <v/>
      </c>
      <c r="AI468" t="str">
        <f>IF([3]Entry!$K$471="","",[3]Entry!$K$471)</f>
        <v/>
      </c>
      <c r="AJ468" t="str">
        <f>IF([3]Entry!$L$471="","",[3]Entry!$L$471)</f>
        <v/>
      </c>
      <c r="AK468" t="str">
        <f>IF([3]Entry!$M$471="","",[3]Entry!$M$471)</f>
        <v/>
      </c>
      <c r="AL468" t="str">
        <f>IF([3]Entry!$N$471="","",[3]Entry!$N$471)</f>
        <v/>
      </c>
      <c r="AM468" t="str">
        <f>IF([3]Entry!$R$471="","",[3]Entry!$R$471)</f>
        <v/>
      </c>
    </row>
    <row r="469" spans="1:39" x14ac:dyDescent="0.2">
      <c r="A469" t="str">
        <f>IF([1]Accounts!$D$470="","",[1]Accounts!$A$470)</f>
        <v/>
      </c>
      <c r="B469" t="str">
        <f>IF([1]Accounts!$D$470="","",[1]Accounts!$B$470)</f>
        <v/>
      </c>
      <c r="C469" t="str">
        <f>IF([1]Accounts!$D$470="","",[1]Accounts!$C$470)</f>
        <v/>
      </c>
      <c r="D469" t="str">
        <f>IF([1]Accounts!$D$470="","",[1]Accounts!$D$470)</f>
        <v/>
      </c>
      <c r="E469" t="str">
        <f>IF([1]Accounts!$D$470="","",[1]Accounts!$E$470)</f>
        <v/>
      </c>
      <c r="F469" t="str">
        <f>IF([1]Accounts!$D$470="","",[1]Accounts!$F$470)</f>
        <v/>
      </c>
      <c r="G469" t="str">
        <f>IF([1]Accounts!$D$470="","",[1]Accounts!$G$470)</f>
        <v/>
      </c>
      <c r="T469" t="str">
        <f>IF([2]Baskol!$B$472="","",[2]Baskol!$B$472)</f>
        <v/>
      </c>
      <c r="U469" t="str">
        <f>IF([2]Baskol!$C$472="","",[2]Baskol!$C$472)</f>
        <v/>
      </c>
      <c r="V469" t="str">
        <f>IF([2]Baskol!$D$472="","",[2]Baskol!$D$472)</f>
        <v/>
      </c>
      <c r="W469" t="str">
        <f>IF([2]Baskol!$E$472="","",[2]Baskol!$E$472)</f>
        <v/>
      </c>
      <c r="X469" t="str">
        <f>IF([2]Baskol!$G$472="","",[2]Baskol!$G$472)</f>
        <v/>
      </c>
      <c r="Y469" t="str">
        <f>IF([2]Baskol!$I$472="","",[2]Baskol!$I$472)</f>
        <v/>
      </c>
      <c r="Z469" t="str">
        <f>IF([2]Baskol!$J$472="","",[2]Baskol!$J$472)</f>
        <v/>
      </c>
      <c r="AA469" t="str">
        <f>IF([2]Baskol!$K$472="","",[2]Baskol!$K$472)</f>
        <v/>
      </c>
      <c r="AB469" t="str">
        <f>IF([2]Baskol!$L$472="","",[2]Baskol!$L$472)</f>
        <v/>
      </c>
      <c r="AC469" t="str">
        <f>IF([2]Baskol!$N$472="","",[2]Baskol!$N$472)</f>
        <v/>
      </c>
      <c r="AD469" t="str">
        <f>IF([2]Baskol!$O$472="","",[2]Baskol!$O$472)</f>
        <v/>
      </c>
      <c r="AE469" t="str">
        <f>IF([3]Entry!$C$472="","",[3]Entry!$C$472)</f>
        <v/>
      </c>
      <c r="AF469" t="str">
        <f>IF([3]Entry!$D$472="","",[3]Entry!$D$472)</f>
        <v/>
      </c>
      <c r="AG469" t="str">
        <f>IF([3]Entry!$E$472="","",[3]Entry!$E$472)</f>
        <v/>
      </c>
      <c r="AH469" t="str">
        <f>IF([3]Entry!$G$472="","",[3]Entry!$G$472)</f>
        <v/>
      </c>
      <c r="AI469" t="str">
        <f>IF([3]Entry!$K$472="","",[3]Entry!$K$472)</f>
        <v/>
      </c>
      <c r="AJ469" t="str">
        <f>IF([3]Entry!$L$472="","",[3]Entry!$L$472)</f>
        <v/>
      </c>
      <c r="AK469" t="str">
        <f>IF([3]Entry!$M$472="","",[3]Entry!$M$472)</f>
        <v/>
      </c>
      <c r="AL469" t="str">
        <f>IF([3]Entry!$N$472="","",[3]Entry!$N$472)</f>
        <v/>
      </c>
      <c r="AM469" t="str">
        <f>IF([3]Entry!$R$472="","",[3]Entry!$R$472)</f>
        <v/>
      </c>
    </row>
    <row r="470" spans="1:39" x14ac:dyDescent="0.2">
      <c r="A470" t="str">
        <f>IF([1]Accounts!$D$471="","",[1]Accounts!$A$471)</f>
        <v/>
      </c>
      <c r="B470" t="str">
        <f>IF([1]Accounts!$D$471="","",[1]Accounts!$B$471)</f>
        <v/>
      </c>
      <c r="C470" t="str">
        <f>IF([1]Accounts!$D$471="","",[1]Accounts!$C$471)</f>
        <v/>
      </c>
      <c r="D470" t="str">
        <f>IF([1]Accounts!$D$471="","",[1]Accounts!$D$471)</f>
        <v/>
      </c>
      <c r="E470" t="str">
        <f>IF([1]Accounts!$D$471="","",[1]Accounts!$E$471)</f>
        <v/>
      </c>
      <c r="F470" t="str">
        <f>IF([1]Accounts!$D$471="","",[1]Accounts!$F$471)</f>
        <v/>
      </c>
      <c r="G470" t="str">
        <f>IF([1]Accounts!$D$471="","",[1]Accounts!$G$471)</f>
        <v/>
      </c>
      <c r="T470" t="str">
        <f>IF([2]Baskol!$B$473="","",[2]Baskol!$B$473)</f>
        <v/>
      </c>
      <c r="U470" t="str">
        <f>IF([2]Baskol!$C$473="","",[2]Baskol!$C$473)</f>
        <v/>
      </c>
      <c r="V470" t="str">
        <f>IF([2]Baskol!$D$473="","",[2]Baskol!$D$473)</f>
        <v/>
      </c>
      <c r="W470" t="str">
        <f>IF([2]Baskol!$E$473="","",[2]Baskol!$E$473)</f>
        <v/>
      </c>
      <c r="X470" t="str">
        <f>IF([2]Baskol!$G$473="","",[2]Baskol!$G$473)</f>
        <v/>
      </c>
      <c r="Y470" t="str">
        <f>IF([2]Baskol!$I$473="","",[2]Baskol!$I$473)</f>
        <v/>
      </c>
      <c r="Z470" t="str">
        <f>IF([2]Baskol!$J$473="","",[2]Baskol!$J$473)</f>
        <v/>
      </c>
      <c r="AA470" t="str">
        <f>IF([2]Baskol!$K$473="","",[2]Baskol!$K$473)</f>
        <v/>
      </c>
      <c r="AB470" t="str">
        <f>IF([2]Baskol!$L$473="","",[2]Baskol!$L$473)</f>
        <v/>
      </c>
      <c r="AC470" t="str">
        <f>IF([2]Baskol!$N$473="","",[2]Baskol!$N$473)</f>
        <v/>
      </c>
      <c r="AD470" t="str">
        <f>IF([2]Baskol!$O$473="","",[2]Baskol!$O$473)</f>
        <v/>
      </c>
      <c r="AE470" t="str">
        <f>IF([3]Entry!$C$473="","",[3]Entry!$C$473)</f>
        <v/>
      </c>
      <c r="AF470" t="str">
        <f>IF([3]Entry!$D$473="","",[3]Entry!$D$473)</f>
        <v/>
      </c>
      <c r="AG470" t="str">
        <f>IF([3]Entry!$E$473="","",[3]Entry!$E$473)</f>
        <v/>
      </c>
      <c r="AH470" t="str">
        <f>IF([3]Entry!$G$473="","",[3]Entry!$G$473)</f>
        <v/>
      </c>
      <c r="AI470" t="str">
        <f>IF([3]Entry!$K$473="","",[3]Entry!$K$473)</f>
        <v/>
      </c>
      <c r="AJ470" t="str">
        <f>IF([3]Entry!$L$473="","",[3]Entry!$L$473)</f>
        <v/>
      </c>
      <c r="AK470" t="str">
        <f>IF([3]Entry!$M$473="","",[3]Entry!$M$473)</f>
        <v/>
      </c>
      <c r="AL470" t="str">
        <f>IF([3]Entry!$N$473="","",[3]Entry!$N$473)</f>
        <v/>
      </c>
      <c r="AM470" t="str">
        <f>IF([3]Entry!$R$473="","",[3]Entry!$R$473)</f>
        <v/>
      </c>
    </row>
    <row r="471" spans="1:39" x14ac:dyDescent="0.2">
      <c r="A471" t="str">
        <f>IF([1]Accounts!$D$472="","",[1]Accounts!$A$472)</f>
        <v/>
      </c>
      <c r="B471" t="str">
        <f>IF([1]Accounts!$D$472="","",[1]Accounts!$B$472)</f>
        <v/>
      </c>
      <c r="C471" t="str">
        <f>IF([1]Accounts!$D$472="","",[1]Accounts!$C$472)</f>
        <v/>
      </c>
      <c r="D471" t="str">
        <f>IF([1]Accounts!$D$472="","",[1]Accounts!$D$472)</f>
        <v/>
      </c>
      <c r="E471" t="str">
        <f>IF([1]Accounts!$D$472="","",[1]Accounts!$E$472)</f>
        <v/>
      </c>
      <c r="F471" t="str">
        <f>IF([1]Accounts!$D$472="","",[1]Accounts!$F$472)</f>
        <v/>
      </c>
      <c r="G471" t="str">
        <f>IF([1]Accounts!$D$472="","",[1]Accounts!$G$472)</f>
        <v/>
      </c>
      <c r="T471" t="str">
        <f>IF([2]Baskol!$B$474="","",[2]Baskol!$B$474)</f>
        <v/>
      </c>
      <c r="U471" t="str">
        <f>IF([2]Baskol!$C$474="","",[2]Baskol!$C$474)</f>
        <v/>
      </c>
      <c r="V471" t="str">
        <f>IF([2]Baskol!$D$474="","",[2]Baskol!$D$474)</f>
        <v/>
      </c>
      <c r="W471" t="str">
        <f>IF([2]Baskol!$E$474="","",[2]Baskol!$E$474)</f>
        <v/>
      </c>
      <c r="X471" t="str">
        <f>IF([2]Baskol!$G$474="","",[2]Baskol!$G$474)</f>
        <v/>
      </c>
      <c r="Y471" t="str">
        <f>IF([2]Baskol!$I$474="","",[2]Baskol!$I$474)</f>
        <v/>
      </c>
      <c r="Z471" t="str">
        <f>IF([2]Baskol!$J$474="","",[2]Baskol!$J$474)</f>
        <v/>
      </c>
      <c r="AA471" t="str">
        <f>IF([2]Baskol!$K$474="","",[2]Baskol!$K$474)</f>
        <v/>
      </c>
      <c r="AB471" t="str">
        <f>IF([2]Baskol!$L$474="","",[2]Baskol!$L$474)</f>
        <v/>
      </c>
      <c r="AC471" t="str">
        <f>IF([2]Baskol!$N$474="","",[2]Baskol!$N$474)</f>
        <v/>
      </c>
      <c r="AD471" t="str">
        <f>IF([2]Baskol!$O$474="","",[2]Baskol!$O$474)</f>
        <v/>
      </c>
      <c r="AE471" t="str">
        <f>IF([3]Entry!$C$474="","",[3]Entry!$C$474)</f>
        <v/>
      </c>
      <c r="AF471" t="str">
        <f>IF([3]Entry!$D$474="","",[3]Entry!$D$474)</f>
        <v/>
      </c>
      <c r="AG471" t="str">
        <f>IF([3]Entry!$E$474="","",[3]Entry!$E$474)</f>
        <v/>
      </c>
      <c r="AH471" t="str">
        <f>IF([3]Entry!$G$474="","",[3]Entry!$G$474)</f>
        <v/>
      </c>
      <c r="AI471" t="str">
        <f>IF([3]Entry!$K$474="","",[3]Entry!$K$474)</f>
        <v/>
      </c>
      <c r="AJ471" t="str">
        <f>IF([3]Entry!$L$474="","",[3]Entry!$L$474)</f>
        <v/>
      </c>
      <c r="AK471" t="str">
        <f>IF([3]Entry!$M$474="","",[3]Entry!$M$474)</f>
        <v/>
      </c>
      <c r="AL471" t="str">
        <f>IF([3]Entry!$N$474="","",[3]Entry!$N$474)</f>
        <v/>
      </c>
      <c r="AM471" t="str">
        <f>IF([3]Entry!$R$474="","",[3]Entry!$R$474)</f>
        <v/>
      </c>
    </row>
    <row r="472" spans="1:39" x14ac:dyDescent="0.2">
      <c r="A472" t="str">
        <f>IF([1]Accounts!$D$473="","",[1]Accounts!$A$473)</f>
        <v/>
      </c>
      <c r="B472" t="str">
        <f>IF([1]Accounts!$D$473="","",[1]Accounts!$B$473)</f>
        <v/>
      </c>
      <c r="C472" t="str">
        <f>IF([1]Accounts!$D$473="","",[1]Accounts!$C$473)</f>
        <v/>
      </c>
      <c r="D472" t="str">
        <f>IF([1]Accounts!$D$473="","",[1]Accounts!$D$473)</f>
        <v/>
      </c>
      <c r="E472" t="str">
        <f>IF([1]Accounts!$D$473="","",[1]Accounts!$E$473)</f>
        <v/>
      </c>
      <c r="F472" t="str">
        <f>IF([1]Accounts!$D$473="","",[1]Accounts!$F$473)</f>
        <v/>
      </c>
      <c r="G472" t="str">
        <f>IF([1]Accounts!$D$473="","",[1]Accounts!$G$473)</f>
        <v/>
      </c>
      <c r="T472" t="str">
        <f>IF([2]Baskol!$B$475="","",[2]Baskol!$B$475)</f>
        <v/>
      </c>
      <c r="U472" t="str">
        <f>IF([2]Baskol!$C$475="","",[2]Baskol!$C$475)</f>
        <v/>
      </c>
      <c r="V472" t="str">
        <f>IF([2]Baskol!$D$475="","",[2]Baskol!$D$475)</f>
        <v/>
      </c>
      <c r="W472" t="str">
        <f>IF([2]Baskol!$E$475="","",[2]Baskol!$E$475)</f>
        <v/>
      </c>
      <c r="X472" t="str">
        <f>IF([2]Baskol!$G$475="","",[2]Baskol!$G$475)</f>
        <v/>
      </c>
      <c r="Y472" t="str">
        <f>IF([2]Baskol!$I$475="","",[2]Baskol!$I$475)</f>
        <v/>
      </c>
      <c r="Z472" t="str">
        <f>IF([2]Baskol!$J$475="","",[2]Baskol!$J$475)</f>
        <v/>
      </c>
      <c r="AA472" t="str">
        <f>IF([2]Baskol!$K$475="","",[2]Baskol!$K$475)</f>
        <v/>
      </c>
      <c r="AB472" t="str">
        <f>IF([2]Baskol!$L$475="","",[2]Baskol!$L$475)</f>
        <v/>
      </c>
      <c r="AC472" t="str">
        <f>IF([2]Baskol!$N$475="","",[2]Baskol!$N$475)</f>
        <v/>
      </c>
      <c r="AD472" t="str">
        <f>IF([2]Baskol!$O$475="","",[2]Baskol!$O$475)</f>
        <v/>
      </c>
      <c r="AE472" t="str">
        <f>IF([3]Entry!$C$475="","",[3]Entry!$C$475)</f>
        <v/>
      </c>
      <c r="AF472" t="str">
        <f>IF([3]Entry!$D$475="","",[3]Entry!$D$475)</f>
        <v/>
      </c>
      <c r="AG472" t="str">
        <f>IF([3]Entry!$E$475="","",[3]Entry!$E$475)</f>
        <v/>
      </c>
      <c r="AH472" t="str">
        <f>IF([3]Entry!$G$475="","",[3]Entry!$G$475)</f>
        <v/>
      </c>
      <c r="AI472" t="str">
        <f>IF([3]Entry!$K$475="","",[3]Entry!$K$475)</f>
        <v/>
      </c>
      <c r="AJ472" t="str">
        <f>IF([3]Entry!$L$475="","",[3]Entry!$L$475)</f>
        <v/>
      </c>
      <c r="AK472" t="str">
        <f>IF([3]Entry!$M$475="","",[3]Entry!$M$475)</f>
        <v/>
      </c>
      <c r="AL472" t="str">
        <f>IF([3]Entry!$N$475="","",[3]Entry!$N$475)</f>
        <v/>
      </c>
      <c r="AM472" t="str">
        <f>IF([3]Entry!$R$475="","",[3]Entry!$R$475)</f>
        <v/>
      </c>
    </row>
    <row r="473" spans="1:39" x14ac:dyDescent="0.2">
      <c r="A473" t="str">
        <f>IF([1]Accounts!$D$474="","",[1]Accounts!$A$474)</f>
        <v/>
      </c>
      <c r="B473" t="str">
        <f>IF([1]Accounts!$D$474="","",[1]Accounts!$B$474)</f>
        <v/>
      </c>
      <c r="C473" t="str">
        <f>IF([1]Accounts!$D$474="","",[1]Accounts!$C$474)</f>
        <v/>
      </c>
      <c r="D473" t="str">
        <f>IF([1]Accounts!$D$474="","",[1]Accounts!$D$474)</f>
        <v/>
      </c>
      <c r="E473" t="str">
        <f>IF([1]Accounts!$D$474="","",[1]Accounts!$E$474)</f>
        <v/>
      </c>
      <c r="F473" t="str">
        <f>IF([1]Accounts!$D$474="","",[1]Accounts!$F$474)</f>
        <v/>
      </c>
      <c r="G473" t="str">
        <f>IF([1]Accounts!$D$474="","",[1]Accounts!$G$474)</f>
        <v/>
      </c>
      <c r="T473" t="str">
        <f>IF([2]Baskol!$B$476="","",[2]Baskol!$B$476)</f>
        <v/>
      </c>
      <c r="U473" t="str">
        <f>IF([2]Baskol!$C$476="","",[2]Baskol!$C$476)</f>
        <v/>
      </c>
      <c r="V473" t="str">
        <f>IF([2]Baskol!$D$476="","",[2]Baskol!$D$476)</f>
        <v/>
      </c>
      <c r="W473" t="str">
        <f>IF([2]Baskol!$E$476="","",[2]Baskol!$E$476)</f>
        <v/>
      </c>
      <c r="X473" t="str">
        <f>IF([2]Baskol!$G$476="","",[2]Baskol!$G$476)</f>
        <v/>
      </c>
      <c r="Y473" t="str">
        <f>IF([2]Baskol!$I$476="","",[2]Baskol!$I$476)</f>
        <v/>
      </c>
      <c r="Z473" t="str">
        <f>IF([2]Baskol!$J$476="","",[2]Baskol!$J$476)</f>
        <v/>
      </c>
      <c r="AA473" t="str">
        <f>IF([2]Baskol!$K$476="","",[2]Baskol!$K$476)</f>
        <v/>
      </c>
      <c r="AB473" t="str">
        <f>IF([2]Baskol!$L$476="","",[2]Baskol!$L$476)</f>
        <v/>
      </c>
      <c r="AC473" t="str">
        <f>IF([2]Baskol!$N$476="","",[2]Baskol!$N$476)</f>
        <v/>
      </c>
      <c r="AD473" t="str">
        <f>IF([2]Baskol!$O$476="","",[2]Baskol!$O$476)</f>
        <v/>
      </c>
      <c r="AE473" t="str">
        <f>IF([3]Entry!$C$476="","",[3]Entry!$C$476)</f>
        <v/>
      </c>
      <c r="AF473" t="str">
        <f>IF([3]Entry!$D$476="","",[3]Entry!$D$476)</f>
        <v/>
      </c>
      <c r="AG473" t="str">
        <f>IF([3]Entry!$E$476="","",[3]Entry!$E$476)</f>
        <v/>
      </c>
      <c r="AH473" t="str">
        <f>IF([3]Entry!$G$476="","",[3]Entry!$G$476)</f>
        <v/>
      </c>
      <c r="AI473" t="str">
        <f>IF([3]Entry!$K$476="","",[3]Entry!$K$476)</f>
        <v/>
      </c>
      <c r="AJ473" t="str">
        <f>IF([3]Entry!$L$476="","",[3]Entry!$L$476)</f>
        <v/>
      </c>
      <c r="AK473" t="str">
        <f>IF([3]Entry!$M$476="","",[3]Entry!$M$476)</f>
        <v/>
      </c>
      <c r="AL473" t="str">
        <f>IF([3]Entry!$N$476="","",[3]Entry!$N$476)</f>
        <v/>
      </c>
      <c r="AM473" t="str">
        <f>IF([3]Entry!$R$476="","",[3]Entry!$R$476)</f>
        <v/>
      </c>
    </row>
    <row r="474" spans="1:39" x14ac:dyDescent="0.2">
      <c r="A474" t="str">
        <f>IF([1]Accounts!$D$475="","",[1]Accounts!$A$475)</f>
        <v/>
      </c>
      <c r="B474" t="str">
        <f>IF([1]Accounts!$D$475="","",[1]Accounts!$B$475)</f>
        <v/>
      </c>
      <c r="C474" t="str">
        <f>IF([1]Accounts!$D$475="","",[1]Accounts!$C$475)</f>
        <v/>
      </c>
      <c r="D474" t="str">
        <f>IF([1]Accounts!$D$475="","",[1]Accounts!$D$475)</f>
        <v/>
      </c>
      <c r="E474" t="str">
        <f>IF([1]Accounts!$D$475="","",[1]Accounts!$E$475)</f>
        <v/>
      </c>
      <c r="F474" t="str">
        <f>IF([1]Accounts!$D$475="","",[1]Accounts!$F$475)</f>
        <v/>
      </c>
      <c r="G474" t="str">
        <f>IF([1]Accounts!$D$475="","",[1]Accounts!$G$475)</f>
        <v/>
      </c>
      <c r="T474" t="str">
        <f>IF([2]Baskol!$B$477="","",[2]Baskol!$B$477)</f>
        <v/>
      </c>
      <c r="U474" t="str">
        <f>IF([2]Baskol!$C$477="","",[2]Baskol!$C$477)</f>
        <v/>
      </c>
      <c r="V474" t="str">
        <f>IF([2]Baskol!$D$477="","",[2]Baskol!$D$477)</f>
        <v/>
      </c>
      <c r="W474" t="str">
        <f>IF([2]Baskol!$E$477="","",[2]Baskol!$E$477)</f>
        <v/>
      </c>
      <c r="X474" t="str">
        <f>IF([2]Baskol!$G$477="","",[2]Baskol!$G$477)</f>
        <v/>
      </c>
      <c r="Y474" t="str">
        <f>IF([2]Baskol!$I$477="","",[2]Baskol!$I$477)</f>
        <v/>
      </c>
      <c r="Z474" t="str">
        <f>IF([2]Baskol!$J$477="","",[2]Baskol!$J$477)</f>
        <v/>
      </c>
      <c r="AA474" t="str">
        <f>IF([2]Baskol!$K$477="","",[2]Baskol!$K$477)</f>
        <v/>
      </c>
      <c r="AB474" t="str">
        <f>IF([2]Baskol!$L$477="","",[2]Baskol!$L$477)</f>
        <v/>
      </c>
      <c r="AC474" t="str">
        <f>IF([2]Baskol!$N$477="","",[2]Baskol!$N$477)</f>
        <v/>
      </c>
      <c r="AD474" t="str">
        <f>IF([2]Baskol!$O$477="","",[2]Baskol!$O$477)</f>
        <v/>
      </c>
      <c r="AE474" t="str">
        <f>IF([3]Entry!$C$477="","",[3]Entry!$C$477)</f>
        <v/>
      </c>
      <c r="AF474" t="str">
        <f>IF([3]Entry!$D$477="","",[3]Entry!$D$477)</f>
        <v/>
      </c>
      <c r="AG474" t="str">
        <f>IF([3]Entry!$E$477="","",[3]Entry!$E$477)</f>
        <v/>
      </c>
      <c r="AH474" t="str">
        <f>IF([3]Entry!$G$477="","",[3]Entry!$G$477)</f>
        <v/>
      </c>
      <c r="AI474" t="str">
        <f>IF([3]Entry!$K$477="","",[3]Entry!$K$477)</f>
        <v/>
      </c>
      <c r="AJ474" t="str">
        <f>IF([3]Entry!$L$477="","",[3]Entry!$L$477)</f>
        <v/>
      </c>
      <c r="AK474" t="str">
        <f>IF([3]Entry!$M$477="","",[3]Entry!$M$477)</f>
        <v/>
      </c>
      <c r="AL474" t="str">
        <f>IF([3]Entry!$N$477="","",[3]Entry!$N$477)</f>
        <v/>
      </c>
      <c r="AM474" t="str">
        <f>IF([3]Entry!$R$477="","",[3]Entry!$R$477)</f>
        <v/>
      </c>
    </row>
    <row r="475" spans="1:39" x14ac:dyDescent="0.2">
      <c r="A475" t="str">
        <f>IF([1]Accounts!$D$476="","",[1]Accounts!$A$476)</f>
        <v/>
      </c>
      <c r="B475" t="str">
        <f>IF([1]Accounts!$D$476="","",[1]Accounts!$B$476)</f>
        <v/>
      </c>
      <c r="C475" t="str">
        <f>IF([1]Accounts!$D$476="","",[1]Accounts!$C$476)</f>
        <v/>
      </c>
      <c r="D475" t="str">
        <f>IF([1]Accounts!$D$476="","",[1]Accounts!$D$476)</f>
        <v/>
      </c>
      <c r="E475" t="str">
        <f>IF([1]Accounts!$D$476="","",[1]Accounts!$E$476)</f>
        <v/>
      </c>
      <c r="F475" t="str">
        <f>IF([1]Accounts!$D$476="","",[1]Accounts!$F$476)</f>
        <v/>
      </c>
      <c r="G475" t="str">
        <f>IF([1]Accounts!$D$476="","",[1]Accounts!$G$476)</f>
        <v/>
      </c>
      <c r="T475" t="str">
        <f>IF([2]Baskol!$B$478="","",[2]Baskol!$B$478)</f>
        <v/>
      </c>
      <c r="U475" t="str">
        <f>IF([2]Baskol!$C$478="","",[2]Baskol!$C$478)</f>
        <v/>
      </c>
      <c r="V475" t="str">
        <f>IF([2]Baskol!$D$478="","",[2]Baskol!$D$478)</f>
        <v/>
      </c>
      <c r="W475" t="str">
        <f>IF([2]Baskol!$E$478="","",[2]Baskol!$E$478)</f>
        <v/>
      </c>
      <c r="X475" t="str">
        <f>IF([2]Baskol!$G$478="","",[2]Baskol!$G$478)</f>
        <v/>
      </c>
      <c r="Y475" t="str">
        <f>IF([2]Baskol!$I$478="","",[2]Baskol!$I$478)</f>
        <v/>
      </c>
      <c r="Z475" t="str">
        <f>IF([2]Baskol!$J$478="","",[2]Baskol!$J$478)</f>
        <v/>
      </c>
      <c r="AA475" t="str">
        <f>IF([2]Baskol!$K$478="","",[2]Baskol!$K$478)</f>
        <v/>
      </c>
      <c r="AB475" t="str">
        <f>IF([2]Baskol!$L$478="","",[2]Baskol!$L$478)</f>
        <v/>
      </c>
      <c r="AC475" t="str">
        <f>IF([2]Baskol!$N$478="","",[2]Baskol!$N$478)</f>
        <v/>
      </c>
      <c r="AD475" t="str">
        <f>IF([2]Baskol!$O$478="","",[2]Baskol!$O$478)</f>
        <v/>
      </c>
      <c r="AE475" t="str">
        <f>IF([3]Entry!$C$478="","",[3]Entry!$C$478)</f>
        <v/>
      </c>
      <c r="AF475" t="str">
        <f>IF([3]Entry!$D$478="","",[3]Entry!$D$478)</f>
        <v/>
      </c>
      <c r="AG475" t="str">
        <f>IF([3]Entry!$E$478="","",[3]Entry!$E$478)</f>
        <v/>
      </c>
      <c r="AH475" t="str">
        <f>IF([3]Entry!$G$478="","",[3]Entry!$G$478)</f>
        <v/>
      </c>
      <c r="AI475" t="str">
        <f>IF([3]Entry!$K$478="","",[3]Entry!$K$478)</f>
        <v/>
      </c>
      <c r="AJ475" t="str">
        <f>IF([3]Entry!$L$478="","",[3]Entry!$L$478)</f>
        <v/>
      </c>
      <c r="AK475" t="str">
        <f>IF([3]Entry!$M$478="","",[3]Entry!$M$478)</f>
        <v/>
      </c>
      <c r="AL475" t="str">
        <f>IF([3]Entry!$N$478="","",[3]Entry!$N$478)</f>
        <v/>
      </c>
      <c r="AM475" t="str">
        <f>IF([3]Entry!$R$478="","",[3]Entry!$R$478)</f>
        <v/>
      </c>
    </row>
    <row r="476" spans="1:39" x14ac:dyDescent="0.2">
      <c r="A476" t="str">
        <f>IF([1]Accounts!$D$477="","",[1]Accounts!$A$477)</f>
        <v/>
      </c>
      <c r="B476" t="str">
        <f>IF([1]Accounts!$D$477="","",[1]Accounts!$B$477)</f>
        <v/>
      </c>
      <c r="C476" t="str">
        <f>IF([1]Accounts!$D$477="","",[1]Accounts!$C$477)</f>
        <v/>
      </c>
      <c r="D476" t="str">
        <f>IF([1]Accounts!$D$477="","",[1]Accounts!$D$477)</f>
        <v/>
      </c>
      <c r="E476" t="str">
        <f>IF([1]Accounts!$D$477="","",[1]Accounts!$E$477)</f>
        <v/>
      </c>
      <c r="F476" t="str">
        <f>IF([1]Accounts!$D$477="","",[1]Accounts!$F$477)</f>
        <v/>
      </c>
      <c r="G476" t="str">
        <f>IF([1]Accounts!$D$477="","",[1]Accounts!$G$477)</f>
        <v/>
      </c>
      <c r="T476" t="str">
        <f>IF([2]Baskol!$B$479="","",[2]Baskol!$B$479)</f>
        <v/>
      </c>
      <c r="U476" t="str">
        <f>IF([2]Baskol!$C$479="","",[2]Baskol!$C$479)</f>
        <v/>
      </c>
      <c r="V476" t="str">
        <f>IF([2]Baskol!$D$479="","",[2]Baskol!$D$479)</f>
        <v/>
      </c>
      <c r="W476" t="str">
        <f>IF([2]Baskol!$E$479="","",[2]Baskol!$E$479)</f>
        <v/>
      </c>
      <c r="X476" t="str">
        <f>IF([2]Baskol!$G$479="","",[2]Baskol!$G$479)</f>
        <v/>
      </c>
      <c r="Y476" t="str">
        <f>IF([2]Baskol!$I$479="","",[2]Baskol!$I$479)</f>
        <v/>
      </c>
      <c r="Z476" t="str">
        <f>IF([2]Baskol!$J$479="","",[2]Baskol!$J$479)</f>
        <v/>
      </c>
      <c r="AA476" t="str">
        <f>IF([2]Baskol!$K$479="","",[2]Baskol!$K$479)</f>
        <v/>
      </c>
      <c r="AB476" t="str">
        <f>IF([2]Baskol!$L$479="","",[2]Baskol!$L$479)</f>
        <v/>
      </c>
      <c r="AC476" t="str">
        <f>IF([2]Baskol!$N$479="","",[2]Baskol!$N$479)</f>
        <v/>
      </c>
      <c r="AD476" t="str">
        <f>IF([2]Baskol!$O$479="","",[2]Baskol!$O$479)</f>
        <v/>
      </c>
      <c r="AE476" t="str">
        <f>IF([3]Entry!$C$479="","",[3]Entry!$C$479)</f>
        <v/>
      </c>
      <c r="AF476" t="str">
        <f>IF([3]Entry!$D$479="","",[3]Entry!$D$479)</f>
        <v/>
      </c>
      <c r="AG476" t="str">
        <f>IF([3]Entry!$E$479="","",[3]Entry!$E$479)</f>
        <v/>
      </c>
      <c r="AH476" t="str">
        <f>IF([3]Entry!$G$479="","",[3]Entry!$G$479)</f>
        <v/>
      </c>
      <c r="AI476" t="str">
        <f>IF([3]Entry!$K$479="","",[3]Entry!$K$479)</f>
        <v/>
      </c>
      <c r="AJ476" t="str">
        <f>IF([3]Entry!$L$479="","",[3]Entry!$L$479)</f>
        <v/>
      </c>
      <c r="AK476" t="str">
        <f>IF([3]Entry!$M$479="","",[3]Entry!$M$479)</f>
        <v/>
      </c>
      <c r="AL476" t="str">
        <f>IF([3]Entry!$N$479="","",[3]Entry!$N$479)</f>
        <v/>
      </c>
      <c r="AM476" t="str">
        <f>IF([3]Entry!$R$479="","",[3]Entry!$R$479)</f>
        <v/>
      </c>
    </row>
    <row r="477" spans="1:39" x14ac:dyDescent="0.2">
      <c r="A477" t="str">
        <f>IF([1]Accounts!$D$478="","",[1]Accounts!$A$478)</f>
        <v/>
      </c>
      <c r="B477" t="str">
        <f>IF([1]Accounts!$D$478="","",[1]Accounts!$B$478)</f>
        <v/>
      </c>
      <c r="C477" t="str">
        <f>IF([1]Accounts!$D$478="","",[1]Accounts!$C$478)</f>
        <v/>
      </c>
      <c r="D477" t="str">
        <f>IF([1]Accounts!$D$478="","",[1]Accounts!$D$478)</f>
        <v/>
      </c>
      <c r="E477" t="str">
        <f>IF([1]Accounts!$D$478="","",[1]Accounts!$E$478)</f>
        <v/>
      </c>
      <c r="F477" t="str">
        <f>IF([1]Accounts!$D$478="","",[1]Accounts!$F$478)</f>
        <v/>
      </c>
      <c r="G477" t="str">
        <f>IF([1]Accounts!$D$478="","",[1]Accounts!$G$478)</f>
        <v/>
      </c>
      <c r="T477" t="str">
        <f>IF([2]Baskol!$B$480="","",[2]Baskol!$B$480)</f>
        <v/>
      </c>
      <c r="U477" t="str">
        <f>IF([2]Baskol!$C$480="","",[2]Baskol!$C$480)</f>
        <v/>
      </c>
      <c r="V477" t="str">
        <f>IF([2]Baskol!$D$480="","",[2]Baskol!$D$480)</f>
        <v/>
      </c>
      <c r="W477" t="str">
        <f>IF([2]Baskol!$E$480="","",[2]Baskol!$E$480)</f>
        <v/>
      </c>
      <c r="X477" t="str">
        <f>IF([2]Baskol!$G$480="","",[2]Baskol!$G$480)</f>
        <v/>
      </c>
      <c r="Y477" t="str">
        <f>IF([2]Baskol!$I$480="","",[2]Baskol!$I$480)</f>
        <v/>
      </c>
      <c r="Z477" t="str">
        <f>IF([2]Baskol!$J$480="","",[2]Baskol!$J$480)</f>
        <v/>
      </c>
      <c r="AA477" t="str">
        <f>IF([2]Baskol!$K$480="","",[2]Baskol!$K$480)</f>
        <v/>
      </c>
      <c r="AB477" t="str">
        <f>IF([2]Baskol!$L$480="","",[2]Baskol!$L$480)</f>
        <v/>
      </c>
      <c r="AC477" t="str">
        <f>IF([2]Baskol!$N$480="","",[2]Baskol!$N$480)</f>
        <v/>
      </c>
      <c r="AD477" t="str">
        <f>IF([2]Baskol!$O$480="","",[2]Baskol!$O$480)</f>
        <v/>
      </c>
      <c r="AE477" t="str">
        <f>IF([3]Entry!$C$480="","",[3]Entry!$C$480)</f>
        <v/>
      </c>
      <c r="AF477" t="str">
        <f>IF([3]Entry!$D$480="","",[3]Entry!$D$480)</f>
        <v/>
      </c>
      <c r="AG477" t="str">
        <f>IF([3]Entry!$E$480="","",[3]Entry!$E$480)</f>
        <v/>
      </c>
      <c r="AH477" t="str">
        <f>IF([3]Entry!$G$480="","",[3]Entry!$G$480)</f>
        <v/>
      </c>
      <c r="AI477" t="str">
        <f>IF([3]Entry!$K$480="","",[3]Entry!$K$480)</f>
        <v/>
      </c>
      <c r="AJ477" t="str">
        <f>IF([3]Entry!$L$480="","",[3]Entry!$L$480)</f>
        <v/>
      </c>
      <c r="AK477" t="str">
        <f>IF([3]Entry!$M$480="","",[3]Entry!$M$480)</f>
        <v/>
      </c>
      <c r="AL477" t="str">
        <f>IF([3]Entry!$N$480="","",[3]Entry!$N$480)</f>
        <v/>
      </c>
      <c r="AM477" t="str">
        <f>IF([3]Entry!$R$480="","",[3]Entry!$R$480)</f>
        <v/>
      </c>
    </row>
    <row r="478" spans="1:39" x14ac:dyDescent="0.2">
      <c r="A478" t="str">
        <f>IF([1]Accounts!$D$479="","",[1]Accounts!$A$479)</f>
        <v/>
      </c>
      <c r="B478" t="str">
        <f>IF([1]Accounts!$D$479="","",[1]Accounts!$B$479)</f>
        <v/>
      </c>
      <c r="C478" t="str">
        <f>IF([1]Accounts!$D$479="","",[1]Accounts!$C$479)</f>
        <v/>
      </c>
      <c r="D478" t="str">
        <f>IF([1]Accounts!$D$479="","",[1]Accounts!$D$479)</f>
        <v/>
      </c>
      <c r="E478" t="str">
        <f>IF([1]Accounts!$D$479="","",[1]Accounts!$E$479)</f>
        <v/>
      </c>
      <c r="F478" t="str">
        <f>IF([1]Accounts!$D$479="","",[1]Accounts!$F$479)</f>
        <v/>
      </c>
      <c r="G478" t="str">
        <f>IF([1]Accounts!$D$479="","",[1]Accounts!$G$479)</f>
        <v/>
      </c>
      <c r="T478" t="str">
        <f>IF([2]Baskol!$B$481="","",[2]Baskol!$B$481)</f>
        <v/>
      </c>
      <c r="U478" t="str">
        <f>IF([2]Baskol!$C$481="","",[2]Baskol!$C$481)</f>
        <v/>
      </c>
      <c r="V478" t="str">
        <f>IF([2]Baskol!$D$481="","",[2]Baskol!$D$481)</f>
        <v/>
      </c>
      <c r="W478" t="str">
        <f>IF([2]Baskol!$E$481="","",[2]Baskol!$E$481)</f>
        <v/>
      </c>
      <c r="X478" t="str">
        <f>IF([2]Baskol!$G$481="","",[2]Baskol!$G$481)</f>
        <v/>
      </c>
      <c r="Y478" t="str">
        <f>IF([2]Baskol!$I$481="","",[2]Baskol!$I$481)</f>
        <v/>
      </c>
      <c r="Z478" t="str">
        <f>IF([2]Baskol!$J$481="","",[2]Baskol!$J$481)</f>
        <v/>
      </c>
      <c r="AA478" t="str">
        <f>IF([2]Baskol!$K$481="","",[2]Baskol!$K$481)</f>
        <v/>
      </c>
      <c r="AB478" t="str">
        <f>IF([2]Baskol!$L$481="","",[2]Baskol!$L$481)</f>
        <v/>
      </c>
      <c r="AC478" t="str">
        <f>IF([2]Baskol!$N$481="","",[2]Baskol!$N$481)</f>
        <v/>
      </c>
      <c r="AD478" t="str">
        <f>IF([2]Baskol!$O$481="","",[2]Baskol!$O$481)</f>
        <v/>
      </c>
      <c r="AE478" t="str">
        <f>IF([3]Entry!$C$481="","",[3]Entry!$C$481)</f>
        <v/>
      </c>
      <c r="AF478" t="str">
        <f>IF([3]Entry!$D$481="","",[3]Entry!$D$481)</f>
        <v/>
      </c>
      <c r="AG478" t="str">
        <f>IF([3]Entry!$E$481="","",[3]Entry!$E$481)</f>
        <v/>
      </c>
      <c r="AH478" t="str">
        <f>IF([3]Entry!$G$481="","",[3]Entry!$G$481)</f>
        <v/>
      </c>
      <c r="AI478" t="str">
        <f>IF([3]Entry!$K$481="","",[3]Entry!$K$481)</f>
        <v/>
      </c>
      <c r="AJ478" t="str">
        <f>IF([3]Entry!$L$481="","",[3]Entry!$L$481)</f>
        <v/>
      </c>
      <c r="AK478" t="str">
        <f>IF([3]Entry!$M$481="","",[3]Entry!$M$481)</f>
        <v/>
      </c>
      <c r="AL478" t="str">
        <f>IF([3]Entry!$N$481="","",[3]Entry!$N$481)</f>
        <v/>
      </c>
      <c r="AM478" t="str">
        <f>IF([3]Entry!$R$481="","",[3]Entry!$R$481)</f>
        <v/>
      </c>
    </row>
    <row r="479" spans="1:39" x14ac:dyDescent="0.2">
      <c r="A479" t="str">
        <f>IF([1]Accounts!$D$480="","",[1]Accounts!$A$480)</f>
        <v/>
      </c>
      <c r="B479" t="str">
        <f>IF([1]Accounts!$D$480="","",[1]Accounts!$B$480)</f>
        <v/>
      </c>
      <c r="C479" t="str">
        <f>IF([1]Accounts!$D$480="","",[1]Accounts!$C$480)</f>
        <v/>
      </c>
      <c r="D479" t="str">
        <f>IF([1]Accounts!$D$480="","",[1]Accounts!$D$480)</f>
        <v/>
      </c>
      <c r="E479" t="str">
        <f>IF([1]Accounts!$D$480="","",[1]Accounts!$E$480)</f>
        <v/>
      </c>
      <c r="F479" t="str">
        <f>IF([1]Accounts!$D$480="","",[1]Accounts!$F$480)</f>
        <v/>
      </c>
      <c r="G479" t="str">
        <f>IF([1]Accounts!$D$480="","",[1]Accounts!$G$480)</f>
        <v/>
      </c>
      <c r="T479" t="str">
        <f>IF([2]Baskol!$B$482="","",[2]Baskol!$B$482)</f>
        <v/>
      </c>
      <c r="U479" t="str">
        <f>IF([2]Baskol!$C$482="","",[2]Baskol!$C$482)</f>
        <v/>
      </c>
      <c r="V479" t="str">
        <f>IF([2]Baskol!$D$482="","",[2]Baskol!$D$482)</f>
        <v/>
      </c>
      <c r="W479" t="str">
        <f>IF([2]Baskol!$E$482="","",[2]Baskol!$E$482)</f>
        <v/>
      </c>
      <c r="X479" t="str">
        <f>IF([2]Baskol!$G$482="","",[2]Baskol!$G$482)</f>
        <v/>
      </c>
      <c r="Y479" t="str">
        <f>IF([2]Baskol!$I$482="","",[2]Baskol!$I$482)</f>
        <v/>
      </c>
      <c r="Z479" t="str">
        <f>IF([2]Baskol!$J$482="","",[2]Baskol!$J$482)</f>
        <v/>
      </c>
      <c r="AA479" t="str">
        <f>IF([2]Baskol!$K$482="","",[2]Baskol!$K$482)</f>
        <v/>
      </c>
      <c r="AB479" t="str">
        <f>IF([2]Baskol!$L$482="","",[2]Baskol!$L$482)</f>
        <v/>
      </c>
      <c r="AC479" t="str">
        <f>IF([2]Baskol!$N$482="","",[2]Baskol!$N$482)</f>
        <v/>
      </c>
      <c r="AD479" t="str">
        <f>IF([2]Baskol!$O$482="","",[2]Baskol!$O$482)</f>
        <v/>
      </c>
      <c r="AE479" t="str">
        <f>IF([3]Entry!$C$482="","",[3]Entry!$C$482)</f>
        <v/>
      </c>
      <c r="AF479" t="str">
        <f>IF([3]Entry!$D$482="","",[3]Entry!$D$482)</f>
        <v/>
      </c>
      <c r="AG479" t="str">
        <f>IF([3]Entry!$E$482="","",[3]Entry!$E$482)</f>
        <v/>
      </c>
      <c r="AH479" t="str">
        <f>IF([3]Entry!$G$482="","",[3]Entry!$G$482)</f>
        <v/>
      </c>
      <c r="AI479" t="str">
        <f>IF([3]Entry!$K$482="","",[3]Entry!$K$482)</f>
        <v/>
      </c>
      <c r="AJ479" t="str">
        <f>IF([3]Entry!$L$482="","",[3]Entry!$L$482)</f>
        <v/>
      </c>
      <c r="AK479" t="str">
        <f>IF([3]Entry!$M$482="","",[3]Entry!$M$482)</f>
        <v/>
      </c>
      <c r="AL479" t="str">
        <f>IF([3]Entry!$N$482="","",[3]Entry!$N$482)</f>
        <v/>
      </c>
      <c r="AM479" t="str">
        <f>IF([3]Entry!$R$482="","",[3]Entry!$R$482)</f>
        <v/>
      </c>
    </row>
    <row r="480" spans="1:39" x14ac:dyDescent="0.2">
      <c r="A480" t="str">
        <f>IF([1]Accounts!$D$481="","",[1]Accounts!$A$481)</f>
        <v/>
      </c>
      <c r="B480" t="str">
        <f>IF([1]Accounts!$D$481="","",[1]Accounts!$B$481)</f>
        <v/>
      </c>
      <c r="C480" t="str">
        <f>IF([1]Accounts!$D$481="","",[1]Accounts!$C$481)</f>
        <v/>
      </c>
      <c r="D480" t="str">
        <f>IF([1]Accounts!$D$481="","",[1]Accounts!$D$481)</f>
        <v/>
      </c>
      <c r="E480" t="str">
        <f>IF([1]Accounts!$D$481="","",[1]Accounts!$E$481)</f>
        <v/>
      </c>
      <c r="F480" t="str">
        <f>IF([1]Accounts!$D$481="","",[1]Accounts!$F$481)</f>
        <v/>
      </c>
      <c r="G480" t="str">
        <f>IF([1]Accounts!$D$481="","",[1]Accounts!$G$481)</f>
        <v/>
      </c>
      <c r="T480" t="str">
        <f>IF([2]Baskol!$B$483="","",[2]Baskol!$B$483)</f>
        <v/>
      </c>
      <c r="U480" t="str">
        <f>IF([2]Baskol!$C$483="","",[2]Baskol!$C$483)</f>
        <v/>
      </c>
      <c r="V480" t="str">
        <f>IF([2]Baskol!$D$483="","",[2]Baskol!$D$483)</f>
        <v/>
      </c>
      <c r="W480" t="str">
        <f>IF([2]Baskol!$E$483="","",[2]Baskol!$E$483)</f>
        <v/>
      </c>
      <c r="X480" t="str">
        <f>IF([2]Baskol!$G$483="","",[2]Baskol!$G$483)</f>
        <v/>
      </c>
      <c r="Y480" t="str">
        <f>IF([2]Baskol!$I$483="","",[2]Baskol!$I$483)</f>
        <v/>
      </c>
      <c r="Z480" t="str">
        <f>IF([2]Baskol!$J$483="","",[2]Baskol!$J$483)</f>
        <v/>
      </c>
      <c r="AA480" t="str">
        <f>IF([2]Baskol!$K$483="","",[2]Baskol!$K$483)</f>
        <v/>
      </c>
      <c r="AB480" t="str">
        <f>IF([2]Baskol!$L$483="","",[2]Baskol!$L$483)</f>
        <v/>
      </c>
      <c r="AC480" t="str">
        <f>IF([2]Baskol!$N$483="","",[2]Baskol!$N$483)</f>
        <v/>
      </c>
      <c r="AD480" t="str">
        <f>IF([2]Baskol!$O$483="","",[2]Baskol!$O$483)</f>
        <v/>
      </c>
      <c r="AE480" t="str">
        <f>IF([3]Entry!$C$483="","",[3]Entry!$C$483)</f>
        <v/>
      </c>
      <c r="AF480" t="str">
        <f>IF([3]Entry!$D$483="","",[3]Entry!$D$483)</f>
        <v/>
      </c>
      <c r="AG480" t="str">
        <f>IF([3]Entry!$E$483="","",[3]Entry!$E$483)</f>
        <v/>
      </c>
      <c r="AH480" t="str">
        <f>IF([3]Entry!$G$483="","",[3]Entry!$G$483)</f>
        <v/>
      </c>
      <c r="AI480" t="str">
        <f>IF([3]Entry!$K$483="","",[3]Entry!$K$483)</f>
        <v/>
      </c>
      <c r="AJ480" t="str">
        <f>IF([3]Entry!$L$483="","",[3]Entry!$L$483)</f>
        <v/>
      </c>
      <c r="AK480" t="str">
        <f>IF([3]Entry!$M$483="","",[3]Entry!$M$483)</f>
        <v/>
      </c>
      <c r="AL480" t="str">
        <f>IF([3]Entry!$N$483="","",[3]Entry!$N$483)</f>
        <v/>
      </c>
      <c r="AM480" t="str">
        <f>IF([3]Entry!$R$483="","",[3]Entry!$R$483)</f>
        <v/>
      </c>
    </row>
    <row r="481" spans="1:39" x14ac:dyDescent="0.2">
      <c r="A481" t="str">
        <f>IF([1]Accounts!$D$482="","",[1]Accounts!$A$482)</f>
        <v/>
      </c>
      <c r="B481" t="str">
        <f>IF([1]Accounts!$D$482="","",[1]Accounts!$B$482)</f>
        <v/>
      </c>
      <c r="C481" t="str">
        <f>IF([1]Accounts!$D$482="","",[1]Accounts!$C$482)</f>
        <v/>
      </c>
      <c r="D481" t="str">
        <f>IF([1]Accounts!$D$482="","",[1]Accounts!$D$482)</f>
        <v/>
      </c>
      <c r="E481" t="str">
        <f>IF([1]Accounts!$D$482="","",[1]Accounts!$E$482)</f>
        <v/>
      </c>
      <c r="F481" t="str">
        <f>IF([1]Accounts!$D$482="","",[1]Accounts!$F$482)</f>
        <v/>
      </c>
      <c r="G481" t="str">
        <f>IF([1]Accounts!$D$482="","",[1]Accounts!$G$482)</f>
        <v/>
      </c>
      <c r="T481" t="str">
        <f>IF([2]Baskol!$B$484="","",[2]Baskol!$B$484)</f>
        <v/>
      </c>
      <c r="U481" t="str">
        <f>IF([2]Baskol!$C$484="","",[2]Baskol!$C$484)</f>
        <v/>
      </c>
      <c r="V481" t="str">
        <f>IF([2]Baskol!$D$484="","",[2]Baskol!$D$484)</f>
        <v/>
      </c>
      <c r="W481" t="str">
        <f>IF([2]Baskol!$E$484="","",[2]Baskol!$E$484)</f>
        <v/>
      </c>
      <c r="X481" t="str">
        <f>IF([2]Baskol!$G$484="","",[2]Baskol!$G$484)</f>
        <v/>
      </c>
      <c r="Y481" t="str">
        <f>IF([2]Baskol!$I$484="","",[2]Baskol!$I$484)</f>
        <v/>
      </c>
      <c r="Z481" t="str">
        <f>IF([2]Baskol!$J$484="","",[2]Baskol!$J$484)</f>
        <v/>
      </c>
      <c r="AA481" t="str">
        <f>IF([2]Baskol!$K$484="","",[2]Baskol!$K$484)</f>
        <v/>
      </c>
      <c r="AB481" t="str">
        <f>IF([2]Baskol!$L$484="","",[2]Baskol!$L$484)</f>
        <v/>
      </c>
      <c r="AC481" t="str">
        <f>IF([2]Baskol!$N$484="","",[2]Baskol!$N$484)</f>
        <v/>
      </c>
      <c r="AD481" t="str">
        <f>IF([2]Baskol!$O$484="","",[2]Baskol!$O$484)</f>
        <v/>
      </c>
      <c r="AE481" t="str">
        <f>IF([3]Entry!$C$484="","",[3]Entry!$C$484)</f>
        <v/>
      </c>
      <c r="AF481" t="str">
        <f>IF([3]Entry!$D$484="","",[3]Entry!$D$484)</f>
        <v/>
      </c>
      <c r="AG481" t="str">
        <f>IF([3]Entry!$E$484="","",[3]Entry!$E$484)</f>
        <v/>
      </c>
      <c r="AH481" t="str">
        <f>IF([3]Entry!$G$484="","",[3]Entry!$G$484)</f>
        <v/>
      </c>
      <c r="AI481" t="str">
        <f>IF([3]Entry!$K$484="","",[3]Entry!$K$484)</f>
        <v/>
      </c>
      <c r="AJ481" t="str">
        <f>IF([3]Entry!$L$484="","",[3]Entry!$L$484)</f>
        <v/>
      </c>
      <c r="AK481" t="str">
        <f>IF([3]Entry!$M$484="","",[3]Entry!$M$484)</f>
        <v/>
      </c>
      <c r="AL481" t="str">
        <f>IF([3]Entry!$N$484="","",[3]Entry!$N$484)</f>
        <v/>
      </c>
      <c r="AM481" t="str">
        <f>IF([3]Entry!$R$484="","",[3]Entry!$R$484)</f>
        <v/>
      </c>
    </row>
    <row r="482" spans="1:39" x14ac:dyDescent="0.2">
      <c r="A482" t="str">
        <f>IF([1]Accounts!$D$483="","",[1]Accounts!$A$483)</f>
        <v/>
      </c>
      <c r="B482" t="str">
        <f>IF([1]Accounts!$D$483="","",[1]Accounts!$B$483)</f>
        <v/>
      </c>
      <c r="C482" t="str">
        <f>IF([1]Accounts!$D$483="","",[1]Accounts!$C$483)</f>
        <v/>
      </c>
      <c r="D482" t="str">
        <f>IF([1]Accounts!$D$483="","",[1]Accounts!$D$483)</f>
        <v/>
      </c>
      <c r="E482" t="str">
        <f>IF([1]Accounts!$D$483="","",[1]Accounts!$E$483)</f>
        <v/>
      </c>
      <c r="F482" t="str">
        <f>IF([1]Accounts!$D$483="","",[1]Accounts!$F$483)</f>
        <v/>
      </c>
      <c r="G482" t="str">
        <f>IF([1]Accounts!$D$483="","",[1]Accounts!$G$483)</f>
        <v/>
      </c>
      <c r="T482" t="str">
        <f>IF([2]Baskol!$B$485="","",[2]Baskol!$B$485)</f>
        <v/>
      </c>
      <c r="U482" t="str">
        <f>IF([2]Baskol!$C$485="","",[2]Baskol!$C$485)</f>
        <v/>
      </c>
      <c r="V482" t="str">
        <f>IF([2]Baskol!$D$485="","",[2]Baskol!$D$485)</f>
        <v/>
      </c>
      <c r="W482" t="str">
        <f>IF([2]Baskol!$E$485="","",[2]Baskol!$E$485)</f>
        <v/>
      </c>
      <c r="X482" t="str">
        <f>IF([2]Baskol!$G$485="","",[2]Baskol!$G$485)</f>
        <v/>
      </c>
      <c r="Y482" t="str">
        <f>IF([2]Baskol!$I$485="","",[2]Baskol!$I$485)</f>
        <v/>
      </c>
      <c r="Z482" t="str">
        <f>IF([2]Baskol!$J$485="","",[2]Baskol!$J$485)</f>
        <v/>
      </c>
      <c r="AA482" t="str">
        <f>IF([2]Baskol!$K$485="","",[2]Baskol!$K$485)</f>
        <v/>
      </c>
      <c r="AB482" t="str">
        <f>IF([2]Baskol!$L$485="","",[2]Baskol!$L$485)</f>
        <v/>
      </c>
      <c r="AC482" t="str">
        <f>IF([2]Baskol!$N$485="","",[2]Baskol!$N$485)</f>
        <v/>
      </c>
      <c r="AD482" t="str">
        <f>IF([2]Baskol!$O$485="","",[2]Baskol!$O$485)</f>
        <v/>
      </c>
      <c r="AE482" t="str">
        <f>IF([3]Entry!$C$485="","",[3]Entry!$C$485)</f>
        <v/>
      </c>
      <c r="AF482" t="str">
        <f>IF([3]Entry!$D$485="","",[3]Entry!$D$485)</f>
        <v/>
      </c>
      <c r="AG482" t="str">
        <f>IF([3]Entry!$E$485="","",[3]Entry!$E$485)</f>
        <v/>
      </c>
      <c r="AH482" t="str">
        <f>IF([3]Entry!$G$485="","",[3]Entry!$G$485)</f>
        <v/>
      </c>
      <c r="AI482" t="str">
        <f>IF([3]Entry!$K$485="","",[3]Entry!$K$485)</f>
        <v/>
      </c>
      <c r="AJ482" t="str">
        <f>IF([3]Entry!$L$485="","",[3]Entry!$L$485)</f>
        <v/>
      </c>
      <c r="AK482" t="str">
        <f>IF([3]Entry!$M$485="","",[3]Entry!$M$485)</f>
        <v/>
      </c>
      <c r="AL482" t="str">
        <f>IF([3]Entry!$N$485="","",[3]Entry!$N$485)</f>
        <v/>
      </c>
      <c r="AM482" t="str">
        <f>IF([3]Entry!$R$485="","",[3]Entry!$R$485)</f>
        <v/>
      </c>
    </row>
    <row r="483" spans="1:39" x14ac:dyDescent="0.2">
      <c r="A483" t="str">
        <f>IF([1]Accounts!$D$484="","",[1]Accounts!$A$484)</f>
        <v/>
      </c>
      <c r="B483" t="str">
        <f>IF([1]Accounts!$D$484="","",[1]Accounts!$B$484)</f>
        <v/>
      </c>
      <c r="C483" t="str">
        <f>IF([1]Accounts!$D$484="","",[1]Accounts!$C$484)</f>
        <v/>
      </c>
      <c r="D483" t="str">
        <f>IF([1]Accounts!$D$484="","",[1]Accounts!$D$484)</f>
        <v/>
      </c>
      <c r="E483" t="str">
        <f>IF([1]Accounts!$D$484="","",[1]Accounts!$E$484)</f>
        <v/>
      </c>
      <c r="F483" t="str">
        <f>IF([1]Accounts!$D$484="","",[1]Accounts!$F$484)</f>
        <v/>
      </c>
      <c r="G483" t="str">
        <f>IF([1]Accounts!$D$484="","",[1]Accounts!$G$484)</f>
        <v/>
      </c>
      <c r="T483" t="str">
        <f>IF([2]Baskol!$B$486="","",[2]Baskol!$B$486)</f>
        <v/>
      </c>
      <c r="U483" t="str">
        <f>IF([2]Baskol!$C$486="","",[2]Baskol!$C$486)</f>
        <v/>
      </c>
      <c r="V483" t="str">
        <f>IF([2]Baskol!$D$486="","",[2]Baskol!$D$486)</f>
        <v/>
      </c>
      <c r="W483" t="str">
        <f>IF([2]Baskol!$E$486="","",[2]Baskol!$E$486)</f>
        <v/>
      </c>
      <c r="X483" t="str">
        <f>IF([2]Baskol!$G$486="","",[2]Baskol!$G$486)</f>
        <v/>
      </c>
      <c r="Y483" t="str">
        <f>IF([2]Baskol!$I$486="","",[2]Baskol!$I$486)</f>
        <v/>
      </c>
      <c r="Z483" t="str">
        <f>IF([2]Baskol!$J$486="","",[2]Baskol!$J$486)</f>
        <v/>
      </c>
      <c r="AA483" t="str">
        <f>IF([2]Baskol!$K$486="","",[2]Baskol!$K$486)</f>
        <v/>
      </c>
      <c r="AB483" t="str">
        <f>IF([2]Baskol!$L$486="","",[2]Baskol!$L$486)</f>
        <v/>
      </c>
      <c r="AC483" t="str">
        <f>IF([2]Baskol!$N$486="","",[2]Baskol!$N$486)</f>
        <v/>
      </c>
      <c r="AD483" t="str">
        <f>IF([2]Baskol!$O$486="","",[2]Baskol!$O$486)</f>
        <v/>
      </c>
      <c r="AE483" t="str">
        <f>IF([3]Entry!$C$486="","",[3]Entry!$C$486)</f>
        <v/>
      </c>
      <c r="AF483" t="str">
        <f>IF([3]Entry!$D$486="","",[3]Entry!$D$486)</f>
        <v/>
      </c>
      <c r="AG483" t="str">
        <f>IF([3]Entry!$E$486="","",[3]Entry!$E$486)</f>
        <v/>
      </c>
      <c r="AH483" t="str">
        <f>IF([3]Entry!$G$486="","",[3]Entry!$G$486)</f>
        <v/>
      </c>
      <c r="AI483" t="str">
        <f>IF([3]Entry!$K$486="","",[3]Entry!$K$486)</f>
        <v/>
      </c>
      <c r="AJ483" t="str">
        <f>IF([3]Entry!$L$486="","",[3]Entry!$L$486)</f>
        <v/>
      </c>
      <c r="AK483" t="str">
        <f>IF([3]Entry!$M$486="","",[3]Entry!$M$486)</f>
        <v/>
      </c>
      <c r="AL483" t="str">
        <f>IF([3]Entry!$N$486="","",[3]Entry!$N$486)</f>
        <v/>
      </c>
      <c r="AM483" t="str">
        <f>IF([3]Entry!$R$486="","",[3]Entry!$R$486)</f>
        <v/>
      </c>
    </row>
    <row r="484" spans="1:39" x14ac:dyDescent="0.2">
      <c r="A484" t="str">
        <f>IF([1]Accounts!$D$485="","",[1]Accounts!$A$485)</f>
        <v/>
      </c>
      <c r="B484" t="str">
        <f>IF([1]Accounts!$D$485="","",[1]Accounts!$B$485)</f>
        <v/>
      </c>
      <c r="C484" t="str">
        <f>IF([1]Accounts!$D$485="","",[1]Accounts!$C$485)</f>
        <v/>
      </c>
      <c r="D484" t="str">
        <f>IF([1]Accounts!$D$485="","",[1]Accounts!$D$485)</f>
        <v/>
      </c>
      <c r="E484" t="str">
        <f>IF([1]Accounts!$D$485="","",[1]Accounts!$E$485)</f>
        <v/>
      </c>
      <c r="F484" t="str">
        <f>IF([1]Accounts!$D$485="","",[1]Accounts!$F$485)</f>
        <v/>
      </c>
      <c r="G484" t="str">
        <f>IF([1]Accounts!$D$485="","",[1]Accounts!$G$485)</f>
        <v/>
      </c>
      <c r="T484" t="str">
        <f>IF([2]Baskol!$B$487="","",[2]Baskol!$B$487)</f>
        <v/>
      </c>
      <c r="U484" t="str">
        <f>IF([2]Baskol!$C$487="","",[2]Baskol!$C$487)</f>
        <v/>
      </c>
      <c r="V484" t="str">
        <f>IF([2]Baskol!$D$487="","",[2]Baskol!$D$487)</f>
        <v/>
      </c>
      <c r="W484" t="str">
        <f>IF([2]Baskol!$E$487="","",[2]Baskol!$E$487)</f>
        <v/>
      </c>
      <c r="X484" t="str">
        <f>IF([2]Baskol!$G$487="","",[2]Baskol!$G$487)</f>
        <v/>
      </c>
      <c r="Y484" t="str">
        <f>IF([2]Baskol!$I$487="","",[2]Baskol!$I$487)</f>
        <v/>
      </c>
      <c r="Z484" t="str">
        <f>IF([2]Baskol!$J$487="","",[2]Baskol!$J$487)</f>
        <v/>
      </c>
      <c r="AA484" t="str">
        <f>IF([2]Baskol!$K$487="","",[2]Baskol!$K$487)</f>
        <v/>
      </c>
      <c r="AB484" t="str">
        <f>IF([2]Baskol!$L$487="","",[2]Baskol!$L$487)</f>
        <v/>
      </c>
      <c r="AC484" t="str">
        <f>IF([2]Baskol!$N$487="","",[2]Baskol!$N$487)</f>
        <v/>
      </c>
      <c r="AD484" t="str">
        <f>IF([2]Baskol!$O$487="","",[2]Baskol!$O$487)</f>
        <v/>
      </c>
      <c r="AE484" t="str">
        <f>IF([3]Entry!$C$487="","",[3]Entry!$C$487)</f>
        <v/>
      </c>
      <c r="AF484" t="str">
        <f>IF([3]Entry!$D$487="","",[3]Entry!$D$487)</f>
        <v/>
      </c>
      <c r="AG484" t="str">
        <f>IF([3]Entry!$E$487="","",[3]Entry!$E$487)</f>
        <v/>
      </c>
      <c r="AH484" t="str">
        <f>IF([3]Entry!$G$487="","",[3]Entry!$G$487)</f>
        <v/>
      </c>
      <c r="AI484" t="str">
        <f>IF([3]Entry!$K$487="","",[3]Entry!$K$487)</f>
        <v/>
      </c>
      <c r="AJ484" t="str">
        <f>IF([3]Entry!$L$487="","",[3]Entry!$L$487)</f>
        <v/>
      </c>
      <c r="AK484" t="str">
        <f>IF([3]Entry!$M$487="","",[3]Entry!$M$487)</f>
        <v/>
      </c>
      <c r="AL484" t="str">
        <f>IF([3]Entry!$N$487="","",[3]Entry!$N$487)</f>
        <v/>
      </c>
      <c r="AM484" t="str">
        <f>IF([3]Entry!$R$487="","",[3]Entry!$R$487)</f>
        <v/>
      </c>
    </row>
    <row r="485" spans="1:39" x14ac:dyDescent="0.2">
      <c r="A485" t="str">
        <f>IF([1]Accounts!$D$486="","",[1]Accounts!$A$486)</f>
        <v/>
      </c>
      <c r="B485" t="str">
        <f>IF([1]Accounts!$D$486="","",[1]Accounts!$B$486)</f>
        <v/>
      </c>
      <c r="C485" t="str">
        <f>IF([1]Accounts!$D$486="","",[1]Accounts!$C$486)</f>
        <v/>
      </c>
      <c r="D485" t="str">
        <f>IF([1]Accounts!$D$486="","",[1]Accounts!$D$486)</f>
        <v/>
      </c>
      <c r="E485" t="str">
        <f>IF([1]Accounts!$D$486="","",[1]Accounts!$E$486)</f>
        <v/>
      </c>
      <c r="F485" t="str">
        <f>IF([1]Accounts!$D$486="","",[1]Accounts!$F$486)</f>
        <v/>
      </c>
      <c r="G485" t="str">
        <f>IF([1]Accounts!$D$486="","",[1]Accounts!$G$486)</f>
        <v/>
      </c>
      <c r="T485" t="str">
        <f>IF([2]Baskol!$B$488="","",[2]Baskol!$B$488)</f>
        <v/>
      </c>
      <c r="U485" t="str">
        <f>IF([2]Baskol!$C$488="","",[2]Baskol!$C$488)</f>
        <v/>
      </c>
      <c r="V485" t="str">
        <f>IF([2]Baskol!$D$488="","",[2]Baskol!$D$488)</f>
        <v/>
      </c>
      <c r="W485" t="str">
        <f>IF([2]Baskol!$E$488="","",[2]Baskol!$E$488)</f>
        <v/>
      </c>
      <c r="X485" t="str">
        <f>IF([2]Baskol!$G$488="","",[2]Baskol!$G$488)</f>
        <v/>
      </c>
      <c r="Y485" t="str">
        <f>IF([2]Baskol!$I$488="","",[2]Baskol!$I$488)</f>
        <v/>
      </c>
      <c r="Z485" t="str">
        <f>IF([2]Baskol!$J$488="","",[2]Baskol!$J$488)</f>
        <v/>
      </c>
      <c r="AA485" t="str">
        <f>IF([2]Baskol!$K$488="","",[2]Baskol!$K$488)</f>
        <v/>
      </c>
      <c r="AB485" t="str">
        <f>IF([2]Baskol!$L$488="","",[2]Baskol!$L$488)</f>
        <v/>
      </c>
      <c r="AC485" t="str">
        <f>IF([2]Baskol!$N$488="","",[2]Baskol!$N$488)</f>
        <v/>
      </c>
      <c r="AD485" t="str">
        <f>IF([2]Baskol!$O$488="","",[2]Baskol!$O$488)</f>
        <v/>
      </c>
      <c r="AE485" t="str">
        <f>IF([3]Entry!$C$488="","",[3]Entry!$C$488)</f>
        <v/>
      </c>
      <c r="AF485" t="str">
        <f>IF([3]Entry!$D$488="","",[3]Entry!$D$488)</f>
        <v/>
      </c>
      <c r="AG485" t="str">
        <f>IF([3]Entry!$E$488="","",[3]Entry!$E$488)</f>
        <v/>
      </c>
      <c r="AH485" t="str">
        <f>IF([3]Entry!$G$488="","",[3]Entry!$G$488)</f>
        <v/>
      </c>
      <c r="AI485" t="str">
        <f>IF([3]Entry!$K$488="","",[3]Entry!$K$488)</f>
        <v/>
      </c>
      <c r="AJ485" t="str">
        <f>IF([3]Entry!$L$488="","",[3]Entry!$L$488)</f>
        <v/>
      </c>
      <c r="AK485" t="str">
        <f>IF([3]Entry!$M$488="","",[3]Entry!$M$488)</f>
        <v/>
      </c>
      <c r="AL485" t="str">
        <f>IF([3]Entry!$N$488="","",[3]Entry!$N$488)</f>
        <v/>
      </c>
      <c r="AM485" t="str">
        <f>IF([3]Entry!$R$488="","",[3]Entry!$R$488)</f>
        <v/>
      </c>
    </row>
    <row r="486" spans="1:39" x14ac:dyDescent="0.2">
      <c r="A486" t="str">
        <f>IF([1]Accounts!$D$487="","",[1]Accounts!$A$487)</f>
        <v/>
      </c>
      <c r="B486" t="str">
        <f>IF([1]Accounts!$D$487="","",[1]Accounts!$B$487)</f>
        <v/>
      </c>
      <c r="C486" t="str">
        <f>IF([1]Accounts!$D$487="","",[1]Accounts!$C$487)</f>
        <v/>
      </c>
      <c r="D486" t="str">
        <f>IF([1]Accounts!$D$487="","",[1]Accounts!$D$487)</f>
        <v/>
      </c>
      <c r="E486" t="str">
        <f>IF([1]Accounts!$D$487="","",[1]Accounts!$E$487)</f>
        <v/>
      </c>
      <c r="F486" t="str">
        <f>IF([1]Accounts!$D$487="","",[1]Accounts!$F$487)</f>
        <v/>
      </c>
      <c r="G486" t="str">
        <f>IF([1]Accounts!$D$487="","",[1]Accounts!$G$487)</f>
        <v/>
      </c>
      <c r="T486" t="str">
        <f>IF([2]Baskol!$B$489="","",[2]Baskol!$B$489)</f>
        <v/>
      </c>
      <c r="U486" t="str">
        <f>IF([2]Baskol!$C$489="","",[2]Baskol!$C$489)</f>
        <v/>
      </c>
      <c r="V486" t="str">
        <f>IF([2]Baskol!$D$489="","",[2]Baskol!$D$489)</f>
        <v/>
      </c>
      <c r="W486" t="str">
        <f>IF([2]Baskol!$E$489="","",[2]Baskol!$E$489)</f>
        <v/>
      </c>
      <c r="X486" t="str">
        <f>IF([2]Baskol!$G$489="","",[2]Baskol!$G$489)</f>
        <v/>
      </c>
      <c r="Y486" t="str">
        <f>IF([2]Baskol!$I$489="","",[2]Baskol!$I$489)</f>
        <v/>
      </c>
      <c r="Z486" t="str">
        <f>IF([2]Baskol!$J$489="","",[2]Baskol!$J$489)</f>
        <v/>
      </c>
      <c r="AA486" t="str">
        <f>IF([2]Baskol!$K$489="","",[2]Baskol!$K$489)</f>
        <v/>
      </c>
      <c r="AB486" t="str">
        <f>IF([2]Baskol!$L$489="","",[2]Baskol!$L$489)</f>
        <v/>
      </c>
      <c r="AC486" t="str">
        <f>IF([2]Baskol!$N$489="","",[2]Baskol!$N$489)</f>
        <v/>
      </c>
      <c r="AD486" t="str">
        <f>IF([2]Baskol!$O$489="","",[2]Baskol!$O$489)</f>
        <v/>
      </c>
      <c r="AE486" t="str">
        <f>IF([3]Entry!$C$489="","",[3]Entry!$C$489)</f>
        <v/>
      </c>
      <c r="AF486" t="str">
        <f>IF([3]Entry!$D$489="","",[3]Entry!$D$489)</f>
        <v/>
      </c>
      <c r="AG486" t="str">
        <f>IF([3]Entry!$E$489="","",[3]Entry!$E$489)</f>
        <v/>
      </c>
      <c r="AH486" t="str">
        <f>IF([3]Entry!$G$489="","",[3]Entry!$G$489)</f>
        <v/>
      </c>
      <c r="AI486" t="str">
        <f>IF([3]Entry!$K$489="","",[3]Entry!$K$489)</f>
        <v/>
      </c>
      <c r="AJ486" t="str">
        <f>IF([3]Entry!$L$489="","",[3]Entry!$L$489)</f>
        <v/>
      </c>
      <c r="AK486" t="str">
        <f>IF([3]Entry!$M$489="","",[3]Entry!$M$489)</f>
        <v/>
      </c>
      <c r="AL486" t="str">
        <f>IF([3]Entry!$N$489="","",[3]Entry!$N$489)</f>
        <v/>
      </c>
      <c r="AM486" t="str">
        <f>IF([3]Entry!$R$489="","",[3]Entry!$R$489)</f>
        <v/>
      </c>
    </row>
    <row r="487" spans="1:39" x14ac:dyDescent="0.2">
      <c r="A487" t="str">
        <f>IF([1]Accounts!$D$488="","",[1]Accounts!$A$488)</f>
        <v/>
      </c>
      <c r="B487" t="str">
        <f>IF([1]Accounts!$D$488="","",[1]Accounts!$B$488)</f>
        <v/>
      </c>
      <c r="C487" t="str">
        <f>IF([1]Accounts!$D$488="","",[1]Accounts!$C$488)</f>
        <v/>
      </c>
      <c r="D487" t="str">
        <f>IF([1]Accounts!$D$488="","",[1]Accounts!$D$488)</f>
        <v/>
      </c>
      <c r="E487" t="str">
        <f>IF([1]Accounts!$D$488="","",[1]Accounts!$E$488)</f>
        <v/>
      </c>
      <c r="F487" t="str">
        <f>IF([1]Accounts!$D$488="","",[1]Accounts!$F$488)</f>
        <v/>
      </c>
      <c r="G487" t="str">
        <f>IF([1]Accounts!$D$488="","",[1]Accounts!$G$488)</f>
        <v/>
      </c>
      <c r="T487" t="str">
        <f>IF([2]Baskol!$B$490="","",[2]Baskol!$B$490)</f>
        <v/>
      </c>
      <c r="U487" t="str">
        <f>IF([2]Baskol!$C$490="","",[2]Baskol!$C$490)</f>
        <v/>
      </c>
      <c r="V487" t="str">
        <f>IF([2]Baskol!$D$490="","",[2]Baskol!$D$490)</f>
        <v/>
      </c>
      <c r="W487" t="str">
        <f>IF([2]Baskol!$E$490="","",[2]Baskol!$E$490)</f>
        <v/>
      </c>
      <c r="X487" t="str">
        <f>IF([2]Baskol!$G$490="","",[2]Baskol!$G$490)</f>
        <v/>
      </c>
      <c r="Y487" t="str">
        <f>IF([2]Baskol!$I$490="","",[2]Baskol!$I$490)</f>
        <v/>
      </c>
      <c r="Z487" t="str">
        <f>IF([2]Baskol!$J$490="","",[2]Baskol!$J$490)</f>
        <v/>
      </c>
      <c r="AA487" t="str">
        <f>IF([2]Baskol!$K$490="","",[2]Baskol!$K$490)</f>
        <v/>
      </c>
      <c r="AB487" t="str">
        <f>IF([2]Baskol!$L$490="","",[2]Baskol!$L$490)</f>
        <v/>
      </c>
      <c r="AC487" t="str">
        <f>IF([2]Baskol!$N$490="","",[2]Baskol!$N$490)</f>
        <v/>
      </c>
      <c r="AD487" t="str">
        <f>IF([2]Baskol!$O$490="","",[2]Baskol!$O$490)</f>
        <v/>
      </c>
      <c r="AE487" t="str">
        <f>IF([3]Entry!$C$490="","",[3]Entry!$C$490)</f>
        <v/>
      </c>
      <c r="AF487" t="str">
        <f>IF([3]Entry!$D$490="","",[3]Entry!$D$490)</f>
        <v/>
      </c>
      <c r="AG487" t="str">
        <f>IF([3]Entry!$E$490="","",[3]Entry!$E$490)</f>
        <v/>
      </c>
      <c r="AH487" t="str">
        <f>IF([3]Entry!$G$490="","",[3]Entry!$G$490)</f>
        <v/>
      </c>
      <c r="AI487" t="str">
        <f>IF([3]Entry!$K$490="","",[3]Entry!$K$490)</f>
        <v/>
      </c>
      <c r="AJ487" t="str">
        <f>IF([3]Entry!$L$490="","",[3]Entry!$L$490)</f>
        <v/>
      </c>
      <c r="AK487" t="str">
        <f>IF([3]Entry!$M$490="","",[3]Entry!$M$490)</f>
        <v/>
      </c>
      <c r="AL487" t="str">
        <f>IF([3]Entry!$N$490="","",[3]Entry!$N$490)</f>
        <v/>
      </c>
      <c r="AM487" t="str">
        <f>IF([3]Entry!$R$490="","",[3]Entry!$R$490)</f>
        <v/>
      </c>
    </row>
    <row r="488" spans="1:39" x14ac:dyDescent="0.2">
      <c r="A488" t="str">
        <f>IF([1]Accounts!$D$489="","",[1]Accounts!$A$489)</f>
        <v/>
      </c>
      <c r="B488" t="str">
        <f>IF([1]Accounts!$D$489="","",[1]Accounts!$B$489)</f>
        <v/>
      </c>
      <c r="C488" t="str">
        <f>IF([1]Accounts!$D$489="","",[1]Accounts!$C$489)</f>
        <v/>
      </c>
      <c r="D488" t="str">
        <f>IF([1]Accounts!$D$489="","",[1]Accounts!$D$489)</f>
        <v/>
      </c>
      <c r="E488" t="str">
        <f>IF([1]Accounts!$D$489="","",[1]Accounts!$E$489)</f>
        <v/>
      </c>
      <c r="F488" t="str">
        <f>IF([1]Accounts!$D$489="","",[1]Accounts!$F$489)</f>
        <v/>
      </c>
      <c r="G488" t="str">
        <f>IF([1]Accounts!$D$489="","",[1]Accounts!$G$489)</f>
        <v/>
      </c>
      <c r="T488" t="str">
        <f>IF([2]Baskol!$B$491="","",[2]Baskol!$B$491)</f>
        <v/>
      </c>
      <c r="U488" t="str">
        <f>IF([2]Baskol!$C$491="","",[2]Baskol!$C$491)</f>
        <v/>
      </c>
      <c r="V488" t="str">
        <f>IF([2]Baskol!$D$491="","",[2]Baskol!$D$491)</f>
        <v/>
      </c>
      <c r="W488" t="str">
        <f>IF([2]Baskol!$E$491="","",[2]Baskol!$E$491)</f>
        <v/>
      </c>
      <c r="X488" t="str">
        <f>IF([2]Baskol!$G$491="","",[2]Baskol!$G$491)</f>
        <v/>
      </c>
      <c r="Y488" t="str">
        <f>IF([2]Baskol!$I$491="","",[2]Baskol!$I$491)</f>
        <v/>
      </c>
      <c r="Z488" t="str">
        <f>IF([2]Baskol!$J$491="","",[2]Baskol!$J$491)</f>
        <v/>
      </c>
      <c r="AA488" t="str">
        <f>IF([2]Baskol!$K$491="","",[2]Baskol!$K$491)</f>
        <v/>
      </c>
      <c r="AB488" t="str">
        <f>IF([2]Baskol!$L$491="","",[2]Baskol!$L$491)</f>
        <v/>
      </c>
      <c r="AC488" t="str">
        <f>IF([2]Baskol!$N$491="","",[2]Baskol!$N$491)</f>
        <v/>
      </c>
      <c r="AD488" t="str">
        <f>IF([2]Baskol!$O$491="","",[2]Baskol!$O$491)</f>
        <v/>
      </c>
      <c r="AE488" t="str">
        <f>IF([3]Entry!$C$491="","",[3]Entry!$C$491)</f>
        <v/>
      </c>
      <c r="AF488" t="str">
        <f>IF([3]Entry!$D$491="","",[3]Entry!$D$491)</f>
        <v/>
      </c>
      <c r="AG488" t="str">
        <f>IF([3]Entry!$E$491="","",[3]Entry!$E$491)</f>
        <v/>
      </c>
      <c r="AH488" t="str">
        <f>IF([3]Entry!$G$491="","",[3]Entry!$G$491)</f>
        <v/>
      </c>
      <c r="AI488" t="str">
        <f>IF([3]Entry!$K$491="","",[3]Entry!$K$491)</f>
        <v/>
      </c>
      <c r="AJ488" t="str">
        <f>IF([3]Entry!$L$491="","",[3]Entry!$L$491)</f>
        <v/>
      </c>
      <c r="AK488" t="str">
        <f>IF([3]Entry!$M$491="","",[3]Entry!$M$491)</f>
        <v/>
      </c>
      <c r="AL488" t="str">
        <f>IF([3]Entry!$N$491="","",[3]Entry!$N$491)</f>
        <v/>
      </c>
      <c r="AM488" t="str">
        <f>IF([3]Entry!$R$491="","",[3]Entry!$R$491)</f>
        <v/>
      </c>
    </row>
    <row r="489" spans="1:39" x14ac:dyDescent="0.2">
      <c r="A489" t="str">
        <f>IF([1]Accounts!$D$490="","",[1]Accounts!$A$490)</f>
        <v/>
      </c>
      <c r="B489" t="str">
        <f>IF([1]Accounts!$D$490="","",[1]Accounts!$B$490)</f>
        <v/>
      </c>
      <c r="C489" t="str">
        <f>IF([1]Accounts!$D$490="","",[1]Accounts!$C$490)</f>
        <v/>
      </c>
      <c r="D489" t="str">
        <f>IF([1]Accounts!$D$490="","",[1]Accounts!$D$490)</f>
        <v/>
      </c>
      <c r="E489" t="str">
        <f>IF([1]Accounts!$D$490="","",[1]Accounts!$E$490)</f>
        <v/>
      </c>
      <c r="F489" t="str">
        <f>IF([1]Accounts!$D$490="","",[1]Accounts!$F$490)</f>
        <v/>
      </c>
      <c r="G489" t="str">
        <f>IF([1]Accounts!$D$490="","",[1]Accounts!$G$490)</f>
        <v/>
      </c>
      <c r="T489" t="str">
        <f>IF([2]Baskol!$B$492="","",[2]Baskol!$B$492)</f>
        <v/>
      </c>
      <c r="U489" t="str">
        <f>IF([2]Baskol!$C$492="","",[2]Baskol!$C$492)</f>
        <v/>
      </c>
      <c r="V489" t="str">
        <f>IF([2]Baskol!$D$492="","",[2]Baskol!$D$492)</f>
        <v/>
      </c>
      <c r="W489" t="str">
        <f>IF([2]Baskol!$E$492="","",[2]Baskol!$E$492)</f>
        <v/>
      </c>
      <c r="X489" t="str">
        <f>IF([2]Baskol!$G$492="","",[2]Baskol!$G$492)</f>
        <v/>
      </c>
      <c r="Y489" t="str">
        <f>IF([2]Baskol!$I$492="","",[2]Baskol!$I$492)</f>
        <v/>
      </c>
      <c r="Z489" t="str">
        <f>IF([2]Baskol!$J$492="","",[2]Baskol!$J$492)</f>
        <v/>
      </c>
      <c r="AA489" t="str">
        <f>IF([2]Baskol!$K$492="","",[2]Baskol!$K$492)</f>
        <v/>
      </c>
      <c r="AB489" t="str">
        <f>IF([2]Baskol!$L$492="","",[2]Baskol!$L$492)</f>
        <v/>
      </c>
      <c r="AC489" t="str">
        <f>IF([2]Baskol!$N$492="","",[2]Baskol!$N$492)</f>
        <v/>
      </c>
      <c r="AD489" t="str">
        <f>IF([2]Baskol!$O$492="","",[2]Baskol!$O$492)</f>
        <v/>
      </c>
      <c r="AE489" t="str">
        <f>IF([3]Entry!$C$492="","",[3]Entry!$C$492)</f>
        <v/>
      </c>
      <c r="AF489" t="str">
        <f>IF([3]Entry!$D$492="","",[3]Entry!$D$492)</f>
        <v/>
      </c>
      <c r="AG489" t="str">
        <f>IF([3]Entry!$E$492="","",[3]Entry!$E$492)</f>
        <v/>
      </c>
      <c r="AH489" t="str">
        <f>IF([3]Entry!$G$492="","",[3]Entry!$G$492)</f>
        <v/>
      </c>
      <c r="AI489" t="str">
        <f>IF([3]Entry!$K$492="","",[3]Entry!$K$492)</f>
        <v/>
      </c>
      <c r="AJ489" t="str">
        <f>IF([3]Entry!$L$492="","",[3]Entry!$L$492)</f>
        <v/>
      </c>
      <c r="AK489" t="str">
        <f>IF([3]Entry!$M$492="","",[3]Entry!$M$492)</f>
        <v/>
      </c>
      <c r="AL489" t="str">
        <f>IF([3]Entry!$N$492="","",[3]Entry!$N$492)</f>
        <v/>
      </c>
      <c r="AM489" t="str">
        <f>IF([3]Entry!$R$492="","",[3]Entry!$R$492)</f>
        <v/>
      </c>
    </row>
    <row r="490" spans="1:39" x14ac:dyDescent="0.2">
      <c r="A490" t="str">
        <f>IF([1]Accounts!$D$491="","",[1]Accounts!$A$491)</f>
        <v/>
      </c>
      <c r="B490" t="str">
        <f>IF([1]Accounts!$D$491="","",[1]Accounts!$B$491)</f>
        <v/>
      </c>
      <c r="C490" t="str">
        <f>IF([1]Accounts!$D$491="","",[1]Accounts!$C$491)</f>
        <v/>
      </c>
      <c r="D490" t="str">
        <f>IF([1]Accounts!$D$491="","",[1]Accounts!$D$491)</f>
        <v/>
      </c>
      <c r="E490" t="str">
        <f>IF([1]Accounts!$D$491="","",[1]Accounts!$E$491)</f>
        <v/>
      </c>
      <c r="F490" t="str">
        <f>IF([1]Accounts!$D$491="","",[1]Accounts!$F$491)</f>
        <v/>
      </c>
      <c r="G490" t="str">
        <f>IF([1]Accounts!$D$491="","",[1]Accounts!$G$491)</f>
        <v/>
      </c>
      <c r="T490" t="str">
        <f>IF([2]Baskol!$B$493="","",[2]Baskol!$B$493)</f>
        <v/>
      </c>
      <c r="U490" t="str">
        <f>IF([2]Baskol!$C$493="","",[2]Baskol!$C$493)</f>
        <v/>
      </c>
      <c r="V490" t="str">
        <f>IF([2]Baskol!$D$493="","",[2]Baskol!$D$493)</f>
        <v/>
      </c>
      <c r="W490" t="str">
        <f>IF([2]Baskol!$E$493="","",[2]Baskol!$E$493)</f>
        <v/>
      </c>
      <c r="X490" t="str">
        <f>IF([2]Baskol!$G$493="","",[2]Baskol!$G$493)</f>
        <v/>
      </c>
      <c r="Y490" t="str">
        <f>IF([2]Baskol!$I$493="","",[2]Baskol!$I$493)</f>
        <v/>
      </c>
      <c r="Z490" t="str">
        <f>IF([2]Baskol!$J$493="","",[2]Baskol!$J$493)</f>
        <v/>
      </c>
      <c r="AA490" t="str">
        <f>IF([2]Baskol!$K$493="","",[2]Baskol!$K$493)</f>
        <v/>
      </c>
      <c r="AB490" t="str">
        <f>IF([2]Baskol!$L$493="","",[2]Baskol!$L$493)</f>
        <v/>
      </c>
      <c r="AC490" t="str">
        <f>IF([2]Baskol!$N$493="","",[2]Baskol!$N$493)</f>
        <v/>
      </c>
      <c r="AD490" t="str">
        <f>IF([2]Baskol!$O$493="","",[2]Baskol!$O$493)</f>
        <v/>
      </c>
      <c r="AE490" t="str">
        <f>IF([3]Entry!$C$493="","",[3]Entry!$C$493)</f>
        <v/>
      </c>
      <c r="AF490" t="str">
        <f>IF([3]Entry!$D$493="","",[3]Entry!$D$493)</f>
        <v/>
      </c>
      <c r="AG490" t="str">
        <f>IF([3]Entry!$E$493="","",[3]Entry!$E$493)</f>
        <v/>
      </c>
      <c r="AH490" t="str">
        <f>IF([3]Entry!$G$493="","",[3]Entry!$G$493)</f>
        <v/>
      </c>
      <c r="AI490" t="str">
        <f>IF([3]Entry!$K$493="","",[3]Entry!$K$493)</f>
        <v/>
      </c>
      <c r="AJ490" t="str">
        <f>IF([3]Entry!$L$493="","",[3]Entry!$L$493)</f>
        <v/>
      </c>
      <c r="AK490" t="str">
        <f>IF([3]Entry!$M$493="","",[3]Entry!$M$493)</f>
        <v/>
      </c>
      <c r="AL490" t="str">
        <f>IF([3]Entry!$N$493="","",[3]Entry!$N$493)</f>
        <v/>
      </c>
      <c r="AM490" t="str">
        <f>IF([3]Entry!$R$493="","",[3]Entry!$R$493)</f>
        <v/>
      </c>
    </row>
    <row r="491" spans="1:39" x14ac:dyDescent="0.2">
      <c r="A491" t="str">
        <f>IF([1]Accounts!$D$492="","",[1]Accounts!$A$492)</f>
        <v/>
      </c>
      <c r="B491" t="str">
        <f>IF([1]Accounts!$D$492="","",[1]Accounts!$B$492)</f>
        <v/>
      </c>
      <c r="C491" t="str">
        <f>IF([1]Accounts!$D$492="","",[1]Accounts!$C$492)</f>
        <v/>
      </c>
      <c r="D491" t="str">
        <f>IF([1]Accounts!$D$492="","",[1]Accounts!$D$492)</f>
        <v/>
      </c>
      <c r="E491" t="str">
        <f>IF([1]Accounts!$D$492="","",[1]Accounts!$E$492)</f>
        <v/>
      </c>
      <c r="F491" t="str">
        <f>IF([1]Accounts!$D$492="","",[1]Accounts!$F$492)</f>
        <v/>
      </c>
      <c r="G491" t="str">
        <f>IF([1]Accounts!$D$492="","",[1]Accounts!$G$492)</f>
        <v/>
      </c>
      <c r="T491" t="str">
        <f>IF([2]Baskol!$B$494="","",[2]Baskol!$B$494)</f>
        <v/>
      </c>
      <c r="U491" t="str">
        <f>IF([2]Baskol!$C$494="","",[2]Baskol!$C$494)</f>
        <v/>
      </c>
      <c r="V491" t="str">
        <f>IF([2]Baskol!$D$494="","",[2]Baskol!$D$494)</f>
        <v/>
      </c>
      <c r="W491" t="str">
        <f>IF([2]Baskol!$E$494="","",[2]Baskol!$E$494)</f>
        <v/>
      </c>
      <c r="X491" t="str">
        <f>IF([2]Baskol!$G$494="","",[2]Baskol!$G$494)</f>
        <v/>
      </c>
      <c r="Y491" t="str">
        <f>IF([2]Baskol!$I$494="","",[2]Baskol!$I$494)</f>
        <v/>
      </c>
      <c r="Z491" t="str">
        <f>IF([2]Baskol!$J$494="","",[2]Baskol!$J$494)</f>
        <v/>
      </c>
      <c r="AA491" t="str">
        <f>IF([2]Baskol!$K$494="","",[2]Baskol!$K$494)</f>
        <v/>
      </c>
      <c r="AB491" t="str">
        <f>IF([2]Baskol!$L$494="","",[2]Baskol!$L$494)</f>
        <v/>
      </c>
      <c r="AC491" t="str">
        <f>IF([2]Baskol!$N$494="","",[2]Baskol!$N$494)</f>
        <v/>
      </c>
      <c r="AD491" t="str">
        <f>IF([2]Baskol!$O$494="","",[2]Baskol!$O$494)</f>
        <v/>
      </c>
      <c r="AE491" t="str">
        <f>IF([3]Entry!$C$494="","",[3]Entry!$C$494)</f>
        <v/>
      </c>
      <c r="AF491" t="str">
        <f>IF([3]Entry!$D$494="","",[3]Entry!$D$494)</f>
        <v/>
      </c>
      <c r="AG491" t="str">
        <f>IF([3]Entry!$E$494="","",[3]Entry!$E$494)</f>
        <v/>
      </c>
      <c r="AH491" t="str">
        <f>IF([3]Entry!$G$494="","",[3]Entry!$G$494)</f>
        <v/>
      </c>
      <c r="AI491" t="str">
        <f>IF([3]Entry!$K$494="","",[3]Entry!$K$494)</f>
        <v/>
      </c>
      <c r="AJ491" t="str">
        <f>IF([3]Entry!$L$494="","",[3]Entry!$L$494)</f>
        <v/>
      </c>
      <c r="AK491" t="str">
        <f>IF([3]Entry!$M$494="","",[3]Entry!$M$494)</f>
        <v/>
      </c>
      <c r="AL491" t="str">
        <f>IF([3]Entry!$N$494="","",[3]Entry!$N$494)</f>
        <v/>
      </c>
      <c r="AM491" t="str">
        <f>IF([3]Entry!$R$494="","",[3]Entry!$R$494)</f>
        <v/>
      </c>
    </row>
    <row r="492" spans="1:39" x14ac:dyDescent="0.2">
      <c r="A492" t="str">
        <f>IF([1]Accounts!$D$493="","",[1]Accounts!$A$493)</f>
        <v/>
      </c>
      <c r="B492" t="str">
        <f>IF([1]Accounts!$D$493="","",[1]Accounts!$B$493)</f>
        <v/>
      </c>
      <c r="C492" t="str">
        <f>IF([1]Accounts!$D$493="","",[1]Accounts!$C$493)</f>
        <v/>
      </c>
      <c r="D492" t="str">
        <f>IF([1]Accounts!$D$493="","",[1]Accounts!$D$493)</f>
        <v/>
      </c>
      <c r="E492" t="str">
        <f>IF([1]Accounts!$D$493="","",[1]Accounts!$E$493)</f>
        <v/>
      </c>
      <c r="F492" t="str">
        <f>IF([1]Accounts!$D$493="","",[1]Accounts!$F$493)</f>
        <v/>
      </c>
      <c r="G492" t="str">
        <f>IF([1]Accounts!$D$493="","",[1]Accounts!$G$493)</f>
        <v/>
      </c>
      <c r="T492" t="str">
        <f>IF([2]Baskol!$B$495="","",[2]Baskol!$B$495)</f>
        <v/>
      </c>
      <c r="U492" t="str">
        <f>IF([2]Baskol!$C$495="","",[2]Baskol!$C$495)</f>
        <v/>
      </c>
      <c r="V492" t="str">
        <f>IF([2]Baskol!$D$495="","",[2]Baskol!$D$495)</f>
        <v/>
      </c>
      <c r="W492" t="str">
        <f>IF([2]Baskol!$E$495="","",[2]Baskol!$E$495)</f>
        <v/>
      </c>
      <c r="X492" t="str">
        <f>IF([2]Baskol!$G$495="","",[2]Baskol!$G$495)</f>
        <v/>
      </c>
      <c r="Y492" t="str">
        <f>IF([2]Baskol!$I$495="","",[2]Baskol!$I$495)</f>
        <v/>
      </c>
      <c r="Z492" t="str">
        <f>IF([2]Baskol!$J$495="","",[2]Baskol!$J$495)</f>
        <v/>
      </c>
      <c r="AA492" t="str">
        <f>IF([2]Baskol!$K$495="","",[2]Baskol!$K$495)</f>
        <v/>
      </c>
      <c r="AB492" t="str">
        <f>IF([2]Baskol!$L$495="","",[2]Baskol!$L$495)</f>
        <v/>
      </c>
      <c r="AC492" t="str">
        <f>IF([2]Baskol!$N$495="","",[2]Baskol!$N$495)</f>
        <v/>
      </c>
      <c r="AD492" t="str">
        <f>IF([2]Baskol!$O$495="","",[2]Baskol!$O$495)</f>
        <v/>
      </c>
      <c r="AE492" t="str">
        <f>IF([3]Entry!$C$495="","",[3]Entry!$C$495)</f>
        <v/>
      </c>
      <c r="AF492" t="str">
        <f>IF([3]Entry!$D$495="","",[3]Entry!$D$495)</f>
        <v/>
      </c>
      <c r="AG492" t="str">
        <f>IF([3]Entry!$E$495="","",[3]Entry!$E$495)</f>
        <v/>
      </c>
      <c r="AH492" t="str">
        <f>IF([3]Entry!$G$495="","",[3]Entry!$G$495)</f>
        <v/>
      </c>
      <c r="AI492" t="str">
        <f>IF([3]Entry!$K$495="","",[3]Entry!$K$495)</f>
        <v/>
      </c>
      <c r="AJ492" t="str">
        <f>IF([3]Entry!$L$495="","",[3]Entry!$L$495)</f>
        <v/>
      </c>
      <c r="AK492" t="str">
        <f>IF([3]Entry!$M$495="","",[3]Entry!$M$495)</f>
        <v/>
      </c>
      <c r="AL492" t="str">
        <f>IF([3]Entry!$N$495="","",[3]Entry!$N$495)</f>
        <v/>
      </c>
      <c r="AM492" t="str">
        <f>IF([3]Entry!$R$495="","",[3]Entry!$R$495)</f>
        <v/>
      </c>
    </row>
    <row r="493" spans="1:39" x14ac:dyDescent="0.2">
      <c r="A493" t="str">
        <f>IF([1]Accounts!$D$494="","",[1]Accounts!$A$494)</f>
        <v/>
      </c>
      <c r="B493" t="str">
        <f>IF([1]Accounts!$D$494="","",[1]Accounts!$B$494)</f>
        <v/>
      </c>
      <c r="C493" t="str">
        <f>IF([1]Accounts!$D$494="","",[1]Accounts!$C$494)</f>
        <v/>
      </c>
      <c r="D493" t="str">
        <f>IF([1]Accounts!$D$494="","",[1]Accounts!$D$494)</f>
        <v/>
      </c>
      <c r="E493" t="str">
        <f>IF([1]Accounts!$D$494="","",[1]Accounts!$E$494)</f>
        <v/>
      </c>
      <c r="F493" t="str">
        <f>IF([1]Accounts!$D$494="","",[1]Accounts!$F$494)</f>
        <v/>
      </c>
      <c r="G493" t="str">
        <f>IF([1]Accounts!$D$494="","",[1]Accounts!$G$494)</f>
        <v/>
      </c>
      <c r="T493" t="str">
        <f>IF([2]Baskol!$B$496="","",[2]Baskol!$B$496)</f>
        <v/>
      </c>
      <c r="U493" t="str">
        <f>IF([2]Baskol!$C$496="","",[2]Baskol!$C$496)</f>
        <v/>
      </c>
      <c r="V493" t="str">
        <f>IF([2]Baskol!$D$496="","",[2]Baskol!$D$496)</f>
        <v/>
      </c>
      <c r="W493" t="str">
        <f>IF([2]Baskol!$E$496="","",[2]Baskol!$E$496)</f>
        <v/>
      </c>
      <c r="X493" t="str">
        <f>IF([2]Baskol!$G$496="","",[2]Baskol!$G$496)</f>
        <v/>
      </c>
      <c r="Y493" t="str">
        <f>IF([2]Baskol!$I$496="","",[2]Baskol!$I$496)</f>
        <v/>
      </c>
      <c r="Z493" t="str">
        <f>IF([2]Baskol!$J$496="","",[2]Baskol!$J$496)</f>
        <v/>
      </c>
      <c r="AA493" t="str">
        <f>IF([2]Baskol!$K$496="","",[2]Baskol!$K$496)</f>
        <v/>
      </c>
      <c r="AB493" t="str">
        <f>IF([2]Baskol!$L$496="","",[2]Baskol!$L$496)</f>
        <v/>
      </c>
      <c r="AC493" t="str">
        <f>IF([2]Baskol!$N$496="","",[2]Baskol!$N$496)</f>
        <v/>
      </c>
      <c r="AD493" t="str">
        <f>IF([2]Baskol!$O$496="","",[2]Baskol!$O$496)</f>
        <v/>
      </c>
      <c r="AE493" t="str">
        <f>IF([3]Entry!$C$496="","",[3]Entry!$C$496)</f>
        <v/>
      </c>
      <c r="AF493" t="str">
        <f>IF([3]Entry!$D$496="","",[3]Entry!$D$496)</f>
        <v/>
      </c>
      <c r="AG493" t="str">
        <f>IF([3]Entry!$E$496="","",[3]Entry!$E$496)</f>
        <v/>
      </c>
      <c r="AH493" t="str">
        <f>IF([3]Entry!$G$496="","",[3]Entry!$G$496)</f>
        <v/>
      </c>
      <c r="AI493" t="str">
        <f>IF([3]Entry!$K$496="","",[3]Entry!$K$496)</f>
        <v/>
      </c>
      <c r="AJ493" t="str">
        <f>IF([3]Entry!$L$496="","",[3]Entry!$L$496)</f>
        <v/>
      </c>
      <c r="AK493" t="str">
        <f>IF([3]Entry!$M$496="","",[3]Entry!$M$496)</f>
        <v/>
      </c>
      <c r="AL493" t="str">
        <f>IF([3]Entry!$N$496="","",[3]Entry!$N$496)</f>
        <v/>
      </c>
      <c r="AM493" t="str">
        <f>IF([3]Entry!$R$496="","",[3]Entry!$R$496)</f>
        <v/>
      </c>
    </row>
    <row r="494" spans="1:39" x14ac:dyDescent="0.2">
      <c r="A494" t="str">
        <f>IF([1]Accounts!$D$495="","",[1]Accounts!$A$495)</f>
        <v/>
      </c>
      <c r="B494" t="str">
        <f>IF([1]Accounts!$D$495="","",[1]Accounts!$B$495)</f>
        <v/>
      </c>
      <c r="C494" t="str">
        <f>IF([1]Accounts!$D$495="","",[1]Accounts!$C$495)</f>
        <v/>
      </c>
      <c r="D494" t="str">
        <f>IF([1]Accounts!$D$495="","",[1]Accounts!$D$495)</f>
        <v/>
      </c>
      <c r="E494" t="str">
        <f>IF([1]Accounts!$D$495="","",[1]Accounts!$E$495)</f>
        <v/>
      </c>
      <c r="F494" t="str">
        <f>IF([1]Accounts!$D$495="","",[1]Accounts!$F$495)</f>
        <v/>
      </c>
      <c r="G494" t="str">
        <f>IF([1]Accounts!$D$495="","",[1]Accounts!$G$495)</f>
        <v/>
      </c>
      <c r="T494" t="str">
        <f>IF([2]Baskol!$B$497="","",[2]Baskol!$B$497)</f>
        <v/>
      </c>
      <c r="U494" t="str">
        <f>IF([2]Baskol!$C$497="","",[2]Baskol!$C$497)</f>
        <v/>
      </c>
      <c r="V494" t="str">
        <f>IF([2]Baskol!$D$497="","",[2]Baskol!$D$497)</f>
        <v/>
      </c>
      <c r="W494" t="str">
        <f>IF([2]Baskol!$E$497="","",[2]Baskol!$E$497)</f>
        <v/>
      </c>
      <c r="X494" t="str">
        <f>IF([2]Baskol!$G$497="","",[2]Baskol!$G$497)</f>
        <v/>
      </c>
      <c r="Y494" t="str">
        <f>IF([2]Baskol!$I$497="","",[2]Baskol!$I$497)</f>
        <v/>
      </c>
      <c r="Z494" t="str">
        <f>IF([2]Baskol!$J$497="","",[2]Baskol!$J$497)</f>
        <v/>
      </c>
      <c r="AA494" t="str">
        <f>IF([2]Baskol!$K$497="","",[2]Baskol!$K$497)</f>
        <v/>
      </c>
      <c r="AB494" t="str">
        <f>IF([2]Baskol!$L$497="","",[2]Baskol!$L$497)</f>
        <v/>
      </c>
      <c r="AC494" t="str">
        <f>IF([2]Baskol!$N$497="","",[2]Baskol!$N$497)</f>
        <v/>
      </c>
      <c r="AD494" t="str">
        <f>IF([2]Baskol!$O$497="","",[2]Baskol!$O$497)</f>
        <v/>
      </c>
      <c r="AE494" t="str">
        <f>IF([3]Entry!$C$497="","",[3]Entry!$C$497)</f>
        <v/>
      </c>
      <c r="AF494" t="str">
        <f>IF([3]Entry!$D$497="","",[3]Entry!$D$497)</f>
        <v/>
      </c>
      <c r="AG494" t="str">
        <f>IF([3]Entry!$E$497="","",[3]Entry!$E$497)</f>
        <v/>
      </c>
      <c r="AH494" t="str">
        <f>IF([3]Entry!$G$497="","",[3]Entry!$G$497)</f>
        <v/>
      </c>
      <c r="AI494" t="str">
        <f>IF([3]Entry!$K$497="","",[3]Entry!$K$497)</f>
        <v/>
      </c>
      <c r="AJ494" t="str">
        <f>IF([3]Entry!$L$497="","",[3]Entry!$L$497)</f>
        <v/>
      </c>
      <c r="AK494" t="str">
        <f>IF([3]Entry!$M$497="","",[3]Entry!$M$497)</f>
        <v/>
      </c>
      <c r="AL494" t="str">
        <f>IF([3]Entry!$N$497="","",[3]Entry!$N$497)</f>
        <v/>
      </c>
      <c r="AM494" t="str">
        <f>IF([3]Entry!$R$497="","",[3]Entry!$R$497)</f>
        <v/>
      </c>
    </row>
    <row r="495" spans="1:39" x14ac:dyDescent="0.2">
      <c r="A495" t="str">
        <f>IF([1]Accounts!$D$496="","",[1]Accounts!$A$496)</f>
        <v/>
      </c>
      <c r="B495" t="str">
        <f>IF([1]Accounts!$D$496="","",[1]Accounts!$B$496)</f>
        <v/>
      </c>
      <c r="C495" t="str">
        <f>IF([1]Accounts!$D$496="","",[1]Accounts!$C$496)</f>
        <v/>
      </c>
      <c r="D495" t="str">
        <f>IF([1]Accounts!$D$496="","",[1]Accounts!$D$496)</f>
        <v/>
      </c>
      <c r="E495" t="str">
        <f>IF([1]Accounts!$D$496="","",[1]Accounts!$E$496)</f>
        <v/>
      </c>
      <c r="F495" t="str">
        <f>IF([1]Accounts!$D$496="","",[1]Accounts!$F$496)</f>
        <v/>
      </c>
      <c r="G495" t="str">
        <f>IF([1]Accounts!$D$496="","",[1]Accounts!$G$496)</f>
        <v/>
      </c>
      <c r="T495" t="str">
        <f>IF([2]Baskol!$B$498="","",[2]Baskol!$B$498)</f>
        <v/>
      </c>
      <c r="U495" t="str">
        <f>IF([2]Baskol!$C$498="","",[2]Baskol!$C$498)</f>
        <v/>
      </c>
      <c r="V495" t="str">
        <f>IF([2]Baskol!$D$498="","",[2]Baskol!$D$498)</f>
        <v/>
      </c>
      <c r="W495" t="str">
        <f>IF([2]Baskol!$E$498="","",[2]Baskol!$E$498)</f>
        <v/>
      </c>
      <c r="X495" t="str">
        <f>IF([2]Baskol!$G$498="","",[2]Baskol!$G$498)</f>
        <v/>
      </c>
      <c r="Y495" t="str">
        <f>IF([2]Baskol!$I$498="","",[2]Baskol!$I$498)</f>
        <v/>
      </c>
      <c r="Z495" t="str">
        <f>IF([2]Baskol!$J$498="","",[2]Baskol!$J$498)</f>
        <v/>
      </c>
      <c r="AA495" t="str">
        <f>IF([2]Baskol!$K$498="","",[2]Baskol!$K$498)</f>
        <v/>
      </c>
      <c r="AB495" t="str">
        <f>IF([2]Baskol!$L$498="","",[2]Baskol!$L$498)</f>
        <v/>
      </c>
      <c r="AC495" t="str">
        <f>IF([2]Baskol!$N$498="","",[2]Baskol!$N$498)</f>
        <v/>
      </c>
      <c r="AD495" t="str">
        <f>IF([2]Baskol!$O$498="","",[2]Baskol!$O$498)</f>
        <v/>
      </c>
      <c r="AE495" t="str">
        <f>IF([3]Entry!$C$498="","",[3]Entry!$C$498)</f>
        <v/>
      </c>
      <c r="AF495" t="str">
        <f>IF([3]Entry!$D$498="","",[3]Entry!$D$498)</f>
        <v/>
      </c>
      <c r="AG495" t="str">
        <f>IF([3]Entry!$E$498="","",[3]Entry!$E$498)</f>
        <v/>
      </c>
      <c r="AH495" t="str">
        <f>IF([3]Entry!$G$498="","",[3]Entry!$G$498)</f>
        <v/>
      </c>
      <c r="AI495" t="str">
        <f>IF([3]Entry!$K$498="","",[3]Entry!$K$498)</f>
        <v/>
      </c>
      <c r="AJ495" t="str">
        <f>IF([3]Entry!$L$498="","",[3]Entry!$L$498)</f>
        <v/>
      </c>
      <c r="AK495" t="str">
        <f>IF([3]Entry!$M$498="","",[3]Entry!$M$498)</f>
        <v/>
      </c>
      <c r="AL495" t="str">
        <f>IF([3]Entry!$N$498="","",[3]Entry!$N$498)</f>
        <v/>
      </c>
      <c r="AM495" t="str">
        <f>IF([3]Entry!$R$498="","",[3]Entry!$R$498)</f>
        <v/>
      </c>
    </row>
    <row r="496" spans="1:39" x14ac:dyDescent="0.2">
      <c r="A496" t="str">
        <f>IF([1]Accounts!$D$497="","",[1]Accounts!$A$497)</f>
        <v/>
      </c>
      <c r="B496" t="str">
        <f>IF([1]Accounts!$D$497="","",[1]Accounts!$B$497)</f>
        <v/>
      </c>
      <c r="C496" t="str">
        <f>IF([1]Accounts!$D$497="","",[1]Accounts!$C$497)</f>
        <v/>
      </c>
      <c r="D496" t="str">
        <f>IF([1]Accounts!$D$497="","",[1]Accounts!$D$497)</f>
        <v/>
      </c>
      <c r="E496" t="str">
        <f>IF([1]Accounts!$D$497="","",[1]Accounts!$E$497)</f>
        <v/>
      </c>
      <c r="F496" t="str">
        <f>IF([1]Accounts!$D$497="","",[1]Accounts!$F$497)</f>
        <v/>
      </c>
      <c r="G496" t="str">
        <f>IF([1]Accounts!$D$497="","",[1]Accounts!$G$497)</f>
        <v/>
      </c>
      <c r="T496" t="str">
        <f>IF([2]Baskol!$B$499="","",[2]Baskol!$B$499)</f>
        <v/>
      </c>
      <c r="U496" t="str">
        <f>IF([2]Baskol!$C$499="","",[2]Baskol!$C$499)</f>
        <v/>
      </c>
      <c r="V496" t="str">
        <f>IF([2]Baskol!$D$499="","",[2]Baskol!$D$499)</f>
        <v/>
      </c>
      <c r="W496" t="str">
        <f>IF([2]Baskol!$E$499="","",[2]Baskol!$E$499)</f>
        <v/>
      </c>
      <c r="X496" t="str">
        <f>IF([2]Baskol!$G$499="","",[2]Baskol!$G$499)</f>
        <v/>
      </c>
      <c r="Y496" t="str">
        <f>IF([2]Baskol!$I$499="","",[2]Baskol!$I$499)</f>
        <v/>
      </c>
      <c r="Z496" t="str">
        <f>IF([2]Baskol!$J$499="","",[2]Baskol!$J$499)</f>
        <v/>
      </c>
      <c r="AA496" t="str">
        <f>IF([2]Baskol!$K$499="","",[2]Baskol!$K$499)</f>
        <v/>
      </c>
      <c r="AB496" t="str">
        <f>IF([2]Baskol!$L$499="","",[2]Baskol!$L$499)</f>
        <v/>
      </c>
      <c r="AC496" t="str">
        <f>IF([2]Baskol!$N$499="","",[2]Baskol!$N$499)</f>
        <v/>
      </c>
      <c r="AD496" t="str">
        <f>IF([2]Baskol!$O$499="","",[2]Baskol!$O$499)</f>
        <v/>
      </c>
      <c r="AE496" t="str">
        <f>IF([3]Entry!$C$499="","",[3]Entry!$C$499)</f>
        <v/>
      </c>
      <c r="AF496" t="str">
        <f>IF([3]Entry!$D$499="","",[3]Entry!$D$499)</f>
        <v/>
      </c>
      <c r="AG496" t="str">
        <f>IF([3]Entry!$E$499="","",[3]Entry!$E$499)</f>
        <v/>
      </c>
      <c r="AH496" t="str">
        <f>IF([3]Entry!$G$499="","",[3]Entry!$G$499)</f>
        <v/>
      </c>
      <c r="AI496" t="str">
        <f>IF([3]Entry!$K$499="","",[3]Entry!$K$499)</f>
        <v/>
      </c>
      <c r="AJ496" t="str">
        <f>IF([3]Entry!$L$499="","",[3]Entry!$L$499)</f>
        <v/>
      </c>
      <c r="AK496" t="str">
        <f>IF([3]Entry!$M$499="","",[3]Entry!$M$499)</f>
        <v/>
      </c>
      <c r="AL496" t="str">
        <f>IF([3]Entry!$N$499="","",[3]Entry!$N$499)</f>
        <v/>
      </c>
      <c r="AM496" t="str">
        <f>IF([3]Entry!$R$499="","",[3]Entry!$R$499)</f>
        <v/>
      </c>
    </row>
    <row r="497" spans="1:39" x14ac:dyDescent="0.2">
      <c r="A497" t="str">
        <f>IF([1]Accounts!$D$498="","",[1]Accounts!$A$498)</f>
        <v/>
      </c>
      <c r="B497" t="str">
        <f>IF([1]Accounts!$D$498="","",[1]Accounts!$B$498)</f>
        <v/>
      </c>
      <c r="C497" t="str">
        <f>IF([1]Accounts!$D$498="","",[1]Accounts!$C$498)</f>
        <v/>
      </c>
      <c r="D497" t="str">
        <f>IF([1]Accounts!$D$498="","",[1]Accounts!$D$498)</f>
        <v/>
      </c>
      <c r="E497" t="str">
        <f>IF([1]Accounts!$D$498="","",[1]Accounts!$E$498)</f>
        <v/>
      </c>
      <c r="F497" t="str">
        <f>IF([1]Accounts!$D$498="","",[1]Accounts!$F$498)</f>
        <v/>
      </c>
      <c r="G497" t="str">
        <f>IF([1]Accounts!$D$498="","",[1]Accounts!$G$498)</f>
        <v/>
      </c>
      <c r="T497" t="str">
        <f>IF([2]Baskol!$B$500="","",[2]Baskol!$B$500)</f>
        <v/>
      </c>
      <c r="U497" t="str">
        <f>IF([2]Baskol!$C$500="","",[2]Baskol!$C$500)</f>
        <v/>
      </c>
      <c r="V497" t="str">
        <f>IF([2]Baskol!$D$500="","",[2]Baskol!$D$500)</f>
        <v/>
      </c>
      <c r="W497" t="str">
        <f>IF([2]Baskol!$E$500="","",[2]Baskol!$E$500)</f>
        <v/>
      </c>
      <c r="X497" t="str">
        <f>IF([2]Baskol!$G$500="","",[2]Baskol!$G$500)</f>
        <v/>
      </c>
      <c r="Y497" t="str">
        <f>IF([2]Baskol!$I$500="","",[2]Baskol!$I$500)</f>
        <v/>
      </c>
      <c r="Z497" t="str">
        <f>IF([2]Baskol!$J$500="","",[2]Baskol!$J$500)</f>
        <v/>
      </c>
      <c r="AA497" t="str">
        <f>IF([2]Baskol!$K$500="","",[2]Baskol!$K$500)</f>
        <v/>
      </c>
      <c r="AB497" t="str">
        <f>IF([2]Baskol!$L$500="","",[2]Baskol!$L$500)</f>
        <v/>
      </c>
      <c r="AC497" t="str">
        <f>IF([2]Baskol!$N$500="","",[2]Baskol!$N$500)</f>
        <v/>
      </c>
      <c r="AD497" t="str">
        <f>IF([2]Baskol!$O$500="","",[2]Baskol!$O$500)</f>
        <v/>
      </c>
      <c r="AE497" t="str">
        <f>IF([3]Entry!$C$500="","",[3]Entry!$C$500)</f>
        <v/>
      </c>
      <c r="AF497" t="str">
        <f>IF([3]Entry!$D$500="","",[3]Entry!$D$500)</f>
        <v/>
      </c>
      <c r="AG497" t="str">
        <f>IF([3]Entry!$E$500="","",[3]Entry!$E$500)</f>
        <v/>
      </c>
      <c r="AH497" t="str">
        <f>IF([3]Entry!$G$500="","",[3]Entry!$G$500)</f>
        <v/>
      </c>
      <c r="AI497" t="str">
        <f>IF([3]Entry!$K$500="","",[3]Entry!$K$500)</f>
        <v/>
      </c>
      <c r="AJ497" t="str">
        <f>IF([3]Entry!$L$500="","",[3]Entry!$L$500)</f>
        <v/>
      </c>
      <c r="AK497" t="str">
        <f>IF([3]Entry!$M$500="","",[3]Entry!$M$500)</f>
        <v/>
      </c>
      <c r="AL497" t="str">
        <f>IF([3]Entry!$N$500="","",[3]Entry!$N$500)</f>
        <v/>
      </c>
      <c r="AM497" t="str">
        <f>IF([3]Entry!$R$500="","",[3]Entry!$R$500)</f>
        <v/>
      </c>
    </row>
    <row r="498" spans="1:39" x14ac:dyDescent="0.2">
      <c r="A498" t="str">
        <f>IF([1]Accounts!$D$499="","",[1]Accounts!$A$499)</f>
        <v/>
      </c>
      <c r="B498" t="str">
        <f>IF([1]Accounts!$D$499="","",[1]Accounts!$B$499)</f>
        <v/>
      </c>
      <c r="C498" t="str">
        <f>IF([1]Accounts!$D$499="","",[1]Accounts!$C$499)</f>
        <v/>
      </c>
      <c r="D498" t="str">
        <f>IF([1]Accounts!$D$499="","",[1]Accounts!$D$499)</f>
        <v/>
      </c>
      <c r="E498" t="str">
        <f>IF([1]Accounts!$D$499="","",[1]Accounts!$E$499)</f>
        <v/>
      </c>
      <c r="F498" t="str">
        <f>IF([1]Accounts!$D$499="","",[1]Accounts!$F$499)</f>
        <v/>
      </c>
      <c r="G498" t="str">
        <f>IF([1]Accounts!$D$499="","",[1]Accounts!$G$499)</f>
        <v/>
      </c>
      <c r="T498" t="str">
        <f>IF([2]Baskol!$B$501="","",[2]Baskol!$B$501)</f>
        <v/>
      </c>
      <c r="U498" t="str">
        <f>IF([2]Baskol!$C$501="","",[2]Baskol!$C$501)</f>
        <v/>
      </c>
      <c r="V498" t="str">
        <f>IF([2]Baskol!$D$501="","",[2]Baskol!$D$501)</f>
        <v/>
      </c>
      <c r="W498" t="str">
        <f>IF([2]Baskol!$E$501="","",[2]Baskol!$E$501)</f>
        <v/>
      </c>
      <c r="X498" t="str">
        <f>IF([2]Baskol!$G$501="","",[2]Baskol!$G$501)</f>
        <v/>
      </c>
      <c r="Y498" t="str">
        <f>IF([2]Baskol!$I$501="","",[2]Baskol!$I$501)</f>
        <v/>
      </c>
      <c r="Z498" t="str">
        <f>IF([2]Baskol!$J$501="","",[2]Baskol!$J$501)</f>
        <v/>
      </c>
      <c r="AA498" t="str">
        <f>IF([2]Baskol!$K$501="","",[2]Baskol!$K$501)</f>
        <v/>
      </c>
      <c r="AB498" t="str">
        <f>IF([2]Baskol!$L$501="","",[2]Baskol!$L$501)</f>
        <v/>
      </c>
      <c r="AC498" t="str">
        <f>IF([2]Baskol!$N$501="","",[2]Baskol!$N$501)</f>
        <v/>
      </c>
      <c r="AD498" t="str">
        <f>IF([2]Baskol!$O$501="","",[2]Baskol!$O$501)</f>
        <v/>
      </c>
      <c r="AE498" t="str">
        <f>IF([3]Entry!$C$501="","",[3]Entry!$C$501)</f>
        <v/>
      </c>
      <c r="AF498" t="str">
        <f>IF([3]Entry!$D$501="","",[3]Entry!$D$501)</f>
        <v/>
      </c>
      <c r="AG498" t="str">
        <f>IF([3]Entry!$E$501="","",[3]Entry!$E$501)</f>
        <v/>
      </c>
      <c r="AH498" t="str">
        <f>IF([3]Entry!$G$501="","",[3]Entry!$G$501)</f>
        <v/>
      </c>
      <c r="AI498" t="str">
        <f>IF([3]Entry!$K$501="","",[3]Entry!$K$501)</f>
        <v/>
      </c>
      <c r="AJ498" t="str">
        <f>IF([3]Entry!$L$501="","",[3]Entry!$L$501)</f>
        <v/>
      </c>
      <c r="AK498" t="str">
        <f>IF([3]Entry!$M$501="","",[3]Entry!$M$501)</f>
        <v/>
      </c>
      <c r="AL498" t="str">
        <f>IF([3]Entry!$N$501="","",[3]Entry!$N$501)</f>
        <v/>
      </c>
      <c r="AM498" t="str">
        <f>IF([3]Entry!$R$501="","",[3]Entry!$R$501)</f>
        <v/>
      </c>
    </row>
    <row r="499" spans="1:39" x14ac:dyDescent="0.2">
      <c r="A499" t="str">
        <f>IF([1]Accounts!$D$500="","",[1]Accounts!$A$500)</f>
        <v/>
      </c>
      <c r="B499" t="str">
        <f>IF([1]Accounts!$D$500="","",[1]Accounts!$B$500)</f>
        <v/>
      </c>
      <c r="C499" t="str">
        <f>IF([1]Accounts!$D$500="","",[1]Accounts!$C$500)</f>
        <v/>
      </c>
      <c r="D499" t="str">
        <f>IF([1]Accounts!$D$500="","",[1]Accounts!$D$500)</f>
        <v/>
      </c>
      <c r="E499" t="str">
        <f>IF([1]Accounts!$D$500="","",[1]Accounts!$E$500)</f>
        <v/>
      </c>
      <c r="F499" t="str">
        <f>IF([1]Accounts!$D$500="","",[1]Accounts!$F$500)</f>
        <v/>
      </c>
      <c r="G499" t="str">
        <f>IF([1]Accounts!$D$500="","",[1]Accounts!$G$500)</f>
        <v/>
      </c>
      <c r="T499" t="str">
        <f>IF([2]Baskol!$B$502="","",[2]Baskol!$B$502)</f>
        <v/>
      </c>
      <c r="U499" t="str">
        <f>IF([2]Baskol!$C$502="","",[2]Baskol!$C$502)</f>
        <v/>
      </c>
      <c r="V499" t="str">
        <f>IF([2]Baskol!$D$502="","",[2]Baskol!$D$502)</f>
        <v/>
      </c>
      <c r="W499" t="str">
        <f>IF([2]Baskol!$E$502="","",[2]Baskol!$E$502)</f>
        <v/>
      </c>
      <c r="X499" t="str">
        <f>IF([2]Baskol!$G$502="","",[2]Baskol!$G$502)</f>
        <v/>
      </c>
      <c r="Y499" t="str">
        <f>IF([2]Baskol!$I$502="","",[2]Baskol!$I$502)</f>
        <v/>
      </c>
      <c r="Z499" t="str">
        <f>IF([2]Baskol!$J$502="","",[2]Baskol!$J$502)</f>
        <v/>
      </c>
      <c r="AA499" t="str">
        <f>IF([2]Baskol!$K$502="","",[2]Baskol!$K$502)</f>
        <v/>
      </c>
      <c r="AB499" t="str">
        <f>IF([2]Baskol!$L$502="","",[2]Baskol!$L$502)</f>
        <v/>
      </c>
      <c r="AC499" t="str">
        <f>IF([2]Baskol!$N$502="","",[2]Baskol!$N$502)</f>
        <v/>
      </c>
      <c r="AD499" t="str">
        <f>IF([2]Baskol!$O$502="","",[2]Baskol!$O$502)</f>
        <v/>
      </c>
      <c r="AE499" t="str">
        <f>IF([3]Entry!$C$502="","",[3]Entry!$C$502)</f>
        <v/>
      </c>
      <c r="AF499" t="str">
        <f>IF([3]Entry!$D$502="","",[3]Entry!$D$502)</f>
        <v/>
      </c>
      <c r="AG499" t="str">
        <f>IF([3]Entry!$E$502="","",[3]Entry!$E$502)</f>
        <v/>
      </c>
      <c r="AH499" t="str">
        <f>IF([3]Entry!$G$502="","",[3]Entry!$G$502)</f>
        <v/>
      </c>
      <c r="AI499" t="str">
        <f>IF([3]Entry!$K$502="","",[3]Entry!$K$502)</f>
        <v/>
      </c>
      <c r="AJ499" t="str">
        <f>IF([3]Entry!$L$502="","",[3]Entry!$L$502)</f>
        <v/>
      </c>
      <c r="AK499" t="str">
        <f>IF([3]Entry!$M$502="","",[3]Entry!$M$502)</f>
        <v/>
      </c>
      <c r="AL499" t="str">
        <f>IF([3]Entry!$N$502="","",[3]Entry!$N$502)</f>
        <v/>
      </c>
      <c r="AM499" t="str">
        <f>IF([3]Entry!$R$502="","",[3]Entry!$R$502)</f>
        <v/>
      </c>
    </row>
    <row r="500" spans="1:39" x14ac:dyDescent="0.2">
      <c r="A500" t="str">
        <f>IF([1]Accounts!$D$501="","",[1]Accounts!$A$501)</f>
        <v/>
      </c>
      <c r="B500" t="str">
        <f>IF([1]Accounts!$D$501="","",[1]Accounts!$B$501)</f>
        <v/>
      </c>
      <c r="C500" t="str">
        <f>IF([1]Accounts!$D$501="","",[1]Accounts!$C$501)</f>
        <v/>
      </c>
      <c r="D500" t="str">
        <f>IF([1]Accounts!$D$501="","",[1]Accounts!$D$501)</f>
        <v/>
      </c>
      <c r="E500" t="str">
        <f>IF([1]Accounts!$D$501="","",[1]Accounts!$E$501)</f>
        <v/>
      </c>
      <c r="F500" t="str">
        <f>IF([1]Accounts!$D$501="","",[1]Accounts!$F$501)</f>
        <v/>
      </c>
      <c r="G500" t="str">
        <f>IF([1]Accounts!$D$501="","",[1]Accounts!$G$501)</f>
        <v/>
      </c>
      <c r="T500" t="str">
        <f>IF([2]Baskol!$B$503="","",[2]Baskol!$B$503)</f>
        <v/>
      </c>
      <c r="U500" t="str">
        <f>IF([2]Baskol!$C$503="","",[2]Baskol!$C$503)</f>
        <v/>
      </c>
      <c r="V500" t="str">
        <f>IF([2]Baskol!$D$503="","",[2]Baskol!$D$503)</f>
        <v/>
      </c>
      <c r="W500" t="str">
        <f>IF([2]Baskol!$E$503="","",[2]Baskol!$E$503)</f>
        <v/>
      </c>
      <c r="X500" t="str">
        <f>IF([2]Baskol!$G$503="","",[2]Baskol!$G$503)</f>
        <v/>
      </c>
      <c r="Y500" t="str">
        <f>IF([2]Baskol!$I$503="","",[2]Baskol!$I$503)</f>
        <v/>
      </c>
      <c r="Z500" t="str">
        <f>IF([2]Baskol!$J$503="","",[2]Baskol!$J$503)</f>
        <v/>
      </c>
      <c r="AA500" t="str">
        <f>IF([2]Baskol!$K$503="","",[2]Baskol!$K$503)</f>
        <v/>
      </c>
      <c r="AB500" t="str">
        <f>IF([2]Baskol!$L$503="","",[2]Baskol!$L$503)</f>
        <v/>
      </c>
      <c r="AC500" t="str">
        <f>IF([2]Baskol!$N$503="","",[2]Baskol!$N$503)</f>
        <v/>
      </c>
      <c r="AD500" t="str">
        <f>IF([2]Baskol!$O$503="","",[2]Baskol!$O$503)</f>
        <v/>
      </c>
      <c r="AE500" t="str">
        <f>IF([3]Entry!$C$503="","",[3]Entry!$C$503)</f>
        <v/>
      </c>
      <c r="AF500" t="str">
        <f>IF([3]Entry!$D$503="","",[3]Entry!$D$503)</f>
        <v/>
      </c>
      <c r="AG500" t="str">
        <f>IF([3]Entry!$E$503="","",[3]Entry!$E$503)</f>
        <v/>
      </c>
      <c r="AH500" t="str">
        <f>IF([3]Entry!$G$503="","",[3]Entry!$G$503)</f>
        <v/>
      </c>
      <c r="AI500" t="str">
        <f>IF([3]Entry!$K$503="","",[3]Entry!$K$503)</f>
        <v/>
      </c>
      <c r="AJ500" t="str">
        <f>IF([3]Entry!$L$503="","",[3]Entry!$L$503)</f>
        <v/>
      </c>
      <c r="AK500" t="str">
        <f>IF([3]Entry!$M$503="","",[3]Entry!$M$503)</f>
        <v/>
      </c>
      <c r="AL500" t="str">
        <f>IF([3]Entry!$N$503="","",[3]Entry!$N$503)</f>
        <v/>
      </c>
      <c r="AM500" t="str">
        <f>IF([3]Entry!$R$503="","",[3]Entry!$R$503)</f>
        <v/>
      </c>
    </row>
    <row r="501" spans="1:39" x14ac:dyDescent="0.2">
      <c r="A501" t="str">
        <f>IF([1]Accounts!$D$502="","",[1]Accounts!$A$502)</f>
        <v/>
      </c>
      <c r="B501" t="str">
        <f>IF([1]Accounts!$D$502="","",[1]Accounts!$B$502)</f>
        <v/>
      </c>
      <c r="C501" t="str">
        <f>IF([1]Accounts!$D$502="","",[1]Accounts!$C$502)</f>
        <v/>
      </c>
      <c r="D501" t="str">
        <f>IF([1]Accounts!$D$502="","",[1]Accounts!$D$502)</f>
        <v/>
      </c>
      <c r="E501" t="str">
        <f>IF([1]Accounts!$D$502="","",[1]Accounts!$E$502)</f>
        <v/>
      </c>
      <c r="F501" t="str">
        <f>IF([1]Accounts!$D$502="","",[1]Accounts!$F$502)</f>
        <v/>
      </c>
      <c r="G501" t="str">
        <f>IF([1]Accounts!$D$502="","",[1]Accounts!$G$502)</f>
        <v/>
      </c>
      <c r="T501" t="str">
        <f>IF([2]Baskol!$B$504="","",[2]Baskol!$B$504)</f>
        <v/>
      </c>
      <c r="U501" t="str">
        <f>IF([2]Baskol!$C$504="","",[2]Baskol!$C$504)</f>
        <v/>
      </c>
      <c r="V501" t="str">
        <f>IF([2]Baskol!$D$504="","",[2]Baskol!$D$504)</f>
        <v/>
      </c>
      <c r="W501" t="str">
        <f>IF([2]Baskol!$E$504="","",[2]Baskol!$E$504)</f>
        <v/>
      </c>
      <c r="X501" t="str">
        <f>IF([2]Baskol!$G$504="","",[2]Baskol!$G$504)</f>
        <v/>
      </c>
      <c r="Y501" t="str">
        <f>IF([2]Baskol!$I$504="","",[2]Baskol!$I$504)</f>
        <v/>
      </c>
      <c r="Z501" t="str">
        <f>IF([2]Baskol!$J$504="","",[2]Baskol!$J$504)</f>
        <v/>
      </c>
      <c r="AA501" t="str">
        <f>IF([2]Baskol!$K$504="","",[2]Baskol!$K$504)</f>
        <v/>
      </c>
      <c r="AB501" t="str">
        <f>IF([2]Baskol!$L$504="","",[2]Baskol!$L$504)</f>
        <v/>
      </c>
      <c r="AC501" t="str">
        <f>IF([2]Baskol!$N$504="","",[2]Baskol!$N$504)</f>
        <v/>
      </c>
      <c r="AD501" t="str">
        <f>IF([2]Baskol!$O$504="","",[2]Baskol!$O$504)</f>
        <v/>
      </c>
      <c r="AE501" t="str">
        <f>IF([3]Entry!$C$504="","",[3]Entry!$C$504)</f>
        <v/>
      </c>
      <c r="AF501" t="str">
        <f>IF([3]Entry!$D$504="","",[3]Entry!$D$504)</f>
        <v/>
      </c>
      <c r="AG501" t="str">
        <f>IF([3]Entry!$E$504="","",[3]Entry!$E$504)</f>
        <v/>
      </c>
      <c r="AH501" t="str">
        <f>IF([3]Entry!$G$504="","",[3]Entry!$G$504)</f>
        <v/>
      </c>
      <c r="AI501" t="str">
        <f>IF([3]Entry!$K$504="","",[3]Entry!$K$504)</f>
        <v/>
      </c>
      <c r="AJ501" t="str">
        <f>IF([3]Entry!$L$504="","",[3]Entry!$L$504)</f>
        <v/>
      </c>
      <c r="AK501" t="str">
        <f>IF([3]Entry!$M$504="","",[3]Entry!$M$504)</f>
        <v/>
      </c>
      <c r="AL501" t="str">
        <f>IF([3]Entry!$N$504="","",[3]Entry!$N$504)</f>
        <v/>
      </c>
      <c r="AM501" t="str">
        <f>IF([3]Entry!$R$504="","",[3]Entry!$R$504)</f>
        <v/>
      </c>
    </row>
    <row r="502" spans="1:39" x14ac:dyDescent="0.2">
      <c r="A502" t="str">
        <f>IF([1]Accounts!$D$503="","",[1]Accounts!$A$503)</f>
        <v/>
      </c>
      <c r="B502" t="str">
        <f>IF([1]Accounts!$D$503="","",[1]Accounts!$B$503)</f>
        <v/>
      </c>
      <c r="C502" t="str">
        <f>IF([1]Accounts!$D$503="","",[1]Accounts!$C$503)</f>
        <v/>
      </c>
      <c r="D502" t="str">
        <f>IF([1]Accounts!$D$503="","",[1]Accounts!$D$503)</f>
        <v/>
      </c>
      <c r="E502" t="str">
        <f>IF([1]Accounts!$D$503="","",[1]Accounts!$E$503)</f>
        <v/>
      </c>
      <c r="F502" t="str">
        <f>IF([1]Accounts!$D$503="","",[1]Accounts!$F$503)</f>
        <v/>
      </c>
      <c r="G502" t="str">
        <f>IF([1]Accounts!$D$503="","",[1]Accounts!$G$503)</f>
        <v/>
      </c>
      <c r="T502" t="str">
        <f>IF([2]Baskol!$B$505="","",[2]Baskol!$B$505)</f>
        <v/>
      </c>
      <c r="U502" t="str">
        <f>IF([2]Baskol!$C$505="","",[2]Baskol!$C$505)</f>
        <v/>
      </c>
      <c r="V502" t="str">
        <f>IF([2]Baskol!$D$505="","",[2]Baskol!$D$505)</f>
        <v/>
      </c>
      <c r="W502" t="str">
        <f>IF([2]Baskol!$E$505="","",[2]Baskol!$E$505)</f>
        <v/>
      </c>
      <c r="X502" t="str">
        <f>IF([2]Baskol!$G$505="","",[2]Baskol!$G$505)</f>
        <v/>
      </c>
      <c r="Y502" t="str">
        <f>IF([2]Baskol!$I$505="","",[2]Baskol!$I$505)</f>
        <v/>
      </c>
      <c r="Z502" t="str">
        <f>IF([2]Baskol!$J$505="","",[2]Baskol!$J$505)</f>
        <v/>
      </c>
      <c r="AA502" t="str">
        <f>IF([2]Baskol!$K$505="","",[2]Baskol!$K$505)</f>
        <v/>
      </c>
      <c r="AB502" t="str">
        <f>IF([2]Baskol!$L$505="","",[2]Baskol!$L$505)</f>
        <v/>
      </c>
      <c r="AC502" t="str">
        <f>IF([2]Baskol!$N$505="","",[2]Baskol!$N$505)</f>
        <v/>
      </c>
      <c r="AD502" t="str">
        <f>IF([2]Baskol!$O$505="","",[2]Baskol!$O$505)</f>
        <v/>
      </c>
      <c r="AE502" t="str">
        <f>IF([3]Entry!$C$505="","",[3]Entry!$C$505)</f>
        <v/>
      </c>
      <c r="AF502" t="str">
        <f>IF([3]Entry!$D$505="","",[3]Entry!$D$505)</f>
        <v/>
      </c>
      <c r="AG502" t="str">
        <f>IF([3]Entry!$E$505="","",[3]Entry!$E$505)</f>
        <v/>
      </c>
      <c r="AH502" t="str">
        <f>IF([3]Entry!$G$505="","",[3]Entry!$G$505)</f>
        <v/>
      </c>
      <c r="AI502" t="str">
        <f>IF([3]Entry!$K$505="","",[3]Entry!$K$505)</f>
        <v/>
      </c>
      <c r="AJ502" t="str">
        <f>IF([3]Entry!$L$505="","",[3]Entry!$L$505)</f>
        <v/>
      </c>
      <c r="AK502" t="str">
        <f>IF([3]Entry!$M$505="","",[3]Entry!$M$505)</f>
        <v/>
      </c>
      <c r="AL502" t="str">
        <f>IF([3]Entry!$N$505="","",[3]Entry!$N$505)</f>
        <v/>
      </c>
      <c r="AM502" t="str">
        <f>IF([3]Entry!$R$505="","",[3]Entry!$R$505)</f>
        <v/>
      </c>
    </row>
    <row r="503" spans="1:39" x14ac:dyDescent="0.2">
      <c r="A503" t="str">
        <f>IF([1]Accounts!$D$504="","",[1]Accounts!$A$504)</f>
        <v/>
      </c>
      <c r="B503" t="str">
        <f>IF([1]Accounts!$D$504="","",[1]Accounts!$B$504)</f>
        <v/>
      </c>
      <c r="C503" t="str">
        <f>IF([1]Accounts!$D$504="","",[1]Accounts!$C$504)</f>
        <v/>
      </c>
      <c r="D503" t="str">
        <f>IF([1]Accounts!$D$504="","",[1]Accounts!$D$504)</f>
        <v/>
      </c>
      <c r="E503" t="str">
        <f>IF([1]Accounts!$D$504="","",[1]Accounts!$E$504)</f>
        <v/>
      </c>
      <c r="F503" t="str">
        <f>IF([1]Accounts!$D$504="","",[1]Accounts!$F$504)</f>
        <v/>
      </c>
      <c r="G503" t="str">
        <f>IF([1]Accounts!$D$504="","",[1]Accounts!$G$504)</f>
        <v/>
      </c>
      <c r="T503" t="str">
        <f>IF([2]Baskol!$B$506="","",[2]Baskol!$B$506)</f>
        <v/>
      </c>
      <c r="U503" t="str">
        <f>IF([2]Baskol!$C$506="","",[2]Baskol!$C$506)</f>
        <v/>
      </c>
      <c r="V503" t="str">
        <f>IF([2]Baskol!$D$506="","",[2]Baskol!$D$506)</f>
        <v/>
      </c>
      <c r="W503" t="str">
        <f>IF([2]Baskol!$E$506="","",[2]Baskol!$E$506)</f>
        <v/>
      </c>
      <c r="X503" t="str">
        <f>IF([2]Baskol!$G$506="","",[2]Baskol!$G$506)</f>
        <v/>
      </c>
      <c r="Y503" t="str">
        <f>IF([2]Baskol!$I$506="","",[2]Baskol!$I$506)</f>
        <v/>
      </c>
      <c r="Z503" t="str">
        <f>IF([2]Baskol!$J$506="","",[2]Baskol!$J$506)</f>
        <v/>
      </c>
      <c r="AA503" t="str">
        <f>IF([2]Baskol!$K$506="","",[2]Baskol!$K$506)</f>
        <v/>
      </c>
      <c r="AB503" t="str">
        <f>IF([2]Baskol!$L$506="","",[2]Baskol!$L$506)</f>
        <v/>
      </c>
      <c r="AC503" t="str">
        <f>IF([2]Baskol!$N$506="","",[2]Baskol!$N$506)</f>
        <v/>
      </c>
      <c r="AD503" t="str">
        <f>IF([2]Baskol!$O$506="","",[2]Baskol!$O$506)</f>
        <v/>
      </c>
      <c r="AE503" t="str">
        <f>IF([3]Entry!$C$506="","",[3]Entry!$C$506)</f>
        <v/>
      </c>
      <c r="AF503" t="str">
        <f>IF([3]Entry!$D$506="","",[3]Entry!$D$506)</f>
        <v/>
      </c>
      <c r="AG503" t="str">
        <f>IF([3]Entry!$E$506="","",[3]Entry!$E$506)</f>
        <v/>
      </c>
      <c r="AH503" t="str">
        <f>IF([3]Entry!$G$506="","",[3]Entry!$G$506)</f>
        <v/>
      </c>
      <c r="AI503" t="str">
        <f>IF([3]Entry!$K$506="","",[3]Entry!$K$506)</f>
        <v/>
      </c>
      <c r="AJ503" t="str">
        <f>IF([3]Entry!$L$506="","",[3]Entry!$L$506)</f>
        <v/>
      </c>
      <c r="AK503" t="str">
        <f>IF([3]Entry!$M$506="","",[3]Entry!$M$506)</f>
        <v/>
      </c>
      <c r="AL503" t="str">
        <f>IF([3]Entry!$N$506="","",[3]Entry!$N$506)</f>
        <v/>
      </c>
      <c r="AM503" t="str">
        <f>IF([3]Entry!$R$506="","",[3]Entry!$R$506)</f>
        <v/>
      </c>
    </row>
    <row r="504" spans="1:39" x14ac:dyDescent="0.2">
      <c r="A504" t="str">
        <f>IF([1]Accounts!$D$505="","",[1]Accounts!$A$505)</f>
        <v/>
      </c>
      <c r="B504" t="str">
        <f>IF([1]Accounts!$D$505="","",[1]Accounts!$B$505)</f>
        <v/>
      </c>
      <c r="C504" t="str">
        <f>IF([1]Accounts!$D$505="","",[1]Accounts!$C$505)</f>
        <v/>
      </c>
      <c r="D504" t="str">
        <f>IF([1]Accounts!$D$505="","",[1]Accounts!$D$505)</f>
        <v/>
      </c>
      <c r="E504" t="str">
        <f>IF([1]Accounts!$D$505="","",[1]Accounts!$E$505)</f>
        <v/>
      </c>
      <c r="F504" t="str">
        <f>IF([1]Accounts!$D$505="","",[1]Accounts!$F$505)</f>
        <v/>
      </c>
      <c r="G504" t="str">
        <f>IF([1]Accounts!$D$505="","",[1]Accounts!$G$505)</f>
        <v/>
      </c>
      <c r="T504" t="str">
        <f>IF([2]Baskol!$B$507="","",[2]Baskol!$B$507)</f>
        <v/>
      </c>
      <c r="U504" t="str">
        <f>IF([2]Baskol!$C$507="","",[2]Baskol!$C$507)</f>
        <v/>
      </c>
      <c r="V504" t="str">
        <f>IF([2]Baskol!$D$507="","",[2]Baskol!$D$507)</f>
        <v/>
      </c>
      <c r="W504" t="str">
        <f>IF([2]Baskol!$E$507="","",[2]Baskol!$E$507)</f>
        <v/>
      </c>
      <c r="X504" t="str">
        <f>IF([2]Baskol!$G$507="","",[2]Baskol!$G$507)</f>
        <v/>
      </c>
      <c r="Y504" t="str">
        <f>IF([2]Baskol!$I$507="","",[2]Baskol!$I$507)</f>
        <v/>
      </c>
      <c r="Z504" t="str">
        <f>IF([2]Baskol!$J$507="","",[2]Baskol!$J$507)</f>
        <v/>
      </c>
      <c r="AA504" t="str">
        <f>IF([2]Baskol!$K$507="","",[2]Baskol!$K$507)</f>
        <v/>
      </c>
      <c r="AB504" t="str">
        <f>IF([2]Baskol!$L$507="","",[2]Baskol!$L$507)</f>
        <v/>
      </c>
      <c r="AC504" t="str">
        <f>IF([2]Baskol!$N$507="","",[2]Baskol!$N$507)</f>
        <v/>
      </c>
      <c r="AD504" t="str">
        <f>IF([2]Baskol!$O$507="","",[2]Baskol!$O$507)</f>
        <v/>
      </c>
      <c r="AE504" t="str">
        <f>IF([3]Entry!$C$507="","",[3]Entry!$C$507)</f>
        <v/>
      </c>
      <c r="AF504" t="str">
        <f>IF([3]Entry!$D$507="","",[3]Entry!$D$507)</f>
        <v/>
      </c>
      <c r="AG504" t="str">
        <f>IF([3]Entry!$E$507="","",[3]Entry!$E$507)</f>
        <v/>
      </c>
      <c r="AH504" t="str">
        <f>IF([3]Entry!$G$507="","",[3]Entry!$G$507)</f>
        <v/>
      </c>
      <c r="AI504" t="str">
        <f>IF([3]Entry!$K$507="","",[3]Entry!$K$507)</f>
        <v/>
      </c>
      <c r="AJ504" t="str">
        <f>IF([3]Entry!$L$507="","",[3]Entry!$L$507)</f>
        <v/>
      </c>
      <c r="AK504" t="str">
        <f>IF([3]Entry!$M$507="","",[3]Entry!$M$507)</f>
        <v/>
      </c>
      <c r="AL504" t="str">
        <f>IF([3]Entry!$N$507="","",[3]Entry!$N$507)</f>
        <v/>
      </c>
      <c r="AM504" t="str">
        <f>IF([3]Entry!$R$507="","",[3]Entry!$R$507)</f>
        <v/>
      </c>
    </row>
    <row r="505" spans="1:39" x14ac:dyDescent="0.2">
      <c r="A505" t="str">
        <f>IF([1]Accounts!$D$506="","",[1]Accounts!$A$506)</f>
        <v/>
      </c>
      <c r="B505" t="str">
        <f>IF([1]Accounts!$D$506="","",[1]Accounts!$B$506)</f>
        <v/>
      </c>
      <c r="C505" t="str">
        <f>IF([1]Accounts!$D$506="","",[1]Accounts!$C$506)</f>
        <v/>
      </c>
      <c r="D505" t="str">
        <f>IF([1]Accounts!$D$506="","",[1]Accounts!$D$506)</f>
        <v/>
      </c>
      <c r="E505" t="str">
        <f>IF([1]Accounts!$D$506="","",[1]Accounts!$E$506)</f>
        <v/>
      </c>
      <c r="F505" t="str">
        <f>IF([1]Accounts!$D$506="","",[1]Accounts!$F$506)</f>
        <v/>
      </c>
      <c r="G505" t="str">
        <f>IF([1]Accounts!$D$506="","",[1]Accounts!$G$506)</f>
        <v/>
      </c>
      <c r="T505" t="str">
        <f>IF([2]Baskol!$B$508="","",[2]Baskol!$B$508)</f>
        <v/>
      </c>
      <c r="U505" t="str">
        <f>IF([2]Baskol!$C$508="","",[2]Baskol!$C$508)</f>
        <v/>
      </c>
      <c r="V505" t="str">
        <f>IF([2]Baskol!$D$508="","",[2]Baskol!$D$508)</f>
        <v/>
      </c>
      <c r="W505" t="str">
        <f>IF([2]Baskol!$E$508="","",[2]Baskol!$E$508)</f>
        <v/>
      </c>
      <c r="X505" t="str">
        <f>IF([2]Baskol!$G$508="","",[2]Baskol!$G$508)</f>
        <v/>
      </c>
      <c r="Y505" t="str">
        <f>IF([2]Baskol!$I$508="","",[2]Baskol!$I$508)</f>
        <v/>
      </c>
      <c r="Z505" t="str">
        <f>IF([2]Baskol!$J$508="","",[2]Baskol!$J$508)</f>
        <v/>
      </c>
      <c r="AA505" t="str">
        <f>IF([2]Baskol!$K$508="","",[2]Baskol!$K$508)</f>
        <v/>
      </c>
      <c r="AB505" t="str">
        <f>IF([2]Baskol!$L$508="","",[2]Baskol!$L$508)</f>
        <v/>
      </c>
      <c r="AC505" t="str">
        <f>IF([2]Baskol!$N$508="","",[2]Baskol!$N$508)</f>
        <v/>
      </c>
      <c r="AD505" t="str">
        <f>IF([2]Baskol!$O$508="","",[2]Baskol!$O$508)</f>
        <v/>
      </c>
      <c r="AE505" t="str">
        <f>IF([3]Entry!$C$508="","",[3]Entry!$C$508)</f>
        <v/>
      </c>
      <c r="AF505" t="str">
        <f>IF([3]Entry!$D$508="","",[3]Entry!$D$508)</f>
        <v/>
      </c>
      <c r="AG505" t="str">
        <f>IF([3]Entry!$E$508="","",[3]Entry!$E$508)</f>
        <v/>
      </c>
      <c r="AH505" t="str">
        <f>IF([3]Entry!$G$508="","",[3]Entry!$G$508)</f>
        <v/>
      </c>
      <c r="AI505" t="str">
        <f>IF([3]Entry!$K$508="","",[3]Entry!$K$508)</f>
        <v/>
      </c>
      <c r="AJ505" t="str">
        <f>IF([3]Entry!$L$508="","",[3]Entry!$L$508)</f>
        <v/>
      </c>
      <c r="AK505" t="str">
        <f>IF([3]Entry!$M$508="","",[3]Entry!$M$508)</f>
        <v/>
      </c>
      <c r="AL505" t="str">
        <f>IF([3]Entry!$N$508="","",[3]Entry!$N$508)</f>
        <v/>
      </c>
      <c r="AM505" t="str">
        <f>IF([3]Entry!$R$508="","",[3]Entry!$R$508)</f>
        <v/>
      </c>
    </row>
    <row r="506" spans="1:39" x14ac:dyDescent="0.2">
      <c r="A506" t="str">
        <f>IF([1]Accounts!$D$507="","",[1]Accounts!$A$507)</f>
        <v>F001</v>
      </c>
      <c r="B506" t="str">
        <f>IF([1]Accounts!$D$507="","",[1]Accounts!$B$507)</f>
        <v>دارایی ثابت</v>
      </c>
      <c r="C506" t="str">
        <f>IF([1]Accounts!$D$507="","",[1]Accounts!$C$507)</f>
        <v>زمین و ساختمان</v>
      </c>
      <c r="D506" t="str">
        <f>IF([1]Accounts!$D$507="","",[1]Accounts!$D$507)</f>
        <v>زمین باغدشت (نمونه)</v>
      </c>
      <c r="E506">
        <f>IF([1]Accounts!$D$507="","",[1]Accounts!$E$507)</f>
        <v>0</v>
      </c>
      <c r="F506">
        <f>IF([1]Accounts!$D$507="","",[1]Accounts!$F$507)</f>
        <v>0</v>
      </c>
      <c r="G506" t="str">
        <f>IF([1]Accounts!$D$507="","",[1]Accounts!$G$507)</f>
        <v>باغدشت</v>
      </c>
      <c r="T506" t="str">
        <f>IF([2]Baskol!$B$509="","",[2]Baskol!$B$509)</f>
        <v/>
      </c>
      <c r="U506" t="str">
        <f>IF([2]Baskol!$C$509="","",[2]Baskol!$C$509)</f>
        <v/>
      </c>
      <c r="V506" t="str">
        <f>IF([2]Baskol!$D$509="","",[2]Baskol!$D$509)</f>
        <v/>
      </c>
      <c r="W506" t="str">
        <f>IF([2]Baskol!$E$509="","",[2]Baskol!$E$509)</f>
        <v/>
      </c>
      <c r="X506" t="str">
        <f>IF([2]Baskol!$G$509="","",[2]Baskol!$G$509)</f>
        <v/>
      </c>
      <c r="Y506" t="str">
        <f>IF([2]Baskol!$I$509="","",[2]Baskol!$I$509)</f>
        <v/>
      </c>
      <c r="Z506" t="str">
        <f>IF([2]Baskol!$J$509="","",[2]Baskol!$J$509)</f>
        <v/>
      </c>
      <c r="AA506" t="str">
        <f>IF([2]Baskol!$K$509="","",[2]Baskol!$K$509)</f>
        <v/>
      </c>
      <c r="AB506" t="str">
        <f>IF([2]Baskol!$L$509="","",[2]Baskol!$L$509)</f>
        <v/>
      </c>
      <c r="AC506" t="str">
        <f>IF([2]Baskol!$N$509="","",[2]Baskol!$N$509)</f>
        <v/>
      </c>
      <c r="AD506" t="str">
        <f>IF([2]Baskol!$O$509="","",[2]Baskol!$O$509)</f>
        <v/>
      </c>
      <c r="AE506" t="str">
        <f>IF([3]Entry!$C$509="","",[3]Entry!$C$509)</f>
        <v/>
      </c>
      <c r="AF506" t="str">
        <f>IF([3]Entry!$D$509="","",[3]Entry!$D$509)</f>
        <v/>
      </c>
      <c r="AG506" t="str">
        <f>IF([3]Entry!$E$509="","",[3]Entry!$E$509)</f>
        <v/>
      </c>
      <c r="AH506" t="str">
        <f>IF([3]Entry!$G$509="","",[3]Entry!$G$509)</f>
        <v/>
      </c>
      <c r="AI506" t="str">
        <f>IF([3]Entry!$K$509="","",[3]Entry!$K$509)</f>
        <v/>
      </c>
      <c r="AJ506" t="str">
        <f>IF([3]Entry!$L$509="","",[3]Entry!$L$509)</f>
        <v/>
      </c>
      <c r="AK506" t="str">
        <f>IF([3]Entry!$M$509="","",[3]Entry!$M$509)</f>
        <v/>
      </c>
      <c r="AL506" t="str">
        <f>IF([3]Entry!$N$509="","",[3]Entry!$N$509)</f>
        <v/>
      </c>
      <c r="AM506" t="str">
        <f>IF([3]Entry!$R$509="","",[3]Entry!$R$509)</f>
        <v/>
      </c>
    </row>
    <row r="507" spans="1:39" x14ac:dyDescent="0.2">
      <c r="A507" t="str">
        <f>IF([1]Accounts!$D$508="","",[1]Accounts!$A$508)</f>
        <v>F002</v>
      </c>
      <c r="B507" t="str">
        <f>IF([1]Accounts!$D$508="","",[1]Accounts!$B$508)</f>
        <v>دارایی ثابت</v>
      </c>
      <c r="C507" t="str">
        <f>IF([1]Accounts!$D$508="","",[1]Accounts!$C$508)</f>
        <v>خودرو و حمل‌ونقل</v>
      </c>
      <c r="D507" t="str">
        <f>IF([1]Accounts!$D$508="","",[1]Accounts!$D$508)</f>
        <v>خودرو وانت حمل بار (نمونه)</v>
      </c>
      <c r="E507">
        <f>IF([1]Accounts!$D$508="","",[1]Accounts!$E$508)</f>
        <v>0</v>
      </c>
      <c r="F507">
        <f>IF([1]Accounts!$D$508="","",[1]Accounts!$F$508)</f>
        <v>0</v>
      </c>
      <c r="G507">
        <f>IF([1]Accounts!$D$508="","",[1]Accounts!$G$508)</f>
        <v>0</v>
      </c>
      <c r="T507" t="str">
        <f>IF([2]Baskol!$B$510="","",[2]Baskol!$B$510)</f>
        <v/>
      </c>
      <c r="U507" t="str">
        <f>IF([2]Baskol!$C$510="","",[2]Baskol!$C$510)</f>
        <v/>
      </c>
      <c r="V507" t="str">
        <f>IF([2]Baskol!$D$510="","",[2]Baskol!$D$510)</f>
        <v/>
      </c>
      <c r="W507" t="str">
        <f>IF([2]Baskol!$E$510="","",[2]Baskol!$E$510)</f>
        <v/>
      </c>
      <c r="X507" t="str">
        <f>IF([2]Baskol!$G$510="","",[2]Baskol!$G$510)</f>
        <v/>
      </c>
      <c r="Y507" t="str">
        <f>IF([2]Baskol!$I$510="","",[2]Baskol!$I$510)</f>
        <v/>
      </c>
      <c r="Z507" t="str">
        <f>IF([2]Baskol!$J$510="","",[2]Baskol!$J$510)</f>
        <v/>
      </c>
      <c r="AA507" t="str">
        <f>IF([2]Baskol!$K$510="","",[2]Baskol!$K$510)</f>
        <v/>
      </c>
      <c r="AB507" t="str">
        <f>IF([2]Baskol!$L$510="","",[2]Baskol!$L$510)</f>
        <v/>
      </c>
      <c r="AC507" t="str">
        <f>IF([2]Baskol!$N$510="","",[2]Baskol!$N$510)</f>
        <v/>
      </c>
      <c r="AD507" t="str">
        <f>IF([2]Baskol!$O$510="","",[2]Baskol!$O$510)</f>
        <v/>
      </c>
      <c r="AE507" t="str">
        <f>IF([3]Entry!$C$510="","",[3]Entry!$C$510)</f>
        <v/>
      </c>
      <c r="AF507" t="str">
        <f>IF([3]Entry!$D$510="","",[3]Entry!$D$510)</f>
        <v/>
      </c>
      <c r="AG507" t="str">
        <f>IF([3]Entry!$E$510="","",[3]Entry!$E$510)</f>
        <v/>
      </c>
      <c r="AH507" t="str">
        <f>IF([3]Entry!$G$510="","",[3]Entry!$G$510)</f>
        <v/>
      </c>
      <c r="AI507" t="str">
        <f>IF([3]Entry!$K$510="","",[3]Entry!$K$510)</f>
        <v/>
      </c>
      <c r="AJ507" t="str">
        <f>IF([3]Entry!$L$510="","",[3]Entry!$L$510)</f>
        <v/>
      </c>
      <c r="AK507" t="str">
        <f>IF([3]Entry!$M$510="","",[3]Entry!$M$510)</f>
        <v/>
      </c>
      <c r="AL507" t="str">
        <f>IF([3]Entry!$N$510="","",[3]Entry!$N$510)</f>
        <v/>
      </c>
      <c r="AM507" t="str">
        <f>IF([3]Entry!$R$510="","",[3]Entry!$R$510)</f>
        <v/>
      </c>
    </row>
    <row r="508" spans="1:39" x14ac:dyDescent="0.2">
      <c r="A508" t="str">
        <f>IF([1]Accounts!$D$509="","",[1]Accounts!$A$509)</f>
        <v>F003</v>
      </c>
      <c r="B508" t="str">
        <f>IF([1]Accounts!$D$509="","",[1]Accounts!$B$509)</f>
        <v>دارایی ثابت</v>
      </c>
      <c r="C508" t="str">
        <f>IF([1]Accounts!$D$509="","",[1]Accounts!$C$509)</f>
        <v>ماشین‌آلات و تجهیزات</v>
      </c>
      <c r="D508" t="str">
        <f>IF([1]Accounts!$D$509="","",[1]Accounts!$D$509)</f>
        <v>ماشین‌آلات خط سورتینگ (نمونه)</v>
      </c>
      <c r="E508">
        <f>IF([1]Accounts!$D$509="","",[1]Accounts!$E$509)</f>
        <v>0</v>
      </c>
      <c r="F508">
        <f>IF([1]Accounts!$D$509="","",[1]Accounts!$F$509)</f>
        <v>0</v>
      </c>
      <c r="G508">
        <f>IF([1]Accounts!$D$509="","",[1]Accounts!$G$509)</f>
        <v>0</v>
      </c>
      <c r="T508" t="str">
        <f>IF([2]Baskol!$B$511="","",[2]Baskol!$B$511)</f>
        <v/>
      </c>
      <c r="U508" t="str">
        <f>IF([2]Baskol!$C$511="","",[2]Baskol!$C$511)</f>
        <v/>
      </c>
      <c r="V508" t="str">
        <f>IF([2]Baskol!$D$511="","",[2]Baskol!$D$511)</f>
        <v/>
      </c>
      <c r="W508" t="str">
        <f>IF([2]Baskol!$E$511="","",[2]Baskol!$E$511)</f>
        <v/>
      </c>
      <c r="X508" t="str">
        <f>IF([2]Baskol!$G$511="","",[2]Baskol!$G$511)</f>
        <v/>
      </c>
      <c r="Y508" t="str">
        <f>IF([2]Baskol!$I$511="","",[2]Baskol!$I$511)</f>
        <v/>
      </c>
      <c r="Z508" t="str">
        <f>IF([2]Baskol!$J$511="","",[2]Baskol!$J$511)</f>
        <v/>
      </c>
      <c r="AA508" t="str">
        <f>IF([2]Baskol!$K$511="","",[2]Baskol!$K$511)</f>
        <v/>
      </c>
      <c r="AB508" t="str">
        <f>IF([2]Baskol!$L$511="","",[2]Baskol!$L$511)</f>
        <v/>
      </c>
      <c r="AC508" t="str">
        <f>IF([2]Baskol!$N$511="","",[2]Baskol!$N$511)</f>
        <v/>
      </c>
      <c r="AD508" t="str">
        <f>IF([2]Baskol!$O$511="","",[2]Baskol!$O$511)</f>
        <v/>
      </c>
      <c r="AE508" t="str">
        <f>IF([3]Entry!$C$511="","",[3]Entry!$C$511)</f>
        <v/>
      </c>
      <c r="AF508" t="str">
        <f>IF([3]Entry!$D$511="","",[3]Entry!$D$511)</f>
        <v/>
      </c>
      <c r="AG508" t="str">
        <f>IF([3]Entry!$E$511="","",[3]Entry!$E$511)</f>
        <v/>
      </c>
      <c r="AH508" t="str">
        <f>IF([3]Entry!$G$511="","",[3]Entry!$G$511)</f>
        <v/>
      </c>
      <c r="AI508" t="str">
        <f>IF([3]Entry!$K$511="","",[3]Entry!$K$511)</f>
        <v/>
      </c>
      <c r="AJ508" t="str">
        <f>IF([3]Entry!$L$511="","",[3]Entry!$L$511)</f>
        <v/>
      </c>
      <c r="AK508" t="str">
        <f>IF([3]Entry!$M$511="","",[3]Entry!$M$511)</f>
        <v/>
      </c>
      <c r="AL508" t="str">
        <f>IF([3]Entry!$N$511="","",[3]Entry!$N$511)</f>
        <v/>
      </c>
      <c r="AM508" t="str">
        <f>IF([3]Entry!$R$511="","",[3]Entry!$R$511)</f>
        <v/>
      </c>
    </row>
    <row r="509" spans="1:39" x14ac:dyDescent="0.2">
      <c r="A509" t="str">
        <f>IF([1]Accounts!$D$510="","",[1]Accounts!$A$510)</f>
        <v/>
      </c>
      <c r="B509" t="str">
        <f>IF([1]Accounts!$D$510="","",[1]Accounts!$B$510)</f>
        <v/>
      </c>
      <c r="C509" t="str">
        <f>IF([1]Accounts!$D$510="","",[1]Accounts!$C$510)</f>
        <v/>
      </c>
      <c r="D509" t="str">
        <f>IF([1]Accounts!$D$510="","",[1]Accounts!$D$510)</f>
        <v/>
      </c>
      <c r="E509" t="str">
        <f>IF([1]Accounts!$D$510="","",[1]Accounts!$E$510)</f>
        <v/>
      </c>
      <c r="F509" t="str">
        <f>IF([1]Accounts!$D$510="","",[1]Accounts!$F$510)</f>
        <v/>
      </c>
      <c r="G509" t="str">
        <f>IF([1]Accounts!$D$510="","",[1]Accounts!$G$510)</f>
        <v/>
      </c>
      <c r="T509" t="str">
        <f>IF([2]Baskol!$B$512="","",[2]Baskol!$B$512)</f>
        <v/>
      </c>
      <c r="U509" t="str">
        <f>IF([2]Baskol!$C$512="","",[2]Baskol!$C$512)</f>
        <v/>
      </c>
      <c r="V509" t="str">
        <f>IF([2]Baskol!$D$512="","",[2]Baskol!$D$512)</f>
        <v/>
      </c>
      <c r="W509" t="str">
        <f>IF([2]Baskol!$E$512="","",[2]Baskol!$E$512)</f>
        <v/>
      </c>
      <c r="X509" t="str">
        <f>IF([2]Baskol!$G$512="","",[2]Baskol!$G$512)</f>
        <v/>
      </c>
      <c r="Y509" t="str">
        <f>IF([2]Baskol!$I$512="","",[2]Baskol!$I$512)</f>
        <v/>
      </c>
      <c r="Z509" t="str">
        <f>IF([2]Baskol!$J$512="","",[2]Baskol!$J$512)</f>
        <v/>
      </c>
      <c r="AA509" t="str">
        <f>IF([2]Baskol!$K$512="","",[2]Baskol!$K$512)</f>
        <v/>
      </c>
      <c r="AB509" t="str">
        <f>IF([2]Baskol!$L$512="","",[2]Baskol!$L$512)</f>
        <v/>
      </c>
      <c r="AC509" t="str">
        <f>IF([2]Baskol!$N$512="","",[2]Baskol!$N$512)</f>
        <v/>
      </c>
      <c r="AD509" t="str">
        <f>IF([2]Baskol!$O$512="","",[2]Baskol!$O$512)</f>
        <v/>
      </c>
      <c r="AE509" t="str">
        <f>IF([3]Entry!$C$512="","",[3]Entry!$C$512)</f>
        <v/>
      </c>
      <c r="AF509" t="str">
        <f>IF([3]Entry!$D$512="","",[3]Entry!$D$512)</f>
        <v/>
      </c>
      <c r="AG509" t="str">
        <f>IF([3]Entry!$E$512="","",[3]Entry!$E$512)</f>
        <v/>
      </c>
      <c r="AH509" t="str">
        <f>IF([3]Entry!$G$512="","",[3]Entry!$G$512)</f>
        <v/>
      </c>
      <c r="AI509" t="str">
        <f>IF([3]Entry!$K$512="","",[3]Entry!$K$512)</f>
        <v/>
      </c>
      <c r="AJ509" t="str">
        <f>IF([3]Entry!$L$512="","",[3]Entry!$L$512)</f>
        <v/>
      </c>
      <c r="AK509" t="str">
        <f>IF([3]Entry!$M$512="","",[3]Entry!$M$512)</f>
        <v/>
      </c>
      <c r="AL509" t="str">
        <f>IF([3]Entry!$N$512="","",[3]Entry!$N$512)</f>
        <v/>
      </c>
      <c r="AM509" t="str">
        <f>IF([3]Entry!$R$512="","",[3]Entry!$R$512)</f>
        <v/>
      </c>
    </row>
    <row r="510" spans="1:39" x14ac:dyDescent="0.2">
      <c r="A510" t="str">
        <f>IF([1]Accounts!$D$511="","",[1]Accounts!$A$511)</f>
        <v/>
      </c>
      <c r="B510" t="str">
        <f>IF([1]Accounts!$D$511="","",[1]Accounts!$B$511)</f>
        <v/>
      </c>
      <c r="C510" t="str">
        <f>IF([1]Accounts!$D$511="","",[1]Accounts!$C$511)</f>
        <v/>
      </c>
      <c r="D510" t="str">
        <f>IF([1]Accounts!$D$511="","",[1]Accounts!$D$511)</f>
        <v/>
      </c>
      <c r="E510" t="str">
        <f>IF([1]Accounts!$D$511="","",[1]Accounts!$E$511)</f>
        <v/>
      </c>
      <c r="F510" t="str">
        <f>IF([1]Accounts!$D$511="","",[1]Accounts!$F$511)</f>
        <v/>
      </c>
      <c r="G510" t="str">
        <f>IF([1]Accounts!$D$511="","",[1]Accounts!$G$511)</f>
        <v/>
      </c>
      <c r="T510" t="str">
        <f>IF([2]Baskol!$B$513="","",[2]Baskol!$B$513)</f>
        <v/>
      </c>
      <c r="U510" t="str">
        <f>IF([2]Baskol!$C$513="","",[2]Baskol!$C$513)</f>
        <v/>
      </c>
      <c r="V510" t="str">
        <f>IF([2]Baskol!$D$513="","",[2]Baskol!$D$513)</f>
        <v/>
      </c>
      <c r="W510" t="str">
        <f>IF([2]Baskol!$E$513="","",[2]Baskol!$E$513)</f>
        <v/>
      </c>
      <c r="X510" t="str">
        <f>IF([2]Baskol!$G$513="","",[2]Baskol!$G$513)</f>
        <v/>
      </c>
      <c r="Y510" t="str">
        <f>IF([2]Baskol!$I$513="","",[2]Baskol!$I$513)</f>
        <v/>
      </c>
      <c r="Z510" t="str">
        <f>IF([2]Baskol!$J$513="","",[2]Baskol!$J$513)</f>
        <v/>
      </c>
      <c r="AA510" t="str">
        <f>IF([2]Baskol!$K$513="","",[2]Baskol!$K$513)</f>
        <v/>
      </c>
      <c r="AB510" t="str">
        <f>IF([2]Baskol!$L$513="","",[2]Baskol!$L$513)</f>
        <v/>
      </c>
      <c r="AC510" t="str">
        <f>IF([2]Baskol!$N$513="","",[2]Baskol!$N$513)</f>
        <v/>
      </c>
      <c r="AD510" t="str">
        <f>IF([2]Baskol!$O$513="","",[2]Baskol!$O$513)</f>
        <v/>
      </c>
      <c r="AE510" t="str">
        <f>IF([3]Entry!$C$513="","",[3]Entry!$C$513)</f>
        <v/>
      </c>
      <c r="AF510" t="str">
        <f>IF([3]Entry!$D$513="","",[3]Entry!$D$513)</f>
        <v/>
      </c>
      <c r="AG510" t="str">
        <f>IF([3]Entry!$E$513="","",[3]Entry!$E$513)</f>
        <v/>
      </c>
      <c r="AH510" t="str">
        <f>IF([3]Entry!$G$513="","",[3]Entry!$G$513)</f>
        <v/>
      </c>
      <c r="AI510" t="str">
        <f>IF([3]Entry!$K$513="","",[3]Entry!$K$513)</f>
        <v/>
      </c>
      <c r="AJ510" t="str">
        <f>IF([3]Entry!$L$513="","",[3]Entry!$L$513)</f>
        <v/>
      </c>
      <c r="AK510" t="str">
        <f>IF([3]Entry!$M$513="","",[3]Entry!$M$513)</f>
        <v/>
      </c>
      <c r="AL510" t="str">
        <f>IF([3]Entry!$N$513="","",[3]Entry!$N$513)</f>
        <v/>
      </c>
      <c r="AM510" t="str">
        <f>IF([3]Entry!$R$513="","",[3]Entry!$R$513)</f>
        <v/>
      </c>
    </row>
    <row r="511" spans="1:39" x14ac:dyDescent="0.2">
      <c r="A511" t="str">
        <f>IF([1]Accounts!$D$512="","",[1]Accounts!$A$512)</f>
        <v/>
      </c>
      <c r="B511" t="str">
        <f>IF([1]Accounts!$D$512="","",[1]Accounts!$B$512)</f>
        <v/>
      </c>
      <c r="C511" t="str">
        <f>IF([1]Accounts!$D$512="","",[1]Accounts!$C$512)</f>
        <v/>
      </c>
      <c r="D511" t="str">
        <f>IF([1]Accounts!$D$512="","",[1]Accounts!$D$512)</f>
        <v/>
      </c>
      <c r="E511" t="str">
        <f>IF([1]Accounts!$D$512="","",[1]Accounts!$E$512)</f>
        <v/>
      </c>
      <c r="F511" t="str">
        <f>IF([1]Accounts!$D$512="","",[1]Accounts!$F$512)</f>
        <v/>
      </c>
      <c r="G511" t="str">
        <f>IF([1]Accounts!$D$512="","",[1]Accounts!$G$512)</f>
        <v/>
      </c>
      <c r="T511" t="str">
        <f>IF([2]Baskol!$B$514="","",[2]Baskol!$B$514)</f>
        <v/>
      </c>
      <c r="U511" t="str">
        <f>IF([2]Baskol!$C$514="","",[2]Baskol!$C$514)</f>
        <v/>
      </c>
      <c r="V511" t="str">
        <f>IF([2]Baskol!$D$514="","",[2]Baskol!$D$514)</f>
        <v/>
      </c>
      <c r="W511" t="str">
        <f>IF([2]Baskol!$E$514="","",[2]Baskol!$E$514)</f>
        <v/>
      </c>
      <c r="X511" t="str">
        <f>IF([2]Baskol!$G$514="","",[2]Baskol!$G$514)</f>
        <v/>
      </c>
      <c r="Y511" t="str">
        <f>IF([2]Baskol!$I$514="","",[2]Baskol!$I$514)</f>
        <v/>
      </c>
      <c r="Z511" t="str">
        <f>IF([2]Baskol!$J$514="","",[2]Baskol!$J$514)</f>
        <v/>
      </c>
      <c r="AA511" t="str">
        <f>IF([2]Baskol!$K$514="","",[2]Baskol!$K$514)</f>
        <v/>
      </c>
      <c r="AB511" t="str">
        <f>IF([2]Baskol!$L$514="","",[2]Baskol!$L$514)</f>
        <v/>
      </c>
      <c r="AC511" t="str">
        <f>IF([2]Baskol!$N$514="","",[2]Baskol!$N$514)</f>
        <v/>
      </c>
      <c r="AD511" t="str">
        <f>IF([2]Baskol!$O$514="","",[2]Baskol!$O$514)</f>
        <v/>
      </c>
      <c r="AE511" t="str">
        <f>IF([3]Entry!$C$514="","",[3]Entry!$C$514)</f>
        <v/>
      </c>
      <c r="AF511" t="str">
        <f>IF([3]Entry!$D$514="","",[3]Entry!$D$514)</f>
        <v/>
      </c>
      <c r="AG511" t="str">
        <f>IF([3]Entry!$E$514="","",[3]Entry!$E$514)</f>
        <v/>
      </c>
      <c r="AH511" t="str">
        <f>IF([3]Entry!$G$514="","",[3]Entry!$G$514)</f>
        <v/>
      </c>
      <c r="AI511" t="str">
        <f>IF([3]Entry!$K$514="","",[3]Entry!$K$514)</f>
        <v/>
      </c>
      <c r="AJ511" t="str">
        <f>IF([3]Entry!$L$514="","",[3]Entry!$L$514)</f>
        <v/>
      </c>
      <c r="AK511" t="str">
        <f>IF([3]Entry!$M$514="","",[3]Entry!$M$514)</f>
        <v/>
      </c>
      <c r="AL511" t="str">
        <f>IF([3]Entry!$N$514="","",[3]Entry!$N$514)</f>
        <v/>
      </c>
      <c r="AM511" t="str">
        <f>IF([3]Entry!$R$514="","",[3]Entry!$R$514)</f>
        <v/>
      </c>
    </row>
    <row r="512" spans="1:39" x14ac:dyDescent="0.2">
      <c r="A512" t="str">
        <f>IF([1]Accounts!$D$513="","",[1]Accounts!$A$513)</f>
        <v/>
      </c>
      <c r="B512" t="str">
        <f>IF([1]Accounts!$D$513="","",[1]Accounts!$B$513)</f>
        <v/>
      </c>
      <c r="C512" t="str">
        <f>IF([1]Accounts!$D$513="","",[1]Accounts!$C$513)</f>
        <v/>
      </c>
      <c r="D512" t="str">
        <f>IF([1]Accounts!$D$513="","",[1]Accounts!$D$513)</f>
        <v/>
      </c>
      <c r="E512" t="str">
        <f>IF([1]Accounts!$D$513="","",[1]Accounts!$E$513)</f>
        <v/>
      </c>
      <c r="F512" t="str">
        <f>IF([1]Accounts!$D$513="","",[1]Accounts!$F$513)</f>
        <v/>
      </c>
      <c r="G512" t="str">
        <f>IF([1]Accounts!$D$513="","",[1]Accounts!$G$513)</f>
        <v/>
      </c>
      <c r="T512" t="str">
        <f>IF([2]Baskol!$B$515="","",[2]Baskol!$B$515)</f>
        <v/>
      </c>
      <c r="U512" t="str">
        <f>IF([2]Baskol!$C$515="","",[2]Baskol!$C$515)</f>
        <v/>
      </c>
      <c r="V512" t="str">
        <f>IF([2]Baskol!$D$515="","",[2]Baskol!$D$515)</f>
        <v/>
      </c>
      <c r="W512" t="str">
        <f>IF([2]Baskol!$E$515="","",[2]Baskol!$E$515)</f>
        <v/>
      </c>
      <c r="X512" t="str">
        <f>IF([2]Baskol!$G$515="","",[2]Baskol!$G$515)</f>
        <v/>
      </c>
      <c r="Y512" t="str">
        <f>IF([2]Baskol!$I$515="","",[2]Baskol!$I$515)</f>
        <v/>
      </c>
      <c r="Z512" t="str">
        <f>IF([2]Baskol!$J$515="","",[2]Baskol!$J$515)</f>
        <v/>
      </c>
      <c r="AA512" t="str">
        <f>IF([2]Baskol!$K$515="","",[2]Baskol!$K$515)</f>
        <v/>
      </c>
      <c r="AB512" t="str">
        <f>IF([2]Baskol!$L$515="","",[2]Baskol!$L$515)</f>
        <v/>
      </c>
      <c r="AC512" t="str">
        <f>IF([2]Baskol!$N$515="","",[2]Baskol!$N$515)</f>
        <v/>
      </c>
      <c r="AD512" t="str">
        <f>IF([2]Baskol!$O$515="","",[2]Baskol!$O$515)</f>
        <v/>
      </c>
      <c r="AE512" t="str">
        <f>IF([3]Entry!$C$515="","",[3]Entry!$C$515)</f>
        <v/>
      </c>
      <c r="AF512" t="str">
        <f>IF([3]Entry!$D$515="","",[3]Entry!$D$515)</f>
        <v/>
      </c>
      <c r="AG512" t="str">
        <f>IF([3]Entry!$E$515="","",[3]Entry!$E$515)</f>
        <v/>
      </c>
      <c r="AH512" t="str">
        <f>IF([3]Entry!$G$515="","",[3]Entry!$G$515)</f>
        <v/>
      </c>
      <c r="AI512" t="str">
        <f>IF([3]Entry!$K$515="","",[3]Entry!$K$515)</f>
        <v/>
      </c>
      <c r="AJ512" t="str">
        <f>IF([3]Entry!$L$515="","",[3]Entry!$L$515)</f>
        <v/>
      </c>
      <c r="AK512" t="str">
        <f>IF([3]Entry!$M$515="","",[3]Entry!$M$515)</f>
        <v/>
      </c>
      <c r="AL512" t="str">
        <f>IF([3]Entry!$N$515="","",[3]Entry!$N$515)</f>
        <v/>
      </c>
      <c r="AM512" t="str">
        <f>IF([3]Entry!$R$515="","",[3]Entry!$R$515)</f>
        <v/>
      </c>
    </row>
    <row r="513" spans="1:39" x14ac:dyDescent="0.2">
      <c r="A513" t="str">
        <f>IF([1]Accounts!$D$514="","",[1]Accounts!$A$514)</f>
        <v/>
      </c>
      <c r="B513" t="str">
        <f>IF([1]Accounts!$D$514="","",[1]Accounts!$B$514)</f>
        <v/>
      </c>
      <c r="C513" t="str">
        <f>IF([1]Accounts!$D$514="","",[1]Accounts!$C$514)</f>
        <v/>
      </c>
      <c r="D513" t="str">
        <f>IF([1]Accounts!$D$514="","",[1]Accounts!$D$514)</f>
        <v/>
      </c>
      <c r="E513" t="str">
        <f>IF([1]Accounts!$D$514="","",[1]Accounts!$E$514)</f>
        <v/>
      </c>
      <c r="F513" t="str">
        <f>IF([1]Accounts!$D$514="","",[1]Accounts!$F$514)</f>
        <v/>
      </c>
      <c r="G513" t="str">
        <f>IF([1]Accounts!$D$514="","",[1]Accounts!$G$514)</f>
        <v/>
      </c>
      <c r="T513" t="str">
        <f>IF([2]Baskol!$B$516="","",[2]Baskol!$B$516)</f>
        <v/>
      </c>
      <c r="U513" t="str">
        <f>IF([2]Baskol!$C$516="","",[2]Baskol!$C$516)</f>
        <v/>
      </c>
      <c r="V513" t="str">
        <f>IF([2]Baskol!$D$516="","",[2]Baskol!$D$516)</f>
        <v/>
      </c>
      <c r="W513" t="str">
        <f>IF([2]Baskol!$E$516="","",[2]Baskol!$E$516)</f>
        <v/>
      </c>
      <c r="X513" t="str">
        <f>IF([2]Baskol!$G$516="","",[2]Baskol!$G$516)</f>
        <v/>
      </c>
      <c r="Y513" t="str">
        <f>IF([2]Baskol!$I$516="","",[2]Baskol!$I$516)</f>
        <v/>
      </c>
      <c r="Z513" t="str">
        <f>IF([2]Baskol!$J$516="","",[2]Baskol!$J$516)</f>
        <v/>
      </c>
      <c r="AA513" t="str">
        <f>IF([2]Baskol!$K$516="","",[2]Baskol!$K$516)</f>
        <v/>
      </c>
      <c r="AB513" t="str">
        <f>IF([2]Baskol!$L$516="","",[2]Baskol!$L$516)</f>
        <v/>
      </c>
      <c r="AC513" t="str">
        <f>IF([2]Baskol!$N$516="","",[2]Baskol!$N$516)</f>
        <v/>
      </c>
      <c r="AD513" t="str">
        <f>IF([2]Baskol!$O$516="","",[2]Baskol!$O$516)</f>
        <v/>
      </c>
      <c r="AE513" t="str">
        <f>IF([3]Entry!$C$516="","",[3]Entry!$C$516)</f>
        <v/>
      </c>
      <c r="AF513" t="str">
        <f>IF([3]Entry!$D$516="","",[3]Entry!$D$516)</f>
        <v/>
      </c>
      <c r="AG513" t="str">
        <f>IF([3]Entry!$E$516="","",[3]Entry!$E$516)</f>
        <v/>
      </c>
      <c r="AH513" t="str">
        <f>IF([3]Entry!$G$516="","",[3]Entry!$G$516)</f>
        <v/>
      </c>
      <c r="AI513" t="str">
        <f>IF([3]Entry!$K$516="","",[3]Entry!$K$516)</f>
        <v/>
      </c>
      <c r="AJ513" t="str">
        <f>IF([3]Entry!$L$516="","",[3]Entry!$L$516)</f>
        <v/>
      </c>
      <c r="AK513" t="str">
        <f>IF([3]Entry!$M$516="","",[3]Entry!$M$516)</f>
        <v/>
      </c>
      <c r="AL513" t="str">
        <f>IF([3]Entry!$N$516="","",[3]Entry!$N$516)</f>
        <v/>
      </c>
      <c r="AM513" t="str">
        <f>IF([3]Entry!$R$516="","",[3]Entry!$R$516)</f>
        <v/>
      </c>
    </row>
    <row r="514" spans="1:39" x14ac:dyDescent="0.2">
      <c r="A514" t="str">
        <f>IF([1]Accounts!$D$515="","",[1]Accounts!$A$515)</f>
        <v/>
      </c>
      <c r="B514" t="str">
        <f>IF([1]Accounts!$D$515="","",[1]Accounts!$B$515)</f>
        <v/>
      </c>
      <c r="C514" t="str">
        <f>IF([1]Accounts!$D$515="","",[1]Accounts!$C$515)</f>
        <v/>
      </c>
      <c r="D514" t="str">
        <f>IF([1]Accounts!$D$515="","",[1]Accounts!$D$515)</f>
        <v/>
      </c>
      <c r="E514" t="str">
        <f>IF([1]Accounts!$D$515="","",[1]Accounts!$E$515)</f>
        <v/>
      </c>
      <c r="F514" t="str">
        <f>IF([1]Accounts!$D$515="","",[1]Accounts!$F$515)</f>
        <v/>
      </c>
      <c r="G514" t="str">
        <f>IF([1]Accounts!$D$515="","",[1]Accounts!$G$515)</f>
        <v/>
      </c>
      <c r="T514" t="str">
        <f>IF([2]Baskol!$B$517="","",[2]Baskol!$B$517)</f>
        <v/>
      </c>
      <c r="U514" t="str">
        <f>IF([2]Baskol!$C$517="","",[2]Baskol!$C$517)</f>
        <v/>
      </c>
      <c r="V514" t="str">
        <f>IF([2]Baskol!$D$517="","",[2]Baskol!$D$517)</f>
        <v/>
      </c>
      <c r="W514" t="str">
        <f>IF([2]Baskol!$E$517="","",[2]Baskol!$E$517)</f>
        <v/>
      </c>
      <c r="X514" t="str">
        <f>IF([2]Baskol!$G$517="","",[2]Baskol!$G$517)</f>
        <v/>
      </c>
      <c r="Y514" t="str">
        <f>IF([2]Baskol!$I$517="","",[2]Baskol!$I$517)</f>
        <v/>
      </c>
      <c r="Z514" t="str">
        <f>IF([2]Baskol!$J$517="","",[2]Baskol!$J$517)</f>
        <v/>
      </c>
      <c r="AA514" t="str">
        <f>IF([2]Baskol!$K$517="","",[2]Baskol!$K$517)</f>
        <v/>
      </c>
      <c r="AB514" t="str">
        <f>IF([2]Baskol!$L$517="","",[2]Baskol!$L$517)</f>
        <v/>
      </c>
      <c r="AC514" t="str">
        <f>IF([2]Baskol!$N$517="","",[2]Baskol!$N$517)</f>
        <v/>
      </c>
      <c r="AD514" t="str">
        <f>IF([2]Baskol!$O$517="","",[2]Baskol!$O$517)</f>
        <v/>
      </c>
      <c r="AE514" t="str">
        <f>IF([3]Entry!$C$517="","",[3]Entry!$C$517)</f>
        <v/>
      </c>
      <c r="AF514" t="str">
        <f>IF([3]Entry!$D$517="","",[3]Entry!$D$517)</f>
        <v/>
      </c>
      <c r="AG514" t="str">
        <f>IF([3]Entry!$E$517="","",[3]Entry!$E$517)</f>
        <v/>
      </c>
      <c r="AH514" t="str">
        <f>IF([3]Entry!$G$517="","",[3]Entry!$G$517)</f>
        <v/>
      </c>
      <c r="AI514" t="str">
        <f>IF([3]Entry!$K$517="","",[3]Entry!$K$517)</f>
        <v/>
      </c>
      <c r="AJ514" t="str">
        <f>IF([3]Entry!$L$517="","",[3]Entry!$L$517)</f>
        <v/>
      </c>
      <c r="AK514" t="str">
        <f>IF([3]Entry!$M$517="","",[3]Entry!$M$517)</f>
        <v/>
      </c>
      <c r="AL514" t="str">
        <f>IF([3]Entry!$N$517="","",[3]Entry!$N$517)</f>
        <v/>
      </c>
      <c r="AM514" t="str">
        <f>IF([3]Entry!$R$517="","",[3]Entry!$R$517)</f>
        <v/>
      </c>
    </row>
    <row r="515" spans="1:39" x14ac:dyDescent="0.2">
      <c r="A515" t="str">
        <f>IF([1]Accounts!$D$516="","",[1]Accounts!$A$516)</f>
        <v/>
      </c>
      <c r="B515" t="str">
        <f>IF([1]Accounts!$D$516="","",[1]Accounts!$B$516)</f>
        <v/>
      </c>
      <c r="C515" t="str">
        <f>IF([1]Accounts!$D$516="","",[1]Accounts!$C$516)</f>
        <v/>
      </c>
      <c r="D515" t="str">
        <f>IF([1]Accounts!$D$516="","",[1]Accounts!$D$516)</f>
        <v/>
      </c>
      <c r="E515" t="str">
        <f>IF([1]Accounts!$D$516="","",[1]Accounts!$E$516)</f>
        <v/>
      </c>
      <c r="F515" t="str">
        <f>IF([1]Accounts!$D$516="","",[1]Accounts!$F$516)</f>
        <v/>
      </c>
      <c r="G515" t="str">
        <f>IF([1]Accounts!$D$516="","",[1]Accounts!$G$516)</f>
        <v/>
      </c>
      <c r="T515" t="str">
        <f>IF([2]Baskol!$B$518="","",[2]Baskol!$B$518)</f>
        <v/>
      </c>
      <c r="U515" t="str">
        <f>IF([2]Baskol!$C$518="","",[2]Baskol!$C$518)</f>
        <v/>
      </c>
      <c r="V515" t="str">
        <f>IF([2]Baskol!$D$518="","",[2]Baskol!$D$518)</f>
        <v/>
      </c>
      <c r="W515" t="str">
        <f>IF([2]Baskol!$E$518="","",[2]Baskol!$E$518)</f>
        <v/>
      </c>
      <c r="X515" t="str">
        <f>IF([2]Baskol!$G$518="","",[2]Baskol!$G$518)</f>
        <v/>
      </c>
      <c r="Y515" t="str">
        <f>IF([2]Baskol!$I$518="","",[2]Baskol!$I$518)</f>
        <v/>
      </c>
      <c r="Z515" t="str">
        <f>IF([2]Baskol!$J$518="","",[2]Baskol!$J$518)</f>
        <v/>
      </c>
      <c r="AA515" t="str">
        <f>IF([2]Baskol!$K$518="","",[2]Baskol!$K$518)</f>
        <v/>
      </c>
      <c r="AB515" t="str">
        <f>IF([2]Baskol!$L$518="","",[2]Baskol!$L$518)</f>
        <v/>
      </c>
      <c r="AC515" t="str">
        <f>IF([2]Baskol!$N$518="","",[2]Baskol!$N$518)</f>
        <v/>
      </c>
      <c r="AD515" t="str">
        <f>IF([2]Baskol!$O$518="","",[2]Baskol!$O$518)</f>
        <v/>
      </c>
      <c r="AE515" t="str">
        <f>IF([3]Entry!$C$518="","",[3]Entry!$C$518)</f>
        <v/>
      </c>
      <c r="AF515" t="str">
        <f>IF([3]Entry!$D$518="","",[3]Entry!$D$518)</f>
        <v/>
      </c>
      <c r="AG515" t="str">
        <f>IF([3]Entry!$E$518="","",[3]Entry!$E$518)</f>
        <v/>
      </c>
      <c r="AH515" t="str">
        <f>IF([3]Entry!$G$518="","",[3]Entry!$G$518)</f>
        <v/>
      </c>
      <c r="AI515" t="str">
        <f>IF([3]Entry!$K$518="","",[3]Entry!$K$518)</f>
        <v/>
      </c>
      <c r="AJ515" t="str">
        <f>IF([3]Entry!$L$518="","",[3]Entry!$L$518)</f>
        <v/>
      </c>
      <c r="AK515" t="str">
        <f>IF([3]Entry!$M$518="","",[3]Entry!$M$518)</f>
        <v/>
      </c>
      <c r="AL515" t="str">
        <f>IF([3]Entry!$N$518="","",[3]Entry!$N$518)</f>
        <v/>
      </c>
      <c r="AM515" t="str">
        <f>IF([3]Entry!$R$518="","",[3]Entry!$R$518)</f>
        <v/>
      </c>
    </row>
    <row r="516" spans="1:39" x14ac:dyDescent="0.2">
      <c r="A516" t="str">
        <f>IF([1]Accounts!$D$517="","",[1]Accounts!$A$517)</f>
        <v/>
      </c>
      <c r="B516" t="str">
        <f>IF([1]Accounts!$D$517="","",[1]Accounts!$B$517)</f>
        <v/>
      </c>
      <c r="C516" t="str">
        <f>IF([1]Accounts!$D$517="","",[1]Accounts!$C$517)</f>
        <v/>
      </c>
      <c r="D516" t="str">
        <f>IF([1]Accounts!$D$517="","",[1]Accounts!$D$517)</f>
        <v/>
      </c>
      <c r="E516" t="str">
        <f>IF([1]Accounts!$D$517="","",[1]Accounts!$E$517)</f>
        <v/>
      </c>
      <c r="F516" t="str">
        <f>IF([1]Accounts!$D$517="","",[1]Accounts!$F$517)</f>
        <v/>
      </c>
      <c r="G516" t="str">
        <f>IF([1]Accounts!$D$517="","",[1]Accounts!$G$517)</f>
        <v/>
      </c>
      <c r="T516" t="str">
        <f>IF([2]Baskol!$B$519="","",[2]Baskol!$B$519)</f>
        <v/>
      </c>
      <c r="U516" t="str">
        <f>IF([2]Baskol!$C$519="","",[2]Baskol!$C$519)</f>
        <v/>
      </c>
      <c r="V516" t="str">
        <f>IF([2]Baskol!$D$519="","",[2]Baskol!$D$519)</f>
        <v/>
      </c>
      <c r="W516" t="str">
        <f>IF([2]Baskol!$E$519="","",[2]Baskol!$E$519)</f>
        <v/>
      </c>
      <c r="X516" t="str">
        <f>IF([2]Baskol!$G$519="","",[2]Baskol!$G$519)</f>
        <v/>
      </c>
      <c r="Y516" t="str">
        <f>IF([2]Baskol!$I$519="","",[2]Baskol!$I$519)</f>
        <v/>
      </c>
      <c r="Z516" t="str">
        <f>IF([2]Baskol!$J$519="","",[2]Baskol!$J$519)</f>
        <v/>
      </c>
      <c r="AA516" t="str">
        <f>IF([2]Baskol!$K$519="","",[2]Baskol!$K$519)</f>
        <v/>
      </c>
      <c r="AB516" t="str">
        <f>IF([2]Baskol!$L$519="","",[2]Baskol!$L$519)</f>
        <v/>
      </c>
      <c r="AC516" t="str">
        <f>IF([2]Baskol!$N$519="","",[2]Baskol!$N$519)</f>
        <v/>
      </c>
      <c r="AD516" t="str">
        <f>IF([2]Baskol!$O$519="","",[2]Baskol!$O$519)</f>
        <v/>
      </c>
      <c r="AE516" t="str">
        <f>IF([3]Entry!$C$519="","",[3]Entry!$C$519)</f>
        <v/>
      </c>
      <c r="AF516" t="str">
        <f>IF([3]Entry!$D$519="","",[3]Entry!$D$519)</f>
        <v/>
      </c>
      <c r="AG516" t="str">
        <f>IF([3]Entry!$E$519="","",[3]Entry!$E$519)</f>
        <v/>
      </c>
      <c r="AH516" t="str">
        <f>IF([3]Entry!$G$519="","",[3]Entry!$G$519)</f>
        <v/>
      </c>
      <c r="AI516" t="str">
        <f>IF([3]Entry!$K$519="","",[3]Entry!$K$519)</f>
        <v/>
      </c>
      <c r="AJ516" t="str">
        <f>IF([3]Entry!$L$519="","",[3]Entry!$L$519)</f>
        <v/>
      </c>
      <c r="AK516" t="str">
        <f>IF([3]Entry!$M$519="","",[3]Entry!$M$519)</f>
        <v/>
      </c>
      <c r="AL516" t="str">
        <f>IF([3]Entry!$N$519="","",[3]Entry!$N$519)</f>
        <v/>
      </c>
      <c r="AM516" t="str">
        <f>IF([3]Entry!$R$519="","",[3]Entry!$R$519)</f>
        <v/>
      </c>
    </row>
    <row r="517" spans="1:39" x14ac:dyDescent="0.2">
      <c r="A517" t="str">
        <f>IF([1]Accounts!$D$518="","",[1]Accounts!$A$518)</f>
        <v/>
      </c>
      <c r="B517" t="str">
        <f>IF([1]Accounts!$D$518="","",[1]Accounts!$B$518)</f>
        <v/>
      </c>
      <c r="C517" t="str">
        <f>IF([1]Accounts!$D$518="","",[1]Accounts!$C$518)</f>
        <v/>
      </c>
      <c r="D517" t="str">
        <f>IF([1]Accounts!$D$518="","",[1]Accounts!$D$518)</f>
        <v/>
      </c>
      <c r="E517" t="str">
        <f>IF([1]Accounts!$D$518="","",[1]Accounts!$E$518)</f>
        <v/>
      </c>
      <c r="F517" t="str">
        <f>IF([1]Accounts!$D$518="","",[1]Accounts!$F$518)</f>
        <v/>
      </c>
      <c r="G517" t="str">
        <f>IF([1]Accounts!$D$518="","",[1]Accounts!$G$518)</f>
        <v/>
      </c>
      <c r="T517" t="str">
        <f>IF([2]Baskol!$B$520="","",[2]Baskol!$B$520)</f>
        <v/>
      </c>
      <c r="U517" t="str">
        <f>IF([2]Baskol!$C$520="","",[2]Baskol!$C$520)</f>
        <v/>
      </c>
      <c r="V517" t="str">
        <f>IF([2]Baskol!$D$520="","",[2]Baskol!$D$520)</f>
        <v/>
      </c>
      <c r="W517" t="str">
        <f>IF([2]Baskol!$E$520="","",[2]Baskol!$E$520)</f>
        <v/>
      </c>
      <c r="X517" t="str">
        <f>IF([2]Baskol!$G$520="","",[2]Baskol!$G$520)</f>
        <v/>
      </c>
      <c r="Y517" t="str">
        <f>IF([2]Baskol!$I$520="","",[2]Baskol!$I$520)</f>
        <v/>
      </c>
      <c r="Z517" t="str">
        <f>IF([2]Baskol!$J$520="","",[2]Baskol!$J$520)</f>
        <v/>
      </c>
      <c r="AA517" t="str">
        <f>IF([2]Baskol!$K$520="","",[2]Baskol!$K$520)</f>
        <v/>
      </c>
      <c r="AB517" t="str">
        <f>IF([2]Baskol!$L$520="","",[2]Baskol!$L$520)</f>
        <v/>
      </c>
      <c r="AC517" t="str">
        <f>IF([2]Baskol!$N$520="","",[2]Baskol!$N$520)</f>
        <v/>
      </c>
      <c r="AD517" t="str">
        <f>IF([2]Baskol!$O$520="","",[2]Baskol!$O$520)</f>
        <v/>
      </c>
      <c r="AE517" t="str">
        <f>IF([3]Entry!$C$520="","",[3]Entry!$C$520)</f>
        <v/>
      </c>
      <c r="AF517" t="str">
        <f>IF([3]Entry!$D$520="","",[3]Entry!$D$520)</f>
        <v/>
      </c>
      <c r="AG517" t="str">
        <f>IF([3]Entry!$E$520="","",[3]Entry!$E$520)</f>
        <v/>
      </c>
      <c r="AH517" t="str">
        <f>IF([3]Entry!$G$520="","",[3]Entry!$G$520)</f>
        <v/>
      </c>
      <c r="AI517" t="str">
        <f>IF([3]Entry!$K$520="","",[3]Entry!$K$520)</f>
        <v/>
      </c>
      <c r="AJ517" t="str">
        <f>IF([3]Entry!$L$520="","",[3]Entry!$L$520)</f>
        <v/>
      </c>
      <c r="AK517" t="str">
        <f>IF([3]Entry!$M$520="","",[3]Entry!$M$520)</f>
        <v/>
      </c>
      <c r="AL517" t="str">
        <f>IF([3]Entry!$N$520="","",[3]Entry!$N$520)</f>
        <v/>
      </c>
      <c r="AM517" t="str">
        <f>IF([3]Entry!$R$520="","",[3]Entry!$R$520)</f>
        <v/>
      </c>
    </row>
    <row r="518" spans="1:39" x14ac:dyDescent="0.2">
      <c r="A518" t="str">
        <f>IF([1]Accounts!$D$519="","",[1]Accounts!$A$519)</f>
        <v/>
      </c>
      <c r="B518" t="str">
        <f>IF([1]Accounts!$D$519="","",[1]Accounts!$B$519)</f>
        <v/>
      </c>
      <c r="C518" t="str">
        <f>IF([1]Accounts!$D$519="","",[1]Accounts!$C$519)</f>
        <v/>
      </c>
      <c r="D518" t="str">
        <f>IF([1]Accounts!$D$519="","",[1]Accounts!$D$519)</f>
        <v/>
      </c>
      <c r="E518" t="str">
        <f>IF([1]Accounts!$D$519="","",[1]Accounts!$E$519)</f>
        <v/>
      </c>
      <c r="F518" t="str">
        <f>IF([1]Accounts!$D$519="","",[1]Accounts!$F$519)</f>
        <v/>
      </c>
      <c r="G518" t="str">
        <f>IF([1]Accounts!$D$519="","",[1]Accounts!$G$519)</f>
        <v/>
      </c>
      <c r="T518" t="str">
        <f>IF([2]Baskol!$B$521="","",[2]Baskol!$B$521)</f>
        <v/>
      </c>
      <c r="U518" t="str">
        <f>IF([2]Baskol!$C$521="","",[2]Baskol!$C$521)</f>
        <v/>
      </c>
      <c r="V518" t="str">
        <f>IF([2]Baskol!$D$521="","",[2]Baskol!$D$521)</f>
        <v/>
      </c>
      <c r="W518" t="str">
        <f>IF([2]Baskol!$E$521="","",[2]Baskol!$E$521)</f>
        <v/>
      </c>
      <c r="X518" t="str">
        <f>IF([2]Baskol!$G$521="","",[2]Baskol!$G$521)</f>
        <v/>
      </c>
      <c r="Y518" t="str">
        <f>IF([2]Baskol!$I$521="","",[2]Baskol!$I$521)</f>
        <v/>
      </c>
      <c r="Z518" t="str">
        <f>IF([2]Baskol!$J$521="","",[2]Baskol!$J$521)</f>
        <v/>
      </c>
      <c r="AA518" t="str">
        <f>IF([2]Baskol!$K$521="","",[2]Baskol!$K$521)</f>
        <v/>
      </c>
      <c r="AB518" t="str">
        <f>IF([2]Baskol!$L$521="","",[2]Baskol!$L$521)</f>
        <v/>
      </c>
      <c r="AC518" t="str">
        <f>IF([2]Baskol!$N$521="","",[2]Baskol!$N$521)</f>
        <v/>
      </c>
      <c r="AD518" t="str">
        <f>IF([2]Baskol!$O$521="","",[2]Baskol!$O$521)</f>
        <v/>
      </c>
      <c r="AE518" t="str">
        <f>IF([3]Entry!$C$521="","",[3]Entry!$C$521)</f>
        <v/>
      </c>
      <c r="AF518" t="str">
        <f>IF([3]Entry!$D$521="","",[3]Entry!$D$521)</f>
        <v/>
      </c>
      <c r="AG518" t="str">
        <f>IF([3]Entry!$E$521="","",[3]Entry!$E$521)</f>
        <v/>
      </c>
      <c r="AH518" t="str">
        <f>IF([3]Entry!$G$521="","",[3]Entry!$G$521)</f>
        <v/>
      </c>
      <c r="AI518" t="str">
        <f>IF([3]Entry!$K$521="","",[3]Entry!$K$521)</f>
        <v/>
      </c>
      <c r="AJ518" t="str">
        <f>IF([3]Entry!$L$521="","",[3]Entry!$L$521)</f>
        <v/>
      </c>
      <c r="AK518" t="str">
        <f>IF([3]Entry!$M$521="","",[3]Entry!$M$521)</f>
        <v/>
      </c>
      <c r="AL518" t="str">
        <f>IF([3]Entry!$N$521="","",[3]Entry!$N$521)</f>
        <v/>
      </c>
      <c r="AM518" t="str">
        <f>IF([3]Entry!$R$521="","",[3]Entry!$R$521)</f>
        <v/>
      </c>
    </row>
    <row r="519" spans="1:39" x14ac:dyDescent="0.2">
      <c r="A519" t="str">
        <f>IF([1]Accounts!$D$520="","",[1]Accounts!$A$520)</f>
        <v/>
      </c>
      <c r="B519" t="str">
        <f>IF([1]Accounts!$D$520="","",[1]Accounts!$B$520)</f>
        <v/>
      </c>
      <c r="C519" t="str">
        <f>IF([1]Accounts!$D$520="","",[1]Accounts!$C$520)</f>
        <v/>
      </c>
      <c r="D519" t="str">
        <f>IF([1]Accounts!$D$520="","",[1]Accounts!$D$520)</f>
        <v/>
      </c>
      <c r="E519" t="str">
        <f>IF([1]Accounts!$D$520="","",[1]Accounts!$E$520)</f>
        <v/>
      </c>
      <c r="F519" t="str">
        <f>IF([1]Accounts!$D$520="","",[1]Accounts!$F$520)</f>
        <v/>
      </c>
      <c r="G519" t="str">
        <f>IF([1]Accounts!$D$520="","",[1]Accounts!$G$520)</f>
        <v/>
      </c>
      <c r="T519" t="str">
        <f>IF([2]Baskol!$B$522="","",[2]Baskol!$B$522)</f>
        <v/>
      </c>
      <c r="U519" t="str">
        <f>IF([2]Baskol!$C$522="","",[2]Baskol!$C$522)</f>
        <v/>
      </c>
      <c r="V519" t="str">
        <f>IF([2]Baskol!$D$522="","",[2]Baskol!$D$522)</f>
        <v/>
      </c>
      <c r="W519" t="str">
        <f>IF([2]Baskol!$E$522="","",[2]Baskol!$E$522)</f>
        <v/>
      </c>
      <c r="X519" t="str">
        <f>IF([2]Baskol!$G$522="","",[2]Baskol!$G$522)</f>
        <v/>
      </c>
      <c r="Y519" t="str">
        <f>IF([2]Baskol!$I$522="","",[2]Baskol!$I$522)</f>
        <v/>
      </c>
      <c r="Z519" t="str">
        <f>IF([2]Baskol!$J$522="","",[2]Baskol!$J$522)</f>
        <v/>
      </c>
      <c r="AA519" t="str">
        <f>IF([2]Baskol!$K$522="","",[2]Baskol!$K$522)</f>
        <v/>
      </c>
      <c r="AB519" t="str">
        <f>IF([2]Baskol!$L$522="","",[2]Baskol!$L$522)</f>
        <v/>
      </c>
      <c r="AC519" t="str">
        <f>IF([2]Baskol!$N$522="","",[2]Baskol!$N$522)</f>
        <v/>
      </c>
      <c r="AD519" t="str">
        <f>IF([2]Baskol!$O$522="","",[2]Baskol!$O$522)</f>
        <v/>
      </c>
      <c r="AE519" t="str">
        <f>IF([3]Entry!$C$522="","",[3]Entry!$C$522)</f>
        <v/>
      </c>
      <c r="AF519" t="str">
        <f>IF([3]Entry!$D$522="","",[3]Entry!$D$522)</f>
        <v/>
      </c>
      <c r="AG519" t="str">
        <f>IF([3]Entry!$E$522="","",[3]Entry!$E$522)</f>
        <v/>
      </c>
      <c r="AH519" t="str">
        <f>IF([3]Entry!$G$522="","",[3]Entry!$G$522)</f>
        <v/>
      </c>
      <c r="AI519" t="str">
        <f>IF([3]Entry!$K$522="","",[3]Entry!$K$522)</f>
        <v/>
      </c>
      <c r="AJ519" t="str">
        <f>IF([3]Entry!$L$522="","",[3]Entry!$L$522)</f>
        <v/>
      </c>
      <c r="AK519" t="str">
        <f>IF([3]Entry!$M$522="","",[3]Entry!$M$522)</f>
        <v/>
      </c>
      <c r="AL519" t="str">
        <f>IF([3]Entry!$N$522="","",[3]Entry!$N$522)</f>
        <v/>
      </c>
      <c r="AM519" t="str">
        <f>IF([3]Entry!$R$522="","",[3]Entry!$R$522)</f>
        <v/>
      </c>
    </row>
    <row r="520" spans="1:39" x14ac:dyDescent="0.2">
      <c r="A520" t="str">
        <f>IF([1]Accounts!$D$521="","",[1]Accounts!$A$521)</f>
        <v/>
      </c>
      <c r="B520" t="str">
        <f>IF([1]Accounts!$D$521="","",[1]Accounts!$B$521)</f>
        <v/>
      </c>
      <c r="C520" t="str">
        <f>IF([1]Accounts!$D$521="","",[1]Accounts!$C$521)</f>
        <v/>
      </c>
      <c r="D520" t="str">
        <f>IF([1]Accounts!$D$521="","",[1]Accounts!$D$521)</f>
        <v/>
      </c>
      <c r="E520" t="str">
        <f>IF([1]Accounts!$D$521="","",[1]Accounts!$E$521)</f>
        <v/>
      </c>
      <c r="F520" t="str">
        <f>IF([1]Accounts!$D$521="","",[1]Accounts!$F$521)</f>
        <v/>
      </c>
      <c r="G520" t="str">
        <f>IF([1]Accounts!$D$521="","",[1]Accounts!$G$521)</f>
        <v/>
      </c>
      <c r="T520" t="str">
        <f>IF([2]Baskol!$B$523="","",[2]Baskol!$B$523)</f>
        <v/>
      </c>
      <c r="U520" t="str">
        <f>IF([2]Baskol!$C$523="","",[2]Baskol!$C$523)</f>
        <v/>
      </c>
      <c r="V520" t="str">
        <f>IF([2]Baskol!$D$523="","",[2]Baskol!$D$523)</f>
        <v/>
      </c>
      <c r="W520" t="str">
        <f>IF([2]Baskol!$E$523="","",[2]Baskol!$E$523)</f>
        <v/>
      </c>
      <c r="X520" t="str">
        <f>IF([2]Baskol!$G$523="","",[2]Baskol!$G$523)</f>
        <v/>
      </c>
      <c r="Y520" t="str">
        <f>IF([2]Baskol!$I$523="","",[2]Baskol!$I$523)</f>
        <v/>
      </c>
      <c r="Z520" t="str">
        <f>IF([2]Baskol!$J$523="","",[2]Baskol!$J$523)</f>
        <v/>
      </c>
      <c r="AA520" t="str">
        <f>IF([2]Baskol!$K$523="","",[2]Baskol!$K$523)</f>
        <v/>
      </c>
      <c r="AB520" t="str">
        <f>IF([2]Baskol!$L$523="","",[2]Baskol!$L$523)</f>
        <v/>
      </c>
      <c r="AC520" t="str">
        <f>IF([2]Baskol!$N$523="","",[2]Baskol!$N$523)</f>
        <v/>
      </c>
      <c r="AD520" t="str">
        <f>IF([2]Baskol!$O$523="","",[2]Baskol!$O$523)</f>
        <v/>
      </c>
      <c r="AE520" t="str">
        <f>IF([3]Entry!$C$523="","",[3]Entry!$C$523)</f>
        <v/>
      </c>
      <c r="AF520" t="str">
        <f>IF([3]Entry!$D$523="","",[3]Entry!$D$523)</f>
        <v/>
      </c>
      <c r="AG520" t="str">
        <f>IF([3]Entry!$E$523="","",[3]Entry!$E$523)</f>
        <v/>
      </c>
      <c r="AH520" t="str">
        <f>IF([3]Entry!$G$523="","",[3]Entry!$G$523)</f>
        <v/>
      </c>
      <c r="AI520" t="str">
        <f>IF([3]Entry!$K$523="","",[3]Entry!$K$523)</f>
        <v/>
      </c>
      <c r="AJ520" t="str">
        <f>IF([3]Entry!$L$523="","",[3]Entry!$L$523)</f>
        <v/>
      </c>
      <c r="AK520" t="str">
        <f>IF([3]Entry!$M$523="","",[3]Entry!$M$523)</f>
        <v/>
      </c>
      <c r="AL520" t="str">
        <f>IF([3]Entry!$N$523="","",[3]Entry!$N$523)</f>
        <v/>
      </c>
      <c r="AM520" t="str">
        <f>IF([3]Entry!$R$523="","",[3]Entry!$R$523)</f>
        <v/>
      </c>
    </row>
    <row r="521" spans="1:39" x14ac:dyDescent="0.2">
      <c r="A521" t="str">
        <f>IF([1]Accounts!$D$522="","",[1]Accounts!$A$522)</f>
        <v/>
      </c>
      <c r="B521" t="str">
        <f>IF([1]Accounts!$D$522="","",[1]Accounts!$B$522)</f>
        <v/>
      </c>
      <c r="C521" t="str">
        <f>IF([1]Accounts!$D$522="","",[1]Accounts!$C$522)</f>
        <v/>
      </c>
      <c r="D521" t="str">
        <f>IF([1]Accounts!$D$522="","",[1]Accounts!$D$522)</f>
        <v/>
      </c>
      <c r="E521" t="str">
        <f>IF([1]Accounts!$D$522="","",[1]Accounts!$E$522)</f>
        <v/>
      </c>
      <c r="F521" t="str">
        <f>IF([1]Accounts!$D$522="","",[1]Accounts!$F$522)</f>
        <v/>
      </c>
      <c r="G521" t="str">
        <f>IF([1]Accounts!$D$522="","",[1]Accounts!$G$522)</f>
        <v/>
      </c>
      <c r="T521" t="str">
        <f>IF([2]Baskol!$B$524="","",[2]Baskol!$B$524)</f>
        <v/>
      </c>
      <c r="U521" t="str">
        <f>IF([2]Baskol!$C$524="","",[2]Baskol!$C$524)</f>
        <v/>
      </c>
      <c r="V521" t="str">
        <f>IF([2]Baskol!$D$524="","",[2]Baskol!$D$524)</f>
        <v/>
      </c>
      <c r="W521" t="str">
        <f>IF([2]Baskol!$E$524="","",[2]Baskol!$E$524)</f>
        <v/>
      </c>
      <c r="X521" t="str">
        <f>IF([2]Baskol!$G$524="","",[2]Baskol!$G$524)</f>
        <v/>
      </c>
      <c r="Y521" t="str">
        <f>IF([2]Baskol!$I$524="","",[2]Baskol!$I$524)</f>
        <v/>
      </c>
      <c r="Z521" t="str">
        <f>IF([2]Baskol!$J$524="","",[2]Baskol!$J$524)</f>
        <v/>
      </c>
      <c r="AA521" t="str">
        <f>IF([2]Baskol!$K$524="","",[2]Baskol!$K$524)</f>
        <v/>
      </c>
      <c r="AB521" t="str">
        <f>IF([2]Baskol!$L$524="","",[2]Baskol!$L$524)</f>
        <v/>
      </c>
      <c r="AC521" t="str">
        <f>IF([2]Baskol!$N$524="","",[2]Baskol!$N$524)</f>
        <v/>
      </c>
      <c r="AD521" t="str">
        <f>IF([2]Baskol!$O$524="","",[2]Baskol!$O$524)</f>
        <v/>
      </c>
      <c r="AE521" t="str">
        <f>IF([3]Entry!$C$524="","",[3]Entry!$C$524)</f>
        <v/>
      </c>
      <c r="AF521" t="str">
        <f>IF([3]Entry!$D$524="","",[3]Entry!$D$524)</f>
        <v/>
      </c>
      <c r="AG521" t="str">
        <f>IF([3]Entry!$E$524="","",[3]Entry!$E$524)</f>
        <v/>
      </c>
      <c r="AH521" t="str">
        <f>IF([3]Entry!$G$524="","",[3]Entry!$G$524)</f>
        <v/>
      </c>
      <c r="AI521" t="str">
        <f>IF([3]Entry!$K$524="","",[3]Entry!$K$524)</f>
        <v/>
      </c>
      <c r="AJ521" t="str">
        <f>IF([3]Entry!$L$524="","",[3]Entry!$L$524)</f>
        <v/>
      </c>
      <c r="AK521" t="str">
        <f>IF([3]Entry!$M$524="","",[3]Entry!$M$524)</f>
        <v/>
      </c>
      <c r="AL521" t="str">
        <f>IF([3]Entry!$N$524="","",[3]Entry!$N$524)</f>
        <v/>
      </c>
      <c r="AM521" t="str">
        <f>IF([3]Entry!$R$524="","",[3]Entry!$R$524)</f>
        <v/>
      </c>
    </row>
    <row r="522" spans="1:39" x14ac:dyDescent="0.2">
      <c r="A522" t="str">
        <f>IF([1]Accounts!$D$523="","",[1]Accounts!$A$523)</f>
        <v/>
      </c>
      <c r="B522" t="str">
        <f>IF([1]Accounts!$D$523="","",[1]Accounts!$B$523)</f>
        <v/>
      </c>
      <c r="C522" t="str">
        <f>IF([1]Accounts!$D$523="","",[1]Accounts!$C$523)</f>
        <v/>
      </c>
      <c r="D522" t="str">
        <f>IF([1]Accounts!$D$523="","",[1]Accounts!$D$523)</f>
        <v/>
      </c>
      <c r="E522" t="str">
        <f>IF([1]Accounts!$D$523="","",[1]Accounts!$E$523)</f>
        <v/>
      </c>
      <c r="F522" t="str">
        <f>IF([1]Accounts!$D$523="","",[1]Accounts!$F$523)</f>
        <v/>
      </c>
      <c r="G522" t="str">
        <f>IF([1]Accounts!$D$523="","",[1]Accounts!$G$523)</f>
        <v/>
      </c>
      <c r="T522" t="str">
        <f>IF([2]Baskol!$B$525="","",[2]Baskol!$B$525)</f>
        <v/>
      </c>
      <c r="U522" t="str">
        <f>IF([2]Baskol!$C$525="","",[2]Baskol!$C$525)</f>
        <v/>
      </c>
      <c r="V522" t="str">
        <f>IF([2]Baskol!$D$525="","",[2]Baskol!$D$525)</f>
        <v/>
      </c>
      <c r="W522" t="str">
        <f>IF([2]Baskol!$E$525="","",[2]Baskol!$E$525)</f>
        <v/>
      </c>
      <c r="X522" t="str">
        <f>IF([2]Baskol!$G$525="","",[2]Baskol!$G$525)</f>
        <v/>
      </c>
      <c r="Y522" t="str">
        <f>IF([2]Baskol!$I$525="","",[2]Baskol!$I$525)</f>
        <v/>
      </c>
      <c r="Z522" t="str">
        <f>IF([2]Baskol!$J$525="","",[2]Baskol!$J$525)</f>
        <v/>
      </c>
      <c r="AA522" t="str">
        <f>IF([2]Baskol!$K$525="","",[2]Baskol!$K$525)</f>
        <v/>
      </c>
      <c r="AB522" t="str">
        <f>IF([2]Baskol!$L$525="","",[2]Baskol!$L$525)</f>
        <v/>
      </c>
      <c r="AC522" t="str">
        <f>IF([2]Baskol!$N$525="","",[2]Baskol!$N$525)</f>
        <v/>
      </c>
      <c r="AD522" t="str">
        <f>IF([2]Baskol!$O$525="","",[2]Baskol!$O$525)</f>
        <v/>
      </c>
      <c r="AE522" t="str">
        <f>IF([3]Entry!$C$525="","",[3]Entry!$C$525)</f>
        <v/>
      </c>
      <c r="AF522" t="str">
        <f>IF([3]Entry!$D$525="","",[3]Entry!$D$525)</f>
        <v/>
      </c>
      <c r="AG522" t="str">
        <f>IF([3]Entry!$E$525="","",[3]Entry!$E$525)</f>
        <v/>
      </c>
      <c r="AH522" t="str">
        <f>IF([3]Entry!$G$525="","",[3]Entry!$G$525)</f>
        <v/>
      </c>
      <c r="AI522" t="str">
        <f>IF([3]Entry!$K$525="","",[3]Entry!$K$525)</f>
        <v/>
      </c>
      <c r="AJ522" t="str">
        <f>IF([3]Entry!$L$525="","",[3]Entry!$L$525)</f>
        <v/>
      </c>
      <c r="AK522" t="str">
        <f>IF([3]Entry!$M$525="","",[3]Entry!$M$525)</f>
        <v/>
      </c>
      <c r="AL522" t="str">
        <f>IF([3]Entry!$N$525="","",[3]Entry!$N$525)</f>
        <v/>
      </c>
      <c r="AM522" t="str">
        <f>IF([3]Entry!$R$525="","",[3]Entry!$R$525)</f>
        <v/>
      </c>
    </row>
    <row r="523" spans="1:39" x14ac:dyDescent="0.2">
      <c r="A523" t="str">
        <f>IF([1]Accounts!$D$524="","",[1]Accounts!$A$524)</f>
        <v/>
      </c>
      <c r="B523" t="str">
        <f>IF([1]Accounts!$D$524="","",[1]Accounts!$B$524)</f>
        <v/>
      </c>
      <c r="C523" t="str">
        <f>IF([1]Accounts!$D$524="","",[1]Accounts!$C$524)</f>
        <v/>
      </c>
      <c r="D523" t="str">
        <f>IF([1]Accounts!$D$524="","",[1]Accounts!$D$524)</f>
        <v/>
      </c>
      <c r="E523" t="str">
        <f>IF([1]Accounts!$D$524="","",[1]Accounts!$E$524)</f>
        <v/>
      </c>
      <c r="F523" t="str">
        <f>IF([1]Accounts!$D$524="","",[1]Accounts!$F$524)</f>
        <v/>
      </c>
      <c r="G523" t="str">
        <f>IF([1]Accounts!$D$524="","",[1]Accounts!$G$524)</f>
        <v/>
      </c>
      <c r="T523" t="str">
        <f>IF([2]Baskol!$B$526="","",[2]Baskol!$B$526)</f>
        <v/>
      </c>
      <c r="U523" t="str">
        <f>IF([2]Baskol!$C$526="","",[2]Baskol!$C$526)</f>
        <v/>
      </c>
      <c r="V523" t="str">
        <f>IF([2]Baskol!$D$526="","",[2]Baskol!$D$526)</f>
        <v/>
      </c>
      <c r="W523" t="str">
        <f>IF([2]Baskol!$E$526="","",[2]Baskol!$E$526)</f>
        <v/>
      </c>
      <c r="X523" t="str">
        <f>IF([2]Baskol!$G$526="","",[2]Baskol!$G$526)</f>
        <v/>
      </c>
      <c r="Y523" t="str">
        <f>IF([2]Baskol!$I$526="","",[2]Baskol!$I$526)</f>
        <v/>
      </c>
      <c r="Z523" t="str">
        <f>IF([2]Baskol!$J$526="","",[2]Baskol!$J$526)</f>
        <v/>
      </c>
      <c r="AA523" t="str">
        <f>IF([2]Baskol!$K$526="","",[2]Baskol!$K$526)</f>
        <v/>
      </c>
      <c r="AB523" t="str">
        <f>IF([2]Baskol!$L$526="","",[2]Baskol!$L$526)</f>
        <v/>
      </c>
      <c r="AC523" t="str">
        <f>IF([2]Baskol!$N$526="","",[2]Baskol!$N$526)</f>
        <v/>
      </c>
      <c r="AD523" t="str">
        <f>IF([2]Baskol!$O$526="","",[2]Baskol!$O$526)</f>
        <v/>
      </c>
      <c r="AE523" t="str">
        <f>IF([3]Entry!$C$526="","",[3]Entry!$C$526)</f>
        <v/>
      </c>
      <c r="AF523" t="str">
        <f>IF([3]Entry!$D$526="","",[3]Entry!$D$526)</f>
        <v/>
      </c>
      <c r="AG523" t="str">
        <f>IF([3]Entry!$E$526="","",[3]Entry!$E$526)</f>
        <v/>
      </c>
      <c r="AH523" t="str">
        <f>IF([3]Entry!$G$526="","",[3]Entry!$G$526)</f>
        <v/>
      </c>
      <c r="AI523" t="str">
        <f>IF([3]Entry!$K$526="","",[3]Entry!$K$526)</f>
        <v/>
      </c>
      <c r="AJ523" t="str">
        <f>IF([3]Entry!$L$526="","",[3]Entry!$L$526)</f>
        <v/>
      </c>
      <c r="AK523" t="str">
        <f>IF([3]Entry!$M$526="","",[3]Entry!$M$526)</f>
        <v/>
      </c>
      <c r="AL523" t="str">
        <f>IF([3]Entry!$N$526="","",[3]Entry!$N$526)</f>
        <v/>
      </c>
      <c r="AM523" t="str">
        <f>IF([3]Entry!$R$526="","",[3]Entry!$R$526)</f>
        <v/>
      </c>
    </row>
    <row r="524" spans="1:39" x14ac:dyDescent="0.2">
      <c r="A524" t="str">
        <f>IF([1]Accounts!$D$525="","",[1]Accounts!$A$525)</f>
        <v/>
      </c>
      <c r="B524" t="str">
        <f>IF([1]Accounts!$D$525="","",[1]Accounts!$B$525)</f>
        <v/>
      </c>
      <c r="C524" t="str">
        <f>IF([1]Accounts!$D$525="","",[1]Accounts!$C$525)</f>
        <v/>
      </c>
      <c r="D524" t="str">
        <f>IF([1]Accounts!$D$525="","",[1]Accounts!$D$525)</f>
        <v/>
      </c>
      <c r="E524" t="str">
        <f>IF([1]Accounts!$D$525="","",[1]Accounts!$E$525)</f>
        <v/>
      </c>
      <c r="F524" t="str">
        <f>IF([1]Accounts!$D$525="","",[1]Accounts!$F$525)</f>
        <v/>
      </c>
      <c r="G524" t="str">
        <f>IF([1]Accounts!$D$525="","",[1]Accounts!$G$525)</f>
        <v/>
      </c>
      <c r="T524" t="str">
        <f>IF([2]Baskol!$B$527="","",[2]Baskol!$B$527)</f>
        <v/>
      </c>
      <c r="U524" t="str">
        <f>IF([2]Baskol!$C$527="","",[2]Baskol!$C$527)</f>
        <v/>
      </c>
      <c r="V524" t="str">
        <f>IF([2]Baskol!$D$527="","",[2]Baskol!$D$527)</f>
        <v/>
      </c>
      <c r="W524" t="str">
        <f>IF([2]Baskol!$E$527="","",[2]Baskol!$E$527)</f>
        <v/>
      </c>
      <c r="X524" t="str">
        <f>IF([2]Baskol!$G$527="","",[2]Baskol!$G$527)</f>
        <v/>
      </c>
      <c r="Y524" t="str">
        <f>IF([2]Baskol!$I$527="","",[2]Baskol!$I$527)</f>
        <v/>
      </c>
      <c r="Z524" t="str">
        <f>IF([2]Baskol!$J$527="","",[2]Baskol!$J$527)</f>
        <v/>
      </c>
      <c r="AA524" t="str">
        <f>IF([2]Baskol!$K$527="","",[2]Baskol!$K$527)</f>
        <v/>
      </c>
      <c r="AB524" t="str">
        <f>IF([2]Baskol!$L$527="","",[2]Baskol!$L$527)</f>
        <v/>
      </c>
      <c r="AC524" t="str">
        <f>IF([2]Baskol!$N$527="","",[2]Baskol!$N$527)</f>
        <v/>
      </c>
      <c r="AD524" t="str">
        <f>IF([2]Baskol!$O$527="","",[2]Baskol!$O$527)</f>
        <v/>
      </c>
      <c r="AE524" t="str">
        <f>IF([3]Entry!$C$527="","",[3]Entry!$C$527)</f>
        <v/>
      </c>
      <c r="AF524" t="str">
        <f>IF([3]Entry!$D$527="","",[3]Entry!$D$527)</f>
        <v/>
      </c>
      <c r="AG524" t="str">
        <f>IF([3]Entry!$E$527="","",[3]Entry!$E$527)</f>
        <v/>
      </c>
      <c r="AH524" t="str">
        <f>IF([3]Entry!$G$527="","",[3]Entry!$G$527)</f>
        <v/>
      </c>
      <c r="AI524" t="str">
        <f>IF([3]Entry!$K$527="","",[3]Entry!$K$527)</f>
        <v/>
      </c>
      <c r="AJ524" t="str">
        <f>IF([3]Entry!$L$527="","",[3]Entry!$L$527)</f>
        <v/>
      </c>
      <c r="AK524" t="str">
        <f>IF([3]Entry!$M$527="","",[3]Entry!$M$527)</f>
        <v/>
      </c>
      <c r="AL524" t="str">
        <f>IF([3]Entry!$N$527="","",[3]Entry!$N$527)</f>
        <v/>
      </c>
      <c r="AM524" t="str">
        <f>IF([3]Entry!$R$527="","",[3]Entry!$R$527)</f>
        <v/>
      </c>
    </row>
    <row r="525" spans="1:39" x14ac:dyDescent="0.2">
      <c r="A525" t="str">
        <f>IF([1]Accounts!$D$526="","",[1]Accounts!$A$526)</f>
        <v/>
      </c>
      <c r="B525" t="str">
        <f>IF([1]Accounts!$D$526="","",[1]Accounts!$B$526)</f>
        <v/>
      </c>
      <c r="C525" t="str">
        <f>IF([1]Accounts!$D$526="","",[1]Accounts!$C$526)</f>
        <v/>
      </c>
      <c r="D525" t="str">
        <f>IF([1]Accounts!$D$526="","",[1]Accounts!$D$526)</f>
        <v/>
      </c>
      <c r="E525" t="str">
        <f>IF([1]Accounts!$D$526="","",[1]Accounts!$E$526)</f>
        <v/>
      </c>
      <c r="F525" t="str">
        <f>IF([1]Accounts!$D$526="","",[1]Accounts!$F$526)</f>
        <v/>
      </c>
      <c r="G525" t="str">
        <f>IF([1]Accounts!$D$526="","",[1]Accounts!$G$526)</f>
        <v/>
      </c>
      <c r="T525" t="str">
        <f>IF([2]Baskol!$B$528="","",[2]Baskol!$B$528)</f>
        <v/>
      </c>
      <c r="U525" t="str">
        <f>IF([2]Baskol!$C$528="","",[2]Baskol!$C$528)</f>
        <v/>
      </c>
      <c r="V525" t="str">
        <f>IF([2]Baskol!$D$528="","",[2]Baskol!$D$528)</f>
        <v/>
      </c>
      <c r="W525" t="str">
        <f>IF([2]Baskol!$E$528="","",[2]Baskol!$E$528)</f>
        <v/>
      </c>
      <c r="X525" t="str">
        <f>IF([2]Baskol!$G$528="","",[2]Baskol!$G$528)</f>
        <v/>
      </c>
      <c r="Y525" t="str">
        <f>IF([2]Baskol!$I$528="","",[2]Baskol!$I$528)</f>
        <v/>
      </c>
      <c r="Z525" t="str">
        <f>IF([2]Baskol!$J$528="","",[2]Baskol!$J$528)</f>
        <v/>
      </c>
      <c r="AA525" t="str">
        <f>IF([2]Baskol!$K$528="","",[2]Baskol!$K$528)</f>
        <v/>
      </c>
      <c r="AB525" t="str">
        <f>IF([2]Baskol!$L$528="","",[2]Baskol!$L$528)</f>
        <v/>
      </c>
      <c r="AC525" t="str">
        <f>IF([2]Baskol!$N$528="","",[2]Baskol!$N$528)</f>
        <v/>
      </c>
      <c r="AD525" t="str">
        <f>IF([2]Baskol!$O$528="","",[2]Baskol!$O$528)</f>
        <v/>
      </c>
      <c r="AE525" t="str">
        <f>IF([3]Entry!$C$528="","",[3]Entry!$C$528)</f>
        <v/>
      </c>
      <c r="AF525" t="str">
        <f>IF([3]Entry!$D$528="","",[3]Entry!$D$528)</f>
        <v/>
      </c>
      <c r="AG525" t="str">
        <f>IF([3]Entry!$E$528="","",[3]Entry!$E$528)</f>
        <v/>
      </c>
      <c r="AH525" t="str">
        <f>IF([3]Entry!$G$528="","",[3]Entry!$G$528)</f>
        <v/>
      </c>
      <c r="AI525" t="str">
        <f>IF([3]Entry!$K$528="","",[3]Entry!$K$528)</f>
        <v/>
      </c>
      <c r="AJ525" t="str">
        <f>IF([3]Entry!$L$528="","",[3]Entry!$L$528)</f>
        <v/>
      </c>
      <c r="AK525" t="str">
        <f>IF([3]Entry!$M$528="","",[3]Entry!$M$528)</f>
        <v/>
      </c>
      <c r="AL525" t="str">
        <f>IF([3]Entry!$N$528="","",[3]Entry!$N$528)</f>
        <v/>
      </c>
      <c r="AM525" t="str">
        <f>IF([3]Entry!$R$528="","",[3]Entry!$R$528)</f>
        <v/>
      </c>
    </row>
    <row r="526" spans="1:39" x14ac:dyDescent="0.2">
      <c r="A526" t="str">
        <f>IF([1]Accounts!$D$527="","",[1]Accounts!$A$527)</f>
        <v/>
      </c>
      <c r="B526" t="str">
        <f>IF([1]Accounts!$D$527="","",[1]Accounts!$B$527)</f>
        <v/>
      </c>
      <c r="C526" t="str">
        <f>IF([1]Accounts!$D$527="","",[1]Accounts!$C$527)</f>
        <v/>
      </c>
      <c r="D526" t="str">
        <f>IF([1]Accounts!$D$527="","",[1]Accounts!$D$527)</f>
        <v/>
      </c>
      <c r="E526" t="str">
        <f>IF([1]Accounts!$D$527="","",[1]Accounts!$E$527)</f>
        <v/>
      </c>
      <c r="F526" t="str">
        <f>IF([1]Accounts!$D$527="","",[1]Accounts!$F$527)</f>
        <v/>
      </c>
      <c r="G526" t="str">
        <f>IF([1]Accounts!$D$527="","",[1]Accounts!$G$527)</f>
        <v/>
      </c>
      <c r="T526" t="str">
        <f>IF([2]Baskol!$B$529="","",[2]Baskol!$B$529)</f>
        <v/>
      </c>
      <c r="U526" t="str">
        <f>IF([2]Baskol!$C$529="","",[2]Baskol!$C$529)</f>
        <v/>
      </c>
      <c r="V526" t="str">
        <f>IF([2]Baskol!$D$529="","",[2]Baskol!$D$529)</f>
        <v/>
      </c>
      <c r="W526" t="str">
        <f>IF([2]Baskol!$E$529="","",[2]Baskol!$E$529)</f>
        <v/>
      </c>
      <c r="X526" t="str">
        <f>IF([2]Baskol!$G$529="","",[2]Baskol!$G$529)</f>
        <v/>
      </c>
      <c r="Y526" t="str">
        <f>IF([2]Baskol!$I$529="","",[2]Baskol!$I$529)</f>
        <v/>
      </c>
      <c r="Z526" t="str">
        <f>IF([2]Baskol!$J$529="","",[2]Baskol!$J$529)</f>
        <v/>
      </c>
      <c r="AA526" t="str">
        <f>IF([2]Baskol!$K$529="","",[2]Baskol!$K$529)</f>
        <v/>
      </c>
      <c r="AB526" t="str">
        <f>IF([2]Baskol!$L$529="","",[2]Baskol!$L$529)</f>
        <v/>
      </c>
      <c r="AC526" t="str">
        <f>IF([2]Baskol!$N$529="","",[2]Baskol!$N$529)</f>
        <v/>
      </c>
      <c r="AD526" t="str">
        <f>IF([2]Baskol!$O$529="","",[2]Baskol!$O$529)</f>
        <v/>
      </c>
      <c r="AE526" t="str">
        <f>IF([3]Entry!$C$529="","",[3]Entry!$C$529)</f>
        <v/>
      </c>
      <c r="AF526" t="str">
        <f>IF([3]Entry!$D$529="","",[3]Entry!$D$529)</f>
        <v/>
      </c>
      <c r="AG526" t="str">
        <f>IF([3]Entry!$E$529="","",[3]Entry!$E$529)</f>
        <v/>
      </c>
      <c r="AH526" t="str">
        <f>IF([3]Entry!$G$529="","",[3]Entry!$G$529)</f>
        <v/>
      </c>
      <c r="AI526" t="str">
        <f>IF([3]Entry!$K$529="","",[3]Entry!$K$529)</f>
        <v/>
      </c>
      <c r="AJ526" t="str">
        <f>IF([3]Entry!$L$529="","",[3]Entry!$L$529)</f>
        <v/>
      </c>
      <c r="AK526" t="str">
        <f>IF([3]Entry!$M$529="","",[3]Entry!$M$529)</f>
        <v/>
      </c>
      <c r="AL526" t="str">
        <f>IF([3]Entry!$N$529="","",[3]Entry!$N$529)</f>
        <v/>
      </c>
      <c r="AM526" t="str">
        <f>IF([3]Entry!$R$529="","",[3]Entry!$R$529)</f>
        <v/>
      </c>
    </row>
    <row r="527" spans="1:39" x14ac:dyDescent="0.2">
      <c r="A527" t="str">
        <f>IF([1]Accounts!$D$528="","",[1]Accounts!$A$528)</f>
        <v/>
      </c>
      <c r="B527" t="str">
        <f>IF([1]Accounts!$D$528="","",[1]Accounts!$B$528)</f>
        <v/>
      </c>
      <c r="C527" t="str">
        <f>IF([1]Accounts!$D$528="","",[1]Accounts!$C$528)</f>
        <v/>
      </c>
      <c r="D527" t="str">
        <f>IF([1]Accounts!$D$528="","",[1]Accounts!$D$528)</f>
        <v/>
      </c>
      <c r="E527" t="str">
        <f>IF([1]Accounts!$D$528="","",[1]Accounts!$E$528)</f>
        <v/>
      </c>
      <c r="F527" t="str">
        <f>IF([1]Accounts!$D$528="","",[1]Accounts!$F$528)</f>
        <v/>
      </c>
      <c r="G527" t="str">
        <f>IF([1]Accounts!$D$528="","",[1]Accounts!$G$528)</f>
        <v/>
      </c>
      <c r="T527" t="str">
        <f>IF([2]Baskol!$B$530="","",[2]Baskol!$B$530)</f>
        <v/>
      </c>
      <c r="U527" t="str">
        <f>IF([2]Baskol!$C$530="","",[2]Baskol!$C$530)</f>
        <v/>
      </c>
      <c r="V527" t="str">
        <f>IF([2]Baskol!$D$530="","",[2]Baskol!$D$530)</f>
        <v/>
      </c>
      <c r="W527" t="str">
        <f>IF([2]Baskol!$E$530="","",[2]Baskol!$E$530)</f>
        <v/>
      </c>
      <c r="X527" t="str">
        <f>IF([2]Baskol!$G$530="","",[2]Baskol!$G$530)</f>
        <v/>
      </c>
      <c r="Y527" t="str">
        <f>IF([2]Baskol!$I$530="","",[2]Baskol!$I$530)</f>
        <v/>
      </c>
      <c r="Z527" t="str">
        <f>IF([2]Baskol!$J$530="","",[2]Baskol!$J$530)</f>
        <v/>
      </c>
      <c r="AA527" t="str">
        <f>IF([2]Baskol!$K$530="","",[2]Baskol!$K$530)</f>
        <v/>
      </c>
      <c r="AB527" t="str">
        <f>IF([2]Baskol!$L$530="","",[2]Baskol!$L$530)</f>
        <v/>
      </c>
      <c r="AC527" t="str">
        <f>IF([2]Baskol!$N$530="","",[2]Baskol!$N$530)</f>
        <v/>
      </c>
      <c r="AD527" t="str">
        <f>IF([2]Baskol!$O$530="","",[2]Baskol!$O$530)</f>
        <v/>
      </c>
      <c r="AE527" t="str">
        <f>IF([3]Entry!$C$530="","",[3]Entry!$C$530)</f>
        <v/>
      </c>
      <c r="AF527" t="str">
        <f>IF([3]Entry!$D$530="","",[3]Entry!$D$530)</f>
        <v/>
      </c>
      <c r="AG527" t="str">
        <f>IF([3]Entry!$E$530="","",[3]Entry!$E$530)</f>
        <v/>
      </c>
      <c r="AH527" t="str">
        <f>IF([3]Entry!$G$530="","",[3]Entry!$G$530)</f>
        <v/>
      </c>
      <c r="AI527" t="str">
        <f>IF([3]Entry!$K$530="","",[3]Entry!$K$530)</f>
        <v/>
      </c>
      <c r="AJ527" t="str">
        <f>IF([3]Entry!$L$530="","",[3]Entry!$L$530)</f>
        <v/>
      </c>
      <c r="AK527" t="str">
        <f>IF([3]Entry!$M$530="","",[3]Entry!$M$530)</f>
        <v/>
      </c>
      <c r="AL527" t="str">
        <f>IF([3]Entry!$N$530="","",[3]Entry!$N$530)</f>
        <v/>
      </c>
      <c r="AM527" t="str">
        <f>IF([3]Entry!$R$530="","",[3]Entry!$R$530)</f>
        <v/>
      </c>
    </row>
    <row r="528" spans="1:39" x14ac:dyDescent="0.2">
      <c r="A528" t="str">
        <f>IF([1]Accounts!$D$529="","",[1]Accounts!$A$529)</f>
        <v/>
      </c>
      <c r="B528" t="str">
        <f>IF([1]Accounts!$D$529="","",[1]Accounts!$B$529)</f>
        <v/>
      </c>
      <c r="C528" t="str">
        <f>IF([1]Accounts!$D$529="","",[1]Accounts!$C$529)</f>
        <v/>
      </c>
      <c r="D528" t="str">
        <f>IF([1]Accounts!$D$529="","",[1]Accounts!$D$529)</f>
        <v/>
      </c>
      <c r="E528" t="str">
        <f>IF([1]Accounts!$D$529="","",[1]Accounts!$E$529)</f>
        <v/>
      </c>
      <c r="F528" t="str">
        <f>IF([1]Accounts!$D$529="","",[1]Accounts!$F$529)</f>
        <v/>
      </c>
      <c r="G528" t="str">
        <f>IF([1]Accounts!$D$529="","",[1]Accounts!$G$529)</f>
        <v/>
      </c>
      <c r="T528" t="str">
        <f>IF([2]Baskol!$B$531="","",[2]Baskol!$B$531)</f>
        <v/>
      </c>
      <c r="U528" t="str">
        <f>IF([2]Baskol!$C$531="","",[2]Baskol!$C$531)</f>
        <v/>
      </c>
      <c r="V528" t="str">
        <f>IF([2]Baskol!$D$531="","",[2]Baskol!$D$531)</f>
        <v/>
      </c>
      <c r="W528" t="str">
        <f>IF([2]Baskol!$E$531="","",[2]Baskol!$E$531)</f>
        <v/>
      </c>
      <c r="X528" t="str">
        <f>IF([2]Baskol!$G$531="","",[2]Baskol!$G$531)</f>
        <v/>
      </c>
      <c r="Y528" t="str">
        <f>IF([2]Baskol!$I$531="","",[2]Baskol!$I$531)</f>
        <v/>
      </c>
      <c r="Z528" t="str">
        <f>IF([2]Baskol!$J$531="","",[2]Baskol!$J$531)</f>
        <v/>
      </c>
      <c r="AA528" t="str">
        <f>IF([2]Baskol!$K$531="","",[2]Baskol!$K$531)</f>
        <v/>
      </c>
      <c r="AB528" t="str">
        <f>IF([2]Baskol!$L$531="","",[2]Baskol!$L$531)</f>
        <v/>
      </c>
      <c r="AC528" t="str">
        <f>IF([2]Baskol!$N$531="","",[2]Baskol!$N$531)</f>
        <v/>
      </c>
      <c r="AD528" t="str">
        <f>IF([2]Baskol!$O$531="","",[2]Baskol!$O$531)</f>
        <v/>
      </c>
      <c r="AE528" t="str">
        <f>IF([3]Entry!$C$531="","",[3]Entry!$C$531)</f>
        <v/>
      </c>
      <c r="AF528" t="str">
        <f>IF([3]Entry!$D$531="","",[3]Entry!$D$531)</f>
        <v/>
      </c>
      <c r="AG528" t="str">
        <f>IF([3]Entry!$E$531="","",[3]Entry!$E$531)</f>
        <v/>
      </c>
      <c r="AH528" t="str">
        <f>IF([3]Entry!$G$531="","",[3]Entry!$G$531)</f>
        <v/>
      </c>
      <c r="AI528" t="str">
        <f>IF([3]Entry!$K$531="","",[3]Entry!$K$531)</f>
        <v/>
      </c>
      <c r="AJ528" t="str">
        <f>IF([3]Entry!$L$531="","",[3]Entry!$L$531)</f>
        <v/>
      </c>
      <c r="AK528" t="str">
        <f>IF([3]Entry!$M$531="","",[3]Entry!$M$531)</f>
        <v/>
      </c>
      <c r="AL528" t="str">
        <f>IF([3]Entry!$N$531="","",[3]Entry!$N$531)</f>
        <v/>
      </c>
      <c r="AM528" t="str">
        <f>IF([3]Entry!$R$531="","",[3]Entry!$R$531)</f>
        <v/>
      </c>
    </row>
    <row r="529" spans="1:39" x14ac:dyDescent="0.2">
      <c r="A529" t="str">
        <f>IF([1]Accounts!$D$530="","",[1]Accounts!$A$530)</f>
        <v/>
      </c>
      <c r="B529" t="str">
        <f>IF([1]Accounts!$D$530="","",[1]Accounts!$B$530)</f>
        <v/>
      </c>
      <c r="C529" t="str">
        <f>IF([1]Accounts!$D$530="","",[1]Accounts!$C$530)</f>
        <v/>
      </c>
      <c r="D529" t="str">
        <f>IF([1]Accounts!$D$530="","",[1]Accounts!$D$530)</f>
        <v/>
      </c>
      <c r="E529" t="str">
        <f>IF([1]Accounts!$D$530="","",[1]Accounts!$E$530)</f>
        <v/>
      </c>
      <c r="F529" t="str">
        <f>IF([1]Accounts!$D$530="","",[1]Accounts!$F$530)</f>
        <v/>
      </c>
      <c r="G529" t="str">
        <f>IF([1]Accounts!$D$530="","",[1]Accounts!$G$530)</f>
        <v/>
      </c>
      <c r="T529" t="str">
        <f>IF([2]Baskol!$B$532="","",[2]Baskol!$B$532)</f>
        <v/>
      </c>
      <c r="U529" t="str">
        <f>IF([2]Baskol!$C$532="","",[2]Baskol!$C$532)</f>
        <v/>
      </c>
      <c r="V529" t="str">
        <f>IF([2]Baskol!$D$532="","",[2]Baskol!$D$532)</f>
        <v/>
      </c>
      <c r="W529" t="str">
        <f>IF([2]Baskol!$E$532="","",[2]Baskol!$E$532)</f>
        <v/>
      </c>
      <c r="X529" t="str">
        <f>IF([2]Baskol!$G$532="","",[2]Baskol!$G$532)</f>
        <v/>
      </c>
      <c r="Y529" t="str">
        <f>IF([2]Baskol!$I$532="","",[2]Baskol!$I$532)</f>
        <v/>
      </c>
      <c r="Z529" t="str">
        <f>IF([2]Baskol!$J$532="","",[2]Baskol!$J$532)</f>
        <v/>
      </c>
      <c r="AA529" t="str">
        <f>IF([2]Baskol!$K$532="","",[2]Baskol!$K$532)</f>
        <v/>
      </c>
      <c r="AB529" t="str">
        <f>IF([2]Baskol!$L$532="","",[2]Baskol!$L$532)</f>
        <v/>
      </c>
      <c r="AC529" t="str">
        <f>IF([2]Baskol!$N$532="","",[2]Baskol!$N$532)</f>
        <v/>
      </c>
      <c r="AD529" t="str">
        <f>IF([2]Baskol!$O$532="","",[2]Baskol!$O$532)</f>
        <v/>
      </c>
      <c r="AE529" t="str">
        <f>IF([3]Entry!$C$532="","",[3]Entry!$C$532)</f>
        <v/>
      </c>
      <c r="AF529" t="str">
        <f>IF([3]Entry!$D$532="","",[3]Entry!$D$532)</f>
        <v/>
      </c>
      <c r="AG529" t="str">
        <f>IF([3]Entry!$E$532="","",[3]Entry!$E$532)</f>
        <v/>
      </c>
      <c r="AH529" t="str">
        <f>IF([3]Entry!$G$532="","",[3]Entry!$G$532)</f>
        <v/>
      </c>
      <c r="AI529" t="str">
        <f>IF([3]Entry!$K$532="","",[3]Entry!$K$532)</f>
        <v/>
      </c>
      <c r="AJ529" t="str">
        <f>IF([3]Entry!$L$532="","",[3]Entry!$L$532)</f>
        <v/>
      </c>
      <c r="AK529" t="str">
        <f>IF([3]Entry!$M$532="","",[3]Entry!$M$532)</f>
        <v/>
      </c>
      <c r="AL529" t="str">
        <f>IF([3]Entry!$N$532="","",[3]Entry!$N$532)</f>
        <v/>
      </c>
      <c r="AM529" t="str">
        <f>IF([3]Entry!$R$532="","",[3]Entry!$R$532)</f>
        <v/>
      </c>
    </row>
    <row r="530" spans="1:39" x14ac:dyDescent="0.2">
      <c r="A530" t="str">
        <f>IF([1]Accounts!$D$531="","",[1]Accounts!$A$531)</f>
        <v/>
      </c>
      <c r="B530" t="str">
        <f>IF([1]Accounts!$D$531="","",[1]Accounts!$B$531)</f>
        <v/>
      </c>
      <c r="C530" t="str">
        <f>IF([1]Accounts!$D$531="","",[1]Accounts!$C$531)</f>
        <v/>
      </c>
      <c r="D530" t="str">
        <f>IF([1]Accounts!$D$531="","",[1]Accounts!$D$531)</f>
        <v/>
      </c>
      <c r="E530" t="str">
        <f>IF([1]Accounts!$D$531="","",[1]Accounts!$E$531)</f>
        <v/>
      </c>
      <c r="F530" t="str">
        <f>IF([1]Accounts!$D$531="","",[1]Accounts!$F$531)</f>
        <v/>
      </c>
      <c r="G530" t="str">
        <f>IF([1]Accounts!$D$531="","",[1]Accounts!$G$531)</f>
        <v/>
      </c>
      <c r="T530" t="str">
        <f>IF([2]Baskol!$B$533="","",[2]Baskol!$B$533)</f>
        <v/>
      </c>
      <c r="U530" t="str">
        <f>IF([2]Baskol!$C$533="","",[2]Baskol!$C$533)</f>
        <v/>
      </c>
      <c r="V530" t="str">
        <f>IF([2]Baskol!$D$533="","",[2]Baskol!$D$533)</f>
        <v/>
      </c>
      <c r="W530" t="str">
        <f>IF([2]Baskol!$E$533="","",[2]Baskol!$E$533)</f>
        <v/>
      </c>
      <c r="X530" t="str">
        <f>IF([2]Baskol!$G$533="","",[2]Baskol!$G$533)</f>
        <v/>
      </c>
      <c r="Y530" t="str">
        <f>IF([2]Baskol!$I$533="","",[2]Baskol!$I$533)</f>
        <v/>
      </c>
      <c r="Z530" t="str">
        <f>IF([2]Baskol!$J$533="","",[2]Baskol!$J$533)</f>
        <v/>
      </c>
      <c r="AA530" t="str">
        <f>IF([2]Baskol!$K$533="","",[2]Baskol!$K$533)</f>
        <v/>
      </c>
      <c r="AB530" t="str">
        <f>IF([2]Baskol!$L$533="","",[2]Baskol!$L$533)</f>
        <v/>
      </c>
      <c r="AC530" t="str">
        <f>IF([2]Baskol!$N$533="","",[2]Baskol!$N$533)</f>
        <v/>
      </c>
      <c r="AD530" t="str">
        <f>IF([2]Baskol!$O$533="","",[2]Baskol!$O$533)</f>
        <v/>
      </c>
      <c r="AE530" t="str">
        <f>IF([3]Entry!$C$533="","",[3]Entry!$C$533)</f>
        <v/>
      </c>
      <c r="AF530" t="str">
        <f>IF([3]Entry!$D$533="","",[3]Entry!$D$533)</f>
        <v/>
      </c>
      <c r="AG530" t="str">
        <f>IF([3]Entry!$E$533="","",[3]Entry!$E$533)</f>
        <v/>
      </c>
      <c r="AH530" t="str">
        <f>IF([3]Entry!$G$533="","",[3]Entry!$G$533)</f>
        <v/>
      </c>
      <c r="AI530" t="str">
        <f>IF([3]Entry!$K$533="","",[3]Entry!$K$533)</f>
        <v/>
      </c>
      <c r="AJ530" t="str">
        <f>IF([3]Entry!$L$533="","",[3]Entry!$L$533)</f>
        <v/>
      </c>
      <c r="AK530" t="str">
        <f>IF([3]Entry!$M$533="","",[3]Entry!$M$533)</f>
        <v/>
      </c>
      <c r="AL530" t="str">
        <f>IF([3]Entry!$N$533="","",[3]Entry!$N$533)</f>
        <v/>
      </c>
      <c r="AM530" t="str">
        <f>IF([3]Entry!$R$533="","",[3]Entry!$R$533)</f>
        <v/>
      </c>
    </row>
    <row r="531" spans="1:39" x14ac:dyDescent="0.2">
      <c r="A531" t="str">
        <f>IF([1]Accounts!$D$532="","",[1]Accounts!$A$532)</f>
        <v/>
      </c>
      <c r="B531" t="str">
        <f>IF([1]Accounts!$D$532="","",[1]Accounts!$B$532)</f>
        <v/>
      </c>
      <c r="C531" t="str">
        <f>IF([1]Accounts!$D$532="","",[1]Accounts!$C$532)</f>
        <v/>
      </c>
      <c r="D531" t="str">
        <f>IF([1]Accounts!$D$532="","",[1]Accounts!$D$532)</f>
        <v/>
      </c>
      <c r="E531" t="str">
        <f>IF([1]Accounts!$D$532="","",[1]Accounts!$E$532)</f>
        <v/>
      </c>
      <c r="F531" t="str">
        <f>IF([1]Accounts!$D$532="","",[1]Accounts!$F$532)</f>
        <v/>
      </c>
      <c r="G531" t="str">
        <f>IF([1]Accounts!$D$532="","",[1]Accounts!$G$532)</f>
        <v/>
      </c>
      <c r="T531" t="str">
        <f>IF([2]Baskol!$B$534="","",[2]Baskol!$B$534)</f>
        <v/>
      </c>
      <c r="U531" t="str">
        <f>IF([2]Baskol!$C$534="","",[2]Baskol!$C$534)</f>
        <v/>
      </c>
      <c r="V531" t="str">
        <f>IF([2]Baskol!$D$534="","",[2]Baskol!$D$534)</f>
        <v/>
      </c>
      <c r="W531" t="str">
        <f>IF([2]Baskol!$E$534="","",[2]Baskol!$E$534)</f>
        <v/>
      </c>
      <c r="X531" t="str">
        <f>IF([2]Baskol!$G$534="","",[2]Baskol!$G$534)</f>
        <v/>
      </c>
      <c r="Y531" t="str">
        <f>IF([2]Baskol!$I$534="","",[2]Baskol!$I$534)</f>
        <v/>
      </c>
      <c r="Z531" t="str">
        <f>IF([2]Baskol!$J$534="","",[2]Baskol!$J$534)</f>
        <v/>
      </c>
      <c r="AA531" t="str">
        <f>IF([2]Baskol!$K$534="","",[2]Baskol!$K$534)</f>
        <v/>
      </c>
      <c r="AB531" t="str">
        <f>IF([2]Baskol!$L$534="","",[2]Baskol!$L$534)</f>
        <v/>
      </c>
      <c r="AC531" t="str">
        <f>IF([2]Baskol!$N$534="","",[2]Baskol!$N$534)</f>
        <v/>
      </c>
      <c r="AD531" t="str">
        <f>IF([2]Baskol!$O$534="","",[2]Baskol!$O$534)</f>
        <v/>
      </c>
      <c r="AE531" t="str">
        <f>IF([3]Entry!$C$534="","",[3]Entry!$C$534)</f>
        <v/>
      </c>
      <c r="AF531" t="str">
        <f>IF([3]Entry!$D$534="","",[3]Entry!$D$534)</f>
        <v/>
      </c>
      <c r="AG531" t="str">
        <f>IF([3]Entry!$E$534="","",[3]Entry!$E$534)</f>
        <v/>
      </c>
      <c r="AH531" t="str">
        <f>IF([3]Entry!$G$534="","",[3]Entry!$G$534)</f>
        <v/>
      </c>
      <c r="AI531" t="str">
        <f>IF([3]Entry!$K$534="","",[3]Entry!$K$534)</f>
        <v/>
      </c>
      <c r="AJ531" t="str">
        <f>IF([3]Entry!$L$534="","",[3]Entry!$L$534)</f>
        <v/>
      </c>
      <c r="AK531" t="str">
        <f>IF([3]Entry!$M$534="","",[3]Entry!$M$534)</f>
        <v/>
      </c>
      <c r="AL531" t="str">
        <f>IF([3]Entry!$N$534="","",[3]Entry!$N$534)</f>
        <v/>
      </c>
      <c r="AM531" t="str">
        <f>IF([3]Entry!$R$534="","",[3]Entry!$R$534)</f>
        <v/>
      </c>
    </row>
    <row r="532" spans="1:39" x14ac:dyDescent="0.2">
      <c r="A532" t="str">
        <f>IF([1]Accounts!$D$533="","",[1]Accounts!$A$533)</f>
        <v/>
      </c>
      <c r="B532" t="str">
        <f>IF([1]Accounts!$D$533="","",[1]Accounts!$B$533)</f>
        <v/>
      </c>
      <c r="C532" t="str">
        <f>IF([1]Accounts!$D$533="","",[1]Accounts!$C$533)</f>
        <v/>
      </c>
      <c r="D532" t="str">
        <f>IF([1]Accounts!$D$533="","",[1]Accounts!$D$533)</f>
        <v/>
      </c>
      <c r="E532" t="str">
        <f>IF([1]Accounts!$D$533="","",[1]Accounts!$E$533)</f>
        <v/>
      </c>
      <c r="F532" t="str">
        <f>IF([1]Accounts!$D$533="","",[1]Accounts!$F$533)</f>
        <v/>
      </c>
      <c r="G532" t="str">
        <f>IF([1]Accounts!$D$533="","",[1]Accounts!$G$533)</f>
        <v/>
      </c>
      <c r="T532" t="str">
        <f>IF([2]Baskol!$B$535="","",[2]Baskol!$B$535)</f>
        <v/>
      </c>
      <c r="U532" t="str">
        <f>IF([2]Baskol!$C$535="","",[2]Baskol!$C$535)</f>
        <v/>
      </c>
      <c r="V532" t="str">
        <f>IF([2]Baskol!$D$535="","",[2]Baskol!$D$535)</f>
        <v/>
      </c>
      <c r="W532" t="str">
        <f>IF([2]Baskol!$E$535="","",[2]Baskol!$E$535)</f>
        <v/>
      </c>
      <c r="X532" t="str">
        <f>IF([2]Baskol!$G$535="","",[2]Baskol!$G$535)</f>
        <v/>
      </c>
      <c r="Y532" t="str">
        <f>IF([2]Baskol!$I$535="","",[2]Baskol!$I$535)</f>
        <v/>
      </c>
      <c r="Z532" t="str">
        <f>IF([2]Baskol!$J$535="","",[2]Baskol!$J$535)</f>
        <v/>
      </c>
      <c r="AA532" t="str">
        <f>IF([2]Baskol!$K$535="","",[2]Baskol!$K$535)</f>
        <v/>
      </c>
      <c r="AB532" t="str">
        <f>IF([2]Baskol!$L$535="","",[2]Baskol!$L$535)</f>
        <v/>
      </c>
      <c r="AC532" t="str">
        <f>IF([2]Baskol!$N$535="","",[2]Baskol!$N$535)</f>
        <v/>
      </c>
      <c r="AD532" t="str">
        <f>IF([2]Baskol!$O$535="","",[2]Baskol!$O$535)</f>
        <v/>
      </c>
      <c r="AE532" t="str">
        <f>IF([3]Entry!$C$535="","",[3]Entry!$C$535)</f>
        <v/>
      </c>
      <c r="AF532" t="str">
        <f>IF([3]Entry!$D$535="","",[3]Entry!$D$535)</f>
        <v/>
      </c>
      <c r="AG532" t="str">
        <f>IF([3]Entry!$E$535="","",[3]Entry!$E$535)</f>
        <v/>
      </c>
      <c r="AH532" t="str">
        <f>IF([3]Entry!$G$535="","",[3]Entry!$G$535)</f>
        <v/>
      </c>
      <c r="AI532" t="str">
        <f>IF([3]Entry!$K$535="","",[3]Entry!$K$535)</f>
        <v/>
      </c>
      <c r="AJ532" t="str">
        <f>IF([3]Entry!$L$535="","",[3]Entry!$L$535)</f>
        <v/>
      </c>
      <c r="AK532" t="str">
        <f>IF([3]Entry!$M$535="","",[3]Entry!$M$535)</f>
        <v/>
      </c>
      <c r="AL532" t="str">
        <f>IF([3]Entry!$N$535="","",[3]Entry!$N$535)</f>
        <v/>
      </c>
      <c r="AM532" t="str">
        <f>IF([3]Entry!$R$535="","",[3]Entry!$R$535)</f>
        <v/>
      </c>
    </row>
    <row r="533" spans="1:39" x14ac:dyDescent="0.2">
      <c r="A533" t="str">
        <f>IF([1]Accounts!$D$534="","",[1]Accounts!$A$534)</f>
        <v/>
      </c>
      <c r="B533" t="str">
        <f>IF([1]Accounts!$D$534="","",[1]Accounts!$B$534)</f>
        <v/>
      </c>
      <c r="C533" t="str">
        <f>IF([1]Accounts!$D$534="","",[1]Accounts!$C$534)</f>
        <v/>
      </c>
      <c r="D533" t="str">
        <f>IF([1]Accounts!$D$534="","",[1]Accounts!$D$534)</f>
        <v/>
      </c>
      <c r="E533" t="str">
        <f>IF([1]Accounts!$D$534="","",[1]Accounts!$E$534)</f>
        <v/>
      </c>
      <c r="F533" t="str">
        <f>IF([1]Accounts!$D$534="","",[1]Accounts!$F$534)</f>
        <v/>
      </c>
      <c r="G533" t="str">
        <f>IF([1]Accounts!$D$534="","",[1]Accounts!$G$534)</f>
        <v/>
      </c>
      <c r="T533" t="str">
        <f>IF([2]Baskol!$B$536="","",[2]Baskol!$B$536)</f>
        <v/>
      </c>
      <c r="U533" t="str">
        <f>IF([2]Baskol!$C$536="","",[2]Baskol!$C$536)</f>
        <v/>
      </c>
      <c r="V533" t="str">
        <f>IF([2]Baskol!$D$536="","",[2]Baskol!$D$536)</f>
        <v/>
      </c>
      <c r="W533" t="str">
        <f>IF([2]Baskol!$E$536="","",[2]Baskol!$E$536)</f>
        <v/>
      </c>
      <c r="X533" t="str">
        <f>IF([2]Baskol!$G$536="","",[2]Baskol!$G$536)</f>
        <v/>
      </c>
      <c r="Y533" t="str">
        <f>IF([2]Baskol!$I$536="","",[2]Baskol!$I$536)</f>
        <v/>
      </c>
      <c r="Z533" t="str">
        <f>IF([2]Baskol!$J$536="","",[2]Baskol!$J$536)</f>
        <v/>
      </c>
      <c r="AA533" t="str">
        <f>IF([2]Baskol!$K$536="","",[2]Baskol!$K$536)</f>
        <v/>
      </c>
      <c r="AB533" t="str">
        <f>IF([2]Baskol!$L$536="","",[2]Baskol!$L$536)</f>
        <v/>
      </c>
      <c r="AC533" t="str">
        <f>IF([2]Baskol!$N$536="","",[2]Baskol!$N$536)</f>
        <v/>
      </c>
      <c r="AD533" t="str">
        <f>IF([2]Baskol!$O$536="","",[2]Baskol!$O$536)</f>
        <v/>
      </c>
      <c r="AE533" t="str">
        <f>IF([3]Entry!$C$536="","",[3]Entry!$C$536)</f>
        <v/>
      </c>
      <c r="AF533" t="str">
        <f>IF([3]Entry!$D$536="","",[3]Entry!$D$536)</f>
        <v/>
      </c>
      <c r="AG533" t="str">
        <f>IF([3]Entry!$E$536="","",[3]Entry!$E$536)</f>
        <v/>
      </c>
      <c r="AH533" t="str">
        <f>IF([3]Entry!$G$536="","",[3]Entry!$G$536)</f>
        <v/>
      </c>
      <c r="AI533" t="str">
        <f>IF([3]Entry!$K$536="","",[3]Entry!$K$536)</f>
        <v/>
      </c>
      <c r="AJ533" t="str">
        <f>IF([3]Entry!$L$536="","",[3]Entry!$L$536)</f>
        <v/>
      </c>
      <c r="AK533" t="str">
        <f>IF([3]Entry!$M$536="","",[3]Entry!$M$536)</f>
        <v/>
      </c>
      <c r="AL533" t="str">
        <f>IF([3]Entry!$N$536="","",[3]Entry!$N$536)</f>
        <v/>
      </c>
      <c r="AM533" t="str">
        <f>IF([3]Entry!$R$536="","",[3]Entry!$R$536)</f>
        <v/>
      </c>
    </row>
    <row r="534" spans="1:39" x14ac:dyDescent="0.2">
      <c r="A534" t="str">
        <f>IF([1]Accounts!$D$535="","",[1]Accounts!$A$535)</f>
        <v/>
      </c>
      <c r="B534" t="str">
        <f>IF([1]Accounts!$D$535="","",[1]Accounts!$B$535)</f>
        <v/>
      </c>
      <c r="C534" t="str">
        <f>IF([1]Accounts!$D$535="","",[1]Accounts!$C$535)</f>
        <v/>
      </c>
      <c r="D534" t="str">
        <f>IF([1]Accounts!$D$535="","",[1]Accounts!$D$535)</f>
        <v/>
      </c>
      <c r="E534" t="str">
        <f>IF([1]Accounts!$D$535="","",[1]Accounts!$E$535)</f>
        <v/>
      </c>
      <c r="F534" t="str">
        <f>IF([1]Accounts!$D$535="","",[1]Accounts!$F$535)</f>
        <v/>
      </c>
      <c r="G534" t="str">
        <f>IF([1]Accounts!$D$535="","",[1]Accounts!$G$535)</f>
        <v/>
      </c>
      <c r="T534" t="str">
        <f>IF([2]Baskol!$B$537="","",[2]Baskol!$B$537)</f>
        <v/>
      </c>
      <c r="U534" t="str">
        <f>IF([2]Baskol!$C$537="","",[2]Baskol!$C$537)</f>
        <v/>
      </c>
      <c r="V534" t="str">
        <f>IF([2]Baskol!$D$537="","",[2]Baskol!$D$537)</f>
        <v/>
      </c>
      <c r="W534" t="str">
        <f>IF([2]Baskol!$E$537="","",[2]Baskol!$E$537)</f>
        <v/>
      </c>
      <c r="X534" t="str">
        <f>IF([2]Baskol!$G$537="","",[2]Baskol!$G$537)</f>
        <v/>
      </c>
      <c r="Y534" t="str">
        <f>IF([2]Baskol!$I$537="","",[2]Baskol!$I$537)</f>
        <v/>
      </c>
      <c r="Z534" t="str">
        <f>IF([2]Baskol!$J$537="","",[2]Baskol!$J$537)</f>
        <v/>
      </c>
      <c r="AA534" t="str">
        <f>IF([2]Baskol!$K$537="","",[2]Baskol!$K$537)</f>
        <v/>
      </c>
      <c r="AB534" t="str">
        <f>IF([2]Baskol!$L$537="","",[2]Baskol!$L$537)</f>
        <v/>
      </c>
      <c r="AC534" t="str">
        <f>IF([2]Baskol!$N$537="","",[2]Baskol!$N$537)</f>
        <v/>
      </c>
      <c r="AD534" t="str">
        <f>IF([2]Baskol!$O$537="","",[2]Baskol!$O$537)</f>
        <v/>
      </c>
      <c r="AE534" t="str">
        <f>IF([3]Entry!$C$537="","",[3]Entry!$C$537)</f>
        <v/>
      </c>
      <c r="AF534" t="str">
        <f>IF([3]Entry!$D$537="","",[3]Entry!$D$537)</f>
        <v/>
      </c>
      <c r="AG534" t="str">
        <f>IF([3]Entry!$E$537="","",[3]Entry!$E$537)</f>
        <v/>
      </c>
      <c r="AH534" t="str">
        <f>IF([3]Entry!$G$537="","",[3]Entry!$G$537)</f>
        <v/>
      </c>
      <c r="AI534" t="str">
        <f>IF([3]Entry!$K$537="","",[3]Entry!$K$537)</f>
        <v/>
      </c>
      <c r="AJ534" t="str">
        <f>IF([3]Entry!$L$537="","",[3]Entry!$L$537)</f>
        <v/>
      </c>
      <c r="AK534" t="str">
        <f>IF([3]Entry!$M$537="","",[3]Entry!$M$537)</f>
        <v/>
      </c>
      <c r="AL534" t="str">
        <f>IF([3]Entry!$N$537="","",[3]Entry!$N$537)</f>
        <v/>
      </c>
      <c r="AM534" t="str">
        <f>IF([3]Entry!$R$537="","",[3]Entry!$R$537)</f>
        <v/>
      </c>
    </row>
    <row r="535" spans="1:39" x14ac:dyDescent="0.2">
      <c r="A535" t="str">
        <f>IF([1]Accounts!$D$536="","",[1]Accounts!$A$536)</f>
        <v/>
      </c>
      <c r="B535" t="str">
        <f>IF([1]Accounts!$D$536="","",[1]Accounts!$B$536)</f>
        <v/>
      </c>
      <c r="C535" t="str">
        <f>IF([1]Accounts!$D$536="","",[1]Accounts!$C$536)</f>
        <v/>
      </c>
      <c r="D535" t="str">
        <f>IF([1]Accounts!$D$536="","",[1]Accounts!$D$536)</f>
        <v/>
      </c>
      <c r="E535" t="str">
        <f>IF([1]Accounts!$D$536="","",[1]Accounts!$E$536)</f>
        <v/>
      </c>
      <c r="F535" t="str">
        <f>IF([1]Accounts!$D$536="","",[1]Accounts!$F$536)</f>
        <v/>
      </c>
      <c r="G535" t="str">
        <f>IF([1]Accounts!$D$536="","",[1]Accounts!$G$536)</f>
        <v/>
      </c>
      <c r="T535" t="str">
        <f>IF([2]Baskol!$B$538="","",[2]Baskol!$B$538)</f>
        <v/>
      </c>
      <c r="U535" t="str">
        <f>IF([2]Baskol!$C$538="","",[2]Baskol!$C$538)</f>
        <v/>
      </c>
      <c r="V535" t="str">
        <f>IF([2]Baskol!$D$538="","",[2]Baskol!$D$538)</f>
        <v/>
      </c>
      <c r="W535" t="str">
        <f>IF([2]Baskol!$E$538="","",[2]Baskol!$E$538)</f>
        <v/>
      </c>
      <c r="X535" t="str">
        <f>IF([2]Baskol!$G$538="","",[2]Baskol!$G$538)</f>
        <v/>
      </c>
      <c r="Y535" t="str">
        <f>IF([2]Baskol!$I$538="","",[2]Baskol!$I$538)</f>
        <v/>
      </c>
      <c r="Z535" t="str">
        <f>IF([2]Baskol!$J$538="","",[2]Baskol!$J$538)</f>
        <v/>
      </c>
      <c r="AA535" t="str">
        <f>IF([2]Baskol!$K$538="","",[2]Baskol!$K$538)</f>
        <v/>
      </c>
      <c r="AB535" t="str">
        <f>IF([2]Baskol!$L$538="","",[2]Baskol!$L$538)</f>
        <v/>
      </c>
      <c r="AC535" t="str">
        <f>IF([2]Baskol!$N$538="","",[2]Baskol!$N$538)</f>
        <v/>
      </c>
      <c r="AD535" t="str">
        <f>IF([2]Baskol!$O$538="","",[2]Baskol!$O$538)</f>
        <v/>
      </c>
      <c r="AE535" t="str">
        <f>IF([3]Entry!$C$538="","",[3]Entry!$C$538)</f>
        <v/>
      </c>
      <c r="AF535" t="str">
        <f>IF([3]Entry!$D$538="","",[3]Entry!$D$538)</f>
        <v/>
      </c>
      <c r="AG535" t="str">
        <f>IF([3]Entry!$E$538="","",[3]Entry!$E$538)</f>
        <v/>
      </c>
      <c r="AH535" t="str">
        <f>IF([3]Entry!$G$538="","",[3]Entry!$G$538)</f>
        <v/>
      </c>
      <c r="AI535" t="str">
        <f>IF([3]Entry!$K$538="","",[3]Entry!$K$538)</f>
        <v/>
      </c>
      <c r="AJ535" t="str">
        <f>IF([3]Entry!$L$538="","",[3]Entry!$L$538)</f>
        <v/>
      </c>
      <c r="AK535" t="str">
        <f>IF([3]Entry!$M$538="","",[3]Entry!$M$538)</f>
        <v/>
      </c>
      <c r="AL535" t="str">
        <f>IF([3]Entry!$N$538="","",[3]Entry!$N$538)</f>
        <v/>
      </c>
      <c r="AM535" t="str">
        <f>IF([3]Entry!$R$538="","",[3]Entry!$R$538)</f>
        <v/>
      </c>
    </row>
    <row r="536" spans="1:39" x14ac:dyDescent="0.2">
      <c r="A536" t="str">
        <f>IF([1]Accounts!$D$537="","",[1]Accounts!$A$537)</f>
        <v>L001</v>
      </c>
      <c r="B536" t="str">
        <f>IF([1]Accounts!$D$537="","",[1]Accounts!$B$537)</f>
        <v>وام و تسهیلات</v>
      </c>
      <c r="C536" t="str">
        <f>IF([1]Accounts!$D$537="","",[1]Accounts!$C$537)</f>
        <v>وام بانکی</v>
      </c>
      <c r="D536" t="str">
        <f>IF([1]Accounts!$D$537="","",[1]Accounts!$D$537)</f>
        <v>وام بانک ملت (نمونه)</v>
      </c>
      <c r="E536">
        <f>IF([1]Accounts!$D$537="","",[1]Accounts!$E$537)</f>
        <v>0</v>
      </c>
      <c r="F536">
        <f>IF([1]Accounts!$D$537="","",[1]Accounts!$F$537)</f>
        <v>0</v>
      </c>
      <c r="G536">
        <f>IF([1]Accounts!$D$537="","",[1]Accounts!$G$537)</f>
        <v>0</v>
      </c>
      <c r="T536" t="str">
        <f>IF([2]Baskol!$B$539="","",[2]Baskol!$B$539)</f>
        <v/>
      </c>
      <c r="U536" t="str">
        <f>IF([2]Baskol!$C$539="","",[2]Baskol!$C$539)</f>
        <v/>
      </c>
      <c r="V536" t="str">
        <f>IF([2]Baskol!$D$539="","",[2]Baskol!$D$539)</f>
        <v/>
      </c>
      <c r="W536" t="str">
        <f>IF([2]Baskol!$E$539="","",[2]Baskol!$E$539)</f>
        <v/>
      </c>
      <c r="X536" t="str">
        <f>IF([2]Baskol!$G$539="","",[2]Baskol!$G$539)</f>
        <v/>
      </c>
      <c r="Y536" t="str">
        <f>IF([2]Baskol!$I$539="","",[2]Baskol!$I$539)</f>
        <v/>
      </c>
      <c r="Z536" t="str">
        <f>IF([2]Baskol!$J$539="","",[2]Baskol!$J$539)</f>
        <v/>
      </c>
      <c r="AA536" t="str">
        <f>IF([2]Baskol!$K$539="","",[2]Baskol!$K$539)</f>
        <v/>
      </c>
      <c r="AB536" t="str">
        <f>IF([2]Baskol!$L$539="","",[2]Baskol!$L$539)</f>
        <v/>
      </c>
      <c r="AC536" t="str">
        <f>IF([2]Baskol!$N$539="","",[2]Baskol!$N$539)</f>
        <v/>
      </c>
      <c r="AD536" t="str">
        <f>IF([2]Baskol!$O$539="","",[2]Baskol!$O$539)</f>
        <v/>
      </c>
      <c r="AE536" t="str">
        <f>IF([3]Entry!$C$539="","",[3]Entry!$C$539)</f>
        <v/>
      </c>
      <c r="AF536" t="str">
        <f>IF([3]Entry!$D$539="","",[3]Entry!$D$539)</f>
        <v/>
      </c>
      <c r="AG536" t="str">
        <f>IF([3]Entry!$E$539="","",[3]Entry!$E$539)</f>
        <v/>
      </c>
      <c r="AH536" t="str">
        <f>IF([3]Entry!$G$539="","",[3]Entry!$G$539)</f>
        <v/>
      </c>
      <c r="AI536" t="str">
        <f>IF([3]Entry!$K$539="","",[3]Entry!$K$539)</f>
        <v/>
      </c>
      <c r="AJ536" t="str">
        <f>IF([3]Entry!$L$539="","",[3]Entry!$L$539)</f>
        <v/>
      </c>
      <c r="AK536" t="str">
        <f>IF([3]Entry!$M$539="","",[3]Entry!$M$539)</f>
        <v/>
      </c>
      <c r="AL536" t="str">
        <f>IF([3]Entry!$N$539="","",[3]Entry!$N$539)</f>
        <v/>
      </c>
      <c r="AM536" t="str">
        <f>IF([3]Entry!$R$539="","",[3]Entry!$R$539)</f>
        <v/>
      </c>
    </row>
    <row r="537" spans="1:39" x14ac:dyDescent="0.2">
      <c r="A537" t="str">
        <f>IF([1]Accounts!$D$538="","",[1]Accounts!$A$538)</f>
        <v/>
      </c>
      <c r="B537" t="str">
        <f>IF([1]Accounts!$D$538="","",[1]Accounts!$B$538)</f>
        <v/>
      </c>
      <c r="C537" t="str">
        <f>IF([1]Accounts!$D$538="","",[1]Accounts!$C$538)</f>
        <v/>
      </c>
      <c r="D537" t="str">
        <f>IF([1]Accounts!$D$538="","",[1]Accounts!$D$538)</f>
        <v/>
      </c>
      <c r="E537" t="str">
        <f>IF([1]Accounts!$D$538="","",[1]Accounts!$E$538)</f>
        <v/>
      </c>
      <c r="F537" t="str">
        <f>IF([1]Accounts!$D$538="","",[1]Accounts!$F$538)</f>
        <v/>
      </c>
      <c r="G537" t="str">
        <f>IF([1]Accounts!$D$538="","",[1]Accounts!$G$538)</f>
        <v/>
      </c>
      <c r="T537" t="str">
        <f>IF([2]Baskol!$B$540="","",[2]Baskol!$B$540)</f>
        <v/>
      </c>
      <c r="U537" t="str">
        <f>IF([2]Baskol!$C$540="","",[2]Baskol!$C$540)</f>
        <v/>
      </c>
      <c r="V537" t="str">
        <f>IF([2]Baskol!$D$540="","",[2]Baskol!$D$540)</f>
        <v/>
      </c>
      <c r="W537" t="str">
        <f>IF([2]Baskol!$E$540="","",[2]Baskol!$E$540)</f>
        <v/>
      </c>
      <c r="X537" t="str">
        <f>IF([2]Baskol!$G$540="","",[2]Baskol!$G$540)</f>
        <v/>
      </c>
      <c r="Y537" t="str">
        <f>IF([2]Baskol!$I$540="","",[2]Baskol!$I$540)</f>
        <v/>
      </c>
      <c r="Z537" t="str">
        <f>IF([2]Baskol!$J$540="","",[2]Baskol!$J$540)</f>
        <v/>
      </c>
      <c r="AA537" t="str">
        <f>IF([2]Baskol!$K$540="","",[2]Baskol!$K$540)</f>
        <v/>
      </c>
      <c r="AB537" t="str">
        <f>IF([2]Baskol!$L$540="","",[2]Baskol!$L$540)</f>
        <v/>
      </c>
      <c r="AC537" t="str">
        <f>IF([2]Baskol!$N$540="","",[2]Baskol!$N$540)</f>
        <v/>
      </c>
      <c r="AD537" t="str">
        <f>IF([2]Baskol!$O$540="","",[2]Baskol!$O$540)</f>
        <v/>
      </c>
      <c r="AE537" t="str">
        <f>IF([3]Entry!$C$540="","",[3]Entry!$C$540)</f>
        <v/>
      </c>
      <c r="AF537" t="str">
        <f>IF([3]Entry!$D$540="","",[3]Entry!$D$540)</f>
        <v/>
      </c>
      <c r="AG537" t="str">
        <f>IF([3]Entry!$E$540="","",[3]Entry!$E$540)</f>
        <v/>
      </c>
      <c r="AH537" t="str">
        <f>IF([3]Entry!$G$540="","",[3]Entry!$G$540)</f>
        <v/>
      </c>
      <c r="AI537" t="str">
        <f>IF([3]Entry!$K$540="","",[3]Entry!$K$540)</f>
        <v/>
      </c>
      <c r="AJ537" t="str">
        <f>IF([3]Entry!$L$540="","",[3]Entry!$L$540)</f>
        <v/>
      </c>
      <c r="AK537" t="str">
        <f>IF([3]Entry!$M$540="","",[3]Entry!$M$540)</f>
        <v/>
      </c>
      <c r="AL537" t="str">
        <f>IF([3]Entry!$N$540="","",[3]Entry!$N$540)</f>
        <v/>
      </c>
      <c r="AM537" t="str">
        <f>IF([3]Entry!$R$540="","",[3]Entry!$R$540)</f>
        <v/>
      </c>
    </row>
    <row r="538" spans="1:39" x14ac:dyDescent="0.2">
      <c r="A538" t="str">
        <f>IF([1]Accounts!$D$539="","",[1]Accounts!$A$539)</f>
        <v/>
      </c>
      <c r="B538" t="str">
        <f>IF([1]Accounts!$D$539="","",[1]Accounts!$B$539)</f>
        <v/>
      </c>
      <c r="C538" t="str">
        <f>IF([1]Accounts!$D$539="","",[1]Accounts!$C$539)</f>
        <v/>
      </c>
      <c r="D538" t="str">
        <f>IF([1]Accounts!$D$539="","",[1]Accounts!$D$539)</f>
        <v/>
      </c>
      <c r="E538" t="str">
        <f>IF([1]Accounts!$D$539="","",[1]Accounts!$E$539)</f>
        <v/>
      </c>
      <c r="F538" t="str">
        <f>IF([1]Accounts!$D$539="","",[1]Accounts!$F$539)</f>
        <v/>
      </c>
      <c r="G538" t="str">
        <f>IF([1]Accounts!$D$539="","",[1]Accounts!$G$539)</f>
        <v/>
      </c>
      <c r="T538" t="str">
        <f>IF([2]Baskol!$B$541="","",[2]Baskol!$B$541)</f>
        <v/>
      </c>
      <c r="U538" t="str">
        <f>IF([2]Baskol!$C$541="","",[2]Baskol!$C$541)</f>
        <v/>
      </c>
      <c r="V538" t="str">
        <f>IF([2]Baskol!$D$541="","",[2]Baskol!$D$541)</f>
        <v/>
      </c>
      <c r="W538" t="str">
        <f>IF([2]Baskol!$E$541="","",[2]Baskol!$E$541)</f>
        <v/>
      </c>
      <c r="X538" t="str">
        <f>IF([2]Baskol!$G$541="","",[2]Baskol!$G$541)</f>
        <v/>
      </c>
      <c r="Y538" t="str">
        <f>IF([2]Baskol!$I$541="","",[2]Baskol!$I$541)</f>
        <v/>
      </c>
      <c r="Z538" t="str">
        <f>IF([2]Baskol!$J$541="","",[2]Baskol!$J$541)</f>
        <v/>
      </c>
      <c r="AA538" t="str">
        <f>IF([2]Baskol!$K$541="","",[2]Baskol!$K$541)</f>
        <v/>
      </c>
      <c r="AB538" t="str">
        <f>IF([2]Baskol!$L$541="","",[2]Baskol!$L$541)</f>
        <v/>
      </c>
      <c r="AC538" t="str">
        <f>IF([2]Baskol!$N$541="","",[2]Baskol!$N$541)</f>
        <v/>
      </c>
      <c r="AD538" t="str">
        <f>IF([2]Baskol!$O$541="","",[2]Baskol!$O$541)</f>
        <v/>
      </c>
      <c r="AE538" t="str">
        <f>IF([3]Entry!$C$541="","",[3]Entry!$C$541)</f>
        <v/>
      </c>
      <c r="AF538" t="str">
        <f>IF([3]Entry!$D$541="","",[3]Entry!$D$541)</f>
        <v/>
      </c>
      <c r="AG538" t="str">
        <f>IF([3]Entry!$E$541="","",[3]Entry!$E$541)</f>
        <v/>
      </c>
      <c r="AH538" t="str">
        <f>IF([3]Entry!$G$541="","",[3]Entry!$G$541)</f>
        <v/>
      </c>
      <c r="AI538" t="str">
        <f>IF([3]Entry!$K$541="","",[3]Entry!$K$541)</f>
        <v/>
      </c>
      <c r="AJ538" t="str">
        <f>IF([3]Entry!$L$541="","",[3]Entry!$L$541)</f>
        <v/>
      </c>
      <c r="AK538" t="str">
        <f>IF([3]Entry!$M$541="","",[3]Entry!$M$541)</f>
        <v/>
      </c>
      <c r="AL538" t="str">
        <f>IF([3]Entry!$N$541="","",[3]Entry!$N$541)</f>
        <v/>
      </c>
      <c r="AM538" t="str">
        <f>IF([3]Entry!$R$541="","",[3]Entry!$R$541)</f>
        <v/>
      </c>
    </row>
    <row r="539" spans="1:39" x14ac:dyDescent="0.2">
      <c r="A539" t="str">
        <f>IF([1]Accounts!$D$540="","",[1]Accounts!$A$540)</f>
        <v/>
      </c>
      <c r="B539" t="str">
        <f>IF([1]Accounts!$D$540="","",[1]Accounts!$B$540)</f>
        <v/>
      </c>
      <c r="C539" t="str">
        <f>IF([1]Accounts!$D$540="","",[1]Accounts!$C$540)</f>
        <v/>
      </c>
      <c r="D539" t="str">
        <f>IF([1]Accounts!$D$540="","",[1]Accounts!$D$540)</f>
        <v/>
      </c>
      <c r="E539" t="str">
        <f>IF([1]Accounts!$D$540="","",[1]Accounts!$E$540)</f>
        <v/>
      </c>
      <c r="F539" t="str">
        <f>IF([1]Accounts!$D$540="","",[1]Accounts!$F$540)</f>
        <v/>
      </c>
      <c r="G539" t="str">
        <f>IF([1]Accounts!$D$540="","",[1]Accounts!$G$540)</f>
        <v/>
      </c>
      <c r="T539" t="str">
        <f>IF([2]Baskol!$B$542="","",[2]Baskol!$B$542)</f>
        <v/>
      </c>
      <c r="U539" t="str">
        <f>IF([2]Baskol!$C$542="","",[2]Baskol!$C$542)</f>
        <v/>
      </c>
      <c r="V539" t="str">
        <f>IF([2]Baskol!$D$542="","",[2]Baskol!$D$542)</f>
        <v/>
      </c>
      <c r="W539" t="str">
        <f>IF([2]Baskol!$E$542="","",[2]Baskol!$E$542)</f>
        <v/>
      </c>
      <c r="X539" t="str">
        <f>IF([2]Baskol!$G$542="","",[2]Baskol!$G$542)</f>
        <v/>
      </c>
      <c r="Y539" t="str">
        <f>IF([2]Baskol!$I$542="","",[2]Baskol!$I$542)</f>
        <v/>
      </c>
      <c r="Z539" t="str">
        <f>IF([2]Baskol!$J$542="","",[2]Baskol!$J$542)</f>
        <v/>
      </c>
      <c r="AA539" t="str">
        <f>IF([2]Baskol!$K$542="","",[2]Baskol!$K$542)</f>
        <v/>
      </c>
      <c r="AB539" t="str">
        <f>IF([2]Baskol!$L$542="","",[2]Baskol!$L$542)</f>
        <v/>
      </c>
      <c r="AC539" t="str">
        <f>IF([2]Baskol!$N$542="","",[2]Baskol!$N$542)</f>
        <v/>
      </c>
      <c r="AD539" t="str">
        <f>IF([2]Baskol!$O$542="","",[2]Baskol!$O$542)</f>
        <v/>
      </c>
      <c r="AE539" t="str">
        <f>IF([3]Entry!$C$542="","",[3]Entry!$C$542)</f>
        <v/>
      </c>
      <c r="AF539" t="str">
        <f>IF([3]Entry!$D$542="","",[3]Entry!$D$542)</f>
        <v/>
      </c>
      <c r="AG539" t="str">
        <f>IF([3]Entry!$E$542="","",[3]Entry!$E$542)</f>
        <v/>
      </c>
      <c r="AH539" t="str">
        <f>IF([3]Entry!$G$542="","",[3]Entry!$G$542)</f>
        <v/>
      </c>
      <c r="AI539" t="str">
        <f>IF([3]Entry!$K$542="","",[3]Entry!$K$542)</f>
        <v/>
      </c>
      <c r="AJ539" t="str">
        <f>IF([3]Entry!$L$542="","",[3]Entry!$L$542)</f>
        <v/>
      </c>
      <c r="AK539" t="str">
        <f>IF([3]Entry!$M$542="","",[3]Entry!$M$542)</f>
        <v/>
      </c>
      <c r="AL539" t="str">
        <f>IF([3]Entry!$N$542="","",[3]Entry!$N$542)</f>
        <v/>
      </c>
      <c r="AM539" t="str">
        <f>IF([3]Entry!$R$542="","",[3]Entry!$R$542)</f>
        <v/>
      </c>
    </row>
    <row r="540" spans="1:39" x14ac:dyDescent="0.2">
      <c r="A540" t="str">
        <f>IF([1]Accounts!$D$541="","",[1]Accounts!$A$541)</f>
        <v/>
      </c>
      <c r="B540" t="str">
        <f>IF([1]Accounts!$D$541="","",[1]Accounts!$B$541)</f>
        <v/>
      </c>
      <c r="C540" t="str">
        <f>IF([1]Accounts!$D$541="","",[1]Accounts!$C$541)</f>
        <v/>
      </c>
      <c r="D540" t="str">
        <f>IF([1]Accounts!$D$541="","",[1]Accounts!$D$541)</f>
        <v/>
      </c>
      <c r="E540" t="str">
        <f>IF([1]Accounts!$D$541="","",[1]Accounts!$E$541)</f>
        <v/>
      </c>
      <c r="F540" t="str">
        <f>IF([1]Accounts!$D$541="","",[1]Accounts!$F$541)</f>
        <v/>
      </c>
      <c r="G540" t="str">
        <f>IF([1]Accounts!$D$541="","",[1]Accounts!$G$541)</f>
        <v/>
      </c>
      <c r="T540" t="str">
        <f>IF([2]Baskol!$B$543="","",[2]Baskol!$B$543)</f>
        <v/>
      </c>
      <c r="U540" t="str">
        <f>IF([2]Baskol!$C$543="","",[2]Baskol!$C$543)</f>
        <v/>
      </c>
      <c r="V540" t="str">
        <f>IF([2]Baskol!$D$543="","",[2]Baskol!$D$543)</f>
        <v/>
      </c>
      <c r="W540" t="str">
        <f>IF([2]Baskol!$E$543="","",[2]Baskol!$E$543)</f>
        <v/>
      </c>
      <c r="X540" t="str">
        <f>IF([2]Baskol!$G$543="","",[2]Baskol!$G$543)</f>
        <v/>
      </c>
      <c r="Y540" t="str">
        <f>IF([2]Baskol!$I$543="","",[2]Baskol!$I$543)</f>
        <v/>
      </c>
      <c r="Z540" t="str">
        <f>IF([2]Baskol!$J$543="","",[2]Baskol!$J$543)</f>
        <v/>
      </c>
      <c r="AA540" t="str">
        <f>IF([2]Baskol!$K$543="","",[2]Baskol!$K$543)</f>
        <v/>
      </c>
      <c r="AB540" t="str">
        <f>IF([2]Baskol!$L$543="","",[2]Baskol!$L$543)</f>
        <v/>
      </c>
      <c r="AC540" t="str">
        <f>IF([2]Baskol!$N$543="","",[2]Baskol!$N$543)</f>
        <v/>
      </c>
      <c r="AD540" t="str">
        <f>IF([2]Baskol!$O$543="","",[2]Baskol!$O$543)</f>
        <v/>
      </c>
      <c r="AE540" t="str">
        <f>IF([3]Entry!$C$543="","",[3]Entry!$C$543)</f>
        <v/>
      </c>
      <c r="AF540" t="str">
        <f>IF([3]Entry!$D$543="","",[3]Entry!$D$543)</f>
        <v/>
      </c>
      <c r="AG540" t="str">
        <f>IF([3]Entry!$E$543="","",[3]Entry!$E$543)</f>
        <v/>
      </c>
      <c r="AH540" t="str">
        <f>IF([3]Entry!$G$543="","",[3]Entry!$G$543)</f>
        <v/>
      </c>
      <c r="AI540" t="str">
        <f>IF([3]Entry!$K$543="","",[3]Entry!$K$543)</f>
        <v/>
      </c>
      <c r="AJ540" t="str">
        <f>IF([3]Entry!$L$543="","",[3]Entry!$L$543)</f>
        <v/>
      </c>
      <c r="AK540" t="str">
        <f>IF([3]Entry!$M$543="","",[3]Entry!$M$543)</f>
        <v/>
      </c>
      <c r="AL540" t="str">
        <f>IF([3]Entry!$N$543="","",[3]Entry!$N$543)</f>
        <v/>
      </c>
      <c r="AM540" t="str">
        <f>IF([3]Entry!$R$543="","",[3]Entry!$R$543)</f>
        <v/>
      </c>
    </row>
    <row r="541" spans="1:39" x14ac:dyDescent="0.2">
      <c r="A541" t="str">
        <f>IF([1]Accounts!$D$542="","",[1]Accounts!$A$542)</f>
        <v/>
      </c>
      <c r="B541" t="str">
        <f>IF([1]Accounts!$D$542="","",[1]Accounts!$B$542)</f>
        <v/>
      </c>
      <c r="C541" t="str">
        <f>IF([1]Accounts!$D$542="","",[1]Accounts!$C$542)</f>
        <v/>
      </c>
      <c r="D541" t="str">
        <f>IF([1]Accounts!$D$542="","",[1]Accounts!$D$542)</f>
        <v/>
      </c>
      <c r="E541" t="str">
        <f>IF([1]Accounts!$D$542="","",[1]Accounts!$E$542)</f>
        <v/>
      </c>
      <c r="F541" t="str">
        <f>IF([1]Accounts!$D$542="","",[1]Accounts!$F$542)</f>
        <v/>
      </c>
      <c r="G541" t="str">
        <f>IF([1]Accounts!$D$542="","",[1]Accounts!$G$542)</f>
        <v/>
      </c>
      <c r="T541" t="str">
        <f>IF([2]Baskol!$B$544="","",[2]Baskol!$B$544)</f>
        <v/>
      </c>
      <c r="U541" t="str">
        <f>IF([2]Baskol!$C$544="","",[2]Baskol!$C$544)</f>
        <v/>
      </c>
      <c r="V541" t="str">
        <f>IF([2]Baskol!$D$544="","",[2]Baskol!$D$544)</f>
        <v/>
      </c>
      <c r="W541" t="str">
        <f>IF([2]Baskol!$E$544="","",[2]Baskol!$E$544)</f>
        <v/>
      </c>
      <c r="X541" t="str">
        <f>IF([2]Baskol!$G$544="","",[2]Baskol!$G$544)</f>
        <v/>
      </c>
      <c r="Y541" t="str">
        <f>IF([2]Baskol!$I$544="","",[2]Baskol!$I$544)</f>
        <v/>
      </c>
      <c r="Z541" t="str">
        <f>IF([2]Baskol!$J$544="","",[2]Baskol!$J$544)</f>
        <v/>
      </c>
      <c r="AA541" t="str">
        <f>IF([2]Baskol!$K$544="","",[2]Baskol!$K$544)</f>
        <v/>
      </c>
      <c r="AB541" t="str">
        <f>IF([2]Baskol!$L$544="","",[2]Baskol!$L$544)</f>
        <v/>
      </c>
      <c r="AC541" t="str">
        <f>IF([2]Baskol!$N$544="","",[2]Baskol!$N$544)</f>
        <v/>
      </c>
      <c r="AD541" t="str">
        <f>IF([2]Baskol!$O$544="","",[2]Baskol!$O$544)</f>
        <v/>
      </c>
      <c r="AE541" t="str">
        <f>IF([3]Entry!$C$544="","",[3]Entry!$C$544)</f>
        <v/>
      </c>
      <c r="AF541" t="str">
        <f>IF([3]Entry!$D$544="","",[3]Entry!$D$544)</f>
        <v/>
      </c>
      <c r="AG541" t="str">
        <f>IF([3]Entry!$E$544="","",[3]Entry!$E$544)</f>
        <v/>
      </c>
      <c r="AH541" t="str">
        <f>IF([3]Entry!$G$544="","",[3]Entry!$G$544)</f>
        <v/>
      </c>
      <c r="AI541" t="str">
        <f>IF([3]Entry!$K$544="","",[3]Entry!$K$544)</f>
        <v/>
      </c>
      <c r="AJ541" t="str">
        <f>IF([3]Entry!$L$544="","",[3]Entry!$L$544)</f>
        <v/>
      </c>
      <c r="AK541" t="str">
        <f>IF([3]Entry!$M$544="","",[3]Entry!$M$544)</f>
        <v/>
      </c>
      <c r="AL541" t="str">
        <f>IF([3]Entry!$N$544="","",[3]Entry!$N$544)</f>
        <v/>
      </c>
      <c r="AM541" t="str">
        <f>IF([3]Entry!$R$544="","",[3]Entry!$R$544)</f>
        <v/>
      </c>
    </row>
    <row r="542" spans="1:39" x14ac:dyDescent="0.2">
      <c r="A542" t="str">
        <f>IF([1]Accounts!$D$543="","",[1]Accounts!$A$543)</f>
        <v/>
      </c>
      <c r="B542" t="str">
        <f>IF([1]Accounts!$D$543="","",[1]Accounts!$B$543)</f>
        <v/>
      </c>
      <c r="C542" t="str">
        <f>IF([1]Accounts!$D$543="","",[1]Accounts!$C$543)</f>
        <v/>
      </c>
      <c r="D542" t="str">
        <f>IF([1]Accounts!$D$543="","",[1]Accounts!$D$543)</f>
        <v/>
      </c>
      <c r="E542" t="str">
        <f>IF([1]Accounts!$D$543="","",[1]Accounts!$E$543)</f>
        <v/>
      </c>
      <c r="F542" t="str">
        <f>IF([1]Accounts!$D$543="","",[1]Accounts!$F$543)</f>
        <v/>
      </c>
      <c r="G542" t="str">
        <f>IF([1]Accounts!$D$543="","",[1]Accounts!$G$543)</f>
        <v/>
      </c>
      <c r="T542" t="str">
        <f>IF([2]Baskol!$B$545="","",[2]Baskol!$B$545)</f>
        <v/>
      </c>
      <c r="U542" t="str">
        <f>IF([2]Baskol!$C$545="","",[2]Baskol!$C$545)</f>
        <v/>
      </c>
      <c r="V542" t="str">
        <f>IF([2]Baskol!$D$545="","",[2]Baskol!$D$545)</f>
        <v/>
      </c>
      <c r="W542" t="str">
        <f>IF([2]Baskol!$E$545="","",[2]Baskol!$E$545)</f>
        <v/>
      </c>
      <c r="X542" t="str">
        <f>IF([2]Baskol!$G$545="","",[2]Baskol!$G$545)</f>
        <v/>
      </c>
      <c r="Y542" t="str">
        <f>IF([2]Baskol!$I$545="","",[2]Baskol!$I$545)</f>
        <v/>
      </c>
      <c r="Z542" t="str">
        <f>IF([2]Baskol!$J$545="","",[2]Baskol!$J$545)</f>
        <v/>
      </c>
      <c r="AA542" t="str">
        <f>IF([2]Baskol!$K$545="","",[2]Baskol!$K$545)</f>
        <v/>
      </c>
      <c r="AB542" t="str">
        <f>IF([2]Baskol!$L$545="","",[2]Baskol!$L$545)</f>
        <v/>
      </c>
      <c r="AC542" t="str">
        <f>IF([2]Baskol!$N$545="","",[2]Baskol!$N$545)</f>
        <v/>
      </c>
      <c r="AD542" t="str">
        <f>IF([2]Baskol!$O$545="","",[2]Baskol!$O$545)</f>
        <v/>
      </c>
      <c r="AE542" t="str">
        <f>IF([3]Entry!$C$545="","",[3]Entry!$C$545)</f>
        <v/>
      </c>
      <c r="AF542" t="str">
        <f>IF([3]Entry!$D$545="","",[3]Entry!$D$545)</f>
        <v/>
      </c>
      <c r="AG542" t="str">
        <f>IF([3]Entry!$E$545="","",[3]Entry!$E$545)</f>
        <v/>
      </c>
      <c r="AH542" t="str">
        <f>IF([3]Entry!$G$545="","",[3]Entry!$G$545)</f>
        <v/>
      </c>
      <c r="AI542" t="str">
        <f>IF([3]Entry!$K$545="","",[3]Entry!$K$545)</f>
        <v/>
      </c>
      <c r="AJ542" t="str">
        <f>IF([3]Entry!$L$545="","",[3]Entry!$L$545)</f>
        <v/>
      </c>
      <c r="AK542" t="str">
        <f>IF([3]Entry!$M$545="","",[3]Entry!$M$545)</f>
        <v/>
      </c>
      <c r="AL542" t="str">
        <f>IF([3]Entry!$N$545="","",[3]Entry!$N$545)</f>
        <v/>
      </c>
      <c r="AM542" t="str">
        <f>IF([3]Entry!$R$545="","",[3]Entry!$R$545)</f>
        <v/>
      </c>
    </row>
    <row r="543" spans="1:39" x14ac:dyDescent="0.2">
      <c r="A543" t="str">
        <f>IF([1]Accounts!$D$544="","",[1]Accounts!$A$544)</f>
        <v/>
      </c>
      <c r="B543" t="str">
        <f>IF([1]Accounts!$D$544="","",[1]Accounts!$B$544)</f>
        <v/>
      </c>
      <c r="C543" t="str">
        <f>IF([1]Accounts!$D$544="","",[1]Accounts!$C$544)</f>
        <v/>
      </c>
      <c r="D543" t="str">
        <f>IF([1]Accounts!$D$544="","",[1]Accounts!$D$544)</f>
        <v/>
      </c>
      <c r="E543" t="str">
        <f>IF([1]Accounts!$D$544="","",[1]Accounts!$E$544)</f>
        <v/>
      </c>
      <c r="F543" t="str">
        <f>IF([1]Accounts!$D$544="","",[1]Accounts!$F$544)</f>
        <v/>
      </c>
      <c r="G543" t="str">
        <f>IF([1]Accounts!$D$544="","",[1]Accounts!$G$544)</f>
        <v/>
      </c>
      <c r="T543" t="str">
        <f>IF([2]Baskol!$B$546="","",[2]Baskol!$B$546)</f>
        <v/>
      </c>
      <c r="U543" t="str">
        <f>IF([2]Baskol!$C$546="","",[2]Baskol!$C$546)</f>
        <v/>
      </c>
      <c r="V543" t="str">
        <f>IF([2]Baskol!$D$546="","",[2]Baskol!$D$546)</f>
        <v/>
      </c>
      <c r="W543" t="str">
        <f>IF([2]Baskol!$E$546="","",[2]Baskol!$E$546)</f>
        <v/>
      </c>
      <c r="X543" t="str">
        <f>IF([2]Baskol!$G$546="","",[2]Baskol!$G$546)</f>
        <v/>
      </c>
      <c r="Y543" t="str">
        <f>IF([2]Baskol!$I$546="","",[2]Baskol!$I$546)</f>
        <v/>
      </c>
      <c r="Z543" t="str">
        <f>IF([2]Baskol!$J$546="","",[2]Baskol!$J$546)</f>
        <v/>
      </c>
      <c r="AA543" t="str">
        <f>IF([2]Baskol!$K$546="","",[2]Baskol!$K$546)</f>
        <v/>
      </c>
      <c r="AB543" t="str">
        <f>IF([2]Baskol!$L$546="","",[2]Baskol!$L$546)</f>
        <v/>
      </c>
      <c r="AC543" t="str">
        <f>IF([2]Baskol!$N$546="","",[2]Baskol!$N$546)</f>
        <v/>
      </c>
      <c r="AD543" t="str">
        <f>IF([2]Baskol!$O$546="","",[2]Baskol!$O$546)</f>
        <v/>
      </c>
      <c r="AE543" t="str">
        <f>IF([3]Entry!$C$546="","",[3]Entry!$C$546)</f>
        <v/>
      </c>
      <c r="AF543" t="str">
        <f>IF([3]Entry!$D$546="","",[3]Entry!$D$546)</f>
        <v/>
      </c>
      <c r="AG543" t="str">
        <f>IF([3]Entry!$E$546="","",[3]Entry!$E$546)</f>
        <v/>
      </c>
      <c r="AH543" t="str">
        <f>IF([3]Entry!$G$546="","",[3]Entry!$G$546)</f>
        <v/>
      </c>
      <c r="AI543" t="str">
        <f>IF([3]Entry!$K$546="","",[3]Entry!$K$546)</f>
        <v/>
      </c>
      <c r="AJ543" t="str">
        <f>IF([3]Entry!$L$546="","",[3]Entry!$L$546)</f>
        <v/>
      </c>
      <c r="AK543" t="str">
        <f>IF([3]Entry!$M$546="","",[3]Entry!$M$546)</f>
        <v/>
      </c>
      <c r="AL543" t="str">
        <f>IF([3]Entry!$N$546="","",[3]Entry!$N$546)</f>
        <v/>
      </c>
      <c r="AM543" t="str">
        <f>IF([3]Entry!$R$546="","",[3]Entry!$R$546)</f>
        <v/>
      </c>
    </row>
    <row r="544" spans="1:39" x14ac:dyDescent="0.2">
      <c r="A544" t="str">
        <f>IF([1]Accounts!$D$545="","",[1]Accounts!$A$545)</f>
        <v/>
      </c>
      <c r="B544" t="str">
        <f>IF([1]Accounts!$D$545="","",[1]Accounts!$B$545)</f>
        <v/>
      </c>
      <c r="C544" t="str">
        <f>IF([1]Accounts!$D$545="","",[1]Accounts!$C$545)</f>
        <v/>
      </c>
      <c r="D544" t="str">
        <f>IF([1]Accounts!$D$545="","",[1]Accounts!$D$545)</f>
        <v/>
      </c>
      <c r="E544" t="str">
        <f>IF([1]Accounts!$D$545="","",[1]Accounts!$E$545)</f>
        <v/>
      </c>
      <c r="F544" t="str">
        <f>IF([1]Accounts!$D$545="","",[1]Accounts!$F$545)</f>
        <v/>
      </c>
      <c r="G544" t="str">
        <f>IF([1]Accounts!$D$545="","",[1]Accounts!$G$545)</f>
        <v/>
      </c>
      <c r="T544" t="str">
        <f>IF([2]Baskol!$B$547="","",[2]Baskol!$B$547)</f>
        <v/>
      </c>
      <c r="U544" t="str">
        <f>IF([2]Baskol!$C$547="","",[2]Baskol!$C$547)</f>
        <v/>
      </c>
      <c r="V544" t="str">
        <f>IF([2]Baskol!$D$547="","",[2]Baskol!$D$547)</f>
        <v/>
      </c>
      <c r="W544" t="str">
        <f>IF([2]Baskol!$E$547="","",[2]Baskol!$E$547)</f>
        <v/>
      </c>
      <c r="X544" t="str">
        <f>IF([2]Baskol!$G$547="","",[2]Baskol!$G$547)</f>
        <v/>
      </c>
      <c r="Y544" t="str">
        <f>IF([2]Baskol!$I$547="","",[2]Baskol!$I$547)</f>
        <v/>
      </c>
      <c r="Z544" t="str">
        <f>IF([2]Baskol!$J$547="","",[2]Baskol!$J$547)</f>
        <v/>
      </c>
      <c r="AA544" t="str">
        <f>IF([2]Baskol!$K$547="","",[2]Baskol!$K$547)</f>
        <v/>
      </c>
      <c r="AB544" t="str">
        <f>IF([2]Baskol!$L$547="","",[2]Baskol!$L$547)</f>
        <v/>
      </c>
      <c r="AC544" t="str">
        <f>IF([2]Baskol!$N$547="","",[2]Baskol!$N$547)</f>
        <v/>
      </c>
      <c r="AD544" t="str">
        <f>IF([2]Baskol!$O$547="","",[2]Baskol!$O$547)</f>
        <v/>
      </c>
      <c r="AE544" t="str">
        <f>IF([3]Entry!$C$547="","",[3]Entry!$C$547)</f>
        <v/>
      </c>
      <c r="AF544" t="str">
        <f>IF([3]Entry!$D$547="","",[3]Entry!$D$547)</f>
        <v/>
      </c>
      <c r="AG544" t="str">
        <f>IF([3]Entry!$E$547="","",[3]Entry!$E$547)</f>
        <v/>
      </c>
      <c r="AH544" t="str">
        <f>IF([3]Entry!$G$547="","",[3]Entry!$G$547)</f>
        <v/>
      </c>
      <c r="AI544" t="str">
        <f>IF([3]Entry!$K$547="","",[3]Entry!$K$547)</f>
        <v/>
      </c>
      <c r="AJ544" t="str">
        <f>IF([3]Entry!$L$547="","",[3]Entry!$L$547)</f>
        <v/>
      </c>
      <c r="AK544" t="str">
        <f>IF([3]Entry!$M$547="","",[3]Entry!$M$547)</f>
        <v/>
      </c>
      <c r="AL544" t="str">
        <f>IF([3]Entry!$N$547="","",[3]Entry!$N$547)</f>
        <v/>
      </c>
      <c r="AM544" t="str">
        <f>IF([3]Entry!$R$547="","",[3]Entry!$R$547)</f>
        <v/>
      </c>
    </row>
    <row r="545" spans="1:39" x14ac:dyDescent="0.2">
      <c r="A545" t="str">
        <f>IF([1]Accounts!$D$546="","",[1]Accounts!$A$546)</f>
        <v/>
      </c>
      <c r="B545" t="str">
        <f>IF([1]Accounts!$D$546="","",[1]Accounts!$B$546)</f>
        <v/>
      </c>
      <c r="C545" t="str">
        <f>IF([1]Accounts!$D$546="","",[1]Accounts!$C$546)</f>
        <v/>
      </c>
      <c r="D545" t="str">
        <f>IF([1]Accounts!$D$546="","",[1]Accounts!$D$546)</f>
        <v/>
      </c>
      <c r="E545" t="str">
        <f>IF([1]Accounts!$D$546="","",[1]Accounts!$E$546)</f>
        <v/>
      </c>
      <c r="F545" t="str">
        <f>IF([1]Accounts!$D$546="","",[1]Accounts!$F$546)</f>
        <v/>
      </c>
      <c r="G545" t="str">
        <f>IF([1]Accounts!$D$546="","",[1]Accounts!$G$546)</f>
        <v/>
      </c>
      <c r="T545" t="str">
        <f>IF([2]Baskol!$B$548="","",[2]Baskol!$B$548)</f>
        <v/>
      </c>
      <c r="U545" t="str">
        <f>IF([2]Baskol!$C$548="","",[2]Baskol!$C$548)</f>
        <v/>
      </c>
      <c r="V545" t="str">
        <f>IF([2]Baskol!$D$548="","",[2]Baskol!$D$548)</f>
        <v/>
      </c>
      <c r="W545" t="str">
        <f>IF([2]Baskol!$E$548="","",[2]Baskol!$E$548)</f>
        <v/>
      </c>
      <c r="X545" t="str">
        <f>IF([2]Baskol!$G$548="","",[2]Baskol!$G$548)</f>
        <v/>
      </c>
      <c r="Y545" t="str">
        <f>IF([2]Baskol!$I$548="","",[2]Baskol!$I$548)</f>
        <v/>
      </c>
      <c r="Z545" t="str">
        <f>IF([2]Baskol!$J$548="","",[2]Baskol!$J$548)</f>
        <v/>
      </c>
      <c r="AA545" t="str">
        <f>IF([2]Baskol!$K$548="","",[2]Baskol!$K$548)</f>
        <v/>
      </c>
      <c r="AB545" t="str">
        <f>IF([2]Baskol!$L$548="","",[2]Baskol!$L$548)</f>
        <v/>
      </c>
      <c r="AC545" t="str">
        <f>IF([2]Baskol!$N$548="","",[2]Baskol!$N$548)</f>
        <v/>
      </c>
      <c r="AD545" t="str">
        <f>IF([2]Baskol!$O$548="","",[2]Baskol!$O$548)</f>
        <v/>
      </c>
      <c r="AE545" t="str">
        <f>IF([3]Entry!$C$548="","",[3]Entry!$C$548)</f>
        <v/>
      </c>
      <c r="AF545" t="str">
        <f>IF([3]Entry!$D$548="","",[3]Entry!$D$548)</f>
        <v/>
      </c>
      <c r="AG545" t="str">
        <f>IF([3]Entry!$E$548="","",[3]Entry!$E$548)</f>
        <v/>
      </c>
      <c r="AH545" t="str">
        <f>IF([3]Entry!$G$548="","",[3]Entry!$G$548)</f>
        <v/>
      </c>
      <c r="AI545" t="str">
        <f>IF([3]Entry!$K$548="","",[3]Entry!$K$548)</f>
        <v/>
      </c>
      <c r="AJ545" t="str">
        <f>IF([3]Entry!$L$548="","",[3]Entry!$L$548)</f>
        <v/>
      </c>
      <c r="AK545" t="str">
        <f>IF([3]Entry!$M$548="","",[3]Entry!$M$548)</f>
        <v/>
      </c>
      <c r="AL545" t="str">
        <f>IF([3]Entry!$N$548="","",[3]Entry!$N$548)</f>
        <v/>
      </c>
      <c r="AM545" t="str">
        <f>IF([3]Entry!$R$548="","",[3]Entry!$R$548)</f>
        <v/>
      </c>
    </row>
    <row r="546" spans="1:39" x14ac:dyDescent="0.2">
      <c r="A546" t="str">
        <f>IF([1]Accounts!$D$547="","",[1]Accounts!$A$547)</f>
        <v/>
      </c>
      <c r="B546" t="str">
        <f>IF([1]Accounts!$D$547="","",[1]Accounts!$B$547)</f>
        <v/>
      </c>
      <c r="C546" t="str">
        <f>IF([1]Accounts!$D$547="","",[1]Accounts!$C$547)</f>
        <v/>
      </c>
      <c r="D546" t="str">
        <f>IF([1]Accounts!$D$547="","",[1]Accounts!$D$547)</f>
        <v/>
      </c>
      <c r="E546" t="str">
        <f>IF([1]Accounts!$D$547="","",[1]Accounts!$E$547)</f>
        <v/>
      </c>
      <c r="F546" t="str">
        <f>IF([1]Accounts!$D$547="","",[1]Accounts!$F$547)</f>
        <v/>
      </c>
      <c r="G546" t="str">
        <f>IF([1]Accounts!$D$547="","",[1]Accounts!$G$547)</f>
        <v/>
      </c>
      <c r="T546" t="str">
        <f>IF([2]Baskol!$B$549="","",[2]Baskol!$B$549)</f>
        <v/>
      </c>
      <c r="U546" t="str">
        <f>IF([2]Baskol!$C$549="","",[2]Baskol!$C$549)</f>
        <v/>
      </c>
      <c r="V546" t="str">
        <f>IF([2]Baskol!$D$549="","",[2]Baskol!$D$549)</f>
        <v/>
      </c>
      <c r="W546" t="str">
        <f>IF([2]Baskol!$E$549="","",[2]Baskol!$E$549)</f>
        <v/>
      </c>
      <c r="X546" t="str">
        <f>IF([2]Baskol!$G$549="","",[2]Baskol!$G$549)</f>
        <v/>
      </c>
      <c r="Y546" t="str">
        <f>IF([2]Baskol!$I$549="","",[2]Baskol!$I$549)</f>
        <v/>
      </c>
      <c r="Z546" t="str">
        <f>IF([2]Baskol!$J$549="","",[2]Baskol!$J$549)</f>
        <v/>
      </c>
      <c r="AA546" t="str">
        <f>IF([2]Baskol!$K$549="","",[2]Baskol!$K$549)</f>
        <v/>
      </c>
      <c r="AB546" t="str">
        <f>IF([2]Baskol!$L$549="","",[2]Baskol!$L$549)</f>
        <v/>
      </c>
      <c r="AC546" t="str">
        <f>IF([2]Baskol!$N$549="","",[2]Baskol!$N$549)</f>
        <v/>
      </c>
      <c r="AD546" t="str">
        <f>IF([2]Baskol!$O$549="","",[2]Baskol!$O$549)</f>
        <v/>
      </c>
      <c r="AE546" t="str">
        <f>IF([3]Entry!$C$549="","",[3]Entry!$C$549)</f>
        <v/>
      </c>
      <c r="AF546" t="str">
        <f>IF([3]Entry!$D$549="","",[3]Entry!$D$549)</f>
        <v/>
      </c>
      <c r="AG546" t="str">
        <f>IF([3]Entry!$E$549="","",[3]Entry!$E$549)</f>
        <v/>
      </c>
      <c r="AH546" t="str">
        <f>IF([3]Entry!$G$549="","",[3]Entry!$G$549)</f>
        <v/>
      </c>
      <c r="AI546" t="str">
        <f>IF([3]Entry!$K$549="","",[3]Entry!$K$549)</f>
        <v/>
      </c>
      <c r="AJ546" t="str">
        <f>IF([3]Entry!$L$549="","",[3]Entry!$L$549)</f>
        <v/>
      </c>
      <c r="AK546" t="str">
        <f>IF([3]Entry!$M$549="","",[3]Entry!$M$549)</f>
        <v/>
      </c>
      <c r="AL546" t="str">
        <f>IF([3]Entry!$N$549="","",[3]Entry!$N$549)</f>
        <v/>
      </c>
      <c r="AM546" t="str">
        <f>IF([3]Entry!$R$549="","",[3]Entry!$R$549)</f>
        <v/>
      </c>
    </row>
    <row r="547" spans="1:39" x14ac:dyDescent="0.2">
      <c r="A547" t="str">
        <f>IF([1]Accounts!$D$548="","",[1]Accounts!$A$548)</f>
        <v/>
      </c>
      <c r="B547" t="str">
        <f>IF([1]Accounts!$D$548="","",[1]Accounts!$B$548)</f>
        <v/>
      </c>
      <c r="C547" t="str">
        <f>IF([1]Accounts!$D$548="","",[1]Accounts!$C$548)</f>
        <v/>
      </c>
      <c r="D547" t="str">
        <f>IF([1]Accounts!$D$548="","",[1]Accounts!$D$548)</f>
        <v/>
      </c>
      <c r="E547" t="str">
        <f>IF([1]Accounts!$D$548="","",[1]Accounts!$E$548)</f>
        <v/>
      </c>
      <c r="F547" t="str">
        <f>IF([1]Accounts!$D$548="","",[1]Accounts!$F$548)</f>
        <v/>
      </c>
      <c r="G547" t="str">
        <f>IF([1]Accounts!$D$548="","",[1]Accounts!$G$548)</f>
        <v/>
      </c>
      <c r="T547" t="str">
        <f>IF([2]Baskol!$B$550="","",[2]Baskol!$B$550)</f>
        <v/>
      </c>
      <c r="U547" t="str">
        <f>IF([2]Baskol!$C$550="","",[2]Baskol!$C$550)</f>
        <v/>
      </c>
      <c r="V547" t="str">
        <f>IF([2]Baskol!$D$550="","",[2]Baskol!$D$550)</f>
        <v/>
      </c>
      <c r="W547" t="str">
        <f>IF([2]Baskol!$E$550="","",[2]Baskol!$E$550)</f>
        <v/>
      </c>
      <c r="X547" t="str">
        <f>IF([2]Baskol!$G$550="","",[2]Baskol!$G$550)</f>
        <v/>
      </c>
      <c r="Y547" t="str">
        <f>IF([2]Baskol!$I$550="","",[2]Baskol!$I$550)</f>
        <v/>
      </c>
      <c r="Z547" t="str">
        <f>IF([2]Baskol!$J$550="","",[2]Baskol!$J$550)</f>
        <v/>
      </c>
      <c r="AA547" t="str">
        <f>IF([2]Baskol!$K$550="","",[2]Baskol!$K$550)</f>
        <v/>
      </c>
      <c r="AB547" t="str">
        <f>IF([2]Baskol!$L$550="","",[2]Baskol!$L$550)</f>
        <v/>
      </c>
      <c r="AC547" t="str">
        <f>IF([2]Baskol!$N$550="","",[2]Baskol!$N$550)</f>
        <v/>
      </c>
      <c r="AD547" t="str">
        <f>IF([2]Baskol!$O$550="","",[2]Baskol!$O$550)</f>
        <v/>
      </c>
      <c r="AE547" t="str">
        <f>IF([3]Entry!$C$550="","",[3]Entry!$C$550)</f>
        <v/>
      </c>
      <c r="AF547" t="str">
        <f>IF([3]Entry!$D$550="","",[3]Entry!$D$550)</f>
        <v/>
      </c>
      <c r="AG547" t="str">
        <f>IF([3]Entry!$E$550="","",[3]Entry!$E$550)</f>
        <v/>
      </c>
      <c r="AH547" t="str">
        <f>IF([3]Entry!$G$550="","",[3]Entry!$G$550)</f>
        <v/>
      </c>
      <c r="AI547" t="str">
        <f>IF([3]Entry!$K$550="","",[3]Entry!$K$550)</f>
        <v/>
      </c>
      <c r="AJ547" t="str">
        <f>IF([3]Entry!$L$550="","",[3]Entry!$L$550)</f>
        <v/>
      </c>
      <c r="AK547" t="str">
        <f>IF([3]Entry!$M$550="","",[3]Entry!$M$550)</f>
        <v/>
      </c>
      <c r="AL547" t="str">
        <f>IF([3]Entry!$N$550="","",[3]Entry!$N$550)</f>
        <v/>
      </c>
      <c r="AM547" t="str">
        <f>IF([3]Entry!$R$550="","",[3]Entry!$R$550)</f>
        <v/>
      </c>
    </row>
    <row r="548" spans="1:39" x14ac:dyDescent="0.2">
      <c r="A548" t="str">
        <f>IF([1]Accounts!$D$549="","",[1]Accounts!$A$549)</f>
        <v/>
      </c>
      <c r="B548" t="str">
        <f>IF([1]Accounts!$D$549="","",[1]Accounts!$B$549)</f>
        <v/>
      </c>
      <c r="C548" t="str">
        <f>IF([1]Accounts!$D$549="","",[1]Accounts!$C$549)</f>
        <v/>
      </c>
      <c r="D548" t="str">
        <f>IF([1]Accounts!$D$549="","",[1]Accounts!$D$549)</f>
        <v/>
      </c>
      <c r="E548" t="str">
        <f>IF([1]Accounts!$D$549="","",[1]Accounts!$E$549)</f>
        <v/>
      </c>
      <c r="F548" t="str">
        <f>IF([1]Accounts!$D$549="","",[1]Accounts!$F$549)</f>
        <v/>
      </c>
      <c r="G548" t="str">
        <f>IF([1]Accounts!$D$549="","",[1]Accounts!$G$549)</f>
        <v/>
      </c>
      <c r="T548" t="str">
        <f>IF([2]Baskol!$B$551="","",[2]Baskol!$B$551)</f>
        <v/>
      </c>
      <c r="U548" t="str">
        <f>IF([2]Baskol!$C$551="","",[2]Baskol!$C$551)</f>
        <v/>
      </c>
      <c r="V548" t="str">
        <f>IF([2]Baskol!$D$551="","",[2]Baskol!$D$551)</f>
        <v/>
      </c>
      <c r="W548" t="str">
        <f>IF([2]Baskol!$E$551="","",[2]Baskol!$E$551)</f>
        <v/>
      </c>
      <c r="X548" t="str">
        <f>IF([2]Baskol!$G$551="","",[2]Baskol!$G$551)</f>
        <v/>
      </c>
      <c r="Y548" t="str">
        <f>IF([2]Baskol!$I$551="","",[2]Baskol!$I$551)</f>
        <v/>
      </c>
      <c r="Z548" t="str">
        <f>IF([2]Baskol!$J$551="","",[2]Baskol!$J$551)</f>
        <v/>
      </c>
      <c r="AA548" t="str">
        <f>IF([2]Baskol!$K$551="","",[2]Baskol!$K$551)</f>
        <v/>
      </c>
      <c r="AB548" t="str">
        <f>IF([2]Baskol!$L$551="","",[2]Baskol!$L$551)</f>
        <v/>
      </c>
      <c r="AC548" t="str">
        <f>IF([2]Baskol!$N$551="","",[2]Baskol!$N$551)</f>
        <v/>
      </c>
      <c r="AD548" t="str">
        <f>IF([2]Baskol!$O$551="","",[2]Baskol!$O$551)</f>
        <v/>
      </c>
      <c r="AE548" t="str">
        <f>IF([3]Entry!$C$551="","",[3]Entry!$C$551)</f>
        <v/>
      </c>
      <c r="AF548" t="str">
        <f>IF([3]Entry!$D$551="","",[3]Entry!$D$551)</f>
        <v/>
      </c>
      <c r="AG548" t="str">
        <f>IF([3]Entry!$E$551="","",[3]Entry!$E$551)</f>
        <v/>
      </c>
      <c r="AH548" t="str">
        <f>IF([3]Entry!$G$551="","",[3]Entry!$G$551)</f>
        <v/>
      </c>
      <c r="AI548" t="str">
        <f>IF([3]Entry!$K$551="","",[3]Entry!$K$551)</f>
        <v/>
      </c>
      <c r="AJ548" t="str">
        <f>IF([3]Entry!$L$551="","",[3]Entry!$L$551)</f>
        <v/>
      </c>
      <c r="AK548" t="str">
        <f>IF([3]Entry!$M$551="","",[3]Entry!$M$551)</f>
        <v/>
      </c>
      <c r="AL548" t="str">
        <f>IF([3]Entry!$N$551="","",[3]Entry!$N$551)</f>
        <v/>
      </c>
      <c r="AM548" t="str">
        <f>IF([3]Entry!$R$551="","",[3]Entry!$R$551)</f>
        <v/>
      </c>
    </row>
    <row r="549" spans="1:39" x14ac:dyDescent="0.2">
      <c r="A549" t="str">
        <f>IF([1]Accounts!$D$550="","",[1]Accounts!$A$550)</f>
        <v/>
      </c>
      <c r="B549" t="str">
        <f>IF([1]Accounts!$D$550="","",[1]Accounts!$B$550)</f>
        <v/>
      </c>
      <c r="C549" t="str">
        <f>IF([1]Accounts!$D$550="","",[1]Accounts!$C$550)</f>
        <v/>
      </c>
      <c r="D549" t="str">
        <f>IF([1]Accounts!$D$550="","",[1]Accounts!$D$550)</f>
        <v/>
      </c>
      <c r="E549" t="str">
        <f>IF([1]Accounts!$D$550="","",[1]Accounts!$E$550)</f>
        <v/>
      </c>
      <c r="F549" t="str">
        <f>IF([1]Accounts!$D$550="","",[1]Accounts!$F$550)</f>
        <v/>
      </c>
      <c r="G549" t="str">
        <f>IF([1]Accounts!$D$550="","",[1]Accounts!$G$550)</f>
        <v/>
      </c>
      <c r="T549" t="str">
        <f>IF([2]Baskol!$B$552="","",[2]Baskol!$B$552)</f>
        <v/>
      </c>
      <c r="U549" t="str">
        <f>IF([2]Baskol!$C$552="","",[2]Baskol!$C$552)</f>
        <v/>
      </c>
      <c r="V549" t="str">
        <f>IF([2]Baskol!$D$552="","",[2]Baskol!$D$552)</f>
        <v/>
      </c>
      <c r="W549" t="str">
        <f>IF([2]Baskol!$E$552="","",[2]Baskol!$E$552)</f>
        <v/>
      </c>
      <c r="X549" t="str">
        <f>IF([2]Baskol!$G$552="","",[2]Baskol!$G$552)</f>
        <v/>
      </c>
      <c r="Y549" t="str">
        <f>IF([2]Baskol!$I$552="","",[2]Baskol!$I$552)</f>
        <v/>
      </c>
      <c r="Z549" t="str">
        <f>IF([2]Baskol!$J$552="","",[2]Baskol!$J$552)</f>
        <v/>
      </c>
      <c r="AA549" t="str">
        <f>IF([2]Baskol!$K$552="","",[2]Baskol!$K$552)</f>
        <v/>
      </c>
      <c r="AB549" t="str">
        <f>IF([2]Baskol!$L$552="","",[2]Baskol!$L$552)</f>
        <v/>
      </c>
      <c r="AC549" t="str">
        <f>IF([2]Baskol!$N$552="","",[2]Baskol!$N$552)</f>
        <v/>
      </c>
      <c r="AD549" t="str">
        <f>IF([2]Baskol!$O$552="","",[2]Baskol!$O$552)</f>
        <v/>
      </c>
      <c r="AE549" t="str">
        <f>IF([3]Entry!$C$552="","",[3]Entry!$C$552)</f>
        <v/>
      </c>
      <c r="AF549" t="str">
        <f>IF([3]Entry!$D$552="","",[3]Entry!$D$552)</f>
        <v/>
      </c>
      <c r="AG549" t="str">
        <f>IF([3]Entry!$E$552="","",[3]Entry!$E$552)</f>
        <v/>
      </c>
      <c r="AH549" t="str">
        <f>IF([3]Entry!$G$552="","",[3]Entry!$G$552)</f>
        <v/>
      </c>
      <c r="AI549" t="str">
        <f>IF([3]Entry!$K$552="","",[3]Entry!$K$552)</f>
        <v/>
      </c>
      <c r="AJ549" t="str">
        <f>IF([3]Entry!$L$552="","",[3]Entry!$L$552)</f>
        <v/>
      </c>
      <c r="AK549" t="str">
        <f>IF([3]Entry!$M$552="","",[3]Entry!$M$552)</f>
        <v/>
      </c>
      <c r="AL549" t="str">
        <f>IF([3]Entry!$N$552="","",[3]Entry!$N$552)</f>
        <v/>
      </c>
      <c r="AM549" t="str">
        <f>IF([3]Entry!$R$552="","",[3]Entry!$R$552)</f>
        <v/>
      </c>
    </row>
    <row r="550" spans="1:39" x14ac:dyDescent="0.2">
      <c r="A550" t="str">
        <f>IF([1]Accounts!$D$551="","",[1]Accounts!$A$551)</f>
        <v/>
      </c>
      <c r="B550" t="str">
        <f>IF([1]Accounts!$D$551="","",[1]Accounts!$B$551)</f>
        <v/>
      </c>
      <c r="C550" t="str">
        <f>IF([1]Accounts!$D$551="","",[1]Accounts!$C$551)</f>
        <v/>
      </c>
      <c r="D550" t="str">
        <f>IF([1]Accounts!$D$551="","",[1]Accounts!$D$551)</f>
        <v/>
      </c>
      <c r="E550" t="str">
        <f>IF([1]Accounts!$D$551="","",[1]Accounts!$E$551)</f>
        <v/>
      </c>
      <c r="F550" t="str">
        <f>IF([1]Accounts!$D$551="","",[1]Accounts!$F$551)</f>
        <v/>
      </c>
      <c r="G550" t="str">
        <f>IF([1]Accounts!$D$551="","",[1]Accounts!$G$551)</f>
        <v/>
      </c>
      <c r="T550" t="str">
        <f>IF([2]Baskol!$B$553="","",[2]Baskol!$B$553)</f>
        <v/>
      </c>
      <c r="U550" t="str">
        <f>IF([2]Baskol!$C$553="","",[2]Baskol!$C$553)</f>
        <v/>
      </c>
      <c r="V550" t="str">
        <f>IF([2]Baskol!$D$553="","",[2]Baskol!$D$553)</f>
        <v/>
      </c>
      <c r="W550" t="str">
        <f>IF([2]Baskol!$E$553="","",[2]Baskol!$E$553)</f>
        <v/>
      </c>
      <c r="X550" t="str">
        <f>IF([2]Baskol!$G$553="","",[2]Baskol!$G$553)</f>
        <v/>
      </c>
      <c r="Y550" t="str">
        <f>IF([2]Baskol!$I$553="","",[2]Baskol!$I$553)</f>
        <v/>
      </c>
      <c r="Z550" t="str">
        <f>IF([2]Baskol!$J$553="","",[2]Baskol!$J$553)</f>
        <v/>
      </c>
      <c r="AA550" t="str">
        <f>IF([2]Baskol!$K$553="","",[2]Baskol!$K$553)</f>
        <v/>
      </c>
      <c r="AB550" t="str">
        <f>IF([2]Baskol!$L$553="","",[2]Baskol!$L$553)</f>
        <v/>
      </c>
      <c r="AC550" t="str">
        <f>IF([2]Baskol!$N$553="","",[2]Baskol!$N$553)</f>
        <v/>
      </c>
      <c r="AD550" t="str">
        <f>IF([2]Baskol!$O$553="","",[2]Baskol!$O$553)</f>
        <v/>
      </c>
      <c r="AE550" t="str">
        <f>IF([3]Entry!$C$553="","",[3]Entry!$C$553)</f>
        <v/>
      </c>
      <c r="AF550" t="str">
        <f>IF([3]Entry!$D$553="","",[3]Entry!$D$553)</f>
        <v/>
      </c>
      <c r="AG550" t="str">
        <f>IF([3]Entry!$E$553="","",[3]Entry!$E$553)</f>
        <v/>
      </c>
      <c r="AH550" t="str">
        <f>IF([3]Entry!$G$553="","",[3]Entry!$G$553)</f>
        <v/>
      </c>
      <c r="AI550" t="str">
        <f>IF([3]Entry!$K$553="","",[3]Entry!$K$553)</f>
        <v/>
      </c>
      <c r="AJ550" t="str">
        <f>IF([3]Entry!$L$553="","",[3]Entry!$L$553)</f>
        <v/>
      </c>
      <c r="AK550" t="str">
        <f>IF([3]Entry!$M$553="","",[3]Entry!$M$553)</f>
        <v/>
      </c>
      <c r="AL550" t="str">
        <f>IF([3]Entry!$N$553="","",[3]Entry!$N$553)</f>
        <v/>
      </c>
      <c r="AM550" t="str">
        <f>IF([3]Entry!$R$553="","",[3]Entry!$R$553)</f>
        <v/>
      </c>
    </row>
    <row r="551" spans="1:39" x14ac:dyDescent="0.2">
      <c r="A551" t="str">
        <f>IF([1]Accounts!$D$552="","",[1]Accounts!$A$552)</f>
        <v/>
      </c>
      <c r="B551" t="str">
        <f>IF([1]Accounts!$D$552="","",[1]Accounts!$B$552)</f>
        <v/>
      </c>
      <c r="C551" t="str">
        <f>IF([1]Accounts!$D$552="","",[1]Accounts!$C$552)</f>
        <v/>
      </c>
      <c r="D551" t="str">
        <f>IF([1]Accounts!$D$552="","",[1]Accounts!$D$552)</f>
        <v/>
      </c>
      <c r="E551" t="str">
        <f>IF([1]Accounts!$D$552="","",[1]Accounts!$E$552)</f>
        <v/>
      </c>
      <c r="F551" t="str">
        <f>IF([1]Accounts!$D$552="","",[1]Accounts!$F$552)</f>
        <v/>
      </c>
      <c r="G551" t="str">
        <f>IF([1]Accounts!$D$552="","",[1]Accounts!$G$552)</f>
        <v/>
      </c>
      <c r="T551" t="str">
        <f>IF([2]Baskol!$B$554="","",[2]Baskol!$B$554)</f>
        <v/>
      </c>
      <c r="U551" t="str">
        <f>IF([2]Baskol!$C$554="","",[2]Baskol!$C$554)</f>
        <v/>
      </c>
      <c r="V551" t="str">
        <f>IF([2]Baskol!$D$554="","",[2]Baskol!$D$554)</f>
        <v/>
      </c>
      <c r="W551" t="str">
        <f>IF([2]Baskol!$E$554="","",[2]Baskol!$E$554)</f>
        <v/>
      </c>
      <c r="X551" t="str">
        <f>IF([2]Baskol!$G$554="","",[2]Baskol!$G$554)</f>
        <v/>
      </c>
      <c r="Y551" t="str">
        <f>IF([2]Baskol!$I$554="","",[2]Baskol!$I$554)</f>
        <v/>
      </c>
      <c r="Z551" t="str">
        <f>IF([2]Baskol!$J$554="","",[2]Baskol!$J$554)</f>
        <v/>
      </c>
      <c r="AA551" t="str">
        <f>IF([2]Baskol!$K$554="","",[2]Baskol!$K$554)</f>
        <v/>
      </c>
      <c r="AB551" t="str">
        <f>IF([2]Baskol!$L$554="","",[2]Baskol!$L$554)</f>
        <v/>
      </c>
      <c r="AC551" t="str">
        <f>IF([2]Baskol!$N$554="","",[2]Baskol!$N$554)</f>
        <v/>
      </c>
      <c r="AD551" t="str">
        <f>IF([2]Baskol!$O$554="","",[2]Baskol!$O$554)</f>
        <v/>
      </c>
      <c r="AE551" t="str">
        <f>IF([3]Entry!$C$554="","",[3]Entry!$C$554)</f>
        <v/>
      </c>
      <c r="AF551" t="str">
        <f>IF([3]Entry!$D$554="","",[3]Entry!$D$554)</f>
        <v/>
      </c>
      <c r="AG551" t="str">
        <f>IF([3]Entry!$E$554="","",[3]Entry!$E$554)</f>
        <v/>
      </c>
      <c r="AH551" t="str">
        <f>IF([3]Entry!$G$554="","",[3]Entry!$G$554)</f>
        <v/>
      </c>
      <c r="AI551" t="str">
        <f>IF([3]Entry!$K$554="","",[3]Entry!$K$554)</f>
        <v/>
      </c>
      <c r="AJ551" t="str">
        <f>IF([3]Entry!$L$554="","",[3]Entry!$L$554)</f>
        <v/>
      </c>
      <c r="AK551" t="str">
        <f>IF([3]Entry!$M$554="","",[3]Entry!$M$554)</f>
        <v/>
      </c>
      <c r="AL551" t="str">
        <f>IF([3]Entry!$N$554="","",[3]Entry!$N$554)</f>
        <v/>
      </c>
      <c r="AM551" t="str">
        <f>IF([3]Entry!$R$554="","",[3]Entry!$R$554)</f>
        <v/>
      </c>
    </row>
    <row r="552" spans="1:39" x14ac:dyDescent="0.2">
      <c r="A552" t="str">
        <f>IF([1]Accounts!$D$553="","",[1]Accounts!$A$553)</f>
        <v/>
      </c>
      <c r="B552" t="str">
        <f>IF([1]Accounts!$D$553="","",[1]Accounts!$B$553)</f>
        <v/>
      </c>
      <c r="C552" t="str">
        <f>IF([1]Accounts!$D$553="","",[1]Accounts!$C$553)</f>
        <v/>
      </c>
      <c r="D552" t="str">
        <f>IF([1]Accounts!$D$553="","",[1]Accounts!$D$553)</f>
        <v/>
      </c>
      <c r="E552" t="str">
        <f>IF([1]Accounts!$D$553="","",[1]Accounts!$E$553)</f>
        <v/>
      </c>
      <c r="F552" t="str">
        <f>IF([1]Accounts!$D$553="","",[1]Accounts!$F$553)</f>
        <v/>
      </c>
      <c r="G552" t="str">
        <f>IF([1]Accounts!$D$553="","",[1]Accounts!$G$553)</f>
        <v/>
      </c>
      <c r="T552" t="str">
        <f>IF([2]Baskol!$B$555="","",[2]Baskol!$B$555)</f>
        <v/>
      </c>
      <c r="U552" t="str">
        <f>IF([2]Baskol!$C$555="","",[2]Baskol!$C$555)</f>
        <v/>
      </c>
      <c r="V552" t="str">
        <f>IF([2]Baskol!$D$555="","",[2]Baskol!$D$555)</f>
        <v/>
      </c>
      <c r="W552" t="str">
        <f>IF([2]Baskol!$E$555="","",[2]Baskol!$E$555)</f>
        <v/>
      </c>
      <c r="X552" t="str">
        <f>IF([2]Baskol!$G$555="","",[2]Baskol!$G$555)</f>
        <v/>
      </c>
      <c r="Y552" t="str">
        <f>IF([2]Baskol!$I$555="","",[2]Baskol!$I$555)</f>
        <v/>
      </c>
      <c r="Z552" t="str">
        <f>IF([2]Baskol!$J$555="","",[2]Baskol!$J$555)</f>
        <v/>
      </c>
      <c r="AA552" t="str">
        <f>IF([2]Baskol!$K$555="","",[2]Baskol!$K$555)</f>
        <v/>
      </c>
      <c r="AB552" t="str">
        <f>IF([2]Baskol!$L$555="","",[2]Baskol!$L$555)</f>
        <v/>
      </c>
      <c r="AC552" t="str">
        <f>IF([2]Baskol!$N$555="","",[2]Baskol!$N$555)</f>
        <v/>
      </c>
      <c r="AD552" t="str">
        <f>IF([2]Baskol!$O$555="","",[2]Baskol!$O$555)</f>
        <v/>
      </c>
      <c r="AE552" t="str">
        <f>IF([3]Entry!$C$555="","",[3]Entry!$C$555)</f>
        <v/>
      </c>
      <c r="AF552" t="str">
        <f>IF([3]Entry!$D$555="","",[3]Entry!$D$555)</f>
        <v/>
      </c>
      <c r="AG552" t="str">
        <f>IF([3]Entry!$E$555="","",[3]Entry!$E$555)</f>
        <v/>
      </c>
      <c r="AH552" t="str">
        <f>IF([3]Entry!$G$555="","",[3]Entry!$G$555)</f>
        <v/>
      </c>
      <c r="AI552" t="str">
        <f>IF([3]Entry!$K$555="","",[3]Entry!$K$555)</f>
        <v/>
      </c>
      <c r="AJ552" t="str">
        <f>IF([3]Entry!$L$555="","",[3]Entry!$L$555)</f>
        <v/>
      </c>
      <c r="AK552" t="str">
        <f>IF([3]Entry!$M$555="","",[3]Entry!$M$555)</f>
        <v/>
      </c>
      <c r="AL552" t="str">
        <f>IF([3]Entry!$N$555="","",[3]Entry!$N$555)</f>
        <v/>
      </c>
      <c r="AM552" t="str">
        <f>IF([3]Entry!$R$555="","",[3]Entry!$R$555)</f>
        <v/>
      </c>
    </row>
    <row r="553" spans="1:39" x14ac:dyDescent="0.2">
      <c r="A553" t="str">
        <f>IF([1]Accounts!$D$554="","",[1]Accounts!$A$554)</f>
        <v/>
      </c>
      <c r="B553" t="str">
        <f>IF([1]Accounts!$D$554="","",[1]Accounts!$B$554)</f>
        <v/>
      </c>
      <c r="C553" t="str">
        <f>IF([1]Accounts!$D$554="","",[1]Accounts!$C$554)</f>
        <v/>
      </c>
      <c r="D553" t="str">
        <f>IF([1]Accounts!$D$554="","",[1]Accounts!$D$554)</f>
        <v/>
      </c>
      <c r="E553" t="str">
        <f>IF([1]Accounts!$D$554="","",[1]Accounts!$E$554)</f>
        <v/>
      </c>
      <c r="F553" t="str">
        <f>IF([1]Accounts!$D$554="","",[1]Accounts!$F$554)</f>
        <v/>
      </c>
      <c r="G553" t="str">
        <f>IF([1]Accounts!$D$554="","",[1]Accounts!$G$554)</f>
        <v/>
      </c>
      <c r="T553" t="str">
        <f>IF([2]Baskol!$B$556="","",[2]Baskol!$B$556)</f>
        <v/>
      </c>
      <c r="U553" t="str">
        <f>IF([2]Baskol!$C$556="","",[2]Baskol!$C$556)</f>
        <v/>
      </c>
      <c r="V553" t="str">
        <f>IF([2]Baskol!$D$556="","",[2]Baskol!$D$556)</f>
        <v/>
      </c>
      <c r="W553" t="str">
        <f>IF([2]Baskol!$E$556="","",[2]Baskol!$E$556)</f>
        <v/>
      </c>
      <c r="X553" t="str">
        <f>IF([2]Baskol!$G$556="","",[2]Baskol!$G$556)</f>
        <v/>
      </c>
      <c r="Y553" t="str">
        <f>IF([2]Baskol!$I$556="","",[2]Baskol!$I$556)</f>
        <v/>
      </c>
      <c r="Z553" t="str">
        <f>IF([2]Baskol!$J$556="","",[2]Baskol!$J$556)</f>
        <v/>
      </c>
      <c r="AA553" t="str">
        <f>IF([2]Baskol!$K$556="","",[2]Baskol!$K$556)</f>
        <v/>
      </c>
      <c r="AB553" t="str">
        <f>IF([2]Baskol!$L$556="","",[2]Baskol!$L$556)</f>
        <v/>
      </c>
      <c r="AC553" t="str">
        <f>IF([2]Baskol!$N$556="","",[2]Baskol!$N$556)</f>
        <v/>
      </c>
      <c r="AD553" t="str">
        <f>IF([2]Baskol!$O$556="","",[2]Baskol!$O$556)</f>
        <v/>
      </c>
      <c r="AE553" t="str">
        <f>IF([3]Entry!$C$556="","",[3]Entry!$C$556)</f>
        <v/>
      </c>
      <c r="AF553" t="str">
        <f>IF([3]Entry!$D$556="","",[3]Entry!$D$556)</f>
        <v/>
      </c>
      <c r="AG553" t="str">
        <f>IF([3]Entry!$E$556="","",[3]Entry!$E$556)</f>
        <v/>
      </c>
      <c r="AH553" t="str">
        <f>IF([3]Entry!$G$556="","",[3]Entry!$G$556)</f>
        <v/>
      </c>
      <c r="AI553" t="str">
        <f>IF([3]Entry!$K$556="","",[3]Entry!$K$556)</f>
        <v/>
      </c>
      <c r="AJ553" t="str">
        <f>IF([3]Entry!$L$556="","",[3]Entry!$L$556)</f>
        <v/>
      </c>
      <c r="AK553" t="str">
        <f>IF([3]Entry!$M$556="","",[3]Entry!$M$556)</f>
        <v/>
      </c>
      <c r="AL553" t="str">
        <f>IF([3]Entry!$N$556="","",[3]Entry!$N$556)</f>
        <v/>
      </c>
      <c r="AM553" t="str">
        <f>IF([3]Entry!$R$556="","",[3]Entry!$R$556)</f>
        <v/>
      </c>
    </row>
    <row r="554" spans="1:39" x14ac:dyDescent="0.2">
      <c r="A554" t="str">
        <f>IF([1]Accounts!$D$555="","",[1]Accounts!$A$555)</f>
        <v/>
      </c>
      <c r="B554" t="str">
        <f>IF([1]Accounts!$D$555="","",[1]Accounts!$B$555)</f>
        <v/>
      </c>
      <c r="C554" t="str">
        <f>IF([1]Accounts!$D$555="","",[1]Accounts!$C$555)</f>
        <v/>
      </c>
      <c r="D554" t="str">
        <f>IF([1]Accounts!$D$555="","",[1]Accounts!$D$555)</f>
        <v/>
      </c>
      <c r="E554" t="str">
        <f>IF([1]Accounts!$D$555="","",[1]Accounts!$E$555)</f>
        <v/>
      </c>
      <c r="F554" t="str">
        <f>IF([1]Accounts!$D$555="","",[1]Accounts!$F$555)</f>
        <v/>
      </c>
      <c r="G554" t="str">
        <f>IF([1]Accounts!$D$555="","",[1]Accounts!$G$555)</f>
        <v/>
      </c>
      <c r="T554" t="str">
        <f>IF([2]Baskol!$B$557="","",[2]Baskol!$B$557)</f>
        <v/>
      </c>
      <c r="U554" t="str">
        <f>IF([2]Baskol!$C$557="","",[2]Baskol!$C$557)</f>
        <v/>
      </c>
      <c r="V554" t="str">
        <f>IF([2]Baskol!$D$557="","",[2]Baskol!$D$557)</f>
        <v/>
      </c>
      <c r="W554" t="str">
        <f>IF([2]Baskol!$E$557="","",[2]Baskol!$E$557)</f>
        <v/>
      </c>
      <c r="X554" t="str">
        <f>IF([2]Baskol!$G$557="","",[2]Baskol!$G$557)</f>
        <v/>
      </c>
      <c r="Y554" t="str">
        <f>IF([2]Baskol!$I$557="","",[2]Baskol!$I$557)</f>
        <v/>
      </c>
      <c r="Z554" t="str">
        <f>IF([2]Baskol!$J$557="","",[2]Baskol!$J$557)</f>
        <v/>
      </c>
      <c r="AA554" t="str">
        <f>IF([2]Baskol!$K$557="","",[2]Baskol!$K$557)</f>
        <v/>
      </c>
      <c r="AB554" t="str">
        <f>IF([2]Baskol!$L$557="","",[2]Baskol!$L$557)</f>
        <v/>
      </c>
      <c r="AC554" t="str">
        <f>IF([2]Baskol!$N$557="","",[2]Baskol!$N$557)</f>
        <v/>
      </c>
      <c r="AD554" t="str">
        <f>IF([2]Baskol!$O$557="","",[2]Baskol!$O$557)</f>
        <v/>
      </c>
      <c r="AE554" t="str">
        <f>IF([3]Entry!$C$557="","",[3]Entry!$C$557)</f>
        <v/>
      </c>
      <c r="AF554" t="str">
        <f>IF([3]Entry!$D$557="","",[3]Entry!$D$557)</f>
        <v/>
      </c>
      <c r="AG554" t="str">
        <f>IF([3]Entry!$E$557="","",[3]Entry!$E$557)</f>
        <v/>
      </c>
      <c r="AH554" t="str">
        <f>IF([3]Entry!$G$557="","",[3]Entry!$G$557)</f>
        <v/>
      </c>
      <c r="AI554" t="str">
        <f>IF([3]Entry!$K$557="","",[3]Entry!$K$557)</f>
        <v/>
      </c>
      <c r="AJ554" t="str">
        <f>IF([3]Entry!$L$557="","",[3]Entry!$L$557)</f>
        <v/>
      </c>
      <c r="AK554" t="str">
        <f>IF([3]Entry!$M$557="","",[3]Entry!$M$557)</f>
        <v/>
      </c>
      <c r="AL554" t="str">
        <f>IF([3]Entry!$N$557="","",[3]Entry!$N$557)</f>
        <v/>
      </c>
      <c r="AM554" t="str">
        <f>IF([3]Entry!$R$557="","",[3]Entry!$R$557)</f>
        <v/>
      </c>
    </row>
    <row r="555" spans="1:39" x14ac:dyDescent="0.2">
      <c r="A555" t="str">
        <f>IF([1]Accounts!$D$556="","",[1]Accounts!$A$556)</f>
        <v/>
      </c>
      <c r="B555" t="str">
        <f>IF([1]Accounts!$D$556="","",[1]Accounts!$B$556)</f>
        <v/>
      </c>
      <c r="C555" t="str">
        <f>IF([1]Accounts!$D$556="","",[1]Accounts!$C$556)</f>
        <v/>
      </c>
      <c r="D555" t="str">
        <f>IF([1]Accounts!$D$556="","",[1]Accounts!$D$556)</f>
        <v/>
      </c>
      <c r="E555" t="str">
        <f>IF([1]Accounts!$D$556="","",[1]Accounts!$E$556)</f>
        <v/>
      </c>
      <c r="F555" t="str">
        <f>IF([1]Accounts!$D$556="","",[1]Accounts!$F$556)</f>
        <v/>
      </c>
      <c r="G555" t="str">
        <f>IF([1]Accounts!$D$556="","",[1]Accounts!$G$556)</f>
        <v/>
      </c>
      <c r="T555" t="str">
        <f>IF([2]Baskol!$B$558="","",[2]Baskol!$B$558)</f>
        <v/>
      </c>
      <c r="U555" t="str">
        <f>IF([2]Baskol!$C$558="","",[2]Baskol!$C$558)</f>
        <v/>
      </c>
      <c r="V555" t="str">
        <f>IF([2]Baskol!$D$558="","",[2]Baskol!$D$558)</f>
        <v/>
      </c>
      <c r="W555" t="str">
        <f>IF([2]Baskol!$E$558="","",[2]Baskol!$E$558)</f>
        <v/>
      </c>
      <c r="X555" t="str">
        <f>IF([2]Baskol!$G$558="","",[2]Baskol!$G$558)</f>
        <v/>
      </c>
      <c r="Y555" t="str">
        <f>IF([2]Baskol!$I$558="","",[2]Baskol!$I$558)</f>
        <v/>
      </c>
      <c r="Z555" t="str">
        <f>IF([2]Baskol!$J$558="","",[2]Baskol!$J$558)</f>
        <v/>
      </c>
      <c r="AA555" t="str">
        <f>IF([2]Baskol!$K$558="","",[2]Baskol!$K$558)</f>
        <v/>
      </c>
      <c r="AB555" t="str">
        <f>IF([2]Baskol!$L$558="","",[2]Baskol!$L$558)</f>
        <v/>
      </c>
      <c r="AC555" t="str">
        <f>IF([2]Baskol!$N$558="","",[2]Baskol!$N$558)</f>
        <v/>
      </c>
      <c r="AD555" t="str">
        <f>IF([2]Baskol!$O$558="","",[2]Baskol!$O$558)</f>
        <v/>
      </c>
      <c r="AE555" t="str">
        <f>IF([3]Entry!$C$558="","",[3]Entry!$C$558)</f>
        <v/>
      </c>
      <c r="AF555" t="str">
        <f>IF([3]Entry!$D$558="","",[3]Entry!$D$558)</f>
        <v/>
      </c>
      <c r="AG555" t="str">
        <f>IF([3]Entry!$E$558="","",[3]Entry!$E$558)</f>
        <v/>
      </c>
      <c r="AH555" t="str">
        <f>IF([3]Entry!$G$558="","",[3]Entry!$G$558)</f>
        <v/>
      </c>
      <c r="AI555" t="str">
        <f>IF([3]Entry!$K$558="","",[3]Entry!$K$558)</f>
        <v/>
      </c>
      <c r="AJ555" t="str">
        <f>IF([3]Entry!$L$558="","",[3]Entry!$L$558)</f>
        <v/>
      </c>
      <c r="AK555" t="str">
        <f>IF([3]Entry!$M$558="","",[3]Entry!$M$558)</f>
        <v/>
      </c>
      <c r="AL555" t="str">
        <f>IF([3]Entry!$N$558="","",[3]Entry!$N$558)</f>
        <v/>
      </c>
      <c r="AM555" t="str">
        <f>IF([3]Entry!$R$558="","",[3]Entry!$R$558)</f>
        <v/>
      </c>
    </row>
    <row r="556" spans="1:39" x14ac:dyDescent="0.2">
      <c r="A556" t="str">
        <f>IF([1]Accounts!$D$557="","",[1]Accounts!$A$557)</f>
        <v>CAP001</v>
      </c>
      <c r="B556" t="str">
        <f>IF([1]Accounts!$D$557="","",[1]Accounts!$B$557)</f>
        <v>سرمایه و آورده صاحبان</v>
      </c>
      <c r="C556" t="str">
        <f>IF([1]Accounts!$D$557="","",[1]Accounts!$C$557)</f>
        <v>سرمایه اولیه و آورده نقدی</v>
      </c>
      <c r="D556" t="str">
        <f>IF([1]Accounts!$D$557="","",[1]Accounts!$D$557)</f>
        <v>سرمایه و آورده صاحبان (نمونه)</v>
      </c>
      <c r="E556">
        <f>IF([1]Accounts!$D$557="","",[1]Accounts!$E$557)</f>
        <v>0</v>
      </c>
      <c r="F556">
        <f>IF([1]Accounts!$D$557="","",[1]Accounts!$F$557)</f>
        <v>0</v>
      </c>
      <c r="G556">
        <f>IF([1]Accounts!$D$557="","",[1]Accounts!$G$557)</f>
        <v>0</v>
      </c>
      <c r="T556" t="str">
        <f>IF([2]Baskol!$B$559="","",[2]Baskol!$B$559)</f>
        <v/>
      </c>
      <c r="U556" t="str">
        <f>IF([2]Baskol!$C$559="","",[2]Baskol!$C$559)</f>
        <v/>
      </c>
      <c r="V556" t="str">
        <f>IF([2]Baskol!$D$559="","",[2]Baskol!$D$559)</f>
        <v/>
      </c>
      <c r="W556" t="str">
        <f>IF([2]Baskol!$E$559="","",[2]Baskol!$E$559)</f>
        <v/>
      </c>
      <c r="X556" t="str">
        <f>IF([2]Baskol!$G$559="","",[2]Baskol!$G$559)</f>
        <v/>
      </c>
      <c r="Y556" t="str">
        <f>IF([2]Baskol!$I$559="","",[2]Baskol!$I$559)</f>
        <v/>
      </c>
      <c r="Z556" t="str">
        <f>IF([2]Baskol!$J$559="","",[2]Baskol!$J$559)</f>
        <v/>
      </c>
      <c r="AA556" t="str">
        <f>IF([2]Baskol!$K$559="","",[2]Baskol!$K$559)</f>
        <v/>
      </c>
      <c r="AB556" t="str">
        <f>IF([2]Baskol!$L$559="","",[2]Baskol!$L$559)</f>
        <v/>
      </c>
      <c r="AC556" t="str">
        <f>IF([2]Baskol!$N$559="","",[2]Baskol!$N$559)</f>
        <v/>
      </c>
      <c r="AD556" t="str">
        <f>IF([2]Baskol!$O$559="","",[2]Baskol!$O$559)</f>
        <v/>
      </c>
      <c r="AE556" t="str">
        <f>IF([3]Entry!$C$559="","",[3]Entry!$C$559)</f>
        <v/>
      </c>
      <c r="AF556" t="str">
        <f>IF([3]Entry!$D$559="","",[3]Entry!$D$559)</f>
        <v/>
      </c>
      <c r="AG556" t="str">
        <f>IF([3]Entry!$E$559="","",[3]Entry!$E$559)</f>
        <v/>
      </c>
      <c r="AH556" t="str">
        <f>IF([3]Entry!$G$559="","",[3]Entry!$G$559)</f>
        <v/>
      </c>
      <c r="AI556" t="str">
        <f>IF([3]Entry!$K$559="","",[3]Entry!$K$559)</f>
        <v/>
      </c>
      <c r="AJ556" t="str">
        <f>IF([3]Entry!$L$559="","",[3]Entry!$L$559)</f>
        <v/>
      </c>
      <c r="AK556" t="str">
        <f>IF([3]Entry!$M$559="","",[3]Entry!$M$559)</f>
        <v/>
      </c>
      <c r="AL556" t="str">
        <f>IF([3]Entry!$N$559="","",[3]Entry!$N$559)</f>
        <v/>
      </c>
      <c r="AM556" t="str">
        <f>IF([3]Entry!$R$559="","",[3]Entry!$R$559)</f>
        <v/>
      </c>
    </row>
    <row r="557" spans="1:39" x14ac:dyDescent="0.2">
      <c r="A557" t="str">
        <f>IF([1]Accounts!$D$558="","",[1]Accounts!$A$558)</f>
        <v/>
      </c>
      <c r="B557" t="str">
        <f>IF([1]Accounts!$D$558="","",[1]Accounts!$B$558)</f>
        <v/>
      </c>
      <c r="C557" t="str">
        <f>IF([1]Accounts!$D$558="","",[1]Accounts!$C$558)</f>
        <v/>
      </c>
      <c r="D557" t="str">
        <f>IF([1]Accounts!$D$558="","",[1]Accounts!$D$558)</f>
        <v/>
      </c>
      <c r="E557" t="str">
        <f>IF([1]Accounts!$D$558="","",[1]Accounts!$E$558)</f>
        <v/>
      </c>
      <c r="F557" t="str">
        <f>IF([1]Accounts!$D$558="","",[1]Accounts!$F$558)</f>
        <v/>
      </c>
      <c r="G557" t="str">
        <f>IF([1]Accounts!$D$558="","",[1]Accounts!$G$558)</f>
        <v/>
      </c>
      <c r="T557" t="str">
        <f>IF([2]Baskol!$B$560="","",[2]Baskol!$B$560)</f>
        <v/>
      </c>
      <c r="U557" t="str">
        <f>IF([2]Baskol!$C$560="","",[2]Baskol!$C$560)</f>
        <v/>
      </c>
      <c r="V557" t="str">
        <f>IF([2]Baskol!$D$560="","",[2]Baskol!$D$560)</f>
        <v/>
      </c>
      <c r="W557" t="str">
        <f>IF([2]Baskol!$E$560="","",[2]Baskol!$E$560)</f>
        <v/>
      </c>
      <c r="X557" t="str">
        <f>IF([2]Baskol!$G$560="","",[2]Baskol!$G$560)</f>
        <v/>
      </c>
      <c r="Y557" t="str">
        <f>IF([2]Baskol!$I$560="","",[2]Baskol!$I$560)</f>
        <v/>
      </c>
      <c r="Z557" t="str">
        <f>IF([2]Baskol!$J$560="","",[2]Baskol!$J$560)</f>
        <v/>
      </c>
      <c r="AA557" t="str">
        <f>IF([2]Baskol!$K$560="","",[2]Baskol!$K$560)</f>
        <v/>
      </c>
      <c r="AB557" t="str">
        <f>IF([2]Baskol!$L$560="","",[2]Baskol!$L$560)</f>
        <v/>
      </c>
      <c r="AC557" t="str">
        <f>IF([2]Baskol!$N$560="","",[2]Baskol!$N$560)</f>
        <v/>
      </c>
      <c r="AD557" t="str">
        <f>IF([2]Baskol!$O$560="","",[2]Baskol!$O$560)</f>
        <v/>
      </c>
      <c r="AE557" t="str">
        <f>IF([3]Entry!$C$560="","",[3]Entry!$C$560)</f>
        <v/>
      </c>
      <c r="AF557" t="str">
        <f>IF([3]Entry!$D$560="","",[3]Entry!$D$560)</f>
        <v/>
      </c>
      <c r="AG557" t="str">
        <f>IF([3]Entry!$E$560="","",[3]Entry!$E$560)</f>
        <v/>
      </c>
      <c r="AH557" t="str">
        <f>IF([3]Entry!$G$560="","",[3]Entry!$G$560)</f>
        <v/>
      </c>
      <c r="AI557" t="str">
        <f>IF([3]Entry!$K$560="","",[3]Entry!$K$560)</f>
        <v/>
      </c>
      <c r="AJ557" t="str">
        <f>IF([3]Entry!$L$560="","",[3]Entry!$L$560)</f>
        <v/>
      </c>
      <c r="AK557" t="str">
        <f>IF([3]Entry!$M$560="","",[3]Entry!$M$560)</f>
        <v/>
      </c>
      <c r="AL557" t="str">
        <f>IF([3]Entry!$N$560="","",[3]Entry!$N$560)</f>
        <v/>
      </c>
      <c r="AM557" t="str">
        <f>IF([3]Entry!$R$560="","",[3]Entry!$R$560)</f>
        <v/>
      </c>
    </row>
    <row r="558" spans="1:39" x14ac:dyDescent="0.2">
      <c r="A558" t="str">
        <f>IF([1]Accounts!$D$559="","",[1]Accounts!$A$559)</f>
        <v/>
      </c>
      <c r="B558" t="str">
        <f>IF([1]Accounts!$D$559="","",[1]Accounts!$B$559)</f>
        <v/>
      </c>
      <c r="C558" t="str">
        <f>IF([1]Accounts!$D$559="","",[1]Accounts!$C$559)</f>
        <v/>
      </c>
      <c r="D558" t="str">
        <f>IF([1]Accounts!$D$559="","",[1]Accounts!$D$559)</f>
        <v/>
      </c>
      <c r="E558" t="str">
        <f>IF([1]Accounts!$D$559="","",[1]Accounts!$E$559)</f>
        <v/>
      </c>
      <c r="F558" t="str">
        <f>IF([1]Accounts!$D$559="","",[1]Accounts!$F$559)</f>
        <v/>
      </c>
      <c r="G558" t="str">
        <f>IF([1]Accounts!$D$559="","",[1]Accounts!$G$559)</f>
        <v/>
      </c>
      <c r="T558" t="str">
        <f>IF([2]Baskol!$B$561="","",[2]Baskol!$B$561)</f>
        <v/>
      </c>
      <c r="U558" t="str">
        <f>IF([2]Baskol!$C$561="","",[2]Baskol!$C$561)</f>
        <v/>
      </c>
      <c r="V558" t="str">
        <f>IF([2]Baskol!$D$561="","",[2]Baskol!$D$561)</f>
        <v/>
      </c>
      <c r="W558" t="str">
        <f>IF([2]Baskol!$E$561="","",[2]Baskol!$E$561)</f>
        <v/>
      </c>
      <c r="X558" t="str">
        <f>IF([2]Baskol!$G$561="","",[2]Baskol!$G$561)</f>
        <v/>
      </c>
      <c r="Y558" t="str">
        <f>IF([2]Baskol!$I$561="","",[2]Baskol!$I$561)</f>
        <v/>
      </c>
      <c r="Z558" t="str">
        <f>IF([2]Baskol!$J$561="","",[2]Baskol!$J$561)</f>
        <v/>
      </c>
      <c r="AA558" t="str">
        <f>IF([2]Baskol!$K$561="","",[2]Baskol!$K$561)</f>
        <v/>
      </c>
      <c r="AB558" t="str">
        <f>IF([2]Baskol!$L$561="","",[2]Baskol!$L$561)</f>
        <v/>
      </c>
      <c r="AC558" t="str">
        <f>IF([2]Baskol!$N$561="","",[2]Baskol!$N$561)</f>
        <v/>
      </c>
      <c r="AD558" t="str">
        <f>IF([2]Baskol!$O$561="","",[2]Baskol!$O$561)</f>
        <v/>
      </c>
      <c r="AE558" t="str">
        <f>IF([3]Entry!$C$561="","",[3]Entry!$C$561)</f>
        <v/>
      </c>
      <c r="AF558" t="str">
        <f>IF([3]Entry!$D$561="","",[3]Entry!$D$561)</f>
        <v/>
      </c>
      <c r="AG558" t="str">
        <f>IF([3]Entry!$E$561="","",[3]Entry!$E$561)</f>
        <v/>
      </c>
      <c r="AH558" t="str">
        <f>IF([3]Entry!$G$561="","",[3]Entry!$G$561)</f>
        <v/>
      </c>
      <c r="AI558" t="str">
        <f>IF([3]Entry!$K$561="","",[3]Entry!$K$561)</f>
        <v/>
      </c>
      <c r="AJ558" t="str">
        <f>IF([3]Entry!$L$561="","",[3]Entry!$L$561)</f>
        <v/>
      </c>
      <c r="AK558" t="str">
        <f>IF([3]Entry!$M$561="","",[3]Entry!$M$561)</f>
        <v/>
      </c>
      <c r="AL558" t="str">
        <f>IF([3]Entry!$N$561="","",[3]Entry!$N$561)</f>
        <v/>
      </c>
      <c r="AM558" t="str">
        <f>IF([3]Entry!$R$561="","",[3]Entry!$R$561)</f>
        <v/>
      </c>
    </row>
    <row r="559" spans="1:39" x14ac:dyDescent="0.2">
      <c r="A559" t="str">
        <f>IF([1]Accounts!$D$560="","",[1]Accounts!$A$560)</f>
        <v/>
      </c>
      <c r="B559" t="str">
        <f>IF([1]Accounts!$D$560="","",[1]Accounts!$B$560)</f>
        <v/>
      </c>
      <c r="C559" t="str">
        <f>IF([1]Accounts!$D$560="","",[1]Accounts!$C$560)</f>
        <v/>
      </c>
      <c r="D559" t="str">
        <f>IF([1]Accounts!$D$560="","",[1]Accounts!$D$560)</f>
        <v/>
      </c>
      <c r="E559" t="str">
        <f>IF([1]Accounts!$D$560="","",[1]Accounts!$E$560)</f>
        <v/>
      </c>
      <c r="F559" t="str">
        <f>IF([1]Accounts!$D$560="","",[1]Accounts!$F$560)</f>
        <v/>
      </c>
      <c r="G559" t="str">
        <f>IF([1]Accounts!$D$560="","",[1]Accounts!$G$560)</f>
        <v/>
      </c>
      <c r="T559" t="str">
        <f>IF([2]Baskol!$B$562="","",[2]Baskol!$B$562)</f>
        <v/>
      </c>
      <c r="U559" t="str">
        <f>IF([2]Baskol!$C$562="","",[2]Baskol!$C$562)</f>
        <v/>
      </c>
      <c r="V559" t="str">
        <f>IF([2]Baskol!$D$562="","",[2]Baskol!$D$562)</f>
        <v/>
      </c>
      <c r="W559" t="str">
        <f>IF([2]Baskol!$E$562="","",[2]Baskol!$E$562)</f>
        <v/>
      </c>
      <c r="X559" t="str">
        <f>IF([2]Baskol!$G$562="","",[2]Baskol!$G$562)</f>
        <v/>
      </c>
      <c r="Y559" t="str">
        <f>IF([2]Baskol!$I$562="","",[2]Baskol!$I$562)</f>
        <v/>
      </c>
      <c r="Z559" t="str">
        <f>IF([2]Baskol!$J$562="","",[2]Baskol!$J$562)</f>
        <v/>
      </c>
      <c r="AA559" t="str">
        <f>IF([2]Baskol!$K$562="","",[2]Baskol!$K$562)</f>
        <v/>
      </c>
      <c r="AB559" t="str">
        <f>IF([2]Baskol!$L$562="","",[2]Baskol!$L$562)</f>
        <v/>
      </c>
      <c r="AC559" t="str">
        <f>IF([2]Baskol!$N$562="","",[2]Baskol!$N$562)</f>
        <v/>
      </c>
      <c r="AD559" t="str">
        <f>IF([2]Baskol!$O$562="","",[2]Baskol!$O$562)</f>
        <v/>
      </c>
      <c r="AE559" t="str">
        <f>IF([3]Entry!$C$562="","",[3]Entry!$C$562)</f>
        <v/>
      </c>
      <c r="AF559" t="str">
        <f>IF([3]Entry!$D$562="","",[3]Entry!$D$562)</f>
        <v/>
      </c>
      <c r="AG559" t="str">
        <f>IF([3]Entry!$E$562="","",[3]Entry!$E$562)</f>
        <v/>
      </c>
      <c r="AH559" t="str">
        <f>IF([3]Entry!$G$562="","",[3]Entry!$G$562)</f>
        <v/>
      </c>
      <c r="AI559" t="str">
        <f>IF([3]Entry!$K$562="","",[3]Entry!$K$562)</f>
        <v/>
      </c>
      <c r="AJ559" t="str">
        <f>IF([3]Entry!$L$562="","",[3]Entry!$L$562)</f>
        <v/>
      </c>
      <c r="AK559" t="str">
        <f>IF([3]Entry!$M$562="","",[3]Entry!$M$562)</f>
        <v/>
      </c>
      <c r="AL559" t="str">
        <f>IF([3]Entry!$N$562="","",[3]Entry!$N$562)</f>
        <v/>
      </c>
      <c r="AM559" t="str">
        <f>IF([3]Entry!$R$562="","",[3]Entry!$R$562)</f>
        <v/>
      </c>
    </row>
    <row r="560" spans="1:39" x14ac:dyDescent="0.2">
      <c r="A560" t="str">
        <f>IF([1]Accounts!$D$561="","",[1]Accounts!$A$561)</f>
        <v/>
      </c>
      <c r="B560" t="str">
        <f>IF([1]Accounts!$D$561="","",[1]Accounts!$B$561)</f>
        <v/>
      </c>
      <c r="C560" t="str">
        <f>IF([1]Accounts!$D$561="","",[1]Accounts!$C$561)</f>
        <v/>
      </c>
      <c r="D560" t="str">
        <f>IF([1]Accounts!$D$561="","",[1]Accounts!$D$561)</f>
        <v/>
      </c>
      <c r="E560" t="str">
        <f>IF([1]Accounts!$D$561="","",[1]Accounts!$E$561)</f>
        <v/>
      </c>
      <c r="F560" t="str">
        <f>IF([1]Accounts!$D$561="","",[1]Accounts!$F$561)</f>
        <v/>
      </c>
      <c r="G560" t="str">
        <f>IF([1]Accounts!$D$561="","",[1]Accounts!$G$561)</f>
        <v/>
      </c>
      <c r="T560" t="str">
        <f>IF([2]Baskol!$B$563="","",[2]Baskol!$B$563)</f>
        <v/>
      </c>
      <c r="U560" t="str">
        <f>IF([2]Baskol!$C$563="","",[2]Baskol!$C$563)</f>
        <v/>
      </c>
      <c r="V560" t="str">
        <f>IF([2]Baskol!$D$563="","",[2]Baskol!$D$563)</f>
        <v/>
      </c>
      <c r="W560" t="str">
        <f>IF([2]Baskol!$E$563="","",[2]Baskol!$E$563)</f>
        <v/>
      </c>
      <c r="X560" t="str">
        <f>IF([2]Baskol!$G$563="","",[2]Baskol!$G$563)</f>
        <v/>
      </c>
      <c r="Y560" t="str">
        <f>IF([2]Baskol!$I$563="","",[2]Baskol!$I$563)</f>
        <v/>
      </c>
      <c r="Z560" t="str">
        <f>IF([2]Baskol!$J$563="","",[2]Baskol!$J$563)</f>
        <v/>
      </c>
      <c r="AA560" t="str">
        <f>IF([2]Baskol!$K$563="","",[2]Baskol!$K$563)</f>
        <v/>
      </c>
      <c r="AB560" t="str">
        <f>IF([2]Baskol!$L$563="","",[2]Baskol!$L$563)</f>
        <v/>
      </c>
      <c r="AC560" t="str">
        <f>IF([2]Baskol!$N$563="","",[2]Baskol!$N$563)</f>
        <v/>
      </c>
      <c r="AD560" t="str">
        <f>IF([2]Baskol!$O$563="","",[2]Baskol!$O$563)</f>
        <v/>
      </c>
      <c r="AE560" t="str">
        <f>IF([3]Entry!$C$563="","",[3]Entry!$C$563)</f>
        <v/>
      </c>
      <c r="AF560" t="str">
        <f>IF([3]Entry!$D$563="","",[3]Entry!$D$563)</f>
        <v/>
      </c>
      <c r="AG560" t="str">
        <f>IF([3]Entry!$E$563="","",[3]Entry!$E$563)</f>
        <v/>
      </c>
      <c r="AH560" t="str">
        <f>IF([3]Entry!$G$563="","",[3]Entry!$G$563)</f>
        <v/>
      </c>
      <c r="AI560" t="str">
        <f>IF([3]Entry!$K$563="","",[3]Entry!$K$563)</f>
        <v/>
      </c>
      <c r="AJ560" t="str">
        <f>IF([3]Entry!$L$563="","",[3]Entry!$L$563)</f>
        <v/>
      </c>
      <c r="AK560" t="str">
        <f>IF([3]Entry!$M$563="","",[3]Entry!$M$563)</f>
        <v/>
      </c>
      <c r="AL560" t="str">
        <f>IF([3]Entry!$N$563="","",[3]Entry!$N$563)</f>
        <v/>
      </c>
      <c r="AM560" t="str">
        <f>IF([3]Entry!$R$563="","",[3]Entry!$R$563)</f>
        <v/>
      </c>
    </row>
    <row r="561" spans="1:39" x14ac:dyDescent="0.2">
      <c r="A561" t="str">
        <f>IF([1]Accounts!$D$562="","",[1]Accounts!$A$562)</f>
        <v/>
      </c>
      <c r="B561" t="str">
        <f>IF([1]Accounts!$D$562="","",[1]Accounts!$B$562)</f>
        <v/>
      </c>
      <c r="C561" t="str">
        <f>IF([1]Accounts!$D$562="","",[1]Accounts!$C$562)</f>
        <v/>
      </c>
      <c r="D561" t="str">
        <f>IF([1]Accounts!$D$562="","",[1]Accounts!$D$562)</f>
        <v/>
      </c>
      <c r="E561" t="str">
        <f>IF([1]Accounts!$D$562="","",[1]Accounts!$E$562)</f>
        <v/>
      </c>
      <c r="F561" t="str">
        <f>IF([1]Accounts!$D$562="","",[1]Accounts!$F$562)</f>
        <v/>
      </c>
      <c r="G561" t="str">
        <f>IF([1]Accounts!$D$562="","",[1]Accounts!$G$562)</f>
        <v/>
      </c>
      <c r="T561" t="str">
        <f>IF([2]Baskol!$B$564="","",[2]Baskol!$B$564)</f>
        <v/>
      </c>
      <c r="U561" t="str">
        <f>IF([2]Baskol!$C$564="","",[2]Baskol!$C$564)</f>
        <v/>
      </c>
      <c r="V561" t="str">
        <f>IF([2]Baskol!$D$564="","",[2]Baskol!$D$564)</f>
        <v/>
      </c>
      <c r="W561" t="str">
        <f>IF([2]Baskol!$E$564="","",[2]Baskol!$E$564)</f>
        <v/>
      </c>
      <c r="X561" t="str">
        <f>IF([2]Baskol!$G$564="","",[2]Baskol!$G$564)</f>
        <v/>
      </c>
      <c r="Y561" t="str">
        <f>IF([2]Baskol!$I$564="","",[2]Baskol!$I$564)</f>
        <v/>
      </c>
      <c r="Z561" t="str">
        <f>IF([2]Baskol!$J$564="","",[2]Baskol!$J$564)</f>
        <v/>
      </c>
      <c r="AA561" t="str">
        <f>IF([2]Baskol!$K$564="","",[2]Baskol!$K$564)</f>
        <v/>
      </c>
      <c r="AB561" t="str">
        <f>IF([2]Baskol!$L$564="","",[2]Baskol!$L$564)</f>
        <v/>
      </c>
      <c r="AC561" t="str">
        <f>IF([2]Baskol!$N$564="","",[2]Baskol!$N$564)</f>
        <v/>
      </c>
      <c r="AD561" t="str">
        <f>IF([2]Baskol!$O$564="","",[2]Baskol!$O$564)</f>
        <v/>
      </c>
      <c r="AE561" t="str">
        <f>IF([3]Entry!$C$564="","",[3]Entry!$C$564)</f>
        <v/>
      </c>
      <c r="AF561" t="str">
        <f>IF([3]Entry!$D$564="","",[3]Entry!$D$564)</f>
        <v/>
      </c>
      <c r="AG561" t="str">
        <f>IF([3]Entry!$E$564="","",[3]Entry!$E$564)</f>
        <v/>
      </c>
      <c r="AH561" t="str">
        <f>IF([3]Entry!$G$564="","",[3]Entry!$G$564)</f>
        <v/>
      </c>
      <c r="AI561" t="str">
        <f>IF([3]Entry!$K$564="","",[3]Entry!$K$564)</f>
        <v/>
      </c>
      <c r="AJ561" t="str">
        <f>IF([3]Entry!$L$564="","",[3]Entry!$L$564)</f>
        <v/>
      </c>
      <c r="AK561" t="str">
        <f>IF([3]Entry!$M$564="","",[3]Entry!$M$564)</f>
        <v/>
      </c>
      <c r="AL561" t="str">
        <f>IF([3]Entry!$N$564="","",[3]Entry!$N$564)</f>
        <v/>
      </c>
      <c r="AM561" t="str">
        <f>IF([3]Entry!$R$564="","",[3]Entry!$R$564)</f>
        <v/>
      </c>
    </row>
    <row r="562" spans="1:39" x14ac:dyDescent="0.2">
      <c r="A562" t="str">
        <f>IF([1]Accounts!$D$563="","",[1]Accounts!$A$563)</f>
        <v/>
      </c>
      <c r="B562" t="str">
        <f>IF([1]Accounts!$D$563="","",[1]Accounts!$B$563)</f>
        <v/>
      </c>
      <c r="C562" t="str">
        <f>IF([1]Accounts!$D$563="","",[1]Accounts!$C$563)</f>
        <v/>
      </c>
      <c r="D562" t="str">
        <f>IF([1]Accounts!$D$563="","",[1]Accounts!$D$563)</f>
        <v/>
      </c>
      <c r="E562" t="str">
        <f>IF([1]Accounts!$D$563="","",[1]Accounts!$E$563)</f>
        <v/>
      </c>
      <c r="F562" t="str">
        <f>IF([1]Accounts!$D$563="","",[1]Accounts!$F$563)</f>
        <v/>
      </c>
      <c r="G562" t="str">
        <f>IF([1]Accounts!$D$563="","",[1]Accounts!$G$563)</f>
        <v/>
      </c>
      <c r="T562" t="str">
        <f>IF([2]Baskol!$B$565="","",[2]Baskol!$B$565)</f>
        <v/>
      </c>
      <c r="U562" t="str">
        <f>IF([2]Baskol!$C$565="","",[2]Baskol!$C$565)</f>
        <v/>
      </c>
      <c r="V562" t="str">
        <f>IF([2]Baskol!$D$565="","",[2]Baskol!$D$565)</f>
        <v/>
      </c>
      <c r="W562" t="str">
        <f>IF([2]Baskol!$E$565="","",[2]Baskol!$E$565)</f>
        <v/>
      </c>
      <c r="X562" t="str">
        <f>IF([2]Baskol!$G$565="","",[2]Baskol!$G$565)</f>
        <v/>
      </c>
      <c r="Y562" t="str">
        <f>IF([2]Baskol!$I$565="","",[2]Baskol!$I$565)</f>
        <v/>
      </c>
      <c r="Z562" t="str">
        <f>IF([2]Baskol!$J$565="","",[2]Baskol!$J$565)</f>
        <v/>
      </c>
      <c r="AA562" t="str">
        <f>IF([2]Baskol!$K$565="","",[2]Baskol!$K$565)</f>
        <v/>
      </c>
      <c r="AB562" t="str">
        <f>IF([2]Baskol!$L$565="","",[2]Baskol!$L$565)</f>
        <v/>
      </c>
      <c r="AC562" t="str">
        <f>IF([2]Baskol!$N$565="","",[2]Baskol!$N$565)</f>
        <v/>
      </c>
      <c r="AD562" t="str">
        <f>IF([2]Baskol!$O$565="","",[2]Baskol!$O$565)</f>
        <v/>
      </c>
      <c r="AE562" t="str">
        <f>IF([3]Entry!$C$565="","",[3]Entry!$C$565)</f>
        <v/>
      </c>
      <c r="AF562" t="str">
        <f>IF([3]Entry!$D$565="","",[3]Entry!$D$565)</f>
        <v/>
      </c>
      <c r="AG562" t="str">
        <f>IF([3]Entry!$E$565="","",[3]Entry!$E$565)</f>
        <v/>
      </c>
      <c r="AH562" t="str">
        <f>IF([3]Entry!$G$565="","",[3]Entry!$G$565)</f>
        <v/>
      </c>
      <c r="AI562" t="str">
        <f>IF([3]Entry!$K$565="","",[3]Entry!$K$565)</f>
        <v/>
      </c>
      <c r="AJ562" t="str">
        <f>IF([3]Entry!$L$565="","",[3]Entry!$L$565)</f>
        <v/>
      </c>
      <c r="AK562" t="str">
        <f>IF([3]Entry!$M$565="","",[3]Entry!$M$565)</f>
        <v/>
      </c>
      <c r="AL562" t="str">
        <f>IF([3]Entry!$N$565="","",[3]Entry!$N$565)</f>
        <v/>
      </c>
      <c r="AM562" t="str">
        <f>IF([3]Entry!$R$565="","",[3]Entry!$R$565)</f>
        <v/>
      </c>
    </row>
    <row r="563" spans="1:39" x14ac:dyDescent="0.2">
      <c r="A563" t="str">
        <f>IF([1]Accounts!$D$564="","",[1]Accounts!$A$564)</f>
        <v/>
      </c>
      <c r="B563" t="str">
        <f>IF([1]Accounts!$D$564="","",[1]Accounts!$B$564)</f>
        <v/>
      </c>
      <c r="C563" t="str">
        <f>IF([1]Accounts!$D$564="","",[1]Accounts!$C$564)</f>
        <v/>
      </c>
      <c r="D563" t="str">
        <f>IF([1]Accounts!$D$564="","",[1]Accounts!$D$564)</f>
        <v/>
      </c>
      <c r="E563" t="str">
        <f>IF([1]Accounts!$D$564="","",[1]Accounts!$E$564)</f>
        <v/>
      </c>
      <c r="F563" t="str">
        <f>IF([1]Accounts!$D$564="","",[1]Accounts!$F$564)</f>
        <v/>
      </c>
      <c r="G563" t="str">
        <f>IF([1]Accounts!$D$564="","",[1]Accounts!$G$564)</f>
        <v/>
      </c>
      <c r="T563" t="str">
        <f>IF([2]Baskol!$B$566="","",[2]Baskol!$B$566)</f>
        <v/>
      </c>
      <c r="U563" t="str">
        <f>IF([2]Baskol!$C$566="","",[2]Baskol!$C$566)</f>
        <v/>
      </c>
      <c r="V563" t="str">
        <f>IF([2]Baskol!$D$566="","",[2]Baskol!$D$566)</f>
        <v/>
      </c>
      <c r="W563" t="str">
        <f>IF([2]Baskol!$E$566="","",[2]Baskol!$E$566)</f>
        <v/>
      </c>
      <c r="X563" t="str">
        <f>IF([2]Baskol!$G$566="","",[2]Baskol!$G$566)</f>
        <v/>
      </c>
      <c r="Y563" t="str">
        <f>IF([2]Baskol!$I$566="","",[2]Baskol!$I$566)</f>
        <v/>
      </c>
      <c r="Z563" t="str">
        <f>IF([2]Baskol!$J$566="","",[2]Baskol!$J$566)</f>
        <v/>
      </c>
      <c r="AA563" t="str">
        <f>IF([2]Baskol!$K$566="","",[2]Baskol!$K$566)</f>
        <v/>
      </c>
      <c r="AB563" t="str">
        <f>IF([2]Baskol!$L$566="","",[2]Baskol!$L$566)</f>
        <v/>
      </c>
      <c r="AC563" t="str">
        <f>IF([2]Baskol!$N$566="","",[2]Baskol!$N$566)</f>
        <v/>
      </c>
      <c r="AD563" t="str">
        <f>IF([2]Baskol!$O$566="","",[2]Baskol!$O$566)</f>
        <v/>
      </c>
      <c r="AE563" t="str">
        <f>IF([3]Entry!$C$566="","",[3]Entry!$C$566)</f>
        <v/>
      </c>
      <c r="AF563" t="str">
        <f>IF([3]Entry!$D$566="","",[3]Entry!$D$566)</f>
        <v/>
      </c>
      <c r="AG563" t="str">
        <f>IF([3]Entry!$E$566="","",[3]Entry!$E$566)</f>
        <v/>
      </c>
      <c r="AH563" t="str">
        <f>IF([3]Entry!$G$566="","",[3]Entry!$G$566)</f>
        <v/>
      </c>
      <c r="AI563" t="str">
        <f>IF([3]Entry!$K$566="","",[3]Entry!$K$566)</f>
        <v/>
      </c>
      <c r="AJ563" t="str">
        <f>IF([3]Entry!$L$566="","",[3]Entry!$L$566)</f>
        <v/>
      </c>
      <c r="AK563" t="str">
        <f>IF([3]Entry!$M$566="","",[3]Entry!$M$566)</f>
        <v/>
      </c>
      <c r="AL563" t="str">
        <f>IF([3]Entry!$N$566="","",[3]Entry!$N$566)</f>
        <v/>
      </c>
      <c r="AM563" t="str">
        <f>IF([3]Entry!$R$566="","",[3]Entry!$R$566)</f>
        <v/>
      </c>
    </row>
    <row r="564" spans="1:39" x14ac:dyDescent="0.2">
      <c r="A564" t="str">
        <f>IF([1]Accounts!$D$565="","",[1]Accounts!$A$565)</f>
        <v/>
      </c>
      <c r="B564" t="str">
        <f>IF([1]Accounts!$D$565="","",[1]Accounts!$B$565)</f>
        <v/>
      </c>
      <c r="C564" t="str">
        <f>IF([1]Accounts!$D$565="","",[1]Accounts!$C$565)</f>
        <v/>
      </c>
      <c r="D564" t="str">
        <f>IF([1]Accounts!$D$565="","",[1]Accounts!$D$565)</f>
        <v/>
      </c>
      <c r="E564" t="str">
        <f>IF([1]Accounts!$D$565="","",[1]Accounts!$E$565)</f>
        <v/>
      </c>
      <c r="F564" t="str">
        <f>IF([1]Accounts!$D$565="","",[1]Accounts!$F$565)</f>
        <v/>
      </c>
      <c r="G564" t="str">
        <f>IF([1]Accounts!$D$565="","",[1]Accounts!$G$565)</f>
        <v/>
      </c>
      <c r="T564" t="str">
        <f>IF([2]Baskol!$B$567="","",[2]Baskol!$B$567)</f>
        <v/>
      </c>
      <c r="U564" t="str">
        <f>IF([2]Baskol!$C$567="","",[2]Baskol!$C$567)</f>
        <v/>
      </c>
      <c r="V564" t="str">
        <f>IF([2]Baskol!$D$567="","",[2]Baskol!$D$567)</f>
        <v/>
      </c>
      <c r="W564" t="str">
        <f>IF([2]Baskol!$E$567="","",[2]Baskol!$E$567)</f>
        <v/>
      </c>
      <c r="X564" t="str">
        <f>IF([2]Baskol!$G$567="","",[2]Baskol!$G$567)</f>
        <v/>
      </c>
      <c r="Y564" t="str">
        <f>IF([2]Baskol!$I$567="","",[2]Baskol!$I$567)</f>
        <v/>
      </c>
      <c r="Z564" t="str">
        <f>IF([2]Baskol!$J$567="","",[2]Baskol!$J$567)</f>
        <v/>
      </c>
      <c r="AA564" t="str">
        <f>IF([2]Baskol!$K$567="","",[2]Baskol!$K$567)</f>
        <v/>
      </c>
      <c r="AB564" t="str">
        <f>IF([2]Baskol!$L$567="","",[2]Baskol!$L$567)</f>
        <v/>
      </c>
      <c r="AC564" t="str">
        <f>IF([2]Baskol!$N$567="","",[2]Baskol!$N$567)</f>
        <v/>
      </c>
      <c r="AD564" t="str">
        <f>IF([2]Baskol!$O$567="","",[2]Baskol!$O$567)</f>
        <v/>
      </c>
      <c r="AE564" t="str">
        <f>IF([3]Entry!$C$567="","",[3]Entry!$C$567)</f>
        <v/>
      </c>
      <c r="AF564" t="str">
        <f>IF([3]Entry!$D$567="","",[3]Entry!$D$567)</f>
        <v/>
      </c>
      <c r="AG564" t="str">
        <f>IF([3]Entry!$E$567="","",[3]Entry!$E$567)</f>
        <v/>
      </c>
      <c r="AH564" t="str">
        <f>IF([3]Entry!$G$567="","",[3]Entry!$G$567)</f>
        <v/>
      </c>
      <c r="AI564" t="str">
        <f>IF([3]Entry!$K$567="","",[3]Entry!$K$567)</f>
        <v/>
      </c>
      <c r="AJ564" t="str">
        <f>IF([3]Entry!$L$567="","",[3]Entry!$L$567)</f>
        <v/>
      </c>
      <c r="AK564" t="str">
        <f>IF([3]Entry!$M$567="","",[3]Entry!$M$567)</f>
        <v/>
      </c>
      <c r="AL564" t="str">
        <f>IF([3]Entry!$N$567="","",[3]Entry!$N$567)</f>
        <v/>
      </c>
      <c r="AM564" t="str">
        <f>IF([3]Entry!$R$567="","",[3]Entry!$R$567)</f>
        <v/>
      </c>
    </row>
    <row r="565" spans="1:39" x14ac:dyDescent="0.2">
      <c r="A565" t="str">
        <f>IF([1]Accounts!$D$566="","",[1]Accounts!$A$566)</f>
        <v/>
      </c>
      <c r="B565" t="str">
        <f>IF([1]Accounts!$D$566="","",[1]Accounts!$B$566)</f>
        <v/>
      </c>
      <c r="C565" t="str">
        <f>IF([1]Accounts!$D$566="","",[1]Accounts!$C$566)</f>
        <v/>
      </c>
      <c r="D565" t="str">
        <f>IF([1]Accounts!$D$566="","",[1]Accounts!$D$566)</f>
        <v/>
      </c>
      <c r="E565" t="str">
        <f>IF([1]Accounts!$D$566="","",[1]Accounts!$E$566)</f>
        <v/>
      </c>
      <c r="F565" t="str">
        <f>IF([1]Accounts!$D$566="","",[1]Accounts!$F$566)</f>
        <v/>
      </c>
      <c r="G565" t="str">
        <f>IF([1]Accounts!$D$566="","",[1]Accounts!$G$566)</f>
        <v/>
      </c>
      <c r="T565" t="str">
        <f>IF([2]Baskol!$B$568="","",[2]Baskol!$B$568)</f>
        <v/>
      </c>
      <c r="U565" t="str">
        <f>IF([2]Baskol!$C$568="","",[2]Baskol!$C$568)</f>
        <v/>
      </c>
      <c r="V565" t="str">
        <f>IF([2]Baskol!$D$568="","",[2]Baskol!$D$568)</f>
        <v/>
      </c>
      <c r="W565" t="str">
        <f>IF([2]Baskol!$E$568="","",[2]Baskol!$E$568)</f>
        <v/>
      </c>
      <c r="X565" t="str">
        <f>IF([2]Baskol!$G$568="","",[2]Baskol!$G$568)</f>
        <v/>
      </c>
      <c r="Y565" t="str">
        <f>IF([2]Baskol!$I$568="","",[2]Baskol!$I$568)</f>
        <v/>
      </c>
      <c r="Z565" t="str">
        <f>IF([2]Baskol!$J$568="","",[2]Baskol!$J$568)</f>
        <v/>
      </c>
      <c r="AA565" t="str">
        <f>IF([2]Baskol!$K$568="","",[2]Baskol!$K$568)</f>
        <v/>
      </c>
      <c r="AB565" t="str">
        <f>IF([2]Baskol!$L$568="","",[2]Baskol!$L$568)</f>
        <v/>
      </c>
      <c r="AC565" t="str">
        <f>IF([2]Baskol!$N$568="","",[2]Baskol!$N$568)</f>
        <v/>
      </c>
      <c r="AD565" t="str">
        <f>IF([2]Baskol!$O$568="","",[2]Baskol!$O$568)</f>
        <v/>
      </c>
      <c r="AE565" t="str">
        <f>IF([3]Entry!$C$568="","",[3]Entry!$C$568)</f>
        <v/>
      </c>
      <c r="AF565" t="str">
        <f>IF([3]Entry!$D$568="","",[3]Entry!$D$568)</f>
        <v/>
      </c>
      <c r="AG565" t="str">
        <f>IF([3]Entry!$E$568="","",[3]Entry!$E$568)</f>
        <v/>
      </c>
      <c r="AH565" t="str">
        <f>IF([3]Entry!$G$568="","",[3]Entry!$G$568)</f>
        <v/>
      </c>
      <c r="AI565" t="str">
        <f>IF([3]Entry!$K$568="","",[3]Entry!$K$568)</f>
        <v/>
      </c>
      <c r="AJ565" t="str">
        <f>IF([3]Entry!$L$568="","",[3]Entry!$L$568)</f>
        <v/>
      </c>
      <c r="AK565" t="str">
        <f>IF([3]Entry!$M$568="","",[3]Entry!$M$568)</f>
        <v/>
      </c>
      <c r="AL565" t="str">
        <f>IF([3]Entry!$N$568="","",[3]Entry!$N$568)</f>
        <v/>
      </c>
      <c r="AM565" t="str">
        <f>IF([3]Entry!$R$568="","",[3]Entry!$R$568)</f>
        <v/>
      </c>
    </row>
    <row r="566" spans="1:39" x14ac:dyDescent="0.2">
      <c r="T566" t="str">
        <f>IF([2]Baskol!$B$569="","",[2]Baskol!$B$569)</f>
        <v/>
      </c>
      <c r="U566" t="str">
        <f>IF([2]Baskol!$C$569="","",[2]Baskol!$C$569)</f>
        <v/>
      </c>
      <c r="V566" t="str">
        <f>IF([2]Baskol!$D$569="","",[2]Baskol!$D$569)</f>
        <v/>
      </c>
      <c r="W566" t="str">
        <f>IF([2]Baskol!$E$569="","",[2]Baskol!$E$569)</f>
        <v/>
      </c>
      <c r="X566" t="str">
        <f>IF([2]Baskol!$G$569="","",[2]Baskol!$G$569)</f>
        <v/>
      </c>
      <c r="Y566" t="str">
        <f>IF([2]Baskol!$I$569="","",[2]Baskol!$I$569)</f>
        <v/>
      </c>
      <c r="Z566" t="str">
        <f>IF([2]Baskol!$J$569="","",[2]Baskol!$J$569)</f>
        <v/>
      </c>
      <c r="AA566" t="str">
        <f>IF([2]Baskol!$K$569="","",[2]Baskol!$K$569)</f>
        <v/>
      </c>
      <c r="AB566" t="str">
        <f>IF([2]Baskol!$L$569="","",[2]Baskol!$L$569)</f>
        <v/>
      </c>
      <c r="AC566" t="str">
        <f>IF([2]Baskol!$N$569="","",[2]Baskol!$N$569)</f>
        <v/>
      </c>
      <c r="AD566" t="str">
        <f>IF([2]Baskol!$O$569="","",[2]Baskol!$O$569)</f>
        <v/>
      </c>
      <c r="AE566" t="str">
        <f>IF([3]Entry!$C$569="","",[3]Entry!$C$569)</f>
        <v/>
      </c>
      <c r="AF566" t="str">
        <f>IF([3]Entry!$D$569="","",[3]Entry!$D$569)</f>
        <v/>
      </c>
      <c r="AG566" t="str">
        <f>IF([3]Entry!$E$569="","",[3]Entry!$E$569)</f>
        <v/>
      </c>
      <c r="AH566" t="str">
        <f>IF([3]Entry!$G$569="","",[3]Entry!$G$569)</f>
        <v/>
      </c>
      <c r="AI566" t="str">
        <f>IF([3]Entry!$K$569="","",[3]Entry!$K$569)</f>
        <v/>
      </c>
      <c r="AJ566" t="str">
        <f>IF([3]Entry!$L$569="","",[3]Entry!$L$569)</f>
        <v/>
      </c>
      <c r="AK566" t="str">
        <f>IF([3]Entry!$M$569="","",[3]Entry!$M$569)</f>
        <v/>
      </c>
      <c r="AL566" t="str">
        <f>IF([3]Entry!$N$569="","",[3]Entry!$N$569)</f>
        <v/>
      </c>
      <c r="AM566" t="str">
        <f>IF([3]Entry!$R$569="","",[3]Entry!$R$569)</f>
        <v/>
      </c>
    </row>
    <row r="567" spans="1:39" x14ac:dyDescent="0.2">
      <c r="T567" t="str">
        <f>IF([2]Baskol!$B$570="","",[2]Baskol!$B$570)</f>
        <v/>
      </c>
      <c r="U567" t="str">
        <f>IF([2]Baskol!$C$570="","",[2]Baskol!$C$570)</f>
        <v/>
      </c>
      <c r="V567" t="str">
        <f>IF([2]Baskol!$D$570="","",[2]Baskol!$D$570)</f>
        <v/>
      </c>
      <c r="W567" t="str">
        <f>IF([2]Baskol!$E$570="","",[2]Baskol!$E$570)</f>
        <v/>
      </c>
      <c r="X567" t="str">
        <f>IF([2]Baskol!$G$570="","",[2]Baskol!$G$570)</f>
        <v/>
      </c>
      <c r="Y567" t="str">
        <f>IF([2]Baskol!$I$570="","",[2]Baskol!$I$570)</f>
        <v/>
      </c>
      <c r="Z567" t="str">
        <f>IF([2]Baskol!$J$570="","",[2]Baskol!$J$570)</f>
        <v/>
      </c>
      <c r="AA567" t="str">
        <f>IF([2]Baskol!$K$570="","",[2]Baskol!$K$570)</f>
        <v/>
      </c>
      <c r="AB567" t="str">
        <f>IF([2]Baskol!$L$570="","",[2]Baskol!$L$570)</f>
        <v/>
      </c>
      <c r="AC567" t="str">
        <f>IF([2]Baskol!$N$570="","",[2]Baskol!$N$570)</f>
        <v/>
      </c>
      <c r="AD567" t="str">
        <f>IF([2]Baskol!$O$570="","",[2]Baskol!$O$570)</f>
        <v/>
      </c>
      <c r="AE567" t="str">
        <f>IF([3]Entry!$C$570="","",[3]Entry!$C$570)</f>
        <v/>
      </c>
      <c r="AF567" t="str">
        <f>IF([3]Entry!$D$570="","",[3]Entry!$D$570)</f>
        <v/>
      </c>
      <c r="AG567" t="str">
        <f>IF([3]Entry!$E$570="","",[3]Entry!$E$570)</f>
        <v/>
      </c>
      <c r="AH567" t="str">
        <f>IF([3]Entry!$G$570="","",[3]Entry!$G$570)</f>
        <v/>
      </c>
      <c r="AI567" t="str">
        <f>IF([3]Entry!$K$570="","",[3]Entry!$K$570)</f>
        <v/>
      </c>
      <c r="AJ567" t="str">
        <f>IF([3]Entry!$L$570="","",[3]Entry!$L$570)</f>
        <v/>
      </c>
      <c r="AK567" t="str">
        <f>IF([3]Entry!$M$570="","",[3]Entry!$M$570)</f>
        <v/>
      </c>
      <c r="AL567" t="str">
        <f>IF([3]Entry!$N$570="","",[3]Entry!$N$570)</f>
        <v/>
      </c>
      <c r="AM567" t="str">
        <f>IF([3]Entry!$R$570="","",[3]Entry!$R$570)</f>
        <v/>
      </c>
    </row>
    <row r="568" spans="1:39" x14ac:dyDescent="0.2">
      <c r="T568" t="str">
        <f>IF([2]Baskol!$B$571="","",[2]Baskol!$B$571)</f>
        <v/>
      </c>
      <c r="U568" t="str">
        <f>IF([2]Baskol!$C$571="","",[2]Baskol!$C$571)</f>
        <v/>
      </c>
      <c r="V568" t="str">
        <f>IF([2]Baskol!$D$571="","",[2]Baskol!$D$571)</f>
        <v/>
      </c>
      <c r="W568" t="str">
        <f>IF([2]Baskol!$E$571="","",[2]Baskol!$E$571)</f>
        <v/>
      </c>
      <c r="X568" t="str">
        <f>IF([2]Baskol!$G$571="","",[2]Baskol!$G$571)</f>
        <v/>
      </c>
      <c r="Y568" t="str">
        <f>IF([2]Baskol!$I$571="","",[2]Baskol!$I$571)</f>
        <v/>
      </c>
      <c r="Z568" t="str">
        <f>IF([2]Baskol!$J$571="","",[2]Baskol!$J$571)</f>
        <v/>
      </c>
      <c r="AA568" t="str">
        <f>IF([2]Baskol!$K$571="","",[2]Baskol!$K$571)</f>
        <v/>
      </c>
      <c r="AB568" t="str">
        <f>IF([2]Baskol!$L$571="","",[2]Baskol!$L$571)</f>
        <v/>
      </c>
      <c r="AC568" t="str">
        <f>IF([2]Baskol!$N$571="","",[2]Baskol!$N$571)</f>
        <v/>
      </c>
      <c r="AD568" t="str">
        <f>IF([2]Baskol!$O$571="","",[2]Baskol!$O$571)</f>
        <v/>
      </c>
      <c r="AE568" t="str">
        <f>IF([3]Entry!$C$571="","",[3]Entry!$C$571)</f>
        <v/>
      </c>
      <c r="AF568" t="str">
        <f>IF([3]Entry!$D$571="","",[3]Entry!$D$571)</f>
        <v/>
      </c>
      <c r="AG568" t="str">
        <f>IF([3]Entry!$E$571="","",[3]Entry!$E$571)</f>
        <v/>
      </c>
      <c r="AH568" t="str">
        <f>IF([3]Entry!$G$571="","",[3]Entry!$G$571)</f>
        <v/>
      </c>
      <c r="AI568" t="str">
        <f>IF([3]Entry!$K$571="","",[3]Entry!$K$571)</f>
        <v/>
      </c>
      <c r="AJ568" t="str">
        <f>IF([3]Entry!$L$571="","",[3]Entry!$L$571)</f>
        <v/>
      </c>
      <c r="AK568" t="str">
        <f>IF([3]Entry!$M$571="","",[3]Entry!$M$571)</f>
        <v/>
      </c>
      <c r="AL568" t="str">
        <f>IF([3]Entry!$N$571="","",[3]Entry!$N$571)</f>
        <v/>
      </c>
      <c r="AM568" t="str">
        <f>IF([3]Entry!$R$571="","",[3]Entry!$R$571)</f>
        <v/>
      </c>
    </row>
    <row r="569" spans="1:39" x14ac:dyDescent="0.2">
      <c r="T569" t="str">
        <f>IF([2]Baskol!$B$572="","",[2]Baskol!$B$572)</f>
        <v/>
      </c>
      <c r="U569" t="str">
        <f>IF([2]Baskol!$C$572="","",[2]Baskol!$C$572)</f>
        <v/>
      </c>
      <c r="V569" t="str">
        <f>IF([2]Baskol!$D$572="","",[2]Baskol!$D$572)</f>
        <v/>
      </c>
      <c r="W569" t="str">
        <f>IF([2]Baskol!$E$572="","",[2]Baskol!$E$572)</f>
        <v/>
      </c>
      <c r="X569" t="str">
        <f>IF([2]Baskol!$G$572="","",[2]Baskol!$G$572)</f>
        <v/>
      </c>
      <c r="Y569" t="str">
        <f>IF([2]Baskol!$I$572="","",[2]Baskol!$I$572)</f>
        <v/>
      </c>
      <c r="Z569" t="str">
        <f>IF([2]Baskol!$J$572="","",[2]Baskol!$J$572)</f>
        <v/>
      </c>
      <c r="AA569" t="str">
        <f>IF([2]Baskol!$K$572="","",[2]Baskol!$K$572)</f>
        <v/>
      </c>
      <c r="AB569" t="str">
        <f>IF([2]Baskol!$L$572="","",[2]Baskol!$L$572)</f>
        <v/>
      </c>
      <c r="AC569" t="str">
        <f>IF([2]Baskol!$N$572="","",[2]Baskol!$N$572)</f>
        <v/>
      </c>
      <c r="AD569" t="str">
        <f>IF([2]Baskol!$O$572="","",[2]Baskol!$O$572)</f>
        <v/>
      </c>
      <c r="AE569" t="str">
        <f>IF([3]Entry!$C$572="","",[3]Entry!$C$572)</f>
        <v/>
      </c>
      <c r="AF569" t="str">
        <f>IF([3]Entry!$D$572="","",[3]Entry!$D$572)</f>
        <v/>
      </c>
      <c r="AG569" t="str">
        <f>IF([3]Entry!$E$572="","",[3]Entry!$E$572)</f>
        <v/>
      </c>
      <c r="AH569" t="str">
        <f>IF([3]Entry!$G$572="","",[3]Entry!$G$572)</f>
        <v/>
      </c>
      <c r="AI569" t="str">
        <f>IF([3]Entry!$K$572="","",[3]Entry!$K$572)</f>
        <v/>
      </c>
      <c r="AJ569" t="str">
        <f>IF([3]Entry!$L$572="","",[3]Entry!$L$572)</f>
        <v/>
      </c>
      <c r="AK569" t="str">
        <f>IF([3]Entry!$M$572="","",[3]Entry!$M$572)</f>
        <v/>
      </c>
      <c r="AL569" t="str">
        <f>IF([3]Entry!$N$572="","",[3]Entry!$N$572)</f>
        <v/>
      </c>
      <c r="AM569" t="str">
        <f>IF([3]Entry!$R$572="","",[3]Entry!$R$572)</f>
        <v/>
      </c>
    </row>
    <row r="570" spans="1:39" x14ac:dyDescent="0.2">
      <c r="T570" t="str">
        <f>IF([2]Baskol!$B$573="","",[2]Baskol!$B$573)</f>
        <v/>
      </c>
      <c r="U570" t="str">
        <f>IF([2]Baskol!$C$573="","",[2]Baskol!$C$573)</f>
        <v/>
      </c>
      <c r="V570" t="str">
        <f>IF([2]Baskol!$D$573="","",[2]Baskol!$D$573)</f>
        <v/>
      </c>
      <c r="W570" t="str">
        <f>IF([2]Baskol!$E$573="","",[2]Baskol!$E$573)</f>
        <v/>
      </c>
      <c r="X570" t="str">
        <f>IF([2]Baskol!$G$573="","",[2]Baskol!$G$573)</f>
        <v/>
      </c>
      <c r="Y570" t="str">
        <f>IF([2]Baskol!$I$573="","",[2]Baskol!$I$573)</f>
        <v/>
      </c>
      <c r="Z570" t="str">
        <f>IF([2]Baskol!$J$573="","",[2]Baskol!$J$573)</f>
        <v/>
      </c>
      <c r="AA570" t="str">
        <f>IF([2]Baskol!$K$573="","",[2]Baskol!$K$573)</f>
        <v/>
      </c>
      <c r="AB570" t="str">
        <f>IF([2]Baskol!$L$573="","",[2]Baskol!$L$573)</f>
        <v/>
      </c>
      <c r="AC570" t="str">
        <f>IF([2]Baskol!$N$573="","",[2]Baskol!$N$573)</f>
        <v/>
      </c>
      <c r="AD570" t="str">
        <f>IF([2]Baskol!$O$573="","",[2]Baskol!$O$573)</f>
        <v/>
      </c>
      <c r="AE570" t="str">
        <f>IF([3]Entry!$C$573="","",[3]Entry!$C$573)</f>
        <v/>
      </c>
      <c r="AF570" t="str">
        <f>IF([3]Entry!$D$573="","",[3]Entry!$D$573)</f>
        <v/>
      </c>
      <c r="AG570" t="str">
        <f>IF([3]Entry!$E$573="","",[3]Entry!$E$573)</f>
        <v/>
      </c>
      <c r="AH570" t="str">
        <f>IF([3]Entry!$G$573="","",[3]Entry!$G$573)</f>
        <v/>
      </c>
      <c r="AI570" t="str">
        <f>IF([3]Entry!$K$573="","",[3]Entry!$K$573)</f>
        <v/>
      </c>
      <c r="AJ570" t="str">
        <f>IF([3]Entry!$L$573="","",[3]Entry!$L$573)</f>
        <v/>
      </c>
      <c r="AK570" t="str">
        <f>IF([3]Entry!$M$573="","",[3]Entry!$M$573)</f>
        <v/>
      </c>
      <c r="AL570" t="str">
        <f>IF([3]Entry!$N$573="","",[3]Entry!$N$573)</f>
        <v/>
      </c>
      <c r="AM570" t="str">
        <f>IF([3]Entry!$R$573="","",[3]Entry!$R$573)</f>
        <v/>
      </c>
    </row>
    <row r="571" spans="1:39" x14ac:dyDescent="0.2">
      <c r="T571" t="str">
        <f>IF([2]Baskol!$B$574="","",[2]Baskol!$B$574)</f>
        <v/>
      </c>
      <c r="U571" t="str">
        <f>IF([2]Baskol!$C$574="","",[2]Baskol!$C$574)</f>
        <v/>
      </c>
      <c r="V571" t="str">
        <f>IF([2]Baskol!$D$574="","",[2]Baskol!$D$574)</f>
        <v/>
      </c>
      <c r="W571" t="str">
        <f>IF([2]Baskol!$E$574="","",[2]Baskol!$E$574)</f>
        <v/>
      </c>
      <c r="X571" t="str">
        <f>IF([2]Baskol!$G$574="","",[2]Baskol!$G$574)</f>
        <v/>
      </c>
      <c r="Y571" t="str">
        <f>IF([2]Baskol!$I$574="","",[2]Baskol!$I$574)</f>
        <v/>
      </c>
      <c r="Z571" t="str">
        <f>IF([2]Baskol!$J$574="","",[2]Baskol!$J$574)</f>
        <v/>
      </c>
      <c r="AA571" t="str">
        <f>IF([2]Baskol!$K$574="","",[2]Baskol!$K$574)</f>
        <v/>
      </c>
      <c r="AB571" t="str">
        <f>IF([2]Baskol!$L$574="","",[2]Baskol!$L$574)</f>
        <v/>
      </c>
      <c r="AC571" t="str">
        <f>IF([2]Baskol!$N$574="","",[2]Baskol!$N$574)</f>
        <v/>
      </c>
      <c r="AD571" t="str">
        <f>IF([2]Baskol!$O$574="","",[2]Baskol!$O$574)</f>
        <v/>
      </c>
      <c r="AE571" t="str">
        <f>IF([3]Entry!$C$574="","",[3]Entry!$C$574)</f>
        <v/>
      </c>
      <c r="AF571" t="str">
        <f>IF([3]Entry!$D$574="","",[3]Entry!$D$574)</f>
        <v/>
      </c>
      <c r="AG571" t="str">
        <f>IF([3]Entry!$E$574="","",[3]Entry!$E$574)</f>
        <v/>
      </c>
      <c r="AH571" t="str">
        <f>IF([3]Entry!$G$574="","",[3]Entry!$G$574)</f>
        <v/>
      </c>
      <c r="AI571" t="str">
        <f>IF([3]Entry!$K$574="","",[3]Entry!$K$574)</f>
        <v/>
      </c>
      <c r="AJ571" t="str">
        <f>IF([3]Entry!$L$574="","",[3]Entry!$L$574)</f>
        <v/>
      </c>
      <c r="AK571" t="str">
        <f>IF([3]Entry!$M$574="","",[3]Entry!$M$574)</f>
        <v/>
      </c>
      <c r="AL571" t="str">
        <f>IF([3]Entry!$N$574="","",[3]Entry!$N$574)</f>
        <v/>
      </c>
      <c r="AM571" t="str">
        <f>IF([3]Entry!$R$574="","",[3]Entry!$R$574)</f>
        <v/>
      </c>
    </row>
    <row r="572" spans="1:39" x14ac:dyDescent="0.2">
      <c r="T572" t="str">
        <f>IF([2]Baskol!$B$575="","",[2]Baskol!$B$575)</f>
        <v/>
      </c>
      <c r="U572" t="str">
        <f>IF([2]Baskol!$C$575="","",[2]Baskol!$C$575)</f>
        <v/>
      </c>
      <c r="V572" t="str">
        <f>IF([2]Baskol!$D$575="","",[2]Baskol!$D$575)</f>
        <v/>
      </c>
      <c r="W572" t="str">
        <f>IF([2]Baskol!$E$575="","",[2]Baskol!$E$575)</f>
        <v/>
      </c>
      <c r="X572" t="str">
        <f>IF([2]Baskol!$G$575="","",[2]Baskol!$G$575)</f>
        <v/>
      </c>
      <c r="Y572" t="str">
        <f>IF([2]Baskol!$I$575="","",[2]Baskol!$I$575)</f>
        <v/>
      </c>
      <c r="Z572" t="str">
        <f>IF([2]Baskol!$J$575="","",[2]Baskol!$J$575)</f>
        <v/>
      </c>
      <c r="AA572" t="str">
        <f>IF([2]Baskol!$K$575="","",[2]Baskol!$K$575)</f>
        <v/>
      </c>
      <c r="AB572" t="str">
        <f>IF([2]Baskol!$L$575="","",[2]Baskol!$L$575)</f>
        <v/>
      </c>
      <c r="AC572" t="str">
        <f>IF([2]Baskol!$N$575="","",[2]Baskol!$N$575)</f>
        <v/>
      </c>
      <c r="AD572" t="str">
        <f>IF([2]Baskol!$O$575="","",[2]Baskol!$O$575)</f>
        <v/>
      </c>
      <c r="AE572" t="str">
        <f>IF([3]Entry!$C$575="","",[3]Entry!$C$575)</f>
        <v/>
      </c>
      <c r="AF572" t="str">
        <f>IF([3]Entry!$D$575="","",[3]Entry!$D$575)</f>
        <v/>
      </c>
      <c r="AG572" t="str">
        <f>IF([3]Entry!$E$575="","",[3]Entry!$E$575)</f>
        <v/>
      </c>
      <c r="AH572" t="str">
        <f>IF([3]Entry!$G$575="","",[3]Entry!$G$575)</f>
        <v/>
      </c>
      <c r="AI572" t="str">
        <f>IF([3]Entry!$K$575="","",[3]Entry!$K$575)</f>
        <v/>
      </c>
      <c r="AJ572" t="str">
        <f>IF([3]Entry!$L$575="","",[3]Entry!$L$575)</f>
        <v/>
      </c>
      <c r="AK572" t="str">
        <f>IF([3]Entry!$M$575="","",[3]Entry!$M$575)</f>
        <v/>
      </c>
      <c r="AL572" t="str">
        <f>IF([3]Entry!$N$575="","",[3]Entry!$N$575)</f>
        <v/>
      </c>
      <c r="AM572" t="str">
        <f>IF([3]Entry!$R$575="","",[3]Entry!$R$575)</f>
        <v/>
      </c>
    </row>
    <row r="573" spans="1:39" x14ac:dyDescent="0.2">
      <c r="T573" t="str">
        <f>IF([2]Baskol!$B$576="","",[2]Baskol!$B$576)</f>
        <v/>
      </c>
      <c r="U573" t="str">
        <f>IF([2]Baskol!$C$576="","",[2]Baskol!$C$576)</f>
        <v/>
      </c>
      <c r="V573" t="str">
        <f>IF([2]Baskol!$D$576="","",[2]Baskol!$D$576)</f>
        <v/>
      </c>
      <c r="W573" t="str">
        <f>IF([2]Baskol!$E$576="","",[2]Baskol!$E$576)</f>
        <v/>
      </c>
      <c r="X573" t="str">
        <f>IF([2]Baskol!$G$576="","",[2]Baskol!$G$576)</f>
        <v/>
      </c>
      <c r="Y573" t="str">
        <f>IF([2]Baskol!$I$576="","",[2]Baskol!$I$576)</f>
        <v/>
      </c>
      <c r="Z573" t="str">
        <f>IF([2]Baskol!$J$576="","",[2]Baskol!$J$576)</f>
        <v/>
      </c>
      <c r="AA573" t="str">
        <f>IF([2]Baskol!$K$576="","",[2]Baskol!$K$576)</f>
        <v/>
      </c>
      <c r="AB573" t="str">
        <f>IF([2]Baskol!$L$576="","",[2]Baskol!$L$576)</f>
        <v/>
      </c>
      <c r="AC573" t="str">
        <f>IF([2]Baskol!$N$576="","",[2]Baskol!$N$576)</f>
        <v/>
      </c>
      <c r="AD573" t="str">
        <f>IF([2]Baskol!$O$576="","",[2]Baskol!$O$576)</f>
        <v/>
      </c>
      <c r="AE573" t="str">
        <f>IF([3]Entry!$C$576="","",[3]Entry!$C$576)</f>
        <v/>
      </c>
      <c r="AF573" t="str">
        <f>IF([3]Entry!$D$576="","",[3]Entry!$D$576)</f>
        <v/>
      </c>
      <c r="AG573" t="str">
        <f>IF([3]Entry!$E$576="","",[3]Entry!$E$576)</f>
        <v/>
      </c>
      <c r="AH573" t="str">
        <f>IF([3]Entry!$G$576="","",[3]Entry!$G$576)</f>
        <v/>
      </c>
      <c r="AI573" t="str">
        <f>IF([3]Entry!$K$576="","",[3]Entry!$K$576)</f>
        <v/>
      </c>
      <c r="AJ573" t="str">
        <f>IF([3]Entry!$L$576="","",[3]Entry!$L$576)</f>
        <v/>
      </c>
      <c r="AK573" t="str">
        <f>IF([3]Entry!$M$576="","",[3]Entry!$M$576)</f>
        <v/>
      </c>
      <c r="AL573" t="str">
        <f>IF([3]Entry!$N$576="","",[3]Entry!$N$576)</f>
        <v/>
      </c>
      <c r="AM573" t="str">
        <f>IF([3]Entry!$R$576="","",[3]Entry!$R$576)</f>
        <v/>
      </c>
    </row>
    <row r="574" spans="1:39" x14ac:dyDescent="0.2">
      <c r="T574" t="str">
        <f>IF([2]Baskol!$B$577="","",[2]Baskol!$B$577)</f>
        <v/>
      </c>
      <c r="U574" t="str">
        <f>IF([2]Baskol!$C$577="","",[2]Baskol!$C$577)</f>
        <v/>
      </c>
      <c r="V574" t="str">
        <f>IF([2]Baskol!$D$577="","",[2]Baskol!$D$577)</f>
        <v/>
      </c>
      <c r="W574" t="str">
        <f>IF([2]Baskol!$E$577="","",[2]Baskol!$E$577)</f>
        <v/>
      </c>
      <c r="X574" t="str">
        <f>IF([2]Baskol!$G$577="","",[2]Baskol!$G$577)</f>
        <v/>
      </c>
      <c r="Y574" t="str">
        <f>IF([2]Baskol!$I$577="","",[2]Baskol!$I$577)</f>
        <v/>
      </c>
      <c r="Z574" t="str">
        <f>IF([2]Baskol!$J$577="","",[2]Baskol!$J$577)</f>
        <v/>
      </c>
      <c r="AA574" t="str">
        <f>IF([2]Baskol!$K$577="","",[2]Baskol!$K$577)</f>
        <v/>
      </c>
      <c r="AB574" t="str">
        <f>IF([2]Baskol!$L$577="","",[2]Baskol!$L$577)</f>
        <v/>
      </c>
      <c r="AC574" t="str">
        <f>IF([2]Baskol!$N$577="","",[2]Baskol!$N$577)</f>
        <v/>
      </c>
      <c r="AD574" t="str">
        <f>IF([2]Baskol!$O$577="","",[2]Baskol!$O$577)</f>
        <v/>
      </c>
      <c r="AE574" t="str">
        <f>IF([3]Entry!$C$577="","",[3]Entry!$C$577)</f>
        <v/>
      </c>
      <c r="AF574" t="str">
        <f>IF([3]Entry!$D$577="","",[3]Entry!$D$577)</f>
        <v/>
      </c>
      <c r="AG574" t="str">
        <f>IF([3]Entry!$E$577="","",[3]Entry!$E$577)</f>
        <v/>
      </c>
      <c r="AH574" t="str">
        <f>IF([3]Entry!$G$577="","",[3]Entry!$G$577)</f>
        <v/>
      </c>
      <c r="AI574" t="str">
        <f>IF([3]Entry!$K$577="","",[3]Entry!$K$577)</f>
        <v/>
      </c>
      <c r="AJ574" t="str">
        <f>IF([3]Entry!$L$577="","",[3]Entry!$L$577)</f>
        <v/>
      </c>
      <c r="AK574" t="str">
        <f>IF([3]Entry!$M$577="","",[3]Entry!$M$577)</f>
        <v/>
      </c>
      <c r="AL574" t="str">
        <f>IF([3]Entry!$N$577="","",[3]Entry!$N$577)</f>
        <v/>
      </c>
      <c r="AM574" t="str">
        <f>IF([3]Entry!$R$577="","",[3]Entry!$R$577)</f>
        <v/>
      </c>
    </row>
    <row r="575" spans="1:39" x14ac:dyDescent="0.2">
      <c r="T575" t="str">
        <f>IF([2]Baskol!$B$578="","",[2]Baskol!$B$578)</f>
        <v/>
      </c>
      <c r="U575" t="str">
        <f>IF([2]Baskol!$C$578="","",[2]Baskol!$C$578)</f>
        <v/>
      </c>
      <c r="V575" t="str">
        <f>IF([2]Baskol!$D$578="","",[2]Baskol!$D$578)</f>
        <v/>
      </c>
      <c r="W575" t="str">
        <f>IF([2]Baskol!$E$578="","",[2]Baskol!$E$578)</f>
        <v/>
      </c>
      <c r="X575" t="str">
        <f>IF([2]Baskol!$G$578="","",[2]Baskol!$G$578)</f>
        <v/>
      </c>
      <c r="Y575" t="str">
        <f>IF([2]Baskol!$I$578="","",[2]Baskol!$I$578)</f>
        <v/>
      </c>
      <c r="Z575" t="str">
        <f>IF([2]Baskol!$J$578="","",[2]Baskol!$J$578)</f>
        <v/>
      </c>
      <c r="AA575" t="str">
        <f>IF([2]Baskol!$K$578="","",[2]Baskol!$K$578)</f>
        <v/>
      </c>
      <c r="AB575" t="str">
        <f>IF([2]Baskol!$L$578="","",[2]Baskol!$L$578)</f>
        <v/>
      </c>
      <c r="AC575" t="str">
        <f>IF([2]Baskol!$N$578="","",[2]Baskol!$N$578)</f>
        <v/>
      </c>
      <c r="AD575" t="str">
        <f>IF([2]Baskol!$O$578="","",[2]Baskol!$O$578)</f>
        <v/>
      </c>
      <c r="AE575" t="str">
        <f>IF([3]Entry!$C$578="","",[3]Entry!$C$578)</f>
        <v/>
      </c>
      <c r="AF575" t="str">
        <f>IF([3]Entry!$D$578="","",[3]Entry!$D$578)</f>
        <v/>
      </c>
      <c r="AG575" t="str">
        <f>IF([3]Entry!$E$578="","",[3]Entry!$E$578)</f>
        <v/>
      </c>
      <c r="AH575" t="str">
        <f>IF([3]Entry!$G$578="","",[3]Entry!$G$578)</f>
        <v/>
      </c>
      <c r="AI575" t="str">
        <f>IF([3]Entry!$K$578="","",[3]Entry!$K$578)</f>
        <v/>
      </c>
      <c r="AJ575" t="str">
        <f>IF([3]Entry!$L$578="","",[3]Entry!$L$578)</f>
        <v/>
      </c>
      <c r="AK575" t="str">
        <f>IF([3]Entry!$M$578="","",[3]Entry!$M$578)</f>
        <v/>
      </c>
      <c r="AL575" t="str">
        <f>IF([3]Entry!$N$578="","",[3]Entry!$N$578)</f>
        <v/>
      </c>
      <c r="AM575" t="str">
        <f>IF([3]Entry!$R$578="","",[3]Entry!$R$578)</f>
        <v/>
      </c>
    </row>
    <row r="576" spans="1:39" x14ac:dyDescent="0.2">
      <c r="T576" t="str">
        <f>IF([2]Baskol!$B$579="","",[2]Baskol!$B$579)</f>
        <v/>
      </c>
      <c r="U576" t="str">
        <f>IF([2]Baskol!$C$579="","",[2]Baskol!$C$579)</f>
        <v/>
      </c>
      <c r="V576" t="str">
        <f>IF([2]Baskol!$D$579="","",[2]Baskol!$D$579)</f>
        <v/>
      </c>
      <c r="W576" t="str">
        <f>IF([2]Baskol!$E$579="","",[2]Baskol!$E$579)</f>
        <v/>
      </c>
      <c r="X576" t="str">
        <f>IF([2]Baskol!$G$579="","",[2]Baskol!$G$579)</f>
        <v/>
      </c>
      <c r="Y576" t="str">
        <f>IF([2]Baskol!$I$579="","",[2]Baskol!$I$579)</f>
        <v/>
      </c>
      <c r="Z576" t="str">
        <f>IF([2]Baskol!$J$579="","",[2]Baskol!$J$579)</f>
        <v/>
      </c>
      <c r="AA576" t="str">
        <f>IF([2]Baskol!$K$579="","",[2]Baskol!$K$579)</f>
        <v/>
      </c>
      <c r="AB576" t="str">
        <f>IF([2]Baskol!$L$579="","",[2]Baskol!$L$579)</f>
        <v/>
      </c>
      <c r="AC576" t="str">
        <f>IF([2]Baskol!$N$579="","",[2]Baskol!$N$579)</f>
        <v/>
      </c>
      <c r="AD576" t="str">
        <f>IF([2]Baskol!$O$579="","",[2]Baskol!$O$579)</f>
        <v/>
      </c>
      <c r="AE576" t="str">
        <f>IF([3]Entry!$C$579="","",[3]Entry!$C$579)</f>
        <v/>
      </c>
      <c r="AF576" t="str">
        <f>IF([3]Entry!$D$579="","",[3]Entry!$D$579)</f>
        <v/>
      </c>
      <c r="AG576" t="str">
        <f>IF([3]Entry!$E$579="","",[3]Entry!$E$579)</f>
        <v/>
      </c>
      <c r="AH576" t="str">
        <f>IF([3]Entry!$G$579="","",[3]Entry!$G$579)</f>
        <v/>
      </c>
      <c r="AI576" t="str">
        <f>IF([3]Entry!$K$579="","",[3]Entry!$K$579)</f>
        <v/>
      </c>
      <c r="AJ576" t="str">
        <f>IF([3]Entry!$L$579="","",[3]Entry!$L$579)</f>
        <v/>
      </c>
      <c r="AK576" t="str">
        <f>IF([3]Entry!$M$579="","",[3]Entry!$M$579)</f>
        <v/>
      </c>
      <c r="AL576" t="str">
        <f>IF([3]Entry!$N$579="","",[3]Entry!$N$579)</f>
        <v/>
      </c>
      <c r="AM576" t="str">
        <f>IF([3]Entry!$R$579="","",[3]Entry!$R$579)</f>
        <v/>
      </c>
    </row>
    <row r="577" spans="20:39" x14ac:dyDescent="0.2">
      <c r="T577" t="str">
        <f>IF([2]Baskol!$B$580="","",[2]Baskol!$B$580)</f>
        <v/>
      </c>
      <c r="U577" t="str">
        <f>IF([2]Baskol!$C$580="","",[2]Baskol!$C$580)</f>
        <v/>
      </c>
      <c r="V577" t="str">
        <f>IF([2]Baskol!$D$580="","",[2]Baskol!$D$580)</f>
        <v/>
      </c>
      <c r="W577" t="str">
        <f>IF([2]Baskol!$E$580="","",[2]Baskol!$E$580)</f>
        <v/>
      </c>
      <c r="X577" t="str">
        <f>IF([2]Baskol!$G$580="","",[2]Baskol!$G$580)</f>
        <v/>
      </c>
      <c r="Y577" t="str">
        <f>IF([2]Baskol!$I$580="","",[2]Baskol!$I$580)</f>
        <v/>
      </c>
      <c r="Z577" t="str">
        <f>IF([2]Baskol!$J$580="","",[2]Baskol!$J$580)</f>
        <v/>
      </c>
      <c r="AA577" t="str">
        <f>IF([2]Baskol!$K$580="","",[2]Baskol!$K$580)</f>
        <v/>
      </c>
      <c r="AB577" t="str">
        <f>IF([2]Baskol!$L$580="","",[2]Baskol!$L$580)</f>
        <v/>
      </c>
      <c r="AC577" t="str">
        <f>IF([2]Baskol!$N$580="","",[2]Baskol!$N$580)</f>
        <v/>
      </c>
      <c r="AD577" t="str">
        <f>IF([2]Baskol!$O$580="","",[2]Baskol!$O$580)</f>
        <v/>
      </c>
      <c r="AE577" t="str">
        <f>IF([3]Entry!$C$580="","",[3]Entry!$C$580)</f>
        <v/>
      </c>
      <c r="AF577" t="str">
        <f>IF([3]Entry!$D$580="","",[3]Entry!$D$580)</f>
        <v/>
      </c>
      <c r="AG577" t="str">
        <f>IF([3]Entry!$E$580="","",[3]Entry!$E$580)</f>
        <v/>
      </c>
      <c r="AH577" t="str">
        <f>IF([3]Entry!$G$580="","",[3]Entry!$G$580)</f>
        <v/>
      </c>
      <c r="AI577" t="str">
        <f>IF([3]Entry!$K$580="","",[3]Entry!$K$580)</f>
        <v/>
      </c>
      <c r="AJ577" t="str">
        <f>IF([3]Entry!$L$580="","",[3]Entry!$L$580)</f>
        <v/>
      </c>
      <c r="AK577" t="str">
        <f>IF([3]Entry!$M$580="","",[3]Entry!$M$580)</f>
        <v/>
      </c>
      <c r="AL577" t="str">
        <f>IF([3]Entry!$N$580="","",[3]Entry!$N$580)</f>
        <v/>
      </c>
      <c r="AM577" t="str">
        <f>IF([3]Entry!$R$580="","",[3]Entry!$R$580)</f>
        <v/>
      </c>
    </row>
    <row r="578" spans="20:39" x14ac:dyDescent="0.2">
      <c r="T578" t="str">
        <f>IF([2]Baskol!$B$581="","",[2]Baskol!$B$581)</f>
        <v/>
      </c>
      <c r="U578" t="str">
        <f>IF([2]Baskol!$C$581="","",[2]Baskol!$C$581)</f>
        <v/>
      </c>
      <c r="V578" t="str">
        <f>IF([2]Baskol!$D$581="","",[2]Baskol!$D$581)</f>
        <v/>
      </c>
      <c r="W578" t="str">
        <f>IF([2]Baskol!$E$581="","",[2]Baskol!$E$581)</f>
        <v/>
      </c>
      <c r="X578" t="str">
        <f>IF([2]Baskol!$G$581="","",[2]Baskol!$G$581)</f>
        <v/>
      </c>
      <c r="Y578" t="str">
        <f>IF([2]Baskol!$I$581="","",[2]Baskol!$I$581)</f>
        <v/>
      </c>
      <c r="Z578" t="str">
        <f>IF([2]Baskol!$J$581="","",[2]Baskol!$J$581)</f>
        <v/>
      </c>
      <c r="AA578" t="str">
        <f>IF([2]Baskol!$K$581="","",[2]Baskol!$K$581)</f>
        <v/>
      </c>
      <c r="AB578" t="str">
        <f>IF([2]Baskol!$L$581="","",[2]Baskol!$L$581)</f>
        <v/>
      </c>
      <c r="AC578" t="str">
        <f>IF([2]Baskol!$N$581="","",[2]Baskol!$N$581)</f>
        <v/>
      </c>
      <c r="AD578" t="str">
        <f>IF([2]Baskol!$O$581="","",[2]Baskol!$O$581)</f>
        <v/>
      </c>
      <c r="AE578" t="str">
        <f>IF([3]Entry!$C$581="","",[3]Entry!$C$581)</f>
        <v/>
      </c>
      <c r="AF578" t="str">
        <f>IF([3]Entry!$D$581="","",[3]Entry!$D$581)</f>
        <v/>
      </c>
      <c r="AG578" t="str">
        <f>IF([3]Entry!$E$581="","",[3]Entry!$E$581)</f>
        <v/>
      </c>
      <c r="AH578" t="str">
        <f>IF([3]Entry!$G$581="","",[3]Entry!$G$581)</f>
        <v/>
      </c>
      <c r="AI578" t="str">
        <f>IF([3]Entry!$K$581="","",[3]Entry!$K$581)</f>
        <v/>
      </c>
      <c r="AJ578" t="str">
        <f>IF([3]Entry!$L$581="","",[3]Entry!$L$581)</f>
        <v/>
      </c>
      <c r="AK578" t="str">
        <f>IF([3]Entry!$M$581="","",[3]Entry!$M$581)</f>
        <v/>
      </c>
      <c r="AL578" t="str">
        <f>IF([3]Entry!$N$581="","",[3]Entry!$N$581)</f>
        <v/>
      </c>
      <c r="AM578" t="str">
        <f>IF([3]Entry!$R$581="","",[3]Entry!$R$581)</f>
        <v/>
      </c>
    </row>
    <row r="579" spans="20:39" x14ac:dyDescent="0.2">
      <c r="T579" t="str">
        <f>IF([2]Baskol!$B$582="","",[2]Baskol!$B$582)</f>
        <v/>
      </c>
      <c r="U579" t="str">
        <f>IF([2]Baskol!$C$582="","",[2]Baskol!$C$582)</f>
        <v/>
      </c>
      <c r="V579" t="str">
        <f>IF([2]Baskol!$D$582="","",[2]Baskol!$D$582)</f>
        <v/>
      </c>
      <c r="W579" t="str">
        <f>IF([2]Baskol!$E$582="","",[2]Baskol!$E$582)</f>
        <v/>
      </c>
      <c r="X579" t="str">
        <f>IF([2]Baskol!$G$582="","",[2]Baskol!$G$582)</f>
        <v/>
      </c>
      <c r="Y579" t="str">
        <f>IF([2]Baskol!$I$582="","",[2]Baskol!$I$582)</f>
        <v/>
      </c>
      <c r="Z579" t="str">
        <f>IF([2]Baskol!$J$582="","",[2]Baskol!$J$582)</f>
        <v/>
      </c>
      <c r="AA579" t="str">
        <f>IF([2]Baskol!$K$582="","",[2]Baskol!$K$582)</f>
        <v/>
      </c>
      <c r="AB579" t="str">
        <f>IF([2]Baskol!$L$582="","",[2]Baskol!$L$582)</f>
        <v/>
      </c>
      <c r="AC579" t="str">
        <f>IF([2]Baskol!$N$582="","",[2]Baskol!$N$582)</f>
        <v/>
      </c>
      <c r="AD579" t="str">
        <f>IF([2]Baskol!$O$582="","",[2]Baskol!$O$582)</f>
        <v/>
      </c>
      <c r="AE579" t="str">
        <f>IF([3]Entry!$C$582="","",[3]Entry!$C$582)</f>
        <v/>
      </c>
      <c r="AF579" t="str">
        <f>IF([3]Entry!$D$582="","",[3]Entry!$D$582)</f>
        <v/>
      </c>
      <c r="AG579" t="str">
        <f>IF([3]Entry!$E$582="","",[3]Entry!$E$582)</f>
        <v/>
      </c>
      <c r="AH579" t="str">
        <f>IF([3]Entry!$G$582="","",[3]Entry!$G$582)</f>
        <v/>
      </c>
      <c r="AI579" t="str">
        <f>IF([3]Entry!$K$582="","",[3]Entry!$K$582)</f>
        <v/>
      </c>
      <c r="AJ579" t="str">
        <f>IF([3]Entry!$L$582="","",[3]Entry!$L$582)</f>
        <v/>
      </c>
      <c r="AK579" t="str">
        <f>IF([3]Entry!$M$582="","",[3]Entry!$M$582)</f>
        <v/>
      </c>
      <c r="AL579" t="str">
        <f>IF([3]Entry!$N$582="","",[3]Entry!$N$582)</f>
        <v/>
      </c>
      <c r="AM579" t="str">
        <f>IF([3]Entry!$R$582="","",[3]Entry!$R$582)</f>
        <v/>
      </c>
    </row>
    <row r="580" spans="20:39" x14ac:dyDescent="0.2">
      <c r="T580" t="str">
        <f>IF([2]Baskol!$B$583="","",[2]Baskol!$B$583)</f>
        <v/>
      </c>
      <c r="U580" t="str">
        <f>IF([2]Baskol!$C$583="","",[2]Baskol!$C$583)</f>
        <v/>
      </c>
      <c r="V580" t="str">
        <f>IF([2]Baskol!$D$583="","",[2]Baskol!$D$583)</f>
        <v/>
      </c>
      <c r="W580" t="str">
        <f>IF([2]Baskol!$E$583="","",[2]Baskol!$E$583)</f>
        <v/>
      </c>
      <c r="X580" t="str">
        <f>IF([2]Baskol!$G$583="","",[2]Baskol!$G$583)</f>
        <v/>
      </c>
      <c r="Y580" t="str">
        <f>IF([2]Baskol!$I$583="","",[2]Baskol!$I$583)</f>
        <v/>
      </c>
      <c r="Z580" t="str">
        <f>IF([2]Baskol!$J$583="","",[2]Baskol!$J$583)</f>
        <v/>
      </c>
      <c r="AA580" t="str">
        <f>IF([2]Baskol!$K$583="","",[2]Baskol!$K$583)</f>
        <v/>
      </c>
      <c r="AB580" t="str">
        <f>IF([2]Baskol!$L$583="","",[2]Baskol!$L$583)</f>
        <v/>
      </c>
      <c r="AC580" t="str">
        <f>IF([2]Baskol!$N$583="","",[2]Baskol!$N$583)</f>
        <v/>
      </c>
      <c r="AD580" t="str">
        <f>IF([2]Baskol!$O$583="","",[2]Baskol!$O$583)</f>
        <v/>
      </c>
      <c r="AE580" t="str">
        <f>IF([3]Entry!$C$583="","",[3]Entry!$C$583)</f>
        <v/>
      </c>
      <c r="AF580" t="str">
        <f>IF([3]Entry!$D$583="","",[3]Entry!$D$583)</f>
        <v/>
      </c>
      <c r="AG580" t="str">
        <f>IF([3]Entry!$E$583="","",[3]Entry!$E$583)</f>
        <v/>
      </c>
      <c r="AH580" t="str">
        <f>IF([3]Entry!$G$583="","",[3]Entry!$G$583)</f>
        <v/>
      </c>
      <c r="AI580" t="str">
        <f>IF([3]Entry!$K$583="","",[3]Entry!$K$583)</f>
        <v/>
      </c>
      <c r="AJ580" t="str">
        <f>IF([3]Entry!$L$583="","",[3]Entry!$L$583)</f>
        <v/>
      </c>
      <c r="AK580" t="str">
        <f>IF([3]Entry!$M$583="","",[3]Entry!$M$583)</f>
        <v/>
      </c>
      <c r="AL580" t="str">
        <f>IF([3]Entry!$N$583="","",[3]Entry!$N$583)</f>
        <v/>
      </c>
      <c r="AM580" t="str">
        <f>IF([3]Entry!$R$583="","",[3]Entry!$R$583)</f>
        <v/>
      </c>
    </row>
    <row r="581" spans="20:39" x14ac:dyDescent="0.2">
      <c r="T581" t="str">
        <f>IF([2]Baskol!$B$584="","",[2]Baskol!$B$584)</f>
        <v/>
      </c>
      <c r="U581" t="str">
        <f>IF([2]Baskol!$C$584="","",[2]Baskol!$C$584)</f>
        <v/>
      </c>
      <c r="V581" t="str">
        <f>IF([2]Baskol!$D$584="","",[2]Baskol!$D$584)</f>
        <v/>
      </c>
      <c r="W581" t="str">
        <f>IF([2]Baskol!$E$584="","",[2]Baskol!$E$584)</f>
        <v/>
      </c>
      <c r="X581" t="str">
        <f>IF([2]Baskol!$G$584="","",[2]Baskol!$G$584)</f>
        <v/>
      </c>
      <c r="Y581" t="str">
        <f>IF([2]Baskol!$I$584="","",[2]Baskol!$I$584)</f>
        <v/>
      </c>
      <c r="Z581" t="str">
        <f>IF([2]Baskol!$J$584="","",[2]Baskol!$J$584)</f>
        <v/>
      </c>
      <c r="AA581" t="str">
        <f>IF([2]Baskol!$K$584="","",[2]Baskol!$K$584)</f>
        <v/>
      </c>
      <c r="AB581" t="str">
        <f>IF([2]Baskol!$L$584="","",[2]Baskol!$L$584)</f>
        <v/>
      </c>
      <c r="AC581" t="str">
        <f>IF([2]Baskol!$N$584="","",[2]Baskol!$N$584)</f>
        <v/>
      </c>
      <c r="AD581" t="str">
        <f>IF([2]Baskol!$O$584="","",[2]Baskol!$O$584)</f>
        <v/>
      </c>
      <c r="AE581" t="str">
        <f>IF([3]Entry!$C$584="","",[3]Entry!$C$584)</f>
        <v/>
      </c>
      <c r="AF581" t="str">
        <f>IF([3]Entry!$D$584="","",[3]Entry!$D$584)</f>
        <v/>
      </c>
      <c r="AG581" t="str">
        <f>IF([3]Entry!$E$584="","",[3]Entry!$E$584)</f>
        <v/>
      </c>
      <c r="AH581" t="str">
        <f>IF([3]Entry!$G$584="","",[3]Entry!$G$584)</f>
        <v/>
      </c>
      <c r="AI581" t="str">
        <f>IF([3]Entry!$K$584="","",[3]Entry!$K$584)</f>
        <v/>
      </c>
      <c r="AJ581" t="str">
        <f>IF([3]Entry!$L$584="","",[3]Entry!$L$584)</f>
        <v/>
      </c>
      <c r="AK581" t="str">
        <f>IF([3]Entry!$M$584="","",[3]Entry!$M$584)</f>
        <v/>
      </c>
      <c r="AL581" t="str">
        <f>IF([3]Entry!$N$584="","",[3]Entry!$N$584)</f>
        <v/>
      </c>
      <c r="AM581" t="str">
        <f>IF([3]Entry!$R$584="","",[3]Entry!$R$584)</f>
        <v/>
      </c>
    </row>
    <row r="582" spans="20:39" x14ac:dyDescent="0.2">
      <c r="T582" t="str">
        <f>IF([2]Baskol!$B$585="","",[2]Baskol!$B$585)</f>
        <v/>
      </c>
      <c r="U582" t="str">
        <f>IF([2]Baskol!$C$585="","",[2]Baskol!$C$585)</f>
        <v/>
      </c>
      <c r="V582" t="str">
        <f>IF([2]Baskol!$D$585="","",[2]Baskol!$D$585)</f>
        <v/>
      </c>
      <c r="W582" t="str">
        <f>IF([2]Baskol!$E$585="","",[2]Baskol!$E$585)</f>
        <v/>
      </c>
      <c r="X582" t="str">
        <f>IF([2]Baskol!$G$585="","",[2]Baskol!$G$585)</f>
        <v/>
      </c>
      <c r="Y582" t="str">
        <f>IF([2]Baskol!$I$585="","",[2]Baskol!$I$585)</f>
        <v/>
      </c>
      <c r="Z582" t="str">
        <f>IF([2]Baskol!$J$585="","",[2]Baskol!$J$585)</f>
        <v/>
      </c>
      <c r="AA582" t="str">
        <f>IF([2]Baskol!$K$585="","",[2]Baskol!$K$585)</f>
        <v/>
      </c>
      <c r="AB582" t="str">
        <f>IF([2]Baskol!$L$585="","",[2]Baskol!$L$585)</f>
        <v/>
      </c>
      <c r="AC582" t="str">
        <f>IF([2]Baskol!$N$585="","",[2]Baskol!$N$585)</f>
        <v/>
      </c>
      <c r="AD582" t="str">
        <f>IF([2]Baskol!$O$585="","",[2]Baskol!$O$585)</f>
        <v/>
      </c>
      <c r="AE582" t="str">
        <f>IF([3]Entry!$C$585="","",[3]Entry!$C$585)</f>
        <v/>
      </c>
      <c r="AF582" t="str">
        <f>IF([3]Entry!$D$585="","",[3]Entry!$D$585)</f>
        <v/>
      </c>
      <c r="AG582" t="str">
        <f>IF([3]Entry!$E$585="","",[3]Entry!$E$585)</f>
        <v/>
      </c>
      <c r="AH582" t="str">
        <f>IF([3]Entry!$G$585="","",[3]Entry!$G$585)</f>
        <v/>
      </c>
      <c r="AI582" t="str">
        <f>IF([3]Entry!$K$585="","",[3]Entry!$K$585)</f>
        <v/>
      </c>
      <c r="AJ582" t="str">
        <f>IF([3]Entry!$L$585="","",[3]Entry!$L$585)</f>
        <v/>
      </c>
      <c r="AK582" t="str">
        <f>IF([3]Entry!$M$585="","",[3]Entry!$M$585)</f>
        <v/>
      </c>
      <c r="AL582" t="str">
        <f>IF([3]Entry!$N$585="","",[3]Entry!$N$585)</f>
        <v/>
      </c>
      <c r="AM582" t="str">
        <f>IF([3]Entry!$R$585="","",[3]Entry!$R$585)</f>
        <v/>
      </c>
    </row>
    <row r="583" spans="20:39" x14ac:dyDescent="0.2">
      <c r="T583" t="str">
        <f>IF([2]Baskol!$B$586="","",[2]Baskol!$B$586)</f>
        <v/>
      </c>
      <c r="U583" t="str">
        <f>IF([2]Baskol!$C$586="","",[2]Baskol!$C$586)</f>
        <v/>
      </c>
      <c r="V583" t="str">
        <f>IF([2]Baskol!$D$586="","",[2]Baskol!$D$586)</f>
        <v/>
      </c>
      <c r="W583" t="str">
        <f>IF([2]Baskol!$E$586="","",[2]Baskol!$E$586)</f>
        <v/>
      </c>
      <c r="X583" t="str">
        <f>IF([2]Baskol!$G$586="","",[2]Baskol!$G$586)</f>
        <v/>
      </c>
      <c r="Y583" t="str">
        <f>IF([2]Baskol!$I$586="","",[2]Baskol!$I$586)</f>
        <v/>
      </c>
      <c r="Z583" t="str">
        <f>IF([2]Baskol!$J$586="","",[2]Baskol!$J$586)</f>
        <v/>
      </c>
      <c r="AA583" t="str">
        <f>IF([2]Baskol!$K$586="","",[2]Baskol!$K$586)</f>
        <v/>
      </c>
      <c r="AB583" t="str">
        <f>IF([2]Baskol!$L$586="","",[2]Baskol!$L$586)</f>
        <v/>
      </c>
      <c r="AC583" t="str">
        <f>IF([2]Baskol!$N$586="","",[2]Baskol!$N$586)</f>
        <v/>
      </c>
      <c r="AD583" t="str">
        <f>IF([2]Baskol!$O$586="","",[2]Baskol!$O$586)</f>
        <v/>
      </c>
      <c r="AE583" t="str">
        <f>IF([3]Entry!$C$586="","",[3]Entry!$C$586)</f>
        <v/>
      </c>
      <c r="AF583" t="str">
        <f>IF([3]Entry!$D$586="","",[3]Entry!$D$586)</f>
        <v/>
      </c>
      <c r="AG583" t="str">
        <f>IF([3]Entry!$E$586="","",[3]Entry!$E$586)</f>
        <v/>
      </c>
      <c r="AH583" t="str">
        <f>IF([3]Entry!$G$586="","",[3]Entry!$G$586)</f>
        <v/>
      </c>
      <c r="AI583" t="str">
        <f>IF([3]Entry!$K$586="","",[3]Entry!$K$586)</f>
        <v/>
      </c>
      <c r="AJ583" t="str">
        <f>IF([3]Entry!$L$586="","",[3]Entry!$L$586)</f>
        <v/>
      </c>
      <c r="AK583" t="str">
        <f>IF([3]Entry!$M$586="","",[3]Entry!$M$586)</f>
        <v/>
      </c>
      <c r="AL583" t="str">
        <f>IF([3]Entry!$N$586="","",[3]Entry!$N$586)</f>
        <v/>
      </c>
      <c r="AM583" t="str">
        <f>IF([3]Entry!$R$586="","",[3]Entry!$R$586)</f>
        <v/>
      </c>
    </row>
    <row r="584" spans="20:39" x14ac:dyDescent="0.2">
      <c r="T584" t="str">
        <f>IF([2]Baskol!$B$587="","",[2]Baskol!$B$587)</f>
        <v/>
      </c>
      <c r="U584" t="str">
        <f>IF([2]Baskol!$C$587="","",[2]Baskol!$C$587)</f>
        <v/>
      </c>
      <c r="V584" t="str">
        <f>IF([2]Baskol!$D$587="","",[2]Baskol!$D$587)</f>
        <v/>
      </c>
      <c r="W584" t="str">
        <f>IF([2]Baskol!$E$587="","",[2]Baskol!$E$587)</f>
        <v/>
      </c>
      <c r="X584" t="str">
        <f>IF([2]Baskol!$G$587="","",[2]Baskol!$G$587)</f>
        <v/>
      </c>
      <c r="Y584" t="str">
        <f>IF([2]Baskol!$I$587="","",[2]Baskol!$I$587)</f>
        <v/>
      </c>
      <c r="Z584" t="str">
        <f>IF([2]Baskol!$J$587="","",[2]Baskol!$J$587)</f>
        <v/>
      </c>
      <c r="AA584" t="str">
        <f>IF([2]Baskol!$K$587="","",[2]Baskol!$K$587)</f>
        <v/>
      </c>
      <c r="AB584" t="str">
        <f>IF([2]Baskol!$L$587="","",[2]Baskol!$L$587)</f>
        <v/>
      </c>
      <c r="AC584" t="str">
        <f>IF([2]Baskol!$N$587="","",[2]Baskol!$N$587)</f>
        <v/>
      </c>
      <c r="AD584" t="str">
        <f>IF([2]Baskol!$O$587="","",[2]Baskol!$O$587)</f>
        <v/>
      </c>
      <c r="AE584" t="str">
        <f>IF([3]Entry!$C$587="","",[3]Entry!$C$587)</f>
        <v/>
      </c>
      <c r="AF584" t="str">
        <f>IF([3]Entry!$D$587="","",[3]Entry!$D$587)</f>
        <v/>
      </c>
      <c r="AG584" t="str">
        <f>IF([3]Entry!$E$587="","",[3]Entry!$E$587)</f>
        <v/>
      </c>
      <c r="AH584" t="str">
        <f>IF([3]Entry!$G$587="","",[3]Entry!$G$587)</f>
        <v/>
      </c>
      <c r="AI584" t="str">
        <f>IF([3]Entry!$K$587="","",[3]Entry!$K$587)</f>
        <v/>
      </c>
      <c r="AJ584" t="str">
        <f>IF([3]Entry!$L$587="","",[3]Entry!$L$587)</f>
        <v/>
      </c>
      <c r="AK584" t="str">
        <f>IF([3]Entry!$M$587="","",[3]Entry!$M$587)</f>
        <v/>
      </c>
      <c r="AL584" t="str">
        <f>IF([3]Entry!$N$587="","",[3]Entry!$N$587)</f>
        <v/>
      </c>
      <c r="AM584" t="str">
        <f>IF([3]Entry!$R$587="","",[3]Entry!$R$587)</f>
        <v/>
      </c>
    </row>
    <row r="585" spans="20:39" x14ac:dyDescent="0.2">
      <c r="T585" t="str">
        <f>IF([2]Baskol!$B$588="","",[2]Baskol!$B$588)</f>
        <v/>
      </c>
      <c r="U585" t="str">
        <f>IF([2]Baskol!$C$588="","",[2]Baskol!$C$588)</f>
        <v/>
      </c>
      <c r="V585" t="str">
        <f>IF([2]Baskol!$D$588="","",[2]Baskol!$D$588)</f>
        <v/>
      </c>
      <c r="W585" t="str">
        <f>IF([2]Baskol!$E$588="","",[2]Baskol!$E$588)</f>
        <v/>
      </c>
      <c r="X585" t="str">
        <f>IF([2]Baskol!$G$588="","",[2]Baskol!$G$588)</f>
        <v/>
      </c>
      <c r="Y585" t="str">
        <f>IF([2]Baskol!$I$588="","",[2]Baskol!$I$588)</f>
        <v/>
      </c>
      <c r="Z585" t="str">
        <f>IF([2]Baskol!$J$588="","",[2]Baskol!$J$588)</f>
        <v/>
      </c>
      <c r="AA585" t="str">
        <f>IF([2]Baskol!$K$588="","",[2]Baskol!$K$588)</f>
        <v/>
      </c>
      <c r="AB585" t="str">
        <f>IF([2]Baskol!$L$588="","",[2]Baskol!$L$588)</f>
        <v/>
      </c>
      <c r="AC585" t="str">
        <f>IF([2]Baskol!$N$588="","",[2]Baskol!$N$588)</f>
        <v/>
      </c>
      <c r="AD585" t="str">
        <f>IF([2]Baskol!$O$588="","",[2]Baskol!$O$588)</f>
        <v/>
      </c>
      <c r="AE585" t="str">
        <f>IF([3]Entry!$C$588="","",[3]Entry!$C$588)</f>
        <v/>
      </c>
      <c r="AF585" t="str">
        <f>IF([3]Entry!$D$588="","",[3]Entry!$D$588)</f>
        <v/>
      </c>
      <c r="AG585" t="str">
        <f>IF([3]Entry!$E$588="","",[3]Entry!$E$588)</f>
        <v/>
      </c>
      <c r="AH585" t="str">
        <f>IF([3]Entry!$G$588="","",[3]Entry!$G$588)</f>
        <v/>
      </c>
      <c r="AI585" t="str">
        <f>IF([3]Entry!$K$588="","",[3]Entry!$K$588)</f>
        <v/>
      </c>
      <c r="AJ585" t="str">
        <f>IF([3]Entry!$L$588="","",[3]Entry!$L$588)</f>
        <v/>
      </c>
      <c r="AK585" t="str">
        <f>IF([3]Entry!$M$588="","",[3]Entry!$M$588)</f>
        <v/>
      </c>
      <c r="AL585" t="str">
        <f>IF([3]Entry!$N$588="","",[3]Entry!$N$588)</f>
        <v/>
      </c>
      <c r="AM585" t="str">
        <f>IF([3]Entry!$R$588="","",[3]Entry!$R$588)</f>
        <v/>
      </c>
    </row>
    <row r="586" spans="20:39" x14ac:dyDescent="0.2">
      <c r="T586" t="str">
        <f>IF([2]Baskol!$B$589="","",[2]Baskol!$B$589)</f>
        <v/>
      </c>
      <c r="U586" t="str">
        <f>IF([2]Baskol!$C$589="","",[2]Baskol!$C$589)</f>
        <v/>
      </c>
      <c r="V586" t="str">
        <f>IF([2]Baskol!$D$589="","",[2]Baskol!$D$589)</f>
        <v/>
      </c>
      <c r="W586" t="str">
        <f>IF([2]Baskol!$E$589="","",[2]Baskol!$E$589)</f>
        <v/>
      </c>
      <c r="X586" t="str">
        <f>IF([2]Baskol!$G$589="","",[2]Baskol!$G$589)</f>
        <v/>
      </c>
      <c r="Y586" t="str">
        <f>IF([2]Baskol!$I$589="","",[2]Baskol!$I$589)</f>
        <v/>
      </c>
      <c r="Z586" t="str">
        <f>IF([2]Baskol!$J$589="","",[2]Baskol!$J$589)</f>
        <v/>
      </c>
      <c r="AA586" t="str">
        <f>IF([2]Baskol!$K$589="","",[2]Baskol!$K$589)</f>
        <v/>
      </c>
      <c r="AB586" t="str">
        <f>IF([2]Baskol!$L$589="","",[2]Baskol!$L$589)</f>
        <v/>
      </c>
      <c r="AC586" t="str">
        <f>IF([2]Baskol!$N$589="","",[2]Baskol!$N$589)</f>
        <v/>
      </c>
      <c r="AD586" t="str">
        <f>IF([2]Baskol!$O$589="","",[2]Baskol!$O$589)</f>
        <v/>
      </c>
      <c r="AE586" t="str">
        <f>IF([3]Entry!$C$589="","",[3]Entry!$C$589)</f>
        <v/>
      </c>
      <c r="AF586" t="str">
        <f>IF([3]Entry!$D$589="","",[3]Entry!$D$589)</f>
        <v/>
      </c>
      <c r="AG586" t="str">
        <f>IF([3]Entry!$E$589="","",[3]Entry!$E$589)</f>
        <v/>
      </c>
      <c r="AH586" t="str">
        <f>IF([3]Entry!$G$589="","",[3]Entry!$G$589)</f>
        <v/>
      </c>
      <c r="AI586" t="str">
        <f>IF([3]Entry!$K$589="","",[3]Entry!$K$589)</f>
        <v/>
      </c>
      <c r="AJ586" t="str">
        <f>IF([3]Entry!$L$589="","",[3]Entry!$L$589)</f>
        <v/>
      </c>
      <c r="AK586" t="str">
        <f>IF([3]Entry!$M$589="","",[3]Entry!$M$589)</f>
        <v/>
      </c>
      <c r="AL586" t="str">
        <f>IF([3]Entry!$N$589="","",[3]Entry!$N$589)</f>
        <v/>
      </c>
      <c r="AM586" t="str">
        <f>IF([3]Entry!$R$589="","",[3]Entry!$R$589)</f>
        <v/>
      </c>
    </row>
    <row r="587" spans="20:39" x14ac:dyDescent="0.2">
      <c r="T587" t="str">
        <f>IF([2]Baskol!$B$590="","",[2]Baskol!$B$590)</f>
        <v/>
      </c>
      <c r="U587" t="str">
        <f>IF([2]Baskol!$C$590="","",[2]Baskol!$C$590)</f>
        <v/>
      </c>
      <c r="V587" t="str">
        <f>IF([2]Baskol!$D$590="","",[2]Baskol!$D$590)</f>
        <v/>
      </c>
      <c r="W587" t="str">
        <f>IF([2]Baskol!$E$590="","",[2]Baskol!$E$590)</f>
        <v/>
      </c>
      <c r="X587" t="str">
        <f>IF([2]Baskol!$G$590="","",[2]Baskol!$G$590)</f>
        <v/>
      </c>
      <c r="Y587" t="str">
        <f>IF([2]Baskol!$I$590="","",[2]Baskol!$I$590)</f>
        <v/>
      </c>
      <c r="Z587" t="str">
        <f>IF([2]Baskol!$J$590="","",[2]Baskol!$J$590)</f>
        <v/>
      </c>
      <c r="AA587" t="str">
        <f>IF([2]Baskol!$K$590="","",[2]Baskol!$K$590)</f>
        <v/>
      </c>
      <c r="AB587" t="str">
        <f>IF([2]Baskol!$L$590="","",[2]Baskol!$L$590)</f>
        <v/>
      </c>
      <c r="AC587" t="str">
        <f>IF([2]Baskol!$N$590="","",[2]Baskol!$N$590)</f>
        <v/>
      </c>
      <c r="AD587" t="str">
        <f>IF([2]Baskol!$O$590="","",[2]Baskol!$O$590)</f>
        <v/>
      </c>
      <c r="AE587" t="str">
        <f>IF([3]Entry!$C$590="","",[3]Entry!$C$590)</f>
        <v/>
      </c>
      <c r="AF587" t="str">
        <f>IF([3]Entry!$D$590="","",[3]Entry!$D$590)</f>
        <v/>
      </c>
      <c r="AG587" t="str">
        <f>IF([3]Entry!$E$590="","",[3]Entry!$E$590)</f>
        <v/>
      </c>
      <c r="AH587" t="str">
        <f>IF([3]Entry!$G$590="","",[3]Entry!$G$590)</f>
        <v/>
      </c>
      <c r="AI587" t="str">
        <f>IF([3]Entry!$K$590="","",[3]Entry!$K$590)</f>
        <v/>
      </c>
      <c r="AJ587" t="str">
        <f>IF([3]Entry!$L$590="","",[3]Entry!$L$590)</f>
        <v/>
      </c>
      <c r="AK587" t="str">
        <f>IF([3]Entry!$M$590="","",[3]Entry!$M$590)</f>
        <v/>
      </c>
      <c r="AL587" t="str">
        <f>IF([3]Entry!$N$590="","",[3]Entry!$N$590)</f>
        <v/>
      </c>
      <c r="AM587" t="str">
        <f>IF([3]Entry!$R$590="","",[3]Entry!$R$590)</f>
        <v/>
      </c>
    </row>
    <row r="588" spans="20:39" x14ac:dyDescent="0.2">
      <c r="T588" t="str">
        <f>IF([2]Baskol!$B$591="","",[2]Baskol!$B$591)</f>
        <v/>
      </c>
      <c r="U588" t="str">
        <f>IF([2]Baskol!$C$591="","",[2]Baskol!$C$591)</f>
        <v/>
      </c>
      <c r="V588" t="str">
        <f>IF([2]Baskol!$D$591="","",[2]Baskol!$D$591)</f>
        <v/>
      </c>
      <c r="W588" t="str">
        <f>IF([2]Baskol!$E$591="","",[2]Baskol!$E$591)</f>
        <v/>
      </c>
      <c r="X588" t="str">
        <f>IF([2]Baskol!$G$591="","",[2]Baskol!$G$591)</f>
        <v/>
      </c>
      <c r="Y588" t="str">
        <f>IF([2]Baskol!$I$591="","",[2]Baskol!$I$591)</f>
        <v/>
      </c>
      <c r="Z588" t="str">
        <f>IF([2]Baskol!$J$591="","",[2]Baskol!$J$591)</f>
        <v/>
      </c>
      <c r="AA588" t="str">
        <f>IF([2]Baskol!$K$591="","",[2]Baskol!$K$591)</f>
        <v/>
      </c>
      <c r="AB588" t="str">
        <f>IF([2]Baskol!$L$591="","",[2]Baskol!$L$591)</f>
        <v/>
      </c>
      <c r="AC588" t="str">
        <f>IF([2]Baskol!$N$591="","",[2]Baskol!$N$591)</f>
        <v/>
      </c>
      <c r="AD588" t="str">
        <f>IF([2]Baskol!$O$591="","",[2]Baskol!$O$591)</f>
        <v/>
      </c>
      <c r="AE588" t="str">
        <f>IF([3]Entry!$C$591="","",[3]Entry!$C$591)</f>
        <v/>
      </c>
      <c r="AF588" t="str">
        <f>IF([3]Entry!$D$591="","",[3]Entry!$D$591)</f>
        <v/>
      </c>
      <c r="AG588" t="str">
        <f>IF([3]Entry!$E$591="","",[3]Entry!$E$591)</f>
        <v/>
      </c>
      <c r="AH588" t="str">
        <f>IF([3]Entry!$G$591="","",[3]Entry!$G$591)</f>
        <v/>
      </c>
      <c r="AI588" t="str">
        <f>IF([3]Entry!$K$591="","",[3]Entry!$K$591)</f>
        <v/>
      </c>
      <c r="AJ588" t="str">
        <f>IF([3]Entry!$L$591="","",[3]Entry!$L$591)</f>
        <v/>
      </c>
      <c r="AK588" t="str">
        <f>IF([3]Entry!$M$591="","",[3]Entry!$M$591)</f>
        <v/>
      </c>
      <c r="AL588" t="str">
        <f>IF([3]Entry!$N$591="","",[3]Entry!$N$591)</f>
        <v/>
      </c>
      <c r="AM588" t="str">
        <f>IF([3]Entry!$R$591="","",[3]Entry!$R$591)</f>
        <v/>
      </c>
    </row>
    <row r="589" spans="20:39" x14ac:dyDescent="0.2">
      <c r="T589" t="str">
        <f>IF([2]Baskol!$B$592="","",[2]Baskol!$B$592)</f>
        <v/>
      </c>
      <c r="U589" t="str">
        <f>IF([2]Baskol!$C$592="","",[2]Baskol!$C$592)</f>
        <v/>
      </c>
      <c r="V589" t="str">
        <f>IF([2]Baskol!$D$592="","",[2]Baskol!$D$592)</f>
        <v/>
      </c>
      <c r="W589" t="str">
        <f>IF([2]Baskol!$E$592="","",[2]Baskol!$E$592)</f>
        <v/>
      </c>
      <c r="X589" t="str">
        <f>IF([2]Baskol!$G$592="","",[2]Baskol!$G$592)</f>
        <v/>
      </c>
      <c r="Y589" t="str">
        <f>IF([2]Baskol!$I$592="","",[2]Baskol!$I$592)</f>
        <v/>
      </c>
      <c r="Z589" t="str">
        <f>IF([2]Baskol!$J$592="","",[2]Baskol!$J$592)</f>
        <v/>
      </c>
      <c r="AA589" t="str">
        <f>IF([2]Baskol!$K$592="","",[2]Baskol!$K$592)</f>
        <v/>
      </c>
      <c r="AB589" t="str">
        <f>IF([2]Baskol!$L$592="","",[2]Baskol!$L$592)</f>
        <v/>
      </c>
      <c r="AC589" t="str">
        <f>IF([2]Baskol!$N$592="","",[2]Baskol!$N$592)</f>
        <v/>
      </c>
      <c r="AD589" t="str">
        <f>IF([2]Baskol!$O$592="","",[2]Baskol!$O$592)</f>
        <v/>
      </c>
      <c r="AE589" t="str">
        <f>IF([3]Entry!$C$592="","",[3]Entry!$C$592)</f>
        <v/>
      </c>
      <c r="AF589" t="str">
        <f>IF([3]Entry!$D$592="","",[3]Entry!$D$592)</f>
        <v/>
      </c>
      <c r="AG589" t="str">
        <f>IF([3]Entry!$E$592="","",[3]Entry!$E$592)</f>
        <v/>
      </c>
      <c r="AH589" t="str">
        <f>IF([3]Entry!$G$592="","",[3]Entry!$G$592)</f>
        <v/>
      </c>
      <c r="AI589" t="str">
        <f>IF([3]Entry!$K$592="","",[3]Entry!$K$592)</f>
        <v/>
      </c>
      <c r="AJ589" t="str">
        <f>IF([3]Entry!$L$592="","",[3]Entry!$L$592)</f>
        <v/>
      </c>
      <c r="AK589" t="str">
        <f>IF([3]Entry!$M$592="","",[3]Entry!$M$592)</f>
        <v/>
      </c>
      <c r="AL589" t="str">
        <f>IF([3]Entry!$N$592="","",[3]Entry!$N$592)</f>
        <v/>
      </c>
      <c r="AM589" t="str">
        <f>IF([3]Entry!$R$592="","",[3]Entry!$R$592)</f>
        <v/>
      </c>
    </row>
    <row r="590" spans="20:39" x14ac:dyDescent="0.2">
      <c r="T590" t="str">
        <f>IF([2]Baskol!$B$593="","",[2]Baskol!$B$593)</f>
        <v/>
      </c>
      <c r="U590" t="str">
        <f>IF([2]Baskol!$C$593="","",[2]Baskol!$C$593)</f>
        <v/>
      </c>
      <c r="V590" t="str">
        <f>IF([2]Baskol!$D$593="","",[2]Baskol!$D$593)</f>
        <v/>
      </c>
      <c r="W590" t="str">
        <f>IF([2]Baskol!$E$593="","",[2]Baskol!$E$593)</f>
        <v/>
      </c>
      <c r="X590" t="str">
        <f>IF([2]Baskol!$G$593="","",[2]Baskol!$G$593)</f>
        <v/>
      </c>
      <c r="Y590" t="str">
        <f>IF([2]Baskol!$I$593="","",[2]Baskol!$I$593)</f>
        <v/>
      </c>
      <c r="Z590" t="str">
        <f>IF([2]Baskol!$J$593="","",[2]Baskol!$J$593)</f>
        <v/>
      </c>
      <c r="AA590" t="str">
        <f>IF([2]Baskol!$K$593="","",[2]Baskol!$K$593)</f>
        <v/>
      </c>
      <c r="AB590" t="str">
        <f>IF([2]Baskol!$L$593="","",[2]Baskol!$L$593)</f>
        <v/>
      </c>
      <c r="AC590" t="str">
        <f>IF([2]Baskol!$N$593="","",[2]Baskol!$N$593)</f>
        <v/>
      </c>
      <c r="AD590" t="str">
        <f>IF([2]Baskol!$O$593="","",[2]Baskol!$O$593)</f>
        <v/>
      </c>
      <c r="AE590" t="str">
        <f>IF([3]Entry!$C$593="","",[3]Entry!$C$593)</f>
        <v/>
      </c>
      <c r="AF590" t="str">
        <f>IF([3]Entry!$D$593="","",[3]Entry!$D$593)</f>
        <v/>
      </c>
      <c r="AG590" t="str">
        <f>IF([3]Entry!$E$593="","",[3]Entry!$E$593)</f>
        <v/>
      </c>
      <c r="AH590" t="str">
        <f>IF([3]Entry!$G$593="","",[3]Entry!$G$593)</f>
        <v/>
      </c>
      <c r="AI590" t="str">
        <f>IF([3]Entry!$K$593="","",[3]Entry!$K$593)</f>
        <v/>
      </c>
      <c r="AJ590" t="str">
        <f>IF([3]Entry!$L$593="","",[3]Entry!$L$593)</f>
        <v/>
      </c>
      <c r="AK590" t="str">
        <f>IF([3]Entry!$M$593="","",[3]Entry!$M$593)</f>
        <v/>
      </c>
      <c r="AL590" t="str">
        <f>IF([3]Entry!$N$593="","",[3]Entry!$N$593)</f>
        <v/>
      </c>
      <c r="AM590" t="str">
        <f>IF([3]Entry!$R$593="","",[3]Entry!$R$593)</f>
        <v/>
      </c>
    </row>
    <row r="591" spans="20:39" x14ac:dyDescent="0.2">
      <c r="T591" t="str">
        <f>IF([2]Baskol!$B$594="","",[2]Baskol!$B$594)</f>
        <v/>
      </c>
      <c r="U591" t="str">
        <f>IF([2]Baskol!$C$594="","",[2]Baskol!$C$594)</f>
        <v/>
      </c>
      <c r="V591" t="str">
        <f>IF([2]Baskol!$D$594="","",[2]Baskol!$D$594)</f>
        <v/>
      </c>
      <c r="W591" t="str">
        <f>IF([2]Baskol!$E$594="","",[2]Baskol!$E$594)</f>
        <v/>
      </c>
      <c r="X591" t="str">
        <f>IF([2]Baskol!$G$594="","",[2]Baskol!$G$594)</f>
        <v/>
      </c>
      <c r="Y591" t="str">
        <f>IF([2]Baskol!$I$594="","",[2]Baskol!$I$594)</f>
        <v/>
      </c>
      <c r="Z591" t="str">
        <f>IF([2]Baskol!$J$594="","",[2]Baskol!$J$594)</f>
        <v/>
      </c>
      <c r="AA591" t="str">
        <f>IF([2]Baskol!$K$594="","",[2]Baskol!$K$594)</f>
        <v/>
      </c>
      <c r="AB591" t="str">
        <f>IF([2]Baskol!$L$594="","",[2]Baskol!$L$594)</f>
        <v/>
      </c>
      <c r="AC591" t="str">
        <f>IF([2]Baskol!$N$594="","",[2]Baskol!$N$594)</f>
        <v/>
      </c>
      <c r="AD591" t="str">
        <f>IF([2]Baskol!$O$594="","",[2]Baskol!$O$594)</f>
        <v/>
      </c>
      <c r="AE591" t="str">
        <f>IF([3]Entry!$C$594="","",[3]Entry!$C$594)</f>
        <v/>
      </c>
      <c r="AF591" t="str">
        <f>IF([3]Entry!$D$594="","",[3]Entry!$D$594)</f>
        <v/>
      </c>
      <c r="AG591" t="str">
        <f>IF([3]Entry!$E$594="","",[3]Entry!$E$594)</f>
        <v/>
      </c>
      <c r="AH591" t="str">
        <f>IF([3]Entry!$G$594="","",[3]Entry!$G$594)</f>
        <v/>
      </c>
      <c r="AI591" t="str">
        <f>IF([3]Entry!$K$594="","",[3]Entry!$K$594)</f>
        <v/>
      </c>
      <c r="AJ591" t="str">
        <f>IF([3]Entry!$L$594="","",[3]Entry!$L$594)</f>
        <v/>
      </c>
      <c r="AK591" t="str">
        <f>IF([3]Entry!$M$594="","",[3]Entry!$M$594)</f>
        <v/>
      </c>
      <c r="AL591" t="str">
        <f>IF([3]Entry!$N$594="","",[3]Entry!$N$594)</f>
        <v/>
      </c>
      <c r="AM591" t="str">
        <f>IF([3]Entry!$R$594="","",[3]Entry!$R$594)</f>
        <v/>
      </c>
    </row>
    <row r="592" spans="20:39" x14ac:dyDescent="0.2">
      <c r="T592" t="str">
        <f>IF([2]Baskol!$B$595="","",[2]Baskol!$B$595)</f>
        <v/>
      </c>
      <c r="U592" t="str">
        <f>IF([2]Baskol!$C$595="","",[2]Baskol!$C$595)</f>
        <v/>
      </c>
      <c r="V592" t="str">
        <f>IF([2]Baskol!$D$595="","",[2]Baskol!$D$595)</f>
        <v/>
      </c>
      <c r="W592" t="str">
        <f>IF([2]Baskol!$E$595="","",[2]Baskol!$E$595)</f>
        <v/>
      </c>
      <c r="X592" t="str">
        <f>IF([2]Baskol!$G$595="","",[2]Baskol!$G$595)</f>
        <v/>
      </c>
      <c r="Y592" t="str">
        <f>IF([2]Baskol!$I$595="","",[2]Baskol!$I$595)</f>
        <v/>
      </c>
      <c r="Z592" t="str">
        <f>IF([2]Baskol!$J$595="","",[2]Baskol!$J$595)</f>
        <v/>
      </c>
      <c r="AA592" t="str">
        <f>IF([2]Baskol!$K$595="","",[2]Baskol!$K$595)</f>
        <v/>
      </c>
      <c r="AB592" t="str">
        <f>IF([2]Baskol!$L$595="","",[2]Baskol!$L$595)</f>
        <v/>
      </c>
      <c r="AC592" t="str">
        <f>IF([2]Baskol!$N$595="","",[2]Baskol!$N$595)</f>
        <v/>
      </c>
      <c r="AD592" t="str">
        <f>IF([2]Baskol!$O$595="","",[2]Baskol!$O$595)</f>
        <v/>
      </c>
      <c r="AE592" t="str">
        <f>IF([3]Entry!$C$595="","",[3]Entry!$C$595)</f>
        <v/>
      </c>
      <c r="AF592" t="str">
        <f>IF([3]Entry!$D$595="","",[3]Entry!$D$595)</f>
        <v/>
      </c>
      <c r="AG592" t="str">
        <f>IF([3]Entry!$E$595="","",[3]Entry!$E$595)</f>
        <v/>
      </c>
      <c r="AH592" t="str">
        <f>IF([3]Entry!$G$595="","",[3]Entry!$G$595)</f>
        <v/>
      </c>
      <c r="AI592" t="str">
        <f>IF([3]Entry!$K$595="","",[3]Entry!$K$595)</f>
        <v/>
      </c>
      <c r="AJ592" t="str">
        <f>IF([3]Entry!$L$595="","",[3]Entry!$L$595)</f>
        <v/>
      </c>
      <c r="AK592" t="str">
        <f>IF([3]Entry!$M$595="","",[3]Entry!$M$595)</f>
        <v/>
      </c>
      <c r="AL592" t="str">
        <f>IF([3]Entry!$N$595="","",[3]Entry!$N$595)</f>
        <v/>
      </c>
      <c r="AM592" t="str">
        <f>IF([3]Entry!$R$595="","",[3]Entry!$R$595)</f>
        <v/>
      </c>
    </row>
    <row r="593" spans="20:39" x14ac:dyDescent="0.2">
      <c r="T593" t="str">
        <f>IF([2]Baskol!$B$596="","",[2]Baskol!$B$596)</f>
        <v/>
      </c>
      <c r="U593" t="str">
        <f>IF([2]Baskol!$C$596="","",[2]Baskol!$C$596)</f>
        <v/>
      </c>
      <c r="V593" t="str">
        <f>IF([2]Baskol!$D$596="","",[2]Baskol!$D$596)</f>
        <v/>
      </c>
      <c r="W593" t="str">
        <f>IF([2]Baskol!$E$596="","",[2]Baskol!$E$596)</f>
        <v/>
      </c>
      <c r="X593" t="str">
        <f>IF([2]Baskol!$G$596="","",[2]Baskol!$G$596)</f>
        <v/>
      </c>
      <c r="Y593" t="str">
        <f>IF([2]Baskol!$I$596="","",[2]Baskol!$I$596)</f>
        <v/>
      </c>
      <c r="Z593" t="str">
        <f>IF([2]Baskol!$J$596="","",[2]Baskol!$J$596)</f>
        <v/>
      </c>
      <c r="AA593" t="str">
        <f>IF([2]Baskol!$K$596="","",[2]Baskol!$K$596)</f>
        <v/>
      </c>
      <c r="AB593" t="str">
        <f>IF([2]Baskol!$L$596="","",[2]Baskol!$L$596)</f>
        <v/>
      </c>
      <c r="AC593" t="str">
        <f>IF([2]Baskol!$N$596="","",[2]Baskol!$N$596)</f>
        <v/>
      </c>
      <c r="AD593" t="str">
        <f>IF([2]Baskol!$O$596="","",[2]Baskol!$O$596)</f>
        <v/>
      </c>
      <c r="AE593" t="str">
        <f>IF([3]Entry!$C$596="","",[3]Entry!$C$596)</f>
        <v/>
      </c>
      <c r="AF593" t="str">
        <f>IF([3]Entry!$D$596="","",[3]Entry!$D$596)</f>
        <v/>
      </c>
      <c r="AG593" t="str">
        <f>IF([3]Entry!$E$596="","",[3]Entry!$E$596)</f>
        <v/>
      </c>
      <c r="AH593" t="str">
        <f>IF([3]Entry!$G$596="","",[3]Entry!$G$596)</f>
        <v/>
      </c>
      <c r="AI593" t="str">
        <f>IF([3]Entry!$K$596="","",[3]Entry!$K$596)</f>
        <v/>
      </c>
      <c r="AJ593" t="str">
        <f>IF([3]Entry!$L$596="","",[3]Entry!$L$596)</f>
        <v/>
      </c>
      <c r="AK593" t="str">
        <f>IF([3]Entry!$M$596="","",[3]Entry!$M$596)</f>
        <v/>
      </c>
      <c r="AL593" t="str">
        <f>IF([3]Entry!$N$596="","",[3]Entry!$N$596)</f>
        <v/>
      </c>
      <c r="AM593" t="str">
        <f>IF([3]Entry!$R$596="","",[3]Entry!$R$596)</f>
        <v/>
      </c>
    </row>
    <row r="594" spans="20:39" x14ac:dyDescent="0.2">
      <c r="T594" t="str">
        <f>IF([2]Baskol!$B$597="","",[2]Baskol!$B$597)</f>
        <v/>
      </c>
      <c r="U594" t="str">
        <f>IF([2]Baskol!$C$597="","",[2]Baskol!$C$597)</f>
        <v/>
      </c>
      <c r="V594" t="str">
        <f>IF([2]Baskol!$D$597="","",[2]Baskol!$D$597)</f>
        <v/>
      </c>
      <c r="W594" t="str">
        <f>IF([2]Baskol!$E$597="","",[2]Baskol!$E$597)</f>
        <v/>
      </c>
      <c r="X594" t="str">
        <f>IF([2]Baskol!$G$597="","",[2]Baskol!$G$597)</f>
        <v/>
      </c>
      <c r="Y594" t="str">
        <f>IF([2]Baskol!$I$597="","",[2]Baskol!$I$597)</f>
        <v/>
      </c>
      <c r="Z594" t="str">
        <f>IF([2]Baskol!$J$597="","",[2]Baskol!$J$597)</f>
        <v/>
      </c>
      <c r="AA594" t="str">
        <f>IF([2]Baskol!$K$597="","",[2]Baskol!$K$597)</f>
        <v/>
      </c>
      <c r="AB594" t="str">
        <f>IF([2]Baskol!$L$597="","",[2]Baskol!$L$597)</f>
        <v/>
      </c>
      <c r="AC594" t="str">
        <f>IF([2]Baskol!$N$597="","",[2]Baskol!$N$597)</f>
        <v/>
      </c>
      <c r="AD594" t="str">
        <f>IF([2]Baskol!$O$597="","",[2]Baskol!$O$597)</f>
        <v/>
      </c>
      <c r="AE594" t="str">
        <f>IF([3]Entry!$C$597="","",[3]Entry!$C$597)</f>
        <v/>
      </c>
      <c r="AF594" t="str">
        <f>IF([3]Entry!$D$597="","",[3]Entry!$D$597)</f>
        <v/>
      </c>
      <c r="AG594" t="str">
        <f>IF([3]Entry!$E$597="","",[3]Entry!$E$597)</f>
        <v/>
      </c>
      <c r="AH594" t="str">
        <f>IF([3]Entry!$G$597="","",[3]Entry!$G$597)</f>
        <v/>
      </c>
      <c r="AI594" t="str">
        <f>IF([3]Entry!$K$597="","",[3]Entry!$K$597)</f>
        <v/>
      </c>
      <c r="AJ594" t="str">
        <f>IF([3]Entry!$L$597="","",[3]Entry!$L$597)</f>
        <v/>
      </c>
      <c r="AK594" t="str">
        <f>IF([3]Entry!$M$597="","",[3]Entry!$M$597)</f>
        <v/>
      </c>
      <c r="AL594" t="str">
        <f>IF([3]Entry!$N$597="","",[3]Entry!$N$597)</f>
        <v/>
      </c>
      <c r="AM594" t="str">
        <f>IF([3]Entry!$R$597="","",[3]Entry!$R$597)</f>
        <v/>
      </c>
    </row>
    <row r="595" spans="20:39" x14ac:dyDescent="0.2">
      <c r="T595" t="str">
        <f>IF([2]Baskol!$B$598="","",[2]Baskol!$B$598)</f>
        <v/>
      </c>
      <c r="U595" t="str">
        <f>IF([2]Baskol!$C$598="","",[2]Baskol!$C$598)</f>
        <v/>
      </c>
      <c r="V595" t="str">
        <f>IF([2]Baskol!$D$598="","",[2]Baskol!$D$598)</f>
        <v/>
      </c>
      <c r="W595" t="str">
        <f>IF([2]Baskol!$E$598="","",[2]Baskol!$E$598)</f>
        <v/>
      </c>
      <c r="X595" t="str">
        <f>IF([2]Baskol!$G$598="","",[2]Baskol!$G$598)</f>
        <v/>
      </c>
      <c r="Y595" t="str">
        <f>IF([2]Baskol!$I$598="","",[2]Baskol!$I$598)</f>
        <v/>
      </c>
      <c r="Z595" t="str">
        <f>IF([2]Baskol!$J$598="","",[2]Baskol!$J$598)</f>
        <v/>
      </c>
      <c r="AA595" t="str">
        <f>IF([2]Baskol!$K$598="","",[2]Baskol!$K$598)</f>
        <v/>
      </c>
      <c r="AB595" t="str">
        <f>IF([2]Baskol!$L$598="","",[2]Baskol!$L$598)</f>
        <v/>
      </c>
      <c r="AC595" t="str">
        <f>IF([2]Baskol!$N$598="","",[2]Baskol!$N$598)</f>
        <v/>
      </c>
      <c r="AD595" t="str">
        <f>IF([2]Baskol!$O$598="","",[2]Baskol!$O$598)</f>
        <v/>
      </c>
      <c r="AE595" t="str">
        <f>IF([3]Entry!$C$598="","",[3]Entry!$C$598)</f>
        <v/>
      </c>
      <c r="AF595" t="str">
        <f>IF([3]Entry!$D$598="","",[3]Entry!$D$598)</f>
        <v/>
      </c>
      <c r="AG595" t="str">
        <f>IF([3]Entry!$E$598="","",[3]Entry!$E$598)</f>
        <v/>
      </c>
      <c r="AH595" t="str">
        <f>IF([3]Entry!$G$598="","",[3]Entry!$G$598)</f>
        <v/>
      </c>
      <c r="AI595" t="str">
        <f>IF([3]Entry!$K$598="","",[3]Entry!$K$598)</f>
        <v/>
      </c>
      <c r="AJ595" t="str">
        <f>IF([3]Entry!$L$598="","",[3]Entry!$L$598)</f>
        <v/>
      </c>
      <c r="AK595" t="str">
        <f>IF([3]Entry!$M$598="","",[3]Entry!$M$598)</f>
        <v/>
      </c>
      <c r="AL595" t="str">
        <f>IF([3]Entry!$N$598="","",[3]Entry!$N$598)</f>
        <v/>
      </c>
      <c r="AM595" t="str">
        <f>IF([3]Entry!$R$598="","",[3]Entry!$R$598)</f>
        <v/>
      </c>
    </row>
    <row r="596" spans="20:39" x14ac:dyDescent="0.2">
      <c r="T596" t="str">
        <f>IF([2]Baskol!$B$599="","",[2]Baskol!$B$599)</f>
        <v/>
      </c>
      <c r="U596" t="str">
        <f>IF([2]Baskol!$C$599="","",[2]Baskol!$C$599)</f>
        <v/>
      </c>
      <c r="V596" t="str">
        <f>IF([2]Baskol!$D$599="","",[2]Baskol!$D$599)</f>
        <v/>
      </c>
      <c r="W596" t="str">
        <f>IF([2]Baskol!$E$599="","",[2]Baskol!$E$599)</f>
        <v/>
      </c>
      <c r="X596" t="str">
        <f>IF([2]Baskol!$G$599="","",[2]Baskol!$G$599)</f>
        <v/>
      </c>
      <c r="Y596" t="str">
        <f>IF([2]Baskol!$I$599="","",[2]Baskol!$I$599)</f>
        <v/>
      </c>
      <c r="Z596" t="str">
        <f>IF([2]Baskol!$J$599="","",[2]Baskol!$J$599)</f>
        <v/>
      </c>
      <c r="AA596" t="str">
        <f>IF([2]Baskol!$K$599="","",[2]Baskol!$K$599)</f>
        <v/>
      </c>
      <c r="AB596" t="str">
        <f>IF([2]Baskol!$L$599="","",[2]Baskol!$L$599)</f>
        <v/>
      </c>
      <c r="AC596" t="str">
        <f>IF([2]Baskol!$N$599="","",[2]Baskol!$N$599)</f>
        <v/>
      </c>
      <c r="AD596" t="str">
        <f>IF([2]Baskol!$O$599="","",[2]Baskol!$O$599)</f>
        <v/>
      </c>
      <c r="AE596" t="str">
        <f>IF([3]Entry!$C$599="","",[3]Entry!$C$599)</f>
        <v/>
      </c>
      <c r="AF596" t="str">
        <f>IF([3]Entry!$D$599="","",[3]Entry!$D$599)</f>
        <v/>
      </c>
      <c r="AG596" t="str">
        <f>IF([3]Entry!$E$599="","",[3]Entry!$E$599)</f>
        <v/>
      </c>
      <c r="AH596" t="str">
        <f>IF([3]Entry!$G$599="","",[3]Entry!$G$599)</f>
        <v/>
      </c>
      <c r="AI596" t="str">
        <f>IF([3]Entry!$K$599="","",[3]Entry!$K$599)</f>
        <v/>
      </c>
      <c r="AJ596" t="str">
        <f>IF([3]Entry!$L$599="","",[3]Entry!$L$599)</f>
        <v/>
      </c>
      <c r="AK596" t="str">
        <f>IF([3]Entry!$M$599="","",[3]Entry!$M$599)</f>
        <v/>
      </c>
      <c r="AL596" t="str">
        <f>IF([3]Entry!$N$599="","",[3]Entry!$N$599)</f>
        <v/>
      </c>
      <c r="AM596" t="str">
        <f>IF([3]Entry!$R$599="","",[3]Entry!$R$599)</f>
        <v/>
      </c>
    </row>
    <row r="597" spans="20:39" x14ac:dyDescent="0.2">
      <c r="T597" t="str">
        <f>IF([2]Baskol!$B$600="","",[2]Baskol!$B$600)</f>
        <v/>
      </c>
      <c r="U597" t="str">
        <f>IF([2]Baskol!$C$600="","",[2]Baskol!$C$600)</f>
        <v/>
      </c>
      <c r="V597" t="str">
        <f>IF([2]Baskol!$D$600="","",[2]Baskol!$D$600)</f>
        <v/>
      </c>
      <c r="W597" t="str">
        <f>IF([2]Baskol!$E$600="","",[2]Baskol!$E$600)</f>
        <v/>
      </c>
      <c r="X597" t="str">
        <f>IF([2]Baskol!$G$600="","",[2]Baskol!$G$600)</f>
        <v/>
      </c>
      <c r="Y597" t="str">
        <f>IF([2]Baskol!$I$600="","",[2]Baskol!$I$600)</f>
        <v/>
      </c>
      <c r="Z597" t="str">
        <f>IF([2]Baskol!$J$600="","",[2]Baskol!$J$600)</f>
        <v/>
      </c>
      <c r="AA597" t="str">
        <f>IF([2]Baskol!$K$600="","",[2]Baskol!$K$600)</f>
        <v/>
      </c>
      <c r="AB597" t="str">
        <f>IF([2]Baskol!$L$600="","",[2]Baskol!$L$600)</f>
        <v/>
      </c>
      <c r="AC597" t="str">
        <f>IF([2]Baskol!$N$600="","",[2]Baskol!$N$600)</f>
        <v/>
      </c>
      <c r="AD597" t="str">
        <f>IF([2]Baskol!$O$600="","",[2]Baskol!$O$600)</f>
        <v/>
      </c>
      <c r="AE597" t="str">
        <f>IF([3]Entry!$C$600="","",[3]Entry!$C$600)</f>
        <v/>
      </c>
      <c r="AF597" t="str">
        <f>IF([3]Entry!$D$600="","",[3]Entry!$D$600)</f>
        <v/>
      </c>
      <c r="AG597" t="str">
        <f>IF([3]Entry!$E$600="","",[3]Entry!$E$600)</f>
        <v/>
      </c>
      <c r="AH597" t="str">
        <f>IF([3]Entry!$G$600="","",[3]Entry!$G$600)</f>
        <v/>
      </c>
      <c r="AI597" t="str">
        <f>IF([3]Entry!$K$600="","",[3]Entry!$K$600)</f>
        <v/>
      </c>
      <c r="AJ597" t="str">
        <f>IF([3]Entry!$L$600="","",[3]Entry!$L$600)</f>
        <v/>
      </c>
      <c r="AK597" t="str">
        <f>IF([3]Entry!$M$600="","",[3]Entry!$M$600)</f>
        <v/>
      </c>
      <c r="AL597" t="str">
        <f>IF([3]Entry!$N$600="","",[3]Entry!$N$600)</f>
        <v/>
      </c>
      <c r="AM597" t="str">
        <f>IF([3]Entry!$R$600="","",[3]Entry!$R$600)</f>
        <v/>
      </c>
    </row>
    <row r="598" spans="20:39" x14ac:dyDescent="0.2">
      <c r="T598" t="str">
        <f>IF([2]Baskol!$B$601="","",[2]Baskol!$B$601)</f>
        <v/>
      </c>
      <c r="U598" t="str">
        <f>IF([2]Baskol!$C$601="","",[2]Baskol!$C$601)</f>
        <v/>
      </c>
      <c r="V598" t="str">
        <f>IF([2]Baskol!$D$601="","",[2]Baskol!$D$601)</f>
        <v/>
      </c>
      <c r="W598" t="str">
        <f>IF([2]Baskol!$E$601="","",[2]Baskol!$E$601)</f>
        <v/>
      </c>
      <c r="X598" t="str">
        <f>IF([2]Baskol!$G$601="","",[2]Baskol!$G$601)</f>
        <v/>
      </c>
      <c r="Y598" t="str">
        <f>IF([2]Baskol!$I$601="","",[2]Baskol!$I$601)</f>
        <v/>
      </c>
      <c r="Z598" t="str">
        <f>IF([2]Baskol!$J$601="","",[2]Baskol!$J$601)</f>
        <v/>
      </c>
      <c r="AA598" t="str">
        <f>IF([2]Baskol!$K$601="","",[2]Baskol!$K$601)</f>
        <v/>
      </c>
      <c r="AB598" t="str">
        <f>IF([2]Baskol!$L$601="","",[2]Baskol!$L$601)</f>
        <v/>
      </c>
      <c r="AC598" t="str">
        <f>IF([2]Baskol!$N$601="","",[2]Baskol!$N$601)</f>
        <v/>
      </c>
      <c r="AD598" t="str">
        <f>IF([2]Baskol!$O$601="","",[2]Baskol!$O$601)</f>
        <v/>
      </c>
      <c r="AE598" t="str">
        <f>IF([3]Entry!$C$601="","",[3]Entry!$C$601)</f>
        <v/>
      </c>
      <c r="AF598" t="str">
        <f>IF([3]Entry!$D$601="","",[3]Entry!$D$601)</f>
        <v/>
      </c>
      <c r="AG598" t="str">
        <f>IF([3]Entry!$E$601="","",[3]Entry!$E$601)</f>
        <v/>
      </c>
      <c r="AH598" t="str">
        <f>IF([3]Entry!$G$601="","",[3]Entry!$G$601)</f>
        <v/>
      </c>
      <c r="AI598" t="str">
        <f>IF([3]Entry!$K$601="","",[3]Entry!$K$601)</f>
        <v/>
      </c>
      <c r="AJ598" t="str">
        <f>IF([3]Entry!$L$601="","",[3]Entry!$L$601)</f>
        <v/>
      </c>
      <c r="AK598" t="str">
        <f>IF([3]Entry!$M$601="","",[3]Entry!$M$601)</f>
        <v/>
      </c>
      <c r="AL598" t="str">
        <f>IF([3]Entry!$N$601="","",[3]Entry!$N$601)</f>
        <v/>
      </c>
      <c r="AM598" t="str">
        <f>IF([3]Entry!$R$601="","",[3]Entry!$R$601)</f>
        <v/>
      </c>
    </row>
    <row r="599" spans="20:39" x14ac:dyDescent="0.2">
      <c r="T599" t="str">
        <f>IF([2]Baskol!$B$602="","",[2]Baskol!$B$602)</f>
        <v/>
      </c>
      <c r="U599" t="str">
        <f>IF([2]Baskol!$C$602="","",[2]Baskol!$C$602)</f>
        <v/>
      </c>
      <c r="V599" t="str">
        <f>IF([2]Baskol!$D$602="","",[2]Baskol!$D$602)</f>
        <v/>
      </c>
      <c r="W599" t="str">
        <f>IF([2]Baskol!$E$602="","",[2]Baskol!$E$602)</f>
        <v/>
      </c>
      <c r="X599" t="str">
        <f>IF([2]Baskol!$G$602="","",[2]Baskol!$G$602)</f>
        <v/>
      </c>
      <c r="Y599" t="str">
        <f>IF([2]Baskol!$I$602="","",[2]Baskol!$I$602)</f>
        <v/>
      </c>
      <c r="Z599" t="str">
        <f>IF([2]Baskol!$J$602="","",[2]Baskol!$J$602)</f>
        <v/>
      </c>
      <c r="AA599" t="str">
        <f>IF([2]Baskol!$K$602="","",[2]Baskol!$K$602)</f>
        <v/>
      </c>
      <c r="AB599" t="str">
        <f>IF([2]Baskol!$L$602="","",[2]Baskol!$L$602)</f>
        <v/>
      </c>
      <c r="AC599" t="str">
        <f>IF([2]Baskol!$N$602="","",[2]Baskol!$N$602)</f>
        <v/>
      </c>
      <c r="AD599" t="str">
        <f>IF([2]Baskol!$O$602="","",[2]Baskol!$O$602)</f>
        <v/>
      </c>
      <c r="AE599" t="str">
        <f>IF([3]Entry!$C$602="","",[3]Entry!$C$602)</f>
        <v/>
      </c>
      <c r="AF599" t="str">
        <f>IF([3]Entry!$D$602="","",[3]Entry!$D$602)</f>
        <v/>
      </c>
      <c r="AG599" t="str">
        <f>IF([3]Entry!$E$602="","",[3]Entry!$E$602)</f>
        <v/>
      </c>
      <c r="AH599" t="str">
        <f>IF([3]Entry!$G$602="","",[3]Entry!$G$602)</f>
        <v/>
      </c>
      <c r="AI599" t="str">
        <f>IF([3]Entry!$K$602="","",[3]Entry!$K$602)</f>
        <v/>
      </c>
      <c r="AJ599" t="str">
        <f>IF([3]Entry!$L$602="","",[3]Entry!$L$602)</f>
        <v/>
      </c>
      <c r="AK599" t="str">
        <f>IF([3]Entry!$M$602="","",[3]Entry!$M$602)</f>
        <v/>
      </c>
      <c r="AL599" t="str">
        <f>IF([3]Entry!$N$602="","",[3]Entry!$N$602)</f>
        <v/>
      </c>
      <c r="AM599" t="str">
        <f>IF([3]Entry!$R$602="","",[3]Entry!$R$602)</f>
        <v/>
      </c>
    </row>
    <row r="600" spans="20:39" x14ac:dyDescent="0.2">
      <c r="T600" t="str">
        <f>IF([2]Baskol!$B$603="","",[2]Baskol!$B$603)</f>
        <v/>
      </c>
      <c r="U600" t="str">
        <f>IF([2]Baskol!$C$603="","",[2]Baskol!$C$603)</f>
        <v/>
      </c>
      <c r="V600" t="str">
        <f>IF([2]Baskol!$D$603="","",[2]Baskol!$D$603)</f>
        <v/>
      </c>
      <c r="W600" t="str">
        <f>IF([2]Baskol!$E$603="","",[2]Baskol!$E$603)</f>
        <v/>
      </c>
      <c r="X600" t="str">
        <f>IF([2]Baskol!$G$603="","",[2]Baskol!$G$603)</f>
        <v/>
      </c>
      <c r="Y600" t="str">
        <f>IF([2]Baskol!$I$603="","",[2]Baskol!$I$603)</f>
        <v/>
      </c>
      <c r="Z600" t="str">
        <f>IF([2]Baskol!$J$603="","",[2]Baskol!$J$603)</f>
        <v/>
      </c>
      <c r="AA600" t="str">
        <f>IF([2]Baskol!$K$603="","",[2]Baskol!$K$603)</f>
        <v/>
      </c>
      <c r="AB600" t="str">
        <f>IF([2]Baskol!$L$603="","",[2]Baskol!$L$603)</f>
        <v/>
      </c>
      <c r="AC600" t="str">
        <f>IF([2]Baskol!$N$603="","",[2]Baskol!$N$603)</f>
        <v/>
      </c>
      <c r="AD600" t="str">
        <f>IF([2]Baskol!$O$603="","",[2]Baskol!$O$603)</f>
        <v/>
      </c>
      <c r="AE600" t="str">
        <f>IF([3]Entry!$C$603="","",[3]Entry!$C$603)</f>
        <v/>
      </c>
      <c r="AF600" t="str">
        <f>IF([3]Entry!$D$603="","",[3]Entry!$D$603)</f>
        <v/>
      </c>
      <c r="AG600" t="str">
        <f>IF([3]Entry!$E$603="","",[3]Entry!$E$603)</f>
        <v/>
      </c>
      <c r="AH600" t="str">
        <f>IF([3]Entry!$G$603="","",[3]Entry!$G$603)</f>
        <v/>
      </c>
      <c r="AI600" t="str">
        <f>IF([3]Entry!$K$603="","",[3]Entry!$K$603)</f>
        <v/>
      </c>
      <c r="AJ600" t="str">
        <f>IF([3]Entry!$L$603="","",[3]Entry!$L$603)</f>
        <v/>
      </c>
      <c r="AK600" t="str">
        <f>IF([3]Entry!$M$603="","",[3]Entry!$M$603)</f>
        <v/>
      </c>
      <c r="AL600" t="str">
        <f>IF([3]Entry!$N$603="","",[3]Entry!$N$603)</f>
        <v/>
      </c>
      <c r="AM600" t="str">
        <f>IF([3]Entry!$R$603="","",[3]Entry!$R$603)</f>
        <v/>
      </c>
    </row>
    <row r="601" spans="20:39" x14ac:dyDescent="0.2">
      <c r="T601" t="str">
        <f>IF([2]Baskol!$B$604="","",[2]Baskol!$B$604)</f>
        <v/>
      </c>
      <c r="U601" t="str">
        <f>IF([2]Baskol!$C$604="","",[2]Baskol!$C$604)</f>
        <v/>
      </c>
      <c r="V601" t="str">
        <f>IF([2]Baskol!$D$604="","",[2]Baskol!$D$604)</f>
        <v/>
      </c>
      <c r="W601" t="str">
        <f>IF([2]Baskol!$E$604="","",[2]Baskol!$E$604)</f>
        <v/>
      </c>
      <c r="X601" t="str">
        <f>IF([2]Baskol!$G$604="","",[2]Baskol!$G$604)</f>
        <v/>
      </c>
      <c r="Y601" t="str">
        <f>IF([2]Baskol!$I$604="","",[2]Baskol!$I$604)</f>
        <v/>
      </c>
      <c r="Z601" t="str">
        <f>IF([2]Baskol!$J$604="","",[2]Baskol!$J$604)</f>
        <v/>
      </c>
      <c r="AA601" t="str">
        <f>IF([2]Baskol!$K$604="","",[2]Baskol!$K$604)</f>
        <v/>
      </c>
      <c r="AB601" t="str">
        <f>IF([2]Baskol!$L$604="","",[2]Baskol!$L$604)</f>
        <v/>
      </c>
      <c r="AC601" t="str">
        <f>IF([2]Baskol!$N$604="","",[2]Baskol!$N$604)</f>
        <v/>
      </c>
      <c r="AD601" t="str">
        <f>IF([2]Baskol!$O$604="","",[2]Baskol!$O$604)</f>
        <v/>
      </c>
      <c r="AE601" t="str">
        <f>IF([3]Entry!$C$604="","",[3]Entry!$C$604)</f>
        <v/>
      </c>
      <c r="AF601" t="str">
        <f>IF([3]Entry!$D$604="","",[3]Entry!$D$604)</f>
        <v/>
      </c>
      <c r="AG601" t="str">
        <f>IF([3]Entry!$E$604="","",[3]Entry!$E$604)</f>
        <v/>
      </c>
      <c r="AH601" t="str">
        <f>IF([3]Entry!$G$604="","",[3]Entry!$G$604)</f>
        <v/>
      </c>
      <c r="AI601" t="str">
        <f>IF([3]Entry!$K$604="","",[3]Entry!$K$604)</f>
        <v/>
      </c>
      <c r="AJ601" t="str">
        <f>IF([3]Entry!$L$604="","",[3]Entry!$L$604)</f>
        <v/>
      </c>
      <c r="AK601" t="str">
        <f>IF([3]Entry!$M$604="","",[3]Entry!$M$604)</f>
        <v/>
      </c>
      <c r="AL601" t="str">
        <f>IF([3]Entry!$N$604="","",[3]Entry!$N$604)</f>
        <v/>
      </c>
      <c r="AM601" t="str">
        <f>IF([3]Entry!$R$604="","",[3]Entry!$R$604)</f>
        <v/>
      </c>
    </row>
    <row r="602" spans="20:39" x14ac:dyDescent="0.2">
      <c r="T602" t="str">
        <f>IF([2]Baskol!$B$605="","",[2]Baskol!$B$605)</f>
        <v/>
      </c>
      <c r="U602" t="str">
        <f>IF([2]Baskol!$C$605="","",[2]Baskol!$C$605)</f>
        <v/>
      </c>
      <c r="V602" t="str">
        <f>IF([2]Baskol!$D$605="","",[2]Baskol!$D$605)</f>
        <v/>
      </c>
      <c r="W602" t="str">
        <f>IF([2]Baskol!$E$605="","",[2]Baskol!$E$605)</f>
        <v/>
      </c>
      <c r="X602" t="str">
        <f>IF([2]Baskol!$G$605="","",[2]Baskol!$G$605)</f>
        <v/>
      </c>
      <c r="Y602" t="str">
        <f>IF([2]Baskol!$I$605="","",[2]Baskol!$I$605)</f>
        <v/>
      </c>
      <c r="Z602" t="str">
        <f>IF([2]Baskol!$J$605="","",[2]Baskol!$J$605)</f>
        <v/>
      </c>
      <c r="AA602" t="str">
        <f>IF([2]Baskol!$K$605="","",[2]Baskol!$K$605)</f>
        <v/>
      </c>
      <c r="AB602" t="str">
        <f>IF([2]Baskol!$L$605="","",[2]Baskol!$L$605)</f>
        <v/>
      </c>
      <c r="AC602" t="str">
        <f>IF([2]Baskol!$N$605="","",[2]Baskol!$N$605)</f>
        <v/>
      </c>
      <c r="AD602" t="str">
        <f>IF([2]Baskol!$O$605="","",[2]Baskol!$O$605)</f>
        <v/>
      </c>
      <c r="AE602" t="str">
        <f>IF([3]Entry!$C$605="","",[3]Entry!$C$605)</f>
        <v/>
      </c>
      <c r="AF602" t="str">
        <f>IF([3]Entry!$D$605="","",[3]Entry!$D$605)</f>
        <v/>
      </c>
      <c r="AG602" t="str">
        <f>IF([3]Entry!$E$605="","",[3]Entry!$E$605)</f>
        <v/>
      </c>
      <c r="AH602" t="str">
        <f>IF([3]Entry!$G$605="","",[3]Entry!$G$605)</f>
        <v/>
      </c>
      <c r="AI602" t="str">
        <f>IF([3]Entry!$K$605="","",[3]Entry!$K$605)</f>
        <v/>
      </c>
      <c r="AJ602" t="str">
        <f>IF([3]Entry!$L$605="","",[3]Entry!$L$605)</f>
        <v/>
      </c>
      <c r="AK602" t="str">
        <f>IF([3]Entry!$M$605="","",[3]Entry!$M$605)</f>
        <v/>
      </c>
      <c r="AL602" t="str">
        <f>IF([3]Entry!$N$605="","",[3]Entry!$N$605)</f>
        <v/>
      </c>
      <c r="AM602" t="str">
        <f>IF([3]Entry!$R$605="","",[3]Entry!$R$605)</f>
        <v/>
      </c>
    </row>
    <row r="603" spans="20:39" x14ac:dyDescent="0.2">
      <c r="T603" t="str">
        <f>IF([2]Baskol!$B$606="","",[2]Baskol!$B$606)</f>
        <v/>
      </c>
      <c r="U603" t="str">
        <f>IF([2]Baskol!$C$606="","",[2]Baskol!$C$606)</f>
        <v/>
      </c>
      <c r="V603" t="str">
        <f>IF([2]Baskol!$D$606="","",[2]Baskol!$D$606)</f>
        <v/>
      </c>
      <c r="W603" t="str">
        <f>IF([2]Baskol!$E$606="","",[2]Baskol!$E$606)</f>
        <v/>
      </c>
      <c r="X603" t="str">
        <f>IF([2]Baskol!$G$606="","",[2]Baskol!$G$606)</f>
        <v/>
      </c>
      <c r="Y603" t="str">
        <f>IF([2]Baskol!$I$606="","",[2]Baskol!$I$606)</f>
        <v/>
      </c>
      <c r="Z603" t="str">
        <f>IF([2]Baskol!$J$606="","",[2]Baskol!$J$606)</f>
        <v/>
      </c>
      <c r="AA603" t="str">
        <f>IF([2]Baskol!$K$606="","",[2]Baskol!$K$606)</f>
        <v/>
      </c>
      <c r="AB603" t="str">
        <f>IF([2]Baskol!$L$606="","",[2]Baskol!$L$606)</f>
        <v/>
      </c>
      <c r="AC603" t="str">
        <f>IF([2]Baskol!$N$606="","",[2]Baskol!$N$606)</f>
        <v/>
      </c>
      <c r="AD603" t="str">
        <f>IF([2]Baskol!$O$606="","",[2]Baskol!$O$606)</f>
        <v/>
      </c>
      <c r="AE603" t="str">
        <f>IF([3]Entry!$C$606="","",[3]Entry!$C$606)</f>
        <v/>
      </c>
      <c r="AF603" t="str">
        <f>IF([3]Entry!$D$606="","",[3]Entry!$D$606)</f>
        <v/>
      </c>
      <c r="AG603" t="str">
        <f>IF([3]Entry!$E$606="","",[3]Entry!$E$606)</f>
        <v/>
      </c>
      <c r="AH603" t="str">
        <f>IF([3]Entry!$G$606="","",[3]Entry!$G$606)</f>
        <v/>
      </c>
      <c r="AI603" t="str">
        <f>IF([3]Entry!$K$606="","",[3]Entry!$K$606)</f>
        <v/>
      </c>
      <c r="AJ603" t="str">
        <f>IF([3]Entry!$L$606="","",[3]Entry!$L$606)</f>
        <v/>
      </c>
      <c r="AK603" t="str">
        <f>IF([3]Entry!$M$606="","",[3]Entry!$M$606)</f>
        <v/>
      </c>
      <c r="AL603" t="str">
        <f>IF([3]Entry!$N$606="","",[3]Entry!$N$606)</f>
        <v/>
      </c>
      <c r="AM603" t="str">
        <f>IF([3]Entry!$R$606="","",[3]Entry!$R$606)</f>
        <v/>
      </c>
    </row>
    <row r="604" spans="20:39" x14ac:dyDescent="0.2">
      <c r="T604" t="str">
        <f>IF([2]Baskol!$B$607="","",[2]Baskol!$B$607)</f>
        <v/>
      </c>
      <c r="U604" t="str">
        <f>IF([2]Baskol!$C$607="","",[2]Baskol!$C$607)</f>
        <v/>
      </c>
      <c r="V604" t="str">
        <f>IF([2]Baskol!$D$607="","",[2]Baskol!$D$607)</f>
        <v/>
      </c>
      <c r="W604" t="str">
        <f>IF([2]Baskol!$E$607="","",[2]Baskol!$E$607)</f>
        <v/>
      </c>
      <c r="X604" t="str">
        <f>IF([2]Baskol!$G$607="","",[2]Baskol!$G$607)</f>
        <v/>
      </c>
      <c r="Y604" t="str">
        <f>IF([2]Baskol!$I$607="","",[2]Baskol!$I$607)</f>
        <v/>
      </c>
      <c r="Z604" t="str">
        <f>IF([2]Baskol!$J$607="","",[2]Baskol!$J$607)</f>
        <v/>
      </c>
      <c r="AA604" t="str">
        <f>IF([2]Baskol!$K$607="","",[2]Baskol!$K$607)</f>
        <v/>
      </c>
      <c r="AB604" t="str">
        <f>IF([2]Baskol!$L$607="","",[2]Baskol!$L$607)</f>
        <v/>
      </c>
      <c r="AC604" t="str">
        <f>IF([2]Baskol!$N$607="","",[2]Baskol!$N$607)</f>
        <v/>
      </c>
      <c r="AD604" t="str">
        <f>IF([2]Baskol!$O$607="","",[2]Baskol!$O$607)</f>
        <v/>
      </c>
      <c r="AE604" t="str">
        <f>IF([3]Entry!$C$607="","",[3]Entry!$C$607)</f>
        <v/>
      </c>
      <c r="AF604" t="str">
        <f>IF([3]Entry!$D$607="","",[3]Entry!$D$607)</f>
        <v/>
      </c>
      <c r="AG604" t="str">
        <f>IF([3]Entry!$E$607="","",[3]Entry!$E$607)</f>
        <v/>
      </c>
      <c r="AH604" t="str">
        <f>IF([3]Entry!$G$607="","",[3]Entry!$G$607)</f>
        <v/>
      </c>
      <c r="AI604" t="str">
        <f>IF([3]Entry!$K$607="","",[3]Entry!$K$607)</f>
        <v/>
      </c>
      <c r="AJ604" t="str">
        <f>IF([3]Entry!$L$607="","",[3]Entry!$L$607)</f>
        <v/>
      </c>
      <c r="AK604" t="str">
        <f>IF([3]Entry!$M$607="","",[3]Entry!$M$607)</f>
        <v/>
      </c>
      <c r="AL604" t="str">
        <f>IF([3]Entry!$N$607="","",[3]Entry!$N$607)</f>
        <v/>
      </c>
      <c r="AM604" t="str">
        <f>IF([3]Entry!$R$607="","",[3]Entry!$R$607)</f>
        <v/>
      </c>
    </row>
    <row r="605" spans="20:39" x14ac:dyDescent="0.2">
      <c r="T605" t="str">
        <f>IF([2]Baskol!$B$608="","",[2]Baskol!$B$608)</f>
        <v/>
      </c>
      <c r="U605" t="str">
        <f>IF([2]Baskol!$C$608="","",[2]Baskol!$C$608)</f>
        <v/>
      </c>
      <c r="V605" t="str">
        <f>IF([2]Baskol!$D$608="","",[2]Baskol!$D$608)</f>
        <v/>
      </c>
      <c r="W605" t="str">
        <f>IF([2]Baskol!$E$608="","",[2]Baskol!$E$608)</f>
        <v/>
      </c>
      <c r="X605" t="str">
        <f>IF([2]Baskol!$G$608="","",[2]Baskol!$G$608)</f>
        <v/>
      </c>
      <c r="Y605" t="str">
        <f>IF([2]Baskol!$I$608="","",[2]Baskol!$I$608)</f>
        <v/>
      </c>
      <c r="Z605" t="str">
        <f>IF([2]Baskol!$J$608="","",[2]Baskol!$J$608)</f>
        <v/>
      </c>
      <c r="AA605" t="str">
        <f>IF([2]Baskol!$K$608="","",[2]Baskol!$K$608)</f>
        <v/>
      </c>
      <c r="AB605" t="str">
        <f>IF([2]Baskol!$L$608="","",[2]Baskol!$L$608)</f>
        <v/>
      </c>
      <c r="AC605" t="str">
        <f>IF([2]Baskol!$N$608="","",[2]Baskol!$N$608)</f>
        <v/>
      </c>
      <c r="AD605" t="str">
        <f>IF([2]Baskol!$O$608="","",[2]Baskol!$O$608)</f>
        <v/>
      </c>
      <c r="AE605" t="str">
        <f>IF([3]Entry!$C$608="","",[3]Entry!$C$608)</f>
        <v/>
      </c>
      <c r="AF605" t="str">
        <f>IF([3]Entry!$D$608="","",[3]Entry!$D$608)</f>
        <v/>
      </c>
      <c r="AG605" t="str">
        <f>IF([3]Entry!$E$608="","",[3]Entry!$E$608)</f>
        <v/>
      </c>
      <c r="AH605" t="str">
        <f>IF([3]Entry!$G$608="","",[3]Entry!$G$608)</f>
        <v/>
      </c>
      <c r="AI605" t="str">
        <f>IF([3]Entry!$K$608="","",[3]Entry!$K$608)</f>
        <v/>
      </c>
      <c r="AJ605" t="str">
        <f>IF([3]Entry!$L$608="","",[3]Entry!$L$608)</f>
        <v/>
      </c>
      <c r="AK605" t="str">
        <f>IF([3]Entry!$M$608="","",[3]Entry!$M$608)</f>
        <v/>
      </c>
      <c r="AL605" t="str">
        <f>IF([3]Entry!$N$608="","",[3]Entry!$N$608)</f>
        <v/>
      </c>
      <c r="AM605" t="str">
        <f>IF([3]Entry!$R$608="","",[3]Entry!$R$608)</f>
        <v/>
      </c>
    </row>
    <row r="606" spans="20:39" x14ac:dyDescent="0.2">
      <c r="T606" t="str">
        <f>IF([2]Baskol!$B$609="","",[2]Baskol!$B$609)</f>
        <v/>
      </c>
      <c r="U606" t="str">
        <f>IF([2]Baskol!$C$609="","",[2]Baskol!$C$609)</f>
        <v/>
      </c>
      <c r="V606" t="str">
        <f>IF([2]Baskol!$D$609="","",[2]Baskol!$D$609)</f>
        <v/>
      </c>
      <c r="W606" t="str">
        <f>IF([2]Baskol!$E$609="","",[2]Baskol!$E$609)</f>
        <v/>
      </c>
      <c r="X606" t="str">
        <f>IF([2]Baskol!$G$609="","",[2]Baskol!$G$609)</f>
        <v/>
      </c>
      <c r="Y606" t="str">
        <f>IF([2]Baskol!$I$609="","",[2]Baskol!$I$609)</f>
        <v/>
      </c>
      <c r="Z606" t="str">
        <f>IF([2]Baskol!$J$609="","",[2]Baskol!$J$609)</f>
        <v/>
      </c>
      <c r="AA606" t="str">
        <f>IF([2]Baskol!$K$609="","",[2]Baskol!$K$609)</f>
        <v/>
      </c>
      <c r="AB606" t="str">
        <f>IF([2]Baskol!$L$609="","",[2]Baskol!$L$609)</f>
        <v/>
      </c>
      <c r="AC606" t="str">
        <f>IF([2]Baskol!$N$609="","",[2]Baskol!$N$609)</f>
        <v/>
      </c>
      <c r="AD606" t="str">
        <f>IF([2]Baskol!$O$609="","",[2]Baskol!$O$609)</f>
        <v/>
      </c>
      <c r="AE606" t="str">
        <f>IF([3]Entry!$C$609="","",[3]Entry!$C$609)</f>
        <v/>
      </c>
      <c r="AF606" t="str">
        <f>IF([3]Entry!$D$609="","",[3]Entry!$D$609)</f>
        <v/>
      </c>
      <c r="AG606" t="str">
        <f>IF([3]Entry!$E$609="","",[3]Entry!$E$609)</f>
        <v/>
      </c>
      <c r="AH606" t="str">
        <f>IF([3]Entry!$G$609="","",[3]Entry!$G$609)</f>
        <v/>
      </c>
      <c r="AI606" t="str">
        <f>IF([3]Entry!$K$609="","",[3]Entry!$K$609)</f>
        <v/>
      </c>
      <c r="AJ606" t="str">
        <f>IF([3]Entry!$L$609="","",[3]Entry!$L$609)</f>
        <v/>
      </c>
      <c r="AK606" t="str">
        <f>IF([3]Entry!$M$609="","",[3]Entry!$M$609)</f>
        <v/>
      </c>
      <c r="AL606" t="str">
        <f>IF([3]Entry!$N$609="","",[3]Entry!$N$609)</f>
        <v/>
      </c>
      <c r="AM606" t="str">
        <f>IF([3]Entry!$R$609="","",[3]Entry!$R$609)</f>
        <v/>
      </c>
    </row>
    <row r="607" spans="20:39" x14ac:dyDescent="0.2">
      <c r="T607" t="str">
        <f>IF([2]Baskol!$B$610="","",[2]Baskol!$B$610)</f>
        <v/>
      </c>
      <c r="U607" t="str">
        <f>IF([2]Baskol!$C$610="","",[2]Baskol!$C$610)</f>
        <v/>
      </c>
      <c r="V607" t="str">
        <f>IF([2]Baskol!$D$610="","",[2]Baskol!$D$610)</f>
        <v/>
      </c>
      <c r="W607" t="str">
        <f>IF([2]Baskol!$E$610="","",[2]Baskol!$E$610)</f>
        <v/>
      </c>
      <c r="X607" t="str">
        <f>IF([2]Baskol!$G$610="","",[2]Baskol!$G$610)</f>
        <v/>
      </c>
      <c r="Y607" t="str">
        <f>IF([2]Baskol!$I$610="","",[2]Baskol!$I$610)</f>
        <v/>
      </c>
      <c r="Z607" t="str">
        <f>IF([2]Baskol!$J$610="","",[2]Baskol!$J$610)</f>
        <v/>
      </c>
      <c r="AA607" t="str">
        <f>IF([2]Baskol!$K$610="","",[2]Baskol!$K$610)</f>
        <v/>
      </c>
      <c r="AB607" t="str">
        <f>IF([2]Baskol!$L$610="","",[2]Baskol!$L$610)</f>
        <v/>
      </c>
      <c r="AC607" t="str">
        <f>IF([2]Baskol!$N$610="","",[2]Baskol!$N$610)</f>
        <v/>
      </c>
      <c r="AD607" t="str">
        <f>IF([2]Baskol!$O$610="","",[2]Baskol!$O$610)</f>
        <v/>
      </c>
      <c r="AE607" t="str">
        <f>IF([3]Entry!$C$610="","",[3]Entry!$C$610)</f>
        <v/>
      </c>
      <c r="AF607" t="str">
        <f>IF([3]Entry!$D$610="","",[3]Entry!$D$610)</f>
        <v/>
      </c>
      <c r="AG607" t="str">
        <f>IF([3]Entry!$E$610="","",[3]Entry!$E$610)</f>
        <v/>
      </c>
      <c r="AH607" t="str">
        <f>IF([3]Entry!$G$610="","",[3]Entry!$G$610)</f>
        <v/>
      </c>
      <c r="AI607" t="str">
        <f>IF([3]Entry!$K$610="","",[3]Entry!$K$610)</f>
        <v/>
      </c>
      <c r="AJ607" t="str">
        <f>IF([3]Entry!$L$610="","",[3]Entry!$L$610)</f>
        <v/>
      </c>
      <c r="AK607" t="str">
        <f>IF([3]Entry!$M$610="","",[3]Entry!$M$610)</f>
        <v/>
      </c>
      <c r="AL607" t="str">
        <f>IF([3]Entry!$N$610="","",[3]Entry!$N$610)</f>
        <v/>
      </c>
      <c r="AM607" t="str">
        <f>IF([3]Entry!$R$610="","",[3]Entry!$R$610)</f>
        <v/>
      </c>
    </row>
    <row r="608" spans="20:39" x14ac:dyDescent="0.2">
      <c r="T608" t="str">
        <f>IF([2]Baskol!$B$611="","",[2]Baskol!$B$611)</f>
        <v/>
      </c>
      <c r="U608" t="str">
        <f>IF([2]Baskol!$C$611="","",[2]Baskol!$C$611)</f>
        <v/>
      </c>
      <c r="V608" t="str">
        <f>IF([2]Baskol!$D$611="","",[2]Baskol!$D$611)</f>
        <v/>
      </c>
      <c r="W608" t="str">
        <f>IF([2]Baskol!$E$611="","",[2]Baskol!$E$611)</f>
        <v/>
      </c>
      <c r="X608" t="str">
        <f>IF([2]Baskol!$G$611="","",[2]Baskol!$G$611)</f>
        <v/>
      </c>
      <c r="Y608" t="str">
        <f>IF([2]Baskol!$I$611="","",[2]Baskol!$I$611)</f>
        <v/>
      </c>
      <c r="Z608" t="str">
        <f>IF([2]Baskol!$J$611="","",[2]Baskol!$J$611)</f>
        <v/>
      </c>
      <c r="AA608" t="str">
        <f>IF([2]Baskol!$K$611="","",[2]Baskol!$K$611)</f>
        <v/>
      </c>
      <c r="AB608" t="str">
        <f>IF([2]Baskol!$L$611="","",[2]Baskol!$L$611)</f>
        <v/>
      </c>
      <c r="AC608" t="str">
        <f>IF([2]Baskol!$N$611="","",[2]Baskol!$N$611)</f>
        <v/>
      </c>
      <c r="AD608" t="str">
        <f>IF([2]Baskol!$O$611="","",[2]Baskol!$O$611)</f>
        <v/>
      </c>
      <c r="AE608" t="str">
        <f>IF([3]Entry!$C$611="","",[3]Entry!$C$611)</f>
        <v/>
      </c>
      <c r="AF608" t="str">
        <f>IF([3]Entry!$D$611="","",[3]Entry!$D$611)</f>
        <v/>
      </c>
      <c r="AG608" t="str">
        <f>IF([3]Entry!$E$611="","",[3]Entry!$E$611)</f>
        <v/>
      </c>
      <c r="AH608" t="str">
        <f>IF([3]Entry!$G$611="","",[3]Entry!$G$611)</f>
        <v/>
      </c>
      <c r="AI608" t="str">
        <f>IF([3]Entry!$K$611="","",[3]Entry!$K$611)</f>
        <v/>
      </c>
      <c r="AJ608" t="str">
        <f>IF([3]Entry!$L$611="","",[3]Entry!$L$611)</f>
        <v/>
      </c>
      <c r="AK608" t="str">
        <f>IF([3]Entry!$M$611="","",[3]Entry!$M$611)</f>
        <v/>
      </c>
      <c r="AL608" t="str">
        <f>IF([3]Entry!$N$611="","",[3]Entry!$N$611)</f>
        <v/>
      </c>
      <c r="AM608" t="str">
        <f>IF([3]Entry!$R$611="","",[3]Entry!$R$611)</f>
        <v/>
      </c>
    </row>
    <row r="609" spans="20:39" x14ac:dyDescent="0.2">
      <c r="T609" t="str">
        <f>IF([2]Baskol!$B$612="","",[2]Baskol!$B$612)</f>
        <v/>
      </c>
      <c r="U609" t="str">
        <f>IF([2]Baskol!$C$612="","",[2]Baskol!$C$612)</f>
        <v/>
      </c>
      <c r="V609" t="str">
        <f>IF([2]Baskol!$D$612="","",[2]Baskol!$D$612)</f>
        <v/>
      </c>
      <c r="W609" t="str">
        <f>IF([2]Baskol!$E$612="","",[2]Baskol!$E$612)</f>
        <v/>
      </c>
      <c r="X609" t="str">
        <f>IF([2]Baskol!$G$612="","",[2]Baskol!$G$612)</f>
        <v/>
      </c>
      <c r="Y609" t="str">
        <f>IF([2]Baskol!$I$612="","",[2]Baskol!$I$612)</f>
        <v/>
      </c>
      <c r="Z609" t="str">
        <f>IF([2]Baskol!$J$612="","",[2]Baskol!$J$612)</f>
        <v/>
      </c>
      <c r="AA609" t="str">
        <f>IF([2]Baskol!$K$612="","",[2]Baskol!$K$612)</f>
        <v/>
      </c>
      <c r="AB609" t="str">
        <f>IF([2]Baskol!$L$612="","",[2]Baskol!$L$612)</f>
        <v/>
      </c>
      <c r="AC609" t="str">
        <f>IF([2]Baskol!$N$612="","",[2]Baskol!$N$612)</f>
        <v/>
      </c>
      <c r="AD609" t="str">
        <f>IF([2]Baskol!$O$612="","",[2]Baskol!$O$612)</f>
        <v/>
      </c>
      <c r="AE609" t="str">
        <f>IF([3]Entry!$C$612="","",[3]Entry!$C$612)</f>
        <v/>
      </c>
      <c r="AF609" t="str">
        <f>IF([3]Entry!$D$612="","",[3]Entry!$D$612)</f>
        <v/>
      </c>
      <c r="AG609" t="str">
        <f>IF([3]Entry!$E$612="","",[3]Entry!$E$612)</f>
        <v/>
      </c>
      <c r="AH609" t="str">
        <f>IF([3]Entry!$G$612="","",[3]Entry!$G$612)</f>
        <v/>
      </c>
      <c r="AI609" t="str">
        <f>IF([3]Entry!$K$612="","",[3]Entry!$K$612)</f>
        <v/>
      </c>
      <c r="AJ609" t="str">
        <f>IF([3]Entry!$L$612="","",[3]Entry!$L$612)</f>
        <v/>
      </c>
      <c r="AK609" t="str">
        <f>IF([3]Entry!$M$612="","",[3]Entry!$M$612)</f>
        <v/>
      </c>
      <c r="AL609" t="str">
        <f>IF([3]Entry!$N$612="","",[3]Entry!$N$612)</f>
        <v/>
      </c>
      <c r="AM609" t="str">
        <f>IF([3]Entry!$R$612="","",[3]Entry!$R$612)</f>
        <v/>
      </c>
    </row>
    <row r="610" spans="20:39" x14ac:dyDescent="0.2">
      <c r="T610" t="str">
        <f>IF([2]Baskol!$B$613="","",[2]Baskol!$B$613)</f>
        <v/>
      </c>
      <c r="U610" t="str">
        <f>IF([2]Baskol!$C$613="","",[2]Baskol!$C$613)</f>
        <v/>
      </c>
      <c r="V610" t="str">
        <f>IF([2]Baskol!$D$613="","",[2]Baskol!$D$613)</f>
        <v/>
      </c>
      <c r="W610" t="str">
        <f>IF([2]Baskol!$E$613="","",[2]Baskol!$E$613)</f>
        <v/>
      </c>
      <c r="X610" t="str">
        <f>IF([2]Baskol!$G$613="","",[2]Baskol!$G$613)</f>
        <v/>
      </c>
      <c r="Y610" t="str">
        <f>IF([2]Baskol!$I$613="","",[2]Baskol!$I$613)</f>
        <v/>
      </c>
      <c r="Z610" t="str">
        <f>IF([2]Baskol!$J$613="","",[2]Baskol!$J$613)</f>
        <v/>
      </c>
      <c r="AA610" t="str">
        <f>IF([2]Baskol!$K$613="","",[2]Baskol!$K$613)</f>
        <v/>
      </c>
      <c r="AB610" t="str">
        <f>IF([2]Baskol!$L$613="","",[2]Baskol!$L$613)</f>
        <v/>
      </c>
      <c r="AC610" t="str">
        <f>IF([2]Baskol!$N$613="","",[2]Baskol!$N$613)</f>
        <v/>
      </c>
      <c r="AD610" t="str">
        <f>IF([2]Baskol!$O$613="","",[2]Baskol!$O$613)</f>
        <v/>
      </c>
      <c r="AE610" t="str">
        <f>IF([3]Entry!$C$613="","",[3]Entry!$C$613)</f>
        <v/>
      </c>
      <c r="AF610" t="str">
        <f>IF([3]Entry!$D$613="","",[3]Entry!$D$613)</f>
        <v/>
      </c>
      <c r="AG610" t="str">
        <f>IF([3]Entry!$E$613="","",[3]Entry!$E$613)</f>
        <v/>
      </c>
      <c r="AH610" t="str">
        <f>IF([3]Entry!$G$613="","",[3]Entry!$G$613)</f>
        <v/>
      </c>
      <c r="AI610" t="str">
        <f>IF([3]Entry!$K$613="","",[3]Entry!$K$613)</f>
        <v/>
      </c>
      <c r="AJ610" t="str">
        <f>IF([3]Entry!$L$613="","",[3]Entry!$L$613)</f>
        <v/>
      </c>
      <c r="AK610" t="str">
        <f>IF([3]Entry!$M$613="","",[3]Entry!$M$613)</f>
        <v/>
      </c>
      <c r="AL610" t="str">
        <f>IF([3]Entry!$N$613="","",[3]Entry!$N$613)</f>
        <v/>
      </c>
      <c r="AM610" t="str">
        <f>IF([3]Entry!$R$613="","",[3]Entry!$R$613)</f>
        <v/>
      </c>
    </row>
    <row r="611" spans="20:39" x14ac:dyDescent="0.2">
      <c r="T611" t="str">
        <f>IF([2]Baskol!$B$614="","",[2]Baskol!$B$614)</f>
        <v/>
      </c>
      <c r="U611" t="str">
        <f>IF([2]Baskol!$C$614="","",[2]Baskol!$C$614)</f>
        <v/>
      </c>
      <c r="V611" t="str">
        <f>IF([2]Baskol!$D$614="","",[2]Baskol!$D$614)</f>
        <v/>
      </c>
      <c r="W611" t="str">
        <f>IF([2]Baskol!$E$614="","",[2]Baskol!$E$614)</f>
        <v/>
      </c>
      <c r="X611" t="str">
        <f>IF([2]Baskol!$G$614="","",[2]Baskol!$G$614)</f>
        <v/>
      </c>
      <c r="Y611" t="str">
        <f>IF([2]Baskol!$I$614="","",[2]Baskol!$I$614)</f>
        <v/>
      </c>
      <c r="Z611" t="str">
        <f>IF([2]Baskol!$J$614="","",[2]Baskol!$J$614)</f>
        <v/>
      </c>
      <c r="AA611" t="str">
        <f>IF([2]Baskol!$K$614="","",[2]Baskol!$K$614)</f>
        <v/>
      </c>
      <c r="AB611" t="str">
        <f>IF([2]Baskol!$L$614="","",[2]Baskol!$L$614)</f>
        <v/>
      </c>
      <c r="AC611" t="str">
        <f>IF([2]Baskol!$N$614="","",[2]Baskol!$N$614)</f>
        <v/>
      </c>
      <c r="AD611" t="str">
        <f>IF([2]Baskol!$O$614="","",[2]Baskol!$O$614)</f>
        <v/>
      </c>
      <c r="AE611" t="str">
        <f>IF([3]Entry!$C$614="","",[3]Entry!$C$614)</f>
        <v/>
      </c>
      <c r="AF611" t="str">
        <f>IF([3]Entry!$D$614="","",[3]Entry!$D$614)</f>
        <v/>
      </c>
      <c r="AG611" t="str">
        <f>IF([3]Entry!$E$614="","",[3]Entry!$E$614)</f>
        <v/>
      </c>
      <c r="AH611" t="str">
        <f>IF([3]Entry!$G$614="","",[3]Entry!$G$614)</f>
        <v/>
      </c>
      <c r="AI611" t="str">
        <f>IF([3]Entry!$K$614="","",[3]Entry!$K$614)</f>
        <v/>
      </c>
      <c r="AJ611" t="str">
        <f>IF([3]Entry!$L$614="","",[3]Entry!$L$614)</f>
        <v/>
      </c>
      <c r="AK611" t="str">
        <f>IF([3]Entry!$M$614="","",[3]Entry!$M$614)</f>
        <v/>
      </c>
      <c r="AL611" t="str">
        <f>IF([3]Entry!$N$614="","",[3]Entry!$N$614)</f>
        <v/>
      </c>
      <c r="AM611" t="str">
        <f>IF([3]Entry!$R$614="","",[3]Entry!$R$614)</f>
        <v/>
      </c>
    </row>
    <row r="612" spans="20:39" x14ac:dyDescent="0.2">
      <c r="T612" t="str">
        <f>IF([2]Baskol!$B$615="","",[2]Baskol!$B$615)</f>
        <v/>
      </c>
      <c r="U612" t="str">
        <f>IF([2]Baskol!$C$615="","",[2]Baskol!$C$615)</f>
        <v/>
      </c>
      <c r="V612" t="str">
        <f>IF([2]Baskol!$D$615="","",[2]Baskol!$D$615)</f>
        <v/>
      </c>
      <c r="W612" t="str">
        <f>IF([2]Baskol!$E$615="","",[2]Baskol!$E$615)</f>
        <v/>
      </c>
      <c r="X612" t="str">
        <f>IF([2]Baskol!$G$615="","",[2]Baskol!$G$615)</f>
        <v/>
      </c>
      <c r="Y612" t="str">
        <f>IF([2]Baskol!$I$615="","",[2]Baskol!$I$615)</f>
        <v/>
      </c>
      <c r="Z612" t="str">
        <f>IF([2]Baskol!$J$615="","",[2]Baskol!$J$615)</f>
        <v/>
      </c>
      <c r="AA612" t="str">
        <f>IF([2]Baskol!$K$615="","",[2]Baskol!$K$615)</f>
        <v/>
      </c>
      <c r="AB612" t="str">
        <f>IF([2]Baskol!$L$615="","",[2]Baskol!$L$615)</f>
        <v/>
      </c>
      <c r="AC612" t="str">
        <f>IF([2]Baskol!$N$615="","",[2]Baskol!$N$615)</f>
        <v/>
      </c>
      <c r="AD612" t="str">
        <f>IF([2]Baskol!$O$615="","",[2]Baskol!$O$615)</f>
        <v/>
      </c>
      <c r="AE612" t="str">
        <f>IF([3]Entry!$C$615="","",[3]Entry!$C$615)</f>
        <v/>
      </c>
      <c r="AF612" t="str">
        <f>IF([3]Entry!$D$615="","",[3]Entry!$D$615)</f>
        <v/>
      </c>
      <c r="AG612" t="str">
        <f>IF([3]Entry!$E$615="","",[3]Entry!$E$615)</f>
        <v/>
      </c>
      <c r="AH612" t="str">
        <f>IF([3]Entry!$G$615="","",[3]Entry!$G$615)</f>
        <v/>
      </c>
      <c r="AI612" t="str">
        <f>IF([3]Entry!$K$615="","",[3]Entry!$K$615)</f>
        <v/>
      </c>
      <c r="AJ612" t="str">
        <f>IF([3]Entry!$L$615="","",[3]Entry!$L$615)</f>
        <v/>
      </c>
      <c r="AK612" t="str">
        <f>IF([3]Entry!$M$615="","",[3]Entry!$M$615)</f>
        <v/>
      </c>
      <c r="AL612" t="str">
        <f>IF([3]Entry!$N$615="","",[3]Entry!$N$615)</f>
        <v/>
      </c>
      <c r="AM612" t="str">
        <f>IF([3]Entry!$R$615="","",[3]Entry!$R$615)</f>
        <v/>
      </c>
    </row>
    <row r="613" spans="20:39" x14ac:dyDescent="0.2">
      <c r="T613" t="str">
        <f>IF([2]Baskol!$B$616="","",[2]Baskol!$B$616)</f>
        <v/>
      </c>
      <c r="U613" t="str">
        <f>IF([2]Baskol!$C$616="","",[2]Baskol!$C$616)</f>
        <v/>
      </c>
      <c r="V613" t="str">
        <f>IF([2]Baskol!$D$616="","",[2]Baskol!$D$616)</f>
        <v/>
      </c>
      <c r="W613" t="str">
        <f>IF([2]Baskol!$E$616="","",[2]Baskol!$E$616)</f>
        <v/>
      </c>
      <c r="X613" t="str">
        <f>IF([2]Baskol!$G$616="","",[2]Baskol!$G$616)</f>
        <v/>
      </c>
      <c r="Y613" t="str">
        <f>IF([2]Baskol!$I$616="","",[2]Baskol!$I$616)</f>
        <v/>
      </c>
      <c r="Z613" t="str">
        <f>IF([2]Baskol!$J$616="","",[2]Baskol!$J$616)</f>
        <v/>
      </c>
      <c r="AA613" t="str">
        <f>IF([2]Baskol!$K$616="","",[2]Baskol!$K$616)</f>
        <v/>
      </c>
      <c r="AB613" t="str">
        <f>IF([2]Baskol!$L$616="","",[2]Baskol!$L$616)</f>
        <v/>
      </c>
      <c r="AC613" t="str">
        <f>IF([2]Baskol!$N$616="","",[2]Baskol!$N$616)</f>
        <v/>
      </c>
      <c r="AD613" t="str">
        <f>IF([2]Baskol!$O$616="","",[2]Baskol!$O$616)</f>
        <v/>
      </c>
      <c r="AE613" t="str">
        <f>IF([3]Entry!$C$616="","",[3]Entry!$C$616)</f>
        <v/>
      </c>
      <c r="AF613" t="str">
        <f>IF([3]Entry!$D$616="","",[3]Entry!$D$616)</f>
        <v/>
      </c>
      <c r="AG613" t="str">
        <f>IF([3]Entry!$E$616="","",[3]Entry!$E$616)</f>
        <v/>
      </c>
      <c r="AH613" t="str">
        <f>IF([3]Entry!$G$616="","",[3]Entry!$G$616)</f>
        <v/>
      </c>
      <c r="AI613" t="str">
        <f>IF([3]Entry!$K$616="","",[3]Entry!$K$616)</f>
        <v/>
      </c>
      <c r="AJ613" t="str">
        <f>IF([3]Entry!$L$616="","",[3]Entry!$L$616)</f>
        <v/>
      </c>
      <c r="AK613" t="str">
        <f>IF([3]Entry!$M$616="","",[3]Entry!$M$616)</f>
        <v/>
      </c>
      <c r="AL613" t="str">
        <f>IF([3]Entry!$N$616="","",[3]Entry!$N$616)</f>
        <v/>
      </c>
      <c r="AM613" t="str">
        <f>IF([3]Entry!$R$616="","",[3]Entry!$R$616)</f>
        <v/>
      </c>
    </row>
    <row r="614" spans="20:39" x14ac:dyDescent="0.2">
      <c r="T614" t="str">
        <f>IF([2]Baskol!$B$617="","",[2]Baskol!$B$617)</f>
        <v/>
      </c>
      <c r="U614" t="str">
        <f>IF([2]Baskol!$C$617="","",[2]Baskol!$C$617)</f>
        <v/>
      </c>
      <c r="V614" t="str">
        <f>IF([2]Baskol!$D$617="","",[2]Baskol!$D$617)</f>
        <v/>
      </c>
      <c r="W614" t="str">
        <f>IF([2]Baskol!$E$617="","",[2]Baskol!$E$617)</f>
        <v/>
      </c>
      <c r="X614" t="str">
        <f>IF([2]Baskol!$G$617="","",[2]Baskol!$G$617)</f>
        <v/>
      </c>
      <c r="Y614" t="str">
        <f>IF([2]Baskol!$I$617="","",[2]Baskol!$I$617)</f>
        <v/>
      </c>
      <c r="Z614" t="str">
        <f>IF([2]Baskol!$J$617="","",[2]Baskol!$J$617)</f>
        <v/>
      </c>
      <c r="AA614" t="str">
        <f>IF([2]Baskol!$K$617="","",[2]Baskol!$K$617)</f>
        <v/>
      </c>
      <c r="AB614" t="str">
        <f>IF([2]Baskol!$L$617="","",[2]Baskol!$L$617)</f>
        <v/>
      </c>
      <c r="AC614" t="str">
        <f>IF([2]Baskol!$N$617="","",[2]Baskol!$N$617)</f>
        <v/>
      </c>
      <c r="AD614" t="str">
        <f>IF([2]Baskol!$O$617="","",[2]Baskol!$O$617)</f>
        <v/>
      </c>
      <c r="AE614" t="str">
        <f>IF([3]Entry!$C$617="","",[3]Entry!$C$617)</f>
        <v/>
      </c>
      <c r="AF614" t="str">
        <f>IF([3]Entry!$D$617="","",[3]Entry!$D$617)</f>
        <v/>
      </c>
      <c r="AG614" t="str">
        <f>IF([3]Entry!$E$617="","",[3]Entry!$E$617)</f>
        <v/>
      </c>
      <c r="AH614" t="str">
        <f>IF([3]Entry!$G$617="","",[3]Entry!$G$617)</f>
        <v/>
      </c>
      <c r="AI614" t="str">
        <f>IF([3]Entry!$K$617="","",[3]Entry!$K$617)</f>
        <v/>
      </c>
      <c r="AJ614" t="str">
        <f>IF([3]Entry!$L$617="","",[3]Entry!$L$617)</f>
        <v/>
      </c>
      <c r="AK614" t="str">
        <f>IF([3]Entry!$M$617="","",[3]Entry!$M$617)</f>
        <v/>
      </c>
      <c r="AL614" t="str">
        <f>IF([3]Entry!$N$617="","",[3]Entry!$N$617)</f>
        <v/>
      </c>
      <c r="AM614" t="str">
        <f>IF([3]Entry!$R$617="","",[3]Entry!$R$617)</f>
        <v/>
      </c>
    </row>
    <row r="615" spans="20:39" x14ac:dyDescent="0.2">
      <c r="T615" t="str">
        <f>IF([2]Baskol!$B$618="","",[2]Baskol!$B$618)</f>
        <v/>
      </c>
      <c r="U615" t="str">
        <f>IF([2]Baskol!$C$618="","",[2]Baskol!$C$618)</f>
        <v/>
      </c>
      <c r="V615" t="str">
        <f>IF([2]Baskol!$D$618="","",[2]Baskol!$D$618)</f>
        <v/>
      </c>
      <c r="W615" t="str">
        <f>IF([2]Baskol!$E$618="","",[2]Baskol!$E$618)</f>
        <v/>
      </c>
      <c r="X615" t="str">
        <f>IF([2]Baskol!$G$618="","",[2]Baskol!$G$618)</f>
        <v/>
      </c>
      <c r="Y615" t="str">
        <f>IF([2]Baskol!$I$618="","",[2]Baskol!$I$618)</f>
        <v/>
      </c>
      <c r="Z615" t="str">
        <f>IF([2]Baskol!$J$618="","",[2]Baskol!$J$618)</f>
        <v/>
      </c>
      <c r="AA615" t="str">
        <f>IF([2]Baskol!$K$618="","",[2]Baskol!$K$618)</f>
        <v/>
      </c>
      <c r="AB615" t="str">
        <f>IF([2]Baskol!$L$618="","",[2]Baskol!$L$618)</f>
        <v/>
      </c>
      <c r="AC615" t="str">
        <f>IF([2]Baskol!$N$618="","",[2]Baskol!$N$618)</f>
        <v/>
      </c>
      <c r="AD615" t="str">
        <f>IF([2]Baskol!$O$618="","",[2]Baskol!$O$618)</f>
        <v/>
      </c>
      <c r="AE615" t="str">
        <f>IF([3]Entry!$C$618="","",[3]Entry!$C$618)</f>
        <v/>
      </c>
      <c r="AF615" t="str">
        <f>IF([3]Entry!$D$618="","",[3]Entry!$D$618)</f>
        <v/>
      </c>
      <c r="AG615" t="str">
        <f>IF([3]Entry!$E$618="","",[3]Entry!$E$618)</f>
        <v/>
      </c>
      <c r="AH615" t="str">
        <f>IF([3]Entry!$G$618="","",[3]Entry!$G$618)</f>
        <v/>
      </c>
      <c r="AI615" t="str">
        <f>IF([3]Entry!$K$618="","",[3]Entry!$K$618)</f>
        <v/>
      </c>
      <c r="AJ615" t="str">
        <f>IF([3]Entry!$L$618="","",[3]Entry!$L$618)</f>
        <v/>
      </c>
      <c r="AK615" t="str">
        <f>IF([3]Entry!$M$618="","",[3]Entry!$M$618)</f>
        <v/>
      </c>
      <c r="AL615" t="str">
        <f>IF([3]Entry!$N$618="","",[3]Entry!$N$618)</f>
        <v/>
      </c>
      <c r="AM615" t="str">
        <f>IF([3]Entry!$R$618="","",[3]Entry!$R$618)</f>
        <v/>
      </c>
    </row>
    <row r="616" spans="20:39" x14ac:dyDescent="0.2">
      <c r="T616" t="str">
        <f>IF([2]Baskol!$B$619="","",[2]Baskol!$B$619)</f>
        <v/>
      </c>
      <c r="U616" t="str">
        <f>IF([2]Baskol!$C$619="","",[2]Baskol!$C$619)</f>
        <v/>
      </c>
      <c r="V616" t="str">
        <f>IF([2]Baskol!$D$619="","",[2]Baskol!$D$619)</f>
        <v/>
      </c>
      <c r="W616" t="str">
        <f>IF([2]Baskol!$E$619="","",[2]Baskol!$E$619)</f>
        <v/>
      </c>
      <c r="X616" t="str">
        <f>IF([2]Baskol!$G$619="","",[2]Baskol!$G$619)</f>
        <v/>
      </c>
      <c r="Y616" t="str">
        <f>IF([2]Baskol!$I$619="","",[2]Baskol!$I$619)</f>
        <v/>
      </c>
      <c r="Z616" t="str">
        <f>IF([2]Baskol!$J$619="","",[2]Baskol!$J$619)</f>
        <v/>
      </c>
      <c r="AA616" t="str">
        <f>IF([2]Baskol!$K$619="","",[2]Baskol!$K$619)</f>
        <v/>
      </c>
      <c r="AB616" t="str">
        <f>IF([2]Baskol!$L$619="","",[2]Baskol!$L$619)</f>
        <v/>
      </c>
      <c r="AC616" t="str">
        <f>IF([2]Baskol!$N$619="","",[2]Baskol!$N$619)</f>
        <v/>
      </c>
      <c r="AD616" t="str">
        <f>IF([2]Baskol!$O$619="","",[2]Baskol!$O$619)</f>
        <v/>
      </c>
      <c r="AE616" t="str">
        <f>IF([3]Entry!$C$619="","",[3]Entry!$C$619)</f>
        <v/>
      </c>
      <c r="AF616" t="str">
        <f>IF([3]Entry!$D$619="","",[3]Entry!$D$619)</f>
        <v/>
      </c>
      <c r="AG616" t="str">
        <f>IF([3]Entry!$E$619="","",[3]Entry!$E$619)</f>
        <v/>
      </c>
      <c r="AH616" t="str">
        <f>IF([3]Entry!$G$619="","",[3]Entry!$G$619)</f>
        <v/>
      </c>
      <c r="AI616" t="str">
        <f>IF([3]Entry!$K$619="","",[3]Entry!$K$619)</f>
        <v/>
      </c>
      <c r="AJ616" t="str">
        <f>IF([3]Entry!$L$619="","",[3]Entry!$L$619)</f>
        <v/>
      </c>
      <c r="AK616" t="str">
        <f>IF([3]Entry!$M$619="","",[3]Entry!$M$619)</f>
        <v/>
      </c>
      <c r="AL616" t="str">
        <f>IF([3]Entry!$N$619="","",[3]Entry!$N$619)</f>
        <v/>
      </c>
      <c r="AM616" t="str">
        <f>IF([3]Entry!$R$619="","",[3]Entry!$R$619)</f>
        <v/>
      </c>
    </row>
    <row r="617" spans="20:39" x14ac:dyDescent="0.2">
      <c r="T617" t="str">
        <f>IF([2]Baskol!$B$620="","",[2]Baskol!$B$620)</f>
        <v/>
      </c>
      <c r="U617" t="str">
        <f>IF([2]Baskol!$C$620="","",[2]Baskol!$C$620)</f>
        <v/>
      </c>
      <c r="V617" t="str">
        <f>IF([2]Baskol!$D$620="","",[2]Baskol!$D$620)</f>
        <v/>
      </c>
      <c r="W617" t="str">
        <f>IF([2]Baskol!$E$620="","",[2]Baskol!$E$620)</f>
        <v/>
      </c>
      <c r="X617" t="str">
        <f>IF([2]Baskol!$G$620="","",[2]Baskol!$G$620)</f>
        <v/>
      </c>
      <c r="Y617" t="str">
        <f>IF([2]Baskol!$I$620="","",[2]Baskol!$I$620)</f>
        <v/>
      </c>
      <c r="Z617" t="str">
        <f>IF([2]Baskol!$J$620="","",[2]Baskol!$J$620)</f>
        <v/>
      </c>
      <c r="AA617" t="str">
        <f>IF([2]Baskol!$K$620="","",[2]Baskol!$K$620)</f>
        <v/>
      </c>
      <c r="AB617" t="str">
        <f>IF([2]Baskol!$L$620="","",[2]Baskol!$L$620)</f>
        <v/>
      </c>
      <c r="AC617" t="str">
        <f>IF([2]Baskol!$N$620="","",[2]Baskol!$N$620)</f>
        <v/>
      </c>
      <c r="AD617" t="str">
        <f>IF([2]Baskol!$O$620="","",[2]Baskol!$O$620)</f>
        <v/>
      </c>
      <c r="AE617" t="str">
        <f>IF([3]Entry!$C$620="","",[3]Entry!$C$620)</f>
        <v/>
      </c>
      <c r="AF617" t="str">
        <f>IF([3]Entry!$D$620="","",[3]Entry!$D$620)</f>
        <v/>
      </c>
      <c r="AG617" t="str">
        <f>IF([3]Entry!$E$620="","",[3]Entry!$E$620)</f>
        <v/>
      </c>
      <c r="AH617" t="str">
        <f>IF([3]Entry!$G$620="","",[3]Entry!$G$620)</f>
        <v/>
      </c>
      <c r="AI617" t="str">
        <f>IF([3]Entry!$K$620="","",[3]Entry!$K$620)</f>
        <v/>
      </c>
      <c r="AJ617" t="str">
        <f>IF([3]Entry!$L$620="","",[3]Entry!$L$620)</f>
        <v/>
      </c>
      <c r="AK617" t="str">
        <f>IF([3]Entry!$M$620="","",[3]Entry!$M$620)</f>
        <v/>
      </c>
      <c r="AL617" t="str">
        <f>IF([3]Entry!$N$620="","",[3]Entry!$N$620)</f>
        <v/>
      </c>
      <c r="AM617" t="str">
        <f>IF([3]Entry!$R$620="","",[3]Entry!$R$620)</f>
        <v/>
      </c>
    </row>
    <row r="618" spans="20:39" x14ac:dyDescent="0.2">
      <c r="T618" t="str">
        <f>IF([2]Baskol!$B$621="","",[2]Baskol!$B$621)</f>
        <v/>
      </c>
      <c r="U618" t="str">
        <f>IF([2]Baskol!$C$621="","",[2]Baskol!$C$621)</f>
        <v/>
      </c>
      <c r="V618" t="str">
        <f>IF([2]Baskol!$D$621="","",[2]Baskol!$D$621)</f>
        <v/>
      </c>
      <c r="W618" t="str">
        <f>IF([2]Baskol!$E$621="","",[2]Baskol!$E$621)</f>
        <v/>
      </c>
      <c r="X618" t="str">
        <f>IF([2]Baskol!$G$621="","",[2]Baskol!$G$621)</f>
        <v/>
      </c>
      <c r="Y618" t="str">
        <f>IF([2]Baskol!$I$621="","",[2]Baskol!$I$621)</f>
        <v/>
      </c>
      <c r="Z618" t="str">
        <f>IF([2]Baskol!$J$621="","",[2]Baskol!$J$621)</f>
        <v/>
      </c>
      <c r="AA618" t="str">
        <f>IF([2]Baskol!$K$621="","",[2]Baskol!$K$621)</f>
        <v/>
      </c>
      <c r="AB618" t="str">
        <f>IF([2]Baskol!$L$621="","",[2]Baskol!$L$621)</f>
        <v/>
      </c>
      <c r="AC618" t="str">
        <f>IF([2]Baskol!$N$621="","",[2]Baskol!$N$621)</f>
        <v/>
      </c>
      <c r="AD618" t="str">
        <f>IF([2]Baskol!$O$621="","",[2]Baskol!$O$621)</f>
        <v/>
      </c>
      <c r="AE618" t="str">
        <f>IF([3]Entry!$C$621="","",[3]Entry!$C$621)</f>
        <v/>
      </c>
      <c r="AF618" t="str">
        <f>IF([3]Entry!$D$621="","",[3]Entry!$D$621)</f>
        <v/>
      </c>
      <c r="AG618" t="str">
        <f>IF([3]Entry!$E$621="","",[3]Entry!$E$621)</f>
        <v/>
      </c>
      <c r="AH618" t="str">
        <f>IF([3]Entry!$G$621="","",[3]Entry!$G$621)</f>
        <v/>
      </c>
      <c r="AI618" t="str">
        <f>IF([3]Entry!$K$621="","",[3]Entry!$K$621)</f>
        <v/>
      </c>
      <c r="AJ618" t="str">
        <f>IF([3]Entry!$L$621="","",[3]Entry!$L$621)</f>
        <v/>
      </c>
      <c r="AK618" t="str">
        <f>IF([3]Entry!$M$621="","",[3]Entry!$M$621)</f>
        <v/>
      </c>
      <c r="AL618" t="str">
        <f>IF([3]Entry!$N$621="","",[3]Entry!$N$621)</f>
        <v/>
      </c>
      <c r="AM618" t="str">
        <f>IF([3]Entry!$R$621="","",[3]Entry!$R$621)</f>
        <v/>
      </c>
    </row>
    <row r="619" spans="20:39" x14ac:dyDescent="0.2">
      <c r="T619" t="str">
        <f>IF([2]Baskol!$B$622="","",[2]Baskol!$B$622)</f>
        <v/>
      </c>
      <c r="U619" t="str">
        <f>IF([2]Baskol!$C$622="","",[2]Baskol!$C$622)</f>
        <v/>
      </c>
      <c r="V619" t="str">
        <f>IF([2]Baskol!$D$622="","",[2]Baskol!$D$622)</f>
        <v/>
      </c>
      <c r="W619" t="str">
        <f>IF([2]Baskol!$E$622="","",[2]Baskol!$E$622)</f>
        <v/>
      </c>
      <c r="X619" t="str">
        <f>IF([2]Baskol!$G$622="","",[2]Baskol!$G$622)</f>
        <v/>
      </c>
      <c r="Y619" t="str">
        <f>IF([2]Baskol!$I$622="","",[2]Baskol!$I$622)</f>
        <v/>
      </c>
      <c r="Z619" t="str">
        <f>IF([2]Baskol!$J$622="","",[2]Baskol!$J$622)</f>
        <v/>
      </c>
      <c r="AA619" t="str">
        <f>IF([2]Baskol!$K$622="","",[2]Baskol!$K$622)</f>
        <v/>
      </c>
      <c r="AB619" t="str">
        <f>IF([2]Baskol!$L$622="","",[2]Baskol!$L$622)</f>
        <v/>
      </c>
      <c r="AC619" t="str">
        <f>IF([2]Baskol!$N$622="","",[2]Baskol!$N$622)</f>
        <v/>
      </c>
      <c r="AD619" t="str">
        <f>IF([2]Baskol!$O$622="","",[2]Baskol!$O$622)</f>
        <v/>
      </c>
      <c r="AE619" t="str">
        <f>IF([3]Entry!$C$622="","",[3]Entry!$C$622)</f>
        <v/>
      </c>
      <c r="AF619" t="str">
        <f>IF([3]Entry!$D$622="","",[3]Entry!$D$622)</f>
        <v/>
      </c>
      <c r="AG619" t="str">
        <f>IF([3]Entry!$E$622="","",[3]Entry!$E$622)</f>
        <v/>
      </c>
      <c r="AH619" t="str">
        <f>IF([3]Entry!$G$622="","",[3]Entry!$G$622)</f>
        <v/>
      </c>
      <c r="AI619" t="str">
        <f>IF([3]Entry!$K$622="","",[3]Entry!$K$622)</f>
        <v/>
      </c>
      <c r="AJ619" t="str">
        <f>IF([3]Entry!$L$622="","",[3]Entry!$L$622)</f>
        <v/>
      </c>
      <c r="AK619" t="str">
        <f>IF([3]Entry!$M$622="","",[3]Entry!$M$622)</f>
        <v/>
      </c>
      <c r="AL619" t="str">
        <f>IF([3]Entry!$N$622="","",[3]Entry!$N$622)</f>
        <v/>
      </c>
      <c r="AM619" t="str">
        <f>IF([3]Entry!$R$622="","",[3]Entry!$R$622)</f>
        <v/>
      </c>
    </row>
    <row r="620" spans="20:39" x14ac:dyDescent="0.2">
      <c r="T620" t="str">
        <f>IF([2]Baskol!$B$623="","",[2]Baskol!$B$623)</f>
        <v/>
      </c>
      <c r="U620" t="str">
        <f>IF([2]Baskol!$C$623="","",[2]Baskol!$C$623)</f>
        <v/>
      </c>
      <c r="V620" t="str">
        <f>IF([2]Baskol!$D$623="","",[2]Baskol!$D$623)</f>
        <v/>
      </c>
      <c r="W620" t="str">
        <f>IF([2]Baskol!$E$623="","",[2]Baskol!$E$623)</f>
        <v/>
      </c>
      <c r="X620" t="str">
        <f>IF([2]Baskol!$G$623="","",[2]Baskol!$G$623)</f>
        <v/>
      </c>
      <c r="Y620" t="str">
        <f>IF([2]Baskol!$I$623="","",[2]Baskol!$I$623)</f>
        <v/>
      </c>
      <c r="Z620" t="str">
        <f>IF([2]Baskol!$J$623="","",[2]Baskol!$J$623)</f>
        <v/>
      </c>
      <c r="AA620" t="str">
        <f>IF([2]Baskol!$K$623="","",[2]Baskol!$K$623)</f>
        <v/>
      </c>
      <c r="AB620" t="str">
        <f>IF([2]Baskol!$L$623="","",[2]Baskol!$L$623)</f>
        <v/>
      </c>
      <c r="AC620" t="str">
        <f>IF([2]Baskol!$N$623="","",[2]Baskol!$N$623)</f>
        <v/>
      </c>
      <c r="AD620" t="str">
        <f>IF([2]Baskol!$O$623="","",[2]Baskol!$O$623)</f>
        <v/>
      </c>
      <c r="AE620" t="str">
        <f>IF([3]Entry!$C$623="","",[3]Entry!$C$623)</f>
        <v/>
      </c>
      <c r="AF620" t="str">
        <f>IF([3]Entry!$D$623="","",[3]Entry!$D$623)</f>
        <v/>
      </c>
      <c r="AG620" t="str">
        <f>IF([3]Entry!$E$623="","",[3]Entry!$E$623)</f>
        <v/>
      </c>
      <c r="AH620" t="str">
        <f>IF([3]Entry!$G$623="","",[3]Entry!$G$623)</f>
        <v/>
      </c>
      <c r="AI620" t="str">
        <f>IF([3]Entry!$K$623="","",[3]Entry!$K$623)</f>
        <v/>
      </c>
      <c r="AJ620" t="str">
        <f>IF([3]Entry!$L$623="","",[3]Entry!$L$623)</f>
        <v/>
      </c>
      <c r="AK620" t="str">
        <f>IF([3]Entry!$M$623="","",[3]Entry!$M$623)</f>
        <v/>
      </c>
      <c r="AL620" t="str">
        <f>IF([3]Entry!$N$623="","",[3]Entry!$N$623)</f>
        <v/>
      </c>
      <c r="AM620" t="str">
        <f>IF([3]Entry!$R$623="","",[3]Entry!$R$623)</f>
        <v/>
      </c>
    </row>
    <row r="621" spans="20:39" x14ac:dyDescent="0.2">
      <c r="T621" t="str">
        <f>IF([2]Baskol!$B$624="","",[2]Baskol!$B$624)</f>
        <v/>
      </c>
      <c r="U621" t="str">
        <f>IF([2]Baskol!$C$624="","",[2]Baskol!$C$624)</f>
        <v/>
      </c>
      <c r="V621" t="str">
        <f>IF([2]Baskol!$D$624="","",[2]Baskol!$D$624)</f>
        <v/>
      </c>
      <c r="W621" t="str">
        <f>IF([2]Baskol!$E$624="","",[2]Baskol!$E$624)</f>
        <v/>
      </c>
      <c r="X621" t="str">
        <f>IF([2]Baskol!$G$624="","",[2]Baskol!$G$624)</f>
        <v/>
      </c>
      <c r="Y621" t="str">
        <f>IF([2]Baskol!$I$624="","",[2]Baskol!$I$624)</f>
        <v/>
      </c>
      <c r="Z621" t="str">
        <f>IF([2]Baskol!$J$624="","",[2]Baskol!$J$624)</f>
        <v/>
      </c>
      <c r="AA621" t="str">
        <f>IF([2]Baskol!$K$624="","",[2]Baskol!$K$624)</f>
        <v/>
      </c>
      <c r="AB621" t="str">
        <f>IF([2]Baskol!$L$624="","",[2]Baskol!$L$624)</f>
        <v/>
      </c>
      <c r="AC621" t="str">
        <f>IF([2]Baskol!$N$624="","",[2]Baskol!$N$624)</f>
        <v/>
      </c>
      <c r="AD621" t="str">
        <f>IF([2]Baskol!$O$624="","",[2]Baskol!$O$624)</f>
        <v/>
      </c>
      <c r="AE621" t="str">
        <f>IF([3]Entry!$C$624="","",[3]Entry!$C$624)</f>
        <v/>
      </c>
      <c r="AF621" t="str">
        <f>IF([3]Entry!$D$624="","",[3]Entry!$D$624)</f>
        <v/>
      </c>
      <c r="AG621" t="str">
        <f>IF([3]Entry!$E$624="","",[3]Entry!$E$624)</f>
        <v/>
      </c>
      <c r="AH621" t="str">
        <f>IF([3]Entry!$G$624="","",[3]Entry!$G$624)</f>
        <v/>
      </c>
      <c r="AI621" t="str">
        <f>IF([3]Entry!$K$624="","",[3]Entry!$K$624)</f>
        <v/>
      </c>
      <c r="AJ621" t="str">
        <f>IF([3]Entry!$L$624="","",[3]Entry!$L$624)</f>
        <v/>
      </c>
      <c r="AK621" t="str">
        <f>IF([3]Entry!$M$624="","",[3]Entry!$M$624)</f>
        <v/>
      </c>
      <c r="AL621" t="str">
        <f>IF([3]Entry!$N$624="","",[3]Entry!$N$624)</f>
        <v/>
      </c>
      <c r="AM621" t="str">
        <f>IF([3]Entry!$R$624="","",[3]Entry!$R$624)</f>
        <v/>
      </c>
    </row>
    <row r="622" spans="20:39" x14ac:dyDescent="0.2">
      <c r="T622" t="str">
        <f>IF([2]Baskol!$B$625="","",[2]Baskol!$B$625)</f>
        <v/>
      </c>
      <c r="U622" t="str">
        <f>IF([2]Baskol!$C$625="","",[2]Baskol!$C$625)</f>
        <v/>
      </c>
      <c r="V622" t="str">
        <f>IF([2]Baskol!$D$625="","",[2]Baskol!$D$625)</f>
        <v/>
      </c>
      <c r="W622" t="str">
        <f>IF([2]Baskol!$E$625="","",[2]Baskol!$E$625)</f>
        <v/>
      </c>
      <c r="X622" t="str">
        <f>IF([2]Baskol!$G$625="","",[2]Baskol!$G$625)</f>
        <v/>
      </c>
      <c r="Y622" t="str">
        <f>IF([2]Baskol!$I$625="","",[2]Baskol!$I$625)</f>
        <v/>
      </c>
      <c r="Z622" t="str">
        <f>IF([2]Baskol!$J$625="","",[2]Baskol!$J$625)</f>
        <v/>
      </c>
      <c r="AA622" t="str">
        <f>IF([2]Baskol!$K$625="","",[2]Baskol!$K$625)</f>
        <v/>
      </c>
      <c r="AB622" t="str">
        <f>IF([2]Baskol!$L$625="","",[2]Baskol!$L$625)</f>
        <v/>
      </c>
      <c r="AC622" t="str">
        <f>IF([2]Baskol!$N$625="","",[2]Baskol!$N$625)</f>
        <v/>
      </c>
      <c r="AD622" t="str">
        <f>IF([2]Baskol!$O$625="","",[2]Baskol!$O$625)</f>
        <v/>
      </c>
      <c r="AE622" t="str">
        <f>IF([3]Entry!$C$625="","",[3]Entry!$C$625)</f>
        <v/>
      </c>
      <c r="AF622" t="str">
        <f>IF([3]Entry!$D$625="","",[3]Entry!$D$625)</f>
        <v/>
      </c>
      <c r="AG622" t="str">
        <f>IF([3]Entry!$E$625="","",[3]Entry!$E$625)</f>
        <v/>
      </c>
      <c r="AH622" t="str">
        <f>IF([3]Entry!$G$625="","",[3]Entry!$G$625)</f>
        <v/>
      </c>
      <c r="AI622" t="str">
        <f>IF([3]Entry!$K$625="","",[3]Entry!$K$625)</f>
        <v/>
      </c>
      <c r="AJ622" t="str">
        <f>IF([3]Entry!$L$625="","",[3]Entry!$L$625)</f>
        <v/>
      </c>
      <c r="AK622" t="str">
        <f>IF([3]Entry!$M$625="","",[3]Entry!$M$625)</f>
        <v/>
      </c>
      <c r="AL622" t="str">
        <f>IF([3]Entry!$N$625="","",[3]Entry!$N$625)</f>
        <v/>
      </c>
      <c r="AM622" t="str">
        <f>IF([3]Entry!$R$625="","",[3]Entry!$R$625)</f>
        <v/>
      </c>
    </row>
    <row r="623" spans="20:39" x14ac:dyDescent="0.2">
      <c r="T623" t="str">
        <f>IF([2]Baskol!$B$626="","",[2]Baskol!$B$626)</f>
        <v/>
      </c>
      <c r="U623" t="str">
        <f>IF([2]Baskol!$C$626="","",[2]Baskol!$C$626)</f>
        <v/>
      </c>
      <c r="V623" t="str">
        <f>IF([2]Baskol!$D$626="","",[2]Baskol!$D$626)</f>
        <v/>
      </c>
      <c r="W623" t="str">
        <f>IF([2]Baskol!$E$626="","",[2]Baskol!$E$626)</f>
        <v/>
      </c>
      <c r="X623" t="str">
        <f>IF([2]Baskol!$G$626="","",[2]Baskol!$G$626)</f>
        <v/>
      </c>
      <c r="Y623" t="str">
        <f>IF([2]Baskol!$I$626="","",[2]Baskol!$I$626)</f>
        <v/>
      </c>
      <c r="Z623" t="str">
        <f>IF([2]Baskol!$J$626="","",[2]Baskol!$J$626)</f>
        <v/>
      </c>
      <c r="AA623" t="str">
        <f>IF([2]Baskol!$K$626="","",[2]Baskol!$K$626)</f>
        <v/>
      </c>
      <c r="AB623" t="str">
        <f>IF([2]Baskol!$L$626="","",[2]Baskol!$L$626)</f>
        <v/>
      </c>
      <c r="AC623" t="str">
        <f>IF([2]Baskol!$N$626="","",[2]Baskol!$N$626)</f>
        <v/>
      </c>
      <c r="AD623" t="str">
        <f>IF([2]Baskol!$O$626="","",[2]Baskol!$O$626)</f>
        <v/>
      </c>
      <c r="AE623" t="str">
        <f>IF([3]Entry!$C$626="","",[3]Entry!$C$626)</f>
        <v/>
      </c>
      <c r="AF623" t="str">
        <f>IF([3]Entry!$D$626="","",[3]Entry!$D$626)</f>
        <v/>
      </c>
      <c r="AG623" t="str">
        <f>IF([3]Entry!$E$626="","",[3]Entry!$E$626)</f>
        <v/>
      </c>
      <c r="AH623" t="str">
        <f>IF([3]Entry!$G$626="","",[3]Entry!$G$626)</f>
        <v/>
      </c>
      <c r="AI623" t="str">
        <f>IF([3]Entry!$K$626="","",[3]Entry!$K$626)</f>
        <v/>
      </c>
      <c r="AJ623" t="str">
        <f>IF([3]Entry!$L$626="","",[3]Entry!$L$626)</f>
        <v/>
      </c>
      <c r="AK623" t="str">
        <f>IF([3]Entry!$M$626="","",[3]Entry!$M$626)</f>
        <v/>
      </c>
      <c r="AL623" t="str">
        <f>IF([3]Entry!$N$626="","",[3]Entry!$N$626)</f>
        <v/>
      </c>
      <c r="AM623" t="str">
        <f>IF([3]Entry!$R$626="","",[3]Entry!$R$626)</f>
        <v/>
      </c>
    </row>
    <row r="624" spans="20:39" x14ac:dyDescent="0.2">
      <c r="T624" t="str">
        <f>IF([2]Baskol!$B$627="","",[2]Baskol!$B$627)</f>
        <v/>
      </c>
      <c r="U624" t="str">
        <f>IF([2]Baskol!$C$627="","",[2]Baskol!$C$627)</f>
        <v/>
      </c>
      <c r="V624" t="str">
        <f>IF([2]Baskol!$D$627="","",[2]Baskol!$D$627)</f>
        <v/>
      </c>
      <c r="W624" t="str">
        <f>IF([2]Baskol!$E$627="","",[2]Baskol!$E$627)</f>
        <v/>
      </c>
      <c r="X624" t="str">
        <f>IF([2]Baskol!$G$627="","",[2]Baskol!$G$627)</f>
        <v/>
      </c>
      <c r="Y624" t="str">
        <f>IF([2]Baskol!$I$627="","",[2]Baskol!$I$627)</f>
        <v/>
      </c>
      <c r="Z624" t="str">
        <f>IF([2]Baskol!$J$627="","",[2]Baskol!$J$627)</f>
        <v/>
      </c>
      <c r="AA624" t="str">
        <f>IF([2]Baskol!$K$627="","",[2]Baskol!$K$627)</f>
        <v/>
      </c>
      <c r="AB624" t="str">
        <f>IF([2]Baskol!$L$627="","",[2]Baskol!$L$627)</f>
        <v/>
      </c>
      <c r="AC624" t="str">
        <f>IF([2]Baskol!$N$627="","",[2]Baskol!$N$627)</f>
        <v/>
      </c>
      <c r="AD624" t="str">
        <f>IF([2]Baskol!$O$627="","",[2]Baskol!$O$627)</f>
        <v/>
      </c>
      <c r="AE624" t="str">
        <f>IF([3]Entry!$C$627="","",[3]Entry!$C$627)</f>
        <v/>
      </c>
      <c r="AF624" t="str">
        <f>IF([3]Entry!$D$627="","",[3]Entry!$D$627)</f>
        <v/>
      </c>
      <c r="AG624" t="str">
        <f>IF([3]Entry!$E$627="","",[3]Entry!$E$627)</f>
        <v/>
      </c>
      <c r="AH624" t="str">
        <f>IF([3]Entry!$G$627="","",[3]Entry!$G$627)</f>
        <v/>
      </c>
      <c r="AI624" t="str">
        <f>IF([3]Entry!$K$627="","",[3]Entry!$K$627)</f>
        <v/>
      </c>
      <c r="AJ624" t="str">
        <f>IF([3]Entry!$L$627="","",[3]Entry!$L$627)</f>
        <v/>
      </c>
      <c r="AK624" t="str">
        <f>IF([3]Entry!$M$627="","",[3]Entry!$M$627)</f>
        <v/>
      </c>
      <c r="AL624" t="str">
        <f>IF([3]Entry!$N$627="","",[3]Entry!$N$627)</f>
        <v/>
      </c>
      <c r="AM624" t="str">
        <f>IF([3]Entry!$R$627="","",[3]Entry!$R$627)</f>
        <v/>
      </c>
    </row>
    <row r="625" spans="20:39" x14ac:dyDescent="0.2">
      <c r="T625" t="str">
        <f>IF([2]Baskol!$B$628="","",[2]Baskol!$B$628)</f>
        <v/>
      </c>
      <c r="U625" t="str">
        <f>IF([2]Baskol!$C$628="","",[2]Baskol!$C$628)</f>
        <v/>
      </c>
      <c r="V625" t="str">
        <f>IF([2]Baskol!$D$628="","",[2]Baskol!$D$628)</f>
        <v/>
      </c>
      <c r="W625" t="str">
        <f>IF([2]Baskol!$E$628="","",[2]Baskol!$E$628)</f>
        <v/>
      </c>
      <c r="X625" t="str">
        <f>IF([2]Baskol!$G$628="","",[2]Baskol!$G$628)</f>
        <v/>
      </c>
      <c r="Y625" t="str">
        <f>IF([2]Baskol!$I$628="","",[2]Baskol!$I$628)</f>
        <v/>
      </c>
      <c r="Z625" t="str">
        <f>IF([2]Baskol!$J$628="","",[2]Baskol!$J$628)</f>
        <v/>
      </c>
      <c r="AA625" t="str">
        <f>IF([2]Baskol!$K$628="","",[2]Baskol!$K$628)</f>
        <v/>
      </c>
      <c r="AB625" t="str">
        <f>IF([2]Baskol!$L$628="","",[2]Baskol!$L$628)</f>
        <v/>
      </c>
      <c r="AC625" t="str">
        <f>IF([2]Baskol!$N$628="","",[2]Baskol!$N$628)</f>
        <v/>
      </c>
      <c r="AD625" t="str">
        <f>IF([2]Baskol!$O$628="","",[2]Baskol!$O$628)</f>
        <v/>
      </c>
      <c r="AE625" t="str">
        <f>IF([3]Entry!$C$628="","",[3]Entry!$C$628)</f>
        <v/>
      </c>
      <c r="AF625" t="str">
        <f>IF([3]Entry!$D$628="","",[3]Entry!$D$628)</f>
        <v/>
      </c>
      <c r="AG625" t="str">
        <f>IF([3]Entry!$E$628="","",[3]Entry!$E$628)</f>
        <v/>
      </c>
      <c r="AH625" t="str">
        <f>IF([3]Entry!$G$628="","",[3]Entry!$G$628)</f>
        <v/>
      </c>
      <c r="AI625" t="str">
        <f>IF([3]Entry!$K$628="","",[3]Entry!$K$628)</f>
        <v/>
      </c>
      <c r="AJ625" t="str">
        <f>IF([3]Entry!$L$628="","",[3]Entry!$L$628)</f>
        <v/>
      </c>
      <c r="AK625" t="str">
        <f>IF([3]Entry!$M$628="","",[3]Entry!$M$628)</f>
        <v/>
      </c>
      <c r="AL625" t="str">
        <f>IF([3]Entry!$N$628="","",[3]Entry!$N$628)</f>
        <v/>
      </c>
      <c r="AM625" t="str">
        <f>IF([3]Entry!$R$628="","",[3]Entry!$R$628)</f>
        <v/>
      </c>
    </row>
    <row r="626" spans="20:39" x14ac:dyDescent="0.2">
      <c r="T626" t="str">
        <f>IF([2]Baskol!$B$629="","",[2]Baskol!$B$629)</f>
        <v/>
      </c>
      <c r="U626" t="str">
        <f>IF([2]Baskol!$C$629="","",[2]Baskol!$C$629)</f>
        <v/>
      </c>
      <c r="V626" t="str">
        <f>IF([2]Baskol!$D$629="","",[2]Baskol!$D$629)</f>
        <v/>
      </c>
      <c r="W626" t="str">
        <f>IF([2]Baskol!$E$629="","",[2]Baskol!$E$629)</f>
        <v/>
      </c>
      <c r="X626" t="str">
        <f>IF([2]Baskol!$G$629="","",[2]Baskol!$G$629)</f>
        <v/>
      </c>
      <c r="Y626" t="str">
        <f>IF([2]Baskol!$I$629="","",[2]Baskol!$I$629)</f>
        <v/>
      </c>
      <c r="Z626" t="str">
        <f>IF([2]Baskol!$J$629="","",[2]Baskol!$J$629)</f>
        <v/>
      </c>
      <c r="AA626" t="str">
        <f>IF([2]Baskol!$K$629="","",[2]Baskol!$K$629)</f>
        <v/>
      </c>
      <c r="AB626" t="str">
        <f>IF([2]Baskol!$L$629="","",[2]Baskol!$L$629)</f>
        <v/>
      </c>
      <c r="AC626" t="str">
        <f>IF([2]Baskol!$N$629="","",[2]Baskol!$N$629)</f>
        <v/>
      </c>
      <c r="AD626" t="str">
        <f>IF([2]Baskol!$O$629="","",[2]Baskol!$O$629)</f>
        <v/>
      </c>
      <c r="AE626" t="str">
        <f>IF([3]Entry!$C$629="","",[3]Entry!$C$629)</f>
        <v/>
      </c>
      <c r="AF626" t="str">
        <f>IF([3]Entry!$D$629="","",[3]Entry!$D$629)</f>
        <v/>
      </c>
      <c r="AG626" t="str">
        <f>IF([3]Entry!$E$629="","",[3]Entry!$E$629)</f>
        <v/>
      </c>
      <c r="AH626" t="str">
        <f>IF([3]Entry!$G$629="","",[3]Entry!$G$629)</f>
        <v/>
      </c>
      <c r="AI626" t="str">
        <f>IF([3]Entry!$K$629="","",[3]Entry!$K$629)</f>
        <v/>
      </c>
      <c r="AJ626" t="str">
        <f>IF([3]Entry!$L$629="","",[3]Entry!$L$629)</f>
        <v/>
      </c>
      <c r="AK626" t="str">
        <f>IF([3]Entry!$M$629="","",[3]Entry!$M$629)</f>
        <v/>
      </c>
      <c r="AL626" t="str">
        <f>IF([3]Entry!$N$629="","",[3]Entry!$N$629)</f>
        <v/>
      </c>
      <c r="AM626" t="str">
        <f>IF([3]Entry!$R$629="","",[3]Entry!$R$629)</f>
        <v/>
      </c>
    </row>
    <row r="627" spans="20:39" x14ac:dyDescent="0.2">
      <c r="T627" t="str">
        <f>IF([2]Baskol!$B$630="","",[2]Baskol!$B$630)</f>
        <v/>
      </c>
      <c r="U627" t="str">
        <f>IF([2]Baskol!$C$630="","",[2]Baskol!$C$630)</f>
        <v/>
      </c>
      <c r="V627" t="str">
        <f>IF([2]Baskol!$D$630="","",[2]Baskol!$D$630)</f>
        <v/>
      </c>
      <c r="W627" t="str">
        <f>IF([2]Baskol!$E$630="","",[2]Baskol!$E$630)</f>
        <v/>
      </c>
      <c r="X627" t="str">
        <f>IF([2]Baskol!$G$630="","",[2]Baskol!$G$630)</f>
        <v/>
      </c>
      <c r="Y627" t="str">
        <f>IF([2]Baskol!$I$630="","",[2]Baskol!$I$630)</f>
        <v/>
      </c>
      <c r="Z627" t="str">
        <f>IF([2]Baskol!$J$630="","",[2]Baskol!$J$630)</f>
        <v/>
      </c>
      <c r="AA627" t="str">
        <f>IF([2]Baskol!$K$630="","",[2]Baskol!$K$630)</f>
        <v/>
      </c>
      <c r="AB627" t="str">
        <f>IF([2]Baskol!$L$630="","",[2]Baskol!$L$630)</f>
        <v/>
      </c>
      <c r="AC627" t="str">
        <f>IF([2]Baskol!$N$630="","",[2]Baskol!$N$630)</f>
        <v/>
      </c>
      <c r="AD627" t="str">
        <f>IF([2]Baskol!$O$630="","",[2]Baskol!$O$630)</f>
        <v/>
      </c>
      <c r="AE627" t="str">
        <f>IF([3]Entry!$C$630="","",[3]Entry!$C$630)</f>
        <v/>
      </c>
      <c r="AF627" t="str">
        <f>IF([3]Entry!$D$630="","",[3]Entry!$D$630)</f>
        <v/>
      </c>
      <c r="AG627" t="str">
        <f>IF([3]Entry!$E$630="","",[3]Entry!$E$630)</f>
        <v/>
      </c>
      <c r="AH627" t="str">
        <f>IF([3]Entry!$G$630="","",[3]Entry!$G$630)</f>
        <v/>
      </c>
      <c r="AI627" t="str">
        <f>IF([3]Entry!$K$630="","",[3]Entry!$K$630)</f>
        <v/>
      </c>
      <c r="AJ627" t="str">
        <f>IF([3]Entry!$L$630="","",[3]Entry!$L$630)</f>
        <v/>
      </c>
      <c r="AK627" t="str">
        <f>IF([3]Entry!$M$630="","",[3]Entry!$M$630)</f>
        <v/>
      </c>
      <c r="AL627" t="str">
        <f>IF([3]Entry!$N$630="","",[3]Entry!$N$630)</f>
        <v/>
      </c>
      <c r="AM627" t="str">
        <f>IF([3]Entry!$R$630="","",[3]Entry!$R$630)</f>
        <v/>
      </c>
    </row>
    <row r="628" spans="20:39" x14ac:dyDescent="0.2">
      <c r="T628" t="str">
        <f>IF([2]Baskol!$B$631="","",[2]Baskol!$B$631)</f>
        <v/>
      </c>
      <c r="U628" t="str">
        <f>IF([2]Baskol!$C$631="","",[2]Baskol!$C$631)</f>
        <v/>
      </c>
      <c r="V628" t="str">
        <f>IF([2]Baskol!$D$631="","",[2]Baskol!$D$631)</f>
        <v/>
      </c>
      <c r="W628" t="str">
        <f>IF([2]Baskol!$E$631="","",[2]Baskol!$E$631)</f>
        <v/>
      </c>
      <c r="X628" t="str">
        <f>IF([2]Baskol!$G$631="","",[2]Baskol!$G$631)</f>
        <v/>
      </c>
      <c r="Y628" t="str">
        <f>IF([2]Baskol!$I$631="","",[2]Baskol!$I$631)</f>
        <v/>
      </c>
      <c r="Z628" t="str">
        <f>IF([2]Baskol!$J$631="","",[2]Baskol!$J$631)</f>
        <v/>
      </c>
      <c r="AA628" t="str">
        <f>IF([2]Baskol!$K$631="","",[2]Baskol!$K$631)</f>
        <v/>
      </c>
      <c r="AB628" t="str">
        <f>IF([2]Baskol!$L$631="","",[2]Baskol!$L$631)</f>
        <v/>
      </c>
      <c r="AC628" t="str">
        <f>IF([2]Baskol!$N$631="","",[2]Baskol!$N$631)</f>
        <v/>
      </c>
      <c r="AD628" t="str">
        <f>IF([2]Baskol!$O$631="","",[2]Baskol!$O$631)</f>
        <v/>
      </c>
      <c r="AE628" t="str">
        <f>IF([3]Entry!$C$631="","",[3]Entry!$C$631)</f>
        <v/>
      </c>
      <c r="AF628" t="str">
        <f>IF([3]Entry!$D$631="","",[3]Entry!$D$631)</f>
        <v/>
      </c>
      <c r="AG628" t="str">
        <f>IF([3]Entry!$E$631="","",[3]Entry!$E$631)</f>
        <v/>
      </c>
      <c r="AH628" t="str">
        <f>IF([3]Entry!$G$631="","",[3]Entry!$G$631)</f>
        <v/>
      </c>
      <c r="AI628" t="str">
        <f>IF([3]Entry!$K$631="","",[3]Entry!$K$631)</f>
        <v/>
      </c>
      <c r="AJ628" t="str">
        <f>IF([3]Entry!$L$631="","",[3]Entry!$L$631)</f>
        <v/>
      </c>
      <c r="AK628" t="str">
        <f>IF([3]Entry!$M$631="","",[3]Entry!$M$631)</f>
        <v/>
      </c>
      <c r="AL628" t="str">
        <f>IF([3]Entry!$N$631="","",[3]Entry!$N$631)</f>
        <v/>
      </c>
      <c r="AM628" t="str">
        <f>IF([3]Entry!$R$631="","",[3]Entry!$R$631)</f>
        <v/>
      </c>
    </row>
    <row r="629" spans="20:39" x14ac:dyDescent="0.2">
      <c r="T629" t="str">
        <f>IF([2]Baskol!$B$632="","",[2]Baskol!$B$632)</f>
        <v/>
      </c>
      <c r="U629" t="str">
        <f>IF([2]Baskol!$C$632="","",[2]Baskol!$C$632)</f>
        <v/>
      </c>
      <c r="V629" t="str">
        <f>IF([2]Baskol!$D$632="","",[2]Baskol!$D$632)</f>
        <v/>
      </c>
      <c r="W629" t="str">
        <f>IF([2]Baskol!$E$632="","",[2]Baskol!$E$632)</f>
        <v/>
      </c>
      <c r="X629" t="str">
        <f>IF([2]Baskol!$G$632="","",[2]Baskol!$G$632)</f>
        <v/>
      </c>
      <c r="Y629" t="str">
        <f>IF([2]Baskol!$I$632="","",[2]Baskol!$I$632)</f>
        <v/>
      </c>
      <c r="Z629" t="str">
        <f>IF([2]Baskol!$J$632="","",[2]Baskol!$J$632)</f>
        <v/>
      </c>
      <c r="AA629" t="str">
        <f>IF([2]Baskol!$K$632="","",[2]Baskol!$K$632)</f>
        <v/>
      </c>
      <c r="AB629" t="str">
        <f>IF([2]Baskol!$L$632="","",[2]Baskol!$L$632)</f>
        <v/>
      </c>
      <c r="AC629" t="str">
        <f>IF([2]Baskol!$N$632="","",[2]Baskol!$N$632)</f>
        <v/>
      </c>
      <c r="AD629" t="str">
        <f>IF([2]Baskol!$O$632="","",[2]Baskol!$O$632)</f>
        <v/>
      </c>
      <c r="AE629" t="str">
        <f>IF([3]Entry!$C$632="","",[3]Entry!$C$632)</f>
        <v/>
      </c>
      <c r="AF629" t="str">
        <f>IF([3]Entry!$D$632="","",[3]Entry!$D$632)</f>
        <v/>
      </c>
      <c r="AG629" t="str">
        <f>IF([3]Entry!$E$632="","",[3]Entry!$E$632)</f>
        <v/>
      </c>
      <c r="AH629" t="str">
        <f>IF([3]Entry!$G$632="","",[3]Entry!$G$632)</f>
        <v/>
      </c>
      <c r="AI629" t="str">
        <f>IF([3]Entry!$K$632="","",[3]Entry!$K$632)</f>
        <v/>
      </c>
      <c r="AJ629" t="str">
        <f>IF([3]Entry!$L$632="","",[3]Entry!$L$632)</f>
        <v/>
      </c>
      <c r="AK629" t="str">
        <f>IF([3]Entry!$M$632="","",[3]Entry!$M$632)</f>
        <v/>
      </c>
      <c r="AL629" t="str">
        <f>IF([3]Entry!$N$632="","",[3]Entry!$N$632)</f>
        <v/>
      </c>
      <c r="AM629" t="str">
        <f>IF([3]Entry!$R$632="","",[3]Entry!$R$632)</f>
        <v/>
      </c>
    </row>
    <row r="630" spans="20:39" x14ac:dyDescent="0.2">
      <c r="T630" t="str">
        <f>IF([2]Baskol!$B$633="","",[2]Baskol!$B$633)</f>
        <v/>
      </c>
      <c r="U630" t="str">
        <f>IF([2]Baskol!$C$633="","",[2]Baskol!$C$633)</f>
        <v/>
      </c>
      <c r="V630" t="str">
        <f>IF([2]Baskol!$D$633="","",[2]Baskol!$D$633)</f>
        <v/>
      </c>
      <c r="W630" t="str">
        <f>IF([2]Baskol!$E$633="","",[2]Baskol!$E$633)</f>
        <v/>
      </c>
      <c r="X630" t="str">
        <f>IF([2]Baskol!$G$633="","",[2]Baskol!$G$633)</f>
        <v/>
      </c>
      <c r="Y630" t="str">
        <f>IF([2]Baskol!$I$633="","",[2]Baskol!$I$633)</f>
        <v/>
      </c>
      <c r="Z630" t="str">
        <f>IF([2]Baskol!$J$633="","",[2]Baskol!$J$633)</f>
        <v/>
      </c>
      <c r="AA630" t="str">
        <f>IF([2]Baskol!$K$633="","",[2]Baskol!$K$633)</f>
        <v/>
      </c>
      <c r="AB630" t="str">
        <f>IF([2]Baskol!$L$633="","",[2]Baskol!$L$633)</f>
        <v/>
      </c>
      <c r="AC630" t="str">
        <f>IF([2]Baskol!$N$633="","",[2]Baskol!$N$633)</f>
        <v/>
      </c>
      <c r="AD630" t="str">
        <f>IF([2]Baskol!$O$633="","",[2]Baskol!$O$633)</f>
        <v/>
      </c>
      <c r="AE630" t="str">
        <f>IF([3]Entry!$C$633="","",[3]Entry!$C$633)</f>
        <v/>
      </c>
      <c r="AF630" t="str">
        <f>IF([3]Entry!$D$633="","",[3]Entry!$D$633)</f>
        <v/>
      </c>
      <c r="AG630" t="str">
        <f>IF([3]Entry!$E$633="","",[3]Entry!$E$633)</f>
        <v/>
      </c>
      <c r="AH630" t="str">
        <f>IF([3]Entry!$G$633="","",[3]Entry!$G$633)</f>
        <v/>
      </c>
      <c r="AI630" t="str">
        <f>IF([3]Entry!$K$633="","",[3]Entry!$K$633)</f>
        <v/>
      </c>
      <c r="AJ630" t="str">
        <f>IF([3]Entry!$L$633="","",[3]Entry!$L$633)</f>
        <v/>
      </c>
      <c r="AK630" t="str">
        <f>IF([3]Entry!$M$633="","",[3]Entry!$M$633)</f>
        <v/>
      </c>
      <c r="AL630" t="str">
        <f>IF([3]Entry!$N$633="","",[3]Entry!$N$633)</f>
        <v/>
      </c>
      <c r="AM630" t="str">
        <f>IF([3]Entry!$R$633="","",[3]Entry!$R$633)</f>
        <v/>
      </c>
    </row>
    <row r="631" spans="20:39" x14ac:dyDescent="0.2">
      <c r="T631" t="str">
        <f>IF([2]Baskol!$B$634="","",[2]Baskol!$B$634)</f>
        <v/>
      </c>
      <c r="U631" t="str">
        <f>IF([2]Baskol!$C$634="","",[2]Baskol!$C$634)</f>
        <v/>
      </c>
      <c r="V631" t="str">
        <f>IF([2]Baskol!$D$634="","",[2]Baskol!$D$634)</f>
        <v/>
      </c>
      <c r="W631" t="str">
        <f>IF([2]Baskol!$E$634="","",[2]Baskol!$E$634)</f>
        <v/>
      </c>
      <c r="X631" t="str">
        <f>IF([2]Baskol!$G$634="","",[2]Baskol!$G$634)</f>
        <v/>
      </c>
      <c r="Y631" t="str">
        <f>IF([2]Baskol!$I$634="","",[2]Baskol!$I$634)</f>
        <v/>
      </c>
      <c r="Z631" t="str">
        <f>IF([2]Baskol!$J$634="","",[2]Baskol!$J$634)</f>
        <v/>
      </c>
      <c r="AA631" t="str">
        <f>IF([2]Baskol!$K$634="","",[2]Baskol!$K$634)</f>
        <v/>
      </c>
      <c r="AB631" t="str">
        <f>IF([2]Baskol!$L$634="","",[2]Baskol!$L$634)</f>
        <v/>
      </c>
      <c r="AC631" t="str">
        <f>IF([2]Baskol!$N$634="","",[2]Baskol!$N$634)</f>
        <v/>
      </c>
      <c r="AD631" t="str">
        <f>IF([2]Baskol!$O$634="","",[2]Baskol!$O$634)</f>
        <v/>
      </c>
      <c r="AE631" t="str">
        <f>IF([3]Entry!$C$634="","",[3]Entry!$C$634)</f>
        <v/>
      </c>
      <c r="AF631" t="str">
        <f>IF([3]Entry!$D$634="","",[3]Entry!$D$634)</f>
        <v/>
      </c>
      <c r="AG631" t="str">
        <f>IF([3]Entry!$E$634="","",[3]Entry!$E$634)</f>
        <v/>
      </c>
      <c r="AH631" t="str">
        <f>IF([3]Entry!$G$634="","",[3]Entry!$G$634)</f>
        <v/>
      </c>
      <c r="AI631" t="str">
        <f>IF([3]Entry!$K$634="","",[3]Entry!$K$634)</f>
        <v/>
      </c>
      <c r="AJ631" t="str">
        <f>IF([3]Entry!$L$634="","",[3]Entry!$L$634)</f>
        <v/>
      </c>
      <c r="AK631" t="str">
        <f>IF([3]Entry!$M$634="","",[3]Entry!$M$634)</f>
        <v/>
      </c>
      <c r="AL631" t="str">
        <f>IF([3]Entry!$N$634="","",[3]Entry!$N$634)</f>
        <v/>
      </c>
      <c r="AM631" t="str">
        <f>IF([3]Entry!$R$634="","",[3]Entry!$R$634)</f>
        <v/>
      </c>
    </row>
    <row r="632" spans="20:39" x14ac:dyDescent="0.2">
      <c r="T632" t="str">
        <f>IF([2]Baskol!$B$635="","",[2]Baskol!$B$635)</f>
        <v/>
      </c>
      <c r="U632" t="str">
        <f>IF([2]Baskol!$C$635="","",[2]Baskol!$C$635)</f>
        <v/>
      </c>
      <c r="V632" t="str">
        <f>IF([2]Baskol!$D$635="","",[2]Baskol!$D$635)</f>
        <v/>
      </c>
      <c r="W632" t="str">
        <f>IF([2]Baskol!$E$635="","",[2]Baskol!$E$635)</f>
        <v/>
      </c>
      <c r="X632" t="str">
        <f>IF([2]Baskol!$G$635="","",[2]Baskol!$G$635)</f>
        <v/>
      </c>
      <c r="Y632" t="str">
        <f>IF([2]Baskol!$I$635="","",[2]Baskol!$I$635)</f>
        <v/>
      </c>
      <c r="Z632" t="str">
        <f>IF([2]Baskol!$J$635="","",[2]Baskol!$J$635)</f>
        <v/>
      </c>
      <c r="AA632" t="str">
        <f>IF([2]Baskol!$K$635="","",[2]Baskol!$K$635)</f>
        <v/>
      </c>
      <c r="AB632" t="str">
        <f>IF([2]Baskol!$L$635="","",[2]Baskol!$L$635)</f>
        <v/>
      </c>
      <c r="AC632" t="str">
        <f>IF([2]Baskol!$N$635="","",[2]Baskol!$N$635)</f>
        <v/>
      </c>
      <c r="AD632" t="str">
        <f>IF([2]Baskol!$O$635="","",[2]Baskol!$O$635)</f>
        <v/>
      </c>
      <c r="AE632" t="str">
        <f>IF([3]Entry!$C$635="","",[3]Entry!$C$635)</f>
        <v/>
      </c>
      <c r="AF632" t="str">
        <f>IF([3]Entry!$D$635="","",[3]Entry!$D$635)</f>
        <v/>
      </c>
      <c r="AG632" t="str">
        <f>IF([3]Entry!$E$635="","",[3]Entry!$E$635)</f>
        <v/>
      </c>
      <c r="AH632" t="str">
        <f>IF([3]Entry!$G$635="","",[3]Entry!$G$635)</f>
        <v/>
      </c>
      <c r="AI632" t="str">
        <f>IF([3]Entry!$K$635="","",[3]Entry!$K$635)</f>
        <v/>
      </c>
      <c r="AJ632" t="str">
        <f>IF([3]Entry!$L$635="","",[3]Entry!$L$635)</f>
        <v/>
      </c>
      <c r="AK632" t="str">
        <f>IF([3]Entry!$M$635="","",[3]Entry!$M$635)</f>
        <v/>
      </c>
      <c r="AL632" t="str">
        <f>IF([3]Entry!$N$635="","",[3]Entry!$N$635)</f>
        <v/>
      </c>
      <c r="AM632" t="str">
        <f>IF([3]Entry!$R$635="","",[3]Entry!$R$635)</f>
        <v/>
      </c>
    </row>
    <row r="633" spans="20:39" x14ac:dyDescent="0.2">
      <c r="T633" t="str">
        <f>IF([2]Baskol!$B$636="","",[2]Baskol!$B$636)</f>
        <v/>
      </c>
      <c r="U633" t="str">
        <f>IF([2]Baskol!$C$636="","",[2]Baskol!$C$636)</f>
        <v/>
      </c>
      <c r="V633" t="str">
        <f>IF([2]Baskol!$D$636="","",[2]Baskol!$D$636)</f>
        <v/>
      </c>
      <c r="W633" t="str">
        <f>IF([2]Baskol!$E$636="","",[2]Baskol!$E$636)</f>
        <v/>
      </c>
      <c r="X633" t="str">
        <f>IF([2]Baskol!$G$636="","",[2]Baskol!$G$636)</f>
        <v/>
      </c>
      <c r="Y633" t="str">
        <f>IF([2]Baskol!$I$636="","",[2]Baskol!$I$636)</f>
        <v/>
      </c>
      <c r="Z633" t="str">
        <f>IF([2]Baskol!$J$636="","",[2]Baskol!$J$636)</f>
        <v/>
      </c>
      <c r="AA633" t="str">
        <f>IF([2]Baskol!$K$636="","",[2]Baskol!$K$636)</f>
        <v/>
      </c>
      <c r="AB633" t="str">
        <f>IF([2]Baskol!$L$636="","",[2]Baskol!$L$636)</f>
        <v/>
      </c>
      <c r="AC633" t="str">
        <f>IF([2]Baskol!$N$636="","",[2]Baskol!$N$636)</f>
        <v/>
      </c>
      <c r="AD633" t="str">
        <f>IF([2]Baskol!$O$636="","",[2]Baskol!$O$636)</f>
        <v/>
      </c>
      <c r="AE633" t="str">
        <f>IF([3]Entry!$C$636="","",[3]Entry!$C$636)</f>
        <v/>
      </c>
      <c r="AF633" t="str">
        <f>IF([3]Entry!$D$636="","",[3]Entry!$D$636)</f>
        <v/>
      </c>
      <c r="AG633" t="str">
        <f>IF([3]Entry!$E$636="","",[3]Entry!$E$636)</f>
        <v/>
      </c>
      <c r="AH633" t="str">
        <f>IF([3]Entry!$G$636="","",[3]Entry!$G$636)</f>
        <v/>
      </c>
      <c r="AI633" t="str">
        <f>IF([3]Entry!$K$636="","",[3]Entry!$K$636)</f>
        <v/>
      </c>
      <c r="AJ633" t="str">
        <f>IF([3]Entry!$L$636="","",[3]Entry!$L$636)</f>
        <v/>
      </c>
      <c r="AK633" t="str">
        <f>IF([3]Entry!$M$636="","",[3]Entry!$M$636)</f>
        <v/>
      </c>
      <c r="AL633" t="str">
        <f>IF([3]Entry!$N$636="","",[3]Entry!$N$636)</f>
        <v/>
      </c>
      <c r="AM633" t="str">
        <f>IF([3]Entry!$R$636="","",[3]Entry!$R$636)</f>
        <v/>
      </c>
    </row>
    <row r="634" spans="20:39" x14ac:dyDescent="0.2">
      <c r="T634" t="str">
        <f>IF([2]Baskol!$B$637="","",[2]Baskol!$B$637)</f>
        <v/>
      </c>
      <c r="U634" t="str">
        <f>IF([2]Baskol!$C$637="","",[2]Baskol!$C$637)</f>
        <v/>
      </c>
      <c r="V634" t="str">
        <f>IF([2]Baskol!$D$637="","",[2]Baskol!$D$637)</f>
        <v/>
      </c>
      <c r="W634" t="str">
        <f>IF([2]Baskol!$E$637="","",[2]Baskol!$E$637)</f>
        <v/>
      </c>
      <c r="X634" t="str">
        <f>IF([2]Baskol!$G$637="","",[2]Baskol!$G$637)</f>
        <v/>
      </c>
      <c r="Y634" t="str">
        <f>IF([2]Baskol!$I$637="","",[2]Baskol!$I$637)</f>
        <v/>
      </c>
      <c r="Z634" t="str">
        <f>IF([2]Baskol!$J$637="","",[2]Baskol!$J$637)</f>
        <v/>
      </c>
      <c r="AA634" t="str">
        <f>IF([2]Baskol!$K$637="","",[2]Baskol!$K$637)</f>
        <v/>
      </c>
      <c r="AB634" t="str">
        <f>IF([2]Baskol!$L$637="","",[2]Baskol!$L$637)</f>
        <v/>
      </c>
      <c r="AC634" t="str">
        <f>IF([2]Baskol!$N$637="","",[2]Baskol!$N$637)</f>
        <v/>
      </c>
      <c r="AD634" t="str">
        <f>IF([2]Baskol!$O$637="","",[2]Baskol!$O$637)</f>
        <v/>
      </c>
      <c r="AE634" t="str">
        <f>IF([3]Entry!$C$637="","",[3]Entry!$C$637)</f>
        <v/>
      </c>
      <c r="AF634" t="str">
        <f>IF([3]Entry!$D$637="","",[3]Entry!$D$637)</f>
        <v/>
      </c>
      <c r="AG634" t="str">
        <f>IF([3]Entry!$E$637="","",[3]Entry!$E$637)</f>
        <v/>
      </c>
      <c r="AH634" t="str">
        <f>IF([3]Entry!$G$637="","",[3]Entry!$G$637)</f>
        <v/>
      </c>
      <c r="AI634" t="str">
        <f>IF([3]Entry!$K$637="","",[3]Entry!$K$637)</f>
        <v/>
      </c>
      <c r="AJ634" t="str">
        <f>IF([3]Entry!$L$637="","",[3]Entry!$L$637)</f>
        <v/>
      </c>
      <c r="AK634" t="str">
        <f>IF([3]Entry!$M$637="","",[3]Entry!$M$637)</f>
        <v/>
      </c>
      <c r="AL634" t="str">
        <f>IF([3]Entry!$N$637="","",[3]Entry!$N$637)</f>
        <v/>
      </c>
      <c r="AM634" t="str">
        <f>IF([3]Entry!$R$637="","",[3]Entry!$R$637)</f>
        <v/>
      </c>
    </row>
    <row r="635" spans="20:39" x14ac:dyDescent="0.2">
      <c r="T635" t="str">
        <f>IF([2]Baskol!$B$638="","",[2]Baskol!$B$638)</f>
        <v/>
      </c>
      <c r="U635" t="str">
        <f>IF([2]Baskol!$C$638="","",[2]Baskol!$C$638)</f>
        <v/>
      </c>
      <c r="V635" t="str">
        <f>IF([2]Baskol!$D$638="","",[2]Baskol!$D$638)</f>
        <v/>
      </c>
      <c r="W635" t="str">
        <f>IF([2]Baskol!$E$638="","",[2]Baskol!$E$638)</f>
        <v/>
      </c>
      <c r="X635" t="str">
        <f>IF([2]Baskol!$G$638="","",[2]Baskol!$G$638)</f>
        <v/>
      </c>
      <c r="Y635" t="str">
        <f>IF([2]Baskol!$I$638="","",[2]Baskol!$I$638)</f>
        <v/>
      </c>
      <c r="Z635" t="str">
        <f>IF([2]Baskol!$J$638="","",[2]Baskol!$J$638)</f>
        <v/>
      </c>
      <c r="AA635" t="str">
        <f>IF([2]Baskol!$K$638="","",[2]Baskol!$K$638)</f>
        <v/>
      </c>
      <c r="AB635" t="str">
        <f>IF([2]Baskol!$L$638="","",[2]Baskol!$L$638)</f>
        <v/>
      </c>
      <c r="AC635" t="str">
        <f>IF([2]Baskol!$N$638="","",[2]Baskol!$N$638)</f>
        <v/>
      </c>
      <c r="AD635" t="str">
        <f>IF([2]Baskol!$O$638="","",[2]Baskol!$O$638)</f>
        <v/>
      </c>
      <c r="AE635" t="str">
        <f>IF([3]Entry!$C$638="","",[3]Entry!$C$638)</f>
        <v/>
      </c>
      <c r="AF635" t="str">
        <f>IF([3]Entry!$D$638="","",[3]Entry!$D$638)</f>
        <v/>
      </c>
      <c r="AG635" t="str">
        <f>IF([3]Entry!$E$638="","",[3]Entry!$E$638)</f>
        <v/>
      </c>
      <c r="AH635" t="str">
        <f>IF([3]Entry!$G$638="","",[3]Entry!$G$638)</f>
        <v/>
      </c>
      <c r="AI635" t="str">
        <f>IF([3]Entry!$K$638="","",[3]Entry!$K$638)</f>
        <v/>
      </c>
      <c r="AJ635" t="str">
        <f>IF([3]Entry!$L$638="","",[3]Entry!$L$638)</f>
        <v/>
      </c>
      <c r="AK635" t="str">
        <f>IF([3]Entry!$M$638="","",[3]Entry!$M$638)</f>
        <v/>
      </c>
      <c r="AL635" t="str">
        <f>IF([3]Entry!$N$638="","",[3]Entry!$N$638)</f>
        <v/>
      </c>
      <c r="AM635" t="str">
        <f>IF([3]Entry!$R$638="","",[3]Entry!$R$638)</f>
        <v/>
      </c>
    </row>
    <row r="636" spans="20:39" x14ac:dyDescent="0.2">
      <c r="T636" t="str">
        <f>IF([2]Baskol!$B$639="","",[2]Baskol!$B$639)</f>
        <v/>
      </c>
      <c r="U636" t="str">
        <f>IF([2]Baskol!$C$639="","",[2]Baskol!$C$639)</f>
        <v/>
      </c>
      <c r="V636" t="str">
        <f>IF([2]Baskol!$D$639="","",[2]Baskol!$D$639)</f>
        <v/>
      </c>
      <c r="W636" t="str">
        <f>IF([2]Baskol!$E$639="","",[2]Baskol!$E$639)</f>
        <v/>
      </c>
      <c r="X636" t="str">
        <f>IF([2]Baskol!$G$639="","",[2]Baskol!$G$639)</f>
        <v/>
      </c>
      <c r="Y636" t="str">
        <f>IF([2]Baskol!$I$639="","",[2]Baskol!$I$639)</f>
        <v/>
      </c>
      <c r="Z636" t="str">
        <f>IF([2]Baskol!$J$639="","",[2]Baskol!$J$639)</f>
        <v/>
      </c>
      <c r="AA636" t="str">
        <f>IF([2]Baskol!$K$639="","",[2]Baskol!$K$639)</f>
        <v/>
      </c>
      <c r="AB636" t="str">
        <f>IF([2]Baskol!$L$639="","",[2]Baskol!$L$639)</f>
        <v/>
      </c>
      <c r="AC636" t="str">
        <f>IF([2]Baskol!$N$639="","",[2]Baskol!$N$639)</f>
        <v/>
      </c>
      <c r="AD636" t="str">
        <f>IF([2]Baskol!$O$639="","",[2]Baskol!$O$639)</f>
        <v/>
      </c>
      <c r="AE636" t="str">
        <f>IF([3]Entry!$C$639="","",[3]Entry!$C$639)</f>
        <v/>
      </c>
      <c r="AF636" t="str">
        <f>IF([3]Entry!$D$639="","",[3]Entry!$D$639)</f>
        <v/>
      </c>
      <c r="AG636" t="str">
        <f>IF([3]Entry!$E$639="","",[3]Entry!$E$639)</f>
        <v/>
      </c>
      <c r="AH636" t="str">
        <f>IF([3]Entry!$G$639="","",[3]Entry!$G$639)</f>
        <v/>
      </c>
      <c r="AI636" t="str">
        <f>IF([3]Entry!$K$639="","",[3]Entry!$K$639)</f>
        <v/>
      </c>
      <c r="AJ636" t="str">
        <f>IF([3]Entry!$L$639="","",[3]Entry!$L$639)</f>
        <v/>
      </c>
      <c r="AK636" t="str">
        <f>IF([3]Entry!$M$639="","",[3]Entry!$M$639)</f>
        <v/>
      </c>
      <c r="AL636" t="str">
        <f>IF([3]Entry!$N$639="","",[3]Entry!$N$639)</f>
        <v/>
      </c>
      <c r="AM636" t="str">
        <f>IF([3]Entry!$R$639="","",[3]Entry!$R$639)</f>
        <v/>
      </c>
    </row>
    <row r="637" spans="20:39" x14ac:dyDescent="0.2">
      <c r="T637" t="str">
        <f>IF([2]Baskol!$B$640="","",[2]Baskol!$B$640)</f>
        <v/>
      </c>
      <c r="U637" t="str">
        <f>IF([2]Baskol!$C$640="","",[2]Baskol!$C$640)</f>
        <v/>
      </c>
      <c r="V637" t="str">
        <f>IF([2]Baskol!$D$640="","",[2]Baskol!$D$640)</f>
        <v/>
      </c>
      <c r="W637" t="str">
        <f>IF([2]Baskol!$E$640="","",[2]Baskol!$E$640)</f>
        <v/>
      </c>
      <c r="X637" t="str">
        <f>IF([2]Baskol!$G$640="","",[2]Baskol!$G$640)</f>
        <v/>
      </c>
      <c r="Y637" t="str">
        <f>IF([2]Baskol!$I$640="","",[2]Baskol!$I$640)</f>
        <v/>
      </c>
      <c r="Z637" t="str">
        <f>IF([2]Baskol!$J$640="","",[2]Baskol!$J$640)</f>
        <v/>
      </c>
      <c r="AA637" t="str">
        <f>IF([2]Baskol!$K$640="","",[2]Baskol!$K$640)</f>
        <v/>
      </c>
      <c r="AB637" t="str">
        <f>IF([2]Baskol!$L$640="","",[2]Baskol!$L$640)</f>
        <v/>
      </c>
      <c r="AC637" t="str">
        <f>IF([2]Baskol!$N$640="","",[2]Baskol!$N$640)</f>
        <v/>
      </c>
      <c r="AD637" t="str">
        <f>IF([2]Baskol!$O$640="","",[2]Baskol!$O$640)</f>
        <v/>
      </c>
      <c r="AE637" t="str">
        <f>IF([3]Entry!$C$640="","",[3]Entry!$C$640)</f>
        <v/>
      </c>
      <c r="AF637" t="str">
        <f>IF([3]Entry!$D$640="","",[3]Entry!$D$640)</f>
        <v/>
      </c>
      <c r="AG637" t="str">
        <f>IF([3]Entry!$E$640="","",[3]Entry!$E$640)</f>
        <v/>
      </c>
      <c r="AH637" t="str">
        <f>IF([3]Entry!$G$640="","",[3]Entry!$G$640)</f>
        <v/>
      </c>
      <c r="AI637" t="str">
        <f>IF([3]Entry!$K$640="","",[3]Entry!$K$640)</f>
        <v/>
      </c>
      <c r="AJ637" t="str">
        <f>IF([3]Entry!$L$640="","",[3]Entry!$L$640)</f>
        <v/>
      </c>
      <c r="AK637" t="str">
        <f>IF([3]Entry!$M$640="","",[3]Entry!$M$640)</f>
        <v/>
      </c>
      <c r="AL637" t="str">
        <f>IF([3]Entry!$N$640="","",[3]Entry!$N$640)</f>
        <v/>
      </c>
      <c r="AM637" t="str">
        <f>IF([3]Entry!$R$640="","",[3]Entry!$R$640)</f>
        <v/>
      </c>
    </row>
    <row r="638" spans="20:39" x14ac:dyDescent="0.2">
      <c r="T638" t="str">
        <f>IF([2]Baskol!$B$641="","",[2]Baskol!$B$641)</f>
        <v/>
      </c>
      <c r="U638" t="str">
        <f>IF([2]Baskol!$C$641="","",[2]Baskol!$C$641)</f>
        <v/>
      </c>
      <c r="V638" t="str">
        <f>IF([2]Baskol!$D$641="","",[2]Baskol!$D$641)</f>
        <v/>
      </c>
      <c r="W638" t="str">
        <f>IF([2]Baskol!$E$641="","",[2]Baskol!$E$641)</f>
        <v/>
      </c>
      <c r="X638" t="str">
        <f>IF([2]Baskol!$G$641="","",[2]Baskol!$G$641)</f>
        <v/>
      </c>
      <c r="Y638" t="str">
        <f>IF([2]Baskol!$I$641="","",[2]Baskol!$I$641)</f>
        <v/>
      </c>
      <c r="Z638" t="str">
        <f>IF([2]Baskol!$J$641="","",[2]Baskol!$J$641)</f>
        <v/>
      </c>
      <c r="AA638" t="str">
        <f>IF([2]Baskol!$K$641="","",[2]Baskol!$K$641)</f>
        <v/>
      </c>
      <c r="AB638" t="str">
        <f>IF([2]Baskol!$L$641="","",[2]Baskol!$L$641)</f>
        <v/>
      </c>
      <c r="AC638" t="str">
        <f>IF([2]Baskol!$N$641="","",[2]Baskol!$N$641)</f>
        <v/>
      </c>
      <c r="AD638" t="str">
        <f>IF([2]Baskol!$O$641="","",[2]Baskol!$O$641)</f>
        <v/>
      </c>
      <c r="AE638" t="str">
        <f>IF([3]Entry!$C$641="","",[3]Entry!$C$641)</f>
        <v/>
      </c>
      <c r="AF638" t="str">
        <f>IF([3]Entry!$D$641="","",[3]Entry!$D$641)</f>
        <v/>
      </c>
      <c r="AG638" t="str">
        <f>IF([3]Entry!$E$641="","",[3]Entry!$E$641)</f>
        <v/>
      </c>
      <c r="AH638" t="str">
        <f>IF([3]Entry!$G$641="","",[3]Entry!$G$641)</f>
        <v/>
      </c>
      <c r="AI638" t="str">
        <f>IF([3]Entry!$K$641="","",[3]Entry!$K$641)</f>
        <v/>
      </c>
      <c r="AJ638" t="str">
        <f>IF([3]Entry!$L$641="","",[3]Entry!$L$641)</f>
        <v/>
      </c>
      <c r="AK638" t="str">
        <f>IF([3]Entry!$M$641="","",[3]Entry!$M$641)</f>
        <v/>
      </c>
      <c r="AL638" t="str">
        <f>IF([3]Entry!$N$641="","",[3]Entry!$N$641)</f>
        <v/>
      </c>
      <c r="AM638" t="str">
        <f>IF([3]Entry!$R$641="","",[3]Entry!$R$641)</f>
        <v/>
      </c>
    </row>
    <row r="639" spans="20:39" x14ac:dyDescent="0.2">
      <c r="T639" t="str">
        <f>IF([2]Baskol!$B$642="","",[2]Baskol!$B$642)</f>
        <v/>
      </c>
      <c r="U639" t="str">
        <f>IF([2]Baskol!$C$642="","",[2]Baskol!$C$642)</f>
        <v/>
      </c>
      <c r="V639" t="str">
        <f>IF([2]Baskol!$D$642="","",[2]Baskol!$D$642)</f>
        <v/>
      </c>
      <c r="W639" t="str">
        <f>IF([2]Baskol!$E$642="","",[2]Baskol!$E$642)</f>
        <v/>
      </c>
      <c r="X639" t="str">
        <f>IF([2]Baskol!$G$642="","",[2]Baskol!$G$642)</f>
        <v/>
      </c>
      <c r="Y639" t="str">
        <f>IF([2]Baskol!$I$642="","",[2]Baskol!$I$642)</f>
        <v/>
      </c>
      <c r="Z639" t="str">
        <f>IF([2]Baskol!$J$642="","",[2]Baskol!$J$642)</f>
        <v/>
      </c>
      <c r="AA639" t="str">
        <f>IF([2]Baskol!$K$642="","",[2]Baskol!$K$642)</f>
        <v/>
      </c>
      <c r="AB639" t="str">
        <f>IF([2]Baskol!$L$642="","",[2]Baskol!$L$642)</f>
        <v/>
      </c>
      <c r="AC639" t="str">
        <f>IF([2]Baskol!$N$642="","",[2]Baskol!$N$642)</f>
        <v/>
      </c>
      <c r="AD639" t="str">
        <f>IF([2]Baskol!$O$642="","",[2]Baskol!$O$642)</f>
        <v/>
      </c>
      <c r="AE639" t="str">
        <f>IF([3]Entry!$C$642="","",[3]Entry!$C$642)</f>
        <v/>
      </c>
      <c r="AF639" t="str">
        <f>IF([3]Entry!$D$642="","",[3]Entry!$D$642)</f>
        <v/>
      </c>
      <c r="AG639" t="str">
        <f>IF([3]Entry!$E$642="","",[3]Entry!$E$642)</f>
        <v/>
      </c>
      <c r="AH639" t="str">
        <f>IF([3]Entry!$G$642="","",[3]Entry!$G$642)</f>
        <v/>
      </c>
      <c r="AI639" t="str">
        <f>IF([3]Entry!$K$642="","",[3]Entry!$K$642)</f>
        <v/>
      </c>
      <c r="AJ639" t="str">
        <f>IF([3]Entry!$L$642="","",[3]Entry!$L$642)</f>
        <v/>
      </c>
      <c r="AK639" t="str">
        <f>IF([3]Entry!$M$642="","",[3]Entry!$M$642)</f>
        <v/>
      </c>
      <c r="AL639" t="str">
        <f>IF([3]Entry!$N$642="","",[3]Entry!$N$642)</f>
        <v/>
      </c>
      <c r="AM639" t="str">
        <f>IF([3]Entry!$R$642="","",[3]Entry!$R$642)</f>
        <v/>
      </c>
    </row>
    <row r="640" spans="20:39" x14ac:dyDescent="0.2">
      <c r="T640" t="str">
        <f>IF([2]Baskol!$B$643="","",[2]Baskol!$B$643)</f>
        <v/>
      </c>
      <c r="U640" t="str">
        <f>IF([2]Baskol!$C$643="","",[2]Baskol!$C$643)</f>
        <v/>
      </c>
      <c r="V640" t="str">
        <f>IF([2]Baskol!$D$643="","",[2]Baskol!$D$643)</f>
        <v/>
      </c>
      <c r="W640" t="str">
        <f>IF([2]Baskol!$E$643="","",[2]Baskol!$E$643)</f>
        <v/>
      </c>
      <c r="X640" t="str">
        <f>IF([2]Baskol!$G$643="","",[2]Baskol!$G$643)</f>
        <v/>
      </c>
      <c r="Y640" t="str">
        <f>IF([2]Baskol!$I$643="","",[2]Baskol!$I$643)</f>
        <v/>
      </c>
      <c r="Z640" t="str">
        <f>IF([2]Baskol!$J$643="","",[2]Baskol!$J$643)</f>
        <v/>
      </c>
      <c r="AA640" t="str">
        <f>IF([2]Baskol!$K$643="","",[2]Baskol!$K$643)</f>
        <v/>
      </c>
      <c r="AB640" t="str">
        <f>IF([2]Baskol!$L$643="","",[2]Baskol!$L$643)</f>
        <v/>
      </c>
      <c r="AC640" t="str">
        <f>IF([2]Baskol!$N$643="","",[2]Baskol!$N$643)</f>
        <v/>
      </c>
      <c r="AD640" t="str">
        <f>IF([2]Baskol!$O$643="","",[2]Baskol!$O$643)</f>
        <v/>
      </c>
      <c r="AE640" t="str">
        <f>IF([3]Entry!$C$643="","",[3]Entry!$C$643)</f>
        <v/>
      </c>
      <c r="AF640" t="str">
        <f>IF([3]Entry!$D$643="","",[3]Entry!$D$643)</f>
        <v/>
      </c>
      <c r="AG640" t="str">
        <f>IF([3]Entry!$E$643="","",[3]Entry!$E$643)</f>
        <v/>
      </c>
      <c r="AH640" t="str">
        <f>IF([3]Entry!$G$643="","",[3]Entry!$G$643)</f>
        <v/>
      </c>
      <c r="AI640" t="str">
        <f>IF([3]Entry!$K$643="","",[3]Entry!$K$643)</f>
        <v/>
      </c>
      <c r="AJ640" t="str">
        <f>IF([3]Entry!$L$643="","",[3]Entry!$L$643)</f>
        <v/>
      </c>
      <c r="AK640" t="str">
        <f>IF([3]Entry!$M$643="","",[3]Entry!$M$643)</f>
        <v/>
      </c>
      <c r="AL640" t="str">
        <f>IF([3]Entry!$N$643="","",[3]Entry!$N$643)</f>
        <v/>
      </c>
      <c r="AM640" t="str">
        <f>IF([3]Entry!$R$643="","",[3]Entry!$R$643)</f>
        <v/>
      </c>
    </row>
    <row r="641" spans="20:39" x14ac:dyDescent="0.2">
      <c r="T641" t="str">
        <f>IF([2]Baskol!$B$644="","",[2]Baskol!$B$644)</f>
        <v/>
      </c>
      <c r="U641" t="str">
        <f>IF([2]Baskol!$C$644="","",[2]Baskol!$C$644)</f>
        <v/>
      </c>
      <c r="V641" t="str">
        <f>IF([2]Baskol!$D$644="","",[2]Baskol!$D$644)</f>
        <v/>
      </c>
      <c r="W641" t="str">
        <f>IF([2]Baskol!$E$644="","",[2]Baskol!$E$644)</f>
        <v/>
      </c>
      <c r="X641" t="str">
        <f>IF([2]Baskol!$G$644="","",[2]Baskol!$G$644)</f>
        <v/>
      </c>
      <c r="Y641" t="str">
        <f>IF([2]Baskol!$I$644="","",[2]Baskol!$I$644)</f>
        <v/>
      </c>
      <c r="Z641" t="str">
        <f>IF([2]Baskol!$J$644="","",[2]Baskol!$J$644)</f>
        <v/>
      </c>
      <c r="AA641" t="str">
        <f>IF([2]Baskol!$K$644="","",[2]Baskol!$K$644)</f>
        <v/>
      </c>
      <c r="AB641" t="str">
        <f>IF([2]Baskol!$L$644="","",[2]Baskol!$L$644)</f>
        <v/>
      </c>
      <c r="AC641" t="str">
        <f>IF([2]Baskol!$N$644="","",[2]Baskol!$N$644)</f>
        <v/>
      </c>
      <c r="AD641" t="str">
        <f>IF([2]Baskol!$O$644="","",[2]Baskol!$O$644)</f>
        <v/>
      </c>
      <c r="AE641" t="str">
        <f>IF([3]Entry!$C$644="","",[3]Entry!$C$644)</f>
        <v/>
      </c>
      <c r="AF641" t="str">
        <f>IF([3]Entry!$D$644="","",[3]Entry!$D$644)</f>
        <v/>
      </c>
      <c r="AG641" t="str">
        <f>IF([3]Entry!$E$644="","",[3]Entry!$E$644)</f>
        <v/>
      </c>
      <c r="AH641" t="str">
        <f>IF([3]Entry!$G$644="","",[3]Entry!$G$644)</f>
        <v/>
      </c>
      <c r="AI641" t="str">
        <f>IF([3]Entry!$K$644="","",[3]Entry!$K$644)</f>
        <v/>
      </c>
      <c r="AJ641" t="str">
        <f>IF([3]Entry!$L$644="","",[3]Entry!$L$644)</f>
        <v/>
      </c>
      <c r="AK641" t="str">
        <f>IF([3]Entry!$M$644="","",[3]Entry!$M$644)</f>
        <v/>
      </c>
      <c r="AL641" t="str">
        <f>IF([3]Entry!$N$644="","",[3]Entry!$N$644)</f>
        <v/>
      </c>
      <c r="AM641" t="str">
        <f>IF([3]Entry!$R$644="","",[3]Entry!$R$644)</f>
        <v/>
      </c>
    </row>
    <row r="642" spans="20:39" x14ac:dyDescent="0.2">
      <c r="T642" t="str">
        <f>IF([2]Baskol!$B$645="","",[2]Baskol!$B$645)</f>
        <v/>
      </c>
      <c r="U642" t="str">
        <f>IF([2]Baskol!$C$645="","",[2]Baskol!$C$645)</f>
        <v/>
      </c>
      <c r="V642" t="str">
        <f>IF([2]Baskol!$D$645="","",[2]Baskol!$D$645)</f>
        <v/>
      </c>
      <c r="W642" t="str">
        <f>IF([2]Baskol!$E$645="","",[2]Baskol!$E$645)</f>
        <v/>
      </c>
      <c r="X642" t="str">
        <f>IF([2]Baskol!$G$645="","",[2]Baskol!$G$645)</f>
        <v/>
      </c>
      <c r="Y642" t="str">
        <f>IF([2]Baskol!$I$645="","",[2]Baskol!$I$645)</f>
        <v/>
      </c>
      <c r="Z642" t="str">
        <f>IF([2]Baskol!$J$645="","",[2]Baskol!$J$645)</f>
        <v/>
      </c>
      <c r="AA642" t="str">
        <f>IF([2]Baskol!$K$645="","",[2]Baskol!$K$645)</f>
        <v/>
      </c>
      <c r="AB642" t="str">
        <f>IF([2]Baskol!$L$645="","",[2]Baskol!$L$645)</f>
        <v/>
      </c>
      <c r="AC642" t="str">
        <f>IF([2]Baskol!$N$645="","",[2]Baskol!$N$645)</f>
        <v/>
      </c>
      <c r="AD642" t="str">
        <f>IF([2]Baskol!$O$645="","",[2]Baskol!$O$645)</f>
        <v/>
      </c>
      <c r="AE642" t="str">
        <f>IF([3]Entry!$C$645="","",[3]Entry!$C$645)</f>
        <v/>
      </c>
      <c r="AF642" t="str">
        <f>IF([3]Entry!$D$645="","",[3]Entry!$D$645)</f>
        <v/>
      </c>
      <c r="AG642" t="str">
        <f>IF([3]Entry!$E$645="","",[3]Entry!$E$645)</f>
        <v/>
      </c>
      <c r="AH642" t="str">
        <f>IF([3]Entry!$G$645="","",[3]Entry!$G$645)</f>
        <v/>
      </c>
      <c r="AI642" t="str">
        <f>IF([3]Entry!$K$645="","",[3]Entry!$K$645)</f>
        <v/>
      </c>
      <c r="AJ642" t="str">
        <f>IF([3]Entry!$L$645="","",[3]Entry!$L$645)</f>
        <v/>
      </c>
      <c r="AK642" t="str">
        <f>IF([3]Entry!$M$645="","",[3]Entry!$M$645)</f>
        <v/>
      </c>
      <c r="AL642" t="str">
        <f>IF([3]Entry!$N$645="","",[3]Entry!$N$645)</f>
        <v/>
      </c>
      <c r="AM642" t="str">
        <f>IF([3]Entry!$R$645="","",[3]Entry!$R$645)</f>
        <v/>
      </c>
    </row>
    <row r="643" spans="20:39" x14ac:dyDescent="0.2">
      <c r="T643" t="str">
        <f>IF([2]Baskol!$B$646="","",[2]Baskol!$B$646)</f>
        <v/>
      </c>
      <c r="U643" t="str">
        <f>IF([2]Baskol!$C$646="","",[2]Baskol!$C$646)</f>
        <v/>
      </c>
      <c r="V643" t="str">
        <f>IF([2]Baskol!$D$646="","",[2]Baskol!$D$646)</f>
        <v/>
      </c>
      <c r="W643" t="str">
        <f>IF([2]Baskol!$E$646="","",[2]Baskol!$E$646)</f>
        <v/>
      </c>
      <c r="X643" t="str">
        <f>IF([2]Baskol!$G$646="","",[2]Baskol!$G$646)</f>
        <v/>
      </c>
      <c r="Y643" t="str">
        <f>IF([2]Baskol!$I$646="","",[2]Baskol!$I$646)</f>
        <v/>
      </c>
      <c r="Z643" t="str">
        <f>IF([2]Baskol!$J$646="","",[2]Baskol!$J$646)</f>
        <v/>
      </c>
      <c r="AA643" t="str">
        <f>IF([2]Baskol!$K$646="","",[2]Baskol!$K$646)</f>
        <v/>
      </c>
      <c r="AB643" t="str">
        <f>IF([2]Baskol!$L$646="","",[2]Baskol!$L$646)</f>
        <v/>
      </c>
      <c r="AC643" t="str">
        <f>IF([2]Baskol!$N$646="","",[2]Baskol!$N$646)</f>
        <v/>
      </c>
      <c r="AD643" t="str">
        <f>IF([2]Baskol!$O$646="","",[2]Baskol!$O$646)</f>
        <v/>
      </c>
      <c r="AE643" t="str">
        <f>IF([3]Entry!$C$646="","",[3]Entry!$C$646)</f>
        <v/>
      </c>
      <c r="AF643" t="str">
        <f>IF([3]Entry!$D$646="","",[3]Entry!$D$646)</f>
        <v/>
      </c>
      <c r="AG643" t="str">
        <f>IF([3]Entry!$E$646="","",[3]Entry!$E$646)</f>
        <v/>
      </c>
      <c r="AH643" t="str">
        <f>IF([3]Entry!$G$646="","",[3]Entry!$G$646)</f>
        <v/>
      </c>
      <c r="AI643" t="str">
        <f>IF([3]Entry!$K$646="","",[3]Entry!$K$646)</f>
        <v/>
      </c>
      <c r="AJ643" t="str">
        <f>IF([3]Entry!$L$646="","",[3]Entry!$L$646)</f>
        <v/>
      </c>
      <c r="AK643" t="str">
        <f>IF([3]Entry!$M$646="","",[3]Entry!$M$646)</f>
        <v/>
      </c>
      <c r="AL643" t="str">
        <f>IF([3]Entry!$N$646="","",[3]Entry!$N$646)</f>
        <v/>
      </c>
      <c r="AM643" t="str">
        <f>IF([3]Entry!$R$646="","",[3]Entry!$R$646)</f>
        <v/>
      </c>
    </row>
    <row r="644" spans="20:39" x14ac:dyDescent="0.2">
      <c r="T644" t="str">
        <f>IF([2]Baskol!$B$647="","",[2]Baskol!$B$647)</f>
        <v/>
      </c>
      <c r="U644" t="str">
        <f>IF([2]Baskol!$C$647="","",[2]Baskol!$C$647)</f>
        <v/>
      </c>
      <c r="V644" t="str">
        <f>IF([2]Baskol!$D$647="","",[2]Baskol!$D$647)</f>
        <v/>
      </c>
      <c r="W644" t="str">
        <f>IF([2]Baskol!$E$647="","",[2]Baskol!$E$647)</f>
        <v/>
      </c>
      <c r="X644" t="str">
        <f>IF([2]Baskol!$G$647="","",[2]Baskol!$G$647)</f>
        <v/>
      </c>
      <c r="Y644" t="str">
        <f>IF([2]Baskol!$I$647="","",[2]Baskol!$I$647)</f>
        <v/>
      </c>
      <c r="Z644" t="str">
        <f>IF([2]Baskol!$J$647="","",[2]Baskol!$J$647)</f>
        <v/>
      </c>
      <c r="AA644" t="str">
        <f>IF([2]Baskol!$K$647="","",[2]Baskol!$K$647)</f>
        <v/>
      </c>
      <c r="AB644" t="str">
        <f>IF([2]Baskol!$L$647="","",[2]Baskol!$L$647)</f>
        <v/>
      </c>
      <c r="AC644" t="str">
        <f>IF([2]Baskol!$N$647="","",[2]Baskol!$N$647)</f>
        <v/>
      </c>
      <c r="AD644" t="str">
        <f>IF([2]Baskol!$O$647="","",[2]Baskol!$O$647)</f>
        <v/>
      </c>
      <c r="AE644" t="str">
        <f>IF([3]Entry!$C$647="","",[3]Entry!$C$647)</f>
        <v/>
      </c>
      <c r="AF644" t="str">
        <f>IF([3]Entry!$D$647="","",[3]Entry!$D$647)</f>
        <v/>
      </c>
      <c r="AG644" t="str">
        <f>IF([3]Entry!$E$647="","",[3]Entry!$E$647)</f>
        <v/>
      </c>
      <c r="AH644" t="str">
        <f>IF([3]Entry!$G$647="","",[3]Entry!$G$647)</f>
        <v/>
      </c>
      <c r="AI644" t="str">
        <f>IF([3]Entry!$K$647="","",[3]Entry!$K$647)</f>
        <v/>
      </c>
      <c r="AJ644" t="str">
        <f>IF([3]Entry!$L$647="","",[3]Entry!$L$647)</f>
        <v/>
      </c>
      <c r="AK644" t="str">
        <f>IF([3]Entry!$M$647="","",[3]Entry!$M$647)</f>
        <v/>
      </c>
      <c r="AL644" t="str">
        <f>IF([3]Entry!$N$647="","",[3]Entry!$N$647)</f>
        <v/>
      </c>
      <c r="AM644" t="str">
        <f>IF([3]Entry!$R$647="","",[3]Entry!$R$647)</f>
        <v/>
      </c>
    </row>
    <row r="645" spans="20:39" x14ac:dyDescent="0.2">
      <c r="T645" t="str">
        <f>IF([2]Baskol!$B$648="","",[2]Baskol!$B$648)</f>
        <v/>
      </c>
      <c r="U645" t="str">
        <f>IF([2]Baskol!$C$648="","",[2]Baskol!$C$648)</f>
        <v/>
      </c>
      <c r="V645" t="str">
        <f>IF([2]Baskol!$D$648="","",[2]Baskol!$D$648)</f>
        <v/>
      </c>
      <c r="W645" t="str">
        <f>IF([2]Baskol!$E$648="","",[2]Baskol!$E$648)</f>
        <v/>
      </c>
      <c r="X645" t="str">
        <f>IF([2]Baskol!$G$648="","",[2]Baskol!$G$648)</f>
        <v/>
      </c>
      <c r="Y645" t="str">
        <f>IF([2]Baskol!$I$648="","",[2]Baskol!$I$648)</f>
        <v/>
      </c>
      <c r="Z645" t="str">
        <f>IF([2]Baskol!$J$648="","",[2]Baskol!$J$648)</f>
        <v/>
      </c>
      <c r="AA645" t="str">
        <f>IF([2]Baskol!$K$648="","",[2]Baskol!$K$648)</f>
        <v/>
      </c>
      <c r="AB645" t="str">
        <f>IF([2]Baskol!$L$648="","",[2]Baskol!$L$648)</f>
        <v/>
      </c>
      <c r="AC645" t="str">
        <f>IF([2]Baskol!$N$648="","",[2]Baskol!$N$648)</f>
        <v/>
      </c>
      <c r="AD645" t="str">
        <f>IF([2]Baskol!$O$648="","",[2]Baskol!$O$648)</f>
        <v/>
      </c>
      <c r="AE645" t="str">
        <f>IF([3]Entry!$C$648="","",[3]Entry!$C$648)</f>
        <v/>
      </c>
      <c r="AF645" t="str">
        <f>IF([3]Entry!$D$648="","",[3]Entry!$D$648)</f>
        <v/>
      </c>
      <c r="AG645" t="str">
        <f>IF([3]Entry!$E$648="","",[3]Entry!$E$648)</f>
        <v/>
      </c>
      <c r="AH645" t="str">
        <f>IF([3]Entry!$G$648="","",[3]Entry!$G$648)</f>
        <v/>
      </c>
      <c r="AI645" t="str">
        <f>IF([3]Entry!$K$648="","",[3]Entry!$K$648)</f>
        <v/>
      </c>
      <c r="AJ645" t="str">
        <f>IF([3]Entry!$L$648="","",[3]Entry!$L$648)</f>
        <v/>
      </c>
      <c r="AK645" t="str">
        <f>IF([3]Entry!$M$648="","",[3]Entry!$M$648)</f>
        <v/>
      </c>
      <c r="AL645" t="str">
        <f>IF([3]Entry!$N$648="","",[3]Entry!$N$648)</f>
        <v/>
      </c>
      <c r="AM645" t="str">
        <f>IF([3]Entry!$R$648="","",[3]Entry!$R$648)</f>
        <v/>
      </c>
    </row>
    <row r="646" spans="20:39" x14ac:dyDescent="0.2">
      <c r="T646" t="str">
        <f>IF([2]Baskol!$B$649="","",[2]Baskol!$B$649)</f>
        <v/>
      </c>
      <c r="U646" t="str">
        <f>IF([2]Baskol!$C$649="","",[2]Baskol!$C$649)</f>
        <v/>
      </c>
      <c r="V646" t="str">
        <f>IF([2]Baskol!$D$649="","",[2]Baskol!$D$649)</f>
        <v/>
      </c>
      <c r="W646" t="str">
        <f>IF([2]Baskol!$E$649="","",[2]Baskol!$E$649)</f>
        <v/>
      </c>
      <c r="X646" t="str">
        <f>IF([2]Baskol!$G$649="","",[2]Baskol!$G$649)</f>
        <v/>
      </c>
      <c r="Y646" t="str">
        <f>IF([2]Baskol!$I$649="","",[2]Baskol!$I$649)</f>
        <v/>
      </c>
      <c r="Z646" t="str">
        <f>IF([2]Baskol!$J$649="","",[2]Baskol!$J$649)</f>
        <v/>
      </c>
      <c r="AA646" t="str">
        <f>IF([2]Baskol!$K$649="","",[2]Baskol!$K$649)</f>
        <v/>
      </c>
      <c r="AB646" t="str">
        <f>IF([2]Baskol!$L$649="","",[2]Baskol!$L$649)</f>
        <v/>
      </c>
      <c r="AC646" t="str">
        <f>IF([2]Baskol!$N$649="","",[2]Baskol!$N$649)</f>
        <v/>
      </c>
      <c r="AD646" t="str">
        <f>IF([2]Baskol!$O$649="","",[2]Baskol!$O$649)</f>
        <v/>
      </c>
      <c r="AE646" t="str">
        <f>IF([3]Entry!$C$649="","",[3]Entry!$C$649)</f>
        <v/>
      </c>
      <c r="AF646" t="str">
        <f>IF([3]Entry!$D$649="","",[3]Entry!$D$649)</f>
        <v/>
      </c>
      <c r="AG646" t="str">
        <f>IF([3]Entry!$E$649="","",[3]Entry!$E$649)</f>
        <v/>
      </c>
      <c r="AH646" t="str">
        <f>IF([3]Entry!$G$649="","",[3]Entry!$G$649)</f>
        <v/>
      </c>
      <c r="AI646" t="str">
        <f>IF([3]Entry!$K$649="","",[3]Entry!$K$649)</f>
        <v/>
      </c>
      <c r="AJ646" t="str">
        <f>IF([3]Entry!$L$649="","",[3]Entry!$L$649)</f>
        <v/>
      </c>
      <c r="AK646" t="str">
        <f>IF([3]Entry!$M$649="","",[3]Entry!$M$649)</f>
        <v/>
      </c>
      <c r="AL646" t="str">
        <f>IF([3]Entry!$N$649="","",[3]Entry!$N$649)</f>
        <v/>
      </c>
      <c r="AM646" t="str">
        <f>IF([3]Entry!$R$649="","",[3]Entry!$R$649)</f>
        <v/>
      </c>
    </row>
    <row r="647" spans="20:39" x14ac:dyDescent="0.2">
      <c r="T647" t="str">
        <f>IF([2]Baskol!$B$650="","",[2]Baskol!$B$650)</f>
        <v/>
      </c>
      <c r="U647" t="str">
        <f>IF([2]Baskol!$C$650="","",[2]Baskol!$C$650)</f>
        <v/>
      </c>
      <c r="V647" t="str">
        <f>IF([2]Baskol!$D$650="","",[2]Baskol!$D$650)</f>
        <v/>
      </c>
      <c r="W647" t="str">
        <f>IF([2]Baskol!$E$650="","",[2]Baskol!$E$650)</f>
        <v/>
      </c>
      <c r="X647" t="str">
        <f>IF([2]Baskol!$G$650="","",[2]Baskol!$G$650)</f>
        <v/>
      </c>
      <c r="Y647" t="str">
        <f>IF([2]Baskol!$I$650="","",[2]Baskol!$I$650)</f>
        <v/>
      </c>
      <c r="Z647" t="str">
        <f>IF([2]Baskol!$J$650="","",[2]Baskol!$J$650)</f>
        <v/>
      </c>
      <c r="AA647" t="str">
        <f>IF([2]Baskol!$K$650="","",[2]Baskol!$K$650)</f>
        <v/>
      </c>
      <c r="AB647" t="str">
        <f>IF([2]Baskol!$L$650="","",[2]Baskol!$L$650)</f>
        <v/>
      </c>
      <c r="AC647" t="str">
        <f>IF([2]Baskol!$N$650="","",[2]Baskol!$N$650)</f>
        <v/>
      </c>
      <c r="AD647" t="str">
        <f>IF([2]Baskol!$O$650="","",[2]Baskol!$O$650)</f>
        <v/>
      </c>
      <c r="AE647" t="str">
        <f>IF([3]Entry!$C$650="","",[3]Entry!$C$650)</f>
        <v/>
      </c>
      <c r="AF647" t="str">
        <f>IF([3]Entry!$D$650="","",[3]Entry!$D$650)</f>
        <v/>
      </c>
      <c r="AG647" t="str">
        <f>IF([3]Entry!$E$650="","",[3]Entry!$E$650)</f>
        <v/>
      </c>
      <c r="AH647" t="str">
        <f>IF([3]Entry!$G$650="","",[3]Entry!$G$650)</f>
        <v/>
      </c>
      <c r="AI647" t="str">
        <f>IF([3]Entry!$K$650="","",[3]Entry!$K$650)</f>
        <v/>
      </c>
      <c r="AJ647" t="str">
        <f>IF([3]Entry!$L$650="","",[3]Entry!$L$650)</f>
        <v/>
      </c>
      <c r="AK647" t="str">
        <f>IF([3]Entry!$M$650="","",[3]Entry!$M$650)</f>
        <v/>
      </c>
      <c r="AL647" t="str">
        <f>IF([3]Entry!$N$650="","",[3]Entry!$N$650)</f>
        <v/>
      </c>
      <c r="AM647" t="str">
        <f>IF([3]Entry!$R$650="","",[3]Entry!$R$650)</f>
        <v/>
      </c>
    </row>
    <row r="648" spans="20:39" x14ac:dyDescent="0.2">
      <c r="T648" t="str">
        <f>IF([2]Baskol!$B$651="","",[2]Baskol!$B$651)</f>
        <v/>
      </c>
      <c r="U648" t="str">
        <f>IF([2]Baskol!$C$651="","",[2]Baskol!$C$651)</f>
        <v/>
      </c>
      <c r="V648" t="str">
        <f>IF([2]Baskol!$D$651="","",[2]Baskol!$D$651)</f>
        <v/>
      </c>
      <c r="W648" t="str">
        <f>IF([2]Baskol!$E$651="","",[2]Baskol!$E$651)</f>
        <v/>
      </c>
      <c r="X648" t="str">
        <f>IF([2]Baskol!$G$651="","",[2]Baskol!$G$651)</f>
        <v/>
      </c>
      <c r="Y648" t="str">
        <f>IF([2]Baskol!$I$651="","",[2]Baskol!$I$651)</f>
        <v/>
      </c>
      <c r="Z648" t="str">
        <f>IF([2]Baskol!$J$651="","",[2]Baskol!$J$651)</f>
        <v/>
      </c>
      <c r="AA648" t="str">
        <f>IF([2]Baskol!$K$651="","",[2]Baskol!$K$651)</f>
        <v/>
      </c>
      <c r="AB648" t="str">
        <f>IF([2]Baskol!$L$651="","",[2]Baskol!$L$651)</f>
        <v/>
      </c>
      <c r="AC648" t="str">
        <f>IF([2]Baskol!$N$651="","",[2]Baskol!$N$651)</f>
        <v/>
      </c>
      <c r="AD648" t="str">
        <f>IF([2]Baskol!$O$651="","",[2]Baskol!$O$651)</f>
        <v/>
      </c>
      <c r="AE648" t="str">
        <f>IF([3]Entry!$C$651="","",[3]Entry!$C$651)</f>
        <v/>
      </c>
      <c r="AF648" t="str">
        <f>IF([3]Entry!$D$651="","",[3]Entry!$D$651)</f>
        <v/>
      </c>
      <c r="AG648" t="str">
        <f>IF([3]Entry!$E$651="","",[3]Entry!$E$651)</f>
        <v/>
      </c>
      <c r="AH648" t="str">
        <f>IF([3]Entry!$G$651="","",[3]Entry!$G$651)</f>
        <v/>
      </c>
      <c r="AI648" t="str">
        <f>IF([3]Entry!$K$651="","",[3]Entry!$K$651)</f>
        <v/>
      </c>
      <c r="AJ648" t="str">
        <f>IF([3]Entry!$L$651="","",[3]Entry!$L$651)</f>
        <v/>
      </c>
      <c r="AK648" t="str">
        <f>IF([3]Entry!$M$651="","",[3]Entry!$M$651)</f>
        <v/>
      </c>
      <c r="AL648" t="str">
        <f>IF([3]Entry!$N$651="","",[3]Entry!$N$651)</f>
        <v/>
      </c>
      <c r="AM648" t="str">
        <f>IF([3]Entry!$R$651="","",[3]Entry!$R$651)</f>
        <v/>
      </c>
    </row>
    <row r="649" spans="20:39" x14ac:dyDescent="0.2">
      <c r="T649" t="str">
        <f>IF([2]Baskol!$B$652="","",[2]Baskol!$B$652)</f>
        <v/>
      </c>
      <c r="U649" t="str">
        <f>IF([2]Baskol!$C$652="","",[2]Baskol!$C$652)</f>
        <v/>
      </c>
      <c r="V649" t="str">
        <f>IF([2]Baskol!$D$652="","",[2]Baskol!$D$652)</f>
        <v/>
      </c>
      <c r="W649" t="str">
        <f>IF([2]Baskol!$E$652="","",[2]Baskol!$E$652)</f>
        <v/>
      </c>
      <c r="X649" t="str">
        <f>IF([2]Baskol!$G$652="","",[2]Baskol!$G$652)</f>
        <v/>
      </c>
      <c r="Y649" t="str">
        <f>IF([2]Baskol!$I$652="","",[2]Baskol!$I$652)</f>
        <v/>
      </c>
      <c r="Z649" t="str">
        <f>IF([2]Baskol!$J$652="","",[2]Baskol!$J$652)</f>
        <v/>
      </c>
      <c r="AA649" t="str">
        <f>IF([2]Baskol!$K$652="","",[2]Baskol!$K$652)</f>
        <v/>
      </c>
      <c r="AB649" t="str">
        <f>IF([2]Baskol!$L$652="","",[2]Baskol!$L$652)</f>
        <v/>
      </c>
      <c r="AC649" t="str">
        <f>IF([2]Baskol!$N$652="","",[2]Baskol!$N$652)</f>
        <v/>
      </c>
      <c r="AD649" t="str">
        <f>IF([2]Baskol!$O$652="","",[2]Baskol!$O$652)</f>
        <v/>
      </c>
      <c r="AE649" t="str">
        <f>IF([3]Entry!$C$652="","",[3]Entry!$C$652)</f>
        <v/>
      </c>
      <c r="AF649" t="str">
        <f>IF([3]Entry!$D$652="","",[3]Entry!$D$652)</f>
        <v/>
      </c>
      <c r="AG649" t="str">
        <f>IF([3]Entry!$E$652="","",[3]Entry!$E$652)</f>
        <v/>
      </c>
      <c r="AH649" t="str">
        <f>IF([3]Entry!$G$652="","",[3]Entry!$G$652)</f>
        <v/>
      </c>
      <c r="AI649" t="str">
        <f>IF([3]Entry!$K$652="","",[3]Entry!$K$652)</f>
        <v/>
      </c>
      <c r="AJ649" t="str">
        <f>IF([3]Entry!$L$652="","",[3]Entry!$L$652)</f>
        <v/>
      </c>
      <c r="AK649" t="str">
        <f>IF([3]Entry!$M$652="","",[3]Entry!$M$652)</f>
        <v/>
      </c>
      <c r="AL649" t="str">
        <f>IF([3]Entry!$N$652="","",[3]Entry!$N$652)</f>
        <v/>
      </c>
      <c r="AM649" t="str">
        <f>IF([3]Entry!$R$652="","",[3]Entry!$R$652)</f>
        <v/>
      </c>
    </row>
    <row r="650" spans="20:39" x14ac:dyDescent="0.2">
      <c r="T650" t="str">
        <f>IF([2]Baskol!$B$653="","",[2]Baskol!$B$653)</f>
        <v/>
      </c>
      <c r="U650" t="str">
        <f>IF([2]Baskol!$C$653="","",[2]Baskol!$C$653)</f>
        <v/>
      </c>
      <c r="V650" t="str">
        <f>IF([2]Baskol!$D$653="","",[2]Baskol!$D$653)</f>
        <v/>
      </c>
      <c r="W650" t="str">
        <f>IF([2]Baskol!$E$653="","",[2]Baskol!$E$653)</f>
        <v/>
      </c>
      <c r="X650" t="str">
        <f>IF([2]Baskol!$G$653="","",[2]Baskol!$G$653)</f>
        <v/>
      </c>
      <c r="Y650" t="str">
        <f>IF([2]Baskol!$I$653="","",[2]Baskol!$I$653)</f>
        <v/>
      </c>
      <c r="Z650" t="str">
        <f>IF([2]Baskol!$J$653="","",[2]Baskol!$J$653)</f>
        <v/>
      </c>
      <c r="AA650" t="str">
        <f>IF([2]Baskol!$K$653="","",[2]Baskol!$K$653)</f>
        <v/>
      </c>
      <c r="AB650" t="str">
        <f>IF([2]Baskol!$L$653="","",[2]Baskol!$L$653)</f>
        <v/>
      </c>
      <c r="AC650" t="str">
        <f>IF([2]Baskol!$N$653="","",[2]Baskol!$N$653)</f>
        <v/>
      </c>
      <c r="AD650" t="str">
        <f>IF([2]Baskol!$O$653="","",[2]Baskol!$O$653)</f>
        <v/>
      </c>
      <c r="AE650" t="str">
        <f>IF([3]Entry!$C$653="","",[3]Entry!$C$653)</f>
        <v/>
      </c>
      <c r="AF650" t="str">
        <f>IF([3]Entry!$D$653="","",[3]Entry!$D$653)</f>
        <v/>
      </c>
      <c r="AG650" t="str">
        <f>IF([3]Entry!$E$653="","",[3]Entry!$E$653)</f>
        <v/>
      </c>
      <c r="AH650" t="str">
        <f>IF([3]Entry!$G$653="","",[3]Entry!$G$653)</f>
        <v/>
      </c>
      <c r="AI650" t="str">
        <f>IF([3]Entry!$K$653="","",[3]Entry!$K$653)</f>
        <v/>
      </c>
      <c r="AJ650" t="str">
        <f>IF([3]Entry!$L$653="","",[3]Entry!$L$653)</f>
        <v/>
      </c>
      <c r="AK650" t="str">
        <f>IF([3]Entry!$M$653="","",[3]Entry!$M$653)</f>
        <v/>
      </c>
      <c r="AL650" t="str">
        <f>IF([3]Entry!$N$653="","",[3]Entry!$N$653)</f>
        <v/>
      </c>
      <c r="AM650" t="str">
        <f>IF([3]Entry!$R$653="","",[3]Entry!$R$653)</f>
        <v/>
      </c>
    </row>
    <row r="651" spans="20:39" x14ac:dyDescent="0.2">
      <c r="T651" t="str">
        <f>IF([2]Baskol!$B$654="","",[2]Baskol!$B$654)</f>
        <v/>
      </c>
      <c r="U651" t="str">
        <f>IF([2]Baskol!$C$654="","",[2]Baskol!$C$654)</f>
        <v/>
      </c>
      <c r="V651" t="str">
        <f>IF([2]Baskol!$D$654="","",[2]Baskol!$D$654)</f>
        <v/>
      </c>
      <c r="W651" t="str">
        <f>IF([2]Baskol!$E$654="","",[2]Baskol!$E$654)</f>
        <v/>
      </c>
      <c r="X651" t="str">
        <f>IF([2]Baskol!$G$654="","",[2]Baskol!$G$654)</f>
        <v/>
      </c>
      <c r="Y651" t="str">
        <f>IF([2]Baskol!$I$654="","",[2]Baskol!$I$654)</f>
        <v/>
      </c>
      <c r="Z651" t="str">
        <f>IF([2]Baskol!$J$654="","",[2]Baskol!$J$654)</f>
        <v/>
      </c>
      <c r="AA651" t="str">
        <f>IF([2]Baskol!$K$654="","",[2]Baskol!$K$654)</f>
        <v/>
      </c>
      <c r="AB651" t="str">
        <f>IF([2]Baskol!$L$654="","",[2]Baskol!$L$654)</f>
        <v/>
      </c>
      <c r="AC651" t="str">
        <f>IF([2]Baskol!$N$654="","",[2]Baskol!$N$654)</f>
        <v/>
      </c>
      <c r="AD651" t="str">
        <f>IF([2]Baskol!$O$654="","",[2]Baskol!$O$654)</f>
        <v/>
      </c>
      <c r="AE651" t="str">
        <f>IF([3]Entry!$C$654="","",[3]Entry!$C$654)</f>
        <v/>
      </c>
      <c r="AF651" t="str">
        <f>IF([3]Entry!$D$654="","",[3]Entry!$D$654)</f>
        <v/>
      </c>
      <c r="AG651" t="str">
        <f>IF([3]Entry!$E$654="","",[3]Entry!$E$654)</f>
        <v/>
      </c>
      <c r="AH651" t="str">
        <f>IF([3]Entry!$G$654="","",[3]Entry!$G$654)</f>
        <v/>
      </c>
      <c r="AI651" t="str">
        <f>IF([3]Entry!$K$654="","",[3]Entry!$K$654)</f>
        <v/>
      </c>
      <c r="AJ651" t="str">
        <f>IF([3]Entry!$L$654="","",[3]Entry!$L$654)</f>
        <v/>
      </c>
      <c r="AK651" t="str">
        <f>IF([3]Entry!$M$654="","",[3]Entry!$M$654)</f>
        <v/>
      </c>
      <c r="AL651" t="str">
        <f>IF([3]Entry!$N$654="","",[3]Entry!$N$654)</f>
        <v/>
      </c>
      <c r="AM651" t="str">
        <f>IF([3]Entry!$R$654="","",[3]Entry!$R$654)</f>
        <v/>
      </c>
    </row>
    <row r="652" spans="20:39" x14ac:dyDescent="0.2">
      <c r="T652" t="str">
        <f>IF([2]Baskol!$B$655="","",[2]Baskol!$B$655)</f>
        <v/>
      </c>
      <c r="U652" t="str">
        <f>IF([2]Baskol!$C$655="","",[2]Baskol!$C$655)</f>
        <v/>
      </c>
      <c r="V652" t="str">
        <f>IF([2]Baskol!$D$655="","",[2]Baskol!$D$655)</f>
        <v/>
      </c>
      <c r="W652" t="str">
        <f>IF([2]Baskol!$E$655="","",[2]Baskol!$E$655)</f>
        <v/>
      </c>
      <c r="X652" t="str">
        <f>IF([2]Baskol!$G$655="","",[2]Baskol!$G$655)</f>
        <v/>
      </c>
      <c r="Y652" t="str">
        <f>IF([2]Baskol!$I$655="","",[2]Baskol!$I$655)</f>
        <v/>
      </c>
      <c r="Z652" t="str">
        <f>IF([2]Baskol!$J$655="","",[2]Baskol!$J$655)</f>
        <v/>
      </c>
      <c r="AA652" t="str">
        <f>IF([2]Baskol!$K$655="","",[2]Baskol!$K$655)</f>
        <v/>
      </c>
      <c r="AB652" t="str">
        <f>IF([2]Baskol!$L$655="","",[2]Baskol!$L$655)</f>
        <v/>
      </c>
      <c r="AC652" t="str">
        <f>IF([2]Baskol!$N$655="","",[2]Baskol!$N$655)</f>
        <v/>
      </c>
      <c r="AD652" t="str">
        <f>IF([2]Baskol!$O$655="","",[2]Baskol!$O$655)</f>
        <v/>
      </c>
      <c r="AE652" t="str">
        <f>IF([3]Entry!$C$655="","",[3]Entry!$C$655)</f>
        <v/>
      </c>
      <c r="AF652" t="str">
        <f>IF([3]Entry!$D$655="","",[3]Entry!$D$655)</f>
        <v/>
      </c>
      <c r="AG652" t="str">
        <f>IF([3]Entry!$E$655="","",[3]Entry!$E$655)</f>
        <v/>
      </c>
      <c r="AH652" t="str">
        <f>IF([3]Entry!$G$655="","",[3]Entry!$G$655)</f>
        <v/>
      </c>
      <c r="AI652" t="str">
        <f>IF([3]Entry!$K$655="","",[3]Entry!$K$655)</f>
        <v/>
      </c>
      <c r="AJ652" t="str">
        <f>IF([3]Entry!$L$655="","",[3]Entry!$L$655)</f>
        <v/>
      </c>
      <c r="AK652" t="str">
        <f>IF([3]Entry!$M$655="","",[3]Entry!$M$655)</f>
        <v/>
      </c>
      <c r="AL652" t="str">
        <f>IF([3]Entry!$N$655="","",[3]Entry!$N$655)</f>
        <v/>
      </c>
      <c r="AM652" t="str">
        <f>IF([3]Entry!$R$655="","",[3]Entry!$R$655)</f>
        <v/>
      </c>
    </row>
    <row r="653" spans="20:39" x14ac:dyDescent="0.2">
      <c r="T653" t="str">
        <f>IF([2]Baskol!$B$656="","",[2]Baskol!$B$656)</f>
        <v/>
      </c>
      <c r="U653" t="str">
        <f>IF([2]Baskol!$C$656="","",[2]Baskol!$C$656)</f>
        <v/>
      </c>
      <c r="V653" t="str">
        <f>IF([2]Baskol!$D$656="","",[2]Baskol!$D$656)</f>
        <v/>
      </c>
      <c r="W653" t="str">
        <f>IF([2]Baskol!$E$656="","",[2]Baskol!$E$656)</f>
        <v/>
      </c>
      <c r="X653" t="str">
        <f>IF([2]Baskol!$G$656="","",[2]Baskol!$G$656)</f>
        <v/>
      </c>
      <c r="Y653" t="str">
        <f>IF([2]Baskol!$I$656="","",[2]Baskol!$I$656)</f>
        <v/>
      </c>
      <c r="Z653" t="str">
        <f>IF([2]Baskol!$J$656="","",[2]Baskol!$J$656)</f>
        <v/>
      </c>
      <c r="AA653" t="str">
        <f>IF([2]Baskol!$K$656="","",[2]Baskol!$K$656)</f>
        <v/>
      </c>
      <c r="AB653" t="str">
        <f>IF([2]Baskol!$L$656="","",[2]Baskol!$L$656)</f>
        <v/>
      </c>
      <c r="AC653" t="str">
        <f>IF([2]Baskol!$N$656="","",[2]Baskol!$N$656)</f>
        <v/>
      </c>
      <c r="AD653" t="str">
        <f>IF([2]Baskol!$O$656="","",[2]Baskol!$O$656)</f>
        <v/>
      </c>
      <c r="AE653" t="str">
        <f>IF([3]Entry!$C$656="","",[3]Entry!$C$656)</f>
        <v/>
      </c>
      <c r="AF653" t="str">
        <f>IF([3]Entry!$D$656="","",[3]Entry!$D$656)</f>
        <v/>
      </c>
      <c r="AG653" t="str">
        <f>IF([3]Entry!$E$656="","",[3]Entry!$E$656)</f>
        <v/>
      </c>
      <c r="AH653" t="str">
        <f>IF([3]Entry!$G$656="","",[3]Entry!$G$656)</f>
        <v/>
      </c>
      <c r="AI653" t="str">
        <f>IF([3]Entry!$K$656="","",[3]Entry!$K$656)</f>
        <v/>
      </c>
      <c r="AJ653" t="str">
        <f>IF([3]Entry!$L$656="","",[3]Entry!$L$656)</f>
        <v/>
      </c>
      <c r="AK653" t="str">
        <f>IF([3]Entry!$M$656="","",[3]Entry!$M$656)</f>
        <v/>
      </c>
      <c r="AL653" t="str">
        <f>IF([3]Entry!$N$656="","",[3]Entry!$N$656)</f>
        <v/>
      </c>
      <c r="AM653" t="str">
        <f>IF([3]Entry!$R$656="","",[3]Entry!$R$656)</f>
        <v/>
      </c>
    </row>
    <row r="654" spans="20:39" x14ac:dyDescent="0.2">
      <c r="T654" t="str">
        <f>IF([2]Baskol!$B$657="","",[2]Baskol!$B$657)</f>
        <v/>
      </c>
      <c r="U654" t="str">
        <f>IF([2]Baskol!$C$657="","",[2]Baskol!$C$657)</f>
        <v/>
      </c>
      <c r="V654" t="str">
        <f>IF([2]Baskol!$D$657="","",[2]Baskol!$D$657)</f>
        <v/>
      </c>
      <c r="W654" t="str">
        <f>IF([2]Baskol!$E$657="","",[2]Baskol!$E$657)</f>
        <v/>
      </c>
      <c r="X654" t="str">
        <f>IF([2]Baskol!$G$657="","",[2]Baskol!$G$657)</f>
        <v/>
      </c>
      <c r="Y654" t="str">
        <f>IF([2]Baskol!$I$657="","",[2]Baskol!$I$657)</f>
        <v/>
      </c>
      <c r="Z654" t="str">
        <f>IF([2]Baskol!$J$657="","",[2]Baskol!$J$657)</f>
        <v/>
      </c>
      <c r="AA654" t="str">
        <f>IF([2]Baskol!$K$657="","",[2]Baskol!$K$657)</f>
        <v/>
      </c>
      <c r="AB654" t="str">
        <f>IF([2]Baskol!$L$657="","",[2]Baskol!$L$657)</f>
        <v/>
      </c>
      <c r="AC654" t="str">
        <f>IF([2]Baskol!$N$657="","",[2]Baskol!$N$657)</f>
        <v/>
      </c>
      <c r="AD654" t="str">
        <f>IF([2]Baskol!$O$657="","",[2]Baskol!$O$657)</f>
        <v/>
      </c>
      <c r="AE654" t="str">
        <f>IF([3]Entry!$C$657="","",[3]Entry!$C$657)</f>
        <v/>
      </c>
      <c r="AF654" t="str">
        <f>IF([3]Entry!$D$657="","",[3]Entry!$D$657)</f>
        <v/>
      </c>
      <c r="AG654" t="str">
        <f>IF([3]Entry!$E$657="","",[3]Entry!$E$657)</f>
        <v/>
      </c>
      <c r="AH654" t="str">
        <f>IF([3]Entry!$G$657="","",[3]Entry!$G$657)</f>
        <v/>
      </c>
      <c r="AI654" t="str">
        <f>IF([3]Entry!$K$657="","",[3]Entry!$K$657)</f>
        <v/>
      </c>
      <c r="AJ654" t="str">
        <f>IF([3]Entry!$L$657="","",[3]Entry!$L$657)</f>
        <v/>
      </c>
      <c r="AK654" t="str">
        <f>IF([3]Entry!$M$657="","",[3]Entry!$M$657)</f>
        <v/>
      </c>
      <c r="AL654" t="str">
        <f>IF([3]Entry!$N$657="","",[3]Entry!$N$657)</f>
        <v/>
      </c>
      <c r="AM654" t="str">
        <f>IF([3]Entry!$R$657="","",[3]Entry!$R$657)</f>
        <v/>
      </c>
    </row>
    <row r="655" spans="20:39" x14ac:dyDescent="0.2">
      <c r="T655" t="str">
        <f>IF([2]Baskol!$B$658="","",[2]Baskol!$B$658)</f>
        <v/>
      </c>
      <c r="U655" t="str">
        <f>IF([2]Baskol!$C$658="","",[2]Baskol!$C$658)</f>
        <v/>
      </c>
      <c r="V655" t="str">
        <f>IF([2]Baskol!$D$658="","",[2]Baskol!$D$658)</f>
        <v/>
      </c>
      <c r="W655" t="str">
        <f>IF([2]Baskol!$E$658="","",[2]Baskol!$E$658)</f>
        <v/>
      </c>
      <c r="X655" t="str">
        <f>IF([2]Baskol!$G$658="","",[2]Baskol!$G$658)</f>
        <v/>
      </c>
      <c r="Y655" t="str">
        <f>IF([2]Baskol!$I$658="","",[2]Baskol!$I$658)</f>
        <v/>
      </c>
      <c r="Z655" t="str">
        <f>IF([2]Baskol!$J$658="","",[2]Baskol!$J$658)</f>
        <v/>
      </c>
      <c r="AA655" t="str">
        <f>IF([2]Baskol!$K$658="","",[2]Baskol!$K$658)</f>
        <v/>
      </c>
      <c r="AB655" t="str">
        <f>IF([2]Baskol!$L$658="","",[2]Baskol!$L$658)</f>
        <v/>
      </c>
      <c r="AC655" t="str">
        <f>IF([2]Baskol!$N$658="","",[2]Baskol!$N$658)</f>
        <v/>
      </c>
      <c r="AD655" t="str">
        <f>IF([2]Baskol!$O$658="","",[2]Baskol!$O$658)</f>
        <v/>
      </c>
      <c r="AE655" t="str">
        <f>IF([3]Entry!$C$658="","",[3]Entry!$C$658)</f>
        <v/>
      </c>
      <c r="AF655" t="str">
        <f>IF([3]Entry!$D$658="","",[3]Entry!$D$658)</f>
        <v/>
      </c>
      <c r="AG655" t="str">
        <f>IF([3]Entry!$E$658="","",[3]Entry!$E$658)</f>
        <v/>
      </c>
      <c r="AH655" t="str">
        <f>IF([3]Entry!$G$658="","",[3]Entry!$G$658)</f>
        <v/>
      </c>
      <c r="AI655" t="str">
        <f>IF([3]Entry!$K$658="","",[3]Entry!$K$658)</f>
        <v/>
      </c>
      <c r="AJ655" t="str">
        <f>IF([3]Entry!$L$658="","",[3]Entry!$L$658)</f>
        <v/>
      </c>
      <c r="AK655" t="str">
        <f>IF([3]Entry!$M$658="","",[3]Entry!$M$658)</f>
        <v/>
      </c>
      <c r="AL655" t="str">
        <f>IF([3]Entry!$N$658="","",[3]Entry!$N$658)</f>
        <v/>
      </c>
      <c r="AM655" t="str">
        <f>IF([3]Entry!$R$658="","",[3]Entry!$R$658)</f>
        <v/>
      </c>
    </row>
    <row r="656" spans="20:39" x14ac:dyDescent="0.2">
      <c r="T656" t="str">
        <f>IF([2]Baskol!$B$659="","",[2]Baskol!$B$659)</f>
        <v/>
      </c>
      <c r="U656" t="str">
        <f>IF([2]Baskol!$C$659="","",[2]Baskol!$C$659)</f>
        <v/>
      </c>
      <c r="V656" t="str">
        <f>IF([2]Baskol!$D$659="","",[2]Baskol!$D$659)</f>
        <v/>
      </c>
      <c r="W656" t="str">
        <f>IF([2]Baskol!$E$659="","",[2]Baskol!$E$659)</f>
        <v/>
      </c>
      <c r="X656" t="str">
        <f>IF([2]Baskol!$G$659="","",[2]Baskol!$G$659)</f>
        <v/>
      </c>
      <c r="Y656" t="str">
        <f>IF([2]Baskol!$I$659="","",[2]Baskol!$I$659)</f>
        <v/>
      </c>
      <c r="Z656" t="str">
        <f>IF([2]Baskol!$J$659="","",[2]Baskol!$J$659)</f>
        <v/>
      </c>
      <c r="AA656" t="str">
        <f>IF([2]Baskol!$K$659="","",[2]Baskol!$K$659)</f>
        <v/>
      </c>
      <c r="AB656" t="str">
        <f>IF([2]Baskol!$L$659="","",[2]Baskol!$L$659)</f>
        <v/>
      </c>
      <c r="AC656" t="str">
        <f>IF([2]Baskol!$N$659="","",[2]Baskol!$N$659)</f>
        <v/>
      </c>
      <c r="AD656" t="str">
        <f>IF([2]Baskol!$O$659="","",[2]Baskol!$O$659)</f>
        <v/>
      </c>
      <c r="AE656" t="str">
        <f>IF([3]Entry!$C$659="","",[3]Entry!$C$659)</f>
        <v/>
      </c>
      <c r="AF656" t="str">
        <f>IF([3]Entry!$D$659="","",[3]Entry!$D$659)</f>
        <v/>
      </c>
      <c r="AG656" t="str">
        <f>IF([3]Entry!$E$659="","",[3]Entry!$E$659)</f>
        <v/>
      </c>
      <c r="AH656" t="str">
        <f>IF([3]Entry!$G$659="","",[3]Entry!$G$659)</f>
        <v/>
      </c>
      <c r="AI656" t="str">
        <f>IF([3]Entry!$K$659="","",[3]Entry!$K$659)</f>
        <v/>
      </c>
      <c r="AJ656" t="str">
        <f>IF([3]Entry!$L$659="","",[3]Entry!$L$659)</f>
        <v/>
      </c>
      <c r="AK656" t="str">
        <f>IF([3]Entry!$M$659="","",[3]Entry!$M$659)</f>
        <v/>
      </c>
      <c r="AL656" t="str">
        <f>IF([3]Entry!$N$659="","",[3]Entry!$N$659)</f>
        <v/>
      </c>
      <c r="AM656" t="str">
        <f>IF([3]Entry!$R$659="","",[3]Entry!$R$659)</f>
        <v/>
      </c>
    </row>
    <row r="657" spans="20:39" x14ac:dyDescent="0.2">
      <c r="T657" t="str">
        <f>IF([2]Baskol!$B$660="","",[2]Baskol!$B$660)</f>
        <v/>
      </c>
      <c r="U657" t="str">
        <f>IF([2]Baskol!$C$660="","",[2]Baskol!$C$660)</f>
        <v/>
      </c>
      <c r="V657" t="str">
        <f>IF([2]Baskol!$D$660="","",[2]Baskol!$D$660)</f>
        <v/>
      </c>
      <c r="W657" t="str">
        <f>IF([2]Baskol!$E$660="","",[2]Baskol!$E$660)</f>
        <v/>
      </c>
      <c r="X657" t="str">
        <f>IF([2]Baskol!$G$660="","",[2]Baskol!$G$660)</f>
        <v/>
      </c>
      <c r="Y657" t="str">
        <f>IF([2]Baskol!$I$660="","",[2]Baskol!$I$660)</f>
        <v/>
      </c>
      <c r="Z657" t="str">
        <f>IF([2]Baskol!$J$660="","",[2]Baskol!$J$660)</f>
        <v/>
      </c>
      <c r="AA657" t="str">
        <f>IF([2]Baskol!$K$660="","",[2]Baskol!$K$660)</f>
        <v/>
      </c>
      <c r="AB657" t="str">
        <f>IF([2]Baskol!$L$660="","",[2]Baskol!$L$660)</f>
        <v/>
      </c>
      <c r="AC657" t="str">
        <f>IF([2]Baskol!$N$660="","",[2]Baskol!$N$660)</f>
        <v/>
      </c>
      <c r="AD657" t="str">
        <f>IF([2]Baskol!$O$660="","",[2]Baskol!$O$660)</f>
        <v/>
      </c>
      <c r="AE657" t="str">
        <f>IF([3]Entry!$C$660="","",[3]Entry!$C$660)</f>
        <v/>
      </c>
      <c r="AF657" t="str">
        <f>IF([3]Entry!$D$660="","",[3]Entry!$D$660)</f>
        <v/>
      </c>
      <c r="AG657" t="str">
        <f>IF([3]Entry!$E$660="","",[3]Entry!$E$660)</f>
        <v/>
      </c>
      <c r="AH657" t="str">
        <f>IF([3]Entry!$G$660="","",[3]Entry!$G$660)</f>
        <v/>
      </c>
      <c r="AI657" t="str">
        <f>IF([3]Entry!$K$660="","",[3]Entry!$K$660)</f>
        <v/>
      </c>
      <c r="AJ657" t="str">
        <f>IF([3]Entry!$L$660="","",[3]Entry!$L$660)</f>
        <v/>
      </c>
      <c r="AK657" t="str">
        <f>IF([3]Entry!$M$660="","",[3]Entry!$M$660)</f>
        <v/>
      </c>
      <c r="AL657" t="str">
        <f>IF([3]Entry!$N$660="","",[3]Entry!$N$660)</f>
        <v/>
      </c>
      <c r="AM657" t="str">
        <f>IF([3]Entry!$R$660="","",[3]Entry!$R$660)</f>
        <v/>
      </c>
    </row>
    <row r="658" spans="20:39" x14ac:dyDescent="0.2">
      <c r="T658" t="str">
        <f>IF([2]Baskol!$B$661="","",[2]Baskol!$B$661)</f>
        <v/>
      </c>
      <c r="U658" t="str">
        <f>IF([2]Baskol!$C$661="","",[2]Baskol!$C$661)</f>
        <v/>
      </c>
      <c r="V658" t="str">
        <f>IF([2]Baskol!$D$661="","",[2]Baskol!$D$661)</f>
        <v/>
      </c>
      <c r="W658" t="str">
        <f>IF([2]Baskol!$E$661="","",[2]Baskol!$E$661)</f>
        <v/>
      </c>
      <c r="X658" t="str">
        <f>IF([2]Baskol!$G$661="","",[2]Baskol!$G$661)</f>
        <v/>
      </c>
      <c r="Y658" t="str">
        <f>IF([2]Baskol!$I$661="","",[2]Baskol!$I$661)</f>
        <v/>
      </c>
      <c r="Z658" t="str">
        <f>IF([2]Baskol!$J$661="","",[2]Baskol!$J$661)</f>
        <v/>
      </c>
      <c r="AA658" t="str">
        <f>IF([2]Baskol!$K$661="","",[2]Baskol!$K$661)</f>
        <v/>
      </c>
      <c r="AB658" t="str">
        <f>IF([2]Baskol!$L$661="","",[2]Baskol!$L$661)</f>
        <v/>
      </c>
      <c r="AC658" t="str">
        <f>IF([2]Baskol!$N$661="","",[2]Baskol!$N$661)</f>
        <v/>
      </c>
      <c r="AD658" t="str">
        <f>IF([2]Baskol!$O$661="","",[2]Baskol!$O$661)</f>
        <v/>
      </c>
      <c r="AE658" t="str">
        <f>IF([3]Entry!$C$661="","",[3]Entry!$C$661)</f>
        <v/>
      </c>
      <c r="AF658" t="str">
        <f>IF([3]Entry!$D$661="","",[3]Entry!$D$661)</f>
        <v/>
      </c>
      <c r="AG658" t="str">
        <f>IF([3]Entry!$E$661="","",[3]Entry!$E$661)</f>
        <v/>
      </c>
      <c r="AH658" t="str">
        <f>IF([3]Entry!$G$661="","",[3]Entry!$G$661)</f>
        <v/>
      </c>
      <c r="AI658" t="str">
        <f>IF([3]Entry!$K$661="","",[3]Entry!$K$661)</f>
        <v/>
      </c>
      <c r="AJ658" t="str">
        <f>IF([3]Entry!$L$661="","",[3]Entry!$L$661)</f>
        <v/>
      </c>
      <c r="AK658" t="str">
        <f>IF([3]Entry!$M$661="","",[3]Entry!$M$661)</f>
        <v/>
      </c>
      <c r="AL658" t="str">
        <f>IF([3]Entry!$N$661="","",[3]Entry!$N$661)</f>
        <v/>
      </c>
      <c r="AM658" t="str">
        <f>IF([3]Entry!$R$661="","",[3]Entry!$R$661)</f>
        <v/>
      </c>
    </row>
    <row r="659" spans="20:39" x14ac:dyDescent="0.2">
      <c r="T659" t="str">
        <f>IF([2]Baskol!$B$662="","",[2]Baskol!$B$662)</f>
        <v/>
      </c>
      <c r="U659" t="str">
        <f>IF([2]Baskol!$C$662="","",[2]Baskol!$C$662)</f>
        <v/>
      </c>
      <c r="V659" t="str">
        <f>IF([2]Baskol!$D$662="","",[2]Baskol!$D$662)</f>
        <v/>
      </c>
      <c r="W659" t="str">
        <f>IF([2]Baskol!$E$662="","",[2]Baskol!$E$662)</f>
        <v/>
      </c>
      <c r="X659" t="str">
        <f>IF([2]Baskol!$G$662="","",[2]Baskol!$G$662)</f>
        <v/>
      </c>
      <c r="Y659" t="str">
        <f>IF([2]Baskol!$I$662="","",[2]Baskol!$I$662)</f>
        <v/>
      </c>
      <c r="Z659" t="str">
        <f>IF([2]Baskol!$J$662="","",[2]Baskol!$J$662)</f>
        <v/>
      </c>
      <c r="AA659" t="str">
        <f>IF([2]Baskol!$K$662="","",[2]Baskol!$K$662)</f>
        <v/>
      </c>
      <c r="AB659" t="str">
        <f>IF([2]Baskol!$L$662="","",[2]Baskol!$L$662)</f>
        <v/>
      </c>
      <c r="AC659" t="str">
        <f>IF([2]Baskol!$N$662="","",[2]Baskol!$N$662)</f>
        <v/>
      </c>
      <c r="AD659" t="str">
        <f>IF([2]Baskol!$O$662="","",[2]Baskol!$O$662)</f>
        <v/>
      </c>
      <c r="AE659" t="str">
        <f>IF([3]Entry!$C$662="","",[3]Entry!$C$662)</f>
        <v/>
      </c>
      <c r="AF659" t="str">
        <f>IF([3]Entry!$D$662="","",[3]Entry!$D$662)</f>
        <v/>
      </c>
      <c r="AG659" t="str">
        <f>IF([3]Entry!$E$662="","",[3]Entry!$E$662)</f>
        <v/>
      </c>
      <c r="AH659" t="str">
        <f>IF([3]Entry!$G$662="","",[3]Entry!$G$662)</f>
        <v/>
      </c>
      <c r="AI659" t="str">
        <f>IF([3]Entry!$K$662="","",[3]Entry!$K$662)</f>
        <v/>
      </c>
      <c r="AJ659" t="str">
        <f>IF([3]Entry!$L$662="","",[3]Entry!$L$662)</f>
        <v/>
      </c>
      <c r="AK659" t="str">
        <f>IF([3]Entry!$M$662="","",[3]Entry!$M$662)</f>
        <v/>
      </c>
      <c r="AL659" t="str">
        <f>IF([3]Entry!$N$662="","",[3]Entry!$N$662)</f>
        <v/>
      </c>
      <c r="AM659" t="str">
        <f>IF([3]Entry!$R$662="","",[3]Entry!$R$662)</f>
        <v/>
      </c>
    </row>
    <row r="660" spans="20:39" x14ac:dyDescent="0.2">
      <c r="T660" t="str">
        <f>IF([2]Baskol!$B$663="","",[2]Baskol!$B$663)</f>
        <v/>
      </c>
      <c r="U660" t="str">
        <f>IF([2]Baskol!$C$663="","",[2]Baskol!$C$663)</f>
        <v/>
      </c>
      <c r="V660" t="str">
        <f>IF([2]Baskol!$D$663="","",[2]Baskol!$D$663)</f>
        <v/>
      </c>
      <c r="W660" t="str">
        <f>IF([2]Baskol!$E$663="","",[2]Baskol!$E$663)</f>
        <v/>
      </c>
      <c r="X660" t="str">
        <f>IF([2]Baskol!$G$663="","",[2]Baskol!$G$663)</f>
        <v/>
      </c>
      <c r="Y660" t="str">
        <f>IF([2]Baskol!$I$663="","",[2]Baskol!$I$663)</f>
        <v/>
      </c>
      <c r="Z660" t="str">
        <f>IF([2]Baskol!$J$663="","",[2]Baskol!$J$663)</f>
        <v/>
      </c>
      <c r="AA660" t="str">
        <f>IF([2]Baskol!$K$663="","",[2]Baskol!$K$663)</f>
        <v/>
      </c>
      <c r="AB660" t="str">
        <f>IF([2]Baskol!$L$663="","",[2]Baskol!$L$663)</f>
        <v/>
      </c>
      <c r="AC660" t="str">
        <f>IF([2]Baskol!$N$663="","",[2]Baskol!$N$663)</f>
        <v/>
      </c>
      <c r="AD660" t="str">
        <f>IF([2]Baskol!$O$663="","",[2]Baskol!$O$663)</f>
        <v/>
      </c>
      <c r="AE660" t="str">
        <f>IF([3]Entry!$C$663="","",[3]Entry!$C$663)</f>
        <v/>
      </c>
      <c r="AF660" t="str">
        <f>IF([3]Entry!$D$663="","",[3]Entry!$D$663)</f>
        <v/>
      </c>
      <c r="AG660" t="str">
        <f>IF([3]Entry!$E$663="","",[3]Entry!$E$663)</f>
        <v/>
      </c>
      <c r="AH660" t="str">
        <f>IF([3]Entry!$G$663="","",[3]Entry!$G$663)</f>
        <v/>
      </c>
      <c r="AI660" t="str">
        <f>IF([3]Entry!$K$663="","",[3]Entry!$K$663)</f>
        <v/>
      </c>
      <c r="AJ660" t="str">
        <f>IF([3]Entry!$L$663="","",[3]Entry!$L$663)</f>
        <v/>
      </c>
      <c r="AK660" t="str">
        <f>IF([3]Entry!$M$663="","",[3]Entry!$M$663)</f>
        <v/>
      </c>
      <c r="AL660" t="str">
        <f>IF([3]Entry!$N$663="","",[3]Entry!$N$663)</f>
        <v/>
      </c>
      <c r="AM660" t="str">
        <f>IF([3]Entry!$R$663="","",[3]Entry!$R$663)</f>
        <v/>
      </c>
    </row>
    <row r="661" spans="20:39" x14ac:dyDescent="0.2">
      <c r="T661" t="str">
        <f>IF([2]Baskol!$B$664="","",[2]Baskol!$B$664)</f>
        <v/>
      </c>
      <c r="U661" t="str">
        <f>IF([2]Baskol!$C$664="","",[2]Baskol!$C$664)</f>
        <v/>
      </c>
      <c r="V661" t="str">
        <f>IF([2]Baskol!$D$664="","",[2]Baskol!$D$664)</f>
        <v/>
      </c>
      <c r="W661" t="str">
        <f>IF([2]Baskol!$E$664="","",[2]Baskol!$E$664)</f>
        <v/>
      </c>
      <c r="X661" t="str">
        <f>IF([2]Baskol!$G$664="","",[2]Baskol!$G$664)</f>
        <v/>
      </c>
      <c r="Y661" t="str">
        <f>IF([2]Baskol!$I$664="","",[2]Baskol!$I$664)</f>
        <v/>
      </c>
      <c r="Z661" t="str">
        <f>IF([2]Baskol!$J$664="","",[2]Baskol!$J$664)</f>
        <v/>
      </c>
      <c r="AA661" t="str">
        <f>IF([2]Baskol!$K$664="","",[2]Baskol!$K$664)</f>
        <v/>
      </c>
      <c r="AB661" t="str">
        <f>IF([2]Baskol!$L$664="","",[2]Baskol!$L$664)</f>
        <v/>
      </c>
      <c r="AC661" t="str">
        <f>IF([2]Baskol!$N$664="","",[2]Baskol!$N$664)</f>
        <v/>
      </c>
      <c r="AD661" t="str">
        <f>IF([2]Baskol!$O$664="","",[2]Baskol!$O$664)</f>
        <v/>
      </c>
      <c r="AE661" t="str">
        <f>IF([3]Entry!$C$664="","",[3]Entry!$C$664)</f>
        <v/>
      </c>
      <c r="AF661" t="str">
        <f>IF([3]Entry!$D$664="","",[3]Entry!$D$664)</f>
        <v/>
      </c>
      <c r="AG661" t="str">
        <f>IF([3]Entry!$E$664="","",[3]Entry!$E$664)</f>
        <v/>
      </c>
      <c r="AH661" t="str">
        <f>IF([3]Entry!$G$664="","",[3]Entry!$G$664)</f>
        <v/>
      </c>
      <c r="AI661" t="str">
        <f>IF([3]Entry!$K$664="","",[3]Entry!$K$664)</f>
        <v/>
      </c>
      <c r="AJ661" t="str">
        <f>IF([3]Entry!$L$664="","",[3]Entry!$L$664)</f>
        <v/>
      </c>
      <c r="AK661" t="str">
        <f>IF([3]Entry!$M$664="","",[3]Entry!$M$664)</f>
        <v/>
      </c>
      <c r="AL661" t="str">
        <f>IF([3]Entry!$N$664="","",[3]Entry!$N$664)</f>
        <v/>
      </c>
      <c r="AM661" t="str">
        <f>IF([3]Entry!$R$664="","",[3]Entry!$R$664)</f>
        <v/>
      </c>
    </row>
    <row r="662" spans="20:39" x14ac:dyDescent="0.2">
      <c r="T662" t="str">
        <f>IF([2]Baskol!$B$665="","",[2]Baskol!$B$665)</f>
        <v/>
      </c>
      <c r="U662" t="str">
        <f>IF([2]Baskol!$C$665="","",[2]Baskol!$C$665)</f>
        <v/>
      </c>
      <c r="V662" t="str">
        <f>IF([2]Baskol!$D$665="","",[2]Baskol!$D$665)</f>
        <v/>
      </c>
      <c r="W662" t="str">
        <f>IF([2]Baskol!$E$665="","",[2]Baskol!$E$665)</f>
        <v/>
      </c>
      <c r="X662" t="str">
        <f>IF([2]Baskol!$G$665="","",[2]Baskol!$G$665)</f>
        <v/>
      </c>
      <c r="Y662" t="str">
        <f>IF([2]Baskol!$I$665="","",[2]Baskol!$I$665)</f>
        <v/>
      </c>
      <c r="Z662" t="str">
        <f>IF([2]Baskol!$J$665="","",[2]Baskol!$J$665)</f>
        <v/>
      </c>
      <c r="AA662" t="str">
        <f>IF([2]Baskol!$K$665="","",[2]Baskol!$K$665)</f>
        <v/>
      </c>
      <c r="AB662" t="str">
        <f>IF([2]Baskol!$L$665="","",[2]Baskol!$L$665)</f>
        <v/>
      </c>
      <c r="AC662" t="str">
        <f>IF([2]Baskol!$N$665="","",[2]Baskol!$N$665)</f>
        <v/>
      </c>
      <c r="AD662" t="str">
        <f>IF([2]Baskol!$O$665="","",[2]Baskol!$O$665)</f>
        <v/>
      </c>
      <c r="AE662" t="str">
        <f>IF([3]Entry!$C$665="","",[3]Entry!$C$665)</f>
        <v/>
      </c>
      <c r="AF662" t="str">
        <f>IF([3]Entry!$D$665="","",[3]Entry!$D$665)</f>
        <v/>
      </c>
      <c r="AG662" t="str">
        <f>IF([3]Entry!$E$665="","",[3]Entry!$E$665)</f>
        <v/>
      </c>
      <c r="AH662" t="str">
        <f>IF([3]Entry!$G$665="","",[3]Entry!$G$665)</f>
        <v/>
      </c>
      <c r="AI662" t="str">
        <f>IF([3]Entry!$K$665="","",[3]Entry!$K$665)</f>
        <v/>
      </c>
      <c r="AJ662" t="str">
        <f>IF([3]Entry!$L$665="","",[3]Entry!$L$665)</f>
        <v/>
      </c>
      <c r="AK662" t="str">
        <f>IF([3]Entry!$M$665="","",[3]Entry!$M$665)</f>
        <v/>
      </c>
      <c r="AL662" t="str">
        <f>IF([3]Entry!$N$665="","",[3]Entry!$N$665)</f>
        <v/>
      </c>
      <c r="AM662" t="str">
        <f>IF([3]Entry!$R$665="","",[3]Entry!$R$665)</f>
        <v/>
      </c>
    </row>
    <row r="663" spans="20:39" x14ac:dyDescent="0.2">
      <c r="T663" t="str">
        <f>IF([2]Baskol!$B$666="","",[2]Baskol!$B$666)</f>
        <v/>
      </c>
      <c r="U663" t="str">
        <f>IF([2]Baskol!$C$666="","",[2]Baskol!$C$666)</f>
        <v/>
      </c>
      <c r="V663" t="str">
        <f>IF([2]Baskol!$D$666="","",[2]Baskol!$D$666)</f>
        <v/>
      </c>
      <c r="W663" t="str">
        <f>IF([2]Baskol!$E$666="","",[2]Baskol!$E$666)</f>
        <v/>
      </c>
      <c r="X663" t="str">
        <f>IF([2]Baskol!$G$666="","",[2]Baskol!$G$666)</f>
        <v/>
      </c>
      <c r="Y663" t="str">
        <f>IF([2]Baskol!$I$666="","",[2]Baskol!$I$666)</f>
        <v/>
      </c>
      <c r="Z663" t="str">
        <f>IF([2]Baskol!$J$666="","",[2]Baskol!$J$666)</f>
        <v/>
      </c>
      <c r="AA663" t="str">
        <f>IF([2]Baskol!$K$666="","",[2]Baskol!$K$666)</f>
        <v/>
      </c>
      <c r="AB663" t="str">
        <f>IF([2]Baskol!$L$666="","",[2]Baskol!$L$666)</f>
        <v/>
      </c>
      <c r="AC663" t="str">
        <f>IF([2]Baskol!$N$666="","",[2]Baskol!$N$666)</f>
        <v/>
      </c>
      <c r="AD663" t="str">
        <f>IF([2]Baskol!$O$666="","",[2]Baskol!$O$666)</f>
        <v/>
      </c>
      <c r="AE663" t="str">
        <f>IF([3]Entry!$C$666="","",[3]Entry!$C$666)</f>
        <v/>
      </c>
      <c r="AF663" t="str">
        <f>IF([3]Entry!$D$666="","",[3]Entry!$D$666)</f>
        <v/>
      </c>
      <c r="AG663" t="str">
        <f>IF([3]Entry!$E$666="","",[3]Entry!$E$666)</f>
        <v/>
      </c>
      <c r="AH663" t="str">
        <f>IF([3]Entry!$G$666="","",[3]Entry!$G$666)</f>
        <v/>
      </c>
      <c r="AI663" t="str">
        <f>IF([3]Entry!$K$666="","",[3]Entry!$K$666)</f>
        <v/>
      </c>
      <c r="AJ663" t="str">
        <f>IF([3]Entry!$L$666="","",[3]Entry!$L$666)</f>
        <v/>
      </c>
      <c r="AK663" t="str">
        <f>IF([3]Entry!$M$666="","",[3]Entry!$M$666)</f>
        <v/>
      </c>
      <c r="AL663" t="str">
        <f>IF([3]Entry!$N$666="","",[3]Entry!$N$666)</f>
        <v/>
      </c>
      <c r="AM663" t="str">
        <f>IF([3]Entry!$R$666="","",[3]Entry!$R$666)</f>
        <v/>
      </c>
    </row>
    <row r="664" spans="20:39" x14ac:dyDescent="0.2">
      <c r="T664" t="str">
        <f>IF([2]Baskol!$B$667="","",[2]Baskol!$B$667)</f>
        <v/>
      </c>
      <c r="U664" t="str">
        <f>IF([2]Baskol!$C$667="","",[2]Baskol!$C$667)</f>
        <v/>
      </c>
      <c r="V664" t="str">
        <f>IF([2]Baskol!$D$667="","",[2]Baskol!$D$667)</f>
        <v/>
      </c>
      <c r="W664" t="str">
        <f>IF([2]Baskol!$E$667="","",[2]Baskol!$E$667)</f>
        <v/>
      </c>
      <c r="X664" t="str">
        <f>IF([2]Baskol!$G$667="","",[2]Baskol!$G$667)</f>
        <v/>
      </c>
      <c r="Y664" t="str">
        <f>IF([2]Baskol!$I$667="","",[2]Baskol!$I$667)</f>
        <v/>
      </c>
      <c r="Z664" t="str">
        <f>IF([2]Baskol!$J$667="","",[2]Baskol!$J$667)</f>
        <v/>
      </c>
      <c r="AA664" t="str">
        <f>IF([2]Baskol!$K$667="","",[2]Baskol!$K$667)</f>
        <v/>
      </c>
      <c r="AB664" t="str">
        <f>IF([2]Baskol!$L$667="","",[2]Baskol!$L$667)</f>
        <v/>
      </c>
      <c r="AC664" t="str">
        <f>IF([2]Baskol!$N$667="","",[2]Baskol!$N$667)</f>
        <v/>
      </c>
      <c r="AD664" t="str">
        <f>IF([2]Baskol!$O$667="","",[2]Baskol!$O$667)</f>
        <v/>
      </c>
      <c r="AE664" t="str">
        <f>IF([3]Entry!$C$667="","",[3]Entry!$C$667)</f>
        <v/>
      </c>
      <c r="AF664" t="str">
        <f>IF([3]Entry!$D$667="","",[3]Entry!$D$667)</f>
        <v/>
      </c>
      <c r="AG664" t="str">
        <f>IF([3]Entry!$E$667="","",[3]Entry!$E$667)</f>
        <v/>
      </c>
      <c r="AH664" t="str">
        <f>IF([3]Entry!$G$667="","",[3]Entry!$G$667)</f>
        <v/>
      </c>
      <c r="AI664" t="str">
        <f>IF([3]Entry!$K$667="","",[3]Entry!$K$667)</f>
        <v/>
      </c>
      <c r="AJ664" t="str">
        <f>IF([3]Entry!$L$667="","",[3]Entry!$L$667)</f>
        <v/>
      </c>
      <c r="AK664" t="str">
        <f>IF([3]Entry!$M$667="","",[3]Entry!$M$667)</f>
        <v/>
      </c>
      <c r="AL664" t="str">
        <f>IF([3]Entry!$N$667="","",[3]Entry!$N$667)</f>
        <v/>
      </c>
      <c r="AM664" t="str">
        <f>IF([3]Entry!$R$667="","",[3]Entry!$R$667)</f>
        <v/>
      </c>
    </row>
    <row r="665" spans="20:39" x14ac:dyDescent="0.2">
      <c r="T665" t="str">
        <f>IF([2]Baskol!$B$668="","",[2]Baskol!$B$668)</f>
        <v/>
      </c>
      <c r="U665" t="str">
        <f>IF([2]Baskol!$C$668="","",[2]Baskol!$C$668)</f>
        <v/>
      </c>
      <c r="V665" t="str">
        <f>IF([2]Baskol!$D$668="","",[2]Baskol!$D$668)</f>
        <v/>
      </c>
      <c r="W665" t="str">
        <f>IF([2]Baskol!$E$668="","",[2]Baskol!$E$668)</f>
        <v/>
      </c>
      <c r="X665" t="str">
        <f>IF([2]Baskol!$G$668="","",[2]Baskol!$G$668)</f>
        <v/>
      </c>
      <c r="Y665" t="str">
        <f>IF([2]Baskol!$I$668="","",[2]Baskol!$I$668)</f>
        <v/>
      </c>
      <c r="Z665" t="str">
        <f>IF([2]Baskol!$J$668="","",[2]Baskol!$J$668)</f>
        <v/>
      </c>
      <c r="AA665" t="str">
        <f>IF([2]Baskol!$K$668="","",[2]Baskol!$K$668)</f>
        <v/>
      </c>
      <c r="AB665" t="str">
        <f>IF([2]Baskol!$L$668="","",[2]Baskol!$L$668)</f>
        <v/>
      </c>
      <c r="AC665" t="str">
        <f>IF([2]Baskol!$N$668="","",[2]Baskol!$N$668)</f>
        <v/>
      </c>
      <c r="AD665" t="str">
        <f>IF([2]Baskol!$O$668="","",[2]Baskol!$O$668)</f>
        <v/>
      </c>
      <c r="AE665" t="str">
        <f>IF([3]Entry!$C$668="","",[3]Entry!$C$668)</f>
        <v/>
      </c>
      <c r="AF665" t="str">
        <f>IF([3]Entry!$D$668="","",[3]Entry!$D$668)</f>
        <v/>
      </c>
      <c r="AG665" t="str">
        <f>IF([3]Entry!$E$668="","",[3]Entry!$E$668)</f>
        <v/>
      </c>
      <c r="AH665" t="str">
        <f>IF([3]Entry!$G$668="","",[3]Entry!$G$668)</f>
        <v/>
      </c>
      <c r="AI665" t="str">
        <f>IF([3]Entry!$K$668="","",[3]Entry!$K$668)</f>
        <v/>
      </c>
      <c r="AJ665" t="str">
        <f>IF([3]Entry!$L$668="","",[3]Entry!$L$668)</f>
        <v/>
      </c>
      <c r="AK665" t="str">
        <f>IF([3]Entry!$M$668="","",[3]Entry!$M$668)</f>
        <v/>
      </c>
      <c r="AL665" t="str">
        <f>IF([3]Entry!$N$668="","",[3]Entry!$N$668)</f>
        <v/>
      </c>
      <c r="AM665" t="str">
        <f>IF([3]Entry!$R$668="","",[3]Entry!$R$668)</f>
        <v/>
      </c>
    </row>
    <row r="666" spans="20:39" x14ac:dyDescent="0.2">
      <c r="T666" t="str">
        <f>IF([2]Baskol!$B$669="","",[2]Baskol!$B$669)</f>
        <v/>
      </c>
      <c r="U666" t="str">
        <f>IF([2]Baskol!$C$669="","",[2]Baskol!$C$669)</f>
        <v/>
      </c>
      <c r="V666" t="str">
        <f>IF([2]Baskol!$D$669="","",[2]Baskol!$D$669)</f>
        <v/>
      </c>
      <c r="W666" t="str">
        <f>IF([2]Baskol!$E$669="","",[2]Baskol!$E$669)</f>
        <v/>
      </c>
      <c r="X666" t="str">
        <f>IF([2]Baskol!$G$669="","",[2]Baskol!$G$669)</f>
        <v/>
      </c>
      <c r="Y666" t="str">
        <f>IF([2]Baskol!$I$669="","",[2]Baskol!$I$669)</f>
        <v/>
      </c>
      <c r="Z666" t="str">
        <f>IF([2]Baskol!$J$669="","",[2]Baskol!$J$669)</f>
        <v/>
      </c>
      <c r="AA666" t="str">
        <f>IF([2]Baskol!$K$669="","",[2]Baskol!$K$669)</f>
        <v/>
      </c>
      <c r="AB666" t="str">
        <f>IF([2]Baskol!$L$669="","",[2]Baskol!$L$669)</f>
        <v/>
      </c>
      <c r="AC666" t="str">
        <f>IF([2]Baskol!$N$669="","",[2]Baskol!$N$669)</f>
        <v/>
      </c>
      <c r="AD666" t="str">
        <f>IF([2]Baskol!$O$669="","",[2]Baskol!$O$669)</f>
        <v/>
      </c>
      <c r="AE666" t="str">
        <f>IF([3]Entry!$C$669="","",[3]Entry!$C$669)</f>
        <v/>
      </c>
      <c r="AF666" t="str">
        <f>IF([3]Entry!$D$669="","",[3]Entry!$D$669)</f>
        <v/>
      </c>
      <c r="AG666" t="str">
        <f>IF([3]Entry!$E$669="","",[3]Entry!$E$669)</f>
        <v/>
      </c>
      <c r="AH666" t="str">
        <f>IF([3]Entry!$G$669="","",[3]Entry!$G$669)</f>
        <v/>
      </c>
      <c r="AI666" t="str">
        <f>IF([3]Entry!$K$669="","",[3]Entry!$K$669)</f>
        <v/>
      </c>
      <c r="AJ666" t="str">
        <f>IF([3]Entry!$L$669="","",[3]Entry!$L$669)</f>
        <v/>
      </c>
      <c r="AK666" t="str">
        <f>IF([3]Entry!$M$669="","",[3]Entry!$M$669)</f>
        <v/>
      </c>
      <c r="AL666" t="str">
        <f>IF([3]Entry!$N$669="","",[3]Entry!$N$669)</f>
        <v/>
      </c>
      <c r="AM666" t="str">
        <f>IF([3]Entry!$R$669="","",[3]Entry!$R$669)</f>
        <v/>
      </c>
    </row>
    <row r="667" spans="20:39" x14ac:dyDescent="0.2">
      <c r="T667" t="str">
        <f>IF([2]Baskol!$B$670="","",[2]Baskol!$B$670)</f>
        <v/>
      </c>
      <c r="U667" t="str">
        <f>IF([2]Baskol!$C$670="","",[2]Baskol!$C$670)</f>
        <v/>
      </c>
      <c r="V667" t="str">
        <f>IF([2]Baskol!$D$670="","",[2]Baskol!$D$670)</f>
        <v/>
      </c>
      <c r="W667" t="str">
        <f>IF([2]Baskol!$E$670="","",[2]Baskol!$E$670)</f>
        <v/>
      </c>
      <c r="X667" t="str">
        <f>IF([2]Baskol!$G$670="","",[2]Baskol!$G$670)</f>
        <v/>
      </c>
      <c r="Y667" t="str">
        <f>IF([2]Baskol!$I$670="","",[2]Baskol!$I$670)</f>
        <v/>
      </c>
      <c r="Z667" t="str">
        <f>IF([2]Baskol!$J$670="","",[2]Baskol!$J$670)</f>
        <v/>
      </c>
      <c r="AA667" t="str">
        <f>IF([2]Baskol!$K$670="","",[2]Baskol!$K$670)</f>
        <v/>
      </c>
      <c r="AB667" t="str">
        <f>IF([2]Baskol!$L$670="","",[2]Baskol!$L$670)</f>
        <v/>
      </c>
      <c r="AC667" t="str">
        <f>IF([2]Baskol!$N$670="","",[2]Baskol!$N$670)</f>
        <v/>
      </c>
      <c r="AD667" t="str">
        <f>IF([2]Baskol!$O$670="","",[2]Baskol!$O$670)</f>
        <v/>
      </c>
      <c r="AE667" t="str">
        <f>IF([3]Entry!$C$670="","",[3]Entry!$C$670)</f>
        <v/>
      </c>
      <c r="AF667" t="str">
        <f>IF([3]Entry!$D$670="","",[3]Entry!$D$670)</f>
        <v/>
      </c>
      <c r="AG667" t="str">
        <f>IF([3]Entry!$E$670="","",[3]Entry!$E$670)</f>
        <v/>
      </c>
      <c r="AH667" t="str">
        <f>IF([3]Entry!$G$670="","",[3]Entry!$G$670)</f>
        <v/>
      </c>
      <c r="AI667" t="str">
        <f>IF([3]Entry!$K$670="","",[3]Entry!$K$670)</f>
        <v/>
      </c>
      <c r="AJ667" t="str">
        <f>IF([3]Entry!$L$670="","",[3]Entry!$L$670)</f>
        <v/>
      </c>
      <c r="AK667" t="str">
        <f>IF([3]Entry!$M$670="","",[3]Entry!$M$670)</f>
        <v/>
      </c>
      <c r="AL667" t="str">
        <f>IF([3]Entry!$N$670="","",[3]Entry!$N$670)</f>
        <v/>
      </c>
      <c r="AM667" t="str">
        <f>IF([3]Entry!$R$670="","",[3]Entry!$R$670)</f>
        <v/>
      </c>
    </row>
    <row r="668" spans="20:39" x14ac:dyDescent="0.2">
      <c r="T668" t="str">
        <f>IF([2]Baskol!$B$671="","",[2]Baskol!$B$671)</f>
        <v/>
      </c>
      <c r="U668" t="str">
        <f>IF([2]Baskol!$C$671="","",[2]Baskol!$C$671)</f>
        <v/>
      </c>
      <c r="V668" t="str">
        <f>IF([2]Baskol!$D$671="","",[2]Baskol!$D$671)</f>
        <v/>
      </c>
      <c r="W668" t="str">
        <f>IF([2]Baskol!$E$671="","",[2]Baskol!$E$671)</f>
        <v/>
      </c>
      <c r="X668" t="str">
        <f>IF([2]Baskol!$G$671="","",[2]Baskol!$G$671)</f>
        <v/>
      </c>
      <c r="Y668" t="str">
        <f>IF([2]Baskol!$I$671="","",[2]Baskol!$I$671)</f>
        <v/>
      </c>
      <c r="Z668" t="str">
        <f>IF([2]Baskol!$J$671="","",[2]Baskol!$J$671)</f>
        <v/>
      </c>
      <c r="AA668" t="str">
        <f>IF([2]Baskol!$K$671="","",[2]Baskol!$K$671)</f>
        <v/>
      </c>
      <c r="AB668" t="str">
        <f>IF([2]Baskol!$L$671="","",[2]Baskol!$L$671)</f>
        <v/>
      </c>
      <c r="AC668" t="str">
        <f>IF([2]Baskol!$N$671="","",[2]Baskol!$N$671)</f>
        <v/>
      </c>
      <c r="AD668" t="str">
        <f>IF([2]Baskol!$O$671="","",[2]Baskol!$O$671)</f>
        <v/>
      </c>
      <c r="AE668" t="str">
        <f>IF([3]Entry!$C$671="","",[3]Entry!$C$671)</f>
        <v/>
      </c>
      <c r="AF668" t="str">
        <f>IF([3]Entry!$D$671="","",[3]Entry!$D$671)</f>
        <v/>
      </c>
      <c r="AG668" t="str">
        <f>IF([3]Entry!$E$671="","",[3]Entry!$E$671)</f>
        <v/>
      </c>
      <c r="AH668" t="str">
        <f>IF([3]Entry!$G$671="","",[3]Entry!$G$671)</f>
        <v/>
      </c>
      <c r="AI668" t="str">
        <f>IF([3]Entry!$K$671="","",[3]Entry!$K$671)</f>
        <v/>
      </c>
      <c r="AJ668" t="str">
        <f>IF([3]Entry!$L$671="","",[3]Entry!$L$671)</f>
        <v/>
      </c>
      <c r="AK668" t="str">
        <f>IF([3]Entry!$M$671="","",[3]Entry!$M$671)</f>
        <v/>
      </c>
      <c r="AL668" t="str">
        <f>IF([3]Entry!$N$671="","",[3]Entry!$N$671)</f>
        <v/>
      </c>
      <c r="AM668" t="str">
        <f>IF([3]Entry!$R$671="","",[3]Entry!$R$671)</f>
        <v/>
      </c>
    </row>
    <row r="669" spans="20:39" x14ac:dyDescent="0.2">
      <c r="T669" t="str">
        <f>IF([2]Baskol!$B$672="","",[2]Baskol!$B$672)</f>
        <v/>
      </c>
      <c r="U669" t="str">
        <f>IF([2]Baskol!$C$672="","",[2]Baskol!$C$672)</f>
        <v/>
      </c>
      <c r="V669" t="str">
        <f>IF([2]Baskol!$D$672="","",[2]Baskol!$D$672)</f>
        <v/>
      </c>
      <c r="W669" t="str">
        <f>IF([2]Baskol!$E$672="","",[2]Baskol!$E$672)</f>
        <v/>
      </c>
      <c r="X669" t="str">
        <f>IF([2]Baskol!$G$672="","",[2]Baskol!$G$672)</f>
        <v/>
      </c>
      <c r="Y669" t="str">
        <f>IF([2]Baskol!$I$672="","",[2]Baskol!$I$672)</f>
        <v/>
      </c>
      <c r="Z669" t="str">
        <f>IF([2]Baskol!$J$672="","",[2]Baskol!$J$672)</f>
        <v/>
      </c>
      <c r="AA669" t="str">
        <f>IF([2]Baskol!$K$672="","",[2]Baskol!$K$672)</f>
        <v/>
      </c>
      <c r="AB669" t="str">
        <f>IF([2]Baskol!$L$672="","",[2]Baskol!$L$672)</f>
        <v/>
      </c>
      <c r="AC669" t="str">
        <f>IF([2]Baskol!$N$672="","",[2]Baskol!$N$672)</f>
        <v/>
      </c>
      <c r="AD669" t="str">
        <f>IF([2]Baskol!$O$672="","",[2]Baskol!$O$672)</f>
        <v/>
      </c>
      <c r="AE669" t="str">
        <f>IF([3]Entry!$C$672="","",[3]Entry!$C$672)</f>
        <v/>
      </c>
      <c r="AF669" t="str">
        <f>IF([3]Entry!$D$672="","",[3]Entry!$D$672)</f>
        <v/>
      </c>
      <c r="AG669" t="str">
        <f>IF([3]Entry!$E$672="","",[3]Entry!$E$672)</f>
        <v/>
      </c>
      <c r="AH669" t="str">
        <f>IF([3]Entry!$G$672="","",[3]Entry!$G$672)</f>
        <v/>
      </c>
      <c r="AI669" t="str">
        <f>IF([3]Entry!$K$672="","",[3]Entry!$K$672)</f>
        <v/>
      </c>
      <c r="AJ669" t="str">
        <f>IF([3]Entry!$L$672="","",[3]Entry!$L$672)</f>
        <v/>
      </c>
      <c r="AK669" t="str">
        <f>IF([3]Entry!$M$672="","",[3]Entry!$M$672)</f>
        <v/>
      </c>
      <c r="AL669" t="str">
        <f>IF([3]Entry!$N$672="","",[3]Entry!$N$672)</f>
        <v/>
      </c>
      <c r="AM669" t="str">
        <f>IF([3]Entry!$R$672="","",[3]Entry!$R$672)</f>
        <v/>
      </c>
    </row>
    <row r="670" spans="20:39" x14ac:dyDescent="0.2">
      <c r="T670" t="str">
        <f>IF([2]Baskol!$B$673="","",[2]Baskol!$B$673)</f>
        <v/>
      </c>
      <c r="U670" t="str">
        <f>IF([2]Baskol!$C$673="","",[2]Baskol!$C$673)</f>
        <v/>
      </c>
      <c r="V670" t="str">
        <f>IF([2]Baskol!$D$673="","",[2]Baskol!$D$673)</f>
        <v/>
      </c>
      <c r="W670" t="str">
        <f>IF([2]Baskol!$E$673="","",[2]Baskol!$E$673)</f>
        <v/>
      </c>
      <c r="X670" t="str">
        <f>IF([2]Baskol!$G$673="","",[2]Baskol!$G$673)</f>
        <v/>
      </c>
      <c r="Y670" t="str">
        <f>IF([2]Baskol!$I$673="","",[2]Baskol!$I$673)</f>
        <v/>
      </c>
      <c r="Z670" t="str">
        <f>IF([2]Baskol!$J$673="","",[2]Baskol!$J$673)</f>
        <v/>
      </c>
      <c r="AA670" t="str">
        <f>IF([2]Baskol!$K$673="","",[2]Baskol!$K$673)</f>
        <v/>
      </c>
      <c r="AB670" t="str">
        <f>IF([2]Baskol!$L$673="","",[2]Baskol!$L$673)</f>
        <v/>
      </c>
      <c r="AC670" t="str">
        <f>IF([2]Baskol!$N$673="","",[2]Baskol!$N$673)</f>
        <v/>
      </c>
      <c r="AD670" t="str">
        <f>IF([2]Baskol!$O$673="","",[2]Baskol!$O$673)</f>
        <v/>
      </c>
      <c r="AE670" t="str">
        <f>IF([3]Entry!$C$673="","",[3]Entry!$C$673)</f>
        <v/>
      </c>
      <c r="AF670" t="str">
        <f>IF([3]Entry!$D$673="","",[3]Entry!$D$673)</f>
        <v/>
      </c>
      <c r="AG670" t="str">
        <f>IF([3]Entry!$E$673="","",[3]Entry!$E$673)</f>
        <v/>
      </c>
      <c r="AH670" t="str">
        <f>IF([3]Entry!$G$673="","",[3]Entry!$G$673)</f>
        <v/>
      </c>
      <c r="AI670" t="str">
        <f>IF([3]Entry!$K$673="","",[3]Entry!$K$673)</f>
        <v/>
      </c>
      <c r="AJ670" t="str">
        <f>IF([3]Entry!$L$673="","",[3]Entry!$L$673)</f>
        <v/>
      </c>
      <c r="AK670" t="str">
        <f>IF([3]Entry!$M$673="","",[3]Entry!$M$673)</f>
        <v/>
      </c>
      <c r="AL670" t="str">
        <f>IF([3]Entry!$N$673="","",[3]Entry!$N$673)</f>
        <v/>
      </c>
      <c r="AM670" t="str">
        <f>IF([3]Entry!$R$673="","",[3]Entry!$R$673)</f>
        <v/>
      </c>
    </row>
    <row r="671" spans="20:39" x14ac:dyDescent="0.2">
      <c r="T671" t="str">
        <f>IF([2]Baskol!$B$674="","",[2]Baskol!$B$674)</f>
        <v/>
      </c>
      <c r="U671" t="str">
        <f>IF([2]Baskol!$C$674="","",[2]Baskol!$C$674)</f>
        <v/>
      </c>
      <c r="V671" t="str">
        <f>IF([2]Baskol!$D$674="","",[2]Baskol!$D$674)</f>
        <v/>
      </c>
      <c r="W671" t="str">
        <f>IF([2]Baskol!$E$674="","",[2]Baskol!$E$674)</f>
        <v/>
      </c>
      <c r="X671" t="str">
        <f>IF([2]Baskol!$G$674="","",[2]Baskol!$G$674)</f>
        <v/>
      </c>
      <c r="Y671" t="str">
        <f>IF([2]Baskol!$I$674="","",[2]Baskol!$I$674)</f>
        <v/>
      </c>
      <c r="Z671" t="str">
        <f>IF([2]Baskol!$J$674="","",[2]Baskol!$J$674)</f>
        <v/>
      </c>
      <c r="AA671" t="str">
        <f>IF([2]Baskol!$K$674="","",[2]Baskol!$K$674)</f>
        <v/>
      </c>
      <c r="AB671" t="str">
        <f>IF([2]Baskol!$L$674="","",[2]Baskol!$L$674)</f>
        <v/>
      </c>
      <c r="AC671" t="str">
        <f>IF([2]Baskol!$N$674="","",[2]Baskol!$N$674)</f>
        <v/>
      </c>
      <c r="AD671" t="str">
        <f>IF([2]Baskol!$O$674="","",[2]Baskol!$O$674)</f>
        <v/>
      </c>
      <c r="AE671" t="str">
        <f>IF([3]Entry!$C$674="","",[3]Entry!$C$674)</f>
        <v/>
      </c>
      <c r="AF671" t="str">
        <f>IF([3]Entry!$D$674="","",[3]Entry!$D$674)</f>
        <v/>
      </c>
      <c r="AG671" t="str">
        <f>IF([3]Entry!$E$674="","",[3]Entry!$E$674)</f>
        <v/>
      </c>
      <c r="AH671" t="str">
        <f>IF([3]Entry!$G$674="","",[3]Entry!$G$674)</f>
        <v/>
      </c>
      <c r="AI671" t="str">
        <f>IF([3]Entry!$K$674="","",[3]Entry!$K$674)</f>
        <v/>
      </c>
      <c r="AJ671" t="str">
        <f>IF([3]Entry!$L$674="","",[3]Entry!$L$674)</f>
        <v/>
      </c>
      <c r="AK671" t="str">
        <f>IF([3]Entry!$M$674="","",[3]Entry!$M$674)</f>
        <v/>
      </c>
      <c r="AL671" t="str">
        <f>IF([3]Entry!$N$674="","",[3]Entry!$N$674)</f>
        <v/>
      </c>
      <c r="AM671" t="str">
        <f>IF([3]Entry!$R$674="","",[3]Entry!$R$674)</f>
        <v/>
      </c>
    </row>
    <row r="672" spans="20:39" x14ac:dyDescent="0.2">
      <c r="T672" t="str">
        <f>IF([2]Baskol!$B$675="","",[2]Baskol!$B$675)</f>
        <v/>
      </c>
      <c r="U672" t="str">
        <f>IF([2]Baskol!$C$675="","",[2]Baskol!$C$675)</f>
        <v/>
      </c>
      <c r="V672" t="str">
        <f>IF([2]Baskol!$D$675="","",[2]Baskol!$D$675)</f>
        <v/>
      </c>
      <c r="W672" t="str">
        <f>IF([2]Baskol!$E$675="","",[2]Baskol!$E$675)</f>
        <v/>
      </c>
      <c r="X672" t="str">
        <f>IF([2]Baskol!$G$675="","",[2]Baskol!$G$675)</f>
        <v/>
      </c>
      <c r="Y672" t="str">
        <f>IF([2]Baskol!$I$675="","",[2]Baskol!$I$675)</f>
        <v/>
      </c>
      <c r="Z672" t="str">
        <f>IF([2]Baskol!$J$675="","",[2]Baskol!$J$675)</f>
        <v/>
      </c>
      <c r="AA672" t="str">
        <f>IF([2]Baskol!$K$675="","",[2]Baskol!$K$675)</f>
        <v/>
      </c>
      <c r="AB672" t="str">
        <f>IF([2]Baskol!$L$675="","",[2]Baskol!$L$675)</f>
        <v/>
      </c>
      <c r="AC672" t="str">
        <f>IF([2]Baskol!$N$675="","",[2]Baskol!$N$675)</f>
        <v/>
      </c>
      <c r="AD672" t="str">
        <f>IF([2]Baskol!$O$675="","",[2]Baskol!$O$675)</f>
        <v/>
      </c>
      <c r="AE672" t="str">
        <f>IF([3]Entry!$C$675="","",[3]Entry!$C$675)</f>
        <v/>
      </c>
      <c r="AF672" t="str">
        <f>IF([3]Entry!$D$675="","",[3]Entry!$D$675)</f>
        <v/>
      </c>
      <c r="AG672" t="str">
        <f>IF([3]Entry!$E$675="","",[3]Entry!$E$675)</f>
        <v/>
      </c>
      <c r="AH672" t="str">
        <f>IF([3]Entry!$G$675="","",[3]Entry!$G$675)</f>
        <v/>
      </c>
      <c r="AI672" t="str">
        <f>IF([3]Entry!$K$675="","",[3]Entry!$K$675)</f>
        <v/>
      </c>
      <c r="AJ672" t="str">
        <f>IF([3]Entry!$L$675="","",[3]Entry!$L$675)</f>
        <v/>
      </c>
      <c r="AK672" t="str">
        <f>IF([3]Entry!$M$675="","",[3]Entry!$M$675)</f>
        <v/>
      </c>
      <c r="AL672" t="str">
        <f>IF([3]Entry!$N$675="","",[3]Entry!$N$675)</f>
        <v/>
      </c>
      <c r="AM672" t="str">
        <f>IF([3]Entry!$R$675="","",[3]Entry!$R$675)</f>
        <v/>
      </c>
    </row>
    <row r="673" spans="20:39" x14ac:dyDescent="0.2">
      <c r="T673" t="str">
        <f>IF([2]Baskol!$B$676="","",[2]Baskol!$B$676)</f>
        <v/>
      </c>
      <c r="U673" t="str">
        <f>IF([2]Baskol!$C$676="","",[2]Baskol!$C$676)</f>
        <v/>
      </c>
      <c r="V673" t="str">
        <f>IF([2]Baskol!$D$676="","",[2]Baskol!$D$676)</f>
        <v/>
      </c>
      <c r="W673" t="str">
        <f>IF([2]Baskol!$E$676="","",[2]Baskol!$E$676)</f>
        <v/>
      </c>
      <c r="X673" t="str">
        <f>IF([2]Baskol!$G$676="","",[2]Baskol!$G$676)</f>
        <v/>
      </c>
      <c r="Y673" t="str">
        <f>IF([2]Baskol!$I$676="","",[2]Baskol!$I$676)</f>
        <v/>
      </c>
      <c r="Z673" t="str">
        <f>IF([2]Baskol!$J$676="","",[2]Baskol!$J$676)</f>
        <v/>
      </c>
      <c r="AA673" t="str">
        <f>IF([2]Baskol!$K$676="","",[2]Baskol!$K$676)</f>
        <v/>
      </c>
      <c r="AB673" t="str">
        <f>IF([2]Baskol!$L$676="","",[2]Baskol!$L$676)</f>
        <v/>
      </c>
      <c r="AC673" t="str">
        <f>IF([2]Baskol!$N$676="","",[2]Baskol!$N$676)</f>
        <v/>
      </c>
      <c r="AD673" t="str">
        <f>IF([2]Baskol!$O$676="","",[2]Baskol!$O$676)</f>
        <v/>
      </c>
      <c r="AE673" t="str">
        <f>IF([3]Entry!$C$676="","",[3]Entry!$C$676)</f>
        <v/>
      </c>
      <c r="AF673" t="str">
        <f>IF([3]Entry!$D$676="","",[3]Entry!$D$676)</f>
        <v/>
      </c>
      <c r="AG673" t="str">
        <f>IF([3]Entry!$E$676="","",[3]Entry!$E$676)</f>
        <v/>
      </c>
      <c r="AH673" t="str">
        <f>IF([3]Entry!$G$676="","",[3]Entry!$G$676)</f>
        <v/>
      </c>
      <c r="AI673" t="str">
        <f>IF([3]Entry!$K$676="","",[3]Entry!$K$676)</f>
        <v/>
      </c>
      <c r="AJ673" t="str">
        <f>IF([3]Entry!$L$676="","",[3]Entry!$L$676)</f>
        <v/>
      </c>
      <c r="AK673" t="str">
        <f>IF([3]Entry!$M$676="","",[3]Entry!$M$676)</f>
        <v/>
      </c>
      <c r="AL673" t="str">
        <f>IF([3]Entry!$N$676="","",[3]Entry!$N$676)</f>
        <v/>
      </c>
      <c r="AM673" t="str">
        <f>IF([3]Entry!$R$676="","",[3]Entry!$R$676)</f>
        <v/>
      </c>
    </row>
    <row r="674" spans="20:39" x14ac:dyDescent="0.2">
      <c r="T674" t="str">
        <f>IF([2]Baskol!$B$677="","",[2]Baskol!$B$677)</f>
        <v/>
      </c>
      <c r="U674" t="str">
        <f>IF([2]Baskol!$C$677="","",[2]Baskol!$C$677)</f>
        <v/>
      </c>
      <c r="V674" t="str">
        <f>IF([2]Baskol!$D$677="","",[2]Baskol!$D$677)</f>
        <v/>
      </c>
      <c r="W674" t="str">
        <f>IF([2]Baskol!$E$677="","",[2]Baskol!$E$677)</f>
        <v/>
      </c>
      <c r="X674" t="str">
        <f>IF([2]Baskol!$G$677="","",[2]Baskol!$G$677)</f>
        <v/>
      </c>
      <c r="Y674" t="str">
        <f>IF([2]Baskol!$I$677="","",[2]Baskol!$I$677)</f>
        <v/>
      </c>
      <c r="Z674" t="str">
        <f>IF([2]Baskol!$J$677="","",[2]Baskol!$J$677)</f>
        <v/>
      </c>
      <c r="AA674" t="str">
        <f>IF([2]Baskol!$K$677="","",[2]Baskol!$K$677)</f>
        <v/>
      </c>
      <c r="AB674" t="str">
        <f>IF([2]Baskol!$L$677="","",[2]Baskol!$L$677)</f>
        <v/>
      </c>
      <c r="AC674" t="str">
        <f>IF([2]Baskol!$N$677="","",[2]Baskol!$N$677)</f>
        <v/>
      </c>
      <c r="AD674" t="str">
        <f>IF([2]Baskol!$O$677="","",[2]Baskol!$O$677)</f>
        <v/>
      </c>
      <c r="AE674" t="str">
        <f>IF([3]Entry!$C$677="","",[3]Entry!$C$677)</f>
        <v/>
      </c>
      <c r="AF674" t="str">
        <f>IF([3]Entry!$D$677="","",[3]Entry!$D$677)</f>
        <v/>
      </c>
      <c r="AG674" t="str">
        <f>IF([3]Entry!$E$677="","",[3]Entry!$E$677)</f>
        <v/>
      </c>
      <c r="AH674" t="str">
        <f>IF([3]Entry!$G$677="","",[3]Entry!$G$677)</f>
        <v/>
      </c>
      <c r="AI674" t="str">
        <f>IF([3]Entry!$K$677="","",[3]Entry!$K$677)</f>
        <v/>
      </c>
      <c r="AJ674" t="str">
        <f>IF([3]Entry!$L$677="","",[3]Entry!$L$677)</f>
        <v/>
      </c>
      <c r="AK674" t="str">
        <f>IF([3]Entry!$M$677="","",[3]Entry!$M$677)</f>
        <v/>
      </c>
      <c r="AL674" t="str">
        <f>IF([3]Entry!$N$677="","",[3]Entry!$N$677)</f>
        <v/>
      </c>
      <c r="AM674" t="str">
        <f>IF([3]Entry!$R$677="","",[3]Entry!$R$677)</f>
        <v/>
      </c>
    </row>
    <row r="675" spans="20:39" x14ac:dyDescent="0.2">
      <c r="T675" t="str">
        <f>IF([2]Baskol!$B$678="","",[2]Baskol!$B$678)</f>
        <v/>
      </c>
      <c r="U675" t="str">
        <f>IF([2]Baskol!$C$678="","",[2]Baskol!$C$678)</f>
        <v/>
      </c>
      <c r="V675" t="str">
        <f>IF([2]Baskol!$D$678="","",[2]Baskol!$D$678)</f>
        <v/>
      </c>
      <c r="W675" t="str">
        <f>IF([2]Baskol!$E$678="","",[2]Baskol!$E$678)</f>
        <v/>
      </c>
      <c r="X675" t="str">
        <f>IF([2]Baskol!$G$678="","",[2]Baskol!$G$678)</f>
        <v/>
      </c>
      <c r="Y675" t="str">
        <f>IF([2]Baskol!$I$678="","",[2]Baskol!$I$678)</f>
        <v/>
      </c>
      <c r="Z675" t="str">
        <f>IF([2]Baskol!$J$678="","",[2]Baskol!$J$678)</f>
        <v/>
      </c>
      <c r="AA675" t="str">
        <f>IF([2]Baskol!$K$678="","",[2]Baskol!$K$678)</f>
        <v/>
      </c>
      <c r="AB675" t="str">
        <f>IF([2]Baskol!$L$678="","",[2]Baskol!$L$678)</f>
        <v/>
      </c>
      <c r="AC675" t="str">
        <f>IF([2]Baskol!$N$678="","",[2]Baskol!$N$678)</f>
        <v/>
      </c>
      <c r="AD675" t="str">
        <f>IF([2]Baskol!$O$678="","",[2]Baskol!$O$678)</f>
        <v/>
      </c>
      <c r="AE675" t="str">
        <f>IF([3]Entry!$C$678="","",[3]Entry!$C$678)</f>
        <v/>
      </c>
      <c r="AF675" t="str">
        <f>IF([3]Entry!$D$678="","",[3]Entry!$D$678)</f>
        <v/>
      </c>
      <c r="AG675" t="str">
        <f>IF([3]Entry!$E$678="","",[3]Entry!$E$678)</f>
        <v/>
      </c>
      <c r="AH675" t="str">
        <f>IF([3]Entry!$G$678="","",[3]Entry!$G$678)</f>
        <v/>
      </c>
      <c r="AI675" t="str">
        <f>IF([3]Entry!$K$678="","",[3]Entry!$K$678)</f>
        <v/>
      </c>
      <c r="AJ675" t="str">
        <f>IF([3]Entry!$L$678="","",[3]Entry!$L$678)</f>
        <v/>
      </c>
      <c r="AK675" t="str">
        <f>IF([3]Entry!$M$678="","",[3]Entry!$M$678)</f>
        <v/>
      </c>
      <c r="AL675" t="str">
        <f>IF([3]Entry!$N$678="","",[3]Entry!$N$678)</f>
        <v/>
      </c>
      <c r="AM675" t="str">
        <f>IF([3]Entry!$R$678="","",[3]Entry!$R$678)</f>
        <v/>
      </c>
    </row>
    <row r="676" spans="20:39" x14ac:dyDescent="0.2">
      <c r="T676" t="str">
        <f>IF([2]Baskol!$B$679="","",[2]Baskol!$B$679)</f>
        <v/>
      </c>
      <c r="U676" t="str">
        <f>IF([2]Baskol!$C$679="","",[2]Baskol!$C$679)</f>
        <v/>
      </c>
      <c r="V676" t="str">
        <f>IF([2]Baskol!$D$679="","",[2]Baskol!$D$679)</f>
        <v/>
      </c>
      <c r="W676" t="str">
        <f>IF([2]Baskol!$E$679="","",[2]Baskol!$E$679)</f>
        <v/>
      </c>
      <c r="X676" t="str">
        <f>IF([2]Baskol!$G$679="","",[2]Baskol!$G$679)</f>
        <v/>
      </c>
      <c r="Y676" t="str">
        <f>IF([2]Baskol!$I$679="","",[2]Baskol!$I$679)</f>
        <v/>
      </c>
      <c r="Z676" t="str">
        <f>IF([2]Baskol!$J$679="","",[2]Baskol!$J$679)</f>
        <v/>
      </c>
      <c r="AA676" t="str">
        <f>IF([2]Baskol!$K$679="","",[2]Baskol!$K$679)</f>
        <v/>
      </c>
      <c r="AB676" t="str">
        <f>IF([2]Baskol!$L$679="","",[2]Baskol!$L$679)</f>
        <v/>
      </c>
      <c r="AC676" t="str">
        <f>IF([2]Baskol!$N$679="","",[2]Baskol!$N$679)</f>
        <v/>
      </c>
      <c r="AD676" t="str">
        <f>IF([2]Baskol!$O$679="","",[2]Baskol!$O$679)</f>
        <v/>
      </c>
      <c r="AE676" t="str">
        <f>IF([3]Entry!$C$679="","",[3]Entry!$C$679)</f>
        <v/>
      </c>
      <c r="AF676" t="str">
        <f>IF([3]Entry!$D$679="","",[3]Entry!$D$679)</f>
        <v/>
      </c>
      <c r="AG676" t="str">
        <f>IF([3]Entry!$E$679="","",[3]Entry!$E$679)</f>
        <v/>
      </c>
      <c r="AH676" t="str">
        <f>IF([3]Entry!$G$679="","",[3]Entry!$G$679)</f>
        <v/>
      </c>
      <c r="AI676" t="str">
        <f>IF([3]Entry!$K$679="","",[3]Entry!$K$679)</f>
        <v/>
      </c>
      <c r="AJ676" t="str">
        <f>IF([3]Entry!$L$679="","",[3]Entry!$L$679)</f>
        <v/>
      </c>
      <c r="AK676" t="str">
        <f>IF([3]Entry!$M$679="","",[3]Entry!$M$679)</f>
        <v/>
      </c>
      <c r="AL676" t="str">
        <f>IF([3]Entry!$N$679="","",[3]Entry!$N$679)</f>
        <v/>
      </c>
      <c r="AM676" t="str">
        <f>IF([3]Entry!$R$679="","",[3]Entry!$R$679)</f>
        <v/>
      </c>
    </row>
    <row r="677" spans="20:39" x14ac:dyDescent="0.2">
      <c r="T677" t="str">
        <f>IF([2]Baskol!$B$680="","",[2]Baskol!$B$680)</f>
        <v/>
      </c>
      <c r="U677" t="str">
        <f>IF([2]Baskol!$C$680="","",[2]Baskol!$C$680)</f>
        <v/>
      </c>
      <c r="V677" t="str">
        <f>IF([2]Baskol!$D$680="","",[2]Baskol!$D$680)</f>
        <v/>
      </c>
      <c r="W677" t="str">
        <f>IF([2]Baskol!$E$680="","",[2]Baskol!$E$680)</f>
        <v/>
      </c>
      <c r="X677" t="str">
        <f>IF([2]Baskol!$G$680="","",[2]Baskol!$G$680)</f>
        <v/>
      </c>
      <c r="Y677" t="str">
        <f>IF([2]Baskol!$I$680="","",[2]Baskol!$I$680)</f>
        <v/>
      </c>
      <c r="Z677" t="str">
        <f>IF([2]Baskol!$J$680="","",[2]Baskol!$J$680)</f>
        <v/>
      </c>
      <c r="AA677" t="str">
        <f>IF([2]Baskol!$K$680="","",[2]Baskol!$K$680)</f>
        <v/>
      </c>
      <c r="AB677" t="str">
        <f>IF([2]Baskol!$L$680="","",[2]Baskol!$L$680)</f>
        <v/>
      </c>
      <c r="AC677" t="str">
        <f>IF([2]Baskol!$N$680="","",[2]Baskol!$N$680)</f>
        <v/>
      </c>
      <c r="AD677" t="str">
        <f>IF([2]Baskol!$O$680="","",[2]Baskol!$O$680)</f>
        <v/>
      </c>
      <c r="AE677" t="str">
        <f>IF([3]Entry!$C$680="","",[3]Entry!$C$680)</f>
        <v/>
      </c>
      <c r="AF677" t="str">
        <f>IF([3]Entry!$D$680="","",[3]Entry!$D$680)</f>
        <v/>
      </c>
      <c r="AG677" t="str">
        <f>IF([3]Entry!$E$680="","",[3]Entry!$E$680)</f>
        <v/>
      </c>
      <c r="AH677" t="str">
        <f>IF([3]Entry!$G$680="","",[3]Entry!$G$680)</f>
        <v/>
      </c>
      <c r="AI677" t="str">
        <f>IF([3]Entry!$K$680="","",[3]Entry!$K$680)</f>
        <v/>
      </c>
      <c r="AJ677" t="str">
        <f>IF([3]Entry!$L$680="","",[3]Entry!$L$680)</f>
        <v/>
      </c>
      <c r="AK677" t="str">
        <f>IF([3]Entry!$M$680="","",[3]Entry!$M$680)</f>
        <v/>
      </c>
      <c r="AL677" t="str">
        <f>IF([3]Entry!$N$680="","",[3]Entry!$N$680)</f>
        <v/>
      </c>
      <c r="AM677" t="str">
        <f>IF([3]Entry!$R$680="","",[3]Entry!$R$680)</f>
        <v/>
      </c>
    </row>
    <row r="678" spans="20:39" x14ac:dyDescent="0.2">
      <c r="T678" t="str">
        <f>IF([2]Baskol!$B$681="","",[2]Baskol!$B$681)</f>
        <v/>
      </c>
      <c r="U678" t="str">
        <f>IF([2]Baskol!$C$681="","",[2]Baskol!$C$681)</f>
        <v/>
      </c>
      <c r="V678" t="str">
        <f>IF([2]Baskol!$D$681="","",[2]Baskol!$D$681)</f>
        <v/>
      </c>
      <c r="W678" t="str">
        <f>IF([2]Baskol!$E$681="","",[2]Baskol!$E$681)</f>
        <v/>
      </c>
      <c r="X678" t="str">
        <f>IF([2]Baskol!$G$681="","",[2]Baskol!$G$681)</f>
        <v/>
      </c>
      <c r="Y678" t="str">
        <f>IF([2]Baskol!$I$681="","",[2]Baskol!$I$681)</f>
        <v/>
      </c>
      <c r="Z678" t="str">
        <f>IF([2]Baskol!$J$681="","",[2]Baskol!$J$681)</f>
        <v/>
      </c>
      <c r="AA678" t="str">
        <f>IF([2]Baskol!$K$681="","",[2]Baskol!$K$681)</f>
        <v/>
      </c>
      <c r="AB678" t="str">
        <f>IF([2]Baskol!$L$681="","",[2]Baskol!$L$681)</f>
        <v/>
      </c>
      <c r="AC678" t="str">
        <f>IF([2]Baskol!$N$681="","",[2]Baskol!$N$681)</f>
        <v/>
      </c>
      <c r="AD678" t="str">
        <f>IF([2]Baskol!$O$681="","",[2]Baskol!$O$681)</f>
        <v/>
      </c>
      <c r="AE678" t="str">
        <f>IF([3]Entry!$C$681="","",[3]Entry!$C$681)</f>
        <v/>
      </c>
      <c r="AF678" t="str">
        <f>IF([3]Entry!$D$681="","",[3]Entry!$D$681)</f>
        <v/>
      </c>
      <c r="AG678" t="str">
        <f>IF([3]Entry!$E$681="","",[3]Entry!$E$681)</f>
        <v/>
      </c>
      <c r="AH678" t="str">
        <f>IF([3]Entry!$G$681="","",[3]Entry!$G$681)</f>
        <v/>
      </c>
      <c r="AI678" t="str">
        <f>IF([3]Entry!$K$681="","",[3]Entry!$K$681)</f>
        <v/>
      </c>
      <c r="AJ678" t="str">
        <f>IF([3]Entry!$L$681="","",[3]Entry!$L$681)</f>
        <v/>
      </c>
      <c r="AK678" t="str">
        <f>IF([3]Entry!$M$681="","",[3]Entry!$M$681)</f>
        <v/>
      </c>
      <c r="AL678" t="str">
        <f>IF([3]Entry!$N$681="","",[3]Entry!$N$681)</f>
        <v/>
      </c>
      <c r="AM678" t="str">
        <f>IF([3]Entry!$R$681="","",[3]Entry!$R$681)</f>
        <v/>
      </c>
    </row>
    <row r="679" spans="20:39" x14ac:dyDescent="0.2">
      <c r="T679" t="str">
        <f>IF([2]Baskol!$B$682="","",[2]Baskol!$B$682)</f>
        <v/>
      </c>
      <c r="U679" t="str">
        <f>IF([2]Baskol!$C$682="","",[2]Baskol!$C$682)</f>
        <v/>
      </c>
      <c r="V679" t="str">
        <f>IF([2]Baskol!$D$682="","",[2]Baskol!$D$682)</f>
        <v/>
      </c>
      <c r="W679" t="str">
        <f>IF([2]Baskol!$E$682="","",[2]Baskol!$E$682)</f>
        <v/>
      </c>
      <c r="X679" t="str">
        <f>IF([2]Baskol!$G$682="","",[2]Baskol!$G$682)</f>
        <v/>
      </c>
      <c r="Y679" t="str">
        <f>IF([2]Baskol!$I$682="","",[2]Baskol!$I$682)</f>
        <v/>
      </c>
      <c r="Z679" t="str">
        <f>IF([2]Baskol!$J$682="","",[2]Baskol!$J$682)</f>
        <v/>
      </c>
      <c r="AA679" t="str">
        <f>IF([2]Baskol!$K$682="","",[2]Baskol!$K$682)</f>
        <v/>
      </c>
      <c r="AB679" t="str">
        <f>IF([2]Baskol!$L$682="","",[2]Baskol!$L$682)</f>
        <v/>
      </c>
      <c r="AC679" t="str">
        <f>IF([2]Baskol!$N$682="","",[2]Baskol!$N$682)</f>
        <v/>
      </c>
      <c r="AD679" t="str">
        <f>IF([2]Baskol!$O$682="","",[2]Baskol!$O$682)</f>
        <v/>
      </c>
      <c r="AE679" t="str">
        <f>IF([3]Entry!$C$682="","",[3]Entry!$C$682)</f>
        <v/>
      </c>
      <c r="AF679" t="str">
        <f>IF([3]Entry!$D$682="","",[3]Entry!$D$682)</f>
        <v/>
      </c>
      <c r="AG679" t="str">
        <f>IF([3]Entry!$E$682="","",[3]Entry!$E$682)</f>
        <v/>
      </c>
      <c r="AH679" t="str">
        <f>IF([3]Entry!$G$682="","",[3]Entry!$G$682)</f>
        <v/>
      </c>
      <c r="AI679" t="str">
        <f>IF([3]Entry!$K$682="","",[3]Entry!$K$682)</f>
        <v/>
      </c>
      <c r="AJ679" t="str">
        <f>IF([3]Entry!$L$682="","",[3]Entry!$L$682)</f>
        <v/>
      </c>
      <c r="AK679" t="str">
        <f>IF([3]Entry!$M$682="","",[3]Entry!$M$682)</f>
        <v/>
      </c>
      <c r="AL679" t="str">
        <f>IF([3]Entry!$N$682="","",[3]Entry!$N$682)</f>
        <v/>
      </c>
      <c r="AM679" t="str">
        <f>IF([3]Entry!$R$682="","",[3]Entry!$R$682)</f>
        <v/>
      </c>
    </row>
    <row r="680" spans="20:39" x14ac:dyDescent="0.2">
      <c r="T680" t="str">
        <f>IF([2]Baskol!$B$683="","",[2]Baskol!$B$683)</f>
        <v/>
      </c>
      <c r="U680" t="str">
        <f>IF([2]Baskol!$C$683="","",[2]Baskol!$C$683)</f>
        <v/>
      </c>
      <c r="V680" t="str">
        <f>IF([2]Baskol!$D$683="","",[2]Baskol!$D$683)</f>
        <v/>
      </c>
      <c r="W680" t="str">
        <f>IF([2]Baskol!$E$683="","",[2]Baskol!$E$683)</f>
        <v/>
      </c>
      <c r="X680" t="str">
        <f>IF([2]Baskol!$G$683="","",[2]Baskol!$G$683)</f>
        <v/>
      </c>
      <c r="Y680" t="str">
        <f>IF([2]Baskol!$I$683="","",[2]Baskol!$I$683)</f>
        <v/>
      </c>
      <c r="Z680" t="str">
        <f>IF([2]Baskol!$J$683="","",[2]Baskol!$J$683)</f>
        <v/>
      </c>
      <c r="AA680" t="str">
        <f>IF([2]Baskol!$K$683="","",[2]Baskol!$K$683)</f>
        <v/>
      </c>
      <c r="AB680" t="str">
        <f>IF([2]Baskol!$L$683="","",[2]Baskol!$L$683)</f>
        <v/>
      </c>
      <c r="AC680" t="str">
        <f>IF([2]Baskol!$N$683="","",[2]Baskol!$N$683)</f>
        <v/>
      </c>
      <c r="AD680" t="str">
        <f>IF([2]Baskol!$O$683="","",[2]Baskol!$O$683)</f>
        <v/>
      </c>
      <c r="AE680" t="str">
        <f>IF([3]Entry!$C$683="","",[3]Entry!$C$683)</f>
        <v/>
      </c>
      <c r="AF680" t="str">
        <f>IF([3]Entry!$D$683="","",[3]Entry!$D$683)</f>
        <v/>
      </c>
      <c r="AG680" t="str">
        <f>IF([3]Entry!$E$683="","",[3]Entry!$E$683)</f>
        <v/>
      </c>
      <c r="AH680" t="str">
        <f>IF([3]Entry!$G$683="","",[3]Entry!$G$683)</f>
        <v/>
      </c>
      <c r="AI680" t="str">
        <f>IF([3]Entry!$K$683="","",[3]Entry!$K$683)</f>
        <v/>
      </c>
      <c r="AJ680" t="str">
        <f>IF([3]Entry!$L$683="","",[3]Entry!$L$683)</f>
        <v/>
      </c>
      <c r="AK680" t="str">
        <f>IF([3]Entry!$M$683="","",[3]Entry!$M$683)</f>
        <v/>
      </c>
      <c r="AL680" t="str">
        <f>IF([3]Entry!$N$683="","",[3]Entry!$N$683)</f>
        <v/>
      </c>
      <c r="AM680" t="str">
        <f>IF([3]Entry!$R$683="","",[3]Entry!$R$683)</f>
        <v/>
      </c>
    </row>
    <row r="681" spans="20:39" x14ac:dyDescent="0.2">
      <c r="T681" t="str">
        <f>IF([2]Baskol!$B$684="","",[2]Baskol!$B$684)</f>
        <v/>
      </c>
      <c r="U681" t="str">
        <f>IF([2]Baskol!$C$684="","",[2]Baskol!$C$684)</f>
        <v/>
      </c>
      <c r="V681" t="str">
        <f>IF([2]Baskol!$D$684="","",[2]Baskol!$D$684)</f>
        <v/>
      </c>
      <c r="W681" t="str">
        <f>IF([2]Baskol!$E$684="","",[2]Baskol!$E$684)</f>
        <v/>
      </c>
      <c r="X681" t="str">
        <f>IF([2]Baskol!$G$684="","",[2]Baskol!$G$684)</f>
        <v/>
      </c>
      <c r="Y681" t="str">
        <f>IF([2]Baskol!$I$684="","",[2]Baskol!$I$684)</f>
        <v/>
      </c>
      <c r="Z681" t="str">
        <f>IF([2]Baskol!$J$684="","",[2]Baskol!$J$684)</f>
        <v/>
      </c>
      <c r="AA681" t="str">
        <f>IF([2]Baskol!$K$684="","",[2]Baskol!$K$684)</f>
        <v/>
      </c>
      <c r="AB681" t="str">
        <f>IF([2]Baskol!$L$684="","",[2]Baskol!$L$684)</f>
        <v/>
      </c>
      <c r="AC681" t="str">
        <f>IF([2]Baskol!$N$684="","",[2]Baskol!$N$684)</f>
        <v/>
      </c>
      <c r="AD681" t="str">
        <f>IF([2]Baskol!$O$684="","",[2]Baskol!$O$684)</f>
        <v/>
      </c>
      <c r="AE681" t="str">
        <f>IF([3]Entry!$C$684="","",[3]Entry!$C$684)</f>
        <v/>
      </c>
      <c r="AF681" t="str">
        <f>IF([3]Entry!$D$684="","",[3]Entry!$D$684)</f>
        <v/>
      </c>
      <c r="AG681" t="str">
        <f>IF([3]Entry!$E$684="","",[3]Entry!$E$684)</f>
        <v/>
      </c>
      <c r="AH681" t="str">
        <f>IF([3]Entry!$G$684="","",[3]Entry!$G$684)</f>
        <v/>
      </c>
      <c r="AI681" t="str">
        <f>IF([3]Entry!$K$684="","",[3]Entry!$K$684)</f>
        <v/>
      </c>
      <c r="AJ681" t="str">
        <f>IF([3]Entry!$L$684="","",[3]Entry!$L$684)</f>
        <v/>
      </c>
      <c r="AK681" t="str">
        <f>IF([3]Entry!$M$684="","",[3]Entry!$M$684)</f>
        <v/>
      </c>
      <c r="AL681" t="str">
        <f>IF([3]Entry!$N$684="","",[3]Entry!$N$684)</f>
        <v/>
      </c>
      <c r="AM681" t="str">
        <f>IF([3]Entry!$R$684="","",[3]Entry!$R$684)</f>
        <v/>
      </c>
    </row>
    <row r="682" spans="20:39" x14ac:dyDescent="0.2">
      <c r="T682" t="str">
        <f>IF([2]Baskol!$B$685="","",[2]Baskol!$B$685)</f>
        <v/>
      </c>
      <c r="U682" t="str">
        <f>IF([2]Baskol!$C$685="","",[2]Baskol!$C$685)</f>
        <v/>
      </c>
      <c r="V682" t="str">
        <f>IF([2]Baskol!$D$685="","",[2]Baskol!$D$685)</f>
        <v/>
      </c>
      <c r="W682" t="str">
        <f>IF([2]Baskol!$E$685="","",[2]Baskol!$E$685)</f>
        <v/>
      </c>
      <c r="X682" t="str">
        <f>IF([2]Baskol!$G$685="","",[2]Baskol!$G$685)</f>
        <v/>
      </c>
      <c r="Y682" t="str">
        <f>IF([2]Baskol!$I$685="","",[2]Baskol!$I$685)</f>
        <v/>
      </c>
      <c r="Z682" t="str">
        <f>IF([2]Baskol!$J$685="","",[2]Baskol!$J$685)</f>
        <v/>
      </c>
      <c r="AA682" t="str">
        <f>IF([2]Baskol!$K$685="","",[2]Baskol!$K$685)</f>
        <v/>
      </c>
      <c r="AB682" t="str">
        <f>IF([2]Baskol!$L$685="","",[2]Baskol!$L$685)</f>
        <v/>
      </c>
      <c r="AC682" t="str">
        <f>IF([2]Baskol!$N$685="","",[2]Baskol!$N$685)</f>
        <v/>
      </c>
      <c r="AD682" t="str">
        <f>IF([2]Baskol!$O$685="","",[2]Baskol!$O$685)</f>
        <v/>
      </c>
      <c r="AE682" t="str">
        <f>IF([3]Entry!$C$685="","",[3]Entry!$C$685)</f>
        <v/>
      </c>
      <c r="AF682" t="str">
        <f>IF([3]Entry!$D$685="","",[3]Entry!$D$685)</f>
        <v/>
      </c>
      <c r="AG682" t="str">
        <f>IF([3]Entry!$E$685="","",[3]Entry!$E$685)</f>
        <v/>
      </c>
      <c r="AH682" t="str">
        <f>IF([3]Entry!$G$685="","",[3]Entry!$G$685)</f>
        <v/>
      </c>
      <c r="AI682" t="str">
        <f>IF([3]Entry!$K$685="","",[3]Entry!$K$685)</f>
        <v/>
      </c>
      <c r="AJ682" t="str">
        <f>IF([3]Entry!$L$685="","",[3]Entry!$L$685)</f>
        <v/>
      </c>
      <c r="AK682" t="str">
        <f>IF([3]Entry!$M$685="","",[3]Entry!$M$685)</f>
        <v/>
      </c>
      <c r="AL682" t="str">
        <f>IF([3]Entry!$N$685="","",[3]Entry!$N$685)</f>
        <v/>
      </c>
      <c r="AM682" t="str">
        <f>IF([3]Entry!$R$685="","",[3]Entry!$R$685)</f>
        <v/>
      </c>
    </row>
    <row r="683" spans="20:39" x14ac:dyDescent="0.2">
      <c r="T683" t="str">
        <f>IF([2]Baskol!$B$686="","",[2]Baskol!$B$686)</f>
        <v/>
      </c>
      <c r="U683" t="str">
        <f>IF([2]Baskol!$C$686="","",[2]Baskol!$C$686)</f>
        <v/>
      </c>
      <c r="V683" t="str">
        <f>IF([2]Baskol!$D$686="","",[2]Baskol!$D$686)</f>
        <v/>
      </c>
      <c r="W683" t="str">
        <f>IF([2]Baskol!$E$686="","",[2]Baskol!$E$686)</f>
        <v/>
      </c>
      <c r="X683" t="str">
        <f>IF([2]Baskol!$G$686="","",[2]Baskol!$G$686)</f>
        <v/>
      </c>
      <c r="Y683" t="str">
        <f>IF([2]Baskol!$I$686="","",[2]Baskol!$I$686)</f>
        <v/>
      </c>
      <c r="Z683" t="str">
        <f>IF([2]Baskol!$J$686="","",[2]Baskol!$J$686)</f>
        <v/>
      </c>
      <c r="AA683" t="str">
        <f>IF([2]Baskol!$K$686="","",[2]Baskol!$K$686)</f>
        <v/>
      </c>
      <c r="AB683" t="str">
        <f>IF([2]Baskol!$L$686="","",[2]Baskol!$L$686)</f>
        <v/>
      </c>
      <c r="AC683" t="str">
        <f>IF([2]Baskol!$N$686="","",[2]Baskol!$N$686)</f>
        <v/>
      </c>
      <c r="AD683" t="str">
        <f>IF([2]Baskol!$O$686="","",[2]Baskol!$O$686)</f>
        <v/>
      </c>
      <c r="AE683" t="str">
        <f>IF([3]Entry!$C$686="","",[3]Entry!$C$686)</f>
        <v/>
      </c>
      <c r="AF683" t="str">
        <f>IF([3]Entry!$D$686="","",[3]Entry!$D$686)</f>
        <v/>
      </c>
      <c r="AG683" t="str">
        <f>IF([3]Entry!$E$686="","",[3]Entry!$E$686)</f>
        <v/>
      </c>
      <c r="AH683" t="str">
        <f>IF([3]Entry!$G$686="","",[3]Entry!$G$686)</f>
        <v/>
      </c>
      <c r="AI683" t="str">
        <f>IF([3]Entry!$K$686="","",[3]Entry!$K$686)</f>
        <v/>
      </c>
      <c r="AJ683" t="str">
        <f>IF([3]Entry!$L$686="","",[3]Entry!$L$686)</f>
        <v/>
      </c>
      <c r="AK683" t="str">
        <f>IF([3]Entry!$M$686="","",[3]Entry!$M$686)</f>
        <v/>
      </c>
      <c r="AL683" t="str">
        <f>IF([3]Entry!$N$686="","",[3]Entry!$N$686)</f>
        <v/>
      </c>
      <c r="AM683" t="str">
        <f>IF([3]Entry!$R$686="","",[3]Entry!$R$686)</f>
        <v/>
      </c>
    </row>
    <row r="684" spans="20:39" x14ac:dyDescent="0.2">
      <c r="T684" t="str">
        <f>IF([2]Baskol!$B$687="","",[2]Baskol!$B$687)</f>
        <v/>
      </c>
      <c r="U684" t="str">
        <f>IF([2]Baskol!$C$687="","",[2]Baskol!$C$687)</f>
        <v/>
      </c>
      <c r="V684" t="str">
        <f>IF([2]Baskol!$D$687="","",[2]Baskol!$D$687)</f>
        <v/>
      </c>
      <c r="W684" t="str">
        <f>IF([2]Baskol!$E$687="","",[2]Baskol!$E$687)</f>
        <v/>
      </c>
      <c r="X684" t="str">
        <f>IF([2]Baskol!$G$687="","",[2]Baskol!$G$687)</f>
        <v/>
      </c>
      <c r="Y684" t="str">
        <f>IF([2]Baskol!$I$687="","",[2]Baskol!$I$687)</f>
        <v/>
      </c>
      <c r="Z684" t="str">
        <f>IF([2]Baskol!$J$687="","",[2]Baskol!$J$687)</f>
        <v/>
      </c>
      <c r="AA684" t="str">
        <f>IF([2]Baskol!$K$687="","",[2]Baskol!$K$687)</f>
        <v/>
      </c>
      <c r="AB684" t="str">
        <f>IF([2]Baskol!$L$687="","",[2]Baskol!$L$687)</f>
        <v/>
      </c>
      <c r="AC684" t="str">
        <f>IF([2]Baskol!$N$687="","",[2]Baskol!$N$687)</f>
        <v/>
      </c>
      <c r="AD684" t="str">
        <f>IF([2]Baskol!$O$687="","",[2]Baskol!$O$687)</f>
        <v/>
      </c>
      <c r="AE684" t="str">
        <f>IF([3]Entry!$C$687="","",[3]Entry!$C$687)</f>
        <v/>
      </c>
      <c r="AF684" t="str">
        <f>IF([3]Entry!$D$687="","",[3]Entry!$D$687)</f>
        <v/>
      </c>
      <c r="AG684" t="str">
        <f>IF([3]Entry!$E$687="","",[3]Entry!$E$687)</f>
        <v/>
      </c>
      <c r="AH684" t="str">
        <f>IF([3]Entry!$G$687="","",[3]Entry!$G$687)</f>
        <v/>
      </c>
      <c r="AI684" t="str">
        <f>IF([3]Entry!$K$687="","",[3]Entry!$K$687)</f>
        <v/>
      </c>
      <c r="AJ684" t="str">
        <f>IF([3]Entry!$L$687="","",[3]Entry!$L$687)</f>
        <v/>
      </c>
      <c r="AK684" t="str">
        <f>IF([3]Entry!$M$687="","",[3]Entry!$M$687)</f>
        <v/>
      </c>
      <c r="AL684" t="str">
        <f>IF([3]Entry!$N$687="","",[3]Entry!$N$687)</f>
        <v/>
      </c>
      <c r="AM684" t="str">
        <f>IF([3]Entry!$R$687="","",[3]Entry!$R$687)</f>
        <v/>
      </c>
    </row>
    <row r="685" spans="20:39" x14ac:dyDescent="0.2">
      <c r="T685" t="str">
        <f>IF([2]Baskol!$B$688="","",[2]Baskol!$B$688)</f>
        <v/>
      </c>
      <c r="U685" t="str">
        <f>IF([2]Baskol!$C$688="","",[2]Baskol!$C$688)</f>
        <v/>
      </c>
      <c r="V685" t="str">
        <f>IF([2]Baskol!$D$688="","",[2]Baskol!$D$688)</f>
        <v/>
      </c>
      <c r="W685" t="str">
        <f>IF([2]Baskol!$E$688="","",[2]Baskol!$E$688)</f>
        <v/>
      </c>
      <c r="X685" t="str">
        <f>IF([2]Baskol!$G$688="","",[2]Baskol!$G$688)</f>
        <v/>
      </c>
      <c r="Y685" t="str">
        <f>IF([2]Baskol!$I$688="","",[2]Baskol!$I$688)</f>
        <v/>
      </c>
      <c r="Z685" t="str">
        <f>IF([2]Baskol!$J$688="","",[2]Baskol!$J$688)</f>
        <v/>
      </c>
      <c r="AA685" t="str">
        <f>IF([2]Baskol!$K$688="","",[2]Baskol!$K$688)</f>
        <v/>
      </c>
      <c r="AB685" t="str">
        <f>IF([2]Baskol!$L$688="","",[2]Baskol!$L$688)</f>
        <v/>
      </c>
      <c r="AC685" t="str">
        <f>IF([2]Baskol!$N$688="","",[2]Baskol!$N$688)</f>
        <v/>
      </c>
      <c r="AD685" t="str">
        <f>IF([2]Baskol!$O$688="","",[2]Baskol!$O$688)</f>
        <v/>
      </c>
      <c r="AE685" t="str">
        <f>IF([3]Entry!$C$688="","",[3]Entry!$C$688)</f>
        <v/>
      </c>
      <c r="AF685" t="str">
        <f>IF([3]Entry!$D$688="","",[3]Entry!$D$688)</f>
        <v/>
      </c>
      <c r="AG685" t="str">
        <f>IF([3]Entry!$E$688="","",[3]Entry!$E$688)</f>
        <v/>
      </c>
      <c r="AH685" t="str">
        <f>IF([3]Entry!$G$688="","",[3]Entry!$G$688)</f>
        <v/>
      </c>
      <c r="AI685" t="str">
        <f>IF([3]Entry!$K$688="","",[3]Entry!$K$688)</f>
        <v/>
      </c>
      <c r="AJ685" t="str">
        <f>IF([3]Entry!$L$688="","",[3]Entry!$L$688)</f>
        <v/>
      </c>
      <c r="AK685" t="str">
        <f>IF([3]Entry!$M$688="","",[3]Entry!$M$688)</f>
        <v/>
      </c>
      <c r="AL685" t="str">
        <f>IF([3]Entry!$N$688="","",[3]Entry!$N$688)</f>
        <v/>
      </c>
      <c r="AM685" t="str">
        <f>IF([3]Entry!$R$688="","",[3]Entry!$R$688)</f>
        <v/>
      </c>
    </row>
    <row r="686" spans="20:39" x14ac:dyDescent="0.2">
      <c r="T686" t="str">
        <f>IF([2]Baskol!$B$689="","",[2]Baskol!$B$689)</f>
        <v/>
      </c>
      <c r="U686" t="str">
        <f>IF([2]Baskol!$C$689="","",[2]Baskol!$C$689)</f>
        <v/>
      </c>
      <c r="V686" t="str">
        <f>IF([2]Baskol!$D$689="","",[2]Baskol!$D$689)</f>
        <v/>
      </c>
      <c r="W686" t="str">
        <f>IF([2]Baskol!$E$689="","",[2]Baskol!$E$689)</f>
        <v/>
      </c>
      <c r="X686" t="str">
        <f>IF([2]Baskol!$G$689="","",[2]Baskol!$G$689)</f>
        <v/>
      </c>
      <c r="Y686" t="str">
        <f>IF([2]Baskol!$I$689="","",[2]Baskol!$I$689)</f>
        <v/>
      </c>
      <c r="Z686" t="str">
        <f>IF([2]Baskol!$J$689="","",[2]Baskol!$J$689)</f>
        <v/>
      </c>
      <c r="AA686" t="str">
        <f>IF([2]Baskol!$K$689="","",[2]Baskol!$K$689)</f>
        <v/>
      </c>
      <c r="AB686" t="str">
        <f>IF([2]Baskol!$L$689="","",[2]Baskol!$L$689)</f>
        <v/>
      </c>
      <c r="AC686" t="str">
        <f>IF([2]Baskol!$N$689="","",[2]Baskol!$N$689)</f>
        <v/>
      </c>
      <c r="AD686" t="str">
        <f>IF([2]Baskol!$O$689="","",[2]Baskol!$O$689)</f>
        <v/>
      </c>
      <c r="AE686" t="str">
        <f>IF([3]Entry!$C$689="","",[3]Entry!$C$689)</f>
        <v/>
      </c>
      <c r="AF686" t="str">
        <f>IF([3]Entry!$D$689="","",[3]Entry!$D$689)</f>
        <v/>
      </c>
      <c r="AG686" t="str">
        <f>IF([3]Entry!$E$689="","",[3]Entry!$E$689)</f>
        <v/>
      </c>
      <c r="AH686" t="str">
        <f>IF([3]Entry!$G$689="","",[3]Entry!$G$689)</f>
        <v/>
      </c>
      <c r="AI686" t="str">
        <f>IF([3]Entry!$K$689="","",[3]Entry!$K$689)</f>
        <v/>
      </c>
      <c r="AJ686" t="str">
        <f>IF([3]Entry!$L$689="","",[3]Entry!$L$689)</f>
        <v/>
      </c>
      <c r="AK686" t="str">
        <f>IF([3]Entry!$M$689="","",[3]Entry!$M$689)</f>
        <v/>
      </c>
      <c r="AL686" t="str">
        <f>IF([3]Entry!$N$689="","",[3]Entry!$N$689)</f>
        <v/>
      </c>
      <c r="AM686" t="str">
        <f>IF([3]Entry!$R$689="","",[3]Entry!$R$689)</f>
        <v/>
      </c>
    </row>
    <row r="687" spans="20:39" x14ac:dyDescent="0.2">
      <c r="T687" t="str">
        <f>IF([2]Baskol!$B$690="","",[2]Baskol!$B$690)</f>
        <v/>
      </c>
      <c r="U687" t="str">
        <f>IF([2]Baskol!$C$690="","",[2]Baskol!$C$690)</f>
        <v/>
      </c>
      <c r="V687" t="str">
        <f>IF([2]Baskol!$D$690="","",[2]Baskol!$D$690)</f>
        <v/>
      </c>
      <c r="W687" t="str">
        <f>IF([2]Baskol!$E$690="","",[2]Baskol!$E$690)</f>
        <v/>
      </c>
      <c r="X687" t="str">
        <f>IF([2]Baskol!$G$690="","",[2]Baskol!$G$690)</f>
        <v/>
      </c>
      <c r="Y687" t="str">
        <f>IF([2]Baskol!$I$690="","",[2]Baskol!$I$690)</f>
        <v/>
      </c>
      <c r="Z687" t="str">
        <f>IF([2]Baskol!$J$690="","",[2]Baskol!$J$690)</f>
        <v/>
      </c>
      <c r="AA687" t="str">
        <f>IF([2]Baskol!$K$690="","",[2]Baskol!$K$690)</f>
        <v/>
      </c>
      <c r="AB687" t="str">
        <f>IF([2]Baskol!$L$690="","",[2]Baskol!$L$690)</f>
        <v/>
      </c>
      <c r="AC687" t="str">
        <f>IF([2]Baskol!$N$690="","",[2]Baskol!$N$690)</f>
        <v/>
      </c>
      <c r="AD687" t="str">
        <f>IF([2]Baskol!$O$690="","",[2]Baskol!$O$690)</f>
        <v/>
      </c>
      <c r="AE687" t="str">
        <f>IF([3]Entry!$C$690="","",[3]Entry!$C$690)</f>
        <v/>
      </c>
      <c r="AF687" t="str">
        <f>IF([3]Entry!$D$690="","",[3]Entry!$D$690)</f>
        <v/>
      </c>
      <c r="AG687" t="str">
        <f>IF([3]Entry!$E$690="","",[3]Entry!$E$690)</f>
        <v/>
      </c>
      <c r="AH687" t="str">
        <f>IF([3]Entry!$G$690="","",[3]Entry!$G$690)</f>
        <v/>
      </c>
      <c r="AI687" t="str">
        <f>IF([3]Entry!$K$690="","",[3]Entry!$K$690)</f>
        <v/>
      </c>
      <c r="AJ687" t="str">
        <f>IF([3]Entry!$L$690="","",[3]Entry!$L$690)</f>
        <v/>
      </c>
      <c r="AK687" t="str">
        <f>IF([3]Entry!$M$690="","",[3]Entry!$M$690)</f>
        <v/>
      </c>
      <c r="AL687" t="str">
        <f>IF([3]Entry!$N$690="","",[3]Entry!$N$690)</f>
        <v/>
      </c>
      <c r="AM687" t="str">
        <f>IF([3]Entry!$R$690="","",[3]Entry!$R$690)</f>
        <v/>
      </c>
    </row>
    <row r="688" spans="20:39" x14ac:dyDescent="0.2">
      <c r="T688" t="str">
        <f>IF([2]Baskol!$B$691="","",[2]Baskol!$B$691)</f>
        <v/>
      </c>
      <c r="U688" t="str">
        <f>IF([2]Baskol!$C$691="","",[2]Baskol!$C$691)</f>
        <v/>
      </c>
      <c r="V688" t="str">
        <f>IF([2]Baskol!$D$691="","",[2]Baskol!$D$691)</f>
        <v/>
      </c>
      <c r="W688" t="str">
        <f>IF([2]Baskol!$E$691="","",[2]Baskol!$E$691)</f>
        <v/>
      </c>
      <c r="X688" t="str">
        <f>IF([2]Baskol!$G$691="","",[2]Baskol!$G$691)</f>
        <v/>
      </c>
      <c r="Y688" t="str">
        <f>IF([2]Baskol!$I$691="","",[2]Baskol!$I$691)</f>
        <v/>
      </c>
      <c r="Z688" t="str">
        <f>IF([2]Baskol!$J$691="","",[2]Baskol!$J$691)</f>
        <v/>
      </c>
      <c r="AA688" t="str">
        <f>IF([2]Baskol!$K$691="","",[2]Baskol!$K$691)</f>
        <v/>
      </c>
      <c r="AB688" t="str">
        <f>IF([2]Baskol!$L$691="","",[2]Baskol!$L$691)</f>
        <v/>
      </c>
      <c r="AC688" t="str">
        <f>IF([2]Baskol!$N$691="","",[2]Baskol!$N$691)</f>
        <v/>
      </c>
      <c r="AD688" t="str">
        <f>IF([2]Baskol!$O$691="","",[2]Baskol!$O$691)</f>
        <v/>
      </c>
      <c r="AE688" t="str">
        <f>IF([3]Entry!$C$691="","",[3]Entry!$C$691)</f>
        <v/>
      </c>
      <c r="AF688" t="str">
        <f>IF([3]Entry!$D$691="","",[3]Entry!$D$691)</f>
        <v/>
      </c>
      <c r="AG688" t="str">
        <f>IF([3]Entry!$E$691="","",[3]Entry!$E$691)</f>
        <v/>
      </c>
      <c r="AH688" t="str">
        <f>IF([3]Entry!$G$691="","",[3]Entry!$G$691)</f>
        <v/>
      </c>
      <c r="AI688" t="str">
        <f>IF([3]Entry!$K$691="","",[3]Entry!$K$691)</f>
        <v/>
      </c>
      <c r="AJ688" t="str">
        <f>IF([3]Entry!$L$691="","",[3]Entry!$L$691)</f>
        <v/>
      </c>
      <c r="AK688" t="str">
        <f>IF([3]Entry!$M$691="","",[3]Entry!$M$691)</f>
        <v/>
      </c>
      <c r="AL688" t="str">
        <f>IF([3]Entry!$N$691="","",[3]Entry!$N$691)</f>
        <v/>
      </c>
      <c r="AM688" t="str">
        <f>IF([3]Entry!$R$691="","",[3]Entry!$R$691)</f>
        <v/>
      </c>
    </row>
    <row r="689" spans="20:39" x14ac:dyDescent="0.2">
      <c r="T689" t="str">
        <f>IF([2]Baskol!$B$692="","",[2]Baskol!$B$692)</f>
        <v/>
      </c>
      <c r="U689" t="str">
        <f>IF([2]Baskol!$C$692="","",[2]Baskol!$C$692)</f>
        <v/>
      </c>
      <c r="V689" t="str">
        <f>IF([2]Baskol!$D$692="","",[2]Baskol!$D$692)</f>
        <v/>
      </c>
      <c r="W689" t="str">
        <f>IF([2]Baskol!$E$692="","",[2]Baskol!$E$692)</f>
        <v/>
      </c>
      <c r="X689" t="str">
        <f>IF([2]Baskol!$G$692="","",[2]Baskol!$G$692)</f>
        <v/>
      </c>
      <c r="Y689" t="str">
        <f>IF([2]Baskol!$I$692="","",[2]Baskol!$I$692)</f>
        <v/>
      </c>
      <c r="Z689" t="str">
        <f>IF([2]Baskol!$J$692="","",[2]Baskol!$J$692)</f>
        <v/>
      </c>
      <c r="AA689" t="str">
        <f>IF([2]Baskol!$K$692="","",[2]Baskol!$K$692)</f>
        <v/>
      </c>
      <c r="AB689" t="str">
        <f>IF([2]Baskol!$L$692="","",[2]Baskol!$L$692)</f>
        <v/>
      </c>
      <c r="AC689" t="str">
        <f>IF([2]Baskol!$N$692="","",[2]Baskol!$N$692)</f>
        <v/>
      </c>
      <c r="AD689" t="str">
        <f>IF([2]Baskol!$O$692="","",[2]Baskol!$O$692)</f>
        <v/>
      </c>
      <c r="AE689" t="str">
        <f>IF([3]Entry!$C$692="","",[3]Entry!$C$692)</f>
        <v/>
      </c>
      <c r="AF689" t="str">
        <f>IF([3]Entry!$D$692="","",[3]Entry!$D$692)</f>
        <v/>
      </c>
      <c r="AG689" t="str">
        <f>IF([3]Entry!$E$692="","",[3]Entry!$E$692)</f>
        <v/>
      </c>
      <c r="AH689" t="str">
        <f>IF([3]Entry!$G$692="","",[3]Entry!$G$692)</f>
        <v/>
      </c>
      <c r="AI689" t="str">
        <f>IF([3]Entry!$K$692="","",[3]Entry!$K$692)</f>
        <v/>
      </c>
      <c r="AJ689" t="str">
        <f>IF([3]Entry!$L$692="","",[3]Entry!$L$692)</f>
        <v/>
      </c>
      <c r="AK689" t="str">
        <f>IF([3]Entry!$M$692="","",[3]Entry!$M$692)</f>
        <v/>
      </c>
      <c r="AL689" t="str">
        <f>IF([3]Entry!$N$692="","",[3]Entry!$N$692)</f>
        <v/>
      </c>
      <c r="AM689" t="str">
        <f>IF([3]Entry!$R$692="","",[3]Entry!$R$692)</f>
        <v/>
      </c>
    </row>
    <row r="690" spans="20:39" x14ac:dyDescent="0.2">
      <c r="T690" t="str">
        <f>IF([2]Baskol!$B$693="","",[2]Baskol!$B$693)</f>
        <v/>
      </c>
      <c r="U690" t="str">
        <f>IF([2]Baskol!$C$693="","",[2]Baskol!$C$693)</f>
        <v/>
      </c>
      <c r="V690" t="str">
        <f>IF([2]Baskol!$D$693="","",[2]Baskol!$D$693)</f>
        <v/>
      </c>
      <c r="W690" t="str">
        <f>IF([2]Baskol!$E$693="","",[2]Baskol!$E$693)</f>
        <v/>
      </c>
      <c r="X690" t="str">
        <f>IF([2]Baskol!$G$693="","",[2]Baskol!$G$693)</f>
        <v/>
      </c>
      <c r="Y690" t="str">
        <f>IF([2]Baskol!$I$693="","",[2]Baskol!$I$693)</f>
        <v/>
      </c>
      <c r="Z690" t="str">
        <f>IF([2]Baskol!$J$693="","",[2]Baskol!$J$693)</f>
        <v/>
      </c>
      <c r="AA690" t="str">
        <f>IF([2]Baskol!$K$693="","",[2]Baskol!$K$693)</f>
        <v/>
      </c>
      <c r="AB690" t="str">
        <f>IF([2]Baskol!$L$693="","",[2]Baskol!$L$693)</f>
        <v/>
      </c>
      <c r="AC690" t="str">
        <f>IF([2]Baskol!$N$693="","",[2]Baskol!$N$693)</f>
        <v/>
      </c>
      <c r="AD690" t="str">
        <f>IF([2]Baskol!$O$693="","",[2]Baskol!$O$693)</f>
        <v/>
      </c>
      <c r="AE690" t="str">
        <f>IF([3]Entry!$C$693="","",[3]Entry!$C$693)</f>
        <v/>
      </c>
      <c r="AF690" t="str">
        <f>IF([3]Entry!$D$693="","",[3]Entry!$D$693)</f>
        <v/>
      </c>
      <c r="AG690" t="str">
        <f>IF([3]Entry!$E$693="","",[3]Entry!$E$693)</f>
        <v/>
      </c>
      <c r="AH690" t="str">
        <f>IF([3]Entry!$G$693="","",[3]Entry!$G$693)</f>
        <v/>
      </c>
      <c r="AI690" t="str">
        <f>IF([3]Entry!$K$693="","",[3]Entry!$K$693)</f>
        <v/>
      </c>
      <c r="AJ690" t="str">
        <f>IF([3]Entry!$L$693="","",[3]Entry!$L$693)</f>
        <v/>
      </c>
      <c r="AK690" t="str">
        <f>IF([3]Entry!$M$693="","",[3]Entry!$M$693)</f>
        <v/>
      </c>
      <c r="AL690" t="str">
        <f>IF([3]Entry!$N$693="","",[3]Entry!$N$693)</f>
        <v/>
      </c>
      <c r="AM690" t="str">
        <f>IF([3]Entry!$R$693="","",[3]Entry!$R$693)</f>
        <v/>
      </c>
    </row>
    <row r="691" spans="20:39" x14ac:dyDescent="0.2">
      <c r="T691" t="str">
        <f>IF([2]Baskol!$B$694="","",[2]Baskol!$B$694)</f>
        <v/>
      </c>
      <c r="U691" t="str">
        <f>IF([2]Baskol!$C$694="","",[2]Baskol!$C$694)</f>
        <v/>
      </c>
      <c r="V691" t="str">
        <f>IF([2]Baskol!$D$694="","",[2]Baskol!$D$694)</f>
        <v/>
      </c>
      <c r="W691" t="str">
        <f>IF([2]Baskol!$E$694="","",[2]Baskol!$E$694)</f>
        <v/>
      </c>
      <c r="X691" t="str">
        <f>IF([2]Baskol!$G$694="","",[2]Baskol!$G$694)</f>
        <v/>
      </c>
      <c r="Y691" t="str">
        <f>IF([2]Baskol!$I$694="","",[2]Baskol!$I$694)</f>
        <v/>
      </c>
      <c r="Z691" t="str">
        <f>IF([2]Baskol!$J$694="","",[2]Baskol!$J$694)</f>
        <v/>
      </c>
      <c r="AA691" t="str">
        <f>IF([2]Baskol!$K$694="","",[2]Baskol!$K$694)</f>
        <v/>
      </c>
      <c r="AB691" t="str">
        <f>IF([2]Baskol!$L$694="","",[2]Baskol!$L$694)</f>
        <v/>
      </c>
      <c r="AC691" t="str">
        <f>IF([2]Baskol!$N$694="","",[2]Baskol!$N$694)</f>
        <v/>
      </c>
      <c r="AD691" t="str">
        <f>IF([2]Baskol!$O$694="","",[2]Baskol!$O$694)</f>
        <v/>
      </c>
      <c r="AE691" t="str">
        <f>IF([3]Entry!$C$694="","",[3]Entry!$C$694)</f>
        <v/>
      </c>
      <c r="AF691" t="str">
        <f>IF([3]Entry!$D$694="","",[3]Entry!$D$694)</f>
        <v/>
      </c>
      <c r="AG691" t="str">
        <f>IF([3]Entry!$E$694="","",[3]Entry!$E$694)</f>
        <v/>
      </c>
      <c r="AH691" t="str">
        <f>IF([3]Entry!$G$694="","",[3]Entry!$G$694)</f>
        <v/>
      </c>
      <c r="AI691" t="str">
        <f>IF([3]Entry!$K$694="","",[3]Entry!$K$694)</f>
        <v/>
      </c>
      <c r="AJ691" t="str">
        <f>IF([3]Entry!$L$694="","",[3]Entry!$L$694)</f>
        <v/>
      </c>
      <c r="AK691" t="str">
        <f>IF([3]Entry!$M$694="","",[3]Entry!$M$694)</f>
        <v/>
      </c>
      <c r="AL691" t="str">
        <f>IF([3]Entry!$N$694="","",[3]Entry!$N$694)</f>
        <v/>
      </c>
      <c r="AM691" t="str">
        <f>IF([3]Entry!$R$694="","",[3]Entry!$R$694)</f>
        <v/>
      </c>
    </row>
    <row r="692" spans="20:39" x14ac:dyDescent="0.2">
      <c r="T692" t="str">
        <f>IF([2]Baskol!$B$695="","",[2]Baskol!$B$695)</f>
        <v/>
      </c>
      <c r="U692" t="str">
        <f>IF([2]Baskol!$C$695="","",[2]Baskol!$C$695)</f>
        <v/>
      </c>
      <c r="V692" t="str">
        <f>IF([2]Baskol!$D$695="","",[2]Baskol!$D$695)</f>
        <v/>
      </c>
      <c r="W692" t="str">
        <f>IF([2]Baskol!$E$695="","",[2]Baskol!$E$695)</f>
        <v/>
      </c>
      <c r="X692" t="str">
        <f>IF([2]Baskol!$G$695="","",[2]Baskol!$G$695)</f>
        <v/>
      </c>
      <c r="Y692" t="str">
        <f>IF([2]Baskol!$I$695="","",[2]Baskol!$I$695)</f>
        <v/>
      </c>
      <c r="Z692" t="str">
        <f>IF([2]Baskol!$J$695="","",[2]Baskol!$J$695)</f>
        <v/>
      </c>
      <c r="AA692" t="str">
        <f>IF([2]Baskol!$K$695="","",[2]Baskol!$K$695)</f>
        <v/>
      </c>
      <c r="AB692" t="str">
        <f>IF([2]Baskol!$L$695="","",[2]Baskol!$L$695)</f>
        <v/>
      </c>
      <c r="AC692" t="str">
        <f>IF([2]Baskol!$N$695="","",[2]Baskol!$N$695)</f>
        <v/>
      </c>
      <c r="AD692" t="str">
        <f>IF([2]Baskol!$O$695="","",[2]Baskol!$O$695)</f>
        <v/>
      </c>
      <c r="AE692" t="str">
        <f>IF([3]Entry!$C$695="","",[3]Entry!$C$695)</f>
        <v/>
      </c>
      <c r="AF692" t="str">
        <f>IF([3]Entry!$D$695="","",[3]Entry!$D$695)</f>
        <v/>
      </c>
      <c r="AG692" t="str">
        <f>IF([3]Entry!$E$695="","",[3]Entry!$E$695)</f>
        <v/>
      </c>
      <c r="AH692" t="str">
        <f>IF([3]Entry!$G$695="","",[3]Entry!$G$695)</f>
        <v/>
      </c>
      <c r="AI692" t="str">
        <f>IF([3]Entry!$K$695="","",[3]Entry!$K$695)</f>
        <v/>
      </c>
      <c r="AJ692" t="str">
        <f>IF([3]Entry!$L$695="","",[3]Entry!$L$695)</f>
        <v/>
      </c>
      <c r="AK692" t="str">
        <f>IF([3]Entry!$M$695="","",[3]Entry!$M$695)</f>
        <v/>
      </c>
      <c r="AL692" t="str">
        <f>IF([3]Entry!$N$695="","",[3]Entry!$N$695)</f>
        <v/>
      </c>
      <c r="AM692" t="str">
        <f>IF([3]Entry!$R$695="","",[3]Entry!$R$695)</f>
        <v/>
      </c>
    </row>
    <row r="693" spans="20:39" x14ac:dyDescent="0.2">
      <c r="T693" t="str">
        <f>IF([2]Baskol!$B$696="","",[2]Baskol!$B$696)</f>
        <v/>
      </c>
      <c r="U693" t="str">
        <f>IF([2]Baskol!$C$696="","",[2]Baskol!$C$696)</f>
        <v/>
      </c>
      <c r="V693" t="str">
        <f>IF([2]Baskol!$D$696="","",[2]Baskol!$D$696)</f>
        <v/>
      </c>
      <c r="W693" t="str">
        <f>IF([2]Baskol!$E$696="","",[2]Baskol!$E$696)</f>
        <v/>
      </c>
      <c r="X693" t="str">
        <f>IF([2]Baskol!$G$696="","",[2]Baskol!$G$696)</f>
        <v/>
      </c>
      <c r="Y693" t="str">
        <f>IF([2]Baskol!$I$696="","",[2]Baskol!$I$696)</f>
        <v/>
      </c>
      <c r="Z693" t="str">
        <f>IF([2]Baskol!$J$696="","",[2]Baskol!$J$696)</f>
        <v/>
      </c>
      <c r="AA693" t="str">
        <f>IF([2]Baskol!$K$696="","",[2]Baskol!$K$696)</f>
        <v/>
      </c>
      <c r="AB693" t="str">
        <f>IF([2]Baskol!$L$696="","",[2]Baskol!$L$696)</f>
        <v/>
      </c>
      <c r="AC693" t="str">
        <f>IF([2]Baskol!$N$696="","",[2]Baskol!$N$696)</f>
        <v/>
      </c>
      <c r="AD693" t="str">
        <f>IF([2]Baskol!$O$696="","",[2]Baskol!$O$696)</f>
        <v/>
      </c>
      <c r="AE693" t="str">
        <f>IF([3]Entry!$C$696="","",[3]Entry!$C$696)</f>
        <v/>
      </c>
      <c r="AF693" t="str">
        <f>IF([3]Entry!$D$696="","",[3]Entry!$D$696)</f>
        <v/>
      </c>
      <c r="AG693" t="str">
        <f>IF([3]Entry!$E$696="","",[3]Entry!$E$696)</f>
        <v/>
      </c>
      <c r="AH693" t="str">
        <f>IF([3]Entry!$G$696="","",[3]Entry!$G$696)</f>
        <v/>
      </c>
      <c r="AI693" t="str">
        <f>IF([3]Entry!$K$696="","",[3]Entry!$K$696)</f>
        <v/>
      </c>
      <c r="AJ693" t="str">
        <f>IF([3]Entry!$L$696="","",[3]Entry!$L$696)</f>
        <v/>
      </c>
      <c r="AK693" t="str">
        <f>IF([3]Entry!$M$696="","",[3]Entry!$M$696)</f>
        <v/>
      </c>
      <c r="AL693" t="str">
        <f>IF([3]Entry!$N$696="","",[3]Entry!$N$696)</f>
        <v/>
      </c>
      <c r="AM693" t="str">
        <f>IF([3]Entry!$R$696="","",[3]Entry!$R$696)</f>
        <v/>
      </c>
    </row>
    <row r="694" spans="20:39" x14ac:dyDescent="0.2">
      <c r="T694" t="str">
        <f>IF([2]Baskol!$B$697="","",[2]Baskol!$B$697)</f>
        <v/>
      </c>
      <c r="U694" t="str">
        <f>IF([2]Baskol!$C$697="","",[2]Baskol!$C$697)</f>
        <v/>
      </c>
      <c r="V694" t="str">
        <f>IF([2]Baskol!$D$697="","",[2]Baskol!$D$697)</f>
        <v/>
      </c>
      <c r="W694" t="str">
        <f>IF([2]Baskol!$E$697="","",[2]Baskol!$E$697)</f>
        <v/>
      </c>
      <c r="X694" t="str">
        <f>IF([2]Baskol!$G$697="","",[2]Baskol!$G$697)</f>
        <v/>
      </c>
      <c r="Y694" t="str">
        <f>IF([2]Baskol!$I$697="","",[2]Baskol!$I$697)</f>
        <v/>
      </c>
      <c r="Z694" t="str">
        <f>IF([2]Baskol!$J$697="","",[2]Baskol!$J$697)</f>
        <v/>
      </c>
      <c r="AA694" t="str">
        <f>IF([2]Baskol!$K$697="","",[2]Baskol!$K$697)</f>
        <v/>
      </c>
      <c r="AB694" t="str">
        <f>IF([2]Baskol!$L$697="","",[2]Baskol!$L$697)</f>
        <v/>
      </c>
      <c r="AC694" t="str">
        <f>IF([2]Baskol!$N$697="","",[2]Baskol!$N$697)</f>
        <v/>
      </c>
      <c r="AD694" t="str">
        <f>IF([2]Baskol!$O$697="","",[2]Baskol!$O$697)</f>
        <v/>
      </c>
      <c r="AE694" t="str">
        <f>IF([3]Entry!$C$697="","",[3]Entry!$C$697)</f>
        <v/>
      </c>
      <c r="AF694" t="str">
        <f>IF([3]Entry!$D$697="","",[3]Entry!$D$697)</f>
        <v/>
      </c>
      <c r="AG694" t="str">
        <f>IF([3]Entry!$E$697="","",[3]Entry!$E$697)</f>
        <v/>
      </c>
      <c r="AH694" t="str">
        <f>IF([3]Entry!$G$697="","",[3]Entry!$G$697)</f>
        <v/>
      </c>
      <c r="AI694" t="str">
        <f>IF([3]Entry!$K$697="","",[3]Entry!$K$697)</f>
        <v/>
      </c>
      <c r="AJ694" t="str">
        <f>IF([3]Entry!$L$697="","",[3]Entry!$L$697)</f>
        <v/>
      </c>
      <c r="AK694" t="str">
        <f>IF([3]Entry!$M$697="","",[3]Entry!$M$697)</f>
        <v/>
      </c>
      <c r="AL694" t="str">
        <f>IF([3]Entry!$N$697="","",[3]Entry!$N$697)</f>
        <v/>
      </c>
      <c r="AM694" t="str">
        <f>IF([3]Entry!$R$697="","",[3]Entry!$R$697)</f>
        <v/>
      </c>
    </row>
    <row r="695" spans="20:39" x14ac:dyDescent="0.2">
      <c r="T695" t="str">
        <f>IF([2]Baskol!$B$698="","",[2]Baskol!$B$698)</f>
        <v/>
      </c>
      <c r="U695" t="str">
        <f>IF([2]Baskol!$C$698="","",[2]Baskol!$C$698)</f>
        <v/>
      </c>
      <c r="V695" t="str">
        <f>IF([2]Baskol!$D$698="","",[2]Baskol!$D$698)</f>
        <v/>
      </c>
      <c r="W695" t="str">
        <f>IF([2]Baskol!$E$698="","",[2]Baskol!$E$698)</f>
        <v/>
      </c>
      <c r="X695" t="str">
        <f>IF([2]Baskol!$G$698="","",[2]Baskol!$G$698)</f>
        <v/>
      </c>
      <c r="Y695" t="str">
        <f>IF([2]Baskol!$I$698="","",[2]Baskol!$I$698)</f>
        <v/>
      </c>
      <c r="Z695" t="str">
        <f>IF([2]Baskol!$J$698="","",[2]Baskol!$J$698)</f>
        <v/>
      </c>
      <c r="AA695" t="str">
        <f>IF([2]Baskol!$K$698="","",[2]Baskol!$K$698)</f>
        <v/>
      </c>
      <c r="AB695" t="str">
        <f>IF([2]Baskol!$L$698="","",[2]Baskol!$L$698)</f>
        <v/>
      </c>
      <c r="AC695" t="str">
        <f>IF([2]Baskol!$N$698="","",[2]Baskol!$N$698)</f>
        <v/>
      </c>
      <c r="AD695" t="str">
        <f>IF([2]Baskol!$O$698="","",[2]Baskol!$O$698)</f>
        <v/>
      </c>
      <c r="AE695" t="str">
        <f>IF([3]Entry!$C$698="","",[3]Entry!$C$698)</f>
        <v/>
      </c>
      <c r="AF695" t="str">
        <f>IF([3]Entry!$D$698="","",[3]Entry!$D$698)</f>
        <v/>
      </c>
      <c r="AG695" t="str">
        <f>IF([3]Entry!$E$698="","",[3]Entry!$E$698)</f>
        <v/>
      </c>
      <c r="AH695" t="str">
        <f>IF([3]Entry!$G$698="","",[3]Entry!$G$698)</f>
        <v/>
      </c>
      <c r="AI695" t="str">
        <f>IF([3]Entry!$K$698="","",[3]Entry!$K$698)</f>
        <v/>
      </c>
      <c r="AJ695" t="str">
        <f>IF([3]Entry!$L$698="","",[3]Entry!$L$698)</f>
        <v/>
      </c>
      <c r="AK695" t="str">
        <f>IF([3]Entry!$M$698="","",[3]Entry!$M$698)</f>
        <v/>
      </c>
      <c r="AL695" t="str">
        <f>IF([3]Entry!$N$698="","",[3]Entry!$N$698)</f>
        <v/>
      </c>
      <c r="AM695" t="str">
        <f>IF([3]Entry!$R$698="","",[3]Entry!$R$698)</f>
        <v/>
      </c>
    </row>
    <row r="696" spans="20:39" x14ac:dyDescent="0.2">
      <c r="T696" t="str">
        <f>IF([2]Baskol!$B$699="","",[2]Baskol!$B$699)</f>
        <v/>
      </c>
      <c r="U696" t="str">
        <f>IF([2]Baskol!$C$699="","",[2]Baskol!$C$699)</f>
        <v/>
      </c>
      <c r="V696" t="str">
        <f>IF([2]Baskol!$D$699="","",[2]Baskol!$D$699)</f>
        <v/>
      </c>
      <c r="W696" t="str">
        <f>IF([2]Baskol!$E$699="","",[2]Baskol!$E$699)</f>
        <v/>
      </c>
      <c r="X696" t="str">
        <f>IF([2]Baskol!$G$699="","",[2]Baskol!$G$699)</f>
        <v/>
      </c>
      <c r="Y696" t="str">
        <f>IF([2]Baskol!$I$699="","",[2]Baskol!$I$699)</f>
        <v/>
      </c>
      <c r="Z696" t="str">
        <f>IF([2]Baskol!$J$699="","",[2]Baskol!$J$699)</f>
        <v/>
      </c>
      <c r="AA696" t="str">
        <f>IF([2]Baskol!$K$699="","",[2]Baskol!$K$699)</f>
        <v/>
      </c>
      <c r="AB696" t="str">
        <f>IF([2]Baskol!$L$699="","",[2]Baskol!$L$699)</f>
        <v/>
      </c>
      <c r="AC696" t="str">
        <f>IF([2]Baskol!$N$699="","",[2]Baskol!$N$699)</f>
        <v/>
      </c>
      <c r="AD696" t="str">
        <f>IF([2]Baskol!$O$699="","",[2]Baskol!$O$699)</f>
        <v/>
      </c>
      <c r="AE696" t="str">
        <f>IF([3]Entry!$C$699="","",[3]Entry!$C$699)</f>
        <v/>
      </c>
      <c r="AF696" t="str">
        <f>IF([3]Entry!$D$699="","",[3]Entry!$D$699)</f>
        <v/>
      </c>
      <c r="AG696" t="str">
        <f>IF([3]Entry!$E$699="","",[3]Entry!$E$699)</f>
        <v/>
      </c>
      <c r="AH696" t="str">
        <f>IF([3]Entry!$G$699="","",[3]Entry!$G$699)</f>
        <v/>
      </c>
      <c r="AI696" t="str">
        <f>IF([3]Entry!$K$699="","",[3]Entry!$K$699)</f>
        <v/>
      </c>
      <c r="AJ696" t="str">
        <f>IF([3]Entry!$L$699="","",[3]Entry!$L$699)</f>
        <v/>
      </c>
      <c r="AK696" t="str">
        <f>IF([3]Entry!$M$699="","",[3]Entry!$M$699)</f>
        <v/>
      </c>
      <c r="AL696" t="str">
        <f>IF([3]Entry!$N$699="","",[3]Entry!$N$699)</f>
        <v/>
      </c>
      <c r="AM696" t="str">
        <f>IF([3]Entry!$R$699="","",[3]Entry!$R$699)</f>
        <v/>
      </c>
    </row>
    <row r="697" spans="20:39" x14ac:dyDescent="0.2">
      <c r="T697" t="str">
        <f>IF([2]Baskol!$B$700="","",[2]Baskol!$B$700)</f>
        <v/>
      </c>
      <c r="U697" t="str">
        <f>IF([2]Baskol!$C$700="","",[2]Baskol!$C$700)</f>
        <v/>
      </c>
      <c r="V697" t="str">
        <f>IF([2]Baskol!$D$700="","",[2]Baskol!$D$700)</f>
        <v/>
      </c>
      <c r="W697" t="str">
        <f>IF([2]Baskol!$E$700="","",[2]Baskol!$E$700)</f>
        <v/>
      </c>
      <c r="X697" t="str">
        <f>IF([2]Baskol!$G$700="","",[2]Baskol!$G$700)</f>
        <v/>
      </c>
      <c r="Y697" t="str">
        <f>IF([2]Baskol!$I$700="","",[2]Baskol!$I$700)</f>
        <v/>
      </c>
      <c r="Z697" t="str">
        <f>IF([2]Baskol!$J$700="","",[2]Baskol!$J$700)</f>
        <v/>
      </c>
      <c r="AA697" t="str">
        <f>IF([2]Baskol!$K$700="","",[2]Baskol!$K$700)</f>
        <v/>
      </c>
      <c r="AB697" t="str">
        <f>IF([2]Baskol!$L$700="","",[2]Baskol!$L$700)</f>
        <v/>
      </c>
      <c r="AC697" t="str">
        <f>IF([2]Baskol!$N$700="","",[2]Baskol!$N$700)</f>
        <v/>
      </c>
      <c r="AD697" t="str">
        <f>IF([2]Baskol!$O$700="","",[2]Baskol!$O$700)</f>
        <v/>
      </c>
      <c r="AE697" t="str">
        <f>IF([3]Entry!$C$700="","",[3]Entry!$C$700)</f>
        <v/>
      </c>
      <c r="AF697" t="str">
        <f>IF([3]Entry!$D$700="","",[3]Entry!$D$700)</f>
        <v/>
      </c>
      <c r="AG697" t="str">
        <f>IF([3]Entry!$E$700="","",[3]Entry!$E$700)</f>
        <v/>
      </c>
      <c r="AH697" t="str">
        <f>IF([3]Entry!$G$700="","",[3]Entry!$G$700)</f>
        <v/>
      </c>
      <c r="AI697" t="str">
        <f>IF([3]Entry!$K$700="","",[3]Entry!$K$700)</f>
        <v/>
      </c>
      <c r="AJ697" t="str">
        <f>IF([3]Entry!$L$700="","",[3]Entry!$L$700)</f>
        <v/>
      </c>
      <c r="AK697" t="str">
        <f>IF([3]Entry!$M$700="","",[3]Entry!$M$700)</f>
        <v/>
      </c>
      <c r="AL697" t="str">
        <f>IF([3]Entry!$N$700="","",[3]Entry!$N$700)</f>
        <v/>
      </c>
      <c r="AM697" t="str">
        <f>IF([3]Entry!$R$700="","",[3]Entry!$R$700)</f>
        <v/>
      </c>
    </row>
    <row r="698" spans="20:39" x14ac:dyDescent="0.2">
      <c r="T698" t="str">
        <f>IF([2]Baskol!$B$701="","",[2]Baskol!$B$701)</f>
        <v/>
      </c>
      <c r="U698" t="str">
        <f>IF([2]Baskol!$C$701="","",[2]Baskol!$C$701)</f>
        <v/>
      </c>
      <c r="V698" t="str">
        <f>IF([2]Baskol!$D$701="","",[2]Baskol!$D$701)</f>
        <v/>
      </c>
      <c r="W698" t="str">
        <f>IF([2]Baskol!$E$701="","",[2]Baskol!$E$701)</f>
        <v/>
      </c>
      <c r="X698" t="str">
        <f>IF([2]Baskol!$G$701="","",[2]Baskol!$G$701)</f>
        <v/>
      </c>
      <c r="Y698" t="str">
        <f>IF([2]Baskol!$I$701="","",[2]Baskol!$I$701)</f>
        <v/>
      </c>
      <c r="Z698" t="str">
        <f>IF([2]Baskol!$J$701="","",[2]Baskol!$J$701)</f>
        <v/>
      </c>
      <c r="AA698" t="str">
        <f>IF([2]Baskol!$K$701="","",[2]Baskol!$K$701)</f>
        <v/>
      </c>
      <c r="AB698" t="str">
        <f>IF([2]Baskol!$L$701="","",[2]Baskol!$L$701)</f>
        <v/>
      </c>
      <c r="AC698" t="str">
        <f>IF([2]Baskol!$N$701="","",[2]Baskol!$N$701)</f>
        <v/>
      </c>
      <c r="AD698" t="str">
        <f>IF([2]Baskol!$O$701="","",[2]Baskol!$O$701)</f>
        <v/>
      </c>
      <c r="AE698" t="str">
        <f>IF([3]Entry!$C$701="","",[3]Entry!$C$701)</f>
        <v/>
      </c>
      <c r="AF698" t="str">
        <f>IF([3]Entry!$D$701="","",[3]Entry!$D$701)</f>
        <v/>
      </c>
      <c r="AG698" t="str">
        <f>IF([3]Entry!$E$701="","",[3]Entry!$E$701)</f>
        <v/>
      </c>
      <c r="AH698" t="str">
        <f>IF([3]Entry!$G$701="","",[3]Entry!$G$701)</f>
        <v/>
      </c>
      <c r="AI698" t="str">
        <f>IF([3]Entry!$K$701="","",[3]Entry!$K$701)</f>
        <v/>
      </c>
      <c r="AJ698" t="str">
        <f>IF([3]Entry!$L$701="","",[3]Entry!$L$701)</f>
        <v/>
      </c>
      <c r="AK698" t="str">
        <f>IF([3]Entry!$M$701="","",[3]Entry!$M$701)</f>
        <v/>
      </c>
      <c r="AL698" t="str">
        <f>IF([3]Entry!$N$701="","",[3]Entry!$N$701)</f>
        <v/>
      </c>
      <c r="AM698" t="str">
        <f>IF([3]Entry!$R$701="","",[3]Entry!$R$701)</f>
        <v/>
      </c>
    </row>
    <row r="699" spans="20:39" x14ac:dyDescent="0.2">
      <c r="T699" t="str">
        <f>IF([2]Baskol!$B$702="","",[2]Baskol!$B$702)</f>
        <v/>
      </c>
      <c r="U699" t="str">
        <f>IF([2]Baskol!$C$702="","",[2]Baskol!$C$702)</f>
        <v/>
      </c>
      <c r="V699" t="str">
        <f>IF([2]Baskol!$D$702="","",[2]Baskol!$D$702)</f>
        <v/>
      </c>
      <c r="W699" t="str">
        <f>IF([2]Baskol!$E$702="","",[2]Baskol!$E$702)</f>
        <v/>
      </c>
      <c r="X699" t="str">
        <f>IF([2]Baskol!$G$702="","",[2]Baskol!$G$702)</f>
        <v/>
      </c>
      <c r="Y699" t="str">
        <f>IF([2]Baskol!$I$702="","",[2]Baskol!$I$702)</f>
        <v/>
      </c>
      <c r="Z699" t="str">
        <f>IF([2]Baskol!$J$702="","",[2]Baskol!$J$702)</f>
        <v/>
      </c>
      <c r="AA699" t="str">
        <f>IF([2]Baskol!$K$702="","",[2]Baskol!$K$702)</f>
        <v/>
      </c>
      <c r="AB699" t="str">
        <f>IF([2]Baskol!$L$702="","",[2]Baskol!$L$702)</f>
        <v/>
      </c>
      <c r="AC699" t="str">
        <f>IF([2]Baskol!$N$702="","",[2]Baskol!$N$702)</f>
        <v/>
      </c>
      <c r="AD699" t="str">
        <f>IF([2]Baskol!$O$702="","",[2]Baskol!$O$702)</f>
        <v/>
      </c>
      <c r="AE699" t="str">
        <f>IF([3]Entry!$C$702="","",[3]Entry!$C$702)</f>
        <v/>
      </c>
      <c r="AF699" t="str">
        <f>IF([3]Entry!$D$702="","",[3]Entry!$D$702)</f>
        <v/>
      </c>
      <c r="AG699" t="str">
        <f>IF([3]Entry!$E$702="","",[3]Entry!$E$702)</f>
        <v/>
      </c>
      <c r="AH699" t="str">
        <f>IF([3]Entry!$G$702="","",[3]Entry!$G$702)</f>
        <v/>
      </c>
      <c r="AI699" t="str">
        <f>IF([3]Entry!$K$702="","",[3]Entry!$K$702)</f>
        <v/>
      </c>
      <c r="AJ699" t="str">
        <f>IF([3]Entry!$L$702="","",[3]Entry!$L$702)</f>
        <v/>
      </c>
      <c r="AK699" t="str">
        <f>IF([3]Entry!$M$702="","",[3]Entry!$M$702)</f>
        <v/>
      </c>
      <c r="AL699" t="str">
        <f>IF([3]Entry!$N$702="","",[3]Entry!$N$702)</f>
        <v/>
      </c>
      <c r="AM699" t="str">
        <f>IF([3]Entry!$R$702="","",[3]Entry!$R$702)</f>
        <v/>
      </c>
    </row>
    <row r="700" spans="20:39" x14ac:dyDescent="0.2">
      <c r="T700" t="str">
        <f>IF([2]Baskol!$B$703="","",[2]Baskol!$B$703)</f>
        <v/>
      </c>
      <c r="U700" t="str">
        <f>IF([2]Baskol!$C$703="","",[2]Baskol!$C$703)</f>
        <v/>
      </c>
      <c r="V700" t="str">
        <f>IF([2]Baskol!$D$703="","",[2]Baskol!$D$703)</f>
        <v/>
      </c>
      <c r="W700" t="str">
        <f>IF([2]Baskol!$E$703="","",[2]Baskol!$E$703)</f>
        <v/>
      </c>
      <c r="X700" t="str">
        <f>IF([2]Baskol!$G$703="","",[2]Baskol!$G$703)</f>
        <v/>
      </c>
      <c r="Y700" t="str">
        <f>IF([2]Baskol!$I$703="","",[2]Baskol!$I$703)</f>
        <v/>
      </c>
      <c r="Z700" t="str">
        <f>IF([2]Baskol!$J$703="","",[2]Baskol!$J$703)</f>
        <v/>
      </c>
      <c r="AA700" t="str">
        <f>IF([2]Baskol!$K$703="","",[2]Baskol!$K$703)</f>
        <v/>
      </c>
      <c r="AB700" t="str">
        <f>IF([2]Baskol!$L$703="","",[2]Baskol!$L$703)</f>
        <v/>
      </c>
      <c r="AC700" t="str">
        <f>IF([2]Baskol!$N$703="","",[2]Baskol!$N$703)</f>
        <v/>
      </c>
      <c r="AD700" t="str">
        <f>IF([2]Baskol!$O$703="","",[2]Baskol!$O$703)</f>
        <v/>
      </c>
      <c r="AE700" t="str">
        <f>IF([3]Entry!$C$703="","",[3]Entry!$C$703)</f>
        <v/>
      </c>
      <c r="AF700" t="str">
        <f>IF([3]Entry!$D$703="","",[3]Entry!$D$703)</f>
        <v/>
      </c>
      <c r="AG700" t="str">
        <f>IF([3]Entry!$E$703="","",[3]Entry!$E$703)</f>
        <v/>
      </c>
      <c r="AH700" t="str">
        <f>IF([3]Entry!$G$703="","",[3]Entry!$G$703)</f>
        <v/>
      </c>
      <c r="AI700" t="str">
        <f>IF([3]Entry!$K$703="","",[3]Entry!$K$703)</f>
        <v/>
      </c>
      <c r="AJ700" t="str">
        <f>IF([3]Entry!$L$703="","",[3]Entry!$L$703)</f>
        <v/>
      </c>
      <c r="AK700" t="str">
        <f>IF([3]Entry!$M$703="","",[3]Entry!$M$703)</f>
        <v/>
      </c>
      <c r="AL700" t="str">
        <f>IF([3]Entry!$N$703="","",[3]Entry!$N$703)</f>
        <v/>
      </c>
      <c r="AM700" t="str">
        <f>IF([3]Entry!$R$703="","",[3]Entry!$R$703)</f>
        <v/>
      </c>
    </row>
    <row r="701" spans="20:39" x14ac:dyDescent="0.2">
      <c r="T701" t="str">
        <f>IF([2]Baskol!$B$704="","",[2]Baskol!$B$704)</f>
        <v/>
      </c>
      <c r="U701" t="str">
        <f>IF([2]Baskol!$C$704="","",[2]Baskol!$C$704)</f>
        <v/>
      </c>
      <c r="V701" t="str">
        <f>IF([2]Baskol!$D$704="","",[2]Baskol!$D$704)</f>
        <v/>
      </c>
      <c r="W701" t="str">
        <f>IF([2]Baskol!$E$704="","",[2]Baskol!$E$704)</f>
        <v/>
      </c>
      <c r="X701" t="str">
        <f>IF([2]Baskol!$G$704="","",[2]Baskol!$G$704)</f>
        <v/>
      </c>
      <c r="Y701" t="str">
        <f>IF([2]Baskol!$I$704="","",[2]Baskol!$I$704)</f>
        <v/>
      </c>
      <c r="Z701" t="str">
        <f>IF([2]Baskol!$J$704="","",[2]Baskol!$J$704)</f>
        <v/>
      </c>
      <c r="AA701" t="str">
        <f>IF([2]Baskol!$K$704="","",[2]Baskol!$K$704)</f>
        <v/>
      </c>
      <c r="AB701" t="str">
        <f>IF([2]Baskol!$L$704="","",[2]Baskol!$L$704)</f>
        <v/>
      </c>
      <c r="AC701" t="str">
        <f>IF([2]Baskol!$N$704="","",[2]Baskol!$N$704)</f>
        <v/>
      </c>
      <c r="AD701" t="str">
        <f>IF([2]Baskol!$O$704="","",[2]Baskol!$O$704)</f>
        <v/>
      </c>
      <c r="AE701" t="str">
        <f>IF([3]Entry!$C$704="","",[3]Entry!$C$704)</f>
        <v/>
      </c>
      <c r="AF701" t="str">
        <f>IF([3]Entry!$D$704="","",[3]Entry!$D$704)</f>
        <v/>
      </c>
      <c r="AG701" t="str">
        <f>IF([3]Entry!$E$704="","",[3]Entry!$E$704)</f>
        <v/>
      </c>
      <c r="AH701" t="str">
        <f>IF([3]Entry!$G$704="","",[3]Entry!$G$704)</f>
        <v/>
      </c>
      <c r="AI701" t="str">
        <f>IF([3]Entry!$K$704="","",[3]Entry!$K$704)</f>
        <v/>
      </c>
      <c r="AJ701" t="str">
        <f>IF([3]Entry!$L$704="","",[3]Entry!$L$704)</f>
        <v/>
      </c>
      <c r="AK701" t="str">
        <f>IF([3]Entry!$M$704="","",[3]Entry!$M$704)</f>
        <v/>
      </c>
      <c r="AL701" t="str">
        <f>IF([3]Entry!$N$704="","",[3]Entry!$N$704)</f>
        <v/>
      </c>
      <c r="AM701" t="str">
        <f>IF([3]Entry!$R$704="","",[3]Entry!$R$704)</f>
        <v/>
      </c>
    </row>
    <row r="702" spans="20:39" x14ac:dyDescent="0.2">
      <c r="T702" t="str">
        <f>IF([2]Baskol!$B$705="","",[2]Baskol!$B$705)</f>
        <v/>
      </c>
      <c r="U702" t="str">
        <f>IF([2]Baskol!$C$705="","",[2]Baskol!$C$705)</f>
        <v/>
      </c>
      <c r="V702" t="str">
        <f>IF([2]Baskol!$D$705="","",[2]Baskol!$D$705)</f>
        <v/>
      </c>
      <c r="W702" t="str">
        <f>IF([2]Baskol!$E$705="","",[2]Baskol!$E$705)</f>
        <v/>
      </c>
      <c r="X702" t="str">
        <f>IF([2]Baskol!$G$705="","",[2]Baskol!$G$705)</f>
        <v/>
      </c>
      <c r="Y702" t="str">
        <f>IF([2]Baskol!$I$705="","",[2]Baskol!$I$705)</f>
        <v/>
      </c>
      <c r="Z702" t="str">
        <f>IF([2]Baskol!$J$705="","",[2]Baskol!$J$705)</f>
        <v/>
      </c>
      <c r="AA702" t="str">
        <f>IF([2]Baskol!$K$705="","",[2]Baskol!$K$705)</f>
        <v/>
      </c>
      <c r="AB702" t="str">
        <f>IF([2]Baskol!$L$705="","",[2]Baskol!$L$705)</f>
        <v/>
      </c>
      <c r="AC702" t="str">
        <f>IF([2]Baskol!$N$705="","",[2]Baskol!$N$705)</f>
        <v/>
      </c>
      <c r="AD702" t="str">
        <f>IF([2]Baskol!$O$705="","",[2]Baskol!$O$705)</f>
        <v/>
      </c>
      <c r="AE702" t="str">
        <f>IF([3]Entry!$C$705="","",[3]Entry!$C$705)</f>
        <v/>
      </c>
      <c r="AF702" t="str">
        <f>IF([3]Entry!$D$705="","",[3]Entry!$D$705)</f>
        <v/>
      </c>
      <c r="AG702" t="str">
        <f>IF([3]Entry!$E$705="","",[3]Entry!$E$705)</f>
        <v/>
      </c>
      <c r="AH702" t="str">
        <f>IF([3]Entry!$G$705="","",[3]Entry!$G$705)</f>
        <v/>
      </c>
      <c r="AI702" t="str">
        <f>IF([3]Entry!$K$705="","",[3]Entry!$K$705)</f>
        <v/>
      </c>
      <c r="AJ702" t="str">
        <f>IF([3]Entry!$L$705="","",[3]Entry!$L$705)</f>
        <v/>
      </c>
      <c r="AK702" t="str">
        <f>IF([3]Entry!$M$705="","",[3]Entry!$M$705)</f>
        <v/>
      </c>
      <c r="AL702" t="str">
        <f>IF([3]Entry!$N$705="","",[3]Entry!$N$705)</f>
        <v/>
      </c>
      <c r="AM702" t="str">
        <f>IF([3]Entry!$R$705="","",[3]Entry!$R$705)</f>
        <v/>
      </c>
    </row>
    <row r="703" spans="20:39" x14ac:dyDescent="0.2">
      <c r="T703" t="str">
        <f>IF([2]Baskol!$B$706="","",[2]Baskol!$B$706)</f>
        <v/>
      </c>
      <c r="U703" t="str">
        <f>IF([2]Baskol!$C$706="","",[2]Baskol!$C$706)</f>
        <v/>
      </c>
      <c r="V703" t="str">
        <f>IF([2]Baskol!$D$706="","",[2]Baskol!$D$706)</f>
        <v/>
      </c>
      <c r="W703" t="str">
        <f>IF([2]Baskol!$E$706="","",[2]Baskol!$E$706)</f>
        <v/>
      </c>
      <c r="X703" t="str">
        <f>IF([2]Baskol!$G$706="","",[2]Baskol!$G$706)</f>
        <v/>
      </c>
      <c r="Y703" t="str">
        <f>IF([2]Baskol!$I$706="","",[2]Baskol!$I$706)</f>
        <v/>
      </c>
      <c r="Z703" t="str">
        <f>IF([2]Baskol!$J$706="","",[2]Baskol!$J$706)</f>
        <v/>
      </c>
      <c r="AA703" t="str">
        <f>IF([2]Baskol!$K$706="","",[2]Baskol!$K$706)</f>
        <v/>
      </c>
      <c r="AB703" t="str">
        <f>IF([2]Baskol!$L$706="","",[2]Baskol!$L$706)</f>
        <v/>
      </c>
      <c r="AC703" t="str">
        <f>IF([2]Baskol!$N$706="","",[2]Baskol!$N$706)</f>
        <v/>
      </c>
      <c r="AD703" t="str">
        <f>IF([2]Baskol!$O$706="","",[2]Baskol!$O$706)</f>
        <v/>
      </c>
      <c r="AE703" t="str">
        <f>IF([3]Entry!$C$706="","",[3]Entry!$C$706)</f>
        <v/>
      </c>
      <c r="AF703" t="str">
        <f>IF([3]Entry!$D$706="","",[3]Entry!$D$706)</f>
        <v/>
      </c>
      <c r="AG703" t="str">
        <f>IF([3]Entry!$E$706="","",[3]Entry!$E$706)</f>
        <v/>
      </c>
      <c r="AH703" t="str">
        <f>IF([3]Entry!$G$706="","",[3]Entry!$G$706)</f>
        <v/>
      </c>
      <c r="AI703" t="str">
        <f>IF([3]Entry!$K$706="","",[3]Entry!$K$706)</f>
        <v/>
      </c>
      <c r="AJ703" t="str">
        <f>IF([3]Entry!$L$706="","",[3]Entry!$L$706)</f>
        <v/>
      </c>
      <c r="AK703" t="str">
        <f>IF([3]Entry!$M$706="","",[3]Entry!$M$706)</f>
        <v/>
      </c>
      <c r="AL703" t="str">
        <f>IF([3]Entry!$N$706="","",[3]Entry!$N$706)</f>
        <v/>
      </c>
      <c r="AM703" t="str">
        <f>IF([3]Entry!$R$706="","",[3]Entry!$R$706)</f>
        <v/>
      </c>
    </row>
    <row r="704" spans="20:39" x14ac:dyDescent="0.2">
      <c r="T704" t="str">
        <f>IF([2]Baskol!$B$707="","",[2]Baskol!$B$707)</f>
        <v/>
      </c>
      <c r="U704" t="str">
        <f>IF([2]Baskol!$C$707="","",[2]Baskol!$C$707)</f>
        <v/>
      </c>
      <c r="V704" t="str">
        <f>IF([2]Baskol!$D$707="","",[2]Baskol!$D$707)</f>
        <v/>
      </c>
      <c r="W704" t="str">
        <f>IF([2]Baskol!$E$707="","",[2]Baskol!$E$707)</f>
        <v/>
      </c>
      <c r="X704" t="str">
        <f>IF([2]Baskol!$G$707="","",[2]Baskol!$G$707)</f>
        <v/>
      </c>
      <c r="Y704" t="str">
        <f>IF([2]Baskol!$I$707="","",[2]Baskol!$I$707)</f>
        <v/>
      </c>
      <c r="Z704" t="str">
        <f>IF([2]Baskol!$J$707="","",[2]Baskol!$J$707)</f>
        <v/>
      </c>
      <c r="AA704" t="str">
        <f>IF([2]Baskol!$K$707="","",[2]Baskol!$K$707)</f>
        <v/>
      </c>
      <c r="AB704" t="str">
        <f>IF([2]Baskol!$L$707="","",[2]Baskol!$L$707)</f>
        <v/>
      </c>
      <c r="AC704" t="str">
        <f>IF([2]Baskol!$N$707="","",[2]Baskol!$N$707)</f>
        <v/>
      </c>
      <c r="AD704" t="str">
        <f>IF([2]Baskol!$O$707="","",[2]Baskol!$O$707)</f>
        <v/>
      </c>
      <c r="AE704" t="str">
        <f>IF([3]Entry!$C$707="","",[3]Entry!$C$707)</f>
        <v/>
      </c>
      <c r="AF704" t="str">
        <f>IF([3]Entry!$D$707="","",[3]Entry!$D$707)</f>
        <v/>
      </c>
      <c r="AG704" t="str">
        <f>IF([3]Entry!$E$707="","",[3]Entry!$E$707)</f>
        <v/>
      </c>
      <c r="AH704" t="str">
        <f>IF([3]Entry!$G$707="","",[3]Entry!$G$707)</f>
        <v/>
      </c>
      <c r="AI704" t="str">
        <f>IF([3]Entry!$K$707="","",[3]Entry!$K$707)</f>
        <v/>
      </c>
      <c r="AJ704" t="str">
        <f>IF([3]Entry!$L$707="","",[3]Entry!$L$707)</f>
        <v/>
      </c>
      <c r="AK704" t="str">
        <f>IF([3]Entry!$M$707="","",[3]Entry!$M$707)</f>
        <v/>
      </c>
      <c r="AL704" t="str">
        <f>IF([3]Entry!$N$707="","",[3]Entry!$N$707)</f>
        <v/>
      </c>
      <c r="AM704" t="str">
        <f>IF([3]Entry!$R$707="","",[3]Entry!$R$707)</f>
        <v/>
      </c>
    </row>
    <row r="705" spans="20:39" x14ac:dyDescent="0.2">
      <c r="T705" t="str">
        <f>IF([2]Baskol!$B$708="","",[2]Baskol!$B$708)</f>
        <v/>
      </c>
      <c r="U705" t="str">
        <f>IF([2]Baskol!$C$708="","",[2]Baskol!$C$708)</f>
        <v/>
      </c>
      <c r="V705" t="str">
        <f>IF([2]Baskol!$D$708="","",[2]Baskol!$D$708)</f>
        <v/>
      </c>
      <c r="W705" t="str">
        <f>IF([2]Baskol!$E$708="","",[2]Baskol!$E$708)</f>
        <v/>
      </c>
      <c r="X705" t="str">
        <f>IF([2]Baskol!$G$708="","",[2]Baskol!$G$708)</f>
        <v/>
      </c>
      <c r="Y705" t="str">
        <f>IF([2]Baskol!$I$708="","",[2]Baskol!$I$708)</f>
        <v/>
      </c>
      <c r="Z705" t="str">
        <f>IF([2]Baskol!$J$708="","",[2]Baskol!$J$708)</f>
        <v/>
      </c>
      <c r="AA705" t="str">
        <f>IF([2]Baskol!$K$708="","",[2]Baskol!$K$708)</f>
        <v/>
      </c>
      <c r="AB705" t="str">
        <f>IF([2]Baskol!$L$708="","",[2]Baskol!$L$708)</f>
        <v/>
      </c>
      <c r="AC705" t="str">
        <f>IF([2]Baskol!$N$708="","",[2]Baskol!$N$708)</f>
        <v/>
      </c>
      <c r="AD705" t="str">
        <f>IF([2]Baskol!$O$708="","",[2]Baskol!$O$708)</f>
        <v/>
      </c>
      <c r="AE705" t="str">
        <f>IF([3]Entry!$C$708="","",[3]Entry!$C$708)</f>
        <v/>
      </c>
      <c r="AF705" t="str">
        <f>IF([3]Entry!$D$708="","",[3]Entry!$D$708)</f>
        <v/>
      </c>
      <c r="AG705" t="str">
        <f>IF([3]Entry!$E$708="","",[3]Entry!$E$708)</f>
        <v/>
      </c>
      <c r="AH705" t="str">
        <f>IF([3]Entry!$G$708="","",[3]Entry!$G$708)</f>
        <v/>
      </c>
      <c r="AI705" t="str">
        <f>IF([3]Entry!$K$708="","",[3]Entry!$K$708)</f>
        <v/>
      </c>
      <c r="AJ705" t="str">
        <f>IF([3]Entry!$L$708="","",[3]Entry!$L$708)</f>
        <v/>
      </c>
      <c r="AK705" t="str">
        <f>IF([3]Entry!$M$708="","",[3]Entry!$M$708)</f>
        <v/>
      </c>
      <c r="AL705" t="str">
        <f>IF([3]Entry!$N$708="","",[3]Entry!$N$708)</f>
        <v/>
      </c>
      <c r="AM705" t="str">
        <f>IF([3]Entry!$R$708="","",[3]Entry!$R$708)</f>
        <v/>
      </c>
    </row>
    <row r="706" spans="20:39" x14ac:dyDescent="0.2">
      <c r="T706" t="str">
        <f>IF([2]Baskol!$B$709="","",[2]Baskol!$B$709)</f>
        <v/>
      </c>
      <c r="U706" t="str">
        <f>IF([2]Baskol!$C$709="","",[2]Baskol!$C$709)</f>
        <v/>
      </c>
      <c r="V706" t="str">
        <f>IF([2]Baskol!$D$709="","",[2]Baskol!$D$709)</f>
        <v/>
      </c>
      <c r="W706" t="str">
        <f>IF([2]Baskol!$E$709="","",[2]Baskol!$E$709)</f>
        <v/>
      </c>
      <c r="X706" t="str">
        <f>IF([2]Baskol!$G$709="","",[2]Baskol!$G$709)</f>
        <v/>
      </c>
      <c r="Y706" t="str">
        <f>IF([2]Baskol!$I$709="","",[2]Baskol!$I$709)</f>
        <v/>
      </c>
      <c r="Z706" t="str">
        <f>IF([2]Baskol!$J$709="","",[2]Baskol!$J$709)</f>
        <v/>
      </c>
      <c r="AA706" t="str">
        <f>IF([2]Baskol!$K$709="","",[2]Baskol!$K$709)</f>
        <v/>
      </c>
      <c r="AB706" t="str">
        <f>IF([2]Baskol!$L$709="","",[2]Baskol!$L$709)</f>
        <v/>
      </c>
      <c r="AC706" t="str">
        <f>IF([2]Baskol!$N$709="","",[2]Baskol!$N$709)</f>
        <v/>
      </c>
      <c r="AD706" t="str">
        <f>IF([2]Baskol!$O$709="","",[2]Baskol!$O$709)</f>
        <v/>
      </c>
      <c r="AE706" t="str">
        <f>IF([3]Entry!$C$709="","",[3]Entry!$C$709)</f>
        <v/>
      </c>
      <c r="AF706" t="str">
        <f>IF([3]Entry!$D$709="","",[3]Entry!$D$709)</f>
        <v/>
      </c>
      <c r="AG706" t="str">
        <f>IF([3]Entry!$E$709="","",[3]Entry!$E$709)</f>
        <v/>
      </c>
      <c r="AH706" t="str">
        <f>IF([3]Entry!$G$709="","",[3]Entry!$G$709)</f>
        <v/>
      </c>
      <c r="AI706" t="str">
        <f>IF([3]Entry!$K$709="","",[3]Entry!$K$709)</f>
        <v/>
      </c>
      <c r="AJ706" t="str">
        <f>IF([3]Entry!$L$709="","",[3]Entry!$L$709)</f>
        <v/>
      </c>
      <c r="AK706" t="str">
        <f>IF([3]Entry!$M$709="","",[3]Entry!$M$709)</f>
        <v/>
      </c>
      <c r="AL706" t="str">
        <f>IF([3]Entry!$N$709="","",[3]Entry!$N$709)</f>
        <v/>
      </c>
      <c r="AM706" t="str">
        <f>IF([3]Entry!$R$709="","",[3]Entry!$R$709)</f>
        <v/>
      </c>
    </row>
    <row r="707" spans="20:39" x14ac:dyDescent="0.2">
      <c r="T707" t="str">
        <f>IF([2]Baskol!$B$710="","",[2]Baskol!$B$710)</f>
        <v/>
      </c>
      <c r="U707" t="str">
        <f>IF([2]Baskol!$C$710="","",[2]Baskol!$C$710)</f>
        <v/>
      </c>
      <c r="V707" t="str">
        <f>IF([2]Baskol!$D$710="","",[2]Baskol!$D$710)</f>
        <v/>
      </c>
      <c r="W707" t="str">
        <f>IF([2]Baskol!$E$710="","",[2]Baskol!$E$710)</f>
        <v/>
      </c>
      <c r="X707" t="str">
        <f>IF([2]Baskol!$G$710="","",[2]Baskol!$G$710)</f>
        <v/>
      </c>
      <c r="Y707" t="str">
        <f>IF([2]Baskol!$I$710="","",[2]Baskol!$I$710)</f>
        <v/>
      </c>
      <c r="Z707" t="str">
        <f>IF([2]Baskol!$J$710="","",[2]Baskol!$J$710)</f>
        <v/>
      </c>
      <c r="AA707" t="str">
        <f>IF([2]Baskol!$K$710="","",[2]Baskol!$K$710)</f>
        <v/>
      </c>
      <c r="AB707" t="str">
        <f>IF([2]Baskol!$L$710="","",[2]Baskol!$L$710)</f>
        <v/>
      </c>
      <c r="AC707" t="str">
        <f>IF([2]Baskol!$N$710="","",[2]Baskol!$N$710)</f>
        <v/>
      </c>
      <c r="AD707" t="str">
        <f>IF([2]Baskol!$O$710="","",[2]Baskol!$O$710)</f>
        <v/>
      </c>
      <c r="AE707" t="str">
        <f>IF([3]Entry!$C$710="","",[3]Entry!$C$710)</f>
        <v/>
      </c>
      <c r="AF707" t="str">
        <f>IF([3]Entry!$D$710="","",[3]Entry!$D$710)</f>
        <v/>
      </c>
      <c r="AG707" t="str">
        <f>IF([3]Entry!$E$710="","",[3]Entry!$E$710)</f>
        <v/>
      </c>
      <c r="AH707" t="str">
        <f>IF([3]Entry!$G$710="","",[3]Entry!$G$710)</f>
        <v/>
      </c>
      <c r="AI707" t="str">
        <f>IF([3]Entry!$K$710="","",[3]Entry!$K$710)</f>
        <v/>
      </c>
      <c r="AJ707" t="str">
        <f>IF([3]Entry!$L$710="","",[3]Entry!$L$710)</f>
        <v/>
      </c>
      <c r="AK707" t="str">
        <f>IF([3]Entry!$M$710="","",[3]Entry!$M$710)</f>
        <v/>
      </c>
      <c r="AL707" t="str">
        <f>IF([3]Entry!$N$710="","",[3]Entry!$N$710)</f>
        <v/>
      </c>
      <c r="AM707" t="str">
        <f>IF([3]Entry!$R$710="","",[3]Entry!$R$710)</f>
        <v/>
      </c>
    </row>
    <row r="708" spans="20:39" x14ac:dyDescent="0.2">
      <c r="T708" t="str">
        <f>IF([2]Baskol!$B$711="","",[2]Baskol!$B$711)</f>
        <v/>
      </c>
      <c r="U708" t="str">
        <f>IF([2]Baskol!$C$711="","",[2]Baskol!$C$711)</f>
        <v/>
      </c>
      <c r="V708" t="str">
        <f>IF([2]Baskol!$D$711="","",[2]Baskol!$D$711)</f>
        <v/>
      </c>
      <c r="W708" t="str">
        <f>IF([2]Baskol!$E$711="","",[2]Baskol!$E$711)</f>
        <v/>
      </c>
      <c r="X708" t="str">
        <f>IF([2]Baskol!$G$711="","",[2]Baskol!$G$711)</f>
        <v/>
      </c>
      <c r="Y708" t="str">
        <f>IF([2]Baskol!$I$711="","",[2]Baskol!$I$711)</f>
        <v/>
      </c>
      <c r="Z708" t="str">
        <f>IF([2]Baskol!$J$711="","",[2]Baskol!$J$711)</f>
        <v/>
      </c>
      <c r="AA708" t="str">
        <f>IF([2]Baskol!$K$711="","",[2]Baskol!$K$711)</f>
        <v/>
      </c>
      <c r="AB708" t="str">
        <f>IF([2]Baskol!$L$711="","",[2]Baskol!$L$711)</f>
        <v/>
      </c>
      <c r="AC708" t="str">
        <f>IF([2]Baskol!$N$711="","",[2]Baskol!$N$711)</f>
        <v/>
      </c>
      <c r="AD708" t="str">
        <f>IF([2]Baskol!$O$711="","",[2]Baskol!$O$711)</f>
        <v/>
      </c>
      <c r="AE708" t="str">
        <f>IF([3]Entry!$C$711="","",[3]Entry!$C$711)</f>
        <v/>
      </c>
      <c r="AF708" t="str">
        <f>IF([3]Entry!$D$711="","",[3]Entry!$D$711)</f>
        <v/>
      </c>
      <c r="AG708" t="str">
        <f>IF([3]Entry!$E$711="","",[3]Entry!$E$711)</f>
        <v/>
      </c>
      <c r="AH708" t="str">
        <f>IF([3]Entry!$G$711="","",[3]Entry!$G$711)</f>
        <v/>
      </c>
      <c r="AI708" t="str">
        <f>IF([3]Entry!$K$711="","",[3]Entry!$K$711)</f>
        <v/>
      </c>
      <c r="AJ708" t="str">
        <f>IF([3]Entry!$L$711="","",[3]Entry!$L$711)</f>
        <v/>
      </c>
      <c r="AK708" t="str">
        <f>IF([3]Entry!$M$711="","",[3]Entry!$M$711)</f>
        <v/>
      </c>
      <c r="AL708" t="str">
        <f>IF([3]Entry!$N$711="","",[3]Entry!$N$711)</f>
        <v/>
      </c>
      <c r="AM708" t="str">
        <f>IF([3]Entry!$R$711="","",[3]Entry!$R$711)</f>
        <v/>
      </c>
    </row>
    <row r="709" spans="20:39" x14ac:dyDescent="0.2">
      <c r="T709" t="str">
        <f>IF([2]Baskol!$B$712="","",[2]Baskol!$B$712)</f>
        <v/>
      </c>
      <c r="U709" t="str">
        <f>IF([2]Baskol!$C$712="","",[2]Baskol!$C$712)</f>
        <v/>
      </c>
      <c r="V709" t="str">
        <f>IF([2]Baskol!$D$712="","",[2]Baskol!$D$712)</f>
        <v/>
      </c>
      <c r="W709" t="str">
        <f>IF([2]Baskol!$E$712="","",[2]Baskol!$E$712)</f>
        <v/>
      </c>
      <c r="X709" t="str">
        <f>IF([2]Baskol!$G$712="","",[2]Baskol!$G$712)</f>
        <v/>
      </c>
      <c r="Y709" t="str">
        <f>IF([2]Baskol!$I$712="","",[2]Baskol!$I$712)</f>
        <v/>
      </c>
      <c r="Z709" t="str">
        <f>IF([2]Baskol!$J$712="","",[2]Baskol!$J$712)</f>
        <v/>
      </c>
      <c r="AA709" t="str">
        <f>IF([2]Baskol!$K$712="","",[2]Baskol!$K$712)</f>
        <v/>
      </c>
      <c r="AB709" t="str">
        <f>IF([2]Baskol!$L$712="","",[2]Baskol!$L$712)</f>
        <v/>
      </c>
      <c r="AC709" t="str">
        <f>IF([2]Baskol!$N$712="","",[2]Baskol!$N$712)</f>
        <v/>
      </c>
      <c r="AD709" t="str">
        <f>IF([2]Baskol!$O$712="","",[2]Baskol!$O$712)</f>
        <v/>
      </c>
      <c r="AE709" t="str">
        <f>IF([3]Entry!$C$712="","",[3]Entry!$C$712)</f>
        <v/>
      </c>
      <c r="AF709" t="str">
        <f>IF([3]Entry!$D$712="","",[3]Entry!$D$712)</f>
        <v/>
      </c>
      <c r="AG709" t="str">
        <f>IF([3]Entry!$E$712="","",[3]Entry!$E$712)</f>
        <v/>
      </c>
      <c r="AH709" t="str">
        <f>IF([3]Entry!$G$712="","",[3]Entry!$G$712)</f>
        <v/>
      </c>
      <c r="AI709" t="str">
        <f>IF([3]Entry!$K$712="","",[3]Entry!$K$712)</f>
        <v/>
      </c>
      <c r="AJ709" t="str">
        <f>IF([3]Entry!$L$712="","",[3]Entry!$L$712)</f>
        <v/>
      </c>
      <c r="AK709" t="str">
        <f>IF([3]Entry!$M$712="","",[3]Entry!$M$712)</f>
        <v/>
      </c>
      <c r="AL709" t="str">
        <f>IF([3]Entry!$N$712="","",[3]Entry!$N$712)</f>
        <v/>
      </c>
      <c r="AM709" t="str">
        <f>IF([3]Entry!$R$712="","",[3]Entry!$R$712)</f>
        <v/>
      </c>
    </row>
    <row r="710" spans="20:39" x14ac:dyDescent="0.2">
      <c r="T710" t="str">
        <f>IF([2]Baskol!$B$713="","",[2]Baskol!$B$713)</f>
        <v/>
      </c>
      <c r="U710" t="str">
        <f>IF([2]Baskol!$C$713="","",[2]Baskol!$C$713)</f>
        <v/>
      </c>
      <c r="V710" t="str">
        <f>IF([2]Baskol!$D$713="","",[2]Baskol!$D$713)</f>
        <v/>
      </c>
      <c r="W710" t="str">
        <f>IF([2]Baskol!$E$713="","",[2]Baskol!$E$713)</f>
        <v/>
      </c>
      <c r="X710" t="str">
        <f>IF([2]Baskol!$G$713="","",[2]Baskol!$G$713)</f>
        <v/>
      </c>
      <c r="Y710" t="str">
        <f>IF([2]Baskol!$I$713="","",[2]Baskol!$I$713)</f>
        <v/>
      </c>
      <c r="Z710" t="str">
        <f>IF([2]Baskol!$J$713="","",[2]Baskol!$J$713)</f>
        <v/>
      </c>
      <c r="AA710" t="str">
        <f>IF([2]Baskol!$K$713="","",[2]Baskol!$K$713)</f>
        <v/>
      </c>
      <c r="AB710" t="str">
        <f>IF([2]Baskol!$L$713="","",[2]Baskol!$L$713)</f>
        <v/>
      </c>
      <c r="AC710" t="str">
        <f>IF([2]Baskol!$N$713="","",[2]Baskol!$N$713)</f>
        <v/>
      </c>
      <c r="AD710" t="str">
        <f>IF([2]Baskol!$O$713="","",[2]Baskol!$O$713)</f>
        <v/>
      </c>
      <c r="AE710" t="str">
        <f>IF([3]Entry!$C$713="","",[3]Entry!$C$713)</f>
        <v/>
      </c>
      <c r="AF710" t="str">
        <f>IF([3]Entry!$D$713="","",[3]Entry!$D$713)</f>
        <v/>
      </c>
      <c r="AG710" t="str">
        <f>IF([3]Entry!$E$713="","",[3]Entry!$E$713)</f>
        <v/>
      </c>
      <c r="AH710" t="str">
        <f>IF([3]Entry!$G$713="","",[3]Entry!$G$713)</f>
        <v/>
      </c>
      <c r="AI710" t="str">
        <f>IF([3]Entry!$K$713="","",[3]Entry!$K$713)</f>
        <v/>
      </c>
      <c r="AJ710" t="str">
        <f>IF([3]Entry!$L$713="","",[3]Entry!$L$713)</f>
        <v/>
      </c>
      <c r="AK710" t="str">
        <f>IF([3]Entry!$M$713="","",[3]Entry!$M$713)</f>
        <v/>
      </c>
      <c r="AL710" t="str">
        <f>IF([3]Entry!$N$713="","",[3]Entry!$N$713)</f>
        <v/>
      </c>
      <c r="AM710" t="str">
        <f>IF([3]Entry!$R$713="","",[3]Entry!$R$713)</f>
        <v/>
      </c>
    </row>
    <row r="711" spans="20:39" x14ac:dyDescent="0.2">
      <c r="T711" t="str">
        <f>IF([2]Baskol!$B$714="","",[2]Baskol!$B$714)</f>
        <v/>
      </c>
      <c r="U711" t="str">
        <f>IF([2]Baskol!$C$714="","",[2]Baskol!$C$714)</f>
        <v/>
      </c>
      <c r="V711" t="str">
        <f>IF([2]Baskol!$D$714="","",[2]Baskol!$D$714)</f>
        <v/>
      </c>
      <c r="W711" t="str">
        <f>IF([2]Baskol!$E$714="","",[2]Baskol!$E$714)</f>
        <v/>
      </c>
      <c r="X711" t="str">
        <f>IF([2]Baskol!$G$714="","",[2]Baskol!$G$714)</f>
        <v/>
      </c>
      <c r="Y711" t="str">
        <f>IF([2]Baskol!$I$714="","",[2]Baskol!$I$714)</f>
        <v/>
      </c>
      <c r="Z711" t="str">
        <f>IF([2]Baskol!$J$714="","",[2]Baskol!$J$714)</f>
        <v/>
      </c>
      <c r="AA711" t="str">
        <f>IF([2]Baskol!$K$714="","",[2]Baskol!$K$714)</f>
        <v/>
      </c>
      <c r="AB711" t="str">
        <f>IF([2]Baskol!$L$714="","",[2]Baskol!$L$714)</f>
        <v/>
      </c>
      <c r="AC711" t="str">
        <f>IF([2]Baskol!$N$714="","",[2]Baskol!$N$714)</f>
        <v/>
      </c>
      <c r="AD711" t="str">
        <f>IF([2]Baskol!$O$714="","",[2]Baskol!$O$714)</f>
        <v/>
      </c>
      <c r="AE711" t="str">
        <f>IF([3]Entry!$C$714="","",[3]Entry!$C$714)</f>
        <v/>
      </c>
      <c r="AF711" t="str">
        <f>IF([3]Entry!$D$714="","",[3]Entry!$D$714)</f>
        <v/>
      </c>
      <c r="AG711" t="str">
        <f>IF([3]Entry!$E$714="","",[3]Entry!$E$714)</f>
        <v/>
      </c>
      <c r="AH711" t="str">
        <f>IF([3]Entry!$G$714="","",[3]Entry!$G$714)</f>
        <v/>
      </c>
      <c r="AI711" t="str">
        <f>IF([3]Entry!$K$714="","",[3]Entry!$K$714)</f>
        <v/>
      </c>
      <c r="AJ711" t="str">
        <f>IF([3]Entry!$L$714="","",[3]Entry!$L$714)</f>
        <v/>
      </c>
      <c r="AK711" t="str">
        <f>IF([3]Entry!$M$714="","",[3]Entry!$M$714)</f>
        <v/>
      </c>
      <c r="AL711" t="str">
        <f>IF([3]Entry!$N$714="","",[3]Entry!$N$714)</f>
        <v/>
      </c>
      <c r="AM711" t="str">
        <f>IF([3]Entry!$R$714="","",[3]Entry!$R$714)</f>
        <v/>
      </c>
    </row>
    <row r="712" spans="20:39" x14ac:dyDescent="0.2">
      <c r="T712" t="str">
        <f>IF([2]Baskol!$B$715="","",[2]Baskol!$B$715)</f>
        <v/>
      </c>
      <c r="U712" t="str">
        <f>IF([2]Baskol!$C$715="","",[2]Baskol!$C$715)</f>
        <v/>
      </c>
      <c r="V712" t="str">
        <f>IF([2]Baskol!$D$715="","",[2]Baskol!$D$715)</f>
        <v/>
      </c>
      <c r="W712" t="str">
        <f>IF([2]Baskol!$E$715="","",[2]Baskol!$E$715)</f>
        <v/>
      </c>
      <c r="X712" t="str">
        <f>IF([2]Baskol!$G$715="","",[2]Baskol!$G$715)</f>
        <v/>
      </c>
      <c r="Y712" t="str">
        <f>IF([2]Baskol!$I$715="","",[2]Baskol!$I$715)</f>
        <v/>
      </c>
      <c r="Z712" t="str">
        <f>IF([2]Baskol!$J$715="","",[2]Baskol!$J$715)</f>
        <v/>
      </c>
      <c r="AA712" t="str">
        <f>IF([2]Baskol!$K$715="","",[2]Baskol!$K$715)</f>
        <v/>
      </c>
      <c r="AB712" t="str">
        <f>IF([2]Baskol!$L$715="","",[2]Baskol!$L$715)</f>
        <v/>
      </c>
      <c r="AC712" t="str">
        <f>IF([2]Baskol!$N$715="","",[2]Baskol!$N$715)</f>
        <v/>
      </c>
      <c r="AD712" t="str">
        <f>IF([2]Baskol!$O$715="","",[2]Baskol!$O$715)</f>
        <v/>
      </c>
      <c r="AE712" t="str">
        <f>IF([3]Entry!$C$715="","",[3]Entry!$C$715)</f>
        <v/>
      </c>
      <c r="AF712" t="str">
        <f>IF([3]Entry!$D$715="","",[3]Entry!$D$715)</f>
        <v/>
      </c>
      <c r="AG712" t="str">
        <f>IF([3]Entry!$E$715="","",[3]Entry!$E$715)</f>
        <v/>
      </c>
      <c r="AH712" t="str">
        <f>IF([3]Entry!$G$715="","",[3]Entry!$G$715)</f>
        <v/>
      </c>
      <c r="AI712" t="str">
        <f>IF([3]Entry!$K$715="","",[3]Entry!$K$715)</f>
        <v/>
      </c>
      <c r="AJ712" t="str">
        <f>IF([3]Entry!$L$715="","",[3]Entry!$L$715)</f>
        <v/>
      </c>
      <c r="AK712" t="str">
        <f>IF([3]Entry!$M$715="","",[3]Entry!$M$715)</f>
        <v/>
      </c>
      <c r="AL712" t="str">
        <f>IF([3]Entry!$N$715="","",[3]Entry!$N$715)</f>
        <v/>
      </c>
      <c r="AM712" t="str">
        <f>IF([3]Entry!$R$715="","",[3]Entry!$R$715)</f>
        <v/>
      </c>
    </row>
    <row r="713" spans="20:39" x14ac:dyDescent="0.2">
      <c r="T713" t="str">
        <f>IF([2]Baskol!$B$716="","",[2]Baskol!$B$716)</f>
        <v/>
      </c>
      <c r="U713" t="str">
        <f>IF([2]Baskol!$C$716="","",[2]Baskol!$C$716)</f>
        <v/>
      </c>
      <c r="V713" t="str">
        <f>IF([2]Baskol!$D$716="","",[2]Baskol!$D$716)</f>
        <v/>
      </c>
      <c r="W713" t="str">
        <f>IF([2]Baskol!$E$716="","",[2]Baskol!$E$716)</f>
        <v/>
      </c>
      <c r="X713" t="str">
        <f>IF([2]Baskol!$G$716="","",[2]Baskol!$G$716)</f>
        <v/>
      </c>
      <c r="Y713" t="str">
        <f>IF([2]Baskol!$I$716="","",[2]Baskol!$I$716)</f>
        <v/>
      </c>
      <c r="Z713" t="str">
        <f>IF([2]Baskol!$J$716="","",[2]Baskol!$J$716)</f>
        <v/>
      </c>
      <c r="AA713" t="str">
        <f>IF([2]Baskol!$K$716="","",[2]Baskol!$K$716)</f>
        <v/>
      </c>
      <c r="AB713" t="str">
        <f>IF([2]Baskol!$L$716="","",[2]Baskol!$L$716)</f>
        <v/>
      </c>
      <c r="AC713" t="str">
        <f>IF([2]Baskol!$N$716="","",[2]Baskol!$N$716)</f>
        <v/>
      </c>
      <c r="AD713" t="str">
        <f>IF([2]Baskol!$O$716="","",[2]Baskol!$O$716)</f>
        <v/>
      </c>
      <c r="AE713" t="str">
        <f>IF([3]Entry!$C$716="","",[3]Entry!$C$716)</f>
        <v/>
      </c>
      <c r="AF713" t="str">
        <f>IF([3]Entry!$D$716="","",[3]Entry!$D$716)</f>
        <v/>
      </c>
      <c r="AG713" t="str">
        <f>IF([3]Entry!$E$716="","",[3]Entry!$E$716)</f>
        <v/>
      </c>
      <c r="AH713" t="str">
        <f>IF([3]Entry!$G$716="","",[3]Entry!$G$716)</f>
        <v/>
      </c>
      <c r="AI713" t="str">
        <f>IF([3]Entry!$K$716="","",[3]Entry!$K$716)</f>
        <v/>
      </c>
      <c r="AJ713" t="str">
        <f>IF([3]Entry!$L$716="","",[3]Entry!$L$716)</f>
        <v/>
      </c>
      <c r="AK713" t="str">
        <f>IF([3]Entry!$M$716="","",[3]Entry!$M$716)</f>
        <v/>
      </c>
      <c r="AL713" t="str">
        <f>IF([3]Entry!$N$716="","",[3]Entry!$N$716)</f>
        <v/>
      </c>
      <c r="AM713" t="str">
        <f>IF([3]Entry!$R$716="","",[3]Entry!$R$716)</f>
        <v/>
      </c>
    </row>
    <row r="714" spans="20:39" x14ac:dyDescent="0.2">
      <c r="T714" t="str">
        <f>IF([2]Baskol!$B$717="","",[2]Baskol!$B$717)</f>
        <v/>
      </c>
      <c r="U714" t="str">
        <f>IF([2]Baskol!$C$717="","",[2]Baskol!$C$717)</f>
        <v/>
      </c>
      <c r="V714" t="str">
        <f>IF([2]Baskol!$D$717="","",[2]Baskol!$D$717)</f>
        <v/>
      </c>
      <c r="W714" t="str">
        <f>IF([2]Baskol!$E$717="","",[2]Baskol!$E$717)</f>
        <v/>
      </c>
      <c r="X714" t="str">
        <f>IF([2]Baskol!$G$717="","",[2]Baskol!$G$717)</f>
        <v/>
      </c>
      <c r="Y714" t="str">
        <f>IF([2]Baskol!$I$717="","",[2]Baskol!$I$717)</f>
        <v/>
      </c>
      <c r="Z714" t="str">
        <f>IF([2]Baskol!$J$717="","",[2]Baskol!$J$717)</f>
        <v/>
      </c>
      <c r="AA714" t="str">
        <f>IF([2]Baskol!$K$717="","",[2]Baskol!$K$717)</f>
        <v/>
      </c>
      <c r="AB714" t="str">
        <f>IF([2]Baskol!$L$717="","",[2]Baskol!$L$717)</f>
        <v/>
      </c>
      <c r="AC714" t="str">
        <f>IF([2]Baskol!$N$717="","",[2]Baskol!$N$717)</f>
        <v/>
      </c>
      <c r="AD714" t="str">
        <f>IF([2]Baskol!$O$717="","",[2]Baskol!$O$717)</f>
        <v/>
      </c>
      <c r="AE714" t="str">
        <f>IF([3]Entry!$C$717="","",[3]Entry!$C$717)</f>
        <v/>
      </c>
      <c r="AF714" t="str">
        <f>IF([3]Entry!$D$717="","",[3]Entry!$D$717)</f>
        <v/>
      </c>
      <c r="AG714" t="str">
        <f>IF([3]Entry!$E$717="","",[3]Entry!$E$717)</f>
        <v/>
      </c>
      <c r="AH714" t="str">
        <f>IF([3]Entry!$G$717="","",[3]Entry!$G$717)</f>
        <v/>
      </c>
      <c r="AI714" t="str">
        <f>IF([3]Entry!$K$717="","",[3]Entry!$K$717)</f>
        <v/>
      </c>
      <c r="AJ714" t="str">
        <f>IF([3]Entry!$L$717="","",[3]Entry!$L$717)</f>
        <v/>
      </c>
      <c r="AK714" t="str">
        <f>IF([3]Entry!$M$717="","",[3]Entry!$M$717)</f>
        <v/>
      </c>
      <c r="AL714" t="str">
        <f>IF([3]Entry!$N$717="","",[3]Entry!$N$717)</f>
        <v/>
      </c>
      <c r="AM714" t="str">
        <f>IF([3]Entry!$R$717="","",[3]Entry!$R$717)</f>
        <v/>
      </c>
    </row>
    <row r="715" spans="20:39" x14ac:dyDescent="0.2">
      <c r="T715" t="str">
        <f>IF([2]Baskol!$B$718="","",[2]Baskol!$B$718)</f>
        <v/>
      </c>
      <c r="U715" t="str">
        <f>IF([2]Baskol!$C$718="","",[2]Baskol!$C$718)</f>
        <v/>
      </c>
      <c r="V715" t="str">
        <f>IF([2]Baskol!$D$718="","",[2]Baskol!$D$718)</f>
        <v/>
      </c>
      <c r="W715" t="str">
        <f>IF([2]Baskol!$E$718="","",[2]Baskol!$E$718)</f>
        <v/>
      </c>
      <c r="X715" t="str">
        <f>IF([2]Baskol!$G$718="","",[2]Baskol!$G$718)</f>
        <v/>
      </c>
      <c r="Y715" t="str">
        <f>IF([2]Baskol!$I$718="","",[2]Baskol!$I$718)</f>
        <v/>
      </c>
      <c r="Z715" t="str">
        <f>IF([2]Baskol!$J$718="","",[2]Baskol!$J$718)</f>
        <v/>
      </c>
      <c r="AA715" t="str">
        <f>IF([2]Baskol!$K$718="","",[2]Baskol!$K$718)</f>
        <v/>
      </c>
      <c r="AB715" t="str">
        <f>IF([2]Baskol!$L$718="","",[2]Baskol!$L$718)</f>
        <v/>
      </c>
      <c r="AC715" t="str">
        <f>IF([2]Baskol!$N$718="","",[2]Baskol!$N$718)</f>
        <v/>
      </c>
      <c r="AD715" t="str">
        <f>IF([2]Baskol!$O$718="","",[2]Baskol!$O$718)</f>
        <v/>
      </c>
      <c r="AE715" t="str">
        <f>IF([3]Entry!$C$718="","",[3]Entry!$C$718)</f>
        <v/>
      </c>
      <c r="AF715" t="str">
        <f>IF([3]Entry!$D$718="","",[3]Entry!$D$718)</f>
        <v/>
      </c>
      <c r="AG715" t="str">
        <f>IF([3]Entry!$E$718="","",[3]Entry!$E$718)</f>
        <v/>
      </c>
      <c r="AH715" t="str">
        <f>IF([3]Entry!$G$718="","",[3]Entry!$G$718)</f>
        <v/>
      </c>
      <c r="AI715" t="str">
        <f>IF([3]Entry!$K$718="","",[3]Entry!$K$718)</f>
        <v/>
      </c>
      <c r="AJ715" t="str">
        <f>IF([3]Entry!$L$718="","",[3]Entry!$L$718)</f>
        <v/>
      </c>
      <c r="AK715" t="str">
        <f>IF([3]Entry!$M$718="","",[3]Entry!$M$718)</f>
        <v/>
      </c>
      <c r="AL715" t="str">
        <f>IF([3]Entry!$N$718="","",[3]Entry!$N$718)</f>
        <v/>
      </c>
      <c r="AM715" t="str">
        <f>IF([3]Entry!$R$718="","",[3]Entry!$R$718)</f>
        <v/>
      </c>
    </row>
    <row r="716" spans="20:39" x14ac:dyDescent="0.2">
      <c r="T716" t="str">
        <f>IF([2]Baskol!$B$719="","",[2]Baskol!$B$719)</f>
        <v/>
      </c>
      <c r="U716" t="str">
        <f>IF([2]Baskol!$C$719="","",[2]Baskol!$C$719)</f>
        <v/>
      </c>
      <c r="V716" t="str">
        <f>IF([2]Baskol!$D$719="","",[2]Baskol!$D$719)</f>
        <v/>
      </c>
      <c r="W716" t="str">
        <f>IF([2]Baskol!$E$719="","",[2]Baskol!$E$719)</f>
        <v/>
      </c>
      <c r="X716" t="str">
        <f>IF([2]Baskol!$G$719="","",[2]Baskol!$G$719)</f>
        <v/>
      </c>
      <c r="Y716" t="str">
        <f>IF([2]Baskol!$I$719="","",[2]Baskol!$I$719)</f>
        <v/>
      </c>
      <c r="Z716" t="str">
        <f>IF([2]Baskol!$J$719="","",[2]Baskol!$J$719)</f>
        <v/>
      </c>
      <c r="AA716" t="str">
        <f>IF([2]Baskol!$K$719="","",[2]Baskol!$K$719)</f>
        <v/>
      </c>
      <c r="AB716" t="str">
        <f>IF([2]Baskol!$L$719="","",[2]Baskol!$L$719)</f>
        <v/>
      </c>
      <c r="AC716" t="str">
        <f>IF([2]Baskol!$N$719="","",[2]Baskol!$N$719)</f>
        <v/>
      </c>
      <c r="AD716" t="str">
        <f>IF([2]Baskol!$O$719="","",[2]Baskol!$O$719)</f>
        <v/>
      </c>
      <c r="AE716" t="str">
        <f>IF([3]Entry!$C$719="","",[3]Entry!$C$719)</f>
        <v/>
      </c>
      <c r="AF716" t="str">
        <f>IF([3]Entry!$D$719="","",[3]Entry!$D$719)</f>
        <v/>
      </c>
      <c r="AG716" t="str">
        <f>IF([3]Entry!$E$719="","",[3]Entry!$E$719)</f>
        <v/>
      </c>
      <c r="AH716" t="str">
        <f>IF([3]Entry!$G$719="","",[3]Entry!$G$719)</f>
        <v/>
      </c>
      <c r="AI716" t="str">
        <f>IF([3]Entry!$K$719="","",[3]Entry!$K$719)</f>
        <v/>
      </c>
      <c r="AJ716" t="str">
        <f>IF([3]Entry!$L$719="","",[3]Entry!$L$719)</f>
        <v/>
      </c>
      <c r="AK716" t="str">
        <f>IF([3]Entry!$M$719="","",[3]Entry!$M$719)</f>
        <v/>
      </c>
      <c r="AL716" t="str">
        <f>IF([3]Entry!$N$719="","",[3]Entry!$N$719)</f>
        <v/>
      </c>
      <c r="AM716" t="str">
        <f>IF([3]Entry!$R$719="","",[3]Entry!$R$719)</f>
        <v/>
      </c>
    </row>
    <row r="717" spans="20:39" x14ac:dyDescent="0.2">
      <c r="T717" t="str">
        <f>IF([2]Baskol!$B$720="","",[2]Baskol!$B$720)</f>
        <v/>
      </c>
      <c r="U717" t="str">
        <f>IF([2]Baskol!$C$720="","",[2]Baskol!$C$720)</f>
        <v/>
      </c>
      <c r="V717" t="str">
        <f>IF([2]Baskol!$D$720="","",[2]Baskol!$D$720)</f>
        <v/>
      </c>
      <c r="W717" t="str">
        <f>IF([2]Baskol!$E$720="","",[2]Baskol!$E$720)</f>
        <v/>
      </c>
      <c r="X717" t="str">
        <f>IF([2]Baskol!$G$720="","",[2]Baskol!$G$720)</f>
        <v/>
      </c>
      <c r="Y717" t="str">
        <f>IF([2]Baskol!$I$720="","",[2]Baskol!$I$720)</f>
        <v/>
      </c>
      <c r="Z717" t="str">
        <f>IF([2]Baskol!$J$720="","",[2]Baskol!$J$720)</f>
        <v/>
      </c>
      <c r="AA717" t="str">
        <f>IF([2]Baskol!$K$720="","",[2]Baskol!$K$720)</f>
        <v/>
      </c>
      <c r="AB717" t="str">
        <f>IF([2]Baskol!$L$720="","",[2]Baskol!$L$720)</f>
        <v/>
      </c>
      <c r="AC717" t="str">
        <f>IF([2]Baskol!$N$720="","",[2]Baskol!$N$720)</f>
        <v/>
      </c>
      <c r="AD717" t="str">
        <f>IF([2]Baskol!$O$720="","",[2]Baskol!$O$720)</f>
        <v/>
      </c>
      <c r="AE717" t="str">
        <f>IF([3]Entry!$C$720="","",[3]Entry!$C$720)</f>
        <v/>
      </c>
      <c r="AF717" t="str">
        <f>IF([3]Entry!$D$720="","",[3]Entry!$D$720)</f>
        <v/>
      </c>
      <c r="AG717" t="str">
        <f>IF([3]Entry!$E$720="","",[3]Entry!$E$720)</f>
        <v/>
      </c>
      <c r="AH717" t="str">
        <f>IF([3]Entry!$G$720="","",[3]Entry!$G$720)</f>
        <v/>
      </c>
      <c r="AI717" t="str">
        <f>IF([3]Entry!$K$720="","",[3]Entry!$K$720)</f>
        <v/>
      </c>
      <c r="AJ717" t="str">
        <f>IF([3]Entry!$L$720="","",[3]Entry!$L$720)</f>
        <v/>
      </c>
      <c r="AK717" t="str">
        <f>IF([3]Entry!$M$720="","",[3]Entry!$M$720)</f>
        <v/>
      </c>
      <c r="AL717" t="str">
        <f>IF([3]Entry!$N$720="","",[3]Entry!$N$720)</f>
        <v/>
      </c>
      <c r="AM717" t="str">
        <f>IF([3]Entry!$R$720="","",[3]Entry!$R$720)</f>
        <v/>
      </c>
    </row>
    <row r="718" spans="20:39" x14ac:dyDescent="0.2">
      <c r="T718" t="str">
        <f>IF([2]Baskol!$B$721="","",[2]Baskol!$B$721)</f>
        <v/>
      </c>
      <c r="U718" t="str">
        <f>IF([2]Baskol!$C$721="","",[2]Baskol!$C$721)</f>
        <v/>
      </c>
      <c r="V718" t="str">
        <f>IF([2]Baskol!$D$721="","",[2]Baskol!$D$721)</f>
        <v/>
      </c>
      <c r="W718" t="str">
        <f>IF([2]Baskol!$E$721="","",[2]Baskol!$E$721)</f>
        <v/>
      </c>
      <c r="X718" t="str">
        <f>IF([2]Baskol!$G$721="","",[2]Baskol!$G$721)</f>
        <v/>
      </c>
      <c r="Y718" t="str">
        <f>IF([2]Baskol!$I$721="","",[2]Baskol!$I$721)</f>
        <v/>
      </c>
      <c r="Z718" t="str">
        <f>IF([2]Baskol!$J$721="","",[2]Baskol!$J$721)</f>
        <v/>
      </c>
      <c r="AA718" t="str">
        <f>IF([2]Baskol!$K$721="","",[2]Baskol!$K$721)</f>
        <v/>
      </c>
      <c r="AB718" t="str">
        <f>IF([2]Baskol!$L$721="","",[2]Baskol!$L$721)</f>
        <v/>
      </c>
      <c r="AC718" t="str">
        <f>IF([2]Baskol!$N$721="","",[2]Baskol!$N$721)</f>
        <v/>
      </c>
      <c r="AD718" t="str">
        <f>IF([2]Baskol!$O$721="","",[2]Baskol!$O$721)</f>
        <v/>
      </c>
      <c r="AE718" t="str">
        <f>IF([3]Entry!$C$721="","",[3]Entry!$C$721)</f>
        <v/>
      </c>
      <c r="AF718" t="str">
        <f>IF([3]Entry!$D$721="","",[3]Entry!$D$721)</f>
        <v/>
      </c>
      <c r="AG718" t="str">
        <f>IF([3]Entry!$E$721="","",[3]Entry!$E$721)</f>
        <v/>
      </c>
      <c r="AH718" t="str">
        <f>IF([3]Entry!$G$721="","",[3]Entry!$G$721)</f>
        <v/>
      </c>
      <c r="AI718" t="str">
        <f>IF([3]Entry!$K$721="","",[3]Entry!$K$721)</f>
        <v/>
      </c>
      <c r="AJ718" t="str">
        <f>IF([3]Entry!$L$721="","",[3]Entry!$L$721)</f>
        <v/>
      </c>
      <c r="AK718" t="str">
        <f>IF([3]Entry!$M$721="","",[3]Entry!$M$721)</f>
        <v/>
      </c>
      <c r="AL718" t="str">
        <f>IF([3]Entry!$N$721="","",[3]Entry!$N$721)</f>
        <v/>
      </c>
      <c r="AM718" t="str">
        <f>IF([3]Entry!$R$721="","",[3]Entry!$R$721)</f>
        <v/>
      </c>
    </row>
    <row r="719" spans="20:39" x14ac:dyDescent="0.2">
      <c r="T719" t="str">
        <f>IF([2]Baskol!$B$722="","",[2]Baskol!$B$722)</f>
        <v/>
      </c>
      <c r="U719" t="str">
        <f>IF([2]Baskol!$C$722="","",[2]Baskol!$C$722)</f>
        <v/>
      </c>
      <c r="V719" t="str">
        <f>IF([2]Baskol!$D$722="","",[2]Baskol!$D$722)</f>
        <v/>
      </c>
      <c r="W719" t="str">
        <f>IF([2]Baskol!$E$722="","",[2]Baskol!$E$722)</f>
        <v/>
      </c>
      <c r="X719" t="str">
        <f>IF([2]Baskol!$G$722="","",[2]Baskol!$G$722)</f>
        <v/>
      </c>
      <c r="Y719" t="str">
        <f>IF([2]Baskol!$I$722="","",[2]Baskol!$I$722)</f>
        <v/>
      </c>
      <c r="Z719" t="str">
        <f>IF([2]Baskol!$J$722="","",[2]Baskol!$J$722)</f>
        <v/>
      </c>
      <c r="AA719" t="str">
        <f>IF([2]Baskol!$K$722="","",[2]Baskol!$K$722)</f>
        <v/>
      </c>
      <c r="AB719" t="str">
        <f>IF([2]Baskol!$L$722="","",[2]Baskol!$L$722)</f>
        <v/>
      </c>
      <c r="AC719" t="str">
        <f>IF([2]Baskol!$N$722="","",[2]Baskol!$N$722)</f>
        <v/>
      </c>
      <c r="AD719" t="str">
        <f>IF([2]Baskol!$O$722="","",[2]Baskol!$O$722)</f>
        <v/>
      </c>
      <c r="AE719" t="str">
        <f>IF([3]Entry!$C$722="","",[3]Entry!$C$722)</f>
        <v/>
      </c>
      <c r="AF719" t="str">
        <f>IF([3]Entry!$D$722="","",[3]Entry!$D$722)</f>
        <v/>
      </c>
      <c r="AG719" t="str">
        <f>IF([3]Entry!$E$722="","",[3]Entry!$E$722)</f>
        <v/>
      </c>
      <c r="AH719" t="str">
        <f>IF([3]Entry!$G$722="","",[3]Entry!$G$722)</f>
        <v/>
      </c>
      <c r="AI719" t="str">
        <f>IF([3]Entry!$K$722="","",[3]Entry!$K$722)</f>
        <v/>
      </c>
      <c r="AJ719" t="str">
        <f>IF([3]Entry!$L$722="","",[3]Entry!$L$722)</f>
        <v/>
      </c>
      <c r="AK719" t="str">
        <f>IF([3]Entry!$M$722="","",[3]Entry!$M$722)</f>
        <v/>
      </c>
      <c r="AL719" t="str">
        <f>IF([3]Entry!$N$722="","",[3]Entry!$N$722)</f>
        <v/>
      </c>
      <c r="AM719" t="str">
        <f>IF([3]Entry!$R$722="","",[3]Entry!$R$722)</f>
        <v/>
      </c>
    </row>
    <row r="720" spans="20:39" x14ac:dyDescent="0.2">
      <c r="T720" t="str">
        <f>IF([2]Baskol!$B$723="","",[2]Baskol!$B$723)</f>
        <v/>
      </c>
      <c r="U720" t="str">
        <f>IF([2]Baskol!$C$723="","",[2]Baskol!$C$723)</f>
        <v/>
      </c>
      <c r="V720" t="str">
        <f>IF([2]Baskol!$D$723="","",[2]Baskol!$D$723)</f>
        <v/>
      </c>
      <c r="W720" t="str">
        <f>IF([2]Baskol!$E$723="","",[2]Baskol!$E$723)</f>
        <v/>
      </c>
      <c r="X720" t="str">
        <f>IF([2]Baskol!$G$723="","",[2]Baskol!$G$723)</f>
        <v/>
      </c>
      <c r="Y720" t="str">
        <f>IF([2]Baskol!$I$723="","",[2]Baskol!$I$723)</f>
        <v/>
      </c>
      <c r="Z720" t="str">
        <f>IF([2]Baskol!$J$723="","",[2]Baskol!$J$723)</f>
        <v/>
      </c>
      <c r="AA720" t="str">
        <f>IF([2]Baskol!$K$723="","",[2]Baskol!$K$723)</f>
        <v/>
      </c>
      <c r="AB720" t="str">
        <f>IF([2]Baskol!$L$723="","",[2]Baskol!$L$723)</f>
        <v/>
      </c>
      <c r="AC720" t="str">
        <f>IF([2]Baskol!$N$723="","",[2]Baskol!$N$723)</f>
        <v/>
      </c>
      <c r="AD720" t="str">
        <f>IF([2]Baskol!$O$723="","",[2]Baskol!$O$723)</f>
        <v/>
      </c>
      <c r="AE720" t="str">
        <f>IF([3]Entry!$C$723="","",[3]Entry!$C$723)</f>
        <v/>
      </c>
      <c r="AF720" t="str">
        <f>IF([3]Entry!$D$723="","",[3]Entry!$D$723)</f>
        <v/>
      </c>
      <c r="AG720" t="str">
        <f>IF([3]Entry!$E$723="","",[3]Entry!$E$723)</f>
        <v/>
      </c>
      <c r="AH720" t="str">
        <f>IF([3]Entry!$G$723="","",[3]Entry!$G$723)</f>
        <v/>
      </c>
      <c r="AI720" t="str">
        <f>IF([3]Entry!$K$723="","",[3]Entry!$K$723)</f>
        <v/>
      </c>
      <c r="AJ720" t="str">
        <f>IF([3]Entry!$L$723="","",[3]Entry!$L$723)</f>
        <v/>
      </c>
      <c r="AK720" t="str">
        <f>IF([3]Entry!$M$723="","",[3]Entry!$M$723)</f>
        <v/>
      </c>
      <c r="AL720" t="str">
        <f>IF([3]Entry!$N$723="","",[3]Entry!$N$723)</f>
        <v/>
      </c>
      <c r="AM720" t="str">
        <f>IF([3]Entry!$R$723="","",[3]Entry!$R$723)</f>
        <v/>
      </c>
    </row>
    <row r="721" spans="20:39" x14ac:dyDescent="0.2">
      <c r="T721" t="str">
        <f>IF([2]Baskol!$B$724="","",[2]Baskol!$B$724)</f>
        <v/>
      </c>
      <c r="U721" t="str">
        <f>IF([2]Baskol!$C$724="","",[2]Baskol!$C$724)</f>
        <v/>
      </c>
      <c r="V721" t="str">
        <f>IF([2]Baskol!$D$724="","",[2]Baskol!$D$724)</f>
        <v/>
      </c>
      <c r="W721" t="str">
        <f>IF([2]Baskol!$E$724="","",[2]Baskol!$E$724)</f>
        <v/>
      </c>
      <c r="X721" t="str">
        <f>IF([2]Baskol!$G$724="","",[2]Baskol!$G$724)</f>
        <v/>
      </c>
      <c r="Y721" t="str">
        <f>IF([2]Baskol!$I$724="","",[2]Baskol!$I$724)</f>
        <v/>
      </c>
      <c r="Z721" t="str">
        <f>IF([2]Baskol!$J$724="","",[2]Baskol!$J$724)</f>
        <v/>
      </c>
      <c r="AA721" t="str">
        <f>IF([2]Baskol!$K$724="","",[2]Baskol!$K$724)</f>
        <v/>
      </c>
      <c r="AB721" t="str">
        <f>IF([2]Baskol!$L$724="","",[2]Baskol!$L$724)</f>
        <v/>
      </c>
      <c r="AC721" t="str">
        <f>IF([2]Baskol!$N$724="","",[2]Baskol!$N$724)</f>
        <v/>
      </c>
      <c r="AD721" t="str">
        <f>IF([2]Baskol!$O$724="","",[2]Baskol!$O$724)</f>
        <v/>
      </c>
      <c r="AE721" t="str">
        <f>IF([3]Entry!$C$724="","",[3]Entry!$C$724)</f>
        <v/>
      </c>
      <c r="AF721" t="str">
        <f>IF([3]Entry!$D$724="","",[3]Entry!$D$724)</f>
        <v/>
      </c>
      <c r="AG721" t="str">
        <f>IF([3]Entry!$E$724="","",[3]Entry!$E$724)</f>
        <v/>
      </c>
      <c r="AH721" t="str">
        <f>IF([3]Entry!$G$724="","",[3]Entry!$G$724)</f>
        <v/>
      </c>
      <c r="AI721" t="str">
        <f>IF([3]Entry!$K$724="","",[3]Entry!$K$724)</f>
        <v/>
      </c>
      <c r="AJ721" t="str">
        <f>IF([3]Entry!$L$724="","",[3]Entry!$L$724)</f>
        <v/>
      </c>
      <c r="AK721" t="str">
        <f>IF([3]Entry!$M$724="","",[3]Entry!$M$724)</f>
        <v/>
      </c>
      <c r="AL721" t="str">
        <f>IF([3]Entry!$N$724="","",[3]Entry!$N$724)</f>
        <v/>
      </c>
      <c r="AM721" t="str">
        <f>IF([3]Entry!$R$724="","",[3]Entry!$R$724)</f>
        <v/>
      </c>
    </row>
    <row r="722" spans="20:39" x14ac:dyDescent="0.2">
      <c r="T722" t="str">
        <f>IF([2]Baskol!$B$725="","",[2]Baskol!$B$725)</f>
        <v/>
      </c>
      <c r="U722" t="str">
        <f>IF([2]Baskol!$C$725="","",[2]Baskol!$C$725)</f>
        <v/>
      </c>
      <c r="V722" t="str">
        <f>IF([2]Baskol!$D$725="","",[2]Baskol!$D$725)</f>
        <v/>
      </c>
      <c r="W722" t="str">
        <f>IF([2]Baskol!$E$725="","",[2]Baskol!$E$725)</f>
        <v/>
      </c>
      <c r="X722" t="str">
        <f>IF([2]Baskol!$G$725="","",[2]Baskol!$G$725)</f>
        <v/>
      </c>
      <c r="Y722" t="str">
        <f>IF([2]Baskol!$I$725="","",[2]Baskol!$I$725)</f>
        <v/>
      </c>
      <c r="Z722" t="str">
        <f>IF([2]Baskol!$J$725="","",[2]Baskol!$J$725)</f>
        <v/>
      </c>
      <c r="AA722" t="str">
        <f>IF([2]Baskol!$K$725="","",[2]Baskol!$K$725)</f>
        <v/>
      </c>
      <c r="AB722" t="str">
        <f>IF([2]Baskol!$L$725="","",[2]Baskol!$L$725)</f>
        <v/>
      </c>
      <c r="AC722" t="str">
        <f>IF([2]Baskol!$N$725="","",[2]Baskol!$N$725)</f>
        <v/>
      </c>
      <c r="AD722" t="str">
        <f>IF([2]Baskol!$O$725="","",[2]Baskol!$O$725)</f>
        <v/>
      </c>
      <c r="AE722" t="str">
        <f>IF([3]Entry!$C$725="","",[3]Entry!$C$725)</f>
        <v/>
      </c>
      <c r="AF722" t="str">
        <f>IF([3]Entry!$D$725="","",[3]Entry!$D$725)</f>
        <v/>
      </c>
      <c r="AG722" t="str">
        <f>IF([3]Entry!$E$725="","",[3]Entry!$E$725)</f>
        <v/>
      </c>
      <c r="AH722" t="str">
        <f>IF([3]Entry!$G$725="","",[3]Entry!$G$725)</f>
        <v/>
      </c>
      <c r="AI722" t="str">
        <f>IF([3]Entry!$K$725="","",[3]Entry!$K$725)</f>
        <v/>
      </c>
      <c r="AJ722" t="str">
        <f>IF([3]Entry!$L$725="","",[3]Entry!$L$725)</f>
        <v/>
      </c>
      <c r="AK722" t="str">
        <f>IF([3]Entry!$M$725="","",[3]Entry!$M$725)</f>
        <v/>
      </c>
      <c r="AL722" t="str">
        <f>IF([3]Entry!$N$725="","",[3]Entry!$N$725)</f>
        <v/>
      </c>
      <c r="AM722" t="str">
        <f>IF([3]Entry!$R$725="","",[3]Entry!$R$725)</f>
        <v/>
      </c>
    </row>
    <row r="723" spans="20:39" x14ac:dyDescent="0.2">
      <c r="T723" t="str">
        <f>IF([2]Baskol!$B$726="","",[2]Baskol!$B$726)</f>
        <v/>
      </c>
      <c r="U723" t="str">
        <f>IF([2]Baskol!$C$726="","",[2]Baskol!$C$726)</f>
        <v/>
      </c>
      <c r="V723" t="str">
        <f>IF([2]Baskol!$D$726="","",[2]Baskol!$D$726)</f>
        <v/>
      </c>
      <c r="W723" t="str">
        <f>IF([2]Baskol!$E$726="","",[2]Baskol!$E$726)</f>
        <v/>
      </c>
      <c r="X723" t="str">
        <f>IF([2]Baskol!$G$726="","",[2]Baskol!$G$726)</f>
        <v/>
      </c>
      <c r="Y723" t="str">
        <f>IF([2]Baskol!$I$726="","",[2]Baskol!$I$726)</f>
        <v/>
      </c>
      <c r="Z723" t="str">
        <f>IF([2]Baskol!$J$726="","",[2]Baskol!$J$726)</f>
        <v/>
      </c>
      <c r="AA723" t="str">
        <f>IF([2]Baskol!$K$726="","",[2]Baskol!$K$726)</f>
        <v/>
      </c>
      <c r="AB723" t="str">
        <f>IF([2]Baskol!$L$726="","",[2]Baskol!$L$726)</f>
        <v/>
      </c>
      <c r="AC723" t="str">
        <f>IF([2]Baskol!$N$726="","",[2]Baskol!$N$726)</f>
        <v/>
      </c>
      <c r="AD723" t="str">
        <f>IF([2]Baskol!$O$726="","",[2]Baskol!$O$726)</f>
        <v/>
      </c>
      <c r="AE723" t="str">
        <f>IF([3]Entry!$C$726="","",[3]Entry!$C$726)</f>
        <v/>
      </c>
      <c r="AF723" t="str">
        <f>IF([3]Entry!$D$726="","",[3]Entry!$D$726)</f>
        <v/>
      </c>
      <c r="AG723" t="str">
        <f>IF([3]Entry!$E$726="","",[3]Entry!$E$726)</f>
        <v/>
      </c>
      <c r="AH723" t="str">
        <f>IF([3]Entry!$G$726="","",[3]Entry!$G$726)</f>
        <v/>
      </c>
      <c r="AI723" t="str">
        <f>IF([3]Entry!$K$726="","",[3]Entry!$K$726)</f>
        <v/>
      </c>
      <c r="AJ723" t="str">
        <f>IF([3]Entry!$L$726="","",[3]Entry!$L$726)</f>
        <v/>
      </c>
      <c r="AK723" t="str">
        <f>IF([3]Entry!$M$726="","",[3]Entry!$M$726)</f>
        <v/>
      </c>
      <c r="AL723" t="str">
        <f>IF([3]Entry!$N$726="","",[3]Entry!$N$726)</f>
        <v/>
      </c>
      <c r="AM723" t="str">
        <f>IF([3]Entry!$R$726="","",[3]Entry!$R$726)</f>
        <v/>
      </c>
    </row>
    <row r="724" spans="20:39" x14ac:dyDescent="0.2">
      <c r="T724" t="str">
        <f>IF([2]Baskol!$B$727="","",[2]Baskol!$B$727)</f>
        <v/>
      </c>
      <c r="U724" t="str">
        <f>IF([2]Baskol!$C$727="","",[2]Baskol!$C$727)</f>
        <v/>
      </c>
      <c r="V724" t="str">
        <f>IF([2]Baskol!$D$727="","",[2]Baskol!$D$727)</f>
        <v/>
      </c>
      <c r="W724" t="str">
        <f>IF([2]Baskol!$E$727="","",[2]Baskol!$E$727)</f>
        <v/>
      </c>
      <c r="X724" t="str">
        <f>IF([2]Baskol!$G$727="","",[2]Baskol!$G$727)</f>
        <v/>
      </c>
      <c r="Y724" t="str">
        <f>IF([2]Baskol!$I$727="","",[2]Baskol!$I$727)</f>
        <v/>
      </c>
      <c r="Z724" t="str">
        <f>IF([2]Baskol!$J$727="","",[2]Baskol!$J$727)</f>
        <v/>
      </c>
      <c r="AA724" t="str">
        <f>IF([2]Baskol!$K$727="","",[2]Baskol!$K$727)</f>
        <v/>
      </c>
      <c r="AB724" t="str">
        <f>IF([2]Baskol!$L$727="","",[2]Baskol!$L$727)</f>
        <v/>
      </c>
      <c r="AC724" t="str">
        <f>IF([2]Baskol!$N$727="","",[2]Baskol!$N$727)</f>
        <v/>
      </c>
      <c r="AD724" t="str">
        <f>IF([2]Baskol!$O$727="","",[2]Baskol!$O$727)</f>
        <v/>
      </c>
      <c r="AE724" t="str">
        <f>IF([3]Entry!$C$727="","",[3]Entry!$C$727)</f>
        <v/>
      </c>
      <c r="AF724" t="str">
        <f>IF([3]Entry!$D$727="","",[3]Entry!$D$727)</f>
        <v/>
      </c>
      <c r="AG724" t="str">
        <f>IF([3]Entry!$E$727="","",[3]Entry!$E$727)</f>
        <v/>
      </c>
      <c r="AH724" t="str">
        <f>IF([3]Entry!$G$727="","",[3]Entry!$G$727)</f>
        <v/>
      </c>
      <c r="AI724" t="str">
        <f>IF([3]Entry!$K$727="","",[3]Entry!$K$727)</f>
        <v/>
      </c>
      <c r="AJ724" t="str">
        <f>IF([3]Entry!$L$727="","",[3]Entry!$L$727)</f>
        <v/>
      </c>
      <c r="AK724" t="str">
        <f>IF([3]Entry!$M$727="","",[3]Entry!$M$727)</f>
        <v/>
      </c>
      <c r="AL724" t="str">
        <f>IF([3]Entry!$N$727="","",[3]Entry!$N$727)</f>
        <v/>
      </c>
      <c r="AM724" t="str">
        <f>IF([3]Entry!$R$727="","",[3]Entry!$R$727)</f>
        <v/>
      </c>
    </row>
    <row r="725" spans="20:39" x14ac:dyDescent="0.2">
      <c r="T725" t="str">
        <f>IF([2]Baskol!$B$728="","",[2]Baskol!$B$728)</f>
        <v/>
      </c>
      <c r="U725" t="str">
        <f>IF([2]Baskol!$C$728="","",[2]Baskol!$C$728)</f>
        <v/>
      </c>
      <c r="V725" t="str">
        <f>IF([2]Baskol!$D$728="","",[2]Baskol!$D$728)</f>
        <v/>
      </c>
      <c r="W725" t="str">
        <f>IF([2]Baskol!$E$728="","",[2]Baskol!$E$728)</f>
        <v/>
      </c>
      <c r="X725" t="str">
        <f>IF([2]Baskol!$G$728="","",[2]Baskol!$G$728)</f>
        <v/>
      </c>
      <c r="Y725" t="str">
        <f>IF([2]Baskol!$I$728="","",[2]Baskol!$I$728)</f>
        <v/>
      </c>
      <c r="Z725" t="str">
        <f>IF([2]Baskol!$J$728="","",[2]Baskol!$J$728)</f>
        <v/>
      </c>
      <c r="AA725" t="str">
        <f>IF([2]Baskol!$K$728="","",[2]Baskol!$K$728)</f>
        <v/>
      </c>
      <c r="AB725" t="str">
        <f>IF([2]Baskol!$L$728="","",[2]Baskol!$L$728)</f>
        <v/>
      </c>
      <c r="AC725" t="str">
        <f>IF([2]Baskol!$N$728="","",[2]Baskol!$N$728)</f>
        <v/>
      </c>
      <c r="AD725" t="str">
        <f>IF([2]Baskol!$O$728="","",[2]Baskol!$O$728)</f>
        <v/>
      </c>
      <c r="AE725" t="str">
        <f>IF([3]Entry!$C$728="","",[3]Entry!$C$728)</f>
        <v/>
      </c>
      <c r="AF725" t="str">
        <f>IF([3]Entry!$D$728="","",[3]Entry!$D$728)</f>
        <v/>
      </c>
      <c r="AG725" t="str">
        <f>IF([3]Entry!$E$728="","",[3]Entry!$E$728)</f>
        <v/>
      </c>
      <c r="AH725" t="str">
        <f>IF([3]Entry!$G$728="","",[3]Entry!$G$728)</f>
        <v/>
      </c>
      <c r="AI725" t="str">
        <f>IF([3]Entry!$K$728="","",[3]Entry!$K$728)</f>
        <v/>
      </c>
      <c r="AJ725" t="str">
        <f>IF([3]Entry!$L$728="","",[3]Entry!$L$728)</f>
        <v/>
      </c>
      <c r="AK725" t="str">
        <f>IF([3]Entry!$M$728="","",[3]Entry!$M$728)</f>
        <v/>
      </c>
      <c r="AL725" t="str">
        <f>IF([3]Entry!$N$728="","",[3]Entry!$N$728)</f>
        <v/>
      </c>
      <c r="AM725" t="str">
        <f>IF([3]Entry!$R$728="","",[3]Entry!$R$728)</f>
        <v/>
      </c>
    </row>
    <row r="726" spans="20:39" x14ac:dyDescent="0.2">
      <c r="T726" t="str">
        <f>IF([2]Baskol!$B$729="","",[2]Baskol!$B$729)</f>
        <v/>
      </c>
      <c r="U726" t="str">
        <f>IF([2]Baskol!$C$729="","",[2]Baskol!$C$729)</f>
        <v/>
      </c>
      <c r="V726" t="str">
        <f>IF([2]Baskol!$D$729="","",[2]Baskol!$D$729)</f>
        <v/>
      </c>
      <c r="W726" t="str">
        <f>IF([2]Baskol!$E$729="","",[2]Baskol!$E$729)</f>
        <v/>
      </c>
      <c r="X726" t="str">
        <f>IF([2]Baskol!$G$729="","",[2]Baskol!$G$729)</f>
        <v/>
      </c>
      <c r="Y726" t="str">
        <f>IF([2]Baskol!$I$729="","",[2]Baskol!$I$729)</f>
        <v/>
      </c>
      <c r="Z726" t="str">
        <f>IF([2]Baskol!$J$729="","",[2]Baskol!$J$729)</f>
        <v/>
      </c>
      <c r="AA726" t="str">
        <f>IF([2]Baskol!$K$729="","",[2]Baskol!$K$729)</f>
        <v/>
      </c>
      <c r="AB726" t="str">
        <f>IF([2]Baskol!$L$729="","",[2]Baskol!$L$729)</f>
        <v/>
      </c>
      <c r="AC726" t="str">
        <f>IF([2]Baskol!$N$729="","",[2]Baskol!$N$729)</f>
        <v/>
      </c>
      <c r="AD726" t="str">
        <f>IF([2]Baskol!$O$729="","",[2]Baskol!$O$729)</f>
        <v/>
      </c>
      <c r="AE726" t="str">
        <f>IF([3]Entry!$C$729="","",[3]Entry!$C$729)</f>
        <v/>
      </c>
      <c r="AF726" t="str">
        <f>IF([3]Entry!$D$729="","",[3]Entry!$D$729)</f>
        <v/>
      </c>
      <c r="AG726" t="str">
        <f>IF([3]Entry!$E$729="","",[3]Entry!$E$729)</f>
        <v/>
      </c>
      <c r="AH726" t="str">
        <f>IF([3]Entry!$G$729="","",[3]Entry!$G$729)</f>
        <v/>
      </c>
      <c r="AI726" t="str">
        <f>IF([3]Entry!$K$729="","",[3]Entry!$K$729)</f>
        <v/>
      </c>
      <c r="AJ726" t="str">
        <f>IF([3]Entry!$L$729="","",[3]Entry!$L$729)</f>
        <v/>
      </c>
      <c r="AK726" t="str">
        <f>IF([3]Entry!$M$729="","",[3]Entry!$M$729)</f>
        <v/>
      </c>
      <c r="AL726" t="str">
        <f>IF([3]Entry!$N$729="","",[3]Entry!$N$729)</f>
        <v/>
      </c>
      <c r="AM726" t="str">
        <f>IF([3]Entry!$R$729="","",[3]Entry!$R$729)</f>
        <v/>
      </c>
    </row>
    <row r="727" spans="20:39" x14ac:dyDescent="0.2">
      <c r="T727" t="str">
        <f>IF([2]Baskol!$B$730="","",[2]Baskol!$B$730)</f>
        <v/>
      </c>
      <c r="U727" t="str">
        <f>IF([2]Baskol!$C$730="","",[2]Baskol!$C$730)</f>
        <v/>
      </c>
      <c r="V727" t="str">
        <f>IF([2]Baskol!$D$730="","",[2]Baskol!$D$730)</f>
        <v/>
      </c>
      <c r="W727" t="str">
        <f>IF([2]Baskol!$E$730="","",[2]Baskol!$E$730)</f>
        <v/>
      </c>
      <c r="X727" t="str">
        <f>IF([2]Baskol!$G$730="","",[2]Baskol!$G$730)</f>
        <v/>
      </c>
      <c r="Y727" t="str">
        <f>IF([2]Baskol!$I$730="","",[2]Baskol!$I$730)</f>
        <v/>
      </c>
      <c r="Z727" t="str">
        <f>IF([2]Baskol!$J$730="","",[2]Baskol!$J$730)</f>
        <v/>
      </c>
      <c r="AA727" t="str">
        <f>IF([2]Baskol!$K$730="","",[2]Baskol!$K$730)</f>
        <v/>
      </c>
      <c r="AB727" t="str">
        <f>IF([2]Baskol!$L$730="","",[2]Baskol!$L$730)</f>
        <v/>
      </c>
      <c r="AC727" t="str">
        <f>IF([2]Baskol!$N$730="","",[2]Baskol!$N$730)</f>
        <v/>
      </c>
      <c r="AD727" t="str">
        <f>IF([2]Baskol!$O$730="","",[2]Baskol!$O$730)</f>
        <v/>
      </c>
      <c r="AE727" t="str">
        <f>IF([3]Entry!$C$730="","",[3]Entry!$C$730)</f>
        <v/>
      </c>
      <c r="AF727" t="str">
        <f>IF([3]Entry!$D$730="","",[3]Entry!$D$730)</f>
        <v/>
      </c>
      <c r="AG727" t="str">
        <f>IF([3]Entry!$E$730="","",[3]Entry!$E$730)</f>
        <v/>
      </c>
      <c r="AH727" t="str">
        <f>IF([3]Entry!$G$730="","",[3]Entry!$G$730)</f>
        <v/>
      </c>
      <c r="AI727" t="str">
        <f>IF([3]Entry!$K$730="","",[3]Entry!$K$730)</f>
        <v/>
      </c>
      <c r="AJ727" t="str">
        <f>IF([3]Entry!$L$730="","",[3]Entry!$L$730)</f>
        <v/>
      </c>
      <c r="AK727" t="str">
        <f>IF([3]Entry!$M$730="","",[3]Entry!$M$730)</f>
        <v/>
      </c>
      <c r="AL727" t="str">
        <f>IF([3]Entry!$N$730="","",[3]Entry!$N$730)</f>
        <v/>
      </c>
      <c r="AM727" t="str">
        <f>IF([3]Entry!$R$730="","",[3]Entry!$R$730)</f>
        <v/>
      </c>
    </row>
    <row r="728" spans="20:39" x14ac:dyDescent="0.2">
      <c r="T728" t="str">
        <f>IF([2]Baskol!$B$731="","",[2]Baskol!$B$731)</f>
        <v/>
      </c>
      <c r="U728" t="str">
        <f>IF([2]Baskol!$C$731="","",[2]Baskol!$C$731)</f>
        <v/>
      </c>
      <c r="V728" t="str">
        <f>IF([2]Baskol!$D$731="","",[2]Baskol!$D$731)</f>
        <v/>
      </c>
      <c r="W728" t="str">
        <f>IF([2]Baskol!$E$731="","",[2]Baskol!$E$731)</f>
        <v/>
      </c>
      <c r="X728" t="str">
        <f>IF([2]Baskol!$G$731="","",[2]Baskol!$G$731)</f>
        <v/>
      </c>
      <c r="Y728" t="str">
        <f>IF([2]Baskol!$I$731="","",[2]Baskol!$I$731)</f>
        <v/>
      </c>
      <c r="Z728" t="str">
        <f>IF([2]Baskol!$J$731="","",[2]Baskol!$J$731)</f>
        <v/>
      </c>
      <c r="AA728" t="str">
        <f>IF([2]Baskol!$K$731="","",[2]Baskol!$K$731)</f>
        <v/>
      </c>
      <c r="AB728" t="str">
        <f>IF([2]Baskol!$L$731="","",[2]Baskol!$L$731)</f>
        <v/>
      </c>
      <c r="AC728" t="str">
        <f>IF([2]Baskol!$N$731="","",[2]Baskol!$N$731)</f>
        <v/>
      </c>
      <c r="AD728" t="str">
        <f>IF([2]Baskol!$O$731="","",[2]Baskol!$O$731)</f>
        <v/>
      </c>
      <c r="AE728" t="str">
        <f>IF([3]Entry!$C$731="","",[3]Entry!$C$731)</f>
        <v/>
      </c>
      <c r="AF728" t="str">
        <f>IF([3]Entry!$D$731="","",[3]Entry!$D$731)</f>
        <v/>
      </c>
      <c r="AG728" t="str">
        <f>IF([3]Entry!$E$731="","",[3]Entry!$E$731)</f>
        <v/>
      </c>
      <c r="AH728" t="str">
        <f>IF([3]Entry!$G$731="","",[3]Entry!$G$731)</f>
        <v/>
      </c>
      <c r="AI728" t="str">
        <f>IF([3]Entry!$K$731="","",[3]Entry!$K$731)</f>
        <v/>
      </c>
      <c r="AJ728" t="str">
        <f>IF([3]Entry!$L$731="","",[3]Entry!$L$731)</f>
        <v/>
      </c>
      <c r="AK728" t="str">
        <f>IF([3]Entry!$M$731="","",[3]Entry!$M$731)</f>
        <v/>
      </c>
      <c r="AL728" t="str">
        <f>IF([3]Entry!$N$731="","",[3]Entry!$N$731)</f>
        <v/>
      </c>
      <c r="AM728" t="str">
        <f>IF([3]Entry!$R$731="","",[3]Entry!$R$731)</f>
        <v/>
      </c>
    </row>
    <row r="729" spans="20:39" x14ac:dyDescent="0.2">
      <c r="T729" t="str">
        <f>IF([2]Baskol!$B$732="","",[2]Baskol!$B$732)</f>
        <v/>
      </c>
      <c r="U729" t="str">
        <f>IF([2]Baskol!$C$732="","",[2]Baskol!$C$732)</f>
        <v/>
      </c>
      <c r="V729" t="str">
        <f>IF([2]Baskol!$D$732="","",[2]Baskol!$D$732)</f>
        <v/>
      </c>
      <c r="W729" t="str">
        <f>IF([2]Baskol!$E$732="","",[2]Baskol!$E$732)</f>
        <v/>
      </c>
      <c r="X729" t="str">
        <f>IF([2]Baskol!$G$732="","",[2]Baskol!$G$732)</f>
        <v/>
      </c>
      <c r="Y729" t="str">
        <f>IF([2]Baskol!$I$732="","",[2]Baskol!$I$732)</f>
        <v/>
      </c>
      <c r="Z729" t="str">
        <f>IF([2]Baskol!$J$732="","",[2]Baskol!$J$732)</f>
        <v/>
      </c>
      <c r="AA729" t="str">
        <f>IF([2]Baskol!$K$732="","",[2]Baskol!$K$732)</f>
        <v/>
      </c>
      <c r="AB729" t="str">
        <f>IF([2]Baskol!$L$732="","",[2]Baskol!$L$732)</f>
        <v/>
      </c>
      <c r="AC729" t="str">
        <f>IF([2]Baskol!$N$732="","",[2]Baskol!$N$732)</f>
        <v/>
      </c>
      <c r="AD729" t="str">
        <f>IF([2]Baskol!$O$732="","",[2]Baskol!$O$732)</f>
        <v/>
      </c>
      <c r="AE729" t="str">
        <f>IF([3]Entry!$C$732="","",[3]Entry!$C$732)</f>
        <v/>
      </c>
      <c r="AF729" t="str">
        <f>IF([3]Entry!$D$732="","",[3]Entry!$D$732)</f>
        <v/>
      </c>
      <c r="AG729" t="str">
        <f>IF([3]Entry!$E$732="","",[3]Entry!$E$732)</f>
        <v/>
      </c>
      <c r="AH729" t="str">
        <f>IF([3]Entry!$G$732="","",[3]Entry!$G$732)</f>
        <v/>
      </c>
      <c r="AI729" t="str">
        <f>IF([3]Entry!$K$732="","",[3]Entry!$K$732)</f>
        <v/>
      </c>
      <c r="AJ729" t="str">
        <f>IF([3]Entry!$L$732="","",[3]Entry!$L$732)</f>
        <v/>
      </c>
      <c r="AK729" t="str">
        <f>IF([3]Entry!$M$732="","",[3]Entry!$M$732)</f>
        <v/>
      </c>
      <c r="AL729" t="str">
        <f>IF([3]Entry!$N$732="","",[3]Entry!$N$732)</f>
        <v/>
      </c>
      <c r="AM729" t="str">
        <f>IF([3]Entry!$R$732="","",[3]Entry!$R$732)</f>
        <v/>
      </c>
    </row>
    <row r="730" spans="20:39" x14ac:dyDescent="0.2">
      <c r="T730" t="str">
        <f>IF([2]Baskol!$B$733="","",[2]Baskol!$B$733)</f>
        <v/>
      </c>
      <c r="U730" t="str">
        <f>IF([2]Baskol!$C$733="","",[2]Baskol!$C$733)</f>
        <v/>
      </c>
      <c r="V730" t="str">
        <f>IF([2]Baskol!$D$733="","",[2]Baskol!$D$733)</f>
        <v/>
      </c>
      <c r="W730" t="str">
        <f>IF([2]Baskol!$E$733="","",[2]Baskol!$E$733)</f>
        <v/>
      </c>
      <c r="X730" t="str">
        <f>IF([2]Baskol!$G$733="","",[2]Baskol!$G$733)</f>
        <v/>
      </c>
      <c r="Y730" t="str">
        <f>IF([2]Baskol!$I$733="","",[2]Baskol!$I$733)</f>
        <v/>
      </c>
      <c r="Z730" t="str">
        <f>IF([2]Baskol!$J$733="","",[2]Baskol!$J$733)</f>
        <v/>
      </c>
      <c r="AA730" t="str">
        <f>IF([2]Baskol!$K$733="","",[2]Baskol!$K$733)</f>
        <v/>
      </c>
      <c r="AB730" t="str">
        <f>IF([2]Baskol!$L$733="","",[2]Baskol!$L$733)</f>
        <v/>
      </c>
      <c r="AC730" t="str">
        <f>IF([2]Baskol!$N$733="","",[2]Baskol!$N$733)</f>
        <v/>
      </c>
      <c r="AD730" t="str">
        <f>IF([2]Baskol!$O$733="","",[2]Baskol!$O$733)</f>
        <v/>
      </c>
      <c r="AE730" t="str">
        <f>IF([3]Entry!$C$733="","",[3]Entry!$C$733)</f>
        <v/>
      </c>
      <c r="AF730" t="str">
        <f>IF([3]Entry!$D$733="","",[3]Entry!$D$733)</f>
        <v/>
      </c>
      <c r="AG730" t="str">
        <f>IF([3]Entry!$E$733="","",[3]Entry!$E$733)</f>
        <v/>
      </c>
      <c r="AH730" t="str">
        <f>IF([3]Entry!$G$733="","",[3]Entry!$G$733)</f>
        <v/>
      </c>
      <c r="AI730" t="str">
        <f>IF([3]Entry!$K$733="","",[3]Entry!$K$733)</f>
        <v/>
      </c>
      <c r="AJ730" t="str">
        <f>IF([3]Entry!$L$733="","",[3]Entry!$L$733)</f>
        <v/>
      </c>
      <c r="AK730" t="str">
        <f>IF([3]Entry!$M$733="","",[3]Entry!$M$733)</f>
        <v/>
      </c>
      <c r="AL730" t="str">
        <f>IF([3]Entry!$N$733="","",[3]Entry!$N$733)</f>
        <v/>
      </c>
      <c r="AM730" t="str">
        <f>IF([3]Entry!$R$733="","",[3]Entry!$R$733)</f>
        <v/>
      </c>
    </row>
    <row r="731" spans="20:39" x14ac:dyDescent="0.2">
      <c r="T731" t="str">
        <f>IF([2]Baskol!$B$734="","",[2]Baskol!$B$734)</f>
        <v/>
      </c>
      <c r="U731" t="str">
        <f>IF([2]Baskol!$C$734="","",[2]Baskol!$C$734)</f>
        <v/>
      </c>
      <c r="V731" t="str">
        <f>IF([2]Baskol!$D$734="","",[2]Baskol!$D$734)</f>
        <v/>
      </c>
      <c r="W731" t="str">
        <f>IF([2]Baskol!$E$734="","",[2]Baskol!$E$734)</f>
        <v/>
      </c>
      <c r="X731" t="str">
        <f>IF([2]Baskol!$G$734="","",[2]Baskol!$G$734)</f>
        <v/>
      </c>
      <c r="Y731" t="str">
        <f>IF([2]Baskol!$I$734="","",[2]Baskol!$I$734)</f>
        <v/>
      </c>
      <c r="Z731" t="str">
        <f>IF([2]Baskol!$J$734="","",[2]Baskol!$J$734)</f>
        <v/>
      </c>
      <c r="AA731" t="str">
        <f>IF([2]Baskol!$K$734="","",[2]Baskol!$K$734)</f>
        <v/>
      </c>
      <c r="AB731" t="str">
        <f>IF([2]Baskol!$L$734="","",[2]Baskol!$L$734)</f>
        <v/>
      </c>
      <c r="AC731" t="str">
        <f>IF([2]Baskol!$N$734="","",[2]Baskol!$N$734)</f>
        <v/>
      </c>
      <c r="AD731" t="str">
        <f>IF([2]Baskol!$O$734="","",[2]Baskol!$O$734)</f>
        <v/>
      </c>
      <c r="AE731" t="str">
        <f>IF([3]Entry!$C$734="","",[3]Entry!$C$734)</f>
        <v/>
      </c>
      <c r="AF731" t="str">
        <f>IF([3]Entry!$D$734="","",[3]Entry!$D$734)</f>
        <v/>
      </c>
      <c r="AG731" t="str">
        <f>IF([3]Entry!$E$734="","",[3]Entry!$E$734)</f>
        <v/>
      </c>
      <c r="AH731" t="str">
        <f>IF([3]Entry!$G$734="","",[3]Entry!$G$734)</f>
        <v/>
      </c>
      <c r="AI731" t="str">
        <f>IF([3]Entry!$K$734="","",[3]Entry!$K$734)</f>
        <v/>
      </c>
      <c r="AJ731" t="str">
        <f>IF([3]Entry!$L$734="","",[3]Entry!$L$734)</f>
        <v/>
      </c>
      <c r="AK731" t="str">
        <f>IF([3]Entry!$M$734="","",[3]Entry!$M$734)</f>
        <v/>
      </c>
      <c r="AL731" t="str">
        <f>IF([3]Entry!$N$734="","",[3]Entry!$N$734)</f>
        <v/>
      </c>
      <c r="AM731" t="str">
        <f>IF([3]Entry!$R$734="","",[3]Entry!$R$734)</f>
        <v/>
      </c>
    </row>
    <row r="732" spans="20:39" x14ac:dyDescent="0.2">
      <c r="T732" t="str">
        <f>IF([2]Baskol!$B$735="","",[2]Baskol!$B$735)</f>
        <v/>
      </c>
      <c r="U732" t="str">
        <f>IF([2]Baskol!$C$735="","",[2]Baskol!$C$735)</f>
        <v/>
      </c>
      <c r="V732" t="str">
        <f>IF([2]Baskol!$D$735="","",[2]Baskol!$D$735)</f>
        <v/>
      </c>
      <c r="W732" t="str">
        <f>IF([2]Baskol!$E$735="","",[2]Baskol!$E$735)</f>
        <v/>
      </c>
      <c r="X732" t="str">
        <f>IF([2]Baskol!$G$735="","",[2]Baskol!$G$735)</f>
        <v/>
      </c>
      <c r="Y732" t="str">
        <f>IF([2]Baskol!$I$735="","",[2]Baskol!$I$735)</f>
        <v/>
      </c>
      <c r="Z732" t="str">
        <f>IF([2]Baskol!$J$735="","",[2]Baskol!$J$735)</f>
        <v/>
      </c>
      <c r="AA732" t="str">
        <f>IF([2]Baskol!$K$735="","",[2]Baskol!$K$735)</f>
        <v/>
      </c>
      <c r="AB732" t="str">
        <f>IF([2]Baskol!$L$735="","",[2]Baskol!$L$735)</f>
        <v/>
      </c>
      <c r="AC732" t="str">
        <f>IF([2]Baskol!$N$735="","",[2]Baskol!$N$735)</f>
        <v/>
      </c>
      <c r="AD732" t="str">
        <f>IF([2]Baskol!$O$735="","",[2]Baskol!$O$735)</f>
        <v/>
      </c>
      <c r="AE732" t="str">
        <f>IF([3]Entry!$C$735="","",[3]Entry!$C$735)</f>
        <v/>
      </c>
      <c r="AF732" t="str">
        <f>IF([3]Entry!$D$735="","",[3]Entry!$D$735)</f>
        <v/>
      </c>
      <c r="AG732" t="str">
        <f>IF([3]Entry!$E$735="","",[3]Entry!$E$735)</f>
        <v/>
      </c>
      <c r="AH732" t="str">
        <f>IF([3]Entry!$G$735="","",[3]Entry!$G$735)</f>
        <v/>
      </c>
      <c r="AI732" t="str">
        <f>IF([3]Entry!$K$735="","",[3]Entry!$K$735)</f>
        <v/>
      </c>
      <c r="AJ732" t="str">
        <f>IF([3]Entry!$L$735="","",[3]Entry!$L$735)</f>
        <v/>
      </c>
      <c r="AK732" t="str">
        <f>IF([3]Entry!$M$735="","",[3]Entry!$M$735)</f>
        <v/>
      </c>
      <c r="AL732" t="str">
        <f>IF([3]Entry!$N$735="","",[3]Entry!$N$735)</f>
        <v/>
      </c>
      <c r="AM732" t="str">
        <f>IF([3]Entry!$R$735="","",[3]Entry!$R$735)</f>
        <v/>
      </c>
    </row>
    <row r="733" spans="20:39" x14ac:dyDescent="0.2">
      <c r="T733" t="str">
        <f>IF([2]Baskol!$B$736="","",[2]Baskol!$B$736)</f>
        <v/>
      </c>
      <c r="U733" t="str">
        <f>IF([2]Baskol!$C$736="","",[2]Baskol!$C$736)</f>
        <v/>
      </c>
      <c r="V733" t="str">
        <f>IF([2]Baskol!$D$736="","",[2]Baskol!$D$736)</f>
        <v/>
      </c>
      <c r="W733" t="str">
        <f>IF([2]Baskol!$E$736="","",[2]Baskol!$E$736)</f>
        <v/>
      </c>
      <c r="X733" t="str">
        <f>IF([2]Baskol!$G$736="","",[2]Baskol!$G$736)</f>
        <v/>
      </c>
      <c r="Y733" t="str">
        <f>IF([2]Baskol!$I$736="","",[2]Baskol!$I$736)</f>
        <v/>
      </c>
      <c r="Z733" t="str">
        <f>IF([2]Baskol!$J$736="","",[2]Baskol!$J$736)</f>
        <v/>
      </c>
      <c r="AA733" t="str">
        <f>IF([2]Baskol!$K$736="","",[2]Baskol!$K$736)</f>
        <v/>
      </c>
      <c r="AB733" t="str">
        <f>IF([2]Baskol!$L$736="","",[2]Baskol!$L$736)</f>
        <v/>
      </c>
      <c r="AC733" t="str">
        <f>IF([2]Baskol!$N$736="","",[2]Baskol!$N$736)</f>
        <v/>
      </c>
      <c r="AD733" t="str">
        <f>IF([2]Baskol!$O$736="","",[2]Baskol!$O$736)</f>
        <v/>
      </c>
      <c r="AE733" t="str">
        <f>IF([3]Entry!$C$736="","",[3]Entry!$C$736)</f>
        <v/>
      </c>
      <c r="AF733" t="str">
        <f>IF([3]Entry!$D$736="","",[3]Entry!$D$736)</f>
        <v/>
      </c>
      <c r="AG733" t="str">
        <f>IF([3]Entry!$E$736="","",[3]Entry!$E$736)</f>
        <v/>
      </c>
      <c r="AH733" t="str">
        <f>IF([3]Entry!$G$736="","",[3]Entry!$G$736)</f>
        <v/>
      </c>
      <c r="AI733" t="str">
        <f>IF([3]Entry!$K$736="","",[3]Entry!$K$736)</f>
        <v/>
      </c>
      <c r="AJ733" t="str">
        <f>IF([3]Entry!$L$736="","",[3]Entry!$L$736)</f>
        <v/>
      </c>
      <c r="AK733" t="str">
        <f>IF([3]Entry!$M$736="","",[3]Entry!$M$736)</f>
        <v/>
      </c>
      <c r="AL733" t="str">
        <f>IF([3]Entry!$N$736="","",[3]Entry!$N$736)</f>
        <v/>
      </c>
      <c r="AM733" t="str">
        <f>IF([3]Entry!$R$736="","",[3]Entry!$R$736)</f>
        <v/>
      </c>
    </row>
    <row r="734" spans="20:39" x14ac:dyDescent="0.2">
      <c r="T734" t="str">
        <f>IF([2]Baskol!$B$737="","",[2]Baskol!$B$737)</f>
        <v/>
      </c>
      <c r="U734" t="str">
        <f>IF([2]Baskol!$C$737="","",[2]Baskol!$C$737)</f>
        <v/>
      </c>
      <c r="V734" t="str">
        <f>IF([2]Baskol!$D$737="","",[2]Baskol!$D$737)</f>
        <v/>
      </c>
      <c r="W734" t="str">
        <f>IF([2]Baskol!$E$737="","",[2]Baskol!$E$737)</f>
        <v/>
      </c>
      <c r="X734" t="str">
        <f>IF([2]Baskol!$G$737="","",[2]Baskol!$G$737)</f>
        <v/>
      </c>
      <c r="Y734" t="str">
        <f>IF([2]Baskol!$I$737="","",[2]Baskol!$I$737)</f>
        <v/>
      </c>
      <c r="Z734" t="str">
        <f>IF([2]Baskol!$J$737="","",[2]Baskol!$J$737)</f>
        <v/>
      </c>
      <c r="AA734" t="str">
        <f>IF([2]Baskol!$K$737="","",[2]Baskol!$K$737)</f>
        <v/>
      </c>
      <c r="AB734" t="str">
        <f>IF([2]Baskol!$L$737="","",[2]Baskol!$L$737)</f>
        <v/>
      </c>
      <c r="AC734" t="str">
        <f>IF([2]Baskol!$N$737="","",[2]Baskol!$N$737)</f>
        <v/>
      </c>
      <c r="AD734" t="str">
        <f>IF([2]Baskol!$O$737="","",[2]Baskol!$O$737)</f>
        <v/>
      </c>
      <c r="AE734" t="str">
        <f>IF([3]Entry!$C$737="","",[3]Entry!$C$737)</f>
        <v/>
      </c>
      <c r="AF734" t="str">
        <f>IF([3]Entry!$D$737="","",[3]Entry!$D$737)</f>
        <v/>
      </c>
      <c r="AG734" t="str">
        <f>IF([3]Entry!$E$737="","",[3]Entry!$E$737)</f>
        <v/>
      </c>
      <c r="AH734" t="str">
        <f>IF([3]Entry!$G$737="","",[3]Entry!$G$737)</f>
        <v/>
      </c>
      <c r="AI734" t="str">
        <f>IF([3]Entry!$K$737="","",[3]Entry!$K$737)</f>
        <v/>
      </c>
      <c r="AJ734" t="str">
        <f>IF([3]Entry!$L$737="","",[3]Entry!$L$737)</f>
        <v/>
      </c>
      <c r="AK734" t="str">
        <f>IF([3]Entry!$M$737="","",[3]Entry!$M$737)</f>
        <v/>
      </c>
      <c r="AL734" t="str">
        <f>IF([3]Entry!$N$737="","",[3]Entry!$N$737)</f>
        <v/>
      </c>
      <c r="AM734" t="str">
        <f>IF([3]Entry!$R$737="","",[3]Entry!$R$737)</f>
        <v/>
      </c>
    </row>
    <row r="735" spans="20:39" x14ac:dyDescent="0.2">
      <c r="T735" t="str">
        <f>IF([2]Baskol!$B$738="","",[2]Baskol!$B$738)</f>
        <v/>
      </c>
      <c r="U735" t="str">
        <f>IF([2]Baskol!$C$738="","",[2]Baskol!$C$738)</f>
        <v/>
      </c>
      <c r="V735" t="str">
        <f>IF([2]Baskol!$D$738="","",[2]Baskol!$D$738)</f>
        <v/>
      </c>
      <c r="W735" t="str">
        <f>IF([2]Baskol!$E$738="","",[2]Baskol!$E$738)</f>
        <v/>
      </c>
      <c r="X735" t="str">
        <f>IF([2]Baskol!$G$738="","",[2]Baskol!$G$738)</f>
        <v/>
      </c>
      <c r="Y735" t="str">
        <f>IF([2]Baskol!$I$738="","",[2]Baskol!$I$738)</f>
        <v/>
      </c>
      <c r="Z735" t="str">
        <f>IF([2]Baskol!$J$738="","",[2]Baskol!$J$738)</f>
        <v/>
      </c>
      <c r="AA735" t="str">
        <f>IF([2]Baskol!$K$738="","",[2]Baskol!$K$738)</f>
        <v/>
      </c>
      <c r="AB735" t="str">
        <f>IF([2]Baskol!$L$738="","",[2]Baskol!$L$738)</f>
        <v/>
      </c>
      <c r="AC735" t="str">
        <f>IF([2]Baskol!$N$738="","",[2]Baskol!$N$738)</f>
        <v/>
      </c>
      <c r="AD735" t="str">
        <f>IF([2]Baskol!$O$738="","",[2]Baskol!$O$738)</f>
        <v/>
      </c>
      <c r="AE735" t="str">
        <f>IF([3]Entry!$C$738="","",[3]Entry!$C$738)</f>
        <v/>
      </c>
      <c r="AF735" t="str">
        <f>IF([3]Entry!$D$738="","",[3]Entry!$D$738)</f>
        <v/>
      </c>
      <c r="AG735" t="str">
        <f>IF([3]Entry!$E$738="","",[3]Entry!$E$738)</f>
        <v/>
      </c>
      <c r="AH735" t="str">
        <f>IF([3]Entry!$G$738="","",[3]Entry!$G$738)</f>
        <v/>
      </c>
      <c r="AI735" t="str">
        <f>IF([3]Entry!$K$738="","",[3]Entry!$K$738)</f>
        <v/>
      </c>
      <c r="AJ735" t="str">
        <f>IF([3]Entry!$L$738="","",[3]Entry!$L$738)</f>
        <v/>
      </c>
      <c r="AK735" t="str">
        <f>IF([3]Entry!$M$738="","",[3]Entry!$M$738)</f>
        <v/>
      </c>
      <c r="AL735" t="str">
        <f>IF([3]Entry!$N$738="","",[3]Entry!$N$738)</f>
        <v/>
      </c>
      <c r="AM735" t="str">
        <f>IF([3]Entry!$R$738="","",[3]Entry!$R$738)</f>
        <v/>
      </c>
    </row>
    <row r="736" spans="20:39" x14ac:dyDescent="0.2">
      <c r="T736" t="str">
        <f>IF([2]Baskol!$B$739="","",[2]Baskol!$B$739)</f>
        <v/>
      </c>
      <c r="U736" t="str">
        <f>IF([2]Baskol!$C$739="","",[2]Baskol!$C$739)</f>
        <v/>
      </c>
      <c r="V736" t="str">
        <f>IF([2]Baskol!$D$739="","",[2]Baskol!$D$739)</f>
        <v/>
      </c>
      <c r="W736" t="str">
        <f>IF([2]Baskol!$E$739="","",[2]Baskol!$E$739)</f>
        <v/>
      </c>
      <c r="X736" t="str">
        <f>IF([2]Baskol!$G$739="","",[2]Baskol!$G$739)</f>
        <v/>
      </c>
      <c r="Y736" t="str">
        <f>IF([2]Baskol!$I$739="","",[2]Baskol!$I$739)</f>
        <v/>
      </c>
      <c r="Z736" t="str">
        <f>IF([2]Baskol!$J$739="","",[2]Baskol!$J$739)</f>
        <v/>
      </c>
      <c r="AA736" t="str">
        <f>IF([2]Baskol!$K$739="","",[2]Baskol!$K$739)</f>
        <v/>
      </c>
      <c r="AB736" t="str">
        <f>IF([2]Baskol!$L$739="","",[2]Baskol!$L$739)</f>
        <v/>
      </c>
      <c r="AC736" t="str">
        <f>IF([2]Baskol!$N$739="","",[2]Baskol!$N$739)</f>
        <v/>
      </c>
      <c r="AD736" t="str">
        <f>IF([2]Baskol!$O$739="","",[2]Baskol!$O$739)</f>
        <v/>
      </c>
      <c r="AE736" t="str">
        <f>IF([3]Entry!$C$739="","",[3]Entry!$C$739)</f>
        <v/>
      </c>
      <c r="AF736" t="str">
        <f>IF([3]Entry!$D$739="","",[3]Entry!$D$739)</f>
        <v/>
      </c>
      <c r="AG736" t="str">
        <f>IF([3]Entry!$E$739="","",[3]Entry!$E$739)</f>
        <v/>
      </c>
      <c r="AH736" t="str">
        <f>IF([3]Entry!$G$739="","",[3]Entry!$G$739)</f>
        <v/>
      </c>
      <c r="AI736" t="str">
        <f>IF([3]Entry!$K$739="","",[3]Entry!$K$739)</f>
        <v/>
      </c>
      <c r="AJ736" t="str">
        <f>IF([3]Entry!$L$739="","",[3]Entry!$L$739)</f>
        <v/>
      </c>
      <c r="AK736" t="str">
        <f>IF([3]Entry!$M$739="","",[3]Entry!$M$739)</f>
        <v/>
      </c>
      <c r="AL736" t="str">
        <f>IF([3]Entry!$N$739="","",[3]Entry!$N$739)</f>
        <v/>
      </c>
      <c r="AM736" t="str">
        <f>IF([3]Entry!$R$739="","",[3]Entry!$R$739)</f>
        <v/>
      </c>
    </row>
    <row r="737" spans="20:39" x14ac:dyDescent="0.2">
      <c r="T737" t="str">
        <f>IF([2]Baskol!$B$740="","",[2]Baskol!$B$740)</f>
        <v/>
      </c>
      <c r="U737" t="str">
        <f>IF([2]Baskol!$C$740="","",[2]Baskol!$C$740)</f>
        <v/>
      </c>
      <c r="V737" t="str">
        <f>IF([2]Baskol!$D$740="","",[2]Baskol!$D$740)</f>
        <v/>
      </c>
      <c r="W737" t="str">
        <f>IF([2]Baskol!$E$740="","",[2]Baskol!$E$740)</f>
        <v/>
      </c>
      <c r="X737" t="str">
        <f>IF([2]Baskol!$G$740="","",[2]Baskol!$G$740)</f>
        <v/>
      </c>
      <c r="Y737" t="str">
        <f>IF([2]Baskol!$I$740="","",[2]Baskol!$I$740)</f>
        <v/>
      </c>
      <c r="Z737" t="str">
        <f>IF([2]Baskol!$J$740="","",[2]Baskol!$J$740)</f>
        <v/>
      </c>
      <c r="AA737" t="str">
        <f>IF([2]Baskol!$K$740="","",[2]Baskol!$K$740)</f>
        <v/>
      </c>
      <c r="AB737" t="str">
        <f>IF([2]Baskol!$L$740="","",[2]Baskol!$L$740)</f>
        <v/>
      </c>
      <c r="AC737" t="str">
        <f>IF([2]Baskol!$N$740="","",[2]Baskol!$N$740)</f>
        <v/>
      </c>
      <c r="AD737" t="str">
        <f>IF([2]Baskol!$O$740="","",[2]Baskol!$O$740)</f>
        <v/>
      </c>
      <c r="AE737" t="str">
        <f>IF([3]Entry!$C$740="","",[3]Entry!$C$740)</f>
        <v/>
      </c>
      <c r="AF737" t="str">
        <f>IF([3]Entry!$D$740="","",[3]Entry!$D$740)</f>
        <v/>
      </c>
      <c r="AG737" t="str">
        <f>IF([3]Entry!$E$740="","",[3]Entry!$E$740)</f>
        <v/>
      </c>
      <c r="AH737" t="str">
        <f>IF([3]Entry!$G$740="","",[3]Entry!$G$740)</f>
        <v/>
      </c>
      <c r="AI737" t="str">
        <f>IF([3]Entry!$K$740="","",[3]Entry!$K$740)</f>
        <v/>
      </c>
      <c r="AJ737" t="str">
        <f>IF([3]Entry!$L$740="","",[3]Entry!$L$740)</f>
        <v/>
      </c>
      <c r="AK737" t="str">
        <f>IF([3]Entry!$M$740="","",[3]Entry!$M$740)</f>
        <v/>
      </c>
      <c r="AL737" t="str">
        <f>IF([3]Entry!$N$740="","",[3]Entry!$N$740)</f>
        <v/>
      </c>
      <c r="AM737" t="str">
        <f>IF([3]Entry!$R$740="","",[3]Entry!$R$740)</f>
        <v/>
      </c>
    </row>
    <row r="738" spans="20:39" x14ac:dyDescent="0.2">
      <c r="T738" t="str">
        <f>IF([2]Baskol!$B$741="","",[2]Baskol!$B$741)</f>
        <v/>
      </c>
      <c r="U738" t="str">
        <f>IF([2]Baskol!$C$741="","",[2]Baskol!$C$741)</f>
        <v/>
      </c>
      <c r="V738" t="str">
        <f>IF([2]Baskol!$D$741="","",[2]Baskol!$D$741)</f>
        <v/>
      </c>
      <c r="W738" t="str">
        <f>IF([2]Baskol!$E$741="","",[2]Baskol!$E$741)</f>
        <v/>
      </c>
      <c r="X738" t="str">
        <f>IF([2]Baskol!$G$741="","",[2]Baskol!$G$741)</f>
        <v/>
      </c>
      <c r="Y738" t="str">
        <f>IF([2]Baskol!$I$741="","",[2]Baskol!$I$741)</f>
        <v/>
      </c>
      <c r="Z738" t="str">
        <f>IF([2]Baskol!$J$741="","",[2]Baskol!$J$741)</f>
        <v/>
      </c>
      <c r="AA738" t="str">
        <f>IF([2]Baskol!$K$741="","",[2]Baskol!$K$741)</f>
        <v/>
      </c>
      <c r="AB738" t="str">
        <f>IF([2]Baskol!$L$741="","",[2]Baskol!$L$741)</f>
        <v/>
      </c>
      <c r="AC738" t="str">
        <f>IF([2]Baskol!$N$741="","",[2]Baskol!$N$741)</f>
        <v/>
      </c>
      <c r="AD738" t="str">
        <f>IF([2]Baskol!$O$741="","",[2]Baskol!$O$741)</f>
        <v/>
      </c>
      <c r="AE738" t="str">
        <f>IF([3]Entry!$C$741="","",[3]Entry!$C$741)</f>
        <v/>
      </c>
      <c r="AF738" t="str">
        <f>IF([3]Entry!$D$741="","",[3]Entry!$D$741)</f>
        <v/>
      </c>
      <c r="AG738" t="str">
        <f>IF([3]Entry!$E$741="","",[3]Entry!$E$741)</f>
        <v/>
      </c>
      <c r="AH738" t="str">
        <f>IF([3]Entry!$G$741="","",[3]Entry!$G$741)</f>
        <v/>
      </c>
      <c r="AI738" t="str">
        <f>IF([3]Entry!$K$741="","",[3]Entry!$K$741)</f>
        <v/>
      </c>
      <c r="AJ738" t="str">
        <f>IF([3]Entry!$L$741="","",[3]Entry!$L$741)</f>
        <v/>
      </c>
      <c r="AK738" t="str">
        <f>IF([3]Entry!$M$741="","",[3]Entry!$M$741)</f>
        <v/>
      </c>
      <c r="AL738" t="str">
        <f>IF([3]Entry!$N$741="","",[3]Entry!$N$741)</f>
        <v/>
      </c>
      <c r="AM738" t="str">
        <f>IF([3]Entry!$R$741="","",[3]Entry!$R$741)</f>
        <v/>
      </c>
    </row>
    <row r="739" spans="20:39" x14ac:dyDescent="0.2">
      <c r="T739" t="str">
        <f>IF([2]Baskol!$B$742="","",[2]Baskol!$B$742)</f>
        <v/>
      </c>
      <c r="U739" t="str">
        <f>IF([2]Baskol!$C$742="","",[2]Baskol!$C$742)</f>
        <v/>
      </c>
      <c r="V739" t="str">
        <f>IF([2]Baskol!$D$742="","",[2]Baskol!$D$742)</f>
        <v/>
      </c>
      <c r="W739" t="str">
        <f>IF([2]Baskol!$E$742="","",[2]Baskol!$E$742)</f>
        <v/>
      </c>
      <c r="X739" t="str">
        <f>IF([2]Baskol!$G$742="","",[2]Baskol!$G$742)</f>
        <v/>
      </c>
      <c r="Y739" t="str">
        <f>IF([2]Baskol!$I$742="","",[2]Baskol!$I$742)</f>
        <v/>
      </c>
      <c r="Z739" t="str">
        <f>IF([2]Baskol!$J$742="","",[2]Baskol!$J$742)</f>
        <v/>
      </c>
      <c r="AA739" t="str">
        <f>IF([2]Baskol!$K$742="","",[2]Baskol!$K$742)</f>
        <v/>
      </c>
      <c r="AB739" t="str">
        <f>IF([2]Baskol!$L$742="","",[2]Baskol!$L$742)</f>
        <v/>
      </c>
      <c r="AC739" t="str">
        <f>IF([2]Baskol!$N$742="","",[2]Baskol!$N$742)</f>
        <v/>
      </c>
      <c r="AD739" t="str">
        <f>IF([2]Baskol!$O$742="","",[2]Baskol!$O$742)</f>
        <v/>
      </c>
      <c r="AE739" t="str">
        <f>IF([3]Entry!$C$742="","",[3]Entry!$C$742)</f>
        <v/>
      </c>
      <c r="AF739" t="str">
        <f>IF([3]Entry!$D$742="","",[3]Entry!$D$742)</f>
        <v/>
      </c>
      <c r="AG739" t="str">
        <f>IF([3]Entry!$E$742="","",[3]Entry!$E$742)</f>
        <v/>
      </c>
      <c r="AH739" t="str">
        <f>IF([3]Entry!$G$742="","",[3]Entry!$G$742)</f>
        <v/>
      </c>
      <c r="AI739" t="str">
        <f>IF([3]Entry!$K$742="","",[3]Entry!$K$742)</f>
        <v/>
      </c>
      <c r="AJ739" t="str">
        <f>IF([3]Entry!$L$742="","",[3]Entry!$L$742)</f>
        <v/>
      </c>
      <c r="AK739" t="str">
        <f>IF([3]Entry!$M$742="","",[3]Entry!$M$742)</f>
        <v/>
      </c>
      <c r="AL739" t="str">
        <f>IF([3]Entry!$N$742="","",[3]Entry!$N$742)</f>
        <v/>
      </c>
      <c r="AM739" t="str">
        <f>IF([3]Entry!$R$742="","",[3]Entry!$R$742)</f>
        <v/>
      </c>
    </row>
    <row r="740" spans="20:39" x14ac:dyDescent="0.2">
      <c r="T740" t="str">
        <f>IF([2]Baskol!$B$743="","",[2]Baskol!$B$743)</f>
        <v/>
      </c>
      <c r="U740" t="str">
        <f>IF([2]Baskol!$C$743="","",[2]Baskol!$C$743)</f>
        <v/>
      </c>
      <c r="V740" t="str">
        <f>IF([2]Baskol!$D$743="","",[2]Baskol!$D$743)</f>
        <v/>
      </c>
      <c r="W740" t="str">
        <f>IF([2]Baskol!$E$743="","",[2]Baskol!$E$743)</f>
        <v/>
      </c>
      <c r="X740" t="str">
        <f>IF([2]Baskol!$G$743="","",[2]Baskol!$G$743)</f>
        <v/>
      </c>
      <c r="Y740" t="str">
        <f>IF([2]Baskol!$I$743="","",[2]Baskol!$I$743)</f>
        <v/>
      </c>
      <c r="Z740" t="str">
        <f>IF([2]Baskol!$J$743="","",[2]Baskol!$J$743)</f>
        <v/>
      </c>
      <c r="AA740" t="str">
        <f>IF([2]Baskol!$K$743="","",[2]Baskol!$K$743)</f>
        <v/>
      </c>
      <c r="AB740" t="str">
        <f>IF([2]Baskol!$L$743="","",[2]Baskol!$L$743)</f>
        <v/>
      </c>
      <c r="AC740" t="str">
        <f>IF([2]Baskol!$N$743="","",[2]Baskol!$N$743)</f>
        <v/>
      </c>
      <c r="AD740" t="str">
        <f>IF([2]Baskol!$O$743="","",[2]Baskol!$O$743)</f>
        <v/>
      </c>
      <c r="AE740" t="str">
        <f>IF([3]Entry!$C$743="","",[3]Entry!$C$743)</f>
        <v/>
      </c>
      <c r="AF740" t="str">
        <f>IF([3]Entry!$D$743="","",[3]Entry!$D$743)</f>
        <v/>
      </c>
      <c r="AG740" t="str">
        <f>IF([3]Entry!$E$743="","",[3]Entry!$E$743)</f>
        <v/>
      </c>
      <c r="AH740" t="str">
        <f>IF([3]Entry!$G$743="","",[3]Entry!$G$743)</f>
        <v/>
      </c>
      <c r="AI740" t="str">
        <f>IF([3]Entry!$K$743="","",[3]Entry!$K$743)</f>
        <v/>
      </c>
      <c r="AJ740" t="str">
        <f>IF([3]Entry!$L$743="","",[3]Entry!$L$743)</f>
        <v/>
      </c>
      <c r="AK740" t="str">
        <f>IF([3]Entry!$M$743="","",[3]Entry!$M$743)</f>
        <v/>
      </c>
      <c r="AL740" t="str">
        <f>IF([3]Entry!$N$743="","",[3]Entry!$N$743)</f>
        <v/>
      </c>
      <c r="AM740" t="str">
        <f>IF([3]Entry!$R$743="","",[3]Entry!$R$743)</f>
        <v/>
      </c>
    </row>
    <row r="741" spans="20:39" x14ac:dyDescent="0.2">
      <c r="T741" t="str">
        <f>IF([2]Baskol!$B$744="","",[2]Baskol!$B$744)</f>
        <v/>
      </c>
      <c r="U741" t="str">
        <f>IF([2]Baskol!$C$744="","",[2]Baskol!$C$744)</f>
        <v/>
      </c>
      <c r="V741" t="str">
        <f>IF([2]Baskol!$D$744="","",[2]Baskol!$D$744)</f>
        <v/>
      </c>
      <c r="W741" t="str">
        <f>IF([2]Baskol!$E$744="","",[2]Baskol!$E$744)</f>
        <v/>
      </c>
      <c r="X741" t="str">
        <f>IF([2]Baskol!$G$744="","",[2]Baskol!$G$744)</f>
        <v/>
      </c>
      <c r="Y741" t="str">
        <f>IF([2]Baskol!$I$744="","",[2]Baskol!$I$744)</f>
        <v/>
      </c>
      <c r="Z741" t="str">
        <f>IF([2]Baskol!$J$744="","",[2]Baskol!$J$744)</f>
        <v/>
      </c>
      <c r="AA741" t="str">
        <f>IF([2]Baskol!$K$744="","",[2]Baskol!$K$744)</f>
        <v/>
      </c>
      <c r="AB741" t="str">
        <f>IF([2]Baskol!$L$744="","",[2]Baskol!$L$744)</f>
        <v/>
      </c>
      <c r="AC741" t="str">
        <f>IF([2]Baskol!$N$744="","",[2]Baskol!$N$744)</f>
        <v/>
      </c>
      <c r="AD741" t="str">
        <f>IF([2]Baskol!$O$744="","",[2]Baskol!$O$744)</f>
        <v/>
      </c>
      <c r="AE741" t="str">
        <f>IF([3]Entry!$C$744="","",[3]Entry!$C$744)</f>
        <v/>
      </c>
      <c r="AF741" t="str">
        <f>IF([3]Entry!$D$744="","",[3]Entry!$D$744)</f>
        <v/>
      </c>
      <c r="AG741" t="str">
        <f>IF([3]Entry!$E$744="","",[3]Entry!$E$744)</f>
        <v/>
      </c>
      <c r="AH741" t="str">
        <f>IF([3]Entry!$G$744="","",[3]Entry!$G$744)</f>
        <v/>
      </c>
      <c r="AI741" t="str">
        <f>IF([3]Entry!$K$744="","",[3]Entry!$K$744)</f>
        <v/>
      </c>
      <c r="AJ741" t="str">
        <f>IF([3]Entry!$L$744="","",[3]Entry!$L$744)</f>
        <v/>
      </c>
      <c r="AK741" t="str">
        <f>IF([3]Entry!$M$744="","",[3]Entry!$M$744)</f>
        <v/>
      </c>
      <c r="AL741" t="str">
        <f>IF([3]Entry!$N$744="","",[3]Entry!$N$744)</f>
        <v/>
      </c>
      <c r="AM741" t="str">
        <f>IF([3]Entry!$R$744="","",[3]Entry!$R$744)</f>
        <v/>
      </c>
    </row>
    <row r="742" spans="20:39" x14ac:dyDescent="0.2">
      <c r="T742" t="str">
        <f>IF([2]Baskol!$B$745="","",[2]Baskol!$B$745)</f>
        <v/>
      </c>
      <c r="U742" t="str">
        <f>IF([2]Baskol!$C$745="","",[2]Baskol!$C$745)</f>
        <v/>
      </c>
      <c r="V742" t="str">
        <f>IF([2]Baskol!$D$745="","",[2]Baskol!$D$745)</f>
        <v/>
      </c>
      <c r="W742" t="str">
        <f>IF([2]Baskol!$E$745="","",[2]Baskol!$E$745)</f>
        <v/>
      </c>
      <c r="X742" t="str">
        <f>IF([2]Baskol!$G$745="","",[2]Baskol!$G$745)</f>
        <v/>
      </c>
      <c r="Y742" t="str">
        <f>IF([2]Baskol!$I$745="","",[2]Baskol!$I$745)</f>
        <v/>
      </c>
      <c r="Z742" t="str">
        <f>IF([2]Baskol!$J$745="","",[2]Baskol!$J$745)</f>
        <v/>
      </c>
      <c r="AA742" t="str">
        <f>IF([2]Baskol!$K$745="","",[2]Baskol!$K$745)</f>
        <v/>
      </c>
      <c r="AB742" t="str">
        <f>IF([2]Baskol!$L$745="","",[2]Baskol!$L$745)</f>
        <v/>
      </c>
      <c r="AC742" t="str">
        <f>IF([2]Baskol!$N$745="","",[2]Baskol!$N$745)</f>
        <v/>
      </c>
      <c r="AD742" t="str">
        <f>IF([2]Baskol!$O$745="","",[2]Baskol!$O$745)</f>
        <v/>
      </c>
      <c r="AE742" t="str">
        <f>IF([3]Entry!$C$745="","",[3]Entry!$C$745)</f>
        <v/>
      </c>
      <c r="AF742" t="str">
        <f>IF([3]Entry!$D$745="","",[3]Entry!$D$745)</f>
        <v/>
      </c>
      <c r="AG742" t="str">
        <f>IF([3]Entry!$E$745="","",[3]Entry!$E$745)</f>
        <v/>
      </c>
      <c r="AH742" t="str">
        <f>IF([3]Entry!$G$745="","",[3]Entry!$G$745)</f>
        <v/>
      </c>
      <c r="AI742" t="str">
        <f>IF([3]Entry!$K$745="","",[3]Entry!$K$745)</f>
        <v/>
      </c>
      <c r="AJ742" t="str">
        <f>IF([3]Entry!$L$745="","",[3]Entry!$L$745)</f>
        <v/>
      </c>
      <c r="AK742" t="str">
        <f>IF([3]Entry!$M$745="","",[3]Entry!$M$745)</f>
        <v/>
      </c>
      <c r="AL742" t="str">
        <f>IF([3]Entry!$N$745="","",[3]Entry!$N$745)</f>
        <v/>
      </c>
      <c r="AM742" t="str">
        <f>IF([3]Entry!$R$745="","",[3]Entry!$R$745)</f>
        <v/>
      </c>
    </row>
    <row r="743" spans="20:39" x14ac:dyDescent="0.2">
      <c r="T743" t="str">
        <f>IF([2]Baskol!$B$746="","",[2]Baskol!$B$746)</f>
        <v/>
      </c>
      <c r="U743" t="str">
        <f>IF([2]Baskol!$C$746="","",[2]Baskol!$C$746)</f>
        <v/>
      </c>
      <c r="V743" t="str">
        <f>IF([2]Baskol!$D$746="","",[2]Baskol!$D$746)</f>
        <v/>
      </c>
      <c r="W743" t="str">
        <f>IF([2]Baskol!$E$746="","",[2]Baskol!$E$746)</f>
        <v/>
      </c>
      <c r="X743" t="str">
        <f>IF([2]Baskol!$G$746="","",[2]Baskol!$G$746)</f>
        <v/>
      </c>
      <c r="Y743" t="str">
        <f>IF([2]Baskol!$I$746="","",[2]Baskol!$I$746)</f>
        <v/>
      </c>
      <c r="Z743" t="str">
        <f>IF([2]Baskol!$J$746="","",[2]Baskol!$J$746)</f>
        <v/>
      </c>
      <c r="AA743" t="str">
        <f>IF([2]Baskol!$K$746="","",[2]Baskol!$K$746)</f>
        <v/>
      </c>
      <c r="AB743" t="str">
        <f>IF([2]Baskol!$L$746="","",[2]Baskol!$L$746)</f>
        <v/>
      </c>
      <c r="AC743" t="str">
        <f>IF([2]Baskol!$N$746="","",[2]Baskol!$N$746)</f>
        <v/>
      </c>
      <c r="AD743" t="str">
        <f>IF([2]Baskol!$O$746="","",[2]Baskol!$O$746)</f>
        <v/>
      </c>
      <c r="AE743" t="str">
        <f>IF([3]Entry!$C$746="","",[3]Entry!$C$746)</f>
        <v/>
      </c>
      <c r="AF743" t="str">
        <f>IF([3]Entry!$D$746="","",[3]Entry!$D$746)</f>
        <v/>
      </c>
      <c r="AG743" t="str">
        <f>IF([3]Entry!$E$746="","",[3]Entry!$E$746)</f>
        <v/>
      </c>
      <c r="AH743" t="str">
        <f>IF([3]Entry!$G$746="","",[3]Entry!$G$746)</f>
        <v/>
      </c>
      <c r="AI743" t="str">
        <f>IF([3]Entry!$K$746="","",[3]Entry!$K$746)</f>
        <v/>
      </c>
      <c r="AJ743" t="str">
        <f>IF([3]Entry!$L$746="","",[3]Entry!$L$746)</f>
        <v/>
      </c>
      <c r="AK743" t="str">
        <f>IF([3]Entry!$M$746="","",[3]Entry!$M$746)</f>
        <v/>
      </c>
      <c r="AL743" t="str">
        <f>IF([3]Entry!$N$746="","",[3]Entry!$N$746)</f>
        <v/>
      </c>
      <c r="AM743" t="str">
        <f>IF([3]Entry!$R$746="","",[3]Entry!$R$746)</f>
        <v/>
      </c>
    </row>
    <row r="744" spans="20:39" x14ac:dyDescent="0.2">
      <c r="T744" t="str">
        <f>IF([2]Baskol!$B$747="","",[2]Baskol!$B$747)</f>
        <v/>
      </c>
      <c r="U744" t="str">
        <f>IF([2]Baskol!$C$747="","",[2]Baskol!$C$747)</f>
        <v/>
      </c>
      <c r="V744" t="str">
        <f>IF([2]Baskol!$D$747="","",[2]Baskol!$D$747)</f>
        <v/>
      </c>
      <c r="W744" t="str">
        <f>IF([2]Baskol!$E$747="","",[2]Baskol!$E$747)</f>
        <v/>
      </c>
      <c r="X744" t="str">
        <f>IF([2]Baskol!$G$747="","",[2]Baskol!$G$747)</f>
        <v/>
      </c>
      <c r="Y744" t="str">
        <f>IF([2]Baskol!$I$747="","",[2]Baskol!$I$747)</f>
        <v/>
      </c>
      <c r="Z744" t="str">
        <f>IF([2]Baskol!$J$747="","",[2]Baskol!$J$747)</f>
        <v/>
      </c>
      <c r="AA744" t="str">
        <f>IF([2]Baskol!$K$747="","",[2]Baskol!$K$747)</f>
        <v/>
      </c>
      <c r="AB744" t="str">
        <f>IF([2]Baskol!$L$747="","",[2]Baskol!$L$747)</f>
        <v/>
      </c>
      <c r="AC744" t="str">
        <f>IF([2]Baskol!$N$747="","",[2]Baskol!$N$747)</f>
        <v/>
      </c>
      <c r="AD744" t="str">
        <f>IF([2]Baskol!$O$747="","",[2]Baskol!$O$747)</f>
        <v/>
      </c>
      <c r="AE744" t="str">
        <f>IF([3]Entry!$C$747="","",[3]Entry!$C$747)</f>
        <v/>
      </c>
      <c r="AF744" t="str">
        <f>IF([3]Entry!$D$747="","",[3]Entry!$D$747)</f>
        <v/>
      </c>
      <c r="AG744" t="str">
        <f>IF([3]Entry!$E$747="","",[3]Entry!$E$747)</f>
        <v/>
      </c>
      <c r="AH744" t="str">
        <f>IF([3]Entry!$G$747="","",[3]Entry!$G$747)</f>
        <v/>
      </c>
      <c r="AI744" t="str">
        <f>IF([3]Entry!$K$747="","",[3]Entry!$K$747)</f>
        <v/>
      </c>
      <c r="AJ744" t="str">
        <f>IF([3]Entry!$L$747="","",[3]Entry!$L$747)</f>
        <v/>
      </c>
      <c r="AK744" t="str">
        <f>IF([3]Entry!$M$747="","",[3]Entry!$M$747)</f>
        <v/>
      </c>
      <c r="AL744" t="str">
        <f>IF([3]Entry!$N$747="","",[3]Entry!$N$747)</f>
        <v/>
      </c>
      <c r="AM744" t="str">
        <f>IF([3]Entry!$R$747="","",[3]Entry!$R$747)</f>
        <v/>
      </c>
    </row>
    <row r="745" spans="20:39" x14ac:dyDescent="0.2">
      <c r="T745" t="str">
        <f>IF([2]Baskol!$B$748="","",[2]Baskol!$B$748)</f>
        <v/>
      </c>
      <c r="U745" t="str">
        <f>IF([2]Baskol!$C$748="","",[2]Baskol!$C$748)</f>
        <v/>
      </c>
      <c r="V745" t="str">
        <f>IF([2]Baskol!$D$748="","",[2]Baskol!$D$748)</f>
        <v/>
      </c>
      <c r="W745" t="str">
        <f>IF([2]Baskol!$E$748="","",[2]Baskol!$E$748)</f>
        <v/>
      </c>
      <c r="X745" t="str">
        <f>IF([2]Baskol!$G$748="","",[2]Baskol!$G$748)</f>
        <v/>
      </c>
      <c r="Y745" t="str">
        <f>IF([2]Baskol!$I$748="","",[2]Baskol!$I$748)</f>
        <v/>
      </c>
      <c r="Z745" t="str">
        <f>IF([2]Baskol!$J$748="","",[2]Baskol!$J$748)</f>
        <v/>
      </c>
      <c r="AA745" t="str">
        <f>IF([2]Baskol!$K$748="","",[2]Baskol!$K$748)</f>
        <v/>
      </c>
      <c r="AB745" t="str">
        <f>IF([2]Baskol!$L$748="","",[2]Baskol!$L$748)</f>
        <v/>
      </c>
      <c r="AC745" t="str">
        <f>IF([2]Baskol!$N$748="","",[2]Baskol!$N$748)</f>
        <v/>
      </c>
      <c r="AD745" t="str">
        <f>IF([2]Baskol!$O$748="","",[2]Baskol!$O$748)</f>
        <v/>
      </c>
      <c r="AE745" t="str">
        <f>IF([3]Entry!$C$748="","",[3]Entry!$C$748)</f>
        <v/>
      </c>
      <c r="AF745" t="str">
        <f>IF([3]Entry!$D$748="","",[3]Entry!$D$748)</f>
        <v/>
      </c>
      <c r="AG745" t="str">
        <f>IF([3]Entry!$E$748="","",[3]Entry!$E$748)</f>
        <v/>
      </c>
      <c r="AH745" t="str">
        <f>IF([3]Entry!$G$748="","",[3]Entry!$G$748)</f>
        <v/>
      </c>
      <c r="AI745" t="str">
        <f>IF([3]Entry!$K$748="","",[3]Entry!$K$748)</f>
        <v/>
      </c>
      <c r="AJ745" t="str">
        <f>IF([3]Entry!$L$748="","",[3]Entry!$L$748)</f>
        <v/>
      </c>
      <c r="AK745" t="str">
        <f>IF([3]Entry!$M$748="","",[3]Entry!$M$748)</f>
        <v/>
      </c>
      <c r="AL745" t="str">
        <f>IF([3]Entry!$N$748="","",[3]Entry!$N$748)</f>
        <v/>
      </c>
      <c r="AM745" t="str">
        <f>IF([3]Entry!$R$748="","",[3]Entry!$R$748)</f>
        <v/>
      </c>
    </row>
    <row r="746" spans="20:39" x14ac:dyDescent="0.2">
      <c r="T746" t="str">
        <f>IF([2]Baskol!$B$749="","",[2]Baskol!$B$749)</f>
        <v/>
      </c>
      <c r="U746" t="str">
        <f>IF([2]Baskol!$C$749="","",[2]Baskol!$C$749)</f>
        <v/>
      </c>
      <c r="V746" t="str">
        <f>IF([2]Baskol!$D$749="","",[2]Baskol!$D$749)</f>
        <v/>
      </c>
      <c r="W746" t="str">
        <f>IF([2]Baskol!$E$749="","",[2]Baskol!$E$749)</f>
        <v/>
      </c>
      <c r="X746" t="str">
        <f>IF([2]Baskol!$G$749="","",[2]Baskol!$G$749)</f>
        <v/>
      </c>
      <c r="Y746" t="str">
        <f>IF([2]Baskol!$I$749="","",[2]Baskol!$I$749)</f>
        <v/>
      </c>
      <c r="Z746" t="str">
        <f>IF([2]Baskol!$J$749="","",[2]Baskol!$J$749)</f>
        <v/>
      </c>
      <c r="AA746" t="str">
        <f>IF([2]Baskol!$K$749="","",[2]Baskol!$K$749)</f>
        <v/>
      </c>
      <c r="AB746" t="str">
        <f>IF([2]Baskol!$L$749="","",[2]Baskol!$L$749)</f>
        <v/>
      </c>
      <c r="AC746" t="str">
        <f>IF([2]Baskol!$N$749="","",[2]Baskol!$N$749)</f>
        <v/>
      </c>
      <c r="AD746" t="str">
        <f>IF([2]Baskol!$O$749="","",[2]Baskol!$O$749)</f>
        <v/>
      </c>
      <c r="AE746" t="str">
        <f>IF([3]Entry!$C$749="","",[3]Entry!$C$749)</f>
        <v/>
      </c>
      <c r="AF746" t="str">
        <f>IF([3]Entry!$D$749="","",[3]Entry!$D$749)</f>
        <v/>
      </c>
      <c r="AG746" t="str">
        <f>IF([3]Entry!$E$749="","",[3]Entry!$E$749)</f>
        <v/>
      </c>
      <c r="AH746" t="str">
        <f>IF([3]Entry!$G$749="","",[3]Entry!$G$749)</f>
        <v/>
      </c>
      <c r="AI746" t="str">
        <f>IF([3]Entry!$K$749="","",[3]Entry!$K$749)</f>
        <v/>
      </c>
      <c r="AJ746" t="str">
        <f>IF([3]Entry!$L$749="","",[3]Entry!$L$749)</f>
        <v/>
      </c>
      <c r="AK746" t="str">
        <f>IF([3]Entry!$M$749="","",[3]Entry!$M$749)</f>
        <v/>
      </c>
      <c r="AL746" t="str">
        <f>IF([3]Entry!$N$749="","",[3]Entry!$N$749)</f>
        <v/>
      </c>
      <c r="AM746" t="str">
        <f>IF([3]Entry!$R$749="","",[3]Entry!$R$749)</f>
        <v/>
      </c>
    </row>
    <row r="747" spans="20:39" x14ac:dyDescent="0.2">
      <c r="T747" t="str">
        <f>IF([2]Baskol!$B$750="","",[2]Baskol!$B$750)</f>
        <v/>
      </c>
      <c r="U747" t="str">
        <f>IF([2]Baskol!$C$750="","",[2]Baskol!$C$750)</f>
        <v/>
      </c>
      <c r="V747" t="str">
        <f>IF([2]Baskol!$D$750="","",[2]Baskol!$D$750)</f>
        <v/>
      </c>
      <c r="W747" t="str">
        <f>IF([2]Baskol!$E$750="","",[2]Baskol!$E$750)</f>
        <v/>
      </c>
      <c r="X747" t="str">
        <f>IF([2]Baskol!$G$750="","",[2]Baskol!$G$750)</f>
        <v/>
      </c>
      <c r="Y747" t="str">
        <f>IF([2]Baskol!$I$750="","",[2]Baskol!$I$750)</f>
        <v/>
      </c>
      <c r="Z747" t="str">
        <f>IF([2]Baskol!$J$750="","",[2]Baskol!$J$750)</f>
        <v/>
      </c>
      <c r="AA747" t="str">
        <f>IF([2]Baskol!$K$750="","",[2]Baskol!$K$750)</f>
        <v/>
      </c>
      <c r="AB747" t="str">
        <f>IF([2]Baskol!$L$750="","",[2]Baskol!$L$750)</f>
        <v/>
      </c>
      <c r="AC747" t="str">
        <f>IF([2]Baskol!$N$750="","",[2]Baskol!$N$750)</f>
        <v/>
      </c>
      <c r="AD747" t="str">
        <f>IF([2]Baskol!$O$750="","",[2]Baskol!$O$750)</f>
        <v/>
      </c>
      <c r="AE747" t="str">
        <f>IF([3]Entry!$C$750="","",[3]Entry!$C$750)</f>
        <v/>
      </c>
      <c r="AF747" t="str">
        <f>IF([3]Entry!$D$750="","",[3]Entry!$D$750)</f>
        <v/>
      </c>
      <c r="AG747" t="str">
        <f>IF([3]Entry!$E$750="","",[3]Entry!$E$750)</f>
        <v/>
      </c>
      <c r="AH747" t="str">
        <f>IF([3]Entry!$G$750="","",[3]Entry!$G$750)</f>
        <v/>
      </c>
      <c r="AI747" t="str">
        <f>IF([3]Entry!$K$750="","",[3]Entry!$K$750)</f>
        <v/>
      </c>
      <c r="AJ747" t="str">
        <f>IF([3]Entry!$L$750="","",[3]Entry!$L$750)</f>
        <v/>
      </c>
      <c r="AK747" t="str">
        <f>IF([3]Entry!$M$750="","",[3]Entry!$M$750)</f>
        <v/>
      </c>
      <c r="AL747" t="str">
        <f>IF([3]Entry!$N$750="","",[3]Entry!$N$750)</f>
        <v/>
      </c>
      <c r="AM747" t="str">
        <f>IF([3]Entry!$R$750="","",[3]Entry!$R$750)</f>
        <v/>
      </c>
    </row>
    <row r="748" spans="20:39" x14ac:dyDescent="0.2">
      <c r="T748" t="str">
        <f>IF([2]Baskol!$B$751="","",[2]Baskol!$B$751)</f>
        <v/>
      </c>
      <c r="U748" t="str">
        <f>IF([2]Baskol!$C$751="","",[2]Baskol!$C$751)</f>
        <v/>
      </c>
      <c r="V748" t="str">
        <f>IF([2]Baskol!$D$751="","",[2]Baskol!$D$751)</f>
        <v/>
      </c>
      <c r="W748" t="str">
        <f>IF([2]Baskol!$E$751="","",[2]Baskol!$E$751)</f>
        <v/>
      </c>
      <c r="X748" t="str">
        <f>IF([2]Baskol!$G$751="","",[2]Baskol!$G$751)</f>
        <v/>
      </c>
      <c r="Y748" t="str">
        <f>IF([2]Baskol!$I$751="","",[2]Baskol!$I$751)</f>
        <v/>
      </c>
      <c r="Z748" t="str">
        <f>IF([2]Baskol!$J$751="","",[2]Baskol!$J$751)</f>
        <v/>
      </c>
      <c r="AA748" t="str">
        <f>IF([2]Baskol!$K$751="","",[2]Baskol!$K$751)</f>
        <v/>
      </c>
      <c r="AB748" t="str">
        <f>IF([2]Baskol!$L$751="","",[2]Baskol!$L$751)</f>
        <v/>
      </c>
      <c r="AC748" t="str">
        <f>IF([2]Baskol!$N$751="","",[2]Baskol!$N$751)</f>
        <v/>
      </c>
      <c r="AD748" t="str">
        <f>IF([2]Baskol!$O$751="","",[2]Baskol!$O$751)</f>
        <v/>
      </c>
      <c r="AE748" t="str">
        <f>IF([3]Entry!$C$751="","",[3]Entry!$C$751)</f>
        <v/>
      </c>
      <c r="AF748" t="str">
        <f>IF([3]Entry!$D$751="","",[3]Entry!$D$751)</f>
        <v/>
      </c>
      <c r="AG748" t="str">
        <f>IF([3]Entry!$E$751="","",[3]Entry!$E$751)</f>
        <v/>
      </c>
      <c r="AH748" t="str">
        <f>IF([3]Entry!$G$751="","",[3]Entry!$G$751)</f>
        <v/>
      </c>
      <c r="AI748" t="str">
        <f>IF([3]Entry!$K$751="","",[3]Entry!$K$751)</f>
        <v/>
      </c>
      <c r="AJ748" t="str">
        <f>IF([3]Entry!$L$751="","",[3]Entry!$L$751)</f>
        <v/>
      </c>
      <c r="AK748" t="str">
        <f>IF([3]Entry!$M$751="","",[3]Entry!$M$751)</f>
        <v/>
      </c>
      <c r="AL748" t="str">
        <f>IF([3]Entry!$N$751="","",[3]Entry!$N$751)</f>
        <v/>
      </c>
      <c r="AM748" t="str">
        <f>IF([3]Entry!$R$751="","",[3]Entry!$R$751)</f>
        <v/>
      </c>
    </row>
    <row r="749" spans="20:39" x14ac:dyDescent="0.2">
      <c r="T749" t="str">
        <f>IF([2]Baskol!$B$752="","",[2]Baskol!$B$752)</f>
        <v/>
      </c>
      <c r="U749" t="str">
        <f>IF([2]Baskol!$C$752="","",[2]Baskol!$C$752)</f>
        <v/>
      </c>
      <c r="V749" t="str">
        <f>IF([2]Baskol!$D$752="","",[2]Baskol!$D$752)</f>
        <v/>
      </c>
      <c r="W749" t="str">
        <f>IF([2]Baskol!$E$752="","",[2]Baskol!$E$752)</f>
        <v/>
      </c>
      <c r="X749" t="str">
        <f>IF([2]Baskol!$G$752="","",[2]Baskol!$G$752)</f>
        <v/>
      </c>
      <c r="Y749" t="str">
        <f>IF([2]Baskol!$I$752="","",[2]Baskol!$I$752)</f>
        <v/>
      </c>
      <c r="Z749" t="str">
        <f>IF([2]Baskol!$J$752="","",[2]Baskol!$J$752)</f>
        <v/>
      </c>
      <c r="AA749" t="str">
        <f>IF([2]Baskol!$K$752="","",[2]Baskol!$K$752)</f>
        <v/>
      </c>
      <c r="AB749" t="str">
        <f>IF([2]Baskol!$L$752="","",[2]Baskol!$L$752)</f>
        <v/>
      </c>
      <c r="AC749" t="str">
        <f>IF([2]Baskol!$N$752="","",[2]Baskol!$N$752)</f>
        <v/>
      </c>
      <c r="AD749" t="str">
        <f>IF([2]Baskol!$O$752="","",[2]Baskol!$O$752)</f>
        <v/>
      </c>
      <c r="AE749" t="str">
        <f>IF([3]Entry!$C$752="","",[3]Entry!$C$752)</f>
        <v/>
      </c>
      <c r="AF749" t="str">
        <f>IF([3]Entry!$D$752="","",[3]Entry!$D$752)</f>
        <v/>
      </c>
      <c r="AG749" t="str">
        <f>IF([3]Entry!$E$752="","",[3]Entry!$E$752)</f>
        <v/>
      </c>
      <c r="AH749" t="str">
        <f>IF([3]Entry!$G$752="","",[3]Entry!$G$752)</f>
        <v/>
      </c>
      <c r="AI749" t="str">
        <f>IF([3]Entry!$K$752="","",[3]Entry!$K$752)</f>
        <v/>
      </c>
      <c r="AJ749" t="str">
        <f>IF([3]Entry!$L$752="","",[3]Entry!$L$752)</f>
        <v/>
      </c>
      <c r="AK749" t="str">
        <f>IF([3]Entry!$M$752="","",[3]Entry!$M$752)</f>
        <v/>
      </c>
      <c r="AL749" t="str">
        <f>IF([3]Entry!$N$752="","",[3]Entry!$N$752)</f>
        <v/>
      </c>
      <c r="AM749" t="str">
        <f>IF([3]Entry!$R$752="","",[3]Entry!$R$752)</f>
        <v/>
      </c>
    </row>
    <row r="750" spans="20:39" x14ac:dyDescent="0.2">
      <c r="T750" t="str">
        <f>IF([2]Baskol!$B$753="","",[2]Baskol!$B$753)</f>
        <v/>
      </c>
      <c r="U750" t="str">
        <f>IF([2]Baskol!$C$753="","",[2]Baskol!$C$753)</f>
        <v/>
      </c>
      <c r="V750" t="str">
        <f>IF([2]Baskol!$D$753="","",[2]Baskol!$D$753)</f>
        <v/>
      </c>
      <c r="W750" t="str">
        <f>IF([2]Baskol!$E$753="","",[2]Baskol!$E$753)</f>
        <v/>
      </c>
      <c r="X750" t="str">
        <f>IF([2]Baskol!$G$753="","",[2]Baskol!$G$753)</f>
        <v/>
      </c>
      <c r="Y750" t="str">
        <f>IF([2]Baskol!$I$753="","",[2]Baskol!$I$753)</f>
        <v/>
      </c>
      <c r="Z750" t="str">
        <f>IF([2]Baskol!$J$753="","",[2]Baskol!$J$753)</f>
        <v/>
      </c>
      <c r="AA750" t="str">
        <f>IF([2]Baskol!$K$753="","",[2]Baskol!$K$753)</f>
        <v/>
      </c>
      <c r="AB750" t="str">
        <f>IF([2]Baskol!$L$753="","",[2]Baskol!$L$753)</f>
        <v/>
      </c>
      <c r="AC750" t="str">
        <f>IF([2]Baskol!$N$753="","",[2]Baskol!$N$753)</f>
        <v/>
      </c>
      <c r="AD750" t="str">
        <f>IF([2]Baskol!$O$753="","",[2]Baskol!$O$753)</f>
        <v/>
      </c>
      <c r="AE750" t="str">
        <f>IF([3]Entry!$C$753="","",[3]Entry!$C$753)</f>
        <v/>
      </c>
      <c r="AF750" t="str">
        <f>IF([3]Entry!$D$753="","",[3]Entry!$D$753)</f>
        <v/>
      </c>
      <c r="AG750" t="str">
        <f>IF([3]Entry!$E$753="","",[3]Entry!$E$753)</f>
        <v/>
      </c>
      <c r="AH750" t="str">
        <f>IF([3]Entry!$G$753="","",[3]Entry!$G$753)</f>
        <v/>
      </c>
      <c r="AI750" t="str">
        <f>IF([3]Entry!$K$753="","",[3]Entry!$K$753)</f>
        <v/>
      </c>
      <c r="AJ750" t="str">
        <f>IF([3]Entry!$L$753="","",[3]Entry!$L$753)</f>
        <v/>
      </c>
      <c r="AK750" t="str">
        <f>IF([3]Entry!$M$753="","",[3]Entry!$M$753)</f>
        <v/>
      </c>
      <c r="AL750" t="str">
        <f>IF([3]Entry!$N$753="","",[3]Entry!$N$753)</f>
        <v/>
      </c>
      <c r="AM750" t="str">
        <f>IF([3]Entry!$R$753="","",[3]Entry!$R$753)</f>
        <v/>
      </c>
    </row>
    <row r="751" spans="20:39" x14ac:dyDescent="0.2">
      <c r="T751" t="str">
        <f>IF([2]Baskol!$B$754="","",[2]Baskol!$B$754)</f>
        <v/>
      </c>
      <c r="U751" t="str">
        <f>IF([2]Baskol!$C$754="","",[2]Baskol!$C$754)</f>
        <v/>
      </c>
      <c r="V751" t="str">
        <f>IF([2]Baskol!$D$754="","",[2]Baskol!$D$754)</f>
        <v/>
      </c>
      <c r="W751" t="str">
        <f>IF([2]Baskol!$E$754="","",[2]Baskol!$E$754)</f>
        <v/>
      </c>
      <c r="X751" t="str">
        <f>IF([2]Baskol!$G$754="","",[2]Baskol!$G$754)</f>
        <v/>
      </c>
      <c r="Y751" t="str">
        <f>IF([2]Baskol!$I$754="","",[2]Baskol!$I$754)</f>
        <v/>
      </c>
      <c r="Z751" t="str">
        <f>IF([2]Baskol!$J$754="","",[2]Baskol!$J$754)</f>
        <v/>
      </c>
      <c r="AA751" t="str">
        <f>IF([2]Baskol!$K$754="","",[2]Baskol!$K$754)</f>
        <v/>
      </c>
      <c r="AB751" t="str">
        <f>IF([2]Baskol!$L$754="","",[2]Baskol!$L$754)</f>
        <v/>
      </c>
      <c r="AC751" t="str">
        <f>IF([2]Baskol!$N$754="","",[2]Baskol!$N$754)</f>
        <v/>
      </c>
      <c r="AD751" t="str">
        <f>IF([2]Baskol!$O$754="","",[2]Baskol!$O$754)</f>
        <v/>
      </c>
      <c r="AE751" t="str">
        <f>IF([3]Entry!$C$754="","",[3]Entry!$C$754)</f>
        <v/>
      </c>
      <c r="AF751" t="str">
        <f>IF([3]Entry!$D$754="","",[3]Entry!$D$754)</f>
        <v/>
      </c>
      <c r="AG751" t="str">
        <f>IF([3]Entry!$E$754="","",[3]Entry!$E$754)</f>
        <v/>
      </c>
      <c r="AH751" t="str">
        <f>IF([3]Entry!$G$754="","",[3]Entry!$G$754)</f>
        <v/>
      </c>
      <c r="AI751" t="str">
        <f>IF([3]Entry!$K$754="","",[3]Entry!$K$754)</f>
        <v/>
      </c>
      <c r="AJ751" t="str">
        <f>IF([3]Entry!$L$754="","",[3]Entry!$L$754)</f>
        <v/>
      </c>
      <c r="AK751" t="str">
        <f>IF([3]Entry!$M$754="","",[3]Entry!$M$754)</f>
        <v/>
      </c>
      <c r="AL751" t="str">
        <f>IF([3]Entry!$N$754="","",[3]Entry!$N$754)</f>
        <v/>
      </c>
      <c r="AM751" t="str">
        <f>IF([3]Entry!$R$754="","",[3]Entry!$R$754)</f>
        <v/>
      </c>
    </row>
    <row r="752" spans="20:39" x14ac:dyDescent="0.2">
      <c r="T752" t="str">
        <f>IF([2]Baskol!$B$755="","",[2]Baskol!$B$755)</f>
        <v/>
      </c>
      <c r="U752" t="str">
        <f>IF([2]Baskol!$C$755="","",[2]Baskol!$C$755)</f>
        <v/>
      </c>
      <c r="V752" t="str">
        <f>IF([2]Baskol!$D$755="","",[2]Baskol!$D$755)</f>
        <v/>
      </c>
      <c r="W752" t="str">
        <f>IF([2]Baskol!$E$755="","",[2]Baskol!$E$755)</f>
        <v/>
      </c>
      <c r="X752" t="str">
        <f>IF([2]Baskol!$G$755="","",[2]Baskol!$G$755)</f>
        <v/>
      </c>
      <c r="Y752" t="str">
        <f>IF([2]Baskol!$I$755="","",[2]Baskol!$I$755)</f>
        <v/>
      </c>
      <c r="Z752" t="str">
        <f>IF([2]Baskol!$J$755="","",[2]Baskol!$J$755)</f>
        <v/>
      </c>
      <c r="AA752" t="str">
        <f>IF([2]Baskol!$K$755="","",[2]Baskol!$K$755)</f>
        <v/>
      </c>
      <c r="AB752" t="str">
        <f>IF([2]Baskol!$L$755="","",[2]Baskol!$L$755)</f>
        <v/>
      </c>
      <c r="AC752" t="str">
        <f>IF([2]Baskol!$N$755="","",[2]Baskol!$N$755)</f>
        <v/>
      </c>
      <c r="AD752" t="str">
        <f>IF([2]Baskol!$O$755="","",[2]Baskol!$O$755)</f>
        <v/>
      </c>
      <c r="AE752" t="str">
        <f>IF([3]Entry!$C$755="","",[3]Entry!$C$755)</f>
        <v/>
      </c>
      <c r="AF752" t="str">
        <f>IF([3]Entry!$D$755="","",[3]Entry!$D$755)</f>
        <v/>
      </c>
      <c r="AG752" t="str">
        <f>IF([3]Entry!$E$755="","",[3]Entry!$E$755)</f>
        <v/>
      </c>
      <c r="AH752" t="str">
        <f>IF([3]Entry!$G$755="","",[3]Entry!$G$755)</f>
        <v/>
      </c>
      <c r="AI752" t="str">
        <f>IF([3]Entry!$K$755="","",[3]Entry!$K$755)</f>
        <v/>
      </c>
      <c r="AJ752" t="str">
        <f>IF([3]Entry!$L$755="","",[3]Entry!$L$755)</f>
        <v/>
      </c>
      <c r="AK752" t="str">
        <f>IF([3]Entry!$M$755="","",[3]Entry!$M$755)</f>
        <v/>
      </c>
      <c r="AL752" t="str">
        <f>IF([3]Entry!$N$755="","",[3]Entry!$N$755)</f>
        <v/>
      </c>
      <c r="AM752" t="str">
        <f>IF([3]Entry!$R$755="","",[3]Entry!$R$755)</f>
        <v/>
      </c>
    </row>
    <row r="753" spans="20:39" x14ac:dyDescent="0.2">
      <c r="T753" t="str">
        <f>IF([2]Baskol!$B$756="","",[2]Baskol!$B$756)</f>
        <v/>
      </c>
      <c r="U753" t="str">
        <f>IF([2]Baskol!$C$756="","",[2]Baskol!$C$756)</f>
        <v/>
      </c>
      <c r="V753" t="str">
        <f>IF([2]Baskol!$D$756="","",[2]Baskol!$D$756)</f>
        <v/>
      </c>
      <c r="W753" t="str">
        <f>IF([2]Baskol!$E$756="","",[2]Baskol!$E$756)</f>
        <v/>
      </c>
      <c r="X753" t="str">
        <f>IF([2]Baskol!$G$756="","",[2]Baskol!$G$756)</f>
        <v/>
      </c>
      <c r="Y753" t="str">
        <f>IF([2]Baskol!$I$756="","",[2]Baskol!$I$756)</f>
        <v/>
      </c>
      <c r="Z753" t="str">
        <f>IF([2]Baskol!$J$756="","",[2]Baskol!$J$756)</f>
        <v/>
      </c>
      <c r="AA753" t="str">
        <f>IF([2]Baskol!$K$756="","",[2]Baskol!$K$756)</f>
        <v/>
      </c>
      <c r="AB753" t="str">
        <f>IF([2]Baskol!$L$756="","",[2]Baskol!$L$756)</f>
        <v/>
      </c>
      <c r="AC753" t="str">
        <f>IF([2]Baskol!$N$756="","",[2]Baskol!$N$756)</f>
        <v/>
      </c>
      <c r="AD753" t="str">
        <f>IF([2]Baskol!$O$756="","",[2]Baskol!$O$756)</f>
        <v/>
      </c>
      <c r="AE753" t="str">
        <f>IF([3]Entry!$C$756="","",[3]Entry!$C$756)</f>
        <v/>
      </c>
      <c r="AF753" t="str">
        <f>IF([3]Entry!$D$756="","",[3]Entry!$D$756)</f>
        <v/>
      </c>
      <c r="AG753" t="str">
        <f>IF([3]Entry!$E$756="","",[3]Entry!$E$756)</f>
        <v/>
      </c>
      <c r="AH753" t="str">
        <f>IF([3]Entry!$G$756="","",[3]Entry!$G$756)</f>
        <v/>
      </c>
      <c r="AI753" t="str">
        <f>IF([3]Entry!$K$756="","",[3]Entry!$K$756)</f>
        <v/>
      </c>
      <c r="AJ753" t="str">
        <f>IF([3]Entry!$L$756="","",[3]Entry!$L$756)</f>
        <v/>
      </c>
      <c r="AK753" t="str">
        <f>IF([3]Entry!$M$756="","",[3]Entry!$M$756)</f>
        <v/>
      </c>
      <c r="AL753" t="str">
        <f>IF([3]Entry!$N$756="","",[3]Entry!$N$756)</f>
        <v/>
      </c>
      <c r="AM753" t="str">
        <f>IF([3]Entry!$R$756="","",[3]Entry!$R$756)</f>
        <v/>
      </c>
    </row>
    <row r="754" spans="20:39" x14ac:dyDescent="0.2">
      <c r="T754" t="str">
        <f>IF([2]Baskol!$B$757="","",[2]Baskol!$B$757)</f>
        <v/>
      </c>
      <c r="U754" t="str">
        <f>IF([2]Baskol!$C$757="","",[2]Baskol!$C$757)</f>
        <v/>
      </c>
      <c r="V754" t="str">
        <f>IF([2]Baskol!$D$757="","",[2]Baskol!$D$757)</f>
        <v/>
      </c>
      <c r="W754" t="str">
        <f>IF([2]Baskol!$E$757="","",[2]Baskol!$E$757)</f>
        <v/>
      </c>
      <c r="X754" t="str">
        <f>IF([2]Baskol!$G$757="","",[2]Baskol!$G$757)</f>
        <v/>
      </c>
      <c r="Y754" t="str">
        <f>IF([2]Baskol!$I$757="","",[2]Baskol!$I$757)</f>
        <v/>
      </c>
      <c r="Z754" t="str">
        <f>IF([2]Baskol!$J$757="","",[2]Baskol!$J$757)</f>
        <v/>
      </c>
      <c r="AA754" t="str">
        <f>IF([2]Baskol!$K$757="","",[2]Baskol!$K$757)</f>
        <v/>
      </c>
      <c r="AB754" t="str">
        <f>IF([2]Baskol!$L$757="","",[2]Baskol!$L$757)</f>
        <v/>
      </c>
      <c r="AC754" t="str">
        <f>IF([2]Baskol!$N$757="","",[2]Baskol!$N$757)</f>
        <v/>
      </c>
      <c r="AD754" t="str">
        <f>IF([2]Baskol!$O$757="","",[2]Baskol!$O$757)</f>
        <v/>
      </c>
      <c r="AE754" t="str">
        <f>IF([3]Entry!$C$757="","",[3]Entry!$C$757)</f>
        <v/>
      </c>
      <c r="AF754" t="str">
        <f>IF([3]Entry!$D$757="","",[3]Entry!$D$757)</f>
        <v/>
      </c>
      <c r="AG754" t="str">
        <f>IF([3]Entry!$E$757="","",[3]Entry!$E$757)</f>
        <v/>
      </c>
      <c r="AH754" t="str">
        <f>IF([3]Entry!$G$757="","",[3]Entry!$G$757)</f>
        <v/>
      </c>
      <c r="AI754" t="str">
        <f>IF([3]Entry!$K$757="","",[3]Entry!$K$757)</f>
        <v/>
      </c>
      <c r="AJ754" t="str">
        <f>IF([3]Entry!$L$757="","",[3]Entry!$L$757)</f>
        <v/>
      </c>
      <c r="AK754" t="str">
        <f>IF([3]Entry!$M$757="","",[3]Entry!$M$757)</f>
        <v/>
      </c>
      <c r="AL754" t="str">
        <f>IF([3]Entry!$N$757="","",[3]Entry!$N$757)</f>
        <v/>
      </c>
      <c r="AM754" t="str">
        <f>IF([3]Entry!$R$757="","",[3]Entry!$R$757)</f>
        <v/>
      </c>
    </row>
    <row r="755" spans="20:39" x14ac:dyDescent="0.2">
      <c r="T755" t="str">
        <f>IF([2]Baskol!$B$758="","",[2]Baskol!$B$758)</f>
        <v/>
      </c>
      <c r="U755" t="str">
        <f>IF([2]Baskol!$C$758="","",[2]Baskol!$C$758)</f>
        <v/>
      </c>
      <c r="V755" t="str">
        <f>IF([2]Baskol!$D$758="","",[2]Baskol!$D$758)</f>
        <v/>
      </c>
      <c r="W755" t="str">
        <f>IF([2]Baskol!$E$758="","",[2]Baskol!$E$758)</f>
        <v/>
      </c>
      <c r="X755" t="str">
        <f>IF([2]Baskol!$G$758="","",[2]Baskol!$G$758)</f>
        <v/>
      </c>
      <c r="Y755" t="str">
        <f>IF([2]Baskol!$I$758="","",[2]Baskol!$I$758)</f>
        <v/>
      </c>
      <c r="Z755" t="str">
        <f>IF([2]Baskol!$J$758="","",[2]Baskol!$J$758)</f>
        <v/>
      </c>
      <c r="AA755" t="str">
        <f>IF([2]Baskol!$K$758="","",[2]Baskol!$K$758)</f>
        <v/>
      </c>
      <c r="AB755" t="str">
        <f>IF([2]Baskol!$L$758="","",[2]Baskol!$L$758)</f>
        <v/>
      </c>
      <c r="AC755" t="str">
        <f>IF([2]Baskol!$N$758="","",[2]Baskol!$N$758)</f>
        <v/>
      </c>
      <c r="AD755" t="str">
        <f>IF([2]Baskol!$O$758="","",[2]Baskol!$O$758)</f>
        <v/>
      </c>
      <c r="AE755" t="str">
        <f>IF([3]Entry!$C$758="","",[3]Entry!$C$758)</f>
        <v/>
      </c>
      <c r="AF755" t="str">
        <f>IF([3]Entry!$D$758="","",[3]Entry!$D$758)</f>
        <v/>
      </c>
      <c r="AG755" t="str">
        <f>IF([3]Entry!$E$758="","",[3]Entry!$E$758)</f>
        <v/>
      </c>
      <c r="AH755" t="str">
        <f>IF([3]Entry!$G$758="","",[3]Entry!$G$758)</f>
        <v/>
      </c>
      <c r="AI755" t="str">
        <f>IF([3]Entry!$K$758="","",[3]Entry!$K$758)</f>
        <v/>
      </c>
      <c r="AJ755" t="str">
        <f>IF([3]Entry!$L$758="","",[3]Entry!$L$758)</f>
        <v/>
      </c>
      <c r="AK755" t="str">
        <f>IF([3]Entry!$M$758="","",[3]Entry!$M$758)</f>
        <v/>
      </c>
      <c r="AL755" t="str">
        <f>IF([3]Entry!$N$758="","",[3]Entry!$N$758)</f>
        <v/>
      </c>
      <c r="AM755" t="str">
        <f>IF([3]Entry!$R$758="","",[3]Entry!$R$758)</f>
        <v/>
      </c>
    </row>
    <row r="756" spans="20:39" x14ac:dyDescent="0.2">
      <c r="T756" t="str">
        <f>IF([2]Baskol!$B$759="","",[2]Baskol!$B$759)</f>
        <v/>
      </c>
      <c r="U756" t="str">
        <f>IF([2]Baskol!$C$759="","",[2]Baskol!$C$759)</f>
        <v/>
      </c>
      <c r="V756" t="str">
        <f>IF([2]Baskol!$D$759="","",[2]Baskol!$D$759)</f>
        <v/>
      </c>
      <c r="W756" t="str">
        <f>IF([2]Baskol!$E$759="","",[2]Baskol!$E$759)</f>
        <v/>
      </c>
      <c r="X756" t="str">
        <f>IF([2]Baskol!$G$759="","",[2]Baskol!$G$759)</f>
        <v/>
      </c>
      <c r="Y756" t="str">
        <f>IF([2]Baskol!$I$759="","",[2]Baskol!$I$759)</f>
        <v/>
      </c>
      <c r="Z756" t="str">
        <f>IF([2]Baskol!$J$759="","",[2]Baskol!$J$759)</f>
        <v/>
      </c>
      <c r="AA756" t="str">
        <f>IF([2]Baskol!$K$759="","",[2]Baskol!$K$759)</f>
        <v/>
      </c>
      <c r="AB756" t="str">
        <f>IF([2]Baskol!$L$759="","",[2]Baskol!$L$759)</f>
        <v/>
      </c>
      <c r="AC756" t="str">
        <f>IF([2]Baskol!$N$759="","",[2]Baskol!$N$759)</f>
        <v/>
      </c>
      <c r="AD756" t="str">
        <f>IF([2]Baskol!$O$759="","",[2]Baskol!$O$759)</f>
        <v/>
      </c>
      <c r="AE756" t="str">
        <f>IF([3]Entry!$C$759="","",[3]Entry!$C$759)</f>
        <v/>
      </c>
      <c r="AF756" t="str">
        <f>IF([3]Entry!$D$759="","",[3]Entry!$D$759)</f>
        <v/>
      </c>
      <c r="AG756" t="str">
        <f>IF([3]Entry!$E$759="","",[3]Entry!$E$759)</f>
        <v/>
      </c>
      <c r="AH756" t="str">
        <f>IF([3]Entry!$G$759="","",[3]Entry!$G$759)</f>
        <v/>
      </c>
      <c r="AI756" t="str">
        <f>IF([3]Entry!$K$759="","",[3]Entry!$K$759)</f>
        <v/>
      </c>
      <c r="AJ756" t="str">
        <f>IF([3]Entry!$L$759="","",[3]Entry!$L$759)</f>
        <v/>
      </c>
      <c r="AK756" t="str">
        <f>IF([3]Entry!$M$759="","",[3]Entry!$M$759)</f>
        <v/>
      </c>
      <c r="AL756" t="str">
        <f>IF([3]Entry!$N$759="","",[3]Entry!$N$759)</f>
        <v/>
      </c>
      <c r="AM756" t="str">
        <f>IF([3]Entry!$R$759="","",[3]Entry!$R$759)</f>
        <v/>
      </c>
    </row>
    <row r="757" spans="20:39" x14ac:dyDescent="0.2">
      <c r="T757" t="str">
        <f>IF([2]Baskol!$B$760="","",[2]Baskol!$B$760)</f>
        <v/>
      </c>
      <c r="U757" t="str">
        <f>IF([2]Baskol!$C$760="","",[2]Baskol!$C$760)</f>
        <v/>
      </c>
      <c r="V757" t="str">
        <f>IF([2]Baskol!$D$760="","",[2]Baskol!$D$760)</f>
        <v/>
      </c>
      <c r="W757" t="str">
        <f>IF([2]Baskol!$E$760="","",[2]Baskol!$E$760)</f>
        <v/>
      </c>
      <c r="X757" t="str">
        <f>IF([2]Baskol!$G$760="","",[2]Baskol!$G$760)</f>
        <v/>
      </c>
      <c r="Y757" t="str">
        <f>IF([2]Baskol!$I$760="","",[2]Baskol!$I$760)</f>
        <v/>
      </c>
      <c r="Z757" t="str">
        <f>IF([2]Baskol!$J$760="","",[2]Baskol!$J$760)</f>
        <v/>
      </c>
      <c r="AA757" t="str">
        <f>IF([2]Baskol!$K$760="","",[2]Baskol!$K$760)</f>
        <v/>
      </c>
      <c r="AB757" t="str">
        <f>IF([2]Baskol!$L$760="","",[2]Baskol!$L$760)</f>
        <v/>
      </c>
      <c r="AC757" t="str">
        <f>IF([2]Baskol!$N$760="","",[2]Baskol!$N$760)</f>
        <v/>
      </c>
      <c r="AD757" t="str">
        <f>IF([2]Baskol!$O$760="","",[2]Baskol!$O$760)</f>
        <v/>
      </c>
      <c r="AE757" t="str">
        <f>IF([3]Entry!$C$760="","",[3]Entry!$C$760)</f>
        <v/>
      </c>
      <c r="AF757" t="str">
        <f>IF([3]Entry!$D$760="","",[3]Entry!$D$760)</f>
        <v/>
      </c>
      <c r="AG757" t="str">
        <f>IF([3]Entry!$E$760="","",[3]Entry!$E$760)</f>
        <v/>
      </c>
      <c r="AH757" t="str">
        <f>IF([3]Entry!$G$760="","",[3]Entry!$G$760)</f>
        <v/>
      </c>
      <c r="AI757" t="str">
        <f>IF([3]Entry!$K$760="","",[3]Entry!$K$760)</f>
        <v/>
      </c>
      <c r="AJ757" t="str">
        <f>IF([3]Entry!$L$760="","",[3]Entry!$L$760)</f>
        <v/>
      </c>
      <c r="AK757" t="str">
        <f>IF([3]Entry!$M$760="","",[3]Entry!$M$760)</f>
        <v/>
      </c>
      <c r="AL757" t="str">
        <f>IF([3]Entry!$N$760="","",[3]Entry!$N$760)</f>
        <v/>
      </c>
      <c r="AM757" t="str">
        <f>IF([3]Entry!$R$760="","",[3]Entry!$R$760)</f>
        <v/>
      </c>
    </row>
    <row r="758" spans="20:39" x14ac:dyDescent="0.2">
      <c r="T758" t="str">
        <f>IF([2]Baskol!$B$761="","",[2]Baskol!$B$761)</f>
        <v/>
      </c>
      <c r="U758" t="str">
        <f>IF([2]Baskol!$C$761="","",[2]Baskol!$C$761)</f>
        <v/>
      </c>
      <c r="V758" t="str">
        <f>IF([2]Baskol!$D$761="","",[2]Baskol!$D$761)</f>
        <v/>
      </c>
      <c r="W758" t="str">
        <f>IF([2]Baskol!$E$761="","",[2]Baskol!$E$761)</f>
        <v/>
      </c>
      <c r="X758" t="str">
        <f>IF([2]Baskol!$G$761="","",[2]Baskol!$G$761)</f>
        <v/>
      </c>
      <c r="Y758" t="str">
        <f>IF([2]Baskol!$I$761="","",[2]Baskol!$I$761)</f>
        <v/>
      </c>
      <c r="Z758" t="str">
        <f>IF([2]Baskol!$J$761="","",[2]Baskol!$J$761)</f>
        <v/>
      </c>
      <c r="AA758" t="str">
        <f>IF([2]Baskol!$K$761="","",[2]Baskol!$K$761)</f>
        <v/>
      </c>
      <c r="AB758" t="str">
        <f>IF([2]Baskol!$L$761="","",[2]Baskol!$L$761)</f>
        <v/>
      </c>
      <c r="AC758" t="str">
        <f>IF([2]Baskol!$N$761="","",[2]Baskol!$N$761)</f>
        <v/>
      </c>
      <c r="AD758" t="str">
        <f>IF([2]Baskol!$O$761="","",[2]Baskol!$O$761)</f>
        <v/>
      </c>
      <c r="AE758" t="str">
        <f>IF([3]Entry!$C$761="","",[3]Entry!$C$761)</f>
        <v/>
      </c>
      <c r="AF758" t="str">
        <f>IF([3]Entry!$D$761="","",[3]Entry!$D$761)</f>
        <v/>
      </c>
      <c r="AG758" t="str">
        <f>IF([3]Entry!$E$761="","",[3]Entry!$E$761)</f>
        <v/>
      </c>
      <c r="AH758" t="str">
        <f>IF([3]Entry!$G$761="","",[3]Entry!$G$761)</f>
        <v/>
      </c>
      <c r="AI758" t="str">
        <f>IF([3]Entry!$K$761="","",[3]Entry!$K$761)</f>
        <v/>
      </c>
      <c r="AJ758" t="str">
        <f>IF([3]Entry!$L$761="","",[3]Entry!$L$761)</f>
        <v/>
      </c>
      <c r="AK758" t="str">
        <f>IF([3]Entry!$M$761="","",[3]Entry!$M$761)</f>
        <v/>
      </c>
      <c r="AL758" t="str">
        <f>IF([3]Entry!$N$761="","",[3]Entry!$N$761)</f>
        <v/>
      </c>
      <c r="AM758" t="str">
        <f>IF([3]Entry!$R$761="","",[3]Entry!$R$761)</f>
        <v/>
      </c>
    </row>
    <row r="759" spans="20:39" x14ac:dyDescent="0.2">
      <c r="T759" t="str">
        <f>IF([2]Baskol!$B$762="","",[2]Baskol!$B$762)</f>
        <v/>
      </c>
      <c r="U759" t="str">
        <f>IF([2]Baskol!$C$762="","",[2]Baskol!$C$762)</f>
        <v/>
      </c>
      <c r="V759" t="str">
        <f>IF([2]Baskol!$D$762="","",[2]Baskol!$D$762)</f>
        <v/>
      </c>
      <c r="W759" t="str">
        <f>IF([2]Baskol!$E$762="","",[2]Baskol!$E$762)</f>
        <v/>
      </c>
      <c r="X759" t="str">
        <f>IF([2]Baskol!$G$762="","",[2]Baskol!$G$762)</f>
        <v/>
      </c>
      <c r="Y759" t="str">
        <f>IF([2]Baskol!$I$762="","",[2]Baskol!$I$762)</f>
        <v/>
      </c>
      <c r="Z759" t="str">
        <f>IF([2]Baskol!$J$762="","",[2]Baskol!$J$762)</f>
        <v/>
      </c>
      <c r="AA759" t="str">
        <f>IF([2]Baskol!$K$762="","",[2]Baskol!$K$762)</f>
        <v/>
      </c>
      <c r="AB759" t="str">
        <f>IF([2]Baskol!$L$762="","",[2]Baskol!$L$762)</f>
        <v/>
      </c>
      <c r="AC759" t="str">
        <f>IF([2]Baskol!$N$762="","",[2]Baskol!$N$762)</f>
        <v/>
      </c>
      <c r="AD759" t="str">
        <f>IF([2]Baskol!$O$762="","",[2]Baskol!$O$762)</f>
        <v/>
      </c>
      <c r="AE759" t="str">
        <f>IF([3]Entry!$C$762="","",[3]Entry!$C$762)</f>
        <v/>
      </c>
      <c r="AF759" t="str">
        <f>IF([3]Entry!$D$762="","",[3]Entry!$D$762)</f>
        <v/>
      </c>
      <c r="AG759" t="str">
        <f>IF([3]Entry!$E$762="","",[3]Entry!$E$762)</f>
        <v/>
      </c>
      <c r="AH759" t="str">
        <f>IF([3]Entry!$G$762="","",[3]Entry!$G$762)</f>
        <v/>
      </c>
      <c r="AI759" t="str">
        <f>IF([3]Entry!$K$762="","",[3]Entry!$K$762)</f>
        <v/>
      </c>
      <c r="AJ759" t="str">
        <f>IF([3]Entry!$L$762="","",[3]Entry!$L$762)</f>
        <v/>
      </c>
      <c r="AK759" t="str">
        <f>IF([3]Entry!$M$762="","",[3]Entry!$M$762)</f>
        <v/>
      </c>
      <c r="AL759" t="str">
        <f>IF([3]Entry!$N$762="","",[3]Entry!$N$762)</f>
        <v/>
      </c>
      <c r="AM759" t="str">
        <f>IF([3]Entry!$R$762="","",[3]Entry!$R$762)</f>
        <v/>
      </c>
    </row>
    <row r="760" spans="20:39" x14ac:dyDescent="0.2">
      <c r="T760" t="str">
        <f>IF([2]Baskol!$B$763="","",[2]Baskol!$B$763)</f>
        <v/>
      </c>
      <c r="U760" t="str">
        <f>IF([2]Baskol!$C$763="","",[2]Baskol!$C$763)</f>
        <v/>
      </c>
      <c r="V760" t="str">
        <f>IF([2]Baskol!$D$763="","",[2]Baskol!$D$763)</f>
        <v/>
      </c>
      <c r="W760" t="str">
        <f>IF([2]Baskol!$E$763="","",[2]Baskol!$E$763)</f>
        <v/>
      </c>
      <c r="X760" t="str">
        <f>IF([2]Baskol!$G$763="","",[2]Baskol!$G$763)</f>
        <v/>
      </c>
      <c r="Y760" t="str">
        <f>IF([2]Baskol!$I$763="","",[2]Baskol!$I$763)</f>
        <v/>
      </c>
      <c r="Z760" t="str">
        <f>IF([2]Baskol!$J$763="","",[2]Baskol!$J$763)</f>
        <v/>
      </c>
      <c r="AA760" t="str">
        <f>IF([2]Baskol!$K$763="","",[2]Baskol!$K$763)</f>
        <v/>
      </c>
      <c r="AB760" t="str">
        <f>IF([2]Baskol!$L$763="","",[2]Baskol!$L$763)</f>
        <v/>
      </c>
      <c r="AC760" t="str">
        <f>IF([2]Baskol!$N$763="","",[2]Baskol!$N$763)</f>
        <v/>
      </c>
      <c r="AD760" t="str">
        <f>IF([2]Baskol!$O$763="","",[2]Baskol!$O$763)</f>
        <v/>
      </c>
      <c r="AE760" t="str">
        <f>IF([3]Entry!$C$763="","",[3]Entry!$C$763)</f>
        <v/>
      </c>
      <c r="AF760" t="str">
        <f>IF([3]Entry!$D$763="","",[3]Entry!$D$763)</f>
        <v/>
      </c>
      <c r="AG760" t="str">
        <f>IF([3]Entry!$E$763="","",[3]Entry!$E$763)</f>
        <v/>
      </c>
      <c r="AH760" t="str">
        <f>IF([3]Entry!$G$763="","",[3]Entry!$G$763)</f>
        <v/>
      </c>
      <c r="AI760" t="str">
        <f>IF([3]Entry!$K$763="","",[3]Entry!$K$763)</f>
        <v/>
      </c>
      <c r="AJ760" t="str">
        <f>IF([3]Entry!$L$763="","",[3]Entry!$L$763)</f>
        <v/>
      </c>
      <c r="AK760" t="str">
        <f>IF([3]Entry!$M$763="","",[3]Entry!$M$763)</f>
        <v/>
      </c>
      <c r="AL760" t="str">
        <f>IF([3]Entry!$N$763="","",[3]Entry!$N$763)</f>
        <v/>
      </c>
      <c r="AM760" t="str">
        <f>IF([3]Entry!$R$763="","",[3]Entry!$R$763)</f>
        <v/>
      </c>
    </row>
    <row r="761" spans="20:39" x14ac:dyDescent="0.2">
      <c r="T761" t="str">
        <f>IF([2]Baskol!$B$764="","",[2]Baskol!$B$764)</f>
        <v/>
      </c>
      <c r="U761" t="str">
        <f>IF([2]Baskol!$C$764="","",[2]Baskol!$C$764)</f>
        <v/>
      </c>
      <c r="V761" t="str">
        <f>IF([2]Baskol!$D$764="","",[2]Baskol!$D$764)</f>
        <v/>
      </c>
      <c r="W761" t="str">
        <f>IF([2]Baskol!$E$764="","",[2]Baskol!$E$764)</f>
        <v/>
      </c>
      <c r="X761" t="str">
        <f>IF([2]Baskol!$G$764="","",[2]Baskol!$G$764)</f>
        <v/>
      </c>
      <c r="Y761" t="str">
        <f>IF([2]Baskol!$I$764="","",[2]Baskol!$I$764)</f>
        <v/>
      </c>
      <c r="Z761" t="str">
        <f>IF([2]Baskol!$J$764="","",[2]Baskol!$J$764)</f>
        <v/>
      </c>
      <c r="AA761" t="str">
        <f>IF([2]Baskol!$K$764="","",[2]Baskol!$K$764)</f>
        <v/>
      </c>
      <c r="AB761" t="str">
        <f>IF([2]Baskol!$L$764="","",[2]Baskol!$L$764)</f>
        <v/>
      </c>
      <c r="AC761" t="str">
        <f>IF([2]Baskol!$N$764="","",[2]Baskol!$N$764)</f>
        <v/>
      </c>
      <c r="AD761" t="str">
        <f>IF([2]Baskol!$O$764="","",[2]Baskol!$O$764)</f>
        <v/>
      </c>
      <c r="AE761" t="str">
        <f>IF([3]Entry!$C$764="","",[3]Entry!$C$764)</f>
        <v/>
      </c>
      <c r="AF761" t="str">
        <f>IF([3]Entry!$D$764="","",[3]Entry!$D$764)</f>
        <v/>
      </c>
      <c r="AG761" t="str">
        <f>IF([3]Entry!$E$764="","",[3]Entry!$E$764)</f>
        <v/>
      </c>
      <c r="AH761" t="str">
        <f>IF([3]Entry!$G$764="","",[3]Entry!$G$764)</f>
        <v/>
      </c>
      <c r="AI761" t="str">
        <f>IF([3]Entry!$K$764="","",[3]Entry!$K$764)</f>
        <v/>
      </c>
      <c r="AJ761" t="str">
        <f>IF([3]Entry!$L$764="","",[3]Entry!$L$764)</f>
        <v/>
      </c>
      <c r="AK761" t="str">
        <f>IF([3]Entry!$M$764="","",[3]Entry!$M$764)</f>
        <v/>
      </c>
      <c r="AL761" t="str">
        <f>IF([3]Entry!$N$764="","",[3]Entry!$N$764)</f>
        <v/>
      </c>
      <c r="AM761" t="str">
        <f>IF([3]Entry!$R$764="","",[3]Entry!$R$764)</f>
        <v/>
      </c>
    </row>
    <row r="762" spans="20:39" x14ac:dyDescent="0.2">
      <c r="T762" t="str">
        <f>IF([2]Baskol!$B$765="","",[2]Baskol!$B$765)</f>
        <v/>
      </c>
      <c r="U762" t="str">
        <f>IF([2]Baskol!$C$765="","",[2]Baskol!$C$765)</f>
        <v/>
      </c>
      <c r="V762" t="str">
        <f>IF([2]Baskol!$D$765="","",[2]Baskol!$D$765)</f>
        <v/>
      </c>
      <c r="W762" t="str">
        <f>IF([2]Baskol!$E$765="","",[2]Baskol!$E$765)</f>
        <v/>
      </c>
      <c r="X762" t="str">
        <f>IF([2]Baskol!$G$765="","",[2]Baskol!$G$765)</f>
        <v/>
      </c>
      <c r="Y762" t="str">
        <f>IF([2]Baskol!$I$765="","",[2]Baskol!$I$765)</f>
        <v/>
      </c>
      <c r="Z762" t="str">
        <f>IF([2]Baskol!$J$765="","",[2]Baskol!$J$765)</f>
        <v/>
      </c>
      <c r="AA762" t="str">
        <f>IF([2]Baskol!$K$765="","",[2]Baskol!$K$765)</f>
        <v/>
      </c>
      <c r="AB762" t="str">
        <f>IF([2]Baskol!$L$765="","",[2]Baskol!$L$765)</f>
        <v/>
      </c>
      <c r="AC762" t="str">
        <f>IF([2]Baskol!$N$765="","",[2]Baskol!$N$765)</f>
        <v/>
      </c>
      <c r="AD762" t="str">
        <f>IF([2]Baskol!$O$765="","",[2]Baskol!$O$765)</f>
        <v/>
      </c>
      <c r="AE762" t="str">
        <f>IF([3]Entry!$C$765="","",[3]Entry!$C$765)</f>
        <v/>
      </c>
      <c r="AF762" t="str">
        <f>IF([3]Entry!$D$765="","",[3]Entry!$D$765)</f>
        <v/>
      </c>
      <c r="AG762" t="str">
        <f>IF([3]Entry!$E$765="","",[3]Entry!$E$765)</f>
        <v/>
      </c>
      <c r="AH762" t="str">
        <f>IF([3]Entry!$G$765="","",[3]Entry!$G$765)</f>
        <v/>
      </c>
      <c r="AI762" t="str">
        <f>IF([3]Entry!$K$765="","",[3]Entry!$K$765)</f>
        <v/>
      </c>
      <c r="AJ762" t="str">
        <f>IF([3]Entry!$L$765="","",[3]Entry!$L$765)</f>
        <v/>
      </c>
      <c r="AK762" t="str">
        <f>IF([3]Entry!$M$765="","",[3]Entry!$M$765)</f>
        <v/>
      </c>
      <c r="AL762" t="str">
        <f>IF([3]Entry!$N$765="","",[3]Entry!$N$765)</f>
        <v/>
      </c>
      <c r="AM762" t="str">
        <f>IF([3]Entry!$R$765="","",[3]Entry!$R$765)</f>
        <v/>
      </c>
    </row>
    <row r="763" spans="20:39" x14ac:dyDescent="0.2">
      <c r="T763" t="str">
        <f>IF([2]Baskol!$B$766="","",[2]Baskol!$B$766)</f>
        <v/>
      </c>
      <c r="U763" t="str">
        <f>IF([2]Baskol!$C$766="","",[2]Baskol!$C$766)</f>
        <v/>
      </c>
      <c r="V763" t="str">
        <f>IF([2]Baskol!$D$766="","",[2]Baskol!$D$766)</f>
        <v/>
      </c>
      <c r="W763" t="str">
        <f>IF([2]Baskol!$E$766="","",[2]Baskol!$E$766)</f>
        <v/>
      </c>
      <c r="X763" t="str">
        <f>IF([2]Baskol!$G$766="","",[2]Baskol!$G$766)</f>
        <v/>
      </c>
      <c r="Y763" t="str">
        <f>IF([2]Baskol!$I$766="","",[2]Baskol!$I$766)</f>
        <v/>
      </c>
      <c r="Z763" t="str">
        <f>IF([2]Baskol!$J$766="","",[2]Baskol!$J$766)</f>
        <v/>
      </c>
      <c r="AA763" t="str">
        <f>IF([2]Baskol!$K$766="","",[2]Baskol!$K$766)</f>
        <v/>
      </c>
      <c r="AB763" t="str">
        <f>IF([2]Baskol!$L$766="","",[2]Baskol!$L$766)</f>
        <v/>
      </c>
      <c r="AC763" t="str">
        <f>IF([2]Baskol!$N$766="","",[2]Baskol!$N$766)</f>
        <v/>
      </c>
      <c r="AD763" t="str">
        <f>IF([2]Baskol!$O$766="","",[2]Baskol!$O$766)</f>
        <v/>
      </c>
      <c r="AE763" t="str">
        <f>IF([3]Entry!$C$766="","",[3]Entry!$C$766)</f>
        <v/>
      </c>
      <c r="AF763" t="str">
        <f>IF([3]Entry!$D$766="","",[3]Entry!$D$766)</f>
        <v/>
      </c>
      <c r="AG763" t="str">
        <f>IF([3]Entry!$E$766="","",[3]Entry!$E$766)</f>
        <v/>
      </c>
      <c r="AH763" t="str">
        <f>IF([3]Entry!$G$766="","",[3]Entry!$G$766)</f>
        <v/>
      </c>
      <c r="AI763" t="str">
        <f>IF([3]Entry!$K$766="","",[3]Entry!$K$766)</f>
        <v/>
      </c>
      <c r="AJ763" t="str">
        <f>IF([3]Entry!$L$766="","",[3]Entry!$L$766)</f>
        <v/>
      </c>
      <c r="AK763" t="str">
        <f>IF([3]Entry!$M$766="","",[3]Entry!$M$766)</f>
        <v/>
      </c>
      <c r="AL763" t="str">
        <f>IF([3]Entry!$N$766="","",[3]Entry!$N$766)</f>
        <v/>
      </c>
      <c r="AM763" t="str">
        <f>IF([3]Entry!$R$766="","",[3]Entry!$R$766)</f>
        <v/>
      </c>
    </row>
    <row r="764" spans="20:39" x14ac:dyDescent="0.2">
      <c r="T764" t="str">
        <f>IF([2]Baskol!$B$767="","",[2]Baskol!$B$767)</f>
        <v/>
      </c>
      <c r="U764" t="str">
        <f>IF([2]Baskol!$C$767="","",[2]Baskol!$C$767)</f>
        <v/>
      </c>
      <c r="V764" t="str">
        <f>IF([2]Baskol!$D$767="","",[2]Baskol!$D$767)</f>
        <v/>
      </c>
      <c r="W764" t="str">
        <f>IF([2]Baskol!$E$767="","",[2]Baskol!$E$767)</f>
        <v/>
      </c>
      <c r="X764" t="str">
        <f>IF([2]Baskol!$G$767="","",[2]Baskol!$G$767)</f>
        <v/>
      </c>
      <c r="Y764" t="str">
        <f>IF([2]Baskol!$I$767="","",[2]Baskol!$I$767)</f>
        <v/>
      </c>
      <c r="Z764" t="str">
        <f>IF([2]Baskol!$J$767="","",[2]Baskol!$J$767)</f>
        <v/>
      </c>
      <c r="AA764" t="str">
        <f>IF([2]Baskol!$K$767="","",[2]Baskol!$K$767)</f>
        <v/>
      </c>
      <c r="AB764" t="str">
        <f>IF([2]Baskol!$L$767="","",[2]Baskol!$L$767)</f>
        <v/>
      </c>
      <c r="AC764" t="str">
        <f>IF([2]Baskol!$N$767="","",[2]Baskol!$N$767)</f>
        <v/>
      </c>
      <c r="AD764" t="str">
        <f>IF([2]Baskol!$O$767="","",[2]Baskol!$O$767)</f>
        <v/>
      </c>
      <c r="AE764" t="str">
        <f>IF([3]Entry!$C$767="","",[3]Entry!$C$767)</f>
        <v/>
      </c>
      <c r="AF764" t="str">
        <f>IF([3]Entry!$D$767="","",[3]Entry!$D$767)</f>
        <v/>
      </c>
      <c r="AG764" t="str">
        <f>IF([3]Entry!$E$767="","",[3]Entry!$E$767)</f>
        <v/>
      </c>
      <c r="AH764" t="str">
        <f>IF([3]Entry!$G$767="","",[3]Entry!$G$767)</f>
        <v/>
      </c>
      <c r="AI764" t="str">
        <f>IF([3]Entry!$K$767="","",[3]Entry!$K$767)</f>
        <v/>
      </c>
      <c r="AJ764" t="str">
        <f>IF([3]Entry!$L$767="","",[3]Entry!$L$767)</f>
        <v/>
      </c>
      <c r="AK764" t="str">
        <f>IF([3]Entry!$M$767="","",[3]Entry!$M$767)</f>
        <v/>
      </c>
      <c r="AL764" t="str">
        <f>IF([3]Entry!$N$767="","",[3]Entry!$N$767)</f>
        <v/>
      </c>
      <c r="AM764" t="str">
        <f>IF([3]Entry!$R$767="","",[3]Entry!$R$767)</f>
        <v/>
      </c>
    </row>
    <row r="765" spans="20:39" x14ac:dyDescent="0.2">
      <c r="T765" t="str">
        <f>IF([2]Baskol!$B$768="","",[2]Baskol!$B$768)</f>
        <v/>
      </c>
      <c r="U765" t="str">
        <f>IF([2]Baskol!$C$768="","",[2]Baskol!$C$768)</f>
        <v/>
      </c>
      <c r="V765" t="str">
        <f>IF([2]Baskol!$D$768="","",[2]Baskol!$D$768)</f>
        <v/>
      </c>
      <c r="W765" t="str">
        <f>IF([2]Baskol!$E$768="","",[2]Baskol!$E$768)</f>
        <v/>
      </c>
      <c r="X765" t="str">
        <f>IF([2]Baskol!$G$768="","",[2]Baskol!$G$768)</f>
        <v/>
      </c>
      <c r="Y765" t="str">
        <f>IF([2]Baskol!$I$768="","",[2]Baskol!$I$768)</f>
        <v/>
      </c>
      <c r="Z765" t="str">
        <f>IF([2]Baskol!$J$768="","",[2]Baskol!$J$768)</f>
        <v/>
      </c>
      <c r="AA765" t="str">
        <f>IF([2]Baskol!$K$768="","",[2]Baskol!$K$768)</f>
        <v/>
      </c>
      <c r="AB765" t="str">
        <f>IF([2]Baskol!$L$768="","",[2]Baskol!$L$768)</f>
        <v/>
      </c>
      <c r="AC765" t="str">
        <f>IF([2]Baskol!$N$768="","",[2]Baskol!$N$768)</f>
        <v/>
      </c>
      <c r="AD765" t="str">
        <f>IF([2]Baskol!$O$768="","",[2]Baskol!$O$768)</f>
        <v/>
      </c>
      <c r="AE765" t="str">
        <f>IF([3]Entry!$C$768="","",[3]Entry!$C$768)</f>
        <v/>
      </c>
      <c r="AF765" t="str">
        <f>IF([3]Entry!$D$768="","",[3]Entry!$D$768)</f>
        <v/>
      </c>
      <c r="AG765" t="str">
        <f>IF([3]Entry!$E$768="","",[3]Entry!$E$768)</f>
        <v/>
      </c>
      <c r="AH765" t="str">
        <f>IF([3]Entry!$G$768="","",[3]Entry!$G$768)</f>
        <v/>
      </c>
      <c r="AI765" t="str">
        <f>IF([3]Entry!$K$768="","",[3]Entry!$K$768)</f>
        <v/>
      </c>
      <c r="AJ765" t="str">
        <f>IF([3]Entry!$L$768="","",[3]Entry!$L$768)</f>
        <v/>
      </c>
      <c r="AK765" t="str">
        <f>IF([3]Entry!$M$768="","",[3]Entry!$M$768)</f>
        <v/>
      </c>
      <c r="AL765" t="str">
        <f>IF([3]Entry!$N$768="","",[3]Entry!$N$768)</f>
        <v/>
      </c>
      <c r="AM765" t="str">
        <f>IF([3]Entry!$R$768="","",[3]Entry!$R$768)</f>
        <v/>
      </c>
    </row>
    <row r="766" spans="20:39" x14ac:dyDescent="0.2">
      <c r="T766" t="str">
        <f>IF([2]Baskol!$B$769="","",[2]Baskol!$B$769)</f>
        <v/>
      </c>
      <c r="U766" t="str">
        <f>IF([2]Baskol!$C$769="","",[2]Baskol!$C$769)</f>
        <v/>
      </c>
      <c r="V766" t="str">
        <f>IF([2]Baskol!$D$769="","",[2]Baskol!$D$769)</f>
        <v/>
      </c>
      <c r="W766" t="str">
        <f>IF([2]Baskol!$E$769="","",[2]Baskol!$E$769)</f>
        <v/>
      </c>
      <c r="X766" t="str">
        <f>IF([2]Baskol!$G$769="","",[2]Baskol!$G$769)</f>
        <v/>
      </c>
      <c r="Y766" t="str">
        <f>IF([2]Baskol!$I$769="","",[2]Baskol!$I$769)</f>
        <v/>
      </c>
      <c r="Z766" t="str">
        <f>IF([2]Baskol!$J$769="","",[2]Baskol!$J$769)</f>
        <v/>
      </c>
      <c r="AA766" t="str">
        <f>IF([2]Baskol!$K$769="","",[2]Baskol!$K$769)</f>
        <v/>
      </c>
      <c r="AB766" t="str">
        <f>IF([2]Baskol!$L$769="","",[2]Baskol!$L$769)</f>
        <v/>
      </c>
      <c r="AC766" t="str">
        <f>IF([2]Baskol!$N$769="","",[2]Baskol!$N$769)</f>
        <v/>
      </c>
      <c r="AD766" t="str">
        <f>IF([2]Baskol!$O$769="","",[2]Baskol!$O$769)</f>
        <v/>
      </c>
      <c r="AE766" t="str">
        <f>IF([3]Entry!$C$769="","",[3]Entry!$C$769)</f>
        <v/>
      </c>
      <c r="AF766" t="str">
        <f>IF([3]Entry!$D$769="","",[3]Entry!$D$769)</f>
        <v/>
      </c>
      <c r="AG766" t="str">
        <f>IF([3]Entry!$E$769="","",[3]Entry!$E$769)</f>
        <v/>
      </c>
      <c r="AH766" t="str">
        <f>IF([3]Entry!$G$769="","",[3]Entry!$G$769)</f>
        <v/>
      </c>
      <c r="AI766" t="str">
        <f>IF([3]Entry!$K$769="","",[3]Entry!$K$769)</f>
        <v/>
      </c>
      <c r="AJ766" t="str">
        <f>IF([3]Entry!$L$769="","",[3]Entry!$L$769)</f>
        <v/>
      </c>
      <c r="AK766" t="str">
        <f>IF([3]Entry!$M$769="","",[3]Entry!$M$769)</f>
        <v/>
      </c>
      <c r="AL766" t="str">
        <f>IF([3]Entry!$N$769="","",[3]Entry!$N$769)</f>
        <v/>
      </c>
      <c r="AM766" t="str">
        <f>IF([3]Entry!$R$769="","",[3]Entry!$R$769)</f>
        <v/>
      </c>
    </row>
    <row r="767" spans="20:39" x14ac:dyDescent="0.2">
      <c r="T767" t="str">
        <f>IF([2]Baskol!$B$770="","",[2]Baskol!$B$770)</f>
        <v/>
      </c>
      <c r="U767" t="str">
        <f>IF([2]Baskol!$C$770="","",[2]Baskol!$C$770)</f>
        <v/>
      </c>
      <c r="V767" t="str">
        <f>IF([2]Baskol!$D$770="","",[2]Baskol!$D$770)</f>
        <v/>
      </c>
      <c r="W767" t="str">
        <f>IF([2]Baskol!$E$770="","",[2]Baskol!$E$770)</f>
        <v/>
      </c>
      <c r="X767" t="str">
        <f>IF([2]Baskol!$G$770="","",[2]Baskol!$G$770)</f>
        <v/>
      </c>
      <c r="Y767" t="str">
        <f>IF([2]Baskol!$I$770="","",[2]Baskol!$I$770)</f>
        <v/>
      </c>
      <c r="Z767" t="str">
        <f>IF([2]Baskol!$J$770="","",[2]Baskol!$J$770)</f>
        <v/>
      </c>
      <c r="AA767" t="str">
        <f>IF([2]Baskol!$K$770="","",[2]Baskol!$K$770)</f>
        <v/>
      </c>
      <c r="AB767" t="str">
        <f>IF([2]Baskol!$L$770="","",[2]Baskol!$L$770)</f>
        <v/>
      </c>
      <c r="AC767" t="str">
        <f>IF([2]Baskol!$N$770="","",[2]Baskol!$N$770)</f>
        <v/>
      </c>
      <c r="AD767" t="str">
        <f>IF([2]Baskol!$O$770="","",[2]Baskol!$O$770)</f>
        <v/>
      </c>
      <c r="AE767" t="str">
        <f>IF([3]Entry!$C$770="","",[3]Entry!$C$770)</f>
        <v/>
      </c>
      <c r="AF767" t="str">
        <f>IF([3]Entry!$D$770="","",[3]Entry!$D$770)</f>
        <v/>
      </c>
      <c r="AG767" t="str">
        <f>IF([3]Entry!$E$770="","",[3]Entry!$E$770)</f>
        <v/>
      </c>
      <c r="AH767" t="str">
        <f>IF([3]Entry!$G$770="","",[3]Entry!$G$770)</f>
        <v/>
      </c>
      <c r="AI767" t="str">
        <f>IF([3]Entry!$K$770="","",[3]Entry!$K$770)</f>
        <v/>
      </c>
      <c r="AJ767" t="str">
        <f>IF([3]Entry!$L$770="","",[3]Entry!$L$770)</f>
        <v/>
      </c>
      <c r="AK767" t="str">
        <f>IF([3]Entry!$M$770="","",[3]Entry!$M$770)</f>
        <v/>
      </c>
      <c r="AL767" t="str">
        <f>IF([3]Entry!$N$770="","",[3]Entry!$N$770)</f>
        <v/>
      </c>
      <c r="AM767" t="str">
        <f>IF([3]Entry!$R$770="","",[3]Entry!$R$770)</f>
        <v/>
      </c>
    </row>
    <row r="768" spans="20:39" x14ac:dyDescent="0.2">
      <c r="T768" t="str">
        <f>IF([2]Baskol!$B$771="","",[2]Baskol!$B$771)</f>
        <v/>
      </c>
      <c r="U768" t="str">
        <f>IF([2]Baskol!$C$771="","",[2]Baskol!$C$771)</f>
        <v/>
      </c>
      <c r="V768" t="str">
        <f>IF([2]Baskol!$D$771="","",[2]Baskol!$D$771)</f>
        <v/>
      </c>
      <c r="W768" t="str">
        <f>IF([2]Baskol!$E$771="","",[2]Baskol!$E$771)</f>
        <v/>
      </c>
      <c r="X768" t="str">
        <f>IF([2]Baskol!$G$771="","",[2]Baskol!$G$771)</f>
        <v/>
      </c>
      <c r="Y768" t="str">
        <f>IF([2]Baskol!$I$771="","",[2]Baskol!$I$771)</f>
        <v/>
      </c>
      <c r="Z768" t="str">
        <f>IF([2]Baskol!$J$771="","",[2]Baskol!$J$771)</f>
        <v/>
      </c>
      <c r="AA768" t="str">
        <f>IF([2]Baskol!$K$771="","",[2]Baskol!$K$771)</f>
        <v/>
      </c>
      <c r="AB768" t="str">
        <f>IF([2]Baskol!$L$771="","",[2]Baskol!$L$771)</f>
        <v/>
      </c>
      <c r="AC768" t="str">
        <f>IF([2]Baskol!$N$771="","",[2]Baskol!$N$771)</f>
        <v/>
      </c>
      <c r="AD768" t="str">
        <f>IF([2]Baskol!$O$771="","",[2]Baskol!$O$771)</f>
        <v/>
      </c>
      <c r="AE768" t="str">
        <f>IF([3]Entry!$C$771="","",[3]Entry!$C$771)</f>
        <v/>
      </c>
      <c r="AF768" t="str">
        <f>IF([3]Entry!$D$771="","",[3]Entry!$D$771)</f>
        <v/>
      </c>
      <c r="AG768" t="str">
        <f>IF([3]Entry!$E$771="","",[3]Entry!$E$771)</f>
        <v/>
      </c>
      <c r="AH768" t="str">
        <f>IF([3]Entry!$G$771="","",[3]Entry!$G$771)</f>
        <v/>
      </c>
      <c r="AI768" t="str">
        <f>IF([3]Entry!$K$771="","",[3]Entry!$K$771)</f>
        <v/>
      </c>
      <c r="AJ768" t="str">
        <f>IF([3]Entry!$L$771="","",[3]Entry!$L$771)</f>
        <v/>
      </c>
      <c r="AK768" t="str">
        <f>IF([3]Entry!$M$771="","",[3]Entry!$M$771)</f>
        <v/>
      </c>
      <c r="AL768" t="str">
        <f>IF([3]Entry!$N$771="","",[3]Entry!$N$771)</f>
        <v/>
      </c>
      <c r="AM768" t="str">
        <f>IF([3]Entry!$R$771="","",[3]Entry!$R$771)</f>
        <v/>
      </c>
    </row>
    <row r="769" spans="20:39" x14ac:dyDescent="0.2">
      <c r="T769" t="str">
        <f>IF([2]Baskol!$B$772="","",[2]Baskol!$B$772)</f>
        <v/>
      </c>
      <c r="U769" t="str">
        <f>IF([2]Baskol!$C$772="","",[2]Baskol!$C$772)</f>
        <v/>
      </c>
      <c r="V769" t="str">
        <f>IF([2]Baskol!$D$772="","",[2]Baskol!$D$772)</f>
        <v/>
      </c>
      <c r="W769" t="str">
        <f>IF([2]Baskol!$E$772="","",[2]Baskol!$E$772)</f>
        <v/>
      </c>
      <c r="X769" t="str">
        <f>IF([2]Baskol!$G$772="","",[2]Baskol!$G$772)</f>
        <v/>
      </c>
      <c r="Y769" t="str">
        <f>IF([2]Baskol!$I$772="","",[2]Baskol!$I$772)</f>
        <v/>
      </c>
      <c r="Z769" t="str">
        <f>IF([2]Baskol!$J$772="","",[2]Baskol!$J$772)</f>
        <v/>
      </c>
      <c r="AA769" t="str">
        <f>IF([2]Baskol!$K$772="","",[2]Baskol!$K$772)</f>
        <v/>
      </c>
      <c r="AB769" t="str">
        <f>IF([2]Baskol!$L$772="","",[2]Baskol!$L$772)</f>
        <v/>
      </c>
      <c r="AC769" t="str">
        <f>IF([2]Baskol!$N$772="","",[2]Baskol!$N$772)</f>
        <v/>
      </c>
      <c r="AD769" t="str">
        <f>IF([2]Baskol!$O$772="","",[2]Baskol!$O$772)</f>
        <v/>
      </c>
      <c r="AE769" t="str">
        <f>IF([3]Entry!$C$772="","",[3]Entry!$C$772)</f>
        <v/>
      </c>
      <c r="AF769" t="str">
        <f>IF([3]Entry!$D$772="","",[3]Entry!$D$772)</f>
        <v/>
      </c>
      <c r="AG769" t="str">
        <f>IF([3]Entry!$E$772="","",[3]Entry!$E$772)</f>
        <v/>
      </c>
      <c r="AH769" t="str">
        <f>IF([3]Entry!$G$772="","",[3]Entry!$G$772)</f>
        <v/>
      </c>
      <c r="AI769" t="str">
        <f>IF([3]Entry!$K$772="","",[3]Entry!$K$772)</f>
        <v/>
      </c>
      <c r="AJ769" t="str">
        <f>IF([3]Entry!$L$772="","",[3]Entry!$L$772)</f>
        <v/>
      </c>
      <c r="AK769" t="str">
        <f>IF([3]Entry!$M$772="","",[3]Entry!$M$772)</f>
        <v/>
      </c>
      <c r="AL769" t="str">
        <f>IF([3]Entry!$N$772="","",[3]Entry!$N$772)</f>
        <v/>
      </c>
      <c r="AM769" t="str">
        <f>IF([3]Entry!$R$772="","",[3]Entry!$R$772)</f>
        <v/>
      </c>
    </row>
    <row r="770" spans="20:39" x14ac:dyDescent="0.2">
      <c r="T770" t="str">
        <f>IF([2]Baskol!$B$773="","",[2]Baskol!$B$773)</f>
        <v/>
      </c>
      <c r="U770" t="str">
        <f>IF([2]Baskol!$C$773="","",[2]Baskol!$C$773)</f>
        <v/>
      </c>
      <c r="V770" t="str">
        <f>IF([2]Baskol!$D$773="","",[2]Baskol!$D$773)</f>
        <v/>
      </c>
      <c r="W770" t="str">
        <f>IF([2]Baskol!$E$773="","",[2]Baskol!$E$773)</f>
        <v/>
      </c>
      <c r="X770" t="str">
        <f>IF([2]Baskol!$G$773="","",[2]Baskol!$G$773)</f>
        <v/>
      </c>
      <c r="Y770" t="str">
        <f>IF([2]Baskol!$I$773="","",[2]Baskol!$I$773)</f>
        <v/>
      </c>
      <c r="Z770" t="str">
        <f>IF([2]Baskol!$J$773="","",[2]Baskol!$J$773)</f>
        <v/>
      </c>
      <c r="AA770" t="str">
        <f>IF([2]Baskol!$K$773="","",[2]Baskol!$K$773)</f>
        <v/>
      </c>
      <c r="AB770" t="str">
        <f>IF([2]Baskol!$L$773="","",[2]Baskol!$L$773)</f>
        <v/>
      </c>
      <c r="AC770" t="str">
        <f>IF([2]Baskol!$N$773="","",[2]Baskol!$N$773)</f>
        <v/>
      </c>
      <c r="AD770" t="str">
        <f>IF([2]Baskol!$O$773="","",[2]Baskol!$O$773)</f>
        <v/>
      </c>
      <c r="AE770" t="str">
        <f>IF([3]Entry!$C$773="","",[3]Entry!$C$773)</f>
        <v/>
      </c>
      <c r="AF770" t="str">
        <f>IF([3]Entry!$D$773="","",[3]Entry!$D$773)</f>
        <v/>
      </c>
      <c r="AG770" t="str">
        <f>IF([3]Entry!$E$773="","",[3]Entry!$E$773)</f>
        <v/>
      </c>
      <c r="AH770" t="str">
        <f>IF([3]Entry!$G$773="","",[3]Entry!$G$773)</f>
        <v/>
      </c>
      <c r="AI770" t="str">
        <f>IF([3]Entry!$K$773="","",[3]Entry!$K$773)</f>
        <v/>
      </c>
      <c r="AJ770" t="str">
        <f>IF([3]Entry!$L$773="","",[3]Entry!$L$773)</f>
        <v/>
      </c>
      <c r="AK770" t="str">
        <f>IF([3]Entry!$M$773="","",[3]Entry!$M$773)</f>
        <v/>
      </c>
      <c r="AL770" t="str">
        <f>IF([3]Entry!$N$773="","",[3]Entry!$N$773)</f>
        <v/>
      </c>
      <c r="AM770" t="str">
        <f>IF([3]Entry!$R$773="","",[3]Entry!$R$773)</f>
        <v/>
      </c>
    </row>
    <row r="771" spans="20:39" x14ac:dyDescent="0.2">
      <c r="T771" t="str">
        <f>IF([2]Baskol!$B$774="","",[2]Baskol!$B$774)</f>
        <v/>
      </c>
      <c r="U771" t="str">
        <f>IF([2]Baskol!$C$774="","",[2]Baskol!$C$774)</f>
        <v/>
      </c>
      <c r="V771" t="str">
        <f>IF([2]Baskol!$D$774="","",[2]Baskol!$D$774)</f>
        <v/>
      </c>
      <c r="W771" t="str">
        <f>IF([2]Baskol!$E$774="","",[2]Baskol!$E$774)</f>
        <v/>
      </c>
      <c r="X771" t="str">
        <f>IF([2]Baskol!$G$774="","",[2]Baskol!$G$774)</f>
        <v/>
      </c>
      <c r="Y771" t="str">
        <f>IF([2]Baskol!$I$774="","",[2]Baskol!$I$774)</f>
        <v/>
      </c>
      <c r="Z771" t="str">
        <f>IF([2]Baskol!$J$774="","",[2]Baskol!$J$774)</f>
        <v/>
      </c>
      <c r="AA771" t="str">
        <f>IF([2]Baskol!$K$774="","",[2]Baskol!$K$774)</f>
        <v/>
      </c>
      <c r="AB771" t="str">
        <f>IF([2]Baskol!$L$774="","",[2]Baskol!$L$774)</f>
        <v/>
      </c>
      <c r="AC771" t="str">
        <f>IF([2]Baskol!$N$774="","",[2]Baskol!$N$774)</f>
        <v/>
      </c>
      <c r="AD771" t="str">
        <f>IF([2]Baskol!$O$774="","",[2]Baskol!$O$774)</f>
        <v/>
      </c>
      <c r="AE771" t="str">
        <f>IF([3]Entry!$C$774="","",[3]Entry!$C$774)</f>
        <v/>
      </c>
      <c r="AF771" t="str">
        <f>IF([3]Entry!$D$774="","",[3]Entry!$D$774)</f>
        <v/>
      </c>
      <c r="AG771" t="str">
        <f>IF([3]Entry!$E$774="","",[3]Entry!$E$774)</f>
        <v/>
      </c>
      <c r="AH771" t="str">
        <f>IF([3]Entry!$G$774="","",[3]Entry!$G$774)</f>
        <v/>
      </c>
      <c r="AI771" t="str">
        <f>IF([3]Entry!$K$774="","",[3]Entry!$K$774)</f>
        <v/>
      </c>
      <c r="AJ771" t="str">
        <f>IF([3]Entry!$L$774="","",[3]Entry!$L$774)</f>
        <v/>
      </c>
      <c r="AK771" t="str">
        <f>IF([3]Entry!$M$774="","",[3]Entry!$M$774)</f>
        <v/>
      </c>
      <c r="AL771" t="str">
        <f>IF([3]Entry!$N$774="","",[3]Entry!$N$774)</f>
        <v/>
      </c>
      <c r="AM771" t="str">
        <f>IF([3]Entry!$R$774="","",[3]Entry!$R$774)</f>
        <v/>
      </c>
    </row>
    <row r="772" spans="20:39" x14ac:dyDescent="0.2">
      <c r="T772" t="str">
        <f>IF([2]Baskol!$B$775="","",[2]Baskol!$B$775)</f>
        <v/>
      </c>
      <c r="U772" t="str">
        <f>IF([2]Baskol!$C$775="","",[2]Baskol!$C$775)</f>
        <v/>
      </c>
      <c r="V772" t="str">
        <f>IF([2]Baskol!$D$775="","",[2]Baskol!$D$775)</f>
        <v/>
      </c>
      <c r="W772" t="str">
        <f>IF([2]Baskol!$E$775="","",[2]Baskol!$E$775)</f>
        <v/>
      </c>
      <c r="X772" t="str">
        <f>IF([2]Baskol!$G$775="","",[2]Baskol!$G$775)</f>
        <v/>
      </c>
      <c r="Y772" t="str">
        <f>IF([2]Baskol!$I$775="","",[2]Baskol!$I$775)</f>
        <v/>
      </c>
      <c r="Z772" t="str">
        <f>IF([2]Baskol!$J$775="","",[2]Baskol!$J$775)</f>
        <v/>
      </c>
      <c r="AA772" t="str">
        <f>IF([2]Baskol!$K$775="","",[2]Baskol!$K$775)</f>
        <v/>
      </c>
      <c r="AB772" t="str">
        <f>IF([2]Baskol!$L$775="","",[2]Baskol!$L$775)</f>
        <v/>
      </c>
      <c r="AC772" t="str">
        <f>IF([2]Baskol!$N$775="","",[2]Baskol!$N$775)</f>
        <v/>
      </c>
      <c r="AD772" t="str">
        <f>IF([2]Baskol!$O$775="","",[2]Baskol!$O$775)</f>
        <v/>
      </c>
      <c r="AE772" t="str">
        <f>IF([3]Entry!$C$775="","",[3]Entry!$C$775)</f>
        <v/>
      </c>
      <c r="AF772" t="str">
        <f>IF([3]Entry!$D$775="","",[3]Entry!$D$775)</f>
        <v/>
      </c>
      <c r="AG772" t="str">
        <f>IF([3]Entry!$E$775="","",[3]Entry!$E$775)</f>
        <v/>
      </c>
      <c r="AH772" t="str">
        <f>IF([3]Entry!$G$775="","",[3]Entry!$G$775)</f>
        <v/>
      </c>
      <c r="AI772" t="str">
        <f>IF([3]Entry!$K$775="","",[3]Entry!$K$775)</f>
        <v/>
      </c>
      <c r="AJ772" t="str">
        <f>IF([3]Entry!$L$775="","",[3]Entry!$L$775)</f>
        <v/>
      </c>
      <c r="AK772" t="str">
        <f>IF([3]Entry!$M$775="","",[3]Entry!$M$775)</f>
        <v/>
      </c>
      <c r="AL772" t="str">
        <f>IF([3]Entry!$N$775="","",[3]Entry!$N$775)</f>
        <v/>
      </c>
      <c r="AM772" t="str">
        <f>IF([3]Entry!$R$775="","",[3]Entry!$R$775)</f>
        <v/>
      </c>
    </row>
    <row r="773" spans="20:39" x14ac:dyDescent="0.2">
      <c r="T773" t="str">
        <f>IF([2]Baskol!$B$776="","",[2]Baskol!$B$776)</f>
        <v/>
      </c>
      <c r="U773" t="str">
        <f>IF([2]Baskol!$C$776="","",[2]Baskol!$C$776)</f>
        <v/>
      </c>
      <c r="V773" t="str">
        <f>IF([2]Baskol!$D$776="","",[2]Baskol!$D$776)</f>
        <v/>
      </c>
      <c r="W773" t="str">
        <f>IF([2]Baskol!$E$776="","",[2]Baskol!$E$776)</f>
        <v/>
      </c>
      <c r="X773" t="str">
        <f>IF([2]Baskol!$G$776="","",[2]Baskol!$G$776)</f>
        <v/>
      </c>
      <c r="Y773" t="str">
        <f>IF([2]Baskol!$I$776="","",[2]Baskol!$I$776)</f>
        <v/>
      </c>
      <c r="Z773" t="str">
        <f>IF([2]Baskol!$J$776="","",[2]Baskol!$J$776)</f>
        <v/>
      </c>
      <c r="AA773" t="str">
        <f>IF([2]Baskol!$K$776="","",[2]Baskol!$K$776)</f>
        <v/>
      </c>
      <c r="AB773" t="str">
        <f>IF([2]Baskol!$L$776="","",[2]Baskol!$L$776)</f>
        <v/>
      </c>
      <c r="AC773" t="str">
        <f>IF([2]Baskol!$N$776="","",[2]Baskol!$N$776)</f>
        <v/>
      </c>
      <c r="AD773" t="str">
        <f>IF([2]Baskol!$O$776="","",[2]Baskol!$O$776)</f>
        <v/>
      </c>
      <c r="AE773" t="str">
        <f>IF([3]Entry!$C$776="","",[3]Entry!$C$776)</f>
        <v/>
      </c>
      <c r="AF773" t="str">
        <f>IF([3]Entry!$D$776="","",[3]Entry!$D$776)</f>
        <v/>
      </c>
      <c r="AG773" t="str">
        <f>IF([3]Entry!$E$776="","",[3]Entry!$E$776)</f>
        <v/>
      </c>
      <c r="AH773" t="str">
        <f>IF([3]Entry!$G$776="","",[3]Entry!$G$776)</f>
        <v/>
      </c>
      <c r="AI773" t="str">
        <f>IF([3]Entry!$K$776="","",[3]Entry!$K$776)</f>
        <v/>
      </c>
      <c r="AJ773" t="str">
        <f>IF([3]Entry!$L$776="","",[3]Entry!$L$776)</f>
        <v/>
      </c>
      <c r="AK773" t="str">
        <f>IF([3]Entry!$M$776="","",[3]Entry!$M$776)</f>
        <v/>
      </c>
      <c r="AL773" t="str">
        <f>IF([3]Entry!$N$776="","",[3]Entry!$N$776)</f>
        <v/>
      </c>
      <c r="AM773" t="str">
        <f>IF([3]Entry!$R$776="","",[3]Entry!$R$776)</f>
        <v/>
      </c>
    </row>
    <row r="774" spans="20:39" x14ac:dyDescent="0.2">
      <c r="T774" t="str">
        <f>IF([2]Baskol!$B$777="","",[2]Baskol!$B$777)</f>
        <v/>
      </c>
      <c r="U774" t="str">
        <f>IF([2]Baskol!$C$777="","",[2]Baskol!$C$777)</f>
        <v/>
      </c>
      <c r="V774" t="str">
        <f>IF([2]Baskol!$D$777="","",[2]Baskol!$D$777)</f>
        <v/>
      </c>
      <c r="W774" t="str">
        <f>IF([2]Baskol!$E$777="","",[2]Baskol!$E$777)</f>
        <v/>
      </c>
      <c r="X774" t="str">
        <f>IF([2]Baskol!$G$777="","",[2]Baskol!$G$777)</f>
        <v/>
      </c>
      <c r="Y774" t="str">
        <f>IF([2]Baskol!$I$777="","",[2]Baskol!$I$777)</f>
        <v/>
      </c>
      <c r="Z774" t="str">
        <f>IF([2]Baskol!$J$777="","",[2]Baskol!$J$777)</f>
        <v/>
      </c>
      <c r="AA774" t="str">
        <f>IF([2]Baskol!$K$777="","",[2]Baskol!$K$777)</f>
        <v/>
      </c>
      <c r="AB774" t="str">
        <f>IF([2]Baskol!$L$777="","",[2]Baskol!$L$777)</f>
        <v/>
      </c>
      <c r="AC774" t="str">
        <f>IF([2]Baskol!$N$777="","",[2]Baskol!$N$777)</f>
        <v/>
      </c>
      <c r="AD774" t="str">
        <f>IF([2]Baskol!$O$777="","",[2]Baskol!$O$777)</f>
        <v/>
      </c>
      <c r="AE774" t="str">
        <f>IF([3]Entry!$C$777="","",[3]Entry!$C$777)</f>
        <v/>
      </c>
      <c r="AF774" t="str">
        <f>IF([3]Entry!$D$777="","",[3]Entry!$D$777)</f>
        <v/>
      </c>
      <c r="AG774" t="str">
        <f>IF([3]Entry!$E$777="","",[3]Entry!$E$777)</f>
        <v/>
      </c>
      <c r="AH774" t="str">
        <f>IF([3]Entry!$G$777="","",[3]Entry!$G$777)</f>
        <v/>
      </c>
      <c r="AI774" t="str">
        <f>IF([3]Entry!$K$777="","",[3]Entry!$K$777)</f>
        <v/>
      </c>
      <c r="AJ774" t="str">
        <f>IF([3]Entry!$L$777="","",[3]Entry!$L$777)</f>
        <v/>
      </c>
      <c r="AK774" t="str">
        <f>IF([3]Entry!$M$777="","",[3]Entry!$M$777)</f>
        <v/>
      </c>
      <c r="AL774" t="str">
        <f>IF([3]Entry!$N$777="","",[3]Entry!$N$777)</f>
        <v/>
      </c>
      <c r="AM774" t="str">
        <f>IF([3]Entry!$R$777="","",[3]Entry!$R$777)</f>
        <v/>
      </c>
    </row>
    <row r="775" spans="20:39" x14ac:dyDescent="0.2">
      <c r="T775" t="str">
        <f>IF([2]Baskol!$B$778="","",[2]Baskol!$B$778)</f>
        <v/>
      </c>
      <c r="U775" t="str">
        <f>IF([2]Baskol!$C$778="","",[2]Baskol!$C$778)</f>
        <v/>
      </c>
      <c r="V775" t="str">
        <f>IF([2]Baskol!$D$778="","",[2]Baskol!$D$778)</f>
        <v/>
      </c>
      <c r="W775" t="str">
        <f>IF([2]Baskol!$E$778="","",[2]Baskol!$E$778)</f>
        <v/>
      </c>
      <c r="X775" t="str">
        <f>IF([2]Baskol!$G$778="","",[2]Baskol!$G$778)</f>
        <v/>
      </c>
      <c r="Y775" t="str">
        <f>IF([2]Baskol!$I$778="","",[2]Baskol!$I$778)</f>
        <v/>
      </c>
      <c r="Z775" t="str">
        <f>IF([2]Baskol!$J$778="","",[2]Baskol!$J$778)</f>
        <v/>
      </c>
      <c r="AA775" t="str">
        <f>IF([2]Baskol!$K$778="","",[2]Baskol!$K$778)</f>
        <v/>
      </c>
      <c r="AB775" t="str">
        <f>IF([2]Baskol!$L$778="","",[2]Baskol!$L$778)</f>
        <v/>
      </c>
      <c r="AC775" t="str">
        <f>IF([2]Baskol!$N$778="","",[2]Baskol!$N$778)</f>
        <v/>
      </c>
      <c r="AD775" t="str">
        <f>IF([2]Baskol!$O$778="","",[2]Baskol!$O$778)</f>
        <v/>
      </c>
      <c r="AE775" t="str">
        <f>IF([3]Entry!$C$778="","",[3]Entry!$C$778)</f>
        <v/>
      </c>
      <c r="AF775" t="str">
        <f>IF([3]Entry!$D$778="","",[3]Entry!$D$778)</f>
        <v/>
      </c>
      <c r="AG775" t="str">
        <f>IF([3]Entry!$E$778="","",[3]Entry!$E$778)</f>
        <v/>
      </c>
      <c r="AH775" t="str">
        <f>IF([3]Entry!$G$778="","",[3]Entry!$G$778)</f>
        <v/>
      </c>
      <c r="AI775" t="str">
        <f>IF([3]Entry!$K$778="","",[3]Entry!$K$778)</f>
        <v/>
      </c>
      <c r="AJ775" t="str">
        <f>IF([3]Entry!$L$778="","",[3]Entry!$L$778)</f>
        <v/>
      </c>
      <c r="AK775" t="str">
        <f>IF([3]Entry!$M$778="","",[3]Entry!$M$778)</f>
        <v/>
      </c>
      <c r="AL775" t="str">
        <f>IF([3]Entry!$N$778="","",[3]Entry!$N$778)</f>
        <v/>
      </c>
      <c r="AM775" t="str">
        <f>IF([3]Entry!$R$778="","",[3]Entry!$R$778)</f>
        <v/>
      </c>
    </row>
    <row r="776" spans="20:39" x14ac:dyDescent="0.2">
      <c r="T776" t="str">
        <f>IF([2]Baskol!$B$779="","",[2]Baskol!$B$779)</f>
        <v/>
      </c>
      <c r="U776" t="str">
        <f>IF([2]Baskol!$C$779="","",[2]Baskol!$C$779)</f>
        <v/>
      </c>
      <c r="V776" t="str">
        <f>IF([2]Baskol!$D$779="","",[2]Baskol!$D$779)</f>
        <v/>
      </c>
      <c r="W776" t="str">
        <f>IF([2]Baskol!$E$779="","",[2]Baskol!$E$779)</f>
        <v/>
      </c>
      <c r="X776" t="str">
        <f>IF([2]Baskol!$G$779="","",[2]Baskol!$G$779)</f>
        <v/>
      </c>
      <c r="Y776" t="str">
        <f>IF([2]Baskol!$I$779="","",[2]Baskol!$I$779)</f>
        <v/>
      </c>
      <c r="Z776" t="str">
        <f>IF([2]Baskol!$J$779="","",[2]Baskol!$J$779)</f>
        <v/>
      </c>
      <c r="AA776" t="str">
        <f>IF([2]Baskol!$K$779="","",[2]Baskol!$K$779)</f>
        <v/>
      </c>
      <c r="AB776" t="str">
        <f>IF([2]Baskol!$L$779="","",[2]Baskol!$L$779)</f>
        <v/>
      </c>
      <c r="AC776" t="str">
        <f>IF([2]Baskol!$N$779="","",[2]Baskol!$N$779)</f>
        <v/>
      </c>
      <c r="AD776" t="str">
        <f>IF([2]Baskol!$O$779="","",[2]Baskol!$O$779)</f>
        <v/>
      </c>
      <c r="AE776" t="str">
        <f>IF([3]Entry!$C$779="","",[3]Entry!$C$779)</f>
        <v/>
      </c>
      <c r="AF776" t="str">
        <f>IF([3]Entry!$D$779="","",[3]Entry!$D$779)</f>
        <v/>
      </c>
      <c r="AG776" t="str">
        <f>IF([3]Entry!$E$779="","",[3]Entry!$E$779)</f>
        <v/>
      </c>
      <c r="AH776" t="str">
        <f>IF([3]Entry!$G$779="","",[3]Entry!$G$779)</f>
        <v/>
      </c>
      <c r="AI776" t="str">
        <f>IF([3]Entry!$K$779="","",[3]Entry!$K$779)</f>
        <v/>
      </c>
      <c r="AJ776" t="str">
        <f>IF([3]Entry!$L$779="","",[3]Entry!$L$779)</f>
        <v/>
      </c>
      <c r="AK776" t="str">
        <f>IF([3]Entry!$M$779="","",[3]Entry!$M$779)</f>
        <v/>
      </c>
      <c r="AL776" t="str">
        <f>IF([3]Entry!$N$779="","",[3]Entry!$N$779)</f>
        <v/>
      </c>
      <c r="AM776" t="str">
        <f>IF([3]Entry!$R$779="","",[3]Entry!$R$779)</f>
        <v/>
      </c>
    </row>
    <row r="777" spans="20:39" x14ac:dyDescent="0.2">
      <c r="T777" t="str">
        <f>IF([2]Baskol!$B$780="","",[2]Baskol!$B$780)</f>
        <v/>
      </c>
      <c r="U777" t="str">
        <f>IF([2]Baskol!$C$780="","",[2]Baskol!$C$780)</f>
        <v/>
      </c>
      <c r="V777" t="str">
        <f>IF([2]Baskol!$D$780="","",[2]Baskol!$D$780)</f>
        <v/>
      </c>
      <c r="W777" t="str">
        <f>IF([2]Baskol!$E$780="","",[2]Baskol!$E$780)</f>
        <v/>
      </c>
      <c r="X777" t="str">
        <f>IF([2]Baskol!$G$780="","",[2]Baskol!$G$780)</f>
        <v/>
      </c>
      <c r="Y777" t="str">
        <f>IF([2]Baskol!$I$780="","",[2]Baskol!$I$780)</f>
        <v/>
      </c>
      <c r="Z777" t="str">
        <f>IF([2]Baskol!$J$780="","",[2]Baskol!$J$780)</f>
        <v/>
      </c>
      <c r="AA777" t="str">
        <f>IF([2]Baskol!$K$780="","",[2]Baskol!$K$780)</f>
        <v/>
      </c>
      <c r="AB777" t="str">
        <f>IF([2]Baskol!$L$780="","",[2]Baskol!$L$780)</f>
        <v/>
      </c>
      <c r="AC777" t="str">
        <f>IF([2]Baskol!$N$780="","",[2]Baskol!$N$780)</f>
        <v/>
      </c>
      <c r="AD777" t="str">
        <f>IF([2]Baskol!$O$780="","",[2]Baskol!$O$780)</f>
        <v/>
      </c>
      <c r="AE777" t="str">
        <f>IF([3]Entry!$C$780="","",[3]Entry!$C$780)</f>
        <v/>
      </c>
      <c r="AF777" t="str">
        <f>IF([3]Entry!$D$780="","",[3]Entry!$D$780)</f>
        <v/>
      </c>
      <c r="AG777" t="str">
        <f>IF([3]Entry!$E$780="","",[3]Entry!$E$780)</f>
        <v/>
      </c>
      <c r="AH777" t="str">
        <f>IF([3]Entry!$G$780="","",[3]Entry!$G$780)</f>
        <v/>
      </c>
      <c r="AI777" t="str">
        <f>IF([3]Entry!$K$780="","",[3]Entry!$K$780)</f>
        <v/>
      </c>
      <c r="AJ777" t="str">
        <f>IF([3]Entry!$L$780="","",[3]Entry!$L$780)</f>
        <v/>
      </c>
      <c r="AK777" t="str">
        <f>IF([3]Entry!$M$780="","",[3]Entry!$M$780)</f>
        <v/>
      </c>
      <c r="AL777" t="str">
        <f>IF([3]Entry!$N$780="","",[3]Entry!$N$780)</f>
        <v/>
      </c>
      <c r="AM777" t="str">
        <f>IF([3]Entry!$R$780="","",[3]Entry!$R$780)</f>
        <v/>
      </c>
    </row>
    <row r="778" spans="20:39" x14ac:dyDescent="0.2">
      <c r="T778" t="str">
        <f>IF([2]Baskol!$B$781="","",[2]Baskol!$B$781)</f>
        <v/>
      </c>
      <c r="U778" t="str">
        <f>IF([2]Baskol!$C$781="","",[2]Baskol!$C$781)</f>
        <v/>
      </c>
      <c r="V778" t="str">
        <f>IF([2]Baskol!$D$781="","",[2]Baskol!$D$781)</f>
        <v/>
      </c>
      <c r="W778" t="str">
        <f>IF([2]Baskol!$E$781="","",[2]Baskol!$E$781)</f>
        <v/>
      </c>
      <c r="X778" t="str">
        <f>IF([2]Baskol!$G$781="","",[2]Baskol!$G$781)</f>
        <v/>
      </c>
      <c r="Y778" t="str">
        <f>IF([2]Baskol!$I$781="","",[2]Baskol!$I$781)</f>
        <v/>
      </c>
      <c r="Z778" t="str">
        <f>IF([2]Baskol!$J$781="","",[2]Baskol!$J$781)</f>
        <v/>
      </c>
      <c r="AA778" t="str">
        <f>IF([2]Baskol!$K$781="","",[2]Baskol!$K$781)</f>
        <v/>
      </c>
      <c r="AB778" t="str">
        <f>IF([2]Baskol!$L$781="","",[2]Baskol!$L$781)</f>
        <v/>
      </c>
      <c r="AC778" t="str">
        <f>IF([2]Baskol!$N$781="","",[2]Baskol!$N$781)</f>
        <v/>
      </c>
      <c r="AD778" t="str">
        <f>IF([2]Baskol!$O$781="","",[2]Baskol!$O$781)</f>
        <v/>
      </c>
      <c r="AE778" t="str">
        <f>IF([3]Entry!$C$781="","",[3]Entry!$C$781)</f>
        <v/>
      </c>
      <c r="AF778" t="str">
        <f>IF([3]Entry!$D$781="","",[3]Entry!$D$781)</f>
        <v/>
      </c>
      <c r="AG778" t="str">
        <f>IF([3]Entry!$E$781="","",[3]Entry!$E$781)</f>
        <v/>
      </c>
      <c r="AH778" t="str">
        <f>IF([3]Entry!$G$781="","",[3]Entry!$G$781)</f>
        <v/>
      </c>
      <c r="AI778" t="str">
        <f>IF([3]Entry!$K$781="","",[3]Entry!$K$781)</f>
        <v/>
      </c>
      <c r="AJ778" t="str">
        <f>IF([3]Entry!$L$781="","",[3]Entry!$L$781)</f>
        <v/>
      </c>
      <c r="AK778" t="str">
        <f>IF([3]Entry!$M$781="","",[3]Entry!$M$781)</f>
        <v/>
      </c>
      <c r="AL778" t="str">
        <f>IF([3]Entry!$N$781="","",[3]Entry!$N$781)</f>
        <v/>
      </c>
      <c r="AM778" t="str">
        <f>IF([3]Entry!$R$781="","",[3]Entry!$R$781)</f>
        <v/>
      </c>
    </row>
    <row r="779" spans="20:39" x14ac:dyDescent="0.2">
      <c r="T779" t="str">
        <f>IF([2]Baskol!$B$782="","",[2]Baskol!$B$782)</f>
        <v/>
      </c>
      <c r="U779" t="str">
        <f>IF([2]Baskol!$C$782="","",[2]Baskol!$C$782)</f>
        <v/>
      </c>
      <c r="V779" t="str">
        <f>IF([2]Baskol!$D$782="","",[2]Baskol!$D$782)</f>
        <v/>
      </c>
      <c r="W779" t="str">
        <f>IF([2]Baskol!$E$782="","",[2]Baskol!$E$782)</f>
        <v/>
      </c>
      <c r="X779" t="str">
        <f>IF([2]Baskol!$G$782="","",[2]Baskol!$G$782)</f>
        <v/>
      </c>
      <c r="Y779" t="str">
        <f>IF([2]Baskol!$I$782="","",[2]Baskol!$I$782)</f>
        <v/>
      </c>
      <c r="Z779" t="str">
        <f>IF([2]Baskol!$J$782="","",[2]Baskol!$J$782)</f>
        <v/>
      </c>
      <c r="AA779" t="str">
        <f>IF([2]Baskol!$K$782="","",[2]Baskol!$K$782)</f>
        <v/>
      </c>
      <c r="AB779" t="str">
        <f>IF([2]Baskol!$L$782="","",[2]Baskol!$L$782)</f>
        <v/>
      </c>
      <c r="AC779" t="str">
        <f>IF([2]Baskol!$N$782="","",[2]Baskol!$N$782)</f>
        <v/>
      </c>
      <c r="AD779" t="str">
        <f>IF([2]Baskol!$O$782="","",[2]Baskol!$O$782)</f>
        <v/>
      </c>
      <c r="AE779" t="str">
        <f>IF([3]Entry!$C$782="","",[3]Entry!$C$782)</f>
        <v/>
      </c>
      <c r="AF779" t="str">
        <f>IF([3]Entry!$D$782="","",[3]Entry!$D$782)</f>
        <v/>
      </c>
      <c r="AG779" t="str">
        <f>IF([3]Entry!$E$782="","",[3]Entry!$E$782)</f>
        <v/>
      </c>
      <c r="AH779" t="str">
        <f>IF([3]Entry!$G$782="","",[3]Entry!$G$782)</f>
        <v/>
      </c>
      <c r="AI779" t="str">
        <f>IF([3]Entry!$K$782="","",[3]Entry!$K$782)</f>
        <v/>
      </c>
      <c r="AJ779" t="str">
        <f>IF([3]Entry!$L$782="","",[3]Entry!$L$782)</f>
        <v/>
      </c>
      <c r="AK779" t="str">
        <f>IF([3]Entry!$M$782="","",[3]Entry!$M$782)</f>
        <v/>
      </c>
      <c r="AL779" t="str">
        <f>IF([3]Entry!$N$782="","",[3]Entry!$N$782)</f>
        <v/>
      </c>
      <c r="AM779" t="str">
        <f>IF([3]Entry!$R$782="","",[3]Entry!$R$782)</f>
        <v/>
      </c>
    </row>
    <row r="780" spans="20:39" x14ac:dyDescent="0.2">
      <c r="T780" t="str">
        <f>IF([2]Baskol!$B$783="","",[2]Baskol!$B$783)</f>
        <v/>
      </c>
      <c r="U780" t="str">
        <f>IF([2]Baskol!$C$783="","",[2]Baskol!$C$783)</f>
        <v/>
      </c>
      <c r="V780" t="str">
        <f>IF([2]Baskol!$D$783="","",[2]Baskol!$D$783)</f>
        <v/>
      </c>
      <c r="W780" t="str">
        <f>IF([2]Baskol!$E$783="","",[2]Baskol!$E$783)</f>
        <v/>
      </c>
      <c r="X780" t="str">
        <f>IF([2]Baskol!$G$783="","",[2]Baskol!$G$783)</f>
        <v/>
      </c>
      <c r="Y780" t="str">
        <f>IF([2]Baskol!$I$783="","",[2]Baskol!$I$783)</f>
        <v/>
      </c>
      <c r="Z780" t="str">
        <f>IF([2]Baskol!$J$783="","",[2]Baskol!$J$783)</f>
        <v/>
      </c>
      <c r="AA780" t="str">
        <f>IF([2]Baskol!$K$783="","",[2]Baskol!$K$783)</f>
        <v/>
      </c>
      <c r="AB780" t="str">
        <f>IF([2]Baskol!$L$783="","",[2]Baskol!$L$783)</f>
        <v/>
      </c>
      <c r="AC780" t="str">
        <f>IF([2]Baskol!$N$783="","",[2]Baskol!$N$783)</f>
        <v/>
      </c>
      <c r="AD780" t="str">
        <f>IF([2]Baskol!$O$783="","",[2]Baskol!$O$783)</f>
        <v/>
      </c>
      <c r="AE780" t="str">
        <f>IF([3]Entry!$C$783="","",[3]Entry!$C$783)</f>
        <v/>
      </c>
      <c r="AF780" t="str">
        <f>IF([3]Entry!$D$783="","",[3]Entry!$D$783)</f>
        <v/>
      </c>
      <c r="AG780" t="str">
        <f>IF([3]Entry!$E$783="","",[3]Entry!$E$783)</f>
        <v/>
      </c>
      <c r="AH780" t="str">
        <f>IF([3]Entry!$G$783="","",[3]Entry!$G$783)</f>
        <v/>
      </c>
      <c r="AI780" t="str">
        <f>IF([3]Entry!$K$783="","",[3]Entry!$K$783)</f>
        <v/>
      </c>
      <c r="AJ780" t="str">
        <f>IF([3]Entry!$L$783="","",[3]Entry!$L$783)</f>
        <v/>
      </c>
      <c r="AK780" t="str">
        <f>IF([3]Entry!$M$783="","",[3]Entry!$M$783)</f>
        <v/>
      </c>
      <c r="AL780" t="str">
        <f>IF([3]Entry!$N$783="","",[3]Entry!$N$783)</f>
        <v/>
      </c>
      <c r="AM780" t="str">
        <f>IF([3]Entry!$R$783="","",[3]Entry!$R$783)</f>
        <v/>
      </c>
    </row>
    <row r="781" spans="20:39" x14ac:dyDescent="0.2">
      <c r="T781" t="str">
        <f>IF([2]Baskol!$B$784="","",[2]Baskol!$B$784)</f>
        <v/>
      </c>
      <c r="U781" t="str">
        <f>IF([2]Baskol!$C$784="","",[2]Baskol!$C$784)</f>
        <v/>
      </c>
      <c r="V781" t="str">
        <f>IF([2]Baskol!$D$784="","",[2]Baskol!$D$784)</f>
        <v/>
      </c>
      <c r="W781" t="str">
        <f>IF([2]Baskol!$E$784="","",[2]Baskol!$E$784)</f>
        <v/>
      </c>
      <c r="X781" t="str">
        <f>IF([2]Baskol!$G$784="","",[2]Baskol!$G$784)</f>
        <v/>
      </c>
      <c r="Y781" t="str">
        <f>IF([2]Baskol!$I$784="","",[2]Baskol!$I$784)</f>
        <v/>
      </c>
      <c r="Z781" t="str">
        <f>IF([2]Baskol!$J$784="","",[2]Baskol!$J$784)</f>
        <v/>
      </c>
      <c r="AA781" t="str">
        <f>IF([2]Baskol!$K$784="","",[2]Baskol!$K$784)</f>
        <v/>
      </c>
      <c r="AB781" t="str">
        <f>IF([2]Baskol!$L$784="","",[2]Baskol!$L$784)</f>
        <v/>
      </c>
      <c r="AC781" t="str">
        <f>IF([2]Baskol!$N$784="","",[2]Baskol!$N$784)</f>
        <v/>
      </c>
      <c r="AD781" t="str">
        <f>IF([2]Baskol!$O$784="","",[2]Baskol!$O$784)</f>
        <v/>
      </c>
      <c r="AE781" t="str">
        <f>IF([3]Entry!$C$784="","",[3]Entry!$C$784)</f>
        <v/>
      </c>
      <c r="AF781" t="str">
        <f>IF([3]Entry!$D$784="","",[3]Entry!$D$784)</f>
        <v/>
      </c>
      <c r="AG781" t="str">
        <f>IF([3]Entry!$E$784="","",[3]Entry!$E$784)</f>
        <v/>
      </c>
      <c r="AH781" t="str">
        <f>IF([3]Entry!$G$784="","",[3]Entry!$G$784)</f>
        <v/>
      </c>
      <c r="AI781" t="str">
        <f>IF([3]Entry!$K$784="","",[3]Entry!$K$784)</f>
        <v/>
      </c>
      <c r="AJ781" t="str">
        <f>IF([3]Entry!$L$784="","",[3]Entry!$L$784)</f>
        <v/>
      </c>
      <c r="AK781" t="str">
        <f>IF([3]Entry!$M$784="","",[3]Entry!$M$784)</f>
        <v/>
      </c>
      <c r="AL781" t="str">
        <f>IF([3]Entry!$N$784="","",[3]Entry!$N$784)</f>
        <v/>
      </c>
      <c r="AM781" t="str">
        <f>IF([3]Entry!$R$784="","",[3]Entry!$R$784)</f>
        <v/>
      </c>
    </row>
    <row r="782" spans="20:39" x14ac:dyDescent="0.2">
      <c r="T782" t="str">
        <f>IF([2]Baskol!$B$785="","",[2]Baskol!$B$785)</f>
        <v/>
      </c>
      <c r="U782" t="str">
        <f>IF([2]Baskol!$C$785="","",[2]Baskol!$C$785)</f>
        <v/>
      </c>
      <c r="V782" t="str">
        <f>IF([2]Baskol!$D$785="","",[2]Baskol!$D$785)</f>
        <v/>
      </c>
      <c r="W782" t="str">
        <f>IF([2]Baskol!$E$785="","",[2]Baskol!$E$785)</f>
        <v/>
      </c>
      <c r="X782" t="str">
        <f>IF([2]Baskol!$G$785="","",[2]Baskol!$G$785)</f>
        <v/>
      </c>
      <c r="Y782" t="str">
        <f>IF([2]Baskol!$I$785="","",[2]Baskol!$I$785)</f>
        <v/>
      </c>
      <c r="Z782" t="str">
        <f>IF([2]Baskol!$J$785="","",[2]Baskol!$J$785)</f>
        <v/>
      </c>
      <c r="AA782" t="str">
        <f>IF([2]Baskol!$K$785="","",[2]Baskol!$K$785)</f>
        <v/>
      </c>
      <c r="AB782" t="str">
        <f>IF([2]Baskol!$L$785="","",[2]Baskol!$L$785)</f>
        <v/>
      </c>
      <c r="AC782" t="str">
        <f>IF([2]Baskol!$N$785="","",[2]Baskol!$N$785)</f>
        <v/>
      </c>
      <c r="AD782" t="str">
        <f>IF([2]Baskol!$O$785="","",[2]Baskol!$O$785)</f>
        <v/>
      </c>
      <c r="AE782" t="str">
        <f>IF([3]Entry!$C$785="","",[3]Entry!$C$785)</f>
        <v/>
      </c>
      <c r="AF782" t="str">
        <f>IF([3]Entry!$D$785="","",[3]Entry!$D$785)</f>
        <v/>
      </c>
      <c r="AG782" t="str">
        <f>IF([3]Entry!$E$785="","",[3]Entry!$E$785)</f>
        <v/>
      </c>
      <c r="AH782" t="str">
        <f>IF([3]Entry!$G$785="","",[3]Entry!$G$785)</f>
        <v/>
      </c>
      <c r="AI782" t="str">
        <f>IF([3]Entry!$K$785="","",[3]Entry!$K$785)</f>
        <v/>
      </c>
      <c r="AJ782" t="str">
        <f>IF([3]Entry!$L$785="","",[3]Entry!$L$785)</f>
        <v/>
      </c>
      <c r="AK782" t="str">
        <f>IF([3]Entry!$M$785="","",[3]Entry!$M$785)</f>
        <v/>
      </c>
      <c r="AL782" t="str">
        <f>IF([3]Entry!$N$785="","",[3]Entry!$N$785)</f>
        <v/>
      </c>
      <c r="AM782" t="str">
        <f>IF([3]Entry!$R$785="","",[3]Entry!$R$785)</f>
        <v/>
      </c>
    </row>
    <row r="783" spans="20:39" x14ac:dyDescent="0.2">
      <c r="T783" t="str">
        <f>IF([2]Baskol!$B$786="","",[2]Baskol!$B$786)</f>
        <v/>
      </c>
      <c r="U783" t="str">
        <f>IF([2]Baskol!$C$786="","",[2]Baskol!$C$786)</f>
        <v/>
      </c>
      <c r="V783" t="str">
        <f>IF([2]Baskol!$D$786="","",[2]Baskol!$D$786)</f>
        <v/>
      </c>
      <c r="W783" t="str">
        <f>IF([2]Baskol!$E$786="","",[2]Baskol!$E$786)</f>
        <v/>
      </c>
      <c r="X783" t="str">
        <f>IF([2]Baskol!$G$786="","",[2]Baskol!$G$786)</f>
        <v/>
      </c>
      <c r="Y783" t="str">
        <f>IF([2]Baskol!$I$786="","",[2]Baskol!$I$786)</f>
        <v/>
      </c>
      <c r="Z783" t="str">
        <f>IF([2]Baskol!$J$786="","",[2]Baskol!$J$786)</f>
        <v/>
      </c>
      <c r="AA783" t="str">
        <f>IF([2]Baskol!$K$786="","",[2]Baskol!$K$786)</f>
        <v/>
      </c>
      <c r="AB783" t="str">
        <f>IF([2]Baskol!$L$786="","",[2]Baskol!$L$786)</f>
        <v/>
      </c>
      <c r="AC783" t="str">
        <f>IF([2]Baskol!$N$786="","",[2]Baskol!$N$786)</f>
        <v/>
      </c>
      <c r="AD783" t="str">
        <f>IF([2]Baskol!$O$786="","",[2]Baskol!$O$786)</f>
        <v/>
      </c>
      <c r="AE783" t="str">
        <f>IF([3]Entry!$C$786="","",[3]Entry!$C$786)</f>
        <v/>
      </c>
      <c r="AF783" t="str">
        <f>IF([3]Entry!$D$786="","",[3]Entry!$D$786)</f>
        <v/>
      </c>
      <c r="AG783" t="str">
        <f>IF([3]Entry!$E$786="","",[3]Entry!$E$786)</f>
        <v/>
      </c>
      <c r="AH783" t="str">
        <f>IF([3]Entry!$G$786="","",[3]Entry!$G$786)</f>
        <v/>
      </c>
      <c r="AI783" t="str">
        <f>IF([3]Entry!$K$786="","",[3]Entry!$K$786)</f>
        <v/>
      </c>
      <c r="AJ783" t="str">
        <f>IF([3]Entry!$L$786="","",[3]Entry!$L$786)</f>
        <v/>
      </c>
      <c r="AK783" t="str">
        <f>IF([3]Entry!$M$786="","",[3]Entry!$M$786)</f>
        <v/>
      </c>
      <c r="AL783" t="str">
        <f>IF([3]Entry!$N$786="","",[3]Entry!$N$786)</f>
        <v/>
      </c>
      <c r="AM783" t="str">
        <f>IF([3]Entry!$R$786="","",[3]Entry!$R$786)</f>
        <v/>
      </c>
    </row>
    <row r="784" spans="20:39" x14ac:dyDescent="0.2">
      <c r="T784" t="str">
        <f>IF([2]Baskol!$B$787="","",[2]Baskol!$B$787)</f>
        <v/>
      </c>
      <c r="U784" t="str">
        <f>IF([2]Baskol!$C$787="","",[2]Baskol!$C$787)</f>
        <v/>
      </c>
      <c r="V784" t="str">
        <f>IF([2]Baskol!$D$787="","",[2]Baskol!$D$787)</f>
        <v/>
      </c>
      <c r="W784" t="str">
        <f>IF([2]Baskol!$E$787="","",[2]Baskol!$E$787)</f>
        <v/>
      </c>
      <c r="X784" t="str">
        <f>IF([2]Baskol!$G$787="","",[2]Baskol!$G$787)</f>
        <v/>
      </c>
      <c r="Y784" t="str">
        <f>IF([2]Baskol!$I$787="","",[2]Baskol!$I$787)</f>
        <v/>
      </c>
      <c r="Z784" t="str">
        <f>IF([2]Baskol!$J$787="","",[2]Baskol!$J$787)</f>
        <v/>
      </c>
      <c r="AA784" t="str">
        <f>IF([2]Baskol!$K$787="","",[2]Baskol!$K$787)</f>
        <v/>
      </c>
      <c r="AB784" t="str">
        <f>IF([2]Baskol!$L$787="","",[2]Baskol!$L$787)</f>
        <v/>
      </c>
      <c r="AC784" t="str">
        <f>IF([2]Baskol!$N$787="","",[2]Baskol!$N$787)</f>
        <v/>
      </c>
      <c r="AD784" t="str">
        <f>IF([2]Baskol!$O$787="","",[2]Baskol!$O$787)</f>
        <v/>
      </c>
      <c r="AE784" t="str">
        <f>IF([3]Entry!$C$787="","",[3]Entry!$C$787)</f>
        <v/>
      </c>
      <c r="AF784" t="str">
        <f>IF([3]Entry!$D$787="","",[3]Entry!$D$787)</f>
        <v/>
      </c>
      <c r="AG784" t="str">
        <f>IF([3]Entry!$E$787="","",[3]Entry!$E$787)</f>
        <v/>
      </c>
      <c r="AH784" t="str">
        <f>IF([3]Entry!$G$787="","",[3]Entry!$G$787)</f>
        <v/>
      </c>
      <c r="AI784" t="str">
        <f>IF([3]Entry!$K$787="","",[3]Entry!$K$787)</f>
        <v/>
      </c>
      <c r="AJ784" t="str">
        <f>IF([3]Entry!$L$787="","",[3]Entry!$L$787)</f>
        <v/>
      </c>
      <c r="AK784" t="str">
        <f>IF([3]Entry!$M$787="","",[3]Entry!$M$787)</f>
        <v/>
      </c>
      <c r="AL784" t="str">
        <f>IF([3]Entry!$N$787="","",[3]Entry!$N$787)</f>
        <v/>
      </c>
      <c r="AM784" t="str">
        <f>IF([3]Entry!$R$787="","",[3]Entry!$R$787)</f>
        <v/>
      </c>
    </row>
    <row r="785" spans="20:39" x14ac:dyDescent="0.2">
      <c r="T785" t="str">
        <f>IF([2]Baskol!$B$788="","",[2]Baskol!$B$788)</f>
        <v/>
      </c>
      <c r="U785" t="str">
        <f>IF([2]Baskol!$C$788="","",[2]Baskol!$C$788)</f>
        <v/>
      </c>
      <c r="V785" t="str">
        <f>IF([2]Baskol!$D$788="","",[2]Baskol!$D$788)</f>
        <v/>
      </c>
      <c r="W785" t="str">
        <f>IF([2]Baskol!$E$788="","",[2]Baskol!$E$788)</f>
        <v/>
      </c>
      <c r="X785" t="str">
        <f>IF([2]Baskol!$G$788="","",[2]Baskol!$G$788)</f>
        <v/>
      </c>
      <c r="Y785" t="str">
        <f>IF([2]Baskol!$I$788="","",[2]Baskol!$I$788)</f>
        <v/>
      </c>
      <c r="Z785" t="str">
        <f>IF([2]Baskol!$J$788="","",[2]Baskol!$J$788)</f>
        <v/>
      </c>
      <c r="AA785" t="str">
        <f>IF([2]Baskol!$K$788="","",[2]Baskol!$K$788)</f>
        <v/>
      </c>
      <c r="AB785" t="str">
        <f>IF([2]Baskol!$L$788="","",[2]Baskol!$L$788)</f>
        <v/>
      </c>
      <c r="AC785" t="str">
        <f>IF([2]Baskol!$N$788="","",[2]Baskol!$N$788)</f>
        <v/>
      </c>
      <c r="AD785" t="str">
        <f>IF([2]Baskol!$O$788="","",[2]Baskol!$O$788)</f>
        <v/>
      </c>
      <c r="AE785" t="str">
        <f>IF([3]Entry!$C$788="","",[3]Entry!$C$788)</f>
        <v/>
      </c>
      <c r="AF785" t="str">
        <f>IF([3]Entry!$D$788="","",[3]Entry!$D$788)</f>
        <v/>
      </c>
      <c r="AG785" t="str">
        <f>IF([3]Entry!$E$788="","",[3]Entry!$E$788)</f>
        <v/>
      </c>
      <c r="AH785" t="str">
        <f>IF([3]Entry!$G$788="","",[3]Entry!$G$788)</f>
        <v/>
      </c>
      <c r="AI785" t="str">
        <f>IF([3]Entry!$K$788="","",[3]Entry!$K$788)</f>
        <v/>
      </c>
      <c r="AJ785" t="str">
        <f>IF([3]Entry!$L$788="","",[3]Entry!$L$788)</f>
        <v/>
      </c>
      <c r="AK785" t="str">
        <f>IF([3]Entry!$M$788="","",[3]Entry!$M$788)</f>
        <v/>
      </c>
      <c r="AL785" t="str">
        <f>IF([3]Entry!$N$788="","",[3]Entry!$N$788)</f>
        <v/>
      </c>
      <c r="AM785" t="str">
        <f>IF([3]Entry!$R$788="","",[3]Entry!$R$788)</f>
        <v/>
      </c>
    </row>
    <row r="786" spans="20:39" x14ac:dyDescent="0.2">
      <c r="T786" t="str">
        <f>IF([2]Baskol!$B$789="","",[2]Baskol!$B$789)</f>
        <v/>
      </c>
      <c r="U786" t="str">
        <f>IF([2]Baskol!$C$789="","",[2]Baskol!$C$789)</f>
        <v/>
      </c>
      <c r="V786" t="str">
        <f>IF([2]Baskol!$D$789="","",[2]Baskol!$D$789)</f>
        <v/>
      </c>
      <c r="W786" t="str">
        <f>IF([2]Baskol!$E$789="","",[2]Baskol!$E$789)</f>
        <v/>
      </c>
      <c r="X786" t="str">
        <f>IF([2]Baskol!$G$789="","",[2]Baskol!$G$789)</f>
        <v/>
      </c>
      <c r="Y786" t="str">
        <f>IF([2]Baskol!$I$789="","",[2]Baskol!$I$789)</f>
        <v/>
      </c>
      <c r="Z786" t="str">
        <f>IF([2]Baskol!$J$789="","",[2]Baskol!$J$789)</f>
        <v/>
      </c>
      <c r="AA786" t="str">
        <f>IF([2]Baskol!$K$789="","",[2]Baskol!$K$789)</f>
        <v/>
      </c>
      <c r="AB786" t="str">
        <f>IF([2]Baskol!$L$789="","",[2]Baskol!$L$789)</f>
        <v/>
      </c>
      <c r="AC786" t="str">
        <f>IF([2]Baskol!$N$789="","",[2]Baskol!$N$789)</f>
        <v/>
      </c>
      <c r="AD786" t="str">
        <f>IF([2]Baskol!$O$789="","",[2]Baskol!$O$789)</f>
        <v/>
      </c>
      <c r="AE786" t="str">
        <f>IF([3]Entry!$C$789="","",[3]Entry!$C$789)</f>
        <v/>
      </c>
      <c r="AF786" t="str">
        <f>IF([3]Entry!$D$789="","",[3]Entry!$D$789)</f>
        <v/>
      </c>
      <c r="AG786" t="str">
        <f>IF([3]Entry!$E$789="","",[3]Entry!$E$789)</f>
        <v/>
      </c>
      <c r="AH786" t="str">
        <f>IF([3]Entry!$G$789="","",[3]Entry!$G$789)</f>
        <v/>
      </c>
      <c r="AI786" t="str">
        <f>IF([3]Entry!$K$789="","",[3]Entry!$K$789)</f>
        <v/>
      </c>
      <c r="AJ786" t="str">
        <f>IF([3]Entry!$L$789="","",[3]Entry!$L$789)</f>
        <v/>
      </c>
      <c r="AK786" t="str">
        <f>IF([3]Entry!$M$789="","",[3]Entry!$M$789)</f>
        <v/>
      </c>
      <c r="AL786" t="str">
        <f>IF([3]Entry!$N$789="","",[3]Entry!$N$789)</f>
        <v/>
      </c>
      <c r="AM786" t="str">
        <f>IF([3]Entry!$R$789="","",[3]Entry!$R$789)</f>
        <v/>
      </c>
    </row>
    <row r="787" spans="20:39" x14ac:dyDescent="0.2">
      <c r="T787" t="str">
        <f>IF([2]Baskol!$B$790="","",[2]Baskol!$B$790)</f>
        <v/>
      </c>
      <c r="U787" t="str">
        <f>IF([2]Baskol!$C$790="","",[2]Baskol!$C$790)</f>
        <v/>
      </c>
      <c r="V787" t="str">
        <f>IF([2]Baskol!$D$790="","",[2]Baskol!$D$790)</f>
        <v/>
      </c>
      <c r="W787" t="str">
        <f>IF([2]Baskol!$E$790="","",[2]Baskol!$E$790)</f>
        <v/>
      </c>
      <c r="X787" t="str">
        <f>IF([2]Baskol!$G$790="","",[2]Baskol!$G$790)</f>
        <v/>
      </c>
      <c r="Y787" t="str">
        <f>IF([2]Baskol!$I$790="","",[2]Baskol!$I$790)</f>
        <v/>
      </c>
      <c r="Z787" t="str">
        <f>IF([2]Baskol!$J$790="","",[2]Baskol!$J$790)</f>
        <v/>
      </c>
      <c r="AA787" t="str">
        <f>IF([2]Baskol!$K$790="","",[2]Baskol!$K$790)</f>
        <v/>
      </c>
      <c r="AB787" t="str">
        <f>IF([2]Baskol!$L$790="","",[2]Baskol!$L$790)</f>
        <v/>
      </c>
      <c r="AC787" t="str">
        <f>IF([2]Baskol!$N$790="","",[2]Baskol!$N$790)</f>
        <v/>
      </c>
      <c r="AD787" t="str">
        <f>IF([2]Baskol!$O$790="","",[2]Baskol!$O$790)</f>
        <v/>
      </c>
      <c r="AE787" t="str">
        <f>IF([3]Entry!$C$790="","",[3]Entry!$C$790)</f>
        <v/>
      </c>
      <c r="AF787" t="str">
        <f>IF([3]Entry!$D$790="","",[3]Entry!$D$790)</f>
        <v/>
      </c>
      <c r="AG787" t="str">
        <f>IF([3]Entry!$E$790="","",[3]Entry!$E$790)</f>
        <v/>
      </c>
      <c r="AH787" t="str">
        <f>IF([3]Entry!$G$790="","",[3]Entry!$G$790)</f>
        <v/>
      </c>
      <c r="AI787" t="str">
        <f>IF([3]Entry!$K$790="","",[3]Entry!$K$790)</f>
        <v/>
      </c>
      <c r="AJ787" t="str">
        <f>IF([3]Entry!$L$790="","",[3]Entry!$L$790)</f>
        <v/>
      </c>
      <c r="AK787" t="str">
        <f>IF([3]Entry!$M$790="","",[3]Entry!$M$790)</f>
        <v/>
      </c>
      <c r="AL787" t="str">
        <f>IF([3]Entry!$N$790="","",[3]Entry!$N$790)</f>
        <v/>
      </c>
      <c r="AM787" t="str">
        <f>IF([3]Entry!$R$790="","",[3]Entry!$R$790)</f>
        <v/>
      </c>
    </row>
    <row r="788" spans="20:39" x14ac:dyDescent="0.2">
      <c r="T788" t="str">
        <f>IF([2]Baskol!$B$791="","",[2]Baskol!$B$791)</f>
        <v/>
      </c>
      <c r="U788" t="str">
        <f>IF([2]Baskol!$C$791="","",[2]Baskol!$C$791)</f>
        <v/>
      </c>
      <c r="V788" t="str">
        <f>IF([2]Baskol!$D$791="","",[2]Baskol!$D$791)</f>
        <v/>
      </c>
      <c r="W788" t="str">
        <f>IF([2]Baskol!$E$791="","",[2]Baskol!$E$791)</f>
        <v/>
      </c>
      <c r="X788" t="str">
        <f>IF([2]Baskol!$G$791="","",[2]Baskol!$G$791)</f>
        <v/>
      </c>
      <c r="Y788" t="str">
        <f>IF([2]Baskol!$I$791="","",[2]Baskol!$I$791)</f>
        <v/>
      </c>
      <c r="Z788" t="str">
        <f>IF([2]Baskol!$J$791="","",[2]Baskol!$J$791)</f>
        <v/>
      </c>
      <c r="AA788" t="str">
        <f>IF([2]Baskol!$K$791="","",[2]Baskol!$K$791)</f>
        <v/>
      </c>
      <c r="AB788" t="str">
        <f>IF([2]Baskol!$L$791="","",[2]Baskol!$L$791)</f>
        <v/>
      </c>
      <c r="AC788" t="str">
        <f>IF([2]Baskol!$N$791="","",[2]Baskol!$N$791)</f>
        <v/>
      </c>
      <c r="AD788" t="str">
        <f>IF([2]Baskol!$O$791="","",[2]Baskol!$O$791)</f>
        <v/>
      </c>
      <c r="AE788" t="str">
        <f>IF([3]Entry!$C$791="","",[3]Entry!$C$791)</f>
        <v/>
      </c>
      <c r="AF788" t="str">
        <f>IF([3]Entry!$D$791="","",[3]Entry!$D$791)</f>
        <v/>
      </c>
      <c r="AG788" t="str">
        <f>IF([3]Entry!$E$791="","",[3]Entry!$E$791)</f>
        <v/>
      </c>
      <c r="AH788" t="str">
        <f>IF([3]Entry!$G$791="","",[3]Entry!$G$791)</f>
        <v/>
      </c>
      <c r="AI788" t="str">
        <f>IF([3]Entry!$K$791="","",[3]Entry!$K$791)</f>
        <v/>
      </c>
      <c r="AJ788" t="str">
        <f>IF([3]Entry!$L$791="","",[3]Entry!$L$791)</f>
        <v/>
      </c>
      <c r="AK788" t="str">
        <f>IF([3]Entry!$M$791="","",[3]Entry!$M$791)</f>
        <v/>
      </c>
      <c r="AL788" t="str">
        <f>IF([3]Entry!$N$791="","",[3]Entry!$N$791)</f>
        <v/>
      </c>
      <c r="AM788" t="str">
        <f>IF([3]Entry!$R$791="","",[3]Entry!$R$791)</f>
        <v/>
      </c>
    </row>
    <row r="789" spans="20:39" x14ac:dyDescent="0.2">
      <c r="T789" t="str">
        <f>IF([2]Baskol!$B$792="","",[2]Baskol!$B$792)</f>
        <v/>
      </c>
      <c r="U789" t="str">
        <f>IF([2]Baskol!$C$792="","",[2]Baskol!$C$792)</f>
        <v/>
      </c>
      <c r="V789" t="str">
        <f>IF([2]Baskol!$D$792="","",[2]Baskol!$D$792)</f>
        <v/>
      </c>
      <c r="W789" t="str">
        <f>IF([2]Baskol!$E$792="","",[2]Baskol!$E$792)</f>
        <v/>
      </c>
      <c r="X789" t="str">
        <f>IF([2]Baskol!$G$792="","",[2]Baskol!$G$792)</f>
        <v/>
      </c>
      <c r="Y789" t="str">
        <f>IF([2]Baskol!$I$792="","",[2]Baskol!$I$792)</f>
        <v/>
      </c>
      <c r="Z789" t="str">
        <f>IF([2]Baskol!$J$792="","",[2]Baskol!$J$792)</f>
        <v/>
      </c>
      <c r="AA789" t="str">
        <f>IF([2]Baskol!$K$792="","",[2]Baskol!$K$792)</f>
        <v/>
      </c>
      <c r="AB789" t="str">
        <f>IF([2]Baskol!$L$792="","",[2]Baskol!$L$792)</f>
        <v/>
      </c>
      <c r="AC789" t="str">
        <f>IF([2]Baskol!$N$792="","",[2]Baskol!$N$792)</f>
        <v/>
      </c>
      <c r="AD789" t="str">
        <f>IF([2]Baskol!$O$792="","",[2]Baskol!$O$792)</f>
        <v/>
      </c>
      <c r="AE789" t="str">
        <f>IF([3]Entry!$C$792="","",[3]Entry!$C$792)</f>
        <v/>
      </c>
      <c r="AF789" t="str">
        <f>IF([3]Entry!$D$792="","",[3]Entry!$D$792)</f>
        <v/>
      </c>
      <c r="AG789" t="str">
        <f>IF([3]Entry!$E$792="","",[3]Entry!$E$792)</f>
        <v/>
      </c>
      <c r="AH789" t="str">
        <f>IF([3]Entry!$G$792="","",[3]Entry!$G$792)</f>
        <v/>
      </c>
      <c r="AI789" t="str">
        <f>IF([3]Entry!$K$792="","",[3]Entry!$K$792)</f>
        <v/>
      </c>
      <c r="AJ789" t="str">
        <f>IF([3]Entry!$L$792="","",[3]Entry!$L$792)</f>
        <v/>
      </c>
      <c r="AK789" t="str">
        <f>IF([3]Entry!$M$792="","",[3]Entry!$M$792)</f>
        <v/>
      </c>
      <c r="AL789" t="str">
        <f>IF([3]Entry!$N$792="","",[3]Entry!$N$792)</f>
        <v/>
      </c>
      <c r="AM789" t="str">
        <f>IF([3]Entry!$R$792="","",[3]Entry!$R$792)</f>
        <v/>
      </c>
    </row>
    <row r="790" spans="20:39" x14ac:dyDescent="0.2">
      <c r="T790" t="str">
        <f>IF([2]Baskol!$B$793="","",[2]Baskol!$B$793)</f>
        <v/>
      </c>
      <c r="U790" t="str">
        <f>IF([2]Baskol!$C$793="","",[2]Baskol!$C$793)</f>
        <v/>
      </c>
      <c r="V790" t="str">
        <f>IF([2]Baskol!$D$793="","",[2]Baskol!$D$793)</f>
        <v/>
      </c>
      <c r="W790" t="str">
        <f>IF([2]Baskol!$E$793="","",[2]Baskol!$E$793)</f>
        <v/>
      </c>
      <c r="X790" t="str">
        <f>IF([2]Baskol!$G$793="","",[2]Baskol!$G$793)</f>
        <v/>
      </c>
      <c r="Y790" t="str">
        <f>IF([2]Baskol!$I$793="","",[2]Baskol!$I$793)</f>
        <v/>
      </c>
      <c r="Z790" t="str">
        <f>IF([2]Baskol!$J$793="","",[2]Baskol!$J$793)</f>
        <v/>
      </c>
      <c r="AA790" t="str">
        <f>IF([2]Baskol!$K$793="","",[2]Baskol!$K$793)</f>
        <v/>
      </c>
      <c r="AB790" t="str">
        <f>IF([2]Baskol!$L$793="","",[2]Baskol!$L$793)</f>
        <v/>
      </c>
      <c r="AC790" t="str">
        <f>IF([2]Baskol!$N$793="","",[2]Baskol!$N$793)</f>
        <v/>
      </c>
      <c r="AD790" t="str">
        <f>IF([2]Baskol!$O$793="","",[2]Baskol!$O$793)</f>
        <v/>
      </c>
      <c r="AE790" t="str">
        <f>IF([3]Entry!$C$793="","",[3]Entry!$C$793)</f>
        <v/>
      </c>
      <c r="AF790" t="str">
        <f>IF([3]Entry!$D$793="","",[3]Entry!$D$793)</f>
        <v/>
      </c>
      <c r="AG790" t="str">
        <f>IF([3]Entry!$E$793="","",[3]Entry!$E$793)</f>
        <v/>
      </c>
      <c r="AH790" t="str">
        <f>IF([3]Entry!$G$793="","",[3]Entry!$G$793)</f>
        <v/>
      </c>
      <c r="AI790" t="str">
        <f>IF([3]Entry!$K$793="","",[3]Entry!$K$793)</f>
        <v/>
      </c>
      <c r="AJ790" t="str">
        <f>IF([3]Entry!$L$793="","",[3]Entry!$L$793)</f>
        <v/>
      </c>
      <c r="AK790" t="str">
        <f>IF([3]Entry!$M$793="","",[3]Entry!$M$793)</f>
        <v/>
      </c>
      <c r="AL790" t="str">
        <f>IF([3]Entry!$N$793="","",[3]Entry!$N$793)</f>
        <v/>
      </c>
      <c r="AM790" t="str">
        <f>IF([3]Entry!$R$793="","",[3]Entry!$R$793)</f>
        <v/>
      </c>
    </row>
    <row r="791" spans="20:39" x14ac:dyDescent="0.2">
      <c r="T791" t="str">
        <f>IF([2]Baskol!$B$794="","",[2]Baskol!$B$794)</f>
        <v/>
      </c>
      <c r="U791" t="str">
        <f>IF([2]Baskol!$C$794="","",[2]Baskol!$C$794)</f>
        <v/>
      </c>
      <c r="V791" t="str">
        <f>IF([2]Baskol!$D$794="","",[2]Baskol!$D$794)</f>
        <v/>
      </c>
      <c r="W791" t="str">
        <f>IF([2]Baskol!$E$794="","",[2]Baskol!$E$794)</f>
        <v/>
      </c>
      <c r="X791" t="str">
        <f>IF([2]Baskol!$G$794="","",[2]Baskol!$G$794)</f>
        <v/>
      </c>
      <c r="Y791" t="str">
        <f>IF([2]Baskol!$I$794="","",[2]Baskol!$I$794)</f>
        <v/>
      </c>
      <c r="Z791" t="str">
        <f>IF([2]Baskol!$J$794="","",[2]Baskol!$J$794)</f>
        <v/>
      </c>
      <c r="AA791" t="str">
        <f>IF([2]Baskol!$K$794="","",[2]Baskol!$K$794)</f>
        <v/>
      </c>
      <c r="AB791" t="str">
        <f>IF([2]Baskol!$L$794="","",[2]Baskol!$L$794)</f>
        <v/>
      </c>
      <c r="AC791" t="str">
        <f>IF([2]Baskol!$N$794="","",[2]Baskol!$N$794)</f>
        <v/>
      </c>
      <c r="AD791" t="str">
        <f>IF([2]Baskol!$O$794="","",[2]Baskol!$O$794)</f>
        <v/>
      </c>
      <c r="AE791" t="str">
        <f>IF([3]Entry!$C$794="","",[3]Entry!$C$794)</f>
        <v/>
      </c>
      <c r="AF791" t="str">
        <f>IF([3]Entry!$D$794="","",[3]Entry!$D$794)</f>
        <v/>
      </c>
      <c r="AG791" t="str">
        <f>IF([3]Entry!$E$794="","",[3]Entry!$E$794)</f>
        <v/>
      </c>
      <c r="AH791" t="str">
        <f>IF([3]Entry!$G$794="","",[3]Entry!$G$794)</f>
        <v/>
      </c>
      <c r="AI791" t="str">
        <f>IF([3]Entry!$K$794="","",[3]Entry!$K$794)</f>
        <v/>
      </c>
      <c r="AJ791" t="str">
        <f>IF([3]Entry!$L$794="","",[3]Entry!$L$794)</f>
        <v/>
      </c>
      <c r="AK791" t="str">
        <f>IF([3]Entry!$M$794="","",[3]Entry!$M$794)</f>
        <v/>
      </c>
      <c r="AL791" t="str">
        <f>IF([3]Entry!$N$794="","",[3]Entry!$N$794)</f>
        <v/>
      </c>
      <c r="AM791" t="str">
        <f>IF([3]Entry!$R$794="","",[3]Entry!$R$794)</f>
        <v/>
      </c>
    </row>
    <row r="792" spans="20:39" x14ac:dyDescent="0.2">
      <c r="T792" t="str">
        <f>IF([2]Baskol!$B$795="","",[2]Baskol!$B$795)</f>
        <v/>
      </c>
      <c r="U792" t="str">
        <f>IF([2]Baskol!$C$795="","",[2]Baskol!$C$795)</f>
        <v/>
      </c>
      <c r="V792" t="str">
        <f>IF([2]Baskol!$D$795="","",[2]Baskol!$D$795)</f>
        <v/>
      </c>
      <c r="W792" t="str">
        <f>IF([2]Baskol!$E$795="","",[2]Baskol!$E$795)</f>
        <v/>
      </c>
      <c r="X792" t="str">
        <f>IF([2]Baskol!$G$795="","",[2]Baskol!$G$795)</f>
        <v/>
      </c>
      <c r="Y792" t="str">
        <f>IF([2]Baskol!$I$795="","",[2]Baskol!$I$795)</f>
        <v/>
      </c>
      <c r="Z792" t="str">
        <f>IF([2]Baskol!$J$795="","",[2]Baskol!$J$795)</f>
        <v/>
      </c>
      <c r="AA792" t="str">
        <f>IF([2]Baskol!$K$795="","",[2]Baskol!$K$795)</f>
        <v/>
      </c>
      <c r="AB792" t="str">
        <f>IF([2]Baskol!$L$795="","",[2]Baskol!$L$795)</f>
        <v/>
      </c>
      <c r="AC792" t="str">
        <f>IF([2]Baskol!$N$795="","",[2]Baskol!$N$795)</f>
        <v/>
      </c>
      <c r="AD792" t="str">
        <f>IF([2]Baskol!$O$795="","",[2]Baskol!$O$795)</f>
        <v/>
      </c>
      <c r="AE792" t="str">
        <f>IF([3]Entry!$C$795="","",[3]Entry!$C$795)</f>
        <v/>
      </c>
      <c r="AF792" t="str">
        <f>IF([3]Entry!$D$795="","",[3]Entry!$D$795)</f>
        <v/>
      </c>
      <c r="AG792" t="str">
        <f>IF([3]Entry!$E$795="","",[3]Entry!$E$795)</f>
        <v/>
      </c>
      <c r="AH792" t="str">
        <f>IF([3]Entry!$G$795="","",[3]Entry!$G$795)</f>
        <v/>
      </c>
      <c r="AI792" t="str">
        <f>IF([3]Entry!$K$795="","",[3]Entry!$K$795)</f>
        <v/>
      </c>
      <c r="AJ792" t="str">
        <f>IF([3]Entry!$L$795="","",[3]Entry!$L$795)</f>
        <v/>
      </c>
      <c r="AK792" t="str">
        <f>IF([3]Entry!$M$795="","",[3]Entry!$M$795)</f>
        <v/>
      </c>
      <c r="AL792" t="str">
        <f>IF([3]Entry!$N$795="","",[3]Entry!$N$795)</f>
        <v/>
      </c>
      <c r="AM792" t="str">
        <f>IF([3]Entry!$R$795="","",[3]Entry!$R$795)</f>
        <v/>
      </c>
    </row>
    <row r="793" spans="20:39" x14ac:dyDescent="0.2">
      <c r="T793" t="str">
        <f>IF([2]Baskol!$B$796="","",[2]Baskol!$B$796)</f>
        <v/>
      </c>
      <c r="U793" t="str">
        <f>IF([2]Baskol!$C$796="","",[2]Baskol!$C$796)</f>
        <v/>
      </c>
      <c r="V793" t="str">
        <f>IF([2]Baskol!$D$796="","",[2]Baskol!$D$796)</f>
        <v/>
      </c>
      <c r="W793" t="str">
        <f>IF([2]Baskol!$E$796="","",[2]Baskol!$E$796)</f>
        <v/>
      </c>
      <c r="X793" t="str">
        <f>IF([2]Baskol!$G$796="","",[2]Baskol!$G$796)</f>
        <v/>
      </c>
      <c r="Y793" t="str">
        <f>IF([2]Baskol!$I$796="","",[2]Baskol!$I$796)</f>
        <v/>
      </c>
      <c r="Z793" t="str">
        <f>IF([2]Baskol!$J$796="","",[2]Baskol!$J$796)</f>
        <v/>
      </c>
      <c r="AA793" t="str">
        <f>IF([2]Baskol!$K$796="","",[2]Baskol!$K$796)</f>
        <v/>
      </c>
      <c r="AB793" t="str">
        <f>IF([2]Baskol!$L$796="","",[2]Baskol!$L$796)</f>
        <v/>
      </c>
      <c r="AC793" t="str">
        <f>IF([2]Baskol!$N$796="","",[2]Baskol!$N$796)</f>
        <v/>
      </c>
      <c r="AD793" t="str">
        <f>IF([2]Baskol!$O$796="","",[2]Baskol!$O$796)</f>
        <v/>
      </c>
      <c r="AE793" t="str">
        <f>IF([3]Entry!$C$796="","",[3]Entry!$C$796)</f>
        <v/>
      </c>
      <c r="AF793" t="str">
        <f>IF([3]Entry!$D$796="","",[3]Entry!$D$796)</f>
        <v/>
      </c>
      <c r="AG793" t="str">
        <f>IF([3]Entry!$E$796="","",[3]Entry!$E$796)</f>
        <v/>
      </c>
      <c r="AH793" t="str">
        <f>IF([3]Entry!$G$796="","",[3]Entry!$G$796)</f>
        <v/>
      </c>
      <c r="AI793" t="str">
        <f>IF([3]Entry!$K$796="","",[3]Entry!$K$796)</f>
        <v/>
      </c>
      <c r="AJ793" t="str">
        <f>IF([3]Entry!$L$796="","",[3]Entry!$L$796)</f>
        <v/>
      </c>
      <c r="AK793" t="str">
        <f>IF([3]Entry!$M$796="","",[3]Entry!$M$796)</f>
        <v/>
      </c>
      <c r="AL793" t="str">
        <f>IF([3]Entry!$N$796="","",[3]Entry!$N$796)</f>
        <v/>
      </c>
      <c r="AM793" t="str">
        <f>IF([3]Entry!$R$796="","",[3]Entry!$R$796)</f>
        <v/>
      </c>
    </row>
    <row r="794" spans="20:39" x14ac:dyDescent="0.2">
      <c r="T794" t="str">
        <f>IF([2]Baskol!$B$797="","",[2]Baskol!$B$797)</f>
        <v/>
      </c>
      <c r="U794" t="str">
        <f>IF([2]Baskol!$C$797="","",[2]Baskol!$C$797)</f>
        <v/>
      </c>
      <c r="V794" t="str">
        <f>IF([2]Baskol!$D$797="","",[2]Baskol!$D$797)</f>
        <v/>
      </c>
      <c r="W794" t="str">
        <f>IF([2]Baskol!$E$797="","",[2]Baskol!$E$797)</f>
        <v/>
      </c>
      <c r="X794" t="str">
        <f>IF([2]Baskol!$G$797="","",[2]Baskol!$G$797)</f>
        <v/>
      </c>
      <c r="Y794" t="str">
        <f>IF([2]Baskol!$I$797="","",[2]Baskol!$I$797)</f>
        <v/>
      </c>
      <c r="Z794" t="str">
        <f>IF([2]Baskol!$J$797="","",[2]Baskol!$J$797)</f>
        <v/>
      </c>
      <c r="AA794" t="str">
        <f>IF([2]Baskol!$K$797="","",[2]Baskol!$K$797)</f>
        <v/>
      </c>
      <c r="AB794" t="str">
        <f>IF([2]Baskol!$L$797="","",[2]Baskol!$L$797)</f>
        <v/>
      </c>
      <c r="AC794" t="str">
        <f>IF([2]Baskol!$N$797="","",[2]Baskol!$N$797)</f>
        <v/>
      </c>
      <c r="AD794" t="str">
        <f>IF([2]Baskol!$O$797="","",[2]Baskol!$O$797)</f>
        <v/>
      </c>
      <c r="AE794" t="str">
        <f>IF([3]Entry!$C$797="","",[3]Entry!$C$797)</f>
        <v/>
      </c>
      <c r="AF794" t="str">
        <f>IF([3]Entry!$D$797="","",[3]Entry!$D$797)</f>
        <v/>
      </c>
      <c r="AG794" t="str">
        <f>IF([3]Entry!$E$797="","",[3]Entry!$E$797)</f>
        <v/>
      </c>
      <c r="AH794" t="str">
        <f>IF([3]Entry!$G$797="","",[3]Entry!$G$797)</f>
        <v/>
      </c>
      <c r="AI794" t="str">
        <f>IF([3]Entry!$K$797="","",[3]Entry!$K$797)</f>
        <v/>
      </c>
      <c r="AJ794" t="str">
        <f>IF([3]Entry!$L$797="","",[3]Entry!$L$797)</f>
        <v/>
      </c>
      <c r="AK794" t="str">
        <f>IF([3]Entry!$M$797="","",[3]Entry!$M$797)</f>
        <v/>
      </c>
      <c r="AL794" t="str">
        <f>IF([3]Entry!$N$797="","",[3]Entry!$N$797)</f>
        <v/>
      </c>
      <c r="AM794" t="str">
        <f>IF([3]Entry!$R$797="","",[3]Entry!$R$797)</f>
        <v/>
      </c>
    </row>
    <row r="795" spans="20:39" x14ac:dyDescent="0.2">
      <c r="T795" t="str">
        <f>IF([2]Baskol!$B$798="","",[2]Baskol!$B$798)</f>
        <v/>
      </c>
      <c r="U795" t="str">
        <f>IF([2]Baskol!$C$798="","",[2]Baskol!$C$798)</f>
        <v/>
      </c>
      <c r="V795" t="str">
        <f>IF([2]Baskol!$D$798="","",[2]Baskol!$D$798)</f>
        <v/>
      </c>
      <c r="W795" t="str">
        <f>IF([2]Baskol!$E$798="","",[2]Baskol!$E$798)</f>
        <v/>
      </c>
      <c r="X795" t="str">
        <f>IF([2]Baskol!$G$798="","",[2]Baskol!$G$798)</f>
        <v/>
      </c>
      <c r="Y795" t="str">
        <f>IF([2]Baskol!$I$798="","",[2]Baskol!$I$798)</f>
        <v/>
      </c>
      <c r="Z795" t="str">
        <f>IF([2]Baskol!$J$798="","",[2]Baskol!$J$798)</f>
        <v/>
      </c>
      <c r="AA795" t="str">
        <f>IF([2]Baskol!$K$798="","",[2]Baskol!$K$798)</f>
        <v/>
      </c>
      <c r="AB795" t="str">
        <f>IF([2]Baskol!$L$798="","",[2]Baskol!$L$798)</f>
        <v/>
      </c>
      <c r="AC795" t="str">
        <f>IF([2]Baskol!$N$798="","",[2]Baskol!$N$798)</f>
        <v/>
      </c>
      <c r="AD795" t="str">
        <f>IF([2]Baskol!$O$798="","",[2]Baskol!$O$798)</f>
        <v/>
      </c>
      <c r="AE795" t="str">
        <f>IF([3]Entry!$C$798="","",[3]Entry!$C$798)</f>
        <v/>
      </c>
      <c r="AF795" t="str">
        <f>IF([3]Entry!$D$798="","",[3]Entry!$D$798)</f>
        <v/>
      </c>
      <c r="AG795" t="str">
        <f>IF([3]Entry!$E$798="","",[3]Entry!$E$798)</f>
        <v/>
      </c>
      <c r="AH795" t="str">
        <f>IF([3]Entry!$G$798="","",[3]Entry!$G$798)</f>
        <v/>
      </c>
      <c r="AI795" t="str">
        <f>IF([3]Entry!$K$798="","",[3]Entry!$K$798)</f>
        <v/>
      </c>
      <c r="AJ795" t="str">
        <f>IF([3]Entry!$L$798="","",[3]Entry!$L$798)</f>
        <v/>
      </c>
      <c r="AK795" t="str">
        <f>IF([3]Entry!$M$798="","",[3]Entry!$M$798)</f>
        <v/>
      </c>
      <c r="AL795" t="str">
        <f>IF([3]Entry!$N$798="","",[3]Entry!$N$798)</f>
        <v/>
      </c>
      <c r="AM795" t="str">
        <f>IF([3]Entry!$R$798="","",[3]Entry!$R$798)</f>
        <v/>
      </c>
    </row>
    <row r="796" spans="20:39" x14ac:dyDescent="0.2">
      <c r="T796" t="str">
        <f>IF([2]Baskol!$B$799="","",[2]Baskol!$B$799)</f>
        <v/>
      </c>
      <c r="U796" t="str">
        <f>IF([2]Baskol!$C$799="","",[2]Baskol!$C$799)</f>
        <v/>
      </c>
      <c r="V796" t="str">
        <f>IF([2]Baskol!$D$799="","",[2]Baskol!$D$799)</f>
        <v/>
      </c>
      <c r="W796" t="str">
        <f>IF([2]Baskol!$E$799="","",[2]Baskol!$E$799)</f>
        <v/>
      </c>
      <c r="X796" t="str">
        <f>IF([2]Baskol!$G$799="","",[2]Baskol!$G$799)</f>
        <v/>
      </c>
      <c r="Y796" t="str">
        <f>IF([2]Baskol!$I$799="","",[2]Baskol!$I$799)</f>
        <v/>
      </c>
      <c r="Z796" t="str">
        <f>IF([2]Baskol!$J$799="","",[2]Baskol!$J$799)</f>
        <v/>
      </c>
      <c r="AA796" t="str">
        <f>IF([2]Baskol!$K$799="","",[2]Baskol!$K$799)</f>
        <v/>
      </c>
      <c r="AB796" t="str">
        <f>IF([2]Baskol!$L$799="","",[2]Baskol!$L$799)</f>
        <v/>
      </c>
      <c r="AC796" t="str">
        <f>IF([2]Baskol!$N$799="","",[2]Baskol!$N$799)</f>
        <v/>
      </c>
      <c r="AD796" t="str">
        <f>IF([2]Baskol!$O$799="","",[2]Baskol!$O$799)</f>
        <v/>
      </c>
      <c r="AE796" t="str">
        <f>IF([3]Entry!$C$799="","",[3]Entry!$C$799)</f>
        <v/>
      </c>
      <c r="AF796" t="str">
        <f>IF([3]Entry!$D$799="","",[3]Entry!$D$799)</f>
        <v/>
      </c>
      <c r="AG796" t="str">
        <f>IF([3]Entry!$E$799="","",[3]Entry!$E$799)</f>
        <v/>
      </c>
      <c r="AH796" t="str">
        <f>IF([3]Entry!$G$799="","",[3]Entry!$G$799)</f>
        <v/>
      </c>
      <c r="AI796" t="str">
        <f>IF([3]Entry!$K$799="","",[3]Entry!$K$799)</f>
        <v/>
      </c>
      <c r="AJ796" t="str">
        <f>IF([3]Entry!$L$799="","",[3]Entry!$L$799)</f>
        <v/>
      </c>
      <c r="AK796" t="str">
        <f>IF([3]Entry!$M$799="","",[3]Entry!$M$799)</f>
        <v/>
      </c>
      <c r="AL796" t="str">
        <f>IF([3]Entry!$N$799="","",[3]Entry!$N$799)</f>
        <v/>
      </c>
      <c r="AM796" t="str">
        <f>IF([3]Entry!$R$799="","",[3]Entry!$R$799)</f>
        <v/>
      </c>
    </row>
    <row r="797" spans="20:39" x14ac:dyDescent="0.2">
      <c r="T797" t="str">
        <f>IF([2]Baskol!$B$800="","",[2]Baskol!$B$800)</f>
        <v/>
      </c>
      <c r="U797" t="str">
        <f>IF([2]Baskol!$C$800="","",[2]Baskol!$C$800)</f>
        <v/>
      </c>
      <c r="V797" t="str">
        <f>IF([2]Baskol!$D$800="","",[2]Baskol!$D$800)</f>
        <v/>
      </c>
      <c r="W797" t="str">
        <f>IF([2]Baskol!$E$800="","",[2]Baskol!$E$800)</f>
        <v/>
      </c>
      <c r="X797" t="str">
        <f>IF([2]Baskol!$G$800="","",[2]Baskol!$G$800)</f>
        <v/>
      </c>
      <c r="Y797" t="str">
        <f>IF([2]Baskol!$I$800="","",[2]Baskol!$I$800)</f>
        <v/>
      </c>
      <c r="Z797" t="str">
        <f>IF([2]Baskol!$J$800="","",[2]Baskol!$J$800)</f>
        <v/>
      </c>
      <c r="AA797" t="str">
        <f>IF([2]Baskol!$K$800="","",[2]Baskol!$K$800)</f>
        <v/>
      </c>
      <c r="AB797" t="str">
        <f>IF([2]Baskol!$L$800="","",[2]Baskol!$L$800)</f>
        <v/>
      </c>
      <c r="AC797" t="str">
        <f>IF([2]Baskol!$N$800="","",[2]Baskol!$N$800)</f>
        <v/>
      </c>
      <c r="AD797" t="str">
        <f>IF([2]Baskol!$O$800="","",[2]Baskol!$O$800)</f>
        <v/>
      </c>
      <c r="AE797" t="str">
        <f>IF([3]Entry!$C$800="","",[3]Entry!$C$800)</f>
        <v/>
      </c>
      <c r="AF797" t="str">
        <f>IF([3]Entry!$D$800="","",[3]Entry!$D$800)</f>
        <v/>
      </c>
      <c r="AG797" t="str">
        <f>IF([3]Entry!$E$800="","",[3]Entry!$E$800)</f>
        <v/>
      </c>
      <c r="AH797" t="str">
        <f>IF([3]Entry!$G$800="","",[3]Entry!$G$800)</f>
        <v/>
      </c>
      <c r="AI797" t="str">
        <f>IF([3]Entry!$K$800="","",[3]Entry!$K$800)</f>
        <v/>
      </c>
      <c r="AJ797" t="str">
        <f>IF([3]Entry!$L$800="","",[3]Entry!$L$800)</f>
        <v/>
      </c>
      <c r="AK797" t="str">
        <f>IF([3]Entry!$M$800="","",[3]Entry!$M$800)</f>
        <v/>
      </c>
      <c r="AL797" t="str">
        <f>IF([3]Entry!$N$800="","",[3]Entry!$N$800)</f>
        <v/>
      </c>
      <c r="AM797" t="str">
        <f>IF([3]Entry!$R$800="","",[3]Entry!$R$800)</f>
        <v/>
      </c>
    </row>
    <row r="798" spans="20:39" x14ac:dyDescent="0.2">
      <c r="T798" t="str">
        <f>IF([2]Baskol!$B$801="","",[2]Baskol!$B$801)</f>
        <v/>
      </c>
      <c r="U798" t="str">
        <f>IF([2]Baskol!$C$801="","",[2]Baskol!$C$801)</f>
        <v/>
      </c>
      <c r="V798" t="str">
        <f>IF([2]Baskol!$D$801="","",[2]Baskol!$D$801)</f>
        <v/>
      </c>
      <c r="W798" t="str">
        <f>IF([2]Baskol!$E$801="","",[2]Baskol!$E$801)</f>
        <v/>
      </c>
      <c r="X798" t="str">
        <f>IF([2]Baskol!$G$801="","",[2]Baskol!$G$801)</f>
        <v/>
      </c>
      <c r="Y798" t="str">
        <f>IF([2]Baskol!$I$801="","",[2]Baskol!$I$801)</f>
        <v/>
      </c>
      <c r="Z798" t="str">
        <f>IF([2]Baskol!$J$801="","",[2]Baskol!$J$801)</f>
        <v/>
      </c>
      <c r="AA798" t="str">
        <f>IF([2]Baskol!$K$801="","",[2]Baskol!$K$801)</f>
        <v/>
      </c>
      <c r="AB798" t="str">
        <f>IF([2]Baskol!$L$801="","",[2]Baskol!$L$801)</f>
        <v/>
      </c>
      <c r="AC798" t="str">
        <f>IF([2]Baskol!$N$801="","",[2]Baskol!$N$801)</f>
        <v/>
      </c>
      <c r="AD798" t="str">
        <f>IF([2]Baskol!$O$801="","",[2]Baskol!$O$801)</f>
        <v/>
      </c>
      <c r="AE798" t="str">
        <f>IF([3]Entry!$C$801="","",[3]Entry!$C$801)</f>
        <v/>
      </c>
      <c r="AF798" t="str">
        <f>IF([3]Entry!$D$801="","",[3]Entry!$D$801)</f>
        <v/>
      </c>
      <c r="AG798" t="str">
        <f>IF([3]Entry!$E$801="","",[3]Entry!$E$801)</f>
        <v/>
      </c>
      <c r="AH798" t="str">
        <f>IF([3]Entry!$G$801="","",[3]Entry!$G$801)</f>
        <v/>
      </c>
      <c r="AI798" t="str">
        <f>IF([3]Entry!$K$801="","",[3]Entry!$K$801)</f>
        <v/>
      </c>
      <c r="AJ798" t="str">
        <f>IF([3]Entry!$L$801="","",[3]Entry!$L$801)</f>
        <v/>
      </c>
      <c r="AK798" t="str">
        <f>IF([3]Entry!$M$801="","",[3]Entry!$M$801)</f>
        <v/>
      </c>
      <c r="AL798" t="str">
        <f>IF([3]Entry!$N$801="","",[3]Entry!$N$801)</f>
        <v/>
      </c>
      <c r="AM798" t="str">
        <f>IF([3]Entry!$R$801="","",[3]Entry!$R$801)</f>
        <v/>
      </c>
    </row>
    <row r="799" spans="20:39" x14ac:dyDescent="0.2">
      <c r="T799" t="str">
        <f>IF([2]Baskol!$B$802="","",[2]Baskol!$B$802)</f>
        <v/>
      </c>
      <c r="U799" t="str">
        <f>IF([2]Baskol!$C$802="","",[2]Baskol!$C$802)</f>
        <v/>
      </c>
      <c r="V799" t="str">
        <f>IF([2]Baskol!$D$802="","",[2]Baskol!$D$802)</f>
        <v/>
      </c>
      <c r="W799" t="str">
        <f>IF([2]Baskol!$E$802="","",[2]Baskol!$E$802)</f>
        <v/>
      </c>
      <c r="X799" t="str">
        <f>IF([2]Baskol!$G$802="","",[2]Baskol!$G$802)</f>
        <v/>
      </c>
      <c r="Y799" t="str">
        <f>IF([2]Baskol!$I$802="","",[2]Baskol!$I$802)</f>
        <v/>
      </c>
      <c r="Z799" t="str">
        <f>IF([2]Baskol!$J$802="","",[2]Baskol!$J$802)</f>
        <v/>
      </c>
      <c r="AA799" t="str">
        <f>IF([2]Baskol!$K$802="","",[2]Baskol!$K$802)</f>
        <v/>
      </c>
      <c r="AB799" t="str">
        <f>IF([2]Baskol!$L$802="","",[2]Baskol!$L$802)</f>
        <v/>
      </c>
      <c r="AC799" t="str">
        <f>IF([2]Baskol!$N$802="","",[2]Baskol!$N$802)</f>
        <v/>
      </c>
      <c r="AD799" t="str">
        <f>IF([2]Baskol!$O$802="","",[2]Baskol!$O$802)</f>
        <v/>
      </c>
      <c r="AE799" t="str">
        <f>IF([3]Entry!$C$802="","",[3]Entry!$C$802)</f>
        <v/>
      </c>
      <c r="AF799" t="str">
        <f>IF([3]Entry!$D$802="","",[3]Entry!$D$802)</f>
        <v/>
      </c>
      <c r="AG799" t="str">
        <f>IF([3]Entry!$E$802="","",[3]Entry!$E$802)</f>
        <v/>
      </c>
      <c r="AH799" t="str">
        <f>IF([3]Entry!$G$802="","",[3]Entry!$G$802)</f>
        <v/>
      </c>
      <c r="AI799" t="str">
        <f>IF([3]Entry!$K$802="","",[3]Entry!$K$802)</f>
        <v/>
      </c>
      <c r="AJ799" t="str">
        <f>IF([3]Entry!$L$802="","",[3]Entry!$L$802)</f>
        <v/>
      </c>
      <c r="AK799" t="str">
        <f>IF([3]Entry!$M$802="","",[3]Entry!$M$802)</f>
        <v/>
      </c>
      <c r="AL799" t="str">
        <f>IF([3]Entry!$N$802="","",[3]Entry!$N$802)</f>
        <v/>
      </c>
      <c r="AM799" t="str">
        <f>IF([3]Entry!$R$802="","",[3]Entry!$R$802)</f>
        <v/>
      </c>
    </row>
    <row r="800" spans="20:39" x14ac:dyDescent="0.2">
      <c r="T800" t="str">
        <f>IF([2]Baskol!$B$803="","",[2]Baskol!$B$803)</f>
        <v/>
      </c>
      <c r="U800" t="str">
        <f>IF([2]Baskol!$C$803="","",[2]Baskol!$C$803)</f>
        <v/>
      </c>
      <c r="V800" t="str">
        <f>IF([2]Baskol!$D$803="","",[2]Baskol!$D$803)</f>
        <v/>
      </c>
      <c r="W800" t="str">
        <f>IF([2]Baskol!$E$803="","",[2]Baskol!$E$803)</f>
        <v/>
      </c>
      <c r="X800" t="str">
        <f>IF([2]Baskol!$G$803="","",[2]Baskol!$G$803)</f>
        <v/>
      </c>
      <c r="Y800" t="str">
        <f>IF([2]Baskol!$I$803="","",[2]Baskol!$I$803)</f>
        <v/>
      </c>
      <c r="Z800" t="str">
        <f>IF([2]Baskol!$J$803="","",[2]Baskol!$J$803)</f>
        <v/>
      </c>
      <c r="AA800" t="str">
        <f>IF([2]Baskol!$K$803="","",[2]Baskol!$K$803)</f>
        <v/>
      </c>
      <c r="AB800" t="str">
        <f>IF([2]Baskol!$L$803="","",[2]Baskol!$L$803)</f>
        <v/>
      </c>
      <c r="AC800" t="str">
        <f>IF([2]Baskol!$N$803="","",[2]Baskol!$N$803)</f>
        <v/>
      </c>
      <c r="AD800" t="str">
        <f>IF([2]Baskol!$O$803="","",[2]Baskol!$O$803)</f>
        <v/>
      </c>
      <c r="AE800" t="str">
        <f>IF([3]Entry!$C$803="","",[3]Entry!$C$803)</f>
        <v/>
      </c>
      <c r="AF800" t="str">
        <f>IF([3]Entry!$D$803="","",[3]Entry!$D$803)</f>
        <v/>
      </c>
      <c r="AG800" t="str">
        <f>IF([3]Entry!$E$803="","",[3]Entry!$E$803)</f>
        <v/>
      </c>
      <c r="AH800" t="str">
        <f>IF([3]Entry!$G$803="","",[3]Entry!$G$803)</f>
        <v/>
      </c>
      <c r="AI800" t="str">
        <f>IF([3]Entry!$K$803="","",[3]Entry!$K$803)</f>
        <v/>
      </c>
      <c r="AJ800" t="str">
        <f>IF([3]Entry!$L$803="","",[3]Entry!$L$803)</f>
        <v/>
      </c>
      <c r="AK800" t="str">
        <f>IF([3]Entry!$M$803="","",[3]Entry!$M$803)</f>
        <v/>
      </c>
      <c r="AL800" t="str">
        <f>IF([3]Entry!$N$803="","",[3]Entry!$N$803)</f>
        <v/>
      </c>
      <c r="AM800" t="str">
        <f>IF([3]Entry!$R$803="","",[3]Entry!$R$803)</f>
        <v/>
      </c>
    </row>
    <row r="801" spans="20:39" x14ac:dyDescent="0.2">
      <c r="T801" t="str">
        <f>IF([2]Baskol!$B$804="","",[2]Baskol!$B$804)</f>
        <v/>
      </c>
      <c r="U801" t="str">
        <f>IF([2]Baskol!$C$804="","",[2]Baskol!$C$804)</f>
        <v/>
      </c>
      <c r="V801" t="str">
        <f>IF([2]Baskol!$D$804="","",[2]Baskol!$D$804)</f>
        <v/>
      </c>
      <c r="W801" t="str">
        <f>IF([2]Baskol!$E$804="","",[2]Baskol!$E$804)</f>
        <v/>
      </c>
      <c r="X801" t="str">
        <f>IF([2]Baskol!$G$804="","",[2]Baskol!$G$804)</f>
        <v/>
      </c>
      <c r="Y801" t="str">
        <f>IF([2]Baskol!$I$804="","",[2]Baskol!$I$804)</f>
        <v/>
      </c>
      <c r="Z801" t="str">
        <f>IF([2]Baskol!$J$804="","",[2]Baskol!$J$804)</f>
        <v/>
      </c>
      <c r="AA801" t="str">
        <f>IF([2]Baskol!$K$804="","",[2]Baskol!$K$804)</f>
        <v/>
      </c>
      <c r="AB801" t="str">
        <f>IF([2]Baskol!$L$804="","",[2]Baskol!$L$804)</f>
        <v/>
      </c>
      <c r="AC801" t="str">
        <f>IF([2]Baskol!$N$804="","",[2]Baskol!$N$804)</f>
        <v/>
      </c>
      <c r="AD801" t="str">
        <f>IF([2]Baskol!$O$804="","",[2]Baskol!$O$804)</f>
        <v/>
      </c>
      <c r="AE801" t="str">
        <f>IF([3]Entry!$C$804="","",[3]Entry!$C$804)</f>
        <v/>
      </c>
      <c r="AF801" t="str">
        <f>IF([3]Entry!$D$804="","",[3]Entry!$D$804)</f>
        <v/>
      </c>
      <c r="AG801" t="str">
        <f>IF([3]Entry!$E$804="","",[3]Entry!$E$804)</f>
        <v/>
      </c>
      <c r="AH801" t="str">
        <f>IF([3]Entry!$G$804="","",[3]Entry!$G$804)</f>
        <v/>
      </c>
      <c r="AI801" t="str">
        <f>IF([3]Entry!$K$804="","",[3]Entry!$K$804)</f>
        <v/>
      </c>
      <c r="AJ801" t="str">
        <f>IF([3]Entry!$L$804="","",[3]Entry!$L$804)</f>
        <v/>
      </c>
      <c r="AK801" t="str">
        <f>IF([3]Entry!$M$804="","",[3]Entry!$M$804)</f>
        <v/>
      </c>
      <c r="AL801" t="str">
        <f>IF([3]Entry!$N$804="","",[3]Entry!$N$804)</f>
        <v/>
      </c>
      <c r="AM801" t="str">
        <f>IF([3]Entry!$R$804="","",[3]Entry!$R$804)</f>
        <v/>
      </c>
    </row>
    <row r="802" spans="20:39" x14ac:dyDescent="0.2">
      <c r="T802" t="str">
        <f>IF([2]Baskol!$B$805="","",[2]Baskol!$B$805)</f>
        <v/>
      </c>
      <c r="U802" t="str">
        <f>IF([2]Baskol!$C$805="","",[2]Baskol!$C$805)</f>
        <v/>
      </c>
      <c r="V802" t="str">
        <f>IF([2]Baskol!$D$805="","",[2]Baskol!$D$805)</f>
        <v/>
      </c>
      <c r="W802" t="str">
        <f>IF([2]Baskol!$E$805="","",[2]Baskol!$E$805)</f>
        <v/>
      </c>
      <c r="X802" t="str">
        <f>IF([2]Baskol!$G$805="","",[2]Baskol!$G$805)</f>
        <v/>
      </c>
      <c r="Y802" t="str">
        <f>IF([2]Baskol!$I$805="","",[2]Baskol!$I$805)</f>
        <v/>
      </c>
      <c r="Z802" t="str">
        <f>IF([2]Baskol!$J$805="","",[2]Baskol!$J$805)</f>
        <v/>
      </c>
      <c r="AA802" t="str">
        <f>IF([2]Baskol!$K$805="","",[2]Baskol!$K$805)</f>
        <v/>
      </c>
      <c r="AB802" t="str">
        <f>IF([2]Baskol!$L$805="","",[2]Baskol!$L$805)</f>
        <v/>
      </c>
      <c r="AC802" t="str">
        <f>IF([2]Baskol!$N$805="","",[2]Baskol!$N$805)</f>
        <v/>
      </c>
      <c r="AD802" t="str">
        <f>IF([2]Baskol!$O$805="","",[2]Baskol!$O$805)</f>
        <v/>
      </c>
      <c r="AE802" t="str">
        <f>IF([3]Entry!$C$805="","",[3]Entry!$C$805)</f>
        <v/>
      </c>
      <c r="AF802" t="str">
        <f>IF([3]Entry!$D$805="","",[3]Entry!$D$805)</f>
        <v/>
      </c>
      <c r="AG802" t="str">
        <f>IF([3]Entry!$E$805="","",[3]Entry!$E$805)</f>
        <v/>
      </c>
      <c r="AH802" t="str">
        <f>IF([3]Entry!$G$805="","",[3]Entry!$G$805)</f>
        <v/>
      </c>
      <c r="AI802" t="str">
        <f>IF([3]Entry!$K$805="","",[3]Entry!$K$805)</f>
        <v/>
      </c>
      <c r="AJ802" t="str">
        <f>IF([3]Entry!$L$805="","",[3]Entry!$L$805)</f>
        <v/>
      </c>
      <c r="AK802" t="str">
        <f>IF([3]Entry!$M$805="","",[3]Entry!$M$805)</f>
        <v/>
      </c>
      <c r="AL802" t="str">
        <f>IF([3]Entry!$N$805="","",[3]Entry!$N$805)</f>
        <v/>
      </c>
      <c r="AM802" t="str">
        <f>IF([3]Entry!$R$805="","",[3]Entry!$R$805)</f>
        <v/>
      </c>
    </row>
    <row r="803" spans="20:39" x14ac:dyDescent="0.2">
      <c r="T803" t="str">
        <f>IF([2]Baskol!$B$806="","",[2]Baskol!$B$806)</f>
        <v/>
      </c>
      <c r="U803" t="str">
        <f>IF([2]Baskol!$C$806="","",[2]Baskol!$C$806)</f>
        <v/>
      </c>
      <c r="V803" t="str">
        <f>IF([2]Baskol!$D$806="","",[2]Baskol!$D$806)</f>
        <v/>
      </c>
      <c r="W803" t="str">
        <f>IF([2]Baskol!$E$806="","",[2]Baskol!$E$806)</f>
        <v/>
      </c>
      <c r="X803" t="str">
        <f>IF([2]Baskol!$G$806="","",[2]Baskol!$G$806)</f>
        <v/>
      </c>
      <c r="Y803" t="str">
        <f>IF([2]Baskol!$I$806="","",[2]Baskol!$I$806)</f>
        <v/>
      </c>
      <c r="Z803" t="str">
        <f>IF([2]Baskol!$J$806="","",[2]Baskol!$J$806)</f>
        <v/>
      </c>
      <c r="AA803" t="str">
        <f>IF([2]Baskol!$K$806="","",[2]Baskol!$K$806)</f>
        <v/>
      </c>
      <c r="AB803" t="str">
        <f>IF([2]Baskol!$L$806="","",[2]Baskol!$L$806)</f>
        <v/>
      </c>
      <c r="AC803" t="str">
        <f>IF([2]Baskol!$N$806="","",[2]Baskol!$N$806)</f>
        <v/>
      </c>
      <c r="AD803" t="str">
        <f>IF([2]Baskol!$O$806="","",[2]Baskol!$O$806)</f>
        <v/>
      </c>
      <c r="AE803" t="str">
        <f>IF([3]Entry!$C$806="","",[3]Entry!$C$806)</f>
        <v/>
      </c>
      <c r="AF803" t="str">
        <f>IF([3]Entry!$D$806="","",[3]Entry!$D$806)</f>
        <v/>
      </c>
      <c r="AG803" t="str">
        <f>IF([3]Entry!$E$806="","",[3]Entry!$E$806)</f>
        <v/>
      </c>
      <c r="AH803" t="str">
        <f>IF([3]Entry!$G$806="","",[3]Entry!$G$806)</f>
        <v/>
      </c>
      <c r="AI803" t="str">
        <f>IF([3]Entry!$K$806="","",[3]Entry!$K$806)</f>
        <v/>
      </c>
      <c r="AJ803" t="str">
        <f>IF([3]Entry!$L$806="","",[3]Entry!$L$806)</f>
        <v/>
      </c>
      <c r="AK803" t="str">
        <f>IF([3]Entry!$M$806="","",[3]Entry!$M$806)</f>
        <v/>
      </c>
      <c r="AL803" t="str">
        <f>IF([3]Entry!$N$806="","",[3]Entry!$N$806)</f>
        <v/>
      </c>
      <c r="AM803" t="str">
        <f>IF([3]Entry!$R$806="","",[3]Entry!$R$806)</f>
        <v/>
      </c>
    </row>
    <row r="804" spans="20:39" x14ac:dyDescent="0.2">
      <c r="T804" t="str">
        <f>IF([2]Baskol!$B$807="","",[2]Baskol!$B$807)</f>
        <v/>
      </c>
      <c r="U804" t="str">
        <f>IF([2]Baskol!$C$807="","",[2]Baskol!$C$807)</f>
        <v/>
      </c>
      <c r="V804" t="str">
        <f>IF([2]Baskol!$D$807="","",[2]Baskol!$D$807)</f>
        <v/>
      </c>
      <c r="W804" t="str">
        <f>IF([2]Baskol!$E$807="","",[2]Baskol!$E$807)</f>
        <v/>
      </c>
      <c r="X804" t="str">
        <f>IF([2]Baskol!$G$807="","",[2]Baskol!$G$807)</f>
        <v/>
      </c>
      <c r="Y804" t="str">
        <f>IF([2]Baskol!$I$807="","",[2]Baskol!$I$807)</f>
        <v/>
      </c>
      <c r="Z804" t="str">
        <f>IF([2]Baskol!$J$807="","",[2]Baskol!$J$807)</f>
        <v/>
      </c>
      <c r="AA804" t="str">
        <f>IF([2]Baskol!$K$807="","",[2]Baskol!$K$807)</f>
        <v/>
      </c>
      <c r="AB804" t="str">
        <f>IF([2]Baskol!$L$807="","",[2]Baskol!$L$807)</f>
        <v/>
      </c>
      <c r="AC804" t="str">
        <f>IF([2]Baskol!$N$807="","",[2]Baskol!$N$807)</f>
        <v/>
      </c>
      <c r="AD804" t="str">
        <f>IF([2]Baskol!$O$807="","",[2]Baskol!$O$807)</f>
        <v/>
      </c>
      <c r="AE804" t="str">
        <f>IF([3]Entry!$C$807="","",[3]Entry!$C$807)</f>
        <v/>
      </c>
      <c r="AF804" t="str">
        <f>IF([3]Entry!$D$807="","",[3]Entry!$D$807)</f>
        <v/>
      </c>
      <c r="AG804" t="str">
        <f>IF([3]Entry!$E$807="","",[3]Entry!$E$807)</f>
        <v/>
      </c>
      <c r="AH804" t="str">
        <f>IF([3]Entry!$G$807="","",[3]Entry!$G$807)</f>
        <v/>
      </c>
      <c r="AI804" t="str">
        <f>IF([3]Entry!$K$807="","",[3]Entry!$K$807)</f>
        <v/>
      </c>
      <c r="AJ804" t="str">
        <f>IF([3]Entry!$L$807="","",[3]Entry!$L$807)</f>
        <v/>
      </c>
      <c r="AK804" t="str">
        <f>IF([3]Entry!$M$807="","",[3]Entry!$M$807)</f>
        <v/>
      </c>
      <c r="AL804" t="str">
        <f>IF([3]Entry!$N$807="","",[3]Entry!$N$807)</f>
        <v/>
      </c>
      <c r="AM804" t="str">
        <f>IF([3]Entry!$R$807="","",[3]Entry!$R$807)</f>
        <v/>
      </c>
    </row>
    <row r="805" spans="20:39" x14ac:dyDescent="0.2">
      <c r="T805" t="str">
        <f>IF([2]Baskol!$B$808="","",[2]Baskol!$B$808)</f>
        <v/>
      </c>
      <c r="U805" t="str">
        <f>IF([2]Baskol!$C$808="","",[2]Baskol!$C$808)</f>
        <v/>
      </c>
      <c r="V805" t="str">
        <f>IF([2]Baskol!$D$808="","",[2]Baskol!$D$808)</f>
        <v/>
      </c>
      <c r="W805" t="str">
        <f>IF([2]Baskol!$E$808="","",[2]Baskol!$E$808)</f>
        <v/>
      </c>
      <c r="X805" t="str">
        <f>IF([2]Baskol!$G$808="","",[2]Baskol!$G$808)</f>
        <v/>
      </c>
      <c r="Y805" t="str">
        <f>IF([2]Baskol!$I$808="","",[2]Baskol!$I$808)</f>
        <v/>
      </c>
      <c r="Z805" t="str">
        <f>IF([2]Baskol!$J$808="","",[2]Baskol!$J$808)</f>
        <v/>
      </c>
      <c r="AA805" t="str">
        <f>IF([2]Baskol!$K$808="","",[2]Baskol!$K$808)</f>
        <v/>
      </c>
      <c r="AB805" t="str">
        <f>IF([2]Baskol!$L$808="","",[2]Baskol!$L$808)</f>
        <v/>
      </c>
      <c r="AC805" t="str">
        <f>IF([2]Baskol!$N$808="","",[2]Baskol!$N$808)</f>
        <v/>
      </c>
      <c r="AD805" t="str">
        <f>IF([2]Baskol!$O$808="","",[2]Baskol!$O$808)</f>
        <v/>
      </c>
      <c r="AE805" t="str">
        <f>IF([3]Entry!$C$808="","",[3]Entry!$C$808)</f>
        <v/>
      </c>
      <c r="AF805" t="str">
        <f>IF([3]Entry!$D$808="","",[3]Entry!$D$808)</f>
        <v/>
      </c>
      <c r="AG805" t="str">
        <f>IF([3]Entry!$E$808="","",[3]Entry!$E$808)</f>
        <v/>
      </c>
      <c r="AH805" t="str">
        <f>IF([3]Entry!$G$808="","",[3]Entry!$G$808)</f>
        <v/>
      </c>
      <c r="AI805" t="str">
        <f>IF([3]Entry!$K$808="","",[3]Entry!$K$808)</f>
        <v/>
      </c>
      <c r="AJ805" t="str">
        <f>IF([3]Entry!$L$808="","",[3]Entry!$L$808)</f>
        <v/>
      </c>
      <c r="AK805" t="str">
        <f>IF([3]Entry!$M$808="","",[3]Entry!$M$808)</f>
        <v/>
      </c>
      <c r="AL805" t="str">
        <f>IF([3]Entry!$N$808="","",[3]Entry!$N$808)</f>
        <v/>
      </c>
      <c r="AM805" t="str">
        <f>IF([3]Entry!$R$808="","",[3]Entry!$R$808)</f>
        <v/>
      </c>
    </row>
    <row r="806" spans="20:39" x14ac:dyDescent="0.2">
      <c r="T806" t="str">
        <f>IF([2]Baskol!$B$809="","",[2]Baskol!$B$809)</f>
        <v/>
      </c>
      <c r="U806" t="str">
        <f>IF([2]Baskol!$C$809="","",[2]Baskol!$C$809)</f>
        <v/>
      </c>
      <c r="V806" t="str">
        <f>IF([2]Baskol!$D$809="","",[2]Baskol!$D$809)</f>
        <v/>
      </c>
      <c r="W806" t="str">
        <f>IF([2]Baskol!$E$809="","",[2]Baskol!$E$809)</f>
        <v/>
      </c>
      <c r="X806" t="str">
        <f>IF([2]Baskol!$G$809="","",[2]Baskol!$G$809)</f>
        <v/>
      </c>
      <c r="Y806" t="str">
        <f>IF([2]Baskol!$I$809="","",[2]Baskol!$I$809)</f>
        <v/>
      </c>
      <c r="Z806" t="str">
        <f>IF([2]Baskol!$J$809="","",[2]Baskol!$J$809)</f>
        <v/>
      </c>
      <c r="AA806" t="str">
        <f>IF([2]Baskol!$K$809="","",[2]Baskol!$K$809)</f>
        <v/>
      </c>
      <c r="AB806" t="str">
        <f>IF([2]Baskol!$L$809="","",[2]Baskol!$L$809)</f>
        <v/>
      </c>
      <c r="AC806" t="str">
        <f>IF([2]Baskol!$N$809="","",[2]Baskol!$N$809)</f>
        <v/>
      </c>
      <c r="AD806" t="str">
        <f>IF([2]Baskol!$O$809="","",[2]Baskol!$O$809)</f>
        <v/>
      </c>
      <c r="AE806" t="str">
        <f>IF([3]Entry!$C$809="","",[3]Entry!$C$809)</f>
        <v/>
      </c>
      <c r="AF806" t="str">
        <f>IF([3]Entry!$D$809="","",[3]Entry!$D$809)</f>
        <v/>
      </c>
      <c r="AG806" t="str">
        <f>IF([3]Entry!$E$809="","",[3]Entry!$E$809)</f>
        <v/>
      </c>
      <c r="AH806" t="str">
        <f>IF([3]Entry!$G$809="","",[3]Entry!$G$809)</f>
        <v/>
      </c>
      <c r="AI806" t="str">
        <f>IF([3]Entry!$K$809="","",[3]Entry!$K$809)</f>
        <v/>
      </c>
      <c r="AJ806" t="str">
        <f>IF([3]Entry!$L$809="","",[3]Entry!$L$809)</f>
        <v/>
      </c>
      <c r="AK806" t="str">
        <f>IF([3]Entry!$M$809="","",[3]Entry!$M$809)</f>
        <v/>
      </c>
      <c r="AL806" t="str">
        <f>IF([3]Entry!$N$809="","",[3]Entry!$N$809)</f>
        <v/>
      </c>
      <c r="AM806" t="str">
        <f>IF([3]Entry!$R$809="","",[3]Entry!$R$809)</f>
        <v/>
      </c>
    </row>
    <row r="807" spans="20:39" x14ac:dyDescent="0.2">
      <c r="T807" t="str">
        <f>IF([2]Baskol!$B$810="","",[2]Baskol!$B$810)</f>
        <v/>
      </c>
      <c r="U807" t="str">
        <f>IF([2]Baskol!$C$810="","",[2]Baskol!$C$810)</f>
        <v/>
      </c>
      <c r="V807" t="str">
        <f>IF([2]Baskol!$D$810="","",[2]Baskol!$D$810)</f>
        <v/>
      </c>
      <c r="W807" t="str">
        <f>IF([2]Baskol!$E$810="","",[2]Baskol!$E$810)</f>
        <v/>
      </c>
      <c r="X807" t="str">
        <f>IF([2]Baskol!$G$810="","",[2]Baskol!$G$810)</f>
        <v/>
      </c>
      <c r="Y807" t="str">
        <f>IF([2]Baskol!$I$810="","",[2]Baskol!$I$810)</f>
        <v/>
      </c>
      <c r="Z807" t="str">
        <f>IF([2]Baskol!$J$810="","",[2]Baskol!$J$810)</f>
        <v/>
      </c>
      <c r="AA807" t="str">
        <f>IF([2]Baskol!$K$810="","",[2]Baskol!$K$810)</f>
        <v/>
      </c>
      <c r="AB807" t="str">
        <f>IF([2]Baskol!$L$810="","",[2]Baskol!$L$810)</f>
        <v/>
      </c>
      <c r="AC807" t="str">
        <f>IF([2]Baskol!$N$810="","",[2]Baskol!$N$810)</f>
        <v/>
      </c>
      <c r="AD807" t="str">
        <f>IF([2]Baskol!$O$810="","",[2]Baskol!$O$810)</f>
        <v/>
      </c>
      <c r="AE807" t="str">
        <f>IF([3]Entry!$C$810="","",[3]Entry!$C$810)</f>
        <v/>
      </c>
      <c r="AF807" t="str">
        <f>IF([3]Entry!$D$810="","",[3]Entry!$D$810)</f>
        <v/>
      </c>
      <c r="AG807" t="str">
        <f>IF([3]Entry!$E$810="","",[3]Entry!$E$810)</f>
        <v/>
      </c>
      <c r="AH807" t="str">
        <f>IF([3]Entry!$G$810="","",[3]Entry!$G$810)</f>
        <v/>
      </c>
      <c r="AI807" t="str">
        <f>IF([3]Entry!$K$810="","",[3]Entry!$K$810)</f>
        <v/>
      </c>
      <c r="AJ807" t="str">
        <f>IF([3]Entry!$L$810="","",[3]Entry!$L$810)</f>
        <v/>
      </c>
      <c r="AK807" t="str">
        <f>IF([3]Entry!$M$810="","",[3]Entry!$M$810)</f>
        <v/>
      </c>
      <c r="AL807" t="str">
        <f>IF([3]Entry!$N$810="","",[3]Entry!$N$810)</f>
        <v/>
      </c>
      <c r="AM807" t="str">
        <f>IF([3]Entry!$R$810="","",[3]Entry!$R$810)</f>
        <v/>
      </c>
    </row>
    <row r="808" spans="20:39" x14ac:dyDescent="0.2">
      <c r="T808" t="str">
        <f>IF([2]Baskol!$B$811="","",[2]Baskol!$B$811)</f>
        <v/>
      </c>
      <c r="U808" t="str">
        <f>IF([2]Baskol!$C$811="","",[2]Baskol!$C$811)</f>
        <v/>
      </c>
      <c r="V808" t="str">
        <f>IF([2]Baskol!$D$811="","",[2]Baskol!$D$811)</f>
        <v/>
      </c>
      <c r="W808" t="str">
        <f>IF([2]Baskol!$E$811="","",[2]Baskol!$E$811)</f>
        <v/>
      </c>
      <c r="X808" t="str">
        <f>IF([2]Baskol!$G$811="","",[2]Baskol!$G$811)</f>
        <v/>
      </c>
      <c r="Y808" t="str">
        <f>IF([2]Baskol!$I$811="","",[2]Baskol!$I$811)</f>
        <v/>
      </c>
      <c r="Z808" t="str">
        <f>IF([2]Baskol!$J$811="","",[2]Baskol!$J$811)</f>
        <v/>
      </c>
      <c r="AA808" t="str">
        <f>IF([2]Baskol!$K$811="","",[2]Baskol!$K$811)</f>
        <v/>
      </c>
      <c r="AB808" t="str">
        <f>IF([2]Baskol!$L$811="","",[2]Baskol!$L$811)</f>
        <v/>
      </c>
      <c r="AC808" t="str">
        <f>IF([2]Baskol!$N$811="","",[2]Baskol!$N$811)</f>
        <v/>
      </c>
      <c r="AD808" t="str">
        <f>IF([2]Baskol!$O$811="","",[2]Baskol!$O$811)</f>
        <v/>
      </c>
      <c r="AE808" t="str">
        <f>IF([3]Entry!$C$811="","",[3]Entry!$C$811)</f>
        <v/>
      </c>
      <c r="AF808" t="str">
        <f>IF([3]Entry!$D$811="","",[3]Entry!$D$811)</f>
        <v/>
      </c>
      <c r="AG808" t="str">
        <f>IF([3]Entry!$E$811="","",[3]Entry!$E$811)</f>
        <v/>
      </c>
      <c r="AH808" t="str">
        <f>IF([3]Entry!$G$811="","",[3]Entry!$G$811)</f>
        <v/>
      </c>
      <c r="AI808" t="str">
        <f>IF([3]Entry!$K$811="","",[3]Entry!$K$811)</f>
        <v/>
      </c>
      <c r="AJ808" t="str">
        <f>IF([3]Entry!$L$811="","",[3]Entry!$L$811)</f>
        <v/>
      </c>
      <c r="AK808" t="str">
        <f>IF([3]Entry!$M$811="","",[3]Entry!$M$811)</f>
        <v/>
      </c>
      <c r="AL808" t="str">
        <f>IF([3]Entry!$N$811="","",[3]Entry!$N$811)</f>
        <v/>
      </c>
      <c r="AM808" t="str">
        <f>IF([3]Entry!$R$811="","",[3]Entry!$R$811)</f>
        <v/>
      </c>
    </row>
    <row r="809" spans="20:39" x14ac:dyDescent="0.2">
      <c r="T809" t="str">
        <f>IF([2]Baskol!$B$812="","",[2]Baskol!$B$812)</f>
        <v/>
      </c>
      <c r="U809" t="str">
        <f>IF([2]Baskol!$C$812="","",[2]Baskol!$C$812)</f>
        <v/>
      </c>
      <c r="V809" t="str">
        <f>IF([2]Baskol!$D$812="","",[2]Baskol!$D$812)</f>
        <v/>
      </c>
      <c r="W809" t="str">
        <f>IF([2]Baskol!$E$812="","",[2]Baskol!$E$812)</f>
        <v/>
      </c>
      <c r="X809" t="str">
        <f>IF([2]Baskol!$G$812="","",[2]Baskol!$G$812)</f>
        <v/>
      </c>
      <c r="Y809" t="str">
        <f>IF([2]Baskol!$I$812="","",[2]Baskol!$I$812)</f>
        <v/>
      </c>
      <c r="Z809" t="str">
        <f>IF([2]Baskol!$J$812="","",[2]Baskol!$J$812)</f>
        <v/>
      </c>
      <c r="AA809" t="str">
        <f>IF([2]Baskol!$K$812="","",[2]Baskol!$K$812)</f>
        <v/>
      </c>
      <c r="AB809" t="str">
        <f>IF([2]Baskol!$L$812="","",[2]Baskol!$L$812)</f>
        <v/>
      </c>
      <c r="AC809" t="str">
        <f>IF([2]Baskol!$N$812="","",[2]Baskol!$N$812)</f>
        <v/>
      </c>
      <c r="AD809" t="str">
        <f>IF([2]Baskol!$O$812="","",[2]Baskol!$O$812)</f>
        <v/>
      </c>
      <c r="AE809" t="str">
        <f>IF([3]Entry!$C$812="","",[3]Entry!$C$812)</f>
        <v/>
      </c>
      <c r="AF809" t="str">
        <f>IF([3]Entry!$D$812="","",[3]Entry!$D$812)</f>
        <v/>
      </c>
      <c r="AG809" t="str">
        <f>IF([3]Entry!$E$812="","",[3]Entry!$E$812)</f>
        <v/>
      </c>
      <c r="AH809" t="str">
        <f>IF([3]Entry!$G$812="","",[3]Entry!$G$812)</f>
        <v/>
      </c>
      <c r="AI809" t="str">
        <f>IF([3]Entry!$K$812="","",[3]Entry!$K$812)</f>
        <v/>
      </c>
      <c r="AJ809" t="str">
        <f>IF([3]Entry!$L$812="","",[3]Entry!$L$812)</f>
        <v/>
      </c>
      <c r="AK809" t="str">
        <f>IF([3]Entry!$M$812="","",[3]Entry!$M$812)</f>
        <v/>
      </c>
      <c r="AL809" t="str">
        <f>IF([3]Entry!$N$812="","",[3]Entry!$N$812)</f>
        <v/>
      </c>
      <c r="AM809" t="str">
        <f>IF([3]Entry!$R$812="","",[3]Entry!$R$812)</f>
        <v/>
      </c>
    </row>
    <row r="810" spans="20:39" x14ac:dyDescent="0.2">
      <c r="T810" t="str">
        <f>IF([2]Baskol!$B$813="","",[2]Baskol!$B$813)</f>
        <v/>
      </c>
      <c r="U810" t="str">
        <f>IF([2]Baskol!$C$813="","",[2]Baskol!$C$813)</f>
        <v/>
      </c>
      <c r="V810" t="str">
        <f>IF([2]Baskol!$D$813="","",[2]Baskol!$D$813)</f>
        <v/>
      </c>
      <c r="W810" t="str">
        <f>IF([2]Baskol!$E$813="","",[2]Baskol!$E$813)</f>
        <v/>
      </c>
      <c r="X810" t="str">
        <f>IF([2]Baskol!$G$813="","",[2]Baskol!$G$813)</f>
        <v/>
      </c>
      <c r="Y810" t="str">
        <f>IF([2]Baskol!$I$813="","",[2]Baskol!$I$813)</f>
        <v/>
      </c>
      <c r="Z810" t="str">
        <f>IF([2]Baskol!$J$813="","",[2]Baskol!$J$813)</f>
        <v/>
      </c>
      <c r="AA810" t="str">
        <f>IF([2]Baskol!$K$813="","",[2]Baskol!$K$813)</f>
        <v/>
      </c>
      <c r="AB810" t="str">
        <f>IF([2]Baskol!$L$813="","",[2]Baskol!$L$813)</f>
        <v/>
      </c>
      <c r="AC810" t="str">
        <f>IF([2]Baskol!$N$813="","",[2]Baskol!$N$813)</f>
        <v/>
      </c>
      <c r="AD810" t="str">
        <f>IF([2]Baskol!$O$813="","",[2]Baskol!$O$813)</f>
        <v/>
      </c>
      <c r="AE810" t="str">
        <f>IF([3]Entry!$C$813="","",[3]Entry!$C$813)</f>
        <v/>
      </c>
      <c r="AF810" t="str">
        <f>IF([3]Entry!$D$813="","",[3]Entry!$D$813)</f>
        <v/>
      </c>
      <c r="AG810" t="str">
        <f>IF([3]Entry!$E$813="","",[3]Entry!$E$813)</f>
        <v/>
      </c>
      <c r="AH810" t="str">
        <f>IF([3]Entry!$G$813="","",[3]Entry!$G$813)</f>
        <v/>
      </c>
      <c r="AI810" t="str">
        <f>IF([3]Entry!$K$813="","",[3]Entry!$K$813)</f>
        <v/>
      </c>
      <c r="AJ810" t="str">
        <f>IF([3]Entry!$L$813="","",[3]Entry!$L$813)</f>
        <v/>
      </c>
      <c r="AK810" t="str">
        <f>IF([3]Entry!$M$813="","",[3]Entry!$M$813)</f>
        <v/>
      </c>
      <c r="AL810" t="str">
        <f>IF([3]Entry!$N$813="","",[3]Entry!$N$813)</f>
        <v/>
      </c>
      <c r="AM810" t="str">
        <f>IF([3]Entry!$R$813="","",[3]Entry!$R$813)</f>
        <v/>
      </c>
    </row>
    <row r="811" spans="20:39" x14ac:dyDescent="0.2">
      <c r="T811" t="str">
        <f>IF([2]Baskol!$B$814="","",[2]Baskol!$B$814)</f>
        <v/>
      </c>
      <c r="U811" t="str">
        <f>IF([2]Baskol!$C$814="","",[2]Baskol!$C$814)</f>
        <v/>
      </c>
      <c r="V811" t="str">
        <f>IF([2]Baskol!$D$814="","",[2]Baskol!$D$814)</f>
        <v/>
      </c>
      <c r="W811" t="str">
        <f>IF([2]Baskol!$E$814="","",[2]Baskol!$E$814)</f>
        <v/>
      </c>
      <c r="X811" t="str">
        <f>IF([2]Baskol!$G$814="","",[2]Baskol!$G$814)</f>
        <v/>
      </c>
      <c r="Y811" t="str">
        <f>IF([2]Baskol!$I$814="","",[2]Baskol!$I$814)</f>
        <v/>
      </c>
      <c r="Z811" t="str">
        <f>IF([2]Baskol!$J$814="","",[2]Baskol!$J$814)</f>
        <v/>
      </c>
      <c r="AA811" t="str">
        <f>IF([2]Baskol!$K$814="","",[2]Baskol!$K$814)</f>
        <v/>
      </c>
      <c r="AB811" t="str">
        <f>IF([2]Baskol!$L$814="","",[2]Baskol!$L$814)</f>
        <v/>
      </c>
      <c r="AC811" t="str">
        <f>IF([2]Baskol!$N$814="","",[2]Baskol!$N$814)</f>
        <v/>
      </c>
      <c r="AD811" t="str">
        <f>IF([2]Baskol!$O$814="","",[2]Baskol!$O$814)</f>
        <v/>
      </c>
      <c r="AE811" t="str">
        <f>IF([3]Entry!$C$814="","",[3]Entry!$C$814)</f>
        <v/>
      </c>
      <c r="AF811" t="str">
        <f>IF([3]Entry!$D$814="","",[3]Entry!$D$814)</f>
        <v/>
      </c>
      <c r="AG811" t="str">
        <f>IF([3]Entry!$E$814="","",[3]Entry!$E$814)</f>
        <v/>
      </c>
      <c r="AH811" t="str">
        <f>IF([3]Entry!$G$814="","",[3]Entry!$G$814)</f>
        <v/>
      </c>
      <c r="AI811" t="str">
        <f>IF([3]Entry!$K$814="","",[3]Entry!$K$814)</f>
        <v/>
      </c>
      <c r="AJ811" t="str">
        <f>IF([3]Entry!$L$814="","",[3]Entry!$L$814)</f>
        <v/>
      </c>
      <c r="AK811" t="str">
        <f>IF([3]Entry!$M$814="","",[3]Entry!$M$814)</f>
        <v/>
      </c>
      <c r="AL811" t="str">
        <f>IF([3]Entry!$N$814="","",[3]Entry!$N$814)</f>
        <v/>
      </c>
      <c r="AM811" t="str">
        <f>IF([3]Entry!$R$814="","",[3]Entry!$R$814)</f>
        <v/>
      </c>
    </row>
    <row r="812" spans="20:39" x14ac:dyDescent="0.2">
      <c r="T812" t="str">
        <f>IF([2]Baskol!$B$815="","",[2]Baskol!$B$815)</f>
        <v/>
      </c>
      <c r="U812" t="str">
        <f>IF([2]Baskol!$C$815="","",[2]Baskol!$C$815)</f>
        <v/>
      </c>
      <c r="V812" t="str">
        <f>IF([2]Baskol!$D$815="","",[2]Baskol!$D$815)</f>
        <v/>
      </c>
      <c r="W812" t="str">
        <f>IF([2]Baskol!$E$815="","",[2]Baskol!$E$815)</f>
        <v/>
      </c>
      <c r="X812" t="str">
        <f>IF([2]Baskol!$G$815="","",[2]Baskol!$G$815)</f>
        <v/>
      </c>
      <c r="Y812" t="str">
        <f>IF([2]Baskol!$I$815="","",[2]Baskol!$I$815)</f>
        <v/>
      </c>
      <c r="Z812" t="str">
        <f>IF([2]Baskol!$J$815="","",[2]Baskol!$J$815)</f>
        <v/>
      </c>
      <c r="AA812" t="str">
        <f>IF([2]Baskol!$K$815="","",[2]Baskol!$K$815)</f>
        <v/>
      </c>
      <c r="AB812" t="str">
        <f>IF([2]Baskol!$L$815="","",[2]Baskol!$L$815)</f>
        <v/>
      </c>
      <c r="AC812" t="str">
        <f>IF([2]Baskol!$N$815="","",[2]Baskol!$N$815)</f>
        <v/>
      </c>
      <c r="AD812" t="str">
        <f>IF([2]Baskol!$O$815="","",[2]Baskol!$O$815)</f>
        <v/>
      </c>
      <c r="AE812" t="str">
        <f>IF([3]Entry!$C$815="","",[3]Entry!$C$815)</f>
        <v/>
      </c>
      <c r="AF812" t="str">
        <f>IF([3]Entry!$D$815="","",[3]Entry!$D$815)</f>
        <v/>
      </c>
      <c r="AG812" t="str">
        <f>IF([3]Entry!$E$815="","",[3]Entry!$E$815)</f>
        <v/>
      </c>
      <c r="AH812" t="str">
        <f>IF([3]Entry!$G$815="","",[3]Entry!$G$815)</f>
        <v/>
      </c>
      <c r="AI812" t="str">
        <f>IF([3]Entry!$K$815="","",[3]Entry!$K$815)</f>
        <v/>
      </c>
      <c r="AJ812" t="str">
        <f>IF([3]Entry!$L$815="","",[3]Entry!$L$815)</f>
        <v/>
      </c>
      <c r="AK812" t="str">
        <f>IF([3]Entry!$M$815="","",[3]Entry!$M$815)</f>
        <v/>
      </c>
      <c r="AL812" t="str">
        <f>IF([3]Entry!$N$815="","",[3]Entry!$N$815)</f>
        <v/>
      </c>
      <c r="AM812" t="str">
        <f>IF([3]Entry!$R$815="","",[3]Entry!$R$815)</f>
        <v/>
      </c>
    </row>
    <row r="813" spans="20:39" x14ac:dyDescent="0.2">
      <c r="T813" t="str">
        <f>IF([2]Baskol!$B$816="","",[2]Baskol!$B$816)</f>
        <v/>
      </c>
      <c r="U813" t="str">
        <f>IF([2]Baskol!$C$816="","",[2]Baskol!$C$816)</f>
        <v/>
      </c>
      <c r="V813" t="str">
        <f>IF([2]Baskol!$D$816="","",[2]Baskol!$D$816)</f>
        <v/>
      </c>
      <c r="W813" t="str">
        <f>IF([2]Baskol!$E$816="","",[2]Baskol!$E$816)</f>
        <v/>
      </c>
      <c r="X813" t="str">
        <f>IF([2]Baskol!$G$816="","",[2]Baskol!$G$816)</f>
        <v/>
      </c>
      <c r="Y813" t="str">
        <f>IF([2]Baskol!$I$816="","",[2]Baskol!$I$816)</f>
        <v/>
      </c>
      <c r="Z813" t="str">
        <f>IF([2]Baskol!$J$816="","",[2]Baskol!$J$816)</f>
        <v/>
      </c>
      <c r="AA813" t="str">
        <f>IF([2]Baskol!$K$816="","",[2]Baskol!$K$816)</f>
        <v/>
      </c>
      <c r="AB813" t="str">
        <f>IF([2]Baskol!$L$816="","",[2]Baskol!$L$816)</f>
        <v/>
      </c>
      <c r="AC813" t="str">
        <f>IF([2]Baskol!$N$816="","",[2]Baskol!$N$816)</f>
        <v/>
      </c>
      <c r="AD813" t="str">
        <f>IF([2]Baskol!$O$816="","",[2]Baskol!$O$816)</f>
        <v/>
      </c>
      <c r="AE813" t="str">
        <f>IF([3]Entry!$C$816="","",[3]Entry!$C$816)</f>
        <v/>
      </c>
      <c r="AF813" t="str">
        <f>IF([3]Entry!$D$816="","",[3]Entry!$D$816)</f>
        <v/>
      </c>
      <c r="AG813" t="str">
        <f>IF([3]Entry!$E$816="","",[3]Entry!$E$816)</f>
        <v/>
      </c>
      <c r="AH813" t="str">
        <f>IF([3]Entry!$G$816="","",[3]Entry!$G$816)</f>
        <v/>
      </c>
      <c r="AI813" t="str">
        <f>IF([3]Entry!$K$816="","",[3]Entry!$K$816)</f>
        <v/>
      </c>
      <c r="AJ813" t="str">
        <f>IF([3]Entry!$L$816="","",[3]Entry!$L$816)</f>
        <v/>
      </c>
      <c r="AK813" t="str">
        <f>IF([3]Entry!$M$816="","",[3]Entry!$M$816)</f>
        <v/>
      </c>
      <c r="AL813" t="str">
        <f>IF([3]Entry!$N$816="","",[3]Entry!$N$816)</f>
        <v/>
      </c>
      <c r="AM813" t="str">
        <f>IF([3]Entry!$R$816="","",[3]Entry!$R$816)</f>
        <v/>
      </c>
    </row>
    <row r="814" spans="20:39" x14ac:dyDescent="0.2">
      <c r="T814" t="str">
        <f>IF([2]Baskol!$B$817="","",[2]Baskol!$B$817)</f>
        <v/>
      </c>
      <c r="U814" t="str">
        <f>IF([2]Baskol!$C$817="","",[2]Baskol!$C$817)</f>
        <v/>
      </c>
      <c r="V814" t="str">
        <f>IF([2]Baskol!$D$817="","",[2]Baskol!$D$817)</f>
        <v/>
      </c>
      <c r="W814" t="str">
        <f>IF([2]Baskol!$E$817="","",[2]Baskol!$E$817)</f>
        <v/>
      </c>
      <c r="X814" t="str">
        <f>IF([2]Baskol!$G$817="","",[2]Baskol!$G$817)</f>
        <v/>
      </c>
      <c r="Y814" t="str">
        <f>IF([2]Baskol!$I$817="","",[2]Baskol!$I$817)</f>
        <v/>
      </c>
      <c r="Z814" t="str">
        <f>IF([2]Baskol!$J$817="","",[2]Baskol!$J$817)</f>
        <v/>
      </c>
      <c r="AA814" t="str">
        <f>IF([2]Baskol!$K$817="","",[2]Baskol!$K$817)</f>
        <v/>
      </c>
      <c r="AB814" t="str">
        <f>IF([2]Baskol!$L$817="","",[2]Baskol!$L$817)</f>
        <v/>
      </c>
      <c r="AC814" t="str">
        <f>IF([2]Baskol!$N$817="","",[2]Baskol!$N$817)</f>
        <v/>
      </c>
      <c r="AD814" t="str">
        <f>IF([2]Baskol!$O$817="","",[2]Baskol!$O$817)</f>
        <v/>
      </c>
      <c r="AE814" t="str">
        <f>IF([3]Entry!$C$817="","",[3]Entry!$C$817)</f>
        <v/>
      </c>
      <c r="AF814" t="str">
        <f>IF([3]Entry!$D$817="","",[3]Entry!$D$817)</f>
        <v/>
      </c>
      <c r="AG814" t="str">
        <f>IF([3]Entry!$E$817="","",[3]Entry!$E$817)</f>
        <v/>
      </c>
      <c r="AH814" t="str">
        <f>IF([3]Entry!$G$817="","",[3]Entry!$G$817)</f>
        <v/>
      </c>
      <c r="AI814" t="str">
        <f>IF([3]Entry!$K$817="","",[3]Entry!$K$817)</f>
        <v/>
      </c>
      <c r="AJ814" t="str">
        <f>IF([3]Entry!$L$817="","",[3]Entry!$L$817)</f>
        <v/>
      </c>
      <c r="AK814" t="str">
        <f>IF([3]Entry!$M$817="","",[3]Entry!$M$817)</f>
        <v/>
      </c>
      <c r="AL814" t="str">
        <f>IF([3]Entry!$N$817="","",[3]Entry!$N$817)</f>
        <v/>
      </c>
      <c r="AM814" t="str">
        <f>IF([3]Entry!$R$817="","",[3]Entry!$R$817)</f>
        <v/>
      </c>
    </row>
    <row r="815" spans="20:39" x14ac:dyDescent="0.2">
      <c r="T815" t="str">
        <f>IF([2]Baskol!$B$818="","",[2]Baskol!$B$818)</f>
        <v/>
      </c>
      <c r="U815" t="str">
        <f>IF([2]Baskol!$C$818="","",[2]Baskol!$C$818)</f>
        <v/>
      </c>
      <c r="V815" t="str">
        <f>IF([2]Baskol!$D$818="","",[2]Baskol!$D$818)</f>
        <v/>
      </c>
      <c r="W815" t="str">
        <f>IF([2]Baskol!$E$818="","",[2]Baskol!$E$818)</f>
        <v/>
      </c>
      <c r="X815" t="str">
        <f>IF([2]Baskol!$G$818="","",[2]Baskol!$G$818)</f>
        <v/>
      </c>
      <c r="Y815" t="str">
        <f>IF([2]Baskol!$I$818="","",[2]Baskol!$I$818)</f>
        <v/>
      </c>
      <c r="Z815" t="str">
        <f>IF([2]Baskol!$J$818="","",[2]Baskol!$J$818)</f>
        <v/>
      </c>
      <c r="AA815" t="str">
        <f>IF([2]Baskol!$K$818="","",[2]Baskol!$K$818)</f>
        <v/>
      </c>
      <c r="AB815" t="str">
        <f>IF([2]Baskol!$L$818="","",[2]Baskol!$L$818)</f>
        <v/>
      </c>
      <c r="AC815" t="str">
        <f>IF([2]Baskol!$N$818="","",[2]Baskol!$N$818)</f>
        <v/>
      </c>
      <c r="AD815" t="str">
        <f>IF([2]Baskol!$O$818="","",[2]Baskol!$O$818)</f>
        <v/>
      </c>
      <c r="AE815" t="str">
        <f>IF([3]Entry!$C$818="","",[3]Entry!$C$818)</f>
        <v/>
      </c>
      <c r="AF815" t="str">
        <f>IF([3]Entry!$D$818="","",[3]Entry!$D$818)</f>
        <v/>
      </c>
      <c r="AG815" t="str">
        <f>IF([3]Entry!$E$818="","",[3]Entry!$E$818)</f>
        <v/>
      </c>
      <c r="AH815" t="str">
        <f>IF([3]Entry!$G$818="","",[3]Entry!$G$818)</f>
        <v/>
      </c>
      <c r="AI815" t="str">
        <f>IF([3]Entry!$K$818="","",[3]Entry!$K$818)</f>
        <v/>
      </c>
      <c r="AJ815" t="str">
        <f>IF([3]Entry!$L$818="","",[3]Entry!$L$818)</f>
        <v/>
      </c>
      <c r="AK815" t="str">
        <f>IF([3]Entry!$M$818="","",[3]Entry!$M$818)</f>
        <v/>
      </c>
      <c r="AL815" t="str">
        <f>IF([3]Entry!$N$818="","",[3]Entry!$N$818)</f>
        <v/>
      </c>
      <c r="AM815" t="str">
        <f>IF([3]Entry!$R$818="","",[3]Entry!$R$818)</f>
        <v/>
      </c>
    </row>
    <row r="816" spans="20:39" x14ac:dyDescent="0.2">
      <c r="T816" t="str">
        <f>IF([2]Baskol!$B$819="","",[2]Baskol!$B$819)</f>
        <v/>
      </c>
      <c r="U816" t="str">
        <f>IF([2]Baskol!$C$819="","",[2]Baskol!$C$819)</f>
        <v/>
      </c>
      <c r="V816" t="str">
        <f>IF([2]Baskol!$D$819="","",[2]Baskol!$D$819)</f>
        <v/>
      </c>
      <c r="W816" t="str">
        <f>IF([2]Baskol!$E$819="","",[2]Baskol!$E$819)</f>
        <v/>
      </c>
      <c r="X816" t="str">
        <f>IF([2]Baskol!$G$819="","",[2]Baskol!$G$819)</f>
        <v/>
      </c>
      <c r="Y816" t="str">
        <f>IF([2]Baskol!$I$819="","",[2]Baskol!$I$819)</f>
        <v/>
      </c>
      <c r="Z816" t="str">
        <f>IF([2]Baskol!$J$819="","",[2]Baskol!$J$819)</f>
        <v/>
      </c>
      <c r="AA816" t="str">
        <f>IF([2]Baskol!$K$819="","",[2]Baskol!$K$819)</f>
        <v/>
      </c>
      <c r="AB816" t="str">
        <f>IF([2]Baskol!$L$819="","",[2]Baskol!$L$819)</f>
        <v/>
      </c>
      <c r="AC816" t="str">
        <f>IF([2]Baskol!$N$819="","",[2]Baskol!$N$819)</f>
        <v/>
      </c>
      <c r="AD816" t="str">
        <f>IF([2]Baskol!$O$819="","",[2]Baskol!$O$819)</f>
        <v/>
      </c>
      <c r="AE816" t="str">
        <f>IF([3]Entry!$C$819="","",[3]Entry!$C$819)</f>
        <v/>
      </c>
      <c r="AF816" t="str">
        <f>IF([3]Entry!$D$819="","",[3]Entry!$D$819)</f>
        <v/>
      </c>
      <c r="AG816" t="str">
        <f>IF([3]Entry!$E$819="","",[3]Entry!$E$819)</f>
        <v/>
      </c>
      <c r="AH816" t="str">
        <f>IF([3]Entry!$G$819="","",[3]Entry!$G$819)</f>
        <v/>
      </c>
      <c r="AI816" t="str">
        <f>IF([3]Entry!$K$819="","",[3]Entry!$K$819)</f>
        <v/>
      </c>
      <c r="AJ816" t="str">
        <f>IF([3]Entry!$L$819="","",[3]Entry!$L$819)</f>
        <v/>
      </c>
      <c r="AK816" t="str">
        <f>IF([3]Entry!$M$819="","",[3]Entry!$M$819)</f>
        <v/>
      </c>
      <c r="AL816" t="str">
        <f>IF([3]Entry!$N$819="","",[3]Entry!$N$819)</f>
        <v/>
      </c>
      <c r="AM816" t="str">
        <f>IF([3]Entry!$R$819="","",[3]Entry!$R$819)</f>
        <v/>
      </c>
    </row>
    <row r="817" spans="20:39" x14ac:dyDescent="0.2">
      <c r="T817" t="str">
        <f>IF([2]Baskol!$B$820="","",[2]Baskol!$B$820)</f>
        <v/>
      </c>
      <c r="U817" t="str">
        <f>IF([2]Baskol!$C$820="","",[2]Baskol!$C$820)</f>
        <v/>
      </c>
      <c r="V817" t="str">
        <f>IF([2]Baskol!$D$820="","",[2]Baskol!$D$820)</f>
        <v/>
      </c>
      <c r="W817" t="str">
        <f>IF([2]Baskol!$E$820="","",[2]Baskol!$E$820)</f>
        <v/>
      </c>
      <c r="X817" t="str">
        <f>IF([2]Baskol!$G$820="","",[2]Baskol!$G$820)</f>
        <v/>
      </c>
      <c r="Y817" t="str">
        <f>IF([2]Baskol!$I$820="","",[2]Baskol!$I$820)</f>
        <v/>
      </c>
      <c r="Z817" t="str">
        <f>IF([2]Baskol!$J$820="","",[2]Baskol!$J$820)</f>
        <v/>
      </c>
      <c r="AA817" t="str">
        <f>IF([2]Baskol!$K$820="","",[2]Baskol!$K$820)</f>
        <v/>
      </c>
      <c r="AB817" t="str">
        <f>IF([2]Baskol!$L$820="","",[2]Baskol!$L$820)</f>
        <v/>
      </c>
      <c r="AC817" t="str">
        <f>IF([2]Baskol!$N$820="","",[2]Baskol!$N$820)</f>
        <v/>
      </c>
      <c r="AD817" t="str">
        <f>IF([2]Baskol!$O$820="","",[2]Baskol!$O$820)</f>
        <v/>
      </c>
      <c r="AE817" t="str">
        <f>IF([3]Entry!$C$820="","",[3]Entry!$C$820)</f>
        <v/>
      </c>
      <c r="AF817" t="str">
        <f>IF([3]Entry!$D$820="","",[3]Entry!$D$820)</f>
        <v/>
      </c>
      <c r="AG817" t="str">
        <f>IF([3]Entry!$E$820="","",[3]Entry!$E$820)</f>
        <v/>
      </c>
      <c r="AH817" t="str">
        <f>IF([3]Entry!$G$820="","",[3]Entry!$G$820)</f>
        <v/>
      </c>
      <c r="AI817" t="str">
        <f>IF([3]Entry!$K$820="","",[3]Entry!$K$820)</f>
        <v/>
      </c>
      <c r="AJ817" t="str">
        <f>IF([3]Entry!$L$820="","",[3]Entry!$L$820)</f>
        <v/>
      </c>
      <c r="AK817" t="str">
        <f>IF([3]Entry!$M$820="","",[3]Entry!$M$820)</f>
        <v/>
      </c>
      <c r="AL817" t="str">
        <f>IF([3]Entry!$N$820="","",[3]Entry!$N$820)</f>
        <v/>
      </c>
      <c r="AM817" t="str">
        <f>IF([3]Entry!$R$820="","",[3]Entry!$R$820)</f>
        <v/>
      </c>
    </row>
    <row r="818" spans="20:39" x14ac:dyDescent="0.2">
      <c r="T818" t="str">
        <f>IF([2]Baskol!$B$821="","",[2]Baskol!$B$821)</f>
        <v/>
      </c>
      <c r="U818" t="str">
        <f>IF([2]Baskol!$C$821="","",[2]Baskol!$C$821)</f>
        <v/>
      </c>
      <c r="V818" t="str">
        <f>IF([2]Baskol!$D$821="","",[2]Baskol!$D$821)</f>
        <v/>
      </c>
      <c r="W818" t="str">
        <f>IF([2]Baskol!$E$821="","",[2]Baskol!$E$821)</f>
        <v/>
      </c>
      <c r="X818" t="str">
        <f>IF([2]Baskol!$G$821="","",[2]Baskol!$G$821)</f>
        <v/>
      </c>
      <c r="Y818" t="str">
        <f>IF([2]Baskol!$I$821="","",[2]Baskol!$I$821)</f>
        <v/>
      </c>
      <c r="Z818" t="str">
        <f>IF([2]Baskol!$J$821="","",[2]Baskol!$J$821)</f>
        <v/>
      </c>
      <c r="AA818" t="str">
        <f>IF([2]Baskol!$K$821="","",[2]Baskol!$K$821)</f>
        <v/>
      </c>
      <c r="AB818" t="str">
        <f>IF([2]Baskol!$L$821="","",[2]Baskol!$L$821)</f>
        <v/>
      </c>
      <c r="AC818" t="str">
        <f>IF([2]Baskol!$N$821="","",[2]Baskol!$N$821)</f>
        <v/>
      </c>
      <c r="AD818" t="str">
        <f>IF([2]Baskol!$O$821="","",[2]Baskol!$O$821)</f>
        <v/>
      </c>
      <c r="AE818" t="str">
        <f>IF([3]Entry!$C$821="","",[3]Entry!$C$821)</f>
        <v/>
      </c>
      <c r="AF818" t="str">
        <f>IF([3]Entry!$D$821="","",[3]Entry!$D$821)</f>
        <v/>
      </c>
      <c r="AG818" t="str">
        <f>IF([3]Entry!$E$821="","",[3]Entry!$E$821)</f>
        <v/>
      </c>
      <c r="AH818" t="str">
        <f>IF([3]Entry!$G$821="","",[3]Entry!$G$821)</f>
        <v/>
      </c>
      <c r="AI818" t="str">
        <f>IF([3]Entry!$K$821="","",[3]Entry!$K$821)</f>
        <v/>
      </c>
      <c r="AJ818" t="str">
        <f>IF([3]Entry!$L$821="","",[3]Entry!$L$821)</f>
        <v/>
      </c>
      <c r="AK818" t="str">
        <f>IF([3]Entry!$M$821="","",[3]Entry!$M$821)</f>
        <v/>
      </c>
      <c r="AL818" t="str">
        <f>IF([3]Entry!$N$821="","",[3]Entry!$N$821)</f>
        <v/>
      </c>
      <c r="AM818" t="str">
        <f>IF([3]Entry!$R$821="","",[3]Entry!$R$821)</f>
        <v/>
      </c>
    </row>
    <row r="819" spans="20:39" x14ac:dyDescent="0.2">
      <c r="T819" t="str">
        <f>IF([2]Baskol!$B$822="","",[2]Baskol!$B$822)</f>
        <v/>
      </c>
      <c r="U819" t="str">
        <f>IF([2]Baskol!$C$822="","",[2]Baskol!$C$822)</f>
        <v/>
      </c>
      <c r="V819" t="str">
        <f>IF([2]Baskol!$D$822="","",[2]Baskol!$D$822)</f>
        <v/>
      </c>
      <c r="W819" t="str">
        <f>IF([2]Baskol!$E$822="","",[2]Baskol!$E$822)</f>
        <v/>
      </c>
      <c r="X819" t="str">
        <f>IF([2]Baskol!$G$822="","",[2]Baskol!$G$822)</f>
        <v/>
      </c>
      <c r="Y819" t="str">
        <f>IF([2]Baskol!$I$822="","",[2]Baskol!$I$822)</f>
        <v/>
      </c>
      <c r="Z819" t="str">
        <f>IF([2]Baskol!$J$822="","",[2]Baskol!$J$822)</f>
        <v/>
      </c>
      <c r="AA819" t="str">
        <f>IF([2]Baskol!$K$822="","",[2]Baskol!$K$822)</f>
        <v/>
      </c>
      <c r="AB819" t="str">
        <f>IF([2]Baskol!$L$822="","",[2]Baskol!$L$822)</f>
        <v/>
      </c>
      <c r="AC819" t="str">
        <f>IF([2]Baskol!$N$822="","",[2]Baskol!$N$822)</f>
        <v/>
      </c>
      <c r="AD819" t="str">
        <f>IF([2]Baskol!$O$822="","",[2]Baskol!$O$822)</f>
        <v/>
      </c>
      <c r="AE819" t="str">
        <f>IF([3]Entry!$C$822="","",[3]Entry!$C$822)</f>
        <v/>
      </c>
      <c r="AF819" t="str">
        <f>IF([3]Entry!$D$822="","",[3]Entry!$D$822)</f>
        <v/>
      </c>
      <c r="AG819" t="str">
        <f>IF([3]Entry!$E$822="","",[3]Entry!$E$822)</f>
        <v/>
      </c>
      <c r="AH819" t="str">
        <f>IF([3]Entry!$G$822="","",[3]Entry!$G$822)</f>
        <v/>
      </c>
      <c r="AI819" t="str">
        <f>IF([3]Entry!$K$822="","",[3]Entry!$K$822)</f>
        <v/>
      </c>
      <c r="AJ819" t="str">
        <f>IF([3]Entry!$L$822="","",[3]Entry!$L$822)</f>
        <v/>
      </c>
      <c r="AK819" t="str">
        <f>IF([3]Entry!$M$822="","",[3]Entry!$M$822)</f>
        <v/>
      </c>
      <c r="AL819" t="str">
        <f>IF([3]Entry!$N$822="","",[3]Entry!$N$822)</f>
        <v/>
      </c>
      <c r="AM819" t="str">
        <f>IF([3]Entry!$R$822="","",[3]Entry!$R$822)</f>
        <v/>
      </c>
    </row>
    <row r="820" spans="20:39" x14ac:dyDescent="0.2">
      <c r="T820" t="str">
        <f>IF([2]Baskol!$B$823="","",[2]Baskol!$B$823)</f>
        <v/>
      </c>
      <c r="U820" t="str">
        <f>IF([2]Baskol!$C$823="","",[2]Baskol!$C$823)</f>
        <v/>
      </c>
      <c r="V820" t="str">
        <f>IF([2]Baskol!$D$823="","",[2]Baskol!$D$823)</f>
        <v/>
      </c>
      <c r="W820" t="str">
        <f>IF([2]Baskol!$E$823="","",[2]Baskol!$E$823)</f>
        <v/>
      </c>
      <c r="X820" t="str">
        <f>IF([2]Baskol!$G$823="","",[2]Baskol!$G$823)</f>
        <v/>
      </c>
      <c r="Y820" t="str">
        <f>IF([2]Baskol!$I$823="","",[2]Baskol!$I$823)</f>
        <v/>
      </c>
      <c r="Z820" t="str">
        <f>IF([2]Baskol!$J$823="","",[2]Baskol!$J$823)</f>
        <v/>
      </c>
      <c r="AA820" t="str">
        <f>IF([2]Baskol!$K$823="","",[2]Baskol!$K$823)</f>
        <v/>
      </c>
      <c r="AB820" t="str">
        <f>IF([2]Baskol!$L$823="","",[2]Baskol!$L$823)</f>
        <v/>
      </c>
      <c r="AC820" t="str">
        <f>IF([2]Baskol!$N$823="","",[2]Baskol!$N$823)</f>
        <v/>
      </c>
      <c r="AD820" t="str">
        <f>IF([2]Baskol!$O$823="","",[2]Baskol!$O$823)</f>
        <v/>
      </c>
      <c r="AE820" t="str">
        <f>IF([3]Entry!$C$823="","",[3]Entry!$C$823)</f>
        <v/>
      </c>
      <c r="AF820" t="str">
        <f>IF([3]Entry!$D$823="","",[3]Entry!$D$823)</f>
        <v/>
      </c>
      <c r="AG820" t="str">
        <f>IF([3]Entry!$E$823="","",[3]Entry!$E$823)</f>
        <v/>
      </c>
      <c r="AH820" t="str">
        <f>IF([3]Entry!$G$823="","",[3]Entry!$G$823)</f>
        <v/>
      </c>
      <c r="AI820" t="str">
        <f>IF([3]Entry!$K$823="","",[3]Entry!$K$823)</f>
        <v/>
      </c>
      <c r="AJ820" t="str">
        <f>IF([3]Entry!$L$823="","",[3]Entry!$L$823)</f>
        <v/>
      </c>
      <c r="AK820" t="str">
        <f>IF([3]Entry!$M$823="","",[3]Entry!$M$823)</f>
        <v/>
      </c>
      <c r="AL820" t="str">
        <f>IF([3]Entry!$N$823="","",[3]Entry!$N$823)</f>
        <v/>
      </c>
      <c r="AM820" t="str">
        <f>IF([3]Entry!$R$823="","",[3]Entry!$R$823)</f>
        <v/>
      </c>
    </row>
    <row r="821" spans="20:39" x14ac:dyDescent="0.2">
      <c r="T821" t="str">
        <f>IF([2]Baskol!$B$824="","",[2]Baskol!$B$824)</f>
        <v/>
      </c>
      <c r="U821" t="str">
        <f>IF([2]Baskol!$C$824="","",[2]Baskol!$C$824)</f>
        <v/>
      </c>
      <c r="V821" t="str">
        <f>IF([2]Baskol!$D$824="","",[2]Baskol!$D$824)</f>
        <v/>
      </c>
      <c r="W821" t="str">
        <f>IF([2]Baskol!$E$824="","",[2]Baskol!$E$824)</f>
        <v/>
      </c>
      <c r="X821" t="str">
        <f>IF([2]Baskol!$G$824="","",[2]Baskol!$G$824)</f>
        <v/>
      </c>
      <c r="Y821" t="str">
        <f>IF([2]Baskol!$I$824="","",[2]Baskol!$I$824)</f>
        <v/>
      </c>
      <c r="Z821" t="str">
        <f>IF([2]Baskol!$J$824="","",[2]Baskol!$J$824)</f>
        <v/>
      </c>
      <c r="AA821" t="str">
        <f>IF([2]Baskol!$K$824="","",[2]Baskol!$K$824)</f>
        <v/>
      </c>
      <c r="AB821" t="str">
        <f>IF([2]Baskol!$L$824="","",[2]Baskol!$L$824)</f>
        <v/>
      </c>
      <c r="AC821" t="str">
        <f>IF([2]Baskol!$N$824="","",[2]Baskol!$N$824)</f>
        <v/>
      </c>
      <c r="AD821" t="str">
        <f>IF([2]Baskol!$O$824="","",[2]Baskol!$O$824)</f>
        <v/>
      </c>
      <c r="AE821" t="str">
        <f>IF([3]Entry!$C$824="","",[3]Entry!$C$824)</f>
        <v/>
      </c>
      <c r="AF821" t="str">
        <f>IF([3]Entry!$D$824="","",[3]Entry!$D$824)</f>
        <v/>
      </c>
      <c r="AG821" t="str">
        <f>IF([3]Entry!$E$824="","",[3]Entry!$E$824)</f>
        <v/>
      </c>
      <c r="AH821" t="str">
        <f>IF([3]Entry!$G$824="","",[3]Entry!$G$824)</f>
        <v/>
      </c>
      <c r="AI821" t="str">
        <f>IF([3]Entry!$K$824="","",[3]Entry!$K$824)</f>
        <v/>
      </c>
      <c r="AJ821" t="str">
        <f>IF([3]Entry!$L$824="","",[3]Entry!$L$824)</f>
        <v/>
      </c>
      <c r="AK821" t="str">
        <f>IF([3]Entry!$M$824="","",[3]Entry!$M$824)</f>
        <v/>
      </c>
      <c r="AL821" t="str">
        <f>IF([3]Entry!$N$824="","",[3]Entry!$N$824)</f>
        <v/>
      </c>
      <c r="AM821" t="str">
        <f>IF([3]Entry!$R$824="","",[3]Entry!$R$824)</f>
        <v/>
      </c>
    </row>
    <row r="822" spans="20:39" x14ac:dyDescent="0.2">
      <c r="T822" t="str">
        <f>IF([2]Baskol!$B$825="","",[2]Baskol!$B$825)</f>
        <v/>
      </c>
      <c r="U822" t="str">
        <f>IF([2]Baskol!$C$825="","",[2]Baskol!$C$825)</f>
        <v/>
      </c>
      <c r="V822" t="str">
        <f>IF([2]Baskol!$D$825="","",[2]Baskol!$D$825)</f>
        <v/>
      </c>
      <c r="W822" t="str">
        <f>IF([2]Baskol!$E$825="","",[2]Baskol!$E$825)</f>
        <v/>
      </c>
      <c r="X822" t="str">
        <f>IF([2]Baskol!$G$825="","",[2]Baskol!$G$825)</f>
        <v/>
      </c>
      <c r="Y822" t="str">
        <f>IF([2]Baskol!$I$825="","",[2]Baskol!$I$825)</f>
        <v/>
      </c>
      <c r="Z822" t="str">
        <f>IF([2]Baskol!$J$825="","",[2]Baskol!$J$825)</f>
        <v/>
      </c>
      <c r="AA822" t="str">
        <f>IF([2]Baskol!$K$825="","",[2]Baskol!$K$825)</f>
        <v/>
      </c>
      <c r="AB822" t="str">
        <f>IF([2]Baskol!$L$825="","",[2]Baskol!$L$825)</f>
        <v/>
      </c>
      <c r="AC822" t="str">
        <f>IF([2]Baskol!$N$825="","",[2]Baskol!$N$825)</f>
        <v/>
      </c>
      <c r="AD822" t="str">
        <f>IF([2]Baskol!$O$825="","",[2]Baskol!$O$825)</f>
        <v/>
      </c>
      <c r="AE822" t="str">
        <f>IF([3]Entry!$C$825="","",[3]Entry!$C$825)</f>
        <v/>
      </c>
      <c r="AF822" t="str">
        <f>IF([3]Entry!$D$825="","",[3]Entry!$D$825)</f>
        <v/>
      </c>
      <c r="AG822" t="str">
        <f>IF([3]Entry!$E$825="","",[3]Entry!$E$825)</f>
        <v/>
      </c>
      <c r="AH822" t="str">
        <f>IF([3]Entry!$G$825="","",[3]Entry!$G$825)</f>
        <v/>
      </c>
      <c r="AI822" t="str">
        <f>IF([3]Entry!$K$825="","",[3]Entry!$K$825)</f>
        <v/>
      </c>
      <c r="AJ822" t="str">
        <f>IF([3]Entry!$L$825="","",[3]Entry!$L$825)</f>
        <v/>
      </c>
      <c r="AK822" t="str">
        <f>IF([3]Entry!$M$825="","",[3]Entry!$M$825)</f>
        <v/>
      </c>
      <c r="AL822" t="str">
        <f>IF([3]Entry!$N$825="","",[3]Entry!$N$825)</f>
        <v/>
      </c>
      <c r="AM822" t="str">
        <f>IF([3]Entry!$R$825="","",[3]Entry!$R$825)</f>
        <v/>
      </c>
    </row>
    <row r="823" spans="20:39" x14ac:dyDescent="0.2">
      <c r="T823" t="str">
        <f>IF([2]Baskol!$B$826="","",[2]Baskol!$B$826)</f>
        <v/>
      </c>
      <c r="U823" t="str">
        <f>IF([2]Baskol!$C$826="","",[2]Baskol!$C$826)</f>
        <v/>
      </c>
      <c r="V823" t="str">
        <f>IF([2]Baskol!$D$826="","",[2]Baskol!$D$826)</f>
        <v/>
      </c>
      <c r="W823" t="str">
        <f>IF([2]Baskol!$E$826="","",[2]Baskol!$E$826)</f>
        <v/>
      </c>
      <c r="X823" t="str">
        <f>IF([2]Baskol!$G$826="","",[2]Baskol!$G$826)</f>
        <v/>
      </c>
      <c r="Y823" t="str">
        <f>IF([2]Baskol!$I$826="","",[2]Baskol!$I$826)</f>
        <v/>
      </c>
      <c r="Z823" t="str">
        <f>IF([2]Baskol!$J$826="","",[2]Baskol!$J$826)</f>
        <v/>
      </c>
      <c r="AA823" t="str">
        <f>IF([2]Baskol!$K$826="","",[2]Baskol!$K$826)</f>
        <v/>
      </c>
      <c r="AB823" t="str">
        <f>IF([2]Baskol!$L$826="","",[2]Baskol!$L$826)</f>
        <v/>
      </c>
      <c r="AC823" t="str">
        <f>IF([2]Baskol!$N$826="","",[2]Baskol!$N$826)</f>
        <v/>
      </c>
      <c r="AD823" t="str">
        <f>IF([2]Baskol!$O$826="","",[2]Baskol!$O$826)</f>
        <v/>
      </c>
      <c r="AE823" t="str">
        <f>IF([3]Entry!$C$826="","",[3]Entry!$C$826)</f>
        <v/>
      </c>
      <c r="AF823" t="str">
        <f>IF([3]Entry!$D$826="","",[3]Entry!$D$826)</f>
        <v/>
      </c>
      <c r="AG823" t="str">
        <f>IF([3]Entry!$E$826="","",[3]Entry!$E$826)</f>
        <v/>
      </c>
      <c r="AH823" t="str">
        <f>IF([3]Entry!$G$826="","",[3]Entry!$G$826)</f>
        <v/>
      </c>
      <c r="AI823" t="str">
        <f>IF([3]Entry!$K$826="","",[3]Entry!$K$826)</f>
        <v/>
      </c>
      <c r="AJ823" t="str">
        <f>IF([3]Entry!$L$826="","",[3]Entry!$L$826)</f>
        <v/>
      </c>
      <c r="AK823" t="str">
        <f>IF([3]Entry!$M$826="","",[3]Entry!$M$826)</f>
        <v/>
      </c>
      <c r="AL823" t="str">
        <f>IF([3]Entry!$N$826="","",[3]Entry!$N$826)</f>
        <v/>
      </c>
      <c r="AM823" t="str">
        <f>IF([3]Entry!$R$826="","",[3]Entry!$R$826)</f>
        <v/>
      </c>
    </row>
    <row r="824" spans="20:39" x14ac:dyDescent="0.2">
      <c r="T824" t="str">
        <f>IF([2]Baskol!$B$827="","",[2]Baskol!$B$827)</f>
        <v/>
      </c>
      <c r="U824" t="str">
        <f>IF([2]Baskol!$C$827="","",[2]Baskol!$C$827)</f>
        <v/>
      </c>
      <c r="V824" t="str">
        <f>IF([2]Baskol!$D$827="","",[2]Baskol!$D$827)</f>
        <v/>
      </c>
      <c r="W824" t="str">
        <f>IF([2]Baskol!$E$827="","",[2]Baskol!$E$827)</f>
        <v/>
      </c>
      <c r="X824" t="str">
        <f>IF([2]Baskol!$G$827="","",[2]Baskol!$G$827)</f>
        <v/>
      </c>
      <c r="Y824" t="str">
        <f>IF([2]Baskol!$I$827="","",[2]Baskol!$I$827)</f>
        <v/>
      </c>
      <c r="Z824" t="str">
        <f>IF([2]Baskol!$J$827="","",[2]Baskol!$J$827)</f>
        <v/>
      </c>
      <c r="AA824" t="str">
        <f>IF([2]Baskol!$K$827="","",[2]Baskol!$K$827)</f>
        <v/>
      </c>
      <c r="AB824" t="str">
        <f>IF([2]Baskol!$L$827="","",[2]Baskol!$L$827)</f>
        <v/>
      </c>
      <c r="AC824" t="str">
        <f>IF([2]Baskol!$N$827="","",[2]Baskol!$N$827)</f>
        <v/>
      </c>
      <c r="AD824" t="str">
        <f>IF([2]Baskol!$O$827="","",[2]Baskol!$O$827)</f>
        <v/>
      </c>
      <c r="AE824" t="str">
        <f>IF([3]Entry!$C$827="","",[3]Entry!$C$827)</f>
        <v/>
      </c>
      <c r="AF824" t="str">
        <f>IF([3]Entry!$D$827="","",[3]Entry!$D$827)</f>
        <v/>
      </c>
      <c r="AG824" t="str">
        <f>IF([3]Entry!$E$827="","",[3]Entry!$E$827)</f>
        <v/>
      </c>
      <c r="AH824" t="str">
        <f>IF([3]Entry!$G$827="","",[3]Entry!$G$827)</f>
        <v/>
      </c>
      <c r="AI824" t="str">
        <f>IF([3]Entry!$K$827="","",[3]Entry!$K$827)</f>
        <v/>
      </c>
      <c r="AJ824" t="str">
        <f>IF([3]Entry!$L$827="","",[3]Entry!$L$827)</f>
        <v/>
      </c>
      <c r="AK824" t="str">
        <f>IF([3]Entry!$M$827="","",[3]Entry!$M$827)</f>
        <v/>
      </c>
      <c r="AL824" t="str">
        <f>IF([3]Entry!$N$827="","",[3]Entry!$N$827)</f>
        <v/>
      </c>
      <c r="AM824" t="str">
        <f>IF([3]Entry!$R$827="","",[3]Entry!$R$827)</f>
        <v/>
      </c>
    </row>
    <row r="825" spans="20:39" x14ac:dyDescent="0.2">
      <c r="T825" t="str">
        <f>IF([2]Baskol!$B$828="","",[2]Baskol!$B$828)</f>
        <v/>
      </c>
      <c r="U825" t="str">
        <f>IF([2]Baskol!$C$828="","",[2]Baskol!$C$828)</f>
        <v/>
      </c>
      <c r="V825" t="str">
        <f>IF([2]Baskol!$D$828="","",[2]Baskol!$D$828)</f>
        <v/>
      </c>
      <c r="W825" t="str">
        <f>IF([2]Baskol!$E$828="","",[2]Baskol!$E$828)</f>
        <v/>
      </c>
      <c r="X825" t="str">
        <f>IF([2]Baskol!$G$828="","",[2]Baskol!$G$828)</f>
        <v/>
      </c>
      <c r="Y825" t="str">
        <f>IF([2]Baskol!$I$828="","",[2]Baskol!$I$828)</f>
        <v/>
      </c>
      <c r="Z825" t="str">
        <f>IF([2]Baskol!$J$828="","",[2]Baskol!$J$828)</f>
        <v/>
      </c>
      <c r="AA825" t="str">
        <f>IF([2]Baskol!$K$828="","",[2]Baskol!$K$828)</f>
        <v/>
      </c>
      <c r="AB825" t="str">
        <f>IF([2]Baskol!$L$828="","",[2]Baskol!$L$828)</f>
        <v/>
      </c>
      <c r="AC825" t="str">
        <f>IF([2]Baskol!$N$828="","",[2]Baskol!$N$828)</f>
        <v/>
      </c>
      <c r="AD825" t="str">
        <f>IF([2]Baskol!$O$828="","",[2]Baskol!$O$828)</f>
        <v/>
      </c>
      <c r="AE825" t="str">
        <f>IF([3]Entry!$C$828="","",[3]Entry!$C$828)</f>
        <v/>
      </c>
      <c r="AF825" t="str">
        <f>IF([3]Entry!$D$828="","",[3]Entry!$D$828)</f>
        <v/>
      </c>
      <c r="AG825" t="str">
        <f>IF([3]Entry!$E$828="","",[3]Entry!$E$828)</f>
        <v/>
      </c>
      <c r="AH825" t="str">
        <f>IF([3]Entry!$G$828="","",[3]Entry!$G$828)</f>
        <v/>
      </c>
      <c r="AI825" t="str">
        <f>IF([3]Entry!$K$828="","",[3]Entry!$K$828)</f>
        <v/>
      </c>
      <c r="AJ825" t="str">
        <f>IF([3]Entry!$L$828="","",[3]Entry!$L$828)</f>
        <v/>
      </c>
      <c r="AK825" t="str">
        <f>IF([3]Entry!$M$828="","",[3]Entry!$M$828)</f>
        <v/>
      </c>
      <c r="AL825" t="str">
        <f>IF([3]Entry!$N$828="","",[3]Entry!$N$828)</f>
        <v/>
      </c>
      <c r="AM825" t="str">
        <f>IF([3]Entry!$R$828="","",[3]Entry!$R$828)</f>
        <v/>
      </c>
    </row>
    <row r="826" spans="20:39" x14ac:dyDescent="0.2">
      <c r="T826" t="str">
        <f>IF([2]Baskol!$B$829="","",[2]Baskol!$B$829)</f>
        <v/>
      </c>
      <c r="U826" t="str">
        <f>IF([2]Baskol!$C$829="","",[2]Baskol!$C$829)</f>
        <v/>
      </c>
      <c r="V826" t="str">
        <f>IF([2]Baskol!$D$829="","",[2]Baskol!$D$829)</f>
        <v/>
      </c>
      <c r="W826" t="str">
        <f>IF([2]Baskol!$E$829="","",[2]Baskol!$E$829)</f>
        <v/>
      </c>
      <c r="X826" t="str">
        <f>IF([2]Baskol!$G$829="","",[2]Baskol!$G$829)</f>
        <v/>
      </c>
      <c r="Y826" t="str">
        <f>IF([2]Baskol!$I$829="","",[2]Baskol!$I$829)</f>
        <v/>
      </c>
      <c r="Z826" t="str">
        <f>IF([2]Baskol!$J$829="","",[2]Baskol!$J$829)</f>
        <v/>
      </c>
      <c r="AA826" t="str">
        <f>IF([2]Baskol!$K$829="","",[2]Baskol!$K$829)</f>
        <v/>
      </c>
      <c r="AB826" t="str">
        <f>IF([2]Baskol!$L$829="","",[2]Baskol!$L$829)</f>
        <v/>
      </c>
      <c r="AC826" t="str">
        <f>IF([2]Baskol!$N$829="","",[2]Baskol!$N$829)</f>
        <v/>
      </c>
      <c r="AD826" t="str">
        <f>IF([2]Baskol!$O$829="","",[2]Baskol!$O$829)</f>
        <v/>
      </c>
      <c r="AE826" t="str">
        <f>IF([3]Entry!$C$829="","",[3]Entry!$C$829)</f>
        <v/>
      </c>
      <c r="AF826" t="str">
        <f>IF([3]Entry!$D$829="","",[3]Entry!$D$829)</f>
        <v/>
      </c>
      <c r="AG826" t="str">
        <f>IF([3]Entry!$E$829="","",[3]Entry!$E$829)</f>
        <v/>
      </c>
      <c r="AH826" t="str">
        <f>IF([3]Entry!$G$829="","",[3]Entry!$G$829)</f>
        <v/>
      </c>
      <c r="AI826" t="str">
        <f>IF([3]Entry!$K$829="","",[3]Entry!$K$829)</f>
        <v/>
      </c>
      <c r="AJ826" t="str">
        <f>IF([3]Entry!$L$829="","",[3]Entry!$L$829)</f>
        <v/>
      </c>
      <c r="AK826" t="str">
        <f>IF([3]Entry!$M$829="","",[3]Entry!$M$829)</f>
        <v/>
      </c>
      <c r="AL826" t="str">
        <f>IF([3]Entry!$N$829="","",[3]Entry!$N$829)</f>
        <v/>
      </c>
      <c r="AM826" t="str">
        <f>IF([3]Entry!$R$829="","",[3]Entry!$R$829)</f>
        <v/>
      </c>
    </row>
    <row r="827" spans="20:39" x14ac:dyDescent="0.2">
      <c r="T827" t="str">
        <f>IF([2]Baskol!$B$830="","",[2]Baskol!$B$830)</f>
        <v/>
      </c>
      <c r="U827" t="str">
        <f>IF([2]Baskol!$C$830="","",[2]Baskol!$C$830)</f>
        <v/>
      </c>
      <c r="V827" t="str">
        <f>IF([2]Baskol!$D$830="","",[2]Baskol!$D$830)</f>
        <v/>
      </c>
      <c r="W827" t="str">
        <f>IF([2]Baskol!$E$830="","",[2]Baskol!$E$830)</f>
        <v/>
      </c>
      <c r="X827" t="str">
        <f>IF([2]Baskol!$G$830="","",[2]Baskol!$G$830)</f>
        <v/>
      </c>
      <c r="Y827" t="str">
        <f>IF([2]Baskol!$I$830="","",[2]Baskol!$I$830)</f>
        <v/>
      </c>
      <c r="Z827" t="str">
        <f>IF([2]Baskol!$J$830="","",[2]Baskol!$J$830)</f>
        <v/>
      </c>
      <c r="AA827" t="str">
        <f>IF([2]Baskol!$K$830="","",[2]Baskol!$K$830)</f>
        <v/>
      </c>
      <c r="AB827" t="str">
        <f>IF([2]Baskol!$L$830="","",[2]Baskol!$L$830)</f>
        <v/>
      </c>
      <c r="AC827" t="str">
        <f>IF([2]Baskol!$N$830="","",[2]Baskol!$N$830)</f>
        <v/>
      </c>
      <c r="AD827" t="str">
        <f>IF([2]Baskol!$O$830="","",[2]Baskol!$O$830)</f>
        <v/>
      </c>
      <c r="AE827" t="str">
        <f>IF([3]Entry!$C$830="","",[3]Entry!$C$830)</f>
        <v/>
      </c>
      <c r="AF827" t="str">
        <f>IF([3]Entry!$D$830="","",[3]Entry!$D$830)</f>
        <v/>
      </c>
      <c r="AG827" t="str">
        <f>IF([3]Entry!$E$830="","",[3]Entry!$E$830)</f>
        <v/>
      </c>
      <c r="AH827" t="str">
        <f>IF([3]Entry!$G$830="","",[3]Entry!$G$830)</f>
        <v/>
      </c>
      <c r="AI827" t="str">
        <f>IF([3]Entry!$K$830="","",[3]Entry!$K$830)</f>
        <v/>
      </c>
      <c r="AJ827" t="str">
        <f>IF([3]Entry!$L$830="","",[3]Entry!$L$830)</f>
        <v/>
      </c>
      <c r="AK827" t="str">
        <f>IF([3]Entry!$M$830="","",[3]Entry!$M$830)</f>
        <v/>
      </c>
      <c r="AL827" t="str">
        <f>IF([3]Entry!$N$830="","",[3]Entry!$N$830)</f>
        <v/>
      </c>
      <c r="AM827" t="str">
        <f>IF([3]Entry!$R$830="","",[3]Entry!$R$830)</f>
        <v/>
      </c>
    </row>
    <row r="828" spans="20:39" x14ac:dyDescent="0.2">
      <c r="T828" t="str">
        <f>IF([2]Baskol!$B$831="","",[2]Baskol!$B$831)</f>
        <v/>
      </c>
      <c r="U828" t="str">
        <f>IF([2]Baskol!$C$831="","",[2]Baskol!$C$831)</f>
        <v/>
      </c>
      <c r="V828" t="str">
        <f>IF([2]Baskol!$D$831="","",[2]Baskol!$D$831)</f>
        <v/>
      </c>
      <c r="W828" t="str">
        <f>IF([2]Baskol!$E$831="","",[2]Baskol!$E$831)</f>
        <v/>
      </c>
      <c r="X828" t="str">
        <f>IF([2]Baskol!$G$831="","",[2]Baskol!$G$831)</f>
        <v/>
      </c>
      <c r="Y828" t="str">
        <f>IF([2]Baskol!$I$831="","",[2]Baskol!$I$831)</f>
        <v/>
      </c>
      <c r="Z828" t="str">
        <f>IF([2]Baskol!$J$831="","",[2]Baskol!$J$831)</f>
        <v/>
      </c>
      <c r="AA828" t="str">
        <f>IF([2]Baskol!$K$831="","",[2]Baskol!$K$831)</f>
        <v/>
      </c>
      <c r="AB828" t="str">
        <f>IF([2]Baskol!$L$831="","",[2]Baskol!$L$831)</f>
        <v/>
      </c>
      <c r="AC828" t="str">
        <f>IF([2]Baskol!$N$831="","",[2]Baskol!$N$831)</f>
        <v/>
      </c>
      <c r="AD828" t="str">
        <f>IF([2]Baskol!$O$831="","",[2]Baskol!$O$831)</f>
        <v/>
      </c>
      <c r="AE828" t="str">
        <f>IF([3]Entry!$C$831="","",[3]Entry!$C$831)</f>
        <v/>
      </c>
      <c r="AF828" t="str">
        <f>IF([3]Entry!$D$831="","",[3]Entry!$D$831)</f>
        <v/>
      </c>
      <c r="AG828" t="str">
        <f>IF([3]Entry!$E$831="","",[3]Entry!$E$831)</f>
        <v/>
      </c>
      <c r="AH828" t="str">
        <f>IF([3]Entry!$G$831="","",[3]Entry!$G$831)</f>
        <v/>
      </c>
      <c r="AI828" t="str">
        <f>IF([3]Entry!$K$831="","",[3]Entry!$K$831)</f>
        <v/>
      </c>
      <c r="AJ828" t="str">
        <f>IF([3]Entry!$L$831="","",[3]Entry!$L$831)</f>
        <v/>
      </c>
      <c r="AK828" t="str">
        <f>IF([3]Entry!$M$831="","",[3]Entry!$M$831)</f>
        <v/>
      </c>
      <c r="AL828" t="str">
        <f>IF([3]Entry!$N$831="","",[3]Entry!$N$831)</f>
        <v/>
      </c>
      <c r="AM828" t="str">
        <f>IF([3]Entry!$R$831="","",[3]Entry!$R$831)</f>
        <v/>
      </c>
    </row>
    <row r="829" spans="20:39" x14ac:dyDescent="0.2">
      <c r="T829" t="str">
        <f>IF([2]Baskol!$B$832="","",[2]Baskol!$B$832)</f>
        <v/>
      </c>
      <c r="U829" t="str">
        <f>IF([2]Baskol!$C$832="","",[2]Baskol!$C$832)</f>
        <v/>
      </c>
      <c r="V829" t="str">
        <f>IF([2]Baskol!$D$832="","",[2]Baskol!$D$832)</f>
        <v/>
      </c>
      <c r="W829" t="str">
        <f>IF([2]Baskol!$E$832="","",[2]Baskol!$E$832)</f>
        <v/>
      </c>
      <c r="X829" t="str">
        <f>IF([2]Baskol!$G$832="","",[2]Baskol!$G$832)</f>
        <v/>
      </c>
      <c r="Y829" t="str">
        <f>IF([2]Baskol!$I$832="","",[2]Baskol!$I$832)</f>
        <v/>
      </c>
      <c r="Z829" t="str">
        <f>IF([2]Baskol!$J$832="","",[2]Baskol!$J$832)</f>
        <v/>
      </c>
      <c r="AA829" t="str">
        <f>IF([2]Baskol!$K$832="","",[2]Baskol!$K$832)</f>
        <v/>
      </c>
      <c r="AB829" t="str">
        <f>IF([2]Baskol!$L$832="","",[2]Baskol!$L$832)</f>
        <v/>
      </c>
      <c r="AC829" t="str">
        <f>IF([2]Baskol!$N$832="","",[2]Baskol!$N$832)</f>
        <v/>
      </c>
      <c r="AD829" t="str">
        <f>IF([2]Baskol!$O$832="","",[2]Baskol!$O$832)</f>
        <v/>
      </c>
      <c r="AE829" t="str">
        <f>IF([3]Entry!$C$832="","",[3]Entry!$C$832)</f>
        <v/>
      </c>
      <c r="AF829" t="str">
        <f>IF([3]Entry!$D$832="","",[3]Entry!$D$832)</f>
        <v/>
      </c>
      <c r="AG829" t="str">
        <f>IF([3]Entry!$E$832="","",[3]Entry!$E$832)</f>
        <v/>
      </c>
      <c r="AH829" t="str">
        <f>IF([3]Entry!$G$832="","",[3]Entry!$G$832)</f>
        <v/>
      </c>
      <c r="AI829" t="str">
        <f>IF([3]Entry!$K$832="","",[3]Entry!$K$832)</f>
        <v/>
      </c>
      <c r="AJ829" t="str">
        <f>IF([3]Entry!$L$832="","",[3]Entry!$L$832)</f>
        <v/>
      </c>
      <c r="AK829" t="str">
        <f>IF([3]Entry!$M$832="","",[3]Entry!$M$832)</f>
        <v/>
      </c>
      <c r="AL829" t="str">
        <f>IF([3]Entry!$N$832="","",[3]Entry!$N$832)</f>
        <v/>
      </c>
      <c r="AM829" t="str">
        <f>IF([3]Entry!$R$832="","",[3]Entry!$R$832)</f>
        <v/>
      </c>
    </row>
    <row r="830" spans="20:39" x14ac:dyDescent="0.2">
      <c r="T830" t="str">
        <f>IF([2]Baskol!$B$833="","",[2]Baskol!$B$833)</f>
        <v/>
      </c>
      <c r="U830" t="str">
        <f>IF([2]Baskol!$C$833="","",[2]Baskol!$C$833)</f>
        <v/>
      </c>
      <c r="V830" t="str">
        <f>IF([2]Baskol!$D$833="","",[2]Baskol!$D$833)</f>
        <v/>
      </c>
      <c r="W830" t="str">
        <f>IF([2]Baskol!$E$833="","",[2]Baskol!$E$833)</f>
        <v/>
      </c>
      <c r="X830" t="str">
        <f>IF([2]Baskol!$G$833="","",[2]Baskol!$G$833)</f>
        <v/>
      </c>
      <c r="Y830" t="str">
        <f>IF([2]Baskol!$I$833="","",[2]Baskol!$I$833)</f>
        <v/>
      </c>
      <c r="Z830" t="str">
        <f>IF([2]Baskol!$J$833="","",[2]Baskol!$J$833)</f>
        <v/>
      </c>
      <c r="AA830" t="str">
        <f>IF([2]Baskol!$K$833="","",[2]Baskol!$K$833)</f>
        <v/>
      </c>
      <c r="AB830" t="str">
        <f>IF([2]Baskol!$L$833="","",[2]Baskol!$L$833)</f>
        <v/>
      </c>
      <c r="AC830" t="str">
        <f>IF([2]Baskol!$N$833="","",[2]Baskol!$N$833)</f>
        <v/>
      </c>
      <c r="AD830" t="str">
        <f>IF([2]Baskol!$O$833="","",[2]Baskol!$O$833)</f>
        <v/>
      </c>
      <c r="AE830" t="str">
        <f>IF([3]Entry!$C$833="","",[3]Entry!$C$833)</f>
        <v/>
      </c>
      <c r="AF830" t="str">
        <f>IF([3]Entry!$D$833="","",[3]Entry!$D$833)</f>
        <v/>
      </c>
      <c r="AG830" t="str">
        <f>IF([3]Entry!$E$833="","",[3]Entry!$E$833)</f>
        <v/>
      </c>
      <c r="AH830" t="str">
        <f>IF([3]Entry!$G$833="","",[3]Entry!$G$833)</f>
        <v/>
      </c>
      <c r="AI830" t="str">
        <f>IF([3]Entry!$K$833="","",[3]Entry!$K$833)</f>
        <v/>
      </c>
      <c r="AJ830" t="str">
        <f>IF([3]Entry!$L$833="","",[3]Entry!$L$833)</f>
        <v/>
      </c>
      <c r="AK830" t="str">
        <f>IF([3]Entry!$M$833="","",[3]Entry!$M$833)</f>
        <v/>
      </c>
      <c r="AL830" t="str">
        <f>IF([3]Entry!$N$833="","",[3]Entry!$N$833)</f>
        <v/>
      </c>
      <c r="AM830" t="str">
        <f>IF([3]Entry!$R$833="","",[3]Entry!$R$833)</f>
        <v/>
      </c>
    </row>
    <row r="831" spans="20:39" x14ac:dyDescent="0.2">
      <c r="T831" t="str">
        <f>IF([2]Baskol!$B$834="","",[2]Baskol!$B$834)</f>
        <v/>
      </c>
      <c r="U831" t="str">
        <f>IF([2]Baskol!$C$834="","",[2]Baskol!$C$834)</f>
        <v/>
      </c>
      <c r="V831" t="str">
        <f>IF([2]Baskol!$D$834="","",[2]Baskol!$D$834)</f>
        <v/>
      </c>
      <c r="W831" t="str">
        <f>IF([2]Baskol!$E$834="","",[2]Baskol!$E$834)</f>
        <v/>
      </c>
      <c r="X831" t="str">
        <f>IF([2]Baskol!$G$834="","",[2]Baskol!$G$834)</f>
        <v/>
      </c>
      <c r="Y831" t="str">
        <f>IF([2]Baskol!$I$834="","",[2]Baskol!$I$834)</f>
        <v/>
      </c>
      <c r="Z831" t="str">
        <f>IF([2]Baskol!$J$834="","",[2]Baskol!$J$834)</f>
        <v/>
      </c>
      <c r="AA831" t="str">
        <f>IF([2]Baskol!$K$834="","",[2]Baskol!$K$834)</f>
        <v/>
      </c>
      <c r="AB831" t="str">
        <f>IF([2]Baskol!$L$834="","",[2]Baskol!$L$834)</f>
        <v/>
      </c>
      <c r="AC831" t="str">
        <f>IF([2]Baskol!$N$834="","",[2]Baskol!$N$834)</f>
        <v/>
      </c>
      <c r="AD831" t="str">
        <f>IF([2]Baskol!$O$834="","",[2]Baskol!$O$834)</f>
        <v/>
      </c>
      <c r="AE831" t="str">
        <f>IF([3]Entry!$C$834="","",[3]Entry!$C$834)</f>
        <v/>
      </c>
      <c r="AF831" t="str">
        <f>IF([3]Entry!$D$834="","",[3]Entry!$D$834)</f>
        <v/>
      </c>
      <c r="AG831" t="str">
        <f>IF([3]Entry!$E$834="","",[3]Entry!$E$834)</f>
        <v/>
      </c>
      <c r="AH831" t="str">
        <f>IF([3]Entry!$G$834="","",[3]Entry!$G$834)</f>
        <v/>
      </c>
      <c r="AI831" t="str">
        <f>IF([3]Entry!$K$834="","",[3]Entry!$K$834)</f>
        <v/>
      </c>
      <c r="AJ831" t="str">
        <f>IF([3]Entry!$L$834="","",[3]Entry!$L$834)</f>
        <v/>
      </c>
      <c r="AK831" t="str">
        <f>IF([3]Entry!$M$834="","",[3]Entry!$M$834)</f>
        <v/>
      </c>
      <c r="AL831" t="str">
        <f>IF([3]Entry!$N$834="","",[3]Entry!$N$834)</f>
        <v/>
      </c>
      <c r="AM831" t="str">
        <f>IF([3]Entry!$R$834="","",[3]Entry!$R$834)</f>
        <v/>
      </c>
    </row>
    <row r="832" spans="20:39" x14ac:dyDescent="0.2">
      <c r="T832" t="str">
        <f>IF([2]Baskol!$B$835="","",[2]Baskol!$B$835)</f>
        <v/>
      </c>
      <c r="U832" t="str">
        <f>IF([2]Baskol!$C$835="","",[2]Baskol!$C$835)</f>
        <v/>
      </c>
      <c r="V832" t="str">
        <f>IF([2]Baskol!$D$835="","",[2]Baskol!$D$835)</f>
        <v/>
      </c>
      <c r="W832" t="str">
        <f>IF([2]Baskol!$E$835="","",[2]Baskol!$E$835)</f>
        <v/>
      </c>
      <c r="X832" t="str">
        <f>IF([2]Baskol!$G$835="","",[2]Baskol!$G$835)</f>
        <v/>
      </c>
      <c r="Y832" t="str">
        <f>IF([2]Baskol!$I$835="","",[2]Baskol!$I$835)</f>
        <v/>
      </c>
      <c r="Z832" t="str">
        <f>IF([2]Baskol!$J$835="","",[2]Baskol!$J$835)</f>
        <v/>
      </c>
      <c r="AA832" t="str">
        <f>IF([2]Baskol!$K$835="","",[2]Baskol!$K$835)</f>
        <v/>
      </c>
      <c r="AB832" t="str">
        <f>IF([2]Baskol!$L$835="","",[2]Baskol!$L$835)</f>
        <v/>
      </c>
      <c r="AC832" t="str">
        <f>IF([2]Baskol!$N$835="","",[2]Baskol!$N$835)</f>
        <v/>
      </c>
      <c r="AD832" t="str">
        <f>IF([2]Baskol!$O$835="","",[2]Baskol!$O$835)</f>
        <v/>
      </c>
      <c r="AE832" t="str">
        <f>IF([3]Entry!$C$835="","",[3]Entry!$C$835)</f>
        <v/>
      </c>
      <c r="AF832" t="str">
        <f>IF([3]Entry!$D$835="","",[3]Entry!$D$835)</f>
        <v/>
      </c>
      <c r="AG832" t="str">
        <f>IF([3]Entry!$E$835="","",[3]Entry!$E$835)</f>
        <v/>
      </c>
      <c r="AH832" t="str">
        <f>IF([3]Entry!$G$835="","",[3]Entry!$G$835)</f>
        <v/>
      </c>
      <c r="AI832" t="str">
        <f>IF([3]Entry!$K$835="","",[3]Entry!$K$835)</f>
        <v/>
      </c>
      <c r="AJ832" t="str">
        <f>IF([3]Entry!$L$835="","",[3]Entry!$L$835)</f>
        <v/>
      </c>
      <c r="AK832" t="str">
        <f>IF([3]Entry!$M$835="","",[3]Entry!$M$835)</f>
        <v/>
      </c>
      <c r="AL832" t="str">
        <f>IF([3]Entry!$N$835="","",[3]Entry!$N$835)</f>
        <v/>
      </c>
      <c r="AM832" t="str">
        <f>IF([3]Entry!$R$835="","",[3]Entry!$R$835)</f>
        <v/>
      </c>
    </row>
    <row r="833" spans="20:39" x14ac:dyDescent="0.2">
      <c r="T833" t="str">
        <f>IF([2]Baskol!$B$836="","",[2]Baskol!$B$836)</f>
        <v/>
      </c>
      <c r="U833" t="str">
        <f>IF([2]Baskol!$C$836="","",[2]Baskol!$C$836)</f>
        <v/>
      </c>
      <c r="V833" t="str">
        <f>IF([2]Baskol!$D$836="","",[2]Baskol!$D$836)</f>
        <v/>
      </c>
      <c r="W833" t="str">
        <f>IF([2]Baskol!$E$836="","",[2]Baskol!$E$836)</f>
        <v/>
      </c>
      <c r="X833" t="str">
        <f>IF([2]Baskol!$G$836="","",[2]Baskol!$G$836)</f>
        <v/>
      </c>
      <c r="Y833" t="str">
        <f>IF([2]Baskol!$I$836="","",[2]Baskol!$I$836)</f>
        <v/>
      </c>
      <c r="Z833" t="str">
        <f>IF([2]Baskol!$J$836="","",[2]Baskol!$J$836)</f>
        <v/>
      </c>
      <c r="AA833" t="str">
        <f>IF([2]Baskol!$K$836="","",[2]Baskol!$K$836)</f>
        <v/>
      </c>
      <c r="AB833" t="str">
        <f>IF([2]Baskol!$L$836="","",[2]Baskol!$L$836)</f>
        <v/>
      </c>
      <c r="AC833" t="str">
        <f>IF([2]Baskol!$N$836="","",[2]Baskol!$N$836)</f>
        <v/>
      </c>
      <c r="AD833" t="str">
        <f>IF([2]Baskol!$O$836="","",[2]Baskol!$O$836)</f>
        <v/>
      </c>
      <c r="AE833" t="str">
        <f>IF([3]Entry!$C$836="","",[3]Entry!$C$836)</f>
        <v/>
      </c>
      <c r="AF833" t="str">
        <f>IF([3]Entry!$D$836="","",[3]Entry!$D$836)</f>
        <v/>
      </c>
      <c r="AG833" t="str">
        <f>IF([3]Entry!$E$836="","",[3]Entry!$E$836)</f>
        <v/>
      </c>
      <c r="AH833" t="str">
        <f>IF([3]Entry!$G$836="","",[3]Entry!$G$836)</f>
        <v/>
      </c>
      <c r="AI833" t="str">
        <f>IF([3]Entry!$K$836="","",[3]Entry!$K$836)</f>
        <v/>
      </c>
      <c r="AJ833" t="str">
        <f>IF([3]Entry!$L$836="","",[3]Entry!$L$836)</f>
        <v/>
      </c>
      <c r="AK833" t="str">
        <f>IF([3]Entry!$M$836="","",[3]Entry!$M$836)</f>
        <v/>
      </c>
      <c r="AL833" t="str">
        <f>IF([3]Entry!$N$836="","",[3]Entry!$N$836)</f>
        <v/>
      </c>
      <c r="AM833" t="str">
        <f>IF([3]Entry!$R$836="","",[3]Entry!$R$836)</f>
        <v/>
      </c>
    </row>
    <row r="834" spans="20:39" x14ac:dyDescent="0.2">
      <c r="T834" t="str">
        <f>IF([2]Baskol!$B$837="","",[2]Baskol!$B$837)</f>
        <v/>
      </c>
      <c r="U834" t="str">
        <f>IF([2]Baskol!$C$837="","",[2]Baskol!$C$837)</f>
        <v/>
      </c>
      <c r="V834" t="str">
        <f>IF([2]Baskol!$D$837="","",[2]Baskol!$D$837)</f>
        <v/>
      </c>
      <c r="W834" t="str">
        <f>IF([2]Baskol!$E$837="","",[2]Baskol!$E$837)</f>
        <v/>
      </c>
      <c r="X834" t="str">
        <f>IF([2]Baskol!$G$837="","",[2]Baskol!$G$837)</f>
        <v/>
      </c>
      <c r="Y834" t="str">
        <f>IF([2]Baskol!$I$837="","",[2]Baskol!$I$837)</f>
        <v/>
      </c>
      <c r="Z834" t="str">
        <f>IF([2]Baskol!$J$837="","",[2]Baskol!$J$837)</f>
        <v/>
      </c>
      <c r="AA834" t="str">
        <f>IF([2]Baskol!$K$837="","",[2]Baskol!$K$837)</f>
        <v/>
      </c>
      <c r="AB834" t="str">
        <f>IF([2]Baskol!$L$837="","",[2]Baskol!$L$837)</f>
        <v/>
      </c>
      <c r="AC834" t="str">
        <f>IF([2]Baskol!$N$837="","",[2]Baskol!$N$837)</f>
        <v/>
      </c>
      <c r="AD834" t="str">
        <f>IF([2]Baskol!$O$837="","",[2]Baskol!$O$837)</f>
        <v/>
      </c>
      <c r="AE834" t="str">
        <f>IF([3]Entry!$C$837="","",[3]Entry!$C$837)</f>
        <v/>
      </c>
      <c r="AF834" t="str">
        <f>IF([3]Entry!$D$837="","",[3]Entry!$D$837)</f>
        <v/>
      </c>
      <c r="AG834" t="str">
        <f>IF([3]Entry!$E$837="","",[3]Entry!$E$837)</f>
        <v/>
      </c>
      <c r="AH834" t="str">
        <f>IF([3]Entry!$G$837="","",[3]Entry!$G$837)</f>
        <v/>
      </c>
      <c r="AI834" t="str">
        <f>IF([3]Entry!$K$837="","",[3]Entry!$K$837)</f>
        <v/>
      </c>
      <c r="AJ834" t="str">
        <f>IF([3]Entry!$L$837="","",[3]Entry!$L$837)</f>
        <v/>
      </c>
      <c r="AK834" t="str">
        <f>IF([3]Entry!$M$837="","",[3]Entry!$M$837)</f>
        <v/>
      </c>
      <c r="AL834" t="str">
        <f>IF([3]Entry!$N$837="","",[3]Entry!$N$837)</f>
        <v/>
      </c>
      <c r="AM834" t="str">
        <f>IF([3]Entry!$R$837="","",[3]Entry!$R$837)</f>
        <v/>
      </c>
    </row>
    <row r="835" spans="20:39" x14ac:dyDescent="0.2">
      <c r="T835" t="str">
        <f>IF([2]Baskol!$B$838="","",[2]Baskol!$B$838)</f>
        <v/>
      </c>
      <c r="U835" t="str">
        <f>IF([2]Baskol!$C$838="","",[2]Baskol!$C$838)</f>
        <v/>
      </c>
      <c r="V835" t="str">
        <f>IF([2]Baskol!$D$838="","",[2]Baskol!$D$838)</f>
        <v/>
      </c>
      <c r="W835" t="str">
        <f>IF([2]Baskol!$E$838="","",[2]Baskol!$E$838)</f>
        <v/>
      </c>
      <c r="X835" t="str">
        <f>IF([2]Baskol!$G$838="","",[2]Baskol!$G$838)</f>
        <v/>
      </c>
      <c r="Y835" t="str">
        <f>IF([2]Baskol!$I$838="","",[2]Baskol!$I$838)</f>
        <v/>
      </c>
      <c r="Z835" t="str">
        <f>IF([2]Baskol!$J$838="","",[2]Baskol!$J$838)</f>
        <v/>
      </c>
      <c r="AA835" t="str">
        <f>IF([2]Baskol!$K$838="","",[2]Baskol!$K$838)</f>
        <v/>
      </c>
      <c r="AB835" t="str">
        <f>IF([2]Baskol!$L$838="","",[2]Baskol!$L$838)</f>
        <v/>
      </c>
      <c r="AC835" t="str">
        <f>IF([2]Baskol!$N$838="","",[2]Baskol!$N$838)</f>
        <v/>
      </c>
      <c r="AD835" t="str">
        <f>IF([2]Baskol!$O$838="","",[2]Baskol!$O$838)</f>
        <v/>
      </c>
      <c r="AE835" t="str">
        <f>IF([3]Entry!$C$838="","",[3]Entry!$C$838)</f>
        <v/>
      </c>
      <c r="AF835" t="str">
        <f>IF([3]Entry!$D$838="","",[3]Entry!$D$838)</f>
        <v/>
      </c>
      <c r="AG835" t="str">
        <f>IF([3]Entry!$E$838="","",[3]Entry!$E$838)</f>
        <v/>
      </c>
      <c r="AH835" t="str">
        <f>IF([3]Entry!$G$838="","",[3]Entry!$G$838)</f>
        <v/>
      </c>
      <c r="AI835" t="str">
        <f>IF([3]Entry!$K$838="","",[3]Entry!$K$838)</f>
        <v/>
      </c>
      <c r="AJ835" t="str">
        <f>IF([3]Entry!$L$838="","",[3]Entry!$L$838)</f>
        <v/>
      </c>
      <c r="AK835" t="str">
        <f>IF([3]Entry!$M$838="","",[3]Entry!$M$838)</f>
        <v/>
      </c>
      <c r="AL835" t="str">
        <f>IF([3]Entry!$N$838="","",[3]Entry!$N$838)</f>
        <v/>
      </c>
      <c r="AM835" t="str">
        <f>IF([3]Entry!$R$838="","",[3]Entry!$R$838)</f>
        <v/>
      </c>
    </row>
    <row r="836" spans="20:39" x14ac:dyDescent="0.2">
      <c r="T836" t="str">
        <f>IF([2]Baskol!$B$839="","",[2]Baskol!$B$839)</f>
        <v/>
      </c>
      <c r="U836" t="str">
        <f>IF([2]Baskol!$C$839="","",[2]Baskol!$C$839)</f>
        <v/>
      </c>
      <c r="V836" t="str">
        <f>IF([2]Baskol!$D$839="","",[2]Baskol!$D$839)</f>
        <v/>
      </c>
      <c r="W836" t="str">
        <f>IF([2]Baskol!$E$839="","",[2]Baskol!$E$839)</f>
        <v/>
      </c>
      <c r="X836" t="str">
        <f>IF([2]Baskol!$G$839="","",[2]Baskol!$G$839)</f>
        <v/>
      </c>
      <c r="Y836" t="str">
        <f>IF([2]Baskol!$I$839="","",[2]Baskol!$I$839)</f>
        <v/>
      </c>
      <c r="Z836" t="str">
        <f>IF([2]Baskol!$J$839="","",[2]Baskol!$J$839)</f>
        <v/>
      </c>
      <c r="AA836" t="str">
        <f>IF([2]Baskol!$K$839="","",[2]Baskol!$K$839)</f>
        <v/>
      </c>
      <c r="AB836" t="str">
        <f>IF([2]Baskol!$L$839="","",[2]Baskol!$L$839)</f>
        <v/>
      </c>
      <c r="AC836" t="str">
        <f>IF([2]Baskol!$N$839="","",[2]Baskol!$N$839)</f>
        <v/>
      </c>
      <c r="AD836" t="str">
        <f>IF([2]Baskol!$O$839="","",[2]Baskol!$O$839)</f>
        <v/>
      </c>
      <c r="AE836" t="str">
        <f>IF([3]Entry!$C$839="","",[3]Entry!$C$839)</f>
        <v/>
      </c>
      <c r="AF836" t="str">
        <f>IF([3]Entry!$D$839="","",[3]Entry!$D$839)</f>
        <v/>
      </c>
      <c r="AG836" t="str">
        <f>IF([3]Entry!$E$839="","",[3]Entry!$E$839)</f>
        <v/>
      </c>
      <c r="AH836" t="str">
        <f>IF([3]Entry!$G$839="","",[3]Entry!$G$839)</f>
        <v/>
      </c>
      <c r="AI836" t="str">
        <f>IF([3]Entry!$K$839="","",[3]Entry!$K$839)</f>
        <v/>
      </c>
      <c r="AJ836" t="str">
        <f>IF([3]Entry!$L$839="","",[3]Entry!$L$839)</f>
        <v/>
      </c>
      <c r="AK836" t="str">
        <f>IF([3]Entry!$M$839="","",[3]Entry!$M$839)</f>
        <v/>
      </c>
      <c r="AL836" t="str">
        <f>IF([3]Entry!$N$839="","",[3]Entry!$N$839)</f>
        <v/>
      </c>
      <c r="AM836" t="str">
        <f>IF([3]Entry!$R$839="","",[3]Entry!$R$839)</f>
        <v/>
      </c>
    </row>
    <row r="837" spans="20:39" x14ac:dyDescent="0.2">
      <c r="T837" t="str">
        <f>IF([2]Baskol!$B$840="","",[2]Baskol!$B$840)</f>
        <v/>
      </c>
      <c r="U837" t="str">
        <f>IF([2]Baskol!$C$840="","",[2]Baskol!$C$840)</f>
        <v/>
      </c>
      <c r="V837" t="str">
        <f>IF([2]Baskol!$D$840="","",[2]Baskol!$D$840)</f>
        <v/>
      </c>
      <c r="W837" t="str">
        <f>IF([2]Baskol!$E$840="","",[2]Baskol!$E$840)</f>
        <v/>
      </c>
      <c r="X837" t="str">
        <f>IF([2]Baskol!$G$840="","",[2]Baskol!$G$840)</f>
        <v/>
      </c>
      <c r="Y837" t="str">
        <f>IF([2]Baskol!$I$840="","",[2]Baskol!$I$840)</f>
        <v/>
      </c>
      <c r="Z837" t="str">
        <f>IF([2]Baskol!$J$840="","",[2]Baskol!$J$840)</f>
        <v/>
      </c>
      <c r="AA837" t="str">
        <f>IF([2]Baskol!$K$840="","",[2]Baskol!$K$840)</f>
        <v/>
      </c>
      <c r="AB837" t="str">
        <f>IF([2]Baskol!$L$840="","",[2]Baskol!$L$840)</f>
        <v/>
      </c>
      <c r="AC837" t="str">
        <f>IF([2]Baskol!$N$840="","",[2]Baskol!$N$840)</f>
        <v/>
      </c>
      <c r="AD837" t="str">
        <f>IF([2]Baskol!$O$840="","",[2]Baskol!$O$840)</f>
        <v/>
      </c>
      <c r="AE837" t="str">
        <f>IF([3]Entry!$C$840="","",[3]Entry!$C$840)</f>
        <v/>
      </c>
      <c r="AF837" t="str">
        <f>IF([3]Entry!$D$840="","",[3]Entry!$D$840)</f>
        <v/>
      </c>
      <c r="AG837" t="str">
        <f>IF([3]Entry!$E$840="","",[3]Entry!$E$840)</f>
        <v/>
      </c>
      <c r="AH837" t="str">
        <f>IF([3]Entry!$G$840="","",[3]Entry!$G$840)</f>
        <v/>
      </c>
      <c r="AI837" t="str">
        <f>IF([3]Entry!$K$840="","",[3]Entry!$K$840)</f>
        <v/>
      </c>
      <c r="AJ837" t="str">
        <f>IF([3]Entry!$L$840="","",[3]Entry!$L$840)</f>
        <v/>
      </c>
      <c r="AK837" t="str">
        <f>IF([3]Entry!$M$840="","",[3]Entry!$M$840)</f>
        <v/>
      </c>
      <c r="AL837" t="str">
        <f>IF([3]Entry!$N$840="","",[3]Entry!$N$840)</f>
        <v/>
      </c>
      <c r="AM837" t="str">
        <f>IF([3]Entry!$R$840="","",[3]Entry!$R$840)</f>
        <v/>
      </c>
    </row>
    <row r="838" spans="20:39" x14ac:dyDescent="0.2">
      <c r="T838" t="str">
        <f>IF([2]Baskol!$B$841="","",[2]Baskol!$B$841)</f>
        <v/>
      </c>
      <c r="U838" t="str">
        <f>IF([2]Baskol!$C$841="","",[2]Baskol!$C$841)</f>
        <v/>
      </c>
      <c r="V838" t="str">
        <f>IF([2]Baskol!$D$841="","",[2]Baskol!$D$841)</f>
        <v/>
      </c>
      <c r="W838" t="str">
        <f>IF([2]Baskol!$E$841="","",[2]Baskol!$E$841)</f>
        <v/>
      </c>
      <c r="X838" t="str">
        <f>IF([2]Baskol!$G$841="","",[2]Baskol!$G$841)</f>
        <v/>
      </c>
      <c r="Y838" t="str">
        <f>IF([2]Baskol!$I$841="","",[2]Baskol!$I$841)</f>
        <v/>
      </c>
      <c r="Z838" t="str">
        <f>IF([2]Baskol!$J$841="","",[2]Baskol!$J$841)</f>
        <v/>
      </c>
      <c r="AA838" t="str">
        <f>IF([2]Baskol!$K$841="","",[2]Baskol!$K$841)</f>
        <v/>
      </c>
      <c r="AB838" t="str">
        <f>IF([2]Baskol!$L$841="","",[2]Baskol!$L$841)</f>
        <v/>
      </c>
      <c r="AC838" t="str">
        <f>IF([2]Baskol!$N$841="","",[2]Baskol!$N$841)</f>
        <v/>
      </c>
      <c r="AD838" t="str">
        <f>IF([2]Baskol!$O$841="","",[2]Baskol!$O$841)</f>
        <v/>
      </c>
      <c r="AE838" t="str">
        <f>IF([3]Entry!$C$841="","",[3]Entry!$C$841)</f>
        <v/>
      </c>
      <c r="AF838" t="str">
        <f>IF([3]Entry!$D$841="","",[3]Entry!$D$841)</f>
        <v/>
      </c>
      <c r="AG838" t="str">
        <f>IF([3]Entry!$E$841="","",[3]Entry!$E$841)</f>
        <v/>
      </c>
      <c r="AH838" t="str">
        <f>IF([3]Entry!$G$841="","",[3]Entry!$G$841)</f>
        <v/>
      </c>
      <c r="AI838" t="str">
        <f>IF([3]Entry!$K$841="","",[3]Entry!$K$841)</f>
        <v/>
      </c>
      <c r="AJ838" t="str">
        <f>IF([3]Entry!$L$841="","",[3]Entry!$L$841)</f>
        <v/>
      </c>
      <c r="AK838" t="str">
        <f>IF([3]Entry!$M$841="","",[3]Entry!$M$841)</f>
        <v/>
      </c>
      <c r="AL838" t="str">
        <f>IF([3]Entry!$N$841="","",[3]Entry!$N$841)</f>
        <v/>
      </c>
      <c r="AM838" t="str">
        <f>IF([3]Entry!$R$841="","",[3]Entry!$R$841)</f>
        <v/>
      </c>
    </row>
    <row r="839" spans="20:39" x14ac:dyDescent="0.2">
      <c r="T839" t="str">
        <f>IF([2]Baskol!$B$842="","",[2]Baskol!$B$842)</f>
        <v/>
      </c>
      <c r="U839" t="str">
        <f>IF([2]Baskol!$C$842="","",[2]Baskol!$C$842)</f>
        <v/>
      </c>
      <c r="V839" t="str">
        <f>IF([2]Baskol!$D$842="","",[2]Baskol!$D$842)</f>
        <v/>
      </c>
      <c r="W839" t="str">
        <f>IF([2]Baskol!$E$842="","",[2]Baskol!$E$842)</f>
        <v/>
      </c>
      <c r="X839" t="str">
        <f>IF([2]Baskol!$G$842="","",[2]Baskol!$G$842)</f>
        <v/>
      </c>
      <c r="Y839" t="str">
        <f>IF([2]Baskol!$I$842="","",[2]Baskol!$I$842)</f>
        <v/>
      </c>
      <c r="Z839" t="str">
        <f>IF([2]Baskol!$J$842="","",[2]Baskol!$J$842)</f>
        <v/>
      </c>
      <c r="AA839" t="str">
        <f>IF([2]Baskol!$K$842="","",[2]Baskol!$K$842)</f>
        <v/>
      </c>
      <c r="AB839" t="str">
        <f>IF([2]Baskol!$L$842="","",[2]Baskol!$L$842)</f>
        <v/>
      </c>
      <c r="AC839" t="str">
        <f>IF([2]Baskol!$N$842="","",[2]Baskol!$N$842)</f>
        <v/>
      </c>
      <c r="AD839" t="str">
        <f>IF([2]Baskol!$O$842="","",[2]Baskol!$O$842)</f>
        <v/>
      </c>
      <c r="AE839" t="str">
        <f>IF([3]Entry!$C$842="","",[3]Entry!$C$842)</f>
        <v/>
      </c>
      <c r="AF839" t="str">
        <f>IF([3]Entry!$D$842="","",[3]Entry!$D$842)</f>
        <v/>
      </c>
      <c r="AG839" t="str">
        <f>IF([3]Entry!$E$842="","",[3]Entry!$E$842)</f>
        <v/>
      </c>
      <c r="AH839" t="str">
        <f>IF([3]Entry!$G$842="","",[3]Entry!$G$842)</f>
        <v/>
      </c>
      <c r="AI839" t="str">
        <f>IF([3]Entry!$K$842="","",[3]Entry!$K$842)</f>
        <v/>
      </c>
      <c r="AJ839" t="str">
        <f>IF([3]Entry!$L$842="","",[3]Entry!$L$842)</f>
        <v/>
      </c>
      <c r="AK839" t="str">
        <f>IF([3]Entry!$M$842="","",[3]Entry!$M$842)</f>
        <v/>
      </c>
      <c r="AL839" t="str">
        <f>IF([3]Entry!$N$842="","",[3]Entry!$N$842)</f>
        <v/>
      </c>
      <c r="AM839" t="str">
        <f>IF([3]Entry!$R$842="","",[3]Entry!$R$842)</f>
        <v/>
      </c>
    </row>
    <row r="840" spans="20:39" x14ac:dyDescent="0.2">
      <c r="T840" t="str">
        <f>IF([2]Baskol!$B$843="","",[2]Baskol!$B$843)</f>
        <v/>
      </c>
      <c r="U840" t="str">
        <f>IF([2]Baskol!$C$843="","",[2]Baskol!$C$843)</f>
        <v/>
      </c>
      <c r="V840" t="str">
        <f>IF([2]Baskol!$D$843="","",[2]Baskol!$D$843)</f>
        <v/>
      </c>
      <c r="W840" t="str">
        <f>IF([2]Baskol!$E$843="","",[2]Baskol!$E$843)</f>
        <v/>
      </c>
      <c r="X840" t="str">
        <f>IF([2]Baskol!$G$843="","",[2]Baskol!$G$843)</f>
        <v/>
      </c>
      <c r="Y840" t="str">
        <f>IF([2]Baskol!$I$843="","",[2]Baskol!$I$843)</f>
        <v/>
      </c>
      <c r="Z840" t="str">
        <f>IF([2]Baskol!$J$843="","",[2]Baskol!$J$843)</f>
        <v/>
      </c>
      <c r="AA840" t="str">
        <f>IF([2]Baskol!$K$843="","",[2]Baskol!$K$843)</f>
        <v/>
      </c>
      <c r="AB840" t="str">
        <f>IF([2]Baskol!$L$843="","",[2]Baskol!$L$843)</f>
        <v/>
      </c>
      <c r="AC840" t="str">
        <f>IF([2]Baskol!$N$843="","",[2]Baskol!$N$843)</f>
        <v/>
      </c>
      <c r="AD840" t="str">
        <f>IF([2]Baskol!$O$843="","",[2]Baskol!$O$843)</f>
        <v/>
      </c>
      <c r="AE840" t="str">
        <f>IF([3]Entry!$C$843="","",[3]Entry!$C$843)</f>
        <v/>
      </c>
      <c r="AF840" t="str">
        <f>IF([3]Entry!$D$843="","",[3]Entry!$D$843)</f>
        <v/>
      </c>
      <c r="AG840" t="str">
        <f>IF([3]Entry!$E$843="","",[3]Entry!$E$843)</f>
        <v/>
      </c>
      <c r="AH840" t="str">
        <f>IF([3]Entry!$G$843="","",[3]Entry!$G$843)</f>
        <v/>
      </c>
      <c r="AI840" t="str">
        <f>IF([3]Entry!$K$843="","",[3]Entry!$K$843)</f>
        <v/>
      </c>
      <c r="AJ840" t="str">
        <f>IF([3]Entry!$L$843="","",[3]Entry!$L$843)</f>
        <v/>
      </c>
      <c r="AK840" t="str">
        <f>IF([3]Entry!$M$843="","",[3]Entry!$M$843)</f>
        <v/>
      </c>
      <c r="AL840" t="str">
        <f>IF([3]Entry!$N$843="","",[3]Entry!$N$843)</f>
        <v/>
      </c>
      <c r="AM840" t="str">
        <f>IF([3]Entry!$R$843="","",[3]Entry!$R$843)</f>
        <v/>
      </c>
    </row>
    <row r="841" spans="20:39" x14ac:dyDescent="0.2">
      <c r="T841" t="str">
        <f>IF([2]Baskol!$B$844="","",[2]Baskol!$B$844)</f>
        <v/>
      </c>
      <c r="U841" t="str">
        <f>IF([2]Baskol!$C$844="","",[2]Baskol!$C$844)</f>
        <v/>
      </c>
      <c r="V841" t="str">
        <f>IF([2]Baskol!$D$844="","",[2]Baskol!$D$844)</f>
        <v/>
      </c>
      <c r="W841" t="str">
        <f>IF([2]Baskol!$E$844="","",[2]Baskol!$E$844)</f>
        <v/>
      </c>
      <c r="X841" t="str">
        <f>IF([2]Baskol!$G$844="","",[2]Baskol!$G$844)</f>
        <v/>
      </c>
      <c r="Y841" t="str">
        <f>IF([2]Baskol!$I$844="","",[2]Baskol!$I$844)</f>
        <v/>
      </c>
      <c r="Z841" t="str">
        <f>IF([2]Baskol!$J$844="","",[2]Baskol!$J$844)</f>
        <v/>
      </c>
      <c r="AA841" t="str">
        <f>IF([2]Baskol!$K$844="","",[2]Baskol!$K$844)</f>
        <v/>
      </c>
      <c r="AB841" t="str">
        <f>IF([2]Baskol!$L$844="","",[2]Baskol!$L$844)</f>
        <v/>
      </c>
      <c r="AC841" t="str">
        <f>IF([2]Baskol!$N$844="","",[2]Baskol!$N$844)</f>
        <v/>
      </c>
      <c r="AD841" t="str">
        <f>IF([2]Baskol!$O$844="","",[2]Baskol!$O$844)</f>
        <v/>
      </c>
      <c r="AE841" t="str">
        <f>IF([3]Entry!$C$844="","",[3]Entry!$C$844)</f>
        <v/>
      </c>
      <c r="AF841" t="str">
        <f>IF([3]Entry!$D$844="","",[3]Entry!$D$844)</f>
        <v/>
      </c>
      <c r="AG841" t="str">
        <f>IF([3]Entry!$E$844="","",[3]Entry!$E$844)</f>
        <v/>
      </c>
      <c r="AH841" t="str">
        <f>IF([3]Entry!$G$844="","",[3]Entry!$G$844)</f>
        <v/>
      </c>
      <c r="AI841" t="str">
        <f>IF([3]Entry!$K$844="","",[3]Entry!$K$844)</f>
        <v/>
      </c>
      <c r="AJ841" t="str">
        <f>IF([3]Entry!$L$844="","",[3]Entry!$L$844)</f>
        <v/>
      </c>
      <c r="AK841" t="str">
        <f>IF([3]Entry!$M$844="","",[3]Entry!$M$844)</f>
        <v/>
      </c>
      <c r="AL841" t="str">
        <f>IF([3]Entry!$N$844="","",[3]Entry!$N$844)</f>
        <v/>
      </c>
      <c r="AM841" t="str">
        <f>IF([3]Entry!$R$844="","",[3]Entry!$R$844)</f>
        <v/>
      </c>
    </row>
    <row r="842" spans="20:39" x14ac:dyDescent="0.2">
      <c r="T842" t="str">
        <f>IF([2]Baskol!$B$845="","",[2]Baskol!$B$845)</f>
        <v/>
      </c>
      <c r="U842" t="str">
        <f>IF([2]Baskol!$C$845="","",[2]Baskol!$C$845)</f>
        <v/>
      </c>
      <c r="V842" t="str">
        <f>IF([2]Baskol!$D$845="","",[2]Baskol!$D$845)</f>
        <v/>
      </c>
      <c r="W842" t="str">
        <f>IF([2]Baskol!$E$845="","",[2]Baskol!$E$845)</f>
        <v/>
      </c>
      <c r="X842" t="str">
        <f>IF([2]Baskol!$G$845="","",[2]Baskol!$G$845)</f>
        <v/>
      </c>
      <c r="Y842" t="str">
        <f>IF([2]Baskol!$I$845="","",[2]Baskol!$I$845)</f>
        <v/>
      </c>
      <c r="Z842" t="str">
        <f>IF([2]Baskol!$J$845="","",[2]Baskol!$J$845)</f>
        <v/>
      </c>
      <c r="AA842" t="str">
        <f>IF([2]Baskol!$K$845="","",[2]Baskol!$K$845)</f>
        <v/>
      </c>
      <c r="AB842" t="str">
        <f>IF([2]Baskol!$L$845="","",[2]Baskol!$L$845)</f>
        <v/>
      </c>
      <c r="AC842" t="str">
        <f>IF([2]Baskol!$N$845="","",[2]Baskol!$N$845)</f>
        <v/>
      </c>
      <c r="AD842" t="str">
        <f>IF([2]Baskol!$O$845="","",[2]Baskol!$O$845)</f>
        <v/>
      </c>
      <c r="AE842" t="str">
        <f>IF([3]Entry!$C$845="","",[3]Entry!$C$845)</f>
        <v/>
      </c>
      <c r="AF842" t="str">
        <f>IF([3]Entry!$D$845="","",[3]Entry!$D$845)</f>
        <v/>
      </c>
      <c r="AG842" t="str">
        <f>IF([3]Entry!$E$845="","",[3]Entry!$E$845)</f>
        <v/>
      </c>
      <c r="AH842" t="str">
        <f>IF([3]Entry!$G$845="","",[3]Entry!$G$845)</f>
        <v/>
      </c>
      <c r="AI842" t="str">
        <f>IF([3]Entry!$K$845="","",[3]Entry!$K$845)</f>
        <v/>
      </c>
      <c r="AJ842" t="str">
        <f>IF([3]Entry!$L$845="","",[3]Entry!$L$845)</f>
        <v/>
      </c>
      <c r="AK842" t="str">
        <f>IF([3]Entry!$M$845="","",[3]Entry!$M$845)</f>
        <v/>
      </c>
      <c r="AL842" t="str">
        <f>IF([3]Entry!$N$845="","",[3]Entry!$N$845)</f>
        <v/>
      </c>
      <c r="AM842" t="str">
        <f>IF([3]Entry!$R$845="","",[3]Entry!$R$845)</f>
        <v/>
      </c>
    </row>
    <row r="843" spans="20:39" x14ac:dyDescent="0.2">
      <c r="T843" t="str">
        <f>IF([2]Baskol!$B$846="","",[2]Baskol!$B$846)</f>
        <v/>
      </c>
      <c r="U843" t="str">
        <f>IF([2]Baskol!$C$846="","",[2]Baskol!$C$846)</f>
        <v/>
      </c>
      <c r="V843" t="str">
        <f>IF([2]Baskol!$D$846="","",[2]Baskol!$D$846)</f>
        <v/>
      </c>
      <c r="W843" t="str">
        <f>IF([2]Baskol!$E$846="","",[2]Baskol!$E$846)</f>
        <v/>
      </c>
      <c r="X843" t="str">
        <f>IF([2]Baskol!$G$846="","",[2]Baskol!$G$846)</f>
        <v/>
      </c>
      <c r="Y843" t="str">
        <f>IF([2]Baskol!$I$846="","",[2]Baskol!$I$846)</f>
        <v/>
      </c>
      <c r="Z843" t="str">
        <f>IF([2]Baskol!$J$846="","",[2]Baskol!$J$846)</f>
        <v/>
      </c>
      <c r="AA843" t="str">
        <f>IF([2]Baskol!$K$846="","",[2]Baskol!$K$846)</f>
        <v/>
      </c>
      <c r="AB843" t="str">
        <f>IF([2]Baskol!$L$846="","",[2]Baskol!$L$846)</f>
        <v/>
      </c>
      <c r="AC843" t="str">
        <f>IF([2]Baskol!$N$846="","",[2]Baskol!$N$846)</f>
        <v/>
      </c>
      <c r="AD843" t="str">
        <f>IF([2]Baskol!$O$846="","",[2]Baskol!$O$846)</f>
        <v/>
      </c>
      <c r="AE843" t="str">
        <f>IF([3]Entry!$C$846="","",[3]Entry!$C$846)</f>
        <v/>
      </c>
      <c r="AF843" t="str">
        <f>IF([3]Entry!$D$846="","",[3]Entry!$D$846)</f>
        <v/>
      </c>
      <c r="AG843" t="str">
        <f>IF([3]Entry!$E$846="","",[3]Entry!$E$846)</f>
        <v/>
      </c>
      <c r="AH843" t="str">
        <f>IF([3]Entry!$G$846="","",[3]Entry!$G$846)</f>
        <v/>
      </c>
      <c r="AI843" t="str">
        <f>IF([3]Entry!$K$846="","",[3]Entry!$K$846)</f>
        <v/>
      </c>
      <c r="AJ843" t="str">
        <f>IF([3]Entry!$L$846="","",[3]Entry!$L$846)</f>
        <v/>
      </c>
      <c r="AK843" t="str">
        <f>IF([3]Entry!$M$846="","",[3]Entry!$M$846)</f>
        <v/>
      </c>
      <c r="AL843" t="str">
        <f>IF([3]Entry!$N$846="","",[3]Entry!$N$846)</f>
        <v/>
      </c>
      <c r="AM843" t="str">
        <f>IF([3]Entry!$R$846="","",[3]Entry!$R$846)</f>
        <v/>
      </c>
    </row>
    <row r="844" spans="20:39" x14ac:dyDescent="0.2">
      <c r="T844" t="str">
        <f>IF([2]Baskol!$B$847="","",[2]Baskol!$B$847)</f>
        <v/>
      </c>
      <c r="U844" t="str">
        <f>IF([2]Baskol!$C$847="","",[2]Baskol!$C$847)</f>
        <v/>
      </c>
      <c r="V844" t="str">
        <f>IF([2]Baskol!$D$847="","",[2]Baskol!$D$847)</f>
        <v/>
      </c>
      <c r="W844" t="str">
        <f>IF([2]Baskol!$E$847="","",[2]Baskol!$E$847)</f>
        <v/>
      </c>
      <c r="X844" t="str">
        <f>IF([2]Baskol!$G$847="","",[2]Baskol!$G$847)</f>
        <v/>
      </c>
      <c r="Y844" t="str">
        <f>IF([2]Baskol!$I$847="","",[2]Baskol!$I$847)</f>
        <v/>
      </c>
      <c r="Z844" t="str">
        <f>IF([2]Baskol!$J$847="","",[2]Baskol!$J$847)</f>
        <v/>
      </c>
      <c r="AA844" t="str">
        <f>IF([2]Baskol!$K$847="","",[2]Baskol!$K$847)</f>
        <v/>
      </c>
      <c r="AB844" t="str">
        <f>IF([2]Baskol!$L$847="","",[2]Baskol!$L$847)</f>
        <v/>
      </c>
      <c r="AC844" t="str">
        <f>IF([2]Baskol!$N$847="","",[2]Baskol!$N$847)</f>
        <v/>
      </c>
      <c r="AD844" t="str">
        <f>IF([2]Baskol!$O$847="","",[2]Baskol!$O$847)</f>
        <v/>
      </c>
      <c r="AE844" t="str">
        <f>IF([3]Entry!$C$847="","",[3]Entry!$C$847)</f>
        <v/>
      </c>
      <c r="AF844" t="str">
        <f>IF([3]Entry!$D$847="","",[3]Entry!$D$847)</f>
        <v/>
      </c>
      <c r="AG844" t="str">
        <f>IF([3]Entry!$E$847="","",[3]Entry!$E$847)</f>
        <v/>
      </c>
      <c r="AH844" t="str">
        <f>IF([3]Entry!$G$847="","",[3]Entry!$G$847)</f>
        <v/>
      </c>
      <c r="AI844" t="str">
        <f>IF([3]Entry!$K$847="","",[3]Entry!$K$847)</f>
        <v/>
      </c>
      <c r="AJ844" t="str">
        <f>IF([3]Entry!$L$847="","",[3]Entry!$L$847)</f>
        <v/>
      </c>
      <c r="AK844" t="str">
        <f>IF([3]Entry!$M$847="","",[3]Entry!$M$847)</f>
        <v/>
      </c>
      <c r="AL844" t="str">
        <f>IF([3]Entry!$N$847="","",[3]Entry!$N$847)</f>
        <v/>
      </c>
      <c r="AM844" t="str">
        <f>IF([3]Entry!$R$847="","",[3]Entry!$R$847)</f>
        <v/>
      </c>
    </row>
    <row r="845" spans="20:39" x14ac:dyDescent="0.2">
      <c r="T845" t="str">
        <f>IF([2]Baskol!$B$848="","",[2]Baskol!$B$848)</f>
        <v/>
      </c>
      <c r="U845" t="str">
        <f>IF([2]Baskol!$C$848="","",[2]Baskol!$C$848)</f>
        <v/>
      </c>
      <c r="V845" t="str">
        <f>IF([2]Baskol!$D$848="","",[2]Baskol!$D$848)</f>
        <v/>
      </c>
      <c r="W845" t="str">
        <f>IF([2]Baskol!$E$848="","",[2]Baskol!$E$848)</f>
        <v/>
      </c>
      <c r="X845" t="str">
        <f>IF([2]Baskol!$G$848="","",[2]Baskol!$G$848)</f>
        <v/>
      </c>
      <c r="Y845" t="str">
        <f>IF([2]Baskol!$I$848="","",[2]Baskol!$I$848)</f>
        <v/>
      </c>
      <c r="Z845" t="str">
        <f>IF([2]Baskol!$J$848="","",[2]Baskol!$J$848)</f>
        <v/>
      </c>
      <c r="AA845" t="str">
        <f>IF([2]Baskol!$K$848="","",[2]Baskol!$K$848)</f>
        <v/>
      </c>
      <c r="AB845" t="str">
        <f>IF([2]Baskol!$L$848="","",[2]Baskol!$L$848)</f>
        <v/>
      </c>
      <c r="AC845" t="str">
        <f>IF([2]Baskol!$N$848="","",[2]Baskol!$N$848)</f>
        <v/>
      </c>
      <c r="AD845" t="str">
        <f>IF([2]Baskol!$O$848="","",[2]Baskol!$O$848)</f>
        <v/>
      </c>
      <c r="AE845" t="str">
        <f>IF([3]Entry!$C$848="","",[3]Entry!$C$848)</f>
        <v/>
      </c>
      <c r="AF845" t="str">
        <f>IF([3]Entry!$D$848="","",[3]Entry!$D$848)</f>
        <v/>
      </c>
      <c r="AG845" t="str">
        <f>IF([3]Entry!$E$848="","",[3]Entry!$E$848)</f>
        <v/>
      </c>
      <c r="AH845" t="str">
        <f>IF([3]Entry!$G$848="","",[3]Entry!$G$848)</f>
        <v/>
      </c>
      <c r="AI845" t="str">
        <f>IF([3]Entry!$K$848="","",[3]Entry!$K$848)</f>
        <v/>
      </c>
      <c r="AJ845" t="str">
        <f>IF([3]Entry!$L$848="","",[3]Entry!$L$848)</f>
        <v/>
      </c>
      <c r="AK845" t="str">
        <f>IF([3]Entry!$M$848="","",[3]Entry!$M$848)</f>
        <v/>
      </c>
      <c r="AL845" t="str">
        <f>IF([3]Entry!$N$848="","",[3]Entry!$N$848)</f>
        <v/>
      </c>
      <c r="AM845" t="str">
        <f>IF([3]Entry!$R$848="","",[3]Entry!$R$848)</f>
        <v/>
      </c>
    </row>
    <row r="846" spans="20:39" x14ac:dyDescent="0.2">
      <c r="T846" t="str">
        <f>IF([2]Baskol!$B$849="","",[2]Baskol!$B$849)</f>
        <v/>
      </c>
      <c r="U846" t="str">
        <f>IF([2]Baskol!$C$849="","",[2]Baskol!$C$849)</f>
        <v/>
      </c>
      <c r="V846" t="str">
        <f>IF([2]Baskol!$D$849="","",[2]Baskol!$D$849)</f>
        <v/>
      </c>
      <c r="W846" t="str">
        <f>IF([2]Baskol!$E$849="","",[2]Baskol!$E$849)</f>
        <v/>
      </c>
      <c r="X846" t="str">
        <f>IF([2]Baskol!$G$849="","",[2]Baskol!$G$849)</f>
        <v/>
      </c>
      <c r="Y846" t="str">
        <f>IF([2]Baskol!$I$849="","",[2]Baskol!$I$849)</f>
        <v/>
      </c>
      <c r="Z846" t="str">
        <f>IF([2]Baskol!$J$849="","",[2]Baskol!$J$849)</f>
        <v/>
      </c>
      <c r="AA846" t="str">
        <f>IF([2]Baskol!$K$849="","",[2]Baskol!$K$849)</f>
        <v/>
      </c>
      <c r="AB846" t="str">
        <f>IF([2]Baskol!$L$849="","",[2]Baskol!$L$849)</f>
        <v/>
      </c>
      <c r="AC846" t="str">
        <f>IF([2]Baskol!$N$849="","",[2]Baskol!$N$849)</f>
        <v/>
      </c>
      <c r="AD846" t="str">
        <f>IF([2]Baskol!$O$849="","",[2]Baskol!$O$849)</f>
        <v/>
      </c>
      <c r="AE846" t="str">
        <f>IF([3]Entry!$C$849="","",[3]Entry!$C$849)</f>
        <v/>
      </c>
      <c r="AF846" t="str">
        <f>IF([3]Entry!$D$849="","",[3]Entry!$D$849)</f>
        <v/>
      </c>
      <c r="AG846" t="str">
        <f>IF([3]Entry!$E$849="","",[3]Entry!$E$849)</f>
        <v/>
      </c>
      <c r="AH846" t="str">
        <f>IF([3]Entry!$G$849="","",[3]Entry!$G$849)</f>
        <v/>
      </c>
      <c r="AI846" t="str">
        <f>IF([3]Entry!$K$849="","",[3]Entry!$K$849)</f>
        <v/>
      </c>
      <c r="AJ846" t="str">
        <f>IF([3]Entry!$L$849="","",[3]Entry!$L$849)</f>
        <v/>
      </c>
      <c r="AK846" t="str">
        <f>IF([3]Entry!$M$849="","",[3]Entry!$M$849)</f>
        <v/>
      </c>
      <c r="AL846" t="str">
        <f>IF([3]Entry!$N$849="","",[3]Entry!$N$849)</f>
        <v/>
      </c>
      <c r="AM846" t="str">
        <f>IF([3]Entry!$R$849="","",[3]Entry!$R$849)</f>
        <v/>
      </c>
    </row>
    <row r="847" spans="20:39" x14ac:dyDescent="0.2">
      <c r="T847" t="str">
        <f>IF([2]Baskol!$B$850="","",[2]Baskol!$B$850)</f>
        <v/>
      </c>
      <c r="U847" t="str">
        <f>IF([2]Baskol!$C$850="","",[2]Baskol!$C$850)</f>
        <v/>
      </c>
      <c r="V847" t="str">
        <f>IF([2]Baskol!$D$850="","",[2]Baskol!$D$850)</f>
        <v/>
      </c>
      <c r="W847" t="str">
        <f>IF([2]Baskol!$E$850="","",[2]Baskol!$E$850)</f>
        <v/>
      </c>
      <c r="X847" t="str">
        <f>IF([2]Baskol!$G$850="","",[2]Baskol!$G$850)</f>
        <v/>
      </c>
      <c r="Y847" t="str">
        <f>IF([2]Baskol!$I$850="","",[2]Baskol!$I$850)</f>
        <v/>
      </c>
      <c r="Z847" t="str">
        <f>IF([2]Baskol!$J$850="","",[2]Baskol!$J$850)</f>
        <v/>
      </c>
      <c r="AA847" t="str">
        <f>IF([2]Baskol!$K$850="","",[2]Baskol!$K$850)</f>
        <v/>
      </c>
      <c r="AB847" t="str">
        <f>IF([2]Baskol!$L$850="","",[2]Baskol!$L$850)</f>
        <v/>
      </c>
      <c r="AC847" t="str">
        <f>IF([2]Baskol!$N$850="","",[2]Baskol!$N$850)</f>
        <v/>
      </c>
      <c r="AD847" t="str">
        <f>IF([2]Baskol!$O$850="","",[2]Baskol!$O$850)</f>
        <v/>
      </c>
      <c r="AE847" t="str">
        <f>IF([3]Entry!$C$850="","",[3]Entry!$C$850)</f>
        <v/>
      </c>
      <c r="AF847" t="str">
        <f>IF([3]Entry!$D$850="","",[3]Entry!$D$850)</f>
        <v/>
      </c>
      <c r="AG847" t="str">
        <f>IF([3]Entry!$E$850="","",[3]Entry!$E$850)</f>
        <v/>
      </c>
      <c r="AH847" t="str">
        <f>IF([3]Entry!$G$850="","",[3]Entry!$G$850)</f>
        <v/>
      </c>
      <c r="AI847" t="str">
        <f>IF([3]Entry!$K$850="","",[3]Entry!$K$850)</f>
        <v/>
      </c>
      <c r="AJ847" t="str">
        <f>IF([3]Entry!$L$850="","",[3]Entry!$L$850)</f>
        <v/>
      </c>
      <c r="AK847" t="str">
        <f>IF([3]Entry!$M$850="","",[3]Entry!$M$850)</f>
        <v/>
      </c>
      <c r="AL847" t="str">
        <f>IF([3]Entry!$N$850="","",[3]Entry!$N$850)</f>
        <v/>
      </c>
      <c r="AM847" t="str">
        <f>IF([3]Entry!$R$850="","",[3]Entry!$R$850)</f>
        <v/>
      </c>
    </row>
    <row r="848" spans="20:39" x14ac:dyDescent="0.2">
      <c r="T848" t="str">
        <f>IF([2]Baskol!$B$851="","",[2]Baskol!$B$851)</f>
        <v/>
      </c>
      <c r="U848" t="str">
        <f>IF([2]Baskol!$C$851="","",[2]Baskol!$C$851)</f>
        <v/>
      </c>
      <c r="V848" t="str">
        <f>IF([2]Baskol!$D$851="","",[2]Baskol!$D$851)</f>
        <v/>
      </c>
      <c r="W848" t="str">
        <f>IF([2]Baskol!$E$851="","",[2]Baskol!$E$851)</f>
        <v/>
      </c>
      <c r="X848" t="str">
        <f>IF([2]Baskol!$G$851="","",[2]Baskol!$G$851)</f>
        <v/>
      </c>
      <c r="Y848" t="str">
        <f>IF([2]Baskol!$I$851="","",[2]Baskol!$I$851)</f>
        <v/>
      </c>
      <c r="Z848" t="str">
        <f>IF([2]Baskol!$J$851="","",[2]Baskol!$J$851)</f>
        <v/>
      </c>
      <c r="AA848" t="str">
        <f>IF([2]Baskol!$K$851="","",[2]Baskol!$K$851)</f>
        <v/>
      </c>
      <c r="AB848" t="str">
        <f>IF([2]Baskol!$L$851="","",[2]Baskol!$L$851)</f>
        <v/>
      </c>
      <c r="AC848" t="str">
        <f>IF([2]Baskol!$N$851="","",[2]Baskol!$N$851)</f>
        <v/>
      </c>
      <c r="AD848" t="str">
        <f>IF([2]Baskol!$O$851="","",[2]Baskol!$O$851)</f>
        <v/>
      </c>
      <c r="AE848" t="str">
        <f>IF([3]Entry!$C$851="","",[3]Entry!$C$851)</f>
        <v/>
      </c>
      <c r="AF848" t="str">
        <f>IF([3]Entry!$D$851="","",[3]Entry!$D$851)</f>
        <v/>
      </c>
      <c r="AG848" t="str">
        <f>IF([3]Entry!$E$851="","",[3]Entry!$E$851)</f>
        <v/>
      </c>
      <c r="AH848" t="str">
        <f>IF([3]Entry!$G$851="","",[3]Entry!$G$851)</f>
        <v/>
      </c>
      <c r="AI848" t="str">
        <f>IF([3]Entry!$K$851="","",[3]Entry!$K$851)</f>
        <v/>
      </c>
      <c r="AJ848" t="str">
        <f>IF([3]Entry!$L$851="","",[3]Entry!$L$851)</f>
        <v/>
      </c>
      <c r="AK848" t="str">
        <f>IF([3]Entry!$M$851="","",[3]Entry!$M$851)</f>
        <v/>
      </c>
      <c r="AL848" t="str">
        <f>IF([3]Entry!$N$851="","",[3]Entry!$N$851)</f>
        <v/>
      </c>
      <c r="AM848" t="str">
        <f>IF([3]Entry!$R$851="","",[3]Entry!$R$851)</f>
        <v/>
      </c>
    </row>
    <row r="849" spans="20:39" x14ac:dyDescent="0.2">
      <c r="T849" t="str">
        <f>IF([2]Baskol!$B$852="","",[2]Baskol!$B$852)</f>
        <v/>
      </c>
      <c r="U849" t="str">
        <f>IF([2]Baskol!$C$852="","",[2]Baskol!$C$852)</f>
        <v/>
      </c>
      <c r="V849" t="str">
        <f>IF([2]Baskol!$D$852="","",[2]Baskol!$D$852)</f>
        <v/>
      </c>
      <c r="W849" t="str">
        <f>IF([2]Baskol!$E$852="","",[2]Baskol!$E$852)</f>
        <v/>
      </c>
      <c r="X849" t="str">
        <f>IF([2]Baskol!$G$852="","",[2]Baskol!$G$852)</f>
        <v/>
      </c>
      <c r="Y849" t="str">
        <f>IF([2]Baskol!$I$852="","",[2]Baskol!$I$852)</f>
        <v/>
      </c>
      <c r="Z849" t="str">
        <f>IF([2]Baskol!$J$852="","",[2]Baskol!$J$852)</f>
        <v/>
      </c>
      <c r="AA849" t="str">
        <f>IF([2]Baskol!$K$852="","",[2]Baskol!$K$852)</f>
        <v/>
      </c>
      <c r="AB849" t="str">
        <f>IF([2]Baskol!$L$852="","",[2]Baskol!$L$852)</f>
        <v/>
      </c>
      <c r="AC849" t="str">
        <f>IF([2]Baskol!$N$852="","",[2]Baskol!$N$852)</f>
        <v/>
      </c>
      <c r="AD849" t="str">
        <f>IF([2]Baskol!$O$852="","",[2]Baskol!$O$852)</f>
        <v/>
      </c>
      <c r="AE849" t="str">
        <f>IF([3]Entry!$C$852="","",[3]Entry!$C$852)</f>
        <v/>
      </c>
      <c r="AF849" t="str">
        <f>IF([3]Entry!$D$852="","",[3]Entry!$D$852)</f>
        <v/>
      </c>
      <c r="AG849" t="str">
        <f>IF([3]Entry!$E$852="","",[3]Entry!$E$852)</f>
        <v/>
      </c>
      <c r="AH849" t="str">
        <f>IF([3]Entry!$G$852="","",[3]Entry!$G$852)</f>
        <v/>
      </c>
      <c r="AI849" t="str">
        <f>IF([3]Entry!$K$852="","",[3]Entry!$K$852)</f>
        <v/>
      </c>
      <c r="AJ849" t="str">
        <f>IF([3]Entry!$L$852="","",[3]Entry!$L$852)</f>
        <v/>
      </c>
      <c r="AK849" t="str">
        <f>IF([3]Entry!$M$852="","",[3]Entry!$M$852)</f>
        <v/>
      </c>
      <c r="AL849" t="str">
        <f>IF([3]Entry!$N$852="","",[3]Entry!$N$852)</f>
        <v/>
      </c>
      <c r="AM849" t="str">
        <f>IF([3]Entry!$R$852="","",[3]Entry!$R$852)</f>
        <v/>
      </c>
    </row>
    <row r="850" spans="20:39" x14ac:dyDescent="0.2">
      <c r="T850" t="str">
        <f>IF([2]Baskol!$B$853="","",[2]Baskol!$B$853)</f>
        <v/>
      </c>
      <c r="U850" t="str">
        <f>IF([2]Baskol!$C$853="","",[2]Baskol!$C$853)</f>
        <v/>
      </c>
      <c r="V850" t="str">
        <f>IF([2]Baskol!$D$853="","",[2]Baskol!$D$853)</f>
        <v/>
      </c>
      <c r="W850" t="str">
        <f>IF([2]Baskol!$E$853="","",[2]Baskol!$E$853)</f>
        <v/>
      </c>
      <c r="X850" t="str">
        <f>IF([2]Baskol!$G$853="","",[2]Baskol!$G$853)</f>
        <v/>
      </c>
      <c r="Y850" t="str">
        <f>IF([2]Baskol!$I$853="","",[2]Baskol!$I$853)</f>
        <v/>
      </c>
      <c r="Z850" t="str">
        <f>IF([2]Baskol!$J$853="","",[2]Baskol!$J$853)</f>
        <v/>
      </c>
      <c r="AA850" t="str">
        <f>IF([2]Baskol!$K$853="","",[2]Baskol!$K$853)</f>
        <v/>
      </c>
      <c r="AB850" t="str">
        <f>IF([2]Baskol!$L$853="","",[2]Baskol!$L$853)</f>
        <v/>
      </c>
      <c r="AC850" t="str">
        <f>IF([2]Baskol!$N$853="","",[2]Baskol!$N$853)</f>
        <v/>
      </c>
      <c r="AD850" t="str">
        <f>IF([2]Baskol!$O$853="","",[2]Baskol!$O$853)</f>
        <v/>
      </c>
      <c r="AE850" t="str">
        <f>IF([3]Entry!$C$853="","",[3]Entry!$C$853)</f>
        <v/>
      </c>
      <c r="AF850" t="str">
        <f>IF([3]Entry!$D$853="","",[3]Entry!$D$853)</f>
        <v/>
      </c>
      <c r="AG850" t="str">
        <f>IF([3]Entry!$E$853="","",[3]Entry!$E$853)</f>
        <v/>
      </c>
      <c r="AH850" t="str">
        <f>IF([3]Entry!$G$853="","",[3]Entry!$G$853)</f>
        <v/>
      </c>
      <c r="AI850" t="str">
        <f>IF([3]Entry!$K$853="","",[3]Entry!$K$853)</f>
        <v/>
      </c>
      <c r="AJ850" t="str">
        <f>IF([3]Entry!$L$853="","",[3]Entry!$L$853)</f>
        <v/>
      </c>
      <c r="AK850" t="str">
        <f>IF([3]Entry!$M$853="","",[3]Entry!$M$853)</f>
        <v/>
      </c>
      <c r="AL850" t="str">
        <f>IF([3]Entry!$N$853="","",[3]Entry!$N$853)</f>
        <v/>
      </c>
      <c r="AM850" t="str">
        <f>IF([3]Entry!$R$853="","",[3]Entry!$R$853)</f>
        <v/>
      </c>
    </row>
    <row r="851" spans="20:39" x14ac:dyDescent="0.2">
      <c r="T851" t="str">
        <f>IF([2]Baskol!$B$854="","",[2]Baskol!$B$854)</f>
        <v/>
      </c>
      <c r="U851" t="str">
        <f>IF([2]Baskol!$C$854="","",[2]Baskol!$C$854)</f>
        <v/>
      </c>
      <c r="V851" t="str">
        <f>IF([2]Baskol!$D$854="","",[2]Baskol!$D$854)</f>
        <v/>
      </c>
      <c r="W851" t="str">
        <f>IF([2]Baskol!$E$854="","",[2]Baskol!$E$854)</f>
        <v/>
      </c>
      <c r="X851" t="str">
        <f>IF([2]Baskol!$G$854="","",[2]Baskol!$G$854)</f>
        <v/>
      </c>
      <c r="Y851" t="str">
        <f>IF([2]Baskol!$I$854="","",[2]Baskol!$I$854)</f>
        <v/>
      </c>
      <c r="Z851" t="str">
        <f>IF([2]Baskol!$J$854="","",[2]Baskol!$J$854)</f>
        <v/>
      </c>
      <c r="AA851" t="str">
        <f>IF([2]Baskol!$K$854="","",[2]Baskol!$K$854)</f>
        <v/>
      </c>
      <c r="AB851" t="str">
        <f>IF([2]Baskol!$L$854="","",[2]Baskol!$L$854)</f>
        <v/>
      </c>
      <c r="AC851" t="str">
        <f>IF([2]Baskol!$N$854="","",[2]Baskol!$N$854)</f>
        <v/>
      </c>
      <c r="AD851" t="str">
        <f>IF([2]Baskol!$O$854="","",[2]Baskol!$O$854)</f>
        <v/>
      </c>
      <c r="AE851" t="str">
        <f>IF([3]Entry!$C$854="","",[3]Entry!$C$854)</f>
        <v/>
      </c>
      <c r="AF851" t="str">
        <f>IF([3]Entry!$D$854="","",[3]Entry!$D$854)</f>
        <v/>
      </c>
      <c r="AG851" t="str">
        <f>IF([3]Entry!$E$854="","",[3]Entry!$E$854)</f>
        <v/>
      </c>
      <c r="AH851" t="str">
        <f>IF([3]Entry!$G$854="","",[3]Entry!$G$854)</f>
        <v/>
      </c>
      <c r="AI851" t="str">
        <f>IF([3]Entry!$K$854="","",[3]Entry!$K$854)</f>
        <v/>
      </c>
      <c r="AJ851" t="str">
        <f>IF([3]Entry!$L$854="","",[3]Entry!$L$854)</f>
        <v/>
      </c>
      <c r="AK851" t="str">
        <f>IF([3]Entry!$M$854="","",[3]Entry!$M$854)</f>
        <v/>
      </c>
      <c r="AL851" t="str">
        <f>IF([3]Entry!$N$854="","",[3]Entry!$N$854)</f>
        <v/>
      </c>
      <c r="AM851" t="str">
        <f>IF([3]Entry!$R$854="","",[3]Entry!$R$854)</f>
        <v/>
      </c>
    </row>
    <row r="852" spans="20:39" x14ac:dyDescent="0.2">
      <c r="T852" t="str">
        <f>IF([2]Baskol!$B$855="","",[2]Baskol!$B$855)</f>
        <v/>
      </c>
      <c r="U852" t="str">
        <f>IF([2]Baskol!$C$855="","",[2]Baskol!$C$855)</f>
        <v/>
      </c>
      <c r="V852" t="str">
        <f>IF([2]Baskol!$D$855="","",[2]Baskol!$D$855)</f>
        <v/>
      </c>
      <c r="W852" t="str">
        <f>IF([2]Baskol!$E$855="","",[2]Baskol!$E$855)</f>
        <v/>
      </c>
      <c r="X852" t="str">
        <f>IF([2]Baskol!$G$855="","",[2]Baskol!$G$855)</f>
        <v/>
      </c>
      <c r="Y852" t="str">
        <f>IF([2]Baskol!$I$855="","",[2]Baskol!$I$855)</f>
        <v/>
      </c>
      <c r="Z852" t="str">
        <f>IF([2]Baskol!$J$855="","",[2]Baskol!$J$855)</f>
        <v/>
      </c>
      <c r="AA852" t="str">
        <f>IF([2]Baskol!$K$855="","",[2]Baskol!$K$855)</f>
        <v/>
      </c>
      <c r="AB852" t="str">
        <f>IF([2]Baskol!$L$855="","",[2]Baskol!$L$855)</f>
        <v/>
      </c>
      <c r="AC852" t="str">
        <f>IF([2]Baskol!$N$855="","",[2]Baskol!$N$855)</f>
        <v/>
      </c>
      <c r="AD852" t="str">
        <f>IF([2]Baskol!$O$855="","",[2]Baskol!$O$855)</f>
        <v/>
      </c>
      <c r="AE852" t="str">
        <f>IF([3]Entry!$C$855="","",[3]Entry!$C$855)</f>
        <v/>
      </c>
      <c r="AF852" t="str">
        <f>IF([3]Entry!$D$855="","",[3]Entry!$D$855)</f>
        <v/>
      </c>
      <c r="AG852" t="str">
        <f>IF([3]Entry!$E$855="","",[3]Entry!$E$855)</f>
        <v/>
      </c>
      <c r="AH852" t="str">
        <f>IF([3]Entry!$G$855="","",[3]Entry!$G$855)</f>
        <v/>
      </c>
      <c r="AI852" t="str">
        <f>IF([3]Entry!$K$855="","",[3]Entry!$K$855)</f>
        <v/>
      </c>
      <c r="AJ852" t="str">
        <f>IF([3]Entry!$L$855="","",[3]Entry!$L$855)</f>
        <v/>
      </c>
      <c r="AK852" t="str">
        <f>IF([3]Entry!$M$855="","",[3]Entry!$M$855)</f>
        <v/>
      </c>
      <c r="AL852" t="str">
        <f>IF([3]Entry!$N$855="","",[3]Entry!$N$855)</f>
        <v/>
      </c>
      <c r="AM852" t="str">
        <f>IF([3]Entry!$R$855="","",[3]Entry!$R$855)</f>
        <v/>
      </c>
    </row>
    <row r="853" spans="20:39" x14ac:dyDescent="0.2">
      <c r="T853" t="str">
        <f>IF([2]Baskol!$B$856="","",[2]Baskol!$B$856)</f>
        <v/>
      </c>
      <c r="U853" t="str">
        <f>IF([2]Baskol!$C$856="","",[2]Baskol!$C$856)</f>
        <v/>
      </c>
      <c r="V853" t="str">
        <f>IF([2]Baskol!$D$856="","",[2]Baskol!$D$856)</f>
        <v/>
      </c>
      <c r="W853" t="str">
        <f>IF([2]Baskol!$E$856="","",[2]Baskol!$E$856)</f>
        <v/>
      </c>
      <c r="X853" t="str">
        <f>IF([2]Baskol!$G$856="","",[2]Baskol!$G$856)</f>
        <v/>
      </c>
      <c r="Y853" t="str">
        <f>IF([2]Baskol!$I$856="","",[2]Baskol!$I$856)</f>
        <v/>
      </c>
      <c r="Z853" t="str">
        <f>IF([2]Baskol!$J$856="","",[2]Baskol!$J$856)</f>
        <v/>
      </c>
      <c r="AA853" t="str">
        <f>IF([2]Baskol!$K$856="","",[2]Baskol!$K$856)</f>
        <v/>
      </c>
      <c r="AB853" t="str">
        <f>IF([2]Baskol!$L$856="","",[2]Baskol!$L$856)</f>
        <v/>
      </c>
      <c r="AC853" t="str">
        <f>IF([2]Baskol!$N$856="","",[2]Baskol!$N$856)</f>
        <v/>
      </c>
      <c r="AD853" t="str">
        <f>IF([2]Baskol!$O$856="","",[2]Baskol!$O$856)</f>
        <v/>
      </c>
      <c r="AE853" t="str">
        <f>IF([3]Entry!$C$856="","",[3]Entry!$C$856)</f>
        <v/>
      </c>
      <c r="AF853" t="str">
        <f>IF([3]Entry!$D$856="","",[3]Entry!$D$856)</f>
        <v/>
      </c>
      <c r="AG853" t="str">
        <f>IF([3]Entry!$E$856="","",[3]Entry!$E$856)</f>
        <v/>
      </c>
      <c r="AH853" t="str">
        <f>IF([3]Entry!$G$856="","",[3]Entry!$G$856)</f>
        <v/>
      </c>
      <c r="AI853" t="str">
        <f>IF([3]Entry!$K$856="","",[3]Entry!$K$856)</f>
        <v/>
      </c>
      <c r="AJ853" t="str">
        <f>IF([3]Entry!$L$856="","",[3]Entry!$L$856)</f>
        <v/>
      </c>
      <c r="AK853" t="str">
        <f>IF([3]Entry!$M$856="","",[3]Entry!$M$856)</f>
        <v/>
      </c>
      <c r="AL853" t="str">
        <f>IF([3]Entry!$N$856="","",[3]Entry!$N$856)</f>
        <v/>
      </c>
      <c r="AM853" t="str">
        <f>IF([3]Entry!$R$856="","",[3]Entry!$R$856)</f>
        <v/>
      </c>
    </row>
    <row r="854" spans="20:39" x14ac:dyDescent="0.2">
      <c r="T854" t="str">
        <f>IF([2]Baskol!$B$857="","",[2]Baskol!$B$857)</f>
        <v/>
      </c>
      <c r="U854" t="str">
        <f>IF([2]Baskol!$C$857="","",[2]Baskol!$C$857)</f>
        <v/>
      </c>
      <c r="V854" t="str">
        <f>IF([2]Baskol!$D$857="","",[2]Baskol!$D$857)</f>
        <v/>
      </c>
      <c r="W854" t="str">
        <f>IF([2]Baskol!$E$857="","",[2]Baskol!$E$857)</f>
        <v/>
      </c>
      <c r="X854" t="str">
        <f>IF([2]Baskol!$G$857="","",[2]Baskol!$G$857)</f>
        <v/>
      </c>
      <c r="Y854" t="str">
        <f>IF([2]Baskol!$I$857="","",[2]Baskol!$I$857)</f>
        <v/>
      </c>
      <c r="Z854" t="str">
        <f>IF([2]Baskol!$J$857="","",[2]Baskol!$J$857)</f>
        <v/>
      </c>
      <c r="AA854" t="str">
        <f>IF([2]Baskol!$K$857="","",[2]Baskol!$K$857)</f>
        <v/>
      </c>
      <c r="AB854" t="str">
        <f>IF([2]Baskol!$L$857="","",[2]Baskol!$L$857)</f>
        <v/>
      </c>
      <c r="AC854" t="str">
        <f>IF([2]Baskol!$N$857="","",[2]Baskol!$N$857)</f>
        <v/>
      </c>
      <c r="AD854" t="str">
        <f>IF([2]Baskol!$O$857="","",[2]Baskol!$O$857)</f>
        <v/>
      </c>
      <c r="AE854" t="str">
        <f>IF([3]Entry!$C$857="","",[3]Entry!$C$857)</f>
        <v/>
      </c>
      <c r="AF854" t="str">
        <f>IF([3]Entry!$D$857="","",[3]Entry!$D$857)</f>
        <v/>
      </c>
      <c r="AG854" t="str">
        <f>IF([3]Entry!$E$857="","",[3]Entry!$E$857)</f>
        <v/>
      </c>
      <c r="AH854" t="str">
        <f>IF([3]Entry!$G$857="","",[3]Entry!$G$857)</f>
        <v/>
      </c>
      <c r="AI854" t="str">
        <f>IF([3]Entry!$K$857="","",[3]Entry!$K$857)</f>
        <v/>
      </c>
      <c r="AJ854" t="str">
        <f>IF([3]Entry!$L$857="","",[3]Entry!$L$857)</f>
        <v/>
      </c>
      <c r="AK854" t="str">
        <f>IF([3]Entry!$M$857="","",[3]Entry!$M$857)</f>
        <v/>
      </c>
      <c r="AL854" t="str">
        <f>IF([3]Entry!$N$857="","",[3]Entry!$N$857)</f>
        <v/>
      </c>
      <c r="AM854" t="str">
        <f>IF([3]Entry!$R$857="","",[3]Entry!$R$857)</f>
        <v/>
      </c>
    </row>
    <row r="855" spans="20:39" x14ac:dyDescent="0.2">
      <c r="T855" t="str">
        <f>IF([2]Baskol!$B$858="","",[2]Baskol!$B$858)</f>
        <v/>
      </c>
      <c r="U855" t="str">
        <f>IF([2]Baskol!$C$858="","",[2]Baskol!$C$858)</f>
        <v/>
      </c>
      <c r="V855" t="str">
        <f>IF([2]Baskol!$D$858="","",[2]Baskol!$D$858)</f>
        <v/>
      </c>
      <c r="W855" t="str">
        <f>IF([2]Baskol!$E$858="","",[2]Baskol!$E$858)</f>
        <v/>
      </c>
      <c r="X855" t="str">
        <f>IF([2]Baskol!$G$858="","",[2]Baskol!$G$858)</f>
        <v/>
      </c>
      <c r="Y855" t="str">
        <f>IF([2]Baskol!$I$858="","",[2]Baskol!$I$858)</f>
        <v/>
      </c>
      <c r="Z855" t="str">
        <f>IF([2]Baskol!$J$858="","",[2]Baskol!$J$858)</f>
        <v/>
      </c>
      <c r="AA855" t="str">
        <f>IF([2]Baskol!$K$858="","",[2]Baskol!$K$858)</f>
        <v/>
      </c>
      <c r="AB855" t="str">
        <f>IF([2]Baskol!$L$858="","",[2]Baskol!$L$858)</f>
        <v/>
      </c>
      <c r="AC855" t="str">
        <f>IF([2]Baskol!$N$858="","",[2]Baskol!$N$858)</f>
        <v/>
      </c>
      <c r="AD855" t="str">
        <f>IF([2]Baskol!$O$858="","",[2]Baskol!$O$858)</f>
        <v/>
      </c>
      <c r="AE855" t="str">
        <f>IF([3]Entry!$C$858="","",[3]Entry!$C$858)</f>
        <v/>
      </c>
      <c r="AF855" t="str">
        <f>IF([3]Entry!$D$858="","",[3]Entry!$D$858)</f>
        <v/>
      </c>
      <c r="AG855" t="str">
        <f>IF([3]Entry!$E$858="","",[3]Entry!$E$858)</f>
        <v/>
      </c>
      <c r="AH855" t="str">
        <f>IF([3]Entry!$G$858="","",[3]Entry!$G$858)</f>
        <v/>
      </c>
      <c r="AI855" t="str">
        <f>IF([3]Entry!$K$858="","",[3]Entry!$K$858)</f>
        <v/>
      </c>
      <c r="AJ855" t="str">
        <f>IF([3]Entry!$L$858="","",[3]Entry!$L$858)</f>
        <v/>
      </c>
      <c r="AK855" t="str">
        <f>IF([3]Entry!$M$858="","",[3]Entry!$M$858)</f>
        <v/>
      </c>
      <c r="AL855" t="str">
        <f>IF([3]Entry!$N$858="","",[3]Entry!$N$858)</f>
        <v/>
      </c>
      <c r="AM855" t="str">
        <f>IF([3]Entry!$R$858="","",[3]Entry!$R$858)</f>
        <v/>
      </c>
    </row>
    <row r="856" spans="20:39" x14ac:dyDescent="0.2">
      <c r="T856" t="str">
        <f>IF([2]Baskol!$B$859="","",[2]Baskol!$B$859)</f>
        <v/>
      </c>
      <c r="U856" t="str">
        <f>IF([2]Baskol!$C$859="","",[2]Baskol!$C$859)</f>
        <v/>
      </c>
      <c r="V856" t="str">
        <f>IF([2]Baskol!$D$859="","",[2]Baskol!$D$859)</f>
        <v/>
      </c>
      <c r="W856" t="str">
        <f>IF([2]Baskol!$E$859="","",[2]Baskol!$E$859)</f>
        <v/>
      </c>
      <c r="X856" t="str">
        <f>IF([2]Baskol!$G$859="","",[2]Baskol!$G$859)</f>
        <v/>
      </c>
      <c r="Y856" t="str">
        <f>IF([2]Baskol!$I$859="","",[2]Baskol!$I$859)</f>
        <v/>
      </c>
      <c r="Z856" t="str">
        <f>IF([2]Baskol!$J$859="","",[2]Baskol!$J$859)</f>
        <v/>
      </c>
      <c r="AA856" t="str">
        <f>IF([2]Baskol!$K$859="","",[2]Baskol!$K$859)</f>
        <v/>
      </c>
      <c r="AB856" t="str">
        <f>IF([2]Baskol!$L$859="","",[2]Baskol!$L$859)</f>
        <v/>
      </c>
      <c r="AC856" t="str">
        <f>IF([2]Baskol!$N$859="","",[2]Baskol!$N$859)</f>
        <v/>
      </c>
      <c r="AD856" t="str">
        <f>IF([2]Baskol!$O$859="","",[2]Baskol!$O$859)</f>
        <v/>
      </c>
      <c r="AE856" t="str">
        <f>IF([3]Entry!$C$859="","",[3]Entry!$C$859)</f>
        <v/>
      </c>
      <c r="AF856" t="str">
        <f>IF([3]Entry!$D$859="","",[3]Entry!$D$859)</f>
        <v/>
      </c>
      <c r="AG856" t="str">
        <f>IF([3]Entry!$E$859="","",[3]Entry!$E$859)</f>
        <v/>
      </c>
      <c r="AH856" t="str">
        <f>IF([3]Entry!$G$859="","",[3]Entry!$G$859)</f>
        <v/>
      </c>
      <c r="AI856" t="str">
        <f>IF([3]Entry!$K$859="","",[3]Entry!$K$859)</f>
        <v/>
      </c>
      <c r="AJ856" t="str">
        <f>IF([3]Entry!$L$859="","",[3]Entry!$L$859)</f>
        <v/>
      </c>
      <c r="AK856" t="str">
        <f>IF([3]Entry!$M$859="","",[3]Entry!$M$859)</f>
        <v/>
      </c>
      <c r="AL856" t="str">
        <f>IF([3]Entry!$N$859="","",[3]Entry!$N$859)</f>
        <v/>
      </c>
      <c r="AM856" t="str">
        <f>IF([3]Entry!$R$859="","",[3]Entry!$R$859)</f>
        <v/>
      </c>
    </row>
    <row r="857" spans="20:39" x14ac:dyDescent="0.2">
      <c r="T857" t="str">
        <f>IF([2]Baskol!$B$860="","",[2]Baskol!$B$860)</f>
        <v/>
      </c>
      <c r="U857" t="str">
        <f>IF([2]Baskol!$C$860="","",[2]Baskol!$C$860)</f>
        <v/>
      </c>
      <c r="V857" t="str">
        <f>IF([2]Baskol!$D$860="","",[2]Baskol!$D$860)</f>
        <v/>
      </c>
      <c r="W857" t="str">
        <f>IF([2]Baskol!$E$860="","",[2]Baskol!$E$860)</f>
        <v/>
      </c>
      <c r="X857" t="str">
        <f>IF([2]Baskol!$G$860="","",[2]Baskol!$G$860)</f>
        <v/>
      </c>
      <c r="Y857" t="str">
        <f>IF([2]Baskol!$I$860="","",[2]Baskol!$I$860)</f>
        <v/>
      </c>
      <c r="Z857" t="str">
        <f>IF([2]Baskol!$J$860="","",[2]Baskol!$J$860)</f>
        <v/>
      </c>
      <c r="AA857" t="str">
        <f>IF([2]Baskol!$K$860="","",[2]Baskol!$K$860)</f>
        <v/>
      </c>
      <c r="AB857" t="str">
        <f>IF([2]Baskol!$L$860="","",[2]Baskol!$L$860)</f>
        <v/>
      </c>
      <c r="AC857" t="str">
        <f>IF([2]Baskol!$N$860="","",[2]Baskol!$N$860)</f>
        <v/>
      </c>
      <c r="AD857" t="str">
        <f>IF([2]Baskol!$O$860="","",[2]Baskol!$O$860)</f>
        <v/>
      </c>
      <c r="AE857" t="str">
        <f>IF([3]Entry!$C$860="","",[3]Entry!$C$860)</f>
        <v/>
      </c>
      <c r="AF857" t="str">
        <f>IF([3]Entry!$D$860="","",[3]Entry!$D$860)</f>
        <v/>
      </c>
      <c r="AG857" t="str">
        <f>IF([3]Entry!$E$860="","",[3]Entry!$E$860)</f>
        <v/>
      </c>
      <c r="AH857" t="str">
        <f>IF([3]Entry!$G$860="","",[3]Entry!$G$860)</f>
        <v/>
      </c>
      <c r="AI857" t="str">
        <f>IF([3]Entry!$K$860="","",[3]Entry!$K$860)</f>
        <v/>
      </c>
      <c r="AJ857" t="str">
        <f>IF([3]Entry!$L$860="","",[3]Entry!$L$860)</f>
        <v/>
      </c>
      <c r="AK857" t="str">
        <f>IF([3]Entry!$M$860="","",[3]Entry!$M$860)</f>
        <v/>
      </c>
      <c r="AL857" t="str">
        <f>IF([3]Entry!$N$860="","",[3]Entry!$N$860)</f>
        <v/>
      </c>
      <c r="AM857" t="str">
        <f>IF([3]Entry!$R$860="","",[3]Entry!$R$860)</f>
        <v/>
      </c>
    </row>
    <row r="858" spans="20:39" x14ac:dyDescent="0.2">
      <c r="T858" t="str">
        <f>IF([2]Baskol!$B$861="","",[2]Baskol!$B$861)</f>
        <v/>
      </c>
      <c r="U858" t="str">
        <f>IF([2]Baskol!$C$861="","",[2]Baskol!$C$861)</f>
        <v/>
      </c>
      <c r="V858" t="str">
        <f>IF([2]Baskol!$D$861="","",[2]Baskol!$D$861)</f>
        <v/>
      </c>
      <c r="W858" t="str">
        <f>IF([2]Baskol!$E$861="","",[2]Baskol!$E$861)</f>
        <v/>
      </c>
      <c r="X858" t="str">
        <f>IF([2]Baskol!$G$861="","",[2]Baskol!$G$861)</f>
        <v/>
      </c>
      <c r="Y858" t="str">
        <f>IF([2]Baskol!$I$861="","",[2]Baskol!$I$861)</f>
        <v/>
      </c>
      <c r="Z858" t="str">
        <f>IF([2]Baskol!$J$861="","",[2]Baskol!$J$861)</f>
        <v/>
      </c>
      <c r="AA858" t="str">
        <f>IF([2]Baskol!$K$861="","",[2]Baskol!$K$861)</f>
        <v/>
      </c>
      <c r="AB858" t="str">
        <f>IF([2]Baskol!$L$861="","",[2]Baskol!$L$861)</f>
        <v/>
      </c>
      <c r="AC858" t="str">
        <f>IF([2]Baskol!$N$861="","",[2]Baskol!$N$861)</f>
        <v/>
      </c>
      <c r="AD858" t="str">
        <f>IF([2]Baskol!$O$861="","",[2]Baskol!$O$861)</f>
        <v/>
      </c>
      <c r="AE858" t="str">
        <f>IF([3]Entry!$C$861="","",[3]Entry!$C$861)</f>
        <v/>
      </c>
      <c r="AF858" t="str">
        <f>IF([3]Entry!$D$861="","",[3]Entry!$D$861)</f>
        <v/>
      </c>
      <c r="AG858" t="str">
        <f>IF([3]Entry!$E$861="","",[3]Entry!$E$861)</f>
        <v/>
      </c>
      <c r="AH858" t="str">
        <f>IF([3]Entry!$G$861="","",[3]Entry!$G$861)</f>
        <v/>
      </c>
      <c r="AI858" t="str">
        <f>IF([3]Entry!$K$861="","",[3]Entry!$K$861)</f>
        <v/>
      </c>
      <c r="AJ858" t="str">
        <f>IF([3]Entry!$L$861="","",[3]Entry!$L$861)</f>
        <v/>
      </c>
      <c r="AK858" t="str">
        <f>IF([3]Entry!$M$861="","",[3]Entry!$M$861)</f>
        <v/>
      </c>
      <c r="AL858" t="str">
        <f>IF([3]Entry!$N$861="","",[3]Entry!$N$861)</f>
        <v/>
      </c>
      <c r="AM858" t="str">
        <f>IF([3]Entry!$R$861="","",[3]Entry!$R$861)</f>
        <v/>
      </c>
    </row>
    <row r="859" spans="20:39" x14ac:dyDescent="0.2">
      <c r="T859" t="str">
        <f>IF([2]Baskol!$B$862="","",[2]Baskol!$B$862)</f>
        <v/>
      </c>
      <c r="U859" t="str">
        <f>IF([2]Baskol!$C$862="","",[2]Baskol!$C$862)</f>
        <v/>
      </c>
      <c r="V859" t="str">
        <f>IF([2]Baskol!$D$862="","",[2]Baskol!$D$862)</f>
        <v/>
      </c>
      <c r="W859" t="str">
        <f>IF([2]Baskol!$E$862="","",[2]Baskol!$E$862)</f>
        <v/>
      </c>
      <c r="X859" t="str">
        <f>IF([2]Baskol!$G$862="","",[2]Baskol!$G$862)</f>
        <v/>
      </c>
      <c r="Y859" t="str">
        <f>IF([2]Baskol!$I$862="","",[2]Baskol!$I$862)</f>
        <v/>
      </c>
      <c r="Z859" t="str">
        <f>IF([2]Baskol!$J$862="","",[2]Baskol!$J$862)</f>
        <v/>
      </c>
      <c r="AA859" t="str">
        <f>IF([2]Baskol!$K$862="","",[2]Baskol!$K$862)</f>
        <v/>
      </c>
      <c r="AB859" t="str">
        <f>IF([2]Baskol!$L$862="","",[2]Baskol!$L$862)</f>
        <v/>
      </c>
      <c r="AC859" t="str">
        <f>IF([2]Baskol!$N$862="","",[2]Baskol!$N$862)</f>
        <v/>
      </c>
      <c r="AD859" t="str">
        <f>IF([2]Baskol!$O$862="","",[2]Baskol!$O$862)</f>
        <v/>
      </c>
      <c r="AE859" t="str">
        <f>IF([3]Entry!$C$862="","",[3]Entry!$C$862)</f>
        <v/>
      </c>
      <c r="AF859" t="str">
        <f>IF([3]Entry!$D$862="","",[3]Entry!$D$862)</f>
        <v/>
      </c>
      <c r="AG859" t="str">
        <f>IF([3]Entry!$E$862="","",[3]Entry!$E$862)</f>
        <v/>
      </c>
      <c r="AH859" t="str">
        <f>IF([3]Entry!$G$862="","",[3]Entry!$G$862)</f>
        <v/>
      </c>
      <c r="AI859" t="str">
        <f>IF([3]Entry!$K$862="","",[3]Entry!$K$862)</f>
        <v/>
      </c>
      <c r="AJ859" t="str">
        <f>IF([3]Entry!$L$862="","",[3]Entry!$L$862)</f>
        <v/>
      </c>
      <c r="AK859" t="str">
        <f>IF([3]Entry!$M$862="","",[3]Entry!$M$862)</f>
        <v/>
      </c>
      <c r="AL859" t="str">
        <f>IF([3]Entry!$N$862="","",[3]Entry!$N$862)</f>
        <v/>
      </c>
      <c r="AM859" t="str">
        <f>IF([3]Entry!$R$862="","",[3]Entry!$R$862)</f>
        <v/>
      </c>
    </row>
    <row r="860" spans="20:39" x14ac:dyDescent="0.2">
      <c r="T860" t="str">
        <f>IF([2]Baskol!$B$863="","",[2]Baskol!$B$863)</f>
        <v/>
      </c>
      <c r="U860" t="str">
        <f>IF([2]Baskol!$C$863="","",[2]Baskol!$C$863)</f>
        <v/>
      </c>
      <c r="V860" t="str">
        <f>IF([2]Baskol!$D$863="","",[2]Baskol!$D$863)</f>
        <v/>
      </c>
      <c r="W860" t="str">
        <f>IF([2]Baskol!$E$863="","",[2]Baskol!$E$863)</f>
        <v/>
      </c>
      <c r="X860" t="str">
        <f>IF([2]Baskol!$G$863="","",[2]Baskol!$G$863)</f>
        <v/>
      </c>
      <c r="Y860" t="str">
        <f>IF([2]Baskol!$I$863="","",[2]Baskol!$I$863)</f>
        <v/>
      </c>
      <c r="Z860" t="str">
        <f>IF([2]Baskol!$J$863="","",[2]Baskol!$J$863)</f>
        <v/>
      </c>
      <c r="AA860" t="str">
        <f>IF([2]Baskol!$K$863="","",[2]Baskol!$K$863)</f>
        <v/>
      </c>
      <c r="AB860" t="str">
        <f>IF([2]Baskol!$L$863="","",[2]Baskol!$L$863)</f>
        <v/>
      </c>
      <c r="AC860" t="str">
        <f>IF([2]Baskol!$N$863="","",[2]Baskol!$N$863)</f>
        <v/>
      </c>
      <c r="AD860" t="str">
        <f>IF([2]Baskol!$O$863="","",[2]Baskol!$O$863)</f>
        <v/>
      </c>
      <c r="AE860" t="str">
        <f>IF([3]Entry!$C$863="","",[3]Entry!$C$863)</f>
        <v/>
      </c>
      <c r="AF860" t="str">
        <f>IF([3]Entry!$D$863="","",[3]Entry!$D$863)</f>
        <v/>
      </c>
      <c r="AG860" t="str">
        <f>IF([3]Entry!$E$863="","",[3]Entry!$E$863)</f>
        <v/>
      </c>
      <c r="AH860" t="str">
        <f>IF([3]Entry!$G$863="","",[3]Entry!$G$863)</f>
        <v/>
      </c>
      <c r="AI860" t="str">
        <f>IF([3]Entry!$K$863="","",[3]Entry!$K$863)</f>
        <v/>
      </c>
      <c r="AJ860" t="str">
        <f>IF([3]Entry!$L$863="","",[3]Entry!$L$863)</f>
        <v/>
      </c>
      <c r="AK860" t="str">
        <f>IF([3]Entry!$M$863="","",[3]Entry!$M$863)</f>
        <v/>
      </c>
      <c r="AL860" t="str">
        <f>IF([3]Entry!$N$863="","",[3]Entry!$N$863)</f>
        <v/>
      </c>
      <c r="AM860" t="str">
        <f>IF([3]Entry!$R$863="","",[3]Entry!$R$863)</f>
        <v/>
      </c>
    </row>
    <row r="861" spans="20:39" x14ac:dyDescent="0.2">
      <c r="T861" t="str">
        <f>IF([2]Baskol!$B$864="","",[2]Baskol!$B$864)</f>
        <v/>
      </c>
      <c r="U861" t="str">
        <f>IF([2]Baskol!$C$864="","",[2]Baskol!$C$864)</f>
        <v/>
      </c>
      <c r="V861" t="str">
        <f>IF([2]Baskol!$D$864="","",[2]Baskol!$D$864)</f>
        <v/>
      </c>
      <c r="W861" t="str">
        <f>IF([2]Baskol!$E$864="","",[2]Baskol!$E$864)</f>
        <v/>
      </c>
      <c r="X861" t="str">
        <f>IF([2]Baskol!$G$864="","",[2]Baskol!$G$864)</f>
        <v/>
      </c>
      <c r="Y861" t="str">
        <f>IF([2]Baskol!$I$864="","",[2]Baskol!$I$864)</f>
        <v/>
      </c>
      <c r="Z861" t="str">
        <f>IF([2]Baskol!$J$864="","",[2]Baskol!$J$864)</f>
        <v/>
      </c>
      <c r="AA861" t="str">
        <f>IF([2]Baskol!$K$864="","",[2]Baskol!$K$864)</f>
        <v/>
      </c>
      <c r="AB861" t="str">
        <f>IF([2]Baskol!$L$864="","",[2]Baskol!$L$864)</f>
        <v/>
      </c>
      <c r="AC861" t="str">
        <f>IF([2]Baskol!$N$864="","",[2]Baskol!$N$864)</f>
        <v/>
      </c>
      <c r="AD861" t="str">
        <f>IF([2]Baskol!$O$864="","",[2]Baskol!$O$864)</f>
        <v/>
      </c>
      <c r="AE861" t="str">
        <f>IF([3]Entry!$C$864="","",[3]Entry!$C$864)</f>
        <v/>
      </c>
      <c r="AF861" t="str">
        <f>IF([3]Entry!$D$864="","",[3]Entry!$D$864)</f>
        <v/>
      </c>
      <c r="AG861" t="str">
        <f>IF([3]Entry!$E$864="","",[3]Entry!$E$864)</f>
        <v/>
      </c>
      <c r="AH861" t="str">
        <f>IF([3]Entry!$G$864="","",[3]Entry!$G$864)</f>
        <v/>
      </c>
      <c r="AI861" t="str">
        <f>IF([3]Entry!$K$864="","",[3]Entry!$K$864)</f>
        <v/>
      </c>
      <c r="AJ861" t="str">
        <f>IF([3]Entry!$L$864="","",[3]Entry!$L$864)</f>
        <v/>
      </c>
      <c r="AK861" t="str">
        <f>IF([3]Entry!$M$864="","",[3]Entry!$M$864)</f>
        <v/>
      </c>
      <c r="AL861" t="str">
        <f>IF([3]Entry!$N$864="","",[3]Entry!$N$864)</f>
        <v/>
      </c>
      <c r="AM861" t="str">
        <f>IF([3]Entry!$R$864="","",[3]Entry!$R$864)</f>
        <v/>
      </c>
    </row>
    <row r="862" spans="20:39" x14ac:dyDescent="0.2">
      <c r="T862" t="str">
        <f>IF([2]Baskol!$B$865="","",[2]Baskol!$B$865)</f>
        <v/>
      </c>
      <c r="U862" t="str">
        <f>IF([2]Baskol!$C$865="","",[2]Baskol!$C$865)</f>
        <v/>
      </c>
      <c r="V862" t="str">
        <f>IF([2]Baskol!$D$865="","",[2]Baskol!$D$865)</f>
        <v/>
      </c>
      <c r="W862" t="str">
        <f>IF([2]Baskol!$E$865="","",[2]Baskol!$E$865)</f>
        <v/>
      </c>
      <c r="X862" t="str">
        <f>IF([2]Baskol!$G$865="","",[2]Baskol!$G$865)</f>
        <v/>
      </c>
      <c r="Y862" t="str">
        <f>IF([2]Baskol!$I$865="","",[2]Baskol!$I$865)</f>
        <v/>
      </c>
      <c r="Z862" t="str">
        <f>IF([2]Baskol!$J$865="","",[2]Baskol!$J$865)</f>
        <v/>
      </c>
      <c r="AA862" t="str">
        <f>IF([2]Baskol!$K$865="","",[2]Baskol!$K$865)</f>
        <v/>
      </c>
      <c r="AB862" t="str">
        <f>IF([2]Baskol!$L$865="","",[2]Baskol!$L$865)</f>
        <v/>
      </c>
      <c r="AC862" t="str">
        <f>IF([2]Baskol!$N$865="","",[2]Baskol!$N$865)</f>
        <v/>
      </c>
      <c r="AD862" t="str">
        <f>IF([2]Baskol!$O$865="","",[2]Baskol!$O$865)</f>
        <v/>
      </c>
      <c r="AE862" t="str">
        <f>IF([3]Entry!$C$865="","",[3]Entry!$C$865)</f>
        <v/>
      </c>
      <c r="AF862" t="str">
        <f>IF([3]Entry!$D$865="","",[3]Entry!$D$865)</f>
        <v/>
      </c>
      <c r="AG862" t="str">
        <f>IF([3]Entry!$E$865="","",[3]Entry!$E$865)</f>
        <v/>
      </c>
      <c r="AH862" t="str">
        <f>IF([3]Entry!$G$865="","",[3]Entry!$G$865)</f>
        <v/>
      </c>
      <c r="AI862" t="str">
        <f>IF([3]Entry!$K$865="","",[3]Entry!$K$865)</f>
        <v/>
      </c>
      <c r="AJ862" t="str">
        <f>IF([3]Entry!$L$865="","",[3]Entry!$L$865)</f>
        <v/>
      </c>
      <c r="AK862" t="str">
        <f>IF([3]Entry!$M$865="","",[3]Entry!$M$865)</f>
        <v/>
      </c>
      <c r="AL862" t="str">
        <f>IF([3]Entry!$N$865="","",[3]Entry!$N$865)</f>
        <v/>
      </c>
      <c r="AM862" t="str">
        <f>IF([3]Entry!$R$865="","",[3]Entry!$R$865)</f>
        <v/>
      </c>
    </row>
    <row r="863" spans="20:39" x14ac:dyDescent="0.2">
      <c r="T863" t="str">
        <f>IF([2]Baskol!$B$866="","",[2]Baskol!$B$866)</f>
        <v/>
      </c>
      <c r="U863" t="str">
        <f>IF([2]Baskol!$C$866="","",[2]Baskol!$C$866)</f>
        <v/>
      </c>
      <c r="V863" t="str">
        <f>IF([2]Baskol!$D$866="","",[2]Baskol!$D$866)</f>
        <v/>
      </c>
      <c r="W863" t="str">
        <f>IF([2]Baskol!$E$866="","",[2]Baskol!$E$866)</f>
        <v/>
      </c>
      <c r="X863" t="str">
        <f>IF([2]Baskol!$G$866="","",[2]Baskol!$G$866)</f>
        <v/>
      </c>
      <c r="Y863" t="str">
        <f>IF([2]Baskol!$I$866="","",[2]Baskol!$I$866)</f>
        <v/>
      </c>
      <c r="Z863" t="str">
        <f>IF([2]Baskol!$J$866="","",[2]Baskol!$J$866)</f>
        <v/>
      </c>
      <c r="AA863" t="str">
        <f>IF([2]Baskol!$K$866="","",[2]Baskol!$K$866)</f>
        <v/>
      </c>
      <c r="AB863" t="str">
        <f>IF([2]Baskol!$L$866="","",[2]Baskol!$L$866)</f>
        <v/>
      </c>
      <c r="AC863" t="str">
        <f>IF([2]Baskol!$N$866="","",[2]Baskol!$N$866)</f>
        <v/>
      </c>
      <c r="AD863" t="str">
        <f>IF([2]Baskol!$O$866="","",[2]Baskol!$O$866)</f>
        <v/>
      </c>
      <c r="AE863" t="str">
        <f>IF([3]Entry!$C$866="","",[3]Entry!$C$866)</f>
        <v/>
      </c>
      <c r="AF863" t="str">
        <f>IF([3]Entry!$D$866="","",[3]Entry!$D$866)</f>
        <v/>
      </c>
      <c r="AG863" t="str">
        <f>IF([3]Entry!$E$866="","",[3]Entry!$E$866)</f>
        <v/>
      </c>
      <c r="AH863" t="str">
        <f>IF([3]Entry!$G$866="","",[3]Entry!$G$866)</f>
        <v/>
      </c>
      <c r="AI863" t="str">
        <f>IF([3]Entry!$K$866="","",[3]Entry!$K$866)</f>
        <v/>
      </c>
      <c r="AJ863" t="str">
        <f>IF([3]Entry!$L$866="","",[3]Entry!$L$866)</f>
        <v/>
      </c>
      <c r="AK863" t="str">
        <f>IF([3]Entry!$M$866="","",[3]Entry!$M$866)</f>
        <v/>
      </c>
      <c r="AL863" t="str">
        <f>IF([3]Entry!$N$866="","",[3]Entry!$N$866)</f>
        <v/>
      </c>
      <c r="AM863" t="str">
        <f>IF([3]Entry!$R$866="","",[3]Entry!$R$866)</f>
        <v/>
      </c>
    </row>
    <row r="864" spans="20:39" x14ac:dyDescent="0.2">
      <c r="T864" t="str">
        <f>IF([2]Baskol!$B$867="","",[2]Baskol!$B$867)</f>
        <v/>
      </c>
      <c r="U864" t="str">
        <f>IF([2]Baskol!$C$867="","",[2]Baskol!$C$867)</f>
        <v/>
      </c>
      <c r="V864" t="str">
        <f>IF([2]Baskol!$D$867="","",[2]Baskol!$D$867)</f>
        <v/>
      </c>
      <c r="W864" t="str">
        <f>IF([2]Baskol!$E$867="","",[2]Baskol!$E$867)</f>
        <v/>
      </c>
      <c r="X864" t="str">
        <f>IF([2]Baskol!$G$867="","",[2]Baskol!$G$867)</f>
        <v/>
      </c>
      <c r="Y864" t="str">
        <f>IF([2]Baskol!$I$867="","",[2]Baskol!$I$867)</f>
        <v/>
      </c>
      <c r="Z864" t="str">
        <f>IF([2]Baskol!$J$867="","",[2]Baskol!$J$867)</f>
        <v/>
      </c>
      <c r="AA864" t="str">
        <f>IF([2]Baskol!$K$867="","",[2]Baskol!$K$867)</f>
        <v/>
      </c>
      <c r="AB864" t="str">
        <f>IF([2]Baskol!$L$867="","",[2]Baskol!$L$867)</f>
        <v/>
      </c>
      <c r="AC864" t="str">
        <f>IF([2]Baskol!$N$867="","",[2]Baskol!$N$867)</f>
        <v/>
      </c>
      <c r="AD864" t="str">
        <f>IF([2]Baskol!$O$867="","",[2]Baskol!$O$867)</f>
        <v/>
      </c>
      <c r="AE864" t="str">
        <f>IF([3]Entry!$C$867="","",[3]Entry!$C$867)</f>
        <v/>
      </c>
      <c r="AF864" t="str">
        <f>IF([3]Entry!$D$867="","",[3]Entry!$D$867)</f>
        <v/>
      </c>
      <c r="AG864" t="str">
        <f>IF([3]Entry!$E$867="","",[3]Entry!$E$867)</f>
        <v/>
      </c>
      <c r="AH864" t="str">
        <f>IF([3]Entry!$G$867="","",[3]Entry!$G$867)</f>
        <v/>
      </c>
      <c r="AI864" t="str">
        <f>IF([3]Entry!$K$867="","",[3]Entry!$K$867)</f>
        <v/>
      </c>
      <c r="AJ864" t="str">
        <f>IF([3]Entry!$L$867="","",[3]Entry!$L$867)</f>
        <v/>
      </c>
      <c r="AK864" t="str">
        <f>IF([3]Entry!$M$867="","",[3]Entry!$M$867)</f>
        <v/>
      </c>
      <c r="AL864" t="str">
        <f>IF([3]Entry!$N$867="","",[3]Entry!$N$867)</f>
        <v/>
      </c>
      <c r="AM864" t="str">
        <f>IF([3]Entry!$R$867="","",[3]Entry!$R$867)</f>
        <v/>
      </c>
    </row>
    <row r="865" spans="20:39" x14ac:dyDescent="0.2">
      <c r="T865" t="str">
        <f>IF([2]Baskol!$B$868="","",[2]Baskol!$B$868)</f>
        <v/>
      </c>
      <c r="U865" t="str">
        <f>IF([2]Baskol!$C$868="","",[2]Baskol!$C$868)</f>
        <v/>
      </c>
      <c r="V865" t="str">
        <f>IF([2]Baskol!$D$868="","",[2]Baskol!$D$868)</f>
        <v/>
      </c>
      <c r="W865" t="str">
        <f>IF([2]Baskol!$E$868="","",[2]Baskol!$E$868)</f>
        <v/>
      </c>
      <c r="X865" t="str">
        <f>IF([2]Baskol!$G$868="","",[2]Baskol!$G$868)</f>
        <v/>
      </c>
      <c r="Y865" t="str">
        <f>IF([2]Baskol!$I$868="","",[2]Baskol!$I$868)</f>
        <v/>
      </c>
      <c r="Z865" t="str">
        <f>IF([2]Baskol!$J$868="","",[2]Baskol!$J$868)</f>
        <v/>
      </c>
      <c r="AA865" t="str">
        <f>IF([2]Baskol!$K$868="","",[2]Baskol!$K$868)</f>
        <v/>
      </c>
      <c r="AB865" t="str">
        <f>IF([2]Baskol!$L$868="","",[2]Baskol!$L$868)</f>
        <v/>
      </c>
      <c r="AC865" t="str">
        <f>IF([2]Baskol!$N$868="","",[2]Baskol!$N$868)</f>
        <v/>
      </c>
      <c r="AD865" t="str">
        <f>IF([2]Baskol!$O$868="","",[2]Baskol!$O$868)</f>
        <v/>
      </c>
      <c r="AE865" t="str">
        <f>IF([3]Entry!$C$868="","",[3]Entry!$C$868)</f>
        <v/>
      </c>
      <c r="AF865" t="str">
        <f>IF([3]Entry!$D$868="","",[3]Entry!$D$868)</f>
        <v/>
      </c>
      <c r="AG865" t="str">
        <f>IF([3]Entry!$E$868="","",[3]Entry!$E$868)</f>
        <v/>
      </c>
      <c r="AH865" t="str">
        <f>IF([3]Entry!$G$868="","",[3]Entry!$G$868)</f>
        <v/>
      </c>
      <c r="AI865" t="str">
        <f>IF([3]Entry!$K$868="","",[3]Entry!$K$868)</f>
        <v/>
      </c>
      <c r="AJ865" t="str">
        <f>IF([3]Entry!$L$868="","",[3]Entry!$L$868)</f>
        <v/>
      </c>
      <c r="AK865" t="str">
        <f>IF([3]Entry!$M$868="","",[3]Entry!$M$868)</f>
        <v/>
      </c>
      <c r="AL865" t="str">
        <f>IF([3]Entry!$N$868="","",[3]Entry!$N$868)</f>
        <v/>
      </c>
      <c r="AM865" t="str">
        <f>IF([3]Entry!$R$868="","",[3]Entry!$R$868)</f>
        <v/>
      </c>
    </row>
    <row r="866" spans="20:39" x14ac:dyDescent="0.2">
      <c r="T866" t="str">
        <f>IF([2]Baskol!$B$869="","",[2]Baskol!$B$869)</f>
        <v/>
      </c>
      <c r="U866" t="str">
        <f>IF([2]Baskol!$C$869="","",[2]Baskol!$C$869)</f>
        <v/>
      </c>
      <c r="V866" t="str">
        <f>IF([2]Baskol!$D$869="","",[2]Baskol!$D$869)</f>
        <v/>
      </c>
      <c r="W866" t="str">
        <f>IF([2]Baskol!$E$869="","",[2]Baskol!$E$869)</f>
        <v/>
      </c>
      <c r="X866" t="str">
        <f>IF([2]Baskol!$G$869="","",[2]Baskol!$G$869)</f>
        <v/>
      </c>
      <c r="Y866" t="str">
        <f>IF([2]Baskol!$I$869="","",[2]Baskol!$I$869)</f>
        <v/>
      </c>
      <c r="Z866" t="str">
        <f>IF([2]Baskol!$J$869="","",[2]Baskol!$J$869)</f>
        <v/>
      </c>
      <c r="AA866" t="str">
        <f>IF([2]Baskol!$K$869="","",[2]Baskol!$K$869)</f>
        <v/>
      </c>
      <c r="AB866" t="str">
        <f>IF([2]Baskol!$L$869="","",[2]Baskol!$L$869)</f>
        <v/>
      </c>
      <c r="AC866" t="str">
        <f>IF([2]Baskol!$N$869="","",[2]Baskol!$N$869)</f>
        <v/>
      </c>
      <c r="AD866" t="str">
        <f>IF([2]Baskol!$O$869="","",[2]Baskol!$O$869)</f>
        <v/>
      </c>
      <c r="AE866" t="str">
        <f>IF([3]Entry!$C$869="","",[3]Entry!$C$869)</f>
        <v/>
      </c>
      <c r="AF866" t="str">
        <f>IF([3]Entry!$D$869="","",[3]Entry!$D$869)</f>
        <v/>
      </c>
      <c r="AG866" t="str">
        <f>IF([3]Entry!$E$869="","",[3]Entry!$E$869)</f>
        <v/>
      </c>
      <c r="AH866" t="str">
        <f>IF([3]Entry!$G$869="","",[3]Entry!$G$869)</f>
        <v/>
      </c>
      <c r="AI866" t="str">
        <f>IF([3]Entry!$K$869="","",[3]Entry!$K$869)</f>
        <v/>
      </c>
      <c r="AJ866" t="str">
        <f>IF([3]Entry!$L$869="","",[3]Entry!$L$869)</f>
        <v/>
      </c>
      <c r="AK866" t="str">
        <f>IF([3]Entry!$M$869="","",[3]Entry!$M$869)</f>
        <v/>
      </c>
      <c r="AL866" t="str">
        <f>IF([3]Entry!$N$869="","",[3]Entry!$N$869)</f>
        <v/>
      </c>
      <c r="AM866" t="str">
        <f>IF([3]Entry!$R$869="","",[3]Entry!$R$869)</f>
        <v/>
      </c>
    </row>
    <row r="867" spans="20:39" x14ac:dyDescent="0.2">
      <c r="T867" t="str">
        <f>IF([2]Baskol!$B$870="","",[2]Baskol!$B$870)</f>
        <v/>
      </c>
      <c r="U867" t="str">
        <f>IF([2]Baskol!$C$870="","",[2]Baskol!$C$870)</f>
        <v/>
      </c>
      <c r="V867" t="str">
        <f>IF([2]Baskol!$D$870="","",[2]Baskol!$D$870)</f>
        <v/>
      </c>
      <c r="W867" t="str">
        <f>IF([2]Baskol!$E$870="","",[2]Baskol!$E$870)</f>
        <v/>
      </c>
      <c r="X867" t="str">
        <f>IF([2]Baskol!$G$870="","",[2]Baskol!$G$870)</f>
        <v/>
      </c>
      <c r="Y867" t="str">
        <f>IF([2]Baskol!$I$870="","",[2]Baskol!$I$870)</f>
        <v/>
      </c>
      <c r="Z867" t="str">
        <f>IF([2]Baskol!$J$870="","",[2]Baskol!$J$870)</f>
        <v/>
      </c>
      <c r="AA867" t="str">
        <f>IF([2]Baskol!$K$870="","",[2]Baskol!$K$870)</f>
        <v/>
      </c>
      <c r="AB867" t="str">
        <f>IF([2]Baskol!$L$870="","",[2]Baskol!$L$870)</f>
        <v/>
      </c>
      <c r="AC867" t="str">
        <f>IF([2]Baskol!$N$870="","",[2]Baskol!$N$870)</f>
        <v/>
      </c>
      <c r="AD867" t="str">
        <f>IF([2]Baskol!$O$870="","",[2]Baskol!$O$870)</f>
        <v/>
      </c>
      <c r="AE867" t="str">
        <f>IF([3]Entry!$C$870="","",[3]Entry!$C$870)</f>
        <v/>
      </c>
      <c r="AF867" t="str">
        <f>IF([3]Entry!$D$870="","",[3]Entry!$D$870)</f>
        <v/>
      </c>
      <c r="AG867" t="str">
        <f>IF([3]Entry!$E$870="","",[3]Entry!$E$870)</f>
        <v/>
      </c>
      <c r="AH867" t="str">
        <f>IF([3]Entry!$G$870="","",[3]Entry!$G$870)</f>
        <v/>
      </c>
      <c r="AI867" t="str">
        <f>IF([3]Entry!$K$870="","",[3]Entry!$K$870)</f>
        <v/>
      </c>
      <c r="AJ867" t="str">
        <f>IF([3]Entry!$L$870="","",[3]Entry!$L$870)</f>
        <v/>
      </c>
      <c r="AK867" t="str">
        <f>IF([3]Entry!$M$870="","",[3]Entry!$M$870)</f>
        <v/>
      </c>
      <c r="AL867" t="str">
        <f>IF([3]Entry!$N$870="","",[3]Entry!$N$870)</f>
        <v/>
      </c>
      <c r="AM867" t="str">
        <f>IF([3]Entry!$R$870="","",[3]Entry!$R$870)</f>
        <v/>
      </c>
    </row>
    <row r="868" spans="20:39" x14ac:dyDescent="0.2">
      <c r="T868" t="str">
        <f>IF([2]Baskol!$B$871="","",[2]Baskol!$B$871)</f>
        <v/>
      </c>
      <c r="U868" t="str">
        <f>IF([2]Baskol!$C$871="","",[2]Baskol!$C$871)</f>
        <v/>
      </c>
      <c r="V868" t="str">
        <f>IF([2]Baskol!$D$871="","",[2]Baskol!$D$871)</f>
        <v/>
      </c>
      <c r="W868" t="str">
        <f>IF([2]Baskol!$E$871="","",[2]Baskol!$E$871)</f>
        <v/>
      </c>
      <c r="X868" t="str">
        <f>IF([2]Baskol!$G$871="","",[2]Baskol!$G$871)</f>
        <v/>
      </c>
      <c r="Y868" t="str">
        <f>IF([2]Baskol!$I$871="","",[2]Baskol!$I$871)</f>
        <v/>
      </c>
      <c r="Z868" t="str">
        <f>IF([2]Baskol!$J$871="","",[2]Baskol!$J$871)</f>
        <v/>
      </c>
      <c r="AA868" t="str">
        <f>IF([2]Baskol!$K$871="","",[2]Baskol!$K$871)</f>
        <v/>
      </c>
      <c r="AB868" t="str">
        <f>IF([2]Baskol!$L$871="","",[2]Baskol!$L$871)</f>
        <v/>
      </c>
      <c r="AC868" t="str">
        <f>IF([2]Baskol!$N$871="","",[2]Baskol!$N$871)</f>
        <v/>
      </c>
      <c r="AD868" t="str">
        <f>IF([2]Baskol!$O$871="","",[2]Baskol!$O$871)</f>
        <v/>
      </c>
      <c r="AE868" t="str">
        <f>IF([3]Entry!$C$871="","",[3]Entry!$C$871)</f>
        <v/>
      </c>
      <c r="AF868" t="str">
        <f>IF([3]Entry!$D$871="","",[3]Entry!$D$871)</f>
        <v/>
      </c>
      <c r="AG868" t="str">
        <f>IF([3]Entry!$E$871="","",[3]Entry!$E$871)</f>
        <v/>
      </c>
      <c r="AH868" t="str">
        <f>IF([3]Entry!$G$871="","",[3]Entry!$G$871)</f>
        <v/>
      </c>
      <c r="AI868" t="str">
        <f>IF([3]Entry!$K$871="","",[3]Entry!$K$871)</f>
        <v/>
      </c>
      <c r="AJ868" t="str">
        <f>IF([3]Entry!$L$871="","",[3]Entry!$L$871)</f>
        <v/>
      </c>
      <c r="AK868" t="str">
        <f>IF([3]Entry!$M$871="","",[3]Entry!$M$871)</f>
        <v/>
      </c>
      <c r="AL868" t="str">
        <f>IF([3]Entry!$N$871="","",[3]Entry!$N$871)</f>
        <v/>
      </c>
      <c r="AM868" t="str">
        <f>IF([3]Entry!$R$871="","",[3]Entry!$R$871)</f>
        <v/>
      </c>
    </row>
    <row r="869" spans="20:39" x14ac:dyDescent="0.2">
      <c r="T869" t="str">
        <f>IF([2]Baskol!$B$872="","",[2]Baskol!$B$872)</f>
        <v/>
      </c>
      <c r="U869" t="str">
        <f>IF([2]Baskol!$C$872="","",[2]Baskol!$C$872)</f>
        <v/>
      </c>
      <c r="V869" t="str">
        <f>IF([2]Baskol!$D$872="","",[2]Baskol!$D$872)</f>
        <v/>
      </c>
      <c r="W869" t="str">
        <f>IF([2]Baskol!$E$872="","",[2]Baskol!$E$872)</f>
        <v/>
      </c>
      <c r="X869" t="str">
        <f>IF([2]Baskol!$G$872="","",[2]Baskol!$G$872)</f>
        <v/>
      </c>
      <c r="Y869" t="str">
        <f>IF([2]Baskol!$I$872="","",[2]Baskol!$I$872)</f>
        <v/>
      </c>
      <c r="Z869" t="str">
        <f>IF([2]Baskol!$J$872="","",[2]Baskol!$J$872)</f>
        <v/>
      </c>
      <c r="AA869" t="str">
        <f>IF([2]Baskol!$K$872="","",[2]Baskol!$K$872)</f>
        <v/>
      </c>
      <c r="AB869" t="str">
        <f>IF([2]Baskol!$L$872="","",[2]Baskol!$L$872)</f>
        <v/>
      </c>
      <c r="AC869" t="str">
        <f>IF([2]Baskol!$N$872="","",[2]Baskol!$N$872)</f>
        <v/>
      </c>
      <c r="AD869" t="str">
        <f>IF([2]Baskol!$O$872="","",[2]Baskol!$O$872)</f>
        <v/>
      </c>
      <c r="AE869" t="str">
        <f>IF([3]Entry!$C$872="","",[3]Entry!$C$872)</f>
        <v/>
      </c>
      <c r="AF869" t="str">
        <f>IF([3]Entry!$D$872="","",[3]Entry!$D$872)</f>
        <v/>
      </c>
      <c r="AG869" t="str">
        <f>IF([3]Entry!$E$872="","",[3]Entry!$E$872)</f>
        <v/>
      </c>
      <c r="AH869" t="str">
        <f>IF([3]Entry!$G$872="","",[3]Entry!$G$872)</f>
        <v/>
      </c>
      <c r="AI869" t="str">
        <f>IF([3]Entry!$K$872="","",[3]Entry!$K$872)</f>
        <v/>
      </c>
      <c r="AJ869" t="str">
        <f>IF([3]Entry!$L$872="","",[3]Entry!$L$872)</f>
        <v/>
      </c>
      <c r="AK869" t="str">
        <f>IF([3]Entry!$M$872="","",[3]Entry!$M$872)</f>
        <v/>
      </c>
      <c r="AL869" t="str">
        <f>IF([3]Entry!$N$872="","",[3]Entry!$N$872)</f>
        <v/>
      </c>
      <c r="AM869" t="str">
        <f>IF([3]Entry!$R$872="","",[3]Entry!$R$872)</f>
        <v/>
      </c>
    </row>
    <row r="870" spans="20:39" x14ac:dyDescent="0.2">
      <c r="T870" t="str">
        <f>IF([2]Baskol!$B$873="","",[2]Baskol!$B$873)</f>
        <v/>
      </c>
      <c r="U870" t="str">
        <f>IF([2]Baskol!$C$873="","",[2]Baskol!$C$873)</f>
        <v/>
      </c>
      <c r="V870" t="str">
        <f>IF([2]Baskol!$D$873="","",[2]Baskol!$D$873)</f>
        <v/>
      </c>
      <c r="W870" t="str">
        <f>IF([2]Baskol!$E$873="","",[2]Baskol!$E$873)</f>
        <v/>
      </c>
      <c r="X870" t="str">
        <f>IF([2]Baskol!$G$873="","",[2]Baskol!$G$873)</f>
        <v/>
      </c>
      <c r="Y870" t="str">
        <f>IF([2]Baskol!$I$873="","",[2]Baskol!$I$873)</f>
        <v/>
      </c>
      <c r="Z870" t="str">
        <f>IF([2]Baskol!$J$873="","",[2]Baskol!$J$873)</f>
        <v/>
      </c>
      <c r="AA870" t="str">
        <f>IF([2]Baskol!$K$873="","",[2]Baskol!$K$873)</f>
        <v/>
      </c>
      <c r="AB870" t="str">
        <f>IF([2]Baskol!$L$873="","",[2]Baskol!$L$873)</f>
        <v/>
      </c>
      <c r="AC870" t="str">
        <f>IF([2]Baskol!$N$873="","",[2]Baskol!$N$873)</f>
        <v/>
      </c>
      <c r="AD870" t="str">
        <f>IF([2]Baskol!$O$873="","",[2]Baskol!$O$873)</f>
        <v/>
      </c>
      <c r="AE870" t="str">
        <f>IF([3]Entry!$C$873="","",[3]Entry!$C$873)</f>
        <v/>
      </c>
      <c r="AF870" t="str">
        <f>IF([3]Entry!$D$873="","",[3]Entry!$D$873)</f>
        <v/>
      </c>
      <c r="AG870" t="str">
        <f>IF([3]Entry!$E$873="","",[3]Entry!$E$873)</f>
        <v/>
      </c>
      <c r="AH870" t="str">
        <f>IF([3]Entry!$G$873="","",[3]Entry!$G$873)</f>
        <v/>
      </c>
      <c r="AI870" t="str">
        <f>IF([3]Entry!$K$873="","",[3]Entry!$K$873)</f>
        <v/>
      </c>
      <c r="AJ870" t="str">
        <f>IF([3]Entry!$L$873="","",[3]Entry!$L$873)</f>
        <v/>
      </c>
      <c r="AK870" t="str">
        <f>IF([3]Entry!$M$873="","",[3]Entry!$M$873)</f>
        <v/>
      </c>
      <c r="AL870" t="str">
        <f>IF([3]Entry!$N$873="","",[3]Entry!$N$873)</f>
        <v/>
      </c>
      <c r="AM870" t="str">
        <f>IF([3]Entry!$R$873="","",[3]Entry!$R$873)</f>
        <v/>
      </c>
    </row>
    <row r="871" spans="20:39" x14ac:dyDescent="0.2">
      <c r="T871" t="str">
        <f>IF([2]Baskol!$B$874="","",[2]Baskol!$B$874)</f>
        <v/>
      </c>
      <c r="U871" t="str">
        <f>IF([2]Baskol!$C$874="","",[2]Baskol!$C$874)</f>
        <v/>
      </c>
      <c r="V871" t="str">
        <f>IF([2]Baskol!$D$874="","",[2]Baskol!$D$874)</f>
        <v/>
      </c>
      <c r="W871" t="str">
        <f>IF([2]Baskol!$E$874="","",[2]Baskol!$E$874)</f>
        <v/>
      </c>
      <c r="X871" t="str">
        <f>IF([2]Baskol!$G$874="","",[2]Baskol!$G$874)</f>
        <v/>
      </c>
      <c r="Y871" t="str">
        <f>IF([2]Baskol!$I$874="","",[2]Baskol!$I$874)</f>
        <v/>
      </c>
      <c r="Z871" t="str">
        <f>IF([2]Baskol!$J$874="","",[2]Baskol!$J$874)</f>
        <v/>
      </c>
      <c r="AA871" t="str">
        <f>IF([2]Baskol!$K$874="","",[2]Baskol!$K$874)</f>
        <v/>
      </c>
      <c r="AB871" t="str">
        <f>IF([2]Baskol!$L$874="","",[2]Baskol!$L$874)</f>
        <v/>
      </c>
      <c r="AC871" t="str">
        <f>IF([2]Baskol!$N$874="","",[2]Baskol!$N$874)</f>
        <v/>
      </c>
      <c r="AD871" t="str">
        <f>IF([2]Baskol!$O$874="","",[2]Baskol!$O$874)</f>
        <v/>
      </c>
      <c r="AE871" t="str">
        <f>IF([3]Entry!$C$874="","",[3]Entry!$C$874)</f>
        <v/>
      </c>
      <c r="AF871" t="str">
        <f>IF([3]Entry!$D$874="","",[3]Entry!$D$874)</f>
        <v/>
      </c>
      <c r="AG871" t="str">
        <f>IF([3]Entry!$E$874="","",[3]Entry!$E$874)</f>
        <v/>
      </c>
      <c r="AH871" t="str">
        <f>IF([3]Entry!$G$874="","",[3]Entry!$G$874)</f>
        <v/>
      </c>
      <c r="AI871" t="str">
        <f>IF([3]Entry!$K$874="","",[3]Entry!$K$874)</f>
        <v/>
      </c>
      <c r="AJ871" t="str">
        <f>IF([3]Entry!$L$874="","",[3]Entry!$L$874)</f>
        <v/>
      </c>
      <c r="AK871" t="str">
        <f>IF([3]Entry!$M$874="","",[3]Entry!$M$874)</f>
        <v/>
      </c>
      <c r="AL871" t="str">
        <f>IF([3]Entry!$N$874="","",[3]Entry!$N$874)</f>
        <v/>
      </c>
      <c r="AM871" t="str">
        <f>IF([3]Entry!$R$874="","",[3]Entry!$R$874)</f>
        <v/>
      </c>
    </row>
    <row r="872" spans="20:39" x14ac:dyDescent="0.2">
      <c r="T872" t="str">
        <f>IF([2]Baskol!$B$875="","",[2]Baskol!$B$875)</f>
        <v/>
      </c>
      <c r="U872" t="str">
        <f>IF([2]Baskol!$C$875="","",[2]Baskol!$C$875)</f>
        <v/>
      </c>
      <c r="V872" t="str">
        <f>IF([2]Baskol!$D$875="","",[2]Baskol!$D$875)</f>
        <v/>
      </c>
      <c r="W872" t="str">
        <f>IF([2]Baskol!$E$875="","",[2]Baskol!$E$875)</f>
        <v/>
      </c>
      <c r="X872" t="str">
        <f>IF([2]Baskol!$G$875="","",[2]Baskol!$G$875)</f>
        <v/>
      </c>
      <c r="Y872" t="str">
        <f>IF([2]Baskol!$I$875="","",[2]Baskol!$I$875)</f>
        <v/>
      </c>
      <c r="Z872" t="str">
        <f>IF([2]Baskol!$J$875="","",[2]Baskol!$J$875)</f>
        <v/>
      </c>
      <c r="AA872" t="str">
        <f>IF([2]Baskol!$K$875="","",[2]Baskol!$K$875)</f>
        <v/>
      </c>
      <c r="AB872" t="str">
        <f>IF([2]Baskol!$L$875="","",[2]Baskol!$L$875)</f>
        <v/>
      </c>
      <c r="AC872" t="str">
        <f>IF([2]Baskol!$N$875="","",[2]Baskol!$N$875)</f>
        <v/>
      </c>
      <c r="AD872" t="str">
        <f>IF([2]Baskol!$O$875="","",[2]Baskol!$O$875)</f>
        <v/>
      </c>
      <c r="AE872" t="str">
        <f>IF([3]Entry!$C$875="","",[3]Entry!$C$875)</f>
        <v/>
      </c>
      <c r="AF872" t="str">
        <f>IF([3]Entry!$D$875="","",[3]Entry!$D$875)</f>
        <v/>
      </c>
      <c r="AG872" t="str">
        <f>IF([3]Entry!$E$875="","",[3]Entry!$E$875)</f>
        <v/>
      </c>
      <c r="AH872" t="str">
        <f>IF([3]Entry!$G$875="","",[3]Entry!$G$875)</f>
        <v/>
      </c>
      <c r="AI872" t="str">
        <f>IF([3]Entry!$K$875="","",[3]Entry!$K$875)</f>
        <v/>
      </c>
      <c r="AJ872" t="str">
        <f>IF([3]Entry!$L$875="","",[3]Entry!$L$875)</f>
        <v/>
      </c>
      <c r="AK872" t="str">
        <f>IF([3]Entry!$M$875="","",[3]Entry!$M$875)</f>
        <v/>
      </c>
      <c r="AL872" t="str">
        <f>IF([3]Entry!$N$875="","",[3]Entry!$N$875)</f>
        <v/>
      </c>
      <c r="AM872" t="str">
        <f>IF([3]Entry!$R$875="","",[3]Entry!$R$875)</f>
        <v/>
      </c>
    </row>
    <row r="873" spans="20:39" x14ac:dyDescent="0.2">
      <c r="T873" t="str">
        <f>IF([2]Baskol!$B$876="","",[2]Baskol!$B$876)</f>
        <v/>
      </c>
      <c r="U873" t="str">
        <f>IF([2]Baskol!$C$876="","",[2]Baskol!$C$876)</f>
        <v/>
      </c>
      <c r="V873" t="str">
        <f>IF([2]Baskol!$D$876="","",[2]Baskol!$D$876)</f>
        <v/>
      </c>
      <c r="W873" t="str">
        <f>IF([2]Baskol!$E$876="","",[2]Baskol!$E$876)</f>
        <v/>
      </c>
      <c r="X873" t="str">
        <f>IF([2]Baskol!$G$876="","",[2]Baskol!$G$876)</f>
        <v/>
      </c>
      <c r="Y873" t="str">
        <f>IF([2]Baskol!$I$876="","",[2]Baskol!$I$876)</f>
        <v/>
      </c>
      <c r="Z873" t="str">
        <f>IF([2]Baskol!$J$876="","",[2]Baskol!$J$876)</f>
        <v/>
      </c>
      <c r="AA873" t="str">
        <f>IF([2]Baskol!$K$876="","",[2]Baskol!$K$876)</f>
        <v/>
      </c>
      <c r="AB873" t="str">
        <f>IF([2]Baskol!$L$876="","",[2]Baskol!$L$876)</f>
        <v/>
      </c>
      <c r="AC873" t="str">
        <f>IF([2]Baskol!$N$876="","",[2]Baskol!$N$876)</f>
        <v/>
      </c>
      <c r="AD873" t="str">
        <f>IF([2]Baskol!$O$876="","",[2]Baskol!$O$876)</f>
        <v/>
      </c>
      <c r="AE873" t="str">
        <f>IF([3]Entry!$C$876="","",[3]Entry!$C$876)</f>
        <v/>
      </c>
      <c r="AF873" t="str">
        <f>IF([3]Entry!$D$876="","",[3]Entry!$D$876)</f>
        <v/>
      </c>
      <c r="AG873" t="str">
        <f>IF([3]Entry!$E$876="","",[3]Entry!$E$876)</f>
        <v/>
      </c>
      <c r="AH873" t="str">
        <f>IF([3]Entry!$G$876="","",[3]Entry!$G$876)</f>
        <v/>
      </c>
      <c r="AI873" t="str">
        <f>IF([3]Entry!$K$876="","",[3]Entry!$K$876)</f>
        <v/>
      </c>
      <c r="AJ873" t="str">
        <f>IF([3]Entry!$L$876="","",[3]Entry!$L$876)</f>
        <v/>
      </c>
      <c r="AK873" t="str">
        <f>IF([3]Entry!$M$876="","",[3]Entry!$M$876)</f>
        <v/>
      </c>
      <c r="AL873" t="str">
        <f>IF([3]Entry!$N$876="","",[3]Entry!$N$876)</f>
        <v/>
      </c>
      <c r="AM873" t="str">
        <f>IF([3]Entry!$R$876="","",[3]Entry!$R$876)</f>
        <v/>
      </c>
    </row>
    <row r="874" spans="20:39" x14ac:dyDescent="0.2">
      <c r="T874" t="str">
        <f>IF([2]Baskol!$B$877="","",[2]Baskol!$B$877)</f>
        <v/>
      </c>
      <c r="U874" t="str">
        <f>IF([2]Baskol!$C$877="","",[2]Baskol!$C$877)</f>
        <v/>
      </c>
      <c r="V874" t="str">
        <f>IF([2]Baskol!$D$877="","",[2]Baskol!$D$877)</f>
        <v/>
      </c>
      <c r="W874" t="str">
        <f>IF([2]Baskol!$E$877="","",[2]Baskol!$E$877)</f>
        <v/>
      </c>
      <c r="X874" t="str">
        <f>IF([2]Baskol!$G$877="","",[2]Baskol!$G$877)</f>
        <v/>
      </c>
      <c r="Y874" t="str">
        <f>IF([2]Baskol!$I$877="","",[2]Baskol!$I$877)</f>
        <v/>
      </c>
      <c r="Z874" t="str">
        <f>IF([2]Baskol!$J$877="","",[2]Baskol!$J$877)</f>
        <v/>
      </c>
      <c r="AA874" t="str">
        <f>IF([2]Baskol!$K$877="","",[2]Baskol!$K$877)</f>
        <v/>
      </c>
      <c r="AB874" t="str">
        <f>IF([2]Baskol!$L$877="","",[2]Baskol!$L$877)</f>
        <v/>
      </c>
      <c r="AC874" t="str">
        <f>IF([2]Baskol!$N$877="","",[2]Baskol!$N$877)</f>
        <v/>
      </c>
      <c r="AD874" t="str">
        <f>IF([2]Baskol!$O$877="","",[2]Baskol!$O$877)</f>
        <v/>
      </c>
      <c r="AE874" t="str">
        <f>IF([3]Entry!$C$877="","",[3]Entry!$C$877)</f>
        <v/>
      </c>
      <c r="AF874" t="str">
        <f>IF([3]Entry!$D$877="","",[3]Entry!$D$877)</f>
        <v/>
      </c>
      <c r="AG874" t="str">
        <f>IF([3]Entry!$E$877="","",[3]Entry!$E$877)</f>
        <v/>
      </c>
      <c r="AH874" t="str">
        <f>IF([3]Entry!$G$877="","",[3]Entry!$G$877)</f>
        <v/>
      </c>
      <c r="AI874" t="str">
        <f>IF([3]Entry!$K$877="","",[3]Entry!$K$877)</f>
        <v/>
      </c>
      <c r="AJ874" t="str">
        <f>IF([3]Entry!$L$877="","",[3]Entry!$L$877)</f>
        <v/>
      </c>
      <c r="AK874" t="str">
        <f>IF([3]Entry!$M$877="","",[3]Entry!$M$877)</f>
        <v/>
      </c>
      <c r="AL874" t="str">
        <f>IF([3]Entry!$N$877="","",[3]Entry!$N$877)</f>
        <v/>
      </c>
      <c r="AM874" t="str">
        <f>IF([3]Entry!$R$877="","",[3]Entry!$R$877)</f>
        <v/>
      </c>
    </row>
    <row r="875" spans="20:39" x14ac:dyDescent="0.2">
      <c r="T875" t="str">
        <f>IF([2]Baskol!$B$878="","",[2]Baskol!$B$878)</f>
        <v/>
      </c>
      <c r="U875" t="str">
        <f>IF([2]Baskol!$C$878="","",[2]Baskol!$C$878)</f>
        <v/>
      </c>
      <c r="V875" t="str">
        <f>IF([2]Baskol!$D$878="","",[2]Baskol!$D$878)</f>
        <v/>
      </c>
      <c r="W875" t="str">
        <f>IF([2]Baskol!$E$878="","",[2]Baskol!$E$878)</f>
        <v/>
      </c>
      <c r="X875" t="str">
        <f>IF([2]Baskol!$G$878="","",[2]Baskol!$G$878)</f>
        <v/>
      </c>
      <c r="Y875" t="str">
        <f>IF([2]Baskol!$I$878="","",[2]Baskol!$I$878)</f>
        <v/>
      </c>
      <c r="Z875" t="str">
        <f>IF([2]Baskol!$J$878="","",[2]Baskol!$J$878)</f>
        <v/>
      </c>
      <c r="AA875" t="str">
        <f>IF([2]Baskol!$K$878="","",[2]Baskol!$K$878)</f>
        <v/>
      </c>
      <c r="AB875" t="str">
        <f>IF([2]Baskol!$L$878="","",[2]Baskol!$L$878)</f>
        <v/>
      </c>
      <c r="AC875" t="str">
        <f>IF([2]Baskol!$N$878="","",[2]Baskol!$N$878)</f>
        <v/>
      </c>
      <c r="AD875" t="str">
        <f>IF([2]Baskol!$O$878="","",[2]Baskol!$O$878)</f>
        <v/>
      </c>
      <c r="AE875" t="str">
        <f>IF([3]Entry!$C$878="","",[3]Entry!$C$878)</f>
        <v/>
      </c>
      <c r="AF875" t="str">
        <f>IF([3]Entry!$D$878="","",[3]Entry!$D$878)</f>
        <v/>
      </c>
      <c r="AG875" t="str">
        <f>IF([3]Entry!$E$878="","",[3]Entry!$E$878)</f>
        <v/>
      </c>
      <c r="AH875" t="str">
        <f>IF([3]Entry!$G$878="","",[3]Entry!$G$878)</f>
        <v/>
      </c>
      <c r="AI875" t="str">
        <f>IF([3]Entry!$K$878="","",[3]Entry!$K$878)</f>
        <v/>
      </c>
      <c r="AJ875" t="str">
        <f>IF([3]Entry!$L$878="","",[3]Entry!$L$878)</f>
        <v/>
      </c>
      <c r="AK875" t="str">
        <f>IF([3]Entry!$M$878="","",[3]Entry!$M$878)</f>
        <v/>
      </c>
      <c r="AL875" t="str">
        <f>IF([3]Entry!$N$878="","",[3]Entry!$N$878)</f>
        <v/>
      </c>
      <c r="AM875" t="str">
        <f>IF([3]Entry!$R$878="","",[3]Entry!$R$878)</f>
        <v/>
      </c>
    </row>
    <row r="876" spans="20:39" x14ac:dyDescent="0.2">
      <c r="T876" t="str">
        <f>IF([2]Baskol!$B$879="","",[2]Baskol!$B$879)</f>
        <v/>
      </c>
      <c r="U876" t="str">
        <f>IF([2]Baskol!$C$879="","",[2]Baskol!$C$879)</f>
        <v/>
      </c>
      <c r="V876" t="str">
        <f>IF([2]Baskol!$D$879="","",[2]Baskol!$D$879)</f>
        <v/>
      </c>
      <c r="W876" t="str">
        <f>IF([2]Baskol!$E$879="","",[2]Baskol!$E$879)</f>
        <v/>
      </c>
      <c r="X876" t="str">
        <f>IF([2]Baskol!$G$879="","",[2]Baskol!$G$879)</f>
        <v/>
      </c>
      <c r="Y876" t="str">
        <f>IF([2]Baskol!$I$879="","",[2]Baskol!$I$879)</f>
        <v/>
      </c>
      <c r="Z876" t="str">
        <f>IF([2]Baskol!$J$879="","",[2]Baskol!$J$879)</f>
        <v/>
      </c>
      <c r="AA876" t="str">
        <f>IF([2]Baskol!$K$879="","",[2]Baskol!$K$879)</f>
        <v/>
      </c>
      <c r="AB876" t="str">
        <f>IF([2]Baskol!$L$879="","",[2]Baskol!$L$879)</f>
        <v/>
      </c>
      <c r="AC876" t="str">
        <f>IF([2]Baskol!$N$879="","",[2]Baskol!$N$879)</f>
        <v/>
      </c>
      <c r="AD876" t="str">
        <f>IF([2]Baskol!$O$879="","",[2]Baskol!$O$879)</f>
        <v/>
      </c>
      <c r="AE876" t="str">
        <f>IF([3]Entry!$C$879="","",[3]Entry!$C$879)</f>
        <v/>
      </c>
      <c r="AF876" t="str">
        <f>IF([3]Entry!$D$879="","",[3]Entry!$D$879)</f>
        <v/>
      </c>
      <c r="AG876" t="str">
        <f>IF([3]Entry!$E$879="","",[3]Entry!$E$879)</f>
        <v/>
      </c>
      <c r="AH876" t="str">
        <f>IF([3]Entry!$G$879="","",[3]Entry!$G$879)</f>
        <v/>
      </c>
      <c r="AI876" t="str">
        <f>IF([3]Entry!$K$879="","",[3]Entry!$K$879)</f>
        <v/>
      </c>
      <c r="AJ876" t="str">
        <f>IF([3]Entry!$L$879="","",[3]Entry!$L$879)</f>
        <v/>
      </c>
      <c r="AK876" t="str">
        <f>IF([3]Entry!$M$879="","",[3]Entry!$M$879)</f>
        <v/>
      </c>
      <c r="AL876" t="str">
        <f>IF([3]Entry!$N$879="","",[3]Entry!$N$879)</f>
        <v/>
      </c>
      <c r="AM876" t="str">
        <f>IF([3]Entry!$R$879="","",[3]Entry!$R$879)</f>
        <v/>
      </c>
    </row>
    <row r="877" spans="20:39" x14ac:dyDescent="0.2">
      <c r="T877" t="str">
        <f>IF([2]Baskol!$B$880="","",[2]Baskol!$B$880)</f>
        <v/>
      </c>
      <c r="U877" t="str">
        <f>IF([2]Baskol!$C$880="","",[2]Baskol!$C$880)</f>
        <v/>
      </c>
      <c r="V877" t="str">
        <f>IF([2]Baskol!$D$880="","",[2]Baskol!$D$880)</f>
        <v/>
      </c>
      <c r="W877" t="str">
        <f>IF([2]Baskol!$E$880="","",[2]Baskol!$E$880)</f>
        <v/>
      </c>
      <c r="X877" t="str">
        <f>IF([2]Baskol!$G$880="","",[2]Baskol!$G$880)</f>
        <v/>
      </c>
      <c r="Y877" t="str">
        <f>IF([2]Baskol!$I$880="","",[2]Baskol!$I$880)</f>
        <v/>
      </c>
      <c r="Z877" t="str">
        <f>IF([2]Baskol!$J$880="","",[2]Baskol!$J$880)</f>
        <v/>
      </c>
      <c r="AA877" t="str">
        <f>IF([2]Baskol!$K$880="","",[2]Baskol!$K$880)</f>
        <v/>
      </c>
      <c r="AB877" t="str">
        <f>IF([2]Baskol!$L$880="","",[2]Baskol!$L$880)</f>
        <v/>
      </c>
      <c r="AC877" t="str">
        <f>IF([2]Baskol!$N$880="","",[2]Baskol!$N$880)</f>
        <v/>
      </c>
      <c r="AD877" t="str">
        <f>IF([2]Baskol!$O$880="","",[2]Baskol!$O$880)</f>
        <v/>
      </c>
      <c r="AE877" t="str">
        <f>IF([3]Entry!$C$880="","",[3]Entry!$C$880)</f>
        <v/>
      </c>
      <c r="AF877" t="str">
        <f>IF([3]Entry!$D$880="","",[3]Entry!$D$880)</f>
        <v/>
      </c>
      <c r="AG877" t="str">
        <f>IF([3]Entry!$E$880="","",[3]Entry!$E$880)</f>
        <v/>
      </c>
      <c r="AH877" t="str">
        <f>IF([3]Entry!$G$880="","",[3]Entry!$G$880)</f>
        <v/>
      </c>
      <c r="AI877" t="str">
        <f>IF([3]Entry!$K$880="","",[3]Entry!$K$880)</f>
        <v/>
      </c>
      <c r="AJ877" t="str">
        <f>IF([3]Entry!$L$880="","",[3]Entry!$L$880)</f>
        <v/>
      </c>
      <c r="AK877" t="str">
        <f>IF([3]Entry!$M$880="","",[3]Entry!$M$880)</f>
        <v/>
      </c>
      <c r="AL877" t="str">
        <f>IF([3]Entry!$N$880="","",[3]Entry!$N$880)</f>
        <v/>
      </c>
      <c r="AM877" t="str">
        <f>IF([3]Entry!$R$880="","",[3]Entry!$R$880)</f>
        <v/>
      </c>
    </row>
    <row r="878" spans="20:39" x14ac:dyDescent="0.2">
      <c r="T878" t="str">
        <f>IF([2]Baskol!$B$881="","",[2]Baskol!$B$881)</f>
        <v/>
      </c>
      <c r="U878" t="str">
        <f>IF([2]Baskol!$C$881="","",[2]Baskol!$C$881)</f>
        <v/>
      </c>
      <c r="V878" t="str">
        <f>IF([2]Baskol!$D$881="","",[2]Baskol!$D$881)</f>
        <v/>
      </c>
      <c r="W878" t="str">
        <f>IF([2]Baskol!$E$881="","",[2]Baskol!$E$881)</f>
        <v/>
      </c>
      <c r="X878" t="str">
        <f>IF([2]Baskol!$G$881="","",[2]Baskol!$G$881)</f>
        <v/>
      </c>
      <c r="Y878" t="str">
        <f>IF([2]Baskol!$I$881="","",[2]Baskol!$I$881)</f>
        <v/>
      </c>
      <c r="Z878" t="str">
        <f>IF([2]Baskol!$J$881="","",[2]Baskol!$J$881)</f>
        <v/>
      </c>
      <c r="AA878" t="str">
        <f>IF([2]Baskol!$K$881="","",[2]Baskol!$K$881)</f>
        <v/>
      </c>
      <c r="AB878" t="str">
        <f>IF([2]Baskol!$L$881="","",[2]Baskol!$L$881)</f>
        <v/>
      </c>
      <c r="AC878" t="str">
        <f>IF([2]Baskol!$N$881="","",[2]Baskol!$N$881)</f>
        <v/>
      </c>
      <c r="AD878" t="str">
        <f>IF([2]Baskol!$O$881="","",[2]Baskol!$O$881)</f>
        <v/>
      </c>
      <c r="AE878" t="str">
        <f>IF([3]Entry!$C$881="","",[3]Entry!$C$881)</f>
        <v/>
      </c>
      <c r="AF878" t="str">
        <f>IF([3]Entry!$D$881="","",[3]Entry!$D$881)</f>
        <v/>
      </c>
      <c r="AG878" t="str">
        <f>IF([3]Entry!$E$881="","",[3]Entry!$E$881)</f>
        <v/>
      </c>
      <c r="AH878" t="str">
        <f>IF([3]Entry!$G$881="","",[3]Entry!$G$881)</f>
        <v/>
      </c>
      <c r="AI878" t="str">
        <f>IF([3]Entry!$K$881="","",[3]Entry!$K$881)</f>
        <v/>
      </c>
      <c r="AJ878" t="str">
        <f>IF([3]Entry!$L$881="","",[3]Entry!$L$881)</f>
        <v/>
      </c>
      <c r="AK878" t="str">
        <f>IF([3]Entry!$M$881="","",[3]Entry!$M$881)</f>
        <v/>
      </c>
      <c r="AL878" t="str">
        <f>IF([3]Entry!$N$881="","",[3]Entry!$N$881)</f>
        <v/>
      </c>
      <c r="AM878" t="str">
        <f>IF([3]Entry!$R$881="","",[3]Entry!$R$881)</f>
        <v/>
      </c>
    </row>
    <row r="879" spans="20:39" x14ac:dyDescent="0.2">
      <c r="T879" t="str">
        <f>IF([2]Baskol!$B$882="","",[2]Baskol!$B$882)</f>
        <v/>
      </c>
      <c r="U879" t="str">
        <f>IF([2]Baskol!$C$882="","",[2]Baskol!$C$882)</f>
        <v/>
      </c>
      <c r="V879" t="str">
        <f>IF([2]Baskol!$D$882="","",[2]Baskol!$D$882)</f>
        <v/>
      </c>
      <c r="W879" t="str">
        <f>IF([2]Baskol!$E$882="","",[2]Baskol!$E$882)</f>
        <v/>
      </c>
      <c r="X879" t="str">
        <f>IF([2]Baskol!$G$882="","",[2]Baskol!$G$882)</f>
        <v/>
      </c>
      <c r="Y879" t="str">
        <f>IF([2]Baskol!$I$882="","",[2]Baskol!$I$882)</f>
        <v/>
      </c>
      <c r="Z879" t="str">
        <f>IF([2]Baskol!$J$882="","",[2]Baskol!$J$882)</f>
        <v/>
      </c>
      <c r="AA879" t="str">
        <f>IF([2]Baskol!$K$882="","",[2]Baskol!$K$882)</f>
        <v/>
      </c>
      <c r="AB879" t="str">
        <f>IF([2]Baskol!$L$882="","",[2]Baskol!$L$882)</f>
        <v/>
      </c>
      <c r="AC879" t="str">
        <f>IF([2]Baskol!$N$882="","",[2]Baskol!$N$882)</f>
        <v/>
      </c>
      <c r="AD879" t="str">
        <f>IF([2]Baskol!$O$882="","",[2]Baskol!$O$882)</f>
        <v/>
      </c>
      <c r="AE879" t="str">
        <f>IF([3]Entry!$C$882="","",[3]Entry!$C$882)</f>
        <v/>
      </c>
      <c r="AF879" t="str">
        <f>IF([3]Entry!$D$882="","",[3]Entry!$D$882)</f>
        <v/>
      </c>
      <c r="AG879" t="str">
        <f>IF([3]Entry!$E$882="","",[3]Entry!$E$882)</f>
        <v/>
      </c>
      <c r="AH879" t="str">
        <f>IF([3]Entry!$G$882="","",[3]Entry!$G$882)</f>
        <v/>
      </c>
      <c r="AI879" t="str">
        <f>IF([3]Entry!$K$882="","",[3]Entry!$K$882)</f>
        <v/>
      </c>
      <c r="AJ879" t="str">
        <f>IF([3]Entry!$L$882="","",[3]Entry!$L$882)</f>
        <v/>
      </c>
      <c r="AK879" t="str">
        <f>IF([3]Entry!$M$882="","",[3]Entry!$M$882)</f>
        <v/>
      </c>
      <c r="AL879" t="str">
        <f>IF([3]Entry!$N$882="","",[3]Entry!$N$882)</f>
        <v/>
      </c>
      <c r="AM879" t="str">
        <f>IF([3]Entry!$R$882="","",[3]Entry!$R$882)</f>
        <v/>
      </c>
    </row>
    <row r="880" spans="20:39" x14ac:dyDescent="0.2">
      <c r="T880" t="str">
        <f>IF([2]Baskol!$B$883="","",[2]Baskol!$B$883)</f>
        <v/>
      </c>
      <c r="U880" t="str">
        <f>IF([2]Baskol!$C$883="","",[2]Baskol!$C$883)</f>
        <v/>
      </c>
      <c r="V880" t="str">
        <f>IF([2]Baskol!$D$883="","",[2]Baskol!$D$883)</f>
        <v/>
      </c>
      <c r="W880" t="str">
        <f>IF([2]Baskol!$E$883="","",[2]Baskol!$E$883)</f>
        <v/>
      </c>
      <c r="X880" t="str">
        <f>IF([2]Baskol!$G$883="","",[2]Baskol!$G$883)</f>
        <v/>
      </c>
      <c r="Y880" t="str">
        <f>IF([2]Baskol!$I$883="","",[2]Baskol!$I$883)</f>
        <v/>
      </c>
      <c r="Z880" t="str">
        <f>IF([2]Baskol!$J$883="","",[2]Baskol!$J$883)</f>
        <v/>
      </c>
      <c r="AA880" t="str">
        <f>IF([2]Baskol!$K$883="","",[2]Baskol!$K$883)</f>
        <v/>
      </c>
      <c r="AB880" t="str">
        <f>IF([2]Baskol!$L$883="","",[2]Baskol!$L$883)</f>
        <v/>
      </c>
      <c r="AC880" t="str">
        <f>IF([2]Baskol!$N$883="","",[2]Baskol!$N$883)</f>
        <v/>
      </c>
      <c r="AD880" t="str">
        <f>IF([2]Baskol!$O$883="","",[2]Baskol!$O$883)</f>
        <v/>
      </c>
      <c r="AE880" t="str">
        <f>IF([3]Entry!$C$883="","",[3]Entry!$C$883)</f>
        <v/>
      </c>
      <c r="AF880" t="str">
        <f>IF([3]Entry!$D$883="","",[3]Entry!$D$883)</f>
        <v/>
      </c>
      <c r="AG880" t="str">
        <f>IF([3]Entry!$E$883="","",[3]Entry!$E$883)</f>
        <v/>
      </c>
      <c r="AH880" t="str">
        <f>IF([3]Entry!$G$883="","",[3]Entry!$G$883)</f>
        <v/>
      </c>
      <c r="AI880" t="str">
        <f>IF([3]Entry!$K$883="","",[3]Entry!$K$883)</f>
        <v/>
      </c>
      <c r="AJ880" t="str">
        <f>IF([3]Entry!$L$883="","",[3]Entry!$L$883)</f>
        <v/>
      </c>
      <c r="AK880" t="str">
        <f>IF([3]Entry!$M$883="","",[3]Entry!$M$883)</f>
        <v/>
      </c>
      <c r="AL880" t="str">
        <f>IF([3]Entry!$N$883="","",[3]Entry!$N$883)</f>
        <v/>
      </c>
      <c r="AM880" t="str">
        <f>IF([3]Entry!$R$883="","",[3]Entry!$R$883)</f>
        <v/>
      </c>
    </row>
    <row r="881" spans="20:39" x14ac:dyDescent="0.2">
      <c r="T881" t="str">
        <f>IF([2]Baskol!$B$884="","",[2]Baskol!$B$884)</f>
        <v/>
      </c>
      <c r="U881" t="str">
        <f>IF([2]Baskol!$C$884="","",[2]Baskol!$C$884)</f>
        <v/>
      </c>
      <c r="V881" t="str">
        <f>IF([2]Baskol!$D$884="","",[2]Baskol!$D$884)</f>
        <v/>
      </c>
      <c r="W881" t="str">
        <f>IF([2]Baskol!$E$884="","",[2]Baskol!$E$884)</f>
        <v/>
      </c>
      <c r="X881" t="str">
        <f>IF([2]Baskol!$G$884="","",[2]Baskol!$G$884)</f>
        <v/>
      </c>
      <c r="Y881" t="str">
        <f>IF([2]Baskol!$I$884="","",[2]Baskol!$I$884)</f>
        <v/>
      </c>
      <c r="Z881" t="str">
        <f>IF([2]Baskol!$J$884="","",[2]Baskol!$J$884)</f>
        <v/>
      </c>
      <c r="AA881" t="str">
        <f>IF([2]Baskol!$K$884="","",[2]Baskol!$K$884)</f>
        <v/>
      </c>
      <c r="AB881" t="str">
        <f>IF([2]Baskol!$L$884="","",[2]Baskol!$L$884)</f>
        <v/>
      </c>
      <c r="AC881" t="str">
        <f>IF([2]Baskol!$N$884="","",[2]Baskol!$N$884)</f>
        <v/>
      </c>
      <c r="AD881" t="str">
        <f>IF([2]Baskol!$O$884="","",[2]Baskol!$O$884)</f>
        <v/>
      </c>
      <c r="AE881" t="str">
        <f>IF([3]Entry!$C$884="","",[3]Entry!$C$884)</f>
        <v/>
      </c>
      <c r="AF881" t="str">
        <f>IF([3]Entry!$D$884="","",[3]Entry!$D$884)</f>
        <v/>
      </c>
      <c r="AG881" t="str">
        <f>IF([3]Entry!$E$884="","",[3]Entry!$E$884)</f>
        <v/>
      </c>
      <c r="AH881" t="str">
        <f>IF([3]Entry!$G$884="","",[3]Entry!$G$884)</f>
        <v/>
      </c>
      <c r="AI881" t="str">
        <f>IF([3]Entry!$K$884="","",[3]Entry!$K$884)</f>
        <v/>
      </c>
      <c r="AJ881" t="str">
        <f>IF([3]Entry!$L$884="","",[3]Entry!$L$884)</f>
        <v/>
      </c>
      <c r="AK881" t="str">
        <f>IF([3]Entry!$M$884="","",[3]Entry!$M$884)</f>
        <v/>
      </c>
      <c r="AL881" t="str">
        <f>IF([3]Entry!$N$884="","",[3]Entry!$N$884)</f>
        <v/>
      </c>
      <c r="AM881" t="str">
        <f>IF([3]Entry!$R$884="","",[3]Entry!$R$884)</f>
        <v/>
      </c>
    </row>
    <row r="882" spans="20:39" x14ac:dyDescent="0.2">
      <c r="T882" t="str">
        <f>IF([2]Baskol!$B$885="","",[2]Baskol!$B$885)</f>
        <v/>
      </c>
      <c r="U882" t="str">
        <f>IF([2]Baskol!$C$885="","",[2]Baskol!$C$885)</f>
        <v/>
      </c>
      <c r="V882" t="str">
        <f>IF([2]Baskol!$D$885="","",[2]Baskol!$D$885)</f>
        <v/>
      </c>
      <c r="W882" t="str">
        <f>IF([2]Baskol!$E$885="","",[2]Baskol!$E$885)</f>
        <v/>
      </c>
      <c r="X882" t="str">
        <f>IF([2]Baskol!$G$885="","",[2]Baskol!$G$885)</f>
        <v/>
      </c>
      <c r="Y882" t="str">
        <f>IF([2]Baskol!$I$885="","",[2]Baskol!$I$885)</f>
        <v/>
      </c>
      <c r="Z882" t="str">
        <f>IF([2]Baskol!$J$885="","",[2]Baskol!$J$885)</f>
        <v/>
      </c>
      <c r="AA882" t="str">
        <f>IF([2]Baskol!$K$885="","",[2]Baskol!$K$885)</f>
        <v/>
      </c>
      <c r="AB882" t="str">
        <f>IF([2]Baskol!$L$885="","",[2]Baskol!$L$885)</f>
        <v/>
      </c>
      <c r="AC882" t="str">
        <f>IF([2]Baskol!$N$885="","",[2]Baskol!$N$885)</f>
        <v/>
      </c>
      <c r="AD882" t="str">
        <f>IF([2]Baskol!$O$885="","",[2]Baskol!$O$885)</f>
        <v/>
      </c>
      <c r="AE882" t="str">
        <f>IF([3]Entry!$C$885="","",[3]Entry!$C$885)</f>
        <v/>
      </c>
      <c r="AF882" t="str">
        <f>IF([3]Entry!$D$885="","",[3]Entry!$D$885)</f>
        <v/>
      </c>
      <c r="AG882" t="str">
        <f>IF([3]Entry!$E$885="","",[3]Entry!$E$885)</f>
        <v/>
      </c>
      <c r="AH882" t="str">
        <f>IF([3]Entry!$G$885="","",[3]Entry!$G$885)</f>
        <v/>
      </c>
      <c r="AI882" t="str">
        <f>IF([3]Entry!$K$885="","",[3]Entry!$K$885)</f>
        <v/>
      </c>
      <c r="AJ882" t="str">
        <f>IF([3]Entry!$L$885="","",[3]Entry!$L$885)</f>
        <v/>
      </c>
      <c r="AK882" t="str">
        <f>IF([3]Entry!$M$885="","",[3]Entry!$M$885)</f>
        <v/>
      </c>
      <c r="AL882" t="str">
        <f>IF([3]Entry!$N$885="","",[3]Entry!$N$885)</f>
        <v/>
      </c>
      <c r="AM882" t="str">
        <f>IF([3]Entry!$R$885="","",[3]Entry!$R$885)</f>
        <v/>
      </c>
    </row>
    <row r="883" spans="20:39" x14ac:dyDescent="0.2">
      <c r="T883" t="str">
        <f>IF([2]Baskol!$B$886="","",[2]Baskol!$B$886)</f>
        <v/>
      </c>
      <c r="U883" t="str">
        <f>IF([2]Baskol!$C$886="","",[2]Baskol!$C$886)</f>
        <v/>
      </c>
      <c r="V883" t="str">
        <f>IF([2]Baskol!$D$886="","",[2]Baskol!$D$886)</f>
        <v/>
      </c>
      <c r="W883" t="str">
        <f>IF([2]Baskol!$E$886="","",[2]Baskol!$E$886)</f>
        <v/>
      </c>
      <c r="X883" t="str">
        <f>IF([2]Baskol!$G$886="","",[2]Baskol!$G$886)</f>
        <v/>
      </c>
      <c r="Y883" t="str">
        <f>IF([2]Baskol!$I$886="","",[2]Baskol!$I$886)</f>
        <v/>
      </c>
      <c r="Z883" t="str">
        <f>IF([2]Baskol!$J$886="","",[2]Baskol!$J$886)</f>
        <v/>
      </c>
      <c r="AA883" t="str">
        <f>IF([2]Baskol!$K$886="","",[2]Baskol!$K$886)</f>
        <v/>
      </c>
      <c r="AB883" t="str">
        <f>IF([2]Baskol!$L$886="","",[2]Baskol!$L$886)</f>
        <v/>
      </c>
      <c r="AC883" t="str">
        <f>IF([2]Baskol!$N$886="","",[2]Baskol!$N$886)</f>
        <v/>
      </c>
      <c r="AD883" t="str">
        <f>IF([2]Baskol!$O$886="","",[2]Baskol!$O$886)</f>
        <v/>
      </c>
      <c r="AE883" t="str">
        <f>IF([3]Entry!$C$886="","",[3]Entry!$C$886)</f>
        <v/>
      </c>
      <c r="AF883" t="str">
        <f>IF([3]Entry!$D$886="","",[3]Entry!$D$886)</f>
        <v/>
      </c>
      <c r="AG883" t="str">
        <f>IF([3]Entry!$E$886="","",[3]Entry!$E$886)</f>
        <v/>
      </c>
      <c r="AH883" t="str">
        <f>IF([3]Entry!$G$886="","",[3]Entry!$G$886)</f>
        <v/>
      </c>
      <c r="AI883" t="str">
        <f>IF([3]Entry!$K$886="","",[3]Entry!$K$886)</f>
        <v/>
      </c>
      <c r="AJ883" t="str">
        <f>IF([3]Entry!$L$886="","",[3]Entry!$L$886)</f>
        <v/>
      </c>
      <c r="AK883" t="str">
        <f>IF([3]Entry!$M$886="","",[3]Entry!$M$886)</f>
        <v/>
      </c>
      <c r="AL883" t="str">
        <f>IF([3]Entry!$N$886="","",[3]Entry!$N$886)</f>
        <v/>
      </c>
      <c r="AM883" t="str">
        <f>IF([3]Entry!$R$886="","",[3]Entry!$R$886)</f>
        <v/>
      </c>
    </row>
    <row r="884" spans="20:39" x14ac:dyDescent="0.2">
      <c r="T884" t="str">
        <f>IF([2]Baskol!$B$887="","",[2]Baskol!$B$887)</f>
        <v/>
      </c>
      <c r="U884" t="str">
        <f>IF([2]Baskol!$C$887="","",[2]Baskol!$C$887)</f>
        <v/>
      </c>
      <c r="V884" t="str">
        <f>IF([2]Baskol!$D$887="","",[2]Baskol!$D$887)</f>
        <v/>
      </c>
      <c r="W884" t="str">
        <f>IF([2]Baskol!$E$887="","",[2]Baskol!$E$887)</f>
        <v/>
      </c>
      <c r="X884" t="str">
        <f>IF([2]Baskol!$G$887="","",[2]Baskol!$G$887)</f>
        <v/>
      </c>
      <c r="Y884" t="str">
        <f>IF([2]Baskol!$I$887="","",[2]Baskol!$I$887)</f>
        <v/>
      </c>
      <c r="Z884" t="str">
        <f>IF([2]Baskol!$J$887="","",[2]Baskol!$J$887)</f>
        <v/>
      </c>
      <c r="AA884" t="str">
        <f>IF([2]Baskol!$K$887="","",[2]Baskol!$K$887)</f>
        <v/>
      </c>
      <c r="AB884" t="str">
        <f>IF([2]Baskol!$L$887="","",[2]Baskol!$L$887)</f>
        <v/>
      </c>
      <c r="AC884" t="str">
        <f>IF([2]Baskol!$N$887="","",[2]Baskol!$N$887)</f>
        <v/>
      </c>
      <c r="AD884" t="str">
        <f>IF([2]Baskol!$O$887="","",[2]Baskol!$O$887)</f>
        <v/>
      </c>
      <c r="AE884" t="str">
        <f>IF([3]Entry!$C$887="","",[3]Entry!$C$887)</f>
        <v/>
      </c>
      <c r="AF884" t="str">
        <f>IF([3]Entry!$D$887="","",[3]Entry!$D$887)</f>
        <v/>
      </c>
      <c r="AG884" t="str">
        <f>IF([3]Entry!$E$887="","",[3]Entry!$E$887)</f>
        <v/>
      </c>
      <c r="AH884" t="str">
        <f>IF([3]Entry!$G$887="","",[3]Entry!$G$887)</f>
        <v/>
      </c>
      <c r="AI884" t="str">
        <f>IF([3]Entry!$K$887="","",[3]Entry!$K$887)</f>
        <v/>
      </c>
      <c r="AJ884" t="str">
        <f>IF([3]Entry!$L$887="","",[3]Entry!$L$887)</f>
        <v/>
      </c>
      <c r="AK884" t="str">
        <f>IF([3]Entry!$M$887="","",[3]Entry!$M$887)</f>
        <v/>
      </c>
      <c r="AL884" t="str">
        <f>IF([3]Entry!$N$887="","",[3]Entry!$N$887)</f>
        <v/>
      </c>
      <c r="AM884" t="str">
        <f>IF([3]Entry!$R$887="","",[3]Entry!$R$887)</f>
        <v/>
      </c>
    </row>
    <row r="885" spans="20:39" x14ac:dyDescent="0.2">
      <c r="T885" t="str">
        <f>IF([2]Baskol!$B$888="","",[2]Baskol!$B$888)</f>
        <v/>
      </c>
      <c r="U885" t="str">
        <f>IF([2]Baskol!$C$888="","",[2]Baskol!$C$888)</f>
        <v/>
      </c>
      <c r="V885" t="str">
        <f>IF([2]Baskol!$D$888="","",[2]Baskol!$D$888)</f>
        <v/>
      </c>
      <c r="W885" t="str">
        <f>IF([2]Baskol!$E$888="","",[2]Baskol!$E$888)</f>
        <v/>
      </c>
      <c r="X885" t="str">
        <f>IF([2]Baskol!$G$888="","",[2]Baskol!$G$888)</f>
        <v/>
      </c>
      <c r="Y885" t="str">
        <f>IF([2]Baskol!$I$888="","",[2]Baskol!$I$888)</f>
        <v/>
      </c>
      <c r="Z885" t="str">
        <f>IF([2]Baskol!$J$888="","",[2]Baskol!$J$888)</f>
        <v/>
      </c>
      <c r="AA885" t="str">
        <f>IF([2]Baskol!$K$888="","",[2]Baskol!$K$888)</f>
        <v/>
      </c>
      <c r="AB885" t="str">
        <f>IF([2]Baskol!$L$888="","",[2]Baskol!$L$888)</f>
        <v/>
      </c>
      <c r="AC885" t="str">
        <f>IF([2]Baskol!$N$888="","",[2]Baskol!$N$888)</f>
        <v/>
      </c>
      <c r="AD885" t="str">
        <f>IF([2]Baskol!$O$888="","",[2]Baskol!$O$888)</f>
        <v/>
      </c>
      <c r="AE885" t="str">
        <f>IF([3]Entry!$C$888="","",[3]Entry!$C$888)</f>
        <v/>
      </c>
      <c r="AF885" t="str">
        <f>IF([3]Entry!$D$888="","",[3]Entry!$D$888)</f>
        <v/>
      </c>
      <c r="AG885" t="str">
        <f>IF([3]Entry!$E$888="","",[3]Entry!$E$888)</f>
        <v/>
      </c>
      <c r="AH885" t="str">
        <f>IF([3]Entry!$G$888="","",[3]Entry!$G$888)</f>
        <v/>
      </c>
      <c r="AI885" t="str">
        <f>IF([3]Entry!$K$888="","",[3]Entry!$K$888)</f>
        <v/>
      </c>
      <c r="AJ885" t="str">
        <f>IF([3]Entry!$L$888="","",[3]Entry!$L$888)</f>
        <v/>
      </c>
      <c r="AK885" t="str">
        <f>IF([3]Entry!$M$888="","",[3]Entry!$M$888)</f>
        <v/>
      </c>
      <c r="AL885" t="str">
        <f>IF([3]Entry!$N$888="","",[3]Entry!$N$888)</f>
        <v/>
      </c>
      <c r="AM885" t="str">
        <f>IF([3]Entry!$R$888="","",[3]Entry!$R$888)</f>
        <v/>
      </c>
    </row>
    <row r="886" spans="20:39" x14ac:dyDescent="0.2">
      <c r="T886" t="str">
        <f>IF([2]Baskol!$B$889="","",[2]Baskol!$B$889)</f>
        <v/>
      </c>
      <c r="U886" t="str">
        <f>IF([2]Baskol!$C$889="","",[2]Baskol!$C$889)</f>
        <v/>
      </c>
      <c r="V886" t="str">
        <f>IF([2]Baskol!$D$889="","",[2]Baskol!$D$889)</f>
        <v/>
      </c>
      <c r="W886" t="str">
        <f>IF([2]Baskol!$E$889="","",[2]Baskol!$E$889)</f>
        <v/>
      </c>
      <c r="X886" t="str">
        <f>IF([2]Baskol!$G$889="","",[2]Baskol!$G$889)</f>
        <v/>
      </c>
      <c r="Y886" t="str">
        <f>IF([2]Baskol!$I$889="","",[2]Baskol!$I$889)</f>
        <v/>
      </c>
      <c r="Z886" t="str">
        <f>IF([2]Baskol!$J$889="","",[2]Baskol!$J$889)</f>
        <v/>
      </c>
      <c r="AA886" t="str">
        <f>IF([2]Baskol!$K$889="","",[2]Baskol!$K$889)</f>
        <v/>
      </c>
      <c r="AB886" t="str">
        <f>IF([2]Baskol!$L$889="","",[2]Baskol!$L$889)</f>
        <v/>
      </c>
      <c r="AC886" t="str">
        <f>IF([2]Baskol!$N$889="","",[2]Baskol!$N$889)</f>
        <v/>
      </c>
      <c r="AD886" t="str">
        <f>IF([2]Baskol!$O$889="","",[2]Baskol!$O$889)</f>
        <v/>
      </c>
      <c r="AE886" t="str">
        <f>IF([3]Entry!$C$889="","",[3]Entry!$C$889)</f>
        <v/>
      </c>
      <c r="AF886" t="str">
        <f>IF([3]Entry!$D$889="","",[3]Entry!$D$889)</f>
        <v/>
      </c>
      <c r="AG886" t="str">
        <f>IF([3]Entry!$E$889="","",[3]Entry!$E$889)</f>
        <v/>
      </c>
      <c r="AH886" t="str">
        <f>IF([3]Entry!$G$889="","",[3]Entry!$G$889)</f>
        <v/>
      </c>
      <c r="AI886" t="str">
        <f>IF([3]Entry!$K$889="","",[3]Entry!$K$889)</f>
        <v/>
      </c>
      <c r="AJ886" t="str">
        <f>IF([3]Entry!$L$889="","",[3]Entry!$L$889)</f>
        <v/>
      </c>
      <c r="AK886" t="str">
        <f>IF([3]Entry!$M$889="","",[3]Entry!$M$889)</f>
        <v/>
      </c>
      <c r="AL886" t="str">
        <f>IF([3]Entry!$N$889="","",[3]Entry!$N$889)</f>
        <v/>
      </c>
      <c r="AM886" t="str">
        <f>IF([3]Entry!$R$889="","",[3]Entry!$R$889)</f>
        <v/>
      </c>
    </row>
    <row r="887" spans="20:39" x14ac:dyDescent="0.2">
      <c r="T887" t="str">
        <f>IF([2]Baskol!$B$890="","",[2]Baskol!$B$890)</f>
        <v/>
      </c>
      <c r="U887" t="str">
        <f>IF([2]Baskol!$C$890="","",[2]Baskol!$C$890)</f>
        <v/>
      </c>
      <c r="V887" t="str">
        <f>IF([2]Baskol!$D$890="","",[2]Baskol!$D$890)</f>
        <v/>
      </c>
      <c r="W887" t="str">
        <f>IF([2]Baskol!$E$890="","",[2]Baskol!$E$890)</f>
        <v/>
      </c>
      <c r="X887" t="str">
        <f>IF([2]Baskol!$G$890="","",[2]Baskol!$G$890)</f>
        <v/>
      </c>
      <c r="Y887" t="str">
        <f>IF([2]Baskol!$I$890="","",[2]Baskol!$I$890)</f>
        <v/>
      </c>
      <c r="Z887" t="str">
        <f>IF([2]Baskol!$J$890="","",[2]Baskol!$J$890)</f>
        <v/>
      </c>
      <c r="AA887" t="str">
        <f>IF([2]Baskol!$K$890="","",[2]Baskol!$K$890)</f>
        <v/>
      </c>
      <c r="AB887" t="str">
        <f>IF([2]Baskol!$L$890="","",[2]Baskol!$L$890)</f>
        <v/>
      </c>
      <c r="AC887" t="str">
        <f>IF([2]Baskol!$N$890="","",[2]Baskol!$N$890)</f>
        <v/>
      </c>
      <c r="AD887" t="str">
        <f>IF([2]Baskol!$O$890="","",[2]Baskol!$O$890)</f>
        <v/>
      </c>
      <c r="AE887" t="str">
        <f>IF([3]Entry!$C$890="","",[3]Entry!$C$890)</f>
        <v/>
      </c>
      <c r="AF887" t="str">
        <f>IF([3]Entry!$D$890="","",[3]Entry!$D$890)</f>
        <v/>
      </c>
      <c r="AG887" t="str">
        <f>IF([3]Entry!$E$890="","",[3]Entry!$E$890)</f>
        <v/>
      </c>
      <c r="AH887" t="str">
        <f>IF([3]Entry!$G$890="","",[3]Entry!$G$890)</f>
        <v/>
      </c>
      <c r="AI887" t="str">
        <f>IF([3]Entry!$K$890="","",[3]Entry!$K$890)</f>
        <v/>
      </c>
      <c r="AJ887" t="str">
        <f>IF([3]Entry!$L$890="","",[3]Entry!$L$890)</f>
        <v/>
      </c>
      <c r="AK887" t="str">
        <f>IF([3]Entry!$M$890="","",[3]Entry!$M$890)</f>
        <v/>
      </c>
      <c r="AL887" t="str">
        <f>IF([3]Entry!$N$890="","",[3]Entry!$N$890)</f>
        <v/>
      </c>
      <c r="AM887" t="str">
        <f>IF([3]Entry!$R$890="","",[3]Entry!$R$890)</f>
        <v/>
      </c>
    </row>
    <row r="888" spans="20:39" x14ac:dyDescent="0.2">
      <c r="T888" t="str">
        <f>IF([2]Baskol!$B$891="","",[2]Baskol!$B$891)</f>
        <v/>
      </c>
      <c r="U888" t="str">
        <f>IF([2]Baskol!$C$891="","",[2]Baskol!$C$891)</f>
        <v/>
      </c>
      <c r="V888" t="str">
        <f>IF([2]Baskol!$D$891="","",[2]Baskol!$D$891)</f>
        <v/>
      </c>
      <c r="W888" t="str">
        <f>IF([2]Baskol!$E$891="","",[2]Baskol!$E$891)</f>
        <v/>
      </c>
      <c r="X888" t="str">
        <f>IF([2]Baskol!$G$891="","",[2]Baskol!$G$891)</f>
        <v/>
      </c>
      <c r="Y888" t="str">
        <f>IF([2]Baskol!$I$891="","",[2]Baskol!$I$891)</f>
        <v/>
      </c>
      <c r="Z888" t="str">
        <f>IF([2]Baskol!$J$891="","",[2]Baskol!$J$891)</f>
        <v/>
      </c>
      <c r="AA888" t="str">
        <f>IF([2]Baskol!$K$891="","",[2]Baskol!$K$891)</f>
        <v/>
      </c>
      <c r="AB888" t="str">
        <f>IF([2]Baskol!$L$891="","",[2]Baskol!$L$891)</f>
        <v/>
      </c>
      <c r="AC888" t="str">
        <f>IF([2]Baskol!$N$891="","",[2]Baskol!$N$891)</f>
        <v/>
      </c>
      <c r="AD888" t="str">
        <f>IF([2]Baskol!$O$891="","",[2]Baskol!$O$891)</f>
        <v/>
      </c>
      <c r="AE888" t="str">
        <f>IF([3]Entry!$C$891="","",[3]Entry!$C$891)</f>
        <v/>
      </c>
      <c r="AF888" t="str">
        <f>IF([3]Entry!$D$891="","",[3]Entry!$D$891)</f>
        <v/>
      </c>
      <c r="AG888" t="str">
        <f>IF([3]Entry!$E$891="","",[3]Entry!$E$891)</f>
        <v/>
      </c>
      <c r="AH888" t="str">
        <f>IF([3]Entry!$G$891="","",[3]Entry!$G$891)</f>
        <v/>
      </c>
      <c r="AI888" t="str">
        <f>IF([3]Entry!$K$891="","",[3]Entry!$K$891)</f>
        <v/>
      </c>
      <c r="AJ888" t="str">
        <f>IF([3]Entry!$L$891="","",[3]Entry!$L$891)</f>
        <v/>
      </c>
      <c r="AK888" t="str">
        <f>IF([3]Entry!$M$891="","",[3]Entry!$M$891)</f>
        <v/>
      </c>
      <c r="AL888" t="str">
        <f>IF([3]Entry!$N$891="","",[3]Entry!$N$891)</f>
        <v/>
      </c>
      <c r="AM888" t="str">
        <f>IF([3]Entry!$R$891="","",[3]Entry!$R$891)</f>
        <v/>
      </c>
    </row>
    <row r="889" spans="20:39" x14ac:dyDescent="0.2">
      <c r="T889" t="str">
        <f>IF([2]Baskol!$B$892="","",[2]Baskol!$B$892)</f>
        <v/>
      </c>
      <c r="U889" t="str">
        <f>IF([2]Baskol!$C$892="","",[2]Baskol!$C$892)</f>
        <v/>
      </c>
      <c r="V889" t="str">
        <f>IF([2]Baskol!$D$892="","",[2]Baskol!$D$892)</f>
        <v/>
      </c>
      <c r="W889" t="str">
        <f>IF([2]Baskol!$E$892="","",[2]Baskol!$E$892)</f>
        <v/>
      </c>
      <c r="X889" t="str">
        <f>IF([2]Baskol!$G$892="","",[2]Baskol!$G$892)</f>
        <v/>
      </c>
      <c r="Y889" t="str">
        <f>IF([2]Baskol!$I$892="","",[2]Baskol!$I$892)</f>
        <v/>
      </c>
      <c r="Z889" t="str">
        <f>IF([2]Baskol!$J$892="","",[2]Baskol!$J$892)</f>
        <v/>
      </c>
      <c r="AA889" t="str">
        <f>IF([2]Baskol!$K$892="","",[2]Baskol!$K$892)</f>
        <v/>
      </c>
      <c r="AB889" t="str">
        <f>IF([2]Baskol!$L$892="","",[2]Baskol!$L$892)</f>
        <v/>
      </c>
      <c r="AC889" t="str">
        <f>IF([2]Baskol!$N$892="","",[2]Baskol!$N$892)</f>
        <v/>
      </c>
      <c r="AD889" t="str">
        <f>IF([2]Baskol!$O$892="","",[2]Baskol!$O$892)</f>
        <v/>
      </c>
      <c r="AE889" t="str">
        <f>IF([3]Entry!$C$892="","",[3]Entry!$C$892)</f>
        <v/>
      </c>
      <c r="AF889" t="str">
        <f>IF([3]Entry!$D$892="","",[3]Entry!$D$892)</f>
        <v/>
      </c>
      <c r="AG889" t="str">
        <f>IF([3]Entry!$E$892="","",[3]Entry!$E$892)</f>
        <v/>
      </c>
      <c r="AH889" t="str">
        <f>IF([3]Entry!$G$892="","",[3]Entry!$G$892)</f>
        <v/>
      </c>
      <c r="AI889" t="str">
        <f>IF([3]Entry!$K$892="","",[3]Entry!$K$892)</f>
        <v/>
      </c>
      <c r="AJ889" t="str">
        <f>IF([3]Entry!$L$892="","",[3]Entry!$L$892)</f>
        <v/>
      </c>
      <c r="AK889" t="str">
        <f>IF([3]Entry!$M$892="","",[3]Entry!$M$892)</f>
        <v/>
      </c>
      <c r="AL889" t="str">
        <f>IF([3]Entry!$N$892="","",[3]Entry!$N$892)</f>
        <v/>
      </c>
      <c r="AM889" t="str">
        <f>IF([3]Entry!$R$892="","",[3]Entry!$R$892)</f>
        <v/>
      </c>
    </row>
    <row r="890" spans="20:39" x14ac:dyDescent="0.2">
      <c r="T890" t="str">
        <f>IF([2]Baskol!$B$893="","",[2]Baskol!$B$893)</f>
        <v/>
      </c>
      <c r="U890" t="str">
        <f>IF([2]Baskol!$C$893="","",[2]Baskol!$C$893)</f>
        <v/>
      </c>
      <c r="V890" t="str">
        <f>IF([2]Baskol!$D$893="","",[2]Baskol!$D$893)</f>
        <v/>
      </c>
      <c r="W890" t="str">
        <f>IF([2]Baskol!$E$893="","",[2]Baskol!$E$893)</f>
        <v/>
      </c>
      <c r="X890" t="str">
        <f>IF([2]Baskol!$G$893="","",[2]Baskol!$G$893)</f>
        <v/>
      </c>
      <c r="Y890" t="str">
        <f>IF([2]Baskol!$I$893="","",[2]Baskol!$I$893)</f>
        <v/>
      </c>
      <c r="Z890" t="str">
        <f>IF([2]Baskol!$J$893="","",[2]Baskol!$J$893)</f>
        <v/>
      </c>
      <c r="AA890" t="str">
        <f>IF([2]Baskol!$K$893="","",[2]Baskol!$K$893)</f>
        <v/>
      </c>
      <c r="AB890" t="str">
        <f>IF([2]Baskol!$L$893="","",[2]Baskol!$L$893)</f>
        <v/>
      </c>
      <c r="AC890" t="str">
        <f>IF([2]Baskol!$N$893="","",[2]Baskol!$N$893)</f>
        <v/>
      </c>
      <c r="AD890" t="str">
        <f>IF([2]Baskol!$O$893="","",[2]Baskol!$O$893)</f>
        <v/>
      </c>
      <c r="AE890" t="str">
        <f>IF([3]Entry!$C$893="","",[3]Entry!$C$893)</f>
        <v/>
      </c>
      <c r="AF890" t="str">
        <f>IF([3]Entry!$D$893="","",[3]Entry!$D$893)</f>
        <v/>
      </c>
      <c r="AG890" t="str">
        <f>IF([3]Entry!$E$893="","",[3]Entry!$E$893)</f>
        <v/>
      </c>
      <c r="AH890" t="str">
        <f>IF([3]Entry!$G$893="","",[3]Entry!$G$893)</f>
        <v/>
      </c>
      <c r="AI890" t="str">
        <f>IF([3]Entry!$K$893="","",[3]Entry!$K$893)</f>
        <v/>
      </c>
      <c r="AJ890" t="str">
        <f>IF([3]Entry!$L$893="","",[3]Entry!$L$893)</f>
        <v/>
      </c>
      <c r="AK890" t="str">
        <f>IF([3]Entry!$M$893="","",[3]Entry!$M$893)</f>
        <v/>
      </c>
      <c r="AL890" t="str">
        <f>IF([3]Entry!$N$893="","",[3]Entry!$N$893)</f>
        <v/>
      </c>
      <c r="AM890" t="str">
        <f>IF([3]Entry!$R$893="","",[3]Entry!$R$893)</f>
        <v/>
      </c>
    </row>
    <row r="891" spans="20:39" x14ac:dyDescent="0.2">
      <c r="T891" t="str">
        <f>IF([2]Baskol!$B$894="","",[2]Baskol!$B$894)</f>
        <v/>
      </c>
      <c r="U891" t="str">
        <f>IF([2]Baskol!$C$894="","",[2]Baskol!$C$894)</f>
        <v/>
      </c>
      <c r="V891" t="str">
        <f>IF([2]Baskol!$D$894="","",[2]Baskol!$D$894)</f>
        <v/>
      </c>
      <c r="W891" t="str">
        <f>IF([2]Baskol!$E$894="","",[2]Baskol!$E$894)</f>
        <v/>
      </c>
      <c r="X891" t="str">
        <f>IF([2]Baskol!$G$894="","",[2]Baskol!$G$894)</f>
        <v/>
      </c>
      <c r="Y891" t="str">
        <f>IF([2]Baskol!$I$894="","",[2]Baskol!$I$894)</f>
        <v/>
      </c>
      <c r="Z891" t="str">
        <f>IF([2]Baskol!$J$894="","",[2]Baskol!$J$894)</f>
        <v/>
      </c>
      <c r="AA891" t="str">
        <f>IF([2]Baskol!$K$894="","",[2]Baskol!$K$894)</f>
        <v/>
      </c>
      <c r="AB891" t="str">
        <f>IF([2]Baskol!$L$894="","",[2]Baskol!$L$894)</f>
        <v/>
      </c>
      <c r="AC891" t="str">
        <f>IF([2]Baskol!$N$894="","",[2]Baskol!$N$894)</f>
        <v/>
      </c>
      <c r="AD891" t="str">
        <f>IF([2]Baskol!$O$894="","",[2]Baskol!$O$894)</f>
        <v/>
      </c>
      <c r="AE891" t="str">
        <f>IF([3]Entry!$C$894="","",[3]Entry!$C$894)</f>
        <v/>
      </c>
      <c r="AF891" t="str">
        <f>IF([3]Entry!$D$894="","",[3]Entry!$D$894)</f>
        <v/>
      </c>
      <c r="AG891" t="str">
        <f>IF([3]Entry!$E$894="","",[3]Entry!$E$894)</f>
        <v/>
      </c>
      <c r="AH891" t="str">
        <f>IF([3]Entry!$G$894="","",[3]Entry!$G$894)</f>
        <v/>
      </c>
      <c r="AI891" t="str">
        <f>IF([3]Entry!$K$894="","",[3]Entry!$K$894)</f>
        <v/>
      </c>
      <c r="AJ891" t="str">
        <f>IF([3]Entry!$L$894="","",[3]Entry!$L$894)</f>
        <v/>
      </c>
      <c r="AK891" t="str">
        <f>IF([3]Entry!$M$894="","",[3]Entry!$M$894)</f>
        <v/>
      </c>
      <c r="AL891" t="str">
        <f>IF([3]Entry!$N$894="","",[3]Entry!$N$894)</f>
        <v/>
      </c>
      <c r="AM891" t="str">
        <f>IF([3]Entry!$R$894="","",[3]Entry!$R$894)</f>
        <v/>
      </c>
    </row>
    <row r="892" spans="20:39" x14ac:dyDescent="0.2">
      <c r="T892" t="str">
        <f>IF([2]Baskol!$B$895="","",[2]Baskol!$B$895)</f>
        <v/>
      </c>
      <c r="U892" t="str">
        <f>IF([2]Baskol!$C$895="","",[2]Baskol!$C$895)</f>
        <v/>
      </c>
      <c r="V892" t="str">
        <f>IF([2]Baskol!$D$895="","",[2]Baskol!$D$895)</f>
        <v/>
      </c>
      <c r="W892" t="str">
        <f>IF([2]Baskol!$E$895="","",[2]Baskol!$E$895)</f>
        <v/>
      </c>
      <c r="X892" t="str">
        <f>IF([2]Baskol!$G$895="","",[2]Baskol!$G$895)</f>
        <v/>
      </c>
      <c r="Y892" t="str">
        <f>IF([2]Baskol!$I$895="","",[2]Baskol!$I$895)</f>
        <v/>
      </c>
      <c r="Z892" t="str">
        <f>IF([2]Baskol!$J$895="","",[2]Baskol!$J$895)</f>
        <v/>
      </c>
      <c r="AA892" t="str">
        <f>IF([2]Baskol!$K$895="","",[2]Baskol!$K$895)</f>
        <v/>
      </c>
      <c r="AB892" t="str">
        <f>IF([2]Baskol!$L$895="","",[2]Baskol!$L$895)</f>
        <v/>
      </c>
      <c r="AC892" t="str">
        <f>IF([2]Baskol!$N$895="","",[2]Baskol!$N$895)</f>
        <v/>
      </c>
      <c r="AD892" t="str">
        <f>IF([2]Baskol!$O$895="","",[2]Baskol!$O$895)</f>
        <v/>
      </c>
      <c r="AE892" t="str">
        <f>IF([3]Entry!$C$895="","",[3]Entry!$C$895)</f>
        <v/>
      </c>
      <c r="AF892" t="str">
        <f>IF([3]Entry!$D$895="","",[3]Entry!$D$895)</f>
        <v/>
      </c>
      <c r="AG892" t="str">
        <f>IF([3]Entry!$E$895="","",[3]Entry!$E$895)</f>
        <v/>
      </c>
      <c r="AH892" t="str">
        <f>IF([3]Entry!$G$895="","",[3]Entry!$G$895)</f>
        <v/>
      </c>
      <c r="AI892" t="str">
        <f>IF([3]Entry!$K$895="","",[3]Entry!$K$895)</f>
        <v/>
      </c>
      <c r="AJ892" t="str">
        <f>IF([3]Entry!$L$895="","",[3]Entry!$L$895)</f>
        <v/>
      </c>
      <c r="AK892" t="str">
        <f>IF([3]Entry!$M$895="","",[3]Entry!$M$895)</f>
        <v/>
      </c>
      <c r="AL892" t="str">
        <f>IF([3]Entry!$N$895="","",[3]Entry!$N$895)</f>
        <v/>
      </c>
      <c r="AM892" t="str">
        <f>IF([3]Entry!$R$895="","",[3]Entry!$R$895)</f>
        <v/>
      </c>
    </row>
    <row r="893" spans="20:39" x14ac:dyDescent="0.2">
      <c r="T893" t="str">
        <f>IF([2]Baskol!$B$896="","",[2]Baskol!$B$896)</f>
        <v/>
      </c>
      <c r="U893" t="str">
        <f>IF([2]Baskol!$C$896="","",[2]Baskol!$C$896)</f>
        <v/>
      </c>
      <c r="V893" t="str">
        <f>IF([2]Baskol!$D$896="","",[2]Baskol!$D$896)</f>
        <v/>
      </c>
      <c r="W893" t="str">
        <f>IF([2]Baskol!$E$896="","",[2]Baskol!$E$896)</f>
        <v/>
      </c>
      <c r="X893" t="str">
        <f>IF([2]Baskol!$G$896="","",[2]Baskol!$G$896)</f>
        <v/>
      </c>
      <c r="Y893" t="str">
        <f>IF([2]Baskol!$I$896="","",[2]Baskol!$I$896)</f>
        <v/>
      </c>
      <c r="Z893" t="str">
        <f>IF([2]Baskol!$J$896="","",[2]Baskol!$J$896)</f>
        <v/>
      </c>
      <c r="AA893" t="str">
        <f>IF([2]Baskol!$K$896="","",[2]Baskol!$K$896)</f>
        <v/>
      </c>
      <c r="AB893" t="str">
        <f>IF([2]Baskol!$L$896="","",[2]Baskol!$L$896)</f>
        <v/>
      </c>
      <c r="AC893" t="str">
        <f>IF([2]Baskol!$N$896="","",[2]Baskol!$N$896)</f>
        <v/>
      </c>
      <c r="AD893" t="str">
        <f>IF([2]Baskol!$O$896="","",[2]Baskol!$O$896)</f>
        <v/>
      </c>
      <c r="AE893" t="str">
        <f>IF([3]Entry!$C$896="","",[3]Entry!$C$896)</f>
        <v/>
      </c>
      <c r="AF893" t="str">
        <f>IF([3]Entry!$D$896="","",[3]Entry!$D$896)</f>
        <v/>
      </c>
      <c r="AG893" t="str">
        <f>IF([3]Entry!$E$896="","",[3]Entry!$E$896)</f>
        <v/>
      </c>
      <c r="AH893" t="str">
        <f>IF([3]Entry!$G$896="","",[3]Entry!$G$896)</f>
        <v/>
      </c>
      <c r="AI893" t="str">
        <f>IF([3]Entry!$K$896="","",[3]Entry!$K$896)</f>
        <v/>
      </c>
      <c r="AJ893" t="str">
        <f>IF([3]Entry!$L$896="","",[3]Entry!$L$896)</f>
        <v/>
      </c>
      <c r="AK893" t="str">
        <f>IF([3]Entry!$M$896="","",[3]Entry!$M$896)</f>
        <v/>
      </c>
      <c r="AL893" t="str">
        <f>IF([3]Entry!$N$896="","",[3]Entry!$N$896)</f>
        <v/>
      </c>
      <c r="AM893" t="str">
        <f>IF([3]Entry!$R$896="","",[3]Entry!$R$896)</f>
        <v/>
      </c>
    </row>
    <row r="894" spans="20:39" x14ac:dyDescent="0.2">
      <c r="T894" t="str">
        <f>IF([2]Baskol!$B$897="","",[2]Baskol!$B$897)</f>
        <v/>
      </c>
      <c r="U894" t="str">
        <f>IF([2]Baskol!$C$897="","",[2]Baskol!$C$897)</f>
        <v/>
      </c>
      <c r="V894" t="str">
        <f>IF([2]Baskol!$D$897="","",[2]Baskol!$D$897)</f>
        <v/>
      </c>
      <c r="W894" t="str">
        <f>IF([2]Baskol!$E$897="","",[2]Baskol!$E$897)</f>
        <v/>
      </c>
      <c r="X894" t="str">
        <f>IF([2]Baskol!$G$897="","",[2]Baskol!$G$897)</f>
        <v/>
      </c>
      <c r="Y894" t="str">
        <f>IF([2]Baskol!$I$897="","",[2]Baskol!$I$897)</f>
        <v/>
      </c>
      <c r="Z894" t="str">
        <f>IF([2]Baskol!$J$897="","",[2]Baskol!$J$897)</f>
        <v/>
      </c>
      <c r="AA894" t="str">
        <f>IF([2]Baskol!$K$897="","",[2]Baskol!$K$897)</f>
        <v/>
      </c>
      <c r="AB894" t="str">
        <f>IF([2]Baskol!$L$897="","",[2]Baskol!$L$897)</f>
        <v/>
      </c>
      <c r="AC894" t="str">
        <f>IF([2]Baskol!$N$897="","",[2]Baskol!$N$897)</f>
        <v/>
      </c>
      <c r="AD894" t="str">
        <f>IF([2]Baskol!$O$897="","",[2]Baskol!$O$897)</f>
        <v/>
      </c>
      <c r="AE894" t="str">
        <f>IF([3]Entry!$C$897="","",[3]Entry!$C$897)</f>
        <v/>
      </c>
      <c r="AF894" t="str">
        <f>IF([3]Entry!$D$897="","",[3]Entry!$D$897)</f>
        <v/>
      </c>
      <c r="AG894" t="str">
        <f>IF([3]Entry!$E$897="","",[3]Entry!$E$897)</f>
        <v/>
      </c>
      <c r="AH894" t="str">
        <f>IF([3]Entry!$G$897="","",[3]Entry!$G$897)</f>
        <v/>
      </c>
      <c r="AI894" t="str">
        <f>IF([3]Entry!$K$897="","",[3]Entry!$K$897)</f>
        <v/>
      </c>
      <c r="AJ894" t="str">
        <f>IF([3]Entry!$L$897="","",[3]Entry!$L$897)</f>
        <v/>
      </c>
      <c r="AK894" t="str">
        <f>IF([3]Entry!$M$897="","",[3]Entry!$M$897)</f>
        <v/>
      </c>
      <c r="AL894" t="str">
        <f>IF([3]Entry!$N$897="","",[3]Entry!$N$897)</f>
        <v/>
      </c>
      <c r="AM894" t="str">
        <f>IF([3]Entry!$R$897="","",[3]Entry!$R$897)</f>
        <v/>
      </c>
    </row>
    <row r="895" spans="20:39" x14ac:dyDescent="0.2">
      <c r="T895" t="str">
        <f>IF([2]Baskol!$B$898="","",[2]Baskol!$B$898)</f>
        <v/>
      </c>
      <c r="U895" t="str">
        <f>IF([2]Baskol!$C$898="","",[2]Baskol!$C$898)</f>
        <v/>
      </c>
      <c r="V895" t="str">
        <f>IF([2]Baskol!$D$898="","",[2]Baskol!$D$898)</f>
        <v/>
      </c>
      <c r="W895" t="str">
        <f>IF([2]Baskol!$E$898="","",[2]Baskol!$E$898)</f>
        <v/>
      </c>
      <c r="X895" t="str">
        <f>IF([2]Baskol!$G$898="","",[2]Baskol!$G$898)</f>
        <v/>
      </c>
      <c r="Y895" t="str">
        <f>IF([2]Baskol!$I$898="","",[2]Baskol!$I$898)</f>
        <v/>
      </c>
      <c r="Z895" t="str">
        <f>IF([2]Baskol!$J$898="","",[2]Baskol!$J$898)</f>
        <v/>
      </c>
      <c r="AA895" t="str">
        <f>IF([2]Baskol!$K$898="","",[2]Baskol!$K$898)</f>
        <v/>
      </c>
      <c r="AB895" t="str">
        <f>IF([2]Baskol!$L$898="","",[2]Baskol!$L$898)</f>
        <v/>
      </c>
      <c r="AC895" t="str">
        <f>IF([2]Baskol!$N$898="","",[2]Baskol!$N$898)</f>
        <v/>
      </c>
      <c r="AD895" t="str">
        <f>IF([2]Baskol!$O$898="","",[2]Baskol!$O$898)</f>
        <v/>
      </c>
      <c r="AE895" t="str">
        <f>IF([3]Entry!$C$898="","",[3]Entry!$C$898)</f>
        <v/>
      </c>
      <c r="AF895" t="str">
        <f>IF([3]Entry!$D$898="","",[3]Entry!$D$898)</f>
        <v/>
      </c>
      <c r="AG895" t="str">
        <f>IF([3]Entry!$E$898="","",[3]Entry!$E$898)</f>
        <v/>
      </c>
      <c r="AH895" t="str">
        <f>IF([3]Entry!$G$898="","",[3]Entry!$G$898)</f>
        <v/>
      </c>
      <c r="AI895" t="str">
        <f>IF([3]Entry!$K$898="","",[3]Entry!$K$898)</f>
        <v/>
      </c>
      <c r="AJ895" t="str">
        <f>IF([3]Entry!$L$898="","",[3]Entry!$L$898)</f>
        <v/>
      </c>
      <c r="AK895" t="str">
        <f>IF([3]Entry!$M$898="","",[3]Entry!$M$898)</f>
        <v/>
      </c>
      <c r="AL895" t="str">
        <f>IF([3]Entry!$N$898="","",[3]Entry!$N$898)</f>
        <v/>
      </c>
      <c r="AM895" t="str">
        <f>IF([3]Entry!$R$898="","",[3]Entry!$R$898)</f>
        <v/>
      </c>
    </row>
    <row r="896" spans="20:39" x14ac:dyDescent="0.2">
      <c r="T896" t="str">
        <f>IF([2]Baskol!$B$899="","",[2]Baskol!$B$899)</f>
        <v/>
      </c>
      <c r="U896" t="str">
        <f>IF([2]Baskol!$C$899="","",[2]Baskol!$C$899)</f>
        <v/>
      </c>
      <c r="V896" t="str">
        <f>IF([2]Baskol!$D$899="","",[2]Baskol!$D$899)</f>
        <v/>
      </c>
      <c r="W896" t="str">
        <f>IF([2]Baskol!$E$899="","",[2]Baskol!$E$899)</f>
        <v/>
      </c>
      <c r="X896" t="str">
        <f>IF([2]Baskol!$G$899="","",[2]Baskol!$G$899)</f>
        <v/>
      </c>
      <c r="Y896" t="str">
        <f>IF([2]Baskol!$I$899="","",[2]Baskol!$I$899)</f>
        <v/>
      </c>
      <c r="Z896" t="str">
        <f>IF([2]Baskol!$J$899="","",[2]Baskol!$J$899)</f>
        <v/>
      </c>
      <c r="AA896" t="str">
        <f>IF([2]Baskol!$K$899="","",[2]Baskol!$K$899)</f>
        <v/>
      </c>
      <c r="AB896" t="str">
        <f>IF([2]Baskol!$L$899="","",[2]Baskol!$L$899)</f>
        <v/>
      </c>
      <c r="AC896" t="str">
        <f>IF([2]Baskol!$N$899="","",[2]Baskol!$N$899)</f>
        <v/>
      </c>
      <c r="AD896" t="str">
        <f>IF([2]Baskol!$O$899="","",[2]Baskol!$O$899)</f>
        <v/>
      </c>
      <c r="AE896" t="str">
        <f>IF([3]Entry!$C$899="","",[3]Entry!$C$899)</f>
        <v/>
      </c>
      <c r="AF896" t="str">
        <f>IF([3]Entry!$D$899="","",[3]Entry!$D$899)</f>
        <v/>
      </c>
      <c r="AG896" t="str">
        <f>IF([3]Entry!$E$899="","",[3]Entry!$E$899)</f>
        <v/>
      </c>
      <c r="AH896" t="str">
        <f>IF([3]Entry!$G$899="","",[3]Entry!$G$899)</f>
        <v/>
      </c>
      <c r="AI896" t="str">
        <f>IF([3]Entry!$K$899="","",[3]Entry!$K$899)</f>
        <v/>
      </c>
      <c r="AJ896" t="str">
        <f>IF([3]Entry!$L$899="","",[3]Entry!$L$899)</f>
        <v/>
      </c>
      <c r="AK896" t="str">
        <f>IF([3]Entry!$M$899="","",[3]Entry!$M$899)</f>
        <v/>
      </c>
      <c r="AL896" t="str">
        <f>IF([3]Entry!$N$899="","",[3]Entry!$N$899)</f>
        <v/>
      </c>
      <c r="AM896" t="str">
        <f>IF([3]Entry!$R$899="","",[3]Entry!$R$899)</f>
        <v/>
      </c>
    </row>
    <row r="897" spans="20:39" x14ac:dyDescent="0.2">
      <c r="T897" t="str">
        <f>IF([2]Baskol!$B$900="","",[2]Baskol!$B$900)</f>
        <v/>
      </c>
      <c r="U897" t="str">
        <f>IF([2]Baskol!$C$900="","",[2]Baskol!$C$900)</f>
        <v/>
      </c>
      <c r="V897" t="str">
        <f>IF([2]Baskol!$D$900="","",[2]Baskol!$D$900)</f>
        <v/>
      </c>
      <c r="W897" t="str">
        <f>IF([2]Baskol!$E$900="","",[2]Baskol!$E$900)</f>
        <v/>
      </c>
      <c r="X897" t="str">
        <f>IF([2]Baskol!$G$900="","",[2]Baskol!$G$900)</f>
        <v/>
      </c>
      <c r="Y897" t="str">
        <f>IF([2]Baskol!$I$900="","",[2]Baskol!$I$900)</f>
        <v/>
      </c>
      <c r="Z897" t="str">
        <f>IF([2]Baskol!$J$900="","",[2]Baskol!$J$900)</f>
        <v/>
      </c>
      <c r="AA897" t="str">
        <f>IF([2]Baskol!$K$900="","",[2]Baskol!$K$900)</f>
        <v/>
      </c>
      <c r="AB897" t="str">
        <f>IF([2]Baskol!$L$900="","",[2]Baskol!$L$900)</f>
        <v/>
      </c>
      <c r="AC897" t="str">
        <f>IF([2]Baskol!$N$900="","",[2]Baskol!$N$900)</f>
        <v/>
      </c>
      <c r="AD897" t="str">
        <f>IF([2]Baskol!$O$900="","",[2]Baskol!$O$900)</f>
        <v/>
      </c>
      <c r="AE897" t="str">
        <f>IF([3]Entry!$C$900="","",[3]Entry!$C$900)</f>
        <v/>
      </c>
      <c r="AF897" t="str">
        <f>IF([3]Entry!$D$900="","",[3]Entry!$D$900)</f>
        <v/>
      </c>
      <c r="AG897" t="str">
        <f>IF([3]Entry!$E$900="","",[3]Entry!$E$900)</f>
        <v/>
      </c>
      <c r="AH897" t="str">
        <f>IF([3]Entry!$G$900="","",[3]Entry!$G$900)</f>
        <v/>
      </c>
      <c r="AI897" t="str">
        <f>IF([3]Entry!$K$900="","",[3]Entry!$K$900)</f>
        <v/>
      </c>
      <c r="AJ897" t="str">
        <f>IF([3]Entry!$L$900="","",[3]Entry!$L$900)</f>
        <v/>
      </c>
      <c r="AK897" t="str">
        <f>IF([3]Entry!$M$900="","",[3]Entry!$M$900)</f>
        <v/>
      </c>
      <c r="AL897" t="str">
        <f>IF([3]Entry!$N$900="","",[3]Entry!$N$900)</f>
        <v/>
      </c>
      <c r="AM897" t="str">
        <f>IF([3]Entry!$R$900="","",[3]Entry!$R$900)</f>
        <v/>
      </c>
    </row>
    <row r="898" spans="20:39" x14ac:dyDescent="0.2">
      <c r="T898" t="str">
        <f>IF([2]Baskol!$B$901="","",[2]Baskol!$B$901)</f>
        <v/>
      </c>
      <c r="U898" t="str">
        <f>IF([2]Baskol!$C$901="","",[2]Baskol!$C$901)</f>
        <v/>
      </c>
      <c r="V898" t="str">
        <f>IF([2]Baskol!$D$901="","",[2]Baskol!$D$901)</f>
        <v/>
      </c>
      <c r="W898" t="str">
        <f>IF([2]Baskol!$E$901="","",[2]Baskol!$E$901)</f>
        <v/>
      </c>
      <c r="X898" t="str">
        <f>IF([2]Baskol!$G$901="","",[2]Baskol!$G$901)</f>
        <v/>
      </c>
      <c r="Y898" t="str">
        <f>IF([2]Baskol!$I$901="","",[2]Baskol!$I$901)</f>
        <v/>
      </c>
      <c r="Z898" t="str">
        <f>IF([2]Baskol!$J$901="","",[2]Baskol!$J$901)</f>
        <v/>
      </c>
      <c r="AA898" t="str">
        <f>IF([2]Baskol!$K$901="","",[2]Baskol!$K$901)</f>
        <v/>
      </c>
      <c r="AB898" t="str">
        <f>IF([2]Baskol!$L$901="","",[2]Baskol!$L$901)</f>
        <v/>
      </c>
      <c r="AC898" t="str">
        <f>IF([2]Baskol!$N$901="","",[2]Baskol!$N$901)</f>
        <v/>
      </c>
      <c r="AD898" t="str">
        <f>IF([2]Baskol!$O$901="","",[2]Baskol!$O$901)</f>
        <v/>
      </c>
      <c r="AE898" t="str">
        <f>IF([3]Entry!$C$901="","",[3]Entry!$C$901)</f>
        <v/>
      </c>
      <c r="AF898" t="str">
        <f>IF([3]Entry!$D$901="","",[3]Entry!$D$901)</f>
        <v/>
      </c>
      <c r="AG898" t="str">
        <f>IF([3]Entry!$E$901="","",[3]Entry!$E$901)</f>
        <v/>
      </c>
      <c r="AH898" t="str">
        <f>IF([3]Entry!$G$901="","",[3]Entry!$G$901)</f>
        <v/>
      </c>
      <c r="AI898" t="str">
        <f>IF([3]Entry!$K$901="","",[3]Entry!$K$901)</f>
        <v/>
      </c>
      <c r="AJ898" t="str">
        <f>IF([3]Entry!$L$901="","",[3]Entry!$L$901)</f>
        <v/>
      </c>
      <c r="AK898" t="str">
        <f>IF([3]Entry!$M$901="","",[3]Entry!$M$901)</f>
        <v/>
      </c>
      <c r="AL898" t="str">
        <f>IF([3]Entry!$N$901="","",[3]Entry!$N$901)</f>
        <v/>
      </c>
      <c r="AM898" t="str">
        <f>IF([3]Entry!$R$901="","",[3]Entry!$R$901)</f>
        <v/>
      </c>
    </row>
    <row r="899" spans="20:39" x14ac:dyDescent="0.2">
      <c r="T899" t="str">
        <f>IF([2]Baskol!$B$902="","",[2]Baskol!$B$902)</f>
        <v/>
      </c>
      <c r="U899" t="str">
        <f>IF([2]Baskol!$C$902="","",[2]Baskol!$C$902)</f>
        <v/>
      </c>
      <c r="V899" t="str">
        <f>IF([2]Baskol!$D$902="","",[2]Baskol!$D$902)</f>
        <v/>
      </c>
      <c r="W899" t="str">
        <f>IF([2]Baskol!$E$902="","",[2]Baskol!$E$902)</f>
        <v/>
      </c>
      <c r="X899" t="str">
        <f>IF([2]Baskol!$G$902="","",[2]Baskol!$G$902)</f>
        <v/>
      </c>
      <c r="Y899" t="str">
        <f>IF([2]Baskol!$I$902="","",[2]Baskol!$I$902)</f>
        <v/>
      </c>
      <c r="Z899" t="str">
        <f>IF([2]Baskol!$J$902="","",[2]Baskol!$J$902)</f>
        <v/>
      </c>
      <c r="AA899" t="str">
        <f>IF([2]Baskol!$K$902="","",[2]Baskol!$K$902)</f>
        <v/>
      </c>
      <c r="AB899" t="str">
        <f>IF([2]Baskol!$L$902="","",[2]Baskol!$L$902)</f>
        <v/>
      </c>
      <c r="AC899" t="str">
        <f>IF([2]Baskol!$N$902="","",[2]Baskol!$N$902)</f>
        <v/>
      </c>
      <c r="AD899" t="str">
        <f>IF([2]Baskol!$O$902="","",[2]Baskol!$O$902)</f>
        <v/>
      </c>
      <c r="AE899" t="str">
        <f>IF([3]Entry!$C$902="","",[3]Entry!$C$902)</f>
        <v/>
      </c>
      <c r="AF899" t="str">
        <f>IF([3]Entry!$D$902="","",[3]Entry!$D$902)</f>
        <v/>
      </c>
      <c r="AG899" t="str">
        <f>IF([3]Entry!$E$902="","",[3]Entry!$E$902)</f>
        <v/>
      </c>
      <c r="AH899" t="str">
        <f>IF([3]Entry!$G$902="","",[3]Entry!$G$902)</f>
        <v/>
      </c>
      <c r="AI899" t="str">
        <f>IF([3]Entry!$K$902="","",[3]Entry!$K$902)</f>
        <v/>
      </c>
      <c r="AJ899" t="str">
        <f>IF([3]Entry!$L$902="","",[3]Entry!$L$902)</f>
        <v/>
      </c>
      <c r="AK899" t="str">
        <f>IF([3]Entry!$M$902="","",[3]Entry!$M$902)</f>
        <v/>
      </c>
      <c r="AL899" t="str">
        <f>IF([3]Entry!$N$902="","",[3]Entry!$N$902)</f>
        <v/>
      </c>
      <c r="AM899" t="str">
        <f>IF([3]Entry!$R$902="","",[3]Entry!$R$902)</f>
        <v/>
      </c>
    </row>
    <row r="900" spans="20:39" x14ac:dyDescent="0.2">
      <c r="T900" t="str">
        <f>IF([2]Baskol!$B$903="","",[2]Baskol!$B$903)</f>
        <v/>
      </c>
      <c r="U900" t="str">
        <f>IF([2]Baskol!$C$903="","",[2]Baskol!$C$903)</f>
        <v/>
      </c>
      <c r="V900" t="str">
        <f>IF([2]Baskol!$D$903="","",[2]Baskol!$D$903)</f>
        <v/>
      </c>
      <c r="W900" t="str">
        <f>IF([2]Baskol!$E$903="","",[2]Baskol!$E$903)</f>
        <v/>
      </c>
      <c r="X900" t="str">
        <f>IF([2]Baskol!$G$903="","",[2]Baskol!$G$903)</f>
        <v/>
      </c>
      <c r="Y900" t="str">
        <f>IF([2]Baskol!$I$903="","",[2]Baskol!$I$903)</f>
        <v/>
      </c>
      <c r="Z900" t="str">
        <f>IF([2]Baskol!$J$903="","",[2]Baskol!$J$903)</f>
        <v/>
      </c>
      <c r="AA900" t="str">
        <f>IF([2]Baskol!$K$903="","",[2]Baskol!$K$903)</f>
        <v/>
      </c>
      <c r="AB900" t="str">
        <f>IF([2]Baskol!$L$903="","",[2]Baskol!$L$903)</f>
        <v/>
      </c>
      <c r="AC900" t="str">
        <f>IF([2]Baskol!$N$903="","",[2]Baskol!$N$903)</f>
        <v/>
      </c>
      <c r="AD900" t="str">
        <f>IF([2]Baskol!$O$903="","",[2]Baskol!$O$903)</f>
        <v/>
      </c>
      <c r="AE900" t="str">
        <f>IF([3]Entry!$C$903="","",[3]Entry!$C$903)</f>
        <v/>
      </c>
      <c r="AF900" t="str">
        <f>IF([3]Entry!$D$903="","",[3]Entry!$D$903)</f>
        <v/>
      </c>
      <c r="AG900" t="str">
        <f>IF([3]Entry!$E$903="","",[3]Entry!$E$903)</f>
        <v/>
      </c>
      <c r="AH900" t="str">
        <f>IF([3]Entry!$G$903="","",[3]Entry!$G$903)</f>
        <v/>
      </c>
      <c r="AI900" t="str">
        <f>IF([3]Entry!$K$903="","",[3]Entry!$K$903)</f>
        <v/>
      </c>
      <c r="AJ900" t="str">
        <f>IF([3]Entry!$L$903="","",[3]Entry!$L$903)</f>
        <v/>
      </c>
      <c r="AK900" t="str">
        <f>IF([3]Entry!$M$903="","",[3]Entry!$M$903)</f>
        <v/>
      </c>
      <c r="AL900" t="str">
        <f>IF([3]Entry!$N$903="","",[3]Entry!$N$903)</f>
        <v/>
      </c>
      <c r="AM900" t="str">
        <f>IF([3]Entry!$R$903="","",[3]Entry!$R$903)</f>
        <v/>
      </c>
    </row>
    <row r="901" spans="20:39" x14ac:dyDescent="0.2">
      <c r="T901" t="str">
        <f>IF([2]Baskol!$B$904="","",[2]Baskol!$B$904)</f>
        <v/>
      </c>
      <c r="U901" t="str">
        <f>IF([2]Baskol!$C$904="","",[2]Baskol!$C$904)</f>
        <v/>
      </c>
      <c r="V901" t="str">
        <f>IF([2]Baskol!$D$904="","",[2]Baskol!$D$904)</f>
        <v/>
      </c>
      <c r="W901" t="str">
        <f>IF([2]Baskol!$E$904="","",[2]Baskol!$E$904)</f>
        <v/>
      </c>
      <c r="X901" t="str">
        <f>IF([2]Baskol!$G$904="","",[2]Baskol!$G$904)</f>
        <v/>
      </c>
      <c r="Y901" t="str">
        <f>IF([2]Baskol!$I$904="","",[2]Baskol!$I$904)</f>
        <v/>
      </c>
      <c r="Z901" t="str">
        <f>IF([2]Baskol!$J$904="","",[2]Baskol!$J$904)</f>
        <v/>
      </c>
      <c r="AA901" t="str">
        <f>IF([2]Baskol!$K$904="","",[2]Baskol!$K$904)</f>
        <v/>
      </c>
      <c r="AB901" t="str">
        <f>IF([2]Baskol!$L$904="","",[2]Baskol!$L$904)</f>
        <v/>
      </c>
      <c r="AC901" t="str">
        <f>IF([2]Baskol!$N$904="","",[2]Baskol!$N$904)</f>
        <v/>
      </c>
      <c r="AD901" t="str">
        <f>IF([2]Baskol!$O$904="","",[2]Baskol!$O$904)</f>
        <v/>
      </c>
      <c r="AE901" t="str">
        <f>IF([3]Entry!$C$904="","",[3]Entry!$C$904)</f>
        <v/>
      </c>
      <c r="AF901" t="str">
        <f>IF([3]Entry!$D$904="","",[3]Entry!$D$904)</f>
        <v/>
      </c>
      <c r="AG901" t="str">
        <f>IF([3]Entry!$E$904="","",[3]Entry!$E$904)</f>
        <v/>
      </c>
      <c r="AH901" t="str">
        <f>IF([3]Entry!$G$904="","",[3]Entry!$G$904)</f>
        <v/>
      </c>
      <c r="AI901" t="str">
        <f>IF([3]Entry!$K$904="","",[3]Entry!$K$904)</f>
        <v/>
      </c>
      <c r="AJ901" t="str">
        <f>IF([3]Entry!$L$904="","",[3]Entry!$L$904)</f>
        <v/>
      </c>
      <c r="AK901" t="str">
        <f>IF([3]Entry!$M$904="","",[3]Entry!$M$904)</f>
        <v/>
      </c>
      <c r="AL901" t="str">
        <f>IF([3]Entry!$N$904="","",[3]Entry!$N$904)</f>
        <v/>
      </c>
      <c r="AM901" t="str">
        <f>IF([3]Entry!$R$904="","",[3]Entry!$R$904)</f>
        <v/>
      </c>
    </row>
    <row r="902" spans="20:39" x14ac:dyDescent="0.2">
      <c r="T902" t="str">
        <f>IF([2]Baskol!$B$905="","",[2]Baskol!$B$905)</f>
        <v/>
      </c>
      <c r="U902" t="str">
        <f>IF([2]Baskol!$C$905="","",[2]Baskol!$C$905)</f>
        <v/>
      </c>
      <c r="V902" t="str">
        <f>IF([2]Baskol!$D$905="","",[2]Baskol!$D$905)</f>
        <v/>
      </c>
      <c r="W902" t="str">
        <f>IF([2]Baskol!$E$905="","",[2]Baskol!$E$905)</f>
        <v/>
      </c>
      <c r="X902" t="str">
        <f>IF([2]Baskol!$G$905="","",[2]Baskol!$G$905)</f>
        <v/>
      </c>
      <c r="Y902" t="str">
        <f>IF([2]Baskol!$I$905="","",[2]Baskol!$I$905)</f>
        <v/>
      </c>
      <c r="Z902" t="str">
        <f>IF([2]Baskol!$J$905="","",[2]Baskol!$J$905)</f>
        <v/>
      </c>
      <c r="AA902" t="str">
        <f>IF([2]Baskol!$K$905="","",[2]Baskol!$K$905)</f>
        <v/>
      </c>
      <c r="AB902" t="str">
        <f>IF([2]Baskol!$L$905="","",[2]Baskol!$L$905)</f>
        <v/>
      </c>
      <c r="AC902" t="str">
        <f>IF([2]Baskol!$N$905="","",[2]Baskol!$N$905)</f>
        <v/>
      </c>
      <c r="AD902" t="str">
        <f>IF([2]Baskol!$O$905="","",[2]Baskol!$O$905)</f>
        <v/>
      </c>
      <c r="AE902" t="str">
        <f>IF([3]Entry!$C$905="","",[3]Entry!$C$905)</f>
        <v/>
      </c>
      <c r="AF902" t="str">
        <f>IF([3]Entry!$D$905="","",[3]Entry!$D$905)</f>
        <v/>
      </c>
      <c r="AG902" t="str">
        <f>IF([3]Entry!$E$905="","",[3]Entry!$E$905)</f>
        <v/>
      </c>
      <c r="AH902" t="str">
        <f>IF([3]Entry!$G$905="","",[3]Entry!$G$905)</f>
        <v/>
      </c>
      <c r="AI902" t="str">
        <f>IF([3]Entry!$K$905="","",[3]Entry!$K$905)</f>
        <v/>
      </c>
      <c r="AJ902" t="str">
        <f>IF([3]Entry!$L$905="","",[3]Entry!$L$905)</f>
        <v/>
      </c>
      <c r="AK902" t="str">
        <f>IF([3]Entry!$M$905="","",[3]Entry!$M$905)</f>
        <v/>
      </c>
      <c r="AL902" t="str">
        <f>IF([3]Entry!$N$905="","",[3]Entry!$N$905)</f>
        <v/>
      </c>
      <c r="AM902" t="str">
        <f>IF([3]Entry!$R$905="","",[3]Entry!$R$905)</f>
        <v/>
      </c>
    </row>
    <row r="903" spans="20:39" x14ac:dyDescent="0.2">
      <c r="T903" t="str">
        <f>IF([2]Baskol!$B$906="","",[2]Baskol!$B$906)</f>
        <v/>
      </c>
      <c r="U903" t="str">
        <f>IF([2]Baskol!$C$906="","",[2]Baskol!$C$906)</f>
        <v/>
      </c>
      <c r="V903" t="str">
        <f>IF([2]Baskol!$D$906="","",[2]Baskol!$D$906)</f>
        <v/>
      </c>
      <c r="W903" t="str">
        <f>IF([2]Baskol!$E$906="","",[2]Baskol!$E$906)</f>
        <v/>
      </c>
      <c r="X903" t="str">
        <f>IF([2]Baskol!$G$906="","",[2]Baskol!$G$906)</f>
        <v/>
      </c>
      <c r="Y903" t="str">
        <f>IF([2]Baskol!$I$906="","",[2]Baskol!$I$906)</f>
        <v/>
      </c>
      <c r="Z903" t="str">
        <f>IF([2]Baskol!$J$906="","",[2]Baskol!$J$906)</f>
        <v/>
      </c>
      <c r="AA903" t="str">
        <f>IF([2]Baskol!$K$906="","",[2]Baskol!$K$906)</f>
        <v/>
      </c>
      <c r="AB903" t="str">
        <f>IF([2]Baskol!$L$906="","",[2]Baskol!$L$906)</f>
        <v/>
      </c>
      <c r="AC903" t="str">
        <f>IF([2]Baskol!$N$906="","",[2]Baskol!$N$906)</f>
        <v/>
      </c>
      <c r="AD903" t="str">
        <f>IF([2]Baskol!$O$906="","",[2]Baskol!$O$906)</f>
        <v/>
      </c>
      <c r="AE903" t="str">
        <f>IF([3]Entry!$C$906="","",[3]Entry!$C$906)</f>
        <v/>
      </c>
      <c r="AF903" t="str">
        <f>IF([3]Entry!$D$906="","",[3]Entry!$D$906)</f>
        <v/>
      </c>
      <c r="AG903" t="str">
        <f>IF([3]Entry!$E$906="","",[3]Entry!$E$906)</f>
        <v/>
      </c>
      <c r="AH903" t="str">
        <f>IF([3]Entry!$G$906="","",[3]Entry!$G$906)</f>
        <v/>
      </c>
      <c r="AI903" t="str">
        <f>IF([3]Entry!$K$906="","",[3]Entry!$K$906)</f>
        <v/>
      </c>
      <c r="AJ903" t="str">
        <f>IF([3]Entry!$L$906="","",[3]Entry!$L$906)</f>
        <v/>
      </c>
      <c r="AK903" t="str">
        <f>IF([3]Entry!$M$906="","",[3]Entry!$M$906)</f>
        <v/>
      </c>
      <c r="AL903" t="str">
        <f>IF([3]Entry!$N$906="","",[3]Entry!$N$906)</f>
        <v/>
      </c>
      <c r="AM903" t="str">
        <f>IF([3]Entry!$R$906="","",[3]Entry!$R$906)</f>
        <v/>
      </c>
    </row>
    <row r="904" spans="20:39" x14ac:dyDescent="0.2">
      <c r="T904" t="str">
        <f>IF([2]Baskol!$B$907="","",[2]Baskol!$B$907)</f>
        <v/>
      </c>
      <c r="U904" t="str">
        <f>IF([2]Baskol!$C$907="","",[2]Baskol!$C$907)</f>
        <v/>
      </c>
      <c r="V904" t="str">
        <f>IF([2]Baskol!$D$907="","",[2]Baskol!$D$907)</f>
        <v/>
      </c>
      <c r="W904" t="str">
        <f>IF([2]Baskol!$E$907="","",[2]Baskol!$E$907)</f>
        <v/>
      </c>
      <c r="X904" t="str">
        <f>IF([2]Baskol!$G$907="","",[2]Baskol!$G$907)</f>
        <v/>
      </c>
      <c r="Y904" t="str">
        <f>IF([2]Baskol!$I$907="","",[2]Baskol!$I$907)</f>
        <v/>
      </c>
      <c r="Z904" t="str">
        <f>IF([2]Baskol!$J$907="","",[2]Baskol!$J$907)</f>
        <v/>
      </c>
      <c r="AA904" t="str">
        <f>IF([2]Baskol!$K$907="","",[2]Baskol!$K$907)</f>
        <v/>
      </c>
      <c r="AB904" t="str">
        <f>IF([2]Baskol!$L$907="","",[2]Baskol!$L$907)</f>
        <v/>
      </c>
      <c r="AC904" t="str">
        <f>IF([2]Baskol!$N$907="","",[2]Baskol!$N$907)</f>
        <v/>
      </c>
      <c r="AD904" t="str">
        <f>IF([2]Baskol!$O$907="","",[2]Baskol!$O$907)</f>
        <v/>
      </c>
      <c r="AE904" t="str">
        <f>IF([3]Entry!$C$907="","",[3]Entry!$C$907)</f>
        <v/>
      </c>
      <c r="AF904" t="str">
        <f>IF([3]Entry!$D$907="","",[3]Entry!$D$907)</f>
        <v/>
      </c>
      <c r="AG904" t="str">
        <f>IF([3]Entry!$E$907="","",[3]Entry!$E$907)</f>
        <v/>
      </c>
      <c r="AH904" t="str">
        <f>IF([3]Entry!$G$907="","",[3]Entry!$G$907)</f>
        <v/>
      </c>
      <c r="AI904" t="str">
        <f>IF([3]Entry!$K$907="","",[3]Entry!$K$907)</f>
        <v/>
      </c>
      <c r="AJ904" t="str">
        <f>IF([3]Entry!$L$907="","",[3]Entry!$L$907)</f>
        <v/>
      </c>
      <c r="AK904" t="str">
        <f>IF([3]Entry!$M$907="","",[3]Entry!$M$907)</f>
        <v/>
      </c>
      <c r="AL904" t="str">
        <f>IF([3]Entry!$N$907="","",[3]Entry!$N$907)</f>
        <v/>
      </c>
      <c r="AM904" t="str">
        <f>IF([3]Entry!$R$907="","",[3]Entry!$R$907)</f>
        <v/>
      </c>
    </row>
    <row r="905" spans="20:39" x14ac:dyDescent="0.2">
      <c r="T905" t="str">
        <f>IF([2]Baskol!$B$908="","",[2]Baskol!$B$908)</f>
        <v/>
      </c>
      <c r="U905" t="str">
        <f>IF([2]Baskol!$C$908="","",[2]Baskol!$C$908)</f>
        <v/>
      </c>
      <c r="V905" t="str">
        <f>IF([2]Baskol!$D$908="","",[2]Baskol!$D$908)</f>
        <v/>
      </c>
      <c r="W905" t="str">
        <f>IF([2]Baskol!$E$908="","",[2]Baskol!$E$908)</f>
        <v/>
      </c>
      <c r="X905" t="str">
        <f>IF([2]Baskol!$G$908="","",[2]Baskol!$G$908)</f>
        <v/>
      </c>
      <c r="Y905" t="str">
        <f>IF([2]Baskol!$I$908="","",[2]Baskol!$I$908)</f>
        <v/>
      </c>
      <c r="Z905" t="str">
        <f>IF([2]Baskol!$J$908="","",[2]Baskol!$J$908)</f>
        <v/>
      </c>
      <c r="AA905" t="str">
        <f>IF([2]Baskol!$K$908="","",[2]Baskol!$K$908)</f>
        <v/>
      </c>
      <c r="AB905" t="str">
        <f>IF([2]Baskol!$L$908="","",[2]Baskol!$L$908)</f>
        <v/>
      </c>
      <c r="AC905" t="str">
        <f>IF([2]Baskol!$N$908="","",[2]Baskol!$N$908)</f>
        <v/>
      </c>
      <c r="AD905" t="str">
        <f>IF([2]Baskol!$O$908="","",[2]Baskol!$O$908)</f>
        <v/>
      </c>
      <c r="AE905" t="str">
        <f>IF([3]Entry!$C$908="","",[3]Entry!$C$908)</f>
        <v/>
      </c>
      <c r="AF905" t="str">
        <f>IF([3]Entry!$D$908="","",[3]Entry!$D$908)</f>
        <v/>
      </c>
      <c r="AG905" t="str">
        <f>IF([3]Entry!$E$908="","",[3]Entry!$E$908)</f>
        <v/>
      </c>
      <c r="AH905" t="str">
        <f>IF([3]Entry!$G$908="","",[3]Entry!$G$908)</f>
        <v/>
      </c>
      <c r="AI905" t="str">
        <f>IF([3]Entry!$K$908="","",[3]Entry!$K$908)</f>
        <v/>
      </c>
      <c r="AJ905" t="str">
        <f>IF([3]Entry!$L$908="","",[3]Entry!$L$908)</f>
        <v/>
      </c>
      <c r="AK905" t="str">
        <f>IF([3]Entry!$M$908="","",[3]Entry!$M$908)</f>
        <v/>
      </c>
      <c r="AL905" t="str">
        <f>IF([3]Entry!$N$908="","",[3]Entry!$N$908)</f>
        <v/>
      </c>
      <c r="AM905" t="str">
        <f>IF([3]Entry!$R$908="","",[3]Entry!$R$908)</f>
        <v/>
      </c>
    </row>
    <row r="906" spans="20:39" x14ac:dyDescent="0.2">
      <c r="T906" t="str">
        <f>IF([2]Baskol!$B$909="","",[2]Baskol!$B$909)</f>
        <v/>
      </c>
      <c r="U906" t="str">
        <f>IF([2]Baskol!$C$909="","",[2]Baskol!$C$909)</f>
        <v/>
      </c>
      <c r="V906" t="str">
        <f>IF([2]Baskol!$D$909="","",[2]Baskol!$D$909)</f>
        <v/>
      </c>
      <c r="W906" t="str">
        <f>IF([2]Baskol!$E$909="","",[2]Baskol!$E$909)</f>
        <v/>
      </c>
      <c r="X906" t="str">
        <f>IF([2]Baskol!$G$909="","",[2]Baskol!$G$909)</f>
        <v/>
      </c>
      <c r="Y906" t="str">
        <f>IF([2]Baskol!$I$909="","",[2]Baskol!$I$909)</f>
        <v/>
      </c>
      <c r="Z906" t="str">
        <f>IF([2]Baskol!$J$909="","",[2]Baskol!$J$909)</f>
        <v/>
      </c>
      <c r="AA906" t="str">
        <f>IF([2]Baskol!$K$909="","",[2]Baskol!$K$909)</f>
        <v/>
      </c>
      <c r="AB906" t="str">
        <f>IF([2]Baskol!$L$909="","",[2]Baskol!$L$909)</f>
        <v/>
      </c>
      <c r="AC906" t="str">
        <f>IF([2]Baskol!$N$909="","",[2]Baskol!$N$909)</f>
        <v/>
      </c>
      <c r="AD906" t="str">
        <f>IF([2]Baskol!$O$909="","",[2]Baskol!$O$909)</f>
        <v/>
      </c>
      <c r="AE906" t="str">
        <f>IF([3]Entry!$C$909="","",[3]Entry!$C$909)</f>
        <v/>
      </c>
      <c r="AF906" t="str">
        <f>IF([3]Entry!$D$909="","",[3]Entry!$D$909)</f>
        <v/>
      </c>
      <c r="AG906" t="str">
        <f>IF([3]Entry!$E$909="","",[3]Entry!$E$909)</f>
        <v/>
      </c>
      <c r="AH906" t="str">
        <f>IF([3]Entry!$G$909="","",[3]Entry!$G$909)</f>
        <v/>
      </c>
      <c r="AI906" t="str">
        <f>IF([3]Entry!$K$909="","",[3]Entry!$K$909)</f>
        <v/>
      </c>
      <c r="AJ906" t="str">
        <f>IF([3]Entry!$L$909="","",[3]Entry!$L$909)</f>
        <v/>
      </c>
      <c r="AK906" t="str">
        <f>IF([3]Entry!$M$909="","",[3]Entry!$M$909)</f>
        <v/>
      </c>
      <c r="AL906" t="str">
        <f>IF([3]Entry!$N$909="","",[3]Entry!$N$909)</f>
        <v/>
      </c>
      <c r="AM906" t="str">
        <f>IF([3]Entry!$R$909="","",[3]Entry!$R$909)</f>
        <v/>
      </c>
    </row>
    <row r="907" spans="20:39" x14ac:dyDescent="0.2">
      <c r="T907" t="str">
        <f>IF([2]Baskol!$B$910="","",[2]Baskol!$B$910)</f>
        <v/>
      </c>
      <c r="U907" t="str">
        <f>IF([2]Baskol!$C$910="","",[2]Baskol!$C$910)</f>
        <v/>
      </c>
      <c r="V907" t="str">
        <f>IF([2]Baskol!$D$910="","",[2]Baskol!$D$910)</f>
        <v/>
      </c>
      <c r="W907" t="str">
        <f>IF([2]Baskol!$E$910="","",[2]Baskol!$E$910)</f>
        <v/>
      </c>
      <c r="X907" t="str">
        <f>IF([2]Baskol!$G$910="","",[2]Baskol!$G$910)</f>
        <v/>
      </c>
      <c r="Y907" t="str">
        <f>IF([2]Baskol!$I$910="","",[2]Baskol!$I$910)</f>
        <v/>
      </c>
      <c r="Z907" t="str">
        <f>IF([2]Baskol!$J$910="","",[2]Baskol!$J$910)</f>
        <v/>
      </c>
      <c r="AA907" t="str">
        <f>IF([2]Baskol!$K$910="","",[2]Baskol!$K$910)</f>
        <v/>
      </c>
      <c r="AB907" t="str">
        <f>IF([2]Baskol!$L$910="","",[2]Baskol!$L$910)</f>
        <v/>
      </c>
      <c r="AC907" t="str">
        <f>IF([2]Baskol!$N$910="","",[2]Baskol!$N$910)</f>
        <v/>
      </c>
      <c r="AD907" t="str">
        <f>IF([2]Baskol!$O$910="","",[2]Baskol!$O$910)</f>
        <v/>
      </c>
      <c r="AE907" t="str">
        <f>IF([3]Entry!$C$910="","",[3]Entry!$C$910)</f>
        <v/>
      </c>
      <c r="AF907" t="str">
        <f>IF([3]Entry!$D$910="","",[3]Entry!$D$910)</f>
        <v/>
      </c>
      <c r="AG907" t="str">
        <f>IF([3]Entry!$E$910="","",[3]Entry!$E$910)</f>
        <v/>
      </c>
      <c r="AH907" t="str">
        <f>IF([3]Entry!$G$910="","",[3]Entry!$G$910)</f>
        <v/>
      </c>
      <c r="AI907" t="str">
        <f>IF([3]Entry!$K$910="","",[3]Entry!$K$910)</f>
        <v/>
      </c>
      <c r="AJ907" t="str">
        <f>IF([3]Entry!$L$910="","",[3]Entry!$L$910)</f>
        <v/>
      </c>
      <c r="AK907" t="str">
        <f>IF([3]Entry!$M$910="","",[3]Entry!$M$910)</f>
        <v/>
      </c>
      <c r="AL907" t="str">
        <f>IF([3]Entry!$N$910="","",[3]Entry!$N$910)</f>
        <v/>
      </c>
      <c r="AM907" t="str">
        <f>IF([3]Entry!$R$910="","",[3]Entry!$R$910)</f>
        <v/>
      </c>
    </row>
    <row r="908" spans="20:39" x14ac:dyDescent="0.2">
      <c r="T908" t="str">
        <f>IF([2]Baskol!$B$911="","",[2]Baskol!$B$911)</f>
        <v/>
      </c>
      <c r="U908" t="str">
        <f>IF([2]Baskol!$C$911="","",[2]Baskol!$C$911)</f>
        <v/>
      </c>
      <c r="V908" t="str">
        <f>IF([2]Baskol!$D$911="","",[2]Baskol!$D$911)</f>
        <v/>
      </c>
      <c r="W908" t="str">
        <f>IF([2]Baskol!$E$911="","",[2]Baskol!$E$911)</f>
        <v/>
      </c>
      <c r="X908" t="str">
        <f>IF([2]Baskol!$G$911="","",[2]Baskol!$G$911)</f>
        <v/>
      </c>
      <c r="Y908" t="str">
        <f>IF([2]Baskol!$I$911="","",[2]Baskol!$I$911)</f>
        <v/>
      </c>
      <c r="Z908" t="str">
        <f>IF([2]Baskol!$J$911="","",[2]Baskol!$J$911)</f>
        <v/>
      </c>
      <c r="AA908" t="str">
        <f>IF([2]Baskol!$K$911="","",[2]Baskol!$K$911)</f>
        <v/>
      </c>
      <c r="AB908" t="str">
        <f>IF([2]Baskol!$L$911="","",[2]Baskol!$L$911)</f>
        <v/>
      </c>
      <c r="AC908" t="str">
        <f>IF([2]Baskol!$N$911="","",[2]Baskol!$N$911)</f>
        <v/>
      </c>
      <c r="AD908" t="str">
        <f>IF([2]Baskol!$O$911="","",[2]Baskol!$O$911)</f>
        <v/>
      </c>
      <c r="AE908" t="str">
        <f>IF([3]Entry!$C$911="","",[3]Entry!$C$911)</f>
        <v/>
      </c>
      <c r="AF908" t="str">
        <f>IF([3]Entry!$D$911="","",[3]Entry!$D$911)</f>
        <v/>
      </c>
      <c r="AG908" t="str">
        <f>IF([3]Entry!$E$911="","",[3]Entry!$E$911)</f>
        <v/>
      </c>
      <c r="AH908" t="str">
        <f>IF([3]Entry!$G$911="","",[3]Entry!$G$911)</f>
        <v/>
      </c>
      <c r="AI908" t="str">
        <f>IF([3]Entry!$K$911="","",[3]Entry!$K$911)</f>
        <v/>
      </c>
      <c r="AJ908" t="str">
        <f>IF([3]Entry!$L$911="","",[3]Entry!$L$911)</f>
        <v/>
      </c>
      <c r="AK908" t="str">
        <f>IF([3]Entry!$M$911="","",[3]Entry!$M$911)</f>
        <v/>
      </c>
      <c r="AL908" t="str">
        <f>IF([3]Entry!$N$911="","",[3]Entry!$N$911)</f>
        <v/>
      </c>
      <c r="AM908" t="str">
        <f>IF([3]Entry!$R$911="","",[3]Entry!$R$911)</f>
        <v/>
      </c>
    </row>
    <row r="909" spans="20:39" x14ac:dyDescent="0.2">
      <c r="T909" t="str">
        <f>IF([2]Baskol!$B$912="","",[2]Baskol!$B$912)</f>
        <v/>
      </c>
      <c r="U909" t="str">
        <f>IF([2]Baskol!$C$912="","",[2]Baskol!$C$912)</f>
        <v/>
      </c>
      <c r="V909" t="str">
        <f>IF([2]Baskol!$D$912="","",[2]Baskol!$D$912)</f>
        <v/>
      </c>
      <c r="W909" t="str">
        <f>IF([2]Baskol!$E$912="","",[2]Baskol!$E$912)</f>
        <v/>
      </c>
      <c r="X909" t="str">
        <f>IF([2]Baskol!$G$912="","",[2]Baskol!$G$912)</f>
        <v/>
      </c>
      <c r="Y909" t="str">
        <f>IF([2]Baskol!$I$912="","",[2]Baskol!$I$912)</f>
        <v/>
      </c>
      <c r="Z909" t="str">
        <f>IF([2]Baskol!$J$912="","",[2]Baskol!$J$912)</f>
        <v/>
      </c>
      <c r="AA909" t="str">
        <f>IF([2]Baskol!$K$912="","",[2]Baskol!$K$912)</f>
        <v/>
      </c>
      <c r="AB909" t="str">
        <f>IF([2]Baskol!$L$912="","",[2]Baskol!$L$912)</f>
        <v/>
      </c>
      <c r="AC909" t="str">
        <f>IF([2]Baskol!$N$912="","",[2]Baskol!$N$912)</f>
        <v/>
      </c>
      <c r="AD909" t="str">
        <f>IF([2]Baskol!$O$912="","",[2]Baskol!$O$912)</f>
        <v/>
      </c>
      <c r="AE909" t="str">
        <f>IF([3]Entry!$C$912="","",[3]Entry!$C$912)</f>
        <v/>
      </c>
      <c r="AF909" t="str">
        <f>IF([3]Entry!$D$912="","",[3]Entry!$D$912)</f>
        <v/>
      </c>
      <c r="AG909" t="str">
        <f>IF([3]Entry!$E$912="","",[3]Entry!$E$912)</f>
        <v/>
      </c>
      <c r="AH909" t="str">
        <f>IF([3]Entry!$G$912="","",[3]Entry!$G$912)</f>
        <v/>
      </c>
      <c r="AI909" t="str">
        <f>IF([3]Entry!$K$912="","",[3]Entry!$K$912)</f>
        <v/>
      </c>
      <c r="AJ909" t="str">
        <f>IF([3]Entry!$L$912="","",[3]Entry!$L$912)</f>
        <v/>
      </c>
      <c r="AK909" t="str">
        <f>IF([3]Entry!$M$912="","",[3]Entry!$M$912)</f>
        <v/>
      </c>
      <c r="AL909" t="str">
        <f>IF([3]Entry!$N$912="","",[3]Entry!$N$912)</f>
        <v/>
      </c>
      <c r="AM909" t="str">
        <f>IF([3]Entry!$R$912="","",[3]Entry!$R$912)</f>
        <v/>
      </c>
    </row>
    <row r="910" spans="20:39" x14ac:dyDescent="0.2">
      <c r="T910" t="str">
        <f>IF([2]Baskol!$B$913="","",[2]Baskol!$B$913)</f>
        <v/>
      </c>
      <c r="U910" t="str">
        <f>IF([2]Baskol!$C$913="","",[2]Baskol!$C$913)</f>
        <v/>
      </c>
      <c r="V910" t="str">
        <f>IF([2]Baskol!$D$913="","",[2]Baskol!$D$913)</f>
        <v/>
      </c>
      <c r="W910" t="str">
        <f>IF([2]Baskol!$E$913="","",[2]Baskol!$E$913)</f>
        <v/>
      </c>
      <c r="X910" t="str">
        <f>IF([2]Baskol!$G$913="","",[2]Baskol!$G$913)</f>
        <v/>
      </c>
      <c r="Y910" t="str">
        <f>IF([2]Baskol!$I$913="","",[2]Baskol!$I$913)</f>
        <v/>
      </c>
      <c r="Z910" t="str">
        <f>IF([2]Baskol!$J$913="","",[2]Baskol!$J$913)</f>
        <v/>
      </c>
      <c r="AA910" t="str">
        <f>IF([2]Baskol!$K$913="","",[2]Baskol!$K$913)</f>
        <v/>
      </c>
      <c r="AB910" t="str">
        <f>IF([2]Baskol!$L$913="","",[2]Baskol!$L$913)</f>
        <v/>
      </c>
      <c r="AC910" t="str">
        <f>IF([2]Baskol!$N$913="","",[2]Baskol!$N$913)</f>
        <v/>
      </c>
      <c r="AD910" t="str">
        <f>IF([2]Baskol!$O$913="","",[2]Baskol!$O$913)</f>
        <v/>
      </c>
      <c r="AE910" t="str">
        <f>IF([3]Entry!$C$913="","",[3]Entry!$C$913)</f>
        <v/>
      </c>
      <c r="AF910" t="str">
        <f>IF([3]Entry!$D$913="","",[3]Entry!$D$913)</f>
        <v/>
      </c>
      <c r="AG910" t="str">
        <f>IF([3]Entry!$E$913="","",[3]Entry!$E$913)</f>
        <v/>
      </c>
      <c r="AH910" t="str">
        <f>IF([3]Entry!$G$913="","",[3]Entry!$G$913)</f>
        <v/>
      </c>
      <c r="AI910" t="str">
        <f>IF([3]Entry!$K$913="","",[3]Entry!$K$913)</f>
        <v/>
      </c>
      <c r="AJ910" t="str">
        <f>IF([3]Entry!$L$913="","",[3]Entry!$L$913)</f>
        <v/>
      </c>
      <c r="AK910" t="str">
        <f>IF([3]Entry!$M$913="","",[3]Entry!$M$913)</f>
        <v/>
      </c>
      <c r="AL910" t="str">
        <f>IF([3]Entry!$N$913="","",[3]Entry!$N$913)</f>
        <v/>
      </c>
      <c r="AM910" t="str">
        <f>IF([3]Entry!$R$913="","",[3]Entry!$R$913)</f>
        <v/>
      </c>
    </row>
    <row r="911" spans="20:39" x14ac:dyDescent="0.2">
      <c r="T911" t="str">
        <f>IF([2]Baskol!$B$914="","",[2]Baskol!$B$914)</f>
        <v/>
      </c>
      <c r="U911" t="str">
        <f>IF([2]Baskol!$C$914="","",[2]Baskol!$C$914)</f>
        <v/>
      </c>
      <c r="V911" t="str">
        <f>IF([2]Baskol!$D$914="","",[2]Baskol!$D$914)</f>
        <v/>
      </c>
      <c r="W911" t="str">
        <f>IF([2]Baskol!$E$914="","",[2]Baskol!$E$914)</f>
        <v/>
      </c>
      <c r="X911" t="str">
        <f>IF([2]Baskol!$G$914="","",[2]Baskol!$G$914)</f>
        <v/>
      </c>
      <c r="Y911" t="str">
        <f>IF([2]Baskol!$I$914="","",[2]Baskol!$I$914)</f>
        <v/>
      </c>
      <c r="Z911" t="str">
        <f>IF([2]Baskol!$J$914="","",[2]Baskol!$J$914)</f>
        <v/>
      </c>
      <c r="AA911" t="str">
        <f>IF([2]Baskol!$K$914="","",[2]Baskol!$K$914)</f>
        <v/>
      </c>
      <c r="AB911" t="str">
        <f>IF([2]Baskol!$L$914="","",[2]Baskol!$L$914)</f>
        <v/>
      </c>
      <c r="AC911" t="str">
        <f>IF([2]Baskol!$N$914="","",[2]Baskol!$N$914)</f>
        <v/>
      </c>
      <c r="AD911" t="str">
        <f>IF([2]Baskol!$O$914="","",[2]Baskol!$O$914)</f>
        <v/>
      </c>
      <c r="AE911" t="str">
        <f>IF([3]Entry!$C$914="","",[3]Entry!$C$914)</f>
        <v/>
      </c>
      <c r="AF911" t="str">
        <f>IF([3]Entry!$D$914="","",[3]Entry!$D$914)</f>
        <v/>
      </c>
      <c r="AG911" t="str">
        <f>IF([3]Entry!$E$914="","",[3]Entry!$E$914)</f>
        <v/>
      </c>
      <c r="AH911" t="str">
        <f>IF([3]Entry!$G$914="","",[3]Entry!$G$914)</f>
        <v/>
      </c>
      <c r="AI911" t="str">
        <f>IF([3]Entry!$K$914="","",[3]Entry!$K$914)</f>
        <v/>
      </c>
      <c r="AJ911" t="str">
        <f>IF([3]Entry!$L$914="","",[3]Entry!$L$914)</f>
        <v/>
      </c>
      <c r="AK911" t="str">
        <f>IF([3]Entry!$M$914="","",[3]Entry!$M$914)</f>
        <v/>
      </c>
      <c r="AL911" t="str">
        <f>IF([3]Entry!$N$914="","",[3]Entry!$N$914)</f>
        <v/>
      </c>
      <c r="AM911" t="str">
        <f>IF([3]Entry!$R$914="","",[3]Entry!$R$914)</f>
        <v/>
      </c>
    </row>
    <row r="912" spans="20:39" x14ac:dyDescent="0.2">
      <c r="T912" t="str">
        <f>IF([2]Baskol!$B$915="","",[2]Baskol!$B$915)</f>
        <v/>
      </c>
      <c r="U912" t="str">
        <f>IF([2]Baskol!$C$915="","",[2]Baskol!$C$915)</f>
        <v/>
      </c>
      <c r="V912" t="str">
        <f>IF([2]Baskol!$D$915="","",[2]Baskol!$D$915)</f>
        <v/>
      </c>
      <c r="W912" t="str">
        <f>IF([2]Baskol!$E$915="","",[2]Baskol!$E$915)</f>
        <v/>
      </c>
      <c r="X912" t="str">
        <f>IF([2]Baskol!$G$915="","",[2]Baskol!$G$915)</f>
        <v/>
      </c>
      <c r="Y912" t="str">
        <f>IF([2]Baskol!$I$915="","",[2]Baskol!$I$915)</f>
        <v/>
      </c>
      <c r="Z912" t="str">
        <f>IF([2]Baskol!$J$915="","",[2]Baskol!$J$915)</f>
        <v/>
      </c>
      <c r="AA912" t="str">
        <f>IF([2]Baskol!$K$915="","",[2]Baskol!$K$915)</f>
        <v/>
      </c>
      <c r="AB912" t="str">
        <f>IF([2]Baskol!$L$915="","",[2]Baskol!$L$915)</f>
        <v/>
      </c>
      <c r="AC912" t="str">
        <f>IF([2]Baskol!$N$915="","",[2]Baskol!$N$915)</f>
        <v/>
      </c>
      <c r="AD912" t="str">
        <f>IF([2]Baskol!$O$915="","",[2]Baskol!$O$915)</f>
        <v/>
      </c>
      <c r="AE912" t="str">
        <f>IF([3]Entry!$C$915="","",[3]Entry!$C$915)</f>
        <v/>
      </c>
      <c r="AF912" t="str">
        <f>IF([3]Entry!$D$915="","",[3]Entry!$D$915)</f>
        <v/>
      </c>
      <c r="AG912" t="str">
        <f>IF([3]Entry!$E$915="","",[3]Entry!$E$915)</f>
        <v/>
      </c>
      <c r="AH912" t="str">
        <f>IF([3]Entry!$G$915="","",[3]Entry!$G$915)</f>
        <v/>
      </c>
      <c r="AI912" t="str">
        <f>IF([3]Entry!$K$915="","",[3]Entry!$K$915)</f>
        <v/>
      </c>
      <c r="AJ912" t="str">
        <f>IF([3]Entry!$L$915="","",[3]Entry!$L$915)</f>
        <v/>
      </c>
      <c r="AK912" t="str">
        <f>IF([3]Entry!$M$915="","",[3]Entry!$M$915)</f>
        <v/>
      </c>
      <c r="AL912" t="str">
        <f>IF([3]Entry!$N$915="","",[3]Entry!$N$915)</f>
        <v/>
      </c>
      <c r="AM912" t="str">
        <f>IF([3]Entry!$R$915="","",[3]Entry!$R$915)</f>
        <v/>
      </c>
    </row>
    <row r="913" spans="20:39" x14ac:dyDescent="0.2">
      <c r="T913" t="str">
        <f>IF([2]Baskol!$B$916="","",[2]Baskol!$B$916)</f>
        <v/>
      </c>
      <c r="U913" t="str">
        <f>IF([2]Baskol!$C$916="","",[2]Baskol!$C$916)</f>
        <v/>
      </c>
      <c r="V913" t="str">
        <f>IF([2]Baskol!$D$916="","",[2]Baskol!$D$916)</f>
        <v/>
      </c>
      <c r="W913" t="str">
        <f>IF([2]Baskol!$E$916="","",[2]Baskol!$E$916)</f>
        <v/>
      </c>
      <c r="X913" t="str">
        <f>IF([2]Baskol!$G$916="","",[2]Baskol!$G$916)</f>
        <v/>
      </c>
      <c r="Y913" t="str">
        <f>IF([2]Baskol!$I$916="","",[2]Baskol!$I$916)</f>
        <v/>
      </c>
      <c r="Z913" t="str">
        <f>IF([2]Baskol!$J$916="","",[2]Baskol!$J$916)</f>
        <v/>
      </c>
      <c r="AA913" t="str">
        <f>IF([2]Baskol!$K$916="","",[2]Baskol!$K$916)</f>
        <v/>
      </c>
      <c r="AB913" t="str">
        <f>IF([2]Baskol!$L$916="","",[2]Baskol!$L$916)</f>
        <v/>
      </c>
      <c r="AC913" t="str">
        <f>IF([2]Baskol!$N$916="","",[2]Baskol!$N$916)</f>
        <v/>
      </c>
      <c r="AD913" t="str">
        <f>IF([2]Baskol!$O$916="","",[2]Baskol!$O$916)</f>
        <v/>
      </c>
      <c r="AE913" t="str">
        <f>IF([3]Entry!$C$916="","",[3]Entry!$C$916)</f>
        <v/>
      </c>
      <c r="AF913" t="str">
        <f>IF([3]Entry!$D$916="","",[3]Entry!$D$916)</f>
        <v/>
      </c>
      <c r="AG913" t="str">
        <f>IF([3]Entry!$E$916="","",[3]Entry!$E$916)</f>
        <v/>
      </c>
      <c r="AH913" t="str">
        <f>IF([3]Entry!$G$916="","",[3]Entry!$G$916)</f>
        <v/>
      </c>
      <c r="AI913" t="str">
        <f>IF([3]Entry!$K$916="","",[3]Entry!$K$916)</f>
        <v/>
      </c>
      <c r="AJ913" t="str">
        <f>IF([3]Entry!$L$916="","",[3]Entry!$L$916)</f>
        <v/>
      </c>
      <c r="AK913" t="str">
        <f>IF([3]Entry!$M$916="","",[3]Entry!$M$916)</f>
        <v/>
      </c>
      <c r="AL913" t="str">
        <f>IF([3]Entry!$N$916="","",[3]Entry!$N$916)</f>
        <v/>
      </c>
      <c r="AM913" t="str">
        <f>IF([3]Entry!$R$916="","",[3]Entry!$R$916)</f>
        <v/>
      </c>
    </row>
    <row r="914" spans="20:39" x14ac:dyDescent="0.2">
      <c r="T914" t="str">
        <f>IF([2]Baskol!$B$917="","",[2]Baskol!$B$917)</f>
        <v/>
      </c>
      <c r="U914" t="str">
        <f>IF([2]Baskol!$C$917="","",[2]Baskol!$C$917)</f>
        <v/>
      </c>
      <c r="V914" t="str">
        <f>IF([2]Baskol!$D$917="","",[2]Baskol!$D$917)</f>
        <v/>
      </c>
      <c r="W914" t="str">
        <f>IF([2]Baskol!$E$917="","",[2]Baskol!$E$917)</f>
        <v/>
      </c>
      <c r="X914" t="str">
        <f>IF([2]Baskol!$G$917="","",[2]Baskol!$G$917)</f>
        <v/>
      </c>
      <c r="Y914" t="str">
        <f>IF([2]Baskol!$I$917="","",[2]Baskol!$I$917)</f>
        <v/>
      </c>
      <c r="Z914" t="str">
        <f>IF([2]Baskol!$J$917="","",[2]Baskol!$J$917)</f>
        <v/>
      </c>
      <c r="AA914" t="str">
        <f>IF([2]Baskol!$K$917="","",[2]Baskol!$K$917)</f>
        <v/>
      </c>
      <c r="AB914" t="str">
        <f>IF([2]Baskol!$L$917="","",[2]Baskol!$L$917)</f>
        <v/>
      </c>
      <c r="AC914" t="str">
        <f>IF([2]Baskol!$N$917="","",[2]Baskol!$N$917)</f>
        <v/>
      </c>
      <c r="AD914" t="str">
        <f>IF([2]Baskol!$O$917="","",[2]Baskol!$O$917)</f>
        <v/>
      </c>
      <c r="AE914" t="str">
        <f>IF([3]Entry!$C$917="","",[3]Entry!$C$917)</f>
        <v/>
      </c>
      <c r="AF914" t="str">
        <f>IF([3]Entry!$D$917="","",[3]Entry!$D$917)</f>
        <v/>
      </c>
      <c r="AG914" t="str">
        <f>IF([3]Entry!$E$917="","",[3]Entry!$E$917)</f>
        <v/>
      </c>
      <c r="AH914" t="str">
        <f>IF([3]Entry!$G$917="","",[3]Entry!$G$917)</f>
        <v/>
      </c>
      <c r="AI914" t="str">
        <f>IF([3]Entry!$K$917="","",[3]Entry!$K$917)</f>
        <v/>
      </c>
      <c r="AJ914" t="str">
        <f>IF([3]Entry!$L$917="","",[3]Entry!$L$917)</f>
        <v/>
      </c>
      <c r="AK914" t="str">
        <f>IF([3]Entry!$M$917="","",[3]Entry!$M$917)</f>
        <v/>
      </c>
      <c r="AL914" t="str">
        <f>IF([3]Entry!$N$917="","",[3]Entry!$N$917)</f>
        <v/>
      </c>
      <c r="AM914" t="str">
        <f>IF([3]Entry!$R$917="","",[3]Entry!$R$917)</f>
        <v/>
      </c>
    </row>
    <row r="915" spans="20:39" x14ac:dyDescent="0.2">
      <c r="T915" t="str">
        <f>IF([2]Baskol!$B$918="","",[2]Baskol!$B$918)</f>
        <v/>
      </c>
      <c r="U915" t="str">
        <f>IF([2]Baskol!$C$918="","",[2]Baskol!$C$918)</f>
        <v/>
      </c>
      <c r="V915" t="str">
        <f>IF([2]Baskol!$D$918="","",[2]Baskol!$D$918)</f>
        <v/>
      </c>
      <c r="W915" t="str">
        <f>IF([2]Baskol!$E$918="","",[2]Baskol!$E$918)</f>
        <v/>
      </c>
      <c r="X915" t="str">
        <f>IF([2]Baskol!$G$918="","",[2]Baskol!$G$918)</f>
        <v/>
      </c>
      <c r="Y915" t="str">
        <f>IF([2]Baskol!$I$918="","",[2]Baskol!$I$918)</f>
        <v/>
      </c>
      <c r="Z915" t="str">
        <f>IF([2]Baskol!$J$918="","",[2]Baskol!$J$918)</f>
        <v/>
      </c>
      <c r="AA915" t="str">
        <f>IF([2]Baskol!$K$918="","",[2]Baskol!$K$918)</f>
        <v/>
      </c>
      <c r="AB915" t="str">
        <f>IF([2]Baskol!$L$918="","",[2]Baskol!$L$918)</f>
        <v/>
      </c>
      <c r="AC915" t="str">
        <f>IF([2]Baskol!$N$918="","",[2]Baskol!$N$918)</f>
        <v/>
      </c>
      <c r="AD915" t="str">
        <f>IF([2]Baskol!$O$918="","",[2]Baskol!$O$918)</f>
        <v/>
      </c>
      <c r="AE915" t="str">
        <f>IF([3]Entry!$C$918="","",[3]Entry!$C$918)</f>
        <v/>
      </c>
      <c r="AF915" t="str">
        <f>IF([3]Entry!$D$918="","",[3]Entry!$D$918)</f>
        <v/>
      </c>
      <c r="AG915" t="str">
        <f>IF([3]Entry!$E$918="","",[3]Entry!$E$918)</f>
        <v/>
      </c>
      <c r="AH915" t="str">
        <f>IF([3]Entry!$G$918="","",[3]Entry!$G$918)</f>
        <v/>
      </c>
      <c r="AI915" t="str">
        <f>IF([3]Entry!$K$918="","",[3]Entry!$K$918)</f>
        <v/>
      </c>
      <c r="AJ915" t="str">
        <f>IF([3]Entry!$L$918="","",[3]Entry!$L$918)</f>
        <v/>
      </c>
      <c r="AK915" t="str">
        <f>IF([3]Entry!$M$918="","",[3]Entry!$M$918)</f>
        <v/>
      </c>
      <c r="AL915" t="str">
        <f>IF([3]Entry!$N$918="","",[3]Entry!$N$918)</f>
        <v/>
      </c>
      <c r="AM915" t="str">
        <f>IF([3]Entry!$R$918="","",[3]Entry!$R$918)</f>
        <v/>
      </c>
    </row>
    <row r="916" spans="20:39" x14ac:dyDescent="0.2">
      <c r="T916" t="str">
        <f>IF([2]Baskol!$B$919="","",[2]Baskol!$B$919)</f>
        <v/>
      </c>
      <c r="U916" t="str">
        <f>IF([2]Baskol!$C$919="","",[2]Baskol!$C$919)</f>
        <v/>
      </c>
      <c r="V916" t="str">
        <f>IF([2]Baskol!$D$919="","",[2]Baskol!$D$919)</f>
        <v/>
      </c>
      <c r="W916" t="str">
        <f>IF([2]Baskol!$E$919="","",[2]Baskol!$E$919)</f>
        <v/>
      </c>
      <c r="X916" t="str">
        <f>IF([2]Baskol!$G$919="","",[2]Baskol!$G$919)</f>
        <v/>
      </c>
      <c r="Y916" t="str">
        <f>IF([2]Baskol!$I$919="","",[2]Baskol!$I$919)</f>
        <v/>
      </c>
      <c r="Z916" t="str">
        <f>IF([2]Baskol!$J$919="","",[2]Baskol!$J$919)</f>
        <v/>
      </c>
      <c r="AA916" t="str">
        <f>IF([2]Baskol!$K$919="","",[2]Baskol!$K$919)</f>
        <v/>
      </c>
      <c r="AB916" t="str">
        <f>IF([2]Baskol!$L$919="","",[2]Baskol!$L$919)</f>
        <v/>
      </c>
      <c r="AC916" t="str">
        <f>IF([2]Baskol!$N$919="","",[2]Baskol!$N$919)</f>
        <v/>
      </c>
      <c r="AD916" t="str">
        <f>IF([2]Baskol!$O$919="","",[2]Baskol!$O$919)</f>
        <v/>
      </c>
      <c r="AE916" t="str">
        <f>IF([3]Entry!$C$919="","",[3]Entry!$C$919)</f>
        <v/>
      </c>
      <c r="AF916" t="str">
        <f>IF([3]Entry!$D$919="","",[3]Entry!$D$919)</f>
        <v/>
      </c>
      <c r="AG916" t="str">
        <f>IF([3]Entry!$E$919="","",[3]Entry!$E$919)</f>
        <v/>
      </c>
      <c r="AH916" t="str">
        <f>IF([3]Entry!$G$919="","",[3]Entry!$G$919)</f>
        <v/>
      </c>
      <c r="AI916" t="str">
        <f>IF([3]Entry!$K$919="","",[3]Entry!$K$919)</f>
        <v/>
      </c>
      <c r="AJ916" t="str">
        <f>IF([3]Entry!$L$919="","",[3]Entry!$L$919)</f>
        <v/>
      </c>
      <c r="AK916" t="str">
        <f>IF([3]Entry!$M$919="","",[3]Entry!$M$919)</f>
        <v/>
      </c>
      <c r="AL916" t="str">
        <f>IF([3]Entry!$N$919="","",[3]Entry!$N$919)</f>
        <v/>
      </c>
      <c r="AM916" t="str">
        <f>IF([3]Entry!$R$919="","",[3]Entry!$R$919)</f>
        <v/>
      </c>
    </row>
    <row r="917" spans="20:39" x14ac:dyDescent="0.2">
      <c r="T917" t="str">
        <f>IF([2]Baskol!$B$920="","",[2]Baskol!$B$920)</f>
        <v/>
      </c>
      <c r="U917" t="str">
        <f>IF([2]Baskol!$C$920="","",[2]Baskol!$C$920)</f>
        <v/>
      </c>
      <c r="V917" t="str">
        <f>IF([2]Baskol!$D$920="","",[2]Baskol!$D$920)</f>
        <v/>
      </c>
      <c r="W917" t="str">
        <f>IF([2]Baskol!$E$920="","",[2]Baskol!$E$920)</f>
        <v/>
      </c>
      <c r="X917" t="str">
        <f>IF([2]Baskol!$G$920="","",[2]Baskol!$G$920)</f>
        <v/>
      </c>
      <c r="Y917" t="str">
        <f>IF([2]Baskol!$I$920="","",[2]Baskol!$I$920)</f>
        <v/>
      </c>
      <c r="Z917" t="str">
        <f>IF([2]Baskol!$J$920="","",[2]Baskol!$J$920)</f>
        <v/>
      </c>
      <c r="AA917" t="str">
        <f>IF([2]Baskol!$K$920="","",[2]Baskol!$K$920)</f>
        <v/>
      </c>
      <c r="AB917" t="str">
        <f>IF([2]Baskol!$L$920="","",[2]Baskol!$L$920)</f>
        <v/>
      </c>
      <c r="AC917" t="str">
        <f>IF([2]Baskol!$N$920="","",[2]Baskol!$N$920)</f>
        <v/>
      </c>
      <c r="AD917" t="str">
        <f>IF([2]Baskol!$O$920="","",[2]Baskol!$O$920)</f>
        <v/>
      </c>
      <c r="AE917" t="str">
        <f>IF([3]Entry!$C$920="","",[3]Entry!$C$920)</f>
        <v/>
      </c>
      <c r="AF917" t="str">
        <f>IF([3]Entry!$D$920="","",[3]Entry!$D$920)</f>
        <v/>
      </c>
      <c r="AG917" t="str">
        <f>IF([3]Entry!$E$920="","",[3]Entry!$E$920)</f>
        <v/>
      </c>
      <c r="AH917" t="str">
        <f>IF([3]Entry!$G$920="","",[3]Entry!$G$920)</f>
        <v/>
      </c>
      <c r="AI917" t="str">
        <f>IF([3]Entry!$K$920="","",[3]Entry!$K$920)</f>
        <v/>
      </c>
      <c r="AJ917" t="str">
        <f>IF([3]Entry!$L$920="","",[3]Entry!$L$920)</f>
        <v/>
      </c>
      <c r="AK917" t="str">
        <f>IF([3]Entry!$M$920="","",[3]Entry!$M$920)</f>
        <v/>
      </c>
      <c r="AL917" t="str">
        <f>IF([3]Entry!$N$920="","",[3]Entry!$N$920)</f>
        <v/>
      </c>
      <c r="AM917" t="str">
        <f>IF([3]Entry!$R$920="","",[3]Entry!$R$920)</f>
        <v/>
      </c>
    </row>
    <row r="918" spans="20:39" x14ac:dyDescent="0.2">
      <c r="T918" t="str">
        <f>IF([2]Baskol!$B$921="","",[2]Baskol!$B$921)</f>
        <v/>
      </c>
      <c r="U918" t="str">
        <f>IF([2]Baskol!$C$921="","",[2]Baskol!$C$921)</f>
        <v/>
      </c>
      <c r="V918" t="str">
        <f>IF([2]Baskol!$D$921="","",[2]Baskol!$D$921)</f>
        <v/>
      </c>
      <c r="W918" t="str">
        <f>IF([2]Baskol!$E$921="","",[2]Baskol!$E$921)</f>
        <v/>
      </c>
      <c r="X918" t="str">
        <f>IF([2]Baskol!$G$921="","",[2]Baskol!$G$921)</f>
        <v/>
      </c>
      <c r="Y918" t="str">
        <f>IF([2]Baskol!$I$921="","",[2]Baskol!$I$921)</f>
        <v/>
      </c>
      <c r="Z918" t="str">
        <f>IF([2]Baskol!$J$921="","",[2]Baskol!$J$921)</f>
        <v/>
      </c>
      <c r="AA918" t="str">
        <f>IF([2]Baskol!$K$921="","",[2]Baskol!$K$921)</f>
        <v/>
      </c>
      <c r="AB918" t="str">
        <f>IF([2]Baskol!$L$921="","",[2]Baskol!$L$921)</f>
        <v/>
      </c>
      <c r="AC918" t="str">
        <f>IF([2]Baskol!$N$921="","",[2]Baskol!$N$921)</f>
        <v/>
      </c>
      <c r="AD918" t="str">
        <f>IF([2]Baskol!$O$921="","",[2]Baskol!$O$921)</f>
        <v/>
      </c>
      <c r="AE918" t="str">
        <f>IF([3]Entry!$C$921="","",[3]Entry!$C$921)</f>
        <v/>
      </c>
      <c r="AF918" t="str">
        <f>IF([3]Entry!$D$921="","",[3]Entry!$D$921)</f>
        <v/>
      </c>
      <c r="AG918" t="str">
        <f>IF([3]Entry!$E$921="","",[3]Entry!$E$921)</f>
        <v/>
      </c>
      <c r="AH918" t="str">
        <f>IF([3]Entry!$G$921="","",[3]Entry!$G$921)</f>
        <v/>
      </c>
      <c r="AI918" t="str">
        <f>IF([3]Entry!$K$921="","",[3]Entry!$K$921)</f>
        <v/>
      </c>
      <c r="AJ918" t="str">
        <f>IF([3]Entry!$L$921="","",[3]Entry!$L$921)</f>
        <v/>
      </c>
      <c r="AK918" t="str">
        <f>IF([3]Entry!$M$921="","",[3]Entry!$M$921)</f>
        <v/>
      </c>
      <c r="AL918" t="str">
        <f>IF([3]Entry!$N$921="","",[3]Entry!$N$921)</f>
        <v/>
      </c>
      <c r="AM918" t="str">
        <f>IF([3]Entry!$R$921="","",[3]Entry!$R$921)</f>
        <v/>
      </c>
    </row>
    <row r="919" spans="20:39" x14ac:dyDescent="0.2">
      <c r="T919" t="str">
        <f>IF([2]Baskol!$B$922="","",[2]Baskol!$B$922)</f>
        <v/>
      </c>
      <c r="U919" t="str">
        <f>IF([2]Baskol!$C$922="","",[2]Baskol!$C$922)</f>
        <v/>
      </c>
      <c r="V919" t="str">
        <f>IF([2]Baskol!$D$922="","",[2]Baskol!$D$922)</f>
        <v/>
      </c>
      <c r="W919" t="str">
        <f>IF([2]Baskol!$E$922="","",[2]Baskol!$E$922)</f>
        <v/>
      </c>
      <c r="X919" t="str">
        <f>IF([2]Baskol!$G$922="","",[2]Baskol!$G$922)</f>
        <v/>
      </c>
      <c r="Y919" t="str">
        <f>IF([2]Baskol!$I$922="","",[2]Baskol!$I$922)</f>
        <v/>
      </c>
      <c r="Z919" t="str">
        <f>IF([2]Baskol!$J$922="","",[2]Baskol!$J$922)</f>
        <v/>
      </c>
      <c r="AA919" t="str">
        <f>IF([2]Baskol!$K$922="","",[2]Baskol!$K$922)</f>
        <v/>
      </c>
      <c r="AB919" t="str">
        <f>IF([2]Baskol!$L$922="","",[2]Baskol!$L$922)</f>
        <v/>
      </c>
      <c r="AC919" t="str">
        <f>IF([2]Baskol!$N$922="","",[2]Baskol!$N$922)</f>
        <v/>
      </c>
      <c r="AD919" t="str">
        <f>IF([2]Baskol!$O$922="","",[2]Baskol!$O$922)</f>
        <v/>
      </c>
      <c r="AE919" t="str">
        <f>IF([3]Entry!$C$922="","",[3]Entry!$C$922)</f>
        <v/>
      </c>
      <c r="AF919" t="str">
        <f>IF([3]Entry!$D$922="","",[3]Entry!$D$922)</f>
        <v/>
      </c>
      <c r="AG919" t="str">
        <f>IF([3]Entry!$E$922="","",[3]Entry!$E$922)</f>
        <v/>
      </c>
      <c r="AH919" t="str">
        <f>IF([3]Entry!$G$922="","",[3]Entry!$G$922)</f>
        <v/>
      </c>
      <c r="AI919" t="str">
        <f>IF([3]Entry!$K$922="","",[3]Entry!$K$922)</f>
        <v/>
      </c>
      <c r="AJ919" t="str">
        <f>IF([3]Entry!$L$922="","",[3]Entry!$L$922)</f>
        <v/>
      </c>
      <c r="AK919" t="str">
        <f>IF([3]Entry!$M$922="","",[3]Entry!$M$922)</f>
        <v/>
      </c>
      <c r="AL919" t="str">
        <f>IF([3]Entry!$N$922="","",[3]Entry!$N$922)</f>
        <v/>
      </c>
      <c r="AM919" t="str">
        <f>IF([3]Entry!$R$922="","",[3]Entry!$R$922)</f>
        <v/>
      </c>
    </row>
    <row r="920" spans="20:39" x14ac:dyDescent="0.2">
      <c r="T920" t="str">
        <f>IF([2]Baskol!$B$923="","",[2]Baskol!$B$923)</f>
        <v/>
      </c>
      <c r="U920" t="str">
        <f>IF([2]Baskol!$C$923="","",[2]Baskol!$C$923)</f>
        <v/>
      </c>
      <c r="V920" t="str">
        <f>IF([2]Baskol!$D$923="","",[2]Baskol!$D$923)</f>
        <v/>
      </c>
      <c r="W920" t="str">
        <f>IF([2]Baskol!$E$923="","",[2]Baskol!$E$923)</f>
        <v/>
      </c>
      <c r="X920" t="str">
        <f>IF([2]Baskol!$G$923="","",[2]Baskol!$G$923)</f>
        <v/>
      </c>
      <c r="Y920" t="str">
        <f>IF([2]Baskol!$I$923="","",[2]Baskol!$I$923)</f>
        <v/>
      </c>
      <c r="Z920" t="str">
        <f>IF([2]Baskol!$J$923="","",[2]Baskol!$J$923)</f>
        <v/>
      </c>
      <c r="AA920" t="str">
        <f>IF([2]Baskol!$K$923="","",[2]Baskol!$K$923)</f>
        <v/>
      </c>
      <c r="AB920" t="str">
        <f>IF([2]Baskol!$L$923="","",[2]Baskol!$L$923)</f>
        <v/>
      </c>
      <c r="AC920" t="str">
        <f>IF([2]Baskol!$N$923="","",[2]Baskol!$N$923)</f>
        <v/>
      </c>
      <c r="AD920" t="str">
        <f>IF([2]Baskol!$O$923="","",[2]Baskol!$O$923)</f>
        <v/>
      </c>
      <c r="AE920" t="str">
        <f>IF([3]Entry!$C$923="","",[3]Entry!$C$923)</f>
        <v/>
      </c>
      <c r="AF920" t="str">
        <f>IF([3]Entry!$D$923="","",[3]Entry!$D$923)</f>
        <v/>
      </c>
      <c r="AG920" t="str">
        <f>IF([3]Entry!$E$923="","",[3]Entry!$E$923)</f>
        <v/>
      </c>
      <c r="AH920" t="str">
        <f>IF([3]Entry!$G$923="","",[3]Entry!$G$923)</f>
        <v/>
      </c>
      <c r="AI920" t="str">
        <f>IF([3]Entry!$K$923="","",[3]Entry!$K$923)</f>
        <v/>
      </c>
      <c r="AJ920" t="str">
        <f>IF([3]Entry!$L$923="","",[3]Entry!$L$923)</f>
        <v/>
      </c>
      <c r="AK920" t="str">
        <f>IF([3]Entry!$M$923="","",[3]Entry!$M$923)</f>
        <v/>
      </c>
      <c r="AL920" t="str">
        <f>IF([3]Entry!$N$923="","",[3]Entry!$N$923)</f>
        <v/>
      </c>
      <c r="AM920" t="str">
        <f>IF([3]Entry!$R$923="","",[3]Entry!$R$923)</f>
        <v/>
      </c>
    </row>
    <row r="921" spans="20:39" x14ac:dyDescent="0.2">
      <c r="T921" t="str">
        <f>IF([2]Baskol!$B$924="","",[2]Baskol!$B$924)</f>
        <v/>
      </c>
      <c r="U921" t="str">
        <f>IF([2]Baskol!$C$924="","",[2]Baskol!$C$924)</f>
        <v/>
      </c>
      <c r="V921" t="str">
        <f>IF([2]Baskol!$D$924="","",[2]Baskol!$D$924)</f>
        <v/>
      </c>
      <c r="W921" t="str">
        <f>IF([2]Baskol!$E$924="","",[2]Baskol!$E$924)</f>
        <v/>
      </c>
      <c r="X921" t="str">
        <f>IF([2]Baskol!$G$924="","",[2]Baskol!$G$924)</f>
        <v/>
      </c>
      <c r="Y921" t="str">
        <f>IF([2]Baskol!$I$924="","",[2]Baskol!$I$924)</f>
        <v/>
      </c>
      <c r="Z921" t="str">
        <f>IF([2]Baskol!$J$924="","",[2]Baskol!$J$924)</f>
        <v/>
      </c>
      <c r="AA921" t="str">
        <f>IF([2]Baskol!$K$924="","",[2]Baskol!$K$924)</f>
        <v/>
      </c>
      <c r="AB921" t="str">
        <f>IF([2]Baskol!$L$924="","",[2]Baskol!$L$924)</f>
        <v/>
      </c>
      <c r="AC921" t="str">
        <f>IF([2]Baskol!$N$924="","",[2]Baskol!$N$924)</f>
        <v/>
      </c>
      <c r="AD921" t="str">
        <f>IF([2]Baskol!$O$924="","",[2]Baskol!$O$924)</f>
        <v/>
      </c>
      <c r="AE921" t="str">
        <f>IF([3]Entry!$C$924="","",[3]Entry!$C$924)</f>
        <v/>
      </c>
      <c r="AF921" t="str">
        <f>IF([3]Entry!$D$924="","",[3]Entry!$D$924)</f>
        <v/>
      </c>
      <c r="AG921" t="str">
        <f>IF([3]Entry!$E$924="","",[3]Entry!$E$924)</f>
        <v/>
      </c>
      <c r="AH921" t="str">
        <f>IF([3]Entry!$G$924="","",[3]Entry!$G$924)</f>
        <v/>
      </c>
      <c r="AI921" t="str">
        <f>IF([3]Entry!$K$924="","",[3]Entry!$K$924)</f>
        <v/>
      </c>
      <c r="AJ921" t="str">
        <f>IF([3]Entry!$L$924="","",[3]Entry!$L$924)</f>
        <v/>
      </c>
      <c r="AK921" t="str">
        <f>IF([3]Entry!$M$924="","",[3]Entry!$M$924)</f>
        <v/>
      </c>
      <c r="AL921" t="str">
        <f>IF([3]Entry!$N$924="","",[3]Entry!$N$924)</f>
        <v/>
      </c>
      <c r="AM921" t="str">
        <f>IF([3]Entry!$R$924="","",[3]Entry!$R$924)</f>
        <v/>
      </c>
    </row>
    <row r="922" spans="20:39" x14ac:dyDescent="0.2">
      <c r="T922" t="str">
        <f>IF([2]Baskol!$B$925="","",[2]Baskol!$B$925)</f>
        <v/>
      </c>
      <c r="U922" t="str">
        <f>IF([2]Baskol!$C$925="","",[2]Baskol!$C$925)</f>
        <v/>
      </c>
      <c r="V922" t="str">
        <f>IF([2]Baskol!$D$925="","",[2]Baskol!$D$925)</f>
        <v/>
      </c>
      <c r="W922" t="str">
        <f>IF([2]Baskol!$E$925="","",[2]Baskol!$E$925)</f>
        <v/>
      </c>
      <c r="X922" t="str">
        <f>IF([2]Baskol!$G$925="","",[2]Baskol!$G$925)</f>
        <v/>
      </c>
      <c r="Y922" t="str">
        <f>IF([2]Baskol!$I$925="","",[2]Baskol!$I$925)</f>
        <v/>
      </c>
      <c r="Z922" t="str">
        <f>IF([2]Baskol!$J$925="","",[2]Baskol!$J$925)</f>
        <v/>
      </c>
      <c r="AA922" t="str">
        <f>IF([2]Baskol!$K$925="","",[2]Baskol!$K$925)</f>
        <v/>
      </c>
      <c r="AB922" t="str">
        <f>IF([2]Baskol!$L$925="","",[2]Baskol!$L$925)</f>
        <v/>
      </c>
      <c r="AC922" t="str">
        <f>IF([2]Baskol!$N$925="","",[2]Baskol!$N$925)</f>
        <v/>
      </c>
      <c r="AD922" t="str">
        <f>IF([2]Baskol!$O$925="","",[2]Baskol!$O$925)</f>
        <v/>
      </c>
      <c r="AE922" t="str">
        <f>IF([3]Entry!$C$925="","",[3]Entry!$C$925)</f>
        <v/>
      </c>
      <c r="AF922" t="str">
        <f>IF([3]Entry!$D$925="","",[3]Entry!$D$925)</f>
        <v/>
      </c>
      <c r="AG922" t="str">
        <f>IF([3]Entry!$E$925="","",[3]Entry!$E$925)</f>
        <v/>
      </c>
      <c r="AH922" t="str">
        <f>IF([3]Entry!$G$925="","",[3]Entry!$G$925)</f>
        <v/>
      </c>
      <c r="AI922" t="str">
        <f>IF([3]Entry!$K$925="","",[3]Entry!$K$925)</f>
        <v/>
      </c>
      <c r="AJ922" t="str">
        <f>IF([3]Entry!$L$925="","",[3]Entry!$L$925)</f>
        <v/>
      </c>
      <c r="AK922" t="str">
        <f>IF([3]Entry!$M$925="","",[3]Entry!$M$925)</f>
        <v/>
      </c>
      <c r="AL922" t="str">
        <f>IF([3]Entry!$N$925="","",[3]Entry!$N$925)</f>
        <v/>
      </c>
      <c r="AM922" t="str">
        <f>IF([3]Entry!$R$925="","",[3]Entry!$R$925)</f>
        <v/>
      </c>
    </row>
    <row r="923" spans="20:39" x14ac:dyDescent="0.2">
      <c r="T923" t="str">
        <f>IF([2]Baskol!$B$926="","",[2]Baskol!$B$926)</f>
        <v/>
      </c>
      <c r="U923" t="str">
        <f>IF([2]Baskol!$C$926="","",[2]Baskol!$C$926)</f>
        <v/>
      </c>
      <c r="V923" t="str">
        <f>IF([2]Baskol!$D$926="","",[2]Baskol!$D$926)</f>
        <v/>
      </c>
      <c r="W923" t="str">
        <f>IF([2]Baskol!$E$926="","",[2]Baskol!$E$926)</f>
        <v/>
      </c>
      <c r="X923" t="str">
        <f>IF([2]Baskol!$G$926="","",[2]Baskol!$G$926)</f>
        <v/>
      </c>
      <c r="Y923" t="str">
        <f>IF([2]Baskol!$I$926="","",[2]Baskol!$I$926)</f>
        <v/>
      </c>
      <c r="Z923" t="str">
        <f>IF([2]Baskol!$J$926="","",[2]Baskol!$J$926)</f>
        <v/>
      </c>
      <c r="AA923" t="str">
        <f>IF([2]Baskol!$K$926="","",[2]Baskol!$K$926)</f>
        <v/>
      </c>
      <c r="AB923" t="str">
        <f>IF([2]Baskol!$L$926="","",[2]Baskol!$L$926)</f>
        <v/>
      </c>
      <c r="AC923" t="str">
        <f>IF([2]Baskol!$N$926="","",[2]Baskol!$N$926)</f>
        <v/>
      </c>
      <c r="AD923" t="str">
        <f>IF([2]Baskol!$O$926="","",[2]Baskol!$O$926)</f>
        <v/>
      </c>
      <c r="AE923" t="str">
        <f>IF([3]Entry!$C$926="","",[3]Entry!$C$926)</f>
        <v/>
      </c>
      <c r="AF923" t="str">
        <f>IF([3]Entry!$D$926="","",[3]Entry!$D$926)</f>
        <v/>
      </c>
      <c r="AG923" t="str">
        <f>IF([3]Entry!$E$926="","",[3]Entry!$E$926)</f>
        <v/>
      </c>
      <c r="AH923" t="str">
        <f>IF([3]Entry!$G$926="","",[3]Entry!$G$926)</f>
        <v/>
      </c>
      <c r="AI923" t="str">
        <f>IF([3]Entry!$K$926="","",[3]Entry!$K$926)</f>
        <v/>
      </c>
      <c r="AJ923" t="str">
        <f>IF([3]Entry!$L$926="","",[3]Entry!$L$926)</f>
        <v/>
      </c>
      <c r="AK923" t="str">
        <f>IF([3]Entry!$M$926="","",[3]Entry!$M$926)</f>
        <v/>
      </c>
      <c r="AL923" t="str">
        <f>IF([3]Entry!$N$926="","",[3]Entry!$N$926)</f>
        <v/>
      </c>
      <c r="AM923" t="str">
        <f>IF([3]Entry!$R$926="","",[3]Entry!$R$926)</f>
        <v/>
      </c>
    </row>
    <row r="924" spans="20:39" x14ac:dyDescent="0.2">
      <c r="T924" t="str">
        <f>IF([2]Baskol!$B$927="","",[2]Baskol!$B$927)</f>
        <v/>
      </c>
      <c r="U924" t="str">
        <f>IF([2]Baskol!$C$927="","",[2]Baskol!$C$927)</f>
        <v/>
      </c>
      <c r="V924" t="str">
        <f>IF([2]Baskol!$D$927="","",[2]Baskol!$D$927)</f>
        <v/>
      </c>
      <c r="W924" t="str">
        <f>IF([2]Baskol!$E$927="","",[2]Baskol!$E$927)</f>
        <v/>
      </c>
      <c r="X924" t="str">
        <f>IF([2]Baskol!$G$927="","",[2]Baskol!$G$927)</f>
        <v/>
      </c>
      <c r="Y924" t="str">
        <f>IF([2]Baskol!$I$927="","",[2]Baskol!$I$927)</f>
        <v/>
      </c>
      <c r="Z924" t="str">
        <f>IF([2]Baskol!$J$927="","",[2]Baskol!$J$927)</f>
        <v/>
      </c>
      <c r="AA924" t="str">
        <f>IF([2]Baskol!$K$927="","",[2]Baskol!$K$927)</f>
        <v/>
      </c>
      <c r="AB924" t="str">
        <f>IF([2]Baskol!$L$927="","",[2]Baskol!$L$927)</f>
        <v/>
      </c>
      <c r="AC924" t="str">
        <f>IF([2]Baskol!$N$927="","",[2]Baskol!$N$927)</f>
        <v/>
      </c>
      <c r="AD924" t="str">
        <f>IF([2]Baskol!$O$927="","",[2]Baskol!$O$927)</f>
        <v/>
      </c>
      <c r="AE924" t="str">
        <f>IF([3]Entry!$C$927="","",[3]Entry!$C$927)</f>
        <v/>
      </c>
      <c r="AF924" t="str">
        <f>IF([3]Entry!$D$927="","",[3]Entry!$D$927)</f>
        <v/>
      </c>
      <c r="AG924" t="str">
        <f>IF([3]Entry!$E$927="","",[3]Entry!$E$927)</f>
        <v/>
      </c>
      <c r="AH924" t="str">
        <f>IF([3]Entry!$G$927="","",[3]Entry!$G$927)</f>
        <v/>
      </c>
      <c r="AI924" t="str">
        <f>IF([3]Entry!$K$927="","",[3]Entry!$K$927)</f>
        <v/>
      </c>
      <c r="AJ924" t="str">
        <f>IF([3]Entry!$L$927="","",[3]Entry!$L$927)</f>
        <v/>
      </c>
      <c r="AK924" t="str">
        <f>IF([3]Entry!$M$927="","",[3]Entry!$M$927)</f>
        <v/>
      </c>
      <c r="AL924" t="str">
        <f>IF([3]Entry!$N$927="","",[3]Entry!$N$927)</f>
        <v/>
      </c>
      <c r="AM924" t="str">
        <f>IF([3]Entry!$R$927="","",[3]Entry!$R$927)</f>
        <v/>
      </c>
    </row>
    <row r="925" spans="20:39" x14ac:dyDescent="0.2">
      <c r="T925" t="str">
        <f>IF([2]Baskol!$B$928="","",[2]Baskol!$B$928)</f>
        <v/>
      </c>
      <c r="U925" t="str">
        <f>IF([2]Baskol!$C$928="","",[2]Baskol!$C$928)</f>
        <v/>
      </c>
      <c r="V925" t="str">
        <f>IF([2]Baskol!$D$928="","",[2]Baskol!$D$928)</f>
        <v/>
      </c>
      <c r="W925" t="str">
        <f>IF([2]Baskol!$E$928="","",[2]Baskol!$E$928)</f>
        <v/>
      </c>
      <c r="X925" t="str">
        <f>IF([2]Baskol!$G$928="","",[2]Baskol!$G$928)</f>
        <v/>
      </c>
      <c r="Y925" t="str">
        <f>IF([2]Baskol!$I$928="","",[2]Baskol!$I$928)</f>
        <v/>
      </c>
      <c r="Z925" t="str">
        <f>IF([2]Baskol!$J$928="","",[2]Baskol!$J$928)</f>
        <v/>
      </c>
      <c r="AA925" t="str">
        <f>IF([2]Baskol!$K$928="","",[2]Baskol!$K$928)</f>
        <v/>
      </c>
      <c r="AB925" t="str">
        <f>IF([2]Baskol!$L$928="","",[2]Baskol!$L$928)</f>
        <v/>
      </c>
      <c r="AC925" t="str">
        <f>IF([2]Baskol!$N$928="","",[2]Baskol!$N$928)</f>
        <v/>
      </c>
      <c r="AD925" t="str">
        <f>IF([2]Baskol!$O$928="","",[2]Baskol!$O$928)</f>
        <v/>
      </c>
      <c r="AE925" t="str">
        <f>IF([3]Entry!$C$928="","",[3]Entry!$C$928)</f>
        <v/>
      </c>
      <c r="AF925" t="str">
        <f>IF([3]Entry!$D$928="","",[3]Entry!$D$928)</f>
        <v/>
      </c>
      <c r="AG925" t="str">
        <f>IF([3]Entry!$E$928="","",[3]Entry!$E$928)</f>
        <v/>
      </c>
      <c r="AH925" t="str">
        <f>IF([3]Entry!$G$928="","",[3]Entry!$G$928)</f>
        <v/>
      </c>
      <c r="AI925" t="str">
        <f>IF([3]Entry!$K$928="","",[3]Entry!$K$928)</f>
        <v/>
      </c>
      <c r="AJ925" t="str">
        <f>IF([3]Entry!$L$928="","",[3]Entry!$L$928)</f>
        <v/>
      </c>
      <c r="AK925" t="str">
        <f>IF([3]Entry!$M$928="","",[3]Entry!$M$928)</f>
        <v/>
      </c>
      <c r="AL925" t="str">
        <f>IF([3]Entry!$N$928="","",[3]Entry!$N$928)</f>
        <v/>
      </c>
      <c r="AM925" t="str">
        <f>IF([3]Entry!$R$928="","",[3]Entry!$R$928)</f>
        <v/>
      </c>
    </row>
    <row r="926" spans="20:39" x14ac:dyDescent="0.2">
      <c r="T926" t="str">
        <f>IF([2]Baskol!$B$929="","",[2]Baskol!$B$929)</f>
        <v/>
      </c>
      <c r="U926" t="str">
        <f>IF([2]Baskol!$C$929="","",[2]Baskol!$C$929)</f>
        <v/>
      </c>
      <c r="V926" t="str">
        <f>IF([2]Baskol!$D$929="","",[2]Baskol!$D$929)</f>
        <v/>
      </c>
      <c r="W926" t="str">
        <f>IF([2]Baskol!$E$929="","",[2]Baskol!$E$929)</f>
        <v/>
      </c>
      <c r="X926" t="str">
        <f>IF([2]Baskol!$G$929="","",[2]Baskol!$G$929)</f>
        <v/>
      </c>
      <c r="Y926" t="str">
        <f>IF([2]Baskol!$I$929="","",[2]Baskol!$I$929)</f>
        <v/>
      </c>
      <c r="Z926" t="str">
        <f>IF([2]Baskol!$J$929="","",[2]Baskol!$J$929)</f>
        <v/>
      </c>
      <c r="AA926" t="str">
        <f>IF([2]Baskol!$K$929="","",[2]Baskol!$K$929)</f>
        <v/>
      </c>
      <c r="AB926" t="str">
        <f>IF([2]Baskol!$L$929="","",[2]Baskol!$L$929)</f>
        <v/>
      </c>
      <c r="AC926" t="str">
        <f>IF([2]Baskol!$N$929="","",[2]Baskol!$N$929)</f>
        <v/>
      </c>
      <c r="AD926" t="str">
        <f>IF([2]Baskol!$O$929="","",[2]Baskol!$O$929)</f>
        <v/>
      </c>
      <c r="AE926" t="str">
        <f>IF([3]Entry!$C$929="","",[3]Entry!$C$929)</f>
        <v/>
      </c>
      <c r="AF926" t="str">
        <f>IF([3]Entry!$D$929="","",[3]Entry!$D$929)</f>
        <v/>
      </c>
      <c r="AG926" t="str">
        <f>IF([3]Entry!$E$929="","",[3]Entry!$E$929)</f>
        <v/>
      </c>
      <c r="AH926" t="str">
        <f>IF([3]Entry!$G$929="","",[3]Entry!$G$929)</f>
        <v/>
      </c>
      <c r="AI926" t="str">
        <f>IF([3]Entry!$K$929="","",[3]Entry!$K$929)</f>
        <v/>
      </c>
      <c r="AJ926" t="str">
        <f>IF([3]Entry!$L$929="","",[3]Entry!$L$929)</f>
        <v/>
      </c>
      <c r="AK926" t="str">
        <f>IF([3]Entry!$M$929="","",[3]Entry!$M$929)</f>
        <v/>
      </c>
      <c r="AL926" t="str">
        <f>IF([3]Entry!$N$929="","",[3]Entry!$N$929)</f>
        <v/>
      </c>
      <c r="AM926" t="str">
        <f>IF([3]Entry!$R$929="","",[3]Entry!$R$929)</f>
        <v/>
      </c>
    </row>
    <row r="927" spans="20:39" x14ac:dyDescent="0.2">
      <c r="T927" t="str">
        <f>IF([2]Baskol!$B$930="","",[2]Baskol!$B$930)</f>
        <v/>
      </c>
      <c r="U927" t="str">
        <f>IF([2]Baskol!$C$930="","",[2]Baskol!$C$930)</f>
        <v/>
      </c>
      <c r="V927" t="str">
        <f>IF([2]Baskol!$D$930="","",[2]Baskol!$D$930)</f>
        <v/>
      </c>
      <c r="W927" t="str">
        <f>IF([2]Baskol!$E$930="","",[2]Baskol!$E$930)</f>
        <v/>
      </c>
      <c r="X927" t="str">
        <f>IF([2]Baskol!$G$930="","",[2]Baskol!$G$930)</f>
        <v/>
      </c>
      <c r="Y927" t="str">
        <f>IF([2]Baskol!$I$930="","",[2]Baskol!$I$930)</f>
        <v/>
      </c>
      <c r="Z927" t="str">
        <f>IF([2]Baskol!$J$930="","",[2]Baskol!$J$930)</f>
        <v/>
      </c>
      <c r="AA927" t="str">
        <f>IF([2]Baskol!$K$930="","",[2]Baskol!$K$930)</f>
        <v/>
      </c>
      <c r="AB927" t="str">
        <f>IF([2]Baskol!$L$930="","",[2]Baskol!$L$930)</f>
        <v/>
      </c>
      <c r="AC927" t="str">
        <f>IF([2]Baskol!$N$930="","",[2]Baskol!$N$930)</f>
        <v/>
      </c>
      <c r="AD927" t="str">
        <f>IF([2]Baskol!$O$930="","",[2]Baskol!$O$930)</f>
        <v/>
      </c>
      <c r="AE927" t="str">
        <f>IF([3]Entry!$C$930="","",[3]Entry!$C$930)</f>
        <v/>
      </c>
      <c r="AF927" t="str">
        <f>IF([3]Entry!$D$930="","",[3]Entry!$D$930)</f>
        <v/>
      </c>
      <c r="AG927" t="str">
        <f>IF([3]Entry!$E$930="","",[3]Entry!$E$930)</f>
        <v/>
      </c>
      <c r="AH927" t="str">
        <f>IF([3]Entry!$G$930="","",[3]Entry!$G$930)</f>
        <v/>
      </c>
      <c r="AI927" t="str">
        <f>IF([3]Entry!$K$930="","",[3]Entry!$K$930)</f>
        <v/>
      </c>
      <c r="AJ927" t="str">
        <f>IF([3]Entry!$L$930="","",[3]Entry!$L$930)</f>
        <v/>
      </c>
      <c r="AK927" t="str">
        <f>IF([3]Entry!$M$930="","",[3]Entry!$M$930)</f>
        <v/>
      </c>
      <c r="AL927" t="str">
        <f>IF([3]Entry!$N$930="","",[3]Entry!$N$930)</f>
        <v/>
      </c>
      <c r="AM927" t="str">
        <f>IF([3]Entry!$R$930="","",[3]Entry!$R$930)</f>
        <v/>
      </c>
    </row>
    <row r="928" spans="20:39" x14ac:dyDescent="0.2">
      <c r="T928" t="str">
        <f>IF([2]Baskol!$B$931="","",[2]Baskol!$B$931)</f>
        <v/>
      </c>
      <c r="U928" t="str">
        <f>IF([2]Baskol!$C$931="","",[2]Baskol!$C$931)</f>
        <v/>
      </c>
      <c r="V928" t="str">
        <f>IF([2]Baskol!$D$931="","",[2]Baskol!$D$931)</f>
        <v/>
      </c>
      <c r="W928" t="str">
        <f>IF([2]Baskol!$E$931="","",[2]Baskol!$E$931)</f>
        <v/>
      </c>
      <c r="X928" t="str">
        <f>IF([2]Baskol!$G$931="","",[2]Baskol!$G$931)</f>
        <v/>
      </c>
      <c r="Y928" t="str">
        <f>IF([2]Baskol!$I$931="","",[2]Baskol!$I$931)</f>
        <v/>
      </c>
      <c r="Z928" t="str">
        <f>IF([2]Baskol!$J$931="","",[2]Baskol!$J$931)</f>
        <v/>
      </c>
      <c r="AA928" t="str">
        <f>IF([2]Baskol!$K$931="","",[2]Baskol!$K$931)</f>
        <v/>
      </c>
      <c r="AB928" t="str">
        <f>IF([2]Baskol!$L$931="","",[2]Baskol!$L$931)</f>
        <v/>
      </c>
      <c r="AC928" t="str">
        <f>IF([2]Baskol!$N$931="","",[2]Baskol!$N$931)</f>
        <v/>
      </c>
      <c r="AD928" t="str">
        <f>IF([2]Baskol!$O$931="","",[2]Baskol!$O$931)</f>
        <v/>
      </c>
      <c r="AE928" t="str">
        <f>IF([3]Entry!$C$931="","",[3]Entry!$C$931)</f>
        <v/>
      </c>
      <c r="AF928" t="str">
        <f>IF([3]Entry!$D$931="","",[3]Entry!$D$931)</f>
        <v/>
      </c>
      <c r="AG928" t="str">
        <f>IF([3]Entry!$E$931="","",[3]Entry!$E$931)</f>
        <v/>
      </c>
      <c r="AH928" t="str">
        <f>IF([3]Entry!$G$931="","",[3]Entry!$G$931)</f>
        <v/>
      </c>
      <c r="AI928" t="str">
        <f>IF([3]Entry!$K$931="","",[3]Entry!$K$931)</f>
        <v/>
      </c>
      <c r="AJ928" t="str">
        <f>IF([3]Entry!$L$931="","",[3]Entry!$L$931)</f>
        <v/>
      </c>
      <c r="AK928" t="str">
        <f>IF([3]Entry!$M$931="","",[3]Entry!$M$931)</f>
        <v/>
      </c>
      <c r="AL928" t="str">
        <f>IF([3]Entry!$N$931="","",[3]Entry!$N$931)</f>
        <v/>
      </c>
      <c r="AM928" t="str">
        <f>IF([3]Entry!$R$931="","",[3]Entry!$R$931)</f>
        <v/>
      </c>
    </row>
    <row r="929" spans="20:39" x14ac:dyDescent="0.2">
      <c r="T929" t="str">
        <f>IF([2]Baskol!$B$932="","",[2]Baskol!$B$932)</f>
        <v/>
      </c>
      <c r="U929" t="str">
        <f>IF([2]Baskol!$C$932="","",[2]Baskol!$C$932)</f>
        <v/>
      </c>
      <c r="V929" t="str">
        <f>IF([2]Baskol!$D$932="","",[2]Baskol!$D$932)</f>
        <v/>
      </c>
      <c r="W929" t="str">
        <f>IF([2]Baskol!$E$932="","",[2]Baskol!$E$932)</f>
        <v/>
      </c>
      <c r="X929" t="str">
        <f>IF([2]Baskol!$G$932="","",[2]Baskol!$G$932)</f>
        <v/>
      </c>
      <c r="Y929" t="str">
        <f>IF([2]Baskol!$I$932="","",[2]Baskol!$I$932)</f>
        <v/>
      </c>
      <c r="Z929" t="str">
        <f>IF([2]Baskol!$J$932="","",[2]Baskol!$J$932)</f>
        <v/>
      </c>
      <c r="AA929" t="str">
        <f>IF([2]Baskol!$K$932="","",[2]Baskol!$K$932)</f>
        <v/>
      </c>
      <c r="AB929" t="str">
        <f>IF([2]Baskol!$L$932="","",[2]Baskol!$L$932)</f>
        <v/>
      </c>
      <c r="AC929" t="str">
        <f>IF([2]Baskol!$N$932="","",[2]Baskol!$N$932)</f>
        <v/>
      </c>
      <c r="AD929" t="str">
        <f>IF([2]Baskol!$O$932="","",[2]Baskol!$O$932)</f>
        <v/>
      </c>
      <c r="AE929" t="str">
        <f>IF([3]Entry!$C$932="","",[3]Entry!$C$932)</f>
        <v/>
      </c>
      <c r="AF929" t="str">
        <f>IF([3]Entry!$D$932="","",[3]Entry!$D$932)</f>
        <v/>
      </c>
      <c r="AG929" t="str">
        <f>IF([3]Entry!$E$932="","",[3]Entry!$E$932)</f>
        <v/>
      </c>
      <c r="AH929" t="str">
        <f>IF([3]Entry!$G$932="","",[3]Entry!$G$932)</f>
        <v/>
      </c>
      <c r="AI929" t="str">
        <f>IF([3]Entry!$K$932="","",[3]Entry!$K$932)</f>
        <v/>
      </c>
      <c r="AJ929" t="str">
        <f>IF([3]Entry!$L$932="","",[3]Entry!$L$932)</f>
        <v/>
      </c>
      <c r="AK929" t="str">
        <f>IF([3]Entry!$M$932="","",[3]Entry!$M$932)</f>
        <v/>
      </c>
      <c r="AL929" t="str">
        <f>IF([3]Entry!$N$932="","",[3]Entry!$N$932)</f>
        <v/>
      </c>
      <c r="AM929" t="str">
        <f>IF([3]Entry!$R$932="","",[3]Entry!$R$932)</f>
        <v/>
      </c>
    </row>
    <row r="930" spans="20:39" x14ac:dyDescent="0.2">
      <c r="T930" t="str">
        <f>IF([2]Baskol!$B$933="","",[2]Baskol!$B$933)</f>
        <v/>
      </c>
      <c r="U930" t="str">
        <f>IF([2]Baskol!$C$933="","",[2]Baskol!$C$933)</f>
        <v/>
      </c>
      <c r="V930" t="str">
        <f>IF([2]Baskol!$D$933="","",[2]Baskol!$D$933)</f>
        <v/>
      </c>
      <c r="W930" t="str">
        <f>IF([2]Baskol!$E$933="","",[2]Baskol!$E$933)</f>
        <v/>
      </c>
      <c r="X930" t="str">
        <f>IF([2]Baskol!$G$933="","",[2]Baskol!$G$933)</f>
        <v/>
      </c>
      <c r="Y930" t="str">
        <f>IF([2]Baskol!$I$933="","",[2]Baskol!$I$933)</f>
        <v/>
      </c>
      <c r="Z930" t="str">
        <f>IF([2]Baskol!$J$933="","",[2]Baskol!$J$933)</f>
        <v/>
      </c>
      <c r="AA930" t="str">
        <f>IF([2]Baskol!$K$933="","",[2]Baskol!$K$933)</f>
        <v/>
      </c>
      <c r="AB930" t="str">
        <f>IF([2]Baskol!$L$933="","",[2]Baskol!$L$933)</f>
        <v/>
      </c>
      <c r="AC930" t="str">
        <f>IF([2]Baskol!$N$933="","",[2]Baskol!$N$933)</f>
        <v/>
      </c>
      <c r="AD930" t="str">
        <f>IF([2]Baskol!$O$933="","",[2]Baskol!$O$933)</f>
        <v/>
      </c>
      <c r="AE930" t="str">
        <f>IF([3]Entry!$C$933="","",[3]Entry!$C$933)</f>
        <v/>
      </c>
      <c r="AF930" t="str">
        <f>IF([3]Entry!$D$933="","",[3]Entry!$D$933)</f>
        <v/>
      </c>
      <c r="AG930" t="str">
        <f>IF([3]Entry!$E$933="","",[3]Entry!$E$933)</f>
        <v/>
      </c>
      <c r="AH930" t="str">
        <f>IF([3]Entry!$G$933="","",[3]Entry!$G$933)</f>
        <v/>
      </c>
      <c r="AI930" t="str">
        <f>IF([3]Entry!$K$933="","",[3]Entry!$K$933)</f>
        <v/>
      </c>
      <c r="AJ930" t="str">
        <f>IF([3]Entry!$L$933="","",[3]Entry!$L$933)</f>
        <v/>
      </c>
      <c r="AK930" t="str">
        <f>IF([3]Entry!$M$933="","",[3]Entry!$M$933)</f>
        <v/>
      </c>
      <c r="AL930" t="str">
        <f>IF([3]Entry!$N$933="","",[3]Entry!$N$933)</f>
        <v/>
      </c>
      <c r="AM930" t="str">
        <f>IF([3]Entry!$R$933="","",[3]Entry!$R$933)</f>
        <v/>
      </c>
    </row>
    <row r="931" spans="20:39" x14ac:dyDescent="0.2">
      <c r="T931" t="str">
        <f>IF([2]Baskol!$B$934="","",[2]Baskol!$B$934)</f>
        <v/>
      </c>
      <c r="U931" t="str">
        <f>IF([2]Baskol!$C$934="","",[2]Baskol!$C$934)</f>
        <v/>
      </c>
      <c r="V931" t="str">
        <f>IF([2]Baskol!$D$934="","",[2]Baskol!$D$934)</f>
        <v/>
      </c>
      <c r="W931" t="str">
        <f>IF([2]Baskol!$E$934="","",[2]Baskol!$E$934)</f>
        <v/>
      </c>
      <c r="X931" t="str">
        <f>IF([2]Baskol!$G$934="","",[2]Baskol!$G$934)</f>
        <v/>
      </c>
      <c r="Y931" t="str">
        <f>IF([2]Baskol!$I$934="","",[2]Baskol!$I$934)</f>
        <v/>
      </c>
      <c r="Z931" t="str">
        <f>IF([2]Baskol!$J$934="","",[2]Baskol!$J$934)</f>
        <v/>
      </c>
      <c r="AA931" t="str">
        <f>IF([2]Baskol!$K$934="","",[2]Baskol!$K$934)</f>
        <v/>
      </c>
      <c r="AB931" t="str">
        <f>IF([2]Baskol!$L$934="","",[2]Baskol!$L$934)</f>
        <v/>
      </c>
      <c r="AC931" t="str">
        <f>IF([2]Baskol!$N$934="","",[2]Baskol!$N$934)</f>
        <v/>
      </c>
      <c r="AD931" t="str">
        <f>IF([2]Baskol!$O$934="","",[2]Baskol!$O$934)</f>
        <v/>
      </c>
      <c r="AE931" t="str">
        <f>IF([3]Entry!$C$934="","",[3]Entry!$C$934)</f>
        <v/>
      </c>
      <c r="AF931" t="str">
        <f>IF([3]Entry!$D$934="","",[3]Entry!$D$934)</f>
        <v/>
      </c>
      <c r="AG931" t="str">
        <f>IF([3]Entry!$E$934="","",[3]Entry!$E$934)</f>
        <v/>
      </c>
      <c r="AH931" t="str">
        <f>IF([3]Entry!$G$934="","",[3]Entry!$G$934)</f>
        <v/>
      </c>
      <c r="AI931" t="str">
        <f>IF([3]Entry!$K$934="","",[3]Entry!$K$934)</f>
        <v/>
      </c>
      <c r="AJ931" t="str">
        <f>IF([3]Entry!$L$934="","",[3]Entry!$L$934)</f>
        <v/>
      </c>
      <c r="AK931" t="str">
        <f>IF([3]Entry!$M$934="","",[3]Entry!$M$934)</f>
        <v/>
      </c>
      <c r="AL931" t="str">
        <f>IF([3]Entry!$N$934="","",[3]Entry!$N$934)</f>
        <v/>
      </c>
      <c r="AM931" t="str">
        <f>IF([3]Entry!$R$934="","",[3]Entry!$R$934)</f>
        <v/>
      </c>
    </row>
    <row r="932" spans="20:39" x14ac:dyDescent="0.2">
      <c r="T932" t="str">
        <f>IF([2]Baskol!$B$935="","",[2]Baskol!$B$935)</f>
        <v/>
      </c>
      <c r="U932" t="str">
        <f>IF([2]Baskol!$C$935="","",[2]Baskol!$C$935)</f>
        <v/>
      </c>
      <c r="V932" t="str">
        <f>IF([2]Baskol!$D$935="","",[2]Baskol!$D$935)</f>
        <v/>
      </c>
      <c r="W932" t="str">
        <f>IF([2]Baskol!$E$935="","",[2]Baskol!$E$935)</f>
        <v/>
      </c>
      <c r="X932" t="str">
        <f>IF([2]Baskol!$G$935="","",[2]Baskol!$G$935)</f>
        <v/>
      </c>
      <c r="Y932" t="str">
        <f>IF([2]Baskol!$I$935="","",[2]Baskol!$I$935)</f>
        <v/>
      </c>
      <c r="Z932" t="str">
        <f>IF([2]Baskol!$J$935="","",[2]Baskol!$J$935)</f>
        <v/>
      </c>
      <c r="AA932" t="str">
        <f>IF([2]Baskol!$K$935="","",[2]Baskol!$K$935)</f>
        <v/>
      </c>
      <c r="AB932" t="str">
        <f>IF([2]Baskol!$L$935="","",[2]Baskol!$L$935)</f>
        <v/>
      </c>
      <c r="AC932" t="str">
        <f>IF([2]Baskol!$N$935="","",[2]Baskol!$N$935)</f>
        <v/>
      </c>
      <c r="AD932" t="str">
        <f>IF([2]Baskol!$O$935="","",[2]Baskol!$O$935)</f>
        <v/>
      </c>
      <c r="AE932" t="str">
        <f>IF([3]Entry!$C$935="","",[3]Entry!$C$935)</f>
        <v/>
      </c>
      <c r="AF932" t="str">
        <f>IF([3]Entry!$D$935="","",[3]Entry!$D$935)</f>
        <v/>
      </c>
      <c r="AG932" t="str">
        <f>IF([3]Entry!$E$935="","",[3]Entry!$E$935)</f>
        <v/>
      </c>
      <c r="AH932" t="str">
        <f>IF([3]Entry!$G$935="","",[3]Entry!$G$935)</f>
        <v/>
      </c>
      <c r="AI932" t="str">
        <f>IF([3]Entry!$K$935="","",[3]Entry!$K$935)</f>
        <v/>
      </c>
      <c r="AJ932" t="str">
        <f>IF([3]Entry!$L$935="","",[3]Entry!$L$935)</f>
        <v/>
      </c>
      <c r="AK932" t="str">
        <f>IF([3]Entry!$M$935="","",[3]Entry!$M$935)</f>
        <v/>
      </c>
      <c r="AL932" t="str">
        <f>IF([3]Entry!$N$935="","",[3]Entry!$N$935)</f>
        <v/>
      </c>
      <c r="AM932" t="str">
        <f>IF([3]Entry!$R$935="","",[3]Entry!$R$935)</f>
        <v/>
      </c>
    </row>
    <row r="933" spans="20:39" x14ac:dyDescent="0.2">
      <c r="T933" t="str">
        <f>IF([2]Baskol!$B$936="","",[2]Baskol!$B$936)</f>
        <v/>
      </c>
      <c r="U933" t="str">
        <f>IF([2]Baskol!$C$936="","",[2]Baskol!$C$936)</f>
        <v/>
      </c>
      <c r="V933" t="str">
        <f>IF([2]Baskol!$D$936="","",[2]Baskol!$D$936)</f>
        <v/>
      </c>
      <c r="W933" t="str">
        <f>IF([2]Baskol!$E$936="","",[2]Baskol!$E$936)</f>
        <v/>
      </c>
      <c r="X933" t="str">
        <f>IF([2]Baskol!$G$936="","",[2]Baskol!$G$936)</f>
        <v/>
      </c>
      <c r="Y933" t="str">
        <f>IF([2]Baskol!$I$936="","",[2]Baskol!$I$936)</f>
        <v/>
      </c>
      <c r="Z933" t="str">
        <f>IF([2]Baskol!$J$936="","",[2]Baskol!$J$936)</f>
        <v/>
      </c>
      <c r="AA933" t="str">
        <f>IF([2]Baskol!$K$936="","",[2]Baskol!$K$936)</f>
        <v/>
      </c>
      <c r="AB933" t="str">
        <f>IF([2]Baskol!$L$936="","",[2]Baskol!$L$936)</f>
        <v/>
      </c>
      <c r="AC933" t="str">
        <f>IF([2]Baskol!$N$936="","",[2]Baskol!$N$936)</f>
        <v/>
      </c>
      <c r="AD933" t="str">
        <f>IF([2]Baskol!$O$936="","",[2]Baskol!$O$936)</f>
        <v/>
      </c>
      <c r="AE933" t="str">
        <f>IF([3]Entry!$C$936="","",[3]Entry!$C$936)</f>
        <v/>
      </c>
      <c r="AF933" t="str">
        <f>IF([3]Entry!$D$936="","",[3]Entry!$D$936)</f>
        <v/>
      </c>
      <c r="AG933" t="str">
        <f>IF([3]Entry!$E$936="","",[3]Entry!$E$936)</f>
        <v/>
      </c>
      <c r="AH933" t="str">
        <f>IF([3]Entry!$G$936="","",[3]Entry!$G$936)</f>
        <v/>
      </c>
      <c r="AI933" t="str">
        <f>IF([3]Entry!$K$936="","",[3]Entry!$K$936)</f>
        <v/>
      </c>
      <c r="AJ933" t="str">
        <f>IF([3]Entry!$L$936="","",[3]Entry!$L$936)</f>
        <v/>
      </c>
      <c r="AK933" t="str">
        <f>IF([3]Entry!$M$936="","",[3]Entry!$M$936)</f>
        <v/>
      </c>
      <c r="AL933" t="str">
        <f>IF([3]Entry!$N$936="","",[3]Entry!$N$936)</f>
        <v/>
      </c>
      <c r="AM933" t="str">
        <f>IF([3]Entry!$R$936="","",[3]Entry!$R$936)</f>
        <v/>
      </c>
    </row>
    <row r="934" spans="20:39" x14ac:dyDescent="0.2">
      <c r="T934" t="str">
        <f>IF([2]Baskol!$B$937="","",[2]Baskol!$B$937)</f>
        <v/>
      </c>
      <c r="U934" t="str">
        <f>IF([2]Baskol!$C$937="","",[2]Baskol!$C$937)</f>
        <v/>
      </c>
      <c r="V934" t="str">
        <f>IF([2]Baskol!$D$937="","",[2]Baskol!$D$937)</f>
        <v/>
      </c>
      <c r="W934" t="str">
        <f>IF([2]Baskol!$E$937="","",[2]Baskol!$E$937)</f>
        <v/>
      </c>
      <c r="X934" t="str">
        <f>IF([2]Baskol!$G$937="","",[2]Baskol!$G$937)</f>
        <v/>
      </c>
      <c r="Y934" t="str">
        <f>IF([2]Baskol!$I$937="","",[2]Baskol!$I$937)</f>
        <v/>
      </c>
      <c r="Z934" t="str">
        <f>IF([2]Baskol!$J$937="","",[2]Baskol!$J$937)</f>
        <v/>
      </c>
      <c r="AA934" t="str">
        <f>IF([2]Baskol!$K$937="","",[2]Baskol!$K$937)</f>
        <v/>
      </c>
      <c r="AB934" t="str">
        <f>IF([2]Baskol!$L$937="","",[2]Baskol!$L$937)</f>
        <v/>
      </c>
      <c r="AC934" t="str">
        <f>IF([2]Baskol!$N$937="","",[2]Baskol!$N$937)</f>
        <v/>
      </c>
      <c r="AD934" t="str">
        <f>IF([2]Baskol!$O$937="","",[2]Baskol!$O$937)</f>
        <v/>
      </c>
      <c r="AE934" t="str">
        <f>IF([3]Entry!$C$937="","",[3]Entry!$C$937)</f>
        <v/>
      </c>
      <c r="AF934" t="str">
        <f>IF([3]Entry!$D$937="","",[3]Entry!$D$937)</f>
        <v/>
      </c>
      <c r="AG934" t="str">
        <f>IF([3]Entry!$E$937="","",[3]Entry!$E$937)</f>
        <v/>
      </c>
      <c r="AH934" t="str">
        <f>IF([3]Entry!$G$937="","",[3]Entry!$G$937)</f>
        <v/>
      </c>
      <c r="AI934" t="str">
        <f>IF([3]Entry!$K$937="","",[3]Entry!$K$937)</f>
        <v/>
      </c>
      <c r="AJ934" t="str">
        <f>IF([3]Entry!$L$937="","",[3]Entry!$L$937)</f>
        <v/>
      </c>
      <c r="AK934" t="str">
        <f>IF([3]Entry!$M$937="","",[3]Entry!$M$937)</f>
        <v/>
      </c>
      <c r="AL934" t="str">
        <f>IF([3]Entry!$N$937="","",[3]Entry!$N$937)</f>
        <v/>
      </c>
      <c r="AM934" t="str">
        <f>IF([3]Entry!$R$937="","",[3]Entry!$R$937)</f>
        <v/>
      </c>
    </row>
    <row r="935" spans="20:39" x14ac:dyDescent="0.2">
      <c r="T935" t="str">
        <f>IF([2]Baskol!$B$938="","",[2]Baskol!$B$938)</f>
        <v/>
      </c>
      <c r="U935" t="str">
        <f>IF([2]Baskol!$C$938="","",[2]Baskol!$C$938)</f>
        <v/>
      </c>
      <c r="V935" t="str">
        <f>IF([2]Baskol!$D$938="","",[2]Baskol!$D$938)</f>
        <v/>
      </c>
      <c r="W935" t="str">
        <f>IF([2]Baskol!$E$938="","",[2]Baskol!$E$938)</f>
        <v/>
      </c>
      <c r="X935" t="str">
        <f>IF([2]Baskol!$G$938="","",[2]Baskol!$G$938)</f>
        <v/>
      </c>
      <c r="Y935" t="str">
        <f>IF([2]Baskol!$I$938="","",[2]Baskol!$I$938)</f>
        <v/>
      </c>
      <c r="Z935" t="str">
        <f>IF([2]Baskol!$J$938="","",[2]Baskol!$J$938)</f>
        <v/>
      </c>
      <c r="AA935" t="str">
        <f>IF([2]Baskol!$K$938="","",[2]Baskol!$K$938)</f>
        <v/>
      </c>
      <c r="AB935" t="str">
        <f>IF([2]Baskol!$L$938="","",[2]Baskol!$L$938)</f>
        <v/>
      </c>
      <c r="AC935" t="str">
        <f>IF([2]Baskol!$N$938="","",[2]Baskol!$N$938)</f>
        <v/>
      </c>
      <c r="AD935" t="str">
        <f>IF([2]Baskol!$O$938="","",[2]Baskol!$O$938)</f>
        <v/>
      </c>
      <c r="AE935" t="str">
        <f>IF([3]Entry!$C$938="","",[3]Entry!$C$938)</f>
        <v/>
      </c>
      <c r="AF935" t="str">
        <f>IF([3]Entry!$D$938="","",[3]Entry!$D$938)</f>
        <v/>
      </c>
      <c r="AG935" t="str">
        <f>IF([3]Entry!$E$938="","",[3]Entry!$E$938)</f>
        <v/>
      </c>
      <c r="AH935" t="str">
        <f>IF([3]Entry!$G$938="","",[3]Entry!$G$938)</f>
        <v/>
      </c>
      <c r="AI935" t="str">
        <f>IF([3]Entry!$K$938="","",[3]Entry!$K$938)</f>
        <v/>
      </c>
      <c r="AJ935" t="str">
        <f>IF([3]Entry!$L$938="","",[3]Entry!$L$938)</f>
        <v/>
      </c>
      <c r="AK935" t="str">
        <f>IF([3]Entry!$M$938="","",[3]Entry!$M$938)</f>
        <v/>
      </c>
      <c r="AL935" t="str">
        <f>IF([3]Entry!$N$938="","",[3]Entry!$N$938)</f>
        <v/>
      </c>
      <c r="AM935" t="str">
        <f>IF([3]Entry!$R$938="","",[3]Entry!$R$938)</f>
        <v/>
      </c>
    </row>
    <row r="936" spans="20:39" x14ac:dyDescent="0.2">
      <c r="T936" t="str">
        <f>IF([2]Baskol!$B$939="","",[2]Baskol!$B$939)</f>
        <v/>
      </c>
      <c r="U936" t="str">
        <f>IF([2]Baskol!$C$939="","",[2]Baskol!$C$939)</f>
        <v/>
      </c>
      <c r="V936" t="str">
        <f>IF([2]Baskol!$D$939="","",[2]Baskol!$D$939)</f>
        <v/>
      </c>
      <c r="W936" t="str">
        <f>IF([2]Baskol!$E$939="","",[2]Baskol!$E$939)</f>
        <v/>
      </c>
      <c r="X936" t="str">
        <f>IF([2]Baskol!$G$939="","",[2]Baskol!$G$939)</f>
        <v/>
      </c>
      <c r="Y936" t="str">
        <f>IF([2]Baskol!$I$939="","",[2]Baskol!$I$939)</f>
        <v/>
      </c>
      <c r="Z936" t="str">
        <f>IF([2]Baskol!$J$939="","",[2]Baskol!$J$939)</f>
        <v/>
      </c>
      <c r="AA936" t="str">
        <f>IF([2]Baskol!$K$939="","",[2]Baskol!$K$939)</f>
        <v/>
      </c>
      <c r="AB936" t="str">
        <f>IF([2]Baskol!$L$939="","",[2]Baskol!$L$939)</f>
        <v/>
      </c>
      <c r="AC936" t="str">
        <f>IF([2]Baskol!$N$939="","",[2]Baskol!$N$939)</f>
        <v/>
      </c>
      <c r="AD936" t="str">
        <f>IF([2]Baskol!$O$939="","",[2]Baskol!$O$939)</f>
        <v/>
      </c>
      <c r="AE936" t="str">
        <f>IF([3]Entry!$C$939="","",[3]Entry!$C$939)</f>
        <v/>
      </c>
      <c r="AF936" t="str">
        <f>IF([3]Entry!$D$939="","",[3]Entry!$D$939)</f>
        <v/>
      </c>
      <c r="AG936" t="str">
        <f>IF([3]Entry!$E$939="","",[3]Entry!$E$939)</f>
        <v/>
      </c>
      <c r="AH936" t="str">
        <f>IF([3]Entry!$G$939="","",[3]Entry!$G$939)</f>
        <v/>
      </c>
      <c r="AI936" t="str">
        <f>IF([3]Entry!$K$939="","",[3]Entry!$K$939)</f>
        <v/>
      </c>
      <c r="AJ936" t="str">
        <f>IF([3]Entry!$L$939="","",[3]Entry!$L$939)</f>
        <v/>
      </c>
      <c r="AK936" t="str">
        <f>IF([3]Entry!$M$939="","",[3]Entry!$M$939)</f>
        <v/>
      </c>
      <c r="AL936" t="str">
        <f>IF([3]Entry!$N$939="","",[3]Entry!$N$939)</f>
        <v/>
      </c>
      <c r="AM936" t="str">
        <f>IF([3]Entry!$R$939="","",[3]Entry!$R$939)</f>
        <v/>
      </c>
    </row>
    <row r="937" spans="20:39" x14ac:dyDescent="0.2">
      <c r="T937" t="str">
        <f>IF([2]Baskol!$B$940="","",[2]Baskol!$B$940)</f>
        <v/>
      </c>
      <c r="U937" t="str">
        <f>IF([2]Baskol!$C$940="","",[2]Baskol!$C$940)</f>
        <v/>
      </c>
      <c r="V937" t="str">
        <f>IF([2]Baskol!$D$940="","",[2]Baskol!$D$940)</f>
        <v/>
      </c>
      <c r="W937" t="str">
        <f>IF([2]Baskol!$E$940="","",[2]Baskol!$E$940)</f>
        <v/>
      </c>
      <c r="X937" t="str">
        <f>IF([2]Baskol!$G$940="","",[2]Baskol!$G$940)</f>
        <v/>
      </c>
      <c r="Y937" t="str">
        <f>IF([2]Baskol!$I$940="","",[2]Baskol!$I$940)</f>
        <v/>
      </c>
      <c r="Z937" t="str">
        <f>IF([2]Baskol!$J$940="","",[2]Baskol!$J$940)</f>
        <v/>
      </c>
      <c r="AA937" t="str">
        <f>IF([2]Baskol!$K$940="","",[2]Baskol!$K$940)</f>
        <v/>
      </c>
      <c r="AB937" t="str">
        <f>IF([2]Baskol!$L$940="","",[2]Baskol!$L$940)</f>
        <v/>
      </c>
      <c r="AC937" t="str">
        <f>IF([2]Baskol!$N$940="","",[2]Baskol!$N$940)</f>
        <v/>
      </c>
      <c r="AD937" t="str">
        <f>IF([2]Baskol!$O$940="","",[2]Baskol!$O$940)</f>
        <v/>
      </c>
      <c r="AE937" t="str">
        <f>IF([3]Entry!$C$940="","",[3]Entry!$C$940)</f>
        <v/>
      </c>
      <c r="AF937" t="str">
        <f>IF([3]Entry!$D$940="","",[3]Entry!$D$940)</f>
        <v/>
      </c>
      <c r="AG937" t="str">
        <f>IF([3]Entry!$E$940="","",[3]Entry!$E$940)</f>
        <v/>
      </c>
      <c r="AH937" t="str">
        <f>IF([3]Entry!$G$940="","",[3]Entry!$G$940)</f>
        <v/>
      </c>
      <c r="AI937" t="str">
        <f>IF([3]Entry!$K$940="","",[3]Entry!$K$940)</f>
        <v/>
      </c>
      <c r="AJ937" t="str">
        <f>IF([3]Entry!$L$940="","",[3]Entry!$L$940)</f>
        <v/>
      </c>
      <c r="AK937" t="str">
        <f>IF([3]Entry!$M$940="","",[3]Entry!$M$940)</f>
        <v/>
      </c>
      <c r="AL937" t="str">
        <f>IF([3]Entry!$N$940="","",[3]Entry!$N$940)</f>
        <v/>
      </c>
      <c r="AM937" t="str">
        <f>IF([3]Entry!$R$940="","",[3]Entry!$R$940)</f>
        <v/>
      </c>
    </row>
    <row r="938" spans="20:39" x14ac:dyDescent="0.2">
      <c r="T938" t="str">
        <f>IF([2]Baskol!$B$941="","",[2]Baskol!$B$941)</f>
        <v/>
      </c>
      <c r="U938" t="str">
        <f>IF([2]Baskol!$C$941="","",[2]Baskol!$C$941)</f>
        <v/>
      </c>
      <c r="V938" t="str">
        <f>IF([2]Baskol!$D$941="","",[2]Baskol!$D$941)</f>
        <v/>
      </c>
      <c r="W938" t="str">
        <f>IF([2]Baskol!$E$941="","",[2]Baskol!$E$941)</f>
        <v/>
      </c>
      <c r="X938" t="str">
        <f>IF([2]Baskol!$G$941="","",[2]Baskol!$G$941)</f>
        <v/>
      </c>
      <c r="Y938" t="str">
        <f>IF([2]Baskol!$I$941="","",[2]Baskol!$I$941)</f>
        <v/>
      </c>
      <c r="Z938" t="str">
        <f>IF([2]Baskol!$J$941="","",[2]Baskol!$J$941)</f>
        <v/>
      </c>
      <c r="AA938" t="str">
        <f>IF([2]Baskol!$K$941="","",[2]Baskol!$K$941)</f>
        <v/>
      </c>
      <c r="AB938" t="str">
        <f>IF([2]Baskol!$L$941="","",[2]Baskol!$L$941)</f>
        <v/>
      </c>
      <c r="AC938" t="str">
        <f>IF([2]Baskol!$N$941="","",[2]Baskol!$N$941)</f>
        <v/>
      </c>
      <c r="AD938" t="str">
        <f>IF([2]Baskol!$O$941="","",[2]Baskol!$O$941)</f>
        <v/>
      </c>
      <c r="AE938" t="str">
        <f>IF([3]Entry!$C$941="","",[3]Entry!$C$941)</f>
        <v/>
      </c>
      <c r="AF938" t="str">
        <f>IF([3]Entry!$D$941="","",[3]Entry!$D$941)</f>
        <v/>
      </c>
      <c r="AG938" t="str">
        <f>IF([3]Entry!$E$941="","",[3]Entry!$E$941)</f>
        <v/>
      </c>
      <c r="AH938" t="str">
        <f>IF([3]Entry!$G$941="","",[3]Entry!$G$941)</f>
        <v/>
      </c>
      <c r="AI938" t="str">
        <f>IF([3]Entry!$K$941="","",[3]Entry!$K$941)</f>
        <v/>
      </c>
      <c r="AJ938" t="str">
        <f>IF([3]Entry!$L$941="","",[3]Entry!$L$941)</f>
        <v/>
      </c>
      <c r="AK938" t="str">
        <f>IF([3]Entry!$M$941="","",[3]Entry!$M$941)</f>
        <v/>
      </c>
      <c r="AL938" t="str">
        <f>IF([3]Entry!$N$941="","",[3]Entry!$N$941)</f>
        <v/>
      </c>
      <c r="AM938" t="str">
        <f>IF([3]Entry!$R$941="","",[3]Entry!$R$941)</f>
        <v/>
      </c>
    </row>
    <row r="939" spans="20:39" x14ac:dyDescent="0.2">
      <c r="T939" t="str">
        <f>IF([2]Baskol!$B$942="","",[2]Baskol!$B$942)</f>
        <v/>
      </c>
      <c r="U939" t="str">
        <f>IF([2]Baskol!$C$942="","",[2]Baskol!$C$942)</f>
        <v/>
      </c>
      <c r="V939" t="str">
        <f>IF([2]Baskol!$D$942="","",[2]Baskol!$D$942)</f>
        <v/>
      </c>
      <c r="W939" t="str">
        <f>IF([2]Baskol!$E$942="","",[2]Baskol!$E$942)</f>
        <v/>
      </c>
      <c r="X939" t="str">
        <f>IF([2]Baskol!$G$942="","",[2]Baskol!$G$942)</f>
        <v/>
      </c>
      <c r="Y939" t="str">
        <f>IF([2]Baskol!$I$942="","",[2]Baskol!$I$942)</f>
        <v/>
      </c>
      <c r="Z939" t="str">
        <f>IF([2]Baskol!$J$942="","",[2]Baskol!$J$942)</f>
        <v/>
      </c>
      <c r="AA939" t="str">
        <f>IF([2]Baskol!$K$942="","",[2]Baskol!$K$942)</f>
        <v/>
      </c>
      <c r="AB939" t="str">
        <f>IF([2]Baskol!$L$942="","",[2]Baskol!$L$942)</f>
        <v/>
      </c>
      <c r="AC939" t="str">
        <f>IF([2]Baskol!$N$942="","",[2]Baskol!$N$942)</f>
        <v/>
      </c>
      <c r="AD939" t="str">
        <f>IF([2]Baskol!$O$942="","",[2]Baskol!$O$942)</f>
        <v/>
      </c>
      <c r="AE939" t="str">
        <f>IF([3]Entry!$C$942="","",[3]Entry!$C$942)</f>
        <v/>
      </c>
      <c r="AF939" t="str">
        <f>IF([3]Entry!$D$942="","",[3]Entry!$D$942)</f>
        <v/>
      </c>
      <c r="AG939" t="str">
        <f>IF([3]Entry!$E$942="","",[3]Entry!$E$942)</f>
        <v/>
      </c>
      <c r="AH939" t="str">
        <f>IF([3]Entry!$G$942="","",[3]Entry!$G$942)</f>
        <v/>
      </c>
      <c r="AI939" t="str">
        <f>IF([3]Entry!$K$942="","",[3]Entry!$K$942)</f>
        <v/>
      </c>
      <c r="AJ939" t="str">
        <f>IF([3]Entry!$L$942="","",[3]Entry!$L$942)</f>
        <v/>
      </c>
      <c r="AK939" t="str">
        <f>IF([3]Entry!$M$942="","",[3]Entry!$M$942)</f>
        <v/>
      </c>
      <c r="AL939" t="str">
        <f>IF([3]Entry!$N$942="","",[3]Entry!$N$942)</f>
        <v/>
      </c>
      <c r="AM939" t="str">
        <f>IF([3]Entry!$R$942="","",[3]Entry!$R$942)</f>
        <v/>
      </c>
    </row>
    <row r="940" spans="20:39" x14ac:dyDescent="0.2">
      <c r="T940" t="str">
        <f>IF([2]Baskol!$B$943="","",[2]Baskol!$B$943)</f>
        <v/>
      </c>
      <c r="U940" t="str">
        <f>IF([2]Baskol!$C$943="","",[2]Baskol!$C$943)</f>
        <v/>
      </c>
      <c r="V940" t="str">
        <f>IF([2]Baskol!$D$943="","",[2]Baskol!$D$943)</f>
        <v/>
      </c>
      <c r="W940" t="str">
        <f>IF([2]Baskol!$E$943="","",[2]Baskol!$E$943)</f>
        <v/>
      </c>
      <c r="X940" t="str">
        <f>IF([2]Baskol!$G$943="","",[2]Baskol!$G$943)</f>
        <v/>
      </c>
      <c r="Y940" t="str">
        <f>IF([2]Baskol!$I$943="","",[2]Baskol!$I$943)</f>
        <v/>
      </c>
      <c r="Z940" t="str">
        <f>IF([2]Baskol!$J$943="","",[2]Baskol!$J$943)</f>
        <v/>
      </c>
      <c r="AA940" t="str">
        <f>IF([2]Baskol!$K$943="","",[2]Baskol!$K$943)</f>
        <v/>
      </c>
      <c r="AB940" t="str">
        <f>IF([2]Baskol!$L$943="","",[2]Baskol!$L$943)</f>
        <v/>
      </c>
      <c r="AC940" t="str">
        <f>IF([2]Baskol!$N$943="","",[2]Baskol!$N$943)</f>
        <v/>
      </c>
      <c r="AD940" t="str">
        <f>IF([2]Baskol!$O$943="","",[2]Baskol!$O$943)</f>
        <v/>
      </c>
      <c r="AE940" t="str">
        <f>IF([3]Entry!$C$943="","",[3]Entry!$C$943)</f>
        <v/>
      </c>
      <c r="AF940" t="str">
        <f>IF([3]Entry!$D$943="","",[3]Entry!$D$943)</f>
        <v/>
      </c>
      <c r="AG940" t="str">
        <f>IF([3]Entry!$E$943="","",[3]Entry!$E$943)</f>
        <v/>
      </c>
      <c r="AH940" t="str">
        <f>IF([3]Entry!$G$943="","",[3]Entry!$G$943)</f>
        <v/>
      </c>
      <c r="AI940" t="str">
        <f>IF([3]Entry!$K$943="","",[3]Entry!$K$943)</f>
        <v/>
      </c>
      <c r="AJ940" t="str">
        <f>IF([3]Entry!$L$943="","",[3]Entry!$L$943)</f>
        <v/>
      </c>
      <c r="AK940" t="str">
        <f>IF([3]Entry!$M$943="","",[3]Entry!$M$943)</f>
        <v/>
      </c>
      <c r="AL940" t="str">
        <f>IF([3]Entry!$N$943="","",[3]Entry!$N$943)</f>
        <v/>
      </c>
      <c r="AM940" t="str">
        <f>IF([3]Entry!$R$943="","",[3]Entry!$R$943)</f>
        <v/>
      </c>
    </row>
    <row r="941" spans="20:39" x14ac:dyDescent="0.2">
      <c r="T941" t="str">
        <f>IF([2]Baskol!$B$944="","",[2]Baskol!$B$944)</f>
        <v/>
      </c>
      <c r="U941" t="str">
        <f>IF([2]Baskol!$C$944="","",[2]Baskol!$C$944)</f>
        <v/>
      </c>
      <c r="V941" t="str">
        <f>IF([2]Baskol!$D$944="","",[2]Baskol!$D$944)</f>
        <v/>
      </c>
      <c r="W941" t="str">
        <f>IF([2]Baskol!$E$944="","",[2]Baskol!$E$944)</f>
        <v/>
      </c>
      <c r="X941" t="str">
        <f>IF([2]Baskol!$G$944="","",[2]Baskol!$G$944)</f>
        <v/>
      </c>
      <c r="Y941" t="str">
        <f>IF([2]Baskol!$I$944="","",[2]Baskol!$I$944)</f>
        <v/>
      </c>
      <c r="Z941" t="str">
        <f>IF([2]Baskol!$J$944="","",[2]Baskol!$J$944)</f>
        <v/>
      </c>
      <c r="AA941" t="str">
        <f>IF([2]Baskol!$K$944="","",[2]Baskol!$K$944)</f>
        <v/>
      </c>
      <c r="AB941" t="str">
        <f>IF([2]Baskol!$L$944="","",[2]Baskol!$L$944)</f>
        <v/>
      </c>
      <c r="AC941" t="str">
        <f>IF([2]Baskol!$N$944="","",[2]Baskol!$N$944)</f>
        <v/>
      </c>
      <c r="AD941" t="str">
        <f>IF([2]Baskol!$O$944="","",[2]Baskol!$O$944)</f>
        <v/>
      </c>
      <c r="AE941" t="str">
        <f>IF([3]Entry!$C$944="","",[3]Entry!$C$944)</f>
        <v/>
      </c>
      <c r="AF941" t="str">
        <f>IF([3]Entry!$D$944="","",[3]Entry!$D$944)</f>
        <v/>
      </c>
      <c r="AG941" t="str">
        <f>IF([3]Entry!$E$944="","",[3]Entry!$E$944)</f>
        <v/>
      </c>
      <c r="AH941" t="str">
        <f>IF([3]Entry!$G$944="","",[3]Entry!$G$944)</f>
        <v/>
      </c>
      <c r="AI941" t="str">
        <f>IF([3]Entry!$K$944="","",[3]Entry!$K$944)</f>
        <v/>
      </c>
      <c r="AJ941" t="str">
        <f>IF([3]Entry!$L$944="","",[3]Entry!$L$944)</f>
        <v/>
      </c>
      <c r="AK941" t="str">
        <f>IF([3]Entry!$M$944="","",[3]Entry!$M$944)</f>
        <v/>
      </c>
      <c r="AL941" t="str">
        <f>IF([3]Entry!$N$944="","",[3]Entry!$N$944)</f>
        <v/>
      </c>
      <c r="AM941" t="str">
        <f>IF([3]Entry!$R$944="","",[3]Entry!$R$944)</f>
        <v/>
      </c>
    </row>
    <row r="942" spans="20:39" x14ac:dyDescent="0.2">
      <c r="T942" t="str">
        <f>IF([2]Baskol!$B$945="","",[2]Baskol!$B$945)</f>
        <v/>
      </c>
      <c r="U942" t="str">
        <f>IF([2]Baskol!$C$945="","",[2]Baskol!$C$945)</f>
        <v/>
      </c>
      <c r="V942" t="str">
        <f>IF([2]Baskol!$D$945="","",[2]Baskol!$D$945)</f>
        <v/>
      </c>
      <c r="W942" t="str">
        <f>IF([2]Baskol!$E$945="","",[2]Baskol!$E$945)</f>
        <v/>
      </c>
      <c r="X942" t="str">
        <f>IF([2]Baskol!$G$945="","",[2]Baskol!$G$945)</f>
        <v/>
      </c>
      <c r="Y942" t="str">
        <f>IF([2]Baskol!$I$945="","",[2]Baskol!$I$945)</f>
        <v/>
      </c>
      <c r="Z942" t="str">
        <f>IF([2]Baskol!$J$945="","",[2]Baskol!$J$945)</f>
        <v/>
      </c>
      <c r="AA942" t="str">
        <f>IF([2]Baskol!$K$945="","",[2]Baskol!$K$945)</f>
        <v/>
      </c>
      <c r="AB942" t="str">
        <f>IF([2]Baskol!$L$945="","",[2]Baskol!$L$945)</f>
        <v/>
      </c>
      <c r="AC942" t="str">
        <f>IF([2]Baskol!$N$945="","",[2]Baskol!$N$945)</f>
        <v/>
      </c>
      <c r="AD942" t="str">
        <f>IF([2]Baskol!$O$945="","",[2]Baskol!$O$945)</f>
        <v/>
      </c>
      <c r="AE942" t="str">
        <f>IF([3]Entry!$C$945="","",[3]Entry!$C$945)</f>
        <v/>
      </c>
      <c r="AF942" t="str">
        <f>IF([3]Entry!$D$945="","",[3]Entry!$D$945)</f>
        <v/>
      </c>
      <c r="AG942" t="str">
        <f>IF([3]Entry!$E$945="","",[3]Entry!$E$945)</f>
        <v/>
      </c>
      <c r="AH942" t="str">
        <f>IF([3]Entry!$G$945="","",[3]Entry!$G$945)</f>
        <v/>
      </c>
      <c r="AI942" t="str">
        <f>IF([3]Entry!$K$945="","",[3]Entry!$K$945)</f>
        <v/>
      </c>
      <c r="AJ942" t="str">
        <f>IF([3]Entry!$L$945="","",[3]Entry!$L$945)</f>
        <v/>
      </c>
      <c r="AK942" t="str">
        <f>IF([3]Entry!$M$945="","",[3]Entry!$M$945)</f>
        <v/>
      </c>
      <c r="AL942" t="str">
        <f>IF([3]Entry!$N$945="","",[3]Entry!$N$945)</f>
        <v/>
      </c>
      <c r="AM942" t="str">
        <f>IF([3]Entry!$R$945="","",[3]Entry!$R$945)</f>
        <v/>
      </c>
    </row>
    <row r="943" spans="20:39" x14ac:dyDescent="0.2">
      <c r="T943" t="str">
        <f>IF([2]Baskol!$B$946="","",[2]Baskol!$B$946)</f>
        <v/>
      </c>
      <c r="U943" t="str">
        <f>IF([2]Baskol!$C$946="","",[2]Baskol!$C$946)</f>
        <v/>
      </c>
      <c r="V943" t="str">
        <f>IF([2]Baskol!$D$946="","",[2]Baskol!$D$946)</f>
        <v/>
      </c>
      <c r="W943" t="str">
        <f>IF([2]Baskol!$E$946="","",[2]Baskol!$E$946)</f>
        <v/>
      </c>
      <c r="X943" t="str">
        <f>IF([2]Baskol!$G$946="","",[2]Baskol!$G$946)</f>
        <v/>
      </c>
      <c r="Y943" t="str">
        <f>IF([2]Baskol!$I$946="","",[2]Baskol!$I$946)</f>
        <v/>
      </c>
      <c r="Z943" t="str">
        <f>IF([2]Baskol!$J$946="","",[2]Baskol!$J$946)</f>
        <v/>
      </c>
      <c r="AA943" t="str">
        <f>IF([2]Baskol!$K$946="","",[2]Baskol!$K$946)</f>
        <v/>
      </c>
      <c r="AB943" t="str">
        <f>IF([2]Baskol!$L$946="","",[2]Baskol!$L$946)</f>
        <v/>
      </c>
      <c r="AC943" t="str">
        <f>IF([2]Baskol!$N$946="","",[2]Baskol!$N$946)</f>
        <v/>
      </c>
      <c r="AD943" t="str">
        <f>IF([2]Baskol!$O$946="","",[2]Baskol!$O$946)</f>
        <v/>
      </c>
      <c r="AE943" t="str">
        <f>IF([3]Entry!$C$946="","",[3]Entry!$C$946)</f>
        <v/>
      </c>
      <c r="AF943" t="str">
        <f>IF([3]Entry!$D$946="","",[3]Entry!$D$946)</f>
        <v/>
      </c>
      <c r="AG943" t="str">
        <f>IF([3]Entry!$E$946="","",[3]Entry!$E$946)</f>
        <v/>
      </c>
      <c r="AH943" t="str">
        <f>IF([3]Entry!$G$946="","",[3]Entry!$G$946)</f>
        <v/>
      </c>
      <c r="AI943" t="str">
        <f>IF([3]Entry!$K$946="","",[3]Entry!$K$946)</f>
        <v/>
      </c>
      <c r="AJ943" t="str">
        <f>IF([3]Entry!$L$946="","",[3]Entry!$L$946)</f>
        <v/>
      </c>
      <c r="AK943" t="str">
        <f>IF([3]Entry!$M$946="","",[3]Entry!$M$946)</f>
        <v/>
      </c>
      <c r="AL943" t="str">
        <f>IF([3]Entry!$N$946="","",[3]Entry!$N$946)</f>
        <v/>
      </c>
      <c r="AM943" t="str">
        <f>IF([3]Entry!$R$946="","",[3]Entry!$R$946)</f>
        <v/>
      </c>
    </row>
    <row r="944" spans="20:39" x14ac:dyDescent="0.2">
      <c r="T944" t="str">
        <f>IF([2]Baskol!$B$947="","",[2]Baskol!$B$947)</f>
        <v/>
      </c>
      <c r="U944" t="str">
        <f>IF([2]Baskol!$C$947="","",[2]Baskol!$C$947)</f>
        <v/>
      </c>
      <c r="V944" t="str">
        <f>IF([2]Baskol!$D$947="","",[2]Baskol!$D$947)</f>
        <v/>
      </c>
      <c r="W944" t="str">
        <f>IF([2]Baskol!$E$947="","",[2]Baskol!$E$947)</f>
        <v/>
      </c>
      <c r="X944" t="str">
        <f>IF([2]Baskol!$G$947="","",[2]Baskol!$G$947)</f>
        <v/>
      </c>
      <c r="Y944" t="str">
        <f>IF([2]Baskol!$I$947="","",[2]Baskol!$I$947)</f>
        <v/>
      </c>
      <c r="Z944" t="str">
        <f>IF([2]Baskol!$J$947="","",[2]Baskol!$J$947)</f>
        <v/>
      </c>
      <c r="AA944" t="str">
        <f>IF([2]Baskol!$K$947="","",[2]Baskol!$K$947)</f>
        <v/>
      </c>
      <c r="AB944" t="str">
        <f>IF([2]Baskol!$L$947="","",[2]Baskol!$L$947)</f>
        <v/>
      </c>
      <c r="AC944" t="str">
        <f>IF([2]Baskol!$N$947="","",[2]Baskol!$N$947)</f>
        <v/>
      </c>
      <c r="AD944" t="str">
        <f>IF([2]Baskol!$O$947="","",[2]Baskol!$O$947)</f>
        <v/>
      </c>
      <c r="AE944" t="str">
        <f>IF([3]Entry!$C$947="","",[3]Entry!$C$947)</f>
        <v/>
      </c>
      <c r="AF944" t="str">
        <f>IF([3]Entry!$D$947="","",[3]Entry!$D$947)</f>
        <v/>
      </c>
      <c r="AG944" t="str">
        <f>IF([3]Entry!$E$947="","",[3]Entry!$E$947)</f>
        <v/>
      </c>
      <c r="AH944" t="str">
        <f>IF([3]Entry!$G$947="","",[3]Entry!$G$947)</f>
        <v/>
      </c>
      <c r="AI944" t="str">
        <f>IF([3]Entry!$K$947="","",[3]Entry!$K$947)</f>
        <v/>
      </c>
      <c r="AJ944" t="str">
        <f>IF([3]Entry!$L$947="","",[3]Entry!$L$947)</f>
        <v/>
      </c>
      <c r="AK944" t="str">
        <f>IF([3]Entry!$M$947="","",[3]Entry!$M$947)</f>
        <v/>
      </c>
      <c r="AL944" t="str">
        <f>IF([3]Entry!$N$947="","",[3]Entry!$N$947)</f>
        <v/>
      </c>
      <c r="AM944" t="str">
        <f>IF([3]Entry!$R$947="","",[3]Entry!$R$947)</f>
        <v/>
      </c>
    </row>
    <row r="945" spans="20:39" x14ac:dyDescent="0.2">
      <c r="T945" t="str">
        <f>IF([2]Baskol!$B$948="","",[2]Baskol!$B$948)</f>
        <v/>
      </c>
      <c r="U945" t="str">
        <f>IF([2]Baskol!$C$948="","",[2]Baskol!$C$948)</f>
        <v/>
      </c>
      <c r="V945" t="str">
        <f>IF([2]Baskol!$D$948="","",[2]Baskol!$D$948)</f>
        <v/>
      </c>
      <c r="W945" t="str">
        <f>IF([2]Baskol!$E$948="","",[2]Baskol!$E$948)</f>
        <v/>
      </c>
      <c r="X945" t="str">
        <f>IF([2]Baskol!$G$948="","",[2]Baskol!$G$948)</f>
        <v/>
      </c>
      <c r="Y945" t="str">
        <f>IF([2]Baskol!$I$948="","",[2]Baskol!$I$948)</f>
        <v/>
      </c>
      <c r="Z945" t="str">
        <f>IF([2]Baskol!$J$948="","",[2]Baskol!$J$948)</f>
        <v/>
      </c>
      <c r="AA945" t="str">
        <f>IF([2]Baskol!$K$948="","",[2]Baskol!$K$948)</f>
        <v/>
      </c>
      <c r="AB945" t="str">
        <f>IF([2]Baskol!$L$948="","",[2]Baskol!$L$948)</f>
        <v/>
      </c>
      <c r="AC945" t="str">
        <f>IF([2]Baskol!$N$948="","",[2]Baskol!$N$948)</f>
        <v/>
      </c>
      <c r="AD945" t="str">
        <f>IF([2]Baskol!$O$948="","",[2]Baskol!$O$948)</f>
        <v/>
      </c>
      <c r="AE945" t="str">
        <f>IF([3]Entry!$C$948="","",[3]Entry!$C$948)</f>
        <v/>
      </c>
      <c r="AF945" t="str">
        <f>IF([3]Entry!$D$948="","",[3]Entry!$D$948)</f>
        <v/>
      </c>
      <c r="AG945" t="str">
        <f>IF([3]Entry!$E$948="","",[3]Entry!$E$948)</f>
        <v/>
      </c>
      <c r="AH945" t="str">
        <f>IF([3]Entry!$G$948="","",[3]Entry!$G$948)</f>
        <v/>
      </c>
      <c r="AI945" t="str">
        <f>IF([3]Entry!$K$948="","",[3]Entry!$K$948)</f>
        <v/>
      </c>
      <c r="AJ945" t="str">
        <f>IF([3]Entry!$L$948="","",[3]Entry!$L$948)</f>
        <v/>
      </c>
      <c r="AK945" t="str">
        <f>IF([3]Entry!$M$948="","",[3]Entry!$M$948)</f>
        <v/>
      </c>
      <c r="AL945" t="str">
        <f>IF([3]Entry!$N$948="","",[3]Entry!$N$948)</f>
        <v/>
      </c>
      <c r="AM945" t="str">
        <f>IF([3]Entry!$R$948="","",[3]Entry!$R$948)</f>
        <v/>
      </c>
    </row>
    <row r="946" spans="20:39" x14ac:dyDescent="0.2">
      <c r="T946" t="str">
        <f>IF([2]Baskol!$B$949="","",[2]Baskol!$B$949)</f>
        <v/>
      </c>
      <c r="U946" t="str">
        <f>IF([2]Baskol!$C$949="","",[2]Baskol!$C$949)</f>
        <v/>
      </c>
      <c r="V946" t="str">
        <f>IF([2]Baskol!$D$949="","",[2]Baskol!$D$949)</f>
        <v/>
      </c>
      <c r="W946" t="str">
        <f>IF([2]Baskol!$E$949="","",[2]Baskol!$E$949)</f>
        <v/>
      </c>
      <c r="X946" t="str">
        <f>IF([2]Baskol!$G$949="","",[2]Baskol!$G$949)</f>
        <v/>
      </c>
      <c r="Y946" t="str">
        <f>IF([2]Baskol!$I$949="","",[2]Baskol!$I$949)</f>
        <v/>
      </c>
      <c r="Z946" t="str">
        <f>IF([2]Baskol!$J$949="","",[2]Baskol!$J$949)</f>
        <v/>
      </c>
      <c r="AA946" t="str">
        <f>IF([2]Baskol!$K$949="","",[2]Baskol!$K$949)</f>
        <v/>
      </c>
      <c r="AB946" t="str">
        <f>IF([2]Baskol!$L$949="","",[2]Baskol!$L$949)</f>
        <v/>
      </c>
      <c r="AC946" t="str">
        <f>IF([2]Baskol!$N$949="","",[2]Baskol!$N$949)</f>
        <v/>
      </c>
      <c r="AD946" t="str">
        <f>IF([2]Baskol!$O$949="","",[2]Baskol!$O$949)</f>
        <v/>
      </c>
      <c r="AE946" t="str">
        <f>IF([3]Entry!$C$949="","",[3]Entry!$C$949)</f>
        <v/>
      </c>
      <c r="AF946" t="str">
        <f>IF([3]Entry!$D$949="","",[3]Entry!$D$949)</f>
        <v/>
      </c>
      <c r="AG946" t="str">
        <f>IF([3]Entry!$E$949="","",[3]Entry!$E$949)</f>
        <v/>
      </c>
      <c r="AH946" t="str">
        <f>IF([3]Entry!$G$949="","",[3]Entry!$G$949)</f>
        <v/>
      </c>
      <c r="AI946" t="str">
        <f>IF([3]Entry!$K$949="","",[3]Entry!$K$949)</f>
        <v/>
      </c>
      <c r="AJ946" t="str">
        <f>IF([3]Entry!$L$949="","",[3]Entry!$L$949)</f>
        <v/>
      </c>
      <c r="AK946" t="str">
        <f>IF([3]Entry!$M$949="","",[3]Entry!$M$949)</f>
        <v/>
      </c>
      <c r="AL946" t="str">
        <f>IF([3]Entry!$N$949="","",[3]Entry!$N$949)</f>
        <v/>
      </c>
      <c r="AM946" t="str">
        <f>IF([3]Entry!$R$949="","",[3]Entry!$R$949)</f>
        <v/>
      </c>
    </row>
    <row r="947" spans="20:39" x14ac:dyDescent="0.2">
      <c r="T947" t="str">
        <f>IF([2]Baskol!$B$950="","",[2]Baskol!$B$950)</f>
        <v/>
      </c>
      <c r="U947" t="str">
        <f>IF([2]Baskol!$C$950="","",[2]Baskol!$C$950)</f>
        <v/>
      </c>
      <c r="V947" t="str">
        <f>IF([2]Baskol!$D$950="","",[2]Baskol!$D$950)</f>
        <v/>
      </c>
      <c r="W947" t="str">
        <f>IF([2]Baskol!$E$950="","",[2]Baskol!$E$950)</f>
        <v/>
      </c>
      <c r="X947" t="str">
        <f>IF([2]Baskol!$G$950="","",[2]Baskol!$G$950)</f>
        <v/>
      </c>
      <c r="Y947" t="str">
        <f>IF([2]Baskol!$I$950="","",[2]Baskol!$I$950)</f>
        <v/>
      </c>
      <c r="Z947" t="str">
        <f>IF([2]Baskol!$J$950="","",[2]Baskol!$J$950)</f>
        <v/>
      </c>
      <c r="AA947" t="str">
        <f>IF([2]Baskol!$K$950="","",[2]Baskol!$K$950)</f>
        <v/>
      </c>
      <c r="AB947" t="str">
        <f>IF([2]Baskol!$L$950="","",[2]Baskol!$L$950)</f>
        <v/>
      </c>
      <c r="AC947" t="str">
        <f>IF([2]Baskol!$N$950="","",[2]Baskol!$N$950)</f>
        <v/>
      </c>
      <c r="AD947" t="str">
        <f>IF([2]Baskol!$O$950="","",[2]Baskol!$O$950)</f>
        <v/>
      </c>
      <c r="AE947" t="str">
        <f>IF([3]Entry!$C$950="","",[3]Entry!$C$950)</f>
        <v/>
      </c>
      <c r="AF947" t="str">
        <f>IF([3]Entry!$D$950="","",[3]Entry!$D$950)</f>
        <v/>
      </c>
      <c r="AG947" t="str">
        <f>IF([3]Entry!$E$950="","",[3]Entry!$E$950)</f>
        <v/>
      </c>
      <c r="AH947" t="str">
        <f>IF([3]Entry!$G$950="","",[3]Entry!$G$950)</f>
        <v/>
      </c>
      <c r="AI947" t="str">
        <f>IF([3]Entry!$K$950="","",[3]Entry!$K$950)</f>
        <v/>
      </c>
      <c r="AJ947" t="str">
        <f>IF([3]Entry!$L$950="","",[3]Entry!$L$950)</f>
        <v/>
      </c>
      <c r="AK947" t="str">
        <f>IF([3]Entry!$M$950="","",[3]Entry!$M$950)</f>
        <v/>
      </c>
      <c r="AL947" t="str">
        <f>IF([3]Entry!$N$950="","",[3]Entry!$N$950)</f>
        <v/>
      </c>
      <c r="AM947" t="str">
        <f>IF([3]Entry!$R$950="","",[3]Entry!$R$950)</f>
        <v/>
      </c>
    </row>
    <row r="948" spans="20:39" x14ac:dyDescent="0.2">
      <c r="T948" t="str">
        <f>IF([2]Baskol!$B$951="","",[2]Baskol!$B$951)</f>
        <v/>
      </c>
      <c r="U948" t="str">
        <f>IF([2]Baskol!$C$951="","",[2]Baskol!$C$951)</f>
        <v/>
      </c>
      <c r="V948" t="str">
        <f>IF([2]Baskol!$D$951="","",[2]Baskol!$D$951)</f>
        <v/>
      </c>
      <c r="W948" t="str">
        <f>IF([2]Baskol!$E$951="","",[2]Baskol!$E$951)</f>
        <v/>
      </c>
      <c r="X948" t="str">
        <f>IF([2]Baskol!$G$951="","",[2]Baskol!$G$951)</f>
        <v/>
      </c>
      <c r="Y948" t="str">
        <f>IF([2]Baskol!$I$951="","",[2]Baskol!$I$951)</f>
        <v/>
      </c>
      <c r="Z948" t="str">
        <f>IF([2]Baskol!$J$951="","",[2]Baskol!$J$951)</f>
        <v/>
      </c>
      <c r="AA948" t="str">
        <f>IF([2]Baskol!$K$951="","",[2]Baskol!$K$951)</f>
        <v/>
      </c>
      <c r="AB948" t="str">
        <f>IF([2]Baskol!$L$951="","",[2]Baskol!$L$951)</f>
        <v/>
      </c>
      <c r="AC948" t="str">
        <f>IF([2]Baskol!$N$951="","",[2]Baskol!$N$951)</f>
        <v/>
      </c>
      <c r="AD948" t="str">
        <f>IF([2]Baskol!$O$951="","",[2]Baskol!$O$951)</f>
        <v/>
      </c>
      <c r="AE948" t="str">
        <f>IF([3]Entry!$C$951="","",[3]Entry!$C$951)</f>
        <v/>
      </c>
      <c r="AF948" t="str">
        <f>IF([3]Entry!$D$951="","",[3]Entry!$D$951)</f>
        <v/>
      </c>
      <c r="AG948" t="str">
        <f>IF([3]Entry!$E$951="","",[3]Entry!$E$951)</f>
        <v/>
      </c>
      <c r="AH948" t="str">
        <f>IF([3]Entry!$G$951="","",[3]Entry!$G$951)</f>
        <v/>
      </c>
      <c r="AI948" t="str">
        <f>IF([3]Entry!$K$951="","",[3]Entry!$K$951)</f>
        <v/>
      </c>
      <c r="AJ948" t="str">
        <f>IF([3]Entry!$L$951="","",[3]Entry!$L$951)</f>
        <v/>
      </c>
      <c r="AK948" t="str">
        <f>IF([3]Entry!$M$951="","",[3]Entry!$M$951)</f>
        <v/>
      </c>
      <c r="AL948" t="str">
        <f>IF([3]Entry!$N$951="","",[3]Entry!$N$951)</f>
        <v/>
      </c>
      <c r="AM948" t="str">
        <f>IF([3]Entry!$R$951="","",[3]Entry!$R$951)</f>
        <v/>
      </c>
    </row>
    <row r="949" spans="20:39" x14ac:dyDescent="0.2">
      <c r="T949" t="str">
        <f>IF([2]Baskol!$B$952="","",[2]Baskol!$B$952)</f>
        <v/>
      </c>
      <c r="U949" t="str">
        <f>IF([2]Baskol!$C$952="","",[2]Baskol!$C$952)</f>
        <v/>
      </c>
      <c r="V949" t="str">
        <f>IF([2]Baskol!$D$952="","",[2]Baskol!$D$952)</f>
        <v/>
      </c>
      <c r="W949" t="str">
        <f>IF([2]Baskol!$E$952="","",[2]Baskol!$E$952)</f>
        <v/>
      </c>
      <c r="X949" t="str">
        <f>IF([2]Baskol!$G$952="","",[2]Baskol!$G$952)</f>
        <v/>
      </c>
      <c r="Y949" t="str">
        <f>IF([2]Baskol!$I$952="","",[2]Baskol!$I$952)</f>
        <v/>
      </c>
      <c r="Z949" t="str">
        <f>IF([2]Baskol!$J$952="","",[2]Baskol!$J$952)</f>
        <v/>
      </c>
      <c r="AA949" t="str">
        <f>IF([2]Baskol!$K$952="","",[2]Baskol!$K$952)</f>
        <v/>
      </c>
      <c r="AB949" t="str">
        <f>IF([2]Baskol!$L$952="","",[2]Baskol!$L$952)</f>
        <v/>
      </c>
      <c r="AC949" t="str">
        <f>IF([2]Baskol!$N$952="","",[2]Baskol!$N$952)</f>
        <v/>
      </c>
      <c r="AD949" t="str">
        <f>IF([2]Baskol!$O$952="","",[2]Baskol!$O$952)</f>
        <v/>
      </c>
      <c r="AE949" t="str">
        <f>IF([3]Entry!$C$952="","",[3]Entry!$C$952)</f>
        <v/>
      </c>
      <c r="AF949" t="str">
        <f>IF([3]Entry!$D$952="","",[3]Entry!$D$952)</f>
        <v/>
      </c>
      <c r="AG949" t="str">
        <f>IF([3]Entry!$E$952="","",[3]Entry!$E$952)</f>
        <v/>
      </c>
      <c r="AH949" t="str">
        <f>IF([3]Entry!$G$952="","",[3]Entry!$G$952)</f>
        <v/>
      </c>
      <c r="AI949" t="str">
        <f>IF([3]Entry!$K$952="","",[3]Entry!$K$952)</f>
        <v/>
      </c>
      <c r="AJ949" t="str">
        <f>IF([3]Entry!$L$952="","",[3]Entry!$L$952)</f>
        <v/>
      </c>
      <c r="AK949" t="str">
        <f>IF([3]Entry!$M$952="","",[3]Entry!$M$952)</f>
        <v/>
      </c>
      <c r="AL949" t="str">
        <f>IF([3]Entry!$N$952="","",[3]Entry!$N$952)</f>
        <v/>
      </c>
      <c r="AM949" t="str">
        <f>IF([3]Entry!$R$952="","",[3]Entry!$R$952)</f>
        <v/>
      </c>
    </row>
    <row r="950" spans="20:39" x14ac:dyDescent="0.2">
      <c r="T950" t="str">
        <f>IF([2]Baskol!$B$953="","",[2]Baskol!$B$953)</f>
        <v/>
      </c>
      <c r="U950" t="str">
        <f>IF([2]Baskol!$C$953="","",[2]Baskol!$C$953)</f>
        <v/>
      </c>
      <c r="V950" t="str">
        <f>IF([2]Baskol!$D$953="","",[2]Baskol!$D$953)</f>
        <v/>
      </c>
      <c r="W950" t="str">
        <f>IF([2]Baskol!$E$953="","",[2]Baskol!$E$953)</f>
        <v/>
      </c>
      <c r="X950" t="str">
        <f>IF([2]Baskol!$G$953="","",[2]Baskol!$G$953)</f>
        <v/>
      </c>
      <c r="Y950" t="str">
        <f>IF([2]Baskol!$I$953="","",[2]Baskol!$I$953)</f>
        <v/>
      </c>
      <c r="Z950" t="str">
        <f>IF([2]Baskol!$J$953="","",[2]Baskol!$J$953)</f>
        <v/>
      </c>
      <c r="AA950" t="str">
        <f>IF([2]Baskol!$K$953="","",[2]Baskol!$K$953)</f>
        <v/>
      </c>
      <c r="AB950" t="str">
        <f>IF([2]Baskol!$L$953="","",[2]Baskol!$L$953)</f>
        <v/>
      </c>
      <c r="AC950" t="str">
        <f>IF([2]Baskol!$N$953="","",[2]Baskol!$N$953)</f>
        <v/>
      </c>
      <c r="AD950" t="str">
        <f>IF([2]Baskol!$O$953="","",[2]Baskol!$O$953)</f>
        <v/>
      </c>
      <c r="AE950" t="str">
        <f>IF([3]Entry!$C$953="","",[3]Entry!$C$953)</f>
        <v/>
      </c>
      <c r="AF950" t="str">
        <f>IF([3]Entry!$D$953="","",[3]Entry!$D$953)</f>
        <v/>
      </c>
      <c r="AG950" t="str">
        <f>IF([3]Entry!$E$953="","",[3]Entry!$E$953)</f>
        <v/>
      </c>
      <c r="AH950" t="str">
        <f>IF([3]Entry!$G$953="","",[3]Entry!$G$953)</f>
        <v/>
      </c>
      <c r="AI950" t="str">
        <f>IF([3]Entry!$K$953="","",[3]Entry!$K$953)</f>
        <v/>
      </c>
      <c r="AJ950" t="str">
        <f>IF([3]Entry!$L$953="","",[3]Entry!$L$953)</f>
        <v/>
      </c>
      <c r="AK950" t="str">
        <f>IF([3]Entry!$M$953="","",[3]Entry!$M$953)</f>
        <v/>
      </c>
      <c r="AL950" t="str">
        <f>IF([3]Entry!$N$953="","",[3]Entry!$N$953)</f>
        <v/>
      </c>
      <c r="AM950" t="str">
        <f>IF([3]Entry!$R$953="","",[3]Entry!$R$953)</f>
        <v/>
      </c>
    </row>
    <row r="951" spans="20:39" x14ac:dyDescent="0.2">
      <c r="T951" t="str">
        <f>IF([2]Baskol!$B$954="","",[2]Baskol!$B$954)</f>
        <v/>
      </c>
      <c r="U951" t="str">
        <f>IF([2]Baskol!$C$954="","",[2]Baskol!$C$954)</f>
        <v/>
      </c>
      <c r="V951" t="str">
        <f>IF([2]Baskol!$D$954="","",[2]Baskol!$D$954)</f>
        <v/>
      </c>
      <c r="W951" t="str">
        <f>IF([2]Baskol!$E$954="","",[2]Baskol!$E$954)</f>
        <v/>
      </c>
      <c r="X951" t="str">
        <f>IF([2]Baskol!$G$954="","",[2]Baskol!$G$954)</f>
        <v/>
      </c>
      <c r="Y951" t="str">
        <f>IF([2]Baskol!$I$954="","",[2]Baskol!$I$954)</f>
        <v/>
      </c>
      <c r="Z951" t="str">
        <f>IF([2]Baskol!$J$954="","",[2]Baskol!$J$954)</f>
        <v/>
      </c>
      <c r="AA951" t="str">
        <f>IF([2]Baskol!$K$954="","",[2]Baskol!$K$954)</f>
        <v/>
      </c>
      <c r="AB951" t="str">
        <f>IF([2]Baskol!$L$954="","",[2]Baskol!$L$954)</f>
        <v/>
      </c>
      <c r="AC951" t="str">
        <f>IF([2]Baskol!$N$954="","",[2]Baskol!$N$954)</f>
        <v/>
      </c>
      <c r="AD951" t="str">
        <f>IF([2]Baskol!$O$954="","",[2]Baskol!$O$954)</f>
        <v/>
      </c>
      <c r="AE951" t="str">
        <f>IF([3]Entry!$C$954="","",[3]Entry!$C$954)</f>
        <v/>
      </c>
      <c r="AF951" t="str">
        <f>IF([3]Entry!$D$954="","",[3]Entry!$D$954)</f>
        <v/>
      </c>
      <c r="AG951" t="str">
        <f>IF([3]Entry!$E$954="","",[3]Entry!$E$954)</f>
        <v/>
      </c>
      <c r="AH951" t="str">
        <f>IF([3]Entry!$G$954="","",[3]Entry!$G$954)</f>
        <v/>
      </c>
      <c r="AI951" t="str">
        <f>IF([3]Entry!$K$954="","",[3]Entry!$K$954)</f>
        <v/>
      </c>
      <c r="AJ951" t="str">
        <f>IF([3]Entry!$L$954="","",[3]Entry!$L$954)</f>
        <v/>
      </c>
      <c r="AK951" t="str">
        <f>IF([3]Entry!$M$954="","",[3]Entry!$M$954)</f>
        <v/>
      </c>
      <c r="AL951" t="str">
        <f>IF([3]Entry!$N$954="","",[3]Entry!$N$954)</f>
        <v/>
      </c>
      <c r="AM951" t="str">
        <f>IF([3]Entry!$R$954="","",[3]Entry!$R$954)</f>
        <v/>
      </c>
    </row>
    <row r="952" spans="20:39" x14ac:dyDescent="0.2">
      <c r="T952" t="str">
        <f>IF([2]Baskol!$B$955="","",[2]Baskol!$B$955)</f>
        <v/>
      </c>
      <c r="U952" t="str">
        <f>IF([2]Baskol!$C$955="","",[2]Baskol!$C$955)</f>
        <v/>
      </c>
      <c r="V952" t="str">
        <f>IF([2]Baskol!$D$955="","",[2]Baskol!$D$955)</f>
        <v/>
      </c>
      <c r="W952" t="str">
        <f>IF([2]Baskol!$E$955="","",[2]Baskol!$E$955)</f>
        <v/>
      </c>
      <c r="X952" t="str">
        <f>IF([2]Baskol!$G$955="","",[2]Baskol!$G$955)</f>
        <v/>
      </c>
      <c r="Y952" t="str">
        <f>IF([2]Baskol!$I$955="","",[2]Baskol!$I$955)</f>
        <v/>
      </c>
      <c r="Z952" t="str">
        <f>IF([2]Baskol!$J$955="","",[2]Baskol!$J$955)</f>
        <v/>
      </c>
      <c r="AA952" t="str">
        <f>IF([2]Baskol!$K$955="","",[2]Baskol!$K$955)</f>
        <v/>
      </c>
      <c r="AB952" t="str">
        <f>IF([2]Baskol!$L$955="","",[2]Baskol!$L$955)</f>
        <v/>
      </c>
      <c r="AC952" t="str">
        <f>IF([2]Baskol!$N$955="","",[2]Baskol!$N$955)</f>
        <v/>
      </c>
      <c r="AD952" t="str">
        <f>IF([2]Baskol!$O$955="","",[2]Baskol!$O$955)</f>
        <v/>
      </c>
      <c r="AE952" t="str">
        <f>IF([3]Entry!$C$955="","",[3]Entry!$C$955)</f>
        <v/>
      </c>
      <c r="AF952" t="str">
        <f>IF([3]Entry!$D$955="","",[3]Entry!$D$955)</f>
        <v/>
      </c>
      <c r="AG952" t="str">
        <f>IF([3]Entry!$E$955="","",[3]Entry!$E$955)</f>
        <v/>
      </c>
      <c r="AH952" t="str">
        <f>IF([3]Entry!$G$955="","",[3]Entry!$G$955)</f>
        <v/>
      </c>
      <c r="AI952" t="str">
        <f>IF([3]Entry!$K$955="","",[3]Entry!$K$955)</f>
        <v/>
      </c>
      <c r="AJ952" t="str">
        <f>IF([3]Entry!$L$955="","",[3]Entry!$L$955)</f>
        <v/>
      </c>
      <c r="AK952" t="str">
        <f>IF([3]Entry!$M$955="","",[3]Entry!$M$955)</f>
        <v/>
      </c>
      <c r="AL952" t="str">
        <f>IF([3]Entry!$N$955="","",[3]Entry!$N$955)</f>
        <v/>
      </c>
      <c r="AM952" t="str">
        <f>IF([3]Entry!$R$955="","",[3]Entry!$R$955)</f>
        <v/>
      </c>
    </row>
    <row r="953" spans="20:39" x14ac:dyDescent="0.2">
      <c r="T953" t="str">
        <f>IF([2]Baskol!$B$956="","",[2]Baskol!$B$956)</f>
        <v/>
      </c>
      <c r="U953" t="str">
        <f>IF([2]Baskol!$C$956="","",[2]Baskol!$C$956)</f>
        <v/>
      </c>
      <c r="V953" t="str">
        <f>IF([2]Baskol!$D$956="","",[2]Baskol!$D$956)</f>
        <v/>
      </c>
      <c r="W953" t="str">
        <f>IF([2]Baskol!$E$956="","",[2]Baskol!$E$956)</f>
        <v/>
      </c>
      <c r="X953" t="str">
        <f>IF([2]Baskol!$G$956="","",[2]Baskol!$G$956)</f>
        <v/>
      </c>
      <c r="Y953" t="str">
        <f>IF([2]Baskol!$I$956="","",[2]Baskol!$I$956)</f>
        <v/>
      </c>
      <c r="Z953" t="str">
        <f>IF([2]Baskol!$J$956="","",[2]Baskol!$J$956)</f>
        <v/>
      </c>
      <c r="AA953" t="str">
        <f>IF([2]Baskol!$K$956="","",[2]Baskol!$K$956)</f>
        <v/>
      </c>
      <c r="AB953" t="str">
        <f>IF([2]Baskol!$L$956="","",[2]Baskol!$L$956)</f>
        <v/>
      </c>
      <c r="AC953" t="str">
        <f>IF([2]Baskol!$N$956="","",[2]Baskol!$N$956)</f>
        <v/>
      </c>
      <c r="AD953" t="str">
        <f>IF([2]Baskol!$O$956="","",[2]Baskol!$O$956)</f>
        <v/>
      </c>
      <c r="AE953" t="str">
        <f>IF([3]Entry!$C$956="","",[3]Entry!$C$956)</f>
        <v/>
      </c>
      <c r="AF953" t="str">
        <f>IF([3]Entry!$D$956="","",[3]Entry!$D$956)</f>
        <v/>
      </c>
      <c r="AG953" t="str">
        <f>IF([3]Entry!$E$956="","",[3]Entry!$E$956)</f>
        <v/>
      </c>
      <c r="AH953" t="str">
        <f>IF([3]Entry!$G$956="","",[3]Entry!$G$956)</f>
        <v/>
      </c>
      <c r="AI953" t="str">
        <f>IF([3]Entry!$K$956="","",[3]Entry!$K$956)</f>
        <v/>
      </c>
      <c r="AJ953" t="str">
        <f>IF([3]Entry!$L$956="","",[3]Entry!$L$956)</f>
        <v/>
      </c>
      <c r="AK953" t="str">
        <f>IF([3]Entry!$M$956="","",[3]Entry!$M$956)</f>
        <v/>
      </c>
      <c r="AL953" t="str">
        <f>IF([3]Entry!$N$956="","",[3]Entry!$N$956)</f>
        <v/>
      </c>
      <c r="AM953" t="str">
        <f>IF([3]Entry!$R$956="","",[3]Entry!$R$956)</f>
        <v/>
      </c>
    </row>
    <row r="954" spans="20:39" x14ac:dyDescent="0.2">
      <c r="T954" t="str">
        <f>IF([2]Baskol!$B$957="","",[2]Baskol!$B$957)</f>
        <v/>
      </c>
      <c r="U954" t="str">
        <f>IF([2]Baskol!$C$957="","",[2]Baskol!$C$957)</f>
        <v/>
      </c>
      <c r="V954" t="str">
        <f>IF([2]Baskol!$D$957="","",[2]Baskol!$D$957)</f>
        <v/>
      </c>
      <c r="W954" t="str">
        <f>IF([2]Baskol!$E$957="","",[2]Baskol!$E$957)</f>
        <v/>
      </c>
      <c r="X954" t="str">
        <f>IF([2]Baskol!$G$957="","",[2]Baskol!$G$957)</f>
        <v/>
      </c>
      <c r="Y954" t="str">
        <f>IF([2]Baskol!$I$957="","",[2]Baskol!$I$957)</f>
        <v/>
      </c>
      <c r="Z954" t="str">
        <f>IF([2]Baskol!$J$957="","",[2]Baskol!$J$957)</f>
        <v/>
      </c>
      <c r="AA954" t="str">
        <f>IF([2]Baskol!$K$957="","",[2]Baskol!$K$957)</f>
        <v/>
      </c>
      <c r="AB954" t="str">
        <f>IF([2]Baskol!$L$957="","",[2]Baskol!$L$957)</f>
        <v/>
      </c>
      <c r="AC954" t="str">
        <f>IF([2]Baskol!$N$957="","",[2]Baskol!$N$957)</f>
        <v/>
      </c>
      <c r="AD954" t="str">
        <f>IF([2]Baskol!$O$957="","",[2]Baskol!$O$957)</f>
        <v/>
      </c>
      <c r="AE954" t="str">
        <f>IF([3]Entry!$C$957="","",[3]Entry!$C$957)</f>
        <v/>
      </c>
      <c r="AF954" t="str">
        <f>IF([3]Entry!$D$957="","",[3]Entry!$D$957)</f>
        <v/>
      </c>
      <c r="AG954" t="str">
        <f>IF([3]Entry!$E$957="","",[3]Entry!$E$957)</f>
        <v/>
      </c>
      <c r="AH954" t="str">
        <f>IF([3]Entry!$G$957="","",[3]Entry!$G$957)</f>
        <v/>
      </c>
      <c r="AI954" t="str">
        <f>IF([3]Entry!$K$957="","",[3]Entry!$K$957)</f>
        <v/>
      </c>
      <c r="AJ954" t="str">
        <f>IF([3]Entry!$L$957="","",[3]Entry!$L$957)</f>
        <v/>
      </c>
      <c r="AK954" t="str">
        <f>IF([3]Entry!$M$957="","",[3]Entry!$M$957)</f>
        <v/>
      </c>
      <c r="AL954" t="str">
        <f>IF([3]Entry!$N$957="","",[3]Entry!$N$957)</f>
        <v/>
      </c>
      <c r="AM954" t="str">
        <f>IF([3]Entry!$R$957="","",[3]Entry!$R$957)</f>
        <v/>
      </c>
    </row>
    <row r="955" spans="20:39" x14ac:dyDescent="0.2">
      <c r="T955" t="str">
        <f>IF([2]Baskol!$B$958="","",[2]Baskol!$B$958)</f>
        <v/>
      </c>
      <c r="U955" t="str">
        <f>IF([2]Baskol!$C$958="","",[2]Baskol!$C$958)</f>
        <v/>
      </c>
      <c r="V955" t="str">
        <f>IF([2]Baskol!$D$958="","",[2]Baskol!$D$958)</f>
        <v/>
      </c>
      <c r="W955" t="str">
        <f>IF([2]Baskol!$E$958="","",[2]Baskol!$E$958)</f>
        <v/>
      </c>
      <c r="X955" t="str">
        <f>IF([2]Baskol!$G$958="","",[2]Baskol!$G$958)</f>
        <v/>
      </c>
      <c r="Y955" t="str">
        <f>IF([2]Baskol!$I$958="","",[2]Baskol!$I$958)</f>
        <v/>
      </c>
      <c r="Z955" t="str">
        <f>IF([2]Baskol!$J$958="","",[2]Baskol!$J$958)</f>
        <v/>
      </c>
      <c r="AA955" t="str">
        <f>IF([2]Baskol!$K$958="","",[2]Baskol!$K$958)</f>
        <v/>
      </c>
      <c r="AB955" t="str">
        <f>IF([2]Baskol!$L$958="","",[2]Baskol!$L$958)</f>
        <v/>
      </c>
      <c r="AC955" t="str">
        <f>IF([2]Baskol!$N$958="","",[2]Baskol!$N$958)</f>
        <v/>
      </c>
      <c r="AD955" t="str">
        <f>IF([2]Baskol!$O$958="","",[2]Baskol!$O$958)</f>
        <v/>
      </c>
      <c r="AE955" t="str">
        <f>IF([3]Entry!$C$958="","",[3]Entry!$C$958)</f>
        <v/>
      </c>
      <c r="AF955" t="str">
        <f>IF([3]Entry!$D$958="","",[3]Entry!$D$958)</f>
        <v/>
      </c>
      <c r="AG955" t="str">
        <f>IF([3]Entry!$E$958="","",[3]Entry!$E$958)</f>
        <v/>
      </c>
      <c r="AH955" t="str">
        <f>IF([3]Entry!$G$958="","",[3]Entry!$G$958)</f>
        <v/>
      </c>
      <c r="AI955" t="str">
        <f>IF([3]Entry!$K$958="","",[3]Entry!$K$958)</f>
        <v/>
      </c>
      <c r="AJ955" t="str">
        <f>IF([3]Entry!$L$958="","",[3]Entry!$L$958)</f>
        <v/>
      </c>
      <c r="AK955" t="str">
        <f>IF([3]Entry!$M$958="","",[3]Entry!$M$958)</f>
        <v/>
      </c>
      <c r="AL955" t="str">
        <f>IF([3]Entry!$N$958="","",[3]Entry!$N$958)</f>
        <v/>
      </c>
      <c r="AM955" t="str">
        <f>IF([3]Entry!$R$958="","",[3]Entry!$R$958)</f>
        <v/>
      </c>
    </row>
    <row r="956" spans="20:39" x14ac:dyDescent="0.2">
      <c r="T956" t="str">
        <f>IF([2]Baskol!$B$959="","",[2]Baskol!$B$959)</f>
        <v/>
      </c>
      <c r="U956" t="str">
        <f>IF([2]Baskol!$C$959="","",[2]Baskol!$C$959)</f>
        <v/>
      </c>
      <c r="V956" t="str">
        <f>IF([2]Baskol!$D$959="","",[2]Baskol!$D$959)</f>
        <v/>
      </c>
      <c r="W956" t="str">
        <f>IF([2]Baskol!$E$959="","",[2]Baskol!$E$959)</f>
        <v/>
      </c>
      <c r="X956" t="str">
        <f>IF([2]Baskol!$G$959="","",[2]Baskol!$G$959)</f>
        <v/>
      </c>
      <c r="Y956" t="str">
        <f>IF([2]Baskol!$I$959="","",[2]Baskol!$I$959)</f>
        <v/>
      </c>
      <c r="Z956" t="str">
        <f>IF([2]Baskol!$J$959="","",[2]Baskol!$J$959)</f>
        <v/>
      </c>
      <c r="AA956" t="str">
        <f>IF([2]Baskol!$K$959="","",[2]Baskol!$K$959)</f>
        <v/>
      </c>
      <c r="AB956" t="str">
        <f>IF([2]Baskol!$L$959="","",[2]Baskol!$L$959)</f>
        <v/>
      </c>
      <c r="AC956" t="str">
        <f>IF([2]Baskol!$N$959="","",[2]Baskol!$N$959)</f>
        <v/>
      </c>
      <c r="AD956" t="str">
        <f>IF([2]Baskol!$O$959="","",[2]Baskol!$O$959)</f>
        <v/>
      </c>
      <c r="AE956" t="str">
        <f>IF([3]Entry!$C$959="","",[3]Entry!$C$959)</f>
        <v/>
      </c>
      <c r="AF956" t="str">
        <f>IF([3]Entry!$D$959="","",[3]Entry!$D$959)</f>
        <v/>
      </c>
      <c r="AG956" t="str">
        <f>IF([3]Entry!$E$959="","",[3]Entry!$E$959)</f>
        <v/>
      </c>
      <c r="AH956" t="str">
        <f>IF([3]Entry!$G$959="","",[3]Entry!$G$959)</f>
        <v/>
      </c>
      <c r="AI956" t="str">
        <f>IF([3]Entry!$K$959="","",[3]Entry!$K$959)</f>
        <v/>
      </c>
      <c r="AJ956" t="str">
        <f>IF([3]Entry!$L$959="","",[3]Entry!$L$959)</f>
        <v/>
      </c>
      <c r="AK956" t="str">
        <f>IF([3]Entry!$M$959="","",[3]Entry!$M$959)</f>
        <v/>
      </c>
      <c r="AL956" t="str">
        <f>IF([3]Entry!$N$959="","",[3]Entry!$N$959)</f>
        <v/>
      </c>
      <c r="AM956" t="str">
        <f>IF([3]Entry!$R$959="","",[3]Entry!$R$959)</f>
        <v/>
      </c>
    </row>
    <row r="957" spans="20:39" x14ac:dyDescent="0.2">
      <c r="T957" t="str">
        <f>IF([2]Baskol!$B$960="","",[2]Baskol!$B$960)</f>
        <v/>
      </c>
      <c r="U957" t="str">
        <f>IF([2]Baskol!$C$960="","",[2]Baskol!$C$960)</f>
        <v/>
      </c>
      <c r="V957" t="str">
        <f>IF([2]Baskol!$D$960="","",[2]Baskol!$D$960)</f>
        <v/>
      </c>
      <c r="W957" t="str">
        <f>IF([2]Baskol!$E$960="","",[2]Baskol!$E$960)</f>
        <v/>
      </c>
      <c r="X957" t="str">
        <f>IF([2]Baskol!$G$960="","",[2]Baskol!$G$960)</f>
        <v/>
      </c>
      <c r="Y957" t="str">
        <f>IF([2]Baskol!$I$960="","",[2]Baskol!$I$960)</f>
        <v/>
      </c>
      <c r="Z957" t="str">
        <f>IF([2]Baskol!$J$960="","",[2]Baskol!$J$960)</f>
        <v/>
      </c>
      <c r="AA957" t="str">
        <f>IF([2]Baskol!$K$960="","",[2]Baskol!$K$960)</f>
        <v/>
      </c>
      <c r="AB957" t="str">
        <f>IF([2]Baskol!$L$960="","",[2]Baskol!$L$960)</f>
        <v/>
      </c>
      <c r="AC957" t="str">
        <f>IF([2]Baskol!$N$960="","",[2]Baskol!$N$960)</f>
        <v/>
      </c>
      <c r="AD957" t="str">
        <f>IF([2]Baskol!$O$960="","",[2]Baskol!$O$960)</f>
        <v/>
      </c>
      <c r="AE957" t="str">
        <f>IF([3]Entry!$C$960="","",[3]Entry!$C$960)</f>
        <v/>
      </c>
      <c r="AF957" t="str">
        <f>IF([3]Entry!$D$960="","",[3]Entry!$D$960)</f>
        <v/>
      </c>
      <c r="AG957" t="str">
        <f>IF([3]Entry!$E$960="","",[3]Entry!$E$960)</f>
        <v/>
      </c>
      <c r="AH957" t="str">
        <f>IF([3]Entry!$G$960="","",[3]Entry!$G$960)</f>
        <v/>
      </c>
      <c r="AI957" t="str">
        <f>IF([3]Entry!$K$960="","",[3]Entry!$K$960)</f>
        <v/>
      </c>
      <c r="AJ957" t="str">
        <f>IF([3]Entry!$L$960="","",[3]Entry!$L$960)</f>
        <v/>
      </c>
      <c r="AK957" t="str">
        <f>IF([3]Entry!$M$960="","",[3]Entry!$M$960)</f>
        <v/>
      </c>
      <c r="AL957" t="str">
        <f>IF([3]Entry!$N$960="","",[3]Entry!$N$960)</f>
        <v/>
      </c>
      <c r="AM957" t="str">
        <f>IF([3]Entry!$R$960="","",[3]Entry!$R$960)</f>
        <v/>
      </c>
    </row>
    <row r="958" spans="20:39" x14ac:dyDescent="0.2">
      <c r="T958" t="str">
        <f>IF([2]Baskol!$B$961="","",[2]Baskol!$B$961)</f>
        <v/>
      </c>
      <c r="U958" t="str">
        <f>IF([2]Baskol!$C$961="","",[2]Baskol!$C$961)</f>
        <v/>
      </c>
      <c r="V958" t="str">
        <f>IF([2]Baskol!$D$961="","",[2]Baskol!$D$961)</f>
        <v/>
      </c>
      <c r="W958" t="str">
        <f>IF([2]Baskol!$E$961="","",[2]Baskol!$E$961)</f>
        <v/>
      </c>
      <c r="X958" t="str">
        <f>IF([2]Baskol!$G$961="","",[2]Baskol!$G$961)</f>
        <v/>
      </c>
      <c r="Y958" t="str">
        <f>IF([2]Baskol!$I$961="","",[2]Baskol!$I$961)</f>
        <v/>
      </c>
      <c r="Z958" t="str">
        <f>IF([2]Baskol!$J$961="","",[2]Baskol!$J$961)</f>
        <v/>
      </c>
      <c r="AA958" t="str">
        <f>IF([2]Baskol!$K$961="","",[2]Baskol!$K$961)</f>
        <v/>
      </c>
      <c r="AB958" t="str">
        <f>IF([2]Baskol!$L$961="","",[2]Baskol!$L$961)</f>
        <v/>
      </c>
      <c r="AC958" t="str">
        <f>IF([2]Baskol!$N$961="","",[2]Baskol!$N$961)</f>
        <v/>
      </c>
      <c r="AD958" t="str">
        <f>IF([2]Baskol!$O$961="","",[2]Baskol!$O$961)</f>
        <v/>
      </c>
      <c r="AE958" t="str">
        <f>IF([3]Entry!$C$961="","",[3]Entry!$C$961)</f>
        <v/>
      </c>
      <c r="AF958" t="str">
        <f>IF([3]Entry!$D$961="","",[3]Entry!$D$961)</f>
        <v/>
      </c>
      <c r="AG958" t="str">
        <f>IF([3]Entry!$E$961="","",[3]Entry!$E$961)</f>
        <v/>
      </c>
      <c r="AH958" t="str">
        <f>IF([3]Entry!$G$961="","",[3]Entry!$G$961)</f>
        <v/>
      </c>
      <c r="AI958" t="str">
        <f>IF([3]Entry!$K$961="","",[3]Entry!$K$961)</f>
        <v/>
      </c>
      <c r="AJ958" t="str">
        <f>IF([3]Entry!$L$961="","",[3]Entry!$L$961)</f>
        <v/>
      </c>
      <c r="AK958" t="str">
        <f>IF([3]Entry!$M$961="","",[3]Entry!$M$961)</f>
        <v/>
      </c>
      <c r="AL958" t="str">
        <f>IF([3]Entry!$N$961="","",[3]Entry!$N$961)</f>
        <v/>
      </c>
      <c r="AM958" t="str">
        <f>IF([3]Entry!$R$961="","",[3]Entry!$R$961)</f>
        <v/>
      </c>
    </row>
    <row r="959" spans="20:39" x14ac:dyDescent="0.2">
      <c r="T959" t="str">
        <f>IF([2]Baskol!$B$962="","",[2]Baskol!$B$962)</f>
        <v/>
      </c>
      <c r="U959" t="str">
        <f>IF([2]Baskol!$C$962="","",[2]Baskol!$C$962)</f>
        <v/>
      </c>
      <c r="V959" t="str">
        <f>IF([2]Baskol!$D$962="","",[2]Baskol!$D$962)</f>
        <v/>
      </c>
      <c r="W959" t="str">
        <f>IF([2]Baskol!$E$962="","",[2]Baskol!$E$962)</f>
        <v/>
      </c>
      <c r="X959" t="str">
        <f>IF([2]Baskol!$G$962="","",[2]Baskol!$G$962)</f>
        <v/>
      </c>
      <c r="Y959" t="str">
        <f>IF([2]Baskol!$I$962="","",[2]Baskol!$I$962)</f>
        <v/>
      </c>
      <c r="Z959" t="str">
        <f>IF([2]Baskol!$J$962="","",[2]Baskol!$J$962)</f>
        <v/>
      </c>
      <c r="AA959" t="str">
        <f>IF([2]Baskol!$K$962="","",[2]Baskol!$K$962)</f>
        <v/>
      </c>
      <c r="AB959" t="str">
        <f>IF([2]Baskol!$L$962="","",[2]Baskol!$L$962)</f>
        <v/>
      </c>
      <c r="AC959" t="str">
        <f>IF([2]Baskol!$N$962="","",[2]Baskol!$N$962)</f>
        <v/>
      </c>
      <c r="AD959" t="str">
        <f>IF([2]Baskol!$O$962="","",[2]Baskol!$O$962)</f>
        <v/>
      </c>
      <c r="AE959" t="str">
        <f>IF([3]Entry!$C$962="","",[3]Entry!$C$962)</f>
        <v/>
      </c>
      <c r="AF959" t="str">
        <f>IF([3]Entry!$D$962="","",[3]Entry!$D$962)</f>
        <v/>
      </c>
      <c r="AG959" t="str">
        <f>IF([3]Entry!$E$962="","",[3]Entry!$E$962)</f>
        <v/>
      </c>
      <c r="AH959" t="str">
        <f>IF([3]Entry!$G$962="","",[3]Entry!$G$962)</f>
        <v/>
      </c>
      <c r="AI959" t="str">
        <f>IF([3]Entry!$K$962="","",[3]Entry!$K$962)</f>
        <v/>
      </c>
      <c r="AJ959" t="str">
        <f>IF([3]Entry!$L$962="","",[3]Entry!$L$962)</f>
        <v/>
      </c>
      <c r="AK959" t="str">
        <f>IF([3]Entry!$M$962="","",[3]Entry!$M$962)</f>
        <v/>
      </c>
      <c r="AL959" t="str">
        <f>IF([3]Entry!$N$962="","",[3]Entry!$N$962)</f>
        <v/>
      </c>
      <c r="AM959" t="str">
        <f>IF([3]Entry!$R$962="","",[3]Entry!$R$962)</f>
        <v/>
      </c>
    </row>
    <row r="960" spans="20:39" x14ac:dyDescent="0.2">
      <c r="T960" t="str">
        <f>IF([2]Baskol!$B$963="","",[2]Baskol!$B$963)</f>
        <v/>
      </c>
      <c r="U960" t="str">
        <f>IF([2]Baskol!$C$963="","",[2]Baskol!$C$963)</f>
        <v/>
      </c>
      <c r="V960" t="str">
        <f>IF([2]Baskol!$D$963="","",[2]Baskol!$D$963)</f>
        <v/>
      </c>
      <c r="W960" t="str">
        <f>IF([2]Baskol!$E$963="","",[2]Baskol!$E$963)</f>
        <v/>
      </c>
      <c r="X960" t="str">
        <f>IF([2]Baskol!$G$963="","",[2]Baskol!$G$963)</f>
        <v/>
      </c>
      <c r="Y960" t="str">
        <f>IF([2]Baskol!$I$963="","",[2]Baskol!$I$963)</f>
        <v/>
      </c>
      <c r="Z960" t="str">
        <f>IF([2]Baskol!$J$963="","",[2]Baskol!$J$963)</f>
        <v/>
      </c>
      <c r="AA960" t="str">
        <f>IF([2]Baskol!$K$963="","",[2]Baskol!$K$963)</f>
        <v/>
      </c>
      <c r="AB960" t="str">
        <f>IF([2]Baskol!$L$963="","",[2]Baskol!$L$963)</f>
        <v/>
      </c>
      <c r="AC960" t="str">
        <f>IF([2]Baskol!$N$963="","",[2]Baskol!$N$963)</f>
        <v/>
      </c>
      <c r="AD960" t="str">
        <f>IF([2]Baskol!$O$963="","",[2]Baskol!$O$963)</f>
        <v/>
      </c>
      <c r="AE960" t="str">
        <f>IF([3]Entry!$C$963="","",[3]Entry!$C$963)</f>
        <v/>
      </c>
      <c r="AF960" t="str">
        <f>IF([3]Entry!$D$963="","",[3]Entry!$D$963)</f>
        <v/>
      </c>
      <c r="AG960" t="str">
        <f>IF([3]Entry!$E$963="","",[3]Entry!$E$963)</f>
        <v/>
      </c>
      <c r="AH960" t="str">
        <f>IF([3]Entry!$G$963="","",[3]Entry!$G$963)</f>
        <v/>
      </c>
      <c r="AI960" t="str">
        <f>IF([3]Entry!$K$963="","",[3]Entry!$K$963)</f>
        <v/>
      </c>
      <c r="AJ960" t="str">
        <f>IF([3]Entry!$L$963="","",[3]Entry!$L$963)</f>
        <v/>
      </c>
      <c r="AK960" t="str">
        <f>IF([3]Entry!$M$963="","",[3]Entry!$M$963)</f>
        <v/>
      </c>
      <c r="AL960" t="str">
        <f>IF([3]Entry!$N$963="","",[3]Entry!$N$963)</f>
        <v/>
      </c>
      <c r="AM960" t="str">
        <f>IF([3]Entry!$R$963="","",[3]Entry!$R$963)</f>
        <v/>
      </c>
    </row>
    <row r="961" spans="20:39" x14ac:dyDescent="0.2">
      <c r="T961" t="str">
        <f>IF([2]Baskol!$B$964="","",[2]Baskol!$B$964)</f>
        <v/>
      </c>
      <c r="U961" t="str">
        <f>IF([2]Baskol!$C$964="","",[2]Baskol!$C$964)</f>
        <v/>
      </c>
      <c r="V961" t="str">
        <f>IF([2]Baskol!$D$964="","",[2]Baskol!$D$964)</f>
        <v/>
      </c>
      <c r="W961" t="str">
        <f>IF([2]Baskol!$E$964="","",[2]Baskol!$E$964)</f>
        <v/>
      </c>
      <c r="X961" t="str">
        <f>IF([2]Baskol!$G$964="","",[2]Baskol!$G$964)</f>
        <v/>
      </c>
      <c r="Y961" t="str">
        <f>IF([2]Baskol!$I$964="","",[2]Baskol!$I$964)</f>
        <v/>
      </c>
      <c r="Z961" t="str">
        <f>IF([2]Baskol!$J$964="","",[2]Baskol!$J$964)</f>
        <v/>
      </c>
      <c r="AA961" t="str">
        <f>IF([2]Baskol!$K$964="","",[2]Baskol!$K$964)</f>
        <v/>
      </c>
      <c r="AB961" t="str">
        <f>IF([2]Baskol!$L$964="","",[2]Baskol!$L$964)</f>
        <v/>
      </c>
      <c r="AC961" t="str">
        <f>IF([2]Baskol!$N$964="","",[2]Baskol!$N$964)</f>
        <v/>
      </c>
      <c r="AD961" t="str">
        <f>IF([2]Baskol!$O$964="","",[2]Baskol!$O$964)</f>
        <v/>
      </c>
      <c r="AE961" t="str">
        <f>IF([3]Entry!$C$964="","",[3]Entry!$C$964)</f>
        <v/>
      </c>
      <c r="AF961" t="str">
        <f>IF([3]Entry!$D$964="","",[3]Entry!$D$964)</f>
        <v/>
      </c>
      <c r="AG961" t="str">
        <f>IF([3]Entry!$E$964="","",[3]Entry!$E$964)</f>
        <v/>
      </c>
      <c r="AH961" t="str">
        <f>IF([3]Entry!$G$964="","",[3]Entry!$G$964)</f>
        <v/>
      </c>
      <c r="AI961" t="str">
        <f>IF([3]Entry!$K$964="","",[3]Entry!$K$964)</f>
        <v/>
      </c>
      <c r="AJ961" t="str">
        <f>IF([3]Entry!$L$964="","",[3]Entry!$L$964)</f>
        <v/>
      </c>
      <c r="AK961" t="str">
        <f>IF([3]Entry!$M$964="","",[3]Entry!$M$964)</f>
        <v/>
      </c>
      <c r="AL961" t="str">
        <f>IF([3]Entry!$N$964="","",[3]Entry!$N$964)</f>
        <v/>
      </c>
      <c r="AM961" t="str">
        <f>IF([3]Entry!$R$964="","",[3]Entry!$R$964)</f>
        <v/>
      </c>
    </row>
    <row r="962" spans="20:39" x14ac:dyDescent="0.2">
      <c r="T962" t="str">
        <f>IF([2]Baskol!$B$965="","",[2]Baskol!$B$965)</f>
        <v/>
      </c>
      <c r="U962" t="str">
        <f>IF([2]Baskol!$C$965="","",[2]Baskol!$C$965)</f>
        <v/>
      </c>
      <c r="V962" t="str">
        <f>IF([2]Baskol!$D$965="","",[2]Baskol!$D$965)</f>
        <v/>
      </c>
      <c r="W962" t="str">
        <f>IF([2]Baskol!$E$965="","",[2]Baskol!$E$965)</f>
        <v/>
      </c>
      <c r="X962" t="str">
        <f>IF([2]Baskol!$G$965="","",[2]Baskol!$G$965)</f>
        <v/>
      </c>
      <c r="Y962" t="str">
        <f>IF([2]Baskol!$I$965="","",[2]Baskol!$I$965)</f>
        <v/>
      </c>
      <c r="Z962" t="str">
        <f>IF([2]Baskol!$J$965="","",[2]Baskol!$J$965)</f>
        <v/>
      </c>
      <c r="AA962" t="str">
        <f>IF([2]Baskol!$K$965="","",[2]Baskol!$K$965)</f>
        <v/>
      </c>
      <c r="AB962" t="str">
        <f>IF([2]Baskol!$L$965="","",[2]Baskol!$L$965)</f>
        <v/>
      </c>
      <c r="AC962" t="str">
        <f>IF([2]Baskol!$N$965="","",[2]Baskol!$N$965)</f>
        <v/>
      </c>
      <c r="AD962" t="str">
        <f>IF([2]Baskol!$O$965="","",[2]Baskol!$O$965)</f>
        <v/>
      </c>
      <c r="AE962" t="str">
        <f>IF([3]Entry!$C$965="","",[3]Entry!$C$965)</f>
        <v/>
      </c>
      <c r="AF962" t="str">
        <f>IF([3]Entry!$D$965="","",[3]Entry!$D$965)</f>
        <v/>
      </c>
      <c r="AG962" t="str">
        <f>IF([3]Entry!$E$965="","",[3]Entry!$E$965)</f>
        <v/>
      </c>
      <c r="AH962" t="str">
        <f>IF([3]Entry!$G$965="","",[3]Entry!$G$965)</f>
        <v/>
      </c>
      <c r="AI962" t="str">
        <f>IF([3]Entry!$K$965="","",[3]Entry!$K$965)</f>
        <v/>
      </c>
      <c r="AJ962" t="str">
        <f>IF([3]Entry!$L$965="","",[3]Entry!$L$965)</f>
        <v/>
      </c>
      <c r="AK962" t="str">
        <f>IF([3]Entry!$M$965="","",[3]Entry!$M$965)</f>
        <v/>
      </c>
      <c r="AL962" t="str">
        <f>IF([3]Entry!$N$965="","",[3]Entry!$N$965)</f>
        <v/>
      </c>
      <c r="AM962" t="str">
        <f>IF([3]Entry!$R$965="","",[3]Entry!$R$965)</f>
        <v/>
      </c>
    </row>
    <row r="963" spans="20:39" x14ac:dyDescent="0.2">
      <c r="T963" t="str">
        <f>IF([2]Baskol!$B$966="","",[2]Baskol!$B$966)</f>
        <v/>
      </c>
      <c r="U963" t="str">
        <f>IF([2]Baskol!$C$966="","",[2]Baskol!$C$966)</f>
        <v/>
      </c>
      <c r="V963" t="str">
        <f>IF([2]Baskol!$D$966="","",[2]Baskol!$D$966)</f>
        <v/>
      </c>
      <c r="W963" t="str">
        <f>IF([2]Baskol!$E$966="","",[2]Baskol!$E$966)</f>
        <v/>
      </c>
      <c r="X963" t="str">
        <f>IF([2]Baskol!$G$966="","",[2]Baskol!$G$966)</f>
        <v/>
      </c>
      <c r="Y963" t="str">
        <f>IF([2]Baskol!$I$966="","",[2]Baskol!$I$966)</f>
        <v/>
      </c>
      <c r="Z963" t="str">
        <f>IF([2]Baskol!$J$966="","",[2]Baskol!$J$966)</f>
        <v/>
      </c>
      <c r="AA963" t="str">
        <f>IF([2]Baskol!$K$966="","",[2]Baskol!$K$966)</f>
        <v/>
      </c>
      <c r="AB963" t="str">
        <f>IF([2]Baskol!$L$966="","",[2]Baskol!$L$966)</f>
        <v/>
      </c>
      <c r="AC963" t="str">
        <f>IF([2]Baskol!$N$966="","",[2]Baskol!$N$966)</f>
        <v/>
      </c>
      <c r="AD963" t="str">
        <f>IF([2]Baskol!$O$966="","",[2]Baskol!$O$966)</f>
        <v/>
      </c>
      <c r="AE963" t="str">
        <f>IF([3]Entry!$C$966="","",[3]Entry!$C$966)</f>
        <v/>
      </c>
      <c r="AF963" t="str">
        <f>IF([3]Entry!$D$966="","",[3]Entry!$D$966)</f>
        <v/>
      </c>
      <c r="AG963" t="str">
        <f>IF([3]Entry!$E$966="","",[3]Entry!$E$966)</f>
        <v/>
      </c>
      <c r="AH963" t="str">
        <f>IF([3]Entry!$G$966="","",[3]Entry!$G$966)</f>
        <v/>
      </c>
      <c r="AI963" t="str">
        <f>IF([3]Entry!$K$966="","",[3]Entry!$K$966)</f>
        <v/>
      </c>
      <c r="AJ963" t="str">
        <f>IF([3]Entry!$L$966="","",[3]Entry!$L$966)</f>
        <v/>
      </c>
      <c r="AK963" t="str">
        <f>IF([3]Entry!$M$966="","",[3]Entry!$M$966)</f>
        <v/>
      </c>
      <c r="AL963" t="str">
        <f>IF([3]Entry!$N$966="","",[3]Entry!$N$966)</f>
        <v/>
      </c>
      <c r="AM963" t="str">
        <f>IF([3]Entry!$R$966="","",[3]Entry!$R$966)</f>
        <v/>
      </c>
    </row>
    <row r="964" spans="20:39" x14ac:dyDescent="0.2">
      <c r="T964" t="str">
        <f>IF([2]Baskol!$B$967="","",[2]Baskol!$B$967)</f>
        <v/>
      </c>
      <c r="U964" t="str">
        <f>IF([2]Baskol!$C$967="","",[2]Baskol!$C$967)</f>
        <v/>
      </c>
      <c r="V964" t="str">
        <f>IF([2]Baskol!$D$967="","",[2]Baskol!$D$967)</f>
        <v/>
      </c>
      <c r="W964" t="str">
        <f>IF([2]Baskol!$E$967="","",[2]Baskol!$E$967)</f>
        <v/>
      </c>
      <c r="X964" t="str">
        <f>IF([2]Baskol!$G$967="","",[2]Baskol!$G$967)</f>
        <v/>
      </c>
      <c r="Y964" t="str">
        <f>IF([2]Baskol!$I$967="","",[2]Baskol!$I$967)</f>
        <v/>
      </c>
      <c r="Z964" t="str">
        <f>IF([2]Baskol!$J$967="","",[2]Baskol!$J$967)</f>
        <v/>
      </c>
      <c r="AA964" t="str">
        <f>IF([2]Baskol!$K$967="","",[2]Baskol!$K$967)</f>
        <v/>
      </c>
      <c r="AB964" t="str">
        <f>IF([2]Baskol!$L$967="","",[2]Baskol!$L$967)</f>
        <v/>
      </c>
      <c r="AC964" t="str">
        <f>IF([2]Baskol!$N$967="","",[2]Baskol!$N$967)</f>
        <v/>
      </c>
      <c r="AD964" t="str">
        <f>IF([2]Baskol!$O$967="","",[2]Baskol!$O$967)</f>
        <v/>
      </c>
      <c r="AE964" t="str">
        <f>IF([3]Entry!$C$967="","",[3]Entry!$C$967)</f>
        <v/>
      </c>
      <c r="AF964" t="str">
        <f>IF([3]Entry!$D$967="","",[3]Entry!$D$967)</f>
        <v/>
      </c>
      <c r="AG964" t="str">
        <f>IF([3]Entry!$E$967="","",[3]Entry!$E$967)</f>
        <v/>
      </c>
      <c r="AH964" t="str">
        <f>IF([3]Entry!$G$967="","",[3]Entry!$G$967)</f>
        <v/>
      </c>
      <c r="AI964" t="str">
        <f>IF([3]Entry!$K$967="","",[3]Entry!$K$967)</f>
        <v/>
      </c>
      <c r="AJ964" t="str">
        <f>IF([3]Entry!$L$967="","",[3]Entry!$L$967)</f>
        <v/>
      </c>
      <c r="AK964" t="str">
        <f>IF([3]Entry!$M$967="","",[3]Entry!$M$967)</f>
        <v/>
      </c>
      <c r="AL964" t="str">
        <f>IF([3]Entry!$N$967="","",[3]Entry!$N$967)</f>
        <v/>
      </c>
      <c r="AM964" t="str">
        <f>IF([3]Entry!$R$967="","",[3]Entry!$R$967)</f>
        <v/>
      </c>
    </row>
    <row r="965" spans="20:39" x14ac:dyDescent="0.2">
      <c r="T965" t="str">
        <f>IF([2]Baskol!$B$968="","",[2]Baskol!$B$968)</f>
        <v/>
      </c>
      <c r="U965" t="str">
        <f>IF([2]Baskol!$C$968="","",[2]Baskol!$C$968)</f>
        <v/>
      </c>
      <c r="V965" t="str">
        <f>IF([2]Baskol!$D$968="","",[2]Baskol!$D$968)</f>
        <v/>
      </c>
      <c r="W965" t="str">
        <f>IF([2]Baskol!$E$968="","",[2]Baskol!$E$968)</f>
        <v/>
      </c>
      <c r="X965" t="str">
        <f>IF([2]Baskol!$G$968="","",[2]Baskol!$G$968)</f>
        <v/>
      </c>
      <c r="Y965" t="str">
        <f>IF([2]Baskol!$I$968="","",[2]Baskol!$I$968)</f>
        <v/>
      </c>
      <c r="Z965" t="str">
        <f>IF([2]Baskol!$J$968="","",[2]Baskol!$J$968)</f>
        <v/>
      </c>
      <c r="AA965" t="str">
        <f>IF([2]Baskol!$K$968="","",[2]Baskol!$K$968)</f>
        <v/>
      </c>
      <c r="AB965" t="str">
        <f>IF([2]Baskol!$L$968="","",[2]Baskol!$L$968)</f>
        <v/>
      </c>
      <c r="AC965" t="str">
        <f>IF([2]Baskol!$N$968="","",[2]Baskol!$N$968)</f>
        <v/>
      </c>
      <c r="AD965" t="str">
        <f>IF([2]Baskol!$O$968="","",[2]Baskol!$O$968)</f>
        <v/>
      </c>
      <c r="AE965" t="str">
        <f>IF([3]Entry!$C$968="","",[3]Entry!$C$968)</f>
        <v/>
      </c>
      <c r="AF965" t="str">
        <f>IF([3]Entry!$D$968="","",[3]Entry!$D$968)</f>
        <v/>
      </c>
      <c r="AG965" t="str">
        <f>IF([3]Entry!$E$968="","",[3]Entry!$E$968)</f>
        <v/>
      </c>
      <c r="AH965" t="str">
        <f>IF([3]Entry!$G$968="","",[3]Entry!$G$968)</f>
        <v/>
      </c>
      <c r="AI965" t="str">
        <f>IF([3]Entry!$K$968="","",[3]Entry!$K$968)</f>
        <v/>
      </c>
      <c r="AJ965" t="str">
        <f>IF([3]Entry!$L$968="","",[3]Entry!$L$968)</f>
        <v/>
      </c>
      <c r="AK965" t="str">
        <f>IF([3]Entry!$M$968="","",[3]Entry!$M$968)</f>
        <v/>
      </c>
      <c r="AL965" t="str">
        <f>IF([3]Entry!$N$968="","",[3]Entry!$N$968)</f>
        <v/>
      </c>
      <c r="AM965" t="str">
        <f>IF([3]Entry!$R$968="","",[3]Entry!$R$968)</f>
        <v/>
      </c>
    </row>
    <row r="966" spans="20:39" x14ac:dyDescent="0.2">
      <c r="T966" t="str">
        <f>IF([2]Baskol!$B$969="","",[2]Baskol!$B$969)</f>
        <v/>
      </c>
      <c r="U966" t="str">
        <f>IF([2]Baskol!$C$969="","",[2]Baskol!$C$969)</f>
        <v/>
      </c>
      <c r="V966" t="str">
        <f>IF([2]Baskol!$D$969="","",[2]Baskol!$D$969)</f>
        <v/>
      </c>
      <c r="W966" t="str">
        <f>IF([2]Baskol!$E$969="","",[2]Baskol!$E$969)</f>
        <v/>
      </c>
      <c r="X966" t="str">
        <f>IF([2]Baskol!$G$969="","",[2]Baskol!$G$969)</f>
        <v/>
      </c>
      <c r="Y966" t="str">
        <f>IF([2]Baskol!$I$969="","",[2]Baskol!$I$969)</f>
        <v/>
      </c>
      <c r="Z966" t="str">
        <f>IF([2]Baskol!$J$969="","",[2]Baskol!$J$969)</f>
        <v/>
      </c>
      <c r="AA966" t="str">
        <f>IF([2]Baskol!$K$969="","",[2]Baskol!$K$969)</f>
        <v/>
      </c>
      <c r="AB966" t="str">
        <f>IF([2]Baskol!$L$969="","",[2]Baskol!$L$969)</f>
        <v/>
      </c>
      <c r="AC966" t="str">
        <f>IF([2]Baskol!$N$969="","",[2]Baskol!$N$969)</f>
        <v/>
      </c>
      <c r="AD966" t="str">
        <f>IF([2]Baskol!$O$969="","",[2]Baskol!$O$969)</f>
        <v/>
      </c>
      <c r="AE966" t="str">
        <f>IF([3]Entry!$C$969="","",[3]Entry!$C$969)</f>
        <v/>
      </c>
      <c r="AF966" t="str">
        <f>IF([3]Entry!$D$969="","",[3]Entry!$D$969)</f>
        <v/>
      </c>
      <c r="AG966" t="str">
        <f>IF([3]Entry!$E$969="","",[3]Entry!$E$969)</f>
        <v/>
      </c>
      <c r="AH966" t="str">
        <f>IF([3]Entry!$G$969="","",[3]Entry!$G$969)</f>
        <v/>
      </c>
      <c r="AI966" t="str">
        <f>IF([3]Entry!$K$969="","",[3]Entry!$K$969)</f>
        <v/>
      </c>
      <c r="AJ966" t="str">
        <f>IF([3]Entry!$L$969="","",[3]Entry!$L$969)</f>
        <v/>
      </c>
      <c r="AK966" t="str">
        <f>IF([3]Entry!$M$969="","",[3]Entry!$M$969)</f>
        <v/>
      </c>
      <c r="AL966" t="str">
        <f>IF([3]Entry!$N$969="","",[3]Entry!$N$969)</f>
        <v/>
      </c>
      <c r="AM966" t="str">
        <f>IF([3]Entry!$R$969="","",[3]Entry!$R$969)</f>
        <v/>
      </c>
    </row>
    <row r="967" spans="20:39" x14ac:dyDescent="0.2">
      <c r="T967" t="str">
        <f>IF([2]Baskol!$B$970="","",[2]Baskol!$B$970)</f>
        <v/>
      </c>
      <c r="U967" t="str">
        <f>IF([2]Baskol!$C$970="","",[2]Baskol!$C$970)</f>
        <v/>
      </c>
      <c r="V967" t="str">
        <f>IF([2]Baskol!$D$970="","",[2]Baskol!$D$970)</f>
        <v/>
      </c>
      <c r="W967" t="str">
        <f>IF([2]Baskol!$E$970="","",[2]Baskol!$E$970)</f>
        <v/>
      </c>
      <c r="X967" t="str">
        <f>IF([2]Baskol!$G$970="","",[2]Baskol!$G$970)</f>
        <v/>
      </c>
      <c r="Y967" t="str">
        <f>IF([2]Baskol!$I$970="","",[2]Baskol!$I$970)</f>
        <v/>
      </c>
      <c r="Z967" t="str">
        <f>IF([2]Baskol!$J$970="","",[2]Baskol!$J$970)</f>
        <v/>
      </c>
      <c r="AA967" t="str">
        <f>IF([2]Baskol!$K$970="","",[2]Baskol!$K$970)</f>
        <v/>
      </c>
      <c r="AB967" t="str">
        <f>IF([2]Baskol!$L$970="","",[2]Baskol!$L$970)</f>
        <v/>
      </c>
      <c r="AC967" t="str">
        <f>IF([2]Baskol!$N$970="","",[2]Baskol!$N$970)</f>
        <v/>
      </c>
      <c r="AD967" t="str">
        <f>IF([2]Baskol!$O$970="","",[2]Baskol!$O$970)</f>
        <v/>
      </c>
      <c r="AE967" t="str">
        <f>IF([3]Entry!$C$970="","",[3]Entry!$C$970)</f>
        <v/>
      </c>
      <c r="AF967" t="str">
        <f>IF([3]Entry!$D$970="","",[3]Entry!$D$970)</f>
        <v/>
      </c>
      <c r="AG967" t="str">
        <f>IF([3]Entry!$E$970="","",[3]Entry!$E$970)</f>
        <v/>
      </c>
      <c r="AH967" t="str">
        <f>IF([3]Entry!$G$970="","",[3]Entry!$G$970)</f>
        <v/>
      </c>
      <c r="AI967" t="str">
        <f>IF([3]Entry!$K$970="","",[3]Entry!$K$970)</f>
        <v/>
      </c>
      <c r="AJ967" t="str">
        <f>IF([3]Entry!$L$970="","",[3]Entry!$L$970)</f>
        <v/>
      </c>
      <c r="AK967" t="str">
        <f>IF([3]Entry!$M$970="","",[3]Entry!$M$970)</f>
        <v/>
      </c>
      <c r="AL967" t="str">
        <f>IF([3]Entry!$N$970="","",[3]Entry!$N$970)</f>
        <v/>
      </c>
      <c r="AM967" t="str">
        <f>IF([3]Entry!$R$970="","",[3]Entry!$R$970)</f>
        <v/>
      </c>
    </row>
    <row r="968" spans="20:39" x14ac:dyDescent="0.2">
      <c r="T968" t="str">
        <f>IF([2]Baskol!$B$971="","",[2]Baskol!$B$971)</f>
        <v/>
      </c>
      <c r="U968" t="str">
        <f>IF([2]Baskol!$C$971="","",[2]Baskol!$C$971)</f>
        <v/>
      </c>
      <c r="V968" t="str">
        <f>IF([2]Baskol!$D$971="","",[2]Baskol!$D$971)</f>
        <v/>
      </c>
      <c r="W968" t="str">
        <f>IF([2]Baskol!$E$971="","",[2]Baskol!$E$971)</f>
        <v/>
      </c>
      <c r="X968" t="str">
        <f>IF([2]Baskol!$G$971="","",[2]Baskol!$G$971)</f>
        <v/>
      </c>
      <c r="Y968" t="str">
        <f>IF([2]Baskol!$I$971="","",[2]Baskol!$I$971)</f>
        <v/>
      </c>
      <c r="Z968" t="str">
        <f>IF([2]Baskol!$J$971="","",[2]Baskol!$J$971)</f>
        <v/>
      </c>
      <c r="AA968" t="str">
        <f>IF([2]Baskol!$K$971="","",[2]Baskol!$K$971)</f>
        <v/>
      </c>
      <c r="AB968" t="str">
        <f>IF([2]Baskol!$L$971="","",[2]Baskol!$L$971)</f>
        <v/>
      </c>
      <c r="AC968" t="str">
        <f>IF([2]Baskol!$N$971="","",[2]Baskol!$N$971)</f>
        <v/>
      </c>
      <c r="AD968" t="str">
        <f>IF([2]Baskol!$O$971="","",[2]Baskol!$O$971)</f>
        <v/>
      </c>
      <c r="AE968" t="str">
        <f>IF([3]Entry!$C$971="","",[3]Entry!$C$971)</f>
        <v/>
      </c>
      <c r="AF968" t="str">
        <f>IF([3]Entry!$D$971="","",[3]Entry!$D$971)</f>
        <v/>
      </c>
      <c r="AG968" t="str">
        <f>IF([3]Entry!$E$971="","",[3]Entry!$E$971)</f>
        <v/>
      </c>
      <c r="AH968" t="str">
        <f>IF([3]Entry!$G$971="","",[3]Entry!$G$971)</f>
        <v/>
      </c>
      <c r="AI968" t="str">
        <f>IF([3]Entry!$K$971="","",[3]Entry!$K$971)</f>
        <v/>
      </c>
      <c r="AJ968" t="str">
        <f>IF([3]Entry!$L$971="","",[3]Entry!$L$971)</f>
        <v/>
      </c>
      <c r="AK968" t="str">
        <f>IF([3]Entry!$M$971="","",[3]Entry!$M$971)</f>
        <v/>
      </c>
      <c r="AL968" t="str">
        <f>IF([3]Entry!$N$971="","",[3]Entry!$N$971)</f>
        <v/>
      </c>
      <c r="AM968" t="str">
        <f>IF([3]Entry!$R$971="","",[3]Entry!$R$971)</f>
        <v/>
      </c>
    </row>
    <row r="969" spans="20:39" x14ac:dyDescent="0.2">
      <c r="T969" t="str">
        <f>IF([2]Baskol!$B$972="","",[2]Baskol!$B$972)</f>
        <v/>
      </c>
      <c r="U969" t="str">
        <f>IF([2]Baskol!$C$972="","",[2]Baskol!$C$972)</f>
        <v/>
      </c>
      <c r="V969" t="str">
        <f>IF([2]Baskol!$D$972="","",[2]Baskol!$D$972)</f>
        <v/>
      </c>
      <c r="W969" t="str">
        <f>IF([2]Baskol!$E$972="","",[2]Baskol!$E$972)</f>
        <v/>
      </c>
      <c r="X969" t="str">
        <f>IF([2]Baskol!$G$972="","",[2]Baskol!$G$972)</f>
        <v/>
      </c>
      <c r="Y969" t="str">
        <f>IF([2]Baskol!$I$972="","",[2]Baskol!$I$972)</f>
        <v/>
      </c>
      <c r="Z969" t="str">
        <f>IF([2]Baskol!$J$972="","",[2]Baskol!$J$972)</f>
        <v/>
      </c>
      <c r="AA969" t="str">
        <f>IF([2]Baskol!$K$972="","",[2]Baskol!$K$972)</f>
        <v/>
      </c>
      <c r="AB969" t="str">
        <f>IF([2]Baskol!$L$972="","",[2]Baskol!$L$972)</f>
        <v/>
      </c>
      <c r="AC969" t="str">
        <f>IF([2]Baskol!$N$972="","",[2]Baskol!$N$972)</f>
        <v/>
      </c>
      <c r="AD969" t="str">
        <f>IF([2]Baskol!$O$972="","",[2]Baskol!$O$972)</f>
        <v/>
      </c>
      <c r="AE969" t="str">
        <f>IF([3]Entry!$C$972="","",[3]Entry!$C$972)</f>
        <v/>
      </c>
      <c r="AF969" t="str">
        <f>IF([3]Entry!$D$972="","",[3]Entry!$D$972)</f>
        <v/>
      </c>
      <c r="AG969" t="str">
        <f>IF([3]Entry!$E$972="","",[3]Entry!$E$972)</f>
        <v/>
      </c>
      <c r="AH969" t="str">
        <f>IF([3]Entry!$G$972="","",[3]Entry!$G$972)</f>
        <v/>
      </c>
      <c r="AI969" t="str">
        <f>IF([3]Entry!$K$972="","",[3]Entry!$K$972)</f>
        <v/>
      </c>
      <c r="AJ969" t="str">
        <f>IF([3]Entry!$L$972="","",[3]Entry!$L$972)</f>
        <v/>
      </c>
      <c r="AK969" t="str">
        <f>IF([3]Entry!$M$972="","",[3]Entry!$M$972)</f>
        <v/>
      </c>
      <c r="AL969" t="str">
        <f>IF([3]Entry!$N$972="","",[3]Entry!$N$972)</f>
        <v/>
      </c>
      <c r="AM969" t="str">
        <f>IF([3]Entry!$R$972="","",[3]Entry!$R$972)</f>
        <v/>
      </c>
    </row>
    <row r="970" spans="20:39" x14ac:dyDescent="0.2">
      <c r="T970" t="str">
        <f>IF([2]Baskol!$B$973="","",[2]Baskol!$B$973)</f>
        <v/>
      </c>
      <c r="U970" t="str">
        <f>IF([2]Baskol!$C$973="","",[2]Baskol!$C$973)</f>
        <v/>
      </c>
      <c r="V970" t="str">
        <f>IF([2]Baskol!$D$973="","",[2]Baskol!$D$973)</f>
        <v/>
      </c>
      <c r="W970" t="str">
        <f>IF([2]Baskol!$E$973="","",[2]Baskol!$E$973)</f>
        <v/>
      </c>
      <c r="X970" t="str">
        <f>IF([2]Baskol!$G$973="","",[2]Baskol!$G$973)</f>
        <v/>
      </c>
      <c r="Y970" t="str">
        <f>IF([2]Baskol!$I$973="","",[2]Baskol!$I$973)</f>
        <v/>
      </c>
      <c r="Z970" t="str">
        <f>IF([2]Baskol!$J$973="","",[2]Baskol!$J$973)</f>
        <v/>
      </c>
      <c r="AA970" t="str">
        <f>IF([2]Baskol!$K$973="","",[2]Baskol!$K$973)</f>
        <v/>
      </c>
      <c r="AB970" t="str">
        <f>IF([2]Baskol!$L$973="","",[2]Baskol!$L$973)</f>
        <v/>
      </c>
      <c r="AC970" t="str">
        <f>IF([2]Baskol!$N$973="","",[2]Baskol!$N$973)</f>
        <v/>
      </c>
      <c r="AD970" t="str">
        <f>IF([2]Baskol!$O$973="","",[2]Baskol!$O$973)</f>
        <v/>
      </c>
      <c r="AE970" t="str">
        <f>IF([3]Entry!$C$973="","",[3]Entry!$C$973)</f>
        <v/>
      </c>
      <c r="AF970" t="str">
        <f>IF([3]Entry!$D$973="","",[3]Entry!$D$973)</f>
        <v/>
      </c>
      <c r="AG970" t="str">
        <f>IF([3]Entry!$E$973="","",[3]Entry!$E$973)</f>
        <v/>
      </c>
      <c r="AH970" t="str">
        <f>IF([3]Entry!$G$973="","",[3]Entry!$G$973)</f>
        <v/>
      </c>
      <c r="AI970" t="str">
        <f>IF([3]Entry!$K$973="","",[3]Entry!$K$973)</f>
        <v/>
      </c>
      <c r="AJ970" t="str">
        <f>IF([3]Entry!$L$973="","",[3]Entry!$L$973)</f>
        <v/>
      </c>
      <c r="AK970" t="str">
        <f>IF([3]Entry!$M$973="","",[3]Entry!$M$973)</f>
        <v/>
      </c>
      <c r="AL970" t="str">
        <f>IF([3]Entry!$N$973="","",[3]Entry!$N$973)</f>
        <v/>
      </c>
      <c r="AM970" t="str">
        <f>IF([3]Entry!$R$973="","",[3]Entry!$R$973)</f>
        <v/>
      </c>
    </row>
    <row r="971" spans="20:39" x14ac:dyDescent="0.2">
      <c r="T971" t="str">
        <f>IF([2]Baskol!$B$974="","",[2]Baskol!$B$974)</f>
        <v/>
      </c>
      <c r="U971" t="str">
        <f>IF([2]Baskol!$C$974="","",[2]Baskol!$C$974)</f>
        <v/>
      </c>
      <c r="V971" t="str">
        <f>IF([2]Baskol!$D$974="","",[2]Baskol!$D$974)</f>
        <v/>
      </c>
      <c r="W971" t="str">
        <f>IF([2]Baskol!$E$974="","",[2]Baskol!$E$974)</f>
        <v/>
      </c>
      <c r="X971" t="str">
        <f>IF([2]Baskol!$G$974="","",[2]Baskol!$G$974)</f>
        <v/>
      </c>
      <c r="Y971" t="str">
        <f>IF([2]Baskol!$I$974="","",[2]Baskol!$I$974)</f>
        <v/>
      </c>
      <c r="Z971" t="str">
        <f>IF([2]Baskol!$J$974="","",[2]Baskol!$J$974)</f>
        <v/>
      </c>
      <c r="AA971" t="str">
        <f>IF([2]Baskol!$K$974="","",[2]Baskol!$K$974)</f>
        <v/>
      </c>
      <c r="AB971" t="str">
        <f>IF([2]Baskol!$L$974="","",[2]Baskol!$L$974)</f>
        <v/>
      </c>
      <c r="AC971" t="str">
        <f>IF([2]Baskol!$N$974="","",[2]Baskol!$N$974)</f>
        <v/>
      </c>
      <c r="AD971" t="str">
        <f>IF([2]Baskol!$O$974="","",[2]Baskol!$O$974)</f>
        <v/>
      </c>
      <c r="AE971" t="str">
        <f>IF([3]Entry!$C$974="","",[3]Entry!$C$974)</f>
        <v/>
      </c>
      <c r="AF971" t="str">
        <f>IF([3]Entry!$D$974="","",[3]Entry!$D$974)</f>
        <v/>
      </c>
      <c r="AG971" t="str">
        <f>IF([3]Entry!$E$974="","",[3]Entry!$E$974)</f>
        <v/>
      </c>
      <c r="AH971" t="str">
        <f>IF([3]Entry!$G$974="","",[3]Entry!$G$974)</f>
        <v/>
      </c>
      <c r="AI971" t="str">
        <f>IF([3]Entry!$K$974="","",[3]Entry!$K$974)</f>
        <v/>
      </c>
      <c r="AJ971" t="str">
        <f>IF([3]Entry!$L$974="","",[3]Entry!$L$974)</f>
        <v/>
      </c>
      <c r="AK971" t="str">
        <f>IF([3]Entry!$M$974="","",[3]Entry!$M$974)</f>
        <v/>
      </c>
      <c r="AL971" t="str">
        <f>IF([3]Entry!$N$974="","",[3]Entry!$N$974)</f>
        <v/>
      </c>
      <c r="AM971" t="str">
        <f>IF([3]Entry!$R$974="","",[3]Entry!$R$974)</f>
        <v/>
      </c>
    </row>
    <row r="972" spans="20:39" x14ac:dyDescent="0.2">
      <c r="T972" t="str">
        <f>IF([2]Baskol!$B$975="","",[2]Baskol!$B$975)</f>
        <v/>
      </c>
      <c r="U972" t="str">
        <f>IF([2]Baskol!$C$975="","",[2]Baskol!$C$975)</f>
        <v/>
      </c>
      <c r="V972" t="str">
        <f>IF([2]Baskol!$D$975="","",[2]Baskol!$D$975)</f>
        <v/>
      </c>
      <c r="W972" t="str">
        <f>IF([2]Baskol!$E$975="","",[2]Baskol!$E$975)</f>
        <v/>
      </c>
      <c r="X972" t="str">
        <f>IF([2]Baskol!$G$975="","",[2]Baskol!$G$975)</f>
        <v/>
      </c>
      <c r="Y972" t="str">
        <f>IF([2]Baskol!$I$975="","",[2]Baskol!$I$975)</f>
        <v/>
      </c>
      <c r="Z972" t="str">
        <f>IF([2]Baskol!$J$975="","",[2]Baskol!$J$975)</f>
        <v/>
      </c>
      <c r="AA972" t="str">
        <f>IF([2]Baskol!$K$975="","",[2]Baskol!$K$975)</f>
        <v/>
      </c>
      <c r="AB972" t="str">
        <f>IF([2]Baskol!$L$975="","",[2]Baskol!$L$975)</f>
        <v/>
      </c>
      <c r="AC972" t="str">
        <f>IF([2]Baskol!$N$975="","",[2]Baskol!$N$975)</f>
        <v/>
      </c>
      <c r="AD972" t="str">
        <f>IF([2]Baskol!$O$975="","",[2]Baskol!$O$975)</f>
        <v/>
      </c>
      <c r="AE972" t="str">
        <f>IF([3]Entry!$C$975="","",[3]Entry!$C$975)</f>
        <v/>
      </c>
      <c r="AF972" t="str">
        <f>IF([3]Entry!$D$975="","",[3]Entry!$D$975)</f>
        <v/>
      </c>
      <c r="AG972" t="str">
        <f>IF([3]Entry!$E$975="","",[3]Entry!$E$975)</f>
        <v/>
      </c>
      <c r="AH972" t="str">
        <f>IF([3]Entry!$G$975="","",[3]Entry!$G$975)</f>
        <v/>
      </c>
      <c r="AI972" t="str">
        <f>IF([3]Entry!$K$975="","",[3]Entry!$K$975)</f>
        <v/>
      </c>
      <c r="AJ972" t="str">
        <f>IF([3]Entry!$L$975="","",[3]Entry!$L$975)</f>
        <v/>
      </c>
      <c r="AK972" t="str">
        <f>IF([3]Entry!$M$975="","",[3]Entry!$M$975)</f>
        <v/>
      </c>
      <c r="AL972" t="str">
        <f>IF([3]Entry!$N$975="","",[3]Entry!$N$975)</f>
        <v/>
      </c>
      <c r="AM972" t="str">
        <f>IF([3]Entry!$R$975="","",[3]Entry!$R$975)</f>
        <v/>
      </c>
    </row>
    <row r="973" spans="20:39" x14ac:dyDescent="0.2">
      <c r="T973" t="str">
        <f>IF([2]Baskol!$B$976="","",[2]Baskol!$B$976)</f>
        <v/>
      </c>
      <c r="U973" t="str">
        <f>IF([2]Baskol!$C$976="","",[2]Baskol!$C$976)</f>
        <v/>
      </c>
      <c r="V973" t="str">
        <f>IF([2]Baskol!$D$976="","",[2]Baskol!$D$976)</f>
        <v/>
      </c>
      <c r="W973" t="str">
        <f>IF([2]Baskol!$E$976="","",[2]Baskol!$E$976)</f>
        <v/>
      </c>
      <c r="X973" t="str">
        <f>IF([2]Baskol!$G$976="","",[2]Baskol!$G$976)</f>
        <v/>
      </c>
      <c r="Y973" t="str">
        <f>IF([2]Baskol!$I$976="","",[2]Baskol!$I$976)</f>
        <v/>
      </c>
      <c r="Z973" t="str">
        <f>IF([2]Baskol!$J$976="","",[2]Baskol!$J$976)</f>
        <v/>
      </c>
      <c r="AA973" t="str">
        <f>IF([2]Baskol!$K$976="","",[2]Baskol!$K$976)</f>
        <v/>
      </c>
      <c r="AB973" t="str">
        <f>IF([2]Baskol!$L$976="","",[2]Baskol!$L$976)</f>
        <v/>
      </c>
      <c r="AC973" t="str">
        <f>IF([2]Baskol!$N$976="","",[2]Baskol!$N$976)</f>
        <v/>
      </c>
      <c r="AD973" t="str">
        <f>IF([2]Baskol!$O$976="","",[2]Baskol!$O$976)</f>
        <v/>
      </c>
      <c r="AE973" t="str">
        <f>IF([3]Entry!$C$976="","",[3]Entry!$C$976)</f>
        <v/>
      </c>
      <c r="AF973" t="str">
        <f>IF([3]Entry!$D$976="","",[3]Entry!$D$976)</f>
        <v/>
      </c>
      <c r="AG973" t="str">
        <f>IF([3]Entry!$E$976="","",[3]Entry!$E$976)</f>
        <v/>
      </c>
      <c r="AH973" t="str">
        <f>IF([3]Entry!$G$976="","",[3]Entry!$G$976)</f>
        <v/>
      </c>
      <c r="AI973" t="str">
        <f>IF([3]Entry!$K$976="","",[3]Entry!$K$976)</f>
        <v/>
      </c>
      <c r="AJ973" t="str">
        <f>IF([3]Entry!$L$976="","",[3]Entry!$L$976)</f>
        <v/>
      </c>
      <c r="AK973" t="str">
        <f>IF([3]Entry!$M$976="","",[3]Entry!$M$976)</f>
        <v/>
      </c>
      <c r="AL973" t="str">
        <f>IF([3]Entry!$N$976="","",[3]Entry!$N$976)</f>
        <v/>
      </c>
      <c r="AM973" t="str">
        <f>IF([3]Entry!$R$976="","",[3]Entry!$R$976)</f>
        <v/>
      </c>
    </row>
    <row r="974" spans="20:39" x14ac:dyDescent="0.2">
      <c r="T974" t="str">
        <f>IF([2]Baskol!$B$977="","",[2]Baskol!$B$977)</f>
        <v/>
      </c>
      <c r="U974" t="str">
        <f>IF([2]Baskol!$C$977="","",[2]Baskol!$C$977)</f>
        <v/>
      </c>
      <c r="V974" t="str">
        <f>IF([2]Baskol!$D$977="","",[2]Baskol!$D$977)</f>
        <v/>
      </c>
      <c r="W974" t="str">
        <f>IF([2]Baskol!$E$977="","",[2]Baskol!$E$977)</f>
        <v/>
      </c>
      <c r="X974" t="str">
        <f>IF([2]Baskol!$G$977="","",[2]Baskol!$G$977)</f>
        <v/>
      </c>
      <c r="Y974" t="str">
        <f>IF([2]Baskol!$I$977="","",[2]Baskol!$I$977)</f>
        <v/>
      </c>
      <c r="Z974" t="str">
        <f>IF([2]Baskol!$J$977="","",[2]Baskol!$J$977)</f>
        <v/>
      </c>
      <c r="AA974" t="str">
        <f>IF([2]Baskol!$K$977="","",[2]Baskol!$K$977)</f>
        <v/>
      </c>
      <c r="AB974" t="str">
        <f>IF([2]Baskol!$L$977="","",[2]Baskol!$L$977)</f>
        <v/>
      </c>
      <c r="AC974" t="str">
        <f>IF([2]Baskol!$N$977="","",[2]Baskol!$N$977)</f>
        <v/>
      </c>
      <c r="AD974" t="str">
        <f>IF([2]Baskol!$O$977="","",[2]Baskol!$O$977)</f>
        <v/>
      </c>
      <c r="AE974" t="str">
        <f>IF([3]Entry!$C$977="","",[3]Entry!$C$977)</f>
        <v/>
      </c>
      <c r="AF974" t="str">
        <f>IF([3]Entry!$D$977="","",[3]Entry!$D$977)</f>
        <v/>
      </c>
      <c r="AG974" t="str">
        <f>IF([3]Entry!$E$977="","",[3]Entry!$E$977)</f>
        <v/>
      </c>
      <c r="AH974" t="str">
        <f>IF([3]Entry!$G$977="","",[3]Entry!$G$977)</f>
        <v/>
      </c>
      <c r="AI974" t="str">
        <f>IF([3]Entry!$K$977="","",[3]Entry!$K$977)</f>
        <v/>
      </c>
      <c r="AJ974" t="str">
        <f>IF([3]Entry!$L$977="","",[3]Entry!$L$977)</f>
        <v/>
      </c>
      <c r="AK974" t="str">
        <f>IF([3]Entry!$M$977="","",[3]Entry!$M$977)</f>
        <v/>
      </c>
      <c r="AL974" t="str">
        <f>IF([3]Entry!$N$977="","",[3]Entry!$N$977)</f>
        <v/>
      </c>
      <c r="AM974" t="str">
        <f>IF([3]Entry!$R$977="","",[3]Entry!$R$977)</f>
        <v/>
      </c>
    </row>
    <row r="975" spans="20:39" x14ac:dyDescent="0.2">
      <c r="T975" t="str">
        <f>IF([2]Baskol!$B$978="","",[2]Baskol!$B$978)</f>
        <v/>
      </c>
      <c r="U975" t="str">
        <f>IF([2]Baskol!$C$978="","",[2]Baskol!$C$978)</f>
        <v/>
      </c>
      <c r="V975" t="str">
        <f>IF([2]Baskol!$D$978="","",[2]Baskol!$D$978)</f>
        <v/>
      </c>
      <c r="W975" t="str">
        <f>IF([2]Baskol!$E$978="","",[2]Baskol!$E$978)</f>
        <v/>
      </c>
      <c r="X975" t="str">
        <f>IF([2]Baskol!$G$978="","",[2]Baskol!$G$978)</f>
        <v/>
      </c>
      <c r="Y975" t="str">
        <f>IF([2]Baskol!$I$978="","",[2]Baskol!$I$978)</f>
        <v/>
      </c>
      <c r="Z975" t="str">
        <f>IF([2]Baskol!$J$978="","",[2]Baskol!$J$978)</f>
        <v/>
      </c>
      <c r="AA975" t="str">
        <f>IF([2]Baskol!$K$978="","",[2]Baskol!$K$978)</f>
        <v/>
      </c>
      <c r="AB975" t="str">
        <f>IF([2]Baskol!$L$978="","",[2]Baskol!$L$978)</f>
        <v/>
      </c>
      <c r="AC975" t="str">
        <f>IF([2]Baskol!$N$978="","",[2]Baskol!$N$978)</f>
        <v/>
      </c>
      <c r="AD975" t="str">
        <f>IF([2]Baskol!$O$978="","",[2]Baskol!$O$978)</f>
        <v/>
      </c>
      <c r="AE975" t="str">
        <f>IF([3]Entry!$C$978="","",[3]Entry!$C$978)</f>
        <v/>
      </c>
      <c r="AF975" t="str">
        <f>IF([3]Entry!$D$978="","",[3]Entry!$D$978)</f>
        <v/>
      </c>
      <c r="AG975" t="str">
        <f>IF([3]Entry!$E$978="","",[3]Entry!$E$978)</f>
        <v/>
      </c>
      <c r="AH975" t="str">
        <f>IF([3]Entry!$G$978="","",[3]Entry!$G$978)</f>
        <v/>
      </c>
      <c r="AI975" t="str">
        <f>IF([3]Entry!$K$978="","",[3]Entry!$K$978)</f>
        <v/>
      </c>
      <c r="AJ975" t="str">
        <f>IF([3]Entry!$L$978="","",[3]Entry!$L$978)</f>
        <v/>
      </c>
      <c r="AK975" t="str">
        <f>IF([3]Entry!$M$978="","",[3]Entry!$M$978)</f>
        <v/>
      </c>
      <c r="AL975" t="str">
        <f>IF([3]Entry!$N$978="","",[3]Entry!$N$978)</f>
        <v/>
      </c>
      <c r="AM975" t="str">
        <f>IF([3]Entry!$R$978="","",[3]Entry!$R$978)</f>
        <v/>
      </c>
    </row>
    <row r="976" spans="20:39" x14ac:dyDescent="0.2">
      <c r="T976" t="str">
        <f>IF([2]Baskol!$B$979="","",[2]Baskol!$B$979)</f>
        <v/>
      </c>
      <c r="U976" t="str">
        <f>IF([2]Baskol!$C$979="","",[2]Baskol!$C$979)</f>
        <v/>
      </c>
      <c r="V976" t="str">
        <f>IF([2]Baskol!$D$979="","",[2]Baskol!$D$979)</f>
        <v/>
      </c>
      <c r="W976" t="str">
        <f>IF([2]Baskol!$E$979="","",[2]Baskol!$E$979)</f>
        <v/>
      </c>
      <c r="X976" t="str">
        <f>IF([2]Baskol!$G$979="","",[2]Baskol!$G$979)</f>
        <v/>
      </c>
      <c r="Y976" t="str">
        <f>IF([2]Baskol!$I$979="","",[2]Baskol!$I$979)</f>
        <v/>
      </c>
      <c r="Z976" t="str">
        <f>IF([2]Baskol!$J$979="","",[2]Baskol!$J$979)</f>
        <v/>
      </c>
      <c r="AA976" t="str">
        <f>IF([2]Baskol!$K$979="","",[2]Baskol!$K$979)</f>
        <v/>
      </c>
      <c r="AB976" t="str">
        <f>IF([2]Baskol!$L$979="","",[2]Baskol!$L$979)</f>
        <v/>
      </c>
      <c r="AC976" t="str">
        <f>IF([2]Baskol!$N$979="","",[2]Baskol!$N$979)</f>
        <v/>
      </c>
      <c r="AD976" t="str">
        <f>IF([2]Baskol!$O$979="","",[2]Baskol!$O$979)</f>
        <v/>
      </c>
      <c r="AE976" t="str">
        <f>IF([3]Entry!$C$979="","",[3]Entry!$C$979)</f>
        <v/>
      </c>
      <c r="AF976" t="str">
        <f>IF([3]Entry!$D$979="","",[3]Entry!$D$979)</f>
        <v/>
      </c>
      <c r="AG976" t="str">
        <f>IF([3]Entry!$E$979="","",[3]Entry!$E$979)</f>
        <v/>
      </c>
      <c r="AH976" t="str">
        <f>IF([3]Entry!$G$979="","",[3]Entry!$G$979)</f>
        <v/>
      </c>
      <c r="AI976" t="str">
        <f>IF([3]Entry!$K$979="","",[3]Entry!$K$979)</f>
        <v/>
      </c>
      <c r="AJ976" t="str">
        <f>IF([3]Entry!$L$979="","",[3]Entry!$L$979)</f>
        <v/>
      </c>
      <c r="AK976" t="str">
        <f>IF([3]Entry!$M$979="","",[3]Entry!$M$979)</f>
        <v/>
      </c>
      <c r="AL976" t="str">
        <f>IF([3]Entry!$N$979="","",[3]Entry!$N$979)</f>
        <v/>
      </c>
      <c r="AM976" t="str">
        <f>IF([3]Entry!$R$979="","",[3]Entry!$R$979)</f>
        <v/>
      </c>
    </row>
    <row r="977" spans="20:39" x14ac:dyDescent="0.2">
      <c r="T977" t="str">
        <f>IF([2]Baskol!$B$980="","",[2]Baskol!$B$980)</f>
        <v/>
      </c>
      <c r="U977" t="str">
        <f>IF([2]Baskol!$C$980="","",[2]Baskol!$C$980)</f>
        <v/>
      </c>
      <c r="V977" t="str">
        <f>IF([2]Baskol!$D$980="","",[2]Baskol!$D$980)</f>
        <v/>
      </c>
      <c r="W977" t="str">
        <f>IF([2]Baskol!$E$980="","",[2]Baskol!$E$980)</f>
        <v/>
      </c>
      <c r="X977" t="str">
        <f>IF([2]Baskol!$G$980="","",[2]Baskol!$G$980)</f>
        <v/>
      </c>
      <c r="Y977" t="str">
        <f>IF([2]Baskol!$I$980="","",[2]Baskol!$I$980)</f>
        <v/>
      </c>
      <c r="Z977" t="str">
        <f>IF([2]Baskol!$J$980="","",[2]Baskol!$J$980)</f>
        <v/>
      </c>
      <c r="AA977" t="str">
        <f>IF([2]Baskol!$K$980="","",[2]Baskol!$K$980)</f>
        <v/>
      </c>
      <c r="AB977" t="str">
        <f>IF([2]Baskol!$L$980="","",[2]Baskol!$L$980)</f>
        <v/>
      </c>
      <c r="AC977" t="str">
        <f>IF([2]Baskol!$N$980="","",[2]Baskol!$N$980)</f>
        <v/>
      </c>
      <c r="AD977" t="str">
        <f>IF([2]Baskol!$O$980="","",[2]Baskol!$O$980)</f>
        <v/>
      </c>
      <c r="AE977" t="str">
        <f>IF([3]Entry!$C$980="","",[3]Entry!$C$980)</f>
        <v/>
      </c>
      <c r="AF977" t="str">
        <f>IF([3]Entry!$D$980="","",[3]Entry!$D$980)</f>
        <v/>
      </c>
      <c r="AG977" t="str">
        <f>IF([3]Entry!$E$980="","",[3]Entry!$E$980)</f>
        <v/>
      </c>
      <c r="AH977" t="str">
        <f>IF([3]Entry!$G$980="","",[3]Entry!$G$980)</f>
        <v/>
      </c>
      <c r="AI977" t="str">
        <f>IF([3]Entry!$K$980="","",[3]Entry!$K$980)</f>
        <v/>
      </c>
      <c r="AJ977" t="str">
        <f>IF([3]Entry!$L$980="","",[3]Entry!$L$980)</f>
        <v/>
      </c>
      <c r="AK977" t="str">
        <f>IF([3]Entry!$M$980="","",[3]Entry!$M$980)</f>
        <v/>
      </c>
      <c r="AL977" t="str">
        <f>IF([3]Entry!$N$980="","",[3]Entry!$N$980)</f>
        <v/>
      </c>
      <c r="AM977" t="str">
        <f>IF([3]Entry!$R$980="","",[3]Entry!$R$980)</f>
        <v/>
      </c>
    </row>
    <row r="978" spans="20:39" x14ac:dyDescent="0.2">
      <c r="T978" t="str">
        <f>IF([2]Baskol!$B$981="","",[2]Baskol!$B$981)</f>
        <v/>
      </c>
      <c r="U978" t="str">
        <f>IF([2]Baskol!$C$981="","",[2]Baskol!$C$981)</f>
        <v/>
      </c>
      <c r="V978" t="str">
        <f>IF([2]Baskol!$D$981="","",[2]Baskol!$D$981)</f>
        <v/>
      </c>
      <c r="W978" t="str">
        <f>IF([2]Baskol!$E$981="","",[2]Baskol!$E$981)</f>
        <v/>
      </c>
      <c r="X978" t="str">
        <f>IF([2]Baskol!$G$981="","",[2]Baskol!$G$981)</f>
        <v/>
      </c>
      <c r="Y978" t="str">
        <f>IF([2]Baskol!$I$981="","",[2]Baskol!$I$981)</f>
        <v/>
      </c>
      <c r="Z978" t="str">
        <f>IF([2]Baskol!$J$981="","",[2]Baskol!$J$981)</f>
        <v/>
      </c>
      <c r="AA978" t="str">
        <f>IF([2]Baskol!$K$981="","",[2]Baskol!$K$981)</f>
        <v/>
      </c>
      <c r="AB978" t="str">
        <f>IF([2]Baskol!$L$981="","",[2]Baskol!$L$981)</f>
        <v/>
      </c>
      <c r="AC978" t="str">
        <f>IF([2]Baskol!$N$981="","",[2]Baskol!$N$981)</f>
        <v/>
      </c>
      <c r="AD978" t="str">
        <f>IF([2]Baskol!$O$981="","",[2]Baskol!$O$981)</f>
        <v/>
      </c>
      <c r="AE978" t="str">
        <f>IF([3]Entry!$C$981="","",[3]Entry!$C$981)</f>
        <v/>
      </c>
      <c r="AF978" t="str">
        <f>IF([3]Entry!$D$981="","",[3]Entry!$D$981)</f>
        <v/>
      </c>
      <c r="AG978" t="str">
        <f>IF([3]Entry!$E$981="","",[3]Entry!$E$981)</f>
        <v/>
      </c>
      <c r="AH978" t="str">
        <f>IF([3]Entry!$G$981="","",[3]Entry!$G$981)</f>
        <v/>
      </c>
      <c r="AI978" t="str">
        <f>IF([3]Entry!$K$981="","",[3]Entry!$K$981)</f>
        <v/>
      </c>
      <c r="AJ978" t="str">
        <f>IF([3]Entry!$L$981="","",[3]Entry!$L$981)</f>
        <v/>
      </c>
      <c r="AK978" t="str">
        <f>IF([3]Entry!$M$981="","",[3]Entry!$M$981)</f>
        <v/>
      </c>
      <c r="AL978" t="str">
        <f>IF([3]Entry!$N$981="","",[3]Entry!$N$981)</f>
        <v/>
      </c>
      <c r="AM978" t="str">
        <f>IF([3]Entry!$R$981="","",[3]Entry!$R$981)</f>
        <v/>
      </c>
    </row>
    <row r="979" spans="20:39" x14ac:dyDescent="0.2">
      <c r="T979" t="str">
        <f>IF([2]Baskol!$B$982="","",[2]Baskol!$B$982)</f>
        <v/>
      </c>
      <c r="U979" t="str">
        <f>IF([2]Baskol!$C$982="","",[2]Baskol!$C$982)</f>
        <v/>
      </c>
      <c r="V979" t="str">
        <f>IF([2]Baskol!$D$982="","",[2]Baskol!$D$982)</f>
        <v/>
      </c>
      <c r="W979" t="str">
        <f>IF([2]Baskol!$E$982="","",[2]Baskol!$E$982)</f>
        <v/>
      </c>
      <c r="X979" t="str">
        <f>IF([2]Baskol!$G$982="","",[2]Baskol!$G$982)</f>
        <v/>
      </c>
      <c r="Y979" t="str">
        <f>IF([2]Baskol!$I$982="","",[2]Baskol!$I$982)</f>
        <v/>
      </c>
      <c r="Z979" t="str">
        <f>IF([2]Baskol!$J$982="","",[2]Baskol!$J$982)</f>
        <v/>
      </c>
      <c r="AA979" t="str">
        <f>IF([2]Baskol!$K$982="","",[2]Baskol!$K$982)</f>
        <v/>
      </c>
      <c r="AB979" t="str">
        <f>IF([2]Baskol!$L$982="","",[2]Baskol!$L$982)</f>
        <v/>
      </c>
      <c r="AC979" t="str">
        <f>IF([2]Baskol!$N$982="","",[2]Baskol!$N$982)</f>
        <v/>
      </c>
      <c r="AD979" t="str">
        <f>IF([2]Baskol!$O$982="","",[2]Baskol!$O$982)</f>
        <v/>
      </c>
      <c r="AE979" t="str">
        <f>IF([3]Entry!$C$982="","",[3]Entry!$C$982)</f>
        <v/>
      </c>
      <c r="AF979" t="str">
        <f>IF([3]Entry!$D$982="","",[3]Entry!$D$982)</f>
        <v/>
      </c>
      <c r="AG979" t="str">
        <f>IF([3]Entry!$E$982="","",[3]Entry!$E$982)</f>
        <v/>
      </c>
      <c r="AH979" t="str">
        <f>IF([3]Entry!$G$982="","",[3]Entry!$G$982)</f>
        <v/>
      </c>
      <c r="AI979" t="str">
        <f>IF([3]Entry!$K$982="","",[3]Entry!$K$982)</f>
        <v/>
      </c>
      <c r="AJ979" t="str">
        <f>IF([3]Entry!$L$982="","",[3]Entry!$L$982)</f>
        <v/>
      </c>
      <c r="AK979" t="str">
        <f>IF([3]Entry!$M$982="","",[3]Entry!$M$982)</f>
        <v/>
      </c>
      <c r="AL979" t="str">
        <f>IF([3]Entry!$N$982="","",[3]Entry!$N$982)</f>
        <v/>
      </c>
      <c r="AM979" t="str">
        <f>IF([3]Entry!$R$982="","",[3]Entry!$R$982)</f>
        <v/>
      </c>
    </row>
    <row r="980" spans="20:39" x14ac:dyDescent="0.2">
      <c r="T980" t="str">
        <f>IF([2]Baskol!$B$983="","",[2]Baskol!$B$983)</f>
        <v/>
      </c>
      <c r="U980" t="str">
        <f>IF([2]Baskol!$C$983="","",[2]Baskol!$C$983)</f>
        <v/>
      </c>
      <c r="V980" t="str">
        <f>IF([2]Baskol!$D$983="","",[2]Baskol!$D$983)</f>
        <v/>
      </c>
      <c r="W980" t="str">
        <f>IF([2]Baskol!$E$983="","",[2]Baskol!$E$983)</f>
        <v/>
      </c>
      <c r="X980" t="str">
        <f>IF([2]Baskol!$G$983="","",[2]Baskol!$G$983)</f>
        <v/>
      </c>
      <c r="Y980" t="str">
        <f>IF([2]Baskol!$I$983="","",[2]Baskol!$I$983)</f>
        <v/>
      </c>
      <c r="Z980" t="str">
        <f>IF([2]Baskol!$J$983="","",[2]Baskol!$J$983)</f>
        <v/>
      </c>
      <c r="AA980" t="str">
        <f>IF([2]Baskol!$K$983="","",[2]Baskol!$K$983)</f>
        <v/>
      </c>
      <c r="AB980" t="str">
        <f>IF([2]Baskol!$L$983="","",[2]Baskol!$L$983)</f>
        <v/>
      </c>
      <c r="AC980" t="str">
        <f>IF([2]Baskol!$N$983="","",[2]Baskol!$N$983)</f>
        <v/>
      </c>
      <c r="AD980" t="str">
        <f>IF([2]Baskol!$O$983="","",[2]Baskol!$O$983)</f>
        <v/>
      </c>
      <c r="AE980" t="str">
        <f>IF([3]Entry!$C$983="","",[3]Entry!$C$983)</f>
        <v/>
      </c>
      <c r="AF980" t="str">
        <f>IF([3]Entry!$D$983="","",[3]Entry!$D$983)</f>
        <v/>
      </c>
      <c r="AG980" t="str">
        <f>IF([3]Entry!$E$983="","",[3]Entry!$E$983)</f>
        <v/>
      </c>
      <c r="AH980" t="str">
        <f>IF([3]Entry!$G$983="","",[3]Entry!$G$983)</f>
        <v/>
      </c>
      <c r="AI980" t="str">
        <f>IF([3]Entry!$K$983="","",[3]Entry!$K$983)</f>
        <v/>
      </c>
      <c r="AJ980" t="str">
        <f>IF([3]Entry!$L$983="","",[3]Entry!$L$983)</f>
        <v/>
      </c>
      <c r="AK980" t="str">
        <f>IF([3]Entry!$M$983="","",[3]Entry!$M$983)</f>
        <v/>
      </c>
      <c r="AL980" t="str">
        <f>IF([3]Entry!$N$983="","",[3]Entry!$N$983)</f>
        <v/>
      </c>
      <c r="AM980" t="str">
        <f>IF([3]Entry!$R$983="","",[3]Entry!$R$983)</f>
        <v/>
      </c>
    </row>
    <row r="981" spans="20:39" x14ac:dyDescent="0.2">
      <c r="T981" t="str">
        <f>IF([2]Baskol!$B$984="","",[2]Baskol!$B$984)</f>
        <v/>
      </c>
      <c r="U981" t="str">
        <f>IF([2]Baskol!$C$984="","",[2]Baskol!$C$984)</f>
        <v/>
      </c>
      <c r="V981" t="str">
        <f>IF([2]Baskol!$D$984="","",[2]Baskol!$D$984)</f>
        <v/>
      </c>
      <c r="W981" t="str">
        <f>IF([2]Baskol!$E$984="","",[2]Baskol!$E$984)</f>
        <v/>
      </c>
      <c r="X981" t="str">
        <f>IF([2]Baskol!$G$984="","",[2]Baskol!$G$984)</f>
        <v/>
      </c>
      <c r="Y981" t="str">
        <f>IF([2]Baskol!$I$984="","",[2]Baskol!$I$984)</f>
        <v/>
      </c>
      <c r="Z981" t="str">
        <f>IF([2]Baskol!$J$984="","",[2]Baskol!$J$984)</f>
        <v/>
      </c>
      <c r="AA981" t="str">
        <f>IF([2]Baskol!$K$984="","",[2]Baskol!$K$984)</f>
        <v/>
      </c>
      <c r="AB981" t="str">
        <f>IF([2]Baskol!$L$984="","",[2]Baskol!$L$984)</f>
        <v/>
      </c>
      <c r="AC981" t="str">
        <f>IF([2]Baskol!$N$984="","",[2]Baskol!$N$984)</f>
        <v/>
      </c>
      <c r="AD981" t="str">
        <f>IF([2]Baskol!$O$984="","",[2]Baskol!$O$984)</f>
        <v/>
      </c>
      <c r="AE981" t="str">
        <f>IF([3]Entry!$C$984="","",[3]Entry!$C$984)</f>
        <v/>
      </c>
      <c r="AF981" t="str">
        <f>IF([3]Entry!$D$984="","",[3]Entry!$D$984)</f>
        <v/>
      </c>
      <c r="AG981" t="str">
        <f>IF([3]Entry!$E$984="","",[3]Entry!$E$984)</f>
        <v/>
      </c>
      <c r="AH981" t="str">
        <f>IF([3]Entry!$G$984="","",[3]Entry!$G$984)</f>
        <v/>
      </c>
      <c r="AI981" t="str">
        <f>IF([3]Entry!$K$984="","",[3]Entry!$K$984)</f>
        <v/>
      </c>
      <c r="AJ981" t="str">
        <f>IF([3]Entry!$L$984="","",[3]Entry!$L$984)</f>
        <v/>
      </c>
      <c r="AK981" t="str">
        <f>IF([3]Entry!$M$984="","",[3]Entry!$M$984)</f>
        <v/>
      </c>
      <c r="AL981" t="str">
        <f>IF([3]Entry!$N$984="","",[3]Entry!$N$984)</f>
        <v/>
      </c>
      <c r="AM981" t="str">
        <f>IF([3]Entry!$R$984="","",[3]Entry!$R$984)</f>
        <v/>
      </c>
    </row>
    <row r="982" spans="20:39" x14ac:dyDescent="0.2">
      <c r="T982" t="str">
        <f>IF([2]Baskol!$B$985="","",[2]Baskol!$B$985)</f>
        <v/>
      </c>
      <c r="U982" t="str">
        <f>IF([2]Baskol!$C$985="","",[2]Baskol!$C$985)</f>
        <v/>
      </c>
      <c r="V982" t="str">
        <f>IF([2]Baskol!$D$985="","",[2]Baskol!$D$985)</f>
        <v/>
      </c>
      <c r="W982" t="str">
        <f>IF([2]Baskol!$E$985="","",[2]Baskol!$E$985)</f>
        <v/>
      </c>
      <c r="X982" t="str">
        <f>IF([2]Baskol!$G$985="","",[2]Baskol!$G$985)</f>
        <v/>
      </c>
      <c r="Y982" t="str">
        <f>IF([2]Baskol!$I$985="","",[2]Baskol!$I$985)</f>
        <v/>
      </c>
      <c r="Z982" t="str">
        <f>IF([2]Baskol!$J$985="","",[2]Baskol!$J$985)</f>
        <v/>
      </c>
      <c r="AA982" t="str">
        <f>IF([2]Baskol!$K$985="","",[2]Baskol!$K$985)</f>
        <v/>
      </c>
      <c r="AB982" t="str">
        <f>IF([2]Baskol!$L$985="","",[2]Baskol!$L$985)</f>
        <v/>
      </c>
      <c r="AC982" t="str">
        <f>IF([2]Baskol!$N$985="","",[2]Baskol!$N$985)</f>
        <v/>
      </c>
      <c r="AD982" t="str">
        <f>IF([2]Baskol!$O$985="","",[2]Baskol!$O$985)</f>
        <v/>
      </c>
      <c r="AE982" t="str">
        <f>IF([3]Entry!$C$985="","",[3]Entry!$C$985)</f>
        <v/>
      </c>
      <c r="AF982" t="str">
        <f>IF([3]Entry!$D$985="","",[3]Entry!$D$985)</f>
        <v/>
      </c>
      <c r="AG982" t="str">
        <f>IF([3]Entry!$E$985="","",[3]Entry!$E$985)</f>
        <v/>
      </c>
      <c r="AH982" t="str">
        <f>IF([3]Entry!$G$985="","",[3]Entry!$G$985)</f>
        <v/>
      </c>
      <c r="AI982" t="str">
        <f>IF([3]Entry!$K$985="","",[3]Entry!$K$985)</f>
        <v/>
      </c>
      <c r="AJ982" t="str">
        <f>IF([3]Entry!$L$985="","",[3]Entry!$L$985)</f>
        <v/>
      </c>
      <c r="AK982" t="str">
        <f>IF([3]Entry!$M$985="","",[3]Entry!$M$985)</f>
        <v/>
      </c>
      <c r="AL982" t="str">
        <f>IF([3]Entry!$N$985="","",[3]Entry!$N$985)</f>
        <v/>
      </c>
      <c r="AM982" t="str">
        <f>IF([3]Entry!$R$985="","",[3]Entry!$R$985)</f>
        <v/>
      </c>
    </row>
    <row r="983" spans="20:39" x14ac:dyDescent="0.2">
      <c r="T983" t="str">
        <f>IF([2]Baskol!$B$986="","",[2]Baskol!$B$986)</f>
        <v/>
      </c>
      <c r="U983" t="str">
        <f>IF([2]Baskol!$C$986="","",[2]Baskol!$C$986)</f>
        <v/>
      </c>
      <c r="V983" t="str">
        <f>IF([2]Baskol!$D$986="","",[2]Baskol!$D$986)</f>
        <v/>
      </c>
      <c r="W983" t="str">
        <f>IF([2]Baskol!$E$986="","",[2]Baskol!$E$986)</f>
        <v/>
      </c>
      <c r="X983" t="str">
        <f>IF([2]Baskol!$G$986="","",[2]Baskol!$G$986)</f>
        <v/>
      </c>
      <c r="Y983" t="str">
        <f>IF([2]Baskol!$I$986="","",[2]Baskol!$I$986)</f>
        <v/>
      </c>
      <c r="Z983" t="str">
        <f>IF([2]Baskol!$J$986="","",[2]Baskol!$J$986)</f>
        <v/>
      </c>
      <c r="AA983" t="str">
        <f>IF([2]Baskol!$K$986="","",[2]Baskol!$K$986)</f>
        <v/>
      </c>
      <c r="AB983" t="str">
        <f>IF([2]Baskol!$L$986="","",[2]Baskol!$L$986)</f>
        <v/>
      </c>
      <c r="AC983" t="str">
        <f>IF([2]Baskol!$N$986="","",[2]Baskol!$N$986)</f>
        <v/>
      </c>
      <c r="AD983" t="str">
        <f>IF([2]Baskol!$O$986="","",[2]Baskol!$O$986)</f>
        <v/>
      </c>
      <c r="AE983" t="str">
        <f>IF([3]Entry!$C$986="","",[3]Entry!$C$986)</f>
        <v/>
      </c>
      <c r="AF983" t="str">
        <f>IF([3]Entry!$D$986="","",[3]Entry!$D$986)</f>
        <v/>
      </c>
      <c r="AG983" t="str">
        <f>IF([3]Entry!$E$986="","",[3]Entry!$E$986)</f>
        <v/>
      </c>
      <c r="AH983" t="str">
        <f>IF([3]Entry!$G$986="","",[3]Entry!$G$986)</f>
        <v/>
      </c>
      <c r="AI983" t="str">
        <f>IF([3]Entry!$K$986="","",[3]Entry!$K$986)</f>
        <v/>
      </c>
      <c r="AJ983" t="str">
        <f>IF([3]Entry!$L$986="","",[3]Entry!$L$986)</f>
        <v/>
      </c>
      <c r="AK983" t="str">
        <f>IF([3]Entry!$M$986="","",[3]Entry!$M$986)</f>
        <v/>
      </c>
      <c r="AL983" t="str">
        <f>IF([3]Entry!$N$986="","",[3]Entry!$N$986)</f>
        <v/>
      </c>
      <c r="AM983" t="str">
        <f>IF([3]Entry!$R$986="","",[3]Entry!$R$986)</f>
        <v/>
      </c>
    </row>
    <row r="984" spans="20:39" x14ac:dyDescent="0.2">
      <c r="T984" t="str">
        <f>IF([2]Baskol!$B$987="","",[2]Baskol!$B$987)</f>
        <v/>
      </c>
      <c r="U984" t="str">
        <f>IF([2]Baskol!$C$987="","",[2]Baskol!$C$987)</f>
        <v/>
      </c>
      <c r="V984" t="str">
        <f>IF([2]Baskol!$D$987="","",[2]Baskol!$D$987)</f>
        <v/>
      </c>
      <c r="W984" t="str">
        <f>IF([2]Baskol!$E$987="","",[2]Baskol!$E$987)</f>
        <v/>
      </c>
      <c r="X984" t="str">
        <f>IF([2]Baskol!$G$987="","",[2]Baskol!$G$987)</f>
        <v/>
      </c>
      <c r="Y984" t="str">
        <f>IF([2]Baskol!$I$987="","",[2]Baskol!$I$987)</f>
        <v/>
      </c>
      <c r="Z984" t="str">
        <f>IF([2]Baskol!$J$987="","",[2]Baskol!$J$987)</f>
        <v/>
      </c>
      <c r="AA984" t="str">
        <f>IF([2]Baskol!$K$987="","",[2]Baskol!$K$987)</f>
        <v/>
      </c>
      <c r="AB984" t="str">
        <f>IF([2]Baskol!$L$987="","",[2]Baskol!$L$987)</f>
        <v/>
      </c>
      <c r="AC984" t="str">
        <f>IF([2]Baskol!$N$987="","",[2]Baskol!$N$987)</f>
        <v/>
      </c>
      <c r="AD984" t="str">
        <f>IF([2]Baskol!$O$987="","",[2]Baskol!$O$987)</f>
        <v/>
      </c>
      <c r="AE984" t="str">
        <f>IF([3]Entry!$C$987="","",[3]Entry!$C$987)</f>
        <v/>
      </c>
      <c r="AF984" t="str">
        <f>IF([3]Entry!$D$987="","",[3]Entry!$D$987)</f>
        <v/>
      </c>
      <c r="AG984" t="str">
        <f>IF([3]Entry!$E$987="","",[3]Entry!$E$987)</f>
        <v/>
      </c>
      <c r="AH984" t="str">
        <f>IF([3]Entry!$G$987="","",[3]Entry!$G$987)</f>
        <v/>
      </c>
      <c r="AI984" t="str">
        <f>IF([3]Entry!$K$987="","",[3]Entry!$K$987)</f>
        <v/>
      </c>
      <c r="AJ984" t="str">
        <f>IF([3]Entry!$L$987="","",[3]Entry!$L$987)</f>
        <v/>
      </c>
      <c r="AK984" t="str">
        <f>IF([3]Entry!$M$987="","",[3]Entry!$M$987)</f>
        <v/>
      </c>
      <c r="AL984" t="str">
        <f>IF([3]Entry!$N$987="","",[3]Entry!$N$987)</f>
        <v/>
      </c>
      <c r="AM984" t="str">
        <f>IF([3]Entry!$R$987="","",[3]Entry!$R$987)</f>
        <v/>
      </c>
    </row>
    <row r="985" spans="20:39" x14ac:dyDescent="0.2">
      <c r="T985" t="str">
        <f>IF([2]Baskol!$B$988="","",[2]Baskol!$B$988)</f>
        <v/>
      </c>
      <c r="U985" t="str">
        <f>IF([2]Baskol!$C$988="","",[2]Baskol!$C$988)</f>
        <v/>
      </c>
      <c r="V985" t="str">
        <f>IF([2]Baskol!$D$988="","",[2]Baskol!$D$988)</f>
        <v/>
      </c>
      <c r="W985" t="str">
        <f>IF([2]Baskol!$E$988="","",[2]Baskol!$E$988)</f>
        <v/>
      </c>
      <c r="X985" t="str">
        <f>IF([2]Baskol!$G$988="","",[2]Baskol!$G$988)</f>
        <v/>
      </c>
      <c r="Y985" t="str">
        <f>IF([2]Baskol!$I$988="","",[2]Baskol!$I$988)</f>
        <v/>
      </c>
      <c r="Z985" t="str">
        <f>IF([2]Baskol!$J$988="","",[2]Baskol!$J$988)</f>
        <v/>
      </c>
      <c r="AA985" t="str">
        <f>IF([2]Baskol!$K$988="","",[2]Baskol!$K$988)</f>
        <v/>
      </c>
      <c r="AB985" t="str">
        <f>IF([2]Baskol!$L$988="","",[2]Baskol!$L$988)</f>
        <v/>
      </c>
      <c r="AC985" t="str">
        <f>IF([2]Baskol!$N$988="","",[2]Baskol!$N$988)</f>
        <v/>
      </c>
      <c r="AD985" t="str">
        <f>IF([2]Baskol!$O$988="","",[2]Baskol!$O$988)</f>
        <v/>
      </c>
      <c r="AE985" t="str">
        <f>IF([3]Entry!$C$988="","",[3]Entry!$C$988)</f>
        <v/>
      </c>
      <c r="AF985" t="str">
        <f>IF([3]Entry!$D$988="","",[3]Entry!$D$988)</f>
        <v/>
      </c>
      <c r="AG985" t="str">
        <f>IF([3]Entry!$E$988="","",[3]Entry!$E$988)</f>
        <v/>
      </c>
      <c r="AH985" t="str">
        <f>IF([3]Entry!$G$988="","",[3]Entry!$G$988)</f>
        <v/>
      </c>
      <c r="AI985" t="str">
        <f>IF([3]Entry!$K$988="","",[3]Entry!$K$988)</f>
        <v/>
      </c>
      <c r="AJ985" t="str">
        <f>IF([3]Entry!$L$988="","",[3]Entry!$L$988)</f>
        <v/>
      </c>
      <c r="AK985" t="str">
        <f>IF([3]Entry!$M$988="","",[3]Entry!$M$988)</f>
        <v/>
      </c>
      <c r="AL985" t="str">
        <f>IF([3]Entry!$N$988="","",[3]Entry!$N$988)</f>
        <v/>
      </c>
      <c r="AM985" t="str">
        <f>IF([3]Entry!$R$988="","",[3]Entry!$R$988)</f>
        <v/>
      </c>
    </row>
    <row r="986" spans="20:39" x14ac:dyDescent="0.2">
      <c r="T986" t="str">
        <f>IF([2]Baskol!$B$989="","",[2]Baskol!$B$989)</f>
        <v/>
      </c>
      <c r="U986" t="str">
        <f>IF([2]Baskol!$C$989="","",[2]Baskol!$C$989)</f>
        <v/>
      </c>
      <c r="V986" t="str">
        <f>IF([2]Baskol!$D$989="","",[2]Baskol!$D$989)</f>
        <v/>
      </c>
      <c r="W986" t="str">
        <f>IF([2]Baskol!$E$989="","",[2]Baskol!$E$989)</f>
        <v/>
      </c>
      <c r="X986" t="str">
        <f>IF([2]Baskol!$G$989="","",[2]Baskol!$G$989)</f>
        <v/>
      </c>
      <c r="Y986" t="str">
        <f>IF([2]Baskol!$I$989="","",[2]Baskol!$I$989)</f>
        <v/>
      </c>
      <c r="Z986" t="str">
        <f>IF([2]Baskol!$J$989="","",[2]Baskol!$J$989)</f>
        <v/>
      </c>
      <c r="AA986" t="str">
        <f>IF([2]Baskol!$K$989="","",[2]Baskol!$K$989)</f>
        <v/>
      </c>
      <c r="AB986" t="str">
        <f>IF([2]Baskol!$L$989="","",[2]Baskol!$L$989)</f>
        <v/>
      </c>
      <c r="AC986" t="str">
        <f>IF([2]Baskol!$N$989="","",[2]Baskol!$N$989)</f>
        <v/>
      </c>
      <c r="AD986" t="str">
        <f>IF([2]Baskol!$O$989="","",[2]Baskol!$O$989)</f>
        <v/>
      </c>
      <c r="AE986" t="str">
        <f>IF([3]Entry!$C$989="","",[3]Entry!$C$989)</f>
        <v/>
      </c>
      <c r="AF986" t="str">
        <f>IF([3]Entry!$D$989="","",[3]Entry!$D$989)</f>
        <v/>
      </c>
      <c r="AG986" t="str">
        <f>IF([3]Entry!$E$989="","",[3]Entry!$E$989)</f>
        <v/>
      </c>
      <c r="AH986" t="str">
        <f>IF([3]Entry!$G$989="","",[3]Entry!$G$989)</f>
        <v/>
      </c>
      <c r="AI986" t="str">
        <f>IF([3]Entry!$K$989="","",[3]Entry!$K$989)</f>
        <v/>
      </c>
      <c r="AJ986" t="str">
        <f>IF([3]Entry!$L$989="","",[3]Entry!$L$989)</f>
        <v/>
      </c>
      <c r="AK986" t="str">
        <f>IF([3]Entry!$M$989="","",[3]Entry!$M$989)</f>
        <v/>
      </c>
      <c r="AL986" t="str">
        <f>IF([3]Entry!$N$989="","",[3]Entry!$N$989)</f>
        <v/>
      </c>
      <c r="AM986" t="str">
        <f>IF([3]Entry!$R$989="","",[3]Entry!$R$989)</f>
        <v/>
      </c>
    </row>
    <row r="987" spans="20:39" x14ac:dyDescent="0.2">
      <c r="T987" t="str">
        <f>IF([2]Baskol!$B$990="","",[2]Baskol!$B$990)</f>
        <v/>
      </c>
      <c r="U987" t="str">
        <f>IF([2]Baskol!$C$990="","",[2]Baskol!$C$990)</f>
        <v/>
      </c>
      <c r="V987" t="str">
        <f>IF([2]Baskol!$D$990="","",[2]Baskol!$D$990)</f>
        <v/>
      </c>
      <c r="W987" t="str">
        <f>IF([2]Baskol!$E$990="","",[2]Baskol!$E$990)</f>
        <v/>
      </c>
      <c r="X987" t="str">
        <f>IF([2]Baskol!$G$990="","",[2]Baskol!$G$990)</f>
        <v/>
      </c>
      <c r="Y987" t="str">
        <f>IF([2]Baskol!$I$990="","",[2]Baskol!$I$990)</f>
        <v/>
      </c>
      <c r="Z987" t="str">
        <f>IF([2]Baskol!$J$990="","",[2]Baskol!$J$990)</f>
        <v/>
      </c>
      <c r="AA987" t="str">
        <f>IF([2]Baskol!$K$990="","",[2]Baskol!$K$990)</f>
        <v/>
      </c>
      <c r="AB987" t="str">
        <f>IF([2]Baskol!$L$990="","",[2]Baskol!$L$990)</f>
        <v/>
      </c>
      <c r="AC987" t="str">
        <f>IF([2]Baskol!$N$990="","",[2]Baskol!$N$990)</f>
        <v/>
      </c>
      <c r="AD987" t="str">
        <f>IF([2]Baskol!$O$990="","",[2]Baskol!$O$990)</f>
        <v/>
      </c>
      <c r="AE987" t="str">
        <f>IF([3]Entry!$C$990="","",[3]Entry!$C$990)</f>
        <v/>
      </c>
      <c r="AF987" t="str">
        <f>IF([3]Entry!$D$990="","",[3]Entry!$D$990)</f>
        <v/>
      </c>
      <c r="AG987" t="str">
        <f>IF([3]Entry!$E$990="","",[3]Entry!$E$990)</f>
        <v/>
      </c>
      <c r="AH987" t="str">
        <f>IF([3]Entry!$G$990="","",[3]Entry!$G$990)</f>
        <v/>
      </c>
      <c r="AI987" t="str">
        <f>IF([3]Entry!$K$990="","",[3]Entry!$K$990)</f>
        <v/>
      </c>
      <c r="AJ987" t="str">
        <f>IF([3]Entry!$L$990="","",[3]Entry!$L$990)</f>
        <v/>
      </c>
      <c r="AK987" t="str">
        <f>IF([3]Entry!$M$990="","",[3]Entry!$M$990)</f>
        <v/>
      </c>
      <c r="AL987" t="str">
        <f>IF([3]Entry!$N$990="","",[3]Entry!$N$990)</f>
        <v/>
      </c>
      <c r="AM987" t="str">
        <f>IF([3]Entry!$R$990="","",[3]Entry!$R$990)</f>
        <v/>
      </c>
    </row>
    <row r="988" spans="20:39" x14ac:dyDescent="0.2">
      <c r="T988" t="str">
        <f>IF([2]Baskol!$B$991="","",[2]Baskol!$B$991)</f>
        <v/>
      </c>
      <c r="U988" t="str">
        <f>IF([2]Baskol!$C$991="","",[2]Baskol!$C$991)</f>
        <v/>
      </c>
      <c r="V988" t="str">
        <f>IF([2]Baskol!$D$991="","",[2]Baskol!$D$991)</f>
        <v/>
      </c>
      <c r="W988" t="str">
        <f>IF([2]Baskol!$E$991="","",[2]Baskol!$E$991)</f>
        <v/>
      </c>
      <c r="X988" t="str">
        <f>IF([2]Baskol!$G$991="","",[2]Baskol!$G$991)</f>
        <v/>
      </c>
      <c r="Y988" t="str">
        <f>IF([2]Baskol!$I$991="","",[2]Baskol!$I$991)</f>
        <v/>
      </c>
      <c r="Z988" t="str">
        <f>IF([2]Baskol!$J$991="","",[2]Baskol!$J$991)</f>
        <v/>
      </c>
      <c r="AA988" t="str">
        <f>IF([2]Baskol!$K$991="","",[2]Baskol!$K$991)</f>
        <v/>
      </c>
      <c r="AB988" t="str">
        <f>IF([2]Baskol!$L$991="","",[2]Baskol!$L$991)</f>
        <v/>
      </c>
      <c r="AC988" t="str">
        <f>IF([2]Baskol!$N$991="","",[2]Baskol!$N$991)</f>
        <v/>
      </c>
      <c r="AD988" t="str">
        <f>IF([2]Baskol!$O$991="","",[2]Baskol!$O$991)</f>
        <v/>
      </c>
      <c r="AE988" t="str">
        <f>IF([3]Entry!$C$991="","",[3]Entry!$C$991)</f>
        <v/>
      </c>
      <c r="AF988" t="str">
        <f>IF([3]Entry!$D$991="","",[3]Entry!$D$991)</f>
        <v/>
      </c>
      <c r="AG988" t="str">
        <f>IF([3]Entry!$E$991="","",[3]Entry!$E$991)</f>
        <v/>
      </c>
      <c r="AH988" t="str">
        <f>IF([3]Entry!$G$991="","",[3]Entry!$G$991)</f>
        <v/>
      </c>
      <c r="AI988" t="str">
        <f>IF([3]Entry!$K$991="","",[3]Entry!$K$991)</f>
        <v/>
      </c>
      <c r="AJ988" t="str">
        <f>IF([3]Entry!$L$991="","",[3]Entry!$L$991)</f>
        <v/>
      </c>
      <c r="AK988" t="str">
        <f>IF([3]Entry!$M$991="","",[3]Entry!$M$991)</f>
        <v/>
      </c>
      <c r="AL988" t="str">
        <f>IF([3]Entry!$N$991="","",[3]Entry!$N$991)</f>
        <v/>
      </c>
      <c r="AM988" t="str">
        <f>IF([3]Entry!$R$991="","",[3]Entry!$R$991)</f>
        <v/>
      </c>
    </row>
    <row r="989" spans="20:39" x14ac:dyDescent="0.2">
      <c r="T989" t="str">
        <f>IF([2]Baskol!$B$992="","",[2]Baskol!$B$992)</f>
        <v/>
      </c>
      <c r="U989" t="str">
        <f>IF([2]Baskol!$C$992="","",[2]Baskol!$C$992)</f>
        <v/>
      </c>
      <c r="V989" t="str">
        <f>IF([2]Baskol!$D$992="","",[2]Baskol!$D$992)</f>
        <v/>
      </c>
      <c r="W989" t="str">
        <f>IF([2]Baskol!$E$992="","",[2]Baskol!$E$992)</f>
        <v/>
      </c>
      <c r="X989" t="str">
        <f>IF([2]Baskol!$G$992="","",[2]Baskol!$G$992)</f>
        <v/>
      </c>
      <c r="Y989" t="str">
        <f>IF([2]Baskol!$I$992="","",[2]Baskol!$I$992)</f>
        <v/>
      </c>
      <c r="Z989" t="str">
        <f>IF([2]Baskol!$J$992="","",[2]Baskol!$J$992)</f>
        <v/>
      </c>
      <c r="AA989" t="str">
        <f>IF([2]Baskol!$K$992="","",[2]Baskol!$K$992)</f>
        <v/>
      </c>
      <c r="AB989" t="str">
        <f>IF([2]Baskol!$L$992="","",[2]Baskol!$L$992)</f>
        <v/>
      </c>
      <c r="AC989" t="str">
        <f>IF([2]Baskol!$N$992="","",[2]Baskol!$N$992)</f>
        <v/>
      </c>
      <c r="AD989" t="str">
        <f>IF([2]Baskol!$O$992="","",[2]Baskol!$O$992)</f>
        <v/>
      </c>
      <c r="AE989" t="str">
        <f>IF([3]Entry!$C$992="","",[3]Entry!$C$992)</f>
        <v/>
      </c>
      <c r="AF989" t="str">
        <f>IF([3]Entry!$D$992="","",[3]Entry!$D$992)</f>
        <v/>
      </c>
      <c r="AG989" t="str">
        <f>IF([3]Entry!$E$992="","",[3]Entry!$E$992)</f>
        <v/>
      </c>
      <c r="AH989" t="str">
        <f>IF([3]Entry!$G$992="","",[3]Entry!$G$992)</f>
        <v/>
      </c>
      <c r="AI989" t="str">
        <f>IF([3]Entry!$K$992="","",[3]Entry!$K$992)</f>
        <v/>
      </c>
      <c r="AJ989" t="str">
        <f>IF([3]Entry!$L$992="","",[3]Entry!$L$992)</f>
        <v/>
      </c>
      <c r="AK989" t="str">
        <f>IF([3]Entry!$M$992="","",[3]Entry!$M$992)</f>
        <v/>
      </c>
      <c r="AL989" t="str">
        <f>IF([3]Entry!$N$992="","",[3]Entry!$N$992)</f>
        <v/>
      </c>
      <c r="AM989" t="str">
        <f>IF([3]Entry!$R$992="","",[3]Entry!$R$992)</f>
        <v/>
      </c>
    </row>
    <row r="990" spans="20:39" x14ac:dyDescent="0.2">
      <c r="T990" t="str">
        <f>IF([2]Baskol!$B$993="","",[2]Baskol!$B$993)</f>
        <v/>
      </c>
      <c r="U990" t="str">
        <f>IF([2]Baskol!$C$993="","",[2]Baskol!$C$993)</f>
        <v/>
      </c>
      <c r="V990" t="str">
        <f>IF([2]Baskol!$D$993="","",[2]Baskol!$D$993)</f>
        <v/>
      </c>
      <c r="W990" t="str">
        <f>IF([2]Baskol!$E$993="","",[2]Baskol!$E$993)</f>
        <v/>
      </c>
      <c r="X990" t="str">
        <f>IF([2]Baskol!$G$993="","",[2]Baskol!$G$993)</f>
        <v/>
      </c>
      <c r="Y990" t="str">
        <f>IF([2]Baskol!$I$993="","",[2]Baskol!$I$993)</f>
        <v/>
      </c>
      <c r="Z990" t="str">
        <f>IF([2]Baskol!$J$993="","",[2]Baskol!$J$993)</f>
        <v/>
      </c>
      <c r="AA990" t="str">
        <f>IF([2]Baskol!$K$993="","",[2]Baskol!$K$993)</f>
        <v/>
      </c>
      <c r="AB990" t="str">
        <f>IF([2]Baskol!$L$993="","",[2]Baskol!$L$993)</f>
        <v/>
      </c>
      <c r="AC990" t="str">
        <f>IF([2]Baskol!$N$993="","",[2]Baskol!$N$993)</f>
        <v/>
      </c>
      <c r="AD990" t="str">
        <f>IF([2]Baskol!$O$993="","",[2]Baskol!$O$993)</f>
        <v/>
      </c>
      <c r="AE990" t="str">
        <f>IF([3]Entry!$C$993="","",[3]Entry!$C$993)</f>
        <v/>
      </c>
      <c r="AF990" t="str">
        <f>IF([3]Entry!$D$993="","",[3]Entry!$D$993)</f>
        <v/>
      </c>
      <c r="AG990" t="str">
        <f>IF([3]Entry!$E$993="","",[3]Entry!$E$993)</f>
        <v/>
      </c>
      <c r="AH990" t="str">
        <f>IF([3]Entry!$G$993="","",[3]Entry!$G$993)</f>
        <v/>
      </c>
      <c r="AI990" t="str">
        <f>IF([3]Entry!$K$993="","",[3]Entry!$K$993)</f>
        <v/>
      </c>
      <c r="AJ990" t="str">
        <f>IF([3]Entry!$L$993="","",[3]Entry!$L$993)</f>
        <v/>
      </c>
      <c r="AK990" t="str">
        <f>IF([3]Entry!$M$993="","",[3]Entry!$M$993)</f>
        <v/>
      </c>
      <c r="AL990" t="str">
        <f>IF([3]Entry!$N$993="","",[3]Entry!$N$993)</f>
        <v/>
      </c>
      <c r="AM990" t="str">
        <f>IF([3]Entry!$R$993="","",[3]Entry!$R$993)</f>
        <v/>
      </c>
    </row>
    <row r="991" spans="20:39" x14ac:dyDescent="0.2">
      <c r="T991" t="str">
        <f>IF([2]Baskol!$B$994="","",[2]Baskol!$B$994)</f>
        <v/>
      </c>
      <c r="U991" t="str">
        <f>IF([2]Baskol!$C$994="","",[2]Baskol!$C$994)</f>
        <v/>
      </c>
      <c r="V991" t="str">
        <f>IF([2]Baskol!$D$994="","",[2]Baskol!$D$994)</f>
        <v/>
      </c>
      <c r="W991" t="str">
        <f>IF([2]Baskol!$E$994="","",[2]Baskol!$E$994)</f>
        <v/>
      </c>
      <c r="X991" t="str">
        <f>IF([2]Baskol!$G$994="","",[2]Baskol!$G$994)</f>
        <v/>
      </c>
      <c r="Y991" t="str">
        <f>IF([2]Baskol!$I$994="","",[2]Baskol!$I$994)</f>
        <v/>
      </c>
      <c r="Z991" t="str">
        <f>IF([2]Baskol!$J$994="","",[2]Baskol!$J$994)</f>
        <v/>
      </c>
      <c r="AA991" t="str">
        <f>IF([2]Baskol!$K$994="","",[2]Baskol!$K$994)</f>
        <v/>
      </c>
      <c r="AB991" t="str">
        <f>IF([2]Baskol!$L$994="","",[2]Baskol!$L$994)</f>
        <v/>
      </c>
      <c r="AC991" t="str">
        <f>IF([2]Baskol!$N$994="","",[2]Baskol!$N$994)</f>
        <v/>
      </c>
      <c r="AD991" t="str">
        <f>IF([2]Baskol!$O$994="","",[2]Baskol!$O$994)</f>
        <v/>
      </c>
      <c r="AE991" t="str">
        <f>IF([3]Entry!$C$994="","",[3]Entry!$C$994)</f>
        <v/>
      </c>
      <c r="AF991" t="str">
        <f>IF([3]Entry!$D$994="","",[3]Entry!$D$994)</f>
        <v/>
      </c>
      <c r="AG991" t="str">
        <f>IF([3]Entry!$E$994="","",[3]Entry!$E$994)</f>
        <v/>
      </c>
      <c r="AH991" t="str">
        <f>IF([3]Entry!$G$994="","",[3]Entry!$G$994)</f>
        <v/>
      </c>
      <c r="AI991" t="str">
        <f>IF([3]Entry!$K$994="","",[3]Entry!$K$994)</f>
        <v/>
      </c>
      <c r="AJ991" t="str">
        <f>IF([3]Entry!$L$994="","",[3]Entry!$L$994)</f>
        <v/>
      </c>
      <c r="AK991" t="str">
        <f>IF([3]Entry!$M$994="","",[3]Entry!$M$994)</f>
        <v/>
      </c>
      <c r="AL991" t="str">
        <f>IF([3]Entry!$N$994="","",[3]Entry!$N$994)</f>
        <v/>
      </c>
      <c r="AM991" t="str">
        <f>IF([3]Entry!$R$994="","",[3]Entry!$R$994)</f>
        <v/>
      </c>
    </row>
    <row r="992" spans="20:39" x14ac:dyDescent="0.2">
      <c r="T992" t="str">
        <f>IF([2]Baskol!$B$995="","",[2]Baskol!$B$995)</f>
        <v/>
      </c>
      <c r="U992" t="str">
        <f>IF([2]Baskol!$C$995="","",[2]Baskol!$C$995)</f>
        <v/>
      </c>
      <c r="V992" t="str">
        <f>IF([2]Baskol!$D$995="","",[2]Baskol!$D$995)</f>
        <v/>
      </c>
      <c r="W992" t="str">
        <f>IF([2]Baskol!$E$995="","",[2]Baskol!$E$995)</f>
        <v/>
      </c>
      <c r="X992" t="str">
        <f>IF([2]Baskol!$G$995="","",[2]Baskol!$G$995)</f>
        <v/>
      </c>
      <c r="Y992" t="str">
        <f>IF([2]Baskol!$I$995="","",[2]Baskol!$I$995)</f>
        <v/>
      </c>
      <c r="Z992" t="str">
        <f>IF([2]Baskol!$J$995="","",[2]Baskol!$J$995)</f>
        <v/>
      </c>
      <c r="AA992" t="str">
        <f>IF([2]Baskol!$K$995="","",[2]Baskol!$K$995)</f>
        <v/>
      </c>
      <c r="AB992" t="str">
        <f>IF([2]Baskol!$L$995="","",[2]Baskol!$L$995)</f>
        <v/>
      </c>
      <c r="AC992" t="str">
        <f>IF([2]Baskol!$N$995="","",[2]Baskol!$N$995)</f>
        <v/>
      </c>
      <c r="AD992" t="str">
        <f>IF([2]Baskol!$O$995="","",[2]Baskol!$O$995)</f>
        <v/>
      </c>
      <c r="AE992" t="str">
        <f>IF([3]Entry!$C$995="","",[3]Entry!$C$995)</f>
        <v/>
      </c>
      <c r="AF992" t="str">
        <f>IF([3]Entry!$D$995="","",[3]Entry!$D$995)</f>
        <v/>
      </c>
      <c r="AG992" t="str">
        <f>IF([3]Entry!$E$995="","",[3]Entry!$E$995)</f>
        <v/>
      </c>
      <c r="AH992" t="str">
        <f>IF([3]Entry!$G$995="","",[3]Entry!$G$995)</f>
        <v/>
      </c>
      <c r="AI992" t="str">
        <f>IF([3]Entry!$K$995="","",[3]Entry!$K$995)</f>
        <v/>
      </c>
      <c r="AJ992" t="str">
        <f>IF([3]Entry!$L$995="","",[3]Entry!$L$995)</f>
        <v/>
      </c>
      <c r="AK992" t="str">
        <f>IF([3]Entry!$M$995="","",[3]Entry!$M$995)</f>
        <v/>
      </c>
      <c r="AL992" t="str">
        <f>IF([3]Entry!$N$995="","",[3]Entry!$N$995)</f>
        <v/>
      </c>
      <c r="AM992" t="str">
        <f>IF([3]Entry!$R$995="","",[3]Entry!$R$995)</f>
        <v/>
      </c>
    </row>
    <row r="993" spans="20:39" x14ac:dyDescent="0.2">
      <c r="T993" t="str">
        <f>IF([2]Baskol!$B$996="","",[2]Baskol!$B$996)</f>
        <v/>
      </c>
      <c r="U993" t="str">
        <f>IF([2]Baskol!$C$996="","",[2]Baskol!$C$996)</f>
        <v/>
      </c>
      <c r="V993" t="str">
        <f>IF([2]Baskol!$D$996="","",[2]Baskol!$D$996)</f>
        <v/>
      </c>
      <c r="W993" t="str">
        <f>IF([2]Baskol!$E$996="","",[2]Baskol!$E$996)</f>
        <v/>
      </c>
      <c r="X993" t="str">
        <f>IF([2]Baskol!$G$996="","",[2]Baskol!$G$996)</f>
        <v/>
      </c>
      <c r="Y993" t="str">
        <f>IF([2]Baskol!$I$996="","",[2]Baskol!$I$996)</f>
        <v/>
      </c>
      <c r="Z993" t="str">
        <f>IF([2]Baskol!$J$996="","",[2]Baskol!$J$996)</f>
        <v/>
      </c>
      <c r="AA993" t="str">
        <f>IF([2]Baskol!$K$996="","",[2]Baskol!$K$996)</f>
        <v/>
      </c>
      <c r="AB993" t="str">
        <f>IF([2]Baskol!$L$996="","",[2]Baskol!$L$996)</f>
        <v/>
      </c>
      <c r="AC993" t="str">
        <f>IF([2]Baskol!$N$996="","",[2]Baskol!$N$996)</f>
        <v/>
      </c>
      <c r="AD993" t="str">
        <f>IF([2]Baskol!$O$996="","",[2]Baskol!$O$996)</f>
        <v/>
      </c>
      <c r="AE993" t="str">
        <f>IF([3]Entry!$C$996="","",[3]Entry!$C$996)</f>
        <v/>
      </c>
      <c r="AF993" t="str">
        <f>IF([3]Entry!$D$996="","",[3]Entry!$D$996)</f>
        <v/>
      </c>
      <c r="AG993" t="str">
        <f>IF([3]Entry!$E$996="","",[3]Entry!$E$996)</f>
        <v/>
      </c>
      <c r="AH993" t="str">
        <f>IF([3]Entry!$G$996="","",[3]Entry!$G$996)</f>
        <v/>
      </c>
      <c r="AI993" t="str">
        <f>IF([3]Entry!$K$996="","",[3]Entry!$K$996)</f>
        <v/>
      </c>
      <c r="AJ993" t="str">
        <f>IF([3]Entry!$L$996="","",[3]Entry!$L$996)</f>
        <v/>
      </c>
      <c r="AK993" t="str">
        <f>IF([3]Entry!$M$996="","",[3]Entry!$M$996)</f>
        <v/>
      </c>
      <c r="AL993" t="str">
        <f>IF([3]Entry!$N$996="","",[3]Entry!$N$996)</f>
        <v/>
      </c>
      <c r="AM993" t="str">
        <f>IF([3]Entry!$R$996="","",[3]Entry!$R$996)</f>
        <v/>
      </c>
    </row>
    <row r="994" spans="20:39" x14ac:dyDescent="0.2">
      <c r="T994" t="str">
        <f>IF([2]Baskol!$B$997="","",[2]Baskol!$B$997)</f>
        <v/>
      </c>
      <c r="U994" t="str">
        <f>IF([2]Baskol!$C$997="","",[2]Baskol!$C$997)</f>
        <v/>
      </c>
      <c r="V994" t="str">
        <f>IF([2]Baskol!$D$997="","",[2]Baskol!$D$997)</f>
        <v/>
      </c>
      <c r="W994" t="str">
        <f>IF([2]Baskol!$E$997="","",[2]Baskol!$E$997)</f>
        <v/>
      </c>
      <c r="X994" t="str">
        <f>IF([2]Baskol!$G$997="","",[2]Baskol!$G$997)</f>
        <v/>
      </c>
      <c r="Y994" t="str">
        <f>IF([2]Baskol!$I$997="","",[2]Baskol!$I$997)</f>
        <v/>
      </c>
      <c r="Z994" t="str">
        <f>IF([2]Baskol!$J$997="","",[2]Baskol!$J$997)</f>
        <v/>
      </c>
      <c r="AA994" t="str">
        <f>IF([2]Baskol!$K$997="","",[2]Baskol!$K$997)</f>
        <v/>
      </c>
      <c r="AB994" t="str">
        <f>IF([2]Baskol!$L$997="","",[2]Baskol!$L$997)</f>
        <v/>
      </c>
      <c r="AC994" t="str">
        <f>IF([2]Baskol!$N$997="","",[2]Baskol!$N$997)</f>
        <v/>
      </c>
      <c r="AD994" t="str">
        <f>IF([2]Baskol!$O$997="","",[2]Baskol!$O$997)</f>
        <v/>
      </c>
      <c r="AE994" t="str">
        <f>IF([3]Entry!$C$997="","",[3]Entry!$C$997)</f>
        <v/>
      </c>
      <c r="AF994" t="str">
        <f>IF([3]Entry!$D$997="","",[3]Entry!$D$997)</f>
        <v/>
      </c>
      <c r="AG994" t="str">
        <f>IF([3]Entry!$E$997="","",[3]Entry!$E$997)</f>
        <v/>
      </c>
      <c r="AH994" t="str">
        <f>IF([3]Entry!$G$997="","",[3]Entry!$G$997)</f>
        <v/>
      </c>
      <c r="AI994" t="str">
        <f>IF([3]Entry!$K$997="","",[3]Entry!$K$997)</f>
        <v/>
      </c>
      <c r="AJ994" t="str">
        <f>IF([3]Entry!$L$997="","",[3]Entry!$L$997)</f>
        <v/>
      </c>
      <c r="AK994" t="str">
        <f>IF([3]Entry!$M$997="","",[3]Entry!$M$997)</f>
        <v/>
      </c>
      <c r="AL994" t="str">
        <f>IF([3]Entry!$N$997="","",[3]Entry!$N$997)</f>
        <v/>
      </c>
      <c r="AM994" t="str">
        <f>IF([3]Entry!$R$997="","",[3]Entry!$R$997)</f>
        <v/>
      </c>
    </row>
    <row r="995" spans="20:39" x14ac:dyDescent="0.2">
      <c r="T995" t="str">
        <f>IF([2]Baskol!$B$998="","",[2]Baskol!$B$998)</f>
        <v/>
      </c>
      <c r="U995" t="str">
        <f>IF([2]Baskol!$C$998="","",[2]Baskol!$C$998)</f>
        <v/>
      </c>
      <c r="V995" t="str">
        <f>IF([2]Baskol!$D$998="","",[2]Baskol!$D$998)</f>
        <v/>
      </c>
      <c r="W995" t="str">
        <f>IF([2]Baskol!$E$998="","",[2]Baskol!$E$998)</f>
        <v/>
      </c>
      <c r="X995" t="str">
        <f>IF([2]Baskol!$G$998="","",[2]Baskol!$G$998)</f>
        <v/>
      </c>
      <c r="Y995" t="str">
        <f>IF([2]Baskol!$I$998="","",[2]Baskol!$I$998)</f>
        <v/>
      </c>
      <c r="Z995" t="str">
        <f>IF([2]Baskol!$J$998="","",[2]Baskol!$J$998)</f>
        <v/>
      </c>
      <c r="AA995" t="str">
        <f>IF([2]Baskol!$K$998="","",[2]Baskol!$K$998)</f>
        <v/>
      </c>
      <c r="AB995" t="str">
        <f>IF([2]Baskol!$L$998="","",[2]Baskol!$L$998)</f>
        <v/>
      </c>
      <c r="AC995" t="str">
        <f>IF([2]Baskol!$N$998="","",[2]Baskol!$N$998)</f>
        <v/>
      </c>
      <c r="AD995" t="str">
        <f>IF([2]Baskol!$O$998="","",[2]Baskol!$O$998)</f>
        <v/>
      </c>
      <c r="AE995" t="str">
        <f>IF([3]Entry!$C$998="","",[3]Entry!$C$998)</f>
        <v/>
      </c>
      <c r="AF995" t="str">
        <f>IF([3]Entry!$D$998="","",[3]Entry!$D$998)</f>
        <v/>
      </c>
      <c r="AG995" t="str">
        <f>IF([3]Entry!$E$998="","",[3]Entry!$E$998)</f>
        <v/>
      </c>
      <c r="AH995" t="str">
        <f>IF([3]Entry!$G$998="","",[3]Entry!$G$998)</f>
        <v/>
      </c>
      <c r="AI995" t="str">
        <f>IF([3]Entry!$K$998="","",[3]Entry!$K$998)</f>
        <v/>
      </c>
      <c r="AJ995" t="str">
        <f>IF([3]Entry!$L$998="","",[3]Entry!$L$998)</f>
        <v/>
      </c>
      <c r="AK995" t="str">
        <f>IF([3]Entry!$M$998="","",[3]Entry!$M$998)</f>
        <v/>
      </c>
      <c r="AL995" t="str">
        <f>IF([3]Entry!$N$998="","",[3]Entry!$N$998)</f>
        <v/>
      </c>
      <c r="AM995" t="str">
        <f>IF([3]Entry!$R$998="","",[3]Entry!$R$998)</f>
        <v/>
      </c>
    </row>
    <row r="996" spans="20:39" x14ac:dyDescent="0.2">
      <c r="T996" t="str">
        <f>IF([2]Baskol!$B$999="","",[2]Baskol!$B$999)</f>
        <v/>
      </c>
      <c r="U996" t="str">
        <f>IF([2]Baskol!$C$999="","",[2]Baskol!$C$999)</f>
        <v/>
      </c>
      <c r="V996" t="str">
        <f>IF([2]Baskol!$D$999="","",[2]Baskol!$D$999)</f>
        <v/>
      </c>
      <c r="W996" t="str">
        <f>IF([2]Baskol!$E$999="","",[2]Baskol!$E$999)</f>
        <v/>
      </c>
      <c r="X996" t="str">
        <f>IF([2]Baskol!$G$999="","",[2]Baskol!$G$999)</f>
        <v/>
      </c>
      <c r="Y996" t="str">
        <f>IF([2]Baskol!$I$999="","",[2]Baskol!$I$999)</f>
        <v/>
      </c>
      <c r="Z996" t="str">
        <f>IF([2]Baskol!$J$999="","",[2]Baskol!$J$999)</f>
        <v/>
      </c>
      <c r="AA996" t="str">
        <f>IF([2]Baskol!$K$999="","",[2]Baskol!$K$999)</f>
        <v/>
      </c>
      <c r="AB996" t="str">
        <f>IF([2]Baskol!$L$999="","",[2]Baskol!$L$999)</f>
        <v/>
      </c>
      <c r="AC996" t="str">
        <f>IF([2]Baskol!$N$999="","",[2]Baskol!$N$999)</f>
        <v/>
      </c>
      <c r="AD996" t="str">
        <f>IF([2]Baskol!$O$999="","",[2]Baskol!$O$999)</f>
        <v/>
      </c>
      <c r="AE996" t="str">
        <f>IF([3]Entry!$C$999="","",[3]Entry!$C$999)</f>
        <v/>
      </c>
      <c r="AF996" t="str">
        <f>IF([3]Entry!$D$999="","",[3]Entry!$D$999)</f>
        <v/>
      </c>
      <c r="AG996" t="str">
        <f>IF([3]Entry!$E$999="","",[3]Entry!$E$999)</f>
        <v/>
      </c>
      <c r="AH996" t="str">
        <f>IF([3]Entry!$G$999="","",[3]Entry!$G$999)</f>
        <v/>
      </c>
      <c r="AI996" t="str">
        <f>IF([3]Entry!$K$999="","",[3]Entry!$K$999)</f>
        <v/>
      </c>
      <c r="AJ996" t="str">
        <f>IF([3]Entry!$L$999="","",[3]Entry!$L$999)</f>
        <v/>
      </c>
      <c r="AK996" t="str">
        <f>IF([3]Entry!$M$999="","",[3]Entry!$M$999)</f>
        <v/>
      </c>
      <c r="AL996" t="str">
        <f>IF([3]Entry!$N$999="","",[3]Entry!$N$999)</f>
        <v/>
      </c>
      <c r="AM996" t="str">
        <f>IF([3]Entry!$R$999="","",[3]Entry!$R$999)</f>
        <v/>
      </c>
    </row>
    <row r="997" spans="20:39" x14ac:dyDescent="0.2">
      <c r="T997" t="str">
        <f>IF([2]Baskol!$B$1000="","",[2]Baskol!$B$1000)</f>
        <v/>
      </c>
      <c r="U997" t="str">
        <f>IF([2]Baskol!$C$1000="","",[2]Baskol!$C$1000)</f>
        <v/>
      </c>
      <c r="V997" t="str">
        <f>IF([2]Baskol!$D$1000="","",[2]Baskol!$D$1000)</f>
        <v/>
      </c>
      <c r="W997" t="str">
        <f>IF([2]Baskol!$E$1000="","",[2]Baskol!$E$1000)</f>
        <v/>
      </c>
      <c r="X997" t="str">
        <f>IF([2]Baskol!$G$1000="","",[2]Baskol!$G$1000)</f>
        <v/>
      </c>
      <c r="Y997" t="str">
        <f>IF([2]Baskol!$I$1000="","",[2]Baskol!$I$1000)</f>
        <v/>
      </c>
      <c r="Z997" t="str">
        <f>IF([2]Baskol!$J$1000="","",[2]Baskol!$J$1000)</f>
        <v/>
      </c>
      <c r="AA997" t="str">
        <f>IF([2]Baskol!$K$1000="","",[2]Baskol!$K$1000)</f>
        <v/>
      </c>
      <c r="AB997" t="str">
        <f>IF([2]Baskol!$L$1000="","",[2]Baskol!$L$1000)</f>
        <v/>
      </c>
      <c r="AC997" t="str">
        <f>IF([2]Baskol!$N$1000="","",[2]Baskol!$N$1000)</f>
        <v/>
      </c>
      <c r="AD997" t="str">
        <f>IF([2]Baskol!$O$1000="","",[2]Baskol!$O$1000)</f>
        <v/>
      </c>
      <c r="AE997" t="str">
        <f>IF([3]Entry!$C$1000="","",[3]Entry!$C$1000)</f>
        <v/>
      </c>
      <c r="AF997" t="str">
        <f>IF([3]Entry!$D$1000="","",[3]Entry!$D$1000)</f>
        <v/>
      </c>
      <c r="AG997" t="str">
        <f>IF([3]Entry!$E$1000="","",[3]Entry!$E$1000)</f>
        <v/>
      </c>
      <c r="AH997" t="str">
        <f>IF([3]Entry!$G$1000="","",[3]Entry!$G$1000)</f>
        <v/>
      </c>
      <c r="AI997" t="str">
        <f>IF([3]Entry!$K$1000="","",[3]Entry!$K$1000)</f>
        <v/>
      </c>
      <c r="AJ997" t="str">
        <f>IF([3]Entry!$L$1000="","",[3]Entry!$L$1000)</f>
        <v/>
      </c>
      <c r="AK997" t="str">
        <f>IF([3]Entry!$M$1000="","",[3]Entry!$M$1000)</f>
        <v/>
      </c>
      <c r="AL997" t="str">
        <f>IF([3]Entry!$N$1000="","",[3]Entry!$N$1000)</f>
        <v/>
      </c>
      <c r="AM997" t="str">
        <f>IF([3]Entry!$R$1000="","",[3]Entry!$R$1000)</f>
        <v/>
      </c>
    </row>
    <row r="998" spans="20:39" x14ac:dyDescent="0.2">
      <c r="T998" t="str">
        <f>IF([2]Baskol!$B$1001="","",[2]Baskol!$B$1001)</f>
        <v/>
      </c>
      <c r="U998" t="str">
        <f>IF([2]Baskol!$C$1001="","",[2]Baskol!$C$1001)</f>
        <v/>
      </c>
      <c r="V998" t="str">
        <f>IF([2]Baskol!$D$1001="","",[2]Baskol!$D$1001)</f>
        <v/>
      </c>
      <c r="W998" t="str">
        <f>IF([2]Baskol!$E$1001="","",[2]Baskol!$E$1001)</f>
        <v/>
      </c>
      <c r="X998" t="str">
        <f>IF([2]Baskol!$G$1001="","",[2]Baskol!$G$1001)</f>
        <v/>
      </c>
      <c r="Y998" t="str">
        <f>IF([2]Baskol!$I$1001="","",[2]Baskol!$I$1001)</f>
        <v/>
      </c>
      <c r="Z998" t="str">
        <f>IF([2]Baskol!$J$1001="","",[2]Baskol!$J$1001)</f>
        <v/>
      </c>
      <c r="AA998" t="str">
        <f>IF([2]Baskol!$K$1001="","",[2]Baskol!$K$1001)</f>
        <v/>
      </c>
      <c r="AB998" t="str">
        <f>IF([2]Baskol!$L$1001="","",[2]Baskol!$L$1001)</f>
        <v/>
      </c>
      <c r="AC998" t="str">
        <f>IF([2]Baskol!$N$1001="","",[2]Baskol!$N$1001)</f>
        <v/>
      </c>
      <c r="AD998" t="str">
        <f>IF([2]Baskol!$O$1001="","",[2]Baskol!$O$1001)</f>
        <v/>
      </c>
      <c r="AE998" t="str">
        <f>IF([3]Entry!$C$1001="","",[3]Entry!$C$1001)</f>
        <v/>
      </c>
      <c r="AF998" t="str">
        <f>IF([3]Entry!$D$1001="","",[3]Entry!$D$1001)</f>
        <v/>
      </c>
      <c r="AG998" t="str">
        <f>IF([3]Entry!$E$1001="","",[3]Entry!$E$1001)</f>
        <v/>
      </c>
      <c r="AH998" t="str">
        <f>IF([3]Entry!$G$1001="","",[3]Entry!$G$1001)</f>
        <v/>
      </c>
      <c r="AI998" t="str">
        <f>IF([3]Entry!$K$1001="","",[3]Entry!$K$1001)</f>
        <v/>
      </c>
      <c r="AJ998" t="str">
        <f>IF([3]Entry!$L$1001="","",[3]Entry!$L$1001)</f>
        <v/>
      </c>
      <c r="AK998" t="str">
        <f>IF([3]Entry!$M$1001="","",[3]Entry!$M$1001)</f>
        <v/>
      </c>
      <c r="AL998" t="str">
        <f>IF([3]Entry!$N$1001="","",[3]Entry!$N$1001)</f>
        <v/>
      </c>
      <c r="AM998" t="str">
        <f>IF([3]Entry!$R$1001="","",[3]Entry!$R$1001)</f>
        <v/>
      </c>
    </row>
    <row r="999" spans="20:39" x14ac:dyDescent="0.2">
      <c r="T999" t="str">
        <f>IF([2]Baskol!$B$1002="","",[2]Baskol!$B$1002)</f>
        <v/>
      </c>
      <c r="U999" t="str">
        <f>IF([2]Baskol!$C$1002="","",[2]Baskol!$C$1002)</f>
        <v/>
      </c>
      <c r="V999" t="str">
        <f>IF([2]Baskol!$D$1002="","",[2]Baskol!$D$1002)</f>
        <v/>
      </c>
      <c r="W999" t="str">
        <f>IF([2]Baskol!$E$1002="","",[2]Baskol!$E$1002)</f>
        <v/>
      </c>
      <c r="X999" t="str">
        <f>IF([2]Baskol!$G$1002="","",[2]Baskol!$G$1002)</f>
        <v/>
      </c>
      <c r="Y999" t="str">
        <f>IF([2]Baskol!$I$1002="","",[2]Baskol!$I$1002)</f>
        <v/>
      </c>
      <c r="Z999" t="str">
        <f>IF([2]Baskol!$J$1002="","",[2]Baskol!$J$1002)</f>
        <v/>
      </c>
      <c r="AA999" t="str">
        <f>IF([2]Baskol!$K$1002="","",[2]Baskol!$K$1002)</f>
        <v/>
      </c>
      <c r="AB999" t="str">
        <f>IF([2]Baskol!$L$1002="","",[2]Baskol!$L$1002)</f>
        <v/>
      </c>
      <c r="AC999" t="str">
        <f>IF([2]Baskol!$N$1002="","",[2]Baskol!$N$1002)</f>
        <v/>
      </c>
      <c r="AD999" t="str">
        <f>IF([2]Baskol!$O$1002="","",[2]Baskol!$O$1002)</f>
        <v/>
      </c>
      <c r="AE999" t="str">
        <f>IF([3]Entry!$C$1002="","",[3]Entry!$C$1002)</f>
        <v/>
      </c>
      <c r="AF999" t="str">
        <f>IF([3]Entry!$D$1002="","",[3]Entry!$D$1002)</f>
        <v/>
      </c>
      <c r="AG999" t="str">
        <f>IF([3]Entry!$E$1002="","",[3]Entry!$E$1002)</f>
        <v/>
      </c>
      <c r="AH999" t="str">
        <f>IF([3]Entry!$G$1002="","",[3]Entry!$G$1002)</f>
        <v/>
      </c>
      <c r="AI999" t="str">
        <f>IF([3]Entry!$K$1002="","",[3]Entry!$K$1002)</f>
        <v/>
      </c>
      <c r="AJ999" t="str">
        <f>IF([3]Entry!$L$1002="","",[3]Entry!$L$1002)</f>
        <v/>
      </c>
      <c r="AK999" t="str">
        <f>IF([3]Entry!$M$1002="","",[3]Entry!$M$1002)</f>
        <v/>
      </c>
      <c r="AL999" t="str">
        <f>IF([3]Entry!$N$1002="","",[3]Entry!$N$1002)</f>
        <v/>
      </c>
      <c r="AM999" t="str">
        <f>IF([3]Entry!$R$1002="","",[3]Entry!$R$1002)</f>
        <v/>
      </c>
    </row>
    <row r="1000" spans="20:39" x14ac:dyDescent="0.2">
      <c r="T1000" t="str">
        <f>IF([2]Baskol!$B$1003="","",[2]Baskol!$B$1003)</f>
        <v/>
      </c>
      <c r="U1000" t="str">
        <f>IF([2]Baskol!$C$1003="","",[2]Baskol!$C$1003)</f>
        <v/>
      </c>
      <c r="V1000" t="str">
        <f>IF([2]Baskol!$D$1003="","",[2]Baskol!$D$1003)</f>
        <v/>
      </c>
      <c r="W1000" t="str">
        <f>IF([2]Baskol!$E$1003="","",[2]Baskol!$E$1003)</f>
        <v/>
      </c>
      <c r="X1000" t="str">
        <f>IF([2]Baskol!$G$1003="","",[2]Baskol!$G$1003)</f>
        <v/>
      </c>
      <c r="Y1000" t="str">
        <f>IF([2]Baskol!$I$1003="","",[2]Baskol!$I$1003)</f>
        <v/>
      </c>
      <c r="Z1000" t="str">
        <f>IF([2]Baskol!$J$1003="","",[2]Baskol!$J$1003)</f>
        <v/>
      </c>
      <c r="AA1000" t="str">
        <f>IF([2]Baskol!$K$1003="","",[2]Baskol!$K$1003)</f>
        <v/>
      </c>
      <c r="AB1000" t="str">
        <f>IF([2]Baskol!$L$1003="","",[2]Baskol!$L$1003)</f>
        <v/>
      </c>
      <c r="AC1000" t="str">
        <f>IF([2]Baskol!$N$1003="","",[2]Baskol!$N$1003)</f>
        <v/>
      </c>
      <c r="AD1000" t="str">
        <f>IF([2]Baskol!$O$1003="","",[2]Baskol!$O$1003)</f>
        <v/>
      </c>
      <c r="AE1000" t="str">
        <f>IF([3]Entry!$C$1003="","",[3]Entry!$C$1003)</f>
        <v/>
      </c>
      <c r="AF1000" t="str">
        <f>IF([3]Entry!$D$1003="","",[3]Entry!$D$1003)</f>
        <v/>
      </c>
      <c r="AG1000" t="str">
        <f>IF([3]Entry!$E$1003="","",[3]Entry!$E$1003)</f>
        <v/>
      </c>
      <c r="AH1000" t="str">
        <f>IF([3]Entry!$G$1003="","",[3]Entry!$G$1003)</f>
        <v/>
      </c>
      <c r="AI1000" t="str">
        <f>IF([3]Entry!$K$1003="","",[3]Entry!$K$1003)</f>
        <v/>
      </c>
      <c r="AJ1000" t="str">
        <f>IF([3]Entry!$L$1003="","",[3]Entry!$L$1003)</f>
        <v/>
      </c>
      <c r="AK1000" t="str">
        <f>IF([3]Entry!$M$1003="","",[3]Entry!$M$1003)</f>
        <v/>
      </c>
      <c r="AL1000" t="str">
        <f>IF([3]Entry!$N$1003="","",[3]Entry!$N$1003)</f>
        <v/>
      </c>
      <c r="AM1000" t="str">
        <f>IF([3]Entry!$R$1003="","",[3]Entry!$R$1003)</f>
        <v/>
      </c>
    </row>
    <row r="1001" spans="20:39" x14ac:dyDescent="0.2">
      <c r="T1001" t="str">
        <f>IF([2]Baskol!$B$1004="","",[2]Baskol!$B$1004)</f>
        <v/>
      </c>
      <c r="U1001" t="str">
        <f>IF([2]Baskol!$C$1004="","",[2]Baskol!$C$1004)</f>
        <v/>
      </c>
      <c r="V1001" t="str">
        <f>IF([2]Baskol!$D$1004="","",[2]Baskol!$D$1004)</f>
        <v/>
      </c>
      <c r="W1001" t="str">
        <f>IF([2]Baskol!$E$1004="","",[2]Baskol!$E$1004)</f>
        <v/>
      </c>
      <c r="X1001" t="str">
        <f>IF([2]Baskol!$G$1004="","",[2]Baskol!$G$1004)</f>
        <v/>
      </c>
      <c r="Y1001" t="str">
        <f>IF([2]Baskol!$I$1004="","",[2]Baskol!$I$1004)</f>
        <v/>
      </c>
      <c r="Z1001" t="str">
        <f>IF([2]Baskol!$J$1004="","",[2]Baskol!$J$1004)</f>
        <v/>
      </c>
      <c r="AA1001" t="str">
        <f>IF([2]Baskol!$K$1004="","",[2]Baskol!$K$1004)</f>
        <v/>
      </c>
      <c r="AB1001" t="str">
        <f>IF([2]Baskol!$L$1004="","",[2]Baskol!$L$1004)</f>
        <v/>
      </c>
      <c r="AC1001" t="str">
        <f>IF([2]Baskol!$N$1004="","",[2]Baskol!$N$1004)</f>
        <v/>
      </c>
      <c r="AD1001" t="str">
        <f>IF([2]Baskol!$O$1004="","",[2]Baskol!$O$1004)</f>
        <v/>
      </c>
      <c r="AE1001" t="str">
        <f>IF([3]Entry!$C$1004="","",[3]Entry!$C$1004)</f>
        <v/>
      </c>
      <c r="AF1001" t="str">
        <f>IF([3]Entry!$D$1004="","",[3]Entry!$D$1004)</f>
        <v/>
      </c>
      <c r="AG1001" t="str">
        <f>IF([3]Entry!$E$1004="","",[3]Entry!$E$1004)</f>
        <v/>
      </c>
      <c r="AH1001" t="str">
        <f>IF([3]Entry!$G$1004="","",[3]Entry!$G$1004)</f>
        <v/>
      </c>
      <c r="AI1001" t="str">
        <f>IF([3]Entry!$K$1004="","",[3]Entry!$K$1004)</f>
        <v/>
      </c>
      <c r="AJ1001" t="str">
        <f>IF([3]Entry!$L$1004="","",[3]Entry!$L$1004)</f>
        <v/>
      </c>
      <c r="AK1001" t="str">
        <f>IF([3]Entry!$M$1004="","",[3]Entry!$M$1004)</f>
        <v/>
      </c>
      <c r="AL1001" t="str">
        <f>IF([3]Entry!$N$1004="","",[3]Entry!$N$1004)</f>
        <v/>
      </c>
      <c r="AM1001" t="str">
        <f>IF([3]Entry!$R$1004="","",[3]Entry!$R$1004)</f>
        <v/>
      </c>
    </row>
    <row r="1002" spans="20:39" x14ac:dyDescent="0.2">
      <c r="T1002" t="str">
        <f>IF([2]Baskol!$B$1005="","",[2]Baskol!$B$1005)</f>
        <v/>
      </c>
      <c r="U1002" t="str">
        <f>IF([2]Baskol!$C$1005="","",[2]Baskol!$C$1005)</f>
        <v/>
      </c>
      <c r="V1002" t="str">
        <f>IF([2]Baskol!$D$1005="","",[2]Baskol!$D$1005)</f>
        <v/>
      </c>
      <c r="W1002" t="str">
        <f>IF([2]Baskol!$E$1005="","",[2]Baskol!$E$1005)</f>
        <v/>
      </c>
      <c r="X1002" t="str">
        <f>IF([2]Baskol!$G$1005="","",[2]Baskol!$G$1005)</f>
        <v/>
      </c>
      <c r="Y1002" t="str">
        <f>IF([2]Baskol!$I$1005="","",[2]Baskol!$I$1005)</f>
        <v/>
      </c>
      <c r="Z1002" t="str">
        <f>IF([2]Baskol!$J$1005="","",[2]Baskol!$J$1005)</f>
        <v/>
      </c>
      <c r="AA1002" t="str">
        <f>IF([2]Baskol!$K$1005="","",[2]Baskol!$K$1005)</f>
        <v/>
      </c>
      <c r="AB1002" t="str">
        <f>IF([2]Baskol!$L$1005="","",[2]Baskol!$L$1005)</f>
        <v/>
      </c>
      <c r="AC1002" t="str">
        <f>IF([2]Baskol!$N$1005="","",[2]Baskol!$N$1005)</f>
        <v/>
      </c>
      <c r="AD1002" t="str">
        <f>IF([2]Baskol!$O$1005="","",[2]Baskol!$O$1005)</f>
        <v/>
      </c>
      <c r="AE1002" t="str">
        <f>IF([3]Entry!$C$1005="","",[3]Entry!$C$1005)</f>
        <v/>
      </c>
      <c r="AF1002" t="str">
        <f>IF([3]Entry!$D$1005="","",[3]Entry!$D$1005)</f>
        <v/>
      </c>
      <c r="AG1002" t="str">
        <f>IF([3]Entry!$E$1005="","",[3]Entry!$E$1005)</f>
        <v/>
      </c>
      <c r="AH1002" t="str">
        <f>IF([3]Entry!$G$1005="","",[3]Entry!$G$1005)</f>
        <v/>
      </c>
      <c r="AI1002" t="str">
        <f>IF([3]Entry!$K$1005="","",[3]Entry!$K$1005)</f>
        <v/>
      </c>
      <c r="AJ1002" t="str">
        <f>IF([3]Entry!$L$1005="","",[3]Entry!$L$1005)</f>
        <v/>
      </c>
      <c r="AK1002" t="str">
        <f>IF([3]Entry!$M$1005="","",[3]Entry!$M$1005)</f>
        <v/>
      </c>
      <c r="AL1002" t="str">
        <f>IF([3]Entry!$N$1005="","",[3]Entry!$N$1005)</f>
        <v/>
      </c>
      <c r="AM1002" t="str">
        <f>IF([3]Entry!$R$1005="","",[3]Entry!$R$1005)</f>
        <v/>
      </c>
    </row>
    <row r="1003" spans="20:39" x14ac:dyDescent="0.2">
      <c r="T1003" t="str">
        <f>IF([2]Baskol!$B$1006="","",[2]Baskol!$B$1006)</f>
        <v/>
      </c>
      <c r="U1003" t="str">
        <f>IF([2]Baskol!$C$1006="","",[2]Baskol!$C$1006)</f>
        <v/>
      </c>
      <c r="V1003" t="str">
        <f>IF([2]Baskol!$D$1006="","",[2]Baskol!$D$1006)</f>
        <v/>
      </c>
      <c r="W1003" t="str">
        <f>IF([2]Baskol!$E$1006="","",[2]Baskol!$E$1006)</f>
        <v/>
      </c>
      <c r="X1003" t="str">
        <f>IF([2]Baskol!$G$1006="","",[2]Baskol!$G$1006)</f>
        <v/>
      </c>
      <c r="Y1003" t="str">
        <f>IF([2]Baskol!$I$1006="","",[2]Baskol!$I$1006)</f>
        <v/>
      </c>
      <c r="Z1003" t="str">
        <f>IF([2]Baskol!$J$1006="","",[2]Baskol!$J$1006)</f>
        <v/>
      </c>
      <c r="AA1003" t="str">
        <f>IF([2]Baskol!$K$1006="","",[2]Baskol!$K$1006)</f>
        <v/>
      </c>
      <c r="AB1003" t="str">
        <f>IF([2]Baskol!$L$1006="","",[2]Baskol!$L$1006)</f>
        <v/>
      </c>
      <c r="AC1003" t="str">
        <f>IF([2]Baskol!$N$1006="","",[2]Baskol!$N$1006)</f>
        <v/>
      </c>
      <c r="AD1003" t="str">
        <f>IF([2]Baskol!$O$1006="","",[2]Baskol!$O$1006)</f>
        <v/>
      </c>
      <c r="AE1003" t="str">
        <f>IF([3]Entry!$C$1006="","",[3]Entry!$C$1006)</f>
        <v/>
      </c>
      <c r="AF1003" t="str">
        <f>IF([3]Entry!$D$1006="","",[3]Entry!$D$1006)</f>
        <v/>
      </c>
      <c r="AG1003" t="str">
        <f>IF([3]Entry!$E$1006="","",[3]Entry!$E$1006)</f>
        <v/>
      </c>
      <c r="AH1003" t="str">
        <f>IF([3]Entry!$G$1006="","",[3]Entry!$G$1006)</f>
        <v/>
      </c>
      <c r="AI1003" t="str">
        <f>IF([3]Entry!$K$1006="","",[3]Entry!$K$1006)</f>
        <v/>
      </c>
      <c r="AJ1003" t="str">
        <f>IF([3]Entry!$L$1006="","",[3]Entry!$L$1006)</f>
        <v/>
      </c>
      <c r="AK1003" t="str">
        <f>IF([3]Entry!$M$1006="","",[3]Entry!$M$1006)</f>
        <v/>
      </c>
      <c r="AL1003" t="str">
        <f>IF([3]Entry!$N$1006="","",[3]Entry!$N$1006)</f>
        <v/>
      </c>
      <c r="AM1003" t="str">
        <f>IF([3]Entry!$R$1006="","",[3]Entry!$R$1006)</f>
        <v/>
      </c>
    </row>
    <row r="1004" spans="20:39" x14ac:dyDescent="0.2">
      <c r="T1004" t="str">
        <f>IF([2]Baskol!$B$1007="","",[2]Baskol!$B$1007)</f>
        <v/>
      </c>
      <c r="U1004" t="str">
        <f>IF([2]Baskol!$C$1007="","",[2]Baskol!$C$1007)</f>
        <v/>
      </c>
      <c r="V1004" t="str">
        <f>IF([2]Baskol!$D$1007="","",[2]Baskol!$D$1007)</f>
        <v/>
      </c>
      <c r="W1004" t="str">
        <f>IF([2]Baskol!$E$1007="","",[2]Baskol!$E$1007)</f>
        <v/>
      </c>
      <c r="X1004" t="str">
        <f>IF([2]Baskol!$G$1007="","",[2]Baskol!$G$1007)</f>
        <v/>
      </c>
      <c r="Y1004" t="str">
        <f>IF([2]Baskol!$I$1007="","",[2]Baskol!$I$1007)</f>
        <v/>
      </c>
      <c r="Z1004" t="str">
        <f>IF([2]Baskol!$J$1007="","",[2]Baskol!$J$1007)</f>
        <v/>
      </c>
      <c r="AA1004" t="str">
        <f>IF([2]Baskol!$K$1007="","",[2]Baskol!$K$1007)</f>
        <v/>
      </c>
      <c r="AB1004" t="str">
        <f>IF([2]Baskol!$L$1007="","",[2]Baskol!$L$1007)</f>
        <v/>
      </c>
      <c r="AC1004" t="str">
        <f>IF([2]Baskol!$N$1007="","",[2]Baskol!$N$1007)</f>
        <v/>
      </c>
      <c r="AD1004" t="str">
        <f>IF([2]Baskol!$O$1007="","",[2]Baskol!$O$1007)</f>
        <v/>
      </c>
      <c r="AE1004" t="str">
        <f>IF([3]Entry!$C$1007="","",[3]Entry!$C$1007)</f>
        <v/>
      </c>
      <c r="AF1004" t="str">
        <f>IF([3]Entry!$D$1007="","",[3]Entry!$D$1007)</f>
        <v/>
      </c>
      <c r="AG1004" t="str">
        <f>IF([3]Entry!$E$1007="","",[3]Entry!$E$1007)</f>
        <v/>
      </c>
      <c r="AH1004" t="str">
        <f>IF([3]Entry!$G$1007="","",[3]Entry!$G$1007)</f>
        <v/>
      </c>
      <c r="AI1004" t="str">
        <f>IF([3]Entry!$K$1007="","",[3]Entry!$K$1007)</f>
        <v/>
      </c>
      <c r="AJ1004" t="str">
        <f>IF([3]Entry!$L$1007="","",[3]Entry!$L$1007)</f>
        <v/>
      </c>
      <c r="AK1004" t="str">
        <f>IF([3]Entry!$M$1007="","",[3]Entry!$M$1007)</f>
        <v/>
      </c>
      <c r="AL1004" t="str">
        <f>IF([3]Entry!$N$1007="","",[3]Entry!$N$1007)</f>
        <v/>
      </c>
      <c r="AM1004" t="str">
        <f>IF([3]Entry!$R$1007="","",[3]Entry!$R$1007)</f>
        <v/>
      </c>
    </row>
    <row r="1005" spans="20:39" x14ac:dyDescent="0.2">
      <c r="T1005" t="str">
        <f>IF([2]Baskol!$B$1008="","",[2]Baskol!$B$1008)</f>
        <v/>
      </c>
      <c r="U1005" t="str">
        <f>IF([2]Baskol!$C$1008="","",[2]Baskol!$C$1008)</f>
        <v/>
      </c>
      <c r="V1005" t="str">
        <f>IF([2]Baskol!$D$1008="","",[2]Baskol!$D$1008)</f>
        <v/>
      </c>
      <c r="W1005" t="str">
        <f>IF([2]Baskol!$E$1008="","",[2]Baskol!$E$1008)</f>
        <v/>
      </c>
      <c r="X1005" t="str">
        <f>IF([2]Baskol!$G$1008="","",[2]Baskol!$G$1008)</f>
        <v/>
      </c>
      <c r="Y1005" t="str">
        <f>IF([2]Baskol!$I$1008="","",[2]Baskol!$I$1008)</f>
        <v/>
      </c>
      <c r="Z1005" t="str">
        <f>IF([2]Baskol!$J$1008="","",[2]Baskol!$J$1008)</f>
        <v/>
      </c>
      <c r="AA1005" t="str">
        <f>IF([2]Baskol!$K$1008="","",[2]Baskol!$K$1008)</f>
        <v/>
      </c>
      <c r="AB1005" t="str">
        <f>IF([2]Baskol!$L$1008="","",[2]Baskol!$L$1008)</f>
        <v/>
      </c>
      <c r="AC1005" t="str">
        <f>IF([2]Baskol!$N$1008="","",[2]Baskol!$N$1008)</f>
        <v/>
      </c>
      <c r="AD1005" t="str">
        <f>IF([2]Baskol!$O$1008="","",[2]Baskol!$O$1008)</f>
        <v/>
      </c>
      <c r="AE1005" t="str">
        <f>IF([3]Entry!$C$1008="","",[3]Entry!$C$1008)</f>
        <v/>
      </c>
      <c r="AF1005" t="str">
        <f>IF([3]Entry!$D$1008="","",[3]Entry!$D$1008)</f>
        <v/>
      </c>
      <c r="AG1005" t="str">
        <f>IF([3]Entry!$E$1008="","",[3]Entry!$E$1008)</f>
        <v/>
      </c>
      <c r="AH1005" t="str">
        <f>IF([3]Entry!$G$1008="","",[3]Entry!$G$1008)</f>
        <v/>
      </c>
      <c r="AI1005" t="str">
        <f>IF([3]Entry!$K$1008="","",[3]Entry!$K$1008)</f>
        <v/>
      </c>
      <c r="AJ1005" t="str">
        <f>IF([3]Entry!$L$1008="","",[3]Entry!$L$1008)</f>
        <v/>
      </c>
      <c r="AK1005" t="str">
        <f>IF([3]Entry!$M$1008="","",[3]Entry!$M$1008)</f>
        <v/>
      </c>
      <c r="AL1005" t="str">
        <f>IF([3]Entry!$N$1008="","",[3]Entry!$N$1008)</f>
        <v/>
      </c>
      <c r="AM1005" t="str">
        <f>IF([3]Entry!$R$1008="","",[3]Entry!$R$1008)</f>
        <v/>
      </c>
    </row>
    <row r="1006" spans="20:39" x14ac:dyDescent="0.2">
      <c r="T1006" t="str">
        <f>IF([2]Baskol!$B$1009="","",[2]Baskol!$B$1009)</f>
        <v/>
      </c>
      <c r="U1006" t="str">
        <f>IF([2]Baskol!$C$1009="","",[2]Baskol!$C$1009)</f>
        <v/>
      </c>
      <c r="V1006" t="str">
        <f>IF([2]Baskol!$D$1009="","",[2]Baskol!$D$1009)</f>
        <v/>
      </c>
      <c r="W1006" t="str">
        <f>IF([2]Baskol!$E$1009="","",[2]Baskol!$E$1009)</f>
        <v/>
      </c>
      <c r="X1006" t="str">
        <f>IF([2]Baskol!$G$1009="","",[2]Baskol!$G$1009)</f>
        <v/>
      </c>
      <c r="Y1006" t="str">
        <f>IF([2]Baskol!$I$1009="","",[2]Baskol!$I$1009)</f>
        <v/>
      </c>
      <c r="Z1006" t="str">
        <f>IF([2]Baskol!$J$1009="","",[2]Baskol!$J$1009)</f>
        <v/>
      </c>
      <c r="AA1006" t="str">
        <f>IF([2]Baskol!$K$1009="","",[2]Baskol!$K$1009)</f>
        <v/>
      </c>
      <c r="AB1006" t="str">
        <f>IF([2]Baskol!$L$1009="","",[2]Baskol!$L$1009)</f>
        <v/>
      </c>
      <c r="AC1006" t="str">
        <f>IF([2]Baskol!$N$1009="","",[2]Baskol!$N$1009)</f>
        <v/>
      </c>
      <c r="AD1006" t="str">
        <f>IF([2]Baskol!$O$1009="","",[2]Baskol!$O$1009)</f>
        <v/>
      </c>
      <c r="AE1006" t="str">
        <f>IF([3]Entry!$C$1009="","",[3]Entry!$C$1009)</f>
        <v/>
      </c>
      <c r="AF1006" t="str">
        <f>IF([3]Entry!$D$1009="","",[3]Entry!$D$1009)</f>
        <v/>
      </c>
      <c r="AG1006" t="str">
        <f>IF([3]Entry!$E$1009="","",[3]Entry!$E$1009)</f>
        <v/>
      </c>
      <c r="AH1006" t="str">
        <f>IF([3]Entry!$G$1009="","",[3]Entry!$G$1009)</f>
        <v/>
      </c>
      <c r="AI1006" t="str">
        <f>IF([3]Entry!$K$1009="","",[3]Entry!$K$1009)</f>
        <v/>
      </c>
      <c r="AJ1006" t="str">
        <f>IF([3]Entry!$L$1009="","",[3]Entry!$L$1009)</f>
        <v/>
      </c>
      <c r="AK1006" t="str">
        <f>IF([3]Entry!$M$1009="","",[3]Entry!$M$1009)</f>
        <v/>
      </c>
      <c r="AL1006" t="str">
        <f>IF([3]Entry!$N$1009="","",[3]Entry!$N$1009)</f>
        <v/>
      </c>
      <c r="AM1006" t="str">
        <f>IF([3]Entry!$R$1009="","",[3]Entry!$R$1009)</f>
        <v/>
      </c>
    </row>
    <row r="1007" spans="20:39" x14ac:dyDescent="0.2">
      <c r="T1007" t="str">
        <f>IF([2]Baskol!$B$1010="","",[2]Baskol!$B$1010)</f>
        <v/>
      </c>
      <c r="U1007" t="str">
        <f>IF([2]Baskol!$C$1010="","",[2]Baskol!$C$1010)</f>
        <v/>
      </c>
      <c r="V1007" t="str">
        <f>IF([2]Baskol!$D$1010="","",[2]Baskol!$D$1010)</f>
        <v/>
      </c>
      <c r="W1007" t="str">
        <f>IF([2]Baskol!$E$1010="","",[2]Baskol!$E$1010)</f>
        <v/>
      </c>
      <c r="X1007" t="str">
        <f>IF([2]Baskol!$G$1010="","",[2]Baskol!$G$1010)</f>
        <v/>
      </c>
      <c r="Y1007" t="str">
        <f>IF([2]Baskol!$I$1010="","",[2]Baskol!$I$1010)</f>
        <v/>
      </c>
      <c r="Z1007" t="str">
        <f>IF([2]Baskol!$J$1010="","",[2]Baskol!$J$1010)</f>
        <v/>
      </c>
      <c r="AA1007" t="str">
        <f>IF([2]Baskol!$K$1010="","",[2]Baskol!$K$1010)</f>
        <v/>
      </c>
      <c r="AB1007" t="str">
        <f>IF([2]Baskol!$L$1010="","",[2]Baskol!$L$1010)</f>
        <v/>
      </c>
      <c r="AC1007" t="str">
        <f>IF([2]Baskol!$N$1010="","",[2]Baskol!$N$1010)</f>
        <v/>
      </c>
      <c r="AD1007" t="str">
        <f>IF([2]Baskol!$O$1010="","",[2]Baskol!$O$1010)</f>
        <v/>
      </c>
      <c r="AE1007" t="str">
        <f>IF([3]Entry!$C$1010="","",[3]Entry!$C$1010)</f>
        <v/>
      </c>
      <c r="AF1007" t="str">
        <f>IF([3]Entry!$D$1010="","",[3]Entry!$D$1010)</f>
        <v/>
      </c>
      <c r="AG1007" t="str">
        <f>IF([3]Entry!$E$1010="","",[3]Entry!$E$1010)</f>
        <v/>
      </c>
      <c r="AH1007" t="str">
        <f>IF([3]Entry!$G$1010="","",[3]Entry!$G$1010)</f>
        <v/>
      </c>
      <c r="AI1007" t="str">
        <f>IF([3]Entry!$K$1010="","",[3]Entry!$K$1010)</f>
        <v/>
      </c>
      <c r="AJ1007" t="str">
        <f>IF([3]Entry!$L$1010="","",[3]Entry!$L$1010)</f>
        <v/>
      </c>
      <c r="AK1007" t="str">
        <f>IF([3]Entry!$M$1010="","",[3]Entry!$M$1010)</f>
        <v/>
      </c>
      <c r="AL1007" t="str">
        <f>IF([3]Entry!$N$1010="","",[3]Entry!$N$1010)</f>
        <v/>
      </c>
      <c r="AM1007" t="str">
        <f>IF([3]Entry!$R$1010="","",[3]Entry!$R$1010)</f>
        <v/>
      </c>
    </row>
    <row r="1008" spans="20:39" x14ac:dyDescent="0.2">
      <c r="T1008" t="str">
        <f>IF([2]Baskol!$B$1011="","",[2]Baskol!$B$1011)</f>
        <v/>
      </c>
      <c r="U1008" t="str">
        <f>IF([2]Baskol!$C$1011="","",[2]Baskol!$C$1011)</f>
        <v/>
      </c>
      <c r="V1008" t="str">
        <f>IF([2]Baskol!$D$1011="","",[2]Baskol!$D$1011)</f>
        <v/>
      </c>
      <c r="W1008" t="str">
        <f>IF([2]Baskol!$E$1011="","",[2]Baskol!$E$1011)</f>
        <v/>
      </c>
      <c r="X1008" t="str">
        <f>IF([2]Baskol!$G$1011="","",[2]Baskol!$G$1011)</f>
        <v/>
      </c>
      <c r="Y1008" t="str">
        <f>IF([2]Baskol!$I$1011="","",[2]Baskol!$I$1011)</f>
        <v/>
      </c>
      <c r="Z1008" t="str">
        <f>IF([2]Baskol!$J$1011="","",[2]Baskol!$J$1011)</f>
        <v/>
      </c>
      <c r="AA1008" t="str">
        <f>IF([2]Baskol!$K$1011="","",[2]Baskol!$K$1011)</f>
        <v/>
      </c>
      <c r="AB1008" t="str">
        <f>IF([2]Baskol!$L$1011="","",[2]Baskol!$L$1011)</f>
        <v/>
      </c>
      <c r="AC1008" t="str">
        <f>IF([2]Baskol!$N$1011="","",[2]Baskol!$N$1011)</f>
        <v/>
      </c>
      <c r="AD1008" t="str">
        <f>IF([2]Baskol!$O$1011="","",[2]Baskol!$O$1011)</f>
        <v/>
      </c>
      <c r="AE1008" t="str">
        <f>IF([3]Entry!$C$1011="","",[3]Entry!$C$1011)</f>
        <v/>
      </c>
      <c r="AF1008" t="str">
        <f>IF([3]Entry!$D$1011="","",[3]Entry!$D$1011)</f>
        <v/>
      </c>
      <c r="AG1008" t="str">
        <f>IF([3]Entry!$E$1011="","",[3]Entry!$E$1011)</f>
        <v/>
      </c>
      <c r="AH1008" t="str">
        <f>IF([3]Entry!$G$1011="","",[3]Entry!$G$1011)</f>
        <v/>
      </c>
      <c r="AI1008" t="str">
        <f>IF([3]Entry!$K$1011="","",[3]Entry!$K$1011)</f>
        <v/>
      </c>
      <c r="AJ1008" t="str">
        <f>IF([3]Entry!$L$1011="","",[3]Entry!$L$1011)</f>
        <v/>
      </c>
      <c r="AK1008" t="str">
        <f>IF([3]Entry!$M$1011="","",[3]Entry!$M$1011)</f>
        <v/>
      </c>
      <c r="AL1008" t="str">
        <f>IF([3]Entry!$N$1011="","",[3]Entry!$N$1011)</f>
        <v/>
      </c>
      <c r="AM1008" t="str">
        <f>IF([3]Entry!$R$1011="","",[3]Entry!$R$1011)</f>
        <v/>
      </c>
    </row>
    <row r="1009" spans="20:39" x14ac:dyDescent="0.2">
      <c r="T1009" t="str">
        <f>IF([2]Baskol!$B$1012="","",[2]Baskol!$B$1012)</f>
        <v/>
      </c>
      <c r="U1009" t="str">
        <f>IF([2]Baskol!$C$1012="","",[2]Baskol!$C$1012)</f>
        <v/>
      </c>
      <c r="V1009" t="str">
        <f>IF([2]Baskol!$D$1012="","",[2]Baskol!$D$1012)</f>
        <v/>
      </c>
      <c r="W1009" t="str">
        <f>IF([2]Baskol!$E$1012="","",[2]Baskol!$E$1012)</f>
        <v/>
      </c>
      <c r="X1009" t="str">
        <f>IF([2]Baskol!$G$1012="","",[2]Baskol!$G$1012)</f>
        <v/>
      </c>
      <c r="Y1009" t="str">
        <f>IF([2]Baskol!$I$1012="","",[2]Baskol!$I$1012)</f>
        <v/>
      </c>
      <c r="Z1009" t="str">
        <f>IF([2]Baskol!$J$1012="","",[2]Baskol!$J$1012)</f>
        <v/>
      </c>
      <c r="AA1009" t="str">
        <f>IF([2]Baskol!$K$1012="","",[2]Baskol!$K$1012)</f>
        <v/>
      </c>
      <c r="AB1009" t="str">
        <f>IF([2]Baskol!$L$1012="","",[2]Baskol!$L$1012)</f>
        <v/>
      </c>
      <c r="AC1009" t="str">
        <f>IF([2]Baskol!$N$1012="","",[2]Baskol!$N$1012)</f>
        <v/>
      </c>
      <c r="AD1009" t="str">
        <f>IF([2]Baskol!$O$1012="","",[2]Baskol!$O$1012)</f>
        <v/>
      </c>
      <c r="AE1009" t="str">
        <f>IF([3]Entry!$C$1012="","",[3]Entry!$C$1012)</f>
        <v/>
      </c>
      <c r="AF1009" t="str">
        <f>IF([3]Entry!$D$1012="","",[3]Entry!$D$1012)</f>
        <v/>
      </c>
      <c r="AG1009" t="str">
        <f>IF([3]Entry!$E$1012="","",[3]Entry!$E$1012)</f>
        <v/>
      </c>
      <c r="AH1009" t="str">
        <f>IF([3]Entry!$G$1012="","",[3]Entry!$G$1012)</f>
        <v/>
      </c>
      <c r="AI1009" t="str">
        <f>IF([3]Entry!$K$1012="","",[3]Entry!$K$1012)</f>
        <v/>
      </c>
      <c r="AJ1009" t="str">
        <f>IF([3]Entry!$L$1012="","",[3]Entry!$L$1012)</f>
        <v/>
      </c>
      <c r="AK1009" t="str">
        <f>IF([3]Entry!$M$1012="","",[3]Entry!$M$1012)</f>
        <v/>
      </c>
      <c r="AL1009" t="str">
        <f>IF([3]Entry!$N$1012="","",[3]Entry!$N$1012)</f>
        <v/>
      </c>
      <c r="AM1009" t="str">
        <f>IF([3]Entry!$R$1012="","",[3]Entry!$R$1012)</f>
        <v/>
      </c>
    </row>
    <row r="1010" spans="20:39" x14ac:dyDescent="0.2">
      <c r="T1010" t="str">
        <f>IF([2]Baskol!$B$1013="","",[2]Baskol!$B$1013)</f>
        <v/>
      </c>
      <c r="U1010" t="str">
        <f>IF([2]Baskol!$C$1013="","",[2]Baskol!$C$1013)</f>
        <v/>
      </c>
      <c r="V1010" t="str">
        <f>IF([2]Baskol!$D$1013="","",[2]Baskol!$D$1013)</f>
        <v/>
      </c>
      <c r="W1010" t="str">
        <f>IF([2]Baskol!$E$1013="","",[2]Baskol!$E$1013)</f>
        <v/>
      </c>
      <c r="X1010" t="str">
        <f>IF([2]Baskol!$G$1013="","",[2]Baskol!$G$1013)</f>
        <v/>
      </c>
      <c r="Y1010" t="str">
        <f>IF([2]Baskol!$I$1013="","",[2]Baskol!$I$1013)</f>
        <v/>
      </c>
      <c r="Z1010" t="str">
        <f>IF([2]Baskol!$J$1013="","",[2]Baskol!$J$1013)</f>
        <v/>
      </c>
      <c r="AA1010" t="str">
        <f>IF([2]Baskol!$K$1013="","",[2]Baskol!$K$1013)</f>
        <v/>
      </c>
      <c r="AB1010" t="str">
        <f>IF([2]Baskol!$L$1013="","",[2]Baskol!$L$1013)</f>
        <v/>
      </c>
      <c r="AC1010" t="str">
        <f>IF([2]Baskol!$N$1013="","",[2]Baskol!$N$1013)</f>
        <v/>
      </c>
      <c r="AD1010" t="str">
        <f>IF([2]Baskol!$O$1013="","",[2]Baskol!$O$1013)</f>
        <v/>
      </c>
      <c r="AE1010" t="str">
        <f>IF([3]Entry!$C$1013="","",[3]Entry!$C$1013)</f>
        <v/>
      </c>
      <c r="AF1010" t="str">
        <f>IF([3]Entry!$D$1013="","",[3]Entry!$D$1013)</f>
        <v/>
      </c>
      <c r="AG1010" t="str">
        <f>IF([3]Entry!$E$1013="","",[3]Entry!$E$1013)</f>
        <v/>
      </c>
      <c r="AH1010" t="str">
        <f>IF([3]Entry!$G$1013="","",[3]Entry!$G$1013)</f>
        <v/>
      </c>
      <c r="AI1010" t="str">
        <f>IF([3]Entry!$K$1013="","",[3]Entry!$K$1013)</f>
        <v/>
      </c>
      <c r="AJ1010" t="str">
        <f>IF([3]Entry!$L$1013="","",[3]Entry!$L$1013)</f>
        <v/>
      </c>
      <c r="AK1010" t="str">
        <f>IF([3]Entry!$M$1013="","",[3]Entry!$M$1013)</f>
        <v/>
      </c>
      <c r="AL1010" t="str">
        <f>IF([3]Entry!$N$1013="","",[3]Entry!$N$1013)</f>
        <v/>
      </c>
      <c r="AM1010" t="str">
        <f>IF([3]Entry!$R$1013="","",[3]Entry!$R$1013)</f>
        <v/>
      </c>
    </row>
    <row r="1011" spans="20:39" x14ac:dyDescent="0.2">
      <c r="T1011" t="str">
        <f>IF([2]Baskol!$B$1014="","",[2]Baskol!$B$1014)</f>
        <v/>
      </c>
      <c r="U1011" t="str">
        <f>IF([2]Baskol!$C$1014="","",[2]Baskol!$C$1014)</f>
        <v/>
      </c>
      <c r="V1011" t="str">
        <f>IF([2]Baskol!$D$1014="","",[2]Baskol!$D$1014)</f>
        <v/>
      </c>
      <c r="W1011" t="str">
        <f>IF([2]Baskol!$E$1014="","",[2]Baskol!$E$1014)</f>
        <v/>
      </c>
      <c r="X1011" t="str">
        <f>IF([2]Baskol!$G$1014="","",[2]Baskol!$G$1014)</f>
        <v/>
      </c>
      <c r="Y1011" t="str">
        <f>IF([2]Baskol!$I$1014="","",[2]Baskol!$I$1014)</f>
        <v/>
      </c>
      <c r="Z1011" t="str">
        <f>IF([2]Baskol!$J$1014="","",[2]Baskol!$J$1014)</f>
        <v/>
      </c>
      <c r="AA1011" t="str">
        <f>IF([2]Baskol!$K$1014="","",[2]Baskol!$K$1014)</f>
        <v/>
      </c>
      <c r="AB1011" t="str">
        <f>IF([2]Baskol!$L$1014="","",[2]Baskol!$L$1014)</f>
        <v/>
      </c>
      <c r="AC1011" t="str">
        <f>IF([2]Baskol!$N$1014="","",[2]Baskol!$N$1014)</f>
        <v/>
      </c>
      <c r="AD1011" t="str">
        <f>IF([2]Baskol!$O$1014="","",[2]Baskol!$O$1014)</f>
        <v/>
      </c>
      <c r="AE1011" t="str">
        <f>IF([3]Entry!$C$1014="","",[3]Entry!$C$1014)</f>
        <v/>
      </c>
      <c r="AF1011" t="str">
        <f>IF([3]Entry!$D$1014="","",[3]Entry!$D$1014)</f>
        <v/>
      </c>
      <c r="AG1011" t="str">
        <f>IF([3]Entry!$E$1014="","",[3]Entry!$E$1014)</f>
        <v/>
      </c>
      <c r="AH1011" t="str">
        <f>IF([3]Entry!$G$1014="","",[3]Entry!$G$1014)</f>
        <v/>
      </c>
      <c r="AI1011" t="str">
        <f>IF([3]Entry!$K$1014="","",[3]Entry!$K$1014)</f>
        <v/>
      </c>
      <c r="AJ1011" t="str">
        <f>IF([3]Entry!$L$1014="","",[3]Entry!$L$1014)</f>
        <v/>
      </c>
      <c r="AK1011" t="str">
        <f>IF([3]Entry!$M$1014="","",[3]Entry!$M$1014)</f>
        <v/>
      </c>
      <c r="AL1011" t="str">
        <f>IF([3]Entry!$N$1014="","",[3]Entry!$N$1014)</f>
        <v/>
      </c>
      <c r="AM1011" t="str">
        <f>IF([3]Entry!$R$1014="","",[3]Entry!$R$1014)</f>
        <v/>
      </c>
    </row>
    <row r="1012" spans="20:39" x14ac:dyDescent="0.2">
      <c r="T1012" t="str">
        <f>IF([2]Baskol!$B$1015="","",[2]Baskol!$B$1015)</f>
        <v/>
      </c>
      <c r="U1012" t="str">
        <f>IF([2]Baskol!$C$1015="","",[2]Baskol!$C$1015)</f>
        <v/>
      </c>
      <c r="V1012" t="str">
        <f>IF([2]Baskol!$D$1015="","",[2]Baskol!$D$1015)</f>
        <v/>
      </c>
      <c r="W1012" t="str">
        <f>IF([2]Baskol!$E$1015="","",[2]Baskol!$E$1015)</f>
        <v/>
      </c>
      <c r="X1012" t="str">
        <f>IF([2]Baskol!$G$1015="","",[2]Baskol!$G$1015)</f>
        <v/>
      </c>
      <c r="Y1012" t="str">
        <f>IF([2]Baskol!$I$1015="","",[2]Baskol!$I$1015)</f>
        <v/>
      </c>
      <c r="Z1012" t="str">
        <f>IF([2]Baskol!$J$1015="","",[2]Baskol!$J$1015)</f>
        <v/>
      </c>
      <c r="AA1012" t="str">
        <f>IF([2]Baskol!$K$1015="","",[2]Baskol!$K$1015)</f>
        <v/>
      </c>
      <c r="AB1012" t="str">
        <f>IF([2]Baskol!$L$1015="","",[2]Baskol!$L$1015)</f>
        <v/>
      </c>
      <c r="AC1012" t="str">
        <f>IF([2]Baskol!$N$1015="","",[2]Baskol!$N$1015)</f>
        <v/>
      </c>
      <c r="AD1012" t="str">
        <f>IF([2]Baskol!$O$1015="","",[2]Baskol!$O$1015)</f>
        <v/>
      </c>
      <c r="AE1012" t="str">
        <f>IF([3]Entry!$C$1015="","",[3]Entry!$C$1015)</f>
        <v/>
      </c>
      <c r="AF1012" t="str">
        <f>IF([3]Entry!$D$1015="","",[3]Entry!$D$1015)</f>
        <v/>
      </c>
      <c r="AG1012" t="str">
        <f>IF([3]Entry!$E$1015="","",[3]Entry!$E$1015)</f>
        <v/>
      </c>
      <c r="AH1012" t="str">
        <f>IF([3]Entry!$G$1015="","",[3]Entry!$G$1015)</f>
        <v/>
      </c>
      <c r="AI1012" t="str">
        <f>IF([3]Entry!$K$1015="","",[3]Entry!$K$1015)</f>
        <v/>
      </c>
      <c r="AJ1012" t="str">
        <f>IF([3]Entry!$L$1015="","",[3]Entry!$L$1015)</f>
        <v/>
      </c>
      <c r="AK1012" t="str">
        <f>IF([3]Entry!$M$1015="","",[3]Entry!$M$1015)</f>
        <v/>
      </c>
      <c r="AL1012" t="str">
        <f>IF([3]Entry!$N$1015="","",[3]Entry!$N$1015)</f>
        <v/>
      </c>
      <c r="AM1012" t="str">
        <f>IF([3]Entry!$R$1015="","",[3]Entry!$R$1015)</f>
        <v/>
      </c>
    </row>
    <row r="1013" spans="20:39" x14ac:dyDescent="0.2">
      <c r="T1013" t="str">
        <f>IF([2]Baskol!$B$1016="","",[2]Baskol!$B$1016)</f>
        <v/>
      </c>
      <c r="U1013" t="str">
        <f>IF([2]Baskol!$C$1016="","",[2]Baskol!$C$1016)</f>
        <v/>
      </c>
      <c r="V1013" t="str">
        <f>IF([2]Baskol!$D$1016="","",[2]Baskol!$D$1016)</f>
        <v/>
      </c>
      <c r="W1013" t="str">
        <f>IF([2]Baskol!$E$1016="","",[2]Baskol!$E$1016)</f>
        <v/>
      </c>
      <c r="X1013" t="str">
        <f>IF([2]Baskol!$G$1016="","",[2]Baskol!$G$1016)</f>
        <v/>
      </c>
      <c r="Y1013" t="str">
        <f>IF([2]Baskol!$I$1016="","",[2]Baskol!$I$1016)</f>
        <v/>
      </c>
      <c r="Z1013" t="str">
        <f>IF([2]Baskol!$J$1016="","",[2]Baskol!$J$1016)</f>
        <v/>
      </c>
      <c r="AA1013" t="str">
        <f>IF([2]Baskol!$K$1016="","",[2]Baskol!$K$1016)</f>
        <v/>
      </c>
      <c r="AB1013" t="str">
        <f>IF([2]Baskol!$L$1016="","",[2]Baskol!$L$1016)</f>
        <v/>
      </c>
      <c r="AC1013" t="str">
        <f>IF([2]Baskol!$N$1016="","",[2]Baskol!$N$1016)</f>
        <v/>
      </c>
      <c r="AD1013" t="str">
        <f>IF([2]Baskol!$O$1016="","",[2]Baskol!$O$1016)</f>
        <v/>
      </c>
      <c r="AE1013" t="str">
        <f>IF([3]Entry!$C$1016="","",[3]Entry!$C$1016)</f>
        <v/>
      </c>
      <c r="AF1013" t="str">
        <f>IF([3]Entry!$D$1016="","",[3]Entry!$D$1016)</f>
        <v/>
      </c>
      <c r="AG1013" t="str">
        <f>IF([3]Entry!$E$1016="","",[3]Entry!$E$1016)</f>
        <v/>
      </c>
      <c r="AH1013" t="str">
        <f>IF([3]Entry!$G$1016="","",[3]Entry!$G$1016)</f>
        <v/>
      </c>
      <c r="AI1013" t="str">
        <f>IF([3]Entry!$K$1016="","",[3]Entry!$K$1016)</f>
        <v/>
      </c>
      <c r="AJ1013" t="str">
        <f>IF([3]Entry!$L$1016="","",[3]Entry!$L$1016)</f>
        <v/>
      </c>
      <c r="AK1013" t="str">
        <f>IF([3]Entry!$M$1016="","",[3]Entry!$M$1016)</f>
        <v/>
      </c>
      <c r="AL1013" t="str">
        <f>IF([3]Entry!$N$1016="","",[3]Entry!$N$1016)</f>
        <v/>
      </c>
      <c r="AM1013" t="str">
        <f>IF([3]Entry!$R$1016="","",[3]Entry!$R$1016)</f>
        <v/>
      </c>
    </row>
    <row r="1014" spans="20:39" x14ac:dyDescent="0.2">
      <c r="T1014" t="str">
        <f>IF([2]Baskol!$B$1017="","",[2]Baskol!$B$1017)</f>
        <v/>
      </c>
      <c r="U1014" t="str">
        <f>IF([2]Baskol!$C$1017="","",[2]Baskol!$C$1017)</f>
        <v/>
      </c>
      <c r="V1014" t="str">
        <f>IF([2]Baskol!$D$1017="","",[2]Baskol!$D$1017)</f>
        <v/>
      </c>
      <c r="W1014" t="str">
        <f>IF([2]Baskol!$E$1017="","",[2]Baskol!$E$1017)</f>
        <v/>
      </c>
      <c r="X1014" t="str">
        <f>IF([2]Baskol!$G$1017="","",[2]Baskol!$G$1017)</f>
        <v/>
      </c>
      <c r="Y1014" t="str">
        <f>IF([2]Baskol!$I$1017="","",[2]Baskol!$I$1017)</f>
        <v/>
      </c>
      <c r="Z1014" t="str">
        <f>IF([2]Baskol!$J$1017="","",[2]Baskol!$J$1017)</f>
        <v/>
      </c>
      <c r="AA1014" t="str">
        <f>IF([2]Baskol!$K$1017="","",[2]Baskol!$K$1017)</f>
        <v/>
      </c>
      <c r="AB1014" t="str">
        <f>IF([2]Baskol!$L$1017="","",[2]Baskol!$L$1017)</f>
        <v/>
      </c>
      <c r="AC1014" t="str">
        <f>IF([2]Baskol!$N$1017="","",[2]Baskol!$N$1017)</f>
        <v/>
      </c>
      <c r="AD1014" t="str">
        <f>IF([2]Baskol!$O$1017="","",[2]Baskol!$O$1017)</f>
        <v/>
      </c>
      <c r="AE1014" t="str">
        <f>IF([3]Entry!$C$1017="","",[3]Entry!$C$1017)</f>
        <v/>
      </c>
      <c r="AF1014" t="str">
        <f>IF([3]Entry!$D$1017="","",[3]Entry!$D$1017)</f>
        <v/>
      </c>
      <c r="AG1014" t="str">
        <f>IF([3]Entry!$E$1017="","",[3]Entry!$E$1017)</f>
        <v/>
      </c>
      <c r="AH1014" t="str">
        <f>IF([3]Entry!$G$1017="","",[3]Entry!$G$1017)</f>
        <v/>
      </c>
      <c r="AI1014" t="str">
        <f>IF([3]Entry!$K$1017="","",[3]Entry!$K$1017)</f>
        <v/>
      </c>
      <c r="AJ1014" t="str">
        <f>IF([3]Entry!$L$1017="","",[3]Entry!$L$1017)</f>
        <v/>
      </c>
      <c r="AK1014" t="str">
        <f>IF([3]Entry!$M$1017="","",[3]Entry!$M$1017)</f>
        <v/>
      </c>
      <c r="AL1014" t="str">
        <f>IF([3]Entry!$N$1017="","",[3]Entry!$N$1017)</f>
        <v/>
      </c>
      <c r="AM1014" t="str">
        <f>IF([3]Entry!$R$1017="","",[3]Entry!$R$1017)</f>
        <v/>
      </c>
    </row>
    <row r="1015" spans="20:39" x14ac:dyDescent="0.2">
      <c r="T1015" t="str">
        <f>IF([2]Baskol!$B$1018="","",[2]Baskol!$B$1018)</f>
        <v/>
      </c>
      <c r="U1015" t="str">
        <f>IF([2]Baskol!$C$1018="","",[2]Baskol!$C$1018)</f>
        <v/>
      </c>
      <c r="V1015" t="str">
        <f>IF([2]Baskol!$D$1018="","",[2]Baskol!$D$1018)</f>
        <v/>
      </c>
      <c r="W1015" t="str">
        <f>IF([2]Baskol!$E$1018="","",[2]Baskol!$E$1018)</f>
        <v/>
      </c>
      <c r="X1015" t="str">
        <f>IF([2]Baskol!$G$1018="","",[2]Baskol!$G$1018)</f>
        <v/>
      </c>
      <c r="Y1015" t="str">
        <f>IF([2]Baskol!$I$1018="","",[2]Baskol!$I$1018)</f>
        <v/>
      </c>
      <c r="Z1015" t="str">
        <f>IF([2]Baskol!$J$1018="","",[2]Baskol!$J$1018)</f>
        <v/>
      </c>
      <c r="AA1015" t="str">
        <f>IF([2]Baskol!$K$1018="","",[2]Baskol!$K$1018)</f>
        <v/>
      </c>
      <c r="AB1015" t="str">
        <f>IF([2]Baskol!$L$1018="","",[2]Baskol!$L$1018)</f>
        <v/>
      </c>
      <c r="AC1015" t="str">
        <f>IF([2]Baskol!$N$1018="","",[2]Baskol!$N$1018)</f>
        <v/>
      </c>
      <c r="AD1015" t="str">
        <f>IF([2]Baskol!$O$1018="","",[2]Baskol!$O$1018)</f>
        <v/>
      </c>
      <c r="AE1015" t="str">
        <f>IF([3]Entry!$C$1018="","",[3]Entry!$C$1018)</f>
        <v/>
      </c>
      <c r="AF1015" t="str">
        <f>IF([3]Entry!$D$1018="","",[3]Entry!$D$1018)</f>
        <v/>
      </c>
      <c r="AG1015" t="str">
        <f>IF([3]Entry!$E$1018="","",[3]Entry!$E$1018)</f>
        <v/>
      </c>
      <c r="AH1015" t="str">
        <f>IF([3]Entry!$G$1018="","",[3]Entry!$G$1018)</f>
        <v/>
      </c>
      <c r="AI1015" t="str">
        <f>IF([3]Entry!$K$1018="","",[3]Entry!$K$1018)</f>
        <v/>
      </c>
      <c r="AJ1015" t="str">
        <f>IF([3]Entry!$L$1018="","",[3]Entry!$L$1018)</f>
        <v/>
      </c>
      <c r="AK1015" t="str">
        <f>IF([3]Entry!$M$1018="","",[3]Entry!$M$1018)</f>
        <v/>
      </c>
      <c r="AL1015" t="str">
        <f>IF([3]Entry!$N$1018="","",[3]Entry!$N$1018)</f>
        <v/>
      </c>
      <c r="AM1015" t="str">
        <f>IF([3]Entry!$R$1018="","",[3]Entry!$R$1018)</f>
        <v/>
      </c>
    </row>
    <row r="1016" spans="20:39" x14ac:dyDescent="0.2">
      <c r="T1016" t="str">
        <f>IF([2]Baskol!$B$1019="","",[2]Baskol!$B$1019)</f>
        <v/>
      </c>
      <c r="U1016" t="str">
        <f>IF([2]Baskol!$C$1019="","",[2]Baskol!$C$1019)</f>
        <v/>
      </c>
      <c r="V1016" t="str">
        <f>IF([2]Baskol!$D$1019="","",[2]Baskol!$D$1019)</f>
        <v/>
      </c>
      <c r="W1016" t="str">
        <f>IF([2]Baskol!$E$1019="","",[2]Baskol!$E$1019)</f>
        <v/>
      </c>
      <c r="X1016" t="str">
        <f>IF([2]Baskol!$G$1019="","",[2]Baskol!$G$1019)</f>
        <v/>
      </c>
      <c r="Y1016" t="str">
        <f>IF([2]Baskol!$I$1019="","",[2]Baskol!$I$1019)</f>
        <v/>
      </c>
      <c r="Z1016" t="str">
        <f>IF([2]Baskol!$J$1019="","",[2]Baskol!$J$1019)</f>
        <v/>
      </c>
      <c r="AA1016" t="str">
        <f>IF([2]Baskol!$K$1019="","",[2]Baskol!$K$1019)</f>
        <v/>
      </c>
      <c r="AB1016" t="str">
        <f>IF([2]Baskol!$L$1019="","",[2]Baskol!$L$1019)</f>
        <v/>
      </c>
      <c r="AC1016" t="str">
        <f>IF([2]Baskol!$N$1019="","",[2]Baskol!$N$1019)</f>
        <v/>
      </c>
      <c r="AD1016" t="str">
        <f>IF([2]Baskol!$O$1019="","",[2]Baskol!$O$1019)</f>
        <v/>
      </c>
      <c r="AE1016" t="str">
        <f>IF([3]Entry!$C$1019="","",[3]Entry!$C$1019)</f>
        <v/>
      </c>
      <c r="AF1016" t="str">
        <f>IF([3]Entry!$D$1019="","",[3]Entry!$D$1019)</f>
        <v/>
      </c>
      <c r="AG1016" t="str">
        <f>IF([3]Entry!$E$1019="","",[3]Entry!$E$1019)</f>
        <v/>
      </c>
      <c r="AH1016" t="str">
        <f>IF([3]Entry!$G$1019="","",[3]Entry!$G$1019)</f>
        <v/>
      </c>
      <c r="AI1016" t="str">
        <f>IF([3]Entry!$K$1019="","",[3]Entry!$K$1019)</f>
        <v/>
      </c>
      <c r="AJ1016" t="str">
        <f>IF([3]Entry!$L$1019="","",[3]Entry!$L$1019)</f>
        <v/>
      </c>
      <c r="AK1016" t="str">
        <f>IF([3]Entry!$M$1019="","",[3]Entry!$M$1019)</f>
        <v/>
      </c>
      <c r="AL1016" t="str">
        <f>IF([3]Entry!$N$1019="","",[3]Entry!$N$1019)</f>
        <v/>
      </c>
      <c r="AM1016" t="str">
        <f>IF([3]Entry!$R$1019="","",[3]Entry!$R$1019)</f>
        <v/>
      </c>
    </row>
    <row r="1017" spans="20:39" x14ac:dyDescent="0.2">
      <c r="T1017" t="str">
        <f>IF([2]Baskol!$B$1020="","",[2]Baskol!$B$1020)</f>
        <v/>
      </c>
      <c r="U1017" t="str">
        <f>IF([2]Baskol!$C$1020="","",[2]Baskol!$C$1020)</f>
        <v/>
      </c>
      <c r="V1017" t="str">
        <f>IF([2]Baskol!$D$1020="","",[2]Baskol!$D$1020)</f>
        <v/>
      </c>
      <c r="W1017" t="str">
        <f>IF([2]Baskol!$E$1020="","",[2]Baskol!$E$1020)</f>
        <v/>
      </c>
      <c r="X1017" t="str">
        <f>IF([2]Baskol!$G$1020="","",[2]Baskol!$G$1020)</f>
        <v/>
      </c>
      <c r="Y1017" t="str">
        <f>IF([2]Baskol!$I$1020="","",[2]Baskol!$I$1020)</f>
        <v/>
      </c>
      <c r="Z1017" t="str">
        <f>IF([2]Baskol!$J$1020="","",[2]Baskol!$J$1020)</f>
        <v/>
      </c>
      <c r="AA1017" t="str">
        <f>IF([2]Baskol!$K$1020="","",[2]Baskol!$K$1020)</f>
        <v/>
      </c>
      <c r="AB1017" t="str">
        <f>IF([2]Baskol!$L$1020="","",[2]Baskol!$L$1020)</f>
        <v/>
      </c>
      <c r="AC1017" t="str">
        <f>IF([2]Baskol!$N$1020="","",[2]Baskol!$N$1020)</f>
        <v/>
      </c>
      <c r="AD1017" t="str">
        <f>IF([2]Baskol!$O$1020="","",[2]Baskol!$O$1020)</f>
        <v/>
      </c>
      <c r="AE1017" t="str">
        <f>IF([3]Entry!$C$1020="","",[3]Entry!$C$1020)</f>
        <v/>
      </c>
      <c r="AF1017" t="str">
        <f>IF([3]Entry!$D$1020="","",[3]Entry!$D$1020)</f>
        <v/>
      </c>
      <c r="AG1017" t="str">
        <f>IF([3]Entry!$E$1020="","",[3]Entry!$E$1020)</f>
        <v/>
      </c>
      <c r="AH1017" t="str">
        <f>IF([3]Entry!$G$1020="","",[3]Entry!$G$1020)</f>
        <v/>
      </c>
      <c r="AI1017" t="str">
        <f>IF([3]Entry!$K$1020="","",[3]Entry!$K$1020)</f>
        <v/>
      </c>
      <c r="AJ1017" t="str">
        <f>IF([3]Entry!$L$1020="","",[3]Entry!$L$1020)</f>
        <v/>
      </c>
      <c r="AK1017" t="str">
        <f>IF([3]Entry!$M$1020="","",[3]Entry!$M$1020)</f>
        <v/>
      </c>
      <c r="AL1017" t="str">
        <f>IF([3]Entry!$N$1020="","",[3]Entry!$N$1020)</f>
        <v/>
      </c>
      <c r="AM1017" t="str">
        <f>IF([3]Entry!$R$1020="","",[3]Entry!$R$1020)</f>
        <v/>
      </c>
    </row>
    <row r="1018" spans="20:39" x14ac:dyDescent="0.2">
      <c r="T1018" t="str">
        <f>IF([2]Baskol!$B$1021="","",[2]Baskol!$B$1021)</f>
        <v/>
      </c>
      <c r="U1018" t="str">
        <f>IF([2]Baskol!$C$1021="","",[2]Baskol!$C$1021)</f>
        <v/>
      </c>
      <c r="V1018" t="str">
        <f>IF([2]Baskol!$D$1021="","",[2]Baskol!$D$1021)</f>
        <v/>
      </c>
      <c r="W1018" t="str">
        <f>IF([2]Baskol!$E$1021="","",[2]Baskol!$E$1021)</f>
        <v/>
      </c>
      <c r="X1018" t="str">
        <f>IF([2]Baskol!$G$1021="","",[2]Baskol!$G$1021)</f>
        <v/>
      </c>
      <c r="Y1018" t="str">
        <f>IF([2]Baskol!$I$1021="","",[2]Baskol!$I$1021)</f>
        <v/>
      </c>
      <c r="Z1018" t="str">
        <f>IF([2]Baskol!$J$1021="","",[2]Baskol!$J$1021)</f>
        <v/>
      </c>
      <c r="AA1018" t="str">
        <f>IF([2]Baskol!$K$1021="","",[2]Baskol!$K$1021)</f>
        <v/>
      </c>
      <c r="AB1018" t="str">
        <f>IF([2]Baskol!$L$1021="","",[2]Baskol!$L$1021)</f>
        <v/>
      </c>
      <c r="AC1018" t="str">
        <f>IF([2]Baskol!$N$1021="","",[2]Baskol!$N$1021)</f>
        <v/>
      </c>
      <c r="AD1018" t="str">
        <f>IF([2]Baskol!$O$1021="","",[2]Baskol!$O$1021)</f>
        <v/>
      </c>
      <c r="AE1018" t="str">
        <f>IF([3]Entry!$C$1021="","",[3]Entry!$C$1021)</f>
        <v/>
      </c>
      <c r="AF1018" t="str">
        <f>IF([3]Entry!$D$1021="","",[3]Entry!$D$1021)</f>
        <v/>
      </c>
      <c r="AG1018" t="str">
        <f>IF([3]Entry!$E$1021="","",[3]Entry!$E$1021)</f>
        <v/>
      </c>
      <c r="AH1018" t="str">
        <f>IF([3]Entry!$G$1021="","",[3]Entry!$G$1021)</f>
        <v/>
      </c>
      <c r="AI1018" t="str">
        <f>IF([3]Entry!$K$1021="","",[3]Entry!$K$1021)</f>
        <v/>
      </c>
      <c r="AJ1018" t="str">
        <f>IF([3]Entry!$L$1021="","",[3]Entry!$L$1021)</f>
        <v/>
      </c>
      <c r="AK1018" t="str">
        <f>IF([3]Entry!$M$1021="","",[3]Entry!$M$1021)</f>
        <v/>
      </c>
      <c r="AL1018" t="str">
        <f>IF([3]Entry!$N$1021="","",[3]Entry!$N$1021)</f>
        <v/>
      </c>
      <c r="AM1018" t="str">
        <f>IF([3]Entry!$R$1021="","",[3]Entry!$R$1021)</f>
        <v/>
      </c>
    </row>
    <row r="1019" spans="20:39" x14ac:dyDescent="0.2">
      <c r="T1019" t="str">
        <f>IF([2]Baskol!$B$1022="","",[2]Baskol!$B$1022)</f>
        <v/>
      </c>
      <c r="U1019" t="str">
        <f>IF([2]Baskol!$C$1022="","",[2]Baskol!$C$1022)</f>
        <v/>
      </c>
      <c r="V1019" t="str">
        <f>IF([2]Baskol!$D$1022="","",[2]Baskol!$D$1022)</f>
        <v/>
      </c>
      <c r="W1019" t="str">
        <f>IF([2]Baskol!$E$1022="","",[2]Baskol!$E$1022)</f>
        <v/>
      </c>
      <c r="X1019" t="str">
        <f>IF([2]Baskol!$G$1022="","",[2]Baskol!$G$1022)</f>
        <v/>
      </c>
      <c r="Y1019" t="str">
        <f>IF([2]Baskol!$I$1022="","",[2]Baskol!$I$1022)</f>
        <v/>
      </c>
      <c r="Z1019" t="str">
        <f>IF([2]Baskol!$J$1022="","",[2]Baskol!$J$1022)</f>
        <v/>
      </c>
      <c r="AA1019" t="str">
        <f>IF([2]Baskol!$K$1022="","",[2]Baskol!$K$1022)</f>
        <v/>
      </c>
      <c r="AB1019" t="str">
        <f>IF([2]Baskol!$L$1022="","",[2]Baskol!$L$1022)</f>
        <v/>
      </c>
      <c r="AC1019" t="str">
        <f>IF([2]Baskol!$N$1022="","",[2]Baskol!$N$1022)</f>
        <v/>
      </c>
      <c r="AD1019" t="str">
        <f>IF([2]Baskol!$O$1022="","",[2]Baskol!$O$1022)</f>
        <v/>
      </c>
      <c r="AE1019" t="str">
        <f>IF([3]Entry!$C$1022="","",[3]Entry!$C$1022)</f>
        <v/>
      </c>
      <c r="AF1019" t="str">
        <f>IF([3]Entry!$D$1022="","",[3]Entry!$D$1022)</f>
        <v/>
      </c>
      <c r="AG1019" t="str">
        <f>IF([3]Entry!$E$1022="","",[3]Entry!$E$1022)</f>
        <v/>
      </c>
      <c r="AH1019" t="str">
        <f>IF([3]Entry!$G$1022="","",[3]Entry!$G$1022)</f>
        <v/>
      </c>
      <c r="AI1019" t="str">
        <f>IF([3]Entry!$K$1022="","",[3]Entry!$K$1022)</f>
        <v/>
      </c>
      <c r="AJ1019" t="str">
        <f>IF([3]Entry!$L$1022="","",[3]Entry!$L$1022)</f>
        <v/>
      </c>
      <c r="AK1019" t="str">
        <f>IF([3]Entry!$M$1022="","",[3]Entry!$M$1022)</f>
        <v/>
      </c>
      <c r="AL1019" t="str">
        <f>IF([3]Entry!$N$1022="","",[3]Entry!$N$1022)</f>
        <v/>
      </c>
      <c r="AM1019" t="str">
        <f>IF([3]Entry!$R$1022="","",[3]Entry!$R$1022)</f>
        <v/>
      </c>
    </row>
    <row r="1020" spans="20:39" x14ac:dyDescent="0.2">
      <c r="T1020" t="str">
        <f>IF([2]Baskol!$B$1023="","",[2]Baskol!$B$1023)</f>
        <v/>
      </c>
      <c r="U1020" t="str">
        <f>IF([2]Baskol!$C$1023="","",[2]Baskol!$C$1023)</f>
        <v/>
      </c>
      <c r="V1020" t="str">
        <f>IF([2]Baskol!$D$1023="","",[2]Baskol!$D$1023)</f>
        <v/>
      </c>
      <c r="W1020" t="str">
        <f>IF([2]Baskol!$E$1023="","",[2]Baskol!$E$1023)</f>
        <v/>
      </c>
      <c r="X1020" t="str">
        <f>IF([2]Baskol!$G$1023="","",[2]Baskol!$G$1023)</f>
        <v/>
      </c>
      <c r="Y1020" t="str">
        <f>IF([2]Baskol!$I$1023="","",[2]Baskol!$I$1023)</f>
        <v/>
      </c>
      <c r="Z1020" t="str">
        <f>IF([2]Baskol!$J$1023="","",[2]Baskol!$J$1023)</f>
        <v/>
      </c>
      <c r="AA1020" t="str">
        <f>IF([2]Baskol!$K$1023="","",[2]Baskol!$K$1023)</f>
        <v/>
      </c>
      <c r="AB1020" t="str">
        <f>IF([2]Baskol!$L$1023="","",[2]Baskol!$L$1023)</f>
        <v/>
      </c>
      <c r="AC1020" t="str">
        <f>IF([2]Baskol!$N$1023="","",[2]Baskol!$N$1023)</f>
        <v/>
      </c>
      <c r="AD1020" t="str">
        <f>IF([2]Baskol!$O$1023="","",[2]Baskol!$O$1023)</f>
        <v/>
      </c>
      <c r="AE1020" t="str">
        <f>IF([3]Entry!$C$1023="","",[3]Entry!$C$1023)</f>
        <v/>
      </c>
      <c r="AF1020" t="str">
        <f>IF([3]Entry!$D$1023="","",[3]Entry!$D$1023)</f>
        <v/>
      </c>
      <c r="AG1020" t="str">
        <f>IF([3]Entry!$E$1023="","",[3]Entry!$E$1023)</f>
        <v/>
      </c>
      <c r="AH1020" t="str">
        <f>IF([3]Entry!$G$1023="","",[3]Entry!$G$1023)</f>
        <v/>
      </c>
      <c r="AI1020" t="str">
        <f>IF([3]Entry!$K$1023="","",[3]Entry!$K$1023)</f>
        <v/>
      </c>
      <c r="AJ1020" t="str">
        <f>IF([3]Entry!$L$1023="","",[3]Entry!$L$1023)</f>
        <v/>
      </c>
      <c r="AK1020" t="str">
        <f>IF([3]Entry!$M$1023="","",[3]Entry!$M$1023)</f>
        <v/>
      </c>
      <c r="AL1020" t="str">
        <f>IF([3]Entry!$N$1023="","",[3]Entry!$N$1023)</f>
        <v/>
      </c>
      <c r="AM1020" t="str">
        <f>IF([3]Entry!$R$1023="","",[3]Entry!$R$1023)</f>
        <v/>
      </c>
    </row>
    <row r="1021" spans="20:39" x14ac:dyDescent="0.2">
      <c r="T1021" t="str">
        <f>IF([2]Baskol!$B$1024="","",[2]Baskol!$B$1024)</f>
        <v/>
      </c>
      <c r="U1021" t="str">
        <f>IF([2]Baskol!$C$1024="","",[2]Baskol!$C$1024)</f>
        <v/>
      </c>
      <c r="V1021" t="str">
        <f>IF([2]Baskol!$D$1024="","",[2]Baskol!$D$1024)</f>
        <v/>
      </c>
      <c r="W1021" t="str">
        <f>IF([2]Baskol!$E$1024="","",[2]Baskol!$E$1024)</f>
        <v/>
      </c>
      <c r="X1021" t="str">
        <f>IF([2]Baskol!$G$1024="","",[2]Baskol!$G$1024)</f>
        <v/>
      </c>
      <c r="Y1021" t="str">
        <f>IF([2]Baskol!$I$1024="","",[2]Baskol!$I$1024)</f>
        <v/>
      </c>
      <c r="Z1021" t="str">
        <f>IF([2]Baskol!$J$1024="","",[2]Baskol!$J$1024)</f>
        <v/>
      </c>
      <c r="AA1021" t="str">
        <f>IF([2]Baskol!$K$1024="","",[2]Baskol!$K$1024)</f>
        <v/>
      </c>
      <c r="AB1021" t="str">
        <f>IF([2]Baskol!$L$1024="","",[2]Baskol!$L$1024)</f>
        <v/>
      </c>
      <c r="AC1021" t="str">
        <f>IF([2]Baskol!$N$1024="","",[2]Baskol!$N$1024)</f>
        <v/>
      </c>
      <c r="AD1021" t="str">
        <f>IF([2]Baskol!$O$1024="","",[2]Baskol!$O$1024)</f>
        <v/>
      </c>
      <c r="AE1021" t="str">
        <f>IF([3]Entry!$C$1024="","",[3]Entry!$C$1024)</f>
        <v/>
      </c>
      <c r="AF1021" t="str">
        <f>IF([3]Entry!$D$1024="","",[3]Entry!$D$1024)</f>
        <v/>
      </c>
      <c r="AG1021" t="str">
        <f>IF([3]Entry!$E$1024="","",[3]Entry!$E$1024)</f>
        <v/>
      </c>
      <c r="AH1021" t="str">
        <f>IF([3]Entry!$G$1024="","",[3]Entry!$G$1024)</f>
        <v/>
      </c>
      <c r="AI1021" t="str">
        <f>IF([3]Entry!$K$1024="","",[3]Entry!$K$1024)</f>
        <v/>
      </c>
      <c r="AJ1021" t="str">
        <f>IF([3]Entry!$L$1024="","",[3]Entry!$L$1024)</f>
        <v/>
      </c>
      <c r="AK1021" t="str">
        <f>IF([3]Entry!$M$1024="","",[3]Entry!$M$1024)</f>
        <v/>
      </c>
      <c r="AL1021" t="str">
        <f>IF([3]Entry!$N$1024="","",[3]Entry!$N$1024)</f>
        <v/>
      </c>
      <c r="AM1021" t="str">
        <f>IF([3]Entry!$R$1024="","",[3]Entry!$R$1024)</f>
        <v/>
      </c>
    </row>
    <row r="1022" spans="20:39" x14ac:dyDescent="0.2">
      <c r="T1022" t="str">
        <f>IF([2]Baskol!$B$1025="","",[2]Baskol!$B$1025)</f>
        <v/>
      </c>
      <c r="U1022" t="str">
        <f>IF([2]Baskol!$C$1025="","",[2]Baskol!$C$1025)</f>
        <v/>
      </c>
      <c r="V1022" t="str">
        <f>IF([2]Baskol!$D$1025="","",[2]Baskol!$D$1025)</f>
        <v/>
      </c>
      <c r="W1022" t="str">
        <f>IF([2]Baskol!$E$1025="","",[2]Baskol!$E$1025)</f>
        <v/>
      </c>
      <c r="X1022" t="str">
        <f>IF([2]Baskol!$G$1025="","",[2]Baskol!$G$1025)</f>
        <v/>
      </c>
      <c r="Y1022" t="str">
        <f>IF([2]Baskol!$I$1025="","",[2]Baskol!$I$1025)</f>
        <v/>
      </c>
      <c r="Z1022" t="str">
        <f>IF([2]Baskol!$J$1025="","",[2]Baskol!$J$1025)</f>
        <v/>
      </c>
      <c r="AA1022" t="str">
        <f>IF([2]Baskol!$K$1025="","",[2]Baskol!$K$1025)</f>
        <v/>
      </c>
      <c r="AB1022" t="str">
        <f>IF([2]Baskol!$L$1025="","",[2]Baskol!$L$1025)</f>
        <v/>
      </c>
      <c r="AC1022" t="str">
        <f>IF([2]Baskol!$N$1025="","",[2]Baskol!$N$1025)</f>
        <v/>
      </c>
      <c r="AD1022" t="str">
        <f>IF([2]Baskol!$O$1025="","",[2]Baskol!$O$1025)</f>
        <v/>
      </c>
      <c r="AE1022" t="str">
        <f>IF([3]Entry!$C$1025="","",[3]Entry!$C$1025)</f>
        <v/>
      </c>
      <c r="AF1022" t="str">
        <f>IF([3]Entry!$D$1025="","",[3]Entry!$D$1025)</f>
        <v/>
      </c>
      <c r="AG1022" t="str">
        <f>IF([3]Entry!$E$1025="","",[3]Entry!$E$1025)</f>
        <v/>
      </c>
      <c r="AH1022" t="str">
        <f>IF([3]Entry!$G$1025="","",[3]Entry!$G$1025)</f>
        <v/>
      </c>
      <c r="AI1022" t="str">
        <f>IF([3]Entry!$K$1025="","",[3]Entry!$K$1025)</f>
        <v/>
      </c>
      <c r="AJ1022" t="str">
        <f>IF([3]Entry!$L$1025="","",[3]Entry!$L$1025)</f>
        <v/>
      </c>
      <c r="AK1022" t="str">
        <f>IF([3]Entry!$M$1025="","",[3]Entry!$M$1025)</f>
        <v/>
      </c>
      <c r="AL1022" t="str">
        <f>IF([3]Entry!$N$1025="","",[3]Entry!$N$1025)</f>
        <v/>
      </c>
      <c r="AM1022" t="str">
        <f>IF([3]Entry!$R$1025="","",[3]Entry!$R$1025)</f>
        <v/>
      </c>
    </row>
    <row r="1023" spans="20:39" x14ac:dyDescent="0.2">
      <c r="T1023" t="str">
        <f>IF([2]Baskol!$B$1026="","",[2]Baskol!$B$1026)</f>
        <v/>
      </c>
      <c r="U1023" t="str">
        <f>IF([2]Baskol!$C$1026="","",[2]Baskol!$C$1026)</f>
        <v/>
      </c>
      <c r="V1023" t="str">
        <f>IF([2]Baskol!$D$1026="","",[2]Baskol!$D$1026)</f>
        <v/>
      </c>
      <c r="W1023" t="str">
        <f>IF([2]Baskol!$E$1026="","",[2]Baskol!$E$1026)</f>
        <v/>
      </c>
      <c r="X1023" t="str">
        <f>IF([2]Baskol!$G$1026="","",[2]Baskol!$G$1026)</f>
        <v/>
      </c>
      <c r="Y1023" t="str">
        <f>IF([2]Baskol!$I$1026="","",[2]Baskol!$I$1026)</f>
        <v/>
      </c>
      <c r="Z1023" t="str">
        <f>IF([2]Baskol!$J$1026="","",[2]Baskol!$J$1026)</f>
        <v/>
      </c>
      <c r="AA1023" t="str">
        <f>IF([2]Baskol!$K$1026="","",[2]Baskol!$K$1026)</f>
        <v/>
      </c>
      <c r="AB1023" t="str">
        <f>IF([2]Baskol!$L$1026="","",[2]Baskol!$L$1026)</f>
        <v/>
      </c>
      <c r="AC1023" t="str">
        <f>IF([2]Baskol!$N$1026="","",[2]Baskol!$N$1026)</f>
        <v/>
      </c>
      <c r="AD1023" t="str">
        <f>IF([2]Baskol!$O$1026="","",[2]Baskol!$O$1026)</f>
        <v/>
      </c>
      <c r="AE1023" t="str">
        <f>IF([3]Entry!$C$1026="","",[3]Entry!$C$1026)</f>
        <v/>
      </c>
      <c r="AF1023" t="str">
        <f>IF([3]Entry!$D$1026="","",[3]Entry!$D$1026)</f>
        <v/>
      </c>
      <c r="AG1023" t="str">
        <f>IF([3]Entry!$E$1026="","",[3]Entry!$E$1026)</f>
        <v/>
      </c>
      <c r="AH1023" t="str">
        <f>IF([3]Entry!$G$1026="","",[3]Entry!$G$1026)</f>
        <v/>
      </c>
      <c r="AI1023" t="str">
        <f>IF([3]Entry!$K$1026="","",[3]Entry!$K$1026)</f>
        <v/>
      </c>
      <c r="AJ1023" t="str">
        <f>IF([3]Entry!$L$1026="","",[3]Entry!$L$1026)</f>
        <v/>
      </c>
      <c r="AK1023" t="str">
        <f>IF([3]Entry!$M$1026="","",[3]Entry!$M$1026)</f>
        <v/>
      </c>
      <c r="AL1023" t="str">
        <f>IF([3]Entry!$N$1026="","",[3]Entry!$N$1026)</f>
        <v/>
      </c>
      <c r="AM1023" t="str">
        <f>IF([3]Entry!$R$1026="","",[3]Entry!$R$1026)</f>
        <v/>
      </c>
    </row>
    <row r="1024" spans="20:39" x14ac:dyDescent="0.2">
      <c r="T1024" t="str">
        <f>IF([2]Baskol!$B$1027="","",[2]Baskol!$B$1027)</f>
        <v/>
      </c>
      <c r="U1024" t="str">
        <f>IF([2]Baskol!$C$1027="","",[2]Baskol!$C$1027)</f>
        <v/>
      </c>
      <c r="V1024" t="str">
        <f>IF([2]Baskol!$D$1027="","",[2]Baskol!$D$1027)</f>
        <v/>
      </c>
      <c r="W1024" t="str">
        <f>IF([2]Baskol!$E$1027="","",[2]Baskol!$E$1027)</f>
        <v/>
      </c>
      <c r="X1024" t="str">
        <f>IF([2]Baskol!$G$1027="","",[2]Baskol!$G$1027)</f>
        <v/>
      </c>
      <c r="Y1024" t="str">
        <f>IF([2]Baskol!$I$1027="","",[2]Baskol!$I$1027)</f>
        <v/>
      </c>
      <c r="Z1024" t="str">
        <f>IF([2]Baskol!$J$1027="","",[2]Baskol!$J$1027)</f>
        <v/>
      </c>
      <c r="AA1024" t="str">
        <f>IF([2]Baskol!$K$1027="","",[2]Baskol!$K$1027)</f>
        <v/>
      </c>
      <c r="AB1024" t="str">
        <f>IF([2]Baskol!$L$1027="","",[2]Baskol!$L$1027)</f>
        <v/>
      </c>
      <c r="AC1024" t="str">
        <f>IF([2]Baskol!$N$1027="","",[2]Baskol!$N$1027)</f>
        <v/>
      </c>
      <c r="AD1024" t="str">
        <f>IF([2]Baskol!$O$1027="","",[2]Baskol!$O$1027)</f>
        <v/>
      </c>
      <c r="AE1024" t="str">
        <f>IF([3]Entry!$C$1027="","",[3]Entry!$C$1027)</f>
        <v/>
      </c>
      <c r="AF1024" t="str">
        <f>IF([3]Entry!$D$1027="","",[3]Entry!$D$1027)</f>
        <v/>
      </c>
      <c r="AG1024" t="str">
        <f>IF([3]Entry!$E$1027="","",[3]Entry!$E$1027)</f>
        <v/>
      </c>
      <c r="AH1024" t="str">
        <f>IF([3]Entry!$G$1027="","",[3]Entry!$G$1027)</f>
        <v/>
      </c>
      <c r="AI1024" t="str">
        <f>IF([3]Entry!$K$1027="","",[3]Entry!$K$1027)</f>
        <v/>
      </c>
      <c r="AJ1024" t="str">
        <f>IF([3]Entry!$L$1027="","",[3]Entry!$L$1027)</f>
        <v/>
      </c>
      <c r="AK1024" t="str">
        <f>IF([3]Entry!$M$1027="","",[3]Entry!$M$1027)</f>
        <v/>
      </c>
      <c r="AL1024" t="str">
        <f>IF([3]Entry!$N$1027="","",[3]Entry!$N$1027)</f>
        <v/>
      </c>
      <c r="AM1024" t="str">
        <f>IF([3]Entry!$R$1027="","",[3]Entry!$R$1027)</f>
        <v/>
      </c>
    </row>
    <row r="1025" spans="20:39" x14ac:dyDescent="0.2">
      <c r="T1025" t="str">
        <f>IF([2]Baskol!$B$1028="","",[2]Baskol!$B$1028)</f>
        <v/>
      </c>
      <c r="U1025" t="str">
        <f>IF([2]Baskol!$C$1028="","",[2]Baskol!$C$1028)</f>
        <v/>
      </c>
      <c r="V1025" t="str">
        <f>IF([2]Baskol!$D$1028="","",[2]Baskol!$D$1028)</f>
        <v/>
      </c>
      <c r="W1025" t="str">
        <f>IF([2]Baskol!$E$1028="","",[2]Baskol!$E$1028)</f>
        <v/>
      </c>
      <c r="X1025" t="str">
        <f>IF([2]Baskol!$G$1028="","",[2]Baskol!$G$1028)</f>
        <v/>
      </c>
      <c r="Y1025" t="str">
        <f>IF([2]Baskol!$I$1028="","",[2]Baskol!$I$1028)</f>
        <v/>
      </c>
      <c r="Z1025" t="str">
        <f>IF([2]Baskol!$J$1028="","",[2]Baskol!$J$1028)</f>
        <v/>
      </c>
      <c r="AA1025" t="str">
        <f>IF([2]Baskol!$K$1028="","",[2]Baskol!$K$1028)</f>
        <v/>
      </c>
      <c r="AB1025" t="str">
        <f>IF([2]Baskol!$L$1028="","",[2]Baskol!$L$1028)</f>
        <v/>
      </c>
      <c r="AC1025" t="str">
        <f>IF([2]Baskol!$N$1028="","",[2]Baskol!$N$1028)</f>
        <v/>
      </c>
      <c r="AD1025" t="str">
        <f>IF([2]Baskol!$O$1028="","",[2]Baskol!$O$1028)</f>
        <v/>
      </c>
      <c r="AE1025" t="str">
        <f>IF([3]Entry!$C$1028="","",[3]Entry!$C$1028)</f>
        <v/>
      </c>
      <c r="AF1025" t="str">
        <f>IF([3]Entry!$D$1028="","",[3]Entry!$D$1028)</f>
        <v/>
      </c>
      <c r="AG1025" t="str">
        <f>IF([3]Entry!$E$1028="","",[3]Entry!$E$1028)</f>
        <v/>
      </c>
      <c r="AH1025" t="str">
        <f>IF([3]Entry!$G$1028="","",[3]Entry!$G$1028)</f>
        <v/>
      </c>
      <c r="AI1025" t="str">
        <f>IF([3]Entry!$K$1028="","",[3]Entry!$K$1028)</f>
        <v/>
      </c>
      <c r="AJ1025" t="str">
        <f>IF([3]Entry!$L$1028="","",[3]Entry!$L$1028)</f>
        <v/>
      </c>
      <c r="AK1025" t="str">
        <f>IF([3]Entry!$M$1028="","",[3]Entry!$M$1028)</f>
        <v/>
      </c>
      <c r="AL1025" t="str">
        <f>IF([3]Entry!$N$1028="","",[3]Entry!$N$1028)</f>
        <v/>
      </c>
      <c r="AM1025" t="str">
        <f>IF([3]Entry!$R$1028="","",[3]Entry!$R$1028)</f>
        <v/>
      </c>
    </row>
    <row r="1026" spans="20:39" x14ac:dyDescent="0.2">
      <c r="T1026" t="str">
        <f>IF([2]Baskol!$B$1029="","",[2]Baskol!$B$1029)</f>
        <v/>
      </c>
      <c r="U1026" t="str">
        <f>IF([2]Baskol!$C$1029="","",[2]Baskol!$C$1029)</f>
        <v/>
      </c>
      <c r="V1026" t="str">
        <f>IF([2]Baskol!$D$1029="","",[2]Baskol!$D$1029)</f>
        <v/>
      </c>
      <c r="W1026" t="str">
        <f>IF([2]Baskol!$E$1029="","",[2]Baskol!$E$1029)</f>
        <v/>
      </c>
      <c r="X1026" t="str">
        <f>IF([2]Baskol!$G$1029="","",[2]Baskol!$G$1029)</f>
        <v/>
      </c>
      <c r="Y1026" t="str">
        <f>IF([2]Baskol!$I$1029="","",[2]Baskol!$I$1029)</f>
        <v/>
      </c>
      <c r="Z1026" t="str">
        <f>IF([2]Baskol!$J$1029="","",[2]Baskol!$J$1029)</f>
        <v/>
      </c>
      <c r="AA1026" t="str">
        <f>IF([2]Baskol!$K$1029="","",[2]Baskol!$K$1029)</f>
        <v/>
      </c>
      <c r="AB1026" t="str">
        <f>IF([2]Baskol!$L$1029="","",[2]Baskol!$L$1029)</f>
        <v/>
      </c>
      <c r="AC1026" t="str">
        <f>IF([2]Baskol!$N$1029="","",[2]Baskol!$N$1029)</f>
        <v/>
      </c>
      <c r="AD1026" t="str">
        <f>IF([2]Baskol!$O$1029="","",[2]Baskol!$O$1029)</f>
        <v/>
      </c>
      <c r="AE1026" t="str">
        <f>IF([3]Entry!$C$1029="","",[3]Entry!$C$1029)</f>
        <v/>
      </c>
      <c r="AF1026" t="str">
        <f>IF([3]Entry!$D$1029="","",[3]Entry!$D$1029)</f>
        <v/>
      </c>
      <c r="AG1026" t="str">
        <f>IF([3]Entry!$E$1029="","",[3]Entry!$E$1029)</f>
        <v/>
      </c>
      <c r="AH1026" t="str">
        <f>IF([3]Entry!$G$1029="","",[3]Entry!$G$1029)</f>
        <v/>
      </c>
      <c r="AI1026" t="str">
        <f>IF([3]Entry!$K$1029="","",[3]Entry!$K$1029)</f>
        <v/>
      </c>
      <c r="AJ1026" t="str">
        <f>IF([3]Entry!$L$1029="","",[3]Entry!$L$1029)</f>
        <v/>
      </c>
      <c r="AK1026" t="str">
        <f>IF([3]Entry!$M$1029="","",[3]Entry!$M$1029)</f>
        <v/>
      </c>
      <c r="AL1026" t="str">
        <f>IF([3]Entry!$N$1029="","",[3]Entry!$N$1029)</f>
        <v/>
      </c>
      <c r="AM1026" t="str">
        <f>IF([3]Entry!$R$1029="","",[3]Entry!$R$1029)</f>
        <v/>
      </c>
    </row>
    <row r="1027" spans="20:39" x14ac:dyDescent="0.2">
      <c r="T1027" t="str">
        <f>IF([2]Baskol!$B$1030="","",[2]Baskol!$B$1030)</f>
        <v/>
      </c>
      <c r="U1027" t="str">
        <f>IF([2]Baskol!$C$1030="","",[2]Baskol!$C$1030)</f>
        <v/>
      </c>
      <c r="V1027" t="str">
        <f>IF([2]Baskol!$D$1030="","",[2]Baskol!$D$1030)</f>
        <v/>
      </c>
      <c r="W1027" t="str">
        <f>IF([2]Baskol!$E$1030="","",[2]Baskol!$E$1030)</f>
        <v/>
      </c>
      <c r="X1027" t="str">
        <f>IF([2]Baskol!$G$1030="","",[2]Baskol!$G$1030)</f>
        <v/>
      </c>
      <c r="Y1027" t="str">
        <f>IF([2]Baskol!$I$1030="","",[2]Baskol!$I$1030)</f>
        <v/>
      </c>
      <c r="Z1027" t="str">
        <f>IF([2]Baskol!$J$1030="","",[2]Baskol!$J$1030)</f>
        <v/>
      </c>
      <c r="AA1027" t="str">
        <f>IF([2]Baskol!$K$1030="","",[2]Baskol!$K$1030)</f>
        <v/>
      </c>
      <c r="AB1027" t="str">
        <f>IF([2]Baskol!$L$1030="","",[2]Baskol!$L$1030)</f>
        <v/>
      </c>
      <c r="AC1027" t="str">
        <f>IF([2]Baskol!$N$1030="","",[2]Baskol!$N$1030)</f>
        <v/>
      </c>
      <c r="AD1027" t="str">
        <f>IF([2]Baskol!$O$1030="","",[2]Baskol!$O$1030)</f>
        <v/>
      </c>
      <c r="AE1027" t="str">
        <f>IF([3]Entry!$C$1030="","",[3]Entry!$C$1030)</f>
        <v/>
      </c>
      <c r="AF1027" t="str">
        <f>IF([3]Entry!$D$1030="","",[3]Entry!$D$1030)</f>
        <v/>
      </c>
      <c r="AG1027" t="str">
        <f>IF([3]Entry!$E$1030="","",[3]Entry!$E$1030)</f>
        <v/>
      </c>
      <c r="AH1027" t="str">
        <f>IF([3]Entry!$G$1030="","",[3]Entry!$G$1030)</f>
        <v/>
      </c>
      <c r="AI1027" t="str">
        <f>IF([3]Entry!$K$1030="","",[3]Entry!$K$1030)</f>
        <v/>
      </c>
      <c r="AJ1027" t="str">
        <f>IF([3]Entry!$L$1030="","",[3]Entry!$L$1030)</f>
        <v/>
      </c>
      <c r="AK1027" t="str">
        <f>IF([3]Entry!$M$1030="","",[3]Entry!$M$1030)</f>
        <v/>
      </c>
      <c r="AL1027" t="str">
        <f>IF([3]Entry!$N$1030="","",[3]Entry!$N$1030)</f>
        <v/>
      </c>
      <c r="AM1027" t="str">
        <f>IF([3]Entry!$R$1030="","",[3]Entry!$R$1030)</f>
        <v/>
      </c>
    </row>
    <row r="1028" spans="20:39" x14ac:dyDescent="0.2">
      <c r="T1028" t="str">
        <f>IF([2]Baskol!$B$1031="","",[2]Baskol!$B$1031)</f>
        <v/>
      </c>
      <c r="U1028" t="str">
        <f>IF([2]Baskol!$C$1031="","",[2]Baskol!$C$1031)</f>
        <v/>
      </c>
      <c r="V1028" t="str">
        <f>IF([2]Baskol!$D$1031="","",[2]Baskol!$D$1031)</f>
        <v/>
      </c>
      <c r="W1028" t="str">
        <f>IF([2]Baskol!$E$1031="","",[2]Baskol!$E$1031)</f>
        <v/>
      </c>
      <c r="X1028" t="str">
        <f>IF([2]Baskol!$G$1031="","",[2]Baskol!$G$1031)</f>
        <v/>
      </c>
      <c r="Y1028" t="str">
        <f>IF([2]Baskol!$I$1031="","",[2]Baskol!$I$1031)</f>
        <v/>
      </c>
      <c r="Z1028" t="str">
        <f>IF([2]Baskol!$J$1031="","",[2]Baskol!$J$1031)</f>
        <v/>
      </c>
      <c r="AA1028" t="str">
        <f>IF([2]Baskol!$K$1031="","",[2]Baskol!$K$1031)</f>
        <v/>
      </c>
      <c r="AB1028" t="str">
        <f>IF([2]Baskol!$L$1031="","",[2]Baskol!$L$1031)</f>
        <v/>
      </c>
      <c r="AC1028" t="str">
        <f>IF([2]Baskol!$N$1031="","",[2]Baskol!$N$1031)</f>
        <v/>
      </c>
      <c r="AD1028" t="str">
        <f>IF([2]Baskol!$O$1031="","",[2]Baskol!$O$1031)</f>
        <v/>
      </c>
      <c r="AE1028" t="str">
        <f>IF([3]Entry!$C$1031="","",[3]Entry!$C$1031)</f>
        <v/>
      </c>
      <c r="AF1028" t="str">
        <f>IF([3]Entry!$D$1031="","",[3]Entry!$D$1031)</f>
        <v/>
      </c>
      <c r="AG1028" t="str">
        <f>IF([3]Entry!$E$1031="","",[3]Entry!$E$1031)</f>
        <v/>
      </c>
      <c r="AH1028" t="str">
        <f>IF([3]Entry!$G$1031="","",[3]Entry!$G$1031)</f>
        <v/>
      </c>
      <c r="AI1028" t="str">
        <f>IF([3]Entry!$K$1031="","",[3]Entry!$K$1031)</f>
        <v/>
      </c>
      <c r="AJ1028" t="str">
        <f>IF([3]Entry!$L$1031="","",[3]Entry!$L$1031)</f>
        <v/>
      </c>
      <c r="AK1028" t="str">
        <f>IF([3]Entry!$M$1031="","",[3]Entry!$M$1031)</f>
        <v/>
      </c>
      <c r="AL1028" t="str">
        <f>IF([3]Entry!$N$1031="","",[3]Entry!$N$1031)</f>
        <v/>
      </c>
      <c r="AM1028" t="str">
        <f>IF([3]Entry!$R$1031="","",[3]Entry!$R$1031)</f>
        <v/>
      </c>
    </row>
    <row r="1029" spans="20:39" x14ac:dyDescent="0.2">
      <c r="T1029" t="str">
        <f>IF([2]Baskol!$B$1032="","",[2]Baskol!$B$1032)</f>
        <v/>
      </c>
      <c r="U1029" t="str">
        <f>IF([2]Baskol!$C$1032="","",[2]Baskol!$C$1032)</f>
        <v/>
      </c>
      <c r="V1029" t="str">
        <f>IF([2]Baskol!$D$1032="","",[2]Baskol!$D$1032)</f>
        <v/>
      </c>
      <c r="W1029" t="str">
        <f>IF([2]Baskol!$E$1032="","",[2]Baskol!$E$1032)</f>
        <v/>
      </c>
      <c r="X1029" t="str">
        <f>IF([2]Baskol!$G$1032="","",[2]Baskol!$G$1032)</f>
        <v/>
      </c>
      <c r="Y1029" t="str">
        <f>IF([2]Baskol!$I$1032="","",[2]Baskol!$I$1032)</f>
        <v/>
      </c>
      <c r="Z1029" t="str">
        <f>IF([2]Baskol!$J$1032="","",[2]Baskol!$J$1032)</f>
        <v/>
      </c>
      <c r="AA1029" t="str">
        <f>IF([2]Baskol!$K$1032="","",[2]Baskol!$K$1032)</f>
        <v/>
      </c>
      <c r="AB1029" t="str">
        <f>IF([2]Baskol!$L$1032="","",[2]Baskol!$L$1032)</f>
        <v/>
      </c>
      <c r="AC1029" t="str">
        <f>IF([2]Baskol!$N$1032="","",[2]Baskol!$N$1032)</f>
        <v/>
      </c>
      <c r="AD1029" t="str">
        <f>IF([2]Baskol!$O$1032="","",[2]Baskol!$O$1032)</f>
        <v/>
      </c>
      <c r="AE1029" t="str">
        <f>IF([3]Entry!$C$1032="","",[3]Entry!$C$1032)</f>
        <v/>
      </c>
      <c r="AF1029" t="str">
        <f>IF([3]Entry!$D$1032="","",[3]Entry!$D$1032)</f>
        <v/>
      </c>
      <c r="AG1029" t="str">
        <f>IF([3]Entry!$E$1032="","",[3]Entry!$E$1032)</f>
        <v/>
      </c>
      <c r="AH1029" t="str">
        <f>IF([3]Entry!$G$1032="","",[3]Entry!$G$1032)</f>
        <v/>
      </c>
      <c r="AI1029" t="str">
        <f>IF([3]Entry!$K$1032="","",[3]Entry!$K$1032)</f>
        <v/>
      </c>
      <c r="AJ1029" t="str">
        <f>IF([3]Entry!$L$1032="","",[3]Entry!$L$1032)</f>
        <v/>
      </c>
      <c r="AK1029" t="str">
        <f>IF([3]Entry!$M$1032="","",[3]Entry!$M$1032)</f>
        <v/>
      </c>
      <c r="AL1029" t="str">
        <f>IF([3]Entry!$N$1032="","",[3]Entry!$N$1032)</f>
        <v/>
      </c>
      <c r="AM1029" t="str">
        <f>IF([3]Entry!$R$1032="","",[3]Entry!$R$1032)</f>
        <v/>
      </c>
    </row>
    <row r="1030" spans="20:39" x14ac:dyDescent="0.2">
      <c r="T1030" t="str">
        <f>IF([2]Baskol!$B$1033="","",[2]Baskol!$B$1033)</f>
        <v/>
      </c>
      <c r="U1030" t="str">
        <f>IF([2]Baskol!$C$1033="","",[2]Baskol!$C$1033)</f>
        <v/>
      </c>
      <c r="V1030" t="str">
        <f>IF([2]Baskol!$D$1033="","",[2]Baskol!$D$1033)</f>
        <v/>
      </c>
      <c r="W1030" t="str">
        <f>IF([2]Baskol!$E$1033="","",[2]Baskol!$E$1033)</f>
        <v/>
      </c>
      <c r="X1030" t="str">
        <f>IF([2]Baskol!$G$1033="","",[2]Baskol!$G$1033)</f>
        <v/>
      </c>
      <c r="Y1030" t="str">
        <f>IF([2]Baskol!$I$1033="","",[2]Baskol!$I$1033)</f>
        <v/>
      </c>
      <c r="Z1030" t="str">
        <f>IF([2]Baskol!$J$1033="","",[2]Baskol!$J$1033)</f>
        <v/>
      </c>
      <c r="AA1030" t="str">
        <f>IF([2]Baskol!$K$1033="","",[2]Baskol!$K$1033)</f>
        <v/>
      </c>
      <c r="AB1030" t="str">
        <f>IF([2]Baskol!$L$1033="","",[2]Baskol!$L$1033)</f>
        <v/>
      </c>
      <c r="AC1030" t="str">
        <f>IF([2]Baskol!$N$1033="","",[2]Baskol!$N$1033)</f>
        <v/>
      </c>
      <c r="AD1030" t="str">
        <f>IF([2]Baskol!$O$1033="","",[2]Baskol!$O$1033)</f>
        <v/>
      </c>
      <c r="AE1030" t="str">
        <f>IF([3]Entry!$C$1033="","",[3]Entry!$C$1033)</f>
        <v/>
      </c>
      <c r="AF1030" t="str">
        <f>IF([3]Entry!$D$1033="","",[3]Entry!$D$1033)</f>
        <v/>
      </c>
      <c r="AG1030" t="str">
        <f>IF([3]Entry!$E$1033="","",[3]Entry!$E$1033)</f>
        <v/>
      </c>
      <c r="AH1030" t="str">
        <f>IF([3]Entry!$G$1033="","",[3]Entry!$G$1033)</f>
        <v/>
      </c>
      <c r="AI1030" t="str">
        <f>IF([3]Entry!$K$1033="","",[3]Entry!$K$1033)</f>
        <v/>
      </c>
      <c r="AJ1030" t="str">
        <f>IF([3]Entry!$L$1033="","",[3]Entry!$L$1033)</f>
        <v/>
      </c>
      <c r="AK1030" t="str">
        <f>IF([3]Entry!$M$1033="","",[3]Entry!$M$1033)</f>
        <v/>
      </c>
      <c r="AL1030" t="str">
        <f>IF([3]Entry!$N$1033="","",[3]Entry!$N$1033)</f>
        <v/>
      </c>
      <c r="AM1030" t="str">
        <f>IF([3]Entry!$R$1033="","",[3]Entry!$R$1033)</f>
        <v/>
      </c>
    </row>
    <row r="1031" spans="20:39" x14ac:dyDescent="0.2">
      <c r="T1031" t="str">
        <f>IF([2]Baskol!$B$1034="","",[2]Baskol!$B$1034)</f>
        <v/>
      </c>
      <c r="U1031" t="str">
        <f>IF([2]Baskol!$C$1034="","",[2]Baskol!$C$1034)</f>
        <v/>
      </c>
      <c r="V1031" t="str">
        <f>IF([2]Baskol!$D$1034="","",[2]Baskol!$D$1034)</f>
        <v/>
      </c>
      <c r="W1031" t="str">
        <f>IF([2]Baskol!$E$1034="","",[2]Baskol!$E$1034)</f>
        <v/>
      </c>
      <c r="X1031" t="str">
        <f>IF([2]Baskol!$G$1034="","",[2]Baskol!$G$1034)</f>
        <v/>
      </c>
      <c r="Y1031" t="str">
        <f>IF([2]Baskol!$I$1034="","",[2]Baskol!$I$1034)</f>
        <v/>
      </c>
      <c r="Z1031" t="str">
        <f>IF([2]Baskol!$J$1034="","",[2]Baskol!$J$1034)</f>
        <v/>
      </c>
      <c r="AA1031" t="str">
        <f>IF([2]Baskol!$K$1034="","",[2]Baskol!$K$1034)</f>
        <v/>
      </c>
      <c r="AB1031" t="str">
        <f>IF([2]Baskol!$L$1034="","",[2]Baskol!$L$1034)</f>
        <v/>
      </c>
      <c r="AC1031" t="str">
        <f>IF([2]Baskol!$N$1034="","",[2]Baskol!$N$1034)</f>
        <v/>
      </c>
      <c r="AD1031" t="str">
        <f>IF([2]Baskol!$O$1034="","",[2]Baskol!$O$1034)</f>
        <v/>
      </c>
      <c r="AE1031" t="str">
        <f>IF([3]Entry!$C$1034="","",[3]Entry!$C$1034)</f>
        <v/>
      </c>
      <c r="AF1031" t="str">
        <f>IF([3]Entry!$D$1034="","",[3]Entry!$D$1034)</f>
        <v/>
      </c>
      <c r="AG1031" t="str">
        <f>IF([3]Entry!$E$1034="","",[3]Entry!$E$1034)</f>
        <v/>
      </c>
      <c r="AH1031" t="str">
        <f>IF([3]Entry!$G$1034="","",[3]Entry!$G$1034)</f>
        <v/>
      </c>
      <c r="AI1031" t="str">
        <f>IF([3]Entry!$K$1034="","",[3]Entry!$K$1034)</f>
        <v/>
      </c>
      <c r="AJ1031" t="str">
        <f>IF([3]Entry!$L$1034="","",[3]Entry!$L$1034)</f>
        <v/>
      </c>
      <c r="AK1031" t="str">
        <f>IF([3]Entry!$M$1034="","",[3]Entry!$M$1034)</f>
        <v/>
      </c>
      <c r="AL1031" t="str">
        <f>IF([3]Entry!$N$1034="","",[3]Entry!$N$1034)</f>
        <v/>
      </c>
      <c r="AM1031" t="str">
        <f>IF([3]Entry!$R$1034="","",[3]Entry!$R$1034)</f>
        <v/>
      </c>
    </row>
    <row r="1032" spans="20:39" x14ac:dyDescent="0.2">
      <c r="T1032" t="str">
        <f>IF([2]Baskol!$B$1035="","",[2]Baskol!$B$1035)</f>
        <v/>
      </c>
      <c r="U1032" t="str">
        <f>IF([2]Baskol!$C$1035="","",[2]Baskol!$C$1035)</f>
        <v/>
      </c>
      <c r="V1032" t="str">
        <f>IF([2]Baskol!$D$1035="","",[2]Baskol!$D$1035)</f>
        <v/>
      </c>
      <c r="W1032" t="str">
        <f>IF([2]Baskol!$E$1035="","",[2]Baskol!$E$1035)</f>
        <v/>
      </c>
      <c r="X1032" t="str">
        <f>IF([2]Baskol!$G$1035="","",[2]Baskol!$G$1035)</f>
        <v/>
      </c>
      <c r="Y1032" t="str">
        <f>IF([2]Baskol!$I$1035="","",[2]Baskol!$I$1035)</f>
        <v/>
      </c>
      <c r="Z1032" t="str">
        <f>IF([2]Baskol!$J$1035="","",[2]Baskol!$J$1035)</f>
        <v/>
      </c>
      <c r="AA1032" t="str">
        <f>IF([2]Baskol!$K$1035="","",[2]Baskol!$K$1035)</f>
        <v/>
      </c>
      <c r="AB1032" t="str">
        <f>IF([2]Baskol!$L$1035="","",[2]Baskol!$L$1035)</f>
        <v/>
      </c>
      <c r="AC1032" t="str">
        <f>IF([2]Baskol!$N$1035="","",[2]Baskol!$N$1035)</f>
        <v/>
      </c>
      <c r="AD1032" t="str">
        <f>IF([2]Baskol!$O$1035="","",[2]Baskol!$O$1035)</f>
        <v/>
      </c>
      <c r="AE1032" t="str">
        <f>IF([3]Entry!$C$1035="","",[3]Entry!$C$1035)</f>
        <v/>
      </c>
      <c r="AF1032" t="str">
        <f>IF([3]Entry!$D$1035="","",[3]Entry!$D$1035)</f>
        <v/>
      </c>
      <c r="AG1032" t="str">
        <f>IF([3]Entry!$E$1035="","",[3]Entry!$E$1035)</f>
        <v/>
      </c>
      <c r="AH1032" t="str">
        <f>IF([3]Entry!$G$1035="","",[3]Entry!$G$1035)</f>
        <v/>
      </c>
      <c r="AI1032" t="str">
        <f>IF([3]Entry!$K$1035="","",[3]Entry!$K$1035)</f>
        <v/>
      </c>
      <c r="AJ1032" t="str">
        <f>IF([3]Entry!$L$1035="","",[3]Entry!$L$1035)</f>
        <v/>
      </c>
      <c r="AK1032" t="str">
        <f>IF([3]Entry!$M$1035="","",[3]Entry!$M$1035)</f>
        <v/>
      </c>
      <c r="AL1032" t="str">
        <f>IF([3]Entry!$N$1035="","",[3]Entry!$N$1035)</f>
        <v/>
      </c>
      <c r="AM1032" t="str">
        <f>IF([3]Entry!$R$1035="","",[3]Entry!$R$1035)</f>
        <v/>
      </c>
    </row>
    <row r="1033" spans="20:39" x14ac:dyDescent="0.2">
      <c r="T1033" t="str">
        <f>IF([2]Baskol!$B$1036="","",[2]Baskol!$B$1036)</f>
        <v/>
      </c>
      <c r="U1033" t="str">
        <f>IF([2]Baskol!$C$1036="","",[2]Baskol!$C$1036)</f>
        <v/>
      </c>
      <c r="V1033" t="str">
        <f>IF([2]Baskol!$D$1036="","",[2]Baskol!$D$1036)</f>
        <v/>
      </c>
      <c r="W1033" t="str">
        <f>IF([2]Baskol!$E$1036="","",[2]Baskol!$E$1036)</f>
        <v/>
      </c>
      <c r="X1033" t="str">
        <f>IF([2]Baskol!$G$1036="","",[2]Baskol!$G$1036)</f>
        <v/>
      </c>
      <c r="Y1033" t="str">
        <f>IF([2]Baskol!$I$1036="","",[2]Baskol!$I$1036)</f>
        <v/>
      </c>
      <c r="Z1033" t="str">
        <f>IF([2]Baskol!$J$1036="","",[2]Baskol!$J$1036)</f>
        <v/>
      </c>
      <c r="AA1033" t="str">
        <f>IF([2]Baskol!$K$1036="","",[2]Baskol!$K$1036)</f>
        <v/>
      </c>
      <c r="AB1033" t="str">
        <f>IF([2]Baskol!$L$1036="","",[2]Baskol!$L$1036)</f>
        <v/>
      </c>
      <c r="AC1033" t="str">
        <f>IF([2]Baskol!$N$1036="","",[2]Baskol!$N$1036)</f>
        <v/>
      </c>
      <c r="AD1033" t="str">
        <f>IF([2]Baskol!$O$1036="","",[2]Baskol!$O$1036)</f>
        <v/>
      </c>
      <c r="AE1033" t="str">
        <f>IF([3]Entry!$C$1036="","",[3]Entry!$C$1036)</f>
        <v/>
      </c>
      <c r="AF1033" t="str">
        <f>IF([3]Entry!$D$1036="","",[3]Entry!$D$1036)</f>
        <v/>
      </c>
      <c r="AG1033" t="str">
        <f>IF([3]Entry!$E$1036="","",[3]Entry!$E$1036)</f>
        <v/>
      </c>
      <c r="AH1033" t="str">
        <f>IF([3]Entry!$G$1036="","",[3]Entry!$G$1036)</f>
        <v/>
      </c>
      <c r="AI1033" t="str">
        <f>IF([3]Entry!$K$1036="","",[3]Entry!$K$1036)</f>
        <v/>
      </c>
      <c r="AJ1033" t="str">
        <f>IF([3]Entry!$L$1036="","",[3]Entry!$L$1036)</f>
        <v/>
      </c>
      <c r="AK1033" t="str">
        <f>IF([3]Entry!$M$1036="","",[3]Entry!$M$1036)</f>
        <v/>
      </c>
      <c r="AL1033" t="str">
        <f>IF([3]Entry!$N$1036="","",[3]Entry!$N$1036)</f>
        <v/>
      </c>
      <c r="AM1033" t="str">
        <f>IF([3]Entry!$R$1036="","",[3]Entry!$R$1036)</f>
        <v/>
      </c>
    </row>
    <row r="1034" spans="20:39" x14ac:dyDescent="0.2">
      <c r="T1034" t="str">
        <f>IF([2]Baskol!$B$1037="","",[2]Baskol!$B$1037)</f>
        <v/>
      </c>
      <c r="U1034" t="str">
        <f>IF([2]Baskol!$C$1037="","",[2]Baskol!$C$1037)</f>
        <v/>
      </c>
      <c r="V1034" t="str">
        <f>IF([2]Baskol!$D$1037="","",[2]Baskol!$D$1037)</f>
        <v/>
      </c>
      <c r="W1034" t="str">
        <f>IF([2]Baskol!$E$1037="","",[2]Baskol!$E$1037)</f>
        <v/>
      </c>
      <c r="X1034" t="str">
        <f>IF([2]Baskol!$G$1037="","",[2]Baskol!$G$1037)</f>
        <v/>
      </c>
      <c r="Y1034" t="str">
        <f>IF([2]Baskol!$I$1037="","",[2]Baskol!$I$1037)</f>
        <v/>
      </c>
      <c r="Z1034" t="str">
        <f>IF([2]Baskol!$J$1037="","",[2]Baskol!$J$1037)</f>
        <v/>
      </c>
      <c r="AA1034" t="str">
        <f>IF([2]Baskol!$K$1037="","",[2]Baskol!$K$1037)</f>
        <v/>
      </c>
      <c r="AB1034" t="str">
        <f>IF([2]Baskol!$L$1037="","",[2]Baskol!$L$1037)</f>
        <v/>
      </c>
      <c r="AC1034" t="str">
        <f>IF([2]Baskol!$N$1037="","",[2]Baskol!$N$1037)</f>
        <v/>
      </c>
      <c r="AD1034" t="str">
        <f>IF([2]Baskol!$O$1037="","",[2]Baskol!$O$1037)</f>
        <v/>
      </c>
      <c r="AE1034" t="str">
        <f>IF([3]Entry!$C$1037="","",[3]Entry!$C$1037)</f>
        <v/>
      </c>
      <c r="AF1034" t="str">
        <f>IF([3]Entry!$D$1037="","",[3]Entry!$D$1037)</f>
        <v/>
      </c>
      <c r="AG1034" t="str">
        <f>IF([3]Entry!$E$1037="","",[3]Entry!$E$1037)</f>
        <v/>
      </c>
      <c r="AH1034" t="str">
        <f>IF([3]Entry!$G$1037="","",[3]Entry!$G$1037)</f>
        <v/>
      </c>
      <c r="AI1034" t="str">
        <f>IF([3]Entry!$K$1037="","",[3]Entry!$K$1037)</f>
        <v/>
      </c>
      <c r="AJ1034" t="str">
        <f>IF([3]Entry!$L$1037="","",[3]Entry!$L$1037)</f>
        <v/>
      </c>
      <c r="AK1034" t="str">
        <f>IF([3]Entry!$M$1037="","",[3]Entry!$M$1037)</f>
        <v/>
      </c>
      <c r="AL1034" t="str">
        <f>IF([3]Entry!$N$1037="","",[3]Entry!$N$1037)</f>
        <v/>
      </c>
      <c r="AM1034" t="str">
        <f>IF([3]Entry!$R$1037="","",[3]Entry!$R$1037)</f>
        <v/>
      </c>
    </row>
    <row r="1035" spans="20:39" x14ac:dyDescent="0.2">
      <c r="T1035" t="str">
        <f>IF([2]Baskol!$B$1038="","",[2]Baskol!$B$1038)</f>
        <v/>
      </c>
      <c r="U1035" t="str">
        <f>IF([2]Baskol!$C$1038="","",[2]Baskol!$C$1038)</f>
        <v/>
      </c>
      <c r="V1035" t="str">
        <f>IF([2]Baskol!$D$1038="","",[2]Baskol!$D$1038)</f>
        <v/>
      </c>
      <c r="W1035" t="str">
        <f>IF([2]Baskol!$E$1038="","",[2]Baskol!$E$1038)</f>
        <v/>
      </c>
      <c r="X1035" t="str">
        <f>IF([2]Baskol!$G$1038="","",[2]Baskol!$G$1038)</f>
        <v/>
      </c>
      <c r="Y1035" t="str">
        <f>IF([2]Baskol!$I$1038="","",[2]Baskol!$I$1038)</f>
        <v/>
      </c>
      <c r="Z1035" t="str">
        <f>IF([2]Baskol!$J$1038="","",[2]Baskol!$J$1038)</f>
        <v/>
      </c>
      <c r="AA1035" t="str">
        <f>IF([2]Baskol!$K$1038="","",[2]Baskol!$K$1038)</f>
        <v/>
      </c>
      <c r="AB1035" t="str">
        <f>IF([2]Baskol!$L$1038="","",[2]Baskol!$L$1038)</f>
        <v/>
      </c>
      <c r="AC1035" t="str">
        <f>IF([2]Baskol!$N$1038="","",[2]Baskol!$N$1038)</f>
        <v/>
      </c>
      <c r="AD1035" t="str">
        <f>IF([2]Baskol!$O$1038="","",[2]Baskol!$O$1038)</f>
        <v/>
      </c>
      <c r="AE1035" t="str">
        <f>IF([3]Entry!$C$1038="","",[3]Entry!$C$1038)</f>
        <v/>
      </c>
      <c r="AF1035" t="str">
        <f>IF([3]Entry!$D$1038="","",[3]Entry!$D$1038)</f>
        <v/>
      </c>
      <c r="AG1035" t="str">
        <f>IF([3]Entry!$E$1038="","",[3]Entry!$E$1038)</f>
        <v/>
      </c>
      <c r="AH1035" t="str">
        <f>IF([3]Entry!$G$1038="","",[3]Entry!$G$1038)</f>
        <v/>
      </c>
      <c r="AI1035" t="str">
        <f>IF([3]Entry!$K$1038="","",[3]Entry!$K$1038)</f>
        <v/>
      </c>
      <c r="AJ1035" t="str">
        <f>IF([3]Entry!$L$1038="","",[3]Entry!$L$1038)</f>
        <v/>
      </c>
      <c r="AK1035" t="str">
        <f>IF([3]Entry!$M$1038="","",[3]Entry!$M$1038)</f>
        <v/>
      </c>
      <c r="AL1035" t="str">
        <f>IF([3]Entry!$N$1038="","",[3]Entry!$N$1038)</f>
        <v/>
      </c>
      <c r="AM1035" t="str">
        <f>IF([3]Entry!$R$1038="","",[3]Entry!$R$1038)</f>
        <v/>
      </c>
    </row>
    <row r="1036" spans="20:39" x14ac:dyDescent="0.2">
      <c r="T1036" t="str">
        <f>IF([2]Baskol!$B$1039="","",[2]Baskol!$B$1039)</f>
        <v/>
      </c>
      <c r="U1036" t="str">
        <f>IF([2]Baskol!$C$1039="","",[2]Baskol!$C$1039)</f>
        <v/>
      </c>
      <c r="V1036" t="str">
        <f>IF([2]Baskol!$D$1039="","",[2]Baskol!$D$1039)</f>
        <v/>
      </c>
      <c r="W1036" t="str">
        <f>IF([2]Baskol!$E$1039="","",[2]Baskol!$E$1039)</f>
        <v/>
      </c>
      <c r="X1036" t="str">
        <f>IF([2]Baskol!$G$1039="","",[2]Baskol!$G$1039)</f>
        <v/>
      </c>
      <c r="Y1036" t="str">
        <f>IF([2]Baskol!$I$1039="","",[2]Baskol!$I$1039)</f>
        <v/>
      </c>
      <c r="Z1036" t="str">
        <f>IF([2]Baskol!$J$1039="","",[2]Baskol!$J$1039)</f>
        <v/>
      </c>
      <c r="AA1036" t="str">
        <f>IF([2]Baskol!$K$1039="","",[2]Baskol!$K$1039)</f>
        <v/>
      </c>
      <c r="AB1036" t="str">
        <f>IF([2]Baskol!$L$1039="","",[2]Baskol!$L$1039)</f>
        <v/>
      </c>
      <c r="AC1036" t="str">
        <f>IF([2]Baskol!$N$1039="","",[2]Baskol!$N$1039)</f>
        <v/>
      </c>
      <c r="AD1036" t="str">
        <f>IF([2]Baskol!$O$1039="","",[2]Baskol!$O$1039)</f>
        <v/>
      </c>
      <c r="AE1036" t="str">
        <f>IF([3]Entry!$C$1039="","",[3]Entry!$C$1039)</f>
        <v/>
      </c>
      <c r="AF1036" t="str">
        <f>IF([3]Entry!$D$1039="","",[3]Entry!$D$1039)</f>
        <v/>
      </c>
      <c r="AG1036" t="str">
        <f>IF([3]Entry!$E$1039="","",[3]Entry!$E$1039)</f>
        <v/>
      </c>
      <c r="AH1036" t="str">
        <f>IF([3]Entry!$G$1039="","",[3]Entry!$G$1039)</f>
        <v/>
      </c>
      <c r="AI1036" t="str">
        <f>IF([3]Entry!$K$1039="","",[3]Entry!$K$1039)</f>
        <v/>
      </c>
      <c r="AJ1036" t="str">
        <f>IF([3]Entry!$L$1039="","",[3]Entry!$L$1039)</f>
        <v/>
      </c>
      <c r="AK1036" t="str">
        <f>IF([3]Entry!$M$1039="","",[3]Entry!$M$1039)</f>
        <v/>
      </c>
      <c r="AL1036" t="str">
        <f>IF([3]Entry!$N$1039="","",[3]Entry!$N$1039)</f>
        <v/>
      </c>
      <c r="AM1036" t="str">
        <f>IF([3]Entry!$R$1039="","",[3]Entry!$R$1039)</f>
        <v/>
      </c>
    </row>
    <row r="1037" spans="20:39" x14ac:dyDescent="0.2">
      <c r="T1037" t="str">
        <f>IF([2]Baskol!$B$1040="","",[2]Baskol!$B$1040)</f>
        <v/>
      </c>
      <c r="U1037" t="str">
        <f>IF([2]Baskol!$C$1040="","",[2]Baskol!$C$1040)</f>
        <v/>
      </c>
      <c r="V1037" t="str">
        <f>IF([2]Baskol!$D$1040="","",[2]Baskol!$D$1040)</f>
        <v/>
      </c>
      <c r="W1037" t="str">
        <f>IF([2]Baskol!$E$1040="","",[2]Baskol!$E$1040)</f>
        <v/>
      </c>
      <c r="X1037" t="str">
        <f>IF([2]Baskol!$G$1040="","",[2]Baskol!$G$1040)</f>
        <v/>
      </c>
      <c r="Y1037" t="str">
        <f>IF([2]Baskol!$I$1040="","",[2]Baskol!$I$1040)</f>
        <v/>
      </c>
      <c r="Z1037" t="str">
        <f>IF([2]Baskol!$J$1040="","",[2]Baskol!$J$1040)</f>
        <v/>
      </c>
      <c r="AA1037" t="str">
        <f>IF([2]Baskol!$K$1040="","",[2]Baskol!$K$1040)</f>
        <v/>
      </c>
      <c r="AB1037" t="str">
        <f>IF([2]Baskol!$L$1040="","",[2]Baskol!$L$1040)</f>
        <v/>
      </c>
      <c r="AC1037" t="str">
        <f>IF([2]Baskol!$N$1040="","",[2]Baskol!$N$1040)</f>
        <v/>
      </c>
      <c r="AD1037" t="str">
        <f>IF([2]Baskol!$O$1040="","",[2]Baskol!$O$1040)</f>
        <v/>
      </c>
      <c r="AE1037" t="str">
        <f>IF([3]Entry!$C$1040="","",[3]Entry!$C$1040)</f>
        <v/>
      </c>
      <c r="AF1037" t="str">
        <f>IF([3]Entry!$D$1040="","",[3]Entry!$D$1040)</f>
        <v/>
      </c>
      <c r="AG1037" t="str">
        <f>IF([3]Entry!$E$1040="","",[3]Entry!$E$1040)</f>
        <v/>
      </c>
      <c r="AH1037" t="str">
        <f>IF([3]Entry!$G$1040="","",[3]Entry!$G$1040)</f>
        <v/>
      </c>
      <c r="AI1037" t="str">
        <f>IF([3]Entry!$K$1040="","",[3]Entry!$K$1040)</f>
        <v/>
      </c>
      <c r="AJ1037" t="str">
        <f>IF([3]Entry!$L$1040="","",[3]Entry!$L$1040)</f>
        <v/>
      </c>
      <c r="AK1037" t="str">
        <f>IF([3]Entry!$M$1040="","",[3]Entry!$M$1040)</f>
        <v/>
      </c>
      <c r="AL1037" t="str">
        <f>IF([3]Entry!$N$1040="","",[3]Entry!$N$1040)</f>
        <v/>
      </c>
      <c r="AM1037" t="str">
        <f>IF([3]Entry!$R$1040="","",[3]Entry!$R$1040)</f>
        <v/>
      </c>
    </row>
    <row r="1038" spans="20:39" x14ac:dyDescent="0.2">
      <c r="T1038" t="str">
        <f>IF([2]Baskol!$B$1041="","",[2]Baskol!$B$1041)</f>
        <v/>
      </c>
      <c r="U1038" t="str">
        <f>IF([2]Baskol!$C$1041="","",[2]Baskol!$C$1041)</f>
        <v/>
      </c>
      <c r="V1038" t="str">
        <f>IF([2]Baskol!$D$1041="","",[2]Baskol!$D$1041)</f>
        <v/>
      </c>
      <c r="W1038" t="str">
        <f>IF([2]Baskol!$E$1041="","",[2]Baskol!$E$1041)</f>
        <v/>
      </c>
      <c r="X1038" t="str">
        <f>IF([2]Baskol!$G$1041="","",[2]Baskol!$G$1041)</f>
        <v/>
      </c>
      <c r="Y1038" t="str">
        <f>IF([2]Baskol!$I$1041="","",[2]Baskol!$I$1041)</f>
        <v/>
      </c>
      <c r="Z1038" t="str">
        <f>IF([2]Baskol!$J$1041="","",[2]Baskol!$J$1041)</f>
        <v/>
      </c>
      <c r="AA1038" t="str">
        <f>IF([2]Baskol!$K$1041="","",[2]Baskol!$K$1041)</f>
        <v/>
      </c>
      <c r="AB1038" t="str">
        <f>IF([2]Baskol!$L$1041="","",[2]Baskol!$L$1041)</f>
        <v/>
      </c>
      <c r="AC1038" t="str">
        <f>IF([2]Baskol!$N$1041="","",[2]Baskol!$N$1041)</f>
        <v/>
      </c>
      <c r="AD1038" t="str">
        <f>IF([2]Baskol!$O$1041="","",[2]Baskol!$O$1041)</f>
        <v/>
      </c>
      <c r="AE1038" t="str">
        <f>IF([3]Entry!$C$1041="","",[3]Entry!$C$1041)</f>
        <v/>
      </c>
      <c r="AF1038" t="str">
        <f>IF([3]Entry!$D$1041="","",[3]Entry!$D$1041)</f>
        <v/>
      </c>
      <c r="AG1038" t="str">
        <f>IF([3]Entry!$E$1041="","",[3]Entry!$E$1041)</f>
        <v/>
      </c>
      <c r="AH1038" t="str">
        <f>IF([3]Entry!$G$1041="","",[3]Entry!$G$1041)</f>
        <v/>
      </c>
      <c r="AI1038" t="str">
        <f>IF([3]Entry!$K$1041="","",[3]Entry!$K$1041)</f>
        <v/>
      </c>
      <c r="AJ1038" t="str">
        <f>IF([3]Entry!$L$1041="","",[3]Entry!$L$1041)</f>
        <v/>
      </c>
      <c r="AK1038" t="str">
        <f>IF([3]Entry!$M$1041="","",[3]Entry!$M$1041)</f>
        <v/>
      </c>
      <c r="AL1038" t="str">
        <f>IF([3]Entry!$N$1041="","",[3]Entry!$N$1041)</f>
        <v/>
      </c>
      <c r="AM1038" t="str">
        <f>IF([3]Entry!$R$1041="","",[3]Entry!$R$1041)</f>
        <v/>
      </c>
    </row>
    <row r="1039" spans="20:39" x14ac:dyDescent="0.2">
      <c r="T1039" t="str">
        <f>IF([2]Baskol!$B$1042="","",[2]Baskol!$B$1042)</f>
        <v/>
      </c>
      <c r="U1039" t="str">
        <f>IF([2]Baskol!$C$1042="","",[2]Baskol!$C$1042)</f>
        <v/>
      </c>
      <c r="V1039" t="str">
        <f>IF([2]Baskol!$D$1042="","",[2]Baskol!$D$1042)</f>
        <v/>
      </c>
      <c r="W1039" t="str">
        <f>IF([2]Baskol!$E$1042="","",[2]Baskol!$E$1042)</f>
        <v/>
      </c>
      <c r="X1039" t="str">
        <f>IF([2]Baskol!$G$1042="","",[2]Baskol!$G$1042)</f>
        <v/>
      </c>
      <c r="Y1039" t="str">
        <f>IF([2]Baskol!$I$1042="","",[2]Baskol!$I$1042)</f>
        <v/>
      </c>
      <c r="Z1039" t="str">
        <f>IF([2]Baskol!$J$1042="","",[2]Baskol!$J$1042)</f>
        <v/>
      </c>
      <c r="AA1039" t="str">
        <f>IF([2]Baskol!$K$1042="","",[2]Baskol!$K$1042)</f>
        <v/>
      </c>
      <c r="AB1039" t="str">
        <f>IF([2]Baskol!$L$1042="","",[2]Baskol!$L$1042)</f>
        <v/>
      </c>
      <c r="AC1039" t="str">
        <f>IF([2]Baskol!$N$1042="","",[2]Baskol!$N$1042)</f>
        <v/>
      </c>
      <c r="AD1039" t="str">
        <f>IF([2]Baskol!$O$1042="","",[2]Baskol!$O$1042)</f>
        <v/>
      </c>
      <c r="AE1039" t="str">
        <f>IF([3]Entry!$C$1042="","",[3]Entry!$C$1042)</f>
        <v/>
      </c>
      <c r="AF1039" t="str">
        <f>IF([3]Entry!$D$1042="","",[3]Entry!$D$1042)</f>
        <v/>
      </c>
      <c r="AG1039" t="str">
        <f>IF([3]Entry!$E$1042="","",[3]Entry!$E$1042)</f>
        <v/>
      </c>
      <c r="AH1039" t="str">
        <f>IF([3]Entry!$G$1042="","",[3]Entry!$G$1042)</f>
        <v/>
      </c>
      <c r="AI1039" t="str">
        <f>IF([3]Entry!$K$1042="","",[3]Entry!$K$1042)</f>
        <v/>
      </c>
      <c r="AJ1039" t="str">
        <f>IF([3]Entry!$L$1042="","",[3]Entry!$L$1042)</f>
        <v/>
      </c>
      <c r="AK1039" t="str">
        <f>IF([3]Entry!$M$1042="","",[3]Entry!$M$1042)</f>
        <v/>
      </c>
      <c r="AL1039" t="str">
        <f>IF([3]Entry!$N$1042="","",[3]Entry!$N$1042)</f>
        <v/>
      </c>
      <c r="AM1039" t="str">
        <f>IF([3]Entry!$R$1042="","",[3]Entry!$R$1042)</f>
        <v/>
      </c>
    </row>
    <row r="1040" spans="20:39" x14ac:dyDescent="0.2">
      <c r="T1040" t="str">
        <f>IF([2]Baskol!$B$1043="","",[2]Baskol!$B$1043)</f>
        <v/>
      </c>
      <c r="U1040" t="str">
        <f>IF([2]Baskol!$C$1043="","",[2]Baskol!$C$1043)</f>
        <v/>
      </c>
      <c r="V1040" t="str">
        <f>IF([2]Baskol!$D$1043="","",[2]Baskol!$D$1043)</f>
        <v/>
      </c>
      <c r="W1040" t="str">
        <f>IF([2]Baskol!$E$1043="","",[2]Baskol!$E$1043)</f>
        <v/>
      </c>
      <c r="X1040" t="str">
        <f>IF([2]Baskol!$G$1043="","",[2]Baskol!$G$1043)</f>
        <v/>
      </c>
      <c r="Y1040" t="str">
        <f>IF([2]Baskol!$I$1043="","",[2]Baskol!$I$1043)</f>
        <v/>
      </c>
      <c r="Z1040" t="str">
        <f>IF([2]Baskol!$J$1043="","",[2]Baskol!$J$1043)</f>
        <v/>
      </c>
      <c r="AA1040" t="str">
        <f>IF([2]Baskol!$K$1043="","",[2]Baskol!$K$1043)</f>
        <v/>
      </c>
      <c r="AB1040" t="str">
        <f>IF([2]Baskol!$L$1043="","",[2]Baskol!$L$1043)</f>
        <v/>
      </c>
      <c r="AC1040" t="str">
        <f>IF([2]Baskol!$N$1043="","",[2]Baskol!$N$1043)</f>
        <v/>
      </c>
      <c r="AD1040" t="str">
        <f>IF([2]Baskol!$O$1043="","",[2]Baskol!$O$1043)</f>
        <v/>
      </c>
      <c r="AE1040" t="str">
        <f>IF([3]Entry!$C$1043="","",[3]Entry!$C$1043)</f>
        <v/>
      </c>
      <c r="AF1040" t="str">
        <f>IF([3]Entry!$D$1043="","",[3]Entry!$D$1043)</f>
        <v/>
      </c>
      <c r="AG1040" t="str">
        <f>IF([3]Entry!$E$1043="","",[3]Entry!$E$1043)</f>
        <v/>
      </c>
      <c r="AH1040" t="str">
        <f>IF([3]Entry!$G$1043="","",[3]Entry!$G$1043)</f>
        <v/>
      </c>
      <c r="AI1040" t="str">
        <f>IF([3]Entry!$K$1043="","",[3]Entry!$K$1043)</f>
        <v/>
      </c>
      <c r="AJ1040" t="str">
        <f>IF([3]Entry!$L$1043="","",[3]Entry!$L$1043)</f>
        <v/>
      </c>
      <c r="AK1040" t="str">
        <f>IF([3]Entry!$M$1043="","",[3]Entry!$M$1043)</f>
        <v/>
      </c>
      <c r="AL1040" t="str">
        <f>IF([3]Entry!$N$1043="","",[3]Entry!$N$1043)</f>
        <v/>
      </c>
      <c r="AM1040" t="str">
        <f>IF([3]Entry!$R$1043="","",[3]Entry!$R$1043)</f>
        <v/>
      </c>
    </row>
    <row r="1041" spans="20:39" x14ac:dyDescent="0.2">
      <c r="T1041" t="str">
        <f>IF([2]Baskol!$B$1044="","",[2]Baskol!$B$1044)</f>
        <v/>
      </c>
      <c r="U1041" t="str">
        <f>IF([2]Baskol!$C$1044="","",[2]Baskol!$C$1044)</f>
        <v/>
      </c>
      <c r="V1041" t="str">
        <f>IF([2]Baskol!$D$1044="","",[2]Baskol!$D$1044)</f>
        <v/>
      </c>
      <c r="W1041" t="str">
        <f>IF([2]Baskol!$E$1044="","",[2]Baskol!$E$1044)</f>
        <v/>
      </c>
      <c r="X1041" t="str">
        <f>IF([2]Baskol!$G$1044="","",[2]Baskol!$G$1044)</f>
        <v/>
      </c>
      <c r="Y1041" t="str">
        <f>IF([2]Baskol!$I$1044="","",[2]Baskol!$I$1044)</f>
        <v/>
      </c>
      <c r="Z1041" t="str">
        <f>IF([2]Baskol!$J$1044="","",[2]Baskol!$J$1044)</f>
        <v/>
      </c>
      <c r="AA1041" t="str">
        <f>IF([2]Baskol!$K$1044="","",[2]Baskol!$K$1044)</f>
        <v/>
      </c>
      <c r="AB1041" t="str">
        <f>IF([2]Baskol!$L$1044="","",[2]Baskol!$L$1044)</f>
        <v/>
      </c>
      <c r="AC1041" t="str">
        <f>IF([2]Baskol!$N$1044="","",[2]Baskol!$N$1044)</f>
        <v/>
      </c>
      <c r="AD1041" t="str">
        <f>IF([2]Baskol!$O$1044="","",[2]Baskol!$O$1044)</f>
        <v/>
      </c>
      <c r="AE1041" t="str">
        <f>IF([3]Entry!$C$1044="","",[3]Entry!$C$1044)</f>
        <v/>
      </c>
      <c r="AF1041" t="str">
        <f>IF([3]Entry!$D$1044="","",[3]Entry!$D$1044)</f>
        <v/>
      </c>
      <c r="AG1041" t="str">
        <f>IF([3]Entry!$E$1044="","",[3]Entry!$E$1044)</f>
        <v/>
      </c>
      <c r="AH1041" t="str">
        <f>IF([3]Entry!$G$1044="","",[3]Entry!$G$1044)</f>
        <v/>
      </c>
      <c r="AI1041" t="str">
        <f>IF([3]Entry!$K$1044="","",[3]Entry!$K$1044)</f>
        <v/>
      </c>
      <c r="AJ1041" t="str">
        <f>IF([3]Entry!$L$1044="","",[3]Entry!$L$1044)</f>
        <v/>
      </c>
      <c r="AK1041" t="str">
        <f>IF([3]Entry!$M$1044="","",[3]Entry!$M$1044)</f>
        <v/>
      </c>
      <c r="AL1041" t="str">
        <f>IF([3]Entry!$N$1044="","",[3]Entry!$N$1044)</f>
        <v/>
      </c>
      <c r="AM1041" t="str">
        <f>IF([3]Entry!$R$1044="","",[3]Entry!$R$1044)</f>
        <v/>
      </c>
    </row>
    <row r="1042" spans="20:39" x14ac:dyDescent="0.2">
      <c r="T1042" t="str">
        <f>IF([2]Baskol!$B$1045="","",[2]Baskol!$B$1045)</f>
        <v/>
      </c>
      <c r="U1042" t="str">
        <f>IF([2]Baskol!$C$1045="","",[2]Baskol!$C$1045)</f>
        <v/>
      </c>
      <c r="V1042" t="str">
        <f>IF([2]Baskol!$D$1045="","",[2]Baskol!$D$1045)</f>
        <v/>
      </c>
      <c r="W1042" t="str">
        <f>IF([2]Baskol!$E$1045="","",[2]Baskol!$E$1045)</f>
        <v/>
      </c>
      <c r="X1042" t="str">
        <f>IF([2]Baskol!$G$1045="","",[2]Baskol!$G$1045)</f>
        <v/>
      </c>
      <c r="Y1042" t="str">
        <f>IF([2]Baskol!$I$1045="","",[2]Baskol!$I$1045)</f>
        <v/>
      </c>
      <c r="Z1042" t="str">
        <f>IF([2]Baskol!$J$1045="","",[2]Baskol!$J$1045)</f>
        <v/>
      </c>
      <c r="AA1042" t="str">
        <f>IF([2]Baskol!$K$1045="","",[2]Baskol!$K$1045)</f>
        <v/>
      </c>
      <c r="AB1042" t="str">
        <f>IF([2]Baskol!$L$1045="","",[2]Baskol!$L$1045)</f>
        <v/>
      </c>
      <c r="AC1042" t="str">
        <f>IF([2]Baskol!$N$1045="","",[2]Baskol!$N$1045)</f>
        <v/>
      </c>
      <c r="AD1042" t="str">
        <f>IF([2]Baskol!$O$1045="","",[2]Baskol!$O$1045)</f>
        <v/>
      </c>
      <c r="AE1042" t="str">
        <f>IF([3]Entry!$C$1045="","",[3]Entry!$C$1045)</f>
        <v/>
      </c>
      <c r="AF1042" t="str">
        <f>IF([3]Entry!$D$1045="","",[3]Entry!$D$1045)</f>
        <v/>
      </c>
      <c r="AG1042" t="str">
        <f>IF([3]Entry!$E$1045="","",[3]Entry!$E$1045)</f>
        <v/>
      </c>
      <c r="AH1042" t="str">
        <f>IF([3]Entry!$G$1045="","",[3]Entry!$G$1045)</f>
        <v/>
      </c>
      <c r="AI1042" t="str">
        <f>IF([3]Entry!$K$1045="","",[3]Entry!$K$1045)</f>
        <v/>
      </c>
      <c r="AJ1042" t="str">
        <f>IF([3]Entry!$L$1045="","",[3]Entry!$L$1045)</f>
        <v/>
      </c>
      <c r="AK1042" t="str">
        <f>IF([3]Entry!$M$1045="","",[3]Entry!$M$1045)</f>
        <v/>
      </c>
      <c r="AL1042" t="str">
        <f>IF([3]Entry!$N$1045="","",[3]Entry!$N$1045)</f>
        <v/>
      </c>
      <c r="AM1042" t="str">
        <f>IF([3]Entry!$R$1045="","",[3]Entry!$R$1045)</f>
        <v/>
      </c>
    </row>
    <row r="1043" spans="20:39" x14ac:dyDescent="0.2">
      <c r="T1043" t="str">
        <f>IF([2]Baskol!$B$1046="","",[2]Baskol!$B$1046)</f>
        <v/>
      </c>
      <c r="U1043" t="str">
        <f>IF([2]Baskol!$C$1046="","",[2]Baskol!$C$1046)</f>
        <v/>
      </c>
      <c r="V1043" t="str">
        <f>IF([2]Baskol!$D$1046="","",[2]Baskol!$D$1046)</f>
        <v/>
      </c>
      <c r="W1043" t="str">
        <f>IF([2]Baskol!$E$1046="","",[2]Baskol!$E$1046)</f>
        <v/>
      </c>
      <c r="X1043" t="str">
        <f>IF([2]Baskol!$G$1046="","",[2]Baskol!$G$1046)</f>
        <v/>
      </c>
      <c r="Y1043" t="str">
        <f>IF([2]Baskol!$I$1046="","",[2]Baskol!$I$1046)</f>
        <v/>
      </c>
      <c r="Z1043" t="str">
        <f>IF([2]Baskol!$J$1046="","",[2]Baskol!$J$1046)</f>
        <v/>
      </c>
      <c r="AA1043" t="str">
        <f>IF([2]Baskol!$K$1046="","",[2]Baskol!$K$1046)</f>
        <v/>
      </c>
      <c r="AB1043" t="str">
        <f>IF([2]Baskol!$L$1046="","",[2]Baskol!$L$1046)</f>
        <v/>
      </c>
      <c r="AC1043" t="str">
        <f>IF([2]Baskol!$N$1046="","",[2]Baskol!$N$1046)</f>
        <v/>
      </c>
      <c r="AD1043" t="str">
        <f>IF([2]Baskol!$O$1046="","",[2]Baskol!$O$1046)</f>
        <v/>
      </c>
      <c r="AE1043" t="str">
        <f>IF([3]Entry!$C$1046="","",[3]Entry!$C$1046)</f>
        <v/>
      </c>
      <c r="AF1043" t="str">
        <f>IF([3]Entry!$D$1046="","",[3]Entry!$D$1046)</f>
        <v/>
      </c>
      <c r="AG1043" t="str">
        <f>IF([3]Entry!$E$1046="","",[3]Entry!$E$1046)</f>
        <v/>
      </c>
      <c r="AH1043" t="str">
        <f>IF([3]Entry!$G$1046="","",[3]Entry!$G$1046)</f>
        <v/>
      </c>
      <c r="AI1043" t="str">
        <f>IF([3]Entry!$K$1046="","",[3]Entry!$K$1046)</f>
        <v/>
      </c>
      <c r="AJ1043" t="str">
        <f>IF([3]Entry!$L$1046="","",[3]Entry!$L$1046)</f>
        <v/>
      </c>
      <c r="AK1043" t="str">
        <f>IF([3]Entry!$M$1046="","",[3]Entry!$M$1046)</f>
        <v/>
      </c>
      <c r="AL1043" t="str">
        <f>IF([3]Entry!$N$1046="","",[3]Entry!$N$1046)</f>
        <v/>
      </c>
      <c r="AM1043" t="str">
        <f>IF([3]Entry!$R$1046="","",[3]Entry!$R$1046)</f>
        <v/>
      </c>
    </row>
    <row r="1044" spans="20:39" x14ac:dyDescent="0.2">
      <c r="T1044" t="str">
        <f>IF([2]Baskol!$B$1047="","",[2]Baskol!$B$1047)</f>
        <v/>
      </c>
      <c r="U1044" t="str">
        <f>IF([2]Baskol!$C$1047="","",[2]Baskol!$C$1047)</f>
        <v/>
      </c>
      <c r="V1044" t="str">
        <f>IF([2]Baskol!$D$1047="","",[2]Baskol!$D$1047)</f>
        <v/>
      </c>
      <c r="W1044" t="str">
        <f>IF([2]Baskol!$E$1047="","",[2]Baskol!$E$1047)</f>
        <v/>
      </c>
      <c r="X1044" t="str">
        <f>IF([2]Baskol!$G$1047="","",[2]Baskol!$G$1047)</f>
        <v/>
      </c>
      <c r="Y1044" t="str">
        <f>IF([2]Baskol!$I$1047="","",[2]Baskol!$I$1047)</f>
        <v/>
      </c>
      <c r="Z1044" t="str">
        <f>IF([2]Baskol!$J$1047="","",[2]Baskol!$J$1047)</f>
        <v/>
      </c>
      <c r="AA1044" t="str">
        <f>IF([2]Baskol!$K$1047="","",[2]Baskol!$K$1047)</f>
        <v/>
      </c>
      <c r="AB1044" t="str">
        <f>IF([2]Baskol!$L$1047="","",[2]Baskol!$L$1047)</f>
        <v/>
      </c>
      <c r="AC1044" t="str">
        <f>IF([2]Baskol!$N$1047="","",[2]Baskol!$N$1047)</f>
        <v/>
      </c>
      <c r="AD1044" t="str">
        <f>IF([2]Baskol!$O$1047="","",[2]Baskol!$O$1047)</f>
        <v/>
      </c>
      <c r="AE1044" t="str">
        <f>IF([3]Entry!$C$1047="","",[3]Entry!$C$1047)</f>
        <v/>
      </c>
      <c r="AF1044" t="str">
        <f>IF([3]Entry!$D$1047="","",[3]Entry!$D$1047)</f>
        <v/>
      </c>
      <c r="AG1044" t="str">
        <f>IF([3]Entry!$E$1047="","",[3]Entry!$E$1047)</f>
        <v/>
      </c>
      <c r="AH1044" t="str">
        <f>IF([3]Entry!$G$1047="","",[3]Entry!$G$1047)</f>
        <v/>
      </c>
      <c r="AI1044" t="str">
        <f>IF([3]Entry!$K$1047="","",[3]Entry!$K$1047)</f>
        <v/>
      </c>
      <c r="AJ1044" t="str">
        <f>IF([3]Entry!$L$1047="","",[3]Entry!$L$1047)</f>
        <v/>
      </c>
      <c r="AK1044" t="str">
        <f>IF([3]Entry!$M$1047="","",[3]Entry!$M$1047)</f>
        <v/>
      </c>
      <c r="AL1044" t="str">
        <f>IF([3]Entry!$N$1047="","",[3]Entry!$N$1047)</f>
        <v/>
      </c>
      <c r="AM1044" t="str">
        <f>IF([3]Entry!$R$1047="","",[3]Entry!$R$1047)</f>
        <v/>
      </c>
    </row>
    <row r="1045" spans="20:39" x14ac:dyDescent="0.2">
      <c r="T1045" t="str">
        <f>IF([2]Baskol!$B$1048="","",[2]Baskol!$B$1048)</f>
        <v/>
      </c>
      <c r="U1045" t="str">
        <f>IF([2]Baskol!$C$1048="","",[2]Baskol!$C$1048)</f>
        <v/>
      </c>
      <c r="V1045" t="str">
        <f>IF([2]Baskol!$D$1048="","",[2]Baskol!$D$1048)</f>
        <v/>
      </c>
      <c r="W1045" t="str">
        <f>IF([2]Baskol!$E$1048="","",[2]Baskol!$E$1048)</f>
        <v/>
      </c>
      <c r="X1045" t="str">
        <f>IF([2]Baskol!$G$1048="","",[2]Baskol!$G$1048)</f>
        <v/>
      </c>
      <c r="Y1045" t="str">
        <f>IF([2]Baskol!$I$1048="","",[2]Baskol!$I$1048)</f>
        <v/>
      </c>
      <c r="Z1045" t="str">
        <f>IF([2]Baskol!$J$1048="","",[2]Baskol!$J$1048)</f>
        <v/>
      </c>
      <c r="AA1045" t="str">
        <f>IF([2]Baskol!$K$1048="","",[2]Baskol!$K$1048)</f>
        <v/>
      </c>
      <c r="AB1045" t="str">
        <f>IF([2]Baskol!$L$1048="","",[2]Baskol!$L$1048)</f>
        <v/>
      </c>
      <c r="AC1045" t="str">
        <f>IF([2]Baskol!$N$1048="","",[2]Baskol!$N$1048)</f>
        <v/>
      </c>
      <c r="AD1045" t="str">
        <f>IF([2]Baskol!$O$1048="","",[2]Baskol!$O$1048)</f>
        <v/>
      </c>
      <c r="AE1045" t="str">
        <f>IF([3]Entry!$C$1048="","",[3]Entry!$C$1048)</f>
        <v/>
      </c>
      <c r="AF1045" t="str">
        <f>IF([3]Entry!$D$1048="","",[3]Entry!$D$1048)</f>
        <v/>
      </c>
      <c r="AG1045" t="str">
        <f>IF([3]Entry!$E$1048="","",[3]Entry!$E$1048)</f>
        <v/>
      </c>
      <c r="AH1045" t="str">
        <f>IF([3]Entry!$G$1048="","",[3]Entry!$G$1048)</f>
        <v/>
      </c>
      <c r="AI1045" t="str">
        <f>IF([3]Entry!$K$1048="","",[3]Entry!$K$1048)</f>
        <v/>
      </c>
      <c r="AJ1045" t="str">
        <f>IF([3]Entry!$L$1048="","",[3]Entry!$L$1048)</f>
        <v/>
      </c>
      <c r="AK1045" t="str">
        <f>IF([3]Entry!$M$1048="","",[3]Entry!$M$1048)</f>
        <v/>
      </c>
      <c r="AL1045" t="str">
        <f>IF([3]Entry!$N$1048="","",[3]Entry!$N$1048)</f>
        <v/>
      </c>
      <c r="AM1045" t="str">
        <f>IF([3]Entry!$R$1048="","",[3]Entry!$R$1048)</f>
        <v/>
      </c>
    </row>
    <row r="1046" spans="20:39" x14ac:dyDescent="0.2">
      <c r="T1046" t="str">
        <f>IF([2]Baskol!$B$1049="","",[2]Baskol!$B$1049)</f>
        <v/>
      </c>
      <c r="U1046" t="str">
        <f>IF([2]Baskol!$C$1049="","",[2]Baskol!$C$1049)</f>
        <v/>
      </c>
      <c r="V1046" t="str">
        <f>IF([2]Baskol!$D$1049="","",[2]Baskol!$D$1049)</f>
        <v/>
      </c>
      <c r="W1046" t="str">
        <f>IF([2]Baskol!$E$1049="","",[2]Baskol!$E$1049)</f>
        <v/>
      </c>
      <c r="X1046" t="str">
        <f>IF([2]Baskol!$G$1049="","",[2]Baskol!$G$1049)</f>
        <v/>
      </c>
      <c r="Y1046" t="str">
        <f>IF([2]Baskol!$I$1049="","",[2]Baskol!$I$1049)</f>
        <v/>
      </c>
      <c r="Z1046" t="str">
        <f>IF([2]Baskol!$J$1049="","",[2]Baskol!$J$1049)</f>
        <v/>
      </c>
      <c r="AA1046" t="str">
        <f>IF([2]Baskol!$K$1049="","",[2]Baskol!$K$1049)</f>
        <v/>
      </c>
      <c r="AB1046" t="str">
        <f>IF([2]Baskol!$L$1049="","",[2]Baskol!$L$1049)</f>
        <v/>
      </c>
      <c r="AC1046" t="str">
        <f>IF([2]Baskol!$N$1049="","",[2]Baskol!$N$1049)</f>
        <v/>
      </c>
      <c r="AD1046" t="str">
        <f>IF([2]Baskol!$O$1049="","",[2]Baskol!$O$1049)</f>
        <v/>
      </c>
      <c r="AE1046" t="str">
        <f>IF([3]Entry!$C$1049="","",[3]Entry!$C$1049)</f>
        <v/>
      </c>
      <c r="AF1046" t="str">
        <f>IF([3]Entry!$D$1049="","",[3]Entry!$D$1049)</f>
        <v/>
      </c>
      <c r="AG1046" t="str">
        <f>IF([3]Entry!$E$1049="","",[3]Entry!$E$1049)</f>
        <v/>
      </c>
      <c r="AH1046" t="str">
        <f>IF([3]Entry!$G$1049="","",[3]Entry!$G$1049)</f>
        <v/>
      </c>
      <c r="AI1046" t="str">
        <f>IF([3]Entry!$K$1049="","",[3]Entry!$K$1049)</f>
        <v/>
      </c>
      <c r="AJ1046" t="str">
        <f>IF([3]Entry!$L$1049="","",[3]Entry!$L$1049)</f>
        <v/>
      </c>
      <c r="AK1046" t="str">
        <f>IF([3]Entry!$M$1049="","",[3]Entry!$M$1049)</f>
        <v/>
      </c>
      <c r="AL1046" t="str">
        <f>IF([3]Entry!$N$1049="","",[3]Entry!$N$1049)</f>
        <v/>
      </c>
      <c r="AM1046" t="str">
        <f>IF([3]Entry!$R$1049="","",[3]Entry!$R$1049)</f>
        <v/>
      </c>
    </row>
    <row r="1047" spans="20:39" x14ac:dyDescent="0.2">
      <c r="T1047" t="str">
        <f>IF([2]Baskol!$B$1050="","",[2]Baskol!$B$1050)</f>
        <v/>
      </c>
      <c r="U1047" t="str">
        <f>IF([2]Baskol!$C$1050="","",[2]Baskol!$C$1050)</f>
        <v/>
      </c>
      <c r="V1047" t="str">
        <f>IF([2]Baskol!$D$1050="","",[2]Baskol!$D$1050)</f>
        <v/>
      </c>
      <c r="W1047" t="str">
        <f>IF([2]Baskol!$E$1050="","",[2]Baskol!$E$1050)</f>
        <v/>
      </c>
      <c r="X1047" t="str">
        <f>IF([2]Baskol!$G$1050="","",[2]Baskol!$G$1050)</f>
        <v/>
      </c>
      <c r="Y1047" t="str">
        <f>IF([2]Baskol!$I$1050="","",[2]Baskol!$I$1050)</f>
        <v/>
      </c>
      <c r="Z1047" t="str">
        <f>IF([2]Baskol!$J$1050="","",[2]Baskol!$J$1050)</f>
        <v/>
      </c>
      <c r="AA1047" t="str">
        <f>IF([2]Baskol!$K$1050="","",[2]Baskol!$K$1050)</f>
        <v/>
      </c>
      <c r="AB1047" t="str">
        <f>IF([2]Baskol!$L$1050="","",[2]Baskol!$L$1050)</f>
        <v/>
      </c>
      <c r="AC1047" t="str">
        <f>IF([2]Baskol!$N$1050="","",[2]Baskol!$N$1050)</f>
        <v/>
      </c>
      <c r="AD1047" t="str">
        <f>IF([2]Baskol!$O$1050="","",[2]Baskol!$O$1050)</f>
        <v/>
      </c>
      <c r="AE1047" t="str">
        <f>IF([3]Entry!$C$1050="","",[3]Entry!$C$1050)</f>
        <v/>
      </c>
      <c r="AF1047" t="str">
        <f>IF([3]Entry!$D$1050="","",[3]Entry!$D$1050)</f>
        <v/>
      </c>
      <c r="AG1047" t="str">
        <f>IF([3]Entry!$E$1050="","",[3]Entry!$E$1050)</f>
        <v/>
      </c>
      <c r="AH1047" t="str">
        <f>IF([3]Entry!$G$1050="","",[3]Entry!$G$1050)</f>
        <v/>
      </c>
      <c r="AI1047" t="str">
        <f>IF([3]Entry!$K$1050="","",[3]Entry!$K$1050)</f>
        <v/>
      </c>
      <c r="AJ1047" t="str">
        <f>IF([3]Entry!$L$1050="","",[3]Entry!$L$1050)</f>
        <v/>
      </c>
      <c r="AK1047" t="str">
        <f>IF([3]Entry!$M$1050="","",[3]Entry!$M$1050)</f>
        <v/>
      </c>
      <c r="AL1047" t="str">
        <f>IF([3]Entry!$N$1050="","",[3]Entry!$N$1050)</f>
        <v/>
      </c>
      <c r="AM1047" t="str">
        <f>IF([3]Entry!$R$1050="","",[3]Entry!$R$1050)</f>
        <v/>
      </c>
    </row>
    <row r="1048" spans="20:39" x14ac:dyDescent="0.2">
      <c r="T1048" t="str">
        <f>IF([2]Baskol!$B$1051="","",[2]Baskol!$B$1051)</f>
        <v/>
      </c>
      <c r="U1048" t="str">
        <f>IF([2]Baskol!$C$1051="","",[2]Baskol!$C$1051)</f>
        <v/>
      </c>
      <c r="V1048" t="str">
        <f>IF([2]Baskol!$D$1051="","",[2]Baskol!$D$1051)</f>
        <v/>
      </c>
      <c r="W1048" t="str">
        <f>IF([2]Baskol!$E$1051="","",[2]Baskol!$E$1051)</f>
        <v/>
      </c>
      <c r="X1048" t="str">
        <f>IF([2]Baskol!$G$1051="","",[2]Baskol!$G$1051)</f>
        <v/>
      </c>
      <c r="Y1048" t="str">
        <f>IF([2]Baskol!$I$1051="","",[2]Baskol!$I$1051)</f>
        <v/>
      </c>
      <c r="Z1048" t="str">
        <f>IF([2]Baskol!$J$1051="","",[2]Baskol!$J$1051)</f>
        <v/>
      </c>
      <c r="AA1048" t="str">
        <f>IF([2]Baskol!$K$1051="","",[2]Baskol!$K$1051)</f>
        <v/>
      </c>
      <c r="AB1048" t="str">
        <f>IF([2]Baskol!$L$1051="","",[2]Baskol!$L$1051)</f>
        <v/>
      </c>
      <c r="AC1048" t="str">
        <f>IF([2]Baskol!$N$1051="","",[2]Baskol!$N$1051)</f>
        <v/>
      </c>
      <c r="AD1048" t="str">
        <f>IF([2]Baskol!$O$1051="","",[2]Baskol!$O$1051)</f>
        <v/>
      </c>
      <c r="AE1048" t="str">
        <f>IF([3]Entry!$C$1051="","",[3]Entry!$C$1051)</f>
        <v/>
      </c>
      <c r="AF1048" t="str">
        <f>IF([3]Entry!$D$1051="","",[3]Entry!$D$1051)</f>
        <v/>
      </c>
      <c r="AG1048" t="str">
        <f>IF([3]Entry!$E$1051="","",[3]Entry!$E$1051)</f>
        <v/>
      </c>
      <c r="AH1048" t="str">
        <f>IF([3]Entry!$G$1051="","",[3]Entry!$G$1051)</f>
        <v/>
      </c>
      <c r="AI1048" t="str">
        <f>IF([3]Entry!$K$1051="","",[3]Entry!$K$1051)</f>
        <v/>
      </c>
      <c r="AJ1048" t="str">
        <f>IF([3]Entry!$L$1051="","",[3]Entry!$L$1051)</f>
        <v/>
      </c>
      <c r="AK1048" t="str">
        <f>IF([3]Entry!$M$1051="","",[3]Entry!$M$1051)</f>
        <v/>
      </c>
      <c r="AL1048" t="str">
        <f>IF([3]Entry!$N$1051="","",[3]Entry!$N$1051)</f>
        <v/>
      </c>
      <c r="AM1048" t="str">
        <f>IF([3]Entry!$R$1051="","",[3]Entry!$R$1051)</f>
        <v/>
      </c>
    </row>
    <row r="1049" spans="20:39" x14ac:dyDescent="0.2">
      <c r="T1049" t="str">
        <f>IF([2]Baskol!$B$1052="","",[2]Baskol!$B$1052)</f>
        <v/>
      </c>
      <c r="U1049" t="str">
        <f>IF([2]Baskol!$C$1052="","",[2]Baskol!$C$1052)</f>
        <v/>
      </c>
      <c r="V1049" t="str">
        <f>IF([2]Baskol!$D$1052="","",[2]Baskol!$D$1052)</f>
        <v/>
      </c>
      <c r="W1049" t="str">
        <f>IF([2]Baskol!$E$1052="","",[2]Baskol!$E$1052)</f>
        <v/>
      </c>
      <c r="X1049" t="str">
        <f>IF([2]Baskol!$G$1052="","",[2]Baskol!$G$1052)</f>
        <v/>
      </c>
      <c r="Y1049" t="str">
        <f>IF([2]Baskol!$I$1052="","",[2]Baskol!$I$1052)</f>
        <v/>
      </c>
      <c r="Z1049" t="str">
        <f>IF([2]Baskol!$J$1052="","",[2]Baskol!$J$1052)</f>
        <v/>
      </c>
      <c r="AA1049" t="str">
        <f>IF([2]Baskol!$K$1052="","",[2]Baskol!$K$1052)</f>
        <v/>
      </c>
      <c r="AB1049" t="str">
        <f>IF([2]Baskol!$L$1052="","",[2]Baskol!$L$1052)</f>
        <v/>
      </c>
      <c r="AC1049" t="str">
        <f>IF([2]Baskol!$N$1052="","",[2]Baskol!$N$1052)</f>
        <v/>
      </c>
      <c r="AD1049" t="str">
        <f>IF([2]Baskol!$O$1052="","",[2]Baskol!$O$1052)</f>
        <v/>
      </c>
      <c r="AE1049" t="str">
        <f>IF([3]Entry!$C$1052="","",[3]Entry!$C$1052)</f>
        <v/>
      </c>
      <c r="AF1049" t="str">
        <f>IF([3]Entry!$D$1052="","",[3]Entry!$D$1052)</f>
        <v/>
      </c>
      <c r="AG1049" t="str">
        <f>IF([3]Entry!$E$1052="","",[3]Entry!$E$1052)</f>
        <v/>
      </c>
      <c r="AH1049" t="str">
        <f>IF([3]Entry!$G$1052="","",[3]Entry!$G$1052)</f>
        <v/>
      </c>
      <c r="AI1049" t="str">
        <f>IF([3]Entry!$K$1052="","",[3]Entry!$K$1052)</f>
        <v/>
      </c>
      <c r="AJ1049" t="str">
        <f>IF([3]Entry!$L$1052="","",[3]Entry!$L$1052)</f>
        <v/>
      </c>
      <c r="AK1049" t="str">
        <f>IF([3]Entry!$M$1052="","",[3]Entry!$M$1052)</f>
        <v/>
      </c>
      <c r="AL1049" t="str">
        <f>IF([3]Entry!$N$1052="","",[3]Entry!$N$1052)</f>
        <v/>
      </c>
      <c r="AM1049" t="str">
        <f>IF([3]Entry!$R$1052="","",[3]Entry!$R$1052)</f>
        <v/>
      </c>
    </row>
    <row r="1050" spans="20:39" x14ac:dyDescent="0.2">
      <c r="T1050" t="str">
        <f>IF([2]Baskol!$B$1053="","",[2]Baskol!$B$1053)</f>
        <v/>
      </c>
      <c r="U1050" t="str">
        <f>IF([2]Baskol!$C$1053="","",[2]Baskol!$C$1053)</f>
        <v/>
      </c>
      <c r="V1050" t="str">
        <f>IF([2]Baskol!$D$1053="","",[2]Baskol!$D$1053)</f>
        <v/>
      </c>
      <c r="W1050" t="str">
        <f>IF([2]Baskol!$E$1053="","",[2]Baskol!$E$1053)</f>
        <v/>
      </c>
      <c r="X1050" t="str">
        <f>IF([2]Baskol!$G$1053="","",[2]Baskol!$G$1053)</f>
        <v/>
      </c>
      <c r="Y1050" t="str">
        <f>IF([2]Baskol!$I$1053="","",[2]Baskol!$I$1053)</f>
        <v/>
      </c>
      <c r="Z1050" t="str">
        <f>IF([2]Baskol!$J$1053="","",[2]Baskol!$J$1053)</f>
        <v/>
      </c>
      <c r="AA1050" t="str">
        <f>IF([2]Baskol!$K$1053="","",[2]Baskol!$K$1053)</f>
        <v/>
      </c>
      <c r="AB1050" t="str">
        <f>IF([2]Baskol!$L$1053="","",[2]Baskol!$L$1053)</f>
        <v/>
      </c>
      <c r="AC1050" t="str">
        <f>IF([2]Baskol!$N$1053="","",[2]Baskol!$N$1053)</f>
        <v/>
      </c>
      <c r="AD1050" t="str">
        <f>IF([2]Baskol!$O$1053="","",[2]Baskol!$O$1053)</f>
        <v/>
      </c>
      <c r="AE1050" t="str">
        <f>IF([3]Entry!$C$1053="","",[3]Entry!$C$1053)</f>
        <v/>
      </c>
      <c r="AF1050" t="str">
        <f>IF([3]Entry!$D$1053="","",[3]Entry!$D$1053)</f>
        <v/>
      </c>
      <c r="AG1050" t="str">
        <f>IF([3]Entry!$E$1053="","",[3]Entry!$E$1053)</f>
        <v/>
      </c>
      <c r="AH1050" t="str">
        <f>IF([3]Entry!$G$1053="","",[3]Entry!$G$1053)</f>
        <v/>
      </c>
      <c r="AI1050" t="str">
        <f>IF([3]Entry!$K$1053="","",[3]Entry!$K$1053)</f>
        <v/>
      </c>
      <c r="AJ1050" t="str">
        <f>IF([3]Entry!$L$1053="","",[3]Entry!$L$1053)</f>
        <v/>
      </c>
      <c r="AK1050" t="str">
        <f>IF([3]Entry!$M$1053="","",[3]Entry!$M$1053)</f>
        <v/>
      </c>
      <c r="AL1050" t="str">
        <f>IF([3]Entry!$N$1053="","",[3]Entry!$N$1053)</f>
        <v/>
      </c>
      <c r="AM1050" t="str">
        <f>IF([3]Entry!$R$1053="","",[3]Entry!$R$1053)</f>
        <v/>
      </c>
    </row>
    <row r="1051" spans="20:39" x14ac:dyDescent="0.2">
      <c r="T1051" t="str">
        <f>IF([2]Baskol!$B$1054="","",[2]Baskol!$B$1054)</f>
        <v/>
      </c>
      <c r="U1051" t="str">
        <f>IF([2]Baskol!$C$1054="","",[2]Baskol!$C$1054)</f>
        <v/>
      </c>
      <c r="V1051" t="str">
        <f>IF([2]Baskol!$D$1054="","",[2]Baskol!$D$1054)</f>
        <v/>
      </c>
      <c r="W1051" t="str">
        <f>IF([2]Baskol!$E$1054="","",[2]Baskol!$E$1054)</f>
        <v/>
      </c>
      <c r="X1051" t="str">
        <f>IF([2]Baskol!$G$1054="","",[2]Baskol!$G$1054)</f>
        <v/>
      </c>
      <c r="Y1051" t="str">
        <f>IF([2]Baskol!$I$1054="","",[2]Baskol!$I$1054)</f>
        <v/>
      </c>
      <c r="Z1051" t="str">
        <f>IF([2]Baskol!$J$1054="","",[2]Baskol!$J$1054)</f>
        <v/>
      </c>
      <c r="AA1051" t="str">
        <f>IF([2]Baskol!$K$1054="","",[2]Baskol!$K$1054)</f>
        <v/>
      </c>
      <c r="AB1051" t="str">
        <f>IF([2]Baskol!$L$1054="","",[2]Baskol!$L$1054)</f>
        <v/>
      </c>
      <c r="AC1051" t="str">
        <f>IF([2]Baskol!$N$1054="","",[2]Baskol!$N$1054)</f>
        <v/>
      </c>
      <c r="AD1051" t="str">
        <f>IF([2]Baskol!$O$1054="","",[2]Baskol!$O$1054)</f>
        <v/>
      </c>
      <c r="AE1051" t="str">
        <f>IF([3]Entry!$C$1054="","",[3]Entry!$C$1054)</f>
        <v/>
      </c>
      <c r="AF1051" t="str">
        <f>IF([3]Entry!$D$1054="","",[3]Entry!$D$1054)</f>
        <v/>
      </c>
      <c r="AG1051" t="str">
        <f>IF([3]Entry!$E$1054="","",[3]Entry!$E$1054)</f>
        <v/>
      </c>
      <c r="AH1051" t="str">
        <f>IF([3]Entry!$G$1054="","",[3]Entry!$G$1054)</f>
        <v/>
      </c>
      <c r="AI1051" t="str">
        <f>IF([3]Entry!$K$1054="","",[3]Entry!$K$1054)</f>
        <v/>
      </c>
      <c r="AJ1051" t="str">
        <f>IF([3]Entry!$L$1054="","",[3]Entry!$L$1054)</f>
        <v/>
      </c>
      <c r="AK1051" t="str">
        <f>IF([3]Entry!$M$1054="","",[3]Entry!$M$1054)</f>
        <v/>
      </c>
      <c r="AL1051" t="str">
        <f>IF([3]Entry!$N$1054="","",[3]Entry!$N$1054)</f>
        <v/>
      </c>
      <c r="AM1051" t="str">
        <f>IF([3]Entry!$R$1054="","",[3]Entry!$R$1054)</f>
        <v/>
      </c>
    </row>
    <row r="1052" spans="20:39" x14ac:dyDescent="0.2">
      <c r="T1052" t="str">
        <f>IF([2]Baskol!$B$1055="","",[2]Baskol!$B$1055)</f>
        <v/>
      </c>
      <c r="U1052" t="str">
        <f>IF([2]Baskol!$C$1055="","",[2]Baskol!$C$1055)</f>
        <v/>
      </c>
      <c r="V1052" t="str">
        <f>IF([2]Baskol!$D$1055="","",[2]Baskol!$D$1055)</f>
        <v/>
      </c>
      <c r="W1052" t="str">
        <f>IF([2]Baskol!$E$1055="","",[2]Baskol!$E$1055)</f>
        <v/>
      </c>
      <c r="X1052" t="str">
        <f>IF([2]Baskol!$G$1055="","",[2]Baskol!$G$1055)</f>
        <v/>
      </c>
      <c r="Y1052" t="str">
        <f>IF([2]Baskol!$I$1055="","",[2]Baskol!$I$1055)</f>
        <v/>
      </c>
      <c r="Z1052" t="str">
        <f>IF([2]Baskol!$J$1055="","",[2]Baskol!$J$1055)</f>
        <v/>
      </c>
      <c r="AA1052" t="str">
        <f>IF([2]Baskol!$K$1055="","",[2]Baskol!$K$1055)</f>
        <v/>
      </c>
      <c r="AB1052" t="str">
        <f>IF([2]Baskol!$L$1055="","",[2]Baskol!$L$1055)</f>
        <v/>
      </c>
      <c r="AC1052" t="str">
        <f>IF([2]Baskol!$N$1055="","",[2]Baskol!$N$1055)</f>
        <v/>
      </c>
      <c r="AD1052" t="str">
        <f>IF([2]Baskol!$O$1055="","",[2]Baskol!$O$1055)</f>
        <v/>
      </c>
      <c r="AE1052" t="str">
        <f>IF([3]Entry!$C$1055="","",[3]Entry!$C$1055)</f>
        <v/>
      </c>
      <c r="AF1052" t="str">
        <f>IF([3]Entry!$D$1055="","",[3]Entry!$D$1055)</f>
        <v/>
      </c>
      <c r="AG1052" t="str">
        <f>IF([3]Entry!$E$1055="","",[3]Entry!$E$1055)</f>
        <v/>
      </c>
      <c r="AH1052" t="str">
        <f>IF([3]Entry!$G$1055="","",[3]Entry!$G$1055)</f>
        <v/>
      </c>
      <c r="AI1052" t="str">
        <f>IF([3]Entry!$K$1055="","",[3]Entry!$K$1055)</f>
        <v/>
      </c>
      <c r="AJ1052" t="str">
        <f>IF([3]Entry!$L$1055="","",[3]Entry!$L$1055)</f>
        <v/>
      </c>
      <c r="AK1052" t="str">
        <f>IF([3]Entry!$M$1055="","",[3]Entry!$M$1055)</f>
        <v/>
      </c>
      <c r="AL1052" t="str">
        <f>IF([3]Entry!$N$1055="","",[3]Entry!$N$1055)</f>
        <v/>
      </c>
      <c r="AM1052" t="str">
        <f>IF([3]Entry!$R$1055="","",[3]Entry!$R$1055)</f>
        <v/>
      </c>
    </row>
    <row r="1053" spans="20:39" x14ac:dyDescent="0.2">
      <c r="T1053" t="str">
        <f>IF([2]Baskol!$B$1056="","",[2]Baskol!$B$1056)</f>
        <v/>
      </c>
      <c r="U1053" t="str">
        <f>IF([2]Baskol!$C$1056="","",[2]Baskol!$C$1056)</f>
        <v/>
      </c>
      <c r="V1053" t="str">
        <f>IF([2]Baskol!$D$1056="","",[2]Baskol!$D$1056)</f>
        <v/>
      </c>
      <c r="W1053" t="str">
        <f>IF([2]Baskol!$E$1056="","",[2]Baskol!$E$1056)</f>
        <v/>
      </c>
      <c r="X1053" t="str">
        <f>IF([2]Baskol!$G$1056="","",[2]Baskol!$G$1056)</f>
        <v/>
      </c>
      <c r="Y1053" t="str">
        <f>IF([2]Baskol!$I$1056="","",[2]Baskol!$I$1056)</f>
        <v/>
      </c>
      <c r="Z1053" t="str">
        <f>IF([2]Baskol!$J$1056="","",[2]Baskol!$J$1056)</f>
        <v/>
      </c>
      <c r="AA1053" t="str">
        <f>IF([2]Baskol!$K$1056="","",[2]Baskol!$K$1056)</f>
        <v/>
      </c>
      <c r="AB1053" t="str">
        <f>IF([2]Baskol!$L$1056="","",[2]Baskol!$L$1056)</f>
        <v/>
      </c>
      <c r="AC1053" t="str">
        <f>IF([2]Baskol!$N$1056="","",[2]Baskol!$N$1056)</f>
        <v/>
      </c>
      <c r="AD1053" t="str">
        <f>IF([2]Baskol!$O$1056="","",[2]Baskol!$O$1056)</f>
        <v/>
      </c>
      <c r="AE1053" t="str">
        <f>IF([3]Entry!$C$1056="","",[3]Entry!$C$1056)</f>
        <v/>
      </c>
      <c r="AF1053" t="str">
        <f>IF([3]Entry!$D$1056="","",[3]Entry!$D$1056)</f>
        <v/>
      </c>
      <c r="AG1053" t="str">
        <f>IF([3]Entry!$E$1056="","",[3]Entry!$E$1056)</f>
        <v/>
      </c>
      <c r="AH1053" t="str">
        <f>IF([3]Entry!$G$1056="","",[3]Entry!$G$1056)</f>
        <v/>
      </c>
      <c r="AI1053" t="str">
        <f>IF([3]Entry!$K$1056="","",[3]Entry!$K$1056)</f>
        <v/>
      </c>
      <c r="AJ1053" t="str">
        <f>IF([3]Entry!$L$1056="","",[3]Entry!$L$1056)</f>
        <v/>
      </c>
      <c r="AK1053" t="str">
        <f>IF([3]Entry!$M$1056="","",[3]Entry!$M$1056)</f>
        <v/>
      </c>
      <c r="AL1053" t="str">
        <f>IF([3]Entry!$N$1056="","",[3]Entry!$N$1056)</f>
        <v/>
      </c>
      <c r="AM1053" t="str">
        <f>IF([3]Entry!$R$1056="","",[3]Entry!$R$1056)</f>
        <v/>
      </c>
    </row>
    <row r="1054" spans="20:39" x14ac:dyDescent="0.2">
      <c r="T1054" t="str">
        <f>IF([2]Baskol!$B$1057="","",[2]Baskol!$B$1057)</f>
        <v/>
      </c>
      <c r="U1054" t="str">
        <f>IF([2]Baskol!$C$1057="","",[2]Baskol!$C$1057)</f>
        <v/>
      </c>
      <c r="V1054" t="str">
        <f>IF([2]Baskol!$D$1057="","",[2]Baskol!$D$1057)</f>
        <v/>
      </c>
      <c r="W1054" t="str">
        <f>IF([2]Baskol!$E$1057="","",[2]Baskol!$E$1057)</f>
        <v/>
      </c>
      <c r="X1054" t="str">
        <f>IF([2]Baskol!$G$1057="","",[2]Baskol!$G$1057)</f>
        <v/>
      </c>
      <c r="Y1054" t="str">
        <f>IF([2]Baskol!$I$1057="","",[2]Baskol!$I$1057)</f>
        <v/>
      </c>
      <c r="Z1054" t="str">
        <f>IF([2]Baskol!$J$1057="","",[2]Baskol!$J$1057)</f>
        <v/>
      </c>
      <c r="AA1054" t="str">
        <f>IF([2]Baskol!$K$1057="","",[2]Baskol!$K$1057)</f>
        <v/>
      </c>
      <c r="AB1054" t="str">
        <f>IF([2]Baskol!$L$1057="","",[2]Baskol!$L$1057)</f>
        <v/>
      </c>
      <c r="AC1054" t="str">
        <f>IF([2]Baskol!$N$1057="","",[2]Baskol!$N$1057)</f>
        <v/>
      </c>
      <c r="AD1054" t="str">
        <f>IF([2]Baskol!$O$1057="","",[2]Baskol!$O$1057)</f>
        <v/>
      </c>
      <c r="AE1054" t="str">
        <f>IF([3]Entry!$C$1057="","",[3]Entry!$C$1057)</f>
        <v/>
      </c>
      <c r="AF1054" t="str">
        <f>IF([3]Entry!$D$1057="","",[3]Entry!$D$1057)</f>
        <v/>
      </c>
      <c r="AG1054" t="str">
        <f>IF([3]Entry!$E$1057="","",[3]Entry!$E$1057)</f>
        <v/>
      </c>
      <c r="AH1054" t="str">
        <f>IF([3]Entry!$G$1057="","",[3]Entry!$G$1057)</f>
        <v/>
      </c>
      <c r="AI1054" t="str">
        <f>IF([3]Entry!$K$1057="","",[3]Entry!$K$1057)</f>
        <v/>
      </c>
      <c r="AJ1054" t="str">
        <f>IF([3]Entry!$L$1057="","",[3]Entry!$L$1057)</f>
        <v/>
      </c>
      <c r="AK1054" t="str">
        <f>IF([3]Entry!$M$1057="","",[3]Entry!$M$1057)</f>
        <v/>
      </c>
      <c r="AL1054" t="str">
        <f>IF([3]Entry!$N$1057="","",[3]Entry!$N$1057)</f>
        <v/>
      </c>
      <c r="AM1054" t="str">
        <f>IF([3]Entry!$R$1057="","",[3]Entry!$R$1057)</f>
        <v/>
      </c>
    </row>
    <row r="1055" spans="20:39" x14ac:dyDescent="0.2">
      <c r="T1055" t="str">
        <f>IF([2]Baskol!$B$1058="","",[2]Baskol!$B$1058)</f>
        <v/>
      </c>
      <c r="U1055" t="str">
        <f>IF([2]Baskol!$C$1058="","",[2]Baskol!$C$1058)</f>
        <v/>
      </c>
      <c r="V1055" t="str">
        <f>IF([2]Baskol!$D$1058="","",[2]Baskol!$D$1058)</f>
        <v/>
      </c>
      <c r="W1055" t="str">
        <f>IF([2]Baskol!$E$1058="","",[2]Baskol!$E$1058)</f>
        <v/>
      </c>
      <c r="X1055" t="str">
        <f>IF([2]Baskol!$G$1058="","",[2]Baskol!$G$1058)</f>
        <v/>
      </c>
      <c r="Y1055" t="str">
        <f>IF([2]Baskol!$I$1058="","",[2]Baskol!$I$1058)</f>
        <v/>
      </c>
      <c r="Z1055" t="str">
        <f>IF([2]Baskol!$J$1058="","",[2]Baskol!$J$1058)</f>
        <v/>
      </c>
      <c r="AA1055" t="str">
        <f>IF([2]Baskol!$K$1058="","",[2]Baskol!$K$1058)</f>
        <v/>
      </c>
      <c r="AB1055" t="str">
        <f>IF([2]Baskol!$L$1058="","",[2]Baskol!$L$1058)</f>
        <v/>
      </c>
      <c r="AC1055" t="str">
        <f>IF([2]Baskol!$N$1058="","",[2]Baskol!$N$1058)</f>
        <v/>
      </c>
      <c r="AD1055" t="str">
        <f>IF([2]Baskol!$O$1058="","",[2]Baskol!$O$1058)</f>
        <v/>
      </c>
      <c r="AE1055" t="str">
        <f>IF([3]Entry!$C$1058="","",[3]Entry!$C$1058)</f>
        <v/>
      </c>
      <c r="AF1055" t="str">
        <f>IF([3]Entry!$D$1058="","",[3]Entry!$D$1058)</f>
        <v/>
      </c>
      <c r="AG1055" t="str">
        <f>IF([3]Entry!$E$1058="","",[3]Entry!$E$1058)</f>
        <v/>
      </c>
      <c r="AH1055" t="str">
        <f>IF([3]Entry!$G$1058="","",[3]Entry!$G$1058)</f>
        <v/>
      </c>
      <c r="AI1055" t="str">
        <f>IF([3]Entry!$K$1058="","",[3]Entry!$K$1058)</f>
        <v/>
      </c>
      <c r="AJ1055" t="str">
        <f>IF([3]Entry!$L$1058="","",[3]Entry!$L$1058)</f>
        <v/>
      </c>
      <c r="AK1055" t="str">
        <f>IF([3]Entry!$M$1058="","",[3]Entry!$M$1058)</f>
        <v/>
      </c>
      <c r="AL1055" t="str">
        <f>IF([3]Entry!$N$1058="","",[3]Entry!$N$1058)</f>
        <v/>
      </c>
      <c r="AM1055" t="str">
        <f>IF([3]Entry!$R$1058="","",[3]Entry!$R$1058)</f>
        <v/>
      </c>
    </row>
    <row r="1056" spans="20:39" x14ac:dyDescent="0.2">
      <c r="T1056" t="str">
        <f>IF([2]Baskol!$B$1059="","",[2]Baskol!$B$1059)</f>
        <v/>
      </c>
      <c r="U1056" t="str">
        <f>IF([2]Baskol!$C$1059="","",[2]Baskol!$C$1059)</f>
        <v/>
      </c>
      <c r="V1056" t="str">
        <f>IF([2]Baskol!$D$1059="","",[2]Baskol!$D$1059)</f>
        <v/>
      </c>
      <c r="W1056" t="str">
        <f>IF([2]Baskol!$E$1059="","",[2]Baskol!$E$1059)</f>
        <v/>
      </c>
      <c r="X1056" t="str">
        <f>IF([2]Baskol!$G$1059="","",[2]Baskol!$G$1059)</f>
        <v/>
      </c>
      <c r="Y1056" t="str">
        <f>IF([2]Baskol!$I$1059="","",[2]Baskol!$I$1059)</f>
        <v/>
      </c>
      <c r="Z1056" t="str">
        <f>IF([2]Baskol!$J$1059="","",[2]Baskol!$J$1059)</f>
        <v/>
      </c>
      <c r="AA1056" t="str">
        <f>IF([2]Baskol!$K$1059="","",[2]Baskol!$K$1059)</f>
        <v/>
      </c>
      <c r="AB1056" t="str">
        <f>IF([2]Baskol!$L$1059="","",[2]Baskol!$L$1059)</f>
        <v/>
      </c>
      <c r="AC1056" t="str">
        <f>IF([2]Baskol!$N$1059="","",[2]Baskol!$N$1059)</f>
        <v/>
      </c>
      <c r="AD1056" t="str">
        <f>IF([2]Baskol!$O$1059="","",[2]Baskol!$O$1059)</f>
        <v/>
      </c>
      <c r="AE1056" t="str">
        <f>IF([3]Entry!$C$1059="","",[3]Entry!$C$1059)</f>
        <v/>
      </c>
      <c r="AF1056" t="str">
        <f>IF([3]Entry!$D$1059="","",[3]Entry!$D$1059)</f>
        <v/>
      </c>
      <c r="AG1056" t="str">
        <f>IF([3]Entry!$E$1059="","",[3]Entry!$E$1059)</f>
        <v/>
      </c>
      <c r="AH1056" t="str">
        <f>IF([3]Entry!$G$1059="","",[3]Entry!$G$1059)</f>
        <v/>
      </c>
      <c r="AI1056" t="str">
        <f>IF([3]Entry!$K$1059="","",[3]Entry!$K$1059)</f>
        <v/>
      </c>
      <c r="AJ1056" t="str">
        <f>IF([3]Entry!$L$1059="","",[3]Entry!$L$1059)</f>
        <v/>
      </c>
      <c r="AK1056" t="str">
        <f>IF([3]Entry!$M$1059="","",[3]Entry!$M$1059)</f>
        <v/>
      </c>
      <c r="AL1056" t="str">
        <f>IF([3]Entry!$N$1059="","",[3]Entry!$N$1059)</f>
        <v/>
      </c>
      <c r="AM1056" t="str">
        <f>IF([3]Entry!$R$1059="","",[3]Entry!$R$1059)</f>
        <v/>
      </c>
    </row>
    <row r="1057" spans="20:39" x14ac:dyDescent="0.2">
      <c r="T1057" t="str">
        <f>IF([2]Baskol!$B$1060="","",[2]Baskol!$B$1060)</f>
        <v/>
      </c>
      <c r="U1057" t="str">
        <f>IF([2]Baskol!$C$1060="","",[2]Baskol!$C$1060)</f>
        <v/>
      </c>
      <c r="V1057" t="str">
        <f>IF([2]Baskol!$D$1060="","",[2]Baskol!$D$1060)</f>
        <v/>
      </c>
      <c r="W1057" t="str">
        <f>IF([2]Baskol!$E$1060="","",[2]Baskol!$E$1060)</f>
        <v/>
      </c>
      <c r="X1057" t="str">
        <f>IF([2]Baskol!$G$1060="","",[2]Baskol!$G$1060)</f>
        <v/>
      </c>
      <c r="Y1057" t="str">
        <f>IF([2]Baskol!$I$1060="","",[2]Baskol!$I$1060)</f>
        <v/>
      </c>
      <c r="Z1057" t="str">
        <f>IF([2]Baskol!$J$1060="","",[2]Baskol!$J$1060)</f>
        <v/>
      </c>
      <c r="AA1057" t="str">
        <f>IF([2]Baskol!$K$1060="","",[2]Baskol!$K$1060)</f>
        <v/>
      </c>
      <c r="AB1057" t="str">
        <f>IF([2]Baskol!$L$1060="","",[2]Baskol!$L$1060)</f>
        <v/>
      </c>
      <c r="AC1057" t="str">
        <f>IF([2]Baskol!$N$1060="","",[2]Baskol!$N$1060)</f>
        <v/>
      </c>
      <c r="AD1057" t="str">
        <f>IF([2]Baskol!$O$1060="","",[2]Baskol!$O$1060)</f>
        <v/>
      </c>
      <c r="AE1057" t="str">
        <f>IF([3]Entry!$C$1060="","",[3]Entry!$C$1060)</f>
        <v/>
      </c>
      <c r="AF1057" t="str">
        <f>IF([3]Entry!$D$1060="","",[3]Entry!$D$1060)</f>
        <v/>
      </c>
      <c r="AG1057" t="str">
        <f>IF([3]Entry!$E$1060="","",[3]Entry!$E$1060)</f>
        <v/>
      </c>
      <c r="AH1057" t="str">
        <f>IF([3]Entry!$G$1060="","",[3]Entry!$G$1060)</f>
        <v/>
      </c>
      <c r="AI1057" t="str">
        <f>IF([3]Entry!$K$1060="","",[3]Entry!$K$1060)</f>
        <v/>
      </c>
      <c r="AJ1057" t="str">
        <f>IF([3]Entry!$L$1060="","",[3]Entry!$L$1060)</f>
        <v/>
      </c>
      <c r="AK1057" t="str">
        <f>IF([3]Entry!$M$1060="","",[3]Entry!$M$1060)</f>
        <v/>
      </c>
      <c r="AL1057" t="str">
        <f>IF([3]Entry!$N$1060="","",[3]Entry!$N$1060)</f>
        <v/>
      </c>
      <c r="AM1057" t="str">
        <f>IF([3]Entry!$R$1060="","",[3]Entry!$R$1060)</f>
        <v/>
      </c>
    </row>
    <row r="1058" spans="20:39" x14ac:dyDescent="0.2">
      <c r="T1058" t="str">
        <f>IF([2]Baskol!$B$1061="","",[2]Baskol!$B$1061)</f>
        <v/>
      </c>
      <c r="U1058" t="str">
        <f>IF([2]Baskol!$C$1061="","",[2]Baskol!$C$1061)</f>
        <v/>
      </c>
      <c r="V1058" t="str">
        <f>IF([2]Baskol!$D$1061="","",[2]Baskol!$D$1061)</f>
        <v/>
      </c>
      <c r="W1058" t="str">
        <f>IF([2]Baskol!$E$1061="","",[2]Baskol!$E$1061)</f>
        <v/>
      </c>
      <c r="X1058" t="str">
        <f>IF([2]Baskol!$G$1061="","",[2]Baskol!$G$1061)</f>
        <v/>
      </c>
      <c r="Y1058" t="str">
        <f>IF([2]Baskol!$I$1061="","",[2]Baskol!$I$1061)</f>
        <v/>
      </c>
      <c r="Z1058" t="str">
        <f>IF([2]Baskol!$J$1061="","",[2]Baskol!$J$1061)</f>
        <v/>
      </c>
      <c r="AA1058" t="str">
        <f>IF([2]Baskol!$K$1061="","",[2]Baskol!$K$1061)</f>
        <v/>
      </c>
      <c r="AB1058" t="str">
        <f>IF([2]Baskol!$L$1061="","",[2]Baskol!$L$1061)</f>
        <v/>
      </c>
      <c r="AC1058" t="str">
        <f>IF([2]Baskol!$N$1061="","",[2]Baskol!$N$1061)</f>
        <v/>
      </c>
      <c r="AD1058" t="str">
        <f>IF([2]Baskol!$O$1061="","",[2]Baskol!$O$1061)</f>
        <v/>
      </c>
      <c r="AE1058" t="str">
        <f>IF([3]Entry!$C$1061="","",[3]Entry!$C$1061)</f>
        <v/>
      </c>
      <c r="AF1058" t="str">
        <f>IF([3]Entry!$D$1061="","",[3]Entry!$D$1061)</f>
        <v/>
      </c>
      <c r="AG1058" t="str">
        <f>IF([3]Entry!$E$1061="","",[3]Entry!$E$1061)</f>
        <v/>
      </c>
      <c r="AH1058" t="str">
        <f>IF([3]Entry!$G$1061="","",[3]Entry!$G$1061)</f>
        <v/>
      </c>
      <c r="AI1058" t="str">
        <f>IF([3]Entry!$K$1061="","",[3]Entry!$K$1061)</f>
        <v/>
      </c>
      <c r="AJ1058" t="str">
        <f>IF([3]Entry!$L$1061="","",[3]Entry!$L$1061)</f>
        <v/>
      </c>
      <c r="AK1058" t="str">
        <f>IF([3]Entry!$M$1061="","",[3]Entry!$M$1061)</f>
        <v/>
      </c>
      <c r="AL1058" t="str">
        <f>IF([3]Entry!$N$1061="","",[3]Entry!$N$1061)</f>
        <v/>
      </c>
      <c r="AM1058" t="str">
        <f>IF([3]Entry!$R$1061="","",[3]Entry!$R$1061)</f>
        <v/>
      </c>
    </row>
    <row r="1059" spans="20:39" x14ac:dyDescent="0.2">
      <c r="T1059" t="str">
        <f>IF([2]Baskol!$B$1062="","",[2]Baskol!$B$1062)</f>
        <v/>
      </c>
      <c r="U1059" t="str">
        <f>IF([2]Baskol!$C$1062="","",[2]Baskol!$C$1062)</f>
        <v/>
      </c>
      <c r="V1059" t="str">
        <f>IF([2]Baskol!$D$1062="","",[2]Baskol!$D$1062)</f>
        <v/>
      </c>
      <c r="W1059" t="str">
        <f>IF([2]Baskol!$E$1062="","",[2]Baskol!$E$1062)</f>
        <v/>
      </c>
      <c r="X1059" t="str">
        <f>IF([2]Baskol!$G$1062="","",[2]Baskol!$G$1062)</f>
        <v/>
      </c>
      <c r="Y1059" t="str">
        <f>IF([2]Baskol!$I$1062="","",[2]Baskol!$I$1062)</f>
        <v/>
      </c>
      <c r="Z1059" t="str">
        <f>IF([2]Baskol!$J$1062="","",[2]Baskol!$J$1062)</f>
        <v/>
      </c>
      <c r="AA1059" t="str">
        <f>IF([2]Baskol!$K$1062="","",[2]Baskol!$K$1062)</f>
        <v/>
      </c>
      <c r="AB1059" t="str">
        <f>IF([2]Baskol!$L$1062="","",[2]Baskol!$L$1062)</f>
        <v/>
      </c>
      <c r="AC1059" t="str">
        <f>IF([2]Baskol!$N$1062="","",[2]Baskol!$N$1062)</f>
        <v/>
      </c>
      <c r="AD1059" t="str">
        <f>IF([2]Baskol!$O$1062="","",[2]Baskol!$O$1062)</f>
        <v/>
      </c>
      <c r="AE1059" t="str">
        <f>IF([3]Entry!$C$1062="","",[3]Entry!$C$1062)</f>
        <v/>
      </c>
      <c r="AF1059" t="str">
        <f>IF([3]Entry!$D$1062="","",[3]Entry!$D$1062)</f>
        <v/>
      </c>
      <c r="AG1059" t="str">
        <f>IF([3]Entry!$E$1062="","",[3]Entry!$E$1062)</f>
        <v/>
      </c>
      <c r="AH1059" t="str">
        <f>IF([3]Entry!$G$1062="","",[3]Entry!$G$1062)</f>
        <v/>
      </c>
      <c r="AI1059" t="str">
        <f>IF([3]Entry!$K$1062="","",[3]Entry!$K$1062)</f>
        <v/>
      </c>
      <c r="AJ1059" t="str">
        <f>IF([3]Entry!$L$1062="","",[3]Entry!$L$1062)</f>
        <v/>
      </c>
      <c r="AK1059" t="str">
        <f>IF([3]Entry!$M$1062="","",[3]Entry!$M$1062)</f>
        <v/>
      </c>
      <c r="AL1059" t="str">
        <f>IF([3]Entry!$N$1062="","",[3]Entry!$N$1062)</f>
        <v/>
      </c>
      <c r="AM1059" t="str">
        <f>IF([3]Entry!$R$1062="","",[3]Entry!$R$1062)</f>
        <v/>
      </c>
    </row>
    <row r="1060" spans="20:39" x14ac:dyDescent="0.2">
      <c r="T1060" t="str">
        <f>IF([2]Baskol!$B$1063="","",[2]Baskol!$B$1063)</f>
        <v/>
      </c>
      <c r="U1060" t="str">
        <f>IF([2]Baskol!$C$1063="","",[2]Baskol!$C$1063)</f>
        <v/>
      </c>
      <c r="V1060" t="str">
        <f>IF([2]Baskol!$D$1063="","",[2]Baskol!$D$1063)</f>
        <v/>
      </c>
      <c r="W1060" t="str">
        <f>IF([2]Baskol!$E$1063="","",[2]Baskol!$E$1063)</f>
        <v/>
      </c>
      <c r="X1060" t="str">
        <f>IF([2]Baskol!$G$1063="","",[2]Baskol!$G$1063)</f>
        <v/>
      </c>
      <c r="Y1060" t="str">
        <f>IF([2]Baskol!$I$1063="","",[2]Baskol!$I$1063)</f>
        <v/>
      </c>
      <c r="Z1060" t="str">
        <f>IF([2]Baskol!$J$1063="","",[2]Baskol!$J$1063)</f>
        <v/>
      </c>
      <c r="AA1060" t="str">
        <f>IF([2]Baskol!$K$1063="","",[2]Baskol!$K$1063)</f>
        <v/>
      </c>
      <c r="AB1060" t="str">
        <f>IF([2]Baskol!$L$1063="","",[2]Baskol!$L$1063)</f>
        <v/>
      </c>
      <c r="AC1060" t="str">
        <f>IF([2]Baskol!$N$1063="","",[2]Baskol!$N$1063)</f>
        <v/>
      </c>
      <c r="AD1060" t="str">
        <f>IF([2]Baskol!$O$1063="","",[2]Baskol!$O$1063)</f>
        <v/>
      </c>
      <c r="AE1060" t="str">
        <f>IF([3]Entry!$C$1063="","",[3]Entry!$C$1063)</f>
        <v/>
      </c>
      <c r="AF1060" t="str">
        <f>IF([3]Entry!$D$1063="","",[3]Entry!$D$1063)</f>
        <v/>
      </c>
      <c r="AG1060" t="str">
        <f>IF([3]Entry!$E$1063="","",[3]Entry!$E$1063)</f>
        <v/>
      </c>
      <c r="AH1060" t="str">
        <f>IF([3]Entry!$G$1063="","",[3]Entry!$G$1063)</f>
        <v/>
      </c>
      <c r="AI1060" t="str">
        <f>IF([3]Entry!$K$1063="","",[3]Entry!$K$1063)</f>
        <v/>
      </c>
      <c r="AJ1060" t="str">
        <f>IF([3]Entry!$L$1063="","",[3]Entry!$L$1063)</f>
        <v/>
      </c>
      <c r="AK1060" t="str">
        <f>IF([3]Entry!$M$1063="","",[3]Entry!$M$1063)</f>
        <v/>
      </c>
      <c r="AL1060" t="str">
        <f>IF([3]Entry!$N$1063="","",[3]Entry!$N$1063)</f>
        <v/>
      </c>
      <c r="AM1060" t="str">
        <f>IF([3]Entry!$R$1063="","",[3]Entry!$R$1063)</f>
        <v/>
      </c>
    </row>
    <row r="1061" spans="20:39" x14ac:dyDescent="0.2">
      <c r="T1061" t="str">
        <f>IF([2]Baskol!$B$1064="","",[2]Baskol!$B$1064)</f>
        <v/>
      </c>
      <c r="U1061" t="str">
        <f>IF([2]Baskol!$C$1064="","",[2]Baskol!$C$1064)</f>
        <v/>
      </c>
      <c r="V1061" t="str">
        <f>IF([2]Baskol!$D$1064="","",[2]Baskol!$D$1064)</f>
        <v/>
      </c>
      <c r="W1061" t="str">
        <f>IF([2]Baskol!$E$1064="","",[2]Baskol!$E$1064)</f>
        <v/>
      </c>
      <c r="X1061" t="str">
        <f>IF([2]Baskol!$G$1064="","",[2]Baskol!$G$1064)</f>
        <v/>
      </c>
      <c r="Y1061" t="str">
        <f>IF([2]Baskol!$I$1064="","",[2]Baskol!$I$1064)</f>
        <v/>
      </c>
      <c r="Z1061" t="str">
        <f>IF([2]Baskol!$J$1064="","",[2]Baskol!$J$1064)</f>
        <v/>
      </c>
      <c r="AA1061" t="str">
        <f>IF([2]Baskol!$K$1064="","",[2]Baskol!$K$1064)</f>
        <v/>
      </c>
      <c r="AB1061" t="str">
        <f>IF([2]Baskol!$L$1064="","",[2]Baskol!$L$1064)</f>
        <v/>
      </c>
      <c r="AC1061" t="str">
        <f>IF([2]Baskol!$N$1064="","",[2]Baskol!$N$1064)</f>
        <v/>
      </c>
      <c r="AD1061" t="str">
        <f>IF([2]Baskol!$O$1064="","",[2]Baskol!$O$1064)</f>
        <v/>
      </c>
      <c r="AE1061" t="str">
        <f>IF([3]Entry!$C$1064="","",[3]Entry!$C$1064)</f>
        <v/>
      </c>
      <c r="AF1061" t="str">
        <f>IF([3]Entry!$D$1064="","",[3]Entry!$D$1064)</f>
        <v/>
      </c>
      <c r="AG1061" t="str">
        <f>IF([3]Entry!$E$1064="","",[3]Entry!$E$1064)</f>
        <v/>
      </c>
      <c r="AH1061" t="str">
        <f>IF([3]Entry!$G$1064="","",[3]Entry!$G$1064)</f>
        <v/>
      </c>
      <c r="AI1061" t="str">
        <f>IF([3]Entry!$K$1064="","",[3]Entry!$K$1064)</f>
        <v/>
      </c>
      <c r="AJ1061" t="str">
        <f>IF([3]Entry!$L$1064="","",[3]Entry!$L$1064)</f>
        <v/>
      </c>
      <c r="AK1061" t="str">
        <f>IF([3]Entry!$M$1064="","",[3]Entry!$M$1064)</f>
        <v/>
      </c>
      <c r="AL1061" t="str">
        <f>IF([3]Entry!$N$1064="","",[3]Entry!$N$1064)</f>
        <v/>
      </c>
      <c r="AM1061" t="str">
        <f>IF([3]Entry!$R$1064="","",[3]Entry!$R$1064)</f>
        <v/>
      </c>
    </row>
    <row r="1062" spans="20:39" x14ac:dyDescent="0.2">
      <c r="T1062" t="str">
        <f>IF([2]Baskol!$B$1065="","",[2]Baskol!$B$1065)</f>
        <v/>
      </c>
      <c r="U1062" t="str">
        <f>IF([2]Baskol!$C$1065="","",[2]Baskol!$C$1065)</f>
        <v/>
      </c>
      <c r="V1062" t="str">
        <f>IF([2]Baskol!$D$1065="","",[2]Baskol!$D$1065)</f>
        <v/>
      </c>
      <c r="W1062" t="str">
        <f>IF([2]Baskol!$E$1065="","",[2]Baskol!$E$1065)</f>
        <v/>
      </c>
      <c r="X1062" t="str">
        <f>IF([2]Baskol!$G$1065="","",[2]Baskol!$G$1065)</f>
        <v/>
      </c>
      <c r="Y1062" t="str">
        <f>IF([2]Baskol!$I$1065="","",[2]Baskol!$I$1065)</f>
        <v/>
      </c>
      <c r="Z1062" t="str">
        <f>IF([2]Baskol!$J$1065="","",[2]Baskol!$J$1065)</f>
        <v/>
      </c>
      <c r="AA1062" t="str">
        <f>IF([2]Baskol!$K$1065="","",[2]Baskol!$K$1065)</f>
        <v/>
      </c>
      <c r="AB1062" t="str">
        <f>IF([2]Baskol!$L$1065="","",[2]Baskol!$L$1065)</f>
        <v/>
      </c>
      <c r="AC1062" t="str">
        <f>IF([2]Baskol!$N$1065="","",[2]Baskol!$N$1065)</f>
        <v/>
      </c>
      <c r="AD1062" t="str">
        <f>IF([2]Baskol!$O$1065="","",[2]Baskol!$O$1065)</f>
        <v/>
      </c>
      <c r="AE1062" t="str">
        <f>IF([3]Entry!$C$1065="","",[3]Entry!$C$1065)</f>
        <v/>
      </c>
      <c r="AF1062" t="str">
        <f>IF([3]Entry!$D$1065="","",[3]Entry!$D$1065)</f>
        <v/>
      </c>
      <c r="AG1062" t="str">
        <f>IF([3]Entry!$E$1065="","",[3]Entry!$E$1065)</f>
        <v/>
      </c>
      <c r="AH1062" t="str">
        <f>IF([3]Entry!$G$1065="","",[3]Entry!$G$1065)</f>
        <v/>
      </c>
      <c r="AI1062" t="str">
        <f>IF([3]Entry!$K$1065="","",[3]Entry!$K$1065)</f>
        <v/>
      </c>
      <c r="AJ1062" t="str">
        <f>IF([3]Entry!$L$1065="","",[3]Entry!$L$1065)</f>
        <v/>
      </c>
      <c r="AK1062" t="str">
        <f>IF([3]Entry!$M$1065="","",[3]Entry!$M$1065)</f>
        <v/>
      </c>
      <c r="AL1062" t="str">
        <f>IF([3]Entry!$N$1065="","",[3]Entry!$N$1065)</f>
        <v/>
      </c>
      <c r="AM1062" t="str">
        <f>IF([3]Entry!$R$1065="","",[3]Entry!$R$1065)</f>
        <v/>
      </c>
    </row>
    <row r="1063" spans="20:39" x14ac:dyDescent="0.2">
      <c r="T1063" t="str">
        <f>IF([2]Baskol!$B$1066="","",[2]Baskol!$B$1066)</f>
        <v/>
      </c>
      <c r="U1063" t="str">
        <f>IF([2]Baskol!$C$1066="","",[2]Baskol!$C$1066)</f>
        <v/>
      </c>
      <c r="V1063" t="str">
        <f>IF([2]Baskol!$D$1066="","",[2]Baskol!$D$1066)</f>
        <v/>
      </c>
      <c r="W1063" t="str">
        <f>IF([2]Baskol!$E$1066="","",[2]Baskol!$E$1066)</f>
        <v/>
      </c>
      <c r="X1063" t="str">
        <f>IF([2]Baskol!$G$1066="","",[2]Baskol!$G$1066)</f>
        <v/>
      </c>
      <c r="Y1063" t="str">
        <f>IF([2]Baskol!$I$1066="","",[2]Baskol!$I$1066)</f>
        <v/>
      </c>
      <c r="Z1063" t="str">
        <f>IF([2]Baskol!$J$1066="","",[2]Baskol!$J$1066)</f>
        <v/>
      </c>
      <c r="AA1063" t="str">
        <f>IF([2]Baskol!$K$1066="","",[2]Baskol!$K$1066)</f>
        <v/>
      </c>
      <c r="AB1063" t="str">
        <f>IF([2]Baskol!$L$1066="","",[2]Baskol!$L$1066)</f>
        <v/>
      </c>
      <c r="AC1063" t="str">
        <f>IF([2]Baskol!$N$1066="","",[2]Baskol!$N$1066)</f>
        <v/>
      </c>
      <c r="AD1063" t="str">
        <f>IF([2]Baskol!$O$1066="","",[2]Baskol!$O$1066)</f>
        <v/>
      </c>
      <c r="AE1063" t="str">
        <f>IF([3]Entry!$C$1066="","",[3]Entry!$C$1066)</f>
        <v/>
      </c>
      <c r="AF1063" t="str">
        <f>IF([3]Entry!$D$1066="","",[3]Entry!$D$1066)</f>
        <v/>
      </c>
      <c r="AG1063" t="str">
        <f>IF([3]Entry!$E$1066="","",[3]Entry!$E$1066)</f>
        <v/>
      </c>
      <c r="AH1063" t="str">
        <f>IF([3]Entry!$G$1066="","",[3]Entry!$G$1066)</f>
        <v/>
      </c>
      <c r="AI1063" t="str">
        <f>IF([3]Entry!$K$1066="","",[3]Entry!$K$1066)</f>
        <v/>
      </c>
      <c r="AJ1063" t="str">
        <f>IF([3]Entry!$L$1066="","",[3]Entry!$L$1066)</f>
        <v/>
      </c>
      <c r="AK1063" t="str">
        <f>IF([3]Entry!$M$1066="","",[3]Entry!$M$1066)</f>
        <v/>
      </c>
      <c r="AL1063" t="str">
        <f>IF([3]Entry!$N$1066="","",[3]Entry!$N$1066)</f>
        <v/>
      </c>
      <c r="AM1063" t="str">
        <f>IF([3]Entry!$R$1066="","",[3]Entry!$R$1066)</f>
        <v/>
      </c>
    </row>
    <row r="1064" spans="20:39" x14ac:dyDescent="0.2">
      <c r="T1064" t="str">
        <f>IF([2]Baskol!$B$1067="","",[2]Baskol!$B$1067)</f>
        <v/>
      </c>
      <c r="U1064" t="str">
        <f>IF([2]Baskol!$C$1067="","",[2]Baskol!$C$1067)</f>
        <v/>
      </c>
      <c r="V1064" t="str">
        <f>IF([2]Baskol!$D$1067="","",[2]Baskol!$D$1067)</f>
        <v/>
      </c>
      <c r="W1064" t="str">
        <f>IF([2]Baskol!$E$1067="","",[2]Baskol!$E$1067)</f>
        <v/>
      </c>
      <c r="X1064" t="str">
        <f>IF([2]Baskol!$G$1067="","",[2]Baskol!$G$1067)</f>
        <v/>
      </c>
      <c r="Y1064" t="str">
        <f>IF([2]Baskol!$I$1067="","",[2]Baskol!$I$1067)</f>
        <v/>
      </c>
      <c r="Z1064" t="str">
        <f>IF([2]Baskol!$J$1067="","",[2]Baskol!$J$1067)</f>
        <v/>
      </c>
      <c r="AA1064" t="str">
        <f>IF([2]Baskol!$K$1067="","",[2]Baskol!$K$1067)</f>
        <v/>
      </c>
      <c r="AB1064" t="str">
        <f>IF([2]Baskol!$L$1067="","",[2]Baskol!$L$1067)</f>
        <v/>
      </c>
      <c r="AC1064" t="str">
        <f>IF([2]Baskol!$N$1067="","",[2]Baskol!$N$1067)</f>
        <v/>
      </c>
      <c r="AD1064" t="str">
        <f>IF([2]Baskol!$O$1067="","",[2]Baskol!$O$1067)</f>
        <v/>
      </c>
      <c r="AE1064" t="str">
        <f>IF([3]Entry!$C$1067="","",[3]Entry!$C$1067)</f>
        <v/>
      </c>
      <c r="AF1064" t="str">
        <f>IF([3]Entry!$D$1067="","",[3]Entry!$D$1067)</f>
        <v/>
      </c>
      <c r="AG1064" t="str">
        <f>IF([3]Entry!$E$1067="","",[3]Entry!$E$1067)</f>
        <v/>
      </c>
      <c r="AH1064" t="str">
        <f>IF([3]Entry!$G$1067="","",[3]Entry!$G$1067)</f>
        <v/>
      </c>
      <c r="AI1064" t="str">
        <f>IF([3]Entry!$K$1067="","",[3]Entry!$K$1067)</f>
        <v/>
      </c>
      <c r="AJ1064" t="str">
        <f>IF([3]Entry!$L$1067="","",[3]Entry!$L$1067)</f>
        <v/>
      </c>
      <c r="AK1064" t="str">
        <f>IF([3]Entry!$M$1067="","",[3]Entry!$M$1067)</f>
        <v/>
      </c>
      <c r="AL1064" t="str">
        <f>IF([3]Entry!$N$1067="","",[3]Entry!$N$1067)</f>
        <v/>
      </c>
      <c r="AM1064" t="str">
        <f>IF([3]Entry!$R$1067="","",[3]Entry!$R$1067)</f>
        <v/>
      </c>
    </row>
    <row r="1065" spans="20:39" x14ac:dyDescent="0.2">
      <c r="T1065" t="str">
        <f>IF([2]Baskol!$B$1068="","",[2]Baskol!$B$1068)</f>
        <v/>
      </c>
      <c r="U1065" t="str">
        <f>IF([2]Baskol!$C$1068="","",[2]Baskol!$C$1068)</f>
        <v/>
      </c>
      <c r="V1065" t="str">
        <f>IF([2]Baskol!$D$1068="","",[2]Baskol!$D$1068)</f>
        <v/>
      </c>
      <c r="W1065" t="str">
        <f>IF([2]Baskol!$E$1068="","",[2]Baskol!$E$1068)</f>
        <v/>
      </c>
      <c r="X1065" t="str">
        <f>IF([2]Baskol!$G$1068="","",[2]Baskol!$G$1068)</f>
        <v/>
      </c>
      <c r="Y1065" t="str">
        <f>IF([2]Baskol!$I$1068="","",[2]Baskol!$I$1068)</f>
        <v/>
      </c>
      <c r="Z1065" t="str">
        <f>IF([2]Baskol!$J$1068="","",[2]Baskol!$J$1068)</f>
        <v/>
      </c>
      <c r="AA1065" t="str">
        <f>IF([2]Baskol!$K$1068="","",[2]Baskol!$K$1068)</f>
        <v/>
      </c>
      <c r="AB1065" t="str">
        <f>IF([2]Baskol!$L$1068="","",[2]Baskol!$L$1068)</f>
        <v/>
      </c>
      <c r="AC1065" t="str">
        <f>IF([2]Baskol!$N$1068="","",[2]Baskol!$N$1068)</f>
        <v/>
      </c>
      <c r="AD1065" t="str">
        <f>IF([2]Baskol!$O$1068="","",[2]Baskol!$O$1068)</f>
        <v/>
      </c>
      <c r="AE1065" t="str">
        <f>IF([3]Entry!$C$1068="","",[3]Entry!$C$1068)</f>
        <v/>
      </c>
      <c r="AF1065" t="str">
        <f>IF([3]Entry!$D$1068="","",[3]Entry!$D$1068)</f>
        <v/>
      </c>
      <c r="AG1065" t="str">
        <f>IF([3]Entry!$E$1068="","",[3]Entry!$E$1068)</f>
        <v/>
      </c>
      <c r="AH1065" t="str">
        <f>IF([3]Entry!$G$1068="","",[3]Entry!$G$1068)</f>
        <v/>
      </c>
      <c r="AI1065" t="str">
        <f>IF([3]Entry!$K$1068="","",[3]Entry!$K$1068)</f>
        <v/>
      </c>
      <c r="AJ1065" t="str">
        <f>IF([3]Entry!$L$1068="","",[3]Entry!$L$1068)</f>
        <v/>
      </c>
      <c r="AK1065" t="str">
        <f>IF([3]Entry!$M$1068="","",[3]Entry!$M$1068)</f>
        <v/>
      </c>
      <c r="AL1065" t="str">
        <f>IF([3]Entry!$N$1068="","",[3]Entry!$N$1068)</f>
        <v/>
      </c>
      <c r="AM1065" t="str">
        <f>IF([3]Entry!$R$1068="","",[3]Entry!$R$1068)</f>
        <v/>
      </c>
    </row>
    <row r="1066" spans="20:39" x14ac:dyDescent="0.2">
      <c r="T1066" t="str">
        <f>IF([2]Baskol!$B$1069="","",[2]Baskol!$B$1069)</f>
        <v/>
      </c>
      <c r="U1066" t="str">
        <f>IF([2]Baskol!$C$1069="","",[2]Baskol!$C$1069)</f>
        <v/>
      </c>
      <c r="V1066" t="str">
        <f>IF([2]Baskol!$D$1069="","",[2]Baskol!$D$1069)</f>
        <v/>
      </c>
      <c r="W1066" t="str">
        <f>IF([2]Baskol!$E$1069="","",[2]Baskol!$E$1069)</f>
        <v/>
      </c>
      <c r="X1066" t="str">
        <f>IF([2]Baskol!$G$1069="","",[2]Baskol!$G$1069)</f>
        <v/>
      </c>
      <c r="Y1066" t="str">
        <f>IF([2]Baskol!$I$1069="","",[2]Baskol!$I$1069)</f>
        <v/>
      </c>
      <c r="Z1066" t="str">
        <f>IF([2]Baskol!$J$1069="","",[2]Baskol!$J$1069)</f>
        <v/>
      </c>
      <c r="AA1066" t="str">
        <f>IF([2]Baskol!$K$1069="","",[2]Baskol!$K$1069)</f>
        <v/>
      </c>
      <c r="AB1066" t="str">
        <f>IF([2]Baskol!$L$1069="","",[2]Baskol!$L$1069)</f>
        <v/>
      </c>
      <c r="AC1066" t="str">
        <f>IF([2]Baskol!$N$1069="","",[2]Baskol!$N$1069)</f>
        <v/>
      </c>
      <c r="AD1066" t="str">
        <f>IF([2]Baskol!$O$1069="","",[2]Baskol!$O$1069)</f>
        <v/>
      </c>
      <c r="AE1066" t="str">
        <f>IF([3]Entry!$C$1069="","",[3]Entry!$C$1069)</f>
        <v/>
      </c>
      <c r="AF1066" t="str">
        <f>IF([3]Entry!$D$1069="","",[3]Entry!$D$1069)</f>
        <v/>
      </c>
      <c r="AG1066" t="str">
        <f>IF([3]Entry!$E$1069="","",[3]Entry!$E$1069)</f>
        <v/>
      </c>
      <c r="AH1066" t="str">
        <f>IF([3]Entry!$G$1069="","",[3]Entry!$G$1069)</f>
        <v/>
      </c>
      <c r="AI1066" t="str">
        <f>IF([3]Entry!$K$1069="","",[3]Entry!$K$1069)</f>
        <v/>
      </c>
      <c r="AJ1066" t="str">
        <f>IF([3]Entry!$L$1069="","",[3]Entry!$L$1069)</f>
        <v/>
      </c>
      <c r="AK1066" t="str">
        <f>IF([3]Entry!$M$1069="","",[3]Entry!$M$1069)</f>
        <v/>
      </c>
      <c r="AL1066" t="str">
        <f>IF([3]Entry!$N$1069="","",[3]Entry!$N$1069)</f>
        <v/>
      </c>
      <c r="AM1066" t="str">
        <f>IF([3]Entry!$R$1069="","",[3]Entry!$R$1069)</f>
        <v/>
      </c>
    </row>
    <row r="1067" spans="20:39" x14ac:dyDescent="0.2">
      <c r="T1067" t="str">
        <f>IF([2]Baskol!$B$1070="","",[2]Baskol!$B$1070)</f>
        <v/>
      </c>
      <c r="U1067" t="str">
        <f>IF([2]Baskol!$C$1070="","",[2]Baskol!$C$1070)</f>
        <v/>
      </c>
      <c r="V1067" t="str">
        <f>IF([2]Baskol!$D$1070="","",[2]Baskol!$D$1070)</f>
        <v/>
      </c>
      <c r="W1067" t="str">
        <f>IF([2]Baskol!$E$1070="","",[2]Baskol!$E$1070)</f>
        <v/>
      </c>
      <c r="X1067" t="str">
        <f>IF([2]Baskol!$G$1070="","",[2]Baskol!$G$1070)</f>
        <v/>
      </c>
      <c r="Y1067" t="str">
        <f>IF([2]Baskol!$I$1070="","",[2]Baskol!$I$1070)</f>
        <v/>
      </c>
      <c r="Z1067" t="str">
        <f>IF([2]Baskol!$J$1070="","",[2]Baskol!$J$1070)</f>
        <v/>
      </c>
      <c r="AA1067" t="str">
        <f>IF([2]Baskol!$K$1070="","",[2]Baskol!$K$1070)</f>
        <v/>
      </c>
      <c r="AB1067" t="str">
        <f>IF([2]Baskol!$L$1070="","",[2]Baskol!$L$1070)</f>
        <v/>
      </c>
      <c r="AC1067" t="str">
        <f>IF([2]Baskol!$N$1070="","",[2]Baskol!$N$1070)</f>
        <v/>
      </c>
      <c r="AD1067" t="str">
        <f>IF([2]Baskol!$O$1070="","",[2]Baskol!$O$1070)</f>
        <v/>
      </c>
      <c r="AE1067" t="str">
        <f>IF([3]Entry!$C$1070="","",[3]Entry!$C$1070)</f>
        <v/>
      </c>
      <c r="AF1067" t="str">
        <f>IF([3]Entry!$D$1070="","",[3]Entry!$D$1070)</f>
        <v/>
      </c>
      <c r="AG1067" t="str">
        <f>IF([3]Entry!$E$1070="","",[3]Entry!$E$1070)</f>
        <v/>
      </c>
      <c r="AH1067" t="str">
        <f>IF([3]Entry!$G$1070="","",[3]Entry!$G$1070)</f>
        <v/>
      </c>
      <c r="AI1067" t="str">
        <f>IF([3]Entry!$K$1070="","",[3]Entry!$K$1070)</f>
        <v/>
      </c>
      <c r="AJ1067" t="str">
        <f>IF([3]Entry!$L$1070="","",[3]Entry!$L$1070)</f>
        <v/>
      </c>
      <c r="AK1067" t="str">
        <f>IF([3]Entry!$M$1070="","",[3]Entry!$M$1070)</f>
        <v/>
      </c>
      <c r="AL1067" t="str">
        <f>IF([3]Entry!$N$1070="","",[3]Entry!$N$1070)</f>
        <v/>
      </c>
      <c r="AM1067" t="str">
        <f>IF([3]Entry!$R$1070="","",[3]Entry!$R$1070)</f>
        <v/>
      </c>
    </row>
    <row r="1068" spans="20:39" x14ac:dyDescent="0.2">
      <c r="T1068" t="str">
        <f>IF([2]Baskol!$B$1071="","",[2]Baskol!$B$1071)</f>
        <v/>
      </c>
      <c r="U1068" t="str">
        <f>IF([2]Baskol!$C$1071="","",[2]Baskol!$C$1071)</f>
        <v/>
      </c>
      <c r="V1068" t="str">
        <f>IF([2]Baskol!$D$1071="","",[2]Baskol!$D$1071)</f>
        <v/>
      </c>
      <c r="W1068" t="str">
        <f>IF([2]Baskol!$E$1071="","",[2]Baskol!$E$1071)</f>
        <v/>
      </c>
      <c r="X1068" t="str">
        <f>IF([2]Baskol!$G$1071="","",[2]Baskol!$G$1071)</f>
        <v/>
      </c>
      <c r="Y1068" t="str">
        <f>IF([2]Baskol!$I$1071="","",[2]Baskol!$I$1071)</f>
        <v/>
      </c>
      <c r="Z1068" t="str">
        <f>IF([2]Baskol!$J$1071="","",[2]Baskol!$J$1071)</f>
        <v/>
      </c>
      <c r="AA1068" t="str">
        <f>IF([2]Baskol!$K$1071="","",[2]Baskol!$K$1071)</f>
        <v/>
      </c>
      <c r="AB1068" t="str">
        <f>IF([2]Baskol!$L$1071="","",[2]Baskol!$L$1071)</f>
        <v/>
      </c>
      <c r="AC1068" t="str">
        <f>IF([2]Baskol!$N$1071="","",[2]Baskol!$N$1071)</f>
        <v/>
      </c>
      <c r="AD1068" t="str">
        <f>IF([2]Baskol!$O$1071="","",[2]Baskol!$O$1071)</f>
        <v/>
      </c>
      <c r="AE1068" t="str">
        <f>IF([3]Entry!$C$1071="","",[3]Entry!$C$1071)</f>
        <v/>
      </c>
      <c r="AF1068" t="str">
        <f>IF([3]Entry!$D$1071="","",[3]Entry!$D$1071)</f>
        <v/>
      </c>
      <c r="AG1068" t="str">
        <f>IF([3]Entry!$E$1071="","",[3]Entry!$E$1071)</f>
        <v/>
      </c>
      <c r="AH1068" t="str">
        <f>IF([3]Entry!$G$1071="","",[3]Entry!$G$1071)</f>
        <v/>
      </c>
      <c r="AI1068" t="str">
        <f>IF([3]Entry!$K$1071="","",[3]Entry!$K$1071)</f>
        <v/>
      </c>
      <c r="AJ1068" t="str">
        <f>IF([3]Entry!$L$1071="","",[3]Entry!$L$1071)</f>
        <v/>
      </c>
      <c r="AK1068" t="str">
        <f>IF([3]Entry!$M$1071="","",[3]Entry!$M$1071)</f>
        <v/>
      </c>
      <c r="AL1068" t="str">
        <f>IF([3]Entry!$N$1071="","",[3]Entry!$N$1071)</f>
        <v/>
      </c>
      <c r="AM1068" t="str">
        <f>IF([3]Entry!$R$1071="","",[3]Entry!$R$1071)</f>
        <v/>
      </c>
    </row>
    <row r="1069" spans="20:39" x14ac:dyDescent="0.2">
      <c r="T1069" t="str">
        <f>IF([2]Baskol!$B$1072="","",[2]Baskol!$B$1072)</f>
        <v/>
      </c>
      <c r="U1069" t="str">
        <f>IF([2]Baskol!$C$1072="","",[2]Baskol!$C$1072)</f>
        <v/>
      </c>
      <c r="V1069" t="str">
        <f>IF([2]Baskol!$D$1072="","",[2]Baskol!$D$1072)</f>
        <v/>
      </c>
      <c r="W1069" t="str">
        <f>IF([2]Baskol!$E$1072="","",[2]Baskol!$E$1072)</f>
        <v/>
      </c>
      <c r="X1069" t="str">
        <f>IF([2]Baskol!$G$1072="","",[2]Baskol!$G$1072)</f>
        <v/>
      </c>
      <c r="Y1069" t="str">
        <f>IF([2]Baskol!$I$1072="","",[2]Baskol!$I$1072)</f>
        <v/>
      </c>
      <c r="Z1069" t="str">
        <f>IF([2]Baskol!$J$1072="","",[2]Baskol!$J$1072)</f>
        <v/>
      </c>
      <c r="AA1069" t="str">
        <f>IF([2]Baskol!$K$1072="","",[2]Baskol!$K$1072)</f>
        <v/>
      </c>
      <c r="AB1069" t="str">
        <f>IF([2]Baskol!$L$1072="","",[2]Baskol!$L$1072)</f>
        <v/>
      </c>
      <c r="AC1069" t="str">
        <f>IF([2]Baskol!$N$1072="","",[2]Baskol!$N$1072)</f>
        <v/>
      </c>
      <c r="AD1069" t="str">
        <f>IF([2]Baskol!$O$1072="","",[2]Baskol!$O$1072)</f>
        <v/>
      </c>
      <c r="AE1069" t="str">
        <f>IF([3]Entry!$C$1072="","",[3]Entry!$C$1072)</f>
        <v/>
      </c>
      <c r="AF1069" t="str">
        <f>IF([3]Entry!$D$1072="","",[3]Entry!$D$1072)</f>
        <v/>
      </c>
      <c r="AG1069" t="str">
        <f>IF([3]Entry!$E$1072="","",[3]Entry!$E$1072)</f>
        <v/>
      </c>
      <c r="AH1069" t="str">
        <f>IF([3]Entry!$G$1072="","",[3]Entry!$G$1072)</f>
        <v/>
      </c>
      <c r="AI1069" t="str">
        <f>IF([3]Entry!$K$1072="","",[3]Entry!$K$1072)</f>
        <v/>
      </c>
      <c r="AJ1069" t="str">
        <f>IF([3]Entry!$L$1072="","",[3]Entry!$L$1072)</f>
        <v/>
      </c>
      <c r="AK1069" t="str">
        <f>IF([3]Entry!$M$1072="","",[3]Entry!$M$1072)</f>
        <v/>
      </c>
      <c r="AL1069" t="str">
        <f>IF([3]Entry!$N$1072="","",[3]Entry!$N$1072)</f>
        <v/>
      </c>
      <c r="AM1069" t="str">
        <f>IF([3]Entry!$R$1072="","",[3]Entry!$R$1072)</f>
        <v/>
      </c>
    </row>
    <row r="1070" spans="20:39" x14ac:dyDescent="0.2">
      <c r="T1070" t="str">
        <f>IF([2]Baskol!$B$1073="","",[2]Baskol!$B$1073)</f>
        <v/>
      </c>
      <c r="U1070" t="str">
        <f>IF([2]Baskol!$C$1073="","",[2]Baskol!$C$1073)</f>
        <v/>
      </c>
      <c r="V1070" t="str">
        <f>IF([2]Baskol!$D$1073="","",[2]Baskol!$D$1073)</f>
        <v/>
      </c>
      <c r="W1070" t="str">
        <f>IF([2]Baskol!$E$1073="","",[2]Baskol!$E$1073)</f>
        <v/>
      </c>
      <c r="X1070" t="str">
        <f>IF([2]Baskol!$G$1073="","",[2]Baskol!$G$1073)</f>
        <v/>
      </c>
      <c r="Y1070" t="str">
        <f>IF([2]Baskol!$I$1073="","",[2]Baskol!$I$1073)</f>
        <v/>
      </c>
      <c r="Z1070" t="str">
        <f>IF([2]Baskol!$J$1073="","",[2]Baskol!$J$1073)</f>
        <v/>
      </c>
      <c r="AA1070" t="str">
        <f>IF([2]Baskol!$K$1073="","",[2]Baskol!$K$1073)</f>
        <v/>
      </c>
      <c r="AB1070" t="str">
        <f>IF([2]Baskol!$L$1073="","",[2]Baskol!$L$1073)</f>
        <v/>
      </c>
      <c r="AC1070" t="str">
        <f>IF([2]Baskol!$N$1073="","",[2]Baskol!$N$1073)</f>
        <v/>
      </c>
      <c r="AD1070" t="str">
        <f>IF([2]Baskol!$O$1073="","",[2]Baskol!$O$1073)</f>
        <v/>
      </c>
      <c r="AE1070" t="str">
        <f>IF([3]Entry!$C$1073="","",[3]Entry!$C$1073)</f>
        <v/>
      </c>
      <c r="AF1070" t="str">
        <f>IF([3]Entry!$D$1073="","",[3]Entry!$D$1073)</f>
        <v/>
      </c>
      <c r="AG1070" t="str">
        <f>IF([3]Entry!$E$1073="","",[3]Entry!$E$1073)</f>
        <v/>
      </c>
      <c r="AH1070" t="str">
        <f>IF([3]Entry!$G$1073="","",[3]Entry!$G$1073)</f>
        <v/>
      </c>
      <c r="AI1070" t="str">
        <f>IF([3]Entry!$K$1073="","",[3]Entry!$K$1073)</f>
        <v/>
      </c>
      <c r="AJ1070" t="str">
        <f>IF([3]Entry!$L$1073="","",[3]Entry!$L$1073)</f>
        <v/>
      </c>
      <c r="AK1070" t="str">
        <f>IF([3]Entry!$M$1073="","",[3]Entry!$M$1073)</f>
        <v/>
      </c>
      <c r="AL1070" t="str">
        <f>IF([3]Entry!$N$1073="","",[3]Entry!$N$1073)</f>
        <v/>
      </c>
      <c r="AM1070" t="str">
        <f>IF([3]Entry!$R$1073="","",[3]Entry!$R$1073)</f>
        <v/>
      </c>
    </row>
    <row r="1071" spans="20:39" x14ac:dyDescent="0.2">
      <c r="T1071" t="str">
        <f>IF([2]Baskol!$B$1074="","",[2]Baskol!$B$1074)</f>
        <v/>
      </c>
      <c r="U1071" t="str">
        <f>IF([2]Baskol!$C$1074="","",[2]Baskol!$C$1074)</f>
        <v/>
      </c>
      <c r="V1071" t="str">
        <f>IF([2]Baskol!$D$1074="","",[2]Baskol!$D$1074)</f>
        <v/>
      </c>
      <c r="W1071" t="str">
        <f>IF([2]Baskol!$E$1074="","",[2]Baskol!$E$1074)</f>
        <v/>
      </c>
      <c r="X1071" t="str">
        <f>IF([2]Baskol!$G$1074="","",[2]Baskol!$G$1074)</f>
        <v/>
      </c>
      <c r="Y1071" t="str">
        <f>IF([2]Baskol!$I$1074="","",[2]Baskol!$I$1074)</f>
        <v/>
      </c>
      <c r="Z1071" t="str">
        <f>IF([2]Baskol!$J$1074="","",[2]Baskol!$J$1074)</f>
        <v/>
      </c>
      <c r="AA1071" t="str">
        <f>IF([2]Baskol!$K$1074="","",[2]Baskol!$K$1074)</f>
        <v/>
      </c>
      <c r="AB1071" t="str">
        <f>IF([2]Baskol!$L$1074="","",[2]Baskol!$L$1074)</f>
        <v/>
      </c>
      <c r="AC1071" t="str">
        <f>IF([2]Baskol!$N$1074="","",[2]Baskol!$N$1074)</f>
        <v/>
      </c>
      <c r="AD1071" t="str">
        <f>IF([2]Baskol!$O$1074="","",[2]Baskol!$O$1074)</f>
        <v/>
      </c>
      <c r="AE1071" t="str">
        <f>IF([3]Entry!$C$1074="","",[3]Entry!$C$1074)</f>
        <v/>
      </c>
      <c r="AF1071" t="str">
        <f>IF([3]Entry!$D$1074="","",[3]Entry!$D$1074)</f>
        <v/>
      </c>
      <c r="AG1071" t="str">
        <f>IF([3]Entry!$E$1074="","",[3]Entry!$E$1074)</f>
        <v/>
      </c>
      <c r="AH1071" t="str">
        <f>IF([3]Entry!$G$1074="","",[3]Entry!$G$1074)</f>
        <v/>
      </c>
      <c r="AI1071" t="str">
        <f>IF([3]Entry!$K$1074="","",[3]Entry!$K$1074)</f>
        <v/>
      </c>
      <c r="AJ1071" t="str">
        <f>IF([3]Entry!$L$1074="","",[3]Entry!$L$1074)</f>
        <v/>
      </c>
      <c r="AK1071" t="str">
        <f>IF([3]Entry!$M$1074="","",[3]Entry!$M$1074)</f>
        <v/>
      </c>
      <c r="AL1071" t="str">
        <f>IF([3]Entry!$N$1074="","",[3]Entry!$N$1074)</f>
        <v/>
      </c>
      <c r="AM1071" t="str">
        <f>IF([3]Entry!$R$1074="","",[3]Entry!$R$1074)</f>
        <v/>
      </c>
    </row>
    <row r="1072" spans="20:39" x14ac:dyDescent="0.2">
      <c r="T1072" t="str">
        <f>IF([2]Baskol!$B$1075="","",[2]Baskol!$B$1075)</f>
        <v/>
      </c>
      <c r="U1072" t="str">
        <f>IF([2]Baskol!$C$1075="","",[2]Baskol!$C$1075)</f>
        <v/>
      </c>
      <c r="V1072" t="str">
        <f>IF([2]Baskol!$D$1075="","",[2]Baskol!$D$1075)</f>
        <v/>
      </c>
      <c r="W1072" t="str">
        <f>IF([2]Baskol!$E$1075="","",[2]Baskol!$E$1075)</f>
        <v/>
      </c>
      <c r="X1072" t="str">
        <f>IF([2]Baskol!$G$1075="","",[2]Baskol!$G$1075)</f>
        <v/>
      </c>
      <c r="Y1072" t="str">
        <f>IF([2]Baskol!$I$1075="","",[2]Baskol!$I$1075)</f>
        <v/>
      </c>
      <c r="Z1072" t="str">
        <f>IF([2]Baskol!$J$1075="","",[2]Baskol!$J$1075)</f>
        <v/>
      </c>
      <c r="AA1072" t="str">
        <f>IF([2]Baskol!$K$1075="","",[2]Baskol!$K$1075)</f>
        <v/>
      </c>
      <c r="AB1072" t="str">
        <f>IF([2]Baskol!$L$1075="","",[2]Baskol!$L$1075)</f>
        <v/>
      </c>
      <c r="AC1072" t="str">
        <f>IF([2]Baskol!$N$1075="","",[2]Baskol!$N$1075)</f>
        <v/>
      </c>
      <c r="AD1072" t="str">
        <f>IF([2]Baskol!$O$1075="","",[2]Baskol!$O$1075)</f>
        <v/>
      </c>
      <c r="AE1072" t="str">
        <f>IF([3]Entry!$C$1075="","",[3]Entry!$C$1075)</f>
        <v/>
      </c>
      <c r="AF1072" t="str">
        <f>IF([3]Entry!$D$1075="","",[3]Entry!$D$1075)</f>
        <v/>
      </c>
      <c r="AG1072" t="str">
        <f>IF([3]Entry!$E$1075="","",[3]Entry!$E$1075)</f>
        <v/>
      </c>
      <c r="AH1072" t="str">
        <f>IF([3]Entry!$G$1075="","",[3]Entry!$G$1075)</f>
        <v/>
      </c>
      <c r="AI1072" t="str">
        <f>IF([3]Entry!$K$1075="","",[3]Entry!$K$1075)</f>
        <v/>
      </c>
      <c r="AJ1072" t="str">
        <f>IF([3]Entry!$L$1075="","",[3]Entry!$L$1075)</f>
        <v/>
      </c>
      <c r="AK1072" t="str">
        <f>IF([3]Entry!$M$1075="","",[3]Entry!$M$1075)</f>
        <v/>
      </c>
      <c r="AL1072" t="str">
        <f>IF([3]Entry!$N$1075="","",[3]Entry!$N$1075)</f>
        <v/>
      </c>
      <c r="AM1072" t="str">
        <f>IF([3]Entry!$R$1075="","",[3]Entry!$R$1075)</f>
        <v/>
      </c>
    </row>
    <row r="1073" spans="20:39" x14ac:dyDescent="0.2">
      <c r="T1073" t="str">
        <f>IF([2]Baskol!$B$1076="","",[2]Baskol!$B$1076)</f>
        <v/>
      </c>
      <c r="U1073" t="str">
        <f>IF([2]Baskol!$C$1076="","",[2]Baskol!$C$1076)</f>
        <v/>
      </c>
      <c r="V1073" t="str">
        <f>IF([2]Baskol!$D$1076="","",[2]Baskol!$D$1076)</f>
        <v/>
      </c>
      <c r="W1073" t="str">
        <f>IF([2]Baskol!$E$1076="","",[2]Baskol!$E$1076)</f>
        <v/>
      </c>
      <c r="X1073" t="str">
        <f>IF([2]Baskol!$G$1076="","",[2]Baskol!$G$1076)</f>
        <v/>
      </c>
      <c r="Y1073" t="str">
        <f>IF([2]Baskol!$I$1076="","",[2]Baskol!$I$1076)</f>
        <v/>
      </c>
      <c r="Z1073" t="str">
        <f>IF([2]Baskol!$J$1076="","",[2]Baskol!$J$1076)</f>
        <v/>
      </c>
      <c r="AA1073" t="str">
        <f>IF([2]Baskol!$K$1076="","",[2]Baskol!$K$1076)</f>
        <v/>
      </c>
      <c r="AB1073" t="str">
        <f>IF([2]Baskol!$L$1076="","",[2]Baskol!$L$1076)</f>
        <v/>
      </c>
      <c r="AC1073" t="str">
        <f>IF([2]Baskol!$N$1076="","",[2]Baskol!$N$1076)</f>
        <v/>
      </c>
      <c r="AD1073" t="str">
        <f>IF([2]Baskol!$O$1076="","",[2]Baskol!$O$1076)</f>
        <v/>
      </c>
      <c r="AE1073" t="str">
        <f>IF([3]Entry!$C$1076="","",[3]Entry!$C$1076)</f>
        <v/>
      </c>
      <c r="AF1073" t="str">
        <f>IF([3]Entry!$D$1076="","",[3]Entry!$D$1076)</f>
        <v/>
      </c>
      <c r="AG1073" t="str">
        <f>IF([3]Entry!$E$1076="","",[3]Entry!$E$1076)</f>
        <v/>
      </c>
      <c r="AH1073" t="str">
        <f>IF([3]Entry!$G$1076="","",[3]Entry!$G$1076)</f>
        <v/>
      </c>
      <c r="AI1073" t="str">
        <f>IF([3]Entry!$K$1076="","",[3]Entry!$K$1076)</f>
        <v/>
      </c>
      <c r="AJ1073" t="str">
        <f>IF([3]Entry!$L$1076="","",[3]Entry!$L$1076)</f>
        <v/>
      </c>
      <c r="AK1073" t="str">
        <f>IF([3]Entry!$M$1076="","",[3]Entry!$M$1076)</f>
        <v/>
      </c>
      <c r="AL1073" t="str">
        <f>IF([3]Entry!$N$1076="","",[3]Entry!$N$1076)</f>
        <v/>
      </c>
      <c r="AM1073" t="str">
        <f>IF([3]Entry!$R$1076="","",[3]Entry!$R$1076)</f>
        <v/>
      </c>
    </row>
    <row r="1074" spans="20:39" x14ac:dyDescent="0.2">
      <c r="T1074" t="str">
        <f>IF([2]Baskol!$B$1077="","",[2]Baskol!$B$1077)</f>
        <v/>
      </c>
      <c r="U1074" t="str">
        <f>IF([2]Baskol!$C$1077="","",[2]Baskol!$C$1077)</f>
        <v/>
      </c>
      <c r="V1074" t="str">
        <f>IF([2]Baskol!$D$1077="","",[2]Baskol!$D$1077)</f>
        <v/>
      </c>
      <c r="W1074" t="str">
        <f>IF([2]Baskol!$E$1077="","",[2]Baskol!$E$1077)</f>
        <v/>
      </c>
      <c r="X1074" t="str">
        <f>IF([2]Baskol!$G$1077="","",[2]Baskol!$G$1077)</f>
        <v/>
      </c>
      <c r="Y1074" t="str">
        <f>IF([2]Baskol!$I$1077="","",[2]Baskol!$I$1077)</f>
        <v/>
      </c>
      <c r="Z1074" t="str">
        <f>IF([2]Baskol!$J$1077="","",[2]Baskol!$J$1077)</f>
        <v/>
      </c>
      <c r="AA1074" t="str">
        <f>IF([2]Baskol!$K$1077="","",[2]Baskol!$K$1077)</f>
        <v/>
      </c>
      <c r="AB1074" t="str">
        <f>IF([2]Baskol!$L$1077="","",[2]Baskol!$L$1077)</f>
        <v/>
      </c>
      <c r="AC1074" t="str">
        <f>IF([2]Baskol!$N$1077="","",[2]Baskol!$N$1077)</f>
        <v/>
      </c>
      <c r="AD1074" t="str">
        <f>IF([2]Baskol!$O$1077="","",[2]Baskol!$O$1077)</f>
        <v/>
      </c>
      <c r="AE1074" t="str">
        <f>IF([3]Entry!$C$1077="","",[3]Entry!$C$1077)</f>
        <v/>
      </c>
      <c r="AF1074" t="str">
        <f>IF([3]Entry!$D$1077="","",[3]Entry!$D$1077)</f>
        <v/>
      </c>
      <c r="AG1074" t="str">
        <f>IF([3]Entry!$E$1077="","",[3]Entry!$E$1077)</f>
        <v/>
      </c>
      <c r="AH1074" t="str">
        <f>IF([3]Entry!$G$1077="","",[3]Entry!$G$1077)</f>
        <v/>
      </c>
      <c r="AI1074" t="str">
        <f>IF([3]Entry!$K$1077="","",[3]Entry!$K$1077)</f>
        <v/>
      </c>
      <c r="AJ1074" t="str">
        <f>IF([3]Entry!$L$1077="","",[3]Entry!$L$1077)</f>
        <v/>
      </c>
      <c r="AK1074" t="str">
        <f>IF([3]Entry!$M$1077="","",[3]Entry!$M$1077)</f>
        <v/>
      </c>
      <c r="AL1074" t="str">
        <f>IF([3]Entry!$N$1077="","",[3]Entry!$N$1077)</f>
        <v/>
      </c>
      <c r="AM1074" t="str">
        <f>IF([3]Entry!$R$1077="","",[3]Entry!$R$1077)</f>
        <v/>
      </c>
    </row>
    <row r="1075" spans="20:39" x14ac:dyDescent="0.2">
      <c r="T1075" t="str">
        <f>IF([2]Baskol!$B$1078="","",[2]Baskol!$B$1078)</f>
        <v/>
      </c>
      <c r="U1075" t="str">
        <f>IF([2]Baskol!$C$1078="","",[2]Baskol!$C$1078)</f>
        <v/>
      </c>
      <c r="V1075" t="str">
        <f>IF([2]Baskol!$D$1078="","",[2]Baskol!$D$1078)</f>
        <v/>
      </c>
      <c r="W1075" t="str">
        <f>IF([2]Baskol!$E$1078="","",[2]Baskol!$E$1078)</f>
        <v/>
      </c>
      <c r="X1075" t="str">
        <f>IF([2]Baskol!$G$1078="","",[2]Baskol!$G$1078)</f>
        <v/>
      </c>
      <c r="Y1075" t="str">
        <f>IF([2]Baskol!$I$1078="","",[2]Baskol!$I$1078)</f>
        <v/>
      </c>
      <c r="Z1075" t="str">
        <f>IF([2]Baskol!$J$1078="","",[2]Baskol!$J$1078)</f>
        <v/>
      </c>
      <c r="AA1075" t="str">
        <f>IF([2]Baskol!$K$1078="","",[2]Baskol!$K$1078)</f>
        <v/>
      </c>
      <c r="AB1075" t="str">
        <f>IF([2]Baskol!$L$1078="","",[2]Baskol!$L$1078)</f>
        <v/>
      </c>
      <c r="AC1075" t="str">
        <f>IF([2]Baskol!$N$1078="","",[2]Baskol!$N$1078)</f>
        <v/>
      </c>
      <c r="AD1075" t="str">
        <f>IF([2]Baskol!$O$1078="","",[2]Baskol!$O$1078)</f>
        <v/>
      </c>
      <c r="AE1075" t="str">
        <f>IF([3]Entry!$C$1078="","",[3]Entry!$C$1078)</f>
        <v/>
      </c>
      <c r="AF1075" t="str">
        <f>IF([3]Entry!$D$1078="","",[3]Entry!$D$1078)</f>
        <v/>
      </c>
      <c r="AG1075" t="str">
        <f>IF([3]Entry!$E$1078="","",[3]Entry!$E$1078)</f>
        <v/>
      </c>
      <c r="AH1075" t="str">
        <f>IF([3]Entry!$G$1078="","",[3]Entry!$G$1078)</f>
        <v/>
      </c>
      <c r="AI1075" t="str">
        <f>IF([3]Entry!$K$1078="","",[3]Entry!$K$1078)</f>
        <v/>
      </c>
      <c r="AJ1075" t="str">
        <f>IF([3]Entry!$L$1078="","",[3]Entry!$L$1078)</f>
        <v/>
      </c>
      <c r="AK1075" t="str">
        <f>IF([3]Entry!$M$1078="","",[3]Entry!$M$1078)</f>
        <v/>
      </c>
      <c r="AL1075" t="str">
        <f>IF([3]Entry!$N$1078="","",[3]Entry!$N$1078)</f>
        <v/>
      </c>
      <c r="AM1075" t="str">
        <f>IF([3]Entry!$R$1078="","",[3]Entry!$R$1078)</f>
        <v/>
      </c>
    </row>
    <row r="1076" spans="20:39" x14ac:dyDescent="0.2">
      <c r="T1076" t="str">
        <f>IF([2]Baskol!$B$1079="","",[2]Baskol!$B$1079)</f>
        <v/>
      </c>
      <c r="U1076" t="str">
        <f>IF([2]Baskol!$C$1079="","",[2]Baskol!$C$1079)</f>
        <v/>
      </c>
      <c r="V1076" t="str">
        <f>IF([2]Baskol!$D$1079="","",[2]Baskol!$D$1079)</f>
        <v/>
      </c>
      <c r="W1076" t="str">
        <f>IF([2]Baskol!$E$1079="","",[2]Baskol!$E$1079)</f>
        <v/>
      </c>
      <c r="X1076" t="str">
        <f>IF([2]Baskol!$G$1079="","",[2]Baskol!$G$1079)</f>
        <v/>
      </c>
      <c r="Y1076" t="str">
        <f>IF([2]Baskol!$I$1079="","",[2]Baskol!$I$1079)</f>
        <v/>
      </c>
      <c r="Z1076" t="str">
        <f>IF([2]Baskol!$J$1079="","",[2]Baskol!$J$1079)</f>
        <v/>
      </c>
      <c r="AA1076" t="str">
        <f>IF([2]Baskol!$K$1079="","",[2]Baskol!$K$1079)</f>
        <v/>
      </c>
      <c r="AB1076" t="str">
        <f>IF([2]Baskol!$L$1079="","",[2]Baskol!$L$1079)</f>
        <v/>
      </c>
      <c r="AC1076" t="str">
        <f>IF([2]Baskol!$N$1079="","",[2]Baskol!$N$1079)</f>
        <v/>
      </c>
      <c r="AD1076" t="str">
        <f>IF([2]Baskol!$O$1079="","",[2]Baskol!$O$1079)</f>
        <v/>
      </c>
      <c r="AE1076" t="str">
        <f>IF([3]Entry!$C$1079="","",[3]Entry!$C$1079)</f>
        <v/>
      </c>
      <c r="AF1076" t="str">
        <f>IF([3]Entry!$D$1079="","",[3]Entry!$D$1079)</f>
        <v/>
      </c>
      <c r="AG1076" t="str">
        <f>IF([3]Entry!$E$1079="","",[3]Entry!$E$1079)</f>
        <v/>
      </c>
      <c r="AH1076" t="str">
        <f>IF([3]Entry!$G$1079="","",[3]Entry!$G$1079)</f>
        <v/>
      </c>
      <c r="AI1076" t="str">
        <f>IF([3]Entry!$K$1079="","",[3]Entry!$K$1079)</f>
        <v/>
      </c>
      <c r="AJ1076" t="str">
        <f>IF([3]Entry!$L$1079="","",[3]Entry!$L$1079)</f>
        <v/>
      </c>
      <c r="AK1076" t="str">
        <f>IF([3]Entry!$M$1079="","",[3]Entry!$M$1079)</f>
        <v/>
      </c>
      <c r="AL1076" t="str">
        <f>IF([3]Entry!$N$1079="","",[3]Entry!$N$1079)</f>
        <v/>
      </c>
      <c r="AM1076" t="str">
        <f>IF([3]Entry!$R$1079="","",[3]Entry!$R$1079)</f>
        <v/>
      </c>
    </row>
    <row r="1077" spans="20:39" x14ac:dyDescent="0.2">
      <c r="T1077" t="str">
        <f>IF([2]Baskol!$B$1080="","",[2]Baskol!$B$1080)</f>
        <v/>
      </c>
      <c r="U1077" t="str">
        <f>IF([2]Baskol!$C$1080="","",[2]Baskol!$C$1080)</f>
        <v/>
      </c>
      <c r="V1077" t="str">
        <f>IF([2]Baskol!$D$1080="","",[2]Baskol!$D$1080)</f>
        <v/>
      </c>
      <c r="W1077" t="str">
        <f>IF([2]Baskol!$E$1080="","",[2]Baskol!$E$1080)</f>
        <v/>
      </c>
      <c r="X1077" t="str">
        <f>IF([2]Baskol!$G$1080="","",[2]Baskol!$G$1080)</f>
        <v/>
      </c>
      <c r="Y1077" t="str">
        <f>IF([2]Baskol!$I$1080="","",[2]Baskol!$I$1080)</f>
        <v/>
      </c>
      <c r="Z1077" t="str">
        <f>IF([2]Baskol!$J$1080="","",[2]Baskol!$J$1080)</f>
        <v/>
      </c>
      <c r="AA1077" t="str">
        <f>IF([2]Baskol!$K$1080="","",[2]Baskol!$K$1080)</f>
        <v/>
      </c>
      <c r="AB1077" t="str">
        <f>IF([2]Baskol!$L$1080="","",[2]Baskol!$L$1080)</f>
        <v/>
      </c>
      <c r="AC1077" t="str">
        <f>IF([2]Baskol!$N$1080="","",[2]Baskol!$N$1080)</f>
        <v/>
      </c>
      <c r="AD1077" t="str">
        <f>IF([2]Baskol!$O$1080="","",[2]Baskol!$O$1080)</f>
        <v/>
      </c>
      <c r="AE1077" t="str">
        <f>IF([3]Entry!$C$1080="","",[3]Entry!$C$1080)</f>
        <v/>
      </c>
      <c r="AF1077" t="str">
        <f>IF([3]Entry!$D$1080="","",[3]Entry!$D$1080)</f>
        <v/>
      </c>
      <c r="AG1077" t="str">
        <f>IF([3]Entry!$E$1080="","",[3]Entry!$E$1080)</f>
        <v/>
      </c>
      <c r="AH1077" t="str">
        <f>IF([3]Entry!$G$1080="","",[3]Entry!$G$1080)</f>
        <v/>
      </c>
      <c r="AI1077" t="str">
        <f>IF([3]Entry!$K$1080="","",[3]Entry!$K$1080)</f>
        <v/>
      </c>
      <c r="AJ1077" t="str">
        <f>IF([3]Entry!$L$1080="","",[3]Entry!$L$1080)</f>
        <v/>
      </c>
      <c r="AK1077" t="str">
        <f>IF([3]Entry!$M$1080="","",[3]Entry!$M$1080)</f>
        <v/>
      </c>
      <c r="AL1077" t="str">
        <f>IF([3]Entry!$N$1080="","",[3]Entry!$N$1080)</f>
        <v/>
      </c>
      <c r="AM1077" t="str">
        <f>IF([3]Entry!$R$1080="","",[3]Entry!$R$1080)</f>
        <v/>
      </c>
    </row>
    <row r="1078" spans="20:39" x14ac:dyDescent="0.2">
      <c r="T1078" t="str">
        <f>IF([2]Baskol!$B$1081="","",[2]Baskol!$B$1081)</f>
        <v/>
      </c>
      <c r="U1078" t="str">
        <f>IF([2]Baskol!$C$1081="","",[2]Baskol!$C$1081)</f>
        <v/>
      </c>
      <c r="V1078" t="str">
        <f>IF([2]Baskol!$D$1081="","",[2]Baskol!$D$1081)</f>
        <v/>
      </c>
      <c r="W1078" t="str">
        <f>IF([2]Baskol!$E$1081="","",[2]Baskol!$E$1081)</f>
        <v/>
      </c>
      <c r="X1078" t="str">
        <f>IF([2]Baskol!$G$1081="","",[2]Baskol!$G$1081)</f>
        <v/>
      </c>
      <c r="Y1078" t="str">
        <f>IF([2]Baskol!$I$1081="","",[2]Baskol!$I$1081)</f>
        <v/>
      </c>
      <c r="Z1078" t="str">
        <f>IF([2]Baskol!$J$1081="","",[2]Baskol!$J$1081)</f>
        <v/>
      </c>
      <c r="AA1078" t="str">
        <f>IF([2]Baskol!$K$1081="","",[2]Baskol!$K$1081)</f>
        <v/>
      </c>
      <c r="AB1078" t="str">
        <f>IF([2]Baskol!$L$1081="","",[2]Baskol!$L$1081)</f>
        <v/>
      </c>
      <c r="AC1078" t="str">
        <f>IF([2]Baskol!$N$1081="","",[2]Baskol!$N$1081)</f>
        <v/>
      </c>
      <c r="AD1078" t="str">
        <f>IF([2]Baskol!$O$1081="","",[2]Baskol!$O$1081)</f>
        <v/>
      </c>
      <c r="AE1078" t="str">
        <f>IF([3]Entry!$C$1081="","",[3]Entry!$C$1081)</f>
        <v/>
      </c>
      <c r="AF1078" t="str">
        <f>IF([3]Entry!$D$1081="","",[3]Entry!$D$1081)</f>
        <v/>
      </c>
      <c r="AG1078" t="str">
        <f>IF([3]Entry!$E$1081="","",[3]Entry!$E$1081)</f>
        <v/>
      </c>
      <c r="AH1078" t="str">
        <f>IF([3]Entry!$G$1081="","",[3]Entry!$G$1081)</f>
        <v/>
      </c>
      <c r="AI1078" t="str">
        <f>IF([3]Entry!$K$1081="","",[3]Entry!$K$1081)</f>
        <v/>
      </c>
      <c r="AJ1078" t="str">
        <f>IF([3]Entry!$L$1081="","",[3]Entry!$L$1081)</f>
        <v/>
      </c>
      <c r="AK1078" t="str">
        <f>IF([3]Entry!$M$1081="","",[3]Entry!$M$1081)</f>
        <v/>
      </c>
      <c r="AL1078" t="str">
        <f>IF([3]Entry!$N$1081="","",[3]Entry!$N$1081)</f>
        <v/>
      </c>
      <c r="AM1078" t="str">
        <f>IF([3]Entry!$R$1081="","",[3]Entry!$R$1081)</f>
        <v/>
      </c>
    </row>
    <row r="1079" spans="20:39" x14ac:dyDescent="0.2">
      <c r="T1079" t="str">
        <f>IF([2]Baskol!$B$1082="","",[2]Baskol!$B$1082)</f>
        <v/>
      </c>
      <c r="U1079" t="str">
        <f>IF([2]Baskol!$C$1082="","",[2]Baskol!$C$1082)</f>
        <v/>
      </c>
      <c r="V1079" t="str">
        <f>IF([2]Baskol!$D$1082="","",[2]Baskol!$D$1082)</f>
        <v/>
      </c>
      <c r="W1079" t="str">
        <f>IF([2]Baskol!$E$1082="","",[2]Baskol!$E$1082)</f>
        <v/>
      </c>
      <c r="X1079" t="str">
        <f>IF([2]Baskol!$G$1082="","",[2]Baskol!$G$1082)</f>
        <v/>
      </c>
      <c r="Y1079" t="str">
        <f>IF([2]Baskol!$I$1082="","",[2]Baskol!$I$1082)</f>
        <v/>
      </c>
      <c r="Z1079" t="str">
        <f>IF([2]Baskol!$J$1082="","",[2]Baskol!$J$1082)</f>
        <v/>
      </c>
      <c r="AA1079" t="str">
        <f>IF([2]Baskol!$K$1082="","",[2]Baskol!$K$1082)</f>
        <v/>
      </c>
      <c r="AB1079" t="str">
        <f>IF([2]Baskol!$L$1082="","",[2]Baskol!$L$1082)</f>
        <v/>
      </c>
      <c r="AC1079" t="str">
        <f>IF([2]Baskol!$N$1082="","",[2]Baskol!$N$1082)</f>
        <v/>
      </c>
      <c r="AD1079" t="str">
        <f>IF([2]Baskol!$O$1082="","",[2]Baskol!$O$1082)</f>
        <v/>
      </c>
      <c r="AE1079" t="str">
        <f>IF([3]Entry!$C$1082="","",[3]Entry!$C$1082)</f>
        <v/>
      </c>
      <c r="AF1079" t="str">
        <f>IF([3]Entry!$D$1082="","",[3]Entry!$D$1082)</f>
        <v/>
      </c>
      <c r="AG1079" t="str">
        <f>IF([3]Entry!$E$1082="","",[3]Entry!$E$1082)</f>
        <v/>
      </c>
      <c r="AH1079" t="str">
        <f>IF([3]Entry!$G$1082="","",[3]Entry!$G$1082)</f>
        <v/>
      </c>
      <c r="AI1079" t="str">
        <f>IF([3]Entry!$K$1082="","",[3]Entry!$K$1082)</f>
        <v/>
      </c>
      <c r="AJ1079" t="str">
        <f>IF([3]Entry!$L$1082="","",[3]Entry!$L$1082)</f>
        <v/>
      </c>
      <c r="AK1079" t="str">
        <f>IF([3]Entry!$M$1082="","",[3]Entry!$M$1082)</f>
        <v/>
      </c>
      <c r="AL1079" t="str">
        <f>IF([3]Entry!$N$1082="","",[3]Entry!$N$1082)</f>
        <v/>
      </c>
      <c r="AM1079" t="str">
        <f>IF([3]Entry!$R$1082="","",[3]Entry!$R$1082)</f>
        <v/>
      </c>
    </row>
    <row r="1080" spans="20:39" x14ac:dyDescent="0.2">
      <c r="T1080" t="str">
        <f>IF([2]Baskol!$B$1083="","",[2]Baskol!$B$1083)</f>
        <v/>
      </c>
      <c r="U1080" t="str">
        <f>IF([2]Baskol!$C$1083="","",[2]Baskol!$C$1083)</f>
        <v/>
      </c>
      <c r="V1080" t="str">
        <f>IF([2]Baskol!$D$1083="","",[2]Baskol!$D$1083)</f>
        <v/>
      </c>
      <c r="W1080" t="str">
        <f>IF([2]Baskol!$E$1083="","",[2]Baskol!$E$1083)</f>
        <v/>
      </c>
      <c r="X1080" t="str">
        <f>IF([2]Baskol!$G$1083="","",[2]Baskol!$G$1083)</f>
        <v/>
      </c>
      <c r="Y1080" t="str">
        <f>IF([2]Baskol!$I$1083="","",[2]Baskol!$I$1083)</f>
        <v/>
      </c>
      <c r="Z1080" t="str">
        <f>IF([2]Baskol!$J$1083="","",[2]Baskol!$J$1083)</f>
        <v/>
      </c>
      <c r="AA1080" t="str">
        <f>IF([2]Baskol!$K$1083="","",[2]Baskol!$K$1083)</f>
        <v/>
      </c>
      <c r="AB1080" t="str">
        <f>IF([2]Baskol!$L$1083="","",[2]Baskol!$L$1083)</f>
        <v/>
      </c>
      <c r="AC1080" t="str">
        <f>IF([2]Baskol!$N$1083="","",[2]Baskol!$N$1083)</f>
        <v/>
      </c>
      <c r="AD1080" t="str">
        <f>IF([2]Baskol!$O$1083="","",[2]Baskol!$O$1083)</f>
        <v/>
      </c>
      <c r="AE1080" t="str">
        <f>IF([3]Entry!$C$1083="","",[3]Entry!$C$1083)</f>
        <v/>
      </c>
      <c r="AF1080" t="str">
        <f>IF([3]Entry!$D$1083="","",[3]Entry!$D$1083)</f>
        <v/>
      </c>
      <c r="AG1080" t="str">
        <f>IF([3]Entry!$E$1083="","",[3]Entry!$E$1083)</f>
        <v/>
      </c>
      <c r="AH1080" t="str">
        <f>IF([3]Entry!$G$1083="","",[3]Entry!$G$1083)</f>
        <v/>
      </c>
      <c r="AI1080" t="str">
        <f>IF([3]Entry!$K$1083="","",[3]Entry!$K$1083)</f>
        <v/>
      </c>
      <c r="AJ1080" t="str">
        <f>IF([3]Entry!$L$1083="","",[3]Entry!$L$1083)</f>
        <v/>
      </c>
      <c r="AK1080" t="str">
        <f>IF([3]Entry!$M$1083="","",[3]Entry!$M$1083)</f>
        <v/>
      </c>
      <c r="AL1080" t="str">
        <f>IF([3]Entry!$N$1083="","",[3]Entry!$N$1083)</f>
        <v/>
      </c>
      <c r="AM1080" t="str">
        <f>IF([3]Entry!$R$1083="","",[3]Entry!$R$1083)</f>
        <v/>
      </c>
    </row>
    <row r="1081" spans="20:39" x14ac:dyDescent="0.2">
      <c r="T1081" t="str">
        <f>IF([2]Baskol!$B$1084="","",[2]Baskol!$B$1084)</f>
        <v/>
      </c>
      <c r="U1081" t="str">
        <f>IF([2]Baskol!$C$1084="","",[2]Baskol!$C$1084)</f>
        <v/>
      </c>
      <c r="V1081" t="str">
        <f>IF([2]Baskol!$D$1084="","",[2]Baskol!$D$1084)</f>
        <v/>
      </c>
      <c r="W1081" t="str">
        <f>IF([2]Baskol!$E$1084="","",[2]Baskol!$E$1084)</f>
        <v/>
      </c>
      <c r="X1081" t="str">
        <f>IF([2]Baskol!$G$1084="","",[2]Baskol!$G$1084)</f>
        <v/>
      </c>
      <c r="Y1081" t="str">
        <f>IF([2]Baskol!$I$1084="","",[2]Baskol!$I$1084)</f>
        <v/>
      </c>
      <c r="Z1081" t="str">
        <f>IF([2]Baskol!$J$1084="","",[2]Baskol!$J$1084)</f>
        <v/>
      </c>
      <c r="AA1081" t="str">
        <f>IF([2]Baskol!$K$1084="","",[2]Baskol!$K$1084)</f>
        <v/>
      </c>
      <c r="AB1081" t="str">
        <f>IF([2]Baskol!$L$1084="","",[2]Baskol!$L$1084)</f>
        <v/>
      </c>
      <c r="AC1081" t="str">
        <f>IF([2]Baskol!$N$1084="","",[2]Baskol!$N$1084)</f>
        <v/>
      </c>
      <c r="AD1081" t="str">
        <f>IF([2]Baskol!$O$1084="","",[2]Baskol!$O$1084)</f>
        <v/>
      </c>
      <c r="AE1081" t="str">
        <f>IF([3]Entry!$C$1084="","",[3]Entry!$C$1084)</f>
        <v/>
      </c>
      <c r="AF1081" t="str">
        <f>IF([3]Entry!$D$1084="","",[3]Entry!$D$1084)</f>
        <v/>
      </c>
      <c r="AG1081" t="str">
        <f>IF([3]Entry!$E$1084="","",[3]Entry!$E$1084)</f>
        <v/>
      </c>
      <c r="AH1081" t="str">
        <f>IF([3]Entry!$G$1084="","",[3]Entry!$G$1084)</f>
        <v/>
      </c>
      <c r="AI1081" t="str">
        <f>IF([3]Entry!$K$1084="","",[3]Entry!$K$1084)</f>
        <v/>
      </c>
      <c r="AJ1081" t="str">
        <f>IF([3]Entry!$L$1084="","",[3]Entry!$L$1084)</f>
        <v/>
      </c>
      <c r="AK1081" t="str">
        <f>IF([3]Entry!$M$1084="","",[3]Entry!$M$1084)</f>
        <v/>
      </c>
      <c r="AL1081" t="str">
        <f>IF([3]Entry!$N$1084="","",[3]Entry!$N$1084)</f>
        <v/>
      </c>
      <c r="AM1081" t="str">
        <f>IF([3]Entry!$R$1084="","",[3]Entry!$R$1084)</f>
        <v/>
      </c>
    </row>
    <row r="1082" spans="20:39" x14ac:dyDescent="0.2">
      <c r="T1082" t="str">
        <f>IF([2]Baskol!$B$1085="","",[2]Baskol!$B$1085)</f>
        <v/>
      </c>
      <c r="U1082" t="str">
        <f>IF([2]Baskol!$C$1085="","",[2]Baskol!$C$1085)</f>
        <v/>
      </c>
      <c r="V1082" t="str">
        <f>IF([2]Baskol!$D$1085="","",[2]Baskol!$D$1085)</f>
        <v/>
      </c>
      <c r="W1082" t="str">
        <f>IF([2]Baskol!$E$1085="","",[2]Baskol!$E$1085)</f>
        <v/>
      </c>
      <c r="X1082" t="str">
        <f>IF([2]Baskol!$G$1085="","",[2]Baskol!$G$1085)</f>
        <v/>
      </c>
      <c r="Y1082" t="str">
        <f>IF([2]Baskol!$I$1085="","",[2]Baskol!$I$1085)</f>
        <v/>
      </c>
      <c r="Z1082" t="str">
        <f>IF([2]Baskol!$J$1085="","",[2]Baskol!$J$1085)</f>
        <v/>
      </c>
      <c r="AA1082" t="str">
        <f>IF([2]Baskol!$K$1085="","",[2]Baskol!$K$1085)</f>
        <v/>
      </c>
      <c r="AB1082" t="str">
        <f>IF([2]Baskol!$L$1085="","",[2]Baskol!$L$1085)</f>
        <v/>
      </c>
      <c r="AC1082" t="str">
        <f>IF([2]Baskol!$N$1085="","",[2]Baskol!$N$1085)</f>
        <v/>
      </c>
      <c r="AD1082" t="str">
        <f>IF([2]Baskol!$O$1085="","",[2]Baskol!$O$1085)</f>
        <v/>
      </c>
      <c r="AE1082" t="str">
        <f>IF([3]Entry!$C$1085="","",[3]Entry!$C$1085)</f>
        <v/>
      </c>
      <c r="AF1082" t="str">
        <f>IF([3]Entry!$D$1085="","",[3]Entry!$D$1085)</f>
        <v/>
      </c>
      <c r="AG1082" t="str">
        <f>IF([3]Entry!$E$1085="","",[3]Entry!$E$1085)</f>
        <v/>
      </c>
      <c r="AH1082" t="str">
        <f>IF([3]Entry!$G$1085="","",[3]Entry!$G$1085)</f>
        <v/>
      </c>
      <c r="AI1082" t="str">
        <f>IF([3]Entry!$K$1085="","",[3]Entry!$K$1085)</f>
        <v/>
      </c>
      <c r="AJ1082" t="str">
        <f>IF([3]Entry!$L$1085="","",[3]Entry!$L$1085)</f>
        <v/>
      </c>
      <c r="AK1082" t="str">
        <f>IF([3]Entry!$M$1085="","",[3]Entry!$M$1085)</f>
        <v/>
      </c>
      <c r="AL1082" t="str">
        <f>IF([3]Entry!$N$1085="","",[3]Entry!$N$1085)</f>
        <v/>
      </c>
      <c r="AM1082" t="str">
        <f>IF([3]Entry!$R$1085="","",[3]Entry!$R$1085)</f>
        <v/>
      </c>
    </row>
    <row r="1083" spans="20:39" x14ac:dyDescent="0.2">
      <c r="T1083" t="str">
        <f>IF([2]Baskol!$B$1086="","",[2]Baskol!$B$1086)</f>
        <v/>
      </c>
      <c r="U1083" t="str">
        <f>IF([2]Baskol!$C$1086="","",[2]Baskol!$C$1086)</f>
        <v/>
      </c>
      <c r="V1083" t="str">
        <f>IF([2]Baskol!$D$1086="","",[2]Baskol!$D$1086)</f>
        <v/>
      </c>
      <c r="W1083" t="str">
        <f>IF([2]Baskol!$E$1086="","",[2]Baskol!$E$1086)</f>
        <v/>
      </c>
      <c r="X1083" t="str">
        <f>IF([2]Baskol!$G$1086="","",[2]Baskol!$G$1086)</f>
        <v/>
      </c>
      <c r="Y1083" t="str">
        <f>IF([2]Baskol!$I$1086="","",[2]Baskol!$I$1086)</f>
        <v/>
      </c>
      <c r="Z1083" t="str">
        <f>IF([2]Baskol!$J$1086="","",[2]Baskol!$J$1086)</f>
        <v/>
      </c>
      <c r="AA1083" t="str">
        <f>IF([2]Baskol!$K$1086="","",[2]Baskol!$K$1086)</f>
        <v/>
      </c>
      <c r="AB1083" t="str">
        <f>IF([2]Baskol!$L$1086="","",[2]Baskol!$L$1086)</f>
        <v/>
      </c>
      <c r="AC1083" t="str">
        <f>IF([2]Baskol!$N$1086="","",[2]Baskol!$N$1086)</f>
        <v/>
      </c>
      <c r="AD1083" t="str">
        <f>IF([2]Baskol!$O$1086="","",[2]Baskol!$O$1086)</f>
        <v/>
      </c>
      <c r="AE1083" t="str">
        <f>IF([3]Entry!$C$1086="","",[3]Entry!$C$1086)</f>
        <v/>
      </c>
      <c r="AF1083" t="str">
        <f>IF([3]Entry!$D$1086="","",[3]Entry!$D$1086)</f>
        <v/>
      </c>
      <c r="AG1083" t="str">
        <f>IF([3]Entry!$E$1086="","",[3]Entry!$E$1086)</f>
        <v/>
      </c>
      <c r="AH1083" t="str">
        <f>IF([3]Entry!$G$1086="","",[3]Entry!$G$1086)</f>
        <v/>
      </c>
      <c r="AI1083" t="str">
        <f>IF([3]Entry!$K$1086="","",[3]Entry!$K$1086)</f>
        <v/>
      </c>
      <c r="AJ1083" t="str">
        <f>IF([3]Entry!$L$1086="","",[3]Entry!$L$1086)</f>
        <v/>
      </c>
      <c r="AK1083" t="str">
        <f>IF([3]Entry!$M$1086="","",[3]Entry!$M$1086)</f>
        <v/>
      </c>
      <c r="AL1083" t="str">
        <f>IF([3]Entry!$N$1086="","",[3]Entry!$N$1086)</f>
        <v/>
      </c>
      <c r="AM1083" t="str">
        <f>IF([3]Entry!$R$1086="","",[3]Entry!$R$1086)</f>
        <v/>
      </c>
    </row>
    <row r="1084" spans="20:39" x14ac:dyDescent="0.2">
      <c r="T1084" t="str">
        <f>IF([2]Baskol!$B$1087="","",[2]Baskol!$B$1087)</f>
        <v/>
      </c>
      <c r="U1084" t="str">
        <f>IF([2]Baskol!$C$1087="","",[2]Baskol!$C$1087)</f>
        <v/>
      </c>
      <c r="V1084" t="str">
        <f>IF([2]Baskol!$D$1087="","",[2]Baskol!$D$1087)</f>
        <v/>
      </c>
      <c r="W1084" t="str">
        <f>IF([2]Baskol!$E$1087="","",[2]Baskol!$E$1087)</f>
        <v/>
      </c>
      <c r="X1084" t="str">
        <f>IF([2]Baskol!$G$1087="","",[2]Baskol!$G$1087)</f>
        <v/>
      </c>
      <c r="Y1084" t="str">
        <f>IF([2]Baskol!$I$1087="","",[2]Baskol!$I$1087)</f>
        <v/>
      </c>
      <c r="Z1084" t="str">
        <f>IF([2]Baskol!$J$1087="","",[2]Baskol!$J$1087)</f>
        <v/>
      </c>
      <c r="AA1084" t="str">
        <f>IF([2]Baskol!$K$1087="","",[2]Baskol!$K$1087)</f>
        <v/>
      </c>
      <c r="AB1084" t="str">
        <f>IF([2]Baskol!$L$1087="","",[2]Baskol!$L$1087)</f>
        <v/>
      </c>
      <c r="AC1084" t="str">
        <f>IF([2]Baskol!$N$1087="","",[2]Baskol!$N$1087)</f>
        <v/>
      </c>
      <c r="AD1084" t="str">
        <f>IF([2]Baskol!$O$1087="","",[2]Baskol!$O$1087)</f>
        <v/>
      </c>
      <c r="AE1084" t="str">
        <f>IF([3]Entry!$C$1087="","",[3]Entry!$C$1087)</f>
        <v/>
      </c>
      <c r="AF1084" t="str">
        <f>IF([3]Entry!$D$1087="","",[3]Entry!$D$1087)</f>
        <v/>
      </c>
      <c r="AG1084" t="str">
        <f>IF([3]Entry!$E$1087="","",[3]Entry!$E$1087)</f>
        <v/>
      </c>
      <c r="AH1084" t="str">
        <f>IF([3]Entry!$G$1087="","",[3]Entry!$G$1087)</f>
        <v/>
      </c>
      <c r="AI1084" t="str">
        <f>IF([3]Entry!$K$1087="","",[3]Entry!$K$1087)</f>
        <v/>
      </c>
      <c r="AJ1084" t="str">
        <f>IF([3]Entry!$L$1087="","",[3]Entry!$L$1087)</f>
        <v/>
      </c>
      <c r="AK1084" t="str">
        <f>IF([3]Entry!$M$1087="","",[3]Entry!$M$1087)</f>
        <v/>
      </c>
      <c r="AL1084" t="str">
        <f>IF([3]Entry!$N$1087="","",[3]Entry!$N$1087)</f>
        <v/>
      </c>
      <c r="AM1084" t="str">
        <f>IF([3]Entry!$R$1087="","",[3]Entry!$R$1087)</f>
        <v/>
      </c>
    </row>
    <row r="1085" spans="20:39" x14ac:dyDescent="0.2">
      <c r="T1085" t="str">
        <f>IF([2]Baskol!$B$1088="","",[2]Baskol!$B$1088)</f>
        <v/>
      </c>
      <c r="U1085" t="str">
        <f>IF([2]Baskol!$C$1088="","",[2]Baskol!$C$1088)</f>
        <v/>
      </c>
      <c r="V1085" t="str">
        <f>IF([2]Baskol!$D$1088="","",[2]Baskol!$D$1088)</f>
        <v/>
      </c>
      <c r="W1085" t="str">
        <f>IF([2]Baskol!$E$1088="","",[2]Baskol!$E$1088)</f>
        <v/>
      </c>
      <c r="X1085" t="str">
        <f>IF([2]Baskol!$G$1088="","",[2]Baskol!$G$1088)</f>
        <v/>
      </c>
      <c r="Y1085" t="str">
        <f>IF([2]Baskol!$I$1088="","",[2]Baskol!$I$1088)</f>
        <v/>
      </c>
      <c r="Z1085" t="str">
        <f>IF([2]Baskol!$J$1088="","",[2]Baskol!$J$1088)</f>
        <v/>
      </c>
      <c r="AA1085" t="str">
        <f>IF([2]Baskol!$K$1088="","",[2]Baskol!$K$1088)</f>
        <v/>
      </c>
      <c r="AB1085" t="str">
        <f>IF([2]Baskol!$L$1088="","",[2]Baskol!$L$1088)</f>
        <v/>
      </c>
      <c r="AC1085" t="str">
        <f>IF([2]Baskol!$N$1088="","",[2]Baskol!$N$1088)</f>
        <v/>
      </c>
      <c r="AD1085" t="str">
        <f>IF([2]Baskol!$O$1088="","",[2]Baskol!$O$1088)</f>
        <v/>
      </c>
      <c r="AE1085" t="str">
        <f>IF([3]Entry!$C$1088="","",[3]Entry!$C$1088)</f>
        <v/>
      </c>
      <c r="AF1085" t="str">
        <f>IF([3]Entry!$D$1088="","",[3]Entry!$D$1088)</f>
        <v/>
      </c>
      <c r="AG1085" t="str">
        <f>IF([3]Entry!$E$1088="","",[3]Entry!$E$1088)</f>
        <v/>
      </c>
      <c r="AH1085" t="str">
        <f>IF([3]Entry!$G$1088="","",[3]Entry!$G$1088)</f>
        <v/>
      </c>
      <c r="AI1085" t="str">
        <f>IF([3]Entry!$K$1088="","",[3]Entry!$K$1088)</f>
        <v/>
      </c>
      <c r="AJ1085" t="str">
        <f>IF([3]Entry!$L$1088="","",[3]Entry!$L$1088)</f>
        <v/>
      </c>
      <c r="AK1085" t="str">
        <f>IF([3]Entry!$M$1088="","",[3]Entry!$M$1088)</f>
        <v/>
      </c>
      <c r="AL1085" t="str">
        <f>IF([3]Entry!$N$1088="","",[3]Entry!$N$1088)</f>
        <v/>
      </c>
      <c r="AM1085" t="str">
        <f>IF([3]Entry!$R$1088="","",[3]Entry!$R$1088)</f>
        <v/>
      </c>
    </row>
    <row r="1086" spans="20:39" x14ac:dyDescent="0.2">
      <c r="T1086" t="str">
        <f>IF([2]Baskol!$B$1089="","",[2]Baskol!$B$1089)</f>
        <v/>
      </c>
      <c r="U1086" t="str">
        <f>IF([2]Baskol!$C$1089="","",[2]Baskol!$C$1089)</f>
        <v/>
      </c>
      <c r="V1086" t="str">
        <f>IF([2]Baskol!$D$1089="","",[2]Baskol!$D$1089)</f>
        <v/>
      </c>
      <c r="W1086" t="str">
        <f>IF([2]Baskol!$E$1089="","",[2]Baskol!$E$1089)</f>
        <v/>
      </c>
      <c r="X1086" t="str">
        <f>IF([2]Baskol!$G$1089="","",[2]Baskol!$G$1089)</f>
        <v/>
      </c>
      <c r="Y1086" t="str">
        <f>IF([2]Baskol!$I$1089="","",[2]Baskol!$I$1089)</f>
        <v/>
      </c>
      <c r="Z1086" t="str">
        <f>IF([2]Baskol!$J$1089="","",[2]Baskol!$J$1089)</f>
        <v/>
      </c>
      <c r="AA1086" t="str">
        <f>IF([2]Baskol!$K$1089="","",[2]Baskol!$K$1089)</f>
        <v/>
      </c>
      <c r="AB1086" t="str">
        <f>IF([2]Baskol!$L$1089="","",[2]Baskol!$L$1089)</f>
        <v/>
      </c>
      <c r="AC1086" t="str">
        <f>IF([2]Baskol!$N$1089="","",[2]Baskol!$N$1089)</f>
        <v/>
      </c>
      <c r="AD1086" t="str">
        <f>IF([2]Baskol!$O$1089="","",[2]Baskol!$O$1089)</f>
        <v/>
      </c>
      <c r="AE1086" t="str">
        <f>IF([3]Entry!$C$1089="","",[3]Entry!$C$1089)</f>
        <v/>
      </c>
      <c r="AF1086" t="str">
        <f>IF([3]Entry!$D$1089="","",[3]Entry!$D$1089)</f>
        <v/>
      </c>
      <c r="AG1086" t="str">
        <f>IF([3]Entry!$E$1089="","",[3]Entry!$E$1089)</f>
        <v/>
      </c>
      <c r="AH1086" t="str">
        <f>IF([3]Entry!$G$1089="","",[3]Entry!$G$1089)</f>
        <v/>
      </c>
      <c r="AI1086" t="str">
        <f>IF([3]Entry!$K$1089="","",[3]Entry!$K$1089)</f>
        <v/>
      </c>
      <c r="AJ1086" t="str">
        <f>IF([3]Entry!$L$1089="","",[3]Entry!$L$1089)</f>
        <v/>
      </c>
      <c r="AK1086" t="str">
        <f>IF([3]Entry!$M$1089="","",[3]Entry!$M$1089)</f>
        <v/>
      </c>
      <c r="AL1086" t="str">
        <f>IF([3]Entry!$N$1089="","",[3]Entry!$N$1089)</f>
        <v/>
      </c>
      <c r="AM1086" t="str">
        <f>IF([3]Entry!$R$1089="","",[3]Entry!$R$1089)</f>
        <v/>
      </c>
    </row>
    <row r="1087" spans="20:39" x14ac:dyDescent="0.2">
      <c r="T1087" t="str">
        <f>IF([2]Baskol!$B$1090="","",[2]Baskol!$B$1090)</f>
        <v/>
      </c>
      <c r="U1087" t="str">
        <f>IF([2]Baskol!$C$1090="","",[2]Baskol!$C$1090)</f>
        <v/>
      </c>
      <c r="V1087" t="str">
        <f>IF([2]Baskol!$D$1090="","",[2]Baskol!$D$1090)</f>
        <v/>
      </c>
      <c r="W1087" t="str">
        <f>IF([2]Baskol!$E$1090="","",[2]Baskol!$E$1090)</f>
        <v/>
      </c>
      <c r="X1087" t="str">
        <f>IF([2]Baskol!$G$1090="","",[2]Baskol!$G$1090)</f>
        <v/>
      </c>
      <c r="Y1087" t="str">
        <f>IF([2]Baskol!$I$1090="","",[2]Baskol!$I$1090)</f>
        <v/>
      </c>
      <c r="Z1087" t="str">
        <f>IF([2]Baskol!$J$1090="","",[2]Baskol!$J$1090)</f>
        <v/>
      </c>
      <c r="AA1087" t="str">
        <f>IF([2]Baskol!$K$1090="","",[2]Baskol!$K$1090)</f>
        <v/>
      </c>
      <c r="AB1087" t="str">
        <f>IF([2]Baskol!$L$1090="","",[2]Baskol!$L$1090)</f>
        <v/>
      </c>
      <c r="AC1087" t="str">
        <f>IF([2]Baskol!$N$1090="","",[2]Baskol!$N$1090)</f>
        <v/>
      </c>
      <c r="AD1087" t="str">
        <f>IF([2]Baskol!$O$1090="","",[2]Baskol!$O$1090)</f>
        <v/>
      </c>
      <c r="AE1087" t="str">
        <f>IF([3]Entry!$C$1090="","",[3]Entry!$C$1090)</f>
        <v/>
      </c>
      <c r="AF1087" t="str">
        <f>IF([3]Entry!$D$1090="","",[3]Entry!$D$1090)</f>
        <v/>
      </c>
      <c r="AG1087" t="str">
        <f>IF([3]Entry!$E$1090="","",[3]Entry!$E$1090)</f>
        <v/>
      </c>
      <c r="AH1087" t="str">
        <f>IF([3]Entry!$G$1090="","",[3]Entry!$G$1090)</f>
        <v/>
      </c>
      <c r="AI1087" t="str">
        <f>IF([3]Entry!$K$1090="","",[3]Entry!$K$1090)</f>
        <v/>
      </c>
      <c r="AJ1087" t="str">
        <f>IF([3]Entry!$L$1090="","",[3]Entry!$L$1090)</f>
        <v/>
      </c>
      <c r="AK1087" t="str">
        <f>IF([3]Entry!$M$1090="","",[3]Entry!$M$1090)</f>
        <v/>
      </c>
      <c r="AL1087" t="str">
        <f>IF([3]Entry!$N$1090="","",[3]Entry!$N$1090)</f>
        <v/>
      </c>
      <c r="AM1087" t="str">
        <f>IF([3]Entry!$R$1090="","",[3]Entry!$R$1090)</f>
        <v/>
      </c>
    </row>
    <row r="1088" spans="20:39" x14ac:dyDescent="0.2">
      <c r="T1088" t="str">
        <f>IF([2]Baskol!$B$1091="","",[2]Baskol!$B$1091)</f>
        <v/>
      </c>
      <c r="U1088" t="str">
        <f>IF([2]Baskol!$C$1091="","",[2]Baskol!$C$1091)</f>
        <v/>
      </c>
      <c r="V1088" t="str">
        <f>IF([2]Baskol!$D$1091="","",[2]Baskol!$D$1091)</f>
        <v/>
      </c>
      <c r="W1088" t="str">
        <f>IF([2]Baskol!$E$1091="","",[2]Baskol!$E$1091)</f>
        <v/>
      </c>
      <c r="X1088" t="str">
        <f>IF([2]Baskol!$G$1091="","",[2]Baskol!$G$1091)</f>
        <v/>
      </c>
      <c r="Y1088" t="str">
        <f>IF([2]Baskol!$I$1091="","",[2]Baskol!$I$1091)</f>
        <v/>
      </c>
      <c r="Z1088" t="str">
        <f>IF([2]Baskol!$J$1091="","",[2]Baskol!$J$1091)</f>
        <v/>
      </c>
      <c r="AA1088" t="str">
        <f>IF([2]Baskol!$K$1091="","",[2]Baskol!$K$1091)</f>
        <v/>
      </c>
      <c r="AB1088" t="str">
        <f>IF([2]Baskol!$L$1091="","",[2]Baskol!$L$1091)</f>
        <v/>
      </c>
      <c r="AC1088" t="str">
        <f>IF([2]Baskol!$N$1091="","",[2]Baskol!$N$1091)</f>
        <v/>
      </c>
      <c r="AD1088" t="str">
        <f>IF([2]Baskol!$O$1091="","",[2]Baskol!$O$1091)</f>
        <v/>
      </c>
      <c r="AE1088" t="str">
        <f>IF([3]Entry!$C$1091="","",[3]Entry!$C$1091)</f>
        <v/>
      </c>
      <c r="AF1088" t="str">
        <f>IF([3]Entry!$D$1091="","",[3]Entry!$D$1091)</f>
        <v/>
      </c>
      <c r="AG1088" t="str">
        <f>IF([3]Entry!$E$1091="","",[3]Entry!$E$1091)</f>
        <v/>
      </c>
      <c r="AH1088" t="str">
        <f>IF([3]Entry!$G$1091="","",[3]Entry!$G$1091)</f>
        <v/>
      </c>
      <c r="AI1088" t="str">
        <f>IF([3]Entry!$K$1091="","",[3]Entry!$K$1091)</f>
        <v/>
      </c>
      <c r="AJ1088" t="str">
        <f>IF([3]Entry!$L$1091="","",[3]Entry!$L$1091)</f>
        <v/>
      </c>
      <c r="AK1088" t="str">
        <f>IF([3]Entry!$M$1091="","",[3]Entry!$M$1091)</f>
        <v/>
      </c>
      <c r="AL1088" t="str">
        <f>IF([3]Entry!$N$1091="","",[3]Entry!$N$1091)</f>
        <v/>
      </c>
      <c r="AM1088" t="str">
        <f>IF([3]Entry!$R$1091="","",[3]Entry!$R$1091)</f>
        <v/>
      </c>
    </row>
    <row r="1089" spans="20:39" x14ac:dyDescent="0.2">
      <c r="T1089" t="str">
        <f>IF([2]Baskol!$B$1092="","",[2]Baskol!$B$1092)</f>
        <v/>
      </c>
      <c r="U1089" t="str">
        <f>IF([2]Baskol!$C$1092="","",[2]Baskol!$C$1092)</f>
        <v/>
      </c>
      <c r="V1089" t="str">
        <f>IF([2]Baskol!$D$1092="","",[2]Baskol!$D$1092)</f>
        <v/>
      </c>
      <c r="W1089" t="str">
        <f>IF([2]Baskol!$E$1092="","",[2]Baskol!$E$1092)</f>
        <v/>
      </c>
      <c r="X1089" t="str">
        <f>IF([2]Baskol!$G$1092="","",[2]Baskol!$G$1092)</f>
        <v/>
      </c>
      <c r="Y1089" t="str">
        <f>IF([2]Baskol!$I$1092="","",[2]Baskol!$I$1092)</f>
        <v/>
      </c>
      <c r="Z1089" t="str">
        <f>IF([2]Baskol!$J$1092="","",[2]Baskol!$J$1092)</f>
        <v/>
      </c>
      <c r="AA1089" t="str">
        <f>IF([2]Baskol!$K$1092="","",[2]Baskol!$K$1092)</f>
        <v/>
      </c>
      <c r="AB1089" t="str">
        <f>IF([2]Baskol!$L$1092="","",[2]Baskol!$L$1092)</f>
        <v/>
      </c>
      <c r="AC1089" t="str">
        <f>IF([2]Baskol!$N$1092="","",[2]Baskol!$N$1092)</f>
        <v/>
      </c>
      <c r="AD1089" t="str">
        <f>IF([2]Baskol!$O$1092="","",[2]Baskol!$O$1092)</f>
        <v/>
      </c>
      <c r="AE1089" t="str">
        <f>IF([3]Entry!$C$1092="","",[3]Entry!$C$1092)</f>
        <v/>
      </c>
      <c r="AF1089" t="str">
        <f>IF([3]Entry!$D$1092="","",[3]Entry!$D$1092)</f>
        <v/>
      </c>
      <c r="AG1089" t="str">
        <f>IF([3]Entry!$E$1092="","",[3]Entry!$E$1092)</f>
        <v/>
      </c>
      <c r="AH1089" t="str">
        <f>IF([3]Entry!$G$1092="","",[3]Entry!$G$1092)</f>
        <v/>
      </c>
      <c r="AI1089" t="str">
        <f>IF([3]Entry!$K$1092="","",[3]Entry!$K$1092)</f>
        <v/>
      </c>
      <c r="AJ1089" t="str">
        <f>IF([3]Entry!$L$1092="","",[3]Entry!$L$1092)</f>
        <v/>
      </c>
      <c r="AK1089" t="str">
        <f>IF([3]Entry!$M$1092="","",[3]Entry!$M$1092)</f>
        <v/>
      </c>
      <c r="AL1089" t="str">
        <f>IF([3]Entry!$N$1092="","",[3]Entry!$N$1092)</f>
        <v/>
      </c>
      <c r="AM1089" t="str">
        <f>IF([3]Entry!$R$1092="","",[3]Entry!$R$1092)</f>
        <v/>
      </c>
    </row>
    <row r="1090" spans="20:39" x14ac:dyDescent="0.2">
      <c r="T1090" t="str">
        <f>IF([2]Baskol!$B$1093="","",[2]Baskol!$B$1093)</f>
        <v/>
      </c>
      <c r="U1090" t="str">
        <f>IF([2]Baskol!$C$1093="","",[2]Baskol!$C$1093)</f>
        <v/>
      </c>
      <c r="V1090" t="str">
        <f>IF([2]Baskol!$D$1093="","",[2]Baskol!$D$1093)</f>
        <v/>
      </c>
      <c r="W1090" t="str">
        <f>IF([2]Baskol!$E$1093="","",[2]Baskol!$E$1093)</f>
        <v/>
      </c>
      <c r="X1090" t="str">
        <f>IF([2]Baskol!$G$1093="","",[2]Baskol!$G$1093)</f>
        <v/>
      </c>
      <c r="Y1090" t="str">
        <f>IF([2]Baskol!$I$1093="","",[2]Baskol!$I$1093)</f>
        <v/>
      </c>
      <c r="Z1090" t="str">
        <f>IF([2]Baskol!$J$1093="","",[2]Baskol!$J$1093)</f>
        <v/>
      </c>
      <c r="AA1090" t="str">
        <f>IF([2]Baskol!$K$1093="","",[2]Baskol!$K$1093)</f>
        <v/>
      </c>
      <c r="AB1090" t="str">
        <f>IF([2]Baskol!$L$1093="","",[2]Baskol!$L$1093)</f>
        <v/>
      </c>
      <c r="AC1090" t="str">
        <f>IF([2]Baskol!$N$1093="","",[2]Baskol!$N$1093)</f>
        <v/>
      </c>
      <c r="AD1090" t="str">
        <f>IF([2]Baskol!$O$1093="","",[2]Baskol!$O$1093)</f>
        <v/>
      </c>
      <c r="AE1090" t="str">
        <f>IF([3]Entry!$C$1093="","",[3]Entry!$C$1093)</f>
        <v/>
      </c>
      <c r="AF1090" t="str">
        <f>IF([3]Entry!$D$1093="","",[3]Entry!$D$1093)</f>
        <v/>
      </c>
      <c r="AG1090" t="str">
        <f>IF([3]Entry!$E$1093="","",[3]Entry!$E$1093)</f>
        <v/>
      </c>
      <c r="AH1090" t="str">
        <f>IF([3]Entry!$G$1093="","",[3]Entry!$G$1093)</f>
        <v/>
      </c>
      <c r="AI1090" t="str">
        <f>IF([3]Entry!$K$1093="","",[3]Entry!$K$1093)</f>
        <v/>
      </c>
      <c r="AJ1090" t="str">
        <f>IF([3]Entry!$L$1093="","",[3]Entry!$L$1093)</f>
        <v/>
      </c>
      <c r="AK1090" t="str">
        <f>IF([3]Entry!$M$1093="","",[3]Entry!$M$1093)</f>
        <v/>
      </c>
      <c r="AL1090" t="str">
        <f>IF([3]Entry!$N$1093="","",[3]Entry!$N$1093)</f>
        <v/>
      </c>
      <c r="AM1090" t="str">
        <f>IF([3]Entry!$R$1093="","",[3]Entry!$R$1093)</f>
        <v/>
      </c>
    </row>
    <row r="1091" spans="20:39" x14ac:dyDescent="0.2">
      <c r="T1091" t="str">
        <f>IF([2]Baskol!$B$1094="","",[2]Baskol!$B$1094)</f>
        <v/>
      </c>
      <c r="U1091" t="str">
        <f>IF([2]Baskol!$C$1094="","",[2]Baskol!$C$1094)</f>
        <v/>
      </c>
      <c r="V1091" t="str">
        <f>IF([2]Baskol!$D$1094="","",[2]Baskol!$D$1094)</f>
        <v/>
      </c>
      <c r="W1091" t="str">
        <f>IF([2]Baskol!$E$1094="","",[2]Baskol!$E$1094)</f>
        <v/>
      </c>
      <c r="X1091" t="str">
        <f>IF([2]Baskol!$G$1094="","",[2]Baskol!$G$1094)</f>
        <v/>
      </c>
      <c r="Y1091" t="str">
        <f>IF([2]Baskol!$I$1094="","",[2]Baskol!$I$1094)</f>
        <v/>
      </c>
      <c r="Z1091" t="str">
        <f>IF([2]Baskol!$J$1094="","",[2]Baskol!$J$1094)</f>
        <v/>
      </c>
      <c r="AA1091" t="str">
        <f>IF([2]Baskol!$K$1094="","",[2]Baskol!$K$1094)</f>
        <v/>
      </c>
      <c r="AB1091" t="str">
        <f>IF([2]Baskol!$L$1094="","",[2]Baskol!$L$1094)</f>
        <v/>
      </c>
      <c r="AC1091" t="str">
        <f>IF([2]Baskol!$N$1094="","",[2]Baskol!$N$1094)</f>
        <v/>
      </c>
      <c r="AD1091" t="str">
        <f>IF([2]Baskol!$O$1094="","",[2]Baskol!$O$1094)</f>
        <v/>
      </c>
      <c r="AE1091" t="str">
        <f>IF([3]Entry!$C$1094="","",[3]Entry!$C$1094)</f>
        <v/>
      </c>
      <c r="AF1091" t="str">
        <f>IF([3]Entry!$D$1094="","",[3]Entry!$D$1094)</f>
        <v/>
      </c>
      <c r="AG1091" t="str">
        <f>IF([3]Entry!$E$1094="","",[3]Entry!$E$1094)</f>
        <v/>
      </c>
      <c r="AH1091" t="str">
        <f>IF([3]Entry!$G$1094="","",[3]Entry!$G$1094)</f>
        <v/>
      </c>
      <c r="AI1091" t="str">
        <f>IF([3]Entry!$K$1094="","",[3]Entry!$K$1094)</f>
        <v/>
      </c>
      <c r="AJ1091" t="str">
        <f>IF([3]Entry!$L$1094="","",[3]Entry!$L$1094)</f>
        <v/>
      </c>
      <c r="AK1091" t="str">
        <f>IF([3]Entry!$M$1094="","",[3]Entry!$M$1094)</f>
        <v/>
      </c>
      <c r="AL1091" t="str">
        <f>IF([3]Entry!$N$1094="","",[3]Entry!$N$1094)</f>
        <v/>
      </c>
      <c r="AM1091" t="str">
        <f>IF([3]Entry!$R$1094="","",[3]Entry!$R$1094)</f>
        <v/>
      </c>
    </row>
    <row r="1092" spans="20:39" x14ac:dyDescent="0.2">
      <c r="T1092" t="str">
        <f>IF([2]Baskol!$B$1095="","",[2]Baskol!$B$1095)</f>
        <v/>
      </c>
      <c r="U1092" t="str">
        <f>IF([2]Baskol!$C$1095="","",[2]Baskol!$C$1095)</f>
        <v/>
      </c>
      <c r="V1092" t="str">
        <f>IF([2]Baskol!$D$1095="","",[2]Baskol!$D$1095)</f>
        <v/>
      </c>
      <c r="W1092" t="str">
        <f>IF([2]Baskol!$E$1095="","",[2]Baskol!$E$1095)</f>
        <v/>
      </c>
      <c r="X1092" t="str">
        <f>IF([2]Baskol!$G$1095="","",[2]Baskol!$G$1095)</f>
        <v/>
      </c>
      <c r="Y1092" t="str">
        <f>IF([2]Baskol!$I$1095="","",[2]Baskol!$I$1095)</f>
        <v/>
      </c>
      <c r="Z1092" t="str">
        <f>IF([2]Baskol!$J$1095="","",[2]Baskol!$J$1095)</f>
        <v/>
      </c>
      <c r="AA1092" t="str">
        <f>IF([2]Baskol!$K$1095="","",[2]Baskol!$K$1095)</f>
        <v/>
      </c>
      <c r="AB1092" t="str">
        <f>IF([2]Baskol!$L$1095="","",[2]Baskol!$L$1095)</f>
        <v/>
      </c>
      <c r="AC1092" t="str">
        <f>IF([2]Baskol!$N$1095="","",[2]Baskol!$N$1095)</f>
        <v/>
      </c>
      <c r="AD1092" t="str">
        <f>IF([2]Baskol!$O$1095="","",[2]Baskol!$O$1095)</f>
        <v/>
      </c>
      <c r="AE1092" t="str">
        <f>IF([3]Entry!$C$1095="","",[3]Entry!$C$1095)</f>
        <v/>
      </c>
      <c r="AF1092" t="str">
        <f>IF([3]Entry!$D$1095="","",[3]Entry!$D$1095)</f>
        <v/>
      </c>
      <c r="AG1092" t="str">
        <f>IF([3]Entry!$E$1095="","",[3]Entry!$E$1095)</f>
        <v/>
      </c>
      <c r="AH1092" t="str">
        <f>IF([3]Entry!$G$1095="","",[3]Entry!$G$1095)</f>
        <v/>
      </c>
      <c r="AI1092" t="str">
        <f>IF([3]Entry!$K$1095="","",[3]Entry!$K$1095)</f>
        <v/>
      </c>
      <c r="AJ1092" t="str">
        <f>IF([3]Entry!$L$1095="","",[3]Entry!$L$1095)</f>
        <v/>
      </c>
      <c r="AK1092" t="str">
        <f>IF([3]Entry!$M$1095="","",[3]Entry!$M$1095)</f>
        <v/>
      </c>
      <c r="AL1092" t="str">
        <f>IF([3]Entry!$N$1095="","",[3]Entry!$N$1095)</f>
        <v/>
      </c>
      <c r="AM1092" t="str">
        <f>IF([3]Entry!$R$1095="","",[3]Entry!$R$1095)</f>
        <v/>
      </c>
    </row>
    <row r="1093" spans="20:39" x14ac:dyDescent="0.2">
      <c r="T1093" t="str">
        <f>IF([2]Baskol!$B$1096="","",[2]Baskol!$B$1096)</f>
        <v/>
      </c>
      <c r="U1093" t="str">
        <f>IF([2]Baskol!$C$1096="","",[2]Baskol!$C$1096)</f>
        <v/>
      </c>
      <c r="V1093" t="str">
        <f>IF([2]Baskol!$D$1096="","",[2]Baskol!$D$1096)</f>
        <v/>
      </c>
      <c r="W1093" t="str">
        <f>IF([2]Baskol!$E$1096="","",[2]Baskol!$E$1096)</f>
        <v/>
      </c>
      <c r="X1093" t="str">
        <f>IF([2]Baskol!$G$1096="","",[2]Baskol!$G$1096)</f>
        <v/>
      </c>
      <c r="Y1093" t="str">
        <f>IF([2]Baskol!$I$1096="","",[2]Baskol!$I$1096)</f>
        <v/>
      </c>
      <c r="Z1093" t="str">
        <f>IF([2]Baskol!$J$1096="","",[2]Baskol!$J$1096)</f>
        <v/>
      </c>
      <c r="AA1093" t="str">
        <f>IF([2]Baskol!$K$1096="","",[2]Baskol!$K$1096)</f>
        <v/>
      </c>
      <c r="AB1093" t="str">
        <f>IF([2]Baskol!$L$1096="","",[2]Baskol!$L$1096)</f>
        <v/>
      </c>
      <c r="AC1093" t="str">
        <f>IF([2]Baskol!$N$1096="","",[2]Baskol!$N$1096)</f>
        <v/>
      </c>
      <c r="AD1093" t="str">
        <f>IF([2]Baskol!$O$1096="","",[2]Baskol!$O$1096)</f>
        <v/>
      </c>
      <c r="AE1093" t="str">
        <f>IF([3]Entry!$C$1096="","",[3]Entry!$C$1096)</f>
        <v/>
      </c>
      <c r="AF1093" t="str">
        <f>IF([3]Entry!$D$1096="","",[3]Entry!$D$1096)</f>
        <v/>
      </c>
      <c r="AG1093" t="str">
        <f>IF([3]Entry!$E$1096="","",[3]Entry!$E$1096)</f>
        <v/>
      </c>
      <c r="AH1093" t="str">
        <f>IF([3]Entry!$G$1096="","",[3]Entry!$G$1096)</f>
        <v/>
      </c>
      <c r="AI1093" t="str">
        <f>IF([3]Entry!$K$1096="","",[3]Entry!$K$1096)</f>
        <v/>
      </c>
      <c r="AJ1093" t="str">
        <f>IF([3]Entry!$L$1096="","",[3]Entry!$L$1096)</f>
        <v/>
      </c>
      <c r="AK1093" t="str">
        <f>IF([3]Entry!$M$1096="","",[3]Entry!$M$1096)</f>
        <v/>
      </c>
      <c r="AL1093" t="str">
        <f>IF([3]Entry!$N$1096="","",[3]Entry!$N$1096)</f>
        <v/>
      </c>
      <c r="AM1093" t="str">
        <f>IF([3]Entry!$R$1096="","",[3]Entry!$R$1096)</f>
        <v/>
      </c>
    </row>
    <row r="1094" spans="20:39" x14ac:dyDescent="0.2">
      <c r="T1094" t="str">
        <f>IF([2]Baskol!$B$1097="","",[2]Baskol!$B$1097)</f>
        <v/>
      </c>
      <c r="U1094" t="str">
        <f>IF([2]Baskol!$C$1097="","",[2]Baskol!$C$1097)</f>
        <v/>
      </c>
      <c r="V1094" t="str">
        <f>IF([2]Baskol!$D$1097="","",[2]Baskol!$D$1097)</f>
        <v/>
      </c>
      <c r="W1094" t="str">
        <f>IF([2]Baskol!$E$1097="","",[2]Baskol!$E$1097)</f>
        <v/>
      </c>
      <c r="X1094" t="str">
        <f>IF([2]Baskol!$G$1097="","",[2]Baskol!$G$1097)</f>
        <v/>
      </c>
      <c r="Y1094" t="str">
        <f>IF([2]Baskol!$I$1097="","",[2]Baskol!$I$1097)</f>
        <v/>
      </c>
      <c r="Z1094" t="str">
        <f>IF([2]Baskol!$J$1097="","",[2]Baskol!$J$1097)</f>
        <v/>
      </c>
      <c r="AA1094" t="str">
        <f>IF([2]Baskol!$K$1097="","",[2]Baskol!$K$1097)</f>
        <v/>
      </c>
      <c r="AB1094" t="str">
        <f>IF([2]Baskol!$L$1097="","",[2]Baskol!$L$1097)</f>
        <v/>
      </c>
      <c r="AC1094" t="str">
        <f>IF([2]Baskol!$N$1097="","",[2]Baskol!$N$1097)</f>
        <v/>
      </c>
      <c r="AD1094" t="str">
        <f>IF([2]Baskol!$O$1097="","",[2]Baskol!$O$1097)</f>
        <v/>
      </c>
      <c r="AE1094" t="str">
        <f>IF([3]Entry!$C$1097="","",[3]Entry!$C$1097)</f>
        <v/>
      </c>
      <c r="AF1094" t="str">
        <f>IF([3]Entry!$D$1097="","",[3]Entry!$D$1097)</f>
        <v/>
      </c>
      <c r="AG1094" t="str">
        <f>IF([3]Entry!$E$1097="","",[3]Entry!$E$1097)</f>
        <v/>
      </c>
      <c r="AH1094" t="str">
        <f>IF([3]Entry!$G$1097="","",[3]Entry!$G$1097)</f>
        <v/>
      </c>
      <c r="AI1094" t="str">
        <f>IF([3]Entry!$K$1097="","",[3]Entry!$K$1097)</f>
        <v/>
      </c>
      <c r="AJ1094" t="str">
        <f>IF([3]Entry!$L$1097="","",[3]Entry!$L$1097)</f>
        <v/>
      </c>
      <c r="AK1094" t="str">
        <f>IF([3]Entry!$M$1097="","",[3]Entry!$M$1097)</f>
        <v/>
      </c>
      <c r="AL1094" t="str">
        <f>IF([3]Entry!$N$1097="","",[3]Entry!$N$1097)</f>
        <v/>
      </c>
      <c r="AM1094" t="str">
        <f>IF([3]Entry!$R$1097="","",[3]Entry!$R$1097)</f>
        <v/>
      </c>
    </row>
    <row r="1095" spans="20:39" x14ac:dyDescent="0.2">
      <c r="T1095" t="str">
        <f>IF([2]Baskol!$B$1098="","",[2]Baskol!$B$1098)</f>
        <v/>
      </c>
      <c r="U1095" t="str">
        <f>IF([2]Baskol!$C$1098="","",[2]Baskol!$C$1098)</f>
        <v/>
      </c>
      <c r="V1095" t="str">
        <f>IF([2]Baskol!$D$1098="","",[2]Baskol!$D$1098)</f>
        <v/>
      </c>
      <c r="W1095" t="str">
        <f>IF([2]Baskol!$E$1098="","",[2]Baskol!$E$1098)</f>
        <v/>
      </c>
      <c r="X1095" t="str">
        <f>IF([2]Baskol!$G$1098="","",[2]Baskol!$G$1098)</f>
        <v/>
      </c>
      <c r="Y1095" t="str">
        <f>IF([2]Baskol!$I$1098="","",[2]Baskol!$I$1098)</f>
        <v/>
      </c>
      <c r="Z1095" t="str">
        <f>IF([2]Baskol!$J$1098="","",[2]Baskol!$J$1098)</f>
        <v/>
      </c>
      <c r="AA1095" t="str">
        <f>IF([2]Baskol!$K$1098="","",[2]Baskol!$K$1098)</f>
        <v/>
      </c>
      <c r="AB1095" t="str">
        <f>IF([2]Baskol!$L$1098="","",[2]Baskol!$L$1098)</f>
        <v/>
      </c>
      <c r="AC1095" t="str">
        <f>IF([2]Baskol!$N$1098="","",[2]Baskol!$N$1098)</f>
        <v/>
      </c>
      <c r="AD1095" t="str">
        <f>IF([2]Baskol!$O$1098="","",[2]Baskol!$O$1098)</f>
        <v/>
      </c>
      <c r="AE1095" t="str">
        <f>IF([3]Entry!$C$1098="","",[3]Entry!$C$1098)</f>
        <v/>
      </c>
      <c r="AF1095" t="str">
        <f>IF([3]Entry!$D$1098="","",[3]Entry!$D$1098)</f>
        <v/>
      </c>
      <c r="AG1095" t="str">
        <f>IF([3]Entry!$E$1098="","",[3]Entry!$E$1098)</f>
        <v/>
      </c>
      <c r="AH1095" t="str">
        <f>IF([3]Entry!$G$1098="","",[3]Entry!$G$1098)</f>
        <v/>
      </c>
      <c r="AI1095" t="str">
        <f>IF([3]Entry!$K$1098="","",[3]Entry!$K$1098)</f>
        <v/>
      </c>
      <c r="AJ1095" t="str">
        <f>IF([3]Entry!$L$1098="","",[3]Entry!$L$1098)</f>
        <v/>
      </c>
      <c r="AK1095" t="str">
        <f>IF([3]Entry!$M$1098="","",[3]Entry!$M$1098)</f>
        <v/>
      </c>
      <c r="AL1095" t="str">
        <f>IF([3]Entry!$N$1098="","",[3]Entry!$N$1098)</f>
        <v/>
      </c>
      <c r="AM1095" t="str">
        <f>IF([3]Entry!$R$1098="","",[3]Entry!$R$1098)</f>
        <v/>
      </c>
    </row>
    <row r="1096" spans="20:39" x14ac:dyDescent="0.2">
      <c r="T1096" t="str">
        <f>IF([2]Baskol!$B$1099="","",[2]Baskol!$B$1099)</f>
        <v/>
      </c>
      <c r="U1096" t="str">
        <f>IF([2]Baskol!$C$1099="","",[2]Baskol!$C$1099)</f>
        <v/>
      </c>
      <c r="V1096" t="str">
        <f>IF([2]Baskol!$D$1099="","",[2]Baskol!$D$1099)</f>
        <v/>
      </c>
      <c r="W1096" t="str">
        <f>IF([2]Baskol!$E$1099="","",[2]Baskol!$E$1099)</f>
        <v/>
      </c>
      <c r="X1096" t="str">
        <f>IF([2]Baskol!$G$1099="","",[2]Baskol!$G$1099)</f>
        <v/>
      </c>
      <c r="Y1096" t="str">
        <f>IF([2]Baskol!$I$1099="","",[2]Baskol!$I$1099)</f>
        <v/>
      </c>
      <c r="Z1096" t="str">
        <f>IF([2]Baskol!$J$1099="","",[2]Baskol!$J$1099)</f>
        <v/>
      </c>
      <c r="AA1096" t="str">
        <f>IF([2]Baskol!$K$1099="","",[2]Baskol!$K$1099)</f>
        <v/>
      </c>
      <c r="AB1096" t="str">
        <f>IF([2]Baskol!$L$1099="","",[2]Baskol!$L$1099)</f>
        <v/>
      </c>
      <c r="AC1096" t="str">
        <f>IF([2]Baskol!$N$1099="","",[2]Baskol!$N$1099)</f>
        <v/>
      </c>
      <c r="AD1096" t="str">
        <f>IF([2]Baskol!$O$1099="","",[2]Baskol!$O$1099)</f>
        <v/>
      </c>
      <c r="AE1096" t="str">
        <f>IF([3]Entry!$C$1099="","",[3]Entry!$C$1099)</f>
        <v/>
      </c>
      <c r="AF1096" t="str">
        <f>IF([3]Entry!$D$1099="","",[3]Entry!$D$1099)</f>
        <v/>
      </c>
      <c r="AG1096" t="str">
        <f>IF([3]Entry!$E$1099="","",[3]Entry!$E$1099)</f>
        <v/>
      </c>
      <c r="AH1096" t="str">
        <f>IF([3]Entry!$G$1099="","",[3]Entry!$G$1099)</f>
        <v/>
      </c>
      <c r="AI1096" t="str">
        <f>IF([3]Entry!$K$1099="","",[3]Entry!$K$1099)</f>
        <v/>
      </c>
      <c r="AJ1096" t="str">
        <f>IF([3]Entry!$L$1099="","",[3]Entry!$L$1099)</f>
        <v/>
      </c>
      <c r="AK1096" t="str">
        <f>IF([3]Entry!$M$1099="","",[3]Entry!$M$1099)</f>
        <v/>
      </c>
      <c r="AL1096" t="str">
        <f>IF([3]Entry!$N$1099="","",[3]Entry!$N$1099)</f>
        <v/>
      </c>
      <c r="AM1096" t="str">
        <f>IF([3]Entry!$R$1099="","",[3]Entry!$R$1099)</f>
        <v/>
      </c>
    </row>
    <row r="1097" spans="20:39" x14ac:dyDescent="0.2">
      <c r="T1097" t="str">
        <f>IF([2]Baskol!$B$1100="","",[2]Baskol!$B$1100)</f>
        <v/>
      </c>
      <c r="U1097" t="str">
        <f>IF([2]Baskol!$C$1100="","",[2]Baskol!$C$1100)</f>
        <v/>
      </c>
      <c r="V1097" t="str">
        <f>IF([2]Baskol!$D$1100="","",[2]Baskol!$D$1100)</f>
        <v/>
      </c>
      <c r="W1097" t="str">
        <f>IF([2]Baskol!$E$1100="","",[2]Baskol!$E$1100)</f>
        <v/>
      </c>
      <c r="X1097" t="str">
        <f>IF([2]Baskol!$G$1100="","",[2]Baskol!$G$1100)</f>
        <v/>
      </c>
      <c r="Y1097" t="str">
        <f>IF([2]Baskol!$I$1100="","",[2]Baskol!$I$1100)</f>
        <v/>
      </c>
      <c r="Z1097" t="str">
        <f>IF([2]Baskol!$J$1100="","",[2]Baskol!$J$1100)</f>
        <v/>
      </c>
      <c r="AA1097" t="str">
        <f>IF([2]Baskol!$K$1100="","",[2]Baskol!$K$1100)</f>
        <v/>
      </c>
      <c r="AB1097" t="str">
        <f>IF([2]Baskol!$L$1100="","",[2]Baskol!$L$1100)</f>
        <v/>
      </c>
      <c r="AC1097" t="str">
        <f>IF([2]Baskol!$N$1100="","",[2]Baskol!$N$1100)</f>
        <v/>
      </c>
      <c r="AD1097" t="str">
        <f>IF([2]Baskol!$O$1100="","",[2]Baskol!$O$1100)</f>
        <v/>
      </c>
      <c r="AE1097" t="str">
        <f>IF([3]Entry!$C$1100="","",[3]Entry!$C$1100)</f>
        <v/>
      </c>
      <c r="AF1097" t="str">
        <f>IF([3]Entry!$D$1100="","",[3]Entry!$D$1100)</f>
        <v/>
      </c>
      <c r="AG1097" t="str">
        <f>IF([3]Entry!$E$1100="","",[3]Entry!$E$1100)</f>
        <v/>
      </c>
      <c r="AH1097" t="str">
        <f>IF([3]Entry!$G$1100="","",[3]Entry!$G$1100)</f>
        <v/>
      </c>
      <c r="AI1097" t="str">
        <f>IF([3]Entry!$K$1100="","",[3]Entry!$K$1100)</f>
        <v/>
      </c>
      <c r="AJ1097" t="str">
        <f>IF([3]Entry!$L$1100="","",[3]Entry!$L$1100)</f>
        <v/>
      </c>
      <c r="AK1097" t="str">
        <f>IF([3]Entry!$M$1100="","",[3]Entry!$M$1100)</f>
        <v/>
      </c>
      <c r="AL1097" t="str">
        <f>IF([3]Entry!$N$1100="","",[3]Entry!$N$1100)</f>
        <v/>
      </c>
      <c r="AM1097" t="str">
        <f>IF([3]Entry!$R$1100="","",[3]Entry!$R$1100)</f>
        <v/>
      </c>
    </row>
    <row r="1098" spans="20:39" x14ac:dyDescent="0.2">
      <c r="T1098" t="str">
        <f>IF([2]Baskol!$B$1101="","",[2]Baskol!$B$1101)</f>
        <v/>
      </c>
      <c r="U1098" t="str">
        <f>IF([2]Baskol!$C$1101="","",[2]Baskol!$C$1101)</f>
        <v/>
      </c>
      <c r="V1098" t="str">
        <f>IF([2]Baskol!$D$1101="","",[2]Baskol!$D$1101)</f>
        <v/>
      </c>
      <c r="W1098" t="str">
        <f>IF([2]Baskol!$E$1101="","",[2]Baskol!$E$1101)</f>
        <v/>
      </c>
      <c r="X1098" t="str">
        <f>IF([2]Baskol!$G$1101="","",[2]Baskol!$G$1101)</f>
        <v/>
      </c>
      <c r="Y1098" t="str">
        <f>IF([2]Baskol!$I$1101="","",[2]Baskol!$I$1101)</f>
        <v/>
      </c>
      <c r="Z1098" t="str">
        <f>IF([2]Baskol!$J$1101="","",[2]Baskol!$J$1101)</f>
        <v/>
      </c>
      <c r="AA1098" t="str">
        <f>IF([2]Baskol!$K$1101="","",[2]Baskol!$K$1101)</f>
        <v/>
      </c>
      <c r="AB1098" t="str">
        <f>IF([2]Baskol!$L$1101="","",[2]Baskol!$L$1101)</f>
        <v/>
      </c>
      <c r="AC1098" t="str">
        <f>IF([2]Baskol!$N$1101="","",[2]Baskol!$N$1101)</f>
        <v/>
      </c>
      <c r="AD1098" t="str">
        <f>IF([2]Baskol!$O$1101="","",[2]Baskol!$O$1101)</f>
        <v/>
      </c>
      <c r="AE1098" t="str">
        <f>IF([3]Entry!$C$1101="","",[3]Entry!$C$1101)</f>
        <v/>
      </c>
      <c r="AF1098" t="str">
        <f>IF([3]Entry!$D$1101="","",[3]Entry!$D$1101)</f>
        <v/>
      </c>
      <c r="AG1098" t="str">
        <f>IF([3]Entry!$E$1101="","",[3]Entry!$E$1101)</f>
        <v/>
      </c>
      <c r="AH1098" t="str">
        <f>IF([3]Entry!$G$1101="","",[3]Entry!$G$1101)</f>
        <v/>
      </c>
      <c r="AI1098" t="str">
        <f>IF([3]Entry!$K$1101="","",[3]Entry!$K$1101)</f>
        <v/>
      </c>
      <c r="AJ1098" t="str">
        <f>IF([3]Entry!$L$1101="","",[3]Entry!$L$1101)</f>
        <v/>
      </c>
      <c r="AK1098" t="str">
        <f>IF([3]Entry!$M$1101="","",[3]Entry!$M$1101)</f>
        <v/>
      </c>
      <c r="AL1098" t="str">
        <f>IF([3]Entry!$N$1101="","",[3]Entry!$N$1101)</f>
        <v/>
      </c>
      <c r="AM1098" t="str">
        <f>IF([3]Entry!$R$1101="","",[3]Entry!$R$1101)</f>
        <v/>
      </c>
    </row>
    <row r="1099" spans="20:39" x14ac:dyDescent="0.2">
      <c r="T1099" t="str">
        <f>IF([2]Baskol!$B$1102="","",[2]Baskol!$B$1102)</f>
        <v/>
      </c>
      <c r="U1099" t="str">
        <f>IF([2]Baskol!$C$1102="","",[2]Baskol!$C$1102)</f>
        <v/>
      </c>
      <c r="V1099" t="str">
        <f>IF([2]Baskol!$D$1102="","",[2]Baskol!$D$1102)</f>
        <v/>
      </c>
      <c r="W1099" t="str">
        <f>IF([2]Baskol!$E$1102="","",[2]Baskol!$E$1102)</f>
        <v/>
      </c>
      <c r="X1099" t="str">
        <f>IF([2]Baskol!$G$1102="","",[2]Baskol!$G$1102)</f>
        <v/>
      </c>
      <c r="Y1099" t="str">
        <f>IF([2]Baskol!$I$1102="","",[2]Baskol!$I$1102)</f>
        <v/>
      </c>
      <c r="Z1099" t="str">
        <f>IF([2]Baskol!$J$1102="","",[2]Baskol!$J$1102)</f>
        <v/>
      </c>
      <c r="AA1099" t="str">
        <f>IF([2]Baskol!$K$1102="","",[2]Baskol!$K$1102)</f>
        <v/>
      </c>
      <c r="AB1099" t="str">
        <f>IF([2]Baskol!$L$1102="","",[2]Baskol!$L$1102)</f>
        <v/>
      </c>
      <c r="AC1099" t="str">
        <f>IF([2]Baskol!$N$1102="","",[2]Baskol!$N$1102)</f>
        <v/>
      </c>
      <c r="AD1099" t="str">
        <f>IF([2]Baskol!$O$1102="","",[2]Baskol!$O$1102)</f>
        <v/>
      </c>
      <c r="AE1099" t="str">
        <f>IF([3]Entry!$C$1102="","",[3]Entry!$C$1102)</f>
        <v/>
      </c>
      <c r="AF1099" t="str">
        <f>IF([3]Entry!$D$1102="","",[3]Entry!$D$1102)</f>
        <v/>
      </c>
      <c r="AG1099" t="str">
        <f>IF([3]Entry!$E$1102="","",[3]Entry!$E$1102)</f>
        <v/>
      </c>
      <c r="AH1099" t="str">
        <f>IF([3]Entry!$G$1102="","",[3]Entry!$G$1102)</f>
        <v/>
      </c>
      <c r="AI1099" t="str">
        <f>IF([3]Entry!$K$1102="","",[3]Entry!$K$1102)</f>
        <v/>
      </c>
      <c r="AJ1099" t="str">
        <f>IF([3]Entry!$L$1102="","",[3]Entry!$L$1102)</f>
        <v/>
      </c>
      <c r="AK1099" t="str">
        <f>IF([3]Entry!$M$1102="","",[3]Entry!$M$1102)</f>
        <v/>
      </c>
      <c r="AL1099" t="str">
        <f>IF([3]Entry!$N$1102="","",[3]Entry!$N$1102)</f>
        <v/>
      </c>
      <c r="AM1099" t="str">
        <f>IF([3]Entry!$R$1102="","",[3]Entry!$R$1102)</f>
        <v/>
      </c>
    </row>
    <row r="1100" spans="20:39" x14ac:dyDescent="0.2">
      <c r="T1100" t="str">
        <f>IF([2]Baskol!$B$1103="","",[2]Baskol!$B$1103)</f>
        <v/>
      </c>
      <c r="U1100" t="str">
        <f>IF([2]Baskol!$C$1103="","",[2]Baskol!$C$1103)</f>
        <v/>
      </c>
      <c r="V1100" t="str">
        <f>IF([2]Baskol!$D$1103="","",[2]Baskol!$D$1103)</f>
        <v/>
      </c>
      <c r="W1100" t="str">
        <f>IF([2]Baskol!$E$1103="","",[2]Baskol!$E$1103)</f>
        <v/>
      </c>
      <c r="X1100" t="str">
        <f>IF([2]Baskol!$G$1103="","",[2]Baskol!$G$1103)</f>
        <v/>
      </c>
      <c r="Y1100" t="str">
        <f>IF([2]Baskol!$I$1103="","",[2]Baskol!$I$1103)</f>
        <v/>
      </c>
      <c r="Z1100" t="str">
        <f>IF([2]Baskol!$J$1103="","",[2]Baskol!$J$1103)</f>
        <v/>
      </c>
      <c r="AA1100" t="str">
        <f>IF([2]Baskol!$K$1103="","",[2]Baskol!$K$1103)</f>
        <v/>
      </c>
      <c r="AB1100" t="str">
        <f>IF([2]Baskol!$L$1103="","",[2]Baskol!$L$1103)</f>
        <v/>
      </c>
      <c r="AC1100" t="str">
        <f>IF([2]Baskol!$N$1103="","",[2]Baskol!$N$1103)</f>
        <v/>
      </c>
      <c r="AD1100" t="str">
        <f>IF([2]Baskol!$O$1103="","",[2]Baskol!$O$1103)</f>
        <v/>
      </c>
      <c r="AE1100" t="str">
        <f>IF([3]Entry!$C$1103="","",[3]Entry!$C$1103)</f>
        <v/>
      </c>
      <c r="AF1100" t="str">
        <f>IF([3]Entry!$D$1103="","",[3]Entry!$D$1103)</f>
        <v/>
      </c>
      <c r="AG1100" t="str">
        <f>IF([3]Entry!$E$1103="","",[3]Entry!$E$1103)</f>
        <v/>
      </c>
      <c r="AH1100" t="str">
        <f>IF([3]Entry!$G$1103="","",[3]Entry!$G$1103)</f>
        <v/>
      </c>
      <c r="AI1100" t="str">
        <f>IF([3]Entry!$K$1103="","",[3]Entry!$K$1103)</f>
        <v/>
      </c>
      <c r="AJ1100" t="str">
        <f>IF([3]Entry!$L$1103="","",[3]Entry!$L$1103)</f>
        <v/>
      </c>
      <c r="AK1100" t="str">
        <f>IF([3]Entry!$M$1103="","",[3]Entry!$M$1103)</f>
        <v/>
      </c>
      <c r="AL1100" t="str">
        <f>IF([3]Entry!$N$1103="","",[3]Entry!$N$1103)</f>
        <v/>
      </c>
      <c r="AM1100" t="str">
        <f>IF([3]Entry!$R$1103="","",[3]Entry!$R$1103)</f>
        <v/>
      </c>
    </row>
    <row r="1101" spans="20:39" x14ac:dyDescent="0.2">
      <c r="T1101" t="str">
        <f>IF([2]Baskol!$B$1104="","",[2]Baskol!$B$1104)</f>
        <v/>
      </c>
      <c r="U1101" t="str">
        <f>IF([2]Baskol!$C$1104="","",[2]Baskol!$C$1104)</f>
        <v/>
      </c>
      <c r="V1101" t="str">
        <f>IF([2]Baskol!$D$1104="","",[2]Baskol!$D$1104)</f>
        <v/>
      </c>
      <c r="W1101" t="str">
        <f>IF([2]Baskol!$E$1104="","",[2]Baskol!$E$1104)</f>
        <v/>
      </c>
      <c r="X1101" t="str">
        <f>IF([2]Baskol!$G$1104="","",[2]Baskol!$G$1104)</f>
        <v/>
      </c>
      <c r="Y1101" t="str">
        <f>IF([2]Baskol!$I$1104="","",[2]Baskol!$I$1104)</f>
        <v/>
      </c>
      <c r="Z1101" t="str">
        <f>IF([2]Baskol!$J$1104="","",[2]Baskol!$J$1104)</f>
        <v/>
      </c>
      <c r="AA1101" t="str">
        <f>IF([2]Baskol!$K$1104="","",[2]Baskol!$K$1104)</f>
        <v/>
      </c>
      <c r="AB1101" t="str">
        <f>IF([2]Baskol!$L$1104="","",[2]Baskol!$L$1104)</f>
        <v/>
      </c>
      <c r="AC1101" t="str">
        <f>IF([2]Baskol!$N$1104="","",[2]Baskol!$N$1104)</f>
        <v/>
      </c>
      <c r="AD1101" t="str">
        <f>IF([2]Baskol!$O$1104="","",[2]Baskol!$O$1104)</f>
        <v/>
      </c>
      <c r="AE1101" t="str">
        <f>IF([3]Entry!$C$1104="","",[3]Entry!$C$1104)</f>
        <v/>
      </c>
      <c r="AF1101" t="str">
        <f>IF([3]Entry!$D$1104="","",[3]Entry!$D$1104)</f>
        <v/>
      </c>
      <c r="AG1101" t="str">
        <f>IF([3]Entry!$E$1104="","",[3]Entry!$E$1104)</f>
        <v/>
      </c>
      <c r="AH1101" t="str">
        <f>IF([3]Entry!$G$1104="","",[3]Entry!$G$1104)</f>
        <v/>
      </c>
      <c r="AI1101" t="str">
        <f>IF([3]Entry!$K$1104="","",[3]Entry!$K$1104)</f>
        <v/>
      </c>
      <c r="AJ1101" t="str">
        <f>IF([3]Entry!$L$1104="","",[3]Entry!$L$1104)</f>
        <v/>
      </c>
      <c r="AK1101" t="str">
        <f>IF([3]Entry!$M$1104="","",[3]Entry!$M$1104)</f>
        <v/>
      </c>
      <c r="AL1101" t="str">
        <f>IF([3]Entry!$N$1104="","",[3]Entry!$N$1104)</f>
        <v/>
      </c>
      <c r="AM1101" t="str">
        <f>IF([3]Entry!$R$1104="","",[3]Entry!$R$1104)</f>
        <v/>
      </c>
    </row>
    <row r="1102" spans="20:39" x14ac:dyDescent="0.2">
      <c r="T1102" t="str">
        <f>IF([2]Baskol!$B$1105="","",[2]Baskol!$B$1105)</f>
        <v/>
      </c>
      <c r="U1102" t="str">
        <f>IF([2]Baskol!$C$1105="","",[2]Baskol!$C$1105)</f>
        <v/>
      </c>
      <c r="V1102" t="str">
        <f>IF([2]Baskol!$D$1105="","",[2]Baskol!$D$1105)</f>
        <v/>
      </c>
      <c r="W1102" t="str">
        <f>IF([2]Baskol!$E$1105="","",[2]Baskol!$E$1105)</f>
        <v/>
      </c>
      <c r="X1102" t="str">
        <f>IF([2]Baskol!$G$1105="","",[2]Baskol!$G$1105)</f>
        <v/>
      </c>
      <c r="Y1102" t="str">
        <f>IF([2]Baskol!$I$1105="","",[2]Baskol!$I$1105)</f>
        <v/>
      </c>
      <c r="Z1102" t="str">
        <f>IF([2]Baskol!$J$1105="","",[2]Baskol!$J$1105)</f>
        <v/>
      </c>
      <c r="AA1102" t="str">
        <f>IF([2]Baskol!$K$1105="","",[2]Baskol!$K$1105)</f>
        <v/>
      </c>
      <c r="AB1102" t="str">
        <f>IF([2]Baskol!$L$1105="","",[2]Baskol!$L$1105)</f>
        <v/>
      </c>
      <c r="AC1102" t="str">
        <f>IF([2]Baskol!$N$1105="","",[2]Baskol!$N$1105)</f>
        <v/>
      </c>
      <c r="AD1102" t="str">
        <f>IF([2]Baskol!$O$1105="","",[2]Baskol!$O$1105)</f>
        <v/>
      </c>
      <c r="AE1102" t="str">
        <f>IF([3]Entry!$C$1105="","",[3]Entry!$C$1105)</f>
        <v/>
      </c>
      <c r="AF1102" t="str">
        <f>IF([3]Entry!$D$1105="","",[3]Entry!$D$1105)</f>
        <v/>
      </c>
      <c r="AG1102" t="str">
        <f>IF([3]Entry!$E$1105="","",[3]Entry!$E$1105)</f>
        <v/>
      </c>
      <c r="AH1102" t="str">
        <f>IF([3]Entry!$G$1105="","",[3]Entry!$G$1105)</f>
        <v/>
      </c>
      <c r="AI1102" t="str">
        <f>IF([3]Entry!$K$1105="","",[3]Entry!$K$1105)</f>
        <v/>
      </c>
      <c r="AJ1102" t="str">
        <f>IF([3]Entry!$L$1105="","",[3]Entry!$L$1105)</f>
        <v/>
      </c>
      <c r="AK1102" t="str">
        <f>IF([3]Entry!$M$1105="","",[3]Entry!$M$1105)</f>
        <v/>
      </c>
      <c r="AL1102" t="str">
        <f>IF([3]Entry!$N$1105="","",[3]Entry!$N$1105)</f>
        <v/>
      </c>
      <c r="AM1102" t="str">
        <f>IF([3]Entry!$R$1105="","",[3]Entry!$R$1105)</f>
        <v/>
      </c>
    </row>
    <row r="1103" spans="20:39" x14ac:dyDescent="0.2">
      <c r="T1103" t="str">
        <f>IF([2]Baskol!$B$1106="","",[2]Baskol!$B$1106)</f>
        <v/>
      </c>
      <c r="U1103" t="str">
        <f>IF([2]Baskol!$C$1106="","",[2]Baskol!$C$1106)</f>
        <v/>
      </c>
      <c r="V1103" t="str">
        <f>IF([2]Baskol!$D$1106="","",[2]Baskol!$D$1106)</f>
        <v/>
      </c>
      <c r="W1103" t="str">
        <f>IF([2]Baskol!$E$1106="","",[2]Baskol!$E$1106)</f>
        <v/>
      </c>
      <c r="X1103" t="str">
        <f>IF([2]Baskol!$G$1106="","",[2]Baskol!$G$1106)</f>
        <v/>
      </c>
      <c r="Y1103" t="str">
        <f>IF([2]Baskol!$I$1106="","",[2]Baskol!$I$1106)</f>
        <v/>
      </c>
      <c r="Z1103" t="str">
        <f>IF([2]Baskol!$J$1106="","",[2]Baskol!$J$1106)</f>
        <v/>
      </c>
      <c r="AA1103" t="str">
        <f>IF([2]Baskol!$K$1106="","",[2]Baskol!$K$1106)</f>
        <v/>
      </c>
      <c r="AB1103" t="str">
        <f>IF([2]Baskol!$L$1106="","",[2]Baskol!$L$1106)</f>
        <v/>
      </c>
      <c r="AC1103" t="str">
        <f>IF([2]Baskol!$N$1106="","",[2]Baskol!$N$1106)</f>
        <v/>
      </c>
      <c r="AD1103" t="str">
        <f>IF([2]Baskol!$O$1106="","",[2]Baskol!$O$1106)</f>
        <v/>
      </c>
      <c r="AE1103" t="str">
        <f>IF([3]Entry!$C$1106="","",[3]Entry!$C$1106)</f>
        <v/>
      </c>
      <c r="AF1103" t="str">
        <f>IF([3]Entry!$D$1106="","",[3]Entry!$D$1106)</f>
        <v/>
      </c>
      <c r="AG1103" t="str">
        <f>IF([3]Entry!$E$1106="","",[3]Entry!$E$1106)</f>
        <v/>
      </c>
      <c r="AH1103" t="str">
        <f>IF([3]Entry!$G$1106="","",[3]Entry!$G$1106)</f>
        <v/>
      </c>
      <c r="AI1103" t="str">
        <f>IF([3]Entry!$K$1106="","",[3]Entry!$K$1106)</f>
        <v/>
      </c>
      <c r="AJ1103" t="str">
        <f>IF([3]Entry!$L$1106="","",[3]Entry!$L$1106)</f>
        <v/>
      </c>
      <c r="AK1103" t="str">
        <f>IF([3]Entry!$M$1106="","",[3]Entry!$M$1106)</f>
        <v/>
      </c>
      <c r="AL1103" t="str">
        <f>IF([3]Entry!$N$1106="","",[3]Entry!$N$1106)</f>
        <v/>
      </c>
      <c r="AM1103" t="str">
        <f>IF([3]Entry!$R$1106="","",[3]Entry!$R$1106)</f>
        <v/>
      </c>
    </row>
    <row r="1104" spans="20:39" x14ac:dyDescent="0.2">
      <c r="T1104" t="str">
        <f>IF([2]Baskol!$B$1107="","",[2]Baskol!$B$1107)</f>
        <v/>
      </c>
      <c r="U1104" t="str">
        <f>IF([2]Baskol!$C$1107="","",[2]Baskol!$C$1107)</f>
        <v/>
      </c>
      <c r="V1104" t="str">
        <f>IF([2]Baskol!$D$1107="","",[2]Baskol!$D$1107)</f>
        <v/>
      </c>
      <c r="W1104" t="str">
        <f>IF([2]Baskol!$E$1107="","",[2]Baskol!$E$1107)</f>
        <v/>
      </c>
      <c r="X1104" t="str">
        <f>IF([2]Baskol!$G$1107="","",[2]Baskol!$G$1107)</f>
        <v/>
      </c>
      <c r="Y1104" t="str">
        <f>IF([2]Baskol!$I$1107="","",[2]Baskol!$I$1107)</f>
        <v/>
      </c>
      <c r="Z1104" t="str">
        <f>IF([2]Baskol!$J$1107="","",[2]Baskol!$J$1107)</f>
        <v/>
      </c>
      <c r="AA1104" t="str">
        <f>IF([2]Baskol!$K$1107="","",[2]Baskol!$K$1107)</f>
        <v/>
      </c>
      <c r="AB1104" t="str">
        <f>IF([2]Baskol!$L$1107="","",[2]Baskol!$L$1107)</f>
        <v/>
      </c>
      <c r="AC1104" t="str">
        <f>IF([2]Baskol!$N$1107="","",[2]Baskol!$N$1107)</f>
        <v/>
      </c>
      <c r="AD1104" t="str">
        <f>IF([2]Baskol!$O$1107="","",[2]Baskol!$O$1107)</f>
        <v/>
      </c>
      <c r="AE1104" t="str">
        <f>IF([3]Entry!$C$1107="","",[3]Entry!$C$1107)</f>
        <v/>
      </c>
      <c r="AF1104" t="str">
        <f>IF([3]Entry!$D$1107="","",[3]Entry!$D$1107)</f>
        <v/>
      </c>
      <c r="AG1104" t="str">
        <f>IF([3]Entry!$E$1107="","",[3]Entry!$E$1107)</f>
        <v/>
      </c>
      <c r="AH1104" t="str">
        <f>IF([3]Entry!$G$1107="","",[3]Entry!$G$1107)</f>
        <v/>
      </c>
      <c r="AI1104" t="str">
        <f>IF([3]Entry!$K$1107="","",[3]Entry!$K$1107)</f>
        <v/>
      </c>
      <c r="AJ1104" t="str">
        <f>IF([3]Entry!$L$1107="","",[3]Entry!$L$1107)</f>
        <v/>
      </c>
      <c r="AK1104" t="str">
        <f>IF([3]Entry!$M$1107="","",[3]Entry!$M$1107)</f>
        <v/>
      </c>
      <c r="AL1104" t="str">
        <f>IF([3]Entry!$N$1107="","",[3]Entry!$N$1107)</f>
        <v/>
      </c>
      <c r="AM1104" t="str">
        <f>IF([3]Entry!$R$1107="","",[3]Entry!$R$1107)</f>
        <v/>
      </c>
    </row>
    <row r="1105" spans="20:39" x14ac:dyDescent="0.2">
      <c r="T1105" t="str">
        <f>IF([2]Baskol!$B$1108="","",[2]Baskol!$B$1108)</f>
        <v/>
      </c>
      <c r="U1105" t="str">
        <f>IF([2]Baskol!$C$1108="","",[2]Baskol!$C$1108)</f>
        <v/>
      </c>
      <c r="V1105" t="str">
        <f>IF([2]Baskol!$D$1108="","",[2]Baskol!$D$1108)</f>
        <v/>
      </c>
      <c r="W1105" t="str">
        <f>IF([2]Baskol!$E$1108="","",[2]Baskol!$E$1108)</f>
        <v/>
      </c>
      <c r="X1105" t="str">
        <f>IF([2]Baskol!$G$1108="","",[2]Baskol!$G$1108)</f>
        <v/>
      </c>
      <c r="Y1105" t="str">
        <f>IF([2]Baskol!$I$1108="","",[2]Baskol!$I$1108)</f>
        <v/>
      </c>
      <c r="Z1105" t="str">
        <f>IF([2]Baskol!$J$1108="","",[2]Baskol!$J$1108)</f>
        <v/>
      </c>
      <c r="AA1105" t="str">
        <f>IF([2]Baskol!$K$1108="","",[2]Baskol!$K$1108)</f>
        <v/>
      </c>
      <c r="AB1105" t="str">
        <f>IF([2]Baskol!$L$1108="","",[2]Baskol!$L$1108)</f>
        <v/>
      </c>
      <c r="AC1105" t="str">
        <f>IF([2]Baskol!$N$1108="","",[2]Baskol!$N$1108)</f>
        <v/>
      </c>
      <c r="AD1105" t="str">
        <f>IF([2]Baskol!$O$1108="","",[2]Baskol!$O$1108)</f>
        <v/>
      </c>
      <c r="AE1105" t="str">
        <f>IF([3]Entry!$C$1108="","",[3]Entry!$C$1108)</f>
        <v/>
      </c>
      <c r="AF1105" t="str">
        <f>IF([3]Entry!$D$1108="","",[3]Entry!$D$1108)</f>
        <v/>
      </c>
      <c r="AG1105" t="str">
        <f>IF([3]Entry!$E$1108="","",[3]Entry!$E$1108)</f>
        <v/>
      </c>
      <c r="AH1105" t="str">
        <f>IF([3]Entry!$G$1108="","",[3]Entry!$G$1108)</f>
        <v/>
      </c>
      <c r="AI1105" t="str">
        <f>IF([3]Entry!$K$1108="","",[3]Entry!$K$1108)</f>
        <v/>
      </c>
      <c r="AJ1105" t="str">
        <f>IF([3]Entry!$L$1108="","",[3]Entry!$L$1108)</f>
        <v/>
      </c>
      <c r="AK1105" t="str">
        <f>IF([3]Entry!$M$1108="","",[3]Entry!$M$1108)</f>
        <v/>
      </c>
      <c r="AL1105" t="str">
        <f>IF([3]Entry!$N$1108="","",[3]Entry!$N$1108)</f>
        <v/>
      </c>
      <c r="AM1105" t="str">
        <f>IF([3]Entry!$R$1108="","",[3]Entry!$R$1108)</f>
        <v/>
      </c>
    </row>
    <row r="1106" spans="20:39" x14ac:dyDescent="0.2">
      <c r="T1106" t="str">
        <f>IF([2]Baskol!$B$1109="","",[2]Baskol!$B$1109)</f>
        <v/>
      </c>
      <c r="U1106" t="str">
        <f>IF([2]Baskol!$C$1109="","",[2]Baskol!$C$1109)</f>
        <v/>
      </c>
      <c r="V1106" t="str">
        <f>IF([2]Baskol!$D$1109="","",[2]Baskol!$D$1109)</f>
        <v/>
      </c>
      <c r="W1106" t="str">
        <f>IF([2]Baskol!$E$1109="","",[2]Baskol!$E$1109)</f>
        <v/>
      </c>
      <c r="X1106" t="str">
        <f>IF([2]Baskol!$G$1109="","",[2]Baskol!$G$1109)</f>
        <v/>
      </c>
      <c r="Y1106" t="str">
        <f>IF([2]Baskol!$I$1109="","",[2]Baskol!$I$1109)</f>
        <v/>
      </c>
      <c r="Z1106" t="str">
        <f>IF([2]Baskol!$J$1109="","",[2]Baskol!$J$1109)</f>
        <v/>
      </c>
      <c r="AA1106" t="str">
        <f>IF([2]Baskol!$K$1109="","",[2]Baskol!$K$1109)</f>
        <v/>
      </c>
      <c r="AB1106" t="str">
        <f>IF([2]Baskol!$L$1109="","",[2]Baskol!$L$1109)</f>
        <v/>
      </c>
      <c r="AC1106" t="str">
        <f>IF([2]Baskol!$N$1109="","",[2]Baskol!$N$1109)</f>
        <v/>
      </c>
      <c r="AD1106" t="str">
        <f>IF([2]Baskol!$O$1109="","",[2]Baskol!$O$1109)</f>
        <v/>
      </c>
      <c r="AE1106" t="str">
        <f>IF([3]Entry!$C$1109="","",[3]Entry!$C$1109)</f>
        <v/>
      </c>
      <c r="AF1106" t="str">
        <f>IF([3]Entry!$D$1109="","",[3]Entry!$D$1109)</f>
        <v/>
      </c>
      <c r="AG1106" t="str">
        <f>IF([3]Entry!$E$1109="","",[3]Entry!$E$1109)</f>
        <v/>
      </c>
      <c r="AH1106" t="str">
        <f>IF([3]Entry!$G$1109="","",[3]Entry!$G$1109)</f>
        <v/>
      </c>
      <c r="AI1106" t="str">
        <f>IF([3]Entry!$K$1109="","",[3]Entry!$K$1109)</f>
        <v/>
      </c>
      <c r="AJ1106" t="str">
        <f>IF([3]Entry!$L$1109="","",[3]Entry!$L$1109)</f>
        <v/>
      </c>
      <c r="AK1106" t="str">
        <f>IF([3]Entry!$M$1109="","",[3]Entry!$M$1109)</f>
        <v/>
      </c>
      <c r="AL1106" t="str">
        <f>IF([3]Entry!$N$1109="","",[3]Entry!$N$1109)</f>
        <v/>
      </c>
      <c r="AM1106" t="str">
        <f>IF([3]Entry!$R$1109="","",[3]Entry!$R$1109)</f>
        <v/>
      </c>
    </row>
    <row r="1107" spans="20:39" x14ac:dyDescent="0.2">
      <c r="T1107" t="str">
        <f>IF([2]Baskol!$B$1110="","",[2]Baskol!$B$1110)</f>
        <v/>
      </c>
      <c r="U1107" t="str">
        <f>IF([2]Baskol!$C$1110="","",[2]Baskol!$C$1110)</f>
        <v/>
      </c>
      <c r="V1107" t="str">
        <f>IF([2]Baskol!$D$1110="","",[2]Baskol!$D$1110)</f>
        <v/>
      </c>
      <c r="W1107" t="str">
        <f>IF([2]Baskol!$E$1110="","",[2]Baskol!$E$1110)</f>
        <v/>
      </c>
      <c r="X1107" t="str">
        <f>IF([2]Baskol!$G$1110="","",[2]Baskol!$G$1110)</f>
        <v/>
      </c>
      <c r="Y1107" t="str">
        <f>IF([2]Baskol!$I$1110="","",[2]Baskol!$I$1110)</f>
        <v/>
      </c>
      <c r="Z1107" t="str">
        <f>IF([2]Baskol!$J$1110="","",[2]Baskol!$J$1110)</f>
        <v/>
      </c>
      <c r="AA1107" t="str">
        <f>IF([2]Baskol!$K$1110="","",[2]Baskol!$K$1110)</f>
        <v/>
      </c>
      <c r="AB1107" t="str">
        <f>IF([2]Baskol!$L$1110="","",[2]Baskol!$L$1110)</f>
        <v/>
      </c>
      <c r="AC1107" t="str">
        <f>IF([2]Baskol!$N$1110="","",[2]Baskol!$N$1110)</f>
        <v/>
      </c>
      <c r="AD1107" t="str">
        <f>IF([2]Baskol!$O$1110="","",[2]Baskol!$O$1110)</f>
        <v/>
      </c>
      <c r="AE1107" t="str">
        <f>IF([3]Entry!$C$1110="","",[3]Entry!$C$1110)</f>
        <v/>
      </c>
      <c r="AF1107" t="str">
        <f>IF([3]Entry!$D$1110="","",[3]Entry!$D$1110)</f>
        <v/>
      </c>
      <c r="AG1107" t="str">
        <f>IF([3]Entry!$E$1110="","",[3]Entry!$E$1110)</f>
        <v/>
      </c>
      <c r="AH1107" t="str">
        <f>IF([3]Entry!$G$1110="","",[3]Entry!$G$1110)</f>
        <v/>
      </c>
      <c r="AI1107" t="str">
        <f>IF([3]Entry!$K$1110="","",[3]Entry!$K$1110)</f>
        <v/>
      </c>
      <c r="AJ1107" t="str">
        <f>IF([3]Entry!$L$1110="","",[3]Entry!$L$1110)</f>
        <v/>
      </c>
      <c r="AK1107" t="str">
        <f>IF([3]Entry!$M$1110="","",[3]Entry!$M$1110)</f>
        <v/>
      </c>
      <c r="AL1107" t="str">
        <f>IF([3]Entry!$N$1110="","",[3]Entry!$N$1110)</f>
        <v/>
      </c>
      <c r="AM1107" t="str">
        <f>IF([3]Entry!$R$1110="","",[3]Entry!$R$1110)</f>
        <v/>
      </c>
    </row>
    <row r="1108" spans="20:39" x14ac:dyDescent="0.2">
      <c r="T1108" t="str">
        <f>IF([2]Baskol!$B$1111="","",[2]Baskol!$B$1111)</f>
        <v/>
      </c>
      <c r="U1108" t="str">
        <f>IF([2]Baskol!$C$1111="","",[2]Baskol!$C$1111)</f>
        <v/>
      </c>
      <c r="V1108" t="str">
        <f>IF([2]Baskol!$D$1111="","",[2]Baskol!$D$1111)</f>
        <v/>
      </c>
      <c r="W1108" t="str">
        <f>IF([2]Baskol!$E$1111="","",[2]Baskol!$E$1111)</f>
        <v/>
      </c>
      <c r="X1108" t="str">
        <f>IF([2]Baskol!$G$1111="","",[2]Baskol!$G$1111)</f>
        <v/>
      </c>
      <c r="Y1108" t="str">
        <f>IF([2]Baskol!$I$1111="","",[2]Baskol!$I$1111)</f>
        <v/>
      </c>
      <c r="Z1108" t="str">
        <f>IF([2]Baskol!$J$1111="","",[2]Baskol!$J$1111)</f>
        <v/>
      </c>
      <c r="AA1108" t="str">
        <f>IF([2]Baskol!$K$1111="","",[2]Baskol!$K$1111)</f>
        <v/>
      </c>
      <c r="AB1108" t="str">
        <f>IF([2]Baskol!$L$1111="","",[2]Baskol!$L$1111)</f>
        <v/>
      </c>
      <c r="AC1108" t="str">
        <f>IF([2]Baskol!$N$1111="","",[2]Baskol!$N$1111)</f>
        <v/>
      </c>
      <c r="AD1108" t="str">
        <f>IF([2]Baskol!$O$1111="","",[2]Baskol!$O$1111)</f>
        <v/>
      </c>
      <c r="AE1108" t="str">
        <f>IF([3]Entry!$C$1111="","",[3]Entry!$C$1111)</f>
        <v/>
      </c>
      <c r="AF1108" t="str">
        <f>IF([3]Entry!$D$1111="","",[3]Entry!$D$1111)</f>
        <v/>
      </c>
      <c r="AG1108" t="str">
        <f>IF([3]Entry!$E$1111="","",[3]Entry!$E$1111)</f>
        <v/>
      </c>
      <c r="AH1108" t="str">
        <f>IF([3]Entry!$G$1111="","",[3]Entry!$G$1111)</f>
        <v/>
      </c>
      <c r="AI1108" t="str">
        <f>IF([3]Entry!$K$1111="","",[3]Entry!$K$1111)</f>
        <v/>
      </c>
      <c r="AJ1108" t="str">
        <f>IF([3]Entry!$L$1111="","",[3]Entry!$L$1111)</f>
        <v/>
      </c>
      <c r="AK1108" t="str">
        <f>IF([3]Entry!$M$1111="","",[3]Entry!$M$1111)</f>
        <v/>
      </c>
      <c r="AL1108" t="str">
        <f>IF([3]Entry!$N$1111="","",[3]Entry!$N$1111)</f>
        <v/>
      </c>
      <c r="AM1108" t="str">
        <f>IF([3]Entry!$R$1111="","",[3]Entry!$R$1111)</f>
        <v/>
      </c>
    </row>
    <row r="1109" spans="20:39" x14ac:dyDescent="0.2">
      <c r="T1109" t="str">
        <f>IF([2]Baskol!$B$1112="","",[2]Baskol!$B$1112)</f>
        <v/>
      </c>
      <c r="U1109" t="str">
        <f>IF([2]Baskol!$C$1112="","",[2]Baskol!$C$1112)</f>
        <v/>
      </c>
      <c r="V1109" t="str">
        <f>IF([2]Baskol!$D$1112="","",[2]Baskol!$D$1112)</f>
        <v/>
      </c>
      <c r="W1109" t="str">
        <f>IF([2]Baskol!$E$1112="","",[2]Baskol!$E$1112)</f>
        <v/>
      </c>
      <c r="X1109" t="str">
        <f>IF([2]Baskol!$G$1112="","",[2]Baskol!$G$1112)</f>
        <v/>
      </c>
      <c r="Y1109" t="str">
        <f>IF([2]Baskol!$I$1112="","",[2]Baskol!$I$1112)</f>
        <v/>
      </c>
      <c r="Z1109" t="str">
        <f>IF([2]Baskol!$J$1112="","",[2]Baskol!$J$1112)</f>
        <v/>
      </c>
      <c r="AA1109" t="str">
        <f>IF([2]Baskol!$K$1112="","",[2]Baskol!$K$1112)</f>
        <v/>
      </c>
      <c r="AB1109" t="str">
        <f>IF([2]Baskol!$L$1112="","",[2]Baskol!$L$1112)</f>
        <v/>
      </c>
      <c r="AC1109" t="str">
        <f>IF([2]Baskol!$N$1112="","",[2]Baskol!$N$1112)</f>
        <v/>
      </c>
      <c r="AD1109" t="str">
        <f>IF([2]Baskol!$O$1112="","",[2]Baskol!$O$1112)</f>
        <v/>
      </c>
      <c r="AE1109" t="str">
        <f>IF([3]Entry!$C$1112="","",[3]Entry!$C$1112)</f>
        <v/>
      </c>
      <c r="AF1109" t="str">
        <f>IF([3]Entry!$D$1112="","",[3]Entry!$D$1112)</f>
        <v/>
      </c>
      <c r="AG1109" t="str">
        <f>IF([3]Entry!$E$1112="","",[3]Entry!$E$1112)</f>
        <v/>
      </c>
      <c r="AH1109" t="str">
        <f>IF([3]Entry!$G$1112="","",[3]Entry!$G$1112)</f>
        <v/>
      </c>
      <c r="AI1109" t="str">
        <f>IF([3]Entry!$K$1112="","",[3]Entry!$K$1112)</f>
        <v/>
      </c>
      <c r="AJ1109" t="str">
        <f>IF([3]Entry!$L$1112="","",[3]Entry!$L$1112)</f>
        <v/>
      </c>
      <c r="AK1109" t="str">
        <f>IF([3]Entry!$M$1112="","",[3]Entry!$M$1112)</f>
        <v/>
      </c>
      <c r="AL1109" t="str">
        <f>IF([3]Entry!$N$1112="","",[3]Entry!$N$1112)</f>
        <v/>
      </c>
      <c r="AM1109" t="str">
        <f>IF([3]Entry!$R$1112="","",[3]Entry!$R$1112)</f>
        <v/>
      </c>
    </row>
    <row r="1110" spans="20:39" x14ac:dyDescent="0.2">
      <c r="T1110" t="str">
        <f>IF([2]Baskol!$B$1113="","",[2]Baskol!$B$1113)</f>
        <v/>
      </c>
      <c r="U1110" t="str">
        <f>IF([2]Baskol!$C$1113="","",[2]Baskol!$C$1113)</f>
        <v/>
      </c>
      <c r="V1110" t="str">
        <f>IF([2]Baskol!$D$1113="","",[2]Baskol!$D$1113)</f>
        <v/>
      </c>
      <c r="W1110" t="str">
        <f>IF([2]Baskol!$E$1113="","",[2]Baskol!$E$1113)</f>
        <v/>
      </c>
      <c r="X1110" t="str">
        <f>IF([2]Baskol!$G$1113="","",[2]Baskol!$G$1113)</f>
        <v/>
      </c>
      <c r="Y1110" t="str">
        <f>IF([2]Baskol!$I$1113="","",[2]Baskol!$I$1113)</f>
        <v/>
      </c>
      <c r="Z1110" t="str">
        <f>IF([2]Baskol!$J$1113="","",[2]Baskol!$J$1113)</f>
        <v/>
      </c>
      <c r="AA1110" t="str">
        <f>IF([2]Baskol!$K$1113="","",[2]Baskol!$K$1113)</f>
        <v/>
      </c>
      <c r="AB1110" t="str">
        <f>IF([2]Baskol!$L$1113="","",[2]Baskol!$L$1113)</f>
        <v/>
      </c>
      <c r="AC1110" t="str">
        <f>IF([2]Baskol!$N$1113="","",[2]Baskol!$N$1113)</f>
        <v/>
      </c>
      <c r="AD1110" t="str">
        <f>IF([2]Baskol!$O$1113="","",[2]Baskol!$O$1113)</f>
        <v/>
      </c>
      <c r="AE1110" t="str">
        <f>IF([3]Entry!$C$1113="","",[3]Entry!$C$1113)</f>
        <v/>
      </c>
      <c r="AF1110" t="str">
        <f>IF([3]Entry!$D$1113="","",[3]Entry!$D$1113)</f>
        <v/>
      </c>
      <c r="AG1110" t="str">
        <f>IF([3]Entry!$E$1113="","",[3]Entry!$E$1113)</f>
        <v/>
      </c>
      <c r="AH1110" t="str">
        <f>IF([3]Entry!$G$1113="","",[3]Entry!$G$1113)</f>
        <v/>
      </c>
      <c r="AI1110" t="str">
        <f>IF([3]Entry!$K$1113="","",[3]Entry!$K$1113)</f>
        <v/>
      </c>
      <c r="AJ1110" t="str">
        <f>IF([3]Entry!$L$1113="","",[3]Entry!$L$1113)</f>
        <v/>
      </c>
      <c r="AK1110" t="str">
        <f>IF([3]Entry!$M$1113="","",[3]Entry!$M$1113)</f>
        <v/>
      </c>
      <c r="AL1110" t="str">
        <f>IF([3]Entry!$N$1113="","",[3]Entry!$N$1113)</f>
        <v/>
      </c>
      <c r="AM1110" t="str">
        <f>IF([3]Entry!$R$1113="","",[3]Entry!$R$1113)</f>
        <v/>
      </c>
    </row>
    <row r="1111" spans="20:39" x14ac:dyDescent="0.2">
      <c r="T1111" t="str">
        <f>IF([2]Baskol!$B$1114="","",[2]Baskol!$B$1114)</f>
        <v/>
      </c>
      <c r="U1111" t="str">
        <f>IF([2]Baskol!$C$1114="","",[2]Baskol!$C$1114)</f>
        <v/>
      </c>
      <c r="V1111" t="str">
        <f>IF([2]Baskol!$D$1114="","",[2]Baskol!$D$1114)</f>
        <v/>
      </c>
      <c r="W1111" t="str">
        <f>IF([2]Baskol!$E$1114="","",[2]Baskol!$E$1114)</f>
        <v/>
      </c>
      <c r="X1111" t="str">
        <f>IF([2]Baskol!$G$1114="","",[2]Baskol!$G$1114)</f>
        <v/>
      </c>
      <c r="Y1111" t="str">
        <f>IF([2]Baskol!$I$1114="","",[2]Baskol!$I$1114)</f>
        <v/>
      </c>
      <c r="Z1111" t="str">
        <f>IF([2]Baskol!$J$1114="","",[2]Baskol!$J$1114)</f>
        <v/>
      </c>
      <c r="AA1111" t="str">
        <f>IF([2]Baskol!$K$1114="","",[2]Baskol!$K$1114)</f>
        <v/>
      </c>
      <c r="AB1111" t="str">
        <f>IF([2]Baskol!$L$1114="","",[2]Baskol!$L$1114)</f>
        <v/>
      </c>
      <c r="AC1111" t="str">
        <f>IF([2]Baskol!$N$1114="","",[2]Baskol!$N$1114)</f>
        <v/>
      </c>
      <c r="AD1111" t="str">
        <f>IF([2]Baskol!$O$1114="","",[2]Baskol!$O$1114)</f>
        <v/>
      </c>
      <c r="AE1111" t="str">
        <f>IF([3]Entry!$C$1114="","",[3]Entry!$C$1114)</f>
        <v/>
      </c>
      <c r="AF1111" t="str">
        <f>IF([3]Entry!$D$1114="","",[3]Entry!$D$1114)</f>
        <v/>
      </c>
      <c r="AG1111" t="str">
        <f>IF([3]Entry!$E$1114="","",[3]Entry!$E$1114)</f>
        <v/>
      </c>
      <c r="AH1111" t="str">
        <f>IF([3]Entry!$G$1114="","",[3]Entry!$G$1114)</f>
        <v/>
      </c>
      <c r="AI1111" t="str">
        <f>IF([3]Entry!$K$1114="","",[3]Entry!$K$1114)</f>
        <v/>
      </c>
      <c r="AJ1111" t="str">
        <f>IF([3]Entry!$L$1114="","",[3]Entry!$L$1114)</f>
        <v/>
      </c>
      <c r="AK1111" t="str">
        <f>IF([3]Entry!$M$1114="","",[3]Entry!$M$1114)</f>
        <v/>
      </c>
      <c r="AL1111" t="str">
        <f>IF([3]Entry!$N$1114="","",[3]Entry!$N$1114)</f>
        <v/>
      </c>
      <c r="AM1111" t="str">
        <f>IF([3]Entry!$R$1114="","",[3]Entry!$R$1114)</f>
        <v/>
      </c>
    </row>
    <row r="1112" spans="20:39" x14ac:dyDescent="0.2">
      <c r="T1112" t="str">
        <f>IF([2]Baskol!$B$1115="","",[2]Baskol!$B$1115)</f>
        <v/>
      </c>
      <c r="U1112" t="str">
        <f>IF([2]Baskol!$C$1115="","",[2]Baskol!$C$1115)</f>
        <v/>
      </c>
      <c r="V1112" t="str">
        <f>IF([2]Baskol!$D$1115="","",[2]Baskol!$D$1115)</f>
        <v/>
      </c>
      <c r="W1112" t="str">
        <f>IF([2]Baskol!$E$1115="","",[2]Baskol!$E$1115)</f>
        <v/>
      </c>
      <c r="X1112" t="str">
        <f>IF([2]Baskol!$G$1115="","",[2]Baskol!$G$1115)</f>
        <v/>
      </c>
      <c r="Y1112" t="str">
        <f>IF([2]Baskol!$I$1115="","",[2]Baskol!$I$1115)</f>
        <v/>
      </c>
      <c r="Z1112" t="str">
        <f>IF([2]Baskol!$J$1115="","",[2]Baskol!$J$1115)</f>
        <v/>
      </c>
      <c r="AA1112" t="str">
        <f>IF([2]Baskol!$K$1115="","",[2]Baskol!$K$1115)</f>
        <v/>
      </c>
      <c r="AB1112" t="str">
        <f>IF([2]Baskol!$L$1115="","",[2]Baskol!$L$1115)</f>
        <v/>
      </c>
      <c r="AC1112" t="str">
        <f>IF([2]Baskol!$N$1115="","",[2]Baskol!$N$1115)</f>
        <v/>
      </c>
      <c r="AD1112" t="str">
        <f>IF([2]Baskol!$O$1115="","",[2]Baskol!$O$1115)</f>
        <v/>
      </c>
      <c r="AE1112" t="str">
        <f>IF([3]Entry!$C$1115="","",[3]Entry!$C$1115)</f>
        <v/>
      </c>
      <c r="AF1112" t="str">
        <f>IF([3]Entry!$D$1115="","",[3]Entry!$D$1115)</f>
        <v/>
      </c>
      <c r="AG1112" t="str">
        <f>IF([3]Entry!$E$1115="","",[3]Entry!$E$1115)</f>
        <v/>
      </c>
      <c r="AH1112" t="str">
        <f>IF([3]Entry!$G$1115="","",[3]Entry!$G$1115)</f>
        <v/>
      </c>
      <c r="AI1112" t="str">
        <f>IF([3]Entry!$K$1115="","",[3]Entry!$K$1115)</f>
        <v/>
      </c>
      <c r="AJ1112" t="str">
        <f>IF([3]Entry!$L$1115="","",[3]Entry!$L$1115)</f>
        <v/>
      </c>
      <c r="AK1112" t="str">
        <f>IF([3]Entry!$M$1115="","",[3]Entry!$M$1115)</f>
        <v/>
      </c>
      <c r="AL1112" t="str">
        <f>IF([3]Entry!$N$1115="","",[3]Entry!$N$1115)</f>
        <v/>
      </c>
      <c r="AM1112" t="str">
        <f>IF([3]Entry!$R$1115="","",[3]Entry!$R$1115)</f>
        <v/>
      </c>
    </row>
    <row r="1113" spans="20:39" x14ac:dyDescent="0.2">
      <c r="T1113" t="str">
        <f>IF([2]Baskol!$B$1116="","",[2]Baskol!$B$1116)</f>
        <v/>
      </c>
      <c r="U1113" t="str">
        <f>IF([2]Baskol!$C$1116="","",[2]Baskol!$C$1116)</f>
        <v/>
      </c>
      <c r="V1113" t="str">
        <f>IF([2]Baskol!$D$1116="","",[2]Baskol!$D$1116)</f>
        <v/>
      </c>
      <c r="W1113" t="str">
        <f>IF([2]Baskol!$E$1116="","",[2]Baskol!$E$1116)</f>
        <v/>
      </c>
      <c r="X1113" t="str">
        <f>IF([2]Baskol!$G$1116="","",[2]Baskol!$G$1116)</f>
        <v/>
      </c>
      <c r="Y1113" t="str">
        <f>IF([2]Baskol!$I$1116="","",[2]Baskol!$I$1116)</f>
        <v/>
      </c>
      <c r="Z1113" t="str">
        <f>IF([2]Baskol!$J$1116="","",[2]Baskol!$J$1116)</f>
        <v/>
      </c>
      <c r="AA1113" t="str">
        <f>IF([2]Baskol!$K$1116="","",[2]Baskol!$K$1116)</f>
        <v/>
      </c>
      <c r="AB1113" t="str">
        <f>IF([2]Baskol!$L$1116="","",[2]Baskol!$L$1116)</f>
        <v/>
      </c>
      <c r="AC1113" t="str">
        <f>IF([2]Baskol!$N$1116="","",[2]Baskol!$N$1116)</f>
        <v/>
      </c>
      <c r="AD1113" t="str">
        <f>IF([2]Baskol!$O$1116="","",[2]Baskol!$O$1116)</f>
        <v/>
      </c>
      <c r="AE1113" t="str">
        <f>IF([3]Entry!$C$1116="","",[3]Entry!$C$1116)</f>
        <v/>
      </c>
      <c r="AF1113" t="str">
        <f>IF([3]Entry!$D$1116="","",[3]Entry!$D$1116)</f>
        <v/>
      </c>
      <c r="AG1113" t="str">
        <f>IF([3]Entry!$E$1116="","",[3]Entry!$E$1116)</f>
        <v/>
      </c>
      <c r="AH1113" t="str">
        <f>IF([3]Entry!$G$1116="","",[3]Entry!$G$1116)</f>
        <v/>
      </c>
      <c r="AI1113" t="str">
        <f>IF([3]Entry!$K$1116="","",[3]Entry!$K$1116)</f>
        <v/>
      </c>
      <c r="AJ1113" t="str">
        <f>IF([3]Entry!$L$1116="","",[3]Entry!$L$1116)</f>
        <v/>
      </c>
      <c r="AK1113" t="str">
        <f>IF([3]Entry!$M$1116="","",[3]Entry!$M$1116)</f>
        <v/>
      </c>
      <c r="AL1113" t="str">
        <f>IF([3]Entry!$N$1116="","",[3]Entry!$N$1116)</f>
        <v/>
      </c>
      <c r="AM1113" t="str">
        <f>IF([3]Entry!$R$1116="","",[3]Entry!$R$1116)</f>
        <v/>
      </c>
    </row>
    <row r="1114" spans="20:39" x14ac:dyDescent="0.2">
      <c r="T1114" t="str">
        <f>IF([2]Baskol!$B$1117="","",[2]Baskol!$B$1117)</f>
        <v/>
      </c>
      <c r="U1114" t="str">
        <f>IF([2]Baskol!$C$1117="","",[2]Baskol!$C$1117)</f>
        <v/>
      </c>
      <c r="V1114" t="str">
        <f>IF([2]Baskol!$D$1117="","",[2]Baskol!$D$1117)</f>
        <v/>
      </c>
      <c r="W1114" t="str">
        <f>IF([2]Baskol!$E$1117="","",[2]Baskol!$E$1117)</f>
        <v/>
      </c>
      <c r="X1114" t="str">
        <f>IF([2]Baskol!$G$1117="","",[2]Baskol!$G$1117)</f>
        <v/>
      </c>
      <c r="Y1114" t="str">
        <f>IF([2]Baskol!$I$1117="","",[2]Baskol!$I$1117)</f>
        <v/>
      </c>
      <c r="Z1114" t="str">
        <f>IF([2]Baskol!$J$1117="","",[2]Baskol!$J$1117)</f>
        <v/>
      </c>
      <c r="AA1114" t="str">
        <f>IF([2]Baskol!$K$1117="","",[2]Baskol!$K$1117)</f>
        <v/>
      </c>
      <c r="AB1114" t="str">
        <f>IF([2]Baskol!$L$1117="","",[2]Baskol!$L$1117)</f>
        <v/>
      </c>
      <c r="AC1114" t="str">
        <f>IF([2]Baskol!$N$1117="","",[2]Baskol!$N$1117)</f>
        <v/>
      </c>
      <c r="AD1114" t="str">
        <f>IF([2]Baskol!$O$1117="","",[2]Baskol!$O$1117)</f>
        <v/>
      </c>
      <c r="AE1114" t="str">
        <f>IF([3]Entry!$C$1117="","",[3]Entry!$C$1117)</f>
        <v/>
      </c>
      <c r="AF1114" t="str">
        <f>IF([3]Entry!$D$1117="","",[3]Entry!$D$1117)</f>
        <v/>
      </c>
      <c r="AG1114" t="str">
        <f>IF([3]Entry!$E$1117="","",[3]Entry!$E$1117)</f>
        <v/>
      </c>
      <c r="AH1114" t="str">
        <f>IF([3]Entry!$G$1117="","",[3]Entry!$G$1117)</f>
        <v/>
      </c>
      <c r="AI1114" t="str">
        <f>IF([3]Entry!$K$1117="","",[3]Entry!$K$1117)</f>
        <v/>
      </c>
      <c r="AJ1114" t="str">
        <f>IF([3]Entry!$L$1117="","",[3]Entry!$L$1117)</f>
        <v/>
      </c>
      <c r="AK1114" t="str">
        <f>IF([3]Entry!$M$1117="","",[3]Entry!$M$1117)</f>
        <v/>
      </c>
      <c r="AL1114" t="str">
        <f>IF([3]Entry!$N$1117="","",[3]Entry!$N$1117)</f>
        <v/>
      </c>
      <c r="AM1114" t="str">
        <f>IF([3]Entry!$R$1117="","",[3]Entry!$R$1117)</f>
        <v/>
      </c>
    </row>
    <row r="1115" spans="20:39" x14ac:dyDescent="0.2">
      <c r="T1115" t="str">
        <f>IF([2]Baskol!$B$1118="","",[2]Baskol!$B$1118)</f>
        <v/>
      </c>
      <c r="U1115" t="str">
        <f>IF([2]Baskol!$C$1118="","",[2]Baskol!$C$1118)</f>
        <v/>
      </c>
      <c r="V1115" t="str">
        <f>IF([2]Baskol!$D$1118="","",[2]Baskol!$D$1118)</f>
        <v/>
      </c>
      <c r="W1115" t="str">
        <f>IF([2]Baskol!$E$1118="","",[2]Baskol!$E$1118)</f>
        <v/>
      </c>
      <c r="X1115" t="str">
        <f>IF([2]Baskol!$G$1118="","",[2]Baskol!$G$1118)</f>
        <v/>
      </c>
      <c r="Y1115" t="str">
        <f>IF([2]Baskol!$I$1118="","",[2]Baskol!$I$1118)</f>
        <v/>
      </c>
      <c r="Z1115" t="str">
        <f>IF([2]Baskol!$J$1118="","",[2]Baskol!$J$1118)</f>
        <v/>
      </c>
      <c r="AA1115" t="str">
        <f>IF([2]Baskol!$K$1118="","",[2]Baskol!$K$1118)</f>
        <v/>
      </c>
      <c r="AB1115" t="str">
        <f>IF([2]Baskol!$L$1118="","",[2]Baskol!$L$1118)</f>
        <v/>
      </c>
      <c r="AC1115" t="str">
        <f>IF([2]Baskol!$N$1118="","",[2]Baskol!$N$1118)</f>
        <v/>
      </c>
      <c r="AD1115" t="str">
        <f>IF([2]Baskol!$O$1118="","",[2]Baskol!$O$1118)</f>
        <v/>
      </c>
      <c r="AE1115" t="str">
        <f>IF([3]Entry!$C$1118="","",[3]Entry!$C$1118)</f>
        <v/>
      </c>
      <c r="AF1115" t="str">
        <f>IF([3]Entry!$D$1118="","",[3]Entry!$D$1118)</f>
        <v/>
      </c>
      <c r="AG1115" t="str">
        <f>IF([3]Entry!$E$1118="","",[3]Entry!$E$1118)</f>
        <v/>
      </c>
      <c r="AH1115" t="str">
        <f>IF([3]Entry!$G$1118="","",[3]Entry!$G$1118)</f>
        <v/>
      </c>
      <c r="AI1115" t="str">
        <f>IF([3]Entry!$K$1118="","",[3]Entry!$K$1118)</f>
        <v/>
      </c>
      <c r="AJ1115" t="str">
        <f>IF([3]Entry!$L$1118="","",[3]Entry!$L$1118)</f>
        <v/>
      </c>
      <c r="AK1115" t="str">
        <f>IF([3]Entry!$M$1118="","",[3]Entry!$M$1118)</f>
        <v/>
      </c>
      <c r="AL1115" t="str">
        <f>IF([3]Entry!$N$1118="","",[3]Entry!$N$1118)</f>
        <v/>
      </c>
      <c r="AM1115" t="str">
        <f>IF([3]Entry!$R$1118="","",[3]Entry!$R$1118)</f>
        <v/>
      </c>
    </row>
    <row r="1116" spans="20:39" x14ac:dyDescent="0.2">
      <c r="T1116" t="str">
        <f>IF([2]Baskol!$B$1119="","",[2]Baskol!$B$1119)</f>
        <v/>
      </c>
      <c r="U1116" t="str">
        <f>IF([2]Baskol!$C$1119="","",[2]Baskol!$C$1119)</f>
        <v/>
      </c>
      <c r="V1116" t="str">
        <f>IF([2]Baskol!$D$1119="","",[2]Baskol!$D$1119)</f>
        <v/>
      </c>
      <c r="W1116" t="str">
        <f>IF([2]Baskol!$E$1119="","",[2]Baskol!$E$1119)</f>
        <v/>
      </c>
      <c r="X1116" t="str">
        <f>IF([2]Baskol!$G$1119="","",[2]Baskol!$G$1119)</f>
        <v/>
      </c>
      <c r="Y1116" t="str">
        <f>IF([2]Baskol!$I$1119="","",[2]Baskol!$I$1119)</f>
        <v/>
      </c>
      <c r="Z1116" t="str">
        <f>IF([2]Baskol!$J$1119="","",[2]Baskol!$J$1119)</f>
        <v/>
      </c>
      <c r="AA1116" t="str">
        <f>IF([2]Baskol!$K$1119="","",[2]Baskol!$K$1119)</f>
        <v/>
      </c>
      <c r="AB1116" t="str">
        <f>IF([2]Baskol!$L$1119="","",[2]Baskol!$L$1119)</f>
        <v/>
      </c>
      <c r="AC1116" t="str">
        <f>IF([2]Baskol!$N$1119="","",[2]Baskol!$N$1119)</f>
        <v/>
      </c>
      <c r="AD1116" t="str">
        <f>IF([2]Baskol!$O$1119="","",[2]Baskol!$O$1119)</f>
        <v/>
      </c>
      <c r="AE1116" t="str">
        <f>IF([3]Entry!$C$1119="","",[3]Entry!$C$1119)</f>
        <v/>
      </c>
      <c r="AF1116" t="str">
        <f>IF([3]Entry!$D$1119="","",[3]Entry!$D$1119)</f>
        <v/>
      </c>
      <c r="AG1116" t="str">
        <f>IF([3]Entry!$E$1119="","",[3]Entry!$E$1119)</f>
        <v/>
      </c>
      <c r="AH1116" t="str">
        <f>IF([3]Entry!$G$1119="","",[3]Entry!$G$1119)</f>
        <v/>
      </c>
      <c r="AI1116" t="str">
        <f>IF([3]Entry!$K$1119="","",[3]Entry!$K$1119)</f>
        <v/>
      </c>
      <c r="AJ1116" t="str">
        <f>IF([3]Entry!$L$1119="","",[3]Entry!$L$1119)</f>
        <v/>
      </c>
      <c r="AK1116" t="str">
        <f>IF([3]Entry!$M$1119="","",[3]Entry!$M$1119)</f>
        <v/>
      </c>
      <c r="AL1116" t="str">
        <f>IF([3]Entry!$N$1119="","",[3]Entry!$N$1119)</f>
        <v/>
      </c>
      <c r="AM1116" t="str">
        <f>IF([3]Entry!$R$1119="","",[3]Entry!$R$1119)</f>
        <v/>
      </c>
    </row>
    <row r="1117" spans="20:39" x14ac:dyDescent="0.2">
      <c r="T1117" t="str">
        <f>IF([2]Baskol!$B$1120="","",[2]Baskol!$B$1120)</f>
        <v/>
      </c>
      <c r="U1117" t="str">
        <f>IF([2]Baskol!$C$1120="","",[2]Baskol!$C$1120)</f>
        <v/>
      </c>
      <c r="V1117" t="str">
        <f>IF([2]Baskol!$D$1120="","",[2]Baskol!$D$1120)</f>
        <v/>
      </c>
      <c r="W1117" t="str">
        <f>IF([2]Baskol!$E$1120="","",[2]Baskol!$E$1120)</f>
        <v/>
      </c>
      <c r="X1117" t="str">
        <f>IF([2]Baskol!$G$1120="","",[2]Baskol!$G$1120)</f>
        <v/>
      </c>
      <c r="Y1117" t="str">
        <f>IF([2]Baskol!$I$1120="","",[2]Baskol!$I$1120)</f>
        <v/>
      </c>
      <c r="Z1117" t="str">
        <f>IF([2]Baskol!$J$1120="","",[2]Baskol!$J$1120)</f>
        <v/>
      </c>
      <c r="AA1117" t="str">
        <f>IF([2]Baskol!$K$1120="","",[2]Baskol!$K$1120)</f>
        <v/>
      </c>
      <c r="AB1117" t="str">
        <f>IF([2]Baskol!$L$1120="","",[2]Baskol!$L$1120)</f>
        <v/>
      </c>
      <c r="AC1117" t="str">
        <f>IF([2]Baskol!$N$1120="","",[2]Baskol!$N$1120)</f>
        <v/>
      </c>
      <c r="AD1117" t="str">
        <f>IF([2]Baskol!$O$1120="","",[2]Baskol!$O$1120)</f>
        <v/>
      </c>
      <c r="AE1117" t="str">
        <f>IF([3]Entry!$C$1120="","",[3]Entry!$C$1120)</f>
        <v/>
      </c>
      <c r="AF1117" t="str">
        <f>IF([3]Entry!$D$1120="","",[3]Entry!$D$1120)</f>
        <v/>
      </c>
      <c r="AG1117" t="str">
        <f>IF([3]Entry!$E$1120="","",[3]Entry!$E$1120)</f>
        <v/>
      </c>
      <c r="AH1117" t="str">
        <f>IF([3]Entry!$G$1120="","",[3]Entry!$G$1120)</f>
        <v/>
      </c>
      <c r="AI1117" t="str">
        <f>IF([3]Entry!$K$1120="","",[3]Entry!$K$1120)</f>
        <v/>
      </c>
      <c r="AJ1117" t="str">
        <f>IF([3]Entry!$L$1120="","",[3]Entry!$L$1120)</f>
        <v/>
      </c>
      <c r="AK1117" t="str">
        <f>IF([3]Entry!$M$1120="","",[3]Entry!$M$1120)</f>
        <v/>
      </c>
      <c r="AL1117" t="str">
        <f>IF([3]Entry!$N$1120="","",[3]Entry!$N$1120)</f>
        <v/>
      </c>
      <c r="AM1117" t="str">
        <f>IF([3]Entry!$R$1120="","",[3]Entry!$R$1120)</f>
        <v/>
      </c>
    </row>
    <row r="1118" spans="20:39" x14ac:dyDescent="0.2">
      <c r="T1118" t="str">
        <f>IF([2]Baskol!$B$1121="","",[2]Baskol!$B$1121)</f>
        <v/>
      </c>
      <c r="U1118" t="str">
        <f>IF([2]Baskol!$C$1121="","",[2]Baskol!$C$1121)</f>
        <v/>
      </c>
      <c r="V1118" t="str">
        <f>IF([2]Baskol!$D$1121="","",[2]Baskol!$D$1121)</f>
        <v/>
      </c>
      <c r="W1118" t="str">
        <f>IF([2]Baskol!$E$1121="","",[2]Baskol!$E$1121)</f>
        <v/>
      </c>
      <c r="X1118" t="str">
        <f>IF([2]Baskol!$G$1121="","",[2]Baskol!$G$1121)</f>
        <v/>
      </c>
      <c r="Y1118" t="str">
        <f>IF([2]Baskol!$I$1121="","",[2]Baskol!$I$1121)</f>
        <v/>
      </c>
      <c r="Z1118" t="str">
        <f>IF([2]Baskol!$J$1121="","",[2]Baskol!$J$1121)</f>
        <v/>
      </c>
      <c r="AA1118" t="str">
        <f>IF([2]Baskol!$K$1121="","",[2]Baskol!$K$1121)</f>
        <v/>
      </c>
      <c r="AB1118" t="str">
        <f>IF([2]Baskol!$L$1121="","",[2]Baskol!$L$1121)</f>
        <v/>
      </c>
      <c r="AC1118" t="str">
        <f>IF([2]Baskol!$N$1121="","",[2]Baskol!$N$1121)</f>
        <v/>
      </c>
      <c r="AD1118" t="str">
        <f>IF([2]Baskol!$O$1121="","",[2]Baskol!$O$1121)</f>
        <v/>
      </c>
      <c r="AE1118" t="str">
        <f>IF([3]Entry!$C$1121="","",[3]Entry!$C$1121)</f>
        <v/>
      </c>
      <c r="AF1118" t="str">
        <f>IF([3]Entry!$D$1121="","",[3]Entry!$D$1121)</f>
        <v/>
      </c>
      <c r="AG1118" t="str">
        <f>IF([3]Entry!$E$1121="","",[3]Entry!$E$1121)</f>
        <v/>
      </c>
      <c r="AH1118" t="str">
        <f>IF([3]Entry!$G$1121="","",[3]Entry!$G$1121)</f>
        <v/>
      </c>
      <c r="AI1118" t="str">
        <f>IF([3]Entry!$K$1121="","",[3]Entry!$K$1121)</f>
        <v/>
      </c>
      <c r="AJ1118" t="str">
        <f>IF([3]Entry!$L$1121="","",[3]Entry!$L$1121)</f>
        <v/>
      </c>
      <c r="AK1118" t="str">
        <f>IF([3]Entry!$M$1121="","",[3]Entry!$M$1121)</f>
        <v/>
      </c>
      <c r="AL1118" t="str">
        <f>IF([3]Entry!$N$1121="","",[3]Entry!$N$1121)</f>
        <v/>
      </c>
      <c r="AM1118" t="str">
        <f>IF([3]Entry!$R$1121="","",[3]Entry!$R$1121)</f>
        <v/>
      </c>
    </row>
    <row r="1119" spans="20:39" x14ac:dyDescent="0.2">
      <c r="T1119" t="str">
        <f>IF([2]Baskol!$B$1122="","",[2]Baskol!$B$1122)</f>
        <v/>
      </c>
      <c r="U1119" t="str">
        <f>IF([2]Baskol!$C$1122="","",[2]Baskol!$C$1122)</f>
        <v/>
      </c>
      <c r="V1119" t="str">
        <f>IF([2]Baskol!$D$1122="","",[2]Baskol!$D$1122)</f>
        <v/>
      </c>
      <c r="W1119" t="str">
        <f>IF([2]Baskol!$E$1122="","",[2]Baskol!$E$1122)</f>
        <v/>
      </c>
      <c r="X1119" t="str">
        <f>IF([2]Baskol!$G$1122="","",[2]Baskol!$G$1122)</f>
        <v/>
      </c>
      <c r="Y1119" t="str">
        <f>IF([2]Baskol!$I$1122="","",[2]Baskol!$I$1122)</f>
        <v/>
      </c>
      <c r="Z1119" t="str">
        <f>IF([2]Baskol!$J$1122="","",[2]Baskol!$J$1122)</f>
        <v/>
      </c>
      <c r="AA1119" t="str">
        <f>IF([2]Baskol!$K$1122="","",[2]Baskol!$K$1122)</f>
        <v/>
      </c>
      <c r="AB1119" t="str">
        <f>IF([2]Baskol!$L$1122="","",[2]Baskol!$L$1122)</f>
        <v/>
      </c>
      <c r="AC1119" t="str">
        <f>IF([2]Baskol!$N$1122="","",[2]Baskol!$N$1122)</f>
        <v/>
      </c>
      <c r="AD1119" t="str">
        <f>IF([2]Baskol!$O$1122="","",[2]Baskol!$O$1122)</f>
        <v/>
      </c>
      <c r="AE1119" t="str">
        <f>IF([3]Entry!$C$1122="","",[3]Entry!$C$1122)</f>
        <v/>
      </c>
      <c r="AF1119" t="str">
        <f>IF([3]Entry!$D$1122="","",[3]Entry!$D$1122)</f>
        <v/>
      </c>
      <c r="AG1119" t="str">
        <f>IF([3]Entry!$E$1122="","",[3]Entry!$E$1122)</f>
        <v/>
      </c>
      <c r="AH1119" t="str">
        <f>IF([3]Entry!$G$1122="","",[3]Entry!$G$1122)</f>
        <v/>
      </c>
      <c r="AI1119" t="str">
        <f>IF([3]Entry!$K$1122="","",[3]Entry!$K$1122)</f>
        <v/>
      </c>
      <c r="AJ1119" t="str">
        <f>IF([3]Entry!$L$1122="","",[3]Entry!$L$1122)</f>
        <v/>
      </c>
      <c r="AK1119" t="str">
        <f>IF([3]Entry!$M$1122="","",[3]Entry!$M$1122)</f>
        <v/>
      </c>
      <c r="AL1119" t="str">
        <f>IF([3]Entry!$N$1122="","",[3]Entry!$N$1122)</f>
        <v/>
      </c>
      <c r="AM1119" t="str">
        <f>IF([3]Entry!$R$1122="","",[3]Entry!$R$1122)</f>
        <v/>
      </c>
    </row>
    <row r="1120" spans="20:39" x14ac:dyDescent="0.2">
      <c r="T1120" t="str">
        <f>IF([2]Baskol!$B$1123="","",[2]Baskol!$B$1123)</f>
        <v/>
      </c>
      <c r="U1120" t="str">
        <f>IF([2]Baskol!$C$1123="","",[2]Baskol!$C$1123)</f>
        <v/>
      </c>
      <c r="V1120" t="str">
        <f>IF([2]Baskol!$D$1123="","",[2]Baskol!$D$1123)</f>
        <v/>
      </c>
      <c r="W1120" t="str">
        <f>IF([2]Baskol!$E$1123="","",[2]Baskol!$E$1123)</f>
        <v/>
      </c>
      <c r="X1120" t="str">
        <f>IF([2]Baskol!$G$1123="","",[2]Baskol!$G$1123)</f>
        <v/>
      </c>
      <c r="Y1120" t="str">
        <f>IF([2]Baskol!$I$1123="","",[2]Baskol!$I$1123)</f>
        <v/>
      </c>
      <c r="Z1120" t="str">
        <f>IF([2]Baskol!$J$1123="","",[2]Baskol!$J$1123)</f>
        <v/>
      </c>
      <c r="AA1120" t="str">
        <f>IF([2]Baskol!$K$1123="","",[2]Baskol!$K$1123)</f>
        <v/>
      </c>
      <c r="AB1120" t="str">
        <f>IF([2]Baskol!$L$1123="","",[2]Baskol!$L$1123)</f>
        <v/>
      </c>
      <c r="AC1120" t="str">
        <f>IF([2]Baskol!$N$1123="","",[2]Baskol!$N$1123)</f>
        <v/>
      </c>
      <c r="AD1120" t="str">
        <f>IF([2]Baskol!$O$1123="","",[2]Baskol!$O$1123)</f>
        <v/>
      </c>
      <c r="AE1120" t="str">
        <f>IF([3]Entry!$C$1123="","",[3]Entry!$C$1123)</f>
        <v/>
      </c>
      <c r="AF1120" t="str">
        <f>IF([3]Entry!$D$1123="","",[3]Entry!$D$1123)</f>
        <v/>
      </c>
      <c r="AG1120" t="str">
        <f>IF([3]Entry!$E$1123="","",[3]Entry!$E$1123)</f>
        <v/>
      </c>
      <c r="AH1120" t="str">
        <f>IF([3]Entry!$G$1123="","",[3]Entry!$G$1123)</f>
        <v/>
      </c>
      <c r="AI1120" t="str">
        <f>IF([3]Entry!$K$1123="","",[3]Entry!$K$1123)</f>
        <v/>
      </c>
      <c r="AJ1120" t="str">
        <f>IF([3]Entry!$L$1123="","",[3]Entry!$L$1123)</f>
        <v/>
      </c>
      <c r="AK1120" t="str">
        <f>IF([3]Entry!$M$1123="","",[3]Entry!$M$1123)</f>
        <v/>
      </c>
      <c r="AL1120" t="str">
        <f>IF([3]Entry!$N$1123="","",[3]Entry!$N$1123)</f>
        <v/>
      </c>
      <c r="AM1120" t="str">
        <f>IF([3]Entry!$R$1123="","",[3]Entry!$R$1123)</f>
        <v/>
      </c>
    </row>
    <row r="1121" spans="20:39" x14ac:dyDescent="0.2">
      <c r="T1121" t="str">
        <f>IF([2]Baskol!$B$1124="","",[2]Baskol!$B$1124)</f>
        <v/>
      </c>
      <c r="U1121" t="str">
        <f>IF([2]Baskol!$C$1124="","",[2]Baskol!$C$1124)</f>
        <v/>
      </c>
      <c r="V1121" t="str">
        <f>IF([2]Baskol!$D$1124="","",[2]Baskol!$D$1124)</f>
        <v/>
      </c>
      <c r="W1121" t="str">
        <f>IF([2]Baskol!$E$1124="","",[2]Baskol!$E$1124)</f>
        <v/>
      </c>
      <c r="X1121" t="str">
        <f>IF([2]Baskol!$G$1124="","",[2]Baskol!$G$1124)</f>
        <v/>
      </c>
      <c r="Y1121" t="str">
        <f>IF([2]Baskol!$I$1124="","",[2]Baskol!$I$1124)</f>
        <v/>
      </c>
      <c r="Z1121" t="str">
        <f>IF([2]Baskol!$J$1124="","",[2]Baskol!$J$1124)</f>
        <v/>
      </c>
      <c r="AA1121" t="str">
        <f>IF([2]Baskol!$K$1124="","",[2]Baskol!$K$1124)</f>
        <v/>
      </c>
      <c r="AB1121" t="str">
        <f>IF([2]Baskol!$L$1124="","",[2]Baskol!$L$1124)</f>
        <v/>
      </c>
      <c r="AC1121" t="str">
        <f>IF([2]Baskol!$N$1124="","",[2]Baskol!$N$1124)</f>
        <v/>
      </c>
      <c r="AD1121" t="str">
        <f>IF([2]Baskol!$O$1124="","",[2]Baskol!$O$1124)</f>
        <v/>
      </c>
      <c r="AE1121" t="str">
        <f>IF([3]Entry!$C$1124="","",[3]Entry!$C$1124)</f>
        <v/>
      </c>
      <c r="AF1121" t="str">
        <f>IF([3]Entry!$D$1124="","",[3]Entry!$D$1124)</f>
        <v/>
      </c>
      <c r="AG1121" t="str">
        <f>IF([3]Entry!$E$1124="","",[3]Entry!$E$1124)</f>
        <v/>
      </c>
      <c r="AH1121" t="str">
        <f>IF([3]Entry!$G$1124="","",[3]Entry!$G$1124)</f>
        <v/>
      </c>
      <c r="AI1121" t="str">
        <f>IF([3]Entry!$K$1124="","",[3]Entry!$K$1124)</f>
        <v/>
      </c>
      <c r="AJ1121" t="str">
        <f>IF([3]Entry!$L$1124="","",[3]Entry!$L$1124)</f>
        <v/>
      </c>
      <c r="AK1121" t="str">
        <f>IF([3]Entry!$M$1124="","",[3]Entry!$M$1124)</f>
        <v/>
      </c>
      <c r="AL1121" t="str">
        <f>IF([3]Entry!$N$1124="","",[3]Entry!$N$1124)</f>
        <v/>
      </c>
      <c r="AM1121" t="str">
        <f>IF([3]Entry!$R$1124="","",[3]Entry!$R$1124)</f>
        <v/>
      </c>
    </row>
    <row r="1122" spans="20:39" x14ac:dyDescent="0.2">
      <c r="T1122" t="str">
        <f>IF([2]Baskol!$B$1125="","",[2]Baskol!$B$1125)</f>
        <v/>
      </c>
      <c r="U1122" t="str">
        <f>IF([2]Baskol!$C$1125="","",[2]Baskol!$C$1125)</f>
        <v/>
      </c>
      <c r="V1122" t="str">
        <f>IF([2]Baskol!$D$1125="","",[2]Baskol!$D$1125)</f>
        <v/>
      </c>
      <c r="W1122" t="str">
        <f>IF([2]Baskol!$E$1125="","",[2]Baskol!$E$1125)</f>
        <v/>
      </c>
      <c r="X1122" t="str">
        <f>IF([2]Baskol!$G$1125="","",[2]Baskol!$G$1125)</f>
        <v/>
      </c>
      <c r="Y1122" t="str">
        <f>IF([2]Baskol!$I$1125="","",[2]Baskol!$I$1125)</f>
        <v/>
      </c>
      <c r="Z1122" t="str">
        <f>IF([2]Baskol!$J$1125="","",[2]Baskol!$J$1125)</f>
        <v/>
      </c>
      <c r="AA1122" t="str">
        <f>IF([2]Baskol!$K$1125="","",[2]Baskol!$K$1125)</f>
        <v/>
      </c>
      <c r="AB1122" t="str">
        <f>IF([2]Baskol!$L$1125="","",[2]Baskol!$L$1125)</f>
        <v/>
      </c>
      <c r="AC1122" t="str">
        <f>IF([2]Baskol!$N$1125="","",[2]Baskol!$N$1125)</f>
        <v/>
      </c>
      <c r="AD1122" t="str">
        <f>IF([2]Baskol!$O$1125="","",[2]Baskol!$O$1125)</f>
        <v/>
      </c>
      <c r="AE1122" t="str">
        <f>IF([3]Entry!$C$1125="","",[3]Entry!$C$1125)</f>
        <v/>
      </c>
      <c r="AF1122" t="str">
        <f>IF([3]Entry!$D$1125="","",[3]Entry!$D$1125)</f>
        <v/>
      </c>
      <c r="AG1122" t="str">
        <f>IF([3]Entry!$E$1125="","",[3]Entry!$E$1125)</f>
        <v/>
      </c>
      <c r="AH1122" t="str">
        <f>IF([3]Entry!$G$1125="","",[3]Entry!$G$1125)</f>
        <v/>
      </c>
      <c r="AI1122" t="str">
        <f>IF([3]Entry!$K$1125="","",[3]Entry!$K$1125)</f>
        <v/>
      </c>
      <c r="AJ1122" t="str">
        <f>IF([3]Entry!$L$1125="","",[3]Entry!$L$1125)</f>
        <v/>
      </c>
      <c r="AK1122" t="str">
        <f>IF([3]Entry!$M$1125="","",[3]Entry!$M$1125)</f>
        <v/>
      </c>
      <c r="AL1122" t="str">
        <f>IF([3]Entry!$N$1125="","",[3]Entry!$N$1125)</f>
        <v/>
      </c>
      <c r="AM1122" t="str">
        <f>IF([3]Entry!$R$1125="","",[3]Entry!$R$1125)</f>
        <v/>
      </c>
    </row>
    <row r="1123" spans="20:39" x14ac:dyDescent="0.2">
      <c r="T1123" t="str">
        <f>IF([2]Baskol!$B$1126="","",[2]Baskol!$B$1126)</f>
        <v/>
      </c>
      <c r="U1123" t="str">
        <f>IF([2]Baskol!$C$1126="","",[2]Baskol!$C$1126)</f>
        <v/>
      </c>
      <c r="V1123" t="str">
        <f>IF([2]Baskol!$D$1126="","",[2]Baskol!$D$1126)</f>
        <v/>
      </c>
      <c r="W1123" t="str">
        <f>IF([2]Baskol!$E$1126="","",[2]Baskol!$E$1126)</f>
        <v/>
      </c>
      <c r="X1123" t="str">
        <f>IF([2]Baskol!$G$1126="","",[2]Baskol!$G$1126)</f>
        <v/>
      </c>
      <c r="Y1123" t="str">
        <f>IF([2]Baskol!$I$1126="","",[2]Baskol!$I$1126)</f>
        <v/>
      </c>
      <c r="Z1123" t="str">
        <f>IF([2]Baskol!$J$1126="","",[2]Baskol!$J$1126)</f>
        <v/>
      </c>
      <c r="AA1123" t="str">
        <f>IF([2]Baskol!$K$1126="","",[2]Baskol!$K$1126)</f>
        <v/>
      </c>
      <c r="AB1123" t="str">
        <f>IF([2]Baskol!$L$1126="","",[2]Baskol!$L$1126)</f>
        <v/>
      </c>
      <c r="AC1123" t="str">
        <f>IF([2]Baskol!$N$1126="","",[2]Baskol!$N$1126)</f>
        <v/>
      </c>
      <c r="AD1123" t="str">
        <f>IF([2]Baskol!$O$1126="","",[2]Baskol!$O$1126)</f>
        <v/>
      </c>
      <c r="AE1123" t="str">
        <f>IF([3]Entry!$C$1126="","",[3]Entry!$C$1126)</f>
        <v/>
      </c>
      <c r="AF1123" t="str">
        <f>IF([3]Entry!$D$1126="","",[3]Entry!$D$1126)</f>
        <v/>
      </c>
      <c r="AG1123" t="str">
        <f>IF([3]Entry!$E$1126="","",[3]Entry!$E$1126)</f>
        <v/>
      </c>
      <c r="AH1123" t="str">
        <f>IF([3]Entry!$G$1126="","",[3]Entry!$G$1126)</f>
        <v/>
      </c>
      <c r="AI1123" t="str">
        <f>IF([3]Entry!$K$1126="","",[3]Entry!$K$1126)</f>
        <v/>
      </c>
      <c r="AJ1123" t="str">
        <f>IF([3]Entry!$L$1126="","",[3]Entry!$L$1126)</f>
        <v/>
      </c>
      <c r="AK1123" t="str">
        <f>IF([3]Entry!$M$1126="","",[3]Entry!$M$1126)</f>
        <v/>
      </c>
      <c r="AL1123" t="str">
        <f>IF([3]Entry!$N$1126="","",[3]Entry!$N$1126)</f>
        <v/>
      </c>
      <c r="AM1123" t="str">
        <f>IF([3]Entry!$R$1126="","",[3]Entry!$R$1126)</f>
        <v/>
      </c>
    </row>
    <row r="1124" spans="20:39" x14ac:dyDescent="0.2">
      <c r="T1124" t="str">
        <f>IF([2]Baskol!$B$1127="","",[2]Baskol!$B$1127)</f>
        <v/>
      </c>
      <c r="U1124" t="str">
        <f>IF([2]Baskol!$C$1127="","",[2]Baskol!$C$1127)</f>
        <v/>
      </c>
      <c r="V1124" t="str">
        <f>IF([2]Baskol!$D$1127="","",[2]Baskol!$D$1127)</f>
        <v/>
      </c>
      <c r="W1124" t="str">
        <f>IF([2]Baskol!$E$1127="","",[2]Baskol!$E$1127)</f>
        <v/>
      </c>
      <c r="X1124" t="str">
        <f>IF([2]Baskol!$G$1127="","",[2]Baskol!$G$1127)</f>
        <v/>
      </c>
      <c r="Y1124" t="str">
        <f>IF([2]Baskol!$I$1127="","",[2]Baskol!$I$1127)</f>
        <v/>
      </c>
      <c r="Z1124" t="str">
        <f>IF([2]Baskol!$J$1127="","",[2]Baskol!$J$1127)</f>
        <v/>
      </c>
      <c r="AA1124" t="str">
        <f>IF([2]Baskol!$K$1127="","",[2]Baskol!$K$1127)</f>
        <v/>
      </c>
      <c r="AB1124" t="str">
        <f>IF([2]Baskol!$L$1127="","",[2]Baskol!$L$1127)</f>
        <v/>
      </c>
      <c r="AC1124" t="str">
        <f>IF([2]Baskol!$N$1127="","",[2]Baskol!$N$1127)</f>
        <v/>
      </c>
      <c r="AD1124" t="str">
        <f>IF([2]Baskol!$O$1127="","",[2]Baskol!$O$1127)</f>
        <v/>
      </c>
      <c r="AE1124" t="str">
        <f>IF([3]Entry!$C$1127="","",[3]Entry!$C$1127)</f>
        <v/>
      </c>
      <c r="AF1124" t="str">
        <f>IF([3]Entry!$D$1127="","",[3]Entry!$D$1127)</f>
        <v/>
      </c>
      <c r="AG1124" t="str">
        <f>IF([3]Entry!$E$1127="","",[3]Entry!$E$1127)</f>
        <v/>
      </c>
      <c r="AH1124" t="str">
        <f>IF([3]Entry!$G$1127="","",[3]Entry!$G$1127)</f>
        <v/>
      </c>
      <c r="AI1124" t="str">
        <f>IF([3]Entry!$K$1127="","",[3]Entry!$K$1127)</f>
        <v/>
      </c>
      <c r="AJ1124" t="str">
        <f>IF([3]Entry!$L$1127="","",[3]Entry!$L$1127)</f>
        <v/>
      </c>
      <c r="AK1124" t="str">
        <f>IF([3]Entry!$M$1127="","",[3]Entry!$M$1127)</f>
        <v/>
      </c>
      <c r="AL1124" t="str">
        <f>IF([3]Entry!$N$1127="","",[3]Entry!$N$1127)</f>
        <v/>
      </c>
      <c r="AM1124" t="str">
        <f>IF([3]Entry!$R$1127="","",[3]Entry!$R$1127)</f>
        <v/>
      </c>
    </row>
    <row r="1125" spans="20:39" x14ac:dyDescent="0.2">
      <c r="T1125" t="str">
        <f>IF([2]Baskol!$B$1128="","",[2]Baskol!$B$1128)</f>
        <v/>
      </c>
      <c r="U1125" t="str">
        <f>IF([2]Baskol!$C$1128="","",[2]Baskol!$C$1128)</f>
        <v/>
      </c>
      <c r="V1125" t="str">
        <f>IF([2]Baskol!$D$1128="","",[2]Baskol!$D$1128)</f>
        <v/>
      </c>
      <c r="W1125" t="str">
        <f>IF([2]Baskol!$E$1128="","",[2]Baskol!$E$1128)</f>
        <v/>
      </c>
      <c r="X1125" t="str">
        <f>IF([2]Baskol!$G$1128="","",[2]Baskol!$G$1128)</f>
        <v/>
      </c>
      <c r="Y1125" t="str">
        <f>IF([2]Baskol!$I$1128="","",[2]Baskol!$I$1128)</f>
        <v/>
      </c>
      <c r="Z1125" t="str">
        <f>IF([2]Baskol!$J$1128="","",[2]Baskol!$J$1128)</f>
        <v/>
      </c>
      <c r="AA1125" t="str">
        <f>IF([2]Baskol!$K$1128="","",[2]Baskol!$K$1128)</f>
        <v/>
      </c>
      <c r="AB1125" t="str">
        <f>IF([2]Baskol!$L$1128="","",[2]Baskol!$L$1128)</f>
        <v/>
      </c>
      <c r="AC1125" t="str">
        <f>IF([2]Baskol!$N$1128="","",[2]Baskol!$N$1128)</f>
        <v/>
      </c>
      <c r="AD1125" t="str">
        <f>IF([2]Baskol!$O$1128="","",[2]Baskol!$O$1128)</f>
        <v/>
      </c>
      <c r="AE1125" t="str">
        <f>IF([3]Entry!$C$1128="","",[3]Entry!$C$1128)</f>
        <v/>
      </c>
      <c r="AF1125" t="str">
        <f>IF([3]Entry!$D$1128="","",[3]Entry!$D$1128)</f>
        <v/>
      </c>
      <c r="AG1125" t="str">
        <f>IF([3]Entry!$E$1128="","",[3]Entry!$E$1128)</f>
        <v/>
      </c>
      <c r="AH1125" t="str">
        <f>IF([3]Entry!$G$1128="","",[3]Entry!$G$1128)</f>
        <v/>
      </c>
      <c r="AI1125" t="str">
        <f>IF([3]Entry!$K$1128="","",[3]Entry!$K$1128)</f>
        <v/>
      </c>
      <c r="AJ1125" t="str">
        <f>IF([3]Entry!$L$1128="","",[3]Entry!$L$1128)</f>
        <v/>
      </c>
      <c r="AK1125" t="str">
        <f>IF([3]Entry!$M$1128="","",[3]Entry!$M$1128)</f>
        <v/>
      </c>
      <c r="AL1125" t="str">
        <f>IF([3]Entry!$N$1128="","",[3]Entry!$N$1128)</f>
        <v/>
      </c>
      <c r="AM1125" t="str">
        <f>IF([3]Entry!$R$1128="","",[3]Entry!$R$1128)</f>
        <v/>
      </c>
    </row>
    <row r="1126" spans="20:39" x14ac:dyDescent="0.2">
      <c r="T1126" t="str">
        <f>IF([2]Baskol!$B$1129="","",[2]Baskol!$B$1129)</f>
        <v/>
      </c>
      <c r="U1126" t="str">
        <f>IF([2]Baskol!$C$1129="","",[2]Baskol!$C$1129)</f>
        <v/>
      </c>
      <c r="V1126" t="str">
        <f>IF([2]Baskol!$D$1129="","",[2]Baskol!$D$1129)</f>
        <v/>
      </c>
      <c r="W1126" t="str">
        <f>IF([2]Baskol!$E$1129="","",[2]Baskol!$E$1129)</f>
        <v/>
      </c>
      <c r="X1126" t="str">
        <f>IF([2]Baskol!$G$1129="","",[2]Baskol!$G$1129)</f>
        <v/>
      </c>
      <c r="Y1126" t="str">
        <f>IF([2]Baskol!$I$1129="","",[2]Baskol!$I$1129)</f>
        <v/>
      </c>
      <c r="Z1126" t="str">
        <f>IF([2]Baskol!$J$1129="","",[2]Baskol!$J$1129)</f>
        <v/>
      </c>
      <c r="AA1126" t="str">
        <f>IF([2]Baskol!$K$1129="","",[2]Baskol!$K$1129)</f>
        <v/>
      </c>
      <c r="AB1126" t="str">
        <f>IF([2]Baskol!$L$1129="","",[2]Baskol!$L$1129)</f>
        <v/>
      </c>
      <c r="AC1126" t="str">
        <f>IF([2]Baskol!$N$1129="","",[2]Baskol!$N$1129)</f>
        <v/>
      </c>
      <c r="AD1126" t="str">
        <f>IF([2]Baskol!$O$1129="","",[2]Baskol!$O$1129)</f>
        <v/>
      </c>
      <c r="AE1126" t="str">
        <f>IF([3]Entry!$C$1129="","",[3]Entry!$C$1129)</f>
        <v/>
      </c>
      <c r="AF1126" t="str">
        <f>IF([3]Entry!$D$1129="","",[3]Entry!$D$1129)</f>
        <v/>
      </c>
      <c r="AG1126" t="str">
        <f>IF([3]Entry!$E$1129="","",[3]Entry!$E$1129)</f>
        <v/>
      </c>
      <c r="AH1126" t="str">
        <f>IF([3]Entry!$G$1129="","",[3]Entry!$G$1129)</f>
        <v/>
      </c>
      <c r="AI1126" t="str">
        <f>IF([3]Entry!$K$1129="","",[3]Entry!$K$1129)</f>
        <v/>
      </c>
      <c r="AJ1126" t="str">
        <f>IF([3]Entry!$L$1129="","",[3]Entry!$L$1129)</f>
        <v/>
      </c>
      <c r="AK1126" t="str">
        <f>IF([3]Entry!$M$1129="","",[3]Entry!$M$1129)</f>
        <v/>
      </c>
      <c r="AL1126" t="str">
        <f>IF([3]Entry!$N$1129="","",[3]Entry!$N$1129)</f>
        <v/>
      </c>
      <c r="AM1126" t="str">
        <f>IF([3]Entry!$R$1129="","",[3]Entry!$R$1129)</f>
        <v/>
      </c>
    </row>
    <row r="1127" spans="20:39" x14ac:dyDescent="0.2">
      <c r="T1127" t="str">
        <f>IF([2]Baskol!$B$1130="","",[2]Baskol!$B$1130)</f>
        <v/>
      </c>
      <c r="U1127" t="str">
        <f>IF([2]Baskol!$C$1130="","",[2]Baskol!$C$1130)</f>
        <v/>
      </c>
      <c r="V1127" t="str">
        <f>IF([2]Baskol!$D$1130="","",[2]Baskol!$D$1130)</f>
        <v/>
      </c>
      <c r="W1127" t="str">
        <f>IF([2]Baskol!$E$1130="","",[2]Baskol!$E$1130)</f>
        <v/>
      </c>
      <c r="X1127" t="str">
        <f>IF([2]Baskol!$G$1130="","",[2]Baskol!$G$1130)</f>
        <v/>
      </c>
      <c r="Y1127" t="str">
        <f>IF([2]Baskol!$I$1130="","",[2]Baskol!$I$1130)</f>
        <v/>
      </c>
      <c r="Z1127" t="str">
        <f>IF([2]Baskol!$J$1130="","",[2]Baskol!$J$1130)</f>
        <v/>
      </c>
      <c r="AA1127" t="str">
        <f>IF([2]Baskol!$K$1130="","",[2]Baskol!$K$1130)</f>
        <v/>
      </c>
      <c r="AB1127" t="str">
        <f>IF([2]Baskol!$L$1130="","",[2]Baskol!$L$1130)</f>
        <v/>
      </c>
      <c r="AC1127" t="str">
        <f>IF([2]Baskol!$N$1130="","",[2]Baskol!$N$1130)</f>
        <v/>
      </c>
      <c r="AD1127" t="str">
        <f>IF([2]Baskol!$O$1130="","",[2]Baskol!$O$1130)</f>
        <v/>
      </c>
      <c r="AE1127" t="str">
        <f>IF([3]Entry!$C$1130="","",[3]Entry!$C$1130)</f>
        <v/>
      </c>
      <c r="AF1127" t="str">
        <f>IF([3]Entry!$D$1130="","",[3]Entry!$D$1130)</f>
        <v/>
      </c>
      <c r="AG1127" t="str">
        <f>IF([3]Entry!$E$1130="","",[3]Entry!$E$1130)</f>
        <v/>
      </c>
      <c r="AH1127" t="str">
        <f>IF([3]Entry!$G$1130="","",[3]Entry!$G$1130)</f>
        <v/>
      </c>
      <c r="AI1127" t="str">
        <f>IF([3]Entry!$K$1130="","",[3]Entry!$K$1130)</f>
        <v/>
      </c>
      <c r="AJ1127" t="str">
        <f>IF([3]Entry!$L$1130="","",[3]Entry!$L$1130)</f>
        <v/>
      </c>
      <c r="AK1127" t="str">
        <f>IF([3]Entry!$M$1130="","",[3]Entry!$M$1130)</f>
        <v/>
      </c>
      <c r="AL1127" t="str">
        <f>IF([3]Entry!$N$1130="","",[3]Entry!$N$1130)</f>
        <v/>
      </c>
      <c r="AM1127" t="str">
        <f>IF([3]Entry!$R$1130="","",[3]Entry!$R$1130)</f>
        <v/>
      </c>
    </row>
    <row r="1128" spans="20:39" x14ac:dyDescent="0.2">
      <c r="T1128" t="str">
        <f>IF([2]Baskol!$B$1131="","",[2]Baskol!$B$1131)</f>
        <v/>
      </c>
      <c r="U1128" t="str">
        <f>IF([2]Baskol!$C$1131="","",[2]Baskol!$C$1131)</f>
        <v/>
      </c>
      <c r="V1128" t="str">
        <f>IF([2]Baskol!$D$1131="","",[2]Baskol!$D$1131)</f>
        <v/>
      </c>
      <c r="W1128" t="str">
        <f>IF([2]Baskol!$E$1131="","",[2]Baskol!$E$1131)</f>
        <v/>
      </c>
      <c r="X1128" t="str">
        <f>IF([2]Baskol!$G$1131="","",[2]Baskol!$G$1131)</f>
        <v/>
      </c>
      <c r="Y1128" t="str">
        <f>IF([2]Baskol!$I$1131="","",[2]Baskol!$I$1131)</f>
        <v/>
      </c>
      <c r="Z1128" t="str">
        <f>IF([2]Baskol!$J$1131="","",[2]Baskol!$J$1131)</f>
        <v/>
      </c>
      <c r="AA1128" t="str">
        <f>IF([2]Baskol!$K$1131="","",[2]Baskol!$K$1131)</f>
        <v/>
      </c>
      <c r="AB1128" t="str">
        <f>IF([2]Baskol!$L$1131="","",[2]Baskol!$L$1131)</f>
        <v/>
      </c>
      <c r="AC1128" t="str">
        <f>IF([2]Baskol!$N$1131="","",[2]Baskol!$N$1131)</f>
        <v/>
      </c>
      <c r="AD1128" t="str">
        <f>IF([2]Baskol!$O$1131="","",[2]Baskol!$O$1131)</f>
        <v/>
      </c>
      <c r="AE1128" t="str">
        <f>IF([3]Entry!$C$1131="","",[3]Entry!$C$1131)</f>
        <v/>
      </c>
      <c r="AF1128" t="str">
        <f>IF([3]Entry!$D$1131="","",[3]Entry!$D$1131)</f>
        <v/>
      </c>
      <c r="AG1128" t="str">
        <f>IF([3]Entry!$E$1131="","",[3]Entry!$E$1131)</f>
        <v/>
      </c>
      <c r="AH1128" t="str">
        <f>IF([3]Entry!$G$1131="","",[3]Entry!$G$1131)</f>
        <v/>
      </c>
      <c r="AI1128" t="str">
        <f>IF([3]Entry!$K$1131="","",[3]Entry!$K$1131)</f>
        <v/>
      </c>
      <c r="AJ1128" t="str">
        <f>IF([3]Entry!$L$1131="","",[3]Entry!$L$1131)</f>
        <v/>
      </c>
      <c r="AK1128" t="str">
        <f>IF([3]Entry!$M$1131="","",[3]Entry!$M$1131)</f>
        <v/>
      </c>
      <c r="AL1128" t="str">
        <f>IF([3]Entry!$N$1131="","",[3]Entry!$N$1131)</f>
        <v/>
      </c>
      <c r="AM1128" t="str">
        <f>IF([3]Entry!$R$1131="","",[3]Entry!$R$1131)</f>
        <v/>
      </c>
    </row>
    <row r="1129" spans="20:39" x14ac:dyDescent="0.2">
      <c r="T1129" t="str">
        <f>IF([2]Baskol!$B$1132="","",[2]Baskol!$B$1132)</f>
        <v/>
      </c>
      <c r="U1129" t="str">
        <f>IF([2]Baskol!$C$1132="","",[2]Baskol!$C$1132)</f>
        <v/>
      </c>
      <c r="V1129" t="str">
        <f>IF([2]Baskol!$D$1132="","",[2]Baskol!$D$1132)</f>
        <v/>
      </c>
      <c r="W1129" t="str">
        <f>IF([2]Baskol!$E$1132="","",[2]Baskol!$E$1132)</f>
        <v/>
      </c>
      <c r="X1129" t="str">
        <f>IF([2]Baskol!$G$1132="","",[2]Baskol!$G$1132)</f>
        <v/>
      </c>
      <c r="Y1129" t="str">
        <f>IF([2]Baskol!$I$1132="","",[2]Baskol!$I$1132)</f>
        <v/>
      </c>
      <c r="Z1129" t="str">
        <f>IF([2]Baskol!$J$1132="","",[2]Baskol!$J$1132)</f>
        <v/>
      </c>
      <c r="AA1129" t="str">
        <f>IF([2]Baskol!$K$1132="","",[2]Baskol!$K$1132)</f>
        <v/>
      </c>
      <c r="AB1129" t="str">
        <f>IF([2]Baskol!$L$1132="","",[2]Baskol!$L$1132)</f>
        <v/>
      </c>
      <c r="AC1129" t="str">
        <f>IF([2]Baskol!$N$1132="","",[2]Baskol!$N$1132)</f>
        <v/>
      </c>
      <c r="AD1129" t="str">
        <f>IF([2]Baskol!$O$1132="","",[2]Baskol!$O$1132)</f>
        <v/>
      </c>
      <c r="AE1129" t="str">
        <f>IF([3]Entry!$C$1132="","",[3]Entry!$C$1132)</f>
        <v/>
      </c>
      <c r="AF1129" t="str">
        <f>IF([3]Entry!$D$1132="","",[3]Entry!$D$1132)</f>
        <v/>
      </c>
      <c r="AG1129" t="str">
        <f>IF([3]Entry!$E$1132="","",[3]Entry!$E$1132)</f>
        <v/>
      </c>
      <c r="AH1129" t="str">
        <f>IF([3]Entry!$G$1132="","",[3]Entry!$G$1132)</f>
        <v/>
      </c>
      <c r="AI1129" t="str">
        <f>IF([3]Entry!$K$1132="","",[3]Entry!$K$1132)</f>
        <v/>
      </c>
      <c r="AJ1129" t="str">
        <f>IF([3]Entry!$L$1132="","",[3]Entry!$L$1132)</f>
        <v/>
      </c>
      <c r="AK1129" t="str">
        <f>IF([3]Entry!$M$1132="","",[3]Entry!$M$1132)</f>
        <v/>
      </c>
      <c r="AL1129" t="str">
        <f>IF([3]Entry!$N$1132="","",[3]Entry!$N$1132)</f>
        <v/>
      </c>
      <c r="AM1129" t="str">
        <f>IF([3]Entry!$R$1132="","",[3]Entry!$R$1132)</f>
        <v/>
      </c>
    </row>
    <row r="1130" spans="20:39" x14ac:dyDescent="0.2">
      <c r="T1130" t="str">
        <f>IF([2]Baskol!$B$1133="","",[2]Baskol!$B$1133)</f>
        <v/>
      </c>
      <c r="U1130" t="str">
        <f>IF([2]Baskol!$C$1133="","",[2]Baskol!$C$1133)</f>
        <v/>
      </c>
      <c r="V1130" t="str">
        <f>IF([2]Baskol!$D$1133="","",[2]Baskol!$D$1133)</f>
        <v/>
      </c>
      <c r="W1130" t="str">
        <f>IF([2]Baskol!$E$1133="","",[2]Baskol!$E$1133)</f>
        <v/>
      </c>
      <c r="X1130" t="str">
        <f>IF([2]Baskol!$G$1133="","",[2]Baskol!$G$1133)</f>
        <v/>
      </c>
      <c r="Y1130" t="str">
        <f>IF([2]Baskol!$I$1133="","",[2]Baskol!$I$1133)</f>
        <v/>
      </c>
      <c r="Z1130" t="str">
        <f>IF([2]Baskol!$J$1133="","",[2]Baskol!$J$1133)</f>
        <v/>
      </c>
      <c r="AA1130" t="str">
        <f>IF([2]Baskol!$K$1133="","",[2]Baskol!$K$1133)</f>
        <v/>
      </c>
      <c r="AB1130" t="str">
        <f>IF([2]Baskol!$L$1133="","",[2]Baskol!$L$1133)</f>
        <v/>
      </c>
      <c r="AC1130" t="str">
        <f>IF([2]Baskol!$N$1133="","",[2]Baskol!$N$1133)</f>
        <v/>
      </c>
      <c r="AD1130" t="str">
        <f>IF([2]Baskol!$O$1133="","",[2]Baskol!$O$1133)</f>
        <v/>
      </c>
      <c r="AE1130" t="str">
        <f>IF([3]Entry!$C$1133="","",[3]Entry!$C$1133)</f>
        <v/>
      </c>
      <c r="AF1130" t="str">
        <f>IF([3]Entry!$D$1133="","",[3]Entry!$D$1133)</f>
        <v/>
      </c>
      <c r="AG1130" t="str">
        <f>IF([3]Entry!$E$1133="","",[3]Entry!$E$1133)</f>
        <v/>
      </c>
      <c r="AH1130" t="str">
        <f>IF([3]Entry!$G$1133="","",[3]Entry!$G$1133)</f>
        <v/>
      </c>
      <c r="AI1130" t="str">
        <f>IF([3]Entry!$K$1133="","",[3]Entry!$K$1133)</f>
        <v/>
      </c>
      <c r="AJ1130" t="str">
        <f>IF([3]Entry!$L$1133="","",[3]Entry!$L$1133)</f>
        <v/>
      </c>
      <c r="AK1130" t="str">
        <f>IF([3]Entry!$M$1133="","",[3]Entry!$M$1133)</f>
        <v/>
      </c>
      <c r="AL1130" t="str">
        <f>IF([3]Entry!$N$1133="","",[3]Entry!$N$1133)</f>
        <v/>
      </c>
      <c r="AM1130" t="str">
        <f>IF([3]Entry!$R$1133="","",[3]Entry!$R$1133)</f>
        <v/>
      </c>
    </row>
    <row r="1131" spans="20:39" x14ac:dyDescent="0.2">
      <c r="T1131" t="str">
        <f>IF([2]Baskol!$B$1134="","",[2]Baskol!$B$1134)</f>
        <v/>
      </c>
      <c r="U1131" t="str">
        <f>IF([2]Baskol!$C$1134="","",[2]Baskol!$C$1134)</f>
        <v/>
      </c>
      <c r="V1131" t="str">
        <f>IF([2]Baskol!$D$1134="","",[2]Baskol!$D$1134)</f>
        <v/>
      </c>
      <c r="W1131" t="str">
        <f>IF([2]Baskol!$E$1134="","",[2]Baskol!$E$1134)</f>
        <v/>
      </c>
      <c r="X1131" t="str">
        <f>IF([2]Baskol!$G$1134="","",[2]Baskol!$G$1134)</f>
        <v/>
      </c>
      <c r="Y1131" t="str">
        <f>IF([2]Baskol!$I$1134="","",[2]Baskol!$I$1134)</f>
        <v/>
      </c>
      <c r="Z1131" t="str">
        <f>IF([2]Baskol!$J$1134="","",[2]Baskol!$J$1134)</f>
        <v/>
      </c>
      <c r="AA1131" t="str">
        <f>IF([2]Baskol!$K$1134="","",[2]Baskol!$K$1134)</f>
        <v/>
      </c>
      <c r="AB1131" t="str">
        <f>IF([2]Baskol!$L$1134="","",[2]Baskol!$L$1134)</f>
        <v/>
      </c>
      <c r="AC1131" t="str">
        <f>IF([2]Baskol!$N$1134="","",[2]Baskol!$N$1134)</f>
        <v/>
      </c>
      <c r="AD1131" t="str">
        <f>IF([2]Baskol!$O$1134="","",[2]Baskol!$O$1134)</f>
        <v/>
      </c>
      <c r="AE1131" t="str">
        <f>IF([3]Entry!$C$1134="","",[3]Entry!$C$1134)</f>
        <v/>
      </c>
      <c r="AF1131" t="str">
        <f>IF([3]Entry!$D$1134="","",[3]Entry!$D$1134)</f>
        <v/>
      </c>
      <c r="AG1131" t="str">
        <f>IF([3]Entry!$E$1134="","",[3]Entry!$E$1134)</f>
        <v/>
      </c>
      <c r="AH1131" t="str">
        <f>IF([3]Entry!$G$1134="","",[3]Entry!$G$1134)</f>
        <v/>
      </c>
      <c r="AI1131" t="str">
        <f>IF([3]Entry!$K$1134="","",[3]Entry!$K$1134)</f>
        <v/>
      </c>
      <c r="AJ1131" t="str">
        <f>IF([3]Entry!$L$1134="","",[3]Entry!$L$1134)</f>
        <v/>
      </c>
      <c r="AK1131" t="str">
        <f>IF([3]Entry!$M$1134="","",[3]Entry!$M$1134)</f>
        <v/>
      </c>
      <c r="AL1131" t="str">
        <f>IF([3]Entry!$N$1134="","",[3]Entry!$N$1134)</f>
        <v/>
      </c>
      <c r="AM1131" t="str">
        <f>IF([3]Entry!$R$1134="","",[3]Entry!$R$1134)</f>
        <v/>
      </c>
    </row>
    <row r="1132" spans="20:39" x14ac:dyDescent="0.2">
      <c r="T1132" t="str">
        <f>IF([2]Baskol!$B$1135="","",[2]Baskol!$B$1135)</f>
        <v/>
      </c>
      <c r="U1132" t="str">
        <f>IF([2]Baskol!$C$1135="","",[2]Baskol!$C$1135)</f>
        <v/>
      </c>
      <c r="V1132" t="str">
        <f>IF([2]Baskol!$D$1135="","",[2]Baskol!$D$1135)</f>
        <v/>
      </c>
      <c r="W1132" t="str">
        <f>IF([2]Baskol!$E$1135="","",[2]Baskol!$E$1135)</f>
        <v/>
      </c>
      <c r="X1132" t="str">
        <f>IF([2]Baskol!$G$1135="","",[2]Baskol!$G$1135)</f>
        <v/>
      </c>
      <c r="Y1132" t="str">
        <f>IF([2]Baskol!$I$1135="","",[2]Baskol!$I$1135)</f>
        <v/>
      </c>
      <c r="Z1132" t="str">
        <f>IF([2]Baskol!$J$1135="","",[2]Baskol!$J$1135)</f>
        <v/>
      </c>
      <c r="AA1132" t="str">
        <f>IF([2]Baskol!$K$1135="","",[2]Baskol!$K$1135)</f>
        <v/>
      </c>
      <c r="AB1132" t="str">
        <f>IF([2]Baskol!$L$1135="","",[2]Baskol!$L$1135)</f>
        <v/>
      </c>
      <c r="AC1132" t="str">
        <f>IF([2]Baskol!$N$1135="","",[2]Baskol!$N$1135)</f>
        <v/>
      </c>
      <c r="AD1132" t="str">
        <f>IF([2]Baskol!$O$1135="","",[2]Baskol!$O$1135)</f>
        <v/>
      </c>
      <c r="AE1132" t="str">
        <f>IF([3]Entry!$C$1135="","",[3]Entry!$C$1135)</f>
        <v/>
      </c>
      <c r="AF1132" t="str">
        <f>IF([3]Entry!$D$1135="","",[3]Entry!$D$1135)</f>
        <v/>
      </c>
      <c r="AG1132" t="str">
        <f>IF([3]Entry!$E$1135="","",[3]Entry!$E$1135)</f>
        <v/>
      </c>
      <c r="AH1132" t="str">
        <f>IF([3]Entry!$G$1135="","",[3]Entry!$G$1135)</f>
        <v/>
      </c>
      <c r="AI1132" t="str">
        <f>IF([3]Entry!$K$1135="","",[3]Entry!$K$1135)</f>
        <v/>
      </c>
      <c r="AJ1132" t="str">
        <f>IF([3]Entry!$L$1135="","",[3]Entry!$L$1135)</f>
        <v/>
      </c>
      <c r="AK1132" t="str">
        <f>IF([3]Entry!$M$1135="","",[3]Entry!$M$1135)</f>
        <v/>
      </c>
      <c r="AL1132" t="str">
        <f>IF([3]Entry!$N$1135="","",[3]Entry!$N$1135)</f>
        <v/>
      </c>
      <c r="AM1132" t="str">
        <f>IF([3]Entry!$R$1135="","",[3]Entry!$R$1135)</f>
        <v/>
      </c>
    </row>
    <row r="1133" spans="20:39" x14ac:dyDescent="0.2">
      <c r="T1133" t="str">
        <f>IF([2]Baskol!$B$1136="","",[2]Baskol!$B$1136)</f>
        <v/>
      </c>
      <c r="U1133" t="str">
        <f>IF([2]Baskol!$C$1136="","",[2]Baskol!$C$1136)</f>
        <v/>
      </c>
      <c r="V1133" t="str">
        <f>IF([2]Baskol!$D$1136="","",[2]Baskol!$D$1136)</f>
        <v/>
      </c>
      <c r="W1133" t="str">
        <f>IF([2]Baskol!$E$1136="","",[2]Baskol!$E$1136)</f>
        <v/>
      </c>
      <c r="X1133" t="str">
        <f>IF([2]Baskol!$G$1136="","",[2]Baskol!$G$1136)</f>
        <v/>
      </c>
      <c r="Y1133" t="str">
        <f>IF([2]Baskol!$I$1136="","",[2]Baskol!$I$1136)</f>
        <v/>
      </c>
      <c r="Z1133" t="str">
        <f>IF([2]Baskol!$J$1136="","",[2]Baskol!$J$1136)</f>
        <v/>
      </c>
      <c r="AA1133" t="str">
        <f>IF([2]Baskol!$K$1136="","",[2]Baskol!$K$1136)</f>
        <v/>
      </c>
      <c r="AB1133" t="str">
        <f>IF([2]Baskol!$L$1136="","",[2]Baskol!$L$1136)</f>
        <v/>
      </c>
      <c r="AC1133" t="str">
        <f>IF([2]Baskol!$N$1136="","",[2]Baskol!$N$1136)</f>
        <v/>
      </c>
      <c r="AD1133" t="str">
        <f>IF([2]Baskol!$O$1136="","",[2]Baskol!$O$1136)</f>
        <v/>
      </c>
      <c r="AE1133" t="str">
        <f>IF([3]Entry!$C$1136="","",[3]Entry!$C$1136)</f>
        <v/>
      </c>
      <c r="AF1133" t="str">
        <f>IF([3]Entry!$D$1136="","",[3]Entry!$D$1136)</f>
        <v/>
      </c>
      <c r="AG1133" t="str">
        <f>IF([3]Entry!$E$1136="","",[3]Entry!$E$1136)</f>
        <v/>
      </c>
      <c r="AH1133" t="str">
        <f>IF([3]Entry!$G$1136="","",[3]Entry!$G$1136)</f>
        <v/>
      </c>
      <c r="AI1133" t="str">
        <f>IF([3]Entry!$K$1136="","",[3]Entry!$K$1136)</f>
        <v/>
      </c>
      <c r="AJ1133" t="str">
        <f>IF([3]Entry!$L$1136="","",[3]Entry!$L$1136)</f>
        <v/>
      </c>
      <c r="AK1133" t="str">
        <f>IF([3]Entry!$M$1136="","",[3]Entry!$M$1136)</f>
        <v/>
      </c>
      <c r="AL1133" t="str">
        <f>IF([3]Entry!$N$1136="","",[3]Entry!$N$1136)</f>
        <v/>
      </c>
      <c r="AM1133" t="str">
        <f>IF([3]Entry!$R$1136="","",[3]Entry!$R$1136)</f>
        <v/>
      </c>
    </row>
    <row r="1134" spans="20:39" x14ac:dyDescent="0.2">
      <c r="T1134" t="str">
        <f>IF([2]Baskol!$B$1137="","",[2]Baskol!$B$1137)</f>
        <v/>
      </c>
      <c r="U1134" t="str">
        <f>IF([2]Baskol!$C$1137="","",[2]Baskol!$C$1137)</f>
        <v/>
      </c>
      <c r="V1134" t="str">
        <f>IF([2]Baskol!$D$1137="","",[2]Baskol!$D$1137)</f>
        <v/>
      </c>
      <c r="W1134" t="str">
        <f>IF([2]Baskol!$E$1137="","",[2]Baskol!$E$1137)</f>
        <v/>
      </c>
      <c r="X1134" t="str">
        <f>IF([2]Baskol!$G$1137="","",[2]Baskol!$G$1137)</f>
        <v/>
      </c>
      <c r="Y1134" t="str">
        <f>IF([2]Baskol!$I$1137="","",[2]Baskol!$I$1137)</f>
        <v/>
      </c>
      <c r="Z1134" t="str">
        <f>IF([2]Baskol!$J$1137="","",[2]Baskol!$J$1137)</f>
        <v/>
      </c>
      <c r="AA1134" t="str">
        <f>IF([2]Baskol!$K$1137="","",[2]Baskol!$K$1137)</f>
        <v/>
      </c>
      <c r="AB1134" t="str">
        <f>IF([2]Baskol!$L$1137="","",[2]Baskol!$L$1137)</f>
        <v/>
      </c>
      <c r="AC1134" t="str">
        <f>IF([2]Baskol!$N$1137="","",[2]Baskol!$N$1137)</f>
        <v/>
      </c>
      <c r="AD1134" t="str">
        <f>IF([2]Baskol!$O$1137="","",[2]Baskol!$O$1137)</f>
        <v/>
      </c>
      <c r="AE1134" t="str">
        <f>IF([3]Entry!$C$1137="","",[3]Entry!$C$1137)</f>
        <v/>
      </c>
      <c r="AF1134" t="str">
        <f>IF([3]Entry!$D$1137="","",[3]Entry!$D$1137)</f>
        <v/>
      </c>
      <c r="AG1134" t="str">
        <f>IF([3]Entry!$E$1137="","",[3]Entry!$E$1137)</f>
        <v/>
      </c>
      <c r="AH1134" t="str">
        <f>IF([3]Entry!$G$1137="","",[3]Entry!$G$1137)</f>
        <v/>
      </c>
      <c r="AI1134" t="str">
        <f>IF([3]Entry!$K$1137="","",[3]Entry!$K$1137)</f>
        <v/>
      </c>
      <c r="AJ1134" t="str">
        <f>IF([3]Entry!$L$1137="","",[3]Entry!$L$1137)</f>
        <v/>
      </c>
      <c r="AK1134" t="str">
        <f>IF([3]Entry!$M$1137="","",[3]Entry!$M$1137)</f>
        <v/>
      </c>
      <c r="AL1134" t="str">
        <f>IF([3]Entry!$N$1137="","",[3]Entry!$N$1137)</f>
        <v/>
      </c>
      <c r="AM1134" t="str">
        <f>IF([3]Entry!$R$1137="","",[3]Entry!$R$1137)</f>
        <v/>
      </c>
    </row>
    <row r="1135" spans="20:39" x14ac:dyDescent="0.2">
      <c r="T1135" t="str">
        <f>IF([2]Baskol!$B$1138="","",[2]Baskol!$B$1138)</f>
        <v/>
      </c>
      <c r="U1135" t="str">
        <f>IF([2]Baskol!$C$1138="","",[2]Baskol!$C$1138)</f>
        <v/>
      </c>
      <c r="V1135" t="str">
        <f>IF([2]Baskol!$D$1138="","",[2]Baskol!$D$1138)</f>
        <v/>
      </c>
      <c r="W1135" t="str">
        <f>IF([2]Baskol!$E$1138="","",[2]Baskol!$E$1138)</f>
        <v/>
      </c>
      <c r="X1135" t="str">
        <f>IF([2]Baskol!$G$1138="","",[2]Baskol!$G$1138)</f>
        <v/>
      </c>
      <c r="Y1135" t="str">
        <f>IF([2]Baskol!$I$1138="","",[2]Baskol!$I$1138)</f>
        <v/>
      </c>
      <c r="Z1135" t="str">
        <f>IF([2]Baskol!$J$1138="","",[2]Baskol!$J$1138)</f>
        <v/>
      </c>
      <c r="AA1135" t="str">
        <f>IF([2]Baskol!$K$1138="","",[2]Baskol!$K$1138)</f>
        <v/>
      </c>
      <c r="AB1135" t="str">
        <f>IF([2]Baskol!$L$1138="","",[2]Baskol!$L$1138)</f>
        <v/>
      </c>
      <c r="AC1135" t="str">
        <f>IF([2]Baskol!$N$1138="","",[2]Baskol!$N$1138)</f>
        <v/>
      </c>
      <c r="AD1135" t="str">
        <f>IF([2]Baskol!$O$1138="","",[2]Baskol!$O$1138)</f>
        <v/>
      </c>
      <c r="AE1135" t="str">
        <f>IF([3]Entry!$C$1138="","",[3]Entry!$C$1138)</f>
        <v/>
      </c>
      <c r="AF1135" t="str">
        <f>IF([3]Entry!$D$1138="","",[3]Entry!$D$1138)</f>
        <v/>
      </c>
      <c r="AG1135" t="str">
        <f>IF([3]Entry!$E$1138="","",[3]Entry!$E$1138)</f>
        <v/>
      </c>
      <c r="AH1135" t="str">
        <f>IF([3]Entry!$G$1138="","",[3]Entry!$G$1138)</f>
        <v/>
      </c>
      <c r="AI1135" t="str">
        <f>IF([3]Entry!$K$1138="","",[3]Entry!$K$1138)</f>
        <v/>
      </c>
      <c r="AJ1135" t="str">
        <f>IF([3]Entry!$L$1138="","",[3]Entry!$L$1138)</f>
        <v/>
      </c>
      <c r="AK1135" t="str">
        <f>IF([3]Entry!$M$1138="","",[3]Entry!$M$1138)</f>
        <v/>
      </c>
      <c r="AL1135" t="str">
        <f>IF([3]Entry!$N$1138="","",[3]Entry!$N$1138)</f>
        <v/>
      </c>
      <c r="AM1135" t="str">
        <f>IF([3]Entry!$R$1138="","",[3]Entry!$R$1138)</f>
        <v/>
      </c>
    </row>
    <row r="1136" spans="20:39" x14ac:dyDescent="0.2">
      <c r="T1136" t="str">
        <f>IF([2]Baskol!$B$1139="","",[2]Baskol!$B$1139)</f>
        <v/>
      </c>
      <c r="U1136" t="str">
        <f>IF([2]Baskol!$C$1139="","",[2]Baskol!$C$1139)</f>
        <v/>
      </c>
      <c r="V1136" t="str">
        <f>IF([2]Baskol!$D$1139="","",[2]Baskol!$D$1139)</f>
        <v/>
      </c>
      <c r="W1136" t="str">
        <f>IF([2]Baskol!$E$1139="","",[2]Baskol!$E$1139)</f>
        <v/>
      </c>
      <c r="X1136" t="str">
        <f>IF([2]Baskol!$G$1139="","",[2]Baskol!$G$1139)</f>
        <v/>
      </c>
      <c r="Y1136" t="str">
        <f>IF([2]Baskol!$I$1139="","",[2]Baskol!$I$1139)</f>
        <v/>
      </c>
      <c r="Z1136" t="str">
        <f>IF([2]Baskol!$J$1139="","",[2]Baskol!$J$1139)</f>
        <v/>
      </c>
      <c r="AA1136" t="str">
        <f>IF([2]Baskol!$K$1139="","",[2]Baskol!$K$1139)</f>
        <v/>
      </c>
      <c r="AB1136" t="str">
        <f>IF([2]Baskol!$L$1139="","",[2]Baskol!$L$1139)</f>
        <v/>
      </c>
      <c r="AC1136" t="str">
        <f>IF([2]Baskol!$N$1139="","",[2]Baskol!$N$1139)</f>
        <v/>
      </c>
      <c r="AD1136" t="str">
        <f>IF([2]Baskol!$O$1139="","",[2]Baskol!$O$1139)</f>
        <v/>
      </c>
      <c r="AE1136" t="str">
        <f>IF([3]Entry!$C$1139="","",[3]Entry!$C$1139)</f>
        <v/>
      </c>
      <c r="AF1136" t="str">
        <f>IF([3]Entry!$D$1139="","",[3]Entry!$D$1139)</f>
        <v/>
      </c>
      <c r="AG1136" t="str">
        <f>IF([3]Entry!$E$1139="","",[3]Entry!$E$1139)</f>
        <v/>
      </c>
      <c r="AH1136" t="str">
        <f>IF([3]Entry!$G$1139="","",[3]Entry!$G$1139)</f>
        <v/>
      </c>
      <c r="AI1136" t="str">
        <f>IF([3]Entry!$K$1139="","",[3]Entry!$K$1139)</f>
        <v/>
      </c>
      <c r="AJ1136" t="str">
        <f>IF([3]Entry!$L$1139="","",[3]Entry!$L$1139)</f>
        <v/>
      </c>
      <c r="AK1136" t="str">
        <f>IF([3]Entry!$M$1139="","",[3]Entry!$M$1139)</f>
        <v/>
      </c>
      <c r="AL1136" t="str">
        <f>IF([3]Entry!$N$1139="","",[3]Entry!$N$1139)</f>
        <v/>
      </c>
      <c r="AM1136" t="str">
        <f>IF([3]Entry!$R$1139="","",[3]Entry!$R$1139)</f>
        <v/>
      </c>
    </row>
    <row r="1137" spans="20:39" x14ac:dyDescent="0.2">
      <c r="T1137" t="str">
        <f>IF([2]Baskol!$B$1140="","",[2]Baskol!$B$1140)</f>
        <v/>
      </c>
      <c r="U1137" t="str">
        <f>IF([2]Baskol!$C$1140="","",[2]Baskol!$C$1140)</f>
        <v/>
      </c>
      <c r="V1137" t="str">
        <f>IF([2]Baskol!$D$1140="","",[2]Baskol!$D$1140)</f>
        <v/>
      </c>
      <c r="W1137" t="str">
        <f>IF([2]Baskol!$E$1140="","",[2]Baskol!$E$1140)</f>
        <v/>
      </c>
      <c r="X1137" t="str">
        <f>IF([2]Baskol!$G$1140="","",[2]Baskol!$G$1140)</f>
        <v/>
      </c>
      <c r="Y1137" t="str">
        <f>IF([2]Baskol!$I$1140="","",[2]Baskol!$I$1140)</f>
        <v/>
      </c>
      <c r="Z1137" t="str">
        <f>IF([2]Baskol!$J$1140="","",[2]Baskol!$J$1140)</f>
        <v/>
      </c>
      <c r="AA1137" t="str">
        <f>IF([2]Baskol!$K$1140="","",[2]Baskol!$K$1140)</f>
        <v/>
      </c>
      <c r="AB1137" t="str">
        <f>IF([2]Baskol!$L$1140="","",[2]Baskol!$L$1140)</f>
        <v/>
      </c>
      <c r="AC1137" t="str">
        <f>IF([2]Baskol!$N$1140="","",[2]Baskol!$N$1140)</f>
        <v/>
      </c>
      <c r="AD1137" t="str">
        <f>IF([2]Baskol!$O$1140="","",[2]Baskol!$O$1140)</f>
        <v/>
      </c>
      <c r="AE1137" t="str">
        <f>IF([3]Entry!$C$1140="","",[3]Entry!$C$1140)</f>
        <v/>
      </c>
      <c r="AF1137" t="str">
        <f>IF([3]Entry!$D$1140="","",[3]Entry!$D$1140)</f>
        <v/>
      </c>
      <c r="AG1137" t="str">
        <f>IF([3]Entry!$E$1140="","",[3]Entry!$E$1140)</f>
        <v/>
      </c>
      <c r="AH1137" t="str">
        <f>IF([3]Entry!$G$1140="","",[3]Entry!$G$1140)</f>
        <v/>
      </c>
      <c r="AI1137" t="str">
        <f>IF([3]Entry!$K$1140="","",[3]Entry!$K$1140)</f>
        <v/>
      </c>
      <c r="AJ1137" t="str">
        <f>IF([3]Entry!$L$1140="","",[3]Entry!$L$1140)</f>
        <v/>
      </c>
      <c r="AK1137" t="str">
        <f>IF([3]Entry!$M$1140="","",[3]Entry!$M$1140)</f>
        <v/>
      </c>
      <c r="AL1137" t="str">
        <f>IF([3]Entry!$N$1140="","",[3]Entry!$N$1140)</f>
        <v/>
      </c>
      <c r="AM1137" t="str">
        <f>IF([3]Entry!$R$1140="","",[3]Entry!$R$1140)</f>
        <v/>
      </c>
    </row>
    <row r="1138" spans="20:39" x14ac:dyDescent="0.2">
      <c r="T1138" t="str">
        <f>IF([2]Baskol!$B$1141="","",[2]Baskol!$B$1141)</f>
        <v/>
      </c>
      <c r="U1138" t="str">
        <f>IF([2]Baskol!$C$1141="","",[2]Baskol!$C$1141)</f>
        <v/>
      </c>
      <c r="V1138" t="str">
        <f>IF([2]Baskol!$D$1141="","",[2]Baskol!$D$1141)</f>
        <v/>
      </c>
      <c r="W1138" t="str">
        <f>IF([2]Baskol!$E$1141="","",[2]Baskol!$E$1141)</f>
        <v/>
      </c>
      <c r="X1138" t="str">
        <f>IF([2]Baskol!$G$1141="","",[2]Baskol!$G$1141)</f>
        <v/>
      </c>
      <c r="Y1138" t="str">
        <f>IF([2]Baskol!$I$1141="","",[2]Baskol!$I$1141)</f>
        <v/>
      </c>
      <c r="Z1138" t="str">
        <f>IF([2]Baskol!$J$1141="","",[2]Baskol!$J$1141)</f>
        <v/>
      </c>
      <c r="AA1138" t="str">
        <f>IF([2]Baskol!$K$1141="","",[2]Baskol!$K$1141)</f>
        <v/>
      </c>
      <c r="AB1138" t="str">
        <f>IF([2]Baskol!$L$1141="","",[2]Baskol!$L$1141)</f>
        <v/>
      </c>
      <c r="AC1138" t="str">
        <f>IF([2]Baskol!$N$1141="","",[2]Baskol!$N$1141)</f>
        <v/>
      </c>
      <c r="AD1138" t="str">
        <f>IF([2]Baskol!$O$1141="","",[2]Baskol!$O$1141)</f>
        <v/>
      </c>
      <c r="AE1138" t="str">
        <f>IF([3]Entry!$C$1141="","",[3]Entry!$C$1141)</f>
        <v/>
      </c>
      <c r="AF1138" t="str">
        <f>IF([3]Entry!$D$1141="","",[3]Entry!$D$1141)</f>
        <v/>
      </c>
      <c r="AG1138" t="str">
        <f>IF([3]Entry!$E$1141="","",[3]Entry!$E$1141)</f>
        <v/>
      </c>
      <c r="AH1138" t="str">
        <f>IF([3]Entry!$G$1141="","",[3]Entry!$G$1141)</f>
        <v/>
      </c>
      <c r="AI1138" t="str">
        <f>IF([3]Entry!$K$1141="","",[3]Entry!$K$1141)</f>
        <v/>
      </c>
      <c r="AJ1138" t="str">
        <f>IF([3]Entry!$L$1141="","",[3]Entry!$L$1141)</f>
        <v/>
      </c>
      <c r="AK1138" t="str">
        <f>IF([3]Entry!$M$1141="","",[3]Entry!$M$1141)</f>
        <v/>
      </c>
      <c r="AL1138" t="str">
        <f>IF([3]Entry!$N$1141="","",[3]Entry!$N$1141)</f>
        <v/>
      </c>
      <c r="AM1138" t="str">
        <f>IF([3]Entry!$R$1141="","",[3]Entry!$R$1141)</f>
        <v/>
      </c>
    </row>
    <row r="1139" spans="20:39" x14ac:dyDescent="0.2">
      <c r="T1139" t="str">
        <f>IF([2]Baskol!$B$1142="","",[2]Baskol!$B$1142)</f>
        <v/>
      </c>
      <c r="U1139" t="str">
        <f>IF([2]Baskol!$C$1142="","",[2]Baskol!$C$1142)</f>
        <v/>
      </c>
      <c r="V1139" t="str">
        <f>IF([2]Baskol!$D$1142="","",[2]Baskol!$D$1142)</f>
        <v/>
      </c>
      <c r="W1139" t="str">
        <f>IF([2]Baskol!$E$1142="","",[2]Baskol!$E$1142)</f>
        <v/>
      </c>
      <c r="X1139" t="str">
        <f>IF([2]Baskol!$G$1142="","",[2]Baskol!$G$1142)</f>
        <v/>
      </c>
      <c r="Y1139" t="str">
        <f>IF([2]Baskol!$I$1142="","",[2]Baskol!$I$1142)</f>
        <v/>
      </c>
      <c r="Z1139" t="str">
        <f>IF([2]Baskol!$J$1142="","",[2]Baskol!$J$1142)</f>
        <v/>
      </c>
      <c r="AA1139" t="str">
        <f>IF([2]Baskol!$K$1142="","",[2]Baskol!$K$1142)</f>
        <v/>
      </c>
      <c r="AB1139" t="str">
        <f>IF([2]Baskol!$L$1142="","",[2]Baskol!$L$1142)</f>
        <v/>
      </c>
      <c r="AC1139" t="str">
        <f>IF([2]Baskol!$N$1142="","",[2]Baskol!$N$1142)</f>
        <v/>
      </c>
      <c r="AD1139" t="str">
        <f>IF([2]Baskol!$O$1142="","",[2]Baskol!$O$1142)</f>
        <v/>
      </c>
      <c r="AE1139" t="str">
        <f>IF([3]Entry!$C$1142="","",[3]Entry!$C$1142)</f>
        <v/>
      </c>
      <c r="AF1139" t="str">
        <f>IF([3]Entry!$D$1142="","",[3]Entry!$D$1142)</f>
        <v/>
      </c>
      <c r="AG1139" t="str">
        <f>IF([3]Entry!$E$1142="","",[3]Entry!$E$1142)</f>
        <v/>
      </c>
      <c r="AH1139" t="str">
        <f>IF([3]Entry!$G$1142="","",[3]Entry!$G$1142)</f>
        <v/>
      </c>
      <c r="AI1139" t="str">
        <f>IF([3]Entry!$K$1142="","",[3]Entry!$K$1142)</f>
        <v/>
      </c>
      <c r="AJ1139" t="str">
        <f>IF([3]Entry!$L$1142="","",[3]Entry!$L$1142)</f>
        <v/>
      </c>
      <c r="AK1139" t="str">
        <f>IF([3]Entry!$M$1142="","",[3]Entry!$M$1142)</f>
        <v/>
      </c>
      <c r="AL1139" t="str">
        <f>IF([3]Entry!$N$1142="","",[3]Entry!$N$1142)</f>
        <v/>
      </c>
      <c r="AM1139" t="str">
        <f>IF([3]Entry!$R$1142="","",[3]Entry!$R$1142)</f>
        <v/>
      </c>
    </row>
    <row r="1140" spans="20:39" x14ac:dyDescent="0.2">
      <c r="T1140" t="str">
        <f>IF([2]Baskol!$B$1143="","",[2]Baskol!$B$1143)</f>
        <v/>
      </c>
      <c r="U1140" t="str">
        <f>IF([2]Baskol!$C$1143="","",[2]Baskol!$C$1143)</f>
        <v/>
      </c>
      <c r="V1140" t="str">
        <f>IF([2]Baskol!$D$1143="","",[2]Baskol!$D$1143)</f>
        <v/>
      </c>
      <c r="W1140" t="str">
        <f>IF([2]Baskol!$E$1143="","",[2]Baskol!$E$1143)</f>
        <v/>
      </c>
      <c r="X1140" t="str">
        <f>IF([2]Baskol!$G$1143="","",[2]Baskol!$G$1143)</f>
        <v/>
      </c>
      <c r="Y1140" t="str">
        <f>IF([2]Baskol!$I$1143="","",[2]Baskol!$I$1143)</f>
        <v/>
      </c>
      <c r="Z1140" t="str">
        <f>IF([2]Baskol!$J$1143="","",[2]Baskol!$J$1143)</f>
        <v/>
      </c>
      <c r="AA1140" t="str">
        <f>IF([2]Baskol!$K$1143="","",[2]Baskol!$K$1143)</f>
        <v/>
      </c>
      <c r="AB1140" t="str">
        <f>IF([2]Baskol!$L$1143="","",[2]Baskol!$L$1143)</f>
        <v/>
      </c>
      <c r="AC1140" t="str">
        <f>IF([2]Baskol!$N$1143="","",[2]Baskol!$N$1143)</f>
        <v/>
      </c>
      <c r="AD1140" t="str">
        <f>IF([2]Baskol!$O$1143="","",[2]Baskol!$O$1143)</f>
        <v/>
      </c>
      <c r="AE1140" t="str">
        <f>IF([3]Entry!$C$1143="","",[3]Entry!$C$1143)</f>
        <v/>
      </c>
      <c r="AF1140" t="str">
        <f>IF([3]Entry!$D$1143="","",[3]Entry!$D$1143)</f>
        <v/>
      </c>
      <c r="AG1140" t="str">
        <f>IF([3]Entry!$E$1143="","",[3]Entry!$E$1143)</f>
        <v/>
      </c>
      <c r="AH1140" t="str">
        <f>IF([3]Entry!$G$1143="","",[3]Entry!$G$1143)</f>
        <v/>
      </c>
      <c r="AI1140" t="str">
        <f>IF([3]Entry!$K$1143="","",[3]Entry!$K$1143)</f>
        <v/>
      </c>
      <c r="AJ1140" t="str">
        <f>IF([3]Entry!$L$1143="","",[3]Entry!$L$1143)</f>
        <v/>
      </c>
      <c r="AK1140" t="str">
        <f>IF([3]Entry!$M$1143="","",[3]Entry!$M$1143)</f>
        <v/>
      </c>
      <c r="AL1140" t="str">
        <f>IF([3]Entry!$N$1143="","",[3]Entry!$N$1143)</f>
        <v/>
      </c>
      <c r="AM1140" t="str">
        <f>IF([3]Entry!$R$1143="","",[3]Entry!$R$1143)</f>
        <v/>
      </c>
    </row>
    <row r="1141" spans="20:39" x14ac:dyDescent="0.2">
      <c r="T1141" t="str">
        <f>IF([2]Baskol!$B$1144="","",[2]Baskol!$B$1144)</f>
        <v/>
      </c>
      <c r="U1141" t="str">
        <f>IF([2]Baskol!$C$1144="","",[2]Baskol!$C$1144)</f>
        <v/>
      </c>
      <c r="V1141" t="str">
        <f>IF([2]Baskol!$D$1144="","",[2]Baskol!$D$1144)</f>
        <v/>
      </c>
      <c r="W1141" t="str">
        <f>IF([2]Baskol!$E$1144="","",[2]Baskol!$E$1144)</f>
        <v/>
      </c>
      <c r="X1141" t="str">
        <f>IF([2]Baskol!$G$1144="","",[2]Baskol!$G$1144)</f>
        <v/>
      </c>
      <c r="Y1141" t="str">
        <f>IF([2]Baskol!$I$1144="","",[2]Baskol!$I$1144)</f>
        <v/>
      </c>
      <c r="Z1141" t="str">
        <f>IF([2]Baskol!$J$1144="","",[2]Baskol!$J$1144)</f>
        <v/>
      </c>
      <c r="AA1141" t="str">
        <f>IF([2]Baskol!$K$1144="","",[2]Baskol!$K$1144)</f>
        <v/>
      </c>
      <c r="AB1141" t="str">
        <f>IF([2]Baskol!$L$1144="","",[2]Baskol!$L$1144)</f>
        <v/>
      </c>
      <c r="AC1141" t="str">
        <f>IF([2]Baskol!$N$1144="","",[2]Baskol!$N$1144)</f>
        <v/>
      </c>
      <c r="AD1141" t="str">
        <f>IF([2]Baskol!$O$1144="","",[2]Baskol!$O$1144)</f>
        <v/>
      </c>
      <c r="AE1141" t="str">
        <f>IF([3]Entry!$C$1144="","",[3]Entry!$C$1144)</f>
        <v/>
      </c>
      <c r="AF1141" t="str">
        <f>IF([3]Entry!$D$1144="","",[3]Entry!$D$1144)</f>
        <v/>
      </c>
      <c r="AG1141" t="str">
        <f>IF([3]Entry!$E$1144="","",[3]Entry!$E$1144)</f>
        <v/>
      </c>
      <c r="AH1141" t="str">
        <f>IF([3]Entry!$G$1144="","",[3]Entry!$G$1144)</f>
        <v/>
      </c>
      <c r="AI1141" t="str">
        <f>IF([3]Entry!$K$1144="","",[3]Entry!$K$1144)</f>
        <v/>
      </c>
      <c r="AJ1141" t="str">
        <f>IF([3]Entry!$L$1144="","",[3]Entry!$L$1144)</f>
        <v/>
      </c>
      <c r="AK1141" t="str">
        <f>IF([3]Entry!$M$1144="","",[3]Entry!$M$1144)</f>
        <v/>
      </c>
      <c r="AL1141" t="str">
        <f>IF([3]Entry!$N$1144="","",[3]Entry!$N$1144)</f>
        <v/>
      </c>
      <c r="AM1141" t="str">
        <f>IF([3]Entry!$R$1144="","",[3]Entry!$R$1144)</f>
        <v/>
      </c>
    </row>
    <row r="1142" spans="20:39" x14ac:dyDescent="0.2">
      <c r="T1142" t="str">
        <f>IF([2]Baskol!$B$1145="","",[2]Baskol!$B$1145)</f>
        <v/>
      </c>
      <c r="U1142" t="str">
        <f>IF([2]Baskol!$C$1145="","",[2]Baskol!$C$1145)</f>
        <v/>
      </c>
      <c r="V1142" t="str">
        <f>IF([2]Baskol!$D$1145="","",[2]Baskol!$D$1145)</f>
        <v/>
      </c>
      <c r="W1142" t="str">
        <f>IF([2]Baskol!$E$1145="","",[2]Baskol!$E$1145)</f>
        <v/>
      </c>
      <c r="X1142" t="str">
        <f>IF([2]Baskol!$G$1145="","",[2]Baskol!$G$1145)</f>
        <v/>
      </c>
      <c r="Y1142" t="str">
        <f>IF([2]Baskol!$I$1145="","",[2]Baskol!$I$1145)</f>
        <v/>
      </c>
      <c r="Z1142" t="str">
        <f>IF([2]Baskol!$J$1145="","",[2]Baskol!$J$1145)</f>
        <v/>
      </c>
      <c r="AA1142" t="str">
        <f>IF([2]Baskol!$K$1145="","",[2]Baskol!$K$1145)</f>
        <v/>
      </c>
      <c r="AB1142" t="str">
        <f>IF([2]Baskol!$L$1145="","",[2]Baskol!$L$1145)</f>
        <v/>
      </c>
      <c r="AC1142" t="str">
        <f>IF([2]Baskol!$N$1145="","",[2]Baskol!$N$1145)</f>
        <v/>
      </c>
      <c r="AD1142" t="str">
        <f>IF([2]Baskol!$O$1145="","",[2]Baskol!$O$1145)</f>
        <v/>
      </c>
      <c r="AE1142" t="str">
        <f>IF([3]Entry!$C$1145="","",[3]Entry!$C$1145)</f>
        <v/>
      </c>
      <c r="AF1142" t="str">
        <f>IF([3]Entry!$D$1145="","",[3]Entry!$D$1145)</f>
        <v/>
      </c>
      <c r="AG1142" t="str">
        <f>IF([3]Entry!$E$1145="","",[3]Entry!$E$1145)</f>
        <v/>
      </c>
      <c r="AH1142" t="str">
        <f>IF([3]Entry!$G$1145="","",[3]Entry!$G$1145)</f>
        <v/>
      </c>
      <c r="AI1142" t="str">
        <f>IF([3]Entry!$K$1145="","",[3]Entry!$K$1145)</f>
        <v/>
      </c>
      <c r="AJ1142" t="str">
        <f>IF([3]Entry!$L$1145="","",[3]Entry!$L$1145)</f>
        <v/>
      </c>
      <c r="AK1142" t="str">
        <f>IF([3]Entry!$M$1145="","",[3]Entry!$M$1145)</f>
        <v/>
      </c>
      <c r="AL1142" t="str">
        <f>IF([3]Entry!$N$1145="","",[3]Entry!$N$1145)</f>
        <v/>
      </c>
      <c r="AM1142" t="str">
        <f>IF([3]Entry!$R$1145="","",[3]Entry!$R$1145)</f>
        <v/>
      </c>
    </row>
    <row r="1143" spans="20:39" x14ac:dyDescent="0.2">
      <c r="T1143" t="str">
        <f>IF([2]Baskol!$B$1146="","",[2]Baskol!$B$1146)</f>
        <v/>
      </c>
      <c r="U1143" t="str">
        <f>IF([2]Baskol!$C$1146="","",[2]Baskol!$C$1146)</f>
        <v/>
      </c>
      <c r="V1143" t="str">
        <f>IF([2]Baskol!$D$1146="","",[2]Baskol!$D$1146)</f>
        <v/>
      </c>
      <c r="W1143" t="str">
        <f>IF([2]Baskol!$E$1146="","",[2]Baskol!$E$1146)</f>
        <v/>
      </c>
      <c r="X1143" t="str">
        <f>IF([2]Baskol!$G$1146="","",[2]Baskol!$G$1146)</f>
        <v/>
      </c>
      <c r="Y1143" t="str">
        <f>IF([2]Baskol!$I$1146="","",[2]Baskol!$I$1146)</f>
        <v/>
      </c>
      <c r="Z1143" t="str">
        <f>IF([2]Baskol!$J$1146="","",[2]Baskol!$J$1146)</f>
        <v/>
      </c>
      <c r="AA1143" t="str">
        <f>IF([2]Baskol!$K$1146="","",[2]Baskol!$K$1146)</f>
        <v/>
      </c>
      <c r="AB1143" t="str">
        <f>IF([2]Baskol!$L$1146="","",[2]Baskol!$L$1146)</f>
        <v/>
      </c>
      <c r="AC1143" t="str">
        <f>IF([2]Baskol!$N$1146="","",[2]Baskol!$N$1146)</f>
        <v/>
      </c>
      <c r="AD1143" t="str">
        <f>IF([2]Baskol!$O$1146="","",[2]Baskol!$O$1146)</f>
        <v/>
      </c>
      <c r="AE1143" t="str">
        <f>IF([3]Entry!$C$1146="","",[3]Entry!$C$1146)</f>
        <v/>
      </c>
      <c r="AF1143" t="str">
        <f>IF([3]Entry!$D$1146="","",[3]Entry!$D$1146)</f>
        <v/>
      </c>
      <c r="AG1143" t="str">
        <f>IF([3]Entry!$E$1146="","",[3]Entry!$E$1146)</f>
        <v/>
      </c>
      <c r="AH1143" t="str">
        <f>IF([3]Entry!$G$1146="","",[3]Entry!$G$1146)</f>
        <v/>
      </c>
      <c r="AI1143" t="str">
        <f>IF([3]Entry!$K$1146="","",[3]Entry!$K$1146)</f>
        <v/>
      </c>
      <c r="AJ1143" t="str">
        <f>IF([3]Entry!$L$1146="","",[3]Entry!$L$1146)</f>
        <v/>
      </c>
      <c r="AK1143" t="str">
        <f>IF([3]Entry!$M$1146="","",[3]Entry!$M$1146)</f>
        <v/>
      </c>
      <c r="AL1143" t="str">
        <f>IF([3]Entry!$N$1146="","",[3]Entry!$N$1146)</f>
        <v/>
      </c>
      <c r="AM1143" t="str">
        <f>IF([3]Entry!$R$1146="","",[3]Entry!$R$1146)</f>
        <v/>
      </c>
    </row>
    <row r="1144" spans="20:39" x14ac:dyDescent="0.2">
      <c r="T1144" t="str">
        <f>IF([2]Baskol!$B$1147="","",[2]Baskol!$B$1147)</f>
        <v/>
      </c>
      <c r="U1144" t="str">
        <f>IF([2]Baskol!$C$1147="","",[2]Baskol!$C$1147)</f>
        <v/>
      </c>
      <c r="V1144" t="str">
        <f>IF([2]Baskol!$D$1147="","",[2]Baskol!$D$1147)</f>
        <v/>
      </c>
      <c r="W1144" t="str">
        <f>IF([2]Baskol!$E$1147="","",[2]Baskol!$E$1147)</f>
        <v/>
      </c>
      <c r="X1144" t="str">
        <f>IF([2]Baskol!$G$1147="","",[2]Baskol!$G$1147)</f>
        <v/>
      </c>
      <c r="Y1144" t="str">
        <f>IF([2]Baskol!$I$1147="","",[2]Baskol!$I$1147)</f>
        <v/>
      </c>
      <c r="Z1144" t="str">
        <f>IF([2]Baskol!$J$1147="","",[2]Baskol!$J$1147)</f>
        <v/>
      </c>
      <c r="AA1144" t="str">
        <f>IF([2]Baskol!$K$1147="","",[2]Baskol!$K$1147)</f>
        <v/>
      </c>
      <c r="AB1144" t="str">
        <f>IF([2]Baskol!$L$1147="","",[2]Baskol!$L$1147)</f>
        <v/>
      </c>
      <c r="AC1144" t="str">
        <f>IF([2]Baskol!$N$1147="","",[2]Baskol!$N$1147)</f>
        <v/>
      </c>
      <c r="AD1144" t="str">
        <f>IF([2]Baskol!$O$1147="","",[2]Baskol!$O$1147)</f>
        <v/>
      </c>
      <c r="AE1144" t="str">
        <f>IF([3]Entry!$C$1147="","",[3]Entry!$C$1147)</f>
        <v/>
      </c>
      <c r="AF1144" t="str">
        <f>IF([3]Entry!$D$1147="","",[3]Entry!$D$1147)</f>
        <v/>
      </c>
      <c r="AG1144" t="str">
        <f>IF([3]Entry!$E$1147="","",[3]Entry!$E$1147)</f>
        <v/>
      </c>
      <c r="AH1144" t="str">
        <f>IF([3]Entry!$G$1147="","",[3]Entry!$G$1147)</f>
        <v/>
      </c>
      <c r="AI1144" t="str">
        <f>IF([3]Entry!$K$1147="","",[3]Entry!$K$1147)</f>
        <v/>
      </c>
      <c r="AJ1144" t="str">
        <f>IF([3]Entry!$L$1147="","",[3]Entry!$L$1147)</f>
        <v/>
      </c>
      <c r="AK1144" t="str">
        <f>IF([3]Entry!$M$1147="","",[3]Entry!$M$1147)</f>
        <v/>
      </c>
      <c r="AL1144" t="str">
        <f>IF([3]Entry!$N$1147="","",[3]Entry!$N$1147)</f>
        <v/>
      </c>
      <c r="AM1144" t="str">
        <f>IF([3]Entry!$R$1147="","",[3]Entry!$R$1147)</f>
        <v/>
      </c>
    </row>
    <row r="1145" spans="20:39" x14ac:dyDescent="0.2">
      <c r="T1145" t="str">
        <f>IF([2]Baskol!$B$1148="","",[2]Baskol!$B$1148)</f>
        <v/>
      </c>
      <c r="U1145" t="str">
        <f>IF([2]Baskol!$C$1148="","",[2]Baskol!$C$1148)</f>
        <v/>
      </c>
      <c r="V1145" t="str">
        <f>IF([2]Baskol!$D$1148="","",[2]Baskol!$D$1148)</f>
        <v/>
      </c>
      <c r="W1145" t="str">
        <f>IF([2]Baskol!$E$1148="","",[2]Baskol!$E$1148)</f>
        <v/>
      </c>
      <c r="X1145" t="str">
        <f>IF([2]Baskol!$G$1148="","",[2]Baskol!$G$1148)</f>
        <v/>
      </c>
      <c r="Y1145" t="str">
        <f>IF([2]Baskol!$I$1148="","",[2]Baskol!$I$1148)</f>
        <v/>
      </c>
      <c r="Z1145" t="str">
        <f>IF([2]Baskol!$J$1148="","",[2]Baskol!$J$1148)</f>
        <v/>
      </c>
      <c r="AA1145" t="str">
        <f>IF([2]Baskol!$K$1148="","",[2]Baskol!$K$1148)</f>
        <v/>
      </c>
      <c r="AB1145" t="str">
        <f>IF([2]Baskol!$L$1148="","",[2]Baskol!$L$1148)</f>
        <v/>
      </c>
      <c r="AC1145" t="str">
        <f>IF([2]Baskol!$N$1148="","",[2]Baskol!$N$1148)</f>
        <v/>
      </c>
      <c r="AD1145" t="str">
        <f>IF([2]Baskol!$O$1148="","",[2]Baskol!$O$1148)</f>
        <v/>
      </c>
      <c r="AE1145" t="str">
        <f>IF([3]Entry!$C$1148="","",[3]Entry!$C$1148)</f>
        <v/>
      </c>
      <c r="AF1145" t="str">
        <f>IF([3]Entry!$D$1148="","",[3]Entry!$D$1148)</f>
        <v/>
      </c>
      <c r="AG1145" t="str">
        <f>IF([3]Entry!$E$1148="","",[3]Entry!$E$1148)</f>
        <v/>
      </c>
      <c r="AH1145" t="str">
        <f>IF([3]Entry!$G$1148="","",[3]Entry!$G$1148)</f>
        <v/>
      </c>
      <c r="AI1145" t="str">
        <f>IF([3]Entry!$K$1148="","",[3]Entry!$K$1148)</f>
        <v/>
      </c>
      <c r="AJ1145" t="str">
        <f>IF([3]Entry!$L$1148="","",[3]Entry!$L$1148)</f>
        <v/>
      </c>
      <c r="AK1145" t="str">
        <f>IF([3]Entry!$M$1148="","",[3]Entry!$M$1148)</f>
        <v/>
      </c>
      <c r="AL1145" t="str">
        <f>IF([3]Entry!$N$1148="","",[3]Entry!$N$1148)</f>
        <v/>
      </c>
      <c r="AM1145" t="str">
        <f>IF([3]Entry!$R$1148="","",[3]Entry!$R$1148)</f>
        <v/>
      </c>
    </row>
    <row r="1146" spans="20:39" x14ac:dyDescent="0.2">
      <c r="T1146" t="str">
        <f>IF([2]Baskol!$B$1149="","",[2]Baskol!$B$1149)</f>
        <v/>
      </c>
      <c r="U1146" t="str">
        <f>IF([2]Baskol!$C$1149="","",[2]Baskol!$C$1149)</f>
        <v/>
      </c>
      <c r="V1146" t="str">
        <f>IF([2]Baskol!$D$1149="","",[2]Baskol!$D$1149)</f>
        <v/>
      </c>
      <c r="W1146" t="str">
        <f>IF([2]Baskol!$E$1149="","",[2]Baskol!$E$1149)</f>
        <v/>
      </c>
      <c r="X1146" t="str">
        <f>IF([2]Baskol!$G$1149="","",[2]Baskol!$G$1149)</f>
        <v/>
      </c>
      <c r="Y1146" t="str">
        <f>IF([2]Baskol!$I$1149="","",[2]Baskol!$I$1149)</f>
        <v/>
      </c>
      <c r="Z1146" t="str">
        <f>IF([2]Baskol!$J$1149="","",[2]Baskol!$J$1149)</f>
        <v/>
      </c>
      <c r="AA1146" t="str">
        <f>IF([2]Baskol!$K$1149="","",[2]Baskol!$K$1149)</f>
        <v/>
      </c>
      <c r="AB1146" t="str">
        <f>IF([2]Baskol!$L$1149="","",[2]Baskol!$L$1149)</f>
        <v/>
      </c>
      <c r="AC1146" t="str">
        <f>IF([2]Baskol!$N$1149="","",[2]Baskol!$N$1149)</f>
        <v/>
      </c>
      <c r="AD1146" t="str">
        <f>IF([2]Baskol!$O$1149="","",[2]Baskol!$O$1149)</f>
        <v/>
      </c>
      <c r="AE1146" t="str">
        <f>IF([3]Entry!$C$1149="","",[3]Entry!$C$1149)</f>
        <v/>
      </c>
      <c r="AF1146" t="str">
        <f>IF([3]Entry!$D$1149="","",[3]Entry!$D$1149)</f>
        <v/>
      </c>
      <c r="AG1146" t="str">
        <f>IF([3]Entry!$E$1149="","",[3]Entry!$E$1149)</f>
        <v/>
      </c>
      <c r="AH1146" t="str">
        <f>IF([3]Entry!$G$1149="","",[3]Entry!$G$1149)</f>
        <v/>
      </c>
      <c r="AI1146" t="str">
        <f>IF([3]Entry!$K$1149="","",[3]Entry!$K$1149)</f>
        <v/>
      </c>
      <c r="AJ1146" t="str">
        <f>IF([3]Entry!$L$1149="","",[3]Entry!$L$1149)</f>
        <v/>
      </c>
      <c r="AK1146" t="str">
        <f>IF([3]Entry!$M$1149="","",[3]Entry!$M$1149)</f>
        <v/>
      </c>
      <c r="AL1146" t="str">
        <f>IF([3]Entry!$N$1149="","",[3]Entry!$N$1149)</f>
        <v/>
      </c>
      <c r="AM1146" t="str">
        <f>IF([3]Entry!$R$1149="","",[3]Entry!$R$1149)</f>
        <v/>
      </c>
    </row>
    <row r="1147" spans="20:39" x14ac:dyDescent="0.2">
      <c r="T1147" t="str">
        <f>IF([2]Baskol!$B$1150="","",[2]Baskol!$B$1150)</f>
        <v/>
      </c>
      <c r="U1147" t="str">
        <f>IF([2]Baskol!$C$1150="","",[2]Baskol!$C$1150)</f>
        <v/>
      </c>
      <c r="V1147" t="str">
        <f>IF([2]Baskol!$D$1150="","",[2]Baskol!$D$1150)</f>
        <v/>
      </c>
      <c r="W1147" t="str">
        <f>IF([2]Baskol!$E$1150="","",[2]Baskol!$E$1150)</f>
        <v/>
      </c>
      <c r="X1147" t="str">
        <f>IF([2]Baskol!$G$1150="","",[2]Baskol!$G$1150)</f>
        <v/>
      </c>
      <c r="Y1147" t="str">
        <f>IF([2]Baskol!$I$1150="","",[2]Baskol!$I$1150)</f>
        <v/>
      </c>
      <c r="Z1147" t="str">
        <f>IF([2]Baskol!$J$1150="","",[2]Baskol!$J$1150)</f>
        <v/>
      </c>
      <c r="AA1147" t="str">
        <f>IF([2]Baskol!$K$1150="","",[2]Baskol!$K$1150)</f>
        <v/>
      </c>
      <c r="AB1147" t="str">
        <f>IF([2]Baskol!$L$1150="","",[2]Baskol!$L$1150)</f>
        <v/>
      </c>
      <c r="AC1147" t="str">
        <f>IF([2]Baskol!$N$1150="","",[2]Baskol!$N$1150)</f>
        <v/>
      </c>
      <c r="AD1147" t="str">
        <f>IF([2]Baskol!$O$1150="","",[2]Baskol!$O$1150)</f>
        <v/>
      </c>
      <c r="AE1147" t="str">
        <f>IF([3]Entry!$C$1150="","",[3]Entry!$C$1150)</f>
        <v/>
      </c>
      <c r="AF1147" t="str">
        <f>IF([3]Entry!$D$1150="","",[3]Entry!$D$1150)</f>
        <v/>
      </c>
      <c r="AG1147" t="str">
        <f>IF([3]Entry!$E$1150="","",[3]Entry!$E$1150)</f>
        <v/>
      </c>
      <c r="AH1147" t="str">
        <f>IF([3]Entry!$G$1150="","",[3]Entry!$G$1150)</f>
        <v/>
      </c>
      <c r="AI1147" t="str">
        <f>IF([3]Entry!$K$1150="","",[3]Entry!$K$1150)</f>
        <v/>
      </c>
      <c r="AJ1147" t="str">
        <f>IF([3]Entry!$L$1150="","",[3]Entry!$L$1150)</f>
        <v/>
      </c>
      <c r="AK1147" t="str">
        <f>IF([3]Entry!$M$1150="","",[3]Entry!$M$1150)</f>
        <v/>
      </c>
      <c r="AL1147" t="str">
        <f>IF([3]Entry!$N$1150="","",[3]Entry!$N$1150)</f>
        <v/>
      </c>
      <c r="AM1147" t="str">
        <f>IF([3]Entry!$R$1150="","",[3]Entry!$R$1150)</f>
        <v/>
      </c>
    </row>
    <row r="1148" spans="20:39" x14ac:dyDescent="0.2">
      <c r="T1148" t="str">
        <f>IF([2]Baskol!$B$1151="","",[2]Baskol!$B$1151)</f>
        <v/>
      </c>
      <c r="U1148" t="str">
        <f>IF([2]Baskol!$C$1151="","",[2]Baskol!$C$1151)</f>
        <v/>
      </c>
      <c r="V1148" t="str">
        <f>IF([2]Baskol!$D$1151="","",[2]Baskol!$D$1151)</f>
        <v/>
      </c>
      <c r="W1148" t="str">
        <f>IF([2]Baskol!$E$1151="","",[2]Baskol!$E$1151)</f>
        <v/>
      </c>
      <c r="X1148" t="str">
        <f>IF([2]Baskol!$G$1151="","",[2]Baskol!$G$1151)</f>
        <v/>
      </c>
      <c r="Y1148" t="str">
        <f>IF([2]Baskol!$I$1151="","",[2]Baskol!$I$1151)</f>
        <v/>
      </c>
      <c r="Z1148" t="str">
        <f>IF([2]Baskol!$J$1151="","",[2]Baskol!$J$1151)</f>
        <v/>
      </c>
      <c r="AA1148" t="str">
        <f>IF([2]Baskol!$K$1151="","",[2]Baskol!$K$1151)</f>
        <v/>
      </c>
      <c r="AB1148" t="str">
        <f>IF([2]Baskol!$L$1151="","",[2]Baskol!$L$1151)</f>
        <v/>
      </c>
      <c r="AC1148" t="str">
        <f>IF([2]Baskol!$N$1151="","",[2]Baskol!$N$1151)</f>
        <v/>
      </c>
      <c r="AD1148" t="str">
        <f>IF([2]Baskol!$O$1151="","",[2]Baskol!$O$1151)</f>
        <v/>
      </c>
      <c r="AE1148" t="str">
        <f>IF([3]Entry!$C$1151="","",[3]Entry!$C$1151)</f>
        <v/>
      </c>
      <c r="AF1148" t="str">
        <f>IF([3]Entry!$D$1151="","",[3]Entry!$D$1151)</f>
        <v/>
      </c>
      <c r="AG1148" t="str">
        <f>IF([3]Entry!$E$1151="","",[3]Entry!$E$1151)</f>
        <v/>
      </c>
      <c r="AH1148" t="str">
        <f>IF([3]Entry!$G$1151="","",[3]Entry!$G$1151)</f>
        <v/>
      </c>
      <c r="AI1148" t="str">
        <f>IF([3]Entry!$K$1151="","",[3]Entry!$K$1151)</f>
        <v/>
      </c>
      <c r="AJ1148" t="str">
        <f>IF([3]Entry!$L$1151="","",[3]Entry!$L$1151)</f>
        <v/>
      </c>
      <c r="AK1148" t="str">
        <f>IF([3]Entry!$M$1151="","",[3]Entry!$M$1151)</f>
        <v/>
      </c>
      <c r="AL1148" t="str">
        <f>IF([3]Entry!$N$1151="","",[3]Entry!$N$1151)</f>
        <v/>
      </c>
      <c r="AM1148" t="str">
        <f>IF([3]Entry!$R$1151="","",[3]Entry!$R$1151)</f>
        <v/>
      </c>
    </row>
    <row r="1149" spans="20:39" x14ac:dyDescent="0.2">
      <c r="T1149" t="str">
        <f>IF([2]Baskol!$B$1152="","",[2]Baskol!$B$1152)</f>
        <v/>
      </c>
      <c r="U1149" t="str">
        <f>IF([2]Baskol!$C$1152="","",[2]Baskol!$C$1152)</f>
        <v/>
      </c>
      <c r="V1149" t="str">
        <f>IF([2]Baskol!$D$1152="","",[2]Baskol!$D$1152)</f>
        <v/>
      </c>
      <c r="W1149" t="str">
        <f>IF([2]Baskol!$E$1152="","",[2]Baskol!$E$1152)</f>
        <v/>
      </c>
      <c r="X1149" t="str">
        <f>IF([2]Baskol!$G$1152="","",[2]Baskol!$G$1152)</f>
        <v/>
      </c>
      <c r="Y1149" t="str">
        <f>IF([2]Baskol!$I$1152="","",[2]Baskol!$I$1152)</f>
        <v/>
      </c>
      <c r="Z1149" t="str">
        <f>IF([2]Baskol!$J$1152="","",[2]Baskol!$J$1152)</f>
        <v/>
      </c>
      <c r="AA1149" t="str">
        <f>IF([2]Baskol!$K$1152="","",[2]Baskol!$K$1152)</f>
        <v/>
      </c>
      <c r="AB1149" t="str">
        <f>IF([2]Baskol!$L$1152="","",[2]Baskol!$L$1152)</f>
        <v/>
      </c>
      <c r="AC1149" t="str">
        <f>IF([2]Baskol!$N$1152="","",[2]Baskol!$N$1152)</f>
        <v/>
      </c>
      <c r="AD1149" t="str">
        <f>IF([2]Baskol!$O$1152="","",[2]Baskol!$O$1152)</f>
        <v/>
      </c>
      <c r="AE1149" t="str">
        <f>IF([3]Entry!$C$1152="","",[3]Entry!$C$1152)</f>
        <v/>
      </c>
      <c r="AF1149" t="str">
        <f>IF([3]Entry!$D$1152="","",[3]Entry!$D$1152)</f>
        <v/>
      </c>
      <c r="AG1149" t="str">
        <f>IF([3]Entry!$E$1152="","",[3]Entry!$E$1152)</f>
        <v/>
      </c>
      <c r="AH1149" t="str">
        <f>IF([3]Entry!$G$1152="","",[3]Entry!$G$1152)</f>
        <v/>
      </c>
      <c r="AI1149" t="str">
        <f>IF([3]Entry!$K$1152="","",[3]Entry!$K$1152)</f>
        <v/>
      </c>
      <c r="AJ1149" t="str">
        <f>IF([3]Entry!$L$1152="","",[3]Entry!$L$1152)</f>
        <v/>
      </c>
      <c r="AK1149" t="str">
        <f>IF([3]Entry!$M$1152="","",[3]Entry!$M$1152)</f>
        <v/>
      </c>
      <c r="AL1149" t="str">
        <f>IF([3]Entry!$N$1152="","",[3]Entry!$N$1152)</f>
        <v/>
      </c>
      <c r="AM1149" t="str">
        <f>IF([3]Entry!$R$1152="","",[3]Entry!$R$1152)</f>
        <v/>
      </c>
    </row>
    <row r="1150" spans="20:39" x14ac:dyDescent="0.2">
      <c r="T1150" t="str">
        <f>IF([2]Baskol!$B$1153="","",[2]Baskol!$B$1153)</f>
        <v/>
      </c>
      <c r="U1150" t="str">
        <f>IF([2]Baskol!$C$1153="","",[2]Baskol!$C$1153)</f>
        <v/>
      </c>
      <c r="V1150" t="str">
        <f>IF([2]Baskol!$D$1153="","",[2]Baskol!$D$1153)</f>
        <v/>
      </c>
      <c r="W1150" t="str">
        <f>IF([2]Baskol!$E$1153="","",[2]Baskol!$E$1153)</f>
        <v/>
      </c>
      <c r="X1150" t="str">
        <f>IF([2]Baskol!$G$1153="","",[2]Baskol!$G$1153)</f>
        <v/>
      </c>
      <c r="Y1150" t="str">
        <f>IF([2]Baskol!$I$1153="","",[2]Baskol!$I$1153)</f>
        <v/>
      </c>
      <c r="Z1150" t="str">
        <f>IF([2]Baskol!$J$1153="","",[2]Baskol!$J$1153)</f>
        <v/>
      </c>
      <c r="AA1150" t="str">
        <f>IF([2]Baskol!$K$1153="","",[2]Baskol!$K$1153)</f>
        <v/>
      </c>
      <c r="AB1150" t="str">
        <f>IF([2]Baskol!$L$1153="","",[2]Baskol!$L$1153)</f>
        <v/>
      </c>
      <c r="AC1150" t="str">
        <f>IF([2]Baskol!$N$1153="","",[2]Baskol!$N$1153)</f>
        <v/>
      </c>
      <c r="AD1150" t="str">
        <f>IF([2]Baskol!$O$1153="","",[2]Baskol!$O$1153)</f>
        <v/>
      </c>
      <c r="AE1150" t="str">
        <f>IF([3]Entry!$C$1153="","",[3]Entry!$C$1153)</f>
        <v/>
      </c>
      <c r="AF1150" t="str">
        <f>IF([3]Entry!$D$1153="","",[3]Entry!$D$1153)</f>
        <v/>
      </c>
      <c r="AG1150" t="str">
        <f>IF([3]Entry!$E$1153="","",[3]Entry!$E$1153)</f>
        <v/>
      </c>
      <c r="AH1150" t="str">
        <f>IF([3]Entry!$G$1153="","",[3]Entry!$G$1153)</f>
        <v/>
      </c>
      <c r="AI1150" t="str">
        <f>IF([3]Entry!$K$1153="","",[3]Entry!$K$1153)</f>
        <v/>
      </c>
      <c r="AJ1150" t="str">
        <f>IF([3]Entry!$L$1153="","",[3]Entry!$L$1153)</f>
        <v/>
      </c>
      <c r="AK1150" t="str">
        <f>IF([3]Entry!$M$1153="","",[3]Entry!$M$1153)</f>
        <v/>
      </c>
      <c r="AL1150" t="str">
        <f>IF([3]Entry!$N$1153="","",[3]Entry!$N$1153)</f>
        <v/>
      </c>
      <c r="AM1150" t="str">
        <f>IF([3]Entry!$R$1153="","",[3]Entry!$R$1153)</f>
        <v/>
      </c>
    </row>
    <row r="1151" spans="20:39" x14ac:dyDescent="0.2">
      <c r="T1151" t="str">
        <f>IF([2]Baskol!$B$1154="","",[2]Baskol!$B$1154)</f>
        <v/>
      </c>
      <c r="U1151" t="str">
        <f>IF([2]Baskol!$C$1154="","",[2]Baskol!$C$1154)</f>
        <v/>
      </c>
      <c r="V1151" t="str">
        <f>IF([2]Baskol!$D$1154="","",[2]Baskol!$D$1154)</f>
        <v/>
      </c>
      <c r="W1151" t="str">
        <f>IF([2]Baskol!$E$1154="","",[2]Baskol!$E$1154)</f>
        <v/>
      </c>
      <c r="X1151" t="str">
        <f>IF([2]Baskol!$G$1154="","",[2]Baskol!$G$1154)</f>
        <v/>
      </c>
      <c r="Y1151" t="str">
        <f>IF([2]Baskol!$I$1154="","",[2]Baskol!$I$1154)</f>
        <v/>
      </c>
      <c r="Z1151" t="str">
        <f>IF([2]Baskol!$J$1154="","",[2]Baskol!$J$1154)</f>
        <v/>
      </c>
      <c r="AA1151" t="str">
        <f>IF([2]Baskol!$K$1154="","",[2]Baskol!$K$1154)</f>
        <v/>
      </c>
      <c r="AB1151" t="str">
        <f>IF([2]Baskol!$L$1154="","",[2]Baskol!$L$1154)</f>
        <v/>
      </c>
      <c r="AC1151" t="str">
        <f>IF([2]Baskol!$N$1154="","",[2]Baskol!$N$1154)</f>
        <v/>
      </c>
      <c r="AD1151" t="str">
        <f>IF([2]Baskol!$O$1154="","",[2]Baskol!$O$1154)</f>
        <v/>
      </c>
      <c r="AE1151" t="str">
        <f>IF([3]Entry!$C$1154="","",[3]Entry!$C$1154)</f>
        <v/>
      </c>
      <c r="AF1151" t="str">
        <f>IF([3]Entry!$D$1154="","",[3]Entry!$D$1154)</f>
        <v/>
      </c>
      <c r="AG1151" t="str">
        <f>IF([3]Entry!$E$1154="","",[3]Entry!$E$1154)</f>
        <v/>
      </c>
      <c r="AH1151" t="str">
        <f>IF([3]Entry!$G$1154="","",[3]Entry!$G$1154)</f>
        <v/>
      </c>
      <c r="AI1151" t="str">
        <f>IF([3]Entry!$K$1154="","",[3]Entry!$K$1154)</f>
        <v/>
      </c>
      <c r="AJ1151" t="str">
        <f>IF([3]Entry!$L$1154="","",[3]Entry!$L$1154)</f>
        <v/>
      </c>
      <c r="AK1151" t="str">
        <f>IF([3]Entry!$M$1154="","",[3]Entry!$M$1154)</f>
        <v/>
      </c>
      <c r="AL1151" t="str">
        <f>IF([3]Entry!$N$1154="","",[3]Entry!$N$1154)</f>
        <v/>
      </c>
      <c r="AM1151" t="str">
        <f>IF([3]Entry!$R$1154="","",[3]Entry!$R$1154)</f>
        <v/>
      </c>
    </row>
    <row r="1152" spans="20:39" x14ac:dyDescent="0.2">
      <c r="T1152" t="str">
        <f>IF([2]Baskol!$B$1155="","",[2]Baskol!$B$1155)</f>
        <v/>
      </c>
      <c r="U1152" t="str">
        <f>IF([2]Baskol!$C$1155="","",[2]Baskol!$C$1155)</f>
        <v/>
      </c>
      <c r="V1152" t="str">
        <f>IF([2]Baskol!$D$1155="","",[2]Baskol!$D$1155)</f>
        <v/>
      </c>
      <c r="W1152" t="str">
        <f>IF([2]Baskol!$E$1155="","",[2]Baskol!$E$1155)</f>
        <v/>
      </c>
      <c r="X1152" t="str">
        <f>IF([2]Baskol!$G$1155="","",[2]Baskol!$G$1155)</f>
        <v/>
      </c>
      <c r="Y1152" t="str">
        <f>IF([2]Baskol!$I$1155="","",[2]Baskol!$I$1155)</f>
        <v/>
      </c>
      <c r="Z1152" t="str">
        <f>IF([2]Baskol!$J$1155="","",[2]Baskol!$J$1155)</f>
        <v/>
      </c>
      <c r="AA1152" t="str">
        <f>IF([2]Baskol!$K$1155="","",[2]Baskol!$K$1155)</f>
        <v/>
      </c>
      <c r="AB1152" t="str">
        <f>IF([2]Baskol!$L$1155="","",[2]Baskol!$L$1155)</f>
        <v/>
      </c>
      <c r="AC1152" t="str">
        <f>IF([2]Baskol!$N$1155="","",[2]Baskol!$N$1155)</f>
        <v/>
      </c>
      <c r="AD1152" t="str">
        <f>IF([2]Baskol!$O$1155="","",[2]Baskol!$O$1155)</f>
        <v/>
      </c>
      <c r="AE1152" t="str">
        <f>IF([3]Entry!$C$1155="","",[3]Entry!$C$1155)</f>
        <v/>
      </c>
      <c r="AF1152" t="str">
        <f>IF([3]Entry!$D$1155="","",[3]Entry!$D$1155)</f>
        <v/>
      </c>
      <c r="AG1152" t="str">
        <f>IF([3]Entry!$E$1155="","",[3]Entry!$E$1155)</f>
        <v/>
      </c>
      <c r="AH1152" t="str">
        <f>IF([3]Entry!$G$1155="","",[3]Entry!$G$1155)</f>
        <v/>
      </c>
      <c r="AI1152" t="str">
        <f>IF([3]Entry!$K$1155="","",[3]Entry!$K$1155)</f>
        <v/>
      </c>
      <c r="AJ1152" t="str">
        <f>IF([3]Entry!$L$1155="","",[3]Entry!$L$1155)</f>
        <v/>
      </c>
      <c r="AK1152" t="str">
        <f>IF([3]Entry!$M$1155="","",[3]Entry!$M$1155)</f>
        <v/>
      </c>
      <c r="AL1152" t="str">
        <f>IF([3]Entry!$N$1155="","",[3]Entry!$N$1155)</f>
        <v/>
      </c>
      <c r="AM1152" t="str">
        <f>IF([3]Entry!$R$1155="","",[3]Entry!$R$1155)</f>
        <v/>
      </c>
    </row>
    <row r="1153" spans="20:39" x14ac:dyDescent="0.2">
      <c r="T1153" t="str">
        <f>IF([2]Baskol!$B$1156="","",[2]Baskol!$B$1156)</f>
        <v/>
      </c>
      <c r="U1153" t="str">
        <f>IF([2]Baskol!$C$1156="","",[2]Baskol!$C$1156)</f>
        <v/>
      </c>
      <c r="V1153" t="str">
        <f>IF([2]Baskol!$D$1156="","",[2]Baskol!$D$1156)</f>
        <v/>
      </c>
      <c r="W1153" t="str">
        <f>IF([2]Baskol!$E$1156="","",[2]Baskol!$E$1156)</f>
        <v/>
      </c>
      <c r="X1153" t="str">
        <f>IF([2]Baskol!$G$1156="","",[2]Baskol!$G$1156)</f>
        <v/>
      </c>
      <c r="Y1153" t="str">
        <f>IF([2]Baskol!$I$1156="","",[2]Baskol!$I$1156)</f>
        <v/>
      </c>
      <c r="Z1153" t="str">
        <f>IF([2]Baskol!$J$1156="","",[2]Baskol!$J$1156)</f>
        <v/>
      </c>
      <c r="AA1153" t="str">
        <f>IF([2]Baskol!$K$1156="","",[2]Baskol!$K$1156)</f>
        <v/>
      </c>
      <c r="AB1153" t="str">
        <f>IF([2]Baskol!$L$1156="","",[2]Baskol!$L$1156)</f>
        <v/>
      </c>
      <c r="AC1153" t="str">
        <f>IF([2]Baskol!$N$1156="","",[2]Baskol!$N$1156)</f>
        <v/>
      </c>
      <c r="AD1153" t="str">
        <f>IF([2]Baskol!$O$1156="","",[2]Baskol!$O$1156)</f>
        <v/>
      </c>
      <c r="AE1153" t="str">
        <f>IF([3]Entry!$C$1156="","",[3]Entry!$C$1156)</f>
        <v/>
      </c>
      <c r="AF1153" t="str">
        <f>IF([3]Entry!$D$1156="","",[3]Entry!$D$1156)</f>
        <v/>
      </c>
      <c r="AG1153" t="str">
        <f>IF([3]Entry!$E$1156="","",[3]Entry!$E$1156)</f>
        <v/>
      </c>
      <c r="AH1153" t="str">
        <f>IF([3]Entry!$G$1156="","",[3]Entry!$G$1156)</f>
        <v/>
      </c>
      <c r="AI1153" t="str">
        <f>IF([3]Entry!$K$1156="","",[3]Entry!$K$1156)</f>
        <v/>
      </c>
      <c r="AJ1153" t="str">
        <f>IF([3]Entry!$L$1156="","",[3]Entry!$L$1156)</f>
        <v/>
      </c>
      <c r="AK1153" t="str">
        <f>IF([3]Entry!$M$1156="","",[3]Entry!$M$1156)</f>
        <v/>
      </c>
      <c r="AL1153" t="str">
        <f>IF([3]Entry!$N$1156="","",[3]Entry!$N$1156)</f>
        <v/>
      </c>
      <c r="AM1153" t="str">
        <f>IF([3]Entry!$R$1156="","",[3]Entry!$R$1156)</f>
        <v/>
      </c>
    </row>
    <row r="1154" spans="20:39" x14ac:dyDescent="0.2">
      <c r="T1154" t="str">
        <f>IF([2]Baskol!$B$1157="","",[2]Baskol!$B$1157)</f>
        <v/>
      </c>
      <c r="U1154" t="str">
        <f>IF([2]Baskol!$C$1157="","",[2]Baskol!$C$1157)</f>
        <v/>
      </c>
      <c r="V1154" t="str">
        <f>IF([2]Baskol!$D$1157="","",[2]Baskol!$D$1157)</f>
        <v/>
      </c>
      <c r="W1154" t="str">
        <f>IF([2]Baskol!$E$1157="","",[2]Baskol!$E$1157)</f>
        <v/>
      </c>
      <c r="X1154" t="str">
        <f>IF([2]Baskol!$G$1157="","",[2]Baskol!$G$1157)</f>
        <v/>
      </c>
      <c r="Y1154" t="str">
        <f>IF([2]Baskol!$I$1157="","",[2]Baskol!$I$1157)</f>
        <v/>
      </c>
      <c r="Z1154" t="str">
        <f>IF([2]Baskol!$J$1157="","",[2]Baskol!$J$1157)</f>
        <v/>
      </c>
      <c r="AA1154" t="str">
        <f>IF([2]Baskol!$K$1157="","",[2]Baskol!$K$1157)</f>
        <v/>
      </c>
      <c r="AB1154" t="str">
        <f>IF([2]Baskol!$L$1157="","",[2]Baskol!$L$1157)</f>
        <v/>
      </c>
      <c r="AC1154" t="str">
        <f>IF([2]Baskol!$N$1157="","",[2]Baskol!$N$1157)</f>
        <v/>
      </c>
      <c r="AD1154" t="str">
        <f>IF([2]Baskol!$O$1157="","",[2]Baskol!$O$1157)</f>
        <v/>
      </c>
      <c r="AE1154" t="str">
        <f>IF([3]Entry!$C$1157="","",[3]Entry!$C$1157)</f>
        <v/>
      </c>
      <c r="AF1154" t="str">
        <f>IF([3]Entry!$D$1157="","",[3]Entry!$D$1157)</f>
        <v/>
      </c>
      <c r="AG1154" t="str">
        <f>IF([3]Entry!$E$1157="","",[3]Entry!$E$1157)</f>
        <v/>
      </c>
      <c r="AH1154" t="str">
        <f>IF([3]Entry!$G$1157="","",[3]Entry!$G$1157)</f>
        <v/>
      </c>
      <c r="AI1154" t="str">
        <f>IF([3]Entry!$K$1157="","",[3]Entry!$K$1157)</f>
        <v/>
      </c>
      <c r="AJ1154" t="str">
        <f>IF([3]Entry!$L$1157="","",[3]Entry!$L$1157)</f>
        <v/>
      </c>
      <c r="AK1154" t="str">
        <f>IF([3]Entry!$M$1157="","",[3]Entry!$M$1157)</f>
        <v/>
      </c>
      <c r="AL1154" t="str">
        <f>IF([3]Entry!$N$1157="","",[3]Entry!$N$1157)</f>
        <v/>
      </c>
      <c r="AM1154" t="str">
        <f>IF([3]Entry!$R$1157="","",[3]Entry!$R$1157)</f>
        <v/>
      </c>
    </row>
    <row r="1155" spans="20:39" x14ac:dyDescent="0.2">
      <c r="T1155" t="str">
        <f>IF([2]Baskol!$B$1158="","",[2]Baskol!$B$1158)</f>
        <v/>
      </c>
      <c r="U1155" t="str">
        <f>IF([2]Baskol!$C$1158="","",[2]Baskol!$C$1158)</f>
        <v/>
      </c>
      <c r="V1155" t="str">
        <f>IF([2]Baskol!$D$1158="","",[2]Baskol!$D$1158)</f>
        <v/>
      </c>
      <c r="W1155" t="str">
        <f>IF([2]Baskol!$E$1158="","",[2]Baskol!$E$1158)</f>
        <v/>
      </c>
      <c r="X1155" t="str">
        <f>IF([2]Baskol!$G$1158="","",[2]Baskol!$G$1158)</f>
        <v/>
      </c>
      <c r="Y1155" t="str">
        <f>IF([2]Baskol!$I$1158="","",[2]Baskol!$I$1158)</f>
        <v/>
      </c>
      <c r="Z1155" t="str">
        <f>IF([2]Baskol!$J$1158="","",[2]Baskol!$J$1158)</f>
        <v/>
      </c>
      <c r="AA1155" t="str">
        <f>IF([2]Baskol!$K$1158="","",[2]Baskol!$K$1158)</f>
        <v/>
      </c>
      <c r="AB1155" t="str">
        <f>IF([2]Baskol!$L$1158="","",[2]Baskol!$L$1158)</f>
        <v/>
      </c>
      <c r="AC1155" t="str">
        <f>IF([2]Baskol!$N$1158="","",[2]Baskol!$N$1158)</f>
        <v/>
      </c>
      <c r="AD1155" t="str">
        <f>IF([2]Baskol!$O$1158="","",[2]Baskol!$O$1158)</f>
        <v/>
      </c>
      <c r="AE1155" t="str">
        <f>IF([3]Entry!$C$1158="","",[3]Entry!$C$1158)</f>
        <v/>
      </c>
      <c r="AF1155" t="str">
        <f>IF([3]Entry!$D$1158="","",[3]Entry!$D$1158)</f>
        <v/>
      </c>
      <c r="AG1155" t="str">
        <f>IF([3]Entry!$E$1158="","",[3]Entry!$E$1158)</f>
        <v/>
      </c>
      <c r="AH1155" t="str">
        <f>IF([3]Entry!$G$1158="","",[3]Entry!$G$1158)</f>
        <v/>
      </c>
      <c r="AI1155" t="str">
        <f>IF([3]Entry!$K$1158="","",[3]Entry!$K$1158)</f>
        <v/>
      </c>
      <c r="AJ1155" t="str">
        <f>IF([3]Entry!$L$1158="","",[3]Entry!$L$1158)</f>
        <v/>
      </c>
      <c r="AK1155" t="str">
        <f>IF([3]Entry!$M$1158="","",[3]Entry!$M$1158)</f>
        <v/>
      </c>
      <c r="AL1155" t="str">
        <f>IF([3]Entry!$N$1158="","",[3]Entry!$N$1158)</f>
        <v/>
      </c>
      <c r="AM1155" t="str">
        <f>IF([3]Entry!$R$1158="","",[3]Entry!$R$1158)</f>
        <v/>
      </c>
    </row>
    <row r="1156" spans="20:39" x14ac:dyDescent="0.2">
      <c r="T1156" t="str">
        <f>IF([2]Baskol!$B$1159="","",[2]Baskol!$B$1159)</f>
        <v/>
      </c>
      <c r="U1156" t="str">
        <f>IF([2]Baskol!$C$1159="","",[2]Baskol!$C$1159)</f>
        <v/>
      </c>
      <c r="V1156" t="str">
        <f>IF([2]Baskol!$D$1159="","",[2]Baskol!$D$1159)</f>
        <v/>
      </c>
      <c r="W1156" t="str">
        <f>IF([2]Baskol!$E$1159="","",[2]Baskol!$E$1159)</f>
        <v/>
      </c>
      <c r="X1156" t="str">
        <f>IF([2]Baskol!$G$1159="","",[2]Baskol!$G$1159)</f>
        <v/>
      </c>
      <c r="Y1156" t="str">
        <f>IF([2]Baskol!$I$1159="","",[2]Baskol!$I$1159)</f>
        <v/>
      </c>
      <c r="Z1156" t="str">
        <f>IF([2]Baskol!$J$1159="","",[2]Baskol!$J$1159)</f>
        <v/>
      </c>
      <c r="AA1156" t="str">
        <f>IF([2]Baskol!$K$1159="","",[2]Baskol!$K$1159)</f>
        <v/>
      </c>
      <c r="AB1156" t="str">
        <f>IF([2]Baskol!$L$1159="","",[2]Baskol!$L$1159)</f>
        <v/>
      </c>
      <c r="AC1156" t="str">
        <f>IF([2]Baskol!$N$1159="","",[2]Baskol!$N$1159)</f>
        <v/>
      </c>
      <c r="AD1156" t="str">
        <f>IF([2]Baskol!$O$1159="","",[2]Baskol!$O$1159)</f>
        <v/>
      </c>
      <c r="AE1156" t="str">
        <f>IF([3]Entry!$C$1159="","",[3]Entry!$C$1159)</f>
        <v/>
      </c>
      <c r="AF1156" t="str">
        <f>IF([3]Entry!$D$1159="","",[3]Entry!$D$1159)</f>
        <v/>
      </c>
      <c r="AG1156" t="str">
        <f>IF([3]Entry!$E$1159="","",[3]Entry!$E$1159)</f>
        <v/>
      </c>
      <c r="AH1156" t="str">
        <f>IF([3]Entry!$G$1159="","",[3]Entry!$G$1159)</f>
        <v/>
      </c>
      <c r="AI1156" t="str">
        <f>IF([3]Entry!$K$1159="","",[3]Entry!$K$1159)</f>
        <v/>
      </c>
      <c r="AJ1156" t="str">
        <f>IF([3]Entry!$L$1159="","",[3]Entry!$L$1159)</f>
        <v/>
      </c>
      <c r="AK1156" t="str">
        <f>IF([3]Entry!$M$1159="","",[3]Entry!$M$1159)</f>
        <v/>
      </c>
      <c r="AL1156" t="str">
        <f>IF([3]Entry!$N$1159="","",[3]Entry!$N$1159)</f>
        <v/>
      </c>
      <c r="AM1156" t="str">
        <f>IF([3]Entry!$R$1159="","",[3]Entry!$R$1159)</f>
        <v/>
      </c>
    </row>
    <row r="1157" spans="20:39" x14ac:dyDescent="0.2">
      <c r="T1157" t="str">
        <f>IF([2]Baskol!$B$1160="","",[2]Baskol!$B$1160)</f>
        <v/>
      </c>
      <c r="U1157" t="str">
        <f>IF([2]Baskol!$C$1160="","",[2]Baskol!$C$1160)</f>
        <v/>
      </c>
      <c r="V1157" t="str">
        <f>IF([2]Baskol!$D$1160="","",[2]Baskol!$D$1160)</f>
        <v/>
      </c>
      <c r="W1157" t="str">
        <f>IF([2]Baskol!$E$1160="","",[2]Baskol!$E$1160)</f>
        <v/>
      </c>
      <c r="X1157" t="str">
        <f>IF([2]Baskol!$G$1160="","",[2]Baskol!$G$1160)</f>
        <v/>
      </c>
      <c r="Y1157" t="str">
        <f>IF([2]Baskol!$I$1160="","",[2]Baskol!$I$1160)</f>
        <v/>
      </c>
      <c r="Z1157" t="str">
        <f>IF([2]Baskol!$J$1160="","",[2]Baskol!$J$1160)</f>
        <v/>
      </c>
      <c r="AA1157" t="str">
        <f>IF([2]Baskol!$K$1160="","",[2]Baskol!$K$1160)</f>
        <v/>
      </c>
      <c r="AB1157" t="str">
        <f>IF([2]Baskol!$L$1160="","",[2]Baskol!$L$1160)</f>
        <v/>
      </c>
      <c r="AC1157" t="str">
        <f>IF([2]Baskol!$N$1160="","",[2]Baskol!$N$1160)</f>
        <v/>
      </c>
      <c r="AD1157" t="str">
        <f>IF([2]Baskol!$O$1160="","",[2]Baskol!$O$1160)</f>
        <v/>
      </c>
      <c r="AE1157" t="str">
        <f>IF([3]Entry!$C$1160="","",[3]Entry!$C$1160)</f>
        <v/>
      </c>
      <c r="AF1157" t="str">
        <f>IF([3]Entry!$D$1160="","",[3]Entry!$D$1160)</f>
        <v/>
      </c>
      <c r="AG1157" t="str">
        <f>IF([3]Entry!$E$1160="","",[3]Entry!$E$1160)</f>
        <v/>
      </c>
      <c r="AH1157" t="str">
        <f>IF([3]Entry!$G$1160="","",[3]Entry!$G$1160)</f>
        <v/>
      </c>
      <c r="AI1157" t="str">
        <f>IF([3]Entry!$K$1160="","",[3]Entry!$K$1160)</f>
        <v/>
      </c>
      <c r="AJ1157" t="str">
        <f>IF([3]Entry!$L$1160="","",[3]Entry!$L$1160)</f>
        <v/>
      </c>
      <c r="AK1157" t="str">
        <f>IF([3]Entry!$M$1160="","",[3]Entry!$M$1160)</f>
        <v/>
      </c>
      <c r="AL1157" t="str">
        <f>IF([3]Entry!$N$1160="","",[3]Entry!$N$1160)</f>
        <v/>
      </c>
      <c r="AM1157" t="str">
        <f>IF([3]Entry!$R$1160="","",[3]Entry!$R$1160)</f>
        <v/>
      </c>
    </row>
    <row r="1158" spans="20:39" x14ac:dyDescent="0.2">
      <c r="T1158" t="str">
        <f>IF([2]Baskol!$B$1161="","",[2]Baskol!$B$1161)</f>
        <v/>
      </c>
      <c r="U1158" t="str">
        <f>IF([2]Baskol!$C$1161="","",[2]Baskol!$C$1161)</f>
        <v/>
      </c>
      <c r="V1158" t="str">
        <f>IF([2]Baskol!$D$1161="","",[2]Baskol!$D$1161)</f>
        <v/>
      </c>
      <c r="W1158" t="str">
        <f>IF([2]Baskol!$E$1161="","",[2]Baskol!$E$1161)</f>
        <v/>
      </c>
      <c r="X1158" t="str">
        <f>IF([2]Baskol!$G$1161="","",[2]Baskol!$G$1161)</f>
        <v/>
      </c>
      <c r="Y1158" t="str">
        <f>IF([2]Baskol!$I$1161="","",[2]Baskol!$I$1161)</f>
        <v/>
      </c>
      <c r="Z1158" t="str">
        <f>IF([2]Baskol!$J$1161="","",[2]Baskol!$J$1161)</f>
        <v/>
      </c>
      <c r="AA1158" t="str">
        <f>IF([2]Baskol!$K$1161="","",[2]Baskol!$K$1161)</f>
        <v/>
      </c>
      <c r="AB1158" t="str">
        <f>IF([2]Baskol!$L$1161="","",[2]Baskol!$L$1161)</f>
        <v/>
      </c>
      <c r="AC1158" t="str">
        <f>IF([2]Baskol!$N$1161="","",[2]Baskol!$N$1161)</f>
        <v/>
      </c>
      <c r="AD1158" t="str">
        <f>IF([2]Baskol!$O$1161="","",[2]Baskol!$O$1161)</f>
        <v/>
      </c>
      <c r="AE1158" t="str">
        <f>IF([3]Entry!$C$1161="","",[3]Entry!$C$1161)</f>
        <v/>
      </c>
      <c r="AF1158" t="str">
        <f>IF([3]Entry!$D$1161="","",[3]Entry!$D$1161)</f>
        <v/>
      </c>
      <c r="AG1158" t="str">
        <f>IF([3]Entry!$E$1161="","",[3]Entry!$E$1161)</f>
        <v/>
      </c>
      <c r="AH1158" t="str">
        <f>IF([3]Entry!$G$1161="","",[3]Entry!$G$1161)</f>
        <v/>
      </c>
      <c r="AI1158" t="str">
        <f>IF([3]Entry!$K$1161="","",[3]Entry!$K$1161)</f>
        <v/>
      </c>
      <c r="AJ1158" t="str">
        <f>IF([3]Entry!$L$1161="","",[3]Entry!$L$1161)</f>
        <v/>
      </c>
      <c r="AK1158" t="str">
        <f>IF([3]Entry!$M$1161="","",[3]Entry!$M$1161)</f>
        <v/>
      </c>
      <c r="AL1158" t="str">
        <f>IF([3]Entry!$N$1161="","",[3]Entry!$N$1161)</f>
        <v/>
      </c>
      <c r="AM1158" t="str">
        <f>IF([3]Entry!$R$1161="","",[3]Entry!$R$1161)</f>
        <v/>
      </c>
    </row>
    <row r="1159" spans="20:39" x14ac:dyDescent="0.2">
      <c r="T1159" t="str">
        <f>IF([2]Baskol!$B$1162="","",[2]Baskol!$B$1162)</f>
        <v/>
      </c>
      <c r="U1159" t="str">
        <f>IF([2]Baskol!$C$1162="","",[2]Baskol!$C$1162)</f>
        <v/>
      </c>
      <c r="V1159" t="str">
        <f>IF([2]Baskol!$D$1162="","",[2]Baskol!$D$1162)</f>
        <v/>
      </c>
      <c r="W1159" t="str">
        <f>IF([2]Baskol!$E$1162="","",[2]Baskol!$E$1162)</f>
        <v/>
      </c>
      <c r="X1159" t="str">
        <f>IF([2]Baskol!$G$1162="","",[2]Baskol!$G$1162)</f>
        <v/>
      </c>
      <c r="Y1159" t="str">
        <f>IF([2]Baskol!$I$1162="","",[2]Baskol!$I$1162)</f>
        <v/>
      </c>
      <c r="Z1159" t="str">
        <f>IF([2]Baskol!$J$1162="","",[2]Baskol!$J$1162)</f>
        <v/>
      </c>
      <c r="AA1159" t="str">
        <f>IF([2]Baskol!$K$1162="","",[2]Baskol!$K$1162)</f>
        <v/>
      </c>
      <c r="AB1159" t="str">
        <f>IF([2]Baskol!$L$1162="","",[2]Baskol!$L$1162)</f>
        <v/>
      </c>
      <c r="AC1159" t="str">
        <f>IF([2]Baskol!$N$1162="","",[2]Baskol!$N$1162)</f>
        <v/>
      </c>
      <c r="AD1159" t="str">
        <f>IF([2]Baskol!$O$1162="","",[2]Baskol!$O$1162)</f>
        <v/>
      </c>
      <c r="AE1159" t="str">
        <f>IF([3]Entry!$C$1162="","",[3]Entry!$C$1162)</f>
        <v/>
      </c>
      <c r="AF1159" t="str">
        <f>IF([3]Entry!$D$1162="","",[3]Entry!$D$1162)</f>
        <v/>
      </c>
      <c r="AG1159" t="str">
        <f>IF([3]Entry!$E$1162="","",[3]Entry!$E$1162)</f>
        <v/>
      </c>
      <c r="AH1159" t="str">
        <f>IF([3]Entry!$G$1162="","",[3]Entry!$G$1162)</f>
        <v/>
      </c>
      <c r="AI1159" t="str">
        <f>IF([3]Entry!$K$1162="","",[3]Entry!$K$1162)</f>
        <v/>
      </c>
      <c r="AJ1159" t="str">
        <f>IF([3]Entry!$L$1162="","",[3]Entry!$L$1162)</f>
        <v/>
      </c>
      <c r="AK1159" t="str">
        <f>IF([3]Entry!$M$1162="","",[3]Entry!$M$1162)</f>
        <v/>
      </c>
      <c r="AL1159" t="str">
        <f>IF([3]Entry!$N$1162="","",[3]Entry!$N$1162)</f>
        <v/>
      </c>
      <c r="AM1159" t="str">
        <f>IF([3]Entry!$R$1162="","",[3]Entry!$R$1162)</f>
        <v/>
      </c>
    </row>
    <row r="1160" spans="20:39" x14ac:dyDescent="0.2">
      <c r="T1160" t="str">
        <f>IF([2]Baskol!$B$1163="","",[2]Baskol!$B$1163)</f>
        <v/>
      </c>
      <c r="U1160" t="str">
        <f>IF([2]Baskol!$C$1163="","",[2]Baskol!$C$1163)</f>
        <v/>
      </c>
      <c r="V1160" t="str">
        <f>IF([2]Baskol!$D$1163="","",[2]Baskol!$D$1163)</f>
        <v/>
      </c>
      <c r="W1160" t="str">
        <f>IF([2]Baskol!$E$1163="","",[2]Baskol!$E$1163)</f>
        <v/>
      </c>
      <c r="X1160" t="str">
        <f>IF([2]Baskol!$G$1163="","",[2]Baskol!$G$1163)</f>
        <v/>
      </c>
      <c r="Y1160" t="str">
        <f>IF([2]Baskol!$I$1163="","",[2]Baskol!$I$1163)</f>
        <v/>
      </c>
      <c r="Z1160" t="str">
        <f>IF([2]Baskol!$J$1163="","",[2]Baskol!$J$1163)</f>
        <v/>
      </c>
      <c r="AA1160" t="str">
        <f>IF([2]Baskol!$K$1163="","",[2]Baskol!$K$1163)</f>
        <v/>
      </c>
      <c r="AB1160" t="str">
        <f>IF([2]Baskol!$L$1163="","",[2]Baskol!$L$1163)</f>
        <v/>
      </c>
      <c r="AC1160" t="str">
        <f>IF([2]Baskol!$N$1163="","",[2]Baskol!$N$1163)</f>
        <v/>
      </c>
      <c r="AD1160" t="str">
        <f>IF([2]Baskol!$O$1163="","",[2]Baskol!$O$1163)</f>
        <v/>
      </c>
      <c r="AE1160" t="str">
        <f>IF([3]Entry!$C$1163="","",[3]Entry!$C$1163)</f>
        <v/>
      </c>
      <c r="AF1160" t="str">
        <f>IF([3]Entry!$D$1163="","",[3]Entry!$D$1163)</f>
        <v/>
      </c>
      <c r="AG1160" t="str">
        <f>IF([3]Entry!$E$1163="","",[3]Entry!$E$1163)</f>
        <v/>
      </c>
      <c r="AH1160" t="str">
        <f>IF([3]Entry!$G$1163="","",[3]Entry!$G$1163)</f>
        <v/>
      </c>
      <c r="AI1160" t="str">
        <f>IF([3]Entry!$K$1163="","",[3]Entry!$K$1163)</f>
        <v/>
      </c>
      <c r="AJ1160" t="str">
        <f>IF([3]Entry!$L$1163="","",[3]Entry!$L$1163)</f>
        <v/>
      </c>
      <c r="AK1160" t="str">
        <f>IF([3]Entry!$M$1163="","",[3]Entry!$M$1163)</f>
        <v/>
      </c>
      <c r="AL1160" t="str">
        <f>IF([3]Entry!$N$1163="","",[3]Entry!$N$1163)</f>
        <v/>
      </c>
      <c r="AM1160" t="str">
        <f>IF([3]Entry!$R$1163="","",[3]Entry!$R$1163)</f>
        <v/>
      </c>
    </row>
    <row r="1161" spans="20:39" x14ac:dyDescent="0.2">
      <c r="T1161" t="str">
        <f>IF([2]Baskol!$B$1164="","",[2]Baskol!$B$1164)</f>
        <v/>
      </c>
      <c r="U1161" t="str">
        <f>IF([2]Baskol!$C$1164="","",[2]Baskol!$C$1164)</f>
        <v/>
      </c>
      <c r="V1161" t="str">
        <f>IF([2]Baskol!$D$1164="","",[2]Baskol!$D$1164)</f>
        <v/>
      </c>
      <c r="W1161" t="str">
        <f>IF([2]Baskol!$E$1164="","",[2]Baskol!$E$1164)</f>
        <v/>
      </c>
      <c r="X1161" t="str">
        <f>IF([2]Baskol!$G$1164="","",[2]Baskol!$G$1164)</f>
        <v/>
      </c>
      <c r="Y1161" t="str">
        <f>IF([2]Baskol!$I$1164="","",[2]Baskol!$I$1164)</f>
        <v/>
      </c>
      <c r="Z1161" t="str">
        <f>IF([2]Baskol!$J$1164="","",[2]Baskol!$J$1164)</f>
        <v/>
      </c>
      <c r="AA1161" t="str">
        <f>IF([2]Baskol!$K$1164="","",[2]Baskol!$K$1164)</f>
        <v/>
      </c>
      <c r="AB1161" t="str">
        <f>IF([2]Baskol!$L$1164="","",[2]Baskol!$L$1164)</f>
        <v/>
      </c>
      <c r="AC1161" t="str">
        <f>IF([2]Baskol!$N$1164="","",[2]Baskol!$N$1164)</f>
        <v/>
      </c>
      <c r="AD1161" t="str">
        <f>IF([2]Baskol!$O$1164="","",[2]Baskol!$O$1164)</f>
        <v/>
      </c>
      <c r="AE1161" t="str">
        <f>IF([3]Entry!$C$1164="","",[3]Entry!$C$1164)</f>
        <v/>
      </c>
      <c r="AF1161" t="str">
        <f>IF([3]Entry!$D$1164="","",[3]Entry!$D$1164)</f>
        <v/>
      </c>
      <c r="AG1161" t="str">
        <f>IF([3]Entry!$E$1164="","",[3]Entry!$E$1164)</f>
        <v/>
      </c>
      <c r="AH1161" t="str">
        <f>IF([3]Entry!$G$1164="","",[3]Entry!$G$1164)</f>
        <v/>
      </c>
      <c r="AI1161" t="str">
        <f>IF([3]Entry!$K$1164="","",[3]Entry!$K$1164)</f>
        <v/>
      </c>
      <c r="AJ1161" t="str">
        <f>IF([3]Entry!$L$1164="","",[3]Entry!$L$1164)</f>
        <v/>
      </c>
      <c r="AK1161" t="str">
        <f>IF([3]Entry!$M$1164="","",[3]Entry!$M$1164)</f>
        <v/>
      </c>
      <c r="AL1161" t="str">
        <f>IF([3]Entry!$N$1164="","",[3]Entry!$N$1164)</f>
        <v/>
      </c>
      <c r="AM1161" t="str">
        <f>IF([3]Entry!$R$1164="","",[3]Entry!$R$1164)</f>
        <v/>
      </c>
    </row>
    <row r="1162" spans="20:39" x14ac:dyDescent="0.2">
      <c r="T1162" t="str">
        <f>IF([2]Baskol!$B$1165="","",[2]Baskol!$B$1165)</f>
        <v/>
      </c>
      <c r="U1162" t="str">
        <f>IF([2]Baskol!$C$1165="","",[2]Baskol!$C$1165)</f>
        <v/>
      </c>
      <c r="V1162" t="str">
        <f>IF([2]Baskol!$D$1165="","",[2]Baskol!$D$1165)</f>
        <v/>
      </c>
      <c r="W1162" t="str">
        <f>IF([2]Baskol!$E$1165="","",[2]Baskol!$E$1165)</f>
        <v/>
      </c>
      <c r="X1162" t="str">
        <f>IF([2]Baskol!$G$1165="","",[2]Baskol!$G$1165)</f>
        <v/>
      </c>
      <c r="Y1162" t="str">
        <f>IF([2]Baskol!$I$1165="","",[2]Baskol!$I$1165)</f>
        <v/>
      </c>
      <c r="Z1162" t="str">
        <f>IF([2]Baskol!$J$1165="","",[2]Baskol!$J$1165)</f>
        <v/>
      </c>
      <c r="AA1162" t="str">
        <f>IF([2]Baskol!$K$1165="","",[2]Baskol!$K$1165)</f>
        <v/>
      </c>
      <c r="AB1162" t="str">
        <f>IF([2]Baskol!$L$1165="","",[2]Baskol!$L$1165)</f>
        <v/>
      </c>
      <c r="AC1162" t="str">
        <f>IF([2]Baskol!$N$1165="","",[2]Baskol!$N$1165)</f>
        <v/>
      </c>
      <c r="AD1162" t="str">
        <f>IF([2]Baskol!$O$1165="","",[2]Baskol!$O$1165)</f>
        <v/>
      </c>
      <c r="AE1162" t="str">
        <f>IF([3]Entry!$C$1165="","",[3]Entry!$C$1165)</f>
        <v/>
      </c>
      <c r="AF1162" t="str">
        <f>IF([3]Entry!$D$1165="","",[3]Entry!$D$1165)</f>
        <v/>
      </c>
      <c r="AG1162" t="str">
        <f>IF([3]Entry!$E$1165="","",[3]Entry!$E$1165)</f>
        <v/>
      </c>
      <c r="AH1162" t="str">
        <f>IF([3]Entry!$G$1165="","",[3]Entry!$G$1165)</f>
        <v/>
      </c>
      <c r="AI1162" t="str">
        <f>IF([3]Entry!$K$1165="","",[3]Entry!$K$1165)</f>
        <v/>
      </c>
      <c r="AJ1162" t="str">
        <f>IF([3]Entry!$L$1165="","",[3]Entry!$L$1165)</f>
        <v/>
      </c>
      <c r="AK1162" t="str">
        <f>IF([3]Entry!$M$1165="","",[3]Entry!$M$1165)</f>
        <v/>
      </c>
      <c r="AL1162" t="str">
        <f>IF([3]Entry!$N$1165="","",[3]Entry!$N$1165)</f>
        <v/>
      </c>
      <c r="AM1162" t="str">
        <f>IF([3]Entry!$R$1165="","",[3]Entry!$R$1165)</f>
        <v/>
      </c>
    </row>
    <row r="1163" spans="20:39" x14ac:dyDescent="0.2">
      <c r="T1163" t="str">
        <f>IF([2]Baskol!$B$1166="","",[2]Baskol!$B$1166)</f>
        <v/>
      </c>
      <c r="U1163" t="str">
        <f>IF([2]Baskol!$C$1166="","",[2]Baskol!$C$1166)</f>
        <v/>
      </c>
      <c r="V1163" t="str">
        <f>IF([2]Baskol!$D$1166="","",[2]Baskol!$D$1166)</f>
        <v/>
      </c>
      <c r="W1163" t="str">
        <f>IF([2]Baskol!$E$1166="","",[2]Baskol!$E$1166)</f>
        <v/>
      </c>
      <c r="X1163" t="str">
        <f>IF([2]Baskol!$G$1166="","",[2]Baskol!$G$1166)</f>
        <v/>
      </c>
      <c r="Y1163" t="str">
        <f>IF([2]Baskol!$I$1166="","",[2]Baskol!$I$1166)</f>
        <v/>
      </c>
      <c r="Z1163" t="str">
        <f>IF([2]Baskol!$J$1166="","",[2]Baskol!$J$1166)</f>
        <v/>
      </c>
      <c r="AA1163" t="str">
        <f>IF([2]Baskol!$K$1166="","",[2]Baskol!$K$1166)</f>
        <v/>
      </c>
      <c r="AB1163" t="str">
        <f>IF([2]Baskol!$L$1166="","",[2]Baskol!$L$1166)</f>
        <v/>
      </c>
      <c r="AC1163" t="str">
        <f>IF([2]Baskol!$N$1166="","",[2]Baskol!$N$1166)</f>
        <v/>
      </c>
      <c r="AD1163" t="str">
        <f>IF([2]Baskol!$O$1166="","",[2]Baskol!$O$1166)</f>
        <v/>
      </c>
      <c r="AE1163" t="str">
        <f>IF([3]Entry!$C$1166="","",[3]Entry!$C$1166)</f>
        <v/>
      </c>
      <c r="AF1163" t="str">
        <f>IF([3]Entry!$D$1166="","",[3]Entry!$D$1166)</f>
        <v/>
      </c>
      <c r="AG1163" t="str">
        <f>IF([3]Entry!$E$1166="","",[3]Entry!$E$1166)</f>
        <v/>
      </c>
      <c r="AH1163" t="str">
        <f>IF([3]Entry!$G$1166="","",[3]Entry!$G$1166)</f>
        <v/>
      </c>
      <c r="AI1163" t="str">
        <f>IF([3]Entry!$K$1166="","",[3]Entry!$K$1166)</f>
        <v/>
      </c>
      <c r="AJ1163" t="str">
        <f>IF([3]Entry!$L$1166="","",[3]Entry!$L$1166)</f>
        <v/>
      </c>
      <c r="AK1163" t="str">
        <f>IF([3]Entry!$M$1166="","",[3]Entry!$M$1166)</f>
        <v/>
      </c>
      <c r="AL1163" t="str">
        <f>IF([3]Entry!$N$1166="","",[3]Entry!$N$1166)</f>
        <v/>
      </c>
      <c r="AM1163" t="str">
        <f>IF([3]Entry!$R$1166="","",[3]Entry!$R$1166)</f>
        <v/>
      </c>
    </row>
    <row r="1164" spans="20:39" x14ac:dyDescent="0.2">
      <c r="T1164" t="str">
        <f>IF([2]Baskol!$B$1167="","",[2]Baskol!$B$1167)</f>
        <v/>
      </c>
      <c r="U1164" t="str">
        <f>IF([2]Baskol!$C$1167="","",[2]Baskol!$C$1167)</f>
        <v/>
      </c>
      <c r="V1164" t="str">
        <f>IF([2]Baskol!$D$1167="","",[2]Baskol!$D$1167)</f>
        <v/>
      </c>
      <c r="W1164" t="str">
        <f>IF([2]Baskol!$E$1167="","",[2]Baskol!$E$1167)</f>
        <v/>
      </c>
      <c r="X1164" t="str">
        <f>IF([2]Baskol!$G$1167="","",[2]Baskol!$G$1167)</f>
        <v/>
      </c>
      <c r="Y1164" t="str">
        <f>IF([2]Baskol!$I$1167="","",[2]Baskol!$I$1167)</f>
        <v/>
      </c>
      <c r="Z1164" t="str">
        <f>IF([2]Baskol!$J$1167="","",[2]Baskol!$J$1167)</f>
        <v/>
      </c>
      <c r="AA1164" t="str">
        <f>IF([2]Baskol!$K$1167="","",[2]Baskol!$K$1167)</f>
        <v/>
      </c>
      <c r="AB1164" t="str">
        <f>IF([2]Baskol!$L$1167="","",[2]Baskol!$L$1167)</f>
        <v/>
      </c>
      <c r="AC1164" t="str">
        <f>IF([2]Baskol!$N$1167="","",[2]Baskol!$N$1167)</f>
        <v/>
      </c>
      <c r="AD1164" t="str">
        <f>IF([2]Baskol!$O$1167="","",[2]Baskol!$O$1167)</f>
        <v/>
      </c>
      <c r="AE1164" t="str">
        <f>IF([3]Entry!$C$1167="","",[3]Entry!$C$1167)</f>
        <v/>
      </c>
      <c r="AF1164" t="str">
        <f>IF([3]Entry!$D$1167="","",[3]Entry!$D$1167)</f>
        <v/>
      </c>
      <c r="AG1164" t="str">
        <f>IF([3]Entry!$E$1167="","",[3]Entry!$E$1167)</f>
        <v/>
      </c>
      <c r="AH1164" t="str">
        <f>IF([3]Entry!$G$1167="","",[3]Entry!$G$1167)</f>
        <v/>
      </c>
      <c r="AI1164" t="str">
        <f>IF([3]Entry!$K$1167="","",[3]Entry!$K$1167)</f>
        <v/>
      </c>
      <c r="AJ1164" t="str">
        <f>IF([3]Entry!$L$1167="","",[3]Entry!$L$1167)</f>
        <v/>
      </c>
      <c r="AK1164" t="str">
        <f>IF([3]Entry!$M$1167="","",[3]Entry!$M$1167)</f>
        <v/>
      </c>
      <c r="AL1164" t="str">
        <f>IF([3]Entry!$N$1167="","",[3]Entry!$N$1167)</f>
        <v/>
      </c>
      <c r="AM1164" t="str">
        <f>IF([3]Entry!$R$1167="","",[3]Entry!$R$1167)</f>
        <v/>
      </c>
    </row>
    <row r="1165" spans="20:39" x14ac:dyDescent="0.2">
      <c r="T1165" t="str">
        <f>IF([2]Baskol!$B$1168="","",[2]Baskol!$B$1168)</f>
        <v/>
      </c>
      <c r="U1165" t="str">
        <f>IF([2]Baskol!$C$1168="","",[2]Baskol!$C$1168)</f>
        <v/>
      </c>
      <c r="V1165" t="str">
        <f>IF([2]Baskol!$D$1168="","",[2]Baskol!$D$1168)</f>
        <v/>
      </c>
      <c r="W1165" t="str">
        <f>IF([2]Baskol!$E$1168="","",[2]Baskol!$E$1168)</f>
        <v/>
      </c>
      <c r="X1165" t="str">
        <f>IF([2]Baskol!$G$1168="","",[2]Baskol!$G$1168)</f>
        <v/>
      </c>
      <c r="Y1165" t="str">
        <f>IF([2]Baskol!$I$1168="","",[2]Baskol!$I$1168)</f>
        <v/>
      </c>
      <c r="Z1165" t="str">
        <f>IF([2]Baskol!$J$1168="","",[2]Baskol!$J$1168)</f>
        <v/>
      </c>
      <c r="AA1165" t="str">
        <f>IF([2]Baskol!$K$1168="","",[2]Baskol!$K$1168)</f>
        <v/>
      </c>
      <c r="AB1165" t="str">
        <f>IF([2]Baskol!$L$1168="","",[2]Baskol!$L$1168)</f>
        <v/>
      </c>
      <c r="AC1165" t="str">
        <f>IF([2]Baskol!$N$1168="","",[2]Baskol!$N$1168)</f>
        <v/>
      </c>
      <c r="AD1165" t="str">
        <f>IF([2]Baskol!$O$1168="","",[2]Baskol!$O$1168)</f>
        <v/>
      </c>
      <c r="AE1165" t="str">
        <f>IF([3]Entry!$C$1168="","",[3]Entry!$C$1168)</f>
        <v/>
      </c>
      <c r="AF1165" t="str">
        <f>IF([3]Entry!$D$1168="","",[3]Entry!$D$1168)</f>
        <v/>
      </c>
      <c r="AG1165" t="str">
        <f>IF([3]Entry!$E$1168="","",[3]Entry!$E$1168)</f>
        <v/>
      </c>
      <c r="AH1165" t="str">
        <f>IF([3]Entry!$G$1168="","",[3]Entry!$G$1168)</f>
        <v/>
      </c>
      <c r="AI1165" t="str">
        <f>IF([3]Entry!$K$1168="","",[3]Entry!$K$1168)</f>
        <v/>
      </c>
      <c r="AJ1165" t="str">
        <f>IF([3]Entry!$L$1168="","",[3]Entry!$L$1168)</f>
        <v/>
      </c>
      <c r="AK1165" t="str">
        <f>IF([3]Entry!$M$1168="","",[3]Entry!$M$1168)</f>
        <v/>
      </c>
      <c r="AL1165" t="str">
        <f>IF([3]Entry!$N$1168="","",[3]Entry!$N$1168)</f>
        <v/>
      </c>
      <c r="AM1165" t="str">
        <f>IF([3]Entry!$R$1168="","",[3]Entry!$R$1168)</f>
        <v/>
      </c>
    </row>
    <row r="1166" spans="20:39" x14ac:dyDescent="0.2">
      <c r="T1166" t="str">
        <f>IF([2]Baskol!$B$1169="","",[2]Baskol!$B$1169)</f>
        <v/>
      </c>
      <c r="U1166" t="str">
        <f>IF([2]Baskol!$C$1169="","",[2]Baskol!$C$1169)</f>
        <v/>
      </c>
      <c r="V1166" t="str">
        <f>IF([2]Baskol!$D$1169="","",[2]Baskol!$D$1169)</f>
        <v/>
      </c>
      <c r="W1166" t="str">
        <f>IF([2]Baskol!$E$1169="","",[2]Baskol!$E$1169)</f>
        <v/>
      </c>
      <c r="X1166" t="str">
        <f>IF([2]Baskol!$G$1169="","",[2]Baskol!$G$1169)</f>
        <v/>
      </c>
      <c r="Y1166" t="str">
        <f>IF([2]Baskol!$I$1169="","",[2]Baskol!$I$1169)</f>
        <v/>
      </c>
      <c r="Z1166" t="str">
        <f>IF([2]Baskol!$J$1169="","",[2]Baskol!$J$1169)</f>
        <v/>
      </c>
      <c r="AA1166" t="str">
        <f>IF([2]Baskol!$K$1169="","",[2]Baskol!$K$1169)</f>
        <v/>
      </c>
      <c r="AB1166" t="str">
        <f>IF([2]Baskol!$L$1169="","",[2]Baskol!$L$1169)</f>
        <v/>
      </c>
      <c r="AC1166" t="str">
        <f>IF([2]Baskol!$N$1169="","",[2]Baskol!$N$1169)</f>
        <v/>
      </c>
      <c r="AD1166" t="str">
        <f>IF([2]Baskol!$O$1169="","",[2]Baskol!$O$1169)</f>
        <v/>
      </c>
      <c r="AE1166" t="str">
        <f>IF([3]Entry!$C$1169="","",[3]Entry!$C$1169)</f>
        <v/>
      </c>
      <c r="AF1166" t="str">
        <f>IF([3]Entry!$D$1169="","",[3]Entry!$D$1169)</f>
        <v/>
      </c>
      <c r="AG1166" t="str">
        <f>IF([3]Entry!$E$1169="","",[3]Entry!$E$1169)</f>
        <v/>
      </c>
      <c r="AH1166" t="str">
        <f>IF([3]Entry!$G$1169="","",[3]Entry!$G$1169)</f>
        <v/>
      </c>
      <c r="AI1166" t="str">
        <f>IF([3]Entry!$K$1169="","",[3]Entry!$K$1169)</f>
        <v/>
      </c>
      <c r="AJ1166" t="str">
        <f>IF([3]Entry!$L$1169="","",[3]Entry!$L$1169)</f>
        <v/>
      </c>
      <c r="AK1166" t="str">
        <f>IF([3]Entry!$M$1169="","",[3]Entry!$M$1169)</f>
        <v/>
      </c>
      <c r="AL1166" t="str">
        <f>IF([3]Entry!$N$1169="","",[3]Entry!$N$1169)</f>
        <v/>
      </c>
      <c r="AM1166" t="str">
        <f>IF([3]Entry!$R$1169="","",[3]Entry!$R$1169)</f>
        <v/>
      </c>
    </row>
    <row r="1167" spans="20:39" x14ac:dyDescent="0.2">
      <c r="T1167" t="str">
        <f>IF([2]Baskol!$B$1170="","",[2]Baskol!$B$1170)</f>
        <v/>
      </c>
      <c r="U1167" t="str">
        <f>IF([2]Baskol!$C$1170="","",[2]Baskol!$C$1170)</f>
        <v/>
      </c>
      <c r="V1167" t="str">
        <f>IF([2]Baskol!$D$1170="","",[2]Baskol!$D$1170)</f>
        <v/>
      </c>
      <c r="W1167" t="str">
        <f>IF([2]Baskol!$E$1170="","",[2]Baskol!$E$1170)</f>
        <v/>
      </c>
      <c r="X1167" t="str">
        <f>IF([2]Baskol!$G$1170="","",[2]Baskol!$G$1170)</f>
        <v/>
      </c>
      <c r="Y1167" t="str">
        <f>IF([2]Baskol!$I$1170="","",[2]Baskol!$I$1170)</f>
        <v/>
      </c>
      <c r="Z1167" t="str">
        <f>IF([2]Baskol!$J$1170="","",[2]Baskol!$J$1170)</f>
        <v/>
      </c>
      <c r="AA1167" t="str">
        <f>IF([2]Baskol!$K$1170="","",[2]Baskol!$K$1170)</f>
        <v/>
      </c>
      <c r="AB1167" t="str">
        <f>IF([2]Baskol!$L$1170="","",[2]Baskol!$L$1170)</f>
        <v/>
      </c>
      <c r="AC1167" t="str">
        <f>IF([2]Baskol!$N$1170="","",[2]Baskol!$N$1170)</f>
        <v/>
      </c>
      <c r="AD1167" t="str">
        <f>IF([2]Baskol!$O$1170="","",[2]Baskol!$O$1170)</f>
        <v/>
      </c>
      <c r="AE1167" t="str">
        <f>IF([3]Entry!$C$1170="","",[3]Entry!$C$1170)</f>
        <v/>
      </c>
      <c r="AF1167" t="str">
        <f>IF([3]Entry!$D$1170="","",[3]Entry!$D$1170)</f>
        <v/>
      </c>
      <c r="AG1167" t="str">
        <f>IF([3]Entry!$E$1170="","",[3]Entry!$E$1170)</f>
        <v/>
      </c>
      <c r="AH1167" t="str">
        <f>IF([3]Entry!$G$1170="","",[3]Entry!$G$1170)</f>
        <v/>
      </c>
      <c r="AI1167" t="str">
        <f>IF([3]Entry!$K$1170="","",[3]Entry!$K$1170)</f>
        <v/>
      </c>
      <c r="AJ1167" t="str">
        <f>IF([3]Entry!$L$1170="","",[3]Entry!$L$1170)</f>
        <v/>
      </c>
      <c r="AK1167" t="str">
        <f>IF([3]Entry!$M$1170="","",[3]Entry!$M$1170)</f>
        <v/>
      </c>
      <c r="AL1167" t="str">
        <f>IF([3]Entry!$N$1170="","",[3]Entry!$N$1170)</f>
        <v/>
      </c>
      <c r="AM1167" t="str">
        <f>IF([3]Entry!$R$1170="","",[3]Entry!$R$1170)</f>
        <v/>
      </c>
    </row>
    <row r="1168" spans="20:39" x14ac:dyDescent="0.2">
      <c r="T1168" t="str">
        <f>IF([2]Baskol!$B$1171="","",[2]Baskol!$B$1171)</f>
        <v/>
      </c>
      <c r="U1168" t="str">
        <f>IF([2]Baskol!$C$1171="","",[2]Baskol!$C$1171)</f>
        <v/>
      </c>
      <c r="V1168" t="str">
        <f>IF([2]Baskol!$D$1171="","",[2]Baskol!$D$1171)</f>
        <v/>
      </c>
      <c r="W1168" t="str">
        <f>IF([2]Baskol!$E$1171="","",[2]Baskol!$E$1171)</f>
        <v/>
      </c>
      <c r="X1168" t="str">
        <f>IF([2]Baskol!$G$1171="","",[2]Baskol!$G$1171)</f>
        <v/>
      </c>
      <c r="Y1168" t="str">
        <f>IF([2]Baskol!$I$1171="","",[2]Baskol!$I$1171)</f>
        <v/>
      </c>
      <c r="Z1168" t="str">
        <f>IF([2]Baskol!$J$1171="","",[2]Baskol!$J$1171)</f>
        <v/>
      </c>
      <c r="AA1168" t="str">
        <f>IF([2]Baskol!$K$1171="","",[2]Baskol!$K$1171)</f>
        <v/>
      </c>
      <c r="AB1168" t="str">
        <f>IF([2]Baskol!$L$1171="","",[2]Baskol!$L$1171)</f>
        <v/>
      </c>
      <c r="AC1168" t="str">
        <f>IF([2]Baskol!$N$1171="","",[2]Baskol!$N$1171)</f>
        <v/>
      </c>
      <c r="AD1168" t="str">
        <f>IF([2]Baskol!$O$1171="","",[2]Baskol!$O$1171)</f>
        <v/>
      </c>
      <c r="AE1168" t="str">
        <f>IF([3]Entry!$C$1171="","",[3]Entry!$C$1171)</f>
        <v/>
      </c>
      <c r="AF1168" t="str">
        <f>IF([3]Entry!$D$1171="","",[3]Entry!$D$1171)</f>
        <v/>
      </c>
      <c r="AG1168" t="str">
        <f>IF([3]Entry!$E$1171="","",[3]Entry!$E$1171)</f>
        <v/>
      </c>
      <c r="AH1168" t="str">
        <f>IF([3]Entry!$G$1171="","",[3]Entry!$G$1171)</f>
        <v/>
      </c>
      <c r="AI1168" t="str">
        <f>IF([3]Entry!$K$1171="","",[3]Entry!$K$1171)</f>
        <v/>
      </c>
      <c r="AJ1168" t="str">
        <f>IF([3]Entry!$L$1171="","",[3]Entry!$L$1171)</f>
        <v/>
      </c>
      <c r="AK1168" t="str">
        <f>IF([3]Entry!$M$1171="","",[3]Entry!$M$1171)</f>
        <v/>
      </c>
      <c r="AL1168" t="str">
        <f>IF([3]Entry!$N$1171="","",[3]Entry!$N$1171)</f>
        <v/>
      </c>
      <c r="AM1168" t="str">
        <f>IF([3]Entry!$R$1171="","",[3]Entry!$R$1171)</f>
        <v/>
      </c>
    </row>
    <row r="1169" spans="20:39" x14ac:dyDescent="0.2">
      <c r="T1169" t="str">
        <f>IF([2]Baskol!$B$1172="","",[2]Baskol!$B$1172)</f>
        <v/>
      </c>
      <c r="U1169" t="str">
        <f>IF([2]Baskol!$C$1172="","",[2]Baskol!$C$1172)</f>
        <v/>
      </c>
      <c r="V1169" t="str">
        <f>IF([2]Baskol!$D$1172="","",[2]Baskol!$D$1172)</f>
        <v/>
      </c>
      <c r="W1169" t="str">
        <f>IF([2]Baskol!$E$1172="","",[2]Baskol!$E$1172)</f>
        <v/>
      </c>
      <c r="X1169" t="str">
        <f>IF([2]Baskol!$G$1172="","",[2]Baskol!$G$1172)</f>
        <v/>
      </c>
      <c r="Y1169" t="str">
        <f>IF([2]Baskol!$I$1172="","",[2]Baskol!$I$1172)</f>
        <v/>
      </c>
      <c r="Z1169" t="str">
        <f>IF([2]Baskol!$J$1172="","",[2]Baskol!$J$1172)</f>
        <v/>
      </c>
      <c r="AA1169" t="str">
        <f>IF([2]Baskol!$K$1172="","",[2]Baskol!$K$1172)</f>
        <v/>
      </c>
      <c r="AB1169" t="str">
        <f>IF([2]Baskol!$L$1172="","",[2]Baskol!$L$1172)</f>
        <v/>
      </c>
      <c r="AC1169" t="str">
        <f>IF([2]Baskol!$N$1172="","",[2]Baskol!$N$1172)</f>
        <v/>
      </c>
      <c r="AD1169" t="str">
        <f>IF([2]Baskol!$O$1172="","",[2]Baskol!$O$1172)</f>
        <v/>
      </c>
      <c r="AE1169" t="str">
        <f>IF([3]Entry!$C$1172="","",[3]Entry!$C$1172)</f>
        <v/>
      </c>
      <c r="AF1169" t="str">
        <f>IF([3]Entry!$D$1172="","",[3]Entry!$D$1172)</f>
        <v/>
      </c>
      <c r="AG1169" t="str">
        <f>IF([3]Entry!$E$1172="","",[3]Entry!$E$1172)</f>
        <v/>
      </c>
      <c r="AH1169" t="str">
        <f>IF([3]Entry!$G$1172="","",[3]Entry!$G$1172)</f>
        <v/>
      </c>
      <c r="AI1169" t="str">
        <f>IF([3]Entry!$K$1172="","",[3]Entry!$K$1172)</f>
        <v/>
      </c>
      <c r="AJ1169" t="str">
        <f>IF([3]Entry!$L$1172="","",[3]Entry!$L$1172)</f>
        <v/>
      </c>
      <c r="AK1169" t="str">
        <f>IF([3]Entry!$M$1172="","",[3]Entry!$M$1172)</f>
        <v/>
      </c>
      <c r="AL1169" t="str">
        <f>IF([3]Entry!$N$1172="","",[3]Entry!$N$1172)</f>
        <v/>
      </c>
      <c r="AM1169" t="str">
        <f>IF([3]Entry!$R$1172="","",[3]Entry!$R$1172)</f>
        <v/>
      </c>
    </row>
    <row r="1170" spans="20:39" x14ac:dyDescent="0.2">
      <c r="T1170" t="str">
        <f>IF([2]Baskol!$B$1173="","",[2]Baskol!$B$1173)</f>
        <v/>
      </c>
      <c r="U1170" t="str">
        <f>IF([2]Baskol!$C$1173="","",[2]Baskol!$C$1173)</f>
        <v/>
      </c>
      <c r="V1170" t="str">
        <f>IF([2]Baskol!$D$1173="","",[2]Baskol!$D$1173)</f>
        <v/>
      </c>
      <c r="W1170" t="str">
        <f>IF([2]Baskol!$E$1173="","",[2]Baskol!$E$1173)</f>
        <v/>
      </c>
      <c r="X1170" t="str">
        <f>IF([2]Baskol!$G$1173="","",[2]Baskol!$G$1173)</f>
        <v/>
      </c>
      <c r="Y1170" t="str">
        <f>IF([2]Baskol!$I$1173="","",[2]Baskol!$I$1173)</f>
        <v/>
      </c>
      <c r="Z1170" t="str">
        <f>IF([2]Baskol!$J$1173="","",[2]Baskol!$J$1173)</f>
        <v/>
      </c>
      <c r="AA1170" t="str">
        <f>IF([2]Baskol!$K$1173="","",[2]Baskol!$K$1173)</f>
        <v/>
      </c>
      <c r="AB1170" t="str">
        <f>IF([2]Baskol!$L$1173="","",[2]Baskol!$L$1173)</f>
        <v/>
      </c>
      <c r="AC1170" t="str">
        <f>IF([2]Baskol!$N$1173="","",[2]Baskol!$N$1173)</f>
        <v/>
      </c>
      <c r="AD1170" t="str">
        <f>IF([2]Baskol!$O$1173="","",[2]Baskol!$O$1173)</f>
        <v/>
      </c>
      <c r="AE1170" t="str">
        <f>IF([3]Entry!$C$1173="","",[3]Entry!$C$1173)</f>
        <v/>
      </c>
      <c r="AF1170" t="str">
        <f>IF([3]Entry!$D$1173="","",[3]Entry!$D$1173)</f>
        <v/>
      </c>
      <c r="AG1170" t="str">
        <f>IF([3]Entry!$E$1173="","",[3]Entry!$E$1173)</f>
        <v/>
      </c>
      <c r="AH1170" t="str">
        <f>IF([3]Entry!$G$1173="","",[3]Entry!$G$1173)</f>
        <v/>
      </c>
      <c r="AI1170" t="str">
        <f>IF([3]Entry!$K$1173="","",[3]Entry!$K$1173)</f>
        <v/>
      </c>
      <c r="AJ1170" t="str">
        <f>IF([3]Entry!$L$1173="","",[3]Entry!$L$1173)</f>
        <v/>
      </c>
      <c r="AK1170" t="str">
        <f>IF([3]Entry!$M$1173="","",[3]Entry!$M$1173)</f>
        <v/>
      </c>
      <c r="AL1170" t="str">
        <f>IF([3]Entry!$N$1173="","",[3]Entry!$N$1173)</f>
        <v/>
      </c>
      <c r="AM1170" t="str">
        <f>IF([3]Entry!$R$1173="","",[3]Entry!$R$1173)</f>
        <v/>
      </c>
    </row>
    <row r="1171" spans="20:39" x14ac:dyDescent="0.2">
      <c r="T1171" t="str">
        <f>IF([2]Baskol!$B$1174="","",[2]Baskol!$B$1174)</f>
        <v/>
      </c>
      <c r="U1171" t="str">
        <f>IF([2]Baskol!$C$1174="","",[2]Baskol!$C$1174)</f>
        <v/>
      </c>
      <c r="V1171" t="str">
        <f>IF([2]Baskol!$D$1174="","",[2]Baskol!$D$1174)</f>
        <v/>
      </c>
      <c r="W1171" t="str">
        <f>IF([2]Baskol!$E$1174="","",[2]Baskol!$E$1174)</f>
        <v/>
      </c>
      <c r="X1171" t="str">
        <f>IF([2]Baskol!$G$1174="","",[2]Baskol!$G$1174)</f>
        <v/>
      </c>
      <c r="Y1171" t="str">
        <f>IF([2]Baskol!$I$1174="","",[2]Baskol!$I$1174)</f>
        <v/>
      </c>
      <c r="Z1171" t="str">
        <f>IF([2]Baskol!$J$1174="","",[2]Baskol!$J$1174)</f>
        <v/>
      </c>
      <c r="AA1171" t="str">
        <f>IF([2]Baskol!$K$1174="","",[2]Baskol!$K$1174)</f>
        <v/>
      </c>
      <c r="AB1171" t="str">
        <f>IF([2]Baskol!$L$1174="","",[2]Baskol!$L$1174)</f>
        <v/>
      </c>
      <c r="AC1171" t="str">
        <f>IF([2]Baskol!$N$1174="","",[2]Baskol!$N$1174)</f>
        <v/>
      </c>
      <c r="AD1171" t="str">
        <f>IF([2]Baskol!$O$1174="","",[2]Baskol!$O$1174)</f>
        <v/>
      </c>
      <c r="AE1171" t="str">
        <f>IF([3]Entry!$C$1174="","",[3]Entry!$C$1174)</f>
        <v/>
      </c>
      <c r="AF1171" t="str">
        <f>IF([3]Entry!$D$1174="","",[3]Entry!$D$1174)</f>
        <v/>
      </c>
      <c r="AG1171" t="str">
        <f>IF([3]Entry!$E$1174="","",[3]Entry!$E$1174)</f>
        <v/>
      </c>
      <c r="AH1171" t="str">
        <f>IF([3]Entry!$G$1174="","",[3]Entry!$G$1174)</f>
        <v/>
      </c>
      <c r="AI1171" t="str">
        <f>IF([3]Entry!$K$1174="","",[3]Entry!$K$1174)</f>
        <v/>
      </c>
      <c r="AJ1171" t="str">
        <f>IF([3]Entry!$L$1174="","",[3]Entry!$L$1174)</f>
        <v/>
      </c>
      <c r="AK1171" t="str">
        <f>IF([3]Entry!$M$1174="","",[3]Entry!$M$1174)</f>
        <v/>
      </c>
      <c r="AL1171" t="str">
        <f>IF([3]Entry!$N$1174="","",[3]Entry!$N$1174)</f>
        <v/>
      </c>
      <c r="AM1171" t="str">
        <f>IF([3]Entry!$R$1174="","",[3]Entry!$R$1174)</f>
        <v/>
      </c>
    </row>
    <row r="1172" spans="20:39" x14ac:dyDescent="0.2">
      <c r="T1172" t="str">
        <f>IF([2]Baskol!$B$1175="","",[2]Baskol!$B$1175)</f>
        <v/>
      </c>
      <c r="U1172" t="str">
        <f>IF([2]Baskol!$C$1175="","",[2]Baskol!$C$1175)</f>
        <v/>
      </c>
      <c r="V1172" t="str">
        <f>IF([2]Baskol!$D$1175="","",[2]Baskol!$D$1175)</f>
        <v/>
      </c>
      <c r="W1172" t="str">
        <f>IF([2]Baskol!$E$1175="","",[2]Baskol!$E$1175)</f>
        <v/>
      </c>
      <c r="X1172" t="str">
        <f>IF([2]Baskol!$G$1175="","",[2]Baskol!$G$1175)</f>
        <v/>
      </c>
      <c r="Y1172" t="str">
        <f>IF([2]Baskol!$I$1175="","",[2]Baskol!$I$1175)</f>
        <v/>
      </c>
      <c r="Z1172" t="str">
        <f>IF([2]Baskol!$J$1175="","",[2]Baskol!$J$1175)</f>
        <v/>
      </c>
      <c r="AA1172" t="str">
        <f>IF([2]Baskol!$K$1175="","",[2]Baskol!$K$1175)</f>
        <v/>
      </c>
      <c r="AB1172" t="str">
        <f>IF([2]Baskol!$L$1175="","",[2]Baskol!$L$1175)</f>
        <v/>
      </c>
      <c r="AC1172" t="str">
        <f>IF([2]Baskol!$N$1175="","",[2]Baskol!$N$1175)</f>
        <v/>
      </c>
      <c r="AD1172" t="str">
        <f>IF([2]Baskol!$O$1175="","",[2]Baskol!$O$1175)</f>
        <v/>
      </c>
      <c r="AE1172" t="str">
        <f>IF([3]Entry!$C$1175="","",[3]Entry!$C$1175)</f>
        <v/>
      </c>
      <c r="AF1172" t="str">
        <f>IF([3]Entry!$D$1175="","",[3]Entry!$D$1175)</f>
        <v/>
      </c>
      <c r="AG1172" t="str">
        <f>IF([3]Entry!$E$1175="","",[3]Entry!$E$1175)</f>
        <v/>
      </c>
      <c r="AH1172" t="str">
        <f>IF([3]Entry!$G$1175="","",[3]Entry!$G$1175)</f>
        <v/>
      </c>
      <c r="AI1172" t="str">
        <f>IF([3]Entry!$K$1175="","",[3]Entry!$K$1175)</f>
        <v/>
      </c>
      <c r="AJ1172" t="str">
        <f>IF([3]Entry!$L$1175="","",[3]Entry!$L$1175)</f>
        <v/>
      </c>
      <c r="AK1172" t="str">
        <f>IF([3]Entry!$M$1175="","",[3]Entry!$M$1175)</f>
        <v/>
      </c>
      <c r="AL1172" t="str">
        <f>IF([3]Entry!$N$1175="","",[3]Entry!$N$1175)</f>
        <v/>
      </c>
      <c r="AM1172" t="str">
        <f>IF([3]Entry!$R$1175="","",[3]Entry!$R$1175)</f>
        <v/>
      </c>
    </row>
    <row r="1173" spans="20:39" x14ac:dyDescent="0.2">
      <c r="T1173" t="str">
        <f>IF([2]Baskol!$B$1176="","",[2]Baskol!$B$1176)</f>
        <v/>
      </c>
      <c r="U1173" t="str">
        <f>IF([2]Baskol!$C$1176="","",[2]Baskol!$C$1176)</f>
        <v/>
      </c>
      <c r="V1173" t="str">
        <f>IF([2]Baskol!$D$1176="","",[2]Baskol!$D$1176)</f>
        <v/>
      </c>
      <c r="W1173" t="str">
        <f>IF([2]Baskol!$E$1176="","",[2]Baskol!$E$1176)</f>
        <v/>
      </c>
      <c r="X1173" t="str">
        <f>IF([2]Baskol!$G$1176="","",[2]Baskol!$G$1176)</f>
        <v/>
      </c>
      <c r="Y1173" t="str">
        <f>IF([2]Baskol!$I$1176="","",[2]Baskol!$I$1176)</f>
        <v/>
      </c>
      <c r="Z1173" t="str">
        <f>IF([2]Baskol!$J$1176="","",[2]Baskol!$J$1176)</f>
        <v/>
      </c>
      <c r="AA1173" t="str">
        <f>IF([2]Baskol!$K$1176="","",[2]Baskol!$K$1176)</f>
        <v/>
      </c>
      <c r="AB1173" t="str">
        <f>IF([2]Baskol!$L$1176="","",[2]Baskol!$L$1176)</f>
        <v/>
      </c>
      <c r="AC1173" t="str">
        <f>IF([2]Baskol!$N$1176="","",[2]Baskol!$N$1176)</f>
        <v/>
      </c>
      <c r="AD1173" t="str">
        <f>IF([2]Baskol!$O$1176="","",[2]Baskol!$O$1176)</f>
        <v/>
      </c>
      <c r="AE1173" t="str">
        <f>IF([3]Entry!$C$1176="","",[3]Entry!$C$1176)</f>
        <v/>
      </c>
      <c r="AF1173" t="str">
        <f>IF([3]Entry!$D$1176="","",[3]Entry!$D$1176)</f>
        <v/>
      </c>
      <c r="AG1173" t="str">
        <f>IF([3]Entry!$E$1176="","",[3]Entry!$E$1176)</f>
        <v/>
      </c>
      <c r="AH1173" t="str">
        <f>IF([3]Entry!$G$1176="","",[3]Entry!$G$1176)</f>
        <v/>
      </c>
      <c r="AI1173" t="str">
        <f>IF([3]Entry!$K$1176="","",[3]Entry!$K$1176)</f>
        <v/>
      </c>
      <c r="AJ1173" t="str">
        <f>IF([3]Entry!$L$1176="","",[3]Entry!$L$1176)</f>
        <v/>
      </c>
      <c r="AK1173" t="str">
        <f>IF([3]Entry!$M$1176="","",[3]Entry!$M$1176)</f>
        <v/>
      </c>
      <c r="AL1173" t="str">
        <f>IF([3]Entry!$N$1176="","",[3]Entry!$N$1176)</f>
        <v/>
      </c>
      <c r="AM1173" t="str">
        <f>IF([3]Entry!$R$1176="","",[3]Entry!$R$1176)</f>
        <v/>
      </c>
    </row>
    <row r="1174" spans="20:39" x14ac:dyDescent="0.2">
      <c r="T1174" t="str">
        <f>IF([2]Baskol!$B$1177="","",[2]Baskol!$B$1177)</f>
        <v/>
      </c>
      <c r="U1174" t="str">
        <f>IF([2]Baskol!$C$1177="","",[2]Baskol!$C$1177)</f>
        <v/>
      </c>
      <c r="V1174" t="str">
        <f>IF([2]Baskol!$D$1177="","",[2]Baskol!$D$1177)</f>
        <v/>
      </c>
      <c r="W1174" t="str">
        <f>IF([2]Baskol!$E$1177="","",[2]Baskol!$E$1177)</f>
        <v/>
      </c>
      <c r="X1174" t="str">
        <f>IF([2]Baskol!$G$1177="","",[2]Baskol!$G$1177)</f>
        <v/>
      </c>
      <c r="Y1174" t="str">
        <f>IF([2]Baskol!$I$1177="","",[2]Baskol!$I$1177)</f>
        <v/>
      </c>
      <c r="Z1174" t="str">
        <f>IF([2]Baskol!$J$1177="","",[2]Baskol!$J$1177)</f>
        <v/>
      </c>
      <c r="AA1174" t="str">
        <f>IF([2]Baskol!$K$1177="","",[2]Baskol!$K$1177)</f>
        <v/>
      </c>
      <c r="AB1174" t="str">
        <f>IF([2]Baskol!$L$1177="","",[2]Baskol!$L$1177)</f>
        <v/>
      </c>
      <c r="AC1174" t="str">
        <f>IF([2]Baskol!$N$1177="","",[2]Baskol!$N$1177)</f>
        <v/>
      </c>
      <c r="AD1174" t="str">
        <f>IF([2]Baskol!$O$1177="","",[2]Baskol!$O$1177)</f>
        <v/>
      </c>
      <c r="AE1174" t="str">
        <f>IF([3]Entry!$C$1177="","",[3]Entry!$C$1177)</f>
        <v/>
      </c>
      <c r="AF1174" t="str">
        <f>IF([3]Entry!$D$1177="","",[3]Entry!$D$1177)</f>
        <v/>
      </c>
      <c r="AG1174" t="str">
        <f>IF([3]Entry!$E$1177="","",[3]Entry!$E$1177)</f>
        <v/>
      </c>
      <c r="AH1174" t="str">
        <f>IF([3]Entry!$G$1177="","",[3]Entry!$G$1177)</f>
        <v/>
      </c>
      <c r="AI1174" t="str">
        <f>IF([3]Entry!$K$1177="","",[3]Entry!$K$1177)</f>
        <v/>
      </c>
      <c r="AJ1174" t="str">
        <f>IF([3]Entry!$L$1177="","",[3]Entry!$L$1177)</f>
        <v/>
      </c>
      <c r="AK1174" t="str">
        <f>IF([3]Entry!$M$1177="","",[3]Entry!$M$1177)</f>
        <v/>
      </c>
      <c r="AL1174" t="str">
        <f>IF([3]Entry!$N$1177="","",[3]Entry!$N$1177)</f>
        <v/>
      </c>
      <c r="AM1174" t="str">
        <f>IF([3]Entry!$R$1177="","",[3]Entry!$R$1177)</f>
        <v/>
      </c>
    </row>
    <row r="1175" spans="20:39" x14ac:dyDescent="0.2">
      <c r="T1175" t="str">
        <f>IF([2]Baskol!$B$1178="","",[2]Baskol!$B$1178)</f>
        <v/>
      </c>
      <c r="U1175" t="str">
        <f>IF([2]Baskol!$C$1178="","",[2]Baskol!$C$1178)</f>
        <v/>
      </c>
      <c r="V1175" t="str">
        <f>IF([2]Baskol!$D$1178="","",[2]Baskol!$D$1178)</f>
        <v/>
      </c>
      <c r="W1175" t="str">
        <f>IF([2]Baskol!$E$1178="","",[2]Baskol!$E$1178)</f>
        <v/>
      </c>
      <c r="X1175" t="str">
        <f>IF([2]Baskol!$G$1178="","",[2]Baskol!$G$1178)</f>
        <v/>
      </c>
      <c r="Y1175" t="str">
        <f>IF([2]Baskol!$I$1178="","",[2]Baskol!$I$1178)</f>
        <v/>
      </c>
      <c r="Z1175" t="str">
        <f>IF([2]Baskol!$J$1178="","",[2]Baskol!$J$1178)</f>
        <v/>
      </c>
      <c r="AA1175" t="str">
        <f>IF([2]Baskol!$K$1178="","",[2]Baskol!$K$1178)</f>
        <v/>
      </c>
      <c r="AB1175" t="str">
        <f>IF([2]Baskol!$L$1178="","",[2]Baskol!$L$1178)</f>
        <v/>
      </c>
      <c r="AC1175" t="str">
        <f>IF([2]Baskol!$N$1178="","",[2]Baskol!$N$1178)</f>
        <v/>
      </c>
      <c r="AD1175" t="str">
        <f>IF([2]Baskol!$O$1178="","",[2]Baskol!$O$1178)</f>
        <v/>
      </c>
      <c r="AE1175" t="str">
        <f>IF([3]Entry!$C$1178="","",[3]Entry!$C$1178)</f>
        <v/>
      </c>
      <c r="AF1175" t="str">
        <f>IF([3]Entry!$D$1178="","",[3]Entry!$D$1178)</f>
        <v/>
      </c>
      <c r="AG1175" t="str">
        <f>IF([3]Entry!$E$1178="","",[3]Entry!$E$1178)</f>
        <v/>
      </c>
      <c r="AH1175" t="str">
        <f>IF([3]Entry!$G$1178="","",[3]Entry!$G$1178)</f>
        <v/>
      </c>
      <c r="AI1175" t="str">
        <f>IF([3]Entry!$K$1178="","",[3]Entry!$K$1178)</f>
        <v/>
      </c>
      <c r="AJ1175" t="str">
        <f>IF([3]Entry!$L$1178="","",[3]Entry!$L$1178)</f>
        <v/>
      </c>
      <c r="AK1175" t="str">
        <f>IF([3]Entry!$M$1178="","",[3]Entry!$M$1178)</f>
        <v/>
      </c>
      <c r="AL1175" t="str">
        <f>IF([3]Entry!$N$1178="","",[3]Entry!$N$1178)</f>
        <v/>
      </c>
      <c r="AM1175" t="str">
        <f>IF([3]Entry!$R$1178="","",[3]Entry!$R$1178)</f>
        <v/>
      </c>
    </row>
    <row r="1176" spans="20:39" x14ac:dyDescent="0.2">
      <c r="T1176" t="str">
        <f>IF([2]Baskol!$B$1179="","",[2]Baskol!$B$1179)</f>
        <v/>
      </c>
      <c r="U1176" t="str">
        <f>IF([2]Baskol!$C$1179="","",[2]Baskol!$C$1179)</f>
        <v/>
      </c>
      <c r="V1176" t="str">
        <f>IF([2]Baskol!$D$1179="","",[2]Baskol!$D$1179)</f>
        <v/>
      </c>
      <c r="W1176" t="str">
        <f>IF([2]Baskol!$E$1179="","",[2]Baskol!$E$1179)</f>
        <v/>
      </c>
      <c r="X1176" t="str">
        <f>IF([2]Baskol!$G$1179="","",[2]Baskol!$G$1179)</f>
        <v/>
      </c>
      <c r="Y1176" t="str">
        <f>IF([2]Baskol!$I$1179="","",[2]Baskol!$I$1179)</f>
        <v/>
      </c>
      <c r="Z1176" t="str">
        <f>IF([2]Baskol!$J$1179="","",[2]Baskol!$J$1179)</f>
        <v/>
      </c>
      <c r="AA1176" t="str">
        <f>IF([2]Baskol!$K$1179="","",[2]Baskol!$K$1179)</f>
        <v/>
      </c>
      <c r="AB1176" t="str">
        <f>IF([2]Baskol!$L$1179="","",[2]Baskol!$L$1179)</f>
        <v/>
      </c>
      <c r="AC1176" t="str">
        <f>IF([2]Baskol!$N$1179="","",[2]Baskol!$N$1179)</f>
        <v/>
      </c>
      <c r="AD1176" t="str">
        <f>IF([2]Baskol!$O$1179="","",[2]Baskol!$O$1179)</f>
        <v/>
      </c>
      <c r="AE1176" t="str">
        <f>IF([3]Entry!$C$1179="","",[3]Entry!$C$1179)</f>
        <v/>
      </c>
      <c r="AF1176" t="str">
        <f>IF([3]Entry!$D$1179="","",[3]Entry!$D$1179)</f>
        <v/>
      </c>
      <c r="AG1176" t="str">
        <f>IF([3]Entry!$E$1179="","",[3]Entry!$E$1179)</f>
        <v/>
      </c>
      <c r="AH1176" t="str">
        <f>IF([3]Entry!$G$1179="","",[3]Entry!$G$1179)</f>
        <v/>
      </c>
      <c r="AI1176" t="str">
        <f>IF([3]Entry!$K$1179="","",[3]Entry!$K$1179)</f>
        <v/>
      </c>
      <c r="AJ1176" t="str">
        <f>IF([3]Entry!$L$1179="","",[3]Entry!$L$1179)</f>
        <v/>
      </c>
      <c r="AK1176" t="str">
        <f>IF([3]Entry!$M$1179="","",[3]Entry!$M$1179)</f>
        <v/>
      </c>
      <c r="AL1176" t="str">
        <f>IF([3]Entry!$N$1179="","",[3]Entry!$N$1179)</f>
        <v/>
      </c>
      <c r="AM1176" t="str">
        <f>IF([3]Entry!$R$1179="","",[3]Entry!$R$1179)</f>
        <v/>
      </c>
    </row>
    <row r="1177" spans="20:39" x14ac:dyDescent="0.2">
      <c r="T1177" t="str">
        <f>IF([2]Baskol!$B$1180="","",[2]Baskol!$B$1180)</f>
        <v/>
      </c>
      <c r="U1177" t="str">
        <f>IF([2]Baskol!$C$1180="","",[2]Baskol!$C$1180)</f>
        <v/>
      </c>
      <c r="V1177" t="str">
        <f>IF([2]Baskol!$D$1180="","",[2]Baskol!$D$1180)</f>
        <v/>
      </c>
      <c r="W1177" t="str">
        <f>IF([2]Baskol!$E$1180="","",[2]Baskol!$E$1180)</f>
        <v/>
      </c>
      <c r="X1177" t="str">
        <f>IF([2]Baskol!$G$1180="","",[2]Baskol!$G$1180)</f>
        <v/>
      </c>
      <c r="Y1177" t="str">
        <f>IF([2]Baskol!$I$1180="","",[2]Baskol!$I$1180)</f>
        <v/>
      </c>
      <c r="Z1177" t="str">
        <f>IF([2]Baskol!$J$1180="","",[2]Baskol!$J$1180)</f>
        <v/>
      </c>
      <c r="AA1177" t="str">
        <f>IF([2]Baskol!$K$1180="","",[2]Baskol!$K$1180)</f>
        <v/>
      </c>
      <c r="AB1177" t="str">
        <f>IF([2]Baskol!$L$1180="","",[2]Baskol!$L$1180)</f>
        <v/>
      </c>
      <c r="AC1177" t="str">
        <f>IF([2]Baskol!$N$1180="","",[2]Baskol!$N$1180)</f>
        <v/>
      </c>
      <c r="AD1177" t="str">
        <f>IF([2]Baskol!$O$1180="","",[2]Baskol!$O$1180)</f>
        <v/>
      </c>
      <c r="AE1177" t="str">
        <f>IF([3]Entry!$C$1180="","",[3]Entry!$C$1180)</f>
        <v/>
      </c>
      <c r="AF1177" t="str">
        <f>IF([3]Entry!$D$1180="","",[3]Entry!$D$1180)</f>
        <v/>
      </c>
      <c r="AG1177" t="str">
        <f>IF([3]Entry!$E$1180="","",[3]Entry!$E$1180)</f>
        <v/>
      </c>
      <c r="AH1177" t="str">
        <f>IF([3]Entry!$G$1180="","",[3]Entry!$G$1180)</f>
        <v/>
      </c>
      <c r="AI1177" t="str">
        <f>IF([3]Entry!$K$1180="","",[3]Entry!$K$1180)</f>
        <v/>
      </c>
      <c r="AJ1177" t="str">
        <f>IF([3]Entry!$L$1180="","",[3]Entry!$L$1180)</f>
        <v/>
      </c>
      <c r="AK1177" t="str">
        <f>IF([3]Entry!$M$1180="","",[3]Entry!$M$1180)</f>
        <v/>
      </c>
      <c r="AL1177" t="str">
        <f>IF([3]Entry!$N$1180="","",[3]Entry!$N$1180)</f>
        <v/>
      </c>
      <c r="AM1177" t="str">
        <f>IF([3]Entry!$R$1180="","",[3]Entry!$R$1180)</f>
        <v/>
      </c>
    </row>
    <row r="1178" spans="20:39" x14ac:dyDescent="0.2">
      <c r="T1178" t="str">
        <f>IF([2]Baskol!$B$1181="","",[2]Baskol!$B$1181)</f>
        <v/>
      </c>
      <c r="U1178" t="str">
        <f>IF([2]Baskol!$C$1181="","",[2]Baskol!$C$1181)</f>
        <v/>
      </c>
      <c r="V1178" t="str">
        <f>IF([2]Baskol!$D$1181="","",[2]Baskol!$D$1181)</f>
        <v/>
      </c>
      <c r="W1178" t="str">
        <f>IF([2]Baskol!$E$1181="","",[2]Baskol!$E$1181)</f>
        <v/>
      </c>
      <c r="X1178" t="str">
        <f>IF([2]Baskol!$G$1181="","",[2]Baskol!$G$1181)</f>
        <v/>
      </c>
      <c r="Y1178" t="str">
        <f>IF([2]Baskol!$I$1181="","",[2]Baskol!$I$1181)</f>
        <v/>
      </c>
      <c r="Z1178" t="str">
        <f>IF([2]Baskol!$J$1181="","",[2]Baskol!$J$1181)</f>
        <v/>
      </c>
      <c r="AA1178" t="str">
        <f>IF([2]Baskol!$K$1181="","",[2]Baskol!$K$1181)</f>
        <v/>
      </c>
      <c r="AB1178" t="str">
        <f>IF([2]Baskol!$L$1181="","",[2]Baskol!$L$1181)</f>
        <v/>
      </c>
      <c r="AC1178" t="str">
        <f>IF([2]Baskol!$N$1181="","",[2]Baskol!$N$1181)</f>
        <v/>
      </c>
      <c r="AD1178" t="str">
        <f>IF([2]Baskol!$O$1181="","",[2]Baskol!$O$1181)</f>
        <v/>
      </c>
      <c r="AE1178" t="str">
        <f>IF([3]Entry!$C$1181="","",[3]Entry!$C$1181)</f>
        <v/>
      </c>
      <c r="AF1178" t="str">
        <f>IF([3]Entry!$D$1181="","",[3]Entry!$D$1181)</f>
        <v/>
      </c>
      <c r="AG1178" t="str">
        <f>IF([3]Entry!$E$1181="","",[3]Entry!$E$1181)</f>
        <v/>
      </c>
      <c r="AH1178" t="str">
        <f>IF([3]Entry!$G$1181="","",[3]Entry!$G$1181)</f>
        <v/>
      </c>
      <c r="AI1178" t="str">
        <f>IF([3]Entry!$K$1181="","",[3]Entry!$K$1181)</f>
        <v/>
      </c>
      <c r="AJ1178" t="str">
        <f>IF([3]Entry!$L$1181="","",[3]Entry!$L$1181)</f>
        <v/>
      </c>
      <c r="AK1178" t="str">
        <f>IF([3]Entry!$M$1181="","",[3]Entry!$M$1181)</f>
        <v/>
      </c>
      <c r="AL1178" t="str">
        <f>IF([3]Entry!$N$1181="","",[3]Entry!$N$1181)</f>
        <v/>
      </c>
      <c r="AM1178" t="str">
        <f>IF([3]Entry!$R$1181="","",[3]Entry!$R$1181)</f>
        <v/>
      </c>
    </row>
    <row r="1179" spans="20:39" x14ac:dyDescent="0.2">
      <c r="T1179" t="str">
        <f>IF([2]Baskol!$B$1182="","",[2]Baskol!$B$1182)</f>
        <v/>
      </c>
      <c r="U1179" t="str">
        <f>IF([2]Baskol!$C$1182="","",[2]Baskol!$C$1182)</f>
        <v/>
      </c>
      <c r="V1179" t="str">
        <f>IF([2]Baskol!$D$1182="","",[2]Baskol!$D$1182)</f>
        <v/>
      </c>
      <c r="W1179" t="str">
        <f>IF([2]Baskol!$E$1182="","",[2]Baskol!$E$1182)</f>
        <v/>
      </c>
      <c r="X1179" t="str">
        <f>IF([2]Baskol!$G$1182="","",[2]Baskol!$G$1182)</f>
        <v/>
      </c>
      <c r="Y1179" t="str">
        <f>IF([2]Baskol!$I$1182="","",[2]Baskol!$I$1182)</f>
        <v/>
      </c>
      <c r="Z1179" t="str">
        <f>IF([2]Baskol!$J$1182="","",[2]Baskol!$J$1182)</f>
        <v/>
      </c>
      <c r="AA1179" t="str">
        <f>IF([2]Baskol!$K$1182="","",[2]Baskol!$K$1182)</f>
        <v/>
      </c>
      <c r="AB1179" t="str">
        <f>IF([2]Baskol!$L$1182="","",[2]Baskol!$L$1182)</f>
        <v/>
      </c>
      <c r="AC1179" t="str">
        <f>IF([2]Baskol!$N$1182="","",[2]Baskol!$N$1182)</f>
        <v/>
      </c>
      <c r="AD1179" t="str">
        <f>IF([2]Baskol!$O$1182="","",[2]Baskol!$O$1182)</f>
        <v/>
      </c>
      <c r="AE1179" t="str">
        <f>IF([3]Entry!$C$1182="","",[3]Entry!$C$1182)</f>
        <v/>
      </c>
      <c r="AF1179" t="str">
        <f>IF([3]Entry!$D$1182="","",[3]Entry!$D$1182)</f>
        <v/>
      </c>
      <c r="AG1179" t="str">
        <f>IF([3]Entry!$E$1182="","",[3]Entry!$E$1182)</f>
        <v/>
      </c>
      <c r="AH1179" t="str">
        <f>IF([3]Entry!$G$1182="","",[3]Entry!$G$1182)</f>
        <v/>
      </c>
      <c r="AI1179" t="str">
        <f>IF([3]Entry!$K$1182="","",[3]Entry!$K$1182)</f>
        <v/>
      </c>
      <c r="AJ1179" t="str">
        <f>IF([3]Entry!$L$1182="","",[3]Entry!$L$1182)</f>
        <v/>
      </c>
      <c r="AK1179" t="str">
        <f>IF([3]Entry!$M$1182="","",[3]Entry!$M$1182)</f>
        <v/>
      </c>
      <c r="AL1179" t="str">
        <f>IF([3]Entry!$N$1182="","",[3]Entry!$N$1182)</f>
        <v/>
      </c>
      <c r="AM1179" t="str">
        <f>IF([3]Entry!$R$1182="","",[3]Entry!$R$1182)</f>
        <v/>
      </c>
    </row>
    <row r="1180" spans="20:39" x14ac:dyDescent="0.2">
      <c r="T1180" t="str">
        <f>IF([2]Baskol!$B$1183="","",[2]Baskol!$B$1183)</f>
        <v/>
      </c>
      <c r="U1180" t="str">
        <f>IF([2]Baskol!$C$1183="","",[2]Baskol!$C$1183)</f>
        <v/>
      </c>
      <c r="V1180" t="str">
        <f>IF([2]Baskol!$D$1183="","",[2]Baskol!$D$1183)</f>
        <v/>
      </c>
      <c r="W1180" t="str">
        <f>IF([2]Baskol!$E$1183="","",[2]Baskol!$E$1183)</f>
        <v/>
      </c>
      <c r="X1180" t="str">
        <f>IF([2]Baskol!$G$1183="","",[2]Baskol!$G$1183)</f>
        <v/>
      </c>
      <c r="Y1180" t="str">
        <f>IF([2]Baskol!$I$1183="","",[2]Baskol!$I$1183)</f>
        <v/>
      </c>
      <c r="Z1180" t="str">
        <f>IF([2]Baskol!$J$1183="","",[2]Baskol!$J$1183)</f>
        <v/>
      </c>
      <c r="AA1180" t="str">
        <f>IF([2]Baskol!$K$1183="","",[2]Baskol!$K$1183)</f>
        <v/>
      </c>
      <c r="AB1180" t="str">
        <f>IF([2]Baskol!$L$1183="","",[2]Baskol!$L$1183)</f>
        <v/>
      </c>
      <c r="AC1180" t="str">
        <f>IF([2]Baskol!$N$1183="","",[2]Baskol!$N$1183)</f>
        <v/>
      </c>
      <c r="AD1180" t="str">
        <f>IF([2]Baskol!$O$1183="","",[2]Baskol!$O$1183)</f>
        <v/>
      </c>
      <c r="AE1180" t="str">
        <f>IF([3]Entry!$C$1183="","",[3]Entry!$C$1183)</f>
        <v/>
      </c>
      <c r="AF1180" t="str">
        <f>IF([3]Entry!$D$1183="","",[3]Entry!$D$1183)</f>
        <v/>
      </c>
      <c r="AG1180" t="str">
        <f>IF([3]Entry!$E$1183="","",[3]Entry!$E$1183)</f>
        <v/>
      </c>
      <c r="AH1180" t="str">
        <f>IF([3]Entry!$G$1183="","",[3]Entry!$G$1183)</f>
        <v/>
      </c>
      <c r="AI1180" t="str">
        <f>IF([3]Entry!$K$1183="","",[3]Entry!$K$1183)</f>
        <v/>
      </c>
      <c r="AJ1180" t="str">
        <f>IF([3]Entry!$L$1183="","",[3]Entry!$L$1183)</f>
        <v/>
      </c>
      <c r="AK1180" t="str">
        <f>IF([3]Entry!$M$1183="","",[3]Entry!$M$1183)</f>
        <v/>
      </c>
      <c r="AL1180" t="str">
        <f>IF([3]Entry!$N$1183="","",[3]Entry!$N$1183)</f>
        <v/>
      </c>
      <c r="AM1180" t="str">
        <f>IF([3]Entry!$R$1183="","",[3]Entry!$R$1183)</f>
        <v/>
      </c>
    </row>
    <row r="1181" spans="20:39" x14ac:dyDescent="0.2">
      <c r="T1181" t="str">
        <f>IF([2]Baskol!$B$1184="","",[2]Baskol!$B$1184)</f>
        <v/>
      </c>
      <c r="U1181" t="str">
        <f>IF([2]Baskol!$C$1184="","",[2]Baskol!$C$1184)</f>
        <v/>
      </c>
      <c r="V1181" t="str">
        <f>IF([2]Baskol!$D$1184="","",[2]Baskol!$D$1184)</f>
        <v/>
      </c>
      <c r="W1181" t="str">
        <f>IF([2]Baskol!$E$1184="","",[2]Baskol!$E$1184)</f>
        <v/>
      </c>
      <c r="X1181" t="str">
        <f>IF([2]Baskol!$G$1184="","",[2]Baskol!$G$1184)</f>
        <v/>
      </c>
      <c r="Y1181" t="str">
        <f>IF([2]Baskol!$I$1184="","",[2]Baskol!$I$1184)</f>
        <v/>
      </c>
      <c r="Z1181" t="str">
        <f>IF([2]Baskol!$J$1184="","",[2]Baskol!$J$1184)</f>
        <v/>
      </c>
      <c r="AA1181" t="str">
        <f>IF([2]Baskol!$K$1184="","",[2]Baskol!$K$1184)</f>
        <v/>
      </c>
      <c r="AB1181" t="str">
        <f>IF([2]Baskol!$L$1184="","",[2]Baskol!$L$1184)</f>
        <v/>
      </c>
      <c r="AC1181" t="str">
        <f>IF([2]Baskol!$N$1184="","",[2]Baskol!$N$1184)</f>
        <v/>
      </c>
      <c r="AD1181" t="str">
        <f>IF([2]Baskol!$O$1184="","",[2]Baskol!$O$1184)</f>
        <v/>
      </c>
      <c r="AE1181" t="str">
        <f>IF([3]Entry!$C$1184="","",[3]Entry!$C$1184)</f>
        <v/>
      </c>
      <c r="AF1181" t="str">
        <f>IF([3]Entry!$D$1184="","",[3]Entry!$D$1184)</f>
        <v/>
      </c>
      <c r="AG1181" t="str">
        <f>IF([3]Entry!$E$1184="","",[3]Entry!$E$1184)</f>
        <v/>
      </c>
      <c r="AH1181" t="str">
        <f>IF([3]Entry!$G$1184="","",[3]Entry!$G$1184)</f>
        <v/>
      </c>
      <c r="AI1181" t="str">
        <f>IF([3]Entry!$K$1184="","",[3]Entry!$K$1184)</f>
        <v/>
      </c>
      <c r="AJ1181" t="str">
        <f>IF([3]Entry!$L$1184="","",[3]Entry!$L$1184)</f>
        <v/>
      </c>
      <c r="AK1181" t="str">
        <f>IF([3]Entry!$M$1184="","",[3]Entry!$M$1184)</f>
        <v/>
      </c>
      <c r="AL1181" t="str">
        <f>IF([3]Entry!$N$1184="","",[3]Entry!$N$1184)</f>
        <v/>
      </c>
      <c r="AM1181" t="str">
        <f>IF([3]Entry!$R$1184="","",[3]Entry!$R$1184)</f>
        <v/>
      </c>
    </row>
    <row r="1182" spans="20:39" x14ac:dyDescent="0.2">
      <c r="T1182" t="str">
        <f>IF([2]Baskol!$B$1185="","",[2]Baskol!$B$1185)</f>
        <v/>
      </c>
      <c r="U1182" t="str">
        <f>IF([2]Baskol!$C$1185="","",[2]Baskol!$C$1185)</f>
        <v/>
      </c>
      <c r="V1182" t="str">
        <f>IF([2]Baskol!$D$1185="","",[2]Baskol!$D$1185)</f>
        <v/>
      </c>
      <c r="W1182" t="str">
        <f>IF([2]Baskol!$E$1185="","",[2]Baskol!$E$1185)</f>
        <v/>
      </c>
      <c r="X1182" t="str">
        <f>IF([2]Baskol!$G$1185="","",[2]Baskol!$G$1185)</f>
        <v/>
      </c>
      <c r="Y1182" t="str">
        <f>IF([2]Baskol!$I$1185="","",[2]Baskol!$I$1185)</f>
        <v/>
      </c>
      <c r="Z1182" t="str">
        <f>IF([2]Baskol!$J$1185="","",[2]Baskol!$J$1185)</f>
        <v/>
      </c>
      <c r="AA1182" t="str">
        <f>IF([2]Baskol!$K$1185="","",[2]Baskol!$K$1185)</f>
        <v/>
      </c>
      <c r="AB1182" t="str">
        <f>IF([2]Baskol!$L$1185="","",[2]Baskol!$L$1185)</f>
        <v/>
      </c>
      <c r="AC1182" t="str">
        <f>IF([2]Baskol!$N$1185="","",[2]Baskol!$N$1185)</f>
        <v/>
      </c>
      <c r="AD1182" t="str">
        <f>IF([2]Baskol!$O$1185="","",[2]Baskol!$O$1185)</f>
        <v/>
      </c>
      <c r="AE1182" t="str">
        <f>IF([3]Entry!$C$1185="","",[3]Entry!$C$1185)</f>
        <v/>
      </c>
      <c r="AF1182" t="str">
        <f>IF([3]Entry!$D$1185="","",[3]Entry!$D$1185)</f>
        <v/>
      </c>
      <c r="AG1182" t="str">
        <f>IF([3]Entry!$E$1185="","",[3]Entry!$E$1185)</f>
        <v/>
      </c>
      <c r="AH1182" t="str">
        <f>IF([3]Entry!$G$1185="","",[3]Entry!$G$1185)</f>
        <v/>
      </c>
      <c r="AI1182" t="str">
        <f>IF([3]Entry!$K$1185="","",[3]Entry!$K$1185)</f>
        <v/>
      </c>
      <c r="AJ1182" t="str">
        <f>IF([3]Entry!$L$1185="","",[3]Entry!$L$1185)</f>
        <v/>
      </c>
      <c r="AK1182" t="str">
        <f>IF([3]Entry!$M$1185="","",[3]Entry!$M$1185)</f>
        <v/>
      </c>
      <c r="AL1182" t="str">
        <f>IF([3]Entry!$N$1185="","",[3]Entry!$N$1185)</f>
        <v/>
      </c>
      <c r="AM1182" t="str">
        <f>IF([3]Entry!$R$1185="","",[3]Entry!$R$1185)</f>
        <v/>
      </c>
    </row>
    <row r="1183" spans="20:39" x14ac:dyDescent="0.2">
      <c r="T1183" t="str">
        <f>IF([2]Baskol!$B$1186="","",[2]Baskol!$B$1186)</f>
        <v/>
      </c>
      <c r="U1183" t="str">
        <f>IF([2]Baskol!$C$1186="","",[2]Baskol!$C$1186)</f>
        <v/>
      </c>
      <c r="V1183" t="str">
        <f>IF([2]Baskol!$D$1186="","",[2]Baskol!$D$1186)</f>
        <v/>
      </c>
      <c r="W1183" t="str">
        <f>IF([2]Baskol!$E$1186="","",[2]Baskol!$E$1186)</f>
        <v/>
      </c>
      <c r="X1183" t="str">
        <f>IF([2]Baskol!$G$1186="","",[2]Baskol!$G$1186)</f>
        <v/>
      </c>
      <c r="Y1183" t="str">
        <f>IF([2]Baskol!$I$1186="","",[2]Baskol!$I$1186)</f>
        <v/>
      </c>
      <c r="Z1183" t="str">
        <f>IF([2]Baskol!$J$1186="","",[2]Baskol!$J$1186)</f>
        <v/>
      </c>
      <c r="AA1183" t="str">
        <f>IF([2]Baskol!$K$1186="","",[2]Baskol!$K$1186)</f>
        <v/>
      </c>
      <c r="AB1183" t="str">
        <f>IF([2]Baskol!$L$1186="","",[2]Baskol!$L$1186)</f>
        <v/>
      </c>
      <c r="AC1183" t="str">
        <f>IF([2]Baskol!$N$1186="","",[2]Baskol!$N$1186)</f>
        <v/>
      </c>
      <c r="AD1183" t="str">
        <f>IF([2]Baskol!$O$1186="","",[2]Baskol!$O$1186)</f>
        <v/>
      </c>
      <c r="AE1183" t="str">
        <f>IF([3]Entry!$C$1186="","",[3]Entry!$C$1186)</f>
        <v/>
      </c>
      <c r="AF1183" t="str">
        <f>IF([3]Entry!$D$1186="","",[3]Entry!$D$1186)</f>
        <v/>
      </c>
      <c r="AG1183" t="str">
        <f>IF([3]Entry!$E$1186="","",[3]Entry!$E$1186)</f>
        <v/>
      </c>
      <c r="AH1183" t="str">
        <f>IF([3]Entry!$G$1186="","",[3]Entry!$G$1186)</f>
        <v/>
      </c>
      <c r="AI1183" t="str">
        <f>IF([3]Entry!$K$1186="","",[3]Entry!$K$1186)</f>
        <v/>
      </c>
      <c r="AJ1183" t="str">
        <f>IF([3]Entry!$L$1186="","",[3]Entry!$L$1186)</f>
        <v/>
      </c>
      <c r="AK1183" t="str">
        <f>IF([3]Entry!$M$1186="","",[3]Entry!$M$1186)</f>
        <v/>
      </c>
      <c r="AL1183" t="str">
        <f>IF([3]Entry!$N$1186="","",[3]Entry!$N$1186)</f>
        <v/>
      </c>
      <c r="AM1183" t="str">
        <f>IF([3]Entry!$R$1186="","",[3]Entry!$R$1186)</f>
        <v/>
      </c>
    </row>
    <row r="1184" spans="20:39" x14ac:dyDescent="0.2">
      <c r="T1184" t="str">
        <f>IF([2]Baskol!$B$1187="","",[2]Baskol!$B$1187)</f>
        <v/>
      </c>
      <c r="U1184" t="str">
        <f>IF([2]Baskol!$C$1187="","",[2]Baskol!$C$1187)</f>
        <v/>
      </c>
      <c r="V1184" t="str">
        <f>IF([2]Baskol!$D$1187="","",[2]Baskol!$D$1187)</f>
        <v/>
      </c>
      <c r="W1184" t="str">
        <f>IF([2]Baskol!$E$1187="","",[2]Baskol!$E$1187)</f>
        <v/>
      </c>
      <c r="X1184" t="str">
        <f>IF([2]Baskol!$G$1187="","",[2]Baskol!$G$1187)</f>
        <v/>
      </c>
      <c r="Y1184" t="str">
        <f>IF([2]Baskol!$I$1187="","",[2]Baskol!$I$1187)</f>
        <v/>
      </c>
      <c r="Z1184" t="str">
        <f>IF([2]Baskol!$J$1187="","",[2]Baskol!$J$1187)</f>
        <v/>
      </c>
      <c r="AA1184" t="str">
        <f>IF([2]Baskol!$K$1187="","",[2]Baskol!$K$1187)</f>
        <v/>
      </c>
      <c r="AB1184" t="str">
        <f>IF([2]Baskol!$L$1187="","",[2]Baskol!$L$1187)</f>
        <v/>
      </c>
      <c r="AC1184" t="str">
        <f>IF([2]Baskol!$N$1187="","",[2]Baskol!$N$1187)</f>
        <v/>
      </c>
      <c r="AD1184" t="str">
        <f>IF([2]Baskol!$O$1187="","",[2]Baskol!$O$1187)</f>
        <v/>
      </c>
      <c r="AE1184" t="str">
        <f>IF([3]Entry!$C$1187="","",[3]Entry!$C$1187)</f>
        <v/>
      </c>
      <c r="AF1184" t="str">
        <f>IF([3]Entry!$D$1187="","",[3]Entry!$D$1187)</f>
        <v/>
      </c>
      <c r="AG1184" t="str">
        <f>IF([3]Entry!$E$1187="","",[3]Entry!$E$1187)</f>
        <v/>
      </c>
      <c r="AH1184" t="str">
        <f>IF([3]Entry!$G$1187="","",[3]Entry!$G$1187)</f>
        <v/>
      </c>
      <c r="AI1184" t="str">
        <f>IF([3]Entry!$K$1187="","",[3]Entry!$K$1187)</f>
        <v/>
      </c>
      <c r="AJ1184" t="str">
        <f>IF([3]Entry!$L$1187="","",[3]Entry!$L$1187)</f>
        <v/>
      </c>
      <c r="AK1184" t="str">
        <f>IF([3]Entry!$M$1187="","",[3]Entry!$M$1187)</f>
        <v/>
      </c>
      <c r="AL1184" t="str">
        <f>IF([3]Entry!$N$1187="","",[3]Entry!$N$1187)</f>
        <v/>
      </c>
      <c r="AM1184" t="str">
        <f>IF([3]Entry!$R$1187="","",[3]Entry!$R$1187)</f>
        <v/>
      </c>
    </row>
    <row r="1185" spans="20:39" x14ac:dyDescent="0.2">
      <c r="T1185" t="str">
        <f>IF([2]Baskol!$B$1188="","",[2]Baskol!$B$1188)</f>
        <v/>
      </c>
      <c r="U1185" t="str">
        <f>IF([2]Baskol!$C$1188="","",[2]Baskol!$C$1188)</f>
        <v/>
      </c>
      <c r="V1185" t="str">
        <f>IF([2]Baskol!$D$1188="","",[2]Baskol!$D$1188)</f>
        <v/>
      </c>
      <c r="W1185" t="str">
        <f>IF([2]Baskol!$E$1188="","",[2]Baskol!$E$1188)</f>
        <v/>
      </c>
      <c r="X1185" t="str">
        <f>IF([2]Baskol!$G$1188="","",[2]Baskol!$G$1188)</f>
        <v/>
      </c>
      <c r="Y1185" t="str">
        <f>IF([2]Baskol!$I$1188="","",[2]Baskol!$I$1188)</f>
        <v/>
      </c>
      <c r="Z1185" t="str">
        <f>IF([2]Baskol!$J$1188="","",[2]Baskol!$J$1188)</f>
        <v/>
      </c>
      <c r="AA1185" t="str">
        <f>IF([2]Baskol!$K$1188="","",[2]Baskol!$K$1188)</f>
        <v/>
      </c>
      <c r="AB1185" t="str">
        <f>IF([2]Baskol!$L$1188="","",[2]Baskol!$L$1188)</f>
        <v/>
      </c>
      <c r="AC1185" t="str">
        <f>IF([2]Baskol!$N$1188="","",[2]Baskol!$N$1188)</f>
        <v/>
      </c>
      <c r="AD1185" t="str">
        <f>IF([2]Baskol!$O$1188="","",[2]Baskol!$O$1188)</f>
        <v/>
      </c>
      <c r="AE1185" t="str">
        <f>IF([3]Entry!$C$1188="","",[3]Entry!$C$1188)</f>
        <v/>
      </c>
      <c r="AF1185" t="str">
        <f>IF([3]Entry!$D$1188="","",[3]Entry!$D$1188)</f>
        <v/>
      </c>
      <c r="AG1185" t="str">
        <f>IF([3]Entry!$E$1188="","",[3]Entry!$E$1188)</f>
        <v/>
      </c>
      <c r="AH1185" t="str">
        <f>IF([3]Entry!$G$1188="","",[3]Entry!$G$1188)</f>
        <v/>
      </c>
      <c r="AI1185" t="str">
        <f>IF([3]Entry!$K$1188="","",[3]Entry!$K$1188)</f>
        <v/>
      </c>
      <c r="AJ1185" t="str">
        <f>IF([3]Entry!$L$1188="","",[3]Entry!$L$1188)</f>
        <v/>
      </c>
      <c r="AK1185" t="str">
        <f>IF([3]Entry!$M$1188="","",[3]Entry!$M$1188)</f>
        <v/>
      </c>
      <c r="AL1185" t="str">
        <f>IF([3]Entry!$N$1188="","",[3]Entry!$N$1188)</f>
        <v/>
      </c>
      <c r="AM1185" t="str">
        <f>IF([3]Entry!$R$1188="","",[3]Entry!$R$1188)</f>
        <v/>
      </c>
    </row>
    <row r="1186" spans="20:39" x14ac:dyDescent="0.2">
      <c r="T1186" t="str">
        <f>IF([2]Baskol!$B$1189="","",[2]Baskol!$B$1189)</f>
        <v/>
      </c>
      <c r="U1186" t="str">
        <f>IF([2]Baskol!$C$1189="","",[2]Baskol!$C$1189)</f>
        <v/>
      </c>
      <c r="V1186" t="str">
        <f>IF([2]Baskol!$D$1189="","",[2]Baskol!$D$1189)</f>
        <v/>
      </c>
      <c r="W1186" t="str">
        <f>IF([2]Baskol!$E$1189="","",[2]Baskol!$E$1189)</f>
        <v/>
      </c>
      <c r="X1186" t="str">
        <f>IF([2]Baskol!$G$1189="","",[2]Baskol!$G$1189)</f>
        <v/>
      </c>
      <c r="Y1186" t="str">
        <f>IF([2]Baskol!$I$1189="","",[2]Baskol!$I$1189)</f>
        <v/>
      </c>
      <c r="Z1186" t="str">
        <f>IF([2]Baskol!$J$1189="","",[2]Baskol!$J$1189)</f>
        <v/>
      </c>
      <c r="AA1186" t="str">
        <f>IF([2]Baskol!$K$1189="","",[2]Baskol!$K$1189)</f>
        <v/>
      </c>
      <c r="AB1186" t="str">
        <f>IF([2]Baskol!$L$1189="","",[2]Baskol!$L$1189)</f>
        <v/>
      </c>
      <c r="AC1186" t="str">
        <f>IF([2]Baskol!$N$1189="","",[2]Baskol!$N$1189)</f>
        <v/>
      </c>
      <c r="AD1186" t="str">
        <f>IF([2]Baskol!$O$1189="","",[2]Baskol!$O$1189)</f>
        <v/>
      </c>
      <c r="AE1186" t="str">
        <f>IF([3]Entry!$C$1189="","",[3]Entry!$C$1189)</f>
        <v/>
      </c>
      <c r="AF1186" t="str">
        <f>IF([3]Entry!$D$1189="","",[3]Entry!$D$1189)</f>
        <v/>
      </c>
      <c r="AG1186" t="str">
        <f>IF([3]Entry!$E$1189="","",[3]Entry!$E$1189)</f>
        <v/>
      </c>
      <c r="AH1186" t="str">
        <f>IF([3]Entry!$G$1189="","",[3]Entry!$G$1189)</f>
        <v/>
      </c>
      <c r="AI1186" t="str">
        <f>IF([3]Entry!$K$1189="","",[3]Entry!$K$1189)</f>
        <v/>
      </c>
      <c r="AJ1186" t="str">
        <f>IF([3]Entry!$L$1189="","",[3]Entry!$L$1189)</f>
        <v/>
      </c>
      <c r="AK1186" t="str">
        <f>IF([3]Entry!$M$1189="","",[3]Entry!$M$1189)</f>
        <v/>
      </c>
      <c r="AL1186" t="str">
        <f>IF([3]Entry!$N$1189="","",[3]Entry!$N$1189)</f>
        <v/>
      </c>
      <c r="AM1186" t="str">
        <f>IF([3]Entry!$R$1189="","",[3]Entry!$R$1189)</f>
        <v/>
      </c>
    </row>
    <row r="1187" spans="20:39" x14ac:dyDescent="0.2">
      <c r="T1187" t="str">
        <f>IF([2]Baskol!$B$1190="","",[2]Baskol!$B$1190)</f>
        <v/>
      </c>
      <c r="U1187" t="str">
        <f>IF([2]Baskol!$C$1190="","",[2]Baskol!$C$1190)</f>
        <v/>
      </c>
      <c r="V1187" t="str">
        <f>IF([2]Baskol!$D$1190="","",[2]Baskol!$D$1190)</f>
        <v/>
      </c>
      <c r="W1187" t="str">
        <f>IF([2]Baskol!$E$1190="","",[2]Baskol!$E$1190)</f>
        <v/>
      </c>
      <c r="X1187" t="str">
        <f>IF([2]Baskol!$G$1190="","",[2]Baskol!$G$1190)</f>
        <v/>
      </c>
      <c r="Y1187" t="str">
        <f>IF([2]Baskol!$I$1190="","",[2]Baskol!$I$1190)</f>
        <v/>
      </c>
      <c r="Z1187" t="str">
        <f>IF([2]Baskol!$J$1190="","",[2]Baskol!$J$1190)</f>
        <v/>
      </c>
      <c r="AA1187" t="str">
        <f>IF([2]Baskol!$K$1190="","",[2]Baskol!$K$1190)</f>
        <v/>
      </c>
      <c r="AB1187" t="str">
        <f>IF([2]Baskol!$L$1190="","",[2]Baskol!$L$1190)</f>
        <v/>
      </c>
      <c r="AC1187" t="str">
        <f>IF([2]Baskol!$N$1190="","",[2]Baskol!$N$1190)</f>
        <v/>
      </c>
      <c r="AD1187" t="str">
        <f>IF([2]Baskol!$O$1190="","",[2]Baskol!$O$1190)</f>
        <v/>
      </c>
      <c r="AE1187" t="str">
        <f>IF([3]Entry!$C$1190="","",[3]Entry!$C$1190)</f>
        <v/>
      </c>
      <c r="AF1187" t="str">
        <f>IF([3]Entry!$D$1190="","",[3]Entry!$D$1190)</f>
        <v/>
      </c>
      <c r="AG1187" t="str">
        <f>IF([3]Entry!$E$1190="","",[3]Entry!$E$1190)</f>
        <v/>
      </c>
      <c r="AH1187" t="str">
        <f>IF([3]Entry!$G$1190="","",[3]Entry!$G$1190)</f>
        <v/>
      </c>
      <c r="AI1187" t="str">
        <f>IF([3]Entry!$K$1190="","",[3]Entry!$K$1190)</f>
        <v/>
      </c>
      <c r="AJ1187" t="str">
        <f>IF([3]Entry!$L$1190="","",[3]Entry!$L$1190)</f>
        <v/>
      </c>
      <c r="AK1187" t="str">
        <f>IF([3]Entry!$M$1190="","",[3]Entry!$M$1190)</f>
        <v/>
      </c>
      <c r="AL1187" t="str">
        <f>IF([3]Entry!$N$1190="","",[3]Entry!$N$1190)</f>
        <v/>
      </c>
      <c r="AM1187" t="str">
        <f>IF([3]Entry!$R$1190="","",[3]Entry!$R$1190)</f>
        <v/>
      </c>
    </row>
    <row r="1188" spans="20:39" x14ac:dyDescent="0.2">
      <c r="T1188" t="str">
        <f>IF([2]Baskol!$B$1191="","",[2]Baskol!$B$1191)</f>
        <v/>
      </c>
      <c r="U1188" t="str">
        <f>IF([2]Baskol!$C$1191="","",[2]Baskol!$C$1191)</f>
        <v/>
      </c>
      <c r="V1188" t="str">
        <f>IF([2]Baskol!$D$1191="","",[2]Baskol!$D$1191)</f>
        <v/>
      </c>
      <c r="W1188" t="str">
        <f>IF([2]Baskol!$E$1191="","",[2]Baskol!$E$1191)</f>
        <v/>
      </c>
      <c r="X1188" t="str">
        <f>IF([2]Baskol!$G$1191="","",[2]Baskol!$G$1191)</f>
        <v/>
      </c>
      <c r="Y1188" t="str">
        <f>IF([2]Baskol!$I$1191="","",[2]Baskol!$I$1191)</f>
        <v/>
      </c>
      <c r="Z1188" t="str">
        <f>IF([2]Baskol!$J$1191="","",[2]Baskol!$J$1191)</f>
        <v/>
      </c>
      <c r="AA1188" t="str">
        <f>IF([2]Baskol!$K$1191="","",[2]Baskol!$K$1191)</f>
        <v/>
      </c>
      <c r="AB1188" t="str">
        <f>IF([2]Baskol!$L$1191="","",[2]Baskol!$L$1191)</f>
        <v/>
      </c>
      <c r="AC1188" t="str">
        <f>IF([2]Baskol!$N$1191="","",[2]Baskol!$N$1191)</f>
        <v/>
      </c>
      <c r="AD1188" t="str">
        <f>IF([2]Baskol!$O$1191="","",[2]Baskol!$O$1191)</f>
        <v/>
      </c>
      <c r="AE1188" t="str">
        <f>IF([3]Entry!$C$1191="","",[3]Entry!$C$1191)</f>
        <v/>
      </c>
      <c r="AF1188" t="str">
        <f>IF([3]Entry!$D$1191="","",[3]Entry!$D$1191)</f>
        <v/>
      </c>
      <c r="AG1188" t="str">
        <f>IF([3]Entry!$E$1191="","",[3]Entry!$E$1191)</f>
        <v/>
      </c>
      <c r="AH1188" t="str">
        <f>IF([3]Entry!$G$1191="","",[3]Entry!$G$1191)</f>
        <v/>
      </c>
      <c r="AI1188" t="str">
        <f>IF([3]Entry!$K$1191="","",[3]Entry!$K$1191)</f>
        <v/>
      </c>
      <c r="AJ1188" t="str">
        <f>IF([3]Entry!$L$1191="","",[3]Entry!$L$1191)</f>
        <v/>
      </c>
      <c r="AK1188" t="str">
        <f>IF([3]Entry!$M$1191="","",[3]Entry!$M$1191)</f>
        <v/>
      </c>
      <c r="AL1188" t="str">
        <f>IF([3]Entry!$N$1191="","",[3]Entry!$N$1191)</f>
        <v/>
      </c>
      <c r="AM1188" t="str">
        <f>IF([3]Entry!$R$1191="","",[3]Entry!$R$1191)</f>
        <v/>
      </c>
    </row>
    <row r="1189" spans="20:39" x14ac:dyDescent="0.2">
      <c r="T1189" t="str">
        <f>IF([2]Baskol!$B$1192="","",[2]Baskol!$B$1192)</f>
        <v/>
      </c>
      <c r="U1189" t="str">
        <f>IF([2]Baskol!$C$1192="","",[2]Baskol!$C$1192)</f>
        <v/>
      </c>
      <c r="V1189" t="str">
        <f>IF([2]Baskol!$D$1192="","",[2]Baskol!$D$1192)</f>
        <v/>
      </c>
      <c r="W1189" t="str">
        <f>IF([2]Baskol!$E$1192="","",[2]Baskol!$E$1192)</f>
        <v/>
      </c>
      <c r="X1189" t="str">
        <f>IF([2]Baskol!$G$1192="","",[2]Baskol!$G$1192)</f>
        <v/>
      </c>
      <c r="Y1189" t="str">
        <f>IF([2]Baskol!$I$1192="","",[2]Baskol!$I$1192)</f>
        <v/>
      </c>
      <c r="Z1189" t="str">
        <f>IF([2]Baskol!$J$1192="","",[2]Baskol!$J$1192)</f>
        <v/>
      </c>
      <c r="AA1189" t="str">
        <f>IF([2]Baskol!$K$1192="","",[2]Baskol!$K$1192)</f>
        <v/>
      </c>
      <c r="AB1189" t="str">
        <f>IF([2]Baskol!$L$1192="","",[2]Baskol!$L$1192)</f>
        <v/>
      </c>
      <c r="AC1189" t="str">
        <f>IF([2]Baskol!$N$1192="","",[2]Baskol!$N$1192)</f>
        <v/>
      </c>
      <c r="AD1189" t="str">
        <f>IF([2]Baskol!$O$1192="","",[2]Baskol!$O$1192)</f>
        <v/>
      </c>
      <c r="AE1189" t="str">
        <f>IF([3]Entry!$C$1192="","",[3]Entry!$C$1192)</f>
        <v/>
      </c>
      <c r="AF1189" t="str">
        <f>IF([3]Entry!$D$1192="","",[3]Entry!$D$1192)</f>
        <v/>
      </c>
      <c r="AG1189" t="str">
        <f>IF([3]Entry!$E$1192="","",[3]Entry!$E$1192)</f>
        <v/>
      </c>
      <c r="AH1189" t="str">
        <f>IF([3]Entry!$G$1192="","",[3]Entry!$G$1192)</f>
        <v/>
      </c>
      <c r="AI1189" t="str">
        <f>IF([3]Entry!$K$1192="","",[3]Entry!$K$1192)</f>
        <v/>
      </c>
      <c r="AJ1189" t="str">
        <f>IF([3]Entry!$L$1192="","",[3]Entry!$L$1192)</f>
        <v/>
      </c>
      <c r="AK1189" t="str">
        <f>IF([3]Entry!$M$1192="","",[3]Entry!$M$1192)</f>
        <v/>
      </c>
      <c r="AL1189" t="str">
        <f>IF([3]Entry!$N$1192="","",[3]Entry!$N$1192)</f>
        <v/>
      </c>
      <c r="AM1189" t="str">
        <f>IF([3]Entry!$R$1192="","",[3]Entry!$R$1192)</f>
        <v/>
      </c>
    </row>
    <row r="1190" spans="20:39" x14ac:dyDescent="0.2">
      <c r="T1190" t="str">
        <f>IF([2]Baskol!$B$1193="","",[2]Baskol!$B$1193)</f>
        <v/>
      </c>
      <c r="U1190" t="str">
        <f>IF([2]Baskol!$C$1193="","",[2]Baskol!$C$1193)</f>
        <v/>
      </c>
      <c r="V1190" t="str">
        <f>IF([2]Baskol!$D$1193="","",[2]Baskol!$D$1193)</f>
        <v/>
      </c>
      <c r="W1190" t="str">
        <f>IF([2]Baskol!$E$1193="","",[2]Baskol!$E$1193)</f>
        <v/>
      </c>
      <c r="X1190" t="str">
        <f>IF([2]Baskol!$G$1193="","",[2]Baskol!$G$1193)</f>
        <v/>
      </c>
      <c r="Y1190" t="str">
        <f>IF([2]Baskol!$I$1193="","",[2]Baskol!$I$1193)</f>
        <v/>
      </c>
      <c r="Z1190" t="str">
        <f>IF([2]Baskol!$J$1193="","",[2]Baskol!$J$1193)</f>
        <v/>
      </c>
      <c r="AA1190" t="str">
        <f>IF([2]Baskol!$K$1193="","",[2]Baskol!$K$1193)</f>
        <v/>
      </c>
      <c r="AB1190" t="str">
        <f>IF([2]Baskol!$L$1193="","",[2]Baskol!$L$1193)</f>
        <v/>
      </c>
      <c r="AC1190" t="str">
        <f>IF([2]Baskol!$N$1193="","",[2]Baskol!$N$1193)</f>
        <v/>
      </c>
      <c r="AD1190" t="str">
        <f>IF([2]Baskol!$O$1193="","",[2]Baskol!$O$1193)</f>
        <v/>
      </c>
      <c r="AE1190" t="str">
        <f>IF([3]Entry!$C$1193="","",[3]Entry!$C$1193)</f>
        <v/>
      </c>
      <c r="AF1190" t="str">
        <f>IF([3]Entry!$D$1193="","",[3]Entry!$D$1193)</f>
        <v/>
      </c>
      <c r="AG1190" t="str">
        <f>IF([3]Entry!$E$1193="","",[3]Entry!$E$1193)</f>
        <v/>
      </c>
      <c r="AH1190" t="str">
        <f>IF([3]Entry!$G$1193="","",[3]Entry!$G$1193)</f>
        <v/>
      </c>
      <c r="AI1190" t="str">
        <f>IF([3]Entry!$K$1193="","",[3]Entry!$K$1193)</f>
        <v/>
      </c>
      <c r="AJ1190" t="str">
        <f>IF([3]Entry!$L$1193="","",[3]Entry!$L$1193)</f>
        <v/>
      </c>
      <c r="AK1190" t="str">
        <f>IF([3]Entry!$M$1193="","",[3]Entry!$M$1193)</f>
        <v/>
      </c>
      <c r="AL1190" t="str">
        <f>IF([3]Entry!$N$1193="","",[3]Entry!$N$1193)</f>
        <v/>
      </c>
      <c r="AM1190" t="str">
        <f>IF([3]Entry!$R$1193="","",[3]Entry!$R$1193)</f>
        <v/>
      </c>
    </row>
    <row r="1191" spans="20:39" x14ac:dyDescent="0.2">
      <c r="T1191" t="str">
        <f>IF([2]Baskol!$B$1194="","",[2]Baskol!$B$1194)</f>
        <v/>
      </c>
      <c r="U1191" t="str">
        <f>IF([2]Baskol!$C$1194="","",[2]Baskol!$C$1194)</f>
        <v/>
      </c>
      <c r="V1191" t="str">
        <f>IF([2]Baskol!$D$1194="","",[2]Baskol!$D$1194)</f>
        <v/>
      </c>
      <c r="W1191" t="str">
        <f>IF([2]Baskol!$E$1194="","",[2]Baskol!$E$1194)</f>
        <v/>
      </c>
      <c r="X1191" t="str">
        <f>IF([2]Baskol!$G$1194="","",[2]Baskol!$G$1194)</f>
        <v/>
      </c>
      <c r="Y1191" t="str">
        <f>IF([2]Baskol!$I$1194="","",[2]Baskol!$I$1194)</f>
        <v/>
      </c>
      <c r="Z1191" t="str">
        <f>IF([2]Baskol!$J$1194="","",[2]Baskol!$J$1194)</f>
        <v/>
      </c>
      <c r="AA1191" t="str">
        <f>IF([2]Baskol!$K$1194="","",[2]Baskol!$K$1194)</f>
        <v/>
      </c>
      <c r="AB1191" t="str">
        <f>IF([2]Baskol!$L$1194="","",[2]Baskol!$L$1194)</f>
        <v/>
      </c>
      <c r="AC1191" t="str">
        <f>IF([2]Baskol!$N$1194="","",[2]Baskol!$N$1194)</f>
        <v/>
      </c>
      <c r="AD1191" t="str">
        <f>IF([2]Baskol!$O$1194="","",[2]Baskol!$O$1194)</f>
        <v/>
      </c>
      <c r="AE1191" t="str">
        <f>IF([3]Entry!$C$1194="","",[3]Entry!$C$1194)</f>
        <v/>
      </c>
      <c r="AF1191" t="str">
        <f>IF([3]Entry!$D$1194="","",[3]Entry!$D$1194)</f>
        <v/>
      </c>
      <c r="AG1191" t="str">
        <f>IF([3]Entry!$E$1194="","",[3]Entry!$E$1194)</f>
        <v/>
      </c>
      <c r="AH1191" t="str">
        <f>IF([3]Entry!$G$1194="","",[3]Entry!$G$1194)</f>
        <v/>
      </c>
      <c r="AI1191" t="str">
        <f>IF([3]Entry!$K$1194="","",[3]Entry!$K$1194)</f>
        <v/>
      </c>
      <c r="AJ1191" t="str">
        <f>IF([3]Entry!$L$1194="","",[3]Entry!$L$1194)</f>
        <v/>
      </c>
      <c r="AK1191" t="str">
        <f>IF([3]Entry!$M$1194="","",[3]Entry!$M$1194)</f>
        <v/>
      </c>
      <c r="AL1191" t="str">
        <f>IF([3]Entry!$N$1194="","",[3]Entry!$N$1194)</f>
        <v/>
      </c>
      <c r="AM1191" t="str">
        <f>IF([3]Entry!$R$1194="","",[3]Entry!$R$1194)</f>
        <v/>
      </c>
    </row>
    <row r="1192" spans="20:39" x14ac:dyDescent="0.2">
      <c r="T1192" t="str">
        <f>IF([2]Baskol!$B$1195="","",[2]Baskol!$B$1195)</f>
        <v/>
      </c>
      <c r="U1192" t="str">
        <f>IF([2]Baskol!$C$1195="","",[2]Baskol!$C$1195)</f>
        <v/>
      </c>
      <c r="V1192" t="str">
        <f>IF([2]Baskol!$D$1195="","",[2]Baskol!$D$1195)</f>
        <v/>
      </c>
      <c r="W1192" t="str">
        <f>IF([2]Baskol!$E$1195="","",[2]Baskol!$E$1195)</f>
        <v/>
      </c>
      <c r="X1192" t="str">
        <f>IF([2]Baskol!$G$1195="","",[2]Baskol!$G$1195)</f>
        <v/>
      </c>
      <c r="Y1192" t="str">
        <f>IF([2]Baskol!$I$1195="","",[2]Baskol!$I$1195)</f>
        <v/>
      </c>
      <c r="Z1192" t="str">
        <f>IF([2]Baskol!$J$1195="","",[2]Baskol!$J$1195)</f>
        <v/>
      </c>
      <c r="AA1192" t="str">
        <f>IF([2]Baskol!$K$1195="","",[2]Baskol!$K$1195)</f>
        <v/>
      </c>
      <c r="AB1192" t="str">
        <f>IF([2]Baskol!$L$1195="","",[2]Baskol!$L$1195)</f>
        <v/>
      </c>
      <c r="AC1192" t="str">
        <f>IF([2]Baskol!$N$1195="","",[2]Baskol!$N$1195)</f>
        <v/>
      </c>
      <c r="AD1192" t="str">
        <f>IF([2]Baskol!$O$1195="","",[2]Baskol!$O$1195)</f>
        <v/>
      </c>
      <c r="AE1192" t="str">
        <f>IF([3]Entry!$C$1195="","",[3]Entry!$C$1195)</f>
        <v/>
      </c>
      <c r="AF1192" t="str">
        <f>IF([3]Entry!$D$1195="","",[3]Entry!$D$1195)</f>
        <v/>
      </c>
      <c r="AG1192" t="str">
        <f>IF([3]Entry!$E$1195="","",[3]Entry!$E$1195)</f>
        <v/>
      </c>
      <c r="AH1192" t="str">
        <f>IF([3]Entry!$G$1195="","",[3]Entry!$G$1195)</f>
        <v/>
      </c>
      <c r="AI1192" t="str">
        <f>IF([3]Entry!$K$1195="","",[3]Entry!$K$1195)</f>
        <v/>
      </c>
      <c r="AJ1192" t="str">
        <f>IF([3]Entry!$L$1195="","",[3]Entry!$L$1195)</f>
        <v/>
      </c>
      <c r="AK1192" t="str">
        <f>IF([3]Entry!$M$1195="","",[3]Entry!$M$1195)</f>
        <v/>
      </c>
      <c r="AL1192" t="str">
        <f>IF([3]Entry!$N$1195="","",[3]Entry!$N$1195)</f>
        <v/>
      </c>
      <c r="AM1192" t="str">
        <f>IF([3]Entry!$R$1195="","",[3]Entry!$R$1195)</f>
        <v/>
      </c>
    </row>
    <row r="1193" spans="20:39" x14ac:dyDescent="0.2">
      <c r="T1193" t="str">
        <f>IF([2]Baskol!$B$1196="","",[2]Baskol!$B$1196)</f>
        <v/>
      </c>
      <c r="U1193" t="str">
        <f>IF([2]Baskol!$C$1196="","",[2]Baskol!$C$1196)</f>
        <v/>
      </c>
      <c r="V1193" t="str">
        <f>IF([2]Baskol!$D$1196="","",[2]Baskol!$D$1196)</f>
        <v/>
      </c>
      <c r="W1193" t="str">
        <f>IF([2]Baskol!$E$1196="","",[2]Baskol!$E$1196)</f>
        <v/>
      </c>
      <c r="X1193" t="str">
        <f>IF([2]Baskol!$G$1196="","",[2]Baskol!$G$1196)</f>
        <v/>
      </c>
      <c r="Y1193" t="str">
        <f>IF([2]Baskol!$I$1196="","",[2]Baskol!$I$1196)</f>
        <v/>
      </c>
      <c r="Z1193" t="str">
        <f>IF([2]Baskol!$J$1196="","",[2]Baskol!$J$1196)</f>
        <v/>
      </c>
      <c r="AA1193" t="str">
        <f>IF([2]Baskol!$K$1196="","",[2]Baskol!$K$1196)</f>
        <v/>
      </c>
      <c r="AB1193" t="str">
        <f>IF([2]Baskol!$L$1196="","",[2]Baskol!$L$1196)</f>
        <v/>
      </c>
      <c r="AC1193" t="str">
        <f>IF([2]Baskol!$N$1196="","",[2]Baskol!$N$1196)</f>
        <v/>
      </c>
      <c r="AD1193" t="str">
        <f>IF([2]Baskol!$O$1196="","",[2]Baskol!$O$1196)</f>
        <v/>
      </c>
      <c r="AE1193" t="str">
        <f>IF([3]Entry!$C$1196="","",[3]Entry!$C$1196)</f>
        <v/>
      </c>
      <c r="AF1193" t="str">
        <f>IF([3]Entry!$D$1196="","",[3]Entry!$D$1196)</f>
        <v/>
      </c>
      <c r="AG1193" t="str">
        <f>IF([3]Entry!$E$1196="","",[3]Entry!$E$1196)</f>
        <v/>
      </c>
      <c r="AH1193" t="str">
        <f>IF([3]Entry!$G$1196="","",[3]Entry!$G$1196)</f>
        <v/>
      </c>
      <c r="AI1193" t="str">
        <f>IF([3]Entry!$K$1196="","",[3]Entry!$K$1196)</f>
        <v/>
      </c>
      <c r="AJ1193" t="str">
        <f>IF([3]Entry!$L$1196="","",[3]Entry!$L$1196)</f>
        <v/>
      </c>
      <c r="AK1193" t="str">
        <f>IF([3]Entry!$M$1196="","",[3]Entry!$M$1196)</f>
        <v/>
      </c>
      <c r="AL1193" t="str">
        <f>IF([3]Entry!$N$1196="","",[3]Entry!$N$1196)</f>
        <v/>
      </c>
      <c r="AM1193" t="str">
        <f>IF([3]Entry!$R$1196="","",[3]Entry!$R$1196)</f>
        <v/>
      </c>
    </row>
    <row r="1194" spans="20:39" x14ac:dyDescent="0.2">
      <c r="T1194" t="str">
        <f>IF([2]Baskol!$B$1197="","",[2]Baskol!$B$1197)</f>
        <v/>
      </c>
      <c r="U1194" t="str">
        <f>IF([2]Baskol!$C$1197="","",[2]Baskol!$C$1197)</f>
        <v/>
      </c>
      <c r="V1194" t="str">
        <f>IF([2]Baskol!$D$1197="","",[2]Baskol!$D$1197)</f>
        <v/>
      </c>
      <c r="W1194" t="str">
        <f>IF([2]Baskol!$E$1197="","",[2]Baskol!$E$1197)</f>
        <v/>
      </c>
      <c r="X1194" t="str">
        <f>IF([2]Baskol!$G$1197="","",[2]Baskol!$G$1197)</f>
        <v/>
      </c>
      <c r="Y1194" t="str">
        <f>IF([2]Baskol!$I$1197="","",[2]Baskol!$I$1197)</f>
        <v/>
      </c>
      <c r="Z1194" t="str">
        <f>IF([2]Baskol!$J$1197="","",[2]Baskol!$J$1197)</f>
        <v/>
      </c>
      <c r="AA1194" t="str">
        <f>IF([2]Baskol!$K$1197="","",[2]Baskol!$K$1197)</f>
        <v/>
      </c>
      <c r="AB1194" t="str">
        <f>IF([2]Baskol!$L$1197="","",[2]Baskol!$L$1197)</f>
        <v/>
      </c>
      <c r="AC1194" t="str">
        <f>IF([2]Baskol!$N$1197="","",[2]Baskol!$N$1197)</f>
        <v/>
      </c>
      <c r="AD1194" t="str">
        <f>IF([2]Baskol!$O$1197="","",[2]Baskol!$O$1197)</f>
        <v/>
      </c>
      <c r="AE1194" t="str">
        <f>IF([3]Entry!$C$1197="","",[3]Entry!$C$1197)</f>
        <v/>
      </c>
      <c r="AF1194" t="str">
        <f>IF([3]Entry!$D$1197="","",[3]Entry!$D$1197)</f>
        <v/>
      </c>
      <c r="AG1194" t="str">
        <f>IF([3]Entry!$E$1197="","",[3]Entry!$E$1197)</f>
        <v/>
      </c>
      <c r="AH1194" t="str">
        <f>IF([3]Entry!$G$1197="","",[3]Entry!$G$1197)</f>
        <v/>
      </c>
      <c r="AI1194" t="str">
        <f>IF([3]Entry!$K$1197="","",[3]Entry!$K$1197)</f>
        <v/>
      </c>
      <c r="AJ1194" t="str">
        <f>IF([3]Entry!$L$1197="","",[3]Entry!$L$1197)</f>
        <v/>
      </c>
      <c r="AK1194" t="str">
        <f>IF([3]Entry!$M$1197="","",[3]Entry!$M$1197)</f>
        <v/>
      </c>
      <c r="AL1194" t="str">
        <f>IF([3]Entry!$N$1197="","",[3]Entry!$N$1197)</f>
        <v/>
      </c>
      <c r="AM1194" t="str">
        <f>IF([3]Entry!$R$1197="","",[3]Entry!$R$1197)</f>
        <v/>
      </c>
    </row>
    <row r="1195" spans="20:39" x14ac:dyDescent="0.2">
      <c r="T1195" t="str">
        <f>IF([2]Baskol!$B$1198="","",[2]Baskol!$B$1198)</f>
        <v/>
      </c>
      <c r="U1195" t="str">
        <f>IF([2]Baskol!$C$1198="","",[2]Baskol!$C$1198)</f>
        <v/>
      </c>
      <c r="V1195" t="str">
        <f>IF([2]Baskol!$D$1198="","",[2]Baskol!$D$1198)</f>
        <v/>
      </c>
      <c r="W1195" t="str">
        <f>IF([2]Baskol!$E$1198="","",[2]Baskol!$E$1198)</f>
        <v/>
      </c>
      <c r="X1195" t="str">
        <f>IF([2]Baskol!$G$1198="","",[2]Baskol!$G$1198)</f>
        <v/>
      </c>
      <c r="Y1195" t="str">
        <f>IF([2]Baskol!$I$1198="","",[2]Baskol!$I$1198)</f>
        <v/>
      </c>
      <c r="Z1195" t="str">
        <f>IF([2]Baskol!$J$1198="","",[2]Baskol!$J$1198)</f>
        <v/>
      </c>
      <c r="AA1195" t="str">
        <f>IF([2]Baskol!$K$1198="","",[2]Baskol!$K$1198)</f>
        <v/>
      </c>
      <c r="AB1195" t="str">
        <f>IF([2]Baskol!$L$1198="","",[2]Baskol!$L$1198)</f>
        <v/>
      </c>
      <c r="AC1195" t="str">
        <f>IF([2]Baskol!$N$1198="","",[2]Baskol!$N$1198)</f>
        <v/>
      </c>
      <c r="AD1195" t="str">
        <f>IF([2]Baskol!$O$1198="","",[2]Baskol!$O$1198)</f>
        <v/>
      </c>
      <c r="AE1195" t="str">
        <f>IF([3]Entry!$C$1198="","",[3]Entry!$C$1198)</f>
        <v/>
      </c>
      <c r="AF1195" t="str">
        <f>IF([3]Entry!$D$1198="","",[3]Entry!$D$1198)</f>
        <v/>
      </c>
      <c r="AG1195" t="str">
        <f>IF([3]Entry!$E$1198="","",[3]Entry!$E$1198)</f>
        <v/>
      </c>
      <c r="AH1195" t="str">
        <f>IF([3]Entry!$G$1198="","",[3]Entry!$G$1198)</f>
        <v/>
      </c>
      <c r="AI1195" t="str">
        <f>IF([3]Entry!$K$1198="","",[3]Entry!$K$1198)</f>
        <v/>
      </c>
      <c r="AJ1195" t="str">
        <f>IF([3]Entry!$L$1198="","",[3]Entry!$L$1198)</f>
        <v/>
      </c>
      <c r="AK1195" t="str">
        <f>IF([3]Entry!$M$1198="","",[3]Entry!$M$1198)</f>
        <v/>
      </c>
      <c r="AL1195" t="str">
        <f>IF([3]Entry!$N$1198="","",[3]Entry!$N$1198)</f>
        <v/>
      </c>
      <c r="AM1195" t="str">
        <f>IF([3]Entry!$R$1198="","",[3]Entry!$R$1198)</f>
        <v/>
      </c>
    </row>
    <row r="1196" spans="20:39" x14ac:dyDescent="0.2">
      <c r="T1196" t="str">
        <f>IF([2]Baskol!$B$1199="","",[2]Baskol!$B$1199)</f>
        <v/>
      </c>
      <c r="U1196" t="str">
        <f>IF([2]Baskol!$C$1199="","",[2]Baskol!$C$1199)</f>
        <v/>
      </c>
      <c r="V1196" t="str">
        <f>IF([2]Baskol!$D$1199="","",[2]Baskol!$D$1199)</f>
        <v/>
      </c>
      <c r="W1196" t="str">
        <f>IF([2]Baskol!$E$1199="","",[2]Baskol!$E$1199)</f>
        <v/>
      </c>
      <c r="X1196" t="str">
        <f>IF([2]Baskol!$G$1199="","",[2]Baskol!$G$1199)</f>
        <v/>
      </c>
      <c r="Y1196" t="str">
        <f>IF([2]Baskol!$I$1199="","",[2]Baskol!$I$1199)</f>
        <v/>
      </c>
      <c r="Z1196" t="str">
        <f>IF([2]Baskol!$J$1199="","",[2]Baskol!$J$1199)</f>
        <v/>
      </c>
      <c r="AA1196" t="str">
        <f>IF([2]Baskol!$K$1199="","",[2]Baskol!$K$1199)</f>
        <v/>
      </c>
      <c r="AB1196" t="str">
        <f>IF([2]Baskol!$L$1199="","",[2]Baskol!$L$1199)</f>
        <v/>
      </c>
      <c r="AC1196" t="str">
        <f>IF([2]Baskol!$N$1199="","",[2]Baskol!$N$1199)</f>
        <v/>
      </c>
      <c r="AD1196" t="str">
        <f>IF([2]Baskol!$O$1199="","",[2]Baskol!$O$1199)</f>
        <v/>
      </c>
      <c r="AE1196" t="str">
        <f>IF([3]Entry!$C$1199="","",[3]Entry!$C$1199)</f>
        <v/>
      </c>
      <c r="AF1196" t="str">
        <f>IF([3]Entry!$D$1199="","",[3]Entry!$D$1199)</f>
        <v/>
      </c>
      <c r="AG1196" t="str">
        <f>IF([3]Entry!$E$1199="","",[3]Entry!$E$1199)</f>
        <v/>
      </c>
      <c r="AH1196" t="str">
        <f>IF([3]Entry!$G$1199="","",[3]Entry!$G$1199)</f>
        <v/>
      </c>
      <c r="AI1196" t="str">
        <f>IF([3]Entry!$K$1199="","",[3]Entry!$K$1199)</f>
        <v/>
      </c>
      <c r="AJ1196" t="str">
        <f>IF([3]Entry!$L$1199="","",[3]Entry!$L$1199)</f>
        <v/>
      </c>
      <c r="AK1196" t="str">
        <f>IF([3]Entry!$M$1199="","",[3]Entry!$M$1199)</f>
        <v/>
      </c>
      <c r="AL1196" t="str">
        <f>IF([3]Entry!$N$1199="","",[3]Entry!$N$1199)</f>
        <v/>
      </c>
      <c r="AM1196" t="str">
        <f>IF([3]Entry!$R$1199="","",[3]Entry!$R$1199)</f>
        <v/>
      </c>
    </row>
    <row r="1197" spans="20:39" x14ac:dyDescent="0.2">
      <c r="T1197" t="str">
        <f>IF([2]Baskol!$B$1200="","",[2]Baskol!$B$1200)</f>
        <v/>
      </c>
      <c r="U1197" t="str">
        <f>IF([2]Baskol!$C$1200="","",[2]Baskol!$C$1200)</f>
        <v/>
      </c>
      <c r="V1197" t="str">
        <f>IF([2]Baskol!$D$1200="","",[2]Baskol!$D$1200)</f>
        <v/>
      </c>
      <c r="W1197" t="str">
        <f>IF([2]Baskol!$E$1200="","",[2]Baskol!$E$1200)</f>
        <v/>
      </c>
      <c r="X1197" t="str">
        <f>IF([2]Baskol!$G$1200="","",[2]Baskol!$G$1200)</f>
        <v/>
      </c>
      <c r="Y1197" t="str">
        <f>IF([2]Baskol!$I$1200="","",[2]Baskol!$I$1200)</f>
        <v/>
      </c>
      <c r="Z1197" t="str">
        <f>IF([2]Baskol!$J$1200="","",[2]Baskol!$J$1200)</f>
        <v/>
      </c>
      <c r="AA1197" t="str">
        <f>IF([2]Baskol!$K$1200="","",[2]Baskol!$K$1200)</f>
        <v/>
      </c>
      <c r="AB1197" t="str">
        <f>IF([2]Baskol!$L$1200="","",[2]Baskol!$L$1200)</f>
        <v/>
      </c>
      <c r="AC1197" t="str">
        <f>IF([2]Baskol!$N$1200="","",[2]Baskol!$N$1200)</f>
        <v/>
      </c>
      <c r="AD1197" t="str">
        <f>IF([2]Baskol!$O$1200="","",[2]Baskol!$O$1200)</f>
        <v/>
      </c>
      <c r="AE1197" t="str">
        <f>IF([3]Entry!$C$1200="","",[3]Entry!$C$1200)</f>
        <v/>
      </c>
      <c r="AF1197" t="str">
        <f>IF([3]Entry!$D$1200="","",[3]Entry!$D$1200)</f>
        <v/>
      </c>
      <c r="AG1197" t="str">
        <f>IF([3]Entry!$E$1200="","",[3]Entry!$E$1200)</f>
        <v/>
      </c>
      <c r="AH1197" t="str">
        <f>IF([3]Entry!$G$1200="","",[3]Entry!$G$1200)</f>
        <v/>
      </c>
      <c r="AI1197" t="str">
        <f>IF([3]Entry!$K$1200="","",[3]Entry!$K$1200)</f>
        <v/>
      </c>
      <c r="AJ1197" t="str">
        <f>IF([3]Entry!$L$1200="","",[3]Entry!$L$1200)</f>
        <v/>
      </c>
      <c r="AK1197" t="str">
        <f>IF([3]Entry!$M$1200="","",[3]Entry!$M$1200)</f>
        <v/>
      </c>
      <c r="AL1197" t="str">
        <f>IF([3]Entry!$N$1200="","",[3]Entry!$N$1200)</f>
        <v/>
      </c>
      <c r="AM1197" t="str">
        <f>IF([3]Entry!$R$1200="","",[3]Entry!$R$1200)</f>
        <v/>
      </c>
    </row>
    <row r="1198" spans="20:39" x14ac:dyDescent="0.2">
      <c r="T1198" t="str">
        <f>IF([2]Baskol!$B$1201="","",[2]Baskol!$B$1201)</f>
        <v/>
      </c>
      <c r="U1198" t="str">
        <f>IF([2]Baskol!$C$1201="","",[2]Baskol!$C$1201)</f>
        <v/>
      </c>
      <c r="V1198" t="str">
        <f>IF([2]Baskol!$D$1201="","",[2]Baskol!$D$1201)</f>
        <v/>
      </c>
      <c r="W1198" t="str">
        <f>IF([2]Baskol!$E$1201="","",[2]Baskol!$E$1201)</f>
        <v/>
      </c>
      <c r="X1198" t="str">
        <f>IF([2]Baskol!$G$1201="","",[2]Baskol!$G$1201)</f>
        <v/>
      </c>
      <c r="Y1198" t="str">
        <f>IF([2]Baskol!$I$1201="","",[2]Baskol!$I$1201)</f>
        <v/>
      </c>
      <c r="Z1198" t="str">
        <f>IF([2]Baskol!$J$1201="","",[2]Baskol!$J$1201)</f>
        <v/>
      </c>
      <c r="AA1198" t="str">
        <f>IF([2]Baskol!$K$1201="","",[2]Baskol!$K$1201)</f>
        <v/>
      </c>
      <c r="AB1198" t="str">
        <f>IF([2]Baskol!$L$1201="","",[2]Baskol!$L$1201)</f>
        <v/>
      </c>
      <c r="AC1198" t="str">
        <f>IF([2]Baskol!$N$1201="","",[2]Baskol!$N$1201)</f>
        <v/>
      </c>
      <c r="AD1198" t="str">
        <f>IF([2]Baskol!$O$1201="","",[2]Baskol!$O$1201)</f>
        <v/>
      </c>
      <c r="AE1198" t="str">
        <f>IF([3]Entry!$C$1201="","",[3]Entry!$C$1201)</f>
        <v/>
      </c>
      <c r="AF1198" t="str">
        <f>IF([3]Entry!$D$1201="","",[3]Entry!$D$1201)</f>
        <v/>
      </c>
      <c r="AG1198" t="str">
        <f>IF([3]Entry!$E$1201="","",[3]Entry!$E$1201)</f>
        <v/>
      </c>
      <c r="AH1198" t="str">
        <f>IF([3]Entry!$G$1201="","",[3]Entry!$G$1201)</f>
        <v/>
      </c>
      <c r="AI1198" t="str">
        <f>IF([3]Entry!$K$1201="","",[3]Entry!$K$1201)</f>
        <v/>
      </c>
      <c r="AJ1198" t="str">
        <f>IF([3]Entry!$L$1201="","",[3]Entry!$L$1201)</f>
        <v/>
      </c>
      <c r="AK1198" t="str">
        <f>IF([3]Entry!$M$1201="","",[3]Entry!$M$1201)</f>
        <v/>
      </c>
      <c r="AL1198" t="str">
        <f>IF([3]Entry!$N$1201="","",[3]Entry!$N$1201)</f>
        <v/>
      </c>
      <c r="AM1198" t="str">
        <f>IF([3]Entry!$R$1201="","",[3]Entry!$R$1201)</f>
        <v/>
      </c>
    </row>
    <row r="1199" spans="20:39" x14ac:dyDescent="0.2">
      <c r="T1199" t="str">
        <f>IF([2]Baskol!$B$1202="","",[2]Baskol!$B$1202)</f>
        <v/>
      </c>
      <c r="U1199" t="str">
        <f>IF([2]Baskol!$C$1202="","",[2]Baskol!$C$1202)</f>
        <v/>
      </c>
      <c r="V1199" t="str">
        <f>IF([2]Baskol!$D$1202="","",[2]Baskol!$D$1202)</f>
        <v/>
      </c>
      <c r="W1199" t="str">
        <f>IF([2]Baskol!$E$1202="","",[2]Baskol!$E$1202)</f>
        <v/>
      </c>
      <c r="X1199" t="str">
        <f>IF([2]Baskol!$G$1202="","",[2]Baskol!$G$1202)</f>
        <v/>
      </c>
      <c r="Y1199" t="str">
        <f>IF([2]Baskol!$I$1202="","",[2]Baskol!$I$1202)</f>
        <v/>
      </c>
      <c r="Z1199" t="str">
        <f>IF([2]Baskol!$J$1202="","",[2]Baskol!$J$1202)</f>
        <v/>
      </c>
      <c r="AA1199" t="str">
        <f>IF([2]Baskol!$K$1202="","",[2]Baskol!$K$1202)</f>
        <v/>
      </c>
      <c r="AB1199" t="str">
        <f>IF([2]Baskol!$L$1202="","",[2]Baskol!$L$1202)</f>
        <v/>
      </c>
      <c r="AC1199" t="str">
        <f>IF([2]Baskol!$N$1202="","",[2]Baskol!$N$1202)</f>
        <v/>
      </c>
      <c r="AD1199" t="str">
        <f>IF([2]Baskol!$O$1202="","",[2]Baskol!$O$1202)</f>
        <v/>
      </c>
      <c r="AE1199" t="str">
        <f>IF([3]Entry!$C$1202="","",[3]Entry!$C$1202)</f>
        <v/>
      </c>
      <c r="AF1199" t="str">
        <f>IF([3]Entry!$D$1202="","",[3]Entry!$D$1202)</f>
        <v/>
      </c>
      <c r="AG1199" t="str">
        <f>IF([3]Entry!$E$1202="","",[3]Entry!$E$1202)</f>
        <v/>
      </c>
      <c r="AH1199" t="str">
        <f>IF([3]Entry!$G$1202="","",[3]Entry!$G$1202)</f>
        <v/>
      </c>
      <c r="AI1199" t="str">
        <f>IF([3]Entry!$K$1202="","",[3]Entry!$K$1202)</f>
        <v/>
      </c>
      <c r="AJ1199" t="str">
        <f>IF([3]Entry!$L$1202="","",[3]Entry!$L$1202)</f>
        <v/>
      </c>
      <c r="AK1199" t="str">
        <f>IF([3]Entry!$M$1202="","",[3]Entry!$M$1202)</f>
        <v/>
      </c>
      <c r="AL1199" t="str">
        <f>IF([3]Entry!$N$1202="","",[3]Entry!$N$1202)</f>
        <v/>
      </c>
      <c r="AM1199" t="str">
        <f>IF([3]Entry!$R$1202="","",[3]Entry!$R$1202)</f>
        <v/>
      </c>
    </row>
    <row r="1200" spans="20:39" x14ac:dyDescent="0.2">
      <c r="T1200" t="str">
        <f>IF([2]Baskol!$B$1203="","",[2]Baskol!$B$1203)</f>
        <v/>
      </c>
      <c r="U1200" t="str">
        <f>IF([2]Baskol!$C$1203="","",[2]Baskol!$C$1203)</f>
        <v/>
      </c>
      <c r="V1200" t="str">
        <f>IF([2]Baskol!$D$1203="","",[2]Baskol!$D$1203)</f>
        <v/>
      </c>
      <c r="W1200" t="str">
        <f>IF([2]Baskol!$E$1203="","",[2]Baskol!$E$1203)</f>
        <v/>
      </c>
      <c r="X1200" t="str">
        <f>IF([2]Baskol!$G$1203="","",[2]Baskol!$G$1203)</f>
        <v/>
      </c>
      <c r="Y1200" t="str">
        <f>IF([2]Baskol!$I$1203="","",[2]Baskol!$I$1203)</f>
        <v/>
      </c>
      <c r="Z1200" t="str">
        <f>IF([2]Baskol!$J$1203="","",[2]Baskol!$J$1203)</f>
        <v/>
      </c>
      <c r="AA1200" t="str">
        <f>IF([2]Baskol!$K$1203="","",[2]Baskol!$K$1203)</f>
        <v/>
      </c>
      <c r="AB1200" t="str">
        <f>IF([2]Baskol!$L$1203="","",[2]Baskol!$L$1203)</f>
        <v/>
      </c>
      <c r="AC1200" t="str">
        <f>IF([2]Baskol!$N$1203="","",[2]Baskol!$N$1203)</f>
        <v/>
      </c>
      <c r="AD1200" t="str">
        <f>IF([2]Baskol!$O$1203="","",[2]Baskol!$O$1203)</f>
        <v/>
      </c>
      <c r="AE1200" t="str">
        <f>IF([3]Entry!$C$1203="","",[3]Entry!$C$1203)</f>
        <v/>
      </c>
      <c r="AF1200" t="str">
        <f>IF([3]Entry!$D$1203="","",[3]Entry!$D$1203)</f>
        <v/>
      </c>
      <c r="AG1200" t="str">
        <f>IF([3]Entry!$E$1203="","",[3]Entry!$E$1203)</f>
        <v/>
      </c>
      <c r="AH1200" t="str">
        <f>IF([3]Entry!$G$1203="","",[3]Entry!$G$1203)</f>
        <v/>
      </c>
      <c r="AI1200" t="str">
        <f>IF([3]Entry!$K$1203="","",[3]Entry!$K$1203)</f>
        <v/>
      </c>
      <c r="AJ1200" t="str">
        <f>IF([3]Entry!$L$1203="","",[3]Entry!$L$1203)</f>
        <v/>
      </c>
      <c r="AK1200" t="str">
        <f>IF([3]Entry!$M$1203="","",[3]Entry!$M$1203)</f>
        <v/>
      </c>
      <c r="AL1200" t="str">
        <f>IF([3]Entry!$N$1203="","",[3]Entry!$N$1203)</f>
        <v/>
      </c>
      <c r="AM1200" t="str">
        <f>IF([3]Entry!$R$1203="","",[3]Entry!$R$1203)</f>
        <v/>
      </c>
    </row>
    <row r="1201" spans="20:39" x14ac:dyDescent="0.2">
      <c r="T1201" t="str">
        <f>IF([2]Baskol!$B$1204="","",[2]Baskol!$B$1204)</f>
        <v/>
      </c>
      <c r="U1201" t="str">
        <f>IF([2]Baskol!$C$1204="","",[2]Baskol!$C$1204)</f>
        <v/>
      </c>
      <c r="V1201" t="str">
        <f>IF([2]Baskol!$D$1204="","",[2]Baskol!$D$1204)</f>
        <v/>
      </c>
      <c r="W1201" t="str">
        <f>IF([2]Baskol!$E$1204="","",[2]Baskol!$E$1204)</f>
        <v/>
      </c>
      <c r="X1201" t="str">
        <f>IF([2]Baskol!$G$1204="","",[2]Baskol!$G$1204)</f>
        <v/>
      </c>
      <c r="Y1201" t="str">
        <f>IF([2]Baskol!$I$1204="","",[2]Baskol!$I$1204)</f>
        <v/>
      </c>
      <c r="Z1201" t="str">
        <f>IF([2]Baskol!$J$1204="","",[2]Baskol!$J$1204)</f>
        <v/>
      </c>
      <c r="AA1201" t="str">
        <f>IF([2]Baskol!$K$1204="","",[2]Baskol!$K$1204)</f>
        <v/>
      </c>
      <c r="AB1201" t="str">
        <f>IF([2]Baskol!$L$1204="","",[2]Baskol!$L$1204)</f>
        <v/>
      </c>
      <c r="AC1201" t="str">
        <f>IF([2]Baskol!$N$1204="","",[2]Baskol!$N$1204)</f>
        <v/>
      </c>
      <c r="AD1201" t="str">
        <f>IF([2]Baskol!$O$1204="","",[2]Baskol!$O$1204)</f>
        <v/>
      </c>
      <c r="AE1201" t="str">
        <f>IF([3]Entry!$C$1204="","",[3]Entry!$C$1204)</f>
        <v/>
      </c>
      <c r="AF1201" t="str">
        <f>IF([3]Entry!$D$1204="","",[3]Entry!$D$1204)</f>
        <v/>
      </c>
      <c r="AG1201" t="str">
        <f>IF([3]Entry!$E$1204="","",[3]Entry!$E$1204)</f>
        <v/>
      </c>
      <c r="AH1201" t="str">
        <f>IF([3]Entry!$G$1204="","",[3]Entry!$G$1204)</f>
        <v/>
      </c>
      <c r="AI1201" t="str">
        <f>IF([3]Entry!$K$1204="","",[3]Entry!$K$1204)</f>
        <v/>
      </c>
      <c r="AJ1201" t="str">
        <f>IF([3]Entry!$L$1204="","",[3]Entry!$L$1204)</f>
        <v/>
      </c>
      <c r="AK1201" t="str">
        <f>IF([3]Entry!$M$1204="","",[3]Entry!$M$1204)</f>
        <v/>
      </c>
      <c r="AL1201" t="str">
        <f>IF([3]Entry!$N$1204="","",[3]Entry!$N$1204)</f>
        <v/>
      </c>
      <c r="AM1201" t="str">
        <f>IF([3]Entry!$R$1204="","",[3]Entry!$R$1204)</f>
        <v/>
      </c>
    </row>
    <row r="1202" spans="20:39" x14ac:dyDescent="0.2">
      <c r="T1202" t="str">
        <f>IF([2]Baskol!$B$1205="","",[2]Baskol!$B$1205)</f>
        <v/>
      </c>
      <c r="U1202" t="str">
        <f>IF([2]Baskol!$C$1205="","",[2]Baskol!$C$1205)</f>
        <v/>
      </c>
      <c r="V1202" t="str">
        <f>IF([2]Baskol!$D$1205="","",[2]Baskol!$D$1205)</f>
        <v/>
      </c>
      <c r="W1202" t="str">
        <f>IF([2]Baskol!$E$1205="","",[2]Baskol!$E$1205)</f>
        <v/>
      </c>
      <c r="X1202" t="str">
        <f>IF([2]Baskol!$G$1205="","",[2]Baskol!$G$1205)</f>
        <v/>
      </c>
      <c r="Y1202" t="str">
        <f>IF([2]Baskol!$I$1205="","",[2]Baskol!$I$1205)</f>
        <v/>
      </c>
      <c r="Z1202" t="str">
        <f>IF([2]Baskol!$J$1205="","",[2]Baskol!$J$1205)</f>
        <v/>
      </c>
      <c r="AA1202" t="str">
        <f>IF([2]Baskol!$K$1205="","",[2]Baskol!$K$1205)</f>
        <v/>
      </c>
      <c r="AB1202" t="str">
        <f>IF([2]Baskol!$L$1205="","",[2]Baskol!$L$1205)</f>
        <v/>
      </c>
      <c r="AC1202" t="str">
        <f>IF([2]Baskol!$N$1205="","",[2]Baskol!$N$1205)</f>
        <v/>
      </c>
      <c r="AD1202" t="str">
        <f>IF([2]Baskol!$O$1205="","",[2]Baskol!$O$1205)</f>
        <v/>
      </c>
      <c r="AE1202" t="str">
        <f>IF([3]Entry!$C$1205="","",[3]Entry!$C$1205)</f>
        <v/>
      </c>
      <c r="AF1202" t="str">
        <f>IF([3]Entry!$D$1205="","",[3]Entry!$D$1205)</f>
        <v/>
      </c>
      <c r="AG1202" t="str">
        <f>IF([3]Entry!$E$1205="","",[3]Entry!$E$1205)</f>
        <v/>
      </c>
      <c r="AH1202" t="str">
        <f>IF([3]Entry!$G$1205="","",[3]Entry!$G$1205)</f>
        <v/>
      </c>
      <c r="AI1202" t="str">
        <f>IF([3]Entry!$K$1205="","",[3]Entry!$K$1205)</f>
        <v/>
      </c>
      <c r="AJ1202" t="str">
        <f>IF([3]Entry!$L$1205="","",[3]Entry!$L$1205)</f>
        <v/>
      </c>
      <c r="AK1202" t="str">
        <f>IF([3]Entry!$M$1205="","",[3]Entry!$M$1205)</f>
        <v/>
      </c>
      <c r="AL1202" t="str">
        <f>IF([3]Entry!$N$1205="","",[3]Entry!$N$1205)</f>
        <v/>
      </c>
      <c r="AM1202" t="str">
        <f>IF([3]Entry!$R$1205="","",[3]Entry!$R$1205)</f>
        <v/>
      </c>
    </row>
    <row r="1203" spans="20:39" x14ac:dyDescent="0.2">
      <c r="T1203" t="str">
        <f>IF([2]Baskol!$B$1206="","",[2]Baskol!$B$1206)</f>
        <v/>
      </c>
      <c r="U1203" t="str">
        <f>IF([2]Baskol!$C$1206="","",[2]Baskol!$C$1206)</f>
        <v/>
      </c>
      <c r="V1203" t="str">
        <f>IF([2]Baskol!$D$1206="","",[2]Baskol!$D$1206)</f>
        <v/>
      </c>
      <c r="W1203" t="str">
        <f>IF([2]Baskol!$E$1206="","",[2]Baskol!$E$1206)</f>
        <v/>
      </c>
      <c r="X1203" t="str">
        <f>IF([2]Baskol!$G$1206="","",[2]Baskol!$G$1206)</f>
        <v/>
      </c>
      <c r="Y1203" t="str">
        <f>IF([2]Baskol!$I$1206="","",[2]Baskol!$I$1206)</f>
        <v/>
      </c>
      <c r="Z1203" t="str">
        <f>IF([2]Baskol!$J$1206="","",[2]Baskol!$J$1206)</f>
        <v/>
      </c>
      <c r="AA1203" t="str">
        <f>IF([2]Baskol!$K$1206="","",[2]Baskol!$K$1206)</f>
        <v/>
      </c>
      <c r="AB1203" t="str">
        <f>IF([2]Baskol!$L$1206="","",[2]Baskol!$L$1206)</f>
        <v/>
      </c>
      <c r="AC1203" t="str">
        <f>IF([2]Baskol!$N$1206="","",[2]Baskol!$N$1206)</f>
        <v/>
      </c>
      <c r="AD1203" t="str">
        <f>IF([2]Baskol!$O$1206="","",[2]Baskol!$O$1206)</f>
        <v/>
      </c>
      <c r="AE1203" t="str">
        <f>IF([3]Entry!$C$1206="","",[3]Entry!$C$1206)</f>
        <v/>
      </c>
      <c r="AF1203" t="str">
        <f>IF([3]Entry!$D$1206="","",[3]Entry!$D$1206)</f>
        <v/>
      </c>
      <c r="AG1203" t="str">
        <f>IF([3]Entry!$E$1206="","",[3]Entry!$E$1206)</f>
        <v/>
      </c>
      <c r="AH1203" t="str">
        <f>IF([3]Entry!$G$1206="","",[3]Entry!$G$1206)</f>
        <v/>
      </c>
      <c r="AI1203" t="str">
        <f>IF([3]Entry!$K$1206="","",[3]Entry!$K$1206)</f>
        <v/>
      </c>
      <c r="AJ1203" t="str">
        <f>IF([3]Entry!$L$1206="","",[3]Entry!$L$1206)</f>
        <v/>
      </c>
      <c r="AK1203" t="str">
        <f>IF([3]Entry!$M$1206="","",[3]Entry!$M$1206)</f>
        <v/>
      </c>
      <c r="AL1203" t="str">
        <f>IF([3]Entry!$N$1206="","",[3]Entry!$N$1206)</f>
        <v/>
      </c>
      <c r="AM1203" t="str">
        <f>IF([3]Entry!$R$1206="","",[3]Entry!$R$1206)</f>
        <v/>
      </c>
    </row>
    <row r="1204" spans="20:39" x14ac:dyDescent="0.2">
      <c r="T1204" t="str">
        <f>IF([2]Baskol!$B$1207="","",[2]Baskol!$B$1207)</f>
        <v/>
      </c>
      <c r="U1204" t="str">
        <f>IF([2]Baskol!$C$1207="","",[2]Baskol!$C$1207)</f>
        <v/>
      </c>
      <c r="V1204" t="str">
        <f>IF([2]Baskol!$D$1207="","",[2]Baskol!$D$1207)</f>
        <v/>
      </c>
      <c r="W1204" t="str">
        <f>IF([2]Baskol!$E$1207="","",[2]Baskol!$E$1207)</f>
        <v/>
      </c>
      <c r="X1204" t="str">
        <f>IF([2]Baskol!$G$1207="","",[2]Baskol!$G$1207)</f>
        <v/>
      </c>
      <c r="Y1204" t="str">
        <f>IF([2]Baskol!$I$1207="","",[2]Baskol!$I$1207)</f>
        <v/>
      </c>
      <c r="Z1204" t="str">
        <f>IF([2]Baskol!$J$1207="","",[2]Baskol!$J$1207)</f>
        <v/>
      </c>
      <c r="AA1204" t="str">
        <f>IF([2]Baskol!$K$1207="","",[2]Baskol!$K$1207)</f>
        <v/>
      </c>
      <c r="AB1204" t="str">
        <f>IF([2]Baskol!$L$1207="","",[2]Baskol!$L$1207)</f>
        <v/>
      </c>
      <c r="AC1204" t="str">
        <f>IF([2]Baskol!$N$1207="","",[2]Baskol!$N$1207)</f>
        <v/>
      </c>
      <c r="AD1204" t="str">
        <f>IF([2]Baskol!$O$1207="","",[2]Baskol!$O$1207)</f>
        <v/>
      </c>
      <c r="AE1204" t="str">
        <f>IF([3]Entry!$C$1207="","",[3]Entry!$C$1207)</f>
        <v/>
      </c>
      <c r="AF1204" t="str">
        <f>IF([3]Entry!$D$1207="","",[3]Entry!$D$1207)</f>
        <v/>
      </c>
      <c r="AG1204" t="str">
        <f>IF([3]Entry!$E$1207="","",[3]Entry!$E$1207)</f>
        <v/>
      </c>
      <c r="AH1204" t="str">
        <f>IF([3]Entry!$G$1207="","",[3]Entry!$G$1207)</f>
        <v/>
      </c>
      <c r="AI1204" t="str">
        <f>IF([3]Entry!$K$1207="","",[3]Entry!$K$1207)</f>
        <v/>
      </c>
      <c r="AJ1204" t="str">
        <f>IF([3]Entry!$L$1207="","",[3]Entry!$L$1207)</f>
        <v/>
      </c>
      <c r="AK1204" t="str">
        <f>IF([3]Entry!$M$1207="","",[3]Entry!$M$1207)</f>
        <v/>
      </c>
      <c r="AL1204" t="str">
        <f>IF([3]Entry!$N$1207="","",[3]Entry!$N$1207)</f>
        <v/>
      </c>
      <c r="AM1204" t="str">
        <f>IF([3]Entry!$R$1207="","",[3]Entry!$R$1207)</f>
        <v/>
      </c>
    </row>
    <row r="1205" spans="20:39" x14ac:dyDescent="0.2">
      <c r="T1205" t="str">
        <f>IF([2]Baskol!$B$1208="","",[2]Baskol!$B$1208)</f>
        <v/>
      </c>
      <c r="U1205" t="str">
        <f>IF([2]Baskol!$C$1208="","",[2]Baskol!$C$1208)</f>
        <v/>
      </c>
      <c r="V1205" t="str">
        <f>IF([2]Baskol!$D$1208="","",[2]Baskol!$D$1208)</f>
        <v/>
      </c>
      <c r="W1205" t="str">
        <f>IF([2]Baskol!$E$1208="","",[2]Baskol!$E$1208)</f>
        <v/>
      </c>
      <c r="X1205" t="str">
        <f>IF([2]Baskol!$G$1208="","",[2]Baskol!$G$1208)</f>
        <v/>
      </c>
      <c r="Y1205" t="str">
        <f>IF([2]Baskol!$I$1208="","",[2]Baskol!$I$1208)</f>
        <v/>
      </c>
      <c r="Z1205" t="str">
        <f>IF([2]Baskol!$J$1208="","",[2]Baskol!$J$1208)</f>
        <v/>
      </c>
      <c r="AA1205" t="str">
        <f>IF([2]Baskol!$K$1208="","",[2]Baskol!$K$1208)</f>
        <v/>
      </c>
      <c r="AB1205" t="str">
        <f>IF([2]Baskol!$L$1208="","",[2]Baskol!$L$1208)</f>
        <v/>
      </c>
      <c r="AC1205" t="str">
        <f>IF([2]Baskol!$N$1208="","",[2]Baskol!$N$1208)</f>
        <v/>
      </c>
      <c r="AD1205" t="str">
        <f>IF([2]Baskol!$O$1208="","",[2]Baskol!$O$1208)</f>
        <v/>
      </c>
      <c r="AE1205" t="str">
        <f>IF([3]Entry!$C$1208="","",[3]Entry!$C$1208)</f>
        <v/>
      </c>
      <c r="AF1205" t="str">
        <f>IF([3]Entry!$D$1208="","",[3]Entry!$D$1208)</f>
        <v/>
      </c>
      <c r="AG1205" t="str">
        <f>IF([3]Entry!$E$1208="","",[3]Entry!$E$1208)</f>
        <v/>
      </c>
      <c r="AH1205" t="str">
        <f>IF([3]Entry!$G$1208="","",[3]Entry!$G$1208)</f>
        <v/>
      </c>
      <c r="AI1205" t="str">
        <f>IF([3]Entry!$K$1208="","",[3]Entry!$K$1208)</f>
        <v/>
      </c>
      <c r="AJ1205" t="str">
        <f>IF([3]Entry!$L$1208="","",[3]Entry!$L$1208)</f>
        <v/>
      </c>
      <c r="AK1205" t="str">
        <f>IF([3]Entry!$M$1208="","",[3]Entry!$M$1208)</f>
        <v/>
      </c>
      <c r="AL1205" t="str">
        <f>IF([3]Entry!$N$1208="","",[3]Entry!$N$1208)</f>
        <v/>
      </c>
      <c r="AM1205" t="str">
        <f>IF([3]Entry!$R$1208="","",[3]Entry!$R$1208)</f>
        <v/>
      </c>
    </row>
    <row r="1206" spans="20:39" x14ac:dyDescent="0.2">
      <c r="T1206" t="str">
        <f>IF([2]Baskol!$B$1209="","",[2]Baskol!$B$1209)</f>
        <v/>
      </c>
      <c r="U1206" t="str">
        <f>IF([2]Baskol!$C$1209="","",[2]Baskol!$C$1209)</f>
        <v/>
      </c>
      <c r="V1206" t="str">
        <f>IF([2]Baskol!$D$1209="","",[2]Baskol!$D$1209)</f>
        <v/>
      </c>
      <c r="W1206" t="str">
        <f>IF([2]Baskol!$E$1209="","",[2]Baskol!$E$1209)</f>
        <v/>
      </c>
      <c r="X1206" t="str">
        <f>IF([2]Baskol!$G$1209="","",[2]Baskol!$G$1209)</f>
        <v/>
      </c>
      <c r="Y1206" t="str">
        <f>IF([2]Baskol!$I$1209="","",[2]Baskol!$I$1209)</f>
        <v/>
      </c>
      <c r="Z1206" t="str">
        <f>IF([2]Baskol!$J$1209="","",[2]Baskol!$J$1209)</f>
        <v/>
      </c>
      <c r="AA1206" t="str">
        <f>IF([2]Baskol!$K$1209="","",[2]Baskol!$K$1209)</f>
        <v/>
      </c>
      <c r="AB1206" t="str">
        <f>IF([2]Baskol!$L$1209="","",[2]Baskol!$L$1209)</f>
        <v/>
      </c>
      <c r="AC1206" t="str">
        <f>IF([2]Baskol!$N$1209="","",[2]Baskol!$N$1209)</f>
        <v/>
      </c>
      <c r="AD1206" t="str">
        <f>IF([2]Baskol!$O$1209="","",[2]Baskol!$O$1209)</f>
        <v/>
      </c>
      <c r="AE1206" t="str">
        <f>IF([3]Entry!$C$1209="","",[3]Entry!$C$1209)</f>
        <v/>
      </c>
      <c r="AF1206" t="str">
        <f>IF([3]Entry!$D$1209="","",[3]Entry!$D$1209)</f>
        <v/>
      </c>
      <c r="AG1206" t="str">
        <f>IF([3]Entry!$E$1209="","",[3]Entry!$E$1209)</f>
        <v/>
      </c>
      <c r="AH1206" t="str">
        <f>IF([3]Entry!$G$1209="","",[3]Entry!$G$1209)</f>
        <v/>
      </c>
      <c r="AI1206" t="str">
        <f>IF([3]Entry!$K$1209="","",[3]Entry!$K$1209)</f>
        <v/>
      </c>
      <c r="AJ1206" t="str">
        <f>IF([3]Entry!$L$1209="","",[3]Entry!$L$1209)</f>
        <v/>
      </c>
      <c r="AK1206" t="str">
        <f>IF([3]Entry!$M$1209="","",[3]Entry!$M$1209)</f>
        <v/>
      </c>
      <c r="AL1206" t="str">
        <f>IF([3]Entry!$N$1209="","",[3]Entry!$N$1209)</f>
        <v/>
      </c>
      <c r="AM1206" t="str">
        <f>IF([3]Entry!$R$1209="","",[3]Entry!$R$1209)</f>
        <v/>
      </c>
    </row>
    <row r="1207" spans="20:39" x14ac:dyDescent="0.2">
      <c r="T1207" t="str">
        <f>IF([2]Baskol!$B$1210="","",[2]Baskol!$B$1210)</f>
        <v/>
      </c>
      <c r="U1207" t="str">
        <f>IF([2]Baskol!$C$1210="","",[2]Baskol!$C$1210)</f>
        <v/>
      </c>
      <c r="V1207" t="str">
        <f>IF([2]Baskol!$D$1210="","",[2]Baskol!$D$1210)</f>
        <v/>
      </c>
      <c r="W1207" t="str">
        <f>IF([2]Baskol!$E$1210="","",[2]Baskol!$E$1210)</f>
        <v/>
      </c>
      <c r="X1207" t="str">
        <f>IF([2]Baskol!$G$1210="","",[2]Baskol!$G$1210)</f>
        <v/>
      </c>
      <c r="Y1207" t="str">
        <f>IF([2]Baskol!$I$1210="","",[2]Baskol!$I$1210)</f>
        <v/>
      </c>
      <c r="Z1207" t="str">
        <f>IF([2]Baskol!$J$1210="","",[2]Baskol!$J$1210)</f>
        <v/>
      </c>
      <c r="AA1207" t="str">
        <f>IF([2]Baskol!$K$1210="","",[2]Baskol!$K$1210)</f>
        <v/>
      </c>
      <c r="AB1207" t="str">
        <f>IF([2]Baskol!$L$1210="","",[2]Baskol!$L$1210)</f>
        <v/>
      </c>
      <c r="AC1207" t="str">
        <f>IF([2]Baskol!$N$1210="","",[2]Baskol!$N$1210)</f>
        <v/>
      </c>
      <c r="AD1207" t="str">
        <f>IF([2]Baskol!$O$1210="","",[2]Baskol!$O$1210)</f>
        <v/>
      </c>
      <c r="AE1207" t="str">
        <f>IF([3]Entry!$C$1210="","",[3]Entry!$C$1210)</f>
        <v/>
      </c>
      <c r="AF1207" t="str">
        <f>IF([3]Entry!$D$1210="","",[3]Entry!$D$1210)</f>
        <v/>
      </c>
      <c r="AG1207" t="str">
        <f>IF([3]Entry!$E$1210="","",[3]Entry!$E$1210)</f>
        <v/>
      </c>
      <c r="AH1207" t="str">
        <f>IF([3]Entry!$G$1210="","",[3]Entry!$G$1210)</f>
        <v/>
      </c>
      <c r="AI1207" t="str">
        <f>IF([3]Entry!$K$1210="","",[3]Entry!$K$1210)</f>
        <v/>
      </c>
      <c r="AJ1207" t="str">
        <f>IF([3]Entry!$L$1210="","",[3]Entry!$L$1210)</f>
        <v/>
      </c>
      <c r="AK1207" t="str">
        <f>IF([3]Entry!$M$1210="","",[3]Entry!$M$1210)</f>
        <v/>
      </c>
      <c r="AL1207" t="str">
        <f>IF([3]Entry!$N$1210="","",[3]Entry!$N$1210)</f>
        <v/>
      </c>
      <c r="AM1207" t="str">
        <f>IF([3]Entry!$R$1210="","",[3]Entry!$R$1210)</f>
        <v/>
      </c>
    </row>
    <row r="1208" spans="20:39" x14ac:dyDescent="0.2">
      <c r="T1208" t="str">
        <f>IF([2]Baskol!$B$1211="","",[2]Baskol!$B$1211)</f>
        <v/>
      </c>
      <c r="U1208" t="str">
        <f>IF([2]Baskol!$C$1211="","",[2]Baskol!$C$1211)</f>
        <v/>
      </c>
      <c r="V1208" t="str">
        <f>IF([2]Baskol!$D$1211="","",[2]Baskol!$D$1211)</f>
        <v/>
      </c>
      <c r="W1208" t="str">
        <f>IF([2]Baskol!$E$1211="","",[2]Baskol!$E$1211)</f>
        <v/>
      </c>
      <c r="X1208" t="str">
        <f>IF([2]Baskol!$G$1211="","",[2]Baskol!$G$1211)</f>
        <v/>
      </c>
      <c r="Y1208" t="str">
        <f>IF([2]Baskol!$I$1211="","",[2]Baskol!$I$1211)</f>
        <v/>
      </c>
      <c r="Z1208" t="str">
        <f>IF([2]Baskol!$J$1211="","",[2]Baskol!$J$1211)</f>
        <v/>
      </c>
      <c r="AA1208" t="str">
        <f>IF([2]Baskol!$K$1211="","",[2]Baskol!$K$1211)</f>
        <v/>
      </c>
      <c r="AB1208" t="str">
        <f>IF([2]Baskol!$L$1211="","",[2]Baskol!$L$1211)</f>
        <v/>
      </c>
      <c r="AC1208" t="str">
        <f>IF([2]Baskol!$N$1211="","",[2]Baskol!$N$1211)</f>
        <v/>
      </c>
      <c r="AD1208" t="str">
        <f>IF([2]Baskol!$O$1211="","",[2]Baskol!$O$1211)</f>
        <v/>
      </c>
      <c r="AE1208" t="str">
        <f>IF([3]Entry!$C$1211="","",[3]Entry!$C$1211)</f>
        <v/>
      </c>
      <c r="AF1208" t="str">
        <f>IF([3]Entry!$D$1211="","",[3]Entry!$D$1211)</f>
        <v/>
      </c>
      <c r="AG1208" t="str">
        <f>IF([3]Entry!$E$1211="","",[3]Entry!$E$1211)</f>
        <v/>
      </c>
      <c r="AH1208" t="str">
        <f>IF([3]Entry!$G$1211="","",[3]Entry!$G$1211)</f>
        <v/>
      </c>
      <c r="AI1208" t="str">
        <f>IF([3]Entry!$K$1211="","",[3]Entry!$K$1211)</f>
        <v/>
      </c>
      <c r="AJ1208" t="str">
        <f>IF([3]Entry!$L$1211="","",[3]Entry!$L$1211)</f>
        <v/>
      </c>
      <c r="AK1208" t="str">
        <f>IF([3]Entry!$M$1211="","",[3]Entry!$M$1211)</f>
        <v/>
      </c>
      <c r="AL1208" t="str">
        <f>IF([3]Entry!$N$1211="","",[3]Entry!$N$1211)</f>
        <v/>
      </c>
      <c r="AM1208" t="str">
        <f>IF([3]Entry!$R$1211="","",[3]Entry!$R$1211)</f>
        <v/>
      </c>
    </row>
    <row r="1209" spans="20:39" x14ac:dyDescent="0.2">
      <c r="T1209" t="str">
        <f>IF([2]Baskol!$B$1212="","",[2]Baskol!$B$1212)</f>
        <v/>
      </c>
      <c r="U1209" t="str">
        <f>IF([2]Baskol!$C$1212="","",[2]Baskol!$C$1212)</f>
        <v/>
      </c>
      <c r="V1209" t="str">
        <f>IF([2]Baskol!$D$1212="","",[2]Baskol!$D$1212)</f>
        <v/>
      </c>
      <c r="W1209" t="str">
        <f>IF([2]Baskol!$E$1212="","",[2]Baskol!$E$1212)</f>
        <v/>
      </c>
      <c r="X1209" t="str">
        <f>IF([2]Baskol!$G$1212="","",[2]Baskol!$G$1212)</f>
        <v/>
      </c>
      <c r="Y1209" t="str">
        <f>IF([2]Baskol!$I$1212="","",[2]Baskol!$I$1212)</f>
        <v/>
      </c>
      <c r="Z1209" t="str">
        <f>IF([2]Baskol!$J$1212="","",[2]Baskol!$J$1212)</f>
        <v/>
      </c>
      <c r="AA1209" t="str">
        <f>IF([2]Baskol!$K$1212="","",[2]Baskol!$K$1212)</f>
        <v/>
      </c>
      <c r="AB1209" t="str">
        <f>IF([2]Baskol!$L$1212="","",[2]Baskol!$L$1212)</f>
        <v/>
      </c>
      <c r="AC1209" t="str">
        <f>IF([2]Baskol!$N$1212="","",[2]Baskol!$N$1212)</f>
        <v/>
      </c>
      <c r="AD1209" t="str">
        <f>IF([2]Baskol!$O$1212="","",[2]Baskol!$O$1212)</f>
        <v/>
      </c>
      <c r="AE1209" t="str">
        <f>IF([3]Entry!$C$1212="","",[3]Entry!$C$1212)</f>
        <v/>
      </c>
      <c r="AF1209" t="str">
        <f>IF([3]Entry!$D$1212="","",[3]Entry!$D$1212)</f>
        <v/>
      </c>
      <c r="AG1209" t="str">
        <f>IF([3]Entry!$E$1212="","",[3]Entry!$E$1212)</f>
        <v/>
      </c>
      <c r="AH1209" t="str">
        <f>IF([3]Entry!$G$1212="","",[3]Entry!$G$1212)</f>
        <v/>
      </c>
      <c r="AI1209" t="str">
        <f>IF([3]Entry!$K$1212="","",[3]Entry!$K$1212)</f>
        <v/>
      </c>
      <c r="AJ1209" t="str">
        <f>IF([3]Entry!$L$1212="","",[3]Entry!$L$1212)</f>
        <v/>
      </c>
      <c r="AK1209" t="str">
        <f>IF([3]Entry!$M$1212="","",[3]Entry!$M$1212)</f>
        <v/>
      </c>
      <c r="AL1209" t="str">
        <f>IF([3]Entry!$N$1212="","",[3]Entry!$N$1212)</f>
        <v/>
      </c>
      <c r="AM1209" t="str">
        <f>IF([3]Entry!$R$1212="","",[3]Entry!$R$1212)</f>
        <v/>
      </c>
    </row>
    <row r="1210" spans="20:39" x14ac:dyDescent="0.2">
      <c r="T1210" t="str">
        <f>IF([2]Baskol!$B$1213="","",[2]Baskol!$B$1213)</f>
        <v/>
      </c>
      <c r="U1210" t="str">
        <f>IF([2]Baskol!$C$1213="","",[2]Baskol!$C$1213)</f>
        <v/>
      </c>
      <c r="V1210" t="str">
        <f>IF([2]Baskol!$D$1213="","",[2]Baskol!$D$1213)</f>
        <v/>
      </c>
      <c r="W1210" t="str">
        <f>IF([2]Baskol!$E$1213="","",[2]Baskol!$E$1213)</f>
        <v/>
      </c>
      <c r="X1210" t="str">
        <f>IF([2]Baskol!$G$1213="","",[2]Baskol!$G$1213)</f>
        <v/>
      </c>
      <c r="Y1210" t="str">
        <f>IF([2]Baskol!$I$1213="","",[2]Baskol!$I$1213)</f>
        <v/>
      </c>
      <c r="Z1210" t="str">
        <f>IF([2]Baskol!$J$1213="","",[2]Baskol!$J$1213)</f>
        <v/>
      </c>
      <c r="AA1210" t="str">
        <f>IF([2]Baskol!$K$1213="","",[2]Baskol!$K$1213)</f>
        <v/>
      </c>
      <c r="AB1210" t="str">
        <f>IF([2]Baskol!$L$1213="","",[2]Baskol!$L$1213)</f>
        <v/>
      </c>
      <c r="AC1210" t="str">
        <f>IF([2]Baskol!$N$1213="","",[2]Baskol!$N$1213)</f>
        <v/>
      </c>
      <c r="AD1210" t="str">
        <f>IF([2]Baskol!$O$1213="","",[2]Baskol!$O$1213)</f>
        <v/>
      </c>
      <c r="AE1210" t="str">
        <f>IF([3]Entry!$C$1213="","",[3]Entry!$C$1213)</f>
        <v/>
      </c>
      <c r="AF1210" t="str">
        <f>IF([3]Entry!$D$1213="","",[3]Entry!$D$1213)</f>
        <v/>
      </c>
      <c r="AG1210" t="str">
        <f>IF([3]Entry!$E$1213="","",[3]Entry!$E$1213)</f>
        <v/>
      </c>
      <c r="AH1210" t="str">
        <f>IF([3]Entry!$G$1213="","",[3]Entry!$G$1213)</f>
        <v/>
      </c>
      <c r="AI1210" t="str">
        <f>IF([3]Entry!$K$1213="","",[3]Entry!$K$1213)</f>
        <v/>
      </c>
      <c r="AJ1210" t="str">
        <f>IF([3]Entry!$L$1213="","",[3]Entry!$L$1213)</f>
        <v/>
      </c>
      <c r="AK1210" t="str">
        <f>IF([3]Entry!$M$1213="","",[3]Entry!$M$1213)</f>
        <v/>
      </c>
      <c r="AL1210" t="str">
        <f>IF([3]Entry!$N$1213="","",[3]Entry!$N$1213)</f>
        <v/>
      </c>
      <c r="AM1210" t="str">
        <f>IF([3]Entry!$R$1213="","",[3]Entry!$R$1213)</f>
        <v/>
      </c>
    </row>
    <row r="1211" spans="20:39" x14ac:dyDescent="0.2">
      <c r="T1211" t="str">
        <f>IF([2]Baskol!$B$1214="","",[2]Baskol!$B$1214)</f>
        <v/>
      </c>
      <c r="U1211" t="str">
        <f>IF([2]Baskol!$C$1214="","",[2]Baskol!$C$1214)</f>
        <v/>
      </c>
      <c r="V1211" t="str">
        <f>IF([2]Baskol!$D$1214="","",[2]Baskol!$D$1214)</f>
        <v/>
      </c>
      <c r="W1211" t="str">
        <f>IF([2]Baskol!$E$1214="","",[2]Baskol!$E$1214)</f>
        <v/>
      </c>
      <c r="X1211" t="str">
        <f>IF([2]Baskol!$G$1214="","",[2]Baskol!$G$1214)</f>
        <v/>
      </c>
      <c r="Y1211" t="str">
        <f>IF([2]Baskol!$I$1214="","",[2]Baskol!$I$1214)</f>
        <v/>
      </c>
      <c r="Z1211" t="str">
        <f>IF([2]Baskol!$J$1214="","",[2]Baskol!$J$1214)</f>
        <v/>
      </c>
      <c r="AA1211" t="str">
        <f>IF([2]Baskol!$K$1214="","",[2]Baskol!$K$1214)</f>
        <v/>
      </c>
      <c r="AB1211" t="str">
        <f>IF([2]Baskol!$L$1214="","",[2]Baskol!$L$1214)</f>
        <v/>
      </c>
      <c r="AC1211" t="str">
        <f>IF([2]Baskol!$N$1214="","",[2]Baskol!$N$1214)</f>
        <v/>
      </c>
      <c r="AD1211" t="str">
        <f>IF([2]Baskol!$O$1214="","",[2]Baskol!$O$1214)</f>
        <v/>
      </c>
      <c r="AE1211" t="str">
        <f>IF([3]Entry!$C$1214="","",[3]Entry!$C$1214)</f>
        <v/>
      </c>
      <c r="AF1211" t="str">
        <f>IF([3]Entry!$D$1214="","",[3]Entry!$D$1214)</f>
        <v/>
      </c>
      <c r="AG1211" t="str">
        <f>IF([3]Entry!$E$1214="","",[3]Entry!$E$1214)</f>
        <v/>
      </c>
      <c r="AH1211" t="str">
        <f>IF([3]Entry!$G$1214="","",[3]Entry!$G$1214)</f>
        <v/>
      </c>
      <c r="AI1211" t="str">
        <f>IF([3]Entry!$K$1214="","",[3]Entry!$K$1214)</f>
        <v/>
      </c>
      <c r="AJ1211" t="str">
        <f>IF([3]Entry!$L$1214="","",[3]Entry!$L$1214)</f>
        <v/>
      </c>
      <c r="AK1211" t="str">
        <f>IF([3]Entry!$M$1214="","",[3]Entry!$M$1214)</f>
        <v/>
      </c>
      <c r="AL1211" t="str">
        <f>IF([3]Entry!$N$1214="","",[3]Entry!$N$1214)</f>
        <v/>
      </c>
      <c r="AM1211" t="str">
        <f>IF([3]Entry!$R$1214="","",[3]Entry!$R$1214)</f>
        <v/>
      </c>
    </row>
    <row r="1212" spans="20:39" x14ac:dyDescent="0.2">
      <c r="T1212" t="str">
        <f>IF([2]Baskol!$B$1215="","",[2]Baskol!$B$1215)</f>
        <v/>
      </c>
      <c r="U1212" t="str">
        <f>IF([2]Baskol!$C$1215="","",[2]Baskol!$C$1215)</f>
        <v/>
      </c>
      <c r="V1212" t="str">
        <f>IF([2]Baskol!$D$1215="","",[2]Baskol!$D$1215)</f>
        <v/>
      </c>
      <c r="W1212" t="str">
        <f>IF([2]Baskol!$E$1215="","",[2]Baskol!$E$1215)</f>
        <v/>
      </c>
      <c r="X1212" t="str">
        <f>IF([2]Baskol!$G$1215="","",[2]Baskol!$G$1215)</f>
        <v/>
      </c>
      <c r="Y1212" t="str">
        <f>IF([2]Baskol!$I$1215="","",[2]Baskol!$I$1215)</f>
        <v/>
      </c>
      <c r="Z1212" t="str">
        <f>IF([2]Baskol!$J$1215="","",[2]Baskol!$J$1215)</f>
        <v/>
      </c>
      <c r="AA1212" t="str">
        <f>IF([2]Baskol!$K$1215="","",[2]Baskol!$K$1215)</f>
        <v/>
      </c>
      <c r="AB1212" t="str">
        <f>IF([2]Baskol!$L$1215="","",[2]Baskol!$L$1215)</f>
        <v/>
      </c>
      <c r="AC1212" t="str">
        <f>IF([2]Baskol!$N$1215="","",[2]Baskol!$N$1215)</f>
        <v/>
      </c>
      <c r="AD1212" t="str">
        <f>IF([2]Baskol!$O$1215="","",[2]Baskol!$O$1215)</f>
        <v/>
      </c>
      <c r="AE1212" t="str">
        <f>IF([3]Entry!$C$1215="","",[3]Entry!$C$1215)</f>
        <v/>
      </c>
      <c r="AF1212" t="str">
        <f>IF([3]Entry!$D$1215="","",[3]Entry!$D$1215)</f>
        <v/>
      </c>
      <c r="AG1212" t="str">
        <f>IF([3]Entry!$E$1215="","",[3]Entry!$E$1215)</f>
        <v/>
      </c>
      <c r="AH1212" t="str">
        <f>IF([3]Entry!$G$1215="","",[3]Entry!$G$1215)</f>
        <v/>
      </c>
      <c r="AI1212" t="str">
        <f>IF([3]Entry!$K$1215="","",[3]Entry!$K$1215)</f>
        <v/>
      </c>
      <c r="AJ1212" t="str">
        <f>IF([3]Entry!$L$1215="","",[3]Entry!$L$1215)</f>
        <v/>
      </c>
      <c r="AK1212" t="str">
        <f>IF([3]Entry!$M$1215="","",[3]Entry!$M$1215)</f>
        <v/>
      </c>
      <c r="AL1212" t="str">
        <f>IF([3]Entry!$N$1215="","",[3]Entry!$N$1215)</f>
        <v/>
      </c>
      <c r="AM1212" t="str">
        <f>IF([3]Entry!$R$1215="","",[3]Entry!$R$1215)</f>
        <v/>
      </c>
    </row>
    <row r="1213" spans="20:39" x14ac:dyDescent="0.2">
      <c r="T1213" t="str">
        <f>IF([2]Baskol!$B$1216="","",[2]Baskol!$B$1216)</f>
        <v/>
      </c>
      <c r="U1213" t="str">
        <f>IF([2]Baskol!$C$1216="","",[2]Baskol!$C$1216)</f>
        <v/>
      </c>
      <c r="V1213" t="str">
        <f>IF([2]Baskol!$D$1216="","",[2]Baskol!$D$1216)</f>
        <v/>
      </c>
      <c r="W1213" t="str">
        <f>IF([2]Baskol!$E$1216="","",[2]Baskol!$E$1216)</f>
        <v/>
      </c>
      <c r="X1213" t="str">
        <f>IF([2]Baskol!$G$1216="","",[2]Baskol!$G$1216)</f>
        <v/>
      </c>
      <c r="Y1213" t="str">
        <f>IF([2]Baskol!$I$1216="","",[2]Baskol!$I$1216)</f>
        <v/>
      </c>
      <c r="Z1213" t="str">
        <f>IF([2]Baskol!$J$1216="","",[2]Baskol!$J$1216)</f>
        <v/>
      </c>
      <c r="AA1213" t="str">
        <f>IF([2]Baskol!$K$1216="","",[2]Baskol!$K$1216)</f>
        <v/>
      </c>
      <c r="AB1213" t="str">
        <f>IF([2]Baskol!$L$1216="","",[2]Baskol!$L$1216)</f>
        <v/>
      </c>
      <c r="AC1213" t="str">
        <f>IF([2]Baskol!$N$1216="","",[2]Baskol!$N$1216)</f>
        <v/>
      </c>
      <c r="AD1213" t="str">
        <f>IF([2]Baskol!$O$1216="","",[2]Baskol!$O$1216)</f>
        <v/>
      </c>
      <c r="AE1213" t="str">
        <f>IF([3]Entry!$C$1216="","",[3]Entry!$C$1216)</f>
        <v/>
      </c>
      <c r="AF1213" t="str">
        <f>IF([3]Entry!$D$1216="","",[3]Entry!$D$1216)</f>
        <v/>
      </c>
      <c r="AG1213" t="str">
        <f>IF([3]Entry!$E$1216="","",[3]Entry!$E$1216)</f>
        <v/>
      </c>
      <c r="AH1213" t="str">
        <f>IF([3]Entry!$G$1216="","",[3]Entry!$G$1216)</f>
        <v/>
      </c>
      <c r="AI1213" t="str">
        <f>IF([3]Entry!$K$1216="","",[3]Entry!$K$1216)</f>
        <v/>
      </c>
      <c r="AJ1213" t="str">
        <f>IF([3]Entry!$L$1216="","",[3]Entry!$L$1216)</f>
        <v/>
      </c>
      <c r="AK1213" t="str">
        <f>IF([3]Entry!$M$1216="","",[3]Entry!$M$1216)</f>
        <v/>
      </c>
      <c r="AL1213" t="str">
        <f>IF([3]Entry!$N$1216="","",[3]Entry!$N$1216)</f>
        <v/>
      </c>
      <c r="AM1213" t="str">
        <f>IF([3]Entry!$R$1216="","",[3]Entry!$R$1216)</f>
        <v/>
      </c>
    </row>
    <row r="1214" spans="20:39" x14ac:dyDescent="0.2">
      <c r="T1214" t="str">
        <f>IF([2]Baskol!$B$1217="","",[2]Baskol!$B$1217)</f>
        <v/>
      </c>
      <c r="U1214" t="str">
        <f>IF([2]Baskol!$C$1217="","",[2]Baskol!$C$1217)</f>
        <v/>
      </c>
      <c r="V1214" t="str">
        <f>IF([2]Baskol!$D$1217="","",[2]Baskol!$D$1217)</f>
        <v/>
      </c>
      <c r="W1214" t="str">
        <f>IF([2]Baskol!$E$1217="","",[2]Baskol!$E$1217)</f>
        <v/>
      </c>
      <c r="X1214" t="str">
        <f>IF([2]Baskol!$G$1217="","",[2]Baskol!$G$1217)</f>
        <v/>
      </c>
      <c r="Y1214" t="str">
        <f>IF([2]Baskol!$I$1217="","",[2]Baskol!$I$1217)</f>
        <v/>
      </c>
      <c r="Z1214" t="str">
        <f>IF([2]Baskol!$J$1217="","",[2]Baskol!$J$1217)</f>
        <v/>
      </c>
      <c r="AA1214" t="str">
        <f>IF([2]Baskol!$K$1217="","",[2]Baskol!$K$1217)</f>
        <v/>
      </c>
      <c r="AB1214" t="str">
        <f>IF([2]Baskol!$L$1217="","",[2]Baskol!$L$1217)</f>
        <v/>
      </c>
      <c r="AC1214" t="str">
        <f>IF([2]Baskol!$N$1217="","",[2]Baskol!$N$1217)</f>
        <v/>
      </c>
      <c r="AD1214" t="str">
        <f>IF([2]Baskol!$O$1217="","",[2]Baskol!$O$1217)</f>
        <v/>
      </c>
      <c r="AE1214" t="str">
        <f>IF([3]Entry!$C$1217="","",[3]Entry!$C$1217)</f>
        <v/>
      </c>
      <c r="AF1214" t="str">
        <f>IF([3]Entry!$D$1217="","",[3]Entry!$D$1217)</f>
        <v/>
      </c>
      <c r="AG1214" t="str">
        <f>IF([3]Entry!$E$1217="","",[3]Entry!$E$1217)</f>
        <v/>
      </c>
      <c r="AH1214" t="str">
        <f>IF([3]Entry!$G$1217="","",[3]Entry!$G$1217)</f>
        <v/>
      </c>
      <c r="AI1214" t="str">
        <f>IF([3]Entry!$K$1217="","",[3]Entry!$K$1217)</f>
        <v/>
      </c>
      <c r="AJ1214" t="str">
        <f>IF([3]Entry!$L$1217="","",[3]Entry!$L$1217)</f>
        <v/>
      </c>
      <c r="AK1214" t="str">
        <f>IF([3]Entry!$M$1217="","",[3]Entry!$M$1217)</f>
        <v/>
      </c>
      <c r="AL1214" t="str">
        <f>IF([3]Entry!$N$1217="","",[3]Entry!$N$1217)</f>
        <v/>
      </c>
      <c r="AM1214" t="str">
        <f>IF([3]Entry!$R$1217="","",[3]Entry!$R$1217)</f>
        <v/>
      </c>
    </row>
    <row r="1215" spans="20:39" x14ac:dyDescent="0.2">
      <c r="T1215" t="str">
        <f>IF([2]Baskol!$B$1218="","",[2]Baskol!$B$1218)</f>
        <v/>
      </c>
      <c r="U1215" t="str">
        <f>IF([2]Baskol!$C$1218="","",[2]Baskol!$C$1218)</f>
        <v/>
      </c>
      <c r="V1215" t="str">
        <f>IF([2]Baskol!$D$1218="","",[2]Baskol!$D$1218)</f>
        <v/>
      </c>
      <c r="W1215" t="str">
        <f>IF([2]Baskol!$E$1218="","",[2]Baskol!$E$1218)</f>
        <v/>
      </c>
      <c r="X1215" t="str">
        <f>IF([2]Baskol!$G$1218="","",[2]Baskol!$G$1218)</f>
        <v/>
      </c>
      <c r="Y1215" t="str">
        <f>IF([2]Baskol!$I$1218="","",[2]Baskol!$I$1218)</f>
        <v/>
      </c>
      <c r="Z1215" t="str">
        <f>IF([2]Baskol!$J$1218="","",[2]Baskol!$J$1218)</f>
        <v/>
      </c>
      <c r="AA1215" t="str">
        <f>IF([2]Baskol!$K$1218="","",[2]Baskol!$K$1218)</f>
        <v/>
      </c>
      <c r="AB1215" t="str">
        <f>IF([2]Baskol!$L$1218="","",[2]Baskol!$L$1218)</f>
        <v/>
      </c>
      <c r="AC1215" t="str">
        <f>IF([2]Baskol!$N$1218="","",[2]Baskol!$N$1218)</f>
        <v/>
      </c>
      <c r="AD1215" t="str">
        <f>IF([2]Baskol!$O$1218="","",[2]Baskol!$O$1218)</f>
        <v/>
      </c>
      <c r="AE1215" t="str">
        <f>IF([3]Entry!$C$1218="","",[3]Entry!$C$1218)</f>
        <v/>
      </c>
      <c r="AF1215" t="str">
        <f>IF([3]Entry!$D$1218="","",[3]Entry!$D$1218)</f>
        <v/>
      </c>
      <c r="AG1215" t="str">
        <f>IF([3]Entry!$E$1218="","",[3]Entry!$E$1218)</f>
        <v/>
      </c>
      <c r="AH1215" t="str">
        <f>IF([3]Entry!$G$1218="","",[3]Entry!$G$1218)</f>
        <v/>
      </c>
      <c r="AI1215" t="str">
        <f>IF([3]Entry!$K$1218="","",[3]Entry!$K$1218)</f>
        <v/>
      </c>
      <c r="AJ1215" t="str">
        <f>IF([3]Entry!$L$1218="","",[3]Entry!$L$1218)</f>
        <v/>
      </c>
      <c r="AK1215" t="str">
        <f>IF([3]Entry!$M$1218="","",[3]Entry!$M$1218)</f>
        <v/>
      </c>
      <c r="AL1215" t="str">
        <f>IF([3]Entry!$N$1218="","",[3]Entry!$N$1218)</f>
        <v/>
      </c>
      <c r="AM1215" t="str">
        <f>IF([3]Entry!$R$1218="","",[3]Entry!$R$1218)</f>
        <v/>
      </c>
    </row>
    <row r="1216" spans="20:39" x14ac:dyDescent="0.2">
      <c r="T1216" t="str">
        <f>IF([2]Baskol!$B$1219="","",[2]Baskol!$B$1219)</f>
        <v/>
      </c>
      <c r="U1216" t="str">
        <f>IF([2]Baskol!$C$1219="","",[2]Baskol!$C$1219)</f>
        <v/>
      </c>
      <c r="V1216" t="str">
        <f>IF([2]Baskol!$D$1219="","",[2]Baskol!$D$1219)</f>
        <v/>
      </c>
      <c r="W1216" t="str">
        <f>IF([2]Baskol!$E$1219="","",[2]Baskol!$E$1219)</f>
        <v/>
      </c>
      <c r="X1216" t="str">
        <f>IF([2]Baskol!$G$1219="","",[2]Baskol!$G$1219)</f>
        <v/>
      </c>
      <c r="Y1216" t="str">
        <f>IF([2]Baskol!$I$1219="","",[2]Baskol!$I$1219)</f>
        <v/>
      </c>
      <c r="Z1216" t="str">
        <f>IF([2]Baskol!$J$1219="","",[2]Baskol!$J$1219)</f>
        <v/>
      </c>
      <c r="AA1216" t="str">
        <f>IF([2]Baskol!$K$1219="","",[2]Baskol!$K$1219)</f>
        <v/>
      </c>
      <c r="AB1216" t="str">
        <f>IF([2]Baskol!$L$1219="","",[2]Baskol!$L$1219)</f>
        <v/>
      </c>
      <c r="AC1216" t="str">
        <f>IF([2]Baskol!$N$1219="","",[2]Baskol!$N$1219)</f>
        <v/>
      </c>
      <c r="AD1216" t="str">
        <f>IF([2]Baskol!$O$1219="","",[2]Baskol!$O$1219)</f>
        <v/>
      </c>
      <c r="AE1216" t="str">
        <f>IF([3]Entry!$C$1219="","",[3]Entry!$C$1219)</f>
        <v/>
      </c>
      <c r="AF1216" t="str">
        <f>IF([3]Entry!$D$1219="","",[3]Entry!$D$1219)</f>
        <v/>
      </c>
      <c r="AG1216" t="str">
        <f>IF([3]Entry!$E$1219="","",[3]Entry!$E$1219)</f>
        <v/>
      </c>
      <c r="AH1216" t="str">
        <f>IF([3]Entry!$G$1219="","",[3]Entry!$G$1219)</f>
        <v/>
      </c>
      <c r="AI1216" t="str">
        <f>IF([3]Entry!$K$1219="","",[3]Entry!$K$1219)</f>
        <v/>
      </c>
      <c r="AJ1216" t="str">
        <f>IF([3]Entry!$L$1219="","",[3]Entry!$L$1219)</f>
        <v/>
      </c>
      <c r="AK1216" t="str">
        <f>IF([3]Entry!$M$1219="","",[3]Entry!$M$1219)</f>
        <v/>
      </c>
      <c r="AL1216" t="str">
        <f>IF([3]Entry!$N$1219="","",[3]Entry!$N$1219)</f>
        <v/>
      </c>
      <c r="AM1216" t="str">
        <f>IF([3]Entry!$R$1219="","",[3]Entry!$R$1219)</f>
        <v/>
      </c>
    </row>
    <row r="1217" spans="20:39" x14ac:dyDescent="0.2">
      <c r="T1217" t="str">
        <f>IF([2]Baskol!$B$1220="","",[2]Baskol!$B$1220)</f>
        <v/>
      </c>
      <c r="U1217" t="str">
        <f>IF([2]Baskol!$C$1220="","",[2]Baskol!$C$1220)</f>
        <v/>
      </c>
      <c r="V1217" t="str">
        <f>IF([2]Baskol!$D$1220="","",[2]Baskol!$D$1220)</f>
        <v/>
      </c>
      <c r="W1217" t="str">
        <f>IF([2]Baskol!$E$1220="","",[2]Baskol!$E$1220)</f>
        <v/>
      </c>
      <c r="X1217" t="str">
        <f>IF([2]Baskol!$G$1220="","",[2]Baskol!$G$1220)</f>
        <v/>
      </c>
      <c r="Y1217" t="str">
        <f>IF([2]Baskol!$I$1220="","",[2]Baskol!$I$1220)</f>
        <v/>
      </c>
      <c r="Z1217" t="str">
        <f>IF([2]Baskol!$J$1220="","",[2]Baskol!$J$1220)</f>
        <v/>
      </c>
      <c r="AA1217" t="str">
        <f>IF([2]Baskol!$K$1220="","",[2]Baskol!$K$1220)</f>
        <v/>
      </c>
      <c r="AB1217" t="str">
        <f>IF([2]Baskol!$L$1220="","",[2]Baskol!$L$1220)</f>
        <v/>
      </c>
      <c r="AC1217" t="str">
        <f>IF([2]Baskol!$N$1220="","",[2]Baskol!$N$1220)</f>
        <v/>
      </c>
      <c r="AD1217" t="str">
        <f>IF([2]Baskol!$O$1220="","",[2]Baskol!$O$1220)</f>
        <v/>
      </c>
      <c r="AE1217" t="str">
        <f>IF([3]Entry!$C$1220="","",[3]Entry!$C$1220)</f>
        <v/>
      </c>
      <c r="AF1217" t="str">
        <f>IF([3]Entry!$D$1220="","",[3]Entry!$D$1220)</f>
        <v/>
      </c>
      <c r="AG1217" t="str">
        <f>IF([3]Entry!$E$1220="","",[3]Entry!$E$1220)</f>
        <v/>
      </c>
      <c r="AH1217" t="str">
        <f>IF([3]Entry!$G$1220="","",[3]Entry!$G$1220)</f>
        <v/>
      </c>
      <c r="AI1217" t="str">
        <f>IF([3]Entry!$K$1220="","",[3]Entry!$K$1220)</f>
        <v/>
      </c>
      <c r="AJ1217" t="str">
        <f>IF([3]Entry!$L$1220="","",[3]Entry!$L$1220)</f>
        <v/>
      </c>
      <c r="AK1217" t="str">
        <f>IF([3]Entry!$M$1220="","",[3]Entry!$M$1220)</f>
        <v/>
      </c>
      <c r="AL1217" t="str">
        <f>IF([3]Entry!$N$1220="","",[3]Entry!$N$1220)</f>
        <v/>
      </c>
      <c r="AM1217" t="str">
        <f>IF([3]Entry!$R$1220="","",[3]Entry!$R$1220)</f>
        <v/>
      </c>
    </row>
    <row r="1218" spans="20:39" x14ac:dyDescent="0.2">
      <c r="T1218" t="str">
        <f>IF([2]Baskol!$B$1221="","",[2]Baskol!$B$1221)</f>
        <v/>
      </c>
      <c r="U1218" t="str">
        <f>IF([2]Baskol!$C$1221="","",[2]Baskol!$C$1221)</f>
        <v/>
      </c>
      <c r="V1218" t="str">
        <f>IF([2]Baskol!$D$1221="","",[2]Baskol!$D$1221)</f>
        <v/>
      </c>
      <c r="W1218" t="str">
        <f>IF([2]Baskol!$E$1221="","",[2]Baskol!$E$1221)</f>
        <v/>
      </c>
      <c r="X1218" t="str">
        <f>IF([2]Baskol!$G$1221="","",[2]Baskol!$G$1221)</f>
        <v/>
      </c>
      <c r="Y1218" t="str">
        <f>IF([2]Baskol!$I$1221="","",[2]Baskol!$I$1221)</f>
        <v/>
      </c>
      <c r="Z1218" t="str">
        <f>IF([2]Baskol!$J$1221="","",[2]Baskol!$J$1221)</f>
        <v/>
      </c>
      <c r="AA1218" t="str">
        <f>IF([2]Baskol!$K$1221="","",[2]Baskol!$K$1221)</f>
        <v/>
      </c>
      <c r="AB1218" t="str">
        <f>IF([2]Baskol!$L$1221="","",[2]Baskol!$L$1221)</f>
        <v/>
      </c>
      <c r="AC1218" t="str">
        <f>IF([2]Baskol!$N$1221="","",[2]Baskol!$N$1221)</f>
        <v/>
      </c>
      <c r="AD1218" t="str">
        <f>IF([2]Baskol!$O$1221="","",[2]Baskol!$O$1221)</f>
        <v/>
      </c>
      <c r="AE1218" t="str">
        <f>IF([3]Entry!$C$1221="","",[3]Entry!$C$1221)</f>
        <v/>
      </c>
      <c r="AF1218" t="str">
        <f>IF([3]Entry!$D$1221="","",[3]Entry!$D$1221)</f>
        <v/>
      </c>
      <c r="AG1218" t="str">
        <f>IF([3]Entry!$E$1221="","",[3]Entry!$E$1221)</f>
        <v/>
      </c>
      <c r="AH1218" t="str">
        <f>IF([3]Entry!$G$1221="","",[3]Entry!$G$1221)</f>
        <v/>
      </c>
      <c r="AI1218" t="str">
        <f>IF([3]Entry!$K$1221="","",[3]Entry!$K$1221)</f>
        <v/>
      </c>
      <c r="AJ1218" t="str">
        <f>IF([3]Entry!$L$1221="","",[3]Entry!$L$1221)</f>
        <v/>
      </c>
      <c r="AK1218" t="str">
        <f>IF([3]Entry!$M$1221="","",[3]Entry!$M$1221)</f>
        <v/>
      </c>
      <c r="AL1218" t="str">
        <f>IF([3]Entry!$N$1221="","",[3]Entry!$N$1221)</f>
        <v/>
      </c>
      <c r="AM1218" t="str">
        <f>IF([3]Entry!$R$1221="","",[3]Entry!$R$1221)</f>
        <v/>
      </c>
    </row>
    <row r="1219" spans="20:39" x14ac:dyDescent="0.2">
      <c r="T1219" t="str">
        <f>IF([2]Baskol!$B$1222="","",[2]Baskol!$B$1222)</f>
        <v/>
      </c>
      <c r="U1219" t="str">
        <f>IF([2]Baskol!$C$1222="","",[2]Baskol!$C$1222)</f>
        <v/>
      </c>
      <c r="V1219" t="str">
        <f>IF([2]Baskol!$D$1222="","",[2]Baskol!$D$1222)</f>
        <v/>
      </c>
      <c r="W1219" t="str">
        <f>IF([2]Baskol!$E$1222="","",[2]Baskol!$E$1222)</f>
        <v/>
      </c>
      <c r="X1219" t="str">
        <f>IF([2]Baskol!$G$1222="","",[2]Baskol!$G$1222)</f>
        <v/>
      </c>
      <c r="Y1219" t="str">
        <f>IF([2]Baskol!$I$1222="","",[2]Baskol!$I$1222)</f>
        <v/>
      </c>
      <c r="Z1219" t="str">
        <f>IF([2]Baskol!$J$1222="","",[2]Baskol!$J$1222)</f>
        <v/>
      </c>
      <c r="AA1219" t="str">
        <f>IF([2]Baskol!$K$1222="","",[2]Baskol!$K$1222)</f>
        <v/>
      </c>
      <c r="AB1219" t="str">
        <f>IF([2]Baskol!$L$1222="","",[2]Baskol!$L$1222)</f>
        <v/>
      </c>
      <c r="AC1219" t="str">
        <f>IF([2]Baskol!$N$1222="","",[2]Baskol!$N$1222)</f>
        <v/>
      </c>
      <c r="AD1219" t="str">
        <f>IF([2]Baskol!$O$1222="","",[2]Baskol!$O$1222)</f>
        <v/>
      </c>
      <c r="AE1219" t="str">
        <f>IF([3]Entry!$C$1222="","",[3]Entry!$C$1222)</f>
        <v/>
      </c>
      <c r="AF1219" t="str">
        <f>IF([3]Entry!$D$1222="","",[3]Entry!$D$1222)</f>
        <v/>
      </c>
      <c r="AG1219" t="str">
        <f>IF([3]Entry!$E$1222="","",[3]Entry!$E$1222)</f>
        <v/>
      </c>
      <c r="AH1219" t="str">
        <f>IF([3]Entry!$G$1222="","",[3]Entry!$G$1222)</f>
        <v/>
      </c>
      <c r="AI1219" t="str">
        <f>IF([3]Entry!$K$1222="","",[3]Entry!$K$1222)</f>
        <v/>
      </c>
      <c r="AJ1219" t="str">
        <f>IF([3]Entry!$L$1222="","",[3]Entry!$L$1222)</f>
        <v/>
      </c>
      <c r="AK1219" t="str">
        <f>IF([3]Entry!$M$1222="","",[3]Entry!$M$1222)</f>
        <v/>
      </c>
      <c r="AL1219" t="str">
        <f>IF([3]Entry!$N$1222="","",[3]Entry!$N$1222)</f>
        <v/>
      </c>
      <c r="AM1219" t="str">
        <f>IF([3]Entry!$R$1222="","",[3]Entry!$R$1222)</f>
        <v/>
      </c>
    </row>
    <row r="1220" spans="20:39" x14ac:dyDescent="0.2">
      <c r="T1220" t="str">
        <f>IF([2]Baskol!$B$1223="","",[2]Baskol!$B$1223)</f>
        <v/>
      </c>
      <c r="U1220" t="str">
        <f>IF([2]Baskol!$C$1223="","",[2]Baskol!$C$1223)</f>
        <v/>
      </c>
      <c r="V1220" t="str">
        <f>IF([2]Baskol!$D$1223="","",[2]Baskol!$D$1223)</f>
        <v/>
      </c>
      <c r="W1220" t="str">
        <f>IF([2]Baskol!$E$1223="","",[2]Baskol!$E$1223)</f>
        <v/>
      </c>
      <c r="X1220" t="str">
        <f>IF([2]Baskol!$G$1223="","",[2]Baskol!$G$1223)</f>
        <v/>
      </c>
      <c r="Y1220" t="str">
        <f>IF([2]Baskol!$I$1223="","",[2]Baskol!$I$1223)</f>
        <v/>
      </c>
      <c r="Z1220" t="str">
        <f>IF([2]Baskol!$J$1223="","",[2]Baskol!$J$1223)</f>
        <v/>
      </c>
      <c r="AA1220" t="str">
        <f>IF([2]Baskol!$K$1223="","",[2]Baskol!$K$1223)</f>
        <v/>
      </c>
      <c r="AB1220" t="str">
        <f>IF([2]Baskol!$L$1223="","",[2]Baskol!$L$1223)</f>
        <v/>
      </c>
      <c r="AC1220" t="str">
        <f>IF([2]Baskol!$N$1223="","",[2]Baskol!$N$1223)</f>
        <v/>
      </c>
      <c r="AD1220" t="str">
        <f>IF([2]Baskol!$O$1223="","",[2]Baskol!$O$1223)</f>
        <v/>
      </c>
      <c r="AE1220" t="str">
        <f>IF([3]Entry!$C$1223="","",[3]Entry!$C$1223)</f>
        <v/>
      </c>
      <c r="AF1220" t="str">
        <f>IF([3]Entry!$D$1223="","",[3]Entry!$D$1223)</f>
        <v/>
      </c>
      <c r="AG1220" t="str">
        <f>IF([3]Entry!$E$1223="","",[3]Entry!$E$1223)</f>
        <v/>
      </c>
      <c r="AH1220" t="str">
        <f>IF([3]Entry!$G$1223="","",[3]Entry!$G$1223)</f>
        <v/>
      </c>
      <c r="AI1220" t="str">
        <f>IF([3]Entry!$K$1223="","",[3]Entry!$K$1223)</f>
        <v/>
      </c>
      <c r="AJ1220" t="str">
        <f>IF([3]Entry!$L$1223="","",[3]Entry!$L$1223)</f>
        <v/>
      </c>
      <c r="AK1220" t="str">
        <f>IF([3]Entry!$M$1223="","",[3]Entry!$M$1223)</f>
        <v/>
      </c>
      <c r="AL1220" t="str">
        <f>IF([3]Entry!$N$1223="","",[3]Entry!$N$1223)</f>
        <v/>
      </c>
      <c r="AM1220" t="str">
        <f>IF([3]Entry!$R$1223="","",[3]Entry!$R$1223)</f>
        <v/>
      </c>
    </row>
    <row r="1221" spans="20:39" x14ac:dyDescent="0.2">
      <c r="T1221" t="str">
        <f>IF([2]Baskol!$B$1224="","",[2]Baskol!$B$1224)</f>
        <v/>
      </c>
      <c r="U1221" t="str">
        <f>IF([2]Baskol!$C$1224="","",[2]Baskol!$C$1224)</f>
        <v/>
      </c>
      <c r="V1221" t="str">
        <f>IF([2]Baskol!$D$1224="","",[2]Baskol!$D$1224)</f>
        <v/>
      </c>
      <c r="W1221" t="str">
        <f>IF([2]Baskol!$E$1224="","",[2]Baskol!$E$1224)</f>
        <v/>
      </c>
      <c r="X1221" t="str">
        <f>IF([2]Baskol!$G$1224="","",[2]Baskol!$G$1224)</f>
        <v/>
      </c>
      <c r="Y1221" t="str">
        <f>IF([2]Baskol!$I$1224="","",[2]Baskol!$I$1224)</f>
        <v/>
      </c>
      <c r="Z1221" t="str">
        <f>IF([2]Baskol!$J$1224="","",[2]Baskol!$J$1224)</f>
        <v/>
      </c>
      <c r="AA1221" t="str">
        <f>IF([2]Baskol!$K$1224="","",[2]Baskol!$K$1224)</f>
        <v/>
      </c>
      <c r="AB1221" t="str">
        <f>IF([2]Baskol!$L$1224="","",[2]Baskol!$L$1224)</f>
        <v/>
      </c>
      <c r="AC1221" t="str">
        <f>IF([2]Baskol!$N$1224="","",[2]Baskol!$N$1224)</f>
        <v/>
      </c>
      <c r="AD1221" t="str">
        <f>IF([2]Baskol!$O$1224="","",[2]Baskol!$O$1224)</f>
        <v/>
      </c>
      <c r="AE1221" t="str">
        <f>IF([3]Entry!$C$1224="","",[3]Entry!$C$1224)</f>
        <v/>
      </c>
      <c r="AF1221" t="str">
        <f>IF([3]Entry!$D$1224="","",[3]Entry!$D$1224)</f>
        <v/>
      </c>
      <c r="AG1221" t="str">
        <f>IF([3]Entry!$E$1224="","",[3]Entry!$E$1224)</f>
        <v/>
      </c>
      <c r="AH1221" t="str">
        <f>IF([3]Entry!$G$1224="","",[3]Entry!$G$1224)</f>
        <v/>
      </c>
      <c r="AI1221" t="str">
        <f>IF([3]Entry!$K$1224="","",[3]Entry!$K$1224)</f>
        <v/>
      </c>
      <c r="AJ1221" t="str">
        <f>IF([3]Entry!$L$1224="","",[3]Entry!$L$1224)</f>
        <v/>
      </c>
      <c r="AK1221" t="str">
        <f>IF([3]Entry!$M$1224="","",[3]Entry!$M$1224)</f>
        <v/>
      </c>
      <c r="AL1221" t="str">
        <f>IF([3]Entry!$N$1224="","",[3]Entry!$N$1224)</f>
        <v/>
      </c>
      <c r="AM1221" t="str">
        <f>IF([3]Entry!$R$1224="","",[3]Entry!$R$1224)</f>
        <v/>
      </c>
    </row>
    <row r="1222" spans="20:39" x14ac:dyDescent="0.2">
      <c r="T1222" t="str">
        <f>IF([2]Baskol!$B$1225="","",[2]Baskol!$B$1225)</f>
        <v/>
      </c>
      <c r="U1222" t="str">
        <f>IF([2]Baskol!$C$1225="","",[2]Baskol!$C$1225)</f>
        <v/>
      </c>
      <c r="V1222" t="str">
        <f>IF([2]Baskol!$D$1225="","",[2]Baskol!$D$1225)</f>
        <v/>
      </c>
      <c r="W1222" t="str">
        <f>IF([2]Baskol!$E$1225="","",[2]Baskol!$E$1225)</f>
        <v/>
      </c>
      <c r="X1222" t="str">
        <f>IF([2]Baskol!$G$1225="","",[2]Baskol!$G$1225)</f>
        <v/>
      </c>
      <c r="Y1222" t="str">
        <f>IF([2]Baskol!$I$1225="","",[2]Baskol!$I$1225)</f>
        <v/>
      </c>
      <c r="Z1222" t="str">
        <f>IF([2]Baskol!$J$1225="","",[2]Baskol!$J$1225)</f>
        <v/>
      </c>
      <c r="AA1222" t="str">
        <f>IF([2]Baskol!$K$1225="","",[2]Baskol!$K$1225)</f>
        <v/>
      </c>
      <c r="AB1222" t="str">
        <f>IF([2]Baskol!$L$1225="","",[2]Baskol!$L$1225)</f>
        <v/>
      </c>
      <c r="AC1222" t="str">
        <f>IF([2]Baskol!$N$1225="","",[2]Baskol!$N$1225)</f>
        <v/>
      </c>
      <c r="AD1222" t="str">
        <f>IF([2]Baskol!$O$1225="","",[2]Baskol!$O$1225)</f>
        <v/>
      </c>
      <c r="AE1222" t="str">
        <f>IF([3]Entry!$C$1225="","",[3]Entry!$C$1225)</f>
        <v/>
      </c>
      <c r="AF1222" t="str">
        <f>IF([3]Entry!$D$1225="","",[3]Entry!$D$1225)</f>
        <v/>
      </c>
      <c r="AG1222" t="str">
        <f>IF([3]Entry!$E$1225="","",[3]Entry!$E$1225)</f>
        <v/>
      </c>
      <c r="AH1222" t="str">
        <f>IF([3]Entry!$G$1225="","",[3]Entry!$G$1225)</f>
        <v/>
      </c>
      <c r="AI1222" t="str">
        <f>IF([3]Entry!$K$1225="","",[3]Entry!$K$1225)</f>
        <v/>
      </c>
      <c r="AJ1222" t="str">
        <f>IF([3]Entry!$L$1225="","",[3]Entry!$L$1225)</f>
        <v/>
      </c>
      <c r="AK1222" t="str">
        <f>IF([3]Entry!$M$1225="","",[3]Entry!$M$1225)</f>
        <v/>
      </c>
      <c r="AL1222" t="str">
        <f>IF([3]Entry!$N$1225="","",[3]Entry!$N$1225)</f>
        <v/>
      </c>
      <c r="AM1222" t="str">
        <f>IF([3]Entry!$R$1225="","",[3]Entry!$R$1225)</f>
        <v/>
      </c>
    </row>
    <row r="1223" spans="20:39" x14ac:dyDescent="0.2">
      <c r="T1223" t="str">
        <f>IF([2]Baskol!$B$1226="","",[2]Baskol!$B$1226)</f>
        <v/>
      </c>
      <c r="U1223" t="str">
        <f>IF([2]Baskol!$C$1226="","",[2]Baskol!$C$1226)</f>
        <v/>
      </c>
      <c r="V1223" t="str">
        <f>IF([2]Baskol!$D$1226="","",[2]Baskol!$D$1226)</f>
        <v/>
      </c>
      <c r="W1223" t="str">
        <f>IF([2]Baskol!$E$1226="","",[2]Baskol!$E$1226)</f>
        <v/>
      </c>
      <c r="X1223" t="str">
        <f>IF([2]Baskol!$G$1226="","",[2]Baskol!$G$1226)</f>
        <v/>
      </c>
      <c r="Y1223" t="str">
        <f>IF([2]Baskol!$I$1226="","",[2]Baskol!$I$1226)</f>
        <v/>
      </c>
      <c r="Z1223" t="str">
        <f>IF([2]Baskol!$J$1226="","",[2]Baskol!$J$1226)</f>
        <v/>
      </c>
      <c r="AA1223" t="str">
        <f>IF([2]Baskol!$K$1226="","",[2]Baskol!$K$1226)</f>
        <v/>
      </c>
      <c r="AB1223" t="str">
        <f>IF([2]Baskol!$L$1226="","",[2]Baskol!$L$1226)</f>
        <v/>
      </c>
      <c r="AC1223" t="str">
        <f>IF([2]Baskol!$N$1226="","",[2]Baskol!$N$1226)</f>
        <v/>
      </c>
      <c r="AD1223" t="str">
        <f>IF([2]Baskol!$O$1226="","",[2]Baskol!$O$1226)</f>
        <v/>
      </c>
      <c r="AE1223" t="str">
        <f>IF([3]Entry!$C$1226="","",[3]Entry!$C$1226)</f>
        <v/>
      </c>
      <c r="AF1223" t="str">
        <f>IF([3]Entry!$D$1226="","",[3]Entry!$D$1226)</f>
        <v/>
      </c>
      <c r="AG1223" t="str">
        <f>IF([3]Entry!$E$1226="","",[3]Entry!$E$1226)</f>
        <v/>
      </c>
      <c r="AH1223" t="str">
        <f>IF([3]Entry!$G$1226="","",[3]Entry!$G$1226)</f>
        <v/>
      </c>
      <c r="AI1223" t="str">
        <f>IF([3]Entry!$K$1226="","",[3]Entry!$K$1226)</f>
        <v/>
      </c>
      <c r="AJ1223" t="str">
        <f>IF([3]Entry!$L$1226="","",[3]Entry!$L$1226)</f>
        <v/>
      </c>
      <c r="AK1223" t="str">
        <f>IF([3]Entry!$M$1226="","",[3]Entry!$M$1226)</f>
        <v/>
      </c>
      <c r="AL1223" t="str">
        <f>IF([3]Entry!$N$1226="","",[3]Entry!$N$1226)</f>
        <v/>
      </c>
      <c r="AM1223" t="str">
        <f>IF([3]Entry!$R$1226="","",[3]Entry!$R$1226)</f>
        <v/>
      </c>
    </row>
    <row r="1224" spans="20:39" x14ac:dyDescent="0.2">
      <c r="T1224" t="str">
        <f>IF([2]Baskol!$B$1227="","",[2]Baskol!$B$1227)</f>
        <v/>
      </c>
      <c r="U1224" t="str">
        <f>IF([2]Baskol!$C$1227="","",[2]Baskol!$C$1227)</f>
        <v/>
      </c>
      <c r="V1224" t="str">
        <f>IF([2]Baskol!$D$1227="","",[2]Baskol!$D$1227)</f>
        <v/>
      </c>
      <c r="W1224" t="str">
        <f>IF([2]Baskol!$E$1227="","",[2]Baskol!$E$1227)</f>
        <v/>
      </c>
      <c r="X1224" t="str">
        <f>IF([2]Baskol!$G$1227="","",[2]Baskol!$G$1227)</f>
        <v/>
      </c>
      <c r="Y1224" t="str">
        <f>IF([2]Baskol!$I$1227="","",[2]Baskol!$I$1227)</f>
        <v/>
      </c>
      <c r="Z1224" t="str">
        <f>IF([2]Baskol!$J$1227="","",[2]Baskol!$J$1227)</f>
        <v/>
      </c>
      <c r="AA1224" t="str">
        <f>IF([2]Baskol!$K$1227="","",[2]Baskol!$K$1227)</f>
        <v/>
      </c>
      <c r="AB1224" t="str">
        <f>IF([2]Baskol!$L$1227="","",[2]Baskol!$L$1227)</f>
        <v/>
      </c>
      <c r="AC1224" t="str">
        <f>IF([2]Baskol!$N$1227="","",[2]Baskol!$N$1227)</f>
        <v/>
      </c>
      <c r="AD1224" t="str">
        <f>IF([2]Baskol!$O$1227="","",[2]Baskol!$O$1227)</f>
        <v/>
      </c>
      <c r="AE1224" t="str">
        <f>IF([3]Entry!$C$1227="","",[3]Entry!$C$1227)</f>
        <v/>
      </c>
      <c r="AF1224" t="str">
        <f>IF([3]Entry!$D$1227="","",[3]Entry!$D$1227)</f>
        <v/>
      </c>
      <c r="AG1224" t="str">
        <f>IF([3]Entry!$E$1227="","",[3]Entry!$E$1227)</f>
        <v/>
      </c>
      <c r="AH1224" t="str">
        <f>IF([3]Entry!$G$1227="","",[3]Entry!$G$1227)</f>
        <v/>
      </c>
      <c r="AI1224" t="str">
        <f>IF([3]Entry!$K$1227="","",[3]Entry!$K$1227)</f>
        <v/>
      </c>
      <c r="AJ1224" t="str">
        <f>IF([3]Entry!$L$1227="","",[3]Entry!$L$1227)</f>
        <v/>
      </c>
      <c r="AK1224" t="str">
        <f>IF([3]Entry!$M$1227="","",[3]Entry!$M$1227)</f>
        <v/>
      </c>
      <c r="AL1224" t="str">
        <f>IF([3]Entry!$N$1227="","",[3]Entry!$N$1227)</f>
        <v/>
      </c>
      <c r="AM1224" t="str">
        <f>IF([3]Entry!$R$1227="","",[3]Entry!$R$1227)</f>
        <v/>
      </c>
    </row>
    <row r="1225" spans="20:39" x14ac:dyDescent="0.2">
      <c r="T1225" t="str">
        <f>IF([2]Baskol!$B$1228="","",[2]Baskol!$B$1228)</f>
        <v/>
      </c>
      <c r="U1225" t="str">
        <f>IF([2]Baskol!$C$1228="","",[2]Baskol!$C$1228)</f>
        <v/>
      </c>
      <c r="V1225" t="str">
        <f>IF([2]Baskol!$D$1228="","",[2]Baskol!$D$1228)</f>
        <v/>
      </c>
      <c r="W1225" t="str">
        <f>IF([2]Baskol!$E$1228="","",[2]Baskol!$E$1228)</f>
        <v/>
      </c>
      <c r="X1225" t="str">
        <f>IF([2]Baskol!$G$1228="","",[2]Baskol!$G$1228)</f>
        <v/>
      </c>
      <c r="Y1225" t="str">
        <f>IF([2]Baskol!$I$1228="","",[2]Baskol!$I$1228)</f>
        <v/>
      </c>
      <c r="Z1225" t="str">
        <f>IF([2]Baskol!$J$1228="","",[2]Baskol!$J$1228)</f>
        <v/>
      </c>
      <c r="AA1225" t="str">
        <f>IF([2]Baskol!$K$1228="","",[2]Baskol!$K$1228)</f>
        <v/>
      </c>
      <c r="AB1225" t="str">
        <f>IF([2]Baskol!$L$1228="","",[2]Baskol!$L$1228)</f>
        <v/>
      </c>
      <c r="AC1225" t="str">
        <f>IF([2]Baskol!$N$1228="","",[2]Baskol!$N$1228)</f>
        <v/>
      </c>
      <c r="AD1225" t="str">
        <f>IF([2]Baskol!$O$1228="","",[2]Baskol!$O$1228)</f>
        <v/>
      </c>
      <c r="AE1225" t="str">
        <f>IF([3]Entry!$C$1228="","",[3]Entry!$C$1228)</f>
        <v/>
      </c>
      <c r="AF1225" t="str">
        <f>IF([3]Entry!$D$1228="","",[3]Entry!$D$1228)</f>
        <v/>
      </c>
      <c r="AG1225" t="str">
        <f>IF([3]Entry!$E$1228="","",[3]Entry!$E$1228)</f>
        <v/>
      </c>
      <c r="AH1225" t="str">
        <f>IF([3]Entry!$G$1228="","",[3]Entry!$G$1228)</f>
        <v/>
      </c>
      <c r="AI1225" t="str">
        <f>IF([3]Entry!$K$1228="","",[3]Entry!$K$1228)</f>
        <v/>
      </c>
      <c r="AJ1225" t="str">
        <f>IF([3]Entry!$L$1228="","",[3]Entry!$L$1228)</f>
        <v/>
      </c>
      <c r="AK1225" t="str">
        <f>IF([3]Entry!$M$1228="","",[3]Entry!$M$1228)</f>
        <v/>
      </c>
      <c r="AL1225" t="str">
        <f>IF([3]Entry!$N$1228="","",[3]Entry!$N$1228)</f>
        <v/>
      </c>
      <c r="AM1225" t="str">
        <f>IF([3]Entry!$R$1228="","",[3]Entry!$R$1228)</f>
        <v/>
      </c>
    </row>
    <row r="1226" spans="20:39" x14ac:dyDescent="0.2">
      <c r="T1226" t="str">
        <f>IF([2]Baskol!$B$1229="","",[2]Baskol!$B$1229)</f>
        <v/>
      </c>
      <c r="U1226" t="str">
        <f>IF([2]Baskol!$C$1229="","",[2]Baskol!$C$1229)</f>
        <v/>
      </c>
      <c r="V1226" t="str">
        <f>IF([2]Baskol!$D$1229="","",[2]Baskol!$D$1229)</f>
        <v/>
      </c>
      <c r="W1226" t="str">
        <f>IF([2]Baskol!$E$1229="","",[2]Baskol!$E$1229)</f>
        <v/>
      </c>
      <c r="X1226" t="str">
        <f>IF([2]Baskol!$G$1229="","",[2]Baskol!$G$1229)</f>
        <v/>
      </c>
      <c r="Y1226" t="str">
        <f>IF([2]Baskol!$I$1229="","",[2]Baskol!$I$1229)</f>
        <v/>
      </c>
      <c r="Z1226" t="str">
        <f>IF([2]Baskol!$J$1229="","",[2]Baskol!$J$1229)</f>
        <v/>
      </c>
      <c r="AA1226" t="str">
        <f>IF([2]Baskol!$K$1229="","",[2]Baskol!$K$1229)</f>
        <v/>
      </c>
      <c r="AB1226" t="str">
        <f>IF([2]Baskol!$L$1229="","",[2]Baskol!$L$1229)</f>
        <v/>
      </c>
      <c r="AC1226" t="str">
        <f>IF([2]Baskol!$N$1229="","",[2]Baskol!$N$1229)</f>
        <v/>
      </c>
      <c r="AD1226" t="str">
        <f>IF([2]Baskol!$O$1229="","",[2]Baskol!$O$1229)</f>
        <v/>
      </c>
      <c r="AE1226" t="str">
        <f>IF([3]Entry!$C$1229="","",[3]Entry!$C$1229)</f>
        <v/>
      </c>
      <c r="AF1226" t="str">
        <f>IF([3]Entry!$D$1229="","",[3]Entry!$D$1229)</f>
        <v/>
      </c>
      <c r="AG1226" t="str">
        <f>IF([3]Entry!$E$1229="","",[3]Entry!$E$1229)</f>
        <v/>
      </c>
      <c r="AH1226" t="str">
        <f>IF([3]Entry!$G$1229="","",[3]Entry!$G$1229)</f>
        <v/>
      </c>
      <c r="AI1226" t="str">
        <f>IF([3]Entry!$K$1229="","",[3]Entry!$K$1229)</f>
        <v/>
      </c>
      <c r="AJ1226" t="str">
        <f>IF([3]Entry!$L$1229="","",[3]Entry!$L$1229)</f>
        <v/>
      </c>
      <c r="AK1226" t="str">
        <f>IF([3]Entry!$M$1229="","",[3]Entry!$M$1229)</f>
        <v/>
      </c>
      <c r="AL1226" t="str">
        <f>IF([3]Entry!$N$1229="","",[3]Entry!$N$1229)</f>
        <v/>
      </c>
      <c r="AM1226" t="str">
        <f>IF([3]Entry!$R$1229="","",[3]Entry!$R$1229)</f>
        <v/>
      </c>
    </row>
    <row r="1227" spans="20:39" x14ac:dyDescent="0.2">
      <c r="T1227" t="str">
        <f>IF([2]Baskol!$B$1230="","",[2]Baskol!$B$1230)</f>
        <v/>
      </c>
      <c r="U1227" t="str">
        <f>IF([2]Baskol!$C$1230="","",[2]Baskol!$C$1230)</f>
        <v/>
      </c>
      <c r="V1227" t="str">
        <f>IF([2]Baskol!$D$1230="","",[2]Baskol!$D$1230)</f>
        <v/>
      </c>
      <c r="W1227" t="str">
        <f>IF([2]Baskol!$E$1230="","",[2]Baskol!$E$1230)</f>
        <v/>
      </c>
      <c r="X1227" t="str">
        <f>IF([2]Baskol!$G$1230="","",[2]Baskol!$G$1230)</f>
        <v/>
      </c>
      <c r="Y1227" t="str">
        <f>IF([2]Baskol!$I$1230="","",[2]Baskol!$I$1230)</f>
        <v/>
      </c>
      <c r="Z1227" t="str">
        <f>IF([2]Baskol!$J$1230="","",[2]Baskol!$J$1230)</f>
        <v/>
      </c>
      <c r="AA1227" t="str">
        <f>IF([2]Baskol!$K$1230="","",[2]Baskol!$K$1230)</f>
        <v/>
      </c>
      <c r="AB1227" t="str">
        <f>IF([2]Baskol!$L$1230="","",[2]Baskol!$L$1230)</f>
        <v/>
      </c>
      <c r="AC1227" t="str">
        <f>IF([2]Baskol!$N$1230="","",[2]Baskol!$N$1230)</f>
        <v/>
      </c>
      <c r="AD1227" t="str">
        <f>IF([2]Baskol!$O$1230="","",[2]Baskol!$O$1230)</f>
        <v/>
      </c>
      <c r="AE1227" t="str">
        <f>IF([3]Entry!$C$1230="","",[3]Entry!$C$1230)</f>
        <v/>
      </c>
      <c r="AF1227" t="str">
        <f>IF([3]Entry!$D$1230="","",[3]Entry!$D$1230)</f>
        <v/>
      </c>
      <c r="AG1227" t="str">
        <f>IF([3]Entry!$E$1230="","",[3]Entry!$E$1230)</f>
        <v/>
      </c>
      <c r="AH1227" t="str">
        <f>IF([3]Entry!$G$1230="","",[3]Entry!$G$1230)</f>
        <v/>
      </c>
      <c r="AI1227" t="str">
        <f>IF([3]Entry!$K$1230="","",[3]Entry!$K$1230)</f>
        <v/>
      </c>
      <c r="AJ1227" t="str">
        <f>IF([3]Entry!$L$1230="","",[3]Entry!$L$1230)</f>
        <v/>
      </c>
      <c r="AK1227" t="str">
        <f>IF([3]Entry!$M$1230="","",[3]Entry!$M$1230)</f>
        <v/>
      </c>
      <c r="AL1227" t="str">
        <f>IF([3]Entry!$N$1230="","",[3]Entry!$N$1230)</f>
        <v/>
      </c>
      <c r="AM1227" t="str">
        <f>IF([3]Entry!$R$1230="","",[3]Entry!$R$1230)</f>
        <v/>
      </c>
    </row>
    <row r="1228" spans="20:39" x14ac:dyDescent="0.2">
      <c r="T1228" t="str">
        <f>IF([2]Baskol!$B$1231="","",[2]Baskol!$B$1231)</f>
        <v/>
      </c>
      <c r="U1228" t="str">
        <f>IF([2]Baskol!$C$1231="","",[2]Baskol!$C$1231)</f>
        <v/>
      </c>
      <c r="V1228" t="str">
        <f>IF([2]Baskol!$D$1231="","",[2]Baskol!$D$1231)</f>
        <v/>
      </c>
      <c r="W1228" t="str">
        <f>IF([2]Baskol!$E$1231="","",[2]Baskol!$E$1231)</f>
        <v/>
      </c>
      <c r="X1228" t="str">
        <f>IF([2]Baskol!$G$1231="","",[2]Baskol!$G$1231)</f>
        <v/>
      </c>
      <c r="Y1228" t="str">
        <f>IF([2]Baskol!$I$1231="","",[2]Baskol!$I$1231)</f>
        <v/>
      </c>
      <c r="Z1228" t="str">
        <f>IF([2]Baskol!$J$1231="","",[2]Baskol!$J$1231)</f>
        <v/>
      </c>
      <c r="AA1228" t="str">
        <f>IF([2]Baskol!$K$1231="","",[2]Baskol!$K$1231)</f>
        <v/>
      </c>
      <c r="AB1228" t="str">
        <f>IF([2]Baskol!$L$1231="","",[2]Baskol!$L$1231)</f>
        <v/>
      </c>
      <c r="AC1228" t="str">
        <f>IF([2]Baskol!$N$1231="","",[2]Baskol!$N$1231)</f>
        <v/>
      </c>
      <c r="AD1228" t="str">
        <f>IF([2]Baskol!$O$1231="","",[2]Baskol!$O$1231)</f>
        <v/>
      </c>
      <c r="AE1228" t="str">
        <f>IF([3]Entry!$C$1231="","",[3]Entry!$C$1231)</f>
        <v/>
      </c>
      <c r="AF1228" t="str">
        <f>IF([3]Entry!$D$1231="","",[3]Entry!$D$1231)</f>
        <v/>
      </c>
      <c r="AG1228" t="str">
        <f>IF([3]Entry!$E$1231="","",[3]Entry!$E$1231)</f>
        <v/>
      </c>
      <c r="AH1228" t="str">
        <f>IF([3]Entry!$G$1231="","",[3]Entry!$G$1231)</f>
        <v/>
      </c>
      <c r="AI1228" t="str">
        <f>IF([3]Entry!$K$1231="","",[3]Entry!$K$1231)</f>
        <v/>
      </c>
      <c r="AJ1228" t="str">
        <f>IF([3]Entry!$L$1231="","",[3]Entry!$L$1231)</f>
        <v/>
      </c>
      <c r="AK1228" t="str">
        <f>IF([3]Entry!$M$1231="","",[3]Entry!$M$1231)</f>
        <v/>
      </c>
      <c r="AL1228" t="str">
        <f>IF([3]Entry!$N$1231="","",[3]Entry!$N$1231)</f>
        <v/>
      </c>
      <c r="AM1228" t="str">
        <f>IF([3]Entry!$R$1231="","",[3]Entry!$R$1231)</f>
        <v/>
      </c>
    </row>
    <row r="1229" spans="20:39" x14ac:dyDescent="0.2">
      <c r="T1229" t="str">
        <f>IF([2]Baskol!$B$1232="","",[2]Baskol!$B$1232)</f>
        <v/>
      </c>
      <c r="U1229" t="str">
        <f>IF([2]Baskol!$C$1232="","",[2]Baskol!$C$1232)</f>
        <v/>
      </c>
      <c r="V1229" t="str">
        <f>IF([2]Baskol!$D$1232="","",[2]Baskol!$D$1232)</f>
        <v/>
      </c>
      <c r="W1229" t="str">
        <f>IF([2]Baskol!$E$1232="","",[2]Baskol!$E$1232)</f>
        <v/>
      </c>
      <c r="X1229" t="str">
        <f>IF([2]Baskol!$G$1232="","",[2]Baskol!$G$1232)</f>
        <v/>
      </c>
      <c r="Y1229" t="str">
        <f>IF([2]Baskol!$I$1232="","",[2]Baskol!$I$1232)</f>
        <v/>
      </c>
      <c r="Z1229" t="str">
        <f>IF([2]Baskol!$J$1232="","",[2]Baskol!$J$1232)</f>
        <v/>
      </c>
      <c r="AA1229" t="str">
        <f>IF([2]Baskol!$K$1232="","",[2]Baskol!$K$1232)</f>
        <v/>
      </c>
      <c r="AB1229" t="str">
        <f>IF([2]Baskol!$L$1232="","",[2]Baskol!$L$1232)</f>
        <v/>
      </c>
      <c r="AC1229" t="str">
        <f>IF([2]Baskol!$N$1232="","",[2]Baskol!$N$1232)</f>
        <v/>
      </c>
      <c r="AD1229" t="str">
        <f>IF([2]Baskol!$O$1232="","",[2]Baskol!$O$1232)</f>
        <v/>
      </c>
      <c r="AE1229" t="str">
        <f>IF([3]Entry!$C$1232="","",[3]Entry!$C$1232)</f>
        <v/>
      </c>
      <c r="AF1229" t="str">
        <f>IF([3]Entry!$D$1232="","",[3]Entry!$D$1232)</f>
        <v/>
      </c>
      <c r="AG1229" t="str">
        <f>IF([3]Entry!$E$1232="","",[3]Entry!$E$1232)</f>
        <v/>
      </c>
      <c r="AH1229" t="str">
        <f>IF([3]Entry!$G$1232="","",[3]Entry!$G$1232)</f>
        <v/>
      </c>
      <c r="AI1229" t="str">
        <f>IF([3]Entry!$K$1232="","",[3]Entry!$K$1232)</f>
        <v/>
      </c>
      <c r="AJ1229" t="str">
        <f>IF([3]Entry!$L$1232="","",[3]Entry!$L$1232)</f>
        <v/>
      </c>
      <c r="AK1229" t="str">
        <f>IF([3]Entry!$M$1232="","",[3]Entry!$M$1232)</f>
        <v/>
      </c>
      <c r="AL1229" t="str">
        <f>IF([3]Entry!$N$1232="","",[3]Entry!$N$1232)</f>
        <v/>
      </c>
      <c r="AM1229" t="str">
        <f>IF([3]Entry!$R$1232="","",[3]Entry!$R$1232)</f>
        <v/>
      </c>
    </row>
    <row r="1230" spans="20:39" x14ac:dyDescent="0.2">
      <c r="T1230" t="str">
        <f>IF([2]Baskol!$B$1233="","",[2]Baskol!$B$1233)</f>
        <v/>
      </c>
      <c r="U1230" t="str">
        <f>IF([2]Baskol!$C$1233="","",[2]Baskol!$C$1233)</f>
        <v/>
      </c>
      <c r="V1230" t="str">
        <f>IF([2]Baskol!$D$1233="","",[2]Baskol!$D$1233)</f>
        <v/>
      </c>
      <c r="W1230" t="str">
        <f>IF([2]Baskol!$E$1233="","",[2]Baskol!$E$1233)</f>
        <v/>
      </c>
      <c r="X1230" t="str">
        <f>IF([2]Baskol!$G$1233="","",[2]Baskol!$G$1233)</f>
        <v/>
      </c>
      <c r="Y1230" t="str">
        <f>IF([2]Baskol!$I$1233="","",[2]Baskol!$I$1233)</f>
        <v/>
      </c>
      <c r="Z1230" t="str">
        <f>IF([2]Baskol!$J$1233="","",[2]Baskol!$J$1233)</f>
        <v/>
      </c>
      <c r="AA1230" t="str">
        <f>IF([2]Baskol!$K$1233="","",[2]Baskol!$K$1233)</f>
        <v/>
      </c>
      <c r="AB1230" t="str">
        <f>IF([2]Baskol!$L$1233="","",[2]Baskol!$L$1233)</f>
        <v/>
      </c>
      <c r="AC1230" t="str">
        <f>IF([2]Baskol!$N$1233="","",[2]Baskol!$N$1233)</f>
        <v/>
      </c>
      <c r="AD1230" t="str">
        <f>IF([2]Baskol!$O$1233="","",[2]Baskol!$O$1233)</f>
        <v/>
      </c>
      <c r="AE1230" t="str">
        <f>IF([3]Entry!$C$1233="","",[3]Entry!$C$1233)</f>
        <v/>
      </c>
      <c r="AF1230" t="str">
        <f>IF([3]Entry!$D$1233="","",[3]Entry!$D$1233)</f>
        <v/>
      </c>
      <c r="AG1230" t="str">
        <f>IF([3]Entry!$E$1233="","",[3]Entry!$E$1233)</f>
        <v/>
      </c>
      <c r="AH1230" t="str">
        <f>IF([3]Entry!$G$1233="","",[3]Entry!$G$1233)</f>
        <v/>
      </c>
      <c r="AI1230" t="str">
        <f>IF([3]Entry!$K$1233="","",[3]Entry!$K$1233)</f>
        <v/>
      </c>
      <c r="AJ1230" t="str">
        <f>IF([3]Entry!$L$1233="","",[3]Entry!$L$1233)</f>
        <v/>
      </c>
      <c r="AK1230" t="str">
        <f>IF([3]Entry!$M$1233="","",[3]Entry!$M$1233)</f>
        <v/>
      </c>
      <c r="AL1230" t="str">
        <f>IF([3]Entry!$N$1233="","",[3]Entry!$N$1233)</f>
        <v/>
      </c>
      <c r="AM1230" t="str">
        <f>IF([3]Entry!$R$1233="","",[3]Entry!$R$1233)</f>
        <v/>
      </c>
    </row>
    <row r="1231" spans="20:39" x14ac:dyDescent="0.2">
      <c r="T1231" t="str">
        <f>IF([2]Baskol!$B$1234="","",[2]Baskol!$B$1234)</f>
        <v/>
      </c>
      <c r="U1231" t="str">
        <f>IF([2]Baskol!$C$1234="","",[2]Baskol!$C$1234)</f>
        <v/>
      </c>
      <c r="V1231" t="str">
        <f>IF([2]Baskol!$D$1234="","",[2]Baskol!$D$1234)</f>
        <v/>
      </c>
      <c r="W1231" t="str">
        <f>IF([2]Baskol!$E$1234="","",[2]Baskol!$E$1234)</f>
        <v/>
      </c>
      <c r="X1231" t="str">
        <f>IF([2]Baskol!$G$1234="","",[2]Baskol!$G$1234)</f>
        <v/>
      </c>
      <c r="Y1231" t="str">
        <f>IF([2]Baskol!$I$1234="","",[2]Baskol!$I$1234)</f>
        <v/>
      </c>
      <c r="Z1231" t="str">
        <f>IF([2]Baskol!$J$1234="","",[2]Baskol!$J$1234)</f>
        <v/>
      </c>
      <c r="AA1231" t="str">
        <f>IF([2]Baskol!$K$1234="","",[2]Baskol!$K$1234)</f>
        <v/>
      </c>
      <c r="AB1231" t="str">
        <f>IF([2]Baskol!$L$1234="","",[2]Baskol!$L$1234)</f>
        <v/>
      </c>
      <c r="AC1231" t="str">
        <f>IF([2]Baskol!$N$1234="","",[2]Baskol!$N$1234)</f>
        <v/>
      </c>
      <c r="AD1231" t="str">
        <f>IF([2]Baskol!$O$1234="","",[2]Baskol!$O$1234)</f>
        <v/>
      </c>
      <c r="AE1231" t="str">
        <f>IF([3]Entry!$C$1234="","",[3]Entry!$C$1234)</f>
        <v/>
      </c>
      <c r="AF1231" t="str">
        <f>IF([3]Entry!$D$1234="","",[3]Entry!$D$1234)</f>
        <v/>
      </c>
      <c r="AG1231" t="str">
        <f>IF([3]Entry!$E$1234="","",[3]Entry!$E$1234)</f>
        <v/>
      </c>
      <c r="AH1231" t="str">
        <f>IF([3]Entry!$G$1234="","",[3]Entry!$G$1234)</f>
        <v/>
      </c>
      <c r="AI1231" t="str">
        <f>IF([3]Entry!$K$1234="","",[3]Entry!$K$1234)</f>
        <v/>
      </c>
      <c r="AJ1231" t="str">
        <f>IF([3]Entry!$L$1234="","",[3]Entry!$L$1234)</f>
        <v/>
      </c>
      <c r="AK1231" t="str">
        <f>IF([3]Entry!$M$1234="","",[3]Entry!$M$1234)</f>
        <v/>
      </c>
      <c r="AL1231" t="str">
        <f>IF([3]Entry!$N$1234="","",[3]Entry!$N$1234)</f>
        <v/>
      </c>
      <c r="AM1231" t="str">
        <f>IF([3]Entry!$R$1234="","",[3]Entry!$R$1234)</f>
        <v/>
      </c>
    </row>
    <row r="1232" spans="20:39" x14ac:dyDescent="0.2">
      <c r="T1232" t="str">
        <f>IF([2]Baskol!$B$1235="","",[2]Baskol!$B$1235)</f>
        <v/>
      </c>
      <c r="U1232" t="str">
        <f>IF([2]Baskol!$C$1235="","",[2]Baskol!$C$1235)</f>
        <v/>
      </c>
      <c r="V1232" t="str">
        <f>IF([2]Baskol!$D$1235="","",[2]Baskol!$D$1235)</f>
        <v/>
      </c>
      <c r="W1232" t="str">
        <f>IF([2]Baskol!$E$1235="","",[2]Baskol!$E$1235)</f>
        <v/>
      </c>
      <c r="X1232" t="str">
        <f>IF([2]Baskol!$G$1235="","",[2]Baskol!$G$1235)</f>
        <v/>
      </c>
      <c r="Y1232" t="str">
        <f>IF([2]Baskol!$I$1235="","",[2]Baskol!$I$1235)</f>
        <v/>
      </c>
      <c r="Z1232" t="str">
        <f>IF([2]Baskol!$J$1235="","",[2]Baskol!$J$1235)</f>
        <v/>
      </c>
      <c r="AA1232" t="str">
        <f>IF([2]Baskol!$K$1235="","",[2]Baskol!$K$1235)</f>
        <v/>
      </c>
      <c r="AB1232" t="str">
        <f>IF([2]Baskol!$L$1235="","",[2]Baskol!$L$1235)</f>
        <v/>
      </c>
      <c r="AC1232" t="str">
        <f>IF([2]Baskol!$N$1235="","",[2]Baskol!$N$1235)</f>
        <v/>
      </c>
      <c r="AD1232" t="str">
        <f>IF([2]Baskol!$O$1235="","",[2]Baskol!$O$1235)</f>
        <v/>
      </c>
      <c r="AE1232" t="str">
        <f>IF([3]Entry!$C$1235="","",[3]Entry!$C$1235)</f>
        <v/>
      </c>
      <c r="AF1232" t="str">
        <f>IF([3]Entry!$D$1235="","",[3]Entry!$D$1235)</f>
        <v/>
      </c>
      <c r="AG1232" t="str">
        <f>IF([3]Entry!$E$1235="","",[3]Entry!$E$1235)</f>
        <v/>
      </c>
      <c r="AH1232" t="str">
        <f>IF([3]Entry!$G$1235="","",[3]Entry!$G$1235)</f>
        <v/>
      </c>
      <c r="AI1232" t="str">
        <f>IF([3]Entry!$K$1235="","",[3]Entry!$K$1235)</f>
        <v/>
      </c>
      <c r="AJ1232" t="str">
        <f>IF([3]Entry!$L$1235="","",[3]Entry!$L$1235)</f>
        <v/>
      </c>
      <c r="AK1232" t="str">
        <f>IF([3]Entry!$M$1235="","",[3]Entry!$M$1235)</f>
        <v/>
      </c>
      <c r="AL1232" t="str">
        <f>IF([3]Entry!$N$1235="","",[3]Entry!$N$1235)</f>
        <v/>
      </c>
      <c r="AM1232" t="str">
        <f>IF([3]Entry!$R$1235="","",[3]Entry!$R$1235)</f>
        <v/>
      </c>
    </row>
    <row r="1233" spans="20:39" x14ac:dyDescent="0.2">
      <c r="T1233" t="str">
        <f>IF([2]Baskol!$B$1236="","",[2]Baskol!$B$1236)</f>
        <v/>
      </c>
      <c r="U1233" t="str">
        <f>IF([2]Baskol!$C$1236="","",[2]Baskol!$C$1236)</f>
        <v/>
      </c>
      <c r="V1233" t="str">
        <f>IF([2]Baskol!$D$1236="","",[2]Baskol!$D$1236)</f>
        <v/>
      </c>
      <c r="W1233" t="str">
        <f>IF([2]Baskol!$E$1236="","",[2]Baskol!$E$1236)</f>
        <v/>
      </c>
      <c r="X1233" t="str">
        <f>IF([2]Baskol!$G$1236="","",[2]Baskol!$G$1236)</f>
        <v/>
      </c>
      <c r="Y1233" t="str">
        <f>IF([2]Baskol!$I$1236="","",[2]Baskol!$I$1236)</f>
        <v/>
      </c>
      <c r="Z1233" t="str">
        <f>IF([2]Baskol!$J$1236="","",[2]Baskol!$J$1236)</f>
        <v/>
      </c>
      <c r="AA1233" t="str">
        <f>IF([2]Baskol!$K$1236="","",[2]Baskol!$K$1236)</f>
        <v/>
      </c>
      <c r="AB1233" t="str">
        <f>IF([2]Baskol!$L$1236="","",[2]Baskol!$L$1236)</f>
        <v/>
      </c>
      <c r="AC1233" t="str">
        <f>IF([2]Baskol!$N$1236="","",[2]Baskol!$N$1236)</f>
        <v/>
      </c>
      <c r="AD1233" t="str">
        <f>IF([2]Baskol!$O$1236="","",[2]Baskol!$O$1236)</f>
        <v/>
      </c>
      <c r="AE1233" t="str">
        <f>IF([3]Entry!$C$1236="","",[3]Entry!$C$1236)</f>
        <v/>
      </c>
      <c r="AF1233" t="str">
        <f>IF([3]Entry!$D$1236="","",[3]Entry!$D$1236)</f>
        <v/>
      </c>
      <c r="AG1233" t="str">
        <f>IF([3]Entry!$E$1236="","",[3]Entry!$E$1236)</f>
        <v/>
      </c>
      <c r="AH1233" t="str">
        <f>IF([3]Entry!$G$1236="","",[3]Entry!$G$1236)</f>
        <v/>
      </c>
      <c r="AI1233" t="str">
        <f>IF([3]Entry!$K$1236="","",[3]Entry!$K$1236)</f>
        <v/>
      </c>
      <c r="AJ1233" t="str">
        <f>IF([3]Entry!$L$1236="","",[3]Entry!$L$1236)</f>
        <v/>
      </c>
      <c r="AK1233" t="str">
        <f>IF([3]Entry!$M$1236="","",[3]Entry!$M$1236)</f>
        <v/>
      </c>
      <c r="AL1233" t="str">
        <f>IF([3]Entry!$N$1236="","",[3]Entry!$N$1236)</f>
        <v/>
      </c>
      <c r="AM1233" t="str">
        <f>IF([3]Entry!$R$1236="","",[3]Entry!$R$1236)</f>
        <v/>
      </c>
    </row>
    <row r="1234" spans="20:39" x14ac:dyDescent="0.2">
      <c r="T1234" t="str">
        <f>IF([2]Baskol!$B$1237="","",[2]Baskol!$B$1237)</f>
        <v/>
      </c>
      <c r="U1234" t="str">
        <f>IF([2]Baskol!$C$1237="","",[2]Baskol!$C$1237)</f>
        <v/>
      </c>
      <c r="V1234" t="str">
        <f>IF([2]Baskol!$D$1237="","",[2]Baskol!$D$1237)</f>
        <v/>
      </c>
      <c r="W1234" t="str">
        <f>IF([2]Baskol!$E$1237="","",[2]Baskol!$E$1237)</f>
        <v/>
      </c>
      <c r="X1234" t="str">
        <f>IF([2]Baskol!$G$1237="","",[2]Baskol!$G$1237)</f>
        <v/>
      </c>
      <c r="Y1234" t="str">
        <f>IF([2]Baskol!$I$1237="","",[2]Baskol!$I$1237)</f>
        <v/>
      </c>
      <c r="Z1234" t="str">
        <f>IF([2]Baskol!$J$1237="","",[2]Baskol!$J$1237)</f>
        <v/>
      </c>
      <c r="AA1234" t="str">
        <f>IF([2]Baskol!$K$1237="","",[2]Baskol!$K$1237)</f>
        <v/>
      </c>
      <c r="AB1234" t="str">
        <f>IF([2]Baskol!$L$1237="","",[2]Baskol!$L$1237)</f>
        <v/>
      </c>
      <c r="AC1234" t="str">
        <f>IF([2]Baskol!$N$1237="","",[2]Baskol!$N$1237)</f>
        <v/>
      </c>
      <c r="AD1234" t="str">
        <f>IF([2]Baskol!$O$1237="","",[2]Baskol!$O$1237)</f>
        <v/>
      </c>
      <c r="AE1234" t="str">
        <f>IF([3]Entry!$C$1237="","",[3]Entry!$C$1237)</f>
        <v/>
      </c>
      <c r="AF1234" t="str">
        <f>IF([3]Entry!$D$1237="","",[3]Entry!$D$1237)</f>
        <v/>
      </c>
      <c r="AG1234" t="str">
        <f>IF([3]Entry!$E$1237="","",[3]Entry!$E$1237)</f>
        <v/>
      </c>
      <c r="AH1234" t="str">
        <f>IF([3]Entry!$G$1237="","",[3]Entry!$G$1237)</f>
        <v/>
      </c>
      <c r="AI1234" t="str">
        <f>IF([3]Entry!$K$1237="","",[3]Entry!$K$1237)</f>
        <v/>
      </c>
      <c r="AJ1234" t="str">
        <f>IF([3]Entry!$L$1237="","",[3]Entry!$L$1237)</f>
        <v/>
      </c>
      <c r="AK1234" t="str">
        <f>IF([3]Entry!$M$1237="","",[3]Entry!$M$1237)</f>
        <v/>
      </c>
      <c r="AL1234" t="str">
        <f>IF([3]Entry!$N$1237="","",[3]Entry!$N$1237)</f>
        <v/>
      </c>
      <c r="AM1234" t="str">
        <f>IF([3]Entry!$R$1237="","",[3]Entry!$R$1237)</f>
        <v/>
      </c>
    </row>
    <row r="1235" spans="20:39" x14ac:dyDescent="0.2">
      <c r="T1235" t="str">
        <f>IF([2]Baskol!$B$1238="","",[2]Baskol!$B$1238)</f>
        <v/>
      </c>
      <c r="U1235" t="str">
        <f>IF([2]Baskol!$C$1238="","",[2]Baskol!$C$1238)</f>
        <v/>
      </c>
      <c r="V1235" t="str">
        <f>IF([2]Baskol!$D$1238="","",[2]Baskol!$D$1238)</f>
        <v/>
      </c>
      <c r="W1235" t="str">
        <f>IF([2]Baskol!$E$1238="","",[2]Baskol!$E$1238)</f>
        <v/>
      </c>
      <c r="X1235" t="str">
        <f>IF([2]Baskol!$G$1238="","",[2]Baskol!$G$1238)</f>
        <v/>
      </c>
      <c r="Y1235" t="str">
        <f>IF([2]Baskol!$I$1238="","",[2]Baskol!$I$1238)</f>
        <v/>
      </c>
      <c r="Z1235" t="str">
        <f>IF([2]Baskol!$J$1238="","",[2]Baskol!$J$1238)</f>
        <v/>
      </c>
      <c r="AA1235" t="str">
        <f>IF([2]Baskol!$K$1238="","",[2]Baskol!$K$1238)</f>
        <v/>
      </c>
      <c r="AB1235" t="str">
        <f>IF([2]Baskol!$L$1238="","",[2]Baskol!$L$1238)</f>
        <v/>
      </c>
      <c r="AC1235" t="str">
        <f>IF([2]Baskol!$N$1238="","",[2]Baskol!$N$1238)</f>
        <v/>
      </c>
      <c r="AD1235" t="str">
        <f>IF([2]Baskol!$O$1238="","",[2]Baskol!$O$1238)</f>
        <v/>
      </c>
      <c r="AE1235" t="str">
        <f>IF([3]Entry!$C$1238="","",[3]Entry!$C$1238)</f>
        <v/>
      </c>
      <c r="AF1235" t="str">
        <f>IF([3]Entry!$D$1238="","",[3]Entry!$D$1238)</f>
        <v/>
      </c>
      <c r="AG1235" t="str">
        <f>IF([3]Entry!$E$1238="","",[3]Entry!$E$1238)</f>
        <v/>
      </c>
      <c r="AH1235" t="str">
        <f>IF([3]Entry!$G$1238="","",[3]Entry!$G$1238)</f>
        <v/>
      </c>
      <c r="AI1235" t="str">
        <f>IF([3]Entry!$K$1238="","",[3]Entry!$K$1238)</f>
        <v/>
      </c>
      <c r="AJ1235" t="str">
        <f>IF([3]Entry!$L$1238="","",[3]Entry!$L$1238)</f>
        <v/>
      </c>
      <c r="AK1235" t="str">
        <f>IF([3]Entry!$M$1238="","",[3]Entry!$M$1238)</f>
        <v/>
      </c>
      <c r="AL1235" t="str">
        <f>IF([3]Entry!$N$1238="","",[3]Entry!$N$1238)</f>
        <v/>
      </c>
      <c r="AM1235" t="str">
        <f>IF([3]Entry!$R$1238="","",[3]Entry!$R$1238)</f>
        <v/>
      </c>
    </row>
    <row r="1236" spans="20:39" x14ac:dyDescent="0.2">
      <c r="T1236" t="str">
        <f>IF([2]Baskol!$B$1239="","",[2]Baskol!$B$1239)</f>
        <v/>
      </c>
      <c r="U1236" t="str">
        <f>IF([2]Baskol!$C$1239="","",[2]Baskol!$C$1239)</f>
        <v/>
      </c>
      <c r="V1236" t="str">
        <f>IF([2]Baskol!$D$1239="","",[2]Baskol!$D$1239)</f>
        <v/>
      </c>
      <c r="W1236" t="str">
        <f>IF([2]Baskol!$E$1239="","",[2]Baskol!$E$1239)</f>
        <v/>
      </c>
      <c r="X1236" t="str">
        <f>IF([2]Baskol!$G$1239="","",[2]Baskol!$G$1239)</f>
        <v/>
      </c>
      <c r="Y1236" t="str">
        <f>IF([2]Baskol!$I$1239="","",[2]Baskol!$I$1239)</f>
        <v/>
      </c>
      <c r="Z1236" t="str">
        <f>IF([2]Baskol!$J$1239="","",[2]Baskol!$J$1239)</f>
        <v/>
      </c>
      <c r="AA1236" t="str">
        <f>IF([2]Baskol!$K$1239="","",[2]Baskol!$K$1239)</f>
        <v/>
      </c>
      <c r="AB1236" t="str">
        <f>IF([2]Baskol!$L$1239="","",[2]Baskol!$L$1239)</f>
        <v/>
      </c>
      <c r="AC1236" t="str">
        <f>IF([2]Baskol!$N$1239="","",[2]Baskol!$N$1239)</f>
        <v/>
      </c>
      <c r="AD1236" t="str">
        <f>IF([2]Baskol!$O$1239="","",[2]Baskol!$O$1239)</f>
        <v/>
      </c>
      <c r="AE1236" t="str">
        <f>IF([3]Entry!$C$1239="","",[3]Entry!$C$1239)</f>
        <v/>
      </c>
      <c r="AF1236" t="str">
        <f>IF([3]Entry!$D$1239="","",[3]Entry!$D$1239)</f>
        <v/>
      </c>
      <c r="AG1236" t="str">
        <f>IF([3]Entry!$E$1239="","",[3]Entry!$E$1239)</f>
        <v/>
      </c>
      <c r="AH1236" t="str">
        <f>IF([3]Entry!$G$1239="","",[3]Entry!$G$1239)</f>
        <v/>
      </c>
      <c r="AI1236" t="str">
        <f>IF([3]Entry!$K$1239="","",[3]Entry!$K$1239)</f>
        <v/>
      </c>
      <c r="AJ1236" t="str">
        <f>IF([3]Entry!$L$1239="","",[3]Entry!$L$1239)</f>
        <v/>
      </c>
      <c r="AK1236" t="str">
        <f>IF([3]Entry!$M$1239="","",[3]Entry!$M$1239)</f>
        <v/>
      </c>
      <c r="AL1236" t="str">
        <f>IF([3]Entry!$N$1239="","",[3]Entry!$N$1239)</f>
        <v/>
      </c>
      <c r="AM1236" t="str">
        <f>IF([3]Entry!$R$1239="","",[3]Entry!$R$1239)</f>
        <v/>
      </c>
    </row>
    <row r="1237" spans="20:39" x14ac:dyDescent="0.2">
      <c r="T1237" t="str">
        <f>IF([2]Baskol!$B$1240="","",[2]Baskol!$B$1240)</f>
        <v/>
      </c>
      <c r="U1237" t="str">
        <f>IF([2]Baskol!$C$1240="","",[2]Baskol!$C$1240)</f>
        <v/>
      </c>
      <c r="V1237" t="str">
        <f>IF([2]Baskol!$D$1240="","",[2]Baskol!$D$1240)</f>
        <v/>
      </c>
      <c r="W1237" t="str">
        <f>IF([2]Baskol!$E$1240="","",[2]Baskol!$E$1240)</f>
        <v/>
      </c>
      <c r="X1237" t="str">
        <f>IF([2]Baskol!$G$1240="","",[2]Baskol!$G$1240)</f>
        <v/>
      </c>
      <c r="Y1237" t="str">
        <f>IF([2]Baskol!$I$1240="","",[2]Baskol!$I$1240)</f>
        <v/>
      </c>
      <c r="Z1237" t="str">
        <f>IF([2]Baskol!$J$1240="","",[2]Baskol!$J$1240)</f>
        <v/>
      </c>
      <c r="AA1237" t="str">
        <f>IF([2]Baskol!$K$1240="","",[2]Baskol!$K$1240)</f>
        <v/>
      </c>
      <c r="AB1237" t="str">
        <f>IF([2]Baskol!$L$1240="","",[2]Baskol!$L$1240)</f>
        <v/>
      </c>
      <c r="AC1237" t="str">
        <f>IF([2]Baskol!$N$1240="","",[2]Baskol!$N$1240)</f>
        <v/>
      </c>
      <c r="AD1237" t="str">
        <f>IF([2]Baskol!$O$1240="","",[2]Baskol!$O$1240)</f>
        <v/>
      </c>
      <c r="AE1237" t="str">
        <f>IF([3]Entry!$C$1240="","",[3]Entry!$C$1240)</f>
        <v/>
      </c>
      <c r="AF1237" t="str">
        <f>IF([3]Entry!$D$1240="","",[3]Entry!$D$1240)</f>
        <v/>
      </c>
      <c r="AG1237" t="str">
        <f>IF([3]Entry!$E$1240="","",[3]Entry!$E$1240)</f>
        <v/>
      </c>
      <c r="AH1237" t="str">
        <f>IF([3]Entry!$G$1240="","",[3]Entry!$G$1240)</f>
        <v/>
      </c>
      <c r="AI1237" t="str">
        <f>IF([3]Entry!$K$1240="","",[3]Entry!$K$1240)</f>
        <v/>
      </c>
      <c r="AJ1237" t="str">
        <f>IF([3]Entry!$L$1240="","",[3]Entry!$L$1240)</f>
        <v/>
      </c>
      <c r="AK1237" t="str">
        <f>IF([3]Entry!$M$1240="","",[3]Entry!$M$1240)</f>
        <v/>
      </c>
      <c r="AL1237" t="str">
        <f>IF([3]Entry!$N$1240="","",[3]Entry!$N$1240)</f>
        <v/>
      </c>
      <c r="AM1237" t="str">
        <f>IF([3]Entry!$R$1240="","",[3]Entry!$R$1240)</f>
        <v/>
      </c>
    </row>
    <row r="1238" spans="20:39" x14ac:dyDescent="0.2">
      <c r="T1238" t="str">
        <f>IF([2]Baskol!$B$1241="","",[2]Baskol!$B$1241)</f>
        <v/>
      </c>
      <c r="U1238" t="str">
        <f>IF([2]Baskol!$C$1241="","",[2]Baskol!$C$1241)</f>
        <v/>
      </c>
      <c r="V1238" t="str">
        <f>IF([2]Baskol!$D$1241="","",[2]Baskol!$D$1241)</f>
        <v/>
      </c>
      <c r="W1238" t="str">
        <f>IF([2]Baskol!$E$1241="","",[2]Baskol!$E$1241)</f>
        <v/>
      </c>
      <c r="X1238" t="str">
        <f>IF([2]Baskol!$G$1241="","",[2]Baskol!$G$1241)</f>
        <v/>
      </c>
      <c r="Y1238" t="str">
        <f>IF([2]Baskol!$I$1241="","",[2]Baskol!$I$1241)</f>
        <v/>
      </c>
      <c r="Z1238" t="str">
        <f>IF([2]Baskol!$J$1241="","",[2]Baskol!$J$1241)</f>
        <v/>
      </c>
      <c r="AA1238" t="str">
        <f>IF([2]Baskol!$K$1241="","",[2]Baskol!$K$1241)</f>
        <v/>
      </c>
      <c r="AB1238" t="str">
        <f>IF([2]Baskol!$L$1241="","",[2]Baskol!$L$1241)</f>
        <v/>
      </c>
      <c r="AC1238" t="str">
        <f>IF([2]Baskol!$N$1241="","",[2]Baskol!$N$1241)</f>
        <v/>
      </c>
      <c r="AD1238" t="str">
        <f>IF([2]Baskol!$O$1241="","",[2]Baskol!$O$1241)</f>
        <v/>
      </c>
      <c r="AE1238" t="str">
        <f>IF([3]Entry!$C$1241="","",[3]Entry!$C$1241)</f>
        <v/>
      </c>
      <c r="AF1238" t="str">
        <f>IF([3]Entry!$D$1241="","",[3]Entry!$D$1241)</f>
        <v/>
      </c>
      <c r="AG1238" t="str">
        <f>IF([3]Entry!$E$1241="","",[3]Entry!$E$1241)</f>
        <v/>
      </c>
      <c r="AH1238" t="str">
        <f>IF([3]Entry!$G$1241="","",[3]Entry!$G$1241)</f>
        <v/>
      </c>
      <c r="AI1238" t="str">
        <f>IF([3]Entry!$K$1241="","",[3]Entry!$K$1241)</f>
        <v/>
      </c>
      <c r="AJ1238" t="str">
        <f>IF([3]Entry!$L$1241="","",[3]Entry!$L$1241)</f>
        <v/>
      </c>
      <c r="AK1238" t="str">
        <f>IF([3]Entry!$M$1241="","",[3]Entry!$M$1241)</f>
        <v/>
      </c>
      <c r="AL1238" t="str">
        <f>IF([3]Entry!$N$1241="","",[3]Entry!$N$1241)</f>
        <v/>
      </c>
      <c r="AM1238" t="str">
        <f>IF([3]Entry!$R$1241="","",[3]Entry!$R$1241)</f>
        <v/>
      </c>
    </row>
    <row r="1239" spans="20:39" x14ac:dyDescent="0.2">
      <c r="T1239" t="str">
        <f>IF([2]Baskol!$B$1242="","",[2]Baskol!$B$1242)</f>
        <v/>
      </c>
      <c r="U1239" t="str">
        <f>IF([2]Baskol!$C$1242="","",[2]Baskol!$C$1242)</f>
        <v/>
      </c>
      <c r="V1239" t="str">
        <f>IF([2]Baskol!$D$1242="","",[2]Baskol!$D$1242)</f>
        <v/>
      </c>
      <c r="W1239" t="str">
        <f>IF([2]Baskol!$E$1242="","",[2]Baskol!$E$1242)</f>
        <v/>
      </c>
      <c r="X1239" t="str">
        <f>IF([2]Baskol!$G$1242="","",[2]Baskol!$G$1242)</f>
        <v/>
      </c>
      <c r="Y1239" t="str">
        <f>IF([2]Baskol!$I$1242="","",[2]Baskol!$I$1242)</f>
        <v/>
      </c>
      <c r="Z1239" t="str">
        <f>IF([2]Baskol!$J$1242="","",[2]Baskol!$J$1242)</f>
        <v/>
      </c>
      <c r="AA1239" t="str">
        <f>IF([2]Baskol!$K$1242="","",[2]Baskol!$K$1242)</f>
        <v/>
      </c>
      <c r="AB1239" t="str">
        <f>IF([2]Baskol!$L$1242="","",[2]Baskol!$L$1242)</f>
        <v/>
      </c>
      <c r="AC1239" t="str">
        <f>IF([2]Baskol!$N$1242="","",[2]Baskol!$N$1242)</f>
        <v/>
      </c>
      <c r="AD1239" t="str">
        <f>IF([2]Baskol!$O$1242="","",[2]Baskol!$O$1242)</f>
        <v/>
      </c>
      <c r="AE1239" t="str">
        <f>IF([3]Entry!$C$1242="","",[3]Entry!$C$1242)</f>
        <v/>
      </c>
      <c r="AF1239" t="str">
        <f>IF([3]Entry!$D$1242="","",[3]Entry!$D$1242)</f>
        <v/>
      </c>
      <c r="AG1239" t="str">
        <f>IF([3]Entry!$E$1242="","",[3]Entry!$E$1242)</f>
        <v/>
      </c>
      <c r="AH1239" t="str">
        <f>IF([3]Entry!$G$1242="","",[3]Entry!$G$1242)</f>
        <v/>
      </c>
      <c r="AI1239" t="str">
        <f>IF([3]Entry!$K$1242="","",[3]Entry!$K$1242)</f>
        <v/>
      </c>
      <c r="AJ1239" t="str">
        <f>IF([3]Entry!$L$1242="","",[3]Entry!$L$1242)</f>
        <v/>
      </c>
      <c r="AK1239" t="str">
        <f>IF([3]Entry!$M$1242="","",[3]Entry!$M$1242)</f>
        <v/>
      </c>
      <c r="AL1239" t="str">
        <f>IF([3]Entry!$N$1242="","",[3]Entry!$N$1242)</f>
        <v/>
      </c>
      <c r="AM1239" t="str">
        <f>IF([3]Entry!$R$1242="","",[3]Entry!$R$1242)</f>
        <v/>
      </c>
    </row>
    <row r="1240" spans="20:39" x14ac:dyDescent="0.2">
      <c r="T1240" t="str">
        <f>IF([2]Baskol!$B$1243="","",[2]Baskol!$B$1243)</f>
        <v/>
      </c>
      <c r="U1240" t="str">
        <f>IF([2]Baskol!$C$1243="","",[2]Baskol!$C$1243)</f>
        <v/>
      </c>
      <c r="V1240" t="str">
        <f>IF([2]Baskol!$D$1243="","",[2]Baskol!$D$1243)</f>
        <v/>
      </c>
      <c r="W1240" t="str">
        <f>IF([2]Baskol!$E$1243="","",[2]Baskol!$E$1243)</f>
        <v/>
      </c>
      <c r="X1240" t="str">
        <f>IF([2]Baskol!$G$1243="","",[2]Baskol!$G$1243)</f>
        <v/>
      </c>
      <c r="Y1240" t="str">
        <f>IF([2]Baskol!$I$1243="","",[2]Baskol!$I$1243)</f>
        <v/>
      </c>
      <c r="Z1240" t="str">
        <f>IF([2]Baskol!$J$1243="","",[2]Baskol!$J$1243)</f>
        <v/>
      </c>
      <c r="AA1240" t="str">
        <f>IF([2]Baskol!$K$1243="","",[2]Baskol!$K$1243)</f>
        <v/>
      </c>
      <c r="AB1240" t="str">
        <f>IF([2]Baskol!$L$1243="","",[2]Baskol!$L$1243)</f>
        <v/>
      </c>
      <c r="AC1240" t="str">
        <f>IF([2]Baskol!$N$1243="","",[2]Baskol!$N$1243)</f>
        <v/>
      </c>
      <c r="AD1240" t="str">
        <f>IF([2]Baskol!$O$1243="","",[2]Baskol!$O$1243)</f>
        <v/>
      </c>
      <c r="AE1240" t="str">
        <f>IF([3]Entry!$C$1243="","",[3]Entry!$C$1243)</f>
        <v/>
      </c>
      <c r="AF1240" t="str">
        <f>IF([3]Entry!$D$1243="","",[3]Entry!$D$1243)</f>
        <v/>
      </c>
      <c r="AG1240" t="str">
        <f>IF([3]Entry!$E$1243="","",[3]Entry!$E$1243)</f>
        <v/>
      </c>
      <c r="AH1240" t="str">
        <f>IF([3]Entry!$G$1243="","",[3]Entry!$G$1243)</f>
        <v/>
      </c>
      <c r="AI1240" t="str">
        <f>IF([3]Entry!$K$1243="","",[3]Entry!$K$1243)</f>
        <v/>
      </c>
      <c r="AJ1240" t="str">
        <f>IF([3]Entry!$L$1243="","",[3]Entry!$L$1243)</f>
        <v/>
      </c>
      <c r="AK1240" t="str">
        <f>IF([3]Entry!$M$1243="","",[3]Entry!$M$1243)</f>
        <v/>
      </c>
      <c r="AL1240" t="str">
        <f>IF([3]Entry!$N$1243="","",[3]Entry!$N$1243)</f>
        <v/>
      </c>
      <c r="AM1240" t="str">
        <f>IF([3]Entry!$R$1243="","",[3]Entry!$R$1243)</f>
        <v/>
      </c>
    </row>
    <row r="1241" spans="20:39" x14ac:dyDescent="0.2">
      <c r="T1241" t="str">
        <f>IF([2]Baskol!$B$1244="","",[2]Baskol!$B$1244)</f>
        <v/>
      </c>
      <c r="U1241" t="str">
        <f>IF([2]Baskol!$C$1244="","",[2]Baskol!$C$1244)</f>
        <v/>
      </c>
      <c r="V1241" t="str">
        <f>IF([2]Baskol!$D$1244="","",[2]Baskol!$D$1244)</f>
        <v/>
      </c>
      <c r="W1241" t="str">
        <f>IF([2]Baskol!$E$1244="","",[2]Baskol!$E$1244)</f>
        <v/>
      </c>
      <c r="X1241" t="str">
        <f>IF([2]Baskol!$G$1244="","",[2]Baskol!$G$1244)</f>
        <v/>
      </c>
      <c r="Y1241" t="str">
        <f>IF([2]Baskol!$I$1244="","",[2]Baskol!$I$1244)</f>
        <v/>
      </c>
      <c r="Z1241" t="str">
        <f>IF([2]Baskol!$J$1244="","",[2]Baskol!$J$1244)</f>
        <v/>
      </c>
      <c r="AA1241" t="str">
        <f>IF([2]Baskol!$K$1244="","",[2]Baskol!$K$1244)</f>
        <v/>
      </c>
      <c r="AB1241" t="str">
        <f>IF([2]Baskol!$L$1244="","",[2]Baskol!$L$1244)</f>
        <v/>
      </c>
      <c r="AC1241" t="str">
        <f>IF([2]Baskol!$N$1244="","",[2]Baskol!$N$1244)</f>
        <v/>
      </c>
      <c r="AD1241" t="str">
        <f>IF([2]Baskol!$O$1244="","",[2]Baskol!$O$1244)</f>
        <v/>
      </c>
      <c r="AE1241" t="str">
        <f>IF([3]Entry!$C$1244="","",[3]Entry!$C$1244)</f>
        <v/>
      </c>
      <c r="AF1241" t="str">
        <f>IF([3]Entry!$D$1244="","",[3]Entry!$D$1244)</f>
        <v/>
      </c>
      <c r="AG1241" t="str">
        <f>IF([3]Entry!$E$1244="","",[3]Entry!$E$1244)</f>
        <v/>
      </c>
      <c r="AH1241" t="str">
        <f>IF([3]Entry!$G$1244="","",[3]Entry!$G$1244)</f>
        <v/>
      </c>
      <c r="AI1241" t="str">
        <f>IF([3]Entry!$K$1244="","",[3]Entry!$K$1244)</f>
        <v/>
      </c>
      <c r="AJ1241" t="str">
        <f>IF([3]Entry!$L$1244="","",[3]Entry!$L$1244)</f>
        <v/>
      </c>
      <c r="AK1241" t="str">
        <f>IF([3]Entry!$M$1244="","",[3]Entry!$M$1244)</f>
        <v/>
      </c>
      <c r="AL1241" t="str">
        <f>IF([3]Entry!$N$1244="","",[3]Entry!$N$1244)</f>
        <v/>
      </c>
      <c r="AM1241" t="str">
        <f>IF([3]Entry!$R$1244="","",[3]Entry!$R$1244)</f>
        <v/>
      </c>
    </row>
    <row r="1242" spans="20:39" x14ac:dyDescent="0.2">
      <c r="T1242" t="str">
        <f>IF([2]Baskol!$B$1245="","",[2]Baskol!$B$1245)</f>
        <v/>
      </c>
      <c r="U1242" t="str">
        <f>IF([2]Baskol!$C$1245="","",[2]Baskol!$C$1245)</f>
        <v/>
      </c>
      <c r="V1242" t="str">
        <f>IF([2]Baskol!$D$1245="","",[2]Baskol!$D$1245)</f>
        <v/>
      </c>
      <c r="W1242" t="str">
        <f>IF([2]Baskol!$E$1245="","",[2]Baskol!$E$1245)</f>
        <v/>
      </c>
      <c r="X1242" t="str">
        <f>IF([2]Baskol!$G$1245="","",[2]Baskol!$G$1245)</f>
        <v/>
      </c>
      <c r="Y1242" t="str">
        <f>IF([2]Baskol!$I$1245="","",[2]Baskol!$I$1245)</f>
        <v/>
      </c>
      <c r="Z1242" t="str">
        <f>IF([2]Baskol!$J$1245="","",[2]Baskol!$J$1245)</f>
        <v/>
      </c>
      <c r="AA1242" t="str">
        <f>IF([2]Baskol!$K$1245="","",[2]Baskol!$K$1245)</f>
        <v/>
      </c>
      <c r="AB1242" t="str">
        <f>IF([2]Baskol!$L$1245="","",[2]Baskol!$L$1245)</f>
        <v/>
      </c>
      <c r="AC1242" t="str">
        <f>IF([2]Baskol!$N$1245="","",[2]Baskol!$N$1245)</f>
        <v/>
      </c>
      <c r="AD1242" t="str">
        <f>IF([2]Baskol!$O$1245="","",[2]Baskol!$O$1245)</f>
        <v/>
      </c>
      <c r="AE1242" t="str">
        <f>IF([3]Entry!$C$1245="","",[3]Entry!$C$1245)</f>
        <v/>
      </c>
      <c r="AF1242" t="str">
        <f>IF([3]Entry!$D$1245="","",[3]Entry!$D$1245)</f>
        <v/>
      </c>
      <c r="AG1242" t="str">
        <f>IF([3]Entry!$E$1245="","",[3]Entry!$E$1245)</f>
        <v/>
      </c>
      <c r="AH1242" t="str">
        <f>IF([3]Entry!$G$1245="","",[3]Entry!$G$1245)</f>
        <v/>
      </c>
      <c r="AI1242" t="str">
        <f>IF([3]Entry!$K$1245="","",[3]Entry!$K$1245)</f>
        <v/>
      </c>
      <c r="AJ1242" t="str">
        <f>IF([3]Entry!$L$1245="","",[3]Entry!$L$1245)</f>
        <v/>
      </c>
      <c r="AK1242" t="str">
        <f>IF([3]Entry!$M$1245="","",[3]Entry!$M$1245)</f>
        <v/>
      </c>
      <c r="AL1242" t="str">
        <f>IF([3]Entry!$N$1245="","",[3]Entry!$N$1245)</f>
        <v/>
      </c>
      <c r="AM1242" t="str">
        <f>IF([3]Entry!$R$1245="","",[3]Entry!$R$1245)</f>
        <v/>
      </c>
    </row>
    <row r="1243" spans="20:39" x14ac:dyDescent="0.2">
      <c r="T1243" t="str">
        <f>IF([2]Baskol!$B$1246="","",[2]Baskol!$B$1246)</f>
        <v/>
      </c>
      <c r="U1243" t="str">
        <f>IF([2]Baskol!$C$1246="","",[2]Baskol!$C$1246)</f>
        <v/>
      </c>
      <c r="V1243" t="str">
        <f>IF([2]Baskol!$D$1246="","",[2]Baskol!$D$1246)</f>
        <v/>
      </c>
      <c r="W1243" t="str">
        <f>IF([2]Baskol!$E$1246="","",[2]Baskol!$E$1246)</f>
        <v/>
      </c>
      <c r="X1243" t="str">
        <f>IF([2]Baskol!$G$1246="","",[2]Baskol!$G$1246)</f>
        <v/>
      </c>
      <c r="Y1243" t="str">
        <f>IF([2]Baskol!$I$1246="","",[2]Baskol!$I$1246)</f>
        <v/>
      </c>
      <c r="Z1243" t="str">
        <f>IF([2]Baskol!$J$1246="","",[2]Baskol!$J$1246)</f>
        <v/>
      </c>
      <c r="AA1243" t="str">
        <f>IF([2]Baskol!$K$1246="","",[2]Baskol!$K$1246)</f>
        <v/>
      </c>
      <c r="AB1243" t="str">
        <f>IF([2]Baskol!$L$1246="","",[2]Baskol!$L$1246)</f>
        <v/>
      </c>
      <c r="AC1243" t="str">
        <f>IF([2]Baskol!$N$1246="","",[2]Baskol!$N$1246)</f>
        <v/>
      </c>
      <c r="AD1243" t="str">
        <f>IF([2]Baskol!$O$1246="","",[2]Baskol!$O$1246)</f>
        <v/>
      </c>
      <c r="AE1243" t="str">
        <f>IF([3]Entry!$C$1246="","",[3]Entry!$C$1246)</f>
        <v/>
      </c>
      <c r="AF1243" t="str">
        <f>IF([3]Entry!$D$1246="","",[3]Entry!$D$1246)</f>
        <v/>
      </c>
      <c r="AG1243" t="str">
        <f>IF([3]Entry!$E$1246="","",[3]Entry!$E$1246)</f>
        <v/>
      </c>
      <c r="AH1243" t="str">
        <f>IF([3]Entry!$G$1246="","",[3]Entry!$G$1246)</f>
        <v/>
      </c>
      <c r="AI1243" t="str">
        <f>IF([3]Entry!$K$1246="","",[3]Entry!$K$1246)</f>
        <v/>
      </c>
      <c r="AJ1243" t="str">
        <f>IF([3]Entry!$L$1246="","",[3]Entry!$L$1246)</f>
        <v/>
      </c>
      <c r="AK1243" t="str">
        <f>IF([3]Entry!$M$1246="","",[3]Entry!$M$1246)</f>
        <v/>
      </c>
      <c r="AL1243" t="str">
        <f>IF([3]Entry!$N$1246="","",[3]Entry!$N$1246)</f>
        <v/>
      </c>
      <c r="AM1243" t="str">
        <f>IF([3]Entry!$R$1246="","",[3]Entry!$R$1246)</f>
        <v/>
      </c>
    </row>
    <row r="1244" spans="20:39" x14ac:dyDescent="0.2">
      <c r="T1244" t="str">
        <f>IF([2]Baskol!$B$1247="","",[2]Baskol!$B$1247)</f>
        <v/>
      </c>
      <c r="U1244" t="str">
        <f>IF([2]Baskol!$C$1247="","",[2]Baskol!$C$1247)</f>
        <v/>
      </c>
      <c r="V1244" t="str">
        <f>IF([2]Baskol!$D$1247="","",[2]Baskol!$D$1247)</f>
        <v/>
      </c>
      <c r="W1244" t="str">
        <f>IF([2]Baskol!$E$1247="","",[2]Baskol!$E$1247)</f>
        <v/>
      </c>
      <c r="X1244" t="str">
        <f>IF([2]Baskol!$G$1247="","",[2]Baskol!$G$1247)</f>
        <v/>
      </c>
      <c r="Y1244" t="str">
        <f>IF([2]Baskol!$I$1247="","",[2]Baskol!$I$1247)</f>
        <v/>
      </c>
      <c r="Z1244" t="str">
        <f>IF([2]Baskol!$J$1247="","",[2]Baskol!$J$1247)</f>
        <v/>
      </c>
      <c r="AA1244" t="str">
        <f>IF([2]Baskol!$K$1247="","",[2]Baskol!$K$1247)</f>
        <v/>
      </c>
      <c r="AB1244" t="str">
        <f>IF([2]Baskol!$L$1247="","",[2]Baskol!$L$1247)</f>
        <v/>
      </c>
      <c r="AC1244" t="str">
        <f>IF([2]Baskol!$N$1247="","",[2]Baskol!$N$1247)</f>
        <v/>
      </c>
      <c r="AD1244" t="str">
        <f>IF([2]Baskol!$O$1247="","",[2]Baskol!$O$1247)</f>
        <v/>
      </c>
      <c r="AE1244" t="str">
        <f>IF([3]Entry!$C$1247="","",[3]Entry!$C$1247)</f>
        <v/>
      </c>
      <c r="AF1244" t="str">
        <f>IF([3]Entry!$D$1247="","",[3]Entry!$D$1247)</f>
        <v/>
      </c>
      <c r="AG1244" t="str">
        <f>IF([3]Entry!$E$1247="","",[3]Entry!$E$1247)</f>
        <v/>
      </c>
      <c r="AH1244" t="str">
        <f>IF([3]Entry!$G$1247="","",[3]Entry!$G$1247)</f>
        <v/>
      </c>
      <c r="AI1244" t="str">
        <f>IF([3]Entry!$K$1247="","",[3]Entry!$K$1247)</f>
        <v/>
      </c>
      <c r="AJ1244" t="str">
        <f>IF([3]Entry!$L$1247="","",[3]Entry!$L$1247)</f>
        <v/>
      </c>
      <c r="AK1244" t="str">
        <f>IF([3]Entry!$M$1247="","",[3]Entry!$M$1247)</f>
        <v/>
      </c>
      <c r="AL1244" t="str">
        <f>IF([3]Entry!$N$1247="","",[3]Entry!$N$1247)</f>
        <v/>
      </c>
      <c r="AM1244" t="str">
        <f>IF([3]Entry!$R$1247="","",[3]Entry!$R$1247)</f>
        <v/>
      </c>
    </row>
    <row r="1245" spans="20:39" x14ac:dyDescent="0.2">
      <c r="T1245" t="str">
        <f>IF([2]Baskol!$B$1248="","",[2]Baskol!$B$1248)</f>
        <v/>
      </c>
      <c r="U1245" t="str">
        <f>IF([2]Baskol!$C$1248="","",[2]Baskol!$C$1248)</f>
        <v/>
      </c>
      <c r="V1245" t="str">
        <f>IF([2]Baskol!$D$1248="","",[2]Baskol!$D$1248)</f>
        <v/>
      </c>
      <c r="W1245" t="str">
        <f>IF([2]Baskol!$E$1248="","",[2]Baskol!$E$1248)</f>
        <v/>
      </c>
      <c r="X1245" t="str">
        <f>IF([2]Baskol!$G$1248="","",[2]Baskol!$G$1248)</f>
        <v/>
      </c>
      <c r="Y1245" t="str">
        <f>IF([2]Baskol!$I$1248="","",[2]Baskol!$I$1248)</f>
        <v/>
      </c>
      <c r="Z1245" t="str">
        <f>IF([2]Baskol!$J$1248="","",[2]Baskol!$J$1248)</f>
        <v/>
      </c>
      <c r="AA1245" t="str">
        <f>IF([2]Baskol!$K$1248="","",[2]Baskol!$K$1248)</f>
        <v/>
      </c>
      <c r="AB1245" t="str">
        <f>IF([2]Baskol!$L$1248="","",[2]Baskol!$L$1248)</f>
        <v/>
      </c>
      <c r="AC1245" t="str">
        <f>IF([2]Baskol!$N$1248="","",[2]Baskol!$N$1248)</f>
        <v/>
      </c>
      <c r="AD1245" t="str">
        <f>IF([2]Baskol!$O$1248="","",[2]Baskol!$O$1248)</f>
        <v/>
      </c>
      <c r="AE1245" t="str">
        <f>IF([3]Entry!$C$1248="","",[3]Entry!$C$1248)</f>
        <v/>
      </c>
      <c r="AF1245" t="str">
        <f>IF([3]Entry!$D$1248="","",[3]Entry!$D$1248)</f>
        <v/>
      </c>
      <c r="AG1245" t="str">
        <f>IF([3]Entry!$E$1248="","",[3]Entry!$E$1248)</f>
        <v/>
      </c>
      <c r="AH1245" t="str">
        <f>IF([3]Entry!$G$1248="","",[3]Entry!$G$1248)</f>
        <v/>
      </c>
      <c r="AI1245" t="str">
        <f>IF([3]Entry!$K$1248="","",[3]Entry!$K$1248)</f>
        <v/>
      </c>
      <c r="AJ1245" t="str">
        <f>IF([3]Entry!$L$1248="","",[3]Entry!$L$1248)</f>
        <v/>
      </c>
      <c r="AK1245" t="str">
        <f>IF([3]Entry!$M$1248="","",[3]Entry!$M$1248)</f>
        <v/>
      </c>
      <c r="AL1245" t="str">
        <f>IF([3]Entry!$N$1248="","",[3]Entry!$N$1248)</f>
        <v/>
      </c>
      <c r="AM1245" t="str">
        <f>IF([3]Entry!$R$1248="","",[3]Entry!$R$1248)</f>
        <v/>
      </c>
    </row>
    <row r="1246" spans="20:39" x14ac:dyDescent="0.2">
      <c r="T1246" t="str">
        <f>IF([2]Baskol!$B$1249="","",[2]Baskol!$B$1249)</f>
        <v/>
      </c>
      <c r="U1246" t="str">
        <f>IF([2]Baskol!$C$1249="","",[2]Baskol!$C$1249)</f>
        <v/>
      </c>
      <c r="V1246" t="str">
        <f>IF([2]Baskol!$D$1249="","",[2]Baskol!$D$1249)</f>
        <v/>
      </c>
      <c r="W1246" t="str">
        <f>IF([2]Baskol!$E$1249="","",[2]Baskol!$E$1249)</f>
        <v/>
      </c>
      <c r="X1246" t="str">
        <f>IF([2]Baskol!$G$1249="","",[2]Baskol!$G$1249)</f>
        <v/>
      </c>
      <c r="Y1246" t="str">
        <f>IF([2]Baskol!$I$1249="","",[2]Baskol!$I$1249)</f>
        <v/>
      </c>
      <c r="Z1246" t="str">
        <f>IF([2]Baskol!$J$1249="","",[2]Baskol!$J$1249)</f>
        <v/>
      </c>
      <c r="AA1246" t="str">
        <f>IF([2]Baskol!$K$1249="","",[2]Baskol!$K$1249)</f>
        <v/>
      </c>
      <c r="AB1246" t="str">
        <f>IF([2]Baskol!$L$1249="","",[2]Baskol!$L$1249)</f>
        <v/>
      </c>
      <c r="AC1246" t="str">
        <f>IF([2]Baskol!$N$1249="","",[2]Baskol!$N$1249)</f>
        <v/>
      </c>
      <c r="AD1246" t="str">
        <f>IF([2]Baskol!$O$1249="","",[2]Baskol!$O$1249)</f>
        <v/>
      </c>
      <c r="AE1246" t="str">
        <f>IF([3]Entry!$C$1249="","",[3]Entry!$C$1249)</f>
        <v/>
      </c>
      <c r="AF1246" t="str">
        <f>IF([3]Entry!$D$1249="","",[3]Entry!$D$1249)</f>
        <v/>
      </c>
      <c r="AG1246" t="str">
        <f>IF([3]Entry!$E$1249="","",[3]Entry!$E$1249)</f>
        <v/>
      </c>
      <c r="AH1246" t="str">
        <f>IF([3]Entry!$G$1249="","",[3]Entry!$G$1249)</f>
        <v/>
      </c>
      <c r="AI1246" t="str">
        <f>IF([3]Entry!$K$1249="","",[3]Entry!$K$1249)</f>
        <v/>
      </c>
      <c r="AJ1246" t="str">
        <f>IF([3]Entry!$L$1249="","",[3]Entry!$L$1249)</f>
        <v/>
      </c>
      <c r="AK1246" t="str">
        <f>IF([3]Entry!$M$1249="","",[3]Entry!$M$1249)</f>
        <v/>
      </c>
      <c r="AL1246" t="str">
        <f>IF([3]Entry!$N$1249="","",[3]Entry!$N$1249)</f>
        <v/>
      </c>
      <c r="AM1246" t="str">
        <f>IF([3]Entry!$R$1249="","",[3]Entry!$R$1249)</f>
        <v/>
      </c>
    </row>
    <row r="1247" spans="20:39" x14ac:dyDescent="0.2">
      <c r="T1247" t="str">
        <f>IF([2]Baskol!$B$1250="","",[2]Baskol!$B$1250)</f>
        <v/>
      </c>
      <c r="U1247" t="str">
        <f>IF([2]Baskol!$C$1250="","",[2]Baskol!$C$1250)</f>
        <v/>
      </c>
      <c r="V1247" t="str">
        <f>IF([2]Baskol!$D$1250="","",[2]Baskol!$D$1250)</f>
        <v/>
      </c>
      <c r="W1247" t="str">
        <f>IF([2]Baskol!$E$1250="","",[2]Baskol!$E$1250)</f>
        <v/>
      </c>
      <c r="X1247" t="str">
        <f>IF([2]Baskol!$G$1250="","",[2]Baskol!$G$1250)</f>
        <v/>
      </c>
      <c r="Y1247" t="str">
        <f>IF([2]Baskol!$I$1250="","",[2]Baskol!$I$1250)</f>
        <v/>
      </c>
      <c r="Z1247" t="str">
        <f>IF([2]Baskol!$J$1250="","",[2]Baskol!$J$1250)</f>
        <v/>
      </c>
      <c r="AA1247" t="str">
        <f>IF([2]Baskol!$K$1250="","",[2]Baskol!$K$1250)</f>
        <v/>
      </c>
      <c r="AB1247" t="str">
        <f>IF([2]Baskol!$L$1250="","",[2]Baskol!$L$1250)</f>
        <v/>
      </c>
      <c r="AC1247" t="str">
        <f>IF([2]Baskol!$N$1250="","",[2]Baskol!$N$1250)</f>
        <v/>
      </c>
      <c r="AD1247" t="str">
        <f>IF([2]Baskol!$O$1250="","",[2]Baskol!$O$1250)</f>
        <v/>
      </c>
      <c r="AE1247" t="str">
        <f>IF([3]Entry!$C$1250="","",[3]Entry!$C$1250)</f>
        <v/>
      </c>
      <c r="AF1247" t="str">
        <f>IF([3]Entry!$D$1250="","",[3]Entry!$D$1250)</f>
        <v/>
      </c>
      <c r="AG1247" t="str">
        <f>IF([3]Entry!$E$1250="","",[3]Entry!$E$1250)</f>
        <v/>
      </c>
      <c r="AH1247" t="str">
        <f>IF([3]Entry!$G$1250="","",[3]Entry!$G$1250)</f>
        <v/>
      </c>
      <c r="AI1247" t="str">
        <f>IF([3]Entry!$K$1250="","",[3]Entry!$K$1250)</f>
        <v/>
      </c>
      <c r="AJ1247" t="str">
        <f>IF([3]Entry!$L$1250="","",[3]Entry!$L$1250)</f>
        <v/>
      </c>
      <c r="AK1247" t="str">
        <f>IF([3]Entry!$M$1250="","",[3]Entry!$M$1250)</f>
        <v/>
      </c>
      <c r="AL1247" t="str">
        <f>IF([3]Entry!$N$1250="","",[3]Entry!$N$1250)</f>
        <v/>
      </c>
      <c r="AM1247" t="str">
        <f>IF([3]Entry!$R$1250="","",[3]Entry!$R$1250)</f>
        <v/>
      </c>
    </row>
    <row r="1248" spans="20:39" x14ac:dyDescent="0.2">
      <c r="T1248" t="str">
        <f>IF([2]Baskol!$B$1251="","",[2]Baskol!$B$1251)</f>
        <v/>
      </c>
      <c r="U1248" t="str">
        <f>IF([2]Baskol!$C$1251="","",[2]Baskol!$C$1251)</f>
        <v/>
      </c>
      <c r="V1248" t="str">
        <f>IF([2]Baskol!$D$1251="","",[2]Baskol!$D$1251)</f>
        <v/>
      </c>
      <c r="W1248" t="str">
        <f>IF([2]Baskol!$E$1251="","",[2]Baskol!$E$1251)</f>
        <v/>
      </c>
      <c r="X1248" t="str">
        <f>IF([2]Baskol!$G$1251="","",[2]Baskol!$G$1251)</f>
        <v/>
      </c>
      <c r="Y1248" t="str">
        <f>IF([2]Baskol!$I$1251="","",[2]Baskol!$I$1251)</f>
        <v/>
      </c>
      <c r="Z1248" t="str">
        <f>IF([2]Baskol!$J$1251="","",[2]Baskol!$J$1251)</f>
        <v/>
      </c>
      <c r="AA1248" t="str">
        <f>IF([2]Baskol!$K$1251="","",[2]Baskol!$K$1251)</f>
        <v/>
      </c>
      <c r="AB1248" t="str">
        <f>IF([2]Baskol!$L$1251="","",[2]Baskol!$L$1251)</f>
        <v/>
      </c>
      <c r="AC1248" t="str">
        <f>IF([2]Baskol!$N$1251="","",[2]Baskol!$N$1251)</f>
        <v/>
      </c>
      <c r="AD1248" t="str">
        <f>IF([2]Baskol!$O$1251="","",[2]Baskol!$O$1251)</f>
        <v/>
      </c>
      <c r="AE1248" t="str">
        <f>IF([3]Entry!$C$1251="","",[3]Entry!$C$1251)</f>
        <v/>
      </c>
      <c r="AF1248" t="str">
        <f>IF([3]Entry!$D$1251="","",[3]Entry!$D$1251)</f>
        <v/>
      </c>
      <c r="AG1248" t="str">
        <f>IF([3]Entry!$E$1251="","",[3]Entry!$E$1251)</f>
        <v/>
      </c>
      <c r="AH1248" t="str">
        <f>IF([3]Entry!$G$1251="","",[3]Entry!$G$1251)</f>
        <v/>
      </c>
      <c r="AI1248" t="str">
        <f>IF([3]Entry!$K$1251="","",[3]Entry!$K$1251)</f>
        <v/>
      </c>
      <c r="AJ1248" t="str">
        <f>IF([3]Entry!$L$1251="","",[3]Entry!$L$1251)</f>
        <v/>
      </c>
      <c r="AK1248" t="str">
        <f>IF([3]Entry!$M$1251="","",[3]Entry!$M$1251)</f>
        <v/>
      </c>
      <c r="AL1248" t="str">
        <f>IF([3]Entry!$N$1251="","",[3]Entry!$N$1251)</f>
        <v/>
      </c>
      <c r="AM1248" t="str">
        <f>IF([3]Entry!$R$1251="","",[3]Entry!$R$1251)</f>
        <v/>
      </c>
    </row>
    <row r="1249" spans="20:39" x14ac:dyDescent="0.2">
      <c r="T1249" t="str">
        <f>IF([2]Baskol!$B$1252="","",[2]Baskol!$B$1252)</f>
        <v/>
      </c>
      <c r="U1249" t="str">
        <f>IF([2]Baskol!$C$1252="","",[2]Baskol!$C$1252)</f>
        <v/>
      </c>
      <c r="V1249" t="str">
        <f>IF([2]Baskol!$D$1252="","",[2]Baskol!$D$1252)</f>
        <v/>
      </c>
      <c r="W1249" t="str">
        <f>IF([2]Baskol!$E$1252="","",[2]Baskol!$E$1252)</f>
        <v/>
      </c>
      <c r="X1249" t="str">
        <f>IF([2]Baskol!$G$1252="","",[2]Baskol!$G$1252)</f>
        <v/>
      </c>
      <c r="Y1249" t="str">
        <f>IF([2]Baskol!$I$1252="","",[2]Baskol!$I$1252)</f>
        <v/>
      </c>
      <c r="Z1249" t="str">
        <f>IF([2]Baskol!$J$1252="","",[2]Baskol!$J$1252)</f>
        <v/>
      </c>
      <c r="AA1249" t="str">
        <f>IF([2]Baskol!$K$1252="","",[2]Baskol!$K$1252)</f>
        <v/>
      </c>
      <c r="AB1249" t="str">
        <f>IF([2]Baskol!$L$1252="","",[2]Baskol!$L$1252)</f>
        <v/>
      </c>
      <c r="AC1249" t="str">
        <f>IF([2]Baskol!$N$1252="","",[2]Baskol!$N$1252)</f>
        <v/>
      </c>
      <c r="AD1249" t="str">
        <f>IF([2]Baskol!$O$1252="","",[2]Baskol!$O$1252)</f>
        <v/>
      </c>
      <c r="AE1249" t="str">
        <f>IF([3]Entry!$C$1252="","",[3]Entry!$C$1252)</f>
        <v/>
      </c>
      <c r="AF1249" t="str">
        <f>IF([3]Entry!$D$1252="","",[3]Entry!$D$1252)</f>
        <v/>
      </c>
      <c r="AG1249" t="str">
        <f>IF([3]Entry!$E$1252="","",[3]Entry!$E$1252)</f>
        <v/>
      </c>
      <c r="AH1249" t="str">
        <f>IF([3]Entry!$G$1252="","",[3]Entry!$G$1252)</f>
        <v/>
      </c>
      <c r="AI1249" t="str">
        <f>IF([3]Entry!$K$1252="","",[3]Entry!$K$1252)</f>
        <v/>
      </c>
      <c r="AJ1249" t="str">
        <f>IF([3]Entry!$L$1252="","",[3]Entry!$L$1252)</f>
        <v/>
      </c>
      <c r="AK1249" t="str">
        <f>IF([3]Entry!$M$1252="","",[3]Entry!$M$1252)</f>
        <v/>
      </c>
      <c r="AL1249" t="str">
        <f>IF([3]Entry!$N$1252="","",[3]Entry!$N$1252)</f>
        <v/>
      </c>
      <c r="AM1249" t="str">
        <f>IF([3]Entry!$R$1252="","",[3]Entry!$R$1252)</f>
        <v/>
      </c>
    </row>
    <row r="1250" spans="20:39" x14ac:dyDescent="0.2">
      <c r="T1250" t="str">
        <f>IF([2]Baskol!$B$1253="","",[2]Baskol!$B$1253)</f>
        <v/>
      </c>
      <c r="U1250" t="str">
        <f>IF([2]Baskol!$C$1253="","",[2]Baskol!$C$1253)</f>
        <v/>
      </c>
      <c r="V1250" t="str">
        <f>IF([2]Baskol!$D$1253="","",[2]Baskol!$D$1253)</f>
        <v/>
      </c>
      <c r="W1250" t="str">
        <f>IF([2]Baskol!$E$1253="","",[2]Baskol!$E$1253)</f>
        <v/>
      </c>
      <c r="X1250" t="str">
        <f>IF([2]Baskol!$G$1253="","",[2]Baskol!$G$1253)</f>
        <v/>
      </c>
      <c r="Y1250" t="str">
        <f>IF([2]Baskol!$I$1253="","",[2]Baskol!$I$1253)</f>
        <v/>
      </c>
      <c r="Z1250" t="str">
        <f>IF([2]Baskol!$J$1253="","",[2]Baskol!$J$1253)</f>
        <v/>
      </c>
      <c r="AA1250" t="str">
        <f>IF([2]Baskol!$K$1253="","",[2]Baskol!$K$1253)</f>
        <v/>
      </c>
      <c r="AB1250" t="str">
        <f>IF([2]Baskol!$L$1253="","",[2]Baskol!$L$1253)</f>
        <v/>
      </c>
      <c r="AC1250" t="str">
        <f>IF([2]Baskol!$N$1253="","",[2]Baskol!$N$1253)</f>
        <v/>
      </c>
      <c r="AD1250" t="str">
        <f>IF([2]Baskol!$O$1253="","",[2]Baskol!$O$1253)</f>
        <v/>
      </c>
      <c r="AE1250" t="str">
        <f>IF([3]Entry!$C$1253="","",[3]Entry!$C$1253)</f>
        <v/>
      </c>
      <c r="AF1250" t="str">
        <f>IF([3]Entry!$D$1253="","",[3]Entry!$D$1253)</f>
        <v/>
      </c>
      <c r="AG1250" t="str">
        <f>IF([3]Entry!$E$1253="","",[3]Entry!$E$1253)</f>
        <v/>
      </c>
      <c r="AH1250" t="str">
        <f>IF([3]Entry!$G$1253="","",[3]Entry!$G$1253)</f>
        <v/>
      </c>
      <c r="AI1250" t="str">
        <f>IF([3]Entry!$K$1253="","",[3]Entry!$K$1253)</f>
        <v/>
      </c>
      <c r="AJ1250" t="str">
        <f>IF([3]Entry!$L$1253="","",[3]Entry!$L$1253)</f>
        <v/>
      </c>
      <c r="AK1250" t="str">
        <f>IF([3]Entry!$M$1253="","",[3]Entry!$M$1253)</f>
        <v/>
      </c>
      <c r="AL1250" t="str">
        <f>IF([3]Entry!$N$1253="","",[3]Entry!$N$1253)</f>
        <v/>
      </c>
      <c r="AM1250" t="str">
        <f>IF([3]Entry!$R$1253="","",[3]Entry!$R$1253)</f>
        <v/>
      </c>
    </row>
    <row r="1251" spans="20:39" x14ac:dyDescent="0.2">
      <c r="T1251" t="str">
        <f>IF([2]Baskol!$B$1254="","",[2]Baskol!$B$1254)</f>
        <v/>
      </c>
      <c r="U1251" t="str">
        <f>IF([2]Baskol!$C$1254="","",[2]Baskol!$C$1254)</f>
        <v/>
      </c>
      <c r="V1251" t="str">
        <f>IF([2]Baskol!$D$1254="","",[2]Baskol!$D$1254)</f>
        <v/>
      </c>
      <c r="W1251" t="str">
        <f>IF([2]Baskol!$E$1254="","",[2]Baskol!$E$1254)</f>
        <v/>
      </c>
      <c r="X1251" t="str">
        <f>IF([2]Baskol!$G$1254="","",[2]Baskol!$G$1254)</f>
        <v/>
      </c>
      <c r="Y1251" t="str">
        <f>IF([2]Baskol!$I$1254="","",[2]Baskol!$I$1254)</f>
        <v/>
      </c>
      <c r="Z1251" t="str">
        <f>IF([2]Baskol!$J$1254="","",[2]Baskol!$J$1254)</f>
        <v/>
      </c>
      <c r="AA1251" t="str">
        <f>IF([2]Baskol!$K$1254="","",[2]Baskol!$K$1254)</f>
        <v/>
      </c>
      <c r="AB1251" t="str">
        <f>IF([2]Baskol!$L$1254="","",[2]Baskol!$L$1254)</f>
        <v/>
      </c>
      <c r="AC1251" t="str">
        <f>IF([2]Baskol!$N$1254="","",[2]Baskol!$N$1254)</f>
        <v/>
      </c>
      <c r="AD1251" t="str">
        <f>IF([2]Baskol!$O$1254="","",[2]Baskol!$O$1254)</f>
        <v/>
      </c>
      <c r="AE1251" t="str">
        <f>IF([3]Entry!$C$1254="","",[3]Entry!$C$1254)</f>
        <v/>
      </c>
      <c r="AF1251" t="str">
        <f>IF([3]Entry!$D$1254="","",[3]Entry!$D$1254)</f>
        <v/>
      </c>
      <c r="AG1251" t="str">
        <f>IF([3]Entry!$E$1254="","",[3]Entry!$E$1254)</f>
        <v/>
      </c>
      <c r="AH1251" t="str">
        <f>IF([3]Entry!$G$1254="","",[3]Entry!$G$1254)</f>
        <v/>
      </c>
      <c r="AI1251" t="str">
        <f>IF([3]Entry!$K$1254="","",[3]Entry!$K$1254)</f>
        <v/>
      </c>
      <c r="AJ1251" t="str">
        <f>IF([3]Entry!$L$1254="","",[3]Entry!$L$1254)</f>
        <v/>
      </c>
      <c r="AK1251" t="str">
        <f>IF([3]Entry!$M$1254="","",[3]Entry!$M$1254)</f>
        <v/>
      </c>
      <c r="AL1251" t="str">
        <f>IF([3]Entry!$N$1254="","",[3]Entry!$N$1254)</f>
        <v/>
      </c>
      <c r="AM1251" t="str">
        <f>IF([3]Entry!$R$1254="","",[3]Entry!$R$1254)</f>
        <v/>
      </c>
    </row>
    <row r="1252" spans="20:39" x14ac:dyDescent="0.2">
      <c r="T1252" t="str">
        <f>IF([2]Baskol!$B$1255="","",[2]Baskol!$B$1255)</f>
        <v/>
      </c>
      <c r="U1252" t="str">
        <f>IF([2]Baskol!$C$1255="","",[2]Baskol!$C$1255)</f>
        <v/>
      </c>
      <c r="V1252" t="str">
        <f>IF([2]Baskol!$D$1255="","",[2]Baskol!$D$1255)</f>
        <v/>
      </c>
      <c r="W1252" t="str">
        <f>IF([2]Baskol!$E$1255="","",[2]Baskol!$E$1255)</f>
        <v/>
      </c>
      <c r="X1252" t="str">
        <f>IF([2]Baskol!$G$1255="","",[2]Baskol!$G$1255)</f>
        <v/>
      </c>
      <c r="Y1252" t="str">
        <f>IF([2]Baskol!$I$1255="","",[2]Baskol!$I$1255)</f>
        <v/>
      </c>
      <c r="Z1252" t="str">
        <f>IF([2]Baskol!$J$1255="","",[2]Baskol!$J$1255)</f>
        <v/>
      </c>
      <c r="AA1252" t="str">
        <f>IF([2]Baskol!$K$1255="","",[2]Baskol!$K$1255)</f>
        <v/>
      </c>
      <c r="AB1252" t="str">
        <f>IF([2]Baskol!$L$1255="","",[2]Baskol!$L$1255)</f>
        <v/>
      </c>
      <c r="AC1252" t="str">
        <f>IF([2]Baskol!$N$1255="","",[2]Baskol!$N$1255)</f>
        <v/>
      </c>
      <c r="AD1252" t="str">
        <f>IF([2]Baskol!$O$1255="","",[2]Baskol!$O$1255)</f>
        <v/>
      </c>
      <c r="AE1252" t="str">
        <f>IF([3]Entry!$C$1255="","",[3]Entry!$C$1255)</f>
        <v/>
      </c>
      <c r="AF1252" t="str">
        <f>IF([3]Entry!$D$1255="","",[3]Entry!$D$1255)</f>
        <v/>
      </c>
      <c r="AG1252" t="str">
        <f>IF([3]Entry!$E$1255="","",[3]Entry!$E$1255)</f>
        <v/>
      </c>
      <c r="AH1252" t="str">
        <f>IF([3]Entry!$G$1255="","",[3]Entry!$G$1255)</f>
        <v/>
      </c>
      <c r="AI1252" t="str">
        <f>IF([3]Entry!$K$1255="","",[3]Entry!$K$1255)</f>
        <v/>
      </c>
      <c r="AJ1252" t="str">
        <f>IF([3]Entry!$L$1255="","",[3]Entry!$L$1255)</f>
        <v/>
      </c>
      <c r="AK1252" t="str">
        <f>IF([3]Entry!$M$1255="","",[3]Entry!$M$1255)</f>
        <v/>
      </c>
      <c r="AL1252" t="str">
        <f>IF([3]Entry!$N$1255="","",[3]Entry!$N$1255)</f>
        <v/>
      </c>
      <c r="AM1252" t="str">
        <f>IF([3]Entry!$R$1255="","",[3]Entry!$R$1255)</f>
        <v/>
      </c>
    </row>
    <row r="1253" spans="20:39" x14ac:dyDescent="0.2">
      <c r="T1253" t="str">
        <f>IF([2]Baskol!$B$1256="","",[2]Baskol!$B$1256)</f>
        <v/>
      </c>
      <c r="U1253" t="str">
        <f>IF([2]Baskol!$C$1256="","",[2]Baskol!$C$1256)</f>
        <v/>
      </c>
      <c r="V1253" t="str">
        <f>IF([2]Baskol!$D$1256="","",[2]Baskol!$D$1256)</f>
        <v/>
      </c>
      <c r="W1253" t="str">
        <f>IF([2]Baskol!$E$1256="","",[2]Baskol!$E$1256)</f>
        <v/>
      </c>
      <c r="X1253" t="str">
        <f>IF([2]Baskol!$G$1256="","",[2]Baskol!$G$1256)</f>
        <v/>
      </c>
      <c r="Y1253" t="str">
        <f>IF([2]Baskol!$I$1256="","",[2]Baskol!$I$1256)</f>
        <v/>
      </c>
      <c r="Z1253" t="str">
        <f>IF([2]Baskol!$J$1256="","",[2]Baskol!$J$1256)</f>
        <v/>
      </c>
      <c r="AA1253" t="str">
        <f>IF([2]Baskol!$K$1256="","",[2]Baskol!$K$1256)</f>
        <v/>
      </c>
      <c r="AB1253" t="str">
        <f>IF([2]Baskol!$L$1256="","",[2]Baskol!$L$1256)</f>
        <v/>
      </c>
      <c r="AC1253" t="str">
        <f>IF([2]Baskol!$N$1256="","",[2]Baskol!$N$1256)</f>
        <v/>
      </c>
      <c r="AD1253" t="str">
        <f>IF([2]Baskol!$O$1256="","",[2]Baskol!$O$1256)</f>
        <v/>
      </c>
      <c r="AE1253" t="str">
        <f>IF([3]Entry!$C$1256="","",[3]Entry!$C$1256)</f>
        <v/>
      </c>
      <c r="AF1253" t="str">
        <f>IF([3]Entry!$D$1256="","",[3]Entry!$D$1256)</f>
        <v/>
      </c>
      <c r="AG1253" t="str">
        <f>IF([3]Entry!$E$1256="","",[3]Entry!$E$1256)</f>
        <v/>
      </c>
      <c r="AH1253" t="str">
        <f>IF([3]Entry!$G$1256="","",[3]Entry!$G$1256)</f>
        <v/>
      </c>
      <c r="AI1253" t="str">
        <f>IF([3]Entry!$K$1256="","",[3]Entry!$K$1256)</f>
        <v/>
      </c>
      <c r="AJ1253" t="str">
        <f>IF([3]Entry!$L$1256="","",[3]Entry!$L$1256)</f>
        <v/>
      </c>
      <c r="AK1253" t="str">
        <f>IF([3]Entry!$M$1256="","",[3]Entry!$M$1256)</f>
        <v/>
      </c>
      <c r="AL1253" t="str">
        <f>IF([3]Entry!$N$1256="","",[3]Entry!$N$1256)</f>
        <v/>
      </c>
      <c r="AM1253" t="str">
        <f>IF([3]Entry!$R$1256="","",[3]Entry!$R$1256)</f>
        <v/>
      </c>
    </row>
    <row r="1254" spans="20:39" x14ac:dyDescent="0.2">
      <c r="T1254" t="str">
        <f>IF([2]Baskol!$B$1257="","",[2]Baskol!$B$1257)</f>
        <v/>
      </c>
      <c r="U1254" t="str">
        <f>IF([2]Baskol!$C$1257="","",[2]Baskol!$C$1257)</f>
        <v/>
      </c>
      <c r="V1254" t="str">
        <f>IF([2]Baskol!$D$1257="","",[2]Baskol!$D$1257)</f>
        <v/>
      </c>
      <c r="W1254" t="str">
        <f>IF([2]Baskol!$E$1257="","",[2]Baskol!$E$1257)</f>
        <v/>
      </c>
      <c r="X1254" t="str">
        <f>IF([2]Baskol!$G$1257="","",[2]Baskol!$G$1257)</f>
        <v/>
      </c>
      <c r="Y1254" t="str">
        <f>IF([2]Baskol!$I$1257="","",[2]Baskol!$I$1257)</f>
        <v/>
      </c>
      <c r="Z1254" t="str">
        <f>IF([2]Baskol!$J$1257="","",[2]Baskol!$J$1257)</f>
        <v/>
      </c>
      <c r="AA1254" t="str">
        <f>IF([2]Baskol!$K$1257="","",[2]Baskol!$K$1257)</f>
        <v/>
      </c>
      <c r="AB1254" t="str">
        <f>IF([2]Baskol!$L$1257="","",[2]Baskol!$L$1257)</f>
        <v/>
      </c>
      <c r="AC1254" t="str">
        <f>IF([2]Baskol!$N$1257="","",[2]Baskol!$N$1257)</f>
        <v/>
      </c>
      <c r="AD1254" t="str">
        <f>IF([2]Baskol!$O$1257="","",[2]Baskol!$O$1257)</f>
        <v/>
      </c>
      <c r="AE1254" t="str">
        <f>IF([3]Entry!$C$1257="","",[3]Entry!$C$1257)</f>
        <v/>
      </c>
      <c r="AF1254" t="str">
        <f>IF([3]Entry!$D$1257="","",[3]Entry!$D$1257)</f>
        <v/>
      </c>
      <c r="AG1254" t="str">
        <f>IF([3]Entry!$E$1257="","",[3]Entry!$E$1257)</f>
        <v/>
      </c>
      <c r="AH1254" t="str">
        <f>IF([3]Entry!$G$1257="","",[3]Entry!$G$1257)</f>
        <v/>
      </c>
      <c r="AI1254" t="str">
        <f>IF([3]Entry!$K$1257="","",[3]Entry!$K$1257)</f>
        <v/>
      </c>
      <c r="AJ1254" t="str">
        <f>IF([3]Entry!$L$1257="","",[3]Entry!$L$1257)</f>
        <v/>
      </c>
      <c r="AK1254" t="str">
        <f>IF([3]Entry!$M$1257="","",[3]Entry!$M$1257)</f>
        <v/>
      </c>
      <c r="AL1254" t="str">
        <f>IF([3]Entry!$N$1257="","",[3]Entry!$N$1257)</f>
        <v/>
      </c>
      <c r="AM1254" t="str">
        <f>IF([3]Entry!$R$1257="","",[3]Entry!$R$1257)</f>
        <v/>
      </c>
    </row>
    <row r="1255" spans="20:39" x14ac:dyDescent="0.2">
      <c r="T1255" t="str">
        <f>IF([2]Baskol!$B$1258="","",[2]Baskol!$B$1258)</f>
        <v/>
      </c>
      <c r="U1255" t="str">
        <f>IF([2]Baskol!$C$1258="","",[2]Baskol!$C$1258)</f>
        <v/>
      </c>
      <c r="V1255" t="str">
        <f>IF([2]Baskol!$D$1258="","",[2]Baskol!$D$1258)</f>
        <v/>
      </c>
      <c r="W1255" t="str">
        <f>IF([2]Baskol!$E$1258="","",[2]Baskol!$E$1258)</f>
        <v/>
      </c>
      <c r="X1255" t="str">
        <f>IF([2]Baskol!$G$1258="","",[2]Baskol!$G$1258)</f>
        <v/>
      </c>
      <c r="Y1255" t="str">
        <f>IF([2]Baskol!$I$1258="","",[2]Baskol!$I$1258)</f>
        <v/>
      </c>
      <c r="Z1255" t="str">
        <f>IF([2]Baskol!$J$1258="","",[2]Baskol!$J$1258)</f>
        <v/>
      </c>
      <c r="AA1255" t="str">
        <f>IF([2]Baskol!$K$1258="","",[2]Baskol!$K$1258)</f>
        <v/>
      </c>
      <c r="AB1255" t="str">
        <f>IF([2]Baskol!$L$1258="","",[2]Baskol!$L$1258)</f>
        <v/>
      </c>
      <c r="AC1255" t="str">
        <f>IF([2]Baskol!$N$1258="","",[2]Baskol!$N$1258)</f>
        <v/>
      </c>
      <c r="AD1255" t="str">
        <f>IF([2]Baskol!$O$1258="","",[2]Baskol!$O$1258)</f>
        <v/>
      </c>
      <c r="AE1255" t="str">
        <f>IF([3]Entry!$C$1258="","",[3]Entry!$C$1258)</f>
        <v/>
      </c>
      <c r="AF1255" t="str">
        <f>IF([3]Entry!$D$1258="","",[3]Entry!$D$1258)</f>
        <v/>
      </c>
      <c r="AG1255" t="str">
        <f>IF([3]Entry!$E$1258="","",[3]Entry!$E$1258)</f>
        <v/>
      </c>
      <c r="AH1255" t="str">
        <f>IF([3]Entry!$G$1258="","",[3]Entry!$G$1258)</f>
        <v/>
      </c>
      <c r="AI1255" t="str">
        <f>IF([3]Entry!$K$1258="","",[3]Entry!$K$1258)</f>
        <v/>
      </c>
      <c r="AJ1255" t="str">
        <f>IF([3]Entry!$L$1258="","",[3]Entry!$L$1258)</f>
        <v/>
      </c>
      <c r="AK1255" t="str">
        <f>IF([3]Entry!$M$1258="","",[3]Entry!$M$1258)</f>
        <v/>
      </c>
      <c r="AL1255" t="str">
        <f>IF([3]Entry!$N$1258="","",[3]Entry!$N$1258)</f>
        <v/>
      </c>
      <c r="AM1255" t="str">
        <f>IF([3]Entry!$R$1258="","",[3]Entry!$R$1258)</f>
        <v/>
      </c>
    </row>
    <row r="1256" spans="20:39" x14ac:dyDescent="0.2">
      <c r="T1256" t="str">
        <f>IF([2]Baskol!$B$1259="","",[2]Baskol!$B$1259)</f>
        <v/>
      </c>
      <c r="U1256" t="str">
        <f>IF([2]Baskol!$C$1259="","",[2]Baskol!$C$1259)</f>
        <v/>
      </c>
      <c r="V1256" t="str">
        <f>IF([2]Baskol!$D$1259="","",[2]Baskol!$D$1259)</f>
        <v/>
      </c>
      <c r="W1256" t="str">
        <f>IF([2]Baskol!$E$1259="","",[2]Baskol!$E$1259)</f>
        <v/>
      </c>
      <c r="X1256" t="str">
        <f>IF([2]Baskol!$G$1259="","",[2]Baskol!$G$1259)</f>
        <v/>
      </c>
      <c r="Y1256" t="str">
        <f>IF([2]Baskol!$I$1259="","",[2]Baskol!$I$1259)</f>
        <v/>
      </c>
      <c r="Z1256" t="str">
        <f>IF([2]Baskol!$J$1259="","",[2]Baskol!$J$1259)</f>
        <v/>
      </c>
      <c r="AA1256" t="str">
        <f>IF([2]Baskol!$K$1259="","",[2]Baskol!$K$1259)</f>
        <v/>
      </c>
      <c r="AB1256" t="str">
        <f>IF([2]Baskol!$L$1259="","",[2]Baskol!$L$1259)</f>
        <v/>
      </c>
      <c r="AC1256" t="str">
        <f>IF([2]Baskol!$N$1259="","",[2]Baskol!$N$1259)</f>
        <v/>
      </c>
      <c r="AD1256" t="str">
        <f>IF([2]Baskol!$O$1259="","",[2]Baskol!$O$1259)</f>
        <v/>
      </c>
      <c r="AE1256" t="str">
        <f>IF([3]Entry!$C$1259="","",[3]Entry!$C$1259)</f>
        <v/>
      </c>
      <c r="AF1256" t="str">
        <f>IF([3]Entry!$D$1259="","",[3]Entry!$D$1259)</f>
        <v/>
      </c>
      <c r="AG1256" t="str">
        <f>IF([3]Entry!$E$1259="","",[3]Entry!$E$1259)</f>
        <v/>
      </c>
      <c r="AH1256" t="str">
        <f>IF([3]Entry!$G$1259="","",[3]Entry!$G$1259)</f>
        <v/>
      </c>
      <c r="AI1256" t="str">
        <f>IF([3]Entry!$K$1259="","",[3]Entry!$K$1259)</f>
        <v/>
      </c>
      <c r="AJ1256" t="str">
        <f>IF([3]Entry!$L$1259="","",[3]Entry!$L$1259)</f>
        <v/>
      </c>
      <c r="AK1256" t="str">
        <f>IF([3]Entry!$M$1259="","",[3]Entry!$M$1259)</f>
        <v/>
      </c>
      <c r="AL1256" t="str">
        <f>IF([3]Entry!$N$1259="","",[3]Entry!$N$1259)</f>
        <v/>
      </c>
      <c r="AM1256" t="str">
        <f>IF([3]Entry!$R$1259="","",[3]Entry!$R$1259)</f>
        <v/>
      </c>
    </row>
    <row r="1257" spans="20:39" x14ac:dyDescent="0.2">
      <c r="T1257" t="str">
        <f>IF([2]Baskol!$B$1260="","",[2]Baskol!$B$1260)</f>
        <v/>
      </c>
      <c r="U1257" t="str">
        <f>IF([2]Baskol!$C$1260="","",[2]Baskol!$C$1260)</f>
        <v/>
      </c>
      <c r="V1257" t="str">
        <f>IF([2]Baskol!$D$1260="","",[2]Baskol!$D$1260)</f>
        <v/>
      </c>
      <c r="W1257" t="str">
        <f>IF([2]Baskol!$E$1260="","",[2]Baskol!$E$1260)</f>
        <v/>
      </c>
      <c r="X1257" t="str">
        <f>IF([2]Baskol!$G$1260="","",[2]Baskol!$G$1260)</f>
        <v/>
      </c>
      <c r="Y1257" t="str">
        <f>IF([2]Baskol!$I$1260="","",[2]Baskol!$I$1260)</f>
        <v/>
      </c>
      <c r="Z1257" t="str">
        <f>IF([2]Baskol!$J$1260="","",[2]Baskol!$J$1260)</f>
        <v/>
      </c>
      <c r="AA1257" t="str">
        <f>IF([2]Baskol!$K$1260="","",[2]Baskol!$K$1260)</f>
        <v/>
      </c>
      <c r="AB1257" t="str">
        <f>IF([2]Baskol!$L$1260="","",[2]Baskol!$L$1260)</f>
        <v/>
      </c>
      <c r="AC1257" t="str">
        <f>IF([2]Baskol!$N$1260="","",[2]Baskol!$N$1260)</f>
        <v/>
      </c>
      <c r="AD1257" t="str">
        <f>IF([2]Baskol!$O$1260="","",[2]Baskol!$O$1260)</f>
        <v/>
      </c>
      <c r="AE1257" t="str">
        <f>IF([3]Entry!$C$1260="","",[3]Entry!$C$1260)</f>
        <v/>
      </c>
      <c r="AF1257" t="str">
        <f>IF([3]Entry!$D$1260="","",[3]Entry!$D$1260)</f>
        <v/>
      </c>
      <c r="AG1257" t="str">
        <f>IF([3]Entry!$E$1260="","",[3]Entry!$E$1260)</f>
        <v/>
      </c>
      <c r="AH1257" t="str">
        <f>IF([3]Entry!$G$1260="","",[3]Entry!$G$1260)</f>
        <v/>
      </c>
      <c r="AI1257" t="str">
        <f>IF([3]Entry!$K$1260="","",[3]Entry!$K$1260)</f>
        <v/>
      </c>
      <c r="AJ1257" t="str">
        <f>IF([3]Entry!$L$1260="","",[3]Entry!$L$1260)</f>
        <v/>
      </c>
      <c r="AK1257" t="str">
        <f>IF([3]Entry!$M$1260="","",[3]Entry!$M$1260)</f>
        <v/>
      </c>
      <c r="AL1257" t="str">
        <f>IF([3]Entry!$N$1260="","",[3]Entry!$N$1260)</f>
        <v/>
      </c>
      <c r="AM1257" t="str">
        <f>IF([3]Entry!$R$1260="","",[3]Entry!$R$1260)</f>
        <v/>
      </c>
    </row>
    <row r="1258" spans="20:39" x14ac:dyDescent="0.2">
      <c r="T1258" t="str">
        <f>IF([2]Baskol!$B$1261="","",[2]Baskol!$B$1261)</f>
        <v/>
      </c>
      <c r="U1258" t="str">
        <f>IF([2]Baskol!$C$1261="","",[2]Baskol!$C$1261)</f>
        <v/>
      </c>
      <c r="V1258" t="str">
        <f>IF([2]Baskol!$D$1261="","",[2]Baskol!$D$1261)</f>
        <v/>
      </c>
      <c r="W1258" t="str">
        <f>IF([2]Baskol!$E$1261="","",[2]Baskol!$E$1261)</f>
        <v/>
      </c>
      <c r="X1258" t="str">
        <f>IF([2]Baskol!$G$1261="","",[2]Baskol!$G$1261)</f>
        <v/>
      </c>
      <c r="Y1258" t="str">
        <f>IF([2]Baskol!$I$1261="","",[2]Baskol!$I$1261)</f>
        <v/>
      </c>
      <c r="Z1258" t="str">
        <f>IF([2]Baskol!$J$1261="","",[2]Baskol!$J$1261)</f>
        <v/>
      </c>
      <c r="AA1258" t="str">
        <f>IF([2]Baskol!$K$1261="","",[2]Baskol!$K$1261)</f>
        <v/>
      </c>
      <c r="AB1258" t="str">
        <f>IF([2]Baskol!$L$1261="","",[2]Baskol!$L$1261)</f>
        <v/>
      </c>
      <c r="AC1258" t="str">
        <f>IF([2]Baskol!$N$1261="","",[2]Baskol!$N$1261)</f>
        <v/>
      </c>
      <c r="AD1258" t="str">
        <f>IF([2]Baskol!$O$1261="","",[2]Baskol!$O$1261)</f>
        <v/>
      </c>
      <c r="AE1258" t="str">
        <f>IF([3]Entry!$C$1261="","",[3]Entry!$C$1261)</f>
        <v/>
      </c>
      <c r="AF1258" t="str">
        <f>IF([3]Entry!$D$1261="","",[3]Entry!$D$1261)</f>
        <v/>
      </c>
      <c r="AG1258" t="str">
        <f>IF([3]Entry!$E$1261="","",[3]Entry!$E$1261)</f>
        <v/>
      </c>
      <c r="AH1258" t="str">
        <f>IF([3]Entry!$G$1261="","",[3]Entry!$G$1261)</f>
        <v/>
      </c>
      <c r="AI1258" t="str">
        <f>IF([3]Entry!$K$1261="","",[3]Entry!$K$1261)</f>
        <v/>
      </c>
      <c r="AJ1258" t="str">
        <f>IF([3]Entry!$L$1261="","",[3]Entry!$L$1261)</f>
        <v/>
      </c>
      <c r="AK1258" t="str">
        <f>IF([3]Entry!$M$1261="","",[3]Entry!$M$1261)</f>
        <v/>
      </c>
      <c r="AL1258" t="str">
        <f>IF([3]Entry!$N$1261="","",[3]Entry!$N$1261)</f>
        <v/>
      </c>
      <c r="AM1258" t="str">
        <f>IF([3]Entry!$R$1261="","",[3]Entry!$R$1261)</f>
        <v/>
      </c>
    </row>
    <row r="1259" spans="20:39" x14ac:dyDescent="0.2">
      <c r="T1259" t="str">
        <f>IF([2]Baskol!$B$1262="","",[2]Baskol!$B$1262)</f>
        <v/>
      </c>
      <c r="U1259" t="str">
        <f>IF([2]Baskol!$C$1262="","",[2]Baskol!$C$1262)</f>
        <v/>
      </c>
      <c r="V1259" t="str">
        <f>IF([2]Baskol!$D$1262="","",[2]Baskol!$D$1262)</f>
        <v/>
      </c>
      <c r="W1259" t="str">
        <f>IF([2]Baskol!$E$1262="","",[2]Baskol!$E$1262)</f>
        <v/>
      </c>
      <c r="X1259" t="str">
        <f>IF([2]Baskol!$G$1262="","",[2]Baskol!$G$1262)</f>
        <v/>
      </c>
      <c r="Y1259" t="str">
        <f>IF([2]Baskol!$I$1262="","",[2]Baskol!$I$1262)</f>
        <v/>
      </c>
      <c r="Z1259" t="str">
        <f>IF([2]Baskol!$J$1262="","",[2]Baskol!$J$1262)</f>
        <v/>
      </c>
      <c r="AA1259" t="str">
        <f>IF([2]Baskol!$K$1262="","",[2]Baskol!$K$1262)</f>
        <v/>
      </c>
      <c r="AB1259" t="str">
        <f>IF([2]Baskol!$L$1262="","",[2]Baskol!$L$1262)</f>
        <v/>
      </c>
      <c r="AC1259" t="str">
        <f>IF([2]Baskol!$N$1262="","",[2]Baskol!$N$1262)</f>
        <v/>
      </c>
      <c r="AD1259" t="str">
        <f>IF([2]Baskol!$O$1262="","",[2]Baskol!$O$1262)</f>
        <v/>
      </c>
      <c r="AE1259" t="str">
        <f>IF([3]Entry!$C$1262="","",[3]Entry!$C$1262)</f>
        <v/>
      </c>
      <c r="AF1259" t="str">
        <f>IF([3]Entry!$D$1262="","",[3]Entry!$D$1262)</f>
        <v/>
      </c>
      <c r="AG1259" t="str">
        <f>IF([3]Entry!$E$1262="","",[3]Entry!$E$1262)</f>
        <v/>
      </c>
      <c r="AH1259" t="str">
        <f>IF([3]Entry!$G$1262="","",[3]Entry!$G$1262)</f>
        <v/>
      </c>
      <c r="AI1259" t="str">
        <f>IF([3]Entry!$K$1262="","",[3]Entry!$K$1262)</f>
        <v/>
      </c>
      <c r="AJ1259" t="str">
        <f>IF([3]Entry!$L$1262="","",[3]Entry!$L$1262)</f>
        <v/>
      </c>
      <c r="AK1259" t="str">
        <f>IF([3]Entry!$M$1262="","",[3]Entry!$M$1262)</f>
        <v/>
      </c>
      <c r="AL1259" t="str">
        <f>IF([3]Entry!$N$1262="","",[3]Entry!$N$1262)</f>
        <v/>
      </c>
      <c r="AM1259" t="str">
        <f>IF([3]Entry!$R$1262="","",[3]Entry!$R$1262)</f>
        <v/>
      </c>
    </row>
    <row r="1260" spans="20:39" x14ac:dyDescent="0.2">
      <c r="T1260" t="str">
        <f>IF([2]Baskol!$B$1263="","",[2]Baskol!$B$1263)</f>
        <v/>
      </c>
      <c r="U1260" t="str">
        <f>IF([2]Baskol!$C$1263="","",[2]Baskol!$C$1263)</f>
        <v/>
      </c>
      <c r="V1260" t="str">
        <f>IF([2]Baskol!$D$1263="","",[2]Baskol!$D$1263)</f>
        <v/>
      </c>
      <c r="W1260" t="str">
        <f>IF([2]Baskol!$E$1263="","",[2]Baskol!$E$1263)</f>
        <v/>
      </c>
      <c r="X1260" t="str">
        <f>IF([2]Baskol!$G$1263="","",[2]Baskol!$G$1263)</f>
        <v/>
      </c>
      <c r="Y1260" t="str">
        <f>IF([2]Baskol!$I$1263="","",[2]Baskol!$I$1263)</f>
        <v/>
      </c>
      <c r="Z1260" t="str">
        <f>IF([2]Baskol!$J$1263="","",[2]Baskol!$J$1263)</f>
        <v/>
      </c>
      <c r="AA1260" t="str">
        <f>IF([2]Baskol!$K$1263="","",[2]Baskol!$K$1263)</f>
        <v/>
      </c>
      <c r="AB1260" t="str">
        <f>IF([2]Baskol!$L$1263="","",[2]Baskol!$L$1263)</f>
        <v/>
      </c>
      <c r="AC1260" t="str">
        <f>IF([2]Baskol!$N$1263="","",[2]Baskol!$N$1263)</f>
        <v/>
      </c>
      <c r="AD1260" t="str">
        <f>IF([2]Baskol!$O$1263="","",[2]Baskol!$O$1263)</f>
        <v/>
      </c>
      <c r="AE1260" t="str">
        <f>IF([3]Entry!$C$1263="","",[3]Entry!$C$1263)</f>
        <v/>
      </c>
      <c r="AF1260" t="str">
        <f>IF([3]Entry!$D$1263="","",[3]Entry!$D$1263)</f>
        <v/>
      </c>
      <c r="AG1260" t="str">
        <f>IF([3]Entry!$E$1263="","",[3]Entry!$E$1263)</f>
        <v/>
      </c>
      <c r="AH1260" t="str">
        <f>IF([3]Entry!$G$1263="","",[3]Entry!$G$1263)</f>
        <v/>
      </c>
      <c r="AI1260" t="str">
        <f>IF([3]Entry!$K$1263="","",[3]Entry!$K$1263)</f>
        <v/>
      </c>
      <c r="AJ1260" t="str">
        <f>IF([3]Entry!$L$1263="","",[3]Entry!$L$1263)</f>
        <v/>
      </c>
      <c r="AK1260" t="str">
        <f>IF([3]Entry!$M$1263="","",[3]Entry!$M$1263)</f>
        <v/>
      </c>
      <c r="AL1260" t="str">
        <f>IF([3]Entry!$N$1263="","",[3]Entry!$N$1263)</f>
        <v/>
      </c>
      <c r="AM1260" t="str">
        <f>IF([3]Entry!$R$1263="","",[3]Entry!$R$1263)</f>
        <v/>
      </c>
    </row>
    <row r="1261" spans="20:39" x14ac:dyDescent="0.2">
      <c r="T1261" t="str">
        <f>IF([2]Baskol!$B$1264="","",[2]Baskol!$B$1264)</f>
        <v/>
      </c>
      <c r="U1261" t="str">
        <f>IF([2]Baskol!$C$1264="","",[2]Baskol!$C$1264)</f>
        <v/>
      </c>
      <c r="V1261" t="str">
        <f>IF([2]Baskol!$D$1264="","",[2]Baskol!$D$1264)</f>
        <v/>
      </c>
      <c r="W1261" t="str">
        <f>IF([2]Baskol!$E$1264="","",[2]Baskol!$E$1264)</f>
        <v/>
      </c>
      <c r="X1261" t="str">
        <f>IF([2]Baskol!$G$1264="","",[2]Baskol!$G$1264)</f>
        <v/>
      </c>
      <c r="Y1261" t="str">
        <f>IF([2]Baskol!$I$1264="","",[2]Baskol!$I$1264)</f>
        <v/>
      </c>
      <c r="Z1261" t="str">
        <f>IF([2]Baskol!$J$1264="","",[2]Baskol!$J$1264)</f>
        <v/>
      </c>
      <c r="AA1261" t="str">
        <f>IF([2]Baskol!$K$1264="","",[2]Baskol!$K$1264)</f>
        <v/>
      </c>
      <c r="AB1261" t="str">
        <f>IF([2]Baskol!$L$1264="","",[2]Baskol!$L$1264)</f>
        <v/>
      </c>
      <c r="AC1261" t="str">
        <f>IF([2]Baskol!$N$1264="","",[2]Baskol!$N$1264)</f>
        <v/>
      </c>
      <c r="AD1261" t="str">
        <f>IF([2]Baskol!$O$1264="","",[2]Baskol!$O$1264)</f>
        <v/>
      </c>
      <c r="AE1261" t="str">
        <f>IF([3]Entry!$C$1264="","",[3]Entry!$C$1264)</f>
        <v/>
      </c>
      <c r="AF1261" t="str">
        <f>IF([3]Entry!$D$1264="","",[3]Entry!$D$1264)</f>
        <v/>
      </c>
      <c r="AG1261" t="str">
        <f>IF([3]Entry!$E$1264="","",[3]Entry!$E$1264)</f>
        <v/>
      </c>
      <c r="AH1261" t="str">
        <f>IF([3]Entry!$G$1264="","",[3]Entry!$G$1264)</f>
        <v/>
      </c>
      <c r="AI1261" t="str">
        <f>IF([3]Entry!$K$1264="","",[3]Entry!$K$1264)</f>
        <v/>
      </c>
      <c r="AJ1261" t="str">
        <f>IF([3]Entry!$L$1264="","",[3]Entry!$L$1264)</f>
        <v/>
      </c>
      <c r="AK1261" t="str">
        <f>IF([3]Entry!$M$1264="","",[3]Entry!$M$1264)</f>
        <v/>
      </c>
      <c r="AL1261" t="str">
        <f>IF([3]Entry!$N$1264="","",[3]Entry!$N$1264)</f>
        <v/>
      </c>
      <c r="AM1261" t="str">
        <f>IF([3]Entry!$R$1264="","",[3]Entry!$R$1264)</f>
        <v/>
      </c>
    </row>
    <row r="1262" spans="20:39" x14ac:dyDescent="0.2">
      <c r="T1262" t="str">
        <f>IF([2]Baskol!$B$1265="","",[2]Baskol!$B$1265)</f>
        <v/>
      </c>
      <c r="U1262" t="str">
        <f>IF([2]Baskol!$C$1265="","",[2]Baskol!$C$1265)</f>
        <v/>
      </c>
      <c r="V1262" t="str">
        <f>IF([2]Baskol!$D$1265="","",[2]Baskol!$D$1265)</f>
        <v/>
      </c>
      <c r="W1262" t="str">
        <f>IF([2]Baskol!$E$1265="","",[2]Baskol!$E$1265)</f>
        <v/>
      </c>
      <c r="X1262" t="str">
        <f>IF([2]Baskol!$G$1265="","",[2]Baskol!$G$1265)</f>
        <v/>
      </c>
      <c r="Y1262" t="str">
        <f>IF([2]Baskol!$I$1265="","",[2]Baskol!$I$1265)</f>
        <v/>
      </c>
      <c r="Z1262" t="str">
        <f>IF([2]Baskol!$J$1265="","",[2]Baskol!$J$1265)</f>
        <v/>
      </c>
      <c r="AA1262" t="str">
        <f>IF([2]Baskol!$K$1265="","",[2]Baskol!$K$1265)</f>
        <v/>
      </c>
      <c r="AB1262" t="str">
        <f>IF([2]Baskol!$L$1265="","",[2]Baskol!$L$1265)</f>
        <v/>
      </c>
      <c r="AC1262" t="str">
        <f>IF([2]Baskol!$N$1265="","",[2]Baskol!$N$1265)</f>
        <v/>
      </c>
      <c r="AD1262" t="str">
        <f>IF([2]Baskol!$O$1265="","",[2]Baskol!$O$1265)</f>
        <v/>
      </c>
      <c r="AE1262" t="str">
        <f>IF([3]Entry!$C$1265="","",[3]Entry!$C$1265)</f>
        <v/>
      </c>
      <c r="AF1262" t="str">
        <f>IF([3]Entry!$D$1265="","",[3]Entry!$D$1265)</f>
        <v/>
      </c>
      <c r="AG1262" t="str">
        <f>IF([3]Entry!$E$1265="","",[3]Entry!$E$1265)</f>
        <v/>
      </c>
      <c r="AH1262" t="str">
        <f>IF([3]Entry!$G$1265="","",[3]Entry!$G$1265)</f>
        <v/>
      </c>
      <c r="AI1262" t="str">
        <f>IF([3]Entry!$K$1265="","",[3]Entry!$K$1265)</f>
        <v/>
      </c>
      <c r="AJ1262" t="str">
        <f>IF([3]Entry!$L$1265="","",[3]Entry!$L$1265)</f>
        <v/>
      </c>
      <c r="AK1262" t="str">
        <f>IF([3]Entry!$M$1265="","",[3]Entry!$M$1265)</f>
        <v/>
      </c>
      <c r="AL1262" t="str">
        <f>IF([3]Entry!$N$1265="","",[3]Entry!$N$1265)</f>
        <v/>
      </c>
      <c r="AM1262" t="str">
        <f>IF([3]Entry!$R$1265="","",[3]Entry!$R$1265)</f>
        <v/>
      </c>
    </row>
    <row r="1263" spans="20:39" x14ac:dyDescent="0.2">
      <c r="T1263" t="str">
        <f>IF([2]Baskol!$B$1266="","",[2]Baskol!$B$1266)</f>
        <v/>
      </c>
      <c r="U1263" t="str">
        <f>IF([2]Baskol!$C$1266="","",[2]Baskol!$C$1266)</f>
        <v/>
      </c>
      <c r="V1263" t="str">
        <f>IF([2]Baskol!$D$1266="","",[2]Baskol!$D$1266)</f>
        <v/>
      </c>
      <c r="W1263" t="str">
        <f>IF([2]Baskol!$E$1266="","",[2]Baskol!$E$1266)</f>
        <v/>
      </c>
      <c r="X1263" t="str">
        <f>IF([2]Baskol!$G$1266="","",[2]Baskol!$G$1266)</f>
        <v/>
      </c>
      <c r="Y1263" t="str">
        <f>IF([2]Baskol!$I$1266="","",[2]Baskol!$I$1266)</f>
        <v/>
      </c>
      <c r="Z1263" t="str">
        <f>IF([2]Baskol!$J$1266="","",[2]Baskol!$J$1266)</f>
        <v/>
      </c>
      <c r="AA1263" t="str">
        <f>IF([2]Baskol!$K$1266="","",[2]Baskol!$K$1266)</f>
        <v/>
      </c>
      <c r="AB1263" t="str">
        <f>IF([2]Baskol!$L$1266="","",[2]Baskol!$L$1266)</f>
        <v/>
      </c>
      <c r="AC1263" t="str">
        <f>IF([2]Baskol!$N$1266="","",[2]Baskol!$N$1266)</f>
        <v/>
      </c>
      <c r="AD1263" t="str">
        <f>IF([2]Baskol!$O$1266="","",[2]Baskol!$O$1266)</f>
        <v/>
      </c>
      <c r="AE1263" t="str">
        <f>IF([3]Entry!$C$1266="","",[3]Entry!$C$1266)</f>
        <v/>
      </c>
      <c r="AF1263" t="str">
        <f>IF([3]Entry!$D$1266="","",[3]Entry!$D$1266)</f>
        <v/>
      </c>
      <c r="AG1263" t="str">
        <f>IF([3]Entry!$E$1266="","",[3]Entry!$E$1266)</f>
        <v/>
      </c>
      <c r="AH1263" t="str">
        <f>IF([3]Entry!$G$1266="","",[3]Entry!$G$1266)</f>
        <v/>
      </c>
      <c r="AI1263" t="str">
        <f>IF([3]Entry!$K$1266="","",[3]Entry!$K$1266)</f>
        <v/>
      </c>
      <c r="AJ1263" t="str">
        <f>IF([3]Entry!$L$1266="","",[3]Entry!$L$1266)</f>
        <v/>
      </c>
      <c r="AK1263" t="str">
        <f>IF([3]Entry!$M$1266="","",[3]Entry!$M$1266)</f>
        <v/>
      </c>
      <c r="AL1263" t="str">
        <f>IF([3]Entry!$N$1266="","",[3]Entry!$N$1266)</f>
        <v/>
      </c>
      <c r="AM1263" t="str">
        <f>IF([3]Entry!$R$1266="","",[3]Entry!$R$1266)</f>
        <v/>
      </c>
    </row>
    <row r="1264" spans="20:39" x14ac:dyDescent="0.2">
      <c r="T1264" t="str">
        <f>IF([2]Baskol!$B$1267="","",[2]Baskol!$B$1267)</f>
        <v/>
      </c>
      <c r="U1264" t="str">
        <f>IF([2]Baskol!$C$1267="","",[2]Baskol!$C$1267)</f>
        <v/>
      </c>
      <c r="V1264" t="str">
        <f>IF([2]Baskol!$D$1267="","",[2]Baskol!$D$1267)</f>
        <v/>
      </c>
      <c r="W1264" t="str">
        <f>IF([2]Baskol!$E$1267="","",[2]Baskol!$E$1267)</f>
        <v/>
      </c>
      <c r="X1264" t="str">
        <f>IF([2]Baskol!$G$1267="","",[2]Baskol!$G$1267)</f>
        <v/>
      </c>
      <c r="Y1264" t="str">
        <f>IF([2]Baskol!$I$1267="","",[2]Baskol!$I$1267)</f>
        <v/>
      </c>
      <c r="Z1264" t="str">
        <f>IF([2]Baskol!$J$1267="","",[2]Baskol!$J$1267)</f>
        <v/>
      </c>
      <c r="AA1264" t="str">
        <f>IF([2]Baskol!$K$1267="","",[2]Baskol!$K$1267)</f>
        <v/>
      </c>
      <c r="AB1264" t="str">
        <f>IF([2]Baskol!$L$1267="","",[2]Baskol!$L$1267)</f>
        <v/>
      </c>
      <c r="AC1264" t="str">
        <f>IF([2]Baskol!$N$1267="","",[2]Baskol!$N$1267)</f>
        <v/>
      </c>
      <c r="AD1264" t="str">
        <f>IF([2]Baskol!$O$1267="","",[2]Baskol!$O$1267)</f>
        <v/>
      </c>
      <c r="AE1264" t="str">
        <f>IF([3]Entry!$C$1267="","",[3]Entry!$C$1267)</f>
        <v/>
      </c>
      <c r="AF1264" t="str">
        <f>IF([3]Entry!$D$1267="","",[3]Entry!$D$1267)</f>
        <v/>
      </c>
      <c r="AG1264" t="str">
        <f>IF([3]Entry!$E$1267="","",[3]Entry!$E$1267)</f>
        <v/>
      </c>
      <c r="AH1264" t="str">
        <f>IF([3]Entry!$G$1267="","",[3]Entry!$G$1267)</f>
        <v/>
      </c>
      <c r="AI1264" t="str">
        <f>IF([3]Entry!$K$1267="","",[3]Entry!$K$1267)</f>
        <v/>
      </c>
      <c r="AJ1264" t="str">
        <f>IF([3]Entry!$L$1267="","",[3]Entry!$L$1267)</f>
        <v/>
      </c>
      <c r="AK1264" t="str">
        <f>IF([3]Entry!$M$1267="","",[3]Entry!$M$1267)</f>
        <v/>
      </c>
      <c r="AL1264" t="str">
        <f>IF([3]Entry!$N$1267="","",[3]Entry!$N$1267)</f>
        <v/>
      </c>
      <c r="AM1264" t="str">
        <f>IF([3]Entry!$R$1267="","",[3]Entry!$R$1267)</f>
        <v/>
      </c>
    </row>
    <row r="1265" spans="20:39" x14ac:dyDescent="0.2">
      <c r="T1265" t="str">
        <f>IF([2]Baskol!$B$1268="","",[2]Baskol!$B$1268)</f>
        <v/>
      </c>
      <c r="U1265" t="str">
        <f>IF([2]Baskol!$C$1268="","",[2]Baskol!$C$1268)</f>
        <v/>
      </c>
      <c r="V1265" t="str">
        <f>IF([2]Baskol!$D$1268="","",[2]Baskol!$D$1268)</f>
        <v/>
      </c>
      <c r="W1265" t="str">
        <f>IF([2]Baskol!$E$1268="","",[2]Baskol!$E$1268)</f>
        <v/>
      </c>
      <c r="X1265" t="str">
        <f>IF([2]Baskol!$G$1268="","",[2]Baskol!$G$1268)</f>
        <v/>
      </c>
      <c r="Y1265" t="str">
        <f>IF([2]Baskol!$I$1268="","",[2]Baskol!$I$1268)</f>
        <v/>
      </c>
      <c r="Z1265" t="str">
        <f>IF([2]Baskol!$J$1268="","",[2]Baskol!$J$1268)</f>
        <v/>
      </c>
      <c r="AA1265" t="str">
        <f>IF([2]Baskol!$K$1268="","",[2]Baskol!$K$1268)</f>
        <v/>
      </c>
      <c r="AB1265" t="str">
        <f>IF([2]Baskol!$L$1268="","",[2]Baskol!$L$1268)</f>
        <v/>
      </c>
      <c r="AC1265" t="str">
        <f>IF([2]Baskol!$N$1268="","",[2]Baskol!$N$1268)</f>
        <v/>
      </c>
      <c r="AD1265" t="str">
        <f>IF([2]Baskol!$O$1268="","",[2]Baskol!$O$1268)</f>
        <v/>
      </c>
      <c r="AE1265" t="str">
        <f>IF([3]Entry!$C$1268="","",[3]Entry!$C$1268)</f>
        <v/>
      </c>
      <c r="AF1265" t="str">
        <f>IF([3]Entry!$D$1268="","",[3]Entry!$D$1268)</f>
        <v/>
      </c>
      <c r="AG1265" t="str">
        <f>IF([3]Entry!$E$1268="","",[3]Entry!$E$1268)</f>
        <v/>
      </c>
      <c r="AH1265" t="str">
        <f>IF([3]Entry!$G$1268="","",[3]Entry!$G$1268)</f>
        <v/>
      </c>
      <c r="AI1265" t="str">
        <f>IF([3]Entry!$K$1268="","",[3]Entry!$K$1268)</f>
        <v/>
      </c>
      <c r="AJ1265" t="str">
        <f>IF([3]Entry!$L$1268="","",[3]Entry!$L$1268)</f>
        <v/>
      </c>
      <c r="AK1265" t="str">
        <f>IF([3]Entry!$M$1268="","",[3]Entry!$M$1268)</f>
        <v/>
      </c>
      <c r="AL1265" t="str">
        <f>IF([3]Entry!$N$1268="","",[3]Entry!$N$1268)</f>
        <v/>
      </c>
      <c r="AM1265" t="str">
        <f>IF([3]Entry!$R$1268="","",[3]Entry!$R$1268)</f>
        <v/>
      </c>
    </row>
    <row r="1266" spans="20:39" x14ac:dyDescent="0.2">
      <c r="T1266" t="str">
        <f>IF([2]Baskol!$B$1269="","",[2]Baskol!$B$1269)</f>
        <v/>
      </c>
      <c r="U1266" t="str">
        <f>IF([2]Baskol!$C$1269="","",[2]Baskol!$C$1269)</f>
        <v/>
      </c>
      <c r="V1266" t="str">
        <f>IF([2]Baskol!$D$1269="","",[2]Baskol!$D$1269)</f>
        <v/>
      </c>
      <c r="W1266" t="str">
        <f>IF([2]Baskol!$E$1269="","",[2]Baskol!$E$1269)</f>
        <v/>
      </c>
      <c r="X1266" t="str">
        <f>IF([2]Baskol!$G$1269="","",[2]Baskol!$G$1269)</f>
        <v/>
      </c>
      <c r="Y1266" t="str">
        <f>IF([2]Baskol!$I$1269="","",[2]Baskol!$I$1269)</f>
        <v/>
      </c>
      <c r="Z1266" t="str">
        <f>IF([2]Baskol!$J$1269="","",[2]Baskol!$J$1269)</f>
        <v/>
      </c>
      <c r="AA1266" t="str">
        <f>IF([2]Baskol!$K$1269="","",[2]Baskol!$K$1269)</f>
        <v/>
      </c>
      <c r="AB1266" t="str">
        <f>IF([2]Baskol!$L$1269="","",[2]Baskol!$L$1269)</f>
        <v/>
      </c>
      <c r="AC1266" t="str">
        <f>IF([2]Baskol!$N$1269="","",[2]Baskol!$N$1269)</f>
        <v/>
      </c>
      <c r="AD1266" t="str">
        <f>IF([2]Baskol!$O$1269="","",[2]Baskol!$O$1269)</f>
        <v/>
      </c>
      <c r="AE1266" t="str">
        <f>IF([3]Entry!$C$1269="","",[3]Entry!$C$1269)</f>
        <v/>
      </c>
      <c r="AF1266" t="str">
        <f>IF([3]Entry!$D$1269="","",[3]Entry!$D$1269)</f>
        <v/>
      </c>
      <c r="AG1266" t="str">
        <f>IF([3]Entry!$E$1269="","",[3]Entry!$E$1269)</f>
        <v/>
      </c>
      <c r="AH1266" t="str">
        <f>IF([3]Entry!$G$1269="","",[3]Entry!$G$1269)</f>
        <v/>
      </c>
      <c r="AI1266" t="str">
        <f>IF([3]Entry!$K$1269="","",[3]Entry!$K$1269)</f>
        <v/>
      </c>
      <c r="AJ1266" t="str">
        <f>IF([3]Entry!$L$1269="","",[3]Entry!$L$1269)</f>
        <v/>
      </c>
      <c r="AK1266" t="str">
        <f>IF([3]Entry!$M$1269="","",[3]Entry!$M$1269)</f>
        <v/>
      </c>
      <c r="AL1266" t="str">
        <f>IF([3]Entry!$N$1269="","",[3]Entry!$N$1269)</f>
        <v/>
      </c>
      <c r="AM1266" t="str">
        <f>IF([3]Entry!$R$1269="","",[3]Entry!$R$1269)</f>
        <v/>
      </c>
    </row>
    <row r="1267" spans="20:39" x14ac:dyDescent="0.2">
      <c r="T1267" t="str">
        <f>IF([2]Baskol!$B$1270="","",[2]Baskol!$B$1270)</f>
        <v/>
      </c>
      <c r="U1267" t="str">
        <f>IF([2]Baskol!$C$1270="","",[2]Baskol!$C$1270)</f>
        <v/>
      </c>
      <c r="V1267" t="str">
        <f>IF([2]Baskol!$D$1270="","",[2]Baskol!$D$1270)</f>
        <v/>
      </c>
      <c r="W1267" t="str">
        <f>IF([2]Baskol!$E$1270="","",[2]Baskol!$E$1270)</f>
        <v/>
      </c>
      <c r="X1267" t="str">
        <f>IF([2]Baskol!$G$1270="","",[2]Baskol!$G$1270)</f>
        <v/>
      </c>
      <c r="Y1267" t="str">
        <f>IF([2]Baskol!$I$1270="","",[2]Baskol!$I$1270)</f>
        <v/>
      </c>
      <c r="Z1267" t="str">
        <f>IF([2]Baskol!$J$1270="","",[2]Baskol!$J$1270)</f>
        <v/>
      </c>
      <c r="AA1267" t="str">
        <f>IF([2]Baskol!$K$1270="","",[2]Baskol!$K$1270)</f>
        <v/>
      </c>
      <c r="AB1267" t="str">
        <f>IF([2]Baskol!$L$1270="","",[2]Baskol!$L$1270)</f>
        <v/>
      </c>
      <c r="AC1267" t="str">
        <f>IF([2]Baskol!$N$1270="","",[2]Baskol!$N$1270)</f>
        <v/>
      </c>
      <c r="AD1267" t="str">
        <f>IF([2]Baskol!$O$1270="","",[2]Baskol!$O$1270)</f>
        <v/>
      </c>
      <c r="AE1267" t="str">
        <f>IF([3]Entry!$C$1270="","",[3]Entry!$C$1270)</f>
        <v/>
      </c>
      <c r="AF1267" t="str">
        <f>IF([3]Entry!$D$1270="","",[3]Entry!$D$1270)</f>
        <v/>
      </c>
      <c r="AG1267" t="str">
        <f>IF([3]Entry!$E$1270="","",[3]Entry!$E$1270)</f>
        <v/>
      </c>
      <c r="AH1267" t="str">
        <f>IF([3]Entry!$G$1270="","",[3]Entry!$G$1270)</f>
        <v/>
      </c>
      <c r="AI1267" t="str">
        <f>IF([3]Entry!$K$1270="","",[3]Entry!$K$1270)</f>
        <v/>
      </c>
      <c r="AJ1267" t="str">
        <f>IF([3]Entry!$L$1270="","",[3]Entry!$L$1270)</f>
        <v/>
      </c>
      <c r="AK1267" t="str">
        <f>IF([3]Entry!$M$1270="","",[3]Entry!$M$1270)</f>
        <v/>
      </c>
      <c r="AL1267" t="str">
        <f>IF([3]Entry!$N$1270="","",[3]Entry!$N$1270)</f>
        <v/>
      </c>
      <c r="AM1267" t="str">
        <f>IF([3]Entry!$R$1270="","",[3]Entry!$R$1270)</f>
        <v/>
      </c>
    </row>
    <row r="1268" spans="20:39" x14ac:dyDescent="0.2">
      <c r="T1268" t="str">
        <f>IF([2]Baskol!$B$1271="","",[2]Baskol!$B$1271)</f>
        <v/>
      </c>
      <c r="U1268" t="str">
        <f>IF([2]Baskol!$C$1271="","",[2]Baskol!$C$1271)</f>
        <v/>
      </c>
      <c r="V1268" t="str">
        <f>IF([2]Baskol!$D$1271="","",[2]Baskol!$D$1271)</f>
        <v/>
      </c>
      <c r="W1268" t="str">
        <f>IF([2]Baskol!$E$1271="","",[2]Baskol!$E$1271)</f>
        <v/>
      </c>
      <c r="X1268" t="str">
        <f>IF([2]Baskol!$G$1271="","",[2]Baskol!$G$1271)</f>
        <v/>
      </c>
      <c r="Y1268" t="str">
        <f>IF([2]Baskol!$I$1271="","",[2]Baskol!$I$1271)</f>
        <v/>
      </c>
      <c r="Z1268" t="str">
        <f>IF([2]Baskol!$J$1271="","",[2]Baskol!$J$1271)</f>
        <v/>
      </c>
      <c r="AA1268" t="str">
        <f>IF([2]Baskol!$K$1271="","",[2]Baskol!$K$1271)</f>
        <v/>
      </c>
      <c r="AB1268" t="str">
        <f>IF([2]Baskol!$L$1271="","",[2]Baskol!$L$1271)</f>
        <v/>
      </c>
      <c r="AC1268" t="str">
        <f>IF([2]Baskol!$N$1271="","",[2]Baskol!$N$1271)</f>
        <v/>
      </c>
      <c r="AD1268" t="str">
        <f>IF([2]Baskol!$O$1271="","",[2]Baskol!$O$1271)</f>
        <v/>
      </c>
      <c r="AE1268" t="str">
        <f>IF([3]Entry!$C$1271="","",[3]Entry!$C$1271)</f>
        <v/>
      </c>
      <c r="AF1268" t="str">
        <f>IF([3]Entry!$D$1271="","",[3]Entry!$D$1271)</f>
        <v/>
      </c>
      <c r="AG1268" t="str">
        <f>IF([3]Entry!$E$1271="","",[3]Entry!$E$1271)</f>
        <v/>
      </c>
      <c r="AH1268" t="str">
        <f>IF([3]Entry!$G$1271="","",[3]Entry!$G$1271)</f>
        <v/>
      </c>
      <c r="AI1268" t="str">
        <f>IF([3]Entry!$K$1271="","",[3]Entry!$K$1271)</f>
        <v/>
      </c>
      <c r="AJ1268" t="str">
        <f>IF([3]Entry!$L$1271="","",[3]Entry!$L$1271)</f>
        <v/>
      </c>
      <c r="AK1268" t="str">
        <f>IF([3]Entry!$M$1271="","",[3]Entry!$M$1271)</f>
        <v/>
      </c>
      <c r="AL1268" t="str">
        <f>IF([3]Entry!$N$1271="","",[3]Entry!$N$1271)</f>
        <v/>
      </c>
      <c r="AM1268" t="str">
        <f>IF([3]Entry!$R$1271="","",[3]Entry!$R$1271)</f>
        <v/>
      </c>
    </row>
    <row r="1269" spans="20:39" x14ac:dyDescent="0.2">
      <c r="T1269" t="str">
        <f>IF([2]Baskol!$B$1272="","",[2]Baskol!$B$1272)</f>
        <v/>
      </c>
      <c r="U1269" t="str">
        <f>IF([2]Baskol!$C$1272="","",[2]Baskol!$C$1272)</f>
        <v/>
      </c>
      <c r="V1269" t="str">
        <f>IF([2]Baskol!$D$1272="","",[2]Baskol!$D$1272)</f>
        <v/>
      </c>
      <c r="W1269" t="str">
        <f>IF([2]Baskol!$E$1272="","",[2]Baskol!$E$1272)</f>
        <v/>
      </c>
      <c r="X1269" t="str">
        <f>IF([2]Baskol!$G$1272="","",[2]Baskol!$G$1272)</f>
        <v/>
      </c>
      <c r="Y1269" t="str">
        <f>IF([2]Baskol!$I$1272="","",[2]Baskol!$I$1272)</f>
        <v/>
      </c>
      <c r="Z1269" t="str">
        <f>IF([2]Baskol!$J$1272="","",[2]Baskol!$J$1272)</f>
        <v/>
      </c>
      <c r="AA1269" t="str">
        <f>IF([2]Baskol!$K$1272="","",[2]Baskol!$K$1272)</f>
        <v/>
      </c>
      <c r="AB1269" t="str">
        <f>IF([2]Baskol!$L$1272="","",[2]Baskol!$L$1272)</f>
        <v/>
      </c>
      <c r="AC1269" t="str">
        <f>IF([2]Baskol!$N$1272="","",[2]Baskol!$N$1272)</f>
        <v/>
      </c>
      <c r="AD1269" t="str">
        <f>IF([2]Baskol!$O$1272="","",[2]Baskol!$O$1272)</f>
        <v/>
      </c>
      <c r="AE1269" t="str">
        <f>IF([3]Entry!$C$1272="","",[3]Entry!$C$1272)</f>
        <v/>
      </c>
      <c r="AF1269" t="str">
        <f>IF([3]Entry!$D$1272="","",[3]Entry!$D$1272)</f>
        <v/>
      </c>
      <c r="AG1269" t="str">
        <f>IF([3]Entry!$E$1272="","",[3]Entry!$E$1272)</f>
        <v/>
      </c>
      <c r="AH1269" t="str">
        <f>IF([3]Entry!$G$1272="","",[3]Entry!$G$1272)</f>
        <v/>
      </c>
      <c r="AI1269" t="str">
        <f>IF([3]Entry!$K$1272="","",[3]Entry!$K$1272)</f>
        <v/>
      </c>
      <c r="AJ1269" t="str">
        <f>IF([3]Entry!$L$1272="","",[3]Entry!$L$1272)</f>
        <v/>
      </c>
      <c r="AK1269" t="str">
        <f>IF([3]Entry!$M$1272="","",[3]Entry!$M$1272)</f>
        <v/>
      </c>
      <c r="AL1269" t="str">
        <f>IF([3]Entry!$N$1272="","",[3]Entry!$N$1272)</f>
        <v/>
      </c>
      <c r="AM1269" t="str">
        <f>IF([3]Entry!$R$1272="","",[3]Entry!$R$1272)</f>
        <v/>
      </c>
    </row>
    <row r="1270" spans="20:39" x14ac:dyDescent="0.2">
      <c r="T1270" t="str">
        <f>IF([2]Baskol!$B$1273="","",[2]Baskol!$B$1273)</f>
        <v/>
      </c>
      <c r="U1270" t="str">
        <f>IF([2]Baskol!$C$1273="","",[2]Baskol!$C$1273)</f>
        <v/>
      </c>
      <c r="V1270" t="str">
        <f>IF([2]Baskol!$D$1273="","",[2]Baskol!$D$1273)</f>
        <v/>
      </c>
      <c r="W1270" t="str">
        <f>IF([2]Baskol!$E$1273="","",[2]Baskol!$E$1273)</f>
        <v/>
      </c>
      <c r="X1270" t="str">
        <f>IF([2]Baskol!$G$1273="","",[2]Baskol!$G$1273)</f>
        <v/>
      </c>
      <c r="Y1270" t="str">
        <f>IF([2]Baskol!$I$1273="","",[2]Baskol!$I$1273)</f>
        <v/>
      </c>
      <c r="Z1270" t="str">
        <f>IF([2]Baskol!$J$1273="","",[2]Baskol!$J$1273)</f>
        <v/>
      </c>
      <c r="AA1270" t="str">
        <f>IF([2]Baskol!$K$1273="","",[2]Baskol!$K$1273)</f>
        <v/>
      </c>
      <c r="AB1270" t="str">
        <f>IF([2]Baskol!$L$1273="","",[2]Baskol!$L$1273)</f>
        <v/>
      </c>
      <c r="AC1270" t="str">
        <f>IF([2]Baskol!$N$1273="","",[2]Baskol!$N$1273)</f>
        <v/>
      </c>
      <c r="AD1270" t="str">
        <f>IF([2]Baskol!$O$1273="","",[2]Baskol!$O$1273)</f>
        <v/>
      </c>
      <c r="AE1270" t="str">
        <f>IF([3]Entry!$C$1273="","",[3]Entry!$C$1273)</f>
        <v/>
      </c>
      <c r="AF1270" t="str">
        <f>IF([3]Entry!$D$1273="","",[3]Entry!$D$1273)</f>
        <v/>
      </c>
      <c r="AG1270" t="str">
        <f>IF([3]Entry!$E$1273="","",[3]Entry!$E$1273)</f>
        <v/>
      </c>
      <c r="AH1270" t="str">
        <f>IF([3]Entry!$G$1273="","",[3]Entry!$G$1273)</f>
        <v/>
      </c>
      <c r="AI1270" t="str">
        <f>IF([3]Entry!$K$1273="","",[3]Entry!$K$1273)</f>
        <v/>
      </c>
      <c r="AJ1270" t="str">
        <f>IF([3]Entry!$L$1273="","",[3]Entry!$L$1273)</f>
        <v/>
      </c>
      <c r="AK1270" t="str">
        <f>IF([3]Entry!$M$1273="","",[3]Entry!$M$1273)</f>
        <v/>
      </c>
      <c r="AL1270" t="str">
        <f>IF([3]Entry!$N$1273="","",[3]Entry!$N$1273)</f>
        <v/>
      </c>
      <c r="AM1270" t="str">
        <f>IF([3]Entry!$R$1273="","",[3]Entry!$R$1273)</f>
        <v/>
      </c>
    </row>
    <row r="1271" spans="20:39" x14ac:dyDescent="0.2">
      <c r="T1271" t="str">
        <f>IF([2]Baskol!$B$1274="","",[2]Baskol!$B$1274)</f>
        <v/>
      </c>
      <c r="U1271" t="str">
        <f>IF([2]Baskol!$C$1274="","",[2]Baskol!$C$1274)</f>
        <v/>
      </c>
      <c r="V1271" t="str">
        <f>IF([2]Baskol!$D$1274="","",[2]Baskol!$D$1274)</f>
        <v/>
      </c>
      <c r="W1271" t="str">
        <f>IF([2]Baskol!$E$1274="","",[2]Baskol!$E$1274)</f>
        <v/>
      </c>
      <c r="X1271" t="str">
        <f>IF([2]Baskol!$G$1274="","",[2]Baskol!$G$1274)</f>
        <v/>
      </c>
      <c r="Y1271" t="str">
        <f>IF([2]Baskol!$I$1274="","",[2]Baskol!$I$1274)</f>
        <v/>
      </c>
      <c r="Z1271" t="str">
        <f>IF([2]Baskol!$J$1274="","",[2]Baskol!$J$1274)</f>
        <v/>
      </c>
      <c r="AA1271" t="str">
        <f>IF([2]Baskol!$K$1274="","",[2]Baskol!$K$1274)</f>
        <v/>
      </c>
      <c r="AB1271" t="str">
        <f>IF([2]Baskol!$L$1274="","",[2]Baskol!$L$1274)</f>
        <v/>
      </c>
      <c r="AC1271" t="str">
        <f>IF([2]Baskol!$N$1274="","",[2]Baskol!$N$1274)</f>
        <v/>
      </c>
      <c r="AD1271" t="str">
        <f>IF([2]Baskol!$O$1274="","",[2]Baskol!$O$1274)</f>
        <v/>
      </c>
      <c r="AE1271" t="str">
        <f>IF([3]Entry!$C$1274="","",[3]Entry!$C$1274)</f>
        <v/>
      </c>
      <c r="AF1271" t="str">
        <f>IF([3]Entry!$D$1274="","",[3]Entry!$D$1274)</f>
        <v/>
      </c>
      <c r="AG1271" t="str">
        <f>IF([3]Entry!$E$1274="","",[3]Entry!$E$1274)</f>
        <v/>
      </c>
      <c r="AH1271" t="str">
        <f>IF([3]Entry!$G$1274="","",[3]Entry!$G$1274)</f>
        <v/>
      </c>
      <c r="AI1271" t="str">
        <f>IF([3]Entry!$K$1274="","",[3]Entry!$K$1274)</f>
        <v/>
      </c>
      <c r="AJ1271" t="str">
        <f>IF([3]Entry!$L$1274="","",[3]Entry!$L$1274)</f>
        <v/>
      </c>
      <c r="AK1271" t="str">
        <f>IF([3]Entry!$M$1274="","",[3]Entry!$M$1274)</f>
        <v/>
      </c>
      <c r="AL1271" t="str">
        <f>IF([3]Entry!$N$1274="","",[3]Entry!$N$1274)</f>
        <v/>
      </c>
      <c r="AM1271" t="str">
        <f>IF([3]Entry!$R$1274="","",[3]Entry!$R$1274)</f>
        <v/>
      </c>
    </row>
    <row r="1272" spans="20:39" x14ac:dyDescent="0.2">
      <c r="T1272" t="str">
        <f>IF([2]Baskol!$B$1275="","",[2]Baskol!$B$1275)</f>
        <v/>
      </c>
      <c r="U1272" t="str">
        <f>IF([2]Baskol!$C$1275="","",[2]Baskol!$C$1275)</f>
        <v/>
      </c>
      <c r="V1272" t="str">
        <f>IF([2]Baskol!$D$1275="","",[2]Baskol!$D$1275)</f>
        <v/>
      </c>
      <c r="W1272" t="str">
        <f>IF([2]Baskol!$E$1275="","",[2]Baskol!$E$1275)</f>
        <v/>
      </c>
      <c r="X1272" t="str">
        <f>IF([2]Baskol!$G$1275="","",[2]Baskol!$G$1275)</f>
        <v/>
      </c>
      <c r="Y1272" t="str">
        <f>IF([2]Baskol!$I$1275="","",[2]Baskol!$I$1275)</f>
        <v/>
      </c>
      <c r="Z1272" t="str">
        <f>IF([2]Baskol!$J$1275="","",[2]Baskol!$J$1275)</f>
        <v/>
      </c>
      <c r="AA1272" t="str">
        <f>IF([2]Baskol!$K$1275="","",[2]Baskol!$K$1275)</f>
        <v/>
      </c>
      <c r="AB1272" t="str">
        <f>IF([2]Baskol!$L$1275="","",[2]Baskol!$L$1275)</f>
        <v/>
      </c>
      <c r="AC1272" t="str">
        <f>IF([2]Baskol!$N$1275="","",[2]Baskol!$N$1275)</f>
        <v/>
      </c>
      <c r="AD1272" t="str">
        <f>IF([2]Baskol!$O$1275="","",[2]Baskol!$O$1275)</f>
        <v/>
      </c>
      <c r="AE1272" t="str">
        <f>IF([3]Entry!$C$1275="","",[3]Entry!$C$1275)</f>
        <v/>
      </c>
      <c r="AF1272" t="str">
        <f>IF([3]Entry!$D$1275="","",[3]Entry!$D$1275)</f>
        <v/>
      </c>
      <c r="AG1272" t="str">
        <f>IF([3]Entry!$E$1275="","",[3]Entry!$E$1275)</f>
        <v/>
      </c>
      <c r="AH1272" t="str">
        <f>IF([3]Entry!$G$1275="","",[3]Entry!$G$1275)</f>
        <v/>
      </c>
      <c r="AI1272" t="str">
        <f>IF([3]Entry!$K$1275="","",[3]Entry!$K$1275)</f>
        <v/>
      </c>
      <c r="AJ1272" t="str">
        <f>IF([3]Entry!$L$1275="","",[3]Entry!$L$1275)</f>
        <v/>
      </c>
      <c r="AK1272" t="str">
        <f>IF([3]Entry!$M$1275="","",[3]Entry!$M$1275)</f>
        <v/>
      </c>
      <c r="AL1272" t="str">
        <f>IF([3]Entry!$N$1275="","",[3]Entry!$N$1275)</f>
        <v/>
      </c>
      <c r="AM1272" t="str">
        <f>IF([3]Entry!$R$1275="","",[3]Entry!$R$1275)</f>
        <v/>
      </c>
    </row>
    <row r="1273" spans="20:39" x14ac:dyDescent="0.2">
      <c r="T1273" t="str">
        <f>IF([2]Baskol!$B$1276="","",[2]Baskol!$B$1276)</f>
        <v/>
      </c>
      <c r="U1273" t="str">
        <f>IF([2]Baskol!$C$1276="","",[2]Baskol!$C$1276)</f>
        <v/>
      </c>
      <c r="V1273" t="str">
        <f>IF([2]Baskol!$D$1276="","",[2]Baskol!$D$1276)</f>
        <v/>
      </c>
      <c r="W1273" t="str">
        <f>IF([2]Baskol!$E$1276="","",[2]Baskol!$E$1276)</f>
        <v/>
      </c>
      <c r="X1273" t="str">
        <f>IF([2]Baskol!$G$1276="","",[2]Baskol!$G$1276)</f>
        <v/>
      </c>
      <c r="Y1273" t="str">
        <f>IF([2]Baskol!$I$1276="","",[2]Baskol!$I$1276)</f>
        <v/>
      </c>
      <c r="Z1273" t="str">
        <f>IF([2]Baskol!$J$1276="","",[2]Baskol!$J$1276)</f>
        <v/>
      </c>
      <c r="AA1273" t="str">
        <f>IF([2]Baskol!$K$1276="","",[2]Baskol!$K$1276)</f>
        <v/>
      </c>
      <c r="AB1273" t="str">
        <f>IF([2]Baskol!$L$1276="","",[2]Baskol!$L$1276)</f>
        <v/>
      </c>
      <c r="AC1273" t="str">
        <f>IF([2]Baskol!$N$1276="","",[2]Baskol!$N$1276)</f>
        <v/>
      </c>
      <c r="AD1273" t="str">
        <f>IF([2]Baskol!$O$1276="","",[2]Baskol!$O$1276)</f>
        <v/>
      </c>
      <c r="AE1273" t="str">
        <f>IF([3]Entry!$C$1276="","",[3]Entry!$C$1276)</f>
        <v/>
      </c>
      <c r="AF1273" t="str">
        <f>IF([3]Entry!$D$1276="","",[3]Entry!$D$1276)</f>
        <v/>
      </c>
      <c r="AG1273" t="str">
        <f>IF([3]Entry!$E$1276="","",[3]Entry!$E$1276)</f>
        <v/>
      </c>
      <c r="AH1273" t="str">
        <f>IF([3]Entry!$G$1276="","",[3]Entry!$G$1276)</f>
        <v/>
      </c>
      <c r="AI1273" t="str">
        <f>IF([3]Entry!$K$1276="","",[3]Entry!$K$1276)</f>
        <v/>
      </c>
      <c r="AJ1273" t="str">
        <f>IF([3]Entry!$L$1276="","",[3]Entry!$L$1276)</f>
        <v/>
      </c>
      <c r="AK1273" t="str">
        <f>IF([3]Entry!$M$1276="","",[3]Entry!$M$1276)</f>
        <v/>
      </c>
      <c r="AL1273" t="str">
        <f>IF([3]Entry!$N$1276="","",[3]Entry!$N$1276)</f>
        <v/>
      </c>
      <c r="AM1273" t="str">
        <f>IF([3]Entry!$R$1276="","",[3]Entry!$R$1276)</f>
        <v/>
      </c>
    </row>
    <row r="1274" spans="20:39" x14ac:dyDescent="0.2">
      <c r="T1274" t="str">
        <f>IF([2]Baskol!$B$1277="","",[2]Baskol!$B$1277)</f>
        <v/>
      </c>
      <c r="U1274" t="str">
        <f>IF([2]Baskol!$C$1277="","",[2]Baskol!$C$1277)</f>
        <v/>
      </c>
      <c r="V1274" t="str">
        <f>IF([2]Baskol!$D$1277="","",[2]Baskol!$D$1277)</f>
        <v/>
      </c>
      <c r="W1274" t="str">
        <f>IF([2]Baskol!$E$1277="","",[2]Baskol!$E$1277)</f>
        <v/>
      </c>
      <c r="X1274" t="str">
        <f>IF([2]Baskol!$G$1277="","",[2]Baskol!$G$1277)</f>
        <v/>
      </c>
      <c r="Y1274" t="str">
        <f>IF([2]Baskol!$I$1277="","",[2]Baskol!$I$1277)</f>
        <v/>
      </c>
      <c r="Z1274" t="str">
        <f>IF([2]Baskol!$J$1277="","",[2]Baskol!$J$1277)</f>
        <v/>
      </c>
      <c r="AA1274" t="str">
        <f>IF([2]Baskol!$K$1277="","",[2]Baskol!$K$1277)</f>
        <v/>
      </c>
      <c r="AB1274" t="str">
        <f>IF([2]Baskol!$L$1277="","",[2]Baskol!$L$1277)</f>
        <v/>
      </c>
      <c r="AC1274" t="str">
        <f>IF([2]Baskol!$N$1277="","",[2]Baskol!$N$1277)</f>
        <v/>
      </c>
      <c r="AD1274" t="str">
        <f>IF([2]Baskol!$O$1277="","",[2]Baskol!$O$1277)</f>
        <v/>
      </c>
      <c r="AE1274" t="str">
        <f>IF([3]Entry!$C$1277="","",[3]Entry!$C$1277)</f>
        <v/>
      </c>
      <c r="AF1274" t="str">
        <f>IF([3]Entry!$D$1277="","",[3]Entry!$D$1277)</f>
        <v/>
      </c>
      <c r="AG1274" t="str">
        <f>IF([3]Entry!$E$1277="","",[3]Entry!$E$1277)</f>
        <v/>
      </c>
      <c r="AH1274" t="str">
        <f>IF([3]Entry!$G$1277="","",[3]Entry!$G$1277)</f>
        <v/>
      </c>
      <c r="AI1274" t="str">
        <f>IF([3]Entry!$K$1277="","",[3]Entry!$K$1277)</f>
        <v/>
      </c>
      <c r="AJ1274" t="str">
        <f>IF([3]Entry!$L$1277="","",[3]Entry!$L$1277)</f>
        <v/>
      </c>
      <c r="AK1274" t="str">
        <f>IF([3]Entry!$M$1277="","",[3]Entry!$M$1277)</f>
        <v/>
      </c>
      <c r="AL1274" t="str">
        <f>IF([3]Entry!$N$1277="","",[3]Entry!$N$1277)</f>
        <v/>
      </c>
      <c r="AM1274" t="str">
        <f>IF([3]Entry!$R$1277="","",[3]Entry!$R$1277)</f>
        <v/>
      </c>
    </row>
    <row r="1275" spans="20:39" x14ac:dyDescent="0.2">
      <c r="T1275" t="str">
        <f>IF([2]Baskol!$B$1278="","",[2]Baskol!$B$1278)</f>
        <v/>
      </c>
      <c r="U1275" t="str">
        <f>IF([2]Baskol!$C$1278="","",[2]Baskol!$C$1278)</f>
        <v/>
      </c>
      <c r="V1275" t="str">
        <f>IF([2]Baskol!$D$1278="","",[2]Baskol!$D$1278)</f>
        <v/>
      </c>
      <c r="W1275" t="str">
        <f>IF([2]Baskol!$E$1278="","",[2]Baskol!$E$1278)</f>
        <v/>
      </c>
      <c r="X1275" t="str">
        <f>IF([2]Baskol!$G$1278="","",[2]Baskol!$G$1278)</f>
        <v/>
      </c>
      <c r="Y1275" t="str">
        <f>IF([2]Baskol!$I$1278="","",[2]Baskol!$I$1278)</f>
        <v/>
      </c>
      <c r="Z1275" t="str">
        <f>IF([2]Baskol!$J$1278="","",[2]Baskol!$J$1278)</f>
        <v/>
      </c>
      <c r="AA1275" t="str">
        <f>IF([2]Baskol!$K$1278="","",[2]Baskol!$K$1278)</f>
        <v/>
      </c>
      <c r="AB1275" t="str">
        <f>IF([2]Baskol!$L$1278="","",[2]Baskol!$L$1278)</f>
        <v/>
      </c>
      <c r="AC1275" t="str">
        <f>IF([2]Baskol!$N$1278="","",[2]Baskol!$N$1278)</f>
        <v/>
      </c>
      <c r="AD1275" t="str">
        <f>IF([2]Baskol!$O$1278="","",[2]Baskol!$O$1278)</f>
        <v/>
      </c>
      <c r="AE1275" t="str">
        <f>IF([3]Entry!$C$1278="","",[3]Entry!$C$1278)</f>
        <v/>
      </c>
      <c r="AF1275" t="str">
        <f>IF([3]Entry!$D$1278="","",[3]Entry!$D$1278)</f>
        <v/>
      </c>
      <c r="AG1275" t="str">
        <f>IF([3]Entry!$E$1278="","",[3]Entry!$E$1278)</f>
        <v/>
      </c>
      <c r="AH1275" t="str">
        <f>IF([3]Entry!$G$1278="","",[3]Entry!$G$1278)</f>
        <v/>
      </c>
      <c r="AI1275" t="str">
        <f>IF([3]Entry!$K$1278="","",[3]Entry!$K$1278)</f>
        <v/>
      </c>
      <c r="AJ1275" t="str">
        <f>IF([3]Entry!$L$1278="","",[3]Entry!$L$1278)</f>
        <v/>
      </c>
      <c r="AK1275" t="str">
        <f>IF([3]Entry!$M$1278="","",[3]Entry!$M$1278)</f>
        <v/>
      </c>
      <c r="AL1275" t="str">
        <f>IF([3]Entry!$N$1278="","",[3]Entry!$N$1278)</f>
        <v/>
      </c>
      <c r="AM1275" t="str">
        <f>IF([3]Entry!$R$1278="","",[3]Entry!$R$1278)</f>
        <v/>
      </c>
    </row>
    <row r="1276" spans="20:39" x14ac:dyDescent="0.2">
      <c r="T1276" t="str">
        <f>IF([2]Baskol!$B$1279="","",[2]Baskol!$B$1279)</f>
        <v/>
      </c>
      <c r="U1276" t="str">
        <f>IF([2]Baskol!$C$1279="","",[2]Baskol!$C$1279)</f>
        <v/>
      </c>
      <c r="V1276" t="str">
        <f>IF([2]Baskol!$D$1279="","",[2]Baskol!$D$1279)</f>
        <v/>
      </c>
      <c r="W1276" t="str">
        <f>IF([2]Baskol!$E$1279="","",[2]Baskol!$E$1279)</f>
        <v/>
      </c>
      <c r="X1276" t="str">
        <f>IF([2]Baskol!$G$1279="","",[2]Baskol!$G$1279)</f>
        <v/>
      </c>
      <c r="Y1276" t="str">
        <f>IF([2]Baskol!$I$1279="","",[2]Baskol!$I$1279)</f>
        <v/>
      </c>
      <c r="Z1276" t="str">
        <f>IF([2]Baskol!$J$1279="","",[2]Baskol!$J$1279)</f>
        <v/>
      </c>
      <c r="AA1276" t="str">
        <f>IF([2]Baskol!$K$1279="","",[2]Baskol!$K$1279)</f>
        <v/>
      </c>
      <c r="AB1276" t="str">
        <f>IF([2]Baskol!$L$1279="","",[2]Baskol!$L$1279)</f>
        <v/>
      </c>
      <c r="AC1276" t="str">
        <f>IF([2]Baskol!$N$1279="","",[2]Baskol!$N$1279)</f>
        <v/>
      </c>
      <c r="AD1276" t="str">
        <f>IF([2]Baskol!$O$1279="","",[2]Baskol!$O$1279)</f>
        <v/>
      </c>
      <c r="AE1276" t="str">
        <f>IF([3]Entry!$C$1279="","",[3]Entry!$C$1279)</f>
        <v/>
      </c>
      <c r="AF1276" t="str">
        <f>IF([3]Entry!$D$1279="","",[3]Entry!$D$1279)</f>
        <v/>
      </c>
      <c r="AG1276" t="str">
        <f>IF([3]Entry!$E$1279="","",[3]Entry!$E$1279)</f>
        <v/>
      </c>
      <c r="AH1276" t="str">
        <f>IF([3]Entry!$G$1279="","",[3]Entry!$G$1279)</f>
        <v/>
      </c>
      <c r="AI1276" t="str">
        <f>IF([3]Entry!$K$1279="","",[3]Entry!$K$1279)</f>
        <v/>
      </c>
      <c r="AJ1276" t="str">
        <f>IF([3]Entry!$L$1279="","",[3]Entry!$L$1279)</f>
        <v/>
      </c>
      <c r="AK1276" t="str">
        <f>IF([3]Entry!$M$1279="","",[3]Entry!$M$1279)</f>
        <v/>
      </c>
      <c r="AL1276" t="str">
        <f>IF([3]Entry!$N$1279="","",[3]Entry!$N$1279)</f>
        <v/>
      </c>
      <c r="AM1276" t="str">
        <f>IF([3]Entry!$R$1279="","",[3]Entry!$R$1279)</f>
        <v/>
      </c>
    </row>
    <row r="1277" spans="20:39" x14ac:dyDescent="0.2">
      <c r="T1277" t="str">
        <f>IF([2]Baskol!$B$1280="","",[2]Baskol!$B$1280)</f>
        <v/>
      </c>
      <c r="U1277" t="str">
        <f>IF([2]Baskol!$C$1280="","",[2]Baskol!$C$1280)</f>
        <v/>
      </c>
      <c r="V1277" t="str">
        <f>IF([2]Baskol!$D$1280="","",[2]Baskol!$D$1280)</f>
        <v/>
      </c>
      <c r="W1277" t="str">
        <f>IF([2]Baskol!$E$1280="","",[2]Baskol!$E$1280)</f>
        <v/>
      </c>
      <c r="X1277" t="str">
        <f>IF([2]Baskol!$G$1280="","",[2]Baskol!$G$1280)</f>
        <v/>
      </c>
      <c r="Y1277" t="str">
        <f>IF([2]Baskol!$I$1280="","",[2]Baskol!$I$1280)</f>
        <v/>
      </c>
      <c r="Z1277" t="str">
        <f>IF([2]Baskol!$J$1280="","",[2]Baskol!$J$1280)</f>
        <v/>
      </c>
      <c r="AA1277" t="str">
        <f>IF([2]Baskol!$K$1280="","",[2]Baskol!$K$1280)</f>
        <v/>
      </c>
      <c r="AB1277" t="str">
        <f>IF([2]Baskol!$L$1280="","",[2]Baskol!$L$1280)</f>
        <v/>
      </c>
      <c r="AC1277" t="str">
        <f>IF([2]Baskol!$N$1280="","",[2]Baskol!$N$1280)</f>
        <v/>
      </c>
      <c r="AD1277" t="str">
        <f>IF([2]Baskol!$O$1280="","",[2]Baskol!$O$1280)</f>
        <v/>
      </c>
      <c r="AE1277" t="str">
        <f>IF([3]Entry!$C$1280="","",[3]Entry!$C$1280)</f>
        <v/>
      </c>
      <c r="AF1277" t="str">
        <f>IF([3]Entry!$D$1280="","",[3]Entry!$D$1280)</f>
        <v/>
      </c>
      <c r="AG1277" t="str">
        <f>IF([3]Entry!$E$1280="","",[3]Entry!$E$1280)</f>
        <v/>
      </c>
      <c r="AH1277" t="str">
        <f>IF([3]Entry!$G$1280="","",[3]Entry!$G$1280)</f>
        <v/>
      </c>
      <c r="AI1277" t="str">
        <f>IF([3]Entry!$K$1280="","",[3]Entry!$K$1280)</f>
        <v/>
      </c>
      <c r="AJ1277" t="str">
        <f>IF([3]Entry!$L$1280="","",[3]Entry!$L$1280)</f>
        <v/>
      </c>
      <c r="AK1277" t="str">
        <f>IF([3]Entry!$M$1280="","",[3]Entry!$M$1280)</f>
        <v/>
      </c>
      <c r="AL1277" t="str">
        <f>IF([3]Entry!$N$1280="","",[3]Entry!$N$1280)</f>
        <v/>
      </c>
      <c r="AM1277" t="str">
        <f>IF([3]Entry!$R$1280="","",[3]Entry!$R$1280)</f>
        <v/>
      </c>
    </row>
    <row r="1278" spans="20:39" x14ac:dyDescent="0.2">
      <c r="T1278" t="str">
        <f>IF([2]Baskol!$B$1281="","",[2]Baskol!$B$1281)</f>
        <v/>
      </c>
      <c r="U1278" t="str">
        <f>IF([2]Baskol!$C$1281="","",[2]Baskol!$C$1281)</f>
        <v/>
      </c>
      <c r="V1278" t="str">
        <f>IF([2]Baskol!$D$1281="","",[2]Baskol!$D$1281)</f>
        <v/>
      </c>
      <c r="W1278" t="str">
        <f>IF([2]Baskol!$E$1281="","",[2]Baskol!$E$1281)</f>
        <v/>
      </c>
      <c r="X1278" t="str">
        <f>IF([2]Baskol!$G$1281="","",[2]Baskol!$G$1281)</f>
        <v/>
      </c>
      <c r="Y1278" t="str">
        <f>IF([2]Baskol!$I$1281="","",[2]Baskol!$I$1281)</f>
        <v/>
      </c>
      <c r="Z1278" t="str">
        <f>IF([2]Baskol!$J$1281="","",[2]Baskol!$J$1281)</f>
        <v/>
      </c>
      <c r="AA1278" t="str">
        <f>IF([2]Baskol!$K$1281="","",[2]Baskol!$K$1281)</f>
        <v/>
      </c>
      <c r="AB1278" t="str">
        <f>IF([2]Baskol!$L$1281="","",[2]Baskol!$L$1281)</f>
        <v/>
      </c>
      <c r="AC1278" t="str">
        <f>IF([2]Baskol!$N$1281="","",[2]Baskol!$N$1281)</f>
        <v/>
      </c>
      <c r="AD1278" t="str">
        <f>IF([2]Baskol!$O$1281="","",[2]Baskol!$O$1281)</f>
        <v/>
      </c>
      <c r="AE1278" t="str">
        <f>IF([3]Entry!$C$1281="","",[3]Entry!$C$1281)</f>
        <v/>
      </c>
      <c r="AF1278" t="str">
        <f>IF([3]Entry!$D$1281="","",[3]Entry!$D$1281)</f>
        <v/>
      </c>
      <c r="AG1278" t="str">
        <f>IF([3]Entry!$E$1281="","",[3]Entry!$E$1281)</f>
        <v/>
      </c>
      <c r="AH1278" t="str">
        <f>IF([3]Entry!$G$1281="","",[3]Entry!$G$1281)</f>
        <v/>
      </c>
      <c r="AI1278" t="str">
        <f>IF([3]Entry!$K$1281="","",[3]Entry!$K$1281)</f>
        <v/>
      </c>
      <c r="AJ1278" t="str">
        <f>IF([3]Entry!$L$1281="","",[3]Entry!$L$1281)</f>
        <v/>
      </c>
      <c r="AK1278" t="str">
        <f>IF([3]Entry!$M$1281="","",[3]Entry!$M$1281)</f>
        <v/>
      </c>
      <c r="AL1278" t="str">
        <f>IF([3]Entry!$N$1281="","",[3]Entry!$N$1281)</f>
        <v/>
      </c>
      <c r="AM1278" t="str">
        <f>IF([3]Entry!$R$1281="","",[3]Entry!$R$1281)</f>
        <v/>
      </c>
    </row>
    <row r="1279" spans="20:39" x14ac:dyDescent="0.2">
      <c r="T1279" t="str">
        <f>IF([2]Baskol!$B$1282="","",[2]Baskol!$B$1282)</f>
        <v/>
      </c>
      <c r="U1279" t="str">
        <f>IF([2]Baskol!$C$1282="","",[2]Baskol!$C$1282)</f>
        <v/>
      </c>
      <c r="V1279" t="str">
        <f>IF([2]Baskol!$D$1282="","",[2]Baskol!$D$1282)</f>
        <v/>
      </c>
      <c r="W1279" t="str">
        <f>IF([2]Baskol!$E$1282="","",[2]Baskol!$E$1282)</f>
        <v/>
      </c>
      <c r="X1279" t="str">
        <f>IF([2]Baskol!$G$1282="","",[2]Baskol!$G$1282)</f>
        <v/>
      </c>
      <c r="Y1279" t="str">
        <f>IF([2]Baskol!$I$1282="","",[2]Baskol!$I$1282)</f>
        <v/>
      </c>
      <c r="Z1279" t="str">
        <f>IF([2]Baskol!$J$1282="","",[2]Baskol!$J$1282)</f>
        <v/>
      </c>
      <c r="AA1279" t="str">
        <f>IF([2]Baskol!$K$1282="","",[2]Baskol!$K$1282)</f>
        <v/>
      </c>
      <c r="AB1279" t="str">
        <f>IF([2]Baskol!$L$1282="","",[2]Baskol!$L$1282)</f>
        <v/>
      </c>
      <c r="AC1279" t="str">
        <f>IF([2]Baskol!$N$1282="","",[2]Baskol!$N$1282)</f>
        <v/>
      </c>
      <c r="AD1279" t="str">
        <f>IF([2]Baskol!$O$1282="","",[2]Baskol!$O$1282)</f>
        <v/>
      </c>
      <c r="AE1279" t="str">
        <f>IF([3]Entry!$C$1282="","",[3]Entry!$C$1282)</f>
        <v/>
      </c>
      <c r="AF1279" t="str">
        <f>IF([3]Entry!$D$1282="","",[3]Entry!$D$1282)</f>
        <v/>
      </c>
      <c r="AG1279" t="str">
        <f>IF([3]Entry!$E$1282="","",[3]Entry!$E$1282)</f>
        <v/>
      </c>
      <c r="AH1279" t="str">
        <f>IF([3]Entry!$G$1282="","",[3]Entry!$G$1282)</f>
        <v/>
      </c>
      <c r="AI1279" t="str">
        <f>IF([3]Entry!$K$1282="","",[3]Entry!$K$1282)</f>
        <v/>
      </c>
      <c r="AJ1279" t="str">
        <f>IF([3]Entry!$L$1282="","",[3]Entry!$L$1282)</f>
        <v/>
      </c>
      <c r="AK1279" t="str">
        <f>IF([3]Entry!$M$1282="","",[3]Entry!$M$1282)</f>
        <v/>
      </c>
      <c r="AL1279" t="str">
        <f>IF([3]Entry!$N$1282="","",[3]Entry!$N$1282)</f>
        <v/>
      </c>
      <c r="AM1279" t="str">
        <f>IF([3]Entry!$R$1282="","",[3]Entry!$R$1282)</f>
        <v/>
      </c>
    </row>
    <row r="1280" spans="20:39" x14ac:dyDescent="0.2">
      <c r="T1280" t="str">
        <f>IF([2]Baskol!$B$1283="","",[2]Baskol!$B$1283)</f>
        <v/>
      </c>
      <c r="U1280" t="str">
        <f>IF([2]Baskol!$C$1283="","",[2]Baskol!$C$1283)</f>
        <v/>
      </c>
      <c r="V1280" t="str">
        <f>IF([2]Baskol!$D$1283="","",[2]Baskol!$D$1283)</f>
        <v/>
      </c>
      <c r="W1280" t="str">
        <f>IF([2]Baskol!$E$1283="","",[2]Baskol!$E$1283)</f>
        <v/>
      </c>
      <c r="X1280" t="str">
        <f>IF([2]Baskol!$G$1283="","",[2]Baskol!$G$1283)</f>
        <v/>
      </c>
      <c r="Y1280" t="str">
        <f>IF([2]Baskol!$I$1283="","",[2]Baskol!$I$1283)</f>
        <v/>
      </c>
      <c r="Z1280" t="str">
        <f>IF([2]Baskol!$J$1283="","",[2]Baskol!$J$1283)</f>
        <v/>
      </c>
      <c r="AA1280" t="str">
        <f>IF([2]Baskol!$K$1283="","",[2]Baskol!$K$1283)</f>
        <v/>
      </c>
      <c r="AB1280" t="str">
        <f>IF([2]Baskol!$L$1283="","",[2]Baskol!$L$1283)</f>
        <v/>
      </c>
      <c r="AC1280" t="str">
        <f>IF([2]Baskol!$N$1283="","",[2]Baskol!$N$1283)</f>
        <v/>
      </c>
      <c r="AD1280" t="str">
        <f>IF([2]Baskol!$O$1283="","",[2]Baskol!$O$1283)</f>
        <v/>
      </c>
      <c r="AE1280" t="str">
        <f>IF([3]Entry!$C$1283="","",[3]Entry!$C$1283)</f>
        <v/>
      </c>
      <c r="AF1280" t="str">
        <f>IF([3]Entry!$D$1283="","",[3]Entry!$D$1283)</f>
        <v/>
      </c>
      <c r="AG1280" t="str">
        <f>IF([3]Entry!$E$1283="","",[3]Entry!$E$1283)</f>
        <v/>
      </c>
      <c r="AH1280" t="str">
        <f>IF([3]Entry!$G$1283="","",[3]Entry!$G$1283)</f>
        <v/>
      </c>
      <c r="AI1280" t="str">
        <f>IF([3]Entry!$K$1283="","",[3]Entry!$K$1283)</f>
        <v/>
      </c>
      <c r="AJ1280" t="str">
        <f>IF([3]Entry!$L$1283="","",[3]Entry!$L$1283)</f>
        <v/>
      </c>
      <c r="AK1280" t="str">
        <f>IF([3]Entry!$M$1283="","",[3]Entry!$M$1283)</f>
        <v/>
      </c>
      <c r="AL1280" t="str">
        <f>IF([3]Entry!$N$1283="","",[3]Entry!$N$1283)</f>
        <v/>
      </c>
      <c r="AM1280" t="str">
        <f>IF([3]Entry!$R$1283="","",[3]Entry!$R$1283)</f>
        <v/>
      </c>
    </row>
    <row r="1281" spans="20:39" x14ac:dyDescent="0.2">
      <c r="T1281" t="str">
        <f>IF([2]Baskol!$B$1284="","",[2]Baskol!$B$1284)</f>
        <v/>
      </c>
      <c r="U1281" t="str">
        <f>IF([2]Baskol!$C$1284="","",[2]Baskol!$C$1284)</f>
        <v/>
      </c>
      <c r="V1281" t="str">
        <f>IF([2]Baskol!$D$1284="","",[2]Baskol!$D$1284)</f>
        <v/>
      </c>
      <c r="W1281" t="str">
        <f>IF([2]Baskol!$E$1284="","",[2]Baskol!$E$1284)</f>
        <v/>
      </c>
      <c r="X1281" t="str">
        <f>IF([2]Baskol!$G$1284="","",[2]Baskol!$G$1284)</f>
        <v/>
      </c>
      <c r="Y1281" t="str">
        <f>IF([2]Baskol!$I$1284="","",[2]Baskol!$I$1284)</f>
        <v/>
      </c>
      <c r="Z1281" t="str">
        <f>IF([2]Baskol!$J$1284="","",[2]Baskol!$J$1284)</f>
        <v/>
      </c>
      <c r="AA1281" t="str">
        <f>IF([2]Baskol!$K$1284="","",[2]Baskol!$K$1284)</f>
        <v/>
      </c>
      <c r="AB1281" t="str">
        <f>IF([2]Baskol!$L$1284="","",[2]Baskol!$L$1284)</f>
        <v/>
      </c>
      <c r="AC1281" t="str">
        <f>IF([2]Baskol!$N$1284="","",[2]Baskol!$N$1284)</f>
        <v/>
      </c>
      <c r="AD1281" t="str">
        <f>IF([2]Baskol!$O$1284="","",[2]Baskol!$O$1284)</f>
        <v/>
      </c>
      <c r="AE1281" t="str">
        <f>IF([3]Entry!$C$1284="","",[3]Entry!$C$1284)</f>
        <v/>
      </c>
      <c r="AF1281" t="str">
        <f>IF([3]Entry!$D$1284="","",[3]Entry!$D$1284)</f>
        <v/>
      </c>
      <c r="AG1281" t="str">
        <f>IF([3]Entry!$E$1284="","",[3]Entry!$E$1284)</f>
        <v/>
      </c>
      <c r="AH1281" t="str">
        <f>IF([3]Entry!$G$1284="","",[3]Entry!$G$1284)</f>
        <v/>
      </c>
      <c r="AI1281" t="str">
        <f>IF([3]Entry!$K$1284="","",[3]Entry!$K$1284)</f>
        <v/>
      </c>
      <c r="AJ1281" t="str">
        <f>IF([3]Entry!$L$1284="","",[3]Entry!$L$1284)</f>
        <v/>
      </c>
      <c r="AK1281" t="str">
        <f>IF([3]Entry!$M$1284="","",[3]Entry!$M$1284)</f>
        <v/>
      </c>
      <c r="AL1281" t="str">
        <f>IF([3]Entry!$N$1284="","",[3]Entry!$N$1284)</f>
        <v/>
      </c>
      <c r="AM1281" t="str">
        <f>IF([3]Entry!$R$1284="","",[3]Entry!$R$1284)</f>
        <v/>
      </c>
    </row>
    <row r="1282" spans="20:39" x14ac:dyDescent="0.2">
      <c r="T1282" t="str">
        <f>IF([2]Baskol!$B$1285="","",[2]Baskol!$B$1285)</f>
        <v/>
      </c>
      <c r="U1282" t="str">
        <f>IF([2]Baskol!$C$1285="","",[2]Baskol!$C$1285)</f>
        <v/>
      </c>
      <c r="V1282" t="str">
        <f>IF([2]Baskol!$D$1285="","",[2]Baskol!$D$1285)</f>
        <v/>
      </c>
      <c r="W1282" t="str">
        <f>IF([2]Baskol!$E$1285="","",[2]Baskol!$E$1285)</f>
        <v/>
      </c>
      <c r="X1282" t="str">
        <f>IF([2]Baskol!$G$1285="","",[2]Baskol!$G$1285)</f>
        <v/>
      </c>
      <c r="Y1282" t="str">
        <f>IF([2]Baskol!$I$1285="","",[2]Baskol!$I$1285)</f>
        <v/>
      </c>
      <c r="Z1282" t="str">
        <f>IF([2]Baskol!$J$1285="","",[2]Baskol!$J$1285)</f>
        <v/>
      </c>
      <c r="AA1282" t="str">
        <f>IF([2]Baskol!$K$1285="","",[2]Baskol!$K$1285)</f>
        <v/>
      </c>
      <c r="AB1282" t="str">
        <f>IF([2]Baskol!$L$1285="","",[2]Baskol!$L$1285)</f>
        <v/>
      </c>
      <c r="AC1282" t="str">
        <f>IF([2]Baskol!$N$1285="","",[2]Baskol!$N$1285)</f>
        <v/>
      </c>
      <c r="AD1282" t="str">
        <f>IF([2]Baskol!$O$1285="","",[2]Baskol!$O$1285)</f>
        <v/>
      </c>
      <c r="AE1282" t="str">
        <f>IF([3]Entry!$C$1285="","",[3]Entry!$C$1285)</f>
        <v/>
      </c>
      <c r="AF1282" t="str">
        <f>IF([3]Entry!$D$1285="","",[3]Entry!$D$1285)</f>
        <v/>
      </c>
      <c r="AG1282" t="str">
        <f>IF([3]Entry!$E$1285="","",[3]Entry!$E$1285)</f>
        <v/>
      </c>
      <c r="AH1282" t="str">
        <f>IF([3]Entry!$G$1285="","",[3]Entry!$G$1285)</f>
        <v/>
      </c>
      <c r="AI1282" t="str">
        <f>IF([3]Entry!$K$1285="","",[3]Entry!$K$1285)</f>
        <v/>
      </c>
      <c r="AJ1282" t="str">
        <f>IF([3]Entry!$L$1285="","",[3]Entry!$L$1285)</f>
        <v/>
      </c>
      <c r="AK1282" t="str">
        <f>IF([3]Entry!$M$1285="","",[3]Entry!$M$1285)</f>
        <v/>
      </c>
      <c r="AL1282" t="str">
        <f>IF([3]Entry!$N$1285="","",[3]Entry!$N$1285)</f>
        <v/>
      </c>
      <c r="AM1282" t="str">
        <f>IF([3]Entry!$R$1285="","",[3]Entry!$R$1285)</f>
        <v/>
      </c>
    </row>
    <row r="1283" spans="20:39" x14ac:dyDescent="0.2">
      <c r="T1283" t="str">
        <f>IF([2]Baskol!$B$1286="","",[2]Baskol!$B$1286)</f>
        <v/>
      </c>
      <c r="U1283" t="str">
        <f>IF([2]Baskol!$C$1286="","",[2]Baskol!$C$1286)</f>
        <v/>
      </c>
      <c r="V1283" t="str">
        <f>IF([2]Baskol!$D$1286="","",[2]Baskol!$D$1286)</f>
        <v/>
      </c>
      <c r="W1283" t="str">
        <f>IF([2]Baskol!$E$1286="","",[2]Baskol!$E$1286)</f>
        <v/>
      </c>
      <c r="X1283" t="str">
        <f>IF([2]Baskol!$G$1286="","",[2]Baskol!$G$1286)</f>
        <v/>
      </c>
      <c r="Y1283" t="str">
        <f>IF([2]Baskol!$I$1286="","",[2]Baskol!$I$1286)</f>
        <v/>
      </c>
      <c r="Z1283" t="str">
        <f>IF([2]Baskol!$J$1286="","",[2]Baskol!$J$1286)</f>
        <v/>
      </c>
      <c r="AA1283" t="str">
        <f>IF([2]Baskol!$K$1286="","",[2]Baskol!$K$1286)</f>
        <v/>
      </c>
      <c r="AB1283" t="str">
        <f>IF([2]Baskol!$L$1286="","",[2]Baskol!$L$1286)</f>
        <v/>
      </c>
      <c r="AC1283" t="str">
        <f>IF([2]Baskol!$N$1286="","",[2]Baskol!$N$1286)</f>
        <v/>
      </c>
      <c r="AD1283" t="str">
        <f>IF([2]Baskol!$O$1286="","",[2]Baskol!$O$1286)</f>
        <v/>
      </c>
      <c r="AE1283" t="str">
        <f>IF([3]Entry!$C$1286="","",[3]Entry!$C$1286)</f>
        <v/>
      </c>
      <c r="AF1283" t="str">
        <f>IF([3]Entry!$D$1286="","",[3]Entry!$D$1286)</f>
        <v/>
      </c>
      <c r="AG1283" t="str">
        <f>IF([3]Entry!$E$1286="","",[3]Entry!$E$1286)</f>
        <v/>
      </c>
      <c r="AH1283" t="str">
        <f>IF([3]Entry!$G$1286="","",[3]Entry!$G$1286)</f>
        <v/>
      </c>
      <c r="AI1283" t="str">
        <f>IF([3]Entry!$K$1286="","",[3]Entry!$K$1286)</f>
        <v/>
      </c>
      <c r="AJ1283" t="str">
        <f>IF([3]Entry!$L$1286="","",[3]Entry!$L$1286)</f>
        <v/>
      </c>
      <c r="AK1283" t="str">
        <f>IF([3]Entry!$M$1286="","",[3]Entry!$M$1286)</f>
        <v/>
      </c>
      <c r="AL1283" t="str">
        <f>IF([3]Entry!$N$1286="","",[3]Entry!$N$1286)</f>
        <v/>
      </c>
      <c r="AM1283" t="str">
        <f>IF([3]Entry!$R$1286="","",[3]Entry!$R$1286)</f>
        <v/>
      </c>
    </row>
    <row r="1284" spans="20:39" x14ac:dyDescent="0.2">
      <c r="T1284" t="str">
        <f>IF([2]Baskol!$B$1287="","",[2]Baskol!$B$1287)</f>
        <v/>
      </c>
      <c r="U1284" t="str">
        <f>IF([2]Baskol!$C$1287="","",[2]Baskol!$C$1287)</f>
        <v/>
      </c>
      <c r="V1284" t="str">
        <f>IF([2]Baskol!$D$1287="","",[2]Baskol!$D$1287)</f>
        <v/>
      </c>
      <c r="W1284" t="str">
        <f>IF([2]Baskol!$E$1287="","",[2]Baskol!$E$1287)</f>
        <v/>
      </c>
      <c r="X1284" t="str">
        <f>IF([2]Baskol!$G$1287="","",[2]Baskol!$G$1287)</f>
        <v/>
      </c>
      <c r="Y1284" t="str">
        <f>IF([2]Baskol!$I$1287="","",[2]Baskol!$I$1287)</f>
        <v/>
      </c>
      <c r="Z1284" t="str">
        <f>IF([2]Baskol!$J$1287="","",[2]Baskol!$J$1287)</f>
        <v/>
      </c>
      <c r="AA1284" t="str">
        <f>IF([2]Baskol!$K$1287="","",[2]Baskol!$K$1287)</f>
        <v/>
      </c>
      <c r="AB1284" t="str">
        <f>IF([2]Baskol!$L$1287="","",[2]Baskol!$L$1287)</f>
        <v/>
      </c>
      <c r="AC1284" t="str">
        <f>IF([2]Baskol!$N$1287="","",[2]Baskol!$N$1287)</f>
        <v/>
      </c>
      <c r="AD1284" t="str">
        <f>IF([2]Baskol!$O$1287="","",[2]Baskol!$O$1287)</f>
        <v/>
      </c>
      <c r="AE1284" t="str">
        <f>IF([3]Entry!$C$1287="","",[3]Entry!$C$1287)</f>
        <v/>
      </c>
      <c r="AF1284" t="str">
        <f>IF([3]Entry!$D$1287="","",[3]Entry!$D$1287)</f>
        <v/>
      </c>
      <c r="AG1284" t="str">
        <f>IF([3]Entry!$E$1287="","",[3]Entry!$E$1287)</f>
        <v/>
      </c>
      <c r="AH1284" t="str">
        <f>IF([3]Entry!$G$1287="","",[3]Entry!$G$1287)</f>
        <v/>
      </c>
      <c r="AI1284" t="str">
        <f>IF([3]Entry!$K$1287="","",[3]Entry!$K$1287)</f>
        <v/>
      </c>
      <c r="AJ1284" t="str">
        <f>IF([3]Entry!$L$1287="","",[3]Entry!$L$1287)</f>
        <v/>
      </c>
      <c r="AK1284" t="str">
        <f>IF([3]Entry!$M$1287="","",[3]Entry!$M$1287)</f>
        <v/>
      </c>
      <c r="AL1284" t="str">
        <f>IF([3]Entry!$N$1287="","",[3]Entry!$N$1287)</f>
        <v/>
      </c>
      <c r="AM1284" t="str">
        <f>IF([3]Entry!$R$1287="","",[3]Entry!$R$1287)</f>
        <v/>
      </c>
    </row>
    <row r="1285" spans="20:39" x14ac:dyDescent="0.2">
      <c r="T1285" t="str">
        <f>IF([2]Baskol!$B$1288="","",[2]Baskol!$B$1288)</f>
        <v/>
      </c>
      <c r="U1285" t="str">
        <f>IF([2]Baskol!$C$1288="","",[2]Baskol!$C$1288)</f>
        <v/>
      </c>
      <c r="V1285" t="str">
        <f>IF([2]Baskol!$D$1288="","",[2]Baskol!$D$1288)</f>
        <v/>
      </c>
      <c r="W1285" t="str">
        <f>IF([2]Baskol!$E$1288="","",[2]Baskol!$E$1288)</f>
        <v/>
      </c>
      <c r="X1285" t="str">
        <f>IF([2]Baskol!$G$1288="","",[2]Baskol!$G$1288)</f>
        <v/>
      </c>
      <c r="Y1285" t="str">
        <f>IF([2]Baskol!$I$1288="","",[2]Baskol!$I$1288)</f>
        <v/>
      </c>
      <c r="Z1285" t="str">
        <f>IF([2]Baskol!$J$1288="","",[2]Baskol!$J$1288)</f>
        <v/>
      </c>
      <c r="AA1285" t="str">
        <f>IF([2]Baskol!$K$1288="","",[2]Baskol!$K$1288)</f>
        <v/>
      </c>
      <c r="AB1285" t="str">
        <f>IF([2]Baskol!$L$1288="","",[2]Baskol!$L$1288)</f>
        <v/>
      </c>
      <c r="AC1285" t="str">
        <f>IF([2]Baskol!$N$1288="","",[2]Baskol!$N$1288)</f>
        <v/>
      </c>
      <c r="AD1285" t="str">
        <f>IF([2]Baskol!$O$1288="","",[2]Baskol!$O$1288)</f>
        <v/>
      </c>
      <c r="AE1285" t="str">
        <f>IF([3]Entry!$C$1288="","",[3]Entry!$C$1288)</f>
        <v/>
      </c>
      <c r="AF1285" t="str">
        <f>IF([3]Entry!$D$1288="","",[3]Entry!$D$1288)</f>
        <v/>
      </c>
      <c r="AG1285" t="str">
        <f>IF([3]Entry!$E$1288="","",[3]Entry!$E$1288)</f>
        <v/>
      </c>
      <c r="AH1285" t="str">
        <f>IF([3]Entry!$G$1288="","",[3]Entry!$G$1288)</f>
        <v/>
      </c>
      <c r="AI1285" t="str">
        <f>IF([3]Entry!$K$1288="","",[3]Entry!$K$1288)</f>
        <v/>
      </c>
      <c r="AJ1285" t="str">
        <f>IF([3]Entry!$L$1288="","",[3]Entry!$L$1288)</f>
        <v/>
      </c>
      <c r="AK1285" t="str">
        <f>IF([3]Entry!$M$1288="","",[3]Entry!$M$1288)</f>
        <v/>
      </c>
      <c r="AL1285" t="str">
        <f>IF([3]Entry!$N$1288="","",[3]Entry!$N$1288)</f>
        <v/>
      </c>
      <c r="AM1285" t="str">
        <f>IF([3]Entry!$R$1288="","",[3]Entry!$R$1288)</f>
        <v/>
      </c>
    </row>
    <row r="1286" spans="20:39" x14ac:dyDescent="0.2">
      <c r="T1286" t="str">
        <f>IF([2]Baskol!$B$1289="","",[2]Baskol!$B$1289)</f>
        <v/>
      </c>
      <c r="U1286" t="str">
        <f>IF([2]Baskol!$C$1289="","",[2]Baskol!$C$1289)</f>
        <v/>
      </c>
      <c r="V1286" t="str">
        <f>IF([2]Baskol!$D$1289="","",[2]Baskol!$D$1289)</f>
        <v/>
      </c>
      <c r="W1286" t="str">
        <f>IF([2]Baskol!$E$1289="","",[2]Baskol!$E$1289)</f>
        <v/>
      </c>
      <c r="X1286" t="str">
        <f>IF([2]Baskol!$G$1289="","",[2]Baskol!$G$1289)</f>
        <v/>
      </c>
      <c r="Y1286" t="str">
        <f>IF([2]Baskol!$I$1289="","",[2]Baskol!$I$1289)</f>
        <v/>
      </c>
      <c r="Z1286" t="str">
        <f>IF([2]Baskol!$J$1289="","",[2]Baskol!$J$1289)</f>
        <v/>
      </c>
      <c r="AA1286" t="str">
        <f>IF([2]Baskol!$K$1289="","",[2]Baskol!$K$1289)</f>
        <v/>
      </c>
      <c r="AB1286" t="str">
        <f>IF([2]Baskol!$L$1289="","",[2]Baskol!$L$1289)</f>
        <v/>
      </c>
      <c r="AC1286" t="str">
        <f>IF([2]Baskol!$N$1289="","",[2]Baskol!$N$1289)</f>
        <v/>
      </c>
      <c r="AD1286" t="str">
        <f>IF([2]Baskol!$O$1289="","",[2]Baskol!$O$1289)</f>
        <v/>
      </c>
      <c r="AE1286" t="str">
        <f>IF([3]Entry!$C$1289="","",[3]Entry!$C$1289)</f>
        <v/>
      </c>
      <c r="AF1286" t="str">
        <f>IF([3]Entry!$D$1289="","",[3]Entry!$D$1289)</f>
        <v/>
      </c>
      <c r="AG1286" t="str">
        <f>IF([3]Entry!$E$1289="","",[3]Entry!$E$1289)</f>
        <v/>
      </c>
      <c r="AH1286" t="str">
        <f>IF([3]Entry!$G$1289="","",[3]Entry!$G$1289)</f>
        <v/>
      </c>
      <c r="AI1286" t="str">
        <f>IF([3]Entry!$K$1289="","",[3]Entry!$K$1289)</f>
        <v/>
      </c>
      <c r="AJ1286" t="str">
        <f>IF([3]Entry!$L$1289="","",[3]Entry!$L$1289)</f>
        <v/>
      </c>
      <c r="AK1286" t="str">
        <f>IF([3]Entry!$M$1289="","",[3]Entry!$M$1289)</f>
        <v/>
      </c>
      <c r="AL1286" t="str">
        <f>IF([3]Entry!$N$1289="","",[3]Entry!$N$1289)</f>
        <v/>
      </c>
      <c r="AM1286" t="str">
        <f>IF([3]Entry!$R$1289="","",[3]Entry!$R$1289)</f>
        <v/>
      </c>
    </row>
    <row r="1287" spans="20:39" x14ac:dyDescent="0.2">
      <c r="T1287" t="str">
        <f>IF([2]Baskol!$B$1290="","",[2]Baskol!$B$1290)</f>
        <v/>
      </c>
      <c r="U1287" t="str">
        <f>IF([2]Baskol!$C$1290="","",[2]Baskol!$C$1290)</f>
        <v/>
      </c>
      <c r="V1287" t="str">
        <f>IF([2]Baskol!$D$1290="","",[2]Baskol!$D$1290)</f>
        <v/>
      </c>
      <c r="W1287" t="str">
        <f>IF([2]Baskol!$E$1290="","",[2]Baskol!$E$1290)</f>
        <v/>
      </c>
      <c r="X1287" t="str">
        <f>IF([2]Baskol!$G$1290="","",[2]Baskol!$G$1290)</f>
        <v/>
      </c>
      <c r="Y1287" t="str">
        <f>IF([2]Baskol!$I$1290="","",[2]Baskol!$I$1290)</f>
        <v/>
      </c>
      <c r="Z1287" t="str">
        <f>IF([2]Baskol!$J$1290="","",[2]Baskol!$J$1290)</f>
        <v/>
      </c>
      <c r="AA1287" t="str">
        <f>IF([2]Baskol!$K$1290="","",[2]Baskol!$K$1290)</f>
        <v/>
      </c>
      <c r="AB1287" t="str">
        <f>IF([2]Baskol!$L$1290="","",[2]Baskol!$L$1290)</f>
        <v/>
      </c>
      <c r="AC1287" t="str">
        <f>IF([2]Baskol!$N$1290="","",[2]Baskol!$N$1290)</f>
        <v/>
      </c>
      <c r="AD1287" t="str">
        <f>IF([2]Baskol!$O$1290="","",[2]Baskol!$O$1290)</f>
        <v/>
      </c>
      <c r="AE1287" t="str">
        <f>IF([3]Entry!$C$1290="","",[3]Entry!$C$1290)</f>
        <v/>
      </c>
      <c r="AF1287" t="str">
        <f>IF([3]Entry!$D$1290="","",[3]Entry!$D$1290)</f>
        <v/>
      </c>
      <c r="AG1287" t="str">
        <f>IF([3]Entry!$E$1290="","",[3]Entry!$E$1290)</f>
        <v/>
      </c>
      <c r="AH1287" t="str">
        <f>IF([3]Entry!$G$1290="","",[3]Entry!$G$1290)</f>
        <v/>
      </c>
      <c r="AI1287" t="str">
        <f>IF([3]Entry!$K$1290="","",[3]Entry!$K$1290)</f>
        <v/>
      </c>
      <c r="AJ1287" t="str">
        <f>IF([3]Entry!$L$1290="","",[3]Entry!$L$1290)</f>
        <v/>
      </c>
      <c r="AK1287" t="str">
        <f>IF([3]Entry!$M$1290="","",[3]Entry!$M$1290)</f>
        <v/>
      </c>
      <c r="AL1287" t="str">
        <f>IF([3]Entry!$N$1290="","",[3]Entry!$N$1290)</f>
        <v/>
      </c>
      <c r="AM1287" t="str">
        <f>IF([3]Entry!$R$1290="","",[3]Entry!$R$1290)</f>
        <v/>
      </c>
    </row>
    <row r="1288" spans="20:39" x14ac:dyDescent="0.2">
      <c r="T1288" t="str">
        <f>IF([2]Baskol!$B$1291="","",[2]Baskol!$B$1291)</f>
        <v/>
      </c>
      <c r="U1288" t="str">
        <f>IF([2]Baskol!$C$1291="","",[2]Baskol!$C$1291)</f>
        <v/>
      </c>
      <c r="V1288" t="str">
        <f>IF([2]Baskol!$D$1291="","",[2]Baskol!$D$1291)</f>
        <v/>
      </c>
      <c r="W1288" t="str">
        <f>IF([2]Baskol!$E$1291="","",[2]Baskol!$E$1291)</f>
        <v/>
      </c>
      <c r="X1288" t="str">
        <f>IF([2]Baskol!$G$1291="","",[2]Baskol!$G$1291)</f>
        <v/>
      </c>
      <c r="Y1288" t="str">
        <f>IF([2]Baskol!$I$1291="","",[2]Baskol!$I$1291)</f>
        <v/>
      </c>
      <c r="Z1288" t="str">
        <f>IF([2]Baskol!$J$1291="","",[2]Baskol!$J$1291)</f>
        <v/>
      </c>
      <c r="AA1288" t="str">
        <f>IF([2]Baskol!$K$1291="","",[2]Baskol!$K$1291)</f>
        <v/>
      </c>
      <c r="AB1288" t="str">
        <f>IF([2]Baskol!$L$1291="","",[2]Baskol!$L$1291)</f>
        <v/>
      </c>
      <c r="AC1288" t="str">
        <f>IF([2]Baskol!$N$1291="","",[2]Baskol!$N$1291)</f>
        <v/>
      </c>
      <c r="AD1288" t="str">
        <f>IF([2]Baskol!$O$1291="","",[2]Baskol!$O$1291)</f>
        <v/>
      </c>
      <c r="AE1288" t="str">
        <f>IF([3]Entry!$C$1291="","",[3]Entry!$C$1291)</f>
        <v/>
      </c>
      <c r="AF1288" t="str">
        <f>IF([3]Entry!$D$1291="","",[3]Entry!$D$1291)</f>
        <v/>
      </c>
      <c r="AG1288" t="str">
        <f>IF([3]Entry!$E$1291="","",[3]Entry!$E$1291)</f>
        <v/>
      </c>
      <c r="AH1288" t="str">
        <f>IF([3]Entry!$G$1291="","",[3]Entry!$G$1291)</f>
        <v/>
      </c>
      <c r="AI1288" t="str">
        <f>IF([3]Entry!$K$1291="","",[3]Entry!$K$1291)</f>
        <v/>
      </c>
      <c r="AJ1288" t="str">
        <f>IF([3]Entry!$L$1291="","",[3]Entry!$L$1291)</f>
        <v/>
      </c>
      <c r="AK1288" t="str">
        <f>IF([3]Entry!$M$1291="","",[3]Entry!$M$1291)</f>
        <v/>
      </c>
      <c r="AL1288" t="str">
        <f>IF([3]Entry!$N$1291="","",[3]Entry!$N$1291)</f>
        <v/>
      </c>
      <c r="AM1288" t="str">
        <f>IF([3]Entry!$R$1291="","",[3]Entry!$R$1291)</f>
        <v/>
      </c>
    </row>
    <row r="1289" spans="20:39" x14ac:dyDescent="0.2">
      <c r="T1289" t="str">
        <f>IF([2]Baskol!$B$1292="","",[2]Baskol!$B$1292)</f>
        <v/>
      </c>
      <c r="U1289" t="str">
        <f>IF([2]Baskol!$C$1292="","",[2]Baskol!$C$1292)</f>
        <v/>
      </c>
      <c r="V1289" t="str">
        <f>IF([2]Baskol!$D$1292="","",[2]Baskol!$D$1292)</f>
        <v/>
      </c>
      <c r="W1289" t="str">
        <f>IF([2]Baskol!$E$1292="","",[2]Baskol!$E$1292)</f>
        <v/>
      </c>
      <c r="X1289" t="str">
        <f>IF([2]Baskol!$G$1292="","",[2]Baskol!$G$1292)</f>
        <v/>
      </c>
      <c r="Y1289" t="str">
        <f>IF([2]Baskol!$I$1292="","",[2]Baskol!$I$1292)</f>
        <v/>
      </c>
      <c r="Z1289" t="str">
        <f>IF([2]Baskol!$J$1292="","",[2]Baskol!$J$1292)</f>
        <v/>
      </c>
      <c r="AA1289" t="str">
        <f>IF([2]Baskol!$K$1292="","",[2]Baskol!$K$1292)</f>
        <v/>
      </c>
      <c r="AB1289" t="str">
        <f>IF([2]Baskol!$L$1292="","",[2]Baskol!$L$1292)</f>
        <v/>
      </c>
      <c r="AC1289" t="str">
        <f>IF([2]Baskol!$N$1292="","",[2]Baskol!$N$1292)</f>
        <v/>
      </c>
      <c r="AD1289" t="str">
        <f>IF([2]Baskol!$O$1292="","",[2]Baskol!$O$1292)</f>
        <v/>
      </c>
      <c r="AE1289" t="str">
        <f>IF([3]Entry!$C$1292="","",[3]Entry!$C$1292)</f>
        <v/>
      </c>
      <c r="AF1289" t="str">
        <f>IF([3]Entry!$D$1292="","",[3]Entry!$D$1292)</f>
        <v/>
      </c>
      <c r="AG1289" t="str">
        <f>IF([3]Entry!$E$1292="","",[3]Entry!$E$1292)</f>
        <v/>
      </c>
      <c r="AH1289" t="str">
        <f>IF([3]Entry!$G$1292="","",[3]Entry!$G$1292)</f>
        <v/>
      </c>
      <c r="AI1289" t="str">
        <f>IF([3]Entry!$K$1292="","",[3]Entry!$K$1292)</f>
        <v/>
      </c>
      <c r="AJ1289" t="str">
        <f>IF([3]Entry!$L$1292="","",[3]Entry!$L$1292)</f>
        <v/>
      </c>
      <c r="AK1289" t="str">
        <f>IF([3]Entry!$M$1292="","",[3]Entry!$M$1292)</f>
        <v/>
      </c>
      <c r="AL1289" t="str">
        <f>IF([3]Entry!$N$1292="","",[3]Entry!$N$1292)</f>
        <v/>
      </c>
      <c r="AM1289" t="str">
        <f>IF([3]Entry!$R$1292="","",[3]Entry!$R$1292)</f>
        <v/>
      </c>
    </row>
    <row r="1290" spans="20:39" x14ac:dyDescent="0.2">
      <c r="T1290" t="str">
        <f>IF([2]Baskol!$B$1293="","",[2]Baskol!$B$1293)</f>
        <v/>
      </c>
      <c r="U1290" t="str">
        <f>IF([2]Baskol!$C$1293="","",[2]Baskol!$C$1293)</f>
        <v/>
      </c>
      <c r="V1290" t="str">
        <f>IF([2]Baskol!$D$1293="","",[2]Baskol!$D$1293)</f>
        <v/>
      </c>
      <c r="W1290" t="str">
        <f>IF([2]Baskol!$E$1293="","",[2]Baskol!$E$1293)</f>
        <v/>
      </c>
      <c r="X1290" t="str">
        <f>IF([2]Baskol!$G$1293="","",[2]Baskol!$G$1293)</f>
        <v/>
      </c>
      <c r="Y1290" t="str">
        <f>IF([2]Baskol!$I$1293="","",[2]Baskol!$I$1293)</f>
        <v/>
      </c>
      <c r="Z1290" t="str">
        <f>IF([2]Baskol!$J$1293="","",[2]Baskol!$J$1293)</f>
        <v/>
      </c>
      <c r="AA1290" t="str">
        <f>IF([2]Baskol!$K$1293="","",[2]Baskol!$K$1293)</f>
        <v/>
      </c>
      <c r="AB1290" t="str">
        <f>IF([2]Baskol!$L$1293="","",[2]Baskol!$L$1293)</f>
        <v/>
      </c>
      <c r="AC1290" t="str">
        <f>IF([2]Baskol!$N$1293="","",[2]Baskol!$N$1293)</f>
        <v/>
      </c>
      <c r="AD1290" t="str">
        <f>IF([2]Baskol!$O$1293="","",[2]Baskol!$O$1293)</f>
        <v/>
      </c>
      <c r="AE1290" t="str">
        <f>IF([3]Entry!$C$1293="","",[3]Entry!$C$1293)</f>
        <v/>
      </c>
      <c r="AF1290" t="str">
        <f>IF([3]Entry!$D$1293="","",[3]Entry!$D$1293)</f>
        <v/>
      </c>
      <c r="AG1290" t="str">
        <f>IF([3]Entry!$E$1293="","",[3]Entry!$E$1293)</f>
        <v/>
      </c>
      <c r="AH1290" t="str">
        <f>IF([3]Entry!$G$1293="","",[3]Entry!$G$1293)</f>
        <v/>
      </c>
      <c r="AI1290" t="str">
        <f>IF([3]Entry!$K$1293="","",[3]Entry!$K$1293)</f>
        <v/>
      </c>
      <c r="AJ1290" t="str">
        <f>IF([3]Entry!$L$1293="","",[3]Entry!$L$1293)</f>
        <v/>
      </c>
      <c r="AK1290" t="str">
        <f>IF([3]Entry!$M$1293="","",[3]Entry!$M$1293)</f>
        <v/>
      </c>
      <c r="AL1290" t="str">
        <f>IF([3]Entry!$N$1293="","",[3]Entry!$N$1293)</f>
        <v/>
      </c>
      <c r="AM1290" t="str">
        <f>IF([3]Entry!$R$1293="","",[3]Entry!$R$1293)</f>
        <v/>
      </c>
    </row>
    <row r="1291" spans="20:39" x14ac:dyDescent="0.2">
      <c r="T1291" t="str">
        <f>IF([2]Baskol!$B$1294="","",[2]Baskol!$B$1294)</f>
        <v/>
      </c>
      <c r="U1291" t="str">
        <f>IF([2]Baskol!$C$1294="","",[2]Baskol!$C$1294)</f>
        <v/>
      </c>
      <c r="V1291" t="str">
        <f>IF([2]Baskol!$D$1294="","",[2]Baskol!$D$1294)</f>
        <v/>
      </c>
      <c r="W1291" t="str">
        <f>IF([2]Baskol!$E$1294="","",[2]Baskol!$E$1294)</f>
        <v/>
      </c>
      <c r="X1291" t="str">
        <f>IF([2]Baskol!$G$1294="","",[2]Baskol!$G$1294)</f>
        <v/>
      </c>
      <c r="Y1291" t="str">
        <f>IF([2]Baskol!$I$1294="","",[2]Baskol!$I$1294)</f>
        <v/>
      </c>
      <c r="Z1291" t="str">
        <f>IF([2]Baskol!$J$1294="","",[2]Baskol!$J$1294)</f>
        <v/>
      </c>
      <c r="AA1291" t="str">
        <f>IF([2]Baskol!$K$1294="","",[2]Baskol!$K$1294)</f>
        <v/>
      </c>
      <c r="AB1291" t="str">
        <f>IF([2]Baskol!$L$1294="","",[2]Baskol!$L$1294)</f>
        <v/>
      </c>
      <c r="AC1291" t="str">
        <f>IF([2]Baskol!$N$1294="","",[2]Baskol!$N$1294)</f>
        <v/>
      </c>
      <c r="AD1291" t="str">
        <f>IF([2]Baskol!$O$1294="","",[2]Baskol!$O$1294)</f>
        <v/>
      </c>
      <c r="AE1291" t="str">
        <f>IF([3]Entry!$C$1294="","",[3]Entry!$C$1294)</f>
        <v/>
      </c>
      <c r="AF1291" t="str">
        <f>IF([3]Entry!$D$1294="","",[3]Entry!$D$1294)</f>
        <v/>
      </c>
      <c r="AG1291" t="str">
        <f>IF([3]Entry!$E$1294="","",[3]Entry!$E$1294)</f>
        <v/>
      </c>
      <c r="AH1291" t="str">
        <f>IF([3]Entry!$G$1294="","",[3]Entry!$G$1294)</f>
        <v/>
      </c>
      <c r="AI1291" t="str">
        <f>IF([3]Entry!$K$1294="","",[3]Entry!$K$1294)</f>
        <v/>
      </c>
      <c r="AJ1291" t="str">
        <f>IF([3]Entry!$L$1294="","",[3]Entry!$L$1294)</f>
        <v/>
      </c>
      <c r="AK1291" t="str">
        <f>IF([3]Entry!$M$1294="","",[3]Entry!$M$1294)</f>
        <v/>
      </c>
      <c r="AL1291" t="str">
        <f>IF([3]Entry!$N$1294="","",[3]Entry!$N$1294)</f>
        <v/>
      </c>
      <c r="AM1291" t="str">
        <f>IF([3]Entry!$R$1294="","",[3]Entry!$R$1294)</f>
        <v/>
      </c>
    </row>
    <row r="1292" spans="20:39" x14ac:dyDescent="0.2">
      <c r="T1292" t="str">
        <f>IF([2]Baskol!$B$1295="","",[2]Baskol!$B$1295)</f>
        <v/>
      </c>
      <c r="U1292" t="str">
        <f>IF([2]Baskol!$C$1295="","",[2]Baskol!$C$1295)</f>
        <v/>
      </c>
      <c r="V1292" t="str">
        <f>IF([2]Baskol!$D$1295="","",[2]Baskol!$D$1295)</f>
        <v/>
      </c>
      <c r="W1292" t="str">
        <f>IF([2]Baskol!$E$1295="","",[2]Baskol!$E$1295)</f>
        <v/>
      </c>
      <c r="X1292" t="str">
        <f>IF([2]Baskol!$G$1295="","",[2]Baskol!$G$1295)</f>
        <v/>
      </c>
      <c r="Y1292" t="str">
        <f>IF([2]Baskol!$I$1295="","",[2]Baskol!$I$1295)</f>
        <v/>
      </c>
      <c r="Z1292" t="str">
        <f>IF([2]Baskol!$J$1295="","",[2]Baskol!$J$1295)</f>
        <v/>
      </c>
      <c r="AA1292" t="str">
        <f>IF([2]Baskol!$K$1295="","",[2]Baskol!$K$1295)</f>
        <v/>
      </c>
      <c r="AB1292" t="str">
        <f>IF([2]Baskol!$L$1295="","",[2]Baskol!$L$1295)</f>
        <v/>
      </c>
      <c r="AC1292" t="str">
        <f>IF([2]Baskol!$N$1295="","",[2]Baskol!$N$1295)</f>
        <v/>
      </c>
      <c r="AD1292" t="str">
        <f>IF([2]Baskol!$O$1295="","",[2]Baskol!$O$1295)</f>
        <v/>
      </c>
      <c r="AE1292" t="str">
        <f>IF([3]Entry!$C$1295="","",[3]Entry!$C$1295)</f>
        <v/>
      </c>
      <c r="AF1292" t="str">
        <f>IF([3]Entry!$D$1295="","",[3]Entry!$D$1295)</f>
        <v/>
      </c>
      <c r="AG1292" t="str">
        <f>IF([3]Entry!$E$1295="","",[3]Entry!$E$1295)</f>
        <v/>
      </c>
      <c r="AH1292" t="str">
        <f>IF([3]Entry!$G$1295="","",[3]Entry!$G$1295)</f>
        <v/>
      </c>
      <c r="AI1292" t="str">
        <f>IF([3]Entry!$K$1295="","",[3]Entry!$K$1295)</f>
        <v/>
      </c>
      <c r="AJ1292" t="str">
        <f>IF([3]Entry!$L$1295="","",[3]Entry!$L$1295)</f>
        <v/>
      </c>
      <c r="AK1292" t="str">
        <f>IF([3]Entry!$M$1295="","",[3]Entry!$M$1295)</f>
        <v/>
      </c>
      <c r="AL1292" t="str">
        <f>IF([3]Entry!$N$1295="","",[3]Entry!$N$1295)</f>
        <v/>
      </c>
      <c r="AM1292" t="str">
        <f>IF([3]Entry!$R$1295="","",[3]Entry!$R$1295)</f>
        <v/>
      </c>
    </row>
    <row r="1293" spans="20:39" x14ac:dyDescent="0.2">
      <c r="T1293" t="str">
        <f>IF([2]Baskol!$B$1296="","",[2]Baskol!$B$1296)</f>
        <v/>
      </c>
      <c r="U1293" t="str">
        <f>IF([2]Baskol!$C$1296="","",[2]Baskol!$C$1296)</f>
        <v/>
      </c>
      <c r="V1293" t="str">
        <f>IF([2]Baskol!$D$1296="","",[2]Baskol!$D$1296)</f>
        <v/>
      </c>
      <c r="W1293" t="str">
        <f>IF([2]Baskol!$E$1296="","",[2]Baskol!$E$1296)</f>
        <v/>
      </c>
      <c r="X1293" t="str">
        <f>IF([2]Baskol!$G$1296="","",[2]Baskol!$G$1296)</f>
        <v/>
      </c>
      <c r="Y1293" t="str">
        <f>IF([2]Baskol!$I$1296="","",[2]Baskol!$I$1296)</f>
        <v/>
      </c>
      <c r="Z1293" t="str">
        <f>IF([2]Baskol!$J$1296="","",[2]Baskol!$J$1296)</f>
        <v/>
      </c>
      <c r="AA1293" t="str">
        <f>IF([2]Baskol!$K$1296="","",[2]Baskol!$K$1296)</f>
        <v/>
      </c>
      <c r="AB1293" t="str">
        <f>IF([2]Baskol!$L$1296="","",[2]Baskol!$L$1296)</f>
        <v/>
      </c>
      <c r="AC1293" t="str">
        <f>IF([2]Baskol!$N$1296="","",[2]Baskol!$N$1296)</f>
        <v/>
      </c>
      <c r="AD1293" t="str">
        <f>IF([2]Baskol!$O$1296="","",[2]Baskol!$O$1296)</f>
        <v/>
      </c>
      <c r="AE1293" t="str">
        <f>IF([3]Entry!$C$1296="","",[3]Entry!$C$1296)</f>
        <v/>
      </c>
      <c r="AF1293" t="str">
        <f>IF([3]Entry!$D$1296="","",[3]Entry!$D$1296)</f>
        <v/>
      </c>
      <c r="AG1293" t="str">
        <f>IF([3]Entry!$E$1296="","",[3]Entry!$E$1296)</f>
        <v/>
      </c>
      <c r="AH1293" t="str">
        <f>IF([3]Entry!$G$1296="","",[3]Entry!$G$1296)</f>
        <v/>
      </c>
      <c r="AI1293" t="str">
        <f>IF([3]Entry!$K$1296="","",[3]Entry!$K$1296)</f>
        <v/>
      </c>
      <c r="AJ1293" t="str">
        <f>IF([3]Entry!$L$1296="","",[3]Entry!$L$1296)</f>
        <v/>
      </c>
      <c r="AK1293" t="str">
        <f>IF([3]Entry!$M$1296="","",[3]Entry!$M$1296)</f>
        <v/>
      </c>
      <c r="AL1293" t="str">
        <f>IF([3]Entry!$N$1296="","",[3]Entry!$N$1296)</f>
        <v/>
      </c>
      <c r="AM1293" t="str">
        <f>IF([3]Entry!$R$1296="","",[3]Entry!$R$1296)</f>
        <v/>
      </c>
    </row>
    <row r="1294" spans="20:39" x14ac:dyDescent="0.2">
      <c r="T1294" t="str">
        <f>IF([2]Baskol!$B$1297="","",[2]Baskol!$B$1297)</f>
        <v/>
      </c>
      <c r="U1294" t="str">
        <f>IF([2]Baskol!$C$1297="","",[2]Baskol!$C$1297)</f>
        <v/>
      </c>
      <c r="V1294" t="str">
        <f>IF([2]Baskol!$D$1297="","",[2]Baskol!$D$1297)</f>
        <v/>
      </c>
      <c r="W1294" t="str">
        <f>IF([2]Baskol!$E$1297="","",[2]Baskol!$E$1297)</f>
        <v/>
      </c>
      <c r="X1294" t="str">
        <f>IF([2]Baskol!$G$1297="","",[2]Baskol!$G$1297)</f>
        <v/>
      </c>
      <c r="Y1294" t="str">
        <f>IF([2]Baskol!$I$1297="","",[2]Baskol!$I$1297)</f>
        <v/>
      </c>
      <c r="Z1294" t="str">
        <f>IF([2]Baskol!$J$1297="","",[2]Baskol!$J$1297)</f>
        <v/>
      </c>
      <c r="AA1294" t="str">
        <f>IF([2]Baskol!$K$1297="","",[2]Baskol!$K$1297)</f>
        <v/>
      </c>
      <c r="AB1294" t="str">
        <f>IF([2]Baskol!$L$1297="","",[2]Baskol!$L$1297)</f>
        <v/>
      </c>
      <c r="AC1294" t="str">
        <f>IF([2]Baskol!$N$1297="","",[2]Baskol!$N$1297)</f>
        <v/>
      </c>
      <c r="AD1294" t="str">
        <f>IF([2]Baskol!$O$1297="","",[2]Baskol!$O$1297)</f>
        <v/>
      </c>
      <c r="AE1294" t="str">
        <f>IF([3]Entry!$C$1297="","",[3]Entry!$C$1297)</f>
        <v/>
      </c>
      <c r="AF1294" t="str">
        <f>IF([3]Entry!$D$1297="","",[3]Entry!$D$1297)</f>
        <v/>
      </c>
      <c r="AG1294" t="str">
        <f>IF([3]Entry!$E$1297="","",[3]Entry!$E$1297)</f>
        <v/>
      </c>
      <c r="AH1294" t="str">
        <f>IF([3]Entry!$G$1297="","",[3]Entry!$G$1297)</f>
        <v/>
      </c>
      <c r="AI1294" t="str">
        <f>IF([3]Entry!$K$1297="","",[3]Entry!$K$1297)</f>
        <v/>
      </c>
      <c r="AJ1294" t="str">
        <f>IF([3]Entry!$L$1297="","",[3]Entry!$L$1297)</f>
        <v/>
      </c>
      <c r="AK1294" t="str">
        <f>IF([3]Entry!$M$1297="","",[3]Entry!$M$1297)</f>
        <v/>
      </c>
      <c r="AL1294" t="str">
        <f>IF([3]Entry!$N$1297="","",[3]Entry!$N$1297)</f>
        <v/>
      </c>
      <c r="AM1294" t="str">
        <f>IF([3]Entry!$R$1297="","",[3]Entry!$R$1297)</f>
        <v/>
      </c>
    </row>
    <row r="1295" spans="20:39" x14ac:dyDescent="0.2">
      <c r="T1295" t="str">
        <f>IF([2]Baskol!$B$1298="","",[2]Baskol!$B$1298)</f>
        <v/>
      </c>
      <c r="U1295" t="str">
        <f>IF([2]Baskol!$C$1298="","",[2]Baskol!$C$1298)</f>
        <v/>
      </c>
      <c r="V1295" t="str">
        <f>IF([2]Baskol!$D$1298="","",[2]Baskol!$D$1298)</f>
        <v/>
      </c>
      <c r="W1295" t="str">
        <f>IF([2]Baskol!$E$1298="","",[2]Baskol!$E$1298)</f>
        <v/>
      </c>
      <c r="X1295" t="str">
        <f>IF([2]Baskol!$G$1298="","",[2]Baskol!$G$1298)</f>
        <v/>
      </c>
      <c r="Y1295" t="str">
        <f>IF([2]Baskol!$I$1298="","",[2]Baskol!$I$1298)</f>
        <v/>
      </c>
      <c r="Z1295" t="str">
        <f>IF([2]Baskol!$J$1298="","",[2]Baskol!$J$1298)</f>
        <v/>
      </c>
      <c r="AA1295" t="str">
        <f>IF([2]Baskol!$K$1298="","",[2]Baskol!$K$1298)</f>
        <v/>
      </c>
      <c r="AB1295" t="str">
        <f>IF([2]Baskol!$L$1298="","",[2]Baskol!$L$1298)</f>
        <v/>
      </c>
      <c r="AC1295" t="str">
        <f>IF([2]Baskol!$N$1298="","",[2]Baskol!$N$1298)</f>
        <v/>
      </c>
      <c r="AD1295" t="str">
        <f>IF([2]Baskol!$O$1298="","",[2]Baskol!$O$1298)</f>
        <v/>
      </c>
      <c r="AE1295" t="str">
        <f>IF([3]Entry!$C$1298="","",[3]Entry!$C$1298)</f>
        <v/>
      </c>
      <c r="AF1295" t="str">
        <f>IF([3]Entry!$D$1298="","",[3]Entry!$D$1298)</f>
        <v/>
      </c>
      <c r="AG1295" t="str">
        <f>IF([3]Entry!$E$1298="","",[3]Entry!$E$1298)</f>
        <v/>
      </c>
      <c r="AH1295" t="str">
        <f>IF([3]Entry!$G$1298="","",[3]Entry!$G$1298)</f>
        <v/>
      </c>
      <c r="AI1295" t="str">
        <f>IF([3]Entry!$K$1298="","",[3]Entry!$K$1298)</f>
        <v/>
      </c>
      <c r="AJ1295" t="str">
        <f>IF([3]Entry!$L$1298="","",[3]Entry!$L$1298)</f>
        <v/>
      </c>
      <c r="AK1295" t="str">
        <f>IF([3]Entry!$M$1298="","",[3]Entry!$M$1298)</f>
        <v/>
      </c>
      <c r="AL1295" t="str">
        <f>IF([3]Entry!$N$1298="","",[3]Entry!$N$1298)</f>
        <v/>
      </c>
      <c r="AM1295" t="str">
        <f>IF([3]Entry!$R$1298="","",[3]Entry!$R$1298)</f>
        <v/>
      </c>
    </row>
    <row r="1296" spans="20:39" x14ac:dyDescent="0.2">
      <c r="T1296" t="str">
        <f>IF([2]Baskol!$B$1299="","",[2]Baskol!$B$1299)</f>
        <v/>
      </c>
      <c r="U1296" t="str">
        <f>IF([2]Baskol!$C$1299="","",[2]Baskol!$C$1299)</f>
        <v/>
      </c>
      <c r="V1296" t="str">
        <f>IF([2]Baskol!$D$1299="","",[2]Baskol!$D$1299)</f>
        <v/>
      </c>
      <c r="W1296" t="str">
        <f>IF([2]Baskol!$E$1299="","",[2]Baskol!$E$1299)</f>
        <v/>
      </c>
      <c r="X1296" t="str">
        <f>IF([2]Baskol!$G$1299="","",[2]Baskol!$G$1299)</f>
        <v/>
      </c>
      <c r="Y1296" t="str">
        <f>IF([2]Baskol!$I$1299="","",[2]Baskol!$I$1299)</f>
        <v/>
      </c>
      <c r="Z1296" t="str">
        <f>IF([2]Baskol!$J$1299="","",[2]Baskol!$J$1299)</f>
        <v/>
      </c>
      <c r="AA1296" t="str">
        <f>IF([2]Baskol!$K$1299="","",[2]Baskol!$K$1299)</f>
        <v/>
      </c>
      <c r="AB1296" t="str">
        <f>IF([2]Baskol!$L$1299="","",[2]Baskol!$L$1299)</f>
        <v/>
      </c>
      <c r="AC1296" t="str">
        <f>IF([2]Baskol!$N$1299="","",[2]Baskol!$N$1299)</f>
        <v/>
      </c>
      <c r="AD1296" t="str">
        <f>IF([2]Baskol!$O$1299="","",[2]Baskol!$O$1299)</f>
        <v/>
      </c>
      <c r="AE1296" t="str">
        <f>IF([3]Entry!$C$1299="","",[3]Entry!$C$1299)</f>
        <v/>
      </c>
      <c r="AF1296" t="str">
        <f>IF([3]Entry!$D$1299="","",[3]Entry!$D$1299)</f>
        <v/>
      </c>
      <c r="AG1296" t="str">
        <f>IF([3]Entry!$E$1299="","",[3]Entry!$E$1299)</f>
        <v/>
      </c>
      <c r="AH1296" t="str">
        <f>IF([3]Entry!$G$1299="","",[3]Entry!$G$1299)</f>
        <v/>
      </c>
      <c r="AI1296" t="str">
        <f>IF([3]Entry!$K$1299="","",[3]Entry!$K$1299)</f>
        <v/>
      </c>
      <c r="AJ1296" t="str">
        <f>IF([3]Entry!$L$1299="","",[3]Entry!$L$1299)</f>
        <v/>
      </c>
      <c r="AK1296" t="str">
        <f>IF([3]Entry!$M$1299="","",[3]Entry!$M$1299)</f>
        <v/>
      </c>
      <c r="AL1296" t="str">
        <f>IF([3]Entry!$N$1299="","",[3]Entry!$N$1299)</f>
        <v/>
      </c>
      <c r="AM1296" t="str">
        <f>IF([3]Entry!$R$1299="","",[3]Entry!$R$1299)</f>
        <v/>
      </c>
    </row>
    <row r="1297" spans="20:39" x14ac:dyDescent="0.2">
      <c r="T1297" t="str">
        <f>IF([2]Baskol!$B$1300="","",[2]Baskol!$B$1300)</f>
        <v/>
      </c>
      <c r="U1297" t="str">
        <f>IF([2]Baskol!$C$1300="","",[2]Baskol!$C$1300)</f>
        <v/>
      </c>
      <c r="V1297" t="str">
        <f>IF([2]Baskol!$D$1300="","",[2]Baskol!$D$1300)</f>
        <v/>
      </c>
      <c r="W1297" t="str">
        <f>IF([2]Baskol!$E$1300="","",[2]Baskol!$E$1300)</f>
        <v/>
      </c>
      <c r="X1297" t="str">
        <f>IF([2]Baskol!$G$1300="","",[2]Baskol!$G$1300)</f>
        <v/>
      </c>
      <c r="Y1297" t="str">
        <f>IF([2]Baskol!$I$1300="","",[2]Baskol!$I$1300)</f>
        <v/>
      </c>
      <c r="Z1297" t="str">
        <f>IF([2]Baskol!$J$1300="","",[2]Baskol!$J$1300)</f>
        <v/>
      </c>
      <c r="AA1297" t="str">
        <f>IF([2]Baskol!$K$1300="","",[2]Baskol!$K$1300)</f>
        <v/>
      </c>
      <c r="AB1297" t="str">
        <f>IF([2]Baskol!$L$1300="","",[2]Baskol!$L$1300)</f>
        <v/>
      </c>
      <c r="AC1297" t="str">
        <f>IF([2]Baskol!$N$1300="","",[2]Baskol!$N$1300)</f>
        <v/>
      </c>
      <c r="AD1297" t="str">
        <f>IF([2]Baskol!$O$1300="","",[2]Baskol!$O$1300)</f>
        <v/>
      </c>
      <c r="AE1297" t="str">
        <f>IF([3]Entry!$C$1300="","",[3]Entry!$C$1300)</f>
        <v/>
      </c>
      <c r="AF1297" t="str">
        <f>IF([3]Entry!$D$1300="","",[3]Entry!$D$1300)</f>
        <v/>
      </c>
      <c r="AG1297" t="str">
        <f>IF([3]Entry!$E$1300="","",[3]Entry!$E$1300)</f>
        <v/>
      </c>
      <c r="AH1297" t="str">
        <f>IF([3]Entry!$G$1300="","",[3]Entry!$G$1300)</f>
        <v/>
      </c>
      <c r="AI1297" t="str">
        <f>IF([3]Entry!$K$1300="","",[3]Entry!$K$1300)</f>
        <v/>
      </c>
      <c r="AJ1297" t="str">
        <f>IF([3]Entry!$L$1300="","",[3]Entry!$L$1300)</f>
        <v/>
      </c>
      <c r="AK1297" t="str">
        <f>IF([3]Entry!$M$1300="","",[3]Entry!$M$1300)</f>
        <v/>
      </c>
      <c r="AL1297" t="str">
        <f>IF([3]Entry!$N$1300="","",[3]Entry!$N$1300)</f>
        <v/>
      </c>
      <c r="AM1297" t="str">
        <f>IF([3]Entry!$R$1300="","",[3]Entry!$R$1300)</f>
        <v/>
      </c>
    </row>
    <row r="1298" spans="20:39" x14ac:dyDescent="0.2">
      <c r="T1298" t="str">
        <f>IF([2]Baskol!$B$1301="","",[2]Baskol!$B$1301)</f>
        <v/>
      </c>
      <c r="U1298" t="str">
        <f>IF([2]Baskol!$C$1301="","",[2]Baskol!$C$1301)</f>
        <v/>
      </c>
      <c r="V1298" t="str">
        <f>IF([2]Baskol!$D$1301="","",[2]Baskol!$D$1301)</f>
        <v/>
      </c>
      <c r="W1298" t="str">
        <f>IF([2]Baskol!$E$1301="","",[2]Baskol!$E$1301)</f>
        <v/>
      </c>
      <c r="X1298" t="str">
        <f>IF([2]Baskol!$G$1301="","",[2]Baskol!$G$1301)</f>
        <v/>
      </c>
      <c r="Y1298" t="str">
        <f>IF([2]Baskol!$I$1301="","",[2]Baskol!$I$1301)</f>
        <v/>
      </c>
      <c r="Z1298" t="str">
        <f>IF([2]Baskol!$J$1301="","",[2]Baskol!$J$1301)</f>
        <v/>
      </c>
      <c r="AA1298" t="str">
        <f>IF([2]Baskol!$K$1301="","",[2]Baskol!$K$1301)</f>
        <v/>
      </c>
      <c r="AB1298" t="str">
        <f>IF([2]Baskol!$L$1301="","",[2]Baskol!$L$1301)</f>
        <v/>
      </c>
      <c r="AC1298" t="str">
        <f>IF([2]Baskol!$N$1301="","",[2]Baskol!$N$1301)</f>
        <v/>
      </c>
      <c r="AD1298" t="str">
        <f>IF([2]Baskol!$O$1301="","",[2]Baskol!$O$1301)</f>
        <v/>
      </c>
      <c r="AE1298" t="str">
        <f>IF([3]Entry!$C$1301="","",[3]Entry!$C$1301)</f>
        <v/>
      </c>
      <c r="AF1298" t="str">
        <f>IF([3]Entry!$D$1301="","",[3]Entry!$D$1301)</f>
        <v/>
      </c>
      <c r="AG1298" t="str">
        <f>IF([3]Entry!$E$1301="","",[3]Entry!$E$1301)</f>
        <v/>
      </c>
      <c r="AH1298" t="str">
        <f>IF([3]Entry!$G$1301="","",[3]Entry!$G$1301)</f>
        <v/>
      </c>
      <c r="AI1298" t="str">
        <f>IF([3]Entry!$K$1301="","",[3]Entry!$K$1301)</f>
        <v/>
      </c>
      <c r="AJ1298" t="str">
        <f>IF([3]Entry!$L$1301="","",[3]Entry!$L$1301)</f>
        <v/>
      </c>
      <c r="AK1298" t="str">
        <f>IF([3]Entry!$M$1301="","",[3]Entry!$M$1301)</f>
        <v/>
      </c>
      <c r="AL1298" t="str">
        <f>IF([3]Entry!$N$1301="","",[3]Entry!$N$1301)</f>
        <v/>
      </c>
      <c r="AM1298" t="str">
        <f>IF([3]Entry!$R$1301="","",[3]Entry!$R$1301)</f>
        <v/>
      </c>
    </row>
    <row r="1299" spans="20:39" x14ac:dyDescent="0.2">
      <c r="T1299" t="str">
        <f>IF([2]Baskol!$B$1302="","",[2]Baskol!$B$1302)</f>
        <v/>
      </c>
      <c r="U1299" t="str">
        <f>IF([2]Baskol!$C$1302="","",[2]Baskol!$C$1302)</f>
        <v/>
      </c>
      <c r="V1299" t="str">
        <f>IF([2]Baskol!$D$1302="","",[2]Baskol!$D$1302)</f>
        <v/>
      </c>
      <c r="W1299" t="str">
        <f>IF([2]Baskol!$E$1302="","",[2]Baskol!$E$1302)</f>
        <v/>
      </c>
      <c r="X1299" t="str">
        <f>IF([2]Baskol!$G$1302="","",[2]Baskol!$G$1302)</f>
        <v/>
      </c>
      <c r="Y1299" t="str">
        <f>IF([2]Baskol!$I$1302="","",[2]Baskol!$I$1302)</f>
        <v/>
      </c>
      <c r="Z1299" t="str">
        <f>IF([2]Baskol!$J$1302="","",[2]Baskol!$J$1302)</f>
        <v/>
      </c>
      <c r="AA1299" t="str">
        <f>IF([2]Baskol!$K$1302="","",[2]Baskol!$K$1302)</f>
        <v/>
      </c>
      <c r="AB1299" t="str">
        <f>IF([2]Baskol!$L$1302="","",[2]Baskol!$L$1302)</f>
        <v/>
      </c>
      <c r="AC1299" t="str">
        <f>IF([2]Baskol!$N$1302="","",[2]Baskol!$N$1302)</f>
        <v/>
      </c>
      <c r="AD1299" t="str">
        <f>IF([2]Baskol!$O$1302="","",[2]Baskol!$O$1302)</f>
        <v/>
      </c>
      <c r="AE1299" t="str">
        <f>IF([3]Entry!$C$1302="","",[3]Entry!$C$1302)</f>
        <v/>
      </c>
      <c r="AF1299" t="str">
        <f>IF([3]Entry!$D$1302="","",[3]Entry!$D$1302)</f>
        <v/>
      </c>
      <c r="AG1299" t="str">
        <f>IF([3]Entry!$E$1302="","",[3]Entry!$E$1302)</f>
        <v/>
      </c>
      <c r="AH1299" t="str">
        <f>IF([3]Entry!$G$1302="","",[3]Entry!$G$1302)</f>
        <v/>
      </c>
      <c r="AI1299" t="str">
        <f>IF([3]Entry!$K$1302="","",[3]Entry!$K$1302)</f>
        <v/>
      </c>
      <c r="AJ1299" t="str">
        <f>IF([3]Entry!$L$1302="","",[3]Entry!$L$1302)</f>
        <v/>
      </c>
      <c r="AK1299" t="str">
        <f>IF([3]Entry!$M$1302="","",[3]Entry!$M$1302)</f>
        <v/>
      </c>
      <c r="AL1299" t="str">
        <f>IF([3]Entry!$N$1302="","",[3]Entry!$N$1302)</f>
        <v/>
      </c>
      <c r="AM1299" t="str">
        <f>IF([3]Entry!$R$1302="","",[3]Entry!$R$1302)</f>
        <v/>
      </c>
    </row>
    <row r="1300" spans="20:39" x14ac:dyDescent="0.2">
      <c r="T1300" t="str">
        <f>IF([2]Baskol!$B$1303="","",[2]Baskol!$B$1303)</f>
        <v/>
      </c>
      <c r="U1300" t="str">
        <f>IF([2]Baskol!$C$1303="","",[2]Baskol!$C$1303)</f>
        <v/>
      </c>
      <c r="V1300" t="str">
        <f>IF([2]Baskol!$D$1303="","",[2]Baskol!$D$1303)</f>
        <v/>
      </c>
      <c r="W1300" t="str">
        <f>IF([2]Baskol!$E$1303="","",[2]Baskol!$E$1303)</f>
        <v/>
      </c>
      <c r="X1300" t="str">
        <f>IF([2]Baskol!$G$1303="","",[2]Baskol!$G$1303)</f>
        <v/>
      </c>
      <c r="Y1300" t="str">
        <f>IF([2]Baskol!$I$1303="","",[2]Baskol!$I$1303)</f>
        <v/>
      </c>
      <c r="Z1300" t="str">
        <f>IF([2]Baskol!$J$1303="","",[2]Baskol!$J$1303)</f>
        <v/>
      </c>
      <c r="AA1300" t="str">
        <f>IF([2]Baskol!$K$1303="","",[2]Baskol!$K$1303)</f>
        <v/>
      </c>
      <c r="AB1300" t="str">
        <f>IF([2]Baskol!$L$1303="","",[2]Baskol!$L$1303)</f>
        <v/>
      </c>
      <c r="AC1300" t="str">
        <f>IF([2]Baskol!$N$1303="","",[2]Baskol!$N$1303)</f>
        <v/>
      </c>
      <c r="AD1300" t="str">
        <f>IF([2]Baskol!$O$1303="","",[2]Baskol!$O$1303)</f>
        <v/>
      </c>
      <c r="AE1300" t="str">
        <f>IF([3]Entry!$C$1303="","",[3]Entry!$C$1303)</f>
        <v/>
      </c>
      <c r="AF1300" t="str">
        <f>IF([3]Entry!$D$1303="","",[3]Entry!$D$1303)</f>
        <v/>
      </c>
      <c r="AG1300" t="str">
        <f>IF([3]Entry!$E$1303="","",[3]Entry!$E$1303)</f>
        <v/>
      </c>
      <c r="AH1300" t="str">
        <f>IF([3]Entry!$G$1303="","",[3]Entry!$G$1303)</f>
        <v/>
      </c>
      <c r="AI1300" t="str">
        <f>IF([3]Entry!$K$1303="","",[3]Entry!$K$1303)</f>
        <v/>
      </c>
      <c r="AJ1300" t="str">
        <f>IF([3]Entry!$L$1303="","",[3]Entry!$L$1303)</f>
        <v/>
      </c>
      <c r="AK1300" t="str">
        <f>IF([3]Entry!$M$1303="","",[3]Entry!$M$1303)</f>
        <v/>
      </c>
      <c r="AL1300" t="str">
        <f>IF([3]Entry!$N$1303="","",[3]Entry!$N$1303)</f>
        <v/>
      </c>
      <c r="AM1300" t="str">
        <f>IF([3]Entry!$R$1303="","",[3]Entry!$R$1303)</f>
        <v/>
      </c>
    </row>
    <row r="1301" spans="20:39" x14ac:dyDescent="0.2">
      <c r="T1301" t="str">
        <f>IF([2]Baskol!$B$1304="","",[2]Baskol!$B$1304)</f>
        <v/>
      </c>
      <c r="U1301" t="str">
        <f>IF([2]Baskol!$C$1304="","",[2]Baskol!$C$1304)</f>
        <v/>
      </c>
      <c r="V1301" t="str">
        <f>IF([2]Baskol!$D$1304="","",[2]Baskol!$D$1304)</f>
        <v/>
      </c>
      <c r="W1301" t="str">
        <f>IF([2]Baskol!$E$1304="","",[2]Baskol!$E$1304)</f>
        <v/>
      </c>
      <c r="X1301" t="str">
        <f>IF([2]Baskol!$G$1304="","",[2]Baskol!$G$1304)</f>
        <v/>
      </c>
      <c r="Y1301" t="str">
        <f>IF([2]Baskol!$I$1304="","",[2]Baskol!$I$1304)</f>
        <v/>
      </c>
      <c r="Z1301" t="str">
        <f>IF([2]Baskol!$J$1304="","",[2]Baskol!$J$1304)</f>
        <v/>
      </c>
      <c r="AA1301" t="str">
        <f>IF([2]Baskol!$K$1304="","",[2]Baskol!$K$1304)</f>
        <v/>
      </c>
      <c r="AB1301" t="str">
        <f>IF([2]Baskol!$L$1304="","",[2]Baskol!$L$1304)</f>
        <v/>
      </c>
      <c r="AC1301" t="str">
        <f>IF([2]Baskol!$N$1304="","",[2]Baskol!$N$1304)</f>
        <v/>
      </c>
      <c r="AD1301" t="str">
        <f>IF([2]Baskol!$O$1304="","",[2]Baskol!$O$1304)</f>
        <v/>
      </c>
      <c r="AE1301" t="str">
        <f>IF([3]Entry!$C$1304="","",[3]Entry!$C$1304)</f>
        <v/>
      </c>
      <c r="AF1301" t="str">
        <f>IF([3]Entry!$D$1304="","",[3]Entry!$D$1304)</f>
        <v/>
      </c>
      <c r="AG1301" t="str">
        <f>IF([3]Entry!$E$1304="","",[3]Entry!$E$1304)</f>
        <v/>
      </c>
      <c r="AH1301" t="str">
        <f>IF([3]Entry!$G$1304="","",[3]Entry!$G$1304)</f>
        <v/>
      </c>
      <c r="AI1301" t="str">
        <f>IF([3]Entry!$K$1304="","",[3]Entry!$K$1304)</f>
        <v/>
      </c>
      <c r="AJ1301" t="str">
        <f>IF([3]Entry!$L$1304="","",[3]Entry!$L$1304)</f>
        <v/>
      </c>
      <c r="AK1301" t="str">
        <f>IF([3]Entry!$M$1304="","",[3]Entry!$M$1304)</f>
        <v/>
      </c>
      <c r="AL1301" t="str">
        <f>IF([3]Entry!$N$1304="","",[3]Entry!$N$1304)</f>
        <v/>
      </c>
      <c r="AM1301" t="str">
        <f>IF([3]Entry!$R$1304="","",[3]Entry!$R$1304)</f>
        <v/>
      </c>
    </row>
    <row r="1302" spans="20:39" x14ac:dyDescent="0.2">
      <c r="T1302" t="str">
        <f>IF([2]Baskol!$B$1305="","",[2]Baskol!$B$1305)</f>
        <v/>
      </c>
      <c r="U1302" t="str">
        <f>IF([2]Baskol!$C$1305="","",[2]Baskol!$C$1305)</f>
        <v/>
      </c>
      <c r="V1302" t="str">
        <f>IF([2]Baskol!$D$1305="","",[2]Baskol!$D$1305)</f>
        <v/>
      </c>
      <c r="W1302" t="str">
        <f>IF([2]Baskol!$E$1305="","",[2]Baskol!$E$1305)</f>
        <v/>
      </c>
      <c r="X1302" t="str">
        <f>IF([2]Baskol!$G$1305="","",[2]Baskol!$G$1305)</f>
        <v/>
      </c>
      <c r="Y1302" t="str">
        <f>IF([2]Baskol!$I$1305="","",[2]Baskol!$I$1305)</f>
        <v/>
      </c>
      <c r="Z1302" t="str">
        <f>IF([2]Baskol!$J$1305="","",[2]Baskol!$J$1305)</f>
        <v/>
      </c>
      <c r="AA1302" t="str">
        <f>IF([2]Baskol!$K$1305="","",[2]Baskol!$K$1305)</f>
        <v/>
      </c>
      <c r="AB1302" t="str">
        <f>IF([2]Baskol!$L$1305="","",[2]Baskol!$L$1305)</f>
        <v/>
      </c>
      <c r="AC1302" t="str">
        <f>IF([2]Baskol!$N$1305="","",[2]Baskol!$N$1305)</f>
        <v/>
      </c>
      <c r="AD1302" t="str">
        <f>IF([2]Baskol!$O$1305="","",[2]Baskol!$O$1305)</f>
        <v/>
      </c>
      <c r="AE1302" t="str">
        <f>IF([3]Entry!$C$1305="","",[3]Entry!$C$1305)</f>
        <v/>
      </c>
      <c r="AF1302" t="str">
        <f>IF([3]Entry!$D$1305="","",[3]Entry!$D$1305)</f>
        <v/>
      </c>
      <c r="AG1302" t="str">
        <f>IF([3]Entry!$E$1305="","",[3]Entry!$E$1305)</f>
        <v/>
      </c>
      <c r="AH1302" t="str">
        <f>IF([3]Entry!$G$1305="","",[3]Entry!$G$1305)</f>
        <v/>
      </c>
      <c r="AI1302" t="str">
        <f>IF([3]Entry!$K$1305="","",[3]Entry!$K$1305)</f>
        <v/>
      </c>
      <c r="AJ1302" t="str">
        <f>IF([3]Entry!$L$1305="","",[3]Entry!$L$1305)</f>
        <v/>
      </c>
      <c r="AK1302" t="str">
        <f>IF([3]Entry!$M$1305="","",[3]Entry!$M$1305)</f>
        <v/>
      </c>
      <c r="AL1302" t="str">
        <f>IF([3]Entry!$N$1305="","",[3]Entry!$N$1305)</f>
        <v/>
      </c>
      <c r="AM1302" t="str">
        <f>IF([3]Entry!$R$1305="","",[3]Entry!$R$1305)</f>
        <v/>
      </c>
    </row>
    <row r="1303" spans="20:39" x14ac:dyDescent="0.2">
      <c r="T1303" t="str">
        <f>IF([2]Baskol!$B$1306="","",[2]Baskol!$B$1306)</f>
        <v/>
      </c>
      <c r="U1303" t="str">
        <f>IF([2]Baskol!$C$1306="","",[2]Baskol!$C$1306)</f>
        <v/>
      </c>
      <c r="V1303" t="str">
        <f>IF([2]Baskol!$D$1306="","",[2]Baskol!$D$1306)</f>
        <v/>
      </c>
      <c r="W1303" t="str">
        <f>IF([2]Baskol!$E$1306="","",[2]Baskol!$E$1306)</f>
        <v/>
      </c>
      <c r="X1303" t="str">
        <f>IF([2]Baskol!$G$1306="","",[2]Baskol!$G$1306)</f>
        <v/>
      </c>
      <c r="Y1303" t="str">
        <f>IF([2]Baskol!$I$1306="","",[2]Baskol!$I$1306)</f>
        <v/>
      </c>
      <c r="Z1303" t="str">
        <f>IF([2]Baskol!$J$1306="","",[2]Baskol!$J$1306)</f>
        <v/>
      </c>
      <c r="AA1303" t="str">
        <f>IF([2]Baskol!$K$1306="","",[2]Baskol!$K$1306)</f>
        <v/>
      </c>
      <c r="AB1303" t="str">
        <f>IF([2]Baskol!$L$1306="","",[2]Baskol!$L$1306)</f>
        <v/>
      </c>
      <c r="AC1303" t="str">
        <f>IF([2]Baskol!$N$1306="","",[2]Baskol!$N$1306)</f>
        <v/>
      </c>
      <c r="AD1303" t="str">
        <f>IF([2]Baskol!$O$1306="","",[2]Baskol!$O$1306)</f>
        <v/>
      </c>
      <c r="AE1303" t="str">
        <f>IF([3]Entry!$C$1306="","",[3]Entry!$C$1306)</f>
        <v/>
      </c>
      <c r="AF1303" t="str">
        <f>IF([3]Entry!$D$1306="","",[3]Entry!$D$1306)</f>
        <v/>
      </c>
      <c r="AG1303" t="str">
        <f>IF([3]Entry!$E$1306="","",[3]Entry!$E$1306)</f>
        <v/>
      </c>
      <c r="AH1303" t="str">
        <f>IF([3]Entry!$G$1306="","",[3]Entry!$G$1306)</f>
        <v/>
      </c>
      <c r="AI1303" t="str">
        <f>IF([3]Entry!$K$1306="","",[3]Entry!$K$1306)</f>
        <v/>
      </c>
      <c r="AJ1303" t="str">
        <f>IF([3]Entry!$L$1306="","",[3]Entry!$L$1306)</f>
        <v/>
      </c>
      <c r="AK1303" t="str">
        <f>IF([3]Entry!$M$1306="","",[3]Entry!$M$1306)</f>
        <v/>
      </c>
      <c r="AL1303" t="str">
        <f>IF([3]Entry!$N$1306="","",[3]Entry!$N$1306)</f>
        <v/>
      </c>
      <c r="AM1303" t="str">
        <f>IF([3]Entry!$R$1306="","",[3]Entry!$R$1306)</f>
        <v/>
      </c>
    </row>
    <row r="1304" spans="20:39" x14ac:dyDescent="0.2">
      <c r="T1304" t="str">
        <f>IF([2]Baskol!$B$1307="","",[2]Baskol!$B$1307)</f>
        <v/>
      </c>
      <c r="U1304" t="str">
        <f>IF([2]Baskol!$C$1307="","",[2]Baskol!$C$1307)</f>
        <v/>
      </c>
      <c r="V1304" t="str">
        <f>IF([2]Baskol!$D$1307="","",[2]Baskol!$D$1307)</f>
        <v/>
      </c>
      <c r="W1304" t="str">
        <f>IF([2]Baskol!$E$1307="","",[2]Baskol!$E$1307)</f>
        <v/>
      </c>
      <c r="X1304" t="str">
        <f>IF([2]Baskol!$G$1307="","",[2]Baskol!$G$1307)</f>
        <v/>
      </c>
      <c r="Y1304" t="str">
        <f>IF([2]Baskol!$I$1307="","",[2]Baskol!$I$1307)</f>
        <v/>
      </c>
      <c r="Z1304" t="str">
        <f>IF([2]Baskol!$J$1307="","",[2]Baskol!$J$1307)</f>
        <v/>
      </c>
      <c r="AA1304" t="str">
        <f>IF([2]Baskol!$K$1307="","",[2]Baskol!$K$1307)</f>
        <v/>
      </c>
      <c r="AB1304" t="str">
        <f>IF([2]Baskol!$L$1307="","",[2]Baskol!$L$1307)</f>
        <v/>
      </c>
      <c r="AC1304" t="str">
        <f>IF([2]Baskol!$N$1307="","",[2]Baskol!$N$1307)</f>
        <v/>
      </c>
      <c r="AD1304" t="str">
        <f>IF([2]Baskol!$O$1307="","",[2]Baskol!$O$1307)</f>
        <v/>
      </c>
      <c r="AE1304" t="str">
        <f>IF([3]Entry!$C$1307="","",[3]Entry!$C$1307)</f>
        <v/>
      </c>
      <c r="AF1304" t="str">
        <f>IF([3]Entry!$D$1307="","",[3]Entry!$D$1307)</f>
        <v/>
      </c>
      <c r="AG1304" t="str">
        <f>IF([3]Entry!$E$1307="","",[3]Entry!$E$1307)</f>
        <v/>
      </c>
      <c r="AH1304" t="str">
        <f>IF([3]Entry!$G$1307="","",[3]Entry!$G$1307)</f>
        <v/>
      </c>
      <c r="AI1304" t="str">
        <f>IF([3]Entry!$K$1307="","",[3]Entry!$K$1307)</f>
        <v/>
      </c>
      <c r="AJ1304" t="str">
        <f>IF([3]Entry!$L$1307="","",[3]Entry!$L$1307)</f>
        <v/>
      </c>
      <c r="AK1304" t="str">
        <f>IF([3]Entry!$M$1307="","",[3]Entry!$M$1307)</f>
        <v/>
      </c>
      <c r="AL1304" t="str">
        <f>IF([3]Entry!$N$1307="","",[3]Entry!$N$1307)</f>
        <v/>
      </c>
      <c r="AM1304" t="str">
        <f>IF([3]Entry!$R$1307="","",[3]Entry!$R$1307)</f>
        <v/>
      </c>
    </row>
    <row r="1305" spans="20:39" x14ac:dyDescent="0.2">
      <c r="T1305" t="str">
        <f>IF([2]Baskol!$B$1308="","",[2]Baskol!$B$1308)</f>
        <v/>
      </c>
      <c r="U1305" t="str">
        <f>IF([2]Baskol!$C$1308="","",[2]Baskol!$C$1308)</f>
        <v/>
      </c>
      <c r="V1305" t="str">
        <f>IF([2]Baskol!$D$1308="","",[2]Baskol!$D$1308)</f>
        <v/>
      </c>
      <c r="W1305" t="str">
        <f>IF([2]Baskol!$E$1308="","",[2]Baskol!$E$1308)</f>
        <v/>
      </c>
      <c r="X1305" t="str">
        <f>IF([2]Baskol!$G$1308="","",[2]Baskol!$G$1308)</f>
        <v/>
      </c>
      <c r="Y1305" t="str">
        <f>IF([2]Baskol!$I$1308="","",[2]Baskol!$I$1308)</f>
        <v/>
      </c>
      <c r="Z1305" t="str">
        <f>IF([2]Baskol!$J$1308="","",[2]Baskol!$J$1308)</f>
        <v/>
      </c>
      <c r="AA1305" t="str">
        <f>IF([2]Baskol!$K$1308="","",[2]Baskol!$K$1308)</f>
        <v/>
      </c>
      <c r="AB1305" t="str">
        <f>IF([2]Baskol!$L$1308="","",[2]Baskol!$L$1308)</f>
        <v/>
      </c>
      <c r="AC1305" t="str">
        <f>IF([2]Baskol!$N$1308="","",[2]Baskol!$N$1308)</f>
        <v/>
      </c>
      <c r="AD1305" t="str">
        <f>IF([2]Baskol!$O$1308="","",[2]Baskol!$O$1308)</f>
        <v/>
      </c>
      <c r="AE1305" t="str">
        <f>IF([3]Entry!$C$1308="","",[3]Entry!$C$1308)</f>
        <v/>
      </c>
      <c r="AF1305" t="str">
        <f>IF([3]Entry!$D$1308="","",[3]Entry!$D$1308)</f>
        <v/>
      </c>
      <c r="AG1305" t="str">
        <f>IF([3]Entry!$E$1308="","",[3]Entry!$E$1308)</f>
        <v/>
      </c>
      <c r="AH1305" t="str">
        <f>IF([3]Entry!$G$1308="","",[3]Entry!$G$1308)</f>
        <v/>
      </c>
      <c r="AI1305" t="str">
        <f>IF([3]Entry!$K$1308="","",[3]Entry!$K$1308)</f>
        <v/>
      </c>
      <c r="AJ1305" t="str">
        <f>IF([3]Entry!$L$1308="","",[3]Entry!$L$1308)</f>
        <v/>
      </c>
      <c r="AK1305" t="str">
        <f>IF([3]Entry!$M$1308="","",[3]Entry!$M$1308)</f>
        <v/>
      </c>
      <c r="AL1305" t="str">
        <f>IF([3]Entry!$N$1308="","",[3]Entry!$N$1308)</f>
        <v/>
      </c>
      <c r="AM1305" t="str">
        <f>IF([3]Entry!$R$1308="","",[3]Entry!$R$1308)</f>
        <v/>
      </c>
    </row>
    <row r="1306" spans="20:39" x14ac:dyDescent="0.2">
      <c r="T1306" t="str">
        <f>IF([2]Baskol!$B$1309="","",[2]Baskol!$B$1309)</f>
        <v/>
      </c>
      <c r="U1306" t="str">
        <f>IF([2]Baskol!$C$1309="","",[2]Baskol!$C$1309)</f>
        <v/>
      </c>
      <c r="V1306" t="str">
        <f>IF([2]Baskol!$D$1309="","",[2]Baskol!$D$1309)</f>
        <v/>
      </c>
      <c r="W1306" t="str">
        <f>IF([2]Baskol!$E$1309="","",[2]Baskol!$E$1309)</f>
        <v/>
      </c>
      <c r="X1306" t="str">
        <f>IF([2]Baskol!$G$1309="","",[2]Baskol!$G$1309)</f>
        <v/>
      </c>
      <c r="Y1306" t="str">
        <f>IF([2]Baskol!$I$1309="","",[2]Baskol!$I$1309)</f>
        <v/>
      </c>
      <c r="Z1306" t="str">
        <f>IF([2]Baskol!$J$1309="","",[2]Baskol!$J$1309)</f>
        <v/>
      </c>
      <c r="AA1306" t="str">
        <f>IF([2]Baskol!$K$1309="","",[2]Baskol!$K$1309)</f>
        <v/>
      </c>
      <c r="AB1306" t="str">
        <f>IF([2]Baskol!$L$1309="","",[2]Baskol!$L$1309)</f>
        <v/>
      </c>
      <c r="AC1306" t="str">
        <f>IF([2]Baskol!$N$1309="","",[2]Baskol!$N$1309)</f>
        <v/>
      </c>
      <c r="AD1306" t="str">
        <f>IF([2]Baskol!$O$1309="","",[2]Baskol!$O$1309)</f>
        <v/>
      </c>
      <c r="AE1306" t="str">
        <f>IF([3]Entry!$C$1309="","",[3]Entry!$C$1309)</f>
        <v/>
      </c>
      <c r="AF1306" t="str">
        <f>IF([3]Entry!$D$1309="","",[3]Entry!$D$1309)</f>
        <v/>
      </c>
      <c r="AG1306" t="str">
        <f>IF([3]Entry!$E$1309="","",[3]Entry!$E$1309)</f>
        <v/>
      </c>
      <c r="AH1306" t="str">
        <f>IF([3]Entry!$G$1309="","",[3]Entry!$G$1309)</f>
        <v/>
      </c>
      <c r="AI1306" t="str">
        <f>IF([3]Entry!$K$1309="","",[3]Entry!$K$1309)</f>
        <v/>
      </c>
      <c r="AJ1306" t="str">
        <f>IF([3]Entry!$L$1309="","",[3]Entry!$L$1309)</f>
        <v/>
      </c>
      <c r="AK1306" t="str">
        <f>IF([3]Entry!$M$1309="","",[3]Entry!$M$1309)</f>
        <v/>
      </c>
      <c r="AL1306" t="str">
        <f>IF([3]Entry!$N$1309="","",[3]Entry!$N$1309)</f>
        <v/>
      </c>
      <c r="AM1306" t="str">
        <f>IF([3]Entry!$R$1309="","",[3]Entry!$R$1309)</f>
        <v/>
      </c>
    </row>
    <row r="1307" spans="20:39" x14ac:dyDescent="0.2">
      <c r="T1307" t="str">
        <f>IF([2]Baskol!$B$1310="","",[2]Baskol!$B$1310)</f>
        <v/>
      </c>
      <c r="U1307" t="str">
        <f>IF([2]Baskol!$C$1310="","",[2]Baskol!$C$1310)</f>
        <v/>
      </c>
      <c r="V1307" t="str">
        <f>IF([2]Baskol!$D$1310="","",[2]Baskol!$D$1310)</f>
        <v/>
      </c>
      <c r="W1307" t="str">
        <f>IF([2]Baskol!$E$1310="","",[2]Baskol!$E$1310)</f>
        <v/>
      </c>
      <c r="X1307" t="str">
        <f>IF([2]Baskol!$G$1310="","",[2]Baskol!$G$1310)</f>
        <v/>
      </c>
      <c r="Y1307" t="str">
        <f>IF([2]Baskol!$I$1310="","",[2]Baskol!$I$1310)</f>
        <v/>
      </c>
      <c r="Z1307" t="str">
        <f>IF([2]Baskol!$J$1310="","",[2]Baskol!$J$1310)</f>
        <v/>
      </c>
      <c r="AA1307" t="str">
        <f>IF([2]Baskol!$K$1310="","",[2]Baskol!$K$1310)</f>
        <v/>
      </c>
      <c r="AB1307" t="str">
        <f>IF([2]Baskol!$L$1310="","",[2]Baskol!$L$1310)</f>
        <v/>
      </c>
      <c r="AC1307" t="str">
        <f>IF([2]Baskol!$N$1310="","",[2]Baskol!$N$1310)</f>
        <v/>
      </c>
      <c r="AD1307" t="str">
        <f>IF([2]Baskol!$O$1310="","",[2]Baskol!$O$1310)</f>
        <v/>
      </c>
      <c r="AE1307" t="str">
        <f>IF([3]Entry!$C$1310="","",[3]Entry!$C$1310)</f>
        <v/>
      </c>
      <c r="AF1307" t="str">
        <f>IF([3]Entry!$D$1310="","",[3]Entry!$D$1310)</f>
        <v/>
      </c>
      <c r="AG1307" t="str">
        <f>IF([3]Entry!$E$1310="","",[3]Entry!$E$1310)</f>
        <v/>
      </c>
      <c r="AH1307" t="str">
        <f>IF([3]Entry!$G$1310="","",[3]Entry!$G$1310)</f>
        <v/>
      </c>
      <c r="AI1307" t="str">
        <f>IF([3]Entry!$K$1310="","",[3]Entry!$K$1310)</f>
        <v/>
      </c>
      <c r="AJ1307" t="str">
        <f>IF([3]Entry!$L$1310="","",[3]Entry!$L$1310)</f>
        <v/>
      </c>
      <c r="AK1307" t="str">
        <f>IF([3]Entry!$M$1310="","",[3]Entry!$M$1310)</f>
        <v/>
      </c>
      <c r="AL1307" t="str">
        <f>IF([3]Entry!$N$1310="","",[3]Entry!$N$1310)</f>
        <v/>
      </c>
      <c r="AM1307" t="str">
        <f>IF([3]Entry!$R$1310="","",[3]Entry!$R$1310)</f>
        <v/>
      </c>
    </row>
    <row r="1308" spans="20:39" x14ac:dyDescent="0.2">
      <c r="T1308" t="str">
        <f>IF([2]Baskol!$B$1311="","",[2]Baskol!$B$1311)</f>
        <v/>
      </c>
      <c r="U1308" t="str">
        <f>IF([2]Baskol!$C$1311="","",[2]Baskol!$C$1311)</f>
        <v/>
      </c>
      <c r="V1308" t="str">
        <f>IF([2]Baskol!$D$1311="","",[2]Baskol!$D$1311)</f>
        <v/>
      </c>
      <c r="W1308" t="str">
        <f>IF([2]Baskol!$E$1311="","",[2]Baskol!$E$1311)</f>
        <v/>
      </c>
      <c r="X1308" t="str">
        <f>IF([2]Baskol!$G$1311="","",[2]Baskol!$G$1311)</f>
        <v/>
      </c>
      <c r="Y1308" t="str">
        <f>IF([2]Baskol!$I$1311="","",[2]Baskol!$I$1311)</f>
        <v/>
      </c>
      <c r="Z1308" t="str">
        <f>IF([2]Baskol!$J$1311="","",[2]Baskol!$J$1311)</f>
        <v/>
      </c>
      <c r="AA1308" t="str">
        <f>IF([2]Baskol!$K$1311="","",[2]Baskol!$K$1311)</f>
        <v/>
      </c>
      <c r="AB1308" t="str">
        <f>IF([2]Baskol!$L$1311="","",[2]Baskol!$L$1311)</f>
        <v/>
      </c>
      <c r="AC1308" t="str">
        <f>IF([2]Baskol!$N$1311="","",[2]Baskol!$N$1311)</f>
        <v/>
      </c>
      <c r="AD1308" t="str">
        <f>IF([2]Baskol!$O$1311="","",[2]Baskol!$O$1311)</f>
        <v/>
      </c>
      <c r="AE1308" t="str">
        <f>IF([3]Entry!$C$1311="","",[3]Entry!$C$1311)</f>
        <v/>
      </c>
      <c r="AF1308" t="str">
        <f>IF([3]Entry!$D$1311="","",[3]Entry!$D$1311)</f>
        <v/>
      </c>
      <c r="AG1308" t="str">
        <f>IF([3]Entry!$E$1311="","",[3]Entry!$E$1311)</f>
        <v/>
      </c>
      <c r="AH1308" t="str">
        <f>IF([3]Entry!$G$1311="","",[3]Entry!$G$1311)</f>
        <v/>
      </c>
      <c r="AI1308" t="str">
        <f>IF([3]Entry!$K$1311="","",[3]Entry!$K$1311)</f>
        <v/>
      </c>
      <c r="AJ1308" t="str">
        <f>IF([3]Entry!$L$1311="","",[3]Entry!$L$1311)</f>
        <v/>
      </c>
      <c r="AK1308" t="str">
        <f>IF([3]Entry!$M$1311="","",[3]Entry!$M$1311)</f>
        <v/>
      </c>
      <c r="AL1308" t="str">
        <f>IF([3]Entry!$N$1311="","",[3]Entry!$N$1311)</f>
        <v/>
      </c>
      <c r="AM1308" t="str">
        <f>IF([3]Entry!$R$1311="","",[3]Entry!$R$1311)</f>
        <v/>
      </c>
    </row>
    <row r="1309" spans="20:39" x14ac:dyDescent="0.2">
      <c r="T1309" t="str">
        <f>IF([2]Baskol!$B$1312="","",[2]Baskol!$B$1312)</f>
        <v/>
      </c>
      <c r="U1309" t="str">
        <f>IF([2]Baskol!$C$1312="","",[2]Baskol!$C$1312)</f>
        <v/>
      </c>
      <c r="V1309" t="str">
        <f>IF([2]Baskol!$D$1312="","",[2]Baskol!$D$1312)</f>
        <v/>
      </c>
      <c r="W1309" t="str">
        <f>IF([2]Baskol!$E$1312="","",[2]Baskol!$E$1312)</f>
        <v/>
      </c>
      <c r="X1309" t="str">
        <f>IF([2]Baskol!$G$1312="","",[2]Baskol!$G$1312)</f>
        <v/>
      </c>
      <c r="Y1309" t="str">
        <f>IF([2]Baskol!$I$1312="","",[2]Baskol!$I$1312)</f>
        <v/>
      </c>
      <c r="Z1309" t="str">
        <f>IF([2]Baskol!$J$1312="","",[2]Baskol!$J$1312)</f>
        <v/>
      </c>
      <c r="AA1309" t="str">
        <f>IF([2]Baskol!$K$1312="","",[2]Baskol!$K$1312)</f>
        <v/>
      </c>
      <c r="AB1309" t="str">
        <f>IF([2]Baskol!$L$1312="","",[2]Baskol!$L$1312)</f>
        <v/>
      </c>
      <c r="AC1309" t="str">
        <f>IF([2]Baskol!$N$1312="","",[2]Baskol!$N$1312)</f>
        <v/>
      </c>
      <c r="AD1309" t="str">
        <f>IF([2]Baskol!$O$1312="","",[2]Baskol!$O$1312)</f>
        <v/>
      </c>
      <c r="AE1309" t="str">
        <f>IF([3]Entry!$C$1312="","",[3]Entry!$C$1312)</f>
        <v/>
      </c>
      <c r="AF1309" t="str">
        <f>IF([3]Entry!$D$1312="","",[3]Entry!$D$1312)</f>
        <v/>
      </c>
      <c r="AG1309" t="str">
        <f>IF([3]Entry!$E$1312="","",[3]Entry!$E$1312)</f>
        <v/>
      </c>
      <c r="AH1309" t="str">
        <f>IF([3]Entry!$G$1312="","",[3]Entry!$G$1312)</f>
        <v/>
      </c>
      <c r="AI1309" t="str">
        <f>IF([3]Entry!$K$1312="","",[3]Entry!$K$1312)</f>
        <v/>
      </c>
      <c r="AJ1309" t="str">
        <f>IF([3]Entry!$L$1312="","",[3]Entry!$L$1312)</f>
        <v/>
      </c>
      <c r="AK1309" t="str">
        <f>IF([3]Entry!$M$1312="","",[3]Entry!$M$1312)</f>
        <v/>
      </c>
      <c r="AL1309" t="str">
        <f>IF([3]Entry!$N$1312="","",[3]Entry!$N$1312)</f>
        <v/>
      </c>
      <c r="AM1309" t="str">
        <f>IF([3]Entry!$R$1312="","",[3]Entry!$R$1312)</f>
        <v/>
      </c>
    </row>
    <row r="1310" spans="20:39" x14ac:dyDescent="0.2">
      <c r="T1310" t="str">
        <f>IF([2]Baskol!$B$1313="","",[2]Baskol!$B$1313)</f>
        <v/>
      </c>
      <c r="U1310" t="str">
        <f>IF([2]Baskol!$C$1313="","",[2]Baskol!$C$1313)</f>
        <v/>
      </c>
      <c r="V1310" t="str">
        <f>IF([2]Baskol!$D$1313="","",[2]Baskol!$D$1313)</f>
        <v/>
      </c>
      <c r="W1310" t="str">
        <f>IF([2]Baskol!$E$1313="","",[2]Baskol!$E$1313)</f>
        <v/>
      </c>
      <c r="X1310" t="str">
        <f>IF([2]Baskol!$G$1313="","",[2]Baskol!$G$1313)</f>
        <v/>
      </c>
      <c r="Y1310" t="str">
        <f>IF([2]Baskol!$I$1313="","",[2]Baskol!$I$1313)</f>
        <v/>
      </c>
      <c r="Z1310" t="str">
        <f>IF([2]Baskol!$J$1313="","",[2]Baskol!$J$1313)</f>
        <v/>
      </c>
      <c r="AA1310" t="str">
        <f>IF([2]Baskol!$K$1313="","",[2]Baskol!$K$1313)</f>
        <v/>
      </c>
      <c r="AB1310" t="str">
        <f>IF([2]Baskol!$L$1313="","",[2]Baskol!$L$1313)</f>
        <v/>
      </c>
      <c r="AC1310" t="str">
        <f>IF([2]Baskol!$N$1313="","",[2]Baskol!$N$1313)</f>
        <v/>
      </c>
      <c r="AD1310" t="str">
        <f>IF([2]Baskol!$O$1313="","",[2]Baskol!$O$1313)</f>
        <v/>
      </c>
      <c r="AE1310" t="str">
        <f>IF([3]Entry!$C$1313="","",[3]Entry!$C$1313)</f>
        <v/>
      </c>
      <c r="AF1310" t="str">
        <f>IF([3]Entry!$D$1313="","",[3]Entry!$D$1313)</f>
        <v/>
      </c>
      <c r="AG1310" t="str">
        <f>IF([3]Entry!$E$1313="","",[3]Entry!$E$1313)</f>
        <v/>
      </c>
      <c r="AH1310" t="str">
        <f>IF([3]Entry!$G$1313="","",[3]Entry!$G$1313)</f>
        <v/>
      </c>
      <c r="AI1310" t="str">
        <f>IF([3]Entry!$K$1313="","",[3]Entry!$K$1313)</f>
        <v/>
      </c>
      <c r="AJ1310" t="str">
        <f>IF([3]Entry!$L$1313="","",[3]Entry!$L$1313)</f>
        <v/>
      </c>
      <c r="AK1310" t="str">
        <f>IF([3]Entry!$M$1313="","",[3]Entry!$M$1313)</f>
        <v/>
      </c>
      <c r="AL1310" t="str">
        <f>IF([3]Entry!$N$1313="","",[3]Entry!$N$1313)</f>
        <v/>
      </c>
      <c r="AM1310" t="str">
        <f>IF([3]Entry!$R$1313="","",[3]Entry!$R$1313)</f>
        <v/>
      </c>
    </row>
    <row r="1311" spans="20:39" x14ac:dyDescent="0.2">
      <c r="T1311" t="str">
        <f>IF([2]Baskol!$B$1314="","",[2]Baskol!$B$1314)</f>
        <v/>
      </c>
      <c r="U1311" t="str">
        <f>IF([2]Baskol!$C$1314="","",[2]Baskol!$C$1314)</f>
        <v/>
      </c>
      <c r="V1311" t="str">
        <f>IF([2]Baskol!$D$1314="","",[2]Baskol!$D$1314)</f>
        <v/>
      </c>
      <c r="W1311" t="str">
        <f>IF([2]Baskol!$E$1314="","",[2]Baskol!$E$1314)</f>
        <v/>
      </c>
      <c r="X1311" t="str">
        <f>IF([2]Baskol!$G$1314="","",[2]Baskol!$G$1314)</f>
        <v/>
      </c>
      <c r="Y1311" t="str">
        <f>IF([2]Baskol!$I$1314="","",[2]Baskol!$I$1314)</f>
        <v/>
      </c>
      <c r="Z1311" t="str">
        <f>IF([2]Baskol!$J$1314="","",[2]Baskol!$J$1314)</f>
        <v/>
      </c>
      <c r="AA1311" t="str">
        <f>IF([2]Baskol!$K$1314="","",[2]Baskol!$K$1314)</f>
        <v/>
      </c>
      <c r="AB1311" t="str">
        <f>IF([2]Baskol!$L$1314="","",[2]Baskol!$L$1314)</f>
        <v/>
      </c>
      <c r="AC1311" t="str">
        <f>IF([2]Baskol!$N$1314="","",[2]Baskol!$N$1314)</f>
        <v/>
      </c>
      <c r="AD1311" t="str">
        <f>IF([2]Baskol!$O$1314="","",[2]Baskol!$O$1314)</f>
        <v/>
      </c>
      <c r="AE1311" t="str">
        <f>IF([3]Entry!$C$1314="","",[3]Entry!$C$1314)</f>
        <v/>
      </c>
      <c r="AF1311" t="str">
        <f>IF([3]Entry!$D$1314="","",[3]Entry!$D$1314)</f>
        <v/>
      </c>
      <c r="AG1311" t="str">
        <f>IF([3]Entry!$E$1314="","",[3]Entry!$E$1314)</f>
        <v/>
      </c>
      <c r="AH1311" t="str">
        <f>IF([3]Entry!$G$1314="","",[3]Entry!$G$1314)</f>
        <v/>
      </c>
      <c r="AI1311" t="str">
        <f>IF([3]Entry!$K$1314="","",[3]Entry!$K$1314)</f>
        <v/>
      </c>
      <c r="AJ1311" t="str">
        <f>IF([3]Entry!$L$1314="","",[3]Entry!$L$1314)</f>
        <v/>
      </c>
      <c r="AK1311" t="str">
        <f>IF([3]Entry!$M$1314="","",[3]Entry!$M$1314)</f>
        <v/>
      </c>
      <c r="AL1311" t="str">
        <f>IF([3]Entry!$N$1314="","",[3]Entry!$N$1314)</f>
        <v/>
      </c>
      <c r="AM1311" t="str">
        <f>IF([3]Entry!$R$1314="","",[3]Entry!$R$1314)</f>
        <v/>
      </c>
    </row>
    <row r="1312" spans="20:39" x14ac:dyDescent="0.2">
      <c r="T1312" t="str">
        <f>IF([2]Baskol!$B$1315="","",[2]Baskol!$B$1315)</f>
        <v/>
      </c>
      <c r="U1312" t="str">
        <f>IF([2]Baskol!$C$1315="","",[2]Baskol!$C$1315)</f>
        <v/>
      </c>
      <c r="V1312" t="str">
        <f>IF([2]Baskol!$D$1315="","",[2]Baskol!$D$1315)</f>
        <v/>
      </c>
      <c r="W1312" t="str">
        <f>IF([2]Baskol!$E$1315="","",[2]Baskol!$E$1315)</f>
        <v/>
      </c>
      <c r="X1312" t="str">
        <f>IF([2]Baskol!$G$1315="","",[2]Baskol!$G$1315)</f>
        <v/>
      </c>
      <c r="Y1312" t="str">
        <f>IF([2]Baskol!$I$1315="","",[2]Baskol!$I$1315)</f>
        <v/>
      </c>
      <c r="Z1312" t="str">
        <f>IF([2]Baskol!$J$1315="","",[2]Baskol!$J$1315)</f>
        <v/>
      </c>
      <c r="AA1312" t="str">
        <f>IF([2]Baskol!$K$1315="","",[2]Baskol!$K$1315)</f>
        <v/>
      </c>
      <c r="AB1312" t="str">
        <f>IF([2]Baskol!$L$1315="","",[2]Baskol!$L$1315)</f>
        <v/>
      </c>
      <c r="AC1312" t="str">
        <f>IF([2]Baskol!$N$1315="","",[2]Baskol!$N$1315)</f>
        <v/>
      </c>
      <c r="AD1312" t="str">
        <f>IF([2]Baskol!$O$1315="","",[2]Baskol!$O$1315)</f>
        <v/>
      </c>
      <c r="AE1312" t="str">
        <f>IF([3]Entry!$C$1315="","",[3]Entry!$C$1315)</f>
        <v/>
      </c>
      <c r="AF1312" t="str">
        <f>IF([3]Entry!$D$1315="","",[3]Entry!$D$1315)</f>
        <v/>
      </c>
      <c r="AG1312" t="str">
        <f>IF([3]Entry!$E$1315="","",[3]Entry!$E$1315)</f>
        <v/>
      </c>
      <c r="AH1312" t="str">
        <f>IF([3]Entry!$G$1315="","",[3]Entry!$G$1315)</f>
        <v/>
      </c>
      <c r="AI1312" t="str">
        <f>IF([3]Entry!$K$1315="","",[3]Entry!$K$1315)</f>
        <v/>
      </c>
      <c r="AJ1312" t="str">
        <f>IF([3]Entry!$L$1315="","",[3]Entry!$L$1315)</f>
        <v/>
      </c>
      <c r="AK1312" t="str">
        <f>IF([3]Entry!$M$1315="","",[3]Entry!$M$1315)</f>
        <v/>
      </c>
      <c r="AL1312" t="str">
        <f>IF([3]Entry!$N$1315="","",[3]Entry!$N$1315)</f>
        <v/>
      </c>
      <c r="AM1312" t="str">
        <f>IF([3]Entry!$R$1315="","",[3]Entry!$R$1315)</f>
        <v/>
      </c>
    </row>
    <row r="1313" spans="20:39" x14ac:dyDescent="0.2">
      <c r="T1313" t="str">
        <f>IF([2]Baskol!$B$1316="","",[2]Baskol!$B$1316)</f>
        <v/>
      </c>
      <c r="U1313" t="str">
        <f>IF([2]Baskol!$C$1316="","",[2]Baskol!$C$1316)</f>
        <v/>
      </c>
      <c r="V1313" t="str">
        <f>IF([2]Baskol!$D$1316="","",[2]Baskol!$D$1316)</f>
        <v/>
      </c>
      <c r="W1313" t="str">
        <f>IF([2]Baskol!$E$1316="","",[2]Baskol!$E$1316)</f>
        <v/>
      </c>
      <c r="X1313" t="str">
        <f>IF([2]Baskol!$G$1316="","",[2]Baskol!$G$1316)</f>
        <v/>
      </c>
      <c r="Y1313" t="str">
        <f>IF([2]Baskol!$I$1316="","",[2]Baskol!$I$1316)</f>
        <v/>
      </c>
      <c r="Z1313" t="str">
        <f>IF([2]Baskol!$J$1316="","",[2]Baskol!$J$1316)</f>
        <v/>
      </c>
      <c r="AA1313" t="str">
        <f>IF([2]Baskol!$K$1316="","",[2]Baskol!$K$1316)</f>
        <v/>
      </c>
      <c r="AB1313" t="str">
        <f>IF([2]Baskol!$L$1316="","",[2]Baskol!$L$1316)</f>
        <v/>
      </c>
      <c r="AC1313" t="str">
        <f>IF([2]Baskol!$N$1316="","",[2]Baskol!$N$1316)</f>
        <v/>
      </c>
      <c r="AD1313" t="str">
        <f>IF([2]Baskol!$O$1316="","",[2]Baskol!$O$1316)</f>
        <v/>
      </c>
      <c r="AE1313" t="str">
        <f>IF([3]Entry!$C$1316="","",[3]Entry!$C$1316)</f>
        <v/>
      </c>
      <c r="AF1313" t="str">
        <f>IF([3]Entry!$D$1316="","",[3]Entry!$D$1316)</f>
        <v/>
      </c>
      <c r="AG1313" t="str">
        <f>IF([3]Entry!$E$1316="","",[3]Entry!$E$1316)</f>
        <v/>
      </c>
      <c r="AH1313" t="str">
        <f>IF([3]Entry!$G$1316="","",[3]Entry!$G$1316)</f>
        <v/>
      </c>
      <c r="AI1313" t="str">
        <f>IF([3]Entry!$K$1316="","",[3]Entry!$K$1316)</f>
        <v/>
      </c>
      <c r="AJ1313" t="str">
        <f>IF([3]Entry!$L$1316="","",[3]Entry!$L$1316)</f>
        <v/>
      </c>
      <c r="AK1313" t="str">
        <f>IF([3]Entry!$M$1316="","",[3]Entry!$M$1316)</f>
        <v/>
      </c>
      <c r="AL1313" t="str">
        <f>IF([3]Entry!$N$1316="","",[3]Entry!$N$1316)</f>
        <v/>
      </c>
      <c r="AM1313" t="str">
        <f>IF([3]Entry!$R$1316="","",[3]Entry!$R$1316)</f>
        <v/>
      </c>
    </row>
    <row r="1314" spans="20:39" x14ac:dyDescent="0.2">
      <c r="T1314" t="str">
        <f>IF([2]Baskol!$B$1317="","",[2]Baskol!$B$1317)</f>
        <v/>
      </c>
      <c r="U1314" t="str">
        <f>IF([2]Baskol!$C$1317="","",[2]Baskol!$C$1317)</f>
        <v/>
      </c>
      <c r="V1314" t="str">
        <f>IF([2]Baskol!$D$1317="","",[2]Baskol!$D$1317)</f>
        <v/>
      </c>
      <c r="W1314" t="str">
        <f>IF([2]Baskol!$E$1317="","",[2]Baskol!$E$1317)</f>
        <v/>
      </c>
      <c r="X1314" t="str">
        <f>IF([2]Baskol!$G$1317="","",[2]Baskol!$G$1317)</f>
        <v/>
      </c>
      <c r="Y1314" t="str">
        <f>IF([2]Baskol!$I$1317="","",[2]Baskol!$I$1317)</f>
        <v/>
      </c>
      <c r="Z1314" t="str">
        <f>IF([2]Baskol!$J$1317="","",[2]Baskol!$J$1317)</f>
        <v/>
      </c>
      <c r="AA1314" t="str">
        <f>IF([2]Baskol!$K$1317="","",[2]Baskol!$K$1317)</f>
        <v/>
      </c>
      <c r="AB1314" t="str">
        <f>IF([2]Baskol!$L$1317="","",[2]Baskol!$L$1317)</f>
        <v/>
      </c>
      <c r="AC1314" t="str">
        <f>IF([2]Baskol!$N$1317="","",[2]Baskol!$N$1317)</f>
        <v/>
      </c>
      <c r="AD1314" t="str">
        <f>IF([2]Baskol!$O$1317="","",[2]Baskol!$O$1317)</f>
        <v/>
      </c>
      <c r="AE1314" t="str">
        <f>IF([3]Entry!$C$1317="","",[3]Entry!$C$1317)</f>
        <v/>
      </c>
      <c r="AF1314" t="str">
        <f>IF([3]Entry!$D$1317="","",[3]Entry!$D$1317)</f>
        <v/>
      </c>
      <c r="AG1314" t="str">
        <f>IF([3]Entry!$E$1317="","",[3]Entry!$E$1317)</f>
        <v/>
      </c>
      <c r="AH1314" t="str">
        <f>IF([3]Entry!$G$1317="","",[3]Entry!$G$1317)</f>
        <v/>
      </c>
      <c r="AI1314" t="str">
        <f>IF([3]Entry!$K$1317="","",[3]Entry!$K$1317)</f>
        <v/>
      </c>
      <c r="AJ1314" t="str">
        <f>IF([3]Entry!$L$1317="","",[3]Entry!$L$1317)</f>
        <v/>
      </c>
      <c r="AK1314" t="str">
        <f>IF([3]Entry!$M$1317="","",[3]Entry!$M$1317)</f>
        <v/>
      </c>
      <c r="AL1314" t="str">
        <f>IF([3]Entry!$N$1317="","",[3]Entry!$N$1317)</f>
        <v/>
      </c>
      <c r="AM1314" t="str">
        <f>IF([3]Entry!$R$1317="","",[3]Entry!$R$1317)</f>
        <v/>
      </c>
    </row>
    <row r="1315" spans="20:39" x14ac:dyDescent="0.2">
      <c r="T1315" t="str">
        <f>IF([2]Baskol!$B$1318="","",[2]Baskol!$B$1318)</f>
        <v/>
      </c>
      <c r="U1315" t="str">
        <f>IF([2]Baskol!$C$1318="","",[2]Baskol!$C$1318)</f>
        <v/>
      </c>
      <c r="V1315" t="str">
        <f>IF([2]Baskol!$D$1318="","",[2]Baskol!$D$1318)</f>
        <v/>
      </c>
      <c r="W1315" t="str">
        <f>IF([2]Baskol!$E$1318="","",[2]Baskol!$E$1318)</f>
        <v/>
      </c>
      <c r="X1315" t="str">
        <f>IF([2]Baskol!$G$1318="","",[2]Baskol!$G$1318)</f>
        <v/>
      </c>
      <c r="Y1315" t="str">
        <f>IF([2]Baskol!$I$1318="","",[2]Baskol!$I$1318)</f>
        <v/>
      </c>
      <c r="Z1315" t="str">
        <f>IF([2]Baskol!$J$1318="","",[2]Baskol!$J$1318)</f>
        <v/>
      </c>
      <c r="AA1315" t="str">
        <f>IF([2]Baskol!$K$1318="","",[2]Baskol!$K$1318)</f>
        <v/>
      </c>
      <c r="AB1315" t="str">
        <f>IF([2]Baskol!$L$1318="","",[2]Baskol!$L$1318)</f>
        <v/>
      </c>
      <c r="AC1315" t="str">
        <f>IF([2]Baskol!$N$1318="","",[2]Baskol!$N$1318)</f>
        <v/>
      </c>
      <c r="AD1315" t="str">
        <f>IF([2]Baskol!$O$1318="","",[2]Baskol!$O$1318)</f>
        <v/>
      </c>
      <c r="AE1315" t="str">
        <f>IF([3]Entry!$C$1318="","",[3]Entry!$C$1318)</f>
        <v/>
      </c>
      <c r="AF1315" t="str">
        <f>IF([3]Entry!$D$1318="","",[3]Entry!$D$1318)</f>
        <v/>
      </c>
      <c r="AG1315" t="str">
        <f>IF([3]Entry!$E$1318="","",[3]Entry!$E$1318)</f>
        <v/>
      </c>
      <c r="AH1315" t="str">
        <f>IF([3]Entry!$G$1318="","",[3]Entry!$G$1318)</f>
        <v/>
      </c>
      <c r="AI1315" t="str">
        <f>IF([3]Entry!$K$1318="","",[3]Entry!$K$1318)</f>
        <v/>
      </c>
      <c r="AJ1315" t="str">
        <f>IF([3]Entry!$L$1318="","",[3]Entry!$L$1318)</f>
        <v/>
      </c>
      <c r="AK1315" t="str">
        <f>IF([3]Entry!$M$1318="","",[3]Entry!$M$1318)</f>
        <v/>
      </c>
      <c r="AL1315" t="str">
        <f>IF([3]Entry!$N$1318="","",[3]Entry!$N$1318)</f>
        <v/>
      </c>
      <c r="AM1315" t="str">
        <f>IF([3]Entry!$R$1318="","",[3]Entry!$R$1318)</f>
        <v/>
      </c>
    </row>
    <row r="1316" spans="20:39" x14ac:dyDescent="0.2">
      <c r="T1316" t="str">
        <f>IF([2]Baskol!$B$1319="","",[2]Baskol!$B$1319)</f>
        <v/>
      </c>
      <c r="U1316" t="str">
        <f>IF([2]Baskol!$C$1319="","",[2]Baskol!$C$1319)</f>
        <v/>
      </c>
      <c r="V1316" t="str">
        <f>IF([2]Baskol!$D$1319="","",[2]Baskol!$D$1319)</f>
        <v/>
      </c>
      <c r="W1316" t="str">
        <f>IF([2]Baskol!$E$1319="","",[2]Baskol!$E$1319)</f>
        <v/>
      </c>
      <c r="X1316" t="str">
        <f>IF([2]Baskol!$G$1319="","",[2]Baskol!$G$1319)</f>
        <v/>
      </c>
      <c r="Y1316" t="str">
        <f>IF([2]Baskol!$I$1319="","",[2]Baskol!$I$1319)</f>
        <v/>
      </c>
      <c r="Z1316" t="str">
        <f>IF([2]Baskol!$J$1319="","",[2]Baskol!$J$1319)</f>
        <v/>
      </c>
      <c r="AA1316" t="str">
        <f>IF([2]Baskol!$K$1319="","",[2]Baskol!$K$1319)</f>
        <v/>
      </c>
      <c r="AB1316" t="str">
        <f>IF([2]Baskol!$L$1319="","",[2]Baskol!$L$1319)</f>
        <v/>
      </c>
      <c r="AC1316" t="str">
        <f>IF([2]Baskol!$N$1319="","",[2]Baskol!$N$1319)</f>
        <v/>
      </c>
      <c r="AD1316" t="str">
        <f>IF([2]Baskol!$O$1319="","",[2]Baskol!$O$1319)</f>
        <v/>
      </c>
      <c r="AE1316" t="str">
        <f>IF([3]Entry!$C$1319="","",[3]Entry!$C$1319)</f>
        <v/>
      </c>
      <c r="AF1316" t="str">
        <f>IF([3]Entry!$D$1319="","",[3]Entry!$D$1319)</f>
        <v/>
      </c>
      <c r="AG1316" t="str">
        <f>IF([3]Entry!$E$1319="","",[3]Entry!$E$1319)</f>
        <v/>
      </c>
      <c r="AH1316" t="str">
        <f>IF([3]Entry!$G$1319="","",[3]Entry!$G$1319)</f>
        <v/>
      </c>
      <c r="AI1316" t="str">
        <f>IF([3]Entry!$K$1319="","",[3]Entry!$K$1319)</f>
        <v/>
      </c>
      <c r="AJ1316" t="str">
        <f>IF([3]Entry!$L$1319="","",[3]Entry!$L$1319)</f>
        <v/>
      </c>
      <c r="AK1316" t="str">
        <f>IF([3]Entry!$M$1319="","",[3]Entry!$M$1319)</f>
        <v/>
      </c>
      <c r="AL1316" t="str">
        <f>IF([3]Entry!$N$1319="","",[3]Entry!$N$1319)</f>
        <v/>
      </c>
      <c r="AM1316" t="str">
        <f>IF([3]Entry!$R$1319="","",[3]Entry!$R$1319)</f>
        <v/>
      </c>
    </row>
    <row r="1317" spans="20:39" x14ac:dyDescent="0.2">
      <c r="T1317" t="str">
        <f>IF([2]Baskol!$B$1320="","",[2]Baskol!$B$1320)</f>
        <v/>
      </c>
      <c r="U1317" t="str">
        <f>IF([2]Baskol!$C$1320="","",[2]Baskol!$C$1320)</f>
        <v/>
      </c>
      <c r="V1317" t="str">
        <f>IF([2]Baskol!$D$1320="","",[2]Baskol!$D$1320)</f>
        <v/>
      </c>
      <c r="W1317" t="str">
        <f>IF([2]Baskol!$E$1320="","",[2]Baskol!$E$1320)</f>
        <v/>
      </c>
      <c r="X1317" t="str">
        <f>IF([2]Baskol!$G$1320="","",[2]Baskol!$G$1320)</f>
        <v/>
      </c>
      <c r="Y1317" t="str">
        <f>IF([2]Baskol!$I$1320="","",[2]Baskol!$I$1320)</f>
        <v/>
      </c>
      <c r="Z1317" t="str">
        <f>IF([2]Baskol!$J$1320="","",[2]Baskol!$J$1320)</f>
        <v/>
      </c>
      <c r="AA1317" t="str">
        <f>IF([2]Baskol!$K$1320="","",[2]Baskol!$K$1320)</f>
        <v/>
      </c>
      <c r="AB1317" t="str">
        <f>IF([2]Baskol!$L$1320="","",[2]Baskol!$L$1320)</f>
        <v/>
      </c>
      <c r="AC1317" t="str">
        <f>IF([2]Baskol!$N$1320="","",[2]Baskol!$N$1320)</f>
        <v/>
      </c>
      <c r="AD1317" t="str">
        <f>IF([2]Baskol!$O$1320="","",[2]Baskol!$O$1320)</f>
        <v/>
      </c>
      <c r="AE1317" t="str">
        <f>IF([3]Entry!$C$1320="","",[3]Entry!$C$1320)</f>
        <v/>
      </c>
      <c r="AF1317" t="str">
        <f>IF([3]Entry!$D$1320="","",[3]Entry!$D$1320)</f>
        <v/>
      </c>
      <c r="AG1317" t="str">
        <f>IF([3]Entry!$E$1320="","",[3]Entry!$E$1320)</f>
        <v/>
      </c>
      <c r="AH1317" t="str">
        <f>IF([3]Entry!$G$1320="","",[3]Entry!$G$1320)</f>
        <v/>
      </c>
      <c r="AI1317" t="str">
        <f>IF([3]Entry!$K$1320="","",[3]Entry!$K$1320)</f>
        <v/>
      </c>
      <c r="AJ1317" t="str">
        <f>IF([3]Entry!$L$1320="","",[3]Entry!$L$1320)</f>
        <v/>
      </c>
      <c r="AK1317" t="str">
        <f>IF([3]Entry!$M$1320="","",[3]Entry!$M$1320)</f>
        <v/>
      </c>
      <c r="AL1317" t="str">
        <f>IF([3]Entry!$N$1320="","",[3]Entry!$N$1320)</f>
        <v/>
      </c>
      <c r="AM1317" t="str">
        <f>IF([3]Entry!$R$1320="","",[3]Entry!$R$1320)</f>
        <v/>
      </c>
    </row>
    <row r="1318" spans="20:39" x14ac:dyDescent="0.2">
      <c r="T1318" t="str">
        <f>IF([2]Baskol!$B$1321="","",[2]Baskol!$B$1321)</f>
        <v/>
      </c>
      <c r="U1318" t="str">
        <f>IF([2]Baskol!$C$1321="","",[2]Baskol!$C$1321)</f>
        <v/>
      </c>
      <c r="V1318" t="str">
        <f>IF([2]Baskol!$D$1321="","",[2]Baskol!$D$1321)</f>
        <v/>
      </c>
      <c r="W1318" t="str">
        <f>IF([2]Baskol!$E$1321="","",[2]Baskol!$E$1321)</f>
        <v/>
      </c>
      <c r="X1318" t="str">
        <f>IF([2]Baskol!$G$1321="","",[2]Baskol!$G$1321)</f>
        <v/>
      </c>
      <c r="Y1318" t="str">
        <f>IF([2]Baskol!$I$1321="","",[2]Baskol!$I$1321)</f>
        <v/>
      </c>
      <c r="Z1318" t="str">
        <f>IF([2]Baskol!$J$1321="","",[2]Baskol!$J$1321)</f>
        <v/>
      </c>
      <c r="AA1318" t="str">
        <f>IF([2]Baskol!$K$1321="","",[2]Baskol!$K$1321)</f>
        <v/>
      </c>
      <c r="AB1318" t="str">
        <f>IF([2]Baskol!$L$1321="","",[2]Baskol!$L$1321)</f>
        <v/>
      </c>
      <c r="AC1318" t="str">
        <f>IF([2]Baskol!$N$1321="","",[2]Baskol!$N$1321)</f>
        <v/>
      </c>
      <c r="AD1318" t="str">
        <f>IF([2]Baskol!$O$1321="","",[2]Baskol!$O$1321)</f>
        <v/>
      </c>
      <c r="AE1318" t="str">
        <f>IF([3]Entry!$C$1321="","",[3]Entry!$C$1321)</f>
        <v/>
      </c>
      <c r="AF1318" t="str">
        <f>IF([3]Entry!$D$1321="","",[3]Entry!$D$1321)</f>
        <v/>
      </c>
      <c r="AG1318" t="str">
        <f>IF([3]Entry!$E$1321="","",[3]Entry!$E$1321)</f>
        <v/>
      </c>
      <c r="AH1318" t="str">
        <f>IF([3]Entry!$G$1321="","",[3]Entry!$G$1321)</f>
        <v/>
      </c>
      <c r="AI1318" t="str">
        <f>IF([3]Entry!$K$1321="","",[3]Entry!$K$1321)</f>
        <v/>
      </c>
      <c r="AJ1318" t="str">
        <f>IF([3]Entry!$L$1321="","",[3]Entry!$L$1321)</f>
        <v/>
      </c>
      <c r="AK1318" t="str">
        <f>IF([3]Entry!$M$1321="","",[3]Entry!$M$1321)</f>
        <v/>
      </c>
      <c r="AL1318" t="str">
        <f>IF([3]Entry!$N$1321="","",[3]Entry!$N$1321)</f>
        <v/>
      </c>
      <c r="AM1318" t="str">
        <f>IF([3]Entry!$R$1321="","",[3]Entry!$R$1321)</f>
        <v/>
      </c>
    </row>
    <row r="1319" spans="20:39" x14ac:dyDescent="0.2">
      <c r="T1319" t="str">
        <f>IF([2]Baskol!$B$1322="","",[2]Baskol!$B$1322)</f>
        <v/>
      </c>
      <c r="U1319" t="str">
        <f>IF([2]Baskol!$C$1322="","",[2]Baskol!$C$1322)</f>
        <v/>
      </c>
      <c r="V1319" t="str">
        <f>IF([2]Baskol!$D$1322="","",[2]Baskol!$D$1322)</f>
        <v/>
      </c>
      <c r="W1319" t="str">
        <f>IF([2]Baskol!$E$1322="","",[2]Baskol!$E$1322)</f>
        <v/>
      </c>
      <c r="X1319" t="str">
        <f>IF([2]Baskol!$G$1322="","",[2]Baskol!$G$1322)</f>
        <v/>
      </c>
      <c r="Y1319" t="str">
        <f>IF([2]Baskol!$I$1322="","",[2]Baskol!$I$1322)</f>
        <v/>
      </c>
      <c r="Z1319" t="str">
        <f>IF([2]Baskol!$J$1322="","",[2]Baskol!$J$1322)</f>
        <v/>
      </c>
      <c r="AA1319" t="str">
        <f>IF([2]Baskol!$K$1322="","",[2]Baskol!$K$1322)</f>
        <v/>
      </c>
      <c r="AB1319" t="str">
        <f>IF([2]Baskol!$L$1322="","",[2]Baskol!$L$1322)</f>
        <v/>
      </c>
      <c r="AC1319" t="str">
        <f>IF([2]Baskol!$N$1322="","",[2]Baskol!$N$1322)</f>
        <v/>
      </c>
      <c r="AD1319" t="str">
        <f>IF([2]Baskol!$O$1322="","",[2]Baskol!$O$1322)</f>
        <v/>
      </c>
      <c r="AE1319" t="str">
        <f>IF([3]Entry!$C$1322="","",[3]Entry!$C$1322)</f>
        <v/>
      </c>
      <c r="AF1319" t="str">
        <f>IF([3]Entry!$D$1322="","",[3]Entry!$D$1322)</f>
        <v/>
      </c>
      <c r="AG1319" t="str">
        <f>IF([3]Entry!$E$1322="","",[3]Entry!$E$1322)</f>
        <v/>
      </c>
      <c r="AH1319" t="str">
        <f>IF([3]Entry!$G$1322="","",[3]Entry!$G$1322)</f>
        <v/>
      </c>
      <c r="AI1319" t="str">
        <f>IF([3]Entry!$K$1322="","",[3]Entry!$K$1322)</f>
        <v/>
      </c>
      <c r="AJ1319" t="str">
        <f>IF([3]Entry!$L$1322="","",[3]Entry!$L$1322)</f>
        <v/>
      </c>
      <c r="AK1319" t="str">
        <f>IF([3]Entry!$M$1322="","",[3]Entry!$M$1322)</f>
        <v/>
      </c>
      <c r="AL1319" t="str">
        <f>IF([3]Entry!$N$1322="","",[3]Entry!$N$1322)</f>
        <v/>
      </c>
      <c r="AM1319" t="str">
        <f>IF([3]Entry!$R$1322="","",[3]Entry!$R$1322)</f>
        <v/>
      </c>
    </row>
    <row r="1320" spans="20:39" x14ac:dyDescent="0.2">
      <c r="T1320" t="str">
        <f>IF([2]Baskol!$B$1323="","",[2]Baskol!$B$1323)</f>
        <v/>
      </c>
      <c r="U1320" t="str">
        <f>IF([2]Baskol!$C$1323="","",[2]Baskol!$C$1323)</f>
        <v/>
      </c>
      <c r="V1320" t="str">
        <f>IF([2]Baskol!$D$1323="","",[2]Baskol!$D$1323)</f>
        <v/>
      </c>
      <c r="W1320" t="str">
        <f>IF([2]Baskol!$E$1323="","",[2]Baskol!$E$1323)</f>
        <v/>
      </c>
      <c r="X1320" t="str">
        <f>IF([2]Baskol!$G$1323="","",[2]Baskol!$G$1323)</f>
        <v/>
      </c>
      <c r="Y1320" t="str">
        <f>IF([2]Baskol!$I$1323="","",[2]Baskol!$I$1323)</f>
        <v/>
      </c>
      <c r="Z1320" t="str">
        <f>IF([2]Baskol!$J$1323="","",[2]Baskol!$J$1323)</f>
        <v/>
      </c>
      <c r="AA1320" t="str">
        <f>IF([2]Baskol!$K$1323="","",[2]Baskol!$K$1323)</f>
        <v/>
      </c>
      <c r="AB1320" t="str">
        <f>IF([2]Baskol!$L$1323="","",[2]Baskol!$L$1323)</f>
        <v/>
      </c>
      <c r="AC1320" t="str">
        <f>IF([2]Baskol!$N$1323="","",[2]Baskol!$N$1323)</f>
        <v/>
      </c>
      <c r="AD1320" t="str">
        <f>IF([2]Baskol!$O$1323="","",[2]Baskol!$O$1323)</f>
        <v/>
      </c>
      <c r="AE1320" t="str">
        <f>IF([3]Entry!$C$1323="","",[3]Entry!$C$1323)</f>
        <v/>
      </c>
      <c r="AF1320" t="str">
        <f>IF([3]Entry!$D$1323="","",[3]Entry!$D$1323)</f>
        <v/>
      </c>
      <c r="AG1320" t="str">
        <f>IF([3]Entry!$E$1323="","",[3]Entry!$E$1323)</f>
        <v/>
      </c>
      <c r="AH1320" t="str">
        <f>IF([3]Entry!$G$1323="","",[3]Entry!$G$1323)</f>
        <v/>
      </c>
      <c r="AI1320" t="str">
        <f>IF([3]Entry!$K$1323="","",[3]Entry!$K$1323)</f>
        <v/>
      </c>
      <c r="AJ1320" t="str">
        <f>IF([3]Entry!$L$1323="","",[3]Entry!$L$1323)</f>
        <v/>
      </c>
      <c r="AK1320" t="str">
        <f>IF([3]Entry!$M$1323="","",[3]Entry!$M$1323)</f>
        <v/>
      </c>
      <c r="AL1320" t="str">
        <f>IF([3]Entry!$N$1323="","",[3]Entry!$N$1323)</f>
        <v/>
      </c>
      <c r="AM1320" t="str">
        <f>IF([3]Entry!$R$1323="","",[3]Entry!$R$1323)</f>
        <v/>
      </c>
    </row>
    <row r="1321" spans="20:39" x14ac:dyDescent="0.2">
      <c r="T1321" t="str">
        <f>IF([2]Baskol!$B$1324="","",[2]Baskol!$B$1324)</f>
        <v/>
      </c>
      <c r="U1321" t="str">
        <f>IF([2]Baskol!$C$1324="","",[2]Baskol!$C$1324)</f>
        <v/>
      </c>
      <c r="V1321" t="str">
        <f>IF([2]Baskol!$D$1324="","",[2]Baskol!$D$1324)</f>
        <v/>
      </c>
      <c r="W1321" t="str">
        <f>IF([2]Baskol!$E$1324="","",[2]Baskol!$E$1324)</f>
        <v/>
      </c>
      <c r="X1321" t="str">
        <f>IF([2]Baskol!$G$1324="","",[2]Baskol!$G$1324)</f>
        <v/>
      </c>
      <c r="Y1321" t="str">
        <f>IF([2]Baskol!$I$1324="","",[2]Baskol!$I$1324)</f>
        <v/>
      </c>
      <c r="Z1321" t="str">
        <f>IF([2]Baskol!$J$1324="","",[2]Baskol!$J$1324)</f>
        <v/>
      </c>
      <c r="AA1321" t="str">
        <f>IF([2]Baskol!$K$1324="","",[2]Baskol!$K$1324)</f>
        <v/>
      </c>
      <c r="AB1321" t="str">
        <f>IF([2]Baskol!$L$1324="","",[2]Baskol!$L$1324)</f>
        <v/>
      </c>
      <c r="AC1321" t="str">
        <f>IF([2]Baskol!$N$1324="","",[2]Baskol!$N$1324)</f>
        <v/>
      </c>
      <c r="AD1321" t="str">
        <f>IF([2]Baskol!$O$1324="","",[2]Baskol!$O$1324)</f>
        <v/>
      </c>
      <c r="AE1321" t="str">
        <f>IF([3]Entry!$C$1324="","",[3]Entry!$C$1324)</f>
        <v/>
      </c>
      <c r="AF1321" t="str">
        <f>IF([3]Entry!$D$1324="","",[3]Entry!$D$1324)</f>
        <v/>
      </c>
      <c r="AG1321" t="str">
        <f>IF([3]Entry!$E$1324="","",[3]Entry!$E$1324)</f>
        <v/>
      </c>
      <c r="AH1321" t="str">
        <f>IF([3]Entry!$G$1324="","",[3]Entry!$G$1324)</f>
        <v/>
      </c>
      <c r="AI1321" t="str">
        <f>IF([3]Entry!$K$1324="","",[3]Entry!$K$1324)</f>
        <v/>
      </c>
      <c r="AJ1321" t="str">
        <f>IF([3]Entry!$L$1324="","",[3]Entry!$L$1324)</f>
        <v/>
      </c>
      <c r="AK1321" t="str">
        <f>IF([3]Entry!$M$1324="","",[3]Entry!$M$1324)</f>
        <v/>
      </c>
      <c r="AL1321" t="str">
        <f>IF([3]Entry!$N$1324="","",[3]Entry!$N$1324)</f>
        <v/>
      </c>
      <c r="AM1321" t="str">
        <f>IF([3]Entry!$R$1324="","",[3]Entry!$R$1324)</f>
        <v/>
      </c>
    </row>
    <row r="1322" spans="20:39" x14ac:dyDescent="0.2">
      <c r="T1322" t="str">
        <f>IF([2]Baskol!$B$1325="","",[2]Baskol!$B$1325)</f>
        <v/>
      </c>
      <c r="U1322" t="str">
        <f>IF([2]Baskol!$C$1325="","",[2]Baskol!$C$1325)</f>
        <v/>
      </c>
      <c r="V1322" t="str">
        <f>IF([2]Baskol!$D$1325="","",[2]Baskol!$D$1325)</f>
        <v/>
      </c>
      <c r="W1322" t="str">
        <f>IF([2]Baskol!$E$1325="","",[2]Baskol!$E$1325)</f>
        <v/>
      </c>
      <c r="X1322" t="str">
        <f>IF([2]Baskol!$G$1325="","",[2]Baskol!$G$1325)</f>
        <v/>
      </c>
      <c r="Y1322" t="str">
        <f>IF([2]Baskol!$I$1325="","",[2]Baskol!$I$1325)</f>
        <v/>
      </c>
      <c r="Z1322" t="str">
        <f>IF([2]Baskol!$J$1325="","",[2]Baskol!$J$1325)</f>
        <v/>
      </c>
      <c r="AA1322" t="str">
        <f>IF([2]Baskol!$K$1325="","",[2]Baskol!$K$1325)</f>
        <v/>
      </c>
      <c r="AB1322" t="str">
        <f>IF([2]Baskol!$L$1325="","",[2]Baskol!$L$1325)</f>
        <v/>
      </c>
      <c r="AC1322" t="str">
        <f>IF([2]Baskol!$N$1325="","",[2]Baskol!$N$1325)</f>
        <v/>
      </c>
      <c r="AD1322" t="str">
        <f>IF([2]Baskol!$O$1325="","",[2]Baskol!$O$1325)</f>
        <v/>
      </c>
      <c r="AE1322" t="str">
        <f>IF([3]Entry!$C$1325="","",[3]Entry!$C$1325)</f>
        <v/>
      </c>
      <c r="AF1322" t="str">
        <f>IF([3]Entry!$D$1325="","",[3]Entry!$D$1325)</f>
        <v/>
      </c>
      <c r="AG1322" t="str">
        <f>IF([3]Entry!$E$1325="","",[3]Entry!$E$1325)</f>
        <v/>
      </c>
      <c r="AH1322" t="str">
        <f>IF([3]Entry!$G$1325="","",[3]Entry!$G$1325)</f>
        <v/>
      </c>
      <c r="AI1322" t="str">
        <f>IF([3]Entry!$K$1325="","",[3]Entry!$K$1325)</f>
        <v/>
      </c>
      <c r="AJ1322" t="str">
        <f>IF([3]Entry!$L$1325="","",[3]Entry!$L$1325)</f>
        <v/>
      </c>
      <c r="AK1322" t="str">
        <f>IF([3]Entry!$M$1325="","",[3]Entry!$M$1325)</f>
        <v/>
      </c>
      <c r="AL1322" t="str">
        <f>IF([3]Entry!$N$1325="","",[3]Entry!$N$1325)</f>
        <v/>
      </c>
      <c r="AM1322" t="str">
        <f>IF([3]Entry!$R$1325="","",[3]Entry!$R$1325)</f>
        <v/>
      </c>
    </row>
    <row r="1323" spans="20:39" x14ac:dyDescent="0.2">
      <c r="T1323" t="str">
        <f>IF([2]Baskol!$B$1326="","",[2]Baskol!$B$1326)</f>
        <v/>
      </c>
      <c r="U1323" t="str">
        <f>IF([2]Baskol!$C$1326="","",[2]Baskol!$C$1326)</f>
        <v/>
      </c>
      <c r="V1323" t="str">
        <f>IF([2]Baskol!$D$1326="","",[2]Baskol!$D$1326)</f>
        <v/>
      </c>
      <c r="W1323" t="str">
        <f>IF([2]Baskol!$E$1326="","",[2]Baskol!$E$1326)</f>
        <v/>
      </c>
      <c r="X1323" t="str">
        <f>IF([2]Baskol!$G$1326="","",[2]Baskol!$G$1326)</f>
        <v/>
      </c>
      <c r="Y1323" t="str">
        <f>IF([2]Baskol!$I$1326="","",[2]Baskol!$I$1326)</f>
        <v/>
      </c>
      <c r="Z1323" t="str">
        <f>IF([2]Baskol!$J$1326="","",[2]Baskol!$J$1326)</f>
        <v/>
      </c>
      <c r="AA1323" t="str">
        <f>IF([2]Baskol!$K$1326="","",[2]Baskol!$K$1326)</f>
        <v/>
      </c>
      <c r="AB1323" t="str">
        <f>IF([2]Baskol!$L$1326="","",[2]Baskol!$L$1326)</f>
        <v/>
      </c>
      <c r="AC1323" t="str">
        <f>IF([2]Baskol!$N$1326="","",[2]Baskol!$N$1326)</f>
        <v/>
      </c>
      <c r="AD1323" t="str">
        <f>IF([2]Baskol!$O$1326="","",[2]Baskol!$O$1326)</f>
        <v/>
      </c>
      <c r="AE1323" t="str">
        <f>IF([3]Entry!$C$1326="","",[3]Entry!$C$1326)</f>
        <v/>
      </c>
      <c r="AF1323" t="str">
        <f>IF([3]Entry!$D$1326="","",[3]Entry!$D$1326)</f>
        <v/>
      </c>
      <c r="AG1323" t="str">
        <f>IF([3]Entry!$E$1326="","",[3]Entry!$E$1326)</f>
        <v/>
      </c>
      <c r="AH1323" t="str">
        <f>IF([3]Entry!$G$1326="","",[3]Entry!$G$1326)</f>
        <v/>
      </c>
      <c r="AI1323" t="str">
        <f>IF([3]Entry!$K$1326="","",[3]Entry!$K$1326)</f>
        <v/>
      </c>
      <c r="AJ1323" t="str">
        <f>IF([3]Entry!$L$1326="","",[3]Entry!$L$1326)</f>
        <v/>
      </c>
      <c r="AK1323" t="str">
        <f>IF([3]Entry!$M$1326="","",[3]Entry!$M$1326)</f>
        <v/>
      </c>
      <c r="AL1323" t="str">
        <f>IF([3]Entry!$N$1326="","",[3]Entry!$N$1326)</f>
        <v/>
      </c>
      <c r="AM1323" t="str">
        <f>IF([3]Entry!$R$1326="","",[3]Entry!$R$1326)</f>
        <v/>
      </c>
    </row>
    <row r="1324" spans="20:39" x14ac:dyDescent="0.2">
      <c r="T1324" t="str">
        <f>IF([2]Baskol!$B$1327="","",[2]Baskol!$B$1327)</f>
        <v/>
      </c>
      <c r="U1324" t="str">
        <f>IF([2]Baskol!$C$1327="","",[2]Baskol!$C$1327)</f>
        <v/>
      </c>
      <c r="V1324" t="str">
        <f>IF([2]Baskol!$D$1327="","",[2]Baskol!$D$1327)</f>
        <v/>
      </c>
      <c r="W1324" t="str">
        <f>IF([2]Baskol!$E$1327="","",[2]Baskol!$E$1327)</f>
        <v/>
      </c>
      <c r="X1324" t="str">
        <f>IF([2]Baskol!$G$1327="","",[2]Baskol!$G$1327)</f>
        <v/>
      </c>
      <c r="Y1324" t="str">
        <f>IF([2]Baskol!$I$1327="","",[2]Baskol!$I$1327)</f>
        <v/>
      </c>
      <c r="Z1324" t="str">
        <f>IF([2]Baskol!$J$1327="","",[2]Baskol!$J$1327)</f>
        <v/>
      </c>
      <c r="AA1324" t="str">
        <f>IF([2]Baskol!$K$1327="","",[2]Baskol!$K$1327)</f>
        <v/>
      </c>
      <c r="AB1324" t="str">
        <f>IF([2]Baskol!$L$1327="","",[2]Baskol!$L$1327)</f>
        <v/>
      </c>
      <c r="AC1324" t="str">
        <f>IF([2]Baskol!$N$1327="","",[2]Baskol!$N$1327)</f>
        <v/>
      </c>
      <c r="AD1324" t="str">
        <f>IF([2]Baskol!$O$1327="","",[2]Baskol!$O$1327)</f>
        <v/>
      </c>
      <c r="AE1324" t="str">
        <f>IF([3]Entry!$C$1327="","",[3]Entry!$C$1327)</f>
        <v/>
      </c>
      <c r="AF1324" t="str">
        <f>IF([3]Entry!$D$1327="","",[3]Entry!$D$1327)</f>
        <v/>
      </c>
      <c r="AG1324" t="str">
        <f>IF([3]Entry!$E$1327="","",[3]Entry!$E$1327)</f>
        <v/>
      </c>
      <c r="AH1324" t="str">
        <f>IF([3]Entry!$G$1327="","",[3]Entry!$G$1327)</f>
        <v/>
      </c>
      <c r="AI1324" t="str">
        <f>IF([3]Entry!$K$1327="","",[3]Entry!$K$1327)</f>
        <v/>
      </c>
      <c r="AJ1324" t="str">
        <f>IF([3]Entry!$L$1327="","",[3]Entry!$L$1327)</f>
        <v/>
      </c>
      <c r="AK1324" t="str">
        <f>IF([3]Entry!$M$1327="","",[3]Entry!$M$1327)</f>
        <v/>
      </c>
      <c r="AL1324" t="str">
        <f>IF([3]Entry!$N$1327="","",[3]Entry!$N$1327)</f>
        <v/>
      </c>
      <c r="AM1324" t="str">
        <f>IF([3]Entry!$R$1327="","",[3]Entry!$R$1327)</f>
        <v/>
      </c>
    </row>
    <row r="1325" spans="20:39" x14ac:dyDescent="0.2">
      <c r="T1325" t="str">
        <f>IF([2]Baskol!$B$1328="","",[2]Baskol!$B$1328)</f>
        <v/>
      </c>
      <c r="U1325" t="str">
        <f>IF([2]Baskol!$C$1328="","",[2]Baskol!$C$1328)</f>
        <v/>
      </c>
      <c r="V1325" t="str">
        <f>IF([2]Baskol!$D$1328="","",[2]Baskol!$D$1328)</f>
        <v/>
      </c>
      <c r="W1325" t="str">
        <f>IF([2]Baskol!$E$1328="","",[2]Baskol!$E$1328)</f>
        <v/>
      </c>
      <c r="X1325" t="str">
        <f>IF([2]Baskol!$G$1328="","",[2]Baskol!$G$1328)</f>
        <v/>
      </c>
      <c r="Y1325" t="str">
        <f>IF([2]Baskol!$I$1328="","",[2]Baskol!$I$1328)</f>
        <v/>
      </c>
      <c r="Z1325" t="str">
        <f>IF([2]Baskol!$J$1328="","",[2]Baskol!$J$1328)</f>
        <v/>
      </c>
      <c r="AA1325" t="str">
        <f>IF([2]Baskol!$K$1328="","",[2]Baskol!$K$1328)</f>
        <v/>
      </c>
      <c r="AB1325" t="str">
        <f>IF([2]Baskol!$L$1328="","",[2]Baskol!$L$1328)</f>
        <v/>
      </c>
      <c r="AC1325" t="str">
        <f>IF([2]Baskol!$N$1328="","",[2]Baskol!$N$1328)</f>
        <v/>
      </c>
      <c r="AD1325" t="str">
        <f>IF([2]Baskol!$O$1328="","",[2]Baskol!$O$1328)</f>
        <v/>
      </c>
      <c r="AE1325" t="str">
        <f>IF([3]Entry!$C$1328="","",[3]Entry!$C$1328)</f>
        <v/>
      </c>
      <c r="AF1325" t="str">
        <f>IF([3]Entry!$D$1328="","",[3]Entry!$D$1328)</f>
        <v/>
      </c>
      <c r="AG1325" t="str">
        <f>IF([3]Entry!$E$1328="","",[3]Entry!$E$1328)</f>
        <v/>
      </c>
      <c r="AH1325" t="str">
        <f>IF([3]Entry!$G$1328="","",[3]Entry!$G$1328)</f>
        <v/>
      </c>
      <c r="AI1325" t="str">
        <f>IF([3]Entry!$K$1328="","",[3]Entry!$K$1328)</f>
        <v/>
      </c>
      <c r="AJ1325" t="str">
        <f>IF([3]Entry!$L$1328="","",[3]Entry!$L$1328)</f>
        <v/>
      </c>
      <c r="AK1325" t="str">
        <f>IF([3]Entry!$M$1328="","",[3]Entry!$M$1328)</f>
        <v/>
      </c>
      <c r="AL1325" t="str">
        <f>IF([3]Entry!$N$1328="","",[3]Entry!$N$1328)</f>
        <v/>
      </c>
      <c r="AM1325" t="str">
        <f>IF([3]Entry!$R$1328="","",[3]Entry!$R$1328)</f>
        <v/>
      </c>
    </row>
    <row r="1326" spans="20:39" x14ac:dyDescent="0.2">
      <c r="T1326" t="str">
        <f>IF([2]Baskol!$B$1329="","",[2]Baskol!$B$1329)</f>
        <v/>
      </c>
      <c r="U1326" t="str">
        <f>IF([2]Baskol!$C$1329="","",[2]Baskol!$C$1329)</f>
        <v/>
      </c>
      <c r="V1326" t="str">
        <f>IF([2]Baskol!$D$1329="","",[2]Baskol!$D$1329)</f>
        <v/>
      </c>
      <c r="W1326" t="str">
        <f>IF([2]Baskol!$E$1329="","",[2]Baskol!$E$1329)</f>
        <v/>
      </c>
      <c r="X1326" t="str">
        <f>IF([2]Baskol!$G$1329="","",[2]Baskol!$G$1329)</f>
        <v/>
      </c>
      <c r="Y1326" t="str">
        <f>IF([2]Baskol!$I$1329="","",[2]Baskol!$I$1329)</f>
        <v/>
      </c>
      <c r="Z1326" t="str">
        <f>IF([2]Baskol!$J$1329="","",[2]Baskol!$J$1329)</f>
        <v/>
      </c>
      <c r="AA1326" t="str">
        <f>IF([2]Baskol!$K$1329="","",[2]Baskol!$K$1329)</f>
        <v/>
      </c>
      <c r="AB1326" t="str">
        <f>IF([2]Baskol!$L$1329="","",[2]Baskol!$L$1329)</f>
        <v/>
      </c>
      <c r="AC1326" t="str">
        <f>IF([2]Baskol!$N$1329="","",[2]Baskol!$N$1329)</f>
        <v/>
      </c>
      <c r="AD1326" t="str">
        <f>IF([2]Baskol!$O$1329="","",[2]Baskol!$O$1329)</f>
        <v/>
      </c>
      <c r="AE1326" t="str">
        <f>IF([3]Entry!$C$1329="","",[3]Entry!$C$1329)</f>
        <v/>
      </c>
      <c r="AF1326" t="str">
        <f>IF([3]Entry!$D$1329="","",[3]Entry!$D$1329)</f>
        <v/>
      </c>
      <c r="AG1326" t="str">
        <f>IF([3]Entry!$E$1329="","",[3]Entry!$E$1329)</f>
        <v/>
      </c>
      <c r="AH1326" t="str">
        <f>IF([3]Entry!$G$1329="","",[3]Entry!$G$1329)</f>
        <v/>
      </c>
      <c r="AI1326" t="str">
        <f>IF([3]Entry!$K$1329="","",[3]Entry!$K$1329)</f>
        <v/>
      </c>
      <c r="AJ1326" t="str">
        <f>IF([3]Entry!$L$1329="","",[3]Entry!$L$1329)</f>
        <v/>
      </c>
      <c r="AK1326" t="str">
        <f>IF([3]Entry!$M$1329="","",[3]Entry!$M$1329)</f>
        <v/>
      </c>
      <c r="AL1326" t="str">
        <f>IF([3]Entry!$N$1329="","",[3]Entry!$N$1329)</f>
        <v/>
      </c>
      <c r="AM1326" t="str">
        <f>IF([3]Entry!$R$1329="","",[3]Entry!$R$1329)</f>
        <v/>
      </c>
    </row>
    <row r="1327" spans="20:39" x14ac:dyDescent="0.2">
      <c r="T1327" t="str">
        <f>IF([2]Baskol!$B$1330="","",[2]Baskol!$B$1330)</f>
        <v/>
      </c>
      <c r="U1327" t="str">
        <f>IF([2]Baskol!$C$1330="","",[2]Baskol!$C$1330)</f>
        <v/>
      </c>
      <c r="V1327" t="str">
        <f>IF([2]Baskol!$D$1330="","",[2]Baskol!$D$1330)</f>
        <v/>
      </c>
      <c r="W1327" t="str">
        <f>IF([2]Baskol!$E$1330="","",[2]Baskol!$E$1330)</f>
        <v/>
      </c>
      <c r="X1327" t="str">
        <f>IF([2]Baskol!$G$1330="","",[2]Baskol!$G$1330)</f>
        <v/>
      </c>
      <c r="Y1327" t="str">
        <f>IF([2]Baskol!$I$1330="","",[2]Baskol!$I$1330)</f>
        <v/>
      </c>
      <c r="Z1327" t="str">
        <f>IF([2]Baskol!$J$1330="","",[2]Baskol!$J$1330)</f>
        <v/>
      </c>
      <c r="AA1327" t="str">
        <f>IF([2]Baskol!$K$1330="","",[2]Baskol!$K$1330)</f>
        <v/>
      </c>
      <c r="AB1327" t="str">
        <f>IF([2]Baskol!$L$1330="","",[2]Baskol!$L$1330)</f>
        <v/>
      </c>
      <c r="AC1327" t="str">
        <f>IF([2]Baskol!$N$1330="","",[2]Baskol!$N$1330)</f>
        <v/>
      </c>
      <c r="AD1327" t="str">
        <f>IF([2]Baskol!$O$1330="","",[2]Baskol!$O$1330)</f>
        <v/>
      </c>
      <c r="AE1327" t="str">
        <f>IF([3]Entry!$C$1330="","",[3]Entry!$C$1330)</f>
        <v/>
      </c>
      <c r="AF1327" t="str">
        <f>IF([3]Entry!$D$1330="","",[3]Entry!$D$1330)</f>
        <v/>
      </c>
      <c r="AG1327" t="str">
        <f>IF([3]Entry!$E$1330="","",[3]Entry!$E$1330)</f>
        <v/>
      </c>
      <c r="AH1327" t="str">
        <f>IF([3]Entry!$G$1330="","",[3]Entry!$G$1330)</f>
        <v/>
      </c>
      <c r="AI1327" t="str">
        <f>IF([3]Entry!$K$1330="","",[3]Entry!$K$1330)</f>
        <v/>
      </c>
      <c r="AJ1327" t="str">
        <f>IF([3]Entry!$L$1330="","",[3]Entry!$L$1330)</f>
        <v/>
      </c>
      <c r="AK1327" t="str">
        <f>IF([3]Entry!$M$1330="","",[3]Entry!$M$1330)</f>
        <v/>
      </c>
      <c r="AL1327" t="str">
        <f>IF([3]Entry!$N$1330="","",[3]Entry!$N$1330)</f>
        <v/>
      </c>
      <c r="AM1327" t="str">
        <f>IF([3]Entry!$R$1330="","",[3]Entry!$R$1330)</f>
        <v/>
      </c>
    </row>
    <row r="1328" spans="20:39" x14ac:dyDescent="0.2">
      <c r="T1328" t="str">
        <f>IF([2]Baskol!$B$1331="","",[2]Baskol!$B$1331)</f>
        <v/>
      </c>
      <c r="U1328" t="str">
        <f>IF([2]Baskol!$C$1331="","",[2]Baskol!$C$1331)</f>
        <v/>
      </c>
      <c r="V1328" t="str">
        <f>IF([2]Baskol!$D$1331="","",[2]Baskol!$D$1331)</f>
        <v/>
      </c>
      <c r="W1328" t="str">
        <f>IF([2]Baskol!$E$1331="","",[2]Baskol!$E$1331)</f>
        <v/>
      </c>
      <c r="X1328" t="str">
        <f>IF([2]Baskol!$G$1331="","",[2]Baskol!$G$1331)</f>
        <v/>
      </c>
      <c r="Y1328" t="str">
        <f>IF([2]Baskol!$I$1331="","",[2]Baskol!$I$1331)</f>
        <v/>
      </c>
      <c r="Z1328" t="str">
        <f>IF([2]Baskol!$J$1331="","",[2]Baskol!$J$1331)</f>
        <v/>
      </c>
      <c r="AA1328" t="str">
        <f>IF([2]Baskol!$K$1331="","",[2]Baskol!$K$1331)</f>
        <v/>
      </c>
      <c r="AB1328" t="str">
        <f>IF([2]Baskol!$L$1331="","",[2]Baskol!$L$1331)</f>
        <v/>
      </c>
      <c r="AC1328" t="str">
        <f>IF([2]Baskol!$N$1331="","",[2]Baskol!$N$1331)</f>
        <v/>
      </c>
      <c r="AD1328" t="str">
        <f>IF([2]Baskol!$O$1331="","",[2]Baskol!$O$1331)</f>
        <v/>
      </c>
      <c r="AE1328" t="str">
        <f>IF([3]Entry!$C$1331="","",[3]Entry!$C$1331)</f>
        <v/>
      </c>
      <c r="AF1328" t="str">
        <f>IF([3]Entry!$D$1331="","",[3]Entry!$D$1331)</f>
        <v/>
      </c>
      <c r="AG1328" t="str">
        <f>IF([3]Entry!$E$1331="","",[3]Entry!$E$1331)</f>
        <v/>
      </c>
      <c r="AH1328" t="str">
        <f>IF([3]Entry!$G$1331="","",[3]Entry!$G$1331)</f>
        <v/>
      </c>
      <c r="AI1328" t="str">
        <f>IF([3]Entry!$K$1331="","",[3]Entry!$K$1331)</f>
        <v/>
      </c>
      <c r="AJ1328" t="str">
        <f>IF([3]Entry!$L$1331="","",[3]Entry!$L$1331)</f>
        <v/>
      </c>
      <c r="AK1328" t="str">
        <f>IF([3]Entry!$M$1331="","",[3]Entry!$M$1331)</f>
        <v/>
      </c>
      <c r="AL1328" t="str">
        <f>IF([3]Entry!$N$1331="","",[3]Entry!$N$1331)</f>
        <v/>
      </c>
      <c r="AM1328" t="str">
        <f>IF([3]Entry!$R$1331="","",[3]Entry!$R$1331)</f>
        <v/>
      </c>
    </row>
    <row r="1329" spans="20:39" x14ac:dyDescent="0.2">
      <c r="T1329" t="str">
        <f>IF([2]Baskol!$B$1332="","",[2]Baskol!$B$1332)</f>
        <v/>
      </c>
      <c r="U1329" t="str">
        <f>IF([2]Baskol!$C$1332="","",[2]Baskol!$C$1332)</f>
        <v/>
      </c>
      <c r="V1329" t="str">
        <f>IF([2]Baskol!$D$1332="","",[2]Baskol!$D$1332)</f>
        <v/>
      </c>
      <c r="W1329" t="str">
        <f>IF([2]Baskol!$E$1332="","",[2]Baskol!$E$1332)</f>
        <v/>
      </c>
      <c r="X1329" t="str">
        <f>IF([2]Baskol!$G$1332="","",[2]Baskol!$G$1332)</f>
        <v/>
      </c>
      <c r="Y1329" t="str">
        <f>IF([2]Baskol!$I$1332="","",[2]Baskol!$I$1332)</f>
        <v/>
      </c>
      <c r="Z1329" t="str">
        <f>IF([2]Baskol!$J$1332="","",[2]Baskol!$J$1332)</f>
        <v/>
      </c>
      <c r="AA1329" t="str">
        <f>IF([2]Baskol!$K$1332="","",[2]Baskol!$K$1332)</f>
        <v/>
      </c>
      <c r="AB1329" t="str">
        <f>IF([2]Baskol!$L$1332="","",[2]Baskol!$L$1332)</f>
        <v/>
      </c>
      <c r="AC1329" t="str">
        <f>IF([2]Baskol!$N$1332="","",[2]Baskol!$N$1332)</f>
        <v/>
      </c>
      <c r="AD1329" t="str">
        <f>IF([2]Baskol!$O$1332="","",[2]Baskol!$O$1332)</f>
        <v/>
      </c>
      <c r="AE1329" t="str">
        <f>IF([3]Entry!$C$1332="","",[3]Entry!$C$1332)</f>
        <v/>
      </c>
      <c r="AF1329" t="str">
        <f>IF([3]Entry!$D$1332="","",[3]Entry!$D$1332)</f>
        <v/>
      </c>
      <c r="AG1329" t="str">
        <f>IF([3]Entry!$E$1332="","",[3]Entry!$E$1332)</f>
        <v/>
      </c>
      <c r="AH1329" t="str">
        <f>IF([3]Entry!$G$1332="","",[3]Entry!$G$1332)</f>
        <v/>
      </c>
      <c r="AI1329" t="str">
        <f>IF([3]Entry!$K$1332="","",[3]Entry!$K$1332)</f>
        <v/>
      </c>
      <c r="AJ1329" t="str">
        <f>IF([3]Entry!$L$1332="","",[3]Entry!$L$1332)</f>
        <v/>
      </c>
      <c r="AK1329" t="str">
        <f>IF([3]Entry!$M$1332="","",[3]Entry!$M$1332)</f>
        <v/>
      </c>
      <c r="AL1329" t="str">
        <f>IF([3]Entry!$N$1332="","",[3]Entry!$N$1332)</f>
        <v/>
      </c>
      <c r="AM1329" t="str">
        <f>IF([3]Entry!$R$1332="","",[3]Entry!$R$1332)</f>
        <v/>
      </c>
    </row>
    <row r="1330" spans="20:39" x14ac:dyDescent="0.2">
      <c r="T1330" t="str">
        <f>IF([2]Baskol!$B$1333="","",[2]Baskol!$B$1333)</f>
        <v/>
      </c>
      <c r="U1330" t="str">
        <f>IF([2]Baskol!$C$1333="","",[2]Baskol!$C$1333)</f>
        <v/>
      </c>
      <c r="V1330" t="str">
        <f>IF([2]Baskol!$D$1333="","",[2]Baskol!$D$1333)</f>
        <v/>
      </c>
      <c r="W1330" t="str">
        <f>IF([2]Baskol!$E$1333="","",[2]Baskol!$E$1333)</f>
        <v/>
      </c>
      <c r="X1330" t="str">
        <f>IF([2]Baskol!$G$1333="","",[2]Baskol!$G$1333)</f>
        <v/>
      </c>
      <c r="Y1330" t="str">
        <f>IF([2]Baskol!$I$1333="","",[2]Baskol!$I$1333)</f>
        <v/>
      </c>
      <c r="Z1330" t="str">
        <f>IF([2]Baskol!$J$1333="","",[2]Baskol!$J$1333)</f>
        <v/>
      </c>
      <c r="AA1330" t="str">
        <f>IF([2]Baskol!$K$1333="","",[2]Baskol!$K$1333)</f>
        <v/>
      </c>
      <c r="AB1330" t="str">
        <f>IF([2]Baskol!$L$1333="","",[2]Baskol!$L$1333)</f>
        <v/>
      </c>
      <c r="AC1330" t="str">
        <f>IF([2]Baskol!$N$1333="","",[2]Baskol!$N$1333)</f>
        <v/>
      </c>
      <c r="AD1330" t="str">
        <f>IF([2]Baskol!$O$1333="","",[2]Baskol!$O$1333)</f>
        <v/>
      </c>
      <c r="AE1330" t="str">
        <f>IF([3]Entry!$C$1333="","",[3]Entry!$C$1333)</f>
        <v/>
      </c>
      <c r="AF1330" t="str">
        <f>IF([3]Entry!$D$1333="","",[3]Entry!$D$1333)</f>
        <v/>
      </c>
      <c r="AG1330" t="str">
        <f>IF([3]Entry!$E$1333="","",[3]Entry!$E$1333)</f>
        <v/>
      </c>
      <c r="AH1330" t="str">
        <f>IF([3]Entry!$G$1333="","",[3]Entry!$G$1333)</f>
        <v/>
      </c>
      <c r="AI1330" t="str">
        <f>IF([3]Entry!$K$1333="","",[3]Entry!$K$1333)</f>
        <v/>
      </c>
      <c r="AJ1330" t="str">
        <f>IF([3]Entry!$L$1333="","",[3]Entry!$L$1333)</f>
        <v/>
      </c>
      <c r="AK1330" t="str">
        <f>IF([3]Entry!$M$1333="","",[3]Entry!$M$1333)</f>
        <v/>
      </c>
      <c r="AL1330" t="str">
        <f>IF([3]Entry!$N$1333="","",[3]Entry!$N$1333)</f>
        <v/>
      </c>
      <c r="AM1330" t="str">
        <f>IF([3]Entry!$R$1333="","",[3]Entry!$R$1333)</f>
        <v/>
      </c>
    </row>
    <row r="1331" spans="20:39" x14ac:dyDescent="0.2">
      <c r="T1331" t="str">
        <f>IF([2]Baskol!$B$1334="","",[2]Baskol!$B$1334)</f>
        <v/>
      </c>
      <c r="U1331" t="str">
        <f>IF([2]Baskol!$C$1334="","",[2]Baskol!$C$1334)</f>
        <v/>
      </c>
      <c r="V1331" t="str">
        <f>IF([2]Baskol!$D$1334="","",[2]Baskol!$D$1334)</f>
        <v/>
      </c>
      <c r="W1331" t="str">
        <f>IF([2]Baskol!$E$1334="","",[2]Baskol!$E$1334)</f>
        <v/>
      </c>
      <c r="X1331" t="str">
        <f>IF([2]Baskol!$G$1334="","",[2]Baskol!$G$1334)</f>
        <v/>
      </c>
      <c r="Y1331" t="str">
        <f>IF([2]Baskol!$I$1334="","",[2]Baskol!$I$1334)</f>
        <v/>
      </c>
      <c r="Z1331" t="str">
        <f>IF([2]Baskol!$J$1334="","",[2]Baskol!$J$1334)</f>
        <v/>
      </c>
      <c r="AA1331" t="str">
        <f>IF([2]Baskol!$K$1334="","",[2]Baskol!$K$1334)</f>
        <v/>
      </c>
      <c r="AB1331" t="str">
        <f>IF([2]Baskol!$L$1334="","",[2]Baskol!$L$1334)</f>
        <v/>
      </c>
      <c r="AC1331" t="str">
        <f>IF([2]Baskol!$N$1334="","",[2]Baskol!$N$1334)</f>
        <v/>
      </c>
      <c r="AD1331" t="str">
        <f>IF([2]Baskol!$O$1334="","",[2]Baskol!$O$1334)</f>
        <v/>
      </c>
      <c r="AE1331" t="str">
        <f>IF([3]Entry!$C$1334="","",[3]Entry!$C$1334)</f>
        <v/>
      </c>
      <c r="AF1331" t="str">
        <f>IF([3]Entry!$D$1334="","",[3]Entry!$D$1334)</f>
        <v/>
      </c>
      <c r="AG1331" t="str">
        <f>IF([3]Entry!$E$1334="","",[3]Entry!$E$1334)</f>
        <v/>
      </c>
      <c r="AH1331" t="str">
        <f>IF([3]Entry!$G$1334="","",[3]Entry!$G$1334)</f>
        <v/>
      </c>
      <c r="AI1331" t="str">
        <f>IF([3]Entry!$K$1334="","",[3]Entry!$K$1334)</f>
        <v/>
      </c>
      <c r="AJ1331" t="str">
        <f>IF([3]Entry!$L$1334="","",[3]Entry!$L$1334)</f>
        <v/>
      </c>
      <c r="AK1331" t="str">
        <f>IF([3]Entry!$M$1334="","",[3]Entry!$M$1334)</f>
        <v/>
      </c>
      <c r="AL1331" t="str">
        <f>IF([3]Entry!$N$1334="","",[3]Entry!$N$1334)</f>
        <v/>
      </c>
      <c r="AM1331" t="str">
        <f>IF([3]Entry!$R$1334="","",[3]Entry!$R$1334)</f>
        <v/>
      </c>
    </row>
    <row r="1332" spans="20:39" x14ac:dyDescent="0.2">
      <c r="T1332" t="str">
        <f>IF([2]Baskol!$B$1335="","",[2]Baskol!$B$1335)</f>
        <v/>
      </c>
      <c r="U1332" t="str">
        <f>IF([2]Baskol!$C$1335="","",[2]Baskol!$C$1335)</f>
        <v/>
      </c>
      <c r="V1332" t="str">
        <f>IF([2]Baskol!$D$1335="","",[2]Baskol!$D$1335)</f>
        <v/>
      </c>
      <c r="W1332" t="str">
        <f>IF([2]Baskol!$E$1335="","",[2]Baskol!$E$1335)</f>
        <v/>
      </c>
      <c r="X1332" t="str">
        <f>IF([2]Baskol!$G$1335="","",[2]Baskol!$G$1335)</f>
        <v/>
      </c>
      <c r="Y1332" t="str">
        <f>IF([2]Baskol!$I$1335="","",[2]Baskol!$I$1335)</f>
        <v/>
      </c>
      <c r="Z1332" t="str">
        <f>IF([2]Baskol!$J$1335="","",[2]Baskol!$J$1335)</f>
        <v/>
      </c>
      <c r="AA1332" t="str">
        <f>IF([2]Baskol!$K$1335="","",[2]Baskol!$K$1335)</f>
        <v/>
      </c>
      <c r="AB1332" t="str">
        <f>IF([2]Baskol!$L$1335="","",[2]Baskol!$L$1335)</f>
        <v/>
      </c>
      <c r="AC1332" t="str">
        <f>IF([2]Baskol!$N$1335="","",[2]Baskol!$N$1335)</f>
        <v/>
      </c>
      <c r="AD1332" t="str">
        <f>IF([2]Baskol!$O$1335="","",[2]Baskol!$O$1335)</f>
        <v/>
      </c>
      <c r="AE1332" t="str">
        <f>IF([3]Entry!$C$1335="","",[3]Entry!$C$1335)</f>
        <v/>
      </c>
      <c r="AF1332" t="str">
        <f>IF([3]Entry!$D$1335="","",[3]Entry!$D$1335)</f>
        <v/>
      </c>
      <c r="AG1332" t="str">
        <f>IF([3]Entry!$E$1335="","",[3]Entry!$E$1335)</f>
        <v/>
      </c>
      <c r="AH1332" t="str">
        <f>IF([3]Entry!$G$1335="","",[3]Entry!$G$1335)</f>
        <v/>
      </c>
      <c r="AI1332" t="str">
        <f>IF([3]Entry!$K$1335="","",[3]Entry!$K$1335)</f>
        <v/>
      </c>
      <c r="AJ1332" t="str">
        <f>IF([3]Entry!$L$1335="","",[3]Entry!$L$1335)</f>
        <v/>
      </c>
      <c r="AK1332" t="str">
        <f>IF([3]Entry!$M$1335="","",[3]Entry!$M$1335)</f>
        <v/>
      </c>
      <c r="AL1332" t="str">
        <f>IF([3]Entry!$N$1335="","",[3]Entry!$N$1335)</f>
        <v/>
      </c>
      <c r="AM1332" t="str">
        <f>IF([3]Entry!$R$1335="","",[3]Entry!$R$1335)</f>
        <v/>
      </c>
    </row>
    <row r="1333" spans="20:39" x14ac:dyDescent="0.2">
      <c r="T1333" t="str">
        <f>IF([2]Baskol!$B$1336="","",[2]Baskol!$B$1336)</f>
        <v/>
      </c>
      <c r="U1333" t="str">
        <f>IF([2]Baskol!$C$1336="","",[2]Baskol!$C$1336)</f>
        <v/>
      </c>
      <c r="V1333" t="str">
        <f>IF([2]Baskol!$D$1336="","",[2]Baskol!$D$1336)</f>
        <v/>
      </c>
      <c r="W1333" t="str">
        <f>IF([2]Baskol!$E$1336="","",[2]Baskol!$E$1336)</f>
        <v/>
      </c>
      <c r="X1333" t="str">
        <f>IF([2]Baskol!$G$1336="","",[2]Baskol!$G$1336)</f>
        <v/>
      </c>
      <c r="Y1333" t="str">
        <f>IF([2]Baskol!$I$1336="","",[2]Baskol!$I$1336)</f>
        <v/>
      </c>
      <c r="Z1333" t="str">
        <f>IF([2]Baskol!$J$1336="","",[2]Baskol!$J$1336)</f>
        <v/>
      </c>
      <c r="AA1333" t="str">
        <f>IF([2]Baskol!$K$1336="","",[2]Baskol!$K$1336)</f>
        <v/>
      </c>
      <c r="AB1333" t="str">
        <f>IF([2]Baskol!$L$1336="","",[2]Baskol!$L$1336)</f>
        <v/>
      </c>
      <c r="AC1333" t="str">
        <f>IF([2]Baskol!$N$1336="","",[2]Baskol!$N$1336)</f>
        <v/>
      </c>
      <c r="AD1333" t="str">
        <f>IF([2]Baskol!$O$1336="","",[2]Baskol!$O$1336)</f>
        <v/>
      </c>
      <c r="AE1333" t="str">
        <f>IF([3]Entry!$C$1336="","",[3]Entry!$C$1336)</f>
        <v/>
      </c>
      <c r="AF1333" t="str">
        <f>IF([3]Entry!$D$1336="","",[3]Entry!$D$1336)</f>
        <v/>
      </c>
      <c r="AG1333" t="str">
        <f>IF([3]Entry!$E$1336="","",[3]Entry!$E$1336)</f>
        <v/>
      </c>
      <c r="AH1333" t="str">
        <f>IF([3]Entry!$G$1336="","",[3]Entry!$G$1336)</f>
        <v/>
      </c>
      <c r="AI1333" t="str">
        <f>IF([3]Entry!$K$1336="","",[3]Entry!$K$1336)</f>
        <v/>
      </c>
      <c r="AJ1333" t="str">
        <f>IF([3]Entry!$L$1336="","",[3]Entry!$L$1336)</f>
        <v/>
      </c>
      <c r="AK1333" t="str">
        <f>IF([3]Entry!$M$1336="","",[3]Entry!$M$1336)</f>
        <v/>
      </c>
      <c r="AL1333" t="str">
        <f>IF([3]Entry!$N$1336="","",[3]Entry!$N$1336)</f>
        <v/>
      </c>
      <c r="AM1333" t="str">
        <f>IF([3]Entry!$R$1336="","",[3]Entry!$R$1336)</f>
        <v/>
      </c>
    </row>
    <row r="1334" spans="20:39" x14ac:dyDescent="0.2">
      <c r="T1334" t="str">
        <f>IF([2]Baskol!$B$1337="","",[2]Baskol!$B$1337)</f>
        <v/>
      </c>
      <c r="U1334" t="str">
        <f>IF([2]Baskol!$C$1337="","",[2]Baskol!$C$1337)</f>
        <v/>
      </c>
      <c r="V1334" t="str">
        <f>IF([2]Baskol!$D$1337="","",[2]Baskol!$D$1337)</f>
        <v/>
      </c>
      <c r="W1334" t="str">
        <f>IF([2]Baskol!$E$1337="","",[2]Baskol!$E$1337)</f>
        <v/>
      </c>
      <c r="X1334" t="str">
        <f>IF([2]Baskol!$G$1337="","",[2]Baskol!$G$1337)</f>
        <v/>
      </c>
      <c r="Y1334" t="str">
        <f>IF([2]Baskol!$I$1337="","",[2]Baskol!$I$1337)</f>
        <v/>
      </c>
      <c r="Z1334" t="str">
        <f>IF([2]Baskol!$J$1337="","",[2]Baskol!$J$1337)</f>
        <v/>
      </c>
      <c r="AA1334" t="str">
        <f>IF([2]Baskol!$K$1337="","",[2]Baskol!$K$1337)</f>
        <v/>
      </c>
      <c r="AB1334" t="str">
        <f>IF([2]Baskol!$L$1337="","",[2]Baskol!$L$1337)</f>
        <v/>
      </c>
      <c r="AC1334" t="str">
        <f>IF([2]Baskol!$N$1337="","",[2]Baskol!$N$1337)</f>
        <v/>
      </c>
      <c r="AD1334" t="str">
        <f>IF([2]Baskol!$O$1337="","",[2]Baskol!$O$1337)</f>
        <v/>
      </c>
      <c r="AE1334" t="str">
        <f>IF([3]Entry!$C$1337="","",[3]Entry!$C$1337)</f>
        <v/>
      </c>
      <c r="AF1334" t="str">
        <f>IF([3]Entry!$D$1337="","",[3]Entry!$D$1337)</f>
        <v/>
      </c>
      <c r="AG1334" t="str">
        <f>IF([3]Entry!$E$1337="","",[3]Entry!$E$1337)</f>
        <v/>
      </c>
      <c r="AH1334" t="str">
        <f>IF([3]Entry!$G$1337="","",[3]Entry!$G$1337)</f>
        <v/>
      </c>
      <c r="AI1334" t="str">
        <f>IF([3]Entry!$K$1337="","",[3]Entry!$K$1337)</f>
        <v/>
      </c>
      <c r="AJ1334" t="str">
        <f>IF([3]Entry!$L$1337="","",[3]Entry!$L$1337)</f>
        <v/>
      </c>
      <c r="AK1334" t="str">
        <f>IF([3]Entry!$M$1337="","",[3]Entry!$M$1337)</f>
        <v/>
      </c>
      <c r="AL1334" t="str">
        <f>IF([3]Entry!$N$1337="","",[3]Entry!$N$1337)</f>
        <v/>
      </c>
      <c r="AM1334" t="str">
        <f>IF([3]Entry!$R$1337="","",[3]Entry!$R$1337)</f>
        <v/>
      </c>
    </row>
    <row r="1335" spans="20:39" x14ac:dyDescent="0.2">
      <c r="T1335" t="str">
        <f>IF([2]Baskol!$B$1338="","",[2]Baskol!$B$1338)</f>
        <v/>
      </c>
      <c r="U1335" t="str">
        <f>IF([2]Baskol!$C$1338="","",[2]Baskol!$C$1338)</f>
        <v/>
      </c>
      <c r="V1335" t="str">
        <f>IF([2]Baskol!$D$1338="","",[2]Baskol!$D$1338)</f>
        <v/>
      </c>
      <c r="W1335" t="str">
        <f>IF([2]Baskol!$E$1338="","",[2]Baskol!$E$1338)</f>
        <v/>
      </c>
      <c r="X1335" t="str">
        <f>IF([2]Baskol!$G$1338="","",[2]Baskol!$G$1338)</f>
        <v/>
      </c>
      <c r="Y1335" t="str">
        <f>IF([2]Baskol!$I$1338="","",[2]Baskol!$I$1338)</f>
        <v/>
      </c>
      <c r="Z1335" t="str">
        <f>IF([2]Baskol!$J$1338="","",[2]Baskol!$J$1338)</f>
        <v/>
      </c>
      <c r="AA1335" t="str">
        <f>IF([2]Baskol!$K$1338="","",[2]Baskol!$K$1338)</f>
        <v/>
      </c>
      <c r="AB1335" t="str">
        <f>IF([2]Baskol!$L$1338="","",[2]Baskol!$L$1338)</f>
        <v/>
      </c>
      <c r="AC1335" t="str">
        <f>IF([2]Baskol!$N$1338="","",[2]Baskol!$N$1338)</f>
        <v/>
      </c>
      <c r="AD1335" t="str">
        <f>IF([2]Baskol!$O$1338="","",[2]Baskol!$O$1338)</f>
        <v/>
      </c>
      <c r="AE1335" t="str">
        <f>IF([3]Entry!$C$1338="","",[3]Entry!$C$1338)</f>
        <v/>
      </c>
      <c r="AF1335" t="str">
        <f>IF([3]Entry!$D$1338="","",[3]Entry!$D$1338)</f>
        <v/>
      </c>
      <c r="AG1335" t="str">
        <f>IF([3]Entry!$E$1338="","",[3]Entry!$E$1338)</f>
        <v/>
      </c>
      <c r="AH1335" t="str">
        <f>IF([3]Entry!$G$1338="","",[3]Entry!$G$1338)</f>
        <v/>
      </c>
      <c r="AI1335" t="str">
        <f>IF([3]Entry!$K$1338="","",[3]Entry!$K$1338)</f>
        <v/>
      </c>
      <c r="AJ1335" t="str">
        <f>IF([3]Entry!$L$1338="","",[3]Entry!$L$1338)</f>
        <v/>
      </c>
      <c r="AK1335" t="str">
        <f>IF([3]Entry!$M$1338="","",[3]Entry!$M$1338)</f>
        <v/>
      </c>
      <c r="AL1335" t="str">
        <f>IF([3]Entry!$N$1338="","",[3]Entry!$N$1338)</f>
        <v/>
      </c>
      <c r="AM1335" t="str">
        <f>IF([3]Entry!$R$1338="","",[3]Entry!$R$1338)</f>
        <v/>
      </c>
    </row>
    <row r="1336" spans="20:39" x14ac:dyDescent="0.2">
      <c r="T1336" t="str">
        <f>IF([2]Baskol!$B$1339="","",[2]Baskol!$B$1339)</f>
        <v/>
      </c>
      <c r="U1336" t="str">
        <f>IF([2]Baskol!$C$1339="","",[2]Baskol!$C$1339)</f>
        <v/>
      </c>
      <c r="V1336" t="str">
        <f>IF([2]Baskol!$D$1339="","",[2]Baskol!$D$1339)</f>
        <v/>
      </c>
      <c r="W1336" t="str">
        <f>IF([2]Baskol!$E$1339="","",[2]Baskol!$E$1339)</f>
        <v/>
      </c>
      <c r="X1336" t="str">
        <f>IF([2]Baskol!$G$1339="","",[2]Baskol!$G$1339)</f>
        <v/>
      </c>
      <c r="Y1336" t="str">
        <f>IF([2]Baskol!$I$1339="","",[2]Baskol!$I$1339)</f>
        <v/>
      </c>
      <c r="Z1336" t="str">
        <f>IF([2]Baskol!$J$1339="","",[2]Baskol!$J$1339)</f>
        <v/>
      </c>
      <c r="AA1336" t="str">
        <f>IF([2]Baskol!$K$1339="","",[2]Baskol!$K$1339)</f>
        <v/>
      </c>
      <c r="AB1336" t="str">
        <f>IF([2]Baskol!$L$1339="","",[2]Baskol!$L$1339)</f>
        <v/>
      </c>
      <c r="AC1336" t="str">
        <f>IF([2]Baskol!$N$1339="","",[2]Baskol!$N$1339)</f>
        <v/>
      </c>
      <c r="AD1336" t="str">
        <f>IF([2]Baskol!$O$1339="","",[2]Baskol!$O$1339)</f>
        <v/>
      </c>
      <c r="AE1336" t="str">
        <f>IF([3]Entry!$C$1339="","",[3]Entry!$C$1339)</f>
        <v/>
      </c>
      <c r="AF1336" t="str">
        <f>IF([3]Entry!$D$1339="","",[3]Entry!$D$1339)</f>
        <v/>
      </c>
      <c r="AG1336" t="str">
        <f>IF([3]Entry!$E$1339="","",[3]Entry!$E$1339)</f>
        <v/>
      </c>
      <c r="AH1336" t="str">
        <f>IF([3]Entry!$G$1339="","",[3]Entry!$G$1339)</f>
        <v/>
      </c>
      <c r="AI1336" t="str">
        <f>IF([3]Entry!$K$1339="","",[3]Entry!$K$1339)</f>
        <v/>
      </c>
      <c r="AJ1336" t="str">
        <f>IF([3]Entry!$L$1339="","",[3]Entry!$L$1339)</f>
        <v/>
      </c>
      <c r="AK1336" t="str">
        <f>IF([3]Entry!$M$1339="","",[3]Entry!$M$1339)</f>
        <v/>
      </c>
      <c r="AL1336" t="str">
        <f>IF([3]Entry!$N$1339="","",[3]Entry!$N$1339)</f>
        <v/>
      </c>
      <c r="AM1336" t="str">
        <f>IF([3]Entry!$R$1339="","",[3]Entry!$R$1339)</f>
        <v/>
      </c>
    </row>
    <row r="1337" spans="20:39" x14ac:dyDescent="0.2">
      <c r="T1337" t="str">
        <f>IF([2]Baskol!$B$1340="","",[2]Baskol!$B$1340)</f>
        <v/>
      </c>
      <c r="U1337" t="str">
        <f>IF([2]Baskol!$C$1340="","",[2]Baskol!$C$1340)</f>
        <v/>
      </c>
      <c r="V1337" t="str">
        <f>IF([2]Baskol!$D$1340="","",[2]Baskol!$D$1340)</f>
        <v/>
      </c>
      <c r="W1337" t="str">
        <f>IF([2]Baskol!$E$1340="","",[2]Baskol!$E$1340)</f>
        <v/>
      </c>
      <c r="X1337" t="str">
        <f>IF([2]Baskol!$G$1340="","",[2]Baskol!$G$1340)</f>
        <v/>
      </c>
      <c r="Y1337" t="str">
        <f>IF([2]Baskol!$I$1340="","",[2]Baskol!$I$1340)</f>
        <v/>
      </c>
      <c r="Z1337" t="str">
        <f>IF([2]Baskol!$J$1340="","",[2]Baskol!$J$1340)</f>
        <v/>
      </c>
      <c r="AA1337" t="str">
        <f>IF([2]Baskol!$K$1340="","",[2]Baskol!$K$1340)</f>
        <v/>
      </c>
      <c r="AB1337" t="str">
        <f>IF([2]Baskol!$L$1340="","",[2]Baskol!$L$1340)</f>
        <v/>
      </c>
      <c r="AC1337" t="str">
        <f>IF([2]Baskol!$N$1340="","",[2]Baskol!$N$1340)</f>
        <v/>
      </c>
      <c r="AD1337" t="str">
        <f>IF([2]Baskol!$O$1340="","",[2]Baskol!$O$1340)</f>
        <v/>
      </c>
      <c r="AE1337" t="str">
        <f>IF([3]Entry!$C$1340="","",[3]Entry!$C$1340)</f>
        <v/>
      </c>
      <c r="AF1337" t="str">
        <f>IF([3]Entry!$D$1340="","",[3]Entry!$D$1340)</f>
        <v/>
      </c>
      <c r="AG1337" t="str">
        <f>IF([3]Entry!$E$1340="","",[3]Entry!$E$1340)</f>
        <v/>
      </c>
      <c r="AH1337" t="str">
        <f>IF([3]Entry!$G$1340="","",[3]Entry!$G$1340)</f>
        <v/>
      </c>
      <c r="AI1337" t="str">
        <f>IF([3]Entry!$K$1340="","",[3]Entry!$K$1340)</f>
        <v/>
      </c>
      <c r="AJ1337" t="str">
        <f>IF([3]Entry!$L$1340="","",[3]Entry!$L$1340)</f>
        <v/>
      </c>
      <c r="AK1337" t="str">
        <f>IF([3]Entry!$M$1340="","",[3]Entry!$M$1340)</f>
        <v/>
      </c>
      <c r="AL1337" t="str">
        <f>IF([3]Entry!$N$1340="","",[3]Entry!$N$1340)</f>
        <v/>
      </c>
      <c r="AM1337" t="str">
        <f>IF([3]Entry!$R$1340="","",[3]Entry!$R$1340)</f>
        <v/>
      </c>
    </row>
    <row r="1338" spans="20:39" x14ac:dyDescent="0.2">
      <c r="T1338" t="str">
        <f>IF([2]Baskol!$B$1341="","",[2]Baskol!$B$1341)</f>
        <v/>
      </c>
      <c r="U1338" t="str">
        <f>IF([2]Baskol!$C$1341="","",[2]Baskol!$C$1341)</f>
        <v/>
      </c>
      <c r="V1338" t="str">
        <f>IF([2]Baskol!$D$1341="","",[2]Baskol!$D$1341)</f>
        <v/>
      </c>
      <c r="W1338" t="str">
        <f>IF([2]Baskol!$E$1341="","",[2]Baskol!$E$1341)</f>
        <v/>
      </c>
      <c r="X1338" t="str">
        <f>IF([2]Baskol!$G$1341="","",[2]Baskol!$G$1341)</f>
        <v/>
      </c>
      <c r="Y1338" t="str">
        <f>IF([2]Baskol!$I$1341="","",[2]Baskol!$I$1341)</f>
        <v/>
      </c>
      <c r="Z1338" t="str">
        <f>IF([2]Baskol!$J$1341="","",[2]Baskol!$J$1341)</f>
        <v/>
      </c>
      <c r="AA1338" t="str">
        <f>IF([2]Baskol!$K$1341="","",[2]Baskol!$K$1341)</f>
        <v/>
      </c>
      <c r="AB1338" t="str">
        <f>IF([2]Baskol!$L$1341="","",[2]Baskol!$L$1341)</f>
        <v/>
      </c>
      <c r="AC1338" t="str">
        <f>IF([2]Baskol!$N$1341="","",[2]Baskol!$N$1341)</f>
        <v/>
      </c>
      <c r="AD1338" t="str">
        <f>IF([2]Baskol!$O$1341="","",[2]Baskol!$O$1341)</f>
        <v/>
      </c>
      <c r="AE1338" t="str">
        <f>IF([3]Entry!$C$1341="","",[3]Entry!$C$1341)</f>
        <v/>
      </c>
      <c r="AF1338" t="str">
        <f>IF([3]Entry!$D$1341="","",[3]Entry!$D$1341)</f>
        <v/>
      </c>
      <c r="AG1338" t="str">
        <f>IF([3]Entry!$E$1341="","",[3]Entry!$E$1341)</f>
        <v/>
      </c>
      <c r="AH1338" t="str">
        <f>IF([3]Entry!$G$1341="","",[3]Entry!$G$1341)</f>
        <v/>
      </c>
      <c r="AI1338" t="str">
        <f>IF([3]Entry!$K$1341="","",[3]Entry!$K$1341)</f>
        <v/>
      </c>
      <c r="AJ1338" t="str">
        <f>IF([3]Entry!$L$1341="","",[3]Entry!$L$1341)</f>
        <v/>
      </c>
      <c r="AK1338" t="str">
        <f>IF([3]Entry!$M$1341="","",[3]Entry!$M$1341)</f>
        <v/>
      </c>
      <c r="AL1338" t="str">
        <f>IF([3]Entry!$N$1341="","",[3]Entry!$N$1341)</f>
        <v/>
      </c>
      <c r="AM1338" t="str">
        <f>IF([3]Entry!$R$1341="","",[3]Entry!$R$1341)</f>
        <v/>
      </c>
    </row>
    <row r="1339" spans="20:39" x14ac:dyDescent="0.2">
      <c r="T1339" t="str">
        <f>IF([2]Baskol!$B$1342="","",[2]Baskol!$B$1342)</f>
        <v/>
      </c>
      <c r="U1339" t="str">
        <f>IF([2]Baskol!$C$1342="","",[2]Baskol!$C$1342)</f>
        <v/>
      </c>
      <c r="V1339" t="str">
        <f>IF([2]Baskol!$D$1342="","",[2]Baskol!$D$1342)</f>
        <v/>
      </c>
      <c r="W1339" t="str">
        <f>IF([2]Baskol!$E$1342="","",[2]Baskol!$E$1342)</f>
        <v/>
      </c>
      <c r="X1339" t="str">
        <f>IF([2]Baskol!$G$1342="","",[2]Baskol!$G$1342)</f>
        <v/>
      </c>
      <c r="Y1339" t="str">
        <f>IF([2]Baskol!$I$1342="","",[2]Baskol!$I$1342)</f>
        <v/>
      </c>
      <c r="Z1339" t="str">
        <f>IF([2]Baskol!$J$1342="","",[2]Baskol!$J$1342)</f>
        <v/>
      </c>
      <c r="AA1339" t="str">
        <f>IF([2]Baskol!$K$1342="","",[2]Baskol!$K$1342)</f>
        <v/>
      </c>
      <c r="AB1339" t="str">
        <f>IF([2]Baskol!$L$1342="","",[2]Baskol!$L$1342)</f>
        <v/>
      </c>
      <c r="AC1339" t="str">
        <f>IF([2]Baskol!$N$1342="","",[2]Baskol!$N$1342)</f>
        <v/>
      </c>
      <c r="AD1339" t="str">
        <f>IF([2]Baskol!$O$1342="","",[2]Baskol!$O$1342)</f>
        <v/>
      </c>
      <c r="AE1339" t="str">
        <f>IF([3]Entry!$C$1342="","",[3]Entry!$C$1342)</f>
        <v/>
      </c>
      <c r="AF1339" t="str">
        <f>IF([3]Entry!$D$1342="","",[3]Entry!$D$1342)</f>
        <v/>
      </c>
      <c r="AG1339" t="str">
        <f>IF([3]Entry!$E$1342="","",[3]Entry!$E$1342)</f>
        <v/>
      </c>
      <c r="AH1339" t="str">
        <f>IF([3]Entry!$G$1342="","",[3]Entry!$G$1342)</f>
        <v/>
      </c>
      <c r="AI1339" t="str">
        <f>IF([3]Entry!$K$1342="","",[3]Entry!$K$1342)</f>
        <v/>
      </c>
      <c r="AJ1339" t="str">
        <f>IF([3]Entry!$L$1342="","",[3]Entry!$L$1342)</f>
        <v/>
      </c>
      <c r="AK1339" t="str">
        <f>IF([3]Entry!$M$1342="","",[3]Entry!$M$1342)</f>
        <v/>
      </c>
      <c r="AL1339" t="str">
        <f>IF([3]Entry!$N$1342="","",[3]Entry!$N$1342)</f>
        <v/>
      </c>
      <c r="AM1339" t="str">
        <f>IF([3]Entry!$R$1342="","",[3]Entry!$R$1342)</f>
        <v/>
      </c>
    </row>
    <row r="1340" spans="20:39" x14ac:dyDescent="0.2">
      <c r="T1340" t="str">
        <f>IF([2]Baskol!$B$1343="","",[2]Baskol!$B$1343)</f>
        <v/>
      </c>
      <c r="U1340" t="str">
        <f>IF([2]Baskol!$C$1343="","",[2]Baskol!$C$1343)</f>
        <v/>
      </c>
      <c r="V1340" t="str">
        <f>IF([2]Baskol!$D$1343="","",[2]Baskol!$D$1343)</f>
        <v/>
      </c>
      <c r="W1340" t="str">
        <f>IF([2]Baskol!$E$1343="","",[2]Baskol!$E$1343)</f>
        <v/>
      </c>
      <c r="X1340" t="str">
        <f>IF([2]Baskol!$G$1343="","",[2]Baskol!$G$1343)</f>
        <v/>
      </c>
      <c r="Y1340" t="str">
        <f>IF([2]Baskol!$I$1343="","",[2]Baskol!$I$1343)</f>
        <v/>
      </c>
      <c r="Z1340" t="str">
        <f>IF([2]Baskol!$J$1343="","",[2]Baskol!$J$1343)</f>
        <v/>
      </c>
      <c r="AA1340" t="str">
        <f>IF([2]Baskol!$K$1343="","",[2]Baskol!$K$1343)</f>
        <v/>
      </c>
      <c r="AB1340" t="str">
        <f>IF([2]Baskol!$L$1343="","",[2]Baskol!$L$1343)</f>
        <v/>
      </c>
      <c r="AC1340" t="str">
        <f>IF([2]Baskol!$N$1343="","",[2]Baskol!$N$1343)</f>
        <v/>
      </c>
      <c r="AD1340" t="str">
        <f>IF([2]Baskol!$O$1343="","",[2]Baskol!$O$1343)</f>
        <v/>
      </c>
      <c r="AE1340" t="str">
        <f>IF([3]Entry!$C$1343="","",[3]Entry!$C$1343)</f>
        <v/>
      </c>
      <c r="AF1340" t="str">
        <f>IF([3]Entry!$D$1343="","",[3]Entry!$D$1343)</f>
        <v/>
      </c>
      <c r="AG1340" t="str">
        <f>IF([3]Entry!$E$1343="","",[3]Entry!$E$1343)</f>
        <v/>
      </c>
      <c r="AH1340" t="str">
        <f>IF([3]Entry!$G$1343="","",[3]Entry!$G$1343)</f>
        <v/>
      </c>
      <c r="AI1340" t="str">
        <f>IF([3]Entry!$K$1343="","",[3]Entry!$K$1343)</f>
        <v/>
      </c>
      <c r="AJ1340" t="str">
        <f>IF([3]Entry!$L$1343="","",[3]Entry!$L$1343)</f>
        <v/>
      </c>
      <c r="AK1340" t="str">
        <f>IF([3]Entry!$M$1343="","",[3]Entry!$M$1343)</f>
        <v/>
      </c>
      <c r="AL1340" t="str">
        <f>IF([3]Entry!$N$1343="","",[3]Entry!$N$1343)</f>
        <v/>
      </c>
      <c r="AM1340" t="str">
        <f>IF([3]Entry!$R$1343="","",[3]Entry!$R$1343)</f>
        <v/>
      </c>
    </row>
    <row r="1341" spans="20:39" x14ac:dyDescent="0.2">
      <c r="T1341" t="str">
        <f>IF([2]Baskol!$B$1344="","",[2]Baskol!$B$1344)</f>
        <v/>
      </c>
      <c r="U1341" t="str">
        <f>IF([2]Baskol!$C$1344="","",[2]Baskol!$C$1344)</f>
        <v/>
      </c>
      <c r="V1341" t="str">
        <f>IF([2]Baskol!$D$1344="","",[2]Baskol!$D$1344)</f>
        <v/>
      </c>
      <c r="W1341" t="str">
        <f>IF([2]Baskol!$E$1344="","",[2]Baskol!$E$1344)</f>
        <v/>
      </c>
      <c r="X1341" t="str">
        <f>IF([2]Baskol!$G$1344="","",[2]Baskol!$G$1344)</f>
        <v/>
      </c>
      <c r="Y1341" t="str">
        <f>IF([2]Baskol!$I$1344="","",[2]Baskol!$I$1344)</f>
        <v/>
      </c>
      <c r="Z1341" t="str">
        <f>IF([2]Baskol!$J$1344="","",[2]Baskol!$J$1344)</f>
        <v/>
      </c>
      <c r="AA1341" t="str">
        <f>IF([2]Baskol!$K$1344="","",[2]Baskol!$K$1344)</f>
        <v/>
      </c>
      <c r="AB1341" t="str">
        <f>IF([2]Baskol!$L$1344="","",[2]Baskol!$L$1344)</f>
        <v/>
      </c>
      <c r="AC1341" t="str">
        <f>IF([2]Baskol!$N$1344="","",[2]Baskol!$N$1344)</f>
        <v/>
      </c>
      <c r="AD1341" t="str">
        <f>IF([2]Baskol!$O$1344="","",[2]Baskol!$O$1344)</f>
        <v/>
      </c>
      <c r="AE1341" t="str">
        <f>IF([3]Entry!$C$1344="","",[3]Entry!$C$1344)</f>
        <v/>
      </c>
      <c r="AF1341" t="str">
        <f>IF([3]Entry!$D$1344="","",[3]Entry!$D$1344)</f>
        <v/>
      </c>
      <c r="AG1341" t="str">
        <f>IF([3]Entry!$E$1344="","",[3]Entry!$E$1344)</f>
        <v/>
      </c>
      <c r="AH1341" t="str">
        <f>IF([3]Entry!$G$1344="","",[3]Entry!$G$1344)</f>
        <v/>
      </c>
      <c r="AI1341" t="str">
        <f>IF([3]Entry!$K$1344="","",[3]Entry!$K$1344)</f>
        <v/>
      </c>
      <c r="AJ1341" t="str">
        <f>IF([3]Entry!$L$1344="","",[3]Entry!$L$1344)</f>
        <v/>
      </c>
      <c r="AK1341" t="str">
        <f>IF([3]Entry!$M$1344="","",[3]Entry!$M$1344)</f>
        <v/>
      </c>
      <c r="AL1341" t="str">
        <f>IF([3]Entry!$N$1344="","",[3]Entry!$N$1344)</f>
        <v/>
      </c>
      <c r="AM1341" t="str">
        <f>IF([3]Entry!$R$1344="","",[3]Entry!$R$1344)</f>
        <v/>
      </c>
    </row>
    <row r="1342" spans="20:39" x14ac:dyDescent="0.2">
      <c r="T1342" t="str">
        <f>IF([2]Baskol!$B$1345="","",[2]Baskol!$B$1345)</f>
        <v/>
      </c>
      <c r="U1342" t="str">
        <f>IF([2]Baskol!$C$1345="","",[2]Baskol!$C$1345)</f>
        <v/>
      </c>
      <c r="V1342" t="str">
        <f>IF([2]Baskol!$D$1345="","",[2]Baskol!$D$1345)</f>
        <v/>
      </c>
      <c r="W1342" t="str">
        <f>IF([2]Baskol!$E$1345="","",[2]Baskol!$E$1345)</f>
        <v/>
      </c>
      <c r="X1342" t="str">
        <f>IF([2]Baskol!$G$1345="","",[2]Baskol!$G$1345)</f>
        <v/>
      </c>
      <c r="Y1342" t="str">
        <f>IF([2]Baskol!$I$1345="","",[2]Baskol!$I$1345)</f>
        <v/>
      </c>
      <c r="Z1342" t="str">
        <f>IF([2]Baskol!$J$1345="","",[2]Baskol!$J$1345)</f>
        <v/>
      </c>
      <c r="AA1342" t="str">
        <f>IF([2]Baskol!$K$1345="","",[2]Baskol!$K$1345)</f>
        <v/>
      </c>
      <c r="AB1342" t="str">
        <f>IF([2]Baskol!$L$1345="","",[2]Baskol!$L$1345)</f>
        <v/>
      </c>
      <c r="AC1342" t="str">
        <f>IF([2]Baskol!$N$1345="","",[2]Baskol!$N$1345)</f>
        <v/>
      </c>
      <c r="AD1342" t="str">
        <f>IF([2]Baskol!$O$1345="","",[2]Baskol!$O$1345)</f>
        <v/>
      </c>
      <c r="AE1342" t="str">
        <f>IF([3]Entry!$C$1345="","",[3]Entry!$C$1345)</f>
        <v/>
      </c>
      <c r="AF1342" t="str">
        <f>IF([3]Entry!$D$1345="","",[3]Entry!$D$1345)</f>
        <v/>
      </c>
      <c r="AG1342" t="str">
        <f>IF([3]Entry!$E$1345="","",[3]Entry!$E$1345)</f>
        <v/>
      </c>
      <c r="AH1342" t="str">
        <f>IF([3]Entry!$G$1345="","",[3]Entry!$G$1345)</f>
        <v/>
      </c>
      <c r="AI1342" t="str">
        <f>IF([3]Entry!$K$1345="","",[3]Entry!$K$1345)</f>
        <v/>
      </c>
      <c r="AJ1342" t="str">
        <f>IF([3]Entry!$L$1345="","",[3]Entry!$L$1345)</f>
        <v/>
      </c>
      <c r="AK1342" t="str">
        <f>IF([3]Entry!$M$1345="","",[3]Entry!$M$1345)</f>
        <v/>
      </c>
      <c r="AL1342" t="str">
        <f>IF([3]Entry!$N$1345="","",[3]Entry!$N$1345)</f>
        <v/>
      </c>
      <c r="AM1342" t="str">
        <f>IF([3]Entry!$R$1345="","",[3]Entry!$R$1345)</f>
        <v/>
      </c>
    </row>
    <row r="1343" spans="20:39" x14ac:dyDescent="0.2">
      <c r="T1343" t="str">
        <f>IF([2]Baskol!$B$1346="","",[2]Baskol!$B$1346)</f>
        <v/>
      </c>
      <c r="U1343" t="str">
        <f>IF([2]Baskol!$C$1346="","",[2]Baskol!$C$1346)</f>
        <v/>
      </c>
      <c r="V1343" t="str">
        <f>IF([2]Baskol!$D$1346="","",[2]Baskol!$D$1346)</f>
        <v/>
      </c>
      <c r="W1343" t="str">
        <f>IF([2]Baskol!$E$1346="","",[2]Baskol!$E$1346)</f>
        <v/>
      </c>
      <c r="X1343" t="str">
        <f>IF([2]Baskol!$G$1346="","",[2]Baskol!$G$1346)</f>
        <v/>
      </c>
      <c r="Y1343" t="str">
        <f>IF([2]Baskol!$I$1346="","",[2]Baskol!$I$1346)</f>
        <v/>
      </c>
      <c r="Z1343" t="str">
        <f>IF([2]Baskol!$J$1346="","",[2]Baskol!$J$1346)</f>
        <v/>
      </c>
      <c r="AA1343" t="str">
        <f>IF([2]Baskol!$K$1346="","",[2]Baskol!$K$1346)</f>
        <v/>
      </c>
      <c r="AB1343" t="str">
        <f>IF([2]Baskol!$L$1346="","",[2]Baskol!$L$1346)</f>
        <v/>
      </c>
      <c r="AC1343" t="str">
        <f>IF([2]Baskol!$N$1346="","",[2]Baskol!$N$1346)</f>
        <v/>
      </c>
      <c r="AD1343" t="str">
        <f>IF([2]Baskol!$O$1346="","",[2]Baskol!$O$1346)</f>
        <v/>
      </c>
      <c r="AE1343" t="str">
        <f>IF([3]Entry!$C$1346="","",[3]Entry!$C$1346)</f>
        <v/>
      </c>
      <c r="AF1343" t="str">
        <f>IF([3]Entry!$D$1346="","",[3]Entry!$D$1346)</f>
        <v/>
      </c>
      <c r="AG1343" t="str">
        <f>IF([3]Entry!$E$1346="","",[3]Entry!$E$1346)</f>
        <v/>
      </c>
      <c r="AH1343" t="str">
        <f>IF([3]Entry!$G$1346="","",[3]Entry!$G$1346)</f>
        <v/>
      </c>
      <c r="AI1343" t="str">
        <f>IF([3]Entry!$K$1346="","",[3]Entry!$K$1346)</f>
        <v/>
      </c>
      <c r="AJ1343" t="str">
        <f>IF([3]Entry!$L$1346="","",[3]Entry!$L$1346)</f>
        <v/>
      </c>
      <c r="AK1343" t="str">
        <f>IF([3]Entry!$M$1346="","",[3]Entry!$M$1346)</f>
        <v/>
      </c>
      <c r="AL1343" t="str">
        <f>IF([3]Entry!$N$1346="","",[3]Entry!$N$1346)</f>
        <v/>
      </c>
      <c r="AM1343" t="str">
        <f>IF([3]Entry!$R$1346="","",[3]Entry!$R$1346)</f>
        <v/>
      </c>
    </row>
    <row r="1344" spans="20:39" x14ac:dyDescent="0.2">
      <c r="T1344" t="str">
        <f>IF([2]Baskol!$B$1347="","",[2]Baskol!$B$1347)</f>
        <v/>
      </c>
      <c r="U1344" t="str">
        <f>IF([2]Baskol!$C$1347="","",[2]Baskol!$C$1347)</f>
        <v/>
      </c>
      <c r="V1344" t="str">
        <f>IF([2]Baskol!$D$1347="","",[2]Baskol!$D$1347)</f>
        <v/>
      </c>
      <c r="W1344" t="str">
        <f>IF([2]Baskol!$E$1347="","",[2]Baskol!$E$1347)</f>
        <v/>
      </c>
      <c r="X1344" t="str">
        <f>IF([2]Baskol!$G$1347="","",[2]Baskol!$G$1347)</f>
        <v/>
      </c>
      <c r="Y1344" t="str">
        <f>IF([2]Baskol!$I$1347="","",[2]Baskol!$I$1347)</f>
        <v/>
      </c>
      <c r="Z1344" t="str">
        <f>IF([2]Baskol!$J$1347="","",[2]Baskol!$J$1347)</f>
        <v/>
      </c>
      <c r="AA1344" t="str">
        <f>IF([2]Baskol!$K$1347="","",[2]Baskol!$K$1347)</f>
        <v/>
      </c>
      <c r="AB1344" t="str">
        <f>IF([2]Baskol!$L$1347="","",[2]Baskol!$L$1347)</f>
        <v/>
      </c>
      <c r="AC1344" t="str">
        <f>IF([2]Baskol!$N$1347="","",[2]Baskol!$N$1347)</f>
        <v/>
      </c>
      <c r="AD1344" t="str">
        <f>IF([2]Baskol!$O$1347="","",[2]Baskol!$O$1347)</f>
        <v/>
      </c>
      <c r="AE1344" t="str">
        <f>IF([3]Entry!$C$1347="","",[3]Entry!$C$1347)</f>
        <v/>
      </c>
      <c r="AF1344" t="str">
        <f>IF([3]Entry!$D$1347="","",[3]Entry!$D$1347)</f>
        <v/>
      </c>
      <c r="AG1344" t="str">
        <f>IF([3]Entry!$E$1347="","",[3]Entry!$E$1347)</f>
        <v/>
      </c>
      <c r="AH1344" t="str">
        <f>IF([3]Entry!$G$1347="","",[3]Entry!$G$1347)</f>
        <v/>
      </c>
      <c r="AI1344" t="str">
        <f>IF([3]Entry!$K$1347="","",[3]Entry!$K$1347)</f>
        <v/>
      </c>
      <c r="AJ1344" t="str">
        <f>IF([3]Entry!$L$1347="","",[3]Entry!$L$1347)</f>
        <v/>
      </c>
      <c r="AK1344" t="str">
        <f>IF([3]Entry!$M$1347="","",[3]Entry!$M$1347)</f>
        <v/>
      </c>
      <c r="AL1344" t="str">
        <f>IF([3]Entry!$N$1347="","",[3]Entry!$N$1347)</f>
        <v/>
      </c>
      <c r="AM1344" t="str">
        <f>IF([3]Entry!$R$1347="","",[3]Entry!$R$1347)</f>
        <v/>
      </c>
    </row>
    <row r="1345" spans="20:39" x14ac:dyDescent="0.2">
      <c r="T1345" t="str">
        <f>IF([2]Baskol!$B$1348="","",[2]Baskol!$B$1348)</f>
        <v/>
      </c>
      <c r="U1345" t="str">
        <f>IF([2]Baskol!$C$1348="","",[2]Baskol!$C$1348)</f>
        <v/>
      </c>
      <c r="V1345" t="str">
        <f>IF([2]Baskol!$D$1348="","",[2]Baskol!$D$1348)</f>
        <v/>
      </c>
      <c r="W1345" t="str">
        <f>IF([2]Baskol!$E$1348="","",[2]Baskol!$E$1348)</f>
        <v/>
      </c>
      <c r="X1345" t="str">
        <f>IF([2]Baskol!$G$1348="","",[2]Baskol!$G$1348)</f>
        <v/>
      </c>
      <c r="Y1345" t="str">
        <f>IF([2]Baskol!$I$1348="","",[2]Baskol!$I$1348)</f>
        <v/>
      </c>
      <c r="Z1345" t="str">
        <f>IF([2]Baskol!$J$1348="","",[2]Baskol!$J$1348)</f>
        <v/>
      </c>
      <c r="AA1345" t="str">
        <f>IF([2]Baskol!$K$1348="","",[2]Baskol!$K$1348)</f>
        <v/>
      </c>
      <c r="AB1345" t="str">
        <f>IF([2]Baskol!$L$1348="","",[2]Baskol!$L$1348)</f>
        <v/>
      </c>
      <c r="AC1345" t="str">
        <f>IF([2]Baskol!$N$1348="","",[2]Baskol!$N$1348)</f>
        <v/>
      </c>
      <c r="AD1345" t="str">
        <f>IF([2]Baskol!$O$1348="","",[2]Baskol!$O$1348)</f>
        <v/>
      </c>
      <c r="AE1345" t="str">
        <f>IF([3]Entry!$C$1348="","",[3]Entry!$C$1348)</f>
        <v/>
      </c>
      <c r="AF1345" t="str">
        <f>IF([3]Entry!$D$1348="","",[3]Entry!$D$1348)</f>
        <v/>
      </c>
      <c r="AG1345" t="str">
        <f>IF([3]Entry!$E$1348="","",[3]Entry!$E$1348)</f>
        <v/>
      </c>
      <c r="AH1345" t="str">
        <f>IF([3]Entry!$G$1348="","",[3]Entry!$G$1348)</f>
        <v/>
      </c>
      <c r="AI1345" t="str">
        <f>IF([3]Entry!$K$1348="","",[3]Entry!$K$1348)</f>
        <v/>
      </c>
      <c r="AJ1345" t="str">
        <f>IF([3]Entry!$L$1348="","",[3]Entry!$L$1348)</f>
        <v/>
      </c>
      <c r="AK1345" t="str">
        <f>IF([3]Entry!$M$1348="","",[3]Entry!$M$1348)</f>
        <v/>
      </c>
      <c r="AL1345" t="str">
        <f>IF([3]Entry!$N$1348="","",[3]Entry!$N$1348)</f>
        <v/>
      </c>
      <c r="AM1345" t="str">
        <f>IF([3]Entry!$R$1348="","",[3]Entry!$R$1348)</f>
        <v/>
      </c>
    </row>
    <row r="1346" spans="20:39" x14ac:dyDescent="0.2">
      <c r="T1346" t="str">
        <f>IF([2]Baskol!$B$1349="","",[2]Baskol!$B$1349)</f>
        <v/>
      </c>
      <c r="U1346" t="str">
        <f>IF([2]Baskol!$C$1349="","",[2]Baskol!$C$1349)</f>
        <v/>
      </c>
      <c r="V1346" t="str">
        <f>IF([2]Baskol!$D$1349="","",[2]Baskol!$D$1349)</f>
        <v/>
      </c>
      <c r="W1346" t="str">
        <f>IF([2]Baskol!$E$1349="","",[2]Baskol!$E$1349)</f>
        <v/>
      </c>
      <c r="X1346" t="str">
        <f>IF([2]Baskol!$G$1349="","",[2]Baskol!$G$1349)</f>
        <v/>
      </c>
      <c r="Y1346" t="str">
        <f>IF([2]Baskol!$I$1349="","",[2]Baskol!$I$1349)</f>
        <v/>
      </c>
      <c r="Z1346" t="str">
        <f>IF([2]Baskol!$J$1349="","",[2]Baskol!$J$1349)</f>
        <v/>
      </c>
      <c r="AA1346" t="str">
        <f>IF([2]Baskol!$K$1349="","",[2]Baskol!$K$1349)</f>
        <v/>
      </c>
      <c r="AB1346" t="str">
        <f>IF([2]Baskol!$L$1349="","",[2]Baskol!$L$1349)</f>
        <v/>
      </c>
      <c r="AC1346" t="str">
        <f>IF([2]Baskol!$N$1349="","",[2]Baskol!$N$1349)</f>
        <v/>
      </c>
      <c r="AD1346" t="str">
        <f>IF([2]Baskol!$O$1349="","",[2]Baskol!$O$1349)</f>
        <v/>
      </c>
      <c r="AE1346" t="str">
        <f>IF([3]Entry!$C$1349="","",[3]Entry!$C$1349)</f>
        <v/>
      </c>
      <c r="AF1346" t="str">
        <f>IF([3]Entry!$D$1349="","",[3]Entry!$D$1349)</f>
        <v/>
      </c>
      <c r="AG1346" t="str">
        <f>IF([3]Entry!$E$1349="","",[3]Entry!$E$1349)</f>
        <v/>
      </c>
      <c r="AH1346" t="str">
        <f>IF([3]Entry!$G$1349="","",[3]Entry!$G$1349)</f>
        <v/>
      </c>
      <c r="AI1346" t="str">
        <f>IF([3]Entry!$K$1349="","",[3]Entry!$K$1349)</f>
        <v/>
      </c>
      <c r="AJ1346" t="str">
        <f>IF([3]Entry!$L$1349="","",[3]Entry!$L$1349)</f>
        <v/>
      </c>
      <c r="AK1346" t="str">
        <f>IF([3]Entry!$M$1349="","",[3]Entry!$M$1349)</f>
        <v/>
      </c>
      <c r="AL1346" t="str">
        <f>IF([3]Entry!$N$1349="","",[3]Entry!$N$1349)</f>
        <v/>
      </c>
      <c r="AM1346" t="str">
        <f>IF([3]Entry!$R$1349="","",[3]Entry!$R$1349)</f>
        <v/>
      </c>
    </row>
    <row r="1347" spans="20:39" x14ac:dyDescent="0.2">
      <c r="T1347" t="str">
        <f>IF([2]Baskol!$B$1350="","",[2]Baskol!$B$1350)</f>
        <v/>
      </c>
      <c r="U1347" t="str">
        <f>IF([2]Baskol!$C$1350="","",[2]Baskol!$C$1350)</f>
        <v/>
      </c>
      <c r="V1347" t="str">
        <f>IF([2]Baskol!$D$1350="","",[2]Baskol!$D$1350)</f>
        <v/>
      </c>
      <c r="W1347" t="str">
        <f>IF([2]Baskol!$E$1350="","",[2]Baskol!$E$1350)</f>
        <v/>
      </c>
      <c r="X1347" t="str">
        <f>IF([2]Baskol!$G$1350="","",[2]Baskol!$G$1350)</f>
        <v/>
      </c>
      <c r="Y1347" t="str">
        <f>IF([2]Baskol!$I$1350="","",[2]Baskol!$I$1350)</f>
        <v/>
      </c>
      <c r="Z1347" t="str">
        <f>IF([2]Baskol!$J$1350="","",[2]Baskol!$J$1350)</f>
        <v/>
      </c>
      <c r="AA1347" t="str">
        <f>IF([2]Baskol!$K$1350="","",[2]Baskol!$K$1350)</f>
        <v/>
      </c>
      <c r="AB1347" t="str">
        <f>IF([2]Baskol!$L$1350="","",[2]Baskol!$L$1350)</f>
        <v/>
      </c>
      <c r="AC1347" t="str">
        <f>IF([2]Baskol!$N$1350="","",[2]Baskol!$N$1350)</f>
        <v/>
      </c>
      <c r="AD1347" t="str">
        <f>IF([2]Baskol!$O$1350="","",[2]Baskol!$O$1350)</f>
        <v/>
      </c>
      <c r="AE1347" t="str">
        <f>IF([3]Entry!$C$1350="","",[3]Entry!$C$1350)</f>
        <v/>
      </c>
      <c r="AF1347" t="str">
        <f>IF([3]Entry!$D$1350="","",[3]Entry!$D$1350)</f>
        <v/>
      </c>
      <c r="AG1347" t="str">
        <f>IF([3]Entry!$E$1350="","",[3]Entry!$E$1350)</f>
        <v/>
      </c>
      <c r="AH1347" t="str">
        <f>IF([3]Entry!$G$1350="","",[3]Entry!$G$1350)</f>
        <v/>
      </c>
      <c r="AI1347" t="str">
        <f>IF([3]Entry!$K$1350="","",[3]Entry!$K$1350)</f>
        <v/>
      </c>
      <c r="AJ1347" t="str">
        <f>IF([3]Entry!$L$1350="","",[3]Entry!$L$1350)</f>
        <v/>
      </c>
      <c r="AK1347" t="str">
        <f>IF([3]Entry!$M$1350="","",[3]Entry!$M$1350)</f>
        <v/>
      </c>
      <c r="AL1347" t="str">
        <f>IF([3]Entry!$N$1350="","",[3]Entry!$N$1350)</f>
        <v/>
      </c>
      <c r="AM1347" t="str">
        <f>IF([3]Entry!$R$1350="","",[3]Entry!$R$1350)</f>
        <v/>
      </c>
    </row>
    <row r="1348" spans="20:39" x14ac:dyDescent="0.2">
      <c r="T1348" t="str">
        <f>IF([2]Baskol!$B$1351="","",[2]Baskol!$B$1351)</f>
        <v/>
      </c>
      <c r="U1348" t="str">
        <f>IF([2]Baskol!$C$1351="","",[2]Baskol!$C$1351)</f>
        <v/>
      </c>
      <c r="V1348" t="str">
        <f>IF([2]Baskol!$D$1351="","",[2]Baskol!$D$1351)</f>
        <v/>
      </c>
      <c r="W1348" t="str">
        <f>IF([2]Baskol!$E$1351="","",[2]Baskol!$E$1351)</f>
        <v/>
      </c>
      <c r="X1348" t="str">
        <f>IF([2]Baskol!$G$1351="","",[2]Baskol!$G$1351)</f>
        <v/>
      </c>
      <c r="Y1348" t="str">
        <f>IF([2]Baskol!$I$1351="","",[2]Baskol!$I$1351)</f>
        <v/>
      </c>
      <c r="Z1348" t="str">
        <f>IF([2]Baskol!$J$1351="","",[2]Baskol!$J$1351)</f>
        <v/>
      </c>
      <c r="AA1348" t="str">
        <f>IF([2]Baskol!$K$1351="","",[2]Baskol!$K$1351)</f>
        <v/>
      </c>
      <c r="AB1348" t="str">
        <f>IF([2]Baskol!$L$1351="","",[2]Baskol!$L$1351)</f>
        <v/>
      </c>
      <c r="AC1348" t="str">
        <f>IF([2]Baskol!$N$1351="","",[2]Baskol!$N$1351)</f>
        <v/>
      </c>
      <c r="AD1348" t="str">
        <f>IF([2]Baskol!$O$1351="","",[2]Baskol!$O$1351)</f>
        <v/>
      </c>
      <c r="AE1348" t="str">
        <f>IF([3]Entry!$C$1351="","",[3]Entry!$C$1351)</f>
        <v/>
      </c>
      <c r="AF1348" t="str">
        <f>IF([3]Entry!$D$1351="","",[3]Entry!$D$1351)</f>
        <v/>
      </c>
      <c r="AG1348" t="str">
        <f>IF([3]Entry!$E$1351="","",[3]Entry!$E$1351)</f>
        <v/>
      </c>
      <c r="AH1348" t="str">
        <f>IF([3]Entry!$G$1351="","",[3]Entry!$G$1351)</f>
        <v/>
      </c>
      <c r="AI1348" t="str">
        <f>IF([3]Entry!$K$1351="","",[3]Entry!$K$1351)</f>
        <v/>
      </c>
      <c r="AJ1348" t="str">
        <f>IF([3]Entry!$L$1351="","",[3]Entry!$L$1351)</f>
        <v/>
      </c>
      <c r="AK1348" t="str">
        <f>IF([3]Entry!$M$1351="","",[3]Entry!$M$1351)</f>
        <v/>
      </c>
      <c r="AL1348" t="str">
        <f>IF([3]Entry!$N$1351="","",[3]Entry!$N$1351)</f>
        <v/>
      </c>
      <c r="AM1348" t="str">
        <f>IF([3]Entry!$R$1351="","",[3]Entry!$R$1351)</f>
        <v/>
      </c>
    </row>
    <row r="1349" spans="20:39" x14ac:dyDescent="0.2">
      <c r="T1349" t="str">
        <f>IF([2]Baskol!$B$1352="","",[2]Baskol!$B$1352)</f>
        <v/>
      </c>
      <c r="U1349" t="str">
        <f>IF([2]Baskol!$C$1352="","",[2]Baskol!$C$1352)</f>
        <v/>
      </c>
      <c r="V1349" t="str">
        <f>IF([2]Baskol!$D$1352="","",[2]Baskol!$D$1352)</f>
        <v/>
      </c>
      <c r="W1349" t="str">
        <f>IF([2]Baskol!$E$1352="","",[2]Baskol!$E$1352)</f>
        <v/>
      </c>
      <c r="X1349" t="str">
        <f>IF([2]Baskol!$G$1352="","",[2]Baskol!$G$1352)</f>
        <v/>
      </c>
      <c r="Y1349" t="str">
        <f>IF([2]Baskol!$I$1352="","",[2]Baskol!$I$1352)</f>
        <v/>
      </c>
      <c r="Z1349" t="str">
        <f>IF([2]Baskol!$J$1352="","",[2]Baskol!$J$1352)</f>
        <v/>
      </c>
      <c r="AA1349" t="str">
        <f>IF([2]Baskol!$K$1352="","",[2]Baskol!$K$1352)</f>
        <v/>
      </c>
      <c r="AB1349" t="str">
        <f>IF([2]Baskol!$L$1352="","",[2]Baskol!$L$1352)</f>
        <v/>
      </c>
      <c r="AC1349" t="str">
        <f>IF([2]Baskol!$N$1352="","",[2]Baskol!$N$1352)</f>
        <v/>
      </c>
      <c r="AD1349" t="str">
        <f>IF([2]Baskol!$O$1352="","",[2]Baskol!$O$1352)</f>
        <v/>
      </c>
      <c r="AE1349" t="str">
        <f>IF([3]Entry!$C$1352="","",[3]Entry!$C$1352)</f>
        <v/>
      </c>
      <c r="AF1349" t="str">
        <f>IF([3]Entry!$D$1352="","",[3]Entry!$D$1352)</f>
        <v/>
      </c>
      <c r="AG1349" t="str">
        <f>IF([3]Entry!$E$1352="","",[3]Entry!$E$1352)</f>
        <v/>
      </c>
      <c r="AH1349" t="str">
        <f>IF([3]Entry!$G$1352="","",[3]Entry!$G$1352)</f>
        <v/>
      </c>
      <c r="AI1349" t="str">
        <f>IF([3]Entry!$K$1352="","",[3]Entry!$K$1352)</f>
        <v/>
      </c>
      <c r="AJ1349" t="str">
        <f>IF([3]Entry!$L$1352="","",[3]Entry!$L$1352)</f>
        <v/>
      </c>
      <c r="AK1349" t="str">
        <f>IF([3]Entry!$M$1352="","",[3]Entry!$M$1352)</f>
        <v/>
      </c>
      <c r="AL1349" t="str">
        <f>IF([3]Entry!$N$1352="","",[3]Entry!$N$1352)</f>
        <v/>
      </c>
      <c r="AM1349" t="str">
        <f>IF([3]Entry!$R$1352="","",[3]Entry!$R$1352)</f>
        <v/>
      </c>
    </row>
    <row r="1350" spans="20:39" x14ac:dyDescent="0.2">
      <c r="T1350" t="str">
        <f>IF([2]Baskol!$B$1353="","",[2]Baskol!$B$1353)</f>
        <v/>
      </c>
      <c r="U1350" t="str">
        <f>IF([2]Baskol!$C$1353="","",[2]Baskol!$C$1353)</f>
        <v/>
      </c>
      <c r="V1350" t="str">
        <f>IF([2]Baskol!$D$1353="","",[2]Baskol!$D$1353)</f>
        <v/>
      </c>
      <c r="W1350" t="str">
        <f>IF([2]Baskol!$E$1353="","",[2]Baskol!$E$1353)</f>
        <v/>
      </c>
      <c r="X1350" t="str">
        <f>IF([2]Baskol!$G$1353="","",[2]Baskol!$G$1353)</f>
        <v/>
      </c>
      <c r="Y1350" t="str">
        <f>IF([2]Baskol!$I$1353="","",[2]Baskol!$I$1353)</f>
        <v/>
      </c>
      <c r="Z1350" t="str">
        <f>IF([2]Baskol!$J$1353="","",[2]Baskol!$J$1353)</f>
        <v/>
      </c>
      <c r="AA1350" t="str">
        <f>IF([2]Baskol!$K$1353="","",[2]Baskol!$K$1353)</f>
        <v/>
      </c>
      <c r="AB1350" t="str">
        <f>IF([2]Baskol!$L$1353="","",[2]Baskol!$L$1353)</f>
        <v/>
      </c>
      <c r="AC1350" t="str">
        <f>IF([2]Baskol!$N$1353="","",[2]Baskol!$N$1353)</f>
        <v/>
      </c>
      <c r="AD1350" t="str">
        <f>IF([2]Baskol!$O$1353="","",[2]Baskol!$O$1353)</f>
        <v/>
      </c>
      <c r="AE1350" t="str">
        <f>IF([3]Entry!$C$1353="","",[3]Entry!$C$1353)</f>
        <v/>
      </c>
      <c r="AF1350" t="str">
        <f>IF([3]Entry!$D$1353="","",[3]Entry!$D$1353)</f>
        <v/>
      </c>
      <c r="AG1350" t="str">
        <f>IF([3]Entry!$E$1353="","",[3]Entry!$E$1353)</f>
        <v/>
      </c>
      <c r="AH1350" t="str">
        <f>IF([3]Entry!$G$1353="","",[3]Entry!$G$1353)</f>
        <v/>
      </c>
      <c r="AI1350" t="str">
        <f>IF([3]Entry!$K$1353="","",[3]Entry!$K$1353)</f>
        <v/>
      </c>
      <c r="AJ1350" t="str">
        <f>IF([3]Entry!$L$1353="","",[3]Entry!$L$1353)</f>
        <v/>
      </c>
      <c r="AK1350" t="str">
        <f>IF([3]Entry!$M$1353="","",[3]Entry!$M$1353)</f>
        <v/>
      </c>
      <c r="AL1350" t="str">
        <f>IF([3]Entry!$N$1353="","",[3]Entry!$N$1353)</f>
        <v/>
      </c>
      <c r="AM1350" t="str">
        <f>IF([3]Entry!$R$1353="","",[3]Entry!$R$1353)</f>
        <v/>
      </c>
    </row>
    <row r="1351" spans="20:39" x14ac:dyDescent="0.2">
      <c r="T1351" t="str">
        <f>IF([2]Baskol!$B$1354="","",[2]Baskol!$B$1354)</f>
        <v/>
      </c>
      <c r="U1351" t="str">
        <f>IF([2]Baskol!$C$1354="","",[2]Baskol!$C$1354)</f>
        <v/>
      </c>
      <c r="V1351" t="str">
        <f>IF([2]Baskol!$D$1354="","",[2]Baskol!$D$1354)</f>
        <v/>
      </c>
      <c r="W1351" t="str">
        <f>IF([2]Baskol!$E$1354="","",[2]Baskol!$E$1354)</f>
        <v/>
      </c>
      <c r="X1351" t="str">
        <f>IF([2]Baskol!$G$1354="","",[2]Baskol!$G$1354)</f>
        <v/>
      </c>
      <c r="Y1351" t="str">
        <f>IF([2]Baskol!$I$1354="","",[2]Baskol!$I$1354)</f>
        <v/>
      </c>
      <c r="Z1351" t="str">
        <f>IF([2]Baskol!$J$1354="","",[2]Baskol!$J$1354)</f>
        <v/>
      </c>
      <c r="AA1351" t="str">
        <f>IF([2]Baskol!$K$1354="","",[2]Baskol!$K$1354)</f>
        <v/>
      </c>
      <c r="AB1351" t="str">
        <f>IF([2]Baskol!$L$1354="","",[2]Baskol!$L$1354)</f>
        <v/>
      </c>
      <c r="AC1351" t="str">
        <f>IF([2]Baskol!$N$1354="","",[2]Baskol!$N$1354)</f>
        <v/>
      </c>
      <c r="AD1351" t="str">
        <f>IF([2]Baskol!$O$1354="","",[2]Baskol!$O$1354)</f>
        <v/>
      </c>
      <c r="AE1351" t="str">
        <f>IF([3]Entry!$C$1354="","",[3]Entry!$C$1354)</f>
        <v/>
      </c>
      <c r="AF1351" t="str">
        <f>IF([3]Entry!$D$1354="","",[3]Entry!$D$1354)</f>
        <v/>
      </c>
      <c r="AG1351" t="str">
        <f>IF([3]Entry!$E$1354="","",[3]Entry!$E$1354)</f>
        <v/>
      </c>
      <c r="AH1351" t="str">
        <f>IF([3]Entry!$G$1354="","",[3]Entry!$G$1354)</f>
        <v/>
      </c>
      <c r="AI1351" t="str">
        <f>IF([3]Entry!$K$1354="","",[3]Entry!$K$1354)</f>
        <v/>
      </c>
      <c r="AJ1351" t="str">
        <f>IF([3]Entry!$L$1354="","",[3]Entry!$L$1354)</f>
        <v/>
      </c>
      <c r="AK1351" t="str">
        <f>IF([3]Entry!$M$1354="","",[3]Entry!$M$1354)</f>
        <v/>
      </c>
      <c r="AL1351" t="str">
        <f>IF([3]Entry!$N$1354="","",[3]Entry!$N$1354)</f>
        <v/>
      </c>
      <c r="AM1351" t="str">
        <f>IF([3]Entry!$R$1354="","",[3]Entry!$R$1354)</f>
        <v/>
      </c>
    </row>
    <row r="1352" spans="20:39" x14ac:dyDescent="0.2">
      <c r="T1352" t="str">
        <f>IF([2]Baskol!$B$1355="","",[2]Baskol!$B$1355)</f>
        <v/>
      </c>
      <c r="U1352" t="str">
        <f>IF([2]Baskol!$C$1355="","",[2]Baskol!$C$1355)</f>
        <v/>
      </c>
      <c r="V1352" t="str">
        <f>IF([2]Baskol!$D$1355="","",[2]Baskol!$D$1355)</f>
        <v/>
      </c>
      <c r="W1352" t="str">
        <f>IF([2]Baskol!$E$1355="","",[2]Baskol!$E$1355)</f>
        <v/>
      </c>
      <c r="X1352" t="str">
        <f>IF([2]Baskol!$G$1355="","",[2]Baskol!$G$1355)</f>
        <v/>
      </c>
      <c r="Y1352" t="str">
        <f>IF([2]Baskol!$I$1355="","",[2]Baskol!$I$1355)</f>
        <v/>
      </c>
      <c r="Z1352" t="str">
        <f>IF([2]Baskol!$J$1355="","",[2]Baskol!$J$1355)</f>
        <v/>
      </c>
      <c r="AA1352" t="str">
        <f>IF([2]Baskol!$K$1355="","",[2]Baskol!$K$1355)</f>
        <v/>
      </c>
      <c r="AB1352" t="str">
        <f>IF([2]Baskol!$L$1355="","",[2]Baskol!$L$1355)</f>
        <v/>
      </c>
      <c r="AC1352" t="str">
        <f>IF([2]Baskol!$N$1355="","",[2]Baskol!$N$1355)</f>
        <v/>
      </c>
      <c r="AD1352" t="str">
        <f>IF([2]Baskol!$O$1355="","",[2]Baskol!$O$1355)</f>
        <v/>
      </c>
      <c r="AE1352" t="str">
        <f>IF([3]Entry!$C$1355="","",[3]Entry!$C$1355)</f>
        <v/>
      </c>
      <c r="AF1352" t="str">
        <f>IF([3]Entry!$D$1355="","",[3]Entry!$D$1355)</f>
        <v/>
      </c>
      <c r="AG1352" t="str">
        <f>IF([3]Entry!$E$1355="","",[3]Entry!$E$1355)</f>
        <v/>
      </c>
      <c r="AH1352" t="str">
        <f>IF([3]Entry!$G$1355="","",[3]Entry!$G$1355)</f>
        <v/>
      </c>
      <c r="AI1352" t="str">
        <f>IF([3]Entry!$K$1355="","",[3]Entry!$K$1355)</f>
        <v/>
      </c>
      <c r="AJ1352" t="str">
        <f>IF([3]Entry!$L$1355="","",[3]Entry!$L$1355)</f>
        <v/>
      </c>
      <c r="AK1352" t="str">
        <f>IF([3]Entry!$M$1355="","",[3]Entry!$M$1355)</f>
        <v/>
      </c>
      <c r="AL1352" t="str">
        <f>IF([3]Entry!$N$1355="","",[3]Entry!$N$1355)</f>
        <v/>
      </c>
      <c r="AM1352" t="str">
        <f>IF([3]Entry!$R$1355="","",[3]Entry!$R$1355)</f>
        <v/>
      </c>
    </row>
    <row r="1353" spans="20:39" x14ac:dyDescent="0.2">
      <c r="T1353" t="str">
        <f>IF([2]Baskol!$B$1356="","",[2]Baskol!$B$1356)</f>
        <v/>
      </c>
      <c r="U1353" t="str">
        <f>IF([2]Baskol!$C$1356="","",[2]Baskol!$C$1356)</f>
        <v/>
      </c>
      <c r="V1353" t="str">
        <f>IF([2]Baskol!$D$1356="","",[2]Baskol!$D$1356)</f>
        <v/>
      </c>
      <c r="W1353" t="str">
        <f>IF([2]Baskol!$E$1356="","",[2]Baskol!$E$1356)</f>
        <v/>
      </c>
      <c r="X1353" t="str">
        <f>IF([2]Baskol!$G$1356="","",[2]Baskol!$G$1356)</f>
        <v/>
      </c>
      <c r="Y1353" t="str">
        <f>IF([2]Baskol!$I$1356="","",[2]Baskol!$I$1356)</f>
        <v/>
      </c>
      <c r="Z1353" t="str">
        <f>IF([2]Baskol!$J$1356="","",[2]Baskol!$J$1356)</f>
        <v/>
      </c>
      <c r="AA1353" t="str">
        <f>IF([2]Baskol!$K$1356="","",[2]Baskol!$K$1356)</f>
        <v/>
      </c>
      <c r="AB1353" t="str">
        <f>IF([2]Baskol!$L$1356="","",[2]Baskol!$L$1356)</f>
        <v/>
      </c>
      <c r="AC1353" t="str">
        <f>IF([2]Baskol!$N$1356="","",[2]Baskol!$N$1356)</f>
        <v/>
      </c>
      <c r="AD1353" t="str">
        <f>IF([2]Baskol!$O$1356="","",[2]Baskol!$O$1356)</f>
        <v/>
      </c>
      <c r="AE1353" t="str">
        <f>IF([3]Entry!$C$1356="","",[3]Entry!$C$1356)</f>
        <v/>
      </c>
      <c r="AF1353" t="str">
        <f>IF([3]Entry!$D$1356="","",[3]Entry!$D$1356)</f>
        <v/>
      </c>
      <c r="AG1353" t="str">
        <f>IF([3]Entry!$E$1356="","",[3]Entry!$E$1356)</f>
        <v/>
      </c>
      <c r="AH1353" t="str">
        <f>IF([3]Entry!$G$1356="","",[3]Entry!$G$1356)</f>
        <v/>
      </c>
      <c r="AI1353" t="str">
        <f>IF([3]Entry!$K$1356="","",[3]Entry!$K$1356)</f>
        <v/>
      </c>
      <c r="AJ1353" t="str">
        <f>IF([3]Entry!$L$1356="","",[3]Entry!$L$1356)</f>
        <v/>
      </c>
      <c r="AK1353" t="str">
        <f>IF([3]Entry!$M$1356="","",[3]Entry!$M$1356)</f>
        <v/>
      </c>
      <c r="AL1353" t="str">
        <f>IF([3]Entry!$N$1356="","",[3]Entry!$N$1356)</f>
        <v/>
      </c>
      <c r="AM1353" t="str">
        <f>IF([3]Entry!$R$1356="","",[3]Entry!$R$1356)</f>
        <v/>
      </c>
    </row>
    <row r="1354" spans="20:39" x14ac:dyDescent="0.2">
      <c r="T1354" t="str">
        <f>IF([2]Baskol!$B$1357="","",[2]Baskol!$B$1357)</f>
        <v/>
      </c>
      <c r="U1354" t="str">
        <f>IF([2]Baskol!$C$1357="","",[2]Baskol!$C$1357)</f>
        <v/>
      </c>
      <c r="V1354" t="str">
        <f>IF([2]Baskol!$D$1357="","",[2]Baskol!$D$1357)</f>
        <v/>
      </c>
      <c r="W1354" t="str">
        <f>IF([2]Baskol!$E$1357="","",[2]Baskol!$E$1357)</f>
        <v/>
      </c>
      <c r="X1354" t="str">
        <f>IF([2]Baskol!$G$1357="","",[2]Baskol!$G$1357)</f>
        <v/>
      </c>
      <c r="Y1354" t="str">
        <f>IF([2]Baskol!$I$1357="","",[2]Baskol!$I$1357)</f>
        <v/>
      </c>
      <c r="Z1354" t="str">
        <f>IF([2]Baskol!$J$1357="","",[2]Baskol!$J$1357)</f>
        <v/>
      </c>
      <c r="AA1354" t="str">
        <f>IF([2]Baskol!$K$1357="","",[2]Baskol!$K$1357)</f>
        <v/>
      </c>
      <c r="AB1354" t="str">
        <f>IF([2]Baskol!$L$1357="","",[2]Baskol!$L$1357)</f>
        <v/>
      </c>
      <c r="AC1354" t="str">
        <f>IF([2]Baskol!$N$1357="","",[2]Baskol!$N$1357)</f>
        <v/>
      </c>
      <c r="AD1354" t="str">
        <f>IF([2]Baskol!$O$1357="","",[2]Baskol!$O$1357)</f>
        <v/>
      </c>
      <c r="AE1354" t="str">
        <f>IF([3]Entry!$C$1357="","",[3]Entry!$C$1357)</f>
        <v/>
      </c>
      <c r="AF1354" t="str">
        <f>IF([3]Entry!$D$1357="","",[3]Entry!$D$1357)</f>
        <v/>
      </c>
      <c r="AG1354" t="str">
        <f>IF([3]Entry!$E$1357="","",[3]Entry!$E$1357)</f>
        <v/>
      </c>
      <c r="AH1354" t="str">
        <f>IF([3]Entry!$G$1357="","",[3]Entry!$G$1357)</f>
        <v/>
      </c>
      <c r="AI1354" t="str">
        <f>IF([3]Entry!$K$1357="","",[3]Entry!$K$1357)</f>
        <v/>
      </c>
      <c r="AJ1354" t="str">
        <f>IF([3]Entry!$L$1357="","",[3]Entry!$L$1357)</f>
        <v/>
      </c>
      <c r="AK1354" t="str">
        <f>IF([3]Entry!$M$1357="","",[3]Entry!$M$1357)</f>
        <v/>
      </c>
      <c r="AL1354" t="str">
        <f>IF([3]Entry!$N$1357="","",[3]Entry!$N$1357)</f>
        <v/>
      </c>
      <c r="AM1354" t="str">
        <f>IF([3]Entry!$R$1357="","",[3]Entry!$R$1357)</f>
        <v/>
      </c>
    </row>
    <row r="1355" spans="20:39" x14ac:dyDescent="0.2">
      <c r="T1355" t="str">
        <f>IF([2]Baskol!$B$1358="","",[2]Baskol!$B$1358)</f>
        <v/>
      </c>
      <c r="U1355" t="str">
        <f>IF([2]Baskol!$C$1358="","",[2]Baskol!$C$1358)</f>
        <v/>
      </c>
      <c r="V1355" t="str">
        <f>IF([2]Baskol!$D$1358="","",[2]Baskol!$D$1358)</f>
        <v/>
      </c>
      <c r="W1355" t="str">
        <f>IF([2]Baskol!$E$1358="","",[2]Baskol!$E$1358)</f>
        <v/>
      </c>
      <c r="X1355" t="str">
        <f>IF([2]Baskol!$G$1358="","",[2]Baskol!$G$1358)</f>
        <v/>
      </c>
      <c r="Y1355" t="str">
        <f>IF([2]Baskol!$I$1358="","",[2]Baskol!$I$1358)</f>
        <v/>
      </c>
      <c r="Z1355" t="str">
        <f>IF([2]Baskol!$J$1358="","",[2]Baskol!$J$1358)</f>
        <v/>
      </c>
      <c r="AA1355" t="str">
        <f>IF([2]Baskol!$K$1358="","",[2]Baskol!$K$1358)</f>
        <v/>
      </c>
      <c r="AB1355" t="str">
        <f>IF([2]Baskol!$L$1358="","",[2]Baskol!$L$1358)</f>
        <v/>
      </c>
      <c r="AC1355" t="str">
        <f>IF([2]Baskol!$N$1358="","",[2]Baskol!$N$1358)</f>
        <v/>
      </c>
      <c r="AD1355" t="str">
        <f>IF([2]Baskol!$O$1358="","",[2]Baskol!$O$1358)</f>
        <v/>
      </c>
      <c r="AE1355" t="str">
        <f>IF([3]Entry!$C$1358="","",[3]Entry!$C$1358)</f>
        <v/>
      </c>
      <c r="AF1355" t="str">
        <f>IF([3]Entry!$D$1358="","",[3]Entry!$D$1358)</f>
        <v/>
      </c>
      <c r="AG1355" t="str">
        <f>IF([3]Entry!$E$1358="","",[3]Entry!$E$1358)</f>
        <v/>
      </c>
      <c r="AH1355" t="str">
        <f>IF([3]Entry!$G$1358="","",[3]Entry!$G$1358)</f>
        <v/>
      </c>
      <c r="AI1355" t="str">
        <f>IF([3]Entry!$K$1358="","",[3]Entry!$K$1358)</f>
        <v/>
      </c>
      <c r="AJ1355" t="str">
        <f>IF([3]Entry!$L$1358="","",[3]Entry!$L$1358)</f>
        <v/>
      </c>
      <c r="AK1355" t="str">
        <f>IF([3]Entry!$M$1358="","",[3]Entry!$M$1358)</f>
        <v/>
      </c>
      <c r="AL1355" t="str">
        <f>IF([3]Entry!$N$1358="","",[3]Entry!$N$1358)</f>
        <v/>
      </c>
      <c r="AM1355" t="str">
        <f>IF([3]Entry!$R$1358="","",[3]Entry!$R$1358)</f>
        <v/>
      </c>
    </row>
    <row r="1356" spans="20:39" x14ac:dyDescent="0.2">
      <c r="T1356" t="str">
        <f>IF([2]Baskol!$B$1359="","",[2]Baskol!$B$1359)</f>
        <v/>
      </c>
      <c r="U1356" t="str">
        <f>IF([2]Baskol!$C$1359="","",[2]Baskol!$C$1359)</f>
        <v/>
      </c>
      <c r="V1356" t="str">
        <f>IF([2]Baskol!$D$1359="","",[2]Baskol!$D$1359)</f>
        <v/>
      </c>
      <c r="W1356" t="str">
        <f>IF([2]Baskol!$E$1359="","",[2]Baskol!$E$1359)</f>
        <v/>
      </c>
      <c r="X1356" t="str">
        <f>IF([2]Baskol!$G$1359="","",[2]Baskol!$G$1359)</f>
        <v/>
      </c>
      <c r="Y1356" t="str">
        <f>IF([2]Baskol!$I$1359="","",[2]Baskol!$I$1359)</f>
        <v/>
      </c>
      <c r="Z1356" t="str">
        <f>IF([2]Baskol!$J$1359="","",[2]Baskol!$J$1359)</f>
        <v/>
      </c>
      <c r="AA1356" t="str">
        <f>IF([2]Baskol!$K$1359="","",[2]Baskol!$K$1359)</f>
        <v/>
      </c>
      <c r="AB1356" t="str">
        <f>IF([2]Baskol!$L$1359="","",[2]Baskol!$L$1359)</f>
        <v/>
      </c>
      <c r="AC1356" t="str">
        <f>IF([2]Baskol!$N$1359="","",[2]Baskol!$N$1359)</f>
        <v/>
      </c>
      <c r="AD1356" t="str">
        <f>IF([2]Baskol!$O$1359="","",[2]Baskol!$O$1359)</f>
        <v/>
      </c>
      <c r="AE1356" t="str">
        <f>IF([3]Entry!$C$1359="","",[3]Entry!$C$1359)</f>
        <v/>
      </c>
      <c r="AF1356" t="str">
        <f>IF([3]Entry!$D$1359="","",[3]Entry!$D$1359)</f>
        <v/>
      </c>
      <c r="AG1356" t="str">
        <f>IF([3]Entry!$E$1359="","",[3]Entry!$E$1359)</f>
        <v/>
      </c>
      <c r="AH1356" t="str">
        <f>IF([3]Entry!$G$1359="","",[3]Entry!$G$1359)</f>
        <v/>
      </c>
      <c r="AI1356" t="str">
        <f>IF([3]Entry!$K$1359="","",[3]Entry!$K$1359)</f>
        <v/>
      </c>
      <c r="AJ1356" t="str">
        <f>IF([3]Entry!$L$1359="","",[3]Entry!$L$1359)</f>
        <v/>
      </c>
      <c r="AK1356" t="str">
        <f>IF([3]Entry!$M$1359="","",[3]Entry!$M$1359)</f>
        <v/>
      </c>
      <c r="AL1356" t="str">
        <f>IF([3]Entry!$N$1359="","",[3]Entry!$N$1359)</f>
        <v/>
      </c>
      <c r="AM1356" t="str">
        <f>IF([3]Entry!$R$1359="","",[3]Entry!$R$1359)</f>
        <v/>
      </c>
    </row>
    <row r="1357" spans="20:39" x14ac:dyDescent="0.2">
      <c r="T1357" t="str">
        <f>IF([2]Baskol!$B$1360="","",[2]Baskol!$B$1360)</f>
        <v/>
      </c>
      <c r="U1357" t="str">
        <f>IF([2]Baskol!$C$1360="","",[2]Baskol!$C$1360)</f>
        <v/>
      </c>
      <c r="V1357" t="str">
        <f>IF([2]Baskol!$D$1360="","",[2]Baskol!$D$1360)</f>
        <v/>
      </c>
      <c r="W1357" t="str">
        <f>IF([2]Baskol!$E$1360="","",[2]Baskol!$E$1360)</f>
        <v/>
      </c>
      <c r="X1357" t="str">
        <f>IF([2]Baskol!$G$1360="","",[2]Baskol!$G$1360)</f>
        <v/>
      </c>
      <c r="Y1357" t="str">
        <f>IF([2]Baskol!$I$1360="","",[2]Baskol!$I$1360)</f>
        <v/>
      </c>
      <c r="Z1357" t="str">
        <f>IF([2]Baskol!$J$1360="","",[2]Baskol!$J$1360)</f>
        <v/>
      </c>
      <c r="AA1357" t="str">
        <f>IF([2]Baskol!$K$1360="","",[2]Baskol!$K$1360)</f>
        <v/>
      </c>
      <c r="AB1357" t="str">
        <f>IF([2]Baskol!$L$1360="","",[2]Baskol!$L$1360)</f>
        <v/>
      </c>
      <c r="AC1357" t="str">
        <f>IF([2]Baskol!$N$1360="","",[2]Baskol!$N$1360)</f>
        <v/>
      </c>
      <c r="AD1357" t="str">
        <f>IF([2]Baskol!$O$1360="","",[2]Baskol!$O$1360)</f>
        <v/>
      </c>
      <c r="AE1357" t="str">
        <f>IF([3]Entry!$C$1360="","",[3]Entry!$C$1360)</f>
        <v/>
      </c>
      <c r="AF1357" t="str">
        <f>IF([3]Entry!$D$1360="","",[3]Entry!$D$1360)</f>
        <v/>
      </c>
      <c r="AG1357" t="str">
        <f>IF([3]Entry!$E$1360="","",[3]Entry!$E$1360)</f>
        <v/>
      </c>
      <c r="AH1357" t="str">
        <f>IF([3]Entry!$G$1360="","",[3]Entry!$G$1360)</f>
        <v/>
      </c>
      <c r="AI1357" t="str">
        <f>IF([3]Entry!$K$1360="","",[3]Entry!$K$1360)</f>
        <v/>
      </c>
      <c r="AJ1357" t="str">
        <f>IF([3]Entry!$L$1360="","",[3]Entry!$L$1360)</f>
        <v/>
      </c>
      <c r="AK1357" t="str">
        <f>IF([3]Entry!$M$1360="","",[3]Entry!$M$1360)</f>
        <v/>
      </c>
      <c r="AL1357" t="str">
        <f>IF([3]Entry!$N$1360="","",[3]Entry!$N$1360)</f>
        <v/>
      </c>
      <c r="AM1357" t="str">
        <f>IF([3]Entry!$R$1360="","",[3]Entry!$R$1360)</f>
        <v/>
      </c>
    </row>
    <row r="1358" spans="20:39" x14ac:dyDescent="0.2">
      <c r="T1358" t="str">
        <f>IF([2]Baskol!$B$1361="","",[2]Baskol!$B$1361)</f>
        <v/>
      </c>
      <c r="U1358" t="str">
        <f>IF([2]Baskol!$C$1361="","",[2]Baskol!$C$1361)</f>
        <v/>
      </c>
      <c r="V1358" t="str">
        <f>IF([2]Baskol!$D$1361="","",[2]Baskol!$D$1361)</f>
        <v/>
      </c>
      <c r="W1358" t="str">
        <f>IF([2]Baskol!$E$1361="","",[2]Baskol!$E$1361)</f>
        <v/>
      </c>
      <c r="X1358" t="str">
        <f>IF([2]Baskol!$G$1361="","",[2]Baskol!$G$1361)</f>
        <v/>
      </c>
      <c r="Y1358" t="str">
        <f>IF([2]Baskol!$I$1361="","",[2]Baskol!$I$1361)</f>
        <v/>
      </c>
      <c r="Z1358" t="str">
        <f>IF([2]Baskol!$J$1361="","",[2]Baskol!$J$1361)</f>
        <v/>
      </c>
      <c r="AA1358" t="str">
        <f>IF([2]Baskol!$K$1361="","",[2]Baskol!$K$1361)</f>
        <v/>
      </c>
      <c r="AB1358" t="str">
        <f>IF([2]Baskol!$L$1361="","",[2]Baskol!$L$1361)</f>
        <v/>
      </c>
      <c r="AC1358" t="str">
        <f>IF([2]Baskol!$N$1361="","",[2]Baskol!$N$1361)</f>
        <v/>
      </c>
      <c r="AD1358" t="str">
        <f>IF([2]Baskol!$O$1361="","",[2]Baskol!$O$1361)</f>
        <v/>
      </c>
      <c r="AE1358" t="str">
        <f>IF([3]Entry!$C$1361="","",[3]Entry!$C$1361)</f>
        <v/>
      </c>
      <c r="AF1358" t="str">
        <f>IF([3]Entry!$D$1361="","",[3]Entry!$D$1361)</f>
        <v/>
      </c>
      <c r="AG1358" t="str">
        <f>IF([3]Entry!$E$1361="","",[3]Entry!$E$1361)</f>
        <v/>
      </c>
      <c r="AH1358" t="str">
        <f>IF([3]Entry!$G$1361="","",[3]Entry!$G$1361)</f>
        <v/>
      </c>
      <c r="AI1358" t="str">
        <f>IF([3]Entry!$K$1361="","",[3]Entry!$K$1361)</f>
        <v/>
      </c>
      <c r="AJ1358" t="str">
        <f>IF([3]Entry!$L$1361="","",[3]Entry!$L$1361)</f>
        <v/>
      </c>
      <c r="AK1358" t="str">
        <f>IF([3]Entry!$M$1361="","",[3]Entry!$M$1361)</f>
        <v/>
      </c>
      <c r="AL1358" t="str">
        <f>IF([3]Entry!$N$1361="","",[3]Entry!$N$1361)</f>
        <v/>
      </c>
      <c r="AM1358" t="str">
        <f>IF([3]Entry!$R$1361="","",[3]Entry!$R$1361)</f>
        <v/>
      </c>
    </row>
    <row r="1359" spans="20:39" x14ac:dyDescent="0.2">
      <c r="T1359" t="str">
        <f>IF([2]Baskol!$B$1362="","",[2]Baskol!$B$1362)</f>
        <v/>
      </c>
      <c r="U1359" t="str">
        <f>IF([2]Baskol!$C$1362="","",[2]Baskol!$C$1362)</f>
        <v/>
      </c>
      <c r="V1359" t="str">
        <f>IF([2]Baskol!$D$1362="","",[2]Baskol!$D$1362)</f>
        <v/>
      </c>
      <c r="W1359" t="str">
        <f>IF([2]Baskol!$E$1362="","",[2]Baskol!$E$1362)</f>
        <v/>
      </c>
      <c r="X1359" t="str">
        <f>IF([2]Baskol!$G$1362="","",[2]Baskol!$G$1362)</f>
        <v/>
      </c>
      <c r="Y1359" t="str">
        <f>IF([2]Baskol!$I$1362="","",[2]Baskol!$I$1362)</f>
        <v/>
      </c>
      <c r="Z1359" t="str">
        <f>IF([2]Baskol!$J$1362="","",[2]Baskol!$J$1362)</f>
        <v/>
      </c>
      <c r="AA1359" t="str">
        <f>IF([2]Baskol!$K$1362="","",[2]Baskol!$K$1362)</f>
        <v/>
      </c>
      <c r="AB1359" t="str">
        <f>IF([2]Baskol!$L$1362="","",[2]Baskol!$L$1362)</f>
        <v/>
      </c>
      <c r="AC1359" t="str">
        <f>IF([2]Baskol!$N$1362="","",[2]Baskol!$N$1362)</f>
        <v/>
      </c>
      <c r="AD1359" t="str">
        <f>IF([2]Baskol!$O$1362="","",[2]Baskol!$O$1362)</f>
        <v/>
      </c>
      <c r="AE1359" t="str">
        <f>IF([3]Entry!$C$1362="","",[3]Entry!$C$1362)</f>
        <v/>
      </c>
      <c r="AF1359" t="str">
        <f>IF([3]Entry!$D$1362="","",[3]Entry!$D$1362)</f>
        <v/>
      </c>
      <c r="AG1359" t="str">
        <f>IF([3]Entry!$E$1362="","",[3]Entry!$E$1362)</f>
        <v/>
      </c>
      <c r="AH1359" t="str">
        <f>IF([3]Entry!$G$1362="","",[3]Entry!$G$1362)</f>
        <v/>
      </c>
      <c r="AI1359" t="str">
        <f>IF([3]Entry!$K$1362="","",[3]Entry!$K$1362)</f>
        <v/>
      </c>
      <c r="AJ1359" t="str">
        <f>IF([3]Entry!$L$1362="","",[3]Entry!$L$1362)</f>
        <v/>
      </c>
      <c r="AK1359" t="str">
        <f>IF([3]Entry!$M$1362="","",[3]Entry!$M$1362)</f>
        <v/>
      </c>
      <c r="AL1359" t="str">
        <f>IF([3]Entry!$N$1362="","",[3]Entry!$N$1362)</f>
        <v/>
      </c>
      <c r="AM1359" t="str">
        <f>IF([3]Entry!$R$1362="","",[3]Entry!$R$1362)</f>
        <v/>
      </c>
    </row>
    <row r="1360" spans="20:39" x14ac:dyDescent="0.2">
      <c r="T1360" t="str">
        <f>IF([2]Baskol!$B$1363="","",[2]Baskol!$B$1363)</f>
        <v/>
      </c>
      <c r="U1360" t="str">
        <f>IF([2]Baskol!$C$1363="","",[2]Baskol!$C$1363)</f>
        <v/>
      </c>
      <c r="V1360" t="str">
        <f>IF([2]Baskol!$D$1363="","",[2]Baskol!$D$1363)</f>
        <v/>
      </c>
      <c r="W1360" t="str">
        <f>IF([2]Baskol!$E$1363="","",[2]Baskol!$E$1363)</f>
        <v/>
      </c>
      <c r="X1360" t="str">
        <f>IF([2]Baskol!$G$1363="","",[2]Baskol!$G$1363)</f>
        <v/>
      </c>
      <c r="Y1360" t="str">
        <f>IF([2]Baskol!$I$1363="","",[2]Baskol!$I$1363)</f>
        <v/>
      </c>
      <c r="Z1360" t="str">
        <f>IF([2]Baskol!$J$1363="","",[2]Baskol!$J$1363)</f>
        <v/>
      </c>
      <c r="AA1360" t="str">
        <f>IF([2]Baskol!$K$1363="","",[2]Baskol!$K$1363)</f>
        <v/>
      </c>
      <c r="AB1360" t="str">
        <f>IF([2]Baskol!$L$1363="","",[2]Baskol!$L$1363)</f>
        <v/>
      </c>
      <c r="AC1360" t="str">
        <f>IF([2]Baskol!$N$1363="","",[2]Baskol!$N$1363)</f>
        <v/>
      </c>
      <c r="AD1360" t="str">
        <f>IF([2]Baskol!$O$1363="","",[2]Baskol!$O$1363)</f>
        <v/>
      </c>
      <c r="AE1360" t="str">
        <f>IF([3]Entry!$C$1363="","",[3]Entry!$C$1363)</f>
        <v/>
      </c>
      <c r="AF1360" t="str">
        <f>IF([3]Entry!$D$1363="","",[3]Entry!$D$1363)</f>
        <v/>
      </c>
      <c r="AG1360" t="str">
        <f>IF([3]Entry!$E$1363="","",[3]Entry!$E$1363)</f>
        <v/>
      </c>
      <c r="AH1360" t="str">
        <f>IF([3]Entry!$G$1363="","",[3]Entry!$G$1363)</f>
        <v/>
      </c>
      <c r="AI1360" t="str">
        <f>IF([3]Entry!$K$1363="","",[3]Entry!$K$1363)</f>
        <v/>
      </c>
      <c r="AJ1360" t="str">
        <f>IF([3]Entry!$L$1363="","",[3]Entry!$L$1363)</f>
        <v/>
      </c>
      <c r="AK1360" t="str">
        <f>IF([3]Entry!$M$1363="","",[3]Entry!$M$1363)</f>
        <v/>
      </c>
      <c r="AL1360" t="str">
        <f>IF([3]Entry!$N$1363="","",[3]Entry!$N$1363)</f>
        <v/>
      </c>
      <c r="AM1360" t="str">
        <f>IF([3]Entry!$R$1363="","",[3]Entry!$R$1363)</f>
        <v/>
      </c>
    </row>
    <row r="1361" spans="20:39" x14ac:dyDescent="0.2">
      <c r="T1361" t="str">
        <f>IF([2]Baskol!$B$1364="","",[2]Baskol!$B$1364)</f>
        <v/>
      </c>
      <c r="U1361" t="str">
        <f>IF([2]Baskol!$C$1364="","",[2]Baskol!$C$1364)</f>
        <v/>
      </c>
      <c r="V1361" t="str">
        <f>IF([2]Baskol!$D$1364="","",[2]Baskol!$D$1364)</f>
        <v/>
      </c>
      <c r="W1361" t="str">
        <f>IF([2]Baskol!$E$1364="","",[2]Baskol!$E$1364)</f>
        <v/>
      </c>
      <c r="X1361" t="str">
        <f>IF([2]Baskol!$G$1364="","",[2]Baskol!$G$1364)</f>
        <v/>
      </c>
      <c r="Y1361" t="str">
        <f>IF([2]Baskol!$I$1364="","",[2]Baskol!$I$1364)</f>
        <v/>
      </c>
      <c r="Z1361" t="str">
        <f>IF([2]Baskol!$J$1364="","",[2]Baskol!$J$1364)</f>
        <v/>
      </c>
      <c r="AA1361" t="str">
        <f>IF([2]Baskol!$K$1364="","",[2]Baskol!$K$1364)</f>
        <v/>
      </c>
      <c r="AB1361" t="str">
        <f>IF([2]Baskol!$L$1364="","",[2]Baskol!$L$1364)</f>
        <v/>
      </c>
      <c r="AC1361" t="str">
        <f>IF([2]Baskol!$N$1364="","",[2]Baskol!$N$1364)</f>
        <v/>
      </c>
      <c r="AD1361" t="str">
        <f>IF([2]Baskol!$O$1364="","",[2]Baskol!$O$1364)</f>
        <v/>
      </c>
      <c r="AE1361" t="str">
        <f>IF([3]Entry!$C$1364="","",[3]Entry!$C$1364)</f>
        <v/>
      </c>
      <c r="AF1361" t="str">
        <f>IF([3]Entry!$D$1364="","",[3]Entry!$D$1364)</f>
        <v/>
      </c>
      <c r="AG1361" t="str">
        <f>IF([3]Entry!$E$1364="","",[3]Entry!$E$1364)</f>
        <v/>
      </c>
      <c r="AH1361" t="str">
        <f>IF([3]Entry!$G$1364="","",[3]Entry!$G$1364)</f>
        <v/>
      </c>
      <c r="AI1361" t="str">
        <f>IF([3]Entry!$K$1364="","",[3]Entry!$K$1364)</f>
        <v/>
      </c>
      <c r="AJ1361" t="str">
        <f>IF([3]Entry!$L$1364="","",[3]Entry!$L$1364)</f>
        <v/>
      </c>
      <c r="AK1361" t="str">
        <f>IF([3]Entry!$M$1364="","",[3]Entry!$M$1364)</f>
        <v/>
      </c>
      <c r="AL1361" t="str">
        <f>IF([3]Entry!$N$1364="","",[3]Entry!$N$1364)</f>
        <v/>
      </c>
      <c r="AM1361" t="str">
        <f>IF([3]Entry!$R$1364="","",[3]Entry!$R$1364)</f>
        <v/>
      </c>
    </row>
    <row r="1362" spans="20:39" x14ac:dyDescent="0.2">
      <c r="T1362" t="str">
        <f>IF([2]Baskol!$B$1365="","",[2]Baskol!$B$1365)</f>
        <v/>
      </c>
      <c r="U1362" t="str">
        <f>IF([2]Baskol!$C$1365="","",[2]Baskol!$C$1365)</f>
        <v/>
      </c>
      <c r="V1362" t="str">
        <f>IF([2]Baskol!$D$1365="","",[2]Baskol!$D$1365)</f>
        <v/>
      </c>
      <c r="W1362" t="str">
        <f>IF([2]Baskol!$E$1365="","",[2]Baskol!$E$1365)</f>
        <v/>
      </c>
      <c r="X1362" t="str">
        <f>IF([2]Baskol!$G$1365="","",[2]Baskol!$G$1365)</f>
        <v/>
      </c>
      <c r="Y1362" t="str">
        <f>IF([2]Baskol!$I$1365="","",[2]Baskol!$I$1365)</f>
        <v/>
      </c>
      <c r="Z1362" t="str">
        <f>IF([2]Baskol!$J$1365="","",[2]Baskol!$J$1365)</f>
        <v/>
      </c>
      <c r="AA1362" t="str">
        <f>IF([2]Baskol!$K$1365="","",[2]Baskol!$K$1365)</f>
        <v/>
      </c>
      <c r="AB1362" t="str">
        <f>IF([2]Baskol!$L$1365="","",[2]Baskol!$L$1365)</f>
        <v/>
      </c>
      <c r="AC1362" t="str">
        <f>IF([2]Baskol!$N$1365="","",[2]Baskol!$N$1365)</f>
        <v/>
      </c>
      <c r="AD1362" t="str">
        <f>IF([2]Baskol!$O$1365="","",[2]Baskol!$O$1365)</f>
        <v/>
      </c>
      <c r="AE1362" t="str">
        <f>IF([3]Entry!$C$1365="","",[3]Entry!$C$1365)</f>
        <v/>
      </c>
      <c r="AF1362" t="str">
        <f>IF([3]Entry!$D$1365="","",[3]Entry!$D$1365)</f>
        <v/>
      </c>
      <c r="AG1362" t="str">
        <f>IF([3]Entry!$E$1365="","",[3]Entry!$E$1365)</f>
        <v/>
      </c>
      <c r="AH1362" t="str">
        <f>IF([3]Entry!$G$1365="","",[3]Entry!$G$1365)</f>
        <v/>
      </c>
      <c r="AI1362" t="str">
        <f>IF([3]Entry!$K$1365="","",[3]Entry!$K$1365)</f>
        <v/>
      </c>
      <c r="AJ1362" t="str">
        <f>IF([3]Entry!$L$1365="","",[3]Entry!$L$1365)</f>
        <v/>
      </c>
      <c r="AK1362" t="str">
        <f>IF([3]Entry!$M$1365="","",[3]Entry!$M$1365)</f>
        <v/>
      </c>
      <c r="AL1362" t="str">
        <f>IF([3]Entry!$N$1365="","",[3]Entry!$N$1365)</f>
        <v/>
      </c>
      <c r="AM1362" t="str">
        <f>IF([3]Entry!$R$1365="","",[3]Entry!$R$1365)</f>
        <v/>
      </c>
    </row>
    <row r="1363" spans="20:39" x14ac:dyDescent="0.2">
      <c r="T1363" t="str">
        <f>IF([2]Baskol!$B$1366="","",[2]Baskol!$B$1366)</f>
        <v/>
      </c>
      <c r="U1363" t="str">
        <f>IF([2]Baskol!$C$1366="","",[2]Baskol!$C$1366)</f>
        <v/>
      </c>
      <c r="V1363" t="str">
        <f>IF([2]Baskol!$D$1366="","",[2]Baskol!$D$1366)</f>
        <v/>
      </c>
      <c r="W1363" t="str">
        <f>IF([2]Baskol!$E$1366="","",[2]Baskol!$E$1366)</f>
        <v/>
      </c>
      <c r="X1363" t="str">
        <f>IF([2]Baskol!$G$1366="","",[2]Baskol!$G$1366)</f>
        <v/>
      </c>
      <c r="Y1363" t="str">
        <f>IF([2]Baskol!$I$1366="","",[2]Baskol!$I$1366)</f>
        <v/>
      </c>
      <c r="Z1363" t="str">
        <f>IF([2]Baskol!$J$1366="","",[2]Baskol!$J$1366)</f>
        <v/>
      </c>
      <c r="AA1363" t="str">
        <f>IF([2]Baskol!$K$1366="","",[2]Baskol!$K$1366)</f>
        <v/>
      </c>
      <c r="AB1363" t="str">
        <f>IF([2]Baskol!$L$1366="","",[2]Baskol!$L$1366)</f>
        <v/>
      </c>
      <c r="AC1363" t="str">
        <f>IF([2]Baskol!$N$1366="","",[2]Baskol!$N$1366)</f>
        <v/>
      </c>
      <c r="AD1363" t="str">
        <f>IF([2]Baskol!$O$1366="","",[2]Baskol!$O$1366)</f>
        <v/>
      </c>
      <c r="AE1363" t="str">
        <f>IF([3]Entry!$C$1366="","",[3]Entry!$C$1366)</f>
        <v/>
      </c>
      <c r="AF1363" t="str">
        <f>IF([3]Entry!$D$1366="","",[3]Entry!$D$1366)</f>
        <v/>
      </c>
      <c r="AG1363" t="str">
        <f>IF([3]Entry!$E$1366="","",[3]Entry!$E$1366)</f>
        <v/>
      </c>
      <c r="AH1363" t="str">
        <f>IF([3]Entry!$G$1366="","",[3]Entry!$G$1366)</f>
        <v/>
      </c>
      <c r="AI1363" t="str">
        <f>IF([3]Entry!$K$1366="","",[3]Entry!$K$1366)</f>
        <v/>
      </c>
      <c r="AJ1363" t="str">
        <f>IF([3]Entry!$L$1366="","",[3]Entry!$L$1366)</f>
        <v/>
      </c>
      <c r="AK1363" t="str">
        <f>IF([3]Entry!$M$1366="","",[3]Entry!$M$1366)</f>
        <v/>
      </c>
      <c r="AL1363" t="str">
        <f>IF([3]Entry!$N$1366="","",[3]Entry!$N$1366)</f>
        <v/>
      </c>
      <c r="AM1363" t="str">
        <f>IF([3]Entry!$R$1366="","",[3]Entry!$R$1366)</f>
        <v/>
      </c>
    </row>
    <row r="1364" spans="20:39" x14ac:dyDescent="0.2">
      <c r="T1364" t="str">
        <f>IF([2]Baskol!$B$1367="","",[2]Baskol!$B$1367)</f>
        <v/>
      </c>
      <c r="U1364" t="str">
        <f>IF([2]Baskol!$C$1367="","",[2]Baskol!$C$1367)</f>
        <v/>
      </c>
      <c r="V1364" t="str">
        <f>IF([2]Baskol!$D$1367="","",[2]Baskol!$D$1367)</f>
        <v/>
      </c>
      <c r="W1364" t="str">
        <f>IF([2]Baskol!$E$1367="","",[2]Baskol!$E$1367)</f>
        <v/>
      </c>
      <c r="X1364" t="str">
        <f>IF([2]Baskol!$G$1367="","",[2]Baskol!$G$1367)</f>
        <v/>
      </c>
      <c r="Y1364" t="str">
        <f>IF([2]Baskol!$I$1367="","",[2]Baskol!$I$1367)</f>
        <v/>
      </c>
      <c r="Z1364" t="str">
        <f>IF([2]Baskol!$J$1367="","",[2]Baskol!$J$1367)</f>
        <v/>
      </c>
      <c r="AA1364" t="str">
        <f>IF([2]Baskol!$K$1367="","",[2]Baskol!$K$1367)</f>
        <v/>
      </c>
      <c r="AB1364" t="str">
        <f>IF([2]Baskol!$L$1367="","",[2]Baskol!$L$1367)</f>
        <v/>
      </c>
      <c r="AC1364" t="str">
        <f>IF([2]Baskol!$N$1367="","",[2]Baskol!$N$1367)</f>
        <v/>
      </c>
      <c r="AD1364" t="str">
        <f>IF([2]Baskol!$O$1367="","",[2]Baskol!$O$1367)</f>
        <v/>
      </c>
      <c r="AE1364" t="str">
        <f>IF([3]Entry!$C$1367="","",[3]Entry!$C$1367)</f>
        <v/>
      </c>
      <c r="AF1364" t="str">
        <f>IF([3]Entry!$D$1367="","",[3]Entry!$D$1367)</f>
        <v/>
      </c>
      <c r="AG1364" t="str">
        <f>IF([3]Entry!$E$1367="","",[3]Entry!$E$1367)</f>
        <v/>
      </c>
      <c r="AH1364" t="str">
        <f>IF([3]Entry!$G$1367="","",[3]Entry!$G$1367)</f>
        <v/>
      </c>
      <c r="AI1364" t="str">
        <f>IF([3]Entry!$K$1367="","",[3]Entry!$K$1367)</f>
        <v/>
      </c>
      <c r="AJ1364" t="str">
        <f>IF([3]Entry!$L$1367="","",[3]Entry!$L$1367)</f>
        <v/>
      </c>
      <c r="AK1364" t="str">
        <f>IF([3]Entry!$M$1367="","",[3]Entry!$M$1367)</f>
        <v/>
      </c>
      <c r="AL1364" t="str">
        <f>IF([3]Entry!$N$1367="","",[3]Entry!$N$1367)</f>
        <v/>
      </c>
      <c r="AM1364" t="str">
        <f>IF([3]Entry!$R$1367="","",[3]Entry!$R$1367)</f>
        <v/>
      </c>
    </row>
    <row r="1365" spans="20:39" x14ac:dyDescent="0.2">
      <c r="T1365" t="str">
        <f>IF([2]Baskol!$B$1368="","",[2]Baskol!$B$1368)</f>
        <v/>
      </c>
      <c r="U1365" t="str">
        <f>IF([2]Baskol!$C$1368="","",[2]Baskol!$C$1368)</f>
        <v/>
      </c>
      <c r="V1365" t="str">
        <f>IF([2]Baskol!$D$1368="","",[2]Baskol!$D$1368)</f>
        <v/>
      </c>
      <c r="W1365" t="str">
        <f>IF([2]Baskol!$E$1368="","",[2]Baskol!$E$1368)</f>
        <v/>
      </c>
      <c r="X1365" t="str">
        <f>IF([2]Baskol!$G$1368="","",[2]Baskol!$G$1368)</f>
        <v/>
      </c>
      <c r="Y1365" t="str">
        <f>IF([2]Baskol!$I$1368="","",[2]Baskol!$I$1368)</f>
        <v/>
      </c>
      <c r="Z1365" t="str">
        <f>IF([2]Baskol!$J$1368="","",[2]Baskol!$J$1368)</f>
        <v/>
      </c>
      <c r="AA1365" t="str">
        <f>IF([2]Baskol!$K$1368="","",[2]Baskol!$K$1368)</f>
        <v/>
      </c>
      <c r="AB1365" t="str">
        <f>IF([2]Baskol!$L$1368="","",[2]Baskol!$L$1368)</f>
        <v/>
      </c>
      <c r="AC1365" t="str">
        <f>IF([2]Baskol!$N$1368="","",[2]Baskol!$N$1368)</f>
        <v/>
      </c>
      <c r="AD1365" t="str">
        <f>IF([2]Baskol!$O$1368="","",[2]Baskol!$O$1368)</f>
        <v/>
      </c>
      <c r="AE1365" t="str">
        <f>IF([3]Entry!$C$1368="","",[3]Entry!$C$1368)</f>
        <v/>
      </c>
      <c r="AF1365" t="str">
        <f>IF([3]Entry!$D$1368="","",[3]Entry!$D$1368)</f>
        <v/>
      </c>
      <c r="AG1365" t="str">
        <f>IF([3]Entry!$E$1368="","",[3]Entry!$E$1368)</f>
        <v/>
      </c>
      <c r="AH1365" t="str">
        <f>IF([3]Entry!$G$1368="","",[3]Entry!$G$1368)</f>
        <v/>
      </c>
      <c r="AI1365" t="str">
        <f>IF([3]Entry!$K$1368="","",[3]Entry!$K$1368)</f>
        <v/>
      </c>
      <c r="AJ1365" t="str">
        <f>IF([3]Entry!$L$1368="","",[3]Entry!$L$1368)</f>
        <v/>
      </c>
      <c r="AK1365" t="str">
        <f>IF([3]Entry!$M$1368="","",[3]Entry!$M$1368)</f>
        <v/>
      </c>
      <c r="AL1365" t="str">
        <f>IF([3]Entry!$N$1368="","",[3]Entry!$N$1368)</f>
        <v/>
      </c>
      <c r="AM1365" t="str">
        <f>IF([3]Entry!$R$1368="","",[3]Entry!$R$1368)</f>
        <v/>
      </c>
    </row>
    <row r="1366" spans="20:39" x14ac:dyDescent="0.2">
      <c r="T1366" t="str">
        <f>IF([2]Baskol!$B$1369="","",[2]Baskol!$B$1369)</f>
        <v/>
      </c>
      <c r="U1366" t="str">
        <f>IF([2]Baskol!$C$1369="","",[2]Baskol!$C$1369)</f>
        <v/>
      </c>
      <c r="V1366" t="str">
        <f>IF([2]Baskol!$D$1369="","",[2]Baskol!$D$1369)</f>
        <v/>
      </c>
      <c r="W1366" t="str">
        <f>IF([2]Baskol!$E$1369="","",[2]Baskol!$E$1369)</f>
        <v/>
      </c>
      <c r="X1366" t="str">
        <f>IF([2]Baskol!$G$1369="","",[2]Baskol!$G$1369)</f>
        <v/>
      </c>
      <c r="Y1366" t="str">
        <f>IF([2]Baskol!$I$1369="","",[2]Baskol!$I$1369)</f>
        <v/>
      </c>
      <c r="Z1366" t="str">
        <f>IF([2]Baskol!$J$1369="","",[2]Baskol!$J$1369)</f>
        <v/>
      </c>
      <c r="AA1366" t="str">
        <f>IF([2]Baskol!$K$1369="","",[2]Baskol!$K$1369)</f>
        <v/>
      </c>
      <c r="AB1366" t="str">
        <f>IF([2]Baskol!$L$1369="","",[2]Baskol!$L$1369)</f>
        <v/>
      </c>
      <c r="AC1366" t="str">
        <f>IF([2]Baskol!$N$1369="","",[2]Baskol!$N$1369)</f>
        <v/>
      </c>
      <c r="AD1366" t="str">
        <f>IF([2]Baskol!$O$1369="","",[2]Baskol!$O$1369)</f>
        <v/>
      </c>
      <c r="AE1366" t="str">
        <f>IF([3]Entry!$C$1369="","",[3]Entry!$C$1369)</f>
        <v/>
      </c>
      <c r="AF1366" t="str">
        <f>IF([3]Entry!$D$1369="","",[3]Entry!$D$1369)</f>
        <v/>
      </c>
      <c r="AG1366" t="str">
        <f>IF([3]Entry!$E$1369="","",[3]Entry!$E$1369)</f>
        <v/>
      </c>
      <c r="AH1366" t="str">
        <f>IF([3]Entry!$G$1369="","",[3]Entry!$G$1369)</f>
        <v/>
      </c>
      <c r="AI1366" t="str">
        <f>IF([3]Entry!$K$1369="","",[3]Entry!$K$1369)</f>
        <v/>
      </c>
      <c r="AJ1366" t="str">
        <f>IF([3]Entry!$L$1369="","",[3]Entry!$L$1369)</f>
        <v/>
      </c>
      <c r="AK1366" t="str">
        <f>IF([3]Entry!$M$1369="","",[3]Entry!$M$1369)</f>
        <v/>
      </c>
      <c r="AL1366" t="str">
        <f>IF([3]Entry!$N$1369="","",[3]Entry!$N$1369)</f>
        <v/>
      </c>
      <c r="AM1366" t="str">
        <f>IF([3]Entry!$R$1369="","",[3]Entry!$R$1369)</f>
        <v/>
      </c>
    </row>
    <row r="1367" spans="20:39" x14ac:dyDescent="0.2">
      <c r="T1367" t="str">
        <f>IF([2]Baskol!$B$1370="","",[2]Baskol!$B$1370)</f>
        <v/>
      </c>
      <c r="U1367" t="str">
        <f>IF([2]Baskol!$C$1370="","",[2]Baskol!$C$1370)</f>
        <v/>
      </c>
      <c r="V1367" t="str">
        <f>IF([2]Baskol!$D$1370="","",[2]Baskol!$D$1370)</f>
        <v/>
      </c>
      <c r="W1367" t="str">
        <f>IF([2]Baskol!$E$1370="","",[2]Baskol!$E$1370)</f>
        <v/>
      </c>
      <c r="X1367" t="str">
        <f>IF([2]Baskol!$G$1370="","",[2]Baskol!$G$1370)</f>
        <v/>
      </c>
      <c r="Y1367" t="str">
        <f>IF([2]Baskol!$I$1370="","",[2]Baskol!$I$1370)</f>
        <v/>
      </c>
      <c r="Z1367" t="str">
        <f>IF([2]Baskol!$J$1370="","",[2]Baskol!$J$1370)</f>
        <v/>
      </c>
      <c r="AA1367" t="str">
        <f>IF([2]Baskol!$K$1370="","",[2]Baskol!$K$1370)</f>
        <v/>
      </c>
      <c r="AB1367" t="str">
        <f>IF([2]Baskol!$L$1370="","",[2]Baskol!$L$1370)</f>
        <v/>
      </c>
      <c r="AC1367" t="str">
        <f>IF([2]Baskol!$N$1370="","",[2]Baskol!$N$1370)</f>
        <v/>
      </c>
      <c r="AD1367" t="str">
        <f>IF([2]Baskol!$O$1370="","",[2]Baskol!$O$1370)</f>
        <v/>
      </c>
      <c r="AE1367" t="str">
        <f>IF([3]Entry!$C$1370="","",[3]Entry!$C$1370)</f>
        <v/>
      </c>
      <c r="AF1367" t="str">
        <f>IF([3]Entry!$D$1370="","",[3]Entry!$D$1370)</f>
        <v/>
      </c>
      <c r="AG1367" t="str">
        <f>IF([3]Entry!$E$1370="","",[3]Entry!$E$1370)</f>
        <v/>
      </c>
      <c r="AH1367" t="str">
        <f>IF([3]Entry!$G$1370="","",[3]Entry!$G$1370)</f>
        <v/>
      </c>
      <c r="AI1367" t="str">
        <f>IF([3]Entry!$K$1370="","",[3]Entry!$K$1370)</f>
        <v/>
      </c>
      <c r="AJ1367" t="str">
        <f>IF([3]Entry!$L$1370="","",[3]Entry!$L$1370)</f>
        <v/>
      </c>
      <c r="AK1367" t="str">
        <f>IF([3]Entry!$M$1370="","",[3]Entry!$M$1370)</f>
        <v/>
      </c>
      <c r="AL1367" t="str">
        <f>IF([3]Entry!$N$1370="","",[3]Entry!$N$1370)</f>
        <v/>
      </c>
      <c r="AM1367" t="str">
        <f>IF([3]Entry!$R$1370="","",[3]Entry!$R$1370)</f>
        <v/>
      </c>
    </row>
    <row r="1368" spans="20:39" x14ac:dyDescent="0.2">
      <c r="T1368" t="str">
        <f>IF([2]Baskol!$B$1371="","",[2]Baskol!$B$1371)</f>
        <v/>
      </c>
      <c r="U1368" t="str">
        <f>IF([2]Baskol!$C$1371="","",[2]Baskol!$C$1371)</f>
        <v/>
      </c>
      <c r="V1368" t="str">
        <f>IF([2]Baskol!$D$1371="","",[2]Baskol!$D$1371)</f>
        <v/>
      </c>
      <c r="W1368" t="str">
        <f>IF([2]Baskol!$E$1371="","",[2]Baskol!$E$1371)</f>
        <v/>
      </c>
      <c r="X1368" t="str">
        <f>IF([2]Baskol!$G$1371="","",[2]Baskol!$G$1371)</f>
        <v/>
      </c>
      <c r="Y1368" t="str">
        <f>IF([2]Baskol!$I$1371="","",[2]Baskol!$I$1371)</f>
        <v/>
      </c>
      <c r="Z1368" t="str">
        <f>IF([2]Baskol!$J$1371="","",[2]Baskol!$J$1371)</f>
        <v/>
      </c>
      <c r="AA1368" t="str">
        <f>IF([2]Baskol!$K$1371="","",[2]Baskol!$K$1371)</f>
        <v/>
      </c>
      <c r="AB1368" t="str">
        <f>IF([2]Baskol!$L$1371="","",[2]Baskol!$L$1371)</f>
        <v/>
      </c>
      <c r="AC1368" t="str">
        <f>IF([2]Baskol!$N$1371="","",[2]Baskol!$N$1371)</f>
        <v/>
      </c>
      <c r="AD1368" t="str">
        <f>IF([2]Baskol!$O$1371="","",[2]Baskol!$O$1371)</f>
        <v/>
      </c>
      <c r="AE1368" t="str">
        <f>IF([3]Entry!$C$1371="","",[3]Entry!$C$1371)</f>
        <v/>
      </c>
      <c r="AF1368" t="str">
        <f>IF([3]Entry!$D$1371="","",[3]Entry!$D$1371)</f>
        <v/>
      </c>
      <c r="AG1368" t="str">
        <f>IF([3]Entry!$E$1371="","",[3]Entry!$E$1371)</f>
        <v/>
      </c>
      <c r="AH1368" t="str">
        <f>IF([3]Entry!$G$1371="","",[3]Entry!$G$1371)</f>
        <v/>
      </c>
      <c r="AI1368" t="str">
        <f>IF([3]Entry!$K$1371="","",[3]Entry!$K$1371)</f>
        <v/>
      </c>
      <c r="AJ1368" t="str">
        <f>IF([3]Entry!$L$1371="","",[3]Entry!$L$1371)</f>
        <v/>
      </c>
      <c r="AK1368" t="str">
        <f>IF([3]Entry!$M$1371="","",[3]Entry!$M$1371)</f>
        <v/>
      </c>
      <c r="AL1368" t="str">
        <f>IF([3]Entry!$N$1371="","",[3]Entry!$N$1371)</f>
        <v/>
      </c>
      <c r="AM1368" t="str">
        <f>IF([3]Entry!$R$1371="","",[3]Entry!$R$1371)</f>
        <v/>
      </c>
    </row>
    <row r="1369" spans="20:39" x14ac:dyDescent="0.2">
      <c r="T1369" t="str">
        <f>IF([2]Baskol!$B$1372="","",[2]Baskol!$B$1372)</f>
        <v/>
      </c>
      <c r="U1369" t="str">
        <f>IF([2]Baskol!$C$1372="","",[2]Baskol!$C$1372)</f>
        <v/>
      </c>
      <c r="V1369" t="str">
        <f>IF([2]Baskol!$D$1372="","",[2]Baskol!$D$1372)</f>
        <v/>
      </c>
      <c r="W1369" t="str">
        <f>IF([2]Baskol!$E$1372="","",[2]Baskol!$E$1372)</f>
        <v/>
      </c>
      <c r="X1369" t="str">
        <f>IF([2]Baskol!$G$1372="","",[2]Baskol!$G$1372)</f>
        <v/>
      </c>
      <c r="Y1369" t="str">
        <f>IF([2]Baskol!$I$1372="","",[2]Baskol!$I$1372)</f>
        <v/>
      </c>
      <c r="Z1369" t="str">
        <f>IF([2]Baskol!$J$1372="","",[2]Baskol!$J$1372)</f>
        <v/>
      </c>
      <c r="AA1369" t="str">
        <f>IF([2]Baskol!$K$1372="","",[2]Baskol!$K$1372)</f>
        <v/>
      </c>
      <c r="AB1369" t="str">
        <f>IF([2]Baskol!$L$1372="","",[2]Baskol!$L$1372)</f>
        <v/>
      </c>
      <c r="AC1369" t="str">
        <f>IF([2]Baskol!$N$1372="","",[2]Baskol!$N$1372)</f>
        <v/>
      </c>
      <c r="AD1369" t="str">
        <f>IF([2]Baskol!$O$1372="","",[2]Baskol!$O$1372)</f>
        <v/>
      </c>
      <c r="AE1369" t="str">
        <f>IF([3]Entry!$C$1372="","",[3]Entry!$C$1372)</f>
        <v/>
      </c>
      <c r="AF1369" t="str">
        <f>IF([3]Entry!$D$1372="","",[3]Entry!$D$1372)</f>
        <v/>
      </c>
      <c r="AG1369" t="str">
        <f>IF([3]Entry!$E$1372="","",[3]Entry!$E$1372)</f>
        <v/>
      </c>
      <c r="AH1369" t="str">
        <f>IF([3]Entry!$G$1372="","",[3]Entry!$G$1372)</f>
        <v/>
      </c>
      <c r="AI1369" t="str">
        <f>IF([3]Entry!$K$1372="","",[3]Entry!$K$1372)</f>
        <v/>
      </c>
      <c r="AJ1369" t="str">
        <f>IF([3]Entry!$L$1372="","",[3]Entry!$L$1372)</f>
        <v/>
      </c>
      <c r="AK1369" t="str">
        <f>IF([3]Entry!$M$1372="","",[3]Entry!$M$1372)</f>
        <v/>
      </c>
      <c r="AL1369" t="str">
        <f>IF([3]Entry!$N$1372="","",[3]Entry!$N$1372)</f>
        <v/>
      </c>
      <c r="AM1369" t="str">
        <f>IF([3]Entry!$R$1372="","",[3]Entry!$R$1372)</f>
        <v/>
      </c>
    </row>
    <row r="1370" spans="20:39" x14ac:dyDescent="0.2">
      <c r="T1370" t="str">
        <f>IF([2]Baskol!$B$1373="","",[2]Baskol!$B$1373)</f>
        <v/>
      </c>
      <c r="U1370" t="str">
        <f>IF([2]Baskol!$C$1373="","",[2]Baskol!$C$1373)</f>
        <v/>
      </c>
      <c r="V1370" t="str">
        <f>IF([2]Baskol!$D$1373="","",[2]Baskol!$D$1373)</f>
        <v/>
      </c>
      <c r="W1370" t="str">
        <f>IF([2]Baskol!$E$1373="","",[2]Baskol!$E$1373)</f>
        <v/>
      </c>
      <c r="X1370" t="str">
        <f>IF([2]Baskol!$G$1373="","",[2]Baskol!$G$1373)</f>
        <v/>
      </c>
      <c r="Y1370" t="str">
        <f>IF([2]Baskol!$I$1373="","",[2]Baskol!$I$1373)</f>
        <v/>
      </c>
      <c r="Z1370" t="str">
        <f>IF([2]Baskol!$J$1373="","",[2]Baskol!$J$1373)</f>
        <v/>
      </c>
      <c r="AA1370" t="str">
        <f>IF([2]Baskol!$K$1373="","",[2]Baskol!$K$1373)</f>
        <v/>
      </c>
      <c r="AB1370" t="str">
        <f>IF([2]Baskol!$L$1373="","",[2]Baskol!$L$1373)</f>
        <v/>
      </c>
      <c r="AC1370" t="str">
        <f>IF([2]Baskol!$N$1373="","",[2]Baskol!$N$1373)</f>
        <v/>
      </c>
      <c r="AD1370" t="str">
        <f>IF([2]Baskol!$O$1373="","",[2]Baskol!$O$1373)</f>
        <v/>
      </c>
      <c r="AE1370" t="str">
        <f>IF([3]Entry!$C$1373="","",[3]Entry!$C$1373)</f>
        <v/>
      </c>
      <c r="AF1370" t="str">
        <f>IF([3]Entry!$D$1373="","",[3]Entry!$D$1373)</f>
        <v/>
      </c>
      <c r="AG1370" t="str">
        <f>IF([3]Entry!$E$1373="","",[3]Entry!$E$1373)</f>
        <v/>
      </c>
      <c r="AH1370" t="str">
        <f>IF([3]Entry!$G$1373="","",[3]Entry!$G$1373)</f>
        <v/>
      </c>
      <c r="AI1370" t="str">
        <f>IF([3]Entry!$K$1373="","",[3]Entry!$K$1373)</f>
        <v/>
      </c>
      <c r="AJ1370" t="str">
        <f>IF([3]Entry!$L$1373="","",[3]Entry!$L$1373)</f>
        <v/>
      </c>
      <c r="AK1370" t="str">
        <f>IF([3]Entry!$M$1373="","",[3]Entry!$M$1373)</f>
        <v/>
      </c>
      <c r="AL1370" t="str">
        <f>IF([3]Entry!$N$1373="","",[3]Entry!$N$1373)</f>
        <v/>
      </c>
      <c r="AM1370" t="str">
        <f>IF([3]Entry!$R$1373="","",[3]Entry!$R$1373)</f>
        <v/>
      </c>
    </row>
    <row r="1371" spans="20:39" x14ac:dyDescent="0.2">
      <c r="T1371" t="str">
        <f>IF([2]Baskol!$B$1374="","",[2]Baskol!$B$1374)</f>
        <v/>
      </c>
      <c r="U1371" t="str">
        <f>IF([2]Baskol!$C$1374="","",[2]Baskol!$C$1374)</f>
        <v/>
      </c>
      <c r="V1371" t="str">
        <f>IF([2]Baskol!$D$1374="","",[2]Baskol!$D$1374)</f>
        <v/>
      </c>
      <c r="W1371" t="str">
        <f>IF([2]Baskol!$E$1374="","",[2]Baskol!$E$1374)</f>
        <v/>
      </c>
      <c r="X1371" t="str">
        <f>IF([2]Baskol!$G$1374="","",[2]Baskol!$G$1374)</f>
        <v/>
      </c>
      <c r="Y1371" t="str">
        <f>IF([2]Baskol!$I$1374="","",[2]Baskol!$I$1374)</f>
        <v/>
      </c>
      <c r="Z1371" t="str">
        <f>IF([2]Baskol!$J$1374="","",[2]Baskol!$J$1374)</f>
        <v/>
      </c>
      <c r="AA1371" t="str">
        <f>IF([2]Baskol!$K$1374="","",[2]Baskol!$K$1374)</f>
        <v/>
      </c>
      <c r="AB1371" t="str">
        <f>IF([2]Baskol!$L$1374="","",[2]Baskol!$L$1374)</f>
        <v/>
      </c>
      <c r="AC1371" t="str">
        <f>IF([2]Baskol!$N$1374="","",[2]Baskol!$N$1374)</f>
        <v/>
      </c>
      <c r="AD1371" t="str">
        <f>IF([2]Baskol!$O$1374="","",[2]Baskol!$O$1374)</f>
        <v/>
      </c>
      <c r="AE1371" t="str">
        <f>IF([3]Entry!$C$1374="","",[3]Entry!$C$1374)</f>
        <v/>
      </c>
      <c r="AF1371" t="str">
        <f>IF([3]Entry!$D$1374="","",[3]Entry!$D$1374)</f>
        <v/>
      </c>
      <c r="AG1371" t="str">
        <f>IF([3]Entry!$E$1374="","",[3]Entry!$E$1374)</f>
        <v/>
      </c>
      <c r="AH1371" t="str">
        <f>IF([3]Entry!$G$1374="","",[3]Entry!$G$1374)</f>
        <v/>
      </c>
      <c r="AI1371" t="str">
        <f>IF([3]Entry!$K$1374="","",[3]Entry!$K$1374)</f>
        <v/>
      </c>
      <c r="AJ1371" t="str">
        <f>IF([3]Entry!$L$1374="","",[3]Entry!$L$1374)</f>
        <v/>
      </c>
      <c r="AK1371" t="str">
        <f>IF([3]Entry!$M$1374="","",[3]Entry!$M$1374)</f>
        <v/>
      </c>
      <c r="AL1371" t="str">
        <f>IF([3]Entry!$N$1374="","",[3]Entry!$N$1374)</f>
        <v/>
      </c>
      <c r="AM1371" t="str">
        <f>IF([3]Entry!$R$1374="","",[3]Entry!$R$1374)</f>
        <v/>
      </c>
    </row>
    <row r="1372" spans="20:39" x14ac:dyDescent="0.2">
      <c r="T1372" t="str">
        <f>IF([2]Baskol!$B$1375="","",[2]Baskol!$B$1375)</f>
        <v/>
      </c>
      <c r="U1372" t="str">
        <f>IF([2]Baskol!$C$1375="","",[2]Baskol!$C$1375)</f>
        <v/>
      </c>
      <c r="V1372" t="str">
        <f>IF([2]Baskol!$D$1375="","",[2]Baskol!$D$1375)</f>
        <v/>
      </c>
      <c r="W1372" t="str">
        <f>IF([2]Baskol!$E$1375="","",[2]Baskol!$E$1375)</f>
        <v/>
      </c>
      <c r="X1372" t="str">
        <f>IF([2]Baskol!$G$1375="","",[2]Baskol!$G$1375)</f>
        <v/>
      </c>
      <c r="Y1372" t="str">
        <f>IF([2]Baskol!$I$1375="","",[2]Baskol!$I$1375)</f>
        <v/>
      </c>
      <c r="Z1372" t="str">
        <f>IF([2]Baskol!$J$1375="","",[2]Baskol!$J$1375)</f>
        <v/>
      </c>
      <c r="AA1372" t="str">
        <f>IF([2]Baskol!$K$1375="","",[2]Baskol!$K$1375)</f>
        <v/>
      </c>
      <c r="AB1372" t="str">
        <f>IF([2]Baskol!$L$1375="","",[2]Baskol!$L$1375)</f>
        <v/>
      </c>
      <c r="AC1372" t="str">
        <f>IF([2]Baskol!$N$1375="","",[2]Baskol!$N$1375)</f>
        <v/>
      </c>
      <c r="AD1372" t="str">
        <f>IF([2]Baskol!$O$1375="","",[2]Baskol!$O$1375)</f>
        <v/>
      </c>
      <c r="AE1372" t="str">
        <f>IF([3]Entry!$C$1375="","",[3]Entry!$C$1375)</f>
        <v/>
      </c>
      <c r="AF1372" t="str">
        <f>IF([3]Entry!$D$1375="","",[3]Entry!$D$1375)</f>
        <v/>
      </c>
      <c r="AG1372" t="str">
        <f>IF([3]Entry!$E$1375="","",[3]Entry!$E$1375)</f>
        <v/>
      </c>
      <c r="AH1372" t="str">
        <f>IF([3]Entry!$G$1375="","",[3]Entry!$G$1375)</f>
        <v/>
      </c>
      <c r="AI1372" t="str">
        <f>IF([3]Entry!$K$1375="","",[3]Entry!$K$1375)</f>
        <v/>
      </c>
      <c r="AJ1372" t="str">
        <f>IF([3]Entry!$L$1375="","",[3]Entry!$L$1375)</f>
        <v/>
      </c>
      <c r="AK1372" t="str">
        <f>IF([3]Entry!$M$1375="","",[3]Entry!$M$1375)</f>
        <v/>
      </c>
      <c r="AL1372" t="str">
        <f>IF([3]Entry!$N$1375="","",[3]Entry!$N$1375)</f>
        <v/>
      </c>
      <c r="AM1372" t="str">
        <f>IF([3]Entry!$R$1375="","",[3]Entry!$R$1375)</f>
        <v/>
      </c>
    </row>
    <row r="1373" spans="20:39" x14ac:dyDescent="0.2">
      <c r="T1373" t="str">
        <f>IF([2]Baskol!$B$1376="","",[2]Baskol!$B$1376)</f>
        <v/>
      </c>
      <c r="U1373" t="str">
        <f>IF([2]Baskol!$C$1376="","",[2]Baskol!$C$1376)</f>
        <v/>
      </c>
      <c r="V1373" t="str">
        <f>IF([2]Baskol!$D$1376="","",[2]Baskol!$D$1376)</f>
        <v/>
      </c>
      <c r="W1373" t="str">
        <f>IF([2]Baskol!$E$1376="","",[2]Baskol!$E$1376)</f>
        <v/>
      </c>
      <c r="X1373" t="str">
        <f>IF([2]Baskol!$G$1376="","",[2]Baskol!$G$1376)</f>
        <v/>
      </c>
      <c r="Y1373" t="str">
        <f>IF([2]Baskol!$I$1376="","",[2]Baskol!$I$1376)</f>
        <v/>
      </c>
      <c r="Z1373" t="str">
        <f>IF([2]Baskol!$J$1376="","",[2]Baskol!$J$1376)</f>
        <v/>
      </c>
      <c r="AA1373" t="str">
        <f>IF([2]Baskol!$K$1376="","",[2]Baskol!$K$1376)</f>
        <v/>
      </c>
      <c r="AB1373" t="str">
        <f>IF([2]Baskol!$L$1376="","",[2]Baskol!$L$1376)</f>
        <v/>
      </c>
      <c r="AC1373" t="str">
        <f>IF([2]Baskol!$N$1376="","",[2]Baskol!$N$1376)</f>
        <v/>
      </c>
      <c r="AD1373" t="str">
        <f>IF([2]Baskol!$O$1376="","",[2]Baskol!$O$1376)</f>
        <v/>
      </c>
      <c r="AE1373" t="str">
        <f>IF([3]Entry!$C$1376="","",[3]Entry!$C$1376)</f>
        <v/>
      </c>
      <c r="AF1373" t="str">
        <f>IF([3]Entry!$D$1376="","",[3]Entry!$D$1376)</f>
        <v/>
      </c>
      <c r="AG1373" t="str">
        <f>IF([3]Entry!$E$1376="","",[3]Entry!$E$1376)</f>
        <v/>
      </c>
      <c r="AH1373" t="str">
        <f>IF([3]Entry!$G$1376="","",[3]Entry!$G$1376)</f>
        <v/>
      </c>
      <c r="AI1373" t="str">
        <f>IF([3]Entry!$K$1376="","",[3]Entry!$K$1376)</f>
        <v/>
      </c>
      <c r="AJ1373" t="str">
        <f>IF([3]Entry!$L$1376="","",[3]Entry!$L$1376)</f>
        <v/>
      </c>
      <c r="AK1373" t="str">
        <f>IF([3]Entry!$M$1376="","",[3]Entry!$M$1376)</f>
        <v/>
      </c>
      <c r="AL1373" t="str">
        <f>IF([3]Entry!$N$1376="","",[3]Entry!$N$1376)</f>
        <v/>
      </c>
      <c r="AM1373" t="str">
        <f>IF([3]Entry!$R$1376="","",[3]Entry!$R$1376)</f>
        <v/>
      </c>
    </row>
    <row r="1374" spans="20:39" x14ac:dyDescent="0.2">
      <c r="T1374" t="str">
        <f>IF([2]Baskol!$B$1377="","",[2]Baskol!$B$1377)</f>
        <v/>
      </c>
      <c r="U1374" t="str">
        <f>IF([2]Baskol!$C$1377="","",[2]Baskol!$C$1377)</f>
        <v/>
      </c>
      <c r="V1374" t="str">
        <f>IF([2]Baskol!$D$1377="","",[2]Baskol!$D$1377)</f>
        <v/>
      </c>
      <c r="W1374" t="str">
        <f>IF([2]Baskol!$E$1377="","",[2]Baskol!$E$1377)</f>
        <v/>
      </c>
      <c r="X1374" t="str">
        <f>IF([2]Baskol!$G$1377="","",[2]Baskol!$G$1377)</f>
        <v/>
      </c>
      <c r="Y1374" t="str">
        <f>IF([2]Baskol!$I$1377="","",[2]Baskol!$I$1377)</f>
        <v/>
      </c>
      <c r="Z1374" t="str">
        <f>IF([2]Baskol!$J$1377="","",[2]Baskol!$J$1377)</f>
        <v/>
      </c>
      <c r="AA1374" t="str">
        <f>IF([2]Baskol!$K$1377="","",[2]Baskol!$K$1377)</f>
        <v/>
      </c>
      <c r="AB1374" t="str">
        <f>IF([2]Baskol!$L$1377="","",[2]Baskol!$L$1377)</f>
        <v/>
      </c>
      <c r="AC1374" t="str">
        <f>IF([2]Baskol!$N$1377="","",[2]Baskol!$N$1377)</f>
        <v/>
      </c>
      <c r="AD1374" t="str">
        <f>IF([2]Baskol!$O$1377="","",[2]Baskol!$O$1377)</f>
        <v/>
      </c>
      <c r="AE1374" t="str">
        <f>IF([3]Entry!$C$1377="","",[3]Entry!$C$1377)</f>
        <v/>
      </c>
      <c r="AF1374" t="str">
        <f>IF([3]Entry!$D$1377="","",[3]Entry!$D$1377)</f>
        <v/>
      </c>
      <c r="AG1374" t="str">
        <f>IF([3]Entry!$E$1377="","",[3]Entry!$E$1377)</f>
        <v/>
      </c>
      <c r="AH1374" t="str">
        <f>IF([3]Entry!$G$1377="","",[3]Entry!$G$1377)</f>
        <v/>
      </c>
      <c r="AI1374" t="str">
        <f>IF([3]Entry!$K$1377="","",[3]Entry!$K$1377)</f>
        <v/>
      </c>
      <c r="AJ1374" t="str">
        <f>IF([3]Entry!$L$1377="","",[3]Entry!$L$1377)</f>
        <v/>
      </c>
      <c r="AK1374" t="str">
        <f>IF([3]Entry!$M$1377="","",[3]Entry!$M$1377)</f>
        <v/>
      </c>
      <c r="AL1374" t="str">
        <f>IF([3]Entry!$N$1377="","",[3]Entry!$N$1377)</f>
        <v/>
      </c>
      <c r="AM1374" t="str">
        <f>IF([3]Entry!$R$1377="","",[3]Entry!$R$1377)</f>
        <v/>
      </c>
    </row>
    <row r="1375" spans="20:39" x14ac:dyDescent="0.2">
      <c r="T1375" t="str">
        <f>IF([2]Baskol!$B$1378="","",[2]Baskol!$B$1378)</f>
        <v/>
      </c>
      <c r="U1375" t="str">
        <f>IF([2]Baskol!$C$1378="","",[2]Baskol!$C$1378)</f>
        <v/>
      </c>
      <c r="V1375" t="str">
        <f>IF([2]Baskol!$D$1378="","",[2]Baskol!$D$1378)</f>
        <v/>
      </c>
      <c r="W1375" t="str">
        <f>IF([2]Baskol!$E$1378="","",[2]Baskol!$E$1378)</f>
        <v/>
      </c>
      <c r="X1375" t="str">
        <f>IF([2]Baskol!$G$1378="","",[2]Baskol!$G$1378)</f>
        <v/>
      </c>
      <c r="Y1375" t="str">
        <f>IF([2]Baskol!$I$1378="","",[2]Baskol!$I$1378)</f>
        <v/>
      </c>
      <c r="Z1375" t="str">
        <f>IF([2]Baskol!$J$1378="","",[2]Baskol!$J$1378)</f>
        <v/>
      </c>
      <c r="AA1375" t="str">
        <f>IF([2]Baskol!$K$1378="","",[2]Baskol!$K$1378)</f>
        <v/>
      </c>
      <c r="AB1375" t="str">
        <f>IF([2]Baskol!$L$1378="","",[2]Baskol!$L$1378)</f>
        <v/>
      </c>
      <c r="AC1375" t="str">
        <f>IF([2]Baskol!$N$1378="","",[2]Baskol!$N$1378)</f>
        <v/>
      </c>
      <c r="AD1375" t="str">
        <f>IF([2]Baskol!$O$1378="","",[2]Baskol!$O$1378)</f>
        <v/>
      </c>
      <c r="AE1375" t="str">
        <f>IF([3]Entry!$C$1378="","",[3]Entry!$C$1378)</f>
        <v/>
      </c>
      <c r="AF1375" t="str">
        <f>IF([3]Entry!$D$1378="","",[3]Entry!$D$1378)</f>
        <v/>
      </c>
      <c r="AG1375" t="str">
        <f>IF([3]Entry!$E$1378="","",[3]Entry!$E$1378)</f>
        <v/>
      </c>
      <c r="AH1375" t="str">
        <f>IF([3]Entry!$G$1378="","",[3]Entry!$G$1378)</f>
        <v/>
      </c>
      <c r="AI1375" t="str">
        <f>IF([3]Entry!$K$1378="","",[3]Entry!$K$1378)</f>
        <v/>
      </c>
      <c r="AJ1375" t="str">
        <f>IF([3]Entry!$L$1378="","",[3]Entry!$L$1378)</f>
        <v/>
      </c>
      <c r="AK1375" t="str">
        <f>IF([3]Entry!$M$1378="","",[3]Entry!$M$1378)</f>
        <v/>
      </c>
      <c r="AL1375" t="str">
        <f>IF([3]Entry!$N$1378="","",[3]Entry!$N$1378)</f>
        <v/>
      </c>
      <c r="AM1375" t="str">
        <f>IF([3]Entry!$R$1378="","",[3]Entry!$R$1378)</f>
        <v/>
      </c>
    </row>
    <row r="1376" spans="20:39" x14ac:dyDescent="0.2">
      <c r="T1376" t="str">
        <f>IF([2]Baskol!$B$1379="","",[2]Baskol!$B$1379)</f>
        <v/>
      </c>
      <c r="U1376" t="str">
        <f>IF([2]Baskol!$C$1379="","",[2]Baskol!$C$1379)</f>
        <v/>
      </c>
      <c r="V1376" t="str">
        <f>IF([2]Baskol!$D$1379="","",[2]Baskol!$D$1379)</f>
        <v/>
      </c>
      <c r="W1376" t="str">
        <f>IF([2]Baskol!$E$1379="","",[2]Baskol!$E$1379)</f>
        <v/>
      </c>
      <c r="X1376" t="str">
        <f>IF([2]Baskol!$G$1379="","",[2]Baskol!$G$1379)</f>
        <v/>
      </c>
      <c r="Y1376" t="str">
        <f>IF([2]Baskol!$I$1379="","",[2]Baskol!$I$1379)</f>
        <v/>
      </c>
      <c r="Z1376" t="str">
        <f>IF([2]Baskol!$J$1379="","",[2]Baskol!$J$1379)</f>
        <v/>
      </c>
      <c r="AA1376" t="str">
        <f>IF([2]Baskol!$K$1379="","",[2]Baskol!$K$1379)</f>
        <v/>
      </c>
      <c r="AB1376" t="str">
        <f>IF([2]Baskol!$L$1379="","",[2]Baskol!$L$1379)</f>
        <v/>
      </c>
      <c r="AC1376" t="str">
        <f>IF([2]Baskol!$N$1379="","",[2]Baskol!$N$1379)</f>
        <v/>
      </c>
      <c r="AD1376" t="str">
        <f>IF([2]Baskol!$O$1379="","",[2]Baskol!$O$1379)</f>
        <v/>
      </c>
      <c r="AE1376" t="str">
        <f>IF([3]Entry!$C$1379="","",[3]Entry!$C$1379)</f>
        <v/>
      </c>
      <c r="AF1376" t="str">
        <f>IF([3]Entry!$D$1379="","",[3]Entry!$D$1379)</f>
        <v/>
      </c>
      <c r="AG1376" t="str">
        <f>IF([3]Entry!$E$1379="","",[3]Entry!$E$1379)</f>
        <v/>
      </c>
      <c r="AH1376" t="str">
        <f>IF([3]Entry!$G$1379="","",[3]Entry!$G$1379)</f>
        <v/>
      </c>
      <c r="AI1376" t="str">
        <f>IF([3]Entry!$K$1379="","",[3]Entry!$K$1379)</f>
        <v/>
      </c>
      <c r="AJ1376" t="str">
        <f>IF([3]Entry!$L$1379="","",[3]Entry!$L$1379)</f>
        <v/>
      </c>
      <c r="AK1376" t="str">
        <f>IF([3]Entry!$M$1379="","",[3]Entry!$M$1379)</f>
        <v/>
      </c>
      <c r="AL1376" t="str">
        <f>IF([3]Entry!$N$1379="","",[3]Entry!$N$1379)</f>
        <v/>
      </c>
      <c r="AM1376" t="str">
        <f>IF([3]Entry!$R$1379="","",[3]Entry!$R$1379)</f>
        <v/>
      </c>
    </row>
    <row r="1377" spans="20:39" x14ac:dyDescent="0.2">
      <c r="T1377" t="str">
        <f>IF([2]Baskol!$B$1380="","",[2]Baskol!$B$1380)</f>
        <v/>
      </c>
      <c r="U1377" t="str">
        <f>IF([2]Baskol!$C$1380="","",[2]Baskol!$C$1380)</f>
        <v/>
      </c>
      <c r="V1377" t="str">
        <f>IF([2]Baskol!$D$1380="","",[2]Baskol!$D$1380)</f>
        <v/>
      </c>
      <c r="W1377" t="str">
        <f>IF([2]Baskol!$E$1380="","",[2]Baskol!$E$1380)</f>
        <v/>
      </c>
      <c r="X1377" t="str">
        <f>IF([2]Baskol!$G$1380="","",[2]Baskol!$G$1380)</f>
        <v/>
      </c>
      <c r="Y1377" t="str">
        <f>IF([2]Baskol!$I$1380="","",[2]Baskol!$I$1380)</f>
        <v/>
      </c>
      <c r="Z1377" t="str">
        <f>IF([2]Baskol!$J$1380="","",[2]Baskol!$J$1380)</f>
        <v/>
      </c>
      <c r="AA1377" t="str">
        <f>IF([2]Baskol!$K$1380="","",[2]Baskol!$K$1380)</f>
        <v/>
      </c>
      <c r="AB1377" t="str">
        <f>IF([2]Baskol!$L$1380="","",[2]Baskol!$L$1380)</f>
        <v/>
      </c>
      <c r="AC1377" t="str">
        <f>IF([2]Baskol!$N$1380="","",[2]Baskol!$N$1380)</f>
        <v/>
      </c>
      <c r="AD1377" t="str">
        <f>IF([2]Baskol!$O$1380="","",[2]Baskol!$O$1380)</f>
        <v/>
      </c>
      <c r="AE1377" t="str">
        <f>IF([3]Entry!$C$1380="","",[3]Entry!$C$1380)</f>
        <v/>
      </c>
      <c r="AF1377" t="str">
        <f>IF([3]Entry!$D$1380="","",[3]Entry!$D$1380)</f>
        <v/>
      </c>
      <c r="AG1377" t="str">
        <f>IF([3]Entry!$E$1380="","",[3]Entry!$E$1380)</f>
        <v/>
      </c>
      <c r="AH1377" t="str">
        <f>IF([3]Entry!$G$1380="","",[3]Entry!$G$1380)</f>
        <v/>
      </c>
      <c r="AI1377" t="str">
        <f>IF([3]Entry!$K$1380="","",[3]Entry!$K$1380)</f>
        <v/>
      </c>
      <c r="AJ1377" t="str">
        <f>IF([3]Entry!$L$1380="","",[3]Entry!$L$1380)</f>
        <v/>
      </c>
      <c r="AK1377" t="str">
        <f>IF([3]Entry!$M$1380="","",[3]Entry!$M$1380)</f>
        <v/>
      </c>
      <c r="AL1377" t="str">
        <f>IF([3]Entry!$N$1380="","",[3]Entry!$N$1380)</f>
        <v/>
      </c>
      <c r="AM1377" t="str">
        <f>IF([3]Entry!$R$1380="","",[3]Entry!$R$1380)</f>
        <v/>
      </c>
    </row>
    <row r="1378" spans="20:39" x14ac:dyDescent="0.2">
      <c r="T1378" t="str">
        <f>IF([2]Baskol!$B$1381="","",[2]Baskol!$B$1381)</f>
        <v/>
      </c>
      <c r="U1378" t="str">
        <f>IF([2]Baskol!$C$1381="","",[2]Baskol!$C$1381)</f>
        <v/>
      </c>
      <c r="V1378" t="str">
        <f>IF([2]Baskol!$D$1381="","",[2]Baskol!$D$1381)</f>
        <v/>
      </c>
      <c r="W1378" t="str">
        <f>IF([2]Baskol!$E$1381="","",[2]Baskol!$E$1381)</f>
        <v/>
      </c>
      <c r="X1378" t="str">
        <f>IF([2]Baskol!$G$1381="","",[2]Baskol!$G$1381)</f>
        <v/>
      </c>
      <c r="Y1378" t="str">
        <f>IF([2]Baskol!$I$1381="","",[2]Baskol!$I$1381)</f>
        <v/>
      </c>
      <c r="Z1378" t="str">
        <f>IF([2]Baskol!$J$1381="","",[2]Baskol!$J$1381)</f>
        <v/>
      </c>
      <c r="AA1378" t="str">
        <f>IF([2]Baskol!$K$1381="","",[2]Baskol!$K$1381)</f>
        <v/>
      </c>
      <c r="AB1378" t="str">
        <f>IF([2]Baskol!$L$1381="","",[2]Baskol!$L$1381)</f>
        <v/>
      </c>
      <c r="AC1378" t="str">
        <f>IF([2]Baskol!$N$1381="","",[2]Baskol!$N$1381)</f>
        <v/>
      </c>
      <c r="AD1378" t="str">
        <f>IF([2]Baskol!$O$1381="","",[2]Baskol!$O$1381)</f>
        <v/>
      </c>
      <c r="AE1378" t="str">
        <f>IF([3]Entry!$C$1381="","",[3]Entry!$C$1381)</f>
        <v/>
      </c>
      <c r="AF1378" t="str">
        <f>IF([3]Entry!$D$1381="","",[3]Entry!$D$1381)</f>
        <v/>
      </c>
      <c r="AG1378" t="str">
        <f>IF([3]Entry!$E$1381="","",[3]Entry!$E$1381)</f>
        <v/>
      </c>
      <c r="AH1378" t="str">
        <f>IF([3]Entry!$G$1381="","",[3]Entry!$G$1381)</f>
        <v/>
      </c>
      <c r="AI1378" t="str">
        <f>IF([3]Entry!$K$1381="","",[3]Entry!$K$1381)</f>
        <v/>
      </c>
      <c r="AJ1378" t="str">
        <f>IF([3]Entry!$L$1381="","",[3]Entry!$L$1381)</f>
        <v/>
      </c>
      <c r="AK1378" t="str">
        <f>IF([3]Entry!$M$1381="","",[3]Entry!$M$1381)</f>
        <v/>
      </c>
      <c r="AL1378" t="str">
        <f>IF([3]Entry!$N$1381="","",[3]Entry!$N$1381)</f>
        <v/>
      </c>
      <c r="AM1378" t="str">
        <f>IF([3]Entry!$R$1381="","",[3]Entry!$R$1381)</f>
        <v/>
      </c>
    </row>
    <row r="1379" spans="20:39" x14ac:dyDescent="0.2">
      <c r="T1379" t="str">
        <f>IF([2]Baskol!$B$1382="","",[2]Baskol!$B$1382)</f>
        <v/>
      </c>
      <c r="U1379" t="str">
        <f>IF([2]Baskol!$C$1382="","",[2]Baskol!$C$1382)</f>
        <v/>
      </c>
      <c r="V1379" t="str">
        <f>IF([2]Baskol!$D$1382="","",[2]Baskol!$D$1382)</f>
        <v/>
      </c>
      <c r="W1379" t="str">
        <f>IF([2]Baskol!$E$1382="","",[2]Baskol!$E$1382)</f>
        <v/>
      </c>
      <c r="X1379" t="str">
        <f>IF([2]Baskol!$G$1382="","",[2]Baskol!$G$1382)</f>
        <v/>
      </c>
      <c r="Y1379" t="str">
        <f>IF([2]Baskol!$I$1382="","",[2]Baskol!$I$1382)</f>
        <v/>
      </c>
      <c r="Z1379" t="str">
        <f>IF([2]Baskol!$J$1382="","",[2]Baskol!$J$1382)</f>
        <v/>
      </c>
      <c r="AA1379" t="str">
        <f>IF([2]Baskol!$K$1382="","",[2]Baskol!$K$1382)</f>
        <v/>
      </c>
      <c r="AB1379" t="str">
        <f>IF([2]Baskol!$L$1382="","",[2]Baskol!$L$1382)</f>
        <v/>
      </c>
      <c r="AC1379" t="str">
        <f>IF([2]Baskol!$N$1382="","",[2]Baskol!$N$1382)</f>
        <v/>
      </c>
      <c r="AD1379" t="str">
        <f>IF([2]Baskol!$O$1382="","",[2]Baskol!$O$1382)</f>
        <v/>
      </c>
      <c r="AE1379" t="str">
        <f>IF([3]Entry!$C$1382="","",[3]Entry!$C$1382)</f>
        <v/>
      </c>
      <c r="AF1379" t="str">
        <f>IF([3]Entry!$D$1382="","",[3]Entry!$D$1382)</f>
        <v/>
      </c>
      <c r="AG1379" t="str">
        <f>IF([3]Entry!$E$1382="","",[3]Entry!$E$1382)</f>
        <v/>
      </c>
      <c r="AH1379" t="str">
        <f>IF([3]Entry!$G$1382="","",[3]Entry!$G$1382)</f>
        <v/>
      </c>
      <c r="AI1379" t="str">
        <f>IF([3]Entry!$K$1382="","",[3]Entry!$K$1382)</f>
        <v/>
      </c>
      <c r="AJ1379" t="str">
        <f>IF([3]Entry!$L$1382="","",[3]Entry!$L$1382)</f>
        <v/>
      </c>
      <c r="AK1379" t="str">
        <f>IF([3]Entry!$M$1382="","",[3]Entry!$M$1382)</f>
        <v/>
      </c>
      <c r="AL1379" t="str">
        <f>IF([3]Entry!$N$1382="","",[3]Entry!$N$1382)</f>
        <v/>
      </c>
      <c r="AM1379" t="str">
        <f>IF([3]Entry!$R$1382="","",[3]Entry!$R$1382)</f>
        <v/>
      </c>
    </row>
    <row r="1380" spans="20:39" x14ac:dyDescent="0.2">
      <c r="T1380" t="str">
        <f>IF([2]Baskol!$B$1383="","",[2]Baskol!$B$1383)</f>
        <v/>
      </c>
      <c r="U1380" t="str">
        <f>IF([2]Baskol!$C$1383="","",[2]Baskol!$C$1383)</f>
        <v/>
      </c>
      <c r="V1380" t="str">
        <f>IF([2]Baskol!$D$1383="","",[2]Baskol!$D$1383)</f>
        <v/>
      </c>
      <c r="W1380" t="str">
        <f>IF([2]Baskol!$E$1383="","",[2]Baskol!$E$1383)</f>
        <v/>
      </c>
      <c r="X1380" t="str">
        <f>IF([2]Baskol!$G$1383="","",[2]Baskol!$G$1383)</f>
        <v/>
      </c>
      <c r="Y1380" t="str">
        <f>IF([2]Baskol!$I$1383="","",[2]Baskol!$I$1383)</f>
        <v/>
      </c>
      <c r="Z1380" t="str">
        <f>IF([2]Baskol!$J$1383="","",[2]Baskol!$J$1383)</f>
        <v/>
      </c>
      <c r="AA1380" t="str">
        <f>IF([2]Baskol!$K$1383="","",[2]Baskol!$K$1383)</f>
        <v/>
      </c>
      <c r="AB1380" t="str">
        <f>IF([2]Baskol!$L$1383="","",[2]Baskol!$L$1383)</f>
        <v/>
      </c>
      <c r="AC1380" t="str">
        <f>IF([2]Baskol!$N$1383="","",[2]Baskol!$N$1383)</f>
        <v/>
      </c>
      <c r="AD1380" t="str">
        <f>IF([2]Baskol!$O$1383="","",[2]Baskol!$O$1383)</f>
        <v/>
      </c>
      <c r="AE1380" t="str">
        <f>IF([3]Entry!$C$1383="","",[3]Entry!$C$1383)</f>
        <v/>
      </c>
      <c r="AF1380" t="str">
        <f>IF([3]Entry!$D$1383="","",[3]Entry!$D$1383)</f>
        <v/>
      </c>
      <c r="AG1380" t="str">
        <f>IF([3]Entry!$E$1383="","",[3]Entry!$E$1383)</f>
        <v/>
      </c>
      <c r="AH1380" t="str">
        <f>IF([3]Entry!$G$1383="","",[3]Entry!$G$1383)</f>
        <v/>
      </c>
      <c r="AI1380" t="str">
        <f>IF([3]Entry!$K$1383="","",[3]Entry!$K$1383)</f>
        <v/>
      </c>
      <c r="AJ1380" t="str">
        <f>IF([3]Entry!$L$1383="","",[3]Entry!$L$1383)</f>
        <v/>
      </c>
      <c r="AK1380" t="str">
        <f>IF([3]Entry!$M$1383="","",[3]Entry!$M$1383)</f>
        <v/>
      </c>
      <c r="AL1380" t="str">
        <f>IF([3]Entry!$N$1383="","",[3]Entry!$N$1383)</f>
        <v/>
      </c>
      <c r="AM1380" t="str">
        <f>IF([3]Entry!$R$1383="","",[3]Entry!$R$1383)</f>
        <v/>
      </c>
    </row>
    <row r="1381" spans="20:39" x14ac:dyDescent="0.2">
      <c r="T1381" t="str">
        <f>IF([2]Baskol!$B$1384="","",[2]Baskol!$B$1384)</f>
        <v/>
      </c>
      <c r="U1381" t="str">
        <f>IF([2]Baskol!$C$1384="","",[2]Baskol!$C$1384)</f>
        <v/>
      </c>
      <c r="V1381" t="str">
        <f>IF([2]Baskol!$D$1384="","",[2]Baskol!$D$1384)</f>
        <v/>
      </c>
      <c r="W1381" t="str">
        <f>IF([2]Baskol!$E$1384="","",[2]Baskol!$E$1384)</f>
        <v/>
      </c>
      <c r="X1381" t="str">
        <f>IF([2]Baskol!$G$1384="","",[2]Baskol!$G$1384)</f>
        <v/>
      </c>
      <c r="Y1381" t="str">
        <f>IF([2]Baskol!$I$1384="","",[2]Baskol!$I$1384)</f>
        <v/>
      </c>
      <c r="Z1381" t="str">
        <f>IF([2]Baskol!$J$1384="","",[2]Baskol!$J$1384)</f>
        <v/>
      </c>
      <c r="AA1381" t="str">
        <f>IF([2]Baskol!$K$1384="","",[2]Baskol!$K$1384)</f>
        <v/>
      </c>
      <c r="AB1381" t="str">
        <f>IF([2]Baskol!$L$1384="","",[2]Baskol!$L$1384)</f>
        <v/>
      </c>
      <c r="AC1381" t="str">
        <f>IF([2]Baskol!$N$1384="","",[2]Baskol!$N$1384)</f>
        <v/>
      </c>
      <c r="AD1381" t="str">
        <f>IF([2]Baskol!$O$1384="","",[2]Baskol!$O$1384)</f>
        <v/>
      </c>
      <c r="AE1381" t="str">
        <f>IF([3]Entry!$C$1384="","",[3]Entry!$C$1384)</f>
        <v/>
      </c>
      <c r="AF1381" t="str">
        <f>IF([3]Entry!$D$1384="","",[3]Entry!$D$1384)</f>
        <v/>
      </c>
      <c r="AG1381" t="str">
        <f>IF([3]Entry!$E$1384="","",[3]Entry!$E$1384)</f>
        <v/>
      </c>
      <c r="AH1381" t="str">
        <f>IF([3]Entry!$G$1384="","",[3]Entry!$G$1384)</f>
        <v/>
      </c>
      <c r="AI1381" t="str">
        <f>IF([3]Entry!$K$1384="","",[3]Entry!$K$1384)</f>
        <v/>
      </c>
      <c r="AJ1381" t="str">
        <f>IF([3]Entry!$L$1384="","",[3]Entry!$L$1384)</f>
        <v/>
      </c>
      <c r="AK1381" t="str">
        <f>IF([3]Entry!$M$1384="","",[3]Entry!$M$1384)</f>
        <v/>
      </c>
      <c r="AL1381" t="str">
        <f>IF([3]Entry!$N$1384="","",[3]Entry!$N$1384)</f>
        <v/>
      </c>
      <c r="AM1381" t="str">
        <f>IF([3]Entry!$R$1384="","",[3]Entry!$R$1384)</f>
        <v/>
      </c>
    </row>
    <row r="1382" spans="20:39" x14ac:dyDescent="0.2">
      <c r="T1382" t="str">
        <f>IF([2]Baskol!$B$1385="","",[2]Baskol!$B$1385)</f>
        <v/>
      </c>
      <c r="U1382" t="str">
        <f>IF([2]Baskol!$C$1385="","",[2]Baskol!$C$1385)</f>
        <v/>
      </c>
      <c r="V1382" t="str">
        <f>IF([2]Baskol!$D$1385="","",[2]Baskol!$D$1385)</f>
        <v/>
      </c>
      <c r="W1382" t="str">
        <f>IF([2]Baskol!$E$1385="","",[2]Baskol!$E$1385)</f>
        <v/>
      </c>
      <c r="X1382" t="str">
        <f>IF([2]Baskol!$G$1385="","",[2]Baskol!$G$1385)</f>
        <v/>
      </c>
      <c r="Y1382" t="str">
        <f>IF([2]Baskol!$I$1385="","",[2]Baskol!$I$1385)</f>
        <v/>
      </c>
      <c r="Z1382" t="str">
        <f>IF([2]Baskol!$J$1385="","",[2]Baskol!$J$1385)</f>
        <v/>
      </c>
      <c r="AA1382" t="str">
        <f>IF([2]Baskol!$K$1385="","",[2]Baskol!$K$1385)</f>
        <v/>
      </c>
      <c r="AB1382" t="str">
        <f>IF([2]Baskol!$L$1385="","",[2]Baskol!$L$1385)</f>
        <v/>
      </c>
      <c r="AC1382" t="str">
        <f>IF([2]Baskol!$N$1385="","",[2]Baskol!$N$1385)</f>
        <v/>
      </c>
      <c r="AD1382" t="str">
        <f>IF([2]Baskol!$O$1385="","",[2]Baskol!$O$1385)</f>
        <v/>
      </c>
      <c r="AE1382" t="str">
        <f>IF([3]Entry!$C$1385="","",[3]Entry!$C$1385)</f>
        <v/>
      </c>
      <c r="AF1382" t="str">
        <f>IF([3]Entry!$D$1385="","",[3]Entry!$D$1385)</f>
        <v/>
      </c>
      <c r="AG1382" t="str">
        <f>IF([3]Entry!$E$1385="","",[3]Entry!$E$1385)</f>
        <v/>
      </c>
      <c r="AH1382" t="str">
        <f>IF([3]Entry!$G$1385="","",[3]Entry!$G$1385)</f>
        <v/>
      </c>
      <c r="AI1382" t="str">
        <f>IF([3]Entry!$K$1385="","",[3]Entry!$K$1385)</f>
        <v/>
      </c>
      <c r="AJ1382" t="str">
        <f>IF([3]Entry!$L$1385="","",[3]Entry!$L$1385)</f>
        <v/>
      </c>
      <c r="AK1382" t="str">
        <f>IF([3]Entry!$M$1385="","",[3]Entry!$M$1385)</f>
        <v/>
      </c>
      <c r="AL1382" t="str">
        <f>IF([3]Entry!$N$1385="","",[3]Entry!$N$1385)</f>
        <v/>
      </c>
      <c r="AM1382" t="str">
        <f>IF([3]Entry!$R$1385="","",[3]Entry!$R$1385)</f>
        <v/>
      </c>
    </row>
    <row r="1383" spans="20:39" x14ac:dyDescent="0.2">
      <c r="T1383" t="str">
        <f>IF([2]Baskol!$B$1386="","",[2]Baskol!$B$1386)</f>
        <v/>
      </c>
      <c r="U1383" t="str">
        <f>IF([2]Baskol!$C$1386="","",[2]Baskol!$C$1386)</f>
        <v/>
      </c>
      <c r="V1383" t="str">
        <f>IF([2]Baskol!$D$1386="","",[2]Baskol!$D$1386)</f>
        <v/>
      </c>
      <c r="W1383" t="str">
        <f>IF([2]Baskol!$E$1386="","",[2]Baskol!$E$1386)</f>
        <v/>
      </c>
      <c r="X1383" t="str">
        <f>IF([2]Baskol!$G$1386="","",[2]Baskol!$G$1386)</f>
        <v/>
      </c>
      <c r="Y1383" t="str">
        <f>IF([2]Baskol!$I$1386="","",[2]Baskol!$I$1386)</f>
        <v/>
      </c>
      <c r="Z1383" t="str">
        <f>IF([2]Baskol!$J$1386="","",[2]Baskol!$J$1386)</f>
        <v/>
      </c>
      <c r="AA1383" t="str">
        <f>IF([2]Baskol!$K$1386="","",[2]Baskol!$K$1386)</f>
        <v/>
      </c>
      <c r="AB1383" t="str">
        <f>IF([2]Baskol!$L$1386="","",[2]Baskol!$L$1386)</f>
        <v/>
      </c>
      <c r="AC1383" t="str">
        <f>IF([2]Baskol!$N$1386="","",[2]Baskol!$N$1386)</f>
        <v/>
      </c>
      <c r="AD1383" t="str">
        <f>IF([2]Baskol!$O$1386="","",[2]Baskol!$O$1386)</f>
        <v/>
      </c>
      <c r="AE1383" t="str">
        <f>IF([3]Entry!$C$1386="","",[3]Entry!$C$1386)</f>
        <v/>
      </c>
      <c r="AF1383" t="str">
        <f>IF([3]Entry!$D$1386="","",[3]Entry!$D$1386)</f>
        <v/>
      </c>
      <c r="AG1383" t="str">
        <f>IF([3]Entry!$E$1386="","",[3]Entry!$E$1386)</f>
        <v/>
      </c>
      <c r="AH1383" t="str">
        <f>IF([3]Entry!$G$1386="","",[3]Entry!$G$1386)</f>
        <v/>
      </c>
      <c r="AI1383" t="str">
        <f>IF([3]Entry!$K$1386="","",[3]Entry!$K$1386)</f>
        <v/>
      </c>
      <c r="AJ1383" t="str">
        <f>IF([3]Entry!$L$1386="","",[3]Entry!$L$1386)</f>
        <v/>
      </c>
      <c r="AK1383" t="str">
        <f>IF([3]Entry!$M$1386="","",[3]Entry!$M$1386)</f>
        <v/>
      </c>
      <c r="AL1383" t="str">
        <f>IF([3]Entry!$N$1386="","",[3]Entry!$N$1386)</f>
        <v/>
      </c>
      <c r="AM1383" t="str">
        <f>IF([3]Entry!$R$1386="","",[3]Entry!$R$1386)</f>
        <v/>
      </c>
    </row>
    <row r="1384" spans="20:39" x14ac:dyDescent="0.2">
      <c r="T1384" t="str">
        <f>IF([2]Baskol!$B$1387="","",[2]Baskol!$B$1387)</f>
        <v/>
      </c>
      <c r="U1384" t="str">
        <f>IF([2]Baskol!$C$1387="","",[2]Baskol!$C$1387)</f>
        <v/>
      </c>
      <c r="V1384" t="str">
        <f>IF([2]Baskol!$D$1387="","",[2]Baskol!$D$1387)</f>
        <v/>
      </c>
      <c r="W1384" t="str">
        <f>IF([2]Baskol!$E$1387="","",[2]Baskol!$E$1387)</f>
        <v/>
      </c>
      <c r="X1384" t="str">
        <f>IF([2]Baskol!$G$1387="","",[2]Baskol!$G$1387)</f>
        <v/>
      </c>
      <c r="Y1384" t="str">
        <f>IF([2]Baskol!$I$1387="","",[2]Baskol!$I$1387)</f>
        <v/>
      </c>
      <c r="Z1384" t="str">
        <f>IF([2]Baskol!$J$1387="","",[2]Baskol!$J$1387)</f>
        <v/>
      </c>
      <c r="AA1384" t="str">
        <f>IF([2]Baskol!$K$1387="","",[2]Baskol!$K$1387)</f>
        <v/>
      </c>
      <c r="AB1384" t="str">
        <f>IF([2]Baskol!$L$1387="","",[2]Baskol!$L$1387)</f>
        <v/>
      </c>
      <c r="AC1384" t="str">
        <f>IF([2]Baskol!$N$1387="","",[2]Baskol!$N$1387)</f>
        <v/>
      </c>
      <c r="AD1384" t="str">
        <f>IF([2]Baskol!$O$1387="","",[2]Baskol!$O$1387)</f>
        <v/>
      </c>
      <c r="AE1384" t="str">
        <f>IF([3]Entry!$C$1387="","",[3]Entry!$C$1387)</f>
        <v/>
      </c>
      <c r="AF1384" t="str">
        <f>IF([3]Entry!$D$1387="","",[3]Entry!$D$1387)</f>
        <v/>
      </c>
      <c r="AG1384" t="str">
        <f>IF([3]Entry!$E$1387="","",[3]Entry!$E$1387)</f>
        <v/>
      </c>
      <c r="AH1384" t="str">
        <f>IF([3]Entry!$G$1387="","",[3]Entry!$G$1387)</f>
        <v/>
      </c>
      <c r="AI1384" t="str">
        <f>IF([3]Entry!$K$1387="","",[3]Entry!$K$1387)</f>
        <v/>
      </c>
      <c r="AJ1384" t="str">
        <f>IF([3]Entry!$L$1387="","",[3]Entry!$L$1387)</f>
        <v/>
      </c>
      <c r="AK1384" t="str">
        <f>IF([3]Entry!$M$1387="","",[3]Entry!$M$1387)</f>
        <v/>
      </c>
      <c r="AL1384" t="str">
        <f>IF([3]Entry!$N$1387="","",[3]Entry!$N$1387)</f>
        <v/>
      </c>
      <c r="AM1384" t="str">
        <f>IF([3]Entry!$R$1387="","",[3]Entry!$R$1387)</f>
        <v/>
      </c>
    </row>
    <row r="1385" spans="20:39" x14ac:dyDescent="0.2">
      <c r="T1385" t="str">
        <f>IF([2]Baskol!$B$1388="","",[2]Baskol!$B$1388)</f>
        <v/>
      </c>
      <c r="U1385" t="str">
        <f>IF([2]Baskol!$C$1388="","",[2]Baskol!$C$1388)</f>
        <v/>
      </c>
      <c r="V1385" t="str">
        <f>IF([2]Baskol!$D$1388="","",[2]Baskol!$D$1388)</f>
        <v/>
      </c>
      <c r="W1385" t="str">
        <f>IF([2]Baskol!$E$1388="","",[2]Baskol!$E$1388)</f>
        <v/>
      </c>
      <c r="X1385" t="str">
        <f>IF([2]Baskol!$G$1388="","",[2]Baskol!$G$1388)</f>
        <v/>
      </c>
      <c r="Y1385" t="str">
        <f>IF([2]Baskol!$I$1388="","",[2]Baskol!$I$1388)</f>
        <v/>
      </c>
      <c r="Z1385" t="str">
        <f>IF([2]Baskol!$J$1388="","",[2]Baskol!$J$1388)</f>
        <v/>
      </c>
      <c r="AA1385" t="str">
        <f>IF([2]Baskol!$K$1388="","",[2]Baskol!$K$1388)</f>
        <v/>
      </c>
      <c r="AB1385" t="str">
        <f>IF([2]Baskol!$L$1388="","",[2]Baskol!$L$1388)</f>
        <v/>
      </c>
      <c r="AC1385" t="str">
        <f>IF([2]Baskol!$N$1388="","",[2]Baskol!$N$1388)</f>
        <v/>
      </c>
      <c r="AD1385" t="str">
        <f>IF([2]Baskol!$O$1388="","",[2]Baskol!$O$1388)</f>
        <v/>
      </c>
      <c r="AE1385" t="str">
        <f>IF([3]Entry!$C$1388="","",[3]Entry!$C$1388)</f>
        <v/>
      </c>
      <c r="AF1385" t="str">
        <f>IF([3]Entry!$D$1388="","",[3]Entry!$D$1388)</f>
        <v/>
      </c>
      <c r="AG1385" t="str">
        <f>IF([3]Entry!$E$1388="","",[3]Entry!$E$1388)</f>
        <v/>
      </c>
      <c r="AH1385" t="str">
        <f>IF([3]Entry!$G$1388="","",[3]Entry!$G$1388)</f>
        <v/>
      </c>
      <c r="AI1385" t="str">
        <f>IF([3]Entry!$K$1388="","",[3]Entry!$K$1388)</f>
        <v/>
      </c>
      <c r="AJ1385" t="str">
        <f>IF([3]Entry!$L$1388="","",[3]Entry!$L$1388)</f>
        <v/>
      </c>
      <c r="AK1385" t="str">
        <f>IF([3]Entry!$M$1388="","",[3]Entry!$M$1388)</f>
        <v/>
      </c>
      <c r="AL1385" t="str">
        <f>IF([3]Entry!$N$1388="","",[3]Entry!$N$1388)</f>
        <v/>
      </c>
      <c r="AM1385" t="str">
        <f>IF([3]Entry!$R$1388="","",[3]Entry!$R$1388)</f>
        <v/>
      </c>
    </row>
    <row r="1386" spans="20:39" x14ac:dyDescent="0.2">
      <c r="T1386" t="str">
        <f>IF([2]Baskol!$B$1389="","",[2]Baskol!$B$1389)</f>
        <v/>
      </c>
      <c r="U1386" t="str">
        <f>IF([2]Baskol!$C$1389="","",[2]Baskol!$C$1389)</f>
        <v/>
      </c>
      <c r="V1386" t="str">
        <f>IF([2]Baskol!$D$1389="","",[2]Baskol!$D$1389)</f>
        <v/>
      </c>
      <c r="W1386" t="str">
        <f>IF([2]Baskol!$E$1389="","",[2]Baskol!$E$1389)</f>
        <v/>
      </c>
      <c r="X1386" t="str">
        <f>IF([2]Baskol!$G$1389="","",[2]Baskol!$G$1389)</f>
        <v/>
      </c>
      <c r="Y1386" t="str">
        <f>IF([2]Baskol!$I$1389="","",[2]Baskol!$I$1389)</f>
        <v/>
      </c>
      <c r="Z1386" t="str">
        <f>IF([2]Baskol!$J$1389="","",[2]Baskol!$J$1389)</f>
        <v/>
      </c>
      <c r="AA1386" t="str">
        <f>IF([2]Baskol!$K$1389="","",[2]Baskol!$K$1389)</f>
        <v/>
      </c>
      <c r="AB1386" t="str">
        <f>IF([2]Baskol!$L$1389="","",[2]Baskol!$L$1389)</f>
        <v/>
      </c>
      <c r="AC1386" t="str">
        <f>IF([2]Baskol!$N$1389="","",[2]Baskol!$N$1389)</f>
        <v/>
      </c>
      <c r="AD1386" t="str">
        <f>IF([2]Baskol!$O$1389="","",[2]Baskol!$O$1389)</f>
        <v/>
      </c>
      <c r="AE1386" t="str">
        <f>IF([3]Entry!$C$1389="","",[3]Entry!$C$1389)</f>
        <v/>
      </c>
      <c r="AF1386" t="str">
        <f>IF([3]Entry!$D$1389="","",[3]Entry!$D$1389)</f>
        <v/>
      </c>
      <c r="AG1386" t="str">
        <f>IF([3]Entry!$E$1389="","",[3]Entry!$E$1389)</f>
        <v/>
      </c>
      <c r="AH1386" t="str">
        <f>IF([3]Entry!$G$1389="","",[3]Entry!$G$1389)</f>
        <v/>
      </c>
      <c r="AI1386" t="str">
        <f>IF([3]Entry!$K$1389="","",[3]Entry!$K$1389)</f>
        <v/>
      </c>
      <c r="AJ1386" t="str">
        <f>IF([3]Entry!$L$1389="","",[3]Entry!$L$1389)</f>
        <v/>
      </c>
      <c r="AK1386" t="str">
        <f>IF([3]Entry!$M$1389="","",[3]Entry!$M$1389)</f>
        <v/>
      </c>
      <c r="AL1386" t="str">
        <f>IF([3]Entry!$N$1389="","",[3]Entry!$N$1389)</f>
        <v/>
      </c>
      <c r="AM1386" t="str">
        <f>IF([3]Entry!$R$1389="","",[3]Entry!$R$1389)</f>
        <v/>
      </c>
    </row>
    <row r="1387" spans="20:39" x14ac:dyDescent="0.2">
      <c r="T1387" t="str">
        <f>IF([2]Baskol!$B$1390="","",[2]Baskol!$B$1390)</f>
        <v/>
      </c>
      <c r="U1387" t="str">
        <f>IF([2]Baskol!$C$1390="","",[2]Baskol!$C$1390)</f>
        <v/>
      </c>
      <c r="V1387" t="str">
        <f>IF([2]Baskol!$D$1390="","",[2]Baskol!$D$1390)</f>
        <v/>
      </c>
      <c r="W1387" t="str">
        <f>IF([2]Baskol!$E$1390="","",[2]Baskol!$E$1390)</f>
        <v/>
      </c>
      <c r="X1387" t="str">
        <f>IF([2]Baskol!$G$1390="","",[2]Baskol!$G$1390)</f>
        <v/>
      </c>
      <c r="Y1387" t="str">
        <f>IF([2]Baskol!$I$1390="","",[2]Baskol!$I$1390)</f>
        <v/>
      </c>
      <c r="Z1387" t="str">
        <f>IF([2]Baskol!$J$1390="","",[2]Baskol!$J$1390)</f>
        <v/>
      </c>
      <c r="AA1387" t="str">
        <f>IF([2]Baskol!$K$1390="","",[2]Baskol!$K$1390)</f>
        <v/>
      </c>
      <c r="AB1387" t="str">
        <f>IF([2]Baskol!$L$1390="","",[2]Baskol!$L$1390)</f>
        <v/>
      </c>
      <c r="AC1387" t="str">
        <f>IF([2]Baskol!$N$1390="","",[2]Baskol!$N$1390)</f>
        <v/>
      </c>
      <c r="AD1387" t="str">
        <f>IF([2]Baskol!$O$1390="","",[2]Baskol!$O$1390)</f>
        <v/>
      </c>
      <c r="AE1387" t="str">
        <f>IF([3]Entry!$C$1390="","",[3]Entry!$C$1390)</f>
        <v/>
      </c>
      <c r="AF1387" t="str">
        <f>IF([3]Entry!$D$1390="","",[3]Entry!$D$1390)</f>
        <v/>
      </c>
      <c r="AG1387" t="str">
        <f>IF([3]Entry!$E$1390="","",[3]Entry!$E$1390)</f>
        <v/>
      </c>
      <c r="AH1387" t="str">
        <f>IF([3]Entry!$G$1390="","",[3]Entry!$G$1390)</f>
        <v/>
      </c>
      <c r="AI1387" t="str">
        <f>IF([3]Entry!$K$1390="","",[3]Entry!$K$1390)</f>
        <v/>
      </c>
      <c r="AJ1387" t="str">
        <f>IF([3]Entry!$L$1390="","",[3]Entry!$L$1390)</f>
        <v/>
      </c>
      <c r="AK1387" t="str">
        <f>IF([3]Entry!$M$1390="","",[3]Entry!$M$1390)</f>
        <v/>
      </c>
      <c r="AL1387" t="str">
        <f>IF([3]Entry!$N$1390="","",[3]Entry!$N$1390)</f>
        <v/>
      </c>
      <c r="AM1387" t="str">
        <f>IF([3]Entry!$R$1390="","",[3]Entry!$R$1390)</f>
        <v/>
      </c>
    </row>
    <row r="1388" spans="20:39" x14ac:dyDescent="0.2">
      <c r="T1388" t="str">
        <f>IF([2]Baskol!$B$1391="","",[2]Baskol!$B$1391)</f>
        <v/>
      </c>
      <c r="U1388" t="str">
        <f>IF([2]Baskol!$C$1391="","",[2]Baskol!$C$1391)</f>
        <v/>
      </c>
      <c r="V1388" t="str">
        <f>IF([2]Baskol!$D$1391="","",[2]Baskol!$D$1391)</f>
        <v/>
      </c>
      <c r="W1388" t="str">
        <f>IF([2]Baskol!$E$1391="","",[2]Baskol!$E$1391)</f>
        <v/>
      </c>
      <c r="X1388" t="str">
        <f>IF([2]Baskol!$G$1391="","",[2]Baskol!$G$1391)</f>
        <v/>
      </c>
      <c r="Y1388" t="str">
        <f>IF([2]Baskol!$I$1391="","",[2]Baskol!$I$1391)</f>
        <v/>
      </c>
      <c r="Z1388" t="str">
        <f>IF([2]Baskol!$J$1391="","",[2]Baskol!$J$1391)</f>
        <v/>
      </c>
      <c r="AA1388" t="str">
        <f>IF([2]Baskol!$K$1391="","",[2]Baskol!$K$1391)</f>
        <v/>
      </c>
      <c r="AB1388" t="str">
        <f>IF([2]Baskol!$L$1391="","",[2]Baskol!$L$1391)</f>
        <v/>
      </c>
      <c r="AC1388" t="str">
        <f>IF([2]Baskol!$N$1391="","",[2]Baskol!$N$1391)</f>
        <v/>
      </c>
      <c r="AD1388" t="str">
        <f>IF([2]Baskol!$O$1391="","",[2]Baskol!$O$1391)</f>
        <v/>
      </c>
      <c r="AE1388" t="str">
        <f>IF([3]Entry!$C$1391="","",[3]Entry!$C$1391)</f>
        <v/>
      </c>
      <c r="AF1388" t="str">
        <f>IF([3]Entry!$D$1391="","",[3]Entry!$D$1391)</f>
        <v/>
      </c>
      <c r="AG1388" t="str">
        <f>IF([3]Entry!$E$1391="","",[3]Entry!$E$1391)</f>
        <v/>
      </c>
      <c r="AH1388" t="str">
        <f>IF([3]Entry!$G$1391="","",[3]Entry!$G$1391)</f>
        <v/>
      </c>
      <c r="AI1388" t="str">
        <f>IF([3]Entry!$K$1391="","",[3]Entry!$K$1391)</f>
        <v/>
      </c>
      <c r="AJ1388" t="str">
        <f>IF([3]Entry!$L$1391="","",[3]Entry!$L$1391)</f>
        <v/>
      </c>
      <c r="AK1388" t="str">
        <f>IF([3]Entry!$M$1391="","",[3]Entry!$M$1391)</f>
        <v/>
      </c>
      <c r="AL1388" t="str">
        <f>IF([3]Entry!$N$1391="","",[3]Entry!$N$1391)</f>
        <v/>
      </c>
      <c r="AM1388" t="str">
        <f>IF([3]Entry!$R$1391="","",[3]Entry!$R$1391)</f>
        <v/>
      </c>
    </row>
    <row r="1389" spans="20:39" x14ac:dyDescent="0.2">
      <c r="T1389" t="str">
        <f>IF([2]Baskol!$B$1392="","",[2]Baskol!$B$1392)</f>
        <v/>
      </c>
      <c r="U1389" t="str">
        <f>IF([2]Baskol!$C$1392="","",[2]Baskol!$C$1392)</f>
        <v/>
      </c>
      <c r="V1389" t="str">
        <f>IF([2]Baskol!$D$1392="","",[2]Baskol!$D$1392)</f>
        <v/>
      </c>
      <c r="W1389" t="str">
        <f>IF([2]Baskol!$E$1392="","",[2]Baskol!$E$1392)</f>
        <v/>
      </c>
      <c r="X1389" t="str">
        <f>IF([2]Baskol!$G$1392="","",[2]Baskol!$G$1392)</f>
        <v/>
      </c>
      <c r="Y1389" t="str">
        <f>IF([2]Baskol!$I$1392="","",[2]Baskol!$I$1392)</f>
        <v/>
      </c>
      <c r="Z1389" t="str">
        <f>IF([2]Baskol!$J$1392="","",[2]Baskol!$J$1392)</f>
        <v/>
      </c>
      <c r="AA1389" t="str">
        <f>IF([2]Baskol!$K$1392="","",[2]Baskol!$K$1392)</f>
        <v/>
      </c>
      <c r="AB1389" t="str">
        <f>IF([2]Baskol!$L$1392="","",[2]Baskol!$L$1392)</f>
        <v/>
      </c>
      <c r="AC1389" t="str">
        <f>IF([2]Baskol!$N$1392="","",[2]Baskol!$N$1392)</f>
        <v/>
      </c>
      <c r="AD1389" t="str">
        <f>IF([2]Baskol!$O$1392="","",[2]Baskol!$O$1392)</f>
        <v/>
      </c>
      <c r="AE1389" t="str">
        <f>IF([3]Entry!$C$1392="","",[3]Entry!$C$1392)</f>
        <v/>
      </c>
      <c r="AF1389" t="str">
        <f>IF([3]Entry!$D$1392="","",[3]Entry!$D$1392)</f>
        <v/>
      </c>
      <c r="AG1389" t="str">
        <f>IF([3]Entry!$E$1392="","",[3]Entry!$E$1392)</f>
        <v/>
      </c>
      <c r="AH1389" t="str">
        <f>IF([3]Entry!$G$1392="","",[3]Entry!$G$1392)</f>
        <v/>
      </c>
      <c r="AI1389" t="str">
        <f>IF([3]Entry!$K$1392="","",[3]Entry!$K$1392)</f>
        <v/>
      </c>
      <c r="AJ1389" t="str">
        <f>IF([3]Entry!$L$1392="","",[3]Entry!$L$1392)</f>
        <v/>
      </c>
      <c r="AK1389" t="str">
        <f>IF([3]Entry!$M$1392="","",[3]Entry!$M$1392)</f>
        <v/>
      </c>
      <c r="AL1389" t="str">
        <f>IF([3]Entry!$N$1392="","",[3]Entry!$N$1392)</f>
        <v/>
      </c>
      <c r="AM1389" t="str">
        <f>IF([3]Entry!$R$1392="","",[3]Entry!$R$1392)</f>
        <v/>
      </c>
    </row>
    <row r="1390" spans="20:39" x14ac:dyDescent="0.2">
      <c r="T1390" t="str">
        <f>IF([2]Baskol!$B$1393="","",[2]Baskol!$B$1393)</f>
        <v/>
      </c>
      <c r="U1390" t="str">
        <f>IF([2]Baskol!$C$1393="","",[2]Baskol!$C$1393)</f>
        <v/>
      </c>
      <c r="V1390" t="str">
        <f>IF([2]Baskol!$D$1393="","",[2]Baskol!$D$1393)</f>
        <v/>
      </c>
      <c r="W1390" t="str">
        <f>IF([2]Baskol!$E$1393="","",[2]Baskol!$E$1393)</f>
        <v/>
      </c>
      <c r="X1390" t="str">
        <f>IF([2]Baskol!$G$1393="","",[2]Baskol!$G$1393)</f>
        <v/>
      </c>
      <c r="Y1390" t="str">
        <f>IF([2]Baskol!$I$1393="","",[2]Baskol!$I$1393)</f>
        <v/>
      </c>
      <c r="Z1390" t="str">
        <f>IF([2]Baskol!$J$1393="","",[2]Baskol!$J$1393)</f>
        <v/>
      </c>
      <c r="AA1390" t="str">
        <f>IF([2]Baskol!$K$1393="","",[2]Baskol!$K$1393)</f>
        <v/>
      </c>
      <c r="AB1390" t="str">
        <f>IF([2]Baskol!$L$1393="","",[2]Baskol!$L$1393)</f>
        <v/>
      </c>
      <c r="AC1390" t="str">
        <f>IF([2]Baskol!$N$1393="","",[2]Baskol!$N$1393)</f>
        <v/>
      </c>
      <c r="AD1390" t="str">
        <f>IF([2]Baskol!$O$1393="","",[2]Baskol!$O$1393)</f>
        <v/>
      </c>
      <c r="AE1390" t="str">
        <f>IF([3]Entry!$C$1393="","",[3]Entry!$C$1393)</f>
        <v/>
      </c>
      <c r="AF1390" t="str">
        <f>IF([3]Entry!$D$1393="","",[3]Entry!$D$1393)</f>
        <v/>
      </c>
      <c r="AG1390" t="str">
        <f>IF([3]Entry!$E$1393="","",[3]Entry!$E$1393)</f>
        <v/>
      </c>
      <c r="AH1390" t="str">
        <f>IF([3]Entry!$G$1393="","",[3]Entry!$G$1393)</f>
        <v/>
      </c>
      <c r="AI1390" t="str">
        <f>IF([3]Entry!$K$1393="","",[3]Entry!$K$1393)</f>
        <v/>
      </c>
      <c r="AJ1390" t="str">
        <f>IF([3]Entry!$L$1393="","",[3]Entry!$L$1393)</f>
        <v/>
      </c>
      <c r="AK1390" t="str">
        <f>IF([3]Entry!$M$1393="","",[3]Entry!$M$1393)</f>
        <v/>
      </c>
      <c r="AL1390" t="str">
        <f>IF([3]Entry!$N$1393="","",[3]Entry!$N$1393)</f>
        <v/>
      </c>
      <c r="AM1390" t="str">
        <f>IF([3]Entry!$R$1393="","",[3]Entry!$R$1393)</f>
        <v/>
      </c>
    </row>
    <row r="1391" spans="20:39" x14ac:dyDescent="0.2">
      <c r="T1391" t="str">
        <f>IF([2]Baskol!$B$1394="","",[2]Baskol!$B$1394)</f>
        <v/>
      </c>
      <c r="U1391" t="str">
        <f>IF([2]Baskol!$C$1394="","",[2]Baskol!$C$1394)</f>
        <v/>
      </c>
      <c r="V1391" t="str">
        <f>IF([2]Baskol!$D$1394="","",[2]Baskol!$D$1394)</f>
        <v/>
      </c>
      <c r="W1391" t="str">
        <f>IF([2]Baskol!$E$1394="","",[2]Baskol!$E$1394)</f>
        <v/>
      </c>
      <c r="X1391" t="str">
        <f>IF([2]Baskol!$G$1394="","",[2]Baskol!$G$1394)</f>
        <v/>
      </c>
      <c r="Y1391" t="str">
        <f>IF([2]Baskol!$I$1394="","",[2]Baskol!$I$1394)</f>
        <v/>
      </c>
      <c r="Z1391" t="str">
        <f>IF([2]Baskol!$J$1394="","",[2]Baskol!$J$1394)</f>
        <v/>
      </c>
      <c r="AA1391" t="str">
        <f>IF([2]Baskol!$K$1394="","",[2]Baskol!$K$1394)</f>
        <v/>
      </c>
      <c r="AB1391" t="str">
        <f>IF([2]Baskol!$L$1394="","",[2]Baskol!$L$1394)</f>
        <v/>
      </c>
      <c r="AC1391" t="str">
        <f>IF([2]Baskol!$N$1394="","",[2]Baskol!$N$1394)</f>
        <v/>
      </c>
      <c r="AD1391" t="str">
        <f>IF([2]Baskol!$O$1394="","",[2]Baskol!$O$1394)</f>
        <v/>
      </c>
      <c r="AE1391" t="str">
        <f>IF([3]Entry!$C$1394="","",[3]Entry!$C$1394)</f>
        <v/>
      </c>
      <c r="AF1391" t="str">
        <f>IF([3]Entry!$D$1394="","",[3]Entry!$D$1394)</f>
        <v/>
      </c>
      <c r="AG1391" t="str">
        <f>IF([3]Entry!$E$1394="","",[3]Entry!$E$1394)</f>
        <v/>
      </c>
      <c r="AH1391" t="str">
        <f>IF([3]Entry!$G$1394="","",[3]Entry!$G$1394)</f>
        <v/>
      </c>
      <c r="AI1391" t="str">
        <f>IF([3]Entry!$K$1394="","",[3]Entry!$K$1394)</f>
        <v/>
      </c>
      <c r="AJ1391" t="str">
        <f>IF([3]Entry!$L$1394="","",[3]Entry!$L$1394)</f>
        <v/>
      </c>
      <c r="AK1391" t="str">
        <f>IF([3]Entry!$M$1394="","",[3]Entry!$M$1394)</f>
        <v/>
      </c>
      <c r="AL1391" t="str">
        <f>IF([3]Entry!$N$1394="","",[3]Entry!$N$1394)</f>
        <v/>
      </c>
      <c r="AM1391" t="str">
        <f>IF([3]Entry!$R$1394="","",[3]Entry!$R$1394)</f>
        <v/>
      </c>
    </row>
    <row r="1392" spans="20:39" x14ac:dyDescent="0.2">
      <c r="T1392" t="str">
        <f>IF([2]Baskol!$B$1395="","",[2]Baskol!$B$1395)</f>
        <v/>
      </c>
      <c r="U1392" t="str">
        <f>IF([2]Baskol!$C$1395="","",[2]Baskol!$C$1395)</f>
        <v/>
      </c>
      <c r="V1392" t="str">
        <f>IF([2]Baskol!$D$1395="","",[2]Baskol!$D$1395)</f>
        <v/>
      </c>
      <c r="W1392" t="str">
        <f>IF([2]Baskol!$E$1395="","",[2]Baskol!$E$1395)</f>
        <v/>
      </c>
      <c r="X1392" t="str">
        <f>IF([2]Baskol!$G$1395="","",[2]Baskol!$G$1395)</f>
        <v/>
      </c>
      <c r="Y1392" t="str">
        <f>IF([2]Baskol!$I$1395="","",[2]Baskol!$I$1395)</f>
        <v/>
      </c>
      <c r="Z1392" t="str">
        <f>IF([2]Baskol!$J$1395="","",[2]Baskol!$J$1395)</f>
        <v/>
      </c>
      <c r="AA1392" t="str">
        <f>IF([2]Baskol!$K$1395="","",[2]Baskol!$K$1395)</f>
        <v/>
      </c>
      <c r="AB1392" t="str">
        <f>IF([2]Baskol!$L$1395="","",[2]Baskol!$L$1395)</f>
        <v/>
      </c>
      <c r="AC1392" t="str">
        <f>IF([2]Baskol!$N$1395="","",[2]Baskol!$N$1395)</f>
        <v/>
      </c>
      <c r="AD1392" t="str">
        <f>IF([2]Baskol!$O$1395="","",[2]Baskol!$O$1395)</f>
        <v/>
      </c>
      <c r="AE1392" t="str">
        <f>IF([3]Entry!$C$1395="","",[3]Entry!$C$1395)</f>
        <v/>
      </c>
      <c r="AF1392" t="str">
        <f>IF([3]Entry!$D$1395="","",[3]Entry!$D$1395)</f>
        <v/>
      </c>
      <c r="AG1392" t="str">
        <f>IF([3]Entry!$E$1395="","",[3]Entry!$E$1395)</f>
        <v/>
      </c>
      <c r="AH1392" t="str">
        <f>IF([3]Entry!$G$1395="","",[3]Entry!$G$1395)</f>
        <v/>
      </c>
      <c r="AI1392" t="str">
        <f>IF([3]Entry!$K$1395="","",[3]Entry!$K$1395)</f>
        <v/>
      </c>
      <c r="AJ1392" t="str">
        <f>IF([3]Entry!$L$1395="","",[3]Entry!$L$1395)</f>
        <v/>
      </c>
      <c r="AK1392" t="str">
        <f>IF([3]Entry!$M$1395="","",[3]Entry!$M$1395)</f>
        <v/>
      </c>
      <c r="AL1392" t="str">
        <f>IF([3]Entry!$N$1395="","",[3]Entry!$N$1395)</f>
        <v/>
      </c>
      <c r="AM1392" t="str">
        <f>IF([3]Entry!$R$1395="","",[3]Entry!$R$1395)</f>
        <v/>
      </c>
    </row>
    <row r="1393" spans="20:39" x14ac:dyDescent="0.2">
      <c r="T1393" t="str">
        <f>IF([2]Baskol!$B$1396="","",[2]Baskol!$B$1396)</f>
        <v/>
      </c>
      <c r="U1393" t="str">
        <f>IF([2]Baskol!$C$1396="","",[2]Baskol!$C$1396)</f>
        <v/>
      </c>
      <c r="V1393" t="str">
        <f>IF([2]Baskol!$D$1396="","",[2]Baskol!$D$1396)</f>
        <v/>
      </c>
      <c r="W1393" t="str">
        <f>IF([2]Baskol!$E$1396="","",[2]Baskol!$E$1396)</f>
        <v/>
      </c>
      <c r="X1393" t="str">
        <f>IF([2]Baskol!$G$1396="","",[2]Baskol!$G$1396)</f>
        <v/>
      </c>
      <c r="Y1393" t="str">
        <f>IF([2]Baskol!$I$1396="","",[2]Baskol!$I$1396)</f>
        <v/>
      </c>
      <c r="Z1393" t="str">
        <f>IF([2]Baskol!$J$1396="","",[2]Baskol!$J$1396)</f>
        <v/>
      </c>
      <c r="AA1393" t="str">
        <f>IF([2]Baskol!$K$1396="","",[2]Baskol!$K$1396)</f>
        <v/>
      </c>
      <c r="AB1393" t="str">
        <f>IF([2]Baskol!$L$1396="","",[2]Baskol!$L$1396)</f>
        <v/>
      </c>
      <c r="AC1393" t="str">
        <f>IF([2]Baskol!$N$1396="","",[2]Baskol!$N$1396)</f>
        <v/>
      </c>
      <c r="AD1393" t="str">
        <f>IF([2]Baskol!$O$1396="","",[2]Baskol!$O$1396)</f>
        <v/>
      </c>
      <c r="AE1393" t="str">
        <f>IF([3]Entry!$C$1396="","",[3]Entry!$C$1396)</f>
        <v/>
      </c>
      <c r="AF1393" t="str">
        <f>IF([3]Entry!$D$1396="","",[3]Entry!$D$1396)</f>
        <v/>
      </c>
      <c r="AG1393" t="str">
        <f>IF([3]Entry!$E$1396="","",[3]Entry!$E$1396)</f>
        <v/>
      </c>
      <c r="AH1393" t="str">
        <f>IF([3]Entry!$G$1396="","",[3]Entry!$G$1396)</f>
        <v/>
      </c>
      <c r="AI1393" t="str">
        <f>IF([3]Entry!$K$1396="","",[3]Entry!$K$1396)</f>
        <v/>
      </c>
      <c r="AJ1393" t="str">
        <f>IF([3]Entry!$L$1396="","",[3]Entry!$L$1396)</f>
        <v/>
      </c>
      <c r="AK1393" t="str">
        <f>IF([3]Entry!$M$1396="","",[3]Entry!$M$1396)</f>
        <v/>
      </c>
      <c r="AL1393" t="str">
        <f>IF([3]Entry!$N$1396="","",[3]Entry!$N$1396)</f>
        <v/>
      </c>
      <c r="AM1393" t="str">
        <f>IF([3]Entry!$R$1396="","",[3]Entry!$R$1396)</f>
        <v/>
      </c>
    </row>
    <row r="1394" spans="20:39" x14ac:dyDescent="0.2">
      <c r="T1394" t="str">
        <f>IF([2]Baskol!$B$1397="","",[2]Baskol!$B$1397)</f>
        <v/>
      </c>
      <c r="U1394" t="str">
        <f>IF([2]Baskol!$C$1397="","",[2]Baskol!$C$1397)</f>
        <v/>
      </c>
      <c r="V1394" t="str">
        <f>IF([2]Baskol!$D$1397="","",[2]Baskol!$D$1397)</f>
        <v/>
      </c>
      <c r="W1394" t="str">
        <f>IF([2]Baskol!$E$1397="","",[2]Baskol!$E$1397)</f>
        <v/>
      </c>
      <c r="X1394" t="str">
        <f>IF([2]Baskol!$G$1397="","",[2]Baskol!$G$1397)</f>
        <v/>
      </c>
      <c r="Y1394" t="str">
        <f>IF([2]Baskol!$I$1397="","",[2]Baskol!$I$1397)</f>
        <v/>
      </c>
      <c r="Z1394" t="str">
        <f>IF([2]Baskol!$J$1397="","",[2]Baskol!$J$1397)</f>
        <v/>
      </c>
      <c r="AA1394" t="str">
        <f>IF([2]Baskol!$K$1397="","",[2]Baskol!$K$1397)</f>
        <v/>
      </c>
      <c r="AB1394" t="str">
        <f>IF([2]Baskol!$L$1397="","",[2]Baskol!$L$1397)</f>
        <v/>
      </c>
      <c r="AC1394" t="str">
        <f>IF([2]Baskol!$N$1397="","",[2]Baskol!$N$1397)</f>
        <v/>
      </c>
      <c r="AD1394" t="str">
        <f>IF([2]Baskol!$O$1397="","",[2]Baskol!$O$1397)</f>
        <v/>
      </c>
      <c r="AE1394" t="str">
        <f>IF([3]Entry!$C$1397="","",[3]Entry!$C$1397)</f>
        <v/>
      </c>
      <c r="AF1394" t="str">
        <f>IF([3]Entry!$D$1397="","",[3]Entry!$D$1397)</f>
        <v/>
      </c>
      <c r="AG1394" t="str">
        <f>IF([3]Entry!$E$1397="","",[3]Entry!$E$1397)</f>
        <v/>
      </c>
      <c r="AH1394" t="str">
        <f>IF([3]Entry!$G$1397="","",[3]Entry!$G$1397)</f>
        <v/>
      </c>
      <c r="AI1394" t="str">
        <f>IF([3]Entry!$K$1397="","",[3]Entry!$K$1397)</f>
        <v/>
      </c>
      <c r="AJ1394" t="str">
        <f>IF([3]Entry!$L$1397="","",[3]Entry!$L$1397)</f>
        <v/>
      </c>
      <c r="AK1394" t="str">
        <f>IF([3]Entry!$M$1397="","",[3]Entry!$M$1397)</f>
        <v/>
      </c>
      <c r="AL1394" t="str">
        <f>IF([3]Entry!$N$1397="","",[3]Entry!$N$1397)</f>
        <v/>
      </c>
      <c r="AM1394" t="str">
        <f>IF([3]Entry!$R$1397="","",[3]Entry!$R$1397)</f>
        <v/>
      </c>
    </row>
    <row r="1395" spans="20:39" x14ac:dyDescent="0.2">
      <c r="T1395" t="str">
        <f>IF([2]Baskol!$B$1398="","",[2]Baskol!$B$1398)</f>
        <v/>
      </c>
      <c r="U1395" t="str">
        <f>IF([2]Baskol!$C$1398="","",[2]Baskol!$C$1398)</f>
        <v/>
      </c>
      <c r="V1395" t="str">
        <f>IF([2]Baskol!$D$1398="","",[2]Baskol!$D$1398)</f>
        <v/>
      </c>
      <c r="W1395" t="str">
        <f>IF([2]Baskol!$E$1398="","",[2]Baskol!$E$1398)</f>
        <v/>
      </c>
      <c r="X1395" t="str">
        <f>IF([2]Baskol!$G$1398="","",[2]Baskol!$G$1398)</f>
        <v/>
      </c>
      <c r="Y1395" t="str">
        <f>IF([2]Baskol!$I$1398="","",[2]Baskol!$I$1398)</f>
        <v/>
      </c>
      <c r="Z1395" t="str">
        <f>IF([2]Baskol!$J$1398="","",[2]Baskol!$J$1398)</f>
        <v/>
      </c>
      <c r="AA1395" t="str">
        <f>IF([2]Baskol!$K$1398="","",[2]Baskol!$K$1398)</f>
        <v/>
      </c>
      <c r="AB1395" t="str">
        <f>IF([2]Baskol!$L$1398="","",[2]Baskol!$L$1398)</f>
        <v/>
      </c>
      <c r="AC1395" t="str">
        <f>IF([2]Baskol!$N$1398="","",[2]Baskol!$N$1398)</f>
        <v/>
      </c>
      <c r="AD1395" t="str">
        <f>IF([2]Baskol!$O$1398="","",[2]Baskol!$O$1398)</f>
        <v/>
      </c>
      <c r="AE1395" t="str">
        <f>IF([3]Entry!$C$1398="","",[3]Entry!$C$1398)</f>
        <v/>
      </c>
      <c r="AF1395" t="str">
        <f>IF([3]Entry!$D$1398="","",[3]Entry!$D$1398)</f>
        <v/>
      </c>
      <c r="AG1395" t="str">
        <f>IF([3]Entry!$E$1398="","",[3]Entry!$E$1398)</f>
        <v/>
      </c>
      <c r="AH1395" t="str">
        <f>IF([3]Entry!$G$1398="","",[3]Entry!$G$1398)</f>
        <v/>
      </c>
      <c r="AI1395" t="str">
        <f>IF([3]Entry!$K$1398="","",[3]Entry!$K$1398)</f>
        <v/>
      </c>
      <c r="AJ1395" t="str">
        <f>IF([3]Entry!$L$1398="","",[3]Entry!$L$1398)</f>
        <v/>
      </c>
      <c r="AK1395" t="str">
        <f>IF([3]Entry!$M$1398="","",[3]Entry!$M$1398)</f>
        <v/>
      </c>
      <c r="AL1395" t="str">
        <f>IF([3]Entry!$N$1398="","",[3]Entry!$N$1398)</f>
        <v/>
      </c>
      <c r="AM1395" t="str">
        <f>IF([3]Entry!$R$1398="","",[3]Entry!$R$1398)</f>
        <v/>
      </c>
    </row>
    <row r="1396" spans="20:39" x14ac:dyDescent="0.2">
      <c r="T1396" t="str">
        <f>IF([2]Baskol!$B$1399="","",[2]Baskol!$B$1399)</f>
        <v/>
      </c>
      <c r="U1396" t="str">
        <f>IF([2]Baskol!$C$1399="","",[2]Baskol!$C$1399)</f>
        <v/>
      </c>
      <c r="V1396" t="str">
        <f>IF([2]Baskol!$D$1399="","",[2]Baskol!$D$1399)</f>
        <v/>
      </c>
      <c r="W1396" t="str">
        <f>IF([2]Baskol!$E$1399="","",[2]Baskol!$E$1399)</f>
        <v/>
      </c>
      <c r="X1396" t="str">
        <f>IF([2]Baskol!$G$1399="","",[2]Baskol!$G$1399)</f>
        <v/>
      </c>
      <c r="Y1396" t="str">
        <f>IF([2]Baskol!$I$1399="","",[2]Baskol!$I$1399)</f>
        <v/>
      </c>
      <c r="Z1396" t="str">
        <f>IF([2]Baskol!$J$1399="","",[2]Baskol!$J$1399)</f>
        <v/>
      </c>
      <c r="AA1396" t="str">
        <f>IF([2]Baskol!$K$1399="","",[2]Baskol!$K$1399)</f>
        <v/>
      </c>
      <c r="AB1396" t="str">
        <f>IF([2]Baskol!$L$1399="","",[2]Baskol!$L$1399)</f>
        <v/>
      </c>
      <c r="AC1396" t="str">
        <f>IF([2]Baskol!$N$1399="","",[2]Baskol!$N$1399)</f>
        <v/>
      </c>
      <c r="AD1396" t="str">
        <f>IF([2]Baskol!$O$1399="","",[2]Baskol!$O$1399)</f>
        <v/>
      </c>
      <c r="AE1396" t="str">
        <f>IF([3]Entry!$C$1399="","",[3]Entry!$C$1399)</f>
        <v/>
      </c>
      <c r="AF1396" t="str">
        <f>IF([3]Entry!$D$1399="","",[3]Entry!$D$1399)</f>
        <v/>
      </c>
      <c r="AG1396" t="str">
        <f>IF([3]Entry!$E$1399="","",[3]Entry!$E$1399)</f>
        <v/>
      </c>
      <c r="AH1396" t="str">
        <f>IF([3]Entry!$G$1399="","",[3]Entry!$G$1399)</f>
        <v/>
      </c>
      <c r="AI1396" t="str">
        <f>IF([3]Entry!$K$1399="","",[3]Entry!$K$1399)</f>
        <v/>
      </c>
      <c r="AJ1396" t="str">
        <f>IF([3]Entry!$L$1399="","",[3]Entry!$L$1399)</f>
        <v/>
      </c>
      <c r="AK1396" t="str">
        <f>IF([3]Entry!$M$1399="","",[3]Entry!$M$1399)</f>
        <v/>
      </c>
      <c r="AL1396" t="str">
        <f>IF([3]Entry!$N$1399="","",[3]Entry!$N$1399)</f>
        <v/>
      </c>
      <c r="AM1396" t="str">
        <f>IF([3]Entry!$R$1399="","",[3]Entry!$R$1399)</f>
        <v/>
      </c>
    </row>
    <row r="1397" spans="20:39" x14ac:dyDescent="0.2">
      <c r="T1397" t="str">
        <f>IF([2]Baskol!$B$1400="","",[2]Baskol!$B$1400)</f>
        <v/>
      </c>
      <c r="U1397" t="str">
        <f>IF([2]Baskol!$C$1400="","",[2]Baskol!$C$1400)</f>
        <v/>
      </c>
      <c r="V1397" t="str">
        <f>IF([2]Baskol!$D$1400="","",[2]Baskol!$D$1400)</f>
        <v/>
      </c>
      <c r="W1397" t="str">
        <f>IF([2]Baskol!$E$1400="","",[2]Baskol!$E$1400)</f>
        <v/>
      </c>
      <c r="X1397" t="str">
        <f>IF([2]Baskol!$G$1400="","",[2]Baskol!$G$1400)</f>
        <v/>
      </c>
      <c r="Y1397" t="str">
        <f>IF([2]Baskol!$I$1400="","",[2]Baskol!$I$1400)</f>
        <v/>
      </c>
      <c r="Z1397" t="str">
        <f>IF([2]Baskol!$J$1400="","",[2]Baskol!$J$1400)</f>
        <v/>
      </c>
      <c r="AA1397" t="str">
        <f>IF([2]Baskol!$K$1400="","",[2]Baskol!$K$1400)</f>
        <v/>
      </c>
      <c r="AB1397" t="str">
        <f>IF([2]Baskol!$L$1400="","",[2]Baskol!$L$1400)</f>
        <v/>
      </c>
      <c r="AC1397" t="str">
        <f>IF([2]Baskol!$N$1400="","",[2]Baskol!$N$1400)</f>
        <v/>
      </c>
      <c r="AD1397" t="str">
        <f>IF([2]Baskol!$O$1400="","",[2]Baskol!$O$1400)</f>
        <v/>
      </c>
      <c r="AE1397" t="str">
        <f>IF([3]Entry!$C$1400="","",[3]Entry!$C$1400)</f>
        <v/>
      </c>
      <c r="AF1397" t="str">
        <f>IF([3]Entry!$D$1400="","",[3]Entry!$D$1400)</f>
        <v/>
      </c>
      <c r="AG1397" t="str">
        <f>IF([3]Entry!$E$1400="","",[3]Entry!$E$1400)</f>
        <v/>
      </c>
      <c r="AH1397" t="str">
        <f>IF([3]Entry!$G$1400="","",[3]Entry!$G$1400)</f>
        <v/>
      </c>
      <c r="AI1397" t="str">
        <f>IF([3]Entry!$K$1400="","",[3]Entry!$K$1400)</f>
        <v/>
      </c>
      <c r="AJ1397" t="str">
        <f>IF([3]Entry!$L$1400="","",[3]Entry!$L$1400)</f>
        <v/>
      </c>
      <c r="AK1397" t="str">
        <f>IF([3]Entry!$M$1400="","",[3]Entry!$M$1400)</f>
        <v/>
      </c>
      <c r="AL1397" t="str">
        <f>IF([3]Entry!$N$1400="","",[3]Entry!$N$1400)</f>
        <v/>
      </c>
      <c r="AM1397" t="str">
        <f>IF([3]Entry!$R$1400="","",[3]Entry!$R$1400)</f>
        <v/>
      </c>
    </row>
    <row r="1398" spans="20:39" x14ac:dyDescent="0.2">
      <c r="T1398" t="str">
        <f>IF([2]Baskol!$B$1401="","",[2]Baskol!$B$1401)</f>
        <v/>
      </c>
      <c r="U1398" t="str">
        <f>IF([2]Baskol!$C$1401="","",[2]Baskol!$C$1401)</f>
        <v/>
      </c>
      <c r="V1398" t="str">
        <f>IF([2]Baskol!$D$1401="","",[2]Baskol!$D$1401)</f>
        <v/>
      </c>
      <c r="W1398" t="str">
        <f>IF([2]Baskol!$E$1401="","",[2]Baskol!$E$1401)</f>
        <v/>
      </c>
      <c r="X1398" t="str">
        <f>IF([2]Baskol!$G$1401="","",[2]Baskol!$G$1401)</f>
        <v/>
      </c>
      <c r="Y1398" t="str">
        <f>IF([2]Baskol!$I$1401="","",[2]Baskol!$I$1401)</f>
        <v/>
      </c>
      <c r="Z1398" t="str">
        <f>IF([2]Baskol!$J$1401="","",[2]Baskol!$J$1401)</f>
        <v/>
      </c>
      <c r="AA1398" t="str">
        <f>IF([2]Baskol!$K$1401="","",[2]Baskol!$K$1401)</f>
        <v/>
      </c>
      <c r="AB1398" t="str">
        <f>IF([2]Baskol!$L$1401="","",[2]Baskol!$L$1401)</f>
        <v/>
      </c>
      <c r="AC1398" t="str">
        <f>IF([2]Baskol!$N$1401="","",[2]Baskol!$N$1401)</f>
        <v/>
      </c>
      <c r="AD1398" t="str">
        <f>IF([2]Baskol!$O$1401="","",[2]Baskol!$O$1401)</f>
        <v/>
      </c>
      <c r="AE1398" t="str">
        <f>IF([3]Entry!$C$1401="","",[3]Entry!$C$1401)</f>
        <v/>
      </c>
      <c r="AF1398" t="str">
        <f>IF([3]Entry!$D$1401="","",[3]Entry!$D$1401)</f>
        <v/>
      </c>
      <c r="AG1398" t="str">
        <f>IF([3]Entry!$E$1401="","",[3]Entry!$E$1401)</f>
        <v/>
      </c>
      <c r="AH1398" t="str">
        <f>IF([3]Entry!$G$1401="","",[3]Entry!$G$1401)</f>
        <v/>
      </c>
      <c r="AI1398" t="str">
        <f>IF([3]Entry!$K$1401="","",[3]Entry!$K$1401)</f>
        <v/>
      </c>
      <c r="AJ1398" t="str">
        <f>IF([3]Entry!$L$1401="","",[3]Entry!$L$1401)</f>
        <v/>
      </c>
      <c r="AK1398" t="str">
        <f>IF([3]Entry!$M$1401="","",[3]Entry!$M$1401)</f>
        <v/>
      </c>
      <c r="AL1398" t="str">
        <f>IF([3]Entry!$N$1401="","",[3]Entry!$N$1401)</f>
        <v/>
      </c>
      <c r="AM1398" t="str">
        <f>IF([3]Entry!$R$1401="","",[3]Entry!$R$1401)</f>
        <v/>
      </c>
    </row>
    <row r="1399" spans="20:39" x14ac:dyDescent="0.2">
      <c r="T1399" t="str">
        <f>IF([2]Baskol!$B$1402="","",[2]Baskol!$B$1402)</f>
        <v/>
      </c>
      <c r="U1399" t="str">
        <f>IF([2]Baskol!$C$1402="","",[2]Baskol!$C$1402)</f>
        <v/>
      </c>
      <c r="V1399" t="str">
        <f>IF([2]Baskol!$D$1402="","",[2]Baskol!$D$1402)</f>
        <v/>
      </c>
      <c r="W1399" t="str">
        <f>IF([2]Baskol!$E$1402="","",[2]Baskol!$E$1402)</f>
        <v/>
      </c>
      <c r="X1399" t="str">
        <f>IF([2]Baskol!$G$1402="","",[2]Baskol!$G$1402)</f>
        <v/>
      </c>
      <c r="Y1399" t="str">
        <f>IF([2]Baskol!$I$1402="","",[2]Baskol!$I$1402)</f>
        <v/>
      </c>
      <c r="Z1399" t="str">
        <f>IF([2]Baskol!$J$1402="","",[2]Baskol!$J$1402)</f>
        <v/>
      </c>
      <c r="AA1399" t="str">
        <f>IF([2]Baskol!$K$1402="","",[2]Baskol!$K$1402)</f>
        <v/>
      </c>
      <c r="AB1399" t="str">
        <f>IF([2]Baskol!$L$1402="","",[2]Baskol!$L$1402)</f>
        <v/>
      </c>
      <c r="AC1399" t="str">
        <f>IF([2]Baskol!$N$1402="","",[2]Baskol!$N$1402)</f>
        <v/>
      </c>
      <c r="AD1399" t="str">
        <f>IF([2]Baskol!$O$1402="","",[2]Baskol!$O$1402)</f>
        <v/>
      </c>
      <c r="AE1399" t="str">
        <f>IF([3]Entry!$C$1402="","",[3]Entry!$C$1402)</f>
        <v/>
      </c>
      <c r="AF1399" t="str">
        <f>IF([3]Entry!$D$1402="","",[3]Entry!$D$1402)</f>
        <v/>
      </c>
      <c r="AG1399" t="str">
        <f>IF([3]Entry!$E$1402="","",[3]Entry!$E$1402)</f>
        <v/>
      </c>
      <c r="AH1399" t="str">
        <f>IF([3]Entry!$G$1402="","",[3]Entry!$G$1402)</f>
        <v/>
      </c>
      <c r="AI1399" t="str">
        <f>IF([3]Entry!$K$1402="","",[3]Entry!$K$1402)</f>
        <v/>
      </c>
      <c r="AJ1399" t="str">
        <f>IF([3]Entry!$L$1402="","",[3]Entry!$L$1402)</f>
        <v/>
      </c>
      <c r="AK1399" t="str">
        <f>IF([3]Entry!$M$1402="","",[3]Entry!$M$1402)</f>
        <v/>
      </c>
      <c r="AL1399" t="str">
        <f>IF([3]Entry!$N$1402="","",[3]Entry!$N$1402)</f>
        <v/>
      </c>
      <c r="AM1399" t="str">
        <f>IF([3]Entry!$R$1402="","",[3]Entry!$R$1402)</f>
        <v/>
      </c>
    </row>
    <row r="1400" spans="20:39" x14ac:dyDescent="0.2">
      <c r="T1400" t="str">
        <f>IF([2]Baskol!$B$1403="","",[2]Baskol!$B$1403)</f>
        <v/>
      </c>
      <c r="U1400" t="str">
        <f>IF([2]Baskol!$C$1403="","",[2]Baskol!$C$1403)</f>
        <v/>
      </c>
      <c r="V1400" t="str">
        <f>IF([2]Baskol!$D$1403="","",[2]Baskol!$D$1403)</f>
        <v/>
      </c>
      <c r="W1400" t="str">
        <f>IF([2]Baskol!$E$1403="","",[2]Baskol!$E$1403)</f>
        <v/>
      </c>
      <c r="X1400" t="str">
        <f>IF([2]Baskol!$G$1403="","",[2]Baskol!$G$1403)</f>
        <v/>
      </c>
      <c r="Y1400" t="str">
        <f>IF([2]Baskol!$I$1403="","",[2]Baskol!$I$1403)</f>
        <v/>
      </c>
      <c r="Z1400" t="str">
        <f>IF([2]Baskol!$J$1403="","",[2]Baskol!$J$1403)</f>
        <v/>
      </c>
      <c r="AA1400" t="str">
        <f>IF([2]Baskol!$K$1403="","",[2]Baskol!$K$1403)</f>
        <v/>
      </c>
      <c r="AB1400" t="str">
        <f>IF([2]Baskol!$L$1403="","",[2]Baskol!$L$1403)</f>
        <v/>
      </c>
      <c r="AC1400" t="str">
        <f>IF([2]Baskol!$N$1403="","",[2]Baskol!$N$1403)</f>
        <v/>
      </c>
      <c r="AD1400" t="str">
        <f>IF([2]Baskol!$O$1403="","",[2]Baskol!$O$1403)</f>
        <v/>
      </c>
      <c r="AE1400" t="str">
        <f>IF([3]Entry!$C$1403="","",[3]Entry!$C$1403)</f>
        <v/>
      </c>
      <c r="AF1400" t="str">
        <f>IF([3]Entry!$D$1403="","",[3]Entry!$D$1403)</f>
        <v/>
      </c>
      <c r="AG1400" t="str">
        <f>IF([3]Entry!$E$1403="","",[3]Entry!$E$1403)</f>
        <v/>
      </c>
      <c r="AH1400" t="str">
        <f>IF([3]Entry!$G$1403="","",[3]Entry!$G$1403)</f>
        <v/>
      </c>
      <c r="AI1400" t="str">
        <f>IF([3]Entry!$K$1403="","",[3]Entry!$K$1403)</f>
        <v/>
      </c>
      <c r="AJ1400" t="str">
        <f>IF([3]Entry!$L$1403="","",[3]Entry!$L$1403)</f>
        <v/>
      </c>
      <c r="AK1400" t="str">
        <f>IF([3]Entry!$M$1403="","",[3]Entry!$M$1403)</f>
        <v/>
      </c>
      <c r="AL1400" t="str">
        <f>IF([3]Entry!$N$1403="","",[3]Entry!$N$1403)</f>
        <v/>
      </c>
      <c r="AM1400" t="str">
        <f>IF([3]Entry!$R$1403="","",[3]Entry!$R$1403)</f>
        <v/>
      </c>
    </row>
    <row r="1401" spans="20:39" x14ac:dyDescent="0.2">
      <c r="T1401" t="str">
        <f>IF([2]Baskol!$B$1404="","",[2]Baskol!$B$1404)</f>
        <v/>
      </c>
      <c r="U1401" t="str">
        <f>IF([2]Baskol!$C$1404="","",[2]Baskol!$C$1404)</f>
        <v/>
      </c>
      <c r="V1401" t="str">
        <f>IF([2]Baskol!$D$1404="","",[2]Baskol!$D$1404)</f>
        <v/>
      </c>
      <c r="W1401" t="str">
        <f>IF([2]Baskol!$E$1404="","",[2]Baskol!$E$1404)</f>
        <v/>
      </c>
      <c r="X1401" t="str">
        <f>IF([2]Baskol!$G$1404="","",[2]Baskol!$G$1404)</f>
        <v/>
      </c>
      <c r="Y1401" t="str">
        <f>IF([2]Baskol!$I$1404="","",[2]Baskol!$I$1404)</f>
        <v/>
      </c>
      <c r="Z1401" t="str">
        <f>IF([2]Baskol!$J$1404="","",[2]Baskol!$J$1404)</f>
        <v/>
      </c>
      <c r="AA1401" t="str">
        <f>IF([2]Baskol!$K$1404="","",[2]Baskol!$K$1404)</f>
        <v/>
      </c>
      <c r="AB1401" t="str">
        <f>IF([2]Baskol!$L$1404="","",[2]Baskol!$L$1404)</f>
        <v/>
      </c>
      <c r="AC1401" t="str">
        <f>IF([2]Baskol!$N$1404="","",[2]Baskol!$N$1404)</f>
        <v/>
      </c>
      <c r="AD1401" t="str">
        <f>IF([2]Baskol!$O$1404="","",[2]Baskol!$O$1404)</f>
        <v/>
      </c>
      <c r="AE1401" t="str">
        <f>IF([3]Entry!$C$1404="","",[3]Entry!$C$1404)</f>
        <v/>
      </c>
      <c r="AF1401" t="str">
        <f>IF([3]Entry!$D$1404="","",[3]Entry!$D$1404)</f>
        <v/>
      </c>
      <c r="AG1401" t="str">
        <f>IF([3]Entry!$E$1404="","",[3]Entry!$E$1404)</f>
        <v/>
      </c>
      <c r="AH1401" t="str">
        <f>IF([3]Entry!$G$1404="","",[3]Entry!$G$1404)</f>
        <v/>
      </c>
      <c r="AI1401" t="str">
        <f>IF([3]Entry!$K$1404="","",[3]Entry!$K$1404)</f>
        <v/>
      </c>
      <c r="AJ1401" t="str">
        <f>IF([3]Entry!$L$1404="","",[3]Entry!$L$1404)</f>
        <v/>
      </c>
      <c r="AK1401" t="str">
        <f>IF([3]Entry!$M$1404="","",[3]Entry!$M$1404)</f>
        <v/>
      </c>
      <c r="AL1401" t="str">
        <f>IF([3]Entry!$N$1404="","",[3]Entry!$N$1404)</f>
        <v/>
      </c>
      <c r="AM1401" t="str">
        <f>IF([3]Entry!$R$1404="","",[3]Entry!$R$1404)</f>
        <v/>
      </c>
    </row>
    <row r="1402" spans="20:39" x14ac:dyDescent="0.2">
      <c r="T1402" t="str">
        <f>IF([2]Baskol!$B$1405="","",[2]Baskol!$B$1405)</f>
        <v/>
      </c>
      <c r="U1402" t="str">
        <f>IF([2]Baskol!$C$1405="","",[2]Baskol!$C$1405)</f>
        <v/>
      </c>
      <c r="V1402" t="str">
        <f>IF([2]Baskol!$D$1405="","",[2]Baskol!$D$1405)</f>
        <v/>
      </c>
      <c r="W1402" t="str">
        <f>IF([2]Baskol!$E$1405="","",[2]Baskol!$E$1405)</f>
        <v/>
      </c>
      <c r="X1402" t="str">
        <f>IF([2]Baskol!$G$1405="","",[2]Baskol!$G$1405)</f>
        <v/>
      </c>
      <c r="Y1402" t="str">
        <f>IF([2]Baskol!$I$1405="","",[2]Baskol!$I$1405)</f>
        <v/>
      </c>
      <c r="Z1402" t="str">
        <f>IF([2]Baskol!$J$1405="","",[2]Baskol!$J$1405)</f>
        <v/>
      </c>
      <c r="AA1402" t="str">
        <f>IF([2]Baskol!$K$1405="","",[2]Baskol!$K$1405)</f>
        <v/>
      </c>
      <c r="AB1402" t="str">
        <f>IF([2]Baskol!$L$1405="","",[2]Baskol!$L$1405)</f>
        <v/>
      </c>
      <c r="AC1402" t="str">
        <f>IF([2]Baskol!$N$1405="","",[2]Baskol!$N$1405)</f>
        <v/>
      </c>
      <c r="AD1402" t="str">
        <f>IF([2]Baskol!$O$1405="","",[2]Baskol!$O$1405)</f>
        <v/>
      </c>
      <c r="AE1402" t="str">
        <f>IF([3]Entry!$C$1405="","",[3]Entry!$C$1405)</f>
        <v/>
      </c>
      <c r="AF1402" t="str">
        <f>IF([3]Entry!$D$1405="","",[3]Entry!$D$1405)</f>
        <v/>
      </c>
      <c r="AG1402" t="str">
        <f>IF([3]Entry!$E$1405="","",[3]Entry!$E$1405)</f>
        <v/>
      </c>
      <c r="AH1402" t="str">
        <f>IF([3]Entry!$G$1405="","",[3]Entry!$G$1405)</f>
        <v/>
      </c>
      <c r="AI1402" t="str">
        <f>IF([3]Entry!$K$1405="","",[3]Entry!$K$1405)</f>
        <v/>
      </c>
      <c r="AJ1402" t="str">
        <f>IF([3]Entry!$L$1405="","",[3]Entry!$L$1405)</f>
        <v/>
      </c>
      <c r="AK1402" t="str">
        <f>IF([3]Entry!$M$1405="","",[3]Entry!$M$1405)</f>
        <v/>
      </c>
      <c r="AL1402" t="str">
        <f>IF([3]Entry!$N$1405="","",[3]Entry!$N$1405)</f>
        <v/>
      </c>
      <c r="AM1402" t="str">
        <f>IF([3]Entry!$R$1405="","",[3]Entry!$R$1405)</f>
        <v/>
      </c>
    </row>
    <row r="1403" spans="20:39" x14ac:dyDescent="0.2">
      <c r="T1403" t="str">
        <f>IF([2]Baskol!$B$1406="","",[2]Baskol!$B$1406)</f>
        <v/>
      </c>
      <c r="U1403" t="str">
        <f>IF([2]Baskol!$C$1406="","",[2]Baskol!$C$1406)</f>
        <v/>
      </c>
      <c r="V1403" t="str">
        <f>IF([2]Baskol!$D$1406="","",[2]Baskol!$D$1406)</f>
        <v/>
      </c>
      <c r="W1403" t="str">
        <f>IF([2]Baskol!$E$1406="","",[2]Baskol!$E$1406)</f>
        <v/>
      </c>
      <c r="X1403" t="str">
        <f>IF([2]Baskol!$G$1406="","",[2]Baskol!$G$1406)</f>
        <v/>
      </c>
      <c r="Y1403" t="str">
        <f>IF([2]Baskol!$I$1406="","",[2]Baskol!$I$1406)</f>
        <v/>
      </c>
      <c r="Z1403" t="str">
        <f>IF([2]Baskol!$J$1406="","",[2]Baskol!$J$1406)</f>
        <v/>
      </c>
      <c r="AA1403" t="str">
        <f>IF([2]Baskol!$K$1406="","",[2]Baskol!$K$1406)</f>
        <v/>
      </c>
      <c r="AB1403" t="str">
        <f>IF([2]Baskol!$L$1406="","",[2]Baskol!$L$1406)</f>
        <v/>
      </c>
      <c r="AC1403" t="str">
        <f>IF([2]Baskol!$N$1406="","",[2]Baskol!$N$1406)</f>
        <v/>
      </c>
      <c r="AD1403" t="str">
        <f>IF([2]Baskol!$O$1406="","",[2]Baskol!$O$1406)</f>
        <v/>
      </c>
      <c r="AE1403" t="str">
        <f>IF([3]Entry!$C$1406="","",[3]Entry!$C$1406)</f>
        <v/>
      </c>
      <c r="AF1403" t="str">
        <f>IF([3]Entry!$D$1406="","",[3]Entry!$D$1406)</f>
        <v/>
      </c>
      <c r="AG1403" t="str">
        <f>IF([3]Entry!$E$1406="","",[3]Entry!$E$1406)</f>
        <v/>
      </c>
      <c r="AH1403" t="str">
        <f>IF([3]Entry!$G$1406="","",[3]Entry!$G$1406)</f>
        <v/>
      </c>
      <c r="AI1403" t="str">
        <f>IF([3]Entry!$K$1406="","",[3]Entry!$K$1406)</f>
        <v/>
      </c>
      <c r="AJ1403" t="str">
        <f>IF([3]Entry!$L$1406="","",[3]Entry!$L$1406)</f>
        <v/>
      </c>
      <c r="AK1403" t="str">
        <f>IF([3]Entry!$M$1406="","",[3]Entry!$M$1406)</f>
        <v/>
      </c>
      <c r="AL1403" t="str">
        <f>IF([3]Entry!$N$1406="","",[3]Entry!$N$1406)</f>
        <v/>
      </c>
      <c r="AM1403" t="str">
        <f>IF([3]Entry!$R$1406="","",[3]Entry!$R$1406)</f>
        <v/>
      </c>
    </row>
    <row r="1404" spans="20:39" x14ac:dyDescent="0.2">
      <c r="T1404" t="str">
        <f>IF([2]Baskol!$B$1407="","",[2]Baskol!$B$1407)</f>
        <v/>
      </c>
      <c r="U1404" t="str">
        <f>IF([2]Baskol!$C$1407="","",[2]Baskol!$C$1407)</f>
        <v/>
      </c>
      <c r="V1404" t="str">
        <f>IF([2]Baskol!$D$1407="","",[2]Baskol!$D$1407)</f>
        <v/>
      </c>
      <c r="W1404" t="str">
        <f>IF([2]Baskol!$E$1407="","",[2]Baskol!$E$1407)</f>
        <v/>
      </c>
      <c r="X1404" t="str">
        <f>IF([2]Baskol!$G$1407="","",[2]Baskol!$G$1407)</f>
        <v/>
      </c>
      <c r="Y1404" t="str">
        <f>IF([2]Baskol!$I$1407="","",[2]Baskol!$I$1407)</f>
        <v/>
      </c>
      <c r="Z1404" t="str">
        <f>IF([2]Baskol!$J$1407="","",[2]Baskol!$J$1407)</f>
        <v/>
      </c>
      <c r="AA1404" t="str">
        <f>IF([2]Baskol!$K$1407="","",[2]Baskol!$K$1407)</f>
        <v/>
      </c>
      <c r="AB1404" t="str">
        <f>IF([2]Baskol!$L$1407="","",[2]Baskol!$L$1407)</f>
        <v/>
      </c>
      <c r="AC1404" t="str">
        <f>IF([2]Baskol!$N$1407="","",[2]Baskol!$N$1407)</f>
        <v/>
      </c>
      <c r="AD1404" t="str">
        <f>IF([2]Baskol!$O$1407="","",[2]Baskol!$O$1407)</f>
        <v/>
      </c>
      <c r="AE1404" t="str">
        <f>IF([3]Entry!$C$1407="","",[3]Entry!$C$1407)</f>
        <v/>
      </c>
      <c r="AF1404" t="str">
        <f>IF([3]Entry!$D$1407="","",[3]Entry!$D$1407)</f>
        <v/>
      </c>
      <c r="AG1404" t="str">
        <f>IF([3]Entry!$E$1407="","",[3]Entry!$E$1407)</f>
        <v/>
      </c>
      <c r="AH1404" t="str">
        <f>IF([3]Entry!$G$1407="","",[3]Entry!$G$1407)</f>
        <v/>
      </c>
      <c r="AI1404" t="str">
        <f>IF([3]Entry!$K$1407="","",[3]Entry!$K$1407)</f>
        <v/>
      </c>
      <c r="AJ1404" t="str">
        <f>IF([3]Entry!$L$1407="","",[3]Entry!$L$1407)</f>
        <v/>
      </c>
      <c r="AK1404" t="str">
        <f>IF([3]Entry!$M$1407="","",[3]Entry!$M$1407)</f>
        <v/>
      </c>
      <c r="AL1404" t="str">
        <f>IF([3]Entry!$N$1407="","",[3]Entry!$N$1407)</f>
        <v/>
      </c>
      <c r="AM1404" t="str">
        <f>IF([3]Entry!$R$1407="","",[3]Entry!$R$1407)</f>
        <v/>
      </c>
    </row>
    <row r="1405" spans="20:39" x14ac:dyDescent="0.2">
      <c r="T1405" t="str">
        <f>IF([2]Baskol!$B$1408="","",[2]Baskol!$B$1408)</f>
        <v/>
      </c>
      <c r="U1405" t="str">
        <f>IF([2]Baskol!$C$1408="","",[2]Baskol!$C$1408)</f>
        <v/>
      </c>
      <c r="V1405" t="str">
        <f>IF([2]Baskol!$D$1408="","",[2]Baskol!$D$1408)</f>
        <v/>
      </c>
      <c r="W1405" t="str">
        <f>IF([2]Baskol!$E$1408="","",[2]Baskol!$E$1408)</f>
        <v/>
      </c>
      <c r="X1405" t="str">
        <f>IF([2]Baskol!$G$1408="","",[2]Baskol!$G$1408)</f>
        <v/>
      </c>
      <c r="Y1405" t="str">
        <f>IF([2]Baskol!$I$1408="","",[2]Baskol!$I$1408)</f>
        <v/>
      </c>
      <c r="Z1405" t="str">
        <f>IF([2]Baskol!$J$1408="","",[2]Baskol!$J$1408)</f>
        <v/>
      </c>
      <c r="AA1405" t="str">
        <f>IF([2]Baskol!$K$1408="","",[2]Baskol!$K$1408)</f>
        <v/>
      </c>
      <c r="AB1405" t="str">
        <f>IF([2]Baskol!$L$1408="","",[2]Baskol!$L$1408)</f>
        <v/>
      </c>
      <c r="AC1405" t="str">
        <f>IF([2]Baskol!$N$1408="","",[2]Baskol!$N$1408)</f>
        <v/>
      </c>
      <c r="AD1405" t="str">
        <f>IF([2]Baskol!$O$1408="","",[2]Baskol!$O$1408)</f>
        <v/>
      </c>
      <c r="AE1405" t="str">
        <f>IF([3]Entry!$C$1408="","",[3]Entry!$C$1408)</f>
        <v/>
      </c>
      <c r="AF1405" t="str">
        <f>IF([3]Entry!$D$1408="","",[3]Entry!$D$1408)</f>
        <v/>
      </c>
      <c r="AG1405" t="str">
        <f>IF([3]Entry!$E$1408="","",[3]Entry!$E$1408)</f>
        <v/>
      </c>
      <c r="AH1405" t="str">
        <f>IF([3]Entry!$G$1408="","",[3]Entry!$G$1408)</f>
        <v/>
      </c>
      <c r="AI1405" t="str">
        <f>IF([3]Entry!$K$1408="","",[3]Entry!$K$1408)</f>
        <v/>
      </c>
      <c r="AJ1405" t="str">
        <f>IF([3]Entry!$L$1408="","",[3]Entry!$L$1408)</f>
        <v/>
      </c>
      <c r="AK1405" t="str">
        <f>IF([3]Entry!$M$1408="","",[3]Entry!$M$1408)</f>
        <v/>
      </c>
      <c r="AL1405" t="str">
        <f>IF([3]Entry!$N$1408="","",[3]Entry!$N$1408)</f>
        <v/>
      </c>
      <c r="AM1405" t="str">
        <f>IF([3]Entry!$R$1408="","",[3]Entry!$R$1408)</f>
        <v/>
      </c>
    </row>
    <row r="1406" spans="20:39" x14ac:dyDescent="0.2">
      <c r="T1406" t="str">
        <f>IF([2]Baskol!$B$1409="","",[2]Baskol!$B$1409)</f>
        <v/>
      </c>
      <c r="U1406" t="str">
        <f>IF([2]Baskol!$C$1409="","",[2]Baskol!$C$1409)</f>
        <v/>
      </c>
      <c r="V1406" t="str">
        <f>IF([2]Baskol!$D$1409="","",[2]Baskol!$D$1409)</f>
        <v/>
      </c>
      <c r="W1406" t="str">
        <f>IF([2]Baskol!$E$1409="","",[2]Baskol!$E$1409)</f>
        <v/>
      </c>
      <c r="X1406" t="str">
        <f>IF([2]Baskol!$G$1409="","",[2]Baskol!$G$1409)</f>
        <v/>
      </c>
      <c r="Y1406" t="str">
        <f>IF([2]Baskol!$I$1409="","",[2]Baskol!$I$1409)</f>
        <v/>
      </c>
      <c r="Z1406" t="str">
        <f>IF([2]Baskol!$J$1409="","",[2]Baskol!$J$1409)</f>
        <v/>
      </c>
      <c r="AA1406" t="str">
        <f>IF([2]Baskol!$K$1409="","",[2]Baskol!$K$1409)</f>
        <v/>
      </c>
      <c r="AB1406" t="str">
        <f>IF([2]Baskol!$L$1409="","",[2]Baskol!$L$1409)</f>
        <v/>
      </c>
      <c r="AC1406" t="str">
        <f>IF([2]Baskol!$N$1409="","",[2]Baskol!$N$1409)</f>
        <v/>
      </c>
      <c r="AD1406" t="str">
        <f>IF([2]Baskol!$O$1409="","",[2]Baskol!$O$1409)</f>
        <v/>
      </c>
      <c r="AE1406" t="str">
        <f>IF([3]Entry!$C$1409="","",[3]Entry!$C$1409)</f>
        <v/>
      </c>
      <c r="AF1406" t="str">
        <f>IF([3]Entry!$D$1409="","",[3]Entry!$D$1409)</f>
        <v/>
      </c>
      <c r="AG1406" t="str">
        <f>IF([3]Entry!$E$1409="","",[3]Entry!$E$1409)</f>
        <v/>
      </c>
      <c r="AH1406" t="str">
        <f>IF([3]Entry!$G$1409="","",[3]Entry!$G$1409)</f>
        <v/>
      </c>
      <c r="AI1406" t="str">
        <f>IF([3]Entry!$K$1409="","",[3]Entry!$K$1409)</f>
        <v/>
      </c>
      <c r="AJ1406" t="str">
        <f>IF([3]Entry!$L$1409="","",[3]Entry!$L$1409)</f>
        <v/>
      </c>
      <c r="AK1406" t="str">
        <f>IF([3]Entry!$M$1409="","",[3]Entry!$M$1409)</f>
        <v/>
      </c>
      <c r="AL1406" t="str">
        <f>IF([3]Entry!$N$1409="","",[3]Entry!$N$1409)</f>
        <v/>
      </c>
      <c r="AM1406" t="str">
        <f>IF([3]Entry!$R$1409="","",[3]Entry!$R$1409)</f>
        <v/>
      </c>
    </row>
    <row r="1407" spans="20:39" x14ac:dyDescent="0.2">
      <c r="T1407" t="str">
        <f>IF([2]Baskol!$B$1410="","",[2]Baskol!$B$1410)</f>
        <v/>
      </c>
      <c r="U1407" t="str">
        <f>IF([2]Baskol!$C$1410="","",[2]Baskol!$C$1410)</f>
        <v/>
      </c>
      <c r="V1407" t="str">
        <f>IF([2]Baskol!$D$1410="","",[2]Baskol!$D$1410)</f>
        <v/>
      </c>
      <c r="W1407" t="str">
        <f>IF([2]Baskol!$E$1410="","",[2]Baskol!$E$1410)</f>
        <v/>
      </c>
      <c r="X1407" t="str">
        <f>IF([2]Baskol!$G$1410="","",[2]Baskol!$G$1410)</f>
        <v/>
      </c>
      <c r="Y1407" t="str">
        <f>IF([2]Baskol!$I$1410="","",[2]Baskol!$I$1410)</f>
        <v/>
      </c>
      <c r="Z1407" t="str">
        <f>IF([2]Baskol!$J$1410="","",[2]Baskol!$J$1410)</f>
        <v/>
      </c>
      <c r="AA1407" t="str">
        <f>IF([2]Baskol!$K$1410="","",[2]Baskol!$K$1410)</f>
        <v/>
      </c>
      <c r="AB1407" t="str">
        <f>IF([2]Baskol!$L$1410="","",[2]Baskol!$L$1410)</f>
        <v/>
      </c>
      <c r="AC1407" t="str">
        <f>IF([2]Baskol!$N$1410="","",[2]Baskol!$N$1410)</f>
        <v/>
      </c>
      <c r="AD1407" t="str">
        <f>IF([2]Baskol!$O$1410="","",[2]Baskol!$O$1410)</f>
        <v/>
      </c>
      <c r="AE1407" t="str">
        <f>IF([3]Entry!$C$1410="","",[3]Entry!$C$1410)</f>
        <v/>
      </c>
      <c r="AF1407" t="str">
        <f>IF([3]Entry!$D$1410="","",[3]Entry!$D$1410)</f>
        <v/>
      </c>
      <c r="AG1407" t="str">
        <f>IF([3]Entry!$E$1410="","",[3]Entry!$E$1410)</f>
        <v/>
      </c>
      <c r="AH1407" t="str">
        <f>IF([3]Entry!$G$1410="","",[3]Entry!$G$1410)</f>
        <v/>
      </c>
      <c r="AI1407" t="str">
        <f>IF([3]Entry!$K$1410="","",[3]Entry!$K$1410)</f>
        <v/>
      </c>
      <c r="AJ1407" t="str">
        <f>IF([3]Entry!$L$1410="","",[3]Entry!$L$1410)</f>
        <v/>
      </c>
      <c r="AK1407" t="str">
        <f>IF([3]Entry!$M$1410="","",[3]Entry!$M$1410)</f>
        <v/>
      </c>
      <c r="AL1407" t="str">
        <f>IF([3]Entry!$N$1410="","",[3]Entry!$N$1410)</f>
        <v/>
      </c>
      <c r="AM1407" t="str">
        <f>IF([3]Entry!$R$1410="","",[3]Entry!$R$1410)</f>
        <v/>
      </c>
    </row>
    <row r="1408" spans="20:39" x14ac:dyDescent="0.2">
      <c r="T1408" t="str">
        <f>IF([2]Baskol!$B$1411="","",[2]Baskol!$B$1411)</f>
        <v/>
      </c>
      <c r="U1408" t="str">
        <f>IF([2]Baskol!$C$1411="","",[2]Baskol!$C$1411)</f>
        <v/>
      </c>
      <c r="V1408" t="str">
        <f>IF([2]Baskol!$D$1411="","",[2]Baskol!$D$1411)</f>
        <v/>
      </c>
      <c r="W1408" t="str">
        <f>IF([2]Baskol!$E$1411="","",[2]Baskol!$E$1411)</f>
        <v/>
      </c>
      <c r="X1408" t="str">
        <f>IF([2]Baskol!$G$1411="","",[2]Baskol!$G$1411)</f>
        <v/>
      </c>
      <c r="Y1408" t="str">
        <f>IF([2]Baskol!$I$1411="","",[2]Baskol!$I$1411)</f>
        <v/>
      </c>
      <c r="Z1408" t="str">
        <f>IF([2]Baskol!$J$1411="","",[2]Baskol!$J$1411)</f>
        <v/>
      </c>
      <c r="AA1408" t="str">
        <f>IF([2]Baskol!$K$1411="","",[2]Baskol!$K$1411)</f>
        <v/>
      </c>
      <c r="AB1408" t="str">
        <f>IF([2]Baskol!$L$1411="","",[2]Baskol!$L$1411)</f>
        <v/>
      </c>
      <c r="AC1408" t="str">
        <f>IF([2]Baskol!$N$1411="","",[2]Baskol!$N$1411)</f>
        <v/>
      </c>
      <c r="AD1408" t="str">
        <f>IF([2]Baskol!$O$1411="","",[2]Baskol!$O$1411)</f>
        <v/>
      </c>
      <c r="AE1408" t="str">
        <f>IF([3]Entry!$C$1411="","",[3]Entry!$C$1411)</f>
        <v/>
      </c>
      <c r="AF1408" t="str">
        <f>IF([3]Entry!$D$1411="","",[3]Entry!$D$1411)</f>
        <v/>
      </c>
      <c r="AG1408" t="str">
        <f>IF([3]Entry!$E$1411="","",[3]Entry!$E$1411)</f>
        <v/>
      </c>
      <c r="AH1408" t="str">
        <f>IF([3]Entry!$G$1411="","",[3]Entry!$G$1411)</f>
        <v/>
      </c>
      <c r="AI1408" t="str">
        <f>IF([3]Entry!$K$1411="","",[3]Entry!$K$1411)</f>
        <v/>
      </c>
      <c r="AJ1408" t="str">
        <f>IF([3]Entry!$L$1411="","",[3]Entry!$L$1411)</f>
        <v/>
      </c>
      <c r="AK1408" t="str">
        <f>IF([3]Entry!$M$1411="","",[3]Entry!$M$1411)</f>
        <v/>
      </c>
      <c r="AL1408" t="str">
        <f>IF([3]Entry!$N$1411="","",[3]Entry!$N$1411)</f>
        <v/>
      </c>
      <c r="AM1408" t="str">
        <f>IF([3]Entry!$R$1411="","",[3]Entry!$R$1411)</f>
        <v/>
      </c>
    </row>
    <row r="1409" spans="20:39" x14ac:dyDescent="0.2">
      <c r="T1409" t="str">
        <f>IF([2]Baskol!$B$1412="","",[2]Baskol!$B$1412)</f>
        <v/>
      </c>
      <c r="U1409" t="str">
        <f>IF([2]Baskol!$C$1412="","",[2]Baskol!$C$1412)</f>
        <v/>
      </c>
      <c r="V1409" t="str">
        <f>IF([2]Baskol!$D$1412="","",[2]Baskol!$D$1412)</f>
        <v/>
      </c>
      <c r="W1409" t="str">
        <f>IF([2]Baskol!$E$1412="","",[2]Baskol!$E$1412)</f>
        <v/>
      </c>
      <c r="X1409" t="str">
        <f>IF([2]Baskol!$G$1412="","",[2]Baskol!$G$1412)</f>
        <v/>
      </c>
      <c r="Y1409" t="str">
        <f>IF([2]Baskol!$I$1412="","",[2]Baskol!$I$1412)</f>
        <v/>
      </c>
      <c r="Z1409" t="str">
        <f>IF([2]Baskol!$J$1412="","",[2]Baskol!$J$1412)</f>
        <v/>
      </c>
      <c r="AA1409" t="str">
        <f>IF([2]Baskol!$K$1412="","",[2]Baskol!$K$1412)</f>
        <v/>
      </c>
      <c r="AB1409" t="str">
        <f>IF([2]Baskol!$L$1412="","",[2]Baskol!$L$1412)</f>
        <v/>
      </c>
      <c r="AC1409" t="str">
        <f>IF([2]Baskol!$N$1412="","",[2]Baskol!$N$1412)</f>
        <v/>
      </c>
      <c r="AD1409" t="str">
        <f>IF([2]Baskol!$O$1412="","",[2]Baskol!$O$1412)</f>
        <v/>
      </c>
      <c r="AE1409" t="str">
        <f>IF([3]Entry!$C$1412="","",[3]Entry!$C$1412)</f>
        <v/>
      </c>
      <c r="AF1409" t="str">
        <f>IF([3]Entry!$D$1412="","",[3]Entry!$D$1412)</f>
        <v/>
      </c>
      <c r="AG1409" t="str">
        <f>IF([3]Entry!$E$1412="","",[3]Entry!$E$1412)</f>
        <v/>
      </c>
      <c r="AH1409" t="str">
        <f>IF([3]Entry!$G$1412="","",[3]Entry!$G$1412)</f>
        <v/>
      </c>
      <c r="AI1409" t="str">
        <f>IF([3]Entry!$K$1412="","",[3]Entry!$K$1412)</f>
        <v/>
      </c>
      <c r="AJ1409" t="str">
        <f>IF([3]Entry!$L$1412="","",[3]Entry!$L$1412)</f>
        <v/>
      </c>
      <c r="AK1409" t="str">
        <f>IF([3]Entry!$M$1412="","",[3]Entry!$M$1412)</f>
        <v/>
      </c>
      <c r="AL1409" t="str">
        <f>IF([3]Entry!$N$1412="","",[3]Entry!$N$1412)</f>
        <v/>
      </c>
      <c r="AM1409" t="str">
        <f>IF([3]Entry!$R$1412="","",[3]Entry!$R$1412)</f>
        <v/>
      </c>
    </row>
    <row r="1410" spans="20:39" x14ac:dyDescent="0.2">
      <c r="T1410" t="str">
        <f>IF([2]Baskol!$B$1413="","",[2]Baskol!$B$1413)</f>
        <v/>
      </c>
      <c r="U1410" t="str">
        <f>IF([2]Baskol!$C$1413="","",[2]Baskol!$C$1413)</f>
        <v/>
      </c>
      <c r="V1410" t="str">
        <f>IF([2]Baskol!$D$1413="","",[2]Baskol!$D$1413)</f>
        <v/>
      </c>
      <c r="W1410" t="str">
        <f>IF([2]Baskol!$E$1413="","",[2]Baskol!$E$1413)</f>
        <v/>
      </c>
      <c r="X1410" t="str">
        <f>IF([2]Baskol!$G$1413="","",[2]Baskol!$G$1413)</f>
        <v/>
      </c>
      <c r="Y1410" t="str">
        <f>IF([2]Baskol!$I$1413="","",[2]Baskol!$I$1413)</f>
        <v/>
      </c>
      <c r="Z1410" t="str">
        <f>IF([2]Baskol!$J$1413="","",[2]Baskol!$J$1413)</f>
        <v/>
      </c>
      <c r="AA1410" t="str">
        <f>IF([2]Baskol!$K$1413="","",[2]Baskol!$K$1413)</f>
        <v/>
      </c>
      <c r="AB1410" t="str">
        <f>IF([2]Baskol!$L$1413="","",[2]Baskol!$L$1413)</f>
        <v/>
      </c>
      <c r="AC1410" t="str">
        <f>IF([2]Baskol!$N$1413="","",[2]Baskol!$N$1413)</f>
        <v/>
      </c>
      <c r="AD1410" t="str">
        <f>IF([2]Baskol!$O$1413="","",[2]Baskol!$O$1413)</f>
        <v/>
      </c>
      <c r="AE1410" t="str">
        <f>IF([3]Entry!$C$1413="","",[3]Entry!$C$1413)</f>
        <v/>
      </c>
      <c r="AF1410" t="str">
        <f>IF([3]Entry!$D$1413="","",[3]Entry!$D$1413)</f>
        <v/>
      </c>
      <c r="AG1410" t="str">
        <f>IF([3]Entry!$E$1413="","",[3]Entry!$E$1413)</f>
        <v/>
      </c>
      <c r="AH1410" t="str">
        <f>IF([3]Entry!$G$1413="","",[3]Entry!$G$1413)</f>
        <v/>
      </c>
      <c r="AI1410" t="str">
        <f>IF([3]Entry!$K$1413="","",[3]Entry!$K$1413)</f>
        <v/>
      </c>
      <c r="AJ1410" t="str">
        <f>IF([3]Entry!$L$1413="","",[3]Entry!$L$1413)</f>
        <v/>
      </c>
      <c r="AK1410" t="str">
        <f>IF([3]Entry!$M$1413="","",[3]Entry!$M$1413)</f>
        <v/>
      </c>
      <c r="AL1410" t="str">
        <f>IF([3]Entry!$N$1413="","",[3]Entry!$N$1413)</f>
        <v/>
      </c>
      <c r="AM1410" t="str">
        <f>IF([3]Entry!$R$1413="","",[3]Entry!$R$1413)</f>
        <v/>
      </c>
    </row>
    <row r="1411" spans="20:39" x14ac:dyDescent="0.2">
      <c r="T1411" t="str">
        <f>IF([2]Baskol!$B$1414="","",[2]Baskol!$B$1414)</f>
        <v/>
      </c>
      <c r="U1411" t="str">
        <f>IF([2]Baskol!$C$1414="","",[2]Baskol!$C$1414)</f>
        <v/>
      </c>
      <c r="V1411" t="str">
        <f>IF([2]Baskol!$D$1414="","",[2]Baskol!$D$1414)</f>
        <v/>
      </c>
      <c r="W1411" t="str">
        <f>IF([2]Baskol!$E$1414="","",[2]Baskol!$E$1414)</f>
        <v/>
      </c>
      <c r="X1411" t="str">
        <f>IF([2]Baskol!$G$1414="","",[2]Baskol!$G$1414)</f>
        <v/>
      </c>
      <c r="Y1411" t="str">
        <f>IF([2]Baskol!$I$1414="","",[2]Baskol!$I$1414)</f>
        <v/>
      </c>
      <c r="Z1411" t="str">
        <f>IF([2]Baskol!$J$1414="","",[2]Baskol!$J$1414)</f>
        <v/>
      </c>
      <c r="AA1411" t="str">
        <f>IF([2]Baskol!$K$1414="","",[2]Baskol!$K$1414)</f>
        <v/>
      </c>
      <c r="AB1411" t="str">
        <f>IF([2]Baskol!$L$1414="","",[2]Baskol!$L$1414)</f>
        <v/>
      </c>
      <c r="AC1411" t="str">
        <f>IF([2]Baskol!$N$1414="","",[2]Baskol!$N$1414)</f>
        <v/>
      </c>
      <c r="AD1411" t="str">
        <f>IF([2]Baskol!$O$1414="","",[2]Baskol!$O$1414)</f>
        <v/>
      </c>
      <c r="AE1411" t="str">
        <f>IF([3]Entry!$C$1414="","",[3]Entry!$C$1414)</f>
        <v/>
      </c>
      <c r="AF1411" t="str">
        <f>IF([3]Entry!$D$1414="","",[3]Entry!$D$1414)</f>
        <v/>
      </c>
      <c r="AG1411" t="str">
        <f>IF([3]Entry!$E$1414="","",[3]Entry!$E$1414)</f>
        <v/>
      </c>
      <c r="AH1411" t="str">
        <f>IF([3]Entry!$G$1414="","",[3]Entry!$G$1414)</f>
        <v/>
      </c>
      <c r="AI1411" t="str">
        <f>IF([3]Entry!$K$1414="","",[3]Entry!$K$1414)</f>
        <v/>
      </c>
      <c r="AJ1411" t="str">
        <f>IF([3]Entry!$L$1414="","",[3]Entry!$L$1414)</f>
        <v/>
      </c>
      <c r="AK1411" t="str">
        <f>IF([3]Entry!$M$1414="","",[3]Entry!$M$1414)</f>
        <v/>
      </c>
      <c r="AL1411" t="str">
        <f>IF([3]Entry!$N$1414="","",[3]Entry!$N$1414)</f>
        <v/>
      </c>
      <c r="AM1411" t="str">
        <f>IF([3]Entry!$R$1414="","",[3]Entry!$R$1414)</f>
        <v/>
      </c>
    </row>
    <row r="1412" spans="20:39" x14ac:dyDescent="0.2">
      <c r="T1412" t="str">
        <f>IF([2]Baskol!$B$1415="","",[2]Baskol!$B$1415)</f>
        <v/>
      </c>
      <c r="U1412" t="str">
        <f>IF([2]Baskol!$C$1415="","",[2]Baskol!$C$1415)</f>
        <v/>
      </c>
      <c r="V1412" t="str">
        <f>IF([2]Baskol!$D$1415="","",[2]Baskol!$D$1415)</f>
        <v/>
      </c>
      <c r="W1412" t="str">
        <f>IF([2]Baskol!$E$1415="","",[2]Baskol!$E$1415)</f>
        <v/>
      </c>
      <c r="X1412" t="str">
        <f>IF([2]Baskol!$G$1415="","",[2]Baskol!$G$1415)</f>
        <v/>
      </c>
      <c r="Y1412" t="str">
        <f>IF([2]Baskol!$I$1415="","",[2]Baskol!$I$1415)</f>
        <v/>
      </c>
      <c r="Z1412" t="str">
        <f>IF([2]Baskol!$J$1415="","",[2]Baskol!$J$1415)</f>
        <v/>
      </c>
      <c r="AA1412" t="str">
        <f>IF([2]Baskol!$K$1415="","",[2]Baskol!$K$1415)</f>
        <v/>
      </c>
      <c r="AB1412" t="str">
        <f>IF([2]Baskol!$L$1415="","",[2]Baskol!$L$1415)</f>
        <v/>
      </c>
      <c r="AC1412" t="str">
        <f>IF([2]Baskol!$N$1415="","",[2]Baskol!$N$1415)</f>
        <v/>
      </c>
      <c r="AD1412" t="str">
        <f>IF([2]Baskol!$O$1415="","",[2]Baskol!$O$1415)</f>
        <v/>
      </c>
      <c r="AE1412" t="str">
        <f>IF([3]Entry!$C$1415="","",[3]Entry!$C$1415)</f>
        <v/>
      </c>
      <c r="AF1412" t="str">
        <f>IF([3]Entry!$D$1415="","",[3]Entry!$D$1415)</f>
        <v/>
      </c>
      <c r="AG1412" t="str">
        <f>IF([3]Entry!$E$1415="","",[3]Entry!$E$1415)</f>
        <v/>
      </c>
      <c r="AH1412" t="str">
        <f>IF([3]Entry!$G$1415="","",[3]Entry!$G$1415)</f>
        <v/>
      </c>
      <c r="AI1412" t="str">
        <f>IF([3]Entry!$K$1415="","",[3]Entry!$K$1415)</f>
        <v/>
      </c>
      <c r="AJ1412" t="str">
        <f>IF([3]Entry!$L$1415="","",[3]Entry!$L$1415)</f>
        <v/>
      </c>
      <c r="AK1412" t="str">
        <f>IF([3]Entry!$M$1415="","",[3]Entry!$M$1415)</f>
        <v/>
      </c>
      <c r="AL1412" t="str">
        <f>IF([3]Entry!$N$1415="","",[3]Entry!$N$1415)</f>
        <v/>
      </c>
      <c r="AM1412" t="str">
        <f>IF([3]Entry!$R$1415="","",[3]Entry!$R$1415)</f>
        <v/>
      </c>
    </row>
    <row r="1413" spans="20:39" x14ac:dyDescent="0.2">
      <c r="T1413" t="str">
        <f>IF([2]Baskol!$B$1416="","",[2]Baskol!$B$1416)</f>
        <v/>
      </c>
      <c r="U1413" t="str">
        <f>IF([2]Baskol!$C$1416="","",[2]Baskol!$C$1416)</f>
        <v/>
      </c>
      <c r="V1413" t="str">
        <f>IF([2]Baskol!$D$1416="","",[2]Baskol!$D$1416)</f>
        <v/>
      </c>
      <c r="W1413" t="str">
        <f>IF([2]Baskol!$E$1416="","",[2]Baskol!$E$1416)</f>
        <v/>
      </c>
      <c r="X1413" t="str">
        <f>IF([2]Baskol!$G$1416="","",[2]Baskol!$G$1416)</f>
        <v/>
      </c>
      <c r="Y1413" t="str">
        <f>IF([2]Baskol!$I$1416="","",[2]Baskol!$I$1416)</f>
        <v/>
      </c>
      <c r="Z1413" t="str">
        <f>IF([2]Baskol!$J$1416="","",[2]Baskol!$J$1416)</f>
        <v/>
      </c>
      <c r="AA1413" t="str">
        <f>IF([2]Baskol!$K$1416="","",[2]Baskol!$K$1416)</f>
        <v/>
      </c>
      <c r="AB1413" t="str">
        <f>IF([2]Baskol!$L$1416="","",[2]Baskol!$L$1416)</f>
        <v/>
      </c>
      <c r="AC1413" t="str">
        <f>IF([2]Baskol!$N$1416="","",[2]Baskol!$N$1416)</f>
        <v/>
      </c>
      <c r="AD1413" t="str">
        <f>IF([2]Baskol!$O$1416="","",[2]Baskol!$O$1416)</f>
        <v/>
      </c>
      <c r="AE1413" t="str">
        <f>IF([3]Entry!$C$1416="","",[3]Entry!$C$1416)</f>
        <v/>
      </c>
      <c r="AF1413" t="str">
        <f>IF([3]Entry!$D$1416="","",[3]Entry!$D$1416)</f>
        <v/>
      </c>
      <c r="AG1413" t="str">
        <f>IF([3]Entry!$E$1416="","",[3]Entry!$E$1416)</f>
        <v/>
      </c>
      <c r="AH1413" t="str">
        <f>IF([3]Entry!$G$1416="","",[3]Entry!$G$1416)</f>
        <v/>
      </c>
      <c r="AI1413" t="str">
        <f>IF([3]Entry!$K$1416="","",[3]Entry!$K$1416)</f>
        <v/>
      </c>
      <c r="AJ1413" t="str">
        <f>IF([3]Entry!$L$1416="","",[3]Entry!$L$1416)</f>
        <v/>
      </c>
      <c r="AK1413" t="str">
        <f>IF([3]Entry!$M$1416="","",[3]Entry!$M$1416)</f>
        <v/>
      </c>
      <c r="AL1413" t="str">
        <f>IF([3]Entry!$N$1416="","",[3]Entry!$N$1416)</f>
        <v/>
      </c>
      <c r="AM1413" t="str">
        <f>IF([3]Entry!$R$1416="","",[3]Entry!$R$1416)</f>
        <v/>
      </c>
    </row>
    <row r="1414" spans="20:39" x14ac:dyDescent="0.2">
      <c r="T1414" t="str">
        <f>IF([2]Baskol!$B$1417="","",[2]Baskol!$B$1417)</f>
        <v/>
      </c>
      <c r="U1414" t="str">
        <f>IF([2]Baskol!$C$1417="","",[2]Baskol!$C$1417)</f>
        <v/>
      </c>
      <c r="V1414" t="str">
        <f>IF([2]Baskol!$D$1417="","",[2]Baskol!$D$1417)</f>
        <v/>
      </c>
      <c r="W1414" t="str">
        <f>IF([2]Baskol!$E$1417="","",[2]Baskol!$E$1417)</f>
        <v/>
      </c>
      <c r="X1414" t="str">
        <f>IF([2]Baskol!$G$1417="","",[2]Baskol!$G$1417)</f>
        <v/>
      </c>
      <c r="Y1414" t="str">
        <f>IF([2]Baskol!$I$1417="","",[2]Baskol!$I$1417)</f>
        <v/>
      </c>
      <c r="Z1414" t="str">
        <f>IF([2]Baskol!$J$1417="","",[2]Baskol!$J$1417)</f>
        <v/>
      </c>
      <c r="AA1414" t="str">
        <f>IF([2]Baskol!$K$1417="","",[2]Baskol!$K$1417)</f>
        <v/>
      </c>
      <c r="AB1414" t="str">
        <f>IF([2]Baskol!$L$1417="","",[2]Baskol!$L$1417)</f>
        <v/>
      </c>
      <c r="AC1414" t="str">
        <f>IF([2]Baskol!$N$1417="","",[2]Baskol!$N$1417)</f>
        <v/>
      </c>
      <c r="AD1414" t="str">
        <f>IF([2]Baskol!$O$1417="","",[2]Baskol!$O$1417)</f>
        <v/>
      </c>
      <c r="AE1414" t="str">
        <f>IF([3]Entry!$C$1417="","",[3]Entry!$C$1417)</f>
        <v/>
      </c>
      <c r="AF1414" t="str">
        <f>IF([3]Entry!$D$1417="","",[3]Entry!$D$1417)</f>
        <v/>
      </c>
      <c r="AG1414" t="str">
        <f>IF([3]Entry!$E$1417="","",[3]Entry!$E$1417)</f>
        <v/>
      </c>
      <c r="AH1414" t="str">
        <f>IF([3]Entry!$G$1417="","",[3]Entry!$G$1417)</f>
        <v/>
      </c>
      <c r="AI1414" t="str">
        <f>IF([3]Entry!$K$1417="","",[3]Entry!$K$1417)</f>
        <v/>
      </c>
      <c r="AJ1414" t="str">
        <f>IF([3]Entry!$L$1417="","",[3]Entry!$L$1417)</f>
        <v/>
      </c>
      <c r="AK1414" t="str">
        <f>IF([3]Entry!$M$1417="","",[3]Entry!$M$1417)</f>
        <v/>
      </c>
      <c r="AL1414" t="str">
        <f>IF([3]Entry!$N$1417="","",[3]Entry!$N$1417)</f>
        <v/>
      </c>
      <c r="AM1414" t="str">
        <f>IF([3]Entry!$R$1417="","",[3]Entry!$R$1417)</f>
        <v/>
      </c>
    </row>
    <row r="1415" spans="20:39" x14ac:dyDescent="0.2">
      <c r="T1415" t="str">
        <f>IF([2]Baskol!$B$1418="","",[2]Baskol!$B$1418)</f>
        <v/>
      </c>
      <c r="U1415" t="str">
        <f>IF([2]Baskol!$C$1418="","",[2]Baskol!$C$1418)</f>
        <v/>
      </c>
      <c r="V1415" t="str">
        <f>IF([2]Baskol!$D$1418="","",[2]Baskol!$D$1418)</f>
        <v/>
      </c>
      <c r="W1415" t="str">
        <f>IF([2]Baskol!$E$1418="","",[2]Baskol!$E$1418)</f>
        <v/>
      </c>
      <c r="X1415" t="str">
        <f>IF([2]Baskol!$G$1418="","",[2]Baskol!$G$1418)</f>
        <v/>
      </c>
      <c r="Y1415" t="str">
        <f>IF([2]Baskol!$I$1418="","",[2]Baskol!$I$1418)</f>
        <v/>
      </c>
      <c r="Z1415" t="str">
        <f>IF([2]Baskol!$J$1418="","",[2]Baskol!$J$1418)</f>
        <v/>
      </c>
      <c r="AA1415" t="str">
        <f>IF([2]Baskol!$K$1418="","",[2]Baskol!$K$1418)</f>
        <v/>
      </c>
      <c r="AB1415" t="str">
        <f>IF([2]Baskol!$L$1418="","",[2]Baskol!$L$1418)</f>
        <v/>
      </c>
      <c r="AC1415" t="str">
        <f>IF([2]Baskol!$N$1418="","",[2]Baskol!$N$1418)</f>
        <v/>
      </c>
      <c r="AD1415" t="str">
        <f>IF([2]Baskol!$O$1418="","",[2]Baskol!$O$1418)</f>
        <v/>
      </c>
      <c r="AE1415" t="str">
        <f>IF([3]Entry!$C$1418="","",[3]Entry!$C$1418)</f>
        <v/>
      </c>
      <c r="AF1415" t="str">
        <f>IF([3]Entry!$D$1418="","",[3]Entry!$D$1418)</f>
        <v/>
      </c>
      <c r="AG1415" t="str">
        <f>IF([3]Entry!$E$1418="","",[3]Entry!$E$1418)</f>
        <v/>
      </c>
      <c r="AH1415" t="str">
        <f>IF([3]Entry!$G$1418="","",[3]Entry!$G$1418)</f>
        <v/>
      </c>
      <c r="AI1415" t="str">
        <f>IF([3]Entry!$K$1418="","",[3]Entry!$K$1418)</f>
        <v/>
      </c>
      <c r="AJ1415" t="str">
        <f>IF([3]Entry!$L$1418="","",[3]Entry!$L$1418)</f>
        <v/>
      </c>
      <c r="AK1415" t="str">
        <f>IF([3]Entry!$M$1418="","",[3]Entry!$M$1418)</f>
        <v/>
      </c>
      <c r="AL1415" t="str">
        <f>IF([3]Entry!$N$1418="","",[3]Entry!$N$1418)</f>
        <v/>
      </c>
      <c r="AM1415" t="str">
        <f>IF([3]Entry!$R$1418="","",[3]Entry!$R$1418)</f>
        <v/>
      </c>
    </row>
    <row r="1416" spans="20:39" x14ac:dyDescent="0.2">
      <c r="T1416" t="str">
        <f>IF([2]Baskol!$B$1419="","",[2]Baskol!$B$1419)</f>
        <v/>
      </c>
      <c r="U1416" t="str">
        <f>IF([2]Baskol!$C$1419="","",[2]Baskol!$C$1419)</f>
        <v/>
      </c>
      <c r="V1416" t="str">
        <f>IF([2]Baskol!$D$1419="","",[2]Baskol!$D$1419)</f>
        <v/>
      </c>
      <c r="W1416" t="str">
        <f>IF([2]Baskol!$E$1419="","",[2]Baskol!$E$1419)</f>
        <v/>
      </c>
      <c r="X1416" t="str">
        <f>IF([2]Baskol!$G$1419="","",[2]Baskol!$G$1419)</f>
        <v/>
      </c>
      <c r="Y1416" t="str">
        <f>IF([2]Baskol!$I$1419="","",[2]Baskol!$I$1419)</f>
        <v/>
      </c>
      <c r="Z1416" t="str">
        <f>IF([2]Baskol!$J$1419="","",[2]Baskol!$J$1419)</f>
        <v/>
      </c>
      <c r="AA1416" t="str">
        <f>IF([2]Baskol!$K$1419="","",[2]Baskol!$K$1419)</f>
        <v/>
      </c>
      <c r="AB1416" t="str">
        <f>IF([2]Baskol!$L$1419="","",[2]Baskol!$L$1419)</f>
        <v/>
      </c>
      <c r="AC1416" t="str">
        <f>IF([2]Baskol!$N$1419="","",[2]Baskol!$N$1419)</f>
        <v/>
      </c>
      <c r="AD1416" t="str">
        <f>IF([2]Baskol!$O$1419="","",[2]Baskol!$O$1419)</f>
        <v/>
      </c>
      <c r="AE1416" t="str">
        <f>IF([3]Entry!$C$1419="","",[3]Entry!$C$1419)</f>
        <v/>
      </c>
      <c r="AF1416" t="str">
        <f>IF([3]Entry!$D$1419="","",[3]Entry!$D$1419)</f>
        <v/>
      </c>
      <c r="AG1416" t="str">
        <f>IF([3]Entry!$E$1419="","",[3]Entry!$E$1419)</f>
        <v/>
      </c>
      <c r="AH1416" t="str">
        <f>IF([3]Entry!$G$1419="","",[3]Entry!$G$1419)</f>
        <v/>
      </c>
      <c r="AI1416" t="str">
        <f>IF([3]Entry!$K$1419="","",[3]Entry!$K$1419)</f>
        <v/>
      </c>
      <c r="AJ1416" t="str">
        <f>IF([3]Entry!$L$1419="","",[3]Entry!$L$1419)</f>
        <v/>
      </c>
      <c r="AK1416" t="str">
        <f>IF([3]Entry!$M$1419="","",[3]Entry!$M$1419)</f>
        <v/>
      </c>
      <c r="AL1416" t="str">
        <f>IF([3]Entry!$N$1419="","",[3]Entry!$N$1419)</f>
        <v/>
      </c>
      <c r="AM1416" t="str">
        <f>IF([3]Entry!$R$1419="","",[3]Entry!$R$1419)</f>
        <v/>
      </c>
    </row>
    <row r="1417" spans="20:39" x14ac:dyDescent="0.2">
      <c r="T1417" t="str">
        <f>IF([2]Baskol!$B$1420="","",[2]Baskol!$B$1420)</f>
        <v/>
      </c>
      <c r="U1417" t="str">
        <f>IF([2]Baskol!$C$1420="","",[2]Baskol!$C$1420)</f>
        <v/>
      </c>
      <c r="V1417" t="str">
        <f>IF([2]Baskol!$D$1420="","",[2]Baskol!$D$1420)</f>
        <v/>
      </c>
      <c r="W1417" t="str">
        <f>IF([2]Baskol!$E$1420="","",[2]Baskol!$E$1420)</f>
        <v/>
      </c>
      <c r="X1417" t="str">
        <f>IF([2]Baskol!$G$1420="","",[2]Baskol!$G$1420)</f>
        <v/>
      </c>
      <c r="Y1417" t="str">
        <f>IF([2]Baskol!$I$1420="","",[2]Baskol!$I$1420)</f>
        <v/>
      </c>
      <c r="Z1417" t="str">
        <f>IF([2]Baskol!$J$1420="","",[2]Baskol!$J$1420)</f>
        <v/>
      </c>
      <c r="AA1417" t="str">
        <f>IF([2]Baskol!$K$1420="","",[2]Baskol!$K$1420)</f>
        <v/>
      </c>
      <c r="AB1417" t="str">
        <f>IF([2]Baskol!$L$1420="","",[2]Baskol!$L$1420)</f>
        <v/>
      </c>
      <c r="AC1417" t="str">
        <f>IF([2]Baskol!$N$1420="","",[2]Baskol!$N$1420)</f>
        <v/>
      </c>
      <c r="AD1417" t="str">
        <f>IF([2]Baskol!$O$1420="","",[2]Baskol!$O$1420)</f>
        <v/>
      </c>
      <c r="AE1417" t="str">
        <f>IF([3]Entry!$C$1420="","",[3]Entry!$C$1420)</f>
        <v/>
      </c>
      <c r="AF1417" t="str">
        <f>IF([3]Entry!$D$1420="","",[3]Entry!$D$1420)</f>
        <v/>
      </c>
      <c r="AG1417" t="str">
        <f>IF([3]Entry!$E$1420="","",[3]Entry!$E$1420)</f>
        <v/>
      </c>
      <c r="AH1417" t="str">
        <f>IF([3]Entry!$G$1420="","",[3]Entry!$G$1420)</f>
        <v/>
      </c>
      <c r="AI1417" t="str">
        <f>IF([3]Entry!$K$1420="","",[3]Entry!$K$1420)</f>
        <v/>
      </c>
      <c r="AJ1417" t="str">
        <f>IF([3]Entry!$L$1420="","",[3]Entry!$L$1420)</f>
        <v/>
      </c>
      <c r="AK1417" t="str">
        <f>IF([3]Entry!$M$1420="","",[3]Entry!$M$1420)</f>
        <v/>
      </c>
      <c r="AL1417" t="str">
        <f>IF([3]Entry!$N$1420="","",[3]Entry!$N$1420)</f>
        <v/>
      </c>
      <c r="AM1417" t="str">
        <f>IF([3]Entry!$R$1420="","",[3]Entry!$R$1420)</f>
        <v/>
      </c>
    </row>
    <row r="1418" spans="20:39" x14ac:dyDescent="0.2">
      <c r="T1418" t="str">
        <f>IF([2]Baskol!$B$1421="","",[2]Baskol!$B$1421)</f>
        <v/>
      </c>
      <c r="U1418" t="str">
        <f>IF([2]Baskol!$C$1421="","",[2]Baskol!$C$1421)</f>
        <v/>
      </c>
      <c r="V1418" t="str">
        <f>IF([2]Baskol!$D$1421="","",[2]Baskol!$D$1421)</f>
        <v/>
      </c>
      <c r="W1418" t="str">
        <f>IF([2]Baskol!$E$1421="","",[2]Baskol!$E$1421)</f>
        <v/>
      </c>
      <c r="X1418" t="str">
        <f>IF([2]Baskol!$G$1421="","",[2]Baskol!$G$1421)</f>
        <v/>
      </c>
      <c r="Y1418" t="str">
        <f>IF([2]Baskol!$I$1421="","",[2]Baskol!$I$1421)</f>
        <v/>
      </c>
      <c r="Z1418" t="str">
        <f>IF([2]Baskol!$J$1421="","",[2]Baskol!$J$1421)</f>
        <v/>
      </c>
      <c r="AA1418" t="str">
        <f>IF([2]Baskol!$K$1421="","",[2]Baskol!$K$1421)</f>
        <v/>
      </c>
      <c r="AB1418" t="str">
        <f>IF([2]Baskol!$L$1421="","",[2]Baskol!$L$1421)</f>
        <v/>
      </c>
      <c r="AC1418" t="str">
        <f>IF([2]Baskol!$N$1421="","",[2]Baskol!$N$1421)</f>
        <v/>
      </c>
      <c r="AD1418" t="str">
        <f>IF([2]Baskol!$O$1421="","",[2]Baskol!$O$1421)</f>
        <v/>
      </c>
      <c r="AE1418" t="str">
        <f>IF([3]Entry!$C$1421="","",[3]Entry!$C$1421)</f>
        <v/>
      </c>
      <c r="AF1418" t="str">
        <f>IF([3]Entry!$D$1421="","",[3]Entry!$D$1421)</f>
        <v/>
      </c>
      <c r="AG1418" t="str">
        <f>IF([3]Entry!$E$1421="","",[3]Entry!$E$1421)</f>
        <v/>
      </c>
      <c r="AH1418" t="str">
        <f>IF([3]Entry!$G$1421="","",[3]Entry!$G$1421)</f>
        <v/>
      </c>
      <c r="AI1418" t="str">
        <f>IF([3]Entry!$K$1421="","",[3]Entry!$K$1421)</f>
        <v/>
      </c>
      <c r="AJ1418" t="str">
        <f>IF([3]Entry!$L$1421="","",[3]Entry!$L$1421)</f>
        <v/>
      </c>
      <c r="AK1418" t="str">
        <f>IF([3]Entry!$M$1421="","",[3]Entry!$M$1421)</f>
        <v/>
      </c>
      <c r="AL1418" t="str">
        <f>IF([3]Entry!$N$1421="","",[3]Entry!$N$1421)</f>
        <v/>
      </c>
      <c r="AM1418" t="str">
        <f>IF([3]Entry!$R$1421="","",[3]Entry!$R$1421)</f>
        <v/>
      </c>
    </row>
    <row r="1419" spans="20:39" x14ac:dyDescent="0.2">
      <c r="T1419" t="str">
        <f>IF([2]Baskol!$B$1422="","",[2]Baskol!$B$1422)</f>
        <v/>
      </c>
      <c r="U1419" t="str">
        <f>IF([2]Baskol!$C$1422="","",[2]Baskol!$C$1422)</f>
        <v/>
      </c>
      <c r="V1419" t="str">
        <f>IF([2]Baskol!$D$1422="","",[2]Baskol!$D$1422)</f>
        <v/>
      </c>
      <c r="W1419" t="str">
        <f>IF([2]Baskol!$E$1422="","",[2]Baskol!$E$1422)</f>
        <v/>
      </c>
      <c r="X1419" t="str">
        <f>IF([2]Baskol!$G$1422="","",[2]Baskol!$G$1422)</f>
        <v/>
      </c>
      <c r="Y1419" t="str">
        <f>IF([2]Baskol!$I$1422="","",[2]Baskol!$I$1422)</f>
        <v/>
      </c>
      <c r="Z1419" t="str">
        <f>IF([2]Baskol!$J$1422="","",[2]Baskol!$J$1422)</f>
        <v/>
      </c>
      <c r="AA1419" t="str">
        <f>IF([2]Baskol!$K$1422="","",[2]Baskol!$K$1422)</f>
        <v/>
      </c>
      <c r="AB1419" t="str">
        <f>IF([2]Baskol!$L$1422="","",[2]Baskol!$L$1422)</f>
        <v/>
      </c>
      <c r="AC1419" t="str">
        <f>IF([2]Baskol!$N$1422="","",[2]Baskol!$N$1422)</f>
        <v/>
      </c>
      <c r="AD1419" t="str">
        <f>IF([2]Baskol!$O$1422="","",[2]Baskol!$O$1422)</f>
        <v/>
      </c>
      <c r="AE1419" t="str">
        <f>IF([3]Entry!$C$1422="","",[3]Entry!$C$1422)</f>
        <v/>
      </c>
      <c r="AF1419" t="str">
        <f>IF([3]Entry!$D$1422="","",[3]Entry!$D$1422)</f>
        <v/>
      </c>
      <c r="AG1419" t="str">
        <f>IF([3]Entry!$E$1422="","",[3]Entry!$E$1422)</f>
        <v/>
      </c>
      <c r="AH1419" t="str">
        <f>IF([3]Entry!$G$1422="","",[3]Entry!$G$1422)</f>
        <v/>
      </c>
      <c r="AI1419" t="str">
        <f>IF([3]Entry!$K$1422="","",[3]Entry!$K$1422)</f>
        <v/>
      </c>
      <c r="AJ1419" t="str">
        <f>IF([3]Entry!$L$1422="","",[3]Entry!$L$1422)</f>
        <v/>
      </c>
      <c r="AK1419" t="str">
        <f>IF([3]Entry!$M$1422="","",[3]Entry!$M$1422)</f>
        <v/>
      </c>
      <c r="AL1419" t="str">
        <f>IF([3]Entry!$N$1422="","",[3]Entry!$N$1422)</f>
        <v/>
      </c>
      <c r="AM1419" t="str">
        <f>IF([3]Entry!$R$1422="","",[3]Entry!$R$1422)</f>
        <v/>
      </c>
    </row>
    <row r="1420" spans="20:39" x14ac:dyDescent="0.2">
      <c r="T1420" t="str">
        <f>IF([2]Baskol!$B$1423="","",[2]Baskol!$B$1423)</f>
        <v/>
      </c>
      <c r="U1420" t="str">
        <f>IF([2]Baskol!$C$1423="","",[2]Baskol!$C$1423)</f>
        <v/>
      </c>
      <c r="V1420" t="str">
        <f>IF([2]Baskol!$D$1423="","",[2]Baskol!$D$1423)</f>
        <v/>
      </c>
      <c r="W1420" t="str">
        <f>IF([2]Baskol!$E$1423="","",[2]Baskol!$E$1423)</f>
        <v/>
      </c>
      <c r="X1420" t="str">
        <f>IF([2]Baskol!$G$1423="","",[2]Baskol!$G$1423)</f>
        <v/>
      </c>
      <c r="Y1420" t="str">
        <f>IF([2]Baskol!$I$1423="","",[2]Baskol!$I$1423)</f>
        <v/>
      </c>
      <c r="Z1420" t="str">
        <f>IF([2]Baskol!$J$1423="","",[2]Baskol!$J$1423)</f>
        <v/>
      </c>
      <c r="AA1420" t="str">
        <f>IF([2]Baskol!$K$1423="","",[2]Baskol!$K$1423)</f>
        <v/>
      </c>
      <c r="AB1420" t="str">
        <f>IF([2]Baskol!$L$1423="","",[2]Baskol!$L$1423)</f>
        <v/>
      </c>
      <c r="AC1420" t="str">
        <f>IF([2]Baskol!$N$1423="","",[2]Baskol!$N$1423)</f>
        <v/>
      </c>
      <c r="AD1420" t="str">
        <f>IF([2]Baskol!$O$1423="","",[2]Baskol!$O$1423)</f>
        <v/>
      </c>
      <c r="AE1420" t="str">
        <f>IF([3]Entry!$C$1423="","",[3]Entry!$C$1423)</f>
        <v/>
      </c>
      <c r="AF1420" t="str">
        <f>IF([3]Entry!$D$1423="","",[3]Entry!$D$1423)</f>
        <v/>
      </c>
      <c r="AG1420" t="str">
        <f>IF([3]Entry!$E$1423="","",[3]Entry!$E$1423)</f>
        <v/>
      </c>
      <c r="AH1420" t="str">
        <f>IF([3]Entry!$G$1423="","",[3]Entry!$G$1423)</f>
        <v/>
      </c>
      <c r="AI1420" t="str">
        <f>IF([3]Entry!$K$1423="","",[3]Entry!$K$1423)</f>
        <v/>
      </c>
      <c r="AJ1420" t="str">
        <f>IF([3]Entry!$L$1423="","",[3]Entry!$L$1423)</f>
        <v/>
      </c>
      <c r="AK1420" t="str">
        <f>IF([3]Entry!$M$1423="","",[3]Entry!$M$1423)</f>
        <v/>
      </c>
      <c r="AL1420" t="str">
        <f>IF([3]Entry!$N$1423="","",[3]Entry!$N$1423)</f>
        <v/>
      </c>
      <c r="AM1420" t="str">
        <f>IF([3]Entry!$R$1423="","",[3]Entry!$R$1423)</f>
        <v/>
      </c>
    </row>
    <row r="1421" spans="20:39" x14ac:dyDescent="0.2">
      <c r="T1421" t="str">
        <f>IF([2]Baskol!$B$1424="","",[2]Baskol!$B$1424)</f>
        <v/>
      </c>
      <c r="U1421" t="str">
        <f>IF([2]Baskol!$C$1424="","",[2]Baskol!$C$1424)</f>
        <v/>
      </c>
      <c r="V1421" t="str">
        <f>IF([2]Baskol!$D$1424="","",[2]Baskol!$D$1424)</f>
        <v/>
      </c>
      <c r="W1421" t="str">
        <f>IF([2]Baskol!$E$1424="","",[2]Baskol!$E$1424)</f>
        <v/>
      </c>
      <c r="X1421" t="str">
        <f>IF([2]Baskol!$G$1424="","",[2]Baskol!$G$1424)</f>
        <v/>
      </c>
      <c r="Y1421" t="str">
        <f>IF([2]Baskol!$I$1424="","",[2]Baskol!$I$1424)</f>
        <v/>
      </c>
      <c r="Z1421" t="str">
        <f>IF([2]Baskol!$J$1424="","",[2]Baskol!$J$1424)</f>
        <v/>
      </c>
      <c r="AA1421" t="str">
        <f>IF([2]Baskol!$K$1424="","",[2]Baskol!$K$1424)</f>
        <v/>
      </c>
      <c r="AB1421" t="str">
        <f>IF([2]Baskol!$L$1424="","",[2]Baskol!$L$1424)</f>
        <v/>
      </c>
      <c r="AC1421" t="str">
        <f>IF([2]Baskol!$N$1424="","",[2]Baskol!$N$1424)</f>
        <v/>
      </c>
      <c r="AD1421" t="str">
        <f>IF([2]Baskol!$O$1424="","",[2]Baskol!$O$1424)</f>
        <v/>
      </c>
      <c r="AE1421" t="str">
        <f>IF([3]Entry!$C$1424="","",[3]Entry!$C$1424)</f>
        <v/>
      </c>
      <c r="AF1421" t="str">
        <f>IF([3]Entry!$D$1424="","",[3]Entry!$D$1424)</f>
        <v/>
      </c>
      <c r="AG1421" t="str">
        <f>IF([3]Entry!$E$1424="","",[3]Entry!$E$1424)</f>
        <v/>
      </c>
      <c r="AH1421" t="str">
        <f>IF([3]Entry!$G$1424="","",[3]Entry!$G$1424)</f>
        <v/>
      </c>
      <c r="AI1421" t="str">
        <f>IF([3]Entry!$K$1424="","",[3]Entry!$K$1424)</f>
        <v/>
      </c>
      <c r="AJ1421" t="str">
        <f>IF([3]Entry!$L$1424="","",[3]Entry!$L$1424)</f>
        <v/>
      </c>
      <c r="AK1421" t="str">
        <f>IF([3]Entry!$M$1424="","",[3]Entry!$M$1424)</f>
        <v/>
      </c>
      <c r="AL1421" t="str">
        <f>IF([3]Entry!$N$1424="","",[3]Entry!$N$1424)</f>
        <v/>
      </c>
      <c r="AM1421" t="str">
        <f>IF([3]Entry!$R$1424="","",[3]Entry!$R$1424)</f>
        <v/>
      </c>
    </row>
    <row r="1422" spans="20:39" x14ac:dyDescent="0.2">
      <c r="T1422" t="str">
        <f>IF([2]Baskol!$B$1425="","",[2]Baskol!$B$1425)</f>
        <v/>
      </c>
      <c r="U1422" t="str">
        <f>IF([2]Baskol!$C$1425="","",[2]Baskol!$C$1425)</f>
        <v/>
      </c>
      <c r="V1422" t="str">
        <f>IF([2]Baskol!$D$1425="","",[2]Baskol!$D$1425)</f>
        <v/>
      </c>
      <c r="W1422" t="str">
        <f>IF([2]Baskol!$E$1425="","",[2]Baskol!$E$1425)</f>
        <v/>
      </c>
      <c r="X1422" t="str">
        <f>IF([2]Baskol!$G$1425="","",[2]Baskol!$G$1425)</f>
        <v/>
      </c>
      <c r="Y1422" t="str">
        <f>IF([2]Baskol!$I$1425="","",[2]Baskol!$I$1425)</f>
        <v/>
      </c>
      <c r="Z1422" t="str">
        <f>IF([2]Baskol!$J$1425="","",[2]Baskol!$J$1425)</f>
        <v/>
      </c>
      <c r="AA1422" t="str">
        <f>IF([2]Baskol!$K$1425="","",[2]Baskol!$K$1425)</f>
        <v/>
      </c>
      <c r="AB1422" t="str">
        <f>IF([2]Baskol!$L$1425="","",[2]Baskol!$L$1425)</f>
        <v/>
      </c>
      <c r="AC1422" t="str">
        <f>IF([2]Baskol!$N$1425="","",[2]Baskol!$N$1425)</f>
        <v/>
      </c>
      <c r="AD1422" t="str">
        <f>IF([2]Baskol!$O$1425="","",[2]Baskol!$O$1425)</f>
        <v/>
      </c>
      <c r="AE1422" t="str">
        <f>IF([3]Entry!$C$1425="","",[3]Entry!$C$1425)</f>
        <v/>
      </c>
      <c r="AF1422" t="str">
        <f>IF([3]Entry!$D$1425="","",[3]Entry!$D$1425)</f>
        <v/>
      </c>
      <c r="AG1422" t="str">
        <f>IF([3]Entry!$E$1425="","",[3]Entry!$E$1425)</f>
        <v/>
      </c>
      <c r="AH1422" t="str">
        <f>IF([3]Entry!$G$1425="","",[3]Entry!$G$1425)</f>
        <v/>
      </c>
      <c r="AI1422" t="str">
        <f>IF([3]Entry!$K$1425="","",[3]Entry!$K$1425)</f>
        <v/>
      </c>
      <c r="AJ1422" t="str">
        <f>IF([3]Entry!$L$1425="","",[3]Entry!$L$1425)</f>
        <v/>
      </c>
      <c r="AK1422" t="str">
        <f>IF([3]Entry!$M$1425="","",[3]Entry!$M$1425)</f>
        <v/>
      </c>
      <c r="AL1422" t="str">
        <f>IF([3]Entry!$N$1425="","",[3]Entry!$N$1425)</f>
        <v/>
      </c>
      <c r="AM1422" t="str">
        <f>IF([3]Entry!$R$1425="","",[3]Entry!$R$1425)</f>
        <v/>
      </c>
    </row>
    <row r="1423" spans="20:39" x14ac:dyDescent="0.2">
      <c r="T1423" t="str">
        <f>IF([2]Baskol!$B$1426="","",[2]Baskol!$B$1426)</f>
        <v/>
      </c>
      <c r="U1423" t="str">
        <f>IF([2]Baskol!$C$1426="","",[2]Baskol!$C$1426)</f>
        <v/>
      </c>
      <c r="V1423" t="str">
        <f>IF([2]Baskol!$D$1426="","",[2]Baskol!$D$1426)</f>
        <v/>
      </c>
      <c r="W1423" t="str">
        <f>IF([2]Baskol!$E$1426="","",[2]Baskol!$E$1426)</f>
        <v/>
      </c>
      <c r="X1423" t="str">
        <f>IF([2]Baskol!$G$1426="","",[2]Baskol!$G$1426)</f>
        <v/>
      </c>
      <c r="Y1423" t="str">
        <f>IF([2]Baskol!$I$1426="","",[2]Baskol!$I$1426)</f>
        <v/>
      </c>
      <c r="Z1423" t="str">
        <f>IF([2]Baskol!$J$1426="","",[2]Baskol!$J$1426)</f>
        <v/>
      </c>
      <c r="AA1423" t="str">
        <f>IF([2]Baskol!$K$1426="","",[2]Baskol!$K$1426)</f>
        <v/>
      </c>
      <c r="AB1423" t="str">
        <f>IF([2]Baskol!$L$1426="","",[2]Baskol!$L$1426)</f>
        <v/>
      </c>
      <c r="AC1423" t="str">
        <f>IF([2]Baskol!$N$1426="","",[2]Baskol!$N$1426)</f>
        <v/>
      </c>
      <c r="AD1423" t="str">
        <f>IF([2]Baskol!$O$1426="","",[2]Baskol!$O$1426)</f>
        <v/>
      </c>
      <c r="AE1423" t="str">
        <f>IF([3]Entry!$C$1426="","",[3]Entry!$C$1426)</f>
        <v/>
      </c>
      <c r="AF1423" t="str">
        <f>IF([3]Entry!$D$1426="","",[3]Entry!$D$1426)</f>
        <v/>
      </c>
      <c r="AG1423" t="str">
        <f>IF([3]Entry!$E$1426="","",[3]Entry!$E$1426)</f>
        <v/>
      </c>
      <c r="AH1423" t="str">
        <f>IF([3]Entry!$G$1426="","",[3]Entry!$G$1426)</f>
        <v/>
      </c>
      <c r="AI1423" t="str">
        <f>IF([3]Entry!$K$1426="","",[3]Entry!$K$1426)</f>
        <v/>
      </c>
      <c r="AJ1423" t="str">
        <f>IF([3]Entry!$L$1426="","",[3]Entry!$L$1426)</f>
        <v/>
      </c>
      <c r="AK1423" t="str">
        <f>IF([3]Entry!$M$1426="","",[3]Entry!$M$1426)</f>
        <v/>
      </c>
      <c r="AL1423" t="str">
        <f>IF([3]Entry!$N$1426="","",[3]Entry!$N$1426)</f>
        <v/>
      </c>
      <c r="AM1423" t="str">
        <f>IF([3]Entry!$R$1426="","",[3]Entry!$R$1426)</f>
        <v/>
      </c>
    </row>
    <row r="1424" spans="20:39" x14ac:dyDescent="0.2">
      <c r="T1424" t="str">
        <f>IF([2]Baskol!$B$1427="","",[2]Baskol!$B$1427)</f>
        <v/>
      </c>
      <c r="U1424" t="str">
        <f>IF([2]Baskol!$C$1427="","",[2]Baskol!$C$1427)</f>
        <v/>
      </c>
      <c r="V1424" t="str">
        <f>IF([2]Baskol!$D$1427="","",[2]Baskol!$D$1427)</f>
        <v/>
      </c>
      <c r="W1424" t="str">
        <f>IF([2]Baskol!$E$1427="","",[2]Baskol!$E$1427)</f>
        <v/>
      </c>
      <c r="X1424" t="str">
        <f>IF([2]Baskol!$G$1427="","",[2]Baskol!$G$1427)</f>
        <v/>
      </c>
      <c r="Y1424" t="str">
        <f>IF([2]Baskol!$I$1427="","",[2]Baskol!$I$1427)</f>
        <v/>
      </c>
      <c r="Z1424" t="str">
        <f>IF([2]Baskol!$J$1427="","",[2]Baskol!$J$1427)</f>
        <v/>
      </c>
      <c r="AA1424" t="str">
        <f>IF([2]Baskol!$K$1427="","",[2]Baskol!$K$1427)</f>
        <v/>
      </c>
      <c r="AB1424" t="str">
        <f>IF([2]Baskol!$L$1427="","",[2]Baskol!$L$1427)</f>
        <v/>
      </c>
      <c r="AC1424" t="str">
        <f>IF([2]Baskol!$N$1427="","",[2]Baskol!$N$1427)</f>
        <v/>
      </c>
      <c r="AD1424" t="str">
        <f>IF([2]Baskol!$O$1427="","",[2]Baskol!$O$1427)</f>
        <v/>
      </c>
      <c r="AE1424" t="str">
        <f>IF([3]Entry!$C$1427="","",[3]Entry!$C$1427)</f>
        <v/>
      </c>
      <c r="AF1424" t="str">
        <f>IF([3]Entry!$D$1427="","",[3]Entry!$D$1427)</f>
        <v/>
      </c>
      <c r="AG1424" t="str">
        <f>IF([3]Entry!$E$1427="","",[3]Entry!$E$1427)</f>
        <v/>
      </c>
      <c r="AH1424" t="str">
        <f>IF([3]Entry!$G$1427="","",[3]Entry!$G$1427)</f>
        <v/>
      </c>
      <c r="AI1424" t="str">
        <f>IF([3]Entry!$K$1427="","",[3]Entry!$K$1427)</f>
        <v/>
      </c>
      <c r="AJ1424" t="str">
        <f>IF([3]Entry!$L$1427="","",[3]Entry!$L$1427)</f>
        <v/>
      </c>
      <c r="AK1424" t="str">
        <f>IF([3]Entry!$M$1427="","",[3]Entry!$M$1427)</f>
        <v/>
      </c>
      <c r="AL1424" t="str">
        <f>IF([3]Entry!$N$1427="","",[3]Entry!$N$1427)</f>
        <v/>
      </c>
      <c r="AM1424" t="str">
        <f>IF([3]Entry!$R$1427="","",[3]Entry!$R$1427)</f>
        <v/>
      </c>
    </row>
    <row r="1425" spans="20:39" x14ac:dyDescent="0.2">
      <c r="T1425" t="str">
        <f>IF([2]Baskol!$B$1428="","",[2]Baskol!$B$1428)</f>
        <v/>
      </c>
      <c r="U1425" t="str">
        <f>IF([2]Baskol!$C$1428="","",[2]Baskol!$C$1428)</f>
        <v/>
      </c>
      <c r="V1425" t="str">
        <f>IF([2]Baskol!$D$1428="","",[2]Baskol!$D$1428)</f>
        <v/>
      </c>
      <c r="W1425" t="str">
        <f>IF([2]Baskol!$E$1428="","",[2]Baskol!$E$1428)</f>
        <v/>
      </c>
      <c r="X1425" t="str">
        <f>IF([2]Baskol!$G$1428="","",[2]Baskol!$G$1428)</f>
        <v/>
      </c>
      <c r="Y1425" t="str">
        <f>IF([2]Baskol!$I$1428="","",[2]Baskol!$I$1428)</f>
        <v/>
      </c>
      <c r="Z1425" t="str">
        <f>IF([2]Baskol!$J$1428="","",[2]Baskol!$J$1428)</f>
        <v/>
      </c>
      <c r="AA1425" t="str">
        <f>IF([2]Baskol!$K$1428="","",[2]Baskol!$K$1428)</f>
        <v/>
      </c>
      <c r="AB1425" t="str">
        <f>IF([2]Baskol!$L$1428="","",[2]Baskol!$L$1428)</f>
        <v/>
      </c>
      <c r="AC1425" t="str">
        <f>IF([2]Baskol!$N$1428="","",[2]Baskol!$N$1428)</f>
        <v/>
      </c>
      <c r="AD1425" t="str">
        <f>IF([2]Baskol!$O$1428="","",[2]Baskol!$O$1428)</f>
        <v/>
      </c>
      <c r="AE1425" t="str">
        <f>IF([3]Entry!$C$1428="","",[3]Entry!$C$1428)</f>
        <v/>
      </c>
      <c r="AF1425" t="str">
        <f>IF([3]Entry!$D$1428="","",[3]Entry!$D$1428)</f>
        <v/>
      </c>
      <c r="AG1425" t="str">
        <f>IF([3]Entry!$E$1428="","",[3]Entry!$E$1428)</f>
        <v/>
      </c>
      <c r="AH1425" t="str">
        <f>IF([3]Entry!$G$1428="","",[3]Entry!$G$1428)</f>
        <v/>
      </c>
      <c r="AI1425" t="str">
        <f>IF([3]Entry!$K$1428="","",[3]Entry!$K$1428)</f>
        <v/>
      </c>
      <c r="AJ1425" t="str">
        <f>IF([3]Entry!$L$1428="","",[3]Entry!$L$1428)</f>
        <v/>
      </c>
      <c r="AK1425" t="str">
        <f>IF([3]Entry!$M$1428="","",[3]Entry!$M$1428)</f>
        <v/>
      </c>
      <c r="AL1425" t="str">
        <f>IF([3]Entry!$N$1428="","",[3]Entry!$N$1428)</f>
        <v/>
      </c>
      <c r="AM1425" t="str">
        <f>IF([3]Entry!$R$1428="","",[3]Entry!$R$1428)</f>
        <v/>
      </c>
    </row>
    <row r="1426" spans="20:39" x14ac:dyDescent="0.2">
      <c r="T1426" t="str">
        <f>IF([2]Baskol!$B$1429="","",[2]Baskol!$B$1429)</f>
        <v/>
      </c>
      <c r="U1426" t="str">
        <f>IF([2]Baskol!$C$1429="","",[2]Baskol!$C$1429)</f>
        <v/>
      </c>
      <c r="V1426" t="str">
        <f>IF([2]Baskol!$D$1429="","",[2]Baskol!$D$1429)</f>
        <v/>
      </c>
      <c r="W1426" t="str">
        <f>IF([2]Baskol!$E$1429="","",[2]Baskol!$E$1429)</f>
        <v/>
      </c>
      <c r="X1426" t="str">
        <f>IF([2]Baskol!$G$1429="","",[2]Baskol!$G$1429)</f>
        <v/>
      </c>
      <c r="Y1426" t="str">
        <f>IF([2]Baskol!$I$1429="","",[2]Baskol!$I$1429)</f>
        <v/>
      </c>
      <c r="Z1426" t="str">
        <f>IF([2]Baskol!$J$1429="","",[2]Baskol!$J$1429)</f>
        <v/>
      </c>
      <c r="AA1426" t="str">
        <f>IF([2]Baskol!$K$1429="","",[2]Baskol!$K$1429)</f>
        <v/>
      </c>
      <c r="AB1426" t="str">
        <f>IF([2]Baskol!$L$1429="","",[2]Baskol!$L$1429)</f>
        <v/>
      </c>
      <c r="AC1426" t="str">
        <f>IF([2]Baskol!$N$1429="","",[2]Baskol!$N$1429)</f>
        <v/>
      </c>
      <c r="AD1426" t="str">
        <f>IF([2]Baskol!$O$1429="","",[2]Baskol!$O$1429)</f>
        <v/>
      </c>
      <c r="AE1426" t="str">
        <f>IF([3]Entry!$C$1429="","",[3]Entry!$C$1429)</f>
        <v/>
      </c>
      <c r="AF1426" t="str">
        <f>IF([3]Entry!$D$1429="","",[3]Entry!$D$1429)</f>
        <v/>
      </c>
      <c r="AG1426" t="str">
        <f>IF([3]Entry!$E$1429="","",[3]Entry!$E$1429)</f>
        <v/>
      </c>
      <c r="AH1426" t="str">
        <f>IF([3]Entry!$G$1429="","",[3]Entry!$G$1429)</f>
        <v/>
      </c>
      <c r="AI1426" t="str">
        <f>IF([3]Entry!$K$1429="","",[3]Entry!$K$1429)</f>
        <v/>
      </c>
      <c r="AJ1426" t="str">
        <f>IF([3]Entry!$L$1429="","",[3]Entry!$L$1429)</f>
        <v/>
      </c>
      <c r="AK1426" t="str">
        <f>IF([3]Entry!$M$1429="","",[3]Entry!$M$1429)</f>
        <v/>
      </c>
      <c r="AL1426" t="str">
        <f>IF([3]Entry!$N$1429="","",[3]Entry!$N$1429)</f>
        <v/>
      </c>
      <c r="AM1426" t="str">
        <f>IF([3]Entry!$R$1429="","",[3]Entry!$R$1429)</f>
        <v/>
      </c>
    </row>
    <row r="1427" spans="20:39" x14ac:dyDescent="0.2">
      <c r="T1427" t="str">
        <f>IF([2]Baskol!$B$1430="","",[2]Baskol!$B$1430)</f>
        <v/>
      </c>
      <c r="U1427" t="str">
        <f>IF([2]Baskol!$C$1430="","",[2]Baskol!$C$1430)</f>
        <v/>
      </c>
      <c r="V1427" t="str">
        <f>IF([2]Baskol!$D$1430="","",[2]Baskol!$D$1430)</f>
        <v/>
      </c>
      <c r="W1427" t="str">
        <f>IF([2]Baskol!$E$1430="","",[2]Baskol!$E$1430)</f>
        <v/>
      </c>
      <c r="X1427" t="str">
        <f>IF([2]Baskol!$G$1430="","",[2]Baskol!$G$1430)</f>
        <v/>
      </c>
      <c r="Y1427" t="str">
        <f>IF([2]Baskol!$I$1430="","",[2]Baskol!$I$1430)</f>
        <v/>
      </c>
      <c r="Z1427" t="str">
        <f>IF([2]Baskol!$J$1430="","",[2]Baskol!$J$1430)</f>
        <v/>
      </c>
      <c r="AA1427" t="str">
        <f>IF([2]Baskol!$K$1430="","",[2]Baskol!$K$1430)</f>
        <v/>
      </c>
      <c r="AB1427" t="str">
        <f>IF([2]Baskol!$L$1430="","",[2]Baskol!$L$1430)</f>
        <v/>
      </c>
      <c r="AC1427" t="str">
        <f>IF([2]Baskol!$N$1430="","",[2]Baskol!$N$1430)</f>
        <v/>
      </c>
      <c r="AD1427" t="str">
        <f>IF([2]Baskol!$O$1430="","",[2]Baskol!$O$1430)</f>
        <v/>
      </c>
      <c r="AE1427" t="str">
        <f>IF([3]Entry!$C$1430="","",[3]Entry!$C$1430)</f>
        <v/>
      </c>
      <c r="AF1427" t="str">
        <f>IF([3]Entry!$D$1430="","",[3]Entry!$D$1430)</f>
        <v/>
      </c>
      <c r="AG1427" t="str">
        <f>IF([3]Entry!$E$1430="","",[3]Entry!$E$1430)</f>
        <v/>
      </c>
      <c r="AH1427" t="str">
        <f>IF([3]Entry!$G$1430="","",[3]Entry!$G$1430)</f>
        <v/>
      </c>
      <c r="AI1427" t="str">
        <f>IF([3]Entry!$K$1430="","",[3]Entry!$K$1430)</f>
        <v/>
      </c>
      <c r="AJ1427" t="str">
        <f>IF([3]Entry!$L$1430="","",[3]Entry!$L$1430)</f>
        <v/>
      </c>
      <c r="AK1427" t="str">
        <f>IF([3]Entry!$M$1430="","",[3]Entry!$M$1430)</f>
        <v/>
      </c>
      <c r="AL1427" t="str">
        <f>IF([3]Entry!$N$1430="","",[3]Entry!$N$1430)</f>
        <v/>
      </c>
      <c r="AM1427" t="str">
        <f>IF([3]Entry!$R$1430="","",[3]Entry!$R$1430)</f>
        <v/>
      </c>
    </row>
    <row r="1428" spans="20:39" x14ac:dyDescent="0.2">
      <c r="T1428" t="str">
        <f>IF([2]Baskol!$B$1431="","",[2]Baskol!$B$1431)</f>
        <v/>
      </c>
      <c r="U1428" t="str">
        <f>IF([2]Baskol!$C$1431="","",[2]Baskol!$C$1431)</f>
        <v/>
      </c>
      <c r="V1428" t="str">
        <f>IF([2]Baskol!$D$1431="","",[2]Baskol!$D$1431)</f>
        <v/>
      </c>
      <c r="W1428" t="str">
        <f>IF([2]Baskol!$E$1431="","",[2]Baskol!$E$1431)</f>
        <v/>
      </c>
      <c r="X1428" t="str">
        <f>IF([2]Baskol!$G$1431="","",[2]Baskol!$G$1431)</f>
        <v/>
      </c>
      <c r="Y1428" t="str">
        <f>IF([2]Baskol!$I$1431="","",[2]Baskol!$I$1431)</f>
        <v/>
      </c>
      <c r="Z1428" t="str">
        <f>IF([2]Baskol!$J$1431="","",[2]Baskol!$J$1431)</f>
        <v/>
      </c>
      <c r="AA1428" t="str">
        <f>IF([2]Baskol!$K$1431="","",[2]Baskol!$K$1431)</f>
        <v/>
      </c>
      <c r="AB1428" t="str">
        <f>IF([2]Baskol!$L$1431="","",[2]Baskol!$L$1431)</f>
        <v/>
      </c>
      <c r="AC1428" t="str">
        <f>IF([2]Baskol!$N$1431="","",[2]Baskol!$N$1431)</f>
        <v/>
      </c>
      <c r="AD1428" t="str">
        <f>IF([2]Baskol!$O$1431="","",[2]Baskol!$O$1431)</f>
        <v/>
      </c>
      <c r="AE1428" t="str">
        <f>IF([3]Entry!$C$1431="","",[3]Entry!$C$1431)</f>
        <v/>
      </c>
      <c r="AF1428" t="str">
        <f>IF([3]Entry!$D$1431="","",[3]Entry!$D$1431)</f>
        <v/>
      </c>
      <c r="AG1428" t="str">
        <f>IF([3]Entry!$E$1431="","",[3]Entry!$E$1431)</f>
        <v/>
      </c>
      <c r="AH1428" t="str">
        <f>IF([3]Entry!$G$1431="","",[3]Entry!$G$1431)</f>
        <v/>
      </c>
      <c r="AI1428" t="str">
        <f>IF([3]Entry!$K$1431="","",[3]Entry!$K$1431)</f>
        <v/>
      </c>
      <c r="AJ1428" t="str">
        <f>IF([3]Entry!$L$1431="","",[3]Entry!$L$1431)</f>
        <v/>
      </c>
      <c r="AK1428" t="str">
        <f>IF([3]Entry!$M$1431="","",[3]Entry!$M$1431)</f>
        <v/>
      </c>
      <c r="AL1428" t="str">
        <f>IF([3]Entry!$N$1431="","",[3]Entry!$N$1431)</f>
        <v/>
      </c>
      <c r="AM1428" t="str">
        <f>IF([3]Entry!$R$1431="","",[3]Entry!$R$1431)</f>
        <v/>
      </c>
    </row>
    <row r="1429" spans="20:39" x14ac:dyDescent="0.2">
      <c r="T1429" t="str">
        <f>IF([2]Baskol!$B$1432="","",[2]Baskol!$B$1432)</f>
        <v/>
      </c>
      <c r="U1429" t="str">
        <f>IF([2]Baskol!$C$1432="","",[2]Baskol!$C$1432)</f>
        <v/>
      </c>
      <c r="V1429" t="str">
        <f>IF([2]Baskol!$D$1432="","",[2]Baskol!$D$1432)</f>
        <v/>
      </c>
      <c r="W1429" t="str">
        <f>IF([2]Baskol!$E$1432="","",[2]Baskol!$E$1432)</f>
        <v/>
      </c>
      <c r="X1429" t="str">
        <f>IF([2]Baskol!$G$1432="","",[2]Baskol!$G$1432)</f>
        <v/>
      </c>
      <c r="Y1429" t="str">
        <f>IF([2]Baskol!$I$1432="","",[2]Baskol!$I$1432)</f>
        <v/>
      </c>
      <c r="Z1429" t="str">
        <f>IF([2]Baskol!$J$1432="","",[2]Baskol!$J$1432)</f>
        <v/>
      </c>
      <c r="AA1429" t="str">
        <f>IF([2]Baskol!$K$1432="","",[2]Baskol!$K$1432)</f>
        <v/>
      </c>
      <c r="AB1429" t="str">
        <f>IF([2]Baskol!$L$1432="","",[2]Baskol!$L$1432)</f>
        <v/>
      </c>
      <c r="AC1429" t="str">
        <f>IF([2]Baskol!$N$1432="","",[2]Baskol!$N$1432)</f>
        <v/>
      </c>
      <c r="AD1429" t="str">
        <f>IF([2]Baskol!$O$1432="","",[2]Baskol!$O$1432)</f>
        <v/>
      </c>
      <c r="AE1429" t="str">
        <f>IF([3]Entry!$C$1432="","",[3]Entry!$C$1432)</f>
        <v/>
      </c>
      <c r="AF1429" t="str">
        <f>IF([3]Entry!$D$1432="","",[3]Entry!$D$1432)</f>
        <v/>
      </c>
      <c r="AG1429" t="str">
        <f>IF([3]Entry!$E$1432="","",[3]Entry!$E$1432)</f>
        <v/>
      </c>
      <c r="AH1429" t="str">
        <f>IF([3]Entry!$G$1432="","",[3]Entry!$G$1432)</f>
        <v/>
      </c>
      <c r="AI1429" t="str">
        <f>IF([3]Entry!$K$1432="","",[3]Entry!$K$1432)</f>
        <v/>
      </c>
      <c r="AJ1429" t="str">
        <f>IF([3]Entry!$L$1432="","",[3]Entry!$L$1432)</f>
        <v/>
      </c>
      <c r="AK1429" t="str">
        <f>IF([3]Entry!$M$1432="","",[3]Entry!$M$1432)</f>
        <v/>
      </c>
      <c r="AL1429" t="str">
        <f>IF([3]Entry!$N$1432="","",[3]Entry!$N$1432)</f>
        <v/>
      </c>
      <c r="AM1429" t="str">
        <f>IF([3]Entry!$R$1432="","",[3]Entry!$R$1432)</f>
        <v/>
      </c>
    </row>
    <row r="1430" spans="20:39" x14ac:dyDescent="0.2">
      <c r="T1430" t="str">
        <f>IF([2]Baskol!$B$1433="","",[2]Baskol!$B$1433)</f>
        <v/>
      </c>
      <c r="U1430" t="str">
        <f>IF([2]Baskol!$C$1433="","",[2]Baskol!$C$1433)</f>
        <v/>
      </c>
      <c r="V1430" t="str">
        <f>IF([2]Baskol!$D$1433="","",[2]Baskol!$D$1433)</f>
        <v/>
      </c>
      <c r="W1430" t="str">
        <f>IF([2]Baskol!$E$1433="","",[2]Baskol!$E$1433)</f>
        <v/>
      </c>
      <c r="X1430" t="str">
        <f>IF([2]Baskol!$G$1433="","",[2]Baskol!$G$1433)</f>
        <v/>
      </c>
      <c r="Y1430" t="str">
        <f>IF([2]Baskol!$I$1433="","",[2]Baskol!$I$1433)</f>
        <v/>
      </c>
      <c r="Z1430" t="str">
        <f>IF([2]Baskol!$J$1433="","",[2]Baskol!$J$1433)</f>
        <v/>
      </c>
      <c r="AA1430" t="str">
        <f>IF([2]Baskol!$K$1433="","",[2]Baskol!$K$1433)</f>
        <v/>
      </c>
      <c r="AB1430" t="str">
        <f>IF([2]Baskol!$L$1433="","",[2]Baskol!$L$1433)</f>
        <v/>
      </c>
      <c r="AC1430" t="str">
        <f>IF([2]Baskol!$N$1433="","",[2]Baskol!$N$1433)</f>
        <v/>
      </c>
      <c r="AD1430" t="str">
        <f>IF([2]Baskol!$O$1433="","",[2]Baskol!$O$1433)</f>
        <v/>
      </c>
      <c r="AE1430" t="str">
        <f>IF([3]Entry!$C$1433="","",[3]Entry!$C$1433)</f>
        <v/>
      </c>
      <c r="AF1430" t="str">
        <f>IF([3]Entry!$D$1433="","",[3]Entry!$D$1433)</f>
        <v/>
      </c>
      <c r="AG1430" t="str">
        <f>IF([3]Entry!$E$1433="","",[3]Entry!$E$1433)</f>
        <v/>
      </c>
      <c r="AH1430" t="str">
        <f>IF([3]Entry!$G$1433="","",[3]Entry!$G$1433)</f>
        <v/>
      </c>
      <c r="AI1430" t="str">
        <f>IF([3]Entry!$K$1433="","",[3]Entry!$K$1433)</f>
        <v/>
      </c>
      <c r="AJ1430" t="str">
        <f>IF([3]Entry!$L$1433="","",[3]Entry!$L$1433)</f>
        <v/>
      </c>
      <c r="AK1430" t="str">
        <f>IF([3]Entry!$M$1433="","",[3]Entry!$M$1433)</f>
        <v/>
      </c>
      <c r="AL1430" t="str">
        <f>IF([3]Entry!$N$1433="","",[3]Entry!$N$1433)</f>
        <v/>
      </c>
      <c r="AM1430" t="str">
        <f>IF([3]Entry!$R$1433="","",[3]Entry!$R$1433)</f>
        <v/>
      </c>
    </row>
    <row r="1431" spans="20:39" x14ac:dyDescent="0.2">
      <c r="T1431" t="str">
        <f>IF([2]Baskol!$B$1434="","",[2]Baskol!$B$1434)</f>
        <v/>
      </c>
      <c r="U1431" t="str">
        <f>IF([2]Baskol!$C$1434="","",[2]Baskol!$C$1434)</f>
        <v/>
      </c>
      <c r="V1431" t="str">
        <f>IF([2]Baskol!$D$1434="","",[2]Baskol!$D$1434)</f>
        <v/>
      </c>
      <c r="W1431" t="str">
        <f>IF([2]Baskol!$E$1434="","",[2]Baskol!$E$1434)</f>
        <v/>
      </c>
      <c r="X1431" t="str">
        <f>IF([2]Baskol!$G$1434="","",[2]Baskol!$G$1434)</f>
        <v/>
      </c>
      <c r="Y1431" t="str">
        <f>IF([2]Baskol!$I$1434="","",[2]Baskol!$I$1434)</f>
        <v/>
      </c>
      <c r="Z1431" t="str">
        <f>IF([2]Baskol!$J$1434="","",[2]Baskol!$J$1434)</f>
        <v/>
      </c>
      <c r="AA1431" t="str">
        <f>IF([2]Baskol!$K$1434="","",[2]Baskol!$K$1434)</f>
        <v/>
      </c>
      <c r="AB1431" t="str">
        <f>IF([2]Baskol!$L$1434="","",[2]Baskol!$L$1434)</f>
        <v/>
      </c>
      <c r="AC1431" t="str">
        <f>IF([2]Baskol!$N$1434="","",[2]Baskol!$N$1434)</f>
        <v/>
      </c>
      <c r="AD1431" t="str">
        <f>IF([2]Baskol!$O$1434="","",[2]Baskol!$O$1434)</f>
        <v/>
      </c>
      <c r="AE1431" t="str">
        <f>IF([3]Entry!$C$1434="","",[3]Entry!$C$1434)</f>
        <v/>
      </c>
      <c r="AF1431" t="str">
        <f>IF([3]Entry!$D$1434="","",[3]Entry!$D$1434)</f>
        <v/>
      </c>
      <c r="AG1431" t="str">
        <f>IF([3]Entry!$E$1434="","",[3]Entry!$E$1434)</f>
        <v/>
      </c>
      <c r="AH1431" t="str">
        <f>IF([3]Entry!$G$1434="","",[3]Entry!$G$1434)</f>
        <v/>
      </c>
      <c r="AI1431" t="str">
        <f>IF([3]Entry!$K$1434="","",[3]Entry!$K$1434)</f>
        <v/>
      </c>
      <c r="AJ1431" t="str">
        <f>IF([3]Entry!$L$1434="","",[3]Entry!$L$1434)</f>
        <v/>
      </c>
      <c r="AK1431" t="str">
        <f>IF([3]Entry!$M$1434="","",[3]Entry!$M$1434)</f>
        <v/>
      </c>
      <c r="AL1431" t="str">
        <f>IF([3]Entry!$N$1434="","",[3]Entry!$N$1434)</f>
        <v/>
      </c>
      <c r="AM1431" t="str">
        <f>IF([3]Entry!$R$1434="","",[3]Entry!$R$1434)</f>
        <v/>
      </c>
    </row>
    <row r="1432" spans="20:39" x14ac:dyDescent="0.2">
      <c r="T1432" t="str">
        <f>IF([2]Baskol!$B$1435="","",[2]Baskol!$B$1435)</f>
        <v/>
      </c>
      <c r="U1432" t="str">
        <f>IF([2]Baskol!$C$1435="","",[2]Baskol!$C$1435)</f>
        <v/>
      </c>
      <c r="V1432" t="str">
        <f>IF([2]Baskol!$D$1435="","",[2]Baskol!$D$1435)</f>
        <v/>
      </c>
      <c r="W1432" t="str">
        <f>IF([2]Baskol!$E$1435="","",[2]Baskol!$E$1435)</f>
        <v/>
      </c>
      <c r="X1432" t="str">
        <f>IF([2]Baskol!$G$1435="","",[2]Baskol!$G$1435)</f>
        <v/>
      </c>
      <c r="Y1432" t="str">
        <f>IF([2]Baskol!$I$1435="","",[2]Baskol!$I$1435)</f>
        <v/>
      </c>
      <c r="Z1432" t="str">
        <f>IF([2]Baskol!$J$1435="","",[2]Baskol!$J$1435)</f>
        <v/>
      </c>
      <c r="AA1432" t="str">
        <f>IF([2]Baskol!$K$1435="","",[2]Baskol!$K$1435)</f>
        <v/>
      </c>
      <c r="AB1432" t="str">
        <f>IF([2]Baskol!$L$1435="","",[2]Baskol!$L$1435)</f>
        <v/>
      </c>
      <c r="AC1432" t="str">
        <f>IF([2]Baskol!$N$1435="","",[2]Baskol!$N$1435)</f>
        <v/>
      </c>
      <c r="AD1432" t="str">
        <f>IF([2]Baskol!$O$1435="","",[2]Baskol!$O$1435)</f>
        <v/>
      </c>
      <c r="AE1432" t="str">
        <f>IF([3]Entry!$C$1435="","",[3]Entry!$C$1435)</f>
        <v/>
      </c>
      <c r="AF1432" t="str">
        <f>IF([3]Entry!$D$1435="","",[3]Entry!$D$1435)</f>
        <v/>
      </c>
      <c r="AG1432" t="str">
        <f>IF([3]Entry!$E$1435="","",[3]Entry!$E$1435)</f>
        <v/>
      </c>
      <c r="AH1432" t="str">
        <f>IF([3]Entry!$G$1435="","",[3]Entry!$G$1435)</f>
        <v/>
      </c>
      <c r="AI1432" t="str">
        <f>IF([3]Entry!$K$1435="","",[3]Entry!$K$1435)</f>
        <v/>
      </c>
      <c r="AJ1432" t="str">
        <f>IF([3]Entry!$L$1435="","",[3]Entry!$L$1435)</f>
        <v/>
      </c>
      <c r="AK1432" t="str">
        <f>IF([3]Entry!$M$1435="","",[3]Entry!$M$1435)</f>
        <v/>
      </c>
      <c r="AL1432" t="str">
        <f>IF([3]Entry!$N$1435="","",[3]Entry!$N$1435)</f>
        <v/>
      </c>
      <c r="AM1432" t="str">
        <f>IF([3]Entry!$R$1435="","",[3]Entry!$R$1435)</f>
        <v/>
      </c>
    </row>
    <row r="1433" spans="20:39" x14ac:dyDescent="0.2">
      <c r="T1433" t="str">
        <f>IF([2]Baskol!$B$1436="","",[2]Baskol!$B$1436)</f>
        <v/>
      </c>
      <c r="U1433" t="str">
        <f>IF([2]Baskol!$C$1436="","",[2]Baskol!$C$1436)</f>
        <v/>
      </c>
      <c r="V1433" t="str">
        <f>IF([2]Baskol!$D$1436="","",[2]Baskol!$D$1436)</f>
        <v/>
      </c>
      <c r="W1433" t="str">
        <f>IF([2]Baskol!$E$1436="","",[2]Baskol!$E$1436)</f>
        <v/>
      </c>
      <c r="X1433" t="str">
        <f>IF([2]Baskol!$G$1436="","",[2]Baskol!$G$1436)</f>
        <v/>
      </c>
      <c r="Y1433" t="str">
        <f>IF([2]Baskol!$I$1436="","",[2]Baskol!$I$1436)</f>
        <v/>
      </c>
      <c r="Z1433" t="str">
        <f>IF([2]Baskol!$J$1436="","",[2]Baskol!$J$1436)</f>
        <v/>
      </c>
      <c r="AA1433" t="str">
        <f>IF([2]Baskol!$K$1436="","",[2]Baskol!$K$1436)</f>
        <v/>
      </c>
      <c r="AB1433" t="str">
        <f>IF([2]Baskol!$L$1436="","",[2]Baskol!$L$1436)</f>
        <v/>
      </c>
      <c r="AC1433" t="str">
        <f>IF([2]Baskol!$N$1436="","",[2]Baskol!$N$1436)</f>
        <v/>
      </c>
      <c r="AD1433" t="str">
        <f>IF([2]Baskol!$O$1436="","",[2]Baskol!$O$1436)</f>
        <v/>
      </c>
      <c r="AE1433" t="str">
        <f>IF([3]Entry!$C$1436="","",[3]Entry!$C$1436)</f>
        <v/>
      </c>
      <c r="AF1433" t="str">
        <f>IF([3]Entry!$D$1436="","",[3]Entry!$D$1436)</f>
        <v/>
      </c>
      <c r="AG1433" t="str">
        <f>IF([3]Entry!$E$1436="","",[3]Entry!$E$1436)</f>
        <v/>
      </c>
      <c r="AH1433" t="str">
        <f>IF([3]Entry!$G$1436="","",[3]Entry!$G$1436)</f>
        <v/>
      </c>
      <c r="AI1433" t="str">
        <f>IF([3]Entry!$K$1436="","",[3]Entry!$K$1436)</f>
        <v/>
      </c>
      <c r="AJ1433" t="str">
        <f>IF([3]Entry!$L$1436="","",[3]Entry!$L$1436)</f>
        <v/>
      </c>
      <c r="AK1433" t="str">
        <f>IF([3]Entry!$M$1436="","",[3]Entry!$M$1436)</f>
        <v/>
      </c>
      <c r="AL1433" t="str">
        <f>IF([3]Entry!$N$1436="","",[3]Entry!$N$1436)</f>
        <v/>
      </c>
      <c r="AM1433" t="str">
        <f>IF([3]Entry!$R$1436="","",[3]Entry!$R$1436)</f>
        <v/>
      </c>
    </row>
    <row r="1434" spans="20:39" x14ac:dyDescent="0.2">
      <c r="T1434" t="str">
        <f>IF([2]Baskol!$B$1437="","",[2]Baskol!$B$1437)</f>
        <v/>
      </c>
      <c r="U1434" t="str">
        <f>IF([2]Baskol!$C$1437="","",[2]Baskol!$C$1437)</f>
        <v/>
      </c>
      <c r="V1434" t="str">
        <f>IF([2]Baskol!$D$1437="","",[2]Baskol!$D$1437)</f>
        <v/>
      </c>
      <c r="W1434" t="str">
        <f>IF([2]Baskol!$E$1437="","",[2]Baskol!$E$1437)</f>
        <v/>
      </c>
      <c r="X1434" t="str">
        <f>IF([2]Baskol!$G$1437="","",[2]Baskol!$G$1437)</f>
        <v/>
      </c>
      <c r="Y1434" t="str">
        <f>IF([2]Baskol!$I$1437="","",[2]Baskol!$I$1437)</f>
        <v/>
      </c>
      <c r="Z1434" t="str">
        <f>IF([2]Baskol!$J$1437="","",[2]Baskol!$J$1437)</f>
        <v/>
      </c>
      <c r="AA1434" t="str">
        <f>IF([2]Baskol!$K$1437="","",[2]Baskol!$K$1437)</f>
        <v/>
      </c>
      <c r="AB1434" t="str">
        <f>IF([2]Baskol!$L$1437="","",[2]Baskol!$L$1437)</f>
        <v/>
      </c>
      <c r="AC1434" t="str">
        <f>IF([2]Baskol!$N$1437="","",[2]Baskol!$N$1437)</f>
        <v/>
      </c>
      <c r="AD1434" t="str">
        <f>IF([2]Baskol!$O$1437="","",[2]Baskol!$O$1437)</f>
        <v/>
      </c>
      <c r="AE1434" t="str">
        <f>IF([3]Entry!$C$1437="","",[3]Entry!$C$1437)</f>
        <v/>
      </c>
      <c r="AF1434" t="str">
        <f>IF([3]Entry!$D$1437="","",[3]Entry!$D$1437)</f>
        <v/>
      </c>
      <c r="AG1434" t="str">
        <f>IF([3]Entry!$E$1437="","",[3]Entry!$E$1437)</f>
        <v/>
      </c>
      <c r="AH1434" t="str">
        <f>IF([3]Entry!$G$1437="","",[3]Entry!$G$1437)</f>
        <v/>
      </c>
      <c r="AI1434" t="str">
        <f>IF([3]Entry!$K$1437="","",[3]Entry!$K$1437)</f>
        <v/>
      </c>
      <c r="AJ1434" t="str">
        <f>IF([3]Entry!$L$1437="","",[3]Entry!$L$1437)</f>
        <v/>
      </c>
      <c r="AK1434" t="str">
        <f>IF([3]Entry!$M$1437="","",[3]Entry!$M$1437)</f>
        <v/>
      </c>
      <c r="AL1434" t="str">
        <f>IF([3]Entry!$N$1437="","",[3]Entry!$N$1437)</f>
        <v/>
      </c>
      <c r="AM1434" t="str">
        <f>IF([3]Entry!$R$1437="","",[3]Entry!$R$1437)</f>
        <v/>
      </c>
    </row>
    <row r="1435" spans="20:39" x14ac:dyDescent="0.2">
      <c r="T1435" t="str">
        <f>IF([2]Baskol!$B$1438="","",[2]Baskol!$B$1438)</f>
        <v/>
      </c>
      <c r="U1435" t="str">
        <f>IF([2]Baskol!$C$1438="","",[2]Baskol!$C$1438)</f>
        <v/>
      </c>
      <c r="V1435" t="str">
        <f>IF([2]Baskol!$D$1438="","",[2]Baskol!$D$1438)</f>
        <v/>
      </c>
      <c r="W1435" t="str">
        <f>IF([2]Baskol!$E$1438="","",[2]Baskol!$E$1438)</f>
        <v/>
      </c>
      <c r="X1435" t="str">
        <f>IF([2]Baskol!$G$1438="","",[2]Baskol!$G$1438)</f>
        <v/>
      </c>
      <c r="Y1435" t="str">
        <f>IF([2]Baskol!$I$1438="","",[2]Baskol!$I$1438)</f>
        <v/>
      </c>
      <c r="Z1435" t="str">
        <f>IF([2]Baskol!$J$1438="","",[2]Baskol!$J$1438)</f>
        <v/>
      </c>
      <c r="AA1435" t="str">
        <f>IF([2]Baskol!$K$1438="","",[2]Baskol!$K$1438)</f>
        <v/>
      </c>
      <c r="AB1435" t="str">
        <f>IF([2]Baskol!$L$1438="","",[2]Baskol!$L$1438)</f>
        <v/>
      </c>
      <c r="AC1435" t="str">
        <f>IF([2]Baskol!$N$1438="","",[2]Baskol!$N$1438)</f>
        <v/>
      </c>
      <c r="AD1435" t="str">
        <f>IF([2]Baskol!$O$1438="","",[2]Baskol!$O$1438)</f>
        <v/>
      </c>
      <c r="AE1435" t="str">
        <f>IF([3]Entry!$C$1438="","",[3]Entry!$C$1438)</f>
        <v/>
      </c>
      <c r="AF1435" t="str">
        <f>IF([3]Entry!$D$1438="","",[3]Entry!$D$1438)</f>
        <v/>
      </c>
      <c r="AG1435" t="str">
        <f>IF([3]Entry!$E$1438="","",[3]Entry!$E$1438)</f>
        <v/>
      </c>
      <c r="AH1435" t="str">
        <f>IF([3]Entry!$G$1438="","",[3]Entry!$G$1438)</f>
        <v/>
      </c>
      <c r="AI1435" t="str">
        <f>IF([3]Entry!$K$1438="","",[3]Entry!$K$1438)</f>
        <v/>
      </c>
      <c r="AJ1435" t="str">
        <f>IF([3]Entry!$L$1438="","",[3]Entry!$L$1438)</f>
        <v/>
      </c>
      <c r="AK1435" t="str">
        <f>IF([3]Entry!$M$1438="","",[3]Entry!$M$1438)</f>
        <v/>
      </c>
      <c r="AL1435" t="str">
        <f>IF([3]Entry!$N$1438="","",[3]Entry!$N$1438)</f>
        <v/>
      </c>
      <c r="AM1435" t="str">
        <f>IF([3]Entry!$R$1438="","",[3]Entry!$R$1438)</f>
        <v/>
      </c>
    </row>
    <row r="1436" spans="20:39" x14ac:dyDescent="0.2">
      <c r="T1436" t="str">
        <f>IF([2]Baskol!$B$1439="","",[2]Baskol!$B$1439)</f>
        <v/>
      </c>
      <c r="U1436" t="str">
        <f>IF([2]Baskol!$C$1439="","",[2]Baskol!$C$1439)</f>
        <v/>
      </c>
      <c r="V1436" t="str">
        <f>IF([2]Baskol!$D$1439="","",[2]Baskol!$D$1439)</f>
        <v/>
      </c>
      <c r="W1436" t="str">
        <f>IF([2]Baskol!$E$1439="","",[2]Baskol!$E$1439)</f>
        <v/>
      </c>
      <c r="X1436" t="str">
        <f>IF([2]Baskol!$G$1439="","",[2]Baskol!$G$1439)</f>
        <v/>
      </c>
      <c r="Y1436" t="str">
        <f>IF([2]Baskol!$I$1439="","",[2]Baskol!$I$1439)</f>
        <v/>
      </c>
      <c r="Z1436" t="str">
        <f>IF([2]Baskol!$J$1439="","",[2]Baskol!$J$1439)</f>
        <v/>
      </c>
      <c r="AA1436" t="str">
        <f>IF([2]Baskol!$K$1439="","",[2]Baskol!$K$1439)</f>
        <v/>
      </c>
      <c r="AB1436" t="str">
        <f>IF([2]Baskol!$L$1439="","",[2]Baskol!$L$1439)</f>
        <v/>
      </c>
      <c r="AC1436" t="str">
        <f>IF([2]Baskol!$N$1439="","",[2]Baskol!$N$1439)</f>
        <v/>
      </c>
      <c r="AD1436" t="str">
        <f>IF([2]Baskol!$O$1439="","",[2]Baskol!$O$1439)</f>
        <v/>
      </c>
      <c r="AE1436" t="str">
        <f>IF([3]Entry!$C$1439="","",[3]Entry!$C$1439)</f>
        <v/>
      </c>
      <c r="AF1436" t="str">
        <f>IF([3]Entry!$D$1439="","",[3]Entry!$D$1439)</f>
        <v/>
      </c>
      <c r="AG1436" t="str">
        <f>IF([3]Entry!$E$1439="","",[3]Entry!$E$1439)</f>
        <v/>
      </c>
      <c r="AH1436" t="str">
        <f>IF([3]Entry!$G$1439="","",[3]Entry!$G$1439)</f>
        <v/>
      </c>
      <c r="AI1436" t="str">
        <f>IF([3]Entry!$K$1439="","",[3]Entry!$K$1439)</f>
        <v/>
      </c>
      <c r="AJ1436" t="str">
        <f>IF([3]Entry!$L$1439="","",[3]Entry!$L$1439)</f>
        <v/>
      </c>
      <c r="AK1436" t="str">
        <f>IF([3]Entry!$M$1439="","",[3]Entry!$M$1439)</f>
        <v/>
      </c>
      <c r="AL1436" t="str">
        <f>IF([3]Entry!$N$1439="","",[3]Entry!$N$1439)</f>
        <v/>
      </c>
      <c r="AM1436" t="str">
        <f>IF([3]Entry!$R$1439="","",[3]Entry!$R$1439)</f>
        <v/>
      </c>
    </row>
    <row r="1437" spans="20:39" x14ac:dyDescent="0.2">
      <c r="T1437" t="str">
        <f>IF([2]Baskol!$B$1440="","",[2]Baskol!$B$1440)</f>
        <v/>
      </c>
      <c r="U1437" t="str">
        <f>IF([2]Baskol!$C$1440="","",[2]Baskol!$C$1440)</f>
        <v/>
      </c>
      <c r="V1437" t="str">
        <f>IF([2]Baskol!$D$1440="","",[2]Baskol!$D$1440)</f>
        <v/>
      </c>
      <c r="W1437" t="str">
        <f>IF([2]Baskol!$E$1440="","",[2]Baskol!$E$1440)</f>
        <v/>
      </c>
      <c r="X1437" t="str">
        <f>IF([2]Baskol!$G$1440="","",[2]Baskol!$G$1440)</f>
        <v/>
      </c>
      <c r="Y1437" t="str">
        <f>IF([2]Baskol!$I$1440="","",[2]Baskol!$I$1440)</f>
        <v/>
      </c>
      <c r="Z1437" t="str">
        <f>IF([2]Baskol!$J$1440="","",[2]Baskol!$J$1440)</f>
        <v/>
      </c>
      <c r="AA1437" t="str">
        <f>IF([2]Baskol!$K$1440="","",[2]Baskol!$K$1440)</f>
        <v/>
      </c>
      <c r="AB1437" t="str">
        <f>IF([2]Baskol!$L$1440="","",[2]Baskol!$L$1440)</f>
        <v/>
      </c>
      <c r="AC1437" t="str">
        <f>IF([2]Baskol!$N$1440="","",[2]Baskol!$N$1440)</f>
        <v/>
      </c>
      <c r="AD1437" t="str">
        <f>IF([2]Baskol!$O$1440="","",[2]Baskol!$O$1440)</f>
        <v/>
      </c>
      <c r="AE1437" t="str">
        <f>IF([3]Entry!$C$1440="","",[3]Entry!$C$1440)</f>
        <v/>
      </c>
      <c r="AF1437" t="str">
        <f>IF([3]Entry!$D$1440="","",[3]Entry!$D$1440)</f>
        <v/>
      </c>
      <c r="AG1437" t="str">
        <f>IF([3]Entry!$E$1440="","",[3]Entry!$E$1440)</f>
        <v/>
      </c>
      <c r="AH1437" t="str">
        <f>IF([3]Entry!$G$1440="","",[3]Entry!$G$1440)</f>
        <v/>
      </c>
      <c r="AI1437" t="str">
        <f>IF([3]Entry!$K$1440="","",[3]Entry!$K$1440)</f>
        <v/>
      </c>
      <c r="AJ1437" t="str">
        <f>IF([3]Entry!$L$1440="","",[3]Entry!$L$1440)</f>
        <v/>
      </c>
      <c r="AK1437" t="str">
        <f>IF([3]Entry!$M$1440="","",[3]Entry!$M$1440)</f>
        <v/>
      </c>
      <c r="AL1437" t="str">
        <f>IF([3]Entry!$N$1440="","",[3]Entry!$N$1440)</f>
        <v/>
      </c>
      <c r="AM1437" t="str">
        <f>IF([3]Entry!$R$1440="","",[3]Entry!$R$1440)</f>
        <v/>
      </c>
    </row>
    <row r="1438" spans="20:39" x14ac:dyDescent="0.2">
      <c r="T1438" t="str">
        <f>IF([2]Baskol!$B$1441="","",[2]Baskol!$B$1441)</f>
        <v/>
      </c>
      <c r="U1438" t="str">
        <f>IF([2]Baskol!$C$1441="","",[2]Baskol!$C$1441)</f>
        <v/>
      </c>
      <c r="V1438" t="str">
        <f>IF([2]Baskol!$D$1441="","",[2]Baskol!$D$1441)</f>
        <v/>
      </c>
      <c r="W1438" t="str">
        <f>IF([2]Baskol!$E$1441="","",[2]Baskol!$E$1441)</f>
        <v/>
      </c>
      <c r="X1438" t="str">
        <f>IF([2]Baskol!$G$1441="","",[2]Baskol!$G$1441)</f>
        <v/>
      </c>
      <c r="Y1438" t="str">
        <f>IF([2]Baskol!$I$1441="","",[2]Baskol!$I$1441)</f>
        <v/>
      </c>
      <c r="Z1438" t="str">
        <f>IF([2]Baskol!$J$1441="","",[2]Baskol!$J$1441)</f>
        <v/>
      </c>
      <c r="AA1438" t="str">
        <f>IF([2]Baskol!$K$1441="","",[2]Baskol!$K$1441)</f>
        <v/>
      </c>
      <c r="AB1438" t="str">
        <f>IF([2]Baskol!$L$1441="","",[2]Baskol!$L$1441)</f>
        <v/>
      </c>
      <c r="AC1438" t="str">
        <f>IF([2]Baskol!$N$1441="","",[2]Baskol!$N$1441)</f>
        <v/>
      </c>
      <c r="AD1438" t="str">
        <f>IF([2]Baskol!$O$1441="","",[2]Baskol!$O$1441)</f>
        <v/>
      </c>
      <c r="AE1438" t="str">
        <f>IF([3]Entry!$C$1441="","",[3]Entry!$C$1441)</f>
        <v/>
      </c>
      <c r="AF1438" t="str">
        <f>IF([3]Entry!$D$1441="","",[3]Entry!$D$1441)</f>
        <v/>
      </c>
      <c r="AG1438" t="str">
        <f>IF([3]Entry!$E$1441="","",[3]Entry!$E$1441)</f>
        <v/>
      </c>
      <c r="AH1438" t="str">
        <f>IF([3]Entry!$G$1441="","",[3]Entry!$G$1441)</f>
        <v/>
      </c>
      <c r="AI1438" t="str">
        <f>IF([3]Entry!$K$1441="","",[3]Entry!$K$1441)</f>
        <v/>
      </c>
      <c r="AJ1438" t="str">
        <f>IF([3]Entry!$L$1441="","",[3]Entry!$L$1441)</f>
        <v/>
      </c>
      <c r="AK1438" t="str">
        <f>IF([3]Entry!$M$1441="","",[3]Entry!$M$1441)</f>
        <v/>
      </c>
      <c r="AL1438" t="str">
        <f>IF([3]Entry!$N$1441="","",[3]Entry!$N$1441)</f>
        <v/>
      </c>
      <c r="AM1438" t="str">
        <f>IF([3]Entry!$R$1441="","",[3]Entry!$R$1441)</f>
        <v/>
      </c>
    </row>
    <row r="1439" spans="20:39" x14ac:dyDescent="0.2">
      <c r="T1439" t="str">
        <f>IF([2]Baskol!$B$1442="","",[2]Baskol!$B$1442)</f>
        <v/>
      </c>
      <c r="U1439" t="str">
        <f>IF([2]Baskol!$C$1442="","",[2]Baskol!$C$1442)</f>
        <v/>
      </c>
      <c r="V1439" t="str">
        <f>IF([2]Baskol!$D$1442="","",[2]Baskol!$D$1442)</f>
        <v/>
      </c>
      <c r="W1439" t="str">
        <f>IF([2]Baskol!$E$1442="","",[2]Baskol!$E$1442)</f>
        <v/>
      </c>
      <c r="X1439" t="str">
        <f>IF([2]Baskol!$G$1442="","",[2]Baskol!$G$1442)</f>
        <v/>
      </c>
      <c r="Y1439" t="str">
        <f>IF([2]Baskol!$I$1442="","",[2]Baskol!$I$1442)</f>
        <v/>
      </c>
      <c r="Z1439" t="str">
        <f>IF([2]Baskol!$J$1442="","",[2]Baskol!$J$1442)</f>
        <v/>
      </c>
      <c r="AA1439" t="str">
        <f>IF([2]Baskol!$K$1442="","",[2]Baskol!$K$1442)</f>
        <v/>
      </c>
      <c r="AB1439" t="str">
        <f>IF([2]Baskol!$L$1442="","",[2]Baskol!$L$1442)</f>
        <v/>
      </c>
      <c r="AC1439" t="str">
        <f>IF([2]Baskol!$N$1442="","",[2]Baskol!$N$1442)</f>
        <v/>
      </c>
      <c r="AD1439" t="str">
        <f>IF([2]Baskol!$O$1442="","",[2]Baskol!$O$1442)</f>
        <v/>
      </c>
      <c r="AE1439" t="str">
        <f>IF([3]Entry!$C$1442="","",[3]Entry!$C$1442)</f>
        <v/>
      </c>
      <c r="AF1439" t="str">
        <f>IF([3]Entry!$D$1442="","",[3]Entry!$D$1442)</f>
        <v/>
      </c>
      <c r="AG1439" t="str">
        <f>IF([3]Entry!$E$1442="","",[3]Entry!$E$1442)</f>
        <v/>
      </c>
      <c r="AH1439" t="str">
        <f>IF([3]Entry!$G$1442="","",[3]Entry!$G$1442)</f>
        <v/>
      </c>
      <c r="AI1439" t="str">
        <f>IF([3]Entry!$K$1442="","",[3]Entry!$K$1442)</f>
        <v/>
      </c>
      <c r="AJ1439" t="str">
        <f>IF([3]Entry!$L$1442="","",[3]Entry!$L$1442)</f>
        <v/>
      </c>
      <c r="AK1439" t="str">
        <f>IF([3]Entry!$M$1442="","",[3]Entry!$M$1442)</f>
        <v/>
      </c>
      <c r="AL1439" t="str">
        <f>IF([3]Entry!$N$1442="","",[3]Entry!$N$1442)</f>
        <v/>
      </c>
      <c r="AM1439" t="str">
        <f>IF([3]Entry!$R$1442="","",[3]Entry!$R$1442)</f>
        <v/>
      </c>
    </row>
    <row r="1440" spans="20:39" x14ac:dyDescent="0.2">
      <c r="T1440" t="str">
        <f>IF([2]Baskol!$B$1443="","",[2]Baskol!$B$1443)</f>
        <v/>
      </c>
      <c r="U1440" t="str">
        <f>IF([2]Baskol!$C$1443="","",[2]Baskol!$C$1443)</f>
        <v/>
      </c>
      <c r="V1440" t="str">
        <f>IF([2]Baskol!$D$1443="","",[2]Baskol!$D$1443)</f>
        <v/>
      </c>
      <c r="W1440" t="str">
        <f>IF([2]Baskol!$E$1443="","",[2]Baskol!$E$1443)</f>
        <v/>
      </c>
      <c r="X1440" t="str">
        <f>IF([2]Baskol!$G$1443="","",[2]Baskol!$G$1443)</f>
        <v/>
      </c>
      <c r="Y1440" t="str">
        <f>IF([2]Baskol!$I$1443="","",[2]Baskol!$I$1443)</f>
        <v/>
      </c>
      <c r="Z1440" t="str">
        <f>IF([2]Baskol!$J$1443="","",[2]Baskol!$J$1443)</f>
        <v/>
      </c>
      <c r="AA1440" t="str">
        <f>IF([2]Baskol!$K$1443="","",[2]Baskol!$K$1443)</f>
        <v/>
      </c>
      <c r="AB1440" t="str">
        <f>IF([2]Baskol!$L$1443="","",[2]Baskol!$L$1443)</f>
        <v/>
      </c>
      <c r="AC1440" t="str">
        <f>IF([2]Baskol!$N$1443="","",[2]Baskol!$N$1443)</f>
        <v/>
      </c>
      <c r="AD1440" t="str">
        <f>IF([2]Baskol!$O$1443="","",[2]Baskol!$O$1443)</f>
        <v/>
      </c>
      <c r="AE1440" t="str">
        <f>IF([3]Entry!$C$1443="","",[3]Entry!$C$1443)</f>
        <v/>
      </c>
      <c r="AF1440" t="str">
        <f>IF([3]Entry!$D$1443="","",[3]Entry!$D$1443)</f>
        <v/>
      </c>
      <c r="AG1440" t="str">
        <f>IF([3]Entry!$E$1443="","",[3]Entry!$E$1443)</f>
        <v/>
      </c>
      <c r="AH1440" t="str">
        <f>IF([3]Entry!$G$1443="","",[3]Entry!$G$1443)</f>
        <v/>
      </c>
      <c r="AI1440" t="str">
        <f>IF([3]Entry!$K$1443="","",[3]Entry!$K$1443)</f>
        <v/>
      </c>
      <c r="AJ1440" t="str">
        <f>IF([3]Entry!$L$1443="","",[3]Entry!$L$1443)</f>
        <v/>
      </c>
      <c r="AK1440" t="str">
        <f>IF([3]Entry!$M$1443="","",[3]Entry!$M$1443)</f>
        <v/>
      </c>
      <c r="AL1440" t="str">
        <f>IF([3]Entry!$N$1443="","",[3]Entry!$N$1443)</f>
        <v/>
      </c>
      <c r="AM1440" t="str">
        <f>IF([3]Entry!$R$1443="","",[3]Entry!$R$1443)</f>
        <v/>
      </c>
    </row>
    <row r="1441" spans="20:39" x14ac:dyDescent="0.2">
      <c r="T1441" t="str">
        <f>IF([2]Baskol!$B$1444="","",[2]Baskol!$B$1444)</f>
        <v/>
      </c>
      <c r="U1441" t="str">
        <f>IF([2]Baskol!$C$1444="","",[2]Baskol!$C$1444)</f>
        <v/>
      </c>
      <c r="V1441" t="str">
        <f>IF([2]Baskol!$D$1444="","",[2]Baskol!$D$1444)</f>
        <v/>
      </c>
      <c r="W1441" t="str">
        <f>IF([2]Baskol!$E$1444="","",[2]Baskol!$E$1444)</f>
        <v/>
      </c>
      <c r="X1441" t="str">
        <f>IF([2]Baskol!$G$1444="","",[2]Baskol!$G$1444)</f>
        <v/>
      </c>
      <c r="Y1441" t="str">
        <f>IF([2]Baskol!$I$1444="","",[2]Baskol!$I$1444)</f>
        <v/>
      </c>
      <c r="Z1441" t="str">
        <f>IF([2]Baskol!$J$1444="","",[2]Baskol!$J$1444)</f>
        <v/>
      </c>
      <c r="AA1441" t="str">
        <f>IF([2]Baskol!$K$1444="","",[2]Baskol!$K$1444)</f>
        <v/>
      </c>
      <c r="AB1441" t="str">
        <f>IF([2]Baskol!$L$1444="","",[2]Baskol!$L$1444)</f>
        <v/>
      </c>
      <c r="AC1441" t="str">
        <f>IF([2]Baskol!$N$1444="","",[2]Baskol!$N$1444)</f>
        <v/>
      </c>
      <c r="AD1441" t="str">
        <f>IF([2]Baskol!$O$1444="","",[2]Baskol!$O$1444)</f>
        <v/>
      </c>
      <c r="AE1441" t="str">
        <f>IF([3]Entry!$C$1444="","",[3]Entry!$C$1444)</f>
        <v/>
      </c>
      <c r="AF1441" t="str">
        <f>IF([3]Entry!$D$1444="","",[3]Entry!$D$1444)</f>
        <v/>
      </c>
      <c r="AG1441" t="str">
        <f>IF([3]Entry!$E$1444="","",[3]Entry!$E$1444)</f>
        <v/>
      </c>
      <c r="AH1441" t="str">
        <f>IF([3]Entry!$G$1444="","",[3]Entry!$G$1444)</f>
        <v/>
      </c>
      <c r="AI1441" t="str">
        <f>IF([3]Entry!$K$1444="","",[3]Entry!$K$1444)</f>
        <v/>
      </c>
      <c r="AJ1441" t="str">
        <f>IF([3]Entry!$L$1444="","",[3]Entry!$L$1444)</f>
        <v/>
      </c>
      <c r="AK1441" t="str">
        <f>IF([3]Entry!$M$1444="","",[3]Entry!$M$1444)</f>
        <v/>
      </c>
      <c r="AL1441" t="str">
        <f>IF([3]Entry!$N$1444="","",[3]Entry!$N$1444)</f>
        <v/>
      </c>
      <c r="AM1441" t="str">
        <f>IF([3]Entry!$R$1444="","",[3]Entry!$R$1444)</f>
        <v/>
      </c>
    </row>
    <row r="1442" spans="20:39" x14ac:dyDescent="0.2">
      <c r="T1442" t="str">
        <f>IF([2]Baskol!$B$1445="","",[2]Baskol!$B$1445)</f>
        <v/>
      </c>
      <c r="U1442" t="str">
        <f>IF([2]Baskol!$C$1445="","",[2]Baskol!$C$1445)</f>
        <v/>
      </c>
      <c r="V1442" t="str">
        <f>IF([2]Baskol!$D$1445="","",[2]Baskol!$D$1445)</f>
        <v/>
      </c>
      <c r="W1442" t="str">
        <f>IF([2]Baskol!$E$1445="","",[2]Baskol!$E$1445)</f>
        <v/>
      </c>
      <c r="X1442" t="str">
        <f>IF([2]Baskol!$G$1445="","",[2]Baskol!$G$1445)</f>
        <v/>
      </c>
      <c r="Y1442" t="str">
        <f>IF([2]Baskol!$I$1445="","",[2]Baskol!$I$1445)</f>
        <v/>
      </c>
      <c r="Z1442" t="str">
        <f>IF([2]Baskol!$J$1445="","",[2]Baskol!$J$1445)</f>
        <v/>
      </c>
      <c r="AA1442" t="str">
        <f>IF([2]Baskol!$K$1445="","",[2]Baskol!$K$1445)</f>
        <v/>
      </c>
      <c r="AB1442" t="str">
        <f>IF([2]Baskol!$L$1445="","",[2]Baskol!$L$1445)</f>
        <v/>
      </c>
      <c r="AC1442" t="str">
        <f>IF([2]Baskol!$N$1445="","",[2]Baskol!$N$1445)</f>
        <v/>
      </c>
      <c r="AD1442" t="str">
        <f>IF([2]Baskol!$O$1445="","",[2]Baskol!$O$1445)</f>
        <v/>
      </c>
      <c r="AE1442" t="str">
        <f>IF([3]Entry!$C$1445="","",[3]Entry!$C$1445)</f>
        <v/>
      </c>
      <c r="AF1442" t="str">
        <f>IF([3]Entry!$D$1445="","",[3]Entry!$D$1445)</f>
        <v/>
      </c>
      <c r="AG1442" t="str">
        <f>IF([3]Entry!$E$1445="","",[3]Entry!$E$1445)</f>
        <v/>
      </c>
      <c r="AH1442" t="str">
        <f>IF([3]Entry!$G$1445="","",[3]Entry!$G$1445)</f>
        <v/>
      </c>
      <c r="AI1442" t="str">
        <f>IF([3]Entry!$K$1445="","",[3]Entry!$K$1445)</f>
        <v/>
      </c>
      <c r="AJ1442" t="str">
        <f>IF([3]Entry!$L$1445="","",[3]Entry!$L$1445)</f>
        <v/>
      </c>
      <c r="AK1442" t="str">
        <f>IF([3]Entry!$M$1445="","",[3]Entry!$M$1445)</f>
        <v/>
      </c>
      <c r="AL1442" t="str">
        <f>IF([3]Entry!$N$1445="","",[3]Entry!$N$1445)</f>
        <v/>
      </c>
      <c r="AM1442" t="str">
        <f>IF([3]Entry!$R$1445="","",[3]Entry!$R$1445)</f>
        <v/>
      </c>
    </row>
    <row r="1443" spans="20:39" x14ac:dyDescent="0.2">
      <c r="T1443" t="str">
        <f>IF([2]Baskol!$B$1446="","",[2]Baskol!$B$1446)</f>
        <v/>
      </c>
      <c r="U1443" t="str">
        <f>IF([2]Baskol!$C$1446="","",[2]Baskol!$C$1446)</f>
        <v/>
      </c>
      <c r="V1443" t="str">
        <f>IF([2]Baskol!$D$1446="","",[2]Baskol!$D$1446)</f>
        <v/>
      </c>
      <c r="W1443" t="str">
        <f>IF([2]Baskol!$E$1446="","",[2]Baskol!$E$1446)</f>
        <v/>
      </c>
      <c r="X1443" t="str">
        <f>IF([2]Baskol!$G$1446="","",[2]Baskol!$G$1446)</f>
        <v/>
      </c>
      <c r="Y1443" t="str">
        <f>IF([2]Baskol!$I$1446="","",[2]Baskol!$I$1446)</f>
        <v/>
      </c>
      <c r="Z1443" t="str">
        <f>IF([2]Baskol!$J$1446="","",[2]Baskol!$J$1446)</f>
        <v/>
      </c>
      <c r="AA1443" t="str">
        <f>IF([2]Baskol!$K$1446="","",[2]Baskol!$K$1446)</f>
        <v/>
      </c>
      <c r="AB1443" t="str">
        <f>IF([2]Baskol!$L$1446="","",[2]Baskol!$L$1446)</f>
        <v/>
      </c>
      <c r="AC1443" t="str">
        <f>IF([2]Baskol!$N$1446="","",[2]Baskol!$N$1446)</f>
        <v/>
      </c>
      <c r="AD1443" t="str">
        <f>IF([2]Baskol!$O$1446="","",[2]Baskol!$O$1446)</f>
        <v/>
      </c>
      <c r="AE1443" t="str">
        <f>IF([3]Entry!$C$1446="","",[3]Entry!$C$1446)</f>
        <v/>
      </c>
      <c r="AF1443" t="str">
        <f>IF([3]Entry!$D$1446="","",[3]Entry!$D$1446)</f>
        <v/>
      </c>
      <c r="AG1443" t="str">
        <f>IF([3]Entry!$E$1446="","",[3]Entry!$E$1446)</f>
        <v/>
      </c>
      <c r="AH1443" t="str">
        <f>IF([3]Entry!$G$1446="","",[3]Entry!$G$1446)</f>
        <v/>
      </c>
      <c r="AI1443" t="str">
        <f>IF([3]Entry!$K$1446="","",[3]Entry!$K$1446)</f>
        <v/>
      </c>
      <c r="AJ1443" t="str">
        <f>IF([3]Entry!$L$1446="","",[3]Entry!$L$1446)</f>
        <v/>
      </c>
      <c r="AK1443" t="str">
        <f>IF([3]Entry!$M$1446="","",[3]Entry!$M$1446)</f>
        <v/>
      </c>
      <c r="AL1443" t="str">
        <f>IF([3]Entry!$N$1446="","",[3]Entry!$N$1446)</f>
        <v/>
      </c>
      <c r="AM1443" t="str">
        <f>IF([3]Entry!$R$1446="","",[3]Entry!$R$1446)</f>
        <v/>
      </c>
    </row>
    <row r="1444" spans="20:39" x14ac:dyDescent="0.2">
      <c r="T1444" t="str">
        <f>IF([2]Baskol!$B$1447="","",[2]Baskol!$B$1447)</f>
        <v/>
      </c>
      <c r="U1444" t="str">
        <f>IF([2]Baskol!$C$1447="","",[2]Baskol!$C$1447)</f>
        <v/>
      </c>
      <c r="V1444" t="str">
        <f>IF([2]Baskol!$D$1447="","",[2]Baskol!$D$1447)</f>
        <v/>
      </c>
      <c r="W1444" t="str">
        <f>IF([2]Baskol!$E$1447="","",[2]Baskol!$E$1447)</f>
        <v/>
      </c>
      <c r="X1444" t="str">
        <f>IF([2]Baskol!$G$1447="","",[2]Baskol!$G$1447)</f>
        <v/>
      </c>
      <c r="Y1444" t="str">
        <f>IF([2]Baskol!$I$1447="","",[2]Baskol!$I$1447)</f>
        <v/>
      </c>
      <c r="Z1444" t="str">
        <f>IF([2]Baskol!$J$1447="","",[2]Baskol!$J$1447)</f>
        <v/>
      </c>
      <c r="AA1444" t="str">
        <f>IF([2]Baskol!$K$1447="","",[2]Baskol!$K$1447)</f>
        <v/>
      </c>
      <c r="AB1444" t="str">
        <f>IF([2]Baskol!$L$1447="","",[2]Baskol!$L$1447)</f>
        <v/>
      </c>
      <c r="AC1444" t="str">
        <f>IF([2]Baskol!$N$1447="","",[2]Baskol!$N$1447)</f>
        <v/>
      </c>
      <c r="AD1444" t="str">
        <f>IF([2]Baskol!$O$1447="","",[2]Baskol!$O$1447)</f>
        <v/>
      </c>
      <c r="AE1444" t="str">
        <f>IF([3]Entry!$C$1447="","",[3]Entry!$C$1447)</f>
        <v/>
      </c>
      <c r="AF1444" t="str">
        <f>IF([3]Entry!$D$1447="","",[3]Entry!$D$1447)</f>
        <v/>
      </c>
      <c r="AG1444" t="str">
        <f>IF([3]Entry!$E$1447="","",[3]Entry!$E$1447)</f>
        <v/>
      </c>
      <c r="AH1444" t="str">
        <f>IF([3]Entry!$G$1447="","",[3]Entry!$G$1447)</f>
        <v/>
      </c>
      <c r="AI1444" t="str">
        <f>IF([3]Entry!$K$1447="","",[3]Entry!$K$1447)</f>
        <v/>
      </c>
      <c r="AJ1444" t="str">
        <f>IF([3]Entry!$L$1447="","",[3]Entry!$L$1447)</f>
        <v/>
      </c>
      <c r="AK1444" t="str">
        <f>IF([3]Entry!$M$1447="","",[3]Entry!$M$1447)</f>
        <v/>
      </c>
      <c r="AL1444" t="str">
        <f>IF([3]Entry!$N$1447="","",[3]Entry!$N$1447)</f>
        <v/>
      </c>
      <c r="AM1444" t="str">
        <f>IF([3]Entry!$R$1447="","",[3]Entry!$R$1447)</f>
        <v/>
      </c>
    </row>
    <row r="1445" spans="20:39" x14ac:dyDescent="0.2">
      <c r="T1445" t="str">
        <f>IF([2]Baskol!$B$1448="","",[2]Baskol!$B$1448)</f>
        <v/>
      </c>
      <c r="U1445" t="str">
        <f>IF([2]Baskol!$C$1448="","",[2]Baskol!$C$1448)</f>
        <v/>
      </c>
      <c r="V1445" t="str">
        <f>IF([2]Baskol!$D$1448="","",[2]Baskol!$D$1448)</f>
        <v/>
      </c>
      <c r="W1445" t="str">
        <f>IF([2]Baskol!$E$1448="","",[2]Baskol!$E$1448)</f>
        <v/>
      </c>
      <c r="X1445" t="str">
        <f>IF([2]Baskol!$G$1448="","",[2]Baskol!$G$1448)</f>
        <v/>
      </c>
      <c r="Y1445" t="str">
        <f>IF([2]Baskol!$I$1448="","",[2]Baskol!$I$1448)</f>
        <v/>
      </c>
      <c r="Z1445" t="str">
        <f>IF([2]Baskol!$J$1448="","",[2]Baskol!$J$1448)</f>
        <v/>
      </c>
      <c r="AA1445" t="str">
        <f>IF([2]Baskol!$K$1448="","",[2]Baskol!$K$1448)</f>
        <v/>
      </c>
      <c r="AB1445" t="str">
        <f>IF([2]Baskol!$L$1448="","",[2]Baskol!$L$1448)</f>
        <v/>
      </c>
      <c r="AC1445" t="str">
        <f>IF([2]Baskol!$N$1448="","",[2]Baskol!$N$1448)</f>
        <v/>
      </c>
      <c r="AD1445" t="str">
        <f>IF([2]Baskol!$O$1448="","",[2]Baskol!$O$1448)</f>
        <v/>
      </c>
      <c r="AE1445" t="str">
        <f>IF([3]Entry!$C$1448="","",[3]Entry!$C$1448)</f>
        <v/>
      </c>
      <c r="AF1445" t="str">
        <f>IF([3]Entry!$D$1448="","",[3]Entry!$D$1448)</f>
        <v/>
      </c>
      <c r="AG1445" t="str">
        <f>IF([3]Entry!$E$1448="","",[3]Entry!$E$1448)</f>
        <v/>
      </c>
      <c r="AH1445" t="str">
        <f>IF([3]Entry!$G$1448="","",[3]Entry!$G$1448)</f>
        <v/>
      </c>
      <c r="AI1445" t="str">
        <f>IF([3]Entry!$K$1448="","",[3]Entry!$K$1448)</f>
        <v/>
      </c>
      <c r="AJ1445" t="str">
        <f>IF([3]Entry!$L$1448="","",[3]Entry!$L$1448)</f>
        <v/>
      </c>
      <c r="AK1445" t="str">
        <f>IF([3]Entry!$M$1448="","",[3]Entry!$M$1448)</f>
        <v/>
      </c>
      <c r="AL1445" t="str">
        <f>IF([3]Entry!$N$1448="","",[3]Entry!$N$1448)</f>
        <v/>
      </c>
      <c r="AM1445" t="str">
        <f>IF([3]Entry!$R$1448="","",[3]Entry!$R$1448)</f>
        <v/>
      </c>
    </row>
    <row r="1446" spans="20:39" x14ac:dyDescent="0.2">
      <c r="T1446" t="str">
        <f>IF([2]Baskol!$B$1449="","",[2]Baskol!$B$1449)</f>
        <v/>
      </c>
      <c r="U1446" t="str">
        <f>IF([2]Baskol!$C$1449="","",[2]Baskol!$C$1449)</f>
        <v/>
      </c>
      <c r="V1446" t="str">
        <f>IF([2]Baskol!$D$1449="","",[2]Baskol!$D$1449)</f>
        <v/>
      </c>
      <c r="W1446" t="str">
        <f>IF([2]Baskol!$E$1449="","",[2]Baskol!$E$1449)</f>
        <v/>
      </c>
      <c r="X1446" t="str">
        <f>IF([2]Baskol!$G$1449="","",[2]Baskol!$G$1449)</f>
        <v/>
      </c>
      <c r="Y1446" t="str">
        <f>IF([2]Baskol!$I$1449="","",[2]Baskol!$I$1449)</f>
        <v/>
      </c>
      <c r="Z1446" t="str">
        <f>IF([2]Baskol!$J$1449="","",[2]Baskol!$J$1449)</f>
        <v/>
      </c>
      <c r="AA1446" t="str">
        <f>IF([2]Baskol!$K$1449="","",[2]Baskol!$K$1449)</f>
        <v/>
      </c>
      <c r="AB1446" t="str">
        <f>IF([2]Baskol!$L$1449="","",[2]Baskol!$L$1449)</f>
        <v/>
      </c>
      <c r="AC1446" t="str">
        <f>IF([2]Baskol!$N$1449="","",[2]Baskol!$N$1449)</f>
        <v/>
      </c>
      <c r="AD1446" t="str">
        <f>IF([2]Baskol!$O$1449="","",[2]Baskol!$O$1449)</f>
        <v/>
      </c>
      <c r="AE1446" t="str">
        <f>IF([3]Entry!$C$1449="","",[3]Entry!$C$1449)</f>
        <v/>
      </c>
      <c r="AF1446" t="str">
        <f>IF([3]Entry!$D$1449="","",[3]Entry!$D$1449)</f>
        <v/>
      </c>
      <c r="AG1446" t="str">
        <f>IF([3]Entry!$E$1449="","",[3]Entry!$E$1449)</f>
        <v/>
      </c>
      <c r="AH1446" t="str">
        <f>IF([3]Entry!$G$1449="","",[3]Entry!$G$1449)</f>
        <v/>
      </c>
      <c r="AI1446" t="str">
        <f>IF([3]Entry!$K$1449="","",[3]Entry!$K$1449)</f>
        <v/>
      </c>
      <c r="AJ1446" t="str">
        <f>IF([3]Entry!$L$1449="","",[3]Entry!$L$1449)</f>
        <v/>
      </c>
      <c r="AK1446" t="str">
        <f>IF([3]Entry!$M$1449="","",[3]Entry!$M$1449)</f>
        <v/>
      </c>
      <c r="AL1446" t="str">
        <f>IF([3]Entry!$N$1449="","",[3]Entry!$N$1449)</f>
        <v/>
      </c>
      <c r="AM1446" t="str">
        <f>IF([3]Entry!$R$1449="","",[3]Entry!$R$1449)</f>
        <v/>
      </c>
    </row>
    <row r="1447" spans="20:39" x14ac:dyDescent="0.2">
      <c r="T1447" t="str">
        <f>IF([2]Baskol!$B$1450="","",[2]Baskol!$B$1450)</f>
        <v/>
      </c>
      <c r="U1447" t="str">
        <f>IF([2]Baskol!$C$1450="","",[2]Baskol!$C$1450)</f>
        <v/>
      </c>
      <c r="V1447" t="str">
        <f>IF([2]Baskol!$D$1450="","",[2]Baskol!$D$1450)</f>
        <v/>
      </c>
      <c r="W1447" t="str">
        <f>IF([2]Baskol!$E$1450="","",[2]Baskol!$E$1450)</f>
        <v/>
      </c>
      <c r="X1447" t="str">
        <f>IF([2]Baskol!$G$1450="","",[2]Baskol!$G$1450)</f>
        <v/>
      </c>
      <c r="Y1447" t="str">
        <f>IF([2]Baskol!$I$1450="","",[2]Baskol!$I$1450)</f>
        <v/>
      </c>
      <c r="Z1447" t="str">
        <f>IF([2]Baskol!$J$1450="","",[2]Baskol!$J$1450)</f>
        <v/>
      </c>
      <c r="AA1447" t="str">
        <f>IF([2]Baskol!$K$1450="","",[2]Baskol!$K$1450)</f>
        <v/>
      </c>
      <c r="AB1447" t="str">
        <f>IF([2]Baskol!$L$1450="","",[2]Baskol!$L$1450)</f>
        <v/>
      </c>
      <c r="AC1447" t="str">
        <f>IF([2]Baskol!$N$1450="","",[2]Baskol!$N$1450)</f>
        <v/>
      </c>
      <c r="AD1447" t="str">
        <f>IF([2]Baskol!$O$1450="","",[2]Baskol!$O$1450)</f>
        <v/>
      </c>
      <c r="AE1447" t="str">
        <f>IF([3]Entry!$C$1450="","",[3]Entry!$C$1450)</f>
        <v/>
      </c>
      <c r="AF1447" t="str">
        <f>IF([3]Entry!$D$1450="","",[3]Entry!$D$1450)</f>
        <v/>
      </c>
      <c r="AG1447" t="str">
        <f>IF([3]Entry!$E$1450="","",[3]Entry!$E$1450)</f>
        <v/>
      </c>
      <c r="AH1447" t="str">
        <f>IF([3]Entry!$G$1450="","",[3]Entry!$G$1450)</f>
        <v/>
      </c>
      <c r="AI1447" t="str">
        <f>IF([3]Entry!$K$1450="","",[3]Entry!$K$1450)</f>
        <v/>
      </c>
      <c r="AJ1447" t="str">
        <f>IF([3]Entry!$L$1450="","",[3]Entry!$L$1450)</f>
        <v/>
      </c>
      <c r="AK1447" t="str">
        <f>IF([3]Entry!$M$1450="","",[3]Entry!$M$1450)</f>
        <v/>
      </c>
      <c r="AL1447" t="str">
        <f>IF([3]Entry!$N$1450="","",[3]Entry!$N$1450)</f>
        <v/>
      </c>
      <c r="AM1447" t="str">
        <f>IF([3]Entry!$R$1450="","",[3]Entry!$R$1450)</f>
        <v/>
      </c>
    </row>
    <row r="1448" spans="20:39" x14ac:dyDescent="0.2">
      <c r="T1448" t="str">
        <f>IF([2]Baskol!$B$1451="","",[2]Baskol!$B$1451)</f>
        <v/>
      </c>
      <c r="U1448" t="str">
        <f>IF([2]Baskol!$C$1451="","",[2]Baskol!$C$1451)</f>
        <v/>
      </c>
      <c r="V1448" t="str">
        <f>IF([2]Baskol!$D$1451="","",[2]Baskol!$D$1451)</f>
        <v/>
      </c>
      <c r="W1448" t="str">
        <f>IF([2]Baskol!$E$1451="","",[2]Baskol!$E$1451)</f>
        <v/>
      </c>
      <c r="X1448" t="str">
        <f>IF([2]Baskol!$G$1451="","",[2]Baskol!$G$1451)</f>
        <v/>
      </c>
      <c r="Y1448" t="str">
        <f>IF([2]Baskol!$I$1451="","",[2]Baskol!$I$1451)</f>
        <v/>
      </c>
      <c r="Z1448" t="str">
        <f>IF([2]Baskol!$J$1451="","",[2]Baskol!$J$1451)</f>
        <v/>
      </c>
      <c r="AA1448" t="str">
        <f>IF([2]Baskol!$K$1451="","",[2]Baskol!$K$1451)</f>
        <v/>
      </c>
      <c r="AB1448" t="str">
        <f>IF([2]Baskol!$L$1451="","",[2]Baskol!$L$1451)</f>
        <v/>
      </c>
      <c r="AC1448" t="str">
        <f>IF([2]Baskol!$N$1451="","",[2]Baskol!$N$1451)</f>
        <v/>
      </c>
      <c r="AD1448" t="str">
        <f>IF([2]Baskol!$O$1451="","",[2]Baskol!$O$1451)</f>
        <v/>
      </c>
      <c r="AE1448" t="str">
        <f>IF([3]Entry!$C$1451="","",[3]Entry!$C$1451)</f>
        <v/>
      </c>
      <c r="AF1448" t="str">
        <f>IF([3]Entry!$D$1451="","",[3]Entry!$D$1451)</f>
        <v/>
      </c>
      <c r="AG1448" t="str">
        <f>IF([3]Entry!$E$1451="","",[3]Entry!$E$1451)</f>
        <v/>
      </c>
      <c r="AH1448" t="str">
        <f>IF([3]Entry!$G$1451="","",[3]Entry!$G$1451)</f>
        <v/>
      </c>
      <c r="AI1448" t="str">
        <f>IF([3]Entry!$K$1451="","",[3]Entry!$K$1451)</f>
        <v/>
      </c>
      <c r="AJ1448" t="str">
        <f>IF([3]Entry!$L$1451="","",[3]Entry!$L$1451)</f>
        <v/>
      </c>
      <c r="AK1448" t="str">
        <f>IF([3]Entry!$M$1451="","",[3]Entry!$M$1451)</f>
        <v/>
      </c>
      <c r="AL1448" t="str">
        <f>IF([3]Entry!$N$1451="","",[3]Entry!$N$1451)</f>
        <v/>
      </c>
      <c r="AM1448" t="str">
        <f>IF([3]Entry!$R$1451="","",[3]Entry!$R$1451)</f>
        <v/>
      </c>
    </row>
    <row r="1449" spans="20:39" x14ac:dyDescent="0.2">
      <c r="T1449" t="str">
        <f>IF([2]Baskol!$B$1452="","",[2]Baskol!$B$1452)</f>
        <v/>
      </c>
      <c r="U1449" t="str">
        <f>IF([2]Baskol!$C$1452="","",[2]Baskol!$C$1452)</f>
        <v/>
      </c>
      <c r="V1449" t="str">
        <f>IF([2]Baskol!$D$1452="","",[2]Baskol!$D$1452)</f>
        <v/>
      </c>
      <c r="W1449" t="str">
        <f>IF([2]Baskol!$E$1452="","",[2]Baskol!$E$1452)</f>
        <v/>
      </c>
      <c r="X1449" t="str">
        <f>IF([2]Baskol!$G$1452="","",[2]Baskol!$G$1452)</f>
        <v/>
      </c>
      <c r="Y1449" t="str">
        <f>IF([2]Baskol!$I$1452="","",[2]Baskol!$I$1452)</f>
        <v/>
      </c>
      <c r="Z1449" t="str">
        <f>IF([2]Baskol!$J$1452="","",[2]Baskol!$J$1452)</f>
        <v/>
      </c>
      <c r="AA1449" t="str">
        <f>IF([2]Baskol!$K$1452="","",[2]Baskol!$K$1452)</f>
        <v/>
      </c>
      <c r="AB1449" t="str">
        <f>IF([2]Baskol!$L$1452="","",[2]Baskol!$L$1452)</f>
        <v/>
      </c>
      <c r="AC1449" t="str">
        <f>IF([2]Baskol!$N$1452="","",[2]Baskol!$N$1452)</f>
        <v/>
      </c>
      <c r="AD1449" t="str">
        <f>IF([2]Baskol!$O$1452="","",[2]Baskol!$O$1452)</f>
        <v/>
      </c>
      <c r="AE1449" t="str">
        <f>IF([3]Entry!$C$1452="","",[3]Entry!$C$1452)</f>
        <v/>
      </c>
      <c r="AF1449" t="str">
        <f>IF([3]Entry!$D$1452="","",[3]Entry!$D$1452)</f>
        <v/>
      </c>
      <c r="AG1449" t="str">
        <f>IF([3]Entry!$E$1452="","",[3]Entry!$E$1452)</f>
        <v/>
      </c>
      <c r="AH1449" t="str">
        <f>IF([3]Entry!$G$1452="","",[3]Entry!$G$1452)</f>
        <v/>
      </c>
      <c r="AI1449" t="str">
        <f>IF([3]Entry!$K$1452="","",[3]Entry!$K$1452)</f>
        <v/>
      </c>
      <c r="AJ1449" t="str">
        <f>IF([3]Entry!$L$1452="","",[3]Entry!$L$1452)</f>
        <v/>
      </c>
      <c r="AK1449" t="str">
        <f>IF([3]Entry!$M$1452="","",[3]Entry!$M$1452)</f>
        <v/>
      </c>
      <c r="AL1449" t="str">
        <f>IF([3]Entry!$N$1452="","",[3]Entry!$N$1452)</f>
        <v/>
      </c>
      <c r="AM1449" t="str">
        <f>IF([3]Entry!$R$1452="","",[3]Entry!$R$1452)</f>
        <v/>
      </c>
    </row>
    <row r="1450" spans="20:39" x14ac:dyDescent="0.2">
      <c r="T1450" t="str">
        <f>IF([2]Baskol!$B$1453="","",[2]Baskol!$B$1453)</f>
        <v/>
      </c>
      <c r="U1450" t="str">
        <f>IF([2]Baskol!$C$1453="","",[2]Baskol!$C$1453)</f>
        <v/>
      </c>
      <c r="V1450" t="str">
        <f>IF([2]Baskol!$D$1453="","",[2]Baskol!$D$1453)</f>
        <v/>
      </c>
      <c r="W1450" t="str">
        <f>IF([2]Baskol!$E$1453="","",[2]Baskol!$E$1453)</f>
        <v/>
      </c>
      <c r="X1450" t="str">
        <f>IF([2]Baskol!$G$1453="","",[2]Baskol!$G$1453)</f>
        <v/>
      </c>
      <c r="Y1450" t="str">
        <f>IF([2]Baskol!$I$1453="","",[2]Baskol!$I$1453)</f>
        <v/>
      </c>
      <c r="Z1450" t="str">
        <f>IF([2]Baskol!$J$1453="","",[2]Baskol!$J$1453)</f>
        <v/>
      </c>
      <c r="AA1450" t="str">
        <f>IF([2]Baskol!$K$1453="","",[2]Baskol!$K$1453)</f>
        <v/>
      </c>
      <c r="AB1450" t="str">
        <f>IF([2]Baskol!$L$1453="","",[2]Baskol!$L$1453)</f>
        <v/>
      </c>
      <c r="AC1450" t="str">
        <f>IF([2]Baskol!$N$1453="","",[2]Baskol!$N$1453)</f>
        <v/>
      </c>
      <c r="AD1450" t="str">
        <f>IF([2]Baskol!$O$1453="","",[2]Baskol!$O$1453)</f>
        <v/>
      </c>
      <c r="AE1450" t="str">
        <f>IF([3]Entry!$C$1453="","",[3]Entry!$C$1453)</f>
        <v/>
      </c>
      <c r="AF1450" t="str">
        <f>IF([3]Entry!$D$1453="","",[3]Entry!$D$1453)</f>
        <v/>
      </c>
      <c r="AG1450" t="str">
        <f>IF([3]Entry!$E$1453="","",[3]Entry!$E$1453)</f>
        <v/>
      </c>
      <c r="AH1450" t="str">
        <f>IF([3]Entry!$G$1453="","",[3]Entry!$G$1453)</f>
        <v/>
      </c>
      <c r="AI1450" t="str">
        <f>IF([3]Entry!$K$1453="","",[3]Entry!$K$1453)</f>
        <v/>
      </c>
      <c r="AJ1450" t="str">
        <f>IF([3]Entry!$L$1453="","",[3]Entry!$L$1453)</f>
        <v/>
      </c>
      <c r="AK1450" t="str">
        <f>IF([3]Entry!$M$1453="","",[3]Entry!$M$1453)</f>
        <v/>
      </c>
      <c r="AL1450" t="str">
        <f>IF([3]Entry!$N$1453="","",[3]Entry!$N$1453)</f>
        <v/>
      </c>
      <c r="AM1450" t="str">
        <f>IF([3]Entry!$R$1453="","",[3]Entry!$R$1453)</f>
        <v/>
      </c>
    </row>
    <row r="1451" spans="20:39" x14ac:dyDescent="0.2">
      <c r="T1451" t="str">
        <f>IF([2]Baskol!$B$1454="","",[2]Baskol!$B$1454)</f>
        <v/>
      </c>
      <c r="U1451" t="str">
        <f>IF([2]Baskol!$C$1454="","",[2]Baskol!$C$1454)</f>
        <v/>
      </c>
      <c r="V1451" t="str">
        <f>IF([2]Baskol!$D$1454="","",[2]Baskol!$D$1454)</f>
        <v/>
      </c>
      <c r="W1451" t="str">
        <f>IF([2]Baskol!$E$1454="","",[2]Baskol!$E$1454)</f>
        <v/>
      </c>
      <c r="X1451" t="str">
        <f>IF([2]Baskol!$G$1454="","",[2]Baskol!$G$1454)</f>
        <v/>
      </c>
      <c r="Y1451" t="str">
        <f>IF([2]Baskol!$I$1454="","",[2]Baskol!$I$1454)</f>
        <v/>
      </c>
      <c r="Z1451" t="str">
        <f>IF([2]Baskol!$J$1454="","",[2]Baskol!$J$1454)</f>
        <v/>
      </c>
      <c r="AA1451" t="str">
        <f>IF([2]Baskol!$K$1454="","",[2]Baskol!$K$1454)</f>
        <v/>
      </c>
      <c r="AB1451" t="str">
        <f>IF([2]Baskol!$L$1454="","",[2]Baskol!$L$1454)</f>
        <v/>
      </c>
      <c r="AC1451" t="str">
        <f>IF([2]Baskol!$N$1454="","",[2]Baskol!$N$1454)</f>
        <v/>
      </c>
      <c r="AD1451" t="str">
        <f>IF([2]Baskol!$O$1454="","",[2]Baskol!$O$1454)</f>
        <v/>
      </c>
      <c r="AE1451" t="str">
        <f>IF([3]Entry!$C$1454="","",[3]Entry!$C$1454)</f>
        <v/>
      </c>
      <c r="AF1451" t="str">
        <f>IF([3]Entry!$D$1454="","",[3]Entry!$D$1454)</f>
        <v/>
      </c>
      <c r="AG1451" t="str">
        <f>IF([3]Entry!$E$1454="","",[3]Entry!$E$1454)</f>
        <v/>
      </c>
      <c r="AH1451" t="str">
        <f>IF([3]Entry!$G$1454="","",[3]Entry!$G$1454)</f>
        <v/>
      </c>
      <c r="AI1451" t="str">
        <f>IF([3]Entry!$K$1454="","",[3]Entry!$K$1454)</f>
        <v/>
      </c>
      <c r="AJ1451" t="str">
        <f>IF([3]Entry!$L$1454="","",[3]Entry!$L$1454)</f>
        <v/>
      </c>
      <c r="AK1451" t="str">
        <f>IF([3]Entry!$M$1454="","",[3]Entry!$M$1454)</f>
        <v/>
      </c>
      <c r="AL1451" t="str">
        <f>IF([3]Entry!$N$1454="","",[3]Entry!$N$1454)</f>
        <v/>
      </c>
      <c r="AM1451" t="str">
        <f>IF([3]Entry!$R$1454="","",[3]Entry!$R$1454)</f>
        <v/>
      </c>
    </row>
    <row r="1452" spans="20:39" x14ac:dyDescent="0.2">
      <c r="T1452" t="str">
        <f>IF([2]Baskol!$B$1455="","",[2]Baskol!$B$1455)</f>
        <v/>
      </c>
      <c r="U1452" t="str">
        <f>IF([2]Baskol!$C$1455="","",[2]Baskol!$C$1455)</f>
        <v/>
      </c>
      <c r="V1452" t="str">
        <f>IF([2]Baskol!$D$1455="","",[2]Baskol!$D$1455)</f>
        <v/>
      </c>
      <c r="W1452" t="str">
        <f>IF([2]Baskol!$E$1455="","",[2]Baskol!$E$1455)</f>
        <v/>
      </c>
      <c r="X1452" t="str">
        <f>IF([2]Baskol!$G$1455="","",[2]Baskol!$G$1455)</f>
        <v/>
      </c>
      <c r="Y1452" t="str">
        <f>IF([2]Baskol!$I$1455="","",[2]Baskol!$I$1455)</f>
        <v/>
      </c>
      <c r="Z1452" t="str">
        <f>IF([2]Baskol!$J$1455="","",[2]Baskol!$J$1455)</f>
        <v/>
      </c>
      <c r="AA1452" t="str">
        <f>IF([2]Baskol!$K$1455="","",[2]Baskol!$K$1455)</f>
        <v/>
      </c>
      <c r="AB1452" t="str">
        <f>IF([2]Baskol!$L$1455="","",[2]Baskol!$L$1455)</f>
        <v/>
      </c>
      <c r="AC1452" t="str">
        <f>IF([2]Baskol!$N$1455="","",[2]Baskol!$N$1455)</f>
        <v/>
      </c>
      <c r="AD1452" t="str">
        <f>IF([2]Baskol!$O$1455="","",[2]Baskol!$O$1455)</f>
        <v/>
      </c>
      <c r="AE1452" t="str">
        <f>IF([3]Entry!$C$1455="","",[3]Entry!$C$1455)</f>
        <v/>
      </c>
      <c r="AF1452" t="str">
        <f>IF([3]Entry!$D$1455="","",[3]Entry!$D$1455)</f>
        <v/>
      </c>
      <c r="AG1452" t="str">
        <f>IF([3]Entry!$E$1455="","",[3]Entry!$E$1455)</f>
        <v/>
      </c>
      <c r="AH1452" t="str">
        <f>IF([3]Entry!$G$1455="","",[3]Entry!$G$1455)</f>
        <v/>
      </c>
      <c r="AI1452" t="str">
        <f>IF([3]Entry!$K$1455="","",[3]Entry!$K$1455)</f>
        <v/>
      </c>
      <c r="AJ1452" t="str">
        <f>IF([3]Entry!$L$1455="","",[3]Entry!$L$1455)</f>
        <v/>
      </c>
      <c r="AK1452" t="str">
        <f>IF([3]Entry!$M$1455="","",[3]Entry!$M$1455)</f>
        <v/>
      </c>
      <c r="AL1452" t="str">
        <f>IF([3]Entry!$N$1455="","",[3]Entry!$N$1455)</f>
        <v/>
      </c>
      <c r="AM1452" t="str">
        <f>IF([3]Entry!$R$1455="","",[3]Entry!$R$1455)</f>
        <v/>
      </c>
    </row>
    <row r="1453" spans="20:39" x14ac:dyDescent="0.2">
      <c r="T1453" t="str">
        <f>IF([2]Baskol!$B$1456="","",[2]Baskol!$B$1456)</f>
        <v/>
      </c>
      <c r="U1453" t="str">
        <f>IF([2]Baskol!$C$1456="","",[2]Baskol!$C$1456)</f>
        <v/>
      </c>
      <c r="V1453" t="str">
        <f>IF([2]Baskol!$D$1456="","",[2]Baskol!$D$1456)</f>
        <v/>
      </c>
      <c r="W1453" t="str">
        <f>IF([2]Baskol!$E$1456="","",[2]Baskol!$E$1456)</f>
        <v/>
      </c>
      <c r="X1453" t="str">
        <f>IF([2]Baskol!$G$1456="","",[2]Baskol!$G$1456)</f>
        <v/>
      </c>
      <c r="Y1453" t="str">
        <f>IF([2]Baskol!$I$1456="","",[2]Baskol!$I$1456)</f>
        <v/>
      </c>
      <c r="Z1453" t="str">
        <f>IF([2]Baskol!$J$1456="","",[2]Baskol!$J$1456)</f>
        <v/>
      </c>
      <c r="AA1453" t="str">
        <f>IF([2]Baskol!$K$1456="","",[2]Baskol!$K$1456)</f>
        <v/>
      </c>
      <c r="AB1453" t="str">
        <f>IF([2]Baskol!$L$1456="","",[2]Baskol!$L$1456)</f>
        <v/>
      </c>
      <c r="AC1453" t="str">
        <f>IF([2]Baskol!$N$1456="","",[2]Baskol!$N$1456)</f>
        <v/>
      </c>
      <c r="AD1453" t="str">
        <f>IF([2]Baskol!$O$1456="","",[2]Baskol!$O$1456)</f>
        <v/>
      </c>
      <c r="AE1453" t="str">
        <f>IF([3]Entry!$C$1456="","",[3]Entry!$C$1456)</f>
        <v/>
      </c>
      <c r="AF1453" t="str">
        <f>IF([3]Entry!$D$1456="","",[3]Entry!$D$1456)</f>
        <v/>
      </c>
      <c r="AG1453" t="str">
        <f>IF([3]Entry!$E$1456="","",[3]Entry!$E$1456)</f>
        <v/>
      </c>
      <c r="AH1453" t="str">
        <f>IF([3]Entry!$G$1456="","",[3]Entry!$G$1456)</f>
        <v/>
      </c>
      <c r="AI1453" t="str">
        <f>IF([3]Entry!$K$1456="","",[3]Entry!$K$1456)</f>
        <v/>
      </c>
      <c r="AJ1453" t="str">
        <f>IF([3]Entry!$L$1456="","",[3]Entry!$L$1456)</f>
        <v/>
      </c>
      <c r="AK1453" t="str">
        <f>IF([3]Entry!$M$1456="","",[3]Entry!$M$1456)</f>
        <v/>
      </c>
      <c r="AL1453" t="str">
        <f>IF([3]Entry!$N$1456="","",[3]Entry!$N$1456)</f>
        <v/>
      </c>
      <c r="AM1453" t="str">
        <f>IF([3]Entry!$R$1456="","",[3]Entry!$R$1456)</f>
        <v/>
      </c>
    </row>
    <row r="1454" spans="20:39" x14ac:dyDescent="0.2">
      <c r="T1454" t="str">
        <f>IF([2]Baskol!$B$1457="","",[2]Baskol!$B$1457)</f>
        <v/>
      </c>
      <c r="U1454" t="str">
        <f>IF([2]Baskol!$C$1457="","",[2]Baskol!$C$1457)</f>
        <v/>
      </c>
      <c r="V1454" t="str">
        <f>IF([2]Baskol!$D$1457="","",[2]Baskol!$D$1457)</f>
        <v/>
      </c>
      <c r="W1454" t="str">
        <f>IF([2]Baskol!$E$1457="","",[2]Baskol!$E$1457)</f>
        <v/>
      </c>
      <c r="X1454" t="str">
        <f>IF([2]Baskol!$G$1457="","",[2]Baskol!$G$1457)</f>
        <v/>
      </c>
      <c r="Y1454" t="str">
        <f>IF([2]Baskol!$I$1457="","",[2]Baskol!$I$1457)</f>
        <v/>
      </c>
      <c r="Z1454" t="str">
        <f>IF([2]Baskol!$J$1457="","",[2]Baskol!$J$1457)</f>
        <v/>
      </c>
      <c r="AA1454" t="str">
        <f>IF([2]Baskol!$K$1457="","",[2]Baskol!$K$1457)</f>
        <v/>
      </c>
      <c r="AB1454" t="str">
        <f>IF([2]Baskol!$L$1457="","",[2]Baskol!$L$1457)</f>
        <v/>
      </c>
      <c r="AC1454" t="str">
        <f>IF([2]Baskol!$N$1457="","",[2]Baskol!$N$1457)</f>
        <v/>
      </c>
      <c r="AD1454" t="str">
        <f>IF([2]Baskol!$O$1457="","",[2]Baskol!$O$1457)</f>
        <v/>
      </c>
      <c r="AE1454" t="str">
        <f>IF([3]Entry!$C$1457="","",[3]Entry!$C$1457)</f>
        <v/>
      </c>
      <c r="AF1454" t="str">
        <f>IF([3]Entry!$D$1457="","",[3]Entry!$D$1457)</f>
        <v/>
      </c>
      <c r="AG1454" t="str">
        <f>IF([3]Entry!$E$1457="","",[3]Entry!$E$1457)</f>
        <v/>
      </c>
      <c r="AH1454" t="str">
        <f>IF([3]Entry!$G$1457="","",[3]Entry!$G$1457)</f>
        <v/>
      </c>
      <c r="AI1454" t="str">
        <f>IF([3]Entry!$K$1457="","",[3]Entry!$K$1457)</f>
        <v/>
      </c>
      <c r="AJ1454" t="str">
        <f>IF([3]Entry!$L$1457="","",[3]Entry!$L$1457)</f>
        <v/>
      </c>
      <c r="AK1454" t="str">
        <f>IF([3]Entry!$M$1457="","",[3]Entry!$M$1457)</f>
        <v/>
      </c>
      <c r="AL1454" t="str">
        <f>IF([3]Entry!$N$1457="","",[3]Entry!$N$1457)</f>
        <v/>
      </c>
      <c r="AM1454" t="str">
        <f>IF([3]Entry!$R$1457="","",[3]Entry!$R$1457)</f>
        <v/>
      </c>
    </row>
    <row r="1455" spans="20:39" x14ac:dyDescent="0.2">
      <c r="T1455" t="str">
        <f>IF([2]Baskol!$B$1458="","",[2]Baskol!$B$1458)</f>
        <v/>
      </c>
      <c r="U1455" t="str">
        <f>IF([2]Baskol!$C$1458="","",[2]Baskol!$C$1458)</f>
        <v/>
      </c>
      <c r="V1455" t="str">
        <f>IF([2]Baskol!$D$1458="","",[2]Baskol!$D$1458)</f>
        <v/>
      </c>
      <c r="W1455" t="str">
        <f>IF([2]Baskol!$E$1458="","",[2]Baskol!$E$1458)</f>
        <v/>
      </c>
      <c r="X1455" t="str">
        <f>IF([2]Baskol!$G$1458="","",[2]Baskol!$G$1458)</f>
        <v/>
      </c>
      <c r="Y1455" t="str">
        <f>IF([2]Baskol!$I$1458="","",[2]Baskol!$I$1458)</f>
        <v/>
      </c>
      <c r="Z1455" t="str">
        <f>IF([2]Baskol!$J$1458="","",[2]Baskol!$J$1458)</f>
        <v/>
      </c>
      <c r="AA1455" t="str">
        <f>IF([2]Baskol!$K$1458="","",[2]Baskol!$K$1458)</f>
        <v/>
      </c>
      <c r="AB1455" t="str">
        <f>IF([2]Baskol!$L$1458="","",[2]Baskol!$L$1458)</f>
        <v/>
      </c>
      <c r="AC1455" t="str">
        <f>IF([2]Baskol!$N$1458="","",[2]Baskol!$N$1458)</f>
        <v/>
      </c>
      <c r="AD1455" t="str">
        <f>IF([2]Baskol!$O$1458="","",[2]Baskol!$O$1458)</f>
        <v/>
      </c>
      <c r="AE1455" t="str">
        <f>IF([3]Entry!$C$1458="","",[3]Entry!$C$1458)</f>
        <v/>
      </c>
      <c r="AF1455" t="str">
        <f>IF([3]Entry!$D$1458="","",[3]Entry!$D$1458)</f>
        <v/>
      </c>
      <c r="AG1455" t="str">
        <f>IF([3]Entry!$E$1458="","",[3]Entry!$E$1458)</f>
        <v/>
      </c>
      <c r="AH1455" t="str">
        <f>IF([3]Entry!$G$1458="","",[3]Entry!$G$1458)</f>
        <v/>
      </c>
      <c r="AI1455" t="str">
        <f>IF([3]Entry!$K$1458="","",[3]Entry!$K$1458)</f>
        <v/>
      </c>
      <c r="AJ1455" t="str">
        <f>IF([3]Entry!$L$1458="","",[3]Entry!$L$1458)</f>
        <v/>
      </c>
      <c r="AK1455" t="str">
        <f>IF([3]Entry!$M$1458="","",[3]Entry!$M$1458)</f>
        <v/>
      </c>
      <c r="AL1455" t="str">
        <f>IF([3]Entry!$N$1458="","",[3]Entry!$N$1458)</f>
        <v/>
      </c>
      <c r="AM1455" t="str">
        <f>IF([3]Entry!$R$1458="","",[3]Entry!$R$1458)</f>
        <v/>
      </c>
    </row>
    <row r="1456" spans="20:39" x14ac:dyDescent="0.2">
      <c r="T1456" t="str">
        <f>IF([2]Baskol!$B$1459="","",[2]Baskol!$B$1459)</f>
        <v/>
      </c>
      <c r="U1456" t="str">
        <f>IF([2]Baskol!$C$1459="","",[2]Baskol!$C$1459)</f>
        <v/>
      </c>
      <c r="V1456" t="str">
        <f>IF([2]Baskol!$D$1459="","",[2]Baskol!$D$1459)</f>
        <v/>
      </c>
      <c r="W1456" t="str">
        <f>IF([2]Baskol!$E$1459="","",[2]Baskol!$E$1459)</f>
        <v/>
      </c>
      <c r="X1456" t="str">
        <f>IF([2]Baskol!$G$1459="","",[2]Baskol!$G$1459)</f>
        <v/>
      </c>
      <c r="Y1456" t="str">
        <f>IF([2]Baskol!$I$1459="","",[2]Baskol!$I$1459)</f>
        <v/>
      </c>
      <c r="Z1456" t="str">
        <f>IF([2]Baskol!$J$1459="","",[2]Baskol!$J$1459)</f>
        <v/>
      </c>
      <c r="AA1456" t="str">
        <f>IF([2]Baskol!$K$1459="","",[2]Baskol!$K$1459)</f>
        <v/>
      </c>
      <c r="AB1456" t="str">
        <f>IF([2]Baskol!$L$1459="","",[2]Baskol!$L$1459)</f>
        <v/>
      </c>
      <c r="AC1456" t="str">
        <f>IF([2]Baskol!$N$1459="","",[2]Baskol!$N$1459)</f>
        <v/>
      </c>
      <c r="AD1456" t="str">
        <f>IF([2]Baskol!$O$1459="","",[2]Baskol!$O$1459)</f>
        <v/>
      </c>
      <c r="AE1456" t="str">
        <f>IF([3]Entry!$C$1459="","",[3]Entry!$C$1459)</f>
        <v/>
      </c>
      <c r="AF1456" t="str">
        <f>IF([3]Entry!$D$1459="","",[3]Entry!$D$1459)</f>
        <v/>
      </c>
      <c r="AG1456" t="str">
        <f>IF([3]Entry!$E$1459="","",[3]Entry!$E$1459)</f>
        <v/>
      </c>
      <c r="AH1456" t="str">
        <f>IF([3]Entry!$G$1459="","",[3]Entry!$G$1459)</f>
        <v/>
      </c>
      <c r="AI1456" t="str">
        <f>IF([3]Entry!$K$1459="","",[3]Entry!$K$1459)</f>
        <v/>
      </c>
      <c r="AJ1456" t="str">
        <f>IF([3]Entry!$L$1459="","",[3]Entry!$L$1459)</f>
        <v/>
      </c>
      <c r="AK1456" t="str">
        <f>IF([3]Entry!$M$1459="","",[3]Entry!$M$1459)</f>
        <v/>
      </c>
      <c r="AL1456" t="str">
        <f>IF([3]Entry!$N$1459="","",[3]Entry!$N$1459)</f>
        <v/>
      </c>
      <c r="AM1456" t="str">
        <f>IF([3]Entry!$R$1459="","",[3]Entry!$R$1459)</f>
        <v/>
      </c>
    </row>
    <row r="1457" spans="20:39" x14ac:dyDescent="0.2">
      <c r="T1457" t="str">
        <f>IF([2]Baskol!$B$1460="","",[2]Baskol!$B$1460)</f>
        <v/>
      </c>
      <c r="U1457" t="str">
        <f>IF([2]Baskol!$C$1460="","",[2]Baskol!$C$1460)</f>
        <v/>
      </c>
      <c r="V1457" t="str">
        <f>IF([2]Baskol!$D$1460="","",[2]Baskol!$D$1460)</f>
        <v/>
      </c>
      <c r="W1457" t="str">
        <f>IF([2]Baskol!$E$1460="","",[2]Baskol!$E$1460)</f>
        <v/>
      </c>
      <c r="X1457" t="str">
        <f>IF([2]Baskol!$G$1460="","",[2]Baskol!$G$1460)</f>
        <v/>
      </c>
      <c r="Y1457" t="str">
        <f>IF([2]Baskol!$I$1460="","",[2]Baskol!$I$1460)</f>
        <v/>
      </c>
      <c r="Z1457" t="str">
        <f>IF([2]Baskol!$J$1460="","",[2]Baskol!$J$1460)</f>
        <v/>
      </c>
      <c r="AA1457" t="str">
        <f>IF([2]Baskol!$K$1460="","",[2]Baskol!$K$1460)</f>
        <v/>
      </c>
      <c r="AB1457" t="str">
        <f>IF([2]Baskol!$L$1460="","",[2]Baskol!$L$1460)</f>
        <v/>
      </c>
      <c r="AC1457" t="str">
        <f>IF([2]Baskol!$N$1460="","",[2]Baskol!$N$1460)</f>
        <v/>
      </c>
      <c r="AD1457" t="str">
        <f>IF([2]Baskol!$O$1460="","",[2]Baskol!$O$1460)</f>
        <v/>
      </c>
      <c r="AE1457" t="str">
        <f>IF([3]Entry!$C$1460="","",[3]Entry!$C$1460)</f>
        <v/>
      </c>
      <c r="AF1457" t="str">
        <f>IF([3]Entry!$D$1460="","",[3]Entry!$D$1460)</f>
        <v/>
      </c>
      <c r="AG1457" t="str">
        <f>IF([3]Entry!$E$1460="","",[3]Entry!$E$1460)</f>
        <v/>
      </c>
      <c r="AH1457" t="str">
        <f>IF([3]Entry!$G$1460="","",[3]Entry!$G$1460)</f>
        <v/>
      </c>
      <c r="AI1457" t="str">
        <f>IF([3]Entry!$K$1460="","",[3]Entry!$K$1460)</f>
        <v/>
      </c>
      <c r="AJ1457" t="str">
        <f>IF([3]Entry!$L$1460="","",[3]Entry!$L$1460)</f>
        <v/>
      </c>
      <c r="AK1457" t="str">
        <f>IF([3]Entry!$M$1460="","",[3]Entry!$M$1460)</f>
        <v/>
      </c>
      <c r="AL1457" t="str">
        <f>IF([3]Entry!$N$1460="","",[3]Entry!$N$1460)</f>
        <v/>
      </c>
      <c r="AM1457" t="str">
        <f>IF([3]Entry!$R$1460="","",[3]Entry!$R$1460)</f>
        <v/>
      </c>
    </row>
    <row r="1458" spans="20:39" x14ac:dyDescent="0.2">
      <c r="T1458" t="str">
        <f>IF([2]Baskol!$B$1461="","",[2]Baskol!$B$1461)</f>
        <v/>
      </c>
      <c r="U1458" t="str">
        <f>IF([2]Baskol!$C$1461="","",[2]Baskol!$C$1461)</f>
        <v/>
      </c>
      <c r="V1458" t="str">
        <f>IF([2]Baskol!$D$1461="","",[2]Baskol!$D$1461)</f>
        <v/>
      </c>
      <c r="W1458" t="str">
        <f>IF([2]Baskol!$E$1461="","",[2]Baskol!$E$1461)</f>
        <v/>
      </c>
      <c r="X1458" t="str">
        <f>IF([2]Baskol!$G$1461="","",[2]Baskol!$G$1461)</f>
        <v/>
      </c>
      <c r="Y1458" t="str">
        <f>IF([2]Baskol!$I$1461="","",[2]Baskol!$I$1461)</f>
        <v/>
      </c>
      <c r="Z1458" t="str">
        <f>IF([2]Baskol!$J$1461="","",[2]Baskol!$J$1461)</f>
        <v/>
      </c>
      <c r="AA1458" t="str">
        <f>IF([2]Baskol!$K$1461="","",[2]Baskol!$K$1461)</f>
        <v/>
      </c>
      <c r="AB1458" t="str">
        <f>IF([2]Baskol!$L$1461="","",[2]Baskol!$L$1461)</f>
        <v/>
      </c>
      <c r="AC1458" t="str">
        <f>IF([2]Baskol!$N$1461="","",[2]Baskol!$N$1461)</f>
        <v/>
      </c>
      <c r="AD1458" t="str">
        <f>IF([2]Baskol!$O$1461="","",[2]Baskol!$O$1461)</f>
        <v/>
      </c>
      <c r="AE1458" t="str">
        <f>IF([3]Entry!$C$1461="","",[3]Entry!$C$1461)</f>
        <v/>
      </c>
      <c r="AF1458" t="str">
        <f>IF([3]Entry!$D$1461="","",[3]Entry!$D$1461)</f>
        <v/>
      </c>
      <c r="AG1458" t="str">
        <f>IF([3]Entry!$E$1461="","",[3]Entry!$E$1461)</f>
        <v/>
      </c>
      <c r="AH1458" t="str">
        <f>IF([3]Entry!$G$1461="","",[3]Entry!$G$1461)</f>
        <v/>
      </c>
      <c r="AI1458" t="str">
        <f>IF([3]Entry!$K$1461="","",[3]Entry!$K$1461)</f>
        <v/>
      </c>
      <c r="AJ1458" t="str">
        <f>IF([3]Entry!$L$1461="","",[3]Entry!$L$1461)</f>
        <v/>
      </c>
      <c r="AK1458" t="str">
        <f>IF([3]Entry!$M$1461="","",[3]Entry!$M$1461)</f>
        <v/>
      </c>
      <c r="AL1458" t="str">
        <f>IF([3]Entry!$N$1461="","",[3]Entry!$N$1461)</f>
        <v/>
      </c>
      <c r="AM1458" t="str">
        <f>IF([3]Entry!$R$1461="","",[3]Entry!$R$1461)</f>
        <v/>
      </c>
    </row>
    <row r="1459" spans="20:39" x14ac:dyDescent="0.2">
      <c r="T1459" t="str">
        <f>IF([2]Baskol!$B$1462="","",[2]Baskol!$B$1462)</f>
        <v/>
      </c>
      <c r="U1459" t="str">
        <f>IF([2]Baskol!$C$1462="","",[2]Baskol!$C$1462)</f>
        <v/>
      </c>
      <c r="V1459" t="str">
        <f>IF([2]Baskol!$D$1462="","",[2]Baskol!$D$1462)</f>
        <v/>
      </c>
      <c r="W1459" t="str">
        <f>IF([2]Baskol!$E$1462="","",[2]Baskol!$E$1462)</f>
        <v/>
      </c>
      <c r="X1459" t="str">
        <f>IF([2]Baskol!$G$1462="","",[2]Baskol!$G$1462)</f>
        <v/>
      </c>
      <c r="Y1459" t="str">
        <f>IF([2]Baskol!$I$1462="","",[2]Baskol!$I$1462)</f>
        <v/>
      </c>
      <c r="Z1459" t="str">
        <f>IF([2]Baskol!$J$1462="","",[2]Baskol!$J$1462)</f>
        <v/>
      </c>
      <c r="AA1459" t="str">
        <f>IF([2]Baskol!$K$1462="","",[2]Baskol!$K$1462)</f>
        <v/>
      </c>
      <c r="AB1459" t="str">
        <f>IF([2]Baskol!$L$1462="","",[2]Baskol!$L$1462)</f>
        <v/>
      </c>
      <c r="AC1459" t="str">
        <f>IF([2]Baskol!$N$1462="","",[2]Baskol!$N$1462)</f>
        <v/>
      </c>
      <c r="AD1459" t="str">
        <f>IF([2]Baskol!$O$1462="","",[2]Baskol!$O$1462)</f>
        <v/>
      </c>
      <c r="AE1459" t="str">
        <f>IF([3]Entry!$C$1462="","",[3]Entry!$C$1462)</f>
        <v/>
      </c>
      <c r="AF1459" t="str">
        <f>IF([3]Entry!$D$1462="","",[3]Entry!$D$1462)</f>
        <v/>
      </c>
      <c r="AG1459" t="str">
        <f>IF([3]Entry!$E$1462="","",[3]Entry!$E$1462)</f>
        <v/>
      </c>
      <c r="AH1459" t="str">
        <f>IF([3]Entry!$G$1462="","",[3]Entry!$G$1462)</f>
        <v/>
      </c>
      <c r="AI1459" t="str">
        <f>IF([3]Entry!$K$1462="","",[3]Entry!$K$1462)</f>
        <v/>
      </c>
      <c r="AJ1459" t="str">
        <f>IF([3]Entry!$L$1462="","",[3]Entry!$L$1462)</f>
        <v/>
      </c>
      <c r="AK1459" t="str">
        <f>IF([3]Entry!$M$1462="","",[3]Entry!$M$1462)</f>
        <v/>
      </c>
      <c r="AL1459" t="str">
        <f>IF([3]Entry!$N$1462="","",[3]Entry!$N$1462)</f>
        <v/>
      </c>
      <c r="AM1459" t="str">
        <f>IF([3]Entry!$R$1462="","",[3]Entry!$R$1462)</f>
        <v/>
      </c>
    </row>
    <row r="1460" spans="20:39" x14ac:dyDescent="0.2">
      <c r="T1460" t="str">
        <f>IF([2]Baskol!$B$1463="","",[2]Baskol!$B$1463)</f>
        <v/>
      </c>
      <c r="U1460" t="str">
        <f>IF([2]Baskol!$C$1463="","",[2]Baskol!$C$1463)</f>
        <v/>
      </c>
      <c r="V1460" t="str">
        <f>IF([2]Baskol!$D$1463="","",[2]Baskol!$D$1463)</f>
        <v/>
      </c>
      <c r="W1460" t="str">
        <f>IF([2]Baskol!$E$1463="","",[2]Baskol!$E$1463)</f>
        <v/>
      </c>
      <c r="X1460" t="str">
        <f>IF([2]Baskol!$G$1463="","",[2]Baskol!$G$1463)</f>
        <v/>
      </c>
      <c r="Y1460" t="str">
        <f>IF([2]Baskol!$I$1463="","",[2]Baskol!$I$1463)</f>
        <v/>
      </c>
      <c r="Z1460" t="str">
        <f>IF([2]Baskol!$J$1463="","",[2]Baskol!$J$1463)</f>
        <v/>
      </c>
      <c r="AA1460" t="str">
        <f>IF([2]Baskol!$K$1463="","",[2]Baskol!$K$1463)</f>
        <v/>
      </c>
      <c r="AB1460" t="str">
        <f>IF([2]Baskol!$L$1463="","",[2]Baskol!$L$1463)</f>
        <v/>
      </c>
      <c r="AC1460" t="str">
        <f>IF([2]Baskol!$N$1463="","",[2]Baskol!$N$1463)</f>
        <v/>
      </c>
      <c r="AD1460" t="str">
        <f>IF([2]Baskol!$O$1463="","",[2]Baskol!$O$1463)</f>
        <v/>
      </c>
      <c r="AE1460" t="str">
        <f>IF([3]Entry!$C$1463="","",[3]Entry!$C$1463)</f>
        <v/>
      </c>
      <c r="AF1460" t="str">
        <f>IF([3]Entry!$D$1463="","",[3]Entry!$D$1463)</f>
        <v/>
      </c>
      <c r="AG1460" t="str">
        <f>IF([3]Entry!$E$1463="","",[3]Entry!$E$1463)</f>
        <v/>
      </c>
      <c r="AH1460" t="str">
        <f>IF([3]Entry!$G$1463="","",[3]Entry!$G$1463)</f>
        <v/>
      </c>
      <c r="AI1460" t="str">
        <f>IF([3]Entry!$K$1463="","",[3]Entry!$K$1463)</f>
        <v/>
      </c>
      <c r="AJ1460" t="str">
        <f>IF([3]Entry!$L$1463="","",[3]Entry!$L$1463)</f>
        <v/>
      </c>
      <c r="AK1460" t="str">
        <f>IF([3]Entry!$M$1463="","",[3]Entry!$M$1463)</f>
        <v/>
      </c>
      <c r="AL1460" t="str">
        <f>IF([3]Entry!$N$1463="","",[3]Entry!$N$1463)</f>
        <v/>
      </c>
      <c r="AM1460" t="str">
        <f>IF([3]Entry!$R$1463="","",[3]Entry!$R$1463)</f>
        <v/>
      </c>
    </row>
    <row r="1461" spans="20:39" x14ac:dyDescent="0.2">
      <c r="T1461" t="str">
        <f>IF([2]Baskol!$B$1464="","",[2]Baskol!$B$1464)</f>
        <v/>
      </c>
      <c r="U1461" t="str">
        <f>IF([2]Baskol!$C$1464="","",[2]Baskol!$C$1464)</f>
        <v/>
      </c>
      <c r="V1461" t="str">
        <f>IF([2]Baskol!$D$1464="","",[2]Baskol!$D$1464)</f>
        <v/>
      </c>
      <c r="W1461" t="str">
        <f>IF([2]Baskol!$E$1464="","",[2]Baskol!$E$1464)</f>
        <v/>
      </c>
      <c r="X1461" t="str">
        <f>IF([2]Baskol!$G$1464="","",[2]Baskol!$G$1464)</f>
        <v/>
      </c>
      <c r="Y1461" t="str">
        <f>IF([2]Baskol!$I$1464="","",[2]Baskol!$I$1464)</f>
        <v/>
      </c>
      <c r="Z1461" t="str">
        <f>IF([2]Baskol!$J$1464="","",[2]Baskol!$J$1464)</f>
        <v/>
      </c>
      <c r="AA1461" t="str">
        <f>IF([2]Baskol!$K$1464="","",[2]Baskol!$K$1464)</f>
        <v/>
      </c>
      <c r="AB1461" t="str">
        <f>IF([2]Baskol!$L$1464="","",[2]Baskol!$L$1464)</f>
        <v/>
      </c>
      <c r="AC1461" t="str">
        <f>IF([2]Baskol!$N$1464="","",[2]Baskol!$N$1464)</f>
        <v/>
      </c>
      <c r="AD1461" t="str">
        <f>IF([2]Baskol!$O$1464="","",[2]Baskol!$O$1464)</f>
        <v/>
      </c>
      <c r="AE1461" t="str">
        <f>IF([3]Entry!$C$1464="","",[3]Entry!$C$1464)</f>
        <v/>
      </c>
      <c r="AF1461" t="str">
        <f>IF([3]Entry!$D$1464="","",[3]Entry!$D$1464)</f>
        <v/>
      </c>
      <c r="AG1461" t="str">
        <f>IF([3]Entry!$E$1464="","",[3]Entry!$E$1464)</f>
        <v/>
      </c>
      <c r="AH1461" t="str">
        <f>IF([3]Entry!$G$1464="","",[3]Entry!$G$1464)</f>
        <v/>
      </c>
      <c r="AI1461" t="str">
        <f>IF([3]Entry!$K$1464="","",[3]Entry!$K$1464)</f>
        <v/>
      </c>
      <c r="AJ1461" t="str">
        <f>IF([3]Entry!$L$1464="","",[3]Entry!$L$1464)</f>
        <v/>
      </c>
      <c r="AK1461" t="str">
        <f>IF([3]Entry!$M$1464="","",[3]Entry!$M$1464)</f>
        <v/>
      </c>
      <c r="AL1461" t="str">
        <f>IF([3]Entry!$N$1464="","",[3]Entry!$N$1464)</f>
        <v/>
      </c>
      <c r="AM1461" t="str">
        <f>IF([3]Entry!$R$1464="","",[3]Entry!$R$1464)</f>
        <v/>
      </c>
    </row>
    <row r="1462" spans="20:39" x14ac:dyDescent="0.2">
      <c r="T1462" t="str">
        <f>IF([2]Baskol!$B$1465="","",[2]Baskol!$B$1465)</f>
        <v/>
      </c>
      <c r="U1462" t="str">
        <f>IF([2]Baskol!$C$1465="","",[2]Baskol!$C$1465)</f>
        <v/>
      </c>
      <c r="V1462" t="str">
        <f>IF([2]Baskol!$D$1465="","",[2]Baskol!$D$1465)</f>
        <v/>
      </c>
      <c r="W1462" t="str">
        <f>IF([2]Baskol!$E$1465="","",[2]Baskol!$E$1465)</f>
        <v/>
      </c>
      <c r="X1462" t="str">
        <f>IF([2]Baskol!$G$1465="","",[2]Baskol!$G$1465)</f>
        <v/>
      </c>
      <c r="Y1462" t="str">
        <f>IF([2]Baskol!$I$1465="","",[2]Baskol!$I$1465)</f>
        <v/>
      </c>
      <c r="Z1462" t="str">
        <f>IF([2]Baskol!$J$1465="","",[2]Baskol!$J$1465)</f>
        <v/>
      </c>
      <c r="AA1462" t="str">
        <f>IF([2]Baskol!$K$1465="","",[2]Baskol!$K$1465)</f>
        <v/>
      </c>
      <c r="AB1462" t="str">
        <f>IF([2]Baskol!$L$1465="","",[2]Baskol!$L$1465)</f>
        <v/>
      </c>
      <c r="AC1462" t="str">
        <f>IF([2]Baskol!$N$1465="","",[2]Baskol!$N$1465)</f>
        <v/>
      </c>
      <c r="AD1462" t="str">
        <f>IF([2]Baskol!$O$1465="","",[2]Baskol!$O$1465)</f>
        <v/>
      </c>
      <c r="AE1462" t="str">
        <f>IF([3]Entry!$C$1465="","",[3]Entry!$C$1465)</f>
        <v/>
      </c>
      <c r="AF1462" t="str">
        <f>IF([3]Entry!$D$1465="","",[3]Entry!$D$1465)</f>
        <v/>
      </c>
      <c r="AG1462" t="str">
        <f>IF([3]Entry!$E$1465="","",[3]Entry!$E$1465)</f>
        <v/>
      </c>
      <c r="AH1462" t="str">
        <f>IF([3]Entry!$G$1465="","",[3]Entry!$G$1465)</f>
        <v/>
      </c>
      <c r="AI1462" t="str">
        <f>IF([3]Entry!$K$1465="","",[3]Entry!$K$1465)</f>
        <v/>
      </c>
      <c r="AJ1462" t="str">
        <f>IF([3]Entry!$L$1465="","",[3]Entry!$L$1465)</f>
        <v/>
      </c>
      <c r="AK1462" t="str">
        <f>IF([3]Entry!$M$1465="","",[3]Entry!$M$1465)</f>
        <v/>
      </c>
      <c r="AL1462" t="str">
        <f>IF([3]Entry!$N$1465="","",[3]Entry!$N$1465)</f>
        <v/>
      </c>
      <c r="AM1462" t="str">
        <f>IF([3]Entry!$R$1465="","",[3]Entry!$R$1465)</f>
        <v/>
      </c>
    </row>
    <row r="1463" spans="20:39" x14ac:dyDescent="0.2">
      <c r="T1463" t="str">
        <f>IF([2]Baskol!$B$1466="","",[2]Baskol!$B$1466)</f>
        <v/>
      </c>
      <c r="U1463" t="str">
        <f>IF([2]Baskol!$C$1466="","",[2]Baskol!$C$1466)</f>
        <v/>
      </c>
      <c r="V1463" t="str">
        <f>IF([2]Baskol!$D$1466="","",[2]Baskol!$D$1466)</f>
        <v/>
      </c>
      <c r="W1463" t="str">
        <f>IF([2]Baskol!$E$1466="","",[2]Baskol!$E$1466)</f>
        <v/>
      </c>
      <c r="X1463" t="str">
        <f>IF([2]Baskol!$G$1466="","",[2]Baskol!$G$1466)</f>
        <v/>
      </c>
      <c r="Y1463" t="str">
        <f>IF([2]Baskol!$I$1466="","",[2]Baskol!$I$1466)</f>
        <v/>
      </c>
      <c r="Z1463" t="str">
        <f>IF([2]Baskol!$J$1466="","",[2]Baskol!$J$1466)</f>
        <v/>
      </c>
      <c r="AA1463" t="str">
        <f>IF([2]Baskol!$K$1466="","",[2]Baskol!$K$1466)</f>
        <v/>
      </c>
      <c r="AB1463" t="str">
        <f>IF([2]Baskol!$L$1466="","",[2]Baskol!$L$1466)</f>
        <v/>
      </c>
      <c r="AC1463" t="str">
        <f>IF([2]Baskol!$N$1466="","",[2]Baskol!$N$1466)</f>
        <v/>
      </c>
      <c r="AD1463" t="str">
        <f>IF([2]Baskol!$O$1466="","",[2]Baskol!$O$1466)</f>
        <v/>
      </c>
      <c r="AE1463" t="str">
        <f>IF([3]Entry!$C$1466="","",[3]Entry!$C$1466)</f>
        <v/>
      </c>
      <c r="AF1463" t="str">
        <f>IF([3]Entry!$D$1466="","",[3]Entry!$D$1466)</f>
        <v/>
      </c>
      <c r="AG1463" t="str">
        <f>IF([3]Entry!$E$1466="","",[3]Entry!$E$1466)</f>
        <v/>
      </c>
      <c r="AH1463" t="str">
        <f>IF([3]Entry!$G$1466="","",[3]Entry!$G$1466)</f>
        <v/>
      </c>
      <c r="AI1463" t="str">
        <f>IF([3]Entry!$K$1466="","",[3]Entry!$K$1466)</f>
        <v/>
      </c>
      <c r="AJ1463" t="str">
        <f>IF([3]Entry!$L$1466="","",[3]Entry!$L$1466)</f>
        <v/>
      </c>
      <c r="AK1463" t="str">
        <f>IF([3]Entry!$M$1466="","",[3]Entry!$M$1466)</f>
        <v/>
      </c>
      <c r="AL1463" t="str">
        <f>IF([3]Entry!$N$1466="","",[3]Entry!$N$1466)</f>
        <v/>
      </c>
      <c r="AM1463" t="str">
        <f>IF([3]Entry!$R$1466="","",[3]Entry!$R$1466)</f>
        <v/>
      </c>
    </row>
    <row r="1464" spans="20:39" x14ac:dyDescent="0.2">
      <c r="T1464" t="str">
        <f>IF([2]Baskol!$B$1467="","",[2]Baskol!$B$1467)</f>
        <v/>
      </c>
      <c r="U1464" t="str">
        <f>IF([2]Baskol!$C$1467="","",[2]Baskol!$C$1467)</f>
        <v/>
      </c>
      <c r="V1464" t="str">
        <f>IF([2]Baskol!$D$1467="","",[2]Baskol!$D$1467)</f>
        <v/>
      </c>
      <c r="W1464" t="str">
        <f>IF([2]Baskol!$E$1467="","",[2]Baskol!$E$1467)</f>
        <v/>
      </c>
      <c r="X1464" t="str">
        <f>IF([2]Baskol!$G$1467="","",[2]Baskol!$G$1467)</f>
        <v/>
      </c>
      <c r="Y1464" t="str">
        <f>IF([2]Baskol!$I$1467="","",[2]Baskol!$I$1467)</f>
        <v/>
      </c>
      <c r="Z1464" t="str">
        <f>IF([2]Baskol!$J$1467="","",[2]Baskol!$J$1467)</f>
        <v/>
      </c>
      <c r="AA1464" t="str">
        <f>IF([2]Baskol!$K$1467="","",[2]Baskol!$K$1467)</f>
        <v/>
      </c>
      <c r="AB1464" t="str">
        <f>IF([2]Baskol!$L$1467="","",[2]Baskol!$L$1467)</f>
        <v/>
      </c>
      <c r="AC1464" t="str">
        <f>IF([2]Baskol!$N$1467="","",[2]Baskol!$N$1467)</f>
        <v/>
      </c>
      <c r="AD1464" t="str">
        <f>IF([2]Baskol!$O$1467="","",[2]Baskol!$O$1467)</f>
        <v/>
      </c>
      <c r="AE1464" t="str">
        <f>IF([3]Entry!$C$1467="","",[3]Entry!$C$1467)</f>
        <v/>
      </c>
      <c r="AF1464" t="str">
        <f>IF([3]Entry!$D$1467="","",[3]Entry!$D$1467)</f>
        <v/>
      </c>
      <c r="AG1464" t="str">
        <f>IF([3]Entry!$E$1467="","",[3]Entry!$E$1467)</f>
        <v/>
      </c>
      <c r="AH1464" t="str">
        <f>IF([3]Entry!$G$1467="","",[3]Entry!$G$1467)</f>
        <v/>
      </c>
      <c r="AI1464" t="str">
        <f>IF([3]Entry!$K$1467="","",[3]Entry!$K$1467)</f>
        <v/>
      </c>
      <c r="AJ1464" t="str">
        <f>IF([3]Entry!$L$1467="","",[3]Entry!$L$1467)</f>
        <v/>
      </c>
      <c r="AK1464" t="str">
        <f>IF([3]Entry!$M$1467="","",[3]Entry!$M$1467)</f>
        <v/>
      </c>
      <c r="AL1464" t="str">
        <f>IF([3]Entry!$N$1467="","",[3]Entry!$N$1467)</f>
        <v/>
      </c>
      <c r="AM1464" t="str">
        <f>IF([3]Entry!$R$1467="","",[3]Entry!$R$1467)</f>
        <v/>
      </c>
    </row>
    <row r="1465" spans="20:39" x14ac:dyDescent="0.2">
      <c r="T1465" t="str">
        <f>IF([2]Baskol!$B$1468="","",[2]Baskol!$B$1468)</f>
        <v/>
      </c>
      <c r="U1465" t="str">
        <f>IF([2]Baskol!$C$1468="","",[2]Baskol!$C$1468)</f>
        <v/>
      </c>
      <c r="V1465" t="str">
        <f>IF([2]Baskol!$D$1468="","",[2]Baskol!$D$1468)</f>
        <v/>
      </c>
      <c r="W1465" t="str">
        <f>IF([2]Baskol!$E$1468="","",[2]Baskol!$E$1468)</f>
        <v/>
      </c>
      <c r="X1465" t="str">
        <f>IF([2]Baskol!$G$1468="","",[2]Baskol!$G$1468)</f>
        <v/>
      </c>
      <c r="Y1465" t="str">
        <f>IF([2]Baskol!$I$1468="","",[2]Baskol!$I$1468)</f>
        <v/>
      </c>
      <c r="Z1465" t="str">
        <f>IF([2]Baskol!$J$1468="","",[2]Baskol!$J$1468)</f>
        <v/>
      </c>
      <c r="AA1465" t="str">
        <f>IF([2]Baskol!$K$1468="","",[2]Baskol!$K$1468)</f>
        <v/>
      </c>
      <c r="AB1465" t="str">
        <f>IF([2]Baskol!$L$1468="","",[2]Baskol!$L$1468)</f>
        <v/>
      </c>
      <c r="AC1465" t="str">
        <f>IF([2]Baskol!$N$1468="","",[2]Baskol!$N$1468)</f>
        <v/>
      </c>
      <c r="AD1465" t="str">
        <f>IF([2]Baskol!$O$1468="","",[2]Baskol!$O$1468)</f>
        <v/>
      </c>
      <c r="AE1465" t="str">
        <f>IF([3]Entry!$C$1468="","",[3]Entry!$C$1468)</f>
        <v/>
      </c>
      <c r="AF1465" t="str">
        <f>IF([3]Entry!$D$1468="","",[3]Entry!$D$1468)</f>
        <v/>
      </c>
      <c r="AG1465" t="str">
        <f>IF([3]Entry!$E$1468="","",[3]Entry!$E$1468)</f>
        <v/>
      </c>
      <c r="AH1465" t="str">
        <f>IF([3]Entry!$G$1468="","",[3]Entry!$G$1468)</f>
        <v/>
      </c>
      <c r="AI1465" t="str">
        <f>IF([3]Entry!$K$1468="","",[3]Entry!$K$1468)</f>
        <v/>
      </c>
      <c r="AJ1465" t="str">
        <f>IF([3]Entry!$L$1468="","",[3]Entry!$L$1468)</f>
        <v/>
      </c>
      <c r="AK1465" t="str">
        <f>IF([3]Entry!$M$1468="","",[3]Entry!$M$1468)</f>
        <v/>
      </c>
      <c r="AL1465" t="str">
        <f>IF([3]Entry!$N$1468="","",[3]Entry!$N$1468)</f>
        <v/>
      </c>
      <c r="AM1465" t="str">
        <f>IF([3]Entry!$R$1468="","",[3]Entry!$R$1468)</f>
        <v/>
      </c>
    </row>
    <row r="1466" spans="20:39" x14ac:dyDescent="0.2">
      <c r="T1466" t="str">
        <f>IF([2]Baskol!$B$1469="","",[2]Baskol!$B$1469)</f>
        <v/>
      </c>
      <c r="U1466" t="str">
        <f>IF([2]Baskol!$C$1469="","",[2]Baskol!$C$1469)</f>
        <v/>
      </c>
      <c r="V1466" t="str">
        <f>IF([2]Baskol!$D$1469="","",[2]Baskol!$D$1469)</f>
        <v/>
      </c>
      <c r="W1466" t="str">
        <f>IF([2]Baskol!$E$1469="","",[2]Baskol!$E$1469)</f>
        <v/>
      </c>
      <c r="X1466" t="str">
        <f>IF([2]Baskol!$G$1469="","",[2]Baskol!$G$1469)</f>
        <v/>
      </c>
      <c r="Y1466" t="str">
        <f>IF([2]Baskol!$I$1469="","",[2]Baskol!$I$1469)</f>
        <v/>
      </c>
      <c r="Z1466" t="str">
        <f>IF([2]Baskol!$J$1469="","",[2]Baskol!$J$1469)</f>
        <v/>
      </c>
      <c r="AA1466" t="str">
        <f>IF([2]Baskol!$K$1469="","",[2]Baskol!$K$1469)</f>
        <v/>
      </c>
      <c r="AB1466" t="str">
        <f>IF([2]Baskol!$L$1469="","",[2]Baskol!$L$1469)</f>
        <v/>
      </c>
      <c r="AC1466" t="str">
        <f>IF([2]Baskol!$N$1469="","",[2]Baskol!$N$1469)</f>
        <v/>
      </c>
      <c r="AD1466" t="str">
        <f>IF([2]Baskol!$O$1469="","",[2]Baskol!$O$1469)</f>
        <v/>
      </c>
      <c r="AE1466" t="str">
        <f>IF([3]Entry!$C$1469="","",[3]Entry!$C$1469)</f>
        <v/>
      </c>
      <c r="AF1466" t="str">
        <f>IF([3]Entry!$D$1469="","",[3]Entry!$D$1469)</f>
        <v/>
      </c>
      <c r="AG1466" t="str">
        <f>IF([3]Entry!$E$1469="","",[3]Entry!$E$1469)</f>
        <v/>
      </c>
      <c r="AH1466" t="str">
        <f>IF([3]Entry!$G$1469="","",[3]Entry!$G$1469)</f>
        <v/>
      </c>
      <c r="AI1466" t="str">
        <f>IF([3]Entry!$K$1469="","",[3]Entry!$K$1469)</f>
        <v/>
      </c>
      <c r="AJ1466" t="str">
        <f>IF([3]Entry!$L$1469="","",[3]Entry!$L$1469)</f>
        <v/>
      </c>
      <c r="AK1466" t="str">
        <f>IF([3]Entry!$M$1469="","",[3]Entry!$M$1469)</f>
        <v/>
      </c>
      <c r="AL1466" t="str">
        <f>IF([3]Entry!$N$1469="","",[3]Entry!$N$1469)</f>
        <v/>
      </c>
      <c r="AM1466" t="str">
        <f>IF([3]Entry!$R$1469="","",[3]Entry!$R$1469)</f>
        <v/>
      </c>
    </row>
    <row r="1467" spans="20:39" x14ac:dyDescent="0.2">
      <c r="T1467" t="str">
        <f>IF([2]Baskol!$B$1470="","",[2]Baskol!$B$1470)</f>
        <v/>
      </c>
      <c r="U1467" t="str">
        <f>IF([2]Baskol!$C$1470="","",[2]Baskol!$C$1470)</f>
        <v/>
      </c>
      <c r="V1467" t="str">
        <f>IF([2]Baskol!$D$1470="","",[2]Baskol!$D$1470)</f>
        <v/>
      </c>
      <c r="W1467" t="str">
        <f>IF([2]Baskol!$E$1470="","",[2]Baskol!$E$1470)</f>
        <v/>
      </c>
      <c r="X1467" t="str">
        <f>IF([2]Baskol!$G$1470="","",[2]Baskol!$G$1470)</f>
        <v/>
      </c>
      <c r="Y1467" t="str">
        <f>IF([2]Baskol!$I$1470="","",[2]Baskol!$I$1470)</f>
        <v/>
      </c>
      <c r="Z1467" t="str">
        <f>IF([2]Baskol!$J$1470="","",[2]Baskol!$J$1470)</f>
        <v/>
      </c>
      <c r="AA1467" t="str">
        <f>IF([2]Baskol!$K$1470="","",[2]Baskol!$K$1470)</f>
        <v/>
      </c>
      <c r="AB1467" t="str">
        <f>IF([2]Baskol!$L$1470="","",[2]Baskol!$L$1470)</f>
        <v/>
      </c>
      <c r="AC1467" t="str">
        <f>IF([2]Baskol!$N$1470="","",[2]Baskol!$N$1470)</f>
        <v/>
      </c>
      <c r="AD1467" t="str">
        <f>IF([2]Baskol!$O$1470="","",[2]Baskol!$O$1470)</f>
        <v/>
      </c>
      <c r="AE1467" t="str">
        <f>IF([3]Entry!$C$1470="","",[3]Entry!$C$1470)</f>
        <v/>
      </c>
      <c r="AF1467" t="str">
        <f>IF([3]Entry!$D$1470="","",[3]Entry!$D$1470)</f>
        <v/>
      </c>
      <c r="AG1467" t="str">
        <f>IF([3]Entry!$E$1470="","",[3]Entry!$E$1470)</f>
        <v/>
      </c>
      <c r="AH1467" t="str">
        <f>IF([3]Entry!$G$1470="","",[3]Entry!$G$1470)</f>
        <v/>
      </c>
      <c r="AI1467" t="str">
        <f>IF([3]Entry!$K$1470="","",[3]Entry!$K$1470)</f>
        <v/>
      </c>
      <c r="AJ1467" t="str">
        <f>IF([3]Entry!$L$1470="","",[3]Entry!$L$1470)</f>
        <v/>
      </c>
      <c r="AK1467" t="str">
        <f>IF([3]Entry!$M$1470="","",[3]Entry!$M$1470)</f>
        <v/>
      </c>
      <c r="AL1467" t="str">
        <f>IF([3]Entry!$N$1470="","",[3]Entry!$N$1470)</f>
        <v/>
      </c>
      <c r="AM1467" t="str">
        <f>IF([3]Entry!$R$1470="","",[3]Entry!$R$1470)</f>
        <v/>
      </c>
    </row>
    <row r="1468" spans="20:39" x14ac:dyDescent="0.2">
      <c r="T1468" t="str">
        <f>IF([2]Baskol!$B$1471="","",[2]Baskol!$B$1471)</f>
        <v/>
      </c>
      <c r="U1468" t="str">
        <f>IF([2]Baskol!$C$1471="","",[2]Baskol!$C$1471)</f>
        <v/>
      </c>
      <c r="V1468" t="str">
        <f>IF([2]Baskol!$D$1471="","",[2]Baskol!$D$1471)</f>
        <v/>
      </c>
      <c r="W1468" t="str">
        <f>IF([2]Baskol!$E$1471="","",[2]Baskol!$E$1471)</f>
        <v/>
      </c>
      <c r="X1468" t="str">
        <f>IF([2]Baskol!$G$1471="","",[2]Baskol!$G$1471)</f>
        <v/>
      </c>
      <c r="Y1468" t="str">
        <f>IF([2]Baskol!$I$1471="","",[2]Baskol!$I$1471)</f>
        <v/>
      </c>
      <c r="Z1468" t="str">
        <f>IF([2]Baskol!$J$1471="","",[2]Baskol!$J$1471)</f>
        <v/>
      </c>
      <c r="AA1468" t="str">
        <f>IF([2]Baskol!$K$1471="","",[2]Baskol!$K$1471)</f>
        <v/>
      </c>
      <c r="AB1468" t="str">
        <f>IF([2]Baskol!$L$1471="","",[2]Baskol!$L$1471)</f>
        <v/>
      </c>
      <c r="AC1468" t="str">
        <f>IF([2]Baskol!$N$1471="","",[2]Baskol!$N$1471)</f>
        <v/>
      </c>
      <c r="AD1468" t="str">
        <f>IF([2]Baskol!$O$1471="","",[2]Baskol!$O$1471)</f>
        <v/>
      </c>
      <c r="AE1468" t="str">
        <f>IF([3]Entry!$C$1471="","",[3]Entry!$C$1471)</f>
        <v/>
      </c>
      <c r="AF1468" t="str">
        <f>IF([3]Entry!$D$1471="","",[3]Entry!$D$1471)</f>
        <v/>
      </c>
      <c r="AG1468" t="str">
        <f>IF([3]Entry!$E$1471="","",[3]Entry!$E$1471)</f>
        <v/>
      </c>
      <c r="AH1468" t="str">
        <f>IF([3]Entry!$G$1471="","",[3]Entry!$G$1471)</f>
        <v/>
      </c>
      <c r="AI1468" t="str">
        <f>IF([3]Entry!$K$1471="","",[3]Entry!$K$1471)</f>
        <v/>
      </c>
      <c r="AJ1468" t="str">
        <f>IF([3]Entry!$L$1471="","",[3]Entry!$L$1471)</f>
        <v/>
      </c>
      <c r="AK1468" t="str">
        <f>IF([3]Entry!$M$1471="","",[3]Entry!$M$1471)</f>
        <v/>
      </c>
      <c r="AL1468" t="str">
        <f>IF([3]Entry!$N$1471="","",[3]Entry!$N$1471)</f>
        <v/>
      </c>
      <c r="AM1468" t="str">
        <f>IF([3]Entry!$R$1471="","",[3]Entry!$R$1471)</f>
        <v/>
      </c>
    </row>
    <row r="1469" spans="20:39" x14ac:dyDescent="0.2">
      <c r="T1469" t="str">
        <f>IF([2]Baskol!$B$1472="","",[2]Baskol!$B$1472)</f>
        <v/>
      </c>
      <c r="U1469" t="str">
        <f>IF([2]Baskol!$C$1472="","",[2]Baskol!$C$1472)</f>
        <v/>
      </c>
      <c r="V1469" t="str">
        <f>IF([2]Baskol!$D$1472="","",[2]Baskol!$D$1472)</f>
        <v/>
      </c>
      <c r="W1469" t="str">
        <f>IF([2]Baskol!$E$1472="","",[2]Baskol!$E$1472)</f>
        <v/>
      </c>
      <c r="X1469" t="str">
        <f>IF([2]Baskol!$G$1472="","",[2]Baskol!$G$1472)</f>
        <v/>
      </c>
      <c r="Y1469" t="str">
        <f>IF([2]Baskol!$I$1472="","",[2]Baskol!$I$1472)</f>
        <v/>
      </c>
      <c r="Z1469" t="str">
        <f>IF([2]Baskol!$J$1472="","",[2]Baskol!$J$1472)</f>
        <v/>
      </c>
      <c r="AA1469" t="str">
        <f>IF([2]Baskol!$K$1472="","",[2]Baskol!$K$1472)</f>
        <v/>
      </c>
      <c r="AB1469" t="str">
        <f>IF([2]Baskol!$L$1472="","",[2]Baskol!$L$1472)</f>
        <v/>
      </c>
      <c r="AC1469" t="str">
        <f>IF([2]Baskol!$N$1472="","",[2]Baskol!$N$1472)</f>
        <v/>
      </c>
      <c r="AD1469" t="str">
        <f>IF([2]Baskol!$O$1472="","",[2]Baskol!$O$1472)</f>
        <v/>
      </c>
      <c r="AE1469" t="str">
        <f>IF([3]Entry!$C$1472="","",[3]Entry!$C$1472)</f>
        <v/>
      </c>
      <c r="AF1469" t="str">
        <f>IF([3]Entry!$D$1472="","",[3]Entry!$D$1472)</f>
        <v/>
      </c>
      <c r="AG1469" t="str">
        <f>IF([3]Entry!$E$1472="","",[3]Entry!$E$1472)</f>
        <v/>
      </c>
      <c r="AH1469" t="str">
        <f>IF([3]Entry!$G$1472="","",[3]Entry!$G$1472)</f>
        <v/>
      </c>
      <c r="AI1469" t="str">
        <f>IF([3]Entry!$K$1472="","",[3]Entry!$K$1472)</f>
        <v/>
      </c>
      <c r="AJ1469" t="str">
        <f>IF([3]Entry!$L$1472="","",[3]Entry!$L$1472)</f>
        <v/>
      </c>
      <c r="AK1469" t="str">
        <f>IF([3]Entry!$M$1472="","",[3]Entry!$M$1472)</f>
        <v/>
      </c>
      <c r="AL1469" t="str">
        <f>IF([3]Entry!$N$1472="","",[3]Entry!$N$1472)</f>
        <v/>
      </c>
      <c r="AM1469" t="str">
        <f>IF([3]Entry!$R$1472="","",[3]Entry!$R$1472)</f>
        <v/>
      </c>
    </row>
    <row r="1470" spans="20:39" x14ac:dyDescent="0.2">
      <c r="T1470" t="str">
        <f>IF([2]Baskol!$B$1473="","",[2]Baskol!$B$1473)</f>
        <v/>
      </c>
      <c r="U1470" t="str">
        <f>IF([2]Baskol!$C$1473="","",[2]Baskol!$C$1473)</f>
        <v/>
      </c>
      <c r="V1470" t="str">
        <f>IF([2]Baskol!$D$1473="","",[2]Baskol!$D$1473)</f>
        <v/>
      </c>
      <c r="W1470" t="str">
        <f>IF([2]Baskol!$E$1473="","",[2]Baskol!$E$1473)</f>
        <v/>
      </c>
      <c r="X1470" t="str">
        <f>IF([2]Baskol!$G$1473="","",[2]Baskol!$G$1473)</f>
        <v/>
      </c>
      <c r="Y1470" t="str">
        <f>IF([2]Baskol!$I$1473="","",[2]Baskol!$I$1473)</f>
        <v/>
      </c>
      <c r="Z1470" t="str">
        <f>IF([2]Baskol!$J$1473="","",[2]Baskol!$J$1473)</f>
        <v/>
      </c>
      <c r="AA1470" t="str">
        <f>IF([2]Baskol!$K$1473="","",[2]Baskol!$K$1473)</f>
        <v/>
      </c>
      <c r="AB1470" t="str">
        <f>IF([2]Baskol!$L$1473="","",[2]Baskol!$L$1473)</f>
        <v/>
      </c>
      <c r="AC1470" t="str">
        <f>IF([2]Baskol!$N$1473="","",[2]Baskol!$N$1473)</f>
        <v/>
      </c>
      <c r="AD1470" t="str">
        <f>IF([2]Baskol!$O$1473="","",[2]Baskol!$O$1473)</f>
        <v/>
      </c>
      <c r="AE1470" t="str">
        <f>IF([3]Entry!$C$1473="","",[3]Entry!$C$1473)</f>
        <v/>
      </c>
      <c r="AF1470" t="str">
        <f>IF([3]Entry!$D$1473="","",[3]Entry!$D$1473)</f>
        <v/>
      </c>
      <c r="AG1470" t="str">
        <f>IF([3]Entry!$E$1473="","",[3]Entry!$E$1473)</f>
        <v/>
      </c>
      <c r="AH1470" t="str">
        <f>IF([3]Entry!$G$1473="","",[3]Entry!$G$1473)</f>
        <v/>
      </c>
      <c r="AI1470" t="str">
        <f>IF([3]Entry!$K$1473="","",[3]Entry!$K$1473)</f>
        <v/>
      </c>
      <c r="AJ1470" t="str">
        <f>IF([3]Entry!$L$1473="","",[3]Entry!$L$1473)</f>
        <v/>
      </c>
      <c r="AK1470" t="str">
        <f>IF([3]Entry!$M$1473="","",[3]Entry!$M$1473)</f>
        <v/>
      </c>
      <c r="AL1470" t="str">
        <f>IF([3]Entry!$N$1473="","",[3]Entry!$N$1473)</f>
        <v/>
      </c>
      <c r="AM1470" t="str">
        <f>IF([3]Entry!$R$1473="","",[3]Entry!$R$1473)</f>
        <v/>
      </c>
    </row>
    <row r="1471" spans="20:39" x14ac:dyDescent="0.2">
      <c r="T1471" t="str">
        <f>IF([2]Baskol!$B$1474="","",[2]Baskol!$B$1474)</f>
        <v/>
      </c>
      <c r="U1471" t="str">
        <f>IF([2]Baskol!$C$1474="","",[2]Baskol!$C$1474)</f>
        <v/>
      </c>
      <c r="V1471" t="str">
        <f>IF([2]Baskol!$D$1474="","",[2]Baskol!$D$1474)</f>
        <v/>
      </c>
      <c r="W1471" t="str">
        <f>IF([2]Baskol!$E$1474="","",[2]Baskol!$E$1474)</f>
        <v/>
      </c>
      <c r="X1471" t="str">
        <f>IF([2]Baskol!$G$1474="","",[2]Baskol!$G$1474)</f>
        <v/>
      </c>
      <c r="Y1471" t="str">
        <f>IF([2]Baskol!$I$1474="","",[2]Baskol!$I$1474)</f>
        <v/>
      </c>
      <c r="Z1471" t="str">
        <f>IF([2]Baskol!$J$1474="","",[2]Baskol!$J$1474)</f>
        <v/>
      </c>
      <c r="AA1471" t="str">
        <f>IF([2]Baskol!$K$1474="","",[2]Baskol!$K$1474)</f>
        <v/>
      </c>
      <c r="AB1471" t="str">
        <f>IF([2]Baskol!$L$1474="","",[2]Baskol!$L$1474)</f>
        <v/>
      </c>
      <c r="AC1471" t="str">
        <f>IF([2]Baskol!$N$1474="","",[2]Baskol!$N$1474)</f>
        <v/>
      </c>
      <c r="AD1471" t="str">
        <f>IF([2]Baskol!$O$1474="","",[2]Baskol!$O$1474)</f>
        <v/>
      </c>
      <c r="AE1471" t="str">
        <f>IF([3]Entry!$C$1474="","",[3]Entry!$C$1474)</f>
        <v/>
      </c>
      <c r="AF1471" t="str">
        <f>IF([3]Entry!$D$1474="","",[3]Entry!$D$1474)</f>
        <v/>
      </c>
      <c r="AG1471" t="str">
        <f>IF([3]Entry!$E$1474="","",[3]Entry!$E$1474)</f>
        <v/>
      </c>
      <c r="AH1471" t="str">
        <f>IF([3]Entry!$G$1474="","",[3]Entry!$G$1474)</f>
        <v/>
      </c>
      <c r="AI1471" t="str">
        <f>IF([3]Entry!$K$1474="","",[3]Entry!$K$1474)</f>
        <v/>
      </c>
      <c r="AJ1471" t="str">
        <f>IF([3]Entry!$L$1474="","",[3]Entry!$L$1474)</f>
        <v/>
      </c>
      <c r="AK1471" t="str">
        <f>IF([3]Entry!$M$1474="","",[3]Entry!$M$1474)</f>
        <v/>
      </c>
      <c r="AL1471" t="str">
        <f>IF([3]Entry!$N$1474="","",[3]Entry!$N$1474)</f>
        <v/>
      </c>
      <c r="AM1471" t="str">
        <f>IF([3]Entry!$R$1474="","",[3]Entry!$R$1474)</f>
        <v/>
      </c>
    </row>
    <row r="1472" spans="20:39" x14ac:dyDescent="0.2">
      <c r="T1472" t="str">
        <f>IF([2]Baskol!$B$1475="","",[2]Baskol!$B$1475)</f>
        <v/>
      </c>
      <c r="U1472" t="str">
        <f>IF([2]Baskol!$C$1475="","",[2]Baskol!$C$1475)</f>
        <v/>
      </c>
      <c r="V1472" t="str">
        <f>IF([2]Baskol!$D$1475="","",[2]Baskol!$D$1475)</f>
        <v/>
      </c>
      <c r="W1472" t="str">
        <f>IF([2]Baskol!$E$1475="","",[2]Baskol!$E$1475)</f>
        <v/>
      </c>
      <c r="X1472" t="str">
        <f>IF([2]Baskol!$G$1475="","",[2]Baskol!$G$1475)</f>
        <v/>
      </c>
      <c r="Y1472" t="str">
        <f>IF([2]Baskol!$I$1475="","",[2]Baskol!$I$1475)</f>
        <v/>
      </c>
      <c r="Z1472" t="str">
        <f>IF([2]Baskol!$J$1475="","",[2]Baskol!$J$1475)</f>
        <v/>
      </c>
      <c r="AA1472" t="str">
        <f>IF([2]Baskol!$K$1475="","",[2]Baskol!$K$1475)</f>
        <v/>
      </c>
      <c r="AB1472" t="str">
        <f>IF([2]Baskol!$L$1475="","",[2]Baskol!$L$1475)</f>
        <v/>
      </c>
      <c r="AC1472" t="str">
        <f>IF([2]Baskol!$N$1475="","",[2]Baskol!$N$1475)</f>
        <v/>
      </c>
      <c r="AD1472" t="str">
        <f>IF([2]Baskol!$O$1475="","",[2]Baskol!$O$1475)</f>
        <v/>
      </c>
      <c r="AE1472" t="str">
        <f>IF([3]Entry!$C$1475="","",[3]Entry!$C$1475)</f>
        <v/>
      </c>
      <c r="AF1472" t="str">
        <f>IF([3]Entry!$D$1475="","",[3]Entry!$D$1475)</f>
        <v/>
      </c>
      <c r="AG1472" t="str">
        <f>IF([3]Entry!$E$1475="","",[3]Entry!$E$1475)</f>
        <v/>
      </c>
      <c r="AH1472" t="str">
        <f>IF([3]Entry!$G$1475="","",[3]Entry!$G$1475)</f>
        <v/>
      </c>
      <c r="AI1472" t="str">
        <f>IF([3]Entry!$K$1475="","",[3]Entry!$K$1475)</f>
        <v/>
      </c>
      <c r="AJ1472" t="str">
        <f>IF([3]Entry!$L$1475="","",[3]Entry!$L$1475)</f>
        <v/>
      </c>
      <c r="AK1472" t="str">
        <f>IF([3]Entry!$M$1475="","",[3]Entry!$M$1475)</f>
        <v/>
      </c>
      <c r="AL1472" t="str">
        <f>IF([3]Entry!$N$1475="","",[3]Entry!$N$1475)</f>
        <v/>
      </c>
      <c r="AM1472" t="str">
        <f>IF([3]Entry!$R$1475="","",[3]Entry!$R$1475)</f>
        <v/>
      </c>
    </row>
    <row r="1473" spans="20:39" x14ac:dyDescent="0.2">
      <c r="T1473" t="str">
        <f>IF([2]Baskol!$B$1476="","",[2]Baskol!$B$1476)</f>
        <v/>
      </c>
      <c r="U1473" t="str">
        <f>IF([2]Baskol!$C$1476="","",[2]Baskol!$C$1476)</f>
        <v/>
      </c>
      <c r="V1473" t="str">
        <f>IF([2]Baskol!$D$1476="","",[2]Baskol!$D$1476)</f>
        <v/>
      </c>
      <c r="W1473" t="str">
        <f>IF([2]Baskol!$E$1476="","",[2]Baskol!$E$1476)</f>
        <v/>
      </c>
      <c r="X1473" t="str">
        <f>IF([2]Baskol!$G$1476="","",[2]Baskol!$G$1476)</f>
        <v/>
      </c>
      <c r="Y1473" t="str">
        <f>IF([2]Baskol!$I$1476="","",[2]Baskol!$I$1476)</f>
        <v/>
      </c>
      <c r="Z1473" t="str">
        <f>IF([2]Baskol!$J$1476="","",[2]Baskol!$J$1476)</f>
        <v/>
      </c>
      <c r="AA1473" t="str">
        <f>IF([2]Baskol!$K$1476="","",[2]Baskol!$K$1476)</f>
        <v/>
      </c>
      <c r="AB1473" t="str">
        <f>IF([2]Baskol!$L$1476="","",[2]Baskol!$L$1476)</f>
        <v/>
      </c>
      <c r="AC1473" t="str">
        <f>IF([2]Baskol!$N$1476="","",[2]Baskol!$N$1476)</f>
        <v/>
      </c>
      <c r="AD1473" t="str">
        <f>IF([2]Baskol!$O$1476="","",[2]Baskol!$O$1476)</f>
        <v/>
      </c>
      <c r="AE1473" t="str">
        <f>IF([3]Entry!$C$1476="","",[3]Entry!$C$1476)</f>
        <v/>
      </c>
      <c r="AF1473" t="str">
        <f>IF([3]Entry!$D$1476="","",[3]Entry!$D$1476)</f>
        <v/>
      </c>
      <c r="AG1473" t="str">
        <f>IF([3]Entry!$E$1476="","",[3]Entry!$E$1476)</f>
        <v/>
      </c>
      <c r="AH1473" t="str">
        <f>IF([3]Entry!$G$1476="","",[3]Entry!$G$1476)</f>
        <v/>
      </c>
      <c r="AI1473" t="str">
        <f>IF([3]Entry!$K$1476="","",[3]Entry!$K$1476)</f>
        <v/>
      </c>
      <c r="AJ1473" t="str">
        <f>IF([3]Entry!$L$1476="","",[3]Entry!$L$1476)</f>
        <v/>
      </c>
      <c r="AK1473" t="str">
        <f>IF([3]Entry!$M$1476="","",[3]Entry!$M$1476)</f>
        <v/>
      </c>
      <c r="AL1473" t="str">
        <f>IF([3]Entry!$N$1476="","",[3]Entry!$N$1476)</f>
        <v/>
      </c>
      <c r="AM1473" t="str">
        <f>IF([3]Entry!$R$1476="","",[3]Entry!$R$1476)</f>
        <v/>
      </c>
    </row>
    <row r="1474" spans="20:39" x14ac:dyDescent="0.2">
      <c r="T1474" t="str">
        <f>IF([2]Baskol!$B$1477="","",[2]Baskol!$B$1477)</f>
        <v/>
      </c>
      <c r="U1474" t="str">
        <f>IF([2]Baskol!$C$1477="","",[2]Baskol!$C$1477)</f>
        <v/>
      </c>
      <c r="V1474" t="str">
        <f>IF([2]Baskol!$D$1477="","",[2]Baskol!$D$1477)</f>
        <v/>
      </c>
      <c r="W1474" t="str">
        <f>IF([2]Baskol!$E$1477="","",[2]Baskol!$E$1477)</f>
        <v/>
      </c>
      <c r="X1474" t="str">
        <f>IF([2]Baskol!$G$1477="","",[2]Baskol!$G$1477)</f>
        <v/>
      </c>
      <c r="Y1474" t="str">
        <f>IF([2]Baskol!$I$1477="","",[2]Baskol!$I$1477)</f>
        <v/>
      </c>
      <c r="Z1474" t="str">
        <f>IF([2]Baskol!$J$1477="","",[2]Baskol!$J$1477)</f>
        <v/>
      </c>
      <c r="AA1474" t="str">
        <f>IF([2]Baskol!$K$1477="","",[2]Baskol!$K$1477)</f>
        <v/>
      </c>
      <c r="AB1474" t="str">
        <f>IF([2]Baskol!$L$1477="","",[2]Baskol!$L$1477)</f>
        <v/>
      </c>
      <c r="AC1474" t="str">
        <f>IF([2]Baskol!$N$1477="","",[2]Baskol!$N$1477)</f>
        <v/>
      </c>
      <c r="AD1474" t="str">
        <f>IF([2]Baskol!$O$1477="","",[2]Baskol!$O$1477)</f>
        <v/>
      </c>
      <c r="AE1474" t="str">
        <f>IF([3]Entry!$C$1477="","",[3]Entry!$C$1477)</f>
        <v/>
      </c>
      <c r="AF1474" t="str">
        <f>IF([3]Entry!$D$1477="","",[3]Entry!$D$1477)</f>
        <v/>
      </c>
      <c r="AG1474" t="str">
        <f>IF([3]Entry!$E$1477="","",[3]Entry!$E$1477)</f>
        <v/>
      </c>
      <c r="AH1474" t="str">
        <f>IF([3]Entry!$G$1477="","",[3]Entry!$G$1477)</f>
        <v/>
      </c>
      <c r="AI1474" t="str">
        <f>IF([3]Entry!$K$1477="","",[3]Entry!$K$1477)</f>
        <v/>
      </c>
      <c r="AJ1474" t="str">
        <f>IF([3]Entry!$L$1477="","",[3]Entry!$L$1477)</f>
        <v/>
      </c>
      <c r="AK1474" t="str">
        <f>IF([3]Entry!$M$1477="","",[3]Entry!$M$1477)</f>
        <v/>
      </c>
      <c r="AL1474" t="str">
        <f>IF([3]Entry!$N$1477="","",[3]Entry!$N$1477)</f>
        <v/>
      </c>
      <c r="AM1474" t="str">
        <f>IF([3]Entry!$R$1477="","",[3]Entry!$R$1477)</f>
        <v/>
      </c>
    </row>
    <row r="1475" spans="20:39" x14ac:dyDescent="0.2">
      <c r="T1475" t="str">
        <f>IF([2]Baskol!$B$1478="","",[2]Baskol!$B$1478)</f>
        <v/>
      </c>
      <c r="U1475" t="str">
        <f>IF([2]Baskol!$C$1478="","",[2]Baskol!$C$1478)</f>
        <v/>
      </c>
      <c r="V1475" t="str">
        <f>IF([2]Baskol!$D$1478="","",[2]Baskol!$D$1478)</f>
        <v/>
      </c>
      <c r="W1475" t="str">
        <f>IF([2]Baskol!$E$1478="","",[2]Baskol!$E$1478)</f>
        <v/>
      </c>
      <c r="X1475" t="str">
        <f>IF([2]Baskol!$G$1478="","",[2]Baskol!$G$1478)</f>
        <v/>
      </c>
      <c r="Y1475" t="str">
        <f>IF([2]Baskol!$I$1478="","",[2]Baskol!$I$1478)</f>
        <v/>
      </c>
      <c r="Z1475" t="str">
        <f>IF([2]Baskol!$J$1478="","",[2]Baskol!$J$1478)</f>
        <v/>
      </c>
      <c r="AA1475" t="str">
        <f>IF([2]Baskol!$K$1478="","",[2]Baskol!$K$1478)</f>
        <v/>
      </c>
      <c r="AB1475" t="str">
        <f>IF([2]Baskol!$L$1478="","",[2]Baskol!$L$1478)</f>
        <v/>
      </c>
      <c r="AC1475" t="str">
        <f>IF([2]Baskol!$N$1478="","",[2]Baskol!$N$1478)</f>
        <v/>
      </c>
      <c r="AD1475" t="str">
        <f>IF([2]Baskol!$O$1478="","",[2]Baskol!$O$1478)</f>
        <v/>
      </c>
      <c r="AE1475" t="str">
        <f>IF([3]Entry!$C$1478="","",[3]Entry!$C$1478)</f>
        <v/>
      </c>
      <c r="AF1475" t="str">
        <f>IF([3]Entry!$D$1478="","",[3]Entry!$D$1478)</f>
        <v/>
      </c>
      <c r="AG1475" t="str">
        <f>IF([3]Entry!$E$1478="","",[3]Entry!$E$1478)</f>
        <v/>
      </c>
      <c r="AH1475" t="str">
        <f>IF([3]Entry!$G$1478="","",[3]Entry!$G$1478)</f>
        <v/>
      </c>
      <c r="AI1475" t="str">
        <f>IF([3]Entry!$K$1478="","",[3]Entry!$K$1478)</f>
        <v/>
      </c>
      <c r="AJ1475" t="str">
        <f>IF([3]Entry!$L$1478="","",[3]Entry!$L$1478)</f>
        <v/>
      </c>
      <c r="AK1475" t="str">
        <f>IF([3]Entry!$M$1478="","",[3]Entry!$M$1478)</f>
        <v/>
      </c>
      <c r="AL1475" t="str">
        <f>IF([3]Entry!$N$1478="","",[3]Entry!$N$1478)</f>
        <v/>
      </c>
      <c r="AM1475" t="str">
        <f>IF([3]Entry!$R$1478="","",[3]Entry!$R$1478)</f>
        <v/>
      </c>
    </row>
    <row r="1476" spans="20:39" x14ac:dyDescent="0.2">
      <c r="T1476" t="str">
        <f>IF([2]Baskol!$B$1479="","",[2]Baskol!$B$1479)</f>
        <v/>
      </c>
      <c r="U1476" t="str">
        <f>IF([2]Baskol!$C$1479="","",[2]Baskol!$C$1479)</f>
        <v/>
      </c>
      <c r="V1476" t="str">
        <f>IF([2]Baskol!$D$1479="","",[2]Baskol!$D$1479)</f>
        <v/>
      </c>
      <c r="W1476" t="str">
        <f>IF([2]Baskol!$E$1479="","",[2]Baskol!$E$1479)</f>
        <v/>
      </c>
      <c r="X1476" t="str">
        <f>IF([2]Baskol!$G$1479="","",[2]Baskol!$G$1479)</f>
        <v/>
      </c>
      <c r="Y1476" t="str">
        <f>IF([2]Baskol!$I$1479="","",[2]Baskol!$I$1479)</f>
        <v/>
      </c>
      <c r="Z1476" t="str">
        <f>IF([2]Baskol!$J$1479="","",[2]Baskol!$J$1479)</f>
        <v/>
      </c>
      <c r="AA1476" t="str">
        <f>IF([2]Baskol!$K$1479="","",[2]Baskol!$K$1479)</f>
        <v/>
      </c>
      <c r="AB1476" t="str">
        <f>IF([2]Baskol!$L$1479="","",[2]Baskol!$L$1479)</f>
        <v/>
      </c>
      <c r="AC1476" t="str">
        <f>IF([2]Baskol!$N$1479="","",[2]Baskol!$N$1479)</f>
        <v/>
      </c>
      <c r="AD1476" t="str">
        <f>IF([2]Baskol!$O$1479="","",[2]Baskol!$O$1479)</f>
        <v/>
      </c>
      <c r="AE1476" t="str">
        <f>IF([3]Entry!$C$1479="","",[3]Entry!$C$1479)</f>
        <v/>
      </c>
      <c r="AF1476" t="str">
        <f>IF([3]Entry!$D$1479="","",[3]Entry!$D$1479)</f>
        <v/>
      </c>
      <c r="AG1476" t="str">
        <f>IF([3]Entry!$E$1479="","",[3]Entry!$E$1479)</f>
        <v/>
      </c>
      <c r="AH1476" t="str">
        <f>IF([3]Entry!$G$1479="","",[3]Entry!$G$1479)</f>
        <v/>
      </c>
      <c r="AI1476" t="str">
        <f>IF([3]Entry!$K$1479="","",[3]Entry!$K$1479)</f>
        <v/>
      </c>
      <c r="AJ1476" t="str">
        <f>IF([3]Entry!$L$1479="","",[3]Entry!$L$1479)</f>
        <v/>
      </c>
      <c r="AK1476" t="str">
        <f>IF([3]Entry!$M$1479="","",[3]Entry!$M$1479)</f>
        <v/>
      </c>
      <c r="AL1476" t="str">
        <f>IF([3]Entry!$N$1479="","",[3]Entry!$N$1479)</f>
        <v/>
      </c>
      <c r="AM1476" t="str">
        <f>IF([3]Entry!$R$1479="","",[3]Entry!$R$1479)</f>
        <v/>
      </c>
    </row>
    <row r="1477" spans="20:39" x14ac:dyDescent="0.2">
      <c r="T1477" t="str">
        <f>IF([2]Baskol!$B$1480="","",[2]Baskol!$B$1480)</f>
        <v/>
      </c>
      <c r="U1477" t="str">
        <f>IF([2]Baskol!$C$1480="","",[2]Baskol!$C$1480)</f>
        <v/>
      </c>
      <c r="V1477" t="str">
        <f>IF([2]Baskol!$D$1480="","",[2]Baskol!$D$1480)</f>
        <v/>
      </c>
      <c r="W1477" t="str">
        <f>IF([2]Baskol!$E$1480="","",[2]Baskol!$E$1480)</f>
        <v/>
      </c>
      <c r="X1477" t="str">
        <f>IF([2]Baskol!$G$1480="","",[2]Baskol!$G$1480)</f>
        <v/>
      </c>
      <c r="Y1477" t="str">
        <f>IF([2]Baskol!$I$1480="","",[2]Baskol!$I$1480)</f>
        <v/>
      </c>
      <c r="Z1477" t="str">
        <f>IF([2]Baskol!$J$1480="","",[2]Baskol!$J$1480)</f>
        <v/>
      </c>
      <c r="AA1477" t="str">
        <f>IF([2]Baskol!$K$1480="","",[2]Baskol!$K$1480)</f>
        <v/>
      </c>
      <c r="AB1477" t="str">
        <f>IF([2]Baskol!$L$1480="","",[2]Baskol!$L$1480)</f>
        <v/>
      </c>
      <c r="AC1477" t="str">
        <f>IF([2]Baskol!$N$1480="","",[2]Baskol!$N$1480)</f>
        <v/>
      </c>
      <c r="AD1477" t="str">
        <f>IF([2]Baskol!$O$1480="","",[2]Baskol!$O$1480)</f>
        <v/>
      </c>
      <c r="AE1477" t="str">
        <f>IF([3]Entry!$C$1480="","",[3]Entry!$C$1480)</f>
        <v/>
      </c>
      <c r="AF1477" t="str">
        <f>IF([3]Entry!$D$1480="","",[3]Entry!$D$1480)</f>
        <v/>
      </c>
      <c r="AG1477" t="str">
        <f>IF([3]Entry!$E$1480="","",[3]Entry!$E$1480)</f>
        <v/>
      </c>
      <c r="AH1477" t="str">
        <f>IF([3]Entry!$G$1480="","",[3]Entry!$G$1480)</f>
        <v/>
      </c>
      <c r="AI1477" t="str">
        <f>IF([3]Entry!$K$1480="","",[3]Entry!$K$1480)</f>
        <v/>
      </c>
      <c r="AJ1477" t="str">
        <f>IF([3]Entry!$L$1480="","",[3]Entry!$L$1480)</f>
        <v/>
      </c>
      <c r="AK1477" t="str">
        <f>IF([3]Entry!$M$1480="","",[3]Entry!$M$1480)</f>
        <v/>
      </c>
      <c r="AL1477" t="str">
        <f>IF([3]Entry!$N$1480="","",[3]Entry!$N$1480)</f>
        <v/>
      </c>
      <c r="AM1477" t="str">
        <f>IF([3]Entry!$R$1480="","",[3]Entry!$R$1480)</f>
        <v/>
      </c>
    </row>
    <row r="1478" spans="20:39" x14ac:dyDescent="0.2">
      <c r="T1478" t="str">
        <f>IF([2]Baskol!$B$1481="","",[2]Baskol!$B$1481)</f>
        <v/>
      </c>
      <c r="U1478" t="str">
        <f>IF([2]Baskol!$C$1481="","",[2]Baskol!$C$1481)</f>
        <v/>
      </c>
      <c r="V1478" t="str">
        <f>IF([2]Baskol!$D$1481="","",[2]Baskol!$D$1481)</f>
        <v/>
      </c>
      <c r="W1478" t="str">
        <f>IF([2]Baskol!$E$1481="","",[2]Baskol!$E$1481)</f>
        <v/>
      </c>
      <c r="X1478" t="str">
        <f>IF([2]Baskol!$G$1481="","",[2]Baskol!$G$1481)</f>
        <v/>
      </c>
      <c r="Y1478" t="str">
        <f>IF([2]Baskol!$I$1481="","",[2]Baskol!$I$1481)</f>
        <v/>
      </c>
      <c r="Z1478" t="str">
        <f>IF([2]Baskol!$J$1481="","",[2]Baskol!$J$1481)</f>
        <v/>
      </c>
      <c r="AA1478" t="str">
        <f>IF([2]Baskol!$K$1481="","",[2]Baskol!$K$1481)</f>
        <v/>
      </c>
      <c r="AB1478" t="str">
        <f>IF([2]Baskol!$L$1481="","",[2]Baskol!$L$1481)</f>
        <v/>
      </c>
      <c r="AC1478" t="str">
        <f>IF([2]Baskol!$N$1481="","",[2]Baskol!$N$1481)</f>
        <v/>
      </c>
      <c r="AD1478" t="str">
        <f>IF([2]Baskol!$O$1481="","",[2]Baskol!$O$1481)</f>
        <v/>
      </c>
      <c r="AE1478" t="str">
        <f>IF([3]Entry!$C$1481="","",[3]Entry!$C$1481)</f>
        <v/>
      </c>
      <c r="AF1478" t="str">
        <f>IF([3]Entry!$D$1481="","",[3]Entry!$D$1481)</f>
        <v/>
      </c>
      <c r="AG1478" t="str">
        <f>IF([3]Entry!$E$1481="","",[3]Entry!$E$1481)</f>
        <v/>
      </c>
      <c r="AH1478" t="str">
        <f>IF([3]Entry!$G$1481="","",[3]Entry!$G$1481)</f>
        <v/>
      </c>
      <c r="AI1478" t="str">
        <f>IF([3]Entry!$K$1481="","",[3]Entry!$K$1481)</f>
        <v/>
      </c>
      <c r="AJ1478" t="str">
        <f>IF([3]Entry!$L$1481="","",[3]Entry!$L$1481)</f>
        <v/>
      </c>
      <c r="AK1478" t="str">
        <f>IF([3]Entry!$M$1481="","",[3]Entry!$M$1481)</f>
        <v/>
      </c>
      <c r="AL1478" t="str">
        <f>IF([3]Entry!$N$1481="","",[3]Entry!$N$1481)</f>
        <v/>
      </c>
      <c r="AM1478" t="str">
        <f>IF([3]Entry!$R$1481="","",[3]Entry!$R$1481)</f>
        <v/>
      </c>
    </row>
    <row r="1479" spans="20:39" x14ac:dyDescent="0.2">
      <c r="T1479" t="str">
        <f>IF([2]Baskol!$B$1482="","",[2]Baskol!$B$1482)</f>
        <v/>
      </c>
      <c r="U1479" t="str">
        <f>IF([2]Baskol!$C$1482="","",[2]Baskol!$C$1482)</f>
        <v/>
      </c>
      <c r="V1479" t="str">
        <f>IF([2]Baskol!$D$1482="","",[2]Baskol!$D$1482)</f>
        <v/>
      </c>
      <c r="W1479" t="str">
        <f>IF([2]Baskol!$E$1482="","",[2]Baskol!$E$1482)</f>
        <v/>
      </c>
      <c r="X1479" t="str">
        <f>IF([2]Baskol!$G$1482="","",[2]Baskol!$G$1482)</f>
        <v/>
      </c>
      <c r="Y1479" t="str">
        <f>IF([2]Baskol!$I$1482="","",[2]Baskol!$I$1482)</f>
        <v/>
      </c>
      <c r="Z1479" t="str">
        <f>IF([2]Baskol!$J$1482="","",[2]Baskol!$J$1482)</f>
        <v/>
      </c>
      <c r="AA1479" t="str">
        <f>IF([2]Baskol!$K$1482="","",[2]Baskol!$K$1482)</f>
        <v/>
      </c>
      <c r="AB1479" t="str">
        <f>IF([2]Baskol!$L$1482="","",[2]Baskol!$L$1482)</f>
        <v/>
      </c>
      <c r="AC1479" t="str">
        <f>IF([2]Baskol!$N$1482="","",[2]Baskol!$N$1482)</f>
        <v/>
      </c>
      <c r="AD1479" t="str">
        <f>IF([2]Baskol!$O$1482="","",[2]Baskol!$O$1482)</f>
        <v/>
      </c>
      <c r="AE1479" t="str">
        <f>IF([3]Entry!$C$1482="","",[3]Entry!$C$1482)</f>
        <v/>
      </c>
      <c r="AF1479" t="str">
        <f>IF([3]Entry!$D$1482="","",[3]Entry!$D$1482)</f>
        <v/>
      </c>
      <c r="AG1479" t="str">
        <f>IF([3]Entry!$E$1482="","",[3]Entry!$E$1482)</f>
        <v/>
      </c>
      <c r="AH1479" t="str">
        <f>IF([3]Entry!$G$1482="","",[3]Entry!$G$1482)</f>
        <v/>
      </c>
      <c r="AI1479" t="str">
        <f>IF([3]Entry!$K$1482="","",[3]Entry!$K$1482)</f>
        <v/>
      </c>
      <c r="AJ1479" t="str">
        <f>IF([3]Entry!$L$1482="","",[3]Entry!$L$1482)</f>
        <v/>
      </c>
      <c r="AK1479" t="str">
        <f>IF([3]Entry!$M$1482="","",[3]Entry!$M$1482)</f>
        <v/>
      </c>
      <c r="AL1479" t="str">
        <f>IF([3]Entry!$N$1482="","",[3]Entry!$N$1482)</f>
        <v/>
      </c>
      <c r="AM1479" t="str">
        <f>IF([3]Entry!$R$1482="","",[3]Entry!$R$1482)</f>
        <v/>
      </c>
    </row>
    <row r="1480" spans="20:39" x14ac:dyDescent="0.2">
      <c r="T1480" t="str">
        <f>IF([2]Baskol!$B$1483="","",[2]Baskol!$B$1483)</f>
        <v/>
      </c>
      <c r="U1480" t="str">
        <f>IF([2]Baskol!$C$1483="","",[2]Baskol!$C$1483)</f>
        <v/>
      </c>
      <c r="V1480" t="str">
        <f>IF([2]Baskol!$D$1483="","",[2]Baskol!$D$1483)</f>
        <v/>
      </c>
      <c r="W1480" t="str">
        <f>IF([2]Baskol!$E$1483="","",[2]Baskol!$E$1483)</f>
        <v/>
      </c>
      <c r="X1480" t="str">
        <f>IF([2]Baskol!$G$1483="","",[2]Baskol!$G$1483)</f>
        <v/>
      </c>
      <c r="Y1480" t="str">
        <f>IF([2]Baskol!$I$1483="","",[2]Baskol!$I$1483)</f>
        <v/>
      </c>
      <c r="Z1480" t="str">
        <f>IF([2]Baskol!$J$1483="","",[2]Baskol!$J$1483)</f>
        <v/>
      </c>
      <c r="AA1480" t="str">
        <f>IF([2]Baskol!$K$1483="","",[2]Baskol!$K$1483)</f>
        <v/>
      </c>
      <c r="AB1480" t="str">
        <f>IF([2]Baskol!$L$1483="","",[2]Baskol!$L$1483)</f>
        <v/>
      </c>
      <c r="AC1480" t="str">
        <f>IF([2]Baskol!$N$1483="","",[2]Baskol!$N$1483)</f>
        <v/>
      </c>
      <c r="AD1480" t="str">
        <f>IF([2]Baskol!$O$1483="","",[2]Baskol!$O$1483)</f>
        <v/>
      </c>
      <c r="AE1480" t="str">
        <f>IF([3]Entry!$C$1483="","",[3]Entry!$C$1483)</f>
        <v/>
      </c>
      <c r="AF1480" t="str">
        <f>IF([3]Entry!$D$1483="","",[3]Entry!$D$1483)</f>
        <v/>
      </c>
      <c r="AG1480" t="str">
        <f>IF([3]Entry!$E$1483="","",[3]Entry!$E$1483)</f>
        <v/>
      </c>
      <c r="AH1480" t="str">
        <f>IF([3]Entry!$G$1483="","",[3]Entry!$G$1483)</f>
        <v/>
      </c>
      <c r="AI1480" t="str">
        <f>IF([3]Entry!$K$1483="","",[3]Entry!$K$1483)</f>
        <v/>
      </c>
      <c r="AJ1480" t="str">
        <f>IF([3]Entry!$L$1483="","",[3]Entry!$L$1483)</f>
        <v/>
      </c>
      <c r="AK1480" t="str">
        <f>IF([3]Entry!$M$1483="","",[3]Entry!$M$1483)</f>
        <v/>
      </c>
      <c r="AL1480" t="str">
        <f>IF([3]Entry!$N$1483="","",[3]Entry!$N$1483)</f>
        <v/>
      </c>
      <c r="AM1480" t="str">
        <f>IF([3]Entry!$R$1483="","",[3]Entry!$R$1483)</f>
        <v/>
      </c>
    </row>
    <row r="1481" spans="20:39" x14ac:dyDescent="0.2">
      <c r="T1481" t="str">
        <f>IF([2]Baskol!$B$1484="","",[2]Baskol!$B$1484)</f>
        <v/>
      </c>
      <c r="U1481" t="str">
        <f>IF([2]Baskol!$C$1484="","",[2]Baskol!$C$1484)</f>
        <v/>
      </c>
      <c r="V1481" t="str">
        <f>IF([2]Baskol!$D$1484="","",[2]Baskol!$D$1484)</f>
        <v/>
      </c>
      <c r="W1481" t="str">
        <f>IF([2]Baskol!$E$1484="","",[2]Baskol!$E$1484)</f>
        <v/>
      </c>
      <c r="X1481" t="str">
        <f>IF([2]Baskol!$G$1484="","",[2]Baskol!$G$1484)</f>
        <v/>
      </c>
      <c r="Y1481" t="str">
        <f>IF([2]Baskol!$I$1484="","",[2]Baskol!$I$1484)</f>
        <v/>
      </c>
      <c r="Z1481" t="str">
        <f>IF([2]Baskol!$J$1484="","",[2]Baskol!$J$1484)</f>
        <v/>
      </c>
      <c r="AA1481" t="str">
        <f>IF([2]Baskol!$K$1484="","",[2]Baskol!$K$1484)</f>
        <v/>
      </c>
      <c r="AB1481" t="str">
        <f>IF([2]Baskol!$L$1484="","",[2]Baskol!$L$1484)</f>
        <v/>
      </c>
      <c r="AC1481" t="str">
        <f>IF([2]Baskol!$N$1484="","",[2]Baskol!$N$1484)</f>
        <v/>
      </c>
      <c r="AD1481" t="str">
        <f>IF([2]Baskol!$O$1484="","",[2]Baskol!$O$1484)</f>
        <v/>
      </c>
      <c r="AE1481" t="str">
        <f>IF([3]Entry!$C$1484="","",[3]Entry!$C$1484)</f>
        <v/>
      </c>
      <c r="AF1481" t="str">
        <f>IF([3]Entry!$D$1484="","",[3]Entry!$D$1484)</f>
        <v/>
      </c>
      <c r="AG1481" t="str">
        <f>IF([3]Entry!$E$1484="","",[3]Entry!$E$1484)</f>
        <v/>
      </c>
      <c r="AH1481" t="str">
        <f>IF([3]Entry!$G$1484="","",[3]Entry!$G$1484)</f>
        <v/>
      </c>
      <c r="AI1481" t="str">
        <f>IF([3]Entry!$K$1484="","",[3]Entry!$K$1484)</f>
        <v/>
      </c>
      <c r="AJ1481" t="str">
        <f>IF([3]Entry!$L$1484="","",[3]Entry!$L$1484)</f>
        <v/>
      </c>
      <c r="AK1481" t="str">
        <f>IF([3]Entry!$M$1484="","",[3]Entry!$M$1484)</f>
        <v/>
      </c>
      <c r="AL1481" t="str">
        <f>IF([3]Entry!$N$1484="","",[3]Entry!$N$1484)</f>
        <v/>
      </c>
      <c r="AM1481" t="str">
        <f>IF([3]Entry!$R$1484="","",[3]Entry!$R$1484)</f>
        <v/>
      </c>
    </row>
    <row r="1482" spans="20:39" x14ac:dyDescent="0.2">
      <c r="T1482" t="str">
        <f>IF([2]Baskol!$B$1485="","",[2]Baskol!$B$1485)</f>
        <v/>
      </c>
      <c r="U1482" t="str">
        <f>IF([2]Baskol!$C$1485="","",[2]Baskol!$C$1485)</f>
        <v/>
      </c>
      <c r="V1482" t="str">
        <f>IF([2]Baskol!$D$1485="","",[2]Baskol!$D$1485)</f>
        <v/>
      </c>
      <c r="W1482" t="str">
        <f>IF([2]Baskol!$E$1485="","",[2]Baskol!$E$1485)</f>
        <v/>
      </c>
      <c r="X1482" t="str">
        <f>IF([2]Baskol!$G$1485="","",[2]Baskol!$G$1485)</f>
        <v/>
      </c>
      <c r="Y1482" t="str">
        <f>IF([2]Baskol!$I$1485="","",[2]Baskol!$I$1485)</f>
        <v/>
      </c>
      <c r="Z1482" t="str">
        <f>IF([2]Baskol!$J$1485="","",[2]Baskol!$J$1485)</f>
        <v/>
      </c>
      <c r="AA1482" t="str">
        <f>IF([2]Baskol!$K$1485="","",[2]Baskol!$K$1485)</f>
        <v/>
      </c>
      <c r="AB1482" t="str">
        <f>IF([2]Baskol!$L$1485="","",[2]Baskol!$L$1485)</f>
        <v/>
      </c>
      <c r="AC1482" t="str">
        <f>IF([2]Baskol!$N$1485="","",[2]Baskol!$N$1485)</f>
        <v/>
      </c>
      <c r="AD1482" t="str">
        <f>IF([2]Baskol!$O$1485="","",[2]Baskol!$O$1485)</f>
        <v/>
      </c>
      <c r="AE1482" t="str">
        <f>IF([3]Entry!$C$1485="","",[3]Entry!$C$1485)</f>
        <v/>
      </c>
      <c r="AF1482" t="str">
        <f>IF([3]Entry!$D$1485="","",[3]Entry!$D$1485)</f>
        <v/>
      </c>
      <c r="AG1482" t="str">
        <f>IF([3]Entry!$E$1485="","",[3]Entry!$E$1485)</f>
        <v/>
      </c>
      <c r="AH1482" t="str">
        <f>IF([3]Entry!$G$1485="","",[3]Entry!$G$1485)</f>
        <v/>
      </c>
      <c r="AI1482" t="str">
        <f>IF([3]Entry!$K$1485="","",[3]Entry!$K$1485)</f>
        <v/>
      </c>
      <c r="AJ1482" t="str">
        <f>IF([3]Entry!$L$1485="","",[3]Entry!$L$1485)</f>
        <v/>
      </c>
      <c r="AK1482" t="str">
        <f>IF([3]Entry!$M$1485="","",[3]Entry!$M$1485)</f>
        <v/>
      </c>
      <c r="AL1482" t="str">
        <f>IF([3]Entry!$N$1485="","",[3]Entry!$N$1485)</f>
        <v/>
      </c>
      <c r="AM1482" t="str">
        <f>IF([3]Entry!$R$1485="","",[3]Entry!$R$1485)</f>
        <v/>
      </c>
    </row>
    <row r="1483" spans="20:39" x14ac:dyDescent="0.2">
      <c r="T1483" t="str">
        <f>IF([2]Baskol!$B$1486="","",[2]Baskol!$B$1486)</f>
        <v/>
      </c>
      <c r="U1483" t="str">
        <f>IF([2]Baskol!$C$1486="","",[2]Baskol!$C$1486)</f>
        <v/>
      </c>
      <c r="V1483" t="str">
        <f>IF([2]Baskol!$D$1486="","",[2]Baskol!$D$1486)</f>
        <v/>
      </c>
      <c r="W1483" t="str">
        <f>IF([2]Baskol!$E$1486="","",[2]Baskol!$E$1486)</f>
        <v/>
      </c>
      <c r="X1483" t="str">
        <f>IF([2]Baskol!$G$1486="","",[2]Baskol!$G$1486)</f>
        <v/>
      </c>
      <c r="Y1483" t="str">
        <f>IF([2]Baskol!$I$1486="","",[2]Baskol!$I$1486)</f>
        <v/>
      </c>
      <c r="Z1483" t="str">
        <f>IF([2]Baskol!$J$1486="","",[2]Baskol!$J$1486)</f>
        <v/>
      </c>
      <c r="AA1483" t="str">
        <f>IF([2]Baskol!$K$1486="","",[2]Baskol!$K$1486)</f>
        <v/>
      </c>
      <c r="AB1483" t="str">
        <f>IF([2]Baskol!$L$1486="","",[2]Baskol!$L$1486)</f>
        <v/>
      </c>
      <c r="AC1483" t="str">
        <f>IF([2]Baskol!$N$1486="","",[2]Baskol!$N$1486)</f>
        <v/>
      </c>
      <c r="AD1483" t="str">
        <f>IF([2]Baskol!$O$1486="","",[2]Baskol!$O$1486)</f>
        <v/>
      </c>
      <c r="AE1483" t="str">
        <f>IF([3]Entry!$C$1486="","",[3]Entry!$C$1486)</f>
        <v/>
      </c>
      <c r="AF1483" t="str">
        <f>IF([3]Entry!$D$1486="","",[3]Entry!$D$1486)</f>
        <v/>
      </c>
      <c r="AG1483" t="str">
        <f>IF([3]Entry!$E$1486="","",[3]Entry!$E$1486)</f>
        <v/>
      </c>
      <c r="AH1483" t="str">
        <f>IF([3]Entry!$G$1486="","",[3]Entry!$G$1486)</f>
        <v/>
      </c>
      <c r="AI1483" t="str">
        <f>IF([3]Entry!$K$1486="","",[3]Entry!$K$1486)</f>
        <v/>
      </c>
      <c r="AJ1483" t="str">
        <f>IF([3]Entry!$L$1486="","",[3]Entry!$L$1486)</f>
        <v/>
      </c>
      <c r="AK1483" t="str">
        <f>IF([3]Entry!$M$1486="","",[3]Entry!$M$1486)</f>
        <v/>
      </c>
      <c r="AL1483" t="str">
        <f>IF([3]Entry!$N$1486="","",[3]Entry!$N$1486)</f>
        <v/>
      </c>
      <c r="AM1483" t="str">
        <f>IF([3]Entry!$R$1486="","",[3]Entry!$R$1486)</f>
        <v/>
      </c>
    </row>
    <row r="1484" spans="20:39" x14ac:dyDescent="0.2">
      <c r="T1484" t="str">
        <f>IF([2]Baskol!$B$1487="","",[2]Baskol!$B$1487)</f>
        <v/>
      </c>
      <c r="U1484" t="str">
        <f>IF([2]Baskol!$C$1487="","",[2]Baskol!$C$1487)</f>
        <v/>
      </c>
      <c r="V1484" t="str">
        <f>IF([2]Baskol!$D$1487="","",[2]Baskol!$D$1487)</f>
        <v/>
      </c>
      <c r="W1484" t="str">
        <f>IF([2]Baskol!$E$1487="","",[2]Baskol!$E$1487)</f>
        <v/>
      </c>
      <c r="X1484" t="str">
        <f>IF([2]Baskol!$G$1487="","",[2]Baskol!$G$1487)</f>
        <v/>
      </c>
      <c r="Y1484" t="str">
        <f>IF([2]Baskol!$I$1487="","",[2]Baskol!$I$1487)</f>
        <v/>
      </c>
      <c r="Z1484" t="str">
        <f>IF([2]Baskol!$J$1487="","",[2]Baskol!$J$1487)</f>
        <v/>
      </c>
      <c r="AA1484" t="str">
        <f>IF([2]Baskol!$K$1487="","",[2]Baskol!$K$1487)</f>
        <v/>
      </c>
      <c r="AB1484" t="str">
        <f>IF([2]Baskol!$L$1487="","",[2]Baskol!$L$1487)</f>
        <v/>
      </c>
      <c r="AC1484" t="str">
        <f>IF([2]Baskol!$N$1487="","",[2]Baskol!$N$1487)</f>
        <v/>
      </c>
      <c r="AD1484" t="str">
        <f>IF([2]Baskol!$O$1487="","",[2]Baskol!$O$1487)</f>
        <v/>
      </c>
      <c r="AE1484" t="str">
        <f>IF([3]Entry!$C$1487="","",[3]Entry!$C$1487)</f>
        <v/>
      </c>
      <c r="AF1484" t="str">
        <f>IF([3]Entry!$D$1487="","",[3]Entry!$D$1487)</f>
        <v/>
      </c>
      <c r="AG1484" t="str">
        <f>IF([3]Entry!$E$1487="","",[3]Entry!$E$1487)</f>
        <v/>
      </c>
      <c r="AH1484" t="str">
        <f>IF([3]Entry!$G$1487="","",[3]Entry!$G$1487)</f>
        <v/>
      </c>
      <c r="AI1484" t="str">
        <f>IF([3]Entry!$K$1487="","",[3]Entry!$K$1487)</f>
        <v/>
      </c>
      <c r="AJ1484" t="str">
        <f>IF([3]Entry!$L$1487="","",[3]Entry!$L$1487)</f>
        <v/>
      </c>
      <c r="AK1484" t="str">
        <f>IF([3]Entry!$M$1487="","",[3]Entry!$M$1487)</f>
        <v/>
      </c>
      <c r="AL1484" t="str">
        <f>IF([3]Entry!$N$1487="","",[3]Entry!$N$1487)</f>
        <v/>
      </c>
      <c r="AM1484" t="str">
        <f>IF([3]Entry!$R$1487="","",[3]Entry!$R$1487)</f>
        <v/>
      </c>
    </row>
    <row r="1485" spans="20:39" x14ac:dyDescent="0.2">
      <c r="T1485" t="str">
        <f>IF([2]Baskol!$B$1488="","",[2]Baskol!$B$1488)</f>
        <v/>
      </c>
      <c r="U1485" t="str">
        <f>IF([2]Baskol!$C$1488="","",[2]Baskol!$C$1488)</f>
        <v/>
      </c>
      <c r="V1485" t="str">
        <f>IF([2]Baskol!$D$1488="","",[2]Baskol!$D$1488)</f>
        <v/>
      </c>
      <c r="W1485" t="str">
        <f>IF([2]Baskol!$E$1488="","",[2]Baskol!$E$1488)</f>
        <v/>
      </c>
      <c r="X1485" t="str">
        <f>IF([2]Baskol!$G$1488="","",[2]Baskol!$G$1488)</f>
        <v/>
      </c>
      <c r="Y1485" t="str">
        <f>IF([2]Baskol!$I$1488="","",[2]Baskol!$I$1488)</f>
        <v/>
      </c>
      <c r="Z1485" t="str">
        <f>IF([2]Baskol!$J$1488="","",[2]Baskol!$J$1488)</f>
        <v/>
      </c>
      <c r="AA1485" t="str">
        <f>IF([2]Baskol!$K$1488="","",[2]Baskol!$K$1488)</f>
        <v/>
      </c>
      <c r="AB1485" t="str">
        <f>IF([2]Baskol!$L$1488="","",[2]Baskol!$L$1488)</f>
        <v/>
      </c>
      <c r="AC1485" t="str">
        <f>IF([2]Baskol!$N$1488="","",[2]Baskol!$N$1488)</f>
        <v/>
      </c>
      <c r="AD1485" t="str">
        <f>IF([2]Baskol!$O$1488="","",[2]Baskol!$O$1488)</f>
        <v/>
      </c>
      <c r="AE1485" t="str">
        <f>IF([3]Entry!$C$1488="","",[3]Entry!$C$1488)</f>
        <v/>
      </c>
      <c r="AF1485" t="str">
        <f>IF([3]Entry!$D$1488="","",[3]Entry!$D$1488)</f>
        <v/>
      </c>
      <c r="AG1485" t="str">
        <f>IF([3]Entry!$E$1488="","",[3]Entry!$E$1488)</f>
        <v/>
      </c>
      <c r="AH1485" t="str">
        <f>IF([3]Entry!$G$1488="","",[3]Entry!$G$1488)</f>
        <v/>
      </c>
      <c r="AI1485" t="str">
        <f>IF([3]Entry!$K$1488="","",[3]Entry!$K$1488)</f>
        <v/>
      </c>
      <c r="AJ1485" t="str">
        <f>IF([3]Entry!$L$1488="","",[3]Entry!$L$1488)</f>
        <v/>
      </c>
      <c r="AK1485" t="str">
        <f>IF([3]Entry!$M$1488="","",[3]Entry!$M$1488)</f>
        <v/>
      </c>
      <c r="AL1485" t="str">
        <f>IF([3]Entry!$N$1488="","",[3]Entry!$N$1488)</f>
        <v/>
      </c>
      <c r="AM1485" t="str">
        <f>IF([3]Entry!$R$1488="","",[3]Entry!$R$1488)</f>
        <v/>
      </c>
    </row>
    <row r="1486" spans="20:39" x14ac:dyDescent="0.2">
      <c r="T1486" t="str">
        <f>IF([2]Baskol!$B$1489="","",[2]Baskol!$B$1489)</f>
        <v/>
      </c>
      <c r="U1486" t="str">
        <f>IF([2]Baskol!$C$1489="","",[2]Baskol!$C$1489)</f>
        <v/>
      </c>
      <c r="V1486" t="str">
        <f>IF([2]Baskol!$D$1489="","",[2]Baskol!$D$1489)</f>
        <v/>
      </c>
      <c r="W1486" t="str">
        <f>IF([2]Baskol!$E$1489="","",[2]Baskol!$E$1489)</f>
        <v/>
      </c>
      <c r="X1486" t="str">
        <f>IF([2]Baskol!$G$1489="","",[2]Baskol!$G$1489)</f>
        <v/>
      </c>
      <c r="Y1486" t="str">
        <f>IF([2]Baskol!$I$1489="","",[2]Baskol!$I$1489)</f>
        <v/>
      </c>
      <c r="Z1486" t="str">
        <f>IF([2]Baskol!$J$1489="","",[2]Baskol!$J$1489)</f>
        <v/>
      </c>
      <c r="AA1486" t="str">
        <f>IF([2]Baskol!$K$1489="","",[2]Baskol!$K$1489)</f>
        <v/>
      </c>
      <c r="AB1486" t="str">
        <f>IF([2]Baskol!$L$1489="","",[2]Baskol!$L$1489)</f>
        <v/>
      </c>
      <c r="AC1486" t="str">
        <f>IF([2]Baskol!$N$1489="","",[2]Baskol!$N$1489)</f>
        <v/>
      </c>
      <c r="AD1486" t="str">
        <f>IF([2]Baskol!$O$1489="","",[2]Baskol!$O$1489)</f>
        <v/>
      </c>
      <c r="AE1486" t="str">
        <f>IF([3]Entry!$C$1489="","",[3]Entry!$C$1489)</f>
        <v/>
      </c>
      <c r="AF1486" t="str">
        <f>IF([3]Entry!$D$1489="","",[3]Entry!$D$1489)</f>
        <v/>
      </c>
      <c r="AG1486" t="str">
        <f>IF([3]Entry!$E$1489="","",[3]Entry!$E$1489)</f>
        <v/>
      </c>
      <c r="AH1486" t="str">
        <f>IF([3]Entry!$G$1489="","",[3]Entry!$G$1489)</f>
        <v/>
      </c>
      <c r="AI1486" t="str">
        <f>IF([3]Entry!$K$1489="","",[3]Entry!$K$1489)</f>
        <v/>
      </c>
      <c r="AJ1486" t="str">
        <f>IF([3]Entry!$L$1489="","",[3]Entry!$L$1489)</f>
        <v/>
      </c>
      <c r="AK1486" t="str">
        <f>IF([3]Entry!$M$1489="","",[3]Entry!$M$1489)</f>
        <v/>
      </c>
      <c r="AL1486" t="str">
        <f>IF([3]Entry!$N$1489="","",[3]Entry!$N$1489)</f>
        <v/>
      </c>
      <c r="AM1486" t="str">
        <f>IF([3]Entry!$R$1489="","",[3]Entry!$R$1489)</f>
        <v/>
      </c>
    </row>
    <row r="1487" spans="20:39" x14ac:dyDescent="0.2">
      <c r="T1487" t="str">
        <f>IF([2]Baskol!$B$1490="","",[2]Baskol!$B$1490)</f>
        <v/>
      </c>
      <c r="U1487" t="str">
        <f>IF([2]Baskol!$C$1490="","",[2]Baskol!$C$1490)</f>
        <v/>
      </c>
      <c r="V1487" t="str">
        <f>IF([2]Baskol!$D$1490="","",[2]Baskol!$D$1490)</f>
        <v/>
      </c>
      <c r="W1487" t="str">
        <f>IF([2]Baskol!$E$1490="","",[2]Baskol!$E$1490)</f>
        <v/>
      </c>
      <c r="X1487" t="str">
        <f>IF([2]Baskol!$G$1490="","",[2]Baskol!$G$1490)</f>
        <v/>
      </c>
      <c r="Y1487" t="str">
        <f>IF([2]Baskol!$I$1490="","",[2]Baskol!$I$1490)</f>
        <v/>
      </c>
      <c r="Z1487" t="str">
        <f>IF([2]Baskol!$J$1490="","",[2]Baskol!$J$1490)</f>
        <v/>
      </c>
      <c r="AA1487" t="str">
        <f>IF([2]Baskol!$K$1490="","",[2]Baskol!$K$1490)</f>
        <v/>
      </c>
      <c r="AB1487" t="str">
        <f>IF([2]Baskol!$L$1490="","",[2]Baskol!$L$1490)</f>
        <v/>
      </c>
      <c r="AC1487" t="str">
        <f>IF([2]Baskol!$N$1490="","",[2]Baskol!$N$1490)</f>
        <v/>
      </c>
      <c r="AD1487" t="str">
        <f>IF([2]Baskol!$O$1490="","",[2]Baskol!$O$1490)</f>
        <v/>
      </c>
      <c r="AE1487" t="str">
        <f>IF([3]Entry!$C$1490="","",[3]Entry!$C$1490)</f>
        <v/>
      </c>
      <c r="AF1487" t="str">
        <f>IF([3]Entry!$D$1490="","",[3]Entry!$D$1490)</f>
        <v/>
      </c>
      <c r="AG1487" t="str">
        <f>IF([3]Entry!$E$1490="","",[3]Entry!$E$1490)</f>
        <v/>
      </c>
      <c r="AH1487" t="str">
        <f>IF([3]Entry!$G$1490="","",[3]Entry!$G$1490)</f>
        <v/>
      </c>
      <c r="AI1487" t="str">
        <f>IF([3]Entry!$K$1490="","",[3]Entry!$K$1490)</f>
        <v/>
      </c>
      <c r="AJ1487" t="str">
        <f>IF([3]Entry!$L$1490="","",[3]Entry!$L$1490)</f>
        <v/>
      </c>
      <c r="AK1487" t="str">
        <f>IF([3]Entry!$M$1490="","",[3]Entry!$M$1490)</f>
        <v/>
      </c>
      <c r="AL1487" t="str">
        <f>IF([3]Entry!$N$1490="","",[3]Entry!$N$1490)</f>
        <v/>
      </c>
      <c r="AM1487" t="str">
        <f>IF([3]Entry!$R$1490="","",[3]Entry!$R$1490)</f>
        <v/>
      </c>
    </row>
    <row r="1488" spans="20:39" x14ac:dyDescent="0.2">
      <c r="T1488" t="str">
        <f>IF([2]Baskol!$B$1491="","",[2]Baskol!$B$1491)</f>
        <v/>
      </c>
      <c r="U1488" t="str">
        <f>IF([2]Baskol!$C$1491="","",[2]Baskol!$C$1491)</f>
        <v/>
      </c>
      <c r="V1488" t="str">
        <f>IF([2]Baskol!$D$1491="","",[2]Baskol!$D$1491)</f>
        <v/>
      </c>
      <c r="W1488" t="str">
        <f>IF([2]Baskol!$E$1491="","",[2]Baskol!$E$1491)</f>
        <v/>
      </c>
      <c r="X1488" t="str">
        <f>IF([2]Baskol!$G$1491="","",[2]Baskol!$G$1491)</f>
        <v/>
      </c>
      <c r="Y1488" t="str">
        <f>IF([2]Baskol!$I$1491="","",[2]Baskol!$I$1491)</f>
        <v/>
      </c>
      <c r="Z1488" t="str">
        <f>IF([2]Baskol!$J$1491="","",[2]Baskol!$J$1491)</f>
        <v/>
      </c>
      <c r="AA1488" t="str">
        <f>IF([2]Baskol!$K$1491="","",[2]Baskol!$K$1491)</f>
        <v/>
      </c>
      <c r="AB1488" t="str">
        <f>IF([2]Baskol!$L$1491="","",[2]Baskol!$L$1491)</f>
        <v/>
      </c>
      <c r="AC1488" t="str">
        <f>IF([2]Baskol!$N$1491="","",[2]Baskol!$N$1491)</f>
        <v/>
      </c>
      <c r="AD1488" t="str">
        <f>IF([2]Baskol!$O$1491="","",[2]Baskol!$O$1491)</f>
        <v/>
      </c>
      <c r="AE1488" t="str">
        <f>IF([3]Entry!$C$1491="","",[3]Entry!$C$1491)</f>
        <v/>
      </c>
      <c r="AF1488" t="str">
        <f>IF([3]Entry!$D$1491="","",[3]Entry!$D$1491)</f>
        <v/>
      </c>
      <c r="AG1488" t="str">
        <f>IF([3]Entry!$E$1491="","",[3]Entry!$E$1491)</f>
        <v/>
      </c>
      <c r="AH1488" t="str">
        <f>IF([3]Entry!$G$1491="","",[3]Entry!$G$1491)</f>
        <v/>
      </c>
      <c r="AI1488" t="str">
        <f>IF([3]Entry!$K$1491="","",[3]Entry!$K$1491)</f>
        <v/>
      </c>
      <c r="AJ1488" t="str">
        <f>IF([3]Entry!$L$1491="","",[3]Entry!$L$1491)</f>
        <v/>
      </c>
      <c r="AK1488" t="str">
        <f>IF([3]Entry!$M$1491="","",[3]Entry!$M$1491)</f>
        <v/>
      </c>
      <c r="AL1488" t="str">
        <f>IF([3]Entry!$N$1491="","",[3]Entry!$N$1491)</f>
        <v/>
      </c>
      <c r="AM1488" t="str">
        <f>IF([3]Entry!$R$1491="","",[3]Entry!$R$1491)</f>
        <v/>
      </c>
    </row>
    <row r="1489" spans="20:39" x14ac:dyDescent="0.2">
      <c r="T1489" t="str">
        <f>IF([2]Baskol!$B$1492="","",[2]Baskol!$B$1492)</f>
        <v/>
      </c>
      <c r="U1489" t="str">
        <f>IF([2]Baskol!$C$1492="","",[2]Baskol!$C$1492)</f>
        <v/>
      </c>
      <c r="V1489" t="str">
        <f>IF([2]Baskol!$D$1492="","",[2]Baskol!$D$1492)</f>
        <v/>
      </c>
      <c r="W1489" t="str">
        <f>IF([2]Baskol!$E$1492="","",[2]Baskol!$E$1492)</f>
        <v/>
      </c>
      <c r="X1489" t="str">
        <f>IF([2]Baskol!$G$1492="","",[2]Baskol!$G$1492)</f>
        <v/>
      </c>
      <c r="Y1489" t="str">
        <f>IF([2]Baskol!$I$1492="","",[2]Baskol!$I$1492)</f>
        <v/>
      </c>
      <c r="Z1489" t="str">
        <f>IF([2]Baskol!$J$1492="","",[2]Baskol!$J$1492)</f>
        <v/>
      </c>
      <c r="AA1489" t="str">
        <f>IF([2]Baskol!$K$1492="","",[2]Baskol!$K$1492)</f>
        <v/>
      </c>
      <c r="AB1489" t="str">
        <f>IF([2]Baskol!$L$1492="","",[2]Baskol!$L$1492)</f>
        <v/>
      </c>
      <c r="AC1489" t="str">
        <f>IF([2]Baskol!$N$1492="","",[2]Baskol!$N$1492)</f>
        <v/>
      </c>
      <c r="AD1489" t="str">
        <f>IF([2]Baskol!$O$1492="","",[2]Baskol!$O$1492)</f>
        <v/>
      </c>
      <c r="AE1489" t="str">
        <f>IF([3]Entry!$C$1492="","",[3]Entry!$C$1492)</f>
        <v/>
      </c>
      <c r="AF1489" t="str">
        <f>IF([3]Entry!$D$1492="","",[3]Entry!$D$1492)</f>
        <v/>
      </c>
      <c r="AG1489" t="str">
        <f>IF([3]Entry!$E$1492="","",[3]Entry!$E$1492)</f>
        <v/>
      </c>
      <c r="AH1489" t="str">
        <f>IF([3]Entry!$G$1492="","",[3]Entry!$G$1492)</f>
        <v/>
      </c>
      <c r="AI1489" t="str">
        <f>IF([3]Entry!$K$1492="","",[3]Entry!$K$1492)</f>
        <v/>
      </c>
      <c r="AJ1489" t="str">
        <f>IF([3]Entry!$L$1492="","",[3]Entry!$L$1492)</f>
        <v/>
      </c>
      <c r="AK1489" t="str">
        <f>IF([3]Entry!$M$1492="","",[3]Entry!$M$1492)</f>
        <v/>
      </c>
      <c r="AL1489" t="str">
        <f>IF([3]Entry!$N$1492="","",[3]Entry!$N$1492)</f>
        <v/>
      </c>
      <c r="AM1489" t="str">
        <f>IF([3]Entry!$R$1492="","",[3]Entry!$R$1492)</f>
        <v/>
      </c>
    </row>
    <row r="1490" spans="20:39" x14ac:dyDescent="0.2">
      <c r="T1490" t="str">
        <f>IF([2]Baskol!$B$1493="","",[2]Baskol!$B$1493)</f>
        <v/>
      </c>
      <c r="U1490" t="str">
        <f>IF([2]Baskol!$C$1493="","",[2]Baskol!$C$1493)</f>
        <v/>
      </c>
      <c r="V1490" t="str">
        <f>IF([2]Baskol!$D$1493="","",[2]Baskol!$D$1493)</f>
        <v/>
      </c>
      <c r="W1490" t="str">
        <f>IF([2]Baskol!$E$1493="","",[2]Baskol!$E$1493)</f>
        <v/>
      </c>
      <c r="X1490" t="str">
        <f>IF([2]Baskol!$G$1493="","",[2]Baskol!$G$1493)</f>
        <v/>
      </c>
      <c r="Y1490" t="str">
        <f>IF([2]Baskol!$I$1493="","",[2]Baskol!$I$1493)</f>
        <v/>
      </c>
      <c r="Z1490" t="str">
        <f>IF([2]Baskol!$J$1493="","",[2]Baskol!$J$1493)</f>
        <v/>
      </c>
      <c r="AA1490" t="str">
        <f>IF([2]Baskol!$K$1493="","",[2]Baskol!$K$1493)</f>
        <v/>
      </c>
      <c r="AB1490" t="str">
        <f>IF([2]Baskol!$L$1493="","",[2]Baskol!$L$1493)</f>
        <v/>
      </c>
      <c r="AC1490" t="str">
        <f>IF([2]Baskol!$N$1493="","",[2]Baskol!$N$1493)</f>
        <v/>
      </c>
      <c r="AD1490" t="str">
        <f>IF([2]Baskol!$O$1493="","",[2]Baskol!$O$1493)</f>
        <v/>
      </c>
      <c r="AE1490" t="str">
        <f>IF([3]Entry!$C$1493="","",[3]Entry!$C$1493)</f>
        <v/>
      </c>
      <c r="AF1490" t="str">
        <f>IF([3]Entry!$D$1493="","",[3]Entry!$D$1493)</f>
        <v/>
      </c>
      <c r="AG1490" t="str">
        <f>IF([3]Entry!$E$1493="","",[3]Entry!$E$1493)</f>
        <v/>
      </c>
      <c r="AH1490" t="str">
        <f>IF([3]Entry!$G$1493="","",[3]Entry!$G$1493)</f>
        <v/>
      </c>
      <c r="AI1490" t="str">
        <f>IF([3]Entry!$K$1493="","",[3]Entry!$K$1493)</f>
        <v/>
      </c>
      <c r="AJ1490" t="str">
        <f>IF([3]Entry!$L$1493="","",[3]Entry!$L$1493)</f>
        <v/>
      </c>
      <c r="AK1490" t="str">
        <f>IF([3]Entry!$M$1493="","",[3]Entry!$M$1493)</f>
        <v/>
      </c>
      <c r="AL1490" t="str">
        <f>IF([3]Entry!$N$1493="","",[3]Entry!$N$1493)</f>
        <v/>
      </c>
      <c r="AM1490" t="str">
        <f>IF([3]Entry!$R$1493="","",[3]Entry!$R$1493)</f>
        <v/>
      </c>
    </row>
    <row r="1491" spans="20:39" x14ac:dyDescent="0.2">
      <c r="T1491" t="str">
        <f>IF([2]Baskol!$B$1494="","",[2]Baskol!$B$1494)</f>
        <v/>
      </c>
      <c r="U1491" t="str">
        <f>IF([2]Baskol!$C$1494="","",[2]Baskol!$C$1494)</f>
        <v/>
      </c>
      <c r="V1491" t="str">
        <f>IF([2]Baskol!$D$1494="","",[2]Baskol!$D$1494)</f>
        <v/>
      </c>
      <c r="W1491" t="str">
        <f>IF([2]Baskol!$E$1494="","",[2]Baskol!$E$1494)</f>
        <v/>
      </c>
      <c r="X1491" t="str">
        <f>IF([2]Baskol!$G$1494="","",[2]Baskol!$G$1494)</f>
        <v/>
      </c>
      <c r="Y1491" t="str">
        <f>IF([2]Baskol!$I$1494="","",[2]Baskol!$I$1494)</f>
        <v/>
      </c>
      <c r="Z1491" t="str">
        <f>IF([2]Baskol!$J$1494="","",[2]Baskol!$J$1494)</f>
        <v/>
      </c>
      <c r="AA1491" t="str">
        <f>IF([2]Baskol!$K$1494="","",[2]Baskol!$K$1494)</f>
        <v/>
      </c>
      <c r="AB1491" t="str">
        <f>IF([2]Baskol!$L$1494="","",[2]Baskol!$L$1494)</f>
        <v/>
      </c>
      <c r="AC1491" t="str">
        <f>IF([2]Baskol!$N$1494="","",[2]Baskol!$N$1494)</f>
        <v/>
      </c>
      <c r="AD1491" t="str">
        <f>IF([2]Baskol!$O$1494="","",[2]Baskol!$O$1494)</f>
        <v/>
      </c>
      <c r="AE1491" t="str">
        <f>IF([3]Entry!$C$1494="","",[3]Entry!$C$1494)</f>
        <v/>
      </c>
      <c r="AF1491" t="str">
        <f>IF([3]Entry!$D$1494="","",[3]Entry!$D$1494)</f>
        <v/>
      </c>
      <c r="AG1491" t="str">
        <f>IF([3]Entry!$E$1494="","",[3]Entry!$E$1494)</f>
        <v/>
      </c>
      <c r="AH1491" t="str">
        <f>IF([3]Entry!$G$1494="","",[3]Entry!$G$1494)</f>
        <v/>
      </c>
      <c r="AI1491" t="str">
        <f>IF([3]Entry!$K$1494="","",[3]Entry!$K$1494)</f>
        <v/>
      </c>
      <c r="AJ1491" t="str">
        <f>IF([3]Entry!$L$1494="","",[3]Entry!$L$1494)</f>
        <v/>
      </c>
      <c r="AK1491" t="str">
        <f>IF([3]Entry!$M$1494="","",[3]Entry!$M$1494)</f>
        <v/>
      </c>
      <c r="AL1491" t="str">
        <f>IF([3]Entry!$N$1494="","",[3]Entry!$N$1494)</f>
        <v/>
      </c>
      <c r="AM1491" t="str">
        <f>IF([3]Entry!$R$1494="","",[3]Entry!$R$1494)</f>
        <v/>
      </c>
    </row>
    <row r="1492" spans="20:39" x14ac:dyDescent="0.2">
      <c r="T1492" t="str">
        <f>IF([2]Baskol!$B$1495="","",[2]Baskol!$B$1495)</f>
        <v/>
      </c>
      <c r="U1492" t="str">
        <f>IF([2]Baskol!$C$1495="","",[2]Baskol!$C$1495)</f>
        <v/>
      </c>
      <c r="V1492" t="str">
        <f>IF([2]Baskol!$D$1495="","",[2]Baskol!$D$1495)</f>
        <v/>
      </c>
      <c r="W1492" t="str">
        <f>IF([2]Baskol!$E$1495="","",[2]Baskol!$E$1495)</f>
        <v/>
      </c>
      <c r="X1492" t="str">
        <f>IF([2]Baskol!$G$1495="","",[2]Baskol!$G$1495)</f>
        <v/>
      </c>
      <c r="Y1492" t="str">
        <f>IF([2]Baskol!$I$1495="","",[2]Baskol!$I$1495)</f>
        <v/>
      </c>
      <c r="Z1492" t="str">
        <f>IF([2]Baskol!$J$1495="","",[2]Baskol!$J$1495)</f>
        <v/>
      </c>
      <c r="AA1492" t="str">
        <f>IF([2]Baskol!$K$1495="","",[2]Baskol!$K$1495)</f>
        <v/>
      </c>
      <c r="AB1492" t="str">
        <f>IF([2]Baskol!$L$1495="","",[2]Baskol!$L$1495)</f>
        <v/>
      </c>
      <c r="AC1492" t="str">
        <f>IF([2]Baskol!$N$1495="","",[2]Baskol!$N$1495)</f>
        <v/>
      </c>
      <c r="AD1492" t="str">
        <f>IF([2]Baskol!$O$1495="","",[2]Baskol!$O$1495)</f>
        <v/>
      </c>
      <c r="AE1492" t="str">
        <f>IF([3]Entry!$C$1495="","",[3]Entry!$C$1495)</f>
        <v/>
      </c>
      <c r="AF1492" t="str">
        <f>IF([3]Entry!$D$1495="","",[3]Entry!$D$1495)</f>
        <v/>
      </c>
      <c r="AG1492" t="str">
        <f>IF([3]Entry!$E$1495="","",[3]Entry!$E$1495)</f>
        <v/>
      </c>
      <c r="AH1492" t="str">
        <f>IF([3]Entry!$G$1495="","",[3]Entry!$G$1495)</f>
        <v/>
      </c>
      <c r="AI1492" t="str">
        <f>IF([3]Entry!$K$1495="","",[3]Entry!$K$1495)</f>
        <v/>
      </c>
      <c r="AJ1492" t="str">
        <f>IF([3]Entry!$L$1495="","",[3]Entry!$L$1495)</f>
        <v/>
      </c>
      <c r="AK1492" t="str">
        <f>IF([3]Entry!$M$1495="","",[3]Entry!$M$1495)</f>
        <v/>
      </c>
      <c r="AL1492" t="str">
        <f>IF([3]Entry!$N$1495="","",[3]Entry!$N$1495)</f>
        <v/>
      </c>
      <c r="AM1492" t="str">
        <f>IF([3]Entry!$R$1495="","",[3]Entry!$R$1495)</f>
        <v/>
      </c>
    </row>
    <row r="1493" spans="20:39" x14ac:dyDescent="0.2">
      <c r="T1493" t="str">
        <f>IF([2]Baskol!$B$1496="","",[2]Baskol!$B$1496)</f>
        <v/>
      </c>
      <c r="U1493" t="str">
        <f>IF([2]Baskol!$C$1496="","",[2]Baskol!$C$1496)</f>
        <v/>
      </c>
      <c r="V1493" t="str">
        <f>IF([2]Baskol!$D$1496="","",[2]Baskol!$D$1496)</f>
        <v/>
      </c>
      <c r="W1493" t="str">
        <f>IF([2]Baskol!$E$1496="","",[2]Baskol!$E$1496)</f>
        <v/>
      </c>
      <c r="X1493" t="str">
        <f>IF([2]Baskol!$G$1496="","",[2]Baskol!$G$1496)</f>
        <v/>
      </c>
      <c r="Y1493" t="str">
        <f>IF([2]Baskol!$I$1496="","",[2]Baskol!$I$1496)</f>
        <v/>
      </c>
      <c r="Z1493" t="str">
        <f>IF([2]Baskol!$J$1496="","",[2]Baskol!$J$1496)</f>
        <v/>
      </c>
      <c r="AA1493" t="str">
        <f>IF([2]Baskol!$K$1496="","",[2]Baskol!$K$1496)</f>
        <v/>
      </c>
      <c r="AB1493" t="str">
        <f>IF([2]Baskol!$L$1496="","",[2]Baskol!$L$1496)</f>
        <v/>
      </c>
      <c r="AC1493" t="str">
        <f>IF([2]Baskol!$N$1496="","",[2]Baskol!$N$1496)</f>
        <v/>
      </c>
      <c r="AD1493" t="str">
        <f>IF([2]Baskol!$O$1496="","",[2]Baskol!$O$1496)</f>
        <v/>
      </c>
      <c r="AE1493" t="str">
        <f>IF([3]Entry!$C$1496="","",[3]Entry!$C$1496)</f>
        <v/>
      </c>
      <c r="AF1493" t="str">
        <f>IF([3]Entry!$D$1496="","",[3]Entry!$D$1496)</f>
        <v/>
      </c>
      <c r="AG1493" t="str">
        <f>IF([3]Entry!$E$1496="","",[3]Entry!$E$1496)</f>
        <v/>
      </c>
      <c r="AH1493" t="str">
        <f>IF([3]Entry!$G$1496="","",[3]Entry!$G$1496)</f>
        <v/>
      </c>
      <c r="AI1493" t="str">
        <f>IF([3]Entry!$K$1496="","",[3]Entry!$K$1496)</f>
        <v/>
      </c>
      <c r="AJ1493" t="str">
        <f>IF([3]Entry!$L$1496="","",[3]Entry!$L$1496)</f>
        <v/>
      </c>
      <c r="AK1493" t="str">
        <f>IF([3]Entry!$M$1496="","",[3]Entry!$M$1496)</f>
        <v/>
      </c>
      <c r="AL1493" t="str">
        <f>IF([3]Entry!$N$1496="","",[3]Entry!$N$1496)</f>
        <v/>
      </c>
      <c r="AM1493" t="str">
        <f>IF([3]Entry!$R$1496="","",[3]Entry!$R$1496)</f>
        <v/>
      </c>
    </row>
    <row r="1494" spans="20:39" x14ac:dyDescent="0.2">
      <c r="T1494" t="str">
        <f>IF([2]Baskol!$B$1497="","",[2]Baskol!$B$1497)</f>
        <v/>
      </c>
      <c r="U1494" t="str">
        <f>IF([2]Baskol!$C$1497="","",[2]Baskol!$C$1497)</f>
        <v/>
      </c>
      <c r="V1494" t="str">
        <f>IF([2]Baskol!$D$1497="","",[2]Baskol!$D$1497)</f>
        <v/>
      </c>
      <c r="W1494" t="str">
        <f>IF([2]Baskol!$E$1497="","",[2]Baskol!$E$1497)</f>
        <v/>
      </c>
      <c r="X1494" t="str">
        <f>IF([2]Baskol!$G$1497="","",[2]Baskol!$G$1497)</f>
        <v/>
      </c>
      <c r="Y1494" t="str">
        <f>IF([2]Baskol!$I$1497="","",[2]Baskol!$I$1497)</f>
        <v/>
      </c>
      <c r="Z1494" t="str">
        <f>IF([2]Baskol!$J$1497="","",[2]Baskol!$J$1497)</f>
        <v/>
      </c>
      <c r="AA1494" t="str">
        <f>IF([2]Baskol!$K$1497="","",[2]Baskol!$K$1497)</f>
        <v/>
      </c>
      <c r="AB1494" t="str">
        <f>IF([2]Baskol!$L$1497="","",[2]Baskol!$L$1497)</f>
        <v/>
      </c>
      <c r="AC1494" t="str">
        <f>IF([2]Baskol!$N$1497="","",[2]Baskol!$N$1497)</f>
        <v/>
      </c>
      <c r="AD1494" t="str">
        <f>IF([2]Baskol!$O$1497="","",[2]Baskol!$O$1497)</f>
        <v/>
      </c>
      <c r="AE1494" t="str">
        <f>IF([3]Entry!$C$1497="","",[3]Entry!$C$1497)</f>
        <v/>
      </c>
      <c r="AF1494" t="str">
        <f>IF([3]Entry!$D$1497="","",[3]Entry!$D$1497)</f>
        <v/>
      </c>
      <c r="AG1494" t="str">
        <f>IF([3]Entry!$E$1497="","",[3]Entry!$E$1497)</f>
        <v/>
      </c>
      <c r="AH1494" t="str">
        <f>IF([3]Entry!$G$1497="","",[3]Entry!$G$1497)</f>
        <v/>
      </c>
      <c r="AI1494" t="str">
        <f>IF([3]Entry!$K$1497="","",[3]Entry!$K$1497)</f>
        <v/>
      </c>
      <c r="AJ1494" t="str">
        <f>IF([3]Entry!$L$1497="","",[3]Entry!$L$1497)</f>
        <v/>
      </c>
      <c r="AK1494" t="str">
        <f>IF([3]Entry!$M$1497="","",[3]Entry!$M$1497)</f>
        <v/>
      </c>
      <c r="AL1494" t="str">
        <f>IF([3]Entry!$N$1497="","",[3]Entry!$N$1497)</f>
        <v/>
      </c>
      <c r="AM1494" t="str">
        <f>IF([3]Entry!$R$1497="","",[3]Entry!$R$1497)</f>
        <v/>
      </c>
    </row>
    <row r="1495" spans="20:39" x14ac:dyDescent="0.2">
      <c r="T1495" t="str">
        <f>IF([2]Baskol!$B$1498="","",[2]Baskol!$B$1498)</f>
        <v/>
      </c>
      <c r="U1495" t="str">
        <f>IF([2]Baskol!$C$1498="","",[2]Baskol!$C$1498)</f>
        <v/>
      </c>
      <c r="V1495" t="str">
        <f>IF([2]Baskol!$D$1498="","",[2]Baskol!$D$1498)</f>
        <v/>
      </c>
      <c r="W1495" t="str">
        <f>IF([2]Baskol!$E$1498="","",[2]Baskol!$E$1498)</f>
        <v/>
      </c>
      <c r="X1495" t="str">
        <f>IF([2]Baskol!$G$1498="","",[2]Baskol!$G$1498)</f>
        <v/>
      </c>
      <c r="Y1495" t="str">
        <f>IF([2]Baskol!$I$1498="","",[2]Baskol!$I$1498)</f>
        <v/>
      </c>
      <c r="Z1495" t="str">
        <f>IF([2]Baskol!$J$1498="","",[2]Baskol!$J$1498)</f>
        <v/>
      </c>
      <c r="AA1495" t="str">
        <f>IF([2]Baskol!$K$1498="","",[2]Baskol!$K$1498)</f>
        <v/>
      </c>
      <c r="AB1495" t="str">
        <f>IF([2]Baskol!$L$1498="","",[2]Baskol!$L$1498)</f>
        <v/>
      </c>
      <c r="AC1495" t="str">
        <f>IF([2]Baskol!$N$1498="","",[2]Baskol!$N$1498)</f>
        <v/>
      </c>
      <c r="AD1495" t="str">
        <f>IF([2]Baskol!$O$1498="","",[2]Baskol!$O$1498)</f>
        <v/>
      </c>
      <c r="AE1495" t="str">
        <f>IF([3]Entry!$C$1498="","",[3]Entry!$C$1498)</f>
        <v/>
      </c>
      <c r="AF1495" t="str">
        <f>IF([3]Entry!$D$1498="","",[3]Entry!$D$1498)</f>
        <v/>
      </c>
      <c r="AG1495" t="str">
        <f>IF([3]Entry!$E$1498="","",[3]Entry!$E$1498)</f>
        <v/>
      </c>
      <c r="AH1495" t="str">
        <f>IF([3]Entry!$G$1498="","",[3]Entry!$G$1498)</f>
        <v/>
      </c>
      <c r="AI1495" t="str">
        <f>IF([3]Entry!$K$1498="","",[3]Entry!$K$1498)</f>
        <v/>
      </c>
      <c r="AJ1495" t="str">
        <f>IF([3]Entry!$L$1498="","",[3]Entry!$L$1498)</f>
        <v/>
      </c>
      <c r="AK1495" t="str">
        <f>IF([3]Entry!$M$1498="","",[3]Entry!$M$1498)</f>
        <v/>
      </c>
      <c r="AL1495" t="str">
        <f>IF([3]Entry!$N$1498="","",[3]Entry!$N$1498)</f>
        <v/>
      </c>
      <c r="AM1495" t="str">
        <f>IF([3]Entry!$R$1498="","",[3]Entry!$R$1498)</f>
        <v/>
      </c>
    </row>
    <row r="1496" spans="20:39" x14ac:dyDescent="0.2">
      <c r="T1496" t="str">
        <f>IF([2]Baskol!$B$1499="","",[2]Baskol!$B$1499)</f>
        <v/>
      </c>
      <c r="U1496" t="str">
        <f>IF([2]Baskol!$C$1499="","",[2]Baskol!$C$1499)</f>
        <v/>
      </c>
      <c r="V1496" t="str">
        <f>IF([2]Baskol!$D$1499="","",[2]Baskol!$D$1499)</f>
        <v/>
      </c>
      <c r="W1496" t="str">
        <f>IF([2]Baskol!$E$1499="","",[2]Baskol!$E$1499)</f>
        <v/>
      </c>
      <c r="X1496" t="str">
        <f>IF([2]Baskol!$G$1499="","",[2]Baskol!$G$1499)</f>
        <v/>
      </c>
      <c r="Y1496" t="str">
        <f>IF([2]Baskol!$I$1499="","",[2]Baskol!$I$1499)</f>
        <v/>
      </c>
      <c r="Z1496" t="str">
        <f>IF([2]Baskol!$J$1499="","",[2]Baskol!$J$1499)</f>
        <v/>
      </c>
      <c r="AA1496" t="str">
        <f>IF([2]Baskol!$K$1499="","",[2]Baskol!$K$1499)</f>
        <v/>
      </c>
      <c r="AB1496" t="str">
        <f>IF([2]Baskol!$L$1499="","",[2]Baskol!$L$1499)</f>
        <v/>
      </c>
      <c r="AC1496" t="str">
        <f>IF([2]Baskol!$N$1499="","",[2]Baskol!$N$1499)</f>
        <v/>
      </c>
      <c r="AD1496" t="str">
        <f>IF([2]Baskol!$O$1499="","",[2]Baskol!$O$1499)</f>
        <v/>
      </c>
      <c r="AE1496" t="str">
        <f>IF([3]Entry!$C$1499="","",[3]Entry!$C$1499)</f>
        <v/>
      </c>
      <c r="AF1496" t="str">
        <f>IF([3]Entry!$D$1499="","",[3]Entry!$D$1499)</f>
        <v/>
      </c>
      <c r="AG1496" t="str">
        <f>IF([3]Entry!$E$1499="","",[3]Entry!$E$1499)</f>
        <v/>
      </c>
      <c r="AH1496" t="str">
        <f>IF([3]Entry!$G$1499="","",[3]Entry!$G$1499)</f>
        <v/>
      </c>
      <c r="AI1496" t="str">
        <f>IF([3]Entry!$K$1499="","",[3]Entry!$K$1499)</f>
        <v/>
      </c>
      <c r="AJ1496" t="str">
        <f>IF([3]Entry!$L$1499="","",[3]Entry!$L$1499)</f>
        <v/>
      </c>
      <c r="AK1496" t="str">
        <f>IF([3]Entry!$M$1499="","",[3]Entry!$M$1499)</f>
        <v/>
      </c>
      <c r="AL1496" t="str">
        <f>IF([3]Entry!$N$1499="","",[3]Entry!$N$1499)</f>
        <v/>
      </c>
      <c r="AM1496" t="str">
        <f>IF([3]Entry!$R$1499="","",[3]Entry!$R$1499)</f>
        <v/>
      </c>
    </row>
    <row r="1497" spans="20:39" x14ac:dyDescent="0.2">
      <c r="T1497" t="str">
        <f>IF([2]Baskol!$B$1500="","",[2]Baskol!$B$1500)</f>
        <v/>
      </c>
      <c r="U1497" t="str">
        <f>IF([2]Baskol!$C$1500="","",[2]Baskol!$C$1500)</f>
        <v/>
      </c>
      <c r="V1497" t="str">
        <f>IF([2]Baskol!$D$1500="","",[2]Baskol!$D$1500)</f>
        <v/>
      </c>
      <c r="W1497" t="str">
        <f>IF([2]Baskol!$E$1500="","",[2]Baskol!$E$1500)</f>
        <v/>
      </c>
      <c r="X1497" t="str">
        <f>IF([2]Baskol!$G$1500="","",[2]Baskol!$G$1500)</f>
        <v/>
      </c>
      <c r="Y1497" t="str">
        <f>IF([2]Baskol!$I$1500="","",[2]Baskol!$I$1500)</f>
        <v/>
      </c>
      <c r="Z1497" t="str">
        <f>IF([2]Baskol!$J$1500="","",[2]Baskol!$J$1500)</f>
        <v/>
      </c>
      <c r="AA1497" t="str">
        <f>IF([2]Baskol!$K$1500="","",[2]Baskol!$K$1500)</f>
        <v/>
      </c>
      <c r="AB1497" t="str">
        <f>IF([2]Baskol!$L$1500="","",[2]Baskol!$L$1500)</f>
        <v/>
      </c>
      <c r="AC1497" t="str">
        <f>IF([2]Baskol!$N$1500="","",[2]Baskol!$N$1500)</f>
        <v/>
      </c>
      <c r="AD1497" t="str">
        <f>IF([2]Baskol!$O$1500="","",[2]Baskol!$O$1500)</f>
        <v/>
      </c>
      <c r="AE1497" t="str">
        <f>IF([3]Entry!$C$1500="","",[3]Entry!$C$1500)</f>
        <v/>
      </c>
      <c r="AF1497" t="str">
        <f>IF([3]Entry!$D$1500="","",[3]Entry!$D$1500)</f>
        <v/>
      </c>
      <c r="AG1497" t="str">
        <f>IF([3]Entry!$E$1500="","",[3]Entry!$E$1500)</f>
        <v/>
      </c>
      <c r="AH1497" t="str">
        <f>IF([3]Entry!$G$1500="","",[3]Entry!$G$1500)</f>
        <v/>
      </c>
      <c r="AI1497" t="str">
        <f>IF([3]Entry!$K$1500="","",[3]Entry!$K$1500)</f>
        <v/>
      </c>
      <c r="AJ1497" t="str">
        <f>IF([3]Entry!$L$1500="","",[3]Entry!$L$1500)</f>
        <v/>
      </c>
      <c r="AK1497" t="str">
        <f>IF([3]Entry!$M$1500="","",[3]Entry!$M$1500)</f>
        <v/>
      </c>
      <c r="AL1497" t="str">
        <f>IF([3]Entry!$N$1500="","",[3]Entry!$N$1500)</f>
        <v/>
      </c>
      <c r="AM1497" t="str">
        <f>IF([3]Entry!$R$1500="","",[3]Entry!$R$1500)</f>
        <v/>
      </c>
    </row>
    <row r="1498" spans="20:39" x14ac:dyDescent="0.2">
      <c r="T1498" t="str">
        <f>IF([2]Baskol!$B$1501="","",[2]Baskol!$B$1501)</f>
        <v/>
      </c>
      <c r="U1498" t="str">
        <f>IF([2]Baskol!$C$1501="","",[2]Baskol!$C$1501)</f>
        <v/>
      </c>
      <c r="V1498" t="str">
        <f>IF([2]Baskol!$D$1501="","",[2]Baskol!$D$1501)</f>
        <v/>
      </c>
      <c r="W1498" t="str">
        <f>IF([2]Baskol!$E$1501="","",[2]Baskol!$E$1501)</f>
        <v/>
      </c>
      <c r="X1498" t="str">
        <f>IF([2]Baskol!$G$1501="","",[2]Baskol!$G$1501)</f>
        <v/>
      </c>
      <c r="Y1498" t="str">
        <f>IF([2]Baskol!$I$1501="","",[2]Baskol!$I$1501)</f>
        <v/>
      </c>
      <c r="Z1498" t="str">
        <f>IF([2]Baskol!$J$1501="","",[2]Baskol!$J$1501)</f>
        <v/>
      </c>
      <c r="AA1498" t="str">
        <f>IF([2]Baskol!$K$1501="","",[2]Baskol!$K$1501)</f>
        <v/>
      </c>
      <c r="AB1498" t="str">
        <f>IF([2]Baskol!$L$1501="","",[2]Baskol!$L$1501)</f>
        <v/>
      </c>
      <c r="AC1498" t="str">
        <f>IF([2]Baskol!$N$1501="","",[2]Baskol!$N$1501)</f>
        <v/>
      </c>
      <c r="AD1498" t="str">
        <f>IF([2]Baskol!$O$1501="","",[2]Baskol!$O$1501)</f>
        <v/>
      </c>
      <c r="AE1498" t="str">
        <f>IF([3]Entry!$C$1501="","",[3]Entry!$C$1501)</f>
        <v/>
      </c>
      <c r="AF1498" t="str">
        <f>IF([3]Entry!$D$1501="","",[3]Entry!$D$1501)</f>
        <v/>
      </c>
      <c r="AG1498" t="str">
        <f>IF([3]Entry!$E$1501="","",[3]Entry!$E$1501)</f>
        <v/>
      </c>
      <c r="AH1498" t="str">
        <f>IF([3]Entry!$G$1501="","",[3]Entry!$G$1501)</f>
        <v/>
      </c>
      <c r="AI1498" t="str">
        <f>IF([3]Entry!$K$1501="","",[3]Entry!$K$1501)</f>
        <v/>
      </c>
      <c r="AJ1498" t="str">
        <f>IF([3]Entry!$L$1501="","",[3]Entry!$L$1501)</f>
        <v/>
      </c>
      <c r="AK1498" t="str">
        <f>IF([3]Entry!$M$1501="","",[3]Entry!$M$1501)</f>
        <v/>
      </c>
      <c r="AL1498" t="str">
        <f>IF([3]Entry!$N$1501="","",[3]Entry!$N$1501)</f>
        <v/>
      </c>
      <c r="AM1498" t="str">
        <f>IF([3]Entry!$R$1501="","",[3]Entry!$R$1501)</f>
        <v/>
      </c>
    </row>
    <row r="1499" spans="20:39" x14ac:dyDescent="0.2">
      <c r="T1499" t="str">
        <f>IF([2]Baskol!$B$1502="","",[2]Baskol!$B$1502)</f>
        <v/>
      </c>
      <c r="U1499" t="str">
        <f>IF([2]Baskol!$C$1502="","",[2]Baskol!$C$1502)</f>
        <v/>
      </c>
      <c r="V1499" t="str">
        <f>IF([2]Baskol!$D$1502="","",[2]Baskol!$D$1502)</f>
        <v/>
      </c>
      <c r="W1499" t="str">
        <f>IF([2]Baskol!$E$1502="","",[2]Baskol!$E$1502)</f>
        <v/>
      </c>
      <c r="X1499" t="str">
        <f>IF([2]Baskol!$G$1502="","",[2]Baskol!$G$1502)</f>
        <v/>
      </c>
      <c r="Y1499" t="str">
        <f>IF([2]Baskol!$I$1502="","",[2]Baskol!$I$1502)</f>
        <v/>
      </c>
      <c r="Z1499" t="str">
        <f>IF([2]Baskol!$J$1502="","",[2]Baskol!$J$1502)</f>
        <v/>
      </c>
      <c r="AA1499" t="str">
        <f>IF([2]Baskol!$K$1502="","",[2]Baskol!$K$1502)</f>
        <v/>
      </c>
      <c r="AB1499" t="str">
        <f>IF([2]Baskol!$L$1502="","",[2]Baskol!$L$1502)</f>
        <v/>
      </c>
      <c r="AC1499" t="str">
        <f>IF([2]Baskol!$N$1502="","",[2]Baskol!$N$1502)</f>
        <v/>
      </c>
      <c r="AD1499" t="str">
        <f>IF([2]Baskol!$O$1502="","",[2]Baskol!$O$1502)</f>
        <v/>
      </c>
      <c r="AE1499" t="str">
        <f>IF([3]Entry!$C$1502="","",[3]Entry!$C$1502)</f>
        <v/>
      </c>
      <c r="AF1499" t="str">
        <f>IF([3]Entry!$D$1502="","",[3]Entry!$D$1502)</f>
        <v/>
      </c>
      <c r="AG1499" t="str">
        <f>IF([3]Entry!$E$1502="","",[3]Entry!$E$1502)</f>
        <v/>
      </c>
      <c r="AH1499" t="str">
        <f>IF([3]Entry!$G$1502="","",[3]Entry!$G$1502)</f>
        <v/>
      </c>
      <c r="AI1499" t="str">
        <f>IF([3]Entry!$K$1502="","",[3]Entry!$K$1502)</f>
        <v/>
      </c>
      <c r="AJ1499" t="str">
        <f>IF([3]Entry!$L$1502="","",[3]Entry!$L$1502)</f>
        <v/>
      </c>
      <c r="AK1499" t="str">
        <f>IF([3]Entry!$M$1502="","",[3]Entry!$M$1502)</f>
        <v/>
      </c>
      <c r="AL1499" t="str">
        <f>IF([3]Entry!$N$1502="","",[3]Entry!$N$1502)</f>
        <v/>
      </c>
      <c r="AM1499" t="str">
        <f>IF([3]Entry!$R$1502="","",[3]Entry!$R$1502)</f>
        <v/>
      </c>
    </row>
    <row r="1500" spans="20:39" x14ac:dyDescent="0.2">
      <c r="T1500" t="str">
        <f>IF([2]Baskol!$B$1503="","",[2]Baskol!$B$1503)</f>
        <v/>
      </c>
      <c r="U1500" t="str">
        <f>IF([2]Baskol!$C$1503="","",[2]Baskol!$C$1503)</f>
        <v/>
      </c>
      <c r="V1500" t="str">
        <f>IF([2]Baskol!$D$1503="","",[2]Baskol!$D$1503)</f>
        <v/>
      </c>
      <c r="W1500" t="str">
        <f>IF([2]Baskol!$E$1503="","",[2]Baskol!$E$1503)</f>
        <v/>
      </c>
      <c r="X1500" t="str">
        <f>IF([2]Baskol!$G$1503="","",[2]Baskol!$G$1503)</f>
        <v/>
      </c>
      <c r="Y1500" t="str">
        <f>IF([2]Baskol!$I$1503="","",[2]Baskol!$I$1503)</f>
        <v/>
      </c>
      <c r="Z1500" t="str">
        <f>IF([2]Baskol!$J$1503="","",[2]Baskol!$J$1503)</f>
        <v/>
      </c>
      <c r="AA1500" t="str">
        <f>IF([2]Baskol!$K$1503="","",[2]Baskol!$K$1503)</f>
        <v/>
      </c>
      <c r="AB1500" t="str">
        <f>IF([2]Baskol!$L$1503="","",[2]Baskol!$L$1503)</f>
        <v/>
      </c>
      <c r="AC1500" t="str">
        <f>IF([2]Baskol!$N$1503="","",[2]Baskol!$N$1503)</f>
        <v/>
      </c>
      <c r="AD1500" t="str">
        <f>IF([2]Baskol!$O$1503="","",[2]Baskol!$O$1503)</f>
        <v/>
      </c>
      <c r="AE1500" t="str">
        <f>IF([3]Entry!$C$1503="","",[3]Entry!$C$1503)</f>
        <v/>
      </c>
      <c r="AF1500" t="str">
        <f>IF([3]Entry!$D$1503="","",[3]Entry!$D$1503)</f>
        <v/>
      </c>
      <c r="AG1500" t="str">
        <f>IF([3]Entry!$E$1503="","",[3]Entry!$E$1503)</f>
        <v/>
      </c>
      <c r="AH1500" t="str">
        <f>IF([3]Entry!$G$1503="","",[3]Entry!$G$1503)</f>
        <v/>
      </c>
      <c r="AI1500" t="str">
        <f>IF([3]Entry!$K$1503="","",[3]Entry!$K$1503)</f>
        <v/>
      </c>
      <c r="AJ1500" t="str">
        <f>IF([3]Entry!$L$1503="","",[3]Entry!$L$1503)</f>
        <v/>
      </c>
      <c r="AK1500" t="str">
        <f>IF([3]Entry!$M$1503="","",[3]Entry!$M$1503)</f>
        <v/>
      </c>
      <c r="AL1500" t="str">
        <f>IF([3]Entry!$N$1503="","",[3]Entry!$N$1503)</f>
        <v/>
      </c>
      <c r="AM1500" t="str">
        <f>IF([3]Entry!$R$1503="","",[3]Entry!$R$1503)</f>
        <v/>
      </c>
    </row>
    <row r="1501" spans="20:39" x14ac:dyDescent="0.2">
      <c r="T1501" t="str">
        <f>IF([2]Baskol!$B$1504="","",[2]Baskol!$B$1504)</f>
        <v/>
      </c>
      <c r="U1501" t="str">
        <f>IF([2]Baskol!$C$1504="","",[2]Baskol!$C$1504)</f>
        <v/>
      </c>
      <c r="V1501" t="str">
        <f>IF([2]Baskol!$D$1504="","",[2]Baskol!$D$1504)</f>
        <v/>
      </c>
      <c r="W1501" t="str">
        <f>IF([2]Baskol!$E$1504="","",[2]Baskol!$E$1504)</f>
        <v/>
      </c>
      <c r="X1501" t="str">
        <f>IF([2]Baskol!$G$1504="","",[2]Baskol!$G$1504)</f>
        <v/>
      </c>
      <c r="Y1501" t="str">
        <f>IF([2]Baskol!$I$1504="","",[2]Baskol!$I$1504)</f>
        <v/>
      </c>
      <c r="Z1501" t="str">
        <f>IF([2]Baskol!$J$1504="","",[2]Baskol!$J$1504)</f>
        <v/>
      </c>
      <c r="AA1501" t="str">
        <f>IF([2]Baskol!$K$1504="","",[2]Baskol!$K$1504)</f>
        <v/>
      </c>
      <c r="AB1501" t="str">
        <f>IF([2]Baskol!$L$1504="","",[2]Baskol!$L$1504)</f>
        <v/>
      </c>
      <c r="AC1501" t="str">
        <f>IF([2]Baskol!$N$1504="","",[2]Baskol!$N$1504)</f>
        <v/>
      </c>
      <c r="AD1501" t="str">
        <f>IF([2]Baskol!$O$1504="","",[2]Baskol!$O$1504)</f>
        <v/>
      </c>
      <c r="AE1501" t="str">
        <f>IF([3]Entry!$C$1504="","",[3]Entry!$C$1504)</f>
        <v/>
      </c>
      <c r="AF1501" t="str">
        <f>IF([3]Entry!$D$1504="","",[3]Entry!$D$1504)</f>
        <v/>
      </c>
      <c r="AG1501" t="str">
        <f>IF([3]Entry!$E$1504="","",[3]Entry!$E$1504)</f>
        <v/>
      </c>
      <c r="AH1501" t="str">
        <f>IF([3]Entry!$G$1504="","",[3]Entry!$G$1504)</f>
        <v/>
      </c>
      <c r="AI1501" t="str">
        <f>IF([3]Entry!$K$1504="","",[3]Entry!$K$1504)</f>
        <v/>
      </c>
      <c r="AJ1501" t="str">
        <f>IF([3]Entry!$L$1504="","",[3]Entry!$L$1504)</f>
        <v/>
      </c>
      <c r="AK1501" t="str">
        <f>IF([3]Entry!$M$1504="","",[3]Entry!$M$1504)</f>
        <v/>
      </c>
      <c r="AL1501" t="str">
        <f>IF([3]Entry!$N$1504="","",[3]Entry!$N$1504)</f>
        <v/>
      </c>
      <c r="AM1501" t="str">
        <f>IF([3]Entry!$R$1504="","",[3]Entry!$R$1504)</f>
        <v/>
      </c>
    </row>
    <row r="1502" spans="20:39" x14ac:dyDescent="0.2">
      <c r="T1502" t="str">
        <f>IF([2]Baskol!$B$1505="","",[2]Baskol!$B$1505)</f>
        <v/>
      </c>
      <c r="U1502" t="str">
        <f>IF([2]Baskol!$C$1505="","",[2]Baskol!$C$1505)</f>
        <v/>
      </c>
      <c r="V1502" t="str">
        <f>IF([2]Baskol!$D$1505="","",[2]Baskol!$D$1505)</f>
        <v/>
      </c>
      <c r="W1502" t="str">
        <f>IF([2]Baskol!$E$1505="","",[2]Baskol!$E$1505)</f>
        <v/>
      </c>
      <c r="X1502" t="str">
        <f>IF([2]Baskol!$G$1505="","",[2]Baskol!$G$1505)</f>
        <v/>
      </c>
      <c r="Y1502" t="str">
        <f>IF([2]Baskol!$I$1505="","",[2]Baskol!$I$1505)</f>
        <v/>
      </c>
      <c r="Z1502" t="str">
        <f>IF([2]Baskol!$J$1505="","",[2]Baskol!$J$1505)</f>
        <v/>
      </c>
      <c r="AA1502" t="str">
        <f>IF([2]Baskol!$K$1505="","",[2]Baskol!$K$1505)</f>
        <v/>
      </c>
      <c r="AB1502" t="str">
        <f>IF([2]Baskol!$L$1505="","",[2]Baskol!$L$1505)</f>
        <v/>
      </c>
      <c r="AC1502" t="str">
        <f>IF([2]Baskol!$N$1505="","",[2]Baskol!$N$1505)</f>
        <v/>
      </c>
      <c r="AD1502" t="str">
        <f>IF([2]Baskol!$O$1505="","",[2]Baskol!$O$1505)</f>
        <v/>
      </c>
      <c r="AE1502" t="str">
        <f>IF([3]Entry!$C$1505="","",[3]Entry!$C$1505)</f>
        <v/>
      </c>
      <c r="AF1502" t="str">
        <f>IF([3]Entry!$D$1505="","",[3]Entry!$D$1505)</f>
        <v/>
      </c>
      <c r="AG1502" t="str">
        <f>IF([3]Entry!$E$1505="","",[3]Entry!$E$1505)</f>
        <v/>
      </c>
      <c r="AH1502" t="str">
        <f>IF([3]Entry!$G$1505="","",[3]Entry!$G$1505)</f>
        <v/>
      </c>
      <c r="AI1502" t="str">
        <f>IF([3]Entry!$K$1505="","",[3]Entry!$K$1505)</f>
        <v/>
      </c>
      <c r="AJ1502" t="str">
        <f>IF([3]Entry!$L$1505="","",[3]Entry!$L$1505)</f>
        <v/>
      </c>
      <c r="AK1502" t="str">
        <f>IF([3]Entry!$M$1505="","",[3]Entry!$M$1505)</f>
        <v/>
      </c>
      <c r="AL1502" t="str">
        <f>IF([3]Entry!$N$1505="","",[3]Entry!$N$1505)</f>
        <v/>
      </c>
      <c r="AM1502" t="str">
        <f>IF([3]Entry!$R$1505="","",[3]Entry!$R$1505)</f>
        <v/>
      </c>
    </row>
    <row r="1503" spans="20:39" x14ac:dyDescent="0.2">
      <c r="T1503" t="str">
        <f>IF([2]Baskol!$B$1506="","",[2]Baskol!$B$1506)</f>
        <v/>
      </c>
      <c r="U1503" t="str">
        <f>IF([2]Baskol!$C$1506="","",[2]Baskol!$C$1506)</f>
        <v/>
      </c>
      <c r="V1503" t="str">
        <f>IF([2]Baskol!$D$1506="","",[2]Baskol!$D$1506)</f>
        <v/>
      </c>
      <c r="W1503" t="str">
        <f>IF([2]Baskol!$E$1506="","",[2]Baskol!$E$1506)</f>
        <v/>
      </c>
      <c r="X1503" t="str">
        <f>IF([2]Baskol!$G$1506="","",[2]Baskol!$G$1506)</f>
        <v/>
      </c>
      <c r="Y1503" t="str">
        <f>IF([2]Baskol!$I$1506="","",[2]Baskol!$I$1506)</f>
        <v/>
      </c>
      <c r="Z1503" t="str">
        <f>IF([2]Baskol!$J$1506="","",[2]Baskol!$J$1506)</f>
        <v/>
      </c>
      <c r="AA1503" t="str">
        <f>IF([2]Baskol!$K$1506="","",[2]Baskol!$K$1506)</f>
        <v/>
      </c>
      <c r="AB1503" t="str">
        <f>IF([2]Baskol!$L$1506="","",[2]Baskol!$L$1506)</f>
        <v/>
      </c>
      <c r="AC1503" t="str">
        <f>IF([2]Baskol!$N$1506="","",[2]Baskol!$N$1506)</f>
        <v/>
      </c>
      <c r="AD1503" t="str">
        <f>IF([2]Baskol!$O$1506="","",[2]Baskol!$O$1506)</f>
        <v/>
      </c>
      <c r="AE1503" t="str">
        <f>IF([3]Entry!$C$1506="","",[3]Entry!$C$1506)</f>
        <v/>
      </c>
      <c r="AF1503" t="str">
        <f>IF([3]Entry!$D$1506="","",[3]Entry!$D$1506)</f>
        <v/>
      </c>
      <c r="AG1503" t="str">
        <f>IF([3]Entry!$E$1506="","",[3]Entry!$E$1506)</f>
        <v/>
      </c>
      <c r="AH1503" t="str">
        <f>IF([3]Entry!$G$1506="","",[3]Entry!$G$1506)</f>
        <v/>
      </c>
      <c r="AI1503" t="str">
        <f>IF([3]Entry!$K$1506="","",[3]Entry!$K$1506)</f>
        <v/>
      </c>
      <c r="AJ1503" t="str">
        <f>IF([3]Entry!$L$1506="","",[3]Entry!$L$1506)</f>
        <v/>
      </c>
      <c r="AK1503" t="str">
        <f>IF([3]Entry!$M$1506="","",[3]Entry!$M$1506)</f>
        <v/>
      </c>
      <c r="AL1503" t="str">
        <f>IF([3]Entry!$N$1506="","",[3]Entry!$N$1506)</f>
        <v/>
      </c>
      <c r="AM1503" t="str">
        <f>IF([3]Entry!$R$1506="","",[3]Entry!$R$1506)</f>
        <v/>
      </c>
    </row>
    <row r="1504" spans="20:39" x14ac:dyDescent="0.2">
      <c r="T1504" t="str">
        <f>IF([2]Baskol!$B$1507="","",[2]Baskol!$B$1507)</f>
        <v/>
      </c>
      <c r="U1504" t="str">
        <f>IF([2]Baskol!$C$1507="","",[2]Baskol!$C$1507)</f>
        <v/>
      </c>
      <c r="V1504" t="str">
        <f>IF([2]Baskol!$D$1507="","",[2]Baskol!$D$1507)</f>
        <v/>
      </c>
      <c r="W1504" t="str">
        <f>IF([2]Baskol!$E$1507="","",[2]Baskol!$E$1507)</f>
        <v/>
      </c>
      <c r="X1504" t="str">
        <f>IF([2]Baskol!$G$1507="","",[2]Baskol!$G$1507)</f>
        <v/>
      </c>
      <c r="Y1504" t="str">
        <f>IF([2]Baskol!$I$1507="","",[2]Baskol!$I$1507)</f>
        <v/>
      </c>
      <c r="Z1504" t="str">
        <f>IF([2]Baskol!$J$1507="","",[2]Baskol!$J$1507)</f>
        <v/>
      </c>
      <c r="AA1504" t="str">
        <f>IF([2]Baskol!$K$1507="","",[2]Baskol!$K$1507)</f>
        <v/>
      </c>
      <c r="AB1504" t="str">
        <f>IF([2]Baskol!$L$1507="","",[2]Baskol!$L$1507)</f>
        <v/>
      </c>
      <c r="AC1504" t="str">
        <f>IF([2]Baskol!$N$1507="","",[2]Baskol!$N$1507)</f>
        <v/>
      </c>
      <c r="AD1504" t="str">
        <f>IF([2]Baskol!$O$1507="","",[2]Baskol!$O$1507)</f>
        <v/>
      </c>
      <c r="AE1504" t="str">
        <f>IF([3]Entry!$C$1507="","",[3]Entry!$C$1507)</f>
        <v/>
      </c>
      <c r="AF1504" t="str">
        <f>IF([3]Entry!$D$1507="","",[3]Entry!$D$1507)</f>
        <v/>
      </c>
      <c r="AG1504" t="str">
        <f>IF([3]Entry!$E$1507="","",[3]Entry!$E$1507)</f>
        <v/>
      </c>
      <c r="AH1504" t="str">
        <f>IF([3]Entry!$G$1507="","",[3]Entry!$G$1507)</f>
        <v/>
      </c>
      <c r="AI1504" t="str">
        <f>IF([3]Entry!$K$1507="","",[3]Entry!$K$1507)</f>
        <v/>
      </c>
      <c r="AJ1504" t="str">
        <f>IF([3]Entry!$L$1507="","",[3]Entry!$L$1507)</f>
        <v/>
      </c>
      <c r="AK1504" t="str">
        <f>IF([3]Entry!$M$1507="","",[3]Entry!$M$1507)</f>
        <v/>
      </c>
      <c r="AL1504" t="str">
        <f>IF([3]Entry!$N$1507="","",[3]Entry!$N$1507)</f>
        <v/>
      </c>
      <c r="AM1504" t="str">
        <f>IF([3]Entry!$R$1507="","",[3]Entry!$R$1507)</f>
        <v/>
      </c>
    </row>
    <row r="1505" spans="20:39" x14ac:dyDescent="0.2">
      <c r="T1505" t="str">
        <f>IF([2]Baskol!$B$1508="","",[2]Baskol!$B$1508)</f>
        <v/>
      </c>
      <c r="U1505" t="str">
        <f>IF([2]Baskol!$C$1508="","",[2]Baskol!$C$1508)</f>
        <v/>
      </c>
      <c r="V1505" t="str">
        <f>IF([2]Baskol!$D$1508="","",[2]Baskol!$D$1508)</f>
        <v/>
      </c>
      <c r="W1505" t="str">
        <f>IF([2]Baskol!$E$1508="","",[2]Baskol!$E$1508)</f>
        <v/>
      </c>
      <c r="X1505" t="str">
        <f>IF([2]Baskol!$G$1508="","",[2]Baskol!$G$1508)</f>
        <v/>
      </c>
      <c r="Y1505" t="str">
        <f>IF([2]Baskol!$I$1508="","",[2]Baskol!$I$1508)</f>
        <v/>
      </c>
      <c r="Z1505" t="str">
        <f>IF([2]Baskol!$J$1508="","",[2]Baskol!$J$1508)</f>
        <v/>
      </c>
      <c r="AA1505" t="str">
        <f>IF([2]Baskol!$K$1508="","",[2]Baskol!$K$1508)</f>
        <v/>
      </c>
      <c r="AB1505" t="str">
        <f>IF([2]Baskol!$L$1508="","",[2]Baskol!$L$1508)</f>
        <v/>
      </c>
      <c r="AC1505" t="str">
        <f>IF([2]Baskol!$N$1508="","",[2]Baskol!$N$1508)</f>
        <v/>
      </c>
      <c r="AD1505" t="str">
        <f>IF([2]Baskol!$O$1508="","",[2]Baskol!$O$1508)</f>
        <v/>
      </c>
      <c r="AE1505" t="str">
        <f>IF([3]Entry!$C$1508="","",[3]Entry!$C$1508)</f>
        <v/>
      </c>
      <c r="AF1505" t="str">
        <f>IF([3]Entry!$D$1508="","",[3]Entry!$D$1508)</f>
        <v/>
      </c>
      <c r="AG1505" t="str">
        <f>IF([3]Entry!$E$1508="","",[3]Entry!$E$1508)</f>
        <v/>
      </c>
      <c r="AH1505" t="str">
        <f>IF([3]Entry!$G$1508="","",[3]Entry!$G$1508)</f>
        <v/>
      </c>
      <c r="AI1505" t="str">
        <f>IF([3]Entry!$K$1508="","",[3]Entry!$K$1508)</f>
        <v/>
      </c>
      <c r="AJ1505" t="str">
        <f>IF([3]Entry!$L$1508="","",[3]Entry!$L$1508)</f>
        <v/>
      </c>
      <c r="AK1505" t="str">
        <f>IF([3]Entry!$M$1508="","",[3]Entry!$M$1508)</f>
        <v/>
      </c>
      <c r="AL1505" t="str">
        <f>IF([3]Entry!$N$1508="","",[3]Entry!$N$1508)</f>
        <v/>
      </c>
      <c r="AM1505" t="str">
        <f>IF([3]Entry!$R$1508="","",[3]Entry!$R$1508)</f>
        <v/>
      </c>
    </row>
    <row r="1506" spans="20:39" x14ac:dyDescent="0.2">
      <c r="T1506" t="str">
        <f>IF([2]Baskol!$B$1509="","",[2]Baskol!$B$1509)</f>
        <v/>
      </c>
      <c r="U1506" t="str">
        <f>IF([2]Baskol!$C$1509="","",[2]Baskol!$C$1509)</f>
        <v/>
      </c>
      <c r="V1506" t="str">
        <f>IF([2]Baskol!$D$1509="","",[2]Baskol!$D$1509)</f>
        <v/>
      </c>
      <c r="W1506" t="str">
        <f>IF([2]Baskol!$E$1509="","",[2]Baskol!$E$1509)</f>
        <v/>
      </c>
      <c r="X1506" t="str">
        <f>IF([2]Baskol!$G$1509="","",[2]Baskol!$G$1509)</f>
        <v/>
      </c>
      <c r="Y1506" t="str">
        <f>IF([2]Baskol!$I$1509="","",[2]Baskol!$I$1509)</f>
        <v/>
      </c>
      <c r="Z1506" t="str">
        <f>IF([2]Baskol!$J$1509="","",[2]Baskol!$J$1509)</f>
        <v/>
      </c>
      <c r="AA1506" t="str">
        <f>IF([2]Baskol!$K$1509="","",[2]Baskol!$K$1509)</f>
        <v/>
      </c>
      <c r="AB1506" t="str">
        <f>IF([2]Baskol!$L$1509="","",[2]Baskol!$L$1509)</f>
        <v/>
      </c>
      <c r="AC1506" t="str">
        <f>IF([2]Baskol!$N$1509="","",[2]Baskol!$N$1509)</f>
        <v/>
      </c>
      <c r="AD1506" t="str">
        <f>IF([2]Baskol!$O$1509="","",[2]Baskol!$O$1509)</f>
        <v/>
      </c>
      <c r="AE1506" t="str">
        <f>IF([3]Entry!$C$1509="","",[3]Entry!$C$1509)</f>
        <v/>
      </c>
      <c r="AF1506" t="str">
        <f>IF([3]Entry!$D$1509="","",[3]Entry!$D$1509)</f>
        <v/>
      </c>
      <c r="AG1506" t="str">
        <f>IF([3]Entry!$E$1509="","",[3]Entry!$E$1509)</f>
        <v/>
      </c>
      <c r="AH1506" t="str">
        <f>IF([3]Entry!$G$1509="","",[3]Entry!$G$1509)</f>
        <v/>
      </c>
      <c r="AI1506" t="str">
        <f>IF([3]Entry!$K$1509="","",[3]Entry!$K$1509)</f>
        <v/>
      </c>
      <c r="AJ1506" t="str">
        <f>IF([3]Entry!$L$1509="","",[3]Entry!$L$1509)</f>
        <v/>
      </c>
      <c r="AK1506" t="str">
        <f>IF([3]Entry!$M$1509="","",[3]Entry!$M$1509)</f>
        <v/>
      </c>
      <c r="AL1506" t="str">
        <f>IF([3]Entry!$N$1509="","",[3]Entry!$N$1509)</f>
        <v/>
      </c>
      <c r="AM1506" t="str">
        <f>IF([3]Entry!$R$1509="","",[3]Entry!$R$1509)</f>
        <v/>
      </c>
    </row>
    <row r="1507" spans="20:39" x14ac:dyDescent="0.2">
      <c r="T1507" t="str">
        <f>IF([2]Baskol!$B$1510="","",[2]Baskol!$B$1510)</f>
        <v/>
      </c>
      <c r="U1507" t="str">
        <f>IF([2]Baskol!$C$1510="","",[2]Baskol!$C$1510)</f>
        <v/>
      </c>
      <c r="V1507" t="str">
        <f>IF([2]Baskol!$D$1510="","",[2]Baskol!$D$1510)</f>
        <v/>
      </c>
      <c r="W1507" t="str">
        <f>IF([2]Baskol!$E$1510="","",[2]Baskol!$E$1510)</f>
        <v/>
      </c>
      <c r="X1507" t="str">
        <f>IF([2]Baskol!$G$1510="","",[2]Baskol!$G$1510)</f>
        <v/>
      </c>
      <c r="Y1507" t="str">
        <f>IF([2]Baskol!$I$1510="","",[2]Baskol!$I$1510)</f>
        <v/>
      </c>
      <c r="Z1507" t="str">
        <f>IF([2]Baskol!$J$1510="","",[2]Baskol!$J$1510)</f>
        <v/>
      </c>
      <c r="AA1507" t="str">
        <f>IF([2]Baskol!$K$1510="","",[2]Baskol!$K$1510)</f>
        <v/>
      </c>
      <c r="AB1507" t="str">
        <f>IF([2]Baskol!$L$1510="","",[2]Baskol!$L$1510)</f>
        <v/>
      </c>
      <c r="AC1507" t="str">
        <f>IF([2]Baskol!$N$1510="","",[2]Baskol!$N$1510)</f>
        <v/>
      </c>
      <c r="AD1507" t="str">
        <f>IF([2]Baskol!$O$1510="","",[2]Baskol!$O$1510)</f>
        <v/>
      </c>
      <c r="AE1507" t="str">
        <f>IF([3]Entry!$C$1510="","",[3]Entry!$C$1510)</f>
        <v/>
      </c>
      <c r="AF1507" t="str">
        <f>IF([3]Entry!$D$1510="","",[3]Entry!$D$1510)</f>
        <v/>
      </c>
      <c r="AG1507" t="str">
        <f>IF([3]Entry!$E$1510="","",[3]Entry!$E$1510)</f>
        <v/>
      </c>
      <c r="AH1507" t="str">
        <f>IF([3]Entry!$G$1510="","",[3]Entry!$G$1510)</f>
        <v/>
      </c>
      <c r="AI1507" t="str">
        <f>IF([3]Entry!$K$1510="","",[3]Entry!$K$1510)</f>
        <v/>
      </c>
      <c r="AJ1507" t="str">
        <f>IF([3]Entry!$L$1510="","",[3]Entry!$L$1510)</f>
        <v/>
      </c>
      <c r="AK1507" t="str">
        <f>IF([3]Entry!$M$1510="","",[3]Entry!$M$1510)</f>
        <v/>
      </c>
      <c r="AL1507" t="str">
        <f>IF([3]Entry!$N$1510="","",[3]Entry!$N$1510)</f>
        <v/>
      </c>
      <c r="AM1507" t="str">
        <f>IF([3]Entry!$R$1510="","",[3]Entry!$R$1510)</f>
        <v/>
      </c>
    </row>
    <row r="1508" spans="20:39" x14ac:dyDescent="0.2">
      <c r="T1508" t="str">
        <f>IF([2]Baskol!$B$1511="","",[2]Baskol!$B$1511)</f>
        <v/>
      </c>
      <c r="U1508" t="str">
        <f>IF([2]Baskol!$C$1511="","",[2]Baskol!$C$1511)</f>
        <v/>
      </c>
      <c r="V1508" t="str">
        <f>IF([2]Baskol!$D$1511="","",[2]Baskol!$D$1511)</f>
        <v/>
      </c>
      <c r="W1508" t="str">
        <f>IF([2]Baskol!$E$1511="","",[2]Baskol!$E$1511)</f>
        <v/>
      </c>
      <c r="X1508" t="str">
        <f>IF([2]Baskol!$G$1511="","",[2]Baskol!$G$1511)</f>
        <v/>
      </c>
      <c r="Y1508" t="str">
        <f>IF([2]Baskol!$I$1511="","",[2]Baskol!$I$1511)</f>
        <v/>
      </c>
      <c r="Z1508" t="str">
        <f>IF([2]Baskol!$J$1511="","",[2]Baskol!$J$1511)</f>
        <v/>
      </c>
      <c r="AA1508" t="str">
        <f>IF([2]Baskol!$K$1511="","",[2]Baskol!$K$1511)</f>
        <v/>
      </c>
      <c r="AB1508" t="str">
        <f>IF([2]Baskol!$L$1511="","",[2]Baskol!$L$1511)</f>
        <v/>
      </c>
      <c r="AC1508" t="str">
        <f>IF([2]Baskol!$N$1511="","",[2]Baskol!$N$1511)</f>
        <v/>
      </c>
      <c r="AD1508" t="str">
        <f>IF([2]Baskol!$O$1511="","",[2]Baskol!$O$1511)</f>
        <v/>
      </c>
      <c r="AE1508" t="str">
        <f>IF([3]Entry!$C$1511="","",[3]Entry!$C$1511)</f>
        <v/>
      </c>
      <c r="AF1508" t="str">
        <f>IF([3]Entry!$D$1511="","",[3]Entry!$D$1511)</f>
        <v/>
      </c>
      <c r="AG1508" t="str">
        <f>IF([3]Entry!$E$1511="","",[3]Entry!$E$1511)</f>
        <v/>
      </c>
      <c r="AH1508" t="str">
        <f>IF([3]Entry!$G$1511="","",[3]Entry!$G$1511)</f>
        <v/>
      </c>
      <c r="AI1508" t="str">
        <f>IF([3]Entry!$K$1511="","",[3]Entry!$K$1511)</f>
        <v/>
      </c>
      <c r="AJ1508" t="str">
        <f>IF([3]Entry!$L$1511="","",[3]Entry!$L$1511)</f>
        <v/>
      </c>
      <c r="AK1508" t="str">
        <f>IF([3]Entry!$M$1511="","",[3]Entry!$M$1511)</f>
        <v/>
      </c>
      <c r="AL1508" t="str">
        <f>IF([3]Entry!$N$1511="","",[3]Entry!$N$1511)</f>
        <v/>
      </c>
      <c r="AM1508" t="str">
        <f>IF([3]Entry!$R$1511="","",[3]Entry!$R$1511)</f>
        <v/>
      </c>
    </row>
    <row r="1509" spans="20:39" x14ac:dyDescent="0.2">
      <c r="T1509" t="str">
        <f>IF([2]Baskol!$B$1512="","",[2]Baskol!$B$1512)</f>
        <v/>
      </c>
      <c r="U1509" t="str">
        <f>IF([2]Baskol!$C$1512="","",[2]Baskol!$C$1512)</f>
        <v/>
      </c>
      <c r="V1509" t="str">
        <f>IF([2]Baskol!$D$1512="","",[2]Baskol!$D$1512)</f>
        <v/>
      </c>
      <c r="W1509" t="str">
        <f>IF([2]Baskol!$E$1512="","",[2]Baskol!$E$1512)</f>
        <v/>
      </c>
      <c r="X1509" t="str">
        <f>IF([2]Baskol!$G$1512="","",[2]Baskol!$G$1512)</f>
        <v/>
      </c>
      <c r="Y1509" t="str">
        <f>IF([2]Baskol!$I$1512="","",[2]Baskol!$I$1512)</f>
        <v/>
      </c>
      <c r="Z1509" t="str">
        <f>IF([2]Baskol!$J$1512="","",[2]Baskol!$J$1512)</f>
        <v/>
      </c>
      <c r="AA1509" t="str">
        <f>IF([2]Baskol!$K$1512="","",[2]Baskol!$K$1512)</f>
        <v/>
      </c>
      <c r="AB1509" t="str">
        <f>IF([2]Baskol!$L$1512="","",[2]Baskol!$L$1512)</f>
        <v/>
      </c>
      <c r="AC1509" t="str">
        <f>IF([2]Baskol!$N$1512="","",[2]Baskol!$N$1512)</f>
        <v/>
      </c>
      <c r="AD1509" t="str">
        <f>IF([2]Baskol!$O$1512="","",[2]Baskol!$O$1512)</f>
        <v/>
      </c>
      <c r="AE1509" t="str">
        <f>IF([3]Entry!$C$1512="","",[3]Entry!$C$1512)</f>
        <v/>
      </c>
      <c r="AF1509" t="str">
        <f>IF([3]Entry!$D$1512="","",[3]Entry!$D$1512)</f>
        <v/>
      </c>
      <c r="AG1509" t="str">
        <f>IF([3]Entry!$E$1512="","",[3]Entry!$E$1512)</f>
        <v/>
      </c>
      <c r="AH1509" t="str">
        <f>IF([3]Entry!$G$1512="","",[3]Entry!$G$1512)</f>
        <v/>
      </c>
      <c r="AI1509" t="str">
        <f>IF([3]Entry!$K$1512="","",[3]Entry!$K$1512)</f>
        <v/>
      </c>
      <c r="AJ1509" t="str">
        <f>IF([3]Entry!$L$1512="","",[3]Entry!$L$1512)</f>
        <v/>
      </c>
      <c r="AK1509" t="str">
        <f>IF([3]Entry!$M$1512="","",[3]Entry!$M$1512)</f>
        <v/>
      </c>
      <c r="AL1509" t="str">
        <f>IF([3]Entry!$N$1512="","",[3]Entry!$N$1512)</f>
        <v/>
      </c>
      <c r="AM1509" t="str">
        <f>IF([3]Entry!$R$1512="","",[3]Entry!$R$1512)</f>
        <v/>
      </c>
    </row>
    <row r="1510" spans="20:39" x14ac:dyDescent="0.2">
      <c r="T1510" t="str">
        <f>IF([2]Baskol!$B$1513="","",[2]Baskol!$B$1513)</f>
        <v/>
      </c>
      <c r="U1510" t="str">
        <f>IF([2]Baskol!$C$1513="","",[2]Baskol!$C$1513)</f>
        <v/>
      </c>
      <c r="V1510" t="str">
        <f>IF([2]Baskol!$D$1513="","",[2]Baskol!$D$1513)</f>
        <v/>
      </c>
      <c r="W1510" t="str">
        <f>IF([2]Baskol!$E$1513="","",[2]Baskol!$E$1513)</f>
        <v/>
      </c>
      <c r="X1510" t="str">
        <f>IF([2]Baskol!$G$1513="","",[2]Baskol!$G$1513)</f>
        <v/>
      </c>
      <c r="Y1510" t="str">
        <f>IF([2]Baskol!$I$1513="","",[2]Baskol!$I$1513)</f>
        <v/>
      </c>
      <c r="Z1510" t="str">
        <f>IF([2]Baskol!$J$1513="","",[2]Baskol!$J$1513)</f>
        <v/>
      </c>
      <c r="AA1510" t="str">
        <f>IF([2]Baskol!$K$1513="","",[2]Baskol!$K$1513)</f>
        <v/>
      </c>
      <c r="AB1510" t="str">
        <f>IF([2]Baskol!$L$1513="","",[2]Baskol!$L$1513)</f>
        <v/>
      </c>
      <c r="AC1510" t="str">
        <f>IF([2]Baskol!$N$1513="","",[2]Baskol!$N$1513)</f>
        <v/>
      </c>
      <c r="AD1510" t="str">
        <f>IF([2]Baskol!$O$1513="","",[2]Baskol!$O$1513)</f>
        <v/>
      </c>
      <c r="AE1510" t="str">
        <f>IF([3]Entry!$C$1513="","",[3]Entry!$C$1513)</f>
        <v/>
      </c>
      <c r="AF1510" t="str">
        <f>IF([3]Entry!$D$1513="","",[3]Entry!$D$1513)</f>
        <v/>
      </c>
      <c r="AG1510" t="str">
        <f>IF([3]Entry!$E$1513="","",[3]Entry!$E$1513)</f>
        <v/>
      </c>
      <c r="AH1510" t="str">
        <f>IF([3]Entry!$G$1513="","",[3]Entry!$G$1513)</f>
        <v/>
      </c>
      <c r="AI1510" t="str">
        <f>IF([3]Entry!$K$1513="","",[3]Entry!$K$1513)</f>
        <v/>
      </c>
      <c r="AJ1510" t="str">
        <f>IF([3]Entry!$L$1513="","",[3]Entry!$L$1513)</f>
        <v/>
      </c>
      <c r="AK1510" t="str">
        <f>IF([3]Entry!$M$1513="","",[3]Entry!$M$1513)</f>
        <v/>
      </c>
      <c r="AL1510" t="str">
        <f>IF([3]Entry!$N$1513="","",[3]Entry!$N$1513)</f>
        <v/>
      </c>
      <c r="AM1510" t="str">
        <f>IF([3]Entry!$R$1513="","",[3]Entry!$R$1513)</f>
        <v/>
      </c>
    </row>
    <row r="1511" spans="20:39" x14ac:dyDescent="0.2">
      <c r="T1511" t="str">
        <f>IF([2]Baskol!$B$1514="","",[2]Baskol!$B$1514)</f>
        <v/>
      </c>
      <c r="U1511" t="str">
        <f>IF([2]Baskol!$C$1514="","",[2]Baskol!$C$1514)</f>
        <v/>
      </c>
      <c r="V1511" t="str">
        <f>IF([2]Baskol!$D$1514="","",[2]Baskol!$D$1514)</f>
        <v/>
      </c>
      <c r="W1511" t="str">
        <f>IF([2]Baskol!$E$1514="","",[2]Baskol!$E$1514)</f>
        <v/>
      </c>
      <c r="X1511" t="str">
        <f>IF([2]Baskol!$G$1514="","",[2]Baskol!$G$1514)</f>
        <v/>
      </c>
      <c r="Y1511" t="str">
        <f>IF([2]Baskol!$I$1514="","",[2]Baskol!$I$1514)</f>
        <v/>
      </c>
      <c r="Z1511" t="str">
        <f>IF([2]Baskol!$J$1514="","",[2]Baskol!$J$1514)</f>
        <v/>
      </c>
      <c r="AA1511" t="str">
        <f>IF([2]Baskol!$K$1514="","",[2]Baskol!$K$1514)</f>
        <v/>
      </c>
      <c r="AB1511" t="str">
        <f>IF([2]Baskol!$L$1514="","",[2]Baskol!$L$1514)</f>
        <v/>
      </c>
      <c r="AC1511" t="str">
        <f>IF([2]Baskol!$N$1514="","",[2]Baskol!$N$1514)</f>
        <v/>
      </c>
      <c r="AD1511" t="str">
        <f>IF([2]Baskol!$O$1514="","",[2]Baskol!$O$1514)</f>
        <v/>
      </c>
      <c r="AE1511" t="str">
        <f>IF([3]Entry!$C$1514="","",[3]Entry!$C$1514)</f>
        <v/>
      </c>
      <c r="AF1511" t="str">
        <f>IF([3]Entry!$D$1514="","",[3]Entry!$D$1514)</f>
        <v/>
      </c>
      <c r="AG1511" t="str">
        <f>IF([3]Entry!$E$1514="","",[3]Entry!$E$1514)</f>
        <v/>
      </c>
      <c r="AH1511" t="str">
        <f>IF([3]Entry!$G$1514="","",[3]Entry!$G$1514)</f>
        <v/>
      </c>
      <c r="AI1511" t="str">
        <f>IF([3]Entry!$K$1514="","",[3]Entry!$K$1514)</f>
        <v/>
      </c>
      <c r="AJ1511" t="str">
        <f>IF([3]Entry!$L$1514="","",[3]Entry!$L$1514)</f>
        <v/>
      </c>
      <c r="AK1511" t="str">
        <f>IF([3]Entry!$M$1514="","",[3]Entry!$M$1514)</f>
        <v/>
      </c>
      <c r="AL1511" t="str">
        <f>IF([3]Entry!$N$1514="","",[3]Entry!$N$1514)</f>
        <v/>
      </c>
      <c r="AM1511" t="str">
        <f>IF([3]Entry!$R$1514="","",[3]Entry!$R$1514)</f>
        <v/>
      </c>
    </row>
    <row r="1512" spans="20:39" x14ac:dyDescent="0.2">
      <c r="T1512" t="str">
        <f>IF([2]Baskol!$B$1515="","",[2]Baskol!$B$1515)</f>
        <v/>
      </c>
      <c r="U1512" t="str">
        <f>IF([2]Baskol!$C$1515="","",[2]Baskol!$C$1515)</f>
        <v/>
      </c>
      <c r="V1512" t="str">
        <f>IF([2]Baskol!$D$1515="","",[2]Baskol!$D$1515)</f>
        <v/>
      </c>
      <c r="W1512" t="str">
        <f>IF([2]Baskol!$E$1515="","",[2]Baskol!$E$1515)</f>
        <v/>
      </c>
      <c r="X1512" t="str">
        <f>IF([2]Baskol!$G$1515="","",[2]Baskol!$G$1515)</f>
        <v/>
      </c>
      <c r="Y1512" t="str">
        <f>IF([2]Baskol!$I$1515="","",[2]Baskol!$I$1515)</f>
        <v/>
      </c>
      <c r="Z1512" t="str">
        <f>IF([2]Baskol!$J$1515="","",[2]Baskol!$J$1515)</f>
        <v/>
      </c>
      <c r="AA1512" t="str">
        <f>IF([2]Baskol!$K$1515="","",[2]Baskol!$K$1515)</f>
        <v/>
      </c>
      <c r="AB1512" t="str">
        <f>IF([2]Baskol!$L$1515="","",[2]Baskol!$L$1515)</f>
        <v/>
      </c>
      <c r="AC1512" t="str">
        <f>IF([2]Baskol!$N$1515="","",[2]Baskol!$N$1515)</f>
        <v/>
      </c>
      <c r="AD1512" t="str">
        <f>IF([2]Baskol!$O$1515="","",[2]Baskol!$O$1515)</f>
        <v/>
      </c>
      <c r="AE1512" t="str">
        <f>IF([3]Entry!$C$1515="","",[3]Entry!$C$1515)</f>
        <v/>
      </c>
      <c r="AF1512" t="str">
        <f>IF([3]Entry!$D$1515="","",[3]Entry!$D$1515)</f>
        <v/>
      </c>
      <c r="AG1512" t="str">
        <f>IF([3]Entry!$E$1515="","",[3]Entry!$E$1515)</f>
        <v/>
      </c>
      <c r="AH1512" t="str">
        <f>IF([3]Entry!$G$1515="","",[3]Entry!$G$1515)</f>
        <v/>
      </c>
      <c r="AI1512" t="str">
        <f>IF([3]Entry!$K$1515="","",[3]Entry!$K$1515)</f>
        <v/>
      </c>
      <c r="AJ1512" t="str">
        <f>IF([3]Entry!$L$1515="","",[3]Entry!$L$1515)</f>
        <v/>
      </c>
      <c r="AK1512" t="str">
        <f>IF([3]Entry!$M$1515="","",[3]Entry!$M$1515)</f>
        <v/>
      </c>
      <c r="AL1512" t="str">
        <f>IF([3]Entry!$N$1515="","",[3]Entry!$N$1515)</f>
        <v/>
      </c>
      <c r="AM1512" t="str">
        <f>IF([3]Entry!$R$1515="","",[3]Entry!$R$1515)</f>
        <v/>
      </c>
    </row>
    <row r="1513" spans="20:39" x14ac:dyDescent="0.2">
      <c r="T1513" t="str">
        <f>IF([2]Baskol!$B$1516="","",[2]Baskol!$B$1516)</f>
        <v/>
      </c>
      <c r="U1513" t="str">
        <f>IF([2]Baskol!$C$1516="","",[2]Baskol!$C$1516)</f>
        <v/>
      </c>
      <c r="V1513" t="str">
        <f>IF([2]Baskol!$D$1516="","",[2]Baskol!$D$1516)</f>
        <v/>
      </c>
      <c r="W1513" t="str">
        <f>IF([2]Baskol!$E$1516="","",[2]Baskol!$E$1516)</f>
        <v/>
      </c>
      <c r="X1513" t="str">
        <f>IF([2]Baskol!$G$1516="","",[2]Baskol!$G$1516)</f>
        <v/>
      </c>
      <c r="Y1513" t="str">
        <f>IF([2]Baskol!$I$1516="","",[2]Baskol!$I$1516)</f>
        <v/>
      </c>
      <c r="Z1513" t="str">
        <f>IF([2]Baskol!$J$1516="","",[2]Baskol!$J$1516)</f>
        <v/>
      </c>
      <c r="AA1513" t="str">
        <f>IF([2]Baskol!$K$1516="","",[2]Baskol!$K$1516)</f>
        <v/>
      </c>
      <c r="AB1513" t="str">
        <f>IF([2]Baskol!$L$1516="","",[2]Baskol!$L$1516)</f>
        <v/>
      </c>
      <c r="AC1513" t="str">
        <f>IF([2]Baskol!$N$1516="","",[2]Baskol!$N$1516)</f>
        <v/>
      </c>
      <c r="AD1513" t="str">
        <f>IF([2]Baskol!$O$1516="","",[2]Baskol!$O$1516)</f>
        <v/>
      </c>
      <c r="AE1513" t="str">
        <f>IF([3]Entry!$C$1516="","",[3]Entry!$C$1516)</f>
        <v/>
      </c>
      <c r="AF1513" t="str">
        <f>IF([3]Entry!$D$1516="","",[3]Entry!$D$1516)</f>
        <v/>
      </c>
      <c r="AG1513" t="str">
        <f>IF([3]Entry!$E$1516="","",[3]Entry!$E$1516)</f>
        <v/>
      </c>
      <c r="AH1513" t="str">
        <f>IF([3]Entry!$G$1516="","",[3]Entry!$G$1516)</f>
        <v/>
      </c>
      <c r="AI1513" t="str">
        <f>IF([3]Entry!$K$1516="","",[3]Entry!$K$1516)</f>
        <v/>
      </c>
      <c r="AJ1513" t="str">
        <f>IF([3]Entry!$L$1516="","",[3]Entry!$L$1516)</f>
        <v/>
      </c>
      <c r="AK1513" t="str">
        <f>IF([3]Entry!$M$1516="","",[3]Entry!$M$1516)</f>
        <v/>
      </c>
      <c r="AL1513" t="str">
        <f>IF([3]Entry!$N$1516="","",[3]Entry!$N$1516)</f>
        <v/>
      </c>
      <c r="AM1513" t="str">
        <f>IF([3]Entry!$R$1516="","",[3]Entry!$R$1516)</f>
        <v/>
      </c>
    </row>
    <row r="1514" spans="20:39" x14ac:dyDescent="0.2">
      <c r="T1514" t="str">
        <f>IF([2]Baskol!$B$1517="","",[2]Baskol!$B$1517)</f>
        <v/>
      </c>
      <c r="U1514" t="str">
        <f>IF([2]Baskol!$C$1517="","",[2]Baskol!$C$1517)</f>
        <v/>
      </c>
      <c r="V1514" t="str">
        <f>IF([2]Baskol!$D$1517="","",[2]Baskol!$D$1517)</f>
        <v/>
      </c>
      <c r="W1514" t="str">
        <f>IF([2]Baskol!$E$1517="","",[2]Baskol!$E$1517)</f>
        <v/>
      </c>
      <c r="X1514" t="str">
        <f>IF([2]Baskol!$G$1517="","",[2]Baskol!$G$1517)</f>
        <v/>
      </c>
      <c r="Y1514" t="str">
        <f>IF([2]Baskol!$I$1517="","",[2]Baskol!$I$1517)</f>
        <v/>
      </c>
      <c r="Z1514" t="str">
        <f>IF([2]Baskol!$J$1517="","",[2]Baskol!$J$1517)</f>
        <v/>
      </c>
      <c r="AA1514" t="str">
        <f>IF([2]Baskol!$K$1517="","",[2]Baskol!$K$1517)</f>
        <v/>
      </c>
      <c r="AB1514" t="str">
        <f>IF([2]Baskol!$L$1517="","",[2]Baskol!$L$1517)</f>
        <v/>
      </c>
      <c r="AC1514" t="str">
        <f>IF([2]Baskol!$N$1517="","",[2]Baskol!$N$1517)</f>
        <v/>
      </c>
      <c r="AD1514" t="str">
        <f>IF([2]Baskol!$O$1517="","",[2]Baskol!$O$1517)</f>
        <v/>
      </c>
      <c r="AE1514" t="str">
        <f>IF([3]Entry!$C$1517="","",[3]Entry!$C$1517)</f>
        <v/>
      </c>
      <c r="AF1514" t="str">
        <f>IF([3]Entry!$D$1517="","",[3]Entry!$D$1517)</f>
        <v/>
      </c>
      <c r="AG1514" t="str">
        <f>IF([3]Entry!$E$1517="","",[3]Entry!$E$1517)</f>
        <v/>
      </c>
      <c r="AH1514" t="str">
        <f>IF([3]Entry!$G$1517="","",[3]Entry!$G$1517)</f>
        <v/>
      </c>
      <c r="AI1514" t="str">
        <f>IF([3]Entry!$K$1517="","",[3]Entry!$K$1517)</f>
        <v/>
      </c>
      <c r="AJ1514" t="str">
        <f>IF([3]Entry!$L$1517="","",[3]Entry!$L$1517)</f>
        <v/>
      </c>
      <c r="AK1514" t="str">
        <f>IF([3]Entry!$M$1517="","",[3]Entry!$M$1517)</f>
        <v/>
      </c>
      <c r="AL1514" t="str">
        <f>IF([3]Entry!$N$1517="","",[3]Entry!$N$1517)</f>
        <v/>
      </c>
      <c r="AM1514" t="str">
        <f>IF([3]Entry!$R$1517="","",[3]Entry!$R$1517)</f>
        <v/>
      </c>
    </row>
    <row r="1515" spans="20:39" x14ac:dyDescent="0.2">
      <c r="T1515" t="str">
        <f>IF([2]Baskol!$B$1518="","",[2]Baskol!$B$1518)</f>
        <v/>
      </c>
      <c r="U1515" t="str">
        <f>IF([2]Baskol!$C$1518="","",[2]Baskol!$C$1518)</f>
        <v/>
      </c>
      <c r="V1515" t="str">
        <f>IF([2]Baskol!$D$1518="","",[2]Baskol!$D$1518)</f>
        <v/>
      </c>
      <c r="W1515" t="str">
        <f>IF([2]Baskol!$E$1518="","",[2]Baskol!$E$1518)</f>
        <v/>
      </c>
      <c r="X1515" t="str">
        <f>IF([2]Baskol!$G$1518="","",[2]Baskol!$G$1518)</f>
        <v/>
      </c>
      <c r="Y1515" t="str">
        <f>IF([2]Baskol!$I$1518="","",[2]Baskol!$I$1518)</f>
        <v/>
      </c>
      <c r="Z1515" t="str">
        <f>IF([2]Baskol!$J$1518="","",[2]Baskol!$J$1518)</f>
        <v/>
      </c>
      <c r="AA1515" t="str">
        <f>IF([2]Baskol!$K$1518="","",[2]Baskol!$K$1518)</f>
        <v/>
      </c>
      <c r="AB1515" t="str">
        <f>IF([2]Baskol!$L$1518="","",[2]Baskol!$L$1518)</f>
        <v/>
      </c>
      <c r="AC1515" t="str">
        <f>IF([2]Baskol!$N$1518="","",[2]Baskol!$N$1518)</f>
        <v/>
      </c>
      <c r="AD1515" t="str">
        <f>IF([2]Baskol!$O$1518="","",[2]Baskol!$O$1518)</f>
        <v/>
      </c>
      <c r="AE1515" t="str">
        <f>IF([3]Entry!$C$1518="","",[3]Entry!$C$1518)</f>
        <v/>
      </c>
      <c r="AF1515" t="str">
        <f>IF([3]Entry!$D$1518="","",[3]Entry!$D$1518)</f>
        <v/>
      </c>
      <c r="AG1515" t="str">
        <f>IF([3]Entry!$E$1518="","",[3]Entry!$E$1518)</f>
        <v/>
      </c>
      <c r="AH1515" t="str">
        <f>IF([3]Entry!$G$1518="","",[3]Entry!$G$1518)</f>
        <v/>
      </c>
      <c r="AI1515" t="str">
        <f>IF([3]Entry!$K$1518="","",[3]Entry!$K$1518)</f>
        <v/>
      </c>
      <c r="AJ1515" t="str">
        <f>IF([3]Entry!$L$1518="","",[3]Entry!$L$1518)</f>
        <v/>
      </c>
      <c r="AK1515" t="str">
        <f>IF([3]Entry!$M$1518="","",[3]Entry!$M$1518)</f>
        <v/>
      </c>
      <c r="AL1515" t="str">
        <f>IF([3]Entry!$N$1518="","",[3]Entry!$N$1518)</f>
        <v/>
      </c>
      <c r="AM1515" t="str">
        <f>IF([3]Entry!$R$1518="","",[3]Entry!$R$1518)</f>
        <v/>
      </c>
    </row>
    <row r="1516" spans="20:39" x14ac:dyDescent="0.2">
      <c r="T1516" t="str">
        <f>IF([2]Baskol!$B$1519="","",[2]Baskol!$B$1519)</f>
        <v/>
      </c>
      <c r="U1516" t="str">
        <f>IF([2]Baskol!$C$1519="","",[2]Baskol!$C$1519)</f>
        <v/>
      </c>
      <c r="V1516" t="str">
        <f>IF([2]Baskol!$D$1519="","",[2]Baskol!$D$1519)</f>
        <v/>
      </c>
      <c r="W1516" t="str">
        <f>IF([2]Baskol!$E$1519="","",[2]Baskol!$E$1519)</f>
        <v/>
      </c>
      <c r="X1516" t="str">
        <f>IF([2]Baskol!$G$1519="","",[2]Baskol!$G$1519)</f>
        <v/>
      </c>
      <c r="Y1516" t="str">
        <f>IF([2]Baskol!$I$1519="","",[2]Baskol!$I$1519)</f>
        <v/>
      </c>
      <c r="Z1516" t="str">
        <f>IF([2]Baskol!$J$1519="","",[2]Baskol!$J$1519)</f>
        <v/>
      </c>
      <c r="AA1516" t="str">
        <f>IF([2]Baskol!$K$1519="","",[2]Baskol!$K$1519)</f>
        <v/>
      </c>
      <c r="AB1516" t="str">
        <f>IF([2]Baskol!$L$1519="","",[2]Baskol!$L$1519)</f>
        <v/>
      </c>
      <c r="AC1516" t="str">
        <f>IF([2]Baskol!$N$1519="","",[2]Baskol!$N$1519)</f>
        <v/>
      </c>
      <c r="AD1516" t="str">
        <f>IF([2]Baskol!$O$1519="","",[2]Baskol!$O$1519)</f>
        <v/>
      </c>
      <c r="AE1516" t="str">
        <f>IF([3]Entry!$C$1519="","",[3]Entry!$C$1519)</f>
        <v/>
      </c>
      <c r="AF1516" t="str">
        <f>IF([3]Entry!$D$1519="","",[3]Entry!$D$1519)</f>
        <v/>
      </c>
      <c r="AG1516" t="str">
        <f>IF([3]Entry!$E$1519="","",[3]Entry!$E$1519)</f>
        <v/>
      </c>
      <c r="AH1516" t="str">
        <f>IF([3]Entry!$G$1519="","",[3]Entry!$G$1519)</f>
        <v/>
      </c>
      <c r="AI1516" t="str">
        <f>IF([3]Entry!$K$1519="","",[3]Entry!$K$1519)</f>
        <v/>
      </c>
      <c r="AJ1516" t="str">
        <f>IF([3]Entry!$L$1519="","",[3]Entry!$L$1519)</f>
        <v/>
      </c>
      <c r="AK1516" t="str">
        <f>IF([3]Entry!$M$1519="","",[3]Entry!$M$1519)</f>
        <v/>
      </c>
      <c r="AL1516" t="str">
        <f>IF([3]Entry!$N$1519="","",[3]Entry!$N$1519)</f>
        <v/>
      </c>
      <c r="AM1516" t="str">
        <f>IF([3]Entry!$R$1519="","",[3]Entry!$R$1519)</f>
        <v/>
      </c>
    </row>
    <row r="1517" spans="20:39" x14ac:dyDescent="0.2">
      <c r="T1517" t="str">
        <f>IF([2]Baskol!$B$1520="","",[2]Baskol!$B$1520)</f>
        <v/>
      </c>
      <c r="U1517" t="str">
        <f>IF([2]Baskol!$C$1520="","",[2]Baskol!$C$1520)</f>
        <v/>
      </c>
      <c r="V1517" t="str">
        <f>IF([2]Baskol!$D$1520="","",[2]Baskol!$D$1520)</f>
        <v/>
      </c>
      <c r="W1517" t="str">
        <f>IF([2]Baskol!$E$1520="","",[2]Baskol!$E$1520)</f>
        <v/>
      </c>
      <c r="X1517" t="str">
        <f>IF([2]Baskol!$G$1520="","",[2]Baskol!$G$1520)</f>
        <v/>
      </c>
      <c r="Y1517" t="str">
        <f>IF([2]Baskol!$I$1520="","",[2]Baskol!$I$1520)</f>
        <v/>
      </c>
      <c r="Z1517" t="str">
        <f>IF([2]Baskol!$J$1520="","",[2]Baskol!$J$1520)</f>
        <v/>
      </c>
      <c r="AA1517" t="str">
        <f>IF([2]Baskol!$K$1520="","",[2]Baskol!$K$1520)</f>
        <v/>
      </c>
      <c r="AB1517" t="str">
        <f>IF([2]Baskol!$L$1520="","",[2]Baskol!$L$1520)</f>
        <v/>
      </c>
      <c r="AC1517" t="str">
        <f>IF([2]Baskol!$N$1520="","",[2]Baskol!$N$1520)</f>
        <v/>
      </c>
      <c r="AD1517" t="str">
        <f>IF([2]Baskol!$O$1520="","",[2]Baskol!$O$1520)</f>
        <v/>
      </c>
      <c r="AE1517" t="str">
        <f>IF([3]Entry!$C$1520="","",[3]Entry!$C$1520)</f>
        <v/>
      </c>
      <c r="AF1517" t="str">
        <f>IF([3]Entry!$D$1520="","",[3]Entry!$D$1520)</f>
        <v/>
      </c>
      <c r="AG1517" t="str">
        <f>IF([3]Entry!$E$1520="","",[3]Entry!$E$1520)</f>
        <v/>
      </c>
      <c r="AH1517" t="str">
        <f>IF([3]Entry!$G$1520="","",[3]Entry!$G$1520)</f>
        <v/>
      </c>
      <c r="AI1517" t="str">
        <f>IF([3]Entry!$K$1520="","",[3]Entry!$K$1520)</f>
        <v/>
      </c>
      <c r="AJ1517" t="str">
        <f>IF([3]Entry!$L$1520="","",[3]Entry!$L$1520)</f>
        <v/>
      </c>
      <c r="AK1517" t="str">
        <f>IF([3]Entry!$M$1520="","",[3]Entry!$M$1520)</f>
        <v/>
      </c>
      <c r="AL1517" t="str">
        <f>IF([3]Entry!$N$1520="","",[3]Entry!$N$1520)</f>
        <v/>
      </c>
      <c r="AM1517" t="str">
        <f>IF([3]Entry!$R$1520="","",[3]Entry!$R$1520)</f>
        <v/>
      </c>
    </row>
    <row r="1518" spans="20:39" x14ac:dyDescent="0.2">
      <c r="T1518" t="str">
        <f>IF([2]Baskol!$B$1521="","",[2]Baskol!$B$1521)</f>
        <v/>
      </c>
      <c r="U1518" t="str">
        <f>IF([2]Baskol!$C$1521="","",[2]Baskol!$C$1521)</f>
        <v/>
      </c>
      <c r="V1518" t="str">
        <f>IF([2]Baskol!$D$1521="","",[2]Baskol!$D$1521)</f>
        <v/>
      </c>
      <c r="W1518" t="str">
        <f>IF([2]Baskol!$E$1521="","",[2]Baskol!$E$1521)</f>
        <v/>
      </c>
      <c r="X1518" t="str">
        <f>IF([2]Baskol!$G$1521="","",[2]Baskol!$G$1521)</f>
        <v/>
      </c>
      <c r="Y1518" t="str">
        <f>IF([2]Baskol!$I$1521="","",[2]Baskol!$I$1521)</f>
        <v/>
      </c>
      <c r="Z1518" t="str">
        <f>IF([2]Baskol!$J$1521="","",[2]Baskol!$J$1521)</f>
        <v/>
      </c>
      <c r="AA1518" t="str">
        <f>IF([2]Baskol!$K$1521="","",[2]Baskol!$K$1521)</f>
        <v/>
      </c>
      <c r="AB1518" t="str">
        <f>IF([2]Baskol!$L$1521="","",[2]Baskol!$L$1521)</f>
        <v/>
      </c>
      <c r="AC1518" t="str">
        <f>IF([2]Baskol!$N$1521="","",[2]Baskol!$N$1521)</f>
        <v/>
      </c>
      <c r="AD1518" t="str">
        <f>IF([2]Baskol!$O$1521="","",[2]Baskol!$O$1521)</f>
        <v/>
      </c>
      <c r="AE1518" t="str">
        <f>IF([3]Entry!$C$1521="","",[3]Entry!$C$1521)</f>
        <v/>
      </c>
      <c r="AF1518" t="str">
        <f>IF([3]Entry!$D$1521="","",[3]Entry!$D$1521)</f>
        <v/>
      </c>
      <c r="AG1518" t="str">
        <f>IF([3]Entry!$E$1521="","",[3]Entry!$E$1521)</f>
        <v/>
      </c>
      <c r="AH1518" t="str">
        <f>IF([3]Entry!$G$1521="","",[3]Entry!$G$1521)</f>
        <v/>
      </c>
      <c r="AI1518" t="str">
        <f>IF([3]Entry!$K$1521="","",[3]Entry!$K$1521)</f>
        <v/>
      </c>
      <c r="AJ1518" t="str">
        <f>IF([3]Entry!$L$1521="","",[3]Entry!$L$1521)</f>
        <v/>
      </c>
      <c r="AK1518" t="str">
        <f>IF([3]Entry!$M$1521="","",[3]Entry!$M$1521)</f>
        <v/>
      </c>
      <c r="AL1518" t="str">
        <f>IF([3]Entry!$N$1521="","",[3]Entry!$N$1521)</f>
        <v/>
      </c>
      <c r="AM1518" t="str">
        <f>IF([3]Entry!$R$1521="","",[3]Entry!$R$1521)</f>
        <v/>
      </c>
    </row>
    <row r="1519" spans="20:39" x14ac:dyDescent="0.2">
      <c r="T1519" t="str">
        <f>IF([2]Baskol!$B$1522="","",[2]Baskol!$B$1522)</f>
        <v/>
      </c>
      <c r="U1519" t="str">
        <f>IF([2]Baskol!$C$1522="","",[2]Baskol!$C$1522)</f>
        <v/>
      </c>
      <c r="V1519" t="str">
        <f>IF([2]Baskol!$D$1522="","",[2]Baskol!$D$1522)</f>
        <v/>
      </c>
      <c r="W1519" t="str">
        <f>IF([2]Baskol!$E$1522="","",[2]Baskol!$E$1522)</f>
        <v/>
      </c>
      <c r="X1519" t="str">
        <f>IF([2]Baskol!$G$1522="","",[2]Baskol!$G$1522)</f>
        <v/>
      </c>
      <c r="Y1519" t="str">
        <f>IF([2]Baskol!$I$1522="","",[2]Baskol!$I$1522)</f>
        <v/>
      </c>
      <c r="Z1519" t="str">
        <f>IF([2]Baskol!$J$1522="","",[2]Baskol!$J$1522)</f>
        <v/>
      </c>
      <c r="AA1519" t="str">
        <f>IF([2]Baskol!$K$1522="","",[2]Baskol!$K$1522)</f>
        <v/>
      </c>
      <c r="AB1519" t="str">
        <f>IF([2]Baskol!$L$1522="","",[2]Baskol!$L$1522)</f>
        <v/>
      </c>
      <c r="AC1519" t="str">
        <f>IF([2]Baskol!$N$1522="","",[2]Baskol!$N$1522)</f>
        <v/>
      </c>
      <c r="AD1519" t="str">
        <f>IF([2]Baskol!$O$1522="","",[2]Baskol!$O$1522)</f>
        <v/>
      </c>
      <c r="AE1519" t="str">
        <f>IF([3]Entry!$C$1522="","",[3]Entry!$C$1522)</f>
        <v/>
      </c>
      <c r="AF1519" t="str">
        <f>IF([3]Entry!$D$1522="","",[3]Entry!$D$1522)</f>
        <v/>
      </c>
      <c r="AG1519" t="str">
        <f>IF([3]Entry!$E$1522="","",[3]Entry!$E$1522)</f>
        <v/>
      </c>
      <c r="AH1519" t="str">
        <f>IF([3]Entry!$G$1522="","",[3]Entry!$G$1522)</f>
        <v/>
      </c>
      <c r="AI1519" t="str">
        <f>IF([3]Entry!$K$1522="","",[3]Entry!$K$1522)</f>
        <v/>
      </c>
      <c r="AJ1519" t="str">
        <f>IF([3]Entry!$L$1522="","",[3]Entry!$L$1522)</f>
        <v/>
      </c>
      <c r="AK1519" t="str">
        <f>IF([3]Entry!$M$1522="","",[3]Entry!$M$1522)</f>
        <v/>
      </c>
      <c r="AL1519" t="str">
        <f>IF([3]Entry!$N$1522="","",[3]Entry!$N$1522)</f>
        <v/>
      </c>
      <c r="AM1519" t="str">
        <f>IF([3]Entry!$R$1522="","",[3]Entry!$R$1522)</f>
        <v/>
      </c>
    </row>
    <row r="1520" spans="20:39" x14ac:dyDescent="0.2">
      <c r="T1520" t="str">
        <f>IF([2]Baskol!$B$1523="","",[2]Baskol!$B$1523)</f>
        <v/>
      </c>
      <c r="U1520" t="str">
        <f>IF([2]Baskol!$C$1523="","",[2]Baskol!$C$1523)</f>
        <v/>
      </c>
      <c r="V1520" t="str">
        <f>IF([2]Baskol!$D$1523="","",[2]Baskol!$D$1523)</f>
        <v/>
      </c>
      <c r="W1520" t="str">
        <f>IF([2]Baskol!$E$1523="","",[2]Baskol!$E$1523)</f>
        <v/>
      </c>
      <c r="X1520" t="str">
        <f>IF([2]Baskol!$G$1523="","",[2]Baskol!$G$1523)</f>
        <v/>
      </c>
      <c r="Y1520" t="str">
        <f>IF([2]Baskol!$I$1523="","",[2]Baskol!$I$1523)</f>
        <v/>
      </c>
      <c r="Z1520" t="str">
        <f>IF([2]Baskol!$J$1523="","",[2]Baskol!$J$1523)</f>
        <v/>
      </c>
      <c r="AA1520" t="str">
        <f>IF([2]Baskol!$K$1523="","",[2]Baskol!$K$1523)</f>
        <v/>
      </c>
      <c r="AB1520" t="str">
        <f>IF([2]Baskol!$L$1523="","",[2]Baskol!$L$1523)</f>
        <v/>
      </c>
      <c r="AC1520" t="str">
        <f>IF([2]Baskol!$N$1523="","",[2]Baskol!$N$1523)</f>
        <v/>
      </c>
      <c r="AD1520" t="str">
        <f>IF([2]Baskol!$O$1523="","",[2]Baskol!$O$1523)</f>
        <v/>
      </c>
      <c r="AE1520" t="str">
        <f>IF([3]Entry!$C$1523="","",[3]Entry!$C$1523)</f>
        <v/>
      </c>
      <c r="AF1520" t="str">
        <f>IF([3]Entry!$D$1523="","",[3]Entry!$D$1523)</f>
        <v/>
      </c>
      <c r="AG1520" t="str">
        <f>IF([3]Entry!$E$1523="","",[3]Entry!$E$1523)</f>
        <v/>
      </c>
      <c r="AH1520" t="str">
        <f>IF([3]Entry!$G$1523="","",[3]Entry!$G$1523)</f>
        <v/>
      </c>
      <c r="AI1520" t="str">
        <f>IF([3]Entry!$K$1523="","",[3]Entry!$K$1523)</f>
        <v/>
      </c>
      <c r="AJ1520" t="str">
        <f>IF([3]Entry!$L$1523="","",[3]Entry!$L$1523)</f>
        <v/>
      </c>
      <c r="AK1520" t="str">
        <f>IF([3]Entry!$M$1523="","",[3]Entry!$M$1523)</f>
        <v/>
      </c>
      <c r="AL1520" t="str">
        <f>IF([3]Entry!$N$1523="","",[3]Entry!$N$1523)</f>
        <v/>
      </c>
      <c r="AM1520" t="str">
        <f>IF([3]Entry!$R$1523="","",[3]Entry!$R$1523)</f>
        <v/>
      </c>
    </row>
    <row r="1521" spans="20:39" x14ac:dyDescent="0.2">
      <c r="T1521" t="str">
        <f>IF([2]Baskol!$B$1524="","",[2]Baskol!$B$1524)</f>
        <v/>
      </c>
      <c r="U1521" t="str">
        <f>IF([2]Baskol!$C$1524="","",[2]Baskol!$C$1524)</f>
        <v/>
      </c>
      <c r="V1521" t="str">
        <f>IF([2]Baskol!$D$1524="","",[2]Baskol!$D$1524)</f>
        <v/>
      </c>
      <c r="W1521" t="str">
        <f>IF([2]Baskol!$E$1524="","",[2]Baskol!$E$1524)</f>
        <v/>
      </c>
      <c r="X1521" t="str">
        <f>IF([2]Baskol!$G$1524="","",[2]Baskol!$G$1524)</f>
        <v/>
      </c>
      <c r="Y1521" t="str">
        <f>IF([2]Baskol!$I$1524="","",[2]Baskol!$I$1524)</f>
        <v/>
      </c>
      <c r="Z1521" t="str">
        <f>IF([2]Baskol!$J$1524="","",[2]Baskol!$J$1524)</f>
        <v/>
      </c>
      <c r="AA1521" t="str">
        <f>IF([2]Baskol!$K$1524="","",[2]Baskol!$K$1524)</f>
        <v/>
      </c>
      <c r="AB1521" t="str">
        <f>IF([2]Baskol!$L$1524="","",[2]Baskol!$L$1524)</f>
        <v/>
      </c>
      <c r="AC1521" t="str">
        <f>IF([2]Baskol!$N$1524="","",[2]Baskol!$N$1524)</f>
        <v/>
      </c>
      <c r="AD1521" t="str">
        <f>IF([2]Baskol!$O$1524="","",[2]Baskol!$O$1524)</f>
        <v/>
      </c>
      <c r="AE1521" t="str">
        <f>IF([3]Entry!$C$1524="","",[3]Entry!$C$1524)</f>
        <v/>
      </c>
      <c r="AF1521" t="str">
        <f>IF([3]Entry!$D$1524="","",[3]Entry!$D$1524)</f>
        <v/>
      </c>
      <c r="AG1521" t="str">
        <f>IF([3]Entry!$E$1524="","",[3]Entry!$E$1524)</f>
        <v/>
      </c>
      <c r="AH1521" t="str">
        <f>IF([3]Entry!$G$1524="","",[3]Entry!$G$1524)</f>
        <v/>
      </c>
      <c r="AI1521" t="str">
        <f>IF([3]Entry!$K$1524="","",[3]Entry!$K$1524)</f>
        <v/>
      </c>
      <c r="AJ1521" t="str">
        <f>IF([3]Entry!$L$1524="","",[3]Entry!$L$1524)</f>
        <v/>
      </c>
      <c r="AK1521" t="str">
        <f>IF([3]Entry!$M$1524="","",[3]Entry!$M$1524)</f>
        <v/>
      </c>
      <c r="AL1521" t="str">
        <f>IF([3]Entry!$N$1524="","",[3]Entry!$N$1524)</f>
        <v/>
      </c>
      <c r="AM1521" t="str">
        <f>IF([3]Entry!$R$1524="","",[3]Entry!$R$1524)</f>
        <v/>
      </c>
    </row>
    <row r="1522" spans="20:39" x14ac:dyDescent="0.2">
      <c r="T1522" t="str">
        <f>IF([2]Baskol!$B$1525="","",[2]Baskol!$B$1525)</f>
        <v/>
      </c>
      <c r="U1522" t="str">
        <f>IF([2]Baskol!$C$1525="","",[2]Baskol!$C$1525)</f>
        <v/>
      </c>
      <c r="V1522" t="str">
        <f>IF([2]Baskol!$D$1525="","",[2]Baskol!$D$1525)</f>
        <v/>
      </c>
      <c r="W1522" t="str">
        <f>IF([2]Baskol!$E$1525="","",[2]Baskol!$E$1525)</f>
        <v/>
      </c>
      <c r="X1522" t="str">
        <f>IF([2]Baskol!$G$1525="","",[2]Baskol!$G$1525)</f>
        <v/>
      </c>
      <c r="Y1522" t="str">
        <f>IF([2]Baskol!$I$1525="","",[2]Baskol!$I$1525)</f>
        <v/>
      </c>
      <c r="Z1522" t="str">
        <f>IF([2]Baskol!$J$1525="","",[2]Baskol!$J$1525)</f>
        <v/>
      </c>
      <c r="AA1522" t="str">
        <f>IF([2]Baskol!$K$1525="","",[2]Baskol!$K$1525)</f>
        <v/>
      </c>
      <c r="AB1522" t="str">
        <f>IF([2]Baskol!$L$1525="","",[2]Baskol!$L$1525)</f>
        <v/>
      </c>
      <c r="AC1522" t="str">
        <f>IF([2]Baskol!$N$1525="","",[2]Baskol!$N$1525)</f>
        <v/>
      </c>
      <c r="AD1522" t="str">
        <f>IF([2]Baskol!$O$1525="","",[2]Baskol!$O$1525)</f>
        <v/>
      </c>
      <c r="AE1522" t="str">
        <f>IF([3]Entry!$C$1525="","",[3]Entry!$C$1525)</f>
        <v/>
      </c>
      <c r="AF1522" t="str">
        <f>IF([3]Entry!$D$1525="","",[3]Entry!$D$1525)</f>
        <v/>
      </c>
      <c r="AG1522" t="str">
        <f>IF([3]Entry!$E$1525="","",[3]Entry!$E$1525)</f>
        <v/>
      </c>
      <c r="AH1522" t="str">
        <f>IF([3]Entry!$G$1525="","",[3]Entry!$G$1525)</f>
        <v/>
      </c>
      <c r="AI1522" t="str">
        <f>IF([3]Entry!$K$1525="","",[3]Entry!$K$1525)</f>
        <v/>
      </c>
      <c r="AJ1522" t="str">
        <f>IF([3]Entry!$L$1525="","",[3]Entry!$L$1525)</f>
        <v/>
      </c>
      <c r="AK1522" t="str">
        <f>IF([3]Entry!$M$1525="","",[3]Entry!$M$1525)</f>
        <v/>
      </c>
      <c r="AL1522" t="str">
        <f>IF([3]Entry!$N$1525="","",[3]Entry!$N$1525)</f>
        <v/>
      </c>
      <c r="AM1522" t="str">
        <f>IF([3]Entry!$R$1525="","",[3]Entry!$R$1525)</f>
        <v/>
      </c>
    </row>
    <row r="1523" spans="20:39" x14ac:dyDescent="0.2">
      <c r="T1523" t="str">
        <f>IF([2]Baskol!$B$1526="","",[2]Baskol!$B$1526)</f>
        <v/>
      </c>
      <c r="U1523" t="str">
        <f>IF([2]Baskol!$C$1526="","",[2]Baskol!$C$1526)</f>
        <v/>
      </c>
      <c r="V1523" t="str">
        <f>IF([2]Baskol!$D$1526="","",[2]Baskol!$D$1526)</f>
        <v/>
      </c>
      <c r="W1523" t="str">
        <f>IF([2]Baskol!$E$1526="","",[2]Baskol!$E$1526)</f>
        <v/>
      </c>
      <c r="X1523" t="str">
        <f>IF([2]Baskol!$G$1526="","",[2]Baskol!$G$1526)</f>
        <v/>
      </c>
      <c r="Y1523" t="str">
        <f>IF([2]Baskol!$I$1526="","",[2]Baskol!$I$1526)</f>
        <v/>
      </c>
      <c r="Z1523" t="str">
        <f>IF([2]Baskol!$J$1526="","",[2]Baskol!$J$1526)</f>
        <v/>
      </c>
      <c r="AA1523" t="str">
        <f>IF([2]Baskol!$K$1526="","",[2]Baskol!$K$1526)</f>
        <v/>
      </c>
      <c r="AB1523" t="str">
        <f>IF([2]Baskol!$L$1526="","",[2]Baskol!$L$1526)</f>
        <v/>
      </c>
      <c r="AC1523" t="str">
        <f>IF([2]Baskol!$N$1526="","",[2]Baskol!$N$1526)</f>
        <v/>
      </c>
      <c r="AD1523" t="str">
        <f>IF([2]Baskol!$O$1526="","",[2]Baskol!$O$1526)</f>
        <v/>
      </c>
      <c r="AE1523" t="str">
        <f>IF([3]Entry!$C$1526="","",[3]Entry!$C$1526)</f>
        <v/>
      </c>
      <c r="AF1523" t="str">
        <f>IF([3]Entry!$D$1526="","",[3]Entry!$D$1526)</f>
        <v/>
      </c>
      <c r="AG1523" t="str">
        <f>IF([3]Entry!$E$1526="","",[3]Entry!$E$1526)</f>
        <v/>
      </c>
      <c r="AH1523" t="str">
        <f>IF([3]Entry!$G$1526="","",[3]Entry!$G$1526)</f>
        <v/>
      </c>
      <c r="AI1523" t="str">
        <f>IF([3]Entry!$K$1526="","",[3]Entry!$K$1526)</f>
        <v/>
      </c>
      <c r="AJ1523" t="str">
        <f>IF([3]Entry!$L$1526="","",[3]Entry!$L$1526)</f>
        <v/>
      </c>
      <c r="AK1523" t="str">
        <f>IF([3]Entry!$M$1526="","",[3]Entry!$M$1526)</f>
        <v/>
      </c>
      <c r="AL1523" t="str">
        <f>IF([3]Entry!$N$1526="","",[3]Entry!$N$1526)</f>
        <v/>
      </c>
      <c r="AM1523" t="str">
        <f>IF([3]Entry!$R$1526="","",[3]Entry!$R$1526)</f>
        <v/>
      </c>
    </row>
    <row r="1524" spans="20:39" x14ac:dyDescent="0.2">
      <c r="T1524" t="str">
        <f>IF([2]Baskol!$B$1527="","",[2]Baskol!$B$1527)</f>
        <v/>
      </c>
      <c r="U1524" t="str">
        <f>IF([2]Baskol!$C$1527="","",[2]Baskol!$C$1527)</f>
        <v/>
      </c>
      <c r="V1524" t="str">
        <f>IF([2]Baskol!$D$1527="","",[2]Baskol!$D$1527)</f>
        <v/>
      </c>
      <c r="W1524" t="str">
        <f>IF([2]Baskol!$E$1527="","",[2]Baskol!$E$1527)</f>
        <v/>
      </c>
      <c r="X1524" t="str">
        <f>IF([2]Baskol!$G$1527="","",[2]Baskol!$G$1527)</f>
        <v/>
      </c>
      <c r="Y1524" t="str">
        <f>IF([2]Baskol!$I$1527="","",[2]Baskol!$I$1527)</f>
        <v/>
      </c>
      <c r="Z1524" t="str">
        <f>IF([2]Baskol!$J$1527="","",[2]Baskol!$J$1527)</f>
        <v/>
      </c>
      <c r="AA1524" t="str">
        <f>IF([2]Baskol!$K$1527="","",[2]Baskol!$K$1527)</f>
        <v/>
      </c>
      <c r="AB1524" t="str">
        <f>IF([2]Baskol!$L$1527="","",[2]Baskol!$L$1527)</f>
        <v/>
      </c>
      <c r="AC1524" t="str">
        <f>IF([2]Baskol!$N$1527="","",[2]Baskol!$N$1527)</f>
        <v/>
      </c>
      <c r="AD1524" t="str">
        <f>IF([2]Baskol!$O$1527="","",[2]Baskol!$O$1527)</f>
        <v/>
      </c>
      <c r="AE1524" t="str">
        <f>IF([3]Entry!$C$1527="","",[3]Entry!$C$1527)</f>
        <v/>
      </c>
      <c r="AF1524" t="str">
        <f>IF([3]Entry!$D$1527="","",[3]Entry!$D$1527)</f>
        <v/>
      </c>
      <c r="AG1524" t="str">
        <f>IF([3]Entry!$E$1527="","",[3]Entry!$E$1527)</f>
        <v/>
      </c>
      <c r="AH1524" t="str">
        <f>IF([3]Entry!$G$1527="","",[3]Entry!$G$1527)</f>
        <v/>
      </c>
      <c r="AI1524" t="str">
        <f>IF([3]Entry!$K$1527="","",[3]Entry!$K$1527)</f>
        <v/>
      </c>
      <c r="AJ1524" t="str">
        <f>IF([3]Entry!$L$1527="","",[3]Entry!$L$1527)</f>
        <v/>
      </c>
      <c r="AK1524" t="str">
        <f>IF([3]Entry!$M$1527="","",[3]Entry!$M$1527)</f>
        <v/>
      </c>
      <c r="AL1524" t="str">
        <f>IF([3]Entry!$N$1527="","",[3]Entry!$N$1527)</f>
        <v/>
      </c>
      <c r="AM1524" t="str">
        <f>IF([3]Entry!$R$1527="","",[3]Entry!$R$1527)</f>
        <v/>
      </c>
    </row>
    <row r="1525" spans="20:39" x14ac:dyDescent="0.2">
      <c r="T1525" t="str">
        <f>IF([2]Baskol!$B$1528="","",[2]Baskol!$B$1528)</f>
        <v/>
      </c>
      <c r="U1525" t="str">
        <f>IF([2]Baskol!$C$1528="","",[2]Baskol!$C$1528)</f>
        <v/>
      </c>
      <c r="V1525" t="str">
        <f>IF([2]Baskol!$D$1528="","",[2]Baskol!$D$1528)</f>
        <v/>
      </c>
      <c r="W1525" t="str">
        <f>IF([2]Baskol!$E$1528="","",[2]Baskol!$E$1528)</f>
        <v/>
      </c>
      <c r="X1525" t="str">
        <f>IF([2]Baskol!$G$1528="","",[2]Baskol!$G$1528)</f>
        <v/>
      </c>
      <c r="Y1525" t="str">
        <f>IF([2]Baskol!$I$1528="","",[2]Baskol!$I$1528)</f>
        <v/>
      </c>
      <c r="Z1525" t="str">
        <f>IF([2]Baskol!$J$1528="","",[2]Baskol!$J$1528)</f>
        <v/>
      </c>
      <c r="AA1525" t="str">
        <f>IF([2]Baskol!$K$1528="","",[2]Baskol!$K$1528)</f>
        <v/>
      </c>
      <c r="AB1525" t="str">
        <f>IF([2]Baskol!$L$1528="","",[2]Baskol!$L$1528)</f>
        <v/>
      </c>
      <c r="AC1525" t="str">
        <f>IF([2]Baskol!$N$1528="","",[2]Baskol!$N$1528)</f>
        <v/>
      </c>
      <c r="AD1525" t="str">
        <f>IF([2]Baskol!$O$1528="","",[2]Baskol!$O$1528)</f>
        <v/>
      </c>
      <c r="AE1525" t="str">
        <f>IF([3]Entry!$C$1528="","",[3]Entry!$C$1528)</f>
        <v/>
      </c>
      <c r="AF1525" t="str">
        <f>IF([3]Entry!$D$1528="","",[3]Entry!$D$1528)</f>
        <v/>
      </c>
      <c r="AG1525" t="str">
        <f>IF([3]Entry!$E$1528="","",[3]Entry!$E$1528)</f>
        <v/>
      </c>
      <c r="AH1525" t="str">
        <f>IF([3]Entry!$G$1528="","",[3]Entry!$G$1528)</f>
        <v/>
      </c>
      <c r="AI1525" t="str">
        <f>IF([3]Entry!$K$1528="","",[3]Entry!$K$1528)</f>
        <v/>
      </c>
      <c r="AJ1525" t="str">
        <f>IF([3]Entry!$L$1528="","",[3]Entry!$L$1528)</f>
        <v/>
      </c>
      <c r="AK1525" t="str">
        <f>IF([3]Entry!$M$1528="","",[3]Entry!$M$1528)</f>
        <v/>
      </c>
      <c r="AL1525" t="str">
        <f>IF([3]Entry!$N$1528="","",[3]Entry!$N$1528)</f>
        <v/>
      </c>
      <c r="AM1525" t="str">
        <f>IF([3]Entry!$R$1528="","",[3]Entry!$R$1528)</f>
        <v/>
      </c>
    </row>
    <row r="1526" spans="20:39" x14ac:dyDescent="0.2">
      <c r="T1526" t="str">
        <f>IF([2]Baskol!$B$1529="","",[2]Baskol!$B$1529)</f>
        <v/>
      </c>
      <c r="U1526" t="str">
        <f>IF([2]Baskol!$C$1529="","",[2]Baskol!$C$1529)</f>
        <v/>
      </c>
      <c r="V1526" t="str">
        <f>IF([2]Baskol!$D$1529="","",[2]Baskol!$D$1529)</f>
        <v/>
      </c>
      <c r="W1526" t="str">
        <f>IF([2]Baskol!$E$1529="","",[2]Baskol!$E$1529)</f>
        <v/>
      </c>
      <c r="X1526" t="str">
        <f>IF([2]Baskol!$G$1529="","",[2]Baskol!$G$1529)</f>
        <v/>
      </c>
      <c r="Y1526" t="str">
        <f>IF([2]Baskol!$I$1529="","",[2]Baskol!$I$1529)</f>
        <v/>
      </c>
      <c r="Z1526" t="str">
        <f>IF([2]Baskol!$J$1529="","",[2]Baskol!$J$1529)</f>
        <v/>
      </c>
      <c r="AA1526" t="str">
        <f>IF([2]Baskol!$K$1529="","",[2]Baskol!$K$1529)</f>
        <v/>
      </c>
      <c r="AB1526" t="str">
        <f>IF([2]Baskol!$L$1529="","",[2]Baskol!$L$1529)</f>
        <v/>
      </c>
      <c r="AC1526" t="str">
        <f>IF([2]Baskol!$N$1529="","",[2]Baskol!$N$1529)</f>
        <v/>
      </c>
      <c r="AD1526" t="str">
        <f>IF([2]Baskol!$O$1529="","",[2]Baskol!$O$1529)</f>
        <v/>
      </c>
      <c r="AE1526" t="str">
        <f>IF([3]Entry!$C$1529="","",[3]Entry!$C$1529)</f>
        <v/>
      </c>
      <c r="AF1526" t="str">
        <f>IF([3]Entry!$D$1529="","",[3]Entry!$D$1529)</f>
        <v/>
      </c>
      <c r="AG1526" t="str">
        <f>IF([3]Entry!$E$1529="","",[3]Entry!$E$1529)</f>
        <v/>
      </c>
      <c r="AH1526" t="str">
        <f>IF([3]Entry!$G$1529="","",[3]Entry!$G$1529)</f>
        <v/>
      </c>
      <c r="AI1526" t="str">
        <f>IF([3]Entry!$K$1529="","",[3]Entry!$K$1529)</f>
        <v/>
      </c>
      <c r="AJ1526" t="str">
        <f>IF([3]Entry!$L$1529="","",[3]Entry!$L$1529)</f>
        <v/>
      </c>
      <c r="AK1526" t="str">
        <f>IF([3]Entry!$M$1529="","",[3]Entry!$M$1529)</f>
        <v/>
      </c>
      <c r="AL1526" t="str">
        <f>IF([3]Entry!$N$1529="","",[3]Entry!$N$1529)</f>
        <v/>
      </c>
      <c r="AM1526" t="str">
        <f>IF([3]Entry!$R$1529="","",[3]Entry!$R$1529)</f>
        <v/>
      </c>
    </row>
    <row r="1527" spans="20:39" x14ac:dyDescent="0.2">
      <c r="T1527" t="str">
        <f>IF([2]Baskol!$B$1530="","",[2]Baskol!$B$1530)</f>
        <v/>
      </c>
      <c r="U1527" t="str">
        <f>IF([2]Baskol!$C$1530="","",[2]Baskol!$C$1530)</f>
        <v/>
      </c>
      <c r="V1527" t="str">
        <f>IF([2]Baskol!$D$1530="","",[2]Baskol!$D$1530)</f>
        <v/>
      </c>
      <c r="W1527" t="str">
        <f>IF([2]Baskol!$E$1530="","",[2]Baskol!$E$1530)</f>
        <v/>
      </c>
      <c r="X1527" t="str">
        <f>IF([2]Baskol!$G$1530="","",[2]Baskol!$G$1530)</f>
        <v/>
      </c>
      <c r="Y1527" t="str">
        <f>IF([2]Baskol!$I$1530="","",[2]Baskol!$I$1530)</f>
        <v/>
      </c>
      <c r="Z1527" t="str">
        <f>IF([2]Baskol!$J$1530="","",[2]Baskol!$J$1530)</f>
        <v/>
      </c>
      <c r="AA1527" t="str">
        <f>IF([2]Baskol!$K$1530="","",[2]Baskol!$K$1530)</f>
        <v/>
      </c>
      <c r="AB1527" t="str">
        <f>IF([2]Baskol!$L$1530="","",[2]Baskol!$L$1530)</f>
        <v/>
      </c>
      <c r="AC1527" t="str">
        <f>IF([2]Baskol!$N$1530="","",[2]Baskol!$N$1530)</f>
        <v/>
      </c>
      <c r="AD1527" t="str">
        <f>IF([2]Baskol!$O$1530="","",[2]Baskol!$O$1530)</f>
        <v/>
      </c>
      <c r="AE1527" t="str">
        <f>IF([3]Entry!$C$1530="","",[3]Entry!$C$1530)</f>
        <v/>
      </c>
      <c r="AF1527" t="str">
        <f>IF([3]Entry!$D$1530="","",[3]Entry!$D$1530)</f>
        <v/>
      </c>
      <c r="AG1527" t="str">
        <f>IF([3]Entry!$E$1530="","",[3]Entry!$E$1530)</f>
        <v/>
      </c>
      <c r="AH1527" t="str">
        <f>IF([3]Entry!$G$1530="","",[3]Entry!$G$1530)</f>
        <v/>
      </c>
      <c r="AI1527" t="str">
        <f>IF([3]Entry!$K$1530="","",[3]Entry!$K$1530)</f>
        <v/>
      </c>
      <c r="AJ1527" t="str">
        <f>IF([3]Entry!$L$1530="","",[3]Entry!$L$1530)</f>
        <v/>
      </c>
      <c r="AK1527" t="str">
        <f>IF([3]Entry!$M$1530="","",[3]Entry!$M$1530)</f>
        <v/>
      </c>
      <c r="AL1527" t="str">
        <f>IF([3]Entry!$N$1530="","",[3]Entry!$N$1530)</f>
        <v/>
      </c>
      <c r="AM1527" t="str">
        <f>IF([3]Entry!$R$1530="","",[3]Entry!$R$1530)</f>
        <v/>
      </c>
    </row>
    <row r="1528" spans="20:39" x14ac:dyDescent="0.2">
      <c r="T1528" t="str">
        <f>IF([2]Baskol!$B$1531="","",[2]Baskol!$B$1531)</f>
        <v/>
      </c>
      <c r="U1528" t="str">
        <f>IF([2]Baskol!$C$1531="","",[2]Baskol!$C$1531)</f>
        <v/>
      </c>
      <c r="V1528" t="str">
        <f>IF([2]Baskol!$D$1531="","",[2]Baskol!$D$1531)</f>
        <v/>
      </c>
      <c r="W1528" t="str">
        <f>IF([2]Baskol!$E$1531="","",[2]Baskol!$E$1531)</f>
        <v/>
      </c>
      <c r="X1528" t="str">
        <f>IF([2]Baskol!$G$1531="","",[2]Baskol!$G$1531)</f>
        <v/>
      </c>
      <c r="Y1528" t="str">
        <f>IF([2]Baskol!$I$1531="","",[2]Baskol!$I$1531)</f>
        <v/>
      </c>
      <c r="Z1528" t="str">
        <f>IF([2]Baskol!$J$1531="","",[2]Baskol!$J$1531)</f>
        <v/>
      </c>
      <c r="AA1528" t="str">
        <f>IF([2]Baskol!$K$1531="","",[2]Baskol!$K$1531)</f>
        <v/>
      </c>
      <c r="AB1528" t="str">
        <f>IF([2]Baskol!$L$1531="","",[2]Baskol!$L$1531)</f>
        <v/>
      </c>
      <c r="AC1528" t="str">
        <f>IF([2]Baskol!$N$1531="","",[2]Baskol!$N$1531)</f>
        <v/>
      </c>
      <c r="AD1528" t="str">
        <f>IF([2]Baskol!$O$1531="","",[2]Baskol!$O$1531)</f>
        <v/>
      </c>
      <c r="AE1528" t="str">
        <f>IF([3]Entry!$C$1531="","",[3]Entry!$C$1531)</f>
        <v/>
      </c>
      <c r="AF1528" t="str">
        <f>IF([3]Entry!$D$1531="","",[3]Entry!$D$1531)</f>
        <v/>
      </c>
      <c r="AG1528" t="str">
        <f>IF([3]Entry!$E$1531="","",[3]Entry!$E$1531)</f>
        <v/>
      </c>
      <c r="AH1528" t="str">
        <f>IF([3]Entry!$G$1531="","",[3]Entry!$G$1531)</f>
        <v/>
      </c>
      <c r="AI1528" t="str">
        <f>IF([3]Entry!$K$1531="","",[3]Entry!$K$1531)</f>
        <v/>
      </c>
      <c r="AJ1528" t="str">
        <f>IF([3]Entry!$L$1531="","",[3]Entry!$L$1531)</f>
        <v/>
      </c>
      <c r="AK1528" t="str">
        <f>IF([3]Entry!$M$1531="","",[3]Entry!$M$1531)</f>
        <v/>
      </c>
      <c r="AL1528" t="str">
        <f>IF([3]Entry!$N$1531="","",[3]Entry!$N$1531)</f>
        <v/>
      </c>
      <c r="AM1528" t="str">
        <f>IF([3]Entry!$R$1531="","",[3]Entry!$R$1531)</f>
        <v/>
      </c>
    </row>
    <row r="1529" spans="20:39" x14ac:dyDescent="0.2">
      <c r="T1529" t="str">
        <f>IF([2]Baskol!$B$1532="","",[2]Baskol!$B$1532)</f>
        <v/>
      </c>
      <c r="U1529" t="str">
        <f>IF([2]Baskol!$C$1532="","",[2]Baskol!$C$1532)</f>
        <v/>
      </c>
      <c r="V1529" t="str">
        <f>IF([2]Baskol!$D$1532="","",[2]Baskol!$D$1532)</f>
        <v/>
      </c>
      <c r="W1529" t="str">
        <f>IF([2]Baskol!$E$1532="","",[2]Baskol!$E$1532)</f>
        <v/>
      </c>
      <c r="X1529" t="str">
        <f>IF([2]Baskol!$G$1532="","",[2]Baskol!$G$1532)</f>
        <v/>
      </c>
      <c r="Y1529" t="str">
        <f>IF([2]Baskol!$I$1532="","",[2]Baskol!$I$1532)</f>
        <v/>
      </c>
      <c r="Z1529" t="str">
        <f>IF([2]Baskol!$J$1532="","",[2]Baskol!$J$1532)</f>
        <v/>
      </c>
      <c r="AA1529" t="str">
        <f>IF([2]Baskol!$K$1532="","",[2]Baskol!$K$1532)</f>
        <v/>
      </c>
      <c r="AB1529" t="str">
        <f>IF([2]Baskol!$L$1532="","",[2]Baskol!$L$1532)</f>
        <v/>
      </c>
      <c r="AC1529" t="str">
        <f>IF([2]Baskol!$N$1532="","",[2]Baskol!$N$1532)</f>
        <v/>
      </c>
      <c r="AD1529" t="str">
        <f>IF([2]Baskol!$O$1532="","",[2]Baskol!$O$1532)</f>
        <v/>
      </c>
      <c r="AE1529" t="str">
        <f>IF([3]Entry!$C$1532="","",[3]Entry!$C$1532)</f>
        <v/>
      </c>
      <c r="AF1529" t="str">
        <f>IF([3]Entry!$D$1532="","",[3]Entry!$D$1532)</f>
        <v/>
      </c>
      <c r="AG1529" t="str">
        <f>IF([3]Entry!$E$1532="","",[3]Entry!$E$1532)</f>
        <v/>
      </c>
      <c r="AH1529" t="str">
        <f>IF([3]Entry!$G$1532="","",[3]Entry!$G$1532)</f>
        <v/>
      </c>
      <c r="AI1529" t="str">
        <f>IF([3]Entry!$K$1532="","",[3]Entry!$K$1532)</f>
        <v/>
      </c>
      <c r="AJ1529" t="str">
        <f>IF([3]Entry!$L$1532="","",[3]Entry!$L$1532)</f>
        <v/>
      </c>
      <c r="AK1529" t="str">
        <f>IF([3]Entry!$M$1532="","",[3]Entry!$M$1532)</f>
        <v/>
      </c>
      <c r="AL1529" t="str">
        <f>IF([3]Entry!$N$1532="","",[3]Entry!$N$1532)</f>
        <v/>
      </c>
      <c r="AM1529" t="str">
        <f>IF([3]Entry!$R$1532="","",[3]Entry!$R$1532)</f>
        <v/>
      </c>
    </row>
    <row r="1530" spans="20:39" x14ac:dyDescent="0.2">
      <c r="T1530" t="str">
        <f>IF([2]Baskol!$B$1533="","",[2]Baskol!$B$1533)</f>
        <v/>
      </c>
      <c r="U1530" t="str">
        <f>IF([2]Baskol!$C$1533="","",[2]Baskol!$C$1533)</f>
        <v/>
      </c>
      <c r="V1530" t="str">
        <f>IF([2]Baskol!$D$1533="","",[2]Baskol!$D$1533)</f>
        <v/>
      </c>
      <c r="W1530" t="str">
        <f>IF([2]Baskol!$E$1533="","",[2]Baskol!$E$1533)</f>
        <v/>
      </c>
      <c r="X1530" t="str">
        <f>IF([2]Baskol!$G$1533="","",[2]Baskol!$G$1533)</f>
        <v/>
      </c>
      <c r="Y1530" t="str">
        <f>IF([2]Baskol!$I$1533="","",[2]Baskol!$I$1533)</f>
        <v/>
      </c>
      <c r="Z1530" t="str">
        <f>IF([2]Baskol!$J$1533="","",[2]Baskol!$J$1533)</f>
        <v/>
      </c>
      <c r="AA1530" t="str">
        <f>IF([2]Baskol!$K$1533="","",[2]Baskol!$K$1533)</f>
        <v/>
      </c>
      <c r="AB1530" t="str">
        <f>IF([2]Baskol!$L$1533="","",[2]Baskol!$L$1533)</f>
        <v/>
      </c>
      <c r="AC1530" t="str">
        <f>IF([2]Baskol!$N$1533="","",[2]Baskol!$N$1533)</f>
        <v/>
      </c>
      <c r="AD1530" t="str">
        <f>IF([2]Baskol!$O$1533="","",[2]Baskol!$O$1533)</f>
        <v/>
      </c>
      <c r="AE1530" t="str">
        <f>IF([3]Entry!$C$1533="","",[3]Entry!$C$1533)</f>
        <v/>
      </c>
      <c r="AF1530" t="str">
        <f>IF([3]Entry!$D$1533="","",[3]Entry!$D$1533)</f>
        <v/>
      </c>
      <c r="AG1530" t="str">
        <f>IF([3]Entry!$E$1533="","",[3]Entry!$E$1533)</f>
        <v/>
      </c>
      <c r="AH1530" t="str">
        <f>IF([3]Entry!$G$1533="","",[3]Entry!$G$1533)</f>
        <v/>
      </c>
      <c r="AI1530" t="str">
        <f>IF([3]Entry!$K$1533="","",[3]Entry!$K$1533)</f>
        <v/>
      </c>
      <c r="AJ1530" t="str">
        <f>IF([3]Entry!$L$1533="","",[3]Entry!$L$1533)</f>
        <v/>
      </c>
      <c r="AK1530" t="str">
        <f>IF([3]Entry!$M$1533="","",[3]Entry!$M$1533)</f>
        <v/>
      </c>
      <c r="AL1530" t="str">
        <f>IF([3]Entry!$N$1533="","",[3]Entry!$N$1533)</f>
        <v/>
      </c>
      <c r="AM1530" t="str">
        <f>IF([3]Entry!$R$1533="","",[3]Entry!$R$1533)</f>
        <v/>
      </c>
    </row>
    <row r="1531" spans="20:39" x14ac:dyDescent="0.2">
      <c r="T1531" t="str">
        <f>IF([2]Baskol!$B$1534="","",[2]Baskol!$B$1534)</f>
        <v/>
      </c>
      <c r="U1531" t="str">
        <f>IF([2]Baskol!$C$1534="","",[2]Baskol!$C$1534)</f>
        <v/>
      </c>
      <c r="V1531" t="str">
        <f>IF([2]Baskol!$D$1534="","",[2]Baskol!$D$1534)</f>
        <v/>
      </c>
      <c r="W1531" t="str">
        <f>IF([2]Baskol!$E$1534="","",[2]Baskol!$E$1534)</f>
        <v/>
      </c>
      <c r="X1531" t="str">
        <f>IF([2]Baskol!$G$1534="","",[2]Baskol!$G$1534)</f>
        <v/>
      </c>
      <c r="Y1531" t="str">
        <f>IF([2]Baskol!$I$1534="","",[2]Baskol!$I$1534)</f>
        <v/>
      </c>
      <c r="Z1531" t="str">
        <f>IF([2]Baskol!$J$1534="","",[2]Baskol!$J$1534)</f>
        <v/>
      </c>
      <c r="AA1531" t="str">
        <f>IF([2]Baskol!$K$1534="","",[2]Baskol!$K$1534)</f>
        <v/>
      </c>
      <c r="AB1531" t="str">
        <f>IF([2]Baskol!$L$1534="","",[2]Baskol!$L$1534)</f>
        <v/>
      </c>
      <c r="AC1531" t="str">
        <f>IF([2]Baskol!$N$1534="","",[2]Baskol!$N$1534)</f>
        <v/>
      </c>
      <c r="AD1531" t="str">
        <f>IF([2]Baskol!$O$1534="","",[2]Baskol!$O$1534)</f>
        <v/>
      </c>
      <c r="AE1531" t="str">
        <f>IF([3]Entry!$C$1534="","",[3]Entry!$C$1534)</f>
        <v/>
      </c>
      <c r="AF1531" t="str">
        <f>IF([3]Entry!$D$1534="","",[3]Entry!$D$1534)</f>
        <v/>
      </c>
      <c r="AG1531" t="str">
        <f>IF([3]Entry!$E$1534="","",[3]Entry!$E$1534)</f>
        <v/>
      </c>
      <c r="AH1531" t="str">
        <f>IF([3]Entry!$G$1534="","",[3]Entry!$G$1534)</f>
        <v/>
      </c>
      <c r="AI1531" t="str">
        <f>IF([3]Entry!$K$1534="","",[3]Entry!$K$1534)</f>
        <v/>
      </c>
      <c r="AJ1531" t="str">
        <f>IF([3]Entry!$L$1534="","",[3]Entry!$L$1534)</f>
        <v/>
      </c>
      <c r="AK1531" t="str">
        <f>IF([3]Entry!$M$1534="","",[3]Entry!$M$1534)</f>
        <v/>
      </c>
      <c r="AL1531" t="str">
        <f>IF([3]Entry!$N$1534="","",[3]Entry!$N$1534)</f>
        <v/>
      </c>
      <c r="AM1531" t="str">
        <f>IF([3]Entry!$R$1534="","",[3]Entry!$R$1534)</f>
        <v/>
      </c>
    </row>
    <row r="1532" spans="20:39" x14ac:dyDescent="0.2">
      <c r="T1532" t="str">
        <f>IF([2]Baskol!$B$1535="","",[2]Baskol!$B$1535)</f>
        <v/>
      </c>
      <c r="U1532" t="str">
        <f>IF([2]Baskol!$C$1535="","",[2]Baskol!$C$1535)</f>
        <v/>
      </c>
      <c r="V1532" t="str">
        <f>IF([2]Baskol!$D$1535="","",[2]Baskol!$D$1535)</f>
        <v/>
      </c>
      <c r="W1532" t="str">
        <f>IF([2]Baskol!$E$1535="","",[2]Baskol!$E$1535)</f>
        <v/>
      </c>
      <c r="X1532" t="str">
        <f>IF([2]Baskol!$G$1535="","",[2]Baskol!$G$1535)</f>
        <v/>
      </c>
      <c r="Y1532" t="str">
        <f>IF([2]Baskol!$I$1535="","",[2]Baskol!$I$1535)</f>
        <v/>
      </c>
      <c r="Z1532" t="str">
        <f>IF([2]Baskol!$J$1535="","",[2]Baskol!$J$1535)</f>
        <v/>
      </c>
      <c r="AA1532" t="str">
        <f>IF([2]Baskol!$K$1535="","",[2]Baskol!$K$1535)</f>
        <v/>
      </c>
      <c r="AB1532" t="str">
        <f>IF([2]Baskol!$L$1535="","",[2]Baskol!$L$1535)</f>
        <v/>
      </c>
      <c r="AC1532" t="str">
        <f>IF([2]Baskol!$N$1535="","",[2]Baskol!$N$1535)</f>
        <v/>
      </c>
      <c r="AD1532" t="str">
        <f>IF([2]Baskol!$O$1535="","",[2]Baskol!$O$1535)</f>
        <v/>
      </c>
      <c r="AE1532" t="str">
        <f>IF([3]Entry!$C$1535="","",[3]Entry!$C$1535)</f>
        <v/>
      </c>
      <c r="AF1532" t="str">
        <f>IF([3]Entry!$D$1535="","",[3]Entry!$D$1535)</f>
        <v/>
      </c>
      <c r="AG1532" t="str">
        <f>IF([3]Entry!$E$1535="","",[3]Entry!$E$1535)</f>
        <v/>
      </c>
      <c r="AH1532" t="str">
        <f>IF([3]Entry!$G$1535="","",[3]Entry!$G$1535)</f>
        <v/>
      </c>
      <c r="AI1532" t="str">
        <f>IF([3]Entry!$K$1535="","",[3]Entry!$K$1535)</f>
        <v/>
      </c>
      <c r="AJ1532" t="str">
        <f>IF([3]Entry!$L$1535="","",[3]Entry!$L$1535)</f>
        <v/>
      </c>
      <c r="AK1532" t="str">
        <f>IF([3]Entry!$M$1535="","",[3]Entry!$M$1535)</f>
        <v/>
      </c>
      <c r="AL1532" t="str">
        <f>IF([3]Entry!$N$1535="","",[3]Entry!$N$1535)</f>
        <v/>
      </c>
      <c r="AM1532" t="str">
        <f>IF([3]Entry!$R$1535="","",[3]Entry!$R$1535)</f>
        <v/>
      </c>
    </row>
    <row r="1533" spans="20:39" x14ac:dyDescent="0.2">
      <c r="T1533" t="str">
        <f>IF([2]Baskol!$B$1536="","",[2]Baskol!$B$1536)</f>
        <v/>
      </c>
      <c r="U1533" t="str">
        <f>IF([2]Baskol!$C$1536="","",[2]Baskol!$C$1536)</f>
        <v/>
      </c>
      <c r="V1533" t="str">
        <f>IF([2]Baskol!$D$1536="","",[2]Baskol!$D$1536)</f>
        <v/>
      </c>
      <c r="W1533" t="str">
        <f>IF([2]Baskol!$E$1536="","",[2]Baskol!$E$1536)</f>
        <v/>
      </c>
      <c r="X1533" t="str">
        <f>IF([2]Baskol!$G$1536="","",[2]Baskol!$G$1536)</f>
        <v/>
      </c>
      <c r="Y1533" t="str">
        <f>IF([2]Baskol!$I$1536="","",[2]Baskol!$I$1536)</f>
        <v/>
      </c>
      <c r="Z1533" t="str">
        <f>IF([2]Baskol!$J$1536="","",[2]Baskol!$J$1536)</f>
        <v/>
      </c>
      <c r="AA1533" t="str">
        <f>IF([2]Baskol!$K$1536="","",[2]Baskol!$K$1536)</f>
        <v/>
      </c>
      <c r="AB1533" t="str">
        <f>IF([2]Baskol!$L$1536="","",[2]Baskol!$L$1536)</f>
        <v/>
      </c>
      <c r="AC1533" t="str">
        <f>IF([2]Baskol!$N$1536="","",[2]Baskol!$N$1536)</f>
        <v/>
      </c>
      <c r="AD1533" t="str">
        <f>IF([2]Baskol!$O$1536="","",[2]Baskol!$O$1536)</f>
        <v/>
      </c>
      <c r="AE1533" t="str">
        <f>IF([3]Entry!$C$1536="","",[3]Entry!$C$1536)</f>
        <v/>
      </c>
      <c r="AF1533" t="str">
        <f>IF([3]Entry!$D$1536="","",[3]Entry!$D$1536)</f>
        <v/>
      </c>
      <c r="AG1533" t="str">
        <f>IF([3]Entry!$E$1536="","",[3]Entry!$E$1536)</f>
        <v/>
      </c>
      <c r="AH1533" t="str">
        <f>IF([3]Entry!$G$1536="","",[3]Entry!$G$1536)</f>
        <v/>
      </c>
      <c r="AI1533" t="str">
        <f>IF([3]Entry!$K$1536="","",[3]Entry!$K$1536)</f>
        <v/>
      </c>
      <c r="AJ1533" t="str">
        <f>IF([3]Entry!$L$1536="","",[3]Entry!$L$1536)</f>
        <v/>
      </c>
      <c r="AK1533" t="str">
        <f>IF([3]Entry!$M$1536="","",[3]Entry!$M$1536)</f>
        <v/>
      </c>
      <c r="AL1533" t="str">
        <f>IF([3]Entry!$N$1536="","",[3]Entry!$N$1536)</f>
        <v/>
      </c>
      <c r="AM1533" t="str">
        <f>IF([3]Entry!$R$1536="","",[3]Entry!$R$1536)</f>
        <v/>
      </c>
    </row>
    <row r="1534" spans="20:39" x14ac:dyDescent="0.2">
      <c r="T1534" t="str">
        <f>IF([2]Baskol!$B$1537="","",[2]Baskol!$B$1537)</f>
        <v/>
      </c>
      <c r="U1534" t="str">
        <f>IF([2]Baskol!$C$1537="","",[2]Baskol!$C$1537)</f>
        <v/>
      </c>
      <c r="V1534" t="str">
        <f>IF([2]Baskol!$D$1537="","",[2]Baskol!$D$1537)</f>
        <v/>
      </c>
      <c r="W1534" t="str">
        <f>IF([2]Baskol!$E$1537="","",[2]Baskol!$E$1537)</f>
        <v/>
      </c>
      <c r="X1534" t="str">
        <f>IF([2]Baskol!$G$1537="","",[2]Baskol!$G$1537)</f>
        <v/>
      </c>
      <c r="Y1534" t="str">
        <f>IF([2]Baskol!$I$1537="","",[2]Baskol!$I$1537)</f>
        <v/>
      </c>
      <c r="Z1534" t="str">
        <f>IF([2]Baskol!$J$1537="","",[2]Baskol!$J$1537)</f>
        <v/>
      </c>
      <c r="AA1534" t="str">
        <f>IF([2]Baskol!$K$1537="","",[2]Baskol!$K$1537)</f>
        <v/>
      </c>
      <c r="AB1534" t="str">
        <f>IF([2]Baskol!$L$1537="","",[2]Baskol!$L$1537)</f>
        <v/>
      </c>
      <c r="AC1534" t="str">
        <f>IF([2]Baskol!$N$1537="","",[2]Baskol!$N$1537)</f>
        <v/>
      </c>
      <c r="AD1534" t="str">
        <f>IF([2]Baskol!$O$1537="","",[2]Baskol!$O$1537)</f>
        <v/>
      </c>
      <c r="AE1534" t="str">
        <f>IF([3]Entry!$C$1537="","",[3]Entry!$C$1537)</f>
        <v/>
      </c>
      <c r="AF1534" t="str">
        <f>IF([3]Entry!$D$1537="","",[3]Entry!$D$1537)</f>
        <v/>
      </c>
      <c r="AG1534" t="str">
        <f>IF([3]Entry!$E$1537="","",[3]Entry!$E$1537)</f>
        <v/>
      </c>
      <c r="AH1534" t="str">
        <f>IF([3]Entry!$G$1537="","",[3]Entry!$G$1537)</f>
        <v/>
      </c>
      <c r="AI1534" t="str">
        <f>IF([3]Entry!$K$1537="","",[3]Entry!$K$1537)</f>
        <v/>
      </c>
      <c r="AJ1534" t="str">
        <f>IF([3]Entry!$L$1537="","",[3]Entry!$L$1537)</f>
        <v/>
      </c>
      <c r="AK1534" t="str">
        <f>IF([3]Entry!$M$1537="","",[3]Entry!$M$1537)</f>
        <v/>
      </c>
      <c r="AL1534" t="str">
        <f>IF([3]Entry!$N$1537="","",[3]Entry!$N$1537)</f>
        <v/>
      </c>
      <c r="AM1534" t="str">
        <f>IF([3]Entry!$R$1537="","",[3]Entry!$R$1537)</f>
        <v/>
      </c>
    </row>
    <row r="1535" spans="20:39" x14ac:dyDescent="0.2">
      <c r="T1535" t="str">
        <f>IF([2]Baskol!$B$1538="","",[2]Baskol!$B$1538)</f>
        <v/>
      </c>
      <c r="U1535" t="str">
        <f>IF([2]Baskol!$C$1538="","",[2]Baskol!$C$1538)</f>
        <v/>
      </c>
      <c r="V1535" t="str">
        <f>IF([2]Baskol!$D$1538="","",[2]Baskol!$D$1538)</f>
        <v/>
      </c>
      <c r="W1535" t="str">
        <f>IF([2]Baskol!$E$1538="","",[2]Baskol!$E$1538)</f>
        <v/>
      </c>
      <c r="X1535" t="str">
        <f>IF([2]Baskol!$G$1538="","",[2]Baskol!$G$1538)</f>
        <v/>
      </c>
      <c r="Y1535" t="str">
        <f>IF([2]Baskol!$I$1538="","",[2]Baskol!$I$1538)</f>
        <v/>
      </c>
      <c r="Z1535" t="str">
        <f>IF([2]Baskol!$J$1538="","",[2]Baskol!$J$1538)</f>
        <v/>
      </c>
      <c r="AA1535" t="str">
        <f>IF([2]Baskol!$K$1538="","",[2]Baskol!$K$1538)</f>
        <v/>
      </c>
      <c r="AB1535" t="str">
        <f>IF([2]Baskol!$L$1538="","",[2]Baskol!$L$1538)</f>
        <v/>
      </c>
      <c r="AC1535" t="str">
        <f>IF([2]Baskol!$N$1538="","",[2]Baskol!$N$1538)</f>
        <v/>
      </c>
      <c r="AD1535" t="str">
        <f>IF([2]Baskol!$O$1538="","",[2]Baskol!$O$1538)</f>
        <v/>
      </c>
      <c r="AE1535" t="str">
        <f>IF([3]Entry!$C$1538="","",[3]Entry!$C$1538)</f>
        <v/>
      </c>
      <c r="AF1535" t="str">
        <f>IF([3]Entry!$D$1538="","",[3]Entry!$D$1538)</f>
        <v/>
      </c>
      <c r="AG1535" t="str">
        <f>IF([3]Entry!$E$1538="","",[3]Entry!$E$1538)</f>
        <v/>
      </c>
      <c r="AH1535" t="str">
        <f>IF([3]Entry!$G$1538="","",[3]Entry!$G$1538)</f>
        <v/>
      </c>
      <c r="AI1535" t="str">
        <f>IF([3]Entry!$K$1538="","",[3]Entry!$K$1538)</f>
        <v/>
      </c>
      <c r="AJ1535" t="str">
        <f>IF([3]Entry!$L$1538="","",[3]Entry!$L$1538)</f>
        <v/>
      </c>
      <c r="AK1535" t="str">
        <f>IF([3]Entry!$M$1538="","",[3]Entry!$M$1538)</f>
        <v/>
      </c>
      <c r="AL1535" t="str">
        <f>IF([3]Entry!$N$1538="","",[3]Entry!$N$1538)</f>
        <v/>
      </c>
      <c r="AM1535" t="str">
        <f>IF([3]Entry!$R$1538="","",[3]Entry!$R$1538)</f>
        <v/>
      </c>
    </row>
    <row r="1536" spans="20:39" x14ac:dyDescent="0.2">
      <c r="T1536" t="str">
        <f>IF([2]Baskol!$B$1539="","",[2]Baskol!$B$1539)</f>
        <v/>
      </c>
      <c r="U1536" t="str">
        <f>IF([2]Baskol!$C$1539="","",[2]Baskol!$C$1539)</f>
        <v/>
      </c>
      <c r="V1536" t="str">
        <f>IF([2]Baskol!$D$1539="","",[2]Baskol!$D$1539)</f>
        <v/>
      </c>
      <c r="W1536" t="str">
        <f>IF([2]Baskol!$E$1539="","",[2]Baskol!$E$1539)</f>
        <v/>
      </c>
      <c r="X1536" t="str">
        <f>IF([2]Baskol!$G$1539="","",[2]Baskol!$G$1539)</f>
        <v/>
      </c>
      <c r="Y1536" t="str">
        <f>IF([2]Baskol!$I$1539="","",[2]Baskol!$I$1539)</f>
        <v/>
      </c>
      <c r="Z1536" t="str">
        <f>IF([2]Baskol!$J$1539="","",[2]Baskol!$J$1539)</f>
        <v/>
      </c>
      <c r="AA1536" t="str">
        <f>IF([2]Baskol!$K$1539="","",[2]Baskol!$K$1539)</f>
        <v/>
      </c>
      <c r="AB1536" t="str">
        <f>IF([2]Baskol!$L$1539="","",[2]Baskol!$L$1539)</f>
        <v/>
      </c>
      <c r="AC1536" t="str">
        <f>IF([2]Baskol!$N$1539="","",[2]Baskol!$N$1539)</f>
        <v/>
      </c>
      <c r="AD1536" t="str">
        <f>IF([2]Baskol!$O$1539="","",[2]Baskol!$O$1539)</f>
        <v/>
      </c>
      <c r="AE1536" t="str">
        <f>IF([3]Entry!$C$1539="","",[3]Entry!$C$1539)</f>
        <v/>
      </c>
      <c r="AF1536" t="str">
        <f>IF([3]Entry!$D$1539="","",[3]Entry!$D$1539)</f>
        <v/>
      </c>
      <c r="AG1536" t="str">
        <f>IF([3]Entry!$E$1539="","",[3]Entry!$E$1539)</f>
        <v/>
      </c>
      <c r="AH1536" t="str">
        <f>IF([3]Entry!$G$1539="","",[3]Entry!$G$1539)</f>
        <v/>
      </c>
      <c r="AI1536" t="str">
        <f>IF([3]Entry!$K$1539="","",[3]Entry!$K$1539)</f>
        <v/>
      </c>
      <c r="AJ1536" t="str">
        <f>IF([3]Entry!$L$1539="","",[3]Entry!$L$1539)</f>
        <v/>
      </c>
      <c r="AK1536" t="str">
        <f>IF([3]Entry!$M$1539="","",[3]Entry!$M$1539)</f>
        <v/>
      </c>
      <c r="AL1536" t="str">
        <f>IF([3]Entry!$N$1539="","",[3]Entry!$N$1539)</f>
        <v/>
      </c>
      <c r="AM1536" t="str">
        <f>IF([3]Entry!$R$1539="","",[3]Entry!$R$1539)</f>
        <v/>
      </c>
    </row>
    <row r="1537" spans="20:39" x14ac:dyDescent="0.2">
      <c r="T1537" t="str">
        <f>IF([2]Baskol!$B$1540="","",[2]Baskol!$B$1540)</f>
        <v/>
      </c>
      <c r="U1537" t="str">
        <f>IF([2]Baskol!$C$1540="","",[2]Baskol!$C$1540)</f>
        <v/>
      </c>
      <c r="V1537" t="str">
        <f>IF([2]Baskol!$D$1540="","",[2]Baskol!$D$1540)</f>
        <v/>
      </c>
      <c r="W1537" t="str">
        <f>IF([2]Baskol!$E$1540="","",[2]Baskol!$E$1540)</f>
        <v/>
      </c>
      <c r="X1537" t="str">
        <f>IF([2]Baskol!$G$1540="","",[2]Baskol!$G$1540)</f>
        <v/>
      </c>
      <c r="Y1537" t="str">
        <f>IF([2]Baskol!$I$1540="","",[2]Baskol!$I$1540)</f>
        <v/>
      </c>
      <c r="Z1537" t="str">
        <f>IF([2]Baskol!$J$1540="","",[2]Baskol!$J$1540)</f>
        <v/>
      </c>
      <c r="AA1537" t="str">
        <f>IF([2]Baskol!$K$1540="","",[2]Baskol!$K$1540)</f>
        <v/>
      </c>
      <c r="AB1537" t="str">
        <f>IF([2]Baskol!$L$1540="","",[2]Baskol!$L$1540)</f>
        <v/>
      </c>
      <c r="AC1537" t="str">
        <f>IF([2]Baskol!$N$1540="","",[2]Baskol!$N$1540)</f>
        <v/>
      </c>
      <c r="AD1537" t="str">
        <f>IF([2]Baskol!$O$1540="","",[2]Baskol!$O$1540)</f>
        <v/>
      </c>
      <c r="AE1537" t="str">
        <f>IF([3]Entry!$C$1540="","",[3]Entry!$C$1540)</f>
        <v/>
      </c>
      <c r="AF1537" t="str">
        <f>IF([3]Entry!$D$1540="","",[3]Entry!$D$1540)</f>
        <v/>
      </c>
      <c r="AG1537" t="str">
        <f>IF([3]Entry!$E$1540="","",[3]Entry!$E$1540)</f>
        <v/>
      </c>
      <c r="AH1537" t="str">
        <f>IF([3]Entry!$G$1540="","",[3]Entry!$G$1540)</f>
        <v/>
      </c>
      <c r="AI1537" t="str">
        <f>IF([3]Entry!$K$1540="","",[3]Entry!$K$1540)</f>
        <v/>
      </c>
      <c r="AJ1537" t="str">
        <f>IF([3]Entry!$L$1540="","",[3]Entry!$L$1540)</f>
        <v/>
      </c>
      <c r="AK1537" t="str">
        <f>IF([3]Entry!$M$1540="","",[3]Entry!$M$1540)</f>
        <v/>
      </c>
      <c r="AL1537" t="str">
        <f>IF([3]Entry!$N$1540="","",[3]Entry!$N$1540)</f>
        <v/>
      </c>
      <c r="AM1537" t="str">
        <f>IF([3]Entry!$R$1540="","",[3]Entry!$R$1540)</f>
        <v/>
      </c>
    </row>
    <row r="1538" spans="20:39" x14ac:dyDescent="0.2">
      <c r="T1538" t="str">
        <f>IF([2]Baskol!$B$1541="","",[2]Baskol!$B$1541)</f>
        <v/>
      </c>
      <c r="U1538" t="str">
        <f>IF([2]Baskol!$C$1541="","",[2]Baskol!$C$1541)</f>
        <v/>
      </c>
      <c r="V1538" t="str">
        <f>IF([2]Baskol!$D$1541="","",[2]Baskol!$D$1541)</f>
        <v/>
      </c>
      <c r="W1538" t="str">
        <f>IF([2]Baskol!$E$1541="","",[2]Baskol!$E$1541)</f>
        <v/>
      </c>
      <c r="X1538" t="str">
        <f>IF([2]Baskol!$G$1541="","",[2]Baskol!$G$1541)</f>
        <v/>
      </c>
      <c r="Y1538" t="str">
        <f>IF([2]Baskol!$I$1541="","",[2]Baskol!$I$1541)</f>
        <v/>
      </c>
      <c r="Z1538" t="str">
        <f>IF([2]Baskol!$J$1541="","",[2]Baskol!$J$1541)</f>
        <v/>
      </c>
      <c r="AA1538" t="str">
        <f>IF([2]Baskol!$K$1541="","",[2]Baskol!$K$1541)</f>
        <v/>
      </c>
      <c r="AB1538" t="str">
        <f>IF([2]Baskol!$L$1541="","",[2]Baskol!$L$1541)</f>
        <v/>
      </c>
      <c r="AC1538" t="str">
        <f>IF([2]Baskol!$N$1541="","",[2]Baskol!$N$1541)</f>
        <v/>
      </c>
      <c r="AD1538" t="str">
        <f>IF([2]Baskol!$O$1541="","",[2]Baskol!$O$1541)</f>
        <v/>
      </c>
      <c r="AE1538" t="str">
        <f>IF([3]Entry!$C$1541="","",[3]Entry!$C$1541)</f>
        <v/>
      </c>
      <c r="AF1538" t="str">
        <f>IF([3]Entry!$D$1541="","",[3]Entry!$D$1541)</f>
        <v/>
      </c>
      <c r="AG1538" t="str">
        <f>IF([3]Entry!$E$1541="","",[3]Entry!$E$1541)</f>
        <v/>
      </c>
      <c r="AH1538" t="str">
        <f>IF([3]Entry!$G$1541="","",[3]Entry!$G$1541)</f>
        <v/>
      </c>
      <c r="AI1538" t="str">
        <f>IF([3]Entry!$K$1541="","",[3]Entry!$K$1541)</f>
        <v/>
      </c>
      <c r="AJ1538" t="str">
        <f>IF([3]Entry!$L$1541="","",[3]Entry!$L$1541)</f>
        <v/>
      </c>
      <c r="AK1538" t="str">
        <f>IF([3]Entry!$M$1541="","",[3]Entry!$M$1541)</f>
        <v/>
      </c>
      <c r="AL1538" t="str">
        <f>IF([3]Entry!$N$1541="","",[3]Entry!$N$1541)</f>
        <v/>
      </c>
      <c r="AM1538" t="str">
        <f>IF([3]Entry!$R$1541="","",[3]Entry!$R$1541)</f>
        <v/>
      </c>
    </row>
    <row r="1539" spans="20:39" x14ac:dyDescent="0.2">
      <c r="T1539" t="str">
        <f>IF([2]Baskol!$B$1542="","",[2]Baskol!$B$1542)</f>
        <v/>
      </c>
      <c r="U1539" t="str">
        <f>IF([2]Baskol!$C$1542="","",[2]Baskol!$C$1542)</f>
        <v/>
      </c>
      <c r="V1539" t="str">
        <f>IF([2]Baskol!$D$1542="","",[2]Baskol!$D$1542)</f>
        <v/>
      </c>
      <c r="W1539" t="str">
        <f>IF([2]Baskol!$E$1542="","",[2]Baskol!$E$1542)</f>
        <v/>
      </c>
      <c r="X1539" t="str">
        <f>IF([2]Baskol!$G$1542="","",[2]Baskol!$G$1542)</f>
        <v/>
      </c>
      <c r="Y1539" t="str">
        <f>IF([2]Baskol!$I$1542="","",[2]Baskol!$I$1542)</f>
        <v/>
      </c>
      <c r="Z1539" t="str">
        <f>IF([2]Baskol!$J$1542="","",[2]Baskol!$J$1542)</f>
        <v/>
      </c>
      <c r="AA1539" t="str">
        <f>IF([2]Baskol!$K$1542="","",[2]Baskol!$K$1542)</f>
        <v/>
      </c>
      <c r="AB1539" t="str">
        <f>IF([2]Baskol!$L$1542="","",[2]Baskol!$L$1542)</f>
        <v/>
      </c>
      <c r="AC1539" t="str">
        <f>IF([2]Baskol!$N$1542="","",[2]Baskol!$N$1542)</f>
        <v/>
      </c>
      <c r="AD1539" t="str">
        <f>IF([2]Baskol!$O$1542="","",[2]Baskol!$O$1542)</f>
        <v/>
      </c>
      <c r="AE1539" t="str">
        <f>IF([3]Entry!$C$1542="","",[3]Entry!$C$1542)</f>
        <v/>
      </c>
      <c r="AF1539" t="str">
        <f>IF([3]Entry!$D$1542="","",[3]Entry!$D$1542)</f>
        <v/>
      </c>
      <c r="AG1539" t="str">
        <f>IF([3]Entry!$E$1542="","",[3]Entry!$E$1542)</f>
        <v/>
      </c>
      <c r="AH1539" t="str">
        <f>IF([3]Entry!$G$1542="","",[3]Entry!$G$1542)</f>
        <v/>
      </c>
      <c r="AI1539" t="str">
        <f>IF([3]Entry!$K$1542="","",[3]Entry!$K$1542)</f>
        <v/>
      </c>
      <c r="AJ1539" t="str">
        <f>IF([3]Entry!$L$1542="","",[3]Entry!$L$1542)</f>
        <v/>
      </c>
      <c r="AK1539" t="str">
        <f>IF([3]Entry!$M$1542="","",[3]Entry!$M$1542)</f>
        <v/>
      </c>
      <c r="AL1539" t="str">
        <f>IF([3]Entry!$N$1542="","",[3]Entry!$N$1542)</f>
        <v/>
      </c>
      <c r="AM1539" t="str">
        <f>IF([3]Entry!$R$1542="","",[3]Entry!$R$1542)</f>
        <v/>
      </c>
    </row>
    <row r="1540" spans="20:39" x14ac:dyDescent="0.2">
      <c r="T1540" t="str">
        <f>IF([2]Baskol!$B$1543="","",[2]Baskol!$B$1543)</f>
        <v/>
      </c>
      <c r="U1540" t="str">
        <f>IF([2]Baskol!$C$1543="","",[2]Baskol!$C$1543)</f>
        <v/>
      </c>
      <c r="V1540" t="str">
        <f>IF([2]Baskol!$D$1543="","",[2]Baskol!$D$1543)</f>
        <v/>
      </c>
      <c r="W1540" t="str">
        <f>IF([2]Baskol!$E$1543="","",[2]Baskol!$E$1543)</f>
        <v/>
      </c>
      <c r="X1540" t="str">
        <f>IF([2]Baskol!$G$1543="","",[2]Baskol!$G$1543)</f>
        <v/>
      </c>
      <c r="Y1540" t="str">
        <f>IF([2]Baskol!$I$1543="","",[2]Baskol!$I$1543)</f>
        <v/>
      </c>
      <c r="Z1540" t="str">
        <f>IF([2]Baskol!$J$1543="","",[2]Baskol!$J$1543)</f>
        <v/>
      </c>
      <c r="AA1540" t="str">
        <f>IF([2]Baskol!$K$1543="","",[2]Baskol!$K$1543)</f>
        <v/>
      </c>
      <c r="AB1540" t="str">
        <f>IF([2]Baskol!$L$1543="","",[2]Baskol!$L$1543)</f>
        <v/>
      </c>
      <c r="AC1540" t="str">
        <f>IF([2]Baskol!$N$1543="","",[2]Baskol!$N$1543)</f>
        <v/>
      </c>
      <c r="AD1540" t="str">
        <f>IF([2]Baskol!$O$1543="","",[2]Baskol!$O$1543)</f>
        <v/>
      </c>
      <c r="AE1540" t="str">
        <f>IF([3]Entry!$C$1543="","",[3]Entry!$C$1543)</f>
        <v/>
      </c>
      <c r="AF1540" t="str">
        <f>IF([3]Entry!$D$1543="","",[3]Entry!$D$1543)</f>
        <v/>
      </c>
      <c r="AG1540" t="str">
        <f>IF([3]Entry!$E$1543="","",[3]Entry!$E$1543)</f>
        <v/>
      </c>
      <c r="AH1540" t="str">
        <f>IF([3]Entry!$G$1543="","",[3]Entry!$G$1543)</f>
        <v/>
      </c>
      <c r="AI1540" t="str">
        <f>IF([3]Entry!$K$1543="","",[3]Entry!$K$1543)</f>
        <v/>
      </c>
      <c r="AJ1540" t="str">
        <f>IF([3]Entry!$L$1543="","",[3]Entry!$L$1543)</f>
        <v/>
      </c>
      <c r="AK1540" t="str">
        <f>IF([3]Entry!$M$1543="","",[3]Entry!$M$1543)</f>
        <v/>
      </c>
      <c r="AL1540" t="str">
        <f>IF([3]Entry!$N$1543="","",[3]Entry!$N$1543)</f>
        <v/>
      </c>
      <c r="AM1540" t="str">
        <f>IF([3]Entry!$R$1543="","",[3]Entry!$R$1543)</f>
        <v/>
      </c>
    </row>
    <row r="1541" spans="20:39" x14ac:dyDescent="0.2">
      <c r="T1541" t="str">
        <f>IF([2]Baskol!$B$1544="","",[2]Baskol!$B$1544)</f>
        <v/>
      </c>
      <c r="U1541" t="str">
        <f>IF([2]Baskol!$C$1544="","",[2]Baskol!$C$1544)</f>
        <v/>
      </c>
      <c r="V1541" t="str">
        <f>IF([2]Baskol!$D$1544="","",[2]Baskol!$D$1544)</f>
        <v/>
      </c>
      <c r="W1541" t="str">
        <f>IF([2]Baskol!$E$1544="","",[2]Baskol!$E$1544)</f>
        <v/>
      </c>
      <c r="X1541" t="str">
        <f>IF([2]Baskol!$G$1544="","",[2]Baskol!$G$1544)</f>
        <v/>
      </c>
      <c r="Y1541" t="str">
        <f>IF([2]Baskol!$I$1544="","",[2]Baskol!$I$1544)</f>
        <v/>
      </c>
      <c r="Z1541" t="str">
        <f>IF([2]Baskol!$J$1544="","",[2]Baskol!$J$1544)</f>
        <v/>
      </c>
      <c r="AA1541" t="str">
        <f>IF([2]Baskol!$K$1544="","",[2]Baskol!$K$1544)</f>
        <v/>
      </c>
      <c r="AB1541" t="str">
        <f>IF([2]Baskol!$L$1544="","",[2]Baskol!$L$1544)</f>
        <v/>
      </c>
      <c r="AC1541" t="str">
        <f>IF([2]Baskol!$N$1544="","",[2]Baskol!$N$1544)</f>
        <v/>
      </c>
      <c r="AD1541" t="str">
        <f>IF([2]Baskol!$O$1544="","",[2]Baskol!$O$1544)</f>
        <v/>
      </c>
      <c r="AE1541" t="str">
        <f>IF([3]Entry!$C$1544="","",[3]Entry!$C$1544)</f>
        <v/>
      </c>
      <c r="AF1541" t="str">
        <f>IF([3]Entry!$D$1544="","",[3]Entry!$D$1544)</f>
        <v/>
      </c>
      <c r="AG1541" t="str">
        <f>IF([3]Entry!$E$1544="","",[3]Entry!$E$1544)</f>
        <v/>
      </c>
      <c r="AH1541" t="str">
        <f>IF([3]Entry!$G$1544="","",[3]Entry!$G$1544)</f>
        <v/>
      </c>
      <c r="AI1541" t="str">
        <f>IF([3]Entry!$K$1544="","",[3]Entry!$K$1544)</f>
        <v/>
      </c>
      <c r="AJ1541" t="str">
        <f>IF([3]Entry!$L$1544="","",[3]Entry!$L$1544)</f>
        <v/>
      </c>
      <c r="AK1541" t="str">
        <f>IF([3]Entry!$M$1544="","",[3]Entry!$M$1544)</f>
        <v/>
      </c>
      <c r="AL1541" t="str">
        <f>IF([3]Entry!$N$1544="","",[3]Entry!$N$1544)</f>
        <v/>
      </c>
      <c r="AM1541" t="str">
        <f>IF([3]Entry!$R$1544="","",[3]Entry!$R$1544)</f>
        <v/>
      </c>
    </row>
    <row r="1542" spans="20:39" x14ac:dyDescent="0.2">
      <c r="T1542" t="str">
        <f>IF([2]Baskol!$B$1545="","",[2]Baskol!$B$1545)</f>
        <v/>
      </c>
      <c r="U1542" t="str">
        <f>IF([2]Baskol!$C$1545="","",[2]Baskol!$C$1545)</f>
        <v/>
      </c>
      <c r="V1542" t="str">
        <f>IF([2]Baskol!$D$1545="","",[2]Baskol!$D$1545)</f>
        <v/>
      </c>
      <c r="W1542" t="str">
        <f>IF([2]Baskol!$E$1545="","",[2]Baskol!$E$1545)</f>
        <v/>
      </c>
      <c r="X1542" t="str">
        <f>IF([2]Baskol!$G$1545="","",[2]Baskol!$G$1545)</f>
        <v/>
      </c>
      <c r="Y1542" t="str">
        <f>IF([2]Baskol!$I$1545="","",[2]Baskol!$I$1545)</f>
        <v/>
      </c>
      <c r="Z1542" t="str">
        <f>IF([2]Baskol!$J$1545="","",[2]Baskol!$J$1545)</f>
        <v/>
      </c>
      <c r="AA1542" t="str">
        <f>IF([2]Baskol!$K$1545="","",[2]Baskol!$K$1545)</f>
        <v/>
      </c>
      <c r="AB1542" t="str">
        <f>IF([2]Baskol!$L$1545="","",[2]Baskol!$L$1545)</f>
        <v/>
      </c>
      <c r="AC1542" t="str">
        <f>IF([2]Baskol!$N$1545="","",[2]Baskol!$N$1545)</f>
        <v/>
      </c>
      <c r="AD1542" t="str">
        <f>IF([2]Baskol!$O$1545="","",[2]Baskol!$O$1545)</f>
        <v/>
      </c>
      <c r="AE1542" t="str">
        <f>IF([3]Entry!$C$1545="","",[3]Entry!$C$1545)</f>
        <v/>
      </c>
      <c r="AF1542" t="str">
        <f>IF([3]Entry!$D$1545="","",[3]Entry!$D$1545)</f>
        <v/>
      </c>
      <c r="AG1542" t="str">
        <f>IF([3]Entry!$E$1545="","",[3]Entry!$E$1545)</f>
        <v/>
      </c>
      <c r="AH1542" t="str">
        <f>IF([3]Entry!$G$1545="","",[3]Entry!$G$1545)</f>
        <v/>
      </c>
      <c r="AI1542" t="str">
        <f>IF([3]Entry!$K$1545="","",[3]Entry!$K$1545)</f>
        <v/>
      </c>
      <c r="AJ1542" t="str">
        <f>IF([3]Entry!$L$1545="","",[3]Entry!$L$1545)</f>
        <v/>
      </c>
      <c r="AK1542" t="str">
        <f>IF([3]Entry!$M$1545="","",[3]Entry!$M$1545)</f>
        <v/>
      </c>
      <c r="AL1542" t="str">
        <f>IF([3]Entry!$N$1545="","",[3]Entry!$N$1545)</f>
        <v/>
      </c>
      <c r="AM1542" t="str">
        <f>IF([3]Entry!$R$1545="","",[3]Entry!$R$1545)</f>
        <v/>
      </c>
    </row>
    <row r="1543" spans="20:39" x14ac:dyDescent="0.2">
      <c r="T1543" t="str">
        <f>IF([2]Baskol!$B$1546="","",[2]Baskol!$B$1546)</f>
        <v/>
      </c>
      <c r="U1543" t="str">
        <f>IF([2]Baskol!$C$1546="","",[2]Baskol!$C$1546)</f>
        <v/>
      </c>
      <c r="V1543" t="str">
        <f>IF([2]Baskol!$D$1546="","",[2]Baskol!$D$1546)</f>
        <v/>
      </c>
      <c r="W1543" t="str">
        <f>IF([2]Baskol!$E$1546="","",[2]Baskol!$E$1546)</f>
        <v/>
      </c>
      <c r="X1543" t="str">
        <f>IF([2]Baskol!$G$1546="","",[2]Baskol!$G$1546)</f>
        <v/>
      </c>
      <c r="Y1543" t="str">
        <f>IF([2]Baskol!$I$1546="","",[2]Baskol!$I$1546)</f>
        <v/>
      </c>
      <c r="Z1543" t="str">
        <f>IF([2]Baskol!$J$1546="","",[2]Baskol!$J$1546)</f>
        <v/>
      </c>
      <c r="AA1543" t="str">
        <f>IF([2]Baskol!$K$1546="","",[2]Baskol!$K$1546)</f>
        <v/>
      </c>
      <c r="AB1543" t="str">
        <f>IF([2]Baskol!$L$1546="","",[2]Baskol!$L$1546)</f>
        <v/>
      </c>
      <c r="AC1543" t="str">
        <f>IF([2]Baskol!$N$1546="","",[2]Baskol!$N$1546)</f>
        <v/>
      </c>
      <c r="AD1543" t="str">
        <f>IF([2]Baskol!$O$1546="","",[2]Baskol!$O$1546)</f>
        <v/>
      </c>
      <c r="AE1543" t="str">
        <f>IF([3]Entry!$C$1546="","",[3]Entry!$C$1546)</f>
        <v/>
      </c>
      <c r="AF1543" t="str">
        <f>IF([3]Entry!$D$1546="","",[3]Entry!$D$1546)</f>
        <v/>
      </c>
      <c r="AG1543" t="str">
        <f>IF([3]Entry!$E$1546="","",[3]Entry!$E$1546)</f>
        <v/>
      </c>
      <c r="AH1543" t="str">
        <f>IF([3]Entry!$G$1546="","",[3]Entry!$G$1546)</f>
        <v/>
      </c>
      <c r="AI1543" t="str">
        <f>IF([3]Entry!$K$1546="","",[3]Entry!$K$1546)</f>
        <v/>
      </c>
      <c r="AJ1543" t="str">
        <f>IF([3]Entry!$L$1546="","",[3]Entry!$L$1546)</f>
        <v/>
      </c>
      <c r="AK1543" t="str">
        <f>IF([3]Entry!$M$1546="","",[3]Entry!$M$1546)</f>
        <v/>
      </c>
      <c r="AL1543" t="str">
        <f>IF([3]Entry!$N$1546="","",[3]Entry!$N$1546)</f>
        <v/>
      </c>
      <c r="AM1543" t="str">
        <f>IF([3]Entry!$R$1546="","",[3]Entry!$R$1546)</f>
        <v/>
      </c>
    </row>
    <row r="1544" spans="20:39" x14ac:dyDescent="0.2">
      <c r="T1544" t="str">
        <f>IF([2]Baskol!$B$1547="","",[2]Baskol!$B$1547)</f>
        <v/>
      </c>
      <c r="U1544" t="str">
        <f>IF([2]Baskol!$C$1547="","",[2]Baskol!$C$1547)</f>
        <v/>
      </c>
      <c r="V1544" t="str">
        <f>IF([2]Baskol!$D$1547="","",[2]Baskol!$D$1547)</f>
        <v/>
      </c>
      <c r="W1544" t="str">
        <f>IF([2]Baskol!$E$1547="","",[2]Baskol!$E$1547)</f>
        <v/>
      </c>
      <c r="X1544" t="str">
        <f>IF([2]Baskol!$G$1547="","",[2]Baskol!$G$1547)</f>
        <v/>
      </c>
      <c r="Y1544" t="str">
        <f>IF([2]Baskol!$I$1547="","",[2]Baskol!$I$1547)</f>
        <v/>
      </c>
      <c r="Z1544" t="str">
        <f>IF([2]Baskol!$J$1547="","",[2]Baskol!$J$1547)</f>
        <v/>
      </c>
      <c r="AA1544" t="str">
        <f>IF([2]Baskol!$K$1547="","",[2]Baskol!$K$1547)</f>
        <v/>
      </c>
      <c r="AB1544" t="str">
        <f>IF([2]Baskol!$L$1547="","",[2]Baskol!$L$1547)</f>
        <v/>
      </c>
      <c r="AC1544" t="str">
        <f>IF([2]Baskol!$N$1547="","",[2]Baskol!$N$1547)</f>
        <v/>
      </c>
      <c r="AD1544" t="str">
        <f>IF([2]Baskol!$O$1547="","",[2]Baskol!$O$1547)</f>
        <v/>
      </c>
      <c r="AE1544" t="str">
        <f>IF([3]Entry!$C$1547="","",[3]Entry!$C$1547)</f>
        <v/>
      </c>
      <c r="AF1544" t="str">
        <f>IF([3]Entry!$D$1547="","",[3]Entry!$D$1547)</f>
        <v/>
      </c>
      <c r="AG1544" t="str">
        <f>IF([3]Entry!$E$1547="","",[3]Entry!$E$1547)</f>
        <v/>
      </c>
      <c r="AH1544" t="str">
        <f>IF([3]Entry!$G$1547="","",[3]Entry!$G$1547)</f>
        <v/>
      </c>
      <c r="AI1544" t="str">
        <f>IF([3]Entry!$K$1547="","",[3]Entry!$K$1547)</f>
        <v/>
      </c>
      <c r="AJ1544" t="str">
        <f>IF([3]Entry!$L$1547="","",[3]Entry!$L$1547)</f>
        <v/>
      </c>
      <c r="AK1544" t="str">
        <f>IF([3]Entry!$M$1547="","",[3]Entry!$M$1547)</f>
        <v/>
      </c>
      <c r="AL1544" t="str">
        <f>IF([3]Entry!$N$1547="","",[3]Entry!$N$1547)</f>
        <v/>
      </c>
      <c r="AM1544" t="str">
        <f>IF([3]Entry!$R$1547="","",[3]Entry!$R$1547)</f>
        <v/>
      </c>
    </row>
    <row r="1545" spans="20:39" x14ac:dyDescent="0.2">
      <c r="T1545" t="str">
        <f>IF([2]Baskol!$B$1548="","",[2]Baskol!$B$1548)</f>
        <v/>
      </c>
      <c r="U1545" t="str">
        <f>IF([2]Baskol!$C$1548="","",[2]Baskol!$C$1548)</f>
        <v/>
      </c>
      <c r="V1545" t="str">
        <f>IF([2]Baskol!$D$1548="","",[2]Baskol!$D$1548)</f>
        <v/>
      </c>
      <c r="W1545" t="str">
        <f>IF([2]Baskol!$E$1548="","",[2]Baskol!$E$1548)</f>
        <v/>
      </c>
      <c r="X1545" t="str">
        <f>IF([2]Baskol!$G$1548="","",[2]Baskol!$G$1548)</f>
        <v/>
      </c>
      <c r="Y1545" t="str">
        <f>IF([2]Baskol!$I$1548="","",[2]Baskol!$I$1548)</f>
        <v/>
      </c>
      <c r="Z1545" t="str">
        <f>IF([2]Baskol!$J$1548="","",[2]Baskol!$J$1548)</f>
        <v/>
      </c>
      <c r="AA1545" t="str">
        <f>IF([2]Baskol!$K$1548="","",[2]Baskol!$K$1548)</f>
        <v/>
      </c>
      <c r="AB1545" t="str">
        <f>IF([2]Baskol!$L$1548="","",[2]Baskol!$L$1548)</f>
        <v/>
      </c>
      <c r="AC1545" t="str">
        <f>IF([2]Baskol!$N$1548="","",[2]Baskol!$N$1548)</f>
        <v/>
      </c>
      <c r="AD1545" t="str">
        <f>IF([2]Baskol!$O$1548="","",[2]Baskol!$O$1548)</f>
        <v/>
      </c>
      <c r="AE1545" t="str">
        <f>IF([3]Entry!$C$1548="","",[3]Entry!$C$1548)</f>
        <v/>
      </c>
      <c r="AF1545" t="str">
        <f>IF([3]Entry!$D$1548="","",[3]Entry!$D$1548)</f>
        <v/>
      </c>
      <c r="AG1545" t="str">
        <f>IF([3]Entry!$E$1548="","",[3]Entry!$E$1548)</f>
        <v/>
      </c>
      <c r="AH1545" t="str">
        <f>IF([3]Entry!$G$1548="","",[3]Entry!$G$1548)</f>
        <v/>
      </c>
      <c r="AI1545" t="str">
        <f>IF([3]Entry!$K$1548="","",[3]Entry!$K$1548)</f>
        <v/>
      </c>
      <c r="AJ1545" t="str">
        <f>IF([3]Entry!$L$1548="","",[3]Entry!$L$1548)</f>
        <v/>
      </c>
      <c r="AK1545" t="str">
        <f>IF([3]Entry!$M$1548="","",[3]Entry!$M$1548)</f>
        <v/>
      </c>
      <c r="AL1545" t="str">
        <f>IF([3]Entry!$N$1548="","",[3]Entry!$N$1548)</f>
        <v/>
      </c>
      <c r="AM1545" t="str">
        <f>IF([3]Entry!$R$1548="","",[3]Entry!$R$1548)</f>
        <v/>
      </c>
    </row>
    <row r="1546" spans="20:39" x14ac:dyDescent="0.2">
      <c r="T1546" t="str">
        <f>IF([2]Baskol!$B$1549="","",[2]Baskol!$B$1549)</f>
        <v/>
      </c>
      <c r="U1546" t="str">
        <f>IF([2]Baskol!$C$1549="","",[2]Baskol!$C$1549)</f>
        <v/>
      </c>
      <c r="V1546" t="str">
        <f>IF([2]Baskol!$D$1549="","",[2]Baskol!$D$1549)</f>
        <v/>
      </c>
      <c r="W1546" t="str">
        <f>IF([2]Baskol!$E$1549="","",[2]Baskol!$E$1549)</f>
        <v/>
      </c>
      <c r="X1546" t="str">
        <f>IF([2]Baskol!$G$1549="","",[2]Baskol!$G$1549)</f>
        <v/>
      </c>
      <c r="Y1546" t="str">
        <f>IF([2]Baskol!$I$1549="","",[2]Baskol!$I$1549)</f>
        <v/>
      </c>
      <c r="Z1546" t="str">
        <f>IF([2]Baskol!$J$1549="","",[2]Baskol!$J$1549)</f>
        <v/>
      </c>
      <c r="AA1546" t="str">
        <f>IF([2]Baskol!$K$1549="","",[2]Baskol!$K$1549)</f>
        <v/>
      </c>
      <c r="AB1546" t="str">
        <f>IF([2]Baskol!$L$1549="","",[2]Baskol!$L$1549)</f>
        <v/>
      </c>
      <c r="AC1546" t="str">
        <f>IF([2]Baskol!$N$1549="","",[2]Baskol!$N$1549)</f>
        <v/>
      </c>
      <c r="AD1546" t="str">
        <f>IF([2]Baskol!$O$1549="","",[2]Baskol!$O$1549)</f>
        <v/>
      </c>
      <c r="AE1546" t="str">
        <f>IF([3]Entry!$C$1549="","",[3]Entry!$C$1549)</f>
        <v/>
      </c>
      <c r="AF1546" t="str">
        <f>IF([3]Entry!$D$1549="","",[3]Entry!$D$1549)</f>
        <v/>
      </c>
      <c r="AG1546" t="str">
        <f>IF([3]Entry!$E$1549="","",[3]Entry!$E$1549)</f>
        <v/>
      </c>
      <c r="AH1546" t="str">
        <f>IF([3]Entry!$G$1549="","",[3]Entry!$G$1549)</f>
        <v/>
      </c>
      <c r="AI1546" t="str">
        <f>IF([3]Entry!$K$1549="","",[3]Entry!$K$1549)</f>
        <v/>
      </c>
      <c r="AJ1546" t="str">
        <f>IF([3]Entry!$L$1549="","",[3]Entry!$L$1549)</f>
        <v/>
      </c>
      <c r="AK1546" t="str">
        <f>IF([3]Entry!$M$1549="","",[3]Entry!$M$1549)</f>
        <v/>
      </c>
      <c r="AL1546" t="str">
        <f>IF([3]Entry!$N$1549="","",[3]Entry!$N$1549)</f>
        <v/>
      </c>
      <c r="AM1546" t="str">
        <f>IF([3]Entry!$R$1549="","",[3]Entry!$R$1549)</f>
        <v/>
      </c>
    </row>
    <row r="1547" spans="20:39" x14ac:dyDescent="0.2">
      <c r="T1547" t="str">
        <f>IF([2]Baskol!$B$1550="","",[2]Baskol!$B$1550)</f>
        <v/>
      </c>
      <c r="U1547" t="str">
        <f>IF([2]Baskol!$C$1550="","",[2]Baskol!$C$1550)</f>
        <v/>
      </c>
      <c r="V1547" t="str">
        <f>IF([2]Baskol!$D$1550="","",[2]Baskol!$D$1550)</f>
        <v/>
      </c>
      <c r="W1547" t="str">
        <f>IF([2]Baskol!$E$1550="","",[2]Baskol!$E$1550)</f>
        <v/>
      </c>
      <c r="X1547" t="str">
        <f>IF([2]Baskol!$G$1550="","",[2]Baskol!$G$1550)</f>
        <v/>
      </c>
      <c r="Y1547" t="str">
        <f>IF([2]Baskol!$I$1550="","",[2]Baskol!$I$1550)</f>
        <v/>
      </c>
      <c r="Z1547" t="str">
        <f>IF([2]Baskol!$J$1550="","",[2]Baskol!$J$1550)</f>
        <v/>
      </c>
      <c r="AA1547" t="str">
        <f>IF([2]Baskol!$K$1550="","",[2]Baskol!$K$1550)</f>
        <v/>
      </c>
      <c r="AB1547" t="str">
        <f>IF([2]Baskol!$L$1550="","",[2]Baskol!$L$1550)</f>
        <v/>
      </c>
      <c r="AC1547" t="str">
        <f>IF([2]Baskol!$N$1550="","",[2]Baskol!$N$1550)</f>
        <v/>
      </c>
      <c r="AD1547" t="str">
        <f>IF([2]Baskol!$O$1550="","",[2]Baskol!$O$1550)</f>
        <v/>
      </c>
      <c r="AE1547" t="str">
        <f>IF([3]Entry!$C$1550="","",[3]Entry!$C$1550)</f>
        <v/>
      </c>
      <c r="AF1547" t="str">
        <f>IF([3]Entry!$D$1550="","",[3]Entry!$D$1550)</f>
        <v/>
      </c>
      <c r="AG1547" t="str">
        <f>IF([3]Entry!$E$1550="","",[3]Entry!$E$1550)</f>
        <v/>
      </c>
      <c r="AH1547" t="str">
        <f>IF([3]Entry!$G$1550="","",[3]Entry!$G$1550)</f>
        <v/>
      </c>
      <c r="AI1547" t="str">
        <f>IF([3]Entry!$K$1550="","",[3]Entry!$K$1550)</f>
        <v/>
      </c>
      <c r="AJ1547" t="str">
        <f>IF([3]Entry!$L$1550="","",[3]Entry!$L$1550)</f>
        <v/>
      </c>
      <c r="AK1547" t="str">
        <f>IF([3]Entry!$M$1550="","",[3]Entry!$M$1550)</f>
        <v/>
      </c>
      <c r="AL1547" t="str">
        <f>IF([3]Entry!$N$1550="","",[3]Entry!$N$1550)</f>
        <v/>
      </c>
      <c r="AM1547" t="str">
        <f>IF([3]Entry!$R$1550="","",[3]Entry!$R$1550)</f>
        <v/>
      </c>
    </row>
    <row r="1548" spans="20:39" x14ac:dyDescent="0.2">
      <c r="T1548" t="str">
        <f>IF([2]Baskol!$B$1551="","",[2]Baskol!$B$1551)</f>
        <v/>
      </c>
      <c r="U1548" t="str">
        <f>IF([2]Baskol!$C$1551="","",[2]Baskol!$C$1551)</f>
        <v/>
      </c>
      <c r="V1548" t="str">
        <f>IF([2]Baskol!$D$1551="","",[2]Baskol!$D$1551)</f>
        <v/>
      </c>
      <c r="W1548" t="str">
        <f>IF([2]Baskol!$E$1551="","",[2]Baskol!$E$1551)</f>
        <v/>
      </c>
      <c r="X1548" t="str">
        <f>IF([2]Baskol!$G$1551="","",[2]Baskol!$G$1551)</f>
        <v/>
      </c>
      <c r="Y1548" t="str">
        <f>IF([2]Baskol!$I$1551="","",[2]Baskol!$I$1551)</f>
        <v/>
      </c>
      <c r="Z1548" t="str">
        <f>IF([2]Baskol!$J$1551="","",[2]Baskol!$J$1551)</f>
        <v/>
      </c>
      <c r="AA1548" t="str">
        <f>IF([2]Baskol!$K$1551="","",[2]Baskol!$K$1551)</f>
        <v/>
      </c>
      <c r="AB1548" t="str">
        <f>IF([2]Baskol!$L$1551="","",[2]Baskol!$L$1551)</f>
        <v/>
      </c>
      <c r="AC1548" t="str">
        <f>IF([2]Baskol!$N$1551="","",[2]Baskol!$N$1551)</f>
        <v/>
      </c>
      <c r="AD1548" t="str">
        <f>IF([2]Baskol!$O$1551="","",[2]Baskol!$O$1551)</f>
        <v/>
      </c>
      <c r="AE1548" t="str">
        <f>IF([3]Entry!$C$1551="","",[3]Entry!$C$1551)</f>
        <v/>
      </c>
      <c r="AF1548" t="str">
        <f>IF([3]Entry!$D$1551="","",[3]Entry!$D$1551)</f>
        <v/>
      </c>
      <c r="AG1548" t="str">
        <f>IF([3]Entry!$E$1551="","",[3]Entry!$E$1551)</f>
        <v/>
      </c>
      <c r="AH1548" t="str">
        <f>IF([3]Entry!$G$1551="","",[3]Entry!$G$1551)</f>
        <v/>
      </c>
      <c r="AI1548" t="str">
        <f>IF([3]Entry!$K$1551="","",[3]Entry!$K$1551)</f>
        <v/>
      </c>
      <c r="AJ1548" t="str">
        <f>IF([3]Entry!$L$1551="","",[3]Entry!$L$1551)</f>
        <v/>
      </c>
      <c r="AK1548" t="str">
        <f>IF([3]Entry!$M$1551="","",[3]Entry!$M$1551)</f>
        <v/>
      </c>
      <c r="AL1548" t="str">
        <f>IF([3]Entry!$N$1551="","",[3]Entry!$N$1551)</f>
        <v/>
      </c>
      <c r="AM1548" t="str">
        <f>IF([3]Entry!$R$1551="","",[3]Entry!$R$1551)</f>
        <v/>
      </c>
    </row>
    <row r="1549" spans="20:39" x14ac:dyDescent="0.2">
      <c r="T1549" t="str">
        <f>IF([2]Baskol!$B$1552="","",[2]Baskol!$B$1552)</f>
        <v/>
      </c>
      <c r="U1549" t="str">
        <f>IF([2]Baskol!$C$1552="","",[2]Baskol!$C$1552)</f>
        <v/>
      </c>
      <c r="V1549" t="str">
        <f>IF([2]Baskol!$D$1552="","",[2]Baskol!$D$1552)</f>
        <v/>
      </c>
      <c r="W1549" t="str">
        <f>IF([2]Baskol!$E$1552="","",[2]Baskol!$E$1552)</f>
        <v/>
      </c>
      <c r="X1549" t="str">
        <f>IF([2]Baskol!$G$1552="","",[2]Baskol!$G$1552)</f>
        <v/>
      </c>
      <c r="Y1549" t="str">
        <f>IF([2]Baskol!$I$1552="","",[2]Baskol!$I$1552)</f>
        <v/>
      </c>
      <c r="Z1549" t="str">
        <f>IF([2]Baskol!$J$1552="","",[2]Baskol!$J$1552)</f>
        <v/>
      </c>
      <c r="AA1549" t="str">
        <f>IF([2]Baskol!$K$1552="","",[2]Baskol!$K$1552)</f>
        <v/>
      </c>
      <c r="AB1549" t="str">
        <f>IF([2]Baskol!$L$1552="","",[2]Baskol!$L$1552)</f>
        <v/>
      </c>
      <c r="AC1549" t="str">
        <f>IF([2]Baskol!$N$1552="","",[2]Baskol!$N$1552)</f>
        <v/>
      </c>
      <c r="AD1549" t="str">
        <f>IF([2]Baskol!$O$1552="","",[2]Baskol!$O$1552)</f>
        <v/>
      </c>
      <c r="AE1549" t="str">
        <f>IF([3]Entry!$C$1552="","",[3]Entry!$C$1552)</f>
        <v/>
      </c>
      <c r="AF1549" t="str">
        <f>IF([3]Entry!$D$1552="","",[3]Entry!$D$1552)</f>
        <v/>
      </c>
      <c r="AG1549" t="str">
        <f>IF([3]Entry!$E$1552="","",[3]Entry!$E$1552)</f>
        <v/>
      </c>
      <c r="AH1549" t="str">
        <f>IF([3]Entry!$G$1552="","",[3]Entry!$G$1552)</f>
        <v/>
      </c>
      <c r="AI1549" t="str">
        <f>IF([3]Entry!$K$1552="","",[3]Entry!$K$1552)</f>
        <v/>
      </c>
      <c r="AJ1549" t="str">
        <f>IF([3]Entry!$L$1552="","",[3]Entry!$L$1552)</f>
        <v/>
      </c>
      <c r="AK1549" t="str">
        <f>IF([3]Entry!$M$1552="","",[3]Entry!$M$1552)</f>
        <v/>
      </c>
      <c r="AL1549" t="str">
        <f>IF([3]Entry!$N$1552="","",[3]Entry!$N$1552)</f>
        <v/>
      </c>
      <c r="AM1549" t="str">
        <f>IF([3]Entry!$R$1552="","",[3]Entry!$R$1552)</f>
        <v/>
      </c>
    </row>
    <row r="1550" spans="20:39" x14ac:dyDescent="0.2">
      <c r="T1550" t="str">
        <f>IF([2]Baskol!$B$1553="","",[2]Baskol!$B$1553)</f>
        <v/>
      </c>
      <c r="U1550" t="str">
        <f>IF([2]Baskol!$C$1553="","",[2]Baskol!$C$1553)</f>
        <v/>
      </c>
      <c r="V1550" t="str">
        <f>IF([2]Baskol!$D$1553="","",[2]Baskol!$D$1553)</f>
        <v/>
      </c>
      <c r="W1550" t="str">
        <f>IF([2]Baskol!$E$1553="","",[2]Baskol!$E$1553)</f>
        <v/>
      </c>
      <c r="X1550" t="str">
        <f>IF([2]Baskol!$G$1553="","",[2]Baskol!$G$1553)</f>
        <v/>
      </c>
      <c r="Y1550" t="str">
        <f>IF([2]Baskol!$I$1553="","",[2]Baskol!$I$1553)</f>
        <v/>
      </c>
      <c r="Z1550" t="str">
        <f>IF([2]Baskol!$J$1553="","",[2]Baskol!$J$1553)</f>
        <v/>
      </c>
      <c r="AA1550" t="str">
        <f>IF([2]Baskol!$K$1553="","",[2]Baskol!$K$1553)</f>
        <v/>
      </c>
      <c r="AB1550" t="str">
        <f>IF([2]Baskol!$L$1553="","",[2]Baskol!$L$1553)</f>
        <v/>
      </c>
      <c r="AC1550" t="str">
        <f>IF([2]Baskol!$N$1553="","",[2]Baskol!$N$1553)</f>
        <v/>
      </c>
      <c r="AD1550" t="str">
        <f>IF([2]Baskol!$O$1553="","",[2]Baskol!$O$1553)</f>
        <v/>
      </c>
      <c r="AE1550" t="str">
        <f>IF([3]Entry!$C$1553="","",[3]Entry!$C$1553)</f>
        <v/>
      </c>
      <c r="AF1550" t="str">
        <f>IF([3]Entry!$D$1553="","",[3]Entry!$D$1553)</f>
        <v/>
      </c>
      <c r="AG1550" t="str">
        <f>IF([3]Entry!$E$1553="","",[3]Entry!$E$1553)</f>
        <v/>
      </c>
      <c r="AH1550" t="str">
        <f>IF([3]Entry!$G$1553="","",[3]Entry!$G$1553)</f>
        <v/>
      </c>
      <c r="AI1550" t="str">
        <f>IF([3]Entry!$K$1553="","",[3]Entry!$K$1553)</f>
        <v/>
      </c>
      <c r="AJ1550" t="str">
        <f>IF([3]Entry!$L$1553="","",[3]Entry!$L$1553)</f>
        <v/>
      </c>
      <c r="AK1550" t="str">
        <f>IF([3]Entry!$M$1553="","",[3]Entry!$M$1553)</f>
        <v/>
      </c>
      <c r="AL1550" t="str">
        <f>IF([3]Entry!$N$1553="","",[3]Entry!$N$1553)</f>
        <v/>
      </c>
      <c r="AM1550" t="str">
        <f>IF([3]Entry!$R$1553="","",[3]Entry!$R$1553)</f>
        <v/>
      </c>
    </row>
    <row r="1551" spans="20:39" x14ac:dyDescent="0.2">
      <c r="T1551" t="str">
        <f>IF([2]Baskol!$B$1554="","",[2]Baskol!$B$1554)</f>
        <v/>
      </c>
      <c r="U1551" t="str">
        <f>IF([2]Baskol!$C$1554="","",[2]Baskol!$C$1554)</f>
        <v/>
      </c>
      <c r="V1551" t="str">
        <f>IF([2]Baskol!$D$1554="","",[2]Baskol!$D$1554)</f>
        <v/>
      </c>
      <c r="W1551" t="str">
        <f>IF([2]Baskol!$E$1554="","",[2]Baskol!$E$1554)</f>
        <v/>
      </c>
      <c r="X1551" t="str">
        <f>IF([2]Baskol!$G$1554="","",[2]Baskol!$G$1554)</f>
        <v/>
      </c>
      <c r="Y1551" t="str">
        <f>IF([2]Baskol!$I$1554="","",[2]Baskol!$I$1554)</f>
        <v/>
      </c>
      <c r="Z1551" t="str">
        <f>IF([2]Baskol!$J$1554="","",[2]Baskol!$J$1554)</f>
        <v/>
      </c>
      <c r="AA1551" t="str">
        <f>IF([2]Baskol!$K$1554="","",[2]Baskol!$K$1554)</f>
        <v/>
      </c>
      <c r="AB1551" t="str">
        <f>IF([2]Baskol!$L$1554="","",[2]Baskol!$L$1554)</f>
        <v/>
      </c>
      <c r="AC1551" t="str">
        <f>IF([2]Baskol!$N$1554="","",[2]Baskol!$N$1554)</f>
        <v/>
      </c>
      <c r="AD1551" t="str">
        <f>IF([2]Baskol!$O$1554="","",[2]Baskol!$O$1554)</f>
        <v/>
      </c>
      <c r="AE1551" t="str">
        <f>IF([3]Entry!$C$1554="","",[3]Entry!$C$1554)</f>
        <v/>
      </c>
      <c r="AF1551" t="str">
        <f>IF([3]Entry!$D$1554="","",[3]Entry!$D$1554)</f>
        <v/>
      </c>
      <c r="AG1551" t="str">
        <f>IF([3]Entry!$E$1554="","",[3]Entry!$E$1554)</f>
        <v/>
      </c>
      <c r="AH1551" t="str">
        <f>IF([3]Entry!$G$1554="","",[3]Entry!$G$1554)</f>
        <v/>
      </c>
      <c r="AI1551" t="str">
        <f>IF([3]Entry!$K$1554="","",[3]Entry!$K$1554)</f>
        <v/>
      </c>
      <c r="AJ1551" t="str">
        <f>IF([3]Entry!$L$1554="","",[3]Entry!$L$1554)</f>
        <v/>
      </c>
      <c r="AK1551" t="str">
        <f>IF([3]Entry!$M$1554="","",[3]Entry!$M$1554)</f>
        <v/>
      </c>
      <c r="AL1551" t="str">
        <f>IF([3]Entry!$N$1554="","",[3]Entry!$N$1554)</f>
        <v/>
      </c>
      <c r="AM1551" t="str">
        <f>IF([3]Entry!$R$1554="","",[3]Entry!$R$1554)</f>
        <v/>
      </c>
    </row>
    <row r="1552" spans="20:39" x14ac:dyDescent="0.2">
      <c r="T1552" t="str">
        <f>IF([2]Baskol!$B$1555="","",[2]Baskol!$B$1555)</f>
        <v/>
      </c>
      <c r="U1552" t="str">
        <f>IF([2]Baskol!$C$1555="","",[2]Baskol!$C$1555)</f>
        <v/>
      </c>
      <c r="V1552" t="str">
        <f>IF([2]Baskol!$D$1555="","",[2]Baskol!$D$1555)</f>
        <v/>
      </c>
      <c r="W1552" t="str">
        <f>IF([2]Baskol!$E$1555="","",[2]Baskol!$E$1555)</f>
        <v/>
      </c>
      <c r="X1552" t="str">
        <f>IF([2]Baskol!$G$1555="","",[2]Baskol!$G$1555)</f>
        <v/>
      </c>
      <c r="Y1552" t="str">
        <f>IF([2]Baskol!$I$1555="","",[2]Baskol!$I$1555)</f>
        <v/>
      </c>
      <c r="Z1552" t="str">
        <f>IF([2]Baskol!$J$1555="","",[2]Baskol!$J$1555)</f>
        <v/>
      </c>
      <c r="AA1552" t="str">
        <f>IF([2]Baskol!$K$1555="","",[2]Baskol!$K$1555)</f>
        <v/>
      </c>
      <c r="AB1552" t="str">
        <f>IF([2]Baskol!$L$1555="","",[2]Baskol!$L$1555)</f>
        <v/>
      </c>
      <c r="AC1552" t="str">
        <f>IF([2]Baskol!$N$1555="","",[2]Baskol!$N$1555)</f>
        <v/>
      </c>
      <c r="AD1552" t="str">
        <f>IF([2]Baskol!$O$1555="","",[2]Baskol!$O$1555)</f>
        <v/>
      </c>
      <c r="AE1552" t="str">
        <f>IF([3]Entry!$C$1555="","",[3]Entry!$C$1555)</f>
        <v/>
      </c>
      <c r="AF1552" t="str">
        <f>IF([3]Entry!$D$1555="","",[3]Entry!$D$1555)</f>
        <v/>
      </c>
      <c r="AG1552" t="str">
        <f>IF([3]Entry!$E$1555="","",[3]Entry!$E$1555)</f>
        <v/>
      </c>
      <c r="AH1552" t="str">
        <f>IF([3]Entry!$G$1555="","",[3]Entry!$G$1555)</f>
        <v/>
      </c>
      <c r="AI1552" t="str">
        <f>IF([3]Entry!$K$1555="","",[3]Entry!$K$1555)</f>
        <v/>
      </c>
      <c r="AJ1552" t="str">
        <f>IF([3]Entry!$L$1555="","",[3]Entry!$L$1555)</f>
        <v/>
      </c>
      <c r="AK1552" t="str">
        <f>IF([3]Entry!$M$1555="","",[3]Entry!$M$1555)</f>
        <v/>
      </c>
      <c r="AL1552" t="str">
        <f>IF([3]Entry!$N$1555="","",[3]Entry!$N$1555)</f>
        <v/>
      </c>
      <c r="AM1552" t="str">
        <f>IF([3]Entry!$R$1555="","",[3]Entry!$R$1555)</f>
        <v/>
      </c>
    </row>
    <row r="1553" spans="20:39" x14ac:dyDescent="0.2">
      <c r="T1553" t="str">
        <f>IF([2]Baskol!$B$1556="","",[2]Baskol!$B$1556)</f>
        <v/>
      </c>
      <c r="U1553" t="str">
        <f>IF([2]Baskol!$C$1556="","",[2]Baskol!$C$1556)</f>
        <v/>
      </c>
      <c r="V1553" t="str">
        <f>IF([2]Baskol!$D$1556="","",[2]Baskol!$D$1556)</f>
        <v/>
      </c>
      <c r="W1553" t="str">
        <f>IF([2]Baskol!$E$1556="","",[2]Baskol!$E$1556)</f>
        <v/>
      </c>
      <c r="X1553" t="str">
        <f>IF([2]Baskol!$G$1556="","",[2]Baskol!$G$1556)</f>
        <v/>
      </c>
      <c r="Y1553" t="str">
        <f>IF([2]Baskol!$I$1556="","",[2]Baskol!$I$1556)</f>
        <v/>
      </c>
      <c r="Z1553" t="str">
        <f>IF([2]Baskol!$J$1556="","",[2]Baskol!$J$1556)</f>
        <v/>
      </c>
      <c r="AA1553" t="str">
        <f>IF([2]Baskol!$K$1556="","",[2]Baskol!$K$1556)</f>
        <v/>
      </c>
      <c r="AB1553" t="str">
        <f>IF([2]Baskol!$L$1556="","",[2]Baskol!$L$1556)</f>
        <v/>
      </c>
      <c r="AC1553" t="str">
        <f>IF([2]Baskol!$N$1556="","",[2]Baskol!$N$1556)</f>
        <v/>
      </c>
      <c r="AD1553" t="str">
        <f>IF([2]Baskol!$O$1556="","",[2]Baskol!$O$1556)</f>
        <v/>
      </c>
      <c r="AE1553" t="str">
        <f>IF([3]Entry!$C$1556="","",[3]Entry!$C$1556)</f>
        <v/>
      </c>
      <c r="AF1553" t="str">
        <f>IF([3]Entry!$D$1556="","",[3]Entry!$D$1556)</f>
        <v/>
      </c>
      <c r="AG1553" t="str">
        <f>IF([3]Entry!$E$1556="","",[3]Entry!$E$1556)</f>
        <v/>
      </c>
      <c r="AH1553" t="str">
        <f>IF([3]Entry!$G$1556="","",[3]Entry!$G$1556)</f>
        <v/>
      </c>
      <c r="AI1553" t="str">
        <f>IF([3]Entry!$K$1556="","",[3]Entry!$K$1556)</f>
        <v/>
      </c>
      <c r="AJ1553" t="str">
        <f>IF([3]Entry!$L$1556="","",[3]Entry!$L$1556)</f>
        <v/>
      </c>
      <c r="AK1553" t="str">
        <f>IF([3]Entry!$M$1556="","",[3]Entry!$M$1556)</f>
        <v/>
      </c>
      <c r="AL1553" t="str">
        <f>IF([3]Entry!$N$1556="","",[3]Entry!$N$1556)</f>
        <v/>
      </c>
      <c r="AM1553" t="str">
        <f>IF([3]Entry!$R$1556="","",[3]Entry!$R$1556)</f>
        <v/>
      </c>
    </row>
    <row r="1554" spans="20:39" x14ac:dyDescent="0.2">
      <c r="T1554" t="str">
        <f>IF([2]Baskol!$B$1557="","",[2]Baskol!$B$1557)</f>
        <v/>
      </c>
      <c r="U1554" t="str">
        <f>IF([2]Baskol!$C$1557="","",[2]Baskol!$C$1557)</f>
        <v/>
      </c>
      <c r="V1554" t="str">
        <f>IF([2]Baskol!$D$1557="","",[2]Baskol!$D$1557)</f>
        <v/>
      </c>
      <c r="W1554" t="str">
        <f>IF([2]Baskol!$E$1557="","",[2]Baskol!$E$1557)</f>
        <v/>
      </c>
      <c r="X1554" t="str">
        <f>IF([2]Baskol!$G$1557="","",[2]Baskol!$G$1557)</f>
        <v/>
      </c>
      <c r="Y1554" t="str">
        <f>IF([2]Baskol!$I$1557="","",[2]Baskol!$I$1557)</f>
        <v/>
      </c>
      <c r="Z1554" t="str">
        <f>IF([2]Baskol!$J$1557="","",[2]Baskol!$J$1557)</f>
        <v/>
      </c>
      <c r="AA1554" t="str">
        <f>IF([2]Baskol!$K$1557="","",[2]Baskol!$K$1557)</f>
        <v/>
      </c>
      <c r="AB1554" t="str">
        <f>IF([2]Baskol!$L$1557="","",[2]Baskol!$L$1557)</f>
        <v/>
      </c>
      <c r="AC1554" t="str">
        <f>IF([2]Baskol!$N$1557="","",[2]Baskol!$N$1557)</f>
        <v/>
      </c>
      <c r="AD1554" t="str">
        <f>IF([2]Baskol!$O$1557="","",[2]Baskol!$O$1557)</f>
        <v/>
      </c>
      <c r="AE1554" t="str">
        <f>IF([3]Entry!$C$1557="","",[3]Entry!$C$1557)</f>
        <v/>
      </c>
      <c r="AF1554" t="str">
        <f>IF([3]Entry!$D$1557="","",[3]Entry!$D$1557)</f>
        <v/>
      </c>
      <c r="AG1554" t="str">
        <f>IF([3]Entry!$E$1557="","",[3]Entry!$E$1557)</f>
        <v/>
      </c>
      <c r="AH1554" t="str">
        <f>IF([3]Entry!$G$1557="","",[3]Entry!$G$1557)</f>
        <v/>
      </c>
      <c r="AI1554" t="str">
        <f>IF([3]Entry!$K$1557="","",[3]Entry!$K$1557)</f>
        <v/>
      </c>
      <c r="AJ1554" t="str">
        <f>IF([3]Entry!$L$1557="","",[3]Entry!$L$1557)</f>
        <v/>
      </c>
      <c r="AK1554" t="str">
        <f>IF([3]Entry!$M$1557="","",[3]Entry!$M$1557)</f>
        <v/>
      </c>
      <c r="AL1554" t="str">
        <f>IF([3]Entry!$N$1557="","",[3]Entry!$N$1557)</f>
        <v/>
      </c>
      <c r="AM1554" t="str">
        <f>IF([3]Entry!$R$1557="","",[3]Entry!$R$1557)</f>
        <v/>
      </c>
    </row>
    <row r="1555" spans="20:39" x14ac:dyDescent="0.2">
      <c r="T1555" t="str">
        <f>IF([2]Baskol!$B$1558="","",[2]Baskol!$B$1558)</f>
        <v/>
      </c>
      <c r="U1555" t="str">
        <f>IF([2]Baskol!$C$1558="","",[2]Baskol!$C$1558)</f>
        <v/>
      </c>
      <c r="V1555" t="str">
        <f>IF([2]Baskol!$D$1558="","",[2]Baskol!$D$1558)</f>
        <v/>
      </c>
      <c r="W1555" t="str">
        <f>IF([2]Baskol!$E$1558="","",[2]Baskol!$E$1558)</f>
        <v/>
      </c>
      <c r="X1555" t="str">
        <f>IF([2]Baskol!$G$1558="","",[2]Baskol!$G$1558)</f>
        <v/>
      </c>
      <c r="Y1555" t="str">
        <f>IF([2]Baskol!$I$1558="","",[2]Baskol!$I$1558)</f>
        <v/>
      </c>
      <c r="Z1555" t="str">
        <f>IF([2]Baskol!$J$1558="","",[2]Baskol!$J$1558)</f>
        <v/>
      </c>
      <c r="AA1555" t="str">
        <f>IF([2]Baskol!$K$1558="","",[2]Baskol!$K$1558)</f>
        <v/>
      </c>
      <c r="AB1555" t="str">
        <f>IF([2]Baskol!$L$1558="","",[2]Baskol!$L$1558)</f>
        <v/>
      </c>
      <c r="AC1555" t="str">
        <f>IF([2]Baskol!$N$1558="","",[2]Baskol!$N$1558)</f>
        <v/>
      </c>
      <c r="AD1555" t="str">
        <f>IF([2]Baskol!$O$1558="","",[2]Baskol!$O$1558)</f>
        <v/>
      </c>
      <c r="AE1555" t="str">
        <f>IF([3]Entry!$C$1558="","",[3]Entry!$C$1558)</f>
        <v/>
      </c>
      <c r="AF1555" t="str">
        <f>IF([3]Entry!$D$1558="","",[3]Entry!$D$1558)</f>
        <v/>
      </c>
      <c r="AG1555" t="str">
        <f>IF([3]Entry!$E$1558="","",[3]Entry!$E$1558)</f>
        <v/>
      </c>
      <c r="AH1555" t="str">
        <f>IF([3]Entry!$G$1558="","",[3]Entry!$G$1558)</f>
        <v/>
      </c>
      <c r="AI1555" t="str">
        <f>IF([3]Entry!$K$1558="","",[3]Entry!$K$1558)</f>
        <v/>
      </c>
      <c r="AJ1555" t="str">
        <f>IF([3]Entry!$L$1558="","",[3]Entry!$L$1558)</f>
        <v/>
      </c>
      <c r="AK1555" t="str">
        <f>IF([3]Entry!$M$1558="","",[3]Entry!$M$1558)</f>
        <v/>
      </c>
      <c r="AL1555" t="str">
        <f>IF([3]Entry!$N$1558="","",[3]Entry!$N$1558)</f>
        <v/>
      </c>
      <c r="AM1555" t="str">
        <f>IF([3]Entry!$R$1558="","",[3]Entry!$R$1558)</f>
        <v/>
      </c>
    </row>
    <row r="1556" spans="20:39" x14ac:dyDescent="0.2">
      <c r="T1556" t="str">
        <f>IF([2]Baskol!$B$1559="","",[2]Baskol!$B$1559)</f>
        <v/>
      </c>
      <c r="U1556" t="str">
        <f>IF([2]Baskol!$C$1559="","",[2]Baskol!$C$1559)</f>
        <v/>
      </c>
      <c r="V1556" t="str">
        <f>IF([2]Baskol!$D$1559="","",[2]Baskol!$D$1559)</f>
        <v/>
      </c>
      <c r="W1556" t="str">
        <f>IF([2]Baskol!$E$1559="","",[2]Baskol!$E$1559)</f>
        <v/>
      </c>
      <c r="X1556" t="str">
        <f>IF([2]Baskol!$G$1559="","",[2]Baskol!$G$1559)</f>
        <v/>
      </c>
      <c r="Y1556" t="str">
        <f>IF([2]Baskol!$I$1559="","",[2]Baskol!$I$1559)</f>
        <v/>
      </c>
      <c r="Z1556" t="str">
        <f>IF([2]Baskol!$J$1559="","",[2]Baskol!$J$1559)</f>
        <v/>
      </c>
      <c r="AA1556" t="str">
        <f>IF([2]Baskol!$K$1559="","",[2]Baskol!$K$1559)</f>
        <v/>
      </c>
      <c r="AB1556" t="str">
        <f>IF([2]Baskol!$L$1559="","",[2]Baskol!$L$1559)</f>
        <v/>
      </c>
      <c r="AC1556" t="str">
        <f>IF([2]Baskol!$N$1559="","",[2]Baskol!$N$1559)</f>
        <v/>
      </c>
      <c r="AD1556" t="str">
        <f>IF([2]Baskol!$O$1559="","",[2]Baskol!$O$1559)</f>
        <v/>
      </c>
      <c r="AE1556" t="str">
        <f>IF([3]Entry!$C$1559="","",[3]Entry!$C$1559)</f>
        <v/>
      </c>
      <c r="AF1556" t="str">
        <f>IF([3]Entry!$D$1559="","",[3]Entry!$D$1559)</f>
        <v/>
      </c>
      <c r="AG1556" t="str">
        <f>IF([3]Entry!$E$1559="","",[3]Entry!$E$1559)</f>
        <v/>
      </c>
      <c r="AH1556" t="str">
        <f>IF([3]Entry!$G$1559="","",[3]Entry!$G$1559)</f>
        <v/>
      </c>
      <c r="AI1556" t="str">
        <f>IF([3]Entry!$K$1559="","",[3]Entry!$K$1559)</f>
        <v/>
      </c>
      <c r="AJ1556" t="str">
        <f>IF([3]Entry!$L$1559="","",[3]Entry!$L$1559)</f>
        <v/>
      </c>
      <c r="AK1556" t="str">
        <f>IF([3]Entry!$M$1559="","",[3]Entry!$M$1559)</f>
        <v/>
      </c>
      <c r="AL1556" t="str">
        <f>IF([3]Entry!$N$1559="","",[3]Entry!$N$1559)</f>
        <v/>
      </c>
      <c r="AM1556" t="str">
        <f>IF([3]Entry!$R$1559="","",[3]Entry!$R$1559)</f>
        <v/>
      </c>
    </row>
    <row r="1557" spans="20:39" x14ac:dyDescent="0.2">
      <c r="T1557" t="str">
        <f>IF([2]Baskol!$B$1560="","",[2]Baskol!$B$1560)</f>
        <v/>
      </c>
      <c r="U1557" t="str">
        <f>IF([2]Baskol!$C$1560="","",[2]Baskol!$C$1560)</f>
        <v/>
      </c>
      <c r="V1557" t="str">
        <f>IF([2]Baskol!$D$1560="","",[2]Baskol!$D$1560)</f>
        <v/>
      </c>
      <c r="W1557" t="str">
        <f>IF([2]Baskol!$E$1560="","",[2]Baskol!$E$1560)</f>
        <v/>
      </c>
      <c r="X1557" t="str">
        <f>IF([2]Baskol!$G$1560="","",[2]Baskol!$G$1560)</f>
        <v/>
      </c>
      <c r="Y1557" t="str">
        <f>IF([2]Baskol!$I$1560="","",[2]Baskol!$I$1560)</f>
        <v/>
      </c>
      <c r="Z1557" t="str">
        <f>IF([2]Baskol!$J$1560="","",[2]Baskol!$J$1560)</f>
        <v/>
      </c>
      <c r="AA1557" t="str">
        <f>IF([2]Baskol!$K$1560="","",[2]Baskol!$K$1560)</f>
        <v/>
      </c>
      <c r="AB1557" t="str">
        <f>IF([2]Baskol!$L$1560="","",[2]Baskol!$L$1560)</f>
        <v/>
      </c>
      <c r="AC1557" t="str">
        <f>IF([2]Baskol!$N$1560="","",[2]Baskol!$N$1560)</f>
        <v/>
      </c>
      <c r="AD1557" t="str">
        <f>IF([2]Baskol!$O$1560="","",[2]Baskol!$O$1560)</f>
        <v/>
      </c>
      <c r="AE1557" t="str">
        <f>IF([3]Entry!$C$1560="","",[3]Entry!$C$1560)</f>
        <v/>
      </c>
      <c r="AF1557" t="str">
        <f>IF([3]Entry!$D$1560="","",[3]Entry!$D$1560)</f>
        <v/>
      </c>
      <c r="AG1557" t="str">
        <f>IF([3]Entry!$E$1560="","",[3]Entry!$E$1560)</f>
        <v/>
      </c>
      <c r="AH1557" t="str">
        <f>IF([3]Entry!$G$1560="","",[3]Entry!$G$1560)</f>
        <v/>
      </c>
      <c r="AI1557" t="str">
        <f>IF([3]Entry!$K$1560="","",[3]Entry!$K$1560)</f>
        <v/>
      </c>
      <c r="AJ1557" t="str">
        <f>IF([3]Entry!$L$1560="","",[3]Entry!$L$1560)</f>
        <v/>
      </c>
      <c r="AK1557" t="str">
        <f>IF([3]Entry!$M$1560="","",[3]Entry!$M$1560)</f>
        <v/>
      </c>
      <c r="AL1557" t="str">
        <f>IF([3]Entry!$N$1560="","",[3]Entry!$N$1560)</f>
        <v/>
      </c>
      <c r="AM1557" t="str">
        <f>IF([3]Entry!$R$1560="","",[3]Entry!$R$1560)</f>
        <v/>
      </c>
    </row>
    <row r="1558" spans="20:39" x14ac:dyDescent="0.2">
      <c r="T1558" t="str">
        <f>IF([2]Baskol!$B$1561="","",[2]Baskol!$B$1561)</f>
        <v/>
      </c>
      <c r="U1558" t="str">
        <f>IF([2]Baskol!$C$1561="","",[2]Baskol!$C$1561)</f>
        <v/>
      </c>
      <c r="V1558" t="str">
        <f>IF([2]Baskol!$D$1561="","",[2]Baskol!$D$1561)</f>
        <v/>
      </c>
      <c r="W1558" t="str">
        <f>IF([2]Baskol!$E$1561="","",[2]Baskol!$E$1561)</f>
        <v/>
      </c>
      <c r="X1558" t="str">
        <f>IF([2]Baskol!$G$1561="","",[2]Baskol!$G$1561)</f>
        <v/>
      </c>
      <c r="Y1558" t="str">
        <f>IF([2]Baskol!$I$1561="","",[2]Baskol!$I$1561)</f>
        <v/>
      </c>
      <c r="Z1558" t="str">
        <f>IF([2]Baskol!$J$1561="","",[2]Baskol!$J$1561)</f>
        <v/>
      </c>
      <c r="AA1558" t="str">
        <f>IF([2]Baskol!$K$1561="","",[2]Baskol!$K$1561)</f>
        <v/>
      </c>
      <c r="AB1558" t="str">
        <f>IF([2]Baskol!$L$1561="","",[2]Baskol!$L$1561)</f>
        <v/>
      </c>
      <c r="AC1558" t="str">
        <f>IF([2]Baskol!$N$1561="","",[2]Baskol!$N$1561)</f>
        <v/>
      </c>
      <c r="AD1558" t="str">
        <f>IF([2]Baskol!$O$1561="","",[2]Baskol!$O$1561)</f>
        <v/>
      </c>
      <c r="AE1558" t="str">
        <f>IF([3]Entry!$C$1561="","",[3]Entry!$C$1561)</f>
        <v/>
      </c>
      <c r="AF1558" t="str">
        <f>IF([3]Entry!$D$1561="","",[3]Entry!$D$1561)</f>
        <v/>
      </c>
      <c r="AG1558" t="str">
        <f>IF([3]Entry!$E$1561="","",[3]Entry!$E$1561)</f>
        <v/>
      </c>
      <c r="AH1558" t="str">
        <f>IF([3]Entry!$G$1561="","",[3]Entry!$G$1561)</f>
        <v/>
      </c>
      <c r="AI1558" t="str">
        <f>IF([3]Entry!$K$1561="","",[3]Entry!$K$1561)</f>
        <v/>
      </c>
      <c r="AJ1558" t="str">
        <f>IF([3]Entry!$L$1561="","",[3]Entry!$L$1561)</f>
        <v/>
      </c>
      <c r="AK1558" t="str">
        <f>IF([3]Entry!$M$1561="","",[3]Entry!$M$1561)</f>
        <v/>
      </c>
      <c r="AL1558" t="str">
        <f>IF([3]Entry!$N$1561="","",[3]Entry!$N$1561)</f>
        <v/>
      </c>
      <c r="AM1558" t="str">
        <f>IF([3]Entry!$R$1561="","",[3]Entry!$R$1561)</f>
        <v/>
      </c>
    </row>
    <row r="1559" spans="20:39" x14ac:dyDescent="0.2">
      <c r="T1559" t="str">
        <f>IF([2]Baskol!$B$1562="","",[2]Baskol!$B$1562)</f>
        <v/>
      </c>
      <c r="U1559" t="str">
        <f>IF([2]Baskol!$C$1562="","",[2]Baskol!$C$1562)</f>
        <v/>
      </c>
      <c r="V1559" t="str">
        <f>IF([2]Baskol!$D$1562="","",[2]Baskol!$D$1562)</f>
        <v/>
      </c>
      <c r="W1559" t="str">
        <f>IF([2]Baskol!$E$1562="","",[2]Baskol!$E$1562)</f>
        <v/>
      </c>
      <c r="X1559" t="str">
        <f>IF([2]Baskol!$G$1562="","",[2]Baskol!$G$1562)</f>
        <v/>
      </c>
      <c r="Y1559" t="str">
        <f>IF([2]Baskol!$I$1562="","",[2]Baskol!$I$1562)</f>
        <v/>
      </c>
      <c r="Z1559" t="str">
        <f>IF([2]Baskol!$J$1562="","",[2]Baskol!$J$1562)</f>
        <v/>
      </c>
      <c r="AA1559" t="str">
        <f>IF([2]Baskol!$K$1562="","",[2]Baskol!$K$1562)</f>
        <v/>
      </c>
      <c r="AB1559" t="str">
        <f>IF([2]Baskol!$L$1562="","",[2]Baskol!$L$1562)</f>
        <v/>
      </c>
      <c r="AC1559" t="str">
        <f>IF([2]Baskol!$N$1562="","",[2]Baskol!$N$1562)</f>
        <v/>
      </c>
      <c r="AD1559" t="str">
        <f>IF([2]Baskol!$O$1562="","",[2]Baskol!$O$1562)</f>
        <v/>
      </c>
      <c r="AE1559" t="str">
        <f>IF([3]Entry!$C$1562="","",[3]Entry!$C$1562)</f>
        <v/>
      </c>
      <c r="AF1559" t="str">
        <f>IF([3]Entry!$D$1562="","",[3]Entry!$D$1562)</f>
        <v/>
      </c>
      <c r="AG1559" t="str">
        <f>IF([3]Entry!$E$1562="","",[3]Entry!$E$1562)</f>
        <v/>
      </c>
      <c r="AH1559" t="str">
        <f>IF([3]Entry!$G$1562="","",[3]Entry!$G$1562)</f>
        <v/>
      </c>
      <c r="AI1559" t="str">
        <f>IF([3]Entry!$K$1562="","",[3]Entry!$K$1562)</f>
        <v/>
      </c>
      <c r="AJ1559" t="str">
        <f>IF([3]Entry!$L$1562="","",[3]Entry!$L$1562)</f>
        <v/>
      </c>
      <c r="AK1559" t="str">
        <f>IF([3]Entry!$M$1562="","",[3]Entry!$M$1562)</f>
        <v/>
      </c>
      <c r="AL1559" t="str">
        <f>IF([3]Entry!$N$1562="","",[3]Entry!$N$1562)</f>
        <v/>
      </c>
      <c r="AM1559" t="str">
        <f>IF([3]Entry!$R$1562="","",[3]Entry!$R$1562)</f>
        <v/>
      </c>
    </row>
    <row r="1560" spans="20:39" x14ac:dyDescent="0.2">
      <c r="T1560" t="str">
        <f>IF([2]Baskol!$B$1563="","",[2]Baskol!$B$1563)</f>
        <v/>
      </c>
      <c r="U1560" t="str">
        <f>IF([2]Baskol!$C$1563="","",[2]Baskol!$C$1563)</f>
        <v/>
      </c>
      <c r="V1560" t="str">
        <f>IF([2]Baskol!$D$1563="","",[2]Baskol!$D$1563)</f>
        <v/>
      </c>
      <c r="W1560" t="str">
        <f>IF([2]Baskol!$E$1563="","",[2]Baskol!$E$1563)</f>
        <v/>
      </c>
      <c r="X1560" t="str">
        <f>IF([2]Baskol!$G$1563="","",[2]Baskol!$G$1563)</f>
        <v/>
      </c>
      <c r="Y1560" t="str">
        <f>IF([2]Baskol!$I$1563="","",[2]Baskol!$I$1563)</f>
        <v/>
      </c>
      <c r="Z1560" t="str">
        <f>IF([2]Baskol!$J$1563="","",[2]Baskol!$J$1563)</f>
        <v/>
      </c>
      <c r="AA1560" t="str">
        <f>IF([2]Baskol!$K$1563="","",[2]Baskol!$K$1563)</f>
        <v/>
      </c>
      <c r="AB1560" t="str">
        <f>IF([2]Baskol!$L$1563="","",[2]Baskol!$L$1563)</f>
        <v/>
      </c>
      <c r="AC1560" t="str">
        <f>IF([2]Baskol!$N$1563="","",[2]Baskol!$N$1563)</f>
        <v/>
      </c>
      <c r="AD1560" t="str">
        <f>IF([2]Baskol!$O$1563="","",[2]Baskol!$O$1563)</f>
        <v/>
      </c>
      <c r="AE1560" t="str">
        <f>IF([3]Entry!$C$1563="","",[3]Entry!$C$1563)</f>
        <v/>
      </c>
      <c r="AF1560" t="str">
        <f>IF([3]Entry!$D$1563="","",[3]Entry!$D$1563)</f>
        <v/>
      </c>
      <c r="AG1560" t="str">
        <f>IF([3]Entry!$E$1563="","",[3]Entry!$E$1563)</f>
        <v/>
      </c>
      <c r="AH1560" t="str">
        <f>IF([3]Entry!$G$1563="","",[3]Entry!$G$1563)</f>
        <v/>
      </c>
      <c r="AI1560" t="str">
        <f>IF([3]Entry!$K$1563="","",[3]Entry!$K$1563)</f>
        <v/>
      </c>
      <c r="AJ1560" t="str">
        <f>IF([3]Entry!$L$1563="","",[3]Entry!$L$1563)</f>
        <v/>
      </c>
      <c r="AK1560" t="str">
        <f>IF([3]Entry!$M$1563="","",[3]Entry!$M$1563)</f>
        <v/>
      </c>
      <c r="AL1560" t="str">
        <f>IF([3]Entry!$N$1563="","",[3]Entry!$N$1563)</f>
        <v/>
      </c>
      <c r="AM1560" t="str">
        <f>IF([3]Entry!$R$1563="","",[3]Entry!$R$1563)</f>
        <v/>
      </c>
    </row>
    <row r="1561" spans="20:39" x14ac:dyDescent="0.2">
      <c r="T1561" t="str">
        <f>IF([2]Baskol!$B$1564="","",[2]Baskol!$B$1564)</f>
        <v/>
      </c>
      <c r="U1561" t="str">
        <f>IF([2]Baskol!$C$1564="","",[2]Baskol!$C$1564)</f>
        <v/>
      </c>
      <c r="V1561" t="str">
        <f>IF([2]Baskol!$D$1564="","",[2]Baskol!$D$1564)</f>
        <v/>
      </c>
      <c r="W1561" t="str">
        <f>IF([2]Baskol!$E$1564="","",[2]Baskol!$E$1564)</f>
        <v/>
      </c>
      <c r="X1561" t="str">
        <f>IF([2]Baskol!$G$1564="","",[2]Baskol!$G$1564)</f>
        <v/>
      </c>
      <c r="Y1561" t="str">
        <f>IF([2]Baskol!$I$1564="","",[2]Baskol!$I$1564)</f>
        <v/>
      </c>
      <c r="Z1561" t="str">
        <f>IF([2]Baskol!$J$1564="","",[2]Baskol!$J$1564)</f>
        <v/>
      </c>
      <c r="AA1561" t="str">
        <f>IF([2]Baskol!$K$1564="","",[2]Baskol!$K$1564)</f>
        <v/>
      </c>
      <c r="AB1561" t="str">
        <f>IF([2]Baskol!$L$1564="","",[2]Baskol!$L$1564)</f>
        <v/>
      </c>
      <c r="AC1561" t="str">
        <f>IF([2]Baskol!$N$1564="","",[2]Baskol!$N$1564)</f>
        <v/>
      </c>
      <c r="AD1561" t="str">
        <f>IF([2]Baskol!$O$1564="","",[2]Baskol!$O$1564)</f>
        <v/>
      </c>
      <c r="AE1561" t="str">
        <f>IF([3]Entry!$C$1564="","",[3]Entry!$C$1564)</f>
        <v/>
      </c>
      <c r="AF1561" t="str">
        <f>IF([3]Entry!$D$1564="","",[3]Entry!$D$1564)</f>
        <v/>
      </c>
      <c r="AG1561" t="str">
        <f>IF([3]Entry!$E$1564="","",[3]Entry!$E$1564)</f>
        <v/>
      </c>
      <c r="AH1561" t="str">
        <f>IF([3]Entry!$G$1564="","",[3]Entry!$G$1564)</f>
        <v/>
      </c>
      <c r="AI1561" t="str">
        <f>IF([3]Entry!$K$1564="","",[3]Entry!$K$1564)</f>
        <v/>
      </c>
      <c r="AJ1561" t="str">
        <f>IF([3]Entry!$L$1564="","",[3]Entry!$L$1564)</f>
        <v/>
      </c>
      <c r="AK1561" t="str">
        <f>IF([3]Entry!$M$1564="","",[3]Entry!$M$1564)</f>
        <v/>
      </c>
      <c r="AL1561" t="str">
        <f>IF([3]Entry!$N$1564="","",[3]Entry!$N$1564)</f>
        <v/>
      </c>
      <c r="AM1561" t="str">
        <f>IF([3]Entry!$R$1564="","",[3]Entry!$R$1564)</f>
        <v/>
      </c>
    </row>
    <row r="1562" spans="20:39" x14ac:dyDescent="0.2">
      <c r="T1562" t="str">
        <f>IF([2]Baskol!$B$1565="","",[2]Baskol!$B$1565)</f>
        <v/>
      </c>
      <c r="U1562" t="str">
        <f>IF([2]Baskol!$C$1565="","",[2]Baskol!$C$1565)</f>
        <v/>
      </c>
      <c r="V1562" t="str">
        <f>IF([2]Baskol!$D$1565="","",[2]Baskol!$D$1565)</f>
        <v/>
      </c>
      <c r="W1562" t="str">
        <f>IF([2]Baskol!$E$1565="","",[2]Baskol!$E$1565)</f>
        <v/>
      </c>
      <c r="X1562" t="str">
        <f>IF([2]Baskol!$G$1565="","",[2]Baskol!$G$1565)</f>
        <v/>
      </c>
      <c r="Y1562" t="str">
        <f>IF([2]Baskol!$I$1565="","",[2]Baskol!$I$1565)</f>
        <v/>
      </c>
      <c r="Z1562" t="str">
        <f>IF([2]Baskol!$J$1565="","",[2]Baskol!$J$1565)</f>
        <v/>
      </c>
      <c r="AA1562" t="str">
        <f>IF([2]Baskol!$K$1565="","",[2]Baskol!$K$1565)</f>
        <v/>
      </c>
      <c r="AB1562" t="str">
        <f>IF([2]Baskol!$L$1565="","",[2]Baskol!$L$1565)</f>
        <v/>
      </c>
      <c r="AC1562" t="str">
        <f>IF([2]Baskol!$N$1565="","",[2]Baskol!$N$1565)</f>
        <v/>
      </c>
      <c r="AD1562" t="str">
        <f>IF([2]Baskol!$O$1565="","",[2]Baskol!$O$1565)</f>
        <v/>
      </c>
      <c r="AE1562" t="str">
        <f>IF([3]Entry!$C$1565="","",[3]Entry!$C$1565)</f>
        <v/>
      </c>
      <c r="AF1562" t="str">
        <f>IF([3]Entry!$D$1565="","",[3]Entry!$D$1565)</f>
        <v/>
      </c>
      <c r="AG1562" t="str">
        <f>IF([3]Entry!$E$1565="","",[3]Entry!$E$1565)</f>
        <v/>
      </c>
      <c r="AH1562" t="str">
        <f>IF([3]Entry!$G$1565="","",[3]Entry!$G$1565)</f>
        <v/>
      </c>
      <c r="AI1562" t="str">
        <f>IF([3]Entry!$K$1565="","",[3]Entry!$K$1565)</f>
        <v/>
      </c>
      <c r="AJ1562" t="str">
        <f>IF([3]Entry!$L$1565="","",[3]Entry!$L$1565)</f>
        <v/>
      </c>
      <c r="AK1562" t="str">
        <f>IF([3]Entry!$M$1565="","",[3]Entry!$M$1565)</f>
        <v/>
      </c>
      <c r="AL1562" t="str">
        <f>IF([3]Entry!$N$1565="","",[3]Entry!$N$1565)</f>
        <v/>
      </c>
      <c r="AM1562" t="str">
        <f>IF([3]Entry!$R$1565="","",[3]Entry!$R$1565)</f>
        <v/>
      </c>
    </row>
    <row r="1563" spans="20:39" x14ac:dyDescent="0.2">
      <c r="T1563" t="str">
        <f>IF([2]Baskol!$B$1566="","",[2]Baskol!$B$1566)</f>
        <v/>
      </c>
      <c r="U1563" t="str">
        <f>IF([2]Baskol!$C$1566="","",[2]Baskol!$C$1566)</f>
        <v/>
      </c>
      <c r="V1563" t="str">
        <f>IF([2]Baskol!$D$1566="","",[2]Baskol!$D$1566)</f>
        <v/>
      </c>
      <c r="W1563" t="str">
        <f>IF([2]Baskol!$E$1566="","",[2]Baskol!$E$1566)</f>
        <v/>
      </c>
      <c r="X1563" t="str">
        <f>IF([2]Baskol!$G$1566="","",[2]Baskol!$G$1566)</f>
        <v/>
      </c>
      <c r="Y1563" t="str">
        <f>IF([2]Baskol!$I$1566="","",[2]Baskol!$I$1566)</f>
        <v/>
      </c>
      <c r="Z1563" t="str">
        <f>IF([2]Baskol!$J$1566="","",[2]Baskol!$J$1566)</f>
        <v/>
      </c>
      <c r="AA1563" t="str">
        <f>IF([2]Baskol!$K$1566="","",[2]Baskol!$K$1566)</f>
        <v/>
      </c>
      <c r="AB1563" t="str">
        <f>IF([2]Baskol!$L$1566="","",[2]Baskol!$L$1566)</f>
        <v/>
      </c>
      <c r="AC1563" t="str">
        <f>IF([2]Baskol!$N$1566="","",[2]Baskol!$N$1566)</f>
        <v/>
      </c>
      <c r="AD1563" t="str">
        <f>IF([2]Baskol!$O$1566="","",[2]Baskol!$O$1566)</f>
        <v/>
      </c>
      <c r="AE1563" t="str">
        <f>IF([3]Entry!$C$1566="","",[3]Entry!$C$1566)</f>
        <v/>
      </c>
      <c r="AF1563" t="str">
        <f>IF([3]Entry!$D$1566="","",[3]Entry!$D$1566)</f>
        <v/>
      </c>
      <c r="AG1563" t="str">
        <f>IF([3]Entry!$E$1566="","",[3]Entry!$E$1566)</f>
        <v/>
      </c>
      <c r="AH1563" t="str">
        <f>IF([3]Entry!$G$1566="","",[3]Entry!$G$1566)</f>
        <v/>
      </c>
      <c r="AI1563" t="str">
        <f>IF([3]Entry!$K$1566="","",[3]Entry!$K$1566)</f>
        <v/>
      </c>
      <c r="AJ1563" t="str">
        <f>IF([3]Entry!$L$1566="","",[3]Entry!$L$1566)</f>
        <v/>
      </c>
      <c r="AK1563" t="str">
        <f>IF([3]Entry!$M$1566="","",[3]Entry!$M$1566)</f>
        <v/>
      </c>
      <c r="AL1563" t="str">
        <f>IF([3]Entry!$N$1566="","",[3]Entry!$N$1566)</f>
        <v/>
      </c>
      <c r="AM1563" t="str">
        <f>IF([3]Entry!$R$1566="","",[3]Entry!$R$1566)</f>
        <v/>
      </c>
    </row>
    <row r="1564" spans="20:39" x14ac:dyDescent="0.2">
      <c r="T1564" t="str">
        <f>IF([2]Baskol!$B$1567="","",[2]Baskol!$B$1567)</f>
        <v/>
      </c>
      <c r="U1564" t="str">
        <f>IF([2]Baskol!$C$1567="","",[2]Baskol!$C$1567)</f>
        <v/>
      </c>
      <c r="V1564" t="str">
        <f>IF([2]Baskol!$D$1567="","",[2]Baskol!$D$1567)</f>
        <v/>
      </c>
      <c r="W1564" t="str">
        <f>IF([2]Baskol!$E$1567="","",[2]Baskol!$E$1567)</f>
        <v/>
      </c>
      <c r="X1564" t="str">
        <f>IF([2]Baskol!$G$1567="","",[2]Baskol!$G$1567)</f>
        <v/>
      </c>
      <c r="Y1564" t="str">
        <f>IF([2]Baskol!$I$1567="","",[2]Baskol!$I$1567)</f>
        <v/>
      </c>
      <c r="Z1564" t="str">
        <f>IF([2]Baskol!$J$1567="","",[2]Baskol!$J$1567)</f>
        <v/>
      </c>
      <c r="AA1564" t="str">
        <f>IF([2]Baskol!$K$1567="","",[2]Baskol!$K$1567)</f>
        <v/>
      </c>
      <c r="AB1564" t="str">
        <f>IF([2]Baskol!$L$1567="","",[2]Baskol!$L$1567)</f>
        <v/>
      </c>
      <c r="AC1564" t="str">
        <f>IF([2]Baskol!$N$1567="","",[2]Baskol!$N$1567)</f>
        <v/>
      </c>
      <c r="AD1564" t="str">
        <f>IF([2]Baskol!$O$1567="","",[2]Baskol!$O$1567)</f>
        <v/>
      </c>
      <c r="AE1564" t="str">
        <f>IF([3]Entry!$C$1567="","",[3]Entry!$C$1567)</f>
        <v/>
      </c>
      <c r="AF1564" t="str">
        <f>IF([3]Entry!$D$1567="","",[3]Entry!$D$1567)</f>
        <v/>
      </c>
      <c r="AG1564" t="str">
        <f>IF([3]Entry!$E$1567="","",[3]Entry!$E$1567)</f>
        <v/>
      </c>
      <c r="AH1564" t="str">
        <f>IF([3]Entry!$G$1567="","",[3]Entry!$G$1567)</f>
        <v/>
      </c>
      <c r="AI1564" t="str">
        <f>IF([3]Entry!$K$1567="","",[3]Entry!$K$1567)</f>
        <v/>
      </c>
      <c r="AJ1564" t="str">
        <f>IF([3]Entry!$L$1567="","",[3]Entry!$L$1567)</f>
        <v/>
      </c>
      <c r="AK1564" t="str">
        <f>IF([3]Entry!$M$1567="","",[3]Entry!$M$1567)</f>
        <v/>
      </c>
      <c r="AL1564" t="str">
        <f>IF([3]Entry!$N$1567="","",[3]Entry!$N$1567)</f>
        <v/>
      </c>
      <c r="AM1564" t="str">
        <f>IF([3]Entry!$R$1567="","",[3]Entry!$R$1567)</f>
        <v/>
      </c>
    </row>
    <row r="1565" spans="20:39" x14ac:dyDescent="0.2">
      <c r="T1565" t="str">
        <f>IF([2]Baskol!$B$1568="","",[2]Baskol!$B$1568)</f>
        <v/>
      </c>
      <c r="U1565" t="str">
        <f>IF([2]Baskol!$C$1568="","",[2]Baskol!$C$1568)</f>
        <v/>
      </c>
      <c r="V1565" t="str">
        <f>IF([2]Baskol!$D$1568="","",[2]Baskol!$D$1568)</f>
        <v/>
      </c>
      <c r="W1565" t="str">
        <f>IF([2]Baskol!$E$1568="","",[2]Baskol!$E$1568)</f>
        <v/>
      </c>
      <c r="X1565" t="str">
        <f>IF([2]Baskol!$G$1568="","",[2]Baskol!$G$1568)</f>
        <v/>
      </c>
      <c r="Y1565" t="str">
        <f>IF([2]Baskol!$I$1568="","",[2]Baskol!$I$1568)</f>
        <v/>
      </c>
      <c r="Z1565" t="str">
        <f>IF([2]Baskol!$J$1568="","",[2]Baskol!$J$1568)</f>
        <v/>
      </c>
      <c r="AA1565" t="str">
        <f>IF([2]Baskol!$K$1568="","",[2]Baskol!$K$1568)</f>
        <v/>
      </c>
      <c r="AB1565" t="str">
        <f>IF([2]Baskol!$L$1568="","",[2]Baskol!$L$1568)</f>
        <v/>
      </c>
      <c r="AC1565" t="str">
        <f>IF([2]Baskol!$N$1568="","",[2]Baskol!$N$1568)</f>
        <v/>
      </c>
      <c r="AD1565" t="str">
        <f>IF([2]Baskol!$O$1568="","",[2]Baskol!$O$1568)</f>
        <v/>
      </c>
      <c r="AE1565" t="str">
        <f>IF([3]Entry!$C$1568="","",[3]Entry!$C$1568)</f>
        <v/>
      </c>
      <c r="AF1565" t="str">
        <f>IF([3]Entry!$D$1568="","",[3]Entry!$D$1568)</f>
        <v/>
      </c>
      <c r="AG1565" t="str">
        <f>IF([3]Entry!$E$1568="","",[3]Entry!$E$1568)</f>
        <v/>
      </c>
      <c r="AH1565" t="str">
        <f>IF([3]Entry!$G$1568="","",[3]Entry!$G$1568)</f>
        <v/>
      </c>
      <c r="AI1565" t="str">
        <f>IF([3]Entry!$K$1568="","",[3]Entry!$K$1568)</f>
        <v/>
      </c>
      <c r="AJ1565" t="str">
        <f>IF([3]Entry!$L$1568="","",[3]Entry!$L$1568)</f>
        <v/>
      </c>
      <c r="AK1565" t="str">
        <f>IF([3]Entry!$M$1568="","",[3]Entry!$M$1568)</f>
        <v/>
      </c>
      <c r="AL1565" t="str">
        <f>IF([3]Entry!$N$1568="","",[3]Entry!$N$1568)</f>
        <v/>
      </c>
      <c r="AM1565" t="str">
        <f>IF([3]Entry!$R$1568="","",[3]Entry!$R$1568)</f>
        <v/>
      </c>
    </row>
    <row r="1566" spans="20:39" x14ac:dyDescent="0.2">
      <c r="T1566" t="str">
        <f>IF([2]Baskol!$B$1569="","",[2]Baskol!$B$1569)</f>
        <v/>
      </c>
      <c r="U1566" t="str">
        <f>IF([2]Baskol!$C$1569="","",[2]Baskol!$C$1569)</f>
        <v/>
      </c>
      <c r="V1566" t="str">
        <f>IF([2]Baskol!$D$1569="","",[2]Baskol!$D$1569)</f>
        <v/>
      </c>
      <c r="W1566" t="str">
        <f>IF([2]Baskol!$E$1569="","",[2]Baskol!$E$1569)</f>
        <v/>
      </c>
      <c r="X1566" t="str">
        <f>IF([2]Baskol!$G$1569="","",[2]Baskol!$G$1569)</f>
        <v/>
      </c>
      <c r="Y1566" t="str">
        <f>IF([2]Baskol!$I$1569="","",[2]Baskol!$I$1569)</f>
        <v/>
      </c>
      <c r="Z1566" t="str">
        <f>IF([2]Baskol!$J$1569="","",[2]Baskol!$J$1569)</f>
        <v/>
      </c>
      <c r="AA1566" t="str">
        <f>IF([2]Baskol!$K$1569="","",[2]Baskol!$K$1569)</f>
        <v/>
      </c>
      <c r="AB1566" t="str">
        <f>IF([2]Baskol!$L$1569="","",[2]Baskol!$L$1569)</f>
        <v/>
      </c>
      <c r="AC1566" t="str">
        <f>IF([2]Baskol!$N$1569="","",[2]Baskol!$N$1569)</f>
        <v/>
      </c>
      <c r="AD1566" t="str">
        <f>IF([2]Baskol!$O$1569="","",[2]Baskol!$O$1569)</f>
        <v/>
      </c>
      <c r="AE1566" t="str">
        <f>IF([3]Entry!$C$1569="","",[3]Entry!$C$1569)</f>
        <v/>
      </c>
      <c r="AF1566" t="str">
        <f>IF([3]Entry!$D$1569="","",[3]Entry!$D$1569)</f>
        <v/>
      </c>
      <c r="AG1566" t="str">
        <f>IF([3]Entry!$E$1569="","",[3]Entry!$E$1569)</f>
        <v/>
      </c>
      <c r="AH1566" t="str">
        <f>IF([3]Entry!$G$1569="","",[3]Entry!$G$1569)</f>
        <v/>
      </c>
      <c r="AI1566" t="str">
        <f>IF([3]Entry!$K$1569="","",[3]Entry!$K$1569)</f>
        <v/>
      </c>
      <c r="AJ1566" t="str">
        <f>IF([3]Entry!$L$1569="","",[3]Entry!$L$1569)</f>
        <v/>
      </c>
      <c r="AK1566" t="str">
        <f>IF([3]Entry!$M$1569="","",[3]Entry!$M$1569)</f>
        <v/>
      </c>
      <c r="AL1566" t="str">
        <f>IF([3]Entry!$N$1569="","",[3]Entry!$N$1569)</f>
        <v/>
      </c>
      <c r="AM1566" t="str">
        <f>IF([3]Entry!$R$1569="","",[3]Entry!$R$1569)</f>
        <v/>
      </c>
    </row>
    <row r="1567" spans="20:39" x14ac:dyDescent="0.2">
      <c r="T1567" t="str">
        <f>IF([2]Baskol!$B$1570="","",[2]Baskol!$B$1570)</f>
        <v/>
      </c>
      <c r="U1567" t="str">
        <f>IF([2]Baskol!$C$1570="","",[2]Baskol!$C$1570)</f>
        <v/>
      </c>
      <c r="V1567" t="str">
        <f>IF([2]Baskol!$D$1570="","",[2]Baskol!$D$1570)</f>
        <v/>
      </c>
      <c r="W1567" t="str">
        <f>IF([2]Baskol!$E$1570="","",[2]Baskol!$E$1570)</f>
        <v/>
      </c>
      <c r="X1567" t="str">
        <f>IF([2]Baskol!$G$1570="","",[2]Baskol!$G$1570)</f>
        <v/>
      </c>
      <c r="Y1567" t="str">
        <f>IF([2]Baskol!$I$1570="","",[2]Baskol!$I$1570)</f>
        <v/>
      </c>
      <c r="Z1567" t="str">
        <f>IF([2]Baskol!$J$1570="","",[2]Baskol!$J$1570)</f>
        <v/>
      </c>
      <c r="AA1567" t="str">
        <f>IF([2]Baskol!$K$1570="","",[2]Baskol!$K$1570)</f>
        <v/>
      </c>
      <c r="AB1567" t="str">
        <f>IF([2]Baskol!$L$1570="","",[2]Baskol!$L$1570)</f>
        <v/>
      </c>
      <c r="AC1567" t="str">
        <f>IF([2]Baskol!$N$1570="","",[2]Baskol!$N$1570)</f>
        <v/>
      </c>
      <c r="AD1567" t="str">
        <f>IF([2]Baskol!$O$1570="","",[2]Baskol!$O$1570)</f>
        <v/>
      </c>
      <c r="AE1567" t="str">
        <f>IF([3]Entry!$C$1570="","",[3]Entry!$C$1570)</f>
        <v/>
      </c>
      <c r="AF1567" t="str">
        <f>IF([3]Entry!$D$1570="","",[3]Entry!$D$1570)</f>
        <v/>
      </c>
      <c r="AG1567" t="str">
        <f>IF([3]Entry!$E$1570="","",[3]Entry!$E$1570)</f>
        <v/>
      </c>
      <c r="AH1567" t="str">
        <f>IF([3]Entry!$G$1570="","",[3]Entry!$G$1570)</f>
        <v/>
      </c>
      <c r="AI1567" t="str">
        <f>IF([3]Entry!$K$1570="","",[3]Entry!$K$1570)</f>
        <v/>
      </c>
      <c r="AJ1567" t="str">
        <f>IF([3]Entry!$L$1570="","",[3]Entry!$L$1570)</f>
        <v/>
      </c>
      <c r="AK1567" t="str">
        <f>IF([3]Entry!$M$1570="","",[3]Entry!$M$1570)</f>
        <v/>
      </c>
      <c r="AL1567" t="str">
        <f>IF([3]Entry!$N$1570="","",[3]Entry!$N$1570)</f>
        <v/>
      </c>
      <c r="AM1567" t="str">
        <f>IF([3]Entry!$R$1570="","",[3]Entry!$R$1570)</f>
        <v/>
      </c>
    </row>
    <row r="1568" spans="20:39" x14ac:dyDescent="0.2">
      <c r="T1568" t="str">
        <f>IF([2]Baskol!$B$1571="","",[2]Baskol!$B$1571)</f>
        <v/>
      </c>
      <c r="U1568" t="str">
        <f>IF([2]Baskol!$C$1571="","",[2]Baskol!$C$1571)</f>
        <v/>
      </c>
      <c r="V1568" t="str">
        <f>IF([2]Baskol!$D$1571="","",[2]Baskol!$D$1571)</f>
        <v/>
      </c>
      <c r="W1568" t="str">
        <f>IF([2]Baskol!$E$1571="","",[2]Baskol!$E$1571)</f>
        <v/>
      </c>
      <c r="X1568" t="str">
        <f>IF([2]Baskol!$G$1571="","",[2]Baskol!$G$1571)</f>
        <v/>
      </c>
      <c r="Y1568" t="str">
        <f>IF([2]Baskol!$I$1571="","",[2]Baskol!$I$1571)</f>
        <v/>
      </c>
      <c r="Z1568" t="str">
        <f>IF([2]Baskol!$J$1571="","",[2]Baskol!$J$1571)</f>
        <v/>
      </c>
      <c r="AA1568" t="str">
        <f>IF([2]Baskol!$K$1571="","",[2]Baskol!$K$1571)</f>
        <v/>
      </c>
      <c r="AB1568" t="str">
        <f>IF([2]Baskol!$L$1571="","",[2]Baskol!$L$1571)</f>
        <v/>
      </c>
      <c r="AC1568" t="str">
        <f>IF([2]Baskol!$N$1571="","",[2]Baskol!$N$1571)</f>
        <v/>
      </c>
      <c r="AD1568" t="str">
        <f>IF([2]Baskol!$O$1571="","",[2]Baskol!$O$1571)</f>
        <v/>
      </c>
      <c r="AE1568" t="str">
        <f>IF([3]Entry!$C$1571="","",[3]Entry!$C$1571)</f>
        <v/>
      </c>
      <c r="AF1568" t="str">
        <f>IF([3]Entry!$D$1571="","",[3]Entry!$D$1571)</f>
        <v/>
      </c>
      <c r="AG1568" t="str">
        <f>IF([3]Entry!$E$1571="","",[3]Entry!$E$1571)</f>
        <v/>
      </c>
      <c r="AH1568" t="str">
        <f>IF([3]Entry!$G$1571="","",[3]Entry!$G$1571)</f>
        <v/>
      </c>
      <c r="AI1568" t="str">
        <f>IF([3]Entry!$K$1571="","",[3]Entry!$K$1571)</f>
        <v/>
      </c>
      <c r="AJ1568" t="str">
        <f>IF([3]Entry!$L$1571="","",[3]Entry!$L$1571)</f>
        <v/>
      </c>
      <c r="AK1568" t="str">
        <f>IF([3]Entry!$M$1571="","",[3]Entry!$M$1571)</f>
        <v/>
      </c>
      <c r="AL1568" t="str">
        <f>IF([3]Entry!$N$1571="","",[3]Entry!$N$1571)</f>
        <v/>
      </c>
      <c r="AM1568" t="str">
        <f>IF([3]Entry!$R$1571="","",[3]Entry!$R$1571)</f>
        <v/>
      </c>
    </row>
    <row r="1569" spans="20:39" x14ac:dyDescent="0.2">
      <c r="T1569" t="str">
        <f>IF([2]Baskol!$B$1572="","",[2]Baskol!$B$1572)</f>
        <v/>
      </c>
      <c r="U1569" t="str">
        <f>IF([2]Baskol!$C$1572="","",[2]Baskol!$C$1572)</f>
        <v/>
      </c>
      <c r="V1569" t="str">
        <f>IF([2]Baskol!$D$1572="","",[2]Baskol!$D$1572)</f>
        <v/>
      </c>
      <c r="W1569" t="str">
        <f>IF([2]Baskol!$E$1572="","",[2]Baskol!$E$1572)</f>
        <v/>
      </c>
      <c r="X1569" t="str">
        <f>IF([2]Baskol!$G$1572="","",[2]Baskol!$G$1572)</f>
        <v/>
      </c>
      <c r="Y1569" t="str">
        <f>IF([2]Baskol!$I$1572="","",[2]Baskol!$I$1572)</f>
        <v/>
      </c>
      <c r="Z1569" t="str">
        <f>IF([2]Baskol!$J$1572="","",[2]Baskol!$J$1572)</f>
        <v/>
      </c>
      <c r="AA1569" t="str">
        <f>IF([2]Baskol!$K$1572="","",[2]Baskol!$K$1572)</f>
        <v/>
      </c>
      <c r="AB1569" t="str">
        <f>IF([2]Baskol!$L$1572="","",[2]Baskol!$L$1572)</f>
        <v/>
      </c>
      <c r="AC1569" t="str">
        <f>IF([2]Baskol!$N$1572="","",[2]Baskol!$N$1572)</f>
        <v/>
      </c>
      <c r="AD1569" t="str">
        <f>IF([2]Baskol!$O$1572="","",[2]Baskol!$O$1572)</f>
        <v/>
      </c>
      <c r="AE1569" t="str">
        <f>IF([3]Entry!$C$1572="","",[3]Entry!$C$1572)</f>
        <v/>
      </c>
      <c r="AF1569" t="str">
        <f>IF([3]Entry!$D$1572="","",[3]Entry!$D$1572)</f>
        <v/>
      </c>
      <c r="AG1569" t="str">
        <f>IF([3]Entry!$E$1572="","",[3]Entry!$E$1572)</f>
        <v/>
      </c>
      <c r="AH1569" t="str">
        <f>IF([3]Entry!$G$1572="","",[3]Entry!$G$1572)</f>
        <v/>
      </c>
      <c r="AI1569" t="str">
        <f>IF([3]Entry!$K$1572="","",[3]Entry!$K$1572)</f>
        <v/>
      </c>
      <c r="AJ1569" t="str">
        <f>IF([3]Entry!$L$1572="","",[3]Entry!$L$1572)</f>
        <v/>
      </c>
      <c r="AK1569" t="str">
        <f>IF([3]Entry!$M$1572="","",[3]Entry!$M$1572)</f>
        <v/>
      </c>
      <c r="AL1569" t="str">
        <f>IF([3]Entry!$N$1572="","",[3]Entry!$N$1572)</f>
        <v/>
      </c>
      <c r="AM1569" t="str">
        <f>IF([3]Entry!$R$1572="","",[3]Entry!$R$1572)</f>
        <v/>
      </c>
    </row>
    <row r="1570" spans="20:39" x14ac:dyDescent="0.2">
      <c r="T1570" t="str">
        <f>IF([2]Baskol!$B$1573="","",[2]Baskol!$B$1573)</f>
        <v/>
      </c>
      <c r="U1570" t="str">
        <f>IF([2]Baskol!$C$1573="","",[2]Baskol!$C$1573)</f>
        <v/>
      </c>
      <c r="V1570" t="str">
        <f>IF([2]Baskol!$D$1573="","",[2]Baskol!$D$1573)</f>
        <v/>
      </c>
      <c r="W1570" t="str">
        <f>IF([2]Baskol!$E$1573="","",[2]Baskol!$E$1573)</f>
        <v/>
      </c>
      <c r="X1570" t="str">
        <f>IF([2]Baskol!$G$1573="","",[2]Baskol!$G$1573)</f>
        <v/>
      </c>
      <c r="Y1570" t="str">
        <f>IF([2]Baskol!$I$1573="","",[2]Baskol!$I$1573)</f>
        <v/>
      </c>
      <c r="Z1570" t="str">
        <f>IF([2]Baskol!$J$1573="","",[2]Baskol!$J$1573)</f>
        <v/>
      </c>
      <c r="AA1570" t="str">
        <f>IF([2]Baskol!$K$1573="","",[2]Baskol!$K$1573)</f>
        <v/>
      </c>
      <c r="AB1570" t="str">
        <f>IF([2]Baskol!$L$1573="","",[2]Baskol!$L$1573)</f>
        <v/>
      </c>
      <c r="AC1570" t="str">
        <f>IF([2]Baskol!$N$1573="","",[2]Baskol!$N$1573)</f>
        <v/>
      </c>
      <c r="AD1570" t="str">
        <f>IF([2]Baskol!$O$1573="","",[2]Baskol!$O$1573)</f>
        <v/>
      </c>
      <c r="AE1570" t="str">
        <f>IF([3]Entry!$C$1573="","",[3]Entry!$C$1573)</f>
        <v/>
      </c>
      <c r="AF1570" t="str">
        <f>IF([3]Entry!$D$1573="","",[3]Entry!$D$1573)</f>
        <v/>
      </c>
      <c r="AG1570" t="str">
        <f>IF([3]Entry!$E$1573="","",[3]Entry!$E$1573)</f>
        <v/>
      </c>
      <c r="AH1570" t="str">
        <f>IF([3]Entry!$G$1573="","",[3]Entry!$G$1573)</f>
        <v/>
      </c>
      <c r="AI1570" t="str">
        <f>IF([3]Entry!$K$1573="","",[3]Entry!$K$1573)</f>
        <v/>
      </c>
      <c r="AJ1570" t="str">
        <f>IF([3]Entry!$L$1573="","",[3]Entry!$L$1573)</f>
        <v/>
      </c>
      <c r="AK1570" t="str">
        <f>IF([3]Entry!$M$1573="","",[3]Entry!$M$1573)</f>
        <v/>
      </c>
      <c r="AL1570" t="str">
        <f>IF([3]Entry!$N$1573="","",[3]Entry!$N$1573)</f>
        <v/>
      </c>
      <c r="AM1570" t="str">
        <f>IF([3]Entry!$R$1573="","",[3]Entry!$R$1573)</f>
        <v/>
      </c>
    </row>
    <row r="1571" spans="20:39" x14ac:dyDescent="0.2">
      <c r="T1571" t="str">
        <f>IF([2]Baskol!$B$1574="","",[2]Baskol!$B$1574)</f>
        <v/>
      </c>
      <c r="U1571" t="str">
        <f>IF([2]Baskol!$C$1574="","",[2]Baskol!$C$1574)</f>
        <v/>
      </c>
      <c r="V1571" t="str">
        <f>IF([2]Baskol!$D$1574="","",[2]Baskol!$D$1574)</f>
        <v/>
      </c>
      <c r="W1571" t="str">
        <f>IF([2]Baskol!$E$1574="","",[2]Baskol!$E$1574)</f>
        <v/>
      </c>
      <c r="X1571" t="str">
        <f>IF([2]Baskol!$G$1574="","",[2]Baskol!$G$1574)</f>
        <v/>
      </c>
      <c r="Y1571" t="str">
        <f>IF([2]Baskol!$I$1574="","",[2]Baskol!$I$1574)</f>
        <v/>
      </c>
      <c r="Z1571" t="str">
        <f>IF([2]Baskol!$J$1574="","",[2]Baskol!$J$1574)</f>
        <v/>
      </c>
      <c r="AA1571" t="str">
        <f>IF([2]Baskol!$K$1574="","",[2]Baskol!$K$1574)</f>
        <v/>
      </c>
      <c r="AB1571" t="str">
        <f>IF([2]Baskol!$L$1574="","",[2]Baskol!$L$1574)</f>
        <v/>
      </c>
      <c r="AC1571" t="str">
        <f>IF([2]Baskol!$N$1574="","",[2]Baskol!$N$1574)</f>
        <v/>
      </c>
      <c r="AD1571" t="str">
        <f>IF([2]Baskol!$O$1574="","",[2]Baskol!$O$1574)</f>
        <v/>
      </c>
      <c r="AE1571" t="str">
        <f>IF([3]Entry!$C$1574="","",[3]Entry!$C$1574)</f>
        <v/>
      </c>
      <c r="AF1571" t="str">
        <f>IF([3]Entry!$D$1574="","",[3]Entry!$D$1574)</f>
        <v/>
      </c>
      <c r="AG1571" t="str">
        <f>IF([3]Entry!$E$1574="","",[3]Entry!$E$1574)</f>
        <v/>
      </c>
      <c r="AH1571" t="str">
        <f>IF([3]Entry!$G$1574="","",[3]Entry!$G$1574)</f>
        <v/>
      </c>
      <c r="AI1571" t="str">
        <f>IF([3]Entry!$K$1574="","",[3]Entry!$K$1574)</f>
        <v/>
      </c>
      <c r="AJ1571" t="str">
        <f>IF([3]Entry!$L$1574="","",[3]Entry!$L$1574)</f>
        <v/>
      </c>
      <c r="AK1571" t="str">
        <f>IF([3]Entry!$M$1574="","",[3]Entry!$M$1574)</f>
        <v/>
      </c>
      <c r="AL1571" t="str">
        <f>IF([3]Entry!$N$1574="","",[3]Entry!$N$1574)</f>
        <v/>
      </c>
      <c r="AM1571" t="str">
        <f>IF([3]Entry!$R$1574="","",[3]Entry!$R$1574)</f>
        <v/>
      </c>
    </row>
    <row r="1572" spans="20:39" x14ac:dyDescent="0.2">
      <c r="T1572" t="str">
        <f>IF([2]Baskol!$B$1575="","",[2]Baskol!$B$1575)</f>
        <v/>
      </c>
      <c r="U1572" t="str">
        <f>IF([2]Baskol!$C$1575="","",[2]Baskol!$C$1575)</f>
        <v/>
      </c>
      <c r="V1572" t="str">
        <f>IF([2]Baskol!$D$1575="","",[2]Baskol!$D$1575)</f>
        <v/>
      </c>
      <c r="W1572" t="str">
        <f>IF([2]Baskol!$E$1575="","",[2]Baskol!$E$1575)</f>
        <v/>
      </c>
      <c r="X1572" t="str">
        <f>IF([2]Baskol!$G$1575="","",[2]Baskol!$G$1575)</f>
        <v/>
      </c>
      <c r="Y1572" t="str">
        <f>IF([2]Baskol!$I$1575="","",[2]Baskol!$I$1575)</f>
        <v/>
      </c>
      <c r="Z1572" t="str">
        <f>IF([2]Baskol!$J$1575="","",[2]Baskol!$J$1575)</f>
        <v/>
      </c>
      <c r="AA1572" t="str">
        <f>IF([2]Baskol!$K$1575="","",[2]Baskol!$K$1575)</f>
        <v/>
      </c>
      <c r="AB1572" t="str">
        <f>IF([2]Baskol!$L$1575="","",[2]Baskol!$L$1575)</f>
        <v/>
      </c>
      <c r="AC1572" t="str">
        <f>IF([2]Baskol!$N$1575="","",[2]Baskol!$N$1575)</f>
        <v/>
      </c>
      <c r="AD1572" t="str">
        <f>IF([2]Baskol!$O$1575="","",[2]Baskol!$O$1575)</f>
        <v/>
      </c>
      <c r="AE1572" t="str">
        <f>IF([3]Entry!$C$1575="","",[3]Entry!$C$1575)</f>
        <v/>
      </c>
      <c r="AF1572" t="str">
        <f>IF([3]Entry!$D$1575="","",[3]Entry!$D$1575)</f>
        <v/>
      </c>
      <c r="AG1572" t="str">
        <f>IF([3]Entry!$E$1575="","",[3]Entry!$E$1575)</f>
        <v/>
      </c>
      <c r="AH1572" t="str">
        <f>IF([3]Entry!$G$1575="","",[3]Entry!$G$1575)</f>
        <v/>
      </c>
      <c r="AI1572" t="str">
        <f>IF([3]Entry!$K$1575="","",[3]Entry!$K$1575)</f>
        <v/>
      </c>
      <c r="AJ1572" t="str">
        <f>IF([3]Entry!$L$1575="","",[3]Entry!$L$1575)</f>
        <v/>
      </c>
      <c r="AK1572" t="str">
        <f>IF([3]Entry!$M$1575="","",[3]Entry!$M$1575)</f>
        <v/>
      </c>
      <c r="AL1572" t="str">
        <f>IF([3]Entry!$N$1575="","",[3]Entry!$N$1575)</f>
        <v/>
      </c>
      <c r="AM1572" t="str">
        <f>IF([3]Entry!$R$1575="","",[3]Entry!$R$1575)</f>
        <v/>
      </c>
    </row>
    <row r="1573" spans="20:39" x14ac:dyDescent="0.2">
      <c r="T1573" t="str">
        <f>IF([2]Baskol!$B$1576="","",[2]Baskol!$B$1576)</f>
        <v/>
      </c>
      <c r="U1573" t="str">
        <f>IF([2]Baskol!$C$1576="","",[2]Baskol!$C$1576)</f>
        <v/>
      </c>
      <c r="V1573" t="str">
        <f>IF([2]Baskol!$D$1576="","",[2]Baskol!$D$1576)</f>
        <v/>
      </c>
      <c r="W1573" t="str">
        <f>IF([2]Baskol!$E$1576="","",[2]Baskol!$E$1576)</f>
        <v/>
      </c>
      <c r="X1573" t="str">
        <f>IF([2]Baskol!$G$1576="","",[2]Baskol!$G$1576)</f>
        <v/>
      </c>
      <c r="Y1573" t="str">
        <f>IF([2]Baskol!$I$1576="","",[2]Baskol!$I$1576)</f>
        <v/>
      </c>
      <c r="Z1573" t="str">
        <f>IF([2]Baskol!$J$1576="","",[2]Baskol!$J$1576)</f>
        <v/>
      </c>
      <c r="AA1573" t="str">
        <f>IF([2]Baskol!$K$1576="","",[2]Baskol!$K$1576)</f>
        <v/>
      </c>
      <c r="AB1573" t="str">
        <f>IF([2]Baskol!$L$1576="","",[2]Baskol!$L$1576)</f>
        <v/>
      </c>
      <c r="AC1573" t="str">
        <f>IF([2]Baskol!$N$1576="","",[2]Baskol!$N$1576)</f>
        <v/>
      </c>
      <c r="AD1573" t="str">
        <f>IF([2]Baskol!$O$1576="","",[2]Baskol!$O$1576)</f>
        <v/>
      </c>
      <c r="AE1573" t="str">
        <f>IF([3]Entry!$C$1576="","",[3]Entry!$C$1576)</f>
        <v/>
      </c>
      <c r="AF1573" t="str">
        <f>IF([3]Entry!$D$1576="","",[3]Entry!$D$1576)</f>
        <v/>
      </c>
      <c r="AG1573" t="str">
        <f>IF([3]Entry!$E$1576="","",[3]Entry!$E$1576)</f>
        <v/>
      </c>
      <c r="AH1573" t="str">
        <f>IF([3]Entry!$G$1576="","",[3]Entry!$G$1576)</f>
        <v/>
      </c>
      <c r="AI1573" t="str">
        <f>IF([3]Entry!$K$1576="","",[3]Entry!$K$1576)</f>
        <v/>
      </c>
      <c r="AJ1573" t="str">
        <f>IF([3]Entry!$L$1576="","",[3]Entry!$L$1576)</f>
        <v/>
      </c>
      <c r="AK1573" t="str">
        <f>IF([3]Entry!$M$1576="","",[3]Entry!$M$1576)</f>
        <v/>
      </c>
      <c r="AL1573" t="str">
        <f>IF([3]Entry!$N$1576="","",[3]Entry!$N$1576)</f>
        <v/>
      </c>
      <c r="AM1573" t="str">
        <f>IF([3]Entry!$R$1576="","",[3]Entry!$R$1576)</f>
        <v/>
      </c>
    </row>
    <row r="1574" spans="20:39" x14ac:dyDescent="0.2">
      <c r="T1574" t="str">
        <f>IF([2]Baskol!$B$1577="","",[2]Baskol!$B$1577)</f>
        <v/>
      </c>
      <c r="U1574" t="str">
        <f>IF([2]Baskol!$C$1577="","",[2]Baskol!$C$1577)</f>
        <v/>
      </c>
      <c r="V1574" t="str">
        <f>IF([2]Baskol!$D$1577="","",[2]Baskol!$D$1577)</f>
        <v/>
      </c>
      <c r="W1574" t="str">
        <f>IF([2]Baskol!$E$1577="","",[2]Baskol!$E$1577)</f>
        <v/>
      </c>
      <c r="X1574" t="str">
        <f>IF([2]Baskol!$G$1577="","",[2]Baskol!$G$1577)</f>
        <v/>
      </c>
      <c r="Y1574" t="str">
        <f>IF([2]Baskol!$I$1577="","",[2]Baskol!$I$1577)</f>
        <v/>
      </c>
      <c r="Z1574" t="str">
        <f>IF([2]Baskol!$J$1577="","",[2]Baskol!$J$1577)</f>
        <v/>
      </c>
      <c r="AA1574" t="str">
        <f>IF([2]Baskol!$K$1577="","",[2]Baskol!$K$1577)</f>
        <v/>
      </c>
      <c r="AB1574" t="str">
        <f>IF([2]Baskol!$L$1577="","",[2]Baskol!$L$1577)</f>
        <v/>
      </c>
      <c r="AC1574" t="str">
        <f>IF([2]Baskol!$N$1577="","",[2]Baskol!$N$1577)</f>
        <v/>
      </c>
      <c r="AD1574" t="str">
        <f>IF([2]Baskol!$O$1577="","",[2]Baskol!$O$1577)</f>
        <v/>
      </c>
      <c r="AE1574" t="str">
        <f>IF([3]Entry!$C$1577="","",[3]Entry!$C$1577)</f>
        <v/>
      </c>
      <c r="AF1574" t="str">
        <f>IF([3]Entry!$D$1577="","",[3]Entry!$D$1577)</f>
        <v/>
      </c>
      <c r="AG1574" t="str">
        <f>IF([3]Entry!$E$1577="","",[3]Entry!$E$1577)</f>
        <v/>
      </c>
      <c r="AH1574" t="str">
        <f>IF([3]Entry!$G$1577="","",[3]Entry!$G$1577)</f>
        <v/>
      </c>
      <c r="AI1574" t="str">
        <f>IF([3]Entry!$K$1577="","",[3]Entry!$K$1577)</f>
        <v/>
      </c>
      <c r="AJ1574" t="str">
        <f>IF([3]Entry!$L$1577="","",[3]Entry!$L$1577)</f>
        <v/>
      </c>
      <c r="AK1574" t="str">
        <f>IF([3]Entry!$M$1577="","",[3]Entry!$M$1577)</f>
        <v/>
      </c>
      <c r="AL1574" t="str">
        <f>IF([3]Entry!$N$1577="","",[3]Entry!$N$1577)</f>
        <v/>
      </c>
      <c r="AM1574" t="str">
        <f>IF([3]Entry!$R$1577="","",[3]Entry!$R$1577)</f>
        <v/>
      </c>
    </row>
    <row r="1575" spans="20:39" x14ac:dyDescent="0.2">
      <c r="T1575" t="str">
        <f>IF([2]Baskol!$B$1578="","",[2]Baskol!$B$1578)</f>
        <v/>
      </c>
      <c r="U1575" t="str">
        <f>IF([2]Baskol!$C$1578="","",[2]Baskol!$C$1578)</f>
        <v/>
      </c>
      <c r="V1575" t="str">
        <f>IF([2]Baskol!$D$1578="","",[2]Baskol!$D$1578)</f>
        <v/>
      </c>
      <c r="W1575" t="str">
        <f>IF([2]Baskol!$E$1578="","",[2]Baskol!$E$1578)</f>
        <v/>
      </c>
      <c r="X1575" t="str">
        <f>IF([2]Baskol!$G$1578="","",[2]Baskol!$G$1578)</f>
        <v/>
      </c>
      <c r="Y1575" t="str">
        <f>IF([2]Baskol!$I$1578="","",[2]Baskol!$I$1578)</f>
        <v/>
      </c>
      <c r="Z1575" t="str">
        <f>IF([2]Baskol!$J$1578="","",[2]Baskol!$J$1578)</f>
        <v/>
      </c>
      <c r="AA1575" t="str">
        <f>IF([2]Baskol!$K$1578="","",[2]Baskol!$K$1578)</f>
        <v/>
      </c>
      <c r="AB1575" t="str">
        <f>IF([2]Baskol!$L$1578="","",[2]Baskol!$L$1578)</f>
        <v/>
      </c>
      <c r="AC1575" t="str">
        <f>IF([2]Baskol!$N$1578="","",[2]Baskol!$N$1578)</f>
        <v/>
      </c>
      <c r="AD1575" t="str">
        <f>IF([2]Baskol!$O$1578="","",[2]Baskol!$O$1578)</f>
        <v/>
      </c>
      <c r="AE1575" t="str">
        <f>IF([3]Entry!$C$1578="","",[3]Entry!$C$1578)</f>
        <v/>
      </c>
      <c r="AF1575" t="str">
        <f>IF([3]Entry!$D$1578="","",[3]Entry!$D$1578)</f>
        <v/>
      </c>
      <c r="AG1575" t="str">
        <f>IF([3]Entry!$E$1578="","",[3]Entry!$E$1578)</f>
        <v/>
      </c>
      <c r="AH1575" t="str">
        <f>IF([3]Entry!$G$1578="","",[3]Entry!$G$1578)</f>
        <v/>
      </c>
      <c r="AI1575" t="str">
        <f>IF([3]Entry!$K$1578="","",[3]Entry!$K$1578)</f>
        <v/>
      </c>
      <c r="AJ1575" t="str">
        <f>IF([3]Entry!$L$1578="","",[3]Entry!$L$1578)</f>
        <v/>
      </c>
      <c r="AK1575" t="str">
        <f>IF([3]Entry!$M$1578="","",[3]Entry!$M$1578)</f>
        <v/>
      </c>
      <c r="AL1575" t="str">
        <f>IF([3]Entry!$N$1578="","",[3]Entry!$N$1578)</f>
        <v/>
      </c>
      <c r="AM1575" t="str">
        <f>IF([3]Entry!$R$1578="","",[3]Entry!$R$1578)</f>
        <v/>
      </c>
    </row>
    <row r="1576" spans="20:39" x14ac:dyDescent="0.2">
      <c r="T1576" t="str">
        <f>IF([2]Baskol!$B$1579="","",[2]Baskol!$B$1579)</f>
        <v/>
      </c>
      <c r="U1576" t="str">
        <f>IF([2]Baskol!$C$1579="","",[2]Baskol!$C$1579)</f>
        <v/>
      </c>
      <c r="V1576" t="str">
        <f>IF([2]Baskol!$D$1579="","",[2]Baskol!$D$1579)</f>
        <v/>
      </c>
      <c r="W1576" t="str">
        <f>IF([2]Baskol!$E$1579="","",[2]Baskol!$E$1579)</f>
        <v/>
      </c>
      <c r="X1576" t="str">
        <f>IF([2]Baskol!$G$1579="","",[2]Baskol!$G$1579)</f>
        <v/>
      </c>
      <c r="Y1576" t="str">
        <f>IF([2]Baskol!$I$1579="","",[2]Baskol!$I$1579)</f>
        <v/>
      </c>
      <c r="Z1576" t="str">
        <f>IF([2]Baskol!$J$1579="","",[2]Baskol!$J$1579)</f>
        <v/>
      </c>
      <c r="AA1576" t="str">
        <f>IF([2]Baskol!$K$1579="","",[2]Baskol!$K$1579)</f>
        <v/>
      </c>
      <c r="AB1576" t="str">
        <f>IF([2]Baskol!$L$1579="","",[2]Baskol!$L$1579)</f>
        <v/>
      </c>
      <c r="AC1576" t="str">
        <f>IF([2]Baskol!$N$1579="","",[2]Baskol!$N$1579)</f>
        <v/>
      </c>
      <c r="AD1576" t="str">
        <f>IF([2]Baskol!$O$1579="","",[2]Baskol!$O$1579)</f>
        <v/>
      </c>
      <c r="AE1576" t="str">
        <f>IF([3]Entry!$C$1579="","",[3]Entry!$C$1579)</f>
        <v/>
      </c>
      <c r="AF1576" t="str">
        <f>IF([3]Entry!$D$1579="","",[3]Entry!$D$1579)</f>
        <v/>
      </c>
      <c r="AG1576" t="str">
        <f>IF([3]Entry!$E$1579="","",[3]Entry!$E$1579)</f>
        <v/>
      </c>
      <c r="AH1576" t="str">
        <f>IF([3]Entry!$G$1579="","",[3]Entry!$G$1579)</f>
        <v/>
      </c>
      <c r="AI1576" t="str">
        <f>IF([3]Entry!$K$1579="","",[3]Entry!$K$1579)</f>
        <v/>
      </c>
      <c r="AJ1576" t="str">
        <f>IF([3]Entry!$L$1579="","",[3]Entry!$L$1579)</f>
        <v/>
      </c>
      <c r="AK1576" t="str">
        <f>IF([3]Entry!$M$1579="","",[3]Entry!$M$1579)</f>
        <v/>
      </c>
      <c r="AL1576" t="str">
        <f>IF([3]Entry!$N$1579="","",[3]Entry!$N$1579)</f>
        <v/>
      </c>
      <c r="AM1576" t="str">
        <f>IF([3]Entry!$R$1579="","",[3]Entry!$R$1579)</f>
        <v/>
      </c>
    </row>
    <row r="1577" spans="20:39" x14ac:dyDescent="0.2">
      <c r="T1577" t="str">
        <f>IF([2]Baskol!$B$1580="","",[2]Baskol!$B$1580)</f>
        <v/>
      </c>
      <c r="U1577" t="str">
        <f>IF([2]Baskol!$C$1580="","",[2]Baskol!$C$1580)</f>
        <v/>
      </c>
      <c r="V1577" t="str">
        <f>IF([2]Baskol!$D$1580="","",[2]Baskol!$D$1580)</f>
        <v/>
      </c>
      <c r="W1577" t="str">
        <f>IF([2]Baskol!$E$1580="","",[2]Baskol!$E$1580)</f>
        <v/>
      </c>
      <c r="X1577" t="str">
        <f>IF([2]Baskol!$G$1580="","",[2]Baskol!$G$1580)</f>
        <v/>
      </c>
      <c r="Y1577" t="str">
        <f>IF([2]Baskol!$I$1580="","",[2]Baskol!$I$1580)</f>
        <v/>
      </c>
      <c r="Z1577" t="str">
        <f>IF([2]Baskol!$J$1580="","",[2]Baskol!$J$1580)</f>
        <v/>
      </c>
      <c r="AA1577" t="str">
        <f>IF([2]Baskol!$K$1580="","",[2]Baskol!$K$1580)</f>
        <v/>
      </c>
      <c r="AB1577" t="str">
        <f>IF([2]Baskol!$L$1580="","",[2]Baskol!$L$1580)</f>
        <v/>
      </c>
      <c r="AC1577" t="str">
        <f>IF([2]Baskol!$N$1580="","",[2]Baskol!$N$1580)</f>
        <v/>
      </c>
      <c r="AD1577" t="str">
        <f>IF([2]Baskol!$O$1580="","",[2]Baskol!$O$1580)</f>
        <v/>
      </c>
      <c r="AE1577" t="str">
        <f>IF([3]Entry!$C$1580="","",[3]Entry!$C$1580)</f>
        <v/>
      </c>
      <c r="AF1577" t="str">
        <f>IF([3]Entry!$D$1580="","",[3]Entry!$D$1580)</f>
        <v/>
      </c>
      <c r="AG1577" t="str">
        <f>IF([3]Entry!$E$1580="","",[3]Entry!$E$1580)</f>
        <v/>
      </c>
      <c r="AH1577" t="str">
        <f>IF([3]Entry!$G$1580="","",[3]Entry!$G$1580)</f>
        <v/>
      </c>
      <c r="AI1577" t="str">
        <f>IF([3]Entry!$K$1580="","",[3]Entry!$K$1580)</f>
        <v/>
      </c>
      <c r="AJ1577" t="str">
        <f>IF([3]Entry!$L$1580="","",[3]Entry!$L$1580)</f>
        <v/>
      </c>
      <c r="AK1577" t="str">
        <f>IF([3]Entry!$M$1580="","",[3]Entry!$M$1580)</f>
        <v/>
      </c>
      <c r="AL1577" t="str">
        <f>IF([3]Entry!$N$1580="","",[3]Entry!$N$1580)</f>
        <v/>
      </c>
      <c r="AM1577" t="str">
        <f>IF([3]Entry!$R$1580="","",[3]Entry!$R$1580)</f>
        <v/>
      </c>
    </row>
    <row r="1578" spans="20:39" x14ac:dyDescent="0.2">
      <c r="T1578" t="str">
        <f>IF([2]Baskol!$B$1581="","",[2]Baskol!$B$1581)</f>
        <v/>
      </c>
      <c r="U1578" t="str">
        <f>IF([2]Baskol!$C$1581="","",[2]Baskol!$C$1581)</f>
        <v/>
      </c>
      <c r="V1578" t="str">
        <f>IF([2]Baskol!$D$1581="","",[2]Baskol!$D$1581)</f>
        <v/>
      </c>
      <c r="W1578" t="str">
        <f>IF([2]Baskol!$E$1581="","",[2]Baskol!$E$1581)</f>
        <v/>
      </c>
      <c r="X1578" t="str">
        <f>IF([2]Baskol!$G$1581="","",[2]Baskol!$G$1581)</f>
        <v/>
      </c>
      <c r="Y1578" t="str">
        <f>IF([2]Baskol!$I$1581="","",[2]Baskol!$I$1581)</f>
        <v/>
      </c>
      <c r="Z1578" t="str">
        <f>IF([2]Baskol!$J$1581="","",[2]Baskol!$J$1581)</f>
        <v/>
      </c>
      <c r="AA1578" t="str">
        <f>IF([2]Baskol!$K$1581="","",[2]Baskol!$K$1581)</f>
        <v/>
      </c>
      <c r="AB1578" t="str">
        <f>IF([2]Baskol!$L$1581="","",[2]Baskol!$L$1581)</f>
        <v/>
      </c>
      <c r="AC1578" t="str">
        <f>IF([2]Baskol!$N$1581="","",[2]Baskol!$N$1581)</f>
        <v/>
      </c>
      <c r="AD1578" t="str">
        <f>IF([2]Baskol!$O$1581="","",[2]Baskol!$O$1581)</f>
        <v/>
      </c>
      <c r="AE1578" t="str">
        <f>IF([3]Entry!$C$1581="","",[3]Entry!$C$1581)</f>
        <v/>
      </c>
      <c r="AF1578" t="str">
        <f>IF([3]Entry!$D$1581="","",[3]Entry!$D$1581)</f>
        <v/>
      </c>
      <c r="AG1578" t="str">
        <f>IF([3]Entry!$E$1581="","",[3]Entry!$E$1581)</f>
        <v/>
      </c>
      <c r="AH1578" t="str">
        <f>IF([3]Entry!$G$1581="","",[3]Entry!$G$1581)</f>
        <v/>
      </c>
      <c r="AI1578" t="str">
        <f>IF([3]Entry!$K$1581="","",[3]Entry!$K$1581)</f>
        <v/>
      </c>
      <c r="AJ1578" t="str">
        <f>IF([3]Entry!$L$1581="","",[3]Entry!$L$1581)</f>
        <v/>
      </c>
      <c r="AK1578" t="str">
        <f>IF([3]Entry!$M$1581="","",[3]Entry!$M$1581)</f>
        <v/>
      </c>
      <c r="AL1578" t="str">
        <f>IF([3]Entry!$N$1581="","",[3]Entry!$N$1581)</f>
        <v/>
      </c>
      <c r="AM1578" t="str">
        <f>IF([3]Entry!$R$1581="","",[3]Entry!$R$1581)</f>
        <v/>
      </c>
    </row>
    <row r="1579" spans="20:39" x14ac:dyDescent="0.2">
      <c r="T1579" t="str">
        <f>IF([2]Baskol!$B$1582="","",[2]Baskol!$B$1582)</f>
        <v/>
      </c>
      <c r="U1579" t="str">
        <f>IF([2]Baskol!$C$1582="","",[2]Baskol!$C$1582)</f>
        <v/>
      </c>
      <c r="V1579" t="str">
        <f>IF([2]Baskol!$D$1582="","",[2]Baskol!$D$1582)</f>
        <v/>
      </c>
      <c r="W1579" t="str">
        <f>IF([2]Baskol!$E$1582="","",[2]Baskol!$E$1582)</f>
        <v/>
      </c>
      <c r="X1579" t="str">
        <f>IF([2]Baskol!$G$1582="","",[2]Baskol!$G$1582)</f>
        <v/>
      </c>
      <c r="Y1579" t="str">
        <f>IF([2]Baskol!$I$1582="","",[2]Baskol!$I$1582)</f>
        <v/>
      </c>
      <c r="Z1579" t="str">
        <f>IF([2]Baskol!$J$1582="","",[2]Baskol!$J$1582)</f>
        <v/>
      </c>
      <c r="AA1579" t="str">
        <f>IF([2]Baskol!$K$1582="","",[2]Baskol!$K$1582)</f>
        <v/>
      </c>
      <c r="AB1579" t="str">
        <f>IF([2]Baskol!$L$1582="","",[2]Baskol!$L$1582)</f>
        <v/>
      </c>
      <c r="AC1579" t="str">
        <f>IF([2]Baskol!$N$1582="","",[2]Baskol!$N$1582)</f>
        <v/>
      </c>
      <c r="AD1579" t="str">
        <f>IF([2]Baskol!$O$1582="","",[2]Baskol!$O$1582)</f>
        <v/>
      </c>
      <c r="AE1579" t="str">
        <f>IF([3]Entry!$C$1582="","",[3]Entry!$C$1582)</f>
        <v/>
      </c>
      <c r="AF1579" t="str">
        <f>IF([3]Entry!$D$1582="","",[3]Entry!$D$1582)</f>
        <v/>
      </c>
      <c r="AG1579" t="str">
        <f>IF([3]Entry!$E$1582="","",[3]Entry!$E$1582)</f>
        <v/>
      </c>
      <c r="AH1579" t="str">
        <f>IF([3]Entry!$G$1582="","",[3]Entry!$G$1582)</f>
        <v/>
      </c>
      <c r="AI1579" t="str">
        <f>IF([3]Entry!$K$1582="","",[3]Entry!$K$1582)</f>
        <v/>
      </c>
      <c r="AJ1579" t="str">
        <f>IF([3]Entry!$L$1582="","",[3]Entry!$L$1582)</f>
        <v/>
      </c>
      <c r="AK1579" t="str">
        <f>IF([3]Entry!$M$1582="","",[3]Entry!$M$1582)</f>
        <v/>
      </c>
      <c r="AL1579" t="str">
        <f>IF([3]Entry!$N$1582="","",[3]Entry!$N$1582)</f>
        <v/>
      </c>
      <c r="AM1579" t="str">
        <f>IF([3]Entry!$R$1582="","",[3]Entry!$R$1582)</f>
        <v/>
      </c>
    </row>
    <row r="1580" spans="20:39" x14ac:dyDescent="0.2">
      <c r="T1580" t="str">
        <f>IF([2]Baskol!$B$1583="","",[2]Baskol!$B$1583)</f>
        <v/>
      </c>
      <c r="U1580" t="str">
        <f>IF([2]Baskol!$C$1583="","",[2]Baskol!$C$1583)</f>
        <v/>
      </c>
      <c r="V1580" t="str">
        <f>IF([2]Baskol!$D$1583="","",[2]Baskol!$D$1583)</f>
        <v/>
      </c>
      <c r="W1580" t="str">
        <f>IF([2]Baskol!$E$1583="","",[2]Baskol!$E$1583)</f>
        <v/>
      </c>
      <c r="X1580" t="str">
        <f>IF([2]Baskol!$G$1583="","",[2]Baskol!$G$1583)</f>
        <v/>
      </c>
      <c r="Y1580" t="str">
        <f>IF([2]Baskol!$I$1583="","",[2]Baskol!$I$1583)</f>
        <v/>
      </c>
      <c r="Z1580" t="str">
        <f>IF([2]Baskol!$J$1583="","",[2]Baskol!$J$1583)</f>
        <v/>
      </c>
      <c r="AA1580" t="str">
        <f>IF([2]Baskol!$K$1583="","",[2]Baskol!$K$1583)</f>
        <v/>
      </c>
      <c r="AB1580" t="str">
        <f>IF([2]Baskol!$L$1583="","",[2]Baskol!$L$1583)</f>
        <v/>
      </c>
      <c r="AC1580" t="str">
        <f>IF([2]Baskol!$N$1583="","",[2]Baskol!$N$1583)</f>
        <v/>
      </c>
      <c r="AD1580" t="str">
        <f>IF([2]Baskol!$O$1583="","",[2]Baskol!$O$1583)</f>
        <v/>
      </c>
      <c r="AE1580" t="str">
        <f>IF([3]Entry!$C$1583="","",[3]Entry!$C$1583)</f>
        <v/>
      </c>
      <c r="AF1580" t="str">
        <f>IF([3]Entry!$D$1583="","",[3]Entry!$D$1583)</f>
        <v/>
      </c>
      <c r="AG1580" t="str">
        <f>IF([3]Entry!$E$1583="","",[3]Entry!$E$1583)</f>
        <v/>
      </c>
      <c r="AH1580" t="str">
        <f>IF([3]Entry!$G$1583="","",[3]Entry!$G$1583)</f>
        <v/>
      </c>
      <c r="AI1580" t="str">
        <f>IF([3]Entry!$K$1583="","",[3]Entry!$K$1583)</f>
        <v/>
      </c>
      <c r="AJ1580" t="str">
        <f>IF([3]Entry!$L$1583="","",[3]Entry!$L$1583)</f>
        <v/>
      </c>
      <c r="AK1580" t="str">
        <f>IF([3]Entry!$M$1583="","",[3]Entry!$M$1583)</f>
        <v/>
      </c>
      <c r="AL1580" t="str">
        <f>IF([3]Entry!$N$1583="","",[3]Entry!$N$1583)</f>
        <v/>
      </c>
      <c r="AM1580" t="str">
        <f>IF([3]Entry!$R$1583="","",[3]Entry!$R$1583)</f>
        <v/>
      </c>
    </row>
    <row r="1581" spans="20:39" x14ac:dyDescent="0.2">
      <c r="T1581" t="str">
        <f>IF([2]Baskol!$B$1584="","",[2]Baskol!$B$1584)</f>
        <v/>
      </c>
      <c r="U1581" t="str">
        <f>IF([2]Baskol!$C$1584="","",[2]Baskol!$C$1584)</f>
        <v/>
      </c>
      <c r="V1581" t="str">
        <f>IF([2]Baskol!$D$1584="","",[2]Baskol!$D$1584)</f>
        <v/>
      </c>
      <c r="W1581" t="str">
        <f>IF([2]Baskol!$E$1584="","",[2]Baskol!$E$1584)</f>
        <v/>
      </c>
      <c r="X1581" t="str">
        <f>IF([2]Baskol!$G$1584="","",[2]Baskol!$G$1584)</f>
        <v/>
      </c>
      <c r="Y1581" t="str">
        <f>IF([2]Baskol!$I$1584="","",[2]Baskol!$I$1584)</f>
        <v/>
      </c>
      <c r="Z1581" t="str">
        <f>IF([2]Baskol!$J$1584="","",[2]Baskol!$J$1584)</f>
        <v/>
      </c>
      <c r="AA1581" t="str">
        <f>IF([2]Baskol!$K$1584="","",[2]Baskol!$K$1584)</f>
        <v/>
      </c>
      <c r="AB1581" t="str">
        <f>IF([2]Baskol!$L$1584="","",[2]Baskol!$L$1584)</f>
        <v/>
      </c>
      <c r="AC1581" t="str">
        <f>IF([2]Baskol!$N$1584="","",[2]Baskol!$N$1584)</f>
        <v/>
      </c>
      <c r="AD1581" t="str">
        <f>IF([2]Baskol!$O$1584="","",[2]Baskol!$O$1584)</f>
        <v/>
      </c>
      <c r="AE1581" t="str">
        <f>IF([3]Entry!$C$1584="","",[3]Entry!$C$1584)</f>
        <v/>
      </c>
      <c r="AF1581" t="str">
        <f>IF([3]Entry!$D$1584="","",[3]Entry!$D$1584)</f>
        <v/>
      </c>
      <c r="AG1581" t="str">
        <f>IF([3]Entry!$E$1584="","",[3]Entry!$E$1584)</f>
        <v/>
      </c>
      <c r="AH1581" t="str">
        <f>IF([3]Entry!$G$1584="","",[3]Entry!$G$1584)</f>
        <v/>
      </c>
      <c r="AI1581" t="str">
        <f>IF([3]Entry!$K$1584="","",[3]Entry!$K$1584)</f>
        <v/>
      </c>
      <c r="AJ1581" t="str">
        <f>IF([3]Entry!$L$1584="","",[3]Entry!$L$1584)</f>
        <v/>
      </c>
      <c r="AK1581" t="str">
        <f>IF([3]Entry!$M$1584="","",[3]Entry!$M$1584)</f>
        <v/>
      </c>
      <c r="AL1581" t="str">
        <f>IF([3]Entry!$N$1584="","",[3]Entry!$N$1584)</f>
        <v/>
      </c>
      <c r="AM1581" t="str">
        <f>IF([3]Entry!$R$1584="","",[3]Entry!$R$1584)</f>
        <v/>
      </c>
    </row>
    <row r="1582" spans="20:39" x14ac:dyDescent="0.2">
      <c r="T1582" t="str">
        <f>IF([2]Baskol!$B$1585="","",[2]Baskol!$B$1585)</f>
        <v/>
      </c>
      <c r="U1582" t="str">
        <f>IF([2]Baskol!$C$1585="","",[2]Baskol!$C$1585)</f>
        <v/>
      </c>
      <c r="V1582" t="str">
        <f>IF([2]Baskol!$D$1585="","",[2]Baskol!$D$1585)</f>
        <v/>
      </c>
      <c r="W1582" t="str">
        <f>IF([2]Baskol!$E$1585="","",[2]Baskol!$E$1585)</f>
        <v/>
      </c>
      <c r="X1582" t="str">
        <f>IF([2]Baskol!$G$1585="","",[2]Baskol!$G$1585)</f>
        <v/>
      </c>
      <c r="Y1582" t="str">
        <f>IF([2]Baskol!$I$1585="","",[2]Baskol!$I$1585)</f>
        <v/>
      </c>
      <c r="Z1582" t="str">
        <f>IF([2]Baskol!$J$1585="","",[2]Baskol!$J$1585)</f>
        <v/>
      </c>
      <c r="AA1582" t="str">
        <f>IF([2]Baskol!$K$1585="","",[2]Baskol!$K$1585)</f>
        <v/>
      </c>
      <c r="AB1582" t="str">
        <f>IF([2]Baskol!$L$1585="","",[2]Baskol!$L$1585)</f>
        <v/>
      </c>
      <c r="AC1582" t="str">
        <f>IF([2]Baskol!$N$1585="","",[2]Baskol!$N$1585)</f>
        <v/>
      </c>
      <c r="AD1582" t="str">
        <f>IF([2]Baskol!$O$1585="","",[2]Baskol!$O$1585)</f>
        <v/>
      </c>
      <c r="AE1582" t="str">
        <f>IF([3]Entry!$C$1585="","",[3]Entry!$C$1585)</f>
        <v/>
      </c>
      <c r="AF1582" t="str">
        <f>IF([3]Entry!$D$1585="","",[3]Entry!$D$1585)</f>
        <v/>
      </c>
      <c r="AG1582" t="str">
        <f>IF([3]Entry!$E$1585="","",[3]Entry!$E$1585)</f>
        <v/>
      </c>
      <c r="AH1582" t="str">
        <f>IF([3]Entry!$G$1585="","",[3]Entry!$G$1585)</f>
        <v/>
      </c>
      <c r="AI1582" t="str">
        <f>IF([3]Entry!$K$1585="","",[3]Entry!$K$1585)</f>
        <v/>
      </c>
      <c r="AJ1582" t="str">
        <f>IF([3]Entry!$L$1585="","",[3]Entry!$L$1585)</f>
        <v/>
      </c>
      <c r="AK1582" t="str">
        <f>IF([3]Entry!$M$1585="","",[3]Entry!$M$1585)</f>
        <v/>
      </c>
      <c r="AL1582" t="str">
        <f>IF([3]Entry!$N$1585="","",[3]Entry!$N$1585)</f>
        <v/>
      </c>
      <c r="AM1582" t="str">
        <f>IF([3]Entry!$R$1585="","",[3]Entry!$R$1585)</f>
        <v/>
      </c>
    </row>
    <row r="1583" spans="20:39" x14ac:dyDescent="0.2">
      <c r="T1583" t="str">
        <f>IF([2]Baskol!$B$1586="","",[2]Baskol!$B$1586)</f>
        <v/>
      </c>
      <c r="U1583" t="str">
        <f>IF([2]Baskol!$C$1586="","",[2]Baskol!$C$1586)</f>
        <v/>
      </c>
      <c r="V1583" t="str">
        <f>IF([2]Baskol!$D$1586="","",[2]Baskol!$D$1586)</f>
        <v/>
      </c>
      <c r="W1583" t="str">
        <f>IF([2]Baskol!$E$1586="","",[2]Baskol!$E$1586)</f>
        <v/>
      </c>
      <c r="X1583" t="str">
        <f>IF([2]Baskol!$G$1586="","",[2]Baskol!$G$1586)</f>
        <v/>
      </c>
      <c r="Y1583" t="str">
        <f>IF([2]Baskol!$I$1586="","",[2]Baskol!$I$1586)</f>
        <v/>
      </c>
      <c r="Z1583" t="str">
        <f>IF([2]Baskol!$J$1586="","",[2]Baskol!$J$1586)</f>
        <v/>
      </c>
      <c r="AA1583" t="str">
        <f>IF([2]Baskol!$K$1586="","",[2]Baskol!$K$1586)</f>
        <v/>
      </c>
      <c r="AB1583" t="str">
        <f>IF([2]Baskol!$L$1586="","",[2]Baskol!$L$1586)</f>
        <v/>
      </c>
      <c r="AC1583" t="str">
        <f>IF([2]Baskol!$N$1586="","",[2]Baskol!$N$1586)</f>
        <v/>
      </c>
      <c r="AD1583" t="str">
        <f>IF([2]Baskol!$O$1586="","",[2]Baskol!$O$1586)</f>
        <v/>
      </c>
      <c r="AE1583" t="str">
        <f>IF([3]Entry!$C$1586="","",[3]Entry!$C$1586)</f>
        <v/>
      </c>
      <c r="AF1583" t="str">
        <f>IF([3]Entry!$D$1586="","",[3]Entry!$D$1586)</f>
        <v/>
      </c>
      <c r="AG1583" t="str">
        <f>IF([3]Entry!$E$1586="","",[3]Entry!$E$1586)</f>
        <v/>
      </c>
      <c r="AH1583" t="str">
        <f>IF([3]Entry!$G$1586="","",[3]Entry!$G$1586)</f>
        <v/>
      </c>
      <c r="AI1583" t="str">
        <f>IF([3]Entry!$K$1586="","",[3]Entry!$K$1586)</f>
        <v/>
      </c>
      <c r="AJ1583" t="str">
        <f>IF([3]Entry!$L$1586="","",[3]Entry!$L$1586)</f>
        <v/>
      </c>
      <c r="AK1583" t="str">
        <f>IF([3]Entry!$M$1586="","",[3]Entry!$M$1586)</f>
        <v/>
      </c>
      <c r="AL1583" t="str">
        <f>IF([3]Entry!$N$1586="","",[3]Entry!$N$1586)</f>
        <v/>
      </c>
      <c r="AM1583" t="str">
        <f>IF([3]Entry!$R$1586="","",[3]Entry!$R$1586)</f>
        <v/>
      </c>
    </row>
    <row r="1584" spans="20:39" x14ac:dyDescent="0.2">
      <c r="T1584" t="str">
        <f>IF([2]Baskol!$B$1587="","",[2]Baskol!$B$1587)</f>
        <v/>
      </c>
      <c r="U1584" t="str">
        <f>IF([2]Baskol!$C$1587="","",[2]Baskol!$C$1587)</f>
        <v/>
      </c>
      <c r="V1584" t="str">
        <f>IF([2]Baskol!$D$1587="","",[2]Baskol!$D$1587)</f>
        <v/>
      </c>
      <c r="W1584" t="str">
        <f>IF([2]Baskol!$E$1587="","",[2]Baskol!$E$1587)</f>
        <v/>
      </c>
      <c r="X1584" t="str">
        <f>IF([2]Baskol!$G$1587="","",[2]Baskol!$G$1587)</f>
        <v/>
      </c>
      <c r="Y1584" t="str">
        <f>IF([2]Baskol!$I$1587="","",[2]Baskol!$I$1587)</f>
        <v/>
      </c>
      <c r="Z1584" t="str">
        <f>IF([2]Baskol!$J$1587="","",[2]Baskol!$J$1587)</f>
        <v/>
      </c>
      <c r="AA1584" t="str">
        <f>IF([2]Baskol!$K$1587="","",[2]Baskol!$K$1587)</f>
        <v/>
      </c>
      <c r="AB1584" t="str">
        <f>IF([2]Baskol!$L$1587="","",[2]Baskol!$L$1587)</f>
        <v/>
      </c>
      <c r="AC1584" t="str">
        <f>IF([2]Baskol!$N$1587="","",[2]Baskol!$N$1587)</f>
        <v/>
      </c>
      <c r="AD1584" t="str">
        <f>IF([2]Baskol!$O$1587="","",[2]Baskol!$O$1587)</f>
        <v/>
      </c>
      <c r="AE1584" t="str">
        <f>IF([3]Entry!$C$1587="","",[3]Entry!$C$1587)</f>
        <v/>
      </c>
      <c r="AF1584" t="str">
        <f>IF([3]Entry!$D$1587="","",[3]Entry!$D$1587)</f>
        <v/>
      </c>
      <c r="AG1584" t="str">
        <f>IF([3]Entry!$E$1587="","",[3]Entry!$E$1587)</f>
        <v/>
      </c>
      <c r="AH1584" t="str">
        <f>IF([3]Entry!$G$1587="","",[3]Entry!$G$1587)</f>
        <v/>
      </c>
      <c r="AI1584" t="str">
        <f>IF([3]Entry!$K$1587="","",[3]Entry!$K$1587)</f>
        <v/>
      </c>
      <c r="AJ1584" t="str">
        <f>IF([3]Entry!$L$1587="","",[3]Entry!$L$1587)</f>
        <v/>
      </c>
      <c r="AK1584" t="str">
        <f>IF([3]Entry!$M$1587="","",[3]Entry!$M$1587)</f>
        <v/>
      </c>
      <c r="AL1584" t="str">
        <f>IF([3]Entry!$N$1587="","",[3]Entry!$N$1587)</f>
        <v/>
      </c>
      <c r="AM1584" t="str">
        <f>IF([3]Entry!$R$1587="","",[3]Entry!$R$1587)</f>
        <v/>
      </c>
    </row>
    <row r="1585" spans="20:39" x14ac:dyDescent="0.2">
      <c r="T1585" t="str">
        <f>IF([2]Baskol!$B$1588="","",[2]Baskol!$B$1588)</f>
        <v/>
      </c>
      <c r="U1585" t="str">
        <f>IF([2]Baskol!$C$1588="","",[2]Baskol!$C$1588)</f>
        <v/>
      </c>
      <c r="V1585" t="str">
        <f>IF([2]Baskol!$D$1588="","",[2]Baskol!$D$1588)</f>
        <v/>
      </c>
      <c r="W1585" t="str">
        <f>IF([2]Baskol!$E$1588="","",[2]Baskol!$E$1588)</f>
        <v/>
      </c>
      <c r="X1585" t="str">
        <f>IF([2]Baskol!$G$1588="","",[2]Baskol!$G$1588)</f>
        <v/>
      </c>
      <c r="Y1585" t="str">
        <f>IF([2]Baskol!$I$1588="","",[2]Baskol!$I$1588)</f>
        <v/>
      </c>
      <c r="Z1585" t="str">
        <f>IF([2]Baskol!$J$1588="","",[2]Baskol!$J$1588)</f>
        <v/>
      </c>
      <c r="AA1585" t="str">
        <f>IF([2]Baskol!$K$1588="","",[2]Baskol!$K$1588)</f>
        <v/>
      </c>
      <c r="AB1585" t="str">
        <f>IF([2]Baskol!$L$1588="","",[2]Baskol!$L$1588)</f>
        <v/>
      </c>
      <c r="AC1585" t="str">
        <f>IF([2]Baskol!$N$1588="","",[2]Baskol!$N$1588)</f>
        <v/>
      </c>
      <c r="AD1585" t="str">
        <f>IF([2]Baskol!$O$1588="","",[2]Baskol!$O$1588)</f>
        <v/>
      </c>
      <c r="AE1585" t="str">
        <f>IF([3]Entry!$C$1588="","",[3]Entry!$C$1588)</f>
        <v/>
      </c>
      <c r="AF1585" t="str">
        <f>IF([3]Entry!$D$1588="","",[3]Entry!$D$1588)</f>
        <v/>
      </c>
      <c r="AG1585" t="str">
        <f>IF([3]Entry!$E$1588="","",[3]Entry!$E$1588)</f>
        <v/>
      </c>
      <c r="AH1585" t="str">
        <f>IF([3]Entry!$G$1588="","",[3]Entry!$G$1588)</f>
        <v/>
      </c>
      <c r="AI1585" t="str">
        <f>IF([3]Entry!$K$1588="","",[3]Entry!$K$1588)</f>
        <v/>
      </c>
      <c r="AJ1585" t="str">
        <f>IF([3]Entry!$L$1588="","",[3]Entry!$L$1588)</f>
        <v/>
      </c>
      <c r="AK1585" t="str">
        <f>IF([3]Entry!$M$1588="","",[3]Entry!$M$1588)</f>
        <v/>
      </c>
      <c r="AL1585" t="str">
        <f>IF([3]Entry!$N$1588="","",[3]Entry!$N$1588)</f>
        <v/>
      </c>
      <c r="AM1585" t="str">
        <f>IF([3]Entry!$R$1588="","",[3]Entry!$R$1588)</f>
        <v/>
      </c>
    </row>
    <row r="1586" spans="20:39" x14ac:dyDescent="0.2">
      <c r="T1586" t="str">
        <f>IF([2]Baskol!$B$1589="","",[2]Baskol!$B$1589)</f>
        <v/>
      </c>
      <c r="U1586" t="str">
        <f>IF([2]Baskol!$C$1589="","",[2]Baskol!$C$1589)</f>
        <v/>
      </c>
      <c r="V1586" t="str">
        <f>IF([2]Baskol!$D$1589="","",[2]Baskol!$D$1589)</f>
        <v/>
      </c>
      <c r="W1586" t="str">
        <f>IF([2]Baskol!$E$1589="","",[2]Baskol!$E$1589)</f>
        <v/>
      </c>
      <c r="X1586" t="str">
        <f>IF([2]Baskol!$G$1589="","",[2]Baskol!$G$1589)</f>
        <v/>
      </c>
      <c r="Y1586" t="str">
        <f>IF([2]Baskol!$I$1589="","",[2]Baskol!$I$1589)</f>
        <v/>
      </c>
      <c r="Z1586" t="str">
        <f>IF([2]Baskol!$J$1589="","",[2]Baskol!$J$1589)</f>
        <v/>
      </c>
      <c r="AA1586" t="str">
        <f>IF([2]Baskol!$K$1589="","",[2]Baskol!$K$1589)</f>
        <v/>
      </c>
      <c r="AB1586" t="str">
        <f>IF([2]Baskol!$L$1589="","",[2]Baskol!$L$1589)</f>
        <v/>
      </c>
      <c r="AC1586" t="str">
        <f>IF([2]Baskol!$N$1589="","",[2]Baskol!$N$1589)</f>
        <v/>
      </c>
      <c r="AD1586" t="str">
        <f>IF([2]Baskol!$O$1589="","",[2]Baskol!$O$1589)</f>
        <v/>
      </c>
      <c r="AE1586" t="str">
        <f>IF([3]Entry!$C$1589="","",[3]Entry!$C$1589)</f>
        <v/>
      </c>
      <c r="AF1586" t="str">
        <f>IF([3]Entry!$D$1589="","",[3]Entry!$D$1589)</f>
        <v/>
      </c>
      <c r="AG1586" t="str">
        <f>IF([3]Entry!$E$1589="","",[3]Entry!$E$1589)</f>
        <v/>
      </c>
      <c r="AH1586" t="str">
        <f>IF([3]Entry!$G$1589="","",[3]Entry!$G$1589)</f>
        <v/>
      </c>
      <c r="AI1586" t="str">
        <f>IF([3]Entry!$K$1589="","",[3]Entry!$K$1589)</f>
        <v/>
      </c>
      <c r="AJ1586" t="str">
        <f>IF([3]Entry!$L$1589="","",[3]Entry!$L$1589)</f>
        <v/>
      </c>
      <c r="AK1586" t="str">
        <f>IF([3]Entry!$M$1589="","",[3]Entry!$M$1589)</f>
        <v/>
      </c>
      <c r="AL1586" t="str">
        <f>IF([3]Entry!$N$1589="","",[3]Entry!$N$1589)</f>
        <v/>
      </c>
      <c r="AM1586" t="str">
        <f>IF([3]Entry!$R$1589="","",[3]Entry!$R$1589)</f>
        <v/>
      </c>
    </row>
    <row r="1587" spans="20:39" x14ac:dyDescent="0.2">
      <c r="T1587" t="str">
        <f>IF([2]Baskol!$B$1590="","",[2]Baskol!$B$1590)</f>
        <v/>
      </c>
      <c r="U1587" t="str">
        <f>IF([2]Baskol!$C$1590="","",[2]Baskol!$C$1590)</f>
        <v/>
      </c>
      <c r="V1587" t="str">
        <f>IF([2]Baskol!$D$1590="","",[2]Baskol!$D$1590)</f>
        <v/>
      </c>
      <c r="W1587" t="str">
        <f>IF([2]Baskol!$E$1590="","",[2]Baskol!$E$1590)</f>
        <v/>
      </c>
      <c r="X1587" t="str">
        <f>IF([2]Baskol!$G$1590="","",[2]Baskol!$G$1590)</f>
        <v/>
      </c>
      <c r="Y1587" t="str">
        <f>IF([2]Baskol!$I$1590="","",[2]Baskol!$I$1590)</f>
        <v/>
      </c>
      <c r="Z1587" t="str">
        <f>IF([2]Baskol!$J$1590="","",[2]Baskol!$J$1590)</f>
        <v/>
      </c>
      <c r="AA1587" t="str">
        <f>IF([2]Baskol!$K$1590="","",[2]Baskol!$K$1590)</f>
        <v/>
      </c>
      <c r="AB1587" t="str">
        <f>IF([2]Baskol!$L$1590="","",[2]Baskol!$L$1590)</f>
        <v/>
      </c>
      <c r="AC1587" t="str">
        <f>IF([2]Baskol!$N$1590="","",[2]Baskol!$N$1590)</f>
        <v/>
      </c>
      <c r="AD1587" t="str">
        <f>IF([2]Baskol!$O$1590="","",[2]Baskol!$O$1590)</f>
        <v/>
      </c>
      <c r="AE1587" t="str">
        <f>IF([3]Entry!$C$1590="","",[3]Entry!$C$1590)</f>
        <v/>
      </c>
      <c r="AF1587" t="str">
        <f>IF([3]Entry!$D$1590="","",[3]Entry!$D$1590)</f>
        <v/>
      </c>
      <c r="AG1587" t="str">
        <f>IF([3]Entry!$E$1590="","",[3]Entry!$E$1590)</f>
        <v/>
      </c>
      <c r="AH1587" t="str">
        <f>IF([3]Entry!$G$1590="","",[3]Entry!$G$1590)</f>
        <v/>
      </c>
      <c r="AI1587" t="str">
        <f>IF([3]Entry!$K$1590="","",[3]Entry!$K$1590)</f>
        <v/>
      </c>
      <c r="AJ1587" t="str">
        <f>IF([3]Entry!$L$1590="","",[3]Entry!$L$1590)</f>
        <v/>
      </c>
      <c r="AK1587" t="str">
        <f>IF([3]Entry!$M$1590="","",[3]Entry!$M$1590)</f>
        <v/>
      </c>
      <c r="AL1587" t="str">
        <f>IF([3]Entry!$N$1590="","",[3]Entry!$N$1590)</f>
        <v/>
      </c>
      <c r="AM1587" t="str">
        <f>IF([3]Entry!$R$1590="","",[3]Entry!$R$1590)</f>
        <v/>
      </c>
    </row>
    <row r="1588" spans="20:39" x14ac:dyDescent="0.2">
      <c r="T1588" t="str">
        <f>IF([2]Baskol!$B$1591="","",[2]Baskol!$B$1591)</f>
        <v/>
      </c>
      <c r="U1588" t="str">
        <f>IF([2]Baskol!$C$1591="","",[2]Baskol!$C$1591)</f>
        <v/>
      </c>
      <c r="V1588" t="str">
        <f>IF([2]Baskol!$D$1591="","",[2]Baskol!$D$1591)</f>
        <v/>
      </c>
      <c r="W1588" t="str">
        <f>IF([2]Baskol!$E$1591="","",[2]Baskol!$E$1591)</f>
        <v/>
      </c>
      <c r="X1588" t="str">
        <f>IF([2]Baskol!$G$1591="","",[2]Baskol!$G$1591)</f>
        <v/>
      </c>
      <c r="Y1588" t="str">
        <f>IF([2]Baskol!$I$1591="","",[2]Baskol!$I$1591)</f>
        <v/>
      </c>
      <c r="Z1588" t="str">
        <f>IF([2]Baskol!$J$1591="","",[2]Baskol!$J$1591)</f>
        <v/>
      </c>
      <c r="AA1588" t="str">
        <f>IF([2]Baskol!$K$1591="","",[2]Baskol!$K$1591)</f>
        <v/>
      </c>
      <c r="AB1588" t="str">
        <f>IF([2]Baskol!$L$1591="","",[2]Baskol!$L$1591)</f>
        <v/>
      </c>
      <c r="AC1588" t="str">
        <f>IF([2]Baskol!$N$1591="","",[2]Baskol!$N$1591)</f>
        <v/>
      </c>
      <c r="AD1588" t="str">
        <f>IF([2]Baskol!$O$1591="","",[2]Baskol!$O$1591)</f>
        <v/>
      </c>
      <c r="AE1588" t="str">
        <f>IF([3]Entry!$C$1591="","",[3]Entry!$C$1591)</f>
        <v/>
      </c>
      <c r="AF1588" t="str">
        <f>IF([3]Entry!$D$1591="","",[3]Entry!$D$1591)</f>
        <v/>
      </c>
      <c r="AG1588" t="str">
        <f>IF([3]Entry!$E$1591="","",[3]Entry!$E$1591)</f>
        <v/>
      </c>
      <c r="AH1588" t="str">
        <f>IF([3]Entry!$G$1591="","",[3]Entry!$G$1591)</f>
        <v/>
      </c>
      <c r="AI1588" t="str">
        <f>IF([3]Entry!$K$1591="","",[3]Entry!$K$1591)</f>
        <v/>
      </c>
      <c r="AJ1588" t="str">
        <f>IF([3]Entry!$L$1591="","",[3]Entry!$L$1591)</f>
        <v/>
      </c>
      <c r="AK1588" t="str">
        <f>IF([3]Entry!$M$1591="","",[3]Entry!$M$1591)</f>
        <v/>
      </c>
      <c r="AL1588" t="str">
        <f>IF([3]Entry!$N$1591="","",[3]Entry!$N$1591)</f>
        <v/>
      </c>
      <c r="AM1588" t="str">
        <f>IF([3]Entry!$R$1591="","",[3]Entry!$R$1591)</f>
        <v/>
      </c>
    </row>
    <row r="1589" spans="20:39" x14ac:dyDescent="0.2">
      <c r="T1589" t="str">
        <f>IF([2]Baskol!$B$1592="","",[2]Baskol!$B$1592)</f>
        <v/>
      </c>
      <c r="U1589" t="str">
        <f>IF([2]Baskol!$C$1592="","",[2]Baskol!$C$1592)</f>
        <v/>
      </c>
      <c r="V1589" t="str">
        <f>IF([2]Baskol!$D$1592="","",[2]Baskol!$D$1592)</f>
        <v/>
      </c>
      <c r="W1589" t="str">
        <f>IF([2]Baskol!$E$1592="","",[2]Baskol!$E$1592)</f>
        <v/>
      </c>
      <c r="X1589" t="str">
        <f>IF([2]Baskol!$G$1592="","",[2]Baskol!$G$1592)</f>
        <v/>
      </c>
      <c r="Y1589" t="str">
        <f>IF([2]Baskol!$I$1592="","",[2]Baskol!$I$1592)</f>
        <v/>
      </c>
      <c r="Z1589" t="str">
        <f>IF([2]Baskol!$J$1592="","",[2]Baskol!$J$1592)</f>
        <v/>
      </c>
      <c r="AA1589" t="str">
        <f>IF([2]Baskol!$K$1592="","",[2]Baskol!$K$1592)</f>
        <v/>
      </c>
      <c r="AB1589" t="str">
        <f>IF([2]Baskol!$L$1592="","",[2]Baskol!$L$1592)</f>
        <v/>
      </c>
      <c r="AC1589" t="str">
        <f>IF([2]Baskol!$N$1592="","",[2]Baskol!$N$1592)</f>
        <v/>
      </c>
      <c r="AD1589" t="str">
        <f>IF([2]Baskol!$O$1592="","",[2]Baskol!$O$1592)</f>
        <v/>
      </c>
      <c r="AE1589" t="str">
        <f>IF([3]Entry!$C$1592="","",[3]Entry!$C$1592)</f>
        <v/>
      </c>
      <c r="AF1589" t="str">
        <f>IF([3]Entry!$D$1592="","",[3]Entry!$D$1592)</f>
        <v/>
      </c>
      <c r="AG1589" t="str">
        <f>IF([3]Entry!$E$1592="","",[3]Entry!$E$1592)</f>
        <v/>
      </c>
      <c r="AH1589" t="str">
        <f>IF([3]Entry!$G$1592="","",[3]Entry!$G$1592)</f>
        <v/>
      </c>
      <c r="AI1589" t="str">
        <f>IF([3]Entry!$K$1592="","",[3]Entry!$K$1592)</f>
        <v/>
      </c>
      <c r="AJ1589" t="str">
        <f>IF([3]Entry!$L$1592="","",[3]Entry!$L$1592)</f>
        <v/>
      </c>
      <c r="AK1589" t="str">
        <f>IF([3]Entry!$M$1592="","",[3]Entry!$M$1592)</f>
        <v/>
      </c>
      <c r="AL1589" t="str">
        <f>IF([3]Entry!$N$1592="","",[3]Entry!$N$1592)</f>
        <v/>
      </c>
      <c r="AM1589" t="str">
        <f>IF([3]Entry!$R$1592="","",[3]Entry!$R$1592)</f>
        <v/>
      </c>
    </row>
    <row r="1590" spans="20:39" x14ac:dyDescent="0.2">
      <c r="T1590" t="str">
        <f>IF([2]Baskol!$B$1593="","",[2]Baskol!$B$1593)</f>
        <v/>
      </c>
      <c r="U1590" t="str">
        <f>IF([2]Baskol!$C$1593="","",[2]Baskol!$C$1593)</f>
        <v/>
      </c>
      <c r="V1590" t="str">
        <f>IF([2]Baskol!$D$1593="","",[2]Baskol!$D$1593)</f>
        <v/>
      </c>
      <c r="W1590" t="str">
        <f>IF([2]Baskol!$E$1593="","",[2]Baskol!$E$1593)</f>
        <v/>
      </c>
      <c r="X1590" t="str">
        <f>IF([2]Baskol!$G$1593="","",[2]Baskol!$G$1593)</f>
        <v/>
      </c>
      <c r="Y1590" t="str">
        <f>IF([2]Baskol!$I$1593="","",[2]Baskol!$I$1593)</f>
        <v/>
      </c>
      <c r="Z1590" t="str">
        <f>IF([2]Baskol!$J$1593="","",[2]Baskol!$J$1593)</f>
        <v/>
      </c>
      <c r="AA1590" t="str">
        <f>IF([2]Baskol!$K$1593="","",[2]Baskol!$K$1593)</f>
        <v/>
      </c>
      <c r="AB1590" t="str">
        <f>IF([2]Baskol!$L$1593="","",[2]Baskol!$L$1593)</f>
        <v/>
      </c>
      <c r="AC1590" t="str">
        <f>IF([2]Baskol!$N$1593="","",[2]Baskol!$N$1593)</f>
        <v/>
      </c>
      <c r="AD1590" t="str">
        <f>IF([2]Baskol!$O$1593="","",[2]Baskol!$O$1593)</f>
        <v/>
      </c>
      <c r="AE1590" t="str">
        <f>IF([3]Entry!$C$1593="","",[3]Entry!$C$1593)</f>
        <v/>
      </c>
      <c r="AF1590" t="str">
        <f>IF([3]Entry!$D$1593="","",[3]Entry!$D$1593)</f>
        <v/>
      </c>
      <c r="AG1590" t="str">
        <f>IF([3]Entry!$E$1593="","",[3]Entry!$E$1593)</f>
        <v/>
      </c>
      <c r="AH1590" t="str">
        <f>IF([3]Entry!$G$1593="","",[3]Entry!$G$1593)</f>
        <v/>
      </c>
      <c r="AI1590" t="str">
        <f>IF([3]Entry!$K$1593="","",[3]Entry!$K$1593)</f>
        <v/>
      </c>
      <c r="AJ1590" t="str">
        <f>IF([3]Entry!$L$1593="","",[3]Entry!$L$1593)</f>
        <v/>
      </c>
      <c r="AK1590" t="str">
        <f>IF([3]Entry!$M$1593="","",[3]Entry!$M$1593)</f>
        <v/>
      </c>
      <c r="AL1590" t="str">
        <f>IF([3]Entry!$N$1593="","",[3]Entry!$N$1593)</f>
        <v/>
      </c>
      <c r="AM1590" t="str">
        <f>IF([3]Entry!$R$1593="","",[3]Entry!$R$1593)</f>
        <v/>
      </c>
    </row>
    <row r="1591" spans="20:39" x14ac:dyDescent="0.2">
      <c r="T1591" t="str">
        <f>IF([2]Baskol!$B$1594="","",[2]Baskol!$B$1594)</f>
        <v/>
      </c>
      <c r="U1591" t="str">
        <f>IF([2]Baskol!$C$1594="","",[2]Baskol!$C$1594)</f>
        <v/>
      </c>
      <c r="V1591" t="str">
        <f>IF([2]Baskol!$D$1594="","",[2]Baskol!$D$1594)</f>
        <v/>
      </c>
      <c r="W1591" t="str">
        <f>IF([2]Baskol!$E$1594="","",[2]Baskol!$E$1594)</f>
        <v/>
      </c>
      <c r="X1591" t="str">
        <f>IF([2]Baskol!$G$1594="","",[2]Baskol!$G$1594)</f>
        <v/>
      </c>
      <c r="Y1591" t="str">
        <f>IF([2]Baskol!$I$1594="","",[2]Baskol!$I$1594)</f>
        <v/>
      </c>
      <c r="Z1591" t="str">
        <f>IF([2]Baskol!$J$1594="","",[2]Baskol!$J$1594)</f>
        <v/>
      </c>
      <c r="AA1591" t="str">
        <f>IF([2]Baskol!$K$1594="","",[2]Baskol!$K$1594)</f>
        <v/>
      </c>
      <c r="AB1591" t="str">
        <f>IF([2]Baskol!$L$1594="","",[2]Baskol!$L$1594)</f>
        <v/>
      </c>
      <c r="AC1591" t="str">
        <f>IF([2]Baskol!$N$1594="","",[2]Baskol!$N$1594)</f>
        <v/>
      </c>
      <c r="AD1591" t="str">
        <f>IF([2]Baskol!$O$1594="","",[2]Baskol!$O$1594)</f>
        <v/>
      </c>
      <c r="AE1591" t="str">
        <f>IF([3]Entry!$C$1594="","",[3]Entry!$C$1594)</f>
        <v/>
      </c>
      <c r="AF1591" t="str">
        <f>IF([3]Entry!$D$1594="","",[3]Entry!$D$1594)</f>
        <v/>
      </c>
      <c r="AG1591" t="str">
        <f>IF([3]Entry!$E$1594="","",[3]Entry!$E$1594)</f>
        <v/>
      </c>
      <c r="AH1591" t="str">
        <f>IF([3]Entry!$G$1594="","",[3]Entry!$G$1594)</f>
        <v/>
      </c>
      <c r="AI1591" t="str">
        <f>IF([3]Entry!$K$1594="","",[3]Entry!$K$1594)</f>
        <v/>
      </c>
      <c r="AJ1591" t="str">
        <f>IF([3]Entry!$L$1594="","",[3]Entry!$L$1594)</f>
        <v/>
      </c>
      <c r="AK1591" t="str">
        <f>IF([3]Entry!$M$1594="","",[3]Entry!$M$1594)</f>
        <v/>
      </c>
      <c r="AL1591" t="str">
        <f>IF([3]Entry!$N$1594="","",[3]Entry!$N$1594)</f>
        <v/>
      </c>
      <c r="AM1591" t="str">
        <f>IF([3]Entry!$R$1594="","",[3]Entry!$R$1594)</f>
        <v/>
      </c>
    </row>
    <row r="1592" spans="20:39" x14ac:dyDescent="0.2">
      <c r="T1592" t="str">
        <f>IF([2]Baskol!$B$1595="","",[2]Baskol!$B$1595)</f>
        <v/>
      </c>
      <c r="U1592" t="str">
        <f>IF([2]Baskol!$C$1595="","",[2]Baskol!$C$1595)</f>
        <v/>
      </c>
      <c r="V1592" t="str">
        <f>IF([2]Baskol!$D$1595="","",[2]Baskol!$D$1595)</f>
        <v/>
      </c>
      <c r="W1592" t="str">
        <f>IF([2]Baskol!$E$1595="","",[2]Baskol!$E$1595)</f>
        <v/>
      </c>
      <c r="X1592" t="str">
        <f>IF([2]Baskol!$G$1595="","",[2]Baskol!$G$1595)</f>
        <v/>
      </c>
      <c r="Y1592" t="str">
        <f>IF([2]Baskol!$I$1595="","",[2]Baskol!$I$1595)</f>
        <v/>
      </c>
      <c r="Z1592" t="str">
        <f>IF([2]Baskol!$J$1595="","",[2]Baskol!$J$1595)</f>
        <v/>
      </c>
      <c r="AA1592" t="str">
        <f>IF([2]Baskol!$K$1595="","",[2]Baskol!$K$1595)</f>
        <v/>
      </c>
      <c r="AB1592" t="str">
        <f>IF([2]Baskol!$L$1595="","",[2]Baskol!$L$1595)</f>
        <v/>
      </c>
      <c r="AC1592" t="str">
        <f>IF([2]Baskol!$N$1595="","",[2]Baskol!$N$1595)</f>
        <v/>
      </c>
      <c r="AD1592" t="str">
        <f>IF([2]Baskol!$O$1595="","",[2]Baskol!$O$1595)</f>
        <v/>
      </c>
      <c r="AE1592" t="str">
        <f>IF([3]Entry!$C$1595="","",[3]Entry!$C$1595)</f>
        <v/>
      </c>
      <c r="AF1592" t="str">
        <f>IF([3]Entry!$D$1595="","",[3]Entry!$D$1595)</f>
        <v/>
      </c>
      <c r="AG1592" t="str">
        <f>IF([3]Entry!$E$1595="","",[3]Entry!$E$1595)</f>
        <v/>
      </c>
      <c r="AH1592" t="str">
        <f>IF([3]Entry!$G$1595="","",[3]Entry!$G$1595)</f>
        <v/>
      </c>
      <c r="AI1592" t="str">
        <f>IF([3]Entry!$K$1595="","",[3]Entry!$K$1595)</f>
        <v/>
      </c>
      <c r="AJ1592" t="str">
        <f>IF([3]Entry!$L$1595="","",[3]Entry!$L$1595)</f>
        <v/>
      </c>
      <c r="AK1592" t="str">
        <f>IF([3]Entry!$M$1595="","",[3]Entry!$M$1595)</f>
        <v/>
      </c>
      <c r="AL1592" t="str">
        <f>IF([3]Entry!$N$1595="","",[3]Entry!$N$1595)</f>
        <v/>
      </c>
      <c r="AM1592" t="str">
        <f>IF([3]Entry!$R$1595="","",[3]Entry!$R$1595)</f>
        <v/>
      </c>
    </row>
    <row r="1593" spans="20:39" x14ac:dyDescent="0.2">
      <c r="T1593" t="str">
        <f>IF([2]Baskol!$B$1596="","",[2]Baskol!$B$1596)</f>
        <v/>
      </c>
      <c r="U1593" t="str">
        <f>IF([2]Baskol!$C$1596="","",[2]Baskol!$C$1596)</f>
        <v/>
      </c>
      <c r="V1593" t="str">
        <f>IF([2]Baskol!$D$1596="","",[2]Baskol!$D$1596)</f>
        <v/>
      </c>
      <c r="W1593" t="str">
        <f>IF([2]Baskol!$E$1596="","",[2]Baskol!$E$1596)</f>
        <v/>
      </c>
      <c r="X1593" t="str">
        <f>IF([2]Baskol!$G$1596="","",[2]Baskol!$G$1596)</f>
        <v/>
      </c>
      <c r="Y1593" t="str">
        <f>IF([2]Baskol!$I$1596="","",[2]Baskol!$I$1596)</f>
        <v/>
      </c>
      <c r="Z1593" t="str">
        <f>IF([2]Baskol!$J$1596="","",[2]Baskol!$J$1596)</f>
        <v/>
      </c>
      <c r="AA1593" t="str">
        <f>IF([2]Baskol!$K$1596="","",[2]Baskol!$K$1596)</f>
        <v/>
      </c>
      <c r="AB1593" t="str">
        <f>IF([2]Baskol!$L$1596="","",[2]Baskol!$L$1596)</f>
        <v/>
      </c>
      <c r="AC1593" t="str">
        <f>IF([2]Baskol!$N$1596="","",[2]Baskol!$N$1596)</f>
        <v/>
      </c>
      <c r="AD1593" t="str">
        <f>IF([2]Baskol!$O$1596="","",[2]Baskol!$O$1596)</f>
        <v/>
      </c>
      <c r="AE1593" t="str">
        <f>IF([3]Entry!$C$1596="","",[3]Entry!$C$1596)</f>
        <v/>
      </c>
      <c r="AF1593" t="str">
        <f>IF([3]Entry!$D$1596="","",[3]Entry!$D$1596)</f>
        <v/>
      </c>
      <c r="AG1593" t="str">
        <f>IF([3]Entry!$E$1596="","",[3]Entry!$E$1596)</f>
        <v/>
      </c>
      <c r="AH1593" t="str">
        <f>IF([3]Entry!$G$1596="","",[3]Entry!$G$1596)</f>
        <v/>
      </c>
      <c r="AI1593" t="str">
        <f>IF([3]Entry!$K$1596="","",[3]Entry!$K$1596)</f>
        <v/>
      </c>
      <c r="AJ1593" t="str">
        <f>IF([3]Entry!$L$1596="","",[3]Entry!$L$1596)</f>
        <v/>
      </c>
      <c r="AK1593" t="str">
        <f>IF([3]Entry!$M$1596="","",[3]Entry!$M$1596)</f>
        <v/>
      </c>
      <c r="AL1593" t="str">
        <f>IF([3]Entry!$N$1596="","",[3]Entry!$N$1596)</f>
        <v/>
      </c>
      <c r="AM1593" t="str">
        <f>IF([3]Entry!$R$1596="","",[3]Entry!$R$1596)</f>
        <v/>
      </c>
    </row>
    <row r="1594" spans="20:39" x14ac:dyDescent="0.2">
      <c r="T1594" t="str">
        <f>IF([2]Baskol!$B$1597="","",[2]Baskol!$B$1597)</f>
        <v/>
      </c>
      <c r="U1594" t="str">
        <f>IF([2]Baskol!$C$1597="","",[2]Baskol!$C$1597)</f>
        <v/>
      </c>
      <c r="V1594" t="str">
        <f>IF([2]Baskol!$D$1597="","",[2]Baskol!$D$1597)</f>
        <v/>
      </c>
      <c r="W1594" t="str">
        <f>IF([2]Baskol!$E$1597="","",[2]Baskol!$E$1597)</f>
        <v/>
      </c>
      <c r="X1594" t="str">
        <f>IF([2]Baskol!$G$1597="","",[2]Baskol!$G$1597)</f>
        <v/>
      </c>
      <c r="Y1594" t="str">
        <f>IF([2]Baskol!$I$1597="","",[2]Baskol!$I$1597)</f>
        <v/>
      </c>
      <c r="Z1594" t="str">
        <f>IF([2]Baskol!$J$1597="","",[2]Baskol!$J$1597)</f>
        <v/>
      </c>
      <c r="AA1594" t="str">
        <f>IF([2]Baskol!$K$1597="","",[2]Baskol!$K$1597)</f>
        <v/>
      </c>
      <c r="AB1594" t="str">
        <f>IF([2]Baskol!$L$1597="","",[2]Baskol!$L$1597)</f>
        <v/>
      </c>
      <c r="AC1594" t="str">
        <f>IF([2]Baskol!$N$1597="","",[2]Baskol!$N$1597)</f>
        <v/>
      </c>
      <c r="AD1594" t="str">
        <f>IF([2]Baskol!$O$1597="","",[2]Baskol!$O$1597)</f>
        <v/>
      </c>
      <c r="AE1594" t="str">
        <f>IF([3]Entry!$C$1597="","",[3]Entry!$C$1597)</f>
        <v/>
      </c>
      <c r="AF1594" t="str">
        <f>IF([3]Entry!$D$1597="","",[3]Entry!$D$1597)</f>
        <v/>
      </c>
      <c r="AG1594" t="str">
        <f>IF([3]Entry!$E$1597="","",[3]Entry!$E$1597)</f>
        <v/>
      </c>
      <c r="AH1594" t="str">
        <f>IF([3]Entry!$G$1597="","",[3]Entry!$G$1597)</f>
        <v/>
      </c>
      <c r="AI1594" t="str">
        <f>IF([3]Entry!$K$1597="","",[3]Entry!$K$1597)</f>
        <v/>
      </c>
      <c r="AJ1594" t="str">
        <f>IF([3]Entry!$L$1597="","",[3]Entry!$L$1597)</f>
        <v/>
      </c>
      <c r="AK1594" t="str">
        <f>IF([3]Entry!$M$1597="","",[3]Entry!$M$1597)</f>
        <v/>
      </c>
      <c r="AL1594" t="str">
        <f>IF([3]Entry!$N$1597="","",[3]Entry!$N$1597)</f>
        <v/>
      </c>
      <c r="AM1594" t="str">
        <f>IF([3]Entry!$R$1597="","",[3]Entry!$R$1597)</f>
        <v/>
      </c>
    </row>
    <row r="1595" spans="20:39" x14ac:dyDescent="0.2">
      <c r="T1595" t="str">
        <f>IF([2]Baskol!$B$1598="","",[2]Baskol!$B$1598)</f>
        <v/>
      </c>
      <c r="U1595" t="str">
        <f>IF([2]Baskol!$C$1598="","",[2]Baskol!$C$1598)</f>
        <v/>
      </c>
      <c r="V1595" t="str">
        <f>IF([2]Baskol!$D$1598="","",[2]Baskol!$D$1598)</f>
        <v/>
      </c>
      <c r="W1595" t="str">
        <f>IF([2]Baskol!$E$1598="","",[2]Baskol!$E$1598)</f>
        <v/>
      </c>
      <c r="X1595" t="str">
        <f>IF([2]Baskol!$G$1598="","",[2]Baskol!$G$1598)</f>
        <v/>
      </c>
      <c r="Y1595" t="str">
        <f>IF([2]Baskol!$I$1598="","",[2]Baskol!$I$1598)</f>
        <v/>
      </c>
      <c r="Z1595" t="str">
        <f>IF([2]Baskol!$J$1598="","",[2]Baskol!$J$1598)</f>
        <v/>
      </c>
      <c r="AA1595" t="str">
        <f>IF([2]Baskol!$K$1598="","",[2]Baskol!$K$1598)</f>
        <v/>
      </c>
      <c r="AB1595" t="str">
        <f>IF([2]Baskol!$L$1598="","",[2]Baskol!$L$1598)</f>
        <v/>
      </c>
      <c r="AC1595" t="str">
        <f>IF([2]Baskol!$N$1598="","",[2]Baskol!$N$1598)</f>
        <v/>
      </c>
      <c r="AD1595" t="str">
        <f>IF([2]Baskol!$O$1598="","",[2]Baskol!$O$1598)</f>
        <v/>
      </c>
      <c r="AE1595" t="str">
        <f>IF([3]Entry!$C$1598="","",[3]Entry!$C$1598)</f>
        <v/>
      </c>
      <c r="AF1595" t="str">
        <f>IF([3]Entry!$D$1598="","",[3]Entry!$D$1598)</f>
        <v/>
      </c>
      <c r="AG1595" t="str">
        <f>IF([3]Entry!$E$1598="","",[3]Entry!$E$1598)</f>
        <v/>
      </c>
      <c r="AH1595" t="str">
        <f>IF([3]Entry!$G$1598="","",[3]Entry!$G$1598)</f>
        <v/>
      </c>
      <c r="AI1595" t="str">
        <f>IF([3]Entry!$K$1598="","",[3]Entry!$K$1598)</f>
        <v/>
      </c>
      <c r="AJ1595" t="str">
        <f>IF([3]Entry!$L$1598="","",[3]Entry!$L$1598)</f>
        <v/>
      </c>
      <c r="AK1595" t="str">
        <f>IF([3]Entry!$M$1598="","",[3]Entry!$M$1598)</f>
        <v/>
      </c>
      <c r="AL1595" t="str">
        <f>IF([3]Entry!$N$1598="","",[3]Entry!$N$1598)</f>
        <v/>
      </c>
      <c r="AM1595" t="str">
        <f>IF([3]Entry!$R$1598="","",[3]Entry!$R$1598)</f>
        <v/>
      </c>
    </row>
    <row r="1596" spans="20:39" x14ac:dyDescent="0.2">
      <c r="T1596" t="str">
        <f>IF([2]Baskol!$B$1599="","",[2]Baskol!$B$1599)</f>
        <v/>
      </c>
      <c r="U1596" t="str">
        <f>IF([2]Baskol!$C$1599="","",[2]Baskol!$C$1599)</f>
        <v/>
      </c>
      <c r="V1596" t="str">
        <f>IF([2]Baskol!$D$1599="","",[2]Baskol!$D$1599)</f>
        <v/>
      </c>
      <c r="W1596" t="str">
        <f>IF([2]Baskol!$E$1599="","",[2]Baskol!$E$1599)</f>
        <v/>
      </c>
      <c r="X1596" t="str">
        <f>IF([2]Baskol!$G$1599="","",[2]Baskol!$G$1599)</f>
        <v/>
      </c>
      <c r="Y1596" t="str">
        <f>IF([2]Baskol!$I$1599="","",[2]Baskol!$I$1599)</f>
        <v/>
      </c>
      <c r="Z1596" t="str">
        <f>IF([2]Baskol!$J$1599="","",[2]Baskol!$J$1599)</f>
        <v/>
      </c>
      <c r="AA1596" t="str">
        <f>IF([2]Baskol!$K$1599="","",[2]Baskol!$K$1599)</f>
        <v/>
      </c>
      <c r="AB1596" t="str">
        <f>IF([2]Baskol!$L$1599="","",[2]Baskol!$L$1599)</f>
        <v/>
      </c>
      <c r="AC1596" t="str">
        <f>IF([2]Baskol!$N$1599="","",[2]Baskol!$N$1599)</f>
        <v/>
      </c>
      <c r="AD1596" t="str">
        <f>IF([2]Baskol!$O$1599="","",[2]Baskol!$O$1599)</f>
        <v/>
      </c>
      <c r="AE1596" t="str">
        <f>IF([3]Entry!$C$1599="","",[3]Entry!$C$1599)</f>
        <v/>
      </c>
      <c r="AF1596" t="str">
        <f>IF([3]Entry!$D$1599="","",[3]Entry!$D$1599)</f>
        <v/>
      </c>
      <c r="AG1596" t="str">
        <f>IF([3]Entry!$E$1599="","",[3]Entry!$E$1599)</f>
        <v/>
      </c>
      <c r="AH1596" t="str">
        <f>IF([3]Entry!$G$1599="","",[3]Entry!$G$1599)</f>
        <v/>
      </c>
      <c r="AI1596" t="str">
        <f>IF([3]Entry!$K$1599="","",[3]Entry!$K$1599)</f>
        <v/>
      </c>
      <c r="AJ1596" t="str">
        <f>IF([3]Entry!$L$1599="","",[3]Entry!$L$1599)</f>
        <v/>
      </c>
      <c r="AK1596" t="str">
        <f>IF([3]Entry!$M$1599="","",[3]Entry!$M$1599)</f>
        <v/>
      </c>
      <c r="AL1596" t="str">
        <f>IF([3]Entry!$N$1599="","",[3]Entry!$N$1599)</f>
        <v/>
      </c>
      <c r="AM1596" t="str">
        <f>IF([3]Entry!$R$1599="","",[3]Entry!$R$1599)</f>
        <v/>
      </c>
    </row>
    <row r="1597" spans="20:39" x14ac:dyDescent="0.2">
      <c r="T1597" t="str">
        <f>IF([2]Baskol!$B$1600="","",[2]Baskol!$B$1600)</f>
        <v/>
      </c>
      <c r="U1597" t="str">
        <f>IF([2]Baskol!$C$1600="","",[2]Baskol!$C$1600)</f>
        <v/>
      </c>
      <c r="V1597" t="str">
        <f>IF([2]Baskol!$D$1600="","",[2]Baskol!$D$1600)</f>
        <v/>
      </c>
      <c r="W1597" t="str">
        <f>IF([2]Baskol!$E$1600="","",[2]Baskol!$E$1600)</f>
        <v/>
      </c>
      <c r="X1597" t="str">
        <f>IF([2]Baskol!$G$1600="","",[2]Baskol!$G$1600)</f>
        <v/>
      </c>
      <c r="Y1597" t="str">
        <f>IF([2]Baskol!$I$1600="","",[2]Baskol!$I$1600)</f>
        <v/>
      </c>
      <c r="Z1597" t="str">
        <f>IF([2]Baskol!$J$1600="","",[2]Baskol!$J$1600)</f>
        <v/>
      </c>
      <c r="AA1597" t="str">
        <f>IF([2]Baskol!$K$1600="","",[2]Baskol!$K$1600)</f>
        <v/>
      </c>
      <c r="AB1597" t="str">
        <f>IF([2]Baskol!$L$1600="","",[2]Baskol!$L$1600)</f>
        <v/>
      </c>
      <c r="AC1597" t="str">
        <f>IF([2]Baskol!$N$1600="","",[2]Baskol!$N$1600)</f>
        <v/>
      </c>
      <c r="AD1597" t="str">
        <f>IF([2]Baskol!$O$1600="","",[2]Baskol!$O$1600)</f>
        <v/>
      </c>
      <c r="AE1597" t="str">
        <f>IF([3]Entry!$C$1600="","",[3]Entry!$C$1600)</f>
        <v/>
      </c>
      <c r="AF1597" t="str">
        <f>IF([3]Entry!$D$1600="","",[3]Entry!$D$1600)</f>
        <v/>
      </c>
      <c r="AG1597" t="str">
        <f>IF([3]Entry!$E$1600="","",[3]Entry!$E$1600)</f>
        <v/>
      </c>
      <c r="AH1597" t="str">
        <f>IF([3]Entry!$G$1600="","",[3]Entry!$G$1600)</f>
        <v/>
      </c>
      <c r="AI1597" t="str">
        <f>IF([3]Entry!$K$1600="","",[3]Entry!$K$1600)</f>
        <v/>
      </c>
      <c r="AJ1597" t="str">
        <f>IF([3]Entry!$L$1600="","",[3]Entry!$L$1600)</f>
        <v/>
      </c>
      <c r="AK1597" t="str">
        <f>IF([3]Entry!$M$1600="","",[3]Entry!$M$1600)</f>
        <v/>
      </c>
      <c r="AL1597" t="str">
        <f>IF([3]Entry!$N$1600="","",[3]Entry!$N$1600)</f>
        <v/>
      </c>
      <c r="AM1597" t="str">
        <f>IF([3]Entry!$R$1600="","",[3]Entry!$R$1600)</f>
        <v/>
      </c>
    </row>
    <row r="1598" spans="20:39" x14ac:dyDescent="0.2">
      <c r="T1598" t="str">
        <f>IF([2]Baskol!$B$1601="","",[2]Baskol!$B$1601)</f>
        <v/>
      </c>
      <c r="U1598" t="str">
        <f>IF([2]Baskol!$C$1601="","",[2]Baskol!$C$1601)</f>
        <v/>
      </c>
      <c r="V1598" t="str">
        <f>IF([2]Baskol!$D$1601="","",[2]Baskol!$D$1601)</f>
        <v/>
      </c>
      <c r="W1598" t="str">
        <f>IF([2]Baskol!$E$1601="","",[2]Baskol!$E$1601)</f>
        <v/>
      </c>
      <c r="X1598" t="str">
        <f>IF([2]Baskol!$G$1601="","",[2]Baskol!$G$1601)</f>
        <v/>
      </c>
      <c r="Y1598" t="str">
        <f>IF([2]Baskol!$I$1601="","",[2]Baskol!$I$1601)</f>
        <v/>
      </c>
      <c r="Z1598" t="str">
        <f>IF([2]Baskol!$J$1601="","",[2]Baskol!$J$1601)</f>
        <v/>
      </c>
      <c r="AA1598" t="str">
        <f>IF([2]Baskol!$K$1601="","",[2]Baskol!$K$1601)</f>
        <v/>
      </c>
      <c r="AB1598" t="str">
        <f>IF([2]Baskol!$L$1601="","",[2]Baskol!$L$1601)</f>
        <v/>
      </c>
      <c r="AC1598" t="str">
        <f>IF([2]Baskol!$N$1601="","",[2]Baskol!$N$1601)</f>
        <v/>
      </c>
      <c r="AD1598" t="str">
        <f>IF([2]Baskol!$O$1601="","",[2]Baskol!$O$1601)</f>
        <v/>
      </c>
      <c r="AE1598" t="str">
        <f>IF([3]Entry!$C$1601="","",[3]Entry!$C$1601)</f>
        <v/>
      </c>
      <c r="AF1598" t="str">
        <f>IF([3]Entry!$D$1601="","",[3]Entry!$D$1601)</f>
        <v/>
      </c>
      <c r="AG1598" t="str">
        <f>IF([3]Entry!$E$1601="","",[3]Entry!$E$1601)</f>
        <v/>
      </c>
      <c r="AH1598" t="str">
        <f>IF([3]Entry!$G$1601="","",[3]Entry!$G$1601)</f>
        <v/>
      </c>
      <c r="AI1598" t="str">
        <f>IF([3]Entry!$K$1601="","",[3]Entry!$K$1601)</f>
        <v/>
      </c>
      <c r="AJ1598" t="str">
        <f>IF([3]Entry!$L$1601="","",[3]Entry!$L$1601)</f>
        <v/>
      </c>
      <c r="AK1598" t="str">
        <f>IF([3]Entry!$M$1601="","",[3]Entry!$M$1601)</f>
        <v/>
      </c>
      <c r="AL1598" t="str">
        <f>IF([3]Entry!$N$1601="","",[3]Entry!$N$1601)</f>
        <v/>
      </c>
      <c r="AM1598" t="str">
        <f>IF([3]Entry!$R$1601="","",[3]Entry!$R$1601)</f>
        <v/>
      </c>
    </row>
    <row r="1599" spans="20:39" x14ac:dyDescent="0.2">
      <c r="T1599" t="str">
        <f>IF([2]Baskol!$B$1602="","",[2]Baskol!$B$1602)</f>
        <v/>
      </c>
      <c r="U1599" t="str">
        <f>IF([2]Baskol!$C$1602="","",[2]Baskol!$C$1602)</f>
        <v/>
      </c>
      <c r="V1599" t="str">
        <f>IF([2]Baskol!$D$1602="","",[2]Baskol!$D$1602)</f>
        <v/>
      </c>
      <c r="W1599" t="str">
        <f>IF([2]Baskol!$E$1602="","",[2]Baskol!$E$1602)</f>
        <v/>
      </c>
      <c r="X1599" t="str">
        <f>IF([2]Baskol!$G$1602="","",[2]Baskol!$G$1602)</f>
        <v/>
      </c>
      <c r="Y1599" t="str">
        <f>IF([2]Baskol!$I$1602="","",[2]Baskol!$I$1602)</f>
        <v/>
      </c>
      <c r="Z1599" t="str">
        <f>IF([2]Baskol!$J$1602="","",[2]Baskol!$J$1602)</f>
        <v/>
      </c>
      <c r="AA1599" t="str">
        <f>IF([2]Baskol!$K$1602="","",[2]Baskol!$K$1602)</f>
        <v/>
      </c>
      <c r="AB1599" t="str">
        <f>IF([2]Baskol!$L$1602="","",[2]Baskol!$L$1602)</f>
        <v/>
      </c>
      <c r="AC1599" t="str">
        <f>IF([2]Baskol!$N$1602="","",[2]Baskol!$N$1602)</f>
        <v/>
      </c>
      <c r="AD1599" t="str">
        <f>IF([2]Baskol!$O$1602="","",[2]Baskol!$O$1602)</f>
        <v/>
      </c>
      <c r="AE1599" t="str">
        <f>IF([3]Entry!$C$1602="","",[3]Entry!$C$1602)</f>
        <v/>
      </c>
      <c r="AF1599" t="str">
        <f>IF([3]Entry!$D$1602="","",[3]Entry!$D$1602)</f>
        <v/>
      </c>
      <c r="AG1599" t="str">
        <f>IF([3]Entry!$E$1602="","",[3]Entry!$E$1602)</f>
        <v/>
      </c>
      <c r="AH1599" t="str">
        <f>IF([3]Entry!$G$1602="","",[3]Entry!$G$1602)</f>
        <v/>
      </c>
      <c r="AI1599" t="str">
        <f>IF([3]Entry!$K$1602="","",[3]Entry!$K$1602)</f>
        <v/>
      </c>
      <c r="AJ1599" t="str">
        <f>IF([3]Entry!$L$1602="","",[3]Entry!$L$1602)</f>
        <v/>
      </c>
      <c r="AK1599" t="str">
        <f>IF([3]Entry!$M$1602="","",[3]Entry!$M$1602)</f>
        <v/>
      </c>
      <c r="AL1599" t="str">
        <f>IF([3]Entry!$N$1602="","",[3]Entry!$N$1602)</f>
        <v/>
      </c>
      <c r="AM1599" t="str">
        <f>IF([3]Entry!$R$1602="","",[3]Entry!$R$1602)</f>
        <v/>
      </c>
    </row>
    <row r="1600" spans="20:39" x14ac:dyDescent="0.2">
      <c r="T1600" t="str">
        <f>IF([2]Baskol!$B$1603="","",[2]Baskol!$B$1603)</f>
        <v/>
      </c>
      <c r="U1600" t="str">
        <f>IF([2]Baskol!$C$1603="","",[2]Baskol!$C$1603)</f>
        <v/>
      </c>
      <c r="V1600" t="str">
        <f>IF([2]Baskol!$D$1603="","",[2]Baskol!$D$1603)</f>
        <v/>
      </c>
      <c r="W1600" t="str">
        <f>IF([2]Baskol!$E$1603="","",[2]Baskol!$E$1603)</f>
        <v/>
      </c>
      <c r="X1600" t="str">
        <f>IF([2]Baskol!$G$1603="","",[2]Baskol!$G$1603)</f>
        <v/>
      </c>
      <c r="Y1600" t="str">
        <f>IF([2]Baskol!$I$1603="","",[2]Baskol!$I$1603)</f>
        <v/>
      </c>
      <c r="Z1600" t="str">
        <f>IF([2]Baskol!$J$1603="","",[2]Baskol!$J$1603)</f>
        <v/>
      </c>
      <c r="AA1600" t="str">
        <f>IF([2]Baskol!$K$1603="","",[2]Baskol!$K$1603)</f>
        <v/>
      </c>
      <c r="AB1600" t="str">
        <f>IF([2]Baskol!$L$1603="","",[2]Baskol!$L$1603)</f>
        <v/>
      </c>
      <c r="AC1600" t="str">
        <f>IF([2]Baskol!$N$1603="","",[2]Baskol!$N$1603)</f>
        <v/>
      </c>
      <c r="AD1600" t="str">
        <f>IF([2]Baskol!$O$1603="","",[2]Baskol!$O$1603)</f>
        <v/>
      </c>
      <c r="AE1600" t="str">
        <f>IF([3]Entry!$C$1603="","",[3]Entry!$C$1603)</f>
        <v/>
      </c>
      <c r="AF1600" t="str">
        <f>IF([3]Entry!$D$1603="","",[3]Entry!$D$1603)</f>
        <v/>
      </c>
      <c r="AG1600" t="str">
        <f>IF([3]Entry!$E$1603="","",[3]Entry!$E$1603)</f>
        <v/>
      </c>
      <c r="AH1600" t="str">
        <f>IF([3]Entry!$G$1603="","",[3]Entry!$G$1603)</f>
        <v/>
      </c>
      <c r="AI1600" t="str">
        <f>IF([3]Entry!$K$1603="","",[3]Entry!$K$1603)</f>
        <v/>
      </c>
      <c r="AJ1600" t="str">
        <f>IF([3]Entry!$L$1603="","",[3]Entry!$L$1603)</f>
        <v/>
      </c>
      <c r="AK1600" t="str">
        <f>IF([3]Entry!$M$1603="","",[3]Entry!$M$1603)</f>
        <v/>
      </c>
      <c r="AL1600" t="str">
        <f>IF([3]Entry!$N$1603="","",[3]Entry!$N$1603)</f>
        <v/>
      </c>
      <c r="AM1600" t="str">
        <f>IF([3]Entry!$R$1603="","",[3]Entry!$R$1603)</f>
        <v/>
      </c>
    </row>
    <row r="1601" spans="20:39" x14ac:dyDescent="0.2">
      <c r="T1601" t="str">
        <f>IF([2]Baskol!$B$1604="","",[2]Baskol!$B$1604)</f>
        <v/>
      </c>
      <c r="U1601" t="str">
        <f>IF([2]Baskol!$C$1604="","",[2]Baskol!$C$1604)</f>
        <v/>
      </c>
      <c r="V1601" t="str">
        <f>IF([2]Baskol!$D$1604="","",[2]Baskol!$D$1604)</f>
        <v/>
      </c>
      <c r="W1601" t="str">
        <f>IF([2]Baskol!$E$1604="","",[2]Baskol!$E$1604)</f>
        <v/>
      </c>
      <c r="X1601" t="str">
        <f>IF([2]Baskol!$G$1604="","",[2]Baskol!$G$1604)</f>
        <v/>
      </c>
      <c r="Y1601" t="str">
        <f>IF([2]Baskol!$I$1604="","",[2]Baskol!$I$1604)</f>
        <v/>
      </c>
      <c r="Z1601" t="str">
        <f>IF([2]Baskol!$J$1604="","",[2]Baskol!$J$1604)</f>
        <v/>
      </c>
      <c r="AA1601" t="str">
        <f>IF([2]Baskol!$K$1604="","",[2]Baskol!$K$1604)</f>
        <v/>
      </c>
      <c r="AB1601" t="str">
        <f>IF([2]Baskol!$L$1604="","",[2]Baskol!$L$1604)</f>
        <v/>
      </c>
      <c r="AC1601" t="str">
        <f>IF([2]Baskol!$N$1604="","",[2]Baskol!$N$1604)</f>
        <v/>
      </c>
      <c r="AD1601" t="str">
        <f>IF([2]Baskol!$O$1604="","",[2]Baskol!$O$1604)</f>
        <v/>
      </c>
      <c r="AE1601" t="str">
        <f>IF([3]Entry!$C$1604="","",[3]Entry!$C$1604)</f>
        <v/>
      </c>
      <c r="AF1601" t="str">
        <f>IF([3]Entry!$D$1604="","",[3]Entry!$D$1604)</f>
        <v/>
      </c>
      <c r="AG1601" t="str">
        <f>IF([3]Entry!$E$1604="","",[3]Entry!$E$1604)</f>
        <v/>
      </c>
      <c r="AH1601" t="str">
        <f>IF([3]Entry!$G$1604="","",[3]Entry!$G$1604)</f>
        <v/>
      </c>
      <c r="AI1601" t="str">
        <f>IF([3]Entry!$K$1604="","",[3]Entry!$K$1604)</f>
        <v/>
      </c>
      <c r="AJ1601" t="str">
        <f>IF([3]Entry!$L$1604="","",[3]Entry!$L$1604)</f>
        <v/>
      </c>
      <c r="AK1601" t="str">
        <f>IF([3]Entry!$M$1604="","",[3]Entry!$M$1604)</f>
        <v/>
      </c>
      <c r="AL1601" t="str">
        <f>IF([3]Entry!$N$1604="","",[3]Entry!$N$1604)</f>
        <v/>
      </c>
      <c r="AM1601" t="str">
        <f>IF([3]Entry!$R$1604="","",[3]Entry!$R$1604)</f>
        <v/>
      </c>
    </row>
    <row r="1602" spans="20:39" x14ac:dyDescent="0.2">
      <c r="T1602" t="str">
        <f>IF([2]Baskol!$B$1605="","",[2]Baskol!$B$1605)</f>
        <v/>
      </c>
      <c r="U1602" t="str">
        <f>IF([2]Baskol!$C$1605="","",[2]Baskol!$C$1605)</f>
        <v/>
      </c>
      <c r="V1602" t="str">
        <f>IF([2]Baskol!$D$1605="","",[2]Baskol!$D$1605)</f>
        <v/>
      </c>
      <c r="W1602" t="str">
        <f>IF([2]Baskol!$E$1605="","",[2]Baskol!$E$1605)</f>
        <v/>
      </c>
      <c r="X1602" t="str">
        <f>IF([2]Baskol!$G$1605="","",[2]Baskol!$G$1605)</f>
        <v/>
      </c>
      <c r="Y1602" t="str">
        <f>IF([2]Baskol!$I$1605="","",[2]Baskol!$I$1605)</f>
        <v/>
      </c>
      <c r="Z1602" t="str">
        <f>IF([2]Baskol!$J$1605="","",[2]Baskol!$J$1605)</f>
        <v/>
      </c>
      <c r="AA1602" t="str">
        <f>IF([2]Baskol!$K$1605="","",[2]Baskol!$K$1605)</f>
        <v/>
      </c>
      <c r="AB1602" t="str">
        <f>IF([2]Baskol!$L$1605="","",[2]Baskol!$L$1605)</f>
        <v/>
      </c>
      <c r="AC1602" t="str">
        <f>IF([2]Baskol!$N$1605="","",[2]Baskol!$N$1605)</f>
        <v/>
      </c>
      <c r="AD1602" t="str">
        <f>IF([2]Baskol!$O$1605="","",[2]Baskol!$O$1605)</f>
        <v/>
      </c>
      <c r="AE1602" t="str">
        <f>IF([3]Entry!$C$1605="","",[3]Entry!$C$1605)</f>
        <v/>
      </c>
      <c r="AF1602" t="str">
        <f>IF([3]Entry!$D$1605="","",[3]Entry!$D$1605)</f>
        <v/>
      </c>
      <c r="AG1602" t="str">
        <f>IF([3]Entry!$E$1605="","",[3]Entry!$E$1605)</f>
        <v/>
      </c>
      <c r="AH1602" t="str">
        <f>IF([3]Entry!$G$1605="","",[3]Entry!$G$1605)</f>
        <v/>
      </c>
      <c r="AI1602" t="str">
        <f>IF([3]Entry!$K$1605="","",[3]Entry!$K$1605)</f>
        <v/>
      </c>
      <c r="AJ1602" t="str">
        <f>IF([3]Entry!$L$1605="","",[3]Entry!$L$1605)</f>
        <v/>
      </c>
      <c r="AK1602" t="str">
        <f>IF([3]Entry!$M$1605="","",[3]Entry!$M$1605)</f>
        <v/>
      </c>
      <c r="AL1602" t="str">
        <f>IF([3]Entry!$N$1605="","",[3]Entry!$N$1605)</f>
        <v/>
      </c>
      <c r="AM1602" t="str">
        <f>IF([3]Entry!$R$1605="","",[3]Entry!$R$1605)</f>
        <v/>
      </c>
    </row>
    <row r="1603" spans="20:39" x14ac:dyDescent="0.2">
      <c r="T1603" t="str">
        <f>IF([2]Baskol!$B$1606="","",[2]Baskol!$B$1606)</f>
        <v/>
      </c>
      <c r="U1603" t="str">
        <f>IF([2]Baskol!$C$1606="","",[2]Baskol!$C$1606)</f>
        <v/>
      </c>
      <c r="V1603" t="str">
        <f>IF([2]Baskol!$D$1606="","",[2]Baskol!$D$1606)</f>
        <v/>
      </c>
      <c r="W1603" t="str">
        <f>IF([2]Baskol!$E$1606="","",[2]Baskol!$E$1606)</f>
        <v/>
      </c>
      <c r="X1603" t="str">
        <f>IF([2]Baskol!$G$1606="","",[2]Baskol!$G$1606)</f>
        <v/>
      </c>
      <c r="Y1603" t="str">
        <f>IF([2]Baskol!$I$1606="","",[2]Baskol!$I$1606)</f>
        <v/>
      </c>
      <c r="Z1603" t="str">
        <f>IF([2]Baskol!$J$1606="","",[2]Baskol!$J$1606)</f>
        <v/>
      </c>
      <c r="AA1603" t="str">
        <f>IF([2]Baskol!$K$1606="","",[2]Baskol!$K$1606)</f>
        <v/>
      </c>
      <c r="AB1603" t="str">
        <f>IF([2]Baskol!$L$1606="","",[2]Baskol!$L$1606)</f>
        <v/>
      </c>
      <c r="AC1603" t="str">
        <f>IF([2]Baskol!$N$1606="","",[2]Baskol!$N$1606)</f>
        <v/>
      </c>
      <c r="AD1603" t="str">
        <f>IF([2]Baskol!$O$1606="","",[2]Baskol!$O$1606)</f>
        <v/>
      </c>
      <c r="AE1603" t="str">
        <f>IF([3]Entry!$C$1606="","",[3]Entry!$C$1606)</f>
        <v/>
      </c>
      <c r="AF1603" t="str">
        <f>IF([3]Entry!$D$1606="","",[3]Entry!$D$1606)</f>
        <v/>
      </c>
      <c r="AG1603" t="str">
        <f>IF([3]Entry!$E$1606="","",[3]Entry!$E$1606)</f>
        <v/>
      </c>
      <c r="AH1603" t="str">
        <f>IF([3]Entry!$G$1606="","",[3]Entry!$G$1606)</f>
        <v/>
      </c>
      <c r="AI1603" t="str">
        <f>IF([3]Entry!$K$1606="","",[3]Entry!$K$1606)</f>
        <v/>
      </c>
      <c r="AJ1603" t="str">
        <f>IF([3]Entry!$L$1606="","",[3]Entry!$L$1606)</f>
        <v/>
      </c>
      <c r="AK1603" t="str">
        <f>IF([3]Entry!$M$1606="","",[3]Entry!$M$1606)</f>
        <v/>
      </c>
      <c r="AL1603" t="str">
        <f>IF([3]Entry!$N$1606="","",[3]Entry!$N$1606)</f>
        <v/>
      </c>
      <c r="AM1603" t="str">
        <f>IF([3]Entry!$R$1606="","",[3]Entry!$R$1606)</f>
        <v/>
      </c>
    </row>
    <row r="1604" spans="20:39" x14ac:dyDescent="0.2">
      <c r="T1604" t="str">
        <f>IF([2]Baskol!$B$1607="","",[2]Baskol!$B$1607)</f>
        <v/>
      </c>
      <c r="U1604" t="str">
        <f>IF([2]Baskol!$C$1607="","",[2]Baskol!$C$1607)</f>
        <v/>
      </c>
      <c r="V1604" t="str">
        <f>IF([2]Baskol!$D$1607="","",[2]Baskol!$D$1607)</f>
        <v/>
      </c>
      <c r="W1604" t="str">
        <f>IF([2]Baskol!$E$1607="","",[2]Baskol!$E$1607)</f>
        <v/>
      </c>
      <c r="X1604" t="str">
        <f>IF([2]Baskol!$G$1607="","",[2]Baskol!$G$1607)</f>
        <v/>
      </c>
      <c r="Y1604" t="str">
        <f>IF([2]Baskol!$I$1607="","",[2]Baskol!$I$1607)</f>
        <v/>
      </c>
      <c r="Z1604" t="str">
        <f>IF([2]Baskol!$J$1607="","",[2]Baskol!$J$1607)</f>
        <v/>
      </c>
      <c r="AA1604" t="str">
        <f>IF([2]Baskol!$K$1607="","",[2]Baskol!$K$1607)</f>
        <v/>
      </c>
      <c r="AB1604" t="str">
        <f>IF([2]Baskol!$L$1607="","",[2]Baskol!$L$1607)</f>
        <v/>
      </c>
      <c r="AC1604" t="str">
        <f>IF([2]Baskol!$N$1607="","",[2]Baskol!$N$1607)</f>
        <v/>
      </c>
      <c r="AD1604" t="str">
        <f>IF([2]Baskol!$O$1607="","",[2]Baskol!$O$1607)</f>
        <v/>
      </c>
      <c r="AE1604" t="str">
        <f>IF([3]Entry!$C$1607="","",[3]Entry!$C$1607)</f>
        <v/>
      </c>
      <c r="AF1604" t="str">
        <f>IF([3]Entry!$D$1607="","",[3]Entry!$D$1607)</f>
        <v/>
      </c>
      <c r="AG1604" t="str">
        <f>IF([3]Entry!$E$1607="","",[3]Entry!$E$1607)</f>
        <v/>
      </c>
      <c r="AH1604" t="str">
        <f>IF([3]Entry!$G$1607="","",[3]Entry!$G$1607)</f>
        <v/>
      </c>
      <c r="AI1604" t="str">
        <f>IF([3]Entry!$K$1607="","",[3]Entry!$K$1607)</f>
        <v/>
      </c>
      <c r="AJ1604" t="str">
        <f>IF([3]Entry!$L$1607="","",[3]Entry!$L$1607)</f>
        <v/>
      </c>
      <c r="AK1604" t="str">
        <f>IF([3]Entry!$M$1607="","",[3]Entry!$M$1607)</f>
        <v/>
      </c>
      <c r="AL1604" t="str">
        <f>IF([3]Entry!$N$1607="","",[3]Entry!$N$1607)</f>
        <v/>
      </c>
      <c r="AM1604" t="str">
        <f>IF([3]Entry!$R$1607="","",[3]Entry!$R$1607)</f>
        <v/>
      </c>
    </row>
    <row r="1605" spans="20:39" x14ac:dyDescent="0.2">
      <c r="T1605" t="str">
        <f>IF([2]Baskol!$B$1608="","",[2]Baskol!$B$1608)</f>
        <v/>
      </c>
      <c r="U1605" t="str">
        <f>IF([2]Baskol!$C$1608="","",[2]Baskol!$C$1608)</f>
        <v/>
      </c>
      <c r="V1605" t="str">
        <f>IF([2]Baskol!$D$1608="","",[2]Baskol!$D$1608)</f>
        <v/>
      </c>
      <c r="W1605" t="str">
        <f>IF([2]Baskol!$E$1608="","",[2]Baskol!$E$1608)</f>
        <v/>
      </c>
      <c r="X1605" t="str">
        <f>IF([2]Baskol!$G$1608="","",[2]Baskol!$G$1608)</f>
        <v/>
      </c>
      <c r="Y1605" t="str">
        <f>IF([2]Baskol!$I$1608="","",[2]Baskol!$I$1608)</f>
        <v/>
      </c>
      <c r="Z1605" t="str">
        <f>IF([2]Baskol!$J$1608="","",[2]Baskol!$J$1608)</f>
        <v/>
      </c>
      <c r="AA1605" t="str">
        <f>IF([2]Baskol!$K$1608="","",[2]Baskol!$K$1608)</f>
        <v/>
      </c>
      <c r="AB1605" t="str">
        <f>IF([2]Baskol!$L$1608="","",[2]Baskol!$L$1608)</f>
        <v/>
      </c>
      <c r="AC1605" t="str">
        <f>IF([2]Baskol!$N$1608="","",[2]Baskol!$N$1608)</f>
        <v/>
      </c>
      <c r="AD1605" t="str">
        <f>IF([2]Baskol!$O$1608="","",[2]Baskol!$O$1608)</f>
        <v/>
      </c>
      <c r="AE1605" t="str">
        <f>IF([3]Entry!$C$1608="","",[3]Entry!$C$1608)</f>
        <v/>
      </c>
      <c r="AF1605" t="str">
        <f>IF([3]Entry!$D$1608="","",[3]Entry!$D$1608)</f>
        <v/>
      </c>
      <c r="AG1605" t="str">
        <f>IF([3]Entry!$E$1608="","",[3]Entry!$E$1608)</f>
        <v/>
      </c>
      <c r="AH1605" t="str">
        <f>IF([3]Entry!$G$1608="","",[3]Entry!$G$1608)</f>
        <v/>
      </c>
      <c r="AI1605" t="str">
        <f>IF([3]Entry!$K$1608="","",[3]Entry!$K$1608)</f>
        <v/>
      </c>
      <c r="AJ1605" t="str">
        <f>IF([3]Entry!$L$1608="","",[3]Entry!$L$1608)</f>
        <v/>
      </c>
      <c r="AK1605" t="str">
        <f>IF([3]Entry!$M$1608="","",[3]Entry!$M$1608)</f>
        <v/>
      </c>
      <c r="AL1605" t="str">
        <f>IF([3]Entry!$N$1608="","",[3]Entry!$N$1608)</f>
        <v/>
      </c>
      <c r="AM1605" t="str">
        <f>IF([3]Entry!$R$1608="","",[3]Entry!$R$1608)</f>
        <v/>
      </c>
    </row>
    <row r="1606" spans="20:39" x14ac:dyDescent="0.2">
      <c r="T1606" t="str">
        <f>IF([2]Baskol!$B$1609="","",[2]Baskol!$B$1609)</f>
        <v/>
      </c>
      <c r="U1606" t="str">
        <f>IF([2]Baskol!$C$1609="","",[2]Baskol!$C$1609)</f>
        <v/>
      </c>
      <c r="V1606" t="str">
        <f>IF([2]Baskol!$D$1609="","",[2]Baskol!$D$1609)</f>
        <v/>
      </c>
      <c r="W1606" t="str">
        <f>IF([2]Baskol!$E$1609="","",[2]Baskol!$E$1609)</f>
        <v/>
      </c>
      <c r="X1606" t="str">
        <f>IF([2]Baskol!$G$1609="","",[2]Baskol!$G$1609)</f>
        <v/>
      </c>
      <c r="Y1606" t="str">
        <f>IF([2]Baskol!$I$1609="","",[2]Baskol!$I$1609)</f>
        <v/>
      </c>
      <c r="Z1606" t="str">
        <f>IF([2]Baskol!$J$1609="","",[2]Baskol!$J$1609)</f>
        <v/>
      </c>
      <c r="AA1606" t="str">
        <f>IF([2]Baskol!$K$1609="","",[2]Baskol!$K$1609)</f>
        <v/>
      </c>
      <c r="AB1606" t="str">
        <f>IF([2]Baskol!$L$1609="","",[2]Baskol!$L$1609)</f>
        <v/>
      </c>
      <c r="AC1606" t="str">
        <f>IF([2]Baskol!$N$1609="","",[2]Baskol!$N$1609)</f>
        <v/>
      </c>
      <c r="AD1606" t="str">
        <f>IF([2]Baskol!$O$1609="","",[2]Baskol!$O$1609)</f>
        <v/>
      </c>
      <c r="AE1606" t="str">
        <f>IF([3]Entry!$C$1609="","",[3]Entry!$C$1609)</f>
        <v/>
      </c>
      <c r="AF1606" t="str">
        <f>IF([3]Entry!$D$1609="","",[3]Entry!$D$1609)</f>
        <v/>
      </c>
      <c r="AG1606" t="str">
        <f>IF([3]Entry!$E$1609="","",[3]Entry!$E$1609)</f>
        <v/>
      </c>
      <c r="AH1606" t="str">
        <f>IF([3]Entry!$G$1609="","",[3]Entry!$G$1609)</f>
        <v/>
      </c>
      <c r="AI1606" t="str">
        <f>IF([3]Entry!$K$1609="","",[3]Entry!$K$1609)</f>
        <v/>
      </c>
      <c r="AJ1606" t="str">
        <f>IF([3]Entry!$L$1609="","",[3]Entry!$L$1609)</f>
        <v/>
      </c>
      <c r="AK1606" t="str">
        <f>IF([3]Entry!$M$1609="","",[3]Entry!$M$1609)</f>
        <v/>
      </c>
      <c r="AL1606" t="str">
        <f>IF([3]Entry!$N$1609="","",[3]Entry!$N$1609)</f>
        <v/>
      </c>
      <c r="AM1606" t="str">
        <f>IF([3]Entry!$R$1609="","",[3]Entry!$R$1609)</f>
        <v/>
      </c>
    </row>
    <row r="1607" spans="20:39" x14ac:dyDescent="0.2">
      <c r="T1607" t="str">
        <f>IF([2]Baskol!$B$1610="","",[2]Baskol!$B$1610)</f>
        <v/>
      </c>
      <c r="U1607" t="str">
        <f>IF([2]Baskol!$C$1610="","",[2]Baskol!$C$1610)</f>
        <v/>
      </c>
      <c r="V1607" t="str">
        <f>IF([2]Baskol!$D$1610="","",[2]Baskol!$D$1610)</f>
        <v/>
      </c>
      <c r="W1607" t="str">
        <f>IF([2]Baskol!$E$1610="","",[2]Baskol!$E$1610)</f>
        <v/>
      </c>
      <c r="X1607" t="str">
        <f>IF([2]Baskol!$G$1610="","",[2]Baskol!$G$1610)</f>
        <v/>
      </c>
      <c r="Y1607" t="str">
        <f>IF([2]Baskol!$I$1610="","",[2]Baskol!$I$1610)</f>
        <v/>
      </c>
      <c r="Z1607" t="str">
        <f>IF([2]Baskol!$J$1610="","",[2]Baskol!$J$1610)</f>
        <v/>
      </c>
      <c r="AA1607" t="str">
        <f>IF([2]Baskol!$K$1610="","",[2]Baskol!$K$1610)</f>
        <v/>
      </c>
      <c r="AB1607" t="str">
        <f>IF([2]Baskol!$L$1610="","",[2]Baskol!$L$1610)</f>
        <v/>
      </c>
      <c r="AC1607" t="str">
        <f>IF([2]Baskol!$N$1610="","",[2]Baskol!$N$1610)</f>
        <v/>
      </c>
      <c r="AD1607" t="str">
        <f>IF([2]Baskol!$O$1610="","",[2]Baskol!$O$1610)</f>
        <v/>
      </c>
      <c r="AE1607" t="str">
        <f>IF([3]Entry!$C$1610="","",[3]Entry!$C$1610)</f>
        <v/>
      </c>
      <c r="AF1607" t="str">
        <f>IF([3]Entry!$D$1610="","",[3]Entry!$D$1610)</f>
        <v/>
      </c>
      <c r="AG1607" t="str">
        <f>IF([3]Entry!$E$1610="","",[3]Entry!$E$1610)</f>
        <v/>
      </c>
      <c r="AH1607" t="str">
        <f>IF([3]Entry!$G$1610="","",[3]Entry!$G$1610)</f>
        <v/>
      </c>
      <c r="AI1607" t="str">
        <f>IF([3]Entry!$K$1610="","",[3]Entry!$K$1610)</f>
        <v/>
      </c>
      <c r="AJ1607" t="str">
        <f>IF([3]Entry!$L$1610="","",[3]Entry!$L$1610)</f>
        <v/>
      </c>
      <c r="AK1607" t="str">
        <f>IF([3]Entry!$M$1610="","",[3]Entry!$M$1610)</f>
        <v/>
      </c>
      <c r="AL1607" t="str">
        <f>IF([3]Entry!$N$1610="","",[3]Entry!$N$1610)</f>
        <v/>
      </c>
      <c r="AM1607" t="str">
        <f>IF([3]Entry!$R$1610="","",[3]Entry!$R$1610)</f>
        <v/>
      </c>
    </row>
    <row r="1608" spans="20:39" x14ac:dyDescent="0.2">
      <c r="T1608" t="str">
        <f>IF([2]Baskol!$B$1611="","",[2]Baskol!$B$1611)</f>
        <v/>
      </c>
      <c r="U1608" t="str">
        <f>IF([2]Baskol!$C$1611="","",[2]Baskol!$C$1611)</f>
        <v/>
      </c>
      <c r="V1608" t="str">
        <f>IF([2]Baskol!$D$1611="","",[2]Baskol!$D$1611)</f>
        <v/>
      </c>
      <c r="W1608" t="str">
        <f>IF([2]Baskol!$E$1611="","",[2]Baskol!$E$1611)</f>
        <v/>
      </c>
      <c r="X1608" t="str">
        <f>IF([2]Baskol!$G$1611="","",[2]Baskol!$G$1611)</f>
        <v/>
      </c>
      <c r="Y1608" t="str">
        <f>IF([2]Baskol!$I$1611="","",[2]Baskol!$I$1611)</f>
        <v/>
      </c>
      <c r="Z1608" t="str">
        <f>IF([2]Baskol!$J$1611="","",[2]Baskol!$J$1611)</f>
        <v/>
      </c>
      <c r="AA1608" t="str">
        <f>IF([2]Baskol!$K$1611="","",[2]Baskol!$K$1611)</f>
        <v/>
      </c>
      <c r="AB1608" t="str">
        <f>IF([2]Baskol!$L$1611="","",[2]Baskol!$L$1611)</f>
        <v/>
      </c>
      <c r="AC1608" t="str">
        <f>IF([2]Baskol!$N$1611="","",[2]Baskol!$N$1611)</f>
        <v/>
      </c>
      <c r="AD1608" t="str">
        <f>IF([2]Baskol!$O$1611="","",[2]Baskol!$O$1611)</f>
        <v/>
      </c>
      <c r="AE1608" t="str">
        <f>IF([3]Entry!$C$1611="","",[3]Entry!$C$1611)</f>
        <v/>
      </c>
      <c r="AF1608" t="str">
        <f>IF([3]Entry!$D$1611="","",[3]Entry!$D$1611)</f>
        <v/>
      </c>
      <c r="AG1608" t="str">
        <f>IF([3]Entry!$E$1611="","",[3]Entry!$E$1611)</f>
        <v/>
      </c>
      <c r="AH1608" t="str">
        <f>IF([3]Entry!$G$1611="","",[3]Entry!$G$1611)</f>
        <v/>
      </c>
      <c r="AI1608" t="str">
        <f>IF([3]Entry!$K$1611="","",[3]Entry!$K$1611)</f>
        <v/>
      </c>
      <c r="AJ1608" t="str">
        <f>IF([3]Entry!$L$1611="","",[3]Entry!$L$1611)</f>
        <v/>
      </c>
      <c r="AK1608" t="str">
        <f>IF([3]Entry!$M$1611="","",[3]Entry!$M$1611)</f>
        <v/>
      </c>
      <c r="AL1608" t="str">
        <f>IF([3]Entry!$N$1611="","",[3]Entry!$N$1611)</f>
        <v/>
      </c>
      <c r="AM1608" t="str">
        <f>IF([3]Entry!$R$1611="","",[3]Entry!$R$1611)</f>
        <v/>
      </c>
    </row>
    <row r="1609" spans="20:39" x14ac:dyDescent="0.2">
      <c r="T1609" t="str">
        <f>IF([2]Baskol!$B$1612="","",[2]Baskol!$B$1612)</f>
        <v/>
      </c>
      <c r="U1609" t="str">
        <f>IF([2]Baskol!$C$1612="","",[2]Baskol!$C$1612)</f>
        <v/>
      </c>
      <c r="V1609" t="str">
        <f>IF([2]Baskol!$D$1612="","",[2]Baskol!$D$1612)</f>
        <v/>
      </c>
      <c r="W1609" t="str">
        <f>IF([2]Baskol!$E$1612="","",[2]Baskol!$E$1612)</f>
        <v/>
      </c>
      <c r="X1609" t="str">
        <f>IF([2]Baskol!$G$1612="","",[2]Baskol!$G$1612)</f>
        <v/>
      </c>
      <c r="Y1609" t="str">
        <f>IF([2]Baskol!$I$1612="","",[2]Baskol!$I$1612)</f>
        <v/>
      </c>
      <c r="Z1609" t="str">
        <f>IF([2]Baskol!$J$1612="","",[2]Baskol!$J$1612)</f>
        <v/>
      </c>
      <c r="AA1609" t="str">
        <f>IF([2]Baskol!$K$1612="","",[2]Baskol!$K$1612)</f>
        <v/>
      </c>
      <c r="AB1609" t="str">
        <f>IF([2]Baskol!$L$1612="","",[2]Baskol!$L$1612)</f>
        <v/>
      </c>
      <c r="AC1609" t="str">
        <f>IF([2]Baskol!$N$1612="","",[2]Baskol!$N$1612)</f>
        <v/>
      </c>
      <c r="AD1609" t="str">
        <f>IF([2]Baskol!$O$1612="","",[2]Baskol!$O$1612)</f>
        <v/>
      </c>
      <c r="AE1609" t="str">
        <f>IF([3]Entry!$C$1612="","",[3]Entry!$C$1612)</f>
        <v/>
      </c>
      <c r="AF1609" t="str">
        <f>IF([3]Entry!$D$1612="","",[3]Entry!$D$1612)</f>
        <v/>
      </c>
      <c r="AG1609" t="str">
        <f>IF([3]Entry!$E$1612="","",[3]Entry!$E$1612)</f>
        <v/>
      </c>
      <c r="AH1609" t="str">
        <f>IF([3]Entry!$G$1612="","",[3]Entry!$G$1612)</f>
        <v/>
      </c>
      <c r="AI1609" t="str">
        <f>IF([3]Entry!$K$1612="","",[3]Entry!$K$1612)</f>
        <v/>
      </c>
      <c r="AJ1609" t="str">
        <f>IF([3]Entry!$L$1612="","",[3]Entry!$L$1612)</f>
        <v/>
      </c>
      <c r="AK1609" t="str">
        <f>IF([3]Entry!$M$1612="","",[3]Entry!$M$1612)</f>
        <v/>
      </c>
      <c r="AL1609" t="str">
        <f>IF([3]Entry!$N$1612="","",[3]Entry!$N$1612)</f>
        <v/>
      </c>
      <c r="AM1609" t="str">
        <f>IF([3]Entry!$R$1612="","",[3]Entry!$R$1612)</f>
        <v/>
      </c>
    </row>
    <row r="1610" spans="20:39" x14ac:dyDescent="0.2">
      <c r="T1610" t="str">
        <f>IF([2]Baskol!$B$1613="","",[2]Baskol!$B$1613)</f>
        <v/>
      </c>
      <c r="U1610" t="str">
        <f>IF([2]Baskol!$C$1613="","",[2]Baskol!$C$1613)</f>
        <v/>
      </c>
      <c r="V1610" t="str">
        <f>IF([2]Baskol!$D$1613="","",[2]Baskol!$D$1613)</f>
        <v/>
      </c>
      <c r="W1610" t="str">
        <f>IF([2]Baskol!$E$1613="","",[2]Baskol!$E$1613)</f>
        <v/>
      </c>
      <c r="X1610" t="str">
        <f>IF([2]Baskol!$G$1613="","",[2]Baskol!$G$1613)</f>
        <v/>
      </c>
      <c r="Y1610" t="str">
        <f>IF([2]Baskol!$I$1613="","",[2]Baskol!$I$1613)</f>
        <v/>
      </c>
      <c r="Z1610" t="str">
        <f>IF([2]Baskol!$J$1613="","",[2]Baskol!$J$1613)</f>
        <v/>
      </c>
      <c r="AA1610" t="str">
        <f>IF([2]Baskol!$K$1613="","",[2]Baskol!$K$1613)</f>
        <v/>
      </c>
      <c r="AB1610" t="str">
        <f>IF([2]Baskol!$L$1613="","",[2]Baskol!$L$1613)</f>
        <v/>
      </c>
      <c r="AC1610" t="str">
        <f>IF([2]Baskol!$N$1613="","",[2]Baskol!$N$1613)</f>
        <v/>
      </c>
      <c r="AD1610" t="str">
        <f>IF([2]Baskol!$O$1613="","",[2]Baskol!$O$1613)</f>
        <v/>
      </c>
      <c r="AE1610" t="str">
        <f>IF([3]Entry!$C$1613="","",[3]Entry!$C$1613)</f>
        <v/>
      </c>
      <c r="AF1610" t="str">
        <f>IF([3]Entry!$D$1613="","",[3]Entry!$D$1613)</f>
        <v/>
      </c>
      <c r="AG1610" t="str">
        <f>IF([3]Entry!$E$1613="","",[3]Entry!$E$1613)</f>
        <v/>
      </c>
      <c r="AH1610" t="str">
        <f>IF([3]Entry!$G$1613="","",[3]Entry!$G$1613)</f>
        <v/>
      </c>
      <c r="AI1610" t="str">
        <f>IF([3]Entry!$K$1613="","",[3]Entry!$K$1613)</f>
        <v/>
      </c>
      <c r="AJ1610" t="str">
        <f>IF([3]Entry!$L$1613="","",[3]Entry!$L$1613)</f>
        <v/>
      </c>
      <c r="AK1610" t="str">
        <f>IF([3]Entry!$M$1613="","",[3]Entry!$M$1613)</f>
        <v/>
      </c>
      <c r="AL1610" t="str">
        <f>IF([3]Entry!$N$1613="","",[3]Entry!$N$1613)</f>
        <v/>
      </c>
      <c r="AM1610" t="str">
        <f>IF([3]Entry!$R$1613="","",[3]Entry!$R$1613)</f>
        <v/>
      </c>
    </row>
    <row r="1611" spans="20:39" x14ac:dyDescent="0.2">
      <c r="T1611" t="str">
        <f>IF([2]Baskol!$B$1614="","",[2]Baskol!$B$1614)</f>
        <v/>
      </c>
      <c r="U1611" t="str">
        <f>IF([2]Baskol!$C$1614="","",[2]Baskol!$C$1614)</f>
        <v/>
      </c>
      <c r="V1611" t="str">
        <f>IF([2]Baskol!$D$1614="","",[2]Baskol!$D$1614)</f>
        <v/>
      </c>
      <c r="W1611" t="str">
        <f>IF([2]Baskol!$E$1614="","",[2]Baskol!$E$1614)</f>
        <v/>
      </c>
      <c r="X1611" t="str">
        <f>IF([2]Baskol!$G$1614="","",[2]Baskol!$G$1614)</f>
        <v/>
      </c>
      <c r="Y1611" t="str">
        <f>IF([2]Baskol!$I$1614="","",[2]Baskol!$I$1614)</f>
        <v/>
      </c>
      <c r="Z1611" t="str">
        <f>IF([2]Baskol!$J$1614="","",[2]Baskol!$J$1614)</f>
        <v/>
      </c>
      <c r="AA1611" t="str">
        <f>IF([2]Baskol!$K$1614="","",[2]Baskol!$K$1614)</f>
        <v/>
      </c>
      <c r="AB1611" t="str">
        <f>IF([2]Baskol!$L$1614="","",[2]Baskol!$L$1614)</f>
        <v/>
      </c>
      <c r="AC1611" t="str">
        <f>IF([2]Baskol!$N$1614="","",[2]Baskol!$N$1614)</f>
        <v/>
      </c>
      <c r="AD1611" t="str">
        <f>IF([2]Baskol!$O$1614="","",[2]Baskol!$O$1614)</f>
        <v/>
      </c>
      <c r="AE1611" t="str">
        <f>IF([3]Entry!$C$1614="","",[3]Entry!$C$1614)</f>
        <v/>
      </c>
      <c r="AF1611" t="str">
        <f>IF([3]Entry!$D$1614="","",[3]Entry!$D$1614)</f>
        <v/>
      </c>
      <c r="AG1611" t="str">
        <f>IF([3]Entry!$E$1614="","",[3]Entry!$E$1614)</f>
        <v/>
      </c>
      <c r="AH1611" t="str">
        <f>IF([3]Entry!$G$1614="","",[3]Entry!$G$1614)</f>
        <v/>
      </c>
      <c r="AI1611" t="str">
        <f>IF([3]Entry!$K$1614="","",[3]Entry!$K$1614)</f>
        <v/>
      </c>
      <c r="AJ1611" t="str">
        <f>IF([3]Entry!$L$1614="","",[3]Entry!$L$1614)</f>
        <v/>
      </c>
      <c r="AK1611" t="str">
        <f>IF([3]Entry!$M$1614="","",[3]Entry!$M$1614)</f>
        <v/>
      </c>
      <c r="AL1611" t="str">
        <f>IF([3]Entry!$N$1614="","",[3]Entry!$N$1614)</f>
        <v/>
      </c>
      <c r="AM1611" t="str">
        <f>IF([3]Entry!$R$1614="","",[3]Entry!$R$1614)</f>
        <v/>
      </c>
    </row>
    <row r="1612" spans="20:39" x14ac:dyDescent="0.2">
      <c r="T1612" t="str">
        <f>IF([2]Baskol!$B$1615="","",[2]Baskol!$B$1615)</f>
        <v/>
      </c>
      <c r="U1612" t="str">
        <f>IF([2]Baskol!$C$1615="","",[2]Baskol!$C$1615)</f>
        <v/>
      </c>
      <c r="V1612" t="str">
        <f>IF([2]Baskol!$D$1615="","",[2]Baskol!$D$1615)</f>
        <v/>
      </c>
      <c r="W1612" t="str">
        <f>IF([2]Baskol!$E$1615="","",[2]Baskol!$E$1615)</f>
        <v/>
      </c>
      <c r="X1612" t="str">
        <f>IF([2]Baskol!$G$1615="","",[2]Baskol!$G$1615)</f>
        <v/>
      </c>
      <c r="Y1612" t="str">
        <f>IF([2]Baskol!$I$1615="","",[2]Baskol!$I$1615)</f>
        <v/>
      </c>
      <c r="Z1612" t="str">
        <f>IF([2]Baskol!$J$1615="","",[2]Baskol!$J$1615)</f>
        <v/>
      </c>
      <c r="AA1612" t="str">
        <f>IF([2]Baskol!$K$1615="","",[2]Baskol!$K$1615)</f>
        <v/>
      </c>
      <c r="AB1612" t="str">
        <f>IF([2]Baskol!$L$1615="","",[2]Baskol!$L$1615)</f>
        <v/>
      </c>
      <c r="AC1612" t="str">
        <f>IF([2]Baskol!$N$1615="","",[2]Baskol!$N$1615)</f>
        <v/>
      </c>
      <c r="AD1612" t="str">
        <f>IF([2]Baskol!$O$1615="","",[2]Baskol!$O$1615)</f>
        <v/>
      </c>
      <c r="AE1612" t="str">
        <f>IF([3]Entry!$C$1615="","",[3]Entry!$C$1615)</f>
        <v/>
      </c>
      <c r="AF1612" t="str">
        <f>IF([3]Entry!$D$1615="","",[3]Entry!$D$1615)</f>
        <v/>
      </c>
      <c r="AG1612" t="str">
        <f>IF([3]Entry!$E$1615="","",[3]Entry!$E$1615)</f>
        <v/>
      </c>
      <c r="AH1612" t="str">
        <f>IF([3]Entry!$G$1615="","",[3]Entry!$G$1615)</f>
        <v/>
      </c>
      <c r="AI1612" t="str">
        <f>IF([3]Entry!$K$1615="","",[3]Entry!$K$1615)</f>
        <v/>
      </c>
      <c r="AJ1612" t="str">
        <f>IF([3]Entry!$L$1615="","",[3]Entry!$L$1615)</f>
        <v/>
      </c>
      <c r="AK1612" t="str">
        <f>IF([3]Entry!$M$1615="","",[3]Entry!$M$1615)</f>
        <v/>
      </c>
      <c r="AL1612" t="str">
        <f>IF([3]Entry!$N$1615="","",[3]Entry!$N$1615)</f>
        <v/>
      </c>
      <c r="AM1612" t="str">
        <f>IF([3]Entry!$R$1615="","",[3]Entry!$R$1615)</f>
        <v/>
      </c>
    </row>
    <row r="1613" spans="20:39" x14ac:dyDescent="0.2">
      <c r="T1613" t="str">
        <f>IF([2]Baskol!$B$1616="","",[2]Baskol!$B$1616)</f>
        <v/>
      </c>
      <c r="U1613" t="str">
        <f>IF([2]Baskol!$C$1616="","",[2]Baskol!$C$1616)</f>
        <v/>
      </c>
      <c r="V1613" t="str">
        <f>IF([2]Baskol!$D$1616="","",[2]Baskol!$D$1616)</f>
        <v/>
      </c>
      <c r="W1613" t="str">
        <f>IF([2]Baskol!$E$1616="","",[2]Baskol!$E$1616)</f>
        <v/>
      </c>
      <c r="X1613" t="str">
        <f>IF([2]Baskol!$G$1616="","",[2]Baskol!$G$1616)</f>
        <v/>
      </c>
      <c r="Y1613" t="str">
        <f>IF([2]Baskol!$I$1616="","",[2]Baskol!$I$1616)</f>
        <v/>
      </c>
      <c r="Z1613" t="str">
        <f>IF([2]Baskol!$J$1616="","",[2]Baskol!$J$1616)</f>
        <v/>
      </c>
      <c r="AA1613" t="str">
        <f>IF([2]Baskol!$K$1616="","",[2]Baskol!$K$1616)</f>
        <v/>
      </c>
      <c r="AB1613" t="str">
        <f>IF([2]Baskol!$L$1616="","",[2]Baskol!$L$1616)</f>
        <v/>
      </c>
      <c r="AC1613" t="str">
        <f>IF([2]Baskol!$N$1616="","",[2]Baskol!$N$1616)</f>
        <v/>
      </c>
      <c r="AD1613" t="str">
        <f>IF([2]Baskol!$O$1616="","",[2]Baskol!$O$1616)</f>
        <v/>
      </c>
      <c r="AE1613" t="str">
        <f>IF([3]Entry!$C$1616="","",[3]Entry!$C$1616)</f>
        <v/>
      </c>
      <c r="AF1613" t="str">
        <f>IF([3]Entry!$D$1616="","",[3]Entry!$D$1616)</f>
        <v/>
      </c>
      <c r="AG1613" t="str">
        <f>IF([3]Entry!$E$1616="","",[3]Entry!$E$1616)</f>
        <v/>
      </c>
      <c r="AH1613" t="str">
        <f>IF([3]Entry!$G$1616="","",[3]Entry!$G$1616)</f>
        <v/>
      </c>
      <c r="AI1613" t="str">
        <f>IF([3]Entry!$K$1616="","",[3]Entry!$K$1616)</f>
        <v/>
      </c>
      <c r="AJ1613" t="str">
        <f>IF([3]Entry!$L$1616="","",[3]Entry!$L$1616)</f>
        <v/>
      </c>
      <c r="AK1613" t="str">
        <f>IF([3]Entry!$M$1616="","",[3]Entry!$M$1616)</f>
        <v/>
      </c>
      <c r="AL1613" t="str">
        <f>IF([3]Entry!$N$1616="","",[3]Entry!$N$1616)</f>
        <v/>
      </c>
      <c r="AM1613" t="str">
        <f>IF([3]Entry!$R$1616="","",[3]Entry!$R$1616)</f>
        <v/>
      </c>
    </row>
    <row r="1614" spans="20:39" x14ac:dyDescent="0.2">
      <c r="T1614" t="str">
        <f>IF([2]Baskol!$B$1617="","",[2]Baskol!$B$1617)</f>
        <v/>
      </c>
      <c r="U1614" t="str">
        <f>IF([2]Baskol!$C$1617="","",[2]Baskol!$C$1617)</f>
        <v/>
      </c>
      <c r="V1614" t="str">
        <f>IF([2]Baskol!$D$1617="","",[2]Baskol!$D$1617)</f>
        <v/>
      </c>
      <c r="W1614" t="str">
        <f>IF([2]Baskol!$E$1617="","",[2]Baskol!$E$1617)</f>
        <v/>
      </c>
      <c r="X1614" t="str">
        <f>IF([2]Baskol!$G$1617="","",[2]Baskol!$G$1617)</f>
        <v/>
      </c>
      <c r="Y1614" t="str">
        <f>IF([2]Baskol!$I$1617="","",[2]Baskol!$I$1617)</f>
        <v/>
      </c>
      <c r="Z1614" t="str">
        <f>IF([2]Baskol!$J$1617="","",[2]Baskol!$J$1617)</f>
        <v/>
      </c>
      <c r="AA1614" t="str">
        <f>IF([2]Baskol!$K$1617="","",[2]Baskol!$K$1617)</f>
        <v/>
      </c>
      <c r="AB1614" t="str">
        <f>IF([2]Baskol!$L$1617="","",[2]Baskol!$L$1617)</f>
        <v/>
      </c>
      <c r="AC1614" t="str">
        <f>IF([2]Baskol!$N$1617="","",[2]Baskol!$N$1617)</f>
        <v/>
      </c>
      <c r="AD1614" t="str">
        <f>IF([2]Baskol!$O$1617="","",[2]Baskol!$O$1617)</f>
        <v/>
      </c>
      <c r="AE1614" t="str">
        <f>IF([3]Entry!$C$1617="","",[3]Entry!$C$1617)</f>
        <v/>
      </c>
      <c r="AF1614" t="str">
        <f>IF([3]Entry!$D$1617="","",[3]Entry!$D$1617)</f>
        <v/>
      </c>
      <c r="AG1614" t="str">
        <f>IF([3]Entry!$E$1617="","",[3]Entry!$E$1617)</f>
        <v/>
      </c>
      <c r="AH1614" t="str">
        <f>IF([3]Entry!$G$1617="","",[3]Entry!$G$1617)</f>
        <v/>
      </c>
      <c r="AI1614" t="str">
        <f>IF([3]Entry!$K$1617="","",[3]Entry!$K$1617)</f>
        <v/>
      </c>
      <c r="AJ1614" t="str">
        <f>IF([3]Entry!$L$1617="","",[3]Entry!$L$1617)</f>
        <v/>
      </c>
      <c r="AK1614" t="str">
        <f>IF([3]Entry!$M$1617="","",[3]Entry!$M$1617)</f>
        <v/>
      </c>
      <c r="AL1614" t="str">
        <f>IF([3]Entry!$N$1617="","",[3]Entry!$N$1617)</f>
        <v/>
      </c>
      <c r="AM1614" t="str">
        <f>IF([3]Entry!$R$1617="","",[3]Entry!$R$1617)</f>
        <v/>
      </c>
    </row>
    <row r="1615" spans="20:39" x14ac:dyDescent="0.2">
      <c r="T1615" t="str">
        <f>IF([2]Baskol!$B$1618="","",[2]Baskol!$B$1618)</f>
        <v/>
      </c>
      <c r="U1615" t="str">
        <f>IF([2]Baskol!$C$1618="","",[2]Baskol!$C$1618)</f>
        <v/>
      </c>
      <c r="V1615" t="str">
        <f>IF([2]Baskol!$D$1618="","",[2]Baskol!$D$1618)</f>
        <v/>
      </c>
      <c r="W1615" t="str">
        <f>IF([2]Baskol!$E$1618="","",[2]Baskol!$E$1618)</f>
        <v/>
      </c>
      <c r="X1615" t="str">
        <f>IF([2]Baskol!$G$1618="","",[2]Baskol!$G$1618)</f>
        <v/>
      </c>
      <c r="Y1615" t="str">
        <f>IF([2]Baskol!$I$1618="","",[2]Baskol!$I$1618)</f>
        <v/>
      </c>
      <c r="Z1615" t="str">
        <f>IF([2]Baskol!$J$1618="","",[2]Baskol!$J$1618)</f>
        <v/>
      </c>
      <c r="AA1615" t="str">
        <f>IF([2]Baskol!$K$1618="","",[2]Baskol!$K$1618)</f>
        <v/>
      </c>
      <c r="AB1615" t="str">
        <f>IF([2]Baskol!$L$1618="","",[2]Baskol!$L$1618)</f>
        <v/>
      </c>
      <c r="AC1615" t="str">
        <f>IF([2]Baskol!$N$1618="","",[2]Baskol!$N$1618)</f>
        <v/>
      </c>
      <c r="AD1615" t="str">
        <f>IF([2]Baskol!$O$1618="","",[2]Baskol!$O$1618)</f>
        <v/>
      </c>
      <c r="AE1615" t="str">
        <f>IF([3]Entry!$C$1618="","",[3]Entry!$C$1618)</f>
        <v/>
      </c>
      <c r="AF1615" t="str">
        <f>IF([3]Entry!$D$1618="","",[3]Entry!$D$1618)</f>
        <v/>
      </c>
      <c r="AG1615" t="str">
        <f>IF([3]Entry!$E$1618="","",[3]Entry!$E$1618)</f>
        <v/>
      </c>
      <c r="AH1615" t="str">
        <f>IF([3]Entry!$G$1618="","",[3]Entry!$G$1618)</f>
        <v/>
      </c>
      <c r="AI1615" t="str">
        <f>IF([3]Entry!$K$1618="","",[3]Entry!$K$1618)</f>
        <v/>
      </c>
      <c r="AJ1615" t="str">
        <f>IF([3]Entry!$L$1618="","",[3]Entry!$L$1618)</f>
        <v/>
      </c>
      <c r="AK1615" t="str">
        <f>IF([3]Entry!$M$1618="","",[3]Entry!$M$1618)</f>
        <v/>
      </c>
      <c r="AL1615" t="str">
        <f>IF([3]Entry!$N$1618="","",[3]Entry!$N$1618)</f>
        <v/>
      </c>
      <c r="AM1615" t="str">
        <f>IF([3]Entry!$R$1618="","",[3]Entry!$R$1618)</f>
        <v/>
      </c>
    </row>
    <row r="1616" spans="20:39" x14ac:dyDescent="0.2">
      <c r="T1616" t="str">
        <f>IF([2]Baskol!$B$1619="","",[2]Baskol!$B$1619)</f>
        <v/>
      </c>
      <c r="U1616" t="str">
        <f>IF([2]Baskol!$C$1619="","",[2]Baskol!$C$1619)</f>
        <v/>
      </c>
      <c r="V1616" t="str">
        <f>IF([2]Baskol!$D$1619="","",[2]Baskol!$D$1619)</f>
        <v/>
      </c>
      <c r="W1616" t="str">
        <f>IF([2]Baskol!$E$1619="","",[2]Baskol!$E$1619)</f>
        <v/>
      </c>
      <c r="X1616" t="str">
        <f>IF([2]Baskol!$G$1619="","",[2]Baskol!$G$1619)</f>
        <v/>
      </c>
      <c r="Y1616" t="str">
        <f>IF([2]Baskol!$I$1619="","",[2]Baskol!$I$1619)</f>
        <v/>
      </c>
      <c r="Z1616" t="str">
        <f>IF([2]Baskol!$J$1619="","",[2]Baskol!$J$1619)</f>
        <v/>
      </c>
      <c r="AA1616" t="str">
        <f>IF([2]Baskol!$K$1619="","",[2]Baskol!$K$1619)</f>
        <v/>
      </c>
      <c r="AB1616" t="str">
        <f>IF([2]Baskol!$L$1619="","",[2]Baskol!$L$1619)</f>
        <v/>
      </c>
      <c r="AC1616" t="str">
        <f>IF([2]Baskol!$N$1619="","",[2]Baskol!$N$1619)</f>
        <v/>
      </c>
      <c r="AD1616" t="str">
        <f>IF([2]Baskol!$O$1619="","",[2]Baskol!$O$1619)</f>
        <v/>
      </c>
      <c r="AE1616" t="str">
        <f>IF([3]Entry!$C$1619="","",[3]Entry!$C$1619)</f>
        <v/>
      </c>
      <c r="AF1616" t="str">
        <f>IF([3]Entry!$D$1619="","",[3]Entry!$D$1619)</f>
        <v/>
      </c>
      <c r="AG1616" t="str">
        <f>IF([3]Entry!$E$1619="","",[3]Entry!$E$1619)</f>
        <v/>
      </c>
      <c r="AH1616" t="str">
        <f>IF([3]Entry!$G$1619="","",[3]Entry!$G$1619)</f>
        <v/>
      </c>
      <c r="AI1616" t="str">
        <f>IF([3]Entry!$K$1619="","",[3]Entry!$K$1619)</f>
        <v/>
      </c>
      <c r="AJ1616" t="str">
        <f>IF([3]Entry!$L$1619="","",[3]Entry!$L$1619)</f>
        <v/>
      </c>
      <c r="AK1616" t="str">
        <f>IF([3]Entry!$M$1619="","",[3]Entry!$M$1619)</f>
        <v/>
      </c>
      <c r="AL1616" t="str">
        <f>IF([3]Entry!$N$1619="","",[3]Entry!$N$1619)</f>
        <v/>
      </c>
      <c r="AM1616" t="str">
        <f>IF([3]Entry!$R$1619="","",[3]Entry!$R$1619)</f>
        <v/>
      </c>
    </row>
    <row r="1617" spans="20:39" x14ac:dyDescent="0.2">
      <c r="T1617" t="str">
        <f>IF([2]Baskol!$B$1620="","",[2]Baskol!$B$1620)</f>
        <v/>
      </c>
      <c r="U1617" t="str">
        <f>IF([2]Baskol!$C$1620="","",[2]Baskol!$C$1620)</f>
        <v/>
      </c>
      <c r="V1617" t="str">
        <f>IF([2]Baskol!$D$1620="","",[2]Baskol!$D$1620)</f>
        <v/>
      </c>
      <c r="W1617" t="str">
        <f>IF([2]Baskol!$E$1620="","",[2]Baskol!$E$1620)</f>
        <v/>
      </c>
      <c r="X1617" t="str">
        <f>IF([2]Baskol!$G$1620="","",[2]Baskol!$G$1620)</f>
        <v/>
      </c>
      <c r="Y1617" t="str">
        <f>IF([2]Baskol!$I$1620="","",[2]Baskol!$I$1620)</f>
        <v/>
      </c>
      <c r="Z1617" t="str">
        <f>IF([2]Baskol!$J$1620="","",[2]Baskol!$J$1620)</f>
        <v/>
      </c>
      <c r="AA1617" t="str">
        <f>IF([2]Baskol!$K$1620="","",[2]Baskol!$K$1620)</f>
        <v/>
      </c>
      <c r="AB1617" t="str">
        <f>IF([2]Baskol!$L$1620="","",[2]Baskol!$L$1620)</f>
        <v/>
      </c>
      <c r="AC1617" t="str">
        <f>IF([2]Baskol!$N$1620="","",[2]Baskol!$N$1620)</f>
        <v/>
      </c>
      <c r="AD1617" t="str">
        <f>IF([2]Baskol!$O$1620="","",[2]Baskol!$O$1620)</f>
        <v/>
      </c>
      <c r="AE1617" t="str">
        <f>IF([3]Entry!$C$1620="","",[3]Entry!$C$1620)</f>
        <v/>
      </c>
      <c r="AF1617" t="str">
        <f>IF([3]Entry!$D$1620="","",[3]Entry!$D$1620)</f>
        <v/>
      </c>
      <c r="AG1617" t="str">
        <f>IF([3]Entry!$E$1620="","",[3]Entry!$E$1620)</f>
        <v/>
      </c>
      <c r="AH1617" t="str">
        <f>IF([3]Entry!$G$1620="","",[3]Entry!$G$1620)</f>
        <v/>
      </c>
      <c r="AI1617" t="str">
        <f>IF([3]Entry!$K$1620="","",[3]Entry!$K$1620)</f>
        <v/>
      </c>
      <c r="AJ1617" t="str">
        <f>IF([3]Entry!$L$1620="","",[3]Entry!$L$1620)</f>
        <v/>
      </c>
      <c r="AK1617" t="str">
        <f>IF([3]Entry!$M$1620="","",[3]Entry!$M$1620)</f>
        <v/>
      </c>
      <c r="AL1617" t="str">
        <f>IF([3]Entry!$N$1620="","",[3]Entry!$N$1620)</f>
        <v/>
      </c>
      <c r="AM1617" t="str">
        <f>IF([3]Entry!$R$1620="","",[3]Entry!$R$1620)</f>
        <v/>
      </c>
    </row>
    <row r="1618" spans="20:39" x14ac:dyDescent="0.2">
      <c r="T1618" t="str">
        <f>IF([2]Baskol!$B$1621="","",[2]Baskol!$B$1621)</f>
        <v/>
      </c>
      <c r="U1618" t="str">
        <f>IF([2]Baskol!$C$1621="","",[2]Baskol!$C$1621)</f>
        <v/>
      </c>
      <c r="V1618" t="str">
        <f>IF([2]Baskol!$D$1621="","",[2]Baskol!$D$1621)</f>
        <v/>
      </c>
      <c r="W1618" t="str">
        <f>IF([2]Baskol!$E$1621="","",[2]Baskol!$E$1621)</f>
        <v/>
      </c>
      <c r="X1618" t="str">
        <f>IF([2]Baskol!$G$1621="","",[2]Baskol!$G$1621)</f>
        <v/>
      </c>
      <c r="Y1618" t="str">
        <f>IF([2]Baskol!$I$1621="","",[2]Baskol!$I$1621)</f>
        <v/>
      </c>
      <c r="Z1618" t="str">
        <f>IF([2]Baskol!$J$1621="","",[2]Baskol!$J$1621)</f>
        <v/>
      </c>
      <c r="AA1618" t="str">
        <f>IF([2]Baskol!$K$1621="","",[2]Baskol!$K$1621)</f>
        <v/>
      </c>
      <c r="AB1618" t="str">
        <f>IF([2]Baskol!$L$1621="","",[2]Baskol!$L$1621)</f>
        <v/>
      </c>
      <c r="AC1618" t="str">
        <f>IF([2]Baskol!$N$1621="","",[2]Baskol!$N$1621)</f>
        <v/>
      </c>
      <c r="AD1618" t="str">
        <f>IF([2]Baskol!$O$1621="","",[2]Baskol!$O$1621)</f>
        <v/>
      </c>
      <c r="AE1618" t="str">
        <f>IF([3]Entry!$C$1621="","",[3]Entry!$C$1621)</f>
        <v/>
      </c>
      <c r="AF1618" t="str">
        <f>IF([3]Entry!$D$1621="","",[3]Entry!$D$1621)</f>
        <v/>
      </c>
      <c r="AG1618" t="str">
        <f>IF([3]Entry!$E$1621="","",[3]Entry!$E$1621)</f>
        <v/>
      </c>
      <c r="AH1618" t="str">
        <f>IF([3]Entry!$G$1621="","",[3]Entry!$G$1621)</f>
        <v/>
      </c>
      <c r="AI1618" t="str">
        <f>IF([3]Entry!$K$1621="","",[3]Entry!$K$1621)</f>
        <v/>
      </c>
      <c r="AJ1618" t="str">
        <f>IF([3]Entry!$L$1621="","",[3]Entry!$L$1621)</f>
        <v/>
      </c>
      <c r="AK1618" t="str">
        <f>IF([3]Entry!$M$1621="","",[3]Entry!$M$1621)</f>
        <v/>
      </c>
      <c r="AL1618" t="str">
        <f>IF([3]Entry!$N$1621="","",[3]Entry!$N$1621)</f>
        <v/>
      </c>
      <c r="AM1618" t="str">
        <f>IF([3]Entry!$R$1621="","",[3]Entry!$R$1621)</f>
        <v/>
      </c>
    </row>
    <row r="1619" spans="20:39" x14ac:dyDescent="0.2">
      <c r="T1619" t="str">
        <f>IF([2]Baskol!$B$1622="","",[2]Baskol!$B$1622)</f>
        <v/>
      </c>
      <c r="U1619" t="str">
        <f>IF([2]Baskol!$C$1622="","",[2]Baskol!$C$1622)</f>
        <v/>
      </c>
      <c r="V1619" t="str">
        <f>IF([2]Baskol!$D$1622="","",[2]Baskol!$D$1622)</f>
        <v/>
      </c>
      <c r="W1619" t="str">
        <f>IF([2]Baskol!$E$1622="","",[2]Baskol!$E$1622)</f>
        <v/>
      </c>
      <c r="X1619" t="str">
        <f>IF([2]Baskol!$G$1622="","",[2]Baskol!$G$1622)</f>
        <v/>
      </c>
      <c r="Y1619" t="str">
        <f>IF([2]Baskol!$I$1622="","",[2]Baskol!$I$1622)</f>
        <v/>
      </c>
      <c r="Z1619" t="str">
        <f>IF([2]Baskol!$J$1622="","",[2]Baskol!$J$1622)</f>
        <v/>
      </c>
      <c r="AA1619" t="str">
        <f>IF([2]Baskol!$K$1622="","",[2]Baskol!$K$1622)</f>
        <v/>
      </c>
      <c r="AB1619" t="str">
        <f>IF([2]Baskol!$L$1622="","",[2]Baskol!$L$1622)</f>
        <v/>
      </c>
      <c r="AC1619" t="str">
        <f>IF([2]Baskol!$N$1622="","",[2]Baskol!$N$1622)</f>
        <v/>
      </c>
      <c r="AD1619" t="str">
        <f>IF([2]Baskol!$O$1622="","",[2]Baskol!$O$1622)</f>
        <v/>
      </c>
      <c r="AE1619" t="str">
        <f>IF([3]Entry!$C$1622="","",[3]Entry!$C$1622)</f>
        <v/>
      </c>
      <c r="AF1619" t="str">
        <f>IF([3]Entry!$D$1622="","",[3]Entry!$D$1622)</f>
        <v/>
      </c>
      <c r="AG1619" t="str">
        <f>IF([3]Entry!$E$1622="","",[3]Entry!$E$1622)</f>
        <v/>
      </c>
      <c r="AH1619" t="str">
        <f>IF([3]Entry!$G$1622="","",[3]Entry!$G$1622)</f>
        <v/>
      </c>
      <c r="AI1619" t="str">
        <f>IF([3]Entry!$K$1622="","",[3]Entry!$K$1622)</f>
        <v/>
      </c>
      <c r="AJ1619" t="str">
        <f>IF([3]Entry!$L$1622="","",[3]Entry!$L$1622)</f>
        <v/>
      </c>
      <c r="AK1619" t="str">
        <f>IF([3]Entry!$M$1622="","",[3]Entry!$M$1622)</f>
        <v/>
      </c>
      <c r="AL1619" t="str">
        <f>IF([3]Entry!$N$1622="","",[3]Entry!$N$1622)</f>
        <v/>
      </c>
      <c r="AM1619" t="str">
        <f>IF([3]Entry!$R$1622="","",[3]Entry!$R$1622)</f>
        <v/>
      </c>
    </row>
    <row r="1620" spans="20:39" x14ac:dyDescent="0.2">
      <c r="T1620" t="str">
        <f>IF([2]Baskol!$B$1623="","",[2]Baskol!$B$1623)</f>
        <v/>
      </c>
      <c r="U1620" t="str">
        <f>IF([2]Baskol!$C$1623="","",[2]Baskol!$C$1623)</f>
        <v/>
      </c>
      <c r="V1620" t="str">
        <f>IF([2]Baskol!$D$1623="","",[2]Baskol!$D$1623)</f>
        <v/>
      </c>
      <c r="W1620" t="str">
        <f>IF([2]Baskol!$E$1623="","",[2]Baskol!$E$1623)</f>
        <v/>
      </c>
      <c r="X1620" t="str">
        <f>IF([2]Baskol!$G$1623="","",[2]Baskol!$G$1623)</f>
        <v/>
      </c>
      <c r="Y1620" t="str">
        <f>IF([2]Baskol!$I$1623="","",[2]Baskol!$I$1623)</f>
        <v/>
      </c>
      <c r="Z1620" t="str">
        <f>IF([2]Baskol!$J$1623="","",[2]Baskol!$J$1623)</f>
        <v/>
      </c>
      <c r="AA1620" t="str">
        <f>IF([2]Baskol!$K$1623="","",[2]Baskol!$K$1623)</f>
        <v/>
      </c>
      <c r="AB1620" t="str">
        <f>IF([2]Baskol!$L$1623="","",[2]Baskol!$L$1623)</f>
        <v/>
      </c>
      <c r="AC1620" t="str">
        <f>IF([2]Baskol!$N$1623="","",[2]Baskol!$N$1623)</f>
        <v/>
      </c>
      <c r="AD1620" t="str">
        <f>IF([2]Baskol!$O$1623="","",[2]Baskol!$O$1623)</f>
        <v/>
      </c>
      <c r="AE1620" t="str">
        <f>IF([3]Entry!$C$1623="","",[3]Entry!$C$1623)</f>
        <v/>
      </c>
      <c r="AF1620" t="str">
        <f>IF([3]Entry!$D$1623="","",[3]Entry!$D$1623)</f>
        <v/>
      </c>
      <c r="AG1620" t="str">
        <f>IF([3]Entry!$E$1623="","",[3]Entry!$E$1623)</f>
        <v/>
      </c>
      <c r="AH1620" t="str">
        <f>IF([3]Entry!$G$1623="","",[3]Entry!$G$1623)</f>
        <v/>
      </c>
      <c r="AI1620" t="str">
        <f>IF([3]Entry!$K$1623="","",[3]Entry!$K$1623)</f>
        <v/>
      </c>
      <c r="AJ1620" t="str">
        <f>IF([3]Entry!$L$1623="","",[3]Entry!$L$1623)</f>
        <v/>
      </c>
      <c r="AK1620" t="str">
        <f>IF([3]Entry!$M$1623="","",[3]Entry!$M$1623)</f>
        <v/>
      </c>
      <c r="AL1620" t="str">
        <f>IF([3]Entry!$N$1623="","",[3]Entry!$N$1623)</f>
        <v/>
      </c>
      <c r="AM1620" t="str">
        <f>IF([3]Entry!$R$1623="","",[3]Entry!$R$1623)</f>
        <v/>
      </c>
    </row>
    <row r="1621" spans="20:39" x14ac:dyDescent="0.2">
      <c r="T1621" t="str">
        <f>IF([2]Baskol!$B$1624="","",[2]Baskol!$B$1624)</f>
        <v/>
      </c>
      <c r="U1621" t="str">
        <f>IF([2]Baskol!$C$1624="","",[2]Baskol!$C$1624)</f>
        <v/>
      </c>
      <c r="V1621" t="str">
        <f>IF([2]Baskol!$D$1624="","",[2]Baskol!$D$1624)</f>
        <v/>
      </c>
      <c r="W1621" t="str">
        <f>IF([2]Baskol!$E$1624="","",[2]Baskol!$E$1624)</f>
        <v/>
      </c>
      <c r="X1621" t="str">
        <f>IF([2]Baskol!$G$1624="","",[2]Baskol!$G$1624)</f>
        <v/>
      </c>
      <c r="Y1621" t="str">
        <f>IF([2]Baskol!$I$1624="","",[2]Baskol!$I$1624)</f>
        <v/>
      </c>
      <c r="Z1621" t="str">
        <f>IF([2]Baskol!$J$1624="","",[2]Baskol!$J$1624)</f>
        <v/>
      </c>
      <c r="AA1621" t="str">
        <f>IF([2]Baskol!$K$1624="","",[2]Baskol!$K$1624)</f>
        <v/>
      </c>
      <c r="AB1621" t="str">
        <f>IF([2]Baskol!$L$1624="","",[2]Baskol!$L$1624)</f>
        <v/>
      </c>
      <c r="AC1621" t="str">
        <f>IF([2]Baskol!$N$1624="","",[2]Baskol!$N$1624)</f>
        <v/>
      </c>
      <c r="AD1621" t="str">
        <f>IF([2]Baskol!$O$1624="","",[2]Baskol!$O$1624)</f>
        <v/>
      </c>
      <c r="AE1621" t="str">
        <f>IF([3]Entry!$C$1624="","",[3]Entry!$C$1624)</f>
        <v/>
      </c>
      <c r="AF1621" t="str">
        <f>IF([3]Entry!$D$1624="","",[3]Entry!$D$1624)</f>
        <v/>
      </c>
      <c r="AG1621" t="str">
        <f>IF([3]Entry!$E$1624="","",[3]Entry!$E$1624)</f>
        <v/>
      </c>
      <c r="AH1621" t="str">
        <f>IF([3]Entry!$G$1624="","",[3]Entry!$G$1624)</f>
        <v/>
      </c>
      <c r="AI1621" t="str">
        <f>IF([3]Entry!$K$1624="","",[3]Entry!$K$1624)</f>
        <v/>
      </c>
      <c r="AJ1621" t="str">
        <f>IF([3]Entry!$L$1624="","",[3]Entry!$L$1624)</f>
        <v/>
      </c>
      <c r="AK1621" t="str">
        <f>IF([3]Entry!$M$1624="","",[3]Entry!$M$1624)</f>
        <v/>
      </c>
      <c r="AL1621" t="str">
        <f>IF([3]Entry!$N$1624="","",[3]Entry!$N$1624)</f>
        <v/>
      </c>
      <c r="AM1621" t="str">
        <f>IF([3]Entry!$R$1624="","",[3]Entry!$R$1624)</f>
        <v/>
      </c>
    </row>
    <row r="1622" spans="20:39" x14ac:dyDescent="0.2">
      <c r="T1622" t="str">
        <f>IF([2]Baskol!$B$1625="","",[2]Baskol!$B$1625)</f>
        <v/>
      </c>
      <c r="U1622" t="str">
        <f>IF([2]Baskol!$C$1625="","",[2]Baskol!$C$1625)</f>
        <v/>
      </c>
      <c r="V1622" t="str">
        <f>IF([2]Baskol!$D$1625="","",[2]Baskol!$D$1625)</f>
        <v/>
      </c>
      <c r="W1622" t="str">
        <f>IF([2]Baskol!$E$1625="","",[2]Baskol!$E$1625)</f>
        <v/>
      </c>
      <c r="X1622" t="str">
        <f>IF([2]Baskol!$G$1625="","",[2]Baskol!$G$1625)</f>
        <v/>
      </c>
      <c r="Y1622" t="str">
        <f>IF([2]Baskol!$I$1625="","",[2]Baskol!$I$1625)</f>
        <v/>
      </c>
      <c r="Z1622" t="str">
        <f>IF([2]Baskol!$J$1625="","",[2]Baskol!$J$1625)</f>
        <v/>
      </c>
      <c r="AA1622" t="str">
        <f>IF([2]Baskol!$K$1625="","",[2]Baskol!$K$1625)</f>
        <v/>
      </c>
      <c r="AB1622" t="str">
        <f>IF([2]Baskol!$L$1625="","",[2]Baskol!$L$1625)</f>
        <v/>
      </c>
      <c r="AC1622" t="str">
        <f>IF([2]Baskol!$N$1625="","",[2]Baskol!$N$1625)</f>
        <v/>
      </c>
      <c r="AD1622" t="str">
        <f>IF([2]Baskol!$O$1625="","",[2]Baskol!$O$1625)</f>
        <v/>
      </c>
      <c r="AE1622" t="str">
        <f>IF([3]Entry!$C$1625="","",[3]Entry!$C$1625)</f>
        <v/>
      </c>
      <c r="AF1622" t="str">
        <f>IF([3]Entry!$D$1625="","",[3]Entry!$D$1625)</f>
        <v/>
      </c>
      <c r="AG1622" t="str">
        <f>IF([3]Entry!$E$1625="","",[3]Entry!$E$1625)</f>
        <v/>
      </c>
      <c r="AH1622" t="str">
        <f>IF([3]Entry!$G$1625="","",[3]Entry!$G$1625)</f>
        <v/>
      </c>
      <c r="AI1622" t="str">
        <f>IF([3]Entry!$K$1625="","",[3]Entry!$K$1625)</f>
        <v/>
      </c>
      <c r="AJ1622" t="str">
        <f>IF([3]Entry!$L$1625="","",[3]Entry!$L$1625)</f>
        <v/>
      </c>
      <c r="AK1622" t="str">
        <f>IF([3]Entry!$M$1625="","",[3]Entry!$M$1625)</f>
        <v/>
      </c>
      <c r="AL1622" t="str">
        <f>IF([3]Entry!$N$1625="","",[3]Entry!$N$1625)</f>
        <v/>
      </c>
      <c r="AM1622" t="str">
        <f>IF([3]Entry!$R$1625="","",[3]Entry!$R$1625)</f>
        <v/>
      </c>
    </row>
    <row r="1623" spans="20:39" x14ac:dyDescent="0.2">
      <c r="T1623" t="str">
        <f>IF([2]Baskol!$B$1626="","",[2]Baskol!$B$1626)</f>
        <v/>
      </c>
      <c r="U1623" t="str">
        <f>IF([2]Baskol!$C$1626="","",[2]Baskol!$C$1626)</f>
        <v/>
      </c>
      <c r="V1623" t="str">
        <f>IF([2]Baskol!$D$1626="","",[2]Baskol!$D$1626)</f>
        <v/>
      </c>
      <c r="W1623" t="str">
        <f>IF([2]Baskol!$E$1626="","",[2]Baskol!$E$1626)</f>
        <v/>
      </c>
      <c r="X1623" t="str">
        <f>IF([2]Baskol!$G$1626="","",[2]Baskol!$G$1626)</f>
        <v/>
      </c>
      <c r="Y1623" t="str">
        <f>IF([2]Baskol!$I$1626="","",[2]Baskol!$I$1626)</f>
        <v/>
      </c>
      <c r="Z1623" t="str">
        <f>IF([2]Baskol!$J$1626="","",[2]Baskol!$J$1626)</f>
        <v/>
      </c>
      <c r="AA1623" t="str">
        <f>IF([2]Baskol!$K$1626="","",[2]Baskol!$K$1626)</f>
        <v/>
      </c>
      <c r="AB1623" t="str">
        <f>IF([2]Baskol!$L$1626="","",[2]Baskol!$L$1626)</f>
        <v/>
      </c>
      <c r="AC1623" t="str">
        <f>IF([2]Baskol!$N$1626="","",[2]Baskol!$N$1626)</f>
        <v/>
      </c>
      <c r="AD1623" t="str">
        <f>IF([2]Baskol!$O$1626="","",[2]Baskol!$O$1626)</f>
        <v/>
      </c>
      <c r="AE1623" t="str">
        <f>IF([3]Entry!$C$1626="","",[3]Entry!$C$1626)</f>
        <v/>
      </c>
      <c r="AF1623" t="str">
        <f>IF([3]Entry!$D$1626="","",[3]Entry!$D$1626)</f>
        <v/>
      </c>
      <c r="AG1623" t="str">
        <f>IF([3]Entry!$E$1626="","",[3]Entry!$E$1626)</f>
        <v/>
      </c>
      <c r="AH1623" t="str">
        <f>IF([3]Entry!$G$1626="","",[3]Entry!$G$1626)</f>
        <v/>
      </c>
      <c r="AI1623" t="str">
        <f>IF([3]Entry!$K$1626="","",[3]Entry!$K$1626)</f>
        <v/>
      </c>
      <c r="AJ1623" t="str">
        <f>IF([3]Entry!$L$1626="","",[3]Entry!$L$1626)</f>
        <v/>
      </c>
      <c r="AK1623" t="str">
        <f>IF([3]Entry!$M$1626="","",[3]Entry!$M$1626)</f>
        <v/>
      </c>
      <c r="AL1623" t="str">
        <f>IF([3]Entry!$N$1626="","",[3]Entry!$N$1626)</f>
        <v/>
      </c>
      <c r="AM1623" t="str">
        <f>IF([3]Entry!$R$1626="","",[3]Entry!$R$1626)</f>
        <v/>
      </c>
    </row>
    <row r="1624" spans="20:39" x14ac:dyDescent="0.2">
      <c r="T1624" t="str">
        <f>IF([2]Baskol!$B$1627="","",[2]Baskol!$B$1627)</f>
        <v/>
      </c>
      <c r="U1624" t="str">
        <f>IF([2]Baskol!$C$1627="","",[2]Baskol!$C$1627)</f>
        <v/>
      </c>
      <c r="V1624" t="str">
        <f>IF([2]Baskol!$D$1627="","",[2]Baskol!$D$1627)</f>
        <v/>
      </c>
      <c r="W1624" t="str">
        <f>IF([2]Baskol!$E$1627="","",[2]Baskol!$E$1627)</f>
        <v/>
      </c>
      <c r="X1624" t="str">
        <f>IF([2]Baskol!$G$1627="","",[2]Baskol!$G$1627)</f>
        <v/>
      </c>
      <c r="Y1624" t="str">
        <f>IF([2]Baskol!$I$1627="","",[2]Baskol!$I$1627)</f>
        <v/>
      </c>
      <c r="Z1624" t="str">
        <f>IF([2]Baskol!$J$1627="","",[2]Baskol!$J$1627)</f>
        <v/>
      </c>
      <c r="AA1624" t="str">
        <f>IF([2]Baskol!$K$1627="","",[2]Baskol!$K$1627)</f>
        <v/>
      </c>
      <c r="AB1624" t="str">
        <f>IF([2]Baskol!$L$1627="","",[2]Baskol!$L$1627)</f>
        <v/>
      </c>
      <c r="AC1624" t="str">
        <f>IF([2]Baskol!$N$1627="","",[2]Baskol!$N$1627)</f>
        <v/>
      </c>
      <c r="AD1624" t="str">
        <f>IF([2]Baskol!$O$1627="","",[2]Baskol!$O$1627)</f>
        <v/>
      </c>
      <c r="AE1624" t="str">
        <f>IF([3]Entry!$C$1627="","",[3]Entry!$C$1627)</f>
        <v/>
      </c>
      <c r="AF1624" t="str">
        <f>IF([3]Entry!$D$1627="","",[3]Entry!$D$1627)</f>
        <v/>
      </c>
      <c r="AG1624" t="str">
        <f>IF([3]Entry!$E$1627="","",[3]Entry!$E$1627)</f>
        <v/>
      </c>
      <c r="AH1624" t="str">
        <f>IF([3]Entry!$G$1627="","",[3]Entry!$G$1627)</f>
        <v/>
      </c>
      <c r="AI1624" t="str">
        <f>IF([3]Entry!$K$1627="","",[3]Entry!$K$1627)</f>
        <v/>
      </c>
      <c r="AJ1624" t="str">
        <f>IF([3]Entry!$L$1627="","",[3]Entry!$L$1627)</f>
        <v/>
      </c>
      <c r="AK1624" t="str">
        <f>IF([3]Entry!$M$1627="","",[3]Entry!$M$1627)</f>
        <v/>
      </c>
      <c r="AL1624" t="str">
        <f>IF([3]Entry!$N$1627="","",[3]Entry!$N$1627)</f>
        <v/>
      </c>
      <c r="AM1624" t="str">
        <f>IF([3]Entry!$R$1627="","",[3]Entry!$R$1627)</f>
        <v/>
      </c>
    </row>
    <row r="1625" spans="20:39" x14ac:dyDescent="0.2">
      <c r="T1625" t="str">
        <f>IF([2]Baskol!$B$1628="","",[2]Baskol!$B$1628)</f>
        <v/>
      </c>
      <c r="U1625" t="str">
        <f>IF([2]Baskol!$C$1628="","",[2]Baskol!$C$1628)</f>
        <v/>
      </c>
      <c r="V1625" t="str">
        <f>IF([2]Baskol!$D$1628="","",[2]Baskol!$D$1628)</f>
        <v/>
      </c>
      <c r="W1625" t="str">
        <f>IF([2]Baskol!$E$1628="","",[2]Baskol!$E$1628)</f>
        <v/>
      </c>
      <c r="X1625" t="str">
        <f>IF([2]Baskol!$G$1628="","",[2]Baskol!$G$1628)</f>
        <v/>
      </c>
      <c r="Y1625" t="str">
        <f>IF([2]Baskol!$I$1628="","",[2]Baskol!$I$1628)</f>
        <v/>
      </c>
      <c r="Z1625" t="str">
        <f>IF([2]Baskol!$J$1628="","",[2]Baskol!$J$1628)</f>
        <v/>
      </c>
      <c r="AA1625" t="str">
        <f>IF([2]Baskol!$K$1628="","",[2]Baskol!$K$1628)</f>
        <v/>
      </c>
      <c r="AB1625" t="str">
        <f>IF([2]Baskol!$L$1628="","",[2]Baskol!$L$1628)</f>
        <v/>
      </c>
      <c r="AC1625" t="str">
        <f>IF([2]Baskol!$N$1628="","",[2]Baskol!$N$1628)</f>
        <v/>
      </c>
      <c r="AD1625" t="str">
        <f>IF([2]Baskol!$O$1628="","",[2]Baskol!$O$1628)</f>
        <v/>
      </c>
      <c r="AE1625" t="str">
        <f>IF([3]Entry!$C$1628="","",[3]Entry!$C$1628)</f>
        <v/>
      </c>
      <c r="AF1625" t="str">
        <f>IF([3]Entry!$D$1628="","",[3]Entry!$D$1628)</f>
        <v/>
      </c>
      <c r="AG1625" t="str">
        <f>IF([3]Entry!$E$1628="","",[3]Entry!$E$1628)</f>
        <v/>
      </c>
      <c r="AH1625" t="str">
        <f>IF([3]Entry!$G$1628="","",[3]Entry!$G$1628)</f>
        <v/>
      </c>
      <c r="AI1625" t="str">
        <f>IF([3]Entry!$K$1628="","",[3]Entry!$K$1628)</f>
        <v/>
      </c>
      <c r="AJ1625" t="str">
        <f>IF([3]Entry!$L$1628="","",[3]Entry!$L$1628)</f>
        <v/>
      </c>
      <c r="AK1625" t="str">
        <f>IF([3]Entry!$M$1628="","",[3]Entry!$M$1628)</f>
        <v/>
      </c>
      <c r="AL1625" t="str">
        <f>IF([3]Entry!$N$1628="","",[3]Entry!$N$1628)</f>
        <v/>
      </c>
      <c r="AM1625" t="str">
        <f>IF([3]Entry!$R$1628="","",[3]Entry!$R$1628)</f>
        <v/>
      </c>
    </row>
    <row r="1626" spans="20:39" x14ac:dyDescent="0.2">
      <c r="T1626" t="str">
        <f>IF([2]Baskol!$B$1629="","",[2]Baskol!$B$1629)</f>
        <v/>
      </c>
      <c r="U1626" t="str">
        <f>IF([2]Baskol!$C$1629="","",[2]Baskol!$C$1629)</f>
        <v/>
      </c>
      <c r="V1626" t="str">
        <f>IF([2]Baskol!$D$1629="","",[2]Baskol!$D$1629)</f>
        <v/>
      </c>
      <c r="W1626" t="str">
        <f>IF([2]Baskol!$E$1629="","",[2]Baskol!$E$1629)</f>
        <v/>
      </c>
      <c r="X1626" t="str">
        <f>IF([2]Baskol!$G$1629="","",[2]Baskol!$G$1629)</f>
        <v/>
      </c>
      <c r="Y1626" t="str">
        <f>IF([2]Baskol!$I$1629="","",[2]Baskol!$I$1629)</f>
        <v/>
      </c>
      <c r="Z1626" t="str">
        <f>IF([2]Baskol!$J$1629="","",[2]Baskol!$J$1629)</f>
        <v/>
      </c>
      <c r="AA1626" t="str">
        <f>IF([2]Baskol!$K$1629="","",[2]Baskol!$K$1629)</f>
        <v/>
      </c>
      <c r="AB1626" t="str">
        <f>IF([2]Baskol!$L$1629="","",[2]Baskol!$L$1629)</f>
        <v/>
      </c>
      <c r="AC1626" t="str">
        <f>IF([2]Baskol!$N$1629="","",[2]Baskol!$N$1629)</f>
        <v/>
      </c>
      <c r="AD1626" t="str">
        <f>IF([2]Baskol!$O$1629="","",[2]Baskol!$O$1629)</f>
        <v/>
      </c>
      <c r="AE1626" t="str">
        <f>IF([3]Entry!$C$1629="","",[3]Entry!$C$1629)</f>
        <v/>
      </c>
      <c r="AF1626" t="str">
        <f>IF([3]Entry!$D$1629="","",[3]Entry!$D$1629)</f>
        <v/>
      </c>
      <c r="AG1626" t="str">
        <f>IF([3]Entry!$E$1629="","",[3]Entry!$E$1629)</f>
        <v/>
      </c>
      <c r="AH1626" t="str">
        <f>IF([3]Entry!$G$1629="","",[3]Entry!$G$1629)</f>
        <v/>
      </c>
      <c r="AI1626" t="str">
        <f>IF([3]Entry!$K$1629="","",[3]Entry!$K$1629)</f>
        <v/>
      </c>
      <c r="AJ1626" t="str">
        <f>IF([3]Entry!$L$1629="","",[3]Entry!$L$1629)</f>
        <v/>
      </c>
      <c r="AK1626" t="str">
        <f>IF([3]Entry!$M$1629="","",[3]Entry!$M$1629)</f>
        <v/>
      </c>
      <c r="AL1626" t="str">
        <f>IF([3]Entry!$N$1629="","",[3]Entry!$N$1629)</f>
        <v/>
      </c>
      <c r="AM1626" t="str">
        <f>IF([3]Entry!$R$1629="","",[3]Entry!$R$1629)</f>
        <v/>
      </c>
    </row>
    <row r="1627" spans="20:39" x14ac:dyDescent="0.2">
      <c r="T1627" t="str">
        <f>IF([2]Baskol!$B$1630="","",[2]Baskol!$B$1630)</f>
        <v/>
      </c>
      <c r="U1627" t="str">
        <f>IF([2]Baskol!$C$1630="","",[2]Baskol!$C$1630)</f>
        <v/>
      </c>
      <c r="V1627" t="str">
        <f>IF([2]Baskol!$D$1630="","",[2]Baskol!$D$1630)</f>
        <v/>
      </c>
      <c r="W1627" t="str">
        <f>IF([2]Baskol!$E$1630="","",[2]Baskol!$E$1630)</f>
        <v/>
      </c>
      <c r="X1627" t="str">
        <f>IF([2]Baskol!$G$1630="","",[2]Baskol!$G$1630)</f>
        <v/>
      </c>
      <c r="Y1627" t="str">
        <f>IF([2]Baskol!$I$1630="","",[2]Baskol!$I$1630)</f>
        <v/>
      </c>
      <c r="Z1627" t="str">
        <f>IF([2]Baskol!$J$1630="","",[2]Baskol!$J$1630)</f>
        <v/>
      </c>
      <c r="AA1627" t="str">
        <f>IF([2]Baskol!$K$1630="","",[2]Baskol!$K$1630)</f>
        <v/>
      </c>
      <c r="AB1627" t="str">
        <f>IF([2]Baskol!$L$1630="","",[2]Baskol!$L$1630)</f>
        <v/>
      </c>
      <c r="AC1627" t="str">
        <f>IF([2]Baskol!$N$1630="","",[2]Baskol!$N$1630)</f>
        <v/>
      </c>
      <c r="AD1627" t="str">
        <f>IF([2]Baskol!$O$1630="","",[2]Baskol!$O$1630)</f>
        <v/>
      </c>
      <c r="AE1627" t="str">
        <f>IF([3]Entry!$C$1630="","",[3]Entry!$C$1630)</f>
        <v/>
      </c>
      <c r="AF1627" t="str">
        <f>IF([3]Entry!$D$1630="","",[3]Entry!$D$1630)</f>
        <v/>
      </c>
      <c r="AG1627" t="str">
        <f>IF([3]Entry!$E$1630="","",[3]Entry!$E$1630)</f>
        <v/>
      </c>
      <c r="AH1627" t="str">
        <f>IF([3]Entry!$G$1630="","",[3]Entry!$G$1630)</f>
        <v/>
      </c>
      <c r="AI1627" t="str">
        <f>IF([3]Entry!$K$1630="","",[3]Entry!$K$1630)</f>
        <v/>
      </c>
      <c r="AJ1627" t="str">
        <f>IF([3]Entry!$L$1630="","",[3]Entry!$L$1630)</f>
        <v/>
      </c>
      <c r="AK1627" t="str">
        <f>IF([3]Entry!$M$1630="","",[3]Entry!$M$1630)</f>
        <v/>
      </c>
      <c r="AL1627" t="str">
        <f>IF([3]Entry!$N$1630="","",[3]Entry!$N$1630)</f>
        <v/>
      </c>
      <c r="AM1627" t="str">
        <f>IF([3]Entry!$R$1630="","",[3]Entry!$R$1630)</f>
        <v/>
      </c>
    </row>
    <row r="1628" spans="20:39" x14ac:dyDescent="0.2">
      <c r="T1628" t="str">
        <f>IF([2]Baskol!$B$1631="","",[2]Baskol!$B$1631)</f>
        <v/>
      </c>
      <c r="U1628" t="str">
        <f>IF([2]Baskol!$C$1631="","",[2]Baskol!$C$1631)</f>
        <v/>
      </c>
      <c r="V1628" t="str">
        <f>IF([2]Baskol!$D$1631="","",[2]Baskol!$D$1631)</f>
        <v/>
      </c>
      <c r="W1628" t="str">
        <f>IF([2]Baskol!$E$1631="","",[2]Baskol!$E$1631)</f>
        <v/>
      </c>
      <c r="X1628" t="str">
        <f>IF([2]Baskol!$G$1631="","",[2]Baskol!$G$1631)</f>
        <v/>
      </c>
      <c r="Y1628" t="str">
        <f>IF([2]Baskol!$I$1631="","",[2]Baskol!$I$1631)</f>
        <v/>
      </c>
      <c r="Z1628" t="str">
        <f>IF([2]Baskol!$J$1631="","",[2]Baskol!$J$1631)</f>
        <v/>
      </c>
      <c r="AA1628" t="str">
        <f>IF([2]Baskol!$K$1631="","",[2]Baskol!$K$1631)</f>
        <v/>
      </c>
      <c r="AB1628" t="str">
        <f>IF([2]Baskol!$L$1631="","",[2]Baskol!$L$1631)</f>
        <v/>
      </c>
      <c r="AC1628" t="str">
        <f>IF([2]Baskol!$N$1631="","",[2]Baskol!$N$1631)</f>
        <v/>
      </c>
      <c r="AD1628" t="str">
        <f>IF([2]Baskol!$O$1631="","",[2]Baskol!$O$1631)</f>
        <v/>
      </c>
      <c r="AE1628" t="str">
        <f>IF([3]Entry!$C$1631="","",[3]Entry!$C$1631)</f>
        <v/>
      </c>
      <c r="AF1628" t="str">
        <f>IF([3]Entry!$D$1631="","",[3]Entry!$D$1631)</f>
        <v/>
      </c>
      <c r="AG1628" t="str">
        <f>IF([3]Entry!$E$1631="","",[3]Entry!$E$1631)</f>
        <v/>
      </c>
      <c r="AH1628" t="str">
        <f>IF([3]Entry!$G$1631="","",[3]Entry!$G$1631)</f>
        <v/>
      </c>
      <c r="AI1628" t="str">
        <f>IF([3]Entry!$K$1631="","",[3]Entry!$K$1631)</f>
        <v/>
      </c>
      <c r="AJ1628" t="str">
        <f>IF([3]Entry!$L$1631="","",[3]Entry!$L$1631)</f>
        <v/>
      </c>
      <c r="AK1628" t="str">
        <f>IF([3]Entry!$M$1631="","",[3]Entry!$M$1631)</f>
        <v/>
      </c>
      <c r="AL1628" t="str">
        <f>IF([3]Entry!$N$1631="","",[3]Entry!$N$1631)</f>
        <v/>
      </c>
      <c r="AM1628" t="str">
        <f>IF([3]Entry!$R$1631="","",[3]Entry!$R$1631)</f>
        <v/>
      </c>
    </row>
    <row r="1629" spans="20:39" x14ac:dyDescent="0.2">
      <c r="T1629" t="str">
        <f>IF([2]Baskol!$B$1632="","",[2]Baskol!$B$1632)</f>
        <v/>
      </c>
      <c r="U1629" t="str">
        <f>IF([2]Baskol!$C$1632="","",[2]Baskol!$C$1632)</f>
        <v/>
      </c>
      <c r="V1629" t="str">
        <f>IF([2]Baskol!$D$1632="","",[2]Baskol!$D$1632)</f>
        <v/>
      </c>
      <c r="W1629" t="str">
        <f>IF([2]Baskol!$E$1632="","",[2]Baskol!$E$1632)</f>
        <v/>
      </c>
      <c r="X1629" t="str">
        <f>IF([2]Baskol!$G$1632="","",[2]Baskol!$G$1632)</f>
        <v/>
      </c>
      <c r="Y1629" t="str">
        <f>IF([2]Baskol!$I$1632="","",[2]Baskol!$I$1632)</f>
        <v/>
      </c>
      <c r="Z1629" t="str">
        <f>IF([2]Baskol!$J$1632="","",[2]Baskol!$J$1632)</f>
        <v/>
      </c>
      <c r="AA1629" t="str">
        <f>IF([2]Baskol!$K$1632="","",[2]Baskol!$K$1632)</f>
        <v/>
      </c>
      <c r="AB1629" t="str">
        <f>IF([2]Baskol!$L$1632="","",[2]Baskol!$L$1632)</f>
        <v/>
      </c>
      <c r="AC1629" t="str">
        <f>IF([2]Baskol!$N$1632="","",[2]Baskol!$N$1632)</f>
        <v/>
      </c>
      <c r="AD1629" t="str">
        <f>IF([2]Baskol!$O$1632="","",[2]Baskol!$O$1632)</f>
        <v/>
      </c>
      <c r="AE1629" t="str">
        <f>IF([3]Entry!$C$1632="","",[3]Entry!$C$1632)</f>
        <v/>
      </c>
      <c r="AF1629" t="str">
        <f>IF([3]Entry!$D$1632="","",[3]Entry!$D$1632)</f>
        <v/>
      </c>
      <c r="AG1629" t="str">
        <f>IF([3]Entry!$E$1632="","",[3]Entry!$E$1632)</f>
        <v/>
      </c>
      <c r="AH1629" t="str">
        <f>IF([3]Entry!$G$1632="","",[3]Entry!$G$1632)</f>
        <v/>
      </c>
      <c r="AI1629" t="str">
        <f>IF([3]Entry!$K$1632="","",[3]Entry!$K$1632)</f>
        <v/>
      </c>
      <c r="AJ1629" t="str">
        <f>IF([3]Entry!$L$1632="","",[3]Entry!$L$1632)</f>
        <v/>
      </c>
      <c r="AK1629" t="str">
        <f>IF([3]Entry!$M$1632="","",[3]Entry!$M$1632)</f>
        <v/>
      </c>
      <c r="AL1629" t="str">
        <f>IF([3]Entry!$N$1632="","",[3]Entry!$N$1632)</f>
        <v/>
      </c>
      <c r="AM1629" t="str">
        <f>IF([3]Entry!$R$1632="","",[3]Entry!$R$1632)</f>
        <v/>
      </c>
    </row>
    <row r="1630" spans="20:39" x14ac:dyDescent="0.2">
      <c r="T1630" t="str">
        <f>IF([2]Baskol!$B$1633="","",[2]Baskol!$B$1633)</f>
        <v/>
      </c>
      <c r="U1630" t="str">
        <f>IF([2]Baskol!$C$1633="","",[2]Baskol!$C$1633)</f>
        <v/>
      </c>
      <c r="V1630" t="str">
        <f>IF([2]Baskol!$D$1633="","",[2]Baskol!$D$1633)</f>
        <v/>
      </c>
      <c r="W1630" t="str">
        <f>IF([2]Baskol!$E$1633="","",[2]Baskol!$E$1633)</f>
        <v/>
      </c>
      <c r="X1630" t="str">
        <f>IF([2]Baskol!$G$1633="","",[2]Baskol!$G$1633)</f>
        <v/>
      </c>
      <c r="Y1630" t="str">
        <f>IF([2]Baskol!$I$1633="","",[2]Baskol!$I$1633)</f>
        <v/>
      </c>
      <c r="Z1630" t="str">
        <f>IF([2]Baskol!$J$1633="","",[2]Baskol!$J$1633)</f>
        <v/>
      </c>
      <c r="AA1630" t="str">
        <f>IF([2]Baskol!$K$1633="","",[2]Baskol!$K$1633)</f>
        <v/>
      </c>
      <c r="AB1630" t="str">
        <f>IF([2]Baskol!$L$1633="","",[2]Baskol!$L$1633)</f>
        <v/>
      </c>
      <c r="AC1630" t="str">
        <f>IF([2]Baskol!$N$1633="","",[2]Baskol!$N$1633)</f>
        <v/>
      </c>
      <c r="AD1630" t="str">
        <f>IF([2]Baskol!$O$1633="","",[2]Baskol!$O$1633)</f>
        <v/>
      </c>
      <c r="AE1630" t="str">
        <f>IF([3]Entry!$C$1633="","",[3]Entry!$C$1633)</f>
        <v/>
      </c>
      <c r="AF1630" t="str">
        <f>IF([3]Entry!$D$1633="","",[3]Entry!$D$1633)</f>
        <v/>
      </c>
      <c r="AG1630" t="str">
        <f>IF([3]Entry!$E$1633="","",[3]Entry!$E$1633)</f>
        <v/>
      </c>
      <c r="AH1630" t="str">
        <f>IF([3]Entry!$G$1633="","",[3]Entry!$G$1633)</f>
        <v/>
      </c>
      <c r="AI1630" t="str">
        <f>IF([3]Entry!$K$1633="","",[3]Entry!$K$1633)</f>
        <v/>
      </c>
      <c r="AJ1630" t="str">
        <f>IF([3]Entry!$L$1633="","",[3]Entry!$L$1633)</f>
        <v/>
      </c>
      <c r="AK1630" t="str">
        <f>IF([3]Entry!$M$1633="","",[3]Entry!$M$1633)</f>
        <v/>
      </c>
      <c r="AL1630" t="str">
        <f>IF([3]Entry!$N$1633="","",[3]Entry!$N$1633)</f>
        <v/>
      </c>
      <c r="AM1630" t="str">
        <f>IF([3]Entry!$R$1633="","",[3]Entry!$R$1633)</f>
        <v/>
      </c>
    </row>
    <row r="1631" spans="20:39" x14ac:dyDescent="0.2">
      <c r="T1631" t="str">
        <f>IF([2]Baskol!$B$1634="","",[2]Baskol!$B$1634)</f>
        <v/>
      </c>
      <c r="U1631" t="str">
        <f>IF([2]Baskol!$C$1634="","",[2]Baskol!$C$1634)</f>
        <v/>
      </c>
      <c r="V1631" t="str">
        <f>IF([2]Baskol!$D$1634="","",[2]Baskol!$D$1634)</f>
        <v/>
      </c>
      <c r="W1631" t="str">
        <f>IF([2]Baskol!$E$1634="","",[2]Baskol!$E$1634)</f>
        <v/>
      </c>
      <c r="X1631" t="str">
        <f>IF([2]Baskol!$G$1634="","",[2]Baskol!$G$1634)</f>
        <v/>
      </c>
      <c r="Y1631" t="str">
        <f>IF([2]Baskol!$I$1634="","",[2]Baskol!$I$1634)</f>
        <v/>
      </c>
      <c r="Z1631" t="str">
        <f>IF([2]Baskol!$J$1634="","",[2]Baskol!$J$1634)</f>
        <v/>
      </c>
      <c r="AA1631" t="str">
        <f>IF([2]Baskol!$K$1634="","",[2]Baskol!$K$1634)</f>
        <v/>
      </c>
      <c r="AB1631" t="str">
        <f>IF([2]Baskol!$L$1634="","",[2]Baskol!$L$1634)</f>
        <v/>
      </c>
      <c r="AC1631" t="str">
        <f>IF([2]Baskol!$N$1634="","",[2]Baskol!$N$1634)</f>
        <v/>
      </c>
      <c r="AD1631" t="str">
        <f>IF([2]Baskol!$O$1634="","",[2]Baskol!$O$1634)</f>
        <v/>
      </c>
      <c r="AE1631" t="str">
        <f>IF([3]Entry!$C$1634="","",[3]Entry!$C$1634)</f>
        <v/>
      </c>
      <c r="AF1631" t="str">
        <f>IF([3]Entry!$D$1634="","",[3]Entry!$D$1634)</f>
        <v/>
      </c>
      <c r="AG1631" t="str">
        <f>IF([3]Entry!$E$1634="","",[3]Entry!$E$1634)</f>
        <v/>
      </c>
      <c r="AH1631" t="str">
        <f>IF([3]Entry!$G$1634="","",[3]Entry!$G$1634)</f>
        <v/>
      </c>
      <c r="AI1631" t="str">
        <f>IF([3]Entry!$K$1634="","",[3]Entry!$K$1634)</f>
        <v/>
      </c>
      <c r="AJ1631" t="str">
        <f>IF([3]Entry!$L$1634="","",[3]Entry!$L$1634)</f>
        <v/>
      </c>
      <c r="AK1631" t="str">
        <f>IF([3]Entry!$M$1634="","",[3]Entry!$M$1634)</f>
        <v/>
      </c>
      <c r="AL1631" t="str">
        <f>IF([3]Entry!$N$1634="","",[3]Entry!$N$1634)</f>
        <v/>
      </c>
      <c r="AM1631" t="str">
        <f>IF([3]Entry!$R$1634="","",[3]Entry!$R$1634)</f>
        <v/>
      </c>
    </row>
    <row r="1632" spans="20:39" x14ac:dyDescent="0.2">
      <c r="T1632" t="str">
        <f>IF([2]Baskol!$B$1635="","",[2]Baskol!$B$1635)</f>
        <v/>
      </c>
      <c r="U1632" t="str">
        <f>IF([2]Baskol!$C$1635="","",[2]Baskol!$C$1635)</f>
        <v/>
      </c>
      <c r="V1632" t="str">
        <f>IF([2]Baskol!$D$1635="","",[2]Baskol!$D$1635)</f>
        <v/>
      </c>
      <c r="W1632" t="str">
        <f>IF([2]Baskol!$E$1635="","",[2]Baskol!$E$1635)</f>
        <v/>
      </c>
      <c r="X1632" t="str">
        <f>IF([2]Baskol!$G$1635="","",[2]Baskol!$G$1635)</f>
        <v/>
      </c>
      <c r="Y1632" t="str">
        <f>IF([2]Baskol!$I$1635="","",[2]Baskol!$I$1635)</f>
        <v/>
      </c>
      <c r="Z1632" t="str">
        <f>IF([2]Baskol!$J$1635="","",[2]Baskol!$J$1635)</f>
        <v/>
      </c>
      <c r="AA1632" t="str">
        <f>IF([2]Baskol!$K$1635="","",[2]Baskol!$K$1635)</f>
        <v/>
      </c>
      <c r="AB1632" t="str">
        <f>IF([2]Baskol!$L$1635="","",[2]Baskol!$L$1635)</f>
        <v/>
      </c>
      <c r="AC1632" t="str">
        <f>IF([2]Baskol!$N$1635="","",[2]Baskol!$N$1635)</f>
        <v/>
      </c>
      <c r="AD1632" t="str">
        <f>IF([2]Baskol!$O$1635="","",[2]Baskol!$O$1635)</f>
        <v/>
      </c>
      <c r="AE1632" t="str">
        <f>IF([3]Entry!$C$1635="","",[3]Entry!$C$1635)</f>
        <v/>
      </c>
      <c r="AF1632" t="str">
        <f>IF([3]Entry!$D$1635="","",[3]Entry!$D$1635)</f>
        <v/>
      </c>
      <c r="AG1632" t="str">
        <f>IF([3]Entry!$E$1635="","",[3]Entry!$E$1635)</f>
        <v/>
      </c>
      <c r="AH1632" t="str">
        <f>IF([3]Entry!$G$1635="","",[3]Entry!$G$1635)</f>
        <v/>
      </c>
      <c r="AI1632" t="str">
        <f>IF([3]Entry!$K$1635="","",[3]Entry!$K$1635)</f>
        <v/>
      </c>
      <c r="AJ1632" t="str">
        <f>IF([3]Entry!$L$1635="","",[3]Entry!$L$1635)</f>
        <v/>
      </c>
      <c r="AK1632" t="str">
        <f>IF([3]Entry!$M$1635="","",[3]Entry!$M$1635)</f>
        <v/>
      </c>
      <c r="AL1632" t="str">
        <f>IF([3]Entry!$N$1635="","",[3]Entry!$N$1635)</f>
        <v/>
      </c>
      <c r="AM1632" t="str">
        <f>IF([3]Entry!$R$1635="","",[3]Entry!$R$1635)</f>
        <v/>
      </c>
    </row>
    <row r="1633" spans="20:39" x14ac:dyDescent="0.2">
      <c r="T1633" t="str">
        <f>IF([2]Baskol!$B$1636="","",[2]Baskol!$B$1636)</f>
        <v/>
      </c>
      <c r="U1633" t="str">
        <f>IF([2]Baskol!$C$1636="","",[2]Baskol!$C$1636)</f>
        <v/>
      </c>
      <c r="V1633" t="str">
        <f>IF([2]Baskol!$D$1636="","",[2]Baskol!$D$1636)</f>
        <v/>
      </c>
      <c r="W1633" t="str">
        <f>IF([2]Baskol!$E$1636="","",[2]Baskol!$E$1636)</f>
        <v/>
      </c>
      <c r="X1633" t="str">
        <f>IF([2]Baskol!$G$1636="","",[2]Baskol!$G$1636)</f>
        <v/>
      </c>
      <c r="Y1633" t="str">
        <f>IF([2]Baskol!$I$1636="","",[2]Baskol!$I$1636)</f>
        <v/>
      </c>
      <c r="Z1633" t="str">
        <f>IF([2]Baskol!$J$1636="","",[2]Baskol!$J$1636)</f>
        <v/>
      </c>
      <c r="AA1633" t="str">
        <f>IF([2]Baskol!$K$1636="","",[2]Baskol!$K$1636)</f>
        <v/>
      </c>
      <c r="AB1633" t="str">
        <f>IF([2]Baskol!$L$1636="","",[2]Baskol!$L$1636)</f>
        <v/>
      </c>
      <c r="AC1633" t="str">
        <f>IF([2]Baskol!$N$1636="","",[2]Baskol!$N$1636)</f>
        <v/>
      </c>
      <c r="AD1633" t="str">
        <f>IF([2]Baskol!$O$1636="","",[2]Baskol!$O$1636)</f>
        <v/>
      </c>
      <c r="AE1633" t="str">
        <f>IF([3]Entry!$C$1636="","",[3]Entry!$C$1636)</f>
        <v/>
      </c>
      <c r="AF1633" t="str">
        <f>IF([3]Entry!$D$1636="","",[3]Entry!$D$1636)</f>
        <v/>
      </c>
      <c r="AG1633" t="str">
        <f>IF([3]Entry!$E$1636="","",[3]Entry!$E$1636)</f>
        <v/>
      </c>
      <c r="AH1633" t="str">
        <f>IF([3]Entry!$G$1636="","",[3]Entry!$G$1636)</f>
        <v/>
      </c>
      <c r="AI1633" t="str">
        <f>IF([3]Entry!$K$1636="","",[3]Entry!$K$1636)</f>
        <v/>
      </c>
      <c r="AJ1633" t="str">
        <f>IF([3]Entry!$L$1636="","",[3]Entry!$L$1636)</f>
        <v/>
      </c>
      <c r="AK1633" t="str">
        <f>IF([3]Entry!$M$1636="","",[3]Entry!$M$1636)</f>
        <v/>
      </c>
      <c r="AL1633" t="str">
        <f>IF([3]Entry!$N$1636="","",[3]Entry!$N$1636)</f>
        <v/>
      </c>
      <c r="AM1633" t="str">
        <f>IF([3]Entry!$R$1636="","",[3]Entry!$R$1636)</f>
        <v/>
      </c>
    </row>
    <row r="1634" spans="20:39" x14ac:dyDescent="0.2">
      <c r="T1634" t="str">
        <f>IF([2]Baskol!$B$1637="","",[2]Baskol!$B$1637)</f>
        <v/>
      </c>
      <c r="U1634" t="str">
        <f>IF([2]Baskol!$C$1637="","",[2]Baskol!$C$1637)</f>
        <v/>
      </c>
      <c r="V1634" t="str">
        <f>IF([2]Baskol!$D$1637="","",[2]Baskol!$D$1637)</f>
        <v/>
      </c>
      <c r="W1634" t="str">
        <f>IF([2]Baskol!$E$1637="","",[2]Baskol!$E$1637)</f>
        <v/>
      </c>
      <c r="X1634" t="str">
        <f>IF([2]Baskol!$G$1637="","",[2]Baskol!$G$1637)</f>
        <v/>
      </c>
      <c r="Y1634" t="str">
        <f>IF([2]Baskol!$I$1637="","",[2]Baskol!$I$1637)</f>
        <v/>
      </c>
      <c r="Z1634" t="str">
        <f>IF([2]Baskol!$J$1637="","",[2]Baskol!$J$1637)</f>
        <v/>
      </c>
      <c r="AA1634" t="str">
        <f>IF([2]Baskol!$K$1637="","",[2]Baskol!$K$1637)</f>
        <v/>
      </c>
      <c r="AB1634" t="str">
        <f>IF([2]Baskol!$L$1637="","",[2]Baskol!$L$1637)</f>
        <v/>
      </c>
      <c r="AC1634" t="str">
        <f>IF([2]Baskol!$N$1637="","",[2]Baskol!$N$1637)</f>
        <v/>
      </c>
      <c r="AD1634" t="str">
        <f>IF([2]Baskol!$O$1637="","",[2]Baskol!$O$1637)</f>
        <v/>
      </c>
      <c r="AE1634" t="str">
        <f>IF([3]Entry!$C$1637="","",[3]Entry!$C$1637)</f>
        <v/>
      </c>
      <c r="AF1634" t="str">
        <f>IF([3]Entry!$D$1637="","",[3]Entry!$D$1637)</f>
        <v/>
      </c>
      <c r="AG1634" t="str">
        <f>IF([3]Entry!$E$1637="","",[3]Entry!$E$1637)</f>
        <v/>
      </c>
      <c r="AH1634" t="str">
        <f>IF([3]Entry!$G$1637="","",[3]Entry!$G$1637)</f>
        <v/>
      </c>
      <c r="AI1634" t="str">
        <f>IF([3]Entry!$K$1637="","",[3]Entry!$K$1637)</f>
        <v/>
      </c>
      <c r="AJ1634" t="str">
        <f>IF([3]Entry!$L$1637="","",[3]Entry!$L$1637)</f>
        <v/>
      </c>
      <c r="AK1634" t="str">
        <f>IF([3]Entry!$M$1637="","",[3]Entry!$M$1637)</f>
        <v/>
      </c>
      <c r="AL1634" t="str">
        <f>IF([3]Entry!$N$1637="","",[3]Entry!$N$1637)</f>
        <v/>
      </c>
      <c r="AM1634" t="str">
        <f>IF([3]Entry!$R$1637="","",[3]Entry!$R$1637)</f>
        <v/>
      </c>
    </row>
    <row r="1635" spans="20:39" x14ac:dyDescent="0.2">
      <c r="T1635" t="str">
        <f>IF([2]Baskol!$B$1638="","",[2]Baskol!$B$1638)</f>
        <v/>
      </c>
      <c r="U1635" t="str">
        <f>IF([2]Baskol!$C$1638="","",[2]Baskol!$C$1638)</f>
        <v/>
      </c>
      <c r="V1635" t="str">
        <f>IF([2]Baskol!$D$1638="","",[2]Baskol!$D$1638)</f>
        <v/>
      </c>
      <c r="W1635" t="str">
        <f>IF([2]Baskol!$E$1638="","",[2]Baskol!$E$1638)</f>
        <v/>
      </c>
      <c r="X1635" t="str">
        <f>IF([2]Baskol!$G$1638="","",[2]Baskol!$G$1638)</f>
        <v/>
      </c>
      <c r="Y1635" t="str">
        <f>IF([2]Baskol!$I$1638="","",[2]Baskol!$I$1638)</f>
        <v/>
      </c>
      <c r="Z1635" t="str">
        <f>IF([2]Baskol!$J$1638="","",[2]Baskol!$J$1638)</f>
        <v/>
      </c>
      <c r="AA1635" t="str">
        <f>IF([2]Baskol!$K$1638="","",[2]Baskol!$K$1638)</f>
        <v/>
      </c>
      <c r="AB1635" t="str">
        <f>IF([2]Baskol!$L$1638="","",[2]Baskol!$L$1638)</f>
        <v/>
      </c>
      <c r="AC1635" t="str">
        <f>IF([2]Baskol!$N$1638="","",[2]Baskol!$N$1638)</f>
        <v/>
      </c>
      <c r="AD1635" t="str">
        <f>IF([2]Baskol!$O$1638="","",[2]Baskol!$O$1638)</f>
        <v/>
      </c>
      <c r="AE1635" t="str">
        <f>IF([3]Entry!$C$1638="","",[3]Entry!$C$1638)</f>
        <v/>
      </c>
      <c r="AF1635" t="str">
        <f>IF([3]Entry!$D$1638="","",[3]Entry!$D$1638)</f>
        <v/>
      </c>
      <c r="AG1635" t="str">
        <f>IF([3]Entry!$E$1638="","",[3]Entry!$E$1638)</f>
        <v/>
      </c>
      <c r="AH1635" t="str">
        <f>IF([3]Entry!$G$1638="","",[3]Entry!$G$1638)</f>
        <v/>
      </c>
      <c r="AI1635" t="str">
        <f>IF([3]Entry!$K$1638="","",[3]Entry!$K$1638)</f>
        <v/>
      </c>
      <c r="AJ1635" t="str">
        <f>IF([3]Entry!$L$1638="","",[3]Entry!$L$1638)</f>
        <v/>
      </c>
      <c r="AK1635" t="str">
        <f>IF([3]Entry!$M$1638="","",[3]Entry!$M$1638)</f>
        <v/>
      </c>
      <c r="AL1635" t="str">
        <f>IF([3]Entry!$N$1638="","",[3]Entry!$N$1638)</f>
        <v/>
      </c>
      <c r="AM1635" t="str">
        <f>IF([3]Entry!$R$1638="","",[3]Entry!$R$1638)</f>
        <v/>
      </c>
    </row>
    <row r="1636" spans="20:39" x14ac:dyDescent="0.2">
      <c r="T1636" t="str">
        <f>IF([2]Baskol!$B$1639="","",[2]Baskol!$B$1639)</f>
        <v/>
      </c>
      <c r="U1636" t="str">
        <f>IF([2]Baskol!$C$1639="","",[2]Baskol!$C$1639)</f>
        <v/>
      </c>
      <c r="V1636" t="str">
        <f>IF([2]Baskol!$D$1639="","",[2]Baskol!$D$1639)</f>
        <v/>
      </c>
      <c r="W1636" t="str">
        <f>IF([2]Baskol!$E$1639="","",[2]Baskol!$E$1639)</f>
        <v/>
      </c>
      <c r="X1636" t="str">
        <f>IF([2]Baskol!$G$1639="","",[2]Baskol!$G$1639)</f>
        <v/>
      </c>
      <c r="Y1636" t="str">
        <f>IF([2]Baskol!$I$1639="","",[2]Baskol!$I$1639)</f>
        <v/>
      </c>
      <c r="Z1636" t="str">
        <f>IF([2]Baskol!$J$1639="","",[2]Baskol!$J$1639)</f>
        <v/>
      </c>
      <c r="AA1636" t="str">
        <f>IF([2]Baskol!$K$1639="","",[2]Baskol!$K$1639)</f>
        <v/>
      </c>
      <c r="AB1636" t="str">
        <f>IF([2]Baskol!$L$1639="","",[2]Baskol!$L$1639)</f>
        <v/>
      </c>
      <c r="AC1636" t="str">
        <f>IF([2]Baskol!$N$1639="","",[2]Baskol!$N$1639)</f>
        <v/>
      </c>
      <c r="AD1636" t="str">
        <f>IF([2]Baskol!$O$1639="","",[2]Baskol!$O$1639)</f>
        <v/>
      </c>
      <c r="AE1636" t="str">
        <f>IF([3]Entry!$C$1639="","",[3]Entry!$C$1639)</f>
        <v/>
      </c>
      <c r="AF1636" t="str">
        <f>IF([3]Entry!$D$1639="","",[3]Entry!$D$1639)</f>
        <v/>
      </c>
      <c r="AG1636" t="str">
        <f>IF([3]Entry!$E$1639="","",[3]Entry!$E$1639)</f>
        <v/>
      </c>
      <c r="AH1636" t="str">
        <f>IF([3]Entry!$G$1639="","",[3]Entry!$G$1639)</f>
        <v/>
      </c>
      <c r="AI1636" t="str">
        <f>IF([3]Entry!$K$1639="","",[3]Entry!$K$1639)</f>
        <v/>
      </c>
      <c r="AJ1636" t="str">
        <f>IF([3]Entry!$L$1639="","",[3]Entry!$L$1639)</f>
        <v/>
      </c>
      <c r="AK1636" t="str">
        <f>IF([3]Entry!$M$1639="","",[3]Entry!$M$1639)</f>
        <v/>
      </c>
      <c r="AL1636" t="str">
        <f>IF([3]Entry!$N$1639="","",[3]Entry!$N$1639)</f>
        <v/>
      </c>
      <c r="AM1636" t="str">
        <f>IF([3]Entry!$R$1639="","",[3]Entry!$R$1639)</f>
        <v/>
      </c>
    </row>
    <row r="1637" spans="20:39" x14ac:dyDescent="0.2">
      <c r="T1637" t="str">
        <f>IF([2]Baskol!$B$1640="","",[2]Baskol!$B$1640)</f>
        <v/>
      </c>
      <c r="U1637" t="str">
        <f>IF([2]Baskol!$C$1640="","",[2]Baskol!$C$1640)</f>
        <v/>
      </c>
      <c r="V1637" t="str">
        <f>IF([2]Baskol!$D$1640="","",[2]Baskol!$D$1640)</f>
        <v/>
      </c>
      <c r="W1637" t="str">
        <f>IF([2]Baskol!$E$1640="","",[2]Baskol!$E$1640)</f>
        <v/>
      </c>
      <c r="X1637" t="str">
        <f>IF([2]Baskol!$G$1640="","",[2]Baskol!$G$1640)</f>
        <v/>
      </c>
      <c r="Y1637" t="str">
        <f>IF([2]Baskol!$I$1640="","",[2]Baskol!$I$1640)</f>
        <v/>
      </c>
      <c r="Z1637" t="str">
        <f>IF([2]Baskol!$J$1640="","",[2]Baskol!$J$1640)</f>
        <v/>
      </c>
      <c r="AA1637" t="str">
        <f>IF([2]Baskol!$K$1640="","",[2]Baskol!$K$1640)</f>
        <v/>
      </c>
      <c r="AB1637" t="str">
        <f>IF([2]Baskol!$L$1640="","",[2]Baskol!$L$1640)</f>
        <v/>
      </c>
      <c r="AC1637" t="str">
        <f>IF([2]Baskol!$N$1640="","",[2]Baskol!$N$1640)</f>
        <v/>
      </c>
      <c r="AD1637" t="str">
        <f>IF([2]Baskol!$O$1640="","",[2]Baskol!$O$1640)</f>
        <v/>
      </c>
      <c r="AE1637" t="str">
        <f>IF([3]Entry!$C$1640="","",[3]Entry!$C$1640)</f>
        <v/>
      </c>
      <c r="AF1637" t="str">
        <f>IF([3]Entry!$D$1640="","",[3]Entry!$D$1640)</f>
        <v/>
      </c>
      <c r="AG1637" t="str">
        <f>IF([3]Entry!$E$1640="","",[3]Entry!$E$1640)</f>
        <v/>
      </c>
      <c r="AH1637" t="str">
        <f>IF([3]Entry!$G$1640="","",[3]Entry!$G$1640)</f>
        <v/>
      </c>
      <c r="AI1637" t="str">
        <f>IF([3]Entry!$K$1640="","",[3]Entry!$K$1640)</f>
        <v/>
      </c>
      <c r="AJ1637" t="str">
        <f>IF([3]Entry!$L$1640="","",[3]Entry!$L$1640)</f>
        <v/>
      </c>
      <c r="AK1637" t="str">
        <f>IF([3]Entry!$M$1640="","",[3]Entry!$M$1640)</f>
        <v/>
      </c>
      <c r="AL1637" t="str">
        <f>IF([3]Entry!$N$1640="","",[3]Entry!$N$1640)</f>
        <v/>
      </c>
      <c r="AM1637" t="str">
        <f>IF([3]Entry!$R$1640="","",[3]Entry!$R$1640)</f>
        <v/>
      </c>
    </row>
    <row r="1638" spans="20:39" x14ac:dyDescent="0.2">
      <c r="T1638" t="str">
        <f>IF([2]Baskol!$B$1641="","",[2]Baskol!$B$1641)</f>
        <v/>
      </c>
      <c r="U1638" t="str">
        <f>IF([2]Baskol!$C$1641="","",[2]Baskol!$C$1641)</f>
        <v/>
      </c>
      <c r="V1638" t="str">
        <f>IF([2]Baskol!$D$1641="","",[2]Baskol!$D$1641)</f>
        <v/>
      </c>
      <c r="W1638" t="str">
        <f>IF([2]Baskol!$E$1641="","",[2]Baskol!$E$1641)</f>
        <v/>
      </c>
      <c r="X1638" t="str">
        <f>IF([2]Baskol!$G$1641="","",[2]Baskol!$G$1641)</f>
        <v/>
      </c>
      <c r="Y1638" t="str">
        <f>IF([2]Baskol!$I$1641="","",[2]Baskol!$I$1641)</f>
        <v/>
      </c>
      <c r="Z1638" t="str">
        <f>IF([2]Baskol!$J$1641="","",[2]Baskol!$J$1641)</f>
        <v/>
      </c>
      <c r="AA1638" t="str">
        <f>IF([2]Baskol!$K$1641="","",[2]Baskol!$K$1641)</f>
        <v/>
      </c>
      <c r="AB1638" t="str">
        <f>IF([2]Baskol!$L$1641="","",[2]Baskol!$L$1641)</f>
        <v/>
      </c>
      <c r="AC1638" t="str">
        <f>IF([2]Baskol!$N$1641="","",[2]Baskol!$N$1641)</f>
        <v/>
      </c>
      <c r="AD1638" t="str">
        <f>IF([2]Baskol!$O$1641="","",[2]Baskol!$O$1641)</f>
        <v/>
      </c>
      <c r="AE1638" t="str">
        <f>IF([3]Entry!$C$1641="","",[3]Entry!$C$1641)</f>
        <v/>
      </c>
      <c r="AF1638" t="str">
        <f>IF([3]Entry!$D$1641="","",[3]Entry!$D$1641)</f>
        <v/>
      </c>
      <c r="AG1638" t="str">
        <f>IF([3]Entry!$E$1641="","",[3]Entry!$E$1641)</f>
        <v/>
      </c>
      <c r="AH1638" t="str">
        <f>IF([3]Entry!$G$1641="","",[3]Entry!$G$1641)</f>
        <v/>
      </c>
      <c r="AI1638" t="str">
        <f>IF([3]Entry!$K$1641="","",[3]Entry!$K$1641)</f>
        <v/>
      </c>
      <c r="AJ1638" t="str">
        <f>IF([3]Entry!$L$1641="","",[3]Entry!$L$1641)</f>
        <v/>
      </c>
      <c r="AK1638" t="str">
        <f>IF([3]Entry!$M$1641="","",[3]Entry!$M$1641)</f>
        <v/>
      </c>
      <c r="AL1638" t="str">
        <f>IF([3]Entry!$N$1641="","",[3]Entry!$N$1641)</f>
        <v/>
      </c>
      <c r="AM1638" t="str">
        <f>IF([3]Entry!$R$1641="","",[3]Entry!$R$1641)</f>
        <v/>
      </c>
    </row>
    <row r="1639" spans="20:39" x14ac:dyDescent="0.2">
      <c r="T1639" t="str">
        <f>IF([2]Baskol!$B$1642="","",[2]Baskol!$B$1642)</f>
        <v/>
      </c>
      <c r="U1639" t="str">
        <f>IF([2]Baskol!$C$1642="","",[2]Baskol!$C$1642)</f>
        <v/>
      </c>
      <c r="V1639" t="str">
        <f>IF([2]Baskol!$D$1642="","",[2]Baskol!$D$1642)</f>
        <v/>
      </c>
      <c r="W1639" t="str">
        <f>IF([2]Baskol!$E$1642="","",[2]Baskol!$E$1642)</f>
        <v/>
      </c>
      <c r="X1639" t="str">
        <f>IF([2]Baskol!$G$1642="","",[2]Baskol!$G$1642)</f>
        <v/>
      </c>
      <c r="Y1639" t="str">
        <f>IF([2]Baskol!$I$1642="","",[2]Baskol!$I$1642)</f>
        <v/>
      </c>
      <c r="Z1639" t="str">
        <f>IF([2]Baskol!$J$1642="","",[2]Baskol!$J$1642)</f>
        <v/>
      </c>
      <c r="AA1639" t="str">
        <f>IF([2]Baskol!$K$1642="","",[2]Baskol!$K$1642)</f>
        <v/>
      </c>
      <c r="AB1639" t="str">
        <f>IF([2]Baskol!$L$1642="","",[2]Baskol!$L$1642)</f>
        <v/>
      </c>
      <c r="AC1639" t="str">
        <f>IF([2]Baskol!$N$1642="","",[2]Baskol!$N$1642)</f>
        <v/>
      </c>
      <c r="AD1639" t="str">
        <f>IF([2]Baskol!$O$1642="","",[2]Baskol!$O$1642)</f>
        <v/>
      </c>
      <c r="AE1639" t="str">
        <f>IF([3]Entry!$C$1642="","",[3]Entry!$C$1642)</f>
        <v/>
      </c>
      <c r="AF1639" t="str">
        <f>IF([3]Entry!$D$1642="","",[3]Entry!$D$1642)</f>
        <v/>
      </c>
      <c r="AG1639" t="str">
        <f>IF([3]Entry!$E$1642="","",[3]Entry!$E$1642)</f>
        <v/>
      </c>
      <c r="AH1639" t="str">
        <f>IF([3]Entry!$G$1642="","",[3]Entry!$G$1642)</f>
        <v/>
      </c>
      <c r="AI1639" t="str">
        <f>IF([3]Entry!$K$1642="","",[3]Entry!$K$1642)</f>
        <v/>
      </c>
      <c r="AJ1639" t="str">
        <f>IF([3]Entry!$L$1642="","",[3]Entry!$L$1642)</f>
        <v/>
      </c>
      <c r="AK1639" t="str">
        <f>IF([3]Entry!$M$1642="","",[3]Entry!$M$1642)</f>
        <v/>
      </c>
      <c r="AL1639" t="str">
        <f>IF([3]Entry!$N$1642="","",[3]Entry!$N$1642)</f>
        <v/>
      </c>
      <c r="AM1639" t="str">
        <f>IF([3]Entry!$R$1642="","",[3]Entry!$R$1642)</f>
        <v/>
      </c>
    </row>
    <row r="1640" spans="20:39" x14ac:dyDescent="0.2">
      <c r="T1640" t="str">
        <f>IF([2]Baskol!$B$1643="","",[2]Baskol!$B$1643)</f>
        <v/>
      </c>
      <c r="U1640" t="str">
        <f>IF([2]Baskol!$C$1643="","",[2]Baskol!$C$1643)</f>
        <v/>
      </c>
      <c r="V1640" t="str">
        <f>IF([2]Baskol!$D$1643="","",[2]Baskol!$D$1643)</f>
        <v/>
      </c>
      <c r="W1640" t="str">
        <f>IF([2]Baskol!$E$1643="","",[2]Baskol!$E$1643)</f>
        <v/>
      </c>
      <c r="X1640" t="str">
        <f>IF([2]Baskol!$G$1643="","",[2]Baskol!$G$1643)</f>
        <v/>
      </c>
      <c r="Y1640" t="str">
        <f>IF([2]Baskol!$I$1643="","",[2]Baskol!$I$1643)</f>
        <v/>
      </c>
      <c r="Z1640" t="str">
        <f>IF([2]Baskol!$J$1643="","",[2]Baskol!$J$1643)</f>
        <v/>
      </c>
      <c r="AA1640" t="str">
        <f>IF([2]Baskol!$K$1643="","",[2]Baskol!$K$1643)</f>
        <v/>
      </c>
      <c r="AB1640" t="str">
        <f>IF([2]Baskol!$L$1643="","",[2]Baskol!$L$1643)</f>
        <v/>
      </c>
      <c r="AC1640" t="str">
        <f>IF([2]Baskol!$N$1643="","",[2]Baskol!$N$1643)</f>
        <v/>
      </c>
      <c r="AD1640" t="str">
        <f>IF([2]Baskol!$O$1643="","",[2]Baskol!$O$1643)</f>
        <v/>
      </c>
      <c r="AE1640" t="str">
        <f>IF([3]Entry!$C$1643="","",[3]Entry!$C$1643)</f>
        <v/>
      </c>
      <c r="AF1640" t="str">
        <f>IF([3]Entry!$D$1643="","",[3]Entry!$D$1643)</f>
        <v/>
      </c>
      <c r="AG1640" t="str">
        <f>IF([3]Entry!$E$1643="","",[3]Entry!$E$1643)</f>
        <v/>
      </c>
      <c r="AH1640" t="str">
        <f>IF([3]Entry!$G$1643="","",[3]Entry!$G$1643)</f>
        <v/>
      </c>
      <c r="AI1640" t="str">
        <f>IF([3]Entry!$K$1643="","",[3]Entry!$K$1643)</f>
        <v/>
      </c>
      <c r="AJ1640" t="str">
        <f>IF([3]Entry!$L$1643="","",[3]Entry!$L$1643)</f>
        <v/>
      </c>
      <c r="AK1640" t="str">
        <f>IF([3]Entry!$M$1643="","",[3]Entry!$M$1643)</f>
        <v/>
      </c>
      <c r="AL1640" t="str">
        <f>IF([3]Entry!$N$1643="","",[3]Entry!$N$1643)</f>
        <v/>
      </c>
      <c r="AM1640" t="str">
        <f>IF([3]Entry!$R$1643="","",[3]Entry!$R$1643)</f>
        <v/>
      </c>
    </row>
    <row r="1641" spans="20:39" x14ac:dyDescent="0.2">
      <c r="T1641" t="str">
        <f>IF([2]Baskol!$B$1644="","",[2]Baskol!$B$1644)</f>
        <v/>
      </c>
      <c r="U1641" t="str">
        <f>IF([2]Baskol!$C$1644="","",[2]Baskol!$C$1644)</f>
        <v/>
      </c>
      <c r="V1641" t="str">
        <f>IF([2]Baskol!$D$1644="","",[2]Baskol!$D$1644)</f>
        <v/>
      </c>
      <c r="W1641" t="str">
        <f>IF([2]Baskol!$E$1644="","",[2]Baskol!$E$1644)</f>
        <v/>
      </c>
      <c r="X1641" t="str">
        <f>IF([2]Baskol!$G$1644="","",[2]Baskol!$G$1644)</f>
        <v/>
      </c>
      <c r="Y1641" t="str">
        <f>IF([2]Baskol!$I$1644="","",[2]Baskol!$I$1644)</f>
        <v/>
      </c>
      <c r="Z1641" t="str">
        <f>IF([2]Baskol!$J$1644="","",[2]Baskol!$J$1644)</f>
        <v/>
      </c>
      <c r="AA1641" t="str">
        <f>IF([2]Baskol!$K$1644="","",[2]Baskol!$K$1644)</f>
        <v/>
      </c>
      <c r="AB1641" t="str">
        <f>IF([2]Baskol!$L$1644="","",[2]Baskol!$L$1644)</f>
        <v/>
      </c>
      <c r="AC1641" t="str">
        <f>IF([2]Baskol!$N$1644="","",[2]Baskol!$N$1644)</f>
        <v/>
      </c>
      <c r="AD1641" t="str">
        <f>IF([2]Baskol!$O$1644="","",[2]Baskol!$O$1644)</f>
        <v/>
      </c>
      <c r="AE1641" t="str">
        <f>IF([3]Entry!$C$1644="","",[3]Entry!$C$1644)</f>
        <v/>
      </c>
      <c r="AF1641" t="str">
        <f>IF([3]Entry!$D$1644="","",[3]Entry!$D$1644)</f>
        <v/>
      </c>
      <c r="AG1641" t="str">
        <f>IF([3]Entry!$E$1644="","",[3]Entry!$E$1644)</f>
        <v/>
      </c>
      <c r="AH1641" t="str">
        <f>IF([3]Entry!$G$1644="","",[3]Entry!$G$1644)</f>
        <v/>
      </c>
      <c r="AI1641" t="str">
        <f>IF([3]Entry!$K$1644="","",[3]Entry!$K$1644)</f>
        <v/>
      </c>
      <c r="AJ1641" t="str">
        <f>IF([3]Entry!$L$1644="","",[3]Entry!$L$1644)</f>
        <v/>
      </c>
      <c r="AK1641" t="str">
        <f>IF([3]Entry!$M$1644="","",[3]Entry!$M$1644)</f>
        <v/>
      </c>
      <c r="AL1641" t="str">
        <f>IF([3]Entry!$N$1644="","",[3]Entry!$N$1644)</f>
        <v/>
      </c>
      <c r="AM1641" t="str">
        <f>IF([3]Entry!$R$1644="","",[3]Entry!$R$1644)</f>
        <v/>
      </c>
    </row>
    <row r="1642" spans="20:39" x14ac:dyDescent="0.2">
      <c r="T1642" t="str">
        <f>IF([2]Baskol!$B$1645="","",[2]Baskol!$B$1645)</f>
        <v/>
      </c>
      <c r="U1642" t="str">
        <f>IF([2]Baskol!$C$1645="","",[2]Baskol!$C$1645)</f>
        <v/>
      </c>
      <c r="V1642" t="str">
        <f>IF([2]Baskol!$D$1645="","",[2]Baskol!$D$1645)</f>
        <v/>
      </c>
      <c r="W1642" t="str">
        <f>IF([2]Baskol!$E$1645="","",[2]Baskol!$E$1645)</f>
        <v/>
      </c>
      <c r="X1642" t="str">
        <f>IF([2]Baskol!$G$1645="","",[2]Baskol!$G$1645)</f>
        <v/>
      </c>
      <c r="Y1642" t="str">
        <f>IF([2]Baskol!$I$1645="","",[2]Baskol!$I$1645)</f>
        <v/>
      </c>
      <c r="Z1642" t="str">
        <f>IF([2]Baskol!$J$1645="","",[2]Baskol!$J$1645)</f>
        <v/>
      </c>
      <c r="AA1642" t="str">
        <f>IF([2]Baskol!$K$1645="","",[2]Baskol!$K$1645)</f>
        <v/>
      </c>
      <c r="AB1642" t="str">
        <f>IF([2]Baskol!$L$1645="","",[2]Baskol!$L$1645)</f>
        <v/>
      </c>
      <c r="AC1642" t="str">
        <f>IF([2]Baskol!$N$1645="","",[2]Baskol!$N$1645)</f>
        <v/>
      </c>
      <c r="AD1642" t="str">
        <f>IF([2]Baskol!$O$1645="","",[2]Baskol!$O$1645)</f>
        <v/>
      </c>
      <c r="AE1642" t="str">
        <f>IF([3]Entry!$C$1645="","",[3]Entry!$C$1645)</f>
        <v/>
      </c>
      <c r="AF1642" t="str">
        <f>IF([3]Entry!$D$1645="","",[3]Entry!$D$1645)</f>
        <v/>
      </c>
      <c r="AG1642" t="str">
        <f>IF([3]Entry!$E$1645="","",[3]Entry!$E$1645)</f>
        <v/>
      </c>
      <c r="AH1642" t="str">
        <f>IF([3]Entry!$G$1645="","",[3]Entry!$G$1645)</f>
        <v/>
      </c>
      <c r="AI1642" t="str">
        <f>IF([3]Entry!$K$1645="","",[3]Entry!$K$1645)</f>
        <v/>
      </c>
      <c r="AJ1642" t="str">
        <f>IF([3]Entry!$L$1645="","",[3]Entry!$L$1645)</f>
        <v/>
      </c>
      <c r="AK1642" t="str">
        <f>IF([3]Entry!$M$1645="","",[3]Entry!$M$1645)</f>
        <v/>
      </c>
      <c r="AL1642" t="str">
        <f>IF([3]Entry!$N$1645="","",[3]Entry!$N$1645)</f>
        <v/>
      </c>
      <c r="AM1642" t="str">
        <f>IF([3]Entry!$R$1645="","",[3]Entry!$R$1645)</f>
        <v/>
      </c>
    </row>
    <row r="1643" spans="20:39" x14ac:dyDescent="0.2">
      <c r="T1643" t="str">
        <f>IF([2]Baskol!$B$1646="","",[2]Baskol!$B$1646)</f>
        <v/>
      </c>
      <c r="U1643" t="str">
        <f>IF([2]Baskol!$C$1646="","",[2]Baskol!$C$1646)</f>
        <v/>
      </c>
      <c r="V1643" t="str">
        <f>IF([2]Baskol!$D$1646="","",[2]Baskol!$D$1646)</f>
        <v/>
      </c>
      <c r="W1643" t="str">
        <f>IF([2]Baskol!$E$1646="","",[2]Baskol!$E$1646)</f>
        <v/>
      </c>
      <c r="X1643" t="str">
        <f>IF([2]Baskol!$G$1646="","",[2]Baskol!$G$1646)</f>
        <v/>
      </c>
      <c r="Y1643" t="str">
        <f>IF([2]Baskol!$I$1646="","",[2]Baskol!$I$1646)</f>
        <v/>
      </c>
      <c r="Z1643" t="str">
        <f>IF([2]Baskol!$J$1646="","",[2]Baskol!$J$1646)</f>
        <v/>
      </c>
      <c r="AA1643" t="str">
        <f>IF([2]Baskol!$K$1646="","",[2]Baskol!$K$1646)</f>
        <v/>
      </c>
      <c r="AB1643" t="str">
        <f>IF([2]Baskol!$L$1646="","",[2]Baskol!$L$1646)</f>
        <v/>
      </c>
      <c r="AC1643" t="str">
        <f>IF([2]Baskol!$N$1646="","",[2]Baskol!$N$1646)</f>
        <v/>
      </c>
      <c r="AD1643" t="str">
        <f>IF([2]Baskol!$O$1646="","",[2]Baskol!$O$1646)</f>
        <v/>
      </c>
      <c r="AE1643" t="str">
        <f>IF([3]Entry!$C$1646="","",[3]Entry!$C$1646)</f>
        <v/>
      </c>
      <c r="AF1643" t="str">
        <f>IF([3]Entry!$D$1646="","",[3]Entry!$D$1646)</f>
        <v/>
      </c>
      <c r="AG1643" t="str">
        <f>IF([3]Entry!$E$1646="","",[3]Entry!$E$1646)</f>
        <v/>
      </c>
      <c r="AH1643" t="str">
        <f>IF([3]Entry!$G$1646="","",[3]Entry!$G$1646)</f>
        <v/>
      </c>
      <c r="AI1643" t="str">
        <f>IF([3]Entry!$K$1646="","",[3]Entry!$K$1646)</f>
        <v/>
      </c>
      <c r="AJ1643" t="str">
        <f>IF([3]Entry!$L$1646="","",[3]Entry!$L$1646)</f>
        <v/>
      </c>
      <c r="AK1643" t="str">
        <f>IF([3]Entry!$M$1646="","",[3]Entry!$M$1646)</f>
        <v/>
      </c>
      <c r="AL1643" t="str">
        <f>IF([3]Entry!$N$1646="","",[3]Entry!$N$1646)</f>
        <v/>
      </c>
      <c r="AM1643" t="str">
        <f>IF([3]Entry!$R$1646="","",[3]Entry!$R$1646)</f>
        <v/>
      </c>
    </row>
    <row r="1644" spans="20:39" x14ac:dyDescent="0.2">
      <c r="T1644" t="str">
        <f>IF([2]Baskol!$B$1647="","",[2]Baskol!$B$1647)</f>
        <v/>
      </c>
      <c r="U1644" t="str">
        <f>IF([2]Baskol!$C$1647="","",[2]Baskol!$C$1647)</f>
        <v/>
      </c>
      <c r="V1644" t="str">
        <f>IF([2]Baskol!$D$1647="","",[2]Baskol!$D$1647)</f>
        <v/>
      </c>
      <c r="W1644" t="str">
        <f>IF([2]Baskol!$E$1647="","",[2]Baskol!$E$1647)</f>
        <v/>
      </c>
      <c r="X1644" t="str">
        <f>IF([2]Baskol!$G$1647="","",[2]Baskol!$G$1647)</f>
        <v/>
      </c>
      <c r="Y1644" t="str">
        <f>IF([2]Baskol!$I$1647="","",[2]Baskol!$I$1647)</f>
        <v/>
      </c>
      <c r="Z1644" t="str">
        <f>IF([2]Baskol!$J$1647="","",[2]Baskol!$J$1647)</f>
        <v/>
      </c>
      <c r="AA1644" t="str">
        <f>IF([2]Baskol!$K$1647="","",[2]Baskol!$K$1647)</f>
        <v/>
      </c>
      <c r="AB1644" t="str">
        <f>IF([2]Baskol!$L$1647="","",[2]Baskol!$L$1647)</f>
        <v/>
      </c>
      <c r="AC1644" t="str">
        <f>IF([2]Baskol!$N$1647="","",[2]Baskol!$N$1647)</f>
        <v/>
      </c>
      <c r="AD1644" t="str">
        <f>IF([2]Baskol!$O$1647="","",[2]Baskol!$O$1647)</f>
        <v/>
      </c>
      <c r="AE1644" t="str">
        <f>IF([3]Entry!$C$1647="","",[3]Entry!$C$1647)</f>
        <v/>
      </c>
      <c r="AF1644" t="str">
        <f>IF([3]Entry!$D$1647="","",[3]Entry!$D$1647)</f>
        <v/>
      </c>
      <c r="AG1644" t="str">
        <f>IF([3]Entry!$E$1647="","",[3]Entry!$E$1647)</f>
        <v/>
      </c>
      <c r="AH1644" t="str">
        <f>IF([3]Entry!$G$1647="","",[3]Entry!$G$1647)</f>
        <v/>
      </c>
      <c r="AI1644" t="str">
        <f>IF([3]Entry!$K$1647="","",[3]Entry!$K$1647)</f>
        <v/>
      </c>
      <c r="AJ1644" t="str">
        <f>IF([3]Entry!$L$1647="","",[3]Entry!$L$1647)</f>
        <v/>
      </c>
      <c r="AK1644" t="str">
        <f>IF([3]Entry!$M$1647="","",[3]Entry!$M$1647)</f>
        <v/>
      </c>
      <c r="AL1644" t="str">
        <f>IF([3]Entry!$N$1647="","",[3]Entry!$N$1647)</f>
        <v/>
      </c>
      <c r="AM1644" t="str">
        <f>IF([3]Entry!$R$1647="","",[3]Entry!$R$1647)</f>
        <v/>
      </c>
    </row>
    <row r="1645" spans="20:39" x14ac:dyDescent="0.2">
      <c r="T1645" t="str">
        <f>IF([2]Baskol!$B$1648="","",[2]Baskol!$B$1648)</f>
        <v/>
      </c>
      <c r="U1645" t="str">
        <f>IF([2]Baskol!$C$1648="","",[2]Baskol!$C$1648)</f>
        <v/>
      </c>
      <c r="V1645" t="str">
        <f>IF([2]Baskol!$D$1648="","",[2]Baskol!$D$1648)</f>
        <v/>
      </c>
      <c r="W1645" t="str">
        <f>IF([2]Baskol!$E$1648="","",[2]Baskol!$E$1648)</f>
        <v/>
      </c>
      <c r="X1645" t="str">
        <f>IF([2]Baskol!$G$1648="","",[2]Baskol!$G$1648)</f>
        <v/>
      </c>
      <c r="Y1645" t="str">
        <f>IF([2]Baskol!$I$1648="","",[2]Baskol!$I$1648)</f>
        <v/>
      </c>
      <c r="Z1645" t="str">
        <f>IF([2]Baskol!$J$1648="","",[2]Baskol!$J$1648)</f>
        <v/>
      </c>
      <c r="AA1645" t="str">
        <f>IF([2]Baskol!$K$1648="","",[2]Baskol!$K$1648)</f>
        <v/>
      </c>
      <c r="AB1645" t="str">
        <f>IF([2]Baskol!$L$1648="","",[2]Baskol!$L$1648)</f>
        <v/>
      </c>
      <c r="AC1645" t="str">
        <f>IF([2]Baskol!$N$1648="","",[2]Baskol!$N$1648)</f>
        <v/>
      </c>
      <c r="AD1645" t="str">
        <f>IF([2]Baskol!$O$1648="","",[2]Baskol!$O$1648)</f>
        <v/>
      </c>
      <c r="AE1645" t="str">
        <f>IF([3]Entry!$C$1648="","",[3]Entry!$C$1648)</f>
        <v/>
      </c>
      <c r="AF1645" t="str">
        <f>IF([3]Entry!$D$1648="","",[3]Entry!$D$1648)</f>
        <v/>
      </c>
      <c r="AG1645" t="str">
        <f>IF([3]Entry!$E$1648="","",[3]Entry!$E$1648)</f>
        <v/>
      </c>
      <c r="AH1645" t="str">
        <f>IF([3]Entry!$G$1648="","",[3]Entry!$G$1648)</f>
        <v/>
      </c>
      <c r="AI1645" t="str">
        <f>IF([3]Entry!$K$1648="","",[3]Entry!$K$1648)</f>
        <v/>
      </c>
      <c r="AJ1645" t="str">
        <f>IF([3]Entry!$L$1648="","",[3]Entry!$L$1648)</f>
        <v/>
      </c>
      <c r="AK1645" t="str">
        <f>IF([3]Entry!$M$1648="","",[3]Entry!$M$1648)</f>
        <v/>
      </c>
      <c r="AL1645" t="str">
        <f>IF([3]Entry!$N$1648="","",[3]Entry!$N$1648)</f>
        <v/>
      </c>
      <c r="AM1645" t="str">
        <f>IF([3]Entry!$R$1648="","",[3]Entry!$R$1648)</f>
        <v/>
      </c>
    </row>
    <row r="1646" spans="20:39" x14ac:dyDescent="0.2">
      <c r="T1646" t="str">
        <f>IF([2]Baskol!$B$1649="","",[2]Baskol!$B$1649)</f>
        <v/>
      </c>
      <c r="U1646" t="str">
        <f>IF([2]Baskol!$C$1649="","",[2]Baskol!$C$1649)</f>
        <v/>
      </c>
      <c r="V1646" t="str">
        <f>IF([2]Baskol!$D$1649="","",[2]Baskol!$D$1649)</f>
        <v/>
      </c>
      <c r="W1646" t="str">
        <f>IF([2]Baskol!$E$1649="","",[2]Baskol!$E$1649)</f>
        <v/>
      </c>
      <c r="X1646" t="str">
        <f>IF([2]Baskol!$G$1649="","",[2]Baskol!$G$1649)</f>
        <v/>
      </c>
      <c r="Y1646" t="str">
        <f>IF([2]Baskol!$I$1649="","",[2]Baskol!$I$1649)</f>
        <v/>
      </c>
      <c r="Z1646" t="str">
        <f>IF([2]Baskol!$J$1649="","",[2]Baskol!$J$1649)</f>
        <v/>
      </c>
      <c r="AA1646" t="str">
        <f>IF([2]Baskol!$K$1649="","",[2]Baskol!$K$1649)</f>
        <v/>
      </c>
      <c r="AB1646" t="str">
        <f>IF([2]Baskol!$L$1649="","",[2]Baskol!$L$1649)</f>
        <v/>
      </c>
      <c r="AC1646" t="str">
        <f>IF([2]Baskol!$N$1649="","",[2]Baskol!$N$1649)</f>
        <v/>
      </c>
      <c r="AD1646" t="str">
        <f>IF([2]Baskol!$O$1649="","",[2]Baskol!$O$1649)</f>
        <v/>
      </c>
      <c r="AE1646" t="str">
        <f>IF([3]Entry!$C$1649="","",[3]Entry!$C$1649)</f>
        <v/>
      </c>
      <c r="AF1646" t="str">
        <f>IF([3]Entry!$D$1649="","",[3]Entry!$D$1649)</f>
        <v/>
      </c>
      <c r="AG1646" t="str">
        <f>IF([3]Entry!$E$1649="","",[3]Entry!$E$1649)</f>
        <v/>
      </c>
      <c r="AH1646" t="str">
        <f>IF([3]Entry!$G$1649="","",[3]Entry!$G$1649)</f>
        <v/>
      </c>
      <c r="AI1646" t="str">
        <f>IF([3]Entry!$K$1649="","",[3]Entry!$K$1649)</f>
        <v/>
      </c>
      <c r="AJ1646" t="str">
        <f>IF([3]Entry!$L$1649="","",[3]Entry!$L$1649)</f>
        <v/>
      </c>
      <c r="AK1646" t="str">
        <f>IF([3]Entry!$M$1649="","",[3]Entry!$M$1649)</f>
        <v/>
      </c>
      <c r="AL1646" t="str">
        <f>IF([3]Entry!$N$1649="","",[3]Entry!$N$1649)</f>
        <v/>
      </c>
      <c r="AM1646" t="str">
        <f>IF([3]Entry!$R$1649="","",[3]Entry!$R$1649)</f>
        <v/>
      </c>
    </row>
    <row r="1647" spans="20:39" x14ac:dyDescent="0.2">
      <c r="T1647" t="str">
        <f>IF([2]Baskol!$B$1650="","",[2]Baskol!$B$1650)</f>
        <v/>
      </c>
      <c r="U1647" t="str">
        <f>IF([2]Baskol!$C$1650="","",[2]Baskol!$C$1650)</f>
        <v/>
      </c>
      <c r="V1647" t="str">
        <f>IF([2]Baskol!$D$1650="","",[2]Baskol!$D$1650)</f>
        <v/>
      </c>
      <c r="W1647" t="str">
        <f>IF([2]Baskol!$E$1650="","",[2]Baskol!$E$1650)</f>
        <v/>
      </c>
      <c r="X1647" t="str">
        <f>IF([2]Baskol!$G$1650="","",[2]Baskol!$G$1650)</f>
        <v/>
      </c>
      <c r="Y1647" t="str">
        <f>IF([2]Baskol!$I$1650="","",[2]Baskol!$I$1650)</f>
        <v/>
      </c>
      <c r="Z1647" t="str">
        <f>IF([2]Baskol!$J$1650="","",[2]Baskol!$J$1650)</f>
        <v/>
      </c>
      <c r="AA1647" t="str">
        <f>IF([2]Baskol!$K$1650="","",[2]Baskol!$K$1650)</f>
        <v/>
      </c>
      <c r="AB1647" t="str">
        <f>IF([2]Baskol!$L$1650="","",[2]Baskol!$L$1650)</f>
        <v/>
      </c>
      <c r="AC1647" t="str">
        <f>IF([2]Baskol!$N$1650="","",[2]Baskol!$N$1650)</f>
        <v/>
      </c>
      <c r="AD1647" t="str">
        <f>IF([2]Baskol!$O$1650="","",[2]Baskol!$O$1650)</f>
        <v/>
      </c>
      <c r="AE1647" t="str">
        <f>IF([3]Entry!$C$1650="","",[3]Entry!$C$1650)</f>
        <v/>
      </c>
      <c r="AF1647" t="str">
        <f>IF([3]Entry!$D$1650="","",[3]Entry!$D$1650)</f>
        <v/>
      </c>
      <c r="AG1647" t="str">
        <f>IF([3]Entry!$E$1650="","",[3]Entry!$E$1650)</f>
        <v/>
      </c>
      <c r="AH1647" t="str">
        <f>IF([3]Entry!$G$1650="","",[3]Entry!$G$1650)</f>
        <v/>
      </c>
      <c r="AI1647" t="str">
        <f>IF([3]Entry!$K$1650="","",[3]Entry!$K$1650)</f>
        <v/>
      </c>
      <c r="AJ1647" t="str">
        <f>IF([3]Entry!$L$1650="","",[3]Entry!$L$1650)</f>
        <v/>
      </c>
      <c r="AK1647" t="str">
        <f>IF([3]Entry!$M$1650="","",[3]Entry!$M$1650)</f>
        <v/>
      </c>
      <c r="AL1647" t="str">
        <f>IF([3]Entry!$N$1650="","",[3]Entry!$N$1650)</f>
        <v/>
      </c>
      <c r="AM1647" t="str">
        <f>IF([3]Entry!$R$1650="","",[3]Entry!$R$1650)</f>
        <v/>
      </c>
    </row>
    <row r="1648" spans="20:39" x14ac:dyDescent="0.2">
      <c r="T1648" t="str">
        <f>IF([2]Baskol!$B$1651="","",[2]Baskol!$B$1651)</f>
        <v/>
      </c>
      <c r="U1648" t="str">
        <f>IF([2]Baskol!$C$1651="","",[2]Baskol!$C$1651)</f>
        <v/>
      </c>
      <c r="V1648" t="str">
        <f>IF([2]Baskol!$D$1651="","",[2]Baskol!$D$1651)</f>
        <v/>
      </c>
      <c r="W1648" t="str">
        <f>IF([2]Baskol!$E$1651="","",[2]Baskol!$E$1651)</f>
        <v/>
      </c>
      <c r="X1648" t="str">
        <f>IF([2]Baskol!$G$1651="","",[2]Baskol!$G$1651)</f>
        <v/>
      </c>
      <c r="Y1648" t="str">
        <f>IF([2]Baskol!$I$1651="","",[2]Baskol!$I$1651)</f>
        <v/>
      </c>
      <c r="Z1648" t="str">
        <f>IF([2]Baskol!$J$1651="","",[2]Baskol!$J$1651)</f>
        <v/>
      </c>
      <c r="AA1648" t="str">
        <f>IF([2]Baskol!$K$1651="","",[2]Baskol!$K$1651)</f>
        <v/>
      </c>
      <c r="AB1648" t="str">
        <f>IF([2]Baskol!$L$1651="","",[2]Baskol!$L$1651)</f>
        <v/>
      </c>
      <c r="AC1648" t="str">
        <f>IF([2]Baskol!$N$1651="","",[2]Baskol!$N$1651)</f>
        <v/>
      </c>
      <c r="AD1648" t="str">
        <f>IF([2]Baskol!$O$1651="","",[2]Baskol!$O$1651)</f>
        <v/>
      </c>
      <c r="AE1648" t="str">
        <f>IF([3]Entry!$C$1651="","",[3]Entry!$C$1651)</f>
        <v/>
      </c>
      <c r="AF1648" t="str">
        <f>IF([3]Entry!$D$1651="","",[3]Entry!$D$1651)</f>
        <v/>
      </c>
      <c r="AG1648" t="str">
        <f>IF([3]Entry!$E$1651="","",[3]Entry!$E$1651)</f>
        <v/>
      </c>
      <c r="AH1648" t="str">
        <f>IF([3]Entry!$G$1651="","",[3]Entry!$G$1651)</f>
        <v/>
      </c>
      <c r="AI1648" t="str">
        <f>IF([3]Entry!$K$1651="","",[3]Entry!$K$1651)</f>
        <v/>
      </c>
      <c r="AJ1648" t="str">
        <f>IF([3]Entry!$L$1651="","",[3]Entry!$L$1651)</f>
        <v/>
      </c>
      <c r="AK1648" t="str">
        <f>IF([3]Entry!$M$1651="","",[3]Entry!$M$1651)</f>
        <v/>
      </c>
      <c r="AL1648" t="str">
        <f>IF([3]Entry!$N$1651="","",[3]Entry!$N$1651)</f>
        <v/>
      </c>
      <c r="AM1648" t="str">
        <f>IF([3]Entry!$R$1651="","",[3]Entry!$R$1651)</f>
        <v/>
      </c>
    </row>
    <row r="1649" spans="20:39" x14ac:dyDescent="0.2">
      <c r="T1649" t="str">
        <f>IF([2]Baskol!$B$1652="","",[2]Baskol!$B$1652)</f>
        <v/>
      </c>
      <c r="U1649" t="str">
        <f>IF([2]Baskol!$C$1652="","",[2]Baskol!$C$1652)</f>
        <v/>
      </c>
      <c r="V1649" t="str">
        <f>IF([2]Baskol!$D$1652="","",[2]Baskol!$D$1652)</f>
        <v/>
      </c>
      <c r="W1649" t="str">
        <f>IF([2]Baskol!$E$1652="","",[2]Baskol!$E$1652)</f>
        <v/>
      </c>
      <c r="X1649" t="str">
        <f>IF([2]Baskol!$G$1652="","",[2]Baskol!$G$1652)</f>
        <v/>
      </c>
      <c r="Y1649" t="str">
        <f>IF([2]Baskol!$I$1652="","",[2]Baskol!$I$1652)</f>
        <v/>
      </c>
      <c r="Z1649" t="str">
        <f>IF([2]Baskol!$J$1652="","",[2]Baskol!$J$1652)</f>
        <v/>
      </c>
      <c r="AA1649" t="str">
        <f>IF([2]Baskol!$K$1652="","",[2]Baskol!$K$1652)</f>
        <v/>
      </c>
      <c r="AB1649" t="str">
        <f>IF([2]Baskol!$L$1652="","",[2]Baskol!$L$1652)</f>
        <v/>
      </c>
      <c r="AC1649" t="str">
        <f>IF([2]Baskol!$N$1652="","",[2]Baskol!$N$1652)</f>
        <v/>
      </c>
      <c r="AD1649" t="str">
        <f>IF([2]Baskol!$O$1652="","",[2]Baskol!$O$1652)</f>
        <v/>
      </c>
      <c r="AE1649" t="str">
        <f>IF([3]Entry!$C$1652="","",[3]Entry!$C$1652)</f>
        <v/>
      </c>
      <c r="AF1649" t="str">
        <f>IF([3]Entry!$D$1652="","",[3]Entry!$D$1652)</f>
        <v/>
      </c>
      <c r="AG1649" t="str">
        <f>IF([3]Entry!$E$1652="","",[3]Entry!$E$1652)</f>
        <v/>
      </c>
      <c r="AH1649" t="str">
        <f>IF([3]Entry!$G$1652="","",[3]Entry!$G$1652)</f>
        <v/>
      </c>
      <c r="AI1649" t="str">
        <f>IF([3]Entry!$K$1652="","",[3]Entry!$K$1652)</f>
        <v/>
      </c>
      <c r="AJ1649" t="str">
        <f>IF([3]Entry!$L$1652="","",[3]Entry!$L$1652)</f>
        <v/>
      </c>
      <c r="AK1649" t="str">
        <f>IF([3]Entry!$M$1652="","",[3]Entry!$M$1652)</f>
        <v/>
      </c>
      <c r="AL1649" t="str">
        <f>IF([3]Entry!$N$1652="","",[3]Entry!$N$1652)</f>
        <v/>
      </c>
      <c r="AM1649" t="str">
        <f>IF([3]Entry!$R$1652="","",[3]Entry!$R$1652)</f>
        <v/>
      </c>
    </row>
    <row r="1650" spans="20:39" x14ac:dyDescent="0.2">
      <c r="T1650" t="str">
        <f>IF([2]Baskol!$B$1653="","",[2]Baskol!$B$1653)</f>
        <v/>
      </c>
      <c r="U1650" t="str">
        <f>IF([2]Baskol!$C$1653="","",[2]Baskol!$C$1653)</f>
        <v/>
      </c>
      <c r="V1650" t="str">
        <f>IF([2]Baskol!$D$1653="","",[2]Baskol!$D$1653)</f>
        <v/>
      </c>
      <c r="W1650" t="str">
        <f>IF([2]Baskol!$E$1653="","",[2]Baskol!$E$1653)</f>
        <v/>
      </c>
      <c r="X1650" t="str">
        <f>IF([2]Baskol!$G$1653="","",[2]Baskol!$G$1653)</f>
        <v/>
      </c>
      <c r="Y1650" t="str">
        <f>IF([2]Baskol!$I$1653="","",[2]Baskol!$I$1653)</f>
        <v/>
      </c>
      <c r="Z1650" t="str">
        <f>IF([2]Baskol!$J$1653="","",[2]Baskol!$J$1653)</f>
        <v/>
      </c>
      <c r="AA1650" t="str">
        <f>IF([2]Baskol!$K$1653="","",[2]Baskol!$K$1653)</f>
        <v/>
      </c>
      <c r="AB1650" t="str">
        <f>IF([2]Baskol!$L$1653="","",[2]Baskol!$L$1653)</f>
        <v/>
      </c>
      <c r="AC1650" t="str">
        <f>IF([2]Baskol!$N$1653="","",[2]Baskol!$N$1653)</f>
        <v/>
      </c>
      <c r="AD1650" t="str">
        <f>IF([2]Baskol!$O$1653="","",[2]Baskol!$O$1653)</f>
        <v/>
      </c>
      <c r="AE1650" t="str">
        <f>IF([3]Entry!$C$1653="","",[3]Entry!$C$1653)</f>
        <v/>
      </c>
      <c r="AF1650" t="str">
        <f>IF([3]Entry!$D$1653="","",[3]Entry!$D$1653)</f>
        <v/>
      </c>
      <c r="AG1650" t="str">
        <f>IF([3]Entry!$E$1653="","",[3]Entry!$E$1653)</f>
        <v/>
      </c>
      <c r="AH1650" t="str">
        <f>IF([3]Entry!$G$1653="","",[3]Entry!$G$1653)</f>
        <v/>
      </c>
      <c r="AI1650" t="str">
        <f>IF([3]Entry!$K$1653="","",[3]Entry!$K$1653)</f>
        <v/>
      </c>
      <c r="AJ1650" t="str">
        <f>IF([3]Entry!$L$1653="","",[3]Entry!$L$1653)</f>
        <v/>
      </c>
      <c r="AK1650" t="str">
        <f>IF([3]Entry!$M$1653="","",[3]Entry!$M$1653)</f>
        <v/>
      </c>
      <c r="AL1650" t="str">
        <f>IF([3]Entry!$N$1653="","",[3]Entry!$N$1653)</f>
        <v/>
      </c>
      <c r="AM1650" t="str">
        <f>IF([3]Entry!$R$1653="","",[3]Entry!$R$1653)</f>
        <v/>
      </c>
    </row>
    <row r="1651" spans="20:39" x14ac:dyDescent="0.2">
      <c r="T1651" t="str">
        <f>IF([2]Baskol!$B$1654="","",[2]Baskol!$B$1654)</f>
        <v/>
      </c>
      <c r="U1651" t="str">
        <f>IF([2]Baskol!$C$1654="","",[2]Baskol!$C$1654)</f>
        <v/>
      </c>
      <c r="V1651" t="str">
        <f>IF([2]Baskol!$D$1654="","",[2]Baskol!$D$1654)</f>
        <v/>
      </c>
      <c r="W1651" t="str">
        <f>IF([2]Baskol!$E$1654="","",[2]Baskol!$E$1654)</f>
        <v/>
      </c>
      <c r="X1651" t="str">
        <f>IF([2]Baskol!$G$1654="","",[2]Baskol!$G$1654)</f>
        <v/>
      </c>
      <c r="Y1651" t="str">
        <f>IF([2]Baskol!$I$1654="","",[2]Baskol!$I$1654)</f>
        <v/>
      </c>
      <c r="Z1651" t="str">
        <f>IF([2]Baskol!$J$1654="","",[2]Baskol!$J$1654)</f>
        <v/>
      </c>
      <c r="AA1651" t="str">
        <f>IF([2]Baskol!$K$1654="","",[2]Baskol!$K$1654)</f>
        <v/>
      </c>
      <c r="AB1651" t="str">
        <f>IF([2]Baskol!$L$1654="","",[2]Baskol!$L$1654)</f>
        <v/>
      </c>
      <c r="AC1651" t="str">
        <f>IF([2]Baskol!$N$1654="","",[2]Baskol!$N$1654)</f>
        <v/>
      </c>
      <c r="AD1651" t="str">
        <f>IF([2]Baskol!$O$1654="","",[2]Baskol!$O$1654)</f>
        <v/>
      </c>
      <c r="AE1651" t="str">
        <f>IF([3]Entry!$C$1654="","",[3]Entry!$C$1654)</f>
        <v/>
      </c>
      <c r="AF1651" t="str">
        <f>IF([3]Entry!$D$1654="","",[3]Entry!$D$1654)</f>
        <v/>
      </c>
      <c r="AG1651" t="str">
        <f>IF([3]Entry!$E$1654="","",[3]Entry!$E$1654)</f>
        <v/>
      </c>
      <c r="AH1651" t="str">
        <f>IF([3]Entry!$G$1654="","",[3]Entry!$G$1654)</f>
        <v/>
      </c>
      <c r="AI1651" t="str">
        <f>IF([3]Entry!$K$1654="","",[3]Entry!$K$1654)</f>
        <v/>
      </c>
      <c r="AJ1651" t="str">
        <f>IF([3]Entry!$L$1654="","",[3]Entry!$L$1654)</f>
        <v/>
      </c>
      <c r="AK1651" t="str">
        <f>IF([3]Entry!$M$1654="","",[3]Entry!$M$1654)</f>
        <v/>
      </c>
      <c r="AL1651" t="str">
        <f>IF([3]Entry!$N$1654="","",[3]Entry!$N$1654)</f>
        <v/>
      </c>
      <c r="AM1651" t="str">
        <f>IF([3]Entry!$R$1654="","",[3]Entry!$R$1654)</f>
        <v/>
      </c>
    </row>
    <row r="1652" spans="20:39" x14ac:dyDescent="0.2">
      <c r="T1652" t="str">
        <f>IF([2]Baskol!$B$1655="","",[2]Baskol!$B$1655)</f>
        <v/>
      </c>
      <c r="U1652" t="str">
        <f>IF([2]Baskol!$C$1655="","",[2]Baskol!$C$1655)</f>
        <v/>
      </c>
      <c r="V1652" t="str">
        <f>IF([2]Baskol!$D$1655="","",[2]Baskol!$D$1655)</f>
        <v/>
      </c>
      <c r="W1652" t="str">
        <f>IF([2]Baskol!$E$1655="","",[2]Baskol!$E$1655)</f>
        <v/>
      </c>
      <c r="X1652" t="str">
        <f>IF([2]Baskol!$G$1655="","",[2]Baskol!$G$1655)</f>
        <v/>
      </c>
      <c r="Y1652" t="str">
        <f>IF([2]Baskol!$I$1655="","",[2]Baskol!$I$1655)</f>
        <v/>
      </c>
      <c r="Z1652" t="str">
        <f>IF([2]Baskol!$J$1655="","",[2]Baskol!$J$1655)</f>
        <v/>
      </c>
      <c r="AA1652" t="str">
        <f>IF([2]Baskol!$K$1655="","",[2]Baskol!$K$1655)</f>
        <v/>
      </c>
      <c r="AB1652" t="str">
        <f>IF([2]Baskol!$L$1655="","",[2]Baskol!$L$1655)</f>
        <v/>
      </c>
      <c r="AC1652" t="str">
        <f>IF([2]Baskol!$N$1655="","",[2]Baskol!$N$1655)</f>
        <v/>
      </c>
      <c r="AD1652" t="str">
        <f>IF([2]Baskol!$O$1655="","",[2]Baskol!$O$1655)</f>
        <v/>
      </c>
      <c r="AE1652" t="str">
        <f>IF([3]Entry!$C$1655="","",[3]Entry!$C$1655)</f>
        <v/>
      </c>
      <c r="AF1652" t="str">
        <f>IF([3]Entry!$D$1655="","",[3]Entry!$D$1655)</f>
        <v/>
      </c>
      <c r="AG1652" t="str">
        <f>IF([3]Entry!$E$1655="","",[3]Entry!$E$1655)</f>
        <v/>
      </c>
      <c r="AH1652" t="str">
        <f>IF([3]Entry!$G$1655="","",[3]Entry!$G$1655)</f>
        <v/>
      </c>
      <c r="AI1652" t="str">
        <f>IF([3]Entry!$K$1655="","",[3]Entry!$K$1655)</f>
        <v/>
      </c>
      <c r="AJ1652" t="str">
        <f>IF([3]Entry!$L$1655="","",[3]Entry!$L$1655)</f>
        <v/>
      </c>
      <c r="AK1652" t="str">
        <f>IF([3]Entry!$M$1655="","",[3]Entry!$M$1655)</f>
        <v/>
      </c>
      <c r="AL1652" t="str">
        <f>IF([3]Entry!$N$1655="","",[3]Entry!$N$1655)</f>
        <v/>
      </c>
      <c r="AM1652" t="str">
        <f>IF([3]Entry!$R$1655="","",[3]Entry!$R$1655)</f>
        <v/>
      </c>
    </row>
    <row r="1653" spans="20:39" x14ac:dyDescent="0.2">
      <c r="T1653" t="str">
        <f>IF([2]Baskol!$B$1656="","",[2]Baskol!$B$1656)</f>
        <v/>
      </c>
      <c r="U1653" t="str">
        <f>IF([2]Baskol!$C$1656="","",[2]Baskol!$C$1656)</f>
        <v/>
      </c>
      <c r="V1653" t="str">
        <f>IF([2]Baskol!$D$1656="","",[2]Baskol!$D$1656)</f>
        <v/>
      </c>
      <c r="W1653" t="str">
        <f>IF([2]Baskol!$E$1656="","",[2]Baskol!$E$1656)</f>
        <v/>
      </c>
      <c r="X1653" t="str">
        <f>IF([2]Baskol!$G$1656="","",[2]Baskol!$G$1656)</f>
        <v/>
      </c>
      <c r="Y1653" t="str">
        <f>IF([2]Baskol!$I$1656="","",[2]Baskol!$I$1656)</f>
        <v/>
      </c>
      <c r="Z1653" t="str">
        <f>IF([2]Baskol!$J$1656="","",[2]Baskol!$J$1656)</f>
        <v/>
      </c>
      <c r="AA1653" t="str">
        <f>IF([2]Baskol!$K$1656="","",[2]Baskol!$K$1656)</f>
        <v/>
      </c>
      <c r="AB1653" t="str">
        <f>IF([2]Baskol!$L$1656="","",[2]Baskol!$L$1656)</f>
        <v/>
      </c>
      <c r="AC1653" t="str">
        <f>IF([2]Baskol!$N$1656="","",[2]Baskol!$N$1656)</f>
        <v/>
      </c>
      <c r="AD1653" t="str">
        <f>IF([2]Baskol!$O$1656="","",[2]Baskol!$O$1656)</f>
        <v/>
      </c>
      <c r="AE1653" t="str">
        <f>IF([3]Entry!$C$1656="","",[3]Entry!$C$1656)</f>
        <v/>
      </c>
      <c r="AF1653" t="str">
        <f>IF([3]Entry!$D$1656="","",[3]Entry!$D$1656)</f>
        <v/>
      </c>
      <c r="AG1653" t="str">
        <f>IF([3]Entry!$E$1656="","",[3]Entry!$E$1656)</f>
        <v/>
      </c>
      <c r="AH1653" t="str">
        <f>IF([3]Entry!$G$1656="","",[3]Entry!$G$1656)</f>
        <v/>
      </c>
      <c r="AI1653" t="str">
        <f>IF([3]Entry!$K$1656="","",[3]Entry!$K$1656)</f>
        <v/>
      </c>
      <c r="AJ1653" t="str">
        <f>IF([3]Entry!$L$1656="","",[3]Entry!$L$1656)</f>
        <v/>
      </c>
      <c r="AK1653" t="str">
        <f>IF([3]Entry!$M$1656="","",[3]Entry!$M$1656)</f>
        <v/>
      </c>
      <c r="AL1653" t="str">
        <f>IF([3]Entry!$N$1656="","",[3]Entry!$N$1656)</f>
        <v/>
      </c>
      <c r="AM1653" t="str">
        <f>IF([3]Entry!$R$1656="","",[3]Entry!$R$1656)</f>
        <v/>
      </c>
    </row>
    <row r="1654" spans="20:39" x14ac:dyDescent="0.2">
      <c r="T1654" t="str">
        <f>IF([2]Baskol!$B$1657="","",[2]Baskol!$B$1657)</f>
        <v/>
      </c>
      <c r="U1654" t="str">
        <f>IF([2]Baskol!$C$1657="","",[2]Baskol!$C$1657)</f>
        <v/>
      </c>
      <c r="V1654" t="str">
        <f>IF([2]Baskol!$D$1657="","",[2]Baskol!$D$1657)</f>
        <v/>
      </c>
      <c r="W1654" t="str">
        <f>IF([2]Baskol!$E$1657="","",[2]Baskol!$E$1657)</f>
        <v/>
      </c>
      <c r="X1654" t="str">
        <f>IF([2]Baskol!$G$1657="","",[2]Baskol!$G$1657)</f>
        <v/>
      </c>
      <c r="Y1654" t="str">
        <f>IF([2]Baskol!$I$1657="","",[2]Baskol!$I$1657)</f>
        <v/>
      </c>
      <c r="Z1654" t="str">
        <f>IF([2]Baskol!$J$1657="","",[2]Baskol!$J$1657)</f>
        <v/>
      </c>
      <c r="AA1654" t="str">
        <f>IF([2]Baskol!$K$1657="","",[2]Baskol!$K$1657)</f>
        <v/>
      </c>
      <c r="AB1654" t="str">
        <f>IF([2]Baskol!$L$1657="","",[2]Baskol!$L$1657)</f>
        <v/>
      </c>
      <c r="AC1654" t="str">
        <f>IF([2]Baskol!$N$1657="","",[2]Baskol!$N$1657)</f>
        <v/>
      </c>
      <c r="AD1654" t="str">
        <f>IF([2]Baskol!$O$1657="","",[2]Baskol!$O$1657)</f>
        <v/>
      </c>
      <c r="AE1654" t="str">
        <f>IF([3]Entry!$C$1657="","",[3]Entry!$C$1657)</f>
        <v/>
      </c>
      <c r="AF1654" t="str">
        <f>IF([3]Entry!$D$1657="","",[3]Entry!$D$1657)</f>
        <v/>
      </c>
      <c r="AG1654" t="str">
        <f>IF([3]Entry!$E$1657="","",[3]Entry!$E$1657)</f>
        <v/>
      </c>
      <c r="AH1654" t="str">
        <f>IF([3]Entry!$G$1657="","",[3]Entry!$G$1657)</f>
        <v/>
      </c>
      <c r="AI1654" t="str">
        <f>IF([3]Entry!$K$1657="","",[3]Entry!$K$1657)</f>
        <v/>
      </c>
      <c r="AJ1654" t="str">
        <f>IF([3]Entry!$L$1657="","",[3]Entry!$L$1657)</f>
        <v/>
      </c>
      <c r="AK1654" t="str">
        <f>IF([3]Entry!$M$1657="","",[3]Entry!$M$1657)</f>
        <v/>
      </c>
      <c r="AL1654" t="str">
        <f>IF([3]Entry!$N$1657="","",[3]Entry!$N$1657)</f>
        <v/>
      </c>
      <c r="AM1654" t="str">
        <f>IF([3]Entry!$R$1657="","",[3]Entry!$R$1657)</f>
        <v/>
      </c>
    </row>
    <row r="1655" spans="20:39" x14ac:dyDescent="0.2">
      <c r="T1655" t="str">
        <f>IF([2]Baskol!$B$1658="","",[2]Baskol!$B$1658)</f>
        <v/>
      </c>
      <c r="U1655" t="str">
        <f>IF([2]Baskol!$C$1658="","",[2]Baskol!$C$1658)</f>
        <v/>
      </c>
      <c r="V1655" t="str">
        <f>IF([2]Baskol!$D$1658="","",[2]Baskol!$D$1658)</f>
        <v/>
      </c>
      <c r="W1655" t="str">
        <f>IF([2]Baskol!$E$1658="","",[2]Baskol!$E$1658)</f>
        <v/>
      </c>
      <c r="X1655" t="str">
        <f>IF([2]Baskol!$G$1658="","",[2]Baskol!$G$1658)</f>
        <v/>
      </c>
      <c r="Y1655" t="str">
        <f>IF([2]Baskol!$I$1658="","",[2]Baskol!$I$1658)</f>
        <v/>
      </c>
      <c r="Z1655" t="str">
        <f>IF([2]Baskol!$J$1658="","",[2]Baskol!$J$1658)</f>
        <v/>
      </c>
      <c r="AA1655" t="str">
        <f>IF([2]Baskol!$K$1658="","",[2]Baskol!$K$1658)</f>
        <v/>
      </c>
      <c r="AB1655" t="str">
        <f>IF([2]Baskol!$L$1658="","",[2]Baskol!$L$1658)</f>
        <v/>
      </c>
      <c r="AC1655" t="str">
        <f>IF([2]Baskol!$N$1658="","",[2]Baskol!$N$1658)</f>
        <v/>
      </c>
      <c r="AD1655" t="str">
        <f>IF([2]Baskol!$O$1658="","",[2]Baskol!$O$1658)</f>
        <v/>
      </c>
      <c r="AE1655" t="str">
        <f>IF([3]Entry!$C$1658="","",[3]Entry!$C$1658)</f>
        <v/>
      </c>
      <c r="AF1655" t="str">
        <f>IF([3]Entry!$D$1658="","",[3]Entry!$D$1658)</f>
        <v/>
      </c>
      <c r="AG1655" t="str">
        <f>IF([3]Entry!$E$1658="","",[3]Entry!$E$1658)</f>
        <v/>
      </c>
      <c r="AH1655" t="str">
        <f>IF([3]Entry!$G$1658="","",[3]Entry!$G$1658)</f>
        <v/>
      </c>
      <c r="AI1655" t="str">
        <f>IF([3]Entry!$K$1658="","",[3]Entry!$K$1658)</f>
        <v/>
      </c>
      <c r="AJ1655" t="str">
        <f>IF([3]Entry!$L$1658="","",[3]Entry!$L$1658)</f>
        <v/>
      </c>
      <c r="AK1655" t="str">
        <f>IF([3]Entry!$M$1658="","",[3]Entry!$M$1658)</f>
        <v/>
      </c>
      <c r="AL1655" t="str">
        <f>IF([3]Entry!$N$1658="","",[3]Entry!$N$1658)</f>
        <v/>
      </c>
      <c r="AM1655" t="str">
        <f>IF([3]Entry!$R$1658="","",[3]Entry!$R$1658)</f>
        <v/>
      </c>
    </row>
    <row r="1656" spans="20:39" x14ac:dyDescent="0.2">
      <c r="T1656" t="str">
        <f>IF([2]Baskol!$B$1659="","",[2]Baskol!$B$1659)</f>
        <v/>
      </c>
      <c r="U1656" t="str">
        <f>IF([2]Baskol!$C$1659="","",[2]Baskol!$C$1659)</f>
        <v/>
      </c>
      <c r="V1656" t="str">
        <f>IF([2]Baskol!$D$1659="","",[2]Baskol!$D$1659)</f>
        <v/>
      </c>
      <c r="W1656" t="str">
        <f>IF([2]Baskol!$E$1659="","",[2]Baskol!$E$1659)</f>
        <v/>
      </c>
      <c r="X1656" t="str">
        <f>IF([2]Baskol!$G$1659="","",[2]Baskol!$G$1659)</f>
        <v/>
      </c>
      <c r="Y1656" t="str">
        <f>IF([2]Baskol!$I$1659="","",[2]Baskol!$I$1659)</f>
        <v/>
      </c>
      <c r="Z1656" t="str">
        <f>IF([2]Baskol!$J$1659="","",[2]Baskol!$J$1659)</f>
        <v/>
      </c>
      <c r="AA1656" t="str">
        <f>IF([2]Baskol!$K$1659="","",[2]Baskol!$K$1659)</f>
        <v/>
      </c>
      <c r="AB1656" t="str">
        <f>IF([2]Baskol!$L$1659="","",[2]Baskol!$L$1659)</f>
        <v/>
      </c>
      <c r="AC1656" t="str">
        <f>IF([2]Baskol!$N$1659="","",[2]Baskol!$N$1659)</f>
        <v/>
      </c>
      <c r="AD1656" t="str">
        <f>IF([2]Baskol!$O$1659="","",[2]Baskol!$O$1659)</f>
        <v/>
      </c>
      <c r="AE1656" t="str">
        <f>IF([3]Entry!$C$1659="","",[3]Entry!$C$1659)</f>
        <v/>
      </c>
      <c r="AF1656" t="str">
        <f>IF([3]Entry!$D$1659="","",[3]Entry!$D$1659)</f>
        <v/>
      </c>
      <c r="AG1656" t="str">
        <f>IF([3]Entry!$E$1659="","",[3]Entry!$E$1659)</f>
        <v/>
      </c>
      <c r="AH1656" t="str">
        <f>IF([3]Entry!$G$1659="","",[3]Entry!$G$1659)</f>
        <v/>
      </c>
      <c r="AI1656" t="str">
        <f>IF([3]Entry!$K$1659="","",[3]Entry!$K$1659)</f>
        <v/>
      </c>
      <c r="AJ1656" t="str">
        <f>IF([3]Entry!$L$1659="","",[3]Entry!$L$1659)</f>
        <v/>
      </c>
      <c r="AK1656" t="str">
        <f>IF([3]Entry!$M$1659="","",[3]Entry!$M$1659)</f>
        <v/>
      </c>
      <c r="AL1656" t="str">
        <f>IF([3]Entry!$N$1659="","",[3]Entry!$N$1659)</f>
        <v/>
      </c>
      <c r="AM1656" t="str">
        <f>IF([3]Entry!$R$1659="","",[3]Entry!$R$1659)</f>
        <v/>
      </c>
    </row>
    <row r="1657" spans="20:39" x14ac:dyDescent="0.2">
      <c r="T1657" t="str">
        <f>IF([2]Baskol!$B$1660="","",[2]Baskol!$B$1660)</f>
        <v/>
      </c>
      <c r="U1657" t="str">
        <f>IF([2]Baskol!$C$1660="","",[2]Baskol!$C$1660)</f>
        <v/>
      </c>
      <c r="V1657" t="str">
        <f>IF([2]Baskol!$D$1660="","",[2]Baskol!$D$1660)</f>
        <v/>
      </c>
      <c r="W1657" t="str">
        <f>IF([2]Baskol!$E$1660="","",[2]Baskol!$E$1660)</f>
        <v/>
      </c>
      <c r="X1657" t="str">
        <f>IF([2]Baskol!$G$1660="","",[2]Baskol!$G$1660)</f>
        <v/>
      </c>
      <c r="Y1657" t="str">
        <f>IF([2]Baskol!$I$1660="","",[2]Baskol!$I$1660)</f>
        <v/>
      </c>
      <c r="Z1657" t="str">
        <f>IF([2]Baskol!$J$1660="","",[2]Baskol!$J$1660)</f>
        <v/>
      </c>
      <c r="AA1657" t="str">
        <f>IF([2]Baskol!$K$1660="","",[2]Baskol!$K$1660)</f>
        <v/>
      </c>
      <c r="AB1657" t="str">
        <f>IF([2]Baskol!$L$1660="","",[2]Baskol!$L$1660)</f>
        <v/>
      </c>
      <c r="AC1657" t="str">
        <f>IF([2]Baskol!$N$1660="","",[2]Baskol!$N$1660)</f>
        <v/>
      </c>
      <c r="AD1657" t="str">
        <f>IF([2]Baskol!$O$1660="","",[2]Baskol!$O$1660)</f>
        <v/>
      </c>
      <c r="AE1657" t="str">
        <f>IF([3]Entry!$C$1660="","",[3]Entry!$C$1660)</f>
        <v/>
      </c>
      <c r="AF1657" t="str">
        <f>IF([3]Entry!$D$1660="","",[3]Entry!$D$1660)</f>
        <v/>
      </c>
      <c r="AG1657" t="str">
        <f>IF([3]Entry!$E$1660="","",[3]Entry!$E$1660)</f>
        <v/>
      </c>
      <c r="AH1657" t="str">
        <f>IF([3]Entry!$G$1660="","",[3]Entry!$G$1660)</f>
        <v/>
      </c>
      <c r="AI1657" t="str">
        <f>IF([3]Entry!$K$1660="","",[3]Entry!$K$1660)</f>
        <v/>
      </c>
      <c r="AJ1657" t="str">
        <f>IF([3]Entry!$L$1660="","",[3]Entry!$L$1660)</f>
        <v/>
      </c>
      <c r="AK1657" t="str">
        <f>IF([3]Entry!$M$1660="","",[3]Entry!$M$1660)</f>
        <v/>
      </c>
      <c r="AL1657" t="str">
        <f>IF([3]Entry!$N$1660="","",[3]Entry!$N$1660)</f>
        <v/>
      </c>
      <c r="AM1657" t="str">
        <f>IF([3]Entry!$R$1660="","",[3]Entry!$R$1660)</f>
        <v/>
      </c>
    </row>
    <row r="1658" spans="20:39" x14ac:dyDescent="0.2">
      <c r="T1658" t="str">
        <f>IF([2]Baskol!$B$1661="","",[2]Baskol!$B$1661)</f>
        <v/>
      </c>
      <c r="U1658" t="str">
        <f>IF([2]Baskol!$C$1661="","",[2]Baskol!$C$1661)</f>
        <v/>
      </c>
      <c r="V1658" t="str">
        <f>IF([2]Baskol!$D$1661="","",[2]Baskol!$D$1661)</f>
        <v/>
      </c>
      <c r="W1658" t="str">
        <f>IF([2]Baskol!$E$1661="","",[2]Baskol!$E$1661)</f>
        <v/>
      </c>
      <c r="X1658" t="str">
        <f>IF([2]Baskol!$G$1661="","",[2]Baskol!$G$1661)</f>
        <v/>
      </c>
      <c r="Y1658" t="str">
        <f>IF([2]Baskol!$I$1661="","",[2]Baskol!$I$1661)</f>
        <v/>
      </c>
      <c r="Z1658" t="str">
        <f>IF([2]Baskol!$J$1661="","",[2]Baskol!$J$1661)</f>
        <v/>
      </c>
      <c r="AA1658" t="str">
        <f>IF([2]Baskol!$K$1661="","",[2]Baskol!$K$1661)</f>
        <v/>
      </c>
      <c r="AB1658" t="str">
        <f>IF([2]Baskol!$L$1661="","",[2]Baskol!$L$1661)</f>
        <v/>
      </c>
      <c r="AC1658" t="str">
        <f>IF([2]Baskol!$N$1661="","",[2]Baskol!$N$1661)</f>
        <v/>
      </c>
      <c r="AD1658" t="str">
        <f>IF([2]Baskol!$O$1661="","",[2]Baskol!$O$1661)</f>
        <v/>
      </c>
      <c r="AE1658" t="str">
        <f>IF([3]Entry!$C$1661="","",[3]Entry!$C$1661)</f>
        <v/>
      </c>
      <c r="AF1658" t="str">
        <f>IF([3]Entry!$D$1661="","",[3]Entry!$D$1661)</f>
        <v/>
      </c>
      <c r="AG1658" t="str">
        <f>IF([3]Entry!$E$1661="","",[3]Entry!$E$1661)</f>
        <v/>
      </c>
      <c r="AH1658" t="str">
        <f>IF([3]Entry!$G$1661="","",[3]Entry!$G$1661)</f>
        <v/>
      </c>
      <c r="AI1658" t="str">
        <f>IF([3]Entry!$K$1661="","",[3]Entry!$K$1661)</f>
        <v/>
      </c>
      <c r="AJ1658" t="str">
        <f>IF([3]Entry!$L$1661="","",[3]Entry!$L$1661)</f>
        <v/>
      </c>
      <c r="AK1658" t="str">
        <f>IF([3]Entry!$M$1661="","",[3]Entry!$M$1661)</f>
        <v/>
      </c>
      <c r="AL1658" t="str">
        <f>IF([3]Entry!$N$1661="","",[3]Entry!$N$1661)</f>
        <v/>
      </c>
      <c r="AM1658" t="str">
        <f>IF([3]Entry!$R$1661="","",[3]Entry!$R$1661)</f>
        <v/>
      </c>
    </row>
    <row r="1659" spans="20:39" x14ac:dyDescent="0.2">
      <c r="T1659" t="str">
        <f>IF([2]Baskol!$B$1662="","",[2]Baskol!$B$1662)</f>
        <v/>
      </c>
      <c r="U1659" t="str">
        <f>IF([2]Baskol!$C$1662="","",[2]Baskol!$C$1662)</f>
        <v/>
      </c>
      <c r="V1659" t="str">
        <f>IF([2]Baskol!$D$1662="","",[2]Baskol!$D$1662)</f>
        <v/>
      </c>
      <c r="W1659" t="str">
        <f>IF([2]Baskol!$E$1662="","",[2]Baskol!$E$1662)</f>
        <v/>
      </c>
      <c r="X1659" t="str">
        <f>IF([2]Baskol!$G$1662="","",[2]Baskol!$G$1662)</f>
        <v/>
      </c>
      <c r="Y1659" t="str">
        <f>IF([2]Baskol!$I$1662="","",[2]Baskol!$I$1662)</f>
        <v/>
      </c>
      <c r="Z1659" t="str">
        <f>IF([2]Baskol!$J$1662="","",[2]Baskol!$J$1662)</f>
        <v/>
      </c>
      <c r="AA1659" t="str">
        <f>IF([2]Baskol!$K$1662="","",[2]Baskol!$K$1662)</f>
        <v/>
      </c>
      <c r="AB1659" t="str">
        <f>IF([2]Baskol!$L$1662="","",[2]Baskol!$L$1662)</f>
        <v/>
      </c>
      <c r="AC1659" t="str">
        <f>IF([2]Baskol!$N$1662="","",[2]Baskol!$N$1662)</f>
        <v/>
      </c>
      <c r="AD1659" t="str">
        <f>IF([2]Baskol!$O$1662="","",[2]Baskol!$O$1662)</f>
        <v/>
      </c>
      <c r="AE1659" t="str">
        <f>IF([3]Entry!$C$1662="","",[3]Entry!$C$1662)</f>
        <v/>
      </c>
      <c r="AF1659" t="str">
        <f>IF([3]Entry!$D$1662="","",[3]Entry!$D$1662)</f>
        <v/>
      </c>
      <c r="AG1659" t="str">
        <f>IF([3]Entry!$E$1662="","",[3]Entry!$E$1662)</f>
        <v/>
      </c>
      <c r="AH1659" t="str">
        <f>IF([3]Entry!$G$1662="","",[3]Entry!$G$1662)</f>
        <v/>
      </c>
      <c r="AI1659" t="str">
        <f>IF([3]Entry!$K$1662="","",[3]Entry!$K$1662)</f>
        <v/>
      </c>
      <c r="AJ1659" t="str">
        <f>IF([3]Entry!$L$1662="","",[3]Entry!$L$1662)</f>
        <v/>
      </c>
      <c r="AK1659" t="str">
        <f>IF([3]Entry!$M$1662="","",[3]Entry!$M$1662)</f>
        <v/>
      </c>
      <c r="AL1659" t="str">
        <f>IF([3]Entry!$N$1662="","",[3]Entry!$N$1662)</f>
        <v/>
      </c>
      <c r="AM1659" t="str">
        <f>IF([3]Entry!$R$1662="","",[3]Entry!$R$1662)</f>
        <v/>
      </c>
    </row>
    <row r="1660" spans="20:39" x14ac:dyDescent="0.2">
      <c r="T1660" t="str">
        <f>IF([2]Baskol!$B$1663="","",[2]Baskol!$B$1663)</f>
        <v/>
      </c>
      <c r="U1660" t="str">
        <f>IF([2]Baskol!$C$1663="","",[2]Baskol!$C$1663)</f>
        <v/>
      </c>
      <c r="V1660" t="str">
        <f>IF([2]Baskol!$D$1663="","",[2]Baskol!$D$1663)</f>
        <v/>
      </c>
      <c r="W1660" t="str">
        <f>IF([2]Baskol!$E$1663="","",[2]Baskol!$E$1663)</f>
        <v/>
      </c>
      <c r="X1660" t="str">
        <f>IF([2]Baskol!$G$1663="","",[2]Baskol!$G$1663)</f>
        <v/>
      </c>
      <c r="Y1660" t="str">
        <f>IF([2]Baskol!$I$1663="","",[2]Baskol!$I$1663)</f>
        <v/>
      </c>
      <c r="Z1660" t="str">
        <f>IF([2]Baskol!$J$1663="","",[2]Baskol!$J$1663)</f>
        <v/>
      </c>
      <c r="AA1660" t="str">
        <f>IF([2]Baskol!$K$1663="","",[2]Baskol!$K$1663)</f>
        <v/>
      </c>
      <c r="AB1660" t="str">
        <f>IF([2]Baskol!$L$1663="","",[2]Baskol!$L$1663)</f>
        <v/>
      </c>
      <c r="AC1660" t="str">
        <f>IF([2]Baskol!$N$1663="","",[2]Baskol!$N$1663)</f>
        <v/>
      </c>
      <c r="AD1660" t="str">
        <f>IF([2]Baskol!$O$1663="","",[2]Baskol!$O$1663)</f>
        <v/>
      </c>
      <c r="AE1660" t="str">
        <f>IF([3]Entry!$C$1663="","",[3]Entry!$C$1663)</f>
        <v/>
      </c>
      <c r="AF1660" t="str">
        <f>IF([3]Entry!$D$1663="","",[3]Entry!$D$1663)</f>
        <v/>
      </c>
      <c r="AG1660" t="str">
        <f>IF([3]Entry!$E$1663="","",[3]Entry!$E$1663)</f>
        <v/>
      </c>
      <c r="AH1660" t="str">
        <f>IF([3]Entry!$G$1663="","",[3]Entry!$G$1663)</f>
        <v/>
      </c>
      <c r="AI1660" t="str">
        <f>IF([3]Entry!$K$1663="","",[3]Entry!$K$1663)</f>
        <v/>
      </c>
      <c r="AJ1660" t="str">
        <f>IF([3]Entry!$L$1663="","",[3]Entry!$L$1663)</f>
        <v/>
      </c>
      <c r="AK1660" t="str">
        <f>IF([3]Entry!$M$1663="","",[3]Entry!$M$1663)</f>
        <v/>
      </c>
      <c r="AL1660" t="str">
        <f>IF([3]Entry!$N$1663="","",[3]Entry!$N$1663)</f>
        <v/>
      </c>
      <c r="AM1660" t="str">
        <f>IF([3]Entry!$R$1663="","",[3]Entry!$R$1663)</f>
        <v/>
      </c>
    </row>
    <row r="1661" spans="20:39" x14ac:dyDescent="0.2">
      <c r="T1661" t="str">
        <f>IF([2]Baskol!$B$1664="","",[2]Baskol!$B$1664)</f>
        <v/>
      </c>
      <c r="U1661" t="str">
        <f>IF([2]Baskol!$C$1664="","",[2]Baskol!$C$1664)</f>
        <v/>
      </c>
      <c r="V1661" t="str">
        <f>IF([2]Baskol!$D$1664="","",[2]Baskol!$D$1664)</f>
        <v/>
      </c>
      <c r="W1661" t="str">
        <f>IF([2]Baskol!$E$1664="","",[2]Baskol!$E$1664)</f>
        <v/>
      </c>
      <c r="X1661" t="str">
        <f>IF([2]Baskol!$G$1664="","",[2]Baskol!$G$1664)</f>
        <v/>
      </c>
      <c r="Y1661" t="str">
        <f>IF([2]Baskol!$I$1664="","",[2]Baskol!$I$1664)</f>
        <v/>
      </c>
      <c r="Z1661" t="str">
        <f>IF([2]Baskol!$J$1664="","",[2]Baskol!$J$1664)</f>
        <v/>
      </c>
      <c r="AA1661" t="str">
        <f>IF([2]Baskol!$K$1664="","",[2]Baskol!$K$1664)</f>
        <v/>
      </c>
      <c r="AB1661" t="str">
        <f>IF([2]Baskol!$L$1664="","",[2]Baskol!$L$1664)</f>
        <v/>
      </c>
      <c r="AC1661" t="str">
        <f>IF([2]Baskol!$N$1664="","",[2]Baskol!$N$1664)</f>
        <v/>
      </c>
      <c r="AD1661" t="str">
        <f>IF([2]Baskol!$O$1664="","",[2]Baskol!$O$1664)</f>
        <v/>
      </c>
      <c r="AE1661" t="str">
        <f>IF([3]Entry!$C$1664="","",[3]Entry!$C$1664)</f>
        <v/>
      </c>
      <c r="AF1661" t="str">
        <f>IF([3]Entry!$D$1664="","",[3]Entry!$D$1664)</f>
        <v/>
      </c>
      <c r="AG1661" t="str">
        <f>IF([3]Entry!$E$1664="","",[3]Entry!$E$1664)</f>
        <v/>
      </c>
      <c r="AH1661" t="str">
        <f>IF([3]Entry!$G$1664="","",[3]Entry!$G$1664)</f>
        <v/>
      </c>
      <c r="AI1661" t="str">
        <f>IF([3]Entry!$K$1664="","",[3]Entry!$K$1664)</f>
        <v/>
      </c>
      <c r="AJ1661" t="str">
        <f>IF([3]Entry!$L$1664="","",[3]Entry!$L$1664)</f>
        <v/>
      </c>
      <c r="AK1661" t="str">
        <f>IF([3]Entry!$M$1664="","",[3]Entry!$M$1664)</f>
        <v/>
      </c>
      <c r="AL1661" t="str">
        <f>IF([3]Entry!$N$1664="","",[3]Entry!$N$1664)</f>
        <v/>
      </c>
      <c r="AM1661" t="str">
        <f>IF([3]Entry!$R$1664="","",[3]Entry!$R$1664)</f>
        <v/>
      </c>
    </row>
    <row r="1662" spans="20:39" x14ac:dyDescent="0.2">
      <c r="T1662" t="str">
        <f>IF([2]Baskol!$B$1665="","",[2]Baskol!$B$1665)</f>
        <v/>
      </c>
      <c r="U1662" t="str">
        <f>IF([2]Baskol!$C$1665="","",[2]Baskol!$C$1665)</f>
        <v/>
      </c>
      <c r="V1662" t="str">
        <f>IF([2]Baskol!$D$1665="","",[2]Baskol!$D$1665)</f>
        <v/>
      </c>
      <c r="W1662" t="str">
        <f>IF([2]Baskol!$E$1665="","",[2]Baskol!$E$1665)</f>
        <v/>
      </c>
      <c r="X1662" t="str">
        <f>IF([2]Baskol!$G$1665="","",[2]Baskol!$G$1665)</f>
        <v/>
      </c>
      <c r="Y1662" t="str">
        <f>IF([2]Baskol!$I$1665="","",[2]Baskol!$I$1665)</f>
        <v/>
      </c>
      <c r="Z1662" t="str">
        <f>IF([2]Baskol!$J$1665="","",[2]Baskol!$J$1665)</f>
        <v/>
      </c>
      <c r="AA1662" t="str">
        <f>IF([2]Baskol!$K$1665="","",[2]Baskol!$K$1665)</f>
        <v/>
      </c>
      <c r="AB1662" t="str">
        <f>IF([2]Baskol!$L$1665="","",[2]Baskol!$L$1665)</f>
        <v/>
      </c>
      <c r="AC1662" t="str">
        <f>IF([2]Baskol!$N$1665="","",[2]Baskol!$N$1665)</f>
        <v/>
      </c>
      <c r="AD1662" t="str">
        <f>IF([2]Baskol!$O$1665="","",[2]Baskol!$O$1665)</f>
        <v/>
      </c>
      <c r="AE1662" t="str">
        <f>IF([3]Entry!$C$1665="","",[3]Entry!$C$1665)</f>
        <v/>
      </c>
      <c r="AF1662" t="str">
        <f>IF([3]Entry!$D$1665="","",[3]Entry!$D$1665)</f>
        <v/>
      </c>
      <c r="AG1662" t="str">
        <f>IF([3]Entry!$E$1665="","",[3]Entry!$E$1665)</f>
        <v/>
      </c>
      <c r="AH1662" t="str">
        <f>IF([3]Entry!$G$1665="","",[3]Entry!$G$1665)</f>
        <v/>
      </c>
      <c r="AI1662" t="str">
        <f>IF([3]Entry!$K$1665="","",[3]Entry!$K$1665)</f>
        <v/>
      </c>
      <c r="AJ1662" t="str">
        <f>IF([3]Entry!$L$1665="","",[3]Entry!$L$1665)</f>
        <v/>
      </c>
      <c r="AK1662" t="str">
        <f>IF([3]Entry!$M$1665="","",[3]Entry!$M$1665)</f>
        <v/>
      </c>
      <c r="AL1662" t="str">
        <f>IF([3]Entry!$N$1665="","",[3]Entry!$N$1665)</f>
        <v/>
      </c>
      <c r="AM1662" t="str">
        <f>IF([3]Entry!$R$1665="","",[3]Entry!$R$1665)</f>
        <v/>
      </c>
    </row>
    <row r="1663" spans="20:39" x14ac:dyDescent="0.2">
      <c r="T1663" t="str">
        <f>IF([2]Baskol!$B$1666="","",[2]Baskol!$B$1666)</f>
        <v/>
      </c>
      <c r="U1663" t="str">
        <f>IF([2]Baskol!$C$1666="","",[2]Baskol!$C$1666)</f>
        <v/>
      </c>
      <c r="V1663" t="str">
        <f>IF([2]Baskol!$D$1666="","",[2]Baskol!$D$1666)</f>
        <v/>
      </c>
      <c r="W1663" t="str">
        <f>IF([2]Baskol!$E$1666="","",[2]Baskol!$E$1666)</f>
        <v/>
      </c>
      <c r="X1663" t="str">
        <f>IF([2]Baskol!$G$1666="","",[2]Baskol!$G$1666)</f>
        <v/>
      </c>
      <c r="Y1663" t="str">
        <f>IF([2]Baskol!$I$1666="","",[2]Baskol!$I$1666)</f>
        <v/>
      </c>
      <c r="Z1663" t="str">
        <f>IF([2]Baskol!$J$1666="","",[2]Baskol!$J$1666)</f>
        <v/>
      </c>
      <c r="AA1663" t="str">
        <f>IF([2]Baskol!$K$1666="","",[2]Baskol!$K$1666)</f>
        <v/>
      </c>
      <c r="AB1663" t="str">
        <f>IF([2]Baskol!$L$1666="","",[2]Baskol!$L$1666)</f>
        <v/>
      </c>
      <c r="AC1663" t="str">
        <f>IF([2]Baskol!$N$1666="","",[2]Baskol!$N$1666)</f>
        <v/>
      </c>
      <c r="AD1663" t="str">
        <f>IF([2]Baskol!$O$1666="","",[2]Baskol!$O$1666)</f>
        <v/>
      </c>
      <c r="AE1663" t="str">
        <f>IF([3]Entry!$C$1666="","",[3]Entry!$C$1666)</f>
        <v/>
      </c>
      <c r="AF1663" t="str">
        <f>IF([3]Entry!$D$1666="","",[3]Entry!$D$1666)</f>
        <v/>
      </c>
      <c r="AG1663" t="str">
        <f>IF([3]Entry!$E$1666="","",[3]Entry!$E$1666)</f>
        <v/>
      </c>
      <c r="AH1663" t="str">
        <f>IF([3]Entry!$G$1666="","",[3]Entry!$G$1666)</f>
        <v/>
      </c>
      <c r="AI1663" t="str">
        <f>IF([3]Entry!$K$1666="","",[3]Entry!$K$1666)</f>
        <v/>
      </c>
      <c r="AJ1663" t="str">
        <f>IF([3]Entry!$L$1666="","",[3]Entry!$L$1666)</f>
        <v/>
      </c>
      <c r="AK1663" t="str">
        <f>IF([3]Entry!$M$1666="","",[3]Entry!$M$1666)</f>
        <v/>
      </c>
      <c r="AL1663" t="str">
        <f>IF([3]Entry!$N$1666="","",[3]Entry!$N$1666)</f>
        <v/>
      </c>
      <c r="AM1663" t="str">
        <f>IF([3]Entry!$R$1666="","",[3]Entry!$R$1666)</f>
        <v/>
      </c>
    </row>
    <row r="1664" spans="20:39" x14ac:dyDescent="0.2">
      <c r="T1664" t="str">
        <f>IF([2]Baskol!$B$1667="","",[2]Baskol!$B$1667)</f>
        <v/>
      </c>
      <c r="U1664" t="str">
        <f>IF([2]Baskol!$C$1667="","",[2]Baskol!$C$1667)</f>
        <v/>
      </c>
      <c r="V1664" t="str">
        <f>IF([2]Baskol!$D$1667="","",[2]Baskol!$D$1667)</f>
        <v/>
      </c>
      <c r="W1664" t="str">
        <f>IF([2]Baskol!$E$1667="","",[2]Baskol!$E$1667)</f>
        <v/>
      </c>
      <c r="X1664" t="str">
        <f>IF([2]Baskol!$G$1667="","",[2]Baskol!$G$1667)</f>
        <v/>
      </c>
      <c r="Y1664" t="str">
        <f>IF([2]Baskol!$I$1667="","",[2]Baskol!$I$1667)</f>
        <v/>
      </c>
      <c r="Z1664" t="str">
        <f>IF([2]Baskol!$J$1667="","",[2]Baskol!$J$1667)</f>
        <v/>
      </c>
      <c r="AA1664" t="str">
        <f>IF([2]Baskol!$K$1667="","",[2]Baskol!$K$1667)</f>
        <v/>
      </c>
      <c r="AB1664" t="str">
        <f>IF([2]Baskol!$L$1667="","",[2]Baskol!$L$1667)</f>
        <v/>
      </c>
      <c r="AC1664" t="str">
        <f>IF([2]Baskol!$N$1667="","",[2]Baskol!$N$1667)</f>
        <v/>
      </c>
      <c r="AD1664" t="str">
        <f>IF([2]Baskol!$O$1667="","",[2]Baskol!$O$1667)</f>
        <v/>
      </c>
      <c r="AE1664" t="str">
        <f>IF([3]Entry!$C$1667="","",[3]Entry!$C$1667)</f>
        <v/>
      </c>
      <c r="AF1664" t="str">
        <f>IF([3]Entry!$D$1667="","",[3]Entry!$D$1667)</f>
        <v/>
      </c>
      <c r="AG1664" t="str">
        <f>IF([3]Entry!$E$1667="","",[3]Entry!$E$1667)</f>
        <v/>
      </c>
      <c r="AH1664" t="str">
        <f>IF([3]Entry!$G$1667="","",[3]Entry!$G$1667)</f>
        <v/>
      </c>
      <c r="AI1664" t="str">
        <f>IF([3]Entry!$K$1667="","",[3]Entry!$K$1667)</f>
        <v/>
      </c>
      <c r="AJ1664" t="str">
        <f>IF([3]Entry!$L$1667="","",[3]Entry!$L$1667)</f>
        <v/>
      </c>
      <c r="AK1664" t="str">
        <f>IF([3]Entry!$M$1667="","",[3]Entry!$M$1667)</f>
        <v/>
      </c>
      <c r="AL1664" t="str">
        <f>IF([3]Entry!$N$1667="","",[3]Entry!$N$1667)</f>
        <v/>
      </c>
      <c r="AM1664" t="str">
        <f>IF([3]Entry!$R$1667="","",[3]Entry!$R$1667)</f>
        <v/>
      </c>
    </row>
    <row r="1665" spans="20:39" x14ac:dyDescent="0.2">
      <c r="T1665" t="str">
        <f>IF([2]Baskol!$B$1668="","",[2]Baskol!$B$1668)</f>
        <v/>
      </c>
      <c r="U1665" t="str">
        <f>IF([2]Baskol!$C$1668="","",[2]Baskol!$C$1668)</f>
        <v/>
      </c>
      <c r="V1665" t="str">
        <f>IF([2]Baskol!$D$1668="","",[2]Baskol!$D$1668)</f>
        <v/>
      </c>
      <c r="W1665" t="str">
        <f>IF([2]Baskol!$E$1668="","",[2]Baskol!$E$1668)</f>
        <v/>
      </c>
      <c r="X1665" t="str">
        <f>IF([2]Baskol!$G$1668="","",[2]Baskol!$G$1668)</f>
        <v/>
      </c>
      <c r="Y1665" t="str">
        <f>IF([2]Baskol!$I$1668="","",[2]Baskol!$I$1668)</f>
        <v/>
      </c>
      <c r="Z1665" t="str">
        <f>IF([2]Baskol!$J$1668="","",[2]Baskol!$J$1668)</f>
        <v/>
      </c>
      <c r="AA1665" t="str">
        <f>IF([2]Baskol!$K$1668="","",[2]Baskol!$K$1668)</f>
        <v/>
      </c>
      <c r="AB1665" t="str">
        <f>IF([2]Baskol!$L$1668="","",[2]Baskol!$L$1668)</f>
        <v/>
      </c>
      <c r="AC1665" t="str">
        <f>IF([2]Baskol!$N$1668="","",[2]Baskol!$N$1668)</f>
        <v/>
      </c>
      <c r="AD1665" t="str">
        <f>IF([2]Baskol!$O$1668="","",[2]Baskol!$O$1668)</f>
        <v/>
      </c>
      <c r="AE1665" t="str">
        <f>IF([3]Entry!$C$1668="","",[3]Entry!$C$1668)</f>
        <v/>
      </c>
      <c r="AF1665" t="str">
        <f>IF([3]Entry!$D$1668="","",[3]Entry!$D$1668)</f>
        <v/>
      </c>
      <c r="AG1665" t="str">
        <f>IF([3]Entry!$E$1668="","",[3]Entry!$E$1668)</f>
        <v/>
      </c>
      <c r="AH1665" t="str">
        <f>IF([3]Entry!$G$1668="","",[3]Entry!$G$1668)</f>
        <v/>
      </c>
      <c r="AI1665" t="str">
        <f>IF([3]Entry!$K$1668="","",[3]Entry!$K$1668)</f>
        <v/>
      </c>
      <c r="AJ1665" t="str">
        <f>IF([3]Entry!$L$1668="","",[3]Entry!$L$1668)</f>
        <v/>
      </c>
      <c r="AK1665" t="str">
        <f>IF([3]Entry!$M$1668="","",[3]Entry!$M$1668)</f>
        <v/>
      </c>
      <c r="AL1665" t="str">
        <f>IF([3]Entry!$N$1668="","",[3]Entry!$N$1668)</f>
        <v/>
      </c>
      <c r="AM1665" t="str">
        <f>IF([3]Entry!$R$1668="","",[3]Entry!$R$1668)</f>
        <v/>
      </c>
    </row>
    <row r="1666" spans="20:39" x14ac:dyDescent="0.2">
      <c r="T1666" t="str">
        <f>IF([2]Baskol!$B$1669="","",[2]Baskol!$B$1669)</f>
        <v/>
      </c>
      <c r="U1666" t="str">
        <f>IF([2]Baskol!$C$1669="","",[2]Baskol!$C$1669)</f>
        <v/>
      </c>
      <c r="V1666" t="str">
        <f>IF([2]Baskol!$D$1669="","",[2]Baskol!$D$1669)</f>
        <v/>
      </c>
      <c r="W1666" t="str">
        <f>IF([2]Baskol!$E$1669="","",[2]Baskol!$E$1669)</f>
        <v/>
      </c>
      <c r="X1666" t="str">
        <f>IF([2]Baskol!$G$1669="","",[2]Baskol!$G$1669)</f>
        <v/>
      </c>
      <c r="Y1666" t="str">
        <f>IF([2]Baskol!$I$1669="","",[2]Baskol!$I$1669)</f>
        <v/>
      </c>
      <c r="Z1666" t="str">
        <f>IF([2]Baskol!$J$1669="","",[2]Baskol!$J$1669)</f>
        <v/>
      </c>
      <c r="AA1666" t="str">
        <f>IF([2]Baskol!$K$1669="","",[2]Baskol!$K$1669)</f>
        <v/>
      </c>
      <c r="AB1666" t="str">
        <f>IF([2]Baskol!$L$1669="","",[2]Baskol!$L$1669)</f>
        <v/>
      </c>
      <c r="AC1666" t="str">
        <f>IF([2]Baskol!$N$1669="","",[2]Baskol!$N$1669)</f>
        <v/>
      </c>
      <c r="AD1666" t="str">
        <f>IF([2]Baskol!$O$1669="","",[2]Baskol!$O$1669)</f>
        <v/>
      </c>
      <c r="AE1666" t="str">
        <f>IF([3]Entry!$C$1669="","",[3]Entry!$C$1669)</f>
        <v/>
      </c>
      <c r="AF1666" t="str">
        <f>IF([3]Entry!$D$1669="","",[3]Entry!$D$1669)</f>
        <v/>
      </c>
      <c r="AG1666" t="str">
        <f>IF([3]Entry!$E$1669="","",[3]Entry!$E$1669)</f>
        <v/>
      </c>
      <c r="AH1666" t="str">
        <f>IF([3]Entry!$G$1669="","",[3]Entry!$G$1669)</f>
        <v/>
      </c>
      <c r="AI1666" t="str">
        <f>IF([3]Entry!$K$1669="","",[3]Entry!$K$1669)</f>
        <v/>
      </c>
      <c r="AJ1666" t="str">
        <f>IF([3]Entry!$L$1669="","",[3]Entry!$L$1669)</f>
        <v/>
      </c>
      <c r="AK1666" t="str">
        <f>IF([3]Entry!$M$1669="","",[3]Entry!$M$1669)</f>
        <v/>
      </c>
      <c r="AL1666" t="str">
        <f>IF([3]Entry!$N$1669="","",[3]Entry!$N$1669)</f>
        <v/>
      </c>
      <c r="AM1666" t="str">
        <f>IF([3]Entry!$R$1669="","",[3]Entry!$R$1669)</f>
        <v/>
      </c>
    </row>
    <row r="1667" spans="20:39" x14ac:dyDescent="0.2">
      <c r="T1667" t="str">
        <f>IF([2]Baskol!$B$1670="","",[2]Baskol!$B$1670)</f>
        <v/>
      </c>
      <c r="U1667" t="str">
        <f>IF([2]Baskol!$C$1670="","",[2]Baskol!$C$1670)</f>
        <v/>
      </c>
      <c r="V1667" t="str">
        <f>IF([2]Baskol!$D$1670="","",[2]Baskol!$D$1670)</f>
        <v/>
      </c>
      <c r="W1667" t="str">
        <f>IF([2]Baskol!$E$1670="","",[2]Baskol!$E$1670)</f>
        <v/>
      </c>
      <c r="X1667" t="str">
        <f>IF([2]Baskol!$G$1670="","",[2]Baskol!$G$1670)</f>
        <v/>
      </c>
      <c r="Y1667" t="str">
        <f>IF([2]Baskol!$I$1670="","",[2]Baskol!$I$1670)</f>
        <v/>
      </c>
      <c r="Z1667" t="str">
        <f>IF([2]Baskol!$J$1670="","",[2]Baskol!$J$1670)</f>
        <v/>
      </c>
      <c r="AA1667" t="str">
        <f>IF([2]Baskol!$K$1670="","",[2]Baskol!$K$1670)</f>
        <v/>
      </c>
      <c r="AB1667" t="str">
        <f>IF([2]Baskol!$L$1670="","",[2]Baskol!$L$1670)</f>
        <v/>
      </c>
      <c r="AC1667" t="str">
        <f>IF([2]Baskol!$N$1670="","",[2]Baskol!$N$1670)</f>
        <v/>
      </c>
      <c r="AD1667" t="str">
        <f>IF([2]Baskol!$O$1670="","",[2]Baskol!$O$1670)</f>
        <v/>
      </c>
      <c r="AE1667" t="str">
        <f>IF([3]Entry!$C$1670="","",[3]Entry!$C$1670)</f>
        <v/>
      </c>
      <c r="AF1667" t="str">
        <f>IF([3]Entry!$D$1670="","",[3]Entry!$D$1670)</f>
        <v/>
      </c>
      <c r="AG1667" t="str">
        <f>IF([3]Entry!$E$1670="","",[3]Entry!$E$1670)</f>
        <v/>
      </c>
      <c r="AH1667" t="str">
        <f>IF([3]Entry!$G$1670="","",[3]Entry!$G$1670)</f>
        <v/>
      </c>
      <c r="AI1667" t="str">
        <f>IF([3]Entry!$K$1670="","",[3]Entry!$K$1670)</f>
        <v/>
      </c>
      <c r="AJ1667" t="str">
        <f>IF([3]Entry!$L$1670="","",[3]Entry!$L$1670)</f>
        <v/>
      </c>
      <c r="AK1667" t="str">
        <f>IF([3]Entry!$M$1670="","",[3]Entry!$M$1670)</f>
        <v/>
      </c>
      <c r="AL1667" t="str">
        <f>IF([3]Entry!$N$1670="","",[3]Entry!$N$1670)</f>
        <v/>
      </c>
      <c r="AM1667" t="str">
        <f>IF([3]Entry!$R$1670="","",[3]Entry!$R$1670)</f>
        <v/>
      </c>
    </row>
    <row r="1668" spans="20:39" x14ac:dyDescent="0.2">
      <c r="T1668" t="str">
        <f>IF([2]Baskol!$B$1671="","",[2]Baskol!$B$1671)</f>
        <v/>
      </c>
      <c r="U1668" t="str">
        <f>IF([2]Baskol!$C$1671="","",[2]Baskol!$C$1671)</f>
        <v/>
      </c>
      <c r="V1668" t="str">
        <f>IF([2]Baskol!$D$1671="","",[2]Baskol!$D$1671)</f>
        <v/>
      </c>
      <c r="W1668" t="str">
        <f>IF([2]Baskol!$E$1671="","",[2]Baskol!$E$1671)</f>
        <v/>
      </c>
      <c r="X1668" t="str">
        <f>IF([2]Baskol!$G$1671="","",[2]Baskol!$G$1671)</f>
        <v/>
      </c>
      <c r="Y1668" t="str">
        <f>IF([2]Baskol!$I$1671="","",[2]Baskol!$I$1671)</f>
        <v/>
      </c>
      <c r="Z1668" t="str">
        <f>IF([2]Baskol!$J$1671="","",[2]Baskol!$J$1671)</f>
        <v/>
      </c>
      <c r="AA1668" t="str">
        <f>IF([2]Baskol!$K$1671="","",[2]Baskol!$K$1671)</f>
        <v/>
      </c>
      <c r="AB1668" t="str">
        <f>IF([2]Baskol!$L$1671="","",[2]Baskol!$L$1671)</f>
        <v/>
      </c>
      <c r="AC1668" t="str">
        <f>IF([2]Baskol!$N$1671="","",[2]Baskol!$N$1671)</f>
        <v/>
      </c>
      <c r="AD1668" t="str">
        <f>IF([2]Baskol!$O$1671="","",[2]Baskol!$O$1671)</f>
        <v/>
      </c>
      <c r="AE1668" t="str">
        <f>IF([3]Entry!$C$1671="","",[3]Entry!$C$1671)</f>
        <v/>
      </c>
      <c r="AF1668" t="str">
        <f>IF([3]Entry!$D$1671="","",[3]Entry!$D$1671)</f>
        <v/>
      </c>
      <c r="AG1668" t="str">
        <f>IF([3]Entry!$E$1671="","",[3]Entry!$E$1671)</f>
        <v/>
      </c>
      <c r="AH1668" t="str">
        <f>IF([3]Entry!$G$1671="","",[3]Entry!$G$1671)</f>
        <v/>
      </c>
      <c r="AI1668" t="str">
        <f>IF([3]Entry!$K$1671="","",[3]Entry!$K$1671)</f>
        <v/>
      </c>
      <c r="AJ1668" t="str">
        <f>IF([3]Entry!$L$1671="","",[3]Entry!$L$1671)</f>
        <v/>
      </c>
      <c r="AK1668" t="str">
        <f>IF([3]Entry!$M$1671="","",[3]Entry!$M$1671)</f>
        <v/>
      </c>
      <c r="AL1668" t="str">
        <f>IF([3]Entry!$N$1671="","",[3]Entry!$N$1671)</f>
        <v/>
      </c>
      <c r="AM1668" t="str">
        <f>IF([3]Entry!$R$1671="","",[3]Entry!$R$1671)</f>
        <v/>
      </c>
    </row>
    <row r="1669" spans="20:39" x14ac:dyDescent="0.2">
      <c r="T1669" t="str">
        <f>IF([2]Baskol!$B$1672="","",[2]Baskol!$B$1672)</f>
        <v/>
      </c>
      <c r="U1669" t="str">
        <f>IF([2]Baskol!$C$1672="","",[2]Baskol!$C$1672)</f>
        <v/>
      </c>
      <c r="V1669" t="str">
        <f>IF([2]Baskol!$D$1672="","",[2]Baskol!$D$1672)</f>
        <v/>
      </c>
      <c r="W1669" t="str">
        <f>IF([2]Baskol!$E$1672="","",[2]Baskol!$E$1672)</f>
        <v/>
      </c>
      <c r="X1669" t="str">
        <f>IF([2]Baskol!$G$1672="","",[2]Baskol!$G$1672)</f>
        <v/>
      </c>
      <c r="Y1669" t="str">
        <f>IF([2]Baskol!$I$1672="","",[2]Baskol!$I$1672)</f>
        <v/>
      </c>
      <c r="Z1669" t="str">
        <f>IF([2]Baskol!$J$1672="","",[2]Baskol!$J$1672)</f>
        <v/>
      </c>
      <c r="AA1669" t="str">
        <f>IF([2]Baskol!$K$1672="","",[2]Baskol!$K$1672)</f>
        <v/>
      </c>
      <c r="AB1669" t="str">
        <f>IF([2]Baskol!$L$1672="","",[2]Baskol!$L$1672)</f>
        <v/>
      </c>
      <c r="AC1669" t="str">
        <f>IF([2]Baskol!$N$1672="","",[2]Baskol!$N$1672)</f>
        <v/>
      </c>
      <c r="AD1669" t="str">
        <f>IF([2]Baskol!$O$1672="","",[2]Baskol!$O$1672)</f>
        <v/>
      </c>
      <c r="AE1669" t="str">
        <f>IF([3]Entry!$C$1672="","",[3]Entry!$C$1672)</f>
        <v/>
      </c>
      <c r="AF1669" t="str">
        <f>IF([3]Entry!$D$1672="","",[3]Entry!$D$1672)</f>
        <v/>
      </c>
      <c r="AG1669" t="str">
        <f>IF([3]Entry!$E$1672="","",[3]Entry!$E$1672)</f>
        <v/>
      </c>
      <c r="AH1669" t="str">
        <f>IF([3]Entry!$G$1672="","",[3]Entry!$G$1672)</f>
        <v/>
      </c>
      <c r="AI1669" t="str">
        <f>IF([3]Entry!$K$1672="","",[3]Entry!$K$1672)</f>
        <v/>
      </c>
      <c r="AJ1669" t="str">
        <f>IF([3]Entry!$L$1672="","",[3]Entry!$L$1672)</f>
        <v/>
      </c>
      <c r="AK1669" t="str">
        <f>IF([3]Entry!$M$1672="","",[3]Entry!$M$1672)</f>
        <v/>
      </c>
      <c r="AL1669" t="str">
        <f>IF([3]Entry!$N$1672="","",[3]Entry!$N$1672)</f>
        <v/>
      </c>
      <c r="AM1669" t="str">
        <f>IF([3]Entry!$R$1672="","",[3]Entry!$R$1672)</f>
        <v/>
      </c>
    </row>
    <row r="1670" spans="20:39" x14ac:dyDescent="0.2">
      <c r="T1670" t="str">
        <f>IF([2]Baskol!$B$1673="","",[2]Baskol!$B$1673)</f>
        <v/>
      </c>
      <c r="U1670" t="str">
        <f>IF([2]Baskol!$C$1673="","",[2]Baskol!$C$1673)</f>
        <v/>
      </c>
      <c r="V1670" t="str">
        <f>IF([2]Baskol!$D$1673="","",[2]Baskol!$D$1673)</f>
        <v/>
      </c>
      <c r="W1670" t="str">
        <f>IF([2]Baskol!$E$1673="","",[2]Baskol!$E$1673)</f>
        <v/>
      </c>
      <c r="X1670" t="str">
        <f>IF([2]Baskol!$G$1673="","",[2]Baskol!$G$1673)</f>
        <v/>
      </c>
      <c r="Y1670" t="str">
        <f>IF([2]Baskol!$I$1673="","",[2]Baskol!$I$1673)</f>
        <v/>
      </c>
      <c r="Z1670" t="str">
        <f>IF([2]Baskol!$J$1673="","",[2]Baskol!$J$1673)</f>
        <v/>
      </c>
      <c r="AA1670" t="str">
        <f>IF([2]Baskol!$K$1673="","",[2]Baskol!$K$1673)</f>
        <v/>
      </c>
      <c r="AB1670" t="str">
        <f>IF([2]Baskol!$L$1673="","",[2]Baskol!$L$1673)</f>
        <v/>
      </c>
      <c r="AC1670" t="str">
        <f>IF([2]Baskol!$N$1673="","",[2]Baskol!$N$1673)</f>
        <v/>
      </c>
      <c r="AD1670" t="str">
        <f>IF([2]Baskol!$O$1673="","",[2]Baskol!$O$1673)</f>
        <v/>
      </c>
      <c r="AE1670" t="str">
        <f>IF([3]Entry!$C$1673="","",[3]Entry!$C$1673)</f>
        <v/>
      </c>
      <c r="AF1670" t="str">
        <f>IF([3]Entry!$D$1673="","",[3]Entry!$D$1673)</f>
        <v/>
      </c>
      <c r="AG1670" t="str">
        <f>IF([3]Entry!$E$1673="","",[3]Entry!$E$1673)</f>
        <v/>
      </c>
      <c r="AH1670" t="str">
        <f>IF([3]Entry!$G$1673="","",[3]Entry!$G$1673)</f>
        <v/>
      </c>
      <c r="AI1670" t="str">
        <f>IF([3]Entry!$K$1673="","",[3]Entry!$K$1673)</f>
        <v/>
      </c>
      <c r="AJ1670" t="str">
        <f>IF([3]Entry!$L$1673="","",[3]Entry!$L$1673)</f>
        <v/>
      </c>
      <c r="AK1670" t="str">
        <f>IF([3]Entry!$M$1673="","",[3]Entry!$M$1673)</f>
        <v/>
      </c>
      <c r="AL1670" t="str">
        <f>IF([3]Entry!$N$1673="","",[3]Entry!$N$1673)</f>
        <v/>
      </c>
      <c r="AM1670" t="str">
        <f>IF([3]Entry!$R$1673="","",[3]Entry!$R$1673)</f>
        <v/>
      </c>
    </row>
    <row r="1671" spans="20:39" x14ac:dyDescent="0.2">
      <c r="T1671" t="str">
        <f>IF([2]Baskol!$B$1674="","",[2]Baskol!$B$1674)</f>
        <v/>
      </c>
      <c r="U1671" t="str">
        <f>IF([2]Baskol!$C$1674="","",[2]Baskol!$C$1674)</f>
        <v/>
      </c>
      <c r="V1671" t="str">
        <f>IF([2]Baskol!$D$1674="","",[2]Baskol!$D$1674)</f>
        <v/>
      </c>
      <c r="W1671" t="str">
        <f>IF([2]Baskol!$E$1674="","",[2]Baskol!$E$1674)</f>
        <v/>
      </c>
      <c r="X1671" t="str">
        <f>IF([2]Baskol!$G$1674="","",[2]Baskol!$G$1674)</f>
        <v/>
      </c>
      <c r="Y1671" t="str">
        <f>IF([2]Baskol!$I$1674="","",[2]Baskol!$I$1674)</f>
        <v/>
      </c>
      <c r="Z1671" t="str">
        <f>IF([2]Baskol!$J$1674="","",[2]Baskol!$J$1674)</f>
        <v/>
      </c>
      <c r="AA1671" t="str">
        <f>IF([2]Baskol!$K$1674="","",[2]Baskol!$K$1674)</f>
        <v/>
      </c>
      <c r="AB1671" t="str">
        <f>IF([2]Baskol!$L$1674="","",[2]Baskol!$L$1674)</f>
        <v/>
      </c>
      <c r="AC1671" t="str">
        <f>IF([2]Baskol!$N$1674="","",[2]Baskol!$N$1674)</f>
        <v/>
      </c>
      <c r="AD1671" t="str">
        <f>IF([2]Baskol!$O$1674="","",[2]Baskol!$O$1674)</f>
        <v/>
      </c>
      <c r="AE1671" t="str">
        <f>IF([3]Entry!$C$1674="","",[3]Entry!$C$1674)</f>
        <v/>
      </c>
      <c r="AF1671" t="str">
        <f>IF([3]Entry!$D$1674="","",[3]Entry!$D$1674)</f>
        <v/>
      </c>
      <c r="AG1671" t="str">
        <f>IF([3]Entry!$E$1674="","",[3]Entry!$E$1674)</f>
        <v/>
      </c>
      <c r="AH1671" t="str">
        <f>IF([3]Entry!$G$1674="","",[3]Entry!$G$1674)</f>
        <v/>
      </c>
      <c r="AI1671" t="str">
        <f>IF([3]Entry!$K$1674="","",[3]Entry!$K$1674)</f>
        <v/>
      </c>
      <c r="AJ1671" t="str">
        <f>IF([3]Entry!$L$1674="","",[3]Entry!$L$1674)</f>
        <v/>
      </c>
      <c r="AK1671" t="str">
        <f>IF([3]Entry!$M$1674="","",[3]Entry!$M$1674)</f>
        <v/>
      </c>
      <c r="AL1671" t="str">
        <f>IF([3]Entry!$N$1674="","",[3]Entry!$N$1674)</f>
        <v/>
      </c>
      <c r="AM1671" t="str">
        <f>IF([3]Entry!$R$1674="","",[3]Entry!$R$1674)</f>
        <v/>
      </c>
    </row>
    <row r="1672" spans="20:39" x14ac:dyDescent="0.2">
      <c r="T1672" t="str">
        <f>IF([2]Baskol!$B$1675="","",[2]Baskol!$B$1675)</f>
        <v/>
      </c>
      <c r="U1672" t="str">
        <f>IF([2]Baskol!$C$1675="","",[2]Baskol!$C$1675)</f>
        <v/>
      </c>
      <c r="V1672" t="str">
        <f>IF([2]Baskol!$D$1675="","",[2]Baskol!$D$1675)</f>
        <v/>
      </c>
      <c r="W1672" t="str">
        <f>IF([2]Baskol!$E$1675="","",[2]Baskol!$E$1675)</f>
        <v/>
      </c>
      <c r="X1672" t="str">
        <f>IF([2]Baskol!$G$1675="","",[2]Baskol!$G$1675)</f>
        <v/>
      </c>
      <c r="Y1672" t="str">
        <f>IF([2]Baskol!$I$1675="","",[2]Baskol!$I$1675)</f>
        <v/>
      </c>
      <c r="Z1672" t="str">
        <f>IF([2]Baskol!$J$1675="","",[2]Baskol!$J$1675)</f>
        <v/>
      </c>
      <c r="AA1672" t="str">
        <f>IF([2]Baskol!$K$1675="","",[2]Baskol!$K$1675)</f>
        <v/>
      </c>
      <c r="AB1672" t="str">
        <f>IF([2]Baskol!$L$1675="","",[2]Baskol!$L$1675)</f>
        <v/>
      </c>
      <c r="AC1672" t="str">
        <f>IF([2]Baskol!$N$1675="","",[2]Baskol!$N$1675)</f>
        <v/>
      </c>
      <c r="AD1672" t="str">
        <f>IF([2]Baskol!$O$1675="","",[2]Baskol!$O$1675)</f>
        <v/>
      </c>
      <c r="AE1672" t="str">
        <f>IF([3]Entry!$C$1675="","",[3]Entry!$C$1675)</f>
        <v/>
      </c>
      <c r="AF1672" t="str">
        <f>IF([3]Entry!$D$1675="","",[3]Entry!$D$1675)</f>
        <v/>
      </c>
      <c r="AG1672" t="str">
        <f>IF([3]Entry!$E$1675="","",[3]Entry!$E$1675)</f>
        <v/>
      </c>
      <c r="AH1672" t="str">
        <f>IF([3]Entry!$G$1675="","",[3]Entry!$G$1675)</f>
        <v/>
      </c>
      <c r="AI1672" t="str">
        <f>IF([3]Entry!$K$1675="","",[3]Entry!$K$1675)</f>
        <v/>
      </c>
      <c r="AJ1672" t="str">
        <f>IF([3]Entry!$L$1675="","",[3]Entry!$L$1675)</f>
        <v/>
      </c>
      <c r="AK1672" t="str">
        <f>IF([3]Entry!$M$1675="","",[3]Entry!$M$1675)</f>
        <v/>
      </c>
      <c r="AL1672" t="str">
        <f>IF([3]Entry!$N$1675="","",[3]Entry!$N$1675)</f>
        <v/>
      </c>
      <c r="AM1672" t="str">
        <f>IF([3]Entry!$R$1675="","",[3]Entry!$R$1675)</f>
        <v/>
      </c>
    </row>
    <row r="1673" spans="20:39" x14ac:dyDescent="0.2">
      <c r="T1673" t="str">
        <f>IF([2]Baskol!$B$1676="","",[2]Baskol!$B$1676)</f>
        <v/>
      </c>
      <c r="U1673" t="str">
        <f>IF([2]Baskol!$C$1676="","",[2]Baskol!$C$1676)</f>
        <v/>
      </c>
      <c r="V1673" t="str">
        <f>IF([2]Baskol!$D$1676="","",[2]Baskol!$D$1676)</f>
        <v/>
      </c>
      <c r="W1673" t="str">
        <f>IF([2]Baskol!$E$1676="","",[2]Baskol!$E$1676)</f>
        <v/>
      </c>
      <c r="X1673" t="str">
        <f>IF([2]Baskol!$G$1676="","",[2]Baskol!$G$1676)</f>
        <v/>
      </c>
      <c r="Y1673" t="str">
        <f>IF([2]Baskol!$I$1676="","",[2]Baskol!$I$1676)</f>
        <v/>
      </c>
      <c r="Z1673" t="str">
        <f>IF([2]Baskol!$J$1676="","",[2]Baskol!$J$1676)</f>
        <v/>
      </c>
      <c r="AA1673" t="str">
        <f>IF([2]Baskol!$K$1676="","",[2]Baskol!$K$1676)</f>
        <v/>
      </c>
      <c r="AB1673" t="str">
        <f>IF([2]Baskol!$L$1676="","",[2]Baskol!$L$1676)</f>
        <v/>
      </c>
      <c r="AC1673" t="str">
        <f>IF([2]Baskol!$N$1676="","",[2]Baskol!$N$1676)</f>
        <v/>
      </c>
      <c r="AD1673" t="str">
        <f>IF([2]Baskol!$O$1676="","",[2]Baskol!$O$1676)</f>
        <v/>
      </c>
      <c r="AE1673" t="str">
        <f>IF([3]Entry!$C$1676="","",[3]Entry!$C$1676)</f>
        <v/>
      </c>
      <c r="AF1673" t="str">
        <f>IF([3]Entry!$D$1676="","",[3]Entry!$D$1676)</f>
        <v/>
      </c>
      <c r="AG1673" t="str">
        <f>IF([3]Entry!$E$1676="","",[3]Entry!$E$1676)</f>
        <v/>
      </c>
      <c r="AH1673" t="str">
        <f>IF([3]Entry!$G$1676="","",[3]Entry!$G$1676)</f>
        <v/>
      </c>
      <c r="AI1673" t="str">
        <f>IF([3]Entry!$K$1676="","",[3]Entry!$K$1676)</f>
        <v/>
      </c>
      <c r="AJ1673" t="str">
        <f>IF([3]Entry!$L$1676="","",[3]Entry!$L$1676)</f>
        <v/>
      </c>
      <c r="AK1673" t="str">
        <f>IF([3]Entry!$M$1676="","",[3]Entry!$M$1676)</f>
        <v/>
      </c>
      <c r="AL1673" t="str">
        <f>IF([3]Entry!$N$1676="","",[3]Entry!$N$1676)</f>
        <v/>
      </c>
      <c r="AM1673" t="str">
        <f>IF([3]Entry!$R$1676="","",[3]Entry!$R$1676)</f>
        <v/>
      </c>
    </row>
    <row r="1674" spans="20:39" x14ac:dyDescent="0.2">
      <c r="T1674" t="str">
        <f>IF([2]Baskol!$B$1677="","",[2]Baskol!$B$1677)</f>
        <v/>
      </c>
      <c r="U1674" t="str">
        <f>IF([2]Baskol!$C$1677="","",[2]Baskol!$C$1677)</f>
        <v/>
      </c>
      <c r="V1674" t="str">
        <f>IF([2]Baskol!$D$1677="","",[2]Baskol!$D$1677)</f>
        <v/>
      </c>
      <c r="W1674" t="str">
        <f>IF([2]Baskol!$E$1677="","",[2]Baskol!$E$1677)</f>
        <v/>
      </c>
      <c r="X1674" t="str">
        <f>IF([2]Baskol!$G$1677="","",[2]Baskol!$G$1677)</f>
        <v/>
      </c>
      <c r="Y1674" t="str">
        <f>IF([2]Baskol!$I$1677="","",[2]Baskol!$I$1677)</f>
        <v/>
      </c>
      <c r="Z1674" t="str">
        <f>IF([2]Baskol!$J$1677="","",[2]Baskol!$J$1677)</f>
        <v/>
      </c>
      <c r="AA1674" t="str">
        <f>IF([2]Baskol!$K$1677="","",[2]Baskol!$K$1677)</f>
        <v/>
      </c>
      <c r="AB1674" t="str">
        <f>IF([2]Baskol!$L$1677="","",[2]Baskol!$L$1677)</f>
        <v/>
      </c>
      <c r="AC1674" t="str">
        <f>IF([2]Baskol!$N$1677="","",[2]Baskol!$N$1677)</f>
        <v/>
      </c>
      <c r="AD1674" t="str">
        <f>IF([2]Baskol!$O$1677="","",[2]Baskol!$O$1677)</f>
        <v/>
      </c>
      <c r="AE1674" t="str">
        <f>IF([3]Entry!$C$1677="","",[3]Entry!$C$1677)</f>
        <v/>
      </c>
      <c r="AF1674" t="str">
        <f>IF([3]Entry!$D$1677="","",[3]Entry!$D$1677)</f>
        <v/>
      </c>
      <c r="AG1674" t="str">
        <f>IF([3]Entry!$E$1677="","",[3]Entry!$E$1677)</f>
        <v/>
      </c>
      <c r="AH1674" t="str">
        <f>IF([3]Entry!$G$1677="","",[3]Entry!$G$1677)</f>
        <v/>
      </c>
      <c r="AI1674" t="str">
        <f>IF([3]Entry!$K$1677="","",[3]Entry!$K$1677)</f>
        <v/>
      </c>
      <c r="AJ1674" t="str">
        <f>IF([3]Entry!$L$1677="","",[3]Entry!$L$1677)</f>
        <v/>
      </c>
      <c r="AK1674" t="str">
        <f>IF([3]Entry!$M$1677="","",[3]Entry!$M$1677)</f>
        <v/>
      </c>
      <c r="AL1674" t="str">
        <f>IF([3]Entry!$N$1677="","",[3]Entry!$N$1677)</f>
        <v/>
      </c>
      <c r="AM1674" t="str">
        <f>IF([3]Entry!$R$1677="","",[3]Entry!$R$1677)</f>
        <v/>
      </c>
    </row>
    <row r="1675" spans="20:39" x14ac:dyDescent="0.2">
      <c r="T1675" t="str">
        <f>IF([2]Baskol!$B$1678="","",[2]Baskol!$B$1678)</f>
        <v/>
      </c>
      <c r="U1675" t="str">
        <f>IF([2]Baskol!$C$1678="","",[2]Baskol!$C$1678)</f>
        <v/>
      </c>
      <c r="V1675" t="str">
        <f>IF([2]Baskol!$D$1678="","",[2]Baskol!$D$1678)</f>
        <v/>
      </c>
      <c r="W1675" t="str">
        <f>IF([2]Baskol!$E$1678="","",[2]Baskol!$E$1678)</f>
        <v/>
      </c>
      <c r="X1675" t="str">
        <f>IF([2]Baskol!$G$1678="","",[2]Baskol!$G$1678)</f>
        <v/>
      </c>
      <c r="Y1675" t="str">
        <f>IF([2]Baskol!$I$1678="","",[2]Baskol!$I$1678)</f>
        <v/>
      </c>
      <c r="Z1675" t="str">
        <f>IF([2]Baskol!$J$1678="","",[2]Baskol!$J$1678)</f>
        <v/>
      </c>
      <c r="AA1675" t="str">
        <f>IF([2]Baskol!$K$1678="","",[2]Baskol!$K$1678)</f>
        <v/>
      </c>
      <c r="AB1675" t="str">
        <f>IF([2]Baskol!$L$1678="","",[2]Baskol!$L$1678)</f>
        <v/>
      </c>
      <c r="AC1675" t="str">
        <f>IF([2]Baskol!$N$1678="","",[2]Baskol!$N$1678)</f>
        <v/>
      </c>
      <c r="AD1675" t="str">
        <f>IF([2]Baskol!$O$1678="","",[2]Baskol!$O$1678)</f>
        <v/>
      </c>
      <c r="AE1675" t="str">
        <f>IF([3]Entry!$C$1678="","",[3]Entry!$C$1678)</f>
        <v/>
      </c>
      <c r="AF1675" t="str">
        <f>IF([3]Entry!$D$1678="","",[3]Entry!$D$1678)</f>
        <v/>
      </c>
      <c r="AG1675" t="str">
        <f>IF([3]Entry!$E$1678="","",[3]Entry!$E$1678)</f>
        <v/>
      </c>
      <c r="AH1675" t="str">
        <f>IF([3]Entry!$G$1678="","",[3]Entry!$G$1678)</f>
        <v/>
      </c>
      <c r="AI1675" t="str">
        <f>IF([3]Entry!$K$1678="","",[3]Entry!$K$1678)</f>
        <v/>
      </c>
      <c r="AJ1675" t="str">
        <f>IF([3]Entry!$L$1678="","",[3]Entry!$L$1678)</f>
        <v/>
      </c>
      <c r="AK1675" t="str">
        <f>IF([3]Entry!$M$1678="","",[3]Entry!$M$1678)</f>
        <v/>
      </c>
      <c r="AL1675" t="str">
        <f>IF([3]Entry!$N$1678="","",[3]Entry!$N$1678)</f>
        <v/>
      </c>
      <c r="AM1675" t="str">
        <f>IF([3]Entry!$R$1678="","",[3]Entry!$R$1678)</f>
        <v/>
      </c>
    </row>
    <row r="1676" spans="20:39" x14ac:dyDescent="0.2">
      <c r="T1676" t="str">
        <f>IF([2]Baskol!$B$1679="","",[2]Baskol!$B$1679)</f>
        <v/>
      </c>
      <c r="U1676" t="str">
        <f>IF([2]Baskol!$C$1679="","",[2]Baskol!$C$1679)</f>
        <v/>
      </c>
      <c r="V1676" t="str">
        <f>IF([2]Baskol!$D$1679="","",[2]Baskol!$D$1679)</f>
        <v/>
      </c>
      <c r="W1676" t="str">
        <f>IF([2]Baskol!$E$1679="","",[2]Baskol!$E$1679)</f>
        <v/>
      </c>
      <c r="X1676" t="str">
        <f>IF([2]Baskol!$G$1679="","",[2]Baskol!$G$1679)</f>
        <v/>
      </c>
      <c r="Y1676" t="str">
        <f>IF([2]Baskol!$I$1679="","",[2]Baskol!$I$1679)</f>
        <v/>
      </c>
      <c r="Z1676" t="str">
        <f>IF([2]Baskol!$J$1679="","",[2]Baskol!$J$1679)</f>
        <v/>
      </c>
      <c r="AA1676" t="str">
        <f>IF([2]Baskol!$K$1679="","",[2]Baskol!$K$1679)</f>
        <v/>
      </c>
      <c r="AB1676" t="str">
        <f>IF([2]Baskol!$L$1679="","",[2]Baskol!$L$1679)</f>
        <v/>
      </c>
      <c r="AC1676" t="str">
        <f>IF([2]Baskol!$N$1679="","",[2]Baskol!$N$1679)</f>
        <v/>
      </c>
      <c r="AD1676" t="str">
        <f>IF([2]Baskol!$O$1679="","",[2]Baskol!$O$1679)</f>
        <v/>
      </c>
      <c r="AE1676" t="str">
        <f>IF([3]Entry!$C$1679="","",[3]Entry!$C$1679)</f>
        <v/>
      </c>
      <c r="AF1676" t="str">
        <f>IF([3]Entry!$D$1679="","",[3]Entry!$D$1679)</f>
        <v/>
      </c>
      <c r="AG1676" t="str">
        <f>IF([3]Entry!$E$1679="","",[3]Entry!$E$1679)</f>
        <v/>
      </c>
      <c r="AH1676" t="str">
        <f>IF([3]Entry!$G$1679="","",[3]Entry!$G$1679)</f>
        <v/>
      </c>
      <c r="AI1676" t="str">
        <f>IF([3]Entry!$K$1679="","",[3]Entry!$K$1679)</f>
        <v/>
      </c>
      <c r="AJ1676" t="str">
        <f>IF([3]Entry!$L$1679="","",[3]Entry!$L$1679)</f>
        <v/>
      </c>
      <c r="AK1676" t="str">
        <f>IF([3]Entry!$M$1679="","",[3]Entry!$M$1679)</f>
        <v/>
      </c>
      <c r="AL1676" t="str">
        <f>IF([3]Entry!$N$1679="","",[3]Entry!$N$1679)</f>
        <v/>
      </c>
      <c r="AM1676" t="str">
        <f>IF([3]Entry!$R$1679="","",[3]Entry!$R$1679)</f>
        <v/>
      </c>
    </row>
    <row r="1677" spans="20:39" x14ac:dyDescent="0.2">
      <c r="T1677" t="str">
        <f>IF([2]Baskol!$B$1680="","",[2]Baskol!$B$1680)</f>
        <v/>
      </c>
      <c r="U1677" t="str">
        <f>IF([2]Baskol!$C$1680="","",[2]Baskol!$C$1680)</f>
        <v/>
      </c>
      <c r="V1677" t="str">
        <f>IF([2]Baskol!$D$1680="","",[2]Baskol!$D$1680)</f>
        <v/>
      </c>
      <c r="W1677" t="str">
        <f>IF([2]Baskol!$E$1680="","",[2]Baskol!$E$1680)</f>
        <v/>
      </c>
      <c r="X1677" t="str">
        <f>IF([2]Baskol!$G$1680="","",[2]Baskol!$G$1680)</f>
        <v/>
      </c>
      <c r="Y1677" t="str">
        <f>IF([2]Baskol!$I$1680="","",[2]Baskol!$I$1680)</f>
        <v/>
      </c>
      <c r="Z1677" t="str">
        <f>IF([2]Baskol!$J$1680="","",[2]Baskol!$J$1680)</f>
        <v/>
      </c>
      <c r="AA1677" t="str">
        <f>IF([2]Baskol!$K$1680="","",[2]Baskol!$K$1680)</f>
        <v/>
      </c>
      <c r="AB1677" t="str">
        <f>IF([2]Baskol!$L$1680="","",[2]Baskol!$L$1680)</f>
        <v/>
      </c>
      <c r="AC1677" t="str">
        <f>IF([2]Baskol!$N$1680="","",[2]Baskol!$N$1680)</f>
        <v/>
      </c>
      <c r="AD1677" t="str">
        <f>IF([2]Baskol!$O$1680="","",[2]Baskol!$O$1680)</f>
        <v/>
      </c>
      <c r="AE1677" t="str">
        <f>IF([3]Entry!$C$1680="","",[3]Entry!$C$1680)</f>
        <v/>
      </c>
      <c r="AF1677" t="str">
        <f>IF([3]Entry!$D$1680="","",[3]Entry!$D$1680)</f>
        <v/>
      </c>
      <c r="AG1677" t="str">
        <f>IF([3]Entry!$E$1680="","",[3]Entry!$E$1680)</f>
        <v/>
      </c>
      <c r="AH1677" t="str">
        <f>IF([3]Entry!$G$1680="","",[3]Entry!$G$1680)</f>
        <v/>
      </c>
      <c r="AI1677" t="str">
        <f>IF([3]Entry!$K$1680="","",[3]Entry!$K$1680)</f>
        <v/>
      </c>
      <c r="AJ1677" t="str">
        <f>IF([3]Entry!$L$1680="","",[3]Entry!$L$1680)</f>
        <v/>
      </c>
      <c r="AK1677" t="str">
        <f>IF([3]Entry!$M$1680="","",[3]Entry!$M$1680)</f>
        <v/>
      </c>
      <c r="AL1677" t="str">
        <f>IF([3]Entry!$N$1680="","",[3]Entry!$N$1680)</f>
        <v/>
      </c>
      <c r="AM1677" t="str">
        <f>IF([3]Entry!$R$1680="","",[3]Entry!$R$1680)</f>
        <v/>
      </c>
    </row>
    <row r="1678" spans="20:39" x14ac:dyDescent="0.2">
      <c r="T1678" t="str">
        <f>IF([2]Baskol!$B$1681="","",[2]Baskol!$B$1681)</f>
        <v/>
      </c>
      <c r="U1678" t="str">
        <f>IF([2]Baskol!$C$1681="","",[2]Baskol!$C$1681)</f>
        <v/>
      </c>
      <c r="V1678" t="str">
        <f>IF([2]Baskol!$D$1681="","",[2]Baskol!$D$1681)</f>
        <v/>
      </c>
      <c r="W1678" t="str">
        <f>IF([2]Baskol!$E$1681="","",[2]Baskol!$E$1681)</f>
        <v/>
      </c>
      <c r="X1678" t="str">
        <f>IF([2]Baskol!$G$1681="","",[2]Baskol!$G$1681)</f>
        <v/>
      </c>
      <c r="Y1678" t="str">
        <f>IF([2]Baskol!$I$1681="","",[2]Baskol!$I$1681)</f>
        <v/>
      </c>
      <c r="Z1678" t="str">
        <f>IF([2]Baskol!$J$1681="","",[2]Baskol!$J$1681)</f>
        <v/>
      </c>
      <c r="AA1678" t="str">
        <f>IF([2]Baskol!$K$1681="","",[2]Baskol!$K$1681)</f>
        <v/>
      </c>
      <c r="AB1678" t="str">
        <f>IF([2]Baskol!$L$1681="","",[2]Baskol!$L$1681)</f>
        <v/>
      </c>
      <c r="AC1678" t="str">
        <f>IF([2]Baskol!$N$1681="","",[2]Baskol!$N$1681)</f>
        <v/>
      </c>
      <c r="AD1678" t="str">
        <f>IF([2]Baskol!$O$1681="","",[2]Baskol!$O$1681)</f>
        <v/>
      </c>
      <c r="AE1678" t="str">
        <f>IF([3]Entry!$C$1681="","",[3]Entry!$C$1681)</f>
        <v/>
      </c>
      <c r="AF1678" t="str">
        <f>IF([3]Entry!$D$1681="","",[3]Entry!$D$1681)</f>
        <v/>
      </c>
      <c r="AG1678" t="str">
        <f>IF([3]Entry!$E$1681="","",[3]Entry!$E$1681)</f>
        <v/>
      </c>
      <c r="AH1678" t="str">
        <f>IF([3]Entry!$G$1681="","",[3]Entry!$G$1681)</f>
        <v/>
      </c>
      <c r="AI1678" t="str">
        <f>IF([3]Entry!$K$1681="","",[3]Entry!$K$1681)</f>
        <v/>
      </c>
      <c r="AJ1678" t="str">
        <f>IF([3]Entry!$L$1681="","",[3]Entry!$L$1681)</f>
        <v/>
      </c>
      <c r="AK1678" t="str">
        <f>IF([3]Entry!$M$1681="","",[3]Entry!$M$1681)</f>
        <v/>
      </c>
      <c r="AL1678" t="str">
        <f>IF([3]Entry!$N$1681="","",[3]Entry!$N$1681)</f>
        <v/>
      </c>
      <c r="AM1678" t="str">
        <f>IF([3]Entry!$R$1681="","",[3]Entry!$R$1681)</f>
        <v/>
      </c>
    </row>
    <row r="1679" spans="20:39" x14ac:dyDescent="0.2">
      <c r="T1679" t="str">
        <f>IF([2]Baskol!$B$1682="","",[2]Baskol!$B$1682)</f>
        <v/>
      </c>
      <c r="U1679" t="str">
        <f>IF([2]Baskol!$C$1682="","",[2]Baskol!$C$1682)</f>
        <v/>
      </c>
      <c r="V1679" t="str">
        <f>IF([2]Baskol!$D$1682="","",[2]Baskol!$D$1682)</f>
        <v/>
      </c>
      <c r="W1679" t="str">
        <f>IF([2]Baskol!$E$1682="","",[2]Baskol!$E$1682)</f>
        <v/>
      </c>
      <c r="X1679" t="str">
        <f>IF([2]Baskol!$G$1682="","",[2]Baskol!$G$1682)</f>
        <v/>
      </c>
      <c r="Y1679" t="str">
        <f>IF([2]Baskol!$I$1682="","",[2]Baskol!$I$1682)</f>
        <v/>
      </c>
      <c r="Z1679" t="str">
        <f>IF([2]Baskol!$J$1682="","",[2]Baskol!$J$1682)</f>
        <v/>
      </c>
      <c r="AA1679" t="str">
        <f>IF([2]Baskol!$K$1682="","",[2]Baskol!$K$1682)</f>
        <v/>
      </c>
      <c r="AB1679" t="str">
        <f>IF([2]Baskol!$L$1682="","",[2]Baskol!$L$1682)</f>
        <v/>
      </c>
      <c r="AC1679" t="str">
        <f>IF([2]Baskol!$N$1682="","",[2]Baskol!$N$1682)</f>
        <v/>
      </c>
      <c r="AD1679" t="str">
        <f>IF([2]Baskol!$O$1682="","",[2]Baskol!$O$1682)</f>
        <v/>
      </c>
      <c r="AE1679" t="str">
        <f>IF([3]Entry!$C$1682="","",[3]Entry!$C$1682)</f>
        <v/>
      </c>
      <c r="AF1679" t="str">
        <f>IF([3]Entry!$D$1682="","",[3]Entry!$D$1682)</f>
        <v/>
      </c>
      <c r="AG1679" t="str">
        <f>IF([3]Entry!$E$1682="","",[3]Entry!$E$1682)</f>
        <v/>
      </c>
      <c r="AH1679" t="str">
        <f>IF([3]Entry!$G$1682="","",[3]Entry!$G$1682)</f>
        <v/>
      </c>
      <c r="AI1679" t="str">
        <f>IF([3]Entry!$K$1682="","",[3]Entry!$K$1682)</f>
        <v/>
      </c>
      <c r="AJ1679" t="str">
        <f>IF([3]Entry!$L$1682="","",[3]Entry!$L$1682)</f>
        <v/>
      </c>
      <c r="AK1679" t="str">
        <f>IF([3]Entry!$M$1682="","",[3]Entry!$M$1682)</f>
        <v/>
      </c>
      <c r="AL1679" t="str">
        <f>IF([3]Entry!$N$1682="","",[3]Entry!$N$1682)</f>
        <v/>
      </c>
      <c r="AM1679" t="str">
        <f>IF([3]Entry!$R$1682="","",[3]Entry!$R$1682)</f>
        <v/>
      </c>
    </row>
    <row r="1680" spans="20:39" x14ac:dyDescent="0.2">
      <c r="T1680" t="str">
        <f>IF([2]Baskol!$B$1683="","",[2]Baskol!$B$1683)</f>
        <v/>
      </c>
      <c r="U1680" t="str">
        <f>IF([2]Baskol!$C$1683="","",[2]Baskol!$C$1683)</f>
        <v/>
      </c>
      <c r="V1680" t="str">
        <f>IF([2]Baskol!$D$1683="","",[2]Baskol!$D$1683)</f>
        <v/>
      </c>
      <c r="W1680" t="str">
        <f>IF([2]Baskol!$E$1683="","",[2]Baskol!$E$1683)</f>
        <v/>
      </c>
      <c r="X1680" t="str">
        <f>IF([2]Baskol!$G$1683="","",[2]Baskol!$G$1683)</f>
        <v/>
      </c>
      <c r="Y1680" t="str">
        <f>IF([2]Baskol!$I$1683="","",[2]Baskol!$I$1683)</f>
        <v/>
      </c>
      <c r="Z1680" t="str">
        <f>IF([2]Baskol!$J$1683="","",[2]Baskol!$J$1683)</f>
        <v/>
      </c>
      <c r="AA1680" t="str">
        <f>IF([2]Baskol!$K$1683="","",[2]Baskol!$K$1683)</f>
        <v/>
      </c>
      <c r="AB1680" t="str">
        <f>IF([2]Baskol!$L$1683="","",[2]Baskol!$L$1683)</f>
        <v/>
      </c>
      <c r="AC1680" t="str">
        <f>IF([2]Baskol!$N$1683="","",[2]Baskol!$N$1683)</f>
        <v/>
      </c>
      <c r="AD1680" t="str">
        <f>IF([2]Baskol!$O$1683="","",[2]Baskol!$O$1683)</f>
        <v/>
      </c>
      <c r="AE1680" t="str">
        <f>IF([3]Entry!$C$1683="","",[3]Entry!$C$1683)</f>
        <v/>
      </c>
      <c r="AF1680" t="str">
        <f>IF([3]Entry!$D$1683="","",[3]Entry!$D$1683)</f>
        <v/>
      </c>
      <c r="AG1680" t="str">
        <f>IF([3]Entry!$E$1683="","",[3]Entry!$E$1683)</f>
        <v/>
      </c>
      <c r="AH1680" t="str">
        <f>IF([3]Entry!$G$1683="","",[3]Entry!$G$1683)</f>
        <v/>
      </c>
      <c r="AI1680" t="str">
        <f>IF([3]Entry!$K$1683="","",[3]Entry!$K$1683)</f>
        <v/>
      </c>
      <c r="AJ1680" t="str">
        <f>IF([3]Entry!$L$1683="","",[3]Entry!$L$1683)</f>
        <v/>
      </c>
      <c r="AK1680" t="str">
        <f>IF([3]Entry!$M$1683="","",[3]Entry!$M$1683)</f>
        <v/>
      </c>
      <c r="AL1680" t="str">
        <f>IF([3]Entry!$N$1683="","",[3]Entry!$N$1683)</f>
        <v/>
      </c>
      <c r="AM1680" t="str">
        <f>IF([3]Entry!$R$1683="","",[3]Entry!$R$1683)</f>
        <v/>
      </c>
    </row>
    <row r="1681" spans="20:39" x14ac:dyDescent="0.2">
      <c r="T1681" t="str">
        <f>IF([2]Baskol!$B$1684="","",[2]Baskol!$B$1684)</f>
        <v/>
      </c>
      <c r="U1681" t="str">
        <f>IF([2]Baskol!$C$1684="","",[2]Baskol!$C$1684)</f>
        <v/>
      </c>
      <c r="V1681" t="str">
        <f>IF([2]Baskol!$D$1684="","",[2]Baskol!$D$1684)</f>
        <v/>
      </c>
      <c r="W1681" t="str">
        <f>IF([2]Baskol!$E$1684="","",[2]Baskol!$E$1684)</f>
        <v/>
      </c>
      <c r="X1681" t="str">
        <f>IF([2]Baskol!$G$1684="","",[2]Baskol!$G$1684)</f>
        <v/>
      </c>
      <c r="Y1681" t="str">
        <f>IF([2]Baskol!$I$1684="","",[2]Baskol!$I$1684)</f>
        <v/>
      </c>
      <c r="Z1681" t="str">
        <f>IF([2]Baskol!$J$1684="","",[2]Baskol!$J$1684)</f>
        <v/>
      </c>
      <c r="AA1681" t="str">
        <f>IF([2]Baskol!$K$1684="","",[2]Baskol!$K$1684)</f>
        <v/>
      </c>
      <c r="AB1681" t="str">
        <f>IF([2]Baskol!$L$1684="","",[2]Baskol!$L$1684)</f>
        <v/>
      </c>
      <c r="AC1681" t="str">
        <f>IF([2]Baskol!$N$1684="","",[2]Baskol!$N$1684)</f>
        <v/>
      </c>
      <c r="AD1681" t="str">
        <f>IF([2]Baskol!$O$1684="","",[2]Baskol!$O$1684)</f>
        <v/>
      </c>
      <c r="AE1681" t="str">
        <f>IF([3]Entry!$C$1684="","",[3]Entry!$C$1684)</f>
        <v/>
      </c>
      <c r="AF1681" t="str">
        <f>IF([3]Entry!$D$1684="","",[3]Entry!$D$1684)</f>
        <v/>
      </c>
      <c r="AG1681" t="str">
        <f>IF([3]Entry!$E$1684="","",[3]Entry!$E$1684)</f>
        <v/>
      </c>
      <c r="AH1681" t="str">
        <f>IF([3]Entry!$G$1684="","",[3]Entry!$G$1684)</f>
        <v/>
      </c>
      <c r="AI1681" t="str">
        <f>IF([3]Entry!$K$1684="","",[3]Entry!$K$1684)</f>
        <v/>
      </c>
      <c r="AJ1681" t="str">
        <f>IF([3]Entry!$L$1684="","",[3]Entry!$L$1684)</f>
        <v/>
      </c>
      <c r="AK1681" t="str">
        <f>IF([3]Entry!$M$1684="","",[3]Entry!$M$1684)</f>
        <v/>
      </c>
      <c r="AL1681" t="str">
        <f>IF([3]Entry!$N$1684="","",[3]Entry!$N$1684)</f>
        <v/>
      </c>
      <c r="AM1681" t="str">
        <f>IF([3]Entry!$R$1684="","",[3]Entry!$R$1684)</f>
        <v/>
      </c>
    </row>
    <row r="1682" spans="20:39" x14ac:dyDescent="0.2">
      <c r="T1682" t="str">
        <f>IF([2]Baskol!$B$1685="","",[2]Baskol!$B$1685)</f>
        <v/>
      </c>
      <c r="U1682" t="str">
        <f>IF([2]Baskol!$C$1685="","",[2]Baskol!$C$1685)</f>
        <v/>
      </c>
      <c r="V1682" t="str">
        <f>IF([2]Baskol!$D$1685="","",[2]Baskol!$D$1685)</f>
        <v/>
      </c>
      <c r="W1682" t="str">
        <f>IF([2]Baskol!$E$1685="","",[2]Baskol!$E$1685)</f>
        <v/>
      </c>
      <c r="X1682" t="str">
        <f>IF([2]Baskol!$G$1685="","",[2]Baskol!$G$1685)</f>
        <v/>
      </c>
      <c r="Y1682" t="str">
        <f>IF([2]Baskol!$I$1685="","",[2]Baskol!$I$1685)</f>
        <v/>
      </c>
      <c r="Z1682" t="str">
        <f>IF([2]Baskol!$J$1685="","",[2]Baskol!$J$1685)</f>
        <v/>
      </c>
      <c r="AA1682" t="str">
        <f>IF([2]Baskol!$K$1685="","",[2]Baskol!$K$1685)</f>
        <v/>
      </c>
      <c r="AB1682" t="str">
        <f>IF([2]Baskol!$L$1685="","",[2]Baskol!$L$1685)</f>
        <v/>
      </c>
      <c r="AC1682" t="str">
        <f>IF([2]Baskol!$N$1685="","",[2]Baskol!$N$1685)</f>
        <v/>
      </c>
      <c r="AD1682" t="str">
        <f>IF([2]Baskol!$O$1685="","",[2]Baskol!$O$1685)</f>
        <v/>
      </c>
      <c r="AE1682" t="str">
        <f>IF([3]Entry!$C$1685="","",[3]Entry!$C$1685)</f>
        <v/>
      </c>
      <c r="AF1682" t="str">
        <f>IF([3]Entry!$D$1685="","",[3]Entry!$D$1685)</f>
        <v/>
      </c>
      <c r="AG1682" t="str">
        <f>IF([3]Entry!$E$1685="","",[3]Entry!$E$1685)</f>
        <v/>
      </c>
      <c r="AH1682" t="str">
        <f>IF([3]Entry!$G$1685="","",[3]Entry!$G$1685)</f>
        <v/>
      </c>
      <c r="AI1682" t="str">
        <f>IF([3]Entry!$K$1685="","",[3]Entry!$K$1685)</f>
        <v/>
      </c>
      <c r="AJ1682" t="str">
        <f>IF([3]Entry!$L$1685="","",[3]Entry!$L$1685)</f>
        <v/>
      </c>
      <c r="AK1682" t="str">
        <f>IF([3]Entry!$M$1685="","",[3]Entry!$M$1685)</f>
        <v/>
      </c>
      <c r="AL1682" t="str">
        <f>IF([3]Entry!$N$1685="","",[3]Entry!$N$1685)</f>
        <v/>
      </c>
      <c r="AM1682" t="str">
        <f>IF([3]Entry!$R$1685="","",[3]Entry!$R$1685)</f>
        <v/>
      </c>
    </row>
    <row r="1683" spans="20:39" x14ac:dyDescent="0.2">
      <c r="T1683" t="str">
        <f>IF([2]Baskol!$B$1686="","",[2]Baskol!$B$1686)</f>
        <v/>
      </c>
      <c r="U1683" t="str">
        <f>IF([2]Baskol!$C$1686="","",[2]Baskol!$C$1686)</f>
        <v/>
      </c>
      <c r="V1683" t="str">
        <f>IF([2]Baskol!$D$1686="","",[2]Baskol!$D$1686)</f>
        <v/>
      </c>
      <c r="W1683" t="str">
        <f>IF([2]Baskol!$E$1686="","",[2]Baskol!$E$1686)</f>
        <v/>
      </c>
      <c r="X1683" t="str">
        <f>IF([2]Baskol!$G$1686="","",[2]Baskol!$G$1686)</f>
        <v/>
      </c>
      <c r="Y1683" t="str">
        <f>IF([2]Baskol!$I$1686="","",[2]Baskol!$I$1686)</f>
        <v/>
      </c>
      <c r="Z1683" t="str">
        <f>IF([2]Baskol!$J$1686="","",[2]Baskol!$J$1686)</f>
        <v/>
      </c>
      <c r="AA1683" t="str">
        <f>IF([2]Baskol!$K$1686="","",[2]Baskol!$K$1686)</f>
        <v/>
      </c>
      <c r="AB1683" t="str">
        <f>IF([2]Baskol!$L$1686="","",[2]Baskol!$L$1686)</f>
        <v/>
      </c>
      <c r="AC1683" t="str">
        <f>IF([2]Baskol!$N$1686="","",[2]Baskol!$N$1686)</f>
        <v/>
      </c>
      <c r="AD1683" t="str">
        <f>IF([2]Baskol!$O$1686="","",[2]Baskol!$O$1686)</f>
        <v/>
      </c>
      <c r="AE1683" t="str">
        <f>IF([3]Entry!$C$1686="","",[3]Entry!$C$1686)</f>
        <v/>
      </c>
      <c r="AF1683" t="str">
        <f>IF([3]Entry!$D$1686="","",[3]Entry!$D$1686)</f>
        <v/>
      </c>
      <c r="AG1683" t="str">
        <f>IF([3]Entry!$E$1686="","",[3]Entry!$E$1686)</f>
        <v/>
      </c>
      <c r="AH1683" t="str">
        <f>IF([3]Entry!$G$1686="","",[3]Entry!$G$1686)</f>
        <v/>
      </c>
      <c r="AI1683" t="str">
        <f>IF([3]Entry!$K$1686="","",[3]Entry!$K$1686)</f>
        <v/>
      </c>
      <c r="AJ1683" t="str">
        <f>IF([3]Entry!$L$1686="","",[3]Entry!$L$1686)</f>
        <v/>
      </c>
      <c r="AK1683" t="str">
        <f>IF([3]Entry!$M$1686="","",[3]Entry!$M$1686)</f>
        <v/>
      </c>
      <c r="AL1683" t="str">
        <f>IF([3]Entry!$N$1686="","",[3]Entry!$N$1686)</f>
        <v/>
      </c>
      <c r="AM1683" t="str">
        <f>IF([3]Entry!$R$1686="","",[3]Entry!$R$1686)</f>
        <v/>
      </c>
    </row>
    <row r="1684" spans="20:39" x14ac:dyDescent="0.2">
      <c r="T1684" t="str">
        <f>IF([2]Baskol!$B$1687="","",[2]Baskol!$B$1687)</f>
        <v/>
      </c>
      <c r="U1684" t="str">
        <f>IF([2]Baskol!$C$1687="","",[2]Baskol!$C$1687)</f>
        <v/>
      </c>
      <c r="V1684" t="str">
        <f>IF([2]Baskol!$D$1687="","",[2]Baskol!$D$1687)</f>
        <v/>
      </c>
      <c r="W1684" t="str">
        <f>IF([2]Baskol!$E$1687="","",[2]Baskol!$E$1687)</f>
        <v/>
      </c>
      <c r="X1684" t="str">
        <f>IF([2]Baskol!$G$1687="","",[2]Baskol!$G$1687)</f>
        <v/>
      </c>
      <c r="Y1684" t="str">
        <f>IF([2]Baskol!$I$1687="","",[2]Baskol!$I$1687)</f>
        <v/>
      </c>
      <c r="Z1684" t="str">
        <f>IF([2]Baskol!$J$1687="","",[2]Baskol!$J$1687)</f>
        <v/>
      </c>
      <c r="AA1684" t="str">
        <f>IF([2]Baskol!$K$1687="","",[2]Baskol!$K$1687)</f>
        <v/>
      </c>
      <c r="AB1684" t="str">
        <f>IF([2]Baskol!$L$1687="","",[2]Baskol!$L$1687)</f>
        <v/>
      </c>
      <c r="AC1684" t="str">
        <f>IF([2]Baskol!$N$1687="","",[2]Baskol!$N$1687)</f>
        <v/>
      </c>
      <c r="AD1684" t="str">
        <f>IF([2]Baskol!$O$1687="","",[2]Baskol!$O$1687)</f>
        <v/>
      </c>
      <c r="AE1684" t="str">
        <f>IF([3]Entry!$C$1687="","",[3]Entry!$C$1687)</f>
        <v/>
      </c>
      <c r="AF1684" t="str">
        <f>IF([3]Entry!$D$1687="","",[3]Entry!$D$1687)</f>
        <v/>
      </c>
      <c r="AG1684" t="str">
        <f>IF([3]Entry!$E$1687="","",[3]Entry!$E$1687)</f>
        <v/>
      </c>
      <c r="AH1684" t="str">
        <f>IF([3]Entry!$G$1687="","",[3]Entry!$G$1687)</f>
        <v/>
      </c>
      <c r="AI1684" t="str">
        <f>IF([3]Entry!$K$1687="","",[3]Entry!$K$1687)</f>
        <v/>
      </c>
      <c r="AJ1684" t="str">
        <f>IF([3]Entry!$L$1687="","",[3]Entry!$L$1687)</f>
        <v/>
      </c>
      <c r="AK1684" t="str">
        <f>IF([3]Entry!$M$1687="","",[3]Entry!$M$1687)</f>
        <v/>
      </c>
      <c r="AL1684" t="str">
        <f>IF([3]Entry!$N$1687="","",[3]Entry!$N$1687)</f>
        <v/>
      </c>
      <c r="AM1684" t="str">
        <f>IF([3]Entry!$R$1687="","",[3]Entry!$R$1687)</f>
        <v/>
      </c>
    </row>
    <row r="1685" spans="20:39" x14ac:dyDescent="0.2">
      <c r="T1685" t="str">
        <f>IF([2]Baskol!$B$1688="","",[2]Baskol!$B$1688)</f>
        <v/>
      </c>
      <c r="U1685" t="str">
        <f>IF([2]Baskol!$C$1688="","",[2]Baskol!$C$1688)</f>
        <v/>
      </c>
      <c r="V1685" t="str">
        <f>IF([2]Baskol!$D$1688="","",[2]Baskol!$D$1688)</f>
        <v/>
      </c>
      <c r="W1685" t="str">
        <f>IF([2]Baskol!$E$1688="","",[2]Baskol!$E$1688)</f>
        <v/>
      </c>
      <c r="X1685" t="str">
        <f>IF([2]Baskol!$G$1688="","",[2]Baskol!$G$1688)</f>
        <v/>
      </c>
      <c r="Y1685" t="str">
        <f>IF([2]Baskol!$I$1688="","",[2]Baskol!$I$1688)</f>
        <v/>
      </c>
      <c r="Z1685" t="str">
        <f>IF([2]Baskol!$J$1688="","",[2]Baskol!$J$1688)</f>
        <v/>
      </c>
      <c r="AA1685" t="str">
        <f>IF([2]Baskol!$K$1688="","",[2]Baskol!$K$1688)</f>
        <v/>
      </c>
      <c r="AB1685" t="str">
        <f>IF([2]Baskol!$L$1688="","",[2]Baskol!$L$1688)</f>
        <v/>
      </c>
      <c r="AC1685" t="str">
        <f>IF([2]Baskol!$N$1688="","",[2]Baskol!$N$1688)</f>
        <v/>
      </c>
      <c r="AD1685" t="str">
        <f>IF([2]Baskol!$O$1688="","",[2]Baskol!$O$1688)</f>
        <v/>
      </c>
      <c r="AE1685" t="str">
        <f>IF([3]Entry!$C$1688="","",[3]Entry!$C$1688)</f>
        <v/>
      </c>
      <c r="AF1685" t="str">
        <f>IF([3]Entry!$D$1688="","",[3]Entry!$D$1688)</f>
        <v/>
      </c>
      <c r="AG1685" t="str">
        <f>IF([3]Entry!$E$1688="","",[3]Entry!$E$1688)</f>
        <v/>
      </c>
      <c r="AH1685" t="str">
        <f>IF([3]Entry!$G$1688="","",[3]Entry!$G$1688)</f>
        <v/>
      </c>
      <c r="AI1685" t="str">
        <f>IF([3]Entry!$K$1688="","",[3]Entry!$K$1688)</f>
        <v/>
      </c>
      <c r="AJ1685" t="str">
        <f>IF([3]Entry!$L$1688="","",[3]Entry!$L$1688)</f>
        <v/>
      </c>
      <c r="AK1685" t="str">
        <f>IF([3]Entry!$M$1688="","",[3]Entry!$M$1688)</f>
        <v/>
      </c>
      <c r="AL1685" t="str">
        <f>IF([3]Entry!$N$1688="","",[3]Entry!$N$1688)</f>
        <v/>
      </c>
      <c r="AM1685" t="str">
        <f>IF([3]Entry!$R$1688="","",[3]Entry!$R$1688)</f>
        <v/>
      </c>
    </row>
    <row r="1686" spans="20:39" x14ac:dyDescent="0.2">
      <c r="T1686" t="str">
        <f>IF([2]Baskol!$B$1689="","",[2]Baskol!$B$1689)</f>
        <v/>
      </c>
      <c r="U1686" t="str">
        <f>IF([2]Baskol!$C$1689="","",[2]Baskol!$C$1689)</f>
        <v/>
      </c>
      <c r="V1686" t="str">
        <f>IF([2]Baskol!$D$1689="","",[2]Baskol!$D$1689)</f>
        <v/>
      </c>
      <c r="W1686" t="str">
        <f>IF([2]Baskol!$E$1689="","",[2]Baskol!$E$1689)</f>
        <v/>
      </c>
      <c r="X1686" t="str">
        <f>IF([2]Baskol!$G$1689="","",[2]Baskol!$G$1689)</f>
        <v/>
      </c>
      <c r="Y1686" t="str">
        <f>IF([2]Baskol!$I$1689="","",[2]Baskol!$I$1689)</f>
        <v/>
      </c>
      <c r="Z1686" t="str">
        <f>IF([2]Baskol!$J$1689="","",[2]Baskol!$J$1689)</f>
        <v/>
      </c>
      <c r="AA1686" t="str">
        <f>IF([2]Baskol!$K$1689="","",[2]Baskol!$K$1689)</f>
        <v/>
      </c>
      <c r="AB1686" t="str">
        <f>IF([2]Baskol!$L$1689="","",[2]Baskol!$L$1689)</f>
        <v/>
      </c>
      <c r="AC1686" t="str">
        <f>IF([2]Baskol!$N$1689="","",[2]Baskol!$N$1689)</f>
        <v/>
      </c>
      <c r="AD1686" t="str">
        <f>IF([2]Baskol!$O$1689="","",[2]Baskol!$O$1689)</f>
        <v/>
      </c>
      <c r="AE1686" t="str">
        <f>IF([3]Entry!$C$1689="","",[3]Entry!$C$1689)</f>
        <v/>
      </c>
      <c r="AF1686" t="str">
        <f>IF([3]Entry!$D$1689="","",[3]Entry!$D$1689)</f>
        <v/>
      </c>
      <c r="AG1686" t="str">
        <f>IF([3]Entry!$E$1689="","",[3]Entry!$E$1689)</f>
        <v/>
      </c>
      <c r="AH1686" t="str">
        <f>IF([3]Entry!$G$1689="","",[3]Entry!$G$1689)</f>
        <v/>
      </c>
      <c r="AI1686" t="str">
        <f>IF([3]Entry!$K$1689="","",[3]Entry!$K$1689)</f>
        <v/>
      </c>
      <c r="AJ1686" t="str">
        <f>IF([3]Entry!$L$1689="","",[3]Entry!$L$1689)</f>
        <v/>
      </c>
      <c r="AK1686" t="str">
        <f>IF([3]Entry!$M$1689="","",[3]Entry!$M$1689)</f>
        <v/>
      </c>
      <c r="AL1686" t="str">
        <f>IF([3]Entry!$N$1689="","",[3]Entry!$N$1689)</f>
        <v/>
      </c>
      <c r="AM1686" t="str">
        <f>IF([3]Entry!$R$1689="","",[3]Entry!$R$1689)</f>
        <v/>
      </c>
    </row>
    <row r="1687" spans="20:39" x14ac:dyDescent="0.2">
      <c r="T1687" t="str">
        <f>IF([2]Baskol!$B$1690="","",[2]Baskol!$B$1690)</f>
        <v/>
      </c>
      <c r="U1687" t="str">
        <f>IF([2]Baskol!$C$1690="","",[2]Baskol!$C$1690)</f>
        <v/>
      </c>
      <c r="V1687" t="str">
        <f>IF([2]Baskol!$D$1690="","",[2]Baskol!$D$1690)</f>
        <v/>
      </c>
      <c r="W1687" t="str">
        <f>IF([2]Baskol!$E$1690="","",[2]Baskol!$E$1690)</f>
        <v/>
      </c>
      <c r="X1687" t="str">
        <f>IF([2]Baskol!$G$1690="","",[2]Baskol!$G$1690)</f>
        <v/>
      </c>
      <c r="Y1687" t="str">
        <f>IF([2]Baskol!$I$1690="","",[2]Baskol!$I$1690)</f>
        <v/>
      </c>
      <c r="Z1687" t="str">
        <f>IF([2]Baskol!$J$1690="","",[2]Baskol!$J$1690)</f>
        <v/>
      </c>
      <c r="AA1687" t="str">
        <f>IF([2]Baskol!$K$1690="","",[2]Baskol!$K$1690)</f>
        <v/>
      </c>
      <c r="AB1687" t="str">
        <f>IF([2]Baskol!$L$1690="","",[2]Baskol!$L$1690)</f>
        <v/>
      </c>
      <c r="AC1687" t="str">
        <f>IF([2]Baskol!$N$1690="","",[2]Baskol!$N$1690)</f>
        <v/>
      </c>
      <c r="AD1687" t="str">
        <f>IF([2]Baskol!$O$1690="","",[2]Baskol!$O$1690)</f>
        <v/>
      </c>
      <c r="AE1687" t="str">
        <f>IF([3]Entry!$C$1690="","",[3]Entry!$C$1690)</f>
        <v/>
      </c>
      <c r="AF1687" t="str">
        <f>IF([3]Entry!$D$1690="","",[3]Entry!$D$1690)</f>
        <v/>
      </c>
      <c r="AG1687" t="str">
        <f>IF([3]Entry!$E$1690="","",[3]Entry!$E$1690)</f>
        <v/>
      </c>
      <c r="AH1687" t="str">
        <f>IF([3]Entry!$G$1690="","",[3]Entry!$G$1690)</f>
        <v/>
      </c>
      <c r="AI1687" t="str">
        <f>IF([3]Entry!$K$1690="","",[3]Entry!$K$1690)</f>
        <v/>
      </c>
      <c r="AJ1687" t="str">
        <f>IF([3]Entry!$L$1690="","",[3]Entry!$L$1690)</f>
        <v/>
      </c>
      <c r="AK1687" t="str">
        <f>IF([3]Entry!$M$1690="","",[3]Entry!$M$1690)</f>
        <v/>
      </c>
      <c r="AL1687" t="str">
        <f>IF([3]Entry!$N$1690="","",[3]Entry!$N$1690)</f>
        <v/>
      </c>
      <c r="AM1687" t="str">
        <f>IF([3]Entry!$R$1690="","",[3]Entry!$R$1690)</f>
        <v/>
      </c>
    </row>
    <row r="1688" spans="20:39" x14ac:dyDescent="0.2">
      <c r="T1688" t="str">
        <f>IF([2]Baskol!$B$1691="","",[2]Baskol!$B$1691)</f>
        <v/>
      </c>
      <c r="U1688" t="str">
        <f>IF([2]Baskol!$C$1691="","",[2]Baskol!$C$1691)</f>
        <v/>
      </c>
      <c r="V1688" t="str">
        <f>IF([2]Baskol!$D$1691="","",[2]Baskol!$D$1691)</f>
        <v/>
      </c>
      <c r="W1688" t="str">
        <f>IF([2]Baskol!$E$1691="","",[2]Baskol!$E$1691)</f>
        <v/>
      </c>
      <c r="X1688" t="str">
        <f>IF([2]Baskol!$G$1691="","",[2]Baskol!$G$1691)</f>
        <v/>
      </c>
      <c r="Y1688" t="str">
        <f>IF([2]Baskol!$I$1691="","",[2]Baskol!$I$1691)</f>
        <v/>
      </c>
      <c r="Z1688" t="str">
        <f>IF([2]Baskol!$J$1691="","",[2]Baskol!$J$1691)</f>
        <v/>
      </c>
      <c r="AA1688" t="str">
        <f>IF([2]Baskol!$K$1691="","",[2]Baskol!$K$1691)</f>
        <v/>
      </c>
      <c r="AB1688" t="str">
        <f>IF([2]Baskol!$L$1691="","",[2]Baskol!$L$1691)</f>
        <v/>
      </c>
      <c r="AC1688" t="str">
        <f>IF([2]Baskol!$N$1691="","",[2]Baskol!$N$1691)</f>
        <v/>
      </c>
      <c r="AD1688" t="str">
        <f>IF([2]Baskol!$O$1691="","",[2]Baskol!$O$1691)</f>
        <v/>
      </c>
      <c r="AE1688" t="str">
        <f>IF([3]Entry!$C$1691="","",[3]Entry!$C$1691)</f>
        <v/>
      </c>
      <c r="AF1688" t="str">
        <f>IF([3]Entry!$D$1691="","",[3]Entry!$D$1691)</f>
        <v/>
      </c>
      <c r="AG1688" t="str">
        <f>IF([3]Entry!$E$1691="","",[3]Entry!$E$1691)</f>
        <v/>
      </c>
      <c r="AH1688" t="str">
        <f>IF([3]Entry!$G$1691="","",[3]Entry!$G$1691)</f>
        <v/>
      </c>
      <c r="AI1688" t="str">
        <f>IF([3]Entry!$K$1691="","",[3]Entry!$K$1691)</f>
        <v/>
      </c>
      <c r="AJ1688" t="str">
        <f>IF([3]Entry!$L$1691="","",[3]Entry!$L$1691)</f>
        <v/>
      </c>
      <c r="AK1688" t="str">
        <f>IF([3]Entry!$M$1691="","",[3]Entry!$M$1691)</f>
        <v/>
      </c>
      <c r="AL1688" t="str">
        <f>IF([3]Entry!$N$1691="","",[3]Entry!$N$1691)</f>
        <v/>
      </c>
      <c r="AM1688" t="str">
        <f>IF([3]Entry!$R$1691="","",[3]Entry!$R$1691)</f>
        <v/>
      </c>
    </row>
    <row r="1689" spans="20:39" x14ac:dyDescent="0.2">
      <c r="T1689" t="str">
        <f>IF([2]Baskol!$B$1692="","",[2]Baskol!$B$1692)</f>
        <v/>
      </c>
      <c r="U1689" t="str">
        <f>IF([2]Baskol!$C$1692="","",[2]Baskol!$C$1692)</f>
        <v/>
      </c>
      <c r="V1689" t="str">
        <f>IF([2]Baskol!$D$1692="","",[2]Baskol!$D$1692)</f>
        <v/>
      </c>
      <c r="W1689" t="str">
        <f>IF([2]Baskol!$E$1692="","",[2]Baskol!$E$1692)</f>
        <v/>
      </c>
      <c r="X1689" t="str">
        <f>IF([2]Baskol!$G$1692="","",[2]Baskol!$G$1692)</f>
        <v/>
      </c>
      <c r="Y1689" t="str">
        <f>IF([2]Baskol!$I$1692="","",[2]Baskol!$I$1692)</f>
        <v/>
      </c>
      <c r="Z1689" t="str">
        <f>IF([2]Baskol!$J$1692="","",[2]Baskol!$J$1692)</f>
        <v/>
      </c>
      <c r="AA1689" t="str">
        <f>IF([2]Baskol!$K$1692="","",[2]Baskol!$K$1692)</f>
        <v/>
      </c>
      <c r="AB1689" t="str">
        <f>IF([2]Baskol!$L$1692="","",[2]Baskol!$L$1692)</f>
        <v/>
      </c>
      <c r="AC1689" t="str">
        <f>IF([2]Baskol!$N$1692="","",[2]Baskol!$N$1692)</f>
        <v/>
      </c>
      <c r="AD1689" t="str">
        <f>IF([2]Baskol!$O$1692="","",[2]Baskol!$O$1692)</f>
        <v/>
      </c>
      <c r="AE1689" t="str">
        <f>IF([3]Entry!$C$1692="","",[3]Entry!$C$1692)</f>
        <v/>
      </c>
      <c r="AF1689" t="str">
        <f>IF([3]Entry!$D$1692="","",[3]Entry!$D$1692)</f>
        <v/>
      </c>
      <c r="AG1689" t="str">
        <f>IF([3]Entry!$E$1692="","",[3]Entry!$E$1692)</f>
        <v/>
      </c>
      <c r="AH1689" t="str">
        <f>IF([3]Entry!$G$1692="","",[3]Entry!$G$1692)</f>
        <v/>
      </c>
      <c r="AI1689" t="str">
        <f>IF([3]Entry!$K$1692="","",[3]Entry!$K$1692)</f>
        <v/>
      </c>
      <c r="AJ1689" t="str">
        <f>IF([3]Entry!$L$1692="","",[3]Entry!$L$1692)</f>
        <v/>
      </c>
      <c r="AK1689" t="str">
        <f>IF([3]Entry!$M$1692="","",[3]Entry!$M$1692)</f>
        <v/>
      </c>
      <c r="AL1689" t="str">
        <f>IF([3]Entry!$N$1692="","",[3]Entry!$N$1692)</f>
        <v/>
      </c>
      <c r="AM1689" t="str">
        <f>IF([3]Entry!$R$1692="","",[3]Entry!$R$1692)</f>
        <v/>
      </c>
    </row>
    <row r="1690" spans="20:39" x14ac:dyDescent="0.2">
      <c r="T1690" t="str">
        <f>IF([2]Baskol!$B$1693="","",[2]Baskol!$B$1693)</f>
        <v/>
      </c>
      <c r="U1690" t="str">
        <f>IF([2]Baskol!$C$1693="","",[2]Baskol!$C$1693)</f>
        <v/>
      </c>
      <c r="V1690" t="str">
        <f>IF([2]Baskol!$D$1693="","",[2]Baskol!$D$1693)</f>
        <v/>
      </c>
      <c r="W1690" t="str">
        <f>IF([2]Baskol!$E$1693="","",[2]Baskol!$E$1693)</f>
        <v/>
      </c>
      <c r="X1690" t="str">
        <f>IF([2]Baskol!$G$1693="","",[2]Baskol!$G$1693)</f>
        <v/>
      </c>
      <c r="Y1690" t="str">
        <f>IF([2]Baskol!$I$1693="","",[2]Baskol!$I$1693)</f>
        <v/>
      </c>
      <c r="Z1690" t="str">
        <f>IF([2]Baskol!$J$1693="","",[2]Baskol!$J$1693)</f>
        <v/>
      </c>
      <c r="AA1690" t="str">
        <f>IF([2]Baskol!$K$1693="","",[2]Baskol!$K$1693)</f>
        <v/>
      </c>
      <c r="AB1690" t="str">
        <f>IF([2]Baskol!$L$1693="","",[2]Baskol!$L$1693)</f>
        <v/>
      </c>
      <c r="AC1690" t="str">
        <f>IF([2]Baskol!$N$1693="","",[2]Baskol!$N$1693)</f>
        <v/>
      </c>
      <c r="AD1690" t="str">
        <f>IF([2]Baskol!$O$1693="","",[2]Baskol!$O$1693)</f>
        <v/>
      </c>
      <c r="AE1690" t="str">
        <f>IF([3]Entry!$C$1693="","",[3]Entry!$C$1693)</f>
        <v/>
      </c>
      <c r="AF1690" t="str">
        <f>IF([3]Entry!$D$1693="","",[3]Entry!$D$1693)</f>
        <v/>
      </c>
      <c r="AG1690" t="str">
        <f>IF([3]Entry!$E$1693="","",[3]Entry!$E$1693)</f>
        <v/>
      </c>
      <c r="AH1690" t="str">
        <f>IF([3]Entry!$G$1693="","",[3]Entry!$G$1693)</f>
        <v/>
      </c>
      <c r="AI1690" t="str">
        <f>IF([3]Entry!$K$1693="","",[3]Entry!$K$1693)</f>
        <v/>
      </c>
      <c r="AJ1690" t="str">
        <f>IF([3]Entry!$L$1693="","",[3]Entry!$L$1693)</f>
        <v/>
      </c>
      <c r="AK1690" t="str">
        <f>IF([3]Entry!$M$1693="","",[3]Entry!$M$1693)</f>
        <v/>
      </c>
      <c r="AL1690" t="str">
        <f>IF([3]Entry!$N$1693="","",[3]Entry!$N$1693)</f>
        <v/>
      </c>
      <c r="AM1690" t="str">
        <f>IF([3]Entry!$R$1693="","",[3]Entry!$R$1693)</f>
        <v/>
      </c>
    </row>
    <row r="1691" spans="20:39" x14ac:dyDescent="0.2">
      <c r="T1691" t="str">
        <f>IF([2]Baskol!$B$1694="","",[2]Baskol!$B$1694)</f>
        <v/>
      </c>
      <c r="U1691" t="str">
        <f>IF([2]Baskol!$C$1694="","",[2]Baskol!$C$1694)</f>
        <v/>
      </c>
      <c r="V1691" t="str">
        <f>IF([2]Baskol!$D$1694="","",[2]Baskol!$D$1694)</f>
        <v/>
      </c>
      <c r="W1691" t="str">
        <f>IF([2]Baskol!$E$1694="","",[2]Baskol!$E$1694)</f>
        <v/>
      </c>
      <c r="X1691" t="str">
        <f>IF([2]Baskol!$G$1694="","",[2]Baskol!$G$1694)</f>
        <v/>
      </c>
      <c r="Y1691" t="str">
        <f>IF([2]Baskol!$I$1694="","",[2]Baskol!$I$1694)</f>
        <v/>
      </c>
      <c r="Z1691" t="str">
        <f>IF([2]Baskol!$J$1694="","",[2]Baskol!$J$1694)</f>
        <v/>
      </c>
      <c r="AA1691" t="str">
        <f>IF([2]Baskol!$K$1694="","",[2]Baskol!$K$1694)</f>
        <v/>
      </c>
      <c r="AB1691" t="str">
        <f>IF([2]Baskol!$L$1694="","",[2]Baskol!$L$1694)</f>
        <v/>
      </c>
      <c r="AC1691" t="str">
        <f>IF([2]Baskol!$N$1694="","",[2]Baskol!$N$1694)</f>
        <v/>
      </c>
      <c r="AD1691" t="str">
        <f>IF([2]Baskol!$O$1694="","",[2]Baskol!$O$1694)</f>
        <v/>
      </c>
      <c r="AE1691" t="str">
        <f>IF([3]Entry!$C$1694="","",[3]Entry!$C$1694)</f>
        <v/>
      </c>
      <c r="AF1691" t="str">
        <f>IF([3]Entry!$D$1694="","",[3]Entry!$D$1694)</f>
        <v/>
      </c>
      <c r="AG1691" t="str">
        <f>IF([3]Entry!$E$1694="","",[3]Entry!$E$1694)</f>
        <v/>
      </c>
      <c r="AH1691" t="str">
        <f>IF([3]Entry!$G$1694="","",[3]Entry!$G$1694)</f>
        <v/>
      </c>
      <c r="AI1691" t="str">
        <f>IF([3]Entry!$K$1694="","",[3]Entry!$K$1694)</f>
        <v/>
      </c>
      <c r="AJ1691" t="str">
        <f>IF([3]Entry!$L$1694="","",[3]Entry!$L$1694)</f>
        <v/>
      </c>
      <c r="AK1691" t="str">
        <f>IF([3]Entry!$M$1694="","",[3]Entry!$M$1694)</f>
        <v/>
      </c>
      <c r="AL1691" t="str">
        <f>IF([3]Entry!$N$1694="","",[3]Entry!$N$1694)</f>
        <v/>
      </c>
      <c r="AM1691" t="str">
        <f>IF([3]Entry!$R$1694="","",[3]Entry!$R$1694)</f>
        <v/>
      </c>
    </row>
    <row r="1692" spans="20:39" x14ac:dyDescent="0.2">
      <c r="T1692" t="str">
        <f>IF([2]Baskol!$B$1695="","",[2]Baskol!$B$1695)</f>
        <v/>
      </c>
      <c r="U1692" t="str">
        <f>IF([2]Baskol!$C$1695="","",[2]Baskol!$C$1695)</f>
        <v/>
      </c>
      <c r="V1692" t="str">
        <f>IF([2]Baskol!$D$1695="","",[2]Baskol!$D$1695)</f>
        <v/>
      </c>
      <c r="W1692" t="str">
        <f>IF([2]Baskol!$E$1695="","",[2]Baskol!$E$1695)</f>
        <v/>
      </c>
      <c r="X1692" t="str">
        <f>IF([2]Baskol!$G$1695="","",[2]Baskol!$G$1695)</f>
        <v/>
      </c>
      <c r="Y1692" t="str">
        <f>IF([2]Baskol!$I$1695="","",[2]Baskol!$I$1695)</f>
        <v/>
      </c>
      <c r="Z1692" t="str">
        <f>IF([2]Baskol!$J$1695="","",[2]Baskol!$J$1695)</f>
        <v/>
      </c>
      <c r="AA1692" t="str">
        <f>IF([2]Baskol!$K$1695="","",[2]Baskol!$K$1695)</f>
        <v/>
      </c>
      <c r="AB1692" t="str">
        <f>IF([2]Baskol!$L$1695="","",[2]Baskol!$L$1695)</f>
        <v/>
      </c>
      <c r="AC1692" t="str">
        <f>IF([2]Baskol!$N$1695="","",[2]Baskol!$N$1695)</f>
        <v/>
      </c>
      <c r="AD1692" t="str">
        <f>IF([2]Baskol!$O$1695="","",[2]Baskol!$O$1695)</f>
        <v/>
      </c>
      <c r="AE1692" t="str">
        <f>IF([3]Entry!$C$1695="","",[3]Entry!$C$1695)</f>
        <v/>
      </c>
      <c r="AF1692" t="str">
        <f>IF([3]Entry!$D$1695="","",[3]Entry!$D$1695)</f>
        <v/>
      </c>
      <c r="AG1692" t="str">
        <f>IF([3]Entry!$E$1695="","",[3]Entry!$E$1695)</f>
        <v/>
      </c>
      <c r="AH1692" t="str">
        <f>IF([3]Entry!$G$1695="","",[3]Entry!$G$1695)</f>
        <v/>
      </c>
      <c r="AI1692" t="str">
        <f>IF([3]Entry!$K$1695="","",[3]Entry!$K$1695)</f>
        <v/>
      </c>
      <c r="AJ1692" t="str">
        <f>IF([3]Entry!$L$1695="","",[3]Entry!$L$1695)</f>
        <v/>
      </c>
      <c r="AK1692" t="str">
        <f>IF([3]Entry!$M$1695="","",[3]Entry!$M$1695)</f>
        <v/>
      </c>
      <c r="AL1692" t="str">
        <f>IF([3]Entry!$N$1695="","",[3]Entry!$N$1695)</f>
        <v/>
      </c>
      <c r="AM1692" t="str">
        <f>IF([3]Entry!$R$1695="","",[3]Entry!$R$1695)</f>
        <v/>
      </c>
    </row>
    <row r="1693" spans="20:39" x14ac:dyDescent="0.2">
      <c r="T1693" t="str">
        <f>IF([2]Baskol!$B$1696="","",[2]Baskol!$B$1696)</f>
        <v/>
      </c>
      <c r="U1693" t="str">
        <f>IF([2]Baskol!$C$1696="","",[2]Baskol!$C$1696)</f>
        <v/>
      </c>
      <c r="V1693" t="str">
        <f>IF([2]Baskol!$D$1696="","",[2]Baskol!$D$1696)</f>
        <v/>
      </c>
      <c r="W1693" t="str">
        <f>IF([2]Baskol!$E$1696="","",[2]Baskol!$E$1696)</f>
        <v/>
      </c>
      <c r="X1693" t="str">
        <f>IF([2]Baskol!$G$1696="","",[2]Baskol!$G$1696)</f>
        <v/>
      </c>
      <c r="Y1693" t="str">
        <f>IF([2]Baskol!$I$1696="","",[2]Baskol!$I$1696)</f>
        <v/>
      </c>
      <c r="Z1693" t="str">
        <f>IF([2]Baskol!$J$1696="","",[2]Baskol!$J$1696)</f>
        <v/>
      </c>
      <c r="AA1693" t="str">
        <f>IF([2]Baskol!$K$1696="","",[2]Baskol!$K$1696)</f>
        <v/>
      </c>
      <c r="AB1693" t="str">
        <f>IF([2]Baskol!$L$1696="","",[2]Baskol!$L$1696)</f>
        <v/>
      </c>
      <c r="AC1693" t="str">
        <f>IF([2]Baskol!$N$1696="","",[2]Baskol!$N$1696)</f>
        <v/>
      </c>
      <c r="AD1693" t="str">
        <f>IF([2]Baskol!$O$1696="","",[2]Baskol!$O$1696)</f>
        <v/>
      </c>
      <c r="AE1693" t="str">
        <f>IF([3]Entry!$C$1696="","",[3]Entry!$C$1696)</f>
        <v/>
      </c>
      <c r="AF1693" t="str">
        <f>IF([3]Entry!$D$1696="","",[3]Entry!$D$1696)</f>
        <v/>
      </c>
      <c r="AG1693" t="str">
        <f>IF([3]Entry!$E$1696="","",[3]Entry!$E$1696)</f>
        <v/>
      </c>
      <c r="AH1693" t="str">
        <f>IF([3]Entry!$G$1696="","",[3]Entry!$G$1696)</f>
        <v/>
      </c>
      <c r="AI1693" t="str">
        <f>IF([3]Entry!$K$1696="","",[3]Entry!$K$1696)</f>
        <v/>
      </c>
      <c r="AJ1693" t="str">
        <f>IF([3]Entry!$L$1696="","",[3]Entry!$L$1696)</f>
        <v/>
      </c>
      <c r="AK1693" t="str">
        <f>IF([3]Entry!$M$1696="","",[3]Entry!$M$1696)</f>
        <v/>
      </c>
      <c r="AL1693" t="str">
        <f>IF([3]Entry!$N$1696="","",[3]Entry!$N$1696)</f>
        <v/>
      </c>
      <c r="AM1693" t="str">
        <f>IF([3]Entry!$R$1696="","",[3]Entry!$R$1696)</f>
        <v/>
      </c>
    </row>
    <row r="1694" spans="20:39" x14ac:dyDescent="0.2">
      <c r="T1694" t="str">
        <f>IF([2]Baskol!$B$1697="","",[2]Baskol!$B$1697)</f>
        <v/>
      </c>
      <c r="U1694" t="str">
        <f>IF([2]Baskol!$C$1697="","",[2]Baskol!$C$1697)</f>
        <v/>
      </c>
      <c r="V1694" t="str">
        <f>IF([2]Baskol!$D$1697="","",[2]Baskol!$D$1697)</f>
        <v/>
      </c>
      <c r="W1694" t="str">
        <f>IF([2]Baskol!$E$1697="","",[2]Baskol!$E$1697)</f>
        <v/>
      </c>
      <c r="X1694" t="str">
        <f>IF([2]Baskol!$G$1697="","",[2]Baskol!$G$1697)</f>
        <v/>
      </c>
      <c r="Y1694" t="str">
        <f>IF([2]Baskol!$I$1697="","",[2]Baskol!$I$1697)</f>
        <v/>
      </c>
      <c r="Z1694" t="str">
        <f>IF([2]Baskol!$J$1697="","",[2]Baskol!$J$1697)</f>
        <v/>
      </c>
      <c r="AA1694" t="str">
        <f>IF([2]Baskol!$K$1697="","",[2]Baskol!$K$1697)</f>
        <v/>
      </c>
      <c r="AB1694" t="str">
        <f>IF([2]Baskol!$L$1697="","",[2]Baskol!$L$1697)</f>
        <v/>
      </c>
      <c r="AC1694" t="str">
        <f>IF([2]Baskol!$N$1697="","",[2]Baskol!$N$1697)</f>
        <v/>
      </c>
      <c r="AD1694" t="str">
        <f>IF([2]Baskol!$O$1697="","",[2]Baskol!$O$1697)</f>
        <v/>
      </c>
      <c r="AE1694" t="str">
        <f>IF([3]Entry!$C$1697="","",[3]Entry!$C$1697)</f>
        <v/>
      </c>
      <c r="AF1694" t="str">
        <f>IF([3]Entry!$D$1697="","",[3]Entry!$D$1697)</f>
        <v/>
      </c>
      <c r="AG1694" t="str">
        <f>IF([3]Entry!$E$1697="","",[3]Entry!$E$1697)</f>
        <v/>
      </c>
      <c r="AH1694" t="str">
        <f>IF([3]Entry!$G$1697="","",[3]Entry!$G$1697)</f>
        <v/>
      </c>
      <c r="AI1694" t="str">
        <f>IF([3]Entry!$K$1697="","",[3]Entry!$K$1697)</f>
        <v/>
      </c>
      <c r="AJ1694" t="str">
        <f>IF([3]Entry!$L$1697="","",[3]Entry!$L$1697)</f>
        <v/>
      </c>
      <c r="AK1694" t="str">
        <f>IF([3]Entry!$M$1697="","",[3]Entry!$M$1697)</f>
        <v/>
      </c>
      <c r="AL1694" t="str">
        <f>IF([3]Entry!$N$1697="","",[3]Entry!$N$1697)</f>
        <v/>
      </c>
      <c r="AM1694" t="str">
        <f>IF([3]Entry!$R$1697="","",[3]Entry!$R$1697)</f>
        <v/>
      </c>
    </row>
    <row r="1695" spans="20:39" x14ac:dyDescent="0.2">
      <c r="T1695" t="str">
        <f>IF([2]Baskol!$B$1698="","",[2]Baskol!$B$1698)</f>
        <v/>
      </c>
      <c r="U1695" t="str">
        <f>IF([2]Baskol!$C$1698="","",[2]Baskol!$C$1698)</f>
        <v/>
      </c>
      <c r="V1695" t="str">
        <f>IF([2]Baskol!$D$1698="","",[2]Baskol!$D$1698)</f>
        <v/>
      </c>
      <c r="W1695" t="str">
        <f>IF([2]Baskol!$E$1698="","",[2]Baskol!$E$1698)</f>
        <v/>
      </c>
      <c r="X1695" t="str">
        <f>IF([2]Baskol!$G$1698="","",[2]Baskol!$G$1698)</f>
        <v/>
      </c>
      <c r="Y1695" t="str">
        <f>IF([2]Baskol!$I$1698="","",[2]Baskol!$I$1698)</f>
        <v/>
      </c>
      <c r="Z1695" t="str">
        <f>IF([2]Baskol!$J$1698="","",[2]Baskol!$J$1698)</f>
        <v/>
      </c>
      <c r="AA1695" t="str">
        <f>IF([2]Baskol!$K$1698="","",[2]Baskol!$K$1698)</f>
        <v/>
      </c>
      <c r="AB1695" t="str">
        <f>IF([2]Baskol!$L$1698="","",[2]Baskol!$L$1698)</f>
        <v/>
      </c>
      <c r="AC1695" t="str">
        <f>IF([2]Baskol!$N$1698="","",[2]Baskol!$N$1698)</f>
        <v/>
      </c>
      <c r="AD1695" t="str">
        <f>IF([2]Baskol!$O$1698="","",[2]Baskol!$O$1698)</f>
        <v/>
      </c>
      <c r="AE1695" t="str">
        <f>IF([3]Entry!$C$1698="","",[3]Entry!$C$1698)</f>
        <v/>
      </c>
      <c r="AF1695" t="str">
        <f>IF([3]Entry!$D$1698="","",[3]Entry!$D$1698)</f>
        <v/>
      </c>
      <c r="AG1695" t="str">
        <f>IF([3]Entry!$E$1698="","",[3]Entry!$E$1698)</f>
        <v/>
      </c>
      <c r="AH1695" t="str">
        <f>IF([3]Entry!$G$1698="","",[3]Entry!$G$1698)</f>
        <v/>
      </c>
      <c r="AI1695" t="str">
        <f>IF([3]Entry!$K$1698="","",[3]Entry!$K$1698)</f>
        <v/>
      </c>
      <c r="AJ1695" t="str">
        <f>IF([3]Entry!$L$1698="","",[3]Entry!$L$1698)</f>
        <v/>
      </c>
      <c r="AK1695" t="str">
        <f>IF([3]Entry!$M$1698="","",[3]Entry!$M$1698)</f>
        <v/>
      </c>
      <c r="AL1695" t="str">
        <f>IF([3]Entry!$N$1698="","",[3]Entry!$N$1698)</f>
        <v/>
      </c>
      <c r="AM1695" t="str">
        <f>IF([3]Entry!$R$1698="","",[3]Entry!$R$1698)</f>
        <v/>
      </c>
    </row>
    <row r="1696" spans="20:39" x14ac:dyDescent="0.2">
      <c r="T1696" t="str">
        <f>IF([2]Baskol!$B$1699="","",[2]Baskol!$B$1699)</f>
        <v/>
      </c>
      <c r="U1696" t="str">
        <f>IF([2]Baskol!$C$1699="","",[2]Baskol!$C$1699)</f>
        <v/>
      </c>
      <c r="V1696" t="str">
        <f>IF([2]Baskol!$D$1699="","",[2]Baskol!$D$1699)</f>
        <v/>
      </c>
      <c r="W1696" t="str">
        <f>IF([2]Baskol!$E$1699="","",[2]Baskol!$E$1699)</f>
        <v/>
      </c>
      <c r="X1696" t="str">
        <f>IF([2]Baskol!$G$1699="","",[2]Baskol!$G$1699)</f>
        <v/>
      </c>
      <c r="Y1696" t="str">
        <f>IF([2]Baskol!$I$1699="","",[2]Baskol!$I$1699)</f>
        <v/>
      </c>
      <c r="Z1696" t="str">
        <f>IF([2]Baskol!$J$1699="","",[2]Baskol!$J$1699)</f>
        <v/>
      </c>
      <c r="AA1696" t="str">
        <f>IF([2]Baskol!$K$1699="","",[2]Baskol!$K$1699)</f>
        <v/>
      </c>
      <c r="AB1696" t="str">
        <f>IF([2]Baskol!$L$1699="","",[2]Baskol!$L$1699)</f>
        <v/>
      </c>
      <c r="AC1696" t="str">
        <f>IF([2]Baskol!$N$1699="","",[2]Baskol!$N$1699)</f>
        <v/>
      </c>
      <c r="AD1696" t="str">
        <f>IF([2]Baskol!$O$1699="","",[2]Baskol!$O$1699)</f>
        <v/>
      </c>
      <c r="AE1696" t="str">
        <f>IF([3]Entry!$C$1699="","",[3]Entry!$C$1699)</f>
        <v/>
      </c>
      <c r="AF1696" t="str">
        <f>IF([3]Entry!$D$1699="","",[3]Entry!$D$1699)</f>
        <v/>
      </c>
      <c r="AG1696" t="str">
        <f>IF([3]Entry!$E$1699="","",[3]Entry!$E$1699)</f>
        <v/>
      </c>
      <c r="AH1696" t="str">
        <f>IF([3]Entry!$G$1699="","",[3]Entry!$G$1699)</f>
        <v/>
      </c>
      <c r="AI1696" t="str">
        <f>IF([3]Entry!$K$1699="","",[3]Entry!$K$1699)</f>
        <v/>
      </c>
      <c r="AJ1696" t="str">
        <f>IF([3]Entry!$L$1699="","",[3]Entry!$L$1699)</f>
        <v/>
      </c>
      <c r="AK1696" t="str">
        <f>IF([3]Entry!$M$1699="","",[3]Entry!$M$1699)</f>
        <v/>
      </c>
      <c r="AL1696" t="str">
        <f>IF([3]Entry!$N$1699="","",[3]Entry!$N$1699)</f>
        <v/>
      </c>
      <c r="AM1696" t="str">
        <f>IF([3]Entry!$R$1699="","",[3]Entry!$R$1699)</f>
        <v/>
      </c>
    </row>
    <row r="1697" spans="20:39" x14ac:dyDescent="0.2">
      <c r="T1697" t="str">
        <f>IF([2]Baskol!$B$1700="","",[2]Baskol!$B$1700)</f>
        <v/>
      </c>
      <c r="U1697" t="str">
        <f>IF([2]Baskol!$C$1700="","",[2]Baskol!$C$1700)</f>
        <v/>
      </c>
      <c r="V1697" t="str">
        <f>IF([2]Baskol!$D$1700="","",[2]Baskol!$D$1700)</f>
        <v/>
      </c>
      <c r="W1697" t="str">
        <f>IF([2]Baskol!$E$1700="","",[2]Baskol!$E$1700)</f>
        <v/>
      </c>
      <c r="X1697" t="str">
        <f>IF([2]Baskol!$G$1700="","",[2]Baskol!$G$1700)</f>
        <v/>
      </c>
      <c r="Y1697" t="str">
        <f>IF([2]Baskol!$I$1700="","",[2]Baskol!$I$1700)</f>
        <v/>
      </c>
      <c r="Z1697" t="str">
        <f>IF([2]Baskol!$J$1700="","",[2]Baskol!$J$1700)</f>
        <v/>
      </c>
      <c r="AA1697" t="str">
        <f>IF([2]Baskol!$K$1700="","",[2]Baskol!$K$1700)</f>
        <v/>
      </c>
      <c r="AB1697" t="str">
        <f>IF([2]Baskol!$L$1700="","",[2]Baskol!$L$1700)</f>
        <v/>
      </c>
      <c r="AC1697" t="str">
        <f>IF([2]Baskol!$N$1700="","",[2]Baskol!$N$1700)</f>
        <v/>
      </c>
      <c r="AD1697" t="str">
        <f>IF([2]Baskol!$O$1700="","",[2]Baskol!$O$1700)</f>
        <v/>
      </c>
      <c r="AE1697" t="str">
        <f>IF([3]Entry!$C$1700="","",[3]Entry!$C$1700)</f>
        <v/>
      </c>
      <c r="AF1697" t="str">
        <f>IF([3]Entry!$D$1700="","",[3]Entry!$D$1700)</f>
        <v/>
      </c>
      <c r="AG1697" t="str">
        <f>IF([3]Entry!$E$1700="","",[3]Entry!$E$1700)</f>
        <v/>
      </c>
      <c r="AH1697" t="str">
        <f>IF([3]Entry!$G$1700="","",[3]Entry!$G$1700)</f>
        <v/>
      </c>
      <c r="AI1697" t="str">
        <f>IF([3]Entry!$K$1700="","",[3]Entry!$K$1700)</f>
        <v/>
      </c>
      <c r="AJ1697" t="str">
        <f>IF([3]Entry!$L$1700="","",[3]Entry!$L$1700)</f>
        <v/>
      </c>
      <c r="AK1697" t="str">
        <f>IF([3]Entry!$M$1700="","",[3]Entry!$M$1700)</f>
        <v/>
      </c>
      <c r="AL1697" t="str">
        <f>IF([3]Entry!$N$1700="","",[3]Entry!$N$1700)</f>
        <v/>
      </c>
      <c r="AM1697" t="str">
        <f>IF([3]Entry!$R$1700="","",[3]Entry!$R$1700)</f>
        <v/>
      </c>
    </row>
    <row r="1698" spans="20:39" x14ac:dyDescent="0.2">
      <c r="T1698" t="str">
        <f>IF([2]Baskol!$B$1701="","",[2]Baskol!$B$1701)</f>
        <v/>
      </c>
      <c r="U1698" t="str">
        <f>IF([2]Baskol!$C$1701="","",[2]Baskol!$C$1701)</f>
        <v/>
      </c>
      <c r="V1698" t="str">
        <f>IF([2]Baskol!$D$1701="","",[2]Baskol!$D$1701)</f>
        <v/>
      </c>
      <c r="W1698" t="str">
        <f>IF([2]Baskol!$E$1701="","",[2]Baskol!$E$1701)</f>
        <v/>
      </c>
      <c r="X1698" t="str">
        <f>IF([2]Baskol!$G$1701="","",[2]Baskol!$G$1701)</f>
        <v/>
      </c>
      <c r="Y1698" t="str">
        <f>IF([2]Baskol!$I$1701="","",[2]Baskol!$I$1701)</f>
        <v/>
      </c>
      <c r="Z1698" t="str">
        <f>IF([2]Baskol!$J$1701="","",[2]Baskol!$J$1701)</f>
        <v/>
      </c>
      <c r="AA1698" t="str">
        <f>IF([2]Baskol!$K$1701="","",[2]Baskol!$K$1701)</f>
        <v/>
      </c>
      <c r="AB1698" t="str">
        <f>IF([2]Baskol!$L$1701="","",[2]Baskol!$L$1701)</f>
        <v/>
      </c>
      <c r="AC1698" t="str">
        <f>IF([2]Baskol!$N$1701="","",[2]Baskol!$N$1701)</f>
        <v/>
      </c>
      <c r="AD1698" t="str">
        <f>IF([2]Baskol!$O$1701="","",[2]Baskol!$O$1701)</f>
        <v/>
      </c>
      <c r="AE1698" t="str">
        <f>IF([3]Entry!$C$1701="","",[3]Entry!$C$1701)</f>
        <v/>
      </c>
      <c r="AF1698" t="str">
        <f>IF([3]Entry!$D$1701="","",[3]Entry!$D$1701)</f>
        <v/>
      </c>
      <c r="AG1698" t="str">
        <f>IF([3]Entry!$E$1701="","",[3]Entry!$E$1701)</f>
        <v/>
      </c>
      <c r="AH1698" t="str">
        <f>IF([3]Entry!$G$1701="","",[3]Entry!$G$1701)</f>
        <v/>
      </c>
      <c r="AI1698" t="str">
        <f>IF([3]Entry!$K$1701="","",[3]Entry!$K$1701)</f>
        <v/>
      </c>
      <c r="AJ1698" t="str">
        <f>IF([3]Entry!$L$1701="","",[3]Entry!$L$1701)</f>
        <v/>
      </c>
      <c r="AK1698" t="str">
        <f>IF([3]Entry!$M$1701="","",[3]Entry!$M$1701)</f>
        <v/>
      </c>
      <c r="AL1698" t="str">
        <f>IF([3]Entry!$N$1701="","",[3]Entry!$N$1701)</f>
        <v/>
      </c>
      <c r="AM1698" t="str">
        <f>IF([3]Entry!$R$1701="","",[3]Entry!$R$1701)</f>
        <v/>
      </c>
    </row>
    <row r="1699" spans="20:39" x14ac:dyDescent="0.2">
      <c r="T1699" t="str">
        <f>IF([2]Baskol!$B$1702="","",[2]Baskol!$B$1702)</f>
        <v/>
      </c>
      <c r="U1699" t="str">
        <f>IF([2]Baskol!$C$1702="","",[2]Baskol!$C$1702)</f>
        <v/>
      </c>
      <c r="V1699" t="str">
        <f>IF([2]Baskol!$D$1702="","",[2]Baskol!$D$1702)</f>
        <v/>
      </c>
      <c r="W1699" t="str">
        <f>IF([2]Baskol!$E$1702="","",[2]Baskol!$E$1702)</f>
        <v/>
      </c>
      <c r="X1699" t="str">
        <f>IF([2]Baskol!$G$1702="","",[2]Baskol!$G$1702)</f>
        <v/>
      </c>
      <c r="Y1699" t="str">
        <f>IF([2]Baskol!$I$1702="","",[2]Baskol!$I$1702)</f>
        <v/>
      </c>
      <c r="Z1699" t="str">
        <f>IF([2]Baskol!$J$1702="","",[2]Baskol!$J$1702)</f>
        <v/>
      </c>
      <c r="AA1699" t="str">
        <f>IF([2]Baskol!$K$1702="","",[2]Baskol!$K$1702)</f>
        <v/>
      </c>
      <c r="AB1699" t="str">
        <f>IF([2]Baskol!$L$1702="","",[2]Baskol!$L$1702)</f>
        <v/>
      </c>
      <c r="AC1699" t="str">
        <f>IF([2]Baskol!$N$1702="","",[2]Baskol!$N$1702)</f>
        <v/>
      </c>
      <c r="AD1699" t="str">
        <f>IF([2]Baskol!$O$1702="","",[2]Baskol!$O$1702)</f>
        <v/>
      </c>
      <c r="AE1699" t="str">
        <f>IF([3]Entry!$C$1702="","",[3]Entry!$C$1702)</f>
        <v/>
      </c>
      <c r="AF1699" t="str">
        <f>IF([3]Entry!$D$1702="","",[3]Entry!$D$1702)</f>
        <v/>
      </c>
      <c r="AG1699" t="str">
        <f>IF([3]Entry!$E$1702="","",[3]Entry!$E$1702)</f>
        <v/>
      </c>
      <c r="AH1699" t="str">
        <f>IF([3]Entry!$G$1702="","",[3]Entry!$G$1702)</f>
        <v/>
      </c>
      <c r="AI1699" t="str">
        <f>IF([3]Entry!$K$1702="","",[3]Entry!$K$1702)</f>
        <v/>
      </c>
      <c r="AJ1699" t="str">
        <f>IF([3]Entry!$L$1702="","",[3]Entry!$L$1702)</f>
        <v/>
      </c>
      <c r="AK1699" t="str">
        <f>IF([3]Entry!$M$1702="","",[3]Entry!$M$1702)</f>
        <v/>
      </c>
      <c r="AL1699" t="str">
        <f>IF([3]Entry!$N$1702="","",[3]Entry!$N$1702)</f>
        <v/>
      </c>
      <c r="AM1699" t="str">
        <f>IF([3]Entry!$R$1702="","",[3]Entry!$R$1702)</f>
        <v/>
      </c>
    </row>
    <row r="1700" spans="20:39" x14ac:dyDescent="0.2">
      <c r="T1700" t="str">
        <f>IF([2]Baskol!$B$1703="","",[2]Baskol!$B$1703)</f>
        <v/>
      </c>
      <c r="U1700" t="str">
        <f>IF([2]Baskol!$C$1703="","",[2]Baskol!$C$1703)</f>
        <v/>
      </c>
      <c r="V1700" t="str">
        <f>IF([2]Baskol!$D$1703="","",[2]Baskol!$D$1703)</f>
        <v/>
      </c>
      <c r="W1700" t="str">
        <f>IF([2]Baskol!$E$1703="","",[2]Baskol!$E$1703)</f>
        <v/>
      </c>
      <c r="X1700" t="str">
        <f>IF([2]Baskol!$G$1703="","",[2]Baskol!$G$1703)</f>
        <v/>
      </c>
      <c r="Y1700" t="str">
        <f>IF([2]Baskol!$I$1703="","",[2]Baskol!$I$1703)</f>
        <v/>
      </c>
      <c r="Z1700" t="str">
        <f>IF([2]Baskol!$J$1703="","",[2]Baskol!$J$1703)</f>
        <v/>
      </c>
      <c r="AA1700" t="str">
        <f>IF([2]Baskol!$K$1703="","",[2]Baskol!$K$1703)</f>
        <v/>
      </c>
      <c r="AB1700" t="str">
        <f>IF([2]Baskol!$L$1703="","",[2]Baskol!$L$1703)</f>
        <v/>
      </c>
      <c r="AC1700" t="str">
        <f>IF([2]Baskol!$N$1703="","",[2]Baskol!$N$1703)</f>
        <v/>
      </c>
      <c r="AD1700" t="str">
        <f>IF([2]Baskol!$O$1703="","",[2]Baskol!$O$1703)</f>
        <v/>
      </c>
      <c r="AE1700" t="str">
        <f>IF([3]Entry!$C$1703="","",[3]Entry!$C$1703)</f>
        <v/>
      </c>
      <c r="AF1700" t="str">
        <f>IF([3]Entry!$D$1703="","",[3]Entry!$D$1703)</f>
        <v/>
      </c>
      <c r="AG1700" t="str">
        <f>IF([3]Entry!$E$1703="","",[3]Entry!$E$1703)</f>
        <v/>
      </c>
      <c r="AH1700" t="str">
        <f>IF([3]Entry!$G$1703="","",[3]Entry!$G$1703)</f>
        <v/>
      </c>
      <c r="AI1700" t="str">
        <f>IF([3]Entry!$K$1703="","",[3]Entry!$K$1703)</f>
        <v/>
      </c>
      <c r="AJ1700" t="str">
        <f>IF([3]Entry!$L$1703="","",[3]Entry!$L$1703)</f>
        <v/>
      </c>
      <c r="AK1700" t="str">
        <f>IF([3]Entry!$M$1703="","",[3]Entry!$M$1703)</f>
        <v/>
      </c>
      <c r="AL1700" t="str">
        <f>IF([3]Entry!$N$1703="","",[3]Entry!$N$1703)</f>
        <v/>
      </c>
      <c r="AM1700" t="str">
        <f>IF([3]Entry!$R$1703="","",[3]Entry!$R$1703)</f>
        <v/>
      </c>
    </row>
    <row r="1701" spans="20:39" x14ac:dyDescent="0.2">
      <c r="T1701" t="str">
        <f>IF([2]Baskol!$B$1704="","",[2]Baskol!$B$1704)</f>
        <v/>
      </c>
      <c r="U1701" t="str">
        <f>IF([2]Baskol!$C$1704="","",[2]Baskol!$C$1704)</f>
        <v/>
      </c>
      <c r="V1701" t="str">
        <f>IF([2]Baskol!$D$1704="","",[2]Baskol!$D$1704)</f>
        <v/>
      </c>
      <c r="W1701" t="str">
        <f>IF([2]Baskol!$E$1704="","",[2]Baskol!$E$1704)</f>
        <v/>
      </c>
      <c r="X1701" t="str">
        <f>IF([2]Baskol!$G$1704="","",[2]Baskol!$G$1704)</f>
        <v/>
      </c>
      <c r="Y1701" t="str">
        <f>IF([2]Baskol!$I$1704="","",[2]Baskol!$I$1704)</f>
        <v/>
      </c>
      <c r="Z1701" t="str">
        <f>IF([2]Baskol!$J$1704="","",[2]Baskol!$J$1704)</f>
        <v/>
      </c>
      <c r="AA1701" t="str">
        <f>IF([2]Baskol!$K$1704="","",[2]Baskol!$K$1704)</f>
        <v/>
      </c>
      <c r="AB1701" t="str">
        <f>IF([2]Baskol!$L$1704="","",[2]Baskol!$L$1704)</f>
        <v/>
      </c>
      <c r="AC1701" t="str">
        <f>IF([2]Baskol!$N$1704="","",[2]Baskol!$N$1704)</f>
        <v/>
      </c>
      <c r="AD1701" t="str">
        <f>IF([2]Baskol!$O$1704="","",[2]Baskol!$O$1704)</f>
        <v/>
      </c>
      <c r="AE1701" t="str">
        <f>IF([3]Entry!$C$1704="","",[3]Entry!$C$1704)</f>
        <v/>
      </c>
      <c r="AF1701" t="str">
        <f>IF([3]Entry!$D$1704="","",[3]Entry!$D$1704)</f>
        <v/>
      </c>
      <c r="AG1701" t="str">
        <f>IF([3]Entry!$E$1704="","",[3]Entry!$E$1704)</f>
        <v/>
      </c>
      <c r="AH1701" t="str">
        <f>IF([3]Entry!$G$1704="","",[3]Entry!$G$1704)</f>
        <v/>
      </c>
      <c r="AI1701" t="str">
        <f>IF([3]Entry!$K$1704="","",[3]Entry!$K$1704)</f>
        <v/>
      </c>
      <c r="AJ1701" t="str">
        <f>IF([3]Entry!$L$1704="","",[3]Entry!$L$1704)</f>
        <v/>
      </c>
      <c r="AK1701" t="str">
        <f>IF([3]Entry!$M$1704="","",[3]Entry!$M$1704)</f>
        <v/>
      </c>
      <c r="AL1701" t="str">
        <f>IF([3]Entry!$N$1704="","",[3]Entry!$N$1704)</f>
        <v/>
      </c>
      <c r="AM1701" t="str">
        <f>IF([3]Entry!$R$1704="","",[3]Entry!$R$1704)</f>
        <v/>
      </c>
    </row>
    <row r="1702" spans="20:39" x14ac:dyDescent="0.2">
      <c r="T1702" t="str">
        <f>IF([2]Baskol!$B$1705="","",[2]Baskol!$B$1705)</f>
        <v/>
      </c>
      <c r="U1702" t="str">
        <f>IF([2]Baskol!$C$1705="","",[2]Baskol!$C$1705)</f>
        <v/>
      </c>
      <c r="V1702" t="str">
        <f>IF([2]Baskol!$D$1705="","",[2]Baskol!$D$1705)</f>
        <v/>
      </c>
      <c r="W1702" t="str">
        <f>IF([2]Baskol!$E$1705="","",[2]Baskol!$E$1705)</f>
        <v/>
      </c>
      <c r="X1702" t="str">
        <f>IF([2]Baskol!$G$1705="","",[2]Baskol!$G$1705)</f>
        <v/>
      </c>
      <c r="Y1702" t="str">
        <f>IF([2]Baskol!$I$1705="","",[2]Baskol!$I$1705)</f>
        <v/>
      </c>
      <c r="Z1702" t="str">
        <f>IF([2]Baskol!$J$1705="","",[2]Baskol!$J$1705)</f>
        <v/>
      </c>
      <c r="AA1702" t="str">
        <f>IF([2]Baskol!$K$1705="","",[2]Baskol!$K$1705)</f>
        <v/>
      </c>
      <c r="AB1702" t="str">
        <f>IF([2]Baskol!$L$1705="","",[2]Baskol!$L$1705)</f>
        <v/>
      </c>
      <c r="AC1702" t="str">
        <f>IF([2]Baskol!$N$1705="","",[2]Baskol!$N$1705)</f>
        <v/>
      </c>
      <c r="AD1702" t="str">
        <f>IF([2]Baskol!$O$1705="","",[2]Baskol!$O$1705)</f>
        <v/>
      </c>
      <c r="AE1702" t="str">
        <f>IF([3]Entry!$C$1705="","",[3]Entry!$C$1705)</f>
        <v/>
      </c>
      <c r="AF1702" t="str">
        <f>IF([3]Entry!$D$1705="","",[3]Entry!$D$1705)</f>
        <v/>
      </c>
      <c r="AG1702" t="str">
        <f>IF([3]Entry!$E$1705="","",[3]Entry!$E$1705)</f>
        <v/>
      </c>
      <c r="AH1702" t="str">
        <f>IF([3]Entry!$G$1705="","",[3]Entry!$G$1705)</f>
        <v/>
      </c>
      <c r="AI1702" t="str">
        <f>IF([3]Entry!$K$1705="","",[3]Entry!$K$1705)</f>
        <v/>
      </c>
      <c r="AJ1702" t="str">
        <f>IF([3]Entry!$L$1705="","",[3]Entry!$L$1705)</f>
        <v/>
      </c>
      <c r="AK1702" t="str">
        <f>IF([3]Entry!$M$1705="","",[3]Entry!$M$1705)</f>
        <v/>
      </c>
      <c r="AL1702" t="str">
        <f>IF([3]Entry!$N$1705="","",[3]Entry!$N$1705)</f>
        <v/>
      </c>
      <c r="AM1702" t="str">
        <f>IF([3]Entry!$R$1705="","",[3]Entry!$R$1705)</f>
        <v/>
      </c>
    </row>
    <row r="1703" spans="20:39" x14ac:dyDescent="0.2">
      <c r="T1703" t="str">
        <f>IF([2]Baskol!$B$1706="","",[2]Baskol!$B$1706)</f>
        <v/>
      </c>
      <c r="U1703" t="str">
        <f>IF([2]Baskol!$C$1706="","",[2]Baskol!$C$1706)</f>
        <v/>
      </c>
      <c r="V1703" t="str">
        <f>IF([2]Baskol!$D$1706="","",[2]Baskol!$D$1706)</f>
        <v/>
      </c>
      <c r="W1703" t="str">
        <f>IF([2]Baskol!$E$1706="","",[2]Baskol!$E$1706)</f>
        <v/>
      </c>
      <c r="X1703" t="str">
        <f>IF([2]Baskol!$G$1706="","",[2]Baskol!$G$1706)</f>
        <v/>
      </c>
      <c r="Y1703" t="str">
        <f>IF([2]Baskol!$I$1706="","",[2]Baskol!$I$1706)</f>
        <v/>
      </c>
      <c r="Z1703" t="str">
        <f>IF([2]Baskol!$J$1706="","",[2]Baskol!$J$1706)</f>
        <v/>
      </c>
      <c r="AA1703" t="str">
        <f>IF([2]Baskol!$K$1706="","",[2]Baskol!$K$1706)</f>
        <v/>
      </c>
      <c r="AB1703" t="str">
        <f>IF([2]Baskol!$L$1706="","",[2]Baskol!$L$1706)</f>
        <v/>
      </c>
      <c r="AC1703" t="str">
        <f>IF([2]Baskol!$N$1706="","",[2]Baskol!$N$1706)</f>
        <v/>
      </c>
      <c r="AD1703" t="str">
        <f>IF([2]Baskol!$O$1706="","",[2]Baskol!$O$1706)</f>
        <v/>
      </c>
      <c r="AE1703" t="str">
        <f>IF([3]Entry!$C$1706="","",[3]Entry!$C$1706)</f>
        <v/>
      </c>
      <c r="AF1703" t="str">
        <f>IF([3]Entry!$D$1706="","",[3]Entry!$D$1706)</f>
        <v/>
      </c>
      <c r="AG1703" t="str">
        <f>IF([3]Entry!$E$1706="","",[3]Entry!$E$1706)</f>
        <v/>
      </c>
      <c r="AH1703" t="str">
        <f>IF([3]Entry!$G$1706="","",[3]Entry!$G$1706)</f>
        <v/>
      </c>
      <c r="AI1703" t="str">
        <f>IF([3]Entry!$K$1706="","",[3]Entry!$K$1706)</f>
        <v/>
      </c>
      <c r="AJ1703" t="str">
        <f>IF([3]Entry!$L$1706="","",[3]Entry!$L$1706)</f>
        <v/>
      </c>
      <c r="AK1703" t="str">
        <f>IF([3]Entry!$M$1706="","",[3]Entry!$M$1706)</f>
        <v/>
      </c>
      <c r="AL1703" t="str">
        <f>IF([3]Entry!$N$1706="","",[3]Entry!$N$1706)</f>
        <v/>
      </c>
      <c r="AM1703" t="str">
        <f>IF([3]Entry!$R$1706="","",[3]Entry!$R$1706)</f>
        <v/>
      </c>
    </row>
    <row r="1704" spans="20:39" x14ac:dyDescent="0.2">
      <c r="T1704" t="str">
        <f>IF([2]Baskol!$B$1707="","",[2]Baskol!$B$1707)</f>
        <v/>
      </c>
      <c r="U1704" t="str">
        <f>IF([2]Baskol!$C$1707="","",[2]Baskol!$C$1707)</f>
        <v/>
      </c>
      <c r="V1704" t="str">
        <f>IF([2]Baskol!$D$1707="","",[2]Baskol!$D$1707)</f>
        <v/>
      </c>
      <c r="W1704" t="str">
        <f>IF([2]Baskol!$E$1707="","",[2]Baskol!$E$1707)</f>
        <v/>
      </c>
      <c r="X1704" t="str">
        <f>IF([2]Baskol!$G$1707="","",[2]Baskol!$G$1707)</f>
        <v/>
      </c>
      <c r="Y1704" t="str">
        <f>IF([2]Baskol!$I$1707="","",[2]Baskol!$I$1707)</f>
        <v/>
      </c>
      <c r="Z1704" t="str">
        <f>IF([2]Baskol!$J$1707="","",[2]Baskol!$J$1707)</f>
        <v/>
      </c>
      <c r="AA1704" t="str">
        <f>IF([2]Baskol!$K$1707="","",[2]Baskol!$K$1707)</f>
        <v/>
      </c>
      <c r="AB1704" t="str">
        <f>IF([2]Baskol!$L$1707="","",[2]Baskol!$L$1707)</f>
        <v/>
      </c>
      <c r="AC1704" t="str">
        <f>IF([2]Baskol!$N$1707="","",[2]Baskol!$N$1707)</f>
        <v/>
      </c>
      <c r="AD1704" t="str">
        <f>IF([2]Baskol!$O$1707="","",[2]Baskol!$O$1707)</f>
        <v/>
      </c>
      <c r="AE1704" t="str">
        <f>IF([3]Entry!$C$1707="","",[3]Entry!$C$1707)</f>
        <v/>
      </c>
      <c r="AF1704" t="str">
        <f>IF([3]Entry!$D$1707="","",[3]Entry!$D$1707)</f>
        <v/>
      </c>
      <c r="AG1704" t="str">
        <f>IF([3]Entry!$E$1707="","",[3]Entry!$E$1707)</f>
        <v/>
      </c>
      <c r="AH1704" t="str">
        <f>IF([3]Entry!$G$1707="","",[3]Entry!$G$1707)</f>
        <v/>
      </c>
      <c r="AI1704" t="str">
        <f>IF([3]Entry!$K$1707="","",[3]Entry!$K$1707)</f>
        <v/>
      </c>
      <c r="AJ1704" t="str">
        <f>IF([3]Entry!$L$1707="","",[3]Entry!$L$1707)</f>
        <v/>
      </c>
      <c r="AK1704" t="str">
        <f>IF([3]Entry!$M$1707="","",[3]Entry!$M$1707)</f>
        <v/>
      </c>
      <c r="AL1704" t="str">
        <f>IF([3]Entry!$N$1707="","",[3]Entry!$N$1707)</f>
        <v/>
      </c>
      <c r="AM1704" t="str">
        <f>IF([3]Entry!$R$1707="","",[3]Entry!$R$1707)</f>
        <v/>
      </c>
    </row>
    <row r="1705" spans="20:39" x14ac:dyDescent="0.2">
      <c r="T1705" t="str">
        <f>IF([2]Baskol!$B$1708="","",[2]Baskol!$B$1708)</f>
        <v/>
      </c>
      <c r="U1705" t="str">
        <f>IF([2]Baskol!$C$1708="","",[2]Baskol!$C$1708)</f>
        <v/>
      </c>
      <c r="V1705" t="str">
        <f>IF([2]Baskol!$D$1708="","",[2]Baskol!$D$1708)</f>
        <v/>
      </c>
      <c r="W1705" t="str">
        <f>IF([2]Baskol!$E$1708="","",[2]Baskol!$E$1708)</f>
        <v/>
      </c>
      <c r="X1705" t="str">
        <f>IF([2]Baskol!$G$1708="","",[2]Baskol!$G$1708)</f>
        <v/>
      </c>
      <c r="Y1705" t="str">
        <f>IF([2]Baskol!$I$1708="","",[2]Baskol!$I$1708)</f>
        <v/>
      </c>
      <c r="Z1705" t="str">
        <f>IF([2]Baskol!$J$1708="","",[2]Baskol!$J$1708)</f>
        <v/>
      </c>
      <c r="AA1705" t="str">
        <f>IF([2]Baskol!$K$1708="","",[2]Baskol!$K$1708)</f>
        <v/>
      </c>
      <c r="AB1705" t="str">
        <f>IF([2]Baskol!$L$1708="","",[2]Baskol!$L$1708)</f>
        <v/>
      </c>
      <c r="AC1705" t="str">
        <f>IF([2]Baskol!$N$1708="","",[2]Baskol!$N$1708)</f>
        <v/>
      </c>
      <c r="AD1705" t="str">
        <f>IF([2]Baskol!$O$1708="","",[2]Baskol!$O$1708)</f>
        <v/>
      </c>
      <c r="AE1705" t="str">
        <f>IF([3]Entry!$C$1708="","",[3]Entry!$C$1708)</f>
        <v/>
      </c>
      <c r="AF1705" t="str">
        <f>IF([3]Entry!$D$1708="","",[3]Entry!$D$1708)</f>
        <v/>
      </c>
      <c r="AG1705" t="str">
        <f>IF([3]Entry!$E$1708="","",[3]Entry!$E$1708)</f>
        <v/>
      </c>
      <c r="AH1705" t="str">
        <f>IF([3]Entry!$G$1708="","",[3]Entry!$G$1708)</f>
        <v/>
      </c>
      <c r="AI1705" t="str">
        <f>IF([3]Entry!$K$1708="","",[3]Entry!$K$1708)</f>
        <v/>
      </c>
      <c r="AJ1705" t="str">
        <f>IF([3]Entry!$L$1708="","",[3]Entry!$L$1708)</f>
        <v/>
      </c>
      <c r="AK1705" t="str">
        <f>IF([3]Entry!$M$1708="","",[3]Entry!$M$1708)</f>
        <v/>
      </c>
      <c r="AL1705" t="str">
        <f>IF([3]Entry!$N$1708="","",[3]Entry!$N$1708)</f>
        <v/>
      </c>
      <c r="AM1705" t="str">
        <f>IF([3]Entry!$R$1708="","",[3]Entry!$R$1708)</f>
        <v/>
      </c>
    </row>
    <row r="1706" spans="20:39" x14ac:dyDescent="0.2">
      <c r="T1706" t="str">
        <f>IF([2]Baskol!$B$1709="","",[2]Baskol!$B$1709)</f>
        <v/>
      </c>
      <c r="U1706" t="str">
        <f>IF([2]Baskol!$C$1709="","",[2]Baskol!$C$1709)</f>
        <v/>
      </c>
      <c r="V1706" t="str">
        <f>IF([2]Baskol!$D$1709="","",[2]Baskol!$D$1709)</f>
        <v/>
      </c>
      <c r="W1706" t="str">
        <f>IF([2]Baskol!$E$1709="","",[2]Baskol!$E$1709)</f>
        <v/>
      </c>
      <c r="X1706" t="str">
        <f>IF([2]Baskol!$G$1709="","",[2]Baskol!$G$1709)</f>
        <v/>
      </c>
      <c r="Y1706" t="str">
        <f>IF([2]Baskol!$I$1709="","",[2]Baskol!$I$1709)</f>
        <v/>
      </c>
      <c r="Z1706" t="str">
        <f>IF([2]Baskol!$J$1709="","",[2]Baskol!$J$1709)</f>
        <v/>
      </c>
      <c r="AA1706" t="str">
        <f>IF([2]Baskol!$K$1709="","",[2]Baskol!$K$1709)</f>
        <v/>
      </c>
      <c r="AB1706" t="str">
        <f>IF([2]Baskol!$L$1709="","",[2]Baskol!$L$1709)</f>
        <v/>
      </c>
      <c r="AC1706" t="str">
        <f>IF([2]Baskol!$N$1709="","",[2]Baskol!$N$1709)</f>
        <v/>
      </c>
      <c r="AD1706" t="str">
        <f>IF([2]Baskol!$O$1709="","",[2]Baskol!$O$1709)</f>
        <v/>
      </c>
      <c r="AE1706" t="str">
        <f>IF([3]Entry!$C$1709="","",[3]Entry!$C$1709)</f>
        <v/>
      </c>
      <c r="AF1706" t="str">
        <f>IF([3]Entry!$D$1709="","",[3]Entry!$D$1709)</f>
        <v/>
      </c>
      <c r="AG1706" t="str">
        <f>IF([3]Entry!$E$1709="","",[3]Entry!$E$1709)</f>
        <v/>
      </c>
      <c r="AH1706" t="str">
        <f>IF([3]Entry!$G$1709="","",[3]Entry!$G$1709)</f>
        <v/>
      </c>
      <c r="AI1706" t="str">
        <f>IF([3]Entry!$K$1709="","",[3]Entry!$K$1709)</f>
        <v/>
      </c>
      <c r="AJ1706" t="str">
        <f>IF([3]Entry!$L$1709="","",[3]Entry!$L$1709)</f>
        <v/>
      </c>
      <c r="AK1706" t="str">
        <f>IF([3]Entry!$M$1709="","",[3]Entry!$M$1709)</f>
        <v/>
      </c>
      <c r="AL1706" t="str">
        <f>IF([3]Entry!$N$1709="","",[3]Entry!$N$1709)</f>
        <v/>
      </c>
      <c r="AM1706" t="str">
        <f>IF([3]Entry!$R$1709="","",[3]Entry!$R$1709)</f>
        <v/>
      </c>
    </row>
    <row r="1707" spans="20:39" x14ac:dyDescent="0.2">
      <c r="T1707" t="str">
        <f>IF([2]Baskol!$B$1710="","",[2]Baskol!$B$1710)</f>
        <v/>
      </c>
      <c r="U1707" t="str">
        <f>IF([2]Baskol!$C$1710="","",[2]Baskol!$C$1710)</f>
        <v/>
      </c>
      <c r="V1707" t="str">
        <f>IF([2]Baskol!$D$1710="","",[2]Baskol!$D$1710)</f>
        <v/>
      </c>
      <c r="W1707" t="str">
        <f>IF([2]Baskol!$E$1710="","",[2]Baskol!$E$1710)</f>
        <v/>
      </c>
      <c r="X1707" t="str">
        <f>IF([2]Baskol!$G$1710="","",[2]Baskol!$G$1710)</f>
        <v/>
      </c>
      <c r="Y1707" t="str">
        <f>IF([2]Baskol!$I$1710="","",[2]Baskol!$I$1710)</f>
        <v/>
      </c>
      <c r="Z1707" t="str">
        <f>IF([2]Baskol!$J$1710="","",[2]Baskol!$J$1710)</f>
        <v/>
      </c>
      <c r="AA1707" t="str">
        <f>IF([2]Baskol!$K$1710="","",[2]Baskol!$K$1710)</f>
        <v/>
      </c>
      <c r="AB1707" t="str">
        <f>IF([2]Baskol!$L$1710="","",[2]Baskol!$L$1710)</f>
        <v/>
      </c>
      <c r="AC1707" t="str">
        <f>IF([2]Baskol!$N$1710="","",[2]Baskol!$N$1710)</f>
        <v/>
      </c>
      <c r="AD1707" t="str">
        <f>IF([2]Baskol!$O$1710="","",[2]Baskol!$O$1710)</f>
        <v/>
      </c>
      <c r="AE1707" t="str">
        <f>IF([3]Entry!$C$1710="","",[3]Entry!$C$1710)</f>
        <v/>
      </c>
      <c r="AF1707" t="str">
        <f>IF([3]Entry!$D$1710="","",[3]Entry!$D$1710)</f>
        <v/>
      </c>
      <c r="AG1707" t="str">
        <f>IF([3]Entry!$E$1710="","",[3]Entry!$E$1710)</f>
        <v/>
      </c>
      <c r="AH1707" t="str">
        <f>IF([3]Entry!$G$1710="","",[3]Entry!$G$1710)</f>
        <v/>
      </c>
      <c r="AI1707" t="str">
        <f>IF([3]Entry!$K$1710="","",[3]Entry!$K$1710)</f>
        <v/>
      </c>
      <c r="AJ1707" t="str">
        <f>IF([3]Entry!$L$1710="","",[3]Entry!$L$1710)</f>
        <v/>
      </c>
      <c r="AK1707" t="str">
        <f>IF([3]Entry!$M$1710="","",[3]Entry!$M$1710)</f>
        <v/>
      </c>
      <c r="AL1707" t="str">
        <f>IF([3]Entry!$N$1710="","",[3]Entry!$N$1710)</f>
        <v/>
      </c>
      <c r="AM1707" t="str">
        <f>IF([3]Entry!$R$1710="","",[3]Entry!$R$1710)</f>
        <v/>
      </c>
    </row>
    <row r="1708" spans="20:39" x14ac:dyDescent="0.2">
      <c r="T1708" t="str">
        <f>IF([2]Baskol!$B$1711="","",[2]Baskol!$B$1711)</f>
        <v/>
      </c>
      <c r="U1708" t="str">
        <f>IF([2]Baskol!$C$1711="","",[2]Baskol!$C$1711)</f>
        <v/>
      </c>
      <c r="V1708" t="str">
        <f>IF([2]Baskol!$D$1711="","",[2]Baskol!$D$1711)</f>
        <v/>
      </c>
      <c r="W1708" t="str">
        <f>IF([2]Baskol!$E$1711="","",[2]Baskol!$E$1711)</f>
        <v/>
      </c>
      <c r="X1708" t="str">
        <f>IF([2]Baskol!$G$1711="","",[2]Baskol!$G$1711)</f>
        <v/>
      </c>
      <c r="Y1708" t="str">
        <f>IF([2]Baskol!$I$1711="","",[2]Baskol!$I$1711)</f>
        <v/>
      </c>
      <c r="Z1708" t="str">
        <f>IF([2]Baskol!$J$1711="","",[2]Baskol!$J$1711)</f>
        <v/>
      </c>
      <c r="AA1708" t="str">
        <f>IF([2]Baskol!$K$1711="","",[2]Baskol!$K$1711)</f>
        <v/>
      </c>
      <c r="AB1708" t="str">
        <f>IF([2]Baskol!$L$1711="","",[2]Baskol!$L$1711)</f>
        <v/>
      </c>
      <c r="AC1708" t="str">
        <f>IF([2]Baskol!$N$1711="","",[2]Baskol!$N$1711)</f>
        <v/>
      </c>
      <c r="AD1708" t="str">
        <f>IF([2]Baskol!$O$1711="","",[2]Baskol!$O$1711)</f>
        <v/>
      </c>
      <c r="AE1708" t="str">
        <f>IF([3]Entry!$C$1711="","",[3]Entry!$C$1711)</f>
        <v/>
      </c>
      <c r="AF1708" t="str">
        <f>IF([3]Entry!$D$1711="","",[3]Entry!$D$1711)</f>
        <v/>
      </c>
      <c r="AG1708" t="str">
        <f>IF([3]Entry!$E$1711="","",[3]Entry!$E$1711)</f>
        <v/>
      </c>
      <c r="AH1708" t="str">
        <f>IF([3]Entry!$G$1711="","",[3]Entry!$G$1711)</f>
        <v/>
      </c>
      <c r="AI1708" t="str">
        <f>IF([3]Entry!$K$1711="","",[3]Entry!$K$1711)</f>
        <v/>
      </c>
      <c r="AJ1708" t="str">
        <f>IF([3]Entry!$L$1711="","",[3]Entry!$L$1711)</f>
        <v/>
      </c>
      <c r="AK1708" t="str">
        <f>IF([3]Entry!$M$1711="","",[3]Entry!$M$1711)</f>
        <v/>
      </c>
      <c r="AL1708" t="str">
        <f>IF([3]Entry!$N$1711="","",[3]Entry!$N$1711)</f>
        <v/>
      </c>
      <c r="AM1708" t="str">
        <f>IF([3]Entry!$R$1711="","",[3]Entry!$R$1711)</f>
        <v/>
      </c>
    </row>
    <row r="1709" spans="20:39" x14ac:dyDescent="0.2">
      <c r="T1709" t="str">
        <f>IF([2]Baskol!$B$1712="","",[2]Baskol!$B$1712)</f>
        <v/>
      </c>
      <c r="U1709" t="str">
        <f>IF([2]Baskol!$C$1712="","",[2]Baskol!$C$1712)</f>
        <v/>
      </c>
      <c r="V1709" t="str">
        <f>IF([2]Baskol!$D$1712="","",[2]Baskol!$D$1712)</f>
        <v/>
      </c>
      <c r="W1709" t="str">
        <f>IF([2]Baskol!$E$1712="","",[2]Baskol!$E$1712)</f>
        <v/>
      </c>
      <c r="X1709" t="str">
        <f>IF([2]Baskol!$G$1712="","",[2]Baskol!$G$1712)</f>
        <v/>
      </c>
      <c r="Y1709" t="str">
        <f>IF([2]Baskol!$I$1712="","",[2]Baskol!$I$1712)</f>
        <v/>
      </c>
      <c r="Z1709" t="str">
        <f>IF([2]Baskol!$J$1712="","",[2]Baskol!$J$1712)</f>
        <v/>
      </c>
      <c r="AA1709" t="str">
        <f>IF([2]Baskol!$K$1712="","",[2]Baskol!$K$1712)</f>
        <v/>
      </c>
      <c r="AB1709" t="str">
        <f>IF([2]Baskol!$L$1712="","",[2]Baskol!$L$1712)</f>
        <v/>
      </c>
      <c r="AC1709" t="str">
        <f>IF([2]Baskol!$N$1712="","",[2]Baskol!$N$1712)</f>
        <v/>
      </c>
      <c r="AD1709" t="str">
        <f>IF([2]Baskol!$O$1712="","",[2]Baskol!$O$1712)</f>
        <v/>
      </c>
      <c r="AE1709" t="str">
        <f>IF([3]Entry!$C$1712="","",[3]Entry!$C$1712)</f>
        <v/>
      </c>
      <c r="AF1709" t="str">
        <f>IF([3]Entry!$D$1712="","",[3]Entry!$D$1712)</f>
        <v/>
      </c>
      <c r="AG1709" t="str">
        <f>IF([3]Entry!$E$1712="","",[3]Entry!$E$1712)</f>
        <v/>
      </c>
      <c r="AH1709" t="str">
        <f>IF([3]Entry!$G$1712="","",[3]Entry!$G$1712)</f>
        <v/>
      </c>
      <c r="AI1709" t="str">
        <f>IF([3]Entry!$K$1712="","",[3]Entry!$K$1712)</f>
        <v/>
      </c>
      <c r="AJ1709" t="str">
        <f>IF([3]Entry!$L$1712="","",[3]Entry!$L$1712)</f>
        <v/>
      </c>
      <c r="AK1709" t="str">
        <f>IF([3]Entry!$M$1712="","",[3]Entry!$M$1712)</f>
        <v/>
      </c>
      <c r="AL1709" t="str">
        <f>IF([3]Entry!$N$1712="","",[3]Entry!$N$1712)</f>
        <v/>
      </c>
      <c r="AM1709" t="str">
        <f>IF([3]Entry!$R$1712="","",[3]Entry!$R$1712)</f>
        <v/>
      </c>
    </row>
    <row r="1710" spans="20:39" x14ac:dyDescent="0.2">
      <c r="T1710" t="str">
        <f>IF([2]Baskol!$B$1713="","",[2]Baskol!$B$1713)</f>
        <v/>
      </c>
      <c r="U1710" t="str">
        <f>IF([2]Baskol!$C$1713="","",[2]Baskol!$C$1713)</f>
        <v/>
      </c>
      <c r="V1710" t="str">
        <f>IF([2]Baskol!$D$1713="","",[2]Baskol!$D$1713)</f>
        <v/>
      </c>
      <c r="W1710" t="str">
        <f>IF([2]Baskol!$E$1713="","",[2]Baskol!$E$1713)</f>
        <v/>
      </c>
      <c r="X1710" t="str">
        <f>IF([2]Baskol!$G$1713="","",[2]Baskol!$G$1713)</f>
        <v/>
      </c>
      <c r="Y1710" t="str">
        <f>IF([2]Baskol!$I$1713="","",[2]Baskol!$I$1713)</f>
        <v/>
      </c>
      <c r="Z1710" t="str">
        <f>IF([2]Baskol!$J$1713="","",[2]Baskol!$J$1713)</f>
        <v/>
      </c>
      <c r="AA1710" t="str">
        <f>IF([2]Baskol!$K$1713="","",[2]Baskol!$K$1713)</f>
        <v/>
      </c>
      <c r="AB1710" t="str">
        <f>IF([2]Baskol!$L$1713="","",[2]Baskol!$L$1713)</f>
        <v/>
      </c>
      <c r="AC1710" t="str">
        <f>IF([2]Baskol!$N$1713="","",[2]Baskol!$N$1713)</f>
        <v/>
      </c>
      <c r="AD1710" t="str">
        <f>IF([2]Baskol!$O$1713="","",[2]Baskol!$O$1713)</f>
        <v/>
      </c>
      <c r="AE1710" t="str">
        <f>IF([3]Entry!$C$1713="","",[3]Entry!$C$1713)</f>
        <v/>
      </c>
      <c r="AF1710" t="str">
        <f>IF([3]Entry!$D$1713="","",[3]Entry!$D$1713)</f>
        <v/>
      </c>
      <c r="AG1710" t="str">
        <f>IF([3]Entry!$E$1713="","",[3]Entry!$E$1713)</f>
        <v/>
      </c>
      <c r="AH1710" t="str">
        <f>IF([3]Entry!$G$1713="","",[3]Entry!$G$1713)</f>
        <v/>
      </c>
      <c r="AI1710" t="str">
        <f>IF([3]Entry!$K$1713="","",[3]Entry!$K$1713)</f>
        <v/>
      </c>
      <c r="AJ1710" t="str">
        <f>IF([3]Entry!$L$1713="","",[3]Entry!$L$1713)</f>
        <v/>
      </c>
      <c r="AK1710" t="str">
        <f>IF([3]Entry!$M$1713="","",[3]Entry!$M$1713)</f>
        <v/>
      </c>
      <c r="AL1710" t="str">
        <f>IF([3]Entry!$N$1713="","",[3]Entry!$N$1713)</f>
        <v/>
      </c>
      <c r="AM1710" t="str">
        <f>IF([3]Entry!$R$1713="","",[3]Entry!$R$1713)</f>
        <v/>
      </c>
    </row>
    <row r="1711" spans="20:39" x14ac:dyDescent="0.2">
      <c r="T1711" t="str">
        <f>IF([2]Baskol!$B$1714="","",[2]Baskol!$B$1714)</f>
        <v/>
      </c>
      <c r="U1711" t="str">
        <f>IF([2]Baskol!$C$1714="","",[2]Baskol!$C$1714)</f>
        <v/>
      </c>
      <c r="V1711" t="str">
        <f>IF([2]Baskol!$D$1714="","",[2]Baskol!$D$1714)</f>
        <v/>
      </c>
      <c r="W1711" t="str">
        <f>IF([2]Baskol!$E$1714="","",[2]Baskol!$E$1714)</f>
        <v/>
      </c>
      <c r="X1711" t="str">
        <f>IF([2]Baskol!$G$1714="","",[2]Baskol!$G$1714)</f>
        <v/>
      </c>
      <c r="Y1711" t="str">
        <f>IF([2]Baskol!$I$1714="","",[2]Baskol!$I$1714)</f>
        <v/>
      </c>
      <c r="Z1711" t="str">
        <f>IF([2]Baskol!$J$1714="","",[2]Baskol!$J$1714)</f>
        <v/>
      </c>
      <c r="AA1711" t="str">
        <f>IF([2]Baskol!$K$1714="","",[2]Baskol!$K$1714)</f>
        <v/>
      </c>
      <c r="AB1711" t="str">
        <f>IF([2]Baskol!$L$1714="","",[2]Baskol!$L$1714)</f>
        <v/>
      </c>
      <c r="AC1711" t="str">
        <f>IF([2]Baskol!$N$1714="","",[2]Baskol!$N$1714)</f>
        <v/>
      </c>
      <c r="AD1711" t="str">
        <f>IF([2]Baskol!$O$1714="","",[2]Baskol!$O$1714)</f>
        <v/>
      </c>
      <c r="AE1711" t="str">
        <f>IF([3]Entry!$C$1714="","",[3]Entry!$C$1714)</f>
        <v/>
      </c>
      <c r="AF1711" t="str">
        <f>IF([3]Entry!$D$1714="","",[3]Entry!$D$1714)</f>
        <v/>
      </c>
      <c r="AG1711" t="str">
        <f>IF([3]Entry!$E$1714="","",[3]Entry!$E$1714)</f>
        <v/>
      </c>
      <c r="AH1711" t="str">
        <f>IF([3]Entry!$G$1714="","",[3]Entry!$G$1714)</f>
        <v/>
      </c>
      <c r="AI1711" t="str">
        <f>IF([3]Entry!$K$1714="","",[3]Entry!$K$1714)</f>
        <v/>
      </c>
      <c r="AJ1711" t="str">
        <f>IF([3]Entry!$L$1714="","",[3]Entry!$L$1714)</f>
        <v/>
      </c>
      <c r="AK1711" t="str">
        <f>IF([3]Entry!$M$1714="","",[3]Entry!$M$1714)</f>
        <v/>
      </c>
      <c r="AL1711" t="str">
        <f>IF([3]Entry!$N$1714="","",[3]Entry!$N$1714)</f>
        <v/>
      </c>
      <c r="AM1711" t="str">
        <f>IF([3]Entry!$R$1714="","",[3]Entry!$R$1714)</f>
        <v/>
      </c>
    </row>
    <row r="1712" spans="20:39" x14ac:dyDescent="0.2">
      <c r="T1712" t="str">
        <f>IF([2]Baskol!$B$1715="","",[2]Baskol!$B$1715)</f>
        <v/>
      </c>
      <c r="U1712" t="str">
        <f>IF([2]Baskol!$C$1715="","",[2]Baskol!$C$1715)</f>
        <v/>
      </c>
      <c r="V1712" t="str">
        <f>IF([2]Baskol!$D$1715="","",[2]Baskol!$D$1715)</f>
        <v/>
      </c>
      <c r="W1712" t="str">
        <f>IF([2]Baskol!$E$1715="","",[2]Baskol!$E$1715)</f>
        <v/>
      </c>
      <c r="X1712" t="str">
        <f>IF([2]Baskol!$G$1715="","",[2]Baskol!$G$1715)</f>
        <v/>
      </c>
      <c r="Y1712" t="str">
        <f>IF([2]Baskol!$I$1715="","",[2]Baskol!$I$1715)</f>
        <v/>
      </c>
      <c r="Z1712" t="str">
        <f>IF([2]Baskol!$J$1715="","",[2]Baskol!$J$1715)</f>
        <v/>
      </c>
      <c r="AA1712" t="str">
        <f>IF([2]Baskol!$K$1715="","",[2]Baskol!$K$1715)</f>
        <v/>
      </c>
      <c r="AB1712" t="str">
        <f>IF([2]Baskol!$L$1715="","",[2]Baskol!$L$1715)</f>
        <v/>
      </c>
      <c r="AC1712" t="str">
        <f>IF([2]Baskol!$N$1715="","",[2]Baskol!$N$1715)</f>
        <v/>
      </c>
      <c r="AD1712" t="str">
        <f>IF([2]Baskol!$O$1715="","",[2]Baskol!$O$1715)</f>
        <v/>
      </c>
      <c r="AE1712" t="str">
        <f>IF([3]Entry!$C$1715="","",[3]Entry!$C$1715)</f>
        <v/>
      </c>
      <c r="AF1712" t="str">
        <f>IF([3]Entry!$D$1715="","",[3]Entry!$D$1715)</f>
        <v/>
      </c>
      <c r="AG1712" t="str">
        <f>IF([3]Entry!$E$1715="","",[3]Entry!$E$1715)</f>
        <v/>
      </c>
      <c r="AH1712" t="str">
        <f>IF([3]Entry!$G$1715="","",[3]Entry!$G$1715)</f>
        <v/>
      </c>
      <c r="AI1712" t="str">
        <f>IF([3]Entry!$K$1715="","",[3]Entry!$K$1715)</f>
        <v/>
      </c>
      <c r="AJ1712" t="str">
        <f>IF([3]Entry!$L$1715="","",[3]Entry!$L$1715)</f>
        <v/>
      </c>
      <c r="AK1712" t="str">
        <f>IF([3]Entry!$M$1715="","",[3]Entry!$M$1715)</f>
        <v/>
      </c>
      <c r="AL1712" t="str">
        <f>IF([3]Entry!$N$1715="","",[3]Entry!$N$1715)</f>
        <v/>
      </c>
      <c r="AM1712" t="str">
        <f>IF([3]Entry!$R$1715="","",[3]Entry!$R$1715)</f>
        <v/>
      </c>
    </row>
    <row r="1713" spans="20:39" x14ac:dyDescent="0.2">
      <c r="T1713" t="str">
        <f>IF([2]Baskol!$B$1716="","",[2]Baskol!$B$1716)</f>
        <v/>
      </c>
      <c r="U1713" t="str">
        <f>IF([2]Baskol!$C$1716="","",[2]Baskol!$C$1716)</f>
        <v/>
      </c>
      <c r="V1713" t="str">
        <f>IF([2]Baskol!$D$1716="","",[2]Baskol!$D$1716)</f>
        <v/>
      </c>
      <c r="W1713" t="str">
        <f>IF([2]Baskol!$E$1716="","",[2]Baskol!$E$1716)</f>
        <v/>
      </c>
      <c r="X1713" t="str">
        <f>IF([2]Baskol!$G$1716="","",[2]Baskol!$G$1716)</f>
        <v/>
      </c>
      <c r="Y1713" t="str">
        <f>IF([2]Baskol!$I$1716="","",[2]Baskol!$I$1716)</f>
        <v/>
      </c>
      <c r="Z1713" t="str">
        <f>IF([2]Baskol!$J$1716="","",[2]Baskol!$J$1716)</f>
        <v/>
      </c>
      <c r="AA1713" t="str">
        <f>IF([2]Baskol!$K$1716="","",[2]Baskol!$K$1716)</f>
        <v/>
      </c>
      <c r="AB1713" t="str">
        <f>IF([2]Baskol!$L$1716="","",[2]Baskol!$L$1716)</f>
        <v/>
      </c>
      <c r="AC1713" t="str">
        <f>IF([2]Baskol!$N$1716="","",[2]Baskol!$N$1716)</f>
        <v/>
      </c>
      <c r="AD1713" t="str">
        <f>IF([2]Baskol!$O$1716="","",[2]Baskol!$O$1716)</f>
        <v/>
      </c>
      <c r="AE1713" t="str">
        <f>IF([3]Entry!$C$1716="","",[3]Entry!$C$1716)</f>
        <v/>
      </c>
      <c r="AF1713" t="str">
        <f>IF([3]Entry!$D$1716="","",[3]Entry!$D$1716)</f>
        <v/>
      </c>
      <c r="AG1713" t="str">
        <f>IF([3]Entry!$E$1716="","",[3]Entry!$E$1716)</f>
        <v/>
      </c>
      <c r="AH1713" t="str">
        <f>IF([3]Entry!$G$1716="","",[3]Entry!$G$1716)</f>
        <v/>
      </c>
      <c r="AI1713" t="str">
        <f>IF([3]Entry!$K$1716="","",[3]Entry!$K$1716)</f>
        <v/>
      </c>
      <c r="AJ1713" t="str">
        <f>IF([3]Entry!$L$1716="","",[3]Entry!$L$1716)</f>
        <v/>
      </c>
      <c r="AK1713" t="str">
        <f>IF([3]Entry!$M$1716="","",[3]Entry!$M$1716)</f>
        <v/>
      </c>
      <c r="AL1713" t="str">
        <f>IF([3]Entry!$N$1716="","",[3]Entry!$N$1716)</f>
        <v/>
      </c>
      <c r="AM1713" t="str">
        <f>IF([3]Entry!$R$1716="","",[3]Entry!$R$1716)</f>
        <v/>
      </c>
    </row>
    <row r="1714" spans="20:39" x14ac:dyDescent="0.2">
      <c r="T1714" t="str">
        <f>IF([2]Baskol!$B$1717="","",[2]Baskol!$B$1717)</f>
        <v/>
      </c>
      <c r="U1714" t="str">
        <f>IF([2]Baskol!$C$1717="","",[2]Baskol!$C$1717)</f>
        <v/>
      </c>
      <c r="V1714" t="str">
        <f>IF([2]Baskol!$D$1717="","",[2]Baskol!$D$1717)</f>
        <v/>
      </c>
      <c r="W1714" t="str">
        <f>IF([2]Baskol!$E$1717="","",[2]Baskol!$E$1717)</f>
        <v/>
      </c>
      <c r="X1714" t="str">
        <f>IF([2]Baskol!$G$1717="","",[2]Baskol!$G$1717)</f>
        <v/>
      </c>
      <c r="Y1714" t="str">
        <f>IF([2]Baskol!$I$1717="","",[2]Baskol!$I$1717)</f>
        <v/>
      </c>
      <c r="Z1714" t="str">
        <f>IF([2]Baskol!$J$1717="","",[2]Baskol!$J$1717)</f>
        <v/>
      </c>
      <c r="AA1714" t="str">
        <f>IF([2]Baskol!$K$1717="","",[2]Baskol!$K$1717)</f>
        <v/>
      </c>
      <c r="AB1714" t="str">
        <f>IF([2]Baskol!$L$1717="","",[2]Baskol!$L$1717)</f>
        <v/>
      </c>
      <c r="AC1714" t="str">
        <f>IF([2]Baskol!$N$1717="","",[2]Baskol!$N$1717)</f>
        <v/>
      </c>
      <c r="AD1714" t="str">
        <f>IF([2]Baskol!$O$1717="","",[2]Baskol!$O$1717)</f>
        <v/>
      </c>
      <c r="AE1714" t="str">
        <f>IF([3]Entry!$C$1717="","",[3]Entry!$C$1717)</f>
        <v/>
      </c>
      <c r="AF1714" t="str">
        <f>IF([3]Entry!$D$1717="","",[3]Entry!$D$1717)</f>
        <v/>
      </c>
      <c r="AG1714" t="str">
        <f>IF([3]Entry!$E$1717="","",[3]Entry!$E$1717)</f>
        <v/>
      </c>
      <c r="AH1714" t="str">
        <f>IF([3]Entry!$G$1717="","",[3]Entry!$G$1717)</f>
        <v/>
      </c>
      <c r="AI1714" t="str">
        <f>IF([3]Entry!$K$1717="","",[3]Entry!$K$1717)</f>
        <v/>
      </c>
      <c r="AJ1714" t="str">
        <f>IF([3]Entry!$L$1717="","",[3]Entry!$L$1717)</f>
        <v/>
      </c>
      <c r="AK1714" t="str">
        <f>IF([3]Entry!$M$1717="","",[3]Entry!$M$1717)</f>
        <v/>
      </c>
      <c r="AL1714" t="str">
        <f>IF([3]Entry!$N$1717="","",[3]Entry!$N$1717)</f>
        <v/>
      </c>
      <c r="AM1714" t="str">
        <f>IF([3]Entry!$R$1717="","",[3]Entry!$R$1717)</f>
        <v/>
      </c>
    </row>
    <row r="1715" spans="20:39" x14ac:dyDescent="0.2">
      <c r="T1715" t="str">
        <f>IF([2]Baskol!$B$1718="","",[2]Baskol!$B$1718)</f>
        <v/>
      </c>
      <c r="U1715" t="str">
        <f>IF([2]Baskol!$C$1718="","",[2]Baskol!$C$1718)</f>
        <v/>
      </c>
      <c r="V1715" t="str">
        <f>IF([2]Baskol!$D$1718="","",[2]Baskol!$D$1718)</f>
        <v/>
      </c>
      <c r="W1715" t="str">
        <f>IF([2]Baskol!$E$1718="","",[2]Baskol!$E$1718)</f>
        <v/>
      </c>
      <c r="X1715" t="str">
        <f>IF([2]Baskol!$G$1718="","",[2]Baskol!$G$1718)</f>
        <v/>
      </c>
      <c r="Y1715" t="str">
        <f>IF([2]Baskol!$I$1718="","",[2]Baskol!$I$1718)</f>
        <v/>
      </c>
      <c r="Z1715" t="str">
        <f>IF([2]Baskol!$J$1718="","",[2]Baskol!$J$1718)</f>
        <v/>
      </c>
      <c r="AA1715" t="str">
        <f>IF([2]Baskol!$K$1718="","",[2]Baskol!$K$1718)</f>
        <v/>
      </c>
      <c r="AB1715" t="str">
        <f>IF([2]Baskol!$L$1718="","",[2]Baskol!$L$1718)</f>
        <v/>
      </c>
      <c r="AC1715" t="str">
        <f>IF([2]Baskol!$N$1718="","",[2]Baskol!$N$1718)</f>
        <v/>
      </c>
      <c r="AD1715" t="str">
        <f>IF([2]Baskol!$O$1718="","",[2]Baskol!$O$1718)</f>
        <v/>
      </c>
      <c r="AE1715" t="str">
        <f>IF([3]Entry!$C$1718="","",[3]Entry!$C$1718)</f>
        <v/>
      </c>
      <c r="AF1715" t="str">
        <f>IF([3]Entry!$D$1718="","",[3]Entry!$D$1718)</f>
        <v/>
      </c>
      <c r="AG1715" t="str">
        <f>IF([3]Entry!$E$1718="","",[3]Entry!$E$1718)</f>
        <v/>
      </c>
      <c r="AH1715" t="str">
        <f>IF([3]Entry!$G$1718="","",[3]Entry!$G$1718)</f>
        <v/>
      </c>
      <c r="AI1715" t="str">
        <f>IF([3]Entry!$K$1718="","",[3]Entry!$K$1718)</f>
        <v/>
      </c>
      <c r="AJ1715" t="str">
        <f>IF([3]Entry!$L$1718="","",[3]Entry!$L$1718)</f>
        <v/>
      </c>
      <c r="AK1715" t="str">
        <f>IF([3]Entry!$M$1718="","",[3]Entry!$M$1718)</f>
        <v/>
      </c>
      <c r="AL1715" t="str">
        <f>IF([3]Entry!$N$1718="","",[3]Entry!$N$1718)</f>
        <v/>
      </c>
      <c r="AM1715" t="str">
        <f>IF([3]Entry!$R$1718="","",[3]Entry!$R$1718)</f>
        <v/>
      </c>
    </row>
    <row r="1716" spans="20:39" x14ac:dyDescent="0.2">
      <c r="T1716" t="str">
        <f>IF([2]Baskol!$B$1719="","",[2]Baskol!$B$1719)</f>
        <v/>
      </c>
      <c r="U1716" t="str">
        <f>IF([2]Baskol!$C$1719="","",[2]Baskol!$C$1719)</f>
        <v/>
      </c>
      <c r="V1716" t="str">
        <f>IF([2]Baskol!$D$1719="","",[2]Baskol!$D$1719)</f>
        <v/>
      </c>
      <c r="W1716" t="str">
        <f>IF([2]Baskol!$E$1719="","",[2]Baskol!$E$1719)</f>
        <v/>
      </c>
      <c r="X1716" t="str">
        <f>IF([2]Baskol!$G$1719="","",[2]Baskol!$G$1719)</f>
        <v/>
      </c>
      <c r="Y1716" t="str">
        <f>IF([2]Baskol!$I$1719="","",[2]Baskol!$I$1719)</f>
        <v/>
      </c>
      <c r="Z1716" t="str">
        <f>IF([2]Baskol!$J$1719="","",[2]Baskol!$J$1719)</f>
        <v/>
      </c>
      <c r="AA1716" t="str">
        <f>IF([2]Baskol!$K$1719="","",[2]Baskol!$K$1719)</f>
        <v/>
      </c>
      <c r="AB1716" t="str">
        <f>IF([2]Baskol!$L$1719="","",[2]Baskol!$L$1719)</f>
        <v/>
      </c>
      <c r="AC1716" t="str">
        <f>IF([2]Baskol!$N$1719="","",[2]Baskol!$N$1719)</f>
        <v/>
      </c>
      <c r="AD1716" t="str">
        <f>IF([2]Baskol!$O$1719="","",[2]Baskol!$O$1719)</f>
        <v/>
      </c>
      <c r="AE1716" t="str">
        <f>IF([3]Entry!$C$1719="","",[3]Entry!$C$1719)</f>
        <v/>
      </c>
      <c r="AF1716" t="str">
        <f>IF([3]Entry!$D$1719="","",[3]Entry!$D$1719)</f>
        <v/>
      </c>
      <c r="AG1716" t="str">
        <f>IF([3]Entry!$E$1719="","",[3]Entry!$E$1719)</f>
        <v/>
      </c>
      <c r="AH1716" t="str">
        <f>IF([3]Entry!$G$1719="","",[3]Entry!$G$1719)</f>
        <v/>
      </c>
      <c r="AI1716" t="str">
        <f>IF([3]Entry!$K$1719="","",[3]Entry!$K$1719)</f>
        <v/>
      </c>
      <c r="AJ1716" t="str">
        <f>IF([3]Entry!$L$1719="","",[3]Entry!$L$1719)</f>
        <v/>
      </c>
      <c r="AK1716" t="str">
        <f>IF([3]Entry!$M$1719="","",[3]Entry!$M$1719)</f>
        <v/>
      </c>
      <c r="AL1716" t="str">
        <f>IF([3]Entry!$N$1719="","",[3]Entry!$N$1719)</f>
        <v/>
      </c>
      <c r="AM1716" t="str">
        <f>IF([3]Entry!$R$1719="","",[3]Entry!$R$1719)</f>
        <v/>
      </c>
    </row>
    <row r="1717" spans="20:39" x14ac:dyDescent="0.2">
      <c r="T1717" t="str">
        <f>IF([2]Baskol!$B$1720="","",[2]Baskol!$B$1720)</f>
        <v/>
      </c>
      <c r="U1717" t="str">
        <f>IF([2]Baskol!$C$1720="","",[2]Baskol!$C$1720)</f>
        <v/>
      </c>
      <c r="V1717" t="str">
        <f>IF([2]Baskol!$D$1720="","",[2]Baskol!$D$1720)</f>
        <v/>
      </c>
      <c r="W1717" t="str">
        <f>IF([2]Baskol!$E$1720="","",[2]Baskol!$E$1720)</f>
        <v/>
      </c>
      <c r="X1717" t="str">
        <f>IF([2]Baskol!$G$1720="","",[2]Baskol!$G$1720)</f>
        <v/>
      </c>
      <c r="Y1717" t="str">
        <f>IF([2]Baskol!$I$1720="","",[2]Baskol!$I$1720)</f>
        <v/>
      </c>
      <c r="Z1717" t="str">
        <f>IF([2]Baskol!$J$1720="","",[2]Baskol!$J$1720)</f>
        <v/>
      </c>
      <c r="AA1717" t="str">
        <f>IF([2]Baskol!$K$1720="","",[2]Baskol!$K$1720)</f>
        <v/>
      </c>
      <c r="AB1717" t="str">
        <f>IF([2]Baskol!$L$1720="","",[2]Baskol!$L$1720)</f>
        <v/>
      </c>
      <c r="AC1717" t="str">
        <f>IF([2]Baskol!$N$1720="","",[2]Baskol!$N$1720)</f>
        <v/>
      </c>
      <c r="AD1717" t="str">
        <f>IF([2]Baskol!$O$1720="","",[2]Baskol!$O$1720)</f>
        <v/>
      </c>
      <c r="AE1717" t="str">
        <f>IF([3]Entry!$C$1720="","",[3]Entry!$C$1720)</f>
        <v/>
      </c>
      <c r="AF1717" t="str">
        <f>IF([3]Entry!$D$1720="","",[3]Entry!$D$1720)</f>
        <v/>
      </c>
      <c r="AG1717" t="str">
        <f>IF([3]Entry!$E$1720="","",[3]Entry!$E$1720)</f>
        <v/>
      </c>
      <c r="AH1717" t="str">
        <f>IF([3]Entry!$G$1720="","",[3]Entry!$G$1720)</f>
        <v/>
      </c>
      <c r="AI1717" t="str">
        <f>IF([3]Entry!$K$1720="","",[3]Entry!$K$1720)</f>
        <v/>
      </c>
      <c r="AJ1717" t="str">
        <f>IF([3]Entry!$L$1720="","",[3]Entry!$L$1720)</f>
        <v/>
      </c>
      <c r="AK1717" t="str">
        <f>IF([3]Entry!$M$1720="","",[3]Entry!$M$1720)</f>
        <v/>
      </c>
      <c r="AL1717" t="str">
        <f>IF([3]Entry!$N$1720="","",[3]Entry!$N$1720)</f>
        <v/>
      </c>
      <c r="AM1717" t="str">
        <f>IF([3]Entry!$R$1720="","",[3]Entry!$R$1720)</f>
        <v/>
      </c>
    </row>
    <row r="1718" spans="20:39" x14ac:dyDescent="0.2">
      <c r="T1718" t="str">
        <f>IF([2]Baskol!$B$1721="","",[2]Baskol!$B$1721)</f>
        <v/>
      </c>
      <c r="U1718" t="str">
        <f>IF([2]Baskol!$C$1721="","",[2]Baskol!$C$1721)</f>
        <v/>
      </c>
      <c r="V1718" t="str">
        <f>IF([2]Baskol!$D$1721="","",[2]Baskol!$D$1721)</f>
        <v/>
      </c>
      <c r="W1718" t="str">
        <f>IF([2]Baskol!$E$1721="","",[2]Baskol!$E$1721)</f>
        <v/>
      </c>
      <c r="X1718" t="str">
        <f>IF([2]Baskol!$G$1721="","",[2]Baskol!$G$1721)</f>
        <v/>
      </c>
      <c r="Y1718" t="str">
        <f>IF([2]Baskol!$I$1721="","",[2]Baskol!$I$1721)</f>
        <v/>
      </c>
      <c r="Z1718" t="str">
        <f>IF([2]Baskol!$J$1721="","",[2]Baskol!$J$1721)</f>
        <v/>
      </c>
      <c r="AA1718" t="str">
        <f>IF([2]Baskol!$K$1721="","",[2]Baskol!$K$1721)</f>
        <v/>
      </c>
      <c r="AB1718" t="str">
        <f>IF([2]Baskol!$L$1721="","",[2]Baskol!$L$1721)</f>
        <v/>
      </c>
      <c r="AC1718" t="str">
        <f>IF([2]Baskol!$N$1721="","",[2]Baskol!$N$1721)</f>
        <v/>
      </c>
      <c r="AD1718" t="str">
        <f>IF([2]Baskol!$O$1721="","",[2]Baskol!$O$1721)</f>
        <v/>
      </c>
      <c r="AE1718" t="str">
        <f>IF([3]Entry!$C$1721="","",[3]Entry!$C$1721)</f>
        <v/>
      </c>
      <c r="AF1718" t="str">
        <f>IF([3]Entry!$D$1721="","",[3]Entry!$D$1721)</f>
        <v/>
      </c>
      <c r="AG1718" t="str">
        <f>IF([3]Entry!$E$1721="","",[3]Entry!$E$1721)</f>
        <v/>
      </c>
      <c r="AH1718" t="str">
        <f>IF([3]Entry!$G$1721="","",[3]Entry!$G$1721)</f>
        <v/>
      </c>
      <c r="AI1718" t="str">
        <f>IF([3]Entry!$K$1721="","",[3]Entry!$K$1721)</f>
        <v/>
      </c>
      <c r="AJ1718" t="str">
        <f>IF([3]Entry!$L$1721="","",[3]Entry!$L$1721)</f>
        <v/>
      </c>
      <c r="AK1718" t="str">
        <f>IF([3]Entry!$M$1721="","",[3]Entry!$M$1721)</f>
        <v/>
      </c>
      <c r="AL1718" t="str">
        <f>IF([3]Entry!$N$1721="","",[3]Entry!$N$1721)</f>
        <v/>
      </c>
      <c r="AM1718" t="str">
        <f>IF([3]Entry!$R$1721="","",[3]Entry!$R$1721)</f>
        <v/>
      </c>
    </row>
    <row r="1719" spans="20:39" x14ac:dyDescent="0.2">
      <c r="T1719" t="str">
        <f>IF([2]Baskol!$B$1722="","",[2]Baskol!$B$1722)</f>
        <v/>
      </c>
      <c r="U1719" t="str">
        <f>IF([2]Baskol!$C$1722="","",[2]Baskol!$C$1722)</f>
        <v/>
      </c>
      <c r="V1719" t="str">
        <f>IF([2]Baskol!$D$1722="","",[2]Baskol!$D$1722)</f>
        <v/>
      </c>
      <c r="W1719" t="str">
        <f>IF([2]Baskol!$E$1722="","",[2]Baskol!$E$1722)</f>
        <v/>
      </c>
      <c r="X1719" t="str">
        <f>IF([2]Baskol!$G$1722="","",[2]Baskol!$G$1722)</f>
        <v/>
      </c>
      <c r="Y1719" t="str">
        <f>IF([2]Baskol!$I$1722="","",[2]Baskol!$I$1722)</f>
        <v/>
      </c>
      <c r="Z1719" t="str">
        <f>IF([2]Baskol!$J$1722="","",[2]Baskol!$J$1722)</f>
        <v/>
      </c>
      <c r="AA1719" t="str">
        <f>IF([2]Baskol!$K$1722="","",[2]Baskol!$K$1722)</f>
        <v/>
      </c>
      <c r="AB1719" t="str">
        <f>IF([2]Baskol!$L$1722="","",[2]Baskol!$L$1722)</f>
        <v/>
      </c>
      <c r="AC1719" t="str">
        <f>IF([2]Baskol!$N$1722="","",[2]Baskol!$N$1722)</f>
        <v/>
      </c>
      <c r="AD1719" t="str">
        <f>IF([2]Baskol!$O$1722="","",[2]Baskol!$O$1722)</f>
        <v/>
      </c>
      <c r="AE1719" t="str">
        <f>IF([3]Entry!$C$1722="","",[3]Entry!$C$1722)</f>
        <v/>
      </c>
      <c r="AF1719" t="str">
        <f>IF([3]Entry!$D$1722="","",[3]Entry!$D$1722)</f>
        <v/>
      </c>
      <c r="AG1719" t="str">
        <f>IF([3]Entry!$E$1722="","",[3]Entry!$E$1722)</f>
        <v/>
      </c>
      <c r="AH1719" t="str">
        <f>IF([3]Entry!$G$1722="","",[3]Entry!$G$1722)</f>
        <v/>
      </c>
      <c r="AI1719" t="str">
        <f>IF([3]Entry!$K$1722="","",[3]Entry!$K$1722)</f>
        <v/>
      </c>
      <c r="AJ1719" t="str">
        <f>IF([3]Entry!$L$1722="","",[3]Entry!$L$1722)</f>
        <v/>
      </c>
      <c r="AK1719" t="str">
        <f>IF([3]Entry!$M$1722="","",[3]Entry!$M$1722)</f>
        <v/>
      </c>
      <c r="AL1719" t="str">
        <f>IF([3]Entry!$N$1722="","",[3]Entry!$N$1722)</f>
        <v/>
      </c>
      <c r="AM1719" t="str">
        <f>IF([3]Entry!$R$1722="","",[3]Entry!$R$1722)</f>
        <v/>
      </c>
    </row>
    <row r="1720" spans="20:39" x14ac:dyDescent="0.2">
      <c r="T1720" t="str">
        <f>IF([2]Baskol!$B$1723="","",[2]Baskol!$B$1723)</f>
        <v/>
      </c>
      <c r="U1720" t="str">
        <f>IF([2]Baskol!$C$1723="","",[2]Baskol!$C$1723)</f>
        <v/>
      </c>
      <c r="V1720" t="str">
        <f>IF([2]Baskol!$D$1723="","",[2]Baskol!$D$1723)</f>
        <v/>
      </c>
      <c r="W1720" t="str">
        <f>IF([2]Baskol!$E$1723="","",[2]Baskol!$E$1723)</f>
        <v/>
      </c>
      <c r="X1720" t="str">
        <f>IF([2]Baskol!$G$1723="","",[2]Baskol!$G$1723)</f>
        <v/>
      </c>
      <c r="Y1720" t="str">
        <f>IF([2]Baskol!$I$1723="","",[2]Baskol!$I$1723)</f>
        <v/>
      </c>
      <c r="Z1720" t="str">
        <f>IF([2]Baskol!$J$1723="","",[2]Baskol!$J$1723)</f>
        <v/>
      </c>
      <c r="AA1720" t="str">
        <f>IF([2]Baskol!$K$1723="","",[2]Baskol!$K$1723)</f>
        <v/>
      </c>
      <c r="AB1720" t="str">
        <f>IF([2]Baskol!$L$1723="","",[2]Baskol!$L$1723)</f>
        <v/>
      </c>
      <c r="AC1720" t="str">
        <f>IF([2]Baskol!$N$1723="","",[2]Baskol!$N$1723)</f>
        <v/>
      </c>
      <c r="AD1720" t="str">
        <f>IF([2]Baskol!$O$1723="","",[2]Baskol!$O$1723)</f>
        <v/>
      </c>
      <c r="AE1720" t="str">
        <f>IF([3]Entry!$C$1723="","",[3]Entry!$C$1723)</f>
        <v/>
      </c>
      <c r="AF1720" t="str">
        <f>IF([3]Entry!$D$1723="","",[3]Entry!$D$1723)</f>
        <v/>
      </c>
      <c r="AG1720" t="str">
        <f>IF([3]Entry!$E$1723="","",[3]Entry!$E$1723)</f>
        <v/>
      </c>
      <c r="AH1720" t="str">
        <f>IF([3]Entry!$G$1723="","",[3]Entry!$G$1723)</f>
        <v/>
      </c>
      <c r="AI1720" t="str">
        <f>IF([3]Entry!$K$1723="","",[3]Entry!$K$1723)</f>
        <v/>
      </c>
      <c r="AJ1720" t="str">
        <f>IF([3]Entry!$L$1723="","",[3]Entry!$L$1723)</f>
        <v/>
      </c>
      <c r="AK1720" t="str">
        <f>IF([3]Entry!$M$1723="","",[3]Entry!$M$1723)</f>
        <v/>
      </c>
      <c r="AL1720" t="str">
        <f>IF([3]Entry!$N$1723="","",[3]Entry!$N$1723)</f>
        <v/>
      </c>
      <c r="AM1720" t="str">
        <f>IF([3]Entry!$R$1723="","",[3]Entry!$R$1723)</f>
        <v/>
      </c>
    </row>
    <row r="1721" spans="20:39" x14ac:dyDescent="0.2">
      <c r="T1721" t="str">
        <f>IF([2]Baskol!$B$1724="","",[2]Baskol!$B$1724)</f>
        <v/>
      </c>
      <c r="U1721" t="str">
        <f>IF([2]Baskol!$C$1724="","",[2]Baskol!$C$1724)</f>
        <v/>
      </c>
      <c r="V1721" t="str">
        <f>IF([2]Baskol!$D$1724="","",[2]Baskol!$D$1724)</f>
        <v/>
      </c>
      <c r="W1721" t="str">
        <f>IF([2]Baskol!$E$1724="","",[2]Baskol!$E$1724)</f>
        <v/>
      </c>
      <c r="X1721" t="str">
        <f>IF([2]Baskol!$G$1724="","",[2]Baskol!$G$1724)</f>
        <v/>
      </c>
      <c r="Y1721" t="str">
        <f>IF([2]Baskol!$I$1724="","",[2]Baskol!$I$1724)</f>
        <v/>
      </c>
      <c r="Z1721" t="str">
        <f>IF([2]Baskol!$J$1724="","",[2]Baskol!$J$1724)</f>
        <v/>
      </c>
      <c r="AA1721" t="str">
        <f>IF([2]Baskol!$K$1724="","",[2]Baskol!$K$1724)</f>
        <v/>
      </c>
      <c r="AB1721" t="str">
        <f>IF([2]Baskol!$L$1724="","",[2]Baskol!$L$1724)</f>
        <v/>
      </c>
      <c r="AC1721" t="str">
        <f>IF([2]Baskol!$N$1724="","",[2]Baskol!$N$1724)</f>
        <v/>
      </c>
      <c r="AD1721" t="str">
        <f>IF([2]Baskol!$O$1724="","",[2]Baskol!$O$1724)</f>
        <v/>
      </c>
      <c r="AE1721" t="str">
        <f>IF([3]Entry!$C$1724="","",[3]Entry!$C$1724)</f>
        <v/>
      </c>
      <c r="AF1721" t="str">
        <f>IF([3]Entry!$D$1724="","",[3]Entry!$D$1724)</f>
        <v/>
      </c>
      <c r="AG1721" t="str">
        <f>IF([3]Entry!$E$1724="","",[3]Entry!$E$1724)</f>
        <v/>
      </c>
      <c r="AH1721" t="str">
        <f>IF([3]Entry!$G$1724="","",[3]Entry!$G$1724)</f>
        <v/>
      </c>
      <c r="AI1721" t="str">
        <f>IF([3]Entry!$K$1724="","",[3]Entry!$K$1724)</f>
        <v/>
      </c>
      <c r="AJ1721" t="str">
        <f>IF([3]Entry!$L$1724="","",[3]Entry!$L$1724)</f>
        <v/>
      </c>
      <c r="AK1721" t="str">
        <f>IF([3]Entry!$M$1724="","",[3]Entry!$M$1724)</f>
        <v/>
      </c>
      <c r="AL1721" t="str">
        <f>IF([3]Entry!$N$1724="","",[3]Entry!$N$1724)</f>
        <v/>
      </c>
      <c r="AM1721" t="str">
        <f>IF([3]Entry!$R$1724="","",[3]Entry!$R$1724)</f>
        <v/>
      </c>
    </row>
    <row r="1722" spans="20:39" x14ac:dyDescent="0.2">
      <c r="T1722" t="str">
        <f>IF([2]Baskol!$B$1725="","",[2]Baskol!$B$1725)</f>
        <v/>
      </c>
      <c r="U1722" t="str">
        <f>IF([2]Baskol!$C$1725="","",[2]Baskol!$C$1725)</f>
        <v/>
      </c>
      <c r="V1722" t="str">
        <f>IF([2]Baskol!$D$1725="","",[2]Baskol!$D$1725)</f>
        <v/>
      </c>
      <c r="W1722" t="str">
        <f>IF([2]Baskol!$E$1725="","",[2]Baskol!$E$1725)</f>
        <v/>
      </c>
      <c r="X1722" t="str">
        <f>IF([2]Baskol!$G$1725="","",[2]Baskol!$G$1725)</f>
        <v/>
      </c>
      <c r="Y1722" t="str">
        <f>IF([2]Baskol!$I$1725="","",[2]Baskol!$I$1725)</f>
        <v/>
      </c>
      <c r="Z1722" t="str">
        <f>IF([2]Baskol!$J$1725="","",[2]Baskol!$J$1725)</f>
        <v/>
      </c>
      <c r="AA1722" t="str">
        <f>IF([2]Baskol!$K$1725="","",[2]Baskol!$K$1725)</f>
        <v/>
      </c>
      <c r="AB1722" t="str">
        <f>IF([2]Baskol!$L$1725="","",[2]Baskol!$L$1725)</f>
        <v/>
      </c>
      <c r="AC1722" t="str">
        <f>IF([2]Baskol!$N$1725="","",[2]Baskol!$N$1725)</f>
        <v/>
      </c>
      <c r="AD1722" t="str">
        <f>IF([2]Baskol!$O$1725="","",[2]Baskol!$O$1725)</f>
        <v/>
      </c>
      <c r="AE1722" t="str">
        <f>IF([3]Entry!$C$1725="","",[3]Entry!$C$1725)</f>
        <v/>
      </c>
      <c r="AF1722" t="str">
        <f>IF([3]Entry!$D$1725="","",[3]Entry!$D$1725)</f>
        <v/>
      </c>
      <c r="AG1722" t="str">
        <f>IF([3]Entry!$E$1725="","",[3]Entry!$E$1725)</f>
        <v/>
      </c>
      <c r="AH1722" t="str">
        <f>IF([3]Entry!$G$1725="","",[3]Entry!$G$1725)</f>
        <v/>
      </c>
      <c r="AI1722" t="str">
        <f>IF([3]Entry!$K$1725="","",[3]Entry!$K$1725)</f>
        <v/>
      </c>
      <c r="AJ1722" t="str">
        <f>IF([3]Entry!$L$1725="","",[3]Entry!$L$1725)</f>
        <v/>
      </c>
      <c r="AK1722" t="str">
        <f>IF([3]Entry!$M$1725="","",[3]Entry!$M$1725)</f>
        <v/>
      </c>
      <c r="AL1722" t="str">
        <f>IF([3]Entry!$N$1725="","",[3]Entry!$N$1725)</f>
        <v/>
      </c>
      <c r="AM1722" t="str">
        <f>IF([3]Entry!$R$1725="","",[3]Entry!$R$1725)</f>
        <v/>
      </c>
    </row>
    <row r="1723" spans="20:39" x14ac:dyDescent="0.2">
      <c r="T1723" t="str">
        <f>IF([2]Baskol!$B$1726="","",[2]Baskol!$B$1726)</f>
        <v/>
      </c>
      <c r="U1723" t="str">
        <f>IF([2]Baskol!$C$1726="","",[2]Baskol!$C$1726)</f>
        <v/>
      </c>
      <c r="V1723" t="str">
        <f>IF([2]Baskol!$D$1726="","",[2]Baskol!$D$1726)</f>
        <v/>
      </c>
      <c r="W1723" t="str">
        <f>IF([2]Baskol!$E$1726="","",[2]Baskol!$E$1726)</f>
        <v/>
      </c>
      <c r="X1723" t="str">
        <f>IF([2]Baskol!$G$1726="","",[2]Baskol!$G$1726)</f>
        <v/>
      </c>
      <c r="Y1723" t="str">
        <f>IF([2]Baskol!$I$1726="","",[2]Baskol!$I$1726)</f>
        <v/>
      </c>
      <c r="Z1723" t="str">
        <f>IF([2]Baskol!$J$1726="","",[2]Baskol!$J$1726)</f>
        <v/>
      </c>
      <c r="AA1723" t="str">
        <f>IF([2]Baskol!$K$1726="","",[2]Baskol!$K$1726)</f>
        <v/>
      </c>
      <c r="AB1723" t="str">
        <f>IF([2]Baskol!$L$1726="","",[2]Baskol!$L$1726)</f>
        <v/>
      </c>
      <c r="AC1723" t="str">
        <f>IF([2]Baskol!$N$1726="","",[2]Baskol!$N$1726)</f>
        <v/>
      </c>
      <c r="AD1723" t="str">
        <f>IF([2]Baskol!$O$1726="","",[2]Baskol!$O$1726)</f>
        <v/>
      </c>
      <c r="AE1723" t="str">
        <f>IF([3]Entry!$C$1726="","",[3]Entry!$C$1726)</f>
        <v/>
      </c>
      <c r="AF1723" t="str">
        <f>IF([3]Entry!$D$1726="","",[3]Entry!$D$1726)</f>
        <v/>
      </c>
      <c r="AG1723" t="str">
        <f>IF([3]Entry!$E$1726="","",[3]Entry!$E$1726)</f>
        <v/>
      </c>
      <c r="AH1723" t="str">
        <f>IF([3]Entry!$G$1726="","",[3]Entry!$G$1726)</f>
        <v/>
      </c>
      <c r="AI1723" t="str">
        <f>IF([3]Entry!$K$1726="","",[3]Entry!$K$1726)</f>
        <v/>
      </c>
      <c r="AJ1723" t="str">
        <f>IF([3]Entry!$L$1726="","",[3]Entry!$L$1726)</f>
        <v/>
      </c>
      <c r="AK1723" t="str">
        <f>IF([3]Entry!$M$1726="","",[3]Entry!$M$1726)</f>
        <v/>
      </c>
      <c r="AL1723" t="str">
        <f>IF([3]Entry!$N$1726="","",[3]Entry!$N$1726)</f>
        <v/>
      </c>
      <c r="AM1723" t="str">
        <f>IF([3]Entry!$R$1726="","",[3]Entry!$R$1726)</f>
        <v/>
      </c>
    </row>
    <row r="1724" spans="20:39" x14ac:dyDescent="0.2">
      <c r="T1724" t="str">
        <f>IF([2]Baskol!$B$1727="","",[2]Baskol!$B$1727)</f>
        <v/>
      </c>
      <c r="U1724" t="str">
        <f>IF([2]Baskol!$C$1727="","",[2]Baskol!$C$1727)</f>
        <v/>
      </c>
      <c r="V1724" t="str">
        <f>IF([2]Baskol!$D$1727="","",[2]Baskol!$D$1727)</f>
        <v/>
      </c>
      <c r="W1724" t="str">
        <f>IF([2]Baskol!$E$1727="","",[2]Baskol!$E$1727)</f>
        <v/>
      </c>
      <c r="X1724" t="str">
        <f>IF([2]Baskol!$G$1727="","",[2]Baskol!$G$1727)</f>
        <v/>
      </c>
      <c r="Y1724" t="str">
        <f>IF([2]Baskol!$I$1727="","",[2]Baskol!$I$1727)</f>
        <v/>
      </c>
      <c r="Z1724" t="str">
        <f>IF([2]Baskol!$J$1727="","",[2]Baskol!$J$1727)</f>
        <v/>
      </c>
      <c r="AA1724" t="str">
        <f>IF([2]Baskol!$K$1727="","",[2]Baskol!$K$1727)</f>
        <v/>
      </c>
      <c r="AB1724" t="str">
        <f>IF([2]Baskol!$L$1727="","",[2]Baskol!$L$1727)</f>
        <v/>
      </c>
      <c r="AC1724" t="str">
        <f>IF([2]Baskol!$N$1727="","",[2]Baskol!$N$1727)</f>
        <v/>
      </c>
      <c r="AD1724" t="str">
        <f>IF([2]Baskol!$O$1727="","",[2]Baskol!$O$1727)</f>
        <v/>
      </c>
      <c r="AE1724" t="str">
        <f>IF([3]Entry!$C$1727="","",[3]Entry!$C$1727)</f>
        <v/>
      </c>
      <c r="AF1724" t="str">
        <f>IF([3]Entry!$D$1727="","",[3]Entry!$D$1727)</f>
        <v/>
      </c>
      <c r="AG1724" t="str">
        <f>IF([3]Entry!$E$1727="","",[3]Entry!$E$1727)</f>
        <v/>
      </c>
      <c r="AH1724" t="str">
        <f>IF([3]Entry!$G$1727="","",[3]Entry!$G$1727)</f>
        <v/>
      </c>
      <c r="AI1724" t="str">
        <f>IF([3]Entry!$K$1727="","",[3]Entry!$K$1727)</f>
        <v/>
      </c>
      <c r="AJ1724" t="str">
        <f>IF([3]Entry!$L$1727="","",[3]Entry!$L$1727)</f>
        <v/>
      </c>
      <c r="AK1724" t="str">
        <f>IF([3]Entry!$M$1727="","",[3]Entry!$M$1727)</f>
        <v/>
      </c>
      <c r="AL1724" t="str">
        <f>IF([3]Entry!$N$1727="","",[3]Entry!$N$1727)</f>
        <v/>
      </c>
      <c r="AM1724" t="str">
        <f>IF([3]Entry!$R$1727="","",[3]Entry!$R$1727)</f>
        <v/>
      </c>
    </row>
    <row r="1725" spans="20:39" x14ac:dyDescent="0.2">
      <c r="T1725" t="str">
        <f>IF([2]Baskol!$B$1728="","",[2]Baskol!$B$1728)</f>
        <v/>
      </c>
      <c r="U1725" t="str">
        <f>IF([2]Baskol!$C$1728="","",[2]Baskol!$C$1728)</f>
        <v/>
      </c>
      <c r="V1725" t="str">
        <f>IF([2]Baskol!$D$1728="","",[2]Baskol!$D$1728)</f>
        <v/>
      </c>
      <c r="W1725" t="str">
        <f>IF([2]Baskol!$E$1728="","",[2]Baskol!$E$1728)</f>
        <v/>
      </c>
      <c r="X1725" t="str">
        <f>IF([2]Baskol!$G$1728="","",[2]Baskol!$G$1728)</f>
        <v/>
      </c>
      <c r="Y1725" t="str">
        <f>IF([2]Baskol!$I$1728="","",[2]Baskol!$I$1728)</f>
        <v/>
      </c>
      <c r="Z1725" t="str">
        <f>IF([2]Baskol!$J$1728="","",[2]Baskol!$J$1728)</f>
        <v/>
      </c>
      <c r="AA1725" t="str">
        <f>IF([2]Baskol!$K$1728="","",[2]Baskol!$K$1728)</f>
        <v/>
      </c>
      <c r="AB1725" t="str">
        <f>IF([2]Baskol!$L$1728="","",[2]Baskol!$L$1728)</f>
        <v/>
      </c>
      <c r="AC1725" t="str">
        <f>IF([2]Baskol!$N$1728="","",[2]Baskol!$N$1728)</f>
        <v/>
      </c>
      <c r="AD1725" t="str">
        <f>IF([2]Baskol!$O$1728="","",[2]Baskol!$O$1728)</f>
        <v/>
      </c>
      <c r="AE1725" t="str">
        <f>IF([3]Entry!$C$1728="","",[3]Entry!$C$1728)</f>
        <v/>
      </c>
      <c r="AF1725" t="str">
        <f>IF([3]Entry!$D$1728="","",[3]Entry!$D$1728)</f>
        <v/>
      </c>
      <c r="AG1725" t="str">
        <f>IF([3]Entry!$E$1728="","",[3]Entry!$E$1728)</f>
        <v/>
      </c>
      <c r="AH1725" t="str">
        <f>IF([3]Entry!$G$1728="","",[3]Entry!$G$1728)</f>
        <v/>
      </c>
      <c r="AI1725" t="str">
        <f>IF([3]Entry!$K$1728="","",[3]Entry!$K$1728)</f>
        <v/>
      </c>
      <c r="AJ1725" t="str">
        <f>IF([3]Entry!$L$1728="","",[3]Entry!$L$1728)</f>
        <v/>
      </c>
      <c r="AK1725" t="str">
        <f>IF([3]Entry!$M$1728="","",[3]Entry!$M$1728)</f>
        <v/>
      </c>
      <c r="AL1725" t="str">
        <f>IF([3]Entry!$N$1728="","",[3]Entry!$N$1728)</f>
        <v/>
      </c>
      <c r="AM1725" t="str">
        <f>IF([3]Entry!$R$1728="","",[3]Entry!$R$1728)</f>
        <v/>
      </c>
    </row>
    <row r="1726" spans="20:39" x14ac:dyDescent="0.2">
      <c r="T1726" t="str">
        <f>IF([2]Baskol!$B$1729="","",[2]Baskol!$B$1729)</f>
        <v/>
      </c>
      <c r="U1726" t="str">
        <f>IF([2]Baskol!$C$1729="","",[2]Baskol!$C$1729)</f>
        <v/>
      </c>
      <c r="V1726" t="str">
        <f>IF([2]Baskol!$D$1729="","",[2]Baskol!$D$1729)</f>
        <v/>
      </c>
      <c r="W1726" t="str">
        <f>IF([2]Baskol!$E$1729="","",[2]Baskol!$E$1729)</f>
        <v/>
      </c>
      <c r="X1726" t="str">
        <f>IF([2]Baskol!$G$1729="","",[2]Baskol!$G$1729)</f>
        <v/>
      </c>
      <c r="Y1726" t="str">
        <f>IF([2]Baskol!$I$1729="","",[2]Baskol!$I$1729)</f>
        <v/>
      </c>
      <c r="Z1726" t="str">
        <f>IF([2]Baskol!$J$1729="","",[2]Baskol!$J$1729)</f>
        <v/>
      </c>
      <c r="AA1726" t="str">
        <f>IF([2]Baskol!$K$1729="","",[2]Baskol!$K$1729)</f>
        <v/>
      </c>
      <c r="AB1726" t="str">
        <f>IF([2]Baskol!$L$1729="","",[2]Baskol!$L$1729)</f>
        <v/>
      </c>
      <c r="AC1726" t="str">
        <f>IF([2]Baskol!$N$1729="","",[2]Baskol!$N$1729)</f>
        <v/>
      </c>
      <c r="AD1726" t="str">
        <f>IF([2]Baskol!$O$1729="","",[2]Baskol!$O$1729)</f>
        <v/>
      </c>
      <c r="AE1726" t="str">
        <f>IF([3]Entry!$C$1729="","",[3]Entry!$C$1729)</f>
        <v/>
      </c>
      <c r="AF1726" t="str">
        <f>IF([3]Entry!$D$1729="","",[3]Entry!$D$1729)</f>
        <v/>
      </c>
      <c r="AG1726" t="str">
        <f>IF([3]Entry!$E$1729="","",[3]Entry!$E$1729)</f>
        <v/>
      </c>
      <c r="AH1726" t="str">
        <f>IF([3]Entry!$G$1729="","",[3]Entry!$G$1729)</f>
        <v/>
      </c>
      <c r="AI1726" t="str">
        <f>IF([3]Entry!$K$1729="","",[3]Entry!$K$1729)</f>
        <v/>
      </c>
      <c r="AJ1726" t="str">
        <f>IF([3]Entry!$L$1729="","",[3]Entry!$L$1729)</f>
        <v/>
      </c>
      <c r="AK1726" t="str">
        <f>IF([3]Entry!$M$1729="","",[3]Entry!$M$1729)</f>
        <v/>
      </c>
      <c r="AL1726" t="str">
        <f>IF([3]Entry!$N$1729="","",[3]Entry!$N$1729)</f>
        <v/>
      </c>
      <c r="AM1726" t="str">
        <f>IF([3]Entry!$R$1729="","",[3]Entry!$R$1729)</f>
        <v/>
      </c>
    </row>
    <row r="1727" spans="20:39" x14ac:dyDescent="0.2">
      <c r="T1727" t="str">
        <f>IF([2]Baskol!$B$1730="","",[2]Baskol!$B$1730)</f>
        <v/>
      </c>
      <c r="U1727" t="str">
        <f>IF([2]Baskol!$C$1730="","",[2]Baskol!$C$1730)</f>
        <v/>
      </c>
      <c r="V1727" t="str">
        <f>IF([2]Baskol!$D$1730="","",[2]Baskol!$D$1730)</f>
        <v/>
      </c>
      <c r="W1727" t="str">
        <f>IF([2]Baskol!$E$1730="","",[2]Baskol!$E$1730)</f>
        <v/>
      </c>
      <c r="X1727" t="str">
        <f>IF([2]Baskol!$G$1730="","",[2]Baskol!$G$1730)</f>
        <v/>
      </c>
      <c r="Y1727" t="str">
        <f>IF([2]Baskol!$I$1730="","",[2]Baskol!$I$1730)</f>
        <v/>
      </c>
      <c r="Z1727" t="str">
        <f>IF([2]Baskol!$J$1730="","",[2]Baskol!$J$1730)</f>
        <v/>
      </c>
      <c r="AA1727" t="str">
        <f>IF([2]Baskol!$K$1730="","",[2]Baskol!$K$1730)</f>
        <v/>
      </c>
      <c r="AB1727" t="str">
        <f>IF([2]Baskol!$L$1730="","",[2]Baskol!$L$1730)</f>
        <v/>
      </c>
      <c r="AC1727" t="str">
        <f>IF([2]Baskol!$N$1730="","",[2]Baskol!$N$1730)</f>
        <v/>
      </c>
      <c r="AD1727" t="str">
        <f>IF([2]Baskol!$O$1730="","",[2]Baskol!$O$1730)</f>
        <v/>
      </c>
      <c r="AE1727" t="str">
        <f>IF([3]Entry!$C$1730="","",[3]Entry!$C$1730)</f>
        <v/>
      </c>
      <c r="AF1727" t="str">
        <f>IF([3]Entry!$D$1730="","",[3]Entry!$D$1730)</f>
        <v/>
      </c>
      <c r="AG1727" t="str">
        <f>IF([3]Entry!$E$1730="","",[3]Entry!$E$1730)</f>
        <v/>
      </c>
      <c r="AH1727" t="str">
        <f>IF([3]Entry!$G$1730="","",[3]Entry!$G$1730)</f>
        <v/>
      </c>
      <c r="AI1727" t="str">
        <f>IF([3]Entry!$K$1730="","",[3]Entry!$K$1730)</f>
        <v/>
      </c>
      <c r="AJ1727" t="str">
        <f>IF([3]Entry!$L$1730="","",[3]Entry!$L$1730)</f>
        <v/>
      </c>
      <c r="AK1727" t="str">
        <f>IF([3]Entry!$M$1730="","",[3]Entry!$M$1730)</f>
        <v/>
      </c>
      <c r="AL1727" t="str">
        <f>IF([3]Entry!$N$1730="","",[3]Entry!$N$1730)</f>
        <v/>
      </c>
      <c r="AM1727" t="str">
        <f>IF([3]Entry!$R$1730="","",[3]Entry!$R$1730)</f>
        <v/>
      </c>
    </row>
    <row r="1728" spans="20:39" x14ac:dyDescent="0.2">
      <c r="T1728" t="str">
        <f>IF([2]Baskol!$B$1731="","",[2]Baskol!$B$1731)</f>
        <v/>
      </c>
      <c r="U1728" t="str">
        <f>IF([2]Baskol!$C$1731="","",[2]Baskol!$C$1731)</f>
        <v/>
      </c>
      <c r="V1728" t="str">
        <f>IF([2]Baskol!$D$1731="","",[2]Baskol!$D$1731)</f>
        <v/>
      </c>
      <c r="W1728" t="str">
        <f>IF([2]Baskol!$E$1731="","",[2]Baskol!$E$1731)</f>
        <v/>
      </c>
      <c r="X1728" t="str">
        <f>IF([2]Baskol!$G$1731="","",[2]Baskol!$G$1731)</f>
        <v/>
      </c>
      <c r="Y1728" t="str">
        <f>IF([2]Baskol!$I$1731="","",[2]Baskol!$I$1731)</f>
        <v/>
      </c>
      <c r="Z1728" t="str">
        <f>IF([2]Baskol!$J$1731="","",[2]Baskol!$J$1731)</f>
        <v/>
      </c>
      <c r="AA1728" t="str">
        <f>IF([2]Baskol!$K$1731="","",[2]Baskol!$K$1731)</f>
        <v/>
      </c>
      <c r="AB1728" t="str">
        <f>IF([2]Baskol!$L$1731="","",[2]Baskol!$L$1731)</f>
        <v/>
      </c>
      <c r="AC1728" t="str">
        <f>IF([2]Baskol!$N$1731="","",[2]Baskol!$N$1731)</f>
        <v/>
      </c>
      <c r="AD1728" t="str">
        <f>IF([2]Baskol!$O$1731="","",[2]Baskol!$O$1731)</f>
        <v/>
      </c>
      <c r="AE1728" t="str">
        <f>IF([3]Entry!$C$1731="","",[3]Entry!$C$1731)</f>
        <v/>
      </c>
      <c r="AF1728" t="str">
        <f>IF([3]Entry!$D$1731="","",[3]Entry!$D$1731)</f>
        <v/>
      </c>
      <c r="AG1728" t="str">
        <f>IF([3]Entry!$E$1731="","",[3]Entry!$E$1731)</f>
        <v/>
      </c>
      <c r="AH1728" t="str">
        <f>IF([3]Entry!$G$1731="","",[3]Entry!$G$1731)</f>
        <v/>
      </c>
      <c r="AI1728" t="str">
        <f>IF([3]Entry!$K$1731="","",[3]Entry!$K$1731)</f>
        <v/>
      </c>
      <c r="AJ1728" t="str">
        <f>IF([3]Entry!$L$1731="","",[3]Entry!$L$1731)</f>
        <v/>
      </c>
      <c r="AK1728" t="str">
        <f>IF([3]Entry!$M$1731="","",[3]Entry!$M$1731)</f>
        <v/>
      </c>
      <c r="AL1728" t="str">
        <f>IF([3]Entry!$N$1731="","",[3]Entry!$N$1731)</f>
        <v/>
      </c>
      <c r="AM1728" t="str">
        <f>IF([3]Entry!$R$1731="","",[3]Entry!$R$1731)</f>
        <v/>
      </c>
    </row>
    <row r="1729" spans="20:39" x14ac:dyDescent="0.2">
      <c r="T1729" t="str">
        <f>IF([2]Baskol!$B$1732="","",[2]Baskol!$B$1732)</f>
        <v/>
      </c>
      <c r="U1729" t="str">
        <f>IF([2]Baskol!$C$1732="","",[2]Baskol!$C$1732)</f>
        <v/>
      </c>
      <c r="V1729" t="str">
        <f>IF([2]Baskol!$D$1732="","",[2]Baskol!$D$1732)</f>
        <v/>
      </c>
      <c r="W1729" t="str">
        <f>IF([2]Baskol!$E$1732="","",[2]Baskol!$E$1732)</f>
        <v/>
      </c>
      <c r="X1729" t="str">
        <f>IF([2]Baskol!$G$1732="","",[2]Baskol!$G$1732)</f>
        <v/>
      </c>
      <c r="Y1729" t="str">
        <f>IF([2]Baskol!$I$1732="","",[2]Baskol!$I$1732)</f>
        <v/>
      </c>
      <c r="Z1729" t="str">
        <f>IF([2]Baskol!$J$1732="","",[2]Baskol!$J$1732)</f>
        <v/>
      </c>
      <c r="AA1729" t="str">
        <f>IF([2]Baskol!$K$1732="","",[2]Baskol!$K$1732)</f>
        <v/>
      </c>
      <c r="AB1729" t="str">
        <f>IF([2]Baskol!$L$1732="","",[2]Baskol!$L$1732)</f>
        <v/>
      </c>
      <c r="AC1729" t="str">
        <f>IF([2]Baskol!$N$1732="","",[2]Baskol!$N$1732)</f>
        <v/>
      </c>
      <c r="AD1729" t="str">
        <f>IF([2]Baskol!$O$1732="","",[2]Baskol!$O$1732)</f>
        <v/>
      </c>
      <c r="AE1729" t="str">
        <f>IF([3]Entry!$C$1732="","",[3]Entry!$C$1732)</f>
        <v/>
      </c>
      <c r="AF1729" t="str">
        <f>IF([3]Entry!$D$1732="","",[3]Entry!$D$1732)</f>
        <v/>
      </c>
      <c r="AG1729" t="str">
        <f>IF([3]Entry!$E$1732="","",[3]Entry!$E$1732)</f>
        <v/>
      </c>
      <c r="AH1729" t="str">
        <f>IF([3]Entry!$G$1732="","",[3]Entry!$G$1732)</f>
        <v/>
      </c>
      <c r="AI1729" t="str">
        <f>IF([3]Entry!$K$1732="","",[3]Entry!$K$1732)</f>
        <v/>
      </c>
      <c r="AJ1729" t="str">
        <f>IF([3]Entry!$L$1732="","",[3]Entry!$L$1732)</f>
        <v/>
      </c>
      <c r="AK1729" t="str">
        <f>IF([3]Entry!$M$1732="","",[3]Entry!$M$1732)</f>
        <v/>
      </c>
      <c r="AL1729" t="str">
        <f>IF([3]Entry!$N$1732="","",[3]Entry!$N$1732)</f>
        <v/>
      </c>
      <c r="AM1729" t="str">
        <f>IF([3]Entry!$R$1732="","",[3]Entry!$R$1732)</f>
        <v/>
      </c>
    </row>
    <row r="1730" spans="20:39" x14ac:dyDescent="0.2">
      <c r="T1730" t="str">
        <f>IF([2]Baskol!$B$1733="","",[2]Baskol!$B$1733)</f>
        <v/>
      </c>
      <c r="U1730" t="str">
        <f>IF([2]Baskol!$C$1733="","",[2]Baskol!$C$1733)</f>
        <v/>
      </c>
      <c r="V1730" t="str">
        <f>IF([2]Baskol!$D$1733="","",[2]Baskol!$D$1733)</f>
        <v/>
      </c>
      <c r="W1730" t="str">
        <f>IF([2]Baskol!$E$1733="","",[2]Baskol!$E$1733)</f>
        <v/>
      </c>
      <c r="X1730" t="str">
        <f>IF([2]Baskol!$G$1733="","",[2]Baskol!$G$1733)</f>
        <v/>
      </c>
      <c r="Y1730" t="str">
        <f>IF([2]Baskol!$I$1733="","",[2]Baskol!$I$1733)</f>
        <v/>
      </c>
      <c r="Z1730" t="str">
        <f>IF([2]Baskol!$J$1733="","",[2]Baskol!$J$1733)</f>
        <v/>
      </c>
      <c r="AA1730" t="str">
        <f>IF([2]Baskol!$K$1733="","",[2]Baskol!$K$1733)</f>
        <v/>
      </c>
      <c r="AB1730" t="str">
        <f>IF([2]Baskol!$L$1733="","",[2]Baskol!$L$1733)</f>
        <v/>
      </c>
      <c r="AC1730" t="str">
        <f>IF([2]Baskol!$N$1733="","",[2]Baskol!$N$1733)</f>
        <v/>
      </c>
      <c r="AD1730" t="str">
        <f>IF([2]Baskol!$O$1733="","",[2]Baskol!$O$1733)</f>
        <v/>
      </c>
      <c r="AE1730" t="str">
        <f>IF([3]Entry!$C$1733="","",[3]Entry!$C$1733)</f>
        <v/>
      </c>
      <c r="AF1730" t="str">
        <f>IF([3]Entry!$D$1733="","",[3]Entry!$D$1733)</f>
        <v/>
      </c>
      <c r="AG1730" t="str">
        <f>IF([3]Entry!$E$1733="","",[3]Entry!$E$1733)</f>
        <v/>
      </c>
      <c r="AH1730" t="str">
        <f>IF([3]Entry!$G$1733="","",[3]Entry!$G$1733)</f>
        <v/>
      </c>
      <c r="AI1730" t="str">
        <f>IF([3]Entry!$K$1733="","",[3]Entry!$K$1733)</f>
        <v/>
      </c>
      <c r="AJ1730" t="str">
        <f>IF([3]Entry!$L$1733="","",[3]Entry!$L$1733)</f>
        <v/>
      </c>
      <c r="AK1730" t="str">
        <f>IF([3]Entry!$M$1733="","",[3]Entry!$M$1733)</f>
        <v/>
      </c>
      <c r="AL1730" t="str">
        <f>IF([3]Entry!$N$1733="","",[3]Entry!$N$1733)</f>
        <v/>
      </c>
      <c r="AM1730" t="str">
        <f>IF([3]Entry!$R$1733="","",[3]Entry!$R$1733)</f>
        <v/>
      </c>
    </row>
    <row r="1731" spans="20:39" x14ac:dyDescent="0.2">
      <c r="T1731" t="str">
        <f>IF([2]Baskol!$B$1734="","",[2]Baskol!$B$1734)</f>
        <v/>
      </c>
      <c r="U1731" t="str">
        <f>IF([2]Baskol!$C$1734="","",[2]Baskol!$C$1734)</f>
        <v/>
      </c>
      <c r="V1731" t="str">
        <f>IF([2]Baskol!$D$1734="","",[2]Baskol!$D$1734)</f>
        <v/>
      </c>
      <c r="W1731" t="str">
        <f>IF([2]Baskol!$E$1734="","",[2]Baskol!$E$1734)</f>
        <v/>
      </c>
      <c r="X1731" t="str">
        <f>IF([2]Baskol!$G$1734="","",[2]Baskol!$G$1734)</f>
        <v/>
      </c>
      <c r="Y1731" t="str">
        <f>IF([2]Baskol!$I$1734="","",[2]Baskol!$I$1734)</f>
        <v/>
      </c>
      <c r="Z1731" t="str">
        <f>IF([2]Baskol!$J$1734="","",[2]Baskol!$J$1734)</f>
        <v/>
      </c>
      <c r="AA1731" t="str">
        <f>IF([2]Baskol!$K$1734="","",[2]Baskol!$K$1734)</f>
        <v/>
      </c>
      <c r="AB1731" t="str">
        <f>IF([2]Baskol!$L$1734="","",[2]Baskol!$L$1734)</f>
        <v/>
      </c>
      <c r="AC1731" t="str">
        <f>IF([2]Baskol!$N$1734="","",[2]Baskol!$N$1734)</f>
        <v/>
      </c>
      <c r="AD1731" t="str">
        <f>IF([2]Baskol!$O$1734="","",[2]Baskol!$O$1734)</f>
        <v/>
      </c>
      <c r="AE1731" t="str">
        <f>IF([3]Entry!$C$1734="","",[3]Entry!$C$1734)</f>
        <v/>
      </c>
      <c r="AF1731" t="str">
        <f>IF([3]Entry!$D$1734="","",[3]Entry!$D$1734)</f>
        <v/>
      </c>
      <c r="AG1731" t="str">
        <f>IF([3]Entry!$E$1734="","",[3]Entry!$E$1734)</f>
        <v/>
      </c>
      <c r="AH1731" t="str">
        <f>IF([3]Entry!$G$1734="","",[3]Entry!$G$1734)</f>
        <v/>
      </c>
      <c r="AI1731" t="str">
        <f>IF([3]Entry!$K$1734="","",[3]Entry!$K$1734)</f>
        <v/>
      </c>
      <c r="AJ1731" t="str">
        <f>IF([3]Entry!$L$1734="","",[3]Entry!$L$1734)</f>
        <v/>
      </c>
      <c r="AK1731" t="str">
        <f>IF([3]Entry!$M$1734="","",[3]Entry!$M$1734)</f>
        <v/>
      </c>
      <c r="AL1731" t="str">
        <f>IF([3]Entry!$N$1734="","",[3]Entry!$N$1734)</f>
        <v/>
      </c>
      <c r="AM1731" t="str">
        <f>IF([3]Entry!$R$1734="","",[3]Entry!$R$1734)</f>
        <v/>
      </c>
    </row>
    <row r="1732" spans="20:39" x14ac:dyDescent="0.2">
      <c r="T1732" t="str">
        <f>IF([2]Baskol!$B$1735="","",[2]Baskol!$B$1735)</f>
        <v/>
      </c>
      <c r="U1732" t="str">
        <f>IF([2]Baskol!$C$1735="","",[2]Baskol!$C$1735)</f>
        <v/>
      </c>
      <c r="V1732" t="str">
        <f>IF([2]Baskol!$D$1735="","",[2]Baskol!$D$1735)</f>
        <v/>
      </c>
      <c r="W1732" t="str">
        <f>IF([2]Baskol!$E$1735="","",[2]Baskol!$E$1735)</f>
        <v/>
      </c>
      <c r="X1732" t="str">
        <f>IF([2]Baskol!$G$1735="","",[2]Baskol!$G$1735)</f>
        <v/>
      </c>
      <c r="Y1732" t="str">
        <f>IF([2]Baskol!$I$1735="","",[2]Baskol!$I$1735)</f>
        <v/>
      </c>
      <c r="Z1732" t="str">
        <f>IF([2]Baskol!$J$1735="","",[2]Baskol!$J$1735)</f>
        <v/>
      </c>
      <c r="AA1732" t="str">
        <f>IF([2]Baskol!$K$1735="","",[2]Baskol!$K$1735)</f>
        <v/>
      </c>
      <c r="AB1732" t="str">
        <f>IF([2]Baskol!$L$1735="","",[2]Baskol!$L$1735)</f>
        <v/>
      </c>
      <c r="AC1732" t="str">
        <f>IF([2]Baskol!$N$1735="","",[2]Baskol!$N$1735)</f>
        <v/>
      </c>
      <c r="AD1732" t="str">
        <f>IF([2]Baskol!$O$1735="","",[2]Baskol!$O$1735)</f>
        <v/>
      </c>
      <c r="AE1732" t="str">
        <f>IF([3]Entry!$C$1735="","",[3]Entry!$C$1735)</f>
        <v/>
      </c>
      <c r="AF1732" t="str">
        <f>IF([3]Entry!$D$1735="","",[3]Entry!$D$1735)</f>
        <v/>
      </c>
      <c r="AG1732" t="str">
        <f>IF([3]Entry!$E$1735="","",[3]Entry!$E$1735)</f>
        <v/>
      </c>
      <c r="AH1732" t="str">
        <f>IF([3]Entry!$G$1735="","",[3]Entry!$G$1735)</f>
        <v/>
      </c>
      <c r="AI1732" t="str">
        <f>IF([3]Entry!$K$1735="","",[3]Entry!$K$1735)</f>
        <v/>
      </c>
      <c r="AJ1732" t="str">
        <f>IF([3]Entry!$L$1735="","",[3]Entry!$L$1735)</f>
        <v/>
      </c>
      <c r="AK1732" t="str">
        <f>IF([3]Entry!$M$1735="","",[3]Entry!$M$1735)</f>
        <v/>
      </c>
      <c r="AL1732" t="str">
        <f>IF([3]Entry!$N$1735="","",[3]Entry!$N$1735)</f>
        <v/>
      </c>
      <c r="AM1732" t="str">
        <f>IF([3]Entry!$R$1735="","",[3]Entry!$R$1735)</f>
        <v/>
      </c>
    </row>
    <row r="1733" spans="20:39" x14ac:dyDescent="0.2">
      <c r="T1733" t="str">
        <f>IF([2]Baskol!$B$1736="","",[2]Baskol!$B$1736)</f>
        <v/>
      </c>
      <c r="U1733" t="str">
        <f>IF([2]Baskol!$C$1736="","",[2]Baskol!$C$1736)</f>
        <v/>
      </c>
      <c r="V1733" t="str">
        <f>IF([2]Baskol!$D$1736="","",[2]Baskol!$D$1736)</f>
        <v/>
      </c>
      <c r="W1733" t="str">
        <f>IF([2]Baskol!$E$1736="","",[2]Baskol!$E$1736)</f>
        <v/>
      </c>
      <c r="X1733" t="str">
        <f>IF([2]Baskol!$G$1736="","",[2]Baskol!$G$1736)</f>
        <v/>
      </c>
      <c r="Y1733" t="str">
        <f>IF([2]Baskol!$I$1736="","",[2]Baskol!$I$1736)</f>
        <v/>
      </c>
      <c r="Z1733" t="str">
        <f>IF([2]Baskol!$J$1736="","",[2]Baskol!$J$1736)</f>
        <v/>
      </c>
      <c r="AA1733" t="str">
        <f>IF([2]Baskol!$K$1736="","",[2]Baskol!$K$1736)</f>
        <v/>
      </c>
      <c r="AB1733" t="str">
        <f>IF([2]Baskol!$L$1736="","",[2]Baskol!$L$1736)</f>
        <v/>
      </c>
      <c r="AC1733" t="str">
        <f>IF([2]Baskol!$N$1736="","",[2]Baskol!$N$1736)</f>
        <v/>
      </c>
      <c r="AD1733" t="str">
        <f>IF([2]Baskol!$O$1736="","",[2]Baskol!$O$1736)</f>
        <v/>
      </c>
      <c r="AE1733" t="str">
        <f>IF([3]Entry!$C$1736="","",[3]Entry!$C$1736)</f>
        <v/>
      </c>
      <c r="AF1733" t="str">
        <f>IF([3]Entry!$D$1736="","",[3]Entry!$D$1736)</f>
        <v/>
      </c>
      <c r="AG1733" t="str">
        <f>IF([3]Entry!$E$1736="","",[3]Entry!$E$1736)</f>
        <v/>
      </c>
      <c r="AH1733" t="str">
        <f>IF([3]Entry!$G$1736="","",[3]Entry!$G$1736)</f>
        <v/>
      </c>
      <c r="AI1733" t="str">
        <f>IF([3]Entry!$K$1736="","",[3]Entry!$K$1736)</f>
        <v/>
      </c>
      <c r="AJ1733" t="str">
        <f>IF([3]Entry!$L$1736="","",[3]Entry!$L$1736)</f>
        <v/>
      </c>
      <c r="AK1733" t="str">
        <f>IF([3]Entry!$M$1736="","",[3]Entry!$M$1736)</f>
        <v/>
      </c>
      <c r="AL1733" t="str">
        <f>IF([3]Entry!$N$1736="","",[3]Entry!$N$1736)</f>
        <v/>
      </c>
      <c r="AM1733" t="str">
        <f>IF([3]Entry!$R$1736="","",[3]Entry!$R$1736)</f>
        <v/>
      </c>
    </row>
    <row r="1734" spans="20:39" x14ac:dyDescent="0.2">
      <c r="T1734" t="str">
        <f>IF([2]Baskol!$B$1737="","",[2]Baskol!$B$1737)</f>
        <v/>
      </c>
      <c r="U1734" t="str">
        <f>IF([2]Baskol!$C$1737="","",[2]Baskol!$C$1737)</f>
        <v/>
      </c>
      <c r="V1734" t="str">
        <f>IF([2]Baskol!$D$1737="","",[2]Baskol!$D$1737)</f>
        <v/>
      </c>
      <c r="W1734" t="str">
        <f>IF([2]Baskol!$E$1737="","",[2]Baskol!$E$1737)</f>
        <v/>
      </c>
      <c r="X1734" t="str">
        <f>IF([2]Baskol!$G$1737="","",[2]Baskol!$G$1737)</f>
        <v/>
      </c>
      <c r="Y1734" t="str">
        <f>IF([2]Baskol!$I$1737="","",[2]Baskol!$I$1737)</f>
        <v/>
      </c>
      <c r="Z1734" t="str">
        <f>IF([2]Baskol!$J$1737="","",[2]Baskol!$J$1737)</f>
        <v/>
      </c>
      <c r="AA1734" t="str">
        <f>IF([2]Baskol!$K$1737="","",[2]Baskol!$K$1737)</f>
        <v/>
      </c>
      <c r="AB1734" t="str">
        <f>IF([2]Baskol!$L$1737="","",[2]Baskol!$L$1737)</f>
        <v/>
      </c>
      <c r="AC1734" t="str">
        <f>IF([2]Baskol!$N$1737="","",[2]Baskol!$N$1737)</f>
        <v/>
      </c>
      <c r="AD1734" t="str">
        <f>IF([2]Baskol!$O$1737="","",[2]Baskol!$O$1737)</f>
        <v/>
      </c>
      <c r="AE1734" t="str">
        <f>IF([3]Entry!$C$1737="","",[3]Entry!$C$1737)</f>
        <v/>
      </c>
      <c r="AF1734" t="str">
        <f>IF([3]Entry!$D$1737="","",[3]Entry!$D$1737)</f>
        <v/>
      </c>
      <c r="AG1734" t="str">
        <f>IF([3]Entry!$E$1737="","",[3]Entry!$E$1737)</f>
        <v/>
      </c>
      <c r="AH1734" t="str">
        <f>IF([3]Entry!$G$1737="","",[3]Entry!$G$1737)</f>
        <v/>
      </c>
      <c r="AI1734" t="str">
        <f>IF([3]Entry!$K$1737="","",[3]Entry!$K$1737)</f>
        <v/>
      </c>
      <c r="AJ1734" t="str">
        <f>IF([3]Entry!$L$1737="","",[3]Entry!$L$1737)</f>
        <v/>
      </c>
      <c r="AK1734" t="str">
        <f>IF([3]Entry!$M$1737="","",[3]Entry!$M$1737)</f>
        <v/>
      </c>
      <c r="AL1734" t="str">
        <f>IF([3]Entry!$N$1737="","",[3]Entry!$N$1737)</f>
        <v/>
      </c>
      <c r="AM1734" t="str">
        <f>IF([3]Entry!$R$1737="","",[3]Entry!$R$1737)</f>
        <v/>
      </c>
    </row>
    <row r="1735" spans="20:39" x14ac:dyDescent="0.2">
      <c r="T1735" t="str">
        <f>IF([2]Baskol!$B$1738="","",[2]Baskol!$B$1738)</f>
        <v/>
      </c>
      <c r="U1735" t="str">
        <f>IF([2]Baskol!$C$1738="","",[2]Baskol!$C$1738)</f>
        <v/>
      </c>
      <c r="V1735" t="str">
        <f>IF([2]Baskol!$D$1738="","",[2]Baskol!$D$1738)</f>
        <v/>
      </c>
      <c r="W1735" t="str">
        <f>IF([2]Baskol!$E$1738="","",[2]Baskol!$E$1738)</f>
        <v/>
      </c>
      <c r="X1735" t="str">
        <f>IF([2]Baskol!$G$1738="","",[2]Baskol!$G$1738)</f>
        <v/>
      </c>
      <c r="Y1735" t="str">
        <f>IF([2]Baskol!$I$1738="","",[2]Baskol!$I$1738)</f>
        <v/>
      </c>
      <c r="Z1735" t="str">
        <f>IF([2]Baskol!$J$1738="","",[2]Baskol!$J$1738)</f>
        <v/>
      </c>
      <c r="AA1735" t="str">
        <f>IF([2]Baskol!$K$1738="","",[2]Baskol!$K$1738)</f>
        <v/>
      </c>
      <c r="AB1735" t="str">
        <f>IF([2]Baskol!$L$1738="","",[2]Baskol!$L$1738)</f>
        <v/>
      </c>
      <c r="AC1735" t="str">
        <f>IF([2]Baskol!$N$1738="","",[2]Baskol!$N$1738)</f>
        <v/>
      </c>
      <c r="AD1735" t="str">
        <f>IF([2]Baskol!$O$1738="","",[2]Baskol!$O$1738)</f>
        <v/>
      </c>
      <c r="AE1735" t="str">
        <f>IF([3]Entry!$C$1738="","",[3]Entry!$C$1738)</f>
        <v/>
      </c>
      <c r="AF1735" t="str">
        <f>IF([3]Entry!$D$1738="","",[3]Entry!$D$1738)</f>
        <v/>
      </c>
      <c r="AG1735" t="str">
        <f>IF([3]Entry!$E$1738="","",[3]Entry!$E$1738)</f>
        <v/>
      </c>
      <c r="AH1735" t="str">
        <f>IF([3]Entry!$G$1738="","",[3]Entry!$G$1738)</f>
        <v/>
      </c>
      <c r="AI1735" t="str">
        <f>IF([3]Entry!$K$1738="","",[3]Entry!$K$1738)</f>
        <v/>
      </c>
      <c r="AJ1735" t="str">
        <f>IF([3]Entry!$L$1738="","",[3]Entry!$L$1738)</f>
        <v/>
      </c>
      <c r="AK1735" t="str">
        <f>IF([3]Entry!$M$1738="","",[3]Entry!$M$1738)</f>
        <v/>
      </c>
      <c r="AL1735" t="str">
        <f>IF([3]Entry!$N$1738="","",[3]Entry!$N$1738)</f>
        <v/>
      </c>
      <c r="AM1735" t="str">
        <f>IF([3]Entry!$R$1738="","",[3]Entry!$R$1738)</f>
        <v/>
      </c>
    </row>
    <row r="1736" spans="20:39" x14ac:dyDescent="0.2">
      <c r="T1736" t="str">
        <f>IF([2]Baskol!$B$1739="","",[2]Baskol!$B$1739)</f>
        <v/>
      </c>
      <c r="U1736" t="str">
        <f>IF([2]Baskol!$C$1739="","",[2]Baskol!$C$1739)</f>
        <v/>
      </c>
      <c r="V1736" t="str">
        <f>IF([2]Baskol!$D$1739="","",[2]Baskol!$D$1739)</f>
        <v/>
      </c>
      <c r="W1736" t="str">
        <f>IF([2]Baskol!$E$1739="","",[2]Baskol!$E$1739)</f>
        <v/>
      </c>
      <c r="X1736" t="str">
        <f>IF([2]Baskol!$G$1739="","",[2]Baskol!$G$1739)</f>
        <v/>
      </c>
      <c r="Y1736" t="str">
        <f>IF([2]Baskol!$I$1739="","",[2]Baskol!$I$1739)</f>
        <v/>
      </c>
      <c r="Z1736" t="str">
        <f>IF([2]Baskol!$J$1739="","",[2]Baskol!$J$1739)</f>
        <v/>
      </c>
      <c r="AA1736" t="str">
        <f>IF([2]Baskol!$K$1739="","",[2]Baskol!$K$1739)</f>
        <v/>
      </c>
      <c r="AB1736" t="str">
        <f>IF([2]Baskol!$L$1739="","",[2]Baskol!$L$1739)</f>
        <v/>
      </c>
      <c r="AC1736" t="str">
        <f>IF([2]Baskol!$N$1739="","",[2]Baskol!$N$1739)</f>
        <v/>
      </c>
      <c r="AD1736" t="str">
        <f>IF([2]Baskol!$O$1739="","",[2]Baskol!$O$1739)</f>
        <v/>
      </c>
      <c r="AE1736" t="str">
        <f>IF([3]Entry!$C$1739="","",[3]Entry!$C$1739)</f>
        <v/>
      </c>
      <c r="AF1736" t="str">
        <f>IF([3]Entry!$D$1739="","",[3]Entry!$D$1739)</f>
        <v/>
      </c>
      <c r="AG1736" t="str">
        <f>IF([3]Entry!$E$1739="","",[3]Entry!$E$1739)</f>
        <v/>
      </c>
      <c r="AH1736" t="str">
        <f>IF([3]Entry!$G$1739="","",[3]Entry!$G$1739)</f>
        <v/>
      </c>
      <c r="AI1736" t="str">
        <f>IF([3]Entry!$K$1739="","",[3]Entry!$K$1739)</f>
        <v/>
      </c>
      <c r="AJ1736" t="str">
        <f>IF([3]Entry!$L$1739="","",[3]Entry!$L$1739)</f>
        <v/>
      </c>
      <c r="AK1736" t="str">
        <f>IF([3]Entry!$M$1739="","",[3]Entry!$M$1739)</f>
        <v/>
      </c>
      <c r="AL1736" t="str">
        <f>IF([3]Entry!$N$1739="","",[3]Entry!$N$1739)</f>
        <v/>
      </c>
      <c r="AM1736" t="str">
        <f>IF([3]Entry!$R$1739="","",[3]Entry!$R$1739)</f>
        <v/>
      </c>
    </row>
    <row r="1737" spans="20:39" x14ac:dyDescent="0.2">
      <c r="T1737" t="str">
        <f>IF([2]Baskol!$B$1740="","",[2]Baskol!$B$1740)</f>
        <v/>
      </c>
      <c r="U1737" t="str">
        <f>IF([2]Baskol!$C$1740="","",[2]Baskol!$C$1740)</f>
        <v/>
      </c>
      <c r="V1737" t="str">
        <f>IF([2]Baskol!$D$1740="","",[2]Baskol!$D$1740)</f>
        <v/>
      </c>
      <c r="W1737" t="str">
        <f>IF([2]Baskol!$E$1740="","",[2]Baskol!$E$1740)</f>
        <v/>
      </c>
      <c r="X1737" t="str">
        <f>IF([2]Baskol!$G$1740="","",[2]Baskol!$G$1740)</f>
        <v/>
      </c>
      <c r="Y1737" t="str">
        <f>IF([2]Baskol!$I$1740="","",[2]Baskol!$I$1740)</f>
        <v/>
      </c>
      <c r="Z1737" t="str">
        <f>IF([2]Baskol!$J$1740="","",[2]Baskol!$J$1740)</f>
        <v/>
      </c>
      <c r="AA1737" t="str">
        <f>IF([2]Baskol!$K$1740="","",[2]Baskol!$K$1740)</f>
        <v/>
      </c>
      <c r="AB1737" t="str">
        <f>IF([2]Baskol!$L$1740="","",[2]Baskol!$L$1740)</f>
        <v/>
      </c>
      <c r="AC1737" t="str">
        <f>IF([2]Baskol!$N$1740="","",[2]Baskol!$N$1740)</f>
        <v/>
      </c>
      <c r="AD1737" t="str">
        <f>IF([2]Baskol!$O$1740="","",[2]Baskol!$O$1740)</f>
        <v/>
      </c>
      <c r="AE1737" t="str">
        <f>IF([3]Entry!$C$1740="","",[3]Entry!$C$1740)</f>
        <v/>
      </c>
      <c r="AF1737" t="str">
        <f>IF([3]Entry!$D$1740="","",[3]Entry!$D$1740)</f>
        <v/>
      </c>
      <c r="AG1737" t="str">
        <f>IF([3]Entry!$E$1740="","",[3]Entry!$E$1740)</f>
        <v/>
      </c>
      <c r="AH1737" t="str">
        <f>IF([3]Entry!$G$1740="","",[3]Entry!$G$1740)</f>
        <v/>
      </c>
      <c r="AI1737" t="str">
        <f>IF([3]Entry!$K$1740="","",[3]Entry!$K$1740)</f>
        <v/>
      </c>
      <c r="AJ1737" t="str">
        <f>IF([3]Entry!$L$1740="","",[3]Entry!$L$1740)</f>
        <v/>
      </c>
      <c r="AK1737" t="str">
        <f>IF([3]Entry!$M$1740="","",[3]Entry!$M$1740)</f>
        <v/>
      </c>
      <c r="AL1737" t="str">
        <f>IF([3]Entry!$N$1740="","",[3]Entry!$N$1740)</f>
        <v/>
      </c>
      <c r="AM1737" t="str">
        <f>IF([3]Entry!$R$1740="","",[3]Entry!$R$1740)</f>
        <v/>
      </c>
    </row>
    <row r="1738" spans="20:39" x14ac:dyDescent="0.2">
      <c r="T1738" t="str">
        <f>IF([2]Baskol!$B$1741="","",[2]Baskol!$B$1741)</f>
        <v/>
      </c>
      <c r="U1738" t="str">
        <f>IF([2]Baskol!$C$1741="","",[2]Baskol!$C$1741)</f>
        <v/>
      </c>
      <c r="V1738" t="str">
        <f>IF([2]Baskol!$D$1741="","",[2]Baskol!$D$1741)</f>
        <v/>
      </c>
      <c r="W1738" t="str">
        <f>IF([2]Baskol!$E$1741="","",[2]Baskol!$E$1741)</f>
        <v/>
      </c>
      <c r="X1738" t="str">
        <f>IF([2]Baskol!$G$1741="","",[2]Baskol!$G$1741)</f>
        <v/>
      </c>
      <c r="Y1738" t="str">
        <f>IF([2]Baskol!$I$1741="","",[2]Baskol!$I$1741)</f>
        <v/>
      </c>
      <c r="Z1738" t="str">
        <f>IF([2]Baskol!$J$1741="","",[2]Baskol!$J$1741)</f>
        <v/>
      </c>
      <c r="AA1738" t="str">
        <f>IF([2]Baskol!$K$1741="","",[2]Baskol!$K$1741)</f>
        <v/>
      </c>
      <c r="AB1738" t="str">
        <f>IF([2]Baskol!$L$1741="","",[2]Baskol!$L$1741)</f>
        <v/>
      </c>
      <c r="AC1738" t="str">
        <f>IF([2]Baskol!$N$1741="","",[2]Baskol!$N$1741)</f>
        <v/>
      </c>
      <c r="AD1738" t="str">
        <f>IF([2]Baskol!$O$1741="","",[2]Baskol!$O$1741)</f>
        <v/>
      </c>
      <c r="AE1738" t="str">
        <f>IF([3]Entry!$C$1741="","",[3]Entry!$C$1741)</f>
        <v/>
      </c>
      <c r="AF1738" t="str">
        <f>IF([3]Entry!$D$1741="","",[3]Entry!$D$1741)</f>
        <v/>
      </c>
      <c r="AG1738" t="str">
        <f>IF([3]Entry!$E$1741="","",[3]Entry!$E$1741)</f>
        <v/>
      </c>
      <c r="AH1738" t="str">
        <f>IF([3]Entry!$G$1741="","",[3]Entry!$G$1741)</f>
        <v/>
      </c>
      <c r="AI1738" t="str">
        <f>IF([3]Entry!$K$1741="","",[3]Entry!$K$1741)</f>
        <v/>
      </c>
      <c r="AJ1738" t="str">
        <f>IF([3]Entry!$L$1741="","",[3]Entry!$L$1741)</f>
        <v/>
      </c>
      <c r="AK1738" t="str">
        <f>IF([3]Entry!$M$1741="","",[3]Entry!$M$1741)</f>
        <v/>
      </c>
      <c r="AL1738" t="str">
        <f>IF([3]Entry!$N$1741="","",[3]Entry!$N$1741)</f>
        <v/>
      </c>
      <c r="AM1738" t="str">
        <f>IF([3]Entry!$R$1741="","",[3]Entry!$R$1741)</f>
        <v/>
      </c>
    </row>
    <row r="1739" spans="20:39" x14ac:dyDescent="0.2">
      <c r="T1739" t="str">
        <f>IF([2]Baskol!$B$1742="","",[2]Baskol!$B$1742)</f>
        <v/>
      </c>
      <c r="U1739" t="str">
        <f>IF([2]Baskol!$C$1742="","",[2]Baskol!$C$1742)</f>
        <v/>
      </c>
      <c r="V1739" t="str">
        <f>IF([2]Baskol!$D$1742="","",[2]Baskol!$D$1742)</f>
        <v/>
      </c>
      <c r="W1739" t="str">
        <f>IF([2]Baskol!$E$1742="","",[2]Baskol!$E$1742)</f>
        <v/>
      </c>
      <c r="X1739" t="str">
        <f>IF([2]Baskol!$G$1742="","",[2]Baskol!$G$1742)</f>
        <v/>
      </c>
      <c r="Y1739" t="str">
        <f>IF([2]Baskol!$I$1742="","",[2]Baskol!$I$1742)</f>
        <v/>
      </c>
      <c r="Z1739" t="str">
        <f>IF([2]Baskol!$J$1742="","",[2]Baskol!$J$1742)</f>
        <v/>
      </c>
      <c r="AA1739" t="str">
        <f>IF([2]Baskol!$K$1742="","",[2]Baskol!$K$1742)</f>
        <v/>
      </c>
      <c r="AB1739" t="str">
        <f>IF([2]Baskol!$L$1742="","",[2]Baskol!$L$1742)</f>
        <v/>
      </c>
      <c r="AC1739" t="str">
        <f>IF([2]Baskol!$N$1742="","",[2]Baskol!$N$1742)</f>
        <v/>
      </c>
      <c r="AD1739" t="str">
        <f>IF([2]Baskol!$O$1742="","",[2]Baskol!$O$1742)</f>
        <v/>
      </c>
      <c r="AE1739" t="str">
        <f>IF([3]Entry!$C$1742="","",[3]Entry!$C$1742)</f>
        <v/>
      </c>
      <c r="AF1739" t="str">
        <f>IF([3]Entry!$D$1742="","",[3]Entry!$D$1742)</f>
        <v/>
      </c>
      <c r="AG1739" t="str">
        <f>IF([3]Entry!$E$1742="","",[3]Entry!$E$1742)</f>
        <v/>
      </c>
      <c r="AH1739" t="str">
        <f>IF([3]Entry!$G$1742="","",[3]Entry!$G$1742)</f>
        <v/>
      </c>
      <c r="AI1739" t="str">
        <f>IF([3]Entry!$K$1742="","",[3]Entry!$K$1742)</f>
        <v/>
      </c>
      <c r="AJ1739" t="str">
        <f>IF([3]Entry!$L$1742="","",[3]Entry!$L$1742)</f>
        <v/>
      </c>
      <c r="AK1739" t="str">
        <f>IF([3]Entry!$M$1742="","",[3]Entry!$M$1742)</f>
        <v/>
      </c>
      <c r="AL1739" t="str">
        <f>IF([3]Entry!$N$1742="","",[3]Entry!$N$1742)</f>
        <v/>
      </c>
      <c r="AM1739" t="str">
        <f>IF([3]Entry!$R$1742="","",[3]Entry!$R$1742)</f>
        <v/>
      </c>
    </row>
    <row r="1740" spans="20:39" x14ac:dyDescent="0.2">
      <c r="T1740" t="str">
        <f>IF([2]Baskol!$B$1743="","",[2]Baskol!$B$1743)</f>
        <v/>
      </c>
      <c r="U1740" t="str">
        <f>IF([2]Baskol!$C$1743="","",[2]Baskol!$C$1743)</f>
        <v/>
      </c>
      <c r="V1740" t="str">
        <f>IF([2]Baskol!$D$1743="","",[2]Baskol!$D$1743)</f>
        <v/>
      </c>
      <c r="W1740" t="str">
        <f>IF([2]Baskol!$E$1743="","",[2]Baskol!$E$1743)</f>
        <v/>
      </c>
      <c r="X1740" t="str">
        <f>IF([2]Baskol!$G$1743="","",[2]Baskol!$G$1743)</f>
        <v/>
      </c>
      <c r="Y1740" t="str">
        <f>IF([2]Baskol!$I$1743="","",[2]Baskol!$I$1743)</f>
        <v/>
      </c>
      <c r="Z1740" t="str">
        <f>IF([2]Baskol!$J$1743="","",[2]Baskol!$J$1743)</f>
        <v/>
      </c>
      <c r="AA1740" t="str">
        <f>IF([2]Baskol!$K$1743="","",[2]Baskol!$K$1743)</f>
        <v/>
      </c>
      <c r="AB1740" t="str">
        <f>IF([2]Baskol!$L$1743="","",[2]Baskol!$L$1743)</f>
        <v/>
      </c>
      <c r="AC1740" t="str">
        <f>IF([2]Baskol!$N$1743="","",[2]Baskol!$N$1743)</f>
        <v/>
      </c>
      <c r="AD1740" t="str">
        <f>IF([2]Baskol!$O$1743="","",[2]Baskol!$O$1743)</f>
        <v/>
      </c>
      <c r="AE1740" t="str">
        <f>IF([3]Entry!$C$1743="","",[3]Entry!$C$1743)</f>
        <v/>
      </c>
      <c r="AF1740" t="str">
        <f>IF([3]Entry!$D$1743="","",[3]Entry!$D$1743)</f>
        <v/>
      </c>
      <c r="AG1740" t="str">
        <f>IF([3]Entry!$E$1743="","",[3]Entry!$E$1743)</f>
        <v/>
      </c>
      <c r="AH1740" t="str">
        <f>IF([3]Entry!$G$1743="","",[3]Entry!$G$1743)</f>
        <v/>
      </c>
      <c r="AI1740" t="str">
        <f>IF([3]Entry!$K$1743="","",[3]Entry!$K$1743)</f>
        <v/>
      </c>
      <c r="AJ1740" t="str">
        <f>IF([3]Entry!$L$1743="","",[3]Entry!$L$1743)</f>
        <v/>
      </c>
      <c r="AK1740" t="str">
        <f>IF([3]Entry!$M$1743="","",[3]Entry!$M$1743)</f>
        <v/>
      </c>
      <c r="AL1740" t="str">
        <f>IF([3]Entry!$N$1743="","",[3]Entry!$N$1743)</f>
        <v/>
      </c>
      <c r="AM1740" t="str">
        <f>IF([3]Entry!$R$1743="","",[3]Entry!$R$1743)</f>
        <v/>
      </c>
    </row>
    <row r="1741" spans="20:39" x14ac:dyDescent="0.2">
      <c r="T1741" t="str">
        <f>IF([2]Baskol!$B$1744="","",[2]Baskol!$B$1744)</f>
        <v/>
      </c>
      <c r="U1741" t="str">
        <f>IF([2]Baskol!$C$1744="","",[2]Baskol!$C$1744)</f>
        <v/>
      </c>
      <c r="V1741" t="str">
        <f>IF([2]Baskol!$D$1744="","",[2]Baskol!$D$1744)</f>
        <v/>
      </c>
      <c r="W1741" t="str">
        <f>IF([2]Baskol!$E$1744="","",[2]Baskol!$E$1744)</f>
        <v/>
      </c>
      <c r="X1741" t="str">
        <f>IF([2]Baskol!$G$1744="","",[2]Baskol!$G$1744)</f>
        <v/>
      </c>
      <c r="Y1741" t="str">
        <f>IF([2]Baskol!$I$1744="","",[2]Baskol!$I$1744)</f>
        <v/>
      </c>
      <c r="Z1741" t="str">
        <f>IF([2]Baskol!$J$1744="","",[2]Baskol!$J$1744)</f>
        <v/>
      </c>
      <c r="AA1741" t="str">
        <f>IF([2]Baskol!$K$1744="","",[2]Baskol!$K$1744)</f>
        <v/>
      </c>
      <c r="AB1741" t="str">
        <f>IF([2]Baskol!$L$1744="","",[2]Baskol!$L$1744)</f>
        <v/>
      </c>
      <c r="AC1741" t="str">
        <f>IF([2]Baskol!$N$1744="","",[2]Baskol!$N$1744)</f>
        <v/>
      </c>
      <c r="AD1741" t="str">
        <f>IF([2]Baskol!$O$1744="","",[2]Baskol!$O$1744)</f>
        <v/>
      </c>
      <c r="AE1741" t="str">
        <f>IF([3]Entry!$C$1744="","",[3]Entry!$C$1744)</f>
        <v/>
      </c>
      <c r="AF1741" t="str">
        <f>IF([3]Entry!$D$1744="","",[3]Entry!$D$1744)</f>
        <v/>
      </c>
      <c r="AG1741" t="str">
        <f>IF([3]Entry!$E$1744="","",[3]Entry!$E$1744)</f>
        <v/>
      </c>
      <c r="AH1741" t="str">
        <f>IF([3]Entry!$G$1744="","",[3]Entry!$G$1744)</f>
        <v/>
      </c>
      <c r="AI1741" t="str">
        <f>IF([3]Entry!$K$1744="","",[3]Entry!$K$1744)</f>
        <v/>
      </c>
      <c r="AJ1741" t="str">
        <f>IF([3]Entry!$L$1744="","",[3]Entry!$L$1744)</f>
        <v/>
      </c>
      <c r="AK1741" t="str">
        <f>IF([3]Entry!$M$1744="","",[3]Entry!$M$1744)</f>
        <v/>
      </c>
      <c r="AL1741" t="str">
        <f>IF([3]Entry!$N$1744="","",[3]Entry!$N$1744)</f>
        <v/>
      </c>
      <c r="AM1741" t="str">
        <f>IF([3]Entry!$R$1744="","",[3]Entry!$R$1744)</f>
        <v/>
      </c>
    </row>
    <row r="1742" spans="20:39" x14ac:dyDescent="0.2">
      <c r="T1742" t="str">
        <f>IF([2]Baskol!$B$1745="","",[2]Baskol!$B$1745)</f>
        <v/>
      </c>
      <c r="U1742" t="str">
        <f>IF([2]Baskol!$C$1745="","",[2]Baskol!$C$1745)</f>
        <v/>
      </c>
      <c r="V1742" t="str">
        <f>IF([2]Baskol!$D$1745="","",[2]Baskol!$D$1745)</f>
        <v/>
      </c>
      <c r="W1742" t="str">
        <f>IF([2]Baskol!$E$1745="","",[2]Baskol!$E$1745)</f>
        <v/>
      </c>
      <c r="X1742" t="str">
        <f>IF([2]Baskol!$G$1745="","",[2]Baskol!$G$1745)</f>
        <v/>
      </c>
      <c r="Y1742" t="str">
        <f>IF([2]Baskol!$I$1745="","",[2]Baskol!$I$1745)</f>
        <v/>
      </c>
      <c r="Z1742" t="str">
        <f>IF([2]Baskol!$J$1745="","",[2]Baskol!$J$1745)</f>
        <v/>
      </c>
      <c r="AA1742" t="str">
        <f>IF([2]Baskol!$K$1745="","",[2]Baskol!$K$1745)</f>
        <v/>
      </c>
      <c r="AB1742" t="str">
        <f>IF([2]Baskol!$L$1745="","",[2]Baskol!$L$1745)</f>
        <v/>
      </c>
      <c r="AC1742" t="str">
        <f>IF([2]Baskol!$N$1745="","",[2]Baskol!$N$1745)</f>
        <v/>
      </c>
      <c r="AD1742" t="str">
        <f>IF([2]Baskol!$O$1745="","",[2]Baskol!$O$1745)</f>
        <v/>
      </c>
      <c r="AE1742" t="str">
        <f>IF([3]Entry!$C$1745="","",[3]Entry!$C$1745)</f>
        <v/>
      </c>
      <c r="AF1742" t="str">
        <f>IF([3]Entry!$D$1745="","",[3]Entry!$D$1745)</f>
        <v/>
      </c>
      <c r="AG1742" t="str">
        <f>IF([3]Entry!$E$1745="","",[3]Entry!$E$1745)</f>
        <v/>
      </c>
      <c r="AH1742" t="str">
        <f>IF([3]Entry!$G$1745="","",[3]Entry!$G$1745)</f>
        <v/>
      </c>
      <c r="AI1742" t="str">
        <f>IF([3]Entry!$K$1745="","",[3]Entry!$K$1745)</f>
        <v/>
      </c>
      <c r="AJ1742" t="str">
        <f>IF([3]Entry!$L$1745="","",[3]Entry!$L$1745)</f>
        <v/>
      </c>
      <c r="AK1742" t="str">
        <f>IF([3]Entry!$M$1745="","",[3]Entry!$M$1745)</f>
        <v/>
      </c>
      <c r="AL1742" t="str">
        <f>IF([3]Entry!$N$1745="","",[3]Entry!$N$1745)</f>
        <v/>
      </c>
      <c r="AM1742" t="str">
        <f>IF([3]Entry!$R$1745="","",[3]Entry!$R$1745)</f>
        <v/>
      </c>
    </row>
    <row r="1743" spans="20:39" x14ac:dyDescent="0.2">
      <c r="T1743" t="str">
        <f>IF([2]Baskol!$B$1746="","",[2]Baskol!$B$1746)</f>
        <v/>
      </c>
      <c r="U1743" t="str">
        <f>IF([2]Baskol!$C$1746="","",[2]Baskol!$C$1746)</f>
        <v/>
      </c>
      <c r="V1743" t="str">
        <f>IF([2]Baskol!$D$1746="","",[2]Baskol!$D$1746)</f>
        <v/>
      </c>
      <c r="W1743" t="str">
        <f>IF([2]Baskol!$E$1746="","",[2]Baskol!$E$1746)</f>
        <v/>
      </c>
      <c r="X1743" t="str">
        <f>IF([2]Baskol!$G$1746="","",[2]Baskol!$G$1746)</f>
        <v/>
      </c>
      <c r="Y1743" t="str">
        <f>IF([2]Baskol!$I$1746="","",[2]Baskol!$I$1746)</f>
        <v/>
      </c>
      <c r="Z1743" t="str">
        <f>IF([2]Baskol!$J$1746="","",[2]Baskol!$J$1746)</f>
        <v/>
      </c>
      <c r="AA1743" t="str">
        <f>IF([2]Baskol!$K$1746="","",[2]Baskol!$K$1746)</f>
        <v/>
      </c>
      <c r="AB1743" t="str">
        <f>IF([2]Baskol!$L$1746="","",[2]Baskol!$L$1746)</f>
        <v/>
      </c>
      <c r="AC1743" t="str">
        <f>IF([2]Baskol!$N$1746="","",[2]Baskol!$N$1746)</f>
        <v/>
      </c>
      <c r="AD1743" t="str">
        <f>IF([2]Baskol!$O$1746="","",[2]Baskol!$O$1746)</f>
        <v/>
      </c>
      <c r="AE1743" t="str">
        <f>IF([3]Entry!$C$1746="","",[3]Entry!$C$1746)</f>
        <v/>
      </c>
      <c r="AF1743" t="str">
        <f>IF([3]Entry!$D$1746="","",[3]Entry!$D$1746)</f>
        <v/>
      </c>
      <c r="AG1743" t="str">
        <f>IF([3]Entry!$E$1746="","",[3]Entry!$E$1746)</f>
        <v/>
      </c>
      <c r="AH1743" t="str">
        <f>IF([3]Entry!$G$1746="","",[3]Entry!$G$1746)</f>
        <v/>
      </c>
      <c r="AI1743" t="str">
        <f>IF([3]Entry!$K$1746="","",[3]Entry!$K$1746)</f>
        <v/>
      </c>
      <c r="AJ1743" t="str">
        <f>IF([3]Entry!$L$1746="","",[3]Entry!$L$1746)</f>
        <v/>
      </c>
      <c r="AK1743" t="str">
        <f>IF([3]Entry!$M$1746="","",[3]Entry!$M$1746)</f>
        <v/>
      </c>
      <c r="AL1743" t="str">
        <f>IF([3]Entry!$N$1746="","",[3]Entry!$N$1746)</f>
        <v/>
      </c>
      <c r="AM1743" t="str">
        <f>IF([3]Entry!$R$1746="","",[3]Entry!$R$1746)</f>
        <v/>
      </c>
    </row>
    <row r="1744" spans="20:39" x14ac:dyDescent="0.2">
      <c r="T1744" t="str">
        <f>IF([2]Baskol!$B$1747="","",[2]Baskol!$B$1747)</f>
        <v/>
      </c>
      <c r="U1744" t="str">
        <f>IF([2]Baskol!$C$1747="","",[2]Baskol!$C$1747)</f>
        <v/>
      </c>
      <c r="V1744" t="str">
        <f>IF([2]Baskol!$D$1747="","",[2]Baskol!$D$1747)</f>
        <v/>
      </c>
      <c r="W1744" t="str">
        <f>IF([2]Baskol!$E$1747="","",[2]Baskol!$E$1747)</f>
        <v/>
      </c>
      <c r="X1744" t="str">
        <f>IF([2]Baskol!$G$1747="","",[2]Baskol!$G$1747)</f>
        <v/>
      </c>
      <c r="Y1744" t="str">
        <f>IF([2]Baskol!$I$1747="","",[2]Baskol!$I$1747)</f>
        <v/>
      </c>
      <c r="Z1744" t="str">
        <f>IF([2]Baskol!$J$1747="","",[2]Baskol!$J$1747)</f>
        <v/>
      </c>
      <c r="AA1744" t="str">
        <f>IF([2]Baskol!$K$1747="","",[2]Baskol!$K$1747)</f>
        <v/>
      </c>
      <c r="AB1744" t="str">
        <f>IF([2]Baskol!$L$1747="","",[2]Baskol!$L$1747)</f>
        <v/>
      </c>
      <c r="AC1744" t="str">
        <f>IF([2]Baskol!$N$1747="","",[2]Baskol!$N$1747)</f>
        <v/>
      </c>
      <c r="AD1744" t="str">
        <f>IF([2]Baskol!$O$1747="","",[2]Baskol!$O$1747)</f>
        <v/>
      </c>
      <c r="AE1744" t="str">
        <f>IF([3]Entry!$C$1747="","",[3]Entry!$C$1747)</f>
        <v/>
      </c>
      <c r="AF1744" t="str">
        <f>IF([3]Entry!$D$1747="","",[3]Entry!$D$1747)</f>
        <v/>
      </c>
      <c r="AG1744" t="str">
        <f>IF([3]Entry!$E$1747="","",[3]Entry!$E$1747)</f>
        <v/>
      </c>
      <c r="AH1744" t="str">
        <f>IF([3]Entry!$G$1747="","",[3]Entry!$G$1747)</f>
        <v/>
      </c>
      <c r="AI1744" t="str">
        <f>IF([3]Entry!$K$1747="","",[3]Entry!$K$1747)</f>
        <v/>
      </c>
      <c r="AJ1744" t="str">
        <f>IF([3]Entry!$L$1747="","",[3]Entry!$L$1747)</f>
        <v/>
      </c>
      <c r="AK1744" t="str">
        <f>IF([3]Entry!$M$1747="","",[3]Entry!$M$1747)</f>
        <v/>
      </c>
      <c r="AL1744" t="str">
        <f>IF([3]Entry!$N$1747="","",[3]Entry!$N$1747)</f>
        <v/>
      </c>
      <c r="AM1744" t="str">
        <f>IF([3]Entry!$R$1747="","",[3]Entry!$R$1747)</f>
        <v/>
      </c>
    </row>
    <row r="1745" spans="20:39" x14ac:dyDescent="0.2">
      <c r="T1745" t="str">
        <f>IF([2]Baskol!$B$1748="","",[2]Baskol!$B$1748)</f>
        <v/>
      </c>
      <c r="U1745" t="str">
        <f>IF([2]Baskol!$C$1748="","",[2]Baskol!$C$1748)</f>
        <v/>
      </c>
      <c r="V1745" t="str">
        <f>IF([2]Baskol!$D$1748="","",[2]Baskol!$D$1748)</f>
        <v/>
      </c>
      <c r="W1745" t="str">
        <f>IF([2]Baskol!$E$1748="","",[2]Baskol!$E$1748)</f>
        <v/>
      </c>
      <c r="X1745" t="str">
        <f>IF([2]Baskol!$G$1748="","",[2]Baskol!$G$1748)</f>
        <v/>
      </c>
      <c r="Y1745" t="str">
        <f>IF([2]Baskol!$I$1748="","",[2]Baskol!$I$1748)</f>
        <v/>
      </c>
      <c r="Z1745" t="str">
        <f>IF([2]Baskol!$J$1748="","",[2]Baskol!$J$1748)</f>
        <v/>
      </c>
      <c r="AA1745" t="str">
        <f>IF([2]Baskol!$K$1748="","",[2]Baskol!$K$1748)</f>
        <v/>
      </c>
      <c r="AB1745" t="str">
        <f>IF([2]Baskol!$L$1748="","",[2]Baskol!$L$1748)</f>
        <v/>
      </c>
      <c r="AC1745" t="str">
        <f>IF([2]Baskol!$N$1748="","",[2]Baskol!$N$1748)</f>
        <v/>
      </c>
      <c r="AD1745" t="str">
        <f>IF([2]Baskol!$O$1748="","",[2]Baskol!$O$1748)</f>
        <v/>
      </c>
      <c r="AE1745" t="str">
        <f>IF([3]Entry!$C$1748="","",[3]Entry!$C$1748)</f>
        <v/>
      </c>
      <c r="AF1745" t="str">
        <f>IF([3]Entry!$D$1748="","",[3]Entry!$D$1748)</f>
        <v/>
      </c>
      <c r="AG1745" t="str">
        <f>IF([3]Entry!$E$1748="","",[3]Entry!$E$1748)</f>
        <v/>
      </c>
      <c r="AH1745" t="str">
        <f>IF([3]Entry!$G$1748="","",[3]Entry!$G$1748)</f>
        <v/>
      </c>
      <c r="AI1745" t="str">
        <f>IF([3]Entry!$K$1748="","",[3]Entry!$K$1748)</f>
        <v/>
      </c>
      <c r="AJ1745" t="str">
        <f>IF([3]Entry!$L$1748="","",[3]Entry!$L$1748)</f>
        <v/>
      </c>
      <c r="AK1745" t="str">
        <f>IF([3]Entry!$M$1748="","",[3]Entry!$M$1748)</f>
        <v/>
      </c>
      <c r="AL1745" t="str">
        <f>IF([3]Entry!$N$1748="","",[3]Entry!$N$1748)</f>
        <v/>
      </c>
      <c r="AM1745" t="str">
        <f>IF([3]Entry!$R$1748="","",[3]Entry!$R$1748)</f>
        <v/>
      </c>
    </row>
    <row r="1746" spans="20:39" x14ac:dyDescent="0.2">
      <c r="T1746" t="str">
        <f>IF([2]Baskol!$B$1749="","",[2]Baskol!$B$1749)</f>
        <v/>
      </c>
      <c r="U1746" t="str">
        <f>IF([2]Baskol!$C$1749="","",[2]Baskol!$C$1749)</f>
        <v/>
      </c>
      <c r="V1746" t="str">
        <f>IF([2]Baskol!$D$1749="","",[2]Baskol!$D$1749)</f>
        <v/>
      </c>
      <c r="W1746" t="str">
        <f>IF([2]Baskol!$E$1749="","",[2]Baskol!$E$1749)</f>
        <v/>
      </c>
      <c r="X1746" t="str">
        <f>IF([2]Baskol!$G$1749="","",[2]Baskol!$G$1749)</f>
        <v/>
      </c>
      <c r="Y1746" t="str">
        <f>IF([2]Baskol!$I$1749="","",[2]Baskol!$I$1749)</f>
        <v/>
      </c>
      <c r="Z1746" t="str">
        <f>IF([2]Baskol!$J$1749="","",[2]Baskol!$J$1749)</f>
        <v/>
      </c>
      <c r="AA1746" t="str">
        <f>IF([2]Baskol!$K$1749="","",[2]Baskol!$K$1749)</f>
        <v/>
      </c>
      <c r="AB1746" t="str">
        <f>IF([2]Baskol!$L$1749="","",[2]Baskol!$L$1749)</f>
        <v/>
      </c>
      <c r="AC1746" t="str">
        <f>IF([2]Baskol!$N$1749="","",[2]Baskol!$N$1749)</f>
        <v/>
      </c>
      <c r="AD1746" t="str">
        <f>IF([2]Baskol!$O$1749="","",[2]Baskol!$O$1749)</f>
        <v/>
      </c>
      <c r="AE1746" t="str">
        <f>IF([3]Entry!$C$1749="","",[3]Entry!$C$1749)</f>
        <v/>
      </c>
      <c r="AF1746" t="str">
        <f>IF([3]Entry!$D$1749="","",[3]Entry!$D$1749)</f>
        <v/>
      </c>
      <c r="AG1746" t="str">
        <f>IF([3]Entry!$E$1749="","",[3]Entry!$E$1749)</f>
        <v/>
      </c>
      <c r="AH1746" t="str">
        <f>IF([3]Entry!$G$1749="","",[3]Entry!$G$1749)</f>
        <v/>
      </c>
      <c r="AI1746" t="str">
        <f>IF([3]Entry!$K$1749="","",[3]Entry!$K$1749)</f>
        <v/>
      </c>
      <c r="AJ1746" t="str">
        <f>IF([3]Entry!$L$1749="","",[3]Entry!$L$1749)</f>
        <v/>
      </c>
      <c r="AK1746" t="str">
        <f>IF([3]Entry!$M$1749="","",[3]Entry!$M$1749)</f>
        <v/>
      </c>
      <c r="AL1746" t="str">
        <f>IF([3]Entry!$N$1749="","",[3]Entry!$N$1749)</f>
        <v/>
      </c>
      <c r="AM1746" t="str">
        <f>IF([3]Entry!$R$1749="","",[3]Entry!$R$1749)</f>
        <v/>
      </c>
    </row>
    <row r="1747" spans="20:39" x14ac:dyDescent="0.2">
      <c r="T1747" t="str">
        <f>IF([2]Baskol!$B$1750="","",[2]Baskol!$B$1750)</f>
        <v/>
      </c>
      <c r="U1747" t="str">
        <f>IF([2]Baskol!$C$1750="","",[2]Baskol!$C$1750)</f>
        <v/>
      </c>
      <c r="V1747" t="str">
        <f>IF([2]Baskol!$D$1750="","",[2]Baskol!$D$1750)</f>
        <v/>
      </c>
      <c r="W1747" t="str">
        <f>IF([2]Baskol!$E$1750="","",[2]Baskol!$E$1750)</f>
        <v/>
      </c>
      <c r="X1747" t="str">
        <f>IF([2]Baskol!$G$1750="","",[2]Baskol!$G$1750)</f>
        <v/>
      </c>
      <c r="Y1747" t="str">
        <f>IF([2]Baskol!$I$1750="","",[2]Baskol!$I$1750)</f>
        <v/>
      </c>
      <c r="Z1747" t="str">
        <f>IF([2]Baskol!$J$1750="","",[2]Baskol!$J$1750)</f>
        <v/>
      </c>
      <c r="AA1747" t="str">
        <f>IF([2]Baskol!$K$1750="","",[2]Baskol!$K$1750)</f>
        <v/>
      </c>
      <c r="AB1747" t="str">
        <f>IF([2]Baskol!$L$1750="","",[2]Baskol!$L$1750)</f>
        <v/>
      </c>
      <c r="AC1747" t="str">
        <f>IF([2]Baskol!$N$1750="","",[2]Baskol!$N$1750)</f>
        <v/>
      </c>
      <c r="AD1747" t="str">
        <f>IF([2]Baskol!$O$1750="","",[2]Baskol!$O$1750)</f>
        <v/>
      </c>
      <c r="AE1747" t="str">
        <f>IF([3]Entry!$C$1750="","",[3]Entry!$C$1750)</f>
        <v/>
      </c>
      <c r="AF1747" t="str">
        <f>IF([3]Entry!$D$1750="","",[3]Entry!$D$1750)</f>
        <v/>
      </c>
      <c r="AG1747" t="str">
        <f>IF([3]Entry!$E$1750="","",[3]Entry!$E$1750)</f>
        <v/>
      </c>
      <c r="AH1747" t="str">
        <f>IF([3]Entry!$G$1750="","",[3]Entry!$G$1750)</f>
        <v/>
      </c>
      <c r="AI1747" t="str">
        <f>IF([3]Entry!$K$1750="","",[3]Entry!$K$1750)</f>
        <v/>
      </c>
      <c r="AJ1747" t="str">
        <f>IF([3]Entry!$L$1750="","",[3]Entry!$L$1750)</f>
        <v/>
      </c>
      <c r="AK1747" t="str">
        <f>IF([3]Entry!$M$1750="","",[3]Entry!$M$1750)</f>
        <v/>
      </c>
      <c r="AL1747" t="str">
        <f>IF([3]Entry!$N$1750="","",[3]Entry!$N$1750)</f>
        <v/>
      </c>
      <c r="AM1747" t="str">
        <f>IF([3]Entry!$R$1750="","",[3]Entry!$R$1750)</f>
        <v/>
      </c>
    </row>
    <row r="1748" spans="20:39" x14ac:dyDescent="0.2">
      <c r="T1748" t="str">
        <f>IF([2]Baskol!$B$1751="","",[2]Baskol!$B$1751)</f>
        <v/>
      </c>
      <c r="U1748" t="str">
        <f>IF([2]Baskol!$C$1751="","",[2]Baskol!$C$1751)</f>
        <v/>
      </c>
      <c r="V1748" t="str">
        <f>IF([2]Baskol!$D$1751="","",[2]Baskol!$D$1751)</f>
        <v/>
      </c>
      <c r="W1748" t="str">
        <f>IF([2]Baskol!$E$1751="","",[2]Baskol!$E$1751)</f>
        <v/>
      </c>
      <c r="X1748" t="str">
        <f>IF([2]Baskol!$G$1751="","",[2]Baskol!$G$1751)</f>
        <v/>
      </c>
      <c r="Y1748" t="str">
        <f>IF([2]Baskol!$I$1751="","",[2]Baskol!$I$1751)</f>
        <v/>
      </c>
      <c r="Z1748" t="str">
        <f>IF([2]Baskol!$J$1751="","",[2]Baskol!$J$1751)</f>
        <v/>
      </c>
      <c r="AA1748" t="str">
        <f>IF([2]Baskol!$K$1751="","",[2]Baskol!$K$1751)</f>
        <v/>
      </c>
      <c r="AB1748" t="str">
        <f>IF([2]Baskol!$L$1751="","",[2]Baskol!$L$1751)</f>
        <v/>
      </c>
      <c r="AC1748" t="str">
        <f>IF([2]Baskol!$N$1751="","",[2]Baskol!$N$1751)</f>
        <v/>
      </c>
      <c r="AD1748" t="str">
        <f>IF([2]Baskol!$O$1751="","",[2]Baskol!$O$1751)</f>
        <v/>
      </c>
      <c r="AE1748" t="str">
        <f>IF([3]Entry!$C$1751="","",[3]Entry!$C$1751)</f>
        <v/>
      </c>
      <c r="AF1748" t="str">
        <f>IF([3]Entry!$D$1751="","",[3]Entry!$D$1751)</f>
        <v/>
      </c>
      <c r="AG1748" t="str">
        <f>IF([3]Entry!$E$1751="","",[3]Entry!$E$1751)</f>
        <v/>
      </c>
      <c r="AH1748" t="str">
        <f>IF([3]Entry!$G$1751="","",[3]Entry!$G$1751)</f>
        <v/>
      </c>
      <c r="AI1748" t="str">
        <f>IF([3]Entry!$K$1751="","",[3]Entry!$K$1751)</f>
        <v/>
      </c>
      <c r="AJ1748" t="str">
        <f>IF([3]Entry!$L$1751="","",[3]Entry!$L$1751)</f>
        <v/>
      </c>
      <c r="AK1748" t="str">
        <f>IF([3]Entry!$M$1751="","",[3]Entry!$M$1751)</f>
        <v/>
      </c>
      <c r="AL1748" t="str">
        <f>IF([3]Entry!$N$1751="","",[3]Entry!$N$1751)</f>
        <v/>
      </c>
      <c r="AM1748" t="str">
        <f>IF([3]Entry!$R$1751="","",[3]Entry!$R$1751)</f>
        <v/>
      </c>
    </row>
    <row r="1749" spans="20:39" x14ac:dyDescent="0.2">
      <c r="T1749" t="str">
        <f>IF([2]Baskol!$B$1752="","",[2]Baskol!$B$1752)</f>
        <v/>
      </c>
      <c r="U1749" t="str">
        <f>IF([2]Baskol!$C$1752="","",[2]Baskol!$C$1752)</f>
        <v/>
      </c>
      <c r="V1749" t="str">
        <f>IF([2]Baskol!$D$1752="","",[2]Baskol!$D$1752)</f>
        <v/>
      </c>
      <c r="W1749" t="str">
        <f>IF([2]Baskol!$E$1752="","",[2]Baskol!$E$1752)</f>
        <v/>
      </c>
      <c r="X1749" t="str">
        <f>IF([2]Baskol!$G$1752="","",[2]Baskol!$G$1752)</f>
        <v/>
      </c>
      <c r="Y1749" t="str">
        <f>IF([2]Baskol!$I$1752="","",[2]Baskol!$I$1752)</f>
        <v/>
      </c>
      <c r="Z1749" t="str">
        <f>IF([2]Baskol!$J$1752="","",[2]Baskol!$J$1752)</f>
        <v/>
      </c>
      <c r="AA1749" t="str">
        <f>IF([2]Baskol!$K$1752="","",[2]Baskol!$K$1752)</f>
        <v/>
      </c>
      <c r="AB1749" t="str">
        <f>IF([2]Baskol!$L$1752="","",[2]Baskol!$L$1752)</f>
        <v/>
      </c>
      <c r="AC1749" t="str">
        <f>IF([2]Baskol!$N$1752="","",[2]Baskol!$N$1752)</f>
        <v/>
      </c>
      <c r="AD1749" t="str">
        <f>IF([2]Baskol!$O$1752="","",[2]Baskol!$O$1752)</f>
        <v/>
      </c>
      <c r="AE1749" t="str">
        <f>IF([3]Entry!$C$1752="","",[3]Entry!$C$1752)</f>
        <v/>
      </c>
      <c r="AF1749" t="str">
        <f>IF([3]Entry!$D$1752="","",[3]Entry!$D$1752)</f>
        <v/>
      </c>
      <c r="AG1749" t="str">
        <f>IF([3]Entry!$E$1752="","",[3]Entry!$E$1752)</f>
        <v/>
      </c>
      <c r="AH1749" t="str">
        <f>IF([3]Entry!$G$1752="","",[3]Entry!$G$1752)</f>
        <v/>
      </c>
      <c r="AI1749" t="str">
        <f>IF([3]Entry!$K$1752="","",[3]Entry!$K$1752)</f>
        <v/>
      </c>
      <c r="AJ1749" t="str">
        <f>IF([3]Entry!$L$1752="","",[3]Entry!$L$1752)</f>
        <v/>
      </c>
      <c r="AK1749" t="str">
        <f>IF([3]Entry!$M$1752="","",[3]Entry!$M$1752)</f>
        <v/>
      </c>
      <c r="AL1749" t="str">
        <f>IF([3]Entry!$N$1752="","",[3]Entry!$N$1752)</f>
        <v/>
      </c>
      <c r="AM1749" t="str">
        <f>IF([3]Entry!$R$1752="","",[3]Entry!$R$1752)</f>
        <v/>
      </c>
    </row>
    <row r="1750" spans="20:39" x14ac:dyDescent="0.2">
      <c r="T1750" t="str">
        <f>IF([2]Baskol!$B$1753="","",[2]Baskol!$B$1753)</f>
        <v/>
      </c>
      <c r="U1750" t="str">
        <f>IF([2]Baskol!$C$1753="","",[2]Baskol!$C$1753)</f>
        <v/>
      </c>
      <c r="V1750" t="str">
        <f>IF([2]Baskol!$D$1753="","",[2]Baskol!$D$1753)</f>
        <v/>
      </c>
      <c r="W1750" t="str">
        <f>IF([2]Baskol!$E$1753="","",[2]Baskol!$E$1753)</f>
        <v/>
      </c>
      <c r="X1750" t="str">
        <f>IF([2]Baskol!$G$1753="","",[2]Baskol!$G$1753)</f>
        <v/>
      </c>
      <c r="Y1750" t="str">
        <f>IF([2]Baskol!$I$1753="","",[2]Baskol!$I$1753)</f>
        <v/>
      </c>
      <c r="Z1750" t="str">
        <f>IF([2]Baskol!$J$1753="","",[2]Baskol!$J$1753)</f>
        <v/>
      </c>
      <c r="AA1750" t="str">
        <f>IF([2]Baskol!$K$1753="","",[2]Baskol!$K$1753)</f>
        <v/>
      </c>
      <c r="AB1750" t="str">
        <f>IF([2]Baskol!$L$1753="","",[2]Baskol!$L$1753)</f>
        <v/>
      </c>
      <c r="AC1750" t="str">
        <f>IF([2]Baskol!$N$1753="","",[2]Baskol!$N$1753)</f>
        <v/>
      </c>
      <c r="AD1750" t="str">
        <f>IF([2]Baskol!$O$1753="","",[2]Baskol!$O$1753)</f>
        <v/>
      </c>
      <c r="AE1750" t="str">
        <f>IF([3]Entry!$C$1753="","",[3]Entry!$C$1753)</f>
        <v/>
      </c>
      <c r="AF1750" t="str">
        <f>IF([3]Entry!$D$1753="","",[3]Entry!$D$1753)</f>
        <v/>
      </c>
      <c r="AG1750" t="str">
        <f>IF([3]Entry!$E$1753="","",[3]Entry!$E$1753)</f>
        <v/>
      </c>
      <c r="AH1750" t="str">
        <f>IF([3]Entry!$G$1753="","",[3]Entry!$G$1753)</f>
        <v/>
      </c>
      <c r="AI1750" t="str">
        <f>IF([3]Entry!$K$1753="","",[3]Entry!$K$1753)</f>
        <v/>
      </c>
      <c r="AJ1750" t="str">
        <f>IF([3]Entry!$L$1753="","",[3]Entry!$L$1753)</f>
        <v/>
      </c>
      <c r="AK1750" t="str">
        <f>IF([3]Entry!$M$1753="","",[3]Entry!$M$1753)</f>
        <v/>
      </c>
      <c r="AL1750" t="str">
        <f>IF([3]Entry!$N$1753="","",[3]Entry!$N$1753)</f>
        <v/>
      </c>
      <c r="AM1750" t="str">
        <f>IF([3]Entry!$R$1753="","",[3]Entry!$R$1753)</f>
        <v/>
      </c>
    </row>
    <row r="1751" spans="20:39" x14ac:dyDescent="0.2">
      <c r="T1751" t="str">
        <f>IF([2]Baskol!$B$1754="","",[2]Baskol!$B$1754)</f>
        <v/>
      </c>
      <c r="U1751" t="str">
        <f>IF([2]Baskol!$C$1754="","",[2]Baskol!$C$1754)</f>
        <v/>
      </c>
      <c r="V1751" t="str">
        <f>IF([2]Baskol!$D$1754="","",[2]Baskol!$D$1754)</f>
        <v/>
      </c>
      <c r="W1751" t="str">
        <f>IF([2]Baskol!$E$1754="","",[2]Baskol!$E$1754)</f>
        <v/>
      </c>
      <c r="X1751" t="str">
        <f>IF([2]Baskol!$G$1754="","",[2]Baskol!$G$1754)</f>
        <v/>
      </c>
      <c r="Y1751" t="str">
        <f>IF([2]Baskol!$I$1754="","",[2]Baskol!$I$1754)</f>
        <v/>
      </c>
      <c r="Z1751" t="str">
        <f>IF([2]Baskol!$J$1754="","",[2]Baskol!$J$1754)</f>
        <v/>
      </c>
      <c r="AA1751" t="str">
        <f>IF([2]Baskol!$K$1754="","",[2]Baskol!$K$1754)</f>
        <v/>
      </c>
      <c r="AB1751" t="str">
        <f>IF([2]Baskol!$L$1754="","",[2]Baskol!$L$1754)</f>
        <v/>
      </c>
      <c r="AC1751" t="str">
        <f>IF([2]Baskol!$N$1754="","",[2]Baskol!$N$1754)</f>
        <v/>
      </c>
      <c r="AD1751" t="str">
        <f>IF([2]Baskol!$O$1754="","",[2]Baskol!$O$1754)</f>
        <v/>
      </c>
      <c r="AE1751" t="str">
        <f>IF([3]Entry!$C$1754="","",[3]Entry!$C$1754)</f>
        <v/>
      </c>
      <c r="AF1751" t="str">
        <f>IF([3]Entry!$D$1754="","",[3]Entry!$D$1754)</f>
        <v/>
      </c>
      <c r="AG1751" t="str">
        <f>IF([3]Entry!$E$1754="","",[3]Entry!$E$1754)</f>
        <v/>
      </c>
      <c r="AH1751" t="str">
        <f>IF([3]Entry!$G$1754="","",[3]Entry!$G$1754)</f>
        <v/>
      </c>
      <c r="AI1751" t="str">
        <f>IF([3]Entry!$K$1754="","",[3]Entry!$K$1754)</f>
        <v/>
      </c>
      <c r="AJ1751" t="str">
        <f>IF([3]Entry!$L$1754="","",[3]Entry!$L$1754)</f>
        <v/>
      </c>
      <c r="AK1751" t="str">
        <f>IF([3]Entry!$M$1754="","",[3]Entry!$M$1754)</f>
        <v/>
      </c>
      <c r="AL1751" t="str">
        <f>IF([3]Entry!$N$1754="","",[3]Entry!$N$1754)</f>
        <v/>
      </c>
      <c r="AM1751" t="str">
        <f>IF([3]Entry!$R$1754="","",[3]Entry!$R$1754)</f>
        <v/>
      </c>
    </row>
    <row r="1752" spans="20:39" x14ac:dyDescent="0.2">
      <c r="T1752" t="str">
        <f>IF([2]Baskol!$B$1755="","",[2]Baskol!$B$1755)</f>
        <v/>
      </c>
      <c r="U1752" t="str">
        <f>IF([2]Baskol!$C$1755="","",[2]Baskol!$C$1755)</f>
        <v/>
      </c>
      <c r="V1752" t="str">
        <f>IF([2]Baskol!$D$1755="","",[2]Baskol!$D$1755)</f>
        <v/>
      </c>
      <c r="W1752" t="str">
        <f>IF([2]Baskol!$E$1755="","",[2]Baskol!$E$1755)</f>
        <v/>
      </c>
      <c r="X1752" t="str">
        <f>IF([2]Baskol!$G$1755="","",[2]Baskol!$G$1755)</f>
        <v/>
      </c>
      <c r="Y1752" t="str">
        <f>IF([2]Baskol!$I$1755="","",[2]Baskol!$I$1755)</f>
        <v/>
      </c>
      <c r="Z1752" t="str">
        <f>IF([2]Baskol!$J$1755="","",[2]Baskol!$J$1755)</f>
        <v/>
      </c>
      <c r="AA1752" t="str">
        <f>IF([2]Baskol!$K$1755="","",[2]Baskol!$K$1755)</f>
        <v/>
      </c>
      <c r="AB1752" t="str">
        <f>IF([2]Baskol!$L$1755="","",[2]Baskol!$L$1755)</f>
        <v/>
      </c>
      <c r="AC1752" t="str">
        <f>IF([2]Baskol!$N$1755="","",[2]Baskol!$N$1755)</f>
        <v/>
      </c>
      <c r="AD1752" t="str">
        <f>IF([2]Baskol!$O$1755="","",[2]Baskol!$O$1755)</f>
        <v/>
      </c>
      <c r="AE1752" t="str">
        <f>IF([3]Entry!$C$1755="","",[3]Entry!$C$1755)</f>
        <v/>
      </c>
      <c r="AF1752" t="str">
        <f>IF([3]Entry!$D$1755="","",[3]Entry!$D$1755)</f>
        <v/>
      </c>
      <c r="AG1752" t="str">
        <f>IF([3]Entry!$E$1755="","",[3]Entry!$E$1755)</f>
        <v/>
      </c>
      <c r="AH1752" t="str">
        <f>IF([3]Entry!$G$1755="","",[3]Entry!$G$1755)</f>
        <v/>
      </c>
      <c r="AI1752" t="str">
        <f>IF([3]Entry!$K$1755="","",[3]Entry!$K$1755)</f>
        <v/>
      </c>
      <c r="AJ1752" t="str">
        <f>IF([3]Entry!$L$1755="","",[3]Entry!$L$1755)</f>
        <v/>
      </c>
      <c r="AK1752" t="str">
        <f>IF([3]Entry!$M$1755="","",[3]Entry!$M$1755)</f>
        <v/>
      </c>
      <c r="AL1752" t="str">
        <f>IF([3]Entry!$N$1755="","",[3]Entry!$N$1755)</f>
        <v/>
      </c>
      <c r="AM1752" t="str">
        <f>IF([3]Entry!$R$1755="","",[3]Entry!$R$1755)</f>
        <v/>
      </c>
    </row>
    <row r="1753" spans="20:39" x14ac:dyDescent="0.2">
      <c r="T1753" t="str">
        <f>IF([2]Baskol!$B$1756="","",[2]Baskol!$B$1756)</f>
        <v/>
      </c>
      <c r="U1753" t="str">
        <f>IF([2]Baskol!$C$1756="","",[2]Baskol!$C$1756)</f>
        <v/>
      </c>
      <c r="V1753" t="str">
        <f>IF([2]Baskol!$D$1756="","",[2]Baskol!$D$1756)</f>
        <v/>
      </c>
      <c r="W1753" t="str">
        <f>IF([2]Baskol!$E$1756="","",[2]Baskol!$E$1756)</f>
        <v/>
      </c>
      <c r="X1753" t="str">
        <f>IF([2]Baskol!$G$1756="","",[2]Baskol!$G$1756)</f>
        <v/>
      </c>
      <c r="Y1753" t="str">
        <f>IF([2]Baskol!$I$1756="","",[2]Baskol!$I$1756)</f>
        <v/>
      </c>
      <c r="Z1753" t="str">
        <f>IF([2]Baskol!$J$1756="","",[2]Baskol!$J$1756)</f>
        <v/>
      </c>
      <c r="AA1753" t="str">
        <f>IF([2]Baskol!$K$1756="","",[2]Baskol!$K$1756)</f>
        <v/>
      </c>
      <c r="AB1753" t="str">
        <f>IF([2]Baskol!$L$1756="","",[2]Baskol!$L$1756)</f>
        <v/>
      </c>
      <c r="AC1753" t="str">
        <f>IF([2]Baskol!$N$1756="","",[2]Baskol!$N$1756)</f>
        <v/>
      </c>
      <c r="AD1753" t="str">
        <f>IF([2]Baskol!$O$1756="","",[2]Baskol!$O$1756)</f>
        <v/>
      </c>
      <c r="AE1753" t="str">
        <f>IF([3]Entry!$C$1756="","",[3]Entry!$C$1756)</f>
        <v/>
      </c>
      <c r="AF1753" t="str">
        <f>IF([3]Entry!$D$1756="","",[3]Entry!$D$1756)</f>
        <v/>
      </c>
      <c r="AG1753" t="str">
        <f>IF([3]Entry!$E$1756="","",[3]Entry!$E$1756)</f>
        <v/>
      </c>
      <c r="AH1753" t="str">
        <f>IF([3]Entry!$G$1756="","",[3]Entry!$G$1756)</f>
        <v/>
      </c>
      <c r="AI1753" t="str">
        <f>IF([3]Entry!$K$1756="","",[3]Entry!$K$1756)</f>
        <v/>
      </c>
      <c r="AJ1753" t="str">
        <f>IF([3]Entry!$L$1756="","",[3]Entry!$L$1756)</f>
        <v/>
      </c>
      <c r="AK1753" t="str">
        <f>IF([3]Entry!$M$1756="","",[3]Entry!$M$1756)</f>
        <v/>
      </c>
      <c r="AL1753" t="str">
        <f>IF([3]Entry!$N$1756="","",[3]Entry!$N$1756)</f>
        <v/>
      </c>
      <c r="AM1753" t="str">
        <f>IF([3]Entry!$R$1756="","",[3]Entry!$R$1756)</f>
        <v/>
      </c>
    </row>
    <row r="1754" spans="20:39" x14ac:dyDescent="0.2">
      <c r="T1754" t="str">
        <f>IF([2]Baskol!$B$1757="","",[2]Baskol!$B$1757)</f>
        <v/>
      </c>
      <c r="U1754" t="str">
        <f>IF([2]Baskol!$C$1757="","",[2]Baskol!$C$1757)</f>
        <v/>
      </c>
      <c r="V1754" t="str">
        <f>IF([2]Baskol!$D$1757="","",[2]Baskol!$D$1757)</f>
        <v/>
      </c>
      <c r="W1754" t="str">
        <f>IF([2]Baskol!$E$1757="","",[2]Baskol!$E$1757)</f>
        <v/>
      </c>
      <c r="X1754" t="str">
        <f>IF([2]Baskol!$G$1757="","",[2]Baskol!$G$1757)</f>
        <v/>
      </c>
      <c r="Y1754" t="str">
        <f>IF([2]Baskol!$I$1757="","",[2]Baskol!$I$1757)</f>
        <v/>
      </c>
      <c r="Z1754" t="str">
        <f>IF([2]Baskol!$J$1757="","",[2]Baskol!$J$1757)</f>
        <v/>
      </c>
      <c r="AA1754" t="str">
        <f>IF([2]Baskol!$K$1757="","",[2]Baskol!$K$1757)</f>
        <v/>
      </c>
      <c r="AB1754" t="str">
        <f>IF([2]Baskol!$L$1757="","",[2]Baskol!$L$1757)</f>
        <v/>
      </c>
      <c r="AC1754" t="str">
        <f>IF([2]Baskol!$N$1757="","",[2]Baskol!$N$1757)</f>
        <v/>
      </c>
      <c r="AD1754" t="str">
        <f>IF([2]Baskol!$O$1757="","",[2]Baskol!$O$1757)</f>
        <v/>
      </c>
      <c r="AE1754" t="str">
        <f>IF([3]Entry!$C$1757="","",[3]Entry!$C$1757)</f>
        <v/>
      </c>
      <c r="AF1754" t="str">
        <f>IF([3]Entry!$D$1757="","",[3]Entry!$D$1757)</f>
        <v/>
      </c>
      <c r="AG1754" t="str">
        <f>IF([3]Entry!$E$1757="","",[3]Entry!$E$1757)</f>
        <v/>
      </c>
      <c r="AH1754" t="str">
        <f>IF([3]Entry!$G$1757="","",[3]Entry!$G$1757)</f>
        <v/>
      </c>
      <c r="AI1754" t="str">
        <f>IF([3]Entry!$K$1757="","",[3]Entry!$K$1757)</f>
        <v/>
      </c>
      <c r="AJ1754" t="str">
        <f>IF([3]Entry!$L$1757="","",[3]Entry!$L$1757)</f>
        <v/>
      </c>
      <c r="AK1754" t="str">
        <f>IF([3]Entry!$M$1757="","",[3]Entry!$M$1757)</f>
        <v/>
      </c>
      <c r="AL1754" t="str">
        <f>IF([3]Entry!$N$1757="","",[3]Entry!$N$1757)</f>
        <v/>
      </c>
      <c r="AM1754" t="str">
        <f>IF([3]Entry!$R$1757="","",[3]Entry!$R$1757)</f>
        <v/>
      </c>
    </row>
    <row r="1755" spans="20:39" x14ac:dyDescent="0.2">
      <c r="T1755" t="str">
        <f>IF([2]Baskol!$B$1758="","",[2]Baskol!$B$1758)</f>
        <v/>
      </c>
      <c r="U1755" t="str">
        <f>IF([2]Baskol!$C$1758="","",[2]Baskol!$C$1758)</f>
        <v/>
      </c>
      <c r="V1755" t="str">
        <f>IF([2]Baskol!$D$1758="","",[2]Baskol!$D$1758)</f>
        <v/>
      </c>
      <c r="W1755" t="str">
        <f>IF([2]Baskol!$E$1758="","",[2]Baskol!$E$1758)</f>
        <v/>
      </c>
      <c r="X1755" t="str">
        <f>IF([2]Baskol!$G$1758="","",[2]Baskol!$G$1758)</f>
        <v/>
      </c>
      <c r="Y1755" t="str">
        <f>IF([2]Baskol!$I$1758="","",[2]Baskol!$I$1758)</f>
        <v/>
      </c>
      <c r="Z1755" t="str">
        <f>IF([2]Baskol!$J$1758="","",[2]Baskol!$J$1758)</f>
        <v/>
      </c>
      <c r="AA1755" t="str">
        <f>IF([2]Baskol!$K$1758="","",[2]Baskol!$K$1758)</f>
        <v/>
      </c>
      <c r="AB1755" t="str">
        <f>IF([2]Baskol!$L$1758="","",[2]Baskol!$L$1758)</f>
        <v/>
      </c>
      <c r="AC1755" t="str">
        <f>IF([2]Baskol!$N$1758="","",[2]Baskol!$N$1758)</f>
        <v/>
      </c>
      <c r="AD1755" t="str">
        <f>IF([2]Baskol!$O$1758="","",[2]Baskol!$O$1758)</f>
        <v/>
      </c>
      <c r="AE1755" t="str">
        <f>IF([3]Entry!$C$1758="","",[3]Entry!$C$1758)</f>
        <v/>
      </c>
      <c r="AF1755" t="str">
        <f>IF([3]Entry!$D$1758="","",[3]Entry!$D$1758)</f>
        <v/>
      </c>
      <c r="AG1755" t="str">
        <f>IF([3]Entry!$E$1758="","",[3]Entry!$E$1758)</f>
        <v/>
      </c>
      <c r="AH1755" t="str">
        <f>IF([3]Entry!$G$1758="","",[3]Entry!$G$1758)</f>
        <v/>
      </c>
      <c r="AI1755" t="str">
        <f>IF([3]Entry!$K$1758="","",[3]Entry!$K$1758)</f>
        <v/>
      </c>
      <c r="AJ1755" t="str">
        <f>IF([3]Entry!$L$1758="","",[3]Entry!$L$1758)</f>
        <v/>
      </c>
      <c r="AK1755" t="str">
        <f>IF([3]Entry!$M$1758="","",[3]Entry!$M$1758)</f>
        <v/>
      </c>
      <c r="AL1755" t="str">
        <f>IF([3]Entry!$N$1758="","",[3]Entry!$N$1758)</f>
        <v/>
      </c>
      <c r="AM1755" t="str">
        <f>IF([3]Entry!$R$1758="","",[3]Entry!$R$1758)</f>
        <v/>
      </c>
    </row>
    <row r="1756" spans="20:39" x14ac:dyDescent="0.2">
      <c r="T1756" t="str">
        <f>IF([2]Baskol!$B$1759="","",[2]Baskol!$B$1759)</f>
        <v/>
      </c>
      <c r="U1756" t="str">
        <f>IF([2]Baskol!$C$1759="","",[2]Baskol!$C$1759)</f>
        <v/>
      </c>
      <c r="V1756" t="str">
        <f>IF([2]Baskol!$D$1759="","",[2]Baskol!$D$1759)</f>
        <v/>
      </c>
      <c r="W1756" t="str">
        <f>IF([2]Baskol!$E$1759="","",[2]Baskol!$E$1759)</f>
        <v/>
      </c>
      <c r="X1756" t="str">
        <f>IF([2]Baskol!$G$1759="","",[2]Baskol!$G$1759)</f>
        <v/>
      </c>
      <c r="Y1756" t="str">
        <f>IF([2]Baskol!$I$1759="","",[2]Baskol!$I$1759)</f>
        <v/>
      </c>
      <c r="Z1756" t="str">
        <f>IF([2]Baskol!$J$1759="","",[2]Baskol!$J$1759)</f>
        <v/>
      </c>
      <c r="AA1756" t="str">
        <f>IF([2]Baskol!$K$1759="","",[2]Baskol!$K$1759)</f>
        <v/>
      </c>
      <c r="AB1756" t="str">
        <f>IF([2]Baskol!$L$1759="","",[2]Baskol!$L$1759)</f>
        <v/>
      </c>
      <c r="AC1756" t="str">
        <f>IF([2]Baskol!$N$1759="","",[2]Baskol!$N$1759)</f>
        <v/>
      </c>
      <c r="AD1756" t="str">
        <f>IF([2]Baskol!$O$1759="","",[2]Baskol!$O$1759)</f>
        <v/>
      </c>
      <c r="AE1756" t="str">
        <f>IF([3]Entry!$C$1759="","",[3]Entry!$C$1759)</f>
        <v/>
      </c>
      <c r="AF1756" t="str">
        <f>IF([3]Entry!$D$1759="","",[3]Entry!$D$1759)</f>
        <v/>
      </c>
      <c r="AG1756" t="str">
        <f>IF([3]Entry!$E$1759="","",[3]Entry!$E$1759)</f>
        <v/>
      </c>
      <c r="AH1756" t="str">
        <f>IF([3]Entry!$G$1759="","",[3]Entry!$G$1759)</f>
        <v/>
      </c>
      <c r="AI1756" t="str">
        <f>IF([3]Entry!$K$1759="","",[3]Entry!$K$1759)</f>
        <v/>
      </c>
      <c r="AJ1756" t="str">
        <f>IF([3]Entry!$L$1759="","",[3]Entry!$L$1759)</f>
        <v/>
      </c>
      <c r="AK1756" t="str">
        <f>IF([3]Entry!$M$1759="","",[3]Entry!$M$1759)</f>
        <v/>
      </c>
      <c r="AL1756" t="str">
        <f>IF([3]Entry!$N$1759="","",[3]Entry!$N$1759)</f>
        <v/>
      </c>
      <c r="AM1756" t="str">
        <f>IF([3]Entry!$R$1759="","",[3]Entry!$R$1759)</f>
        <v/>
      </c>
    </row>
    <row r="1757" spans="20:39" x14ac:dyDescent="0.2">
      <c r="T1757" t="str">
        <f>IF([2]Baskol!$B$1760="","",[2]Baskol!$B$1760)</f>
        <v/>
      </c>
      <c r="U1757" t="str">
        <f>IF([2]Baskol!$C$1760="","",[2]Baskol!$C$1760)</f>
        <v/>
      </c>
      <c r="V1757" t="str">
        <f>IF([2]Baskol!$D$1760="","",[2]Baskol!$D$1760)</f>
        <v/>
      </c>
      <c r="W1757" t="str">
        <f>IF([2]Baskol!$E$1760="","",[2]Baskol!$E$1760)</f>
        <v/>
      </c>
      <c r="X1757" t="str">
        <f>IF([2]Baskol!$G$1760="","",[2]Baskol!$G$1760)</f>
        <v/>
      </c>
      <c r="Y1757" t="str">
        <f>IF([2]Baskol!$I$1760="","",[2]Baskol!$I$1760)</f>
        <v/>
      </c>
      <c r="Z1757" t="str">
        <f>IF([2]Baskol!$J$1760="","",[2]Baskol!$J$1760)</f>
        <v/>
      </c>
      <c r="AA1757" t="str">
        <f>IF([2]Baskol!$K$1760="","",[2]Baskol!$K$1760)</f>
        <v/>
      </c>
      <c r="AB1757" t="str">
        <f>IF([2]Baskol!$L$1760="","",[2]Baskol!$L$1760)</f>
        <v/>
      </c>
      <c r="AC1757" t="str">
        <f>IF([2]Baskol!$N$1760="","",[2]Baskol!$N$1760)</f>
        <v/>
      </c>
      <c r="AD1757" t="str">
        <f>IF([2]Baskol!$O$1760="","",[2]Baskol!$O$1760)</f>
        <v/>
      </c>
      <c r="AE1757" t="str">
        <f>IF([3]Entry!$C$1760="","",[3]Entry!$C$1760)</f>
        <v/>
      </c>
      <c r="AF1757" t="str">
        <f>IF([3]Entry!$D$1760="","",[3]Entry!$D$1760)</f>
        <v/>
      </c>
      <c r="AG1757" t="str">
        <f>IF([3]Entry!$E$1760="","",[3]Entry!$E$1760)</f>
        <v/>
      </c>
      <c r="AH1757" t="str">
        <f>IF([3]Entry!$G$1760="","",[3]Entry!$G$1760)</f>
        <v/>
      </c>
      <c r="AI1757" t="str">
        <f>IF([3]Entry!$K$1760="","",[3]Entry!$K$1760)</f>
        <v/>
      </c>
      <c r="AJ1757" t="str">
        <f>IF([3]Entry!$L$1760="","",[3]Entry!$L$1760)</f>
        <v/>
      </c>
      <c r="AK1757" t="str">
        <f>IF([3]Entry!$M$1760="","",[3]Entry!$M$1760)</f>
        <v/>
      </c>
      <c r="AL1757" t="str">
        <f>IF([3]Entry!$N$1760="","",[3]Entry!$N$1760)</f>
        <v/>
      </c>
      <c r="AM1757" t="str">
        <f>IF([3]Entry!$R$1760="","",[3]Entry!$R$1760)</f>
        <v/>
      </c>
    </row>
    <row r="1758" spans="20:39" x14ac:dyDescent="0.2">
      <c r="T1758" t="str">
        <f>IF([2]Baskol!$B$1761="","",[2]Baskol!$B$1761)</f>
        <v/>
      </c>
      <c r="U1758" t="str">
        <f>IF([2]Baskol!$C$1761="","",[2]Baskol!$C$1761)</f>
        <v/>
      </c>
      <c r="V1758" t="str">
        <f>IF([2]Baskol!$D$1761="","",[2]Baskol!$D$1761)</f>
        <v/>
      </c>
      <c r="W1758" t="str">
        <f>IF([2]Baskol!$E$1761="","",[2]Baskol!$E$1761)</f>
        <v/>
      </c>
      <c r="X1758" t="str">
        <f>IF([2]Baskol!$G$1761="","",[2]Baskol!$G$1761)</f>
        <v/>
      </c>
      <c r="Y1758" t="str">
        <f>IF([2]Baskol!$I$1761="","",[2]Baskol!$I$1761)</f>
        <v/>
      </c>
      <c r="Z1758" t="str">
        <f>IF([2]Baskol!$J$1761="","",[2]Baskol!$J$1761)</f>
        <v/>
      </c>
      <c r="AA1758" t="str">
        <f>IF([2]Baskol!$K$1761="","",[2]Baskol!$K$1761)</f>
        <v/>
      </c>
      <c r="AB1758" t="str">
        <f>IF([2]Baskol!$L$1761="","",[2]Baskol!$L$1761)</f>
        <v/>
      </c>
      <c r="AC1758" t="str">
        <f>IF([2]Baskol!$N$1761="","",[2]Baskol!$N$1761)</f>
        <v/>
      </c>
      <c r="AD1758" t="str">
        <f>IF([2]Baskol!$O$1761="","",[2]Baskol!$O$1761)</f>
        <v/>
      </c>
      <c r="AE1758" t="str">
        <f>IF([3]Entry!$C$1761="","",[3]Entry!$C$1761)</f>
        <v/>
      </c>
      <c r="AF1758" t="str">
        <f>IF([3]Entry!$D$1761="","",[3]Entry!$D$1761)</f>
        <v/>
      </c>
      <c r="AG1758" t="str">
        <f>IF([3]Entry!$E$1761="","",[3]Entry!$E$1761)</f>
        <v/>
      </c>
      <c r="AH1758" t="str">
        <f>IF([3]Entry!$G$1761="","",[3]Entry!$G$1761)</f>
        <v/>
      </c>
      <c r="AI1758" t="str">
        <f>IF([3]Entry!$K$1761="","",[3]Entry!$K$1761)</f>
        <v/>
      </c>
      <c r="AJ1758" t="str">
        <f>IF([3]Entry!$L$1761="","",[3]Entry!$L$1761)</f>
        <v/>
      </c>
      <c r="AK1758" t="str">
        <f>IF([3]Entry!$M$1761="","",[3]Entry!$M$1761)</f>
        <v/>
      </c>
      <c r="AL1758" t="str">
        <f>IF([3]Entry!$N$1761="","",[3]Entry!$N$1761)</f>
        <v/>
      </c>
      <c r="AM1758" t="str">
        <f>IF([3]Entry!$R$1761="","",[3]Entry!$R$1761)</f>
        <v/>
      </c>
    </row>
    <row r="1759" spans="20:39" x14ac:dyDescent="0.2">
      <c r="T1759" t="str">
        <f>IF([2]Baskol!$B$1762="","",[2]Baskol!$B$1762)</f>
        <v/>
      </c>
      <c r="U1759" t="str">
        <f>IF([2]Baskol!$C$1762="","",[2]Baskol!$C$1762)</f>
        <v/>
      </c>
      <c r="V1759" t="str">
        <f>IF([2]Baskol!$D$1762="","",[2]Baskol!$D$1762)</f>
        <v/>
      </c>
      <c r="W1759" t="str">
        <f>IF([2]Baskol!$E$1762="","",[2]Baskol!$E$1762)</f>
        <v/>
      </c>
      <c r="X1759" t="str">
        <f>IF([2]Baskol!$G$1762="","",[2]Baskol!$G$1762)</f>
        <v/>
      </c>
      <c r="Y1759" t="str">
        <f>IF([2]Baskol!$I$1762="","",[2]Baskol!$I$1762)</f>
        <v/>
      </c>
      <c r="Z1759" t="str">
        <f>IF([2]Baskol!$J$1762="","",[2]Baskol!$J$1762)</f>
        <v/>
      </c>
      <c r="AA1759" t="str">
        <f>IF([2]Baskol!$K$1762="","",[2]Baskol!$K$1762)</f>
        <v/>
      </c>
      <c r="AB1759" t="str">
        <f>IF([2]Baskol!$L$1762="","",[2]Baskol!$L$1762)</f>
        <v/>
      </c>
      <c r="AC1759" t="str">
        <f>IF([2]Baskol!$N$1762="","",[2]Baskol!$N$1762)</f>
        <v/>
      </c>
      <c r="AD1759" t="str">
        <f>IF([2]Baskol!$O$1762="","",[2]Baskol!$O$1762)</f>
        <v/>
      </c>
      <c r="AE1759" t="str">
        <f>IF([3]Entry!$C$1762="","",[3]Entry!$C$1762)</f>
        <v/>
      </c>
      <c r="AF1759" t="str">
        <f>IF([3]Entry!$D$1762="","",[3]Entry!$D$1762)</f>
        <v/>
      </c>
      <c r="AG1759" t="str">
        <f>IF([3]Entry!$E$1762="","",[3]Entry!$E$1762)</f>
        <v/>
      </c>
      <c r="AH1759" t="str">
        <f>IF([3]Entry!$G$1762="","",[3]Entry!$G$1762)</f>
        <v/>
      </c>
      <c r="AI1759" t="str">
        <f>IF([3]Entry!$K$1762="","",[3]Entry!$K$1762)</f>
        <v/>
      </c>
      <c r="AJ1759" t="str">
        <f>IF([3]Entry!$L$1762="","",[3]Entry!$L$1762)</f>
        <v/>
      </c>
      <c r="AK1759" t="str">
        <f>IF([3]Entry!$M$1762="","",[3]Entry!$M$1762)</f>
        <v/>
      </c>
      <c r="AL1759" t="str">
        <f>IF([3]Entry!$N$1762="","",[3]Entry!$N$1762)</f>
        <v/>
      </c>
      <c r="AM1759" t="str">
        <f>IF([3]Entry!$R$1762="","",[3]Entry!$R$1762)</f>
        <v/>
      </c>
    </row>
    <row r="1760" spans="20:39" x14ac:dyDescent="0.2">
      <c r="T1760" t="str">
        <f>IF([2]Baskol!$B$1763="","",[2]Baskol!$B$1763)</f>
        <v/>
      </c>
      <c r="U1760" t="str">
        <f>IF([2]Baskol!$C$1763="","",[2]Baskol!$C$1763)</f>
        <v/>
      </c>
      <c r="V1760" t="str">
        <f>IF([2]Baskol!$D$1763="","",[2]Baskol!$D$1763)</f>
        <v/>
      </c>
      <c r="W1760" t="str">
        <f>IF([2]Baskol!$E$1763="","",[2]Baskol!$E$1763)</f>
        <v/>
      </c>
      <c r="X1760" t="str">
        <f>IF([2]Baskol!$G$1763="","",[2]Baskol!$G$1763)</f>
        <v/>
      </c>
      <c r="Y1760" t="str">
        <f>IF([2]Baskol!$I$1763="","",[2]Baskol!$I$1763)</f>
        <v/>
      </c>
      <c r="Z1760" t="str">
        <f>IF([2]Baskol!$J$1763="","",[2]Baskol!$J$1763)</f>
        <v/>
      </c>
      <c r="AA1760" t="str">
        <f>IF([2]Baskol!$K$1763="","",[2]Baskol!$K$1763)</f>
        <v/>
      </c>
      <c r="AB1760" t="str">
        <f>IF([2]Baskol!$L$1763="","",[2]Baskol!$L$1763)</f>
        <v/>
      </c>
      <c r="AC1760" t="str">
        <f>IF([2]Baskol!$N$1763="","",[2]Baskol!$N$1763)</f>
        <v/>
      </c>
      <c r="AD1760" t="str">
        <f>IF([2]Baskol!$O$1763="","",[2]Baskol!$O$1763)</f>
        <v/>
      </c>
      <c r="AE1760" t="str">
        <f>IF([3]Entry!$C$1763="","",[3]Entry!$C$1763)</f>
        <v/>
      </c>
      <c r="AF1760" t="str">
        <f>IF([3]Entry!$D$1763="","",[3]Entry!$D$1763)</f>
        <v/>
      </c>
      <c r="AG1760" t="str">
        <f>IF([3]Entry!$E$1763="","",[3]Entry!$E$1763)</f>
        <v/>
      </c>
      <c r="AH1760" t="str">
        <f>IF([3]Entry!$G$1763="","",[3]Entry!$G$1763)</f>
        <v/>
      </c>
      <c r="AI1760" t="str">
        <f>IF([3]Entry!$K$1763="","",[3]Entry!$K$1763)</f>
        <v/>
      </c>
      <c r="AJ1760" t="str">
        <f>IF([3]Entry!$L$1763="","",[3]Entry!$L$1763)</f>
        <v/>
      </c>
      <c r="AK1760" t="str">
        <f>IF([3]Entry!$M$1763="","",[3]Entry!$M$1763)</f>
        <v/>
      </c>
      <c r="AL1760" t="str">
        <f>IF([3]Entry!$N$1763="","",[3]Entry!$N$1763)</f>
        <v/>
      </c>
      <c r="AM1760" t="str">
        <f>IF([3]Entry!$R$1763="","",[3]Entry!$R$1763)</f>
        <v/>
      </c>
    </row>
    <row r="1761" spans="20:39" x14ac:dyDescent="0.2">
      <c r="T1761" t="str">
        <f>IF([2]Baskol!$B$1764="","",[2]Baskol!$B$1764)</f>
        <v/>
      </c>
      <c r="U1761" t="str">
        <f>IF([2]Baskol!$C$1764="","",[2]Baskol!$C$1764)</f>
        <v/>
      </c>
      <c r="V1761" t="str">
        <f>IF([2]Baskol!$D$1764="","",[2]Baskol!$D$1764)</f>
        <v/>
      </c>
      <c r="W1761" t="str">
        <f>IF([2]Baskol!$E$1764="","",[2]Baskol!$E$1764)</f>
        <v/>
      </c>
      <c r="X1761" t="str">
        <f>IF([2]Baskol!$G$1764="","",[2]Baskol!$G$1764)</f>
        <v/>
      </c>
      <c r="Y1761" t="str">
        <f>IF([2]Baskol!$I$1764="","",[2]Baskol!$I$1764)</f>
        <v/>
      </c>
      <c r="Z1761" t="str">
        <f>IF([2]Baskol!$J$1764="","",[2]Baskol!$J$1764)</f>
        <v/>
      </c>
      <c r="AA1761" t="str">
        <f>IF([2]Baskol!$K$1764="","",[2]Baskol!$K$1764)</f>
        <v/>
      </c>
      <c r="AB1761" t="str">
        <f>IF([2]Baskol!$L$1764="","",[2]Baskol!$L$1764)</f>
        <v/>
      </c>
      <c r="AC1761" t="str">
        <f>IF([2]Baskol!$N$1764="","",[2]Baskol!$N$1764)</f>
        <v/>
      </c>
      <c r="AD1761" t="str">
        <f>IF([2]Baskol!$O$1764="","",[2]Baskol!$O$1764)</f>
        <v/>
      </c>
      <c r="AE1761" t="str">
        <f>IF([3]Entry!$C$1764="","",[3]Entry!$C$1764)</f>
        <v/>
      </c>
      <c r="AF1761" t="str">
        <f>IF([3]Entry!$D$1764="","",[3]Entry!$D$1764)</f>
        <v/>
      </c>
      <c r="AG1761" t="str">
        <f>IF([3]Entry!$E$1764="","",[3]Entry!$E$1764)</f>
        <v/>
      </c>
      <c r="AH1761" t="str">
        <f>IF([3]Entry!$G$1764="","",[3]Entry!$G$1764)</f>
        <v/>
      </c>
      <c r="AI1761" t="str">
        <f>IF([3]Entry!$K$1764="","",[3]Entry!$K$1764)</f>
        <v/>
      </c>
      <c r="AJ1761" t="str">
        <f>IF([3]Entry!$L$1764="","",[3]Entry!$L$1764)</f>
        <v/>
      </c>
      <c r="AK1761" t="str">
        <f>IF([3]Entry!$M$1764="","",[3]Entry!$M$1764)</f>
        <v/>
      </c>
      <c r="AL1761" t="str">
        <f>IF([3]Entry!$N$1764="","",[3]Entry!$N$1764)</f>
        <v/>
      </c>
      <c r="AM1761" t="str">
        <f>IF([3]Entry!$R$1764="","",[3]Entry!$R$1764)</f>
        <v/>
      </c>
    </row>
    <row r="1762" spans="20:39" x14ac:dyDescent="0.2">
      <c r="T1762" t="str">
        <f>IF([2]Baskol!$B$1765="","",[2]Baskol!$B$1765)</f>
        <v/>
      </c>
      <c r="U1762" t="str">
        <f>IF([2]Baskol!$C$1765="","",[2]Baskol!$C$1765)</f>
        <v/>
      </c>
      <c r="V1762" t="str">
        <f>IF([2]Baskol!$D$1765="","",[2]Baskol!$D$1765)</f>
        <v/>
      </c>
      <c r="W1762" t="str">
        <f>IF([2]Baskol!$E$1765="","",[2]Baskol!$E$1765)</f>
        <v/>
      </c>
      <c r="X1762" t="str">
        <f>IF([2]Baskol!$G$1765="","",[2]Baskol!$G$1765)</f>
        <v/>
      </c>
      <c r="Y1762" t="str">
        <f>IF([2]Baskol!$I$1765="","",[2]Baskol!$I$1765)</f>
        <v/>
      </c>
      <c r="Z1762" t="str">
        <f>IF([2]Baskol!$J$1765="","",[2]Baskol!$J$1765)</f>
        <v/>
      </c>
      <c r="AA1762" t="str">
        <f>IF([2]Baskol!$K$1765="","",[2]Baskol!$K$1765)</f>
        <v/>
      </c>
      <c r="AB1762" t="str">
        <f>IF([2]Baskol!$L$1765="","",[2]Baskol!$L$1765)</f>
        <v/>
      </c>
      <c r="AC1762" t="str">
        <f>IF([2]Baskol!$N$1765="","",[2]Baskol!$N$1765)</f>
        <v/>
      </c>
      <c r="AD1762" t="str">
        <f>IF([2]Baskol!$O$1765="","",[2]Baskol!$O$1765)</f>
        <v/>
      </c>
      <c r="AE1762" t="str">
        <f>IF([3]Entry!$C$1765="","",[3]Entry!$C$1765)</f>
        <v/>
      </c>
      <c r="AF1762" t="str">
        <f>IF([3]Entry!$D$1765="","",[3]Entry!$D$1765)</f>
        <v/>
      </c>
      <c r="AG1762" t="str">
        <f>IF([3]Entry!$E$1765="","",[3]Entry!$E$1765)</f>
        <v/>
      </c>
      <c r="AH1762" t="str">
        <f>IF([3]Entry!$G$1765="","",[3]Entry!$G$1765)</f>
        <v/>
      </c>
      <c r="AI1762" t="str">
        <f>IF([3]Entry!$K$1765="","",[3]Entry!$K$1765)</f>
        <v/>
      </c>
      <c r="AJ1762" t="str">
        <f>IF([3]Entry!$L$1765="","",[3]Entry!$L$1765)</f>
        <v/>
      </c>
      <c r="AK1762" t="str">
        <f>IF([3]Entry!$M$1765="","",[3]Entry!$M$1765)</f>
        <v/>
      </c>
      <c r="AL1762" t="str">
        <f>IF([3]Entry!$N$1765="","",[3]Entry!$N$1765)</f>
        <v/>
      </c>
      <c r="AM1762" t="str">
        <f>IF([3]Entry!$R$1765="","",[3]Entry!$R$1765)</f>
        <v/>
      </c>
    </row>
    <row r="1763" spans="20:39" x14ac:dyDescent="0.2">
      <c r="T1763" t="str">
        <f>IF([2]Baskol!$B$1766="","",[2]Baskol!$B$1766)</f>
        <v/>
      </c>
      <c r="U1763" t="str">
        <f>IF([2]Baskol!$C$1766="","",[2]Baskol!$C$1766)</f>
        <v/>
      </c>
      <c r="V1763" t="str">
        <f>IF([2]Baskol!$D$1766="","",[2]Baskol!$D$1766)</f>
        <v/>
      </c>
      <c r="W1763" t="str">
        <f>IF([2]Baskol!$E$1766="","",[2]Baskol!$E$1766)</f>
        <v/>
      </c>
      <c r="X1763" t="str">
        <f>IF([2]Baskol!$G$1766="","",[2]Baskol!$G$1766)</f>
        <v/>
      </c>
      <c r="Y1763" t="str">
        <f>IF([2]Baskol!$I$1766="","",[2]Baskol!$I$1766)</f>
        <v/>
      </c>
      <c r="Z1763" t="str">
        <f>IF([2]Baskol!$J$1766="","",[2]Baskol!$J$1766)</f>
        <v/>
      </c>
      <c r="AA1763" t="str">
        <f>IF([2]Baskol!$K$1766="","",[2]Baskol!$K$1766)</f>
        <v/>
      </c>
      <c r="AB1763" t="str">
        <f>IF([2]Baskol!$L$1766="","",[2]Baskol!$L$1766)</f>
        <v/>
      </c>
      <c r="AC1763" t="str">
        <f>IF([2]Baskol!$N$1766="","",[2]Baskol!$N$1766)</f>
        <v/>
      </c>
      <c r="AD1763" t="str">
        <f>IF([2]Baskol!$O$1766="","",[2]Baskol!$O$1766)</f>
        <v/>
      </c>
      <c r="AE1763" t="str">
        <f>IF([3]Entry!$C$1766="","",[3]Entry!$C$1766)</f>
        <v/>
      </c>
      <c r="AF1763" t="str">
        <f>IF([3]Entry!$D$1766="","",[3]Entry!$D$1766)</f>
        <v/>
      </c>
      <c r="AG1763" t="str">
        <f>IF([3]Entry!$E$1766="","",[3]Entry!$E$1766)</f>
        <v/>
      </c>
      <c r="AH1763" t="str">
        <f>IF([3]Entry!$G$1766="","",[3]Entry!$G$1766)</f>
        <v/>
      </c>
      <c r="AI1763" t="str">
        <f>IF([3]Entry!$K$1766="","",[3]Entry!$K$1766)</f>
        <v/>
      </c>
      <c r="AJ1763" t="str">
        <f>IF([3]Entry!$L$1766="","",[3]Entry!$L$1766)</f>
        <v/>
      </c>
      <c r="AK1763" t="str">
        <f>IF([3]Entry!$M$1766="","",[3]Entry!$M$1766)</f>
        <v/>
      </c>
      <c r="AL1763" t="str">
        <f>IF([3]Entry!$N$1766="","",[3]Entry!$N$1766)</f>
        <v/>
      </c>
      <c r="AM1763" t="str">
        <f>IF([3]Entry!$R$1766="","",[3]Entry!$R$1766)</f>
        <v/>
      </c>
    </row>
    <row r="1764" spans="20:39" x14ac:dyDescent="0.2">
      <c r="T1764" t="str">
        <f>IF([2]Baskol!$B$1767="","",[2]Baskol!$B$1767)</f>
        <v/>
      </c>
      <c r="U1764" t="str">
        <f>IF([2]Baskol!$C$1767="","",[2]Baskol!$C$1767)</f>
        <v/>
      </c>
      <c r="V1764" t="str">
        <f>IF([2]Baskol!$D$1767="","",[2]Baskol!$D$1767)</f>
        <v/>
      </c>
      <c r="W1764" t="str">
        <f>IF([2]Baskol!$E$1767="","",[2]Baskol!$E$1767)</f>
        <v/>
      </c>
      <c r="X1764" t="str">
        <f>IF([2]Baskol!$G$1767="","",[2]Baskol!$G$1767)</f>
        <v/>
      </c>
      <c r="Y1764" t="str">
        <f>IF([2]Baskol!$I$1767="","",[2]Baskol!$I$1767)</f>
        <v/>
      </c>
      <c r="Z1764" t="str">
        <f>IF([2]Baskol!$J$1767="","",[2]Baskol!$J$1767)</f>
        <v/>
      </c>
      <c r="AA1764" t="str">
        <f>IF([2]Baskol!$K$1767="","",[2]Baskol!$K$1767)</f>
        <v/>
      </c>
      <c r="AB1764" t="str">
        <f>IF([2]Baskol!$L$1767="","",[2]Baskol!$L$1767)</f>
        <v/>
      </c>
      <c r="AC1764" t="str">
        <f>IF([2]Baskol!$N$1767="","",[2]Baskol!$N$1767)</f>
        <v/>
      </c>
      <c r="AD1764" t="str">
        <f>IF([2]Baskol!$O$1767="","",[2]Baskol!$O$1767)</f>
        <v/>
      </c>
      <c r="AE1764" t="str">
        <f>IF([3]Entry!$C$1767="","",[3]Entry!$C$1767)</f>
        <v/>
      </c>
      <c r="AF1764" t="str">
        <f>IF([3]Entry!$D$1767="","",[3]Entry!$D$1767)</f>
        <v/>
      </c>
      <c r="AG1764" t="str">
        <f>IF([3]Entry!$E$1767="","",[3]Entry!$E$1767)</f>
        <v/>
      </c>
      <c r="AH1764" t="str">
        <f>IF([3]Entry!$G$1767="","",[3]Entry!$G$1767)</f>
        <v/>
      </c>
      <c r="AI1764" t="str">
        <f>IF([3]Entry!$K$1767="","",[3]Entry!$K$1767)</f>
        <v/>
      </c>
      <c r="AJ1764" t="str">
        <f>IF([3]Entry!$L$1767="","",[3]Entry!$L$1767)</f>
        <v/>
      </c>
      <c r="AK1764" t="str">
        <f>IF([3]Entry!$M$1767="","",[3]Entry!$M$1767)</f>
        <v/>
      </c>
      <c r="AL1764" t="str">
        <f>IF([3]Entry!$N$1767="","",[3]Entry!$N$1767)</f>
        <v/>
      </c>
      <c r="AM1764" t="str">
        <f>IF([3]Entry!$R$1767="","",[3]Entry!$R$1767)</f>
        <v/>
      </c>
    </row>
    <row r="1765" spans="20:39" x14ac:dyDescent="0.2">
      <c r="T1765" t="str">
        <f>IF([2]Baskol!$B$1768="","",[2]Baskol!$B$1768)</f>
        <v/>
      </c>
      <c r="U1765" t="str">
        <f>IF([2]Baskol!$C$1768="","",[2]Baskol!$C$1768)</f>
        <v/>
      </c>
      <c r="V1765" t="str">
        <f>IF([2]Baskol!$D$1768="","",[2]Baskol!$D$1768)</f>
        <v/>
      </c>
      <c r="W1765" t="str">
        <f>IF([2]Baskol!$E$1768="","",[2]Baskol!$E$1768)</f>
        <v/>
      </c>
      <c r="X1765" t="str">
        <f>IF([2]Baskol!$G$1768="","",[2]Baskol!$G$1768)</f>
        <v/>
      </c>
      <c r="Y1765" t="str">
        <f>IF([2]Baskol!$I$1768="","",[2]Baskol!$I$1768)</f>
        <v/>
      </c>
      <c r="Z1765" t="str">
        <f>IF([2]Baskol!$J$1768="","",[2]Baskol!$J$1768)</f>
        <v/>
      </c>
      <c r="AA1765" t="str">
        <f>IF([2]Baskol!$K$1768="","",[2]Baskol!$K$1768)</f>
        <v/>
      </c>
      <c r="AB1765" t="str">
        <f>IF([2]Baskol!$L$1768="","",[2]Baskol!$L$1768)</f>
        <v/>
      </c>
      <c r="AC1765" t="str">
        <f>IF([2]Baskol!$N$1768="","",[2]Baskol!$N$1768)</f>
        <v/>
      </c>
      <c r="AD1765" t="str">
        <f>IF([2]Baskol!$O$1768="","",[2]Baskol!$O$1768)</f>
        <v/>
      </c>
      <c r="AE1765" t="str">
        <f>IF([3]Entry!$C$1768="","",[3]Entry!$C$1768)</f>
        <v/>
      </c>
      <c r="AF1765" t="str">
        <f>IF([3]Entry!$D$1768="","",[3]Entry!$D$1768)</f>
        <v/>
      </c>
      <c r="AG1765" t="str">
        <f>IF([3]Entry!$E$1768="","",[3]Entry!$E$1768)</f>
        <v/>
      </c>
      <c r="AH1765" t="str">
        <f>IF([3]Entry!$G$1768="","",[3]Entry!$G$1768)</f>
        <v/>
      </c>
      <c r="AI1765" t="str">
        <f>IF([3]Entry!$K$1768="","",[3]Entry!$K$1768)</f>
        <v/>
      </c>
      <c r="AJ1765" t="str">
        <f>IF([3]Entry!$L$1768="","",[3]Entry!$L$1768)</f>
        <v/>
      </c>
      <c r="AK1765" t="str">
        <f>IF([3]Entry!$M$1768="","",[3]Entry!$M$1768)</f>
        <v/>
      </c>
      <c r="AL1765" t="str">
        <f>IF([3]Entry!$N$1768="","",[3]Entry!$N$1768)</f>
        <v/>
      </c>
      <c r="AM1765" t="str">
        <f>IF([3]Entry!$R$1768="","",[3]Entry!$R$1768)</f>
        <v/>
      </c>
    </row>
    <row r="1766" spans="20:39" x14ac:dyDescent="0.2">
      <c r="T1766" t="str">
        <f>IF([2]Baskol!$B$1769="","",[2]Baskol!$B$1769)</f>
        <v/>
      </c>
      <c r="U1766" t="str">
        <f>IF([2]Baskol!$C$1769="","",[2]Baskol!$C$1769)</f>
        <v/>
      </c>
      <c r="V1766" t="str">
        <f>IF([2]Baskol!$D$1769="","",[2]Baskol!$D$1769)</f>
        <v/>
      </c>
      <c r="W1766" t="str">
        <f>IF([2]Baskol!$E$1769="","",[2]Baskol!$E$1769)</f>
        <v/>
      </c>
      <c r="X1766" t="str">
        <f>IF([2]Baskol!$G$1769="","",[2]Baskol!$G$1769)</f>
        <v/>
      </c>
      <c r="Y1766" t="str">
        <f>IF([2]Baskol!$I$1769="","",[2]Baskol!$I$1769)</f>
        <v/>
      </c>
      <c r="Z1766" t="str">
        <f>IF([2]Baskol!$J$1769="","",[2]Baskol!$J$1769)</f>
        <v/>
      </c>
      <c r="AA1766" t="str">
        <f>IF([2]Baskol!$K$1769="","",[2]Baskol!$K$1769)</f>
        <v/>
      </c>
      <c r="AB1766" t="str">
        <f>IF([2]Baskol!$L$1769="","",[2]Baskol!$L$1769)</f>
        <v/>
      </c>
      <c r="AC1766" t="str">
        <f>IF([2]Baskol!$N$1769="","",[2]Baskol!$N$1769)</f>
        <v/>
      </c>
      <c r="AD1766" t="str">
        <f>IF([2]Baskol!$O$1769="","",[2]Baskol!$O$1769)</f>
        <v/>
      </c>
      <c r="AE1766" t="str">
        <f>IF([3]Entry!$C$1769="","",[3]Entry!$C$1769)</f>
        <v/>
      </c>
      <c r="AF1766" t="str">
        <f>IF([3]Entry!$D$1769="","",[3]Entry!$D$1769)</f>
        <v/>
      </c>
      <c r="AG1766" t="str">
        <f>IF([3]Entry!$E$1769="","",[3]Entry!$E$1769)</f>
        <v/>
      </c>
      <c r="AH1766" t="str">
        <f>IF([3]Entry!$G$1769="","",[3]Entry!$G$1769)</f>
        <v/>
      </c>
      <c r="AI1766" t="str">
        <f>IF([3]Entry!$K$1769="","",[3]Entry!$K$1769)</f>
        <v/>
      </c>
      <c r="AJ1766" t="str">
        <f>IF([3]Entry!$L$1769="","",[3]Entry!$L$1769)</f>
        <v/>
      </c>
      <c r="AK1766" t="str">
        <f>IF([3]Entry!$M$1769="","",[3]Entry!$M$1769)</f>
        <v/>
      </c>
      <c r="AL1766" t="str">
        <f>IF([3]Entry!$N$1769="","",[3]Entry!$N$1769)</f>
        <v/>
      </c>
      <c r="AM1766" t="str">
        <f>IF([3]Entry!$R$1769="","",[3]Entry!$R$1769)</f>
        <v/>
      </c>
    </row>
    <row r="1767" spans="20:39" x14ac:dyDescent="0.2">
      <c r="T1767" t="str">
        <f>IF([2]Baskol!$B$1770="","",[2]Baskol!$B$1770)</f>
        <v/>
      </c>
      <c r="U1767" t="str">
        <f>IF([2]Baskol!$C$1770="","",[2]Baskol!$C$1770)</f>
        <v/>
      </c>
      <c r="V1767" t="str">
        <f>IF([2]Baskol!$D$1770="","",[2]Baskol!$D$1770)</f>
        <v/>
      </c>
      <c r="W1767" t="str">
        <f>IF([2]Baskol!$E$1770="","",[2]Baskol!$E$1770)</f>
        <v/>
      </c>
      <c r="X1767" t="str">
        <f>IF([2]Baskol!$G$1770="","",[2]Baskol!$G$1770)</f>
        <v/>
      </c>
      <c r="Y1767" t="str">
        <f>IF([2]Baskol!$I$1770="","",[2]Baskol!$I$1770)</f>
        <v/>
      </c>
      <c r="Z1767" t="str">
        <f>IF([2]Baskol!$J$1770="","",[2]Baskol!$J$1770)</f>
        <v/>
      </c>
      <c r="AA1767" t="str">
        <f>IF([2]Baskol!$K$1770="","",[2]Baskol!$K$1770)</f>
        <v/>
      </c>
      <c r="AB1767" t="str">
        <f>IF([2]Baskol!$L$1770="","",[2]Baskol!$L$1770)</f>
        <v/>
      </c>
      <c r="AC1767" t="str">
        <f>IF([2]Baskol!$N$1770="","",[2]Baskol!$N$1770)</f>
        <v/>
      </c>
      <c r="AD1767" t="str">
        <f>IF([2]Baskol!$O$1770="","",[2]Baskol!$O$1770)</f>
        <v/>
      </c>
      <c r="AE1767" t="str">
        <f>IF([3]Entry!$C$1770="","",[3]Entry!$C$1770)</f>
        <v/>
      </c>
      <c r="AF1767" t="str">
        <f>IF([3]Entry!$D$1770="","",[3]Entry!$D$1770)</f>
        <v/>
      </c>
      <c r="AG1767" t="str">
        <f>IF([3]Entry!$E$1770="","",[3]Entry!$E$1770)</f>
        <v/>
      </c>
      <c r="AH1767" t="str">
        <f>IF([3]Entry!$G$1770="","",[3]Entry!$G$1770)</f>
        <v/>
      </c>
      <c r="AI1767" t="str">
        <f>IF([3]Entry!$K$1770="","",[3]Entry!$K$1770)</f>
        <v/>
      </c>
      <c r="AJ1767" t="str">
        <f>IF([3]Entry!$L$1770="","",[3]Entry!$L$1770)</f>
        <v/>
      </c>
      <c r="AK1767" t="str">
        <f>IF([3]Entry!$M$1770="","",[3]Entry!$M$1770)</f>
        <v/>
      </c>
      <c r="AL1767" t="str">
        <f>IF([3]Entry!$N$1770="","",[3]Entry!$N$1770)</f>
        <v/>
      </c>
      <c r="AM1767" t="str">
        <f>IF([3]Entry!$R$1770="","",[3]Entry!$R$1770)</f>
        <v/>
      </c>
    </row>
    <row r="1768" spans="20:39" x14ac:dyDescent="0.2">
      <c r="T1768" t="str">
        <f>IF([2]Baskol!$B$1771="","",[2]Baskol!$B$1771)</f>
        <v/>
      </c>
      <c r="U1768" t="str">
        <f>IF([2]Baskol!$C$1771="","",[2]Baskol!$C$1771)</f>
        <v/>
      </c>
      <c r="V1768" t="str">
        <f>IF([2]Baskol!$D$1771="","",[2]Baskol!$D$1771)</f>
        <v/>
      </c>
      <c r="W1768" t="str">
        <f>IF([2]Baskol!$E$1771="","",[2]Baskol!$E$1771)</f>
        <v/>
      </c>
      <c r="X1768" t="str">
        <f>IF([2]Baskol!$G$1771="","",[2]Baskol!$G$1771)</f>
        <v/>
      </c>
      <c r="Y1768" t="str">
        <f>IF([2]Baskol!$I$1771="","",[2]Baskol!$I$1771)</f>
        <v/>
      </c>
      <c r="Z1768" t="str">
        <f>IF([2]Baskol!$J$1771="","",[2]Baskol!$J$1771)</f>
        <v/>
      </c>
      <c r="AA1768" t="str">
        <f>IF([2]Baskol!$K$1771="","",[2]Baskol!$K$1771)</f>
        <v/>
      </c>
      <c r="AB1768" t="str">
        <f>IF([2]Baskol!$L$1771="","",[2]Baskol!$L$1771)</f>
        <v/>
      </c>
      <c r="AC1768" t="str">
        <f>IF([2]Baskol!$N$1771="","",[2]Baskol!$N$1771)</f>
        <v/>
      </c>
      <c r="AD1768" t="str">
        <f>IF([2]Baskol!$O$1771="","",[2]Baskol!$O$1771)</f>
        <v/>
      </c>
      <c r="AE1768" t="str">
        <f>IF([3]Entry!$C$1771="","",[3]Entry!$C$1771)</f>
        <v/>
      </c>
      <c r="AF1768" t="str">
        <f>IF([3]Entry!$D$1771="","",[3]Entry!$D$1771)</f>
        <v/>
      </c>
      <c r="AG1768" t="str">
        <f>IF([3]Entry!$E$1771="","",[3]Entry!$E$1771)</f>
        <v/>
      </c>
      <c r="AH1768" t="str">
        <f>IF([3]Entry!$G$1771="","",[3]Entry!$G$1771)</f>
        <v/>
      </c>
      <c r="AI1768" t="str">
        <f>IF([3]Entry!$K$1771="","",[3]Entry!$K$1771)</f>
        <v/>
      </c>
      <c r="AJ1768" t="str">
        <f>IF([3]Entry!$L$1771="","",[3]Entry!$L$1771)</f>
        <v/>
      </c>
      <c r="AK1768" t="str">
        <f>IF([3]Entry!$M$1771="","",[3]Entry!$M$1771)</f>
        <v/>
      </c>
      <c r="AL1768" t="str">
        <f>IF([3]Entry!$N$1771="","",[3]Entry!$N$1771)</f>
        <v/>
      </c>
      <c r="AM1768" t="str">
        <f>IF([3]Entry!$R$1771="","",[3]Entry!$R$1771)</f>
        <v/>
      </c>
    </row>
    <row r="1769" spans="20:39" x14ac:dyDescent="0.2">
      <c r="T1769" t="str">
        <f>IF([2]Baskol!$B$1772="","",[2]Baskol!$B$1772)</f>
        <v/>
      </c>
      <c r="U1769" t="str">
        <f>IF([2]Baskol!$C$1772="","",[2]Baskol!$C$1772)</f>
        <v/>
      </c>
      <c r="V1769" t="str">
        <f>IF([2]Baskol!$D$1772="","",[2]Baskol!$D$1772)</f>
        <v/>
      </c>
      <c r="W1769" t="str">
        <f>IF([2]Baskol!$E$1772="","",[2]Baskol!$E$1772)</f>
        <v/>
      </c>
      <c r="X1769" t="str">
        <f>IF([2]Baskol!$G$1772="","",[2]Baskol!$G$1772)</f>
        <v/>
      </c>
      <c r="Y1769" t="str">
        <f>IF([2]Baskol!$I$1772="","",[2]Baskol!$I$1772)</f>
        <v/>
      </c>
      <c r="Z1769" t="str">
        <f>IF([2]Baskol!$J$1772="","",[2]Baskol!$J$1772)</f>
        <v/>
      </c>
      <c r="AA1769" t="str">
        <f>IF([2]Baskol!$K$1772="","",[2]Baskol!$K$1772)</f>
        <v/>
      </c>
      <c r="AB1769" t="str">
        <f>IF([2]Baskol!$L$1772="","",[2]Baskol!$L$1772)</f>
        <v/>
      </c>
      <c r="AC1769" t="str">
        <f>IF([2]Baskol!$N$1772="","",[2]Baskol!$N$1772)</f>
        <v/>
      </c>
      <c r="AD1769" t="str">
        <f>IF([2]Baskol!$O$1772="","",[2]Baskol!$O$1772)</f>
        <v/>
      </c>
      <c r="AE1769" t="str">
        <f>IF([3]Entry!$C$1772="","",[3]Entry!$C$1772)</f>
        <v/>
      </c>
      <c r="AF1769" t="str">
        <f>IF([3]Entry!$D$1772="","",[3]Entry!$D$1772)</f>
        <v/>
      </c>
      <c r="AG1769" t="str">
        <f>IF([3]Entry!$E$1772="","",[3]Entry!$E$1772)</f>
        <v/>
      </c>
      <c r="AH1769" t="str">
        <f>IF([3]Entry!$G$1772="","",[3]Entry!$G$1772)</f>
        <v/>
      </c>
      <c r="AI1769" t="str">
        <f>IF([3]Entry!$K$1772="","",[3]Entry!$K$1772)</f>
        <v/>
      </c>
      <c r="AJ1769" t="str">
        <f>IF([3]Entry!$L$1772="","",[3]Entry!$L$1772)</f>
        <v/>
      </c>
      <c r="AK1769" t="str">
        <f>IF([3]Entry!$M$1772="","",[3]Entry!$M$1772)</f>
        <v/>
      </c>
      <c r="AL1769" t="str">
        <f>IF([3]Entry!$N$1772="","",[3]Entry!$N$1772)</f>
        <v/>
      </c>
      <c r="AM1769" t="str">
        <f>IF([3]Entry!$R$1772="","",[3]Entry!$R$1772)</f>
        <v/>
      </c>
    </row>
    <row r="1770" spans="20:39" x14ac:dyDescent="0.2">
      <c r="T1770" t="str">
        <f>IF([2]Baskol!$B$1773="","",[2]Baskol!$B$1773)</f>
        <v/>
      </c>
      <c r="U1770" t="str">
        <f>IF([2]Baskol!$C$1773="","",[2]Baskol!$C$1773)</f>
        <v/>
      </c>
      <c r="V1770" t="str">
        <f>IF([2]Baskol!$D$1773="","",[2]Baskol!$D$1773)</f>
        <v/>
      </c>
      <c r="W1770" t="str">
        <f>IF([2]Baskol!$E$1773="","",[2]Baskol!$E$1773)</f>
        <v/>
      </c>
      <c r="X1770" t="str">
        <f>IF([2]Baskol!$G$1773="","",[2]Baskol!$G$1773)</f>
        <v/>
      </c>
      <c r="Y1770" t="str">
        <f>IF([2]Baskol!$I$1773="","",[2]Baskol!$I$1773)</f>
        <v/>
      </c>
      <c r="Z1770" t="str">
        <f>IF([2]Baskol!$J$1773="","",[2]Baskol!$J$1773)</f>
        <v/>
      </c>
      <c r="AA1770" t="str">
        <f>IF([2]Baskol!$K$1773="","",[2]Baskol!$K$1773)</f>
        <v/>
      </c>
      <c r="AB1770" t="str">
        <f>IF([2]Baskol!$L$1773="","",[2]Baskol!$L$1773)</f>
        <v/>
      </c>
      <c r="AC1770" t="str">
        <f>IF([2]Baskol!$N$1773="","",[2]Baskol!$N$1773)</f>
        <v/>
      </c>
      <c r="AD1770" t="str">
        <f>IF([2]Baskol!$O$1773="","",[2]Baskol!$O$1773)</f>
        <v/>
      </c>
      <c r="AE1770" t="str">
        <f>IF([3]Entry!$C$1773="","",[3]Entry!$C$1773)</f>
        <v/>
      </c>
      <c r="AF1770" t="str">
        <f>IF([3]Entry!$D$1773="","",[3]Entry!$D$1773)</f>
        <v/>
      </c>
      <c r="AG1770" t="str">
        <f>IF([3]Entry!$E$1773="","",[3]Entry!$E$1773)</f>
        <v/>
      </c>
      <c r="AH1770" t="str">
        <f>IF([3]Entry!$G$1773="","",[3]Entry!$G$1773)</f>
        <v/>
      </c>
      <c r="AI1770" t="str">
        <f>IF([3]Entry!$K$1773="","",[3]Entry!$K$1773)</f>
        <v/>
      </c>
      <c r="AJ1770" t="str">
        <f>IF([3]Entry!$L$1773="","",[3]Entry!$L$1773)</f>
        <v/>
      </c>
      <c r="AK1770" t="str">
        <f>IF([3]Entry!$M$1773="","",[3]Entry!$M$1773)</f>
        <v/>
      </c>
      <c r="AL1770" t="str">
        <f>IF([3]Entry!$N$1773="","",[3]Entry!$N$1773)</f>
        <v/>
      </c>
      <c r="AM1770" t="str">
        <f>IF([3]Entry!$R$1773="","",[3]Entry!$R$1773)</f>
        <v/>
      </c>
    </row>
    <row r="1771" spans="20:39" x14ac:dyDescent="0.2">
      <c r="T1771" t="str">
        <f>IF([2]Baskol!$B$1774="","",[2]Baskol!$B$1774)</f>
        <v/>
      </c>
      <c r="U1771" t="str">
        <f>IF([2]Baskol!$C$1774="","",[2]Baskol!$C$1774)</f>
        <v/>
      </c>
      <c r="V1771" t="str">
        <f>IF([2]Baskol!$D$1774="","",[2]Baskol!$D$1774)</f>
        <v/>
      </c>
      <c r="W1771" t="str">
        <f>IF([2]Baskol!$E$1774="","",[2]Baskol!$E$1774)</f>
        <v/>
      </c>
      <c r="X1771" t="str">
        <f>IF([2]Baskol!$G$1774="","",[2]Baskol!$G$1774)</f>
        <v/>
      </c>
      <c r="Y1771" t="str">
        <f>IF([2]Baskol!$I$1774="","",[2]Baskol!$I$1774)</f>
        <v/>
      </c>
      <c r="Z1771" t="str">
        <f>IF([2]Baskol!$J$1774="","",[2]Baskol!$J$1774)</f>
        <v/>
      </c>
      <c r="AA1771" t="str">
        <f>IF([2]Baskol!$K$1774="","",[2]Baskol!$K$1774)</f>
        <v/>
      </c>
      <c r="AB1771" t="str">
        <f>IF([2]Baskol!$L$1774="","",[2]Baskol!$L$1774)</f>
        <v/>
      </c>
      <c r="AC1771" t="str">
        <f>IF([2]Baskol!$N$1774="","",[2]Baskol!$N$1774)</f>
        <v/>
      </c>
      <c r="AD1771" t="str">
        <f>IF([2]Baskol!$O$1774="","",[2]Baskol!$O$1774)</f>
        <v/>
      </c>
      <c r="AE1771" t="str">
        <f>IF([3]Entry!$C$1774="","",[3]Entry!$C$1774)</f>
        <v/>
      </c>
      <c r="AF1771" t="str">
        <f>IF([3]Entry!$D$1774="","",[3]Entry!$D$1774)</f>
        <v/>
      </c>
      <c r="AG1771" t="str">
        <f>IF([3]Entry!$E$1774="","",[3]Entry!$E$1774)</f>
        <v/>
      </c>
      <c r="AH1771" t="str">
        <f>IF([3]Entry!$G$1774="","",[3]Entry!$G$1774)</f>
        <v/>
      </c>
      <c r="AI1771" t="str">
        <f>IF([3]Entry!$K$1774="","",[3]Entry!$K$1774)</f>
        <v/>
      </c>
      <c r="AJ1771" t="str">
        <f>IF([3]Entry!$L$1774="","",[3]Entry!$L$1774)</f>
        <v/>
      </c>
      <c r="AK1771" t="str">
        <f>IF([3]Entry!$M$1774="","",[3]Entry!$M$1774)</f>
        <v/>
      </c>
      <c r="AL1771" t="str">
        <f>IF([3]Entry!$N$1774="","",[3]Entry!$N$1774)</f>
        <v/>
      </c>
      <c r="AM1771" t="str">
        <f>IF([3]Entry!$R$1774="","",[3]Entry!$R$1774)</f>
        <v/>
      </c>
    </row>
    <row r="1772" spans="20:39" x14ac:dyDescent="0.2">
      <c r="T1772" t="str">
        <f>IF([2]Baskol!$B$1775="","",[2]Baskol!$B$1775)</f>
        <v/>
      </c>
      <c r="U1772" t="str">
        <f>IF([2]Baskol!$C$1775="","",[2]Baskol!$C$1775)</f>
        <v/>
      </c>
      <c r="V1772" t="str">
        <f>IF([2]Baskol!$D$1775="","",[2]Baskol!$D$1775)</f>
        <v/>
      </c>
      <c r="W1772" t="str">
        <f>IF([2]Baskol!$E$1775="","",[2]Baskol!$E$1775)</f>
        <v/>
      </c>
      <c r="X1772" t="str">
        <f>IF([2]Baskol!$G$1775="","",[2]Baskol!$G$1775)</f>
        <v/>
      </c>
      <c r="Y1772" t="str">
        <f>IF([2]Baskol!$I$1775="","",[2]Baskol!$I$1775)</f>
        <v/>
      </c>
      <c r="Z1772" t="str">
        <f>IF([2]Baskol!$J$1775="","",[2]Baskol!$J$1775)</f>
        <v/>
      </c>
      <c r="AA1772" t="str">
        <f>IF([2]Baskol!$K$1775="","",[2]Baskol!$K$1775)</f>
        <v/>
      </c>
      <c r="AB1772" t="str">
        <f>IF([2]Baskol!$L$1775="","",[2]Baskol!$L$1775)</f>
        <v/>
      </c>
      <c r="AC1772" t="str">
        <f>IF([2]Baskol!$N$1775="","",[2]Baskol!$N$1775)</f>
        <v/>
      </c>
      <c r="AD1772" t="str">
        <f>IF([2]Baskol!$O$1775="","",[2]Baskol!$O$1775)</f>
        <v/>
      </c>
      <c r="AE1772" t="str">
        <f>IF([3]Entry!$C$1775="","",[3]Entry!$C$1775)</f>
        <v/>
      </c>
      <c r="AF1772" t="str">
        <f>IF([3]Entry!$D$1775="","",[3]Entry!$D$1775)</f>
        <v/>
      </c>
      <c r="AG1772" t="str">
        <f>IF([3]Entry!$E$1775="","",[3]Entry!$E$1775)</f>
        <v/>
      </c>
      <c r="AH1772" t="str">
        <f>IF([3]Entry!$G$1775="","",[3]Entry!$G$1775)</f>
        <v/>
      </c>
      <c r="AI1772" t="str">
        <f>IF([3]Entry!$K$1775="","",[3]Entry!$K$1775)</f>
        <v/>
      </c>
      <c r="AJ1772" t="str">
        <f>IF([3]Entry!$L$1775="","",[3]Entry!$L$1775)</f>
        <v/>
      </c>
      <c r="AK1772" t="str">
        <f>IF([3]Entry!$M$1775="","",[3]Entry!$M$1775)</f>
        <v/>
      </c>
      <c r="AL1772" t="str">
        <f>IF([3]Entry!$N$1775="","",[3]Entry!$N$1775)</f>
        <v/>
      </c>
      <c r="AM1772" t="str">
        <f>IF([3]Entry!$R$1775="","",[3]Entry!$R$1775)</f>
        <v/>
      </c>
    </row>
    <row r="1773" spans="20:39" x14ac:dyDescent="0.2">
      <c r="T1773" t="str">
        <f>IF([2]Baskol!$B$1776="","",[2]Baskol!$B$1776)</f>
        <v/>
      </c>
      <c r="U1773" t="str">
        <f>IF([2]Baskol!$C$1776="","",[2]Baskol!$C$1776)</f>
        <v/>
      </c>
      <c r="V1773" t="str">
        <f>IF([2]Baskol!$D$1776="","",[2]Baskol!$D$1776)</f>
        <v/>
      </c>
      <c r="W1773" t="str">
        <f>IF([2]Baskol!$E$1776="","",[2]Baskol!$E$1776)</f>
        <v/>
      </c>
      <c r="X1773" t="str">
        <f>IF([2]Baskol!$G$1776="","",[2]Baskol!$G$1776)</f>
        <v/>
      </c>
      <c r="Y1773" t="str">
        <f>IF([2]Baskol!$I$1776="","",[2]Baskol!$I$1776)</f>
        <v/>
      </c>
      <c r="Z1773" t="str">
        <f>IF([2]Baskol!$J$1776="","",[2]Baskol!$J$1776)</f>
        <v/>
      </c>
      <c r="AA1773" t="str">
        <f>IF([2]Baskol!$K$1776="","",[2]Baskol!$K$1776)</f>
        <v/>
      </c>
      <c r="AB1773" t="str">
        <f>IF([2]Baskol!$L$1776="","",[2]Baskol!$L$1776)</f>
        <v/>
      </c>
      <c r="AC1773" t="str">
        <f>IF([2]Baskol!$N$1776="","",[2]Baskol!$N$1776)</f>
        <v/>
      </c>
      <c r="AD1773" t="str">
        <f>IF([2]Baskol!$O$1776="","",[2]Baskol!$O$1776)</f>
        <v/>
      </c>
      <c r="AE1773" t="str">
        <f>IF([3]Entry!$C$1776="","",[3]Entry!$C$1776)</f>
        <v/>
      </c>
      <c r="AF1773" t="str">
        <f>IF([3]Entry!$D$1776="","",[3]Entry!$D$1776)</f>
        <v/>
      </c>
      <c r="AG1773" t="str">
        <f>IF([3]Entry!$E$1776="","",[3]Entry!$E$1776)</f>
        <v/>
      </c>
      <c r="AH1773" t="str">
        <f>IF([3]Entry!$G$1776="","",[3]Entry!$G$1776)</f>
        <v/>
      </c>
      <c r="AI1773" t="str">
        <f>IF([3]Entry!$K$1776="","",[3]Entry!$K$1776)</f>
        <v/>
      </c>
      <c r="AJ1773" t="str">
        <f>IF([3]Entry!$L$1776="","",[3]Entry!$L$1776)</f>
        <v/>
      </c>
      <c r="AK1773" t="str">
        <f>IF([3]Entry!$M$1776="","",[3]Entry!$M$1776)</f>
        <v/>
      </c>
      <c r="AL1773" t="str">
        <f>IF([3]Entry!$N$1776="","",[3]Entry!$N$1776)</f>
        <v/>
      </c>
      <c r="AM1773" t="str">
        <f>IF([3]Entry!$R$1776="","",[3]Entry!$R$1776)</f>
        <v/>
      </c>
    </row>
    <row r="1774" spans="20:39" x14ac:dyDescent="0.2">
      <c r="T1774" t="str">
        <f>IF([2]Baskol!$B$1777="","",[2]Baskol!$B$1777)</f>
        <v/>
      </c>
      <c r="U1774" t="str">
        <f>IF([2]Baskol!$C$1777="","",[2]Baskol!$C$1777)</f>
        <v/>
      </c>
      <c r="V1774" t="str">
        <f>IF([2]Baskol!$D$1777="","",[2]Baskol!$D$1777)</f>
        <v/>
      </c>
      <c r="W1774" t="str">
        <f>IF([2]Baskol!$E$1777="","",[2]Baskol!$E$1777)</f>
        <v/>
      </c>
      <c r="X1774" t="str">
        <f>IF([2]Baskol!$G$1777="","",[2]Baskol!$G$1777)</f>
        <v/>
      </c>
      <c r="Y1774" t="str">
        <f>IF([2]Baskol!$I$1777="","",[2]Baskol!$I$1777)</f>
        <v/>
      </c>
      <c r="Z1774" t="str">
        <f>IF([2]Baskol!$J$1777="","",[2]Baskol!$J$1777)</f>
        <v/>
      </c>
      <c r="AA1774" t="str">
        <f>IF([2]Baskol!$K$1777="","",[2]Baskol!$K$1777)</f>
        <v/>
      </c>
      <c r="AB1774" t="str">
        <f>IF([2]Baskol!$L$1777="","",[2]Baskol!$L$1777)</f>
        <v/>
      </c>
      <c r="AC1774" t="str">
        <f>IF([2]Baskol!$N$1777="","",[2]Baskol!$N$1777)</f>
        <v/>
      </c>
      <c r="AD1774" t="str">
        <f>IF([2]Baskol!$O$1777="","",[2]Baskol!$O$1777)</f>
        <v/>
      </c>
      <c r="AE1774" t="str">
        <f>IF([3]Entry!$C$1777="","",[3]Entry!$C$1777)</f>
        <v/>
      </c>
      <c r="AF1774" t="str">
        <f>IF([3]Entry!$D$1777="","",[3]Entry!$D$1777)</f>
        <v/>
      </c>
      <c r="AG1774" t="str">
        <f>IF([3]Entry!$E$1777="","",[3]Entry!$E$1777)</f>
        <v/>
      </c>
      <c r="AH1774" t="str">
        <f>IF([3]Entry!$G$1777="","",[3]Entry!$G$1777)</f>
        <v/>
      </c>
      <c r="AI1774" t="str">
        <f>IF([3]Entry!$K$1777="","",[3]Entry!$K$1777)</f>
        <v/>
      </c>
      <c r="AJ1774" t="str">
        <f>IF([3]Entry!$L$1777="","",[3]Entry!$L$1777)</f>
        <v/>
      </c>
      <c r="AK1774" t="str">
        <f>IF([3]Entry!$M$1777="","",[3]Entry!$M$1777)</f>
        <v/>
      </c>
      <c r="AL1774" t="str">
        <f>IF([3]Entry!$N$1777="","",[3]Entry!$N$1777)</f>
        <v/>
      </c>
      <c r="AM1774" t="str">
        <f>IF([3]Entry!$R$1777="","",[3]Entry!$R$1777)</f>
        <v/>
      </c>
    </row>
    <row r="1775" spans="20:39" x14ac:dyDescent="0.2">
      <c r="T1775" t="str">
        <f>IF([2]Baskol!$B$1778="","",[2]Baskol!$B$1778)</f>
        <v/>
      </c>
      <c r="U1775" t="str">
        <f>IF([2]Baskol!$C$1778="","",[2]Baskol!$C$1778)</f>
        <v/>
      </c>
      <c r="V1775" t="str">
        <f>IF([2]Baskol!$D$1778="","",[2]Baskol!$D$1778)</f>
        <v/>
      </c>
      <c r="W1775" t="str">
        <f>IF([2]Baskol!$E$1778="","",[2]Baskol!$E$1778)</f>
        <v/>
      </c>
      <c r="X1775" t="str">
        <f>IF([2]Baskol!$G$1778="","",[2]Baskol!$G$1778)</f>
        <v/>
      </c>
      <c r="Y1775" t="str">
        <f>IF([2]Baskol!$I$1778="","",[2]Baskol!$I$1778)</f>
        <v/>
      </c>
      <c r="Z1775" t="str">
        <f>IF([2]Baskol!$J$1778="","",[2]Baskol!$J$1778)</f>
        <v/>
      </c>
      <c r="AA1775" t="str">
        <f>IF([2]Baskol!$K$1778="","",[2]Baskol!$K$1778)</f>
        <v/>
      </c>
      <c r="AB1775" t="str">
        <f>IF([2]Baskol!$L$1778="","",[2]Baskol!$L$1778)</f>
        <v/>
      </c>
      <c r="AC1775" t="str">
        <f>IF([2]Baskol!$N$1778="","",[2]Baskol!$N$1778)</f>
        <v/>
      </c>
      <c r="AD1775" t="str">
        <f>IF([2]Baskol!$O$1778="","",[2]Baskol!$O$1778)</f>
        <v/>
      </c>
      <c r="AE1775" t="str">
        <f>IF([3]Entry!$C$1778="","",[3]Entry!$C$1778)</f>
        <v/>
      </c>
      <c r="AF1775" t="str">
        <f>IF([3]Entry!$D$1778="","",[3]Entry!$D$1778)</f>
        <v/>
      </c>
      <c r="AG1775" t="str">
        <f>IF([3]Entry!$E$1778="","",[3]Entry!$E$1778)</f>
        <v/>
      </c>
      <c r="AH1775" t="str">
        <f>IF([3]Entry!$G$1778="","",[3]Entry!$G$1778)</f>
        <v/>
      </c>
      <c r="AI1775" t="str">
        <f>IF([3]Entry!$K$1778="","",[3]Entry!$K$1778)</f>
        <v/>
      </c>
      <c r="AJ1775" t="str">
        <f>IF([3]Entry!$L$1778="","",[3]Entry!$L$1778)</f>
        <v/>
      </c>
      <c r="AK1775" t="str">
        <f>IF([3]Entry!$M$1778="","",[3]Entry!$M$1778)</f>
        <v/>
      </c>
      <c r="AL1775" t="str">
        <f>IF([3]Entry!$N$1778="","",[3]Entry!$N$1778)</f>
        <v/>
      </c>
      <c r="AM1775" t="str">
        <f>IF([3]Entry!$R$1778="","",[3]Entry!$R$1778)</f>
        <v/>
      </c>
    </row>
    <row r="1776" spans="20:39" x14ac:dyDescent="0.2">
      <c r="T1776" t="str">
        <f>IF([2]Baskol!$B$1779="","",[2]Baskol!$B$1779)</f>
        <v/>
      </c>
      <c r="U1776" t="str">
        <f>IF([2]Baskol!$C$1779="","",[2]Baskol!$C$1779)</f>
        <v/>
      </c>
      <c r="V1776" t="str">
        <f>IF([2]Baskol!$D$1779="","",[2]Baskol!$D$1779)</f>
        <v/>
      </c>
      <c r="W1776" t="str">
        <f>IF([2]Baskol!$E$1779="","",[2]Baskol!$E$1779)</f>
        <v/>
      </c>
      <c r="X1776" t="str">
        <f>IF([2]Baskol!$G$1779="","",[2]Baskol!$G$1779)</f>
        <v/>
      </c>
      <c r="Y1776" t="str">
        <f>IF([2]Baskol!$I$1779="","",[2]Baskol!$I$1779)</f>
        <v/>
      </c>
      <c r="Z1776" t="str">
        <f>IF([2]Baskol!$J$1779="","",[2]Baskol!$J$1779)</f>
        <v/>
      </c>
      <c r="AA1776" t="str">
        <f>IF([2]Baskol!$K$1779="","",[2]Baskol!$K$1779)</f>
        <v/>
      </c>
      <c r="AB1776" t="str">
        <f>IF([2]Baskol!$L$1779="","",[2]Baskol!$L$1779)</f>
        <v/>
      </c>
      <c r="AC1776" t="str">
        <f>IF([2]Baskol!$N$1779="","",[2]Baskol!$N$1779)</f>
        <v/>
      </c>
      <c r="AD1776" t="str">
        <f>IF([2]Baskol!$O$1779="","",[2]Baskol!$O$1779)</f>
        <v/>
      </c>
      <c r="AE1776" t="str">
        <f>IF([3]Entry!$C$1779="","",[3]Entry!$C$1779)</f>
        <v/>
      </c>
      <c r="AF1776" t="str">
        <f>IF([3]Entry!$D$1779="","",[3]Entry!$D$1779)</f>
        <v/>
      </c>
      <c r="AG1776" t="str">
        <f>IF([3]Entry!$E$1779="","",[3]Entry!$E$1779)</f>
        <v/>
      </c>
      <c r="AH1776" t="str">
        <f>IF([3]Entry!$G$1779="","",[3]Entry!$G$1779)</f>
        <v/>
      </c>
      <c r="AI1776" t="str">
        <f>IF([3]Entry!$K$1779="","",[3]Entry!$K$1779)</f>
        <v/>
      </c>
      <c r="AJ1776" t="str">
        <f>IF([3]Entry!$L$1779="","",[3]Entry!$L$1779)</f>
        <v/>
      </c>
      <c r="AK1776" t="str">
        <f>IF([3]Entry!$M$1779="","",[3]Entry!$M$1779)</f>
        <v/>
      </c>
      <c r="AL1776" t="str">
        <f>IF([3]Entry!$N$1779="","",[3]Entry!$N$1779)</f>
        <v/>
      </c>
      <c r="AM1776" t="str">
        <f>IF([3]Entry!$R$1779="","",[3]Entry!$R$1779)</f>
        <v/>
      </c>
    </row>
    <row r="1777" spans="20:39" x14ac:dyDescent="0.2">
      <c r="T1777" t="str">
        <f>IF([2]Baskol!$B$1780="","",[2]Baskol!$B$1780)</f>
        <v/>
      </c>
      <c r="U1777" t="str">
        <f>IF([2]Baskol!$C$1780="","",[2]Baskol!$C$1780)</f>
        <v/>
      </c>
      <c r="V1777" t="str">
        <f>IF([2]Baskol!$D$1780="","",[2]Baskol!$D$1780)</f>
        <v/>
      </c>
      <c r="W1777" t="str">
        <f>IF([2]Baskol!$E$1780="","",[2]Baskol!$E$1780)</f>
        <v/>
      </c>
      <c r="X1777" t="str">
        <f>IF([2]Baskol!$G$1780="","",[2]Baskol!$G$1780)</f>
        <v/>
      </c>
      <c r="Y1777" t="str">
        <f>IF([2]Baskol!$I$1780="","",[2]Baskol!$I$1780)</f>
        <v/>
      </c>
      <c r="Z1777" t="str">
        <f>IF([2]Baskol!$J$1780="","",[2]Baskol!$J$1780)</f>
        <v/>
      </c>
      <c r="AA1777" t="str">
        <f>IF([2]Baskol!$K$1780="","",[2]Baskol!$K$1780)</f>
        <v/>
      </c>
      <c r="AB1777" t="str">
        <f>IF([2]Baskol!$L$1780="","",[2]Baskol!$L$1780)</f>
        <v/>
      </c>
      <c r="AC1777" t="str">
        <f>IF([2]Baskol!$N$1780="","",[2]Baskol!$N$1780)</f>
        <v/>
      </c>
      <c r="AD1777" t="str">
        <f>IF([2]Baskol!$O$1780="","",[2]Baskol!$O$1780)</f>
        <v/>
      </c>
      <c r="AE1777" t="str">
        <f>IF([3]Entry!$C$1780="","",[3]Entry!$C$1780)</f>
        <v/>
      </c>
      <c r="AF1777" t="str">
        <f>IF([3]Entry!$D$1780="","",[3]Entry!$D$1780)</f>
        <v/>
      </c>
      <c r="AG1777" t="str">
        <f>IF([3]Entry!$E$1780="","",[3]Entry!$E$1780)</f>
        <v/>
      </c>
      <c r="AH1777" t="str">
        <f>IF([3]Entry!$G$1780="","",[3]Entry!$G$1780)</f>
        <v/>
      </c>
      <c r="AI1777" t="str">
        <f>IF([3]Entry!$K$1780="","",[3]Entry!$K$1780)</f>
        <v/>
      </c>
      <c r="AJ1777" t="str">
        <f>IF([3]Entry!$L$1780="","",[3]Entry!$L$1780)</f>
        <v/>
      </c>
      <c r="AK1777" t="str">
        <f>IF([3]Entry!$M$1780="","",[3]Entry!$M$1780)</f>
        <v/>
      </c>
      <c r="AL1777" t="str">
        <f>IF([3]Entry!$N$1780="","",[3]Entry!$N$1780)</f>
        <v/>
      </c>
      <c r="AM1777" t="str">
        <f>IF([3]Entry!$R$1780="","",[3]Entry!$R$1780)</f>
        <v/>
      </c>
    </row>
    <row r="1778" spans="20:39" x14ac:dyDescent="0.2">
      <c r="T1778" t="str">
        <f>IF([2]Baskol!$B$1781="","",[2]Baskol!$B$1781)</f>
        <v/>
      </c>
      <c r="U1778" t="str">
        <f>IF([2]Baskol!$C$1781="","",[2]Baskol!$C$1781)</f>
        <v/>
      </c>
      <c r="V1778" t="str">
        <f>IF([2]Baskol!$D$1781="","",[2]Baskol!$D$1781)</f>
        <v/>
      </c>
      <c r="W1778" t="str">
        <f>IF([2]Baskol!$E$1781="","",[2]Baskol!$E$1781)</f>
        <v/>
      </c>
      <c r="X1778" t="str">
        <f>IF([2]Baskol!$G$1781="","",[2]Baskol!$G$1781)</f>
        <v/>
      </c>
      <c r="Y1778" t="str">
        <f>IF([2]Baskol!$I$1781="","",[2]Baskol!$I$1781)</f>
        <v/>
      </c>
      <c r="Z1778" t="str">
        <f>IF([2]Baskol!$J$1781="","",[2]Baskol!$J$1781)</f>
        <v/>
      </c>
      <c r="AA1778" t="str">
        <f>IF([2]Baskol!$K$1781="","",[2]Baskol!$K$1781)</f>
        <v/>
      </c>
      <c r="AB1778" t="str">
        <f>IF([2]Baskol!$L$1781="","",[2]Baskol!$L$1781)</f>
        <v/>
      </c>
      <c r="AC1778" t="str">
        <f>IF([2]Baskol!$N$1781="","",[2]Baskol!$N$1781)</f>
        <v/>
      </c>
      <c r="AD1778" t="str">
        <f>IF([2]Baskol!$O$1781="","",[2]Baskol!$O$1781)</f>
        <v/>
      </c>
      <c r="AE1778" t="str">
        <f>IF([3]Entry!$C$1781="","",[3]Entry!$C$1781)</f>
        <v/>
      </c>
      <c r="AF1778" t="str">
        <f>IF([3]Entry!$D$1781="","",[3]Entry!$D$1781)</f>
        <v/>
      </c>
      <c r="AG1778" t="str">
        <f>IF([3]Entry!$E$1781="","",[3]Entry!$E$1781)</f>
        <v/>
      </c>
      <c r="AH1778" t="str">
        <f>IF([3]Entry!$G$1781="","",[3]Entry!$G$1781)</f>
        <v/>
      </c>
      <c r="AI1778" t="str">
        <f>IF([3]Entry!$K$1781="","",[3]Entry!$K$1781)</f>
        <v/>
      </c>
      <c r="AJ1778" t="str">
        <f>IF([3]Entry!$L$1781="","",[3]Entry!$L$1781)</f>
        <v/>
      </c>
      <c r="AK1778" t="str">
        <f>IF([3]Entry!$M$1781="","",[3]Entry!$M$1781)</f>
        <v/>
      </c>
      <c r="AL1778" t="str">
        <f>IF([3]Entry!$N$1781="","",[3]Entry!$N$1781)</f>
        <v/>
      </c>
      <c r="AM1778" t="str">
        <f>IF([3]Entry!$R$1781="","",[3]Entry!$R$1781)</f>
        <v/>
      </c>
    </row>
    <row r="1779" spans="20:39" x14ac:dyDescent="0.2">
      <c r="T1779" t="str">
        <f>IF([2]Baskol!$B$1782="","",[2]Baskol!$B$1782)</f>
        <v/>
      </c>
      <c r="U1779" t="str">
        <f>IF([2]Baskol!$C$1782="","",[2]Baskol!$C$1782)</f>
        <v/>
      </c>
      <c r="V1779" t="str">
        <f>IF([2]Baskol!$D$1782="","",[2]Baskol!$D$1782)</f>
        <v/>
      </c>
      <c r="W1779" t="str">
        <f>IF([2]Baskol!$E$1782="","",[2]Baskol!$E$1782)</f>
        <v/>
      </c>
      <c r="X1779" t="str">
        <f>IF([2]Baskol!$G$1782="","",[2]Baskol!$G$1782)</f>
        <v/>
      </c>
      <c r="Y1779" t="str">
        <f>IF([2]Baskol!$I$1782="","",[2]Baskol!$I$1782)</f>
        <v/>
      </c>
      <c r="Z1779" t="str">
        <f>IF([2]Baskol!$J$1782="","",[2]Baskol!$J$1782)</f>
        <v/>
      </c>
      <c r="AA1779" t="str">
        <f>IF([2]Baskol!$K$1782="","",[2]Baskol!$K$1782)</f>
        <v/>
      </c>
      <c r="AB1779" t="str">
        <f>IF([2]Baskol!$L$1782="","",[2]Baskol!$L$1782)</f>
        <v/>
      </c>
      <c r="AC1779" t="str">
        <f>IF([2]Baskol!$N$1782="","",[2]Baskol!$N$1782)</f>
        <v/>
      </c>
      <c r="AD1779" t="str">
        <f>IF([2]Baskol!$O$1782="","",[2]Baskol!$O$1782)</f>
        <v/>
      </c>
      <c r="AE1779" t="str">
        <f>IF([3]Entry!$C$1782="","",[3]Entry!$C$1782)</f>
        <v/>
      </c>
      <c r="AF1779" t="str">
        <f>IF([3]Entry!$D$1782="","",[3]Entry!$D$1782)</f>
        <v/>
      </c>
      <c r="AG1779" t="str">
        <f>IF([3]Entry!$E$1782="","",[3]Entry!$E$1782)</f>
        <v/>
      </c>
      <c r="AH1779" t="str">
        <f>IF([3]Entry!$G$1782="","",[3]Entry!$G$1782)</f>
        <v/>
      </c>
      <c r="AI1779" t="str">
        <f>IF([3]Entry!$K$1782="","",[3]Entry!$K$1782)</f>
        <v/>
      </c>
      <c r="AJ1779" t="str">
        <f>IF([3]Entry!$L$1782="","",[3]Entry!$L$1782)</f>
        <v/>
      </c>
      <c r="AK1779" t="str">
        <f>IF([3]Entry!$M$1782="","",[3]Entry!$M$1782)</f>
        <v/>
      </c>
      <c r="AL1779" t="str">
        <f>IF([3]Entry!$N$1782="","",[3]Entry!$N$1782)</f>
        <v/>
      </c>
      <c r="AM1779" t="str">
        <f>IF([3]Entry!$R$1782="","",[3]Entry!$R$1782)</f>
        <v/>
      </c>
    </row>
    <row r="1780" spans="20:39" x14ac:dyDescent="0.2">
      <c r="T1780" t="str">
        <f>IF([2]Baskol!$B$1783="","",[2]Baskol!$B$1783)</f>
        <v/>
      </c>
      <c r="U1780" t="str">
        <f>IF([2]Baskol!$C$1783="","",[2]Baskol!$C$1783)</f>
        <v/>
      </c>
      <c r="V1780" t="str">
        <f>IF([2]Baskol!$D$1783="","",[2]Baskol!$D$1783)</f>
        <v/>
      </c>
      <c r="W1780" t="str">
        <f>IF([2]Baskol!$E$1783="","",[2]Baskol!$E$1783)</f>
        <v/>
      </c>
      <c r="X1780" t="str">
        <f>IF([2]Baskol!$G$1783="","",[2]Baskol!$G$1783)</f>
        <v/>
      </c>
      <c r="Y1780" t="str">
        <f>IF([2]Baskol!$I$1783="","",[2]Baskol!$I$1783)</f>
        <v/>
      </c>
      <c r="Z1780" t="str">
        <f>IF([2]Baskol!$J$1783="","",[2]Baskol!$J$1783)</f>
        <v/>
      </c>
      <c r="AA1780" t="str">
        <f>IF([2]Baskol!$K$1783="","",[2]Baskol!$K$1783)</f>
        <v/>
      </c>
      <c r="AB1780" t="str">
        <f>IF([2]Baskol!$L$1783="","",[2]Baskol!$L$1783)</f>
        <v/>
      </c>
      <c r="AC1780" t="str">
        <f>IF([2]Baskol!$N$1783="","",[2]Baskol!$N$1783)</f>
        <v/>
      </c>
      <c r="AD1780" t="str">
        <f>IF([2]Baskol!$O$1783="","",[2]Baskol!$O$1783)</f>
        <v/>
      </c>
      <c r="AE1780" t="str">
        <f>IF([3]Entry!$C$1783="","",[3]Entry!$C$1783)</f>
        <v/>
      </c>
      <c r="AF1780" t="str">
        <f>IF([3]Entry!$D$1783="","",[3]Entry!$D$1783)</f>
        <v/>
      </c>
      <c r="AG1780" t="str">
        <f>IF([3]Entry!$E$1783="","",[3]Entry!$E$1783)</f>
        <v/>
      </c>
      <c r="AH1780" t="str">
        <f>IF([3]Entry!$G$1783="","",[3]Entry!$G$1783)</f>
        <v/>
      </c>
      <c r="AI1780" t="str">
        <f>IF([3]Entry!$K$1783="","",[3]Entry!$K$1783)</f>
        <v/>
      </c>
      <c r="AJ1780" t="str">
        <f>IF([3]Entry!$L$1783="","",[3]Entry!$L$1783)</f>
        <v/>
      </c>
      <c r="AK1780" t="str">
        <f>IF([3]Entry!$M$1783="","",[3]Entry!$M$1783)</f>
        <v/>
      </c>
      <c r="AL1780" t="str">
        <f>IF([3]Entry!$N$1783="","",[3]Entry!$N$1783)</f>
        <v/>
      </c>
      <c r="AM1780" t="str">
        <f>IF([3]Entry!$R$1783="","",[3]Entry!$R$1783)</f>
        <v/>
      </c>
    </row>
    <row r="1781" spans="20:39" x14ac:dyDescent="0.2">
      <c r="T1781" t="str">
        <f>IF([2]Baskol!$B$1784="","",[2]Baskol!$B$1784)</f>
        <v/>
      </c>
      <c r="U1781" t="str">
        <f>IF([2]Baskol!$C$1784="","",[2]Baskol!$C$1784)</f>
        <v/>
      </c>
      <c r="V1781" t="str">
        <f>IF([2]Baskol!$D$1784="","",[2]Baskol!$D$1784)</f>
        <v/>
      </c>
      <c r="W1781" t="str">
        <f>IF([2]Baskol!$E$1784="","",[2]Baskol!$E$1784)</f>
        <v/>
      </c>
      <c r="X1781" t="str">
        <f>IF([2]Baskol!$G$1784="","",[2]Baskol!$G$1784)</f>
        <v/>
      </c>
      <c r="Y1781" t="str">
        <f>IF([2]Baskol!$I$1784="","",[2]Baskol!$I$1784)</f>
        <v/>
      </c>
      <c r="Z1781" t="str">
        <f>IF([2]Baskol!$J$1784="","",[2]Baskol!$J$1784)</f>
        <v/>
      </c>
      <c r="AA1781" t="str">
        <f>IF([2]Baskol!$K$1784="","",[2]Baskol!$K$1784)</f>
        <v/>
      </c>
      <c r="AB1781" t="str">
        <f>IF([2]Baskol!$L$1784="","",[2]Baskol!$L$1784)</f>
        <v/>
      </c>
      <c r="AC1781" t="str">
        <f>IF([2]Baskol!$N$1784="","",[2]Baskol!$N$1784)</f>
        <v/>
      </c>
      <c r="AD1781" t="str">
        <f>IF([2]Baskol!$O$1784="","",[2]Baskol!$O$1784)</f>
        <v/>
      </c>
      <c r="AE1781" t="str">
        <f>IF([3]Entry!$C$1784="","",[3]Entry!$C$1784)</f>
        <v/>
      </c>
      <c r="AF1781" t="str">
        <f>IF([3]Entry!$D$1784="","",[3]Entry!$D$1784)</f>
        <v/>
      </c>
      <c r="AG1781" t="str">
        <f>IF([3]Entry!$E$1784="","",[3]Entry!$E$1784)</f>
        <v/>
      </c>
      <c r="AH1781" t="str">
        <f>IF([3]Entry!$G$1784="","",[3]Entry!$G$1784)</f>
        <v/>
      </c>
      <c r="AI1781" t="str">
        <f>IF([3]Entry!$K$1784="","",[3]Entry!$K$1784)</f>
        <v/>
      </c>
      <c r="AJ1781" t="str">
        <f>IF([3]Entry!$L$1784="","",[3]Entry!$L$1784)</f>
        <v/>
      </c>
      <c r="AK1781" t="str">
        <f>IF([3]Entry!$M$1784="","",[3]Entry!$M$1784)</f>
        <v/>
      </c>
      <c r="AL1781" t="str">
        <f>IF([3]Entry!$N$1784="","",[3]Entry!$N$1784)</f>
        <v/>
      </c>
      <c r="AM1781" t="str">
        <f>IF([3]Entry!$R$1784="","",[3]Entry!$R$1784)</f>
        <v/>
      </c>
    </row>
    <row r="1782" spans="20:39" x14ac:dyDescent="0.2">
      <c r="T1782" t="str">
        <f>IF([2]Baskol!$B$1785="","",[2]Baskol!$B$1785)</f>
        <v/>
      </c>
      <c r="U1782" t="str">
        <f>IF([2]Baskol!$C$1785="","",[2]Baskol!$C$1785)</f>
        <v/>
      </c>
      <c r="V1782" t="str">
        <f>IF([2]Baskol!$D$1785="","",[2]Baskol!$D$1785)</f>
        <v/>
      </c>
      <c r="W1782" t="str">
        <f>IF([2]Baskol!$E$1785="","",[2]Baskol!$E$1785)</f>
        <v/>
      </c>
      <c r="X1782" t="str">
        <f>IF([2]Baskol!$G$1785="","",[2]Baskol!$G$1785)</f>
        <v/>
      </c>
      <c r="Y1782" t="str">
        <f>IF([2]Baskol!$I$1785="","",[2]Baskol!$I$1785)</f>
        <v/>
      </c>
      <c r="Z1782" t="str">
        <f>IF([2]Baskol!$J$1785="","",[2]Baskol!$J$1785)</f>
        <v/>
      </c>
      <c r="AA1782" t="str">
        <f>IF([2]Baskol!$K$1785="","",[2]Baskol!$K$1785)</f>
        <v/>
      </c>
      <c r="AB1782" t="str">
        <f>IF([2]Baskol!$L$1785="","",[2]Baskol!$L$1785)</f>
        <v/>
      </c>
      <c r="AC1782" t="str">
        <f>IF([2]Baskol!$N$1785="","",[2]Baskol!$N$1785)</f>
        <v/>
      </c>
      <c r="AD1782" t="str">
        <f>IF([2]Baskol!$O$1785="","",[2]Baskol!$O$1785)</f>
        <v/>
      </c>
      <c r="AE1782" t="str">
        <f>IF([3]Entry!$C$1785="","",[3]Entry!$C$1785)</f>
        <v/>
      </c>
      <c r="AF1782" t="str">
        <f>IF([3]Entry!$D$1785="","",[3]Entry!$D$1785)</f>
        <v/>
      </c>
      <c r="AG1782" t="str">
        <f>IF([3]Entry!$E$1785="","",[3]Entry!$E$1785)</f>
        <v/>
      </c>
      <c r="AH1782" t="str">
        <f>IF([3]Entry!$G$1785="","",[3]Entry!$G$1785)</f>
        <v/>
      </c>
      <c r="AI1782" t="str">
        <f>IF([3]Entry!$K$1785="","",[3]Entry!$K$1785)</f>
        <v/>
      </c>
      <c r="AJ1782" t="str">
        <f>IF([3]Entry!$L$1785="","",[3]Entry!$L$1785)</f>
        <v/>
      </c>
      <c r="AK1782" t="str">
        <f>IF([3]Entry!$M$1785="","",[3]Entry!$M$1785)</f>
        <v/>
      </c>
      <c r="AL1782" t="str">
        <f>IF([3]Entry!$N$1785="","",[3]Entry!$N$1785)</f>
        <v/>
      </c>
      <c r="AM1782" t="str">
        <f>IF([3]Entry!$R$1785="","",[3]Entry!$R$1785)</f>
        <v/>
      </c>
    </row>
    <row r="1783" spans="20:39" x14ac:dyDescent="0.2">
      <c r="T1783" t="str">
        <f>IF([2]Baskol!$B$1786="","",[2]Baskol!$B$1786)</f>
        <v/>
      </c>
      <c r="U1783" t="str">
        <f>IF([2]Baskol!$C$1786="","",[2]Baskol!$C$1786)</f>
        <v/>
      </c>
      <c r="V1783" t="str">
        <f>IF([2]Baskol!$D$1786="","",[2]Baskol!$D$1786)</f>
        <v/>
      </c>
      <c r="W1783" t="str">
        <f>IF([2]Baskol!$E$1786="","",[2]Baskol!$E$1786)</f>
        <v/>
      </c>
      <c r="X1783" t="str">
        <f>IF([2]Baskol!$G$1786="","",[2]Baskol!$G$1786)</f>
        <v/>
      </c>
      <c r="Y1783" t="str">
        <f>IF([2]Baskol!$I$1786="","",[2]Baskol!$I$1786)</f>
        <v/>
      </c>
      <c r="Z1783" t="str">
        <f>IF([2]Baskol!$J$1786="","",[2]Baskol!$J$1786)</f>
        <v/>
      </c>
      <c r="AA1783" t="str">
        <f>IF([2]Baskol!$K$1786="","",[2]Baskol!$K$1786)</f>
        <v/>
      </c>
      <c r="AB1783" t="str">
        <f>IF([2]Baskol!$L$1786="","",[2]Baskol!$L$1786)</f>
        <v/>
      </c>
      <c r="AC1783" t="str">
        <f>IF([2]Baskol!$N$1786="","",[2]Baskol!$N$1786)</f>
        <v/>
      </c>
      <c r="AD1783" t="str">
        <f>IF([2]Baskol!$O$1786="","",[2]Baskol!$O$1786)</f>
        <v/>
      </c>
      <c r="AE1783" t="str">
        <f>IF([3]Entry!$C$1786="","",[3]Entry!$C$1786)</f>
        <v/>
      </c>
      <c r="AF1783" t="str">
        <f>IF([3]Entry!$D$1786="","",[3]Entry!$D$1786)</f>
        <v/>
      </c>
      <c r="AG1783" t="str">
        <f>IF([3]Entry!$E$1786="","",[3]Entry!$E$1786)</f>
        <v/>
      </c>
      <c r="AH1783" t="str">
        <f>IF([3]Entry!$G$1786="","",[3]Entry!$G$1786)</f>
        <v/>
      </c>
      <c r="AI1783" t="str">
        <f>IF([3]Entry!$K$1786="","",[3]Entry!$K$1786)</f>
        <v/>
      </c>
      <c r="AJ1783" t="str">
        <f>IF([3]Entry!$L$1786="","",[3]Entry!$L$1786)</f>
        <v/>
      </c>
      <c r="AK1783" t="str">
        <f>IF([3]Entry!$M$1786="","",[3]Entry!$M$1786)</f>
        <v/>
      </c>
      <c r="AL1783" t="str">
        <f>IF([3]Entry!$N$1786="","",[3]Entry!$N$1786)</f>
        <v/>
      </c>
      <c r="AM1783" t="str">
        <f>IF([3]Entry!$R$1786="","",[3]Entry!$R$1786)</f>
        <v/>
      </c>
    </row>
    <row r="1784" spans="20:39" x14ac:dyDescent="0.2">
      <c r="T1784" t="str">
        <f>IF([2]Baskol!$B$1787="","",[2]Baskol!$B$1787)</f>
        <v/>
      </c>
      <c r="U1784" t="str">
        <f>IF([2]Baskol!$C$1787="","",[2]Baskol!$C$1787)</f>
        <v/>
      </c>
      <c r="V1784" t="str">
        <f>IF([2]Baskol!$D$1787="","",[2]Baskol!$D$1787)</f>
        <v/>
      </c>
      <c r="W1784" t="str">
        <f>IF([2]Baskol!$E$1787="","",[2]Baskol!$E$1787)</f>
        <v/>
      </c>
      <c r="X1784" t="str">
        <f>IF([2]Baskol!$G$1787="","",[2]Baskol!$G$1787)</f>
        <v/>
      </c>
      <c r="Y1784" t="str">
        <f>IF([2]Baskol!$I$1787="","",[2]Baskol!$I$1787)</f>
        <v/>
      </c>
      <c r="Z1784" t="str">
        <f>IF([2]Baskol!$J$1787="","",[2]Baskol!$J$1787)</f>
        <v/>
      </c>
      <c r="AA1784" t="str">
        <f>IF([2]Baskol!$K$1787="","",[2]Baskol!$K$1787)</f>
        <v/>
      </c>
      <c r="AB1784" t="str">
        <f>IF([2]Baskol!$L$1787="","",[2]Baskol!$L$1787)</f>
        <v/>
      </c>
      <c r="AC1784" t="str">
        <f>IF([2]Baskol!$N$1787="","",[2]Baskol!$N$1787)</f>
        <v/>
      </c>
      <c r="AD1784" t="str">
        <f>IF([2]Baskol!$O$1787="","",[2]Baskol!$O$1787)</f>
        <v/>
      </c>
      <c r="AE1784" t="str">
        <f>IF([3]Entry!$C$1787="","",[3]Entry!$C$1787)</f>
        <v/>
      </c>
      <c r="AF1784" t="str">
        <f>IF([3]Entry!$D$1787="","",[3]Entry!$D$1787)</f>
        <v/>
      </c>
      <c r="AG1784" t="str">
        <f>IF([3]Entry!$E$1787="","",[3]Entry!$E$1787)</f>
        <v/>
      </c>
      <c r="AH1784" t="str">
        <f>IF([3]Entry!$G$1787="","",[3]Entry!$G$1787)</f>
        <v/>
      </c>
      <c r="AI1784" t="str">
        <f>IF([3]Entry!$K$1787="","",[3]Entry!$K$1787)</f>
        <v/>
      </c>
      <c r="AJ1784" t="str">
        <f>IF([3]Entry!$L$1787="","",[3]Entry!$L$1787)</f>
        <v/>
      </c>
      <c r="AK1784" t="str">
        <f>IF([3]Entry!$M$1787="","",[3]Entry!$M$1787)</f>
        <v/>
      </c>
      <c r="AL1784" t="str">
        <f>IF([3]Entry!$N$1787="","",[3]Entry!$N$1787)</f>
        <v/>
      </c>
      <c r="AM1784" t="str">
        <f>IF([3]Entry!$R$1787="","",[3]Entry!$R$1787)</f>
        <v/>
      </c>
    </row>
    <row r="1785" spans="20:39" x14ac:dyDescent="0.2">
      <c r="T1785" t="str">
        <f>IF([2]Baskol!$B$1788="","",[2]Baskol!$B$1788)</f>
        <v/>
      </c>
      <c r="U1785" t="str">
        <f>IF([2]Baskol!$C$1788="","",[2]Baskol!$C$1788)</f>
        <v/>
      </c>
      <c r="V1785" t="str">
        <f>IF([2]Baskol!$D$1788="","",[2]Baskol!$D$1788)</f>
        <v/>
      </c>
      <c r="W1785" t="str">
        <f>IF([2]Baskol!$E$1788="","",[2]Baskol!$E$1788)</f>
        <v/>
      </c>
      <c r="X1785" t="str">
        <f>IF([2]Baskol!$G$1788="","",[2]Baskol!$G$1788)</f>
        <v/>
      </c>
      <c r="Y1785" t="str">
        <f>IF([2]Baskol!$I$1788="","",[2]Baskol!$I$1788)</f>
        <v/>
      </c>
      <c r="Z1785" t="str">
        <f>IF([2]Baskol!$J$1788="","",[2]Baskol!$J$1788)</f>
        <v/>
      </c>
      <c r="AA1785" t="str">
        <f>IF([2]Baskol!$K$1788="","",[2]Baskol!$K$1788)</f>
        <v/>
      </c>
      <c r="AB1785" t="str">
        <f>IF([2]Baskol!$L$1788="","",[2]Baskol!$L$1788)</f>
        <v/>
      </c>
      <c r="AC1785" t="str">
        <f>IF([2]Baskol!$N$1788="","",[2]Baskol!$N$1788)</f>
        <v/>
      </c>
      <c r="AD1785" t="str">
        <f>IF([2]Baskol!$O$1788="","",[2]Baskol!$O$1788)</f>
        <v/>
      </c>
      <c r="AE1785" t="str">
        <f>IF([3]Entry!$C$1788="","",[3]Entry!$C$1788)</f>
        <v/>
      </c>
      <c r="AF1785" t="str">
        <f>IF([3]Entry!$D$1788="","",[3]Entry!$D$1788)</f>
        <v/>
      </c>
      <c r="AG1785" t="str">
        <f>IF([3]Entry!$E$1788="","",[3]Entry!$E$1788)</f>
        <v/>
      </c>
      <c r="AH1785" t="str">
        <f>IF([3]Entry!$G$1788="","",[3]Entry!$G$1788)</f>
        <v/>
      </c>
      <c r="AI1785" t="str">
        <f>IF([3]Entry!$K$1788="","",[3]Entry!$K$1788)</f>
        <v/>
      </c>
      <c r="AJ1785" t="str">
        <f>IF([3]Entry!$L$1788="","",[3]Entry!$L$1788)</f>
        <v/>
      </c>
      <c r="AK1785" t="str">
        <f>IF([3]Entry!$M$1788="","",[3]Entry!$M$1788)</f>
        <v/>
      </c>
      <c r="AL1785" t="str">
        <f>IF([3]Entry!$N$1788="","",[3]Entry!$N$1788)</f>
        <v/>
      </c>
      <c r="AM1785" t="str">
        <f>IF([3]Entry!$R$1788="","",[3]Entry!$R$1788)</f>
        <v/>
      </c>
    </row>
    <row r="1786" spans="20:39" x14ac:dyDescent="0.2">
      <c r="T1786" t="str">
        <f>IF([2]Baskol!$B$1789="","",[2]Baskol!$B$1789)</f>
        <v/>
      </c>
      <c r="U1786" t="str">
        <f>IF([2]Baskol!$C$1789="","",[2]Baskol!$C$1789)</f>
        <v/>
      </c>
      <c r="V1786" t="str">
        <f>IF([2]Baskol!$D$1789="","",[2]Baskol!$D$1789)</f>
        <v/>
      </c>
      <c r="W1786" t="str">
        <f>IF([2]Baskol!$E$1789="","",[2]Baskol!$E$1789)</f>
        <v/>
      </c>
      <c r="X1786" t="str">
        <f>IF([2]Baskol!$G$1789="","",[2]Baskol!$G$1789)</f>
        <v/>
      </c>
      <c r="Y1786" t="str">
        <f>IF([2]Baskol!$I$1789="","",[2]Baskol!$I$1789)</f>
        <v/>
      </c>
      <c r="Z1786" t="str">
        <f>IF([2]Baskol!$J$1789="","",[2]Baskol!$J$1789)</f>
        <v/>
      </c>
      <c r="AA1786" t="str">
        <f>IF([2]Baskol!$K$1789="","",[2]Baskol!$K$1789)</f>
        <v/>
      </c>
      <c r="AB1786" t="str">
        <f>IF([2]Baskol!$L$1789="","",[2]Baskol!$L$1789)</f>
        <v/>
      </c>
      <c r="AC1786" t="str">
        <f>IF([2]Baskol!$N$1789="","",[2]Baskol!$N$1789)</f>
        <v/>
      </c>
      <c r="AD1786" t="str">
        <f>IF([2]Baskol!$O$1789="","",[2]Baskol!$O$1789)</f>
        <v/>
      </c>
      <c r="AE1786" t="str">
        <f>IF([3]Entry!$C$1789="","",[3]Entry!$C$1789)</f>
        <v/>
      </c>
      <c r="AF1786" t="str">
        <f>IF([3]Entry!$D$1789="","",[3]Entry!$D$1789)</f>
        <v/>
      </c>
      <c r="AG1786" t="str">
        <f>IF([3]Entry!$E$1789="","",[3]Entry!$E$1789)</f>
        <v/>
      </c>
      <c r="AH1786" t="str">
        <f>IF([3]Entry!$G$1789="","",[3]Entry!$G$1789)</f>
        <v/>
      </c>
      <c r="AI1786" t="str">
        <f>IF([3]Entry!$K$1789="","",[3]Entry!$K$1789)</f>
        <v/>
      </c>
      <c r="AJ1786" t="str">
        <f>IF([3]Entry!$L$1789="","",[3]Entry!$L$1789)</f>
        <v/>
      </c>
      <c r="AK1786" t="str">
        <f>IF([3]Entry!$M$1789="","",[3]Entry!$M$1789)</f>
        <v/>
      </c>
      <c r="AL1786" t="str">
        <f>IF([3]Entry!$N$1789="","",[3]Entry!$N$1789)</f>
        <v/>
      </c>
      <c r="AM1786" t="str">
        <f>IF([3]Entry!$R$1789="","",[3]Entry!$R$1789)</f>
        <v/>
      </c>
    </row>
    <row r="1787" spans="20:39" x14ac:dyDescent="0.2">
      <c r="T1787" t="str">
        <f>IF([2]Baskol!$B$1790="","",[2]Baskol!$B$1790)</f>
        <v/>
      </c>
      <c r="U1787" t="str">
        <f>IF([2]Baskol!$C$1790="","",[2]Baskol!$C$1790)</f>
        <v/>
      </c>
      <c r="V1787" t="str">
        <f>IF([2]Baskol!$D$1790="","",[2]Baskol!$D$1790)</f>
        <v/>
      </c>
      <c r="W1787" t="str">
        <f>IF([2]Baskol!$E$1790="","",[2]Baskol!$E$1790)</f>
        <v/>
      </c>
      <c r="X1787" t="str">
        <f>IF([2]Baskol!$G$1790="","",[2]Baskol!$G$1790)</f>
        <v/>
      </c>
      <c r="Y1787" t="str">
        <f>IF([2]Baskol!$I$1790="","",[2]Baskol!$I$1790)</f>
        <v/>
      </c>
      <c r="Z1787" t="str">
        <f>IF([2]Baskol!$J$1790="","",[2]Baskol!$J$1790)</f>
        <v/>
      </c>
      <c r="AA1787" t="str">
        <f>IF([2]Baskol!$K$1790="","",[2]Baskol!$K$1790)</f>
        <v/>
      </c>
      <c r="AB1787" t="str">
        <f>IF([2]Baskol!$L$1790="","",[2]Baskol!$L$1790)</f>
        <v/>
      </c>
      <c r="AC1787" t="str">
        <f>IF([2]Baskol!$N$1790="","",[2]Baskol!$N$1790)</f>
        <v/>
      </c>
      <c r="AD1787" t="str">
        <f>IF([2]Baskol!$O$1790="","",[2]Baskol!$O$1790)</f>
        <v/>
      </c>
      <c r="AE1787" t="str">
        <f>IF([3]Entry!$C$1790="","",[3]Entry!$C$1790)</f>
        <v/>
      </c>
      <c r="AF1787" t="str">
        <f>IF([3]Entry!$D$1790="","",[3]Entry!$D$1790)</f>
        <v/>
      </c>
      <c r="AG1787" t="str">
        <f>IF([3]Entry!$E$1790="","",[3]Entry!$E$1790)</f>
        <v/>
      </c>
      <c r="AH1787" t="str">
        <f>IF([3]Entry!$G$1790="","",[3]Entry!$G$1790)</f>
        <v/>
      </c>
      <c r="AI1787" t="str">
        <f>IF([3]Entry!$K$1790="","",[3]Entry!$K$1790)</f>
        <v/>
      </c>
      <c r="AJ1787" t="str">
        <f>IF([3]Entry!$L$1790="","",[3]Entry!$L$1790)</f>
        <v/>
      </c>
      <c r="AK1787" t="str">
        <f>IF([3]Entry!$M$1790="","",[3]Entry!$M$1790)</f>
        <v/>
      </c>
      <c r="AL1787" t="str">
        <f>IF([3]Entry!$N$1790="","",[3]Entry!$N$1790)</f>
        <v/>
      </c>
      <c r="AM1787" t="str">
        <f>IF([3]Entry!$R$1790="","",[3]Entry!$R$1790)</f>
        <v/>
      </c>
    </row>
    <row r="1788" spans="20:39" x14ac:dyDescent="0.2">
      <c r="T1788" t="str">
        <f>IF([2]Baskol!$B$1791="","",[2]Baskol!$B$1791)</f>
        <v/>
      </c>
      <c r="U1788" t="str">
        <f>IF([2]Baskol!$C$1791="","",[2]Baskol!$C$1791)</f>
        <v/>
      </c>
      <c r="V1788" t="str">
        <f>IF([2]Baskol!$D$1791="","",[2]Baskol!$D$1791)</f>
        <v/>
      </c>
      <c r="W1788" t="str">
        <f>IF([2]Baskol!$E$1791="","",[2]Baskol!$E$1791)</f>
        <v/>
      </c>
      <c r="X1788" t="str">
        <f>IF([2]Baskol!$G$1791="","",[2]Baskol!$G$1791)</f>
        <v/>
      </c>
      <c r="Y1788" t="str">
        <f>IF([2]Baskol!$I$1791="","",[2]Baskol!$I$1791)</f>
        <v/>
      </c>
      <c r="Z1788" t="str">
        <f>IF([2]Baskol!$J$1791="","",[2]Baskol!$J$1791)</f>
        <v/>
      </c>
      <c r="AA1788" t="str">
        <f>IF([2]Baskol!$K$1791="","",[2]Baskol!$K$1791)</f>
        <v/>
      </c>
      <c r="AB1788" t="str">
        <f>IF([2]Baskol!$L$1791="","",[2]Baskol!$L$1791)</f>
        <v/>
      </c>
      <c r="AC1788" t="str">
        <f>IF([2]Baskol!$N$1791="","",[2]Baskol!$N$1791)</f>
        <v/>
      </c>
      <c r="AD1788" t="str">
        <f>IF([2]Baskol!$O$1791="","",[2]Baskol!$O$1791)</f>
        <v/>
      </c>
      <c r="AE1788" t="str">
        <f>IF([3]Entry!$C$1791="","",[3]Entry!$C$1791)</f>
        <v/>
      </c>
      <c r="AF1788" t="str">
        <f>IF([3]Entry!$D$1791="","",[3]Entry!$D$1791)</f>
        <v/>
      </c>
      <c r="AG1788" t="str">
        <f>IF([3]Entry!$E$1791="","",[3]Entry!$E$1791)</f>
        <v/>
      </c>
      <c r="AH1788" t="str">
        <f>IF([3]Entry!$G$1791="","",[3]Entry!$G$1791)</f>
        <v/>
      </c>
      <c r="AI1788" t="str">
        <f>IF([3]Entry!$K$1791="","",[3]Entry!$K$1791)</f>
        <v/>
      </c>
      <c r="AJ1788" t="str">
        <f>IF([3]Entry!$L$1791="","",[3]Entry!$L$1791)</f>
        <v/>
      </c>
      <c r="AK1788" t="str">
        <f>IF([3]Entry!$M$1791="","",[3]Entry!$M$1791)</f>
        <v/>
      </c>
      <c r="AL1788" t="str">
        <f>IF([3]Entry!$N$1791="","",[3]Entry!$N$1791)</f>
        <v/>
      </c>
      <c r="AM1788" t="str">
        <f>IF([3]Entry!$R$1791="","",[3]Entry!$R$1791)</f>
        <v/>
      </c>
    </row>
    <row r="1789" spans="20:39" x14ac:dyDescent="0.2">
      <c r="T1789" t="str">
        <f>IF([2]Baskol!$B$1792="","",[2]Baskol!$B$1792)</f>
        <v/>
      </c>
      <c r="U1789" t="str">
        <f>IF([2]Baskol!$C$1792="","",[2]Baskol!$C$1792)</f>
        <v/>
      </c>
      <c r="V1789" t="str">
        <f>IF([2]Baskol!$D$1792="","",[2]Baskol!$D$1792)</f>
        <v/>
      </c>
      <c r="W1789" t="str">
        <f>IF([2]Baskol!$E$1792="","",[2]Baskol!$E$1792)</f>
        <v/>
      </c>
      <c r="X1789" t="str">
        <f>IF([2]Baskol!$G$1792="","",[2]Baskol!$G$1792)</f>
        <v/>
      </c>
      <c r="Y1789" t="str">
        <f>IF([2]Baskol!$I$1792="","",[2]Baskol!$I$1792)</f>
        <v/>
      </c>
      <c r="Z1789" t="str">
        <f>IF([2]Baskol!$J$1792="","",[2]Baskol!$J$1792)</f>
        <v/>
      </c>
      <c r="AA1789" t="str">
        <f>IF([2]Baskol!$K$1792="","",[2]Baskol!$K$1792)</f>
        <v/>
      </c>
      <c r="AB1789" t="str">
        <f>IF([2]Baskol!$L$1792="","",[2]Baskol!$L$1792)</f>
        <v/>
      </c>
      <c r="AC1789" t="str">
        <f>IF([2]Baskol!$N$1792="","",[2]Baskol!$N$1792)</f>
        <v/>
      </c>
      <c r="AD1789" t="str">
        <f>IF([2]Baskol!$O$1792="","",[2]Baskol!$O$1792)</f>
        <v/>
      </c>
      <c r="AE1789" t="str">
        <f>IF([3]Entry!$C$1792="","",[3]Entry!$C$1792)</f>
        <v/>
      </c>
      <c r="AF1789" t="str">
        <f>IF([3]Entry!$D$1792="","",[3]Entry!$D$1792)</f>
        <v/>
      </c>
      <c r="AG1789" t="str">
        <f>IF([3]Entry!$E$1792="","",[3]Entry!$E$1792)</f>
        <v/>
      </c>
      <c r="AH1789" t="str">
        <f>IF([3]Entry!$G$1792="","",[3]Entry!$G$1792)</f>
        <v/>
      </c>
      <c r="AI1789" t="str">
        <f>IF([3]Entry!$K$1792="","",[3]Entry!$K$1792)</f>
        <v/>
      </c>
      <c r="AJ1789" t="str">
        <f>IF([3]Entry!$L$1792="","",[3]Entry!$L$1792)</f>
        <v/>
      </c>
      <c r="AK1789" t="str">
        <f>IF([3]Entry!$M$1792="","",[3]Entry!$M$1792)</f>
        <v/>
      </c>
      <c r="AL1789" t="str">
        <f>IF([3]Entry!$N$1792="","",[3]Entry!$N$1792)</f>
        <v/>
      </c>
      <c r="AM1789" t="str">
        <f>IF([3]Entry!$R$1792="","",[3]Entry!$R$1792)</f>
        <v/>
      </c>
    </row>
    <row r="1790" spans="20:39" x14ac:dyDescent="0.2">
      <c r="T1790" t="str">
        <f>IF([2]Baskol!$B$1793="","",[2]Baskol!$B$1793)</f>
        <v/>
      </c>
      <c r="U1790" t="str">
        <f>IF([2]Baskol!$C$1793="","",[2]Baskol!$C$1793)</f>
        <v/>
      </c>
      <c r="V1790" t="str">
        <f>IF([2]Baskol!$D$1793="","",[2]Baskol!$D$1793)</f>
        <v/>
      </c>
      <c r="W1790" t="str">
        <f>IF([2]Baskol!$E$1793="","",[2]Baskol!$E$1793)</f>
        <v/>
      </c>
      <c r="X1790" t="str">
        <f>IF([2]Baskol!$G$1793="","",[2]Baskol!$G$1793)</f>
        <v/>
      </c>
      <c r="Y1790" t="str">
        <f>IF([2]Baskol!$I$1793="","",[2]Baskol!$I$1793)</f>
        <v/>
      </c>
      <c r="Z1790" t="str">
        <f>IF([2]Baskol!$J$1793="","",[2]Baskol!$J$1793)</f>
        <v/>
      </c>
      <c r="AA1790" t="str">
        <f>IF([2]Baskol!$K$1793="","",[2]Baskol!$K$1793)</f>
        <v/>
      </c>
      <c r="AB1790" t="str">
        <f>IF([2]Baskol!$L$1793="","",[2]Baskol!$L$1793)</f>
        <v/>
      </c>
      <c r="AC1790" t="str">
        <f>IF([2]Baskol!$N$1793="","",[2]Baskol!$N$1793)</f>
        <v/>
      </c>
      <c r="AD1790" t="str">
        <f>IF([2]Baskol!$O$1793="","",[2]Baskol!$O$1793)</f>
        <v/>
      </c>
      <c r="AE1790" t="str">
        <f>IF([3]Entry!$C$1793="","",[3]Entry!$C$1793)</f>
        <v/>
      </c>
      <c r="AF1790" t="str">
        <f>IF([3]Entry!$D$1793="","",[3]Entry!$D$1793)</f>
        <v/>
      </c>
      <c r="AG1790" t="str">
        <f>IF([3]Entry!$E$1793="","",[3]Entry!$E$1793)</f>
        <v/>
      </c>
      <c r="AH1790" t="str">
        <f>IF([3]Entry!$G$1793="","",[3]Entry!$G$1793)</f>
        <v/>
      </c>
      <c r="AI1790" t="str">
        <f>IF([3]Entry!$K$1793="","",[3]Entry!$K$1793)</f>
        <v/>
      </c>
      <c r="AJ1790" t="str">
        <f>IF([3]Entry!$L$1793="","",[3]Entry!$L$1793)</f>
        <v/>
      </c>
      <c r="AK1790" t="str">
        <f>IF([3]Entry!$M$1793="","",[3]Entry!$M$1793)</f>
        <v/>
      </c>
      <c r="AL1790" t="str">
        <f>IF([3]Entry!$N$1793="","",[3]Entry!$N$1793)</f>
        <v/>
      </c>
      <c r="AM1790" t="str">
        <f>IF([3]Entry!$R$1793="","",[3]Entry!$R$1793)</f>
        <v/>
      </c>
    </row>
    <row r="1791" spans="20:39" x14ac:dyDescent="0.2">
      <c r="T1791" t="str">
        <f>IF([2]Baskol!$B$1794="","",[2]Baskol!$B$1794)</f>
        <v/>
      </c>
      <c r="U1791" t="str">
        <f>IF([2]Baskol!$C$1794="","",[2]Baskol!$C$1794)</f>
        <v/>
      </c>
      <c r="V1791" t="str">
        <f>IF([2]Baskol!$D$1794="","",[2]Baskol!$D$1794)</f>
        <v/>
      </c>
      <c r="W1791" t="str">
        <f>IF([2]Baskol!$E$1794="","",[2]Baskol!$E$1794)</f>
        <v/>
      </c>
      <c r="X1791" t="str">
        <f>IF([2]Baskol!$G$1794="","",[2]Baskol!$G$1794)</f>
        <v/>
      </c>
      <c r="Y1791" t="str">
        <f>IF([2]Baskol!$I$1794="","",[2]Baskol!$I$1794)</f>
        <v/>
      </c>
      <c r="Z1791" t="str">
        <f>IF([2]Baskol!$J$1794="","",[2]Baskol!$J$1794)</f>
        <v/>
      </c>
      <c r="AA1791" t="str">
        <f>IF([2]Baskol!$K$1794="","",[2]Baskol!$K$1794)</f>
        <v/>
      </c>
      <c r="AB1791" t="str">
        <f>IF([2]Baskol!$L$1794="","",[2]Baskol!$L$1794)</f>
        <v/>
      </c>
      <c r="AC1791" t="str">
        <f>IF([2]Baskol!$N$1794="","",[2]Baskol!$N$1794)</f>
        <v/>
      </c>
      <c r="AD1791" t="str">
        <f>IF([2]Baskol!$O$1794="","",[2]Baskol!$O$1794)</f>
        <v/>
      </c>
      <c r="AE1791" t="str">
        <f>IF([3]Entry!$C$1794="","",[3]Entry!$C$1794)</f>
        <v/>
      </c>
      <c r="AF1791" t="str">
        <f>IF([3]Entry!$D$1794="","",[3]Entry!$D$1794)</f>
        <v/>
      </c>
      <c r="AG1791" t="str">
        <f>IF([3]Entry!$E$1794="","",[3]Entry!$E$1794)</f>
        <v/>
      </c>
      <c r="AH1791" t="str">
        <f>IF([3]Entry!$G$1794="","",[3]Entry!$G$1794)</f>
        <v/>
      </c>
      <c r="AI1791" t="str">
        <f>IF([3]Entry!$K$1794="","",[3]Entry!$K$1794)</f>
        <v/>
      </c>
      <c r="AJ1791" t="str">
        <f>IF([3]Entry!$L$1794="","",[3]Entry!$L$1794)</f>
        <v/>
      </c>
      <c r="AK1791" t="str">
        <f>IF([3]Entry!$M$1794="","",[3]Entry!$M$1794)</f>
        <v/>
      </c>
      <c r="AL1791" t="str">
        <f>IF([3]Entry!$N$1794="","",[3]Entry!$N$1794)</f>
        <v/>
      </c>
      <c r="AM1791" t="str">
        <f>IF([3]Entry!$R$1794="","",[3]Entry!$R$1794)</f>
        <v/>
      </c>
    </row>
    <row r="1792" spans="20:39" x14ac:dyDescent="0.2">
      <c r="T1792" t="str">
        <f>IF([2]Baskol!$B$1795="","",[2]Baskol!$B$1795)</f>
        <v/>
      </c>
      <c r="U1792" t="str">
        <f>IF([2]Baskol!$C$1795="","",[2]Baskol!$C$1795)</f>
        <v/>
      </c>
      <c r="V1792" t="str">
        <f>IF([2]Baskol!$D$1795="","",[2]Baskol!$D$1795)</f>
        <v/>
      </c>
      <c r="W1792" t="str">
        <f>IF([2]Baskol!$E$1795="","",[2]Baskol!$E$1795)</f>
        <v/>
      </c>
      <c r="X1792" t="str">
        <f>IF([2]Baskol!$G$1795="","",[2]Baskol!$G$1795)</f>
        <v/>
      </c>
      <c r="Y1792" t="str">
        <f>IF([2]Baskol!$I$1795="","",[2]Baskol!$I$1795)</f>
        <v/>
      </c>
      <c r="Z1792" t="str">
        <f>IF([2]Baskol!$J$1795="","",[2]Baskol!$J$1795)</f>
        <v/>
      </c>
      <c r="AA1792" t="str">
        <f>IF([2]Baskol!$K$1795="","",[2]Baskol!$K$1795)</f>
        <v/>
      </c>
      <c r="AB1792" t="str">
        <f>IF([2]Baskol!$L$1795="","",[2]Baskol!$L$1795)</f>
        <v/>
      </c>
      <c r="AC1792" t="str">
        <f>IF([2]Baskol!$N$1795="","",[2]Baskol!$N$1795)</f>
        <v/>
      </c>
      <c r="AD1792" t="str">
        <f>IF([2]Baskol!$O$1795="","",[2]Baskol!$O$1795)</f>
        <v/>
      </c>
      <c r="AE1792" t="str">
        <f>IF([3]Entry!$C$1795="","",[3]Entry!$C$1795)</f>
        <v/>
      </c>
      <c r="AF1792" t="str">
        <f>IF([3]Entry!$D$1795="","",[3]Entry!$D$1795)</f>
        <v/>
      </c>
      <c r="AG1792" t="str">
        <f>IF([3]Entry!$E$1795="","",[3]Entry!$E$1795)</f>
        <v/>
      </c>
      <c r="AH1792" t="str">
        <f>IF([3]Entry!$G$1795="","",[3]Entry!$G$1795)</f>
        <v/>
      </c>
      <c r="AI1792" t="str">
        <f>IF([3]Entry!$K$1795="","",[3]Entry!$K$1795)</f>
        <v/>
      </c>
      <c r="AJ1792" t="str">
        <f>IF([3]Entry!$L$1795="","",[3]Entry!$L$1795)</f>
        <v/>
      </c>
      <c r="AK1792" t="str">
        <f>IF([3]Entry!$M$1795="","",[3]Entry!$M$1795)</f>
        <v/>
      </c>
      <c r="AL1792" t="str">
        <f>IF([3]Entry!$N$1795="","",[3]Entry!$N$1795)</f>
        <v/>
      </c>
      <c r="AM1792" t="str">
        <f>IF([3]Entry!$R$1795="","",[3]Entry!$R$1795)</f>
        <v/>
      </c>
    </row>
    <row r="1793" spans="20:39" x14ac:dyDescent="0.2">
      <c r="T1793" t="str">
        <f>IF([2]Baskol!$B$1796="","",[2]Baskol!$B$1796)</f>
        <v/>
      </c>
      <c r="U1793" t="str">
        <f>IF([2]Baskol!$C$1796="","",[2]Baskol!$C$1796)</f>
        <v/>
      </c>
      <c r="V1793" t="str">
        <f>IF([2]Baskol!$D$1796="","",[2]Baskol!$D$1796)</f>
        <v/>
      </c>
      <c r="W1793" t="str">
        <f>IF([2]Baskol!$E$1796="","",[2]Baskol!$E$1796)</f>
        <v/>
      </c>
      <c r="X1793" t="str">
        <f>IF([2]Baskol!$G$1796="","",[2]Baskol!$G$1796)</f>
        <v/>
      </c>
      <c r="Y1793" t="str">
        <f>IF([2]Baskol!$I$1796="","",[2]Baskol!$I$1796)</f>
        <v/>
      </c>
      <c r="Z1793" t="str">
        <f>IF([2]Baskol!$J$1796="","",[2]Baskol!$J$1796)</f>
        <v/>
      </c>
      <c r="AA1793" t="str">
        <f>IF([2]Baskol!$K$1796="","",[2]Baskol!$K$1796)</f>
        <v/>
      </c>
      <c r="AB1793" t="str">
        <f>IF([2]Baskol!$L$1796="","",[2]Baskol!$L$1796)</f>
        <v/>
      </c>
      <c r="AC1793" t="str">
        <f>IF([2]Baskol!$N$1796="","",[2]Baskol!$N$1796)</f>
        <v/>
      </c>
      <c r="AD1793" t="str">
        <f>IF([2]Baskol!$O$1796="","",[2]Baskol!$O$1796)</f>
        <v/>
      </c>
      <c r="AE1793" t="str">
        <f>IF([3]Entry!$C$1796="","",[3]Entry!$C$1796)</f>
        <v/>
      </c>
      <c r="AF1793" t="str">
        <f>IF([3]Entry!$D$1796="","",[3]Entry!$D$1796)</f>
        <v/>
      </c>
      <c r="AG1793" t="str">
        <f>IF([3]Entry!$E$1796="","",[3]Entry!$E$1796)</f>
        <v/>
      </c>
      <c r="AH1793" t="str">
        <f>IF([3]Entry!$G$1796="","",[3]Entry!$G$1796)</f>
        <v/>
      </c>
      <c r="AI1793" t="str">
        <f>IF([3]Entry!$K$1796="","",[3]Entry!$K$1796)</f>
        <v/>
      </c>
      <c r="AJ1793" t="str">
        <f>IF([3]Entry!$L$1796="","",[3]Entry!$L$1796)</f>
        <v/>
      </c>
      <c r="AK1793" t="str">
        <f>IF([3]Entry!$M$1796="","",[3]Entry!$M$1796)</f>
        <v/>
      </c>
      <c r="AL1793" t="str">
        <f>IF([3]Entry!$N$1796="","",[3]Entry!$N$1796)</f>
        <v/>
      </c>
      <c r="AM1793" t="str">
        <f>IF([3]Entry!$R$1796="","",[3]Entry!$R$1796)</f>
        <v/>
      </c>
    </row>
    <row r="1794" spans="20:39" x14ac:dyDescent="0.2">
      <c r="T1794" t="str">
        <f>IF([2]Baskol!$B$1797="","",[2]Baskol!$B$1797)</f>
        <v/>
      </c>
      <c r="U1794" t="str">
        <f>IF([2]Baskol!$C$1797="","",[2]Baskol!$C$1797)</f>
        <v/>
      </c>
      <c r="V1794" t="str">
        <f>IF([2]Baskol!$D$1797="","",[2]Baskol!$D$1797)</f>
        <v/>
      </c>
      <c r="W1794" t="str">
        <f>IF([2]Baskol!$E$1797="","",[2]Baskol!$E$1797)</f>
        <v/>
      </c>
      <c r="X1794" t="str">
        <f>IF([2]Baskol!$G$1797="","",[2]Baskol!$G$1797)</f>
        <v/>
      </c>
      <c r="Y1794" t="str">
        <f>IF([2]Baskol!$I$1797="","",[2]Baskol!$I$1797)</f>
        <v/>
      </c>
      <c r="Z1794" t="str">
        <f>IF([2]Baskol!$J$1797="","",[2]Baskol!$J$1797)</f>
        <v/>
      </c>
      <c r="AA1794" t="str">
        <f>IF([2]Baskol!$K$1797="","",[2]Baskol!$K$1797)</f>
        <v/>
      </c>
      <c r="AB1794" t="str">
        <f>IF([2]Baskol!$L$1797="","",[2]Baskol!$L$1797)</f>
        <v/>
      </c>
      <c r="AC1794" t="str">
        <f>IF([2]Baskol!$N$1797="","",[2]Baskol!$N$1797)</f>
        <v/>
      </c>
      <c r="AD1794" t="str">
        <f>IF([2]Baskol!$O$1797="","",[2]Baskol!$O$1797)</f>
        <v/>
      </c>
      <c r="AE1794" t="str">
        <f>IF([3]Entry!$C$1797="","",[3]Entry!$C$1797)</f>
        <v/>
      </c>
      <c r="AF1794" t="str">
        <f>IF([3]Entry!$D$1797="","",[3]Entry!$D$1797)</f>
        <v/>
      </c>
      <c r="AG1794" t="str">
        <f>IF([3]Entry!$E$1797="","",[3]Entry!$E$1797)</f>
        <v/>
      </c>
      <c r="AH1794" t="str">
        <f>IF([3]Entry!$G$1797="","",[3]Entry!$G$1797)</f>
        <v/>
      </c>
      <c r="AI1794" t="str">
        <f>IF([3]Entry!$K$1797="","",[3]Entry!$K$1797)</f>
        <v/>
      </c>
      <c r="AJ1794" t="str">
        <f>IF([3]Entry!$L$1797="","",[3]Entry!$L$1797)</f>
        <v/>
      </c>
      <c r="AK1794" t="str">
        <f>IF([3]Entry!$M$1797="","",[3]Entry!$M$1797)</f>
        <v/>
      </c>
      <c r="AL1794" t="str">
        <f>IF([3]Entry!$N$1797="","",[3]Entry!$N$1797)</f>
        <v/>
      </c>
      <c r="AM1794" t="str">
        <f>IF([3]Entry!$R$1797="","",[3]Entry!$R$1797)</f>
        <v/>
      </c>
    </row>
    <row r="1795" spans="20:39" x14ac:dyDescent="0.2">
      <c r="T1795" t="str">
        <f>IF([2]Baskol!$B$1798="","",[2]Baskol!$B$1798)</f>
        <v/>
      </c>
      <c r="U1795" t="str">
        <f>IF([2]Baskol!$C$1798="","",[2]Baskol!$C$1798)</f>
        <v/>
      </c>
      <c r="V1795" t="str">
        <f>IF([2]Baskol!$D$1798="","",[2]Baskol!$D$1798)</f>
        <v/>
      </c>
      <c r="W1795" t="str">
        <f>IF([2]Baskol!$E$1798="","",[2]Baskol!$E$1798)</f>
        <v/>
      </c>
      <c r="X1795" t="str">
        <f>IF([2]Baskol!$G$1798="","",[2]Baskol!$G$1798)</f>
        <v/>
      </c>
      <c r="Y1795" t="str">
        <f>IF([2]Baskol!$I$1798="","",[2]Baskol!$I$1798)</f>
        <v/>
      </c>
      <c r="Z1795" t="str">
        <f>IF([2]Baskol!$J$1798="","",[2]Baskol!$J$1798)</f>
        <v/>
      </c>
      <c r="AA1795" t="str">
        <f>IF([2]Baskol!$K$1798="","",[2]Baskol!$K$1798)</f>
        <v/>
      </c>
      <c r="AB1795" t="str">
        <f>IF([2]Baskol!$L$1798="","",[2]Baskol!$L$1798)</f>
        <v/>
      </c>
      <c r="AC1795" t="str">
        <f>IF([2]Baskol!$N$1798="","",[2]Baskol!$N$1798)</f>
        <v/>
      </c>
      <c r="AD1795" t="str">
        <f>IF([2]Baskol!$O$1798="","",[2]Baskol!$O$1798)</f>
        <v/>
      </c>
      <c r="AE1795" t="str">
        <f>IF([3]Entry!$C$1798="","",[3]Entry!$C$1798)</f>
        <v/>
      </c>
      <c r="AF1795" t="str">
        <f>IF([3]Entry!$D$1798="","",[3]Entry!$D$1798)</f>
        <v/>
      </c>
      <c r="AG1795" t="str">
        <f>IF([3]Entry!$E$1798="","",[3]Entry!$E$1798)</f>
        <v/>
      </c>
      <c r="AH1795" t="str">
        <f>IF([3]Entry!$G$1798="","",[3]Entry!$G$1798)</f>
        <v/>
      </c>
      <c r="AI1795" t="str">
        <f>IF([3]Entry!$K$1798="","",[3]Entry!$K$1798)</f>
        <v/>
      </c>
      <c r="AJ1795" t="str">
        <f>IF([3]Entry!$L$1798="","",[3]Entry!$L$1798)</f>
        <v/>
      </c>
      <c r="AK1795" t="str">
        <f>IF([3]Entry!$M$1798="","",[3]Entry!$M$1798)</f>
        <v/>
      </c>
      <c r="AL1795" t="str">
        <f>IF([3]Entry!$N$1798="","",[3]Entry!$N$1798)</f>
        <v/>
      </c>
      <c r="AM1795" t="str">
        <f>IF([3]Entry!$R$1798="","",[3]Entry!$R$1798)</f>
        <v/>
      </c>
    </row>
    <row r="1796" spans="20:39" x14ac:dyDescent="0.2">
      <c r="T1796" t="str">
        <f>IF([2]Baskol!$B$1799="","",[2]Baskol!$B$1799)</f>
        <v/>
      </c>
      <c r="U1796" t="str">
        <f>IF([2]Baskol!$C$1799="","",[2]Baskol!$C$1799)</f>
        <v/>
      </c>
      <c r="V1796" t="str">
        <f>IF([2]Baskol!$D$1799="","",[2]Baskol!$D$1799)</f>
        <v/>
      </c>
      <c r="W1796" t="str">
        <f>IF([2]Baskol!$E$1799="","",[2]Baskol!$E$1799)</f>
        <v/>
      </c>
      <c r="X1796" t="str">
        <f>IF([2]Baskol!$G$1799="","",[2]Baskol!$G$1799)</f>
        <v/>
      </c>
      <c r="Y1796" t="str">
        <f>IF([2]Baskol!$I$1799="","",[2]Baskol!$I$1799)</f>
        <v/>
      </c>
      <c r="Z1796" t="str">
        <f>IF([2]Baskol!$J$1799="","",[2]Baskol!$J$1799)</f>
        <v/>
      </c>
      <c r="AA1796" t="str">
        <f>IF([2]Baskol!$K$1799="","",[2]Baskol!$K$1799)</f>
        <v/>
      </c>
      <c r="AB1796" t="str">
        <f>IF([2]Baskol!$L$1799="","",[2]Baskol!$L$1799)</f>
        <v/>
      </c>
      <c r="AC1796" t="str">
        <f>IF([2]Baskol!$N$1799="","",[2]Baskol!$N$1799)</f>
        <v/>
      </c>
      <c r="AD1796" t="str">
        <f>IF([2]Baskol!$O$1799="","",[2]Baskol!$O$1799)</f>
        <v/>
      </c>
      <c r="AE1796" t="str">
        <f>IF([3]Entry!$C$1799="","",[3]Entry!$C$1799)</f>
        <v/>
      </c>
      <c r="AF1796" t="str">
        <f>IF([3]Entry!$D$1799="","",[3]Entry!$D$1799)</f>
        <v/>
      </c>
      <c r="AG1796" t="str">
        <f>IF([3]Entry!$E$1799="","",[3]Entry!$E$1799)</f>
        <v/>
      </c>
      <c r="AH1796" t="str">
        <f>IF([3]Entry!$G$1799="","",[3]Entry!$G$1799)</f>
        <v/>
      </c>
      <c r="AI1796" t="str">
        <f>IF([3]Entry!$K$1799="","",[3]Entry!$K$1799)</f>
        <v/>
      </c>
      <c r="AJ1796" t="str">
        <f>IF([3]Entry!$L$1799="","",[3]Entry!$L$1799)</f>
        <v/>
      </c>
      <c r="AK1796" t="str">
        <f>IF([3]Entry!$M$1799="","",[3]Entry!$M$1799)</f>
        <v/>
      </c>
      <c r="AL1796" t="str">
        <f>IF([3]Entry!$N$1799="","",[3]Entry!$N$1799)</f>
        <v/>
      </c>
      <c r="AM1796" t="str">
        <f>IF([3]Entry!$R$1799="","",[3]Entry!$R$1799)</f>
        <v/>
      </c>
    </row>
    <row r="1797" spans="20:39" x14ac:dyDescent="0.2">
      <c r="T1797" t="str">
        <f>IF([2]Baskol!$B$1800="","",[2]Baskol!$B$1800)</f>
        <v/>
      </c>
      <c r="U1797" t="str">
        <f>IF([2]Baskol!$C$1800="","",[2]Baskol!$C$1800)</f>
        <v/>
      </c>
      <c r="V1797" t="str">
        <f>IF([2]Baskol!$D$1800="","",[2]Baskol!$D$1800)</f>
        <v/>
      </c>
      <c r="W1797" t="str">
        <f>IF([2]Baskol!$E$1800="","",[2]Baskol!$E$1800)</f>
        <v/>
      </c>
      <c r="X1797" t="str">
        <f>IF([2]Baskol!$G$1800="","",[2]Baskol!$G$1800)</f>
        <v/>
      </c>
      <c r="Y1797" t="str">
        <f>IF([2]Baskol!$I$1800="","",[2]Baskol!$I$1800)</f>
        <v/>
      </c>
      <c r="Z1797" t="str">
        <f>IF([2]Baskol!$J$1800="","",[2]Baskol!$J$1800)</f>
        <v/>
      </c>
      <c r="AA1797" t="str">
        <f>IF([2]Baskol!$K$1800="","",[2]Baskol!$K$1800)</f>
        <v/>
      </c>
      <c r="AB1797" t="str">
        <f>IF([2]Baskol!$L$1800="","",[2]Baskol!$L$1800)</f>
        <v/>
      </c>
      <c r="AC1797" t="str">
        <f>IF([2]Baskol!$N$1800="","",[2]Baskol!$N$1800)</f>
        <v/>
      </c>
      <c r="AD1797" t="str">
        <f>IF([2]Baskol!$O$1800="","",[2]Baskol!$O$1800)</f>
        <v/>
      </c>
      <c r="AE1797" t="str">
        <f>IF([3]Entry!$C$1800="","",[3]Entry!$C$1800)</f>
        <v/>
      </c>
      <c r="AF1797" t="str">
        <f>IF([3]Entry!$D$1800="","",[3]Entry!$D$1800)</f>
        <v/>
      </c>
      <c r="AG1797" t="str">
        <f>IF([3]Entry!$E$1800="","",[3]Entry!$E$1800)</f>
        <v/>
      </c>
      <c r="AH1797" t="str">
        <f>IF([3]Entry!$G$1800="","",[3]Entry!$G$1800)</f>
        <v/>
      </c>
      <c r="AI1797" t="str">
        <f>IF([3]Entry!$K$1800="","",[3]Entry!$K$1800)</f>
        <v/>
      </c>
      <c r="AJ1797" t="str">
        <f>IF([3]Entry!$L$1800="","",[3]Entry!$L$1800)</f>
        <v/>
      </c>
      <c r="AK1797" t="str">
        <f>IF([3]Entry!$M$1800="","",[3]Entry!$M$1800)</f>
        <v/>
      </c>
      <c r="AL1797" t="str">
        <f>IF([3]Entry!$N$1800="","",[3]Entry!$N$1800)</f>
        <v/>
      </c>
      <c r="AM1797" t="str">
        <f>IF([3]Entry!$R$1800="","",[3]Entry!$R$1800)</f>
        <v/>
      </c>
    </row>
    <row r="1798" spans="20:39" x14ac:dyDescent="0.2">
      <c r="T1798" t="str">
        <f>IF([2]Baskol!$B$1801="","",[2]Baskol!$B$1801)</f>
        <v/>
      </c>
      <c r="U1798" t="str">
        <f>IF([2]Baskol!$C$1801="","",[2]Baskol!$C$1801)</f>
        <v/>
      </c>
      <c r="V1798" t="str">
        <f>IF([2]Baskol!$D$1801="","",[2]Baskol!$D$1801)</f>
        <v/>
      </c>
      <c r="W1798" t="str">
        <f>IF([2]Baskol!$E$1801="","",[2]Baskol!$E$1801)</f>
        <v/>
      </c>
      <c r="X1798" t="str">
        <f>IF([2]Baskol!$G$1801="","",[2]Baskol!$G$1801)</f>
        <v/>
      </c>
      <c r="Y1798" t="str">
        <f>IF([2]Baskol!$I$1801="","",[2]Baskol!$I$1801)</f>
        <v/>
      </c>
      <c r="Z1798" t="str">
        <f>IF([2]Baskol!$J$1801="","",[2]Baskol!$J$1801)</f>
        <v/>
      </c>
      <c r="AA1798" t="str">
        <f>IF([2]Baskol!$K$1801="","",[2]Baskol!$K$1801)</f>
        <v/>
      </c>
      <c r="AB1798" t="str">
        <f>IF([2]Baskol!$L$1801="","",[2]Baskol!$L$1801)</f>
        <v/>
      </c>
      <c r="AC1798" t="str">
        <f>IF([2]Baskol!$N$1801="","",[2]Baskol!$N$1801)</f>
        <v/>
      </c>
      <c r="AD1798" t="str">
        <f>IF([2]Baskol!$O$1801="","",[2]Baskol!$O$1801)</f>
        <v/>
      </c>
      <c r="AE1798" t="str">
        <f>IF([3]Entry!$C$1801="","",[3]Entry!$C$1801)</f>
        <v/>
      </c>
      <c r="AF1798" t="str">
        <f>IF([3]Entry!$D$1801="","",[3]Entry!$D$1801)</f>
        <v/>
      </c>
      <c r="AG1798" t="str">
        <f>IF([3]Entry!$E$1801="","",[3]Entry!$E$1801)</f>
        <v/>
      </c>
      <c r="AH1798" t="str">
        <f>IF([3]Entry!$G$1801="","",[3]Entry!$G$1801)</f>
        <v/>
      </c>
      <c r="AI1798" t="str">
        <f>IF([3]Entry!$K$1801="","",[3]Entry!$K$1801)</f>
        <v/>
      </c>
      <c r="AJ1798" t="str">
        <f>IF([3]Entry!$L$1801="","",[3]Entry!$L$1801)</f>
        <v/>
      </c>
      <c r="AK1798" t="str">
        <f>IF([3]Entry!$M$1801="","",[3]Entry!$M$1801)</f>
        <v/>
      </c>
      <c r="AL1798" t="str">
        <f>IF([3]Entry!$N$1801="","",[3]Entry!$N$1801)</f>
        <v/>
      </c>
      <c r="AM1798" t="str">
        <f>IF([3]Entry!$R$1801="","",[3]Entry!$R$1801)</f>
        <v/>
      </c>
    </row>
    <row r="1799" spans="20:39" x14ac:dyDescent="0.2">
      <c r="T1799" t="str">
        <f>IF([2]Baskol!$B$1802="","",[2]Baskol!$B$1802)</f>
        <v/>
      </c>
      <c r="U1799" t="str">
        <f>IF([2]Baskol!$C$1802="","",[2]Baskol!$C$1802)</f>
        <v/>
      </c>
      <c r="V1799" t="str">
        <f>IF([2]Baskol!$D$1802="","",[2]Baskol!$D$1802)</f>
        <v/>
      </c>
      <c r="W1799" t="str">
        <f>IF([2]Baskol!$E$1802="","",[2]Baskol!$E$1802)</f>
        <v/>
      </c>
      <c r="X1799" t="str">
        <f>IF([2]Baskol!$G$1802="","",[2]Baskol!$G$1802)</f>
        <v/>
      </c>
      <c r="Y1799" t="str">
        <f>IF([2]Baskol!$I$1802="","",[2]Baskol!$I$1802)</f>
        <v/>
      </c>
      <c r="Z1799" t="str">
        <f>IF([2]Baskol!$J$1802="","",[2]Baskol!$J$1802)</f>
        <v/>
      </c>
      <c r="AA1799" t="str">
        <f>IF([2]Baskol!$K$1802="","",[2]Baskol!$K$1802)</f>
        <v/>
      </c>
      <c r="AB1799" t="str">
        <f>IF([2]Baskol!$L$1802="","",[2]Baskol!$L$1802)</f>
        <v/>
      </c>
      <c r="AC1799" t="str">
        <f>IF([2]Baskol!$N$1802="","",[2]Baskol!$N$1802)</f>
        <v/>
      </c>
      <c r="AD1799" t="str">
        <f>IF([2]Baskol!$O$1802="","",[2]Baskol!$O$1802)</f>
        <v/>
      </c>
      <c r="AE1799" t="str">
        <f>IF([3]Entry!$C$1802="","",[3]Entry!$C$1802)</f>
        <v/>
      </c>
      <c r="AF1799" t="str">
        <f>IF([3]Entry!$D$1802="","",[3]Entry!$D$1802)</f>
        <v/>
      </c>
      <c r="AG1799" t="str">
        <f>IF([3]Entry!$E$1802="","",[3]Entry!$E$1802)</f>
        <v/>
      </c>
      <c r="AH1799" t="str">
        <f>IF([3]Entry!$G$1802="","",[3]Entry!$G$1802)</f>
        <v/>
      </c>
      <c r="AI1799" t="str">
        <f>IF([3]Entry!$K$1802="","",[3]Entry!$K$1802)</f>
        <v/>
      </c>
      <c r="AJ1799" t="str">
        <f>IF([3]Entry!$L$1802="","",[3]Entry!$L$1802)</f>
        <v/>
      </c>
      <c r="AK1799" t="str">
        <f>IF([3]Entry!$M$1802="","",[3]Entry!$M$1802)</f>
        <v/>
      </c>
      <c r="AL1799" t="str">
        <f>IF([3]Entry!$N$1802="","",[3]Entry!$N$1802)</f>
        <v/>
      </c>
      <c r="AM1799" t="str">
        <f>IF([3]Entry!$R$1802="","",[3]Entry!$R$1802)</f>
        <v/>
      </c>
    </row>
    <row r="1800" spans="20:39" x14ac:dyDescent="0.2">
      <c r="T1800" t="str">
        <f>IF([2]Baskol!$B$1803="","",[2]Baskol!$B$1803)</f>
        <v/>
      </c>
      <c r="U1800" t="str">
        <f>IF([2]Baskol!$C$1803="","",[2]Baskol!$C$1803)</f>
        <v/>
      </c>
      <c r="V1800" t="str">
        <f>IF([2]Baskol!$D$1803="","",[2]Baskol!$D$1803)</f>
        <v/>
      </c>
      <c r="W1800" t="str">
        <f>IF([2]Baskol!$E$1803="","",[2]Baskol!$E$1803)</f>
        <v/>
      </c>
      <c r="X1800" t="str">
        <f>IF([2]Baskol!$G$1803="","",[2]Baskol!$G$1803)</f>
        <v/>
      </c>
      <c r="Y1800" t="str">
        <f>IF([2]Baskol!$I$1803="","",[2]Baskol!$I$1803)</f>
        <v/>
      </c>
      <c r="Z1800" t="str">
        <f>IF([2]Baskol!$J$1803="","",[2]Baskol!$J$1803)</f>
        <v/>
      </c>
      <c r="AA1800" t="str">
        <f>IF([2]Baskol!$K$1803="","",[2]Baskol!$K$1803)</f>
        <v/>
      </c>
      <c r="AB1800" t="str">
        <f>IF([2]Baskol!$L$1803="","",[2]Baskol!$L$1803)</f>
        <v/>
      </c>
      <c r="AC1800" t="str">
        <f>IF([2]Baskol!$N$1803="","",[2]Baskol!$N$1803)</f>
        <v/>
      </c>
      <c r="AD1800" t="str">
        <f>IF([2]Baskol!$O$1803="","",[2]Baskol!$O$1803)</f>
        <v/>
      </c>
      <c r="AE1800" t="str">
        <f>IF([3]Entry!$C$1803="","",[3]Entry!$C$1803)</f>
        <v/>
      </c>
      <c r="AF1800" t="str">
        <f>IF([3]Entry!$D$1803="","",[3]Entry!$D$1803)</f>
        <v/>
      </c>
      <c r="AG1800" t="str">
        <f>IF([3]Entry!$E$1803="","",[3]Entry!$E$1803)</f>
        <v/>
      </c>
      <c r="AH1800" t="str">
        <f>IF([3]Entry!$G$1803="","",[3]Entry!$G$1803)</f>
        <v/>
      </c>
      <c r="AI1800" t="str">
        <f>IF([3]Entry!$K$1803="","",[3]Entry!$K$1803)</f>
        <v/>
      </c>
      <c r="AJ1800" t="str">
        <f>IF([3]Entry!$L$1803="","",[3]Entry!$L$1803)</f>
        <v/>
      </c>
      <c r="AK1800" t="str">
        <f>IF([3]Entry!$M$1803="","",[3]Entry!$M$1803)</f>
        <v/>
      </c>
      <c r="AL1800" t="str">
        <f>IF([3]Entry!$N$1803="","",[3]Entry!$N$1803)</f>
        <v/>
      </c>
      <c r="AM1800" t="str">
        <f>IF([3]Entry!$R$1803="","",[3]Entry!$R$1803)</f>
        <v/>
      </c>
    </row>
    <row r="1801" spans="20:39" x14ac:dyDescent="0.2">
      <c r="T1801" t="str">
        <f>IF([2]Baskol!$B$1804="","",[2]Baskol!$B$1804)</f>
        <v/>
      </c>
      <c r="U1801" t="str">
        <f>IF([2]Baskol!$C$1804="","",[2]Baskol!$C$1804)</f>
        <v/>
      </c>
      <c r="V1801" t="str">
        <f>IF([2]Baskol!$D$1804="","",[2]Baskol!$D$1804)</f>
        <v/>
      </c>
      <c r="W1801" t="str">
        <f>IF([2]Baskol!$E$1804="","",[2]Baskol!$E$1804)</f>
        <v/>
      </c>
      <c r="X1801" t="str">
        <f>IF([2]Baskol!$G$1804="","",[2]Baskol!$G$1804)</f>
        <v/>
      </c>
      <c r="Y1801" t="str">
        <f>IF([2]Baskol!$I$1804="","",[2]Baskol!$I$1804)</f>
        <v/>
      </c>
      <c r="Z1801" t="str">
        <f>IF([2]Baskol!$J$1804="","",[2]Baskol!$J$1804)</f>
        <v/>
      </c>
      <c r="AA1801" t="str">
        <f>IF([2]Baskol!$K$1804="","",[2]Baskol!$K$1804)</f>
        <v/>
      </c>
      <c r="AB1801" t="str">
        <f>IF([2]Baskol!$L$1804="","",[2]Baskol!$L$1804)</f>
        <v/>
      </c>
      <c r="AC1801" t="str">
        <f>IF([2]Baskol!$N$1804="","",[2]Baskol!$N$1804)</f>
        <v/>
      </c>
      <c r="AD1801" t="str">
        <f>IF([2]Baskol!$O$1804="","",[2]Baskol!$O$1804)</f>
        <v/>
      </c>
      <c r="AE1801" t="str">
        <f>IF([3]Entry!$C$1804="","",[3]Entry!$C$1804)</f>
        <v/>
      </c>
      <c r="AF1801" t="str">
        <f>IF([3]Entry!$D$1804="","",[3]Entry!$D$1804)</f>
        <v/>
      </c>
      <c r="AG1801" t="str">
        <f>IF([3]Entry!$E$1804="","",[3]Entry!$E$1804)</f>
        <v/>
      </c>
      <c r="AH1801" t="str">
        <f>IF([3]Entry!$G$1804="","",[3]Entry!$G$1804)</f>
        <v/>
      </c>
      <c r="AI1801" t="str">
        <f>IF([3]Entry!$K$1804="","",[3]Entry!$K$1804)</f>
        <v/>
      </c>
      <c r="AJ1801" t="str">
        <f>IF([3]Entry!$L$1804="","",[3]Entry!$L$1804)</f>
        <v/>
      </c>
      <c r="AK1801" t="str">
        <f>IF([3]Entry!$M$1804="","",[3]Entry!$M$1804)</f>
        <v/>
      </c>
      <c r="AL1801" t="str">
        <f>IF([3]Entry!$N$1804="","",[3]Entry!$N$1804)</f>
        <v/>
      </c>
      <c r="AM1801" t="str">
        <f>IF([3]Entry!$R$1804="","",[3]Entry!$R$1804)</f>
        <v/>
      </c>
    </row>
    <row r="1802" spans="20:39" x14ac:dyDescent="0.2">
      <c r="T1802" t="str">
        <f>IF([2]Baskol!$B$1805="","",[2]Baskol!$B$1805)</f>
        <v/>
      </c>
      <c r="U1802" t="str">
        <f>IF([2]Baskol!$C$1805="","",[2]Baskol!$C$1805)</f>
        <v/>
      </c>
      <c r="V1802" t="str">
        <f>IF([2]Baskol!$D$1805="","",[2]Baskol!$D$1805)</f>
        <v/>
      </c>
      <c r="W1802" t="str">
        <f>IF([2]Baskol!$E$1805="","",[2]Baskol!$E$1805)</f>
        <v/>
      </c>
      <c r="X1802" t="str">
        <f>IF([2]Baskol!$G$1805="","",[2]Baskol!$G$1805)</f>
        <v/>
      </c>
      <c r="Y1802" t="str">
        <f>IF([2]Baskol!$I$1805="","",[2]Baskol!$I$1805)</f>
        <v/>
      </c>
      <c r="Z1802" t="str">
        <f>IF([2]Baskol!$J$1805="","",[2]Baskol!$J$1805)</f>
        <v/>
      </c>
      <c r="AA1802" t="str">
        <f>IF([2]Baskol!$K$1805="","",[2]Baskol!$K$1805)</f>
        <v/>
      </c>
      <c r="AB1802" t="str">
        <f>IF([2]Baskol!$L$1805="","",[2]Baskol!$L$1805)</f>
        <v/>
      </c>
      <c r="AC1802" t="str">
        <f>IF([2]Baskol!$N$1805="","",[2]Baskol!$N$1805)</f>
        <v/>
      </c>
      <c r="AD1802" t="str">
        <f>IF([2]Baskol!$O$1805="","",[2]Baskol!$O$1805)</f>
        <v/>
      </c>
      <c r="AE1802" t="str">
        <f>IF([3]Entry!$C$1805="","",[3]Entry!$C$1805)</f>
        <v/>
      </c>
      <c r="AF1802" t="str">
        <f>IF([3]Entry!$D$1805="","",[3]Entry!$D$1805)</f>
        <v/>
      </c>
      <c r="AG1802" t="str">
        <f>IF([3]Entry!$E$1805="","",[3]Entry!$E$1805)</f>
        <v/>
      </c>
      <c r="AH1802" t="str">
        <f>IF([3]Entry!$G$1805="","",[3]Entry!$G$1805)</f>
        <v/>
      </c>
      <c r="AI1802" t="str">
        <f>IF([3]Entry!$K$1805="","",[3]Entry!$K$1805)</f>
        <v/>
      </c>
      <c r="AJ1802" t="str">
        <f>IF([3]Entry!$L$1805="","",[3]Entry!$L$1805)</f>
        <v/>
      </c>
      <c r="AK1802" t="str">
        <f>IF([3]Entry!$M$1805="","",[3]Entry!$M$1805)</f>
        <v/>
      </c>
      <c r="AL1802" t="str">
        <f>IF([3]Entry!$N$1805="","",[3]Entry!$N$1805)</f>
        <v/>
      </c>
      <c r="AM1802" t="str">
        <f>IF([3]Entry!$R$1805="","",[3]Entry!$R$1805)</f>
        <v/>
      </c>
    </row>
    <row r="1803" spans="20:39" x14ac:dyDescent="0.2">
      <c r="T1803" t="str">
        <f>IF([2]Baskol!$B$1806="","",[2]Baskol!$B$1806)</f>
        <v/>
      </c>
      <c r="U1803" t="str">
        <f>IF([2]Baskol!$C$1806="","",[2]Baskol!$C$1806)</f>
        <v/>
      </c>
      <c r="V1803" t="str">
        <f>IF([2]Baskol!$D$1806="","",[2]Baskol!$D$1806)</f>
        <v/>
      </c>
      <c r="W1803" t="str">
        <f>IF([2]Baskol!$E$1806="","",[2]Baskol!$E$1806)</f>
        <v/>
      </c>
      <c r="X1803" t="str">
        <f>IF([2]Baskol!$G$1806="","",[2]Baskol!$G$1806)</f>
        <v/>
      </c>
      <c r="Y1803" t="str">
        <f>IF([2]Baskol!$I$1806="","",[2]Baskol!$I$1806)</f>
        <v/>
      </c>
      <c r="Z1803" t="str">
        <f>IF([2]Baskol!$J$1806="","",[2]Baskol!$J$1806)</f>
        <v/>
      </c>
      <c r="AA1803" t="str">
        <f>IF([2]Baskol!$K$1806="","",[2]Baskol!$K$1806)</f>
        <v/>
      </c>
      <c r="AB1803" t="str">
        <f>IF([2]Baskol!$L$1806="","",[2]Baskol!$L$1806)</f>
        <v/>
      </c>
      <c r="AC1803" t="str">
        <f>IF([2]Baskol!$N$1806="","",[2]Baskol!$N$1806)</f>
        <v/>
      </c>
      <c r="AD1803" t="str">
        <f>IF([2]Baskol!$O$1806="","",[2]Baskol!$O$1806)</f>
        <v/>
      </c>
      <c r="AE1803" t="str">
        <f>IF([3]Entry!$C$1806="","",[3]Entry!$C$1806)</f>
        <v/>
      </c>
      <c r="AF1803" t="str">
        <f>IF([3]Entry!$D$1806="","",[3]Entry!$D$1806)</f>
        <v/>
      </c>
      <c r="AG1803" t="str">
        <f>IF([3]Entry!$E$1806="","",[3]Entry!$E$1806)</f>
        <v/>
      </c>
      <c r="AH1803" t="str">
        <f>IF([3]Entry!$G$1806="","",[3]Entry!$G$1806)</f>
        <v/>
      </c>
      <c r="AI1803" t="str">
        <f>IF([3]Entry!$K$1806="","",[3]Entry!$K$1806)</f>
        <v/>
      </c>
      <c r="AJ1803" t="str">
        <f>IF([3]Entry!$L$1806="","",[3]Entry!$L$1806)</f>
        <v/>
      </c>
      <c r="AK1803" t="str">
        <f>IF([3]Entry!$M$1806="","",[3]Entry!$M$1806)</f>
        <v/>
      </c>
      <c r="AL1803" t="str">
        <f>IF([3]Entry!$N$1806="","",[3]Entry!$N$1806)</f>
        <v/>
      </c>
      <c r="AM1803" t="str">
        <f>IF([3]Entry!$R$1806="","",[3]Entry!$R$1806)</f>
        <v/>
      </c>
    </row>
    <row r="1804" spans="20:39" x14ac:dyDescent="0.2">
      <c r="T1804" t="str">
        <f>IF([2]Baskol!$B$1807="","",[2]Baskol!$B$1807)</f>
        <v/>
      </c>
      <c r="U1804" t="str">
        <f>IF([2]Baskol!$C$1807="","",[2]Baskol!$C$1807)</f>
        <v/>
      </c>
      <c r="V1804" t="str">
        <f>IF([2]Baskol!$D$1807="","",[2]Baskol!$D$1807)</f>
        <v/>
      </c>
      <c r="W1804" t="str">
        <f>IF([2]Baskol!$E$1807="","",[2]Baskol!$E$1807)</f>
        <v/>
      </c>
      <c r="X1804" t="str">
        <f>IF([2]Baskol!$G$1807="","",[2]Baskol!$G$1807)</f>
        <v/>
      </c>
      <c r="Y1804" t="str">
        <f>IF([2]Baskol!$I$1807="","",[2]Baskol!$I$1807)</f>
        <v/>
      </c>
      <c r="Z1804" t="str">
        <f>IF([2]Baskol!$J$1807="","",[2]Baskol!$J$1807)</f>
        <v/>
      </c>
      <c r="AA1804" t="str">
        <f>IF([2]Baskol!$K$1807="","",[2]Baskol!$K$1807)</f>
        <v/>
      </c>
      <c r="AB1804" t="str">
        <f>IF([2]Baskol!$L$1807="","",[2]Baskol!$L$1807)</f>
        <v/>
      </c>
      <c r="AC1804" t="str">
        <f>IF([2]Baskol!$N$1807="","",[2]Baskol!$N$1807)</f>
        <v/>
      </c>
      <c r="AD1804" t="str">
        <f>IF([2]Baskol!$O$1807="","",[2]Baskol!$O$1807)</f>
        <v/>
      </c>
      <c r="AE1804" t="str">
        <f>IF([3]Entry!$C$1807="","",[3]Entry!$C$1807)</f>
        <v/>
      </c>
      <c r="AF1804" t="str">
        <f>IF([3]Entry!$D$1807="","",[3]Entry!$D$1807)</f>
        <v/>
      </c>
      <c r="AG1804" t="str">
        <f>IF([3]Entry!$E$1807="","",[3]Entry!$E$1807)</f>
        <v/>
      </c>
      <c r="AH1804" t="str">
        <f>IF([3]Entry!$G$1807="","",[3]Entry!$G$1807)</f>
        <v/>
      </c>
      <c r="AI1804" t="str">
        <f>IF([3]Entry!$K$1807="","",[3]Entry!$K$1807)</f>
        <v/>
      </c>
      <c r="AJ1804" t="str">
        <f>IF([3]Entry!$L$1807="","",[3]Entry!$L$1807)</f>
        <v/>
      </c>
      <c r="AK1804" t="str">
        <f>IF([3]Entry!$M$1807="","",[3]Entry!$M$1807)</f>
        <v/>
      </c>
      <c r="AL1804" t="str">
        <f>IF([3]Entry!$N$1807="","",[3]Entry!$N$1807)</f>
        <v/>
      </c>
      <c r="AM1804" t="str">
        <f>IF([3]Entry!$R$1807="","",[3]Entry!$R$1807)</f>
        <v/>
      </c>
    </row>
    <row r="1805" spans="20:39" x14ac:dyDescent="0.2">
      <c r="T1805" t="str">
        <f>IF([2]Baskol!$B$1808="","",[2]Baskol!$B$1808)</f>
        <v/>
      </c>
      <c r="U1805" t="str">
        <f>IF([2]Baskol!$C$1808="","",[2]Baskol!$C$1808)</f>
        <v/>
      </c>
      <c r="V1805" t="str">
        <f>IF([2]Baskol!$D$1808="","",[2]Baskol!$D$1808)</f>
        <v/>
      </c>
      <c r="W1805" t="str">
        <f>IF([2]Baskol!$E$1808="","",[2]Baskol!$E$1808)</f>
        <v/>
      </c>
      <c r="X1805" t="str">
        <f>IF([2]Baskol!$G$1808="","",[2]Baskol!$G$1808)</f>
        <v/>
      </c>
      <c r="Y1805" t="str">
        <f>IF([2]Baskol!$I$1808="","",[2]Baskol!$I$1808)</f>
        <v/>
      </c>
      <c r="Z1805" t="str">
        <f>IF([2]Baskol!$J$1808="","",[2]Baskol!$J$1808)</f>
        <v/>
      </c>
      <c r="AA1805" t="str">
        <f>IF([2]Baskol!$K$1808="","",[2]Baskol!$K$1808)</f>
        <v/>
      </c>
      <c r="AB1805" t="str">
        <f>IF([2]Baskol!$L$1808="","",[2]Baskol!$L$1808)</f>
        <v/>
      </c>
      <c r="AC1805" t="str">
        <f>IF([2]Baskol!$N$1808="","",[2]Baskol!$N$1808)</f>
        <v/>
      </c>
      <c r="AD1805" t="str">
        <f>IF([2]Baskol!$O$1808="","",[2]Baskol!$O$1808)</f>
        <v/>
      </c>
      <c r="AE1805" t="str">
        <f>IF([3]Entry!$C$1808="","",[3]Entry!$C$1808)</f>
        <v/>
      </c>
      <c r="AF1805" t="str">
        <f>IF([3]Entry!$D$1808="","",[3]Entry!$D$1808)</f>
        <v/>
      </c>
      <c r="AG1805" t="str">
        <f>IF([3]Entry!$E$1808="","",[3]Entry!$E$1808)</f>
        <v/>
      </c>
      <c r="AH1805" t="str">
        <f>IF([3]Entry!$G$1808="","",[3]Entry!$G$1808)</f>
        <v/>
      </c>
      <c r="AI1805" t="str">
        <f>IF([3]Entry!$K$1808="","",[3]Entry!$K$1808)</f>
        <v/>
      </c>
      <c r="AJ1805" t="str">
        <f>IF([3]Entry!$L$1808="","",[3]Entry!$L$1808)</f>
        <v/>
      </c>
      <c r="AK1805" t="str">
        <f>IF([3]Entry!$M$1808="","",[3]Entry!$M$1808)</f>
        <v/>
      </c>
      <c r="AL1805" t="str">
        <f>IF([3]Entry!$N$1808="","",[3]Entry!$N$1808)</f>
        <v/>
      </c>
      <c r="AM1805" t="str">
        <f>IF([3]Entry!$R$1808="","",[3]Entry!$R$1808)</f>
        <v/>
      </c>
    </row>
    <row r="1806" spans="20:39" x14ac:dyDescent="0.2">
      <c r="T1806" t="str">
        <f>IF([2]Baskol!$B$1809="","",[2]Baskol!$B$1809)</f>
        <v/>
      </c>
      <c r="U1806" t="str">
        <f>IF([2]Baskol!$C$1809="","",[2]Baskol!$C$1809)</f>
        <v/>
      </c>
      <c r="V1806" t="str">
        <f>IF([2]Baskol!$D$1809="","",[2]Baskol!$D$1809)</f>
        <v/>
      </c>
      <c r="W1806" t="str">
        <f>IF([2]Baskol!$E$1809="","",[2]Baskol!$E$1809)</f>
        <v/>
      </c>
      <c r="X1806" t="str">
        <f>IF([2]Baskol!$G$1809="","",[2]Baskol!$G$1809)</f>
        <v/>
      </c>
      <c r="Y1806" t="str">
        <f>IF([2]Baskol!$I$1809="","",[2]Baskol!$I$1809)</f>
        <v/>
      </c>
      <c r="Z1806" t="str">
        <f>IF([2]Baskol!$J$1809="","",[2]Baskol!$J$1809)</f>
        <v/>
      </c>
      <c r="AA1806" t="str">
        <f>IF([2]Baskol!$K$1809="","",[2]Baskol!$K$1809)</f>
        <v/>
      </c>
      <c r="AB1806" t="str">
        <f>IF([2]Baskol!$L$1809="","",[2]Baskol!$L$1809)</f>
        <v/>
      </c>
      <c r="AC1806" t="str">
        <f>IF([2]Baskol!$N$1809="","",[2]Baskol!$N$1809)</f>
        <v/>
      </c>
      <c r="AD1806" t="str">
        <f>IF([2]Baskol!$O$1809="","",[2]Baskol!$O$1809)</f>
        <v/>
      </c>
      <c r="AE1806" t="str">
        <f>IF([3]Entry!$C$1809="","",[3]Entry!$C$1809)</f>
        <v/>
      </c>
      <c r="AF1806" t="str">
        <f>IF([3]Entry!$D$1809="","",[3]Entry!$D$1809)</f>
        <v/>
      </c>
      <c r="AG1806" t="str">
        <f>IF([3]Entry!$E$1809="","",[3]Entry!$E$1809)</f>
        <v/>
      </c>
      <c r="AH1806" t="str">
        <f>IF([3]Entry!$G$1809="","",[3]Entry!$G$1809)</f>
        <v/>
      </c>
      <c r="AI1806" t="str">
        <f>IF([3]Entry!$K$1809="","",[3]Entry!$K$1809)</f>
        <v/>
      </c>
      <c r="AJ1806" t="str">
        <f>IF([3]Entry!$L$1809="","",[3]Entry!$L$1809)</f>
        <v/>
      </c>
      <c r="AK1806" t="str">
        <f>IF([3]Entry!$M$1809="","",[3]Entry!$M$1809)</f>
        <v/>
      </c>
      <c r="AL1806" t="str">
        <f>IF([3]Entry!$N$1809="","",[3]Entry!$N$1809)</f>
        <v/>
      </c>
      <c r="AM1806" t="str">
        <f>IF([3]Entry!$R$1809="","",[3]Entry!$R$1809)</f>
        <v/>
      </c>
    </row>
    <row r="1807" spans="20:39" x14ac:dyDescent="0.2">
      <c r="T1807" t="str">
        <f>IF([2]Baskol!$B$1810="","",[2]Baskol!$B$1810)</f>
        <v/>
      </c>
      <c r="U1807" t="str">
        <f>IF([2]Baskol!$C$1810="","",[2]Baskol!$C$1810)</f>
        <v/>
      </c>
      <c r="V1807" t="str">
        <f>IF([2]Baskol!$D$1810="","",[2]Baskol!$D$1810)</f>
        <v/>
      </c>
      <c r="W1807" t="str">
        <f>IF([2]Baskol!$E$1810="","",[2]Baskol!$E$1810)</f>
        <v/>
      </c>
      <c r="X1807" t="str">
        <f>IF([2]Baskol!$G$1810="","",[2]Baskol!$G$1810)</f>
        <v/>
      </c>
      <c r="Y1807" t="str">
        <f>IF([2]Baskol!$I$1810="","",[2]Baskol!$I$1810)</f>
        <v/>
      </c>
      <c r="Z1807" t="str">
        <f>IF([2]Baskol!$J$1810="","",[2]Baskol!$J$1810)</f>
        <v/>
      </c>
      <c r="AA1807" t="str">
        <f>IF([2]Baskol!$K$1810="","",[2]Baskol!$K$1810)</f>
        <v/>
      </c>
      <c r="AB1807" t="str">
        <f>IF([2]Baskol!$L$1810="","",[2]Baskol!$L$1810)</f>
        <v/>
      </c>
      <c r="AC1807" t="str">
        <f>IF([2]Baskol!$N$1810="","",[2]Baskol!$N$1810)</f>
        <v/>
      </c>
      <c r="AD1807" t="str">
        <f>IF([2]Baskol!$O$1810="","",[2]Baskol!$O$1810)</f>
        <v/>
      </c>
      <c r="AE1807" t="str">
        <f>IF([3]Entry!$C$1810="","",[3]Entry!$C$1810)</f>
        <v/>
      </c>
      <c r="AF1807" t="str">
        <f>IF([3]Entry!$D$1810="","",[3]Entry!$D$1810)</f>
        <v/>
      </c>
      <c r="AG1807" t="str">
        <f>IF([3]Entry!$E$1810="","",[3]Entry!$E$1810)</f>
        <v/>
      </c>
      <c r="AH1807" t="str">
        <f>IF([3]Entry!$G$1810="","",[3]Entry!$G$1810)</f>
        <v/>
      </c>
      <c r="AI1807" t="str">
        <f>IF([3]Entry!$K$1810="","",[3]Entry!$K$1810)</f>
        <v/>
      </c>
      <c r="AJ1807" t="str">
        <f>IF([3]Entry!$L$1810="","",[3]Entry!$L$1810)</f>
        <v/>
      </c>
      <c r="AK1807" t="str">
        <f>IF([3]Entry!$M$1810="","",[3]Entry!$M$1810)</f>
        <v/>
      </c>
      <c r="AL1807" t="str">
        <f>IF([3]Entry!$N$1810="","",[3]Entry!$N$1810)</f>
        <v/>
      </c>
      <c r="AM1807" t="str">
        <f>IF([3]Entry!$R$1810="","",[3]Entry!$R$1810)</f>
        <v/>
      </c>
    </row>
    <row r="1808" spans="20:39" x14ac:dyDescent="0.2">
      <c r="T1808" t="str">
        <f>IF([2]Baskol!$B$1811="","",[2]Baskol!$B$1811)</f>
        <v/>
      </c>
      <c r="U1808" t="str">
        <f>IF([2]Baskol!$C$1811="","",[2]Baskol!$C$1811)</f>
        <v/>
      </c>
      <c r="V1808" t="str">
        <f>IF([2]Baskol!$D$1811="","",[2]Baskol!$D$1811)</f>
        <v/>
      </c>
      <c r="W1808" t="str">
        <f>IF([2]Baskol!$E$1811="","",[2]Baskol!$E$1811)</f>
        <v/>
      </c>
      <c r="X1808" t="str">
        <f>IF([2]Baskol!$G$1811="","",[2]Baskol!$G$1811)</f>
        <v/>
      </c>
      <c r="Y1808" t="str">
        <f>IF([2]Baskol!$I$1811="","",[2]Baskol!$I$1811)</f>
        <v/>
      </c>
      <c r="Z1808" t="str">
        <f>IF([2]Baskol!$J$1811="","",[2]Baskol!$J$1811)</f>
        <v/>
      </c>
      <c r="AA1808" t="str">
        <f>IF([2]Baskol!$K$1811="","",[2]Baskol!$K$1811)</f>
        <v/>
      </c>
      <c r="AB1808" t="str">
        <f>IF([2]Baskol!$L$1811="","",[2]Baskol!$L$1811)</f>
        <v/>
      </c>
      <c r="AC1808" t="str">
        <f>IF([2]Baskol!$N$1811="","",[2]Baskol!$N$1811)</f>
        <v/>
      </c>
      <c r="AD1808" t="str">
        <f>IF([2]Baskol!$O$1811="","",[2]Baskol!$O$1811)</f>
        <v/>
      </c>
      <c r="AE1808" t="str">
        <f>IF([3]Entry!$C$1811="","",[3]Entry!$C$1811)</f>
        <v/>
      </c>
      <c r="AF1808" t="str">
        <f>IF([3]Entry!$D$1811="","",[3]Entry!$D$1811)</f>
        <v/>
      </c>
      <c r="AG1808" t="str">
        <f>IF([3]Entry!$E$1811="","",[3]Entry!$E$1811)</f>
        <v/>
      </c>
      <c r="AH1808" t="str">
        <f>IF([3]Entry!$G$1811="","",[3]Entry!$G$1811)</f>
        <v/>
      </c>
      <c r="AI1808" t="str">
        <f>IF([3]Entry!$K$1811="","",[3]Entry!$K$1811)</f>
        <v/>
      </c>
      <c r="AJ1808" t="str">
        <f>IF([3]Entry!$L$1811="","",[3]Entry!$L$1811)</f>
        <v/>
      </c>
      <c r="AK1808" t="str">
        <f>IF([3]Entry!$M$1811="","",[3]Entry!$M$1811)</f>
        <v/>
      </c>
      <c r="AL1808" t="str">
        <f>IF([3]Entry!$N$1811="","",[3]Entry!$N$1811)</f>
        <v/>
      </c>
      <c r="AM1808" t="str">
        <f>IF([3]Entry!$R$1811="","",[3]Entry!$R$1811)</f>
        <v/>
      </c>
    </row>
    <row r="1809" spans="20:39" x14ac:dyDescent="0.2">
      <c r="T1809" t="str">
        <f>IF([2]Baskol!$B$1812="","",[2]Baskol!$B$1812)</f>
        <v/>
      </c>
      <c r="U1809" t="str">
        <f>IF([2]Baskol!$C$1812="","",[2]Baskol!$C$1812)</f>
        <v/>
      </c>
      <c r="V1809" t="str">
        <f>IF([2]Baskol!$D$1812="","",[2]Baskol!$D$1812)</f>
        <v/>
      </c>
      <c r="W1809" t="str">
        <f>IF([2]Baskol!$E$1812="","",[2]Baskol!$E$1812)</f>
        <v/>
      </c>
      <c r="X1809" t="str">
        <f>IF([2]Baskol!$G$1812="","",[2]Baskol!$G$1812)</f>
        <v/>
      </c>
      <c r="Y1809" t="str">
        <f>IF([2]Baskol!$I$1812="","",[2]Baskol!$I$1812)</f>
        <v/>
      </c>
      <c r="Z1809" t="str">
        <f>IF([2]Baskol!$J$1812="","",[2]Baskol!$J$1812)</f>
        <v/>
      </c>
      <c r="AA1809" t="str">
        <f>IF([2]Baskol!$K$1812="","",[2]Baskol!$K$1812)</f>
        <v/>
      </c>
      <c r="AB1809" t="str">
        <f>IF([2]Baskol!$L$1812="","",[2]Baskol!$L$1812)</f>
        <v/>
      </c>
      <c r="AC1809" t="str">
        <f>IF([2]Baskol!$N$1812="","",[2]Baskol!$N$1812)</f>
        <v/>
      </c>
      <c r="AD1809" t="str">
        <f>IF([2]Baskol!$O$1812="","",[2]Baskol!$O$1812)</f>
        <v/>
      </c>
      <c r="AE1809" t="str">
        <f>IF([3]Entry!$C$1812="","",[3]Entry!$C$1812)</f>
        <v/>
      </c>
      <c r="AF1809" t="str">
        <f>IF([3]Entry!$D$1812="","",[3]Entry!$D$1812)</f>
        <v/>
      </c>
      <c r="AG1809" t="str">
        <f>IF([3]Entry!$E$1812="","",[3]Entry!$E$1812)</f>
        <v/>
      </c>
      <c r="AH1809" t="str">
        <f>IF([3]Entry!$G$1812="","",[3]Entry!$G$1812)</f>
        <v/>
      </c>
      <c r="AI1809" t="str">
        <f>IF([3]Entry!$K$1812="","",[3]Entry!$K$1812)</f>
        <v/>
      </c>
      <c r="AJ1809" t="str">
        <f>IF([3]Entry!$L$1812="","",[3]Entry!$L$1812)</f>
        <v/>
      </c>
      <c r="AK1809" t="str">
        <f>IF([3]Entry!$M$1812="","",[3]Entry!$M$1812)</f>
        <v/>
      </c>
      <c r="AL1809" t="str">
        <f>IF([3]Entry!$N$1812="","",[3]Entry!$N$1812)</f>
        <v/>
      </c>
      <c r="AM1809" t="str">
        <f>IF([3]Entry!$R$1812="","",[3]Entry!$R$1812)</f>
        <v/>
      </c>
    </row>
    <row r="1810" spans="20:39" x14ac:dyDescent="0.2">
      <c r="T1810" t="str">
        <f>IF([2]Baskol!$B$1813="","",[2]Baskol!$B$1813)</f>
        <v/>
      </c>
      <c r="U1810" t="str">
        <f>IF([2]Baskol!$C$1813="","",[2]Baskol!$C$1813)</f>
        <v/>
      </c>
      <c r="V1810" t="str">
        <f>IF([2]Baskol!$D$1813="","",[2]Baskol!$D$1813)</f>
        <v/>
      </c>
      <c r="W1810" t="str">
        <f>IF([2]Baskol!$E$1813="","",[2]Baskol!$E$1813)</f>
        <v/>
      </c>
      <c r="X1810" t="str">
        <f>IF([2]Baskol!$G$1813="","",[2]Baskol!$G$1813)</f>
        <v/>
      </c>
      <c r="Y1810" t="str">
        <f>IF([2]Baskol!$I$1813="","",[2]Baskol!$I$1813)</f>
        <v/>
      </c>
      <c r="Z1810" t="str">
        <f>IF([2]Baskol!$J$1813="","",[2]Baskol!$J$1813)</f>
        <v/>
      </c>
      <c r="AA1810" t="str">
        <f>IF([2]Baskol!$K$1813="","",[2]Baskol!$K$1813)</f>
        <v/>
      </c>
      <c r="AB1810" t="str">
        <f>IF([2]Baskol!$L$1813="","",[2]Baskol!$L$1813)</f>
        <v/>
      </c>
      <c r="AC1810" t="str">
        <f>IF([2]Baskol!$N$1813="","",[2]Baskol!$N$1813)</f>
        <v/>
      </c>
      <c r="AD1810" t="str">
        <f>IF([2]Baskol!$O$1813="","",[2]Baskol!$O$1813)</f>
        <v/>
      </c>
      <c r="AE1810" t="str">
        <f>IF([3]Entry!$C$1813="","",[3]Entry!$C$1813)</f>
        <v/>
      </c>
      <c r="AF1810" t="str">
        <f>IF([3]Entry!$D$1813="","",[3]Entry!$D$1813)</f>
        <v/>
      </c>
      <c r="AG1810" t="str">
        <f>IF([3]Entry!$E$1813="","",[3]Entry!$E$1813)</f>
        <v/>
      </c>
      <c r="AH1810" t="str">
        <f>IF([3]Entry!$G$1813="","",[3]Entry!$G$1813)</f>
        <v/>
      </c>
      <c r="AI1810" t="str">
        <f>IF([3]Entry!$K$1813="","",[3]Entry!$K$1813)</f>
        <v/>
      </c>
      <c r="AJ1810" t="str">
        <f>IF([3]Entry!$L$1813="","",[3]Entry!$L$1813)</f>
        <v/>
      </c>
      <c r="AK1810" t="str">
        <f>IF([3]Entry!$M$1813="","",[3]Entry!$M$1813)</f>
        <v/>
      </c>
      <c r="AL1810" t="str">
        <f>IF([3]Entry!$N$1813="","",[3]Entry!$N$1813)</f>
        <v/>
      </c>
      <c r="AM1810" t="str">
        <f>IF([3]Entry!$R$1813="","",[3]Entry!$R$1813)</f>
        <v/>
      </c>
    </row>
    <row r="1811" spans="20:39" x14ac:dyDescent="0.2">
      <c r="T1811" t="str">
        <f>IF([2]Baskol!$B$1814="","",[2]Baskol!$B$1814)</f>
        <v/>
      </c>
      <c r="U1811" t="str">
        <f>IF([2]Baskol!$C$1814="","",[2]Baskol!$C$1814)</f>
        <v/>
      </c>
      <c r="V1811" t="str">
        <f>IF([2]Baskol!$D$1814="","",[2]Baskol!$D$1814)</f>
        <v/>
      </c>
      <c r="W1811" t="str">
        <f>IF([2]Baskol!$E$1814="","",[2]Baskol!$E$1814)</f>
        <v/>
      </c>
      <c r="X1811" t="str">
        <f>IF([2]Baskol!$G$1814="","",[2]Baskol!$G$1814)</f>
        <v/>
      </c>
      <c r="Y1811" t="str">
        <f>IF([2]Baskol!$I$1814="","",[2]Baskol!$I$1814)</f>
        <v/>
      </c>
      <c r="Z1811" t="str">
        <f>IF([2]Baskol!$J$1814="","",[2]Baskol!$J$1814)</f>
        <v/>
      </c>
      <c r="AA1811" t="str">
        <f>IF([2]Baskol!$K$1814="","",[2]Baskol!$K$1814)</f>
        <v/>
      </c>
      <c r="AB1811" t="str">
        <f>IF([2]Baskol!$L$1814="","",[2]Baskol!$L$1814)</f>
        <v/>
      </c>
      <c r="AC1811" t="str">
        <f>IF([2]Baskol!$N$1814="","",[2]Baskol!$N$1814)</f>
        <v/>
      </c>
      <c r="AD1811" t="str">
        <f>IF([2]Baskol!$O$1814="","",[2]Baskol!$O$1814)</f>
        <v/>
      </c>
      <c r="AE1811" t="str">
        <f>IF([3]Entry!$C$1814="","",[3]Entry!$C$1814)</f>
        <v/>
      </c>
      <c r="AF1811" t="str">
        <f>IF([3]Entry!$D$1814="","",[3]Entry!$D$1814)</f>
        <v/>
      </c>
      <c r="AG1811" t="str">
        <f>IF([3]Entry!$E$1814="","",[3]Entry!$E$1814)</f>
        <v/>
      </c>
      <c r="AH1811" t="str">
        <f>IF([3]Entry!$G$1814="","",[3]Entry!$G$1814)</f>
        <v/>
      </c>
      <c r="AI1811" t="str">
        <f>IF([3]Entry!$K$1814="","",[3]Entry!$K$1814)</f>
        <v/>
      </c>
      <c r="AJ1811" t="str">
        <f>IF([3]Entry!$L$1814="","",[3]Entry!$L$1814)</f>
        <v/>
      </c>
      <c r="AK1811" t="str">
        <f>IF([3]Entry!$M$1814="","",[3]Entry!$M$1814)</f>
        <v/>
      </c>
      <c r="AL1811" t="str">
        <f>IF([3]Entry!$N$1814="","",[3]Entry!$N$1814)</f>
        <v/>
      </c>
      <c r="AM1811" t="str">
        <f>IF([3]Entry!$R$1814="","",[3]Entry!$R$1814)</f>
        <v/>
      </c>
    </row>
    <row r="1812" spans="20:39" x14ac:dyDescent="0.2">
      <c r="T1812" t="str">
        <f>IF([2]Baskol!$B$1815="","",[2]Baskol!$B$1815)</f>
        <v/>
      </c>
      <c r="U1812" t="str">
        <f>IF([2]Baskol!$C$1815="","",[2]Baskol!$C$1815)</f>
        <v/>
      </c>
      <c r="V1812" t="str">
        <f>IF([2]Baskol!$D$1815="","",[2]Baskol!$D$1815)</f>
        <v/>
      </c>
      <c r="W1812" t="str">
        <f>IF([2]Baskol!$E$1815="","",[2]Baskol!$E$1815)</f>
        <v/>
      </c>
      <c r="X1812" t="str">
        <f>IF([2]Baskol!$G$1815="","",[2]Baskol!$G$1815)</f>
        <v/>
      </c>
      <c r="Y1812" t="str">
        <f>IF([2]Baskol!$I$1815="","",[2]Baskol!$I$1815)</f>
        <v/>
      </c>
      <c r="Z1812" t="str">
        <f>IF([2]Baskol!$J$1815="","",[2]Baskol!$J$1815)</f>
        <v/>
      </c>
      <c r="AA1812" t="str">
        <f>IF([2]Baskol!$K$1815="","",[2]Baskol!$K$1815)</f>
        <v/>
      </c>
      <c r="AB1812" t="str">
        <f>IF([2]Baskol!$L$1815="","",[2]Baskol!$L$1815)</f>
        <v/>
      </c>
      <c r="AC1812" t="str">
        <f>IF([2]Baskol!$N$1815="","",[2]Baskol!$N$1815)</f>
        <v/>
      </c>
      <c r="AD1812" t="str">
        <f>IF([2]Baskol!$O$1815="","",[2]Baskol!$O$1815)</f>
        <v/>
      </c>
      <c r="AE1812" t="str">
        <f>IF([3]Entry!$C$1815="","",[3]Entry!$C$1815)</f>
        <v/>
      </c>
      <c r="AF1812" t="str">
        <f>IF([3]Entry!$D$1815="","",[3]Entry!$D$1815)</f>
        <v/>
      </c>
      <c r="AG1812" t="str">
        <f>IF([3]Entry!$E$1815="","",[3]Entry!$E$1815)</f>
        <v/>
      </c>
      <c r="AH1812" t="str">
        <f>IF([3]Entry!$G$1815="","",[3]Entry!$G$1815)</f>
        <v/>
      </c>
      <c r="AI1812" t="str">
        <f>IF([3]Entry!$K$1815="","",[3]Entry!$K$1815)</f>
        <v/>
      </c>
      <c r="AJ1812" t="str">
        <f>IF([3]Entry!$L$1815="","",[3]Entry!$L$1815)</f>
        <v/>
      </c>
      <c r="AK1812" t="str">
        <f>IF([3]Entry!$M$1815="","",[3]Entry!$M$1815)</f>
        <v/>
      </c>
      <c r="AL1812" t="str">
        <f>IF([3]Entry!$N$1815="","",[3]Entry!$N$1815)</f>
        <v/>
      </c>
      <c r="AM1812" t="str">
        <f>IF([3]Entry!$R$1815="","",[3]Entry!$R$1815)</f>
        <v/>
      </c>
    </row>
    <row r="1813" spans="20:39" x14ac:dyDescent="0.2">
      <c r="T1813" t="str">
        <f>IF([2]Baskol!$B$1816="","",[2]Baskol!$B$1816)</f>
        <v/>
      </c>
      <c r="U1813" t="str">
        <f>IF([2]Baskol!$C$1816="","",[2]Baskol!$C$1816)</f>
        <v/>
      </c>
      <c r="V1813" t="str">
        <f>IF([2]Baskol!$D$1816="","",[2]Baskol!$D$1816)</f>
        <v/>
      </c>
      <c r="W1813" t="str">
        <f>IF([2]Baskol!$E$1816="","",[2]Baskol!$E$1816)</f>
        <v/>
      </c>
      <c r="X1813" t="str">
        <f>IF([2]Baskol!$G$1816="","",[2]Baskol!$G$1816)</f>
        <v/>
      </c>
      <c r="Y1813" t="str">
        <f>IF([2]Baskol!$I$1816="","",[2]Baskol!$I$1816)</f>
        <v/>
      </c>
      <c r="Z1813" t="str">
        <f>IF([2]Baskol!$J$1816="","",[2]Baskol!$J$1816)</f>
        <v/>
      </c>
      <c r="AA1813" t="str">
        <f>IF([2]Baskol!$K$1816="","",[2]Baskol!$K$1816)</f>
        <v/>
      </c>
      <c r="AB1813" t="str">
        <f>IF([2]Baskol!$L$1816="","",[2]Baskol!$L$1816)</f>
        <v/>
      </c>
      <c r="AC1813" t="str">
        <f>IF([2]Baskol!$N$1816="","",[2]Baskol!$N$1816)</f>
        <v/>
      </c>
      <c r="AD1813" t="str">
        <f>IF([2]Baskol!$O$1816="","",[2]Baskol!$O$1816)</f>
        <v/>
      </c>
      <c r="AE1813" t="str">
        <f>IF([3]Entry!$C$1816="","",[3]Entry!$C$1816)</f>
        <v/>
      </c>
      <c r="AF1813" t="str">
        <f>IF([3]Entry!$D$1816="","",[3]Entry!$D$1816)</f>
        <v/>
      </c>
      <c r="AG1813" t="str">
        <f>IF([3]Entry!$E$1816="","",[3]Entry!$E$1816)</f>
        <v/>
      </c>
      <c r="AH1813" t="str">
        <f>IF([3]Entry!$G$1816="","",[3]Entry!$G$1816)</f>
        <v/>
      </c>
      <c r="AI1813" t="str">
        <f>IF([3]Entry!$K$1816="","",[3]Entry!$K$1816)</f>
        <v/>
      </c>
      <c r="AJ1813" t="str">
        <f>IF([3]Entry!$L$1816="","",[3]Entry!$L$1816)</f>
        <v/>
      </c>
      <c r="AK1813" t="str">
        <f>IF([3]Entry!$M$1816="","",[3]Entry!$M$1816)</f>
        <v/>
      </c>
      <c r="AL1813" t="str">
        <f>IF([3]Entry!$N$1816="","",[3]Entry!$N$1816)</f>
        <v/>
      </c>
      <c r="AM1813" t="str">
        <f>IF([3]Entry!$R$1816="","",[3]Entry!$R$1816)</f>
        <v/>
      </c>
    </row>
    <row r="1814" spans="20:39" x14ac:dyDescent="0.2">
      <c r="T1814" t="str">
        <f>IF([2]Baskol!$B$1817="","",[2]Baskol!$B$1817)</f>
        <v/>
      </c>
      <c r="U1814" t="str">
        <f>IF([2]Baskol!$C$1817="","",[2]Baskol!$C$1817)</f>
        <v/>
      </c>
      <c r="V1814" t="str">
        <f>IF([2]Baskol!$D$1817="","",[2]Baskol!$D$1817)</f>
        <v/>
      </c>
      <c r="W1814" t="str">
        <f>IF([2]Baskol!$E$1817="","",[2]Baskol!$E$1817)</f>
        <v/>
      </c>
      <c r="X1814" t="str">
        <f>IF([2]Baskol!$G$1817="","",[2]Baskol!$G$1817)</f>
        <v/>
      </c>
      <c r="Y1814" t="str">
        <f>IF([2]Baskol!$I$1817="","",[2]Baskol!$I$1817)</f>
        <v/>
      </c>
      <c r="Z1814" t="str">
        <f>IF([2]Baskol!$J$1817="","",[2]Baskol!$J$1817)</f>
        <v/>
      </c>
      <c r="AA1814" t="str">
        <f>IF([2]Baskol!$K$1817="","",[2]Baskol!$K$1817)</f>
        <v/>
      </c>
      <c r="AB1814" t="str">
        <f>IF([2]Baskol!$L$1817="","",[2]Baskol!$L$1817)</f>
        <v/>
      </c>
      <c r="AC1814" t="str">
        <f>IF([2]Baskol!$N$1817="","",[2]Baskol!$N$1817)</f>
        <v/>
      </c>
      <c r="AD1814" t="str">
        <f>IF([2]Baskol!$O$1817="","",[2]Baskol!$O$1817)</f>
        <v/>
      </c>
      <c r="AE1814" t="str">
        <f>IF([3]Entry!$C$1817="","",[3]Entry!$C$1817)</f>
        <v/>
      </c>
      <c r="AF1814" t="str">
        <f>IF([3]Entry!$D$1817="","",[3]Entry!$D$1817)</f>
        <v/>
      </c>
      <c r="AG1814" t="str">
        <f>IF([3]Entry!$E$1817="","",[3]Entry!$E$1817)</f>
        <v/>
      </c>
      <c r="AH1814" t="str">
        <f>IF([3]Entry!$G$1817="","",[3]Entry!$G$1817)</f>
        <v/>
      </c>
      <c r="AI1814" t="str">
        <f>IF([3]Entry!$K$1817="","",[3]Entry!$K$1817)</f>
        <v/>
      </c>
      <c r="AJ1814" t="str">
        <f>IF([3]Entry!$L$1817="","",[3]Entry!$L$1817)</f>
        <v/>
      </c>
      <c r="AK1814" t="str">
        <f>IF([3]Entry!$M$1817="","",[3]Entry!$M$1817)</f>
        <v/>
      </c>
      <c r="AL1814" t="str">
        <f>IF([3]Entry!$N$1817="","",[3]Entry!$N$1817)</f>
        <v/>
      </c>
      <c r="AM1814" t="str">
        <f>IF([3]Entry!$R$1817="","",[3]Entry!$R$1817)</f>
        <v/>
      </c>
    </row>
    <row r="1815" spans="20:39" x14ac:dyDescent="0.2">
      <c r="T1815" t="str">
        <f>IF([2]Baskol!$B$1818="","",[2]Baskol!$B$1818)</f>
        <v/>
      </c>
      <c r="U1815" t="str">
        <f>IF([2]Baskol!$C$1818="","",[2]Baskol!$C$1818)</f>
        <v/>
      </c>
      <c r="V1815" t="str">
        <f>IF([2]Baskol!$D$1818="","",[2]Baskol!$D$1818)</f>
        <v/>
      </c>
      <c r="W1815" t="str">
        <f>IF([2]Baskol!$E$1818="","",[2]Baskol!$E$1818)</f>
        <v/>
      </c>
      <c r="X1815" t="str">
        <f>IF([2]Baskol!$G$1818="","",[2]Baskol!$G$1818)</f>
        <v/>
      </c>
      <c r="Y1815" t="str">
        <f>IF([2]Baskol!$I$1818="","",[2]Baskol!$I$1818)</f>
        <v/>
      </c>
      <c r="Z1815" t="str">
        <f>IF([2]Baskol!$J$1818="","",[2]Baskol!$J$1818)</f>
        <v/>
      </c>
      <c r="AA1815" t="str">
        <f>IF([2]Baskol!$K$1818="","",[2]Baskol!$K$1818)</f>
        <v/>
      </c>
      <c r="AB1815" t="str">
        <f>IF([2]Baskol!$L$1818="","",[2]Baskol!$L$1818)</f>
        <v/>
      </c>
      <c r="AC1815" t="str">
        <f>IF([2]Baskol!$N$1818="","",[2]Baskol!$N$1818)</f>
        <v/>
      </c>
      <c r="AD1815" t="str">
        <f>IF([2]Baskol!$O$1818="","",[2]Baskol!$O$1818)</f>
        <v/>
      </c>
      <c r="AE1815" t="str">
        <f>IF([3]Entry!$C$1818="","",[3]Entry!$C$1818)</f>
        <v/>
      </c>
      <c r="AF1815" t="str">
        <f>IF([3]Entry!$D$1818="","",[3]Entry!$D$1818)</f>
        <v/>
      </c>
      <c r="AG1815" t="str">
        <f>IF([3]Entry!$E$1818="","",[3]Entry!$E$1818)</f>
        <v/>
      </c>
      <c r="AH1815" t="str">
        <f>IF([3]Entry!$G$1818="","",[3]Entry!$G$1818)</f>
        <v/>
      </c>
      <c r="AI1815" t="str">
        <f>IF([3]Entry!$K$1818="","",[3]Entry!$K$1818)</f>
        <v/>
      </c>
      <c r="AJ1815" t="str">
        <f>IF([3]Entry!$L$1818="","",[3]Entry!$L$1818)</f>
        <v/>
      </c>
      <c r="AK1815" t="str">
        <f>IF([3]Entry!$M$1818="","",[3]Entry!$M$1818)</f>
        <v/>
      </c>
      <c r="AL1815" t="str">
        <f>IF([3]Entry!$N$1818="","",[3]Entry!$N$1818)</f>
        <v/>
      </c>
      <c r="AM1815" t="str">
        <f>IF([3]Entry!$R$1818="","",[3]Entry!$R$1818)</f>
        <v/>
      </c>
    </row>
    <row r="1816" spans="20:39" x14ac:dyDescent="0.2">
      <c r="T1816" t="str">
        <f>IF([2]Baskol!$B$1819="","",[2]Baskol!$B$1819)</f>
        <v/>
      </c>
      <c r="U1816" t="str">
        <f>IF([2]Baskol!$C$1819="","",[2]Baskol!$C$1819)</f>
        <v/>
      </c>
      <c r="V1816" t="str">
        <f>IF([2]Baskol!$D$1819="","",[2]Baskol!$D$1819)</f>
        <v/>
      </c>
      <c r="W1816" t="str">
        <f>IF([2]Baskol!$E$1819="","",[2]Baskol!$E$1819)</f>
        <v/>
      </c>
      <c r="X1816" t="str">
        <f>IF([2]Baskol!$G$1819="","",[2]Baskol!$G$1819)</f>
        <v/>
      </c>
      <c r="Y1816" t="str">
        <f>IF([2]Baskol!$I$1819="","",[2]Baskol!$I$1819)</f>
        <v/>
      </c>
      <c r="Z1816" t="str">
        <f>IF([2]Baskol!$J$1819="","",[2]Baskol!$J$1819)</f>
        <v/>
      </c>
      <c r="AA1816" t="str">
        <f>IF([2]Baskol!$K$1819="","",[2]Baskol!$K$1819)</f>
        <v/>
      </c>
      <c r="AB1816" t="str">
        <f>IF([2]Baskol!$L$1819="","",[2]Baskol!$L$1819)</f>
        <v/>
      </c>
      <c r="AC1816" t="str">
        <f>IF([2]Baskol!$N$1819="","",[2]Baskol!$N$1819)</f>
        <v/>
      </c>
      <c r="AD1816" t="str">
        <f>IF([2]Baskol!$O$1819="","",[2]Baskol!$O$1819)</f>
        <v/>
      </c>
      <c r="AE1816" t="str">
        <f>IF([3]Entry!$C$1819="","",[3]Entry!$C$1819)</f>
        <v/>
      </c>
      <c r="AF1816" t="str">
        <f>IF([3]Entry!$D$1819="","",[3]Entry!$D$1819)</f>
        <v/>
      </c>
      <c r="AG1816" t="str">
        <f>IF([3]Entry!$E$1819="","",[3]Entry!$E$1819)</f>
        <v/>
      </c>
      <c r="AH1816" t="str">
        <f>IF([3]Entry!$G$1819="","",[3]Entry!$G$1819)</f>
        <v/>
      </c>
      <c r="AI1816" t="str">
        <f>IF([3]Entry!$K$1819="","",[3]Entry!$K$1819)</f>
        <v/>
      </c>
      <c r="AJ1816" t="str">
        <f>IF([3]Entry!$L$1819="","",[3]Entry!$L$1819)</f>
        <v/>
      </c>
      <c r="AK1816" t="str">
        <f>IF([3]Entry!$M$1819="","",[3]Entry!$M$1819)</f>
        <v/>
      </c>
      <c r="AL1816" t="str">
        <f>IF([3]Entry!$N$1819="","",[3]Entry!$N$1819)</f>
        <v/>
      </c>
      <c r="AM1816" t="str">
        <f>IF([3]Entry!$R$1819="","",[3]Entry!$R$1819)</f>
        <v/>
      </c>
    </row>
    <row r="1817" spans="20:39" x14ac:dyDescent="0.2">
      <c r="T1817" t="str">
        <f>IF([2]Baskol!$B$1820="","",[2]Baskol!$B$1820)</f>
        <v/>
      </c>
      <c r="U1817" t="str">
        <f>IF([2]Baskol!$C$1820="","",[2]Baskol!$C$1820)</f>
        <v/>
      </c>
      <c r="V1817" t="str">
        <f>IF([2]Baskol!$D$1820="","",[2]Baskol!$D$1820)</f>
        <v/>
      </c>
      <c r="W1817" t="str">
        <f>IF([2]Baskol!$E$1820="","",[2]Baskol!$E$1820)</f>
        <v/>
      </c>
      <c r="X1817" t="str">
        <f>IF([2]Baskol!$G$1820="","",[2]Baskol!$G$1820)</f>
        <v/>
      </c>
      <c r="Y1817" t="str">
        <f>IF([2]Baskol!$I$1820="","",[2]Baskol!$I$1820)</f>
        <v/>
      </c>
      <c r="Z1817" t="str">
        <f>IF([2]Baskol!$J$1820="","",[2]Baskol!$J$1820)</f>
        <v/>
      </c>
      <c r="AA1817" t="str">
        <f>IF([2]Baskol!$K$1820="","",[2]Baskol!$K$1820)</f>
        <v/>
      </c>
      <c r="AB1817" t="str">
        <f>IF([2]Baskol!$L$1820="","",[2]Baskol!$L$1820)</f>
        <v/>
      </c>
      <c r="AC1817" t="str">
        <f>IF([2]Baskol!$N$1820="","",[2]Baskol!$N$1820)</f>
        <v/>
      </c>
      <c r="AD1817" t="str">
        <f>IF([2]Baskol!$O$1820="","",[2]Baskol!$O$1820)</f>
        <v/>
      </c>
      <c r="AE1817" t="str">
        <f>IF([3]Entry!$C$1820="","",[3]Entry!$C$1820)</f>
        <v/>
      </c>
      <c r="AF1817" t="str">
        <f>IF([3]Entry!$D$1820="","",[3]Entry!$D$1820)</f>
        <v/>
      </c>
      <c r="AG1817" t="str">
        <f>IF([3]Entry!$E$1820="","",[3]Entry!$E$1820)</f>
        <v/>
      </c>
      <c r="AH1817" t="str">
        <f>IF([3]Entry!$G$1820="","",[3]Entry!$G$1820)</f>
        <v/>
      </c>
      <c r="AI1817" t="str">
        <f>IF([3]Entry!$K$1820="","",[3]Entry!$K$1820)</f>
        <v/>
      </c>
      <c r="AJ1817" t="str">
        <f>IF([3]Entry!$L$1820="","",[3]Entry!$L$1820)</f>
        <v/>
      </c>
      <c r="AK1817" t="str">
        <f>IF([3]Entry!$M$1820="","",[3]Entry!$M$1820)</f>
        <v/>
      </c>
      <c r="AL1817" t="str">
        <f>IF([3]Entry!$N$1820="","",[3]Entry!$N$1820)</f>
        <v/>
      </c>
      <c r="AM1817" t="str">
        <f>IF([3]Entry!$R$1820="","",[3]Entry!$R$1820)</f>
        <v/>
      </c>
    </row>
    <row r="1818" spans="20:39" x14ac:dyDescent="0.2">
      <c r="T1818" t="str">
        <f>IF([2]Baskol!$B$1821="","",[2]Baskol!$B$1821)</f>
        <v/>
      </c>
      <c r="U1818" t="str">
        <f>IF([2]Baskol!$C$1821="","",[2]Baskol!$C$1821)</f>
        <v/>
      </c>
      <c r="V1818" t="str">
        <f>IF([2]Baskol!$D$1821="","",[2]Baskol!$D$1821)</f>
        <v/>
      </c>
      <c r="W1818" t="str">
        <f>IF([2]Baskol!$E$1821="","",[2]Baskol!$E$1821)</f>
        <v/>
      </c>
      <c r="X1818" t="str">
        <f>IF([2]Baskol!$G$1821="","",[2]Baskol!$G$1821)</f>
        <v/>
      </c>
      <c r="Y1818" t="str">
        <f>IF([2]Baskol!$I$1821="","",[2]Baskol!$I$1821)</f>
        <v/>
      </c>
      <c r="Z1818" t="str">
        <f>IF([2]Baskol!$J$1821="","",[2]Baskol!$J$1821)</f>
        <v/>
      </c>
      <c r="AA1818" t="str">
        <f>IF([2]Baskol!$K$1821="","",[2]Baskol!$K$1821)</f>
        <v/>
      </c>
      <c r="AB1818" t="str">
        <f>IF([2]Baskol!$L$1821="","",[2]Baskol!$L$1821)</f>
        <v/>
      </c>
      <c r="AC1818" t="str">
        <f>IF([2]Baskol!$N$1821="","",[2]Baskol!$N$1821)</f>
        <v/>
      </c>
      <c r="AD1818" t="str">
        <f>IF([2]Baskol!$O$1821="","",[2]Baskol!$O$1821)</f>
        <v/>
      </c>
      <c r="AE1818" t="str">
        <f>IF([3]Entry!$C$1821="","",[3]Entry!$C$1821)</f>
        <v/>
      </c>
      <c r="AF1818" t="str">
        <f>IF([3]Entry!$D$1821="","",[3]Entry!$D$1821)</f>
        <v/>
      </c>
      <c r="AG1818" t="str">
        <f>IF([3]Entry!$E$1821="","",[3]Entry!$E$1821)</f>
        <v/>
      </c>
      <c r="AH1818" t="str">
        <f>IF([3]Entry!$G$1821="","",[3]Entry!$G$1821)</f>
        <v/>
      </c>
      <c r="AI1818" t="str">
        <f>IF([3]Entry!$K$1821="","",[3]Entry!$K$1821)</f>
        <v/>
      </c>
      <c r="AJ1818" t="str">
        <f>IF([3]Entry!$L$1821="","",[3]Entry!$L$1821)</f>
        <v/>
      </c>
      <c r="AK1818" t="str">
        <f>IF([3]Entry!$M$1821="","",[3]Entry!$M$1821)</f>
        <v/>
      </c>
      <c r="AL1818" t="str">
        <f>IF([3]Entry!$N$1821="","",[3]Entry!$N$1821)</f>
        <v/>
      </c>
      <c r="AM1818" t="str">
        <f>IF([3]Entry!$R$1821="","",[3]Entry!$R$1821)</f>
        <v/>
      </c>
    </row>
    <row r="1819" spans="20:39" x14ac:dyDescent="0.2">
      <c r="T1819" t="str">
        <f>IF([2]Baskol!$B$1822="","",[2]Baskol!$B$1822)</f>
        <v/>
      </c>
      <c r="U1819" t="str">
        <f>IF([2]Baskol!$C$1822="","",[2]Baskol!$C$1822)</f>
        <v/>
      </c>
      <c r="V1819" t="str">
        <f>IF([2]Baskol!$D$1822="","",[2]Baskol!$D$1822)</f>
        <v/>
      </c>
      <c r="W1819" t="str">
        <f>IF([2]Baskol!$E$1822="","",[2]Baskol!$E$1822)</f>
        <v/>
      </c>
      <c r="X1819" t="str">
        <f>IF([2]Baskol!$G$1822="","",[2]Baskol!$G$1822)</f>
        <v/>
      </c>
      <c r="Y1819" t="str">
        <f>IF([2]Baskol!$I$1822="","",[2]Baskol!$I$1822)</f>
        <v/>
      </c>
      <c r="Z1819" t="str">
        <f>IF([2]Baskol!$J$1822="","",[2]Baskol!$J$1822)</f>
        <v/>
      </c>
      <c r="AA1819" t="str">
        <f>IF([2]Baskol!$K$1822="","",[2]Baskol!$K$1822)</f>
        <v/>
      </c>
      <c r="AB1819" t="str">
        <f>IF([2]Baskol!$L$1822="","",[2]Baskol!$L$1822)</f>
        <v/>
      </c>
      <c r="AC1819" t="str">
        <f>IF([2]Baskol!$N$1822="","",[2]Baskol!$N$1822)</f>
        <v/>
      </c>
      <c r="AD1819" t="str">
        <f>IF([2]Baskol!$O$1822="","",[2]Baskol!$O$1822)</f>
        <v/>
      </c>
      <c r="AE1819" t="str">
        <f>IF([3]Entry!$C$1822="","",[3]Entry!$C$1822)</f>
        <v/>
      </c>
      <c r="AF1819" t="str">
        <f>IF([3]Entry!$D$1822="","",[3]Entry!$D$1822)</f>
        <v/>
      </c>
      <c r="AG1819" t="str">
        <f>IF([3]Entry!$E$1822="","",[3]Entry!$E$1822)</f>
        <v/>
      </c>
      <c r="AH1819" t="str">
        <f>IF([3]Entry!$G$1822="","",[3]Entry!$G$1822)</f>
        <v/>
      </c>
      <c r="AI1819" t="str">
        <f>IF([3]Entry!$K$1822="","",[3]Entry!$K$1822)</f>
        <v/>
      </c>
      <c r="AJ1819" t="str">
        <f>IF([3]Entry!$L$1822="","",[3]Entry!$L$1822)</f>
        <v/>
      </c>
      <c r="AK1819" t="str">
        <f>IF([3]Entry!$M$1822="","",[3]Entry!$M$1822)</f>
        <v/>
      </c>
      <c r="AL1819" t="str">
        <f>IF([3]Entry!$N$1822="","",[3]Entry!$N$1822)</f>
        <v/>
      </c>
      <c r="AM1819" t="str">
        <f>IF([3]Entry!$R$1822="","",[3]Entry!$R$1822)</f>
        <v/>
      </c>
    </row>
    <row r="1820" spans="20:39" x14ac:dyDescent="0.2">
      <c r="T1820" t="str">
        <f>IF([2]Baskol!$B$1823="","",[2]Baskol!$B$1823)</f>
        <v/>
      </c>
      <c r="U1820" t="str">
        <f>IF([2]Baskol!$C$1823="","",[2]Baskol!$C$1823)</f>
        <v/>
      </c>
      <c r="V1820" t="str">
        <f>IF([2]Baskol!$D$1823="","",[2]Baskol!$D$1823)</f>
        <v/>
      </c>
      <c r="W1820" t="str">
        <f>IF([2]Baskol!$E$1823="","",[2]Baskol!$E$1823)</f>
        <v/>
      </c>
      <c r="X1820" t="str">
        <f>IF([2]Baskol!$G$1823="","",[2]Baskol!$G$1823)</f>
        <v/>
      </c>
      <c r="Y1820" t="str">
        <f>IF([2]Baskol!$I$1823="","",[2]Baskol!$I$1823)</f>
        <v/>
      </c>
      <c r="Z1820" t="str">
        <f>IF([2]Baskol!$J$1823="","",[2]Baskol!$J$1823)</f>
        <v/>
      </c>
      <c r="AA1820" t="str">
        <f>IF([2]Baskol!$K$1823="","",[2]Baskol!$K$1823)</f>
        <v/>
      </c>
      <c r="AB1820" t="str">
        <f>IF([2]Baskol!$L$1823="","",[2]Baskol!$L$1823)</f>
        <v/>
      </c>
      <c r="AC1820" t="str">
        <f>IF([2]Baskol!$N$1823="","",[2]Baskol!$N$1823)</f>
        <v/>
      </c>
      <c r="AD1820" t="str">
        <f>IF([2]Baskol!$O$1823="","",[2]Baskol!$O$1823)</f>
        <v/>
      </c>
      <c r="AE1820" t="str">
        <f>IF([3]Entry!$C$1823="","",[3]Entry!$C$1823)</f>
        <v/>
      </c>
      <c r="AF1820" t="str">
        <f>IF([3]Entry!$D$1823="","",[3]Entry!$D$1823)</f>
        <v/>
      </c>
      <c r="AG1820" t="str">
        <f>IF([3]Entry!$E$1823="","",[3]Entry!$E$1823)</f>
        <v/>
      </c>
      <c r="AH1820" t="str">
        <f>IF([3]Entry!$G$1823="","",[3]Entry!$G$1823)</f>
        <v/>
      </c>
      <c r="AI1820" t="str">
        <f>IF([3]Entry!$K$1823="","",[3]Entry!$K$1823)</f>
        <v/>
      </c>
      <c r="AJ1820" t="str">
        <f>IF([3]Entry!$L$1823="","",[3]Entry!$L$1823)</f>
        <v/>
      </c>
      <c r="AK1820" t="str">
        <f>IF([3]Entry!$M$1823="","",[3]Entry!$M$1823)</f>
        <v/>
      </c>
      <c r="AL1820" t="str">
        <f>IF([3]Entry!$N$1823="","",[3]Entry!$N$1823)</f>
        <v/>
      </c>
      <c r="AM1820" t="str">
        <f>IF([3]Entry!$R$1823="","",[3]Entry!$R$1823)</f>
        <v/>
      </c>
    </row>
    <row r="1821" spans="20:39" x14ac:dyDescent="0.2">
      <c r="T1821" t="str">
        <f>IF([2]Baskol!$B$1824="","",[2]Baskol!$B$1824)</f>
        <v/>
      </c>
      <c r="U1821" t="str">
        <f>IF([2]Baskol!$C$1824="","",[2]Baskol!$C$1824)</f>
        <v/>
      </c>
      <c r="V1821" t="str">
        <f>IF([2]Baskol!$D$1824="","",[2]Baskol!$D$1824)</f>
        <v/>
      </c>
      <c r="W1821" t="str">
        <f>IF([2]Baskol!$E$1824="","",[2]Baskol!$E$1824)</f>
        <v/>
      </c>
      <c r="X1821" t="str">
        <f>IF([2]Baskol!$G$1824="","",[2]Baskol!$G$1824)</f>
        <v/>
      </c>
      <c r="Y1821" t="str">
        <f>IF([2]Baskol!$I$1824="","",[2]Baskol!$I$1824)</f>
        <v/>
      </c>
      <c r="Z1821" t="str">
        <f>IF([2]Baskol!$J$1824="","",[2]Baskol!$J$1824)</f>
        <v/>
      </c>
      <c r="AA1821" t="str">
        <f>IF([2]Baskol!$K$1824="","",[2]Baskol!$K$1824)</f>
        <v/>
      </c>
      <c r="AB1821" t="str">
        <f>IF([2]Baskol!$L$1824="","",[2]Baskol!$L$1824)</f>
        <v/>
      </c>
      <c r="AC1821" t="str">
        <f>IF([2]Baskol!$N$1824="","",[2]Baskol!$N$1824)</f>
        <v/>
      </c>
      <c r="AD1821" t="str">
        <f>IF([2]Baskol!$O$1824="","",[2]Baskol!$O$1824)</f>
        <v/>
      </c>
      <c r="AE1821" t="str">
        <f>IF([3]Entry!$C$1824="","",[3]Entry!$C$1824)</f>
        <v/>
      </c>
      <c r="AF1821" t="str">
        <f>IF([3]Entry!$D$1824="","",[3]Entry!$D$1824)</f>
        <v/>
      </c>
      <c r="AG1821" t="str">
        <f>IF([3]Entry!$E$1824="","",[3]Entry!$E$1824)</f>
        <v/>
      </c>
      <c r="AH1821" t="str">
        <f>IF([3]Entry!$G$1824="","",[3]Entry!$G$1824)</f>
        <v/>
      </c>
      <c r="AI1821" t="str">
        <f>IF([3]Entry!$K$1824="","",[3]Entry!$K$1824)</f>
        <v/>
      </c>
      <c r="AJ1821" t="str">
        <f>IF([3]Entry!$L$1824="","",[3]Entry!$L$1824)</f>
        <v/>
      </c>
      <c r="AK1821" t="str">
        <f>IF([3]Entry!$M$1824="","",[3]Entry!$M$1824)</f>
        <v/>
      </c>
      <c r="AL1821" t="str">
        <f>IF([3]Entry!$N$1824="","",[3]Entry!$N$1824)</f>
        <v/>
      </c>
      <c r="AM1821" t="str">
        <f>IF([3]Entry!$R$1824="","",[3]Entry!$R$1824)</f>
        <v/>
      </c>
    </row>
    <row r="1822" spans="20:39" x14ac:dyDescent="0.2">
      <c r="T1822" t="str">
        <f>IF([2]Baskol!$B$1825="","",[2]Baskol!$B$1825)</f>
        <v/>
      </c>
      <c r="U1822" t="str">
        <f>IF([2]Baskol!$C$1825="","",[2]Baskol!$C$1825)</f>
        <v/>
      </c>
      <c r="V1822" t="str">
        <f>IF([2]Baskol!$D$1825="","",[2]Baskol!$D$1825)</f>
        <v/>
      </c>
      <c r="W1822" t="str">
        <f>IF([2]Baskol!$E$1825="","",[2]Baskol!$E$1825)</f>
        <v/>
      </c>
      <c r="X1822" t="str">
        <f>IF([2]Baskol!$G$1825="","",[2]Baskol!$G$1825)</f>
        <v/>
      </c>
      <c r="Y1822" t="str">
        <f>IF([2]Baskol!$I$1825="","",[2]Baskol!$I$1825)</f>
        <v/>
      </c>
      <c r="Z1822" t="str">
        <f>IF([2]Baskol!$J$1825="","",[2]Baskol!$J$1825)</f>
        <v/>
      </c>
      <c r="AA1822" t="str">
        <f>IF([2]Baskol!$K$1825="","",[2]Baskol!$K$1825)</f>
        <v/>
      </c>
      <c r="AB1822" t="str">
        <f>IF([2]Baskol!$L$1825="","",[2]Baskol!$L$1825)</f>
        <v/>
      </c>
      <c r="AC1822" t="str">
        <f>IF([2]Baskol!$N$1825="","",[2]Baskol!$N$1825)</f>
        <v/>
      </c>
      <c r="AD1822" t="str">
        <f>IF([2]Baskol!$O$1825="","",[2]Baskol!$O$1825)</f>
        <v/>
      </c>
      <c r="AE1822" t="str">
        <f>IF([3]Entry!$C$1825="","",[3]Entry!$C$1825)</f>
        <v/>
      </c>
      <c r="AF1822" t="str">
        <f>IF([3]Entry!$D$1825="","",[3]Entry!$D$1825)</f>
        <v/>
      </c>
      <c r="AG1822" t="str">
        <f>IF([3]Entry!$E$1825="","",[3]Entry!$E$1825)</f>
        <v/>
      </c>
      <c r="AH1822" t="str">
        <f>IF([3]Entry!$G$1825="","",[3]Entry!$G$1825)</f>
        <v/>
      </c>
      <c r="AI1822" t="str">
        <f>IF([3]Entry!$K$1825="","",[3]Entry!$K$1825)</f>
        <v/>
      </c>
      <c r="AJ1822" t="str">
        <f>IF([3]Entry!$L$1825="","",[3]Entry!$L$1825)</f>
        <v/>
      </c>
      <c r="AK1822" t="str">
        <f>IF([3]Entry!$M$1825="","",[3]Entry!$M$1825)</f>
        <v/>
      </c>
      <c r="AL1822" t="str">
        <f>IF([3]Entry!$N$1825="","",[3]Entry!$N$1825)</f>
        <v/>
      </c>
      <c r="AM1822" t="str">
        <f>IF([3]Entry!$R$1825="","",[3]Entry!$R$1825)</f>
        <v/>
      </c>
    </row>
    <row r="1823" spans="20:39" x14ac:dyDescent="0.2">
      <c r="T1823" t="str">
        <f>IF([2]Baskol!$B$1826="","",[2]Baskol!$B$1826)</f>
        <v/>
      </c>
      <c r="U1823" t="str">
        <f>IF([2]Baskol!$C$1826="","",[2]Baskol!$C$1826)</f>
        <v/>
      </c>
      <c r="V1823" t="str">
        <f>IF([2]Baskol!$D$1826="","",[2]Baskol!$D$1826)</f>
        <v/>
      </c>
      <c r="W1823" t="str">
        <f>IF([2]Baskol!$E$1826="","",[2]Baskol!$E$1826)</f>
        <v/>
      </c>
      <c r="X1823" t="str">
        <f>IF([2]Baskol!$G$1826="","",[2]Baskol!$G$1826)</f>
        <v/>
      </c>
      <c r="Y1823" t="str">
        <f>IF([2]Baskol!$I$1826="","",[2]Baskol!$I$1826)</f>
        <v/>
      </c>
      <c r="Z1823" t="str">
        <f>IF([2]Baskol!$J$1826="","",[2]Baskol!$J$1826)</f>
        <v/>
      </c>
      <c r="AA1823" t="str">
        <f>IF([2]Baskol!$K$1826="","",[2]Baskol!$K$1826)</f>
        <v/>
      </c>
      <c r="AB1823" t="str">
        <f>IF([2]Baskol!$L$1826="","",[2]Baskol!$L$1826)</f>
        <v/>
      </c>
      <c r="AC1823" t="str">
        <f>IF([2]Baskol!$N$1826="","",[2]Baskol!$N$1826)</f>
        <v/>
      </c>
      <c r="AD1823" t="str">
        <f>IF([2]Baskol!$O$1826="","",[2]Baskol!$O$1826)</f>
        <v/>
      </c>
      <c r="AE1823" t="str">
        <f>IF([3]Entry!$C$1826="","",[3]Entry!$C$1826)</f>
        <v/>
      </c>
      <c r="AF1823" t="str">
        <f>IF([3]Entry!$D$1826="","",[3]Entry!$D$1826)</f>
        <v/>
      </c>
      <c r="AG1823" t="str">
        <f>IF([3]Entry!$E$1826="","",[3]Entry!$E$1826)</f>
        <v/>
      </c>
      <c r="AH1823" t="str">
        <f>IF([3]Entry!$G$1826="","",[3]Entry!$G$1826)</f>
        <v/>
      </c>
      <c r="AI1823" t="str">
        <f>IF([3]Entry!$K$1826="","",[3]Entry!$K$1826)</f>
        <v/>
      </c>
      <c r="AJ1823" t="str">
        <f>IF([3]Entry!$L$1826="","",[3]Entry!$L$1826)</f>
        <v/>
      </c>
      <c r="AK1823" t="str">
        <f>IF([3]Entry!$M$1826="","",[3]Entry!$M$1826)</f>
        <v/>
      </c>
      <c r="AL1823" t="str">
        <f>IF([3]Entry!$N$1826="","",[3]Entry!$N$1826)</f>
        <v/>
      </c>
      <c r="AM1823" t="str">
        <f>IF([3]Entry!$R$1826="","",[3]Entry!$R$1826)</f>
        <v/>
      </c>
    </row>
    <row r="1824" spans="20:39" x14ac:dyDescent="0.2">
      <c r="T1824" t="str">
        <f>IF([2]Baskol!$B$1827="","",[2]Baskol!$B$1827)</f>
        <v/>
      </c>
      <c r="U1824" t="str">
        <f>IF([2]Baskol!$C$1827="","",[2]Baskol!$C$1827)</f>
        <v/>
      </c>
      <c r="V1824" t="str">
        <f>IF([2]Baskol!$D$1827="","",[2]Baskol!$D$1827)</f>
        <v/>
      </c>
      <c r="W1824" t="str">
        <f>IF([2]Baskol!$E$1827="","",[2]Baskol!$E$1827)</f>
        <v/>
      </c>
      <c r="X1824" t="str">
        <f>IF([2]Baskol!$G$1827="","",[2]Baskol!$G$1827)</f>
        <v/>
      </c>
      <c r="Y1824" t="str">
        <f>IF([2]Baskol!$I$1827="","",[2]Baskol!$I$1827)</f>
        <v/>
      </c>
      <c r="Z1824" t="str">
        <f>IF([2]Baskol!$J$1827="","",[2]Baskol!$J$1827)</f>
        <v/>
      </c>
      <c r="AA1824" t="str">
        <f>IF([2]Baskol!$K$1827="","",[2]Baskol!$K$1827)</f>
        <v/>
      </c>
      <c r="AB1824" t="str">
        <f>IF([2]Baskol!$L$1827="","",[2]Baskol!$L$1827)</f>
        <v/>
      </c>
      <c r="AC1824" t="str">
        <f>IF([2]Baskol!$N$1827="","",[2]Baskol!$N$1827)</f>
        <v/>
      </c>
      <c r="AD1824" t="str">
        <f>IF([2]Baskol!$O$1827="","",[2]Baskol!$O$1827)</f>
        <v/>
      </c>
      <c r="AE1824" t="str">
        <f>IF([3]Entry!$C$1827="","",[3]Entry!$C$1827)</f>
        <v/>
      </c>
      <c r="AF1824" t="str">
        <f>IF([3]Entry!$D$1827="","",[3]Entry!$D$1827)</f>
        <v/>
      </c>
      <c r="AG1824" t="str">
        <f>IF([3]Entry!$E$1827="","",[3]Entry!$E$1827)</f>
        <v/>
      </c>
      <c r="AH1824" t="str">
        <f>IF([3]Entry!$G$1827="","",[3]Entry!$G$1827)</f>
        <v/>
      </c>
      <c r="AI1824" t="str">
        <f>IF([3]Entry!$K$1827="","",[3]Entry!$K$1827)</f>
        <v/>
      </c>
      <c r="AJ1824" t="str">
        <f>IF([3]Entry!$L$1827="","",[3]Entry!$L$1827)</f>
        <v/>
      </c>
      <c r="AK1824" t="str">
        <f>IF([3]Entry!$M$1827="","",[3]Entry!$M$1827)</f>
        <v/>
      </c>
      <c r="AL1824" t="str">
        <f>IF([3]Entry!$N$1827="","",[3]Entry!$N$1827)</f>
        <v/>
      </c>
      <c r="AM1824" t="str">
        <f>IF([3]Entry!$R$1827="","",[3]Entry!$R$1827)</f>
        <v/>
      </c>
    </row>
    <row r="1825" spans="20:39" x14ac:dyDescent="0.2">
      <c r="T1825" t="str">
        <f>IF([2]Baskol!$B$1828="","",[2]Baskol!$B$1828)</f>
        <v/>
      </c>
      <c r="U1825" t="str">
        <f>IF([2]Baskol!$C$1828="","",[2]Baskol!$C$1828)</f>
        <v/>
      </c>
      <c r="V1825" t="str">
        <f>IF([2]Baskol!$D$1828="","",[2]Baskol!$D$1828)</f>
        <v/>
      </c>
      <c r="W1825" t="str">
        <f>IF([2]Baskol!$E$1828="","",[2]Baskol!$E$1828)</f>
        <v/>
      </c>
      <c r="X1825" t="str">
        <f>IF([2]Baskol!$G$1828="","",[2]Baskol!$G$1828)</f>
        <v/>
      </c>
      <c r="Y1825" t="str">
        <f>IF([2]Baskol!$I$1828="","",[2]Baskol!$I$1828)</f>
        <v/>
      </c>
      <c r="Z1825" t="str">
        <f>IF([2]Baskol!$J$1828="","",[2]Baskol!$J$1828)</f>
        <v/>
      </c>
      <c r="AA1825" t="str">
        <f>IF([2]Baskol!$K$1828="","",[2]Baskol!$K$1828)</f>
        <v/>
      </c>
      <c r="AB1825" t="str">
        <f>IF([2]Baskol!$L$1828="","",[2]Baskol!$L$1828)</f>
        <v/>
      </c>
      <c r="AC1825" t="str">
        <f>IF([2]Baskol!$N$1828="","",[2]Baskol!$N$1828)</f>
        <v/>
      </c>
      <c r="AD1825" t="str">
        <f>IF([2]Baskol!$O$1828="","",[2]Baskol!$O$1828)</f>
        <v/>
      </c>
      <c r="AE1825" t="str">
        <f>IF([3]Entry!$C$1828="","",[3]Entry!$C$1828)</f>
        <v/>
      </c>
      <c r="AF1825" t="str">
        <f>IF([3]Entry!$D$1828="","",[3]Entry!$D$1828)</f>
        <v/>
      </c>
      <c r="AG1825" t="str">
        <f>IF([3]Entry!$E$1828="","",[3]Entry!$E$1828)</f>
        <v/>
      </c>
      <c r="AH1825" t="str">
        <f>IF([3]Entry!$G$1828="","",[3]Entry!$G$1828)</f>
        <v/>
      </c>
      <c r="AI1825" t="str">
        <f>IF([3]Entry!$K$1828="","",[3]Entry!$K$1828)</f>
        <v/>
      </c>
      <c r="AJ1825" t="str">
        <f>IF([3]Entry!$L$1828="","",[3]Entry!$L$1828)</f>
        <v/>
      </c>
      <c r="AK1825" t="str">
        <f>IF([3]Entry!$M$1828="","",[3]Entry!$M$1828)</f>
        <v/>
      </c>
      <c r="AL1825" t="str">
        <f>IF([3]Entry!$N$1828="","",[3]Entry!$N$1828)</f>
        <v/>
      </c>
      <c r="AM1825" t="str">
        <f>IF([3]Entry!$R$1828="","",[3]Entry!$R$1828)</f>
        <v/>
      </c>
    </row>
    <row r="1826" spans="20:39" x14ac:dyDescent="0.2">
      <c r="T1826" t="str">
        <f>IF([2]Baskol!$B$1829="","",[2]Baskol!$B$1829)</f>
        <v/>
      </c>
      <c r="U1826" t="str">
        <f>IF([2]Baskol!$C$1829="","",[2]Baskol!$C$1829)</f>
        <v/>
      </c>
      <c r="V1826" t="str">
        <f>IF([2]Baskol!$D$1829="","",[2]Baskol!$D$1829)</f>
        <v/>
      </c>
      <c r="W1826" t="str">
        <f>IF([2]Baskol!$E$1829="","",[2]Baskol!$E$1829)</f>
        <v/>
      </c>
      <c r="X1826" t="str">
        <f>IF([2]Baskol!$G$1829="","",[2]Baskol!$G$1829)</f>
        <v/>
      </c>
      <c r="Y1826" t="str">
        <f>IF([2]Baskol!$I$1829="","",[2]Baskol!$I$1829)</f>
        <v/>
      </c>
      <c r="Z1826" t="str">
        <f>IF([2]Baskol!$J$1829="","",[2]Baskol!$J$1829)</f>
        <v/>
      </c>
      <c r="AA1826" t="str">
        <f>IF([2]Baskol!$K$1829="","",[2]Baskol!$K$1829)</f>
        <v/>
      </c>
      <c r="AB1826" t="str">
        <f>IF([2]Baskol!$L$1829="","",[2]Baskol!$L$1829)</f>
        <v/>
      </c>
      <c r="AC1826" t="str">
        <f>IF([2]Baskol!$N$1829="","",[2]Baskol!$N$1829)</f>
        <v/>
      </c>
      <c r="AD1826" t="str">
        <f>IF([2]Baskol!$O$1829="","",[2]Baskol!$O$1829)</f>
        <v/>
      </c>
      <c r="AE1826" t="str">
        <f>IF([3]Entry!$C$1829="","",[3]Entry!$C$1829)</f>
        <v/>
      </c>
      <c r="AF1826" t="str">
        <f>IF([3]Entry!$D$1829="","",[3]Entry!$D$1829)</f>
        <v/>
      </c>
      <c r="AG1826" t="str">
        <f>IF([3]Entry!$E$1829="","",[3]Entry!$E$1829)</f>
        <v/>
      </c>
      <c r="AH1826" t="str">
        <f>IF([3]Entry!$G$1829="","",[3]Entry!$G$1829)</f>
        <v/>
      </c>
      <c r="AI1826" t="str">
        <f>IF([3]Entry!$K$1829="","",[3]Entry!$K$1829)</f>
        <v/>
      </c>
      <c r="AJ1826" t="str">
        <f>IF([3]Entry!$L$1829="","",[3]Entry!$L$1829)</f>
        <v/>
      </c>
      <c r="AK1826" t="str">
        <f>IF([3]Entry!$M$1829="","",[3]Entry!$M$1829)</f>
        <v/>
      </c>
      <c r="AL1826" t="str">
        <f>IF([3]Entry!$N$1829="","",[3]Entry!$N$1829)</f>
        <v/>
      </c>
      <c r="AM1826" t="str">
        <f>IF([3]Entry!$R$1829="","",[3]Entry!$R$1829)</f>
        <v/>
      </c>
    </row>
    <row r="1827" spans="20:39" x14ac:dyDescent="0.2">
      <c r="T1827" t="str">
        <f>IF([2]Baskol!$B$1830="","",[2]Baskol!$B$1830)</f>
        <v/>
      </c>
      <c r="U1827" t="str">
        <f>IF([2]Baskol!$C$1830="","",[2]Baskol!$C$1830)</f>
        <v/>
      </c>
      <c r="V1827" t="str">
        <f>IF([2]Baskol!$D$1830="","",[2]Baskol!$D$1830)</f>
        <v/>
      </c>
      <c r="W1827" t="str">
        <f>IF([2]Baskol!$E$1830="","",[2]Baskol!$E$1830)</f>
        <v/>
      </c>
      <c r="X1827" t="str">
        <f>IF([2]Baskol!$G$1830="","",[2]Baskol!$G$1830)</f>
        <v/>
      </c>
      <c r="Y1827" t="str">
        <f>IF([2]Baskol!$I$1830="","",[2]Baskol!$I$1830)</f>
        <v/>
      </c>
      <c r="Z1827" t="str">
        <f>IF([2]Baskol!$J$1830="","",[2]Baskol!$J$1830)</f>
        <v/>
      </c>
      <c r="AA1827" t="str">
        <f>IF([2]Baskol!$K$1830="","",[2]Baskol!$K$1830)</f>
        <v/>
      </c>
      <c r="AB1827" t="str">
        <f>IF([2]Baskol!$L$1830="","",[2]Baskol!$L$1830)</f>
        <v/>
      </c>
      <c r="AC1827" t="str">
        <f>IF([2]Baskol!$N$1830="","",[2]Baskol!$N$1830)</f>
        <v/>
      </c>
      <c r="AD1827" t="str">
        <f>IF([2]Baskol!$O$1830="","",[2]Baskol!$O$1830)</f>
        <v/>
      </c>
      <c r="AE1827" t="str">
        <f>IF([3]Entry!$C$1830="","",[3]Entry!$C$1830)</f>
        <v/>
      </c>
      <c r="AF1827" t="str">
        <f>IF([3]Entry!$D$1830="","",[3]Entry!$D$1830)</f>
        <v/>
      </c>
      <c r="AG1827" t="str">
        <f>IF([3]Entry!$E$1830="","",[3]Entry!$E$1830)</f>
        <v/>
      </c>
      <c r="AH1827" t="str">
        <f>IF([3]Entry!$G$1830="","",[3]Entry!$G$1830)</f>
        <v/>
      </c>
      <c r="AI1827" t="str">
        <f>IF([3]Entry!$K$1830="","",[3]Entry!$K$1830)</f>
        <v/>
      </c>
      <c r="AJ1827" t="str">
        <f>IF([3]Entry!$L$1830="","",[3]Entry!$L$1830)</f>
        <v/>
      </c>
      <c r="AK1827" t="str">
        <f>IF([3]Entry!$M$1830="","",[3]Entry!$M$1830)</f>
        <v/>
      </c>
      <c r="AL1827" t="str">
        <f>IF([3]Entry!$N$1830="","",[3]Entry!$N$1830)</f>
        <v/>
      </c>
      <c r="AM1827" t="str">
        <f>IF([3]Entry!$R$1830="","",[3]Entry!$R$1830)</f>
        <v/>
      </c>
    </row>
    <row r="1828" spans="20:39" x14ac:dyDescent="0.2">
      <c r="T1828" t="str">
        <f>IF([2]Baskol!$B$1831="","",[2]Baskol!$B$1831)</f>
        <v/>
      </c>
      <c r="U1828" t="str">
        <f>IF([2]Baskol!$C$1831="","",[2]Baskol!$C$1831)</f>
        <v/>
      </c>
      <c r="V1828" t="str">
        <f>IF([2]Baskol!$D$1831="","",[2]Baskol!$D$1831)</f>
        <v/>
      </c>
      <c r="W1828" t="str">
        <f>IF([2]Baskol!$E$1831="","",[2]Baskol!$E$1831)</f>
        <v/>
      </c>
      <c r="X1828" t="str">
        <f>IF([2]Baskol!$G$1831="","",[2]Baskol!$G$1831)</f>
        <v/>
      </c>
      <c r="Y1828" t="str">
        <f>IF([2]Baskol!$I$1831="","",[2]Baskol!$I$1831)</f>
        <v/>
      </c>
      <c r="Z1828" t="str">
        <f>IF([2]Baskol!$J$1831="","",[2]Baskol!$J$1831)</f>
        <v/>
      </c>
      <c r="AA1828" t="str">
        <f>IF([2]Baskol!$K$1831="","",[2]Baskol!$K$1831)</f>
        <v/>
      </c>
      <c r="AB1828" t="str">
        <f>IF([2]Baskol!$L$1831="","",[2]Baskol!$L$1831)</f>
        <v/>
      </c>
      <c r="AC1828" t="str">
        <f>IF([2]Baskol!$N$1831="","",[2]Baskol!$N$1831)</f>
        <v/>
      </c>
      <c r="AD1828" t="str">
        <f>IF([2]Baskol!$O$1831="","",[2]Baskol!$O$1831)</f>
        <v/>
      </c>
      <c r="AE1828" t="str">
        <f>IF([3]Entry!$C$1831="","",[3]Entry!$C$1831)</f>
        <v/>
      </c>
      <c r="AF1828" t="str">
        <f>IF([3]Entry!$D$1831="","",[3]Entry!$D$1831)</f>
        <v/>
      </c>
      <c r="AG1828" t="str">
        <f>IF([3]Entry!$E$1831="","",[3]Entry!$E$1831)</f>
        <v/>
      </c>
      <c r="AH1828" t="str">
        <f>IF([3]Entry!$G$1831="","",[3]Entry!$G$1831)</f>
        <v/>
      </c>
      <c r="AI1828" t="str">
        <f>IF([3]Entry!$K$1831="","",[3]Entry!$K$1831)</f>
        <v/>
      </c>
      <c r="AJ1828" t="str">
        <f>IF([3]Entry!$L$1831="","",[3]Entry!$L$1831)</f>
        <v/>
      </c>
      <c r="AK1828" t="str">
        <f>IF([3]Entry!$M$1831="","",[3]Entry!$M$1831)</f>
        <v/>
      </c>
      <c r="AL1828" t="str">
        <f>IF([3]Entry!$N$1831="","",[3]Entry!$N$1831)</f>
        <v/>
      </c>
      <c r="AM1828" t="str">
        <f>IF([3]Entry!$R$1831="","",[3]Entry!$R$1831)</f>
        <v/>
      </c>
    </row>
    <row r="1829" spans="20:39" x14ac:dyDescent="0.2">
      <c r="T1829" t="str">
        <f>IF([2]Baskol!$B$1832="","",[2]Baskol!$B$1832)</f>
        <v/>
      </c>
      <c r="U1829" t="str">
        <f>IF([2]Baskol!$C$1832="","",[2]Baskol!$C$1832)</f>
        <v/>
      </c>
      <c r="V1829" t="str">
        <f>IF([2]Baskol!$D$1832="","",[2]Baskol!$D$1832)</f>
        <v/>
      </c>
      <c r="W1829" t="str">
        <f>IF([2]Baskol!$E$1832="","",[2]Baskol!$E$1832)</f>
        <v/>
      </c>
      <c r="X1829" t="str">
        <f>IF([2]Baskol!$G$1832="","",[2]Baskol!$G$1832)</f>
        <v/>
      </c>
      <c r="Y1829" t="str">
        <f>IF([2]Baskol!$I$1832="","",[2]Baskol!$I$1832)</f>
        <v/>
      </c>
      <c r="Z1829" t="str">
        <f>IF([2]Baskol!$J$1832="","",[2]Baskol!$J$1832)</f>
        <v/>
      </c>
      <c r="AA1829" t="str">
        <f>IF([2]Baskol!$K$1832="","",[2]Baskol!$K$1832)</f>
        <v/>
      </c>
      <c r="AB1829" t="str">
        <f>IF([2]Baskol!$L$1832="","",[2]Baskol!$L$1832)</f>
        <v/>
      </c>
      <c r="AC1829" t="str">
        <f>IF([2]Baskol!$N$1832="","",[2]Baskol!$N$1832)</f>
        <v/>
      </c>
      <c r="AD1829" t="str">
        <f>IF([2]Baskol!$O$1832="","",[2]Baskol!$O$1832)</f>
        <v/>
      </c>
      <c r="AE1829" t="str">
        <f>IF([3]Entry!$C$1832="","",[3]Entry!$C$1832)</f>
        <v/>
      </c>
      <c r="AF1829" t="str">
        <f>IF([3]Entry!$D$1832="","",[3]Entry!$D$1832)</f>
        <v/>
      </c>
      <c r="AG1829" t="str">
        <f>IF([3]Entry!$E$1832="","",[3]Entry!$E$1832)</f>
        <v/>
      </c>
      <c r="AH1829" t="str">
        <f>IF([3]Entry!$G$1832="","",[3]Entry!$G$1832)</f>
        <v/>
      </c>
      <c r="AI1829" t="str">
        <f>IF([3]Entry!$K$1832="","",[3]Entry!$K$1832)</f>
        <v/>
      </c>
      <c r="AJ1829" t="str">
        <f>IF([3]Entry!$L$1832="","",[3]Entry!$L$1832)</f>
        <v/>
      </c>
      <c r="AK1829" t="str">
        <f>IF([3]Entry!$M$1832="","",[3]Entry!$M$1832)</f>
        <v/>
      </c>
      <c r="AL1829" t="str">
        <f>IF([3]Entry!$N$1832="","",[3]Entry!$N$1832)</f>
        <v/>
      </c>
      <c r="AM1829" t="str">
        <f>IF([3]Entry!$R$1832="","",[3]Entry!$R$1832)</f>
        <v/>
      </c>
    </row>
    <row r="1830" spans="20:39" x14ac:dyDescent="0.2">
      <c r="T1830" t="str">
        <f>IF([2]Baskol!$B$1833="","",[2]Baskol!$B$1833)</f>
        <v/>
      </c>
      <c r="U1830" t="str">
        <f>IF([2]Baskol!$C$1833="","",[2]Baskol!$C$1833)</f>
        <v/>
      </c>
      <c r="V1830" t="str">
        <f>IF([2]Baskol!$D$1833="","",[2]Baskol!$D$1833)</f>
        <v/>
      </c>
      <c r="W1830" t="str">
        <f>IF([2]Baskol!$E$1833="","",[2]Baskol!$E$1833)</f>
        <v/>
      </c>
      <c r="X1830" t="str">
        <f>IF([2]Baskol!$G$1833="","",[2]Baskol!$G$1833)</f>
        <v/>
      </c>
      <c r="Y1830" t="str">
        <f>IF([2]Baskol!$I$1833="","",[2]Baskol!$I$1833)</f>
        <v/>
      </c>
      <c r="Z1830" t="str">
        <f>IF([2]Baskol!$J$1833="","",[2]Baskol!$J$1833)</f>
        <v/>
      </c>
      <c r="AA1830" t="str">
        <f>IF([2]Baskol!$K$1833="","",[2]Baskol!$K$1833)</f>
        <v/>
      </c>
      <c r="AB1830" t="str">
        <f>IF([2]Baskol!$L$1833="","",[2]Baskol!$L$1833)</f>
        <v/>
      </c>
      <c r="AC1830" t="str">
        <f>IF([2]Baskol!$N$1833="","",[2]Baskol!$N$1833)</f>
        <v/>
      </c>
      <c r="AD1830" t="str">
        <f>IF([2]Baskol!$O$1833="","",[2]Baskol!$O$1833)</f>
        <v/>
      </c>
      <c r="AE1830" t="str">
        <f>IF([3]Entry!$C$1833="","",[3]Entry!$C$1833)</f>
        <v/>
      </c>
      <c r="AF1830" t="str">
        <f>IF([3]Entry!$D$1833="","",[3]Entry!$D$1833)</f>
        <v/>
      </c>
      <c r="AG1830" t="str">
        <f>IF([3]Entry!$E$1833="","",[3]Entry!$E$1833)</f>
        <v/>
      </c>
      <c r="AH1830" t="str">
        <f>IF([3]Entry!$G$1833="","",[3]Entry!$G$1833)</f>
        <v/>
      </c>
      <c r="AI1830" t="str">
        <f>IF([3]Entry!$K$1833="","",[3]Entry!$K$1833)</f>
        <v/>
      </c>
      <c r="AJ1830" t="str">
        <f>IF([3]Entry!$L$1833="","",[3]Entry!$L$1833)</f>
        <v/>
      </c>
      <c r="AK1830" t="str">
        <f>IF([3]Entry!$M$1833="","",[3]Entry!$M$1833)</f>
        <v/>
      </c>
      <c r="AL1830" t="str">
        <f>IF([3]Entry!$N$1833="","",[3]Entry!$N$1833)</f>
        <v/>
      </c>
      <c r="AM1830" t="str">
        <f>IF([3]Entry!$R$1833="","",[3]Entry!$R$1833)</f>
        <v/>
      </c>
    </row>
    <row r="1831" spans="20:39" x14ac:dyDescent="0.2">
      <c r="T1831" t="str">
        <f>IF([2]Baskol!$B$1834="","",[2]Baskol!$B$1834)</f>
        <v/>
      </c>
      <c r="U1831" t="str">
        <f>IF([2]Baskol!$C$1834="","",[2]Baskol!$C$1834)</f>
        <v/>
      </c>
      <c r="V1831" t="str">
        <f>IF([2]Baskol!$D$1834="","",[2]Baskol!$D$1834)</f>
        <v/>
      </c>
      <c r="W1831" t="str">
        <f>IF([2]Baskol!$E$1834="","",[2]Baskol!$E$1834)</f>
        <v/>
      </c>
      <c r="X1831" t="str">
        <f>IF([2]Baskol!$G$1834="","",[2]Baskol!$G$1834)</f>
        <v/>
      </c>
      <c r="Y1831" t="str">
        <f>IF([2]Baskol!$I$1834="","",[2]Baskol!$I$1834)</f>
        <v/>
      </c>
      <c r="Z1831" t="str">
        <f>IF([2]Baskol!$J$1834="","",[2]Baskol!$J$1834)</f>
        <v/>
      </c>
      <c r="AA1831" t="str">
        <f>IF([2]Baskol!$K$1834="","",[2]Baskol!$K$1834)</f>
        <v/>
      </c>
      <c r="AB1831" t="str">
        <f>IF([2]Baskol!$L$1834="","",[2]Baskol!$L$1834)</f>
        <v/>
      </c>
      <c r="AC1831" t="str">
        <f>IF([2]Baskol!$N$1834="","",[2]Baskol!$N$1834)</f>
        <v/>
      </c>
      <c r="AD1831" t="str">
        <f>IF([2]Baskol!$O$1834="","",[2]Baskol!$O$1834)</f>
        <v/>
      </c>
      <c r="AE1831" t="str">
        <f>IF([3]Entry!$C$1834="","",[3]Entry!$C$1834)</f>
        <v/>
      </c>
      <c r="AF1831" t="str">
        <f>IF([3]Entry!$D$1834="","",[3]Entry!$D$1834)</f>
        <v/>
      </c>
      <c r="AG1831" t="str">
        <f>IF([3]Entry!$E$1834="","",[3]Entry!$E$1834)</f>
        <v/>
      </c>
      <c r="AH1831" t="str">
        <f>IF([3]Entry!$G$1834="","",[3]Entry!$G$1834)</f>
        <v/>
      </c>
      <c r="AI1831" t="str">
        <f>IF([3]Entry!$K$1834="","",[3]Entry!$K$1834)</f>
        <v/>
      </c>
      <c r="AJ1831" t="str">
        <f>IF([3]Entry!$L$1834="","",[3]Entry!$L$1834)</f>
        <v/>
      </c>
      <c r="AK1831" t="str">
        <f>IF([3]Entry!$M$1834="","",[3]Entry!$M$1834)</f>
        <v/>
      </c>
      <c r="AL1831" t="str">
        <f>IF([3]Entry!$N$1834="","",[3]Entry!$N$1834)</f>
        <v/>
      </c>
      <c r="AM1831" t="str">
        <f>IF([3]Entry!$R$1834="","",[3]Entry!$R$1834)</f>
        <v/>
      </c>
    </row>
    <row r="1832" spans="20:39" x14ac:dyDescent="0.2">
      <c r="T1832" t="str">
        <f>IF([2]Baskol!$B$1835="","",[2]Baskol!$B$1835)</f>
        <v/>
      </c>
      <c r="U1832" t="str">
        <f>IF([2]Baskol!$C$1835="","",[2]Baskol!$C$1835)</f>
        <v/>
      </c>
      <c r="V1832" t="str">
        <f>IF([2]Baskol!$D$1835="","",[2]Baskol!$D$1835)</f>
        <v/>
      </c>
      <c r="W1832" t="str">
        <f>IF([2]Baskol!$E$1835="","",[2]Baskol!$E$1835)</f>
        <v/>
      </c>
      <c r="X1832" t="str">
        <f>IF([2]Baskol!$G$1835="","",[2]Baskol!$G$1835)</f>
        <v/>
      </c>
      <c r="Y1832" t="str">
        <f>IF([2]Baskol!$I$1835="","",[2]Baskol!$I$1835)</f>
        <v/>
      </c>
      <c r="Z1832" t="str">
        <f>IF([2]Baskol!$J$1835="","",[2]Baskol!$J$1835)</f>
        <v/>
      </c>
      <c r="AA1832" t="str">
        <f>IF([2]Baskol!$K$1835="","",[2]Baskol!$K$1835)</f>
        <v/>
      </c>
      <c r="AB1832" t="str">
        <f>IF([2]Baskol!$L$1835="","",[2]Baskol!$L$1835)</f>
        <v/>
      </c>
      <c r="AC1832" t="str">
        <f>IF([2]Baskol!$N$1835="","",[2]Baskol!$N$1835)</f>
        <v/>
      </c>
      <c r="AD1832" t="str">
        <f>IF([2]Baskol!$O$1835="","",[2]Baskol!$O$1835)</f>
        <v/>
      </c>
      <c r="AE1832" t="str">
        <f>IF([3]Entry!$C$1835="","",[3]Entry!$C$1835)</f>
        <v/>
      </c>
      <c r="AF1832" t="str">
        <f>IF([3]Entry!$D$1835="","",[3]Entry!$D$1835)</f>
        <v/>
      </c>
      <c r="AG1832" t="str">
        <f>IF([3]Entry!$E$1835="","",[3]Entry!$E$1835)</f>
        <v/>
      </c>
      <c r="AH1832" t="str">
        <f>IF([3]Entry!$G$1835="","",[3]Entry!$G$1835)</f>
        <v/>
      </c>
      <c r="AI1832" t="str">
        <f>IF([3]Entry!$K$1835="","",[3]Entry!$K$1835)</f>
        <v/>
      </c>
      <c r="AJ1832" t="str">
        <f>IF([3]Entry!$L$1835="","",[3]Entry!$L$1835)</f>
        <v/>
      </c>
      <c r="AK1832" t="str">
        <f>IF([3]Entry!$M$1835="","",[3]Entry!$M$1835)</f>
        <v/>
      </c>
      <c r="AL1832" t="str">
        <f>IF([3]Entry!$N$1835="","",[3]Entry!$N$1835)</f>
        <v/>
      </c>
      <c r="AM1832" t="str">
        <f>IF([3]Entry!$R$1835="","",[3]Entry!$R$1835)</f>
        <v/>
      </c>
    </row>
    <row r="1833" spans="20:39" x14ac:dyDescent="0.2">
      <c r="T1833" t="str">
        <f>IF([2]Baskol!$B$1836="","",[2]Baskol!$B$1836)</f>
        <v/>
      </c>
      <c r="U1833" t="str">
        <f>IF([2]Baskol!$C$1836="","",[2]Baskol!$C$1836)</f>
        <v/>
      </c>
      <c r="V1833" t="str">
        <f>IF([2]Baskol!$D$1836="","",[2]Baskol!$D$1836)</f>
        <v/>
      </c>
      <c r="W1833" t="str">
        <f>IF([2]Baskol!$E$1836="","",[2]Baskol!$E$1836)</f>
        <v/>
      </c>
      <c r="X1833" t="str">
        <f>IF([2]Baskol!$G$1836="","",[2]Baskol!$G$1836)</f>
        <v/>
      </c>
      <c r="Y1833" t="str">
        <f>IF([2]Baskol!$I$1836="","",[2]Baskol!$I$1836)</f>
        <v/>
      </c>
      <c r="Z1833" t="str">
        <f>IF([2]Baskol!$J$1836="","",[2]Baskol!$J$1836)</f>
        <v/>
      </c>
      <c r="AA1833" t="str">
        <f>IF([2]Baskol!$K$1836="","",[2]Baskol!$K$1836)</f>
        <v/>
      </c>
      <c r="AB1833" t="str">
        <f>IF([2]Baskol!$L$1836="","",[2]Baskol!$L$1836)</f>
        <v/>
      </c>
      <c r="AC1833" t="str">
        <f>IF([2]Baskol!$N$1836="","",[2]Baskol!$N$1836)</f>
        <v/>
      </c>
      <c r="AD1833" t="str">
        <f>IF([2]Baskol!$O$1836="","",[2]Baskol!$O$1836)</f>
        <v/>
      </c>
      <c r="AE1833" t="str">
        <f>IF([3]Entry!$C$1836="","",[3]Entry!$C$1836)</f>
        <v/>
      </c>
      <c r="AF1833" t="str">
        <f>IF([3]Entry!$D$1836="","",[3]Entry!$D$1836)</f>
        <v/>
      </c>
      <c r="AG1833" t="str">
        <f>IF([3]Entry!$E$1836="","",[3]Entry!$E$1836)</f>
        <v/>
      </c>
      <c r="AH1833" t="str">
        <f>IF([3]Entry!$G$1836="","",[3]Entry!$G$1836)</f>
        <v/>
      </c>
      <c r="AI1833" t="str">
        <f>IF([3]Entry!$K$1836="","",[3]Entry!$K$1836)</f>
        <v/>
      </c>
      <c r="AJ1833" t="str">
        <f>IF([3]Entry!$L$1836="","",[3]Entry!$L$1836)</f>
        <v/>
      </c>
      <c r="AK1833" t="str">
        <f>IF([3]Entry!$M$1836="","",[3]Entry!$M$1836)</f>
        <v/>
      </c>
      <c r="AL1833" t="str">
        <f>IF([3]Entry!$N$1836="","",[3]Entry!$N$1836)</f>
        <v/>
      </c>
      <c r="AM1833" t="str">
        <f>IF([3]Entry!$R$1836="","",[3]Entry!$R$1836)</f>
        <v/>
      </c>
    </row>
    <row r="1834" spans="20:39" x14ac:dyDescent="0.2">
      <c r="T1834" t="str">
        <f>IF([2]Baskol!$B$1837="","",[2]Baskol!$B$1837)</f>
        <v/>
      </c>
      <c r="U1834" t="str">
        <f>IF([2]Baskol!$C$1837="","",[2]Baskol!$C$1837)</f>
        <v/>
      </c>
      <c r="V1834" t="str">
        <f>IF([2]Baskol!$D$1837="","",[2]Baskol!$D$1837)</f>
        <v/>
      </c>
      <c r="W1834" t="str">
        <f>IF([2]Baskol!$E$1837="","",[2]Baskol!$E$1837)</f>
        <v/>
      </c>
      <c r="X1834" t="str">
        <f>IF([2]Baskol!$G$1837="","",[2]Baskol!$G$1837)</f>
        <v/>
      </c>
      <c r="Y1834" t="str">
        <f>IF([2]Baskol!$I$1837="","",[2]Baskol!$I$1837)</f>
        <v/>
      </c>
      <c r="Z1834" t="str">
        <f>IF([2]Baskol!$J$1837="","",[2]Baskol!$J$1837)</f>
        <v/>
      </c>
      <c r="AA1834" t="str">
        <f>IF([2]Baskol!$K$1837="","",[2]Baskol!$K$1837)</f>
        <v/>
      </c>
      <c r="AB1834" t="str">
        <f>IF([2]Baskol!$L$1837="","",[2]Baskol!$L$1837)</f>
        <v/>
      </c>
      <c r="AC1834" t="str">
        <f>IF([2]Baskol!$N$1837="","",[2]Baskol!$N$1837)</f>
        <v/>
      </c>
      <c r="AD1834" t="str">
        <f>IF([2]Baskol!$O$1837="","",[2]Baskol!$O$1837)</f>
        <v/>
      </c>
      <c r="AE1834" t="str">
        <f>IF([3]Entry!$C$1837="","",[3]Entry!$C$1837)</f>
        <v/>
      </c>
      <c r="AF1834" t="str">
        <f>IF([3]Entry!$D$1837="","",[3]Entry!$D$1837)</f>
        <v/>
      </c>
      <c r="AG1834" t="str">
        <f>IF([3]Entry!$E$1837="","",[3]Entry!$E$1837)</f>
        <v/>
      </c>
      <c r="AH1834" t="str">
        <f>IF([3]Entry!$G$1837="","",[3]Entry!$G$1837)</f>
        <v/>
      </c>
      <c r="AI1834" t="str">
        <f>IF([3]Entry!$K$1837="","",[3]Entry!$K$1837)</f>
        <v/>
      </c>
      <c r="AJ1834" t="str">
        <f>IF([3]Entry!$L$1837="","",[3]Entry!$L$1837)</f>
        <v/>
      </c>
      <c r="AK1834" t="str">
        <f>IF([3]Entry!$M$1837="","",[3]Entry!$M$1837)</f>
        <v/>
      </c>
      <c r="AL1834" t="str">
        <f>IF([3]Entry!$N$1837="","",[3]Entry!$N$1837)</f>
        <v/>
      </c>
      <c r="AM1834" t="str">
        <f>IF([3]Entry!$R$1837="","",[3]Entry!$R$1837)</f>
        <v/>
      </c>
    </row>
    <row r="1835" spans="20:39" x14ac:dyDescent="0.2">
      <c r="T1835" t="str">
        <f>IF([2]Baskol!$B$1838="","",[2]Baskol!$B$1838)</f>
        <v/>
      </c>
      <c r="U1835" t="str">
        <f>IF([2]Baskol!$C$1838="","",[2]Baskol!$C$1838)</f>
        <v/>
      </c>
      <c r="V1835" t="str">
        <f>IF([2]Baskol!$D$1838="","",[2]Baskol!$D$1838)</f>
        <v/>
      </c>
      <c r="W1835" t="str">
        <f>IF([2]Baskol!$E$1838="","",[2]Baskol!$E$1838)</f>
        <v/>
      </c>
      <c r="X1835" t="str">
        <f>IF([2]Baskol!$G$1838="","",[2]Baskol!$G$1838)</f>
        <v/>
      </c>
      <c r="Y1835" t="str">
        <f>IF([2]Baskol!$I$1838="","",[2]Baskol!$I$1838)</f>
        <v/>
      </c>
      <c r="Z1835" t="str">
        <f>IF([2]Baskol!$J$1838="","",[2]Baskol!$J$1838)</f>
        <v/>
      </c>
      <c r="AA1835" t="str">
        <f>IF([2]Baskol!$K$1838="","",[2]Baskol!$K$1838)</f>
        <v/>
      </c>
      <c r="AB1835" t="str">
        <f>IF([2]Baskol!$L$1838="","",[2]Baskol!$L$1838)</f>
        <v/>
      </c>
      <c r="AC1835" t="str">
        <f>IF([2]Baskol!$N$1838="","",[2]Baskol!$N$1838)</f>
        <v/>
      </c>
      <c r="AD1835" t="str">
        <f>IF([2]Baskol!$O$1838="","",[2]Baskol!$O$1838)</f>
        <v/>
      </c>
      <c r="AE1835" t="str">
        <f>IF([3]Entry!$C$1838="","",[3]Entry!$C$1838)</f>
        <v/>
      </c>
      <c r="AF1835" t="str">
        <f>IF([3]Entry!$D$1838="","",[3]Entry!$D$1838)</f>
        <v/>
      </c>
      <c r="AG1835" t="str">
        <f>IF([3]Entry!$E$1838="","",[3]Entry!$E$1838)</f>
        <v/>
      </c>
      <c r="AH1835" t="str">
        <f>IF([3]Entry!$G$1838="","",[3]Entry!$G$1838)</f>
        <v/>
      </c>
      <c r="AI1835" t="str">
        <f>IF([3]Entry!$K$1838="","",[3]Entry!$K$1838)</f>
        <v/>
      </c>
      <c r="AJ1835" t="str">
        <f>IF([3]Entry!$L$1838="","",[3]Entry!$L$1838)</f>
        <v/>
      </c>
      <c r="AK1835" t="str">
        <f>IF([3]Entry!$M$1838="","",[3]Entry!$M$1838)</f>
        <v/>
      </c>
      <c r="AL1835" t="str">
        <f>IF([3]Entry!$N$1838="","",[3]Entry!$N$1838)</f>
        <v/>
      </c>
      <c r="AM1835" t="str">
        <f>IF([3]Entry!$R$1838="","",[3]Entry!$R$1838)</f>
        <v/>
      </c>
    </row>
    <row r="1836" spans="20:39" x14ac:dyDescent="0.2">
      <c r="T1836" t="str">
        <f>IF([2]Baskol!$B$1839="","",[2]Baskol!$B$1839)</f>
        <v/>
      </c>
      <c r="U1836" t="str">
        <f>IF([2]Baskol!$C$1839="","",[2]Baskol!$C$1839)</f>
        <v/>
      </c>
      <c r="V1836" t="str">
        <f>IF([2]Baskol!$D$1839="","",[2]Baskol!$D$1839)</f>
        <v/>
      </c>
      <c r="W1836" t="str">
        <f>IF([2]Baskol!$E$1839="","",[2]Baskol!$E$1839)</f>
        <v/>
      </c>
      <c r="X1836" t="str">
        <f>IF([2]Baskol!$G$1839="","",[2]Baskol!$G$1839)</f>
        <v/>
      </c>
      <c r="Y1836" t="str">
        <f>IF([2]Baskol!$I$1839="","",[2]Baskol!$I$1839)</f>
        <v/>
      </c>
      <c r="Z1836" t="str">
        <f>IF([2]Baskol!$J$1839="","",[2]Baskol!$J$1839)</f>
        <v/>
      </c>
      <c r="AA1836" t="str">
        <f>IF([2]Baskol!$K$1839="","",[2]Baskol!$K$1839)</f>
        <v/>
      </c>
      <c r="AB1836" t="str">
        <f>IF([2]Baskol!$L$1839="","",[2]Baskol!$L$1839)</f>
        <v/>
      </c>
      <c r="AC1836" t="str">
        <f>IF([2]Baskol!$N$1839="","",[2]Baskol!$N$1839)</f>
        <v/>
      </c>
      <c r="AD1836" t="str">
        <f>IF([2]Baskol!$O$1839="","",[2]Baskol!$O$1839)</f>
        <v/>
      </c>
      <c r="AE1836" t="str">
        <f>IF([3]Entry!$C$1839="","",[3]Entry!$C$1839)</f>
        <v/>
      </c>
      <c r="AF1836" t="str">
        <f>IF([3]Entry!$D$1839="","",[3]Entry!$D$1839)</f>
        <v/>
      </c>
      <c r="AG1836" t="str">
        <f>IF([3]Entry!$E$1839="","",[3]Entry!$E$1839)</f>
        <v/>
      </c>
      <c r="AH1836" t="str">
        <f>IF([3]Entry!$G$1839="","",[3]Entry!$G$1839)</f>
        <v/>
      </c>
      <c r="AI1836" t="str">
        <f>IF([3]Entry!$K$1839="","",[3]Entry!$K$1839)</f>
        <v/>
      </c>
      <c r="AJ1836" t="str">
        <f>IF([3]Entry!$L$1839="","",[3]Entry!$L$1839)</f>
        <v/>
      </c>
      <c r="AK1836" t="str">
        <f>IF([3]Entry!$M$1839="","",[3]Entry!$M$1839)</f>
        <v/>
      </c>
      <c r="AL1836" t="str">
        <f>IF([3]Entry!$N$1839="","",[3]Entry!$N$1839)</f>
        <v/>
      </c>
      <c r="AM1836" t="str">
        <f>IF([3]Entry!$R$1839="","",[3]Entry!$R$1839)</f>
        <v/>
      </c>
    </row>
    <row r="1837" spans="20:39" x14ac:dyDescent="0.2">
      <c r="T1837" t="str">
        <f>IF([2]Baskol!$B$1840="","",[2]Baskol!$B$1840)</f>
        <v/>
      </c>
      <c r="U1837" t="str">
        <f>IF([2]Baskol!$C$1840="","",[2]Baskol!$C$1840)</f>
        <v/>
      </c>
      <c r="V1837" t="str">
        <f>IF([2]Baskol!$D$1840="","",[2]Baskol!$D$1840)</f>
        <v/>
      </c>
      <c r="W1837" t="str">
        <f>IF([2]Baskol!$E$1840="","",[2]Baskol!$E$1840)</f>
        <v/>
      </c>
      <c r="X1837" t="str">
        <f>IF([2]Baskol!$G$1840="","",[2]Baskol!$G$1840)</f>
        <v/>
      </c>
      <c r="Y1837" t="str">
        <f>IF([2]Baskol!$I$1840="","",[2]Baskol!$I$1840)</f>
        <v/>
      </c>
      <c r="Z1837" t="str">
        <f>IF([2]Baskol!$J$1840="","",[2]Baskol!$J$1840)</f>
        <v/>
      </c>
      <c r="AA1837" t="str">
        <f>IF([2]Baskol!$K$1840="","",[2]Baskol!$K$1840)</f>
        <v/>
      </c>
      <c r="AB1837" t="str">
        <f>IF([2]Baskol!$L$1840="","",[2]Baskol!$L$1840)</f>
        <v/>
      </c>
      <c r="AC1837" t="str">
        <f>IF([2]Baskol!$N$1840="","",[2]Baskol!$N$1840)</f>
        <v/>
      </c>
      <c r="AD1837" t="str">
        <f>IF([2]Baskol!$O$1840="","",[2]Baskol!$O$1840)</f>
        <v/>
      </c>
      <c r="AE1837" t="str">
        <f>IF([3]Entry!$C$1840="","",[3]Entry!$C$1840)</f>
        <v/>
      </c>
      <c r="AF1837" t="str">
        <f>IF([3]Entry!$D$1840="","",[3]Entry!$D$1840)</f>
        <v/>
      </c>
      <c r="AG1837" t="str">
        <f>IF([3]Entry!$E$1840="","",[3]Entry!$E$1840)</f>
        <v/>
      </c>
      <c r="AH1837" t="str">
        <f>IF([3]Entry!$G$1840="","",[3]Entry!$G$1840)</f>
        <v/>
      </c>
      <c r="AI1837" t="str">
        <f>IF([3]Entry!$K$1840="","",[3]Entry!$K$1840)</f>
        <v/>
      </c>
      <c r="AJ1837" t="str">
        <f>IF([3]Entry!$L$1840="","",[3]Entry!$L$1840)</f>
        <v/>
      </c>
      <c r="AK1837" t="str">
        <f>IF([3]Entry!$M$1840="","",[3]Entry!$M$1840)</f>
        <v/>
      </c>
      <c r="AL1837" t="str">
        <f>IF([3]Entry!$N$1840="","",[3]Entry!$N$1840)</f>
        <v/>
      </c>
      <c r="AM1837" t="str">
        <f>IF([3]Entry!$R$1840="","",[3]Entry!$R$1840)</f>
        <v/>
      </c>
    </row>
    <row r="1838" spans="20:39" x14ac:dyDescent="0.2">
      <c r="T1838" t="str">
        <f>IF([2]Baskol!$B$1841="","",[2]Baskol!$B$1841)</f>
        <v/>
      </c>
      <c r="U1838" t="str">
        <f>IF([2]Baskol!$C$1841="","",[2]Baskol!$C$1841)</f>
        <v/>
      </c>
      <c r="V1838" t="str">
        <f>IF([2]Baskol!$D$1841="","",[2]Baskol!$D$1841)</f>
        <v/>
      </c>
      <c r="W1838" t="str">
        <f>IF([2]Baskol!$E$1841="","",[2]Baskol!$E$1841)</f>
        <v/>
      </c>
      <c r="X1838" t="str">
        <f>IF([2]Baskol!$G$1841="","",[2]Baskol!$G$1841)</f>
        <v/>
      </c>
      <c r="Y1838" t="str">
        <f>IF([2]Baskol!$I$1841="","",[2]Baskol!$I$1841)</f>
        <v/>
      </c>
      <c r="Z1838" t="str">
        <f>IF([2]Baskol!$J$1841="","",[2]Baskol!$J$1841)</f>
        <v/>
      </c>
      <c r="AA1838" t="str">
        <f>IF([2]Baskol!$K$1841="","",[2]Baskol!$K$1841)</f>
        <v/>
      </c>
      <c r="AB1838" t="str">
        <f>IF([2]Baskol!$L$1841="","",[2]Baskol!$L$1841)</f>
        <v/>
      </c>
      <c r="AC1838" t="str">
        <f>IF([2]Baskol!$N$1841="","",[2]Baskol!$N$1841)</f>
        <v/>
      </c>
      <c r="AD1838" t="str">
        <f>IF([2]Baskol!$O$1841="","",[2]Baskol!$O$1841)</f>
        <v/>
      </c>
      <c r="AE1838" t="str">
        <f>IF([3]Entry!$C$1841="","",[3]Entry!$C$1841)</f>
        <v/>
      </c>
      <c r="AF1838" t="str">
        <f>IF([3]Entry!$D$1841="","",[3]Entry!$D$1841)</f>
        <v/>
      </c>
      <c r="AG1838" t="str">
        <f>IF([3]Entry!$E$1841="","",[3]Entry!$E$1841)</f>
        <v/>
      </c>
      <c r="AH1838" t="str">
        <f>IF([3]Entry!$G$1841="","",[3]Entry!$G$1841)</f>
        <v/>
      </c>
      <c r="AI1838" t="str">
        <f>IF([3]Entry!$K$1841="","",[3]Entry!$K$1841)</f>
        <v/>
      </c>
      <c r="AJ1838" t="str">
        <f>IF([3]Entry!$L$1841="","",[3]Entry!$L$1841)</f>
        <v/>
      </c>
      <c r="AK1838" t="str">
        <f>IF([3]Entry!$M$1841="","",[3]Entry!$M$1841)</f>
        <v/>
      </c>
      <c r="AL1838" t="str">
        <f>IF([3]Entry!$N$1841="","",[3]Entry!$N$1841)</f>
        <v/>
      </c>
      <c r="AM1838" t="str">
        <f>IF([3]Entry!$R$1841="","",[3]Entry!$R$1841)</f>
        <v/>
      </c>
    </row>
    <row r="1839" spans="20:39" x14ac:dyDescent="0.2">
      <c r="T1839" t="str">
        <f>IF([2]Baskol!$B$1842="","",[2]Baskol!$B$1842)</f>
        <v/>
      </c>
      <c r="U1839" t="str">
        <f>IF([2]Baskol!$C$1842="","",[2]Baskol!$C$1842)</f>
        <v/>
      </c>
      <c r="V1839" t="str">
        <f>IF([2]Baskol!$D$1842="","",[2]Baskol!$D$1842)</f>
        <v/>
      </c>
      <c r="W1839" t="str">
        <f>IF([2]Baskol!$E$1842="","",[2]Baskol!$E$1842)</f>
        <v/>
      </c>
      <c r="X1839" t="str">
        <f>IF([2]Baskol!$G$1842="","",[2]Baskol!$G$1842)</f>
        <v/>
      </c>
      <c r="Y1839" t="str">
        <f>IF([2]Baskol!$I$1842="","",[2]Baskol!$I$1842)</f>
        <v/>
      </c>
      <c r="Z1839" t="str">
        <f>IF([2]Baskol!$J$1842="","",[2]Baskol!$J$1842)</f>
        <v/>
      </c>
      <c r="AA1839" t="str">
        <f>IF([2]Baskol!$K$1842="","",[2]Baskol!$K$1842)</f>
        <v/>
      </c>
      <c r="AB1839" t="str">
        <f>IF([2]Baskol!$L$1842="","",[2]Baskol!$L$1842)</f>
        <v/>
      </c>
      <c r="AC1839" t="str">
        <f>IF([2]Baskol!$N$1842="","",[2]Baskol!$N$1842)</f>
        <v/>
      </c>
      <c r="AD1839" t="str">
        <f>IF([2]Baskol!$O$1842="","",[2]Baskol!$O$1842)</f>
        <v/>
      </c>
      <c r="AE1839" t="str">
        <f>IF([3]Entry!$C$1842="","",[3]Entry!$C$1842)</f>
        <v/>
      </c>
      <c r="AF1839" t="str">
        <f>IF([3]Entry!$D$1842="","",[3]Entry!$D$1842)</f>
        <v/>
      </c>
      <c r="AG1839" t="str">
        <f>IF([3]Entry!$E$1842="","",[3]Entry!$E$1842)</f>
        <v/>
      </c>
      <c r="AH1839" t="str">
        <f>IF([3]Entry!$G$1842="","",[3]Entry!$G$1842)</f>
        <v/>
      </c>
      <c r="AI1839" t="str">
        <f>IF([3]Entry!$K$1842="","",[3]Entry!$K$1842)</f>
        <v/>
      </c>
      <c r="AJ1839" t="str">
        <f>IF([3]Entry!$L$1842="","",[3]Entry!$L$1842)</f>
        <v/>
      </c>
      <c r="AK1839" t="str">
        <f>IF([3]Entry!$M$1842="","",[3]Entry!$M$1842)</f>
        <v/>
      </c>
      <c r="AL1839" t="str">
        <f>IF([3]Entry!$N$1842="","",[3]Entry!$N$1842)</f>
        <v/>
      </c>
      <c r="AM1839" t="str">
        <f>IF([3]Entry!$R$1842="","",[3]Entry!$R$1842)</f>
        <v/>
      </c>
    </row>
    <row r="1840" spans="20:39" x14ac:dyDescent="0.2">
      <c r="T1840" t="str">
        <f>IF([2]Baskol!$B$1843="","",[2]Baskol!$B$1843)</f>
        <v/>
      </c>
      <c r="U1840" t="str">
        <f>IF([2]Baskol!$C$1843="","",[2]Baskol!$C$1843)</f>
        <v/>
      </c>
      <c r="V1840" t="str">
        <f>IF([2]Baskol!$D$1843="","",[2]Baskol!$D$1843)</f>
        <v/>
      </c>
      <c r="W1840" t="str">
        <f>IF([2]Baskol!$E$1843="","",[2]Baskol!$E$1843)</f>
        <v/>
      </c>
      <c r="X1840" t="str">
        <f>IF([2]Baskol!$G$1843="","",[2]Baskol!$G$1843)</f>
        <v/>
      </c>
      <c r="Y1840" t="str">
        <f>IF([2]Baskol!$I$1843="","",[2]Baskol!$I$1843)</f>
        <v/>
      </c>
      <c r="Z1840" t="str">
        <f>IF([2]Baskol!$J$1843="","",[2]Baskol!$J$1843)</f>
        <v/>
      </c>
      <c r="AA1840" t="str">
        <f>IF([2]Baskol!$K$1843="","",[2]Baskol!$K$1843)</f>
        <v/>
      </c>
      <c r="AB1840" t="str">
        <f>IF([2]Baskol!$L$1843="","",[2]Baskol!$L$1843)</f>
        <v/>
      </c>
      <c r="AC1840" t="str">
        <f>IF([2]Baskol!$N$1843="","",[2]Baskol!$N$1843)</f>
        <v/>
      </c>
      <c r="AD1840" t="str">
        <f>IF([2]Baskol!$O$1843="","",[2]Baskol!$O$1843)</f>
        <v/>
      </c>
      <c r="AE1840" t="str">
        <f>IF([3]Entry!$C$1843="","",[3]Entry!$C$1843)</f>
        <v/>
      </c>
      <c r="AF1840" t="str">
        <f>IF([3]Entry!$D$1843="","",[3]Entry!$D$1843)</f>
        <v/>
      </c>
      <c r="AG1840" t="str">
        <f>IF([3]Entry!$E$1843="","",[3]Entry!$E$1843)</f>
        <v/>
      </c>
      <c r="AH1840" t="str">
        <f>IF([3]Entry!$G$1843="","",[3]Entry!$G$1843)</f>
        <v/>
      </c>
      <c r="AI1840" t="str">
        <f>IF([3]Entry!$K$1843="","",[3]Entry!$K$1843)</f>
        <v/>
      </c>
      <c r="AJ1840" t="str">
        <f>IF([3]Entry!$L$1843="","",[3]Entry!$L$1843)</f>
        <v/>
      </c>
      <c r="AK1840" t="str">
        <f>IF([3]Entry!$M$1843="","",[3]Entry!$M$1843)</f>
        <v/>
      </c>
      <c r="AL1840" t="str">
        <f>IF([3]Entry!$N$1843="","",[3]Entry!$N$1843)</f>
        <v/>
      </c>
      <c r="AM1840" t="str">
        <f>IF([3]Entry!$R$1843="","",[3]Entry!$R$1843)</f>
        <v/>
      </c>
    </row>
    <row r="1841" spans="20:39" x14ac:dyDescent="0.2">
      <c r="T1841" t="str">
        <f>IF([2]Baskol!$B$1844="","",[2]Baskol!$B$1844)</f>
        <v/>
      </c>
      <c r="U1841" t="str">
        <f>IF([2]Baskol!$C$1844="","",[2]Baskol!$C$1844)</f>
        <v/>
      </c>
      <c r="V1841" t="str">
        <f>IF([2]Baskol!$D$1844="","",[2]Baskol!$D$1844)</f>
        <v/>
      </c>
      <c r="W1841" t="str">
        <f>IF([2]Baskol!$E$1844="","",[2]Baskol!$E$1844)</f>
        <v/>
      </c>
      <c r="X1841" t="str">
        <f>IF([2]Baskol!$G$1844="","",[2]Baskol!$G$1844)</f>
        <v/>
      </c>
      <c r="Y1841" t="str">
        <f>IF([2]Baskol!$I$1844="","",[2]Baskol!$I$1844)</f>
        <v/>
      </c>
      <c r="Z1841" t="str">
        <f>IF([2]Baskol!$J$1844="","",[2]Baskol!$J$1844)</f>
        <v/>
      </c>
      <c r="AA1841" t="str">
        <f>IF([2]Baskol!$K$1844="","",[2]Baskol!$K$1844)</f>
        <v/>
      </c>
      <c r="AB1841" t="str">
        <f>IF([2]Baskol!$L$1844="","",[2]Baskol!$L$1844)</f>
        <v/>
      </c>
      <c r="AC1841" t="str">
        <f>IF([2]Baskol!$N$1844="","",[2]Baskol!$N$1844)</f>
        <v/>
      </c>
      <c r="AD1841" t="str">
        <f>IF([2]Baskol!$O$1844="","",[2]Baskol!$O$1844)</f>
        <v/>
      </c>
      <c r="AE1841" t="str">
        <f>IF([3]Entry!$C$1844="","",[3]Entry!$C$1844)</f>
        <v/>
      </c>
      <c r="AF1841" t="str">
        <f>IF([3]Entry!$D$1844="","",[3]Entry!$D$1844)</f>
        <v/>
      </c>
      <c r="AG1841" t="str">
        <f>IF([3]Entry!$E$1844="","",[3]Entry!$E$1844)</f>
        <v/>
      </c>
      <c r="AH1841" t="str">
        <f>IF([3]Entry!$G$1844="","",[3]Entry!$G$1844)</f>
        <v/>
      </c>
      <c r="AI1841" t="str">
        <f>IF([3]Entry!$K$1844="","",[3]Entry!$K$1844)</f>
        <v/>
      </c>
      <c r="AJ1841" t="str">
        <f>IF([3]Entry!$L$1844="","",[3]Entry!$L$1844)</f>
        <v/>
      </c>
      <c r="AK1841" t="str">
        <f>IF([3]Entry!$M$1844="","",[3]Entry!$M$1844)</f>
        <v/>
      </c>
      <c r="AL1841" t="str">
        <f>IF([3]Entry!$N$1844="","",[3]Entry!$N$1844)</f>
        <v/>
      </c>
      <c r="AM1841" t="str">
        <f>IF([3]Entry!$R$1844="","",[3]Entry!$R$1844)</f>
        <v/>
      </c>
    </row>
    <row r="1842" spans="20:39" x14ac:dyDescent="0.2">
      <c r="T1842" t="str">
        <f>IF([2]Baskol!$B$1845="","",[2]Baskol!$B$1845)</f>
        <v/>
      </c>
      <c r="U1842" t="str">
        <f>IF([2]Baskol!$C$1845="","",[2]Baskol!$C$1845)</f>
        <v/>
      </c>
      <c r="V1842" t="str">
        <f>IF([2]Baskol!$D$1845="","",[2]Baskol!$D$1845)</f>
        <v/>
      </c>
      <c r="W1842" t="str">
        <f>IF([2]Baskol!$E$1845="","",[2]Baskol!$E$1845)</f>
        <v/>
      </c>
      <c r="X1842" t="str">
        <f>IF([2]Baskol!$G$1845="","",[2]Baskol!$G$1845)</f>
        <v/>
      </c>
      <c r="Y1842" t="str">
        <f>IF([2]Baskol!$I$1845="","",[2]Baskol!$I$1845)</f>
        <v/>
      </c>
      <c r="Z1842" t="str">
        <f>IF([2]Baskol!$J$1845="","",[2]Baskol!$J$1845)</f>
        <v/>
      </c>
      <c r="AA1842" t="str">
        <f>IF([2]Baskol!$K$1845="","",[2]Baskol!$K$1845)</f>
        <v/>
      </c>
      <c r="AB1842" t="str">
        <f>IF([2]Baskol!$L$1845="","",[2]Baskol!$L$1845)</f>
        <v/>
      </c>
      <c r="AC1842" t="str">
        <f>IF([2]Baskol!$N$1845="","",[2]Baskol!$N$1845)</f>
        <v/>
      </c>
      <c r="AD1842" t="str">
        <f>IF([2]Baskol!$O$1845="","",[2]Baskol!$O$1845)</f>
        <v/>
      </c>
      <c r="AE1842" t="str">
        <f>IF([3]Entry!$C$1845="","",[3]Entry!$C$1845)</f>
        <v/>
      </c>
      <c r="AF1842" t="str">
        <f>IF([3]Entry!$D$1845="","",[3]Entry!$D$1845)</f>
        <v/>
      </c>
      <c r="AG1842" t="str">
        <f>IF([3]Entry!$E$1845="","",[3]Entry!$E$1845)</f>
        <v/>
      </c>
      <c r="AH1842" t="str">
        <f>IF([3]Entry!$G$1845="","",[3]Entry!$G$1845)</f>
        <v/>
      </c>
      <c r="AI1842" t="str">
        <f>IF([3]Entry!$K$1845="","",[3]Entry!$K$1845)</f>
        <v/>
      </c>
      <c r="AJ1842" t="str">
        <f>IF([3]Entry!$L$1845="","",[3]Entry!$L$1845)</f>
        <v/>
      </c>
      <c r="AK1842" t="str">
        <f>IF([3]Entry!$M$1845="","",[3]Entry!$M$1845)</f>
        <v/>
      </c>
      <c r="AL1842" t="str">
        <f>IF([3]Entry!$N$1845="","",[3]Entry!$N$1845)</f>
        <v/>
      </c>
      <c r="AM1842" t="str">
        <f>IF([3]Entry!$R$1845="","",[3]Entry!$R$1845)</f>
        <v/>
      </c>
    </row>
    <row r="1843" spans="20:39" x14ac:dyDescent="0.2">
      <c r="T1843" t="str">
        <f>IF([2]Baskol!$B$1846="","",[2]Baskol!$B$1846)</f>
        <v/>
      </c>
      <c r="U1843" t="str">
        <f>IF([2]Baskol!$C$1846="","",[2]Baskol!$C$1846)</f>
        <v/>
      </c>
      <c r="V1843" t="str">
        <f>IF([2]Baskol!$D$1846="","",[2]Baskol!$D$1846)</f>
        <v/>
      </c>
      <c r="W1843" t="str">
        <f>IF([2]Baskol!$E$1846="","",[2]Baskol!$E$1846)</f>
        <v/>
      </c>
      <c r="X1843" t="str">
        <f>IF([2]Baskol!$G$1846="","",[2]Baskol!$G$1846)</f>
        <v/>
      </c>
      <c r="Y1843" t="str">
        <f>IF([2]Baskol!$I$1846="","",[2]Baskol!$I$1846)</f>
        <v/>
      </c>
      <c r="Z1843" t="str">
        <f>IF([2]Baskol!$J$1846="","",[2]Baskol!$J$1846)</f>
        <v/>
      </c>
      <c r="AA1843" t="str">
        <f>IF([2]Baskol!$K$1846="","",[2]Baskol!$K$1846)</f>
        <v/>
      </c>
      <c r="AB1843" t="str">
        <f>IF([2]Baskol!$L$1846="","",[2]Baskol!$L$1846)</f>
        <v/>
      </c>
      <c r="AC1843" t="str">
        <f>IF([2]Baskol!$N$1846="","",[2]Baskol!$N$1846)</f>
        <v/>
      </c>
      <c r="AD1843" t="str">
        <f>IF([2]Baskol!$O$1846="","",[2]Baskol!$O$1846)</f>
        <v/>
      </c>
      <c r="AE1843" t="str">
        <f>IF([3]Entry!$C$1846="","",[3]Entry!$C$1846)</f>
        <v/>
      </c>
      <c r="AF1843" t="str">
        <f>IF([3]Entry!$D$1846="","",[3]Entry!$D$1846)</f>
        <v/>
      </c>
      <c r="AG1843" t="str">
        <f>IF([3]Entry!$E$1846="","",[3]Entry!$E$1846)</f>
        <v/>
      </c>
      <c r="AH1843" t="str">
        <f>IF([3]Entry!$G$1846="","",[3]Entry!$G$1846)</f>
        <v/>
      </c>
      <c r="AI1843" t="str">
        <f>IF([3]Entry!$K$1846="","",[3]Entry!$K$1846)</f>
        <v/>
      </c>
      <c r="AJ1843" t="str">
        <f>IF([3]Entry!$L$1846="","",[3]Entry!$L$1846)</f>
        <v/>
      </c>
      <c r="AK1843" t="str">
        <f>IF([3]Entry!$M$1846="","",[3]Entry!$M$1846)</f>
        <v/>
      </c>
      <c r="AL1843" t="str">
        <f>IF([3]Entry!$N$1846="","",[3]Entry!$N$1846)</f>
        <v/>
      </c>
      <c r="AM1843" t="str">
        <f>IF([3]Entry!$R$1846="","",[3]Entry!$R$1846)</f>
        <v/>
      </c>
    </row>
    <row r="1844" spans="20:39" x14ac:dyDescent="0.2">
      <c r="T1844" t="str">
        <f>IF([2]Baskol!$B$1847="","",[2]Baskol!$B$1847)</f>
        <v/>
      </c>
      <c r="U1844" t="str">
        <f>IF([2]Baskol!$C$1847="","",[2]Baskol!$C$1847)</f>
        <v/>
      </c>
      <c r="V1844" t="str">
        <f>IF([2]Baskol!$D$1847="","",[2]Baskol!$D$1847)</f>
        <v/>
      </c>
      <c r="W1844" t="str">
        <f>IF([2]Baskol!$E$1847="","",[2]Baskol!$E$1847)</f>
        <v/>
      </c>
      <c r="X1844" t="str">
        <f>IF([2]Baskol!$G$1847="","",[2]Baskol!$G$1847)</f>
        <v/>
      </c>
      <c r="Y1844" t="str">
        <f>IF([2]Baskol!$I$1847="","",[2]Baskol!$I$1847)</f>
        <v/>
      </c>
      <c r="Z1844" t="str">
        <f>IF([2]Baskol!$J$1847="","",[2]Baskol!$J$1847)</f>
        <v/>
      </c>
      <c r="AA1844" t="str">
        <f>IF([2]Baskol!$K$1847="","",[2]Baskol!$K$1847)</f>
        <v/>
      </c>
      <c r="AB1844" t="str">
        <f>IF([2]Baskol!$L$1847="","",[2]Baskol!$L$1847)</f>
        <v/>
      </c>
      <c r="AC1844" t="str">
        <f>IF([2]Baskol!$N$1847="","",[2]Baskol!$N$1847)</f>
        <v/>
      </c>
      <c r="AD1844" t="str">
        <f>IF([2]Baskol!$O$1847="","",[2]Baskol!$O$1847)</f>
        <v/>
      </c>
      <c r="AE1844" t="str">
        <f>IF([3]Entry!$C$1847="","",[3]Entry!$C$1847)</f>
        <v/>
      </c>
      <c r="AF1844" t="str">
        <f>IF([3]Entry!$D$1847="","",[3]Entry!$D$1847)</f>
        <v/>
      </c>
      <c r="AG1844" t="str">
        <f>IF([3]Entry!$E$1847="","",[3]Entry!$E$1847)</f>
        <v/>
      </c>
      <c r="AH1844" t="str">
        <f>IF([3]Entry!$G$1847="","",[3]Entry!$G$1847)</f>
        <v/>
      </c>
      <c r="AI1844" t="str">
        <f>IF([3]Entry!$K$1847="","",[3]Entry!$K$1847)</f>
        <v/>
      </c>
      <c r="AJ1844" t="str">
        <f>IF([3]Entry!$L$1847="","",[3]Entry!$L$1847)</f>
        <v/>
      </c>
      <c r="AK1844" t="str">
        <f>IF([3]Entry!$M$1847="","",[3]Entry!$M$1847)</f>
        <v/>
      </c>
      <c r="AL1844" t="str">
        <f>IF([3]Entry!$N$1847="","",[3]Entry!$N$1847)</f>
        <v/>
      </c>
      <c r="AM1844" t="str">
        <f>IF([3]Entry!$R$1847="","",[3]Entry!$R$1847)</f>
        <v/>
      </c>
    </row>
    <row r="1845" spans="20:39" x14ac:dyDescent="0.2">
      <c r="T1845" t="str">
        <f>IF([2]Baskol!$B$1848="","",[2]Baskol!$B$1848)</f>
        <v/>
      </c>
      <c r="U1845" t="str">
        <f>IF([2]Baskol!$C$1848="","",[2]Baskol!$C$1848)</f>
        <v/>
      </c>
      <c r="V1845" t="str">
        <f>IF([2]Baskol!$D$1848="","",[2]Baskol!$D$1848)</f>
        <v/>
      </c>
      <c r="W1845" t="str">
        <f>IF([2]Baskol!$E$1848="","",[2]Baskol!$E$1848)</f>
        <v/>
      </c>
      <c r="X1845" t="str">
        <f>IF([2]Baskol!$G$1848="","",[2]Baskol!$G$1848)</f>
        <v/>
      </c>
      <c r="Y1845" t="str">
        <f>IF([2]Baskol!$I$1848="","",[2]Baskol!$I$1848)</f>
        <v/>
      </c>
      <c r="Z1845" t="str">
        <f>IF([2]Baskol!$J$1848="","",[2]Baskol!$J$1848)</f>
        <v/>
      </c>
      <c r="AA1845" t="str">
        <f>IF([2]Baskol!$K$1848="","",[2]Baskol!$K$1848)</f>
        <v/>
      </c>
      <c r="AB1845" t="str">
        <f>IF([2]Baskol!$L$1848="","",[2]Baskol!$L$1848)</f>
        <v/>
      </c>
      <c r="AC1845" t="str">
        <f>IF([2]Baskol!$N$1848="","",[2]Baskol!$N$1848)</f>
        <v/>
      </c>
      <c r="AD1845" t="str">
        <f>IF([2]Baskol!$O$1848="","",[2]Baskol!$O$1848)</f>
        <v/>
      </c>
      <c r="AE1845" t="str">
        <f>IF([3]Entry!$C$1848="","",[3]Entry!$C$1848)</f>
        <v/>
      </c>
      <c r="AF1845" t="str">
        <f>IF([3]Entry!$D$1848="","",[3]Entry!$D$1848)</f>
        <v/>
      </c>
      <c r="AG1845" t="str">
        <f>IF([3]Entry!$E$1848="","",[3]Entry!$E$1848)</f>
        <v/>
      </c>
      <c r="AH1845" t="str">
        <f>IF([3]Entry!$G$1848="","",[3]Entry!$G$1848)</f>
        <v/>
      </c>
      <c r="AI1845" t="str">
        <f>IF([3]Entry!$K$1848="","",[3]Entry!$K$1848)</f>
        <v/>
      </c>
      <c r="AJ1845" t="str">
        <f>IF([3]Entry!$L$1848="","",[3]Entry!$L$1848)</f>
        <v/>
      </c>
      <c r="AK1845" t="str">
        <f>IF([3]Entry!$M$1848="","",[3]Entry!$M$1848)</f>
        <v/>
      </c>
      <c r="AL1845" t="str">
        <f>IF([3]Entry!$N$1848="","",[3]Entry!$N$1848)</f>
        <v/>
      </c>
      <c r="AM1845" t="str">
        <f>IF([3]Entry!$R$1848="","",[3]Entry!$R$1848)</f>
        <v/>
      </c>
    </row>
    <row r="1846" spans="20:39" x14ac:dyDescent="0.2">
      <c r="T1846" t="str">
        <f>IF([2]Baskol!$B$1849="","",[2]Baskol!$B$1849)</f>
        <v/>
      </c>
      <c r="U1846" t="str">
        <f>IF([2]Baskol!$C$1849="","",[2]Baskol!$C$1849)</f>
        <v/>
      </c>
      <c r="V1846" t="str">
        <f>IF([2]Baskol!$D$1849="","",[2]Baskol!$D$1849)</f>
        <v/>
      </c>
      <c r="W1846" t="str">
        <f>IF([2]Baskol!$E$1849="","",[2]Baskol!$E$1849)</f>
        <v/>
      </c>
      <c r="X1846" t="str">
        <f>IF([2]Baskol!$G$1849="","",[2]Baskol!$G$1849)</f>
        <v/>
      </c>
      <c r="Y1846" t="str">
        <f>IF([2]Baskol!$I$1849="","",[2]Baskol!$I$1849)</f>
        <v/>
      </c>
      <c r="Z1846" t="str">
        <f>IF([2]Baskol!$J$1849="","",[2]Baskol!$J$1849)</f>
        <v/>
      </c>
      <c r="AA1846" t="str">
        <f>IF([2]Baskol!$K$1849="","",[2]Baskol!$K$1849)</f>
        <v/>
      </c>
      <c r="AB1846" t="str">
        <f>IF([2]Baskol!$L$1849="","",[2]Baskol!$L$1849)</f>
        <v/>
      </c>
      <c r="AC1846" t="str">
        <f>IF([2]Baskol!$N$1849="","",[2]Baskol!$N$1849)</f>
        <v/>
      </c>
      <c r="AD1846" t="str">
        <f>IF([2]Baskol!$O$1849="","",[2]Baskol!$O$1849)</f>
        <v/>
      </c>
      <c r="AE1846" t="str">
        <f>IF([3]Entry!$C$1849="","",[3]Entry!$C$1849)</f>
        <v/>
      </c>
      <c r="AF1846" t="str">
        <f>IF([3]Entry!$D$1849="","",[3]Entry!$D$1849)</f>
        <v/>
      </c>
      <c r="AG1846" t="str">
        <f>IF([3]Entry!$E$1849="","",[3]Entry!$E$1849)</f>
        <v/>
      </c>
      <c r="AH1846" t="str">
        <f>IF([3]Entry!$G$1849="","",[3]Entry!$G$1849)</f>
        <v/>
      </c>
      <c r="AI1846" t="str">
        <f>IF([3]Entry!$K$1849="","",[3]Entry!$K$1849)</f>
        <v/>
      </c>
      <c r="AJ1846" t="str">
        <f>IF([3]Entry!$L$1849="","",[3]Entry!$L$1849)</f>
        <v/>
      </c>
      <c r="AK1846" t="str">
        <f>IF([3]Entry!$M$1849="","",[3]Entry!$M$1849)</f>
        <v/>
      </c>
      <c r="AL1846" t="str">
        <f>IF([3]Entry!$N$1849="","",[3]Entry!$N$1849)</f>
        <v/>
      </c>
      <c r="AM1846" t="str">
        <f>IF([3]Entry!$R$1849="","",[3]Entry!$R$1849)</f>
        <v/>
      </c>
    </row>
    <row r="1847" spans="20:39" x14ac:dyDescent="0.2">
      <c r="T1847" t="str">
        <f>IF([2]Baskol!$B$1850="","",[2]Baskol!$B$1850)</f>
        <v/>
      </c>
      <c r="U1847" t="str">
        <f>IF([2]Baskol!$C$1850="","",[2]Baskol!$C$1850)</f>
        <v/>
      </c>
      <c r="V1847" t="str">
        <f>IF([2]Baskol!$D$1850="","",[2]Baskol!$D$1850)</f>
        <v/>
      </c>
      <c r="W1847" t="str">
        <f>IF([2]Baskol!$E$1850="","",[2]Baskol!$E$1850)</f>
        <v/>
      </c>
      <c r="X1847" t="str">
        <f>IF([2]Baskol!$G$1850="","",[2]Baskol!$G$1850)</f>
        <v/>
      </c>
      <c r="Y1847" t="str">
        <f>IF([2]Baskol!$I$1850="","",[2]Baskol!$I$1850)</f>
        <v/>
      </c>
      <c r="Z1847" t="str">
        <f>IF([2]Baskol!$J$1850="","",[2]Baskol!$J$1850)</f>
        <v/>
      </c>
      <c r="AA1847" t="str">
        <f>IF([2]Baskol!$K$1850="","",[2]Baskol!$K$1850)</f>
        <v/>
      </c>
      <c r="AB1847" t="str">
        <f>IF([2]Baskol!$L$1850="","",[2]Baskol!$L$1850)</f>
        <v/>
      </c>
      <c r="AC1847" t="str">
        <f>IF([2]Baskol!$N$1850="","",[2]Baskol!$N$1850)</f>
        <v/>
      </c>
      <c r="AD1847" t="str">
        <f>IF([2]Baskol!$O$1850="","",[2]Baskol!$O$1850)</f>
        <v/>
      </c>
      <c r="AE1847" t="str">
        <f>IF([3]Entry!$C$1850="","",[3]Entry!$C$1850)</f>
        <v/>
      </c>
      <c r="AF1847" t="str">
        <f>IF([3]Entry!$D$1850="","",[3]Entry!$D$1850)</f>
        <v/>
      </c>
      <c r="AG1847" t="str">
        <f>IF([3]Entry!$E$1850="","",[3]Entry!$E$1850)</f>
        <v/>
      </c>
      <c r="AH1847" t="str">
        <f>IF([3]Entry!$G$1850="","",[3]Entry!$G$1850)</f>
        <v/>
      </c>
      <c r="AI1847" t="str">
        <f>IF([3]Entry!$K$1850="","",[3]Entry!$K$1850)</f>
        <v/>
      </c>
      <c r="AJ1847" t="str">
        <f>IF([3]Entry!$L$1850="","",[3]Entry!$L$1850)</f>
        <v/>
      </c>
      <c r="AK1847" t="str">
        <f>IF([3]Entry!$M$1850="","",[3]Entry!$M$1850)</f>
        <v/>
      </c>
      <c r="AL1847" t="str">
        <f>IF([3]Entry!$N$1850="","",[3]Entry!$N$1850)</f>
        <v/>
      </c>
      <c r="AM1847" t="str">
        <f>IF([3]Entry!$R$1850="","",[3]Entry!$R$1850)</f>
        <v/>
      </c>
    </row>
    <row r="1848" spans="20:39" x14ac:dyDescent="0.2">
      <c r="T1848" t="str">
        <f>IF([2]Baskol!$B$1851="","",[2]Baskol!$B$1851)</f>
        <v/>
      </c>
      <c r="U1848" t="str">
        <f>IF([2]Baskol!$C$1851="","",[2]Baskol!$C$1851)</f>
        <v/>
      </c>
      <c r="V1848" t="str">
        <f>IF([2]Baskol!$D$1851="","",[2]Baskol!$D$1851)</f>
        <v/>
      </c>
      <c r="W1848" t="str">
        <f>IF([2]Baskol!$E$1851="","",[2]Baskol!$E$1851)</f>
        <v/>
      </c>
      <c r="X1848" t="str">
        <f>IF([2]Baskol!$G$1851="","",[2]Baskol!$G$1851)</f>
        <v/>
      </c>
      <c r="Y1848" t="str">
        <f>IF([2]Baskol!$I$1851="","",[2]Baskol!$I$1851)</f>
        <v/>
      </c>
      <c r="Z1848" t="str">
        <f>IF([2]Baskol!$J$1851="","",[2]Baskol!$J$1851)</f>
        <v/>
      </c>
      <c r="AA1848" t="str">
        <f>IF([2]Baskol!$K$1851="","",[2]Baskol!$K$1851)</f>
        <v/>
      </c>
      <c r="AB1848" t="str">
        <f>IF([2]Baskol!$L$1851="","",[2]Baskol!$L$1851)</f>
        <v/>
      </c>
      <c r="AC1848" t="str">
        <f>IF([2]Baskol!$N$1851="","",[2]Baskol!$N$1851)</f>
        <v/>
      </c>
      <c r="AD1848" t="str">
        <f>IF([2]Baskol!$O$1851="","",[2]Baskol!$O$1851)</f>
        <v/>
      </c>
      <c r="AE1848" t="str">
        <f>IF([3]Entry!$C$1851="","",[3]Entry!$C$1851)</f>
        <v/>
      </c>
      <c r="AF1848" t="str">
        <f>IF([3]Entry!$D$1851="","",[3]Entry!$D$1851)</f>
        <v/>
      </c>
      <c r="AG1848" t="str">
        <f>IF([3]Entry!$E$1851="","",[3]Entry!$E$1851)</f>
        <v/>
      </c>
      <c r="AH1848" t="str">
        <f>IF([3]Entry!$G$1851="","",[3]Entry!$G$1851)</f>
        <v/>
      </c>
      <c r="AI1848" t="str">
        <f>IF([3]Entry!$K$1851="","",[3]Entry!$K$1851)</f>
        <v/>
      </c>
      <c r="AJ1848" t="str">
        <f>IF([3]Entry!$L$1851="","",[3]Entry!$L$1851)</f>
        <v/>
      </c>
      <c r="AK1848" t="str">
        <f>IF([3]Entry!$M$1851="","",[3]Entry!$M$1851)</f>
        <v/>
      </c>
      <c r="AL1848" t="str">
        <f>IF([3]Entry!$N$1851="","",[3]Entry!$N$1851)</f>
        <v/>
      </c>
      <c r="AM1848" t="str">
        <f>IF([3]Entry!$R$1851="","",[3]Entry!$R$1851)</f>
        <v/>
      </c>
    </row>
    <row r="1849" spans="20:39" x14ac:dyDescent="0.2">
      <c r="T1849" t="str">
        <f>IF([2]Baskol!$B$1852="","",[2]Baskol!$B$1852)</f>
        <v/>
      </c>
      <c r="U1849" t="str">
        <f>IF([2]Baskol!$C$1852="","",[2]Baskol!$C$1852)</f>
        <v/>
      </c>
      <c r="V1849" t="str">
        <f>IF([2]Baskol!$D$1852="","",[2]Baskol!$D$1852)</f>
        <v/>
      </c>
      <c r="W1849" t="str">
        <f>IF([2]Baskol!$E$1852="","",[2]Baskol!$E$1852)</f>
        <v/>
      </c>
      <c r="X1849" t="str">
        <f>IF([2]Baskol!$G$1852="","",[2]Baskol!$G$1852)</f>
        <v/>
      </c>
      <c r="Y1849" t="str">
        <f>IF([2]Baskol!$I$1852="","",[2]Baskol!$I$1852)</f>
        <v/>
      </c>
      <c r="Z1849" t="str">
        <f>IF([2]Baskol!$J$1852="","",[2]Baskol!$J$1852)</f>
        <v/>
      </c>
      <c r="AA1849" t="str">
        <f>IF([2]Baskol!$K$1852="","",[2]Baskol!$K$1852)</f>
        <v/>
      </c>
      <c r="AB1849" t="str">
        <f>IF([2]Baskol!$L$1852="","",[2]Baskol!$L$1852)</f>
        <v/>
      </c>
      <c r="AC1849" t="str">
        <f>IF([2]Baskol!$N$1852="","",[2]Baskol!$N$1852)</f>
        <v/>
      </c>
      <c r="AD1849" t="str">
        <f>IF([2]Baskol!$O$1852="","",[2]Baskol!$O$1852)</f>
        <v/>
      </c>
      <c r="AE1849" t="str">
        <f>IF([3]Entry!$C$1852="","",[3]Entry!$C$1852)</f>
        <v/>
      </c>
      <c r="AF1849" t="str">
        <f>IF([3]Entry!$D$1852="","",[3]Entry!$D$1852)</f>
        <v/>
      </c>
      <c r="AG1849" t="str">
        <f>IF([3]Entry!$E$1852="","",[3]Entry!$E$1852)</f>
        <v/>
      </c>
      <c r="AH1849" t="str">
        <f>IF([3]Entry!$G$1852="","",[3]Entry!$G$1852)</f>
        <v/>
      </c>
      <c r="AI1849" t="str">
        <f>IF([3]Entry!$K$1852="","",[3]Entry!$K$1852)</f>
        <v/>
      </c>
      <c r="AJ1849" t="str">
        <f>IF([3]Entry!$L$1852="","",[3]Entry!$L$1852)</f>
        <v/>
      </c>
      <c r="AK1849" t="str">
        <f>IF([3]Entry!$M$1852="","",[3]Entry!$M$1852)</f>
        <v/>
      </c>
      <c r="AL1849" t="str">
        <f>IF([3]Entry!$N$1852="","",[3]Entry!$N$1852)</f>
        <v/>
      </c>
      <c r="AM1849" t="str">
        <f>IF([3]Entry!$R$1852="","",[3]Entry!$R$1852)</f>
        <v/>
      </c>
    </row>
    <row r="1850" spans="20:39" x14ac:dyDescent="0.2">
      <c r="T1850" t="str">
        <f>IF([2]Baskol!$B$1853="","",[2]Baskol!$B$1853)</f>
        <v/>
      </c>
      <c r="U1850" t="str">
        <f>IF([2]Baskol!$C$1853="","",[2]Baskol!$C$1853)</f>
        <v/>
      </c>
      <c r="V1850" t="str">
        <f>IF([2]Baskol!$D$1853="","",[2]Baskol!$D$1853)</f>
        <v/>
      </c>
      <c r="W1850" t="str">
        <f>IF([2]Baskol!$E$1853="","",[2]Baskol!$E$1853)</f>
        <v/>
      </c>
      <c r="X1850" t="str">
        <f>IF([2]Baskol!$G$1853="","",[2]Baskol!$G$1853)</f>
        <v/>
      </c>
      <c r="Y1850" t="str">
        <f>IF([2]Baskol!$I$1853="","",[2]Baskol!$I$1853)</f>
        <v/>
      </c>
      <c r="Z1850" t="str">
        <f>IF([2]Baskol!$J$1853="","",[2]Baskol!$J$1853)</f>
        <v/>
      </c>
      <c r="AA1850" t="str">
        <f>IF([2]Baskol!$K$1853="","",[2]Baskol!$K$1853)</f>
        <v/>
      </c>
      <c r="AB1850" t="str">
        <f>IF([2]Baskol!$L$1853="","",[2]Baskol!$L$1853)</f>
        <v/>
      </c>
      <c r="AC1850" t="str">
        <f>IF([2]Baskol!$N$1853="","",[2]Baskol!$N$1853)</f>
        <v/>
      </c>
      <c r="AD1850" t="str">
        <f>IF([2]Baskol!$O$1853="","",[2]Baskol!$O$1853)</f>
        <v/>
      </c>
      <c r="AE1850" t="str">
        <f>IF([3]Entry!$C$1853="","",[3]Entry!$C$1853)</f>
        <v/>
      </c>
      <c r="AF1850" t="str">
        <f>IF([3]Entry!$D$1853="","",[3]Entry!$D$1853)</f>
        <v/>
      </c>
      <c r="AG1850" t="str">
        <f>IF([3]Entry!$E$1853="","",[3]Entry!$E$1853)</f>
        <v/>
      </c>
      <c r="AH1850" t="str">
        <f>IF([3]Entry!$G$1853="","",[3]Entry!$G$1853)</f>
        <v/>
      </c>
      <c r="AI1850" t="str">
        <f>IF([3]Entry!$K$1853="","",[3]Entry!$K$1853)</f>
        <v/>
      </c>
      <c r="AJ1850" t="str">
        <f>IF([3]Entry!$L$1853="","",[3]Entry!$L$1853)</f>
        <v/>
      </c>
      <c r="AK1850" t="str">
        <f>IF([3]Entry!$M$1853="","",[3]Entry!$M$1853)</f>
        <v/>
      </c>
      <c r="AL1850" t="str">
        <f>IF([3]Entry!$N$1853="","",[3]Entry!$N$1853)</f>
        <v/>
      </c>
      <c r="AM1850" t="str">
        <f>IF([3]Entry!$R$1853="","",[3]Entry!$R$1853)</f>
        <v/>
      </c>
    </row>
    <row r="1851" spans="20:39" x14ac:dyDescent="0.2">
      <c r="T1851" t="str">
        <f>IF([2]Baskol!$B$1854="","",[2]Baskol!$B$1854)</f>
        <v/>
      </c>
      <c r="U1851" t="str">
        <f>IF([2]Baskol!$C$1854="","",[2]Baskol!$C$1854)</f>
        <v/>
      </c>
      <c r="V1851" t="str">
        <f>IF([2]Baskol!$D$1854="","",[2]Baskol!$D$1854)</f>
        <v/>
      </c>
      <c r="W1851" t="str">
        <f>IF([2]Baskol!$E$1854="","",[2]Baskol!$E$1854)</f>
        <v/>
      </c>
      <c r="X1851" t="str">
        <f>IF([2]Baskol!$G$1854="","",[2]Baskol!$G$1854)</f>
        <v/>
      </c>
      <c r="Y1851" t="str">
        <f>IF([2]Baskol!$I$1854="","",[2]Baskol!$I$1854)</f>
        <v/>
      </c>
      <c r="Z1851" t="str">
        <f>IF([2]Baskol!$J$1854="","",[2]Baskol!$J$1854)</f>
        <v/>
      </c>
      <c r="AA1851" t="str">
        <f>IF([2]Baskol!$K$1854="","",[2]Baskol!$K$1854)</f>
        <v/>
      </c>
      <c r="AB1851" t="str">
        <f>IF([2]Baskol!$L$1854="","",[2]Baskol!$L$1854)</f>
        <v/>
      </c>
      <c r="AC1851" t="str">
        <f>IF([2]Baskol!$N$1854="","",[2]Baskol!$N$1854)</f>
        <v/>
      </c>
      <c r="AD1851" t="str">
        <f>IF([2]Baskol!$O$1854="","",[2]Baskol!$O$1854)</f>
        <v/>
      </c>
      <c r="AE1851" t="str">
        <f>IF([3]Entry!$C$1854="","",[3]Entry!$C$1854)</f>
        <v/>
      </c>
      <c r="AF1851" t="str">
        <f>IF([3]Entry!$D$1854="","",[3]Entry!$D$1854)</f>
        <v/>
      </c>
      <c r="AG1851" t="str">
        <f>IF([3]Entry!$E$1854="","",[3]Entry!$E$1854)</f>
        <v/>
      </c>
      <c r="AH1851" t="str">
        <f>IF([3]Entry!$G$1854="","",[3]Entry!$G$1854)</f>
        <v/>
      </c>
      <c r="AI1851" t="str">
        <f>IF([3]Entry!$K$1854="","",[3]Entry!$K$1854)</f>
        <v/>
      </c>
      <c r="AJ1851" t="str">
        <f>IF([3]Entry!$L$1854="","",[3]Entry!$L$1854)</f>
        <v/>
      </c>
      <c r="AK1851" t="str">
        <f>IF([3]Entry!$M$1854="","",[3]Entry!$M$1854)</f>
        <v/>
      </c>
      <c r="AL1851" t="str">
        <f>IF([3]Entry!$N$1854="","",[3]Entry!$N$1854)</f>
        <v/>
      </c>
      <c r="AM1851" t="str">
        <f>IF([3]Entry!$R$1854="","",[3]Entry!$R$1854)</f>
        <v/>
      </c>
    </row>
    <row r="1852" spans="20:39" x14ac:dyDescent="0.2">
      <c r="T1852" t="str">
        <f>IF([2]Baskol!$B$1855="","",[2]Baskol!$B$1855)</f>
        <v/>
      </c>
      <c r="U1852" t="str">
        <f>IF([2]Baskol!$C$1855="","",[2]Baskol!$C$1855)</f>
        <v/>
      </c>
      <c r="V1852" t="str">
        <f>IF([2]Baskol!$D$1855="","",[2]Baskol!$D$1855)</f>
        <v/>
      </c>
      <c r="W1852" t="str">
        <f>IF([2]Baskol!$E$1855="","",[2]Baskol!$E$1855)</f>
        <v/>
      </c>
      <c r="X1852" t="str">
        <f>IF([2]Baskol!$G$1855="","",[2]Baskol!$G$1855)</f>
        <v/>
      </c>
      <c r="Y1852" t="str">
        <f>IF([2]Baskol!$I$1855="","",[2]Baskol!$I$1855)</f>
        <v/>
      </c>
      <c r="Z1852" t="str">
        <f>IF([2]Baskol!$J$1855="","",[2]Baskol!$J$1855)</f>
        <v/>
      </c>
      <c r="AA1852" t="str">
        <f>IF([2]Baskol!$K$1855="","",[2]Baskol!$K$1855)</f>
        <v/>
      </c>
      <c r="AB1852" t="str">
        <f>IF([2]Baskol!$L$1855="","",[2]Baskol!$L$1855)</f>
        <v/>
      </c>
      <c r="AC1852" t="str">
        <f>IF([2]Baskol!$N$1855="","",[2]Baskol!$N$1855)</f>
        <v/>
      </c>
      <c r="AD1852" t="str">
        <f>IF([2]Baskol!$O$1855="","",[2]Baskol!$O$1855)</f>
        <v/>
      </c>
      <c r="AE1852" t="str">
        <f>IF([3]Entry!$C$1855="","",[3]Entry!$C$1855)</f>
        <v/>
      </c>
      <c r="AF1852" t="str">
        <f>IF([3]Entry!$D$1855="","",[3]Entry!$D$1855)</f>
        <v/>
      </c>
      <c r="AG1852" t="str">
        <f>IF([3]Entry!$E$1855="","",[3]Entry!$E$1855)</f>
        <v/>
      </c>
      <c r="AH1852" t="str">
        <f>IF([3]Entry!$G$1855="","",[3]Entry!$G$1855)</f>
        <v/>
      </c>
      <c r="AI1852" t="str">
        <f>IF([3]Entry!$K$1855="","",[3]Entry!$K$1855)</f>
        <v/>
      </c>
      <c r="AJ1852" t="str">
        <f>IF([3]Entry!$L$1855="","",[3]Entry!$L$1855)</f>
        <v/>
      </c>
      <c r="AK1852" t="str">
        <f>IF([3]Entry!$M$1855="","",[3]Entry!$M$1855)</f>
        <v/>
      </c>
      <c r="AL1852" t="str">
        <f>IF([3]Entry!$N$1855="","",[3]Entry!$N$1855)</f>
        <v/>
      </c>
      <c r="AM1852" t="str">
        <f>IF([3]Entry!$R$1855="","",[3]Entry!$R$1855)</f>
        <v/>
      </c>
    </row>
    <row r="1853" spans="20:39" x14ac:dyDescent="0.2">
      <c r="T1853" t="str">
        <f>IF([2]Baskol!$B$1856="","",[2]Baskol!$B$1856)</f>
        <v/>
      </c>
      <c r="U1853" t="str">
        <f>IF([2]Baskol!$C$1856="","",[2]Baskol!$C$1856)</f>
        <v/>
      </c>
      <c r="V1853" t="str">
        <f>IF([2]Baskol!$D$1856="","",[2]Baskol!$D$1856)</f>
        <v/>
      </c>
      <c r="W1853" t="str">
        <f>IF([2]Baskol!$E$1856="","",[2]Baskol!$E$1856)</f>
        <v/>
      </c>
      <c r="X1853" t="str">
        <f>IF([2]Baskol!$G$1856="","",[2]Baskol!$G$1856)</f>
        <v/>
      </c>
      <c r="Y1853" t="str">
        <f>IF([2]Baskol!$I$1856="","",[2]Baskol!$I$1856)</f>
        <v/>
      </c>
      <c r="Z1853" t="str">
        <f>IF([2]Baskol!$J$1856="","",[2]Baskol!$J$1856)</f>
        <v/>
      </c>
      <c r="AA1853" t="str">
        <f>IF([2]Baskol!$K$1856="","",[2]Baskol!$K$1856)</f>
        <v/>
      </c>
      <c r="AB1853" t="str">
        <f>IF([2]Baskol!$L$1856="","",[2]Baskol!$L$1856)</f>
        <v/>
      </c>
      <c r="AC1853" t="str">
        <f>IF([2]Baskol!$N$1856="","",[2]Baskol!$N$1856)</f>
        <v/>
      </c>
      <c r="AD1853" t="str">
        <f>IF([2]Baskol!$O$1856="","",[2]Baskol!$O$1856)</f>
        <v/>
      </c>
      <c r="AE1853" t="str">
        <f>IF([3]Entry!$C$1856="","",[3]Entry!$C$1856)</f>
        <v/>
      </c>
      <c r="AF1853" t="str">
        <f>IF([3]Entry!$D$1856="","",[3]Entry!$D$1856)</f>
        <v/>
      </c>
      <c r="AG1853" t="str">
        <f>IF([3]Entry!$E$1856="","",[3]Entry!$E$1856)</f>
        <v/>
      </c>
      <c r="AH1853" t="str">
        <f>IF([3]Entry!$G$1856="","",[3]Entry!$G$1856)</f>
        <v/>
      </c>
      <c r="AI1853" t="str">
        <f>IF([3]Entry!$K$1856="","",[3]Entry!$K$1856)</f>
        <v/>
      </c>
      <c r="AJ1853" t="str">
        <f>IF([3]Entry!$L$1856="","",[3]Entry!$L$1856)</f>
        <v/>
      </c>
      <c r="AK1853" t="str">
        <f>IF([3]Entry!$M$1856="","",[3]Entry!$M$1856)</f>
        <v/>
      </c>
      <c r="AL1853" t="str">
        <f>IF([3]Entry!$N$1856="","",[3]Entry!$N$1856)</f>
        <v/>
      </c>
      <c r="AM1853" t="str">
        <f>IF([3]Entry!$R$1856="","",[3]Entry!$R$1856)</f>
        <v/>
      </c>
    </row>
    <row r="1854" spans="20:39" x14ac:dyDescent="0.2">
      <c r="T1854" t="str">
        <f>IF([2]Baskol!$B$1857="","",[2]Baskol!$B$1857)</f>
        <v/>
      </c>
      <c r="U1854" t="str">
        <f>IF([2]Baskol!$C$1857="","",[2]Baskol!$C$1857)</f>
        <v/>
      </c>
      <c r="V1854" t="str">
        <f>IF([2]Baskol!$D$1857="","",[2]Baskol!$D$1857)</f>
        <v/>
      </c>
      <c r="W1854" t="str">
        <f>IF([2]Baskol!$E$1857="","",[2]Baskol!$E$1857)</f>
        <v/>
      </c>
      <c r="X1854" t="str">
        <f>IF([2]Baskol!$G$1857="","",[2]Baskol!$G$1857)</f>
        <v/>
      </c>
      <c r="Y1854" t="str">
        <f>IF([2]Baskol!$I$1857="","",[2]Baskol!$I$1857)</f>
        <v/>
      </c>
      <c r="Z1854" t="str">
        <f>IF([2]Baskol!$J$1857="","",[2]Baskol!$J$1857)</f>
        <v/>
      </c>
      <c r="AA1854" t="str">
        <f>IF([2]Baskol!$K$1857="","",[2]Baskol!$K$1857)</f>
        <v/>
      </c>
      <c r="AB1854" t="str">
        <f>IF([2]Baskol!$L$1857="","",[2]Baskol!$L$1857)</f>
        <v/>
      </c>
      <c r="AC1854" t="str">
        <f>IF([2]Baskol!$N$1857="","",[2]Baskol!$N$1857)</f>
        <v/>
      </c>
      <c r="AD1854" t="str">
        <f>IF([2]Baskol!$O$1857="","",[2]Baskol!$O$1857)</f>
        <v/>
      </c>
      <c r="AE1854" t="str">
        <f>IF([3]Entry!$C$1857="","",[3]Entry!$C$1857)</f>
        <v/>
      </c>
      <c r="AF1854" t="str">
        <f>IF([3]Entry!$D$1857="","",[3]Entry!$D$1857)</f>
        <v/>
      </c>
      <c r="AG1854" t="str">
        <f>IF([3]Entry!$E$1857="","",[3]Entry!$E$1857)</f>
        <v/>
      </c>
      <c r="AH1854" t="str">
        <f>IF([3]Entry!$G$1857="","",[3]Entry!$G$1857)</f>
        <v/>
      </c>
      <c r="AI1854" t="str">
        <f>IF([3]Entry!$K$1857="","",[3]Entry!$K$1857)</f>
        <v/>
      </c>
      <c r="AJ1854" t="str">
        <f>IF([3]Entry!$L$1857="","",[3]Entry!$L$1857)</f>
        <v/>
      </c>
      <c r="AK1854" t="str">
        <f>IF([3]Entry!$M$1857="","",[3]Entry!$M$1857)</f>
        <v/>
      </c>
      <c r="AL1854" t="str">
        <f>IF([3]Entry!$N$1857="","",[3]Entry!$N$1857)</f>
        <v/>
      </c>
      <c r="AM1854" t="str">
        <f>IF([3]Entry!$R$1857="","",[3]Entry!$R$1857)</f>
        <v/>
      </c>
    </row>
    <row r="1855" spans="20:39" x14ac:dyDescent="0.2">
      <c r="T1855" t="str">
        <f>IF([2]Baskol!$B$1858="","",[2]Baskol!$B$1858)</f>
        <v/>
      </c>
      <c r="U1855" t="str">
        <f>IF([2]Baskol!$C$1858="","",[2]Baskol!$C$1858)</f>
        <v/>
      </c>
      <c r="V1855" t="str">
        <f>IF([2]Baskol!$D$1858="","",[2]Baskol!$D$1858)</f>
        <v/>
      </c>
      <c r="W1855" t="str">
        <f>IF([2]Baskol!$E$1858="","",[2]Baskol!$E$1858)</f>
        <v/>
      </c>
      <c r="X1855" t="str">
        <f>IF([2]Baskol!$G$1858="","",[2]Baskol!$G$1858)</f>
        <v/>
      </c>
      <c r="Y1855" t="str">
        <f>IF([2]Baskol!$I$1858="","",[2]Baskol!$I$1858)</f>
        <v/>
      </c>
      <c r="Z1855" t="str">
        <f>IF([2]Baskol!$J$1858="","",[2]Baskol!$J$1858)</f>
        <v/>
      </c>
      <c r="AA1855" t="str">
        <f>IF([2]Baskol!$K$1858="","",[2]Baskol!$K$1858)</f>
        <v/>
      </c>
      <c r="AB1855" t="str">
        <f>IF([2]Baskol!$L$1858="","",[2]Baskol!$L$1858)</f>
        <v/>
      </c>
      <c r="AC1855" t="str">
        <f>IF([2]Baskol!$N$1858="","",[2]Baskol!$N$1858)</f>
        <v/>
      </c>
      <c r="AD1855" t="str">
        <f>IF([2]Baskol!$O$1858="","",[2]Baskol!$O$1858)</f>
        <v/>
      </c>
      <c r="AE1855" t="str">
        <f>IF([3]Entry!$C$1858="","",[3]Entry!$C$1858)</f>
        <v/>
      </c>
      <c r="AF1855" t="str">
        <f>IF([3]Entry!$D$1858="","",[3]Entry!$D$1858)</f>
        <v/>
      </c>
      <c r="AG1855" t="str">
        <f>IF([3]Entry!$E$1858="","",[3]Entry!$E$1858)</f>
        <v/>
      </c>
      <c r="AH1855" t="str">
        <f>IF([3]Entry!$G$1858="","",[3]Entry!$G$1858)</f>
        <v/>
      </c>
      <c r="AI1855" t="str">
        <f>IF([3]Entry!$K$1858="","",[3]Entry!$K$1858)</f>
        <v/>
      </c>
      <c r="AJ1855" t="str">
        <f>IF([3]Entry!$L$1858="","",[3]Entry!$L$1858)</f>
        <v/>
      </c>
      <c r="AK1855" t="str">
        <f>IF([3]Entry!$M$1858="","",[3]Entry!$M$1858)</f>
        <v/>
      </c>
      <c r="AL1855" t="str">
        <f>IF([3]Entry!$N$1858="","",[3]Entry!$N$1858)</f>
        <v/>
      </c>
      <c r="AM1855" t="str">
        <f>IF([3]Entry!$R$1858="","",[3]Entry!$R$1858)</f>
        <v/>
      </c>
    </row>
    <row r="1856" spans="20:39" x14ac:dyDescent="0.2">
      <c r="T1856" t="str">
        <f>IF([2]Baskol!$B$1859="","",[2]Baskol!$B$1859)</f>
        <v/>
      </c>
      <c r="U1856" t="str">
        <f>IF([2]Baskol!$C$1859="","",[2]Baskol!$C$1859)</f>
        <v/>
      </c>
      <c r="V1856" t="str">
        <f>IF([2]Baskol!$D$1859="","",[2]Baskol!$D$1859)</f>
        <v/>
      </c>
      <c r="W1856" t="str">
        <f>IF([2]Baskol!$E$1859="","",[2]Baskol!$E$1859)</f>
        <v/>
      </c>
      <c r="X1856" t="str">
        <f>IF([2]Baskol!$G$1859="","",[2]Baskol!$G$1859)</f>
        <v/>
      </c>
      <c r="Y1856" t="str">
        <f>IF([2]Baskol!$I$1859="","",[2]Baskol!$I$1859)</f>
        <v/>
      </c>
      <c r="Z1856" t="str">
        <f>IF([2]Baskol!$J$1859="","",[2]Baskol!$J$1859)</f>
        <v/>
      </c>
      <c r="AA1856" t="str">
        <f>IF([2]Baskol!$K$1859="","",[2]Baskol!$K$1859)</f>
        <v/>
      </c>
      <c r="AB1856" t="str">
        <f>IF([2]Baskol!$L$1859="","",[2]Baskol!$L$1859)</f>
        <v/>
      </c>
      <c r="AC1856" t="str">
        <f>IF([2]Baskol!$N$1859="","",[2]Baskol!$N$1859)</f>
        <v/>
      </c>
      <c r="AD1856" t="str">
        <f>IF([2]Baskol!$O$1859="","",[2]Baskol!$O$1859)</f>
        <v/>
      </c>
      <c r="AE1856" t="str">
        <f>IF([3]Entry!$C$1859="","",[3]Entry!$C$1859)</f>
        <v/>
      </c>
      <c r="AF1856" t="str">
        <f>IF([3]Entry!$D$1859="","",[3]Entry!$D$1859)</f>
        <v/>
      </c>
      <c r="AG1856" t="str">
        <f>IF([3]Entry!$E$1859="","",[3]Entry!$E$1859)</f>
        <v/>
      </c>
      <c r="AH1856" t="str">
        <f>IF([3]Entry!$G$1859="","",[3]Entry!$G$1859)</f>
        <v/>
      </c>
      <c r="AI1856" t="str">
        <f>IF([3]Entry!$K$1859="","",[3]Entry!$K$1859)</f>
        <v/>
      </c>
      <c r="AJ1856" t="str">
        <f>IF([3]Entry!$L$1859="","",[3]Entry!$L$1859)</f>
        <v/>
      </c>
      <c r="AK1856" t="str">
        <f>IF([3]Entry!$M$1859="","",[3]Entry!$M$1859)</f>
        <v/>
      </c>
      <c r="AL1856" t="str">
        <f>IF([3]Entry!$N$1859="","",[3]Entry!$N$1859)</f>
        <v/>
      </c>
      <c r="AM1856" t="str">
        <f>IF([3]Entry!$R$1859="","",[3]Entry!$R$1859)</f>
        <v/>
      </c>
    </row>
    <row r="1857" spans="20:39" x14ac:dyDescent="0.2">
      <c r="T1857" t="str">
        <f>IF([2]Baskol!$B$1860="","",[2]Baskol!$B$1860)</f>
        <v/>
      </c>
      <c r="U1857" t="str">
        <f>IF([2]Baskol!$C$1860="","",[2]Baskol!$C$1860)</f>
        <v/>
      </c>
      <c r="V1857" t="str">
        <f>IF([2]Baskol!$D$1860="","",[2]Baskol!$D$1860)</f>
        <v/>
      </c>
      <c r="W1857" t="str">
        <f>IF([2]Baskol!$E$1860="","",[2]Baskol!$E$1860)</f>
        <v/>
      </c>
      <c r="X1857" t="str">
        <f>IF([2]Baskol!$G$1860="","",[2]Baskol!$G$1860)</f>
        <v/>
      </c>
      <c r="Y1857" t="str">
        <f>IF([2]Baskol!$I$1860="","",[2]Baskol!$I$1860)</f>
        <v/>
      </c>
      <c r="Z1857" t="str">
        <f>IF([2]Baskol!$J$1860="","",[2]Baskol!$J$1860)</f>
        <v/>
      </c>
      <c r="AA1857" t="str">
        <f>IF([2]Baskol!$K$1860="","",[2]Baskol!$K$1860)</f>
        <v/>
      </c>
      <c r="AB1857" t="str">
        <f>IF([2]Baskol!$L$1860="","",[2]Baskol!$L$1860)</f>
        <v/>
      </c>
      <c r="AC1857" t="str">
        <f>IF([2]Baskol!$N$1860="","",[2]Baskol!$N$1860)</f>
        <v/>
      </c>
      <c r="AD1857" t="str">
        <f>IF([2]Baskol!$O$1860="","",[2]Baskol!$O$1860)</f>
        <v/>
      </c>
      <c r="AE1857" t="str">
        <f>IF([3]Entry!$C$1860="","",[3]Entry!$C$1860)</f>
        <v/>
      </c>
      <c r="AF1857" t="str">
        <f>IF([3]Entry!$D$1860="","",[3]Entry!$D$1860)</f>
        <v/>
      </c>
      <c r="AG1857" t="str">
        <f>IF([3]Entry!$E$1860="","",[3]Entry!$E$1860)</f>
        <v/>
      </c>
      <c r="AH1857" t="str">
        <f>IF([3]Entry!$G$1860="","",[3]Entry!$G$1860)</f>
        <v/>
      </c>
      <c r="AI1857" t="str">
        <f>IF([3]Entry!$K$1860="","",[3]Entry!$K$1860)</f>
        <v/>
      </c>
      <c r="AJ1857" t="str">
        <f>IF([3]Entry!$L$1860="","",[3]Entry!$L$1860)</f>
        <v/>
      </c>
      <c r="AK1857" t="str">
        <f>IF([3]Entry!$M$1860="","",[3]Entry!$M$1860)</f>
        <v/>
      </c>
      <c r="AL1857" t="str">
        <f>IF([3]Entry!$N$1860="","",[3]Entry!$N$1860)</f>
        <v/>
      </c>
      <c r="AM1857" t="str">
        <f>IF([3]Entry!$R$1860="","",[3]Entry!$R$1860)</f>
        <v/>
      </c>
    </row>
    <row r="1858" spans="20:39" x14ac:dyDescent="0.2">
      <c r="T1858" t="str">
        <f>IF([2]Baskol!$B$1861="","",[2]Baskol!$B$1861)</f>
        <v/>
      </c>
      <c r="U1858" t="str">
        <f>IF([2]Baskol!$C$1861="","",[2]Baskol!$C$1861)</f>
        <v/>
      </c>
      <c r="V1858" t="str">
        <f>IF([2]Baskol!$D$1861="","",[2]Baskol!$D$1861)</f>
        <v/>
      </c>
      <c r="W1858" t="str">
        <f>IF([2]Baskol!$E$1861="","",[2]Baskol!$E$1861)</f>
        <v/>
      </c>
      <c r="X1858" t="str">
        <f>IF([2]Baskol!$G$1861="","",[2]Baskol!$G$1861)</f>
        <v/>
      </c>
      <c r="Y1858" t="str">
        <f>IF([2]Baskol!$I$1861="","",[2]Baskol!$I$1861)</f>
        <v/>
      </c>
      <c r="Z1858" t="str">
        <f>IF([2]Baskol!$J$1861="","",[2]Baskol!$J$1861)</f>
        <v/>
      </c>
      <c r="AA1858" t="str">
        <f>IF([2]Baskol!$K$1861="","",[2]Baskol!$K$1861)</f>
        <v/>
      </c>
      <c r="AB1858" t="str">
        <f>IF([2]Baskol!$L$1861="","",[2]Baskol!$L$1861)</f>
        <v/>
      </c>
      <c r="AC1858" t="str">
        <f>IF([2]Baskol!$N$1861="","",[2]Baskol!$N$1861)</f>
        <v/>
      </c>
      <c r="AD1858" t="str">
        <f>IF([2]Baskol!$O$1861="","",[2]Baskol!$O$1861)</f>
        <v/>
      </c>
      <c r="AE1858" t="str">
        <f>IF([3]Entry!$C$1861="","",[3]Entry!$C$1861)</f>
        <v/>
      </c>
      <c r="AF1858" t="str">
        <f>IF([3]Entry!$D$1861="","",[3]Entry!$D$1861)</f>
        <v/>
      </c>
      <c r="AG1858" t="str">
        <f>IF([3]Entry!$E$1861="","",[3]Entry!$E$1861)</f>
        <v/>
      </c>
      <c r="AH1858" t="str">
        <f>IF([3]Entry!$G$1861="","",[3]Entry!$G$1861)</f>
        <v/>
      </c>
      <c r="AI1858" t="str">
        <f>IF([3]Entry!$K$1861="","",[3]Entry!$K$1861)</f>
        <v/>
      </c>
      <c r="AJ1858" t="str">
        <f>IF([3]Entry!$L$1861="","",[3]Entry!$L$1861)</f>
        <v/>
      </c>
      <c r="AK1858" t="str">
        <f>IF([3]Entry!$M$1861="","",[3]Entry!$M$1861)</f>
        <v/>
      </c>
      <c r="AL1858" t="str">
        <f>IF([3]Entry!$N$1861="","",[3]Entry!$N$1861)</f>
        <v/>
      </c>
      <c r="AM1858" t="str">
        <f>IF([3]Entry!$R$1861="","",[3]Entry!$R$1861)</f>
        <v/>
      </c>
    </row>
    <row r="1859" spans="20:39" x14ac:dyDescent="0.2">
      <c r="T1859" t="str">
        <f>IF([2]Baskol!$B$1862="","",[2]Baskol!$B$1862)</f>
        <v/>
      </c>
      <c r="U1859" t="str">
        <f>IF([2]Baskol!$C$1862="","",[2]Baskol!$C$1862)</f>
        <v/>
      </c>
      <c r="V1859" t="str">
        <f>IF([2]Baskol!$D$1862="","",[2]Baskol!$D$1862)</f>
        <v/>
      </c>
      <c r="W1859" t="str">
        <f>IF([2]Baskol!$E$1862="","",[2]Baskol!$E$1862)</f>
        <v/>
      </c>
      <c r="X1859" t="str">
        <f>IF([2]Baskol!$G$1862="","",[2]Baskol!$G$1862)</f>
        <v/>
      </c>
      <c r="Y1859" t="str">
        <f>IF([2]Baskol!$I$1862="","",[2]Baskol!$I$1862)</f>
        <v/>
      </c>
      <c r="Z1859" t="str">
        <f>IF([2]Baskol!$J$1862="","",[2]Baskol!$J$1862)</f>
        <v/>
      </c>
      <c r="AA1859" t="str">
        <f>IF([2]Baskol!$K$1862="","",[2]Baskol!$K$1862)</f>
        <v/>
      </c>
      <c r="AB1859" t="str">
        <f>IF([2]Baskol!$L$1862="","",[2]Baskol!$L$1862)</f>
        <v/>
      </c>
      <c r="AC1859" t="str">
        <f>IF([2]Baskol!$N$1862="","",[2]Baskol!$N$1862)</f>
        <v/>
      </c>
      <c r="AD1859" t="str">
        <f>IF([2]Baskol!$O$1862="","",[2]Baskol!$O$1862)</f>
        <v/>
      </c>
      <c r="AE1859" t="str">
        <f>IF([3]Entry!$C$1862="","",[3]Entry!$C$1862)</f>
        <v/>
      </c>
      <c r="AF1859" t="str">
        <f>IF([3]Entry!$D$1862="","",[3]Entry!$D$1862)</f>
        <v/>
      </c>
      <c r="AG1859" t="str">
        <f>IF([3]Entry!$E$1862="","",[3]Entry!$E$1862)</f>
        <v/>
      </c>
      <c r="AH1859" t="str">
        <f>IF([3]Entry!$G$1862="","",[3]Entry!$G$1862)</f>
        <v/>
      </c>
      <c r="AI1859" t="str">
        <f>IF([3]Entry!$K$1862="","",[3]Entry!$K$1862)</f>
        <v/>
      </c>
      <c r="AJ1859" t="str">
        <f>IF([3]Entry!$L$1862="","",[3]Entry!$L$1862)</f>
        <v/>
      </c>
      <c r="AK1859" t="str">
        <f>IF([3]Entry!$M$1862="","",[3]Entry!$M$1862)</f>
        <v/>
      </c>
      <c r="AL1859" t="str">
        <f>IF([3]Entry!$N$1862="","",[3]Entry!$N$1862)</f>
        <v/>
      </c>
      <c r="AM1859" t="str">
        <f>IF([3]Entry!$R$1862="","",[3]Entry!$R$1862)</f>
        <v/>
      </c>
    </row>
    <row r="1860" spans="20:39" x14ac:dyDescent="0.2">
      <c r="T1860" t="str">
        <f>IF([2]Baskol!$B$1863="","",[2]Baskol!$B$1863)</f>
        <v/>
      </c>
      <c r="U1860" t="str">
        <f>IF([2]Baskol!$C$1863="","",[2]Baskol!$C$1863)</f>
        <v/>
      </c>
      <c r="V1860" t="str">
        <f>IF([2]Baskol!$D$1863="","",[2]Baskol!$D$1863)</f>
        <v/>
      </c>
      <c r="W1860" t="str">
        <f>IF([2]Baskol!$E$1863="","",[2]Baskol!$E$1863)</f>
        <v/>
      </c>
      <c r="X1860" t="str">
        <f>IF([2]Baskol!$G$1863="","",[2]Baskol!$G$1863)</f>
        <v/>
      </c>
      <c r="Y1860" t="str">
        <f>IF([2]Baskol!$I$1863="","",[2]Baskol!$I$1863)</f>
        <v/>
      </c>
      <c r="Z1860" t="str">
        <f>IF([2]Baskol!$J$1863="","",[2]Baskol!$J$1863)</f>
        <v/>
      </c>
      <c r="AA1860" t="str">
        <f>IF([2]Baskol!$K$1863="","",[2]Baskol!$K$1863)</f>
        <v/>
      </c>
      <c r="AB1860" t="str">
        <f>IF([2]Baskol!$L$1863="","",[2]Baskol!$L$1863)</f>
        <v/>
      </c>
      <c r="AC1860" t="str">
        <f>IF([2]Baskol!$N$1863="","",[2]Baskol!$N$1863)</f>
        <v/>
      </c>
      <c r="AD1860" t="str">
        <f>IF([2]Baskol!$O$1863="","",[2]Baskol!$O$1863)</f>
        <v/>
      </c>
      <c r="AE1860" t="str">
        <f>IF([3]Entry!$C$1863="","",[3]Entry!$C$1863)</f>
        <v/>
      </c>
      <c r="AF1860" t="str">
        <f>IF([3]Entry!$D$1863="","",[3]Entry!$D$1863)</f>
        <v/>
      </c>
      <c r="AG1860" t="str">
        <f>IF([3]Entry!$E$1863="","",[3]Entry!$E$1863)</f>
        <v/>
      </c>
      <c r="AH1860" t="str">
        <f>IF([3]Entry!$G$1863="","",[3]Entry!$G$1863)</f>
        <v/>
      </c>
      <c r="AI1860" t="str">
        <f>IF([3]Entry!$K$1863="","",[3]Entry!$K$1863)</f>
        <v/>
      </c>
      <c r="AJ1860" t="str">
        <f>IF([3]Entry!$L$1863="","",[3]Entry!$L$1863)</f>
        <v/>
      </c>
      <c r="AK1860" t="str">
        <f>IF([3]Entry!$M$1863="","",[3]Entry!$M$1863)</f>
        <v/>
      </c>
      <c r="AL1860" t="str">
        <f>IF([3]Entry!$N$1863="","",[3]Entry!$N$1863)</f>
        <v/>
      </c>
      <c r="AM1860" t="str">
        <f>IF([3]Entry!$R$1863="","",[3]Entry!$R$1863)</f>
        <v/>
      </c>
    </row>
    <row r="1861" spans="20:39" x14ac:dyDescent="0.2">
      <c r="T1861" t="str">
        <f>IF([2]Baskol!$B$1864="","",[2]Baskol!$B$1864)</f>
        <v/>
      </c>
      <c r="U1861" t="str">
        <f>IF([2]Baskol!$C$1864="","",[2]Baskol!$C$1864)</f>
        <v/>
      </c>
      <c r="V1861" t="str">
        <f>IF([2]Baskol!$D$1864="","",[2]Baskol!$D$1864)</f>
        <v/>
      </c>
      <c r="W1861" t="str">
        <f>IF([2]Baskol!$E$1864="","",[2]Baskol!$E$1864)</f>
        <v/>
      </c>
      <c r="X1861" t="str">
        <f>IF([2]Baskol!$G$1864="","",[2]Baskol!$G$1864)</f>
        <v/>
      </c>
      <c r="Y1861" t="str">
        <f>IF([2]Baskol!$I$1864="","",[2]Baskol!$I$1864)</f>
        <v/>
      </c>
      <c r="Z1861" t="str">
        <f>IF([2]Baskol!$J$1864="","",[2]Baskol!$J$1864)</f>
        <v/>
      </c>
      <c r="AA1861" t="str">
        <f>IF([2]Baskol!$K$1864="","",[2]Baskol!$K$1864)</f>
        <v/>
      </c>
      <c r="AB1861" t="str">
        <f>IF([2]Baskol!$L$1864="","",[2]Baskol!$L$1864)</f>
        <v/>
      </c>
      <c r="AC1861" t="str">
        <f>IF([2]Baskol!$N$1864="","",[2]Baskol!$N$1864)</f>
        <v/>
      </c>
      <c r="AD1861" t="str">
        <f>IF([2]Baskol!$O$1864="","",[2]Baskol!$O$1864)</f>
        <v/>
      </c>
      <c r="AE1861" t="str">
        <f>IF([3]Entry!$C$1864="","",[3]Entry!$C$1864)</f>
        <v/>
      </c>
      <c r="AF1861" t="str">
        <f>IF([3]Entry!$D$1864="","",[3]Entry!$D$1864)</f>
        <v/>
      </c>
      <c r="AG1861" t="str">
        <f>IF([3]Entry!$E$1864="","",[3]Entry!$E$1864)</f>
        <v/>
      </c>
      <c r="AH1861" t="str">
        <f>IF([3]Entry!$G$1864="","",[3]Entry!$G$1864)</f>
        <v/>
      </c>
      <c r="AI1861" t="str">
        <f>IF([3]Entry!$K$1864="","",[3]Entry!$K$1864)</f>
        <v/>
      </c>
      <c r="AJ1861" t="str">
        <f>IF([3]Entry!$L$1864="","",[3]Entry!$L$1864)</f>
        <v/>
      </c>
      <c r="AK1861" t="str">
        <f>IF([3]Entry!$M$1864="","",[3]Entry!$M$1864)</f>
        <v/>
      </c>
      <c r="AL1861" t="str">
        <f>IF([3]Entry!$N$1864="","",[3]Entry!$N$1864)</f>
        <v/>
      </c>
      <c r="AM1861" t="str">
        <f>IF([3]Entry!$R$1864="","",[3]Entry!$R$1864)</f>
        <v/>
      </c>
    </row>
    <row r="1862" spans="20:39" x14ac:dyDescent="0.2">
      <c r="T1862" t="str">
        <f>IF([2]Baskol!$B$1865="","",[2]Baskol!$B$1865)</f>
        <v/>
      </c>
      <c r="U1862" t="str">
        <f>IF([2]Baskol!$C$1865="","",[2]Baskol!$C$1865)</f>
        <v/>
      </c>
      <c r="V1862" t="str">
        <f>IF([2]Baskol!$D$1865="","",[2]Baskol!$D$1865)</f>
        <v/>
      </c>
      <c r="W1862" t="str">
        <f>IF([2]Baskol!$E$1865="","",[2]Baskol!$E$1865)</f>
        <v/>
      </c>
      <c r="X1862" t="str">
        <f>IF([2]Baskol!$G$1865="","",[2]Baskol!$G$1865)</f>
        <v/>
      </c>
      <c r="Y1862" t="str">
        <f>IF([2]Baskol!$I$1865="","",[2]Baskol!$I$1865)</f>
        <v/>
      </c>
      <c r="Z1862" t="str">
        <f>IF([2]Baskol!$J$1865="","",[2]Baskol!$J$1865)</f>
        <v/>
      </c>
      <c r="AA1862" t="str">
        <f>IF([2]Baskol!$K$1865="","",[2]Baskol!$K$1865)</f>
        <v/>
      </c>
      <c r="AB1862" t="str">
        <f>IF([2]Baskol!$L$1865="","",[2]Baskol!$L$1865)</f>
        <v/>
      </c>
      <c r="AC1862" t="str">
        <f>IF([2]Baskol!$N$1865="","",[2]Baskol!$N$1865)</f>
        <v/>
      </c>
      <c r="AD1862" t="str">
        <f>IF([2]Baskol!$O$1865="","",[2]Baskol!$O$1865)</f>
        <v/>
      </c>
      <c r="AE1862" t="str">
        <f>IF([3]Entry!$C$1865="","",[3]Entry!$C$1865)</f>
        <v/>
      </c>
      <c r="AF1862" t="str">
        <f>IF([3]Entry!$D$1865="","",[3]Entry!$D$1865)</f>
        <v/>
      </c>
      <c r="AG1862" t="str">
        <f>IF([3]Entry!$E$1865="","",[3]Entry!$E$1865)</f>
        <v/>
      </c>
      <c r="AH1862" t="str">
        <f>IF([3]Entry!$G$1865="","",[3]Entry!$G$1865)</f>
        <v/>
      </c>
      <c r="AI1862" t="str">
        <f>IF([3]Entry!$K$1865="","",[3]Entry!$K$1865)</f>
        <v/>
      </c>
      <c r="AJ1862" t="str">
        <f>IF([3]Entry!$L$1865="","",[3]Entry!$L$1865)</f>
        <v/>
      </c>
      <c r="AK1862" t="str">
        <f>IF([3]Entry!$M$1865="","",[3]Entry!$M$1865)</f>
        <v/>
      </c>
      <c r="AL1862" t="str">
        <f>IF([3]Entry!$N$1865="","",[3]Entry!$N$1865)</f>
        <v/>
      </c>
      <c r="AM1862" t="str">
        <f>IF([3]Entry!$R$1865="","",[3]Entry!$R$1865)</f>
        <v/>
      </c>
    </row>
    <row r="1863" spans="20:39" x14ac:dyDescent="0.2">
      <c r="T1863" t="str">
        <f>IF([2]Baskol!$B$1866="","",[2]Baskol!$B$1866)</f>
        <v/>
      </c>
      <c r="U1863" t="str">
        <f>IF([2]Baskol!$C$1866="","",[2]Baskol!$C$1866)</f>
        <v/>
      </c>
      <c r="V1863" t="str">
        <f>IF([2]Baskol!$D$1866="","",[2]Baskol!$D$1866)</f>
        <v/>
      </c>
      <c r="W1863" t="str">
        <f>IF([2]Baskol!$E$1866="","",[2]Baskol!$E$1866)</f>
        <v/>
      </c>
      <c r="X1863" t="str">
        <f>IF([2]Baskol!$G$1866="","",[2]Baskol!$G$1866)</f>
        <v/>
      </c>
      <c r="Y1863" t="str">
        <f>IF([2]Baskol!$I$1866="","",[2]Baskol!$I$1866)</f>
        <v/>
      </c>
      <c r="Z1863" t="str">
        <f>IF([2]Baskol!$J$1866="","",[2]Baskol!$J$1866)</f>
        <v/>
      </c>
      <c r="AA1863" t="str">
        <f>IF([2]Baskol!$K$1866="","",[2]Baskol!$K$1866)</f>
        <v/>
      </c>
      <c r="AB1863" t="str">
        <f>IF([2]Baskol!$L$1866="","",[2]Baskol!$L$1866)</f>
        <v/>
      </c>
      <c r="AC1863" t="str">
        <f>IF([2]Baskol!$N$1866="","",[2]Baskol!$N$1866)</f>
        <v/>
      </c>
      <c r="AD1863" t="str">
        <f>IF([2]Baskol!$O$1866="","",[2]Baskol!$O$1866)</f>
        <v/>
      </c>
      <c r="AE1863" t="str">
        <f>IF([3]Entry!$C$1866="","",[3]Entry!$C$1866)</f>
        <v/>
      </c>
      <c r="AF1863" t="str">
        <f>IF([3]Entry!$D$1866="","",[3]Entry!$D$1866)</f>
        <v/>
      </c>
      <c r="AG1863" t="str">
        <f>IF([3]Entry!$E$1866="","",[3]Entry!$E$1866)</f>
        <v/>
      </c>
      <c r="AH1863" t="str">
        <f>IF([3]Entry!$G$1866="","",[3]Entry!$G$1866)</f>
        <v/>
      </c>
      <c r="AI1863" t="str">
        <f>IF([3]Entry!$K$1866="","",[3]Entry!$K$1866)</f>
        <v/>
      </c>
      <c r="AJ1863" t="str">
        <f>IF([3]Entry!$L$1866="","",[3]Entry!$L$1866)</f>
        <v/>
      </c>
      <c r="AK1863" t="str">
        <f>IF([3]Entry!$M$1866="","",[3]Entry!$M$1866)</f>
        <v/>
      </c>
      <c r="AL1863" t="str">
        <f>IF([3]Entry!$N$1866="","",[3]Entry!$N$1866)</f>
        <v/>
      </c>
      <c r="AM1863" t="str">
        <f>IF([3]Entry!$R$1866="","",[3]Entry!$R$1866)</f>
        <v/>
      </c>
    </row>
    <row r="1864" spans="20:39" x14ac:dyDescent="0.2">
      <c r="T1864" t="str">
        <f>IF([2]Baskol!$B$1867="","",[2]Baskol!$B$1867)</f>
        <v/>
      </c>
      <c r="U1864" t="str">
        <f>IF([2]Baskol!$C$1867="","",[2]Baskol!$C$1867)</f>
        <v/>
      </c>
      <c r="V1864" t="str">
        <f>IF([2]Baskol!$D$1867="","",[2]Baskol!$D$1867)</f>
        <v/>
      </c>
      <c r="W1864" t="str">
        <f>IF([2]Baskol!$E$1867="","",[2]Baskol!$E$1867)</f>
        <v/>
      </c>
      <c r="X1864" t="str">
        <f>IF([2]Baskol!$G$1867="","",[2]Baskol!$G$1867)</f>
        <v/>
      </c>
      <c r="Y1864" t="str">
        <f>IF([2]Baskol!$I$1867="","",[2]Baskol!$I$1867)</f>
        <v/>
      </c>
      <c r="Z1864" t="str">
        <f>IF([2]Baskol!$J$1867="","",[2]Baskol!$J$1867)</f>
        <v/>
      </c>
      <c r="AA1864" t="str">
        <f>IF([2]Baskol!$K$1867="","",[2]Baskol!$K$1867)</f>
        <v/>
      </c>
      <c r="AB1864" t="str">
        <f>IF([2]Baskol!$L$1867="","",[2]Baskol!$L$1867)</f>
        <v/>
      </c>
      <c r="AC1864" t="str">
        <f>IF([2]Baskol!$N$1867="","",[2]Baskol!$N$1867)</f>
        <v/>
      </c>
      <c r="AD1864" t="str">
        <f>IF([2]Baskol!$O$1867="","",[2]Baskol!$O$1867)</f>
        <v/>
      </c>
      <c r="AE1864" t="str">
        <f>IF([3]Entry!$C$1867="","",[3]Entry!$C$1867)</f>
        <v/>
      </c>
      <c r="AF1864" t="str">
        <f>IF([3]Entry!$D$1867="","",[3]Entry!$D$1867)</f>
        <v/>
      </c>
      <c r="AG1864" t="str">
        <f>IF([3]Entry!$E$1867="","",[3]Entry!$E$1867)</f>
        <v/>
      </c>
      <c r="AH1864" t="str">
        <f>IF([3]Entry!$G$1867="","",[3]Entry!$G$1867)</f>
        <v/>
      </c>
      <c r="AI1864" t="str">
        <f>IF([3]Entry!$K$1867="","",[3]Entry!$K$1867)</f>
        <v/>
      </c>
      <c r="AJ1864" t="str">
        <f>IF([3]Entry!$L$1867="","",[3]Entry!$L$1867)</f>
        <v/>
      </c>
      <c r="AK1864" t="str">
        <f>IF([3]Entry!$M$1867="","",[3]Entry!$M$1867)</f>
        <v/>
      </c>
      <c r="AL1864" t="str">
        <f>IF([3]Entry!$N$1867="","",[3]Entry!$N$1867)</f>
        <v/>
      </c>
      <c r="AM1864" t="str">
        <f>IF([3]Entry!$R$1867="","",[3]Entry!$R$1867)</f>
        <v/>
      </c>
    </row>
    <row r="1865" spans="20:39" x14ac:dyDescent="0.2">
      <c r="T1865" t="str">
        <f>IF([2]Baskol!$B$1868="","",[2]Baskol!$B$1868)</f>
        <v/>
      </c>
      <c r="U1865" t="str">
        <f>IF([2]Baskol!$C$1868="","",[2]Baskol!$C$1868)</f>
        <v/>
      </c>
      <c r="V1865" t="str">
        <f>IF([2]Baskol!$D$1868="","",[2]Baskol!$D$1868)</f>
        <v/>
      </c>
      <c r="W1865" t="str">
        <f>IF([2]Baskol!$E$1868="","",[2]Baskol!$E$1868)</f>
        <v/>
      </c>
      <c r="X1865" t="str">
        <f>IF([2]Baskol!$G$1868="","",[2]Baskol!$G$1868)</f>
        <v/>
      </c>
      <c r="Y1865" t="str">
        <f>IF([2]Baskol!$I$1868="","",[2]Baskol!$I$1868)</f>
        <v/>
      </c>
      <c r="Z1865" t="str">
        <f>IF([2]Baskol!$J$1868="","",[2]Baskol!$J$1868)</f>
        <v/>
      </c>
      <c r="AA1865" t="str">
        <f>IF([2]Baskol!$K$1868="","",[2]Baskol!$K$1868)</f>
        <v/>
      </c>
      <c r="AB1865" t="str">
        <f>IF([2]Baskol!$L$1868="","",[2]Baskol!$L$1868)</f>
        <v/>
      </c>
      <c r="AC1865" t="str">
        <f>IF([2]Baskol!$N$1868="","",[2]Baskol!$N$1868)</f>
        <v/>
      </c>
      <c r="AD1865" t="str">
        <f>IF([2]Baskol!$O$1868="","",[2]Baskol!$O$1868)</f>
        <v/>
      </c>
      <c r="AE1865" t="str">
        <f>IF([3]Entry!$C$1868="","",[3]Entry!$C$1868)</f>
        <v/>
      </c>
      <c r="AF1865" t="str">
        <f>IF([3]Entry!$D$1868="","",[3]Entry!$D$1868)</f>
        <v/>
      </c>
      <c r="AG1865" t="str">
        <f>IF([3]Entry!$E$1868="","",[3]Entry!$E$1868)</f>
        <v/>
      </c>
      <c r="AH1865" t="str">
        <f>IF([3]Entry!$G$1868="","",[3]Entry!$G$1868)</f>
        <v/>
      </c>
      <c r="AI1865" t="str">
        <f>IF([3]Entry!$K$1868="","",[3]Entry!$K$1868)</f>
        <v/>
      </c>
      <c r="AJ1865" t="str">
        <f>IF([3]Entry!$L$1868="","",[3]Entry!$L$1868)</f>
        <v/>
      </c>
      <c r="AK1865" t="str">
        <f>IF([3]Entry!$M$1868="","",[3]Entry!$M$1868)</f>
        <v/>
      </c>
      <c r="AL1865" t="str">
        <f>IF([3]Entry!$N$1868="","",[3]Entry!$N$1868)</f>
        <v/>
      </c>
      <c r="AM1865" t="str">
        <f>IF([3]Entry!$R$1868="","",[3]Entry!$R$1868)</f>
        <v/>
      </c>
    </row>
    <row r="1866" spans="20:39" x14ac:dyDescent="0.2">
      <c r="T1866" t="str">
        <f>IF([2]Baskol!$B$1869="","",[2]Baskol!$B$1869)</f>
        <v/>
      </c>
      <c r="U1866" t="str">
        <f>IF([2]Baskol!$C$1869="","",[2]Baskol!$C$1869)</f>
        <v/>
      </c>
      <c r="V1866" t="str">
        <f>IF([2]Baskol!$D$1869="","",[2]Baskol!$D$1869)</f>
        <v/>
      </c>
      <c r="W1866" t="str">
        <f>IF([2]Baskol!$E$1869="","",[2]Baskol!$E$1869)</f>
        <v/>
      </c>
      <c r="X1866" t="str">
        <f>IF([2]Baskol!$G$1869="","",[2]Baskol!$G$1869)</f>
        <v/>
      </c>
      <c r="Y1866" t="str">
        <f>IF([2]Baskol!$I$1869="","",[2]Baskol!$I$1869)</f>
        <v/>
      </c>
      <c r="Z1866" t="str">
        <f>IF([2]Baskol!$J$1869="","",[2]Baskol!$J$1869)</f>
        <v/>
      </c>
      <c r="AA1866" t="str">
        <f>IF([2]Baskol!$K$1869="","",[2]Baskol!$K$1869)</f>
        <v/>
      </c>
      <c r="AB1866" t="str">
        <f>IF([2]Baskol!$L$1869="","",[2]Baskol!$L$1869)</f>
        <v/>
      </c>
      <c r="AC1866" t="str">
        <f>IF([2]Baskol!$N$1869="","",[2]Baskol!$N$1869)</f>
        <v/>
      </c>
      <c r="AD1866" t="str">
        <f>IF([2]Baskol!$O$1869="","",[2]Baskol!$O$1869)</f>
        <v/>
      </c>
      <c r="AE1866" t="str">
        <f>IF([3]Entry!$C$1869="","",[3]Entry!$C$1869)</f>
        <v/>
      </c>
      <c r="AF1866" t="str">
        <f>IF([3]Entry!$D$1869="","",[3]Entry!$D$1869)</f>
        <v/>
      </c>
      <c r="AG1866" t="str">
        <f>IF([3]Entry!$E$1869="","",[3]Entry!$E$1869)</f>
        <v/>
      </c>
      <c r="AH1866" t="str">
        <f>IF([3]Entry!$G$1869="","",[3]Entry!$G$1869)</f>
        <v/>
      </c>
      <c r="AI1866" t="str">
        <f>IF([3]Entry!$K$1869="","",[3]Entry!$K$1869)</f>
        <v/>
      </c>
      <c r="AJ1866" t="str">
        <f>IF([3]Entry!$L$1869="","",[3]Entry!$L$1869)</f>
        <v/>
      </c>
      <c r="AK1866" t="str">
        <f>IF([3]Entry!$M$1869="","",[3]Entry!$M$1869)</f>
        <v/>
      </c>
      <c r="AL1866" t="str">
        <f>IF([3]Entry!$N$1869="","",[3]Entry!$N$1869)</f>
        <v/>
      </c>
      <c r="AM1866" t="str">
        <f>IF([3]Entry!$R$1869="","",[3]Entry!$R$1869)</f>
        <v/>
      </c>
    </row>
    <row r="1867" spans="20:39" x14ac:dyDescent="0.2">
      <c r="T1867" t="str">
        <f>IF([2]Baskol!$B$1870="","",[2]Baskol!$B$1870)</f>
        <v/>
      </c>
      <c r="U1867" t="str">
        <f>IF([2]Baskol!$C$1870="","",[2]Baskol!$C$1870)</f>
        <v/>
      </c>
      <c r="V1867" t="str">
        <f>IF([2]Baskol!$D$1870="","",[2]Baskol!$D$1870)</f>
        <v/>
      </c>
      <c r="W1867" t="str">
        <f>IF([2]Baskol!$E$1870="","",[2]Baskol!$E$1870)</f>
        <v/>
      </c>
      <c r="X1867" t="str">
        <f>IF([2]Baskol!$G$1870="","",[2]Baskol!$G$1870)</f>
        <v/>
      </c>
      <c r="Y1867" t="str">
        <f>IF([2]Baskol!$I$1870="","",[2]Baskol!$I$1870)</f>
        <v/>
      </c>
      <c r="Z1867" t="str">
        <f>IF([2]Baskol!$J$1870="","",[2]Baskol!$J$1870)</f>
        <v/>
      </c>
      <c r="AA1867" t="str">
        <f>IF([2]Baskol!$K$1870="","",[2]Baskol!$K$1870)</f>
        <v/>
      </c>
      <c r="AB1867" t="str">
        <f>IF([2]Baskol!$L$1870="","",[2]Baskol!$L$1870)</f>
        <v/>
      </c>
      <c r="AC1867" t="str">
        <f>IF([2]Baskol!$N$1870="","",[2]Baskol!$N$1870)</f>
        <v/>
      </c>
      <c r="AD1867" t="str">
        <f>IF([2]Baskol!$O$1870="","",[2]Baskol!$O$1870)</f>
        <v/>
      </c>
      <c r="AE1867" t="str">
        <f>IF([3]Entry!$C$1870="","",[3]Entry!$C$1870)</f>
        <v/>
      </c>
      <c r="AF1867" t="str">
        <f>IF([3]Entry!$D$1870="","",[3]Entry!$D$1870)</f>
        <v/>
      </c>
      <c r="AG1867" t="str">
        <f>IF([3]Entry!$E$1870="","",[3]Entry!$E$1870)</f>
        <v/>
      </c>
      <c r="AH1867" t="str">
        <f>IF([3]Entry!$G$1870="","",[3]Entry!$G$1870)</f>
        <v/>
      </c>
      <c r="AI1867" t="str">
        <f>IF([3]Entry!$K$1870="","",[3]Entry!$K$1870)</f>
        <v/>
      </c>
      <c r="AJ1867" t="str">
        <f>IF([3]Entry!$L$1870="","",[3]Entry!$L$1870)</f>
        <v/>
      </c>
      <c r="AK1867" t="str">
        <f>IF([3]Entry!$M$1870="","",[3]Entry!$M$1870)</f>
        <v/>
      </c>
      <c r="AL1867" t="str">
        <f>IF([3]Entry!$N$1870="","",[3]Entry!$N$1870)</f>
        <v/>
      </c>
      <c r="AM1867" t="str">
        <f>IF([3]Entry!$R$1870="","",[3]Entry!$R$1870)</f>
        <v/>
      </c>
    </row>
    <row r="1868" spans="20:39" x14ac:dyDescent="0.2">
      <c r="T1868" t="str">
        <f>IF([2]Baskol!$B$1871="","",[2]Baskol!$B$1871)</f>
        <v/>
      </c>
      <c r="U1868" t="str">
        <f>IF([2]Baskol!$C$1871="","",[2]Baskol!$C$1871)</f>
        <v/>
      </c>
      <c r="V1868" t="str">
        <f>IF([2]Baskol!$D$1871="","",[2]Baskol!$D$1871)</f>
        <v/>
      </c>
      <c r="W1868" t="str">
        <f>IF([2]Baskol!$E$1871="","",[2]Baskol!$E$1871)</f>
        <v/>
      </c>
      <c r="X1868" t="str">
        <f>IF([2]Baskol!$G$1871="","",[2]Baskol!$G$1871)</f>
        <v/>
      </c>
      <c r="Y1868" t="str">
        <f>IF([2]Baskol!$I$1871="","",[2]Baskol!$I$1871)</f>
        <v/>
      </c>
      <c r="Z1868" t="str">
        <f>IF([2]Baskol!$J$1871="","",[2]Baskol!$J$1871)</f>
        <v/>
      </c>
      <c r="AA1868" t="str">
        <f>IF([2]Baskol!$K$1871="","",[2]Baskol!$K$1871)</f>
        <v/>
      </c>
      <c r="AB1868" t="str">
        <f>IF([2]Baskol!$L$1871="","",[2]Baskol!$L$1871)</f>
        <v/>
      </c>
      <c r="AC1868" t="str">
        <f>IF([2]Baskol!$N$1871="","",[2]Baskol!$N$1871)</f>
        <v/>
      </c>
      <c r="AD1868" t="str">
        <f>IF([2]Baskol!$O$1871="","",[2]Baskol!$O$1871)</f>
        <v/>
      </c>
      <c r="AE1868" t="str">
        <f>IF([3]Entry!$C$1871="","",[3]Entry!$C$1871)</f>
        <v/>
      </c>
      <c r="AF1868" t="str">
        <f>IF([3]Entry!$D$1871="","",[3]Entry!$D$1871)</f>
        <v/>
      </c>
      <c r="AG1868" t="str">
        <f>IF([3]Entry!$E$1871="","",[3]Entry!$E$1871)</f>
        <v/>
      </c>
      <c r="AH1868" t="str">
        <f>IF([3]Entry!$G$1871="","",[3]Entry!$G$1871)</f>
        <v/>
      </c>
      <c r="AI1868" t="str">
        <f>IF([3]Entry!$K$1871="","",[3]Entry!$K$1871)</f>
        <v/>
      </c>
      <c r="AJ1868" t="str">
        <f>IF([3]Entry!$L$1871="","",[3]Entry!$L$1871)</f>
        <v/>
      </c>
      <c r="AK1868" t="str">
        <f>IF([3]Entry!$M$1871="","",[3]Entry!$M$1871)</f>
        <v/>
      </c>
      <c r="AL1868" t="str">
        <f>IF([3]Entry!$N$1871="","",[3]Entry!$N$1871)</f>
        <v/>
      </c>
      <c r="AM1868" t="str">
        <f>IF([3]Entry!$R$1871="","",[3]Entry!$R$1871)</f>
        <v/>
      </c>
    </row>
    <row r="1869" spans="20:39" x14ac:dyDescent="0.2">
      <c r="T1869" t="str">
        <f>IF([2]Baskol!$B$1872="","",[2]Baskol!$B$1872)</f>
        <v/>
      </c>
      <c r="U1869" t="str">
        <f>IF([2]Baskol!$C$1872="","",[2]Baskol!$C$1872)</f>
        <v/>
      </c>
      <c r="V1869" t="str">
        <f>IF([2]Baskol!$D$1872="","",[2]Baskol!$D$1872)</f>
        <v/>
      </c>
      <c r="W1869" t="str">
        <f>IF([2]Baskol!$E$1872="","",[2]Baskol!$E$1872)</f>
        <v/>
      </c>
      <c r="X1869" t="str">
        <f>IF([2]Baskol!$G$1872="","",[2]Baskol!$G$1872)</f>
        <v/>
      </c>
      <c r="Y1869" t="str">
        <f>IF([2]Baskol!$I$1872="","",[2]Baskol!$I$1872)</f>
        <v/>
      </c>
      <c r="Z1869" t="str">
        <f>IF([2]Baskol!$J$1872="","",[2]Baskol!$J$1872)</f>
        <v/>
      </c>
      <c r="AA1869" t="str">
        <f>IF([2]Baskol!$K$1872="","",[2]Baskol!$K$1872)</f>
        <v/>
      </c>
      <c r="AB1869" t="str">
        <f>IF([2]Baskol!$L$1872="","",[2]Baskol!$L$1872)</f>
        <v/>
      </c>
      <c r="AC1869" t="str">
        <f>IF([2]Baskol!$N$1872="","",[2]Baskol!$N$1872)</f>
        <v/>
      </c>
      <c r="AD1869" t="str">
        <f>IF([2]Baskol!$O$1872="","",[2]Baskol!$O$1872)</f>
        <v/>
      </c>
      <c r="AE1869" t="str">
        <f>IF([3]Entry!$C$1872="","",[3]Entry!$C$1872)</f>
        <v/>
      </c>
      <c r="AF1869" t="str">
        <f>IF([3]Entry!$D$1872="","",[3]Entry!$D$1872)</f>
        <v/>
      </c>
      <c r="AG1869" t="str">
        <f>IF([3]Entry!$E$1872="","",[3]Entry!$E$1872)</f>
        <v/>
      </c>
      <c r="AH1869" t="str">
        <f>IF([3]Entry!$G$1872="","",[3]Entry!$G$1872)</f>
        <v/>
      </c>
      <c r="AI1869" t="str">
        <f>IF([3]Entry!$K$1872="","",[3]Entry!$K$1872)</f>
        <v/>
      </c>
      <c r="AJ1869" t="str">
        <f>IF([3]Entry!$L$1872="","",[3]Entry!$L$1872)</f>
        <v/>
      </c>
      <c r="AK1869" t="str">
        <f>IF([3]Entry!$M$1872="","",[3]Entry!$M$1872)</f>
        <v/>
      </c>
      <c r="AL1869" t="str">
        <f>IF([3]Entry!$N$1872="","",[3]Entry!$N$1872)</f>
        <v/>
      </c>
      <c r="AM1869" t="str">
        <f>IF([3]Entry!$R$1872="","",[3]Entry!$R$1872)</f>
        <v/>
      </c>
    </row>
    <row r="1870" spans="20:39" x14ac:dyDescent="0.2">
      <c r="T1870" t="str">
        <f>IF([2]Baskol!$B$1873="","",[2]Baskol!$B$1873)</f>
        <v/>
      </c>
      <c r="U1870" t="str">
        <f>IF([2]Baskol!$C$1873="","",[2]Baskol!$C$1873)</f>
        <v/>
      </c>
      <c r="V1870" t="str">
        <f>IF([2]Baskol!$D$1873="","",[2]Baskol!$D$1873)</f>
        <v/>
      </c>
      <c r="W1870" t="str">
        <f>IF([2]Baskol!$E$1873="","",[2]Baskol!$E$1873)</f>
        <v/>
      </c>
      <c r="X1870" t="str">
        <f>IF([2]Baskol!$G$1873="","",[2]Baskol!$G$1873)</f>
        <v/>
      </c>
      <c r="Y1870" t="str">
        <f>IF([2]Baskol!$I$1873="","",[2]Baskol!$I$1873)</f>
        <v/>
      </c>
      <c r="Z1870" t="str">
        <f>IF([2]Baskol!$J$1873="","",[2]Baskol!$J$1873)</f>
        <v/>
      </c>
      <c r="AA1870" t="str">
        <f>IF([2]Baskol!$K$1873="","",[2]Baskol!$K$1873)</f>
        <v/>
      </c>
      <c r="AB1870" t="str">
        <f>IF([2]Baskol!$L$1873="","",[2]Baskol!$L$1873)</f>
        <v/>
      </c>
      <c r="AC1870" t="str">
        <f>IF([2]Baskol!$N$1873="","",[2]Baskol!$N$1873)</f>
        <v/>
      </c>
      <c r="AD1870" t="str">
        <f>IF([2]Baskol!$O$1873="","",[2]Baskol!$O$1873)</f>
        <v/>
      </c>
      <c r="AE1870" t="str">
        <f>IF([3]Entry!$C$1873="","",[3]Entry!$C$1873)</f>
        <v/>
      </c>
      <c r="AF1870" t="str">
        <f>IF([3]Entry!$D$1873="","",[3]Entry!$D$1873)</f>
        <v/>
      </c>
      <c r="AG1870" t="str">
        <f>IF([3]Entry!$E$1873="","",[3]Entry!$E$1873)</f>
        <v/>
      </c>
      <c r="AH1870" t="str">
        <f>IF([3]Entry!$G$1873="","",[3]Entry!$G$1873)</f>
        <v/>
      </c>
      <c r="AI1870" t="str">
        <f>IF([3]Entry!$K$1873="","",[3]Entry!$K$1873)</f>
        <v/>
      </c>
      <c r="AJ1870" t="str">
        <f>IF([3]Entry!$L$1873="","",[3]Entry!$L$1873)</f>
        <v/>
      </c>
      <c r="AK1870" t="str">
        <f>IF([3]Entry!$M$1873="","",[3]Entry!$M$1873)</f>
        <v/>
      </c>
      <c r="AL1870" t="str">
        <f>IF([3]Entry!$N$1873="","",[3]Entry!$N$1873)</f>
        <v/>
      </c>
      <c r="AM1870" t="str">
        <f>IF([3]Entry!$R$1873="","",[3]Entry!$R$1873)</f>
        <v/>
      </c>
    </row>
    <row r="1871" spans="20:39" x14ac:dyDescent="0.2">
      <c r="T1871" t="str">
        <f>IF([2]Baskol!$B$1874="","",[2]Baskol!$B$1874)</f>
        <v/>
      </c>
      <c r="U1871" t="str">
        <f>IF([2]Baskol!$C$1874="","",[2]Baskol!$C$1874)</f>
        <v/>
      </c>
      <c r="V1871" t="str">
        <f>IF([2]Baskol!$D$1874="","",[2]Baskol!$D$1874)</f>
        <v/>
      </c>
      <c r="W1871" t="str">
        <f>IF([2]Baskol!$E$1874="","",[2]Baskol!$E$1874)</f>
        <v/>
      </c>
      <c r="X1871" t="str">
        <f>IF([2]Baskol!$G$1874="","",[2]Baskol!$G$1874)</f>
        <v/>
      </c>
      <c r="Y1871" t="str">
        <f>IF([2]Baskol!$I$1874="","",[2]Baskol!$I$1874)</f>
        <v/>
      </c>
      <c r="Z1871" t="str">
        <f>IF([2]Baskol!$J$1874="","",[2]Baskol!$J$1874)</f>
        <v/>
      </c>
      <c r="AA1871" t="str">
        <f>IF([2]Baskol!$K$1874="","",[2]Baskol!$K$1874)</f>
        <v/>
      </c>
      <c r="AB1871" t="str">
        <f>IF([2]Baskol!$L$1874="","",[2]Baskol!$L$1874)</f>
        <v/>
      </c>
      <c r="AC1871" t="str">
        <f>IF([2]Baskol!$N$1874="","",[2]Baskol!$N$1874)</f>
        <v/>
      </c>
      <c r="AD1871" t="str">
        <f>IF([2]Baskol!$O$1874="","",[2]Baskol!$O$1874)</f>
        <v/>
      </c>
      <c r="AE1871" t="str">
        <f>IF([3]Entry!$C$1874="","",[3]Entry!$C$1874)</f>
        <v/>
      </c>
      <c r="AF1871" t="str">
        <f>IF([3]Entry!$D$1874="","",[3]Entry!$D$1874)</f>
        <v/>
      </c>
      <c r="AG1871" t="str">
        <f>IF([3]Entry!$E$1874="","",[3]Entry!$E$1874)</f>
        <v/>
      </c>
      <c r="AH1871" t="str">
        <f>IF([3]Entry!$G$1874="","",[3]Entry!$G$1874)</f>
        <v/>
      </c>
      <c r="AI1871" t="str">
        <f>IF([3]Entry!$K$1874="","",[3]Entry!$K$1874)</f>
        <v/>
      </c>
      <c r="AJ1871" t="str">
        <f>IF([3]Entry!$L$1874="","",[3]Entry!$L$1874)</f>
        <v/>
      </c>
      <c r="AK1871" t="str">
        <f>IF([3]Entry!$M$1874="","",[3]Entry!$M$1874)</f>
        <v/>
      </c>
      <c r="AL1871" t="str">
        <f>IF([3]Entry!$N$1874="","",[3]Entry!$N$1874)</f>
        <v/>
      </c>
      <c r="AM1871" t="str">
        <f>IF([3]Entry!$R$1874="","",[3]Entry!$R$1874)</f>
        <v/>
      </c>
    </row>
    <row r="1872" spans="20:39" x14ac:dyDescent="0.2">
      <c r="T1872" t="str">
        <f>IF([2]Baskol!$B$1875="","",[2]Baskol!$B$1875)</f>
        <v/>
      </c>
      <c r="U1872" t="str">
        <f>IF([2]Baskol!$C$1875="","",[2]Baskol!$C$1875)</f>
        <v/>
      </c>
      <c r="V1872" t="str">
        <f>IF([2]Baskol!$D$1875="","",[2]Baskol!$D$1875)</f>
        <v/>
      </c>
      <c r="W1872" t="str">
        <f>IF([2]Baskol!$E$1875="","",[2]Baskol!$E$1875)</f>
        <v/>
      </c>
      <c r="X1872" t="str">
        <f>IF([2]Baskol!$G$1875="","",[2]Baskol!$G$1875)</f>
        <v/>
      </c>
      <c r="Y1872" t="str">
        <f>IF([2]Baskol!$I$1875="","",[2]Baskol!$I$1875)</f>
        <v/>
      </c>
      <c r="Z1872" t="str">
        <f>IF([2]Baskol!$J$1875="","",[2]Baskol!$J$1875)</f>
        <v/>
      </c>
      <c r="AA1872" t="str">
        <f>IF([2]Baskol!$K$1875="","",[2]Baskol!$K$1875)</f>
        <v/>
      </c>
      <c r="AB1872" t="str">
        <f>IF([2]Baskol!$L$1875="","",[2]Baskol!$L$1875)</f>
        <v/>
      </c>
      <c r="AC1872" t="str">
        <f>IF([2]Baskol!$N$1875="","",[2]Baskol!$N$1875)</f>
        <v/>
      </c>
      <c r="AD1872" t="str">
        <f>IF([2]Baskol!$O$1875="","",[2]Baskol!$O$1875)</f>
        <v/>
      </c>
      <c r="AE1872" t="str">
        <f>IF([3]Entry!$C$1875="","",[3]Entry!$C$1875)</f>
        <v/>
      </c>
      <c r="AF1872" t="str">
        <f>IF([3]Entry!$D$1875="","",[3]Entry!$D$1875)</f>
        <v/>
      </c>
      <c r="AG1872" t="str">
        <f>IF([3]Entry!$E$1875="","",[3]Entry!$E$1875)</f>
        <v/>
      </c>
      <c r="AH1872" t="str">
        <f>IF([3]Entry!$G$1875="","",[3]Entry!$G$1875)</f>
        <v/>
      </c>
      <c r="AI1872" t="str">
        <f>IF([3]Entry!$K$1875="","",[3]Entry!$K$1875)</f>
        <v/>
      </c>
      <c r="AJ1872" t="str">
        <f>IF([3]Entry!$L$1875="","",[3]Entry!$L$1875)</f>
        <v/>
      </c>
      <c r="AK1872" t="str">
        <f>IF([3]Entry!$M$1875="","",[3]Entry!$M$1875)</f>
        <v/>
      </c>
      <c r="AL1872" t="str">
        <f>IF([3]Entry!$N$1875="","",[3]Entry!$N$1875)</f>
        <v/>
      </c>
      <c r="AM1872" t="str">
        <f>IF([3]Entry!$R$1875="","",[3]Entry!$R$1875)</f>
        <v/>
      </c>
    </row>
    <row r="1873" spans="20:39" x14ac:dyDescent="0.2">
      <c r="T1873" t="str">
        <f>IF([2]Baskol!$B$1876="","",[2]Baskol!$B$1876)</f>
        <v/>
      </c>
      <c r="U1873" t="str">
        <f>IF([2]Baskol!$C$1876="","",[2]Baskol!$C$1876)</f>
        <v/>
      </c>
      <c r="V1873" t="str">
        <f>IF([2]Baskol!$D$1876="","",[2]Baskol!$D$1876)</f>
        <v/>
      </c>
      <c r="W1873" t="str">
        <f>IF([2]Baskol!$E$1876="","",[2]Baskol!$E$1876)</f>
        <v/>
      </c>
      <c r="X1873" t="str">
        <f>IF([2]Baskol!$G$1876="","",[2]Baskol!$G$1876)</f>
        <v/>
      </c>
      <c r="Y1873" t="str">
        <f>IF([2]Baskol!$I$1876="","",[2]Baskol!$I$1876)</f>
        <v/>
      </c>
      <c r="Z1873" t="str">
        <f>IF([2]Baskol!$J$1876="","",[2]Baskol!$J$1876)</f>
        <v/>
      </c>
      <c r="AA1873" t="str">
        <f>IF([2]Baskol!$K$1876="","",[2]Baskol!$K$1876)</f>
        <v/>
      </c>
      <c r="AB1873" t="str">
        <f>IF([2]Baskol!$L$1876="","",[2]Baskol!$L$1876)</f>
        <v/>
      </c>
      <c r="AC1873" t="str">
        <f>IF([2]Baskol!$N$1876="","",[2]Baskol!$N$1876)</f>
        <v/>
      </c>
      <c r="AD1873" t="str">
        <f>IF([2]Baskol!$O$1876="","",[2]Baskol!$O$1876)</f>
        <v/>
      </c>
      <c r="AE1873" t="str">
        <f>IF([3]Entry!$C$1876="","",[3]Entry!$C$1876)</f>
        <v/>
      </c>
      <c r="AF1873" t="str">
        <f>IF([3]Entry!$D$1876="","",[3]Entry!$D$1876)</f>
        <v/>
      </c>
      <c r="AG1873" t="str">
        <f>IF([3]Entry!$E$1876="","",[3]Entry!$E$1876)</f>
        <v/>
      </c>
      <c r="AH1873" t="str">
        <f>IF([3]Entry!$G$1876="","",[3]Entry!$G$1876)</f>
        <v/>
      </c>
      <c r="AI1873" t="str">
        <f>IF([3]Entry!$K$1876="","",[3]Entry!$K$1876)</f>
        <v/>
      </c>
      <c r="AJ1873" t="str">
        <f>IF([3]Entry!$L$1876="","",[3]Entry!$L$1876)</f>
        <v/>
      </c>
      <c r="AK1873" t="str">
        <f>IF([3]Entry!$M$1876="","",[3]Entry!$M$1876)</f>
        <v/>
      </c>
      <c r="AL1873" t="str">
        <f>IF([3]Entry!$N$1876="","",[3]Entry!$N$1876)</f>
        <v/>
      </c>
      <c r="AM1873" t="str">
        <f>IF([3]Entry!$R$1876="","",[3]Entry!$R$1876)</f>
        <v/>
      </c>
    </row>
    <row r="1874" spans="20:39" x14ac:dyDescent="0.2">
      <c r="T1874" t="str">
        <f>IF([2]Baskol!$B$1877="","",[2]Baskol!$B$1877)</f>
        <v/>
      </c>
      <c r="U1874" t="str">
        <f>IF([2]Baskol!$C$1877="","",[2]Baskol!$C$1877)</f>
        <v/>
      </c>
      <c r="V1874" t="str">
        <f>IF([2]Baskol!$D$1877="","",[2]Baskol!$D$1877)</f>
        <v/>
      </c>
      <c r="W1874" t="str">
        <f>IF([2]Baskol!$E$1877="","",[2]Baskol!$E$1877)</f>
        <v/>
      </c>
      <c r="X1874" t="str">
        <f>IF([2]Baskol!$G$1877="","",[2]Baskol!$G$1877)</f>
        <v/>
      </c>
      <c r="Y1874" t="str">
        <f>IF([2]Baskol!$I$1877="","",[2]Baskol!$I$1877)</f>
        <v/>
      </c>
      <c r="Z1874" t="str">
        <f>IF([2]Baskol!$J$1877="","",[2]Baskol!$J$1877)</f>
        <v/>
      </c>
      <c r="AA1874" t="str">
        <f>IF([2]Baskol!$K$1877="","",[2]Baskol!$K$1877)</f>
        <v/>
      </c>
      <c r="AB1874" t="str">
        <f>IF([2]Baskol!$L$1877="","",[2]Baskol!$L$1877)</f>
        <v/>
      </c>
      <c r="AC1874" t="str">
        <f>IF([2]Baskol!$N$1877="","",[2]Baskol!$N$1877)</f>
        <v/>
      </c>
      <c r="AD1874" t="str">
        <f>IF([2]Baskol!$O$1877="","",[2]Baskol!$O$1877)</f>
        <v/>
      </c>
      <c r="AE1874" t="str">
        <f>IF([3]Entry!$C$1877="","",[3]Entry!$C$1877)</f>
        <v/>
      </c>
      <c r="AF1874" t="str">
        <f>IF([3]Entry!$D$1877="","",[3]Entry!$D$1877)</f>
        <v/>
      </c>
      <c r="AG1874" t="str">
        <f>IF([3]Entry!$E$1877="","",[3]Entry!$E$1877)</f>
        <v/>
      </c>
      <c r="AH1874" t="str">
        <f>IF([3]Entry!$G$1877="","",[3]Entry!$G$1877)</f>
        <v/>
      </c>
      <c r="AI1874" t="str">
        <f>IF([3]Entry!$K$1877="","",[3]Entry!$K$1877)</f>
        <v/>
      </c>
      <c r="AJ1874" t="str">
        <f>IF([3]Entry!$L$1877="","",[3]Entry!$L$1877)</f>
        <v/>
      </c>
      <c r="AK1874" t="str">
        <f>IF([3]Entry!$M$1877="","",[3]Entry!$M$1877)</f>
        <v/>
      </c>
      <c r="AL1874" t="str">
        <f>IF([3]Entry!$N$1877="","",[3]Entry!$N$1877)</f>
        <v/>
      </c>
      <c r="AM1874" t="str">
        <f>IF([3]Entry!$R$1877="","",[3]Entry!$R$1877)</f>
        <v/>
      </c>
    </row>
    <row r="1875" spans="20:39" x14ac:dyDescent="0.2">
      <c r="T1875" t="str">
        <f>IF([2]Baskol!$B$1878="","",[2]Baskol!$B$1878)</f>
        <v/>
      </c>
      <c r="U1875" t="str">
        <f>IF([2]Baskol!$C$1878="","",[2]Baskol!$C$1878)</f>
        <v/>
      </c>
      <c r="V1875" t="str">
        <f>IF([2]Baskol!$D$1878="","",[2]Baskol!$D$1878)</f>
        <v/>
      </c>
      <c r="W1875" t="str">
        <f>IF([2]Baskol!$E$1878="","",[2]Baskol!$E$1878)</f>
        <v/>
      </c>
      <c r="X1875" t="str">
        <f>IF([2]Baskol!$G$1878="","",[2]Baskol!$G$1878)</f>
        <v/>
      </c>
      <c r="Y1875" t="str">
        <f>IF([2]Baskol!$I$1878="","",[2]Baskol!$I$1878)</f>
        <v/>
      </c>
      <c r="Z1875" t="str">
        <f>IF([2]Baskol!$J$1878="","",[2]Baskol!$J$1878)</f>
        <v/>
      </c>
      <c r="AA1875" t="str">
        <f>IF([2]Baskol!$K$1878="","",[2]Baskol!$K$1878)</f>
        <v/>
      </c>
      <c r="AB1875" t="str">
        <f>IF([2]Baskol!$L$1878="","",[2]Baskol!$L$1878)</f>
        <v/>
      </c>
      <c r="AC1875" t="str">
        <f>IF([2]Baskol!$N$1878="","",[2]Baskol!$N$1878)</f>
        <v/>
      </c>
      <c r="AD1875" t="str">
        <f>IF([2]Baskol!$O$1878="","",[2]Baskol!$O$1878)</f>
        <v/>
      </c>
      <c r="AE1875" t="str">
        <f>IF([3]Entry!$C$1878="","",[3]Entry!$C$1878)</f>
        <v/>
      </c>
      <c r="AF1875" t="str">
        <f>IF([3]Entry!$D$1878="","",[3]Entry!$D$1878)</f>
        <v/>
      </c>
      <c r="AG1875" t="str">
        <f>IF([3]Entry!$E$1878="","",[3]Entry!$E$1878)</f>
        <v/>
      </c>
      <c r="AH1875" t="str">
        <f>IF([3]Entry!$G$1878="","",[3]Entry!$G$1878)</f>
        <v/>
      </c>
      <c r="AI1875" t="str">
        <f>IF([3]Entry!$K$1878="","",[3]Entry!$K$1878)</f>
        <v/>
      </c>
      <c r="AJ1875" t="str">
        <f>IF([3]Entry!$L$1878="","",[3]Entry!$L$1878)</f>
        <v/>
      </c>
      <c r="AK1875" t="str">
        <f>IF([3]Entry!$M$1878="","",[3]Entry!$M$1878)</f>
        <v/>
      </c>
      <c r="AL1875" t="str">
        <f>IF([3]Entry!$N$1878="","",[3]Entry!$N$1878)</f>
        <v/>
      </c>
      <c r="AM1875" t="str">
        <f>IF([3]Entry!$R$1878="","",[3]Entry!$R$1878)</f>
        <v/>
      </c>
    </row>
    <row r="1876" spans="20:39" x14ac:dyDescent="0.2">
      <c r="T1876" t="str">
        <f>IF([2]Baskol!$B$1879="","",[2]Baskol!$B$1879)</f>
        <v/>
      </c>
      <c r="U1876" t="str">
        <f>IF([2]Baskol!$C$1879="","",[2]Baskol!$C$1879)</f>
        <v/>
      </c>
      <c r="V1876" t="str">
        <f>IF([2]Baskol!$D$1879="","",[2]Baskol!$D$1879)</f>
        <v/>
      </c>
      <c r="W1876" t="str">
        <f>IF([2]Baskol!$E$1879="","",[2]Baskol!$E$1879)</f>
        <v/>
      </c>
      <c r="X1876" t="str">
        <f>IF([2]Baskol!$G$1879="","",[2]Baskol!$G$1879)</f>
        <v/>
      </c>
      <c r="Y1876" t="str">
        <f>IF([2]Baskol!$I$1879="","",[2]Baskol!$I$1879)</f>
        <v/>
      </c>
      <c r="Z1876" t="str">
        <f>IF([2]Baskol!$J$1879="","",[2]Baskol!$J$1879)</f>
        <v/>
      </c>
      <c r="AA1876" t="str">
        <f>IF([2]Baskol!$K$1879="","",[2]Baskol!$K$1879)</f>
        <v/>
      </c>
      <c r="AB1876" t="str">
        <f>IF([2]Baskol!$L$1879="","",[2]Baskol!$L$1879)</f>
        <v/>
      </c>
      <c r="AC1876" t="str">
        <f>IF([2]Baskol!$N$1879="","",[2]Baskol!$N$1879)</f>
        <v/>
      </c>
      <c r="AD1876" t="str">
        <f>IF([2]Baskol!$O$1879="","",[2]Baskol!$O$1879)</f>
        <v/>
      </c>
      <c r="AE1876" t="str">
        <f>IF([3]Entry!$C$1879="","",[3]Entry!$C$1879)</f>
        <v/>
      </c>
      <c r="AF1876" t="str">
        <f>IF([3]Entry!$D$1879="","",[3]Entry!$D$1879)</f>
        <v/>
      </c>
      <c r="AG1876" t="str">
        <f>IF([3]Entry!$E$1879="","",[3]Entry!$E$1879)</f>
        <v/>
      </c>
      <c r="AH1876" t="str">
        <f>IF([3]Entry!$G$1879="","",[3]Entry!$G$1879)</f>
        <v/>
      </c>
      <c r="AI1876" t="str">
        <f>IF([3]Entry!$K$1879="","",[3]Entry!$K$1879)</f>
        <v/>
      </c>
      <c r="AJ1876" t="str">
        <f>IF([3]Entry!$L$1879="","",[3]Entry!$L$1879)</f>
        <v/>
      </c>
      <c r="AK1876" t="str">
        <f>IF([3]Entry!$M$1879="","",[3]Entry!$M$1879)</f>
        <v/>
      </c>
      <c r="AL1876" t="str">
        <f>IF([3]Entry!$N$1879="","",[3]Entry!$N$1879)</f>
        <v/>
      </c>
      <c r="AM1876" t="str">
        <f>IF([3]Entry!$R$1879="","",[3]Entry!$R$1879)</f>
        <v/>
      </c>
    </row>
    <row r="1877" spans="20:39" x14ac:dyDescent="0.2">
      <c r="T1877" t="str">
        <f>IF([2]Baskol!$B$1880="","",[2]Baskol!$B$1880)</f>
        <v/>
      </c>
      <c r="U1877" t="str">
        <f>IF([2]Baskol!$C$1880="","",[2]Baskol!$C$1880)</f>
        <v/>
      </c>
      <c r="V1877" t="str">
        <f>IF([2]Baskol!$D$1880="","",[2]Baskol!$D$1880)</f>
        <v/>
      </c>
      <c r="W1877" t="str">
        <f>IF([2]Baskol!$E$1880="","",[2]Baskol!$E$1880)</f>
        <v/>
      </c>
      <c r="X1877" t="str">
        <f>IF([2]Baskol!$G$1880="","",[2]Baskol!$G$1880)</f>
        <v/>
      </c>
      <c r="Y1877" t="str">
        <f>IF([2]Baskol!$I$1880="","",[2]Baskol!$I$1880)</f>
        <v/>
      </c>
      <c r="Z1877" t="str">
        <f>IF([2]Baskol!$J$1880="","",[2]Baskol!$J$1880)</f>
        <v/>
      </c>
      <c r="AA1877" t="str">
        <f>IF([2]Baskol!$K$1880="","",[2]Baskol!$K$1880)</f>
        <v/>
      </c>
      <c r="AB1877" t="str">
        <f>IF([2]Baskol!$L$1880="","",[2]Baskol!$L$1880)</f>
        <v/>
      </c>
      <c r="AC1877" t="str">
        <f>IF([2]Baskol!$N$1880="","",[2]Baskol!$N$1880)</f>
        <v/>
      </c>
      <c r="AD1877" t="str">
        <f>IF([2]Baskol!$O$1880="","",[2]Baskol!$O$1880)</f>
        <v/>
      </c>
      <c r="AE1877" t="str">
        <f>IF([3]Entry!$C$1880="","",[3]Entry!$C$1880)</f>
        <v/>
      </c>
      <c r="AF1877" t="str">
        <f>IF([3]Entry!$D$1880="","",[3]Entry!$D$1880)</f>
        <v/>
      </c>
      <c r="AG1877" t="str">
        <f>IF([3]Entry!$E$1880="","",[3]Entry!$E$1880)</f>
        <v/>
      </c>
      <c r="AH1877" t="str">
        <f>IF([3]Entry!$G$1880="","",[3]Entry!$G$1880)</f>
        <v/>
      </c>
      <c r="AI1877" t="str">
        <f>IF([3]Entry!$K$1880="","",[3]Entry!$K$1880)</f>
        <v/>
      </c>
      <c r="AJ1877" t="str">
        <f>IF([3]Entry!$L$1880="","",[3]Entry!$L$1880)</f>
        <v/>
      </c>
      <c r="AK1877" t="str">
        <f>IF([3]Entry!$M$1880="","",[3]Entry!$M$1880)</f>
        <v/>
      </c>
      <c r="AL1877" t="str">
        <f>IF([3]Entry!$N$1880="","",[3]Entry!$N$1880)</f>
        <v/>
      </c>
      <c r="AM1877" t="str">
        <f>IF([3]Entry!$R$1880="","",[3]Entry!$R$1880)</f>
        <v/>
      </c>
    </row>
    <row r="1878" spans="20:39" x14ac:dyDescent="0.2">
      <c r="T1878" t="str">
        <f>IF([2]Baskol!$B$1881="","",[2]Baskol!$B$1881)</f>
        <v/>
      </c>
      <c r="U1878" t="str">
        <f>IF([2]Baskol!$C$1881="","",[2]Baskol!$C$1881)</f>
        <v/>
      </c>
      <c r="V1878" t="str">
        <f>IF([2]Baskol!$D$1881="","",[2]Baskol!$D$1881)</f>
        <v/>
      </c>
      <c r="W1878" t="str">
        <f>IF([2]Baskol!$E$1881="","",[2]Baskol!$E$1881)</f>
        <v/>
      </c>
      <c r="X1878" t="str">
        <f>IF([2]Baskol!$G$1881="","",[2]Baskol!$G$1881)</f>
        <v/>
      </c>
      <c r="Y1878" t="str">
        <f>IF([2]Baskol!$I$1881="","",[2]Baskol!$I$1881)</f>
        <v/>
      </c>
      <c r="Z1878" t="str">
        <f>IF([2]Baskol!$J$1881="","",[2]Baskol!$J$1881)</f>
        <v/>
      </c>
      <c r="AA1878" t="str">
        <f>IF([2]Baskol!$K$1881="","",[2]Baskol!$K$1881)</f>
        <v/>
      </c>
      <c r="AB1878" t="str">
        <f>IF([2]Baskol!$L$1881="","",[2]Baskol!$L$1881)</f>
        <v/>
      </c>
      <c r="AC1878" t="str">
        <f>IF([2]Baskol!$N$1881="","",[2]Baskol!$N$1881)</f>
        <v/>
      </c>
      <c r="AD1878" t="str">
        <f>IF([2]Baskol!$O$1881="","",[2]Baskol!$O$1881)</f>
        <v/>
      </c>
      <c r="AE1878" t="str">
        <f>IF([3]Entry!$C$1881="","",[3]Entry!$C$1881)</f>
        <v/>
      </c>
      <c r="AF1878" t="str">
        <f>IF([3]Entry!$D$1881="","",[3]Entry!$D$1881)</f>
        <v/>
      </c>
      <c r="AG1878" t="str">
        <f>IF([3]Entry!$E$1881="","",[3]Entry!$E$1881)</f>
        <v/>
      </c>
      <c r="AH1878" t="str">
        <f>IF([3]Entry!$G$1881="","",[3]Entry!$G$1881)</f>
        <v/>
      </c>
      <c r="AI1878" t="str">
        <f>IF([3]Entry!$K$1881="","",[3]Entry!$K$1881)</f>
        <v/>
      </c>
      <c r="AJ1878" t="str">
        <f>IF([3]Entry!$L$1881="","",[3]Entry!$L$1881)</f>
        <v/>
      </c>
      <c r="AK1878" t="str">
        <f>IF([3]Entry!$M$1881="","",[3]Entry!$M$1881)</f>
        <v/>
      </c>
      <c r="AL1878" t="str">
        <f>IF([3]Entry!$N$1881="","",[3]Entry!$N$1881)</f>
        <v/>
      </c>
      <c r="AM1878" t="str">
        <f>IF([3]Entry!$R$1881="","",[3]Entry!$R$1881)</f>
        <v/>
      </c>
    </row>
    <row r="1879" spans="20:39" x14ac:dyDescent="0.2">
      <c r="T1879" t="str">
        <f>IF([2]Baskol!$B$1882="","",[2]Baskol!$B$1882)</f>
        <v/>
      </c>
      <c r="U1879" t="str">
        <f>IF([2]Baskol!$C$1882="","",[2]Baskol!$C$1882)</f>
        <v/>
      </c>
      <c r="V1879" t="str">
        <f>IF([2]Baskol!$D$1882="","",[2]Baskol!$D$1882)</f>
        <v/>
      </c>
      <c r="W1879" t="str">
        <f>IF([2]Baskol!$E$1882="","",[2]Baskol!$E$1882)</f>
        <v/>
      </c>
      <c r="X1879" t="str">
        <f>IF([2]Baskol!$G$1882="","",[2]Baskol!$G$1882)</f>
        <v/>
      </c>
      <c r="Y1879" t="str">
        <f>IF([2]Baskol!$I$1882="","",[2]Baskol!$I$1882)</f>
        <v/>
      </c>
      <c r="Z1879" t="str">
        <f>IF([2]Baskol!$J$1882="","",[2]Baskol!$J$1882)</f>
        <v/>
      </c>
      <c r="AA1879" t="str">
        <f>IF([2]Baskol!$K$1882="","",[2]Baskol!$K$1882)</f>
        <v/>
      </c>
      <c r="AB1879" t="str">
        <f>IF([2]Baskol!$L$1882="","",[2]Baskol!$L$1882)</f>
        <v/>
      </c>
      <c r="AC1879" t="str">
        <f>IF([2]Baskol!$N$1882="","",[2]Baskol!$N$1882)</f>
        <v/>
      </c>
      <c r="AD1879" t="str">
        <f>IF([2]Baskol!$O$1882="","",[2]Baskol!$O$1882)</f>
        <v/>
      </c>
      <c r="AE1879" t="str">
        <f>IF([3]Entry!$C$1882="","",[3]Entry!$C$1882)</f>
        <v/>
      </c>
      <c r="AF1879" t="str">
        <f>IF([3]Entry!$D$1882="","",[3]Entry!$D$1882)</f>
        <v/>
      </c>
      <c r="AG1879" t="str">
        <f>IF([3]Entry!$E$1882="","",[3]Entry!$E$1882)</f>
        <v/>
      </c>
      <c r="AH1879" t="str">
        <f>IF([3]Entry!$G$1882="","",[3]Entry!$G$1882)</f>
        <v/>
      </c>
      <c r="AI1879" t="str">
        <f>IF([3]Entry!$K$1882="","",[3]Entry!$K$1882)</f>
        <v/>
      </c>
      <c r="AJ1879" t="str">
        <f>IF([3]Entry!$L$1882="","",[3]Entry!$L$1882)</f>
        <v/>
      </c>
      <c r="AK1879" t="str">
        <f>IF([3]Entry!$M$1882="","",[3]Entry!$M$1882)</f>
        <v/>
      </c>
      <c r="AL1879" t="str">
        <f>IF([3]Entry!$N$1882="","",[3]Entry!$N$1882)</f>
        <v/>
      </c>
      <c r="AM1879" t="str">
        <f>IF([3]Entry!$R$1882="","",[3]Entry!$R$1882)</f>
        <v/>
      </c>
    </row>
    <row r="1880" spans="20:39" x14ac:dyDescent="0.2">
      <c r="T1880" t="str">
        <f>IF([2]Baskol!$B$1883="","",[2]Baskol!$B$1883)</f>
        <v/>
      </c>
      <c r="U1880" t="str">
        <f>IF([2]Baskol!$C$1883="","",[2]Baskol!$C$1883)</f>
        <v/>
      </c>
      <c r="V1880" t="str">
        <f>IF([2]Baskol!$D$1883="","",[2]Baskol!$D$1883)</f>
        <v/>
      </c>
      <c r="W1880" t="str">
        <f>IF([2]Baskol!$E$1883="","",[2]Baskol!$E$1883)</f>
        <v/>
      </c>
      <c r="X1880" t="str">
        <f>IF([2]Baskol!$G$1883="","",[2]Baskol!$G$1883)</f>
        <v/>
      </c>
      <c r="Y1880" t="str">
        <f>IF([2]Baskol!$I$1883="","",[2]Baskol!$I$1883)</f>
        <v/>
      </c>
      <c r="Z1880" t="str">
        <f>IF([2]Baskol!$J$1883="","",[2]Baskol!$J$1883)</f>
        <v/>
      </c>
      <c r="AA1880" t="str">
        <f>IF([2]Baskol!$K$1883="","",[2]Baskol!$K$1883)</f>
        <v/>
      </c>
      <c r="AB1880" t="str">
        <f>IF([2]Baskol!$L$1883="","",[2]Baskol!$L$1883)</f>
        <v/>
      </c>
      <c r="AC1880" t="str">
        <f>IF([2]Baskol!$N$1883="","",[2]Baskol!$N$1883)</f>
        <v/>
      </c>
      <c r="AD1880" t="str">
        <f>IF([2]Baskol!$O$1883="","",[2]Baskol!$O$1883)</f>
        <v/>
      </c>
      <c r="AE1880" t="str">
        <f>IF([3]Entry!$C$1883="","",[3]Entry!$C$1883)</f>
        <v/>
      </c>
      <c r="AF1880" t="str">
        <f>IF([3]Entry!$D$1883="","",[3]Entry!$D$1883)</f>
        <v/>
      </c>
      <c r="AG1880" t="str">
        <f>IF([3]Entry!$E$1883="","",[3]Entry!$E$1883)</f>
        <v/>
      </c>
      <c r="AH1880" t="str">
        <f>IF([3]Entry!$G$1883="","",[3]Entry!$G$1883)</f>
        <v/>
      </c>
      <c r="AI1880" t="str">
        <f>IF([3]Entry!$K$1883="","",[3]Entry!$K$1883)</f>
        <v/>
      </c>
      <c r="AJ1880" t="str">
        <f>IF([3]Entry!$L$1883="","",[3]Entry!$L$1883)</f>
        <v/>
      </c>
      <c r="AK1880" t="str">
        <f>IF([3]Entry!$M$1883="","",[3]Entry!$M$1883)</f>
        <v/>
      </c>
      <c r="AL1880" t="str">
        <f>IF([3]Entry!$N$1883="","",[3]Entry!$N$1883)</f>
        <v/>
      </c>
      <c r="AM1880" t="str">
        <f>IF([3]Entry!$R$1883="","",[3]Entry!$R$1883)</f>
        <v/>
      </c>
    </row>
    <row r="1881" spans="20:39" x14ac:dyDescent="0.2">
      <c r="T1881" t="str">
        <f>IF([2]Baskol!$B$1884="","",[2]Baskol!$B$1884)</f>
        <v/>
      </c>
      <c r="U1881" t="str">
        <f>IF([2]Baskol!$C$1884="","",[2]Baskol!$C$1884)</f>
        <v/>
      </c>
      <c r="V1881" t="str">
        <f>IF([2]Baskol!$D$1884="","",[2]Baskol!$D$1884)</f>
        <v/>
      </c>
      <c r="W1881" t="str">
        <f>IF([2]Baskol!$E$1884="","",[2]Baskol!$E$1884)</f>
        <v/>
      </c>
      <c r="X1881" t="str">
        <f>IF([2]Baskol!$G$1884="","",[2]Baskol!$G$1884)</f>
        <v/>
      </c>
      <c r="Y1881" t="str">
        <f>IF([2]Baskol!$I$1884="","",[2]Baskol!$I$1884)</f>
        <v/>
      </c>
      <c r="Z1881" t="str">
        <f>IF([2]Baskol!$J$1884="","",[2]Baskol!$J$1884)</f>
        <v/>
      </c>
      <c r="AA1881" t="str">
        <f>IF([2]Baskol!$K$1884="","",[2]Baskol!$K$1884)</f>
        <v/>
      </c>
      <c r="AB1881" t="str">
        <f>IF([2]Baskol!$L$1884="","",[2]Baskol!$L$1884)</f>
        <v/>
      </c>
      <c r="AC1881" t="str">
        <f>IF([2]Baskol!$N$1884="","",[2]Baskol!$N$1884)</f>
        <v/>
      </c>
      <c r="AD1881" t="str">
        <f>IF([2]Baskol!$O$1884="","",[2]Baskol!$O$1884)</f>
        <v/>
      </c>
      <c r="AE1881" t="str">
        <f>IF([3]Entry!$C$1884="","",[3]Entry!$C$1884)</f>
        <v/>
      </c>
      <c r="AF1881" t="str">
        <f>IF([3]Entry!$D$1884="","",[3]Entry!$D$1884)</f>
        <v/>
      </c>
      <c r="AG1881" t="str">
        <f>IF([3]Entry!$E$1884="","",[3]Entry!$E$1884)</f>
        <v/>
      </c>
      <c r="AH1881" t="str">
        <f>IF([3]Entry!$G$1884="","",[3]Entry!$G$1884)</f>
        <v/>
      </c>
      <c r="AI1881" t="str">
        <f>IF([3]Entry!$K$1884="","",[3]Entry!$K$1884)</f>
        <v/>
      </c>
      <c r="AJ1881" t="str">
        <f>IF([3]Entry!$L$1884="","",[3]Entry!$L$1884)</f>
        <v/>
      </c>
      <c r="AK1881" t="str">
        <f>IF([3]Entry!$M$1884="","",[3]Entry!$M$1884)</f>
        <v/>
      </c>
      <c r="AL1881" t="str">
        <f>IF([3]Entry!$N$1884="","",[3]Entry!$N$1884)</f>
        <v/>
      </c>
      <c r="AM1881" t="str">
        <f>IF([3]Entry!$R$1884="","",[3]Entry!$R$1884)</f>
        <v/>
      </c>
    </row>
    <row r="1882" spans="20:39" x14ac:dyDescent="0.2">
      <c r="T1882" t="str">
        <f>IF([2]Baskol!$B$1885="","",[2]Baskol!$B$1885)</f>
        <v/>
      </c>
      <c r="U1882" t="str">
        <f>IF([2]Baskol!$C$1885="","",[2]Baskol!$C$1885)</f>
        <v/>
      </c>
      <c r="V1882" t="str">
        <f>IF([2]Baskol!$D$1885="","",[2]Baskol!$D$1885)</f>
        <v/>
      </c>
      <c r="W1882" t="str">
        <f>IF([2]Baskol!$E$1885="","",[2]Baskol!$E$1885)</f>
        <v/>
      </c>
      <c r="X1882" t="str">
        <f>IF([2]Baskol!$G$1885="","",[2]Baskol!$G$1885)</f>
        <v/>
      </c>
      <c r="Y1882" t="str">
        <f>IF([2]Baskol!$I$1885="","",[2]Baskol!$I$1885)</f>
        <v/>
      </c>
      <c r="Z1882" t="str">
        <f>IF([2]Baskol!$J$1885="","",[2]Baskol!$J$1885)</f>
        <v/>
      </c>
      <c r="AA1882" t="str">
        <f>IF([2]Baskol!$K$1885="","",[2]Baskol!$K$1885)</f>
        <v/>
      </c>
      <c r="AB1882" t="str">
        <f>IF([2]Baskol!$L$1885="","",[2]Baskol!$L$1885)</f>
        <v/>
      </c>
      <c r="AC1882" t="str">
        <f>IF([2]Baskol!$N$1885="","",[2]Baskol!$N$1885)</f>
        <v/>
      </c>
      <c r="AD1882" t="str">
        <f>IF([2]Baskol!$O$1885="","",[2]Baskol!$O$1885)</f>
        <v/>
      </c>
      <c r="AE1882" t="str">
        <f>IF([3]Entry!$C$1885="","",[3]Entry!$C$1885)</f>
        <v/>
      </c>
      <c r="AF1882" t="str">
        <f>IF([3]Entry!$D$1885="","",[3]Entry!$D$1885)</f>
        <v/>
      </c>
      <c r="AG1882" t="str">
        <f>IF([3]Entry!$E$1885="","",[3]Entry!$E$1885)</f>
        <v/>
      </c>
      <c r="AH1882" t="str">
        <f>IF([3]Entry!$G$1885="","",[3]Entry!$G$1885)</f>
        <v/>
      </c>
      <c r="AI1882" t="str">
        <f>IF([3]Entry!$K$1885="","",[3]Entry!$K$1885)</f>
        <v/>
      </c>
      <c r="AJ1882" t="str">
        <f>IF([3]Entry!$L$1885="","",[3]Entry!$L$1885)</f>
        <v/>
      </c>
      <c r="AK1882" t="str">
        <f>IF([3]Entry!$M$1885="","",[3]Entry!$M$1885)</f>
        <v/>
      </c>
      <c r="AL1882" t="str">
        <f>IF([3]Entry!$N$1885="","",[3]Entry!$N$1885)</f>
        <v/>
      </c>
      <c r="AM1882" t="str">
        <f>IF([3]Entry!$R$1885="","",[3]Entry!$R$1885)</f>
        <v/>
      </c>
    </row>
    <row r="1883" spans="20:39" x14ac:dyDescent="0.2">
      <c r="T1883" t="str">
        <f>IF([2]Baskol!$B$1886="","",[2]Baskol!$B$1886)</f>
        <v/>
      </c>
      <c r="U1883" t="str">
        <f>IF([2]Baskol!$C$1886="","",[2]Baskol!$C$1886)</f>
        <v/>
      </c>
      <c r="V1883" t="str">
        <f>IF([2]Baskol!$D$1886="","",[2]Baskol!$D$1886)</f>
        <v/>
      </c>
      <c r="W1883" t="str">
        <f>IF([2]Baskol!$E$1886="","",[2]Baskol!$E$1886)</f>
        <v/>
      </c>
      <c r="X1883" t="str">
        <f>IF([2]Baskol!$G$1886="","",[2]Baskol!$G$1886)</f>
        <v/>
      </c>
      <c r="Y1883" t="str">
        <f>IF([2]Baskol!$I$1886="","",[2]Baskol!$I$1886)</f>
        <v/>
      </c>
      <c r="Z1883" t="str">
        <f>IF([2]Baskol!$J$1886="","",[2]Baskol!$J$1886)</f>
        <v/>
      </c>
      <c r="AA1883" t="str">
        <f>IF([2]Baskol!$K$1886="","",[2]Baskol!$K$1886)</f>
        <v/>
      </c>
      <c r="AB1883" t="str">
        <f>IF([2]Baskol!$L$1886="","",[2]Baskol!$L$1886)</f>
        <v/>
      </c>
      <c r="AC1883" t="str">
        <f>IF([2]Baskol!$N$1886="","",[2]Baskol!$N$1886)</f>
        <v/>
      </c>
      <c r="AD1883" t="str">
        <f>IF([2]Baskol!$O$1886="","",[2]Baskol!$O$1886)</f>
        <v/>
      </c>
      <c r="AE1883" t="str">
        <f>IF([3]Entry!$C$1886="","",[3]Entry!$C$1886)</f>
        <v/>
      </c>
      <c r="AF1883" t="str">
        <f>IF([3]Entry!$D$1886="","",[3]Entry!$D$1886)</f>
        <v/>
      </c>
      <c r="AG1883" t="str">
        <f>IF([3]Entry!$E$1886="","",[3]Entry!$E$1886)</f>
        <v/>
      </c>
      <c r="AH1883" t="str">
        <f>IF([3]Entry!$G$1886="","",[3]Entry!$G$1886)</f>
        <v/>
      </c>
      <c r="AI1883" t="str">
        <f>IF([3]Entry!$K$1886="","",[3]Entry!$K$1886)</f>
        <v/>
      </c>
      <c r="AJ1883" t="str">
        <f>IF([3]Entry!$L$1886="","",[3]Entry!$L$1886)</f>
        <v/>
      </c>
      <c r="AK1883" t="str">
        <f>IF([3]Entry!$M$1886="","",[3]Entry!$M$1886)</f>
        <v/>
      </c>
      <c r="AL1883" t="str">
        <f>IF([3]Entry!$N$1886="","",[3]Entry!$N$1886)</f>
        <v/>
      </c>
      <c r="AM1883" t="str">
        <f>IF([3]Entry!$R$1886="","",[3]Entry!$R$1886)</f>
        <v/>
      </c>
    </row>
    <row r="1884" spans="20:39" x14ac:dyDescent="0.2">
      <c r="T1884" t="str">
        <f>IF([2]Baskol!$B$1887="","",[2]Baskol!$B$1887)</f>
        <v/>
      </c>
      <c r="U1884" t="str">
        <f>IF([2]Baskol!$C$1887="","",[2]Baskol!$C$1887)</f>
        <v/>
      </c>
      <c r="V1884" t="str">
        <f>IF([2]Baskol!$D$1887="","",[2]Baskol!$D$1887)</f>
        <v/>
      </c>
      <c r="W1884" t="str">
        <f>IF([2]Baskol!$E$1887="","",[2]Baskol!$E$1887)</f>
        <v/>
      </c>
      <c r="X1884" t="str">
        <f>IF([2]Baskol!$G$1887="","",[2]Baskol!$G$1887)</f>
        <v/>
      </c>
      <c r="Y1884" t="str">
        <f>IF([2]Baskol!$I$1887="","",[2]Baskol!$I$1887)</f>
        <v/>
      </c>
      <c r="Z1884" t="str">
        <f>IF([2]Baskol!$J$1887="","",[2]Baskol!$J$1887)</f>
        <v/>
      </c>
      <c r="AA1884" t="str">
        <f>IF([2]Baskol!$K$1887="","",[2]Baskol!$K$1887)</f>
        <v/>
      </c>
      <c r="AB1884" t="str">
        <f>IF([2]Baskol!$L$1887="","",[2]Baskol!$L$1887)</f>
        <v/>
      </c>
      <c r="AC1884" t="str">
        <f>IF([2]Baskol!$N$1887="","",[2]Baskol!$N$1887)</f>
        <v/>
      </c>
      <c r="AD1884" t="str">
        <f>IF([2]Baskol!$O$1887="","",[2]Baskol!$O$1887)</f>
        <v/>
      </c>
      <c r="AE1884" t="str">
        <f>IF([3]Entry!$C$1887="","",[3]Entry!$C$1887)</f>
        <v/>
      </c>
      <c r="AF1884" t="str">
        <f>IF([3]Entry!$D$1887="","",[3]Entry!$D$1887)</f>
        <v/>
      </c>
      <c r="AG1884" t="str">
        <f>IF([3]Entry!$E$1887="","",[3]Entry!$E$1887)</f>
        <v/>
      </c>
      <c r="AH1884" t="str">
        <f>IF([3]Entry!$G$1887="","",[3]Entry!$G$1887)</f>
        <v/>
      </c>
      <c r="AI1884" t="str">
        <f>IF([3]Entry!$K$1887="","",[3]Entry!$K$1887)</f>
        <v/>
      </c>
      <c r="AJ1884" t="str">
        <f>IF([3]Entry!$L$1887="","",[3]Entry!$L$1887)</f>
        <v/>
      </c>
      <c r="AK1884" t="str">
        <f>IF([3]Entry!$M$1887="","",[3]Entry!$M$1887)</f>
        <v/>
      </c>
      <c r="AL1884" t="str">
        <f>IF([3]Entry!$N$1887="","",[3]Entry!$N$1887)</f>
        <v/>
      </c>
      <c r="AM1884" t="str">
        <f>IF([3]Entry!$R$1887="","",[3]Entry!$R$1887)</f>
        <v/>
      </c>
    </row>
    <row r="1885" spans="20:39" x14ac:dyDescent="0.2">
      <c r="T1885" t="str">
        <f>IF([2]Baskol!$B$1888="","",[2]Baskol!$B$1888)</f>
        <v/>
      </c>
      <c r="U1885" t="str">
        <f>IF([2]Baskol!$C$1888="","",[2]Baskol!$C$1888)</f>
        <v/>
      </c>
      <c r="V1885" t="str">
        <f>IF([2]Baskol!$D$1888="","",[2]Baskol!$D$1888)</f>
        <v/>
      </c>
      <c r="W1885" t="str">
        <f>IF([2]Baskol!$E$1888="","",[2]Baskol!$E$1888)</f>
        <v/>
      </c>
      <c r="X1885" t="str">
        <f>IF([2]Baskol!$G$1888="","",[2]Baskol!$G$1888)</f>
        <v/>
      </c>
      <c r="Y1885" t="str">
        <f>IF([2]Baskol!$I$1888="","",[2]Baskol!$I$1888)</f>
        <v/>
      </c>
      <c r="Z1885" t="str">
        <f>IF([2]Baskol!$J$1888="","",[2]Baskol!$J$1888)</f>
        <v/>
      </c>
      <c r="AA1885" t="str">
        <f>IF([2]Baskol!$K$1888="","",[2]Baskol!$K$1888)</f>
        <v/>
      </c>
      <c r="AB1885" t="str">
        <f>IF([2]Baskol!$L$1888="","",[2]Baskol!$L$1888)</f>
        <v/>
      </c>
      <c r="AC1885" t="str">
        <f>IF([2]Baskol!$N$1888="","",[2]Baskol!$N$1888)</f>
        <v/>
      </c>
      <c r="AD1885" t="str">
        <f>IF([2]Baskol!$O$1888="","",[2]Baskol!$O$1888)</f>
        <v/>
      </c>
      <c r="AE1885" t="str">
        <f>IF([3]Entry!$C$1888="","",[3]Entry!$C$1888)</f>
        <v/>
      </c>
      <c r="AF1885" t="str">
        <f>IF([3]Entry!$D$1888="","",[3]Entry!$D$1888)</f>
        <v/>
      </c>
      <c r="AG1885" t="str">
        <f>IF([3]Entry!$E$1888="","",[3]Entry!$E$1888)</f>
        <v/>
      </c>
      <c r="AH1885" t="str">
        <f>IF([3]Entry!$G$1888="","",[3]Entry!$G$1888)</f>
        <v/>
      </c>
      <c r="AI1885" t="str">
        <f>IF([3]Entry!$K$1888="","",[3]Entry!$K$1888)</f>
        <v/>
      </c>
      <c r="AJ1885" t="str">
        <f>IF([3]Entry!$L$1888="","",[3]Entry!$L$1888)</f>
        <v/>
      </c>
      <c r="AK1885" t="str">
        <f>IF([3]Entry!$M$1888="","",[3]Entry!$M$1888)</f>
        <v/>
      </c>
      <c r="AL1885" t="str">
        <f>IF([3]Entry!$N$1888="","",[3]Entry!$N$1888)</f>
        <v/>
      </c>
      <c r="AM1885" t="str">
        <f>IF([3]Entry!$R$1888="","",[3]Entry!$R$1888)</f>
        <v/>
      </c>
    </row>
    <row r="1886" spans="20:39" x14ac:dyDescent="0.2">
      <c r="T1886" t="str">
        <f>IF([2]Baskol!$B$1889="","",[2]Baskol!$B$1889)</f>
        <v/>
      </c>
      <c r="U1886" t="str">
        <f>IF([2]Baskol!$C$1889="","",[2]Baskol!$C$1889)</f>
        <v/>
      </c>
      <c r="V1886" t="str">
        <f>IF([2]Baskol!$D$1889="","",[2]Baskol!$D$1889)</f>
        <v/>
      </c>
      <c r="W1886" t="str">
        <f>IF([2]Baskol!$E$1889="","",[2]Baskol!$E$1889)</f>
        <v/>
      </c>
      <c r="X1886" t="str">
        <f>IF([2]Baskol!$G$1889="","",[2]Baskol!$G$1889)</f>
        <v/>
      </c>
      <c r="Y1886" t="str">
        <f>IF([2]Baskol!$I$1889="","",[2]Baskol!$I$1889)</f>
        <v/>
      </c>
      <c r="Z1886" t="str">
        <f>IF([2]Baskol!$J$1889="","",[2]Baskol!$J$1889)</f>
        <v/>
      </c>
      <c r="AA1886" t="str">
        <f>IF([2]Baskol!$K$1889="","",[2]Baskol!$K$1889)</f>
        <v/>
      </c>
      <c r="AB1886" t="str">
        <f>IF([2]Baskol!$L$1889="","",[2]Baskol!$L$1889)</f>
        <v/>
      </c>
      <c r="AC1886" t="str">
        <f>IF([2]Baskol!$N$1889="","",[2]Baskol!$N$1889)</f>
        <v/>
      </c>
      <c r="AD1886" t="str">
        <f>IF([2]Baskol!$O$1889="","",[2]Baskol!$O$1889)</f>
        <v/>
      </c>
      <c r="AE1886" t="str">
        <f>IF([3]Entry!$C$1889="","",[3]Entry!$C$1889)</f>
        <v/>
      </c>
      <c r="AF1886" t="str">
        <f>IF([3]Entry!$D$1889="","",[3]Entry!$D$1889)</f>
        <v/>
      </c>
      <c r="AG1886" t="str">
        <f>IF([3]Entry!$E$1889="","",[3]Entry!$E$1889)</f>
        <v/>
      </c>
      <c r="AH1886" t="str">
        <f>IF([3]Entry!$G$1889="","",[3]Entry!$G$1889)</f>
        <v/>
      </c>
      <c r="AI1886" t="str">
        <f>IF([3]Entry!$K$1889="","",[3]Entry!$K$1889)</f>
        <v/>
      </c>
      <c r="AJ1886" t="str">
        <f>IF([3]Entry!$L$1889="","",[3]Entry!$L$1889)</f>
        <v/>
      </c>
      <c r="AK1886" t="str">
        <f>IF([3]Entry!$M$1889="","",[3]Entry!$M$1889)</f>
        <v/>
      </c>
      <c r="AL1886" t="str">
        <f>IF([3]Entry!$N$1889="","",[3]Entry!$N$1889)</f>
        <v/>
      </c>
      <c r="AM1886" t="str">
        <f>IF([3]Entry!$R$1889="","",[3]Entry!$R$1889)</f>
        <v/>
      </c>
    </row>
    <row r="1887" spans="20:39" x14ac:dyDescent="0.2">
      <c r="T1887" t="str">
        <f>IF([2]Baskol!$B$1890="","",[2]Baskol!$B$1890)</f>
        <v/>
      </c>
      <c r="U1887" t="str">
        <f>IF([2]Baskol!$C$1890="","",[2]Baskol!$C$1890)</f>
        <v/>
      </c>
      <c r="V1887" t="str">
        <f>IF([2]Baskol!$D$1890="","",[2]Baskol!$D$1890)</f>
        <v/>
      </c>
      <c r="W1887" t="str">
        <f>IF([2]Baskol!$E$1890="","",[2]Baskol!$E$1890)</f>
        <v/>
      </c>
      <c r="X1887" t="str">
        <f>IF([2]Baskol!$G$1890="","",[2]Baskol!$G$1890)</f>
        <v/>
      </c>
      <c r="Y1887" t="str">
        <f>IF([2]Baskol!$I$1890="","",[2]Baskol!$I$1890)</f>
        <v/>
      </c>
      <c r="Z1887" t="str">
        <f>IF([2]Baskol!$J$1890="","",[2]Baskol!$J$1890)</f>
        <v/>
      </c>
      <c r="AA1887" t="str">
        <f>IF([2]Baskol!$K$1890="","",[2]Baskol!$K$1890)</f>
        <v/>
      </c>
      <c r="AB1887" t="str">
        <f>IF([2]Baskol!$L$1890="","",[2]Baskol!$L$1890)</f>
        <v/>
      </c>
      <c r="AC1887" t="str">
        <f>IF([2]Baskol!$N$1890="","",[2]Baskol!$N$1890)</f>
        <v/>
      </c>
      <c r="AD1887" t="str">
        <f>IF([2]Baskol!$O$1890="","",[2]Baskol!$O$1890)</f>
        <v/>
      </c>
      <c r="AE1887" t="str">
        <f>IF([3]Entry!$C$1890="","",[3]Entry!$C$1890)</f>
        <v/>
      </c>
      <c r="AF1887" t="str">
        <f>IF([3]Entry!$D$1890="","",[3]Entry!$D$1890)</f>
        <v/>
      </c>
      <c r="AG1887" t="str">
        <f>IF([3]Entry!$E$1890="","",[3]Entry!$E$1890)</f>
        <v/>
      </c>
      <c r="AH1887" t="str">
        <f>IF([3]Entry!$G$1890="","",[3]Entry!$G$1890)</f>
        <v/>
      </c>
      <c r="AI1887" t="str">
        <f>IF([3]Entry!$K$1890="","",[3]Entry!$K$1890)</f>
        <v/>
      </c>
      <c r="AJ1887" t="str">
        <f>IF([3]Entry!$L$1890="","",[3]Entry!$L$1890)</f>
        <v/>
      </c>
      <c r="AK1887" t="str">
        <f>IF([3]Entry!$M$1890="","",[3]Entry!$M$1890)</f>
        <v/>
      </c>
      <c r="AL1887" t="str">
        <f>IF([3]Entry!$N$1890="","",[3]Entry!$N$1890)</f>
        <v/>
      </c>
      <c r="AM1887" t="str">
        <f>IF([3]Entry!$R$1890="","",[3]Entry!$R$1890)</f>
        <v/>
      </c>
    </row>
    <row r="1888" spans="20:39" x14ac:dyDescent="0.2">
      <c r="T1888" t="str">
        <f>IF([2]Baskol!$B$1891="","",[2]Baskol!$B$1891)</f>
        <v/>
      </c>
      <c r="U1888" t="str">
        <f>IF([2]Baskol!$C$1891="","",[2]Baskol!$C$1891)</f>
        <v/>
      </c>
      <c r="V1888" t="str">
        <f>IF([2]Baskol!$D$1891="","",[2]Baskol!$D$1891)</f>
        <v/>
      </c>
      <c r="W1888" t="str">
        <f>IF([2]Baskol!$E$1891="","",[2]Baskol!$E$1891)</f>
        <v/>
      </c>
      <c r="X1888" t="str">
        <f>IF([2]Baskol!$G$1891="","",[2]Baskol!$G$1891)</f>
        <v/>
      </c>
      <c r="Y1888" t="str">
        <f>IF([2]Baskol!$I$1891="","",[2]Baskol!$I$1891)</f>
        <v/>
      </c>
      <c r="Z1888" t="str">
        <f>IF([2]Baskol!$J$1891="","",[2]Baskol!$J$1891)</f>
        <v/>
      </c>
      <c r="AA1888" t="str">
        <f>IF([2]Baskol!$K$1891="","",[2]Baskol!$K$1891)</f>
        <v/>
      </c>
      <c r="AB1888" t="str">
        <f>IF([2]Baskol!$L$1891="","",[2]Baskol!$L$1891)</f>
        <v/>
      </c>
      <c r="AC1888" t="str">
        <f>IF([2]Baskol!$N$1891="","",[2]Baskol!$N$1891)</f>
        <v/>
      </c>
      <c r="AD1888" t="str">
        <f>IF([2]Baskol!$O$1891="","",[2]Baskol!$O$1891)</f>
        <v/>
      </c>
      <c r="AE1888" t="str">
        <f>IF([3]Entry!$C$1891="","",[3]Entry!$C$1891)</f>
        <v/>
      </c>
      <c r="AF1888" t="str">
        <f>IF([3]Entry!$D$1891="","",[3]Entry!$D$1891)</f>
        <v/>
      </c>
      <c r="AG1888" t="str">
        <f>IF([3]Entry!$E$1891="","",[3]Entry!$E$1891)</f>
        <v/>
      </c>
      <c r="AH1888" t="str">
        <f>IF([3]Entry!$G$1891="","",[3]Entry!$G$1891)</f>
        <v/>
      </c>
      <c r="AI1888" t="str">
        <f>IF([3]Entry!$K$1891="","",[3]Entry!$K$1891)</f>
        <v/>
      </c>
      <c r="AJ1888" t="str">
        <f>IF([3]Entry!$L$1891="","",[3]Entry!$L$1891)</f>
        <v/>
      </c>
      <c r="AK1888" t="str">
        <f>IF([3]Entry!$M$1891="","",[3]Entry!$M$1891)</f>
        <v/>
      </c>
      <c r="AL1888" t="str">
        <f>IF([3]Entry!$N$1891="","",[3]Entry!$N$1891)</f>
        <v/>
      </c>
      <c r="AM1888" t="str">
        <f>IF([3]Entry!$R$1891="","",[3]Entry!$R$1891)</f>
        <v/>
      </c>
    </row>
    <row r="1889" spans="20:39" x14ac:dyDescent="0.2">
      <c r="T1889" t="str">
        <f>IF([2]Baskol!$B$1892="","",[2]Baskol!$B$1892)</f>
        <v/>
      </c>
      <c r="U1889" t="str">
        <f>IF([2]Baskol!$C$1892="","",[2]Baskol!$C$1892)</f>
        <v/>
      </c>
      <c r="V1889" t="str">
        <f>IF([2]Baskol!$D$1892="","",[2]Baskol!$D$1892)</f>
        <v/>
      </c>
      <c r="W1889" t="str">
        <f>IF([2]Baskol!$E$1892="","",[2]Baskol!$E$1892)</f>
        <v/>
      </c>
      <c r="X1889" t="str">
        <f>IF([2]Baskol!$G$1892="","",[2]Baskol!$G$1892)</f>
        <v/>
      </c>
      <c r="Y1889" t="str">
        <f>IF([2]Baskol!$I$1892="","",[2]Baskol!$I$1892)</f>
        <v/>
      </c>
      <c r="Z1889" t="str">
        <f>IF([2]Baskol!$J$1892="","",[2]Baskol!$J$1892)</f>
        <v/>
      </c>
      <c r="AA1889" t="str">
        <f>IF([2]Baskol!$K$1892="","",[2]Baskol!$K$1892)</f>
        <v/>
      </c>
      <c r="AB1889" t="str">
        <f>IF([2]Baskol!$L$1892="","",[2]Baskol!$L$1892)</f>
        <v/>
      </c>
      <c r="AC1889" t="str">
        <f>IF([2]Baskol!$N$1892="","",[2]Baskol!$N$1892)</f>
        <v/>
      </c>
      <c r="AD1889" t="str">
        <f>IF([2]Baskol!$O$1892="","",[2]Baskol!$O$1892)</f>
        <v/>
      </c>
      <c r="AE1889" t="str">
        <f>IF([3]Entry!$C$1892="","",[3]Entry!$C$1892)</f>
        <v/>
      </c>
      <c r="AF1889" t="str">
        <f>IF([3]Entry!$D$1892="","",[3]Entry!$D$1892)</f>
        <v/>
      </c>
      <c r="AG1889" t="str">
        <f>IF([3]Entry!$E$1892="","",[3]Entry!$E$1892)</f>
        <v/>
      </c>
      <c r="AH1889" t="str">
        <f>IF([3]Entry!$G$1892="","",[3]Entry!$G$1892)</f>
        <v/>
      </c>
      <c r="AI1889" t="str">
        <f>IF([3]Entry!$K$1892="","",[3]Entry!$K$1892)</f>
        <v/>
      </c>
      <c r="AJ1889" t="str">
        <f>IF([3]Entry!$L$1892="","",[3]Entry!$L$1892)</f>
        <v/>
      </c>
      <c r="AK1889" t="str">
        <f>IF([3]Entry!$M$1892="","",[3]Entry!$M$1892)</f>
        <v/>
      </c>
      <c r="AL1889" t="str">
        <f>IF([3]Entry!$N$1892="","",[3]Entry!$N$1892)</f>
        <v/>
      </c>
      <c r="AM1889" t="str">
        <f>IF([3]Entry!$R$1892="","",[3]Entry!$R$1892)</f>
        <v/>
      </c>
    </row>
    <row r="1890" spans="20:39" x14ac:dyDescent="0.2">
      <c r="T1890" t="str">
        <f>IF([2]Baskol!$B$1893="","",[2]Baskol!$B$1893)</f>
        <v/>
      </c>
      <c r="U1890" t="str">
        <f>IF([2]Baskol!$C$1893="","",[2]Baskol!$C$1893)</f>
        <v/>
      </c>
      <c r="V1890" t="str">
        <f>IF([2]Baskol!$D$1893="","",[2]Baskol!$D$1893)</f>
        <v/>
      </c>
      <c r="W1890" t="str">
        <f>IF([2]Baskol!$E$1893="","",[2]Baskol!$E$1893)</f>
        <v/>
      </c>
      <c r="X1890" t="str">
        <f>IF([2]Baskol!$G$1893="","",[2]Baskol!$G$1893)</f>
        <v/>
      </c>
      <c r="Y1890" t="str">
        <f>IF([2]Baskol!$I$1893="","",[2]Baskol!$I$1893)</f>
        <v/>
      </c>
      <c r="Z1890" t="str">
        <f>IF([2]Baskol!$J$1893="","",[2]Baskol!$J$1893)</f>
        <v/>
      </c>
      <c r="AA1890" t="str">
        <f>IF([2]Baskol!$K$1893="","",[2]Baskol!$K$1893)</f>
        <v/>
      </c>
      <c r="AB1890" t="str">
        <f>IF([2]Baskol!$L$1893="","",[2]Baskol!$L$1893)</f>
        <v/>
      </c>
      <c r="AC1890" t="str">
        <f>IF([2]Baskol!$N$1893="","",[2]Baskol!$N$1893)</f>
        <v/>
      </c>
      <c r="AD1890" t="str">
        <f>IF([2]Baskol!$O$1893="","",[2]Baskol!$O$1893)</f>
        <v/>
      </c>
      <c r="AE1890" t="str">
        <f>IF([3]Entry!$C$1893="","",[3]Entry!$C$1893)</f>
        <v/>
      </c>
      <c r="AF1890" t="str">
        <f>IF([3]Entry!$D$1893="","",[3]Entry!$D$1893)</f>
        <v/>
      </c>
      <c r="AG1890" t="str">
        <f>IF([3]Entry!$E$1893="","",[3]Entry!$E$1893)</f>
        <v/>
      </c>
      <c r="AH1890" t="str">
        <f>IF([3]Entry!$G$1893="","",[3]Entry!$G$1893)</f>
        <v/>
      </c>
      <c r="AI1890" t="str">
        <f>IF([3]Entry!$K$1893="","",[3]Entry!$K$1893)</f>
        <v/>
      </c>
      <c r="AJ1890" t="str">
        <f>IF([3]Entry!$L$1893="","",[3]Entry!$L$1893)</f>
        <v/>
      </c>
      <c r="AK1890" t="str">
        <f>IF([3]Entry!$M$1893="","",[3]Entry!$M$1893)</f>
        <v/>
      </c>
      <c r="AL1890" t="str">
        <f>IF([3]Entry!$N$1893="","",[3]Entry!$N$1893)</f>
        <v/>
      </c>
      <c r="AM1890" t="str">
        <f>IF([3]Entry!$R$1893="","",[3]Entry!$R$1893)</f>
        <v/>
      </c>
    </row>
    <row r="1891" spans="20:39" x14ac:dyDescent="0.2">
      <c r="T1891" t="str">
        <f>IF([2]Baskol!$B$1894="","",[2]Baskol!$B$1894)</f>
        <v/>
      </c>
      <c r="U1891" t="str">
        <f>IF([2]Baskol!$C$1894="","",[2]Baskol!$C$1894)</f>
        <v/>
      </c>
      <c r="V1891" t="str">
        <f>IF([2]Baskol!$D$1894="","",[2]Baskol!$D$1894)</f>
        <v/>
      </c>
      <c r="W1891" t="str">
        <f>IF([2]Baskol!$E$1894="","",[2]Baskol!$E$1894)</f>
        <v/>
      </c>
      <c r="X1891" t="str">
        <f>IF([2]Baskol!$G$1894="","",[2]Baskol!$G$1894)</f>
        <v/>
      </c>
      <c r="Y1891" t="str">
        <f>IF([2]Baskol!$I$1894="","",[2]Baskol!$I$1894)</f>
        <v/>
      </c>
      <c r="Z1891" t="str">
        <f>IF([2]Baskol!$J$1894="","",[2]Baskol!$J$1894)</f>
        <v/>
      </c>
      <c r="AA1891" t="str">
        <f>IF([2]Baskol!$K$1894="","",[2]Baskol!$K$1894)</f>
        <v/>
      </c>
      <c r="AB1891" t="str">
        <f>IF([2]Baskol!$L$1894="","",[2]Baskol!$L$1894)</f>
        <v/>
      </c>
      <c r="AC1891" t="str">
        <f>IF([2]Baskol!$N$1894="","",[2]Baskol!$N$1894)</f>
        <v/>
      </c>
      <c r="AD1891" t="str">
        <f>IF([2]Baskol!$O$1894="","",[2]Baskol!$O$1894)</f>
        <v/>
      </c>
      <c r="AE1891" t="str">
        <f>IF([3]Entry!$C$1894="","",[3]Entry!$C$1894)</f>
        <v/>
      </c>
      <c r="AF1891" t="str">
        <f>IF([3]Entry!$D$1894="","",[3]Entry!$D$1894)</f>
        <v/>
      </c>
      <c r="AG1891" t="str">
        <f>IF([3]Entry!$E$1894="","",[3]Entry!$E$1894)</f>
        <v/>
      </c>
      <c r="AH1891" t="str">
        <f>IF([3]Entry!$G$1894="","",[3]Entry!$G$1894)</f>
        <v/>
      </c>
      <c r="AI1891" t="str">
        <f>IF([3]Entry!$K$1894="","",[3]Entry!$K$1894)</f>
        <v/>
      </c>
      <c r="AJ1891" t="str">
        <f>IF([3]Entry!$L$1894="","",[3]Entry!$L$1894)</f>
        <v/>
      </c>
      <c r="AK1891" t="str">
        <f>IF([3]Entry!$M$1894="","",[3]Entry!$M$1894)</f>
        <v/>
      </c>
      <c r="AL1891" t="str">
        <f>IF([3]Entry!$N$1894="","",[3]Entry!$N$1894)</f>
        <v/>
      </c>
      <c r="AM1891" t="str">
        <f>IF([3]Entry!$R$1894="","",[3]Entry!$R$1894)</f>
        <v/>
      </c>
    </row>
    <row r="1892" spans="20:39" x14ac:dyDescent="0.2">
      <c r="T1892" t="str">
        <f>IF([2]Baskol!$B$1895="","",[2]Baskol!$B$1895)</f>
        <v/>
      </c>
      <c r="U1892" t="str">
        <f>IF([2]Baskol!$C$1895="","",[2]Baskol!$C$1895)</f>
        <v/>
      </c>
      <c r="V1892" t="str">
        <f>IF([2]Baskol!$D$1895="","",[2]Baskol!$D$1895)</f>
        <v/>
      </c>
      <c r="W1892" t="str">
        <f>IF([2]Baskol!$E$1895="","",[2]Baskol!$E$1895)</f>
        <v/>
      </c>
      <c r="X1892" t="str">
        <f>IF([2]Baskol!$G$1895="","",[2]Baskol!$G$1895)</f>
        <v/>
      </c>
      <c r="Y1892" t="str">
        <f>IF([2]Baskol!$I$1895="","",[2]Baskol!$I$1895)</f>
        <v/>
      </c>
      <c r="Z1892" t="str">
        <f>IF([2]Baskol!$J$1895="","",[2]Baskol!$J$1895)</f>
        <v/>
      </c>
      <c r="AA1892" t="str">
        <f>IF([2]Baskol!$K$1895="","",[2]Baskol!$K$1895)</f>
        <v/>
      </c>
      <c r="AB1892" t="str">
        <f>IF([2]Baskol!$L$1895="","",[2]Baskol!$L$1895)</f>
        <v/>
      </c>
      <c r="AC1892" t="str">
        <f>IF([2]Baskol!$N$1895="","",[2]Baskol!$N$1895)</f>
        <v/>
      </c>
      <c r="AD1892" t="str">
        <f>IF([2]Baskol!$O$1895="","",[2]Baskol!$O$1895)</f>
        <v/>
      </c>
      <c r="AE1892" t="str">
        <f>IF([3]Entry!$C$1895="","",[3]Entry!$C$1895)</f>
        <v/>
      </c>
      <c r="AF1892" t="str">
        <f>IF([3]Entry!$D$1895="","",[3]Entry!$D$1895)</f>
        <v/>
      </c>
      <c r="AG1892" t="str">
        <f>IF([3]Entry!$E$1895="","",[3]Entry!$E$1895)</f>
        <v/>
      </c>
      <c r="AH1892" t="str">
        <f>IF([3]Entry!$G$1895="","",[3]Entry!$G$1895)</f>
        <v/>
      </c>
      <c r="AI1892" t="str">
        <f>IF([3]Entry!$K$1895="","",[3]Entry!$K$1895)</f>
        <v/>
      </c>
      <c r="AJ1892" t="str">
        <f>IF([3]Entry!$L$1895="","",[3]Entry!$L$1895)</f>
        <v/>
      </c>
      <c r="AK1892" t="str">
        <f>IF([3]Entry!$M$1895="","",[3]Entry!$M$1895)</f>
        <v/>
      </c>
      <c r="AL1892" t="str">
        <f>IF([3]Entry!$N$1895="","",[3]Entry!$N$1895)</f>
        <v/>
      </c>
      <c r="AM1892" t="str">
        <f>IF([3]Entry!$R$1895="","",[3]Entry!$R$1895)</f>
        <v/>
      </c>
    </row>
    <row r="1893" spans="20:39" x14ac:dyDescent="0.2">
      <c r="T1893" t="str">
        <f>IF([2]Baskol!$B$1896="","",[2]Baskol!$B$1896)</f>
        <v/>
      </c>
      <c r="U1893" t="str">
        <f>IF([2]Baskol!$C$1896="","",[2]Baskol!$C$1896)</f>
        <v/>
      </c>
      <c r="V1893" t="str">
        <f>IF([2]Baskol!$D$1896="","",[2]Baskol!$D$1896)</f>
        <v/>
      </c>
      <c r="W1893" t="str">
        <f>IF([2]Baskol!$E$1896="","",[2]Baskol!$E$1896)</f>
        <v/>
      </c>
      <c r="X1893" t="str">
        <f>IF([2]Baskol!$G$1896="","",[2]Baskol!$G$1896)</f>
        <v/>
      </c>
      <c r="Y1893" t="str">
        <f>IF([2]Baskol!$I$1896="","",[2]Baskol!$I$1896)</f>
        <v/>
      </c>
      <c r="Z1893" t="str">
        <f>IF([2]Baskol!$J$1896="","",[2]Baskol!$J$1896)</f>
        <v/>
      </c>
      <c r="AA1893" t="str">
        <f>IF([2]Baskol!$K$1896="","",[2]Baskol!$K$1896)</f>
        <v/>
      </c>
      <c r="AB1893" t="str">
        <f>IF([2]Baskol!$L$1896="","",[2]Baskol!$L$1896)</f>
        <v/>
      </c>
      <c r="AC1893" t="str">
        <f>IF([2]Baskol!$N$1896="","",[2]Baskol!$N$1896)</f>
        <v/>
      </c>
      <c r="AD1893" t="str">
        <f>IF([2]Baskol!$O$1896="","",[2]Baskol!$O$1896)</f>
        <v/>
      </c>
      <c r="AE1893" t="str">
        <f>IF([3]Entry!$C$1896="","",[3]Entry!$C$1896)</f>
        <v/>
      </c>
      <c r="AF1893" t="str">
        <f>IF([3]Entry!$D$1896="","",[3]Entry!$D$1896)</f>
        <v/>
      </c>
      <c r="AG1893" t="str">
        <f>IF([3]Entry!$E$1896="","",[3]Entry!$E$1896)</f>
        <v/>
      </c>
      <c r="AH1893" t="str">
        <f>IF([3]Entry!$G$1896="","",[3]Entry!$G$1896)</f>
        <v/>
      </c>
      <c r="AI1893" t="str">
        <f>IF([3]Entry!$K$1896="","",[3]Entry!$K$1896)</f>
        <v/>
      </c>
      <c r="AJ1893" t="str">
        <f>IF([3]Entry!$L$1896="","",[3]Entry!$L$1896)</f>
        <v/>
      </c>
      <c r="AK1893" t="str">
        <f>IF([3]Entry!$M$1896="","",[3]Entry!$M$1896)</f>
        <v/>
      </c>
      <c r="AL1893" t="str">
        <f>IF([3]Entry!$N$1896="","",[3]Entry!$N$1896)</f>
        <v/>
      </c>
      <c r="AM1893" t="str">
        <f>IF([3]Entry!$R$1896="","",[3]Entry!$R$1896)</f>
        <v/>
      </c>
    </row>
    <row r="1894" spans="20:39" x14ac:dyDescent="0.2">
      <c r="T1894" t="str">
        <f>IF([2]Baskol!$B$1897="","",[2]Baskol!$B$1897)</f>
        <v/>
      </c>
      <c r="U1894" t="str">
        <f>IF([2]Baskol!$C$1897="","",[2]Baskol!$C$1897)</f>
        <v/>
      </c>
      <c r="V1894" t="str">
        <f>IF([2]Baskol!$D$1897="","",[2]Baskol!$D$1897)</f>
        <v/>
      </c>
      <c r="W1894" t="str">
        <f>IF([2]Baskol!$E$1897="","",[2]Baskol!$E$1897)</f>
        <v/>
      </c>
      <c r="X1894" t="str">
        <f>IF([2]Baskol!$G$1897="","",[2]Baskol!$G$1897)</f>
        <v/>
      </c>
      <c r="Y1894" t="str">
        <f>IF([2]Baskol!$I$1897="","",[2]Baskol!$I$1897)</f>
        <v/>
      </c>
      <c r="Z1894" t="str">
        <f>IF([2]Baskol!$J$1897="","",[2]Baskol!$J$1897)</f>
        <v/>
      </c>
      <c r="AA1894" t="str">
        <f>IF([2]Baskol!$K$1897="","",[2]Baskol!$K$1897)</f>
        <v/>
      </c>
      <c r="AB1894" t="str">
        <f>IF([2]Baskol!$L$1897="","",[2]Baskol!$L$1897)</f>
        <v/>
      </c>
      <c r="AC1894" t="str">
        <f>IF([2]Baskol!$N$1897="","",[2]Baskol!$N$1897)</f>
        <v/>
      </c>
      <c r="AD1894" t="str">
        <f>IF([2]Baskol!$O$1897="","",[2]Baskol!$O$1897)</f>
        <v/>
      </c>
      <c r="AE1894" t="str">
        <f>IF([3]Entry!$C$1897="","",[3]Entry!$C$1897)</f>
        <v/>
      </c>
      <c r="AF1894" t="str">
        <f>IF([3]Entry!$D$1897="","",[3]Entry!$D$1897)</f>
        <v/>
      </c>
      <c r="AG1894" t="str">
        <f>IF([3]Entry!$E$1897="","",[3]Entry!$E$1897)</f>
        <v/>
      </c>
      <c r="AH1894" t="str">
        <f>IF([3]Entry!$G$1897="","",[3]Entry!$G$1897)</f>
        <v/>
      </c>
      <c r="AI1894" t="str">
        <f>IF([3]Entry!$K$1897="","",[3]Entry!$K$1897)</f>
        <v/>
      </c>
      <c r="AJ1894" t="str">
        <f>IF([3]Entry!$L$1897="","",[3]Entry!$L$1897)</f>
        <v/>
      </c>
      <c r="AK1894" t="str">
        <f>IF([3]Entry!$M$1897="","",[3]Entry!$M$1897)</f>
        <v/>
      </c>
      <c r="AL1894" t="str">
        <f>IF([3]Entry!$N$1897="","",[3]Entry!$N$1897)</f>
        <v/>
      </c>
      <c r="AM1894" t="str">
        <f>IF([3]Entry!$R$1897="","",[3]Entry!$R$1897)</f>
        <v/>
      </c>
    </row>
    <row r="1895" spans="20:39" x14ac:dyDescent="0.2">
      <c r="T1895" t="str">
        <f>IF([2]Baskol!$B$1898="","",[2]Baskol!$B$1898)</f>
        <v/>
      </c>
      <c r="U1895" t="str">
        <f>IF([2]Baskol!$C$1898="","",[2]Baskol!$C$1898)</f>
        <v/>
      </c>
      <c r="V1895" t="str">
        <f>IF([2]Baskol!$D$1898="","",[2]Baskol!$D$1898)</f>
        <v/>
      </c>
      <c r="W1895" t="str">
        <f>IF([2]Baskol!$E$1898="","",[2]Baskol!$E$1898)</f>
        <v/>
      </c>
      <c r="X1895" t="str">
        <f>IF([2]Baskol!$G$1898="","",[2]Baskol!$G$1898)</f>
        <v/>
      </c>
      <c r="Y1895" t="str">
        <f>IF([2]Baskol!$I$1898="","",[2]Baskol!$I$1898)</f>
        <v/>
      </c>
      <c r="Z1895" t="str">
        <f>IF([2]Baskol!$J$1898="","",[2]Baskol!$J$1898)</f>
        <v/>
      </c>
      <c r="AA1895" t="str">
        <f>IF([2]Baskol!$K$1898="","",[2]Baskol!$K$1898)</f>
        <v/>
      </c>
      <c r="AB1895" t="str">
        <f>IF([2]Baskol!$L$1898="","",[2]Baskol!$L$1898)</f>
        <v/>
      </c>
      <c r="AC1895" t="str">
        <f>IF([2]Baskol!$N$1898="","",[2]Baskol!$N$1898)</f>
        <v/>
      </c>
      <c r="AD1895" t="str">
        <f>IF([2]Baskol!$O$1898="","",[2]Baskol!$O$1898)</f>
        <v/>
      </c>
      <c r="AE1895" t="str">
        <f>IF([3]Entry!$C$1898="","",[3]Entry!$C$1898)</f>
        <v/>
      </c>
      <c r="AF1895" t="str">
        <f>IF([3]Entry!$D$1898="","",[3]Entry!$D$1898)</f>
        <v/>
      </c>
      <c r="AG1895" t="str">
        <f>IF([3]Entry!$E$1898="","",[3]Entry!$E$1898)</f>
        <v/>
      </c>
      <c r="AH1895" t="str">
        <f>IF([3]Entry!$G$1898="","",[3]Entry!$G$1898)</f>
        <v/>
      </c>
      <c r="AI1895" t="str">
        <f>IF([3]Entry!$K$1898="","",[3]Entry!$K$1898)</f>
        <v/>
      </c>
      <c r="AJ1895" t="str">
        <f>IF([3]Entry!$L$1898="","",[3]Entry!$L$1898)</f>
        <v/>
      </c>
      <c r="AK1895" t="str">
        <f>IF([3]Entry!$M$1898="","",[3]Entry!$M$1898)</f>
        <v/>
      </c>
      <c r="AL1895" t="str">
        <f>IF([3]Entry!$N$1898="","",[3]Entry!$N$1898)</f>
        <v/>
      </c>
      <c r="AM1895" t="str">
        <f>IF([3]Entry!$R$1898="","",[3]Entry!$R$1898)</f>
        <v/>
      </c>
    </row>
    <row r="1896" spans="20:39" x14ac:dyDescent="0.2">
      <c r="T1896" t="str">
        <f>IF([2]Baskol!$B$1899="","",[2]Baskol!$B$1899)</f>
        <v/>
      </c>
      <c r="U1896" t="str">
        <f>IF([2]Baskol!$C$1899="","",[2]Baskol!$C$1899)</f>
        <v/>
      </c>
      <c r="V1896" t="str">
        <f>IF([2]Baskol!$D$1899="","",[2]Baskol!$D$1899)</f>
        <v/>
      </c>
      <c r="W1896" t="str">
        <f>IF([2]Baskol!$E$1899="","",[2]Baskol!$E$1899)</f>
        <v/>
      </c>
      <c r="X1896" t="str">
        <f>IF([2]Baskol!$G$1899="","",[2]Baskol!$G$1899)</f>
        <v/>
      </c>
      <c r="Y1896" t="str">
        <f>IF([2]Baskol!$I$1899="","",[2]Baskol!$I$1899)</f>
        <v/>
      </c>
      <c r="Z1896" t="str">
        <f>IF([2]Baskol!$J$1899="","",[2]Baskol!$J$1899)</f>
        <v/>
      </c>
      <c r="AA1896" t="str">
        <f>IF([2]Baskol!$K$1899="","",[2]Baskol!$K$1899)</f>
        <v/>
      </c>
      <c r="AB1896" t="str">
        <f>IF([2]Baskol!$L$1899="","",[2]Baskol!$L$1899)</f>
        <v/>
      </c>
      <c r="AC1896" t="str">
        <f>IF([2]Baskol!$N$1899="","",[2]Baskol!$N$1899)</f>
        <v/>
      </c>
      <c r="AD1896" t="str">
        <f>IF([2]Baskol!$O$1899="","",[2]Baskol!$O$1899)</f>
        <v/>
      </c>
      <c r="AE1896" t="str">
        <f>IF([3]Entry!$C$1899="","",[3]Entry!$C$1899)</f>
        <v/>
      </c>
      <c r="AF1896" t="str">
        <f>IF([3]Entry!$D$1899="","",[3]Entry!$D$1899)</f>
        <v/>
      </c>
      <c r="AG1896" t="str">
        <f>IF([3]Entry!$E$1899="","",[3]Entry!$E$1899)</f>
        <v/>
      </c>
      <c r="AH1896" t="str">
        <f>IF([3]Entry!$G$1899="","",[3]Entry!$G$1899)</f>
        <v/>
      </c>
      <c r="AI1896" t="str">
        <f>IF([3]Entry!$K$1899="","",[3]Entry!$K$1899)</f>
        <v/>
      </c>
      <c r="AJ1896" t="str">
        <f>IF([3]Entry!$L$1899="","",[3]Entry!$L$1899)</f>
        <v/>
      </c>
      <c r="AK1896" t="str">
        <f>IF([3]Entry!$M$1899="","",[3]Entry!$M$1899)</f>
        <v/>
      </c>
      <c r="AL1896" t="str">
        <f>IF([3]Entry!$N$1899="","",[3]Entry!$N$1899)</f>
        <v/>
      </c>
      <c r="AM1896" t="str">
        <f>IF([3]Entry!$R$1899="","",[3]Entry!$R$1899)</f>
        <v/>
      </c>
    </row>
    <row r="1897" spans="20:39" x14ac:dyDescent="0.2">
      <c r="T1897" t="str">
        <f>IF([2]Baskol!$B$1900="","",[2]Baskol!$B$1900)</f>
        <v/>
      </c>
      <c r="U1897" t="str">
        <f>IF([2]Baskol!$C$1900="","",[2]Baskol!$C$1900)</f>
        <v/>
      </c>
      <c r="V1897" t="str">
        <f>IF([2]Baskol!$D$1900="","",[2]Baskol!$D$1900)</f>
        <v/>
      </c>
      <c r="W1897" t="str">
        <f>IF([2]Baskol!$E$1900="","",[2]Baskol!$E$1900)</f>
        <v/>
      </c>
      <c r="X1897" t="str">
        <f>IF([2]Baskol!$G$1900="","",[2]Baskol!$G$1900)</f>
        <v/>
      </c>
      <c r="Y1897" t="str">
        <f>IF([2]Baskol!$I$1900="","",[2]Baskol!$I$1900)</f>
        <v/>
      </c>
      <c r="Z1897" t="str">
        <f>IF([2]Baskol!$J$1900="","",[2]Baskol!$J$1900)</f>
        <v/>
      </c>
      <c r="AA1897" t="str">
        <f>IF([2]Baskol!$K$1900="","",[2]Baskol!$K$1900)</f>
        <v/>
      </c>
      <c r="AB1897" t="str">
        <f>IF([2]Baskol!$L$1900="","",[2]Baskol!$L$1900)</f>
        <v/>
      </c>
      <c r="AC1897" t="str">
        <f>IF([2]Baskol!$N$1900="","",[2]Baskol!$N$1900)</f>
        <v/>
      </c>
      <c r="AD1897" t="str">
        <f>IF([2]Baskol!$O$1900="","",[2]Baskol!$O$1900)</f>
        <v/>
      </c>
      <c r="AE1897" t="str">
        <f>IF([3]Entry!$C$1900="","",[3]Entry!$C$1900)</f>
        <v/>
      </c>
      <c r="AF1897" t="str">
        <f>IF([3]Entry!$D$1900="","",[3]Entry!$D$1900)</f>
        <v/>
      </c>
      <c r="AG1897" t="str">
        <f>IF([3]Entry!$E$1900="","",[3]Entry!$E$1900)</f>
        <v/>
      </c>
      <c r="AH1897" t="str">
        <f>IF([3]Entry!$G$1900="","",[3]Entry!$G$1900)</f>
        <v/>
      </c>
      <c r="AI1897" t="str">
        <f>IF([3]Entry!$K$1900="","",[3]Entry!$K$1900)</f>
        <v/>
      </c>
      <c r="AJ1897" t="str">
        <f>IF([3]Entry!$L$1900="","",[3]Entry!$L$1900)</f>
        <v/>
      </c>
      <c r="AK1897" t="str">
        <f>IF([3]Entry!$M$1900="","",[3]Entry!$M$1900)</f>
        <v/>
      </c>
      <c r="AL1897" t="str">
        <f>IF([3]Entry!$N$1900="","",[3]Entry!$N$1900)</f>
        <v/>
      </c>
      <c r="AM1897" t="str">
        <f>IF([3]Entry!$R$1900="","",[3]Entry!$R$1900)</f>
        <v/>
      </c>
    </row>
    <row r="1898" spans="20:39" x14ac:dyDescent="0.2">
      <c r="T1898" t="str">
        <f>IF([2]Baskol!$B$1901="","",[2]Baskol!$B$1901)</f>
        <v/>
      </c>
      <c r="U1898" t="str">
        <f>IF([2]Baskol!$C$1901="","",[2]Baskol!$C$1901)</f>
        <v/>
      </c>
      <c r="V1898" t="str">
        <f>IF([2]Baskol!$D$1901="","",[2]Baskol!$D$1901)</f>
        <v/>
      </c>
      <c r="W1898" t="str">
        <f>IF([2]Baskol!$E$1901="","",[2]Baskol!$E$1901)</f>
        <v/>
      </c>
      <c r="X1898" t="str">
        <f>IF([2]Baskol!$G$1901="","",[2]Baskol!$G$1901)</f>
        <v/>
      </c>
      <c r="Y1898" t="str">
        <f>IF([2]Baskol!$I$1901="","",[2]Baskol!$I$1901)</f>
        <v/>
      </c>
      <c r="Z1898" t="str">
        <f>IF([2]Baskol!$J$1901="","",[2]Baskol!$J$1901)</f>
        <v/>
      </c>
      <c r="AA1898" t="str">
        <f>IF([2]Baskol!$K$1901="","",[2]Baskol!$K$1901)</f>
        <v/>
      </c>
      <c r="AB1898" t="str">
        <f>IF([2]Baskol!$L$1901="","",[2]Baskol!$L$1901)</f>
        <v/>
      </c>
      <c r="AC1898" t="str">
        <f>IF([2]Baskol!$N$1901="","",[2]Baskol!$N$1901)</f>
        <v/>
      </c>
      <c r="AD1898" t="str">
        <f>IF([2]Baskol!$O$1901="","",[2]Baskol!$O$1901)</f>
        <v/>
      </c>
      <c r="AE1898" t="str">
        <f>IF([3]Entry!$C$1901="","",[3]Entry!$C$1901)</f>
        <v/>
      </c>
      <c r="AF1898" t="str">
        <f>IF([3]Entry!$D$1901="","",[3]Entry!$D$1901)</f>
        <v/>
      </c>
      <c r="AG1898" t="str">
        <f>IF([3]Entry!$E$1901="","",[3]Entry!$E$1901)</f>
        <v/>
      </c>
      <c r="AH1898" t="str">
        <f>IF([3]Entry!$G$1901="","",[3]Entry!$G$1901)</f>
        <v/>
      </c>
      <c r="AI1898" t="str">
        <f>IF([3]Entry!$K$1901="","",[3]Entry!$K$1901)</f>
        <v/>
      </c>
      <c r="AJ1898" t="str">
        <f>IF([3]Entry!$L$1901="","",[3]Entry!$L$1901)</f>
        <v/>
      </c>
      <c r="AK1898" t="str">
        <f>IF([3]Entry!$M$1901="","",[3]Entry!$M$1901)</f>
        <v/>
      </c>
      <c r="AL1898" t="str">
        <f>IF([3]Entry!$N$1901="","",[3]Entry!$N$1901)</f>
        <v/>
      </c>
      <c r="AM1898" t="str">
        <f>IF([3]Entry!$R$1901="","",[3]Entry!$R$1901)</f>
        <v/>
      </c>
    </row>
    <row r="1899" spans="20:39" x14ac:dyDescent="0.2">
      <c r="T1899" t="str">
        <f>IF([2]Baskol!$B$1902="","",[2]Baskol!$B$1902)</f>
        <v/>
      </c>
      <c r="U1899" t="str">
        <f>IF([2]Baskol!$C$1902="","",[2]Baskol!$C$1902)</f>
        <v/>
      </c>
      <c r="V1899" t="str">
        <f>IF([2]Baskol!$D$1902="","",[2]Baskol!$D$1902)</f>
        <v/>
      </c>
      <c r="W1899" t="str">
        <f>IF([2]Baskol!$E$1902="","",[2]Baskol!$E$1902)</f>
        <v/>
      </c>
      <c r="X1899" t="str">
        <f>IF([2]Baskol!$G$1902="","",[2]Baskol!$G$1902)</f>
        <v/>
      </c>
      <c r="Y1899" t="str">
        <f>IF([2]Baskol!$I$1902="","",[2]Baskol!$I$1902)</f>
        <v/>
      </c>
      <c r="Z1899" t="str">
        <f>IF([2]Baskol!$J$1902="","",[2]Baskol!$J$1902)</f>
        <v/>
      </c>
      <c r="AA1899" t="str">
        <f>IF([2]Baskol!$K$1902="","",[2]Baskol!$K$1902)</f>
        <v/>
      </c>
      <c r="AB1899" t="str">
        <f>IF([2]Baskol!$L$1902="","",[2]Baskol!$L$1902)</f>
        <v/>
      </c>
      <c r="AC1899" t="str">
        <f>IF([2]Baskol!$N$1902="","",[2]Baskol!$N$1902)</f>
        <v/>
      </c>
      <c r="AD1899" t="str">
        <f>IF([2]Baskol!$O$1902="","",[2]Baskol!$O$1902)</f>
        <v/>
      </c>
      <c r="AE1899" t="str">
        <f>IF([3]Entry!$C$1902="","",[3]Entry!$C$1902)</f>
        <v/>
      </c>
      <c r="AF1899" t="str">
        <f>IF([3]Entry!$D$1902="","",[3]Entry!$D$1902)</f>
        <v/>
      </c>
      <c r="AG1899" t="str">
        <f>IF([3]Entry!$E$1902="","",[3]Entry!$E$1902)</f>
        <v/>
      </c>
      <c r="AH1899" t="str">
        <f>IF([3]Entry!$G$1902="","",[3]Entry!$G$1902)</f>
        <v/>
      </c>
      <c r="AI1899" t="str">
        <f>IF([3]Entry!$K$1902="","",[3]Entry!$K$1902)</f>
        <v/>
      </c>
      <c r="AJ1899" t="str">
        <f>IF([3]Entry!$L$1902="","",[3]Entry!$L$1902)</f>
        <v/>
      </c>
      <c r="AK1899" t="str">
        <f>IF([3]Entry!$M$1902="","",[3]Entry!$M$1902)</f>
        <v/>
      </c>
      <c r="AL1899" t="str">
        <f>IF([3]Entry!$N$1902="","",[3]Entry!$N$1902)</f>
        <v/>
      </c>
      <c r="AM1899" t="str">
        <f>IF([3]Entry!$R$1902="","",[3]Entry!$R$1902)</f>
        <v/>
      </c>
    </row>
    <row r="1900" spans="20:39" x14ac:dyDescent="0.2">
      <c r="T1900" t="str">
        <f>IF([2]Baskol!$B$1903="","",[2]Baskol!$B$1903)</f>
        <v/>
      </c>
      <c r="U1900" t="str">
        <f>IF([2]Baskol!$C$1903="","",[2]Baskol!$C$1903)</f>
        <v/>
      </c>
      <c r="V1900" t="str">
        <f>IF([2]Baskol!$D$1903="","",[2]Baskol!$D$1903)</f>
        <v/>
      </c>
      <c r="W1900" t="str">
        <f>IF([2]Baskol!$E$1903="","",[2]Baskol!$E$1903)</f>
        <v/>
      </c>
      <c r="X1900" t="str">
        <f>IF([2]Baskol!$G$1903="","",[2]Baskol!$G$1903)</f>
        <v/>
      </c>
      <c r="Y1900" t="str">
        <f>IF([2]Baskol!$I$1903="","",[2]Baskol!$I$1903)</f>
        <v/>
      </c>
      <c r="Z1900" t="str">
        <f>IF([2]Baskol!$J$1903="","",[2]Baskol!$J$1903)</f>
        <v/>
      </c>
      <c r="AA1900" t="str">
        <f>IF([2]Baskol!$K$1903="","",[2]Baskol!$K$1903)</f>
        <v/>
      </c>
      <c r="AB1900" t="str">
        <f>IF([2]Baskol!$L$1903="","",[2]Baskol!$L$1903)</f>
        <v/>
      </c>
      <c r="AC1900" t="str">
        <f>IF([2]Baskol!$N$1903="","",[2]Baskol!$N$1903)</f>
        <v/>
      </c>
      <c r="AD1900" t="str">
        <f>IF([2]Baskol!$O$1903="","",[2]Baskol!$O$1903)</f>
        <v/>
      </c>
      <c r="AE1900" t="str">
        <f>IF([3]Entry!$C$1903="","",[3]Entry!$C$1903)</f>
        <v/>
      </c>
      <c r="AF1900" t="str">
        <f>IF([3]Entry!$D$1903="","",[3]Entry!$D$1903)</f>
        <v/>
      </c>
      <c r="AG1900" t="str">
        <f>IF([3]Entry!$E$1903="","",[3]Entry!$E$1903)</f>
        <v/>
      </c>
      <c r="AH1900" t="str">
        <f>IF([3]Entry!$G$1903="","",[3]Entry!$G$1903)</f>
        <v/>
      </c>
      <c r="AI1900" t="str">
        <f>IF([3]Entry!$K$1903="","",[3]Entry!$K$1903)</f>
        <v/>
      </c>
      <c r="AJ1900" t="str">
        <f>IF([3]Entry!$L$1903="","",[3]Entry!$L$1903)</f>
        <v/>
      </c>
      <c r="AK1900" t="str">
        <f>IF([3]Entry!$M$1903="","",[3]Entry!$M$1903)</f>
        <v/>
      </c>
      <c r="AL1900" t="str">
        <f>IF([3]Entry!$N$1903="","",[3]Entry!$N$1903)</f>
        <v/>
      </c>
      <c r="AM1900" t="str">
        <f>IF([3]Entry!$R$1903="","",[3]Entry!$R$1903)</f>
        <v/>
      </c>
    </row>
    <row r="1901" spans="20:39" x14ac:dyDescent="0.2">
      <c r="T1901" t="str">
        <f>IF([2]Baskol!$B$1904="","",[2]Baskol!$B$1904)</f>
        <v/>
      </c>
      <c r="U1901" t="str">
        <f>IF([2]Baskol!$C$1904="","",[2]Baskol!$C$1904)</f>
        <v/>
      </c>
      <c r="V1901" t="str">
        <f>IF([2]Baskol!$D$1904="","",[2]Baskol!$D$1904)</f>
        <v/>
      </c>
      <c r="W1901" t="str">
        <f>IF([2]Baskol!$E$1904="","",[2]Baskol!$E$1904)</f>
        <v/>
      </c>
      <c r="X1901" t="str">
        <f>IF([2]Baskol!$G$1904="","",[2]Baskol!$G$1904)</f>
        <v/>
      </c>
      <c r="Y1901" t="str">
        <f>IF([2]Baskol!$I$1904="","",[2]Baskol!$I$1904)</f>
        <v/>
      </c>
      <c r="Z1901" t="str">
        <f>IF([2]Baskol!$J$1904="","",[2]Baskol!$J$1904)</f>
        <v/>
      </c>
      <c r="AA1901" t="str">
        <f>IF([2]Baskol!$K$1904="","",[2]Baskol!$K$1904)</f>
        <v/>
      </c>
      <c r="AB1901" t="str">
        <f>IF([2]Baskol!$L$1904="","",[2]Baskol!$L$1904)</f>
        <v/>
      </c>
      <c r="AC1901" t="str">
        <f>IF([2]Baskol!$N$1904="","",[2]Baskol!$N$1904)</f>
        <v/>
      </c>
      <c r="AD1901" t="str">
        <f>IF([2]Baskol!$O$1904="","",[2]Baskol!$O$1904)</f>
        <v/>
      </c>
      <c r="AE1901" t="str">
        <f>IF([3]Entry!$C$1904="","",[3]Entry!$C$1904)</f>
        <v/>
      </c>
      <c r="AF1901" t="str">
        <f>IF([3]Entry!$D$1904="","",[3]Entry!$D$1904)</f>
        <v/>
      </c>
      <c r="AG1901" t="str">
        <f>IF([3]Entry!$E$1904="","",[3]Entry!$E$1904)</f>
        <v/>
      </c>
      <c r="AH1901" t="str">
        <f>IF([3]Entry!$G$1904="","",[3]Entry!$G$1904)</f>
        <v/>
      </c>
      <c r="AI1901" t="str">
        <f>IF([3]Entry!$K$1904="","",[3]Entry!$K$1904)</f>
        <v/>
      </c>
      <c r="AJ1901" t="str">
        <f>IF([3]Entry!$L$1904="","",[3]Entry!$L$1904)</f>
        <v/>
      </c>
      <c r="AK1901" t="str">
        <f>IF([3]Entry!$M$1904="","",[3]Entry!$M$1904)</f>
        <v/>
      </c>
      <c r="AL1901" t="str">
        <f>IF([3]Entry!$N$1904="","",[3]Entry!$N$1904)</f>
        <v/>
      </c>
      <c r="AM1901" t="str">
        <f>IF([3]Entry!$R$1904="","",[3]Entry!$R$1904)</f>
        <v/>
      </c>
    </row>
    <row r="1902" spans="20:39" x14ac:dyDescent="0.2">
      <c r="T1902" t="str">
        <f>IF([2]Baskol!$B$1905="","",[2]Baskol!$B$1905)</f>
        <v/>
      </c>
      <c r="U1902" t="str">
        <f>IF([2]Baskol!$C$1905="","",[2]Baskol!$C$1905)</f>
        <v/>
      </c>
      <c r="V1902" t="str">
        <f>IF([2]Baskol!$D$1905="","",[2]Baskol!$D$1905)</f>
        <v/>
      </c>
      <c r="W1902" t="str">
        <f>IF([2]Baskol!$E$1905="","",[2]Baskol!$E$1905)</f>
        <v/>
      </c>
      <c r="X1902" t="str">
        <f>IF([2]Baskol!$G$1905="","",[2]Baskol!$G$1905)</f>
        <v/>
      </c>
      <c r="Y1902" t="str">
        <f>IF([2]Baskol!$I$1905="","",[2]Baskol!$I$1905)</f>
        <v/>
      </c>
      <c r="Z1902" t="str">
        <f>IF([2]Baskol!$J$1905="","",[2]Baskol!$J$1905)</f>
        <v/>
      </c>
      <c r="AA1902" t="str">
        <f>IF([2]Baskol!$K$1905="","",[2]Baskol!$K$1905)</f>
        <v/>
      </c>
      <c r="AB1902" t="str">
        <f>IF([2]Baskol!$L$1905="","",[2]Baskol!$L$1905)</f>
        <v/>
      </c>
      <c r="AC1902" t="str">
        <f>IF([2]Baskol!$N$1905="","",[2]Baskol!$N$1905)</f>
        <v/>
      </c>
      <c r="AD1902" t="str">
        <f>IF([2]Baskol!$O$1905="","",[2]Baskol!$O$1905)</f>
        <v/>
      </c>
      <c r="AE1902" t="str">
        <f>IF([3]Entry!$C$1905="","",[3]Entry!$C$1905)</f>
        <v/>
      </c>
      <c r="AF1902" t="str">
        <f>IF([3]Entry!$D$1905="","",[3]Entry!$D$1905)</f>
        <v/>
      </c>
      <c r="AG1902" t="str">
        <f>IF([3]Entry!$E$1905="","",[3]Entry!$E$1905)</f>
        <v/>
      </c>
      <c r="AH1902" t="str">
        <f>IF([3]Entry!$G$1905="","",[3]Entry!$G$1905)</f>
        <v/>
      </c>
      <c r="AI1902" t="str">
        <f>IF([3]Entry!$K$1905="","",[3]Entry!$K$1905)</f>
        <v/>
      </c>
      <c r="AJ1902" t="str">
        <f>IF([3]Entry!$L$1905="","",[3]Entry!$L$1905)</f>
        <v/>
      </c>
      <c r="AK1902" t="str">
        <f>IF([3]Entry!$M$1905="","",[3]Entry!$M$1905)</f>
        <v/>
      </c>
      <c r="AL1902" t="str">
        <f>IF([3]Entry!$N$1905="","",[3]Entry!$N$1905)</f>
        <v/>
      </c>
      <c r="AM1902" t="str">
        <f>IF([3]Entry!$R$1905="","",[3]Entry!$R$1905)</f>
        <v/>
      </c>
    </row>
    <row r="1903" spans="20:39" x14ac:dyDescent="0.2">
      <c r="T1903" t="str">
        <f>IF([2]Baskol!$B$1906="","",[2]Baskol!$B$1906)</f>
        <v/>
      </c>
      <c r="U1903" t="str">
        <f>IF([2]Baskol!$C$1906="","",[2]Baskol!$C$1906)</f>
        <v/>
      </c>
      <c r="V1903" t="str">
        <f>IF([2]Baskol!$D$1906="","",[2]Baskol!$D$1906)</f>
        <v/>
      </c>
      <c r="W1903" t="str">
        <f>IF([2]Baskol!$E$1906="","",[2]Baskol!$E$1906)</f>
        <v/>
      </c>
      <c r="X1903" t="str">
        <f>IF([2]Baskol!$G$1906="","",[2]Baskol!$G$1906)</f>
        <v/>
      </c>
      <c r="Y1903" t="str">
        <f>IF([2]Baskol!$I$1906="","",[2]Baskol!$I$1906)</f>
        <v/>
      </c>
      <c r="Z1903" t="str">
        <f>IF([2]Baskol!$J$1906="","",[2]Baskol!$J$1906)</f>
        <v/>
      </c>
      <c r="AA1903" t="str">
        <f>IF([2]Baskol!$K$1906="","",[2]Baskol!$K$1906)</f>
        <v/>
      </c>
      <c r="AB1903" t="str">
        <f>IF([2]Baskol!$L$1906="","",[2]Baskol!$L$1906)</f>
        <v/>
      </c>
      <c r="AC1903" t="str">
        <f>IF([2]Baskol!$N$1906="","",[2]Baskol!$N$1906)</f>
        <v/>
      </c>
      <c r="AD1903" t="str">
        <f>IF([2]Baskol!$O$1906="","",[2]Baskol!$O$1906)</f>
        <v/>
      </c>
      <c r="AE1903" t="str">
        <f>IF([3]Entry!$C$1906="","",[3]Entry!$C$1906)</f>
        <v/>
      </c>
      <c r="AF1903" t="str">
        <f>IF([3]Entry!$D$1906="","",[3]Entry!$D$1906)</f>
        <v/>
      </c>
      <c r="AG1903" t="str">
        <f>IF([3]Entry!$E$1906="","",[3]Entry!$E$1906)</f>
        <v/>
      </c>
      <c r="AH1903" t="str">
        <f>IF([3]Entry!$G$1906="","",[3]Entry!$G$1906)</f>
        <v/>
      </c>
      <c r="AI1903" t="str">
        <f>IF([3]Entry!$K$1906="","",[3]Entry!$K$1906)</f>
        <v/>
      </c>
      <c r="AJ1903" t="str">
        <f>IF([3]Entry!$L$1906="","",[3]Entry!$L$1906)</f>
        <v/>
      </c>
      <c r="AK1903" t="str">
        <f>IF([3]Entry!$M$1906="","",[3]Entry!$M$1906)</f>
        <v/>
      </c>
      <c r="AL1903" t="str">
        <f>IF([3]Entry!$N$1906="","",[3]Entry!$N$1906)</f>
        <v/>
      </c>
      <c r="AM1903" t="str">
        <f>IF([3]Entry!$R$1906="","",[3]Entry!$R$1906)</f>
        <v/>
      </c>
    </row>
    <row r="1904" spans="20:39" x14ac:dyDescent="0.2">
      <c r="T1904" t="str">
        <f>IF([2]Baskol!$B$1907="","",[2]Baskol!$B$1907)</f>
        <v/>
      </c>
      <c r="U1904" t="str">
        <f>IF([2]Baskol!$C$1907="","",[2]Baskol!$C$1907)</f>
        <v/>
      </c>
      <c r="V1904" t="str">
        <f>IF([2]Baskol!$D$1907="","",[2]Baskol!$D$1907)</f>
        <v/>
      </c>
      <c r="W1904" t="str">
        <f>IF([2]Baskol!$E$1907="","",[2]Baskol!$E$1907)</f>
        <v/>
      </c>
      <c r="X1904" t="str">
        <f>IF([2]Baskol!$G$1907="","",[2]Baskol!$G$1907)</f>
        <v/>
      </c>
      <c r="Y1904" t="str">
        <f>IF([2]Baskol!$I$1907="","",[2]Baskol!$I$1907)</f>
        <v/>
      </c>
      <c r="Z1904" t="str">
        <f>IF([2]Baskol!$J$1907="","",[2]Baskol!$J$1907)</f>
        <v/>
      </c>
      <c r="AA1904" t="str">
        <f>IF([2]Baskol!$K$1907="","",[2]Baskol!$K$1907)</f>
        <v/>
      </c>
      <c r="AB1904" t="str">
        <f>IF([2]Baskol!$L$1907="","",[2]Baskol!$L$1907)</f>
        <v/>
      </c>
      <c r="AC1904" t="str">
        <f>IF([2]Baskol!$N$1907="","",[2]Baskol!$N$1907)</f>
        <v/>
      </c>
      <c r="AD1904" t="str">
        <f>IF([2]Baskol!$O$1907="","",[2]Baskol!$O$1907)</f>
        <v/>
      </c>
      <c r="AE1904" t="str">
        <f>IF([3]Entry!$C$1907="","",[3]Entry!$C$1907)</f>
        <v/>
      </c>
      <c r="AF1904" t="str">
        <f>IF([3]Entry!$D$1907="","",[3]Entry!$D$1907)</f>
        <v/>
      </c>
      <c r="AG1904" t="str">
        <f>IF([3]Entry!$E$1907="","",[3]Entry!$E$1907)</f>
        <v/>
      </c>
      <c r="AH1904" t="str">
        <f>IF([3]Entry!$G$1907="","",[3]Entry!$G$1907)</f>
        <v/>
      </c>
      <c r="AI1904" t="str">
        <f>IF([3]Entry!$K$1907="","",[3]Entry!$K$1907)</f>
        <v/>
      </c>
      <c r="AJ1904" t="str">
        <f>IF([3]Entry!$L$1907="","",[3]Entry!$L$1907)</f>
        <v/>
      </c>
      <c r="AK1904" t="str">
        <f>IF([3]Entry!$M$1907="","",[3]Entry!$M$1907)</f>
        <v/>
      </c>
      <c r="AL1904" t="str">
        <f>IF([3]Entry!$N$1907="","",[3]Entry!$N$1907)</f>
        <v/>
      </c>
      <c r="AM1904" t="str">
        <f>IF([3]Entry!$R$1907="","",[3]Entry!$R$1907)</f>
        <v/>
      </c>
    </row>
    <row r="1905" spans="20:39" x14ac:dyDescent="0.2">
      <c r="T1905" t="str">
        <f>IF([2]Baskol!$B$1908="","",[2]Baskol!$B$1908)</f>
        <v/>
      </c>
      <c r="U1905" t="str">
        <f>IF([2]Baskol!$C$1908="","",[2]Baskol!$C$1908)</f>
        <v/>
      </c>
      <c r="V1905" t="str">
        <f>IF([2]Baskol!$D$1908="","",[2]Baskol!$D$1908)</f>
        <v/>
      </c>
      <c r="W1905" t="str">
        <f>IF([2]Baskol!$E$1908="","",[2]Baskol!$E$1908)</f>
        <v/>
      </c>
      <c r="X1905" t="str">
        <f>IF([2]Baskol!$G$1908="","",[2]Baskol!$G$1908)</f>
        <v/>
      </c>
      <c r="Y1905" t="str">
        <f>IF([2]Baskol!$I$1908="","",[2]Baskol!$I$1908)</f>
        <v/>
      </c>
      <c r="Z1905" t="str">
        <f>IF([2]Baskol!$J$1908="","",[2]Baskol!$J$1908)</f>
        <v/>
      </c>
      <c r="AA1905" t="str">
        <f>IF([2]Baskol!$K$1908="","",[2]Baskol!$K$1908)</f>
        <v/>
      </c>
      <c r="AB1905" t="str">
        <f>IF([2]Baskol!$L$1908="","",[2]Baskol!$L$1908)</f>
        <v/>
      </c>
      <c r="AC1905" t="str">
        <f>IF([2]Baskol!$N$1908="","",[2]Baskol!$N$1908)</f>
        <v/>
      </c>
      <c r="AD1905" t="str">
        <f>IF([2]Baskol!$O$1908="","",[2]Baskol!$O$1908)</f>
        <v/>
      </c>
      <c r="AE1905" t="str">
        <f>IF([3]Entry!$C$1908="","",[3]Entry!$C$1908)</f>
        <v/>
      </c>
      <c r="AF1905" t="str">
        <f>IF([3]Entry!$D$1908="","",[3]Entry!$D$1908)</f>
        <v/>
      </c>
      <c r="AG1905" t="str">
        <f>IF([3]Entry!$E$1908="","",[3]Entry!$E$1908)</f>
        <v/>
      </c>
      <c r="AH1905" t="str">
        <f>IF([3]Entry!$G$1908="","",[3]Entry!$G$1908)</f>
        <v/>
      </c>
      <c r="AI1905" t="str">
        <f>IF([3]Entry!$K$1908="","",[3]Entry!$K$1908)</f>
        <v/>
      </c>
      <c r="AJ1905" t="str">
        <f>IF([3]Entry!$L$1908="","",[3]Entry!$L$1908)</f>
        <v/>
      </c>
      <c r="AK1905" t="str">
        <f>IF([3]Entry!$M$1908="","",[3]Entry!$M$1908)</f>
        <v/>
      </c>
      <c r="AL1905" t="str">
        <f>IF([3]Entry!$N$1908="","",[3]Entry!$N$1908)</f>
        <v/>
      </c>
      <c r="AM1905" t="str">
        <f>IF([3]Entry!$R$1908="","",[3]Entry!$R$1908)</f>
        <v/>
      </c>
    </row>
    <row r="1906" spans="20:39" x14ac:dyDescent="0.2">
      <c r="T1906" t="str">
        <f>IF([2]Baskol!$B$1909="","",[2]Baskol!$B$1909)</f>
        <v/>
      </c>
      <c r="U1906" t="str">
        <f>IF([2]Baskol!$C$1909="","",[2]Baskol!$C$1909)</f>
        <v/>
      </c>
      <c r="V1906" t="str">
        <f>IF([2]Baskol!$D$1909="","",[2]Baskol!$D$1909)</f>
        <v/>
      </c>
      <c r="W1906" t="str">
        <f>IF([2]Baskol!$E$1909="","",[2]Baskol!$E$1909)</f>
        <v/>
      </c>
      <c r="X1906" t="str">
        <f>IF([2]Baskol!$G$1909="","",[2]Baskol!$G$1909)</f>
        <v/>
      </c>
      <c r="Y1906" t="str">
        <f>IF([2]Baskol!$I$1909="","",[2]Baskol!$I$1909)</f>
        <v/>
      </c>
      <c r="Z1906" t="str">
        <f>IF([2]Baskol!$J$1909="","",[2]Baskol!$J$1909)</f>
        <v/>
      </c>
      <c r="AA1906" t="str">
        <f>IF([2]Baskol!$K$1909="","",[2]Baskol!$K$1909)</f>
        <v/>
      </c>
      <c r="AB1906" t="str">
        <f>IF([2]Baskol!$L$1909="","",[2]Baskol!$L$1909)</f>
        <v/>
      </c>
      <c r="AC1906" t="str">
        <f>IF([2]Baskol!$N$1909="","",[2]Baskol!$N$1909)</f>
        <v/>
      </c>
      <c r="AD1906" t="str">
        <f>IF([2]Baskol!$O$1909="","",[2]Baskol!$O$1909)</f>
        <v/>
      </c>
      <c r="AE1906" t="str">
        <f>IF([3]Entry!$C$1909="","",[3]Entry!$C$1909)</f>
        <v/>
      </c>
      <c r="AF1906" t="str">
        <f>IF([3]Entry!$D$1909="","",[3]Entry!$D$1909)</f>
        <v/>
      </c>
      <c r="AG1906" t="str">
        <f>IF([3]Entry!$E$1909="","",[3]Entry!$E$1909)</f>
        <v/>
      </c>
      <c r="AH1906" t="str">
        <f>IF([3]Entry!$G$1909="","",[3]Entry!$G$1909)</f>
        <v/>
      </c>
      <c r="AI1906" t="str">
        <f>IF([3]Entry!$K$1909="","",[3]Entry!$K$1909)</f>
        <v/>
      </c>
      <c r="AJ1906" t="str">
        <f>IF([3]Entry!$L$1909="","",[3]Entry!$L$1909)</f>
        <v/>
      </c>
      <c r="AK1906" t="str">
        <f>IF([3]Entry!$M$1909="","",[3]Entry!$M$1909)</f>
        <v/>
      </c>
      <c r="AL1906" t="str">
        <f>IF([3]Entry!$N$1909="","",[3]Entry!$N$1909)</f>
        <v/>
      </c>
      <c r="AM1906" t="str">
        <f>IF([3]Entry!$R$1909="","",[3]Entry!$R$1909)</f>
        <v/>
      </c>
    </row>
    <row r="1907" spans="20:39" x14ac:dyDescent="0.2">
      <c r="T1907" t="str">
        <f>IF([2]Baskol!$B$1910="","",[2]Baskol!$B$1910)</f>
        <v/>
      </c>
      <c r="U1907" t="str">
        <f>IF([2]Baskol!$C$1910="","",[2]Baskol!$C$1910)</f>
        <v/>
      </c>
      <c r="V1907" t="str">
        <f>IF([2]Baskol!$D$1910="","",[2]Baskol!$D$1910)</f>
        <v/>
      </c>
      <c r="W1907" t="str">
        <f>IF([2]Baskol!$E$1910="","",[2]Baskol!$E$1910)</f>
        <v/>
      </c>
      <c r="X1907" t="str">
        <f>IF([2]Baskol!$G$1910="","",[2]Baskol!$G$1910)</f>
        <v/>
      </c>
      <c r="Y1907" t="str">
        <f>IF([2]Baskol!$I$1910="","",[2]Baskol!$I$1910)</f>
        <v/>
      </c>
      <c r="Z1907" t="str">
        <f>IF([2]Baskol!$J$1910="","",[2]Baskol!$J$1910)</f>
        <v/>
      </c>
      <c r="AA1907" t="str">
        <f>IF([2]Baskol!$K$1910="","",[2]Baskol!$K$1910)</f>
        <v/>
      </c>
      <c r="AB1907" t="str">
        <f>IF([2]Baskol!$L$1910="","",[2]Baskol!$L$1910)</f>
        <v/>
      </c>
      <c r="AC1907" t="str">
        <f>IF([2]Baskol!$N$1910="","",[2]Baskol!$N$1910)</f>
        <v/>
      </c>
      <c r="AD1907" t="str">
        <f>IF([2]Baskol!$O$1910="","",[2]Baskol!$O$1910)</f>
        <v/>
      </c>
      <c r="AE1907" t="str">
        <f>IF([3]Entry!$C$1910="","",[3]Entry!$C$1910)</f>
        <v/>
      </c>
      <c r="AF1907" t="str">
        <f>IF([3]Entry!$D$1910="","",[3]Entry!$D$1910)</f>
        <v/>
      </c>
      <c r="AG1907" t="str">
        <f>IF([3]Entry!$E$1910="","",[3]Entry!$E$1910)</f>
        <v/>
      </c>
      <c r="AH1907" t="str">
        <f>IF([3]Entry!$G$1910="","",[3]Entry!$G$1910)</f>
        <v/>
      </c>
      <c r="AI1907" t="str">
        <f>IF([3]Entry!$K$1910="","",[3]Entry!$K$1910)</f>
        <v/>
      </c>
      <c r="AJ1907" t="str">
        <f>IF([3]Entry!$L$1910="","",[3]Entry!$L$1910)</f>
        <v/>
      </c>
      <c r="AK1907" t="str">
        <f>IF([3]Entry!$M$1910="","",[3]Entry!$M$1910)</f>
        <v/>
      </c>
      <c r="AL1907" t="str">
        <f>IF([3]Entry!$N$1910="","",[3]Entry!$N$1910)</f>
        <v/>
      </c>
      <c r="AM1907" t="str">
        <f>IF([3]Entry!$R$1910="","",[3]Entry!$R$1910)</f>
        <v/>
      </c>
    </row>
    <row r="1908" spans="20:39" x14ac:dyDescent="0.2">
      <c r="T1908" t="str">
        <f>IF([2]Baskol!$B$1911="","",[2]Baskol!$B$1911)</f>
        <v/>
      </c>
      <c r="U1908" t="str">
        <f>IF([2]Baskol!$C$1911="","",[2]Baskol!$C$1911)</f>
        <v/>
      </c>
      <c r="V1908" t="str">
        <f>IF([2]Baskol!$D$1911="","",[2]Baskol!$D$1911)</f>
        <v/>
      </c>
      <c r="W1908" t="str">
        <f>IF([2]Baskol!$E$1911="","",[2]Baskol!$E$1911)</f>
        <v/>
      </c>
      <c r="X1908" t="str">
        <f>IF([2]Baskol!$G$1911="","",[2]Baskol!$G$1911)</f>
        <v/>
      </c>
      <c r="Y1908" t="str">
        <f>IF([2]Baskol!$I$1911="","",[2]Baskol!$I$1911)</f>
        <v/>
      </c>
      <c r="Z1908" t="str">
        <f>IF([2]Baskol!$J$1911="","",[2]Baskol!$J$1911)</f>
        <v/>
      </c>
      <c r="AA1908" t="str">
        <f>IF([2]Baskol!$K$1911="","",[2]Baskol!$K$1911)</f>
        <v/>
      </c>
      <c r="AB1908" t="str">
        <f>IF([2]Baskol!$L$1911="","",[2]Baskol!$L$1911)</f>
        <v/>
      </c>
      <c r="AC1908" t="str">
        <f>IF([2]Baskol!$N$1911="","",[2]Baskol!$N$1911)</f>
        <v/>
      </c>
      <c r="AD1908" t="str">
        <f>IF([2]Baskol!$O$1911="","",[2]Baskol!$O$1911)</f>
        <v/>
      </c>
      <c r="AE1908" t="str">
        <f>IF([3]Entry!$C$1911="","",[3]Entry!$C$1911)</f>
        <v/>
      </c>
      <c r="AF1908" t="str">
        <f>IF([3]Entry!$D$1911="","",[3]Entry!$D$1911)</f>
        <v/>
      </c>
      <c r="AG1908" t="str">
        <f>IF([3]Entry!$E$1911="","",[3]Entry!$E$1911)</f>
        <v/>
      </c>
      <c r="AH1908" t="str">
        <f>IF([3]Entry!$G$1911="","",[3]Entry!$G$1911)</f>
        <v/>
      </c>
      <c r="AI1908" t="str">
        <f>IF([3]Entry!$K$1911="","",[3]Entry!$K$1911)</f>
        <v/>
      </c>
      <c r="AJ1908" t="str">
        <f>IF([3]Entry!$L$1911="","",[3]Entry!$L$1911)</f>
        <v/>
      </c>
      <c r="AK1908" t="str">
        <f>IF([3]Entry!$M$1911="","",[3]Entry!$M$1911)</f>
        <v/>
      </c>
      <c r="AL1908" t="str">
        <f>IF([3]Entry!$N$1911="","",[3]Entry!$N$1911)</f>
        <v/>
      </c>
      <c r="AM1908" t="str">
        <f>IF([3]Entry!$R$1911="","",[3]Entry!$R$1911)</f>
        <v/>
      </c>
    </row>
    <row r="1909" spans="20:39" x14ac:dyDescent="0.2">
      <c r="T1909" t="str">
        <f>IF([2]Baskol!$B$1912="","",[2]Baskol!$B$1912)</f>
        <v/>
      </c>
      <c r="U1909" t="str">
        <f>IF([2]Baskol!$C$1912="","",[2]Baskol!$C$1912)</f>
        <v/>
      </c>
      <c r="V1909" t="str">
        <f>IF([2]Baskol!$D$1912="","",[2]Baskol!$D$1912)</f>
        <v/>
      </c>
      <c r="W1909" t="str">
        <f>IF([2]Baskol!$E$1912="","",[2]Baskol!$E$1912)</f>
        <v/>
      </c>
      <c r="X1909" t="str">
        <f>IF([2]Baskol!$G$1912="","",[2]Baskol!$G$1912)</f>
        <v/>
      </c>
      <c r="Y1909" t="str">
        <f>IF([2]Baskol!$I$1912="","",[2]Baskol!$I$1912)</f>
        <v/>
      </c>
      <c r="Z1909" t="str">
        <f>IF([2]Baskol!$J$1912="","",[2]Baskol!$J$1912)</f>
        <v/>
      </c>
      <c r="AA1909" t="str">
        <f>IF([2]Baskol!$K$1912="","",[2]Baskol!$K$1912)</f>
        <v/>
      </c>
      <c r="AB1909" t="str">
        <f>IF([2]Baskol!$L$1912="","",[2]Baskol!$L$1912)</f>
        <v/>
      </c>
      <c r="AC1909" t="str">
        <f>IF([2]Baskol!$N$1912="","",[2]Baskol!$N$1912)</f>
        <v/>
      </c>
      <c r="AD1909" t="str">
        <f>IF([2]Baskol!$O$1912="","",[2]Baskol!$O$1912)</f>
        <v/>
      </c>
      <c r="AE1909" t="str">
        <f>IF([3]Entry!$C$1912="","",[3]Entry!$C$1912)</f>
        <v/>
      </c>
      <c r="AF1909" t="str">
        <f>IF([3]Entry!$D$1912="","",[3]Entry!$D$1912)</f>
        <v/>
      </c>
      <c r="AG1909" t="str">
        <f>IF([3]Entry!$E$1912="","",[3]Entry!$E$1912)</f>
        <v/>
      </c>
      <c r="AH1909" t="str">
        <f>IF([3]Entry!$G$1912="","",[3]Entry!$G$1912)</f>
        <v/>
      </c>
      <c r="AI1909" t="str">
        <f>IF([3]Entry!$K$1912="","",[3]Entry!$K$1912)</f>
        <v/>
      </c>
      <c r="AJ1909" t="str">
        <f>IF([3]Entry!$L$1912="","",[3]Entry!$L$1912)</f>
        <v/>
      </c>
      <c r="AK1909" t="str">
        <f>IF([3]Entry!$M$1912="","",[3]Entry!$M$1912)</f>
        <v/>
      </c>
      <c r="AL1909" t="str">
        <f>IF([3]Entry!$N$1912="","",[3]Entry!$N$1912)</f>
        <v/>
      </c>
      <c r="AM1909" t="str">
        <f>IF([3]Entry!$R$1912="","",[3]Entry!$R$1912)</f>
        <v/>
      </c>
    </row>
    <row r="1910" spans="20:39" x14ac:dyDescent="0.2">
      <c r="T1910" t="str">
        <f>IF([2]Baskol!$B$1913="","",[2]Baskol!$B$1913)</f>
        <v/>
      </c>
      <c r="U1910" t="str">
        <f>IF([2]Baskol!$C$1913="","",[2]Baskol!$C$1913)</f>
        <v/>
      </c>
      <c r="V1910" t="str">
        <f>IF([2]Baskol!$D$1913="","",[2]Baskol!$D$1913)</f>
        <v/>
      </c>
      <c r="W1910" t="str">
        <f>IF([2]Baskol!$E$1913="","",[2]Baskol!$E$1913)</f>
        <v/>
      </c>
      <c r="X1910" t="str">
        <f>IF([2]Baskol!$G$1913="","",[2]Baskol!$G$1913)</f>
        <v/>
      </c>
      <c r="Y1910" t="str">
        <f>IF([2]Baskol!$I$1913="","",[2]Baskol!$I$1913)</f>
        <v/>
      </c>
      <c r="Z1910" t="str">
        <f>IF([2]Baskol!$J$1913="","",[2]Baskol!$J$1913)</f>
        <v/>
      </c>
      <c r="AA1910" t="str">
        <f>IF([2]Baskol!$K$1913="","",[2]Baskol!$K$1913)</f>
        <v/>
      </c>
      <c r="AB1910" t="str">
        <f>IF([2]Baskol!$L$1913="","",[2]Baskol!$L$1913)</f>
        <v/>
      </c>
      <c r="AC1910" t="str">
        <f>IF([2]Baskol!$N$1913="","",[2]Baskol!$N$1913)</f>
        <v/>
      </c>
      <c r="AD1910" t="str">
        <f>IF([2]Baskol!$O$1913="","",[2]Baskol!$O$1913)</f>
        <v/>
      </c>
      <c r="AE1910" t="str">
        <f>IF([3]Entry!$C$1913="","",[3]Entry!$C$1913)</f>
        <v/>
      </c>
      <c r="AF1910" t="str">
        <f>IF([3]Entry!$D$1913="","",[3]Entry!$D$1913)</f>
        <v/>
      </c>
      <c r="AG1910" t="str">
        <f>IF([3]Entry!$E$1913="","",[3]Entry!$E$1913)</f>
        <v/>
      </c>
      <c r="AH1910" t="str">
        <f>IF([3]Entry!$G$1913="","",[3]Entry!$G$1913)</f>
        <v/>
      </c>
      <c r="AI1910" t="str">
        <f>IF([3]Entry!$K$1913="","",[3]Entry!$K$1913)</f>
        <v/>
      </c>
      <c r="AJ1910" t="str">
        <f>IF([3]Entry!$L$1913="","",[3]Entry!$L$1913)</f>
        <v/>
      </c>
      <c r="AK1910" t="str">
        <f>IF([3]Entry!$M$1913="","",[3]Entry!$M$1913)</f>
        <v/>
      </c>
      <c r="AL1910" t="str">
        <f>IF([3]Entry!$N$1913="","",[3]Entry!$N$1913)</f>
        <v/>
      </c>
      <c r="AM1910" t="str">
        <f>IF([3]Entry!$R$1913="","",[3]Entry!$R$1913)</f>
        <v/>
      </c>
    </row>
    <row r="1911" spans="20:39" x14ac:dyDescent="0.2">
      <c r="T1911" t="str">
        <f>IF([2]Baskol!$B$1914="","",[2]Baskol!$B$1914)</f>
        <v/>
      </c>
      <c r="U1911" t="str">
        <f>IF([2]Baskol!$C$1914="","",[2]Baskol!$C$1914)</f>
        <v/>
      </c>
      <c r="V1911" t="str">
        <f>IF([2]Baskol!$D$1914="","",[2]Baskol!$D$1914)</f>
        <v/>
      </c>
      <c r="W1911" t="str">
        <f>IF([2]Baskol!$E$1914="","",[2]Baskol!$E$1914)</f>
        <v/>
      </c>
      <c r="X1911" t="str">
        <f>IF([2]Baskol!$G$1914="","",[2]Baskol!$G$1914)</f>
        <v/>
      </c>
      <c r="Y1911" t="str">
        <f>IF([2]Baskol!$I$1914="","",[2]Baskol!$I$1914)</f>
        <v/>
      </c>
      <c r="Z1911" t="str">
        <f>IF([2]Baskol!$J$1914="","",[2]Baskol!$J$1914)</f>
        <v/>
      </c>
      <c r="AA1911" t="str">
        <f>IF([2]Baskol!$K$1914="","",[2]Baskol!$K$1914)</f>
        <v/>
      </c>
      <c r="AB1911" t="str">
        <f>IF([2]Baskol!$L$1914="","",[2]Baskol!$L$1914)</f>
        <v/>
      </c>
      <c r="AC1911" t="str">
        <f>IF([2]Baskol!$N$1914="","",[2]Baskol!$N$1914)</f>
        <v/>
      </c>
      <c r="AD1911" t="str">
        <f>IF([2]Baskol!$O$1914="","",[2]Baskol!$O$1914)</f>
        <v/>
      </c>
      <c r="AE1911" t="str">
        <f>IF([3]Entry!$C$1914="","",[3]Entry!$C$1914)</f>
        <v/>
      </c>
      <c r="AF1911" t="str">
        <f>IF([3]Entry!$D$1914="","",[3]Entry!$D$1914)</f>
        <v/>
      </c>
      <c r="AG1911" t="str">
        <f>IF([3]Entry!$E$1914="","",[3]Entry!$E$1914)</f>
        <v/>
      </c>
      <c r="AH1911" t="str">
        <f>IF([3]Entry!$G$1914="","",[3]Entry!$G$1914)</f>
        <v/>
      </c>
      <c r="AI1911" t="str">
        <f>IF([3]Entry!$K$1914="","",[3]Entry!$K$1914)</f>
        <v/>
      </c>
      <c r="AJ1911" t="str">
        <f>IF([3]Entry!$L$1914="","",[3]Entry!$L$1914)</f>
        <v/>
      </c>
      <c r="AK1911" t="str">
        <f>IF([3]Entry!$M$1914="","",[3]Entry!$M$1914)</f>
        <v/>
      </c>
      <c r="AL1911" t="str">
        <f>IF([3]Entry!$N$1914="","",[3]Entry!$N$1914)</f>
        <v/>
      </c>
      <c r="AM1911" t="str">
        <f>IF([3]Entry!$R$1914="","",[3]Entry!$R$1914)</f>
        <v/>
      </c>
    </row>
    <row r="1912" spans="20:39" x14ac:dyDescent="0.2">
      <c r="T1912" t="str">
        <f>IF([2]Baskol!$B$1915="","",[2]Baskol!$B$1915)</f>
        <v/>
      </c>
      <c r="U1912" t="str">
        <f>IF([2]Baskol!$C$1915="","",[2]Baskol!$C$1915)</f>
        <v/>
      </c>
      <c r="V1912" t="str">
        <f>IF([2]Baskol!$D$1915="","",[2]Baskol!$D$1915)</f>
        <v/>
      </c>
      <c r="W1912" t="str">
        <f>IF([2]Baskol!$E$1915="","",[2]Baskol!$E$1915)</f>
        <v/>
      </c>
      <c r="X1912" t="str">
        <f>IF([2]Baskol!$G$1915="","",[2]Baskol!$G$1915)</f>
        <v/>
      </c>
      <c r="Y1912" t="str">
        <f>IF([2]Baskol!$I$1915="","",[2]Baskol!$I$1915)</f>
        <v/>
      </c>
      <c r="Z1912" t="str">
        <f>IF([2]Baskol!$J$1915="","",[2]Baskol!$J$1915)</f>
        <v/>
      </c>
      <c r="AA1912" t="str">
        <f>IF([2]Baskol!$K$1915="","",[2]Baskol!$K$1915)</f>
        <v/>
      </c>
      <c r="AB1912" t="str">
        <f>IF([2]Baskol!$L$1915="","",[2]Baskol!$L$1915)</f>
        <v/>
      </c>
      <c r="AC1912" t="str">
        <f>IF([2]Baskol!$N$1915="","",[2]Baskol!$N$1915)</f>
        <v/>
      </c>
      <c r="AD1912" t="str">
        <f>IF([2]Baskol!$O$1915="","",[2]Baskol!$O$1915)</f>
        <v/>
      </c>
      <c r="AE1912" t="str">
        <f>IF([3]Entry!$C$1915="","",[3]Entry!$C$1915)</f>
        <v/>
      </c>
      <c r="AF1912" t="str">
        <f>IF([3]Entry!$D$1915="","",[3]Entry!$D$1915)</f>
        <v/>
      </c>
      <c r="AG1912" t="str">
        <f>IF([3]Entry!$E$1915="","",[3]Entry!$E$1915)</f>
        <v/>
      </c>
      <c r="AH1912" t="str">
        <f>IF([3]Entry!$G$1915="","",[3]Entry!$G$1915)</f>
        <v/>
      </c>
      <c r="AI1912" t="str">
        <f>IF([3]Entry!$K$1915="","",[3]Entry!$K$1915)</f>
        <v/>
      </c>
      <c r="AJ1912" t="str">
        <f>IF([3]Entry!$L$1915="","",[3]Entry!$L$1915)</f>
        <v/>
      </c>
      <c r="AK1912" t="str">
        <f>IF([3]Entry!$M$1915="","",[3]Entry!$M$1915)</f>
        <v/>
      </c>
      <c r="AL1912" t="str">
        <f>IF([3]Entry!$N$1915="","",[3]Entry!$N$1915)</f>
        <v/>
      </c>
      <c r="AM1912" t="str">
        <f>IF([3]Entry!$R$1915="","",[3]Entry!$R$1915)</f>
        <v/>
      </c>
    </row>
    <row r="1913" spans="20:39" x14ac:dyDescent="0.2">
      <c r="T1913" t="str">
        <f>IF([2]Baskol!$B$1916="","",[2]Baskol!$B$1916)</f>
        <v/>
      </c>
      <c r="U1913" t="str">
        <f>IF([2]Baskol!$C$1916="","",[2]Baskol!$C$1916)</f>
        <v/>
      </c>
      <c r="V1913" t="str">
        <f>IF([2]Baskol!$D$1916="","",[2]Baskol!$D$1916)</f>
        <v/>
      </c>
      <c r="W1913" t="str">
        <f>IF([2]Baskol!$E$1916="","",[2]Baskol!$E$1916)</f>
        <v/>
      </c>
      <c r="X1913" t="str">
        <f>IF([2]Baskol!$G$1916="","",[2]Baskol!$G$1916)</f>
        <v/>
      </c>
      <c r="Y1913" t="str">
        <f>IF([2]Baskol!$I$1916="","",[2]Baskol!$I$1916)</f>
        <v/>
      </c>
      <c r="Z1913" t="str">
        <f>IF([2]Baskol!$J$1916="","",[2]Baskol!$J$1916)</f>
        <v/>
      </c>
      <c r="AA1913" t="str">
        <f>IF([2]Baskol!$K$1916="","",[2]Baskol!$K$1916)</f>
        <v/>
      </c>
      <c r="AB1913" t="str">
        <f>IF([2]Baskol!$L$1916="","",[2]Baskol!$L$1916)</f>
        <v/>
      </c>
      <c r="AC1913" t="str">
        <f>IF([2]Baskol!$N$1916="","",[2]Baskol!$N$1916)</f>
        <v/>
      </c>
      <c r="AD1913" t="str">
        <f>IF([2]Baskol!$O$1916="","",[2]Baskol!$O$1916)</f>
        <v/>
      </c>
      <c r="AE1913" t="str">
        <f>IF([3]Entry!$C$1916="","",[3]Entry!$C$1916)</f>
        <v/>
      </c>
      <c r="AF1913" t="str">
        <f>IF([3]Entry!$D$1916="","",[3]Entry!$D$1916)</f>
        <v/>
      </c>
      <c r="AG1913" t="str">
        <f>IF([3]Entry!$E$1916="","",[3]Entry!$E$1916)</f>
        <v/>
      </c>
      <c r="AH1913" t="str">
        <f>IF([3]Entry!$G$1916="","",[3]Entry!$G$1916)</f>
        <v/>
      </c>
      <c r="AI1913" t="str">
        <f>IF([3]Entry!$K$1916="","",[3]Entry!$K$1916)</f>
        <v/>
      </c>
      <c r="AJ1913" t="str">
        <f>IF([3]Entry!$L$1916="","",[3]Entry!$L$1916)</f>
        <v/>
      </c>
      <c r="AK1913" t="str">
        <f>IF([3]Entry!$M$1916="","",[3]Entry!$M$1916)</f>
        <v/>
      </c>
      <c r="AL1913" t="str">
        <f>IF([3]Entry!$N$1916="","",[3]Entry!$N$1916)</f>
        <v/>
      </c>
      <c r="AM1913" t="str">
        <f>IF([3]Entry!$R$1916="","",[3]Entry!$R$1916)</f>
        <v/>
      </c>
    </row>
    <row r="1914" spans="20:39" x14ac:dyDescent="0.2">
      <c r="T1914" t="str">
        <f>IF([2]Baskol!$B$1917="","",[2]Baskol!$B$1917)</f>
        <v/>
      </c>
      <c r="U1914" t="str">
        <f>IF([2]Baskol!$C$1917="","",[2]Baskol!$C$1917)</f>
        <v/>
      </c>
      <c r="V1914" t="str">
        <f>IF([2]Baskol!$D$1917="","",[2]Baskol!$D$1917)</f>
        <v/>
      </c>
      <c r="W1914" t="str">
        <f>IF([2]Baskol!$E$1917="","",[2]Baskol!$E$1917)</f>
        <v/>
      </c>
      <c r="X1914" t="str">
        <f>IF([2]Baskol!$G$1917="","",[2]Baskol!$G$1917)</f>
        <v/>
      </c>
      <c r="Y1914" t="str">
        <f>IF([2]Baskol!$I$1917="","",[2]Baskol!$I$1917)</f>
        <v/>
      </c>
      <c r="Z1914" t="str">
        <f>IF([2]Baskol!$J$1917="","",[2]Baskol!$J$1917)</f>
        <v/>
      </c>
      <c r="AA1914" t="str">
        <f>IF([2]Baskol!$K$1917="","",[2]Baskol!$K$1917)</f>
        <v/>
      </c>
      <c r="AB1914" t="str">
        <f>IF([2]Baskol!$L$1917="","",[2]Baskol!$L$1917)</f>
        <v/>
      </c>
      <c r="AC1914" t="str">
        <f>IF([2]Baskol!$N$1917="","",[2]Baskol!$N$1917)</f>
        <v/>
      </c>
      <c r="AD1914" t="str">
        <f>IF([2]Baskol!$O$1917="","",[2]Baskol!$O$1917)</f>
        <v/>
      </c>
      <c r="AE1914" t="str">
        <f>IF([3]Entry!$C$1917="","",[3]Entry!$C$1917)</f>
        <v/>
      </c>
      <c r="AF1914" t="str">
        <f>IF([3]Entry!$D$1917="","",[3]Entry!$D$1917)</f>
        <v/>
      </c>
      <c r="AG1914" t="str">
        <f>IF([3]Entry!$E$1917="","",[3]Entry!$E$1917)</f>
        <v/>
      </c>
      <c r="AH1914" t="str">
        <f>IF([3]Entry!$G$1917="","",[3]Entry!$G$1917)</f>
        <v/>
      </c>
      <c r="AI1914" t="str">
        <f>IF([3]Entry!$K$1917="","",[3]Entry!$K$1917)</f>
        <v/>
      </c>
      <c r="AJ1914" t="str">
        <f>IF([3]Entry!$L$1917="","",[3]Entry!$L$1917)</f>
        <v/>
      </c>
      <c r="AK1914" t="str">
        <f>IF([3]Entry!$M$1917="","",[3]Entry!$M$1917)</f>
        <v/>
      </c>
      <c r="AL1914" t="str">
        <f>IF([3]Entry!$N$1917="","",[3]Entry!$N$1917)</f>
        <v/>
      </c>
      <c r="AM1914" t="str">
        <f>IF([3]Entry!$R$1917="","",[3]Entry!$R$1917)</f>
        <v/>
      </c>
    </row>
    <row r="1915" spans="20:39" x14ac:dyDescent="0.2">
      <c r="T1915" t="str">
        <f>IF([2]Baskol!$B$1918="","",[2]Baskol!$B$1918)</f>
        <v/>
      </c>
      <c r="U1915" t="str">
        <f>IF([2]Baskol!$C$1918="","",[2]Baskol!$C$1918)</f>
        <v/>
      </c>
      <c r="V1915" t="str">
        <f>IF([2]Baskol!$D$1918="","",[2]Baskol!$D$1918)</f>
        <v/>
      </c>
      <c r="W1915" t="str">
        <f>IF([2]Baskol!$E$1918="","",[2]Baskol!$E$1918)</f>
        <v/>
      </c>
      <c r="X1915" t="str">
        <f>IF([2]Baskol!$G$1918="","",[2]Baskol!$G$1918)</f>
        <v/>
      </c>
      <c r="Y1915" t="str">
        <f>IF([2]Baskol!$I$1918="","",[2]Baskol!$I$1918)</f>
        <v/>
      </c>
      <c r="Z1915" t="str">
        <f>IF([2]Baskol!$J$1918="","",[2]Baskol!$J$1918)</f>
        <v/>
      </c>
      <c r="AA1915" t="str">
        <f>IF([2]Baskol!$K$1918="","",[2]Baskol!$K$1918)</f>
        <v/>
      </c>
      <c r="AB1915" t="str">
        <f>IF([2]Baskol!$L$1918="","",[2]Baskol!$L$1918)</f>
        <v/>
      </c>
      <c r="AC1915" t="str">
        <f>IF([2]Baskol!$N$1918="","",[2]Baskol!$N$1918)</f>
        <v/>
      </c>
      <c r="AD1915" t="str">
        <f>IF([2]Baskol!$O$1918="","",[2]Baskol!$O$1918)</f>
        <v/>
      </c>
      <c r="AE1915" t="str">
        <f>IF([3]Entry!$C$1918="","",[3]Entry!$C$1918)</f>
        <v/>
      </c>
      <c r="AF1915" t="str">
        <f>IF([3]Entry!$D$1918="","",[3]Entry!$D$1918)</f>
        <v/>
      </c>
      <c r="AG1915" t="str">
        <f>IF([3]Entry!$E$1918="","",[3]Entry!$E$1918)</f>
        <v/>
      </c>
      <c r="AH1915" t="str">
        <f>IF([3]Entry!$G$1918="","",[3]Entry!$G$1918)</f>
        <v/>
      </c>
      <c r="AI1915" t="str">
        <f>IF([3]Entry!$K$1918="","",[3]Entry!$K$1918)</f>
        <v/>
      </c>
      <c r="AJ1915" t="str">
        <f>IF([3]Entry!$L$1918="","",[3]Entry!$L$1918)</f>
        <v/>
      </c>
      <c r="AK1915" t="str">
        <f>IF([3]Entry!$M$1918="","",[3]Entry!$M$1918)</f>
        <v/>
      </c>
      <c r="AL1915" t="str">
        <f>IF([3]Entry!$N$1918="","",[3]Entry!$N$1918)</f>
        <v/>
      </c>
      <c r="AM1915" t="str">
        <f>IF([3]Entry!$R$1918="","",[3]Entry!$R$1918)</f>
        <v/>
      </c>
    </row>
    <row r="1916" spans="20:39" x14ac:dyDescent="0.2">
      <c r="T1916" t="str">
        <f>IF([2]Baskol!$B$1919="","",[2]Baskol!$B$1919)</f>
        <v/>
      </c>
      <c r="U1916" t="str">
        <f>IF([2]Baskol!$C$1919="","",[2]Baskol!$C$1919)</f>
        <v/>
      </c>
      <c r="V1916" t="str">
        <f>IF([2]Baskol!$D$1919="","",[2]Baskol!$D$1919)</f>
        <v/>
      </c>
      <c r="W1916" t="str">
        <f>IF([2]Baskol!$E$1919="","",[2]Baskol!$E$1919)</f>
        <v/>
      </c>
      <c r="X1916" t="str">
        <f>IF([2]Baskol!$G$1919="","",[2]Baskol!$G$1919)</f>
        <v/>
      </c>
      <c r="Y1916" t="str">
        <f>IF([2]Baskol!$I$1919="","",[2]Baskol!$I$1919)</f>
        <v/>
      </c>
      <c r="Z1916" t="str">
        <f>IF([2]Baskol!$J$1919="","",[2]Baskol!$J$1919)</f>
        <v/>
      </c>
      <c r="AA1916" t="str">
        <f>IF([2]Baskol!$K$1919="","",[2]Baskol!$K$1919)</f>
        <v/>
      </c>
      <c r="AB1916" t="str">
        <f>IF([2]Baskol!$L$1919="","",[2]Baskol!$L$1919)</f>
        <v/>
      </c>
      <c r="AC1916" t="str">
        <f>IF([2]Baskol!$N$1919="","",[2]Baskol!$N$1919)</f>
        <v/>
      </c>
      <c r="AD1916" t="str">
        <f>IF([2]Baskol!$O$1919="","",[2]Baskol!$O$1919)</f>
        <v/>
      </c>
      <c r="AE1916" t="str">
        <f>IF([3]Entry!$C$1919="","",[3]Entry!$C$1919)</f>
        <v/>
      </c>
      <c r="AF1916" t="str">
        <f>IF([3]Entry!$D$1919="","",[3]Entry!$D$1919)</f>
        <v/>
      </c>
      <c r="AG1916" t="str">
        <f>IF([3]Entry!$E$1919="","",[3]Entry!$E$1919)</f>
        <v/>
      </c>
      <c r="AH1916" t="str">
        <f>IF([3]Entry!$G$1919="","",[3]Entry!$G$1919)</f>
        <v/>
      </c>
      <c r="AI1916" t="str">
        <f>IF([3]Entry!$K$1919="","",[3]Entry!$K$1919)</f>
        <v/>
      </c>
      <c r="AJ1916" t="str">
        <f>IF([3]Entry!$L$1919="","",[3]Entry!$L$1919)</f>
        <v/>
      </c>
      <c r="AK1916" t="str">
        <f>IF([3]Entry!$M$1919="","",[3]Entry!$M$1919)</f>
        <v/>
      </c>
      <c r="AL1916" t="str">
        <f>IF([3]Entry!$N$1919="","",[3]Entry!$N$1919)</f>
        <v/>
      </c>
      <c r="AM1916" t="str">
        <f>IF([3]Entry!$R$1919="","",[3]Entry!$R$1919)</f>
        <v/>
      </c>
    </row>
    <row r="1917" spans="20:39" x14ac:dyDescent="0.2">
      <c r="T1917" t="str">
        <f>IF([2]Baskol!$B$1920="","",[2]Baskol!$B$1920)</f>
        <v/>
      </c>
      <c r="U1917" t="str">
        <f>IF([2]Baskol!$C$1920="","",[2]Baskol!$C$1920)</f>
        <v/>
      </c>
      <c r="V1917" t="str">
        <f>IF([2]Baskol!$D$1920="","",[2]Baskol!$D$1920)</f>
        <v/>
      </c>
      <c r="W1917" t="str">
        <f>IF([2]Baskol!$E$1920="","",[2]Baskol!$E$1920)</f>
        <v/>
      </c>
      <c r="X1917" t="str">
        <f>IF([2]Baskol!$G$1920="","",[2]Baskol!$G$1920)</f>
        <v/>
      </c>
      <c r="Y1917" t="str">
        <f>IF([2]Baskol!$I$1920="","",[2]Baskol!$I$1920)</f>
        <v/>
      </c>
      <c r="Z1917" t="str">
        <f>IF([2]Baskol!$J$1920="","",[2]Baskol!$J$1920)</f>
        <v/>
      </c>
      <c r="AA1917" t="str">
        <f>IF([2]Baskol!$K$1920="","",[2]Baskol!$K$1920)</f>
        <v/>
      </c>
      <c r="AB1917" t="str">
        <f>IF([2]Baskol!$L$1920="","",[2]Baskol!$L$1920)</f>
        <v/>
      </c>
      <c r="AC1917" t="str">
        <f>IF([2]Baskol!$N$1920="","",[2]Baskol!$N$1920)</f>
        <v/>
      </c>
      <c r="AD1917" t="str">
        <f>IF([2]Baskol!$O$1920="","",[2]Baskol!$O$1920)</f>
        <v/>
      </c>
      <c r="AE1917" t="str">
        <f>IF([3]Entry!$C$1920="","",[3]Entry!$C$1920)</f>
        <v/>
      </c>
      <c r="AF1917" t="str">
        <f>IF([3]Entry!$D$1920="","",[3]Entry!$D$1920)</f>
        <v/>
      </c>
      <c r="AG1917" t="str">
        <f>IF([3]Entry!$E$1920="","",[3]Entry!$E$1920)</f>
        <v/>
      </c>
      <c r="AH1917" t="str">
        <f>IF([3]Entry!$G$1920="","",[3]Entry!$G$1920)</f>
        <v/>
      </c>
      <c r="AI1917" t="str">
        <f>IF([3]Entry!$K$1920="","",[3]Entry!$K$1920)</f>
        <v/>
      </c>
      <c r="AJ1917" t="str">
        <f>IF([3]Entry!$L$1920="","",[3]Entry!$L$1920)</f>
        <v/>
      </c>
      <c r="AK1917" t="str">
        <f>IF([3]Entry!$M$1920="","",[3]Entry!$M$1920)</f>
        <v/>
      </c>
      <c r="AL1917" t="str">
        <f>IF([3]Entry!$N$1920="","",[3]Entry!$N$1920)</f>
        <v/>
      </c>
      <c r="AM1917" t="str">
        <f>IF([3]Entry!$R$1920="","",[3]Entry!$R$1920)</f>
        <v/>
      </c>
    </row>
    <row r="1918" spans="20:39" x14ac:dyDescent="0.2">
      <c r="T1918" t="str">
        <f>IF([2]Baskol!$B$1921="","",[2]Baskol!$B$1921)</f>
        <v/>
      </c>
      <c r="U1918" t="str">
        <f>IF([2]Baskol!$C$1921="","",[2]Baskol!$C$1921)</f>
        <v/>
      </c>
      <c r="V1918" t="str">
        <f>IF([2]Baskol!$D$1921="","",[2]Baskol!$D$1921)</f>
        <v/>
      </c>
      <c r="W1918" t="str">
        <f>IF([2]Baskol!$E$1921="","",[2]Baskol!$E$1921)</f>
        <v/>
      </c>
      <c r="X1918" t="str">
        <f>IF([2]Baskol!$G$1921="","",[2]Baskol!$G$1921)</f>
        <v/>
      </c>
      <c r="Y1918" t="str">
        <f>IF([2]Baskol!$I$1921="","",[2]Baskol!$I$1921)</f>
        <v/>
      </c>
      <c r="Z1918" t="str">
        <f>IF([2]Baskol!$J$1921="","",[2]Baskol!$J$1921)</f>
        <v/>
      </c>
      <c r="AA1918" t="str">
        <f>IF([2]Baskol!$K$1921="","",[2]Baskol!$K$1921)</f>
        <v/>
      </c>
      <c r="AB1918" t="str">
        <f>IF([2]Baskol!$L$1921="","",[2]Baskol!$L$1921)</f>
        <v/>
      </c>
      <c r="AC1918" t="str">
        <f>IF([2]Baskol!$N$1921="","",[2]Baskol!$N$1921)</f>
        <v/>
      </c>
      <c r="AD1918" t="str">
        <f>IF([2]Baskol!$O$1921="","",[2]Baskol!$O$1921)</f>
        <v/>
      </c>
      <c r="AE1918" t="str">
        <f>IF([3]Entry!$C$1921="","",[3]Entry!$C$1921)</f>
        <v/>
      </c>
      <c r="AF1918" t="str">
        <f>IF([3]Entry!$D$1921="","",[3]Entry!$D$1921)</f>
        <v/>
      </c>
      <c r="AG1918" t="str">
        <f>IF([3]Entry!$E$1921="","",[3]Entry!$E$1921)</f>
        <v/>
      </c>
      <c r="AH1918" t="str">
        <f>IF([3]Entry!$G$1921="","",[3]Entry!$G$1921)</f>
        <v/>
      </c>
      <c r="AI1918" t="str">
        <f>IF([3]Entry!$K$1921="","",[3]Entry!$K$1921)</f>
        <v/>
      </c>
      <c r="AJ1918" t="str">
        <f>IF([3]Entry!$L$1921="","",[3]Entry!$L$1921)</f>
        <v/>
      </c>
      <c r="AK1918" t="str">
        <f>IF([3]Entry!$M$1921="","",[3]Entry!$M$1921)</f>
        <v/>
      </c>
      <c r="AL1918" t="str">
        <f>IF([3]Entry!$N$1921="","",[3]Entry!$N$1921)</f>
        <v/>
      </c>
      <c r="AM1918" t="str">
        <f>IF([3]Entry!$R$1921="","",[3]Entry!$R$1921)</f>
        <v/>
      </c>
    </row>
    <row r="1919" spans="20:39" x14ac:dyDescent="0.2">
      <c r="T1919" t="str">
        <f>IF([2]Baskol!$B$1922="","",[2]Baskol!$B$1922)</f>
        <v/>
      </c>
      <c r="U1919" t="str">
        <f>IF([2]Baskol!$C$1922="","",[2]Baskol!$C$1922)</f>
        <v/>
      </c>
      <c r="V1919" t="str">
        <f>IF([2]Baskol!$D$1922="","",[2]Baskol!$D$1922)</f>
        <v/>
      </c>
      <c r="W1919" t="str">
        <f>IF([2]Baskol!$E$1922="","",[2]Baskol!$E$1922)</f>
        <v/>
      </c>
      <c r="X1919" t="str">
        <f>IF([2]Baskol!$G$1922="","",[2]Baskol!$G$1922)</f>
        <v/>
      </c>
      <c r="Y1919" t="str">
        <f>IF([2]Baskol!$I$1922="","",[2]Baskol!$I$1922)</f>
        <v/>
      </c>
      <c r="Z1919" t="str">
        <f>IF([2]Baskol!$J$1922="","",[2]Baskol!$J$1922)</f>
        <v/>
      </c>
      <c r="AA1919" t="str">
        <f>IF([2]Baskol!$K$1922="","",[2]Baskol!$K$1922)</f>
        <v/>
      </c>
      <c r="AB1919" t="str">
        <f>IF([2]Baskol!$L$1922="","",[2]Baskol!$L$1922)</f>
        <v/>
      </c>
      <c r="AC1919" t="str">
        <f>IF([2]Baskol!$N$1922="","",[2]Baskol!$N$1922)</f>
        <v/>
      </c>
      <c r="AD1919" t="str">
        <f>IF([2]Baskol!$O$1922="","",[2]Baskol!$O$1922)</f>
        <v/>
      </c>
      <c r="AE1919" t="str">
        <f>IF([3]Entry!$C$1922="","",[3]Entry!$C$1922)</f>
        <v/>
      </c>
      <c r="AF1919" t="str">
        <f>IF([3]Entry!$D$1922="","",[3]Entry!$D$1922)</f>
        <v/>
      </c>
      <c r="AG1919" t="str">
        <f>IF([3]Entry!$E$1922="","",[3]Entry!$E$1922)</f>
        <v/>
      </c>
      <c r="AH1919" t="str">
        <f>IF([3]Entry!$G$1922="","",[3]Entry!$G$1922)</f>
        <v/>
      </c>
      <c r="AI1919" t="str">
        <f>IF([3]Entry!$K$1922="","",[3]Entry!$K$1922)</f>
        <v/>
      </c>
      <c r="AJ1919" t="str">
        <f>IF([3]Entry!$L$1922="","",[3]Entry!$L$1922)</f>
        <v/>
      </c>
      <c r="AK1919" t="str">
        <f>IF([3]Entry!$M$1922="","",[3]Entry!$M$1922)</f>
        <v/>
      </c>
      <c r="AL1919" t="str">
        <f>IF([3]Entry!$N$1922="","",[3]Entry!$N$1922)</f>
        <v/>
      </c>
      <c r="AM1919" t="str">
        <f>IF([3]Entry!$R$1922="","",[3]Entry!$R$1922)</f>
        <v/>
      </c>
    </row>
    <row r="1920" spans="20:39" x14ac:dyDescent="0.2">
      <c r="T1920" t="str">
        <f>IF([2]Baskol!$B$1923="","",[2]Baskol!$B$1923)</f>
        <v/>
      </c>
      <c r="U1920" t="str">
        <f>IF([2]Baskol!$C$1923="","",[2]Baskol!$C$1923)</f>
        <v/>
      </c>
      <c r="V1920" t="str">
        <f>IF([2]Baskol!$D$1923="","",[2]Baskol!$D$1923)</f>
        <v/>
      </c>
      <c r="W1920" t="str">
        <f>IF([2]Baskol!$E$1923="","",[2]Baskol!$E$1923)</f>
        <v/>
      </c>
      <c r="X1920" t="str">
        <f>IF([2]Baskol!$G$1923="","",[2]Baskol!$G$1923)</f>
        <v/>
      </c>
      <c r="Y1920" t="str">
        <f>IF([2]Baskol!$I$1923="","",[2]Baskol!$I$1923)</f>
        <v/>
      </c>
      <c r="Z1920" t="str">
        <f>IF([2]Baskol!$J$1923="","",[2]Baskol!$J$1923)</f>
        <v/>
      </c>
      <c r="AA1920" t="str">
        <f>IF([2]Baskol!$K$1923="","",[2]Baskol!$K$1923)</f>
        <v/>
      </c>
      <c r="AB1920" t="str">
        <f>IF([2]Baskol!$L$1923="","",[2]Baskol!$L$1923)</f>
        <v/>
      </c>
      <c r="AC1920" t="str">
        <f>IF([2]Baskol!$N$1923="","",[2]Baskol!$N$1923)</f>
        <v/>
      </c>
      <c r="AD1920" t="str">
        <f>IF([2]Baskol!$O$1923="","",[2]Baskol!$O$1923)</f>
        <v/>
      </c>
      <c r="AE1920" t="str">
        <f>IF([3]Entry!$C$1923="","",[3]Entry!$C$1923)</f>
        <v/>
      </c>
      <c r="AF1920" t="str">
        <f>IF([3]Entry!$D$1923="","",[3]Entry!$D$1923)</f>
        <v/>
      </c>
      <c r="AG1920" t="str">
        <f>IF([3]Entry!$E$1923="","",[3]Entry!$E$1923)</f>
        <v/>
      </c>
      <c r="AH1920" t="str">
        <f>IF([3]Entry!$G$1923="","",[3]Entry!$G$1923)</f>
        <v/>
      </c>
      <c r="AI1920" t="str">
        <f>IF([3]Entry!$K$1923="","",[3]Entry!$K$1923)</f>
        <v/>
      </c>
      <c r="AJ1920" t="str">
        <f>IF([3]Entry!$L$1923="","",[3]Entry!$L$1923)</f>
        <v/>
      </c>
      <c r="AK1920" t="str">
        <f>IF([3]Entry!$M$1923="","",[3]Entry!$M$1923)</f>
        <v/>
      </c>
      <c r="AL1920" t="str">
        <f>IF([3]Entry!$N$1923="","",[3]Entry!$N$1923)</f>
        <v/>
      </c>
      <c r="AM1920" t="str">
        <f>IF([3]Entry!$R$1923="","",[3]Entry!$R$1923)</f>
        <v/>
      </c>
    </row>
    <row r="1921" spans="20:39" x14ac:dyDescent="0.2">
      <c r="T1921" t="str">
        <f>IF([2]Baskol!$B$1924="","",[2]Baskol!$B$1924)</f>
        <v/>
      </c>
      <c r="U1921" t="str">
        <f>IF([2]Baskol!$C$1924="","",[2]Baskol!$C$1924)</f>
        <v/>
      </c>
      <c r="V1921" t="str">
        <f>IF([2]Baskol!$D$1924="","",[2]Baskol!$D$1924)</f>
        <v/>
      </c>
      <c r="W1921" t="str">
        <f>IF([2]Baskol!$E$1924="","",[2]Baskol!$E$1924)</f>
        <v/>
      </c>
      <c r="X1921" t="str">
        <f>IF([2]Baskol!$G$1924="","",[2]Baskol!$G$1924)</f>
        <v/>
      </c>
      <c r="Y1921" t="str">
        <f>IF([2]Baskol!$I$1924="","",[2]Baskol!$I$1924)</f>
        <v/>
      </c>
      <c r="Z1921" t="str">
        <f>IF([2]Baskol!$J$1924="","",[2]Baskol!$J$1924)</f>
        <v/>
      </c>
      <c r="AA1921" t="str">
        <f>IF([2]Baskol!$K$1924="","",[2]Baskol!$K$1924)</f>
        <v/>
      </c>
      <c r="AB1921" t="str">
        <f>IF([2]Baskol!$L$1924="","",[2]Baskol!$L$1924)</f>
        <v/>
      </c>
      <c r="AC1921" t="str">
        <f>IF([2]Baskol!$N$1924="","",[2]Baskol!$N$1924)</f>
        <v/>
      </c>
      <c r="AD1921" t="str">
        <f>IF([2]Baskol!$O$1924="","",[2]Baskol!$O$1924)</f>
        <v/>
      </c>
      <c r="AE1921" t="str">
        <f>IF([3]Entry!$C$1924="","",[3]Entry!$C$1924)</f>
        <v/>
      </c>
      <c r="AF1921" t="str">
        <f>IF([3]Entry!$D$1924="","",[3]Entry!$D$1924)</f>
        <v/>
      </c>
      <c r="AG1921" t="str">
        <f>IF([3]Entry!$E$1924="","",[3]Entry!$E$1924)</f>
        <v/>
      </c>
      <c r="AH1921" t="str">
        <f>IF([3]Entry!$G$1924="","",[3]Entry!$G$1924)</f>
        <v/>
      </c>
      <c r="AI1921" t="str">
        <f>IF([3]Entry!$K$1924="","",[3]Entry!$K$1924)</f>
        <v/>
      </c>
      <c r="AJ1921" t="str">
        <f>IF([3]Entry!$L$1924="","",[3]Entry!$L$1924)</f>
        <v/>
      </c>
      <c r="AK1921" t="str">
        <f>IF([3]Entry!$M$1924="","",[3]Entry!$M$1924)</f>
        <v/>
      </c>
      <c r="AL1921" t="str">
        <f>IF([3]Entry!$N$1924="","",[3]Entry!$N$1924)</f>
        <v/>
      </c>
      <c r="AM1921" t="str">
        <f>IF([3]Entry!$R$1924="","",[3]Entry!$R$1924)</f>
        <v/>
      </c>
    </row>
    <row r="1922" spans="20:39" x14ac:dyDescent="0.2">
      <c r="T1922" t="str">
        <f>IF([2]Baskol!$B$1925="","",[2]Baskol!$B$1925)</f>
        <v/>
      </c>
      <c r="U1922" t="str">
        <f>IF([2]Baskol!$C$1925="","",[2]Baskol!$C$1925)</f>
        <v/>
      </c>
      <c r="V1922" t="str">
        <f>IF([2]Baskol!$D$1925="","",[2]Baskol!$D$1925)</f>
        <v/>
      </c>
      <c r="W1922" t="str">
        <f>IF([2]Baskol!$E$1925="","",[2]Baskol!$E$1925)</f>
        <v/>
      </c>
      <c r="X1922" t="str">
        <f>IF([2]Baskol!$G$1925="","",[2]Baskol!$G$1925)</f>
        <v/>
      </c>
      <c r="Y1922" t="str">
        <f>IF([2]Baskol!$I$1925="","",[2]Baskol!$I$1925)</f>
        <v/>
      </c>
      <c r="Z1922" t="str">
        <f>IF([2]Baskol!$J$1925="","",[2]Baskol!$J$1925)</f>
        <v/>
      </c>
      <c r="AA1922" t="str">
        <f>IF([2]Baskol!$K$1925="","",[2]Baskol!$K$1925)</f>
        <v/>
      </c>
      <c r="AB1922" t="str">
        <f>IF([2]Baskol!$L$1925="","",[2]Baskol!$L$1925)</f>
        <v/>
      </c>
      <c r="AC1922" t="str">
        <f>IF([2]Baskol!$N$1925="","",[2]Baskol!$N$1925)</f>
        <v/>
      </c>
      <c r="AD1922" t="str">
        <f>IF([2]Baskol!$O$1925="","",[2]Baskol!$O$1925)</f>
        <v/>
      </c>
      <c r="AE1922" t="str">
        <f>IF([3]Entry!$C$1925="","",[3]Entry!$C$1925)</f>
        <v/>
      </c>
      <c r="AF1922" t="str">
        <f>IF([3]Entry!$D$1925="","",[3]Entry!$D$1925)</f>
        <v/>
      </c>
      <c r="AG1922" t="str">
        <f>IF([3]Entry!$E$1925="","",[3]Entry!$E$1925)</f>
        <v/>
      </c>
      <c r="AH1922" t="str">
        <f>IF([3]Entry!$G$1925="","",[3]Entry!$G$1925)</f>
        <v/>
      </c>
      <c r="AI1922" t="str">
        <f>IF([3]Entry!$K$1925="","",[3]Entry!$K$1925)</f>
        <v/>
      </c>
      <c r="AJ1922" t="str">
        <f>IF([3]Entry!$L$1925="","",[3]Entry!$L$1925)</f>
        <v/>
      </c>
      <c r="AK1922" t="str">
        <f>IF([3]Entry!$M$1925="","",[3]Entry!$M$1925)</f>
        <v/>
      </c>
      <c r="AL1922" t="str">
        <f>IF([3]Entry!$N$1925="","",[3]Entry!$N$1925)</f>
        <v/>
      </c>
      <c r="AM1922" t="str">
        <f>IF([3]Entry!$R$1925="","",[3]Entry!$R$1925)</f>
        <v/>
      </c>
    </row>
    <row r="1923" spans="20:39" x14ac:dyDescent="0.2">
      <c r="T1923" t="str">
        <f>IF([2]Baskol!$B$1926="","",[2]Baskol!$B$1926)</f>
        <v/>
      </c>
      <c r="U1923" t="str">
        <f>IF([2]Baskol!$C$1926="","",[2]Baskol!$C$1926)</f>
        <v/>
      </c>
      <c r="V1923" t="str">
        <f>IF([2]Baskol!$D$1926="","",[2]Baskol!$D$1926)</f>
        <v/>
      </c>
      <c r="W1923" t="str">
        <f>IF([2]Baskol!$E$1926="","",[2]Baskol!$E$1926)</f>
        <v/>
      </c>
      <c r="X1923" t="str">
        <f>IF([2]Baskol!$G$1926="","",[2]Baskol!$G$1926)</f>
        <v/>
      </c>
      <c r="Y1923" t="str">
        <f>IF([2]Baskol!$I$1926="","",[2]Baskol!$I$1926)</f>
        <v/>
      </c>
      <c r="Z1923" t="str">
        <f>IF([2]Baskol!$J$1926="","",[2]Baskol!$J$1926)</f>
        <v/>
      </c>
      <c r="AA1923" t="str">
        <f>IF([2]Baskol!$K$1926="","",[2]Baskol!$K$1926)</f>
        <v/>
      </c>
      <c r="AB1923" t="str">
        <f>IF([2]Baskol!$L$1926="","",[2]Baskol!$L$1926)</f>
        <v/>
      </c>
      <c r="AC1923" t="str">
        <f>IF([2]Baskol!$N$1926="","",[2]Baskol!$N$1926)</f>
        <v/>
      </c>
      <c r="AD1923" t="str">
        <f>IF([2]Baskol!$O$1926="","",[2]Baskol!$O$1926)</f>
        <v/>
      </c>
      <c r="AE1923" t="str">
        <f>IF([3]Entry!$C$1926="","",[3]Entry!$C$1926)</f>
        <v/>
      </c>
      <c r="AF1923" t="str">
        <f>IF([3]Entry!$D$1926="","",[3]Entry!$D$1926)</f>
        <v/>
      </c>
      <c r="AG1923" t="str">
        <f>IF([3]Entry!$E$1926="","",[3]Entry!$E$1926)</f>
        <v/>
      </c>
      <c r="AH1923" t="str">
        <f>IF([3]Entry!$G$1926="","",[3]Entry!$G$1926)</f>
        <v/>
      </c>
      <c r="AI1923" t="str">
        <f>IF([3]Entry!$K$1926="","",[3]Entry!$K$1926)</f>
        <v/>
      </c>
      <c r="AJ1923" t="str">
        <f>IF([3]Entry!$L$1926="","",[3]Entry!$L$1926)</f>
        <v/>
      </c>
      <c r="AK1923" t="str">
        <f>IF([3]Entry!$M$1926="","",[3]Entry!$M$1926)</f>
        <v/>
      </c>
      <c r="AL1923" t="str">
        <f>IF([3]Entry!$N$1926="","",[3]Entry!$N$1926)</f>
        <v/>
      </c>
      <c r="AM1923" t="str">
        <f>IF([3]Entry!$R$1926="","",[3]Entry!$R$1926)</f>
        <v/>
      </c>
    </row>
    <row r="1924" spans="20:39" x14ac:dyDescent="0.2">
      <c r="T1924" t="str">
        <f>IF([2]Baskol!$B$1927="","",[2]Baskol!$B$1927)</f>
        <v/>
      </c>
      <c r="U1924" t="str">
        <f>IF([2]Baskol!$C$1927="","",[2]Baskol!$C$1927)</f>
        <v/>
      </c>
      <c r="V1924" t="str">
        <f>IF([2]Baskol!$D$1927="","",[2]Baskol!$D$1927)</f>
        <v/>
      </c>
      <c r="W1924" t="str">
        <f>IF([2]Baskol!$E$1927="","",[2]Baskol!$E$1927)</f>
        <v/>
      </c>
      <c r="X1924" t="str">
        <f>IF([2]Baskol!$G$1927="","",[2]Baskol!$G$1927)</f>
        <v/>
      </c>
      <c r="Y1924" t="str">
        <f>IF([2]Baskol!$I$1927="","",[2]Baskol!$I$1927)</f>
        <v/>
      </c>
      <c r="Z1924" t="str">
        <f>IF([2]Baskol!$J$1927="","",[2]Baskol!$J$1927)</f>
        <v/>
      </c>
      <c r="AA1924" t="str">
        <f>IF([2]Baskol!$K$1927="","",[2]Baskol!$K$1927)</f>
        <v/>
      </c>
      <c r="AB1924" t="str">
        <f>IF([2]Baskol!$L$1927="","",[2]Baskol!$L$1927)</f>
        <v/>
      </c>
      <c r="AC1924" t="str">
        <f>IF([2]Baskol!$N$1927="","",[2]Baskol!$N$1927)</f>
        <v/>
      </c>
      <c r="AD1924" t="str">
        <f>IF([2]Baskol!$O$1927="","",[2]Baskol!$O$1927)</f>
        <v/>
      </c>
      <c r="AE1924" t="str">
        <f>IF([3]Entry!$C$1927="","",[3]Entry!$C$1927)</f>
        <v/>
      </c>
      <c r="AF1924" t="str">
        <f>IF([3]Entry!$D$1927="","",[3]Entry!$D$1927)</f>
        <v/>
      </c>
      <c r="AG1924" t="str">
        <f>IF([3]Entry!$E$1927="","",[3]Entry!$E$1927)</f>
        <v/>
      </c>
      <c r="AH1924" t="str">
        <f>IF([3]Entry!$G$1927="","",[3]Entry!$G$1927)</f>
        <v/>
      </c>
      <c r="AI1924" t="str">
        <f>IF([3]Entry!$K$1927="","",[3]Entry!$K$1927)</f>
        <v/>
      </c>
      <c r="AJ1924" t="str">
        <f>IF([3]Entry!$L$1927="","",[3]Entry!$L$1927)</f>
        <v/>
      </c>
      <c r="AK1924" t="str">
        <f>IF([3]Entry!$M$1927="","",[3]Entry!$M$1927)</f>
        <v/>
      </c>
      <c r="AL1924" t="str">
        <f>IF([3]Entry!$N$1927="","",[3]Entry!$N$1927)</f>
        <v/>
      </c>
      <c r="AM1924" t="str">
        <f>IF([3]Entry!$R$1927="","",[3]Entry!$R$1927)</f>
        <v/>
      </c>
    </row>
    <row r="1925" spans="20:39" x14ac:dyDescent="0.2">
      <c r="T1925" t="str">
        <f>IF([2]Baskol!$B$1928="","",[2]Baskol!$B$1928)</f>
        <v/>
      </c>
      <c r="U1925" t="str">
        <f>IF([2]Baskol!$C$1928="","",[2]Baskol!$C$1928)</f>
        <v/>
      </c>
      <c r="V1925" t="str">
        <f>IF([2]Baskol!$D$1928="","",[2]Baskol!$D$1928)</f>
        <v/>
      </c>
      <c r="W1925" t="str">
        <f>IF([2]Baskol!$E$1928="","",[2]Baskol!$E$1928)</f>
        <v/>
      </c>
      <c r="X1925" t="str">
        <f>IF([2]Baskol!$G$1928="","",[2]Baskol!$G$1928)</f>
        <v/>
      </c>
      <c r="Y1925" t="str">
        <f>IF([2]Baskol!$I$1928="","",[2]Baskol!$I$1928)</f>
        <v/>
      </c>
      <c r="Z1925" t="str">
        <f>IF([2]Baskol!$J$1928="","",[2]Baskol!$J$1928)</f>
        <v/>
      </c>
      <c r="AA1925" t="str">
        <f>IF([2]Baskol!$K$1928="","",[2]Baskol!$K$1928)</f>
        <v/>
      </c>
      <c r="AB1925" t="str">
        <f>IF([2]Baskol!$L$1928="","",[2]Baskol!$L$1928)</f>
        <v/>
      </c>
      <c r="AC1925" t="str">
        <f>IF([2]Baskol!$N$1928="","",[2]Baskol!$N$1928)</f>
        <v/>
      </c>
      <c r="AD1925" t="str">
        <f>IF([2]Baskol!$O$1928="","",[2]Baskol!$O$1928)</f>
        <v/>
      </c>
      <c r="AE1925" t="str">
        <f>IF([3]Entry!$C$1928="","",[3]Entry!$C$1928)</f>
        <v/>
      </c>
      <c r="AF1925" t="str">
        <f>IF([3]Entry!$D$1928="","",[3]Entry!$D$1928)</f>
        <v/>
      </c>
      <c r="AG1925" t="str">
        <f>IF([3]Entry!$E$1928="","",[3]Entry!$E$1928)</f>
        <v/>
      </c>
      <c r="AH1925" t="str">
        <f>IF([3]Entry!$G$1928="","",[3]Entry!$G$1928)</f>
        <v/>
      </c>
      <c r="AI1925" t="str">
        <f>IF([3]Entry!$K$1928="","",[3]Entry!$K$1928)</f>
        <v/>
      </c>
      <c r="AJ1925" t="str">
        <f>IF([3]Entry!$L$1928="","",[3]Entry!$L$1928)</f>
        <v/>
      </c>
      <c r="AK1925" t="str">
        <f>IF([3]Entry!$M$1928="","",[3]Entry!$M$1928)</f>
        <v/>
      </c>
      <c r="AL1925" t="str">
        <f>IF([3]Entry!$N$1928="","",[3]Entry!$N$1928)</f>
        <v/>
      </c>
      <c r="AM1925" t="str">
        <f>IF([3]Entry!$R$1928="","",[3]Entry!$R$1928)</f>
        <v/>
      </c>
    </row>
    <row r="1926" spans="20:39" x14ac:dyDescent="0.2">
      <c r="T1926" t="str">
        <f>IF([2]Baskol!$B$1929="","",[2]Baskol!$B$1929)</f>
        <v/>
      </c>
      <c r="U1926" t="str">
        <f>IF([2]Baskol!$C$1929="","",[2]Baskol!$C$1929)</f>
        <v/>
      </c>
      <c r="V1926" t="str">
        <f>IF([2]Baskol!$D$1929="","",[2]Baskol!$D$1929)</f>
        <v/>
      </c>
      <c r="W1926" t="str">
        <f>IF([2]Baskol!$E$1929="","",[2]Baskol!$E$1929)</f>
        <v/>
      </c>
      <c r="X1926" t="str">
        <f>IF([2]Baskol!$G$1929="","",[2]Baskol!$G$1929)</f>
        <v/>
      </c>
      <c r="Y1926" t="str">
        <f>IF([2]Baskol!$I$1929="","",[2]Baskol!$I$1929)</f>
        <v/>
      </c>
      <c r="Z1926" t="str">
        <f>IF([2]Baskol!$J$1929="","",[2]Baskol!$J$1929)</f>
        <v/>
      </c>
      <c r="AA1926" t="str">
        <f>IF([2]Baskol!$K$1929="","",[2]Baskol!$K$1929)</f>
        <v/>
      </c>
      <c r="AB1926" t="str">
        <f>IF([2]Baskol!$L$1929="","",[2]Baskol!$L$1929)</f>
        <v/>
      </c>
      <c r="AC1926" t="str">
        <f>IF([2]Baskol!$N$1929="","",[2]Baskol!$N$1929)</f>
        <v/>
      </c>
      <c r="AD1926" t="str">
        <f>IF([2]Baskol!$O$1929="","",[2]Baskol!$O$1929)</f>
        <v/>
      </c>
      <c r="AE1926" t="str">
        <f>IF([3]Entry!$C$1929="","",[3]Entry!$C$1929)</f>
        <v/>
      </c>
      <c r="AF1926" t="str">
        <f>IF([3]Entry!$D$1929="","",[3]Entry!$D$1929)</f>
        <v/>
      </c>
      <c r="AG1926" t="str">
        <f>IF([3]Entry!$E$1929="","",[3]Entry!$E$1929)</f>
        <v/>
      </c>
      <c r="AH1926" t="str">
        <f>IF([3]Entry!$G$1929="","",[3]Entry!$G$1929)</f>
        <v/>
      </c>
      <c r="AI1926" t="str">
        <f>IF([3]Entry!$K$1929="","",[3]Entry!$K$1929)</f>
        <v/>
      </c>
      <c r="AJ1926" t="str">
        <f>IF([3]Entry!$L$1929="","",[3]Entry!$L$1929)</f>
        <v/>
      </c>
      <c r="AK1926" t="str">
        <f>IF([3]Entry!$M$1929="","",[3]Entry!$M$1929)</f>
        <v/>
      </c>
      <c r="AL1926" t="str">
        <f>IF([3]Entry!$N$1929="","",[3]Entry!$N$1929)</f>
        <v/>
      </c>
      <c r="AM1926" t="str">
        <f>IF([3]Entry!$R$1929="","",[3]Entry!$R$1929)</f>
        <v/>
      </c>
    </row>
    <row r="1927" spans="20:39" x14ac:dyDescent="0.2">
      <c r="T1927" t="str">
        <f>IF([2]Baskol!$B$1930="","",[2]Baskol!$B$1930)</f>
        <v/>
      </c>
      <c r="U1927" t="str">
        <f>IF([2]Baskol!$C$1930="","",[2]Baskol!$C$1930)</f>
        <v/>
      </c>
      <c r="V1927" t="str">
        <f>IF([2]Baskol!$D$1930="","",[2]Baskol!$D$1930)</f>
        <v/>
      </c>
      <c r="W1927" t="str">
        <f>IF([2]Baskol!$E$1930="","",[2]Baskol!$E$1930)</f>
        <v/>
      </c>
      <c r="X1927" t="str">
        <f>IF([2]Baskol!$G$1930="","",[2]Baskol!$G$1930)</f>
        <v/>
      </c>
      <c r="Y1927" t="str">
        <f>IF([2]Baskol!$I$1930="","",[2]Baskol!$I$1930)</f>
        <v/>
      </c>
      <c r="Z1927" t="str">
        <f>IF([2]Baskol!$J$1930="","",[2]Baskol!$J$1930)</f>
        <v/>
      </c>
      <c r="AA1927" t="str">
        <f>IF([2]Baskol!$K$1930="","",[2]Baskol!$K$1930)</f>
        <v/>
      </c>
      <c r="AB1927" t="str">
        <f>IF([2]Baskol!$L$1930="","",[2]Baskol!$L$1930)</f>
        <v/>
      </c>
      <c r="AC1927" t="str">
        <f>IF([2]Baskol!$N$1930="","",[2]Baskol!$N$1930)</f>
        <v/>
      </c>
      <c r="AD1927" t="str">
        <f>IF([2]Baskol!$O$1930="","",[2]Baskol!$O$1930)</f>
        <v/>
      </c>
      <c r="AE1927" t="str">
        <f>IF([3]Entry!$C$1930="","",[3]Entry!$C$1930)</f>
        <v/>
      </c>
      <c r="AF1927" t="str">
        <f>IF([3]Entry!$D$1930="","",[3]Entry!$D$1930)</f>
        <v/>
      </c>
      <c r="AG1927" t="str">
        <f>IF([3]Entry!$E$1930="","",[3]Entry!$E$1930)</f>
        <v/>
      </c>
      <c r="AH1927" t="str">
        <f>IF([3]Entry!$G$1930="","",[3]Entry!$G$1930)</f>
        <v/>
      </c>
      <c r="AI1927" t="str">
        <f>IF([3]Entry!$K$1930="","",[3]Entry!$K$1930)</f>
        <v/>
      </c>
      <c r="AJ1927" t="str">
        <f>IF([3]Entry!$L$1930="","",[3]Entry!$L$1930)</f>
        <v/>
      </c>
      <c r="AK1927" t="str">
        <f>IF([3]Entry!$M$1930="","",[3]Entry!$M$1930)</f>
        <v/>
      </c>
      <c r="AL1927" t="str">
        <f>IF([3]Entry!$N$1930="","",[3]Entry!$N$1930)</f>
        <v/>
      </c>
      <c r="AM1927" t="str">
        <f>IF([3]Entry!$R$1930="","",[3]Entry!$R$1930)</f>
        <v/>
      </c>
    </row>
    <row r="1928" spans="20:39" x14ac:dyDescent="0.2">
      <c r="T1928" t="str">
        <f>IF([2]Baskol!$B$1931="","",[2]Baskol!$B$1931)</f>
        <v/>
      </c>
      <c r="U1928" t="str">
        <f>IF([2]Baskol!$C$1931="","",[2]Baskol!$C$1931)</f>
        <v/>
      </c>
      <c r="V1928" t="str">
        <f>IF([2]Baskol!$D$1931="","",[2]Baskol!$D$1931)</f>
        <v/>
      </c>
      <c r="W1928" t="str">
        <f>IF([2]Baskol!$E$1931="","",[2]Baskol!$E$1931)</f>
        <v/>
      </c>
      <c r="X1928" t="str">
        <f>IF([2]Baskol!$G$1931="","",[2]Baskol!$G$1931)</f>
        <v/>
      </c>
      <c r="Y1928" t="str">
        <f>IF([2]Baskol!$I$1931="","",[2]Baskol!$I$1931)</f>
        <v/>
      </c>
      <c r="Z1928" t="str">
        <f>IF([2]Baskol!$J$1931="","",[2]Baskol!$J$1931)</f>
        <v/>
      </c>
      <c r="AA1928" t="str">
        <f>IF([2]Baskol!$K$1931="","",[2]Baskol!$K$1931)</f>
        <v/>
      </c>
      <c r="AB1928" t="str">
        <f>IF([2]Baskol!$L$1931="","",[2]Baskol!$L$1931)</f>
        <v/>
      </c>
      <c r="AC1928" t="str">
        <f>IF([2]Baskol!$N$1931="","",[2]Baskol!$N$1931)</f>
        <v/>
      </c>
      <c r="AD1928" t="str">
        <f>IF([2]Baskol!$O$1931="","",[2]Baskol!$O$1931)</f>
        <v/>
      </c>
      <c r="AE1928" t="str">
        <f>IF([3]Entry!$C$1931="","",[3]Entry!$C$1931)</f>
        <v/>
      </c>
      <c r="AF1928" t="str">
        <f>IF([3]Entry!$D$1931="","",[3]Entry!$D$1931)</f>
        <v/>
      </c>
      <c r="AG1928" t="str">
        <f>IF([3]Entry!$E$1931="","",[3]Entry!$E$1931)</f>
        <v/>
      </c>
      <c r="AH1928" t="str">
        <f>IF([3]Entry!$G$1931="","",[3]Entry!$G$1931)</f>
        <v/>
      </c>
      <c r="AI1928" t="str">
        <f>IF([3]Entry!$K$1931="","",[3]Entry!$K$1931)</f>
        <v/>
      </c>
      <c r="AJ1928" t="str">
        <f>IF([3]Entry!$L$1931="","",[3]Entry!$L$1931)</f>
        <v/>
      </c>
      <c r="AK1928" t="str">
        <f>IF([3]Entry!$M$1931="","",[3]Entry!$M$1931)</f>
        <v/>
      </c>
      <c r="AL1928" t="str">
        <f>IF([3]Entry!$N$1931="","",[3]Entry!$N$1931)</f>
        <v/>
      </c>
      <c r="AM1928" t="str">
        <f>IF([3]Entry!$R$1931="","",[3]Entry!$R$1931)</f>
        <v/>
      </c>
    </row>
    <row r="1929" spans="20:39" x14ac:dyDescent="0.2">
      <c r="T1929" t="str">
        <f>IF([2]Baskol!$B$1932="","",[2]Baskol!$B$1932)</f>
        <v/>
      </c>
      <c r="U1929" t="str">
        <f>IF([2]Baskol!$C$1932="","",[2]Baskol!$C$1932)</f>
        <v/>
      </c>
      <c r="V1929" t="str">
        <f>IF([2]Baskol!$D$1932="","",[2]Baskol!$D$1932)</f>
        <v/>
      </c>
      <c r="W1929" t="str">
        <f>IF([2]Baskol!$E$1932="","",[2]Baskol!$E$1932)</f>
        <v/>
      </c>
      <c r="X1929" t="str">
        <f>IF([2]Baskol!$G$1932="","",[2]Baskol!$G$1932)</f>
        <v/>
      </c>
      <c r="Y1929" t="str">
        <f>IF([2]Baskol!$I$1932="","",[2]Baskol!$I$1932)</f>
        <v/>
      </c>
      <c r="Z1929" t="str">
        <f>IF([2]Baskol!$J$1932="","",[2]Baskol!$J$1932)</f>
        <v/>
      </c>
      <c r="AA1929" t="str">
        <f>IF([2]Baskol!$K$1932="","",[2]Baskol!$K$1932)</f>
        <v/>
      </c>
      <c r="AB1929" t="str">
        <f>IF([2]Baskol!$L$1932="","",[2]Baskol!$L$1932)</f>
        <v/>
      </c>
      <c r="AC1929" t="str">
        <f>IF([2]Baskol!$N$1932="","",[2]Baskol!$N$1932)</f>
        <v/>
      </c>
      <c r="AD1929" t="str">
        <f>IF([2]Baskol!$O$1932="","",[2]Baskol!$O$1932)</f>
        <v/>
      </c>
      <c r="AE1929" t="str">
        <f>IF([3]Entry!$C$1932="","",[3]Entry!$C$1932)</f>
        <v/>
      </c>
      <c r="AF1929" t="str">
        <f>IF([3]Entry!$D$1932="","",[3]Entry!$D$1932)</f>
        <v/>
      </c>
      <c r="AG1929" t="str">
        <f>IF([3]Entry!$E$1932="","",[3]Entry!$E$1932)</f>
        <v/>
      </c>
      <c r="AH1929" t="str">
        <f>IF([3]Entry!$G$1932="","",[3]Entry!$G$1932)</f>
        <v/>
      </c>
      <c r="AI1929" t="str">
        <f>IF([3]Entry!$K$1932="","",[3]Entry!$K$1932)</f>
        <v/>
      </c>
      <c r="AJ1929" t="str">
        <f>IF([3]Entry!$L$1932="","",[3]Entry!$L$1932)</f>
        <v/>
      </c>
      <c r="AK1929" t="str">
        <f>IF([3]Entry!$M$1932="","",[3]Entry!$M$1932)</f>
        <v/>
      </c>
      <c r="AL1929" t="str">
        <f>IF([3]Entry!$N$1932="","",[3]Entry!$N$1932)</f>
        <v/>
      </c>
      <c r="AM1929" t="str">
        <f>IF([3]Entry!$R$1932="","",[3]Entry!$R$1932)</f>
        <v/>
      </c>
    </row>
    <row r="1930" spans="20:39" x14ac:dyDescent="0.2">
      <c r="T1930" t="str">
        <f>IF([2]Baskol!$B$1933="","",[2]Baskol!$B$1933)</f>
        <v/>
      </c>
      <c r="U1930" t="str">
        <f>IF([2]Baskol!$C$1933="","",[2]Baskol!$C$1933)</f>
        <v/>
      </c>
      <c r="V1930" t="str">
        <f>IF([2]Baskol!$D$1933="","",[2]Baskol!$D$1933)</f>
        <v/>
      </c>
      <c r="W1930" t="str">
        <f>IF([2]Baskol!$E$1933="","",[2]Baskol!$E$1933)</f>
        <v/>
      </c>
      <c r="X1930" t="str">
        <f>IF([2]Baskol!$G$1933="","",[2]Baskol!$G$1933)</f>
        <v/>
      </c>
      <c r="Y1930" t="str">
        <f>IF([2]Baskol!$I$1933="","",[2]Baskol!$I$1933)</f>
        <v/>
      </c>
      <c r="Z1930" t="str">
        <f>IF([2]Baskol!$J$1933="","",[2]Baskol!$J$1933)</f>
        <v/>
      </c>
      <c r="AA1930" t="str">
        <f>IF([2]Baskol!$K$1933="","",[2]Baskol!$K$1933)</f>
        <v/>
      </c>
      <c r="AB1930" t="str">
        <f>IF([2]Baskol!$L$1933="","",[2]Baskol!$L$1933)</f>
        <v/>
      </c>
      <c r="AC1930" t="str">
        <f>IF([2]Baskol!$N$1933="","",[2]Baskol!$N$1933)</f>
        <v/>
      </c>
      <c r="AD1930" t="str">
        <f>IF([2]Baskol!$O$1933="","",[2]Baskol!$O$1933)</f>
        <v/>
      </c>
      <c r="AE1930" t="str">
        <f>IF([3]Entry!$C$1933="","",[3]Entry!$C$1933)</f>
        <v/>
      </c>
      <c r="AF1930" t="str">
        <f>IF([3]Entry!$D$1933="","",[3]Entry!$D$1933)</f>
        <v/>
      </c>
      <c r="AG1930" t="str">
        <f>IF([3]Entry!$E$1933="","",[3]Entry!$E$1933)</f>
        <v/>
      </c>
      <c r="AH1930" t="str">
        <f>IF([3]Entry!$G$1933="","",[3]Entry!$G$1933)</f>
        <v/>
      </c>
      <c r="AI1930" t="str">
        <f>IF([3]Entry!$K$1933="","",[3]Entry!$K$1933)</f>
        <v/>
      </c>
      <c r="AJ1930" t="str">
        <f>IF([3]Entry!$L$1933="","",[3]Entry!$L$1933)</f>
        <v/>
      </c>
      <c r="AK1930" t="str">
        <f>IF([3]Entry!$M$1933="","",[3]Entry!$M$1933)</f>
        <v/>
      </c>
      <c r="AL1930" t="str">
        <f>IF([3]Entry!$N$1933="","",[3]Entry!$N$1933)</f>
        <v/>
      </c>
      <c r="AM1930" t="str">
        <f>IF([3]Entry!$R$1933="","",[3]Entry!$R$1933)</f>
        <v/>
      </c>
    </row>
    <row r="1931" spans="20:39" x14ac:dyDescent="0.2">
      <c r="T1931" t="str">
        <f>IF([2]Baskol!$B$1934="","",[2]Baskol!$B$1934)</f>
        <v/>
      </c>
      <c r="U1931" t="str">
        <f>IF([2]Baskol!$C$1934="","",[2]Baskol!$C$1934)</f>
        <v/>
      </c>
      <c r="V1931" t="str">
        <f>IF([2]Baskol!$D$1934="","",[2]Baskol!$D$1934)</f>
        <v/>
      </c>
      <c r="W1931" t="str">
        <f>IF([2]Baskol!$E$1934="","",[2]Baskol!$E$1934)</f>
        <v/>
      </c>
      <c r="X1931" t="str">
        <f>IF([2]Baskol!$G$1934="","",[2]Baskol!$G$1934)</f>
        <v/>
      </c>
      <c r="Y1931" t="str">
        <f>IF([2]Baskol!$I$1934="","",[2]Baskol!$I$1934)</f>
        <v/>
      </c>
      <c r="Z1931" t="str">
        <f>IF([2]Baskol!$J$1934="","",[2]Baskol!$J$1934)</f>
        <v/>
      </c>
      <c r="AA1931" t="str">
        <f>IF([2]Baskol!$K$1934="","",[2]Baskol!$K$1934)</f>
        <v/>
      </c>
      <c r="AB1931" t="str">
        <f>IF([2]Baskol!$L$1934="","",[2]Baskol!$L$1934)</f>
        <v/>
      </c>
      <c r="AC1931" t="str">
        <f>IF([2]Baskol!$N$1934="","",[2]Baskol!$N$1934)</f>
        <v/>
      </c>
      <c r="AD1931" t="str">
        <f>IF([2]Baskol!$O$1934="","",[2]Baskol!$O$1934)</f>
        <v/>
      </c>
      <c r="AE1931" t="str">
        <f>IF([3]Entry!$C$1934="","",[3]Entry!$C$1934)</f>
        <v/>
      </c>
      <c r="AF1931" t="str">
        <f>IF([3]Entry!$D$1934="","",[3]Entry!$D$1934)</f>
        <v/>
      </c>
      <c r="AG1931" t="str">
        <f>IF([3]Entry!$E$1934="","",[3]Entry!$E$1934)</f>
        <v/>
      </c>
      <c r="AH1931" t="str">
        <f>IF([3]Entry!$G$1934="","",[3]Entry!$G$1934)</f>
        <v/>
      </c>
      <c r="AI1931" t="str">
        <f>IF([3]Entry!$K$1934="","",[3]Entry!$K$1934)</f>
        <v/>
      </c>
      <c r="AJ1931" t="str">
        <f>IF([3]Entry!$L$1934="","",[3]Entry!$L$1934)</f>
        <v/>
      </c>
      <c r="AK1931" t="str">
        <f>IF([3]Entry!$M$1934="","",[3]Entry!$M$1934)</f>
        <v/>
      </c>
      <c r="AL1931" t="str">
        <f>IF([3]Entry!$N$1934="","",[3]Entry!$N$1934)</f>
        <v/>
      </c>
      <c r="AM1931" t="str">
        <f>IF([3]Entry!$R$1934="","",[3]Entry!$R$1934)</f>
        <v/>
      </c>
    </row>
    <row r="1932" spans="20:39" x14ac:dyDescent="0.2">
      <c r="T1932" t="str">
        <f>IF([2]Baskol!$B$1935="","",[2]Baskol!$B$1935)</f>
        <v/>
      </c>
      <c r="U1932" t="str">
        <f>IF([2]Baskol!$C$1935="","",[2]Baskol!$C$1935)</f>
        <v/>
      </c>
      <c r="V1932" t="str">
        <f>IF([2]Baskol!$D$1935="","",[2]Baskol!$D$1935)</f>
        <v/>
      </c>
      <c r="W1932" t="str">
        <f>IF([2]Baskol!$E$1935="","",[2]Baskol!$E$1935)</f>
        <v/>
      </c>
      <c r="X1932" t="str">
        <f>IF([2]Baskol!$G$1935="","",[2]Baskol!$G$1935)</f>
        <v/>
      </c>
      <c r="Y1932" t="str">
        <f>IF([2]Baskol!$I$1935="","",[2]Baskol!$I$1935)</f>
        <v/>
      </c>
      <c r="Z1932" t="str">
        <f>IF([2]Baskol!$J$1935="","",[2]Baskol!$J$1935)</f>
        <v/>
      </c>
      <c r="AA1932" t="str">
        <f>IF([2]Baskol!$K$1935="","",[2]Baskol!$K$1935)</f>
        <v/>
      </c>
      <c r="AB1932" t="str">
        <f>IF([2]Baskol!$L$1935="","",[2]Baskol!$L$1935)</f>
        <v/>
      </c>
      <c r="AC1932" t="str">
        <f>IF([2]Baskol!$N$1935="","",[2]Baskol!$N$1935)</f>
        <v/>
      </c>
      <c r="AD1932" t="str">
        <f>IF([2]Baskol!$O$1935="","",[2]Baskol!$O$1935)</f>
        <v/>
      </c>
      <c r="AE1932" t="str">
        <f>IF([3]Entry!$C$1935="","",[3]Entry!$C$1935)</f>
        <v/>
      </c>
      <c r="AF1932" t="str">
        <f>IF([3]Entry!$D$1935="","",[3]Entry!$D$1935)</f>
        <v/>
      </c>
      <c r="AG1932" t="str">
        <f>IF([3]Entry!$E$1935="","",[3]Entry!$E$1935)</f>
        <v/>
      </c>
      <c r="AH1932" t="str">
        <f>IF([3]Entry!$G$1935="","",[3]Entry!$G$1935)</f>
        <v/>
      </c>
      <c r="AI1932" t="str">
        <f>IF([3]Entry!$K$1935="","",[3]Entry!$K$1935)</f>
        <v/>
      </c>
      <c r="AJ1932" t="str">
        <f>IF([3]Entry!$L$1935="","",[3]Entry!$L$1935)</f>
        <v/>
      </c>
      <c r="AK1932" t="str">
        <f>IF([3]Entry!$M$1935="","",[3]Entry!$M$1935)</f>
        <v/>
      </c>
      <c r="AL1932" t="str">
        <f>IF([3]Entry!$N$1935="","",[3]Entry!$N$1935)</f>
        <v/>
      </c>
      <c r="AM1932" t="str">
        <f>IF([3]Entry!$R$1935="","",[3]Entry!$R$1935)</f>
        <v/>
      </c>
    </row>
    <row r="1933" spans="20:39" x14ac:dyDescent="0.2">
      <c r="T1933" t="str">
        <f>IF([2]Baskol!$B$1936="","",[2]Baskol!$B$1936)</f>
        <v/>
      </c>
      <c r="U1933" t="str">
        <f>IF([2]Baskol!$C$1936="","",[2]Baskol!$C$1936)</f>
        <v/>
      </c>
      <c r="V1933" t="str">
        <f>IF([2]Baskol!$D$1936="","",[2]Baskol!$D$1936)</f>
        <v/>
      </c>
      <c r="W1933" t="str">
        <f>IF([2]Baskol!$E$1936="","",[2]Baskol!$E$1936)</f>
        <v/>
      </c>
      <c r="X1933" t="str">
        <f>IF([2]Baskol!$G$1936="","",[2]Baskol!$G$1936)</f>
        <v/>
      </c>
      <c r="Y1933" t="str">
        <f>IF([2]Baskol!$I$1936="","",[2]Baskol!$I$1936)</f>
        <v/>
      </c>
      <c r="Z1933" t="str">
        <f>IF([2]Baskol!$J$1936="","",[2]Baskol!$J$1936)</f>
        <v/>
      </c>
      <c r="AA1933" t="str">
        <f>IF([2]Baskol!$K$1936="","",[2]Baskol!$K$1936)</f>
        <v/>
      </c>
      <c r="AB1933" t="str">
        <f>IF([2]Baskol!$L$1936="","",[2]Baskol!$L$1936)</f>
        <v/>
      </c>
      <c r="AC1933" t="str">
        <f>IF([2]Baskol!$N$1936="","",[2]Baskol!$N$1936)</f>
        <v/>
      </c>
      <c r="AD1933" t="str">
        <f>IF([2]Baskol!$O$1936="","",[2]Baskol!$O$1936)</f>
        <v/>
      </c>
      <c r="AE1933" t="str">
        <f>IF([3]Entry!$C$1936="","",[3]Entry!$C$1936)</f>
        <v/>
      </c>
      <c r="AF1933" t="str">
        <f>IF([3]Entry!$D$1936="","",[3]Entry!$D$1936)</f>
        <v/>
      </c>
      <c r="AG1933" t="str">
        <f>IF([3]Entry!$E$1936="","",[3]Entry!$E$1936)</f>
        <v/>
      </c>
      <c r="AH1933" t="str">
        <f>IF([3]Entry!$G$1936="","",[3]Entry!$G$1936)</f>
        <v/>
      </c>
      <c r="AI1933" t="str">
        <f>IF([3]Entry!$K$1936="","",[3]Entry!$K$1936)</f>
        <v/>
      </c>
      <c r="AJ1933" t="str">
        <f>IF([3]Entry!$L$1936="","",[3]Entry!$L$1936)</f>
        <v/>
      </c>
      <c r="AK1933" t="str">
        <f>IF([3]Entry!$M$1936="","",[3]Entry!$M$1936)</f>
        <v/>
      </c>
      <c r="AL1933" t="str">
        <f>IF([3]Entry!$N$1936="","",[3]Entry!$N$1936)</f>
        <v/>
      </c>
      <c r="AM1933" t="str">
        <f>IF([3]Entry!$R$1936="","",[3]Entry!$R$1936)</f>
        <v/>
      </c>
    </row>
    <row r="1934" spans="20:39" x14ac:dyDescent="0.2">
      <c r="T1934" t="str">
        <f>IF([2]Baskol!$B$1937="","",[2]Baskol!$B$1937)</f>
        <v/>
      </c>
      <c r="U1934" t="str">
        <f>IF([2]Baskol!$C$1937="","",[2]Baskol!$C$1937)</f>
        <v/>
      </c>
      <c r="V1934" t="str">
        <f>IF([2]Baskol!$D$1937="","",[2]Baskol!$D$1937)</f>
        <v/>
      </c>
      <c r="W1934" t="str">
        <f>IF([2]Baskol!$E$1937="","",[2]Baskol!$E$1937)</f>
        <v/>
      </c>
      <c r="X1934" t="str">
        <f>IF([2]Baskol!$G$1937="","",[2]Baskol!$G$1937)</f>
        <v/>
      </c>
      <c r="Y1934" t="str">
        <f>IF([2]Baskol!$I$1937="","",[2]Baskol!$I$1937)</f>
        <v/>
      </c>
      <c r="Z1934" t="str">
        <f>IF([2]Baskol!$J$1937="","",[2]Baskol!$J$1937)</f>
        <v/>
      </c>
      <c r="AA1934" t="str">
        <f>IF([2]Baskol!$K$1937="","",[2]Baskol!$K$1937)</f>
        <v/>
      </c>
      <c r="AB1934" t="str">
        <f>IF([2]Baskol!$L$1937="","",[2]Baskol!$L$1937)</f>
        <v/>
      </c>
      <c r="AC1934" t="str">
        <f>IF([2]Baskol!$N$1937="","",[2]Baskol!$N$1937)</f>
        <v/>
      </c>
      <c r="AD1934" t="str">
        <f>IF([2]Baskol!$O$1937="","",[2]Baskol!$O$1937)</f>
        <v/>
      </c>
      <c r="AE1934" t="str">
        <f>IF([3]Entry!$C$1937="","",[3]Entry!$C$1937)</f>
        <v/>
      </c>
      <c r="AF1934" t="str">
        <f>IF([3]Entry!$D$1937="","",[3]Entry!$D$1937)</f>
        <v/>
      </c>
      <c r="AG1934" t="str">
        <f>IF([3]Entry!$E$1937="","",[3]Entry!$E$1937)</f>
        <v/>
      </c>
      <c r="AH1934" t="str">
        <f>IF([3]Entry!$G$1937="","",[3]Entry!$G$1937)</f>
        <v/>
      </c>
      <c r="AI1934" t="str">
        <f>IF([3]Entry!$K$1937="","",[3]Entry!$K$1937)</f>
        <v/>
      </c>
      <c r="AJ1934" t="str">
        <f>IF([3]Entry!$L$1937="","",[3]Entry!$L$1937)</f>
        <v/>
      </c>
      <c r="AK1934" t="str">
        <f>IF([3]Entry!$M$1937="","",[3]Entry!$M$1937)</f>
        <v/>
      </c>
      <c r="AL1934" t="str">
        <f>IF([3]Entry!$N$1937="","",[3]Entry!$N$1937)</f>
        <v/>
      </c>
      <c r="AM1934" t="str">
        <f>IF([3]Entry!$R$1937="","",[3]Entry!$R$1937)</f>
        <v/>
      </c>
    </row>
    <row r="1935" spans="20:39" x14ac:dyDescent="0.2">
      <c r="T1935" t="str">
        <f>IF([2]Baskol!$B$1938="","",[2]Baskol!$B$1938)</f>
        <v/>
      </c>
      <c r="U1935" t="str">
        <f>IF([2]Baskol!$C$1938="","",[2]Baskol!$C$1938)</f>
        <v/>
      </c>
      <c r="V1935" t="str">
        <f>IF([2]Baskol!$D$1938="","",[2]Baskol!$D$1938)</f>
        <v/>
      </c>
      <c r="W1935" t="str">
        <f>IF([2]Baskol!$E$1938="","",[2]Baskol!$E$1938)</f>
        <v/>
      </c>
      <c r="X1935" t="str">
        <f>IF([2]Baskol!$G$1938="","",[2]Baskol!$G$1938)</f>
        <v/>
      </c>
      <c r="Y1935" t="str">
        <f>IF([2]Baskol!$I$1938="","",[2]Baskol!$I$1938)</f>
        <v/>
      </c>
      <c r="Z1935" t="str">
        <f>IF([2]Baskol!$J$1938="","",[2]Baskol!$J$1938)</f>
        <v/>
      </c>
      <c r="AA1935" t="str">
        <f>IF([2]Baskol!$K$1938="","",[2]Baskol!$K$1938)</f>
        <v/>
      </c>
      <c r="AB1935" t="str">
        <f>IF([2]Baskol!$L$1938="","",[2]Baskol!$L$1938)</f>
        <v/>
      </c>
      <c r="AC1935" t="str">
        <f>IF([2]Baskol!$N$1938="","",[2]Baskol!$N$1938)</f>
        <v/>
      </c>
      <c r="AD1935" t="str">
        <f>IF([2]Baskol!$O$1938="","",[2]Baskol!$O$1938)</f>
        <v/>
      </c>
      <c r="AE1935" t="str">
        <f>IF([3]Entry!$C$1938="","",[3]Entry!$C$1938)</f>
        <v/>
      </c>
      <c r="AF1935" t="str">
        <f>IF([3]Entry!$D$1938="","",[3]Entry!$D$1938)</f>
        <v/>
      </c>
      <c r="AG1935" t="str">
        <f>IF([3]Entry!$E$1938="","",[3]Entry!$E$1938)</f>
        <v/>
      </c>
      <c r="AH1935" t="str">
        <f>IF([3]Entry!$G$1938="","",[3]Entry!$G$1938)</f>
        <v/>
      </c>
      <c r="AI1935" t="str">
        <f>IF([3]Entry!$K$1938="","",[3]Entry!$K$1938)</f>
        <v/>
      </c>
      <c r="AJ1935" t="str">
        <f>IF([3]Entry!$L$1938="","",[3]Entry!$L$1938)</f>
        <v/>
      </c>
      <c r="AK1935" t="str">
        <f>IF([3]Entry!$M$1938="","",[3]Entry!$M$1938)</f>
        <v/>
      </c>
      <c r="AL1935" t="str">
        <f>IF([3]Entry!$N$1938="","",[3]Entry!$N$1938)</f>
        <v/>
      </c>
      <c r="AM1935" t="str">
        <f>IF([3]Entry!$R$1938="","",[3]Entry!$R$1938)</f>
        <v/>
      </c>
    </row>
    <row r="1936" spans="20:39" x14ac:dyDescent="0.2">
      <c r="T1936" t="str">
        <f>IF([2]Baskol!$B$1939="","",[2]Baskol!$B$1939)</f>
        <v/>
      </c>
      <c r="U1936" t="str">
        <f>IF([2]Baskol!$C$1939="","",[2]Baskol!$C$1939)</f>
        <v/>
      </c>
      <c r="V1936" t="str">
        <f>IF([2]Baskol!$D$1939="","",[2]Baskol!$D$1939)</f>
        <v/>
      </c>
      <c r="W1936" t="str">
        <f>IF([2]Baskol!$E$1939="","",[2]Baskol!$E$1939)</f>
        <v/>
      </c>
      <c r="X1936" t="str">
        <f>IF([2]Baskol!$G$1939="","",[2]Baskol!$G$1939)</f>
        <v/>
      </c>
      <c r="Y1936" t="str">
        <f>IF([2]Baskol!$I$1939="","",[2]Baskol!$I$1939)</f>
        <v/>
      </c>
      <c r="Z1936" t="str">
        <f>IF([2]Baskol!$J$1939="","",[2]Baskol!$J$1939)</f>
        <v/>
      </c>
      <c r="AA1936" t="str">
        <f>IF([2]Baskol!$K$1939="","",[2]Baskol!$K$1939)</f>
        <v/>
      </c>
      <c r="AB1936" t="str">
        <f>IF([2]Baskol!$L$1939="","",[2]Baskol!$L$1939)</f>
        <v/>
      </c>
      <c r="AC1936" t="str">
        <f>IF([2]Baskol!$N$1939="","",[2]Baskol!$N$1939)</f>
        <v/>
      </c>
      <c r="AD1936" t="str">
        <f>IF([2]Baskol!$O$1939="","",[2]Baskol!$O$1939)</f>
        <v/>
      </c>
      <c r="AE1936" t="str">
        <f>IF([3]Entry!$C$1939="","",[3]Entry!$C$1939)</f>
        <v/>
      </c>
      <c r="AF1936" t="str">
        <f>IF([3]Entry!$D$1939="","",[3]Entry!$D$1939)</f>
        <v/>
      </c>
      <c r="AG1936" t="str">
        <f>IF([3]Entry!$E$1939="","",[3]Entry!$E$1939)</f>
        <v/>
      </c>
      <c r="AH1936" t="str">
        <f>IF([3]Entry!$G$1939="","",[3]Entry!$G$1939)</f>
        <v/>
      </c>
      <c r="AI1936" t="str">
        <f>IF([3]Entry!$K$1939="","",[3]Entry!$K$1939)</f>
        <v/>
      </c>
      <c r="AJ1936" t="str">
        <f>IF([3]Entry!$L$1939="","",[3]Entry!$L$1939)</f>
        <v/>
      </c>
      <c r="AK1936" t="str">
        <f>IF([3]Entry!$M$1939="","",[3]Entry!$M$1939)</f>
        <v/>
      </c>
      <c r="AL1936" t="str">
        <f>IF([3]Entry!$N$1939="","",[3]Entry!$N$1939)</f>
        <v/>
      </c>
      <c r="AM1936" t="str">
        <f>IF([3]Entry!$R$1939="","",[3]Entry!$R$1939)</f>
        <v/>
      </c>
    </row>
    <row r="1937" spans="20:39" x14ac:dyDescent="0.2">
      <c r="T1937" t="str">
        <f>IF([2]Baskol!$B$1940="","",[2]Baskol!$B$1940)</f>
        <v/>
      </c>
      <c r="U1937" t="str">
        <f>IF([2]Baskol!$C$1940="","",[2]Baskol!$C$1940)</f>
        <v/>
      </c>
      <c r="V1937" t="str">
        <f>IF([2]Baskol!$D$1940="","",[2]Baskol!$D$1940)</f>
        <v/>
      </c>
      <c r="W1937" t="str">
        <f>IF([2]Baskol!$E$1940="","",[2]Baskol!$E$1940)</f>
        <v/>
      </c>
      <c r="X1937" t="str">
        <f>IF([2]Baskol!$G$1940="","",[2]Baskol!$G$1940)</f>
        <v/>
      </c>
      <c r="Y1937" t="str">
        <f>IF([2]Baskol!$I$1940="","",[2]Baskol!$I$1940)</f>
        <v/>
      </c>
      <c r="Z1937" t="str">
        <f>IF([2]Baskol!$J$1940="","",[2]Baskol!$J$1940)</f>
        <v/>
      </c>
      <c r="AA1937" t="str">
        <f>IF([2]Baskol!$K$1940="","",[2]Baskol!$K$1940)</f>
        <v/>
      </c>
      <c r="AB1937" t="str">
        <f>IF([2]Baskol!$L$1940="","",[2]Baskol!$L$1940)</f>
        <v/>
      </c>
      <c r="AC1937" t="str">
        <f>IF([2]Baskol!$N$1940="","",[2]Baskol!$N$1940)</f>
        <v/>
      </c>
      <c r="AD1937" t="str">
        <f>IF([2]Baskol!$O$1940="","",[2]Baskol!$O$1940)</f>
        <v/>
      </c>
      <c r="AE1937" t="str">
        <f>IF([3]Entry!$C$1940="","",[3]Entry!$C$1940)</f>
        <v/>
      </c>
      <c r="AF1937" t="str">
        <f>IF([3]Entry!$D$1940="","",[3]Entry!$D$1940)</f>
        <v/>
      </c>
      <c r="AG1937" t="str">
        <f>IF([3]Entry!$E$1940="","",[3]Entry!$E$1940)</f>
        <v/>
      </c>
      <c r="AH1937" t="str">
        <f>IF([3]Entry!$G$1940="","",[3]Entry!$G$1940)</f>
        <v/>
      </c>
      <c r="AI1937" t="str">
        <f>IF([3]Entry!$K$1940="","",[3]Entry!$K$1940)</f>
        <v/>
      </c>
      <c r="AJ1937" t="str">
        <f>IF([3]Entry!$L$1940="","",[3]Entry!$L$1940)</f>
        <v/>
      </c>
      <c r="AK1937" t="str">
        <f>IF([3]Entry!$M$1940="","",[3]Entry!$M$1940)</f>
        <v/>
      </c>
      <c r="AL1937" t="str">
        <f>IF([3]Entry!$N$1940="","",[3]Entry!$N$1940)</f>
        <v/>
      </c>
      <c r="AM1937" t="str">
        <f>IF([3]Entry!$R$1940="","",[3]Entry!$R$1940)</f>
        <v/>
      </c>
    </row>
    <row r="1938" spans="20:39" x14ac:dyDescent="0.2">
      <c r="T1938" t="str">
        <f>IF([2]Baskol!$B$1941="","",[2]Baskol!$B$1941)</f>
        <v/>
      </c>
      <c r="U1938" t="str">
        <f>IF([2]Baskol!$C$1941="","",[2]Baskol!$C$1941)</f>
        <v/>
      </c>
      <c r="V1938" t="str">
        <f>IF([2]Baskol!$D$1941="","",[2]Baskol!$D$1941)</f>
        <v/>
      </c>
      <c r="W1938" t="str">
        <f>IF([2]Baskol!$E$1941="","",[2]Baskol!$E$1941)</f>
        <v/>
      </c>
      <c r="X1938" t="str">
        <f>IF([2]Baskol!$G$1941="","",[2]Baskol!$G$1941)</f>
        <v/>
      </c>
      <c r="Y1938" t="str">
        <f>IF([2]Baskol!$I$1941="","",[2]Baskol!$I$1941)</f>
        <v/>
      </c>
      <c r="Z1938" t="str">
        <f>IF([2]Baskol!$J$1941="","",[2]Baskol!$J$1941)</f>
        <v/>
      </c>
      <c r="AA1938" t="str">
        <f>IF([2]Baskol!$K$1941="","",[2]Baskol!$K$1941)</f>
        <v/>
      </c>
      <c r="AB1938" t="str">
        <f>IF([2]Baskol!$L$1941="","",[2]Baskol!$L$1941)</f>
        <v/>
      </c>
      <c r="AC1938" t="str">
        <f>IF([2]Baskol!$N$1941="","",[2]Baskol!$N$1941)</f>
        <v/>
      </c>
      <c r="AD1938" t="str">
        <f>IF([2]Baskol!$O$1941="","",[2]Baskol!$O$1941)</f>
        <v/>
      </c>
      <c r="AE1938" t="str">
        <f>IF([3]Entry!$C$1941="","",[3]Entry!$C$1941)</f>
        <v/>
      </c>
      <c r="AF1938" t="str">
        <f>IF([3]Entry!$D$1941="","",[3]Entry!$D$1941)</f>
        <v/>
      </c>
      <c r="AG1938" t="str">
        <f>IF([3]Entry!$E$1941="","",[3]Entry!$E$1941)</f>
        <v/>
      </c>
      <c r="AH1938" t="str">
        <f>IF([3]Entry!$G$1941="","",[3]Entry!$G$1941)</f>
        <v/>
      </c>
      <c r="AI1938" t="str">
        <f>IF([3]Entry!$K$1941="","",[3]Entry!$K$1941)</f>
        <v/>
      </c>
      <c r="AJ1938" t="str">
        <f>IF([3]Entry!$L$1941="","",[3]Entry!$L$1941)</f>
        <v/>
      </c>
      <c r="AK1938" t="str">
        <f>IF([3]Entry!$M$1941="","",[3]Entry!$M$1941)</f>
        <v/>
      </c>
      <c r="AL1938" t="str">
        <f>IF([3]Entry!$N$1941="","",[3]Entry!$N$1941)</f>
        <v/>
      </c>
      <c r="AM1938" t="str">
        <f>IF([3]Entry!$R$1941="","",[3]Entry!$R$1941)</f>
        <v/>
      </c>
    </row>
    <row r="1939" spans="20:39" x14ac:dyDescent="0.2">
      <c r="T1939" t="str">
        <f>IF([2]Baskol!$B$1942="","",[2]Baskol!$B$1942)</f>
        <v/>
      </c>
      <c r="U1939" t="str">
        <f>IF([2]Baskol!$C$1942="","",[2]Baskol!$C$1942)</f>
        <v/>
      </c>
      <c r="V1939" t="str">
        <f>IF([2]Baskol!$D$1942="","",[2]Baskol!$D$1942)</f>
        <v/>
      </c>
      <c r="W1939" t="str">
        <f>IF([2]Baskol!$E$1942="","",[2]Baskol!$E$1942)</f>
        <v/>
      </c>
      <c r="X1939" t="str">
        <f>IF([2]Baskol!$G$1942="","",[2]Baskol!$G$1942)</f>
        <v/>
      </c>
      <c r="Y1939" t="str">
        <f>IF([2]Baskol!$I$1942="","",[2]Baskol!$I$1942)</f>
        <v/>
      </c>
      <c r="Z1939" t="str">
        <f>IF([2]Baskol!$J$1942="","",[2]Baskol!$J$1942)</f>
        <v/>
      </c>
      <c r="AA1939" t="str">
        <f>IF([2]Baskol!$K$1942="","",[2]Baskol!$K$1942)</f>
        <v/>
      </c>
      <c r="AB1939" t="str">
        <f>IF([2]Baskol!$L$1942="","",[2]Baskol!$L$1942)</f>
        <v/>
      </c>
      <c r="AC1939" t="str">
        <f>IF([2]Baskol!$N$1942="","",[2]Baskol!$N$1942)</f>
        <v/>
      </c>
      <c r="AD1939" t="str">
        <f>IF([2]Baskol!$O$1942="","",[2]Baskol!$O$1942)</f>
        <v/>
      </c>
      <c r="AE1939" t="str">
        <f>IF([3]Entry!$C$1942="","",[3]Entry!$C$1942)</f>
        <v/>
      </c>
      <c r="AF1939" t="str">
        <f>IF([3]Entry!$D$1942="","",[3]Entry!$D$1942)</f>
        <v/>
      </c>
      <c r="AG1939" t="str">
        <f>IF([3]Entry!$E$1942="","",[3]Entry!$E$1942)</f>
        <v/>
      </c>
      <c r="AH1939" t="str">
        <f>IF([3]Entry!$G$1942="","",[3]Entry!$G$1942)</f>
        <v/>
      </c>
      <c r="AI1939" t="str">
        <f>IF([3]Entry!$K$1942="","",[3]Entry!$K$1942)</f>
        <v/>
      </c>
      <c r="AJ1939" t="str">
        <f>IF([3]Entry!$L$1942="","",[3]Entry!$L$1942)</f>
        <v/>
      </c>
      <c r="AK1939" t="str">
        <f>IF([3]Entry!$M$1942="","",[3]Entry!$M$1942)</f>
        <v/>
      </c>
      <c r="AL1939" t="str">
        <f>IF([3]Entry!$N$1942="","",[3]Entry!$N$1942)</f>
        <v/>
      </c>
      <c r="AM1939" t="str">
        <f>IF([3]Entry!$R$1942="","",[3]Entry!$R$1942)</f>
        <v/>
      </c>
    </row>
    <row r="1940" spans="20:39" x14ac:dyDescent="0.2">
      <c r="T1940" t="str">
        <f>IF([2]Baskol!$B$1943="","",[2]Baskol!$B$1943)</f>
        <v/>
      </c>
      <c r="U1940" t="str">
        <f>IF([2]Baskol!$C$1943="","",[2]Baskol!$C$1943)</f>
        <v/>
      </c>
      <c r="V1940" t="str">
        <f>IF([2]Baskol!$D$1943="","",[2]Baskol!$D$1943)</f>
        <v/>
      </c>
      <c r="W1940" t="str">
        <f>IF([2]Baskol!$E$1943="","",[2]Baskol!$E$1943)</f>
        <v/>
      </c>
      <c r="X1940" t="str">
        <f>IF([2]Baskol!$G$1943="","",[2]Baskol!$G$1943)</f>
        <v/>
      </c>
      <c r="Y1940" t="str">
        <f>IF([2]Baskol!$I$1943="","",[2]Baskol!$I$1943)</f>
        <v/>
      </c>
      <c r="Z1940" t="str">
        <f>IF([2]Baskol!$J$1943="","",[2]Baskol!$J$1943)</f>
        <v/>
      </c>
      <c r="AA1940" t="str">
        <f>IF([2]Baskol!$K$1943="","",[2]Baskol!$K$1943)</f>
        <v/>
      </c>
      <c r="AB1940" t="str">
        <f>IF([2]Baskol!$L$1943="","",[2]Baskol!$L$1943)</f>
        <v/>
      </c>
      <c r="AC1940" t="str">
        <f>IF([2]Baskol!$N$1943="","",[2]Baskol!$N$1943)</f>
        <v/>
      </c>
      <c r="AD1940" t="str">
        <f>IF([2]Baskol!$O$1943="","",[2]Baskol!$O$1943)</f>
        <v/>
      </c>
      <c r="AE1940" t="str">
        <f>IF([3]Entry!$C$1943="","",[3]Entry!$C$1943)</f>
        <v/>
      </c>
      <c r="AF1940" t="str">
        <f>IF([3]Entry!$D$1943="","",[3]Entry!$D$1943)</f>
        <v/>
      </c>
      <c r="AG1940" t="str">
        <f>IF([3]Entry!$E$1943="","",[3]Entry!$E$1943)</f>
        <v/>
      </c>
      <c r="AH1940" t="str">
        <f>IF([3]Entry!$G$1943="","",[3]Entry!$G$1943)</f>
        <v/>
      </c>
      <c r="AI1940" t="str">
        <f>IF([3]Entry!$K$1943="","",[3]Entry!$K$1943)</f>
        <v/>
      </c>
      <c r="AJ1940" t="str">
        <f>IF([3]Entry!$L$1943="","",[3]Entry!$L$1943)</f>
        <v/>
      </c>
      <c r="AK1940" t="str">
        <f>IF([3]Entry!$M$1943="","",[3]Entry!$M$1943)</f>
        <v/>
      </c>
      <c r="AL1940" t="str">
        <f>IF([3]Entry!$N$1943="","",[3]Entry!$N$1943)</f>
        <v/>
      </c>
      <c r="AM1940" t="str">
        <f>IF([3]Entry!$R$1943="","",[3]Entry!$R$1943)</f>
        <v/>
      </c>
    </row>
    <row r="1941" spans="20:39" x14ac:dyDescent="0.2">
      <c r="T1941" t="str">
        <f>IF([2]Baskol!$B$1944="","",[2]Baskol!$B$1944)</f>
        <v/>
      </c>
      <c r="U1941" t="str">
        <f>IF([2]Baskol!$C$1944="","",[2]Baskol!$C$1944)</f>
        <v/>
      </c>
      <c r="V1941" t="str">
        <f>IF([2]Baskol!$D$1944="","",[2]Baskol!$D$1944)</f>
        <v/>
      </c>
      <c r="W1941" t="str">
        <f>IF([2]Baskol!$E$1944="","",[2]Baskol!$E$1944)</f>
        <v/>
      </c>
      <c r="X1941" t="str">
        <f>IF([2]Baskol!$G$1944="","",[2]Baskol!$G$1944)</f>
        <v/>
      </c>
      <c r="Y1941" t="str">
        <f>IF([2]Baskol!$I$1944="","",[2]Baskol!$I$1944)</f>
        <v/>
      </c>
      <c r="Z1941" t="str">
        <f>IF([2]Baskol!$J$1944="","",[2]Baskol!$J$1944)</f>
        <v/>
      </c>
      <c r="AA1941" t="str">
        <f>IF([2]Baskol!$K$1944="","",[2]Baskol!$K$1944)</f>
        <v/>
      </c>
      <c r="AB1941" t="str">
        <f>IF([2]Baskol!$L$1944="","",[2]Baskol!$L$1944)</f>
        <v/>
      </c>
      <c r="AC1941" t="str">
        <f>IF([2]Baskol!$N$1944="","",[2]Baskol!$N$1944)</f>
        <v/>
      </c>
      <c r="AD1941" t="str">
        <f>IF([2]Baskol!$O$1944="","",[2]Baskol!$O$1944)</f>
        <v/>
      </c>
      <c r="AE1941" t="str">
        <f>IF([3]Entry!$C$1944="","",[3]Entry!$C$1944)</f>
        <v/>
      </c>
      <c r="AF1941" t="str">
        <f>IF([3]Entry!$D$1944="","",[3]Entry!$D$1944)</f>
        <v/>
      </c>
      <c r="AG1941" t="str">
        <f>IF([3]Entry!$E$1944="","",[3]Entry!$E$1944)</f>
        <v/>
      </c>
      <c r="AH1941" t="str">
        <f>IF([3]Entry!$G$1944="","",[3]Entry!$G$1944)</f>
        <v/>
      </c>
      <c r="AI1941" t="str">
        <f>IF([3]Entry!$K$1944="","",[3]Entry!$K$1944)</f>
        <v/>
      </c>
      <c r="AJ1941" t="str">
        <f>IF([3]Entry!$L$1944="","",[3]Entry!$L$1944)</f>
        <v/>
      </c>
      <c r="AK1941" t="str">
        <f>IF([3]Entry!$M$1944="","",[3]Entry!$M$1944)</f>
        <v/>
      </c>
      <c r="AL1941" t="str">
        <f>IF([3]Entry!$N$1944="","",[3]Entry!$N$1944)</f>
        <v/>
      </c>
      <c r="AM1941" t="str">
        <f>IF([3]Entry!$R$1944="","",[3]Entry!$R$1944)</f>
        <v/>
      </c>
    </row>
    <row r="1942" spans="20:39" x14ac:dyDescent="0.2">
      <c r="T1942" t="str">
        <f>IF([2]Baskol!$B$1945="","",[2]Baskol!$B$1945)</f>
        <v/>
      </c>
      <c r="U1942" t="str">
        <f>IF([2]Baskol!$C$1945="","",[2]Baskol!$C$1945)</f>
        <v/>
      </c>
      <c r="V1942" t="str">
        <f>IF([2]Baskol!$D$1945="","",[2]Baskol!$D$1945)</f>
        <v/>
      </c>
      <c r="W1942" t="str">
        <f>IF([2]Baskol!$E$1945="","",[2]Baskol!$E$1945)</f>
        <v/>
      </c>
      <c r="X1942" t="str">
        <f>IF([2]Baskol!$G$1945="","",[2]Baskol!$G$1945)</f>
        <v/>
      </c>
      <c r="Y1942" t="str">
        <f>IF([2]Baskol!$I$1945="","",[2]Baskol!$I$1945)</f>
        <v/>
      </c>
      <c r="Z1942" t="str">
        <f>IF([2]Baskol!$J$1945="","",[2]Baskol!$J$1945)</f>
        <v/>
      </c>
      <c r="AA1942" t="str">
        <f>IF([2]Baskol!$K$1945="","",[2]Baskol!$K$1945)</f>
        <v/>
      </c>
      <c r="AB1942" t="str">
        <f>IF([2]Baskol!$L$1945="","",[2]Baskol!$L$1945)</f>
        <v/>
      </c>
      <c r="AC1942" t="str">
        <f>IF([2]Baskol!$N$1945="","",[2]Baskol!$N$1945)</f>
        <v/>
      </c>
      <c r="AD1942" t="str">
        <f>IF([2]Baskol!$O$1945="","",[2]Baskol!$O$1945)</f>
        <v/>
      </c>
      <c r="AE1942" t="str">
        <f>IF([3]Entry!$C$1945="","",[3]Entry!$C$1945)</f>
        <v/>
      </c>
      <c r="AF1942" t="str">
        <f>IF([3]Entry!$D$1945="","",[3]Entry!$D$1945)</f>
        <v/>
      </c>
      <c r="AG1942" t="str">
        <f>IF([3]Entry!$E$1945="","",[3]Entry!$E$1945)</f>
        <v/>
      </c>
      <c r="AH1942" t="str">
        <f>IF([3]Entry!$G$1945="","",[3]Entry!$G$1945)</f>
        <v/>
      </c>
      <c r="AI1942" t="str">
        <f>IF([3]Entry!$K$1945="","",[3]Entry!$K$1945)</f>
        <v/>
      </c>
      <c r="AJ1942" t="str">
        <f>IF([3]Entry!$L$1945="","",[3]Entry!$L$1945)</f>
        <v/>
      </c>
      <c r="AK1942" t="str">
        <f>IF([3]Entry!$M$1945="","",[3]Entry!$M$1945)</f>
        <v/>
      </c>
      <c r="AL1942" t="str">
        <f>IF([3]Entry!$N$1945="","",[3]Entry!$N$1945)</f>
        <v/>
      </c>
      <c r="AM1942" t="str">
        <f>IF([3]Entry!$R$1945="","",[3]Entry!$R$1945)</f>
        <v/>
      </c>
    </row>
    <row r="1943" spans="20:39" x14ac:dyDescent="0.2">
      <c r="T1943" t="str">
        <f>IF([2]Baskol!$B$1946="","",[2]Baskol!$B$1946)</f>
        <v/>
      </c>
      <c r="U1943" t="str">
        <f>IF([2]Baskol!$C$1946="","",[2]Baskol!$C$1946)</f>
        <v/>
      </c>
      <c r="V1943" t="str">
        <f>IF([2]Baskol!$D$1946="","",[2]Baskol!$D$1946)</f>
        <v/>
      </c>
      <c r="W1943" t="str">
        <f>IF([2]Baskol!$E$1946="","",[2]Baskol!$E$1946)</f>
        <v/>
      </c>
      <c r="X1943" t="str">
        <f>IF([2]Baskol!$G$1946="","",[2]Baskol!$G$1946)</f>
        <v/>
      </c>
      <c r="Y1943" t="str">
        <f>IF([2]Baskol!$I$1946="","",[2]Baskol!$I$1946)</f>
        <v/>
      </c>
      <c r="Z1943" t="str">
        <f>IF([2]Baskol!$J$1946="","",[2]Baskol!$J$1946)</f>
        <v/>
      </c>
      <c r="AA1943" t="str">
        <f>IF([2]Baskol!$K$1946="","",[2]Baskol!$K$1946)</f>
        <v/>
      </c>
      <c r="AB1943" t="str">
        <f>IF([2]Baskol!$L$1946="","",[2]Baskol!$L$1946)</f>
        <v/>
      </c>
      <c r="AC1943" t="str">
        <f>IF([2]Baskol!$N$1946="","",[2]Baskol!$N$1946)</f>
        <v/>
      </c>
      <c r="AD1943" t="str">
        <f>IF([2]Baskol!$O$1946="","",[2]Baskol!$O$1946)</f>
        <v/>
      </c>
      <c r="AE1943" t="str">
        <f>IF([3]Entry!$C$1946="","",[3]Entry!$C$1946)</f>
        <v/>
      </c>
      <c r="AF1943" t="str">
        <f>IF([3]Entry!$D$1946="","",[3]Entry!$D$1946)</f>
        <v/>
      </c>
      <c r="AG1943" t="str">
        <f>IF([3]Entry!$E$1946="","",[3]Entry!$E$1946)</f>
        <v/>
      </c>
      <c r="AH1943" t="str">
        <f>IF([3]Entry!$G$1946="","",[3]Entry!$G$1946)</f>
        <v/>
      </c>
      <c r="AI1943" t="str">
        <f>IF([3]Entry!$K$1946="","",[3]Entry!$K$1946)</f>
        <v/>
      </c>
      <c r="AJ1943" t="str">
        <f>IF([3]Entry!$L$1946="","",[3]Entry!$L$1946)</f>
        <v/>
      </c>
      <c r="AK1943" t="str">
        <f>IF([3]Entry!$M$1946="","",[3]Entry!$M$1946)</f>
        <v/>
      </c>
      <c r="AL1943" t="str">
        <f>IF([3]Entry!$N$1946="","",[3]Entry!$N$1946)</f>
        <v/>
      </c>
      <c r="AM1943" t="str">
        <f>IF([3]Entry!$R$1946="","",[3]Entry!$R$1946)</f>
        <v/>
      </c>
    </row>
    <row r="1944" spans="20:39" x14ac:dyDescent="0.2">
      <c r="T1944" t="str">
        <f>IF([2]Baskol!$B$1947="","",[2]Baskol!$B$1947)</f>
        <v/>
      </c>
      <c r="U1944" t="str">
        <f>IF([2]Baskol!$C$1947="","",[2]Baskol!$C$1947)</f>
        <v/>
      </c>
      <c r="V1944" t="str">
        <f>IF([2]Baskol!$D$1947="","",[2]Baskol!$D$1947)</f>
        <v/>
      </c>
      <c r="W1944" t="str">
        <f>IF([2]Baskol!$E$1947="","",[2]Baskol!$E$1947)</f>
        <v/>
      </c>
      <c r="X1944" t="str">
        <f>IF([2]Baskol!$G$1947="","",[2]Baskol!$G$1947)</f>
        <v/>
      </c>
      <c r="Y1944" t="str">
        <f>IF([2]Baskol!$I$1947="","",[2]Baskol!$I$1947)</f>
        <v/>
      </c>
      <c r="Z1944" t="str">
        <f>IF([2]Baskol!$J$1947="","",[2]Baskol!$J$1947)</f>
        <v/>
      </c>
      <c r="AA1944" t="str">
        <f>IF([2]Baskol!$K$1947="","",[2]Baskol!$K$1947)</f>
        <v/>
      </c>
      <c r="AB1944" t="str">
        <f>IF([2]Baskol!$L$1947="","",[2]Baskol!$L$1947)</f>
        <v/>
      </c>
      <c r="AC1944" t="str">
        <f>IF([2]Baskol!$N$1947="","",[2]Baskol!$N$1947)</f>
        <v/>
      </c>
      <c r="AD1944" t="str">
        <f>IF([2]Baskol!$O$1947="","",[2]Baskol!$O$1947)</f>
        <v/>
      </c>
      <c r="AE1944" t="str">
        <f>IF([3]Entry!$C$1947="","",[3]Entry!$C$1947)</f>
        <v/>
      </c>
      <c r="AF1944" t="str">
        <f>IF([3]Entry!$D$1947="","",[3]Entry!$D$1947)</f>
        <v/>
      </c>
      <c r="AG1944" t="str">
        <f>IF([3]Entry!$E$1947="","",[3]Entry!$E$1947)</f>
        <v/>
      </c>
      <c r="AH1944" t="str">
        <f>IF([3]Entry!$G$1947="","",[3]Entry!$G$1947)</f>
        <v/>
      </c>
      <c r="AI1944" t="str">
        <f>IF([3]Entry!$K$1947="","",[3]Entry!$K$1947)</f>
        <v/>
      </c>
      <c r="AJ1944" t="str">
        <f>IF([3]Entry!$L$1947="","",[3]Entry!$L$1947)</f>
        <v/>
      </c>
      <c r="AK1944" t="str">
        <f>IF([3]Entry!$M$1947="","",[3]Entry!$M$1947)</f>
        <v/>
      </c>
      <c r="AL1944" t="str">
        <f>IF([3]Entry!$N$1947="","",[3]Entry!$N$1947)</f>
        <v/>
      </c>
      <c r="AM1944" t="str">
        <f>IF([3]Entry!$R$1947="","",[3]Entry!$R$1947)</f>
        <v/>
      </c>
    </row>
    <row r="1945" spans="20:39" x14ac:dyDescent="0.2">
      <c r="T1945" t="str">
        <f>IF([2]Baskol!$B$1948="","",[2]Baskol!$B$1948)</f>
        <v/>
      </c>
      <c r="U1945" t="str">
        <f>IF([2]Baskol!$C$1948="","",[2]Baskol!$C$1948)</f>
        <v/>
      </c>
      <c r="V1945" t="str">
        <f>IF([2]Baskol!$D$1948="","",[2]Baskol!$D$1948)</f>
        <v/>
      </c>
      <c r="W1945" t="str">
        <f>IF([2]Baskol!$E$1948="","",[2]Baskol!$E$1948)</f>
        <v/>
      </c>
      <c r="X1945" t="str">
        <f>IF([2]Baskol!$G$1948="","",[2]Baskol!$G$1948)</f>
        <v/>
      </c>
      <c r="Y1945" t="str">
        <f>IF([2]Baskol!$I$1948="","",[2]Baskol!$I$1948)</f>
        <v/>
      </c>
      <c r="Z1945" t="str">
        <f>IF([2]Baskol!$J$1948="","",[2]Baskol!$J$1948)</f>
        <v/>
      </c>
      <c r="AA1945" t="str">
        <f>IF([2]Baskol!$K$1948="","",[2]Baskol!$K$1948)</f>
        <v/>
      </c>
      <c r="AB1945" t="str">
        <f>IF([2]Baskol!$L$1948="","",[2]Baskol!$L$1948)</f>
        <v/>
      </c>
      <c r="AC1945" t="str">
        <f>IF([2]Baskol!$N$1948="","",[2]Baskol!$N$1948)</f>
        <v/>
      </c>
      <c r="AD1945" t="str">
        <f>IF([2]Baskol!$O$1948="","",[2]Baskol!$O$1948)</f>
        <v/>
      </c>
      <c r="AE1945" t="str">
        <f>IF([3]Entry!$C$1948="","",[3]Entry!$C$1948)</f>
        <v/>
      </c>
      <c r="AF1945" t="str">
        <f>IF([3]Entry!$D$1948="","",[3]Entry!$D$1948)</f>
        <v/>
      </c>
      <c r="AG1945" t="str">
        <f>IF([3]Entry!$E$1948="","",[3]Entry!$E$1948)</f>
        <v/>
      </c>
      <c r="AH1945" t="str">
        <f>IF([3]Entry!$G$1948="","",[3]Entry!$G$1948)</f>
        <v/>
      </c>
      <c r="AI1945" t="str">
        <f>IF([3]Entry!$K$1948="","",[3]Entry!$K$1948)</f>
        <v/>
      </c>
      <c r="AJ1945" t="str">
        <f>IF([3]Entry!$L$1948="","",[3]Entry!$L$1948)</f>
        <v/>
      </c>
      <c r="AK1945" t="str">
        <f>IF([3]Entry!$M$1948="","",[3]Entry!$M$1948)</f>
        <v/>
      </c>
      <c r="AL1945" t="str">
        <f>IF([3]Entry!$N$1948="","",[3]Entry!$N$1948)</f>
        <v/>
      </c>
      <c r="AM1945" t="str">
        <f>IF([3]Entry!$R$1948="","",[3]Entry!$R$1948)</f>
        <v/>
      </c>
    </row>
    <row r="1946" spans="20:39" x14ac:dyDescent="0.2">
      <c r="T1946" t="str">
        <f>IF([2]Baskol!$B$1949="","",[2]Baskol!$B$1949)</f>
        <v/>
      </c>
      <c r="U1946" t="str">
        <f>IF([2]Baskol!$C$1949="","",[2]Baskol!$C$1949)</f>
        <v/>
      </c>
      <c r="V1946" t="str">
        <f>IF([2]Baskol!$D$1949="","",[2]Baskol!$D$1949)</f>
        <v/>
      </c>
      <c r="W1946" t="str">
        <f>IF([2]Baskol!$E$1949="","",[2]Baskol!$E$1949)</f>
        <v/>
      </c>
      <c r="X1946" t="str">
        <f>IF([2]Baskol!$G$1949="","",[2]Baskol!$G$1949)</f>
        <v/>
      </c>
      <c r="Y1946" t="str">
        <f>IF([2]Baskol!$I$1949="","",[2]Baskol!$I$1949)</f>
        <v/>
      </c>
      <c r="Z1946" t="str">
        <f>IF([2]Baskol!$J$1949="","",[2]Baskol!$J$1949)</f>
        <v/>
      </c>
      <c r="AA1946" t="str">
        <f>IF([2]Baskol!$K$1949="","",[2]Baskol!$K$1949)</f>
        <v/>
      </c>
      <c r="AB1946" t="str">
        <f>IF([2]Baskol!$L$1949="","",[2]Baskol!$L$1949)</f>
        <v/>
      </c>
      <c r="AC1946" t="str">
        <f>IF([2]Baskol!$N$1949="","",[2]Baskol!$N$1949)</f>
        <v/>
      </c>
      <c r="AD1946" t="str">
        <f>IF([2]Baskol!$O$1949="","",[2]Baskol!$O$1949)</f>
        <v/>
      </c>
      <c r="AE1946" t="str">
        <f>IF([3]Entry!$C$1949="","",[3]Entry!$C$1949)</f>
        <v/>
      </c>
      <c r="AF1946" t="str">
        <f>IF([3]Entry!$D$1949="","",[3]Entry!$D$1949)</f>
        <v/>
      </c>
      <c r="AG1946" t="str">
        <f>IF([3]Entry!$E$1949="","",[3]Entry!$E$1949)</f>
        <v/>
      </c>
      <c r="AH1946" t="str">
        <f>IF([3]Entry!$G$1949="","",[3]Entry!$G$1949)</f>
        <v/>
      </c>
      <c r="AI1946" t="str">
        <f>IF([3]Entry!$K$1949="","",[3]Entry!$K$1949)</f>
        <v/>
      </c>
      <c r="AJ1946" t="str">
        <f>IF([3]Entry!$L$1949="","",[3]Entry!$L$1949)</f>
        <v/>
      </c>
      <c r="AK1946" t="str">
        <f>IF([3]Entry!$M$1949="","",[3]Entry!$M$1949)</f>
        <v/>
      </c>
      <c r="AL1946" t="str">
        <f>IF([3]Entry!$N$1949="","",[3]Entry!$N$1949)</f>
        <v/>
      </c>
      <c r="AM1946" t="str">
        <f>IF([3]Entry!$R$1949="","",[3]Entry!$R$1949)</f>
        <v/>
      </c>
    </row>
    <row r="1947" spans="20:39" x14ac:dyDescent="0.2">
      <c r="T1947" t="str">
        <f>IF([2]Baskol!$B$1950="","",[2]Baskol!$B$1950)</f>
        <v/>
      </c>
      <c r="U1947" t="str">
        <f>IF([2]Baskol!$C$1950="","",[2]Baskol!$C$1950)</f>
        <v/>
      </c>
      <c r="V1947" t="str">
        <f>IF([2]Baskol!$D$1950="","",[2]Baskol!$D$1950)</f>
        <v/>
      </c>
      <c r="W1947" t="str">
        <f>IF([2]Baskol!$E$1950="","",[2]Baskol!$E$1950)</f>
        <v/>
      </c>
      <c r="X1947" t="str">
        <f>IF([2]Baskol!$G$1950="","",[2]Baskol!$G$1950)</f>
        <v/>
      </c>
      <c r="Y1947" t="str">
        <f>IF([2]Baskol!$I$1950="","",[2]Baskol!$I$1950)</f>
        <v/>
      </c>
      <c r="Z1947" t="str">
        <f>IF([2]Baskol!$J$1950="","",[2]Baskol!$J$1950)</f>
        <v/>
      </c>
      <c r="AA1947" t="str">
        <f>IF([2]Baskol!$K$1950="","",[2]Baskol!$K$1950)</f>
        <v/>
      </c>
      <c r="AB1947" t="str">
        <f>IF([2]Baskol!$L$1950="","",[2]Baskol!$L$1950)</f>
        <v/>
      </c>
      <c r="AC1947" t="str">
        <f>IF([2]Baskol!$N$1950="","",[2]Baskol!$N$1950)</f>
        <v/>
      </c>
      <c r="AD1947" t="str">
        <f>IF([2]Baskol!$O$1950="","",[2]Baskol!$O$1950)</f>
        <v/>
      </c>
      <c r="AE1947" t="str">
        <f>IF([3]Entry!$C$1950="","",[3]Entry!$C$1950)</f>
        <v/>
      </c>
      <c r="AF1947" t="str">
        <f>IF([3]Entry!$D$1950="","",[3]Entry!$D$1950)</f>
        <v/>
      </c>
      <c r="AG1947" t="str">
        <f>IF([3]Entry!$E$1950="","",[3]Entry!$E$1950)</f>
        <v/>
      </c>
      <c r="AH1947" t="str">
        <f>IF([3]Entry!$G$1950="","",[3]Entry!$G$1950)</f>
        <v/>
      </c>
      <c r="AI1947" t="str">
        <f>IF([3]Entry!$K$1950="","",[3]Entry!$K$1950)</f>
        <v/>
      </c>
      <c r="AJ1947" t="str">
        <f>IF([3]Entry!$L$1950="","",[3]Entry!$L$1950)</f>
        <v/>
      </c>
      <c r="AK1947" t="str">
        <f>IF([3]Entry!$M$1950="","",[3]Entry!$M$1950)</f>
        <v/>
      </c>
      <c r="AL1947" t="str">
        <f>IF([3]Entry!$N$1950="","",[3]Entry!$N$1950)</f>
        <v/>
      </c>
      <c r="AM1947" t="str">
        <f>IF([3]Entry!$R$1950="","",[3]Entry!$R$1950)</f>
        <v/>
      </c>
    </row>
    <row r="1948" spans="20:39" x14ac:dyDescent="0.2">
      <c r="T1948" t="str">
        <f>IF([2]Baskol!$B$1951="","",[2]Baskol!$B$1951)</f>
        <v/>
      </c>
      <c r="U1948" t="str">
        <f>IF([2]Baskol!$C$1951="","",[2]Baskol!$C$1951)</f>
        <v/>
      </c>
      <c r="V1948" t="str">
        <f>IF([2]Baskol!$D$1951="","",[2]Baskol!$D$1951)</f>
        <v/>
      </c>
      <c r="W1948" t="str">
        <f>IF([2]Baskol!$E$1951="","",[2]Baskol!$E$1951)</f>
        <v/>
      </c>
      <c r="X1948" t="str">
        <f>IF([2]Baskol!$G$1951="","",[2]Baskol!$G$1951)</f>
        <v/>
      </c>
      <c r="Y1948" t="str">
        <f>IF([2]Baskol!$I$1951="","",[2]Baskol!$I$1951)</f>
        <v/>
      </c>
      <c r="Z1948" t="str">
        <f>IF([2]Baskol!$J$1951="","",[2]Baskol!$J$1951)</f>
        <v/>
      </c>
      <c r="AA1948" t="str">
        <f>IF([2]Baskol!$K$1951="","",[2]Baskol!$K$1951)</f>
        <v/>
      </c>
      <c r="AB1948" t="str">
        <f>IF([2]Baskol!$L$1951="","",[2]Baskol!$L$1951)</f>
        <v/>
      </c>
      <c r="AC1948" t="str">
        <f>IF([2]Baskol!$N$1951="","",[2]Baskol!$N$1951)</f>
        <v/>
      </c>
      <c r="AD1948" t="str">
        <f>IF([2]Baskol!$O$1951="","",[2]Baskol!$O$1951)</f>
        <v/>
      </c>
      <c r="AE1948" t="str">
        <f>IF([3]Entry!$C$1951="","",[3]Entry!$C$1951)</f>
        <v/>
      </c>
      <c r="AF1948" t="str">
        <f>IF([3]Entry!$D$1951="","",[3]Entry!$D$1951)</f>
        <v/>
      </c>
      <c r="AG1948" t="str">
        <f>IF([3]Entry!$E$1951="","",[3]Entry!$E$1951)</f>
        <v/>
      </c>
      <c r="AH1948" t="str">
        <f>IF([3]Entry!$G$1951="","",[3]Entry!$G$1951)</f>
        <v/>
      </c>
      <c r="AI1948" t="str">
        <f>IF([3]Entry!$K$1951="","",[3]Entry!$K$1951)</f>
        <v/>
      </c>
      <c r="AJ1948" t="str">
        <f>IF([3]Entry!$L$1951="","",[3]Entry!$L$1951)</f>
        <v/>
      </c>
      <c r="AK1948" t="str">
        <f>IF([3]Entry!$M$1951="","",[3]Entry!$M$1951)</f>
        <v/>
      </c>
      <c r="AL1948" t="str">
        <f>IF([3]Entry!$N$1951="","",[3]Entry!$N$1951)</f>
        <v/>
      </c>
      <c r="AM1948" t="str">
        <f>IF([3]Entry!$R$1951="","",[3]Entry!$R$1951)</f>
        <v/>
      </c>
    </row>
    <row r="1949" spans="20:39" x14ac:dyDescent="0.2">
      <c r="T1949" t="str">
        <f>IF([2]Baskol!$B$1952="","",[2]Baskol!$B$1952)</f>
        <v/>
      </c>
      <c r="U1949" t="str">
        <f>IF([2]Baskol!$C$1952="","",[2]Baskol!$C$1952)</f>
        <v/>
      </c>
      <c r="V1949" t="str">
        <f>IF([2]Baskol!$D$1952="","",[2]Baskol!$D$1952)</f>
        <v/>
      </c>
      <c r="W1949" t="str">
        <f>IF([2]Baskol!$E$1952="","",[2]Baskol!$E$1952)</f>
        <v/>
      </c>
      <c r="X1949" t="str">
        <f>IF([2]Baskol!$G$1952="","",[2]Baskol!$G$1952)</f>
        <v/>
      </c>
      <c r="Y1949" t="str">
        <f>IF([2]Baskol!$I$1952="","",[2]Baskol!$I$1952)</f>
        <v/>
      </c>
      <c r="Z1949" t="str">
        <f>IF([2]Baskol!$J$1952="","",[2]Baskol!$J$1952)</f>
        <v/>
      </c>
      <c r="AA1949" t="str">
        <f>IF([2]Baskol!$K$1952="","",[2]Baskol!$K$1952)</f>
        <v/>
      </c>
      <c r="AB1949" t="str">
        <f>IF([2]Baskol!$L$1952="","",[2]Baskol!$L$1952)</f>
        <v/>
      </c>
      <c r="AC1949" t="str">
        <f>IF([2]Baskol!$N$1952="","",[2]Baskol!$N$1952)</f>
        <v/>
      </c>
      <c r="AD1949" t="str">
        <f>IF([2]Baskol!$O$1952="","",[2]Baskol!$O$1952)</f>
        <v/>
      </c>
      <c r="AE1949" t="str">
        <f>IF([3]Entry!$C$1952="","",[3]Entry!$C$1952)</f>
        <v/>
      </c>
      <c r="AF1949" t="str">
        <f>IF([3]Entry!$D$1952="","",[3]Entry!$D$1952)</f>
        <v/>
      </c>
      <c r="AG1949" t="str">
        <f>IF([3]Entry!$E$1952="","",[3]Entry!$E$1952)</f>
        <v/>
      </c>
      <c r="AH1949" t="str">
        <f>IF([3]Entry!$G$1952="","",[3]Entry!$G$1952)</f>
        <v/>
      </c>
      <c r="AI1949" t="str">
        <f>IF([3]Entry!$K$1952="","",[3]Entry!$K$1952)</f>
        <v/>
      </c>
      <c r="AJ1949" t="str">
        <f>IF([3]Entry!$L$1952="","",[3]Entry!$L$1952)</f>
        <v/>
      </c>
      <c r="AK1949" t="str">
        <f>IF([3]Entry!$M$1952="","",[3]Entry!$M$1952)</f>
        <v/>
      </c>
      <c r="AL1949" t="str">
        <f>IF([3]Entry!$N$1952="","",[3]Entry!$N$1952)</f>
        <v/>
      </c>
      <c r="AM1949" t="str">
        <f>IF([3]Entry!$R$1952="","",[3]Entry!$R$1952)</f>
        <v/>
      </c>
    </row>
    <row r="1950" spans="20:39" x14ac:dyDescent="0.2">
      <c r="T1950" t="str">
        <f>IF([2]Baskol!$B$1953="","",[2]Baskol!$B$1953)</f>
        <v/>
      </c>
      <c r="U1950" t="str">
        <f>IF([2]Baskol!$C$1953="","",[2]Baskol!$C$1953)</f>
        <v/>
      </c>
      <c r="V1950" t="str">
        <f>IF([2]Baskol!$D$1953="","",[2]Baskol!$D$1953)</f>
        <v/>
      </c>
      <c r="W1950" t="str">
        <f>IF([2]Baskol!$E$1953="","",[2]Baskol!$E$1953)</f>
        <v/>
      </c>
      <c r="X1950" t="str">
        <f>IF([2]Baskol!$G$1953="","",[2]Baskol!$G$1953)</f>
        <v/>
      </c>
      <c r="Y1950" t="str">
        <f>IF([2]Baskol!$I$1953="","",[2]Baskol!$I$1953)</f>
        <v/>
      </c>
      <c r="Z1950" t="str">
        <f>IF([2]Baskol!$J$1953="","",[2]Baskol!$J$1953)</f>
        <v/>
      </c>
      <c r="AA1950" t="str">
        <f>IF([2]Baskol!$K$1953="","",[2]Baskol!$K$1953)</f>
        <v/>
      </c>
      <c r="AB1950" t="str">
        <f>IF([2]Baskol!$L$1953="","",[2]Baskol!$L$1953)</f>
        <v/>
      </c>
      <c r="AC1950" t="str">
        <f>IF([2]Baskol!$N$1953="","",[2]Baskol!$N$1953)</f>
        <v/>
      </c>
      <c r="AD1950" t="str">
        <f>IF([2]Baskol!$O$1953="","",[2]Baskol!$O$1953)</f>
        <v/>
      </c>
      <c r="AE1950" t="str">
        <f>IF([3]Entry!$C$1953="","",[3]Entry!$C$1953)</f>
        <v/>
      </c>
      <c r="AF1950" t="str">
        <f>IF([3]Entry!$D$1953="","",[3]Entry!$D$1953)</f>
        <v/>
      </c>
      <c r="AG1950" t="str">
        <f>IF([3]Entry!$E$1953="","",[3]Entry!$E$1953)</f>
        <v/>
      </c>
      <c r="AH1950" t="str">
        <f>IF([3]Entry!$G$1953="","",[3]Entry!$G$1953)</f>
        <v/>
      </c>
      <c r="AI1950" t="str">
        <f>IF([3]Entry!$K$1953="","",[3]Entry!$K$1953)</f>
        <v/>
      </c>
      <c r="AJ1950" t="str">
        <f>IF([3]Entry!$L$1953="","",[3]Entry!$L$1953)</f>
        <v/>
      </c>
      <c r="AK1950" t="str">
        <f>IF([3]Entry!$M$1953="","",[3]Entry!$M$1953)</f>
        <v/>
      </c>
      <c r="AL1950" t="str">
        <f>IF([3]Entry!$N$1953="","",[3]Entry!$N$1953)</f>
        <v/>
      </c>
      <c r="AM1950" t="str">
        <f>IF([3]Entry!$R$1953="","",[3]Entry!$R$1953)</f>
        <v/>
      </c>
    </row>
    <row r="1951" spans="20:39" x14ac:dyDescent="0.2">
      <c r="T1951" t="str">
        <f>IF([2]Baskol!$B$1954="","",[2]Baskol!$B$1954)</f>
        <v/>
      </c>
      <c r="U1951" t="str">
        <f>IF([2]Baskol!$C$1954="","",[2]Baskol!$C$1954)</f>
        <v/>
      </c>
      <c r="V1951" t="str">
        <f>IF([2]Baskol!$D$1954="","",[2]Baskol!$D$1954)</f>
        <v/>
      </c>
      <c r="W1951" t="str">
        <f>IF([2]Baskol!$E$1954="","",[2]Baskol!$E$1954)</f>
        <v/>
      </c>
      <c r="X1951" t="str">
        <f>IF([2]Baskol!$G$1954="","",[2]Baskol!$G$1954)</f>
        <v/>
      </c>
      <c r="Y1951" t="str">
        <f>IF([2]Baskol!$I$1954="","",[2]Baskol!$I$1954)</f>
        <v/>
      </c>
      <c r="Z1951" t="str">
        <f>IF([2]Baskol!$J$1954="","",[2]Baskol!$J$1954)</f>
        <v/>
      </c>
      <c r="AA1951" t="str">
        <f>IF([2]Baskol!$K$1954="","",[2]Baskol!$K$1954)</f>
        <v/>
      </c>
      <c r="AB1951" t="str">
        <f>IF([2]Baskol!$L$1954="","",[2]Baskol!$L$1954)</f>
        <v/>
      </c>
      <c r="AC1951" t="str">
        <f>IF([2]Baskol!$N$1954="","",[2]Baskol!$N$1954)</f>
        <v/>
      </c>
      <c r="AD1951" t="str">
        <f>IF([2]Baskol!$O$1954="","",[2]Baskol!$O$1954)</f>
        <v/>
      </c>
      <c r="AE1951" t="str">
        <f>IF([3]Entry!$C$1954="","",[3]Entry!$C$1954)</f>
        <v/>
      </c>
      <c r="AF1951" t="str">
        <f>IF([3]Entry!$D$1954="","",[3]Entry!$D$1954)</f>
        <v/>
      </c>
      <c r="AG1951" t="str">
        <f>IF([3]Entry!$E$1954="","",[3]Entry!$E$1954)</f>
        <v/>
      </c>
      <c r="AH1951" t="str">
        <f>IF([3]Entry!$G$1954="","",[3]Entry!$G$1954)</f>
        <v/>
      </c>
      <c r="AI1951" t="str">
        <f>IF([3]Entry!$K$1954="","",[3]Entry!$K$1954)</f>
        <v/>
      </c>
      <c r="AJ1951" t="str">
        <f>IF([3]Entry!$L$1954="","",[3]Entry!$L$1954)</f>
        <v/>
      </c>
      <c r="AK1951" t="str">
        <f>IF([3]Entry!$M$1954="","",[3]Entry!$M$1954)</f>
        <v/>
      </c>
      <c r="AL1951" t="str">
        <f>IF([3]Entry!$N$1954="","",[3]Entry!$N$1954)</f>
        <v/>
      </c>
      <c r="AM1951" t="str">
        <f>IF([3]Entry!$R$1954="","",[3]Entry!$R$1954)</f>
        <v/>
      </c>
    </row>
    <row r="1952" spans="20:39" x14ac:dyDescent="0.2">
      <c r="T1952" t="str">
        <f>IF([2]Baskol!$B$1955="","",[2]Baskol!$B$1955)</f>
        <v/>
      </c>
      <c r="U1952" t="str">
        <f>IF([2]Baskol!$C$1955="","",[2]Baskol!$C$1955)</f>
        <v/>
      </c>
      <c r="V1952" t="str">
        <f>IF([2]Baskol!$D$1955="","",[2]Baskol!$D$1955)</f>
        <v/>
      </c>
      <c r="W1952" t="str">
        <f>IF([2]Baskol!$E$1955="","",[2]Baskol!$E$1955)</f>
        <v/>
      </c>
      <c r="X1952" t="str">
        <f>IF([2]Baskol!$G$1955="","",[2]Baskol!$G$1955)</f>
        <v/>
      </c>
      <c r="Y1952" t="str">
        <f>IF([2]Baskol!$I$1955="","",[2]Baskol!$I$1955)</f>
        <v/>
      </c>
      <c r="Z1952" t="str">
        <f>IF([2]Baskol!$J$1955="","",[2]Baskol!$J$1955)</f>
        <v/>
      </c>
      <c r="AA1952" t="str">
        <f>IF([2]Baskol!$K$1955="","",[2]Baskol!$K$1955)</f>
        <v/>
      </c>
      <c r="AB1952" t="str">
        <f>IF([2]Baskol!$L$1955="","",[2]Baskol!$L$1955)</f>
        <v/>
      </c>
      <c r="AC1952" t="str">
        <f>IF([2]Baskol!$N$1955="","",[2]Baskol!$N$1955)</f>
        <v/>
      </c>
      <c r="AD1952" t="str">
        <f>IF([2]Baskol!$O$1955="","",[2]Baskol!$O$1955)</f>
        <v/>
      </c>
      <c r="AE1952" t="str">
        <f>IF([3]Entry!$C$1955="","",[3]Entry!$C$1955)</f>
        <v/>
      </c>
      <c r="AF1952" t="str">
        <f>IF([3]Entry!$D$1955="","",[3]Entry!$D$1955)</f>
        <v/>
      </c>
      <c r="AG1952" t="str">
        <f>IF([3]Entry!$E$1955="","",[3]Entry!$E$1955)</f>
        <v/>
      </c>
      <c r="AH1952" t="str">
        <f>IF([3]Entry!$G$1955="","",[3]Entry!$G$1955)</f>
        <v/>
      </c>
      <c r="AI1952" t="str">
        <f>IF([3]Entry!$K$1955="","",[3]Entry!$K$1955)</f>
        <v/>
      </c>
      <c r="AJ1952" t="str">
        <f>IF([3]Entry!$L$1955="","",[3]Entry!$L$1955)</f>
        <v/>
      </c>
      <c r="AK1952" t="str">
        <f>IF([3]Entry!$M$1955="","",[3]Entry!$M$1955)</f>
        <v/>
      </c>
      <c r="AL1952" t="str">
        <f>IF([3]Entry!$N$1955="","",[3]Entry!$N$1955)</f>
        <v/>
      </c>
      <c r="AM1952" t="str">
        <f>IF([3]Entry!$R$1955="","",[3]Entry!$R$1955)</f>
        <v/>
      </c>
    </row>
    <row r="1953" spans="20:39" x14ac:dyDescent="0.2">
      <c r="T1953" t="str">
        <f>IF([2]Baskol!$B$1956="","",[2]Baskol!$B$1956)</f>
        <v/>
      </c>
      <c r="U1953" t="str">
        <f>IF([2]Baskol!$C$1956="","",[2]Baskol!$C$1956)</f>
        <v/>
      </c>
      <c r="V1953" t="str">
        <f>IF([2]Baskol!$D$1956="","",[2]Baskol!$D$1956)</f>
        <v/>
      </c>
      <c r="W1953" t="str">
        <f>IF([2]Baskol!$E$1956="","",[2]Baskol!$E$1956)</f>
        <v/>
      </c>
      <c r="X1953" t="str">
        <f>IF([2]Baskol!$G$1956="","",[2]Baskol!$G$1956)</f>
        <v/>
      </c>
      <c r="Y1953" t="str">
        <f>IF([2]Baskol!$I$1956="","",[2]Baskol!$I$1956)</f>
        <v/>
      </c>
      <c r="Z1953" t="str">
        <f>IF([2]Baskol!$J$1956="","",[2]Baskol!$J$1956)</f>
        <v/>
      </c>
      <c r="AA1953" t="str">
        <f>IF([2]Baskol!$K$1956="","",[2]Baskol!$K$1956)</f>
        <v/>
      </c>
      <c r="AB1953" t="str">
        <f>IF([2]Baskol!$L$1956="","",[2]Baskol!$L$1956)</f>
        <v/>
      </c>
      <c r="AC1953" t="str">
        <f>IF([2]Baskol!$N$1956="","",[2]Baskol!$N$1956)</f>
        <v/>
      </c>
      <c r="AD1953" t="str">
        <f>IF([2]Baskol!$O$1956="","",[2]Baskol!$O$1956)</f>
        <v/>
      </c>
      <c r="AE1953" t="str">
        <f>IF([3]Entry!$C$1956="","",[3]Entry!$C$1956)</f>
        <v/>
      </c>
      <c r="AF1953" t="str">
        <f>IF([3]Entry!$D$1956="","",[3]Entry!$D$1956)</f>
        <v/>
      </c>
      <c r="AG1953" t="str">
        <f>IF([3]Entry!$E$1956="","",[3]Entry!$E$1956)</f>
        <v/>
      </c>
      <c r="AH1953" t="str">
        <f>IF([3]Entry!$G$1956="","",[3]Entry!$G$1956)</f>
        <v/>
      </c>
      <c r="AI1953" t="str">
        <f>IF([3]Entry!$K$1956="","",[3]Entry!$K$1956)</f>
        <v/>
      </c>
      <c r="AJ1953" t="str">
        <f>IF([3]Entry!$L$1956="","",[3]Entry!$L$1956)</f>
        <v/>
      </c>
      <c r="AK1953" t="str">
        <f>IF([3]Entry!$M$1956="","",[3]Entry!$M$1956)</f>
        <v/>
      </c>
      <c r="AL1953" t="str">
        <f>IF([3]Entry!$N$1956="","",[3]Entry!$N$1956)</f>
        <v/>
      </c>
      <c r="AM1953" t="str">
        <f>IF([3]Entry!$R$1956="","",[3]Entry!$R$1956)</f>
        <v/>
      </c>
    </row>
    <row r="1954" spans="20:39" x14ac:dyDescent="0.2">
      <c r="T1954" t="str">
        <f>IF([2]Baskol!$B$1957="","",[2]Baskol!$B$1957)</f>
        <v/>
      </c>
      <c r="U1954" t="str">
        <f>IF([2]Baskol!$C$1957="","",[2]Baskol!$C$1957)</f>
        <v/>
      </c>
      <c r="V1954" t="str">
        <f>IF([2]Baskol!$D$1957="","",[2]Baskol!$D$1957)</f>
        <v/>
      </c>
      <c r="W1954" t="str">
        <f>IF([2]Baskol!$E$1957="","",[2]Baskol!$E$1957)</f>
        <v/>
      </c>
      <c r="X1954" t="str">
        <f>IF([2]Baskol!$G$1957="","",[2]Baskol!$G$1957)</f>
        <v/>
      </c>
      <c r="Y1954" t="str">
        <f>IF([2]Baskol!$I$1957="","",[2]Baskol!$I$1957)</f>
        <v/>
      </c>
      <c r="Z1954" t="str">
        <f>IF([2]Baskol!$J$1957="","",[2]Baskol!$J$1957)</f>
        <v/>
      </c>
      <c r="AA1954" t="str">
        <f>IF([2]Baskol!$K$1957="","",[2]Baskol!$K$1957)</f>
        <v/>
      </c>
      <c r="AB1954" t="str">
        <f>IF([2]Baskol!$L$1957="","",[2]Baskol!$L$1957)</f>
        <v/>
      </c>
      <c r="AC1954" t="str">
        <f>IF([2]Baskol!$N$1957="","",[2]Baskol!$N$1957)</f>
        <v/>
      </c>
      <c r="AD1954" t="str">
        <f>IF([2]Baskol!$O$1957="","",[2]Baskol!$O$1957)</f>
        <v/>
      </c>
      <c r="AE1954" t="str">
        <f>IF([3]Entry!$C$1957="","",[3]Entry!$C$1957)</f>
        <v/>
      </c>
      <c r="AF1954" t="str">
        <f>IF([3]Entry!$D$1957="","",[3]Entry!$D$1957)</f>
        <v/>
      </c>
      <c r="AG1954" t="str">
        <f>IF([3]Entry!$E$1957="","",[3]Entry!$E$1957)</f>
        <v/>
      </c>
      <c r="AH1954" t="str">
        <f>IF([3]Entry!$G$1957="","",[3]Entry!$G$1957)</f>
        <v/>
      </c>
      <c r="AI1954" t="str">
        <f>IF([3]Entry!$K$1957="","",[3]Entry!$K$1957)</f>
        <v/>
      </c>
      <c r="AJ1954" t="str">
        <f>IF([3]Entry!$L$1957="","",[3]Entry!$L$1957)</f>
        <v/>
      </c>
      <c r="AK1954" t="str">
        <f>IF([3]Entry!$M$1957="","",[3]Entry!$M$1957)</f>
        <v/>
      </c>
      <c r="AL1954" t="str">
        <f>IF([3]Entry!$N$1957="","",[3]Entry!$N$1957)</f>
        <v/>
      </c>
      <c r="AM1954" t="str">
        <f>IF([3]Entry!$R$1957="","",[3]Entry!$R$1957)</f>
        <v/>
      </c>
    </row>
    <row r="1955" spans="20:39" x14ac:dyDescent="0.2">
      <c r="T1955" t="str">
        <f>IF([2]Baskol!$B$1958="","",[2]Baskol!$B$1958)</f>
        <v/>
      </c>
      <c r="U1955" t="str">
        <f>IF([2]Baskol!$C$1958="","",[2]Baskol!$C$1958)</f>
        <v/>
      </c>
      <c r="V1955" t="str">
        <f>IF([2]Baskol!$D$1958="","",[2]Baskol!$D$1958)</f>
        <v/>
      </c>
      <c r="W1955" t="str">
        <f>IF([2]Baskol!$E$1958="","",[2]Baskol!$E$1958)</f>
        <v/>
      </c>
      <c r="X1955" t="str">
        <f>IF([2]Baskol!$G$1958="","",[2]Baskol!$G$1958)</f>
        <v/>
      </c>
      <c r="Y1955" t="str">
        <f>IF([2]Baskol!$I$1958="","",[2]Baskol!$I$1958)</f>
        <v/>
      </c>
      <c r="Z1955" t="str">
        <f>IF([2]Baskol!$J$1958="","",[2]Baskol!$J$1958)</f>
        <v/>
      </c>
      <c r="AA1955" t="str">
        <f>IF([2]Baskol!$K$1958="","",[2]Baskol!$K$1958)</f>
        <v/>
      </c>
      <c r="AB1955" t="str">
        <f>IF([2]Baskol!$L$1958="","",[2]Baskol!$L$1958)</f>
        <v/>
      </c>
      <c r="AC1955" t="str">
        <f>IF([2]Baskol!$N$1958="","",[2]Baskol!$N$1958)</f>
        <v/>
      </c>
      <c r="AD1955" t="str">
        <f>IF([2]Baskol!$O$1958="","",[2]Baskol!$O$1958)</f>
        <v/>
      </c>
      <c r="AE1955" t="str">
        <f>IF([3]Entry!$C$1958="","",[3]Entry!$C$1958)</f>
        <v/>
      </c>
      <c r="AF1955" t="str">
        <f>IF([3]Entry!$D$1958="","",[3]Entry!$D$1958)</f>
        <v/>
      </c>
      <c r="AG1955" t="str">
        <f>IF([3]Entry!$E$1958="","",[3]Entry!$E$1958)</f>
        <v/>
      </c>
      <c r="AH1955" t="str">
        <f>IF([3]Entry!$G$1958="","",[3]Entry!$G$1958)</f>
        <v/>
      </c>
      <c r="AI1955" t="str">
        <f>IF([3]Entry!$K$1958="","",[3]Entry!$K$1958)</f>
        <v/>
      </c>
      <c r="AJ1955" t="str">
        <f>IF([3]Entry!$L$1958="","",[3]Entry!$L$1958)</f>
        <v/>
      </c>
      <c r="AK1955" t="str">
        <f>IF([3]Entry!$M$1958="","",[3]Entry!$M$1958)</f>
        <v/>
      </c>
      <c r="AL1955" t="str">
        <f>IF([3]Entry!$N$1958="","",[3]Entry!$N$1958)</f>
        <v/>
      </c>
      <c r="AM1955" t="str">
        <f>IF([3]Entry!$R$1958="","",[3]Entry!$R$1958)</f>
        <v/>
      </c>
    </row>
    <row r="1956" spans="20:39" x14ac:dyDescent="0.2">
      <c r="T1956" t="str">
        <f>IF([2]Baskol!$B$1959="","",[2]Baskol!$B$1959)</f>
        <v/>
      </c>
      <c r="U1956" t="str">
        <f>IF([2]Baskol!$C$1959="","",[2]Baskol!$C$1959)</f>
        <v/>
      </c>
      <c r="V1956" t="str">
        <f>IF([2]Baskol!$D$1959="","",[2]Baskol!$D$1959)</f>
        <v/>
      </c>
      <c r="W1956" t="str">
        <f>IF([2]Baskol!$E$1959="","",[2]Baskol!$E$1959)</f>
        <v/>
      </c>
      <c r="X1956" t="str">
        <f>IF([2]Baskol!$G$1959="","",[2]Baskol!$G$1959)</f>
        <v/>
      </c>
      <c r="Y1956" t="str">
        <f>IF([2]Baskol!$I$1959="","",[2]Baskol!$I$1959)</f>
        <v/>
      </c>
      <c r="Z1956" t="str">
        <f>IF([2]Baskol!$J$1959="","",[2]Baskol!$J$1959)</f>
        <v/>
      </c>
      <c r="AA1956" t="str">
        <f>IF([2]Baskol!$K$1959="","",[2]Baskol!$K$1959)</f>
        <v/>
      </c>
      <c r="AB1956" t="str">
        <f>IF([2]Baskol!$L$1959="","",[2]Baskol!$L$1959)</f>
        <v/>
      </c>
      <c r="AC1956" t="str">
        <f>IF([2]Baskol!$N$1959="","",[2]Baskol!$N$1959)</f>
        <v/>
      </c>
      <c r="AD1956" t="str">
        <f>IF([2]Baskol!$O$1959="","",[2]Baskol!$O$1959)</f>
        <v/>
      </c>
      <c r="AE1956" t="str">
        <f>IF([3]Entry!$C$1959="","",[3]Entry!$C$1959)</f>
        <v/>
      </c>
      <c r="AF1956" t="str">
        <f>IF([3]Entry!$D$1959="","",[3]Entry!$D$1959)</f>
        <v/>
      </c>
      <c r="AG1956" t="str">
        <f>IF([3]Entry!$E$1959="","",[3]Entry!$E$1959)</f>
        <v/>
      </c>
      <c r="AH1956" t="str">
        <f>IF([3]Entry!$G$1959="","",[3]Entry!$G$1959)</f>
        <v/>
      </c>
      <c r="AI1956" t="str">
        <f>IF([3]Entry!$K$1959="","",[3]Entry!$K$1959)</f>
        <v/>
      </c>
      <c r="AJ1956" t="str">
        <f>IF([3]Entry!$L$1959="","",[3]Entry!$L$1959)</f>
        <v/>
      </c>
      <c r="AK1956" t="str">
        <f>IF([3]Entry!$M$1959="","",[3]Entry!$M$1959)</f>
        <v/>
      </c>
      <c r="AL1956" t="str">
        <f>IF([3]Entry!$N$1959="","",[3]Entry!$N$1959)</f>
        <v/>
      </c>
      <c r="AM1956" t="str">
        <f>IF([3]Entry!$R$1959="","",[3]Entry!$R$1959)</f>
        <v/>
      </c>
    </row>
    <row r="1957" spans="20:39" x14ac:dyDescent="0.2">
      <c r="T1957" t="str">
        <f>IF([2]Baskol!$B$1960="","",[2]Baskol!$B$1960)</f>
        <v/>
      </c>
      <c r="U1957" t="str">
        <f>IF([2]Baskol!$C$1960="","",[2]Baskol!$C$1960)</f>
        <v/>
      </c>
      <c r="V1957" t="str">
        <f>IF([2]Baskol!$D$1960="","",[2]Baskol!$D$1960)</f>
        <v/>
      </c>
      <c r="W1957" t="str">
        <f>IF([2]Baskol!$E$1960="","",[2]Baskol!$E$1960)</f>
        <v/>
      </c>
      <c r="X1957" t="str">
        <f>IF([2]Baskol!$G$1960="","",[2]Baskol!$G$1960)</f>
        <v/>
      </c>
      <c r="Y1957" t="str">
        <f>IF([2]Baskol!$I$1960="","",[2]Baskol!$I$1960)</f>
        <v/>
      </c>
      <c r="Z1957" t="str">
        <f>IF([2]Baskol!$J$1960="","",[2]Baskol!$J$1960)</f>
        <v/>
      </c>
      <c r="AA1957" t="str">
        <f>IF([2]Baskol!$K$1960="","",[2]Baskol!$K$1960)</f>
        <v/>
      </c>
      <c r="AB1957" t="str">
        <f>IF([2]Baskol!$L$1960="","",[2]Baskol!$L$1960)</f>
        <v/>
      </c>
      <c r="AC1957" t="str">
        <f>IF([2]Baskol!$N$1960="","",[2]Baskol!$N$1960)</f>
        <v/>
      </c>
      <c r="AD1957" t="str">
        <f>IF([2]Baskol!$O$1960="","",[2]Baskol!$O$1960)</f>
        <v/>
      </c>
      <c r="AE1957" t="str">
        <f>IF([3]Entry!$C$1960="","",[3]Entry!$C$1960)</f>
        <v/>
      </c>
      <c r="AF1957" t="str">
        <f>IF([3]Entry!$D$1960="","",[3]Entry!$D$1960)</f>
        <v/>
      </c>
      <c r="AG1957" t="str">
        <f>IF([3]Entry!$E$1960="","",[3]Entry!$E$1960)</f>
        <v/>
      </c>
      <c r="AH1957" t="str">
        <f>IF([3]Entry!$G$1960="","",[3]Entry!$G$1960)</f>
        <v/>
      </c>
      <c r="AI1957" t="str">
        <f>IF([3]Entry!$K$1960="","",[3]Entry!$K$1960)</f>
        <v/>
      </c>
      <c r="AJ1957" t="str">
        <f>IF([3]Entry!$L$1960="","",[3]Entry!$L$1960)</f>
        <v/>
      </c>
      <c r="AK1957" t="str">
        <f>IF([3]Entry!$M$1960="","",[3]Entry!$M$1960)</f>
        <v/>
      </c>
      <c r="AL1957" t="str">
        <f>IF([3]Entry!$N$1960="","",[3]Entry!$N$1960)</f>
        <v/>
      </c>
      <c r="AM1957" t="str">
        <f>IF([3]Entry!$R$1960="","",[3]Entry!$R$1960)</f>
        <v/>
      </c>
    </row>
    <row r="1958" spans="20:39" x14ac:dyDescent="0.2">
      <c r="T1958" t="str">
        <f>IF([2]Baskol!$B$1961="","",[2]Baskol!$B$1961)</f>
        <v/>
      </c>
      <c r="U1958" t="str">
        <f>IF([2]Baskol!$C$1961="","",[2]Baskol!$C$1961)</f>
        <v/>
      </c>
      <c r="V1958" t="str">
        <f>IF([2]Baskol!$D$1961="","",[2]Baskol!$D$1961)</f>
        <v/>
      </c>
      <c r="W1958" t="str">
        <f>IF([2]Baskol!$E$1961="","",[2]Baskol!$E$1961)</f>
        <v/>
      </c>
      <c r="X1958" t="str">
        <f>IF([2]Baskol!$G$1961="","",[2]Baskol!$G$1961)</f>
        <v/>
      </c>
      <c r="Y1958" t="str">
        <f>IF([2]Baskol!$I$1961="","",[2]Baskol!$I$1961)</f>
        <v/>
      </c>
      <c r="Z1958" t="str">
        <f>IF([2]Baskol!$J$1961="","",[2]Baskol!$J$1961)</f>
        <v/>
      </c>
      <c r="AA1958" t="str">
        <f>IF([2]Baskol!$K$1961="","",[2]Baskol!$K$1961)</f>
        <v/>
      </c>
      <c r="AB1958" t="str">
        <f>IF([2]Baskol!$L$1961="","",[2]Baskol!$L$1961)</f>
        <v/>
      </c>
      <c r="AC1958" t="str">
        <f>IF([2]Baskol!$N$1961="","",[2]Baskol!$N$1961)</f>
        <v/>
      </c>
      <c r="AD1958" t="str">
        <f>IF([2]Baskol!$O$1961="","",[2]Baskol!$O$1961)</f>
        <v/>
      </c>
      <c r="AE1958" t="str">
        <f>IF([3]Entry!$C$1961="","",[3]Entry!$C$1961)</f>
        <v/>
      </c>
      <c r="AF1958" t="str">
        <f>IF([3]Entry!$D$1961="","",[3]Entry!$D$1961)</f>
        <v/>
      </c>
      <c r="AG1958" t="str">
        <f>IF([3]Entry!$E$1961="","",[3]Entry!$E$1961)</f>
        <v/>
      </c>
      <c r="AH1958" t="str">
        <f>IF([3]Entry!$G$1961="","",[3]Entry!$G$1961)</f>
        <v/>
      </c>
      <c r="AI1958" t="str">
        <f>IF([3]Entry!$K$1961="","",[3]Entry!$K$1961)</f>
        <v/>
      </c>
      <c r="AJ1958" t="str">
        <f>IF([3]Entry!$L$1961="","",[3]Entry!$L$1961)</f>
        <v/>
      </c>
      <c r="AK1958" t="str">
        <f>IF([3]Entry!$M$1961="","",[3]Entry!$M$1961)</f>
        <v/>
      </c>
      <c r="AL1958" t="str">
        <f>IF([3]Entry!$N$1961="","",[3]Entry!$N$1961)</f>
        <v/>
      </c>
      <c r="AM1958" t="str">
        <f>IF([3]Entry!$R$1961="","",[3]Entry!$R$1961)</f>
        <v/>
      </c>
    </row>
    <row r="1959" spans="20:39" x14ac:dyDescent="0.2">
      <c r="T1959" t="str">
        <f>IF([2]Baskol!$B$1962="","",[2]Baskol!$B$1962)</f>
        <v/>
      </c>
      <c r="U1959" t="str">
        <f>IF([2]Baskol!$C$1962="","",[2]Baskol!$C$1962)</f>
        <v/>
      </c>
      <c r="V1959" t="str">
        <f>IF([2]Baskol!$D$1962="","",[2]Baskol!$D$1962)</f>
        <v/>
      </c>
      <c r="W1959" t="str">
        <f>IF([2]Baskol!$E$1962="","",[2]Baskol!$E$1962)</f>
        <v/>
      </c>
      <c r="X1959" t="str">
        <f>IF([2]Baskol!$G$1962="","",[2]Baskol!$G$1962)</f>
        <v/>
      </c>
      <c r="Y1959" t="str">
        <f>IF([2]Baskol!$I$1962="","",[2]Baskol!$I$1962)</f>
        <v/>
      </c>
      <c r="Z1959" t="str">
        <f>IF([2]Baskol!$J$1962="","",[2]Baskol!$J$1962)</f>
        <v/>
      </c>
      <c r="AA1959" t="str">
        <f>IF([2]Baskol!$K$1962="","",[2]Baskol!$K$1962)</f>
        <v/>
      </c>
      <c r="AB1959" t="str">
        <f>IF([2]Baskol!$L$1962="","",[2]Baskol!$L$1962)</f>
        <v/>
      </c>
      <c r="AC1959" t="str">
        <f>IF([2]Baskol!$N$1962="","",[2]Baskol!$N$1962)</f>
        <v/>
      </c>
      <c r="AD1959" t="str">
        <f>IF([2]Baskol!$O$1962="","",[2]Baskol!$O$1962)</f>
        <v/>
      </c>
      <c r="AE1959" t="str">
        <f>IF([3]Entry!$C$1962="","",[3]Entry!$C$1962)</f>
        <v/>
      </c>
      <c r="AF1959" t="str">
        <f>IF([3]Entry!$D$1962="","",[3]Entry!$D$1962)</f>
        <v/>
      </c>
      <c r="AG1959" t="str">
        <f>IF([3]Entry!$E$1962="","",[3]Entry!$E$1962)</f>
        <v/>
      </c>
      <c r="AH1959" t="str">
        <f>IF([3]Entry!$G$1962="","",[3]Entry!$G$1962)</f>
        <v/>
      </c>
      <c r="AI1959" t="str">
        <f>IF([3]Entry!$K$1962="","",[3]Entry!$K$1962)</f>
        <v/>
      </c>
      <c r="AJ1959" t="str">
        <f>IF([3]Entry!$L$1962="","",[3]Entry!$L$1962)</f>
        <v/>
      </c>
      <c r="AK1959" t="str">
        <f>IF([3]Entry!$M$1962="","",[3]Entry!$M$1962)</f>
        <v/>
      </c>
      <c r="AL1959" t="str">
        <f>IF([3]Entry!$N$1962="","",[3]Entry!$N$1962)</f>
        <v/>
      </c>
      <c r="AM1959" t="str">
        <f>IF([3]Entry!$R$1962="","",[3]Entry!$R$1962)</f>
        <v/>
      </c>
    </row>
    <row r="1960" spans="20:39" x14ac:dyDescent="0.2">
      <c r="T1960" t="str">
        <f>IF([2]Baskol!$B$1963="","",[2]Baskol!$B$1963)</f>
        <v/>
      </c>
      <c r="U1960" t="str">
        <f>IF([2]Baskol!$C$1963="","",[2]Baskol!$C$1963)</f>
        <v/>
      </c>
      <c r="V1960" t="str">
        <f>IF([2]Baskol!$D$1963="","",[2]Baskol!$D$1963)</f>
        <v/>
      </c>
      <c r="W1960" t="str">
        <f>IF([2]Baskol!$E$1963="","",[2]Baskol!$E$1963)</f>
        <v/>
      </c>
      <c r="X1960" t="str">
        <f>IF([2]Baskol!$G$1963="","",[2]Baskol!$G$1963)</f>
        <v/>
      </c>
      <c r="Y1960" t="str">
        <f>IF([2]Baskol!$I$1963="","",[2]Baskol!$I$1963)</f>
        <v/>
      </c>
      <c r="Z1960" t="str">
        <f>IF([2]Baskol!$J$1963="","",[2]Baskol!$J$1963)</f>
        <v/>
      </c>
      <c r="AA1960" t="str">
        <f>IF([2]Baskol!$K$1963="","",[2]Baskol!$K$1963)</f>
        <v/>
      </c>
      <c r="AB1960" t="str">
        <f>IF([2]Baskol!$L$1963="","",[2]Baskol!$L$1963)</f>
        <v/>
      </c>
      <c r="AC1960" t="str">
        <f>IF([2]Baskol!$N$1963="","",[2]Baskol!$N$1963)</f>
        <v/>
      </c>
      <c r="AD1960" t="str">
        <f>IF([2]Baskol!$O$1963="","",[2]Baskol!$O$1963)</f>
        <v/>
      </c>
      <c r="AE1960" t="str">
        <f>IF([3]Entry!$C$1963="","",[3]Entry!$C$1963)</f>
        <v/>
      </c>
      <c r="AF1960" t="str">
        <f>IF([3]Entry!$D$1963="","",[3]Entry!$D$1963)</f>
        <v/>
      </c>
      <c r="AG1960" t="str">
        <f>IF([3]Entry!$E$1963="","",[3]Entry!$E$1963)</f>
        <v/>
      </c>
      <c r="AH1960" t="str">
        <f>IF([3]Entry!$G$1963="","",[3]Entry!$G$1963)</f>
        <v/>
      </c>
      <c r="AI1960" t="str">
        <f>IF([3]Entry!$K$1963="","",[3]Entry!$K$1963)</f>
        <v/>
      </c>
      <c r="AJ1960" t="str">
        <f>IF([3]Entry!$L$1963="","",[3]Entry!$L$1963)</f>
        <v/>
      </c>
      <c r="AK1960" t="str">
        <f>IF([3]Entry!$M$1963="","",[3]Entry!$M$1963)</f>
        <v/>
      </c>
      <c r="AL1960" t="str">
        <f>IF([3]Entry!$N$1963="","",[3]Entry!$N$1963)</f>
        <v/>
      </c>
      <c r="AM1960" t="str">
        <f>IF([3]Entry!$R$1963="","",[3]Entry!$R$1963)</f>
        <v/>
      </c>
    </row>
    <row r="1961" spans="20:39" x14ac:dyDescent="0.2">
      <c r="T1961" t="str">
        <f>IF([2]Baskol!$B$1964="","",[2]Baskol!$B$1964)</f>
        <v/>
      </c>
      <c r="U1961" t="str">
        <f>IF([2]Baskol!$C$1964="","",[2]Baskol!$C$1964)</f>
        <v/>
      </c>
      <c r="V1961" t="str">
        <f>IF([2]Baskol!$D$1964="","",[2]Baskol!$D$1964)</f>
        <v/>
      </c>
      <c r="W1961" t="str">
        <f>IF([2]Baskol!$E$1964="","",[2]Baskol!$E$1964)</f>
        <v/>
      </c>
      <c r="X1961" t="str">
        <f>IF([2]Baskol!$G$1964="","",[2]Baskol!$G$1964)</f>
        <v/>
      </c>
      <c r="Y1961" t="str">
        <f>IF([2]Baskol!$I$1964="","",[2]Baskol!$I$1964)</f>
        <v/>
      </c>
      <c r="Z1961" t="str">
        <f>IF([2]Baskol!$J$1964="","",[2]Baskol!$J$1964)</f>
        <v/>
      </c>
      <c r="AA1961" t="str">
        <f>IF([2]Baskol!$K$1964="","",[2]Baskol!$K$1964)</f>
        <v/>
      </c>
      <c r="AB1961" t="str">
        <f>IF([2]Baskol!$L$1964="","",[2]Baskol!$L$1964)</f>
        <v/>
      </c>
      <c r="AC1961" t="str">
        <f>IF([2]Baskol!$N$1964="","",[2]Baskol!$N$1964)</f>
        <v/>
      </c>
      <c r="AD1961" t="str">
        <f>IF([2]Baskol!$O$1964="","",[2]Baskol!$O$1964)</f>
        <v/>
      </c>
      <c r="AE1961" t="str">
        <f>IF([3]Entry!$C$1964="","",[3]Entry!$C$1964)</f>
        <v/>
      </c>
      <c r="AF1961" t="str">
        <f>IF([3]Entry!$D$1964="","",[3]Entry!$D$1964)</f>
        <v/>
      </c>
      <c r="AG1961" t="str">
        <f>IF([3]Entry!$E$1964="","",[3]Entry!$E$1964)</f>
        <v/>
      </c>
      <c r="AH1961" t="str">
        <f>IF([3]Entry!$G$1964="","",[3]Entry!$G$1964)</f>
        <v/>
      </c>
      <c r="AI1961" t="str">
        <f>IF([3]Entry!$K$1964="","",[3]Entry!$K$1964)</f>
        <v/>
      </c>
      <c r="AJ1961" t="str">
        <f>IF([3]Entry!$L$1964="","",[3]Entry!$L$1964)</f>
        <v/>
      </c>
      <c r="AK1961" t="str">
        <f>IF([3]Entry!$M$1964="","",[3]Entry!$M$1964)</f>
        <v/>
      </c>
      <c r="AL1961" t="str">
        <f>IF([3]Entry!$N$1964="","",[3]Entry!$N$1964)</f>
        <v/>
      </c>
      <c r="AM1961" t="str">
        <f>IF([3]Entry!$R$1964="","",[3]Entry!$R$1964)</f>
        <v/>
      </c>
    </row>
    <row r="1962" spans="20:39" x14ac:dyDescent="0.2">
      <c r="T1962" t="str">
        <f>IF([2]Baskol!$B$1965="","",[2]Baskol!$B$1965)</f>
        <v/>
      </c>
      <c r="U1962" t="str">
        <f>IF([2]Baskol!$C$1965="","",[2]Baskol!$C$1965)</f>
        <v/>
      </c>
      <c r="V1962" t="str">
        <f>IF([2]Baskol!$D$1965="","",[2]Baskol!$D$1965)</f>
        <v/>
      </c>
      <c r="W1962" t="str">
        <f>IF([2]Baskol!$E$1965="","",[2]Baskol!$E$1965)</f>
        <v/>
      </c>
      <c r="X1962" t="str">
        <f>IF([2]Baskol!$G$1965="","",[2]Baskol!$G$1965)</f>
        <v/>
      </c>
      <c r="Y1962" t="str">
        <f>IF([2]Baskol!$I$1965="","",[2]Baskol!$I$1965)</f>
        <v/>
      </c>
      <c r="Z1962" t="str">
        <f>IF([2]Baskol!$J$1965="","",[2]Baskol!$J$1965)</f>
        <v/>
      </c>
      <c r="AA1962" t="str">
        <f>IF([2]Baskol!$K$1965="","",[2]Baskol!$K$1965)</f>
        <v/>
      </c>
      <c r="AB1962" t="str">
        <f>IF([2]Baskol!$L$1965="","",[2]Baskol!$L$1965)</f>
        <v/>
      </c>
      <c r="AC1962" t="str">
        <f>IF([2]Baskol!$N$1965="","",[2]Baskol!$N$1965)</f>
        <v/>
      </c>
      <c r="AD1962" t="str">
        <f>IF([2]Baskol!$O$1965="","",[2]Baskol!$O$1965)</f>
        <v/>
      </c>
      <c r="AE1962" t="str">
        <f>IF([3]Entry!$C$1965="","",[3]Entry!$C$1965)</f>
        <v/>
      </c>
      <c r="AF1962" t="str">
        <f>IF([3]Entry!$D$1965="","",[3]Entry!$D$1965)</f>
        <v/>
      </c>
      <c r="AG1962" t="str">
        <f>IF([3]Entry!$E$1965="","",[3]Entry!$E$1965)</f>
        <v/>
      </c>
      <c r="AH1962" t="str">
        <f>IF([3]Entry!$G$1965="","",[3]Entry!$G$1965)</f>
        <v/>
      </c>
      <c r="AI1962" t="str">
        <f>IF([3]Entry!$K$1965="","",[3]Entry!$K$1965)</f>
        <v/>
      </c>
      <c r="AJ1962" t="str">
        <f>IF([3]Entry!$L$1965="","",[3]Entry!$L$1965)</f>
        <v/>
      </c>
      <c r="AK1962" t="str">
        <f>IF([3]Entry!$M$1965="","",[3]Entry!$M$1965)</f>
        <v/>
      </c>
      <c r="AL1962" t="str">
        <f>IF([3]Entry!$N$1965="","",[3]Entry!$N$1965)</f>
        <v/>
      </c>
      <c r="AM1962" t="str">
        <f>IF([3]Entry!$R$1965="","",[3]Entry!$R$1965)</f>
        <v/>
      </c>
    </row>
    <row r="1963" spans="20:39" x14ac:dyDescent="0.2">
      <c r="T1963" t="str">
        <f>IF([2]Baskol!$B$1966="","",[2]Baskol!$B$1966)</f>
        <v/>
      </c>
      <c r="U1963" t="str">
        <f>IF([2]Baskol!$C$1966="","",[2]Baskol!$C$1966)</f>
        <v/>
      </c>
      <c r="V1963" t="str">
        <f>IF([2]Baskol!$D$1966="","",[2]Baskol!$D$1966)</f>
        <v/>
      </c>
      <c r="W1963" t="str">
        <f>IF([2]Baskol!$E$1966="","",[2]Baskol!$E$1966)</f>
        <v/>
      </c>
      <c r="X1963" t="str">
        <f>IF([2]Baskol!$G$1966="","",[2]Baskol!$G$1966)</f>
        <v/>
      </c>
      <c r="Y1963" t="str">
        <f>IF([2]Baskol!$I$1966="","",[2]Baskol!$I$1966)</f>
        <v/>
      </c>
      <c r="Z1963" t="str">
        <f>IF([2]Baskol!$J$1966="","",[2]Baskol!$J$1966)</f>
        <v/>
      </c>
      <c r="AA1963" t="str">
        <f>IF([2]Baskol!$K$1966="","",[2]Baskol!$K$1966)</f>
        <v/>
      </c>
      <c r="AB1963" t="str">
        <f>IF([2]Baskol!$L$1966="","",[2]Baskol!$L$1966)</f>
        <v/>
      </c>
      <c r="AC1963" t="str">
        <f>IF([2]Baskol!$N$1966="","",[2]Baskol!$N$1966)</f>
        <v/>
      </c>
      <c r="AD1963" t="str">
        <f>IF([2]Baskol!$O$1966="","",[2]Baskol!$O$1966)</f>
        <v/>
      </c>
      <c r="AE1963" t="str">
        <f>IF([3]Entry!$C$1966="","",[3]Entry!$C$1966)</f>
        <v/>
      </c>
      <c r="AF1963" t="str">
        <f>IF([3]Entry!$D$1966="","",[3]Entry!$D$1966)</f>
        <v/>
      </c>
      <c r="AG1963" t="str">
        <f>IF([3]Entry!$E$1966="","",[3]Entry!$E$1966)</f>
        <v/>
      </c>
      <c r="AH1963" t="str">
        <f>IF([3]Entry!$G$1966="","",[3]Entry!$G$1966)</f>
        <v/>
      </c>
      <c r="AI1963" t="str">
        <f>IF([3]Entry!$K$1966="","",[3]Entry!$K$1966)</f>
        <v/>
      </c>
      <c r="AJ1963" t="str">
        <f>IF([3]Entry!$L$1966="","",[3]Entry!$L$1966)</f>
        <v/>
      </c>
      <c r="AK1963" t="str">
        <f>IF([3]Entry!$M$1966="","",[3]Entry!$M$1966)</f>
        <v/>
      </c>
      <c r="AL1963" t="str">
        <f>IF([3]Entry!$N$1966="","",[3]Entry!$N$1966)</f>
        <v/>
      </c>
      <c r="AM1963" t="str">
        <f>IF([3]Entry!$R$1966="","",[3]Entry!$R$1966)</f>
        <v/>
      </c>
    </row>
    <row r="1964" spans="20:39" x14ac:dyDescent="0.2">
      <c r="T1964" t="str">
        <f>IF([2]Baskol!$B$1967="","",[2]Baskol!$B$1967)</f>
        <v/>
      </c>
      <c r="U1964" t="str">
        <f>IF([2]Baskol!$C$1967="","",[2]Baskol!$C$1967)</f>
        <v/>
      </c>
      <c r="V1964" t="str">
        <f>IF([2]Baskol!$D$1967="","",[2]Baskol!$D$1967)</f>
        <v/>
      </c>
      <c r="W1964" t="str">
        <f>IF([2]Baskol!$E$1967="","",[2]Baskol!$E$1967)</f>
        <v/>
      </c>
      <c r="X1964" t="str">
        <f>IF([2]Baskol!$G$1967="","",[2]Baskol!$G$1967)</f>
        <v/>
      </c>
      <c r="Y1964" t="str">
        <f>IF([2]Baskol!$I$1967="","",[2]Baskol!$I$1967)</f>
        <v/>
      </c>
      <c r="Z1964" t="str">
        <f>IF([2]Baskol!$J$1967="","",[2]Baskol!$J$1967)</f>
        <v/>
      </c>
      <c r="AA1964" t="str">
        <f>IF([2]Baskol!$K$1967="","",[2]Baskol!$K$1967)</f>
        <v/>
      </c>
      <c r="AB1964" t="str">
        <f>IF([2]Baskol!$L$1967="","",[2]Baskol!$L$1967)</f>
        <v/>
      </c>
      <c r="AC1964" t="str">
        <f>IF([2]Baskol!$N$1967="","",[2]Baskol!$N$1967)</f>
        <v/>
      </c>
      <c r="AD1964" t="str">
        <f>IF([2]Baskol!$O$1967="","",[2]Baskol!$O$1967)</f>
        <v/>
      </c>
      <c r="AE1964" t="str">
        <f>IF([3]Entry!$C$1967="","",[3]Entry!$C$1967)</f>
        <v/>
      </c>
      <c r="AF1964" t="str">
        <f>IF([3]Entry!$D$1967="","",[3]Entry!$D$1967)</f>
        <v/>
      </c>
      <c r="AG1964" t="str">
        <f>IF([3]Entry!$E$1967="","",[3]Entry!$E$1967)</f>
        <v/>
      </c>
      <c r="AH1964" t="str">
        <f>IF([3]Entry!$G$1967="","",[3]Entry!$G$1967)</f>
        <v/>
      </c>
      <c r="AI1964" t="str">
        <f>IF([3]Entry!$K$1967="","",[3]Entry!$K$1967)</f>
        <v/>
      </c>
      <c r="AJ1964" t="str">
        <f>IF([3]Entry!$L$1967="","",[3]Entry!$L$1967)</f>
        <v/>
      </c>
      <c r="AK1964" t="str">
        <f>IF([3]Entry!$M$1967="","",[3]Entry!$M$1967)</f>
        <v/>
      </c>
      <c r="AL1964" t="str">
        <f>IF([3]Entry!$N$1967="","",[3]Entry!$N$1967)</f>
        <v/>
      </c>
      <c r="AM1964" t="str">
        <f>IF([3]Entry!$R$1967="","",[3]Entry!$R$1967)</f>
        <v/>
      </c>
    </row>
    <row r="1965" spans="20:39" x14ac:dyDescent="0.2">
      <c r="T1965" t="str">
        <f>IF([2]Baskol!$B$1968="","",[2]Baskol!$B$1968)</f>
        <v/>
      </c>
      <c r="U1965" t="str">
        <f>IF([2]Baskol!$C$1968="","",[2]Baskol!$C$1968)</f>
        <v/>
      </c>
      <c r="V1965" t="str">
        <f>IF([2]Baskol!$D$1968="","",[2]Baskol!$D$1968)</f>
        <v/>
      </c>
      <c r="W1965" t="str">
        <f>IF([2]Baskol!$E$1968="","",[2]Baskol!$E$1968)</f>
        <v/>
      </c>
      <c r="X1965" t="str">
        <f>IF([2]Baskol!$G$1968="","",[2]Baskol!$G$1968)</f>
        <v/>
      </c>
      <c r="Y1965" t="str">
        <f>IF([2]Baskol!$I$1968="","",[2]Baskol!$I$1968)</f>
        <v/>
      </c>
      <c r="Z1965" t="str">
        <f>IF([2]Baskol!$J$1968="","",[2]Baskol!$J$1968)</f>
        <v/>
      </c>
      <c r="AA1965" t="str">
        <f>IF([2]Baskol!$K$1968="","",[2]Baskol!$K$1968)</f>
        <v/>
      </c>
      <c r="AB1965" t="str">
        <f>IF([2]Baskol!$L$1968="","",[2]Baskol!$L$1968)</f>
        <v/>
      </c>
      <c r="AC1965" t="str">
        <f>IF([2]Baskol!$N$1968="","",[2]Baskol!$N$1968)</f>
        <v/>
      </c>
      <c r="AD1965" t="str">
        <f>IF([2]Baskol!$O$1968="","",[2]Baskol!$O$1968)</f>
        <v/>
      </c>
      <c r="AE1965" t="str">
        <f>IF([3]Entry!$C$1968="","",[3]Entry!$C$1968)</f>
        <v/>
      </c>
      <c r="AF1965" t="str">
        <f>IF([3]Entry!$D$1968="","",[3]Entry!$D$1968)</f>
        <v/>
      </c>
      <c r="AG1965" t="str">
        <f>IF([3]Entry!$E$1968="","",[3]Entry!$E$1968)</f>
        <v/>
      </c>
      <c r="AH1965" t="str">
        <f>IF([3]Entry!$G$1968="","",[3]Entry!$G$1968)</f>
        <v/>
      </c>
      <c r="AI1965" t="str">
        <f>IF([3]Entry!$K$1968="","",[3]Entry!$K$1968)</f>
        <v/>
      </c>
      <c r="AJ1965" t="str">
        <f>IF([3]Entry!$L$1968="","",[3]Entry!$L$1968)</f>
        <v/>
      </c>
      <c r="AK1965" t="str">
        <f>IF([3]Entry!$M$1968="","",[3]Entry!$M$1968)</f>
        <v/>
      </c>
      <c r="AL1965" t="str">
        <f>IF([3]Entry!$N$1968="","",[3]Entry!$N$1968)</f>
        <v/>
      </c>
      <c r="AM1965" t="str">
        <f>IF([3]Entry!$R$1968="","",[3]Entry!$R$1968)</f>
        <v/>
      </c>
    </row>
    <row r="1966" spans="20:39" x14ac:dyDescent="0.2">
      <c r="T1966" t="str">
        <f>IF([2]Baskol!$B$1969="","",[2]Baskol!$B$1969)</f>
        <v/>
      </c>
      <c r="U1966" t="str">
        <f>IF([2]Baskol!$C$1969="","",[2]Baskol!$C$1969)</f>
        <v/>
      </c>
      <c r="V1966" t="str">
        <f>IF([2]Baskol!$D$1969="","",[2]Baskol!$D$1969)</f>
        <v/>
      </c>
      <c r="W1966" t="str">
        <f>IF([2]Baskol!$E$1969="","",[2]Baskol!$E$1969)</f>
        <v/>
      </c>
      <c r="X1966" t="str">
        <f>IF([2]Baskol!$G$1969="","",[2]Baskol!$G$1969)</f>
        <v/>
      </c>
      <c r="Y1966" t="str">
        <f>IF([2]Baskol!$I$1969="","",[2]Baskol!$I$1969)</f>
        <v/>
      </c>
      <c r="Z1966" t="str">
        <f>IF([2]Baskol!$J$1969="","",[2]Baskol!$J$1969)</f>
        <v/>
      </c>
      <c r="AA1966" t="str">
        <f>IF([2]Baskol!$K$1969="","",[2]Baskol!$K$1969)</f>
        <v/>
      </c>
      <c r="AB1966" t="str">
        <f>IF([2]Baskol!$L$1969="","",[2]Baskol!$L$1969)</f>
        <v/>
      </c>
      <c r="AC1966" t="str">
        <f>IF([2]Baskol!$N$1969="","",[2]Baskol!$N$1969)</f>
        <v/>
      </c>
      <c r="AD1966" t="str">
        <f>IF([2]Baskol!$O$1969="","",[2]Baskol!$O$1969)</f>
        <v/>
      </c>
      <c r="AE1966" t="str">
        <f>IF([3]Entry!$C$1969="","",[3]Entry!$C$1969)</f>
        <v/>
      </c>
      <c r="AF1966" t="str">
        <f>IF([3]Entry!$D$1969="","",[3]Entry!$D$1969)</f>
        <v/>
      </c>
      <c r="AG1966" t="str">
        <f>IF([3]Entry!$E$1969="","",[3]Entry!$E$1969)</f>
        <v/>
      </c>
      <c r="AH1966" t="str">
        <f>IF([3]Entry!$G$1969="","",[3]Entry!$G$1969)</f>
        <v/>
      </c>
      <c r="AI1966" t="str">
        <f>IF([3]Entry!$K$1969="","",[3]Entry!$K$1969)</f>
        <v/>
      </c>
      <c r="AJ1966" t="str">
        <f>IF([3]Entry!$L$1969="","",[3]Entry!$L$1969)</f>
        <v/>
      </c>
      <c r="AK1966" t="str">
        <f>IF([3]Entry!$M$1969="","",[3]Entry!$M$1969)</f>
        <v/>
      </c>
      <c r="AL1966" t="str">
        <f>IF([3]Entry!$N$1969="","",[3]Entry!$N$1969)</f>
        <v/>
      </c>
      <c r="AM1966" t="str">
        <f>IF([3]Entry!$R$1969="","",[3]Entry!$R$1969)</f>
        <v/>
      </c>
    </row>
    <row r="1967" spans="20:39" x14ac:dyDescent="0.2">
      <c r="T1967" t="str">
        <f>IF([2]Baskol!$B$1970="","",[2]Baskol!$B$1970)</f>
        <v/>
      </c>
      <c r="U1967" t="str">
        <f>IF([2]Baskol!$C$1970="","",[2]Baskol!$C$1970)</f>
        <v/>
      </c>
      <c r="V1967" t="str">
        <f>IF([2]Baskol!$D$1970="","",[2]Baskol!$D$1970)</f>
        <v/>
      </c>
      <c r="W1967" t="str">
        <f>IF([2]Baskol!$E$1970="","",[2]Baskol!$E$1970)</f>
        <v/>
      </c>
      <c r="X1967" t="str">
        <f>IF([2]Baskol!$G$1970="","",[2]Baskol!$G$1970)</f>
        <v/>
      </c>
      <c r="Y1967" t="str">
        <f>IF([2]Baskol!$I$1970="","",[2]Baskol!$I$1970)</f>
        <v/>
      </c>
      <c r="Z1967" t="str">
        <f>IF([2]Baskol!$J$1970="","",[2]Baskol!$J$1970)</f>
        <v/>
      </c>
      <c r="AA1967" t="str">
        <f>IF([2]Baskol!$K$1970="","",[2]Baskol!$K$1970)</f>
        <v/>
      </c>
      <c r="AB1967" t="str">
        <f>IF([2]Baskol!$L$1970="","",[2]Baskol!$L$1970)</f>
        <v/>
      </c>
      <c r="AC1967" t="str">
        <f>IF([2]Baskol!$N$1970="","",[2]Baskol!$N$1970)</f>
        <v/>
      </c>
      <c r="AD1967" t="str">
        <f>IF([2]Baskol!$O$1970="","",[2]Baskol!$O$1970)</f>
        <v/>
      </c>
      <c r="AE1967" t="str">
        <f>IF([3]Entry!$C$1970="","",[3]Entry!$C$1970)</f>
        <v/>
      </c>
      <c r="AF1967" t="str">
        <f>IF([3]Entry!$D$1970="","",[3]Entry!$D$1970)</f>
        <v/>
      </c>
      <c r="AG1967" t="str">
        <f>IF([3]Entry!$E$1970="","",[3]Entry!$E$1970)</f>
        <v/>
      </c>
      <c r="AH1967" t="str">
        <f>IF([3]Entry!$G$1970="","",[3]Entry!$G$1970)</f>
        <v/>
      </c>
      <c r="AI1967" t="str">
        <f>IF([3]Entry!$K$1970="","",[3]Entry!$K$1970)</f>
        <v/>
      </c>
      <c r="AJ1967" t="str">
        <f>IF([3]Entry!$L$1970="","",[3]Entry!$L$1970)</f>
        <v/>
      </c>
      <c r="AK1967" t="str">
        <f>IF([3]Entry!$M$1970="","",[3]Entry!$M$1970)</f>
        <v/>
      </c>
      <c r="AL1967" t="str">
        <f>IF([3]Entry!$N$1970="","",[3]Entry!$N$1970)</f>
        <v/>
      </c>
      <c r="AM1967" t="str">
        <f>IF([3]Entry!$R$1970="","",[3]Entry!$R$1970)</f>
        <v/>
      </c>
    </row>
    <row r="1968" spans="20:39" x14ac:dyDescent="0.2">
      <c r="T1968" t="str">
        <f>IF([2]Baskol!$B$1971="","",[2]Baskol!$B$1971)</f>
        <v/>
      </c>
      <c r="U1968" t="str">
        <f>IF([2]Baskol!$C$1971="","",[2]Baskol!$C$1971)</f>
        <v/>
      </c>
      <c r="V1968" t="str">
        <f>IF([2]Baskol!$D$1971="","",[2]Baskol!$D$1971)</f>
        <v/>
      </c>
      <c r="W1968" t="str">
        <f>IF([2]Baskol!$E$1971="","",[2]Baskol!$E$1971)</f>
        <v/>
      </c>
      <c r="X1968" t="str">
        <f>IF([2]Baskol!$G$1971="","",[2]Baskol!$G$1971)</f>
        <v/>
      </c>
      <c r="Y1968" t="str">
        <f>IF([2]Baskol!$I$1971="","",[2]Baskol!$I$1971)</f>
        <v/>
      </c>
      <c r="Z1968" t="str">
        <f>IF([2]Baskol!$J$1971="","",[2]Baskol!$J$1971)</f>
        <v/>
      </c>
      <c r="AA1968" t="str">
        <f>IF([2]Baskol!$K$1971="","",[2]Baskol!$K$1971)</f>
        <v/>
      </c>
      <c r="AB1968" t="str">
        <f>IF([2]Baskol!$L$1971="","",[2]Baskol!$L$1971)</f>
        <v/>
      </c>
      <c r="AC1968" t="str">
        <f>IF([2]Baskol!$N$1971="","",[2]Baskol!$N$1971)</f>
        <v/>
      </c>
      <c r="AD1968" t="str">
        <f>IF([2]Baskol!$O$1971="","",[2]Baskol!$O$1971)</f>
        <v/>
      </c>
      <c r="AE1968" t="str">
        <f>IF([3]Entry!$C$1971="","",[3]Entry!$C$1971)</f>
        <v/>
      </c>
      <c r="AF1968" t="str">
        <f>IF([3]Entry!$D$1971="","",[3]Entry!$D$1971)</f>
        <v/>
      </c>
      <c r="AG1968" t="str">
        <f>IF([3]Entry!$E$1971="","",[3]Entry!$E$1971)</f>
        <v/>
      </c>
      <c r="AH1968" t="str">
        <f>IF([3]Entry!$G$1971="","",[3]Entry!$G$1971)</f>
        <v/>
      </c>
      <c r="AI1968" t="str">
        <f>IF([3]Entry!$K$1971="","",[3]Entry!$K$1971)</f>
        <v/>
      </c>
      <c r="AJ1968" t="str">
        <f>IF([3]Entry!$L$1971="","",[3]Entry!$L$1971)</f>
        <v/>
      </c>
      <c r="AK1968" t="str">
        <f>IF([3]Entry!$M$1971="","",[3]Entry!$M$1971)</f>
        <v/>
      </c>
      <c r="AL1968" t="str">
        <f>IF([3]Entry!$N$1971="","",[3]Entry!$N$1971)</f>
        <v/>
      </c>
      <c r="AM1968" t="str">
        <f>IF([3]Entry!$R$1971="","",[3]Entry!$R$1971)</f>
        <v/>
      </c>
    </row>
    <row r="1969" spans="20:39" x14ac:dyDescent="0.2">
      <c r="T1969" t="str">
        <f>IF([2]Baskol!$B$1972="","",[2]Baskol!$B$1972)</f>
        <v/>
      </c>
      <c r="U1969" t="str">
        <f>IF([2]Baskol!$C$1972="","",[2]Baskol!$C$1972)</f>
        <v/>
      </c>
      <c r="V1969" t="str">
        <f>IF([2]Baskol!$D$1972="","",[2]Baskol!$D$1972)</f>
        <v/>
      </c>
      <c r="W1969" t="str">
        <f>IF([2]Baskol!$E$1972="","",[2]Baskol!$E$1972)</f>
        <v/>
      </c>
      <c r="X1969" t="str">
        <f>IF([2]Baskol!$G$1972="","",[2]Baskol!$G$1972)</f>
        <v/>
      </c>
      <c r="Y1969" t="str">
        <f>IF([2]Baskol!$I$1972="","",[2]Baskol!$I$1972)</f>
        <v/>
      </c>
      <c r="Z1969" t="str">
        <f>IF([2]Baskol!$J$1972="","",[2]Baskol!$J$1972)</f>
        <v/>
      </c>
      <c r="AA1969" t="str">
        <f>IF([2]Baskol!$K$1972="","",[2]Baskol!$K$1972)</f>
        <v/>
      </c>
      <c r="AB1969" t="str">
        <f>IF([2]Baskol!$L$1972="","",[2]Baskol!$L$1972)</f>
        <v/>
      </c>
      <c r="AC1969" t="str">
        <f>IF([2]Baskol!$N$1972="","",[2]Baskol!$N$1972)</f>
        <v/>
      </c>
      <c r="AD1969" t="str">
        <f>IF([2]Baskol!$O$1972="","",[2]Baskol!$O$1972)</f>
        <v/>
      </c>
      <c r="AE1969" t="str">
        <f>IF([3]Entry!$C$1972="","",[3]Entry!$C$1972)</f>
        <v/>
      </c>
      <c r="AF1969" t="str">
        <f>IF([3]Entry!$D$1972="","",[3]Entry!$D$1972)</f>
        <v/>
      </c>
      <c r="AG1969" t="str">
        <f>IF([3]Entry!$E$1972="","",[3]Entry!$E$1972)</f>
        <v/>
      </c>
      <c r="AH1969" t="str">
        <f>IF([3]Entry!$G$1972="","",[3]Entry!$G$1972)</f>
        <v/>
      </c>
      <c r="AI1969" t="str">
        <f>IF([3]Entry!$K$1972="","",[3]Entry!$K$1972)</f>
        <v/>
      </c>
      <c r="AJ1969" t="str">
        <f>IF([3]Entry!$L$1972="","",[3]Entry!$L$1972)</f>
        <v/>
      </c>
      <c r="AK1969" t="str">
        <f>IF([3]Entry!$M$1972="","",[3]Entry!$M$1972)</f>
        <v/>
      </c>
      <c r="AL1969" t="str">
        <f>IF([3]Entry!$N$1972="","",[3]Entry!$N$1972)</f>
        <v/>
      </c>
      <c r="AM1969" t="str">
        <f>IF([3]Entry!$R$1972="","",[3]Entry!$R$1972)</f>
        <v/>
      </c>
    </row>
    <row r="1970" spans="20:39" x14ac:dyDescent="0.2">
      <c r="T1970" t="str">
        <f>IF([2]Baskol!$B$1973="","",[2]Baskol!$B$1973)</f>
        <v/>
      </c>
      <c r="U1970" t="str">
        <f>IF([2]Baskol!$C$1973="","",[2]Baskol!$C$1973)</f>
        <v/>
      </c>
      <c r="V1970" t="str">
        <f>IF([2]Baskol!$D$1973="","",[2]Baskol!$D$1973)</f>
        <v/>
      </c>
      <c r="W1970" t="str">
        <f>IF([2]Baskol!$E$1973="","",[2]Baskol!$E$1973)</f>
        <v/>
      </c>
      <c r="X1970" t="str">
        <f>IF([2]Baskol!$G$1973="","",[2]Baskol!$G$1973)</f>
        <v/>
      </c>
      <c r="Y1970" t="str">
        <f>IF([2]Baskol!$I$1973="","",[2]Baskol!$I$1973)</f>
        <v/>
      </c>
      <c r="Z1970" t="str">
        <f>IF([2]Baskol!$J$1973="","",[2]Baskol!$J$1973)</f>
        <v/>
      </c>
      <c r="AA1970" t="str">
        <f>IF([2]Baskol!$K$1973="","",[2]Baskol!$K$1973)</f>
        <v/>
      </c>
      <c r="AB1970" t="str">
        <f>IF([2]Baskol!$L$1973="","",[2]Baskol!$L$1973)</f>
        <v/>
      </c>
      <c r="AC1970" t="str">
        <f>IF([2]Baskol!$N$1973="","",[2]Baskol!$N$1973)</f>
        <v/>
      </c>
      <c r="AD1970" t="str">
        <f>IF([2]Baskol!$O$1973="","",[2]Baskol!$O$1973)</f>
        <v/>
      </c>
      <c r="AE1970" t="str">
        <f>IF([3]Entry!$C$1973="","",[3]Entry!$C$1973)</f>
        <v/>
      </c>
      <c r="AF1970" t="str">
        <f>IF([3]Entry!$D$1973="","",[3]Entry!$D$1973)</f>
        <v/>
      </c>
      <c r="AG1970" t="str">
        <f>IF([3]Entry!$E$1973="","",[3]Entry!$E$1973)</f>
        <v/>
      </c>
      <c r="AH1970" t="str">
        <f>IF([3]Entry!$G$1973="","",[3]Entry!$G$1973)</f>
        <v/>
      </c>
      <c r="AI1970" t="str">
        <f>IF([3]Entry!$K$1973="","",[3]Entry!$K$1973)</f>
        <v/>
      </c>
      <c r="AJ1970" t="str">
        <f>IF([3]Entry!$L$1973="","",[3]Entry!$L$1973)</f>
        <v/>
      </c>
      <c r="AK1970" t="str">
        <f>IF([3]Entry!$M$1973="","",[3]Entry!$M$1973)</f>
        <v/>
      </c>
      <c r="AL1970" t="str">
        <f>IF([3]Entry!$N$1973="","",[3]Entry!$N$1973)</f>
        <v/>
      </c>
      <c r="AM1970" t="str">
        <f>IF([3]Entry!$R$1973="","",[3]Entry!$R$1973)</f>
        <v/>
      </c>
    </row>
    <row r="1971" spans="20:39" x14ac:dyDescent="0.2">
      <c r="T1971" t="str">
        <f>IF([2]Baskol!$B$1974="","",[2]Baskol!$B$1974)</f>
        <v/>
      </c>
      <c r="U1971" t="str">
        <f>IF([2]Baskol!$C$1974="","",[2]Baskol!$C$1974)</f>
        <v/>
      </c>
      <c r="V1971" t="str">
        <f>IF([2]Baskol!$D$1974="","",[2]Baskol!$D$1974)</f>
        <v/>
      </c>
      <c r="W1971" t="str">
        <f>IF([2]Baskol!$E$1974="","",[2]Baskol!$E$1974)</f>
        <v/>
      </c>
      <c r="X1971" t="str">
        <f>IF([2]Baskol!$G$1974="","",[2]Baskol!$G$1974)</f>
        <v/>
      </c>
      <c r="Y1971" t="str">
        <f>IF([2]Baskol!$I$1974="","",[2]Baskol!$I$1974)</f>
        <v/>
      </c>
      <c r="Z1971" t="str">
        <f>IF([2]Baskol!$J$1974="","",[2]Baskol!$J$1974)</f>
        <v/>
      </c>
      <c r="AA1971" t="str">
        <f>IF([2]Baskol!$K$1974="","",[2]Baskol!$K$1974)</f>
        <v/>
      </c>
      <c r="AB1971" t="str">
        <f>IF([2]Baskol!$L$1974="","",[2]Baskol!$L$1974)</f>
        <v/>
      </c>
      <c r="AC1971" t="str">
        <f>IF([2]Baskol!$N$1974="","",[2]Baskol!$N$1974)</f>
        <v/>
      </c>
      <c r="AD1971" t="str">
        <f>IF([2]Baskol!$O$1974="","",[2]Baskol!$O$1974)</f>
        <v/>
      </c>
      <c r="AE1971" t="str">
        <f>IF([3]Entry!$C$1974="","",[3]Entry!$C$1974)</f>
        <v/>
      </c>
      <c r="AF1971" t="str">
        <f>IF([3]Entry!$D$1974="","",[3]Entry!$D$1974)</f>
        <v/>
      </c>
      <c r="AG1971" t="str">
        <f>IF([3]Entry!$E$1974="","",[3]Entry!$E$1974)</f>
        <v/>
      </c>
      <c r="AH1971" t="str">
        <f>IF([3]Entry!$G$1974="","",[3]Entry!$G$1974)</f>
        <v/>
      </c>
      <c r="AI1971" t="str">
        <f>IF([3]Entry!$K$1974="","",[3]Entry!$K$1974)</f>
        <v/>
      </c>
      <c r="AJ1971" t="str">
        <f>IF([3]Entry!$L$1974="","",[3]Entry!$L$1974)</f>
        <v/>
      </c>
      <c r="AK1971" t="str">
        <f>IF([3]Entry!$M$1974="","",[3]Entry!$M$1974)</f>
        <v/>
      </c>
      <c r="AL1971" t="str">
        <f>IF([3]Entry!$N$1974="","",[3]Entry!$N$1974)</f>
        <v/>
      </c>
      <c r="AM1971" t="str">
        <f>IF([3]Entry!$R$1974="","",[3]Entry!$R$1974)</f>
        <v/>
      </c>
    </row>
    <row r="1972" spans="20:39" x14ac:dyDescent="0.2">
      <c r="T1972" t="str">
        <f>IF([2]Baskol!$B$1975="","",[2]Baskol!$B$1975)</f>
        <v/>
      </c>
      <c r="U1972" t="str">
        <f>IF([2]Baskol!$C$1975="","",[2]Baskol!$C$1975)</f>
        <v/>
      </c>
      <c r="V1972" t="str">
        <f>IF([2]Baskol!$D$1975="","",[2]Baskol!$D$1975)</f>
        <v/>
      </c>
      <c r="W1972" t="str">
        <f>IF([2]Baskol!$E$1975="","",[2]Baskol!$E$1975)</f>
        <v/>
      </c>
      <c r="X1972" t="str">
        <f>IF([2]Baskol!$G$1975="","",[2]Baskol!$G$1975)</f>
        <v/>
      </c>
      <c r="Y1972" t="str">
        <f>IF([2]Baskol!$I$1975="","",[2]Baskol!$I$1975)</f>
        <v/>
      </c>
      <c r="Z1972" t="str">
        <f>IF([2]Baskol!$J$1975="","",[2]Baskol!$J$1975)</f>
        <v/>
      </c>
      <c r="AA1972" t="str">
        <f>IF([2]Baskol!$K$1975="","",[2]Baskol!$K$1975)</f>
        <v/>
      </c>
      <c r="AB1972" t="str">
        <f>IF([2]Baskol!$L$1975="","",[2]Baskol!$L$1975)</f>
        <v/>
      </c>
      <c r="AC1972" t="str">
        <f>IF([2]Baskol!$N$1975="","",[2]Baskol!$N$1975)</f>
        <v/>
      </c>
      <c r="AD1972" t="str">
        <f>IF([2]Baskol!$O$1975="","",[2]Baskol!$O$1975)</f>
        <v/>
      </c>
      <c r="AE1972" t="str">
        <f>IF([3]Entry!$C$1975="","",[3]Entry!$C$1975)</f>
        <v/>
      </c>
      <c r="AF1972" t="str">
        <f>IF([3]Entry!$D$1975="","",[3]Entry!$D$1975)</f>
        <v/>
      </c>
      <c r="AG1972" t="str">
        <f>IF([3]Entry!$E$1975="","",[3]Entry!$E$1975)</f>
        <v/>
      </c>
      <c r="AH1972" t="str">
        <f>IF([3]Entry!$G$1975="","",[3]Entry!$G$1975)</f>
        <v/>
      </c>
      <c r="AI1972" t="str">
        <f>IF([3]Entry!$K$1975="","",[3]Entry!$K$1975)</f>
        <v/>
      </c>
      <c r="AJ1972" t="str">
        <f>IF([3]Entry!$L$1975="","",[3]Entry!$L$1975)</f>
        <v/>
      </c>
      <c r="AK1972" t="str">
        <f>IF([3]Entry!$M$1975="","",[3]Entry!$M$1975)</f>
        <v/>
      </c>
      <c r="AL1972" t="str">
        <f>IF([3]Entry!$N$1975="","",[3]Entry!$N$1975)</f>
        <v/>
      </c>
      <c r="AM1972" t="str">
        <f>IF([3]Entry!$R$1975="","",[3]Entry!$R$1975)</f>
        <v/>
      </c>
    </row>
    <row r="1973" spans="20:39" x14ac:dyDescent="0.2">
      <c r="T1973" t="str">
        <f>IF([2]Baskol!$B$1976="","",[2]Baskol!$B$1976)</f>
        <v/>
      </c>
      <c r="U1973" t="str">
        <f>IF([2]Baskol!$C$1976="","",[2]Baskol!$C$1976)</f>
        <v/>
      </c>
      <c r="V1973" t="str">
        <f>IF([2]Baskol!$D$1976="","",[2]Baskol!$D$1976)</f>
        <v/>
      </c>
      <c r="W1973" t="str">
        <f>IF([2]Baskol!$E$1976="","",[2]Baskol!$E$1976)</f>
        <v/>
      </c>
      <c r="X1973" t="str">
        <f>IF([2]Baskol!$G$1976="","",[2]Baskol!$G$1976)</f>
        <v/>
      </c>
      <c r="Y1973" t="str">
        <f>IF([2]Baskol!$I$1976="","",[2]Baskol!$I$1976)</f>
        <v/>
      </c>
      <c r="Z1973" t="str">
        <f>IF([2]Baskol!$J$1976="","",[2]Baskol!$J$1976)</f>
        <v/>
      </c>
      <c r="AA1973" t="str">
        <f>IF([2]Baskol!$K$1976="","",[2]Baskol!$K$1976)</f>
        <v/>
      </c>
      <c r="AB1973" t="str">
        <f>IF([2]Baskol!$L$1976="","",[2]Baskol!$L$1976)</f>
        <v/>
      </c>
      <c r="AC1973" t="str">
        <f>IF([2]Baskol!$N$1976="","",[2]Baskol!$N$1976)</f>
        <v/>
      </c>
      <c r="AD1973" t="str">
        <f>IF([2]Baskol!$O$1976="","",[2]Baskol!$O$1976)</f>
        <v/>
      </c>
      <c r="AE1973" t="str">
        <f>IF([3]Entry!$C$1976="","",[3]Entry!$C$1976)</f>
        <v/>
      </c>
      <c r="AF1973" t="str">
        <f>IF([3]Entry!$D$1976="","",[3]Entry!$D$1976)</f>
        <v/>
      </c>
      <c r="AG1973" t="str">
        <f>IF([3]Entry!$E$1976="","",[3]Entry!$E$1976)</f>
        <v/>
      </c>
      <c r="AH1973" t="str">
        <f>IF([3]Entry!$G$1976="","",[3]Entry!$G$1976)</f>
        <v/>
      </c>
      <c r="AI1973" t="str">
        <f>IF([3]Entry!$K$1976="","",[3]Entry!$K$1976)</f>
        <v/>
      </c>
      <c r="AJ1973" t="str">
        <f>IF([3]Entry!$L$1976="","",[3]Entry!$L$1976)</f>
        <v/>
      </c>
      <c r="AK1973" t="str">
        <f>IF([3]Entry!$M$1976="","",[3]Entry!$M$1976)</f>
        <v/>
      </c>
      <c r="AL1973" t="str">
        <f>IF([3]Entry!$N$1976="","",[3]Entry!$N$1976)</f>
        <v/>
      </c>
      <c r="AM1973" t="str">
        <f>IF([3]Entry!$R$1976="","",[3]Entry!$R$1976)</f>
        <v/>
      </c>
    </row>
    <row r="1974" spans="20:39" x14ac:dyDescent="0.2">
      <c r="T1974" t="str">
        <f>IF([2]Baskol!$B$1977="","",[2]Baskol!$B$1977)</f>
        <v/>
      </c>
      <c r="U1974" t="str">
        <f>IF([2]Baskol!$C$1977="","",[2]Baskol!$C$1977)</f>
        <v/>
      </c>
      <c r="V1974" t="str">
        <f>IF([2]Baskol!$D$1977="","",[2]Baskol!$D$1977)</f>
        <v/>
      </c>
      <c r="W1974" t="str">
        <f>IF([2]Baskol!$E$1977="","",[2]Baskol!$E$1977)</f>
        <v/>
      </c>
      <c r="X1974" t="str">
        <f>IF([2]Baskol!$G$1977="","",[2]Baskol!$G$1977)</f>
        <v/>
      </c>
      <c r="Y1974" t="str">
        <f>IF([2]Baskol!$I$1977="","",[2]Baskol!$I$1977)</f>
        <v/>
      </c>
      <c r="Z1974" t="str">
        <f>IF([2]Baskol!$J$1977="","",[2]Baskol!$J$1977)</f>
        <v/>
      </c>
      <c r="AA1974" t="str">
        <f>IF([2]Baskol!$K$1977="","",[2]Baskol!$K$1977)</f>
        <v/>
      </c>
      <c r="AB1974" t="str">
        <f>IF([2]Baskol!$L$1977="","",[2]Baskol!$L$1977)</f>
        <v/>
      </c>
      <c r="AC1974" t="str">
        <f>IF([2]Baskol!$N$1977="","",[2]Baskol!$N$1977)</f>
        <v/>
      </c>
      <c r="AD1974" t="str">
        <f>IF([2]Baskol!$O$1977="","",[2]Baskol!$O$1977)</f>
        <v/>
      </c>
      <c r="AE1974" t="str">
        <f>IF([3]Entry!$C$1977="","",[3]Entry!$C$1977)</f>
        <v/>
      </c>
      <c r="AF1974" t="str">
        <f>IF([3]Entry!$D$1977="","",[3]Entry!$D$1977)</f>
        <v/>
      </c>
      <c r="AG1974" t="str">
        <f>IF([3]Entry!$E$1977="","",[3]Entry!$E$1977)</f>
        <v/>
      </c>
      <c r="AH1974" t="str">
        <f>IF([3]Entry!$G$1977="","",[3]Entry!$G$1977)</f>
        <v/>
      </c>
      <c r="AI1974" t="str">
        <f>IF([3]Entry!$K$1977="","",[3]Entry!$K$1977)</f>
        <v/>
      </c>
      <c r="AJ1974" t="str">
        <f>IF([3]Entry!$L$1977="","",[3]Entry!$L$1977)</f>
        <v/>
      </c>
      <c r="AK1974" t="str">
        <f>IF([3]Entry!$M$1977="","",[3]Entry!$M$1977)</f>
        <v/>
      </c>
      <c r="AL1974" t="str">
        <f>IF([3]Entry!$N$1977="","",[3]Entry!$N$1977)</f>
        <v/>
      </c>
      <c r="AM1974" t="str">
        <f>IF([3]Entry!$R$1977="","",[3]Entry!$R$1977)</f>
        <v/>
      </c>
    </row>
    <row r="1975" spans="20:39" x14ac:dyDescent="0.2">
      <c r="T1975" t="str">
        <f>IF([2]Baskol!$B$1978="","",[2]Baskol!$B$1978)</f>
        <v/>
      </c>
      <c r="U1975" t="str">
        <f>IF([2]Baskol!$C$1978="","",[2]Baskol!$C$1978)</f>
        <v/>
      </c>
      <c r="V1975" t="str">
        <f>IF([2]Baskol!$D$1978="","",[2]Baskol!$D$1978)</f>
        <v/>
      </c>
      <c r="W1975" t="str">
        <f>IF([2]Baskol!$E$1978="","",[2]Baskol!$E$1978)</f>
        <v/>
      </c>
      <c r="X1975" t="str">
        <f>IF([2]Baskol!$G$1978="","",[2]Baskol!$G$1978)</f>
        <v/>
      </c>
      <c r="Y1975" t="str">
        <f>IF([2]Baskol!$I$1978="","",[2]Baskol!$I$1978)</f>
        <v/>
      </c>
      <c r="Z1975" t="str">
        <f>IF([2]Baskol!$J$1978="","",[2]Baskol!$J$1978)</f>
        <v/>
      </c>
      <c r="AA1975" t="str">
        <f>IF([2]Baskol!$K$1978="","",[2]Baskol!$K$1978)</f>
        <v/>
      </c>
      <c r="AB1975" t="str">
        <f>IF([2]Baskol!$L$1978="","",[2]Baskol!$L$1978)</f>
        <v/>
      </c>
      <c r="AC1975" t="str">
        <f>IF([2]Baskol!$N$1978="","",[2]Baskol!$N$1978)</f>
        <v/>
      </c>
      <c r="AD1975" t="str">
        <f>IF([2]Baskol!$O$1978="","",[2]Baskol!$O$1978)</f>
        <v/>
      </c>
      <c r="AE1975" t="str">
        <f>IF([3]Entry!$C$1978="","",[3]Entry!$C$1978)</f>
        <v/>
      </c>
      <c r="AF1975" t="str">
        <f>IF([3]Entry!$D$1978="","",[3]Entry!$D$1978)</f>
        <v/>
      </c>
      <c r="AG1975" t="str">
        <f>IF([3]Entry!$E$1978="","",[3]Entry!$E$1978)</f>
        <v/>
      </c>
      <c r="AH1975" t="str">
        <f>IF([3]Entry!$G$1978="","",[3]Entry!$G$1978)</f>
        <v/>
      </c>
      <c r="AI1975" t="str">
        <f>IF([3]Entry!$K$1978="","",[3]Entry!$K$1978)</f>
        <v/>
      </c>
      <c r="AJ1975" t="str">
        <f>IF([3]Entry!$L$1978="","",[3]Entry!$L$1978)</f>
        <v/>
      </c>
      <c r="AK1975" t="str">
        <f>IF([3]Entry!$M$1978="","",[3]Entry!$M$1978)</f>
        <v/>
      </c>
      <c r="AL1975" t="str">
        <f>IF([3]Entry!$N$1978="","",[3]Entry!$N$1978)</f>
        <v/>
      </c>
      <c r="AM1975" t="str">
        <f>IF([3]Entry!$R$1978="","",[3]Entry!$R$1978)</f>
        <v/>
      </c>
    </row>
    <row r="1976" spans="20:39" x14ac:dyDescent="0.2">
      <c r="T1976" t="str">
        <f>IF([2]Baskol!$B$1979="","",[2]Baskol!$B$1979)</f>
        <v/>
      </c>
      <c r="U1976" t="str">
        <f>IF([2]Baskol!$C$1979="","",[2]Baskol!$C$1979)</f>
        <v/>
      </c>
      <c r="V1976" t="str">
        <f>IF([2]Baskol!$D$1979="","",[2]Baskol!$D$1979)</f>
        <v/>
      </c>
      <c r="W1976" t="str">
        <f>IF([2]Baskol!$E$1979="","",[2]Baskol!$E$1979)</f>
        <v/>
      </c>
      <c r="X1976" t="str">
        <f>IF([2]Baskol!$G$1979="","",[2]Baskol!$G$1979)</f>
        <v/>
      </c>
      <c r="Y1976" t="str">
        <f>IF([2]Baskol!$I$1979="","",[2]Baskol!$I$1979)</f>
        <v/>
      </c>
      <c r="Z1976" t="str">
        <f>IF([2]Baskol!$J$1979="","",[2]Baskol!$J$1979)</f>
        <v/>
      </c>
      <c r="AA1976" t="str">
        <f>IF([2]Baskol!$K$1979="","",[2]Baskol!$K$1979)</f>
        <v/>
      </c>
      <c r="AB1976" t="str">
        <f>IF([2]Baskol!$L$1979="","",[2]Baskol!$L$1979)</f>
        <v/>
      </c>
      <c r="AC1976" t="str">
        <f>IF([2]Baskol!$N$1979="","",[2]Baskol!$N$1979)</f>
        <v/>
      </c>
      <c r="AD1976" t="str">
        <f>IF([2]Baskol!$O$1979="","",[2]Baskol!$O$1979)</f>
        <v/>
      </c>
      <c r="AE1976" t="str">
        <f>IF([3]Entry!$C$1979="","",[3]Entry!$C$1979)</f>
        <v/>
      </c>
      <c r="AF1976" t="str">
        <f>IF([3]Entry!$D$1979="","",[3]Entry!$D$1979)</f>
        <v/>
      </c>
      <c r="AG1976" t="str">
        <f>IF([3]Entry!$E$1979="","",[3]Entry!$E$1979)</f>
        <v/>
      </c>
      <c r="AH1976" t="str">
        <f>IF([3]Entry!$G$1979="","",[3]Entry!$G$1979)</f>
        <v/>
      </c>
      <c r="AI1976" t="str">
        <f>IF([3]Entry!$K$1979="","",[3]Entry!$K$1979)</f>
        <v/>
      </c>
      <c r="AJ1976" t="str">
        <f>IF([3]Entry!$L$1979="","",[3]Entry!$L$1979)</f>
        <v/>
      </c>
      <c r="AK1976" t="str">
        <f>IF([3]Entry!$M$1979="","",[3]Entry!$M$1979)</f>
        <v/>
      </c>
      <c r="AL1976" t="str">
        <f>IF([3]Entry!$N$1979="","",[3]Entry!$N$1979)</f>
        <v/>
      </c>
      <c r="AM1976" t="str">
        <f>IF([3]Entry!$R$1979="","",[3]Entry!$R$1979)</f>
        <v/>
      </c>
    </row>
    <row r="1977" spans="20:39" x14ac:dyDescent="0.2">
      <c r="T1977" t="str">
        <f>IF([2]Baskol!$B$1980="","",[2]Baskol!$B$1980)</f>
        <v/>
      </c>
      <c r="U1977" t="str">
        <f>IF([2]Baskol!$C$1980="","",[2]Baskol!$C$1980)</f>
        <v/>
      </c>
      <c r="V1977" t="str">
        <f>IF([2]Baskol!$D$1980="","",[2]Baskol!$D$1980)</f>
        <v/>
      </c>
      <c r="W1977" t="str">
        <f>IF([2]Baskol!$E$1980="","",[2]Baskol!$E$1980)</f>
        <v/>
      </c>
      <c r="X1977" t="str">
        <f>IF([2]Baskol!$G$1980="","",[2]Baskol!$G$1980)</f>
        <v/>
      </c>
      <c r="Y1977" t="str">
        <f>IF([2]Baskol!$I$1980="","",[2]Baskol!$I$1980)</f>
        <v/>
      </c>
      <c r="Z1977" t="str">
        <f>IF([2]Baskol!$J$1980="","",[2]Baskol!$J$1980)</f>
        <v/>
      </c>
      <c r="AA1977" t="str">
        <f>IF([2]Baskol!$K$1980="","",[2]Baskol!$K$1980)</f>
        <v/>
      </c>
      <c r="AB1977" t="str">
        <f>IF([2]Baskol!$L$1980="","",[2]Baskol!$L$1980)</f>
        <v/>
      </c>
      <c r="AC1977" t="str">
        <f>IF([2]Baskol!$N$1980="","",[2]Baskol!$N$1980)</f>
        <v/>
      </c>
      <c r="AD1977" t="str">
        <f>IF([2]Baskol!$O$1980="","",[2]Baskol!$O$1980)</f>
        <v/>
      </c>
      <c r="AE1977" t="str">
        <f>IF([3]Entry!$C$1980="","",[3]Entry!$C$1980)</f>
        <v/>
      </c>
      <c r="AF1977" t="str">
        <f>IF([3]Entry!$D$1980="","",[3]Entry!$D$1980)</f>
        <v/>
      </c>
      <c r="AG1977" t="str">
        <f>IF([3]Entry!$E$1980="","",[3]Entry!$E$1980)</f>
        <v/>
      </c>
      <c r="AH1977" t="str">
        <f>IF([3]Entry!$G$1980="","",[3]Entry!$G$1980)</f>
        <v/>
      </c>
      <c r="AI1977" t="str">
        <f>IF([3]Entry!$K$1980="","",[3]Entry!$K$1980)</f>
        <v/>
      </c>
      <c r="AJ1977" t="str">
        <f>IF([3]Entry!$L$1980="","",[3]Entry!$L$1980)</f>
        <v/>
      </c>
      <c r="AK1977" t="str">
        <f>IF([3]Entry!$M$1980="","",[3]Entry!$M$1980)</f>
        <v/>
      </c>
      <c r="AL1977" t="str">
        <f>IF([3]Entry!$N$1980="","",[3]Entry!$N$1980)</f>
        <v/>
      </c>
      <c r="AM1977" t="str">
        <f>IF([3]Entry!$R$1980="","",[3]Entry!$R$1980)</f>
        <v/>
      </c>
    </row>
    <row r="1978" spans="20:39" x14ac:dyDescent="0.2">
      <c r="T1978" t="str">
        <f>IF([2]Baskol!$B$1981="","",[2]Baskol!$B$1981)</f>
        <v/>
      </c>
      <c r="U1978" t="str">
        <f>IF([2]Baskol!$C$1981="","",[2]Baskol!$C$1981)</f>
        <v/>
      </c>
      <c r="V1978" t="str">
        <f>IF([2]Baskol!$D$1981="","",[2]Baskol!$D$1981)</f>
        <v/>
      </c>
      <c r="W1978" t="str">
        <f>IF([2]Baskol!$E$1981="","",[2]Baskol!$E$1981)</f>
        <v/>
      </c>
      <c r="X1978" t="str">
        <f>IF([2]Baskol!$G$1981="","",[2]Baskol!$G$1981)</f>
        <v/>
      </c>
      <c r="Y1978" t="str">
        <f>IF([2]Baskol!$I$1981="","",[2]Baskol!$I$1981)</f>
        <v/>
      </c>
      <c r="Z1978" t="str">
        <f>IF([2]Baskol!$J$1981="","",[2]Baskol!$J$1981)</f>
        <v/>
      </c>
      <c r="AA1978" t="str">
        <f>IF([2]Baskol!$K$1981="","",[2]Baskol!$K$1981)</f>
        <v/>
      </c>
      <c r="AB1978" t="str">
        <f>IF([2]Baskol!$L$1981="","",[2]Baskol!$L$1981)</f>
        <v/>
      </c>
      <c r="AC1978" t="str">
        <f>IF([2]Baskol!$N$1981="","",[2]Baskol!$N$1981)</f>
        <v/>
      </c>
      <c r="AD1978" t="str">
        <f>IF([2]Baskol!$O$1981="","",[2]Baskol!$O$1981)</f>
        <v/>
      </c>
      <c r="AE1978" t="str">
        <f>IF([3]Entry!$C$1981="","",[3]Entry!$C$1981)</f>
        <v/>
      </c>
      <c r="AF1978" t="str">
        <f>IF([3]Entry!$D$1981="","",[3]Entry!$D$1981)</f>
        <v/>
      </c>
      <c r="AG1978" t="str">
        <f>IF([3]Entry!$E$1981="","",[3]Entry!$E$1981)</f>
        <v/>
      </c>
      <c r="AH1978" t="str">
        <f>IF([3]Entry!$G$1981="","",[3]Entry!$G$1981)</f>
        <v/>
      </c>
      <c r="AI1978" t="str">
        <f>IF([3]Entry!$K$1981="","",[3]Entry!$K$1981)</f>
        <v/>
      </c>
      <c r="AJ1978" t="str">
        <f>IF([3]Entry!$L$1981="","",[3]Entry!$L$1981)</f>
        <v/>
      </c>
      <c r="AK1978" t="str">
        <f>IF([3]Entry!$M$1981="","",[3]Entry!$M$1981)</f>
        <v/>
      </c>
      <c r="AL1978" t="str">
        <f>IF([3]Entry!$N$1981="","",[3]Entry!$N$1981)</f>
        <v/>
      </c>
      <c r="AM1978" t="str">
        <f>IF([3]Entry!$R$1981="","",[3]Entry!$R$1981)</f>
        <v/>
      </c>
    </row>
    <row r="1979" spans="20:39" x14ac:dyDescent="0.2">
      <c r="T1979" t="str">
        <f>IF([2]Baskol!$B$1982="","",[2]Baskol!$B$1982)</f>
        <v/>
      </c>
      <c r="U1979" t="str">
        <f>IF([2]Baskol!$C$1982="","",[2]Baskol!$C$1982)</f>
        <v/>
      </c>
      <c r="V1979" t="str">
        <f>IF([2]Baskol!$D$1982="","",[2]Baskol!$D$1982)</f>
        <v/>
      </c>
      <c r="W1979" t="str">
        <f>IF([2]Baskol!$E$1982="","",[2]Baskol!$E$1982)</f>
        <v/>
      </c>
      <c r="X1979" t="str">
        <f>IF([2]Baskol!$G$1982="","",[2]Baskol!$G$1982)</f>
        <v/>
      </c>
      <c r="Y1979" t="str">
        <f>IF([2]Baskol!$I$1982="","",[2]Baskol!$I$1982)</f>
        <v/>
      </c>
      <c r="Z1979" t="str">
        <f>IF([2]Baskol!$J$1982="","",[2]Baskol!$J$1982)</f>
        <v/>
      </c>
      <c r="AA1979" t="str">
        <f>IF([2]Baskol!$K$1982="","",[2]Baskol!$K$1982)</f>
        <v/>
      </c>
      <c r="AB1979" t="str">
        <f>IF([2]Baskol!$L$1982="","",[2]Baskol!$L$1982)</f>
        <v/>
      </c>
      <c r="AC1979" t="str">
        <f>IF([2]Baskol!$N$1982="","",[2]Baskol!$N$1982)</f>
        <v/>
      </c>
      <c r="AD1979" t="str">
        <f>IF([2]Baskol!$O$1982="","",[2]Baskol!$O$1982)</f>
        <v/>
      </c>
      <c r="AE1979" t="str">
        <f>IF([3]Entry!$C$1982="","",[3]Entry!$C$1982)</f>
        <v/>
      </c>
      <c r="AF1979" t="str">
        <f>IF([3]Entry!$D$1982="","",[3]Entry!$D$1982)</f>
        <v/>
      </c>
      <c r="AG1979" t="str">
        <f>IF([3]Entry!$E$1982="","",[3]Entry!$E$1982)</f>
        <v/>
      </c>
      <c r="AH1979" t="str">
        <f>IF([3]Entry!$G$1982="","",[3]Entry!$G$1982)</f>
        <v/>
      </c>
      <c r="AI1979" t="str">
        <f>IF([3]Entry!$K$1982="","",[3]Entry!$K$1982)</f>
        <v/>
      </c>
      <c r="AJ1979" t="str">
        <f>IF([3]Entry!$L$1982="","",[3]Entry!$L$1982)</f>
        <v/>
      </c>
      <c r="AK1979" t="str">
        <f>IF([3]Entry!$M$1982="","",[3]Entry!$M$1982)</f>
        <v/>
      </c>
      <c r="AL1979" t="str">
        <f>IF([3]Entry!$N$1982="","",[3]Entry!$N$1982)</f>
        <v/>
      </c>
      <c r="AM1979" t="str">
        <f>IF([3]Entry!$R$1982="","",[3]Entry!$R$1982)</f>
        <v/>
      </c>
    </row>
    <row r="1980" spans="20:39" x14ac:dyDescent="0.2">
      <c r="T1980" t="str">
        <f>IF([2]Baskol!$B$1983="","",[2]Baskol!$B$1983)</f>
        <v/>
      </c>
      <c r="U1980" t="str">
        <f>IF([2]Baskol!$C$1983="","",[2]Baskol!$C$1983)</f>
        <v/>
      </c>
      <c r="V1980" t="str">
        <f>IF([2]Baskol!$D$1983="","",[2]Baskol!$D$1983)</f>
        <v/>
      </c>
      <c r="W1980" t="str">
        <f>IF([2]Baskol!$E$1983="","",[2]Baskol!$E$1983)</f>
        <v/>
      </c>
      <c r="X1980" t="str">
        <f>IF([2]Baskol!$G$1983="","",[2]Baskol!$G$1983)</f>
        <v/>
      </c>
      <c r="Y1980" t="str">
        <f>IF([2]Baskol!$I$1983="","",[2]Baskol!$I$1983)</f>
        <v/>
      </c>
      <c r="Z1980" t="str">
        <f>IF([2]Baskol!$J$1983="","",[2]Baskol!$J$1983)</f>
        <v/>
      </c>
      <c r="AA1980" t="str">
        <f>IF([2]Baskol!$K$1983="","",[2]Baskol!$K$1983)</f>
        <v/>
      </c>
      <c r="AB1980" t="str">
        <f>IF([2]Baskol!$L$1983="","",[2]Baskol!$L$1983)</f>
        <v/>
      </c>
      <c r="AC1980" t="str">
        <f>IF([2]Baskol!$N$1983="","",[2]Baskol!$N$1983)</f>
        <v/>
      </c>
      <c r="AD1980" t="str">
        <f>IF([2]Baskol!$O$1983="","",[2]Baskol!$O$1983)</f>
        <v/>
      </c>
      <c r="AE1980" t="str">
        <f>IF([3]Entry!$C$1983="","",[3]Entry!$C$1983)</f>
        <v/>
      </c>
      <c r="AF1980" t="str">
        <f>IF([3]Entry!$D$1983="","",[3]Entry!$D$1983)</f>
        <v/>
      </c>
      <c r="AG1980" t="str">
        <f>IF([3]Entry!$E$1983="","",[3]Entry!$E$1983)</f>
        <v/>
      </c>
      <c r="AH1980" t="str">
        <f>IF([3]Entry!$G$1983="","",[3]Entry!$G$1983)</f>
        <v/>
      </c>
      <c r="AI1980" t="str">
        <f>IF([3]Entry!$K$1983="","",[3]Entry!$K$1983)</f>
        <v/>
      </c>
      <c r="AJ1980" t="str">
        <f>IF([3]Entry!$L$1983="","",[3]Entry!$L$1983)</f>
        <v/>
      </c>
      <c r="AK1980" t="str">
        <f>IF([3]Entry!$M$1983="","",[3]Entry!$M$1983)</f>
        <v/>
      </c>
      <c r="AL1980" t="str">
        <f>IF([3]Entry!$N$1983="","",[3]Entry!$N$1983)</f>
        <v/>
      </c>
      <c r="AM1980" t="str">
        <f>IF([3]Entry!$R$1983="","",[3]Entry!$R$1983)</f>
        <v/>
      </c>
    </row>
    <row r="1981" spans="20:39" x14ac:dyDescent="0.2">
      <c r="T1981" t="str">
        <f>IF([2]Baskol!$B$1984="","",[2]Baskol!$B$1984)</f>
        <v/>
      </c>
      <c r="U1981" t="str">
        <f>IF([2]Baskol!$C$1984="","",[2]Baskol!$C$1984)</f>
        <v/>
      </c>
      <c r="V1981" t="str">
        <f>IF([2]Baskol!$D$1984="","",[2]Baskol!$D$1984)</f>
        <v/>
      </c>
      <c r="W1981" t="str">
        <f>IF([2]Baskol!$E$1984="","",[2]Baskol!$E$1984)</f>
        <v/>
      </c>
      <c r="X1981" t="str">
        <f>IF([2]Baskol!$G$1984="","",[2]Baskol!$G$1984)</f>
        <v/>
      </c>
      <c r="Y1981" t="str">
        <f>IF([2]Baskol!$I$1984="","",[2]Baskol!$I$1984)</f>
        <v/>
      </c>
      <c r="Z1981" t="str">
        <f>IF([2]Baskol!$J$1984="","",[2]Baskol!$J$1984)</f>
        <v/>
      </c>
      <c r="AA1981" t="str">
        <f>IF([2]Baskol!$K$1984="","",[2]Baskol!$K$1984)</f>
        <v/>
      </c>
      <c r="AB1981" t="str">
        <f>IF([2]Baskol!$L$1984="","",[2]Baskol!$L$1984)</f>
        <v/>
      </c>
      <c r="AC1981" t="str">
        <f>IF([2]Baskol!$N$1984="","",[2]Baskol!$N$1984)</f>
        <v/>
      </c>
      <c r="AD1981" t="str">
        <f>IF([2]Baskol!$O$1984="","",[2]Baskol!$O$1984)</f>
        <v/>
      </c>
      <c r="AE1981" t="str">
        <f>IF([3]Entry!$C$1984="","",[3]Entry!$C$1984)</f>
        <v/>
      </c>
      <c r="AF1981" t="str">
        <f>IF([3]Entry!$D$1984="","",[3]Entry!$D$1984)</f>
        <v/>
      </c>
      <c r="AG1981" t="str">
        <f>IF([3]Entry!$E$1984="","",[3]Entry!$E$1984)</f>
        <v/>
      </c>
      <c r="AH1981" t="str">
        <f>IF([3]Entry!$G$1984="","",[3]Entry!$G$1984)</f>
        <v/>
      </c>
      <c r="AI1981" t="str">
        <f>IF([3]Entry!$K$1984="","",[3]Entry!$K$1984)</f>
        <v/>
      </c>
      <c r="AJ1981" t="str">
        <f>IF([3]Entry!$L$1984="","",[3]Entry!$L$1984)</f>
        <v/>
      </c>
      <c r="AK1981" t="str">
        <f>IF([3]Entry!$M$1984="","",[3]Entry!$M$1984)</f>
        <v/>
      </c>
      <c r="AL1981" t="str">
        <f>IF([3]Entry!$N$1984="","",[3]Entry!$N$1984)</f>
        <v/>
      </c>
      <c r="AM1981" t="str">
        <f>IF([3]Entry!$R$1984="","",[3]Entry!$R$1984)</f>
        <v/>
      </c>
    </row>
    <row r="1982" spans="20:39" x14ac:dyDescent="0.2">
      <c r="T1982" t="str">
        <f>IF([2]Baskol!$B$1985="","",[2]Baskol!$B$1985)</f>
        <v/>
      </c>
      <c r="U1982" t="str">
        <f>IF([2]Baskol!$C$1985="","",[2]Baskol!$C$1985)</f>
        <v/>
      </c>
      <c r="V1982" t="str">
        <f>IF([2]Baskol!$D$1985="","",[2]Baskol!$D$1985)</f>
        <v/>
      </c>
      <c r="W1982" t="str">
        <f>IF([2]Baskol!$E$1985="","",[2]Baskol!$E$1985)</f>
        <v/>
      </c>
      <c r="X1982" t="str">
        <f>IF([2]Baskol!$G$1985="","",[2]Baskol!$G$1985)</f>
        <v/>
      </c>
      <c r="Y1982" t="str">
        <f>IF([2]Baskol!$I$1985="","",[2]Baskol!$I$1985)</f>
        <v/>
      </c>
      <c r="Z1982" t="str">
        <f>IF([2]Baskol!$J$1985="","",[2]Baskol!$J$1985)</f>
        <v/>
      </c>
      <c r="AA1982" t="str">
        <f>IF([2]Baskol!$K$1985="","",[2]Baskol!$K$1985)</f>
        <v/>
      </c>
      <c r="AB1982" t="str">
        <f>IF([2]Baskol!$L$1985="","",[2]Baskol!$L$1985)</f>
        <v/>
      </c>
      <c r="AC1982" t="str">
        <f>IF([2]Baskol!$N$1985="","",[2]Baskol!$N$1985)</f>
        <v/>
      </c>
      <c r="AD1982" t="str">
        <f>IF([2]Baskol!$O$1985="","",[2]Baskol!$O$1985)</f>
        <v/>
      </c>
      <c r="AE1982" t="str">
        <f>IF([3]Entry!$C$1985="","",[3]Entry!$C$1985)</f>
        <v/>
      </c>
      <c r="AF1982" t="str">
        <f>IF([3]Entry!$D$1985="","",[3]Entry!$D$1985)</f>
        <v/>
      </c>
      <c r="AG1982" t="str">
        <f>IF([3]Entry!$E$1985="","",[3]Entry!$E$1985)</f>
        <v/>
      </c>
      <c r="AH1982" t="str">
        <f>IF([3]Entry!$G$1985="","",[3]Entry!$G$1985)</f>
        <v/>
      </c>
      <c r="AI1982" t="str">
        <f>IF([3]Entry!$K$1985="","",[3]Entry!$K$1985)</f>
        <v/>
      </c>
      <c r="AJ1982" t="str">
        <f>IF([3]Entry!$L$1985="","",[3]Entry!$L$1985)</f>
        <v/>
      </c>
      <c r="AK1982" t="str">
        <f>IF([3]Entry!$M$1985="","",[3]Entry!$M$1985)</f>
        <v/>
      </c>
      <c r="AL1982" t="str">
        <f>IF([3]Entry!$N$1985="","",[3]Entry!$N$1985)</f>
        <v/>
      </c>
      <c r="AM1982" t="str">
        <f>IF([3]Entry!$R$1985="","",[3]Entry!$R$1985)</f>
        <v/>
      </c>
    </row>
    <row r="1983" spans="20:39" x14ac:dyDescent="0.2">
      <c r="T1983" t="str">
        <f>IF([2]Baskol!$B$1986="","",[2]Baskol!$B$1986)</f>
        <v/>
      </c>
      <c r="U1983" t="str">
        <f>IF([2]Baskol!$C$1986="","",[2]Baskol!$C$1986)</f>
        <v/>
      </c>
      <c r="V1983" t="str">
        <f>IF([2]Baskol!$D$1986="","",[2]Baskol!$D$1986)</f>
        <v/>
      </c>
      <c r="W1983" t="str">
        <f>IF([2]Baskol!$E$1986="","",[2]Baskol!$E$1986)</f>
        <v/>
      </c>
      <c r="X1983" t="str">
        <f>IF([2]Baskol!$G$1986="","",[2]Baskol!$G$1986)</f>
        <v/>
      </c>
      <c r="Y1983" t="str">
        <f>IF([2]Baskol!$I$1986="","",[2]Baskol!$I$1986)</f>
        <v/>
      </c>
      <c r="Z1983" t="str">
        <f>IF([2]Baskol!$J$1986="","",[2]Baskol!$J$1986)</f>
        <v/>
      </c>
      <c r="AA1983" t="str">
        <f>IF([2]Baskol!$K$1986="","",[2]Baskol!$K$1986)</f>
        <v/>
      </c>
      <c r="AB1983" t="str">
        <f>IF([2]Baskol!$L$1986="","",[2]Baskol!$L$1986)</f>
        <v/>
      </c>
      <c r="AC1983" t="str">
        <f>IF([2]Baskol!$N$1986="","",[2]Baskol!$N$1986)</f>
        <v/>
      </c>
      <c r="AD1983" t="str">
        <f>IF([2]Baskol!$O$1986="","",[2]Baskol!$O$1986)</f>
        <v/>
      </c>
      <c r="AE1983" t="str">
        <f>IF([3]Entry!$C$1986="","",[3]Entry!$C$1986)</f>
        <v/>
      </c>
      <c r="AF1983" t="str">
        <f>IF([3]Entry!$D$1986="","",[3]Entry!$D$1986)</f>
        <v/>
      </c>
      <c r="AG1983" t="str">
        <f>IF([3]Entry!$E$1986="","",[3]Entry!$E$1986)</f>
        <v/>
      </c>
      <c r="AH1983" t="str">
        <f>IF([3]Entry!$G$1986="","",[3]Entry!$G$1986)</f>
        <v/>
      </c>
      <c r="AI1983" t="str">
        <f>IF([3]Entry!$K$1986="","",[3]Entry!$K$1986)</f>
        <v/>
      </c>
      <c r="AJ1983" t="str">
        <f>IF([3]Entry!$L$1986="","",[3]Entry!$L$1986)</f>
        <v/>
      </c>
      <c r="AK1983" t="str">
        <f>IF([3]Entry!$M$1986="","",[3]Entry!$M$1986)</f>
        <v/>
      </c>
      <c r="AL1983" t="str">
        <f>IF([3]Entry!$N$1986="","",[3]Entry!$N$1986)</f>
        <v/>
      </c>
      <c r="AM1983" t="str">
        <f>IF([3]Entry!$R$1986="","",[3]Entry!$R$1986)</f>
        <v/>
      </c>
    </row>
    <row r="1984" spans="20:39" x14ac:dyDescent="0.2">
      <c r="T1984" t="str">
        <f>IF([2]Baskol!$B$1987="","",[2]Baskol!$B$1987)</f>
        <v/>
      </c>
      <c r="U1984" t="str">
        <f>IF([2]Baskol!$C$1987="","",[2]Baskol!$C$1987)</f>
        <v/>
      </c>
      <c r="V1984" t="str">
        <f>IF([2]Baskol!$D$1987="","",[2]Baskol!$D$1987)</f>
        <v/>
      </c>
      <c r="W1984" t="str">
        <f>IF([2]Baskol!$E$1987="","",[2]Baskol!$E$1987)</f>
        <v/>
      </c>
      <c r="X1984" t="str">
        <f>IF([2]Baskol!$G$1987="","",[2]Baskol!$G$1987)</f>
        <v/>
      </c>
      <c r="Y1984" t="str">
        <f>IF([2]Baskol!$I$1987="","",[2]Baskol!$I$1987)</f>
        <v/>
      </c>
      <c r="Z1984" t="str">
        <f>IF([2]Baskol!$J$1987="","",[2]Baskol!$J$1987)</f>
        <v/>
      </c>
      <c r="AA1984" t="str">
        <f>IF([2]Baskol!$K$1987="","",[2]Baskol!$K$1987)</f>
        <v/>
      </c>
      <c r="AB1984" t="str">
        <f>IF([2]Baskol!$L$1987="","",[2]Baskol!$L$1987)</f>
        <v/>
      </c>
      <c r="AC1984" t="str">
        <f>IF([2]Baskol!$N$1987="","",[2]Baskol!$N$1987)</f>
        <v/>
      </c>
      <c r="AD1984" t="str">
        <f>IF([2]Baskol!$O$1987="","",[2]Baskol!$O$1987)</f>
        <v/>
      </c>
      <c r="AE1984" t="str">
        <f>IF([3]Entry!$C$1987="","",[3]Entry!$C$1987)</f>
        <v/>
      </c>
      <c r="AF1984" t="str">
        <f>IF([3]Entry!$D$1987="","",[3]Entry!$D$1987)</f>
        <v/>
      </c>
      <c r="AG1984" t="str">
        <f>IF([3]Entry!$E$1987="","",[3]Entry!$E$1987)</f>
        <v/>
      </c>
      <c r="AH1984" t="str">
        <f>IF([3]Entry!$G$1987="","",[3]Entry!$G$1987)</f>
        <v/>
      </c>
      <c r="AI1984" t="str">
        <f>IF([3]Entry!$K$1987="","",[3]Entry!$K$1987)</f>
        <v/>
      </c>
      <c r="AJ1984" t="str">
        <f>IF([3]Entry!$L$1987="","",[3]Entry!$L$1987)</f>
        <v/>
      </c>
      <c r="AK1984" t="str">
        <f>IF([3]Entry!$M$1987="","",[3]Entry!$M$1987)</f>
        <v/>
      </c>
      <c r="AL1984" t="str">
        <f>IF([3]Entry!$N$1987="","",[3]Entry!$N$1987)</f>
        <v/>
      </c>
      <c r="AM1984" t="str">
        <f>IF([3]Entry!$R$1987="","",[3]Entry!$R$1987)</f>
        <v/>
      </c>
    </row>
    <row r="1985" spans="20:39" x14ac:dyDescent="0.2">
      <c r="T1985" t="str">
        <f>IF([2]Baskol!$B$1988="","",[2]Baskol!$B$1988)</f>
        <v/>
      </c>
      <c r="U1985" t="str">
        <f>IF([2]Baskol!$C$1988="","",[2]Baskol!$C$1988)</f>
        <v/>
      </c>
      <c r="V1985" t="str">
        <f>IF([2]Baskol!$D$1988="","",[2]Baskol!$D$1988)</f>
        <v/>
      </c>
      <c r="W1985" t="str">
        <f>IF([2]Baskol!$E$1988="","",[2]Baskol!$E$1988)</f>
        <v/>
      </c>
      <c r="X1985" t="str">
        <f>IF([2]Baskol!$G$1988="","",[2]Baskol!$G$1988)</f>
        <v/>
      </c>
      <c r="Y1985" t="str">
        <f>IF([2]Baskol!$I$1988="","",[2]Baskol!$I$1988)</f>
        <v/>
      </c>
      <c r="Z1985" t="str">
        <f>IF([2]Baskol!$J$1988="","",[2]Baskol!$J$1988)</f>
        <v/>
      </c>
      <c r="AA1985" t="str">
        <f>IF([2]Baskol!$K$1988="","",[2]Baskol!$K$1988)</f>
        <v/>
      </c>
      <c r="AB1985" t="str">
        <f>IF([2]Baskol!$L$1988="","",[2]Baskol!$L$1988)</f>
        <v/>
      </c>
      <c r="AC1985" t="str">
        <f>IF([2]Baskol!$N$1988="","",[2]Baskol!$N$1988)</f>
        <v/>
      </c>
      <c r="AD1985" t="str">
        <f>IF([2]Baskol!$O$1988="","",[2]Baskol!$O$1988)</f>
        <v/>
      </c>
      <c r="AE1985" t="str">
        <f>IF([3]Entry!$C$1988="","",[3]Entry!$C$1988)</f>
        <v/>
      </c>
      <c r="AF1985" t="str">
        <f>IF([3]Entry!$D$1988="","",[3]Entry!$D$1988)</f>
        <v/>
      </c>
      <c r="AG1985" t="str">
        <f>IF([3]Entry!$E$1988="","",[3]Entry!$E$1988)</f>
        <v/>
      </c>
      <c r="AH1985" t="str">
        <f>IF([3]Entry!$G$1988="","",[3]Entry!$G$1988)</f>
        <v/>
      </c>
      <c r="AI1985" t="str">
        <f>IF([3]Entry!$K$1988="","",[3]Entry!$K$1988)</f>
        <v/>
      </c>
      <c r="AJ1985" t="str">
        <f>IF([3]Entry!$L$1988="","",[3]Entry!$L$1988)</f>
        <v/>
      </c>
      <c r="AK1985" t="str">
        <f>IF([3]Entry!$M$1988="","",[3]Entry!$M$1988)</f>
        <v/>
      </c>
      <c r="AL1985" t="str">
        <f>IF([3]Entry!$N$1988="","",[3]Entry!$N$1988)</f>
        <v/>
      </c>
      <c r="AM1985" t="str">
        <f>IF([3]Entry!$R$1988="","",[3]Entry!$R$1988)</f>
        <v/>
      </c>
    </row>
    <row r="1986" spans="20:39" x14ac:dyDescent="0.2">
      <c r="T1986" t="str">
        <f>IF([2]Baskol!$B$1989="","",[2]Baskol!$B$1989)</f>
        <v/>
      </c>
      <c r="U1986" t="str">
        <f>IF([2]Baskol!$C$1989="","",[2]Baskol!$C$1989)</f>
        <v/>
      </c>
      <c r="V1986" t="str">
        <f>IF([2]Baskol!$D$1989="","",[2]Baskol!$D$1989)</f>
        <v/>
      </c>
      <c r="W1986" t="str">
        <f>IF([2]Baskol!$E$1989="","",[2]Baskol!$E$1989)</f>
        <v/>
      </c>
      <c r="X1986" t="str">
        <f>IF([2]Baskol!$G$1989="","",[2]Baskol!$G$1989)</f>
        <v/>
      </c>
      <c r="Y1986" t="str">
        <f>IF([2]Baskol!$I$1989="","",[2]Baskol!$I$1989)</f>
        <v/>
      </c>
      <c r="Z1986" t="str">
        <f>IF([2]Baskol!$J$1989="","",[2]Baskol!$J$1989)</f>
        <v/>
      </c>
      <c r="AA1986" t="str">
        <f>IF([2]Baskol!$K$1989="","",[2]Baskol!$K$1989)</f>
        <v/>
      </c>
      <c r="AB1986" t="str">
        <f>IF([2]Baskol!$L$1989="","",[2]Baskol!$L$1989)</f>
        <v/>
      </c>
      <c r="AC1986" t="str">
        <f>IF([2]Baskol!$N$1989="","",[2]Baskol!$N$1989)</f>
        <v/>
      </c>
      <c r="AD1986" t="str">
        <f>IF([2]Baskol!$O$1989="","",[2]Baskol!$O$1989)</f>
        <v/>
      </c>
      <c r="AE1986" t="str">
        <f>IF([3]Entry!$C$1989="","",[3]Entry!$C$1989)</f>
        <v/>
      </c>
      <c r="AF1986" t="str">
        <f>IF([3]Entry!$D$1989="","",[3]Entry!$D$1989)</f>
        <v/>
      </c>
      <c r="AG1986" t="str">
        <f>IF([3]Entry!$E$1989="","",[3]Entry!$E$1989)</f>
        <v/>
      </c>
      <c r="AH1986" t="str">
        <f>IF([3]Entry!$G$1989="","",[3]Entry!$G$1989)</f>
        <v/>
      </c>
      <c r="AI1986" t="str">
        <f>IF([3]Entry!$K$1989="","",[3]Entry!$K$1989)</f>
        <v/>
      </c>
      <c r="AJ1986" t="str">
        <f>IF([3]Entry!$L$1989="","",[3]Entry!$L$1989)</f>
        <v/>
      </c>
      <c r="AK1986" t="str">
        <f>IF([3]Entry!$M$1989="","",[3]Entry!$M$1989)</f>
        <v/>
      </c>
      <c r="AL1986" t="str">
        <f>IF([3]Entry!$N$1989="","",[3]Entry!$N$1989)</f>
        <v/>
      </c>
      <c r="AM1986" t="str">
        <f>IF([3]Entry!$R$1989="","",[3]Entry!$R$1989)</f>
        <v/>
      </c>
    </row>
    <row r="1987" spans="20:39" x14ac:dyDescent="0.2">
      <c r="T1987" t="str">
        <f>IF([2]Baskol!$B$1990="","",[2]Baskol!$B$1990)</f>
        <v/>
      </c>
      <c r="U1987" t="str">
        <f>IF([2]Baskol!$C$1990="","",[2]Baskol!$C$1990)</f>
        <v/>
      </c>
      <c r="V1987" t="str">
        <f>IF([2]Baskol!$D$1990="","",[2]Baskol!$D$1990)</f>
        <v/>
      </c>
      <c r="W1987" t="str">
        <f>IF([2]Baskol!$E$1990="","",[2]Baskol!$E$1990)</f>
        <v/>
      </c>
      <c r="X1987" t="str">
        <f>IF([2]Baskol!$G$1990="","",[2]Baskol!$G$1990)</f>
        <v/>
      </c>
      <c r="Y1987" t="str">
        <f>IF([2]Baskol!$I$1990="","",[2]Baskol!$I$1990)</f>
        <v/>
      </c>
      <c r="Z1987" t="str">
        <f>IF([2]Baskol!$J$1990="","",[2]Baskol!$J$1990)</f>
        <v/>
      </c>
      <c r="AA1987" t="str">
        <f>IF([2]Baskol!$K$1990="","",[2]Baskol!$K$1990)</f>
        <v/>
      </c>
      <c r="AB1987" t="str">
        <f>IF([2]Baskol!$L$1990="","",[2]Baskol!$L$1990)</f>
        <v/>
      </c>
      <c r="AC1987" t="str">
        <f>IF([2]Baskol!$N$1990="","",[2]Baskol!$N$1990)</f>
        <v/>
      </c>
      <c r="AD1987" t="str">
        <f>IF([2]Baskol!$O$1990="","",[2]Baskol!$O$1990)</f>
        <v/>
      </c>
      <c r="AE1987" t="str">
        <f>IF([3]Entry!$C$1990="","",[3]Entry!$C$1990)</f>
        <v/>
      </c>
      <c r="AF1987" t="str">
        <f>IF([3]Entry!$D$1990="","",[3]Entry!$D$1990)</f>
        <v/>
      </c>
      <c r="AG1987" t="str">
        <f>IF([3]Entry!$E$1990="","",[3]Entry!$E$1990)</f>
        <v/>
      </c>
      <c r="AH1987" t="str">
        <f>IF([3]Entry!$G$1990="","",[3]Entry!$G$1990)</f>
        <v/>
      </c>
      <c r="AI1987" t="str">
        <f>IF([3]Entry!$K$1990="","",[3]Entry!$K$1990)</f>
        <v/>
      </c>
      <c r="AJ1987" t="str">
        <f>IF([3]Entry!$L$1990="","",[3]Entry!$L$1990)</f>
        <v/>
      </c>
      <c r="AK1987" t="str">
        <f>IF([3]Entry!$M$1990="","",[3]Entry!$M$1990)</f>
        <v/>
      </c>
      <c r="AL1987" t="str">
        <f>IF([3]Entry!$N$1990="","",[3]Entry!$N$1990)</f>
        <v/>
      </c>
      <c r="AM1987" t="str">
        <f>IF([3]Entry!$R$1990="","",[3]Entry!$R$1990)</f>
        <v/>
      </c>
    </row>
    <row r="1988" spans="20:39" x14ac:dyDescent="0.2">
      <c r="T1988" t="str">
        <f>IF([2]Baskol!$B$1991="","",[2]Baskol!$B$1991)</f>
        <v/>
      </c>
      <c r="U1988" t="str">
        <f>IF([2]Baskol!$C$1991="","",[2]Baskol!$C$1991)</f>
        <v/>
      </c>
      <c r="V1988" t="str">
        <f>IF([2]Baskol!$D$1991="","",[2]Baskol!$D$1991)</f>
        <v/>
      </c>
      <c r="W1988" t="str">
        <f>IF([2]Baskol!$E$1991="","",[2]Baskol!$E$1991)</f>
        <v/>
      </c>
      <c r="X1988" t="str">
        <f>IF([2]Baskol!$G$1991="","",[2]Baskol!$G$1991)</f>
        <v/>
      </c>
      <c r="Y1988" t="str">
        <f>IF([2]Baskol!$I$1991="","",[2]Baskol!$I$1991)</f>
        <v/>
      </c>
      <c r="Z1988" t="str">
        <f>IF([2]Baskol!$J$1991="","",[2]Baskol!$J$1991)</f>
        <v/>
      </c>
      <c r="AA1988" t="str">
        <f>IF([2]Baskol!$K$1991="","",[2]Baskol!$K$1991)</f>
        <v/>
      </c>
      <c r="AB1988" t="str">
        <f>IF([2]Baskol!$L$1991="","",[2]Baskol!$L$1991)</f>
        <v/>
      </c>
      <c r="AC1988" t="str">
        <f>IF([2]Baskol!$N$1991="","",[2]Baskol!$N$1991)</f>
        <v/>
      </c>
      <c r="AD1988" t="str">
        <f>IF([2]Baskol!$O$1991="","",[2]Baskol!$O$1991)</f>
        <v/>
      </c>
      <c r="AE1988" t="str">
        <f>IF([3]Entry!$C$1991="","",[3]Entry!$C$1991)</f>
        <v/>
      </c>
      <c r="AF1988" t="str">
        <f>IF([3]Entry!$D$1991="","",[3]Entry!$D$1991)</f>
        <v/>
      </c>
      <c r="AG1988" t="str">
        <f>IF([3]Entry!$E$1991="","",[3]Entry!$E$1991)</f>
        <v/>
      </c>
      <c r="AH1988" t="str">
        <f>IF([3]Entry!$G$1991="","",[3]Entry!$G$1991)</f>
        <v/>
      </c>
      <c r="AI1988" t="str">
        <f>IF([3]Entry!$K$1991="","",[3]Entry!$K$1991)</f>
        <v/>
      </c>
      <c r="AJ1988" t="str">
        <f>IF([3]Entry!$L$1991="","",[3]Entry!$L$1991)</f>
        <v/>
      </c>
      <c r="AK1988" t="str">
        <f>IF([3]Entry!$M$1991="","",[3]Entry!$M$1991)</f>
        <v/>
      </c>
      <c r="AL1988" t="str">
        <f>IF([3]Entry!$N$1991="","",[3]Entry!$N$1991)</f>
        <v/>
      </c>
      <c r="AM1988" t="str">
        <f>IF([3]Entry!$R$1991="","",[3]Entry!$R$1991)</f>
        <v/>
      </c>
    </row>
    <row r="1989" spans="20:39" x14ac:dyDescent="0.2">
      <c r="T1989" t="str">
        <f>IF([2]Baskol!$B$1992="","",[2]Baskol!$B$1992)</f>
        <v/>
      </c>
      <c r="U1989" t="str">
        <f>IF([2]Baskol!$C$1992="","",[2]Baskol!$C$1992)</f>
        <v/>
      </c>
      <c r="V1989" t="str">
        <f>IF([2]Baskol!$D$1992="","",[2]Baskol!$D$1992)</f>
        <v/>
      </c>
      <c r="W1989" t="str">
        <f>IF([2]Baskol!$E$1992="","",[2]Baskol!$E$1992)</f>
        <v/>
      </c>
      <c r="X1989" t="str">
        <f>IF([2]Baskol!$G$1992="","",[2]Baskol!$G$1992)</f>
        <v/>
      </c>
      <c r="Y1989" t="str">
        <f>IF([2]Baskol!$I$1992="","",[2]Baskol!$I$1992)</f>
        <v/>
      </c>
      <c r="Z1989" t="str">
        <f>IF([2]Baskol!$J$1992="","",[2]Baskol!$J$1992)</f>
        <v/>
      </c>
      <c r="AA1989" t="str">
        <f>IF([2]Baskol!$K$1992="","",[2]Baskol!$K$1992)</f>
        <v/>
      </c>
      <c r="AB1989" t="str">
        <f>IF([2]Baskol!$L$1992="","",[2]Baskol!$L$1992)</f>
        <v/>
      </c>
      <c r="AC1989" t="str">
        <f>IF([2]Baskol!$N$1992="","",[2]Baskol!$N$1992)</f>
        <v/>
      </c>
      <c r="AD1989" t="str">
        <f>IF([2]Baskol!$O$1992="","",[2]Baskol!$O$1992)</f>
        <v/>
      </c>
      <c r="AE1989" t="str">
        <f>IF([3]Entry!$C$1992="","",[3]Entry!$C$1992)</f>
        <v/>
      </c>
      <c r="AF1989" t="str">
        <f>IF([3]Entry!$D$1992="","",[3]Entry!$D$1992)</f>
        <v/>
      </c>
      <c r="AG1989" t="str">
        <f>IF([3]Entry!$E$1992="","",[3]Entry!$E$1992)</f>
        <v/>
      </c>
      <c r="AH1989" t="str">
        <f>IF([3]Entry!$G$1992="","",[3]Entry!$G$1992)</f>
        <v/>
      </c>
      <c r="AI1989" t="str">
        <f>IF([3]Entry!$K$1992="","",[3]Entry!$K$1992)</f>
        <v/>
      </c>
      <c r="AJ1989" t="str">
        <f>IF([3]Entry!$L$1992="","",[3]Entry!$L$1992)</f>
        <v/>
      </c>
      <c r="AK1989" t="str">
        <f>IF([3]Entry!$M$1992="","",[3]Entry!$M$1992)</f>
        <v/>
      </c>
      <c r="AL1989" t="str">
        <f>IF([3]Entry!$N$1992="","",[3]Entry!$N$1992)</f>
        <v/>
      </c>
      <c r="AM1989" t="str">
        <f>IF([3]Entry!$R$1992="","",[3]Entry!$R$1992)</f>
        <v/>
      </c>
    </row>
    <row r="1990" spans="20:39" x14ac:dyDescent="0.2">
      <c r="T1990" t="str">
        <f>IF([2]Baskol!$B$1993="","",[2]Baskol!$B$1993)</f>
        <v/>
      </c>
      <c r="U1990" t="str">
        <f>IF([2]Baskol!$C$1993="","",[2]Baskol!$C$1993)</f>
        <v/>
      </c>
      <c r="V1990" t="str">
        <f>IF([2]Baskol!$D$1993="","",[2]Baskol!$D$1993)</f>
        <v/>
      </c>
      <c r="W1990" t="str">
        <f>IF([2]Baskol!$E$1993="","",[2]Baskol!$E$1993)</f>
        <v/>
      </c>
      <c r="X1990" t="str">
        <f>IF([2]Baskol!$G$1993="","",[2]Baskol!$G$1993)</f>
        <v/>
      </c>
      <c r="Y1990" t="str">
        <f>IF([2]Baskol!$I$1993="","",[2]Baskol!$I$1993)</f>
        <v/>
      </c>
      <c r="Z1990" t="str">
        <f>IF([2]Baskol!$J$1993="","",[2]Baskol!$J$1993)</f>
        <v/>
      </c>
      <c r="AA1990" t="str">
        <f>IF([2]Baskol!$K$1993="","",[2]Baskol!$K$1993)</f>
        <v/>
      </c>
      <c r="AB1990" t="str">
        <f>IF([2]Baskol!$L$1993="","",[2]Baskol!$L$1993)</f>
        <v/>
      </c>
      <c r="AC1990" t="str">
        <f>IF([2]Baskol!$N$1993="","",[2]Baskol!$N$1993)</f>
        <v/>
      </c>
      <c r="AD1990" t="str">
        <f>IF([2]Baskol!$O$1993="","",[2]Baskol!$O$1993)</f>
        <v/>
      </c>
      <c r="AE1990" t="str">
        <f>IF([3]Entry!$C$1993="","",[3]Entry!$C$1993)</f>
        <v/>
      </c>
      <c r="AF1990" t="str">
        <f>IF([3]Entry!$D$1993="","",[3]Entry!$D$1993)</f>
        <v/>
      </c>
      <c r="AG1990" t="str">
        <f>IF([3]Entry!$E$1993="","",[3]Entry!$E$1993)</f>
        <v/>
      </c>
      <c r="AH1990" t="str">
        <f>IF([3]Entry!$G$1993="","",[3]Entry!$G$1993)</f>
        <v/>
      </c>
      <c r="AI1990" t="str">
        <f>IF([3]Entry!$K$1993="","",[3]Entry!$K$1993)</f>
        <v/>
      </c>
      <c r="AJ1990" t="str">
        <f>IF([3]Entry!$L$1993="","",[3]Entry!$L$1993)</f>
        <v/>
      </c>
      <c r="AK1990" t="str">
        <f>IF([3]Entry!$M$1993="","",[3]Entry!$M$1993)</f>
        <v/>
      </c>
      <c r="AL1990" t="str">
        <f>IF([3]Entry!$N$1993="","",[3]Entry!$N$1993)</f>
        <v/>
      </c>
      <c r="AM1990" t="str">
        <f>IF([3]Entry!$R$1993="","",[3]Entry!$R$1993)</f>
        <v/>
      </c>
    </row>
    <row r="1991" spans="20:39" x14ac:dyDescent="0.2">
      <c r="T1991" t="str">
        <f>IF([2]Baskol!$B$1994="","",[2]Baskol!$B$1994)</f>
        <v/>
      </c>
      <c r="U1991" t="str">
        <f>IF([2]Baskol!$C$1994="","",[2]Baskol!$C$1994)</f>
        <v/>
      </c>
      <c r="V1991" t="str">
        <f>IF([2]Baskol!$D$1994="","",[2]Baskol!$D$1994)</f>
        <v/>
      </c>
      <c r="W1991" t="str">
        <f>IF([2]Baskol!$E$1994="","",[2]Baskol!$E$1994)</f>
        <v/>
      </c>
      <c r="X1991" t="str">
        <f>IF([2]Baskol!$G$1994="","",[2]Baskol!$G$1994)</f>
        <v/>
      </c>
      <c r="Y1991" t="str">
        <f>IF([2]Baskol!$I$1994="","",[2]Baskol!$I$1994)</f>
        <v/>
      </c>
      <c r="Z1991" t="str">
        <f>IF([2]Baskol!$J$1994="","",[2]Baskol!$J$1994)</f>
        <v/>
      </c>
      <c r="AA1991" t="str">
        <f>IF([2]Baskol!$K$1994="","",[2]Baskol!$K$1994)</f>
        <v/>
      </c>
      <c r="AB1991" t="str">
        <f>IF([2]Baskol!$L$1994="","",[2]Baskol!$L$1994)</f>
        <v/>
      </c>
      <c r="AC1991" t="str">
        <f>IF([2]Baskol!$N$1994="","",[2]Baskol!$N$1994)</f>
        <v/>
      </c>
      <c r="AD1991" t="str">
        <f>IF([2]Baskol!$O$1994="","",[2]Baskol!$O$1994)</f>
        <v/>
      </c>
      <c r="AE1991" t="str">
        <f>IF([3]Entry!$C$1994="","",[3]Entry!$C$1994)</f>
        <v/>
      </c>
      <c r="AF1991" t="str">
        <f>IF([3]Entry!$D$1994="","",[3]Entry!$D$1994)</f>
        <v/>
      </c>
      <c r="AG1991" t="str">
        <f>IF([3]Entry!$E$1994="","",[3]Entry!$E$1994)</f>
        <v/>
      </c>
      <c r="AH1991" t="str">
        <f>IF([3]Entry!$G$1994="","",[3]Entry!$G$1994)</f>
        <v/>
      </c>
      <c r="AI1991" t="str">
        <f>IF([3]Entry!$K$1994="","",[3]Entry!$K$1994)</f>
        <v/>
      </c>
      <c r="AJ1991" t="str">
        <f>IF([3]Entry!$L$1994="","",[3]Entry!$L$1994)</f>
        <v/>
      </c>
      <c r="AK1991" t="str">
        <f>IF([3]Entry!$M$1994="","",[3]Entry!$M$1994)</f>
        <v/>
      </c>
      <c r="AL1991" t="str">
        <f>IF([3]Entry!$N$1994="","",[3]Entry!$N$1994)</f>
        <v/>
      </c>
      <c r="AM1991" t="str">
        <f>IF([3]Entry!$R$1994="","",[3]Entry!$R$1994)</f>
        <v/>
      </c>
    </row>
    <row r="1992" spans="20:39" x14ac:dyDescent="0.2">
      <c r="T1992" t="str">
        <f>IF([2]Baskol!$B$1995="","",[2]Baskol!$B$1995)</f>
        <v/>
      </c>
      <c r="U1992" t="str">
        <f>IF([2]Baskol!$C$1995="","",[2]Baskol!$C$1995)</f>
        <v/>
      </c>
      <c r="V1992" t="str">
        <f>IF([2]Baskol!$D$1995="","",[2]Baskol!$D$1995)</f>
        <v/>
      </c>
      <c r="W1992" t="str">
        <f>IF([2]Baskol!$E$1995="","",[2]Baskol!$E$1995)</f>
        <v/>
      </c>
      <c r="X1992" t="str">
        <f>IF([2]Baskol!$G$1995="","",[2]Baskol!$G$1995)</f>
        <v/>
      </c>
      <c r="Y1992" t="str">
        <f>IF([2]Baskol!$I$1995="","",[2]Baskol!$I$1995)</f>
        <v/>
      </c>
      <c r="Z1992" t="str">
        <f>IF([2]Baskol!$J$1995="","",[2]Baskol!$J$1995)</f>
        <v/>
      </c>
      <c r="AA1992" t="str">
        <f>IF([2]Baskol!$K$1995="","",[2]Baskol!$K$1995)</f>
        <v/>
      </c>
      <c r="AB1992" t="str">
        <f>IF([2]Baskol!$L$1995="","",[2]Baskol!$L$1995)</f>
        <v/>
      </c>
      <c r="AC1992" t="str">
        <f>IF([2]Baskol!$N$1995="","",[2]Baskol!$N$1995)</f>
        <v/>
      </c>
      <c r="AD1992" t="str">
        <f>IF([2]Baskol!$O$1995="","",[2]Baskol!$O$1995)</f>
        <v/>
      </c>
      <c r="AE1992" t="str">
        <f>IF([3]Entry!$C$1995="","",[3]Entry!$C$1995)</f>
        <v/>
      </c>
      <c r="AF1992" t="str">
        <f>IF([3]Entry!$D$1995="","",[3]Entry!$D$1995)</f>
        <v/>
      </c>
      <c r="AG1992" t="str">
        <f>IF([3]Entry!$E$1995="","",[3]Entry!$E$1995)</f>
        <v/>
      </c>
      <c r="AH1992" t="str">
        <f>IF([3]Entry!$G$1995="","",[3]Entry!$G$1995)</f>
        <v/>
      </c>
      <c r="AI1992" t="str">
        <f>IF([3]Entry!$K$1995="","",[3]Entry!$K$1995)</f>
        <v/>
      </c>
      <c r="AJ1992" t="str">
        <f>IF([3]Entry!$L$1995="","",[3]Entry!$L$1995)</f>
        <v/>
      </c>
      <c r="AK1992" t="str">
        <f>IF([3]Entry!$M$1995="","",[3]Entry!$M$1995)</f>
        <v/>
      </c>
      <c r="AL1992" t="str">
        <f>IF([3]Entry!$N$1995="","",[3]Entry!$N$1995)</f>
        <v/>
      </c>
      <c r="AM1992" t="str">
        <f>IF([3]Entry!$R$1995="","",[3]Entry!$R$1995)</f>
        <v/>
      </c>
    </row>
    <row r="1993" spans="20:39" x14ac:dyDescent="0.2">
      <c r="T1993" t="str">
        <f>IF([2]Baskol!$B$1996="","",[2]Baskol!$B$1996)</f>
        <v/>
      </c>
      <c r="U1993" t="str">
        <f>IF([2]Baskol!$C$1996="","",[2]Baskol!$C$1996)</f>
        <v/>
      </c>
      <c r="V1993" t="str">
        <f>IF([2]Baskol!$D$1996="","",[2]Baskol!$D$1996)</f>
        <v/>
      </c>
      <c r="W1993" t="str">
        <f>IF([2]Baskol!$E$1996="","",[2]Baskol!$E$1996)</f>
        <v/>
      </c>
      <c r="X1993" t="str">
        <f>IF([2]Baskol!$G$1996="","",[2]Baskol!$G$1996)</f>
        <v/>
      </c>
      <c r="Y1993" t="str">
        <f>IF([2]Baskol!$I$1996="","",[2]Baskol!$I$1996)</f>
        <v/>
      </c>
      <c r="Z1993" t="str">
        <f>IF([2]Baskol!$J$1996="","",[2]Baskol!$J$1996)</f>
        <v/>
      </c>
      <c r="AA1993" t="str">
        <f>IF([2]Baskol!$K$1996="","",[2]Baskol!$K$1996)</f>
        <v/>
      </c>
      <c r="AB1993" t="str">
        <f>IF([2]Baskol!$L$1996="","",[2]Baskol!$L$1996)</f>
        <v/>
      </c>
      <c r="AC1993" t="str">
        <f>IF([2]Baskol!$N$1996="","",[2]Baskol!$N$1996)</f>
        <v/>
      </c>
      <c r="AD1993" t="str">
        <f>IF([2]Baskol!$O$1996="","",[2]Baskol!$O$1996)</f>
        <v/>
      </c>
      <c r="AE1993" t="str">
        <f>IF([3]Entry!$C$1996="","",[3]Entry!$C$1996)</f>
        <v/>
      </c>
      <c r="AF1993" t="str">
        <f>IF([3]Entry!$D$1996="","",[3]Entry!$D$1996)</f>
        <v/>
      </c>
      <c r="AG1993" t="str">
        <f>IF([3]Entry!$E$1996="","",[3]Entry!$E$1996)</f>
        <v/>
      </c>
      <c r="AH1993" t="str">
        <f>IF([3]Entry!$G$1996="","",[3]Entry!$G$1996)</f>
        <v/>
      </c>
      <c r="AI1993" t="str">
        <f>IF([3]Entry!$K$1996="","",[3]Entry!$K$1996)</f>
        <v/>
      </c>
      <c r="AJ1993" t="str">
        <f>IF([3]Entry!$L$1996="","",[3]Entry!$L$1996)</f>
        <v/>
      </c>
      <c r="AK1993" t="str">
        <f>IF([3]Entry!$M$1996="","",[3]Entry!$M$1996)</f>
        <v/>
      </c>
      <c r="AL1993" t="str">
        <f>IF([3]Entry!$N$1996="","",[3]Entry!$N$1996)</f>
        <v/>
      </c>
      <c r="AM1993" t="str">
        <f>IF([3]Entry!$R$1996="","",[3]Entry!$R$1996)</f>
        <v/>
      </c>
    </row>
    <row r="1994" spans="20:39" x14ac:dyDescent="0.2">
      <c r="T1994" t="str">
        <f>IF([2]Baskol!$B$1997="","",[2]Baskol!$B$1997)</f>
        <v/>
      </c>
      <c r="U1994" t="str">
        <f>IF([2]Baskol!$C$1997="","",[2]Baskol!$C$1997)</f>
        <v/>
      </c>
      <c r="V1994" t="str">
        <f>IF([2]Baskol!$D$1997="","",[2]Baskol!$D$1997)</f>
        <v/>
      </c>
      <c r="W1994" t="str">
        <f>IF([2]Baskol!$E$1997="","",[2]Baskol!$E$1997)</f>
        <v/>
      </c>
      <c r="X1994" t="str">
        <f>IF([2]Baskol!$G$1997="","",[2]Baskol!$G$1997)</f>
        <v/>
      </c>
      <c r="Y1994" t="str">
        <f>IF([2]Baskol!$I$1997="","",[2]Baskol!$I$1997)</f>
        <v/>
      </c>
      <c r="Z1994" t="str">
        <f>IF([2]Baskol!$J$1997="","",[2]Baskol!$J$1997)</f>
        <v/>
      </c>
      <c r="AA1994" t="str">
        <f>IF([2]Baskol!$K$1997="","",[2]Baskol!$K$1997)</f>
        <v/>
      </c>
      <c r="AB1994" t="str">
        <f>IF([2]Baskol!$L$1997="","",[2]Baskol!$L$1997)</f>
        <v/>
      </c>
      <c r="AC1994" t="str">
        <f>IF([2]Baskol!$N$1997="","",[2]Baskol!$N$1997)</f>
        <v/>
      </c>
      <c r="AD1994" t="str">
        <f>IF([2]Baskol!$O$1997="","",[2]Baskol!$O$1997)</f>
        <v/>
      </c>
      <c r="AE1994" t="str">
        <f>IF([3]Entry!$C$1997="","",[3]Entry!$C$1997)</f>
        <v/>
      </c>
      <c r="AF1994" t="str">
        <f>IF([3]Entry!$D$1997="","",[3]Entry!$D$1997)</f>
        <v/>
      </c>
      <c r="AG1994" t="str">
        <f>IF([3]Entry!$E$1997="","",[3]Entry!$E$1997)</f>
        <v/>
      </c>
      <c r="AH1994" t="str">
        <f>IF([3]Entry!$G$1997="","",[3]Entry!$G$1997)</f>
        <v/>
      </c>
      <c r="AI1994" t="str">
        <f>IF([3]Entry!$K$1997="","",[3]Entry!$K$1997)</f>
        <v/>
      </c>
      <c r="AJ1994" t="str">
        <f>IF([3]Entry!$L$1997="","",[3]Entry!$L$1997)</f>
        <v/>
      </c>
      <c r="AK1994" t="str">
        <f>IF([3]Entry!$M$1997="","",[3]Entry!$M$1997)</f>
        <v/>
      </c>
      <c r="AL1994" t="str">
        <f>IF([3]Entry!$N$1997="","",[3]Entry!$N$1997)</f>
        <v/>
      </c>
      <c r="AM1994" t="str">
        <f>IF([3]Entry!$R$1997="","",[3]Entry!$R$1997)</f>
        <v/>
      </c>
    </row>
    <row r="1995" spans="20:39" x14ac:dyDescent="0.2">
      <c r="T1995" t="str">
        <f>IF([2]Baskol!$B$1998="","",[2]Baskol!$B$1998)</f>
        <v/>
      </c>
      <c r="U1995" t="str">
        <f>IF([2]Baskol!$C$1998="","",[2]Baskol!$C$1998)</f>
        <v/>
      </c>
      <c r="V1995" t="str">
        <f>IF([2]Baskol!$D$1998="","",[2]Baskol!$D$1998)</f>
        <v/>
      </c>
      <c r="W1995" t="str">
        <f>IF([2]Baskol!$E$1998="","",[2]Baskol!$E$1998)</f>
        <v/>
      </c>
      <c r="X1995" t="str">
        <f>IF([2]Baskol!$G$1998="","",[2]Baskol!$G$1998)</f>
        <v/>
      </c>
      <c r="Y1995" t="str">
        <f>IF([2]Baskol!$I$1998="","",[2]Baskol!$I$1998)</f>
        <v/>
      </c>
      <c r="Z1995" t="str">
        <f>IF([2]Baskol!$J$1998="","",[2]Baskol!$J$1998)</f>
        <v/>
      </c>
      <c r="AA1995" t="str">
        <f>IF([2]Baskol!$K$1998="","",[2]Baskol!$K$1998)</f>
        <v/>
      </c>
      <c r="AB1995" t="str">
        <f>IF([2]Baskol!$L$1998="","",[2]Baskol!$L$1998)</f>
        <v/>
      </c>
      <c r="AC1995" t="str">
        <f>IF([2]Baskol!$N$1998="","",[2]Baskol!$N$1998)</f>
        <v/>
      </c>
      <c r="AD1995" t="str">
        <f>IF([2]Baskol!$O$1998="","",[2]Baskol!$O$1998)</f>
        <v/>
      </c>
      <c r="AE1995" t="str">
        <f>IF([3]Entry!$C$1998="","",[3]Entry!$C$1998)</f>
        <v/>
      </c>
      <c r="AF1995" t="str">
        <f>IF([3]Entry!$D$1998="","",[3]Entry!$D$1998)</f>
        <v/>
      </c>
      <c r="AG1995" t="str">
        <f>IF([3]Entry!$E$1998="","",[3]Entry!$E$1998)</f>
        <v/>
      </c>
      <c r="AH1995" t="str">
        <f>IF([3]Entry!$G$1998="","",[3]Entry!$G$1998)</f>
        <v/>
      </c>
      <c r="AI1995" t="str">
        <f>IF([3]Entry!$K$1998="","",[3]Entry!$K$1998)</f>
        <v/>
      </c>
      <c r="AJ1995" t="str">
        <f>IF([3]Entry!$L$1998="","",[3]Entry!$L$1998)</f>
        <v/>
      </c>
      <c r="AK1995" t="str">
        <f>IF([3]Entry!$M$1998="","",[3]Entry!$M$1998)</f>
        <v/>
      </c>
      <c r="AL1995" t="str">
        <f>IF([3]Entry!$N$1998="","",[3]Entry!$N$1998)</f>
        <v/>
      </c>
      <c r="AM1995" t="str">
        <f>IF([3]Entry!$R$1998="","",[3]Entry!$R$1998)</f>
        <v/>
      </c>
    </row>
    <row r="1996" spans="20:39" x14ac:dyDescent="0.2">
      <c r="T1996" t="str">
        <f>IF([2]Baskol!$B$1999="","",[2]Baskol!$B$1999)</f>
        <v/>
      </c>
      <c r="U1996" t="str">
        <f>IF([2]Baskol!$C$1999="","",[2]Baskol!$C$1999)</f>
        <v/>
      </c>
      <c r="V1996" t="str">
        <f>IF([2]Baskol!$D$1999="","",[2]Baskol!$D$1999)</f>
        <v/>
      </c>
      <c r="W1996" t="str">
        <f>IF([2]Baskol!$E$1999="","",[2]Baskol!$E$1999)</f>
        <v/>
      </c>
      <c r="X1996" t="str">
        <f>IF([2]Baskol!$G$1999="","",[2]Baskol!$G$1999)</f>
        <v/>
      </c>
      <c r="Y1996" t="str">
        <f>IF([2]Baskol!$I$1999="","",[2]Baskol!$I$1999)</f>
        <v/>
      </c>
      <c r="Z1996" t="str">
        <f>IF([2]Baskol!$J$1999="","",[2]Baskol!$J$1999)</f>
        <v/>
      </c>
      <c r="AA1996" t="str">
        <f>IF([2]Baskol!$K$1999="","",[2]Baskol!$K$1999)</f>
        <v/>
      </c>
      <c r="AB1996" t="str">
        <f>IF([2]Baskol!$L$1999="","",[2]Baskol!$L$1999)</f>
        <v/>
      </c>
      <c r="AC1996" t="str">
        <f>IF([2]Baskol!$N$1999="","",[2]Baskol!$N$1999)</f>
        <v/>
      </c>
      <c r="AD1996" t="str">
        <f>IF([2]Baskol!$O$1999="","",[2]Baskol!$O$1999)</f>
        <v/>
      </c>
      <c r="AE1996" t="str">
        <f>IF([3]Entry!$C$1999="","",[3]Entry!$C$1999)</f>
        <v/>
      </c>
      <c r="AF1996" t="str">
        <f>IF([3]Entry!$D$1999="","",[3]Entry!$D$1999)</f>
        <v/>
      </c>
      <c r="AG1996" t="str">
        <f>IF([3]Entry!$E$1999="","",[3]Entry!$E$1999)</f>
        <v/>
      </c>
      <c r="AH1996" t="str">
        <f>IF([3]Entry!$G$1999="","",[3]Entry!$G$1999)</f>
        <v/>
      </c>
      <c r="AI1996" t="str">
        <f>IF([3]Entry!$K$1999="","",[3]Entry!$K$1999)</f>
        <v/>
      </c>
      <c r="AJ1996" t="str">
        <f>IF([3]Entry!$L$1999="","",[3]Entry!$L$1999)</f>
        <v/>
      </c>
      <c r="AK1996" t="str">
        <f>IF([3]Entry!$M$1999="","",[3]Entry!$M$1999)</f>
        <v/>
      </c>
      <c r="AL1996" t="str">
        <f>IF([3]Entry!$N$1999="","",[3]Entry!$N$1999)</f>
        <v/>
      </c>
      <c r="AM1996" t="str">
        <f>IF([3]Entry!$R$1999="","",[3]Entry!$R$1999)</f>
        <v/>
      </c>
    </row>
    <row r="1997" spans="20:39" x14ac:dyDescent="0.2">
      <c r="T1997" t="str">
        <f>IF([2]Baskol!$B$2000="","",[2]Baskol!$B$2000)</f>
        <v/>
      </c>
      <c r="U1997" t="str">
        <f>IF([2]Baskol!$C$2000="","",[2]Baskol!$C$2000)</f>
        <v/>
      </c>
      <c r="V1997" t="str">
        <f>IF([2]Baskol!$D$2000="","",[2]Baskol!$D$2000)</f>
        <v/>
      </c>
      <c r="W1997" t="str">
        <f>IF([2]Baskol!$E$2000="","",[2]Baskol!$E$2000)</f>
        <v/>
      </c>
      <c r="X1997" t="str">
        <f>IF([2]Baskol!$G$2000="","",[2]Baskol!$G$2000)</f>
        <v/>
      </c>
      <c r="Y1997" t="str">
        <f>IF([2]Baskol!$I$2000="","",[2]Baskol!$I$2000)</f>
        <v/>
      </c>
      <c r="Z1997" t="str">
        <f>IF([2]Baskol!$J$2000="","",[2]Baskol!$J$2000)</f>
        <v/>
      </c>
      <c r="AA1997" t="str">
        <f>IF([2]Baskol!$K$2000="","",[2]Baskol!$K$2000)</f>
        <v/>
      </c>
      <c r="AB1997" t="str">
        <f>IF([2]Baskol!$L$2000="","",[2]Baskol!$L$2000)</f>
        <v/>
      </c>
      <c r="AC1997" t="str">
        <f>IF([2]Baskol!$N$2000="","",[2]Baskol!$N$2000)</f>
        <v/>
      </c>
      <c r="AD1997" t="str">
        <f>IF([2]Baskol!$O$2000="","",[2]Baskol!$O$2000)</f>
        <v/>
      </c>
      <c r="AE1997" t="str">
        <f>IF([3]Entry!$C$2000="","",[3]Entry!$C$2000)</f>
        <v/>
      </c>
      <c r="AF1997" t="str">
        <f>IF([3]Entry!$D$2000="","",[3]Entry!$D$2000)</f>
        <v/>
      </c>
      <c r="AG1997" t="str">
        <f>IF([3]Entry!$E$2000="","",[3]Entry!$E$2000)</f>
        <v/>
      </c>
      <c r="AH1997" t="str">
        <f>IF([3]Entry!$G$2000="","",[3]Entry!$G$2000)</f>
        <v/>
      </c>
      <c r="AI1997" t="str">
        <f>IF([3]Entry!$K$2000="","",[3]Entry!$K$2000)</f>
        <v/>
      </c>
      <c r="AJ1997" t="str">
        <f>IF([3]Entry!$L$2000="","",[3]Entry!$L$2000)</f>
        <v/>
      </c>
      <c r="AK1997" t="str">
        <f>IF([3]Entry!$M$2000="","",[3]Entry!$M$2000)</f>
        <v/>
      </c>
      <c r="AL1997" t="str">
        <f>IF([3]Entry!$N$2000="","",[3]Entry!$N$2000)</f>
        <v/>
      </c>
      <c r="AM1997" t="str">
        <f>IF([3]Entry!$R$2000="","",[3]Entry!$R$2000)</f>
        <v/>
      </c>
    </row>
    <row r="1998" spans="20:39" x14ac:dyDescent="0.2">
      <c r="T1998" t="str">
        <f>IF([2]Baskol!$B$2001="","",[2]Baskol!$B$2001)</f>
        <v/>
      </c>
      <c r="U1998" t="str">
        <f>IF([2]Baskol!$C$2001="","",[2]Baskol!$C$2001)</f>
        <v/>
      </c>
      <c r="V1998" t="str">
        <f>IF([2]Baskol!$D$2001="","",[2]Baskol!$D$2001)</f>
        <v/>
      </c>
      <c r="W1998" t="str">
        <f>IF([2]Baskol!$E$2001="","",[2]Baskol!$E$2001)</f>
        <v/>
      </c>
      <c r="X1998" t="str">
        <f>IF([2]Baskol!$G$2001="","",[2]Baskol!$G$2001)</f>
        <v/>
      </c>
      <c r="Y1998" t="str">
        <f>IF([2]Baskol!$I$2001="","",[2]Baskol!$I$2001)</f>
        <v/>
      </c>
      <c r="Z1998" t="str">
        <f>IF([2]Baskol!$J$2001="","",[2]Baskol!$J$2001)</f>
        <v/>
      </c>
      <c r="AA1998" t="str">
        <f>IF([2]Baskol!$K$2001="","",[2]Baskol!$K$2001)</f>
        <v/>
      </c>
      <c r="AB1998" t="str">
        <f>IF([2]Baskol!$L$2001="","",[2]Baskol!$L$2001)</f>
        <v/>
      </c>
      <c r="AC1998" t="str">
        <f>IF([2]Baskol!$N$2001="","",[2]Baskol!$N$2001)</f>
        <v/>
      </c>
      <c r="AD1998" t="str">
        <f>IF([2]Baskol!$O$2001="","",[2]Baskol!$O$2001)</f>
        <v/>
      </c>
      <c r="AE1998" t="str">
        <f>IF([3]Entry!$C$2001="","",[3]Entry!$C$2001)</f>
        <v/>
      </c>
      <c r="AF1998" t="str">
        <f>IF([3]Entry!$D$2001="","",[3]Entry!$D$2001)</f>
        <v/>
      </c>
      <c r="AG1998" t="str">
        <f>IF([3]Entry!$E$2001="","",[3]Entry!$E$2001)</f>
        <v/>
      </c>
      <c r="AH1998" t="str">
        <f>IF([3]Entry!$G$2001="","",[3]Entry!$G$2001)</f>
        <v/>
      </c>
      <c r="AI1998" t="str">
        <f>IF([3]Entry!$K$2001="","",[3]Entry!$K$2001)</f>
        <v/>
      </c>
      <c r="AJ1998" t="str">
        <f>IF([3]Entry!$L$2001="","",[3]Entry!$L$2001)</f>
        <v/>
      </c>
      <c r="AK1998" t="str">
        <f>IF([3]Entry!$M$2001="","",[3]Entry!$M$2001)</f>
        <v/>
      </c>
      <c r="AL1998" t="str">
        <f>IF([3]Entry!$N$2001="","",[3]Entry!$N$2001)</f>
        <v/>
      </c>
      <c r="AM1998" t="str">
        <f>IF([3]Entry!$R$2001="","",[3]Entry!$R$2001)</f>
        <v/>
      </c>
    </row>
    <row r="1999" spans="20:39" x14ac:dyDescent="0.2">
      <c r="T1999" t="str">
        <f>IF([2]Baskol!$B$2002="","",[2]Baskol!$B$2002)</f>
        <v/>
      </c>
      <c r="U1999" t="str">
        <f>IF([2]Baskol!$C$2002="","",[2]Baskol!$C$2002)</f>
        <v/>
      </c>
      <c r="V1999" t="str">
        <f>IF([2]Baskol!$D$2002="","",[2]Baskol!$D$2002)</f>
        <v/>
      </c>
      <c r="W1999" t="str">
        <f>IF([2]Baskol!$E$2002="","",[2]Baskol!$E$2002)</f>
        <v/>
      </c>
      <c r="X1999" t="str">
        <f>IF([2]Baskol!$G$2002="","",[2]Baskol!$G$2002)</f>
        <v/>
      </c>
      <c r="Y1999" t="str">
        <f>IF([2]Baskol!$I$2002="","",[2]Baskol!$I$2002)</f>
        <v/>
      </c>
      <c r="Z1999" t="str">
        <f>IF([2]Baskol!$J$2002="","",[2]Baskol!$J$2002)</f>
        <v/>
      </c>
      <c r="AA1999" t="str">
        <f>IF([2]Baskol!$K$2002="","",[2]Baskol!$K$2002)</f>
        <v/>
      </c>
      <c r="AB1999" t="str">
        <f>IF([2]Baskol!$L$2002="","",[2]Baskol!$L$2002)</f>
        <v/>
      </c>
      <c r="AC1999" t="str">
        <f>IF([2]Baskol!$N$2002="","",[2]Baskol!$N$2002)</f>
        <v/>
      </c>
      <c r="AD1999" t="str">
        <f>IF([2]Baskol!$O$2002="","",[2]Baskol!$O$2002)</f>
        <v/>
      </c>
      <c r="AE1999" t="str">
        <f>IF([3]Entry!$C$2002="","",[3]Entry!$C$2002)</f>
        <v/>
      </c>
      <c r="AF1999" t="str">
        <f>IF([3]Entry!$D$2002="","",[3]Entry!$D$2002)</f>
        <v/>
      </c>
      <c r="AG1999" t="str">
        <f>IF([3]Entry!$E$2002="","",[3]Entry!$E$2002)</f>
        <v/>
      </c>
      <c r="AH1999" t="str">
        <f>IF([3]Entry!$G$2002="","",[3]Entry!$G$2002)</f>
        <v/>
      </c>
      <c r="AI1999" t="str">
        <f>IF([3]Entry!$K$2002="","",[3]Entry!$K$2002)</f>
        <v/>
      </c>
      <c r="AJ1999" t="str">
        <f>IF([3]Entry!$L$2002="","",[3]Entry!$L$2002)</f>
        <v/>
      </c>
      <c r="AK1999" t="str">
        <f>IF([3]Entry!$M$2002="","",[3]Entry!$M$2002)</f>
        <v/>
      </c>
      <c r="AL1999" t="str">
        <f>IF([3]Entry!$N$2002="","",[3]Entry!$N$2002)</f>
        <v/>
      </c>
      <c r="AM1999" t="str">
        <f>IF([3]Entry!$R$2002="","",[3]Entry!$R$2002)</f>
        <v/>
      </c>
    </row>
    <row r="2000" spans="20:39" x14ac:dyDescent="0.2">
      <c r="T2000" t="str">
        <f>IF([2]Baskol!$B$2003="","",[2]Baskol!$B$2003)</f>
        <v/>
      </c>
      <c r="U2000" t="str">
        <f>IF([2]Baskol!$C$2003="","",[2]Baskol!$C$2003)</f>
        <v/>
      </c>
      <c r="V2000" t="str">
        <f>IF([2]Baskol!$D$2003="","",[2]Baskol!$D$2003)</f>
        <v/>
      </c>
      <c r="W2000" t="str">
        <f>IF([2]Baskol!$E$2003="","",[2]Baskol!$E$2003)</f>
        <v/>
      </c>
      <c r="X2000" t="str">
        <f>IF([2]Baskol!$G$2003="","",[2]Baskol!$G$2003)</f>
        <v/>
      </c>
      <c r="Y2000" t="str">
        <f>IF([2]Baskol!$I$2003="","",[2]Baskol!$I$2003)</f>
        <v/>
      </c>
      <c r="Z2000" t="str">
        <f>IF([2]Baskol!$J$2003="","",[2]Baskol!$J$2003)</f>
        <v/>
      </c>
      <c r="AA2000" t="str">
        <f>IF([2]Baskol!$K$2003="","",[2]Baskol!$K$2003)</f>
        <v/>
      </c>
      <c r="AB2000" t="str">
        <f>IF([2]Baskol!$L$2003="","",[2]Baskol!$L$2003)</f>
        <v/>
      </c>
      <c r="AC2000" t="str">
        <f>IF([2]Baskol!$N$2003="","",[2]Baskol!$N$2003)</f>
        <v/>
      </c>
      <c r="AD2000" t="str">
        <f>IF([2]Baskol!$O$2003="","",[2]Baskol!$O$2003)</f>
        <v/>
      </c>
      <c r="AE2000" t="str">
        <f>IF([3]Entry!$C$2003="","",[3]Entry!$C$2003)</f>
        <v/>
      </c>
      <c r="AF2000" t="str">
        <f>IF([3]Entry!$D$2003="","",[3]Entry!$D$2003)</f>
        <v/>
      </c>
      <c r="AG2000" t="str">
        <f>IF([3]Entry!$E$2003="","",[3]Entry!$E$2003)</f>
        <v/>
      </c>
      <c r="AH2000" t="str">
        <f>IF([3]Entry!$G$2003="","",[3]Entry!$G$2003)</f>
        <v/>
      </c>
      <c r="AI2000" t="str">
        <f>IF([3]Entry!$K$2003="","",[3]Entry!$K$2003)</f>
        <v/>
      </c>
      <c r="AJ2000" t="str">
        <f>IF([3]Entry!$L$2003="","",[3]Entry!$L$2003)</f>
        <v/>
      </c>
      <c r="AK2000" t="str">
        <f>IF([3]Entry!$M$2003="","",[3]Entry!$M$2003)</f>
        <v/>
      </c>
      <c r="AL2000" t="str">
        <f>IF([3]Entry!$N$2003="","",[3]Entry!$N$2003)</f>
        <v/>
      </c>
      <c r="AM2000" t="str">
        <f>IF([3]Entry!$R$2003="","",[3]Entry!$R$2003)</f>
        <v/>
      </c>
    </row>
    <row r="2001" spans="20:39" x14ac:dyDescent="0.2">
      <c r="T2001" t="str">
        <f>IF([2]Baskol!$B$2004="","",[2]Baskol!$B$2004)</f>
        <v/>
      </c>
      <c r="U2001" t="str">
        <f>IF([2]Baskol!$C$2004="","",[2]Baskol!$C$2004)</f>
        <v/>
      </c>
      <c r="V2001" t="str">
        <f>IF([2]Baskol!$D$2004="","",[2]Baskol!$D$2004)</f>
        <v/>
      </c>
      <c r="W2001" t="str">
        <f>IF([2]Baskol!$E$2004="","",[2]Baskol!$E$2004)</f>
        <v/>
      </c>
      <c r="X2001" t="str">
        <f>IF([2]Baskol!$G$2004="","",[2]Baskol!$G$2004)</f>
        <v/>
      </c>
      <c r="Y2001" t="str">
        <f>IF([2]Baskol!$I$2004="","",[2]Baskol!$I$2004)</f>
        <v/>
      </c>
      <c r="Z2001" t="str">
        <f>IF([2]Baskol!$J$2004="","",[2]Baskol!$J$2004)</f>
        <v/>
      </c>
      <c r="AA2001" t="str">
        <f>IF([2]Baskol!$K$2004="","",[2]Baskol!$K$2004)</f>
        <v/>
      </c>
      <c r="AB2001" t="str">
        <f>IF([2]Baskol!$L$2004="","",[2]Baskol!$L$2004)</f>
        <v/>
      </c>
      <c r="AC2001" t="str">
        <f>IF([2]Baskol!$N$2004="","",[2]Baskol!$N$2004)</f>
        <v/>
      </c>
      <c r="AD2001" t="str">
        <f>IF([2]Baskol!$O$2004="","",[2]Baskol!$O$2004)</f>
        <v/>
      </c>
      <c r="AE2001" t="str">
        <f>IF([3]Entry!$C$2004="","",[3]Entry!$C$2004)</f>
        <v/>
      </c>
      <c r="AF2001" t="str">
        <f>IF([3]Entry!$D$2004="","",[3]Entry!$D$2004)</f>
        <v/>
      </c>
      <c r="AG2001" t="str">
        <f>IF([3]Entry!$E$2004="","",[3]Entry!$E$2004)</f>
        <v/>
      </c>
      <c r="AH2001" t="str">
        <f>IF([3]Entry!$G$2004="","",[3]Entry!$G$2004)</f>
        <v/>
      </c>
      <c r="AI2001" t="str">
        <f>IF([3]Entry!$K$2004="","",[3]Entry!$K$2004)</f>
        <v/>
      </c>
      <c r="AJ2001" t="str">
        <f>IF([3]Entry!$L$2004="","",[3]Entry!$L$2004)</f>
        <v/>
      </c>
      <c r="AK2001" t="str">
        <f>IF([3]Entry!$M$2004="","",[3]Entry!$M$2004)</f>
        <v/>
      </c>
      <c r="AL2001" t="str">
        <f>IF([3]Entry!$N$2004="","",[3]Entry!$N$2004)</f>
        <v/>
      </c>
      <c r="AM2001" t="str">
        <f>IF([3]Entry!$R$2004="","",[3]Entry!$R$2004)</f>
        <v/>
      </c>
    </row>
    <row r="2002" spans="20:39" x14ac:dyDescent="0.2">
      <c r="T2002" t="str">
        <f>IF([2]Baskol!$B$2005="","",[2]Baskol!$B$2005)</f>
        <v/>
      </c>
      <c r="U2002" t="str">
        <f>IF([2]Baskol!$C$2005="","",[2]Baskol!$C$2005)</f>
        <v/>
      </c>
      <c r="V2002" t="str">
        <f>IF([2]Baskol!$D$2005="","",[2]Baskol!$D$2005)</f>
        <v/>
      </c>
      <c r="W2002" t="str">
        <f>IF([2]Baskol!$E$2005="","",[2]Baskol!$E$2005)</f>
        <v/>
      </c>
      <c r="X2002" t="str">
        <f>IF([2]Baskol!$G$2005="","",[2]Baskol!$G$2005)</f>
        <v/>
      </c>
      <c r="Y2002" t="str">
        <f>IF([2]Baskol!$I$2005="","",[2]Baskol!$I$2005)</f>
        <v/>
      </c>
      <c r="Z2002" t="str">
        <f>IF([2]Baskol!$J$2005="","",[2]Baskol!$J$2005)</f>
        <v/>
      </c>
      <c r="AA2002" t="str">
        <f>IF([2]Baskol!$K$2005="","",[2]Baskol!$K$2005)</f>
        <v/>
      </c>
      <c r="AB2002" t="str">
        <f>IF([2]Baskol!$L$2005="","",[2]Baskol!$L$2005)</f>
        <v/>
      </c>
      <c r="AC2002" t="str">
        <f>IF([2]Baskol!$N$2005="","",[2]Baskol!$N$2005)</f>
        <v/>
      </c>
      <c r="AD2002" t="str">
        <f>IF([2]Baskol!$O$2005="","",[2]Baskol!$O$2005)</f>
        <v/>
      </c>
      <c r="AE2002" t="str">
        <f>IF([3]Entry!$C$2005="","",[3]Entry!$C$2005)</f>
        <v/>
      </c>
      <c r="AF2002" t="str">
        <f>IF([3]Entry!$D$2005="","",[3]Entry!$D$2005)</f>
        <v/>
      </c>
      <c r="AG2002" t="str">
        <f>IF([3]Entry!$E$2005="","",[3]Entry!$E$2005)</f>
        <v/>
      </c>
      <c r="AH2002" t="str">
        <f>IF([3]Entry!$G$2005="","",[3]Entry!$G$2005)</f>
        <v/>
      </c>
      <c r="AI2002" t="str">
        <f>IF([3]Entry!$K$2005="","",[3]Entry!$K$2005)</f>
        <v/>
      </c>
      <c r="AJ2002" t="str">
        <f>IF([3]Entry!$L$2005="","",[3]Entry!$L$2005)</f>
        <v/>
      </c>
      <c r="AK2002" t="str">
        <f>IF([3]Entry!$M$2005="","",[3]Entry!$M$2005)</f>
        <v/>
      </c>
      <c r="AL2002" t="str">
        <f>IF([3]Entry!$N$2005="","",[3]Entry!$N$2005)</f>
        <v/>
      </c>
      <c r="AM2002" t="str">
        <f>IF([3]Entry!$R$2005="","",[3]Entry!$R$2005)</f>
        <v/>
      </c>
    </row>
    <row r="2003" spans="20:39" x14ac:dyDescent="0.2">
      <c r="T2003" t="str">
        <f>IF([2]Baskol!$B$2006="","",[2]Baskol!$B$2006)</f>
        <v/>
      </c>
      <c r="U2003" t="str">
        <f>IF([2]Baskol!$C$2006="","",[2]Baskol!$C$2006)</f>
        <v/>
      </c>
      <c r="V2003" t="str">
        <f>IF([2]Baskol!$D$2006="","",[2]Baskol!$D$2006)</f>
        <v/>
      </c>
      <c r="W2003" t="str">
        <f>IF([2]Baskol!$E$2006="","",[2]Baskol!$E$2006)</f>
        <v/>
      </c>
      <c r="X2003" t="str">
        <f>IF([2]Baskol!$G$2006="","",[2]Baskol!$G$2006)</f>
        <v/>
      </c>
      <c r="Y2003" t="str">
        <f>IF([2]Baskol!$I$2006="","",[2]Baskol!$I$2006)</f>
        <v/>
      </c>
      <c r="Z2003" t="str">
        <f>IF([2]Baskol!$J$2006="","",[2]Baskol!$J$2006)</f>
        <v/>
      </c>
      <c r="AA2003" t="str">
        <f>IF([2]Baskol!$K$2006="","",[2]Baskol!$K$2006)</f>
        <v/>
      </c>
      <c r="AB2003" t="str">
        <f>IF([2]Baskol!$L$2006="","",[2]Baskol!$L$2006)</f>
        <v/>
      </c>
      <c r="AC2003" t="str">
        <f>IF([2]Baskol!$N$2006="","",[2]Baskol!$N$2006)</f>
        <v/>
      </c>
      <c r="AD2003" t="str">
        <f>IF([2]Baskol!$O$2006="","",[2]Baskol!$O$2006)</f>
        <v/>
      </c>
      <c r="AE2003" t="str">
        <f>IF([3]Entry!$C$2006="","",[3]Entry!$C$2006)</f>
        <v/>
      </c>
      <c r="AF2003" t="str">
        <f>IF([3]Entry!$D$2006="","",[3]Entry!$D$2006)</f>
        <v/>
      </c>
      <c r="AG2003" t="str">
        <f>IF([3]Entry!$E$2006="","",[3]Entry!$E$2006)</f>
        <v/>
      </c>
      <c r="AH2003" t="str">
        <f>IF([3]Entry!$G$2006="","",[3]Entry!$G$2006)</f>
        <v/>
      </c>
      <c r="AI2003" t="str">
        <f>IF([3]Entry!$K$2006="","",[3]Entry!$K$2006)</f>
        <v/>
      </c>
      <c r="AJ2003" t="str">
        <f>IF([3]Entry!$L$2006="","",[3]Entry!$L$2006)</f>
        <v/>
      </c>
      <c r="AK2003" t="str">
        <f>IF([3]Entry!$M$2006="","",[3]Entry!$M$2006)</f>
        <v/>
      </c>
      <c r="AL2003" t="str">
        <f>IF([3]Entry!$N$2006="","",[3]Entry!$N$2006)</f>
        <v/>
      </c>
      <c r="AM2003" t="str">
        <f>IF([3]Entry!$R$2006="","",[3]Entry!$R$2006)</f>
        <v/>
      </c>
    </row>
    <row r="2004" spans="20:39" x14ac:dyDescent="0.2">
      <c r="T2004" t="str">
        <f>IF([2]Baskol!$B$2007="","",[2]Baskol!$B$2007)</f>
        <v/>
      </c>
      <c r="U2004" t="str">
        <f>IF([2]Baskol!$C$2007="","",[2]Baskol!$C$2007)</f>
        <v/>
      </c>
      <c r="V2004" t="str">
        <f>IF([2]Baskol!$D$2007="","",[2]Baskol!$D$2007)</f>
        <v/>
      </c>
      <c r="W2004" t="str">
        <f>IF([2]Baskol!$E$2007="","",[2]Baskol!$E$2007)</f>
        <v/>
      </c>
      <c r="X2004" t="str">
        <f>IF([2]Baskol!$G$2007="","",[2]Baskol!$G$2007)</f>
        <v/>
      </c>
      <c r="Y2004" t="str">
        <f>IF([2]Baskol!$I$2007="","",[2]Baskol!$I$2007)</f>
        <v/>
      </c>
      <c r="Z2004" t="str">
        <f>IF([2]Baskol!$J$2007="","",[2]Baskol!$J$2007)</f>
        <v/>
      </c>
      <c r="AA2004" t="str">
        <f>IF([2]Baskol!$K$2007="","",[2]Baskol!$K$2007)</f>
        <v/>
      </c>
      <c r="AB2004" t="str">
        <f>IF([2]Baskol!$L$2007="","",[2]Baskol!$L$2007)</f>
        <v/>
      </c>
      <c r="AC2004" t="str">
        <f>IF([2]Baskol!$N$2007="","",[2]Baskol!$N$2007)</f>
        <v/>
      </c>
      <c r="AD2004" t="str">
        <f>IF([2]Baskol!$O$2007="","",[2]Baskol!$O$2007)</f>
        <v/>
      </c>
      <c r="AE2004" t="str">
        <f>IF([3]Entry!$C$2007="","",[3]Entry!$C$2007)</f>
        <v/>
      </c>
      <c r="AF2004" t="str">
        <f>IF([3]Entry!$D$2007="","",[3]Entry!$D$2007)</f>
        <v/>
      </c>
      <c r="AG2004" t="str">
        <f>IF([3]Entry!$E$2007="","",[3]Entry!$E$2007)</f>
        <v/>
      </c>
      <c r="AH2004" t="str">
        <f>IF([3]Entry!$G$2007="","",[3]Entry!$G$2007)</f>
        <v/>
      </c>
      <c r="AI2004" t="str">
        <f>IF([3]Entry!$K$2007="","",[3]Entry!$K$2007)</f>
        <v/>
      </c>
      <c r="AJ2004" t="str">
        <f>IF([3]Entry!$L$2007="","",[3]Entry!$L$2007)</f>
        <v/>
      </c>
      <c r="AK2004" t="str">
        <f>IF([3]Entry!$M$2007="","",[3]Entry!$M$2007)</f>
        <v/>
      </c>
      <c r="AL2004" t="str">
        <f>IF([3]Entry!$N$2007="","",[3]Entry!$N$2007)</f>
        <v/>
      </c>
      <c r="AM2004" t="str">
        <f>IF([3]Entry!$R$2007="","",[3]Entry!$R$2007)</f>
        <v/>
      </c>
    </row>
    <row r="2005" spans="20:39" x14ac:dyDescent="0.2">
      <c r="T2005" t="str">
        <f>IF([2]Baskol!$B$2008="","",[2]Baskol!$B$2008)</f>
        <v/>
      </c>
      <c r="U2005" t="str">
        <f>IF([2]Baskol!$C$2008="","",[2]Baskol!$C$2008)</f>
        <v/>
      </c>
      <c r="V2005" t="str">
        <f>IF([2]Baskol!$D$2008="","",[2]Baskol!$D$2008)</f>
        <v/>
      </c>
      <c r="W2005" t="str">
        <f>IF([2]Baskol!$E$2008="","",[2]Baskol!$E$2008)</f>
        <v/>
      </c>
      <c r="X2005" t="str">
        <f>IF([2]Baskol!$G$2008="","",[2]Baskol!$G$2008)</f>
        <v/>
      </c>
      <c r="Y2005" t="str">
        <f>IF([2]Baskol!$I$2008="","",[2]Baskol!$I$2008)</f>
        <v/>
      </c>
      <c r="Z2005" t="str">
        <f>IF([2]Baskol!$J$2008="","",[2]Baskol!$J$2008)</f>
        <v/>
      </c>
      <c r="AA2005" t="str">
        <f>IF([2]Baskol!$K$2008="","",[2]Baskol!$K$2008)</f>
        <v/>
      </c>
      <c r="AB2005" t="str">
        <f>IF([2]Baskol!$L$2008="","",[2]Baskol!$L$2008)</f>
        <v/>
      </c>
      <c r="AC2005" t="str">
        <f>IF([2]Baskol!$N$2008="","",[2]Baskol!$N$2008)</f>
        <v/>
      </c>
      <c r="AD2005" t="str">
        <f>IF([2]Baskol!$O$2008="","",[2]Baskol!$O$2008)</f>
        <v/>
      </c>
      <c r="AE2005" t="str">
        <f>IF([3]Entry!$C$2008="","",[3]Entry!$C$2008)</f>
        <v/>
      </c>
      <c r="AF2005" t="str">
        <f>IF([3]Entry!$D$2008="","",[3]Entry!$D$2008)</f>
        <v/>
      </c>
      <c r="AG2005" t="str">
        <f>IF([3]Entry!$E$2008="","",[3]Entry!$E$2008)</f>
        <v/>
      </c>
      <c r="AH2005" t="str">
        <f>IF([3]Entry!$G$2008="","",[3]Entry!$G$2008)</f>
        <v/>
      </c>
      <c r="AI2005" t="str">
        <f>IF([3]Entry!$K$2008="","",[3]Entry!$K$2008)</f>
        <v/>
      </c>
      <c r="AJ2005" t="str">
        <f>IF([3]Entry!$L$2008="","",[3]Entry!$L$2008)</f>
        <v/>
      </c>
      <c r="AK2005" t="str">
        <f>IF([3]Entry!$M$2008="","",[3]Entry!$M$2008)</f>
        <v/>
      </c>
      <c r="AL2005" t="str">
        <f>IF([3]Entry!$N$2008="","",[3]Entry!$N$2008)</f>
        <v/>
      </c>
      <c r="AM2005" t="str">
        <f>IF([3]Entry!$R$2008="","",[3]Entry!$R$2008)</f>
        <v/>
      </c>
    </row>
  </sheetData>
  <mergeCells count="3">
    <mergeCell ref="A2:AM2"/>
    <mergeCell ref="A1:AM1"/>
    <mergeCell ref="A3:AM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A4AE"/>
  </sheetPr>
  <dimension ref="A1:Q2009"/>
  <sheetViews>
    <sheetView showGridLines="0" workbookViewId="0">
      <pane ySplit="8" topLeftCell="A9" activePane="bottomLeft" state="frozen"/>
      <selection pane="bottomLeft"/>
    </sheetView>
  </sheetViews>
  <sheetFormatPr defaultRowHeight="14.25" x14ac:dyDescent="0.2"/>
  <cols>
    <col min="1" max="1" width="12" customWidth="1"/>
    <col min="2" max="4" width="6" customWidth="1"/>
    <col min="5" max="5" width="12" customWidth="1"/>
    <col min="6" max="6" width="9" customWidth="1"/>
    <col min="7" max="7" width="10" customWidth="1"/>
    <col min="8" max="8" width="14" customWidth="1"/>
    <col min="9" max="11" width="12" customWidth="1"/>
    <col min="12" max="12" width="10" customWidth="1"/>
    <col min="13" max="13" width="12" customWidth="1"/>
    <col min="14" max="14" width="15" customWidth="1"/>
    <col min="15" max="15" width="10" customWidth="1"/>
    <col min="16" max="16" width="24" customWidth="1"/>
    <col min="17" max="17" width="8" customWidth="1"/>
  </cols>
  <sheetData>
    <row r="1" spans="1:17" ht="26.1" customHeight="1" x14ac:dyDescent="0.2">
      <c r="A1" s="19" t="s">
        <v>35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14.1" customHeight="1" x14ac:dyDescent="0.2">
      <c r="A2" s="27" t="s">
        <v>36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1:17" x14ac:dyDescent="0.2">
      <c r="A3" s="34" t="s">
        <v>72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</row>
    <row r="8" spans="1:17" ht="24" customHeight="1" x14ac:dyDescent="0.2">
      <c r="A8" s="16" t="s">
        <v>73</v>
      </c>
      <c r="B8" s="16" t="s">
        <v>74</v>
      </c>
      <c r="C8" s="16" t="s">
        <v>75</v>
      </c>
      <c r="D8" s="16" t="s">
        <v>76</v>
      </c>
      <c r="E8" s="16" t="s">
        <v>77</v>
      </c>
      <c r="F8" s="16" t="s">
        <v>78</v>
      </c>
      <c r="G8" s="16" t="s">
        <v>79</v>
      </c>
      <c r="H8" s="16" t="s">
        <v>80</v>
      </c>
      <c r="I8" s="16" t="s">
        <v>81</v>
      </c>
      <c r="J8" s="16" t="s">
        <v>82</v>
      </c>
      <c r="K8" s="16" t="s">
        <v>83</v>
      </c>
      <c r="L8" s="16" t="s">
        <v>84</v>
      </c>
      <c r="M8" s="16" t="s">
        <v>85</v>
      </c>
      <c r="N8" s="16" t="s">
        <v>86</v>
      </c>
      <c r="O8" s="16" t="s">
        <v>87</v>
      </c>
      <c r="P8" s="16" t="s">
        <v>88</v>
      </c>
      <c r="Q8" s="16" t="s">
        <v>89</v>
      </c>
    </row>
    <row r="10" spans="1:17" x14ac:dyDescent="0.2">
      <c r="A10" t="str">
        <f>IF(Sync!$T6="","",Sync!$T6)</f>
        <v>1405/07/06</v>
      </c>
      <c r="B10">
        <f t="shared" ref="B10:B73" si="0">IF($A10="","",IF(ISNUMBER($A10),IF(AND($A10&gt;=10000101,$A10&lt;=99991231),INT($A10/10000),""),IFERROR(VALUE(TRIM(LEFT($A10,FIND("/",$A10)-1))),"")))</f>
        <v>1405</v>
      </c>
      <c r="C10">
        <f t="shared" ref="C10:C73" si="1">IF(OR($A10="",$B10=""),"",IF(ISNUMBER($A10),INT(MOD($A10,10000)/100),IFERROR(VALUE(TRIM(LEFT(MID($A10,FIND("/",$A10)+1,20),FIND("/",MID($A10,FIND("/",$A10)+1,20))-1))),"")))</f>
        <v>7</v>
      </c>
      <c r="D10">
        <f t="shared" ref="D10:D73" si="2">IF(OR($A10="",$B10=""),"",IF(ISNUMBER($A10),MOD($A10,100),IFERROR(VALUE(TRIM(MID(MID($A10,FIND("/",$A10)+1,20),FIND("/",MID($A10,FIND("/",$A10)+1,20))+1,20))),"")))</f>
        <v>6</v>
      </c>
      <c r="E10" t="str">
        <f t="shared" ref="E10:E73" si="3">IF($A10="","",IF(OR($B10="",$C10="",$D10="",$B10&lt;1300,$B10&gt;1500,$C10&lt;1,$C10&gt;12,$D10&lt;1,$D10&gt;31),"نامعتبر",RIGHT("0000"&amp;$B10,4)&amp;"/"&amp;RIGHT("00"&amp;$C10,2)&amp;"/"&amp;RIGHT("00"&amp;$D10,2)))</f>
        <v>1405/07/06</v>
      </c>
      <c r="F10" t="str">
        <f t="shared" ref="F10:F73" si="4">IF(OR($E10="",$E10="نامعتبر"),"",LEFT($E10,4)&amp;"/"&amp;MID($E10,6,2))</f>
        <v>1405/07</v>
      </c>
      <c r="G10" t="str">
        <f>IF(OR($E10="",$E10="نامعتبر",Sync!$X6=""),"",IF(AND(LEFT(UPPER(TRIM(Sync!$X6)),2)="SL",IFERROR(VLOOKUP(Sync!$W6,OpTbl,3,0),"")="فروش"),UPPER(TRIM(Sync!$X6)),""))</f>
        <v/>
      </c>
      <c r="H10" t="str">
        <f>IF($G10="","",IF(Sync!$W6="","",Sync!$W6))</f>
        <v/>
      </c>
      <c r="I10" t="str">
        <f>IF(OR($G10="",Sync!$Y6=""),"",Sync!$Y6)</f>
        <v/>
      </c>
      <c r="J10" t="str">
        <f>IF(OR($G10="",Sync!$Z6=""),"",Sync!$Z6)</f>
        <v/>
      </c>
      <c r="K10">
        <f>IF($G10="",0,IF(Sync!$AA6="",0,Sync!$AA6))</f>
        <v>0</v>
      </c>
      <c r="L10">
        <f>IF($G10="",0,IF(Sync!$AB6="",0,Sync!$AB6))</f>
        <v>0</v>
      </c>
      <c r="M10" t="str">
        <f t="shared" ref="M10:M73" si="5">IF($G10="","",IF($H10="مرجوعی فروش",-1,1)*($K10-$L10*IFERROR(VLOOKUP("P01",ParamTbl,3,0),1.5)))</f>
        <v/>
      </c>
      <c r="N10">
        <f>IF($G10="",0,IF($H10="مرجوعی فروش",-1,1)*IF(Sync!$AC6="",0,Sync!$AC6))</f>
        <v>0</v>
      </c>
      <c r="O10" t="str">
        <f>IF(OR($G10="",Sync!$V6=""),"",Sync!$V6)</f>
        <v/>
      </c>
      <c r="P10" t="str">
        <f>IF(OR($G10="",Sync!$AD6=""),"",Sync!$AD6)</f>
        <v/>
      </c>
      <c r="Q10" t="str">
        <f>IF($G10="","",IF(Sync!$U6="","0000",IF(AND(ISNUMBER(Sync!$U6),Sync!$U6&gt;=0,Sync!$U6&lt;1),RIGHT("00"&amp;HOUR(Sync!$U6),2)&amp;RIGHT("00"&amp;MINUTE(Sync!$U6),2),IFERROR(RIGHT("00"&amp;VALUE(LEFT(Sync!$U6,FIND(":",Sync!$U6)-1)),2)&amp;RIGHT("00"&amp;VALUE(MID(Sync!$U6,FIND(":",Sync!$U6)+1,2)),2),"0000"))))</f>
        <v/>
      </c>
    </row>
    <row r="11" spans="1:17" x14ac:dyDescent="0.2">
      <c r="A11" t="str">
        <f>IF(Sync!$T7="","",Sync!$T7)</f>
        <v>1405/07/06</v>
      </c>
      <c r="B11">
        <f t="shared" si="0"/>
        <v>1405</v>
      </c>
      <c r="C11">
        <f t="shared" si="1"/>
        <v>7</v>
      </c>
      <c r="D11">
        <f t="shared" si="2"/>
        <v>6</v>
      </c>
      <c r="E11" t="str">
        <f t="shared" si="3"/>
        <v>1405/07/06</v>
      </c>
      <c r="F11" t="str">
        <f t="shared" si="4"/>
        <v>1405/07</v>
      </c>
      <c r="G11" t="str">
        <f>IF(OR($E11="",$E11="نامعتبر",Sync!$X7=""),"",IF(AND(LEFT(UPPER(TRIM(Sync!$X7)),2)="SL",IFERROR(VLOOKUP(Sync!$W7,OpTbl,3,0),"")="فروش"),UPPER(TRIM(Sync!$X7)),""))</f>
        <v/>
      </c>
      <c r="H11" t="str">
        <f>IF($G11="","",IF(Sync!$W7="","",Sync!$W7))</f>
        <v/>
      </c>
      <c r="I11" t="str">
        <f>IF(OR($G11="",Sync!$Y7=""),"",Sync!$Y7)</f>
        <v/>
      </c>
      <c r="J11" t="str">
        <f>IF(OR($G11="",Sync!$Z7=""),"",Sync!$Z7)</f>
        <v/>
      </c>
      <c r="K11">
        <f>IF($G11="",0,IF(Sync!$AA7="",0,Sync!$AA7))</f>
        <v>0</v>
      </c>
      <c r="L11">
        <f>IF($G11="",0,IF(Sync!$AB7="",0,Sync!$AB7))</f>
        <v>0</v>
      </c>
      <c r="M11" t="str">
        <f t="shared" si="5"/>
        <v/>
      </c>
      <c r="N11">
        <f>IF($G11="",0,IF($H11="مرجوعی فروش",-1,1)*IF(Sync!$AC7="",0,Sync!$AC7))</f>
        <v>0</v>
      </c>
      <c r="O11" t="str">
        <f>IF(OR($G11="",Sync!$V7=""),"",Sync!$V7)</f>
        <v/>
      </c>
      <c r="P11" t="str">
        <f>IF(OR($G11="",Sync!$AD7=""),"",Sync!$AD7)</f>
        <v/>
      </c>
      <c r="Q11" t="str">
        <f>IF($G11="","",IF(Sync!$U7="","0000",IF(AND(ISNUMBER(Sync!$U7),Sync!$U7&gt;=0,Sync!$U7&lt;1),RIGHT("00"&amp;HOUR(Sync!$U7),2)&amp;RIGHT("00"&amp;MINUTE(Sync!$U7),2),IFERROR(RIGHT("00"&amp;VALUE(LEFT(Sync!$U7,FIND(":",Sync!$U7)-1)),2)&amp;RIGHT("00"&amp;VALUE(MID(Sync!$U7,FIND(":",Sync!$U7)+1,2)),2),"0000"))))</f>
        <v/>
      </c>
    </row>
    <row r="12" spans="1:17" x14ac:dyDescent="0.2">
      <c r="A12" t="str">
        <f>IF(Sync!$T8="","",Sync!$T8)</f>
        <v>1405/07/07</v>
      </c>
      <c r="B12">
        <f t="shared" si="0"/>
        <v>1405</v>
      </c>
      <c r="C12">
        <f t="shared" si="1"/>
        <v>7</v>
      </c>
      <c r="D12">
        <f t="shared" si="2"/>
        <v>7</v>
      </c>
      <c r="E12" t="str">
        <f t="shared" si="3"/>
        <v>1405/07/07</v>
      </c>
      <c r="F12" t="str">
        <f t="shared" si="4"/>
        <v>1405/07</v>
      </c>
      <c r="G12" t="str">
        <f>IF(OR($E12="",$E12="نامعتبر",Sync!$X8=""),"",IF(AND(LEFT(UPPER(TRIM(Sync!$X8)),2)="SL",IFERROR(VLOOKUP(Sync!$W8,OpTbl,3,0),"")="فروش"),UPPER(TRIM(Sync!$X8)),""))</f>
        <v/>
      </c>
      <c r="H12" t="str">
        <f>IF($G12="","",IF(Sync!$W8="","",Sync!$W8))</f>
        <v/>
      </c>
      <c r="I12" t="str">
        <f>IF(OR($G12="",Sync!$Y8=""),"",Sync!$Y8)</f>
        <v/>
      </c>
      <c r="J12" t="str">
        <f>IF(OR($G12="",Sync!$Z8=""),"",Sync!$Z8)</f>
        <v/>
      </c>
      <c r="K12">
        <f>IF($G12="",0,IF(Sync!$AA8="",0,Sync!$AA8))</f>
        <v>0</v>
      </c>
      <c r="L12">
        <f>IF($G12="",0,IF(Sync!$AB8="",0,Sync!$AB8))</f>
        <v>0</v>
      </c>
      <c r="M12" t="str">
        <f t="shared" si="5"/>
        <v/>
      </c>
      <c r="N12">
        <f>IF($G12="",0,IF($H12="مرجوعی فروش",-1,1)*IF(Sync!$AC8="",0,Sync!$AC8))</f>
        <v>0</v>
      </c>
      <c r="O12" t="str">
        <f>IF(OR($G12="",Sync!$V8=""),"",Sync!$V8)</f>
        <v/>
      </c>
      <c r="P12" t="str">
        <f>IF(OR($G12="",Sync!$AD8=""),"",Sync!$AD8)</f>
        <v/>
      </c>
      <c r="Q12" t="str">
        <f>IF($G12="","",IF(Sync!$U8="","0000",IF(AND(ISNUMBER(Sync!$U8),Sync!$U8&gt;=0,Sync!$U8&lt;1),RIGHT("00"&amp;HOUR(Sync!$U8),2)&amp;RIGHT("00"&amp;MINUTE(Sync!$U8),2),IFERROR(RIGHT("00"&amp;VALUE(LEFT(Sync!$U8,FIND(":",Sync!$U8)-1)),2)&amp;RIGHT("00"&amp;VALUE(MID(Sync!$U8,FIND(":",Sync!$U8)+1,2)),2),"0000"))))</f>
        <v/>
      </c>
    </row>
    <row r="13" spans="1:17" x14ac:dyDescent="0.2">
      <c r="A13" t="str">
        <f>IF(Sync!$T9="","",Sync!$T9)</f>
        <v>1405/07/08</v>
      </c>
      <c r="B13">
        <f t="shared" si="0"/>
        <v>1405</v>
      </c>
      <c r="C13">
        <f t="shared" si="1"/>
        <v>7</v>
      </c>
      <c r="D13">
        <f t="shared" si="2"/>
        <v>8</v>
      </c>
      <c r="E13" t="str">
        <f t="shared" si="3"/>
        <v>1405/07/08</v>
      </c>
      <c r="F13" t="str">
        <f t="shared" si="4"/>
        <v>1405/07</v>
      </c>
      <c r="G13" t="str">
        <f>IF(OR($E13="",$E13="نامعتبر",Sync!$X9=""),"",IF(AND(LEFT(UPPER(TRIM(Sync!$X9)),2)="SL",IFERROR(VLOOKUP(Sync!$W9,OpTbl,3,0),"")="فروش"),UPPER(TRIM(Sync!$X9)),""))</f>
        <v/>
      </c>
      <c r="H13" t="str">
        <f>IF($G13="","",IF(Sync!$W9="","",Sync!$W9))</f>
        <v/>
      </c>
      <c r="I13" t="str">
        <f>IF(OR($G13="",Sync!$Y9=""),"",Sync!$Y9)</f>
        <v/>
      </c>
      <c r="J13" t="str">
        <f>IF(OR($G13="",Sync!$Z9=""),"",Sync!$Z9)</f>
        <v/>
      </c>
      <c r="K13">
        <f>IF($G13="",0,IF(Sync!$AA9="",0,Sync!$AA9))</f>
        <v>0</v>
      </c>
      <c r="L13">
        <f>IF($G13="",0,IF(Sync!$AB9="",0,Sync!$AB9))</f>
        <v>0</v>
      </c>
      <c r="M13" t="str">
        <f t="shared" si="5"/>
        <v/>
      </c>
      <c r="N13">
        <f>IF($G13="",0,IF($H13="مرجوعی فروش",-1,1)*IF(Sync!$AC9="",0,Sync!$AC9))</f>
        <v>0</v>
      </c>
      <c r="O13" t="str">
        <f>IF(OR($G13="",Sync!$V9=""),"",Sync!$V9)</f>
        <v/>
      </c>
      <c r="P13" t="str">
        <f>IF(OR($G13="",Sync!$AD9=""),"",Sync!$AD9)</f>
        <v/>
      </c>
      <c r="Q13" t="str">
        <f>IF($G13="","",IF(Sync!$U9="","0000",IF(AND(ISNUMBER(Sync!$U9),Sync!$U9&gt;=0,Sync!$U9&lt;1),RIGHT("00"&amp;HOUR(Sync!$U9),2)&amp;RIGHT("00"&amp;MINUTE(Sync!$U9),2),IFERROR(RIGHT("00"&amp;VALUE(LEFT(Sync!$U9,FIND(":",Sync!$U9)-1)),2)&amp;RIGHT("00"&amp;VALUE(MID(Sync!$U9,FIND(":",Sync!$U9)+1,2)),2),"0000"))))</f>
        <v/>
      </c>
    </row>
    <row r="14" spans="1:17" x14ac:dyDescent="0.2">
      <c r="A14" t="str">
        <f>IF(Sync!$T10="","",Sync!$T10)</f>
        <v>1405/07/08</v>
      </c>
      <c r="B14">
        <f t="shared" si="0"/>
        <v>1405</v>
      </c>
      <c r="C14">
        <f t="shared" si="1"/>
        <v>7</v>
      </c>
      <c r="D14">
        <f t="shared" si="2"/>
        <v>8</v>
      </c>
      <c r="E14" t="str">
        <f t="shared" si="3"/>
        <v>1405/07/08</v>
      </c>
      <c r="F14" t="str">
        <f t="shared" si="4"/>
        <v>1405/07</v>
      </c>
      <c r="G14" t="str">
        <f>IF(OR($E14="",$E14="نامعتبر",Sync!$X10=""),"",IF(AND(LEFT(UPPER(TRIM(Sync!$X10)),2)="SL",IFERROR(VLOOKUP(Sync!$W10,OpTbl,3,0),"")="فروش"),UPPER(TRIM(Sync!$X10)),""))</f>
        <v/>
      </c>
      <c r="H14" t="str">
        <f>IF($G14="","",IF(Sync!$W10="","",Sync!$W10))</f>
        <v/>
      </c>
      <c r="I14" t="str">
        <f>IF(OR($G14="",Sync!$Y10=""),"",Sync!$Y10)</f>
        <v/>
      </c>
      <c r="J14" t="str">
        <f>IF(OR($G14="",Sync!$Z10=""),"",Sync!$Z10)</f>
        <v/>
      </c>
      <c r="K14">
        <f>IF($G14="",0,IF(Sync!$AA10="",0,Sync!$AA10))</f>
        <v>0</v>
      </c>
      <c r="L14">
        <f>IF($G14="",0,IF(Sync!$AB10="",0,Sync!$AB10))</f>
        <v>0</v>
      </c>
      <c r="M14" t="str">
        <f t="shared" si="5"/>
        <v/>
      </c>
      <c r="N14">
        <f>IF($G14="",0,IF($H14="مرجوعی فروش",-1,1)*IF(Sync!$AC10="",0,Sync!$AC10))</f>
        <v>0</v>
      </c>
      <c r="O14" t="str">
        <f>IF(OR($G14="",Sync!$V10=""),"",Sync!$V10)</f>
        <v/>
      </c>
      <c r="P14" t="str">
        <f>IF(OR($G14="",Sync!$AD10=""),"",Sync!$AD10)</f>
        <v/>
      </c>
      <c r="Q14" t="str">
        <f>IF($G14="","",IF(Sync!$U10="","0000",IF(AND(ISNUMBER(Sync!$U10),Sync!$U10&gt;=0,Sync!$U10&lt;1),RIGHT("00"&amp;HOUR(Sync!$U10),2)&amp;RIGHT("00"&amp;MINUTE(Sync!$U10),2),IFERROR(RIGHT("00"&amp;VALUE(LEFT(Sync!$U10,FIND(":",Sync!$U10)-1)),2)&amp;RIGHT("00"&amp;VALUE(MID(Sync!$U10,FIND(":",Sync!$U10)+1,2)),2),"0000"))))</f>
        <v/>
      </c>
    </row>
    <row r="15" spans="1:17" x14ac:dyDescent="0.2">
      <c r="A15" t="str">
        <f>IF(Sync!$T11="","",Sync!$T11)</f>
        <v>1405/07/08</v>
      </c>
      <c r="B15">
        <f t="shared" si="0"/>
        <v>1405</v>
      </c>
      <c r="C15">
        <f t="shared" si="1"/>
        <v>7</v>
      </c>
      <c r="D15">
        <f t="shared" si="2"/>
        <v>8</v>
      </c>
      <c r="E15" t="str">
        <f t="shared" si="3"/>
        <v>1405/07/08</v>
      </c>
      <c r="F15" t="str">
        <f t="shared" si="4"/>
        <v>1405/07</v>
      </c>
      <c r="G15" t="str">
        <f>IF(OR($E15="",$E15="نامعتبر",Sync!$X11=""),"",IF(AND(LEFT(UPPER(TRIM(Sync!$X11)),2)="SL",IFERROR(VLOOKUP(Sync!$W11,OpTbl,3,0),"")="فروش"),UPPER(TRIM(Sync!$X11)),""))</f>
        <v/>
      </c>
      <c r="H15" t="str">
        <f>IF($G15="","",IF(Sync!$W11="","",Sync!$W11))</f>
        <v/>
      </c>
      <c r="I15" t="str">
        <f>IF(OR($G15="",Sync!$Y11=""),"",Sync!$Y11)</f>
        <v/>
      </c>
      <c r="J15" t="str">
        <f>IF(OR($G15="",Sync!$Z11=""),"",Sync!$Z11)</f>
        <v/>
      </c>
      <c r="K15">
        <f>IF($G15="",0,IF(Sync!$AA11="",0,Sync!$AA11))</f>
        <v>0</v>
      </c>
      <c r="L15">
        <f>IF($G15="",0,IF(Sync!$AB11="",0,Sync!$AB11))</f>
        <v>0</v>
      </c>
      <c r="M15" t="str">
        <f t="shared" si="5"/>
        <v/>
      </c>
      <c r="N15">
        <f>IF($G15="",0,IF($H15="مرجوعی فروش",-1,1)*IF(Sync!$AC11="",0,Sync!$AC11))</f>
        <v>0</v>
      </c>
      <c r="O15" t="str">
        <f>IF(OR($G15="",Sync!$V11=""),"",Sync!$V11)</f>
        <v/>
      </c>
      <c r="P15" t="str">
        <f>IF(OR($G15="",Sync!$AD11=""),"",Sync!$AD11)</f>
        <v/>
      </c>
      <c r="Q15" t="str">
        <f>IF($G15="","",IF(Sync!$U11="","0000",IF(AND(ISNUMBER(Sync!$U11),Sync!$U11&gt;=0,Sync!$U11&lt;1),RIGHT("00"&amp;HOUR(Sync!$U11),2)&amp;RIGHT("00"&amp;MINUTE(Sync!$U11),2),IFERROR(RIGHT("00"&amp;VALUE(LEFT(Sync!$U11,FIND(":",Sync!$U11)-1)),2)&amp;RIGHT("00"&amp;VALUE(MID(Sync!$U11,FIND(":",Sync!$U11)+1,2)),2),"0000"))))</f>
        <v/>
      </c>
    </row>
    <row r="16" spans="1:17" x14ac:dyDescent="0.2">
      <c r="A16" t="str">
        <f>IF(Sync!$T12="","",Sync!$T12)</f>
        <v>1405/07/08</v>
      </c>
      <c r="B16">
        <f t="shared" si="0"/>
        <v>1405</v>
      </c>
      <c r="C16">
        <f t="shared" si="1"/>
        <v>7</v>
      </c>
      <c r="D16">
        <f t="shared" si="2"/>
        <v>8</v>
      </c>
      <c r="E16" t="str">
        <f t="shared" si="3"/>
        <v>1405/07/08</v>
      </c>
      <c r="F16" t="str">
        <f t="shared" si="4"/>
        <v>1405/07</v>
      </c>
      <c r="G16" t="str">
        <f>IF(OR($E16="",$E16="نامعتبر",Sync!$X12=""),"",IF(AND(LEFT(UPPER(TRIM(Sync!$X12)),2)="SL",IFERROR(VLOOKUP(Sync!$W12,OpTbl,3,0),"")="فروش"),UPPER(TRIM(Sync!$X12)),""))</f>
        <v/>
      </c>
      <c r="H16" t="str">
        <f>IF($G16="","",IF(Sync!$W12="","",Sync!$W12))</f>
        <v/>
      </c>
      <c r="I16" t="str">
        <f>IF(OR($G16="",Sync!$Y12=""),"",Sync!$Y12)</f>
        <v/>
      </c>
      <c r="J16" t="str">
        <f>IF(OR($G16="",Sync!$Z12=""),"",Sync!$Z12)</f>
        <v/>
      </c>
      <c r="K16">
        <f>IF($G16="",0,IF(Sync!$AA12="",0,Sync!$AA12))</f>
        <v>0</v>
      </c>
      <c r="L16">
        <f>IF($G16="",0,IF(Sync!$AB12="",0,Sync!$AB12))</f>
        <v>0</v>
      </c>
      <c r="M16" t="str">
        <f t="shared" si="5"/>
        <v/>
      </c>
      <c r="N16">
        <f>IF($G16="",0,IF($H16="مرجوعی فروش",-1,1)*IF(Sync!$AC12="",0,Sync!$AC12))</f>
        <v>0</v>
      </c>
      <c r="O16" t="str">
        <f>IF(OR($G16="",Sync!$V12=""),"",Sync!$V12)</f>
        <v/>
      </c>
      <c r="P16" t="str">
        <f>IF(OR($G16="",Sync!$AD12=""),"",Sync!$AD12)</f>
        <v/>
      </c>
      <c r="Q16" t="str">
        <f>IF($G16="","",IF(Sync!$U12="","0000",IF(AND(ISNUMBER(Sync!$U12),Sync!$U12&gt;=0,Sync!$U12&lt;1),RIGHT("00"&amp;HOUR(Sync!$U12),2)&amp;RIGHT("00"&amp;MINUTE(Sync!$U12),2),IFERROR(RIGHT("00"&amp;VALUE(LEFT(Sync!$U12,FIND(":",Sync!$U12)-1)),2)&amp;RIGHT("00"&amp;VALUE(MID(Sync!$U12,FIND(":",Sync!$U12)+1,2)),2),"0000"))))</f>
        <v/>
      </c>
    </row>
    <row r="17" spans="1:17" x14ac:dyDescent="0.2">
      <c r="A17" t="str">
        <f>IF(Sync!$T13="","",Sync!$T13)</f>
        <v>1405/07/09</v>
      </c>
      <c r="B17">
        <f t="shared" si="0"/>
        <v>1405</v>
      </c>
      <c r="C17">
        <f t="shared" si="1"/>
        <v>7</v>
      </c>
      <c r="D17">
        <f t="shared" si="2"/>
        <v>9</v>
      </c>
      <c r="E17" t="str">
        <f t="shared" si="3"/>
        <v>1405/07/09</v>
      </c>
      <c r="F17" t="str">
        <f t="shared" si="4"/>
        <v>1405/07</v>
      </c>
      <c r="G17" t="str">
        <f>IF(OR($E17="",$E17="نامعتبر",Sync!$X13=""),"",IF(AND(LEFT(UPPER(TRIM(Sync!$X13)),2)="SL",IFERROR(VLOOKUP(Sync!$W13,OpTbl,3,0),"")="فروش"),UPPER(TRIM(Sync!$X13)),""))</f>
        <v/>
      </c>
      <c r="H17" t="str">
        <f>IF($G17="","",IF(Sync!$W13="","",Sync!$W13))</f>
        <v/>
      </c>
      <c r="I17" t="str">
        <f>IF(OR($G17="",Sync!$Y13=""),"",Sync!$Y13)</f>
        <v/>
      </c>
      <c r="J17" t="str">
        <f>IF(OR($G17="",Sync!$Z13=""),"",Sync!$Z13)</f>
        <v/>
      </c>
      <c r="K17">
        <f>IF($G17="",0,IF(Sync!$AA13="",0,Sync!$AA13))</f>
        <v>0</v>
      </c>
      <c r="L17">
        <f>IF($G17="",0,IF(Sync!$AB13="",0,Sync!$AB13))</f>
        <v>0</v>
      </c>
      <c r="M17" t="str">
        <f t="shared" si="5"/>
        <v/>
      </c>
      <c r="N17">
        <f>IF($G17="",0,IF($H17="مرجوعی فروش",-1,1)*IF(Sync!$AC13="",0,Sync!$AC13))</f>
        <v>0</v>
      </c>
      <c r="O17" t="str">
        <f>IF(OR($G17="",Sync!$V13=""),"",Sync!$V13)</f>
        <v/>
      </c>
      <c r="P17" t="str">
        <f>IF(OR($G17="",Sync!$AD13=""),"",Sync!$AD13)</f>
        <v/>
      </c>
      <c r="Q17" t="str">
        <f>IF($G17="","",IF(Sync!$U13="","0000",IF(AND(ISNUMBER(Sync!$U13),Sync!$U13&gt;=0,Sync!$U13&lt;1),RIGHT("00"&amp;HOUR(Sync!$U13),2)&amp;RIGHT("00"&amp;MINUTE(Sync!$U13),2),IFERROR(RIGHT("00"&amp;VALUE(LEFT(Sync!$U13,FIND(":",Sync!$U13)-1)),2)&amp;RIGHT("00"&amp;VALUE(MID(Sync!$U13,FIND(":",Sync!$U13)+1,2)),2),"0000"))))</f>
        <v/>
      </c>
    </row>
    <row r="18" spans="1:17" x14ac:dyDescent="0.2">
      <c r="A18" t="str">
        <f>IF(Sync!$T14="","",Sync!$T14)</f>
        <v>1405/07/09</v>
      </c>
      <c r="B18">
        <f t="shared" si="0"/>
        <v>1405</v>
      </c>
      <c r="C18">
        <f t="shared" si="1"/>
        <v>7</v>
      </c>
      <c r="D18">
        <f t="shared" si="2"/>
        <v>9</v>
      </c>
      <c r="E18" t="str">
        <f t="shared" si="3"/>
        <v>1405/07/09</v>
      </c>
      <c r="F18" t="str">
        <f t="shared" si="4"/>
        <v>1405/07</v>
      </c>
      <c r="G18" t="str">
        <f>IF(OR($E18="",$E18="نامعتبر",Sync!$X14=""),"",IF(AND(LEFT(UPPER(TRIM(Sync!$X14)),2)="SL",IFERROR(VLOOKUP(Sync!$W14,OpTbl,3,0),"")="فروش"),UPPER(TRIM(Sync!$X14)),""))</f>
        <v/>
      </c>
      <c r="H18" t="str">
        <f>IF($G18="","",IF(Sync!$W14="","",Sync!$W14))</f>
        <v/>
      </c>
      <c r="I18" t="str">
        <f>IF(OR($G18="",Sync!$Y14=""),"",Sync!$Y14)</f>
        <v/>
      </c>
      <c r="J18" t="str">
        <f>IF(OR($G18="",Sync!$Z14=""),"",Sync!$Z14)</f>
        <v/>
      </c>
      <c r="K18">
        <f>IF($G18="",0,IF(Sync!$AA14="",0,Sync!$AA14))</f>
        <v>0</v>
      </c>
      <c r="L18">
        <f>IF($G18="",0,IF(Sync!$AB14="",0,Sync!$AB14))</f>
        <v>0</v>
      </c>
      <c r="M18" t="str">
        <f t="shared" si="5"/>
        <v/>
      </c>
      <c r="N18">
        <f>IF($G18="",0,IF($H18="مرجوعی فروش",-1,1)*IF(Sync!$AC14="",0,Sync!$AC14))</f>
        <v>0</v>
      </c>
      <c r="O18" t="str">
        <f>IF(OR($G18="",Sync!$V14=""),"",Sync!$V14)</f>
        <v/>
      </c>
      <c r="P18" t="str">
        <f>IF(OR($G18="",Sync!$AD14=""),"",Sync!$AD14)</f>
        <v/>
      </c>
      <c r="Q18" t="str">
        <f>IF($G18="","",IF(Sync!$U14="","0000",IF(AND(ISNUMBER(Sync!$U14),Sync!$U14&gt;=0,Sync!$U14&lt;1),RIGHT("00"&amp;HOUR(Sync!$U14),2)&amp;RIGHT("00"&amp;MINUTE(Sync!$U14),2),IFERROR(RIGHT("00"&amp;VALUE(LEFT(Sync!$U14,FIND(":",Sync!$U14)-1)),2)&amp;RIGHT("00"&amp;VALUE(MID(Sync!$U14,FIND(":",Sync!$U14)+1,2)),2),"0000"))))</f>
        <v/>
      </c>
    </row>
    <row r="19" spans="1:17" x14ac:dyDescent="0.2">
      <c r="A19" t="str">
        <f>IF(Sync!$T15="","",Sync!$T15)</f>
        <v>1405/07/09</v>
      </c>
      <c r="B19">
        <f t="shared" si="0"/>
        <v>1405</v>
      </c>
      <c r="C19">
        <f t="shared" si="1"/>
        <v>7</v>
      </c>
      <c r="D19">
        <f t="shared" si="2"/>
        <v>9</v>
      </c>
      <c r="E19" t="str">
        <f t="shared" si="3"/>
        <v>1405/07/09</v>
      </c>
      <c r="F19" t="str">
        <f t="shared" si="4"/>
        <v>1405/07</v>
      </c>
      <c r="G19" t="str">
        <f>IF(OR($E19="",$E19="نامعتبر",Sync!$X15=""),"",IF(AND(LEFT(UPPER(TRIM(Sync!$X15)),2)="SL",IFERROR(VLOOKUP(Sync!$W15,OpTbl,3,0),"")="فروش"),UPPER(TRIM(Sync!$X15)),""))</f>
        <v/>
      </c>
      <c r="H19" t="str">
        <f>IF($G19="","",IF(Sync!$W15="","",Sync!$W15))</f>
        <v/>
      </c>
      <c r="I19" t="str">
        <f>IF(OR($G19="",Sync!$Y15=""),"",Sync!$Y15)</f>
        <v/>
      </c>
      <c r="J19" t="str">
        <f>IF(OR($G19="",Sync!$Z15=""),"",Sync!$Z15)</f>
        <v/>
      </c>
      <c r="K19">
        <f>IF($G19="",0,IF(Sync!$AA15="",0,Sync!$AA15))</f>
        <v>0</v>
      </c>
      <c r="L19">
        <f>IF($G19="",0,IF(Sync!$AB15="",0,Sync!$AB15))</f>
        <v>0</v>
      </c>
      <c r="M19" t="str">
        <f t="shared" si="5"/>
        <v/>
      </c>
      <c r="N19">
        <f>IF($G19="",0,IF($H19="مرجوعی فروش",-1,1)*IF(Sync!$AC15="",0,Sync!$AC15))</f>
        <v>0</v>
      </c>
      <c r="O19" t="str">
        <f>IF(OR($G19="",Sync!$V15=""),"",Sync!$V15)</f>
        <v/>
      </c>
      <c r="P19" t="str">
        <f>IF(OR($G19="",Sync!$AD15=""),"",Sync!$AD15)</f>
        <v/>
      </c>
      <c r="Q19" t="str">
        <f>IF($G19="","",IF(Sync!$U15="","0000",IF(AND(ISNUMBER(Sync!$U15),Sync!$U15&gt;=0,Sync!$U15&lt;1),RIGHT("00"&amp;HOUR(Sync!$U15),2)&amp;RIGHT("00"&amp;MINUTE(Sync!$U15),2),IFERROR(RIGHT("00"&amp;VALUE(LEFT(Sync!$U15,FIND(":",Sync!$U15)-1)),2)&amp;RIGHT("00"&amp;VALUE(MID(Sync!$U15,FIND(":",Sync!$U15)+1,2)),2),"0000"))))</f>
        <v/>
      </c>
    </row>
    <row r="20" spans="1:17" x14ac:dyDescent="0.2">
      <c r="A20" t="str">
        <f>IF(Sync!$T16="","",Sync!$T16)</f>
        <v>1405/07/09</v>
      </c>
      <c r="B20">
        <f t="shared" si="0"/>
        <v>1405</v>
      </c>
      <c r="C20">
        <f t="shared" si="1"/>
        <v>7</v>
      </c>
      <c r="D20">
        <f t="shared" si="2"/>
        <v>9</v>
      </c>
      <c r="E20" t="str">
        <f t="shared" si="3"/>
        <v>1405/07/09</v>
      </c>
      <c r="F20" t="str">
        <f t="shared" si="4"/>
        <v>1405/07</v>
      </c>
      <c r="G20" t="str">
        <f>IF(OR($E20="",$E20="نامعتبر",Sync!$X16=""),"",IF(AND(LEFT(UPPER(TRIM(Sync!$X16)),2)="SL",IFERROR(VLOOKUP(Sync!$W16,OpTbl,3,0),"")="فروش"),UPPER(TRIM(Sync!$X16)),""))</f>
        <v/>
      </c>
      <c r="H20" t="str">
        <f>IF($G20="","",IF(Sync!$W16="","",Sync!$W16))</f>
        <v/>
      </c>
      <c r="I20" t="str">
        <f>IF(OR($G20="",Sync!$Y16=""),"",Sync!$Y16)</f>
        <v/>
      </c>
      <c r="J20" t="str">
        <f>IF(OR($G20="",Sync!$Z16=""),"",Sync!$Z16)</f>
        <v/>
      </c>
      <c r="K20">
        <f>IF($G20="",0,IF(Sync!$AA16="",0,Sync!$AA16))</f>
        <v>0</v>
      </c>
      <c r="L20">
        <f>IF($G20="",0,IF(Sync!$AB16="",0,Sync!$AB16))</f>
        <v>0</v>
      </c>
      <c r="M20" t="str">
        <f t="shared" si="5"/>
        <v/>
      </c>
      <c r="N20">
        <f>IF($G20="",0,IF($H20="مرجوعی فروش",-1,1)*IF(Sync!$AC16="",0,Sync!$AC16))</f>
        <v>0</v>
      </c>
      <c r="O20" t="str">
        <f>IF(OR($G20="",Sync!$V16=""),"",Sync!$V16)</f>
        <v/>
      </c>
      <c r="P20" t="str">
        <f>IF(OR($G20="",Sync!$AD16=""),"",Sync!$AD16)</f>
        <v/>
      </c>
      <c r="Q20" t="str">
        <f>IF($G20="","",IF(Sync!$U16="","0000",IF(AND(ISNUMBER(Sync!$U16),Sync!$U16&gt;=0,Sync!$U16&lt;1),RIGHT("00"&amp;HOUR(Sync!$U16),2)&amp;RIGHT("00"&amp;MINUTE(Sync!$U16),2),IFERROR(RIGHT("00"&amp;VALUE(LEFT(Sync!$U16,FIND(":",Sync!$U16)-1)),2)&amp;RIGHT("00"&amp;VALUE(MID(Sync!$U16,FIND(":",Sync!$U16)+1,2)),2),"0000"))))</f>
        <v/>
      </c>
    </row>
    <row r="21" spans="1:17" x14ac:dyDescent="0.2">
      <c r="A21" t="str">
        <f>IF(Sync!$T17="","",Sync!$T17)</f>
        <v>1405/07/09</v>
      </c>
      <c r="B21">
        <f t="shared" si="0"/>
        <v>1405</v>
      </c>
      <c r="C21">
        <f t="shared" si="1"/>
        <v>7</v>
      </c>
      <c r="D21">
        <f t="shared" si="2"/>
        <v>9</v>
      </c>
      <c r="E21" t="str">
        <f t="shared" si="3"/>
        <v>1405/07/09</v>
      </c>
      <c r="F21" t="str">
        <f t="shared" si="4"/>
        <v>1405/07</v>
      </c>
      <c r="G21" t="str">
        <f>IF(OR($E21="",$E21="نامعتبر",Sync!$X17=""),"",IF(AND(LEFT(UPPER(TRIM(Sync!$X17)),2)="SL",IFERROR(VLOOKUP(Sync!$W17,OpTbl,3,0),"")="فروش"),UPPER(TRIM(Sync!$X17)),""))</f>
        <v/>
      </c>
      <c r="H21" t="str">
        <f>IF($G21="","",IF(Sync!$W17="","",Sync!$W17))</f>
        <v/>
      </c>
      <c r="I21" t="str">
        <f>IF(OR($G21="",Sync!$Y17=""),"",Sync!$Y17)</f>
        <v/>
      </c>
      <c r="J21" t="str">
        <f>IF(OR($G21="",Sync!$Z17=""),"",Sync!$Z17)</f>
        <v/>
      </c>
      <c r="K21">
        <f>IF($G21="",0,IF(Sync!$AA17="",0,Sync!$AA17))</f>
        <v>0</v>
      </c>
      <c r="L21">
        <f>IF($G21="",0,IF(Sync!$AB17="",0,Sync!$AB17))</f>
        <v>0</v>
      </c>
      <c r="M21" t="str">
        <f t="shared" si="5"/>
        <v/>
      </c>
      <c r="N21">
        <f>IF($G21="",0,IF($H21="مرجوعی فروش",-1,1)*IF(Sync!$AC17="",0,Sync!$AC17))</f>
        <v>0</v>
      </c>
      <c r="O21" t="str">
        <f>IF(OR($G21="",Sync!$V17=""),"",Sync!$V17)</f>
        <v/>
      </c>
      <c r="P21" t="str">
        <f>IF(OR($G21="",Sync!$AD17=""),"",Sync!$AD17)</f>
        <v/>
      </c>
      <c r="Q21" t="str">
        <f>IF($G21="","",IF(Sync!$U17="","0000",IF(AND(ISNUMBER(Sync!$U17),Sync!$U17&gt;=0,Sync!$U17&lt;1),RIGHT("00"&amp;HOUR(Sync!$U17),2)&amp;RIGHT("00"&amp;MINUTE(Sync!$U17),2),IFERROR(RIGHT("00"&amp;VALUE(LEFT(Sync!$U17,FIND(":",Sync!$U17)-1)),2)&amp;RIGHT("00"&amp;VALUE(MID(Sync!$U17,FIND(":",Sync!$U17)+1,2)),2),"0000"))))</f>
        <v/>
      </c>
    </row>
    <row r="22" spans="1:17" x14ac:dyDescent="0.2">
      <c r="A22" t="str">
        <f>IF(Sync!$T18="","",Sync!$T18)</f>
        <v>1405/07/09</v>
      </c>
      <c r="B22">
        <f t="shared" si="0"/>
        <v>1405</v>
      </c>
      <c r="C22">
        <f t="shared" si="1"/>
        <v>7</v>
      </c>
      <c r="D22">
        <f t="shared" si="2"/>
        <v>9</v>
      </c>
      <c r="E22" t="str">
        <f t="shared" si="3"/>
        <v>1405/07/09</v>
      </c>
      <c r="F22" t="str">
        <f t="shared" si="4"/>
        <v>1405/07</v>
      </c>
      <c r="G22" t="str">
        <f>IF(OR($E22="",$E22="نامعتبر",Sync!$X18=""),"",IF(AND(LEFT(UPPER(TRIM(Sync!$X18)),2)="SL",IFERROR(VLOOKUP(Sync!$W18,OpTbl,3,0),"")="فروش"),UPPER(TRIM(Sync!$X18)),""))</f>
        <v/>
      </c>
      <c r="H22" t="str">
        <f>IF($G22="","",IF(Sync!$W18="","",Sync!$W18))</f>
        <v/>
      </c>
      <c r="I22" t="str">
        <f>IF(OR($G22="",Sync!$Y18=""),"",Sync!$Y18)</f>
        <v/>
      </c>
      <c r="J22" t="str">
        <f>IF(OR($G22="",Sync!$Z18=""),"",Sync!$Z18)</f>
        <v/>
      </c>
      <c r="K22">
        <f>IF($G22="",0,IF(Sync!$AA18="",0,Sync!$AA18))</f>
        <v>0</v>
      </c>
      <c r="L22">
        <f>IF($G22="",0,IF(Sync!$AB18="",0,Sync!$AB18))</f>
        <v>0</v>
      </c>
      <c r="M22" t="str">
        <f t="shared" si="5"/>
        <v/>
      </c>
      <c r="N22">
        <f>IF($G22="",0,IF($H22="مرجوعی فروش",-1,1)*IF(Sync!$AC18="",0,Sync!$AC18))</f>
        <v>0</v>
      </c>
      <c r="O22" t="str">
        <f>IF(OR($G22="",Sync!$V18=""),"",Sync!$V18)</f>
        <v/>
      </c>
      <c r="P22" t="str">
        <f>IF(OR($G22="",Sync!$AD18=""),"",Sync!$AD18)</f>
        <v/>
      </c>
      <c r="Q22" t="str">
        <f>IF($G22="","",IF(Sync!$U18="","0000",IF(AND(ISNUMBER(Sync!$U18),Sync!$U18&gt;=0,Sync!$U18&lt;1),RIGHT("00"&amp;HOUR(Sync!$U18),2)&amp;RIGHT("00"&amp;MINUTE(Sync!$U18),2),IFERROR(RIGHT("00"&amp;VALUE(LEFT(Sync!$U18,FIND(":",Sync!$U18)-1)),2)&amp;RIGHT("00"&amp;VALUE(MID(Sync!$U18,FIND(":",Sync!$U18)+1,2)),2),"0000"))))</f>
        <v/>
      </c>
    </row>
    <row r="23" spans="1:17" x14ac:dyDescent="0.2">
      <c r="A23" t="str">
        <f>IF(Sync!$T19="","",Sync!$T19)</f>
        <v>1405/07/09</v>
      </c>
      <c r="B23">
        <f t="shared" si="0"/>
        <v>1405</v>
      </c>
      <c r="C23">
        <f t="shared" si="1"/>
        <v>7</v>
      </c>
      <c r="D23">
        <f t="shared" si="2"/>
        <v>9</v>
      </c>
      <c r="E23" t="str">
        <f t="shared" si="3"/>
        <v>1405/07/09</v>
      </c>
      <c r="F23" t="str">
        <f t="shared" si="4"/>
        <v>1405/07</v>
      </c>
      <c r="G23" t="str">
        <f>IF(OR($E23="",$E23="نامعتبر",Sync!$X19=""),"",IF(AND(LEFT(UPPER(TRIM(Sync!$X19)),2)="SL",IFERROR(VLOOKUP(Sync!$W19,OpTbl,3,0),"")="فروش"),UPPER(TRIM(Sync!$X19)),""))</f>
        <v/>
      </c>
      <c r="H23" t="str">
        <f>IF($G23="","",IF(Sync!$W19="","",Sync!$W19))</f>
        <v/>
      </c>
      <c r="I23" t="str">
        <f>IF(OR($G23="",Sync!$Y19=""),"",Sync!$Y19)</f>
        <v/>
      </c>
      <c r="J23" t="str">
        <f>IF(OR($G23="",Sync!$Z19=""),"",Sync!$Z19)</f>
        <v/>
      </c>
      <c r="K23">
        <f>IF($G23="",0,IF(Sync!$AA19="",0,Sync!$AA19))</f>
        <v>0</v>
      </c>
      <c r="L23">
        <f>IF($G23="",0,IF(Sync!$AB19="",0,Sync!$AB19))</f>
        <v>0</v>
      </c>
      <c r="M23" t="str">
        <f t="shared" si="5"/>
        <v/>
      </c>
      <c r="N23">
        <f>IF($G23="",0,IF($H23="مرجوعی فروش",-1,1)*IF(Sync!$AC19="",0,Sync!$AC19))</f>
        <v>0</v>
      </c>
      <c r="O23" t="str">
        <f>IF(OR($G23="",Sync!$V19=""),"",Sync!$V19)</f>
        <v/>
      </c>
      <c r="P23" t="str">
        <f>IF(OR($G23="",Sync!$AD19=""),"",Sync!$AD19)</f>
        <v/>
      </c>
      <c r="Q23" t="str">
        <f>IF($G23="","",IF(Sync!$U19="","0000",IF(AND(ISNUMBER(Sync!$U19),Sync!$U19&gt;=0,Sync!$U19&lt;1),RIGHT("00"&amp;HOUR(Sync!$U19),2)&amp;RIGHT("00"&amp;MINUTE(Sync!$U19),2),IFERROR(RIGHT("00"&amp;VALUE(LEFT(Sync!$U19,FIND(":",Sync!$U19)-1)),2)&amp;RIGHT("00"&amp;VALUE(MID(Sync!$U19,FIND(":",Sync!$U19)+1,2)),2),"0000"))))</f>
        <v/>
      </c>
    </row>
    <row r="24" spans="1:17" x14ac:dyDescent="0.2">
      <c r="A24" t="str">
        <f>IF(Sync!$T20="","",Sync!$T20)</f>
        <v>1405/07/10</v>
      </c>
      <c r="B24">
        <f t="shared" si="0"/>
        <v>1405</v>
      </c>
      <c r="C24">
        <f t="shared" si="1"/>
        <v>7</v>
      </c>
      <c r="D24">
        <f t="shared" si="2"/>
        <v>10</v>
      </c>
      <c r="E24" t="str">
        <f t="shared" si="3"/>
        <v>1405/07/10</v>
      </c>
      <c r="F24" t="str">
        <f t="shared" si="4"/>
        <v>1405/07</v>
      </c>
      <c r="G24" t="str">
        <f>IF(OR($E24="",$E24="نامعتبر",Sync!$X20=""),"",IF(AND(LEFT(UPPER(TRIM(Sync!$X20)),2)="SL",IFERROR(VLOOKUP(Sync!$W20,OpTbl,3,0),"")="فروش"),UPPER(TRIM(Sync!$X20)),""))</f>
        <v/>
      </c>
      <c r="H24" t="str">
        <f>IF($G24="","",IF(Sync!$W20="","",Sync!$W20))</f>
        <v/>
      </c>
      <c r="I24" t="str">
        <f>IF(OR($G24="",Sync!$Y20=""),"",Sync!$Y20)</f>
        <v/>
      </c>
      <c r="J24" t="str">
        <f>IF(OR($G24="",Sync!$Z20=""),"",Sync!$Z20)</f>
        <v/>
      </c>
      <c r="K24">
        <f>IF($G24="",0,IF(Sync!$AA20="",0,Sync!$AA20))</f>
        <v>0</v>
      </c>
      <c r="L24">
        <f>IF($G24="",0,IF(Sync!$AB20="",0,Sync!$AB20))</f>
        <v>0</v>
      </c>
      <c r="M24" t="str">
        <f t="shared" si="5"/>
        <v/>
      </c>
      <c r="N24">
        <f>IF($G24="",0,IF($H24="مرجوعی فروش",-1,1)*IF(Sync!$AC20="",0,Sync!$AC20))</f>
        <v>0</v>
      </c>
      <c r="O24" t="str">
        <f>IF(OR($G24="",Sync!$V20=""),"",Sync!$V20)</f>
        <v/>
      </c>
      <c r="P24" t="str">
        <f>IF(OR($G24="",Sync!$AD20=""),"",Sync!$AD20)</f>
        <v/>
      </c>
      <c r="Q24" t="str">
        <f>IF($G24="","",IF(Sync!$U20="","0000",IF(AND(ISNUMBER(Sync!$U20),Sync!$U20&gt;=0,Sync!$U20&lt;1),RIGHT("00"&amp;HOUR(Sync!$U20),2)&amp;RIGHT("00"&amp;MINUTE(Sync!$U20),2),IFERROR(RIGHT("00"&amp;VALUE(LEFT(Sync!$U20,FIND(":",Sync!$U20)-1)),2)&amp;RIGHT("00"&amp;VALUE(MID(Sync!$U20,FIND(":",Sync!$U20)+1,2)),2),"0000"))))</f>
        <v/>
      </c>
    </row>
    <row r="25" spans="1:17" x14ac:dyDescent="0.2">
      <c r="A25" t="str">
        <f>IF(Sync!$T21="","",Sync!$T21)</f>
        <v>1405/07/10</v>
      </c>
      <c r="B25">
        <f t="shared" si="0"/>
        <v>1405</v>
      </c>
      <c r="C25">
        <f t="shared" si="1"/>
        <v>7</v>
      </c>
      <c r="D25">
        <f t="shared" si="2"/>
        <v>10</v>
      </c>
      <c r="E25" t="str">
        <f t="shared" si="3"/>
        <v>1405/07/10</v>
      </c>
      <c r="F25" t="str">
        <f t="shared" si="4"/>
        <v>1405/07</v>
      </c>
      <c r="G25" t="str">
        <f>IF(OR($E25="",$E25="نامعتبر",Sync!$X21=""),"",IF(AND(LEFT(UPPER(TRIM(Sync!$X21)),2)="SL",IFERROR(VLOOKUP(Sync!$W21,OpTbl,3,0),"")="فروش"),UPPER(TRIM(Sync!$X21)),""))</f>
        <v/>
      </c>
      <c r="H25" t="str">
        <f>IF($G25="","",IF(Sync!$W21="","",Sync!$W21))</f>
        <v/>
      </c>
      <c r="I25" t="str">
        <f>IF(OR($G25="",Sync!$Y21=""),"",Sync!$Y21)</f>
        <v/>
      </c>
      <c r="J25" t="str">
        <f>IF(OR($G25="",Sync!$Z21=""),"",Sync!$Z21)</f>
        <v/>
      </c>
      <c r="K25">
        <f>IF($G25="",0,IF(Sync!$AA21="",0,Sync!$AA21))</f>
        <v>0</v>
      </c>
      <c r="L25">
        <f>IF($G25="",0,IF(Sync!$AB21="",0,Sync!$AB21))</f>
        <v>0</v>
      </c>
      <c r="M25" t="str">
        <f t="shared" si="5"/>
        <v/>
      </c>
      <c r="N25">
        <f>IF($G25="",0,IF($H25="مرجوعی فروش",-1,1)*IF(Sync!$AC21="",0,Sync!$AC21))</f>
        <v>0</v>
      </c>
      <c r="O25" t="str">
        <f>IF(OR($G25="",Sync!$V21=""),"",Sync!$V21)</f>
        <v/>
      </c>
      <c r="P25" t="str">
        <f>IF(OR($G25="",Sync!$AD21=""),"",Sync!$AD21)</f>
        <v/>
      </c>
      <c r="Q25" t="str">
        <f>IF($G25="","",IF(Sync!$U21="","0000",IF(AND(ISNUMBER(Sync!$U21),Sync!$U21&gt;=0,Sync!$U21&lt;1),RIGHT("00"&amp;HOUR(Sync!$U21),2)&amp;RIGHT("00"&amp;MINUTE(Sync!$U21),2),IFERROR(RIGHT("00"&amp;VALUE(LEFT(Sync!$U21,FIND(":",Sync!$U21)-1)),2)&amp;RIGHT("00"&amp;VALUE(MID(Sync!$U21,FIND(":",Sync!$U21)+1,2)),2),"0000"))))</f>
        <v/>
      </c>
    </row>
    <row r="26" spans="1:17" x14ac:dyDescent="0.2">
      <c r="A26" t="str">
        <f>IF(Sync!$T22="","",Sync!$T22)</f>
        <v>1405/07/10</v>
      </c>
      <c r="B26">
        <f t="shared" si="0"/>
        <v>1405</v>
      </c>
      <c r="C26">
        <f t="shared" si="1"/>
        <v>7</v>
      </c>
      <c r="D26">
        <f t="shared" si="2"/>
        <v>10</v>
      </c>
      <c r="E26" t="str">
        <f t="shared" si="3"/>
        <v>1405/07/10</v>
      </c>
      <c r="F26" t="str">
        <f t="shared" si="4"/>
        <v>1405/07</v>
      </c>
      <c r="G26" t="str">
        <f>IF(OR($E26="",$E26="نامعتبر",Sync!$X22=""),"",IF(AND(LEFT(UPPER(TRIM(Sync!$X22)),2)="SL",IFERROR(VLOOKUP(Sync!$W22,OpTbl,3,0),"")="فروش"),UPPER(TRIM(Sync!$X22)),""))</f>
        <v/>
      </c>
      <c r="H26" t="str">
        <f>IF($G26="","",IF(Sync!$W22="","",Sync!$W22))</f>
        <v/>
      </c>
      <c r="I26" t="str">
        <f>IF(OR($G26="",Sync!$Y22=""),"",Sync!$Y22)</f>
        <v/>
      </c>
      <c r="J26" t="str">
        <f>IF(OR($G26="",Sync!$Z22=""),"",Sync!$Z22)</f>
        <v/>
      </c>
      <c r="K26">
        <f>IF($G26="",0,IF(Sync!$AA22="",0,Sync!$AA22))</f>
        <v>0</v>
      </c>
      <c r="L26">
        <f>IF($G26="",0,IF(Sync!$AB22="",0,Sync!$AB22))</f>
        <v>0</v>
      </c>
      <c r="M26" t="str">
        <f t="shared" si="5"/>
        <v/>
      </c>
      <c r="N26">
        <f>IF($G26="",0,IF($H26="مرجوعی فروش",-1,1)*IF(Sync!$AC22="",0,Sync!$AC22))</f>
        <v>0</v>
      </c>
      <c r="O26" t="str">
        <f>IF(OR($G26="",Sync!$V22=""),"",Sync!$V22)</f>
        <v/>
      </c>
      <c r="P26" t="str">
        <f>IF(OR($G26="",Sync!$AD22=""),"",Sync!$AD22)</f>
        <v/>
      </c>
      <c r="Q26" t="str">
        <f>IF($G26="","",IF(Sync!$U22="","0000",IF(AND(ISNUMBER(Sync!$U22),Sync!$U22&gt;=0,Sync!$U22&lt;1),RIGHT("00"&amp;HOUR(Sync!$U22),2)&amp;RIGHT("00"&amp;MINUTE(Sync!$U22),2),IFERROR(RIGHT("00"&amp;VALUE(LEFT(Sync!$U22,FIND(":",Sync!$U22)-1)),2)&amp;RIGHT("00"&amp;VALUE(MID(Sync!$U22,FIND(":",Sync!$U22)+1,2)),2),"0000"))))</f>
        <v/>
      </c>
    </row>
    <row r="27" spans="1:17" x14ac:dyDescent="0.2">
      <c r="A27" t="str">
        <f>IF(Sync!$T23="","",Sync!$T23)</f>
        <v>1405/07/10</v>
      </c>
      <c r="B27">
        <f t="shared" si="0"/>
        <v>1405</v>
      </c>
      <c r="C27">
        <f t="shared" si="1"/>
        <v>7</v>
      </c>
      <c r="D27">
        <f t="shared" si="2"/>
        <v>10</v>
      </c>
      <c r="E27" t="str">
        <f t="shared" si="3"/>
        <v>1405/07/10</v>
      </c>
      <c r="F27" t="str">
        <f t="shared" si="4"/>
        <v>1405/07</v>
      </c>
      <c r="G27" t="str">
        <f>IF(OR($E27="",$E27="نامعتبر",Sync!$X23=""),"",IF(AND(LEFT(UPPER(TRIM(Sync!$X23)),2)="SL",IFERROR(VLOOKUP(Sync!$W23,OpTbl,3,0),"")="فروش"),UPPER(TRIM(Sync!$X23)),""))</f>
        <v/>
      </c>
      <c r="H27" t="str">
        <f>IF($G27="","",IF(Sync!$W23="","",Sync!$W23))</f>
        <v/>
      </c>
      <c r="I27" t="str">
        <f>IF(OR($G27="",Sync!$Y23=""),"",Sync!$Y23)</f>
        <v/>
      </c>
      <c r="J27" t="str">
        <f>IF(OR($G27="",Sync!$Z23=""),"",Sync!$Z23)</f>
        <v/>
      </c>
      <c r="K27">
        <f>IF($G27="",0,IF(Sync!$AA23="",0,Sync!$AA23))</f>
        <v>0</v>
      </c>
      <c r="L27">
        <f>IF($G27="",0,IF(Sync!$AB23="",0,Sync!$AB23))</f>
        <v>0</v>
      </c>
      <c r="M27" t="str">
        <f t="shared" si="5"/>
        <v/>
      </c>
      <c r="N27">
        <f>IF($G27="",0,IF($H27="مرجوعی فروش",-1,1)*IF(Sync!$AC23="",0,Sync!$AC23))</f>
        <v>0</v>
      </c>
      <c r="O27" t="str">
        <f>IF(OR($G27="",Sync!$V23=""),"",Sync!$V23)</f>
        <v/>
      </c>
      <c r="P27" t="str">
        <f>IF(OR($G27="",Sync!$AD23=""),"",Sync!$AD23)</f>
        <v/>
      </c>
      <c r="Q27" t="str">
        <f>IF($G27="","",IF(Sync!$U23="","0000",IF(AND(ISNUMBER(Sync!$U23),Sync!$U23&gt;=0,Sync!$U23&lt;1),RIGHT("00"&amp;HOUR(Sync!$U23),2)&amp;RIGHT("00"&amp;MINUTE(Sync!$U23),2),IFERROR(RIGHT("00"&amp;VALUE(LEFT(Sync!$U23,FIND(":",Sync!$U23)-1)),2)&amp;RIGHT("00"&amp;VALUE(MID(Sync!$U23,FIND(":",Sync!$U23)+1,2)),2),"0000"))))</f>
        <v/>
      </c>
    </row>
    <row r="28" spans="1:17" x14ac:dyDescent="0.2">
      <c r="A28" t="str">
        <f>IF(Sync!$T24="","",Sync!$T24)</f>
        <v>1405/07/10</v>
      </c>
      <c r="B28">
        <f t="shared" si="0"/>
        <v>1405</v>
      </c>
      <c r="C28">
        <f t="shared" si="1"/>
        <v>7</v>
      </c>
      <c r="D28">
        <f t="shared" si="2"/>
        <v>10</v>
      </c>
      <c r="E28" t="str">
        <f t="shared" si="3"/>
        <v>1405/07/10</v>
      </c>
      <c r="F28" t="str">
        <f t="shared" si="4"/>
        <v>1405/07</v>
      </c>
      <c r="G28" t="str">
        <f>IF(OR($E28="",$E28="نامعتبر",Sync!$X24=""),"",IF(AND(LEFT(UPPER(TRIM(Sync!$X24)),2)="SL",IFERROR(VLOOKUP(Sync!$W24,OpTbl,3,0),"")="فروش"),UPPER(TRIM(Sync!$X24)),""))</f>
        <v/>
      </c>
      <c r="H28" t="str">
        <f>IF($G28="","",IF(Sync!$W24="","",Sync!$W24))</f>
        <v/>
      </c>
      <c r="I28" t="str">
        <f>IF(OR($G28="",Sync!$Y24=""),"",Sync!$Y24)</f>
        <v/>
      </c>
      <c r="J28" t="str">
        <f>IF(OR($G28="",Sync!$Z24=""),"",Sync!$Z24)</f>
        <v/>
      </c>
      <c r="K28">
        <f>IF($G28="",0,IF(Sync!$AA24="",0,Sync!$AA24))</f>
        <v>0</v>
      </c>
      <c r="L28">
        <f>IF($G28="",0,IF(Sync!$AB24="",0,Sync!$AB24))</f>
        <v>0</v>
      </c>
      <c r="M28" t="str">
        <f t="shared" si="5"/>
        <v/>
      </c>
      <c r="N28">
        <f>IF($G28="",0,IF($H28="مرجوعی فروش",-1,1)*IF(Sync!$AC24="",0,Sync!$AC24))</f>
        <v>0</v>
      </c>
      <c r="O28" t="str">
        <f>IF(OR($G28="",Sync!$V24=""),"",Sync!$V24)</f>
        <v/>
      </c>
      <c r="P28" t="str">
        <f>IF(OR($G28="",Sync!$AD24=""),"",Sync!$AD24)</f>
        <v/>
      </c>
      <c r="Q28" t="str">
        <f>IF($G28="","",IF(Sync!$U24="","0000",IF(AND(ISNUMBER(Sync!$U24),Sync!$U24&gt;=0,Sync!$U24&lt;1),RIGHT("00"&amp;HOUR(Sync!$U24),2)&amp;RIGHT("00"&amp;MINUTE(Sync!$U24),2),IFERROR(RIGHT("00"&amp;VALUE(LEFT(Sync!$U24,FIND(":",Sync!$U24)-1)),2)&amp;RIGHT("00"&amp;VALUE(MID(Sync!$U24,FIND(":",Sync!$U24)+1,2)),2),"0000"))))</f>
        <v/>
      </c>
    </row>
    <row r="29" spans="1:17" x14ac:dyDescent="0.2">
      <c r="A29" t="str">
        <f>IF(Sync!$T25="","",Sync!$T25)</f>
        <v>1405/07/11</v>
      </c>
      <c r="B29">
        <f t="shared" si="0"/>
        <v>1405</v>
      </c>
      <c r="C29">
        <f t="shared" si="1"/>
        <v>7</v>
      </c>
      <c r="D29">
        <f t="shared" si="2"/>
        <v>11</v>
      </c>
      <c r="E29" t="str">
        <f t="shared" si="3"/>
        <v>1405/07/11</v>
      </c>
      <c r="F29" t="str">
        <f t="shared" si="4"/>
        <v>1405/07</v>
      </c>
      <c r="G29" t="str">
        <f>IF(OR($E29="",$E29="نامعتبر",Sync!$X25=""),"",IF(AND(LEFT(UPPER(TRIM(Sync!$X25)),2)="SL",IFERROR(VLOOKUP(Sync!$W25,OpTbl,3,0),"")="فروش"),UPPER(TRIM(Sync!$X25)),""))</f>
        <v/>
      </c>
      <c r="H29" t="str">
        <f>IF($G29="","",IF(Sync!$W25="","",Sync!$W25))</f>
        <v/>
      </c>
      <c r="I29" t="str">
        <f>IF(OR($G29="",Sync!$Y25=""),"",Sync!$Y25)</f>
        <v/>
      </c>
      <c r="J29" t="str">
        <f>IF(OR($G29="",Sync!$Z25=""),"",Sync!$Z25)</f>
        <v/>
      </c>
      <c r="K29">
        <f>IF($G29="",0,IF(Sync!$AA25="",0,Sync!$AA25))</f>
        <v>0</v>
      </c>
      <c r="L29">
        <f>IF($G29="",0,IF(Sync!$AB25="",0,Sync!$AB25))</f>
        <v>0</v>
      </c>
      <c r="M29" t="str">
        <f t="shared" si="5"/>
        <v/>
      </c>
      <c r="N29">
        <f>IF($G29="",0,IF($H29="مرجوعی فروش",-1,1)*IF(Sync!$AC25="",0,Sync!$AC25))</f>
        <v>0</v>
      </c>
      <c r="O29" t="str">
        <f>IF(OR($G29="",Sync!$V25=""),"",Sync!$V25)</f>
        <v/>
      </c>
      <c r="P29" t="str">
        <f>IF(OR($G29="",Sync!$AD25=""),"",Sync!$AD25)</f>
        <v/>
      </c>
      <c r="Q29" t="str">
        <f>IF($G29="","",IF(Sync!$U25="","0000",IF(AND(ISNUMBER(Sync!$U25),Sync!$U25&gt;=0,Sync!$U25&lt;1),RIGHT("00"&amp;HOUR(Sync!$U25),2)&amp;RIGHT("00"&amp;MINUTE(Sync!$U25),2),IFERROR(RIGHT("00"&amp;VALUE(LEFT(Sync!$U25,FIND(":",Sync!$U25)-1)),2)&amp;RIGHT("00"&amp;VALUE(MID(Sync!$U25,FIND(":",Sync!$U25)+1,2)),2),"0000"))))</f>
        <v/>
      </c>
    </row>
    <row r="30" spans="1:17" x14ac:dyDescent="0.2">
      <c r="A30" t="str">
        <f>IF(Sync!$T26="","",Sync!$T26)</f>
        <v>1405/07/11</v>
      </c>
      <c r="B30">
        <f t="shared" si="0"/>
        <v>1405</v>
      </c>
      <c r="C30">
        <f t="shared" si="1"/>
        <v>7</v>
      </c>
      <c r="D30">
        <f t="shared" si="2"/>
        <v>11</v>
      </c>
      <c r="E30" t="str">
        <f t="shared" si="3"/>
        <v>1405/07/11</v>
      </c>
      <c r="F30" t="str">
        <f t="shared" si="4"/>
        <v>1405/07</v>
      </c>
      <c r="G30" t="str">
        <f>IF(OR($E30="",$E30="نامعتبر",Sync!$X26=""),"",IF(AND(LEFT(UPPER(TRIM(Sync!$X26)),2)="SL",IFERROR(VLOOKUP(Sync!$W26,OpTbl,3,0),"")="فروش"),UPPER(TRIM(Sync!$X26)),""))</f>
        <v/>
      </c>
      <c r="H30" t="str">
        <f>IF($G30="","",IF(Sync!$W26="","",Sync!$W26))</f>
        <v/>
      </c>
      <c r="I30" t="str">
        <f>IF(OR($G30="",Sync!$Y26=""),"",Sync!$Y26)</f>
        <v/>
      </c>
      <c r="J30" t="str">
        <f>IF(OR($G30="",Sync!$Z26=""),"",Sync!$Z26)</f>
        <v/>
      </c>
      <c r="K30">
        <f>IF($G30="",0,IF(Sync!$AA26="",0,Sync!$AA26))</f>
        <v>0</v>
      </c>
      <c r="L30">
        <f>IF($G30="",0,IF(Sync!$AB26="",0,Sync!$AB26))</f>
        <v>0</v>
      </c>
      <c r="M30" t="str">
        <f t="shared" si="5"/>
        <v/>
      </c>
      <c r="N30">
        <f>IF($G30="",0,IF($H30="مرجوعی فروش",-1,1)*IF(Sync!$AC26="",0,Sync!$AC26))</f>
        <v>0</v>
      </c>
      <c r="O30" t="str">
        <f>IF(OR($G30="",Sync!$V26=""),"",Sync!$V26)</f>
        <v/>
      </c>
      <c r="P30" t="str">
        <f>IF(OR($G30="",Sync!$AD26=""),"",Sync!$AD26)</f>
        <v/>
      </c>
      <c r="Q30" t="str">
        <f>IF($G30="","",IF(Sync!$U26="","0000",IF(AND(ISNUMBER(Sync!$U26),Sync!$U26&gt;=0,Sync!$U26&lt;1),RIGHT("00"&amp;HOUR(Sync!$U26),2)&amp;RIGHT("00"&amp;MINUTE(Sync!$U26),2),IFERROR(RIGHT("00"&amp;VALUE(LEFT(Sync!$U26,FIND(":",Sync!$U26)-1)),2)&amp;RIGHT("00"&amp;VALUE(MID(Sync!$U26,FIND(":",Sync!$U26)+1,2)),2),"0000"))))</f>
        <v/>
      </c>
    </row>
    <row r="31" spans="1:17" x14ac:dyDescent="0.2">
      <c r="A31" t="str">
        <f>IF(Sync!$T27="","",Sync!$T27)</f>
        <v>1405/07/11</v>
      </c>
      <c r="B31">
        <f t="shared" si="0"/>
        <v>1405</v>
      </c>
      <c r="C31">
        <f t="shared" si="1"/>
        <v>7</v>
      </c>
      <c r="D31">
        <f t="shared" si="2"/>
        <v>11</v>
      </c>
      <c r="E31" t="str">
        <f t="shared" si="3"/>
        <v>1405/07/11</v>
      </c>
      <c r="F31" t="str">
        <f t="shared" si="4"/>
        <v>1405/07</v>
      </c>
      <c r="G31" t="str">
        <f>IF(OR($E31="",$E31="نامعتبر",Sync!$X27=""),"",IF(AND(LEFT(UPPER(TRIM(Sync!$X27)),2)="SL",IFERROR(VLOOKUP(Sync!$W27,OpTbl,3,0),"")="فروش"),UPPER(TRIM(Sync!$X27)),""))</f>
        <v/>
      </c>
      <c r="H31" t="str">
        <f>IF($G31="","",IF(Sync!$W27="","",Sync!$W27))</f>
        <v/>
      </c>
      <c r="I31" t="str">
        <f>IF(OR($G31="",Sync!$Y27=""),"",Sync!$Y27)</f>
        <v/>
      </c>
      <c r="J31" t="str">
        <f>IF(OR($G31="",Sync!$Z27=""),"",Sync!$Z27)</f>
        <v/>
      </c>
      <c r="K31">
        <f>IF($G31="",0,IF(Sync!$AA27="",0,Sync!$AA27))</f>
        <v>0</v>
      </c>
      <c r="L31">
        <f>IF($G31="",0,IF(Sync!$AB27="",0,Sync!$AB27))</f>
        <v>0</v>
      </c>
      <c r="M31" t="str">
        <f t="shared" si="5"/>
        <v/>
      </c>
      <c r="N31">
        <f>IF($G31="",0,IF($H31="مرجوعی فروش",-1,1)*IF(Sync!$AC27="",0,Sync!$AC27))</f>
        <v>0</v>
      </c>
      <c r="O31" t="str">
        <f>IF(OR($G31="",Sync!$V27=""),"",Sync!$V27)</f>
        <v/>
      </c>
      <c r="P31" t="str">
        <f>IF(OR($G31="",Sync!$AD27=""),"",Sync!$AD27)</f>
        <v/>
      </c>
      <c r="Q31" t="str">
        <f>IF($G31="","",IF(Sync!$U27="","0000",IF(AND(ISNUMBER(Sync!$U27),Sync!$U27&gt;=0,Sync!$U27&lt;1),RIGHT("00"&amp;HOUR(Sync!$U27),2)&amp;RIGHT("00"&amp;MINUTE(Sync!$U27),2),IFERROR(RIGHT("00"&amp;VALUE(LEFT(Sync!$U27,FIND(":",Sync!$U27)-1)),2)&amp;RIGHT("00"&amp;VALUE(MID(Sync!$U27,FIND(":",Sync!$U27)+1,2)),2),"0000"))))</f>
        <v/>
      </c>
    </row>
    <row r="32" spans="1:17" x14ac:dyDescent="0.2">
      <c r="A32" t="str">
        <f>IF(Sync!$T28="","",Sync!$T28)</f>
        <v>1405/07/11</v>
      </c>
      <c r="B32">
        <f t="shared" si="0"/>
        <v>1405</v>
      </c>
      <c r="C32">
        <f t="shared" si="1"/>
        <v>7</v>
      </c>
      <c r="D32">
        <f t="shared" si="2"/>
        <v>11</v>
      </c>
      <c r="E32" t="str">
        <f t="shared" si="3"/>
        <v>1405/07/11</v>
      </c>
      <c r="F32" t="str">
        <f t="shared" si="4"/>
        <v>1405/07</v>
      </c>
      <c r="G32" t="str">
        <f>IF(OR($E32="",$E32="نامعتبر",Sync!$X28=""),"",IF(AND(LEFT(UPPER(TRIM(Sync!$X28)),2)="SL",IFERROR(VLOOKUP(Sync!$W28,OpTbl,3,0),"")="فروش"),UPPER(TRIM(Sync!$X28)),""))</f>
        <v/>
      </c>
      <c r="H32" t="str">
        <f>IF($G32="","",IF(Sync!$W28="","",Sync!$W28))</f>
        <v/>
      </c>
      <c r="I32" t="str">
        <f>IF(OR($G32="",Sync!$Y28=""),"",Sync!$Y28)</f>
        <v/>
      </c>
      <c r="J32" t="str">
        <f>IF(OR($G32="",Sync!$Z28=""),"",Sync!$Z28)</f>
        <v/>
      </c>
      <c r="K32">
        <f>IF($G32="",0,IF(Sync!$AA28="",0,Sync!$AA28))</f>
        <v>0</v>
      </c>
      <c r="L32">
        <f>IF($G32="",0,IF(Sync!$AB28="",0,Sync!$AB28))</f>
        <v>0</v>
      </c>
      <c r="M32" t="str">
        <f t="shared" si="5"/>
        <v/>
      </c>
      <c r="N32">
        <f>IF($G32="",0,IF($H32="مرجوعی فروش",-1,1)*IF(Sync!$AC28="",0,Sync!$AC28))</f>
        <v>0</v>
      </c>
      <c r="O32" t="str">
        <f>IF(OR($G32="",Sync!$V28=""),"",Sync!$V28)</f>
        <v/>
      </c>
      <c r="P32" t="str">
        <f>IF(OR($G32="",Sync!$AD28=""),"",Sync!$AD28)</f>
        <v/>
      </c>
      <c r="Q32" t="str">
        <f>IF($G32="","",IF(Sync!$U28="","0000",IF(AND(ISNUMBER(Sync!$U28),Sync!$U28&gt;=0,Sync!$U28&lt;1),RIGHT("00"&amp;HOUR(Sync!$U28),2)&amp;RIGHT("00"&amp;MINUTE(Sync!$U28),2),IFERROR(RIGHT("00"&amp;VALUE(LEFT(Sync!$U28,FIND(":",Sync!$U28)-1)),2)&amp;RIGHT("00"&amp;VALUE(MID(Sync!$U28,FIND(":",Sync!$U28)+1,2)),2),"0000"))))</f>
        <v/>
      </c>
    </row>
    <row r="33" spans="1:17" x14ac:dyDescent="0.2">
      <c r="A33" t="str">
        <f>IF(Sync!$T29="","",Sync!$T29)</f>
        <v>1405/07/11</v>
      </c>
      <c r="B33">
        <f t="shared" si="0"/>
        <v>1405</v>
      </c>
      <c r="C33">
        <f t="shared" si="1"/>
        <v>7</v>
      </c>
      <c r="D33">
        <f t="shared" si="2"/>
        <v>11</v>
      </c>
      <c r="E33" t="str">
        <f t="shared" si="3"/>
        <v>1405/07/11</v>
      </c>
      <c r="F33" t="str">
        <f t="shared" si="4"/>
        <v>1405/07</v>
      </c>
      <c r="G33" t="str">
        <f>IF(OR($E33="",$E33="نامعتبر",Sync!$X29=""),"",IF(AND(LEFT(UPPER(TRIM(Sync!$X29)),2)="SL",IFERROR(VLOOKUP(Sync!$W29,OpTbl,3,0),"")="فروش"),UPPER(TRIM(Sync!$X29)),""))</f>
        <v/>
      </c>
      <c r="H33" t="str">
        <f>IF($G33="","",IF(Sync!$W29="","",Sync!$W29))</f>
        <v/>
      </c>
      <c r="I33" t="str">
        <f>IF(OR($G33="",Sync!$Y29=""),"",Sync!$Y29)</f>
        <v/>
      </c>
      <c r="J33" t="str">
        <f>IF(OR($G33="",Sync!$Z29=""),"",Sync!$Z29)</f>
        <v/>
      </c>
      <c r="K33">
        <f>IF($G33="",0,IF(Sync!$AA29="",0,Sync!$AA29))</f>
        <v>0</v>
      </c>
      <c r="L33">
        <f>IF($G33="",0,IF(Sync!$AB29="",0,Sync!$AB29))</f>
        <v>0</v>
      </c>
      <c r="M33" t="str">
        <f t="shared" si="5"/>
        <v/>
      </c>
      <c r="N33">
        <f>IF($G33="",0,IF($H33="مرجوعی فروش",-1,1)*IF(Sync!$AC29="",0,Sync!$AC29))</f>
        <v>0</v>
      </c>
      <c r="O33" t="str">
        <f>IF(OR($G33="",Sync!$V29=""),"",Sync!$V29)</f>
        <v/>
      </c>
      <c r="P33" t="str">
        <f>IF(OR($G33="",Sync!$AD29=""),"",Sync!$AD29)</f>
        <v/>
      </c>
      <c r="Q33" t="str">
        <f>IF($G33="","",IF(Sync!$U29="","0000",IF(AND(ISNUMBER(Sync!$U29),Sync!$U29&gt;=0,Sync!$U29&lt;1),RIGHT("00"&amp;HOUR(Sync!$U29),2)&amp;RIGHT("00"&amp;MINUTE(Sync!$U29),2),IFERROR(RIGHT("00"&amp;VALUE(LEFT(Sync!$U29,FIND(":",Sync!$U29)-1)),2)&amp;RIGHT("00"&amp;VALUE(MID(Sync!$U29,FIND(":",Sync!$U29)+1,2)),2),"0000"))))</f>
        <v/>
      </c>
    </row>
    <row r="34" spans="1:17" x14ac:dyDescent="0.2">
      <c r="A34" t="str">
        <f>IF(Sync!$T30="","",Sync!$T30)</f>
        <v>1405/07/11</v>
      </c>
      <c r="B34">
        <f t="shared" si="0"/>
        <v>1405</v>
      </c>
      <c r="C34">
        <f t="shared" si="1"/>
        <v>7</v>
      </c>
      <c r="D34">
        <f t="shared" si="2"/>
        <v>11</v>
      </c>
      <c r="E34" t="str">
        <f t="shared" si="3"/>
        <v>1405/07/11</v>
      </c>
      <c r="F34" t="str">
        <f t="shared" si="4"/>
        <v>1405/07</v>
      </c>
      <c r="G34" t="str">
        <f>IF(OR($E34="",$E34="نامعتبر",Sync!$X30=""),"",IF(AND(LEFT(UPPER(TRIM(Sync!$X30)),2)="SL",IFERROR(VLOOKUP(Sync!$W30,OpTbl,3,0),"")="فروش"),UPPER(TRIM(Sync!$X30)),""))</f>
        <v/>
      </c>
      <c r="H34" t="str">
        <f>IF($G34="","",IF(Sync!$W30="","",Sync!$W30))</f>
        <v/>
      </c>
      <c r="I34" t="str">
        <f>IF(OR($G34="",Sync!$Y30=""),"",Sync!$Y30)</f>
        <v/>
      </c>
      <c r="J34" t="str">
        <f>IF(OR($G34="",Sync!$Z30=""),"",Sync!$Z30)</f>
        <v/>
      </c>
      <c r="K34">
        <f>IF($G34="",0,IF(Sync!$AA30="",0,Sync!$AA30))</f>
        <v>0</v>
      </c>
      <c r="L34">
        <f>IF($G34="",0,IF(Sync!$AB30="",0,Sync!$AB30))</f>
        <v>0</v>
      </c>
      <c r="M34" t="str">
        <f t="shared" si="5"/>
        <v/>
      </c>
      <c r="N34">
        <f>IF($G34="",0,IF($H34="مرجوعی فروش",-1,1)*IF(Sync!$AC30="",0,Sync!$AC30))</f>
        <v>0</v>
      </c>
      <c r="O34" t="str">
        <f>IF(OR($G34="",Sync!$V30=""),"",Sync!$V30)</f>
        <v/>
      </c>
      <c r="P34" t="str">
        <f>IF(OR($G34="",Sync!$AD30=""),"",Sync!$AD30)</f>
        <v/>
      </c>
      <c r="Q34" t="str">
        <f>IF($G34="","",IF(Sync!$U30="","0000",IF(AND(ISNUMBER(Sync!$U30),Sync!$U30&gt;=0,Sync!$U30&lt;1),RIGHT("00"&amp;HOUR(Sync!$U30),2)&amp;RIGHT("00"&amp;MINUTE(Sync!$U30),2),IFERROR(RIGHT("00"&amp;VALUE(LEFT(Sync!$U30,FIND(":",Sync!$U30)-1)),2)&amp;RIGHT("00"&amp;VALUE(MID(Sync!$U30,FIND(":",Sync!$U30)+1,2)),2),"0000"))))</f>
        <v/>
      </c>
    </row>
    <row r="35" spans="1:17" x14ac:dyDescent="0.2">
      <c r="A35" t="str">
        <f>IF(Sync!$T31="","",Sync!$T31)</f>
        <v>1405/07/11</v>
      </c>
      <c r="B35">
        <f t="shared" si="0"/>
        <v>1405</v>
      </c>
      <c r="C35">
        <f t="shared" si="1"/>
        <v>7</v>
      </c>
      <c r="D35">
        <f t="shared" si="2"/>
        <v>11</v>
      </c>
      <c r="E35" t="str">
        <f t="shared" si="3"/>
        <v>1405/07/11</v>
      </c>
      <c r="F35" t="str">
        <f t="shared" si="4"/>
        <v>1405/07</v>
      </c>
      <c r="G35" t="str">
        <f>IF(OR($E35="",$E35="نامعتبر",Sync!$X31=""),"",IF(AND(LEFT(UPPER(TRIM(Sync!$X31)),2)="SL",IFERROR(VLOOKUP(Sync!$W31,OpTbl,3,0),"")="فروش"),UPPER(TRIM(Sync!$X31)),""))</f>
        <v/>
      </c>
      <c r="H35" t="str">
        <f>IF($G35="","",IF(Sync!$W31="","",Sync!$W31))</f>
        <v/>
      </c>
      <c r="I35" t="str">
        <f>IF(OR($G35="",Sync!$Y31=""),"",Sync!$Y31)</f>
        <v/>
      </c>
      <c r="J35" t="str">
        <f>IF(OR($G35="",Sync!$Z31=""),"",Sync!$Z31)</f>
        <v/>
      </c>
      <c r="K35">
        <f>IF($G35="",0,IF(Sync!$AA31="",0,Sync!$AA31))</f>
        <v>0</v>
      </c>
      <c r="L35">
        <f>IF($G35="",0,IF(Sync!$AB31="",0,Sync!$AB31))</f>
        <v>0</v>
      </c>
      <c r="M35" t="str">
        <f t="shared" si="5"/>
        <v/>
      </c>
      <c r="N35">
        <f>IF($G35="",0,IF($H35="مرجوعی فروش",-1,1)*IF(Sync!$AC31="",0,Sync!$AC31))</f>
        <v>0</v>
      </c>
      <c r="O35" t="str">
        <f>IF(OR($G35="",Sync!$V31=""),"",Sync!$V31)</f>
        <v/>
      </c>
      <c r="P35" t="str">
        <f>IF(OR($G35="",Sync!$AD31=""),"",Sync!$AD31)</f>
        <v/>
      </c>
      <c r="Q35" t="str">
        <f>IF($G35="","",IF(Sync!$U31="","0000",IF(AND(ISNUMBER(Sync!$U31),Sync!$U31&gt;=0,Sync!$U31&lt;1),RIGHT("00"&amp;HOUR(Sync!$U31),2)&amp;RIGHT("00"&amp;MINUTE(Sync!$U31),2),IFERROR(RIGHT("00"&amp;VALUE(LEFT(Sync!$U31,FIND(":",Sync!$U31)-1)),2)&amp;RIGHT("00"&amp;VALUE(MID(Sync!$U31,FIND(":",Sync!$U31)+1,2)),2),"0000"))))</f>
        <v/>
      </c>
    </row>
    <row r="36" spans="1:17" x14ac:dyDescent="0.2">
      <c r="A36" t="str">
        <f>IF(Sync!$T32="","",Sync!$T32)</f>
        <v>1405/07/11</v>
      </c>
      <c r="B36">
        <f t="shared" si="0"/>
        <v>1405</v>
      </c>
      <c r="C36">
        <f t="shared" si="1"/>
        <v>7</v>
      </c>
      <c r="D36">
        <f t="shared" si="2"/>
        <v>11</v>
      </c>
      <c r="E36" t="str">
        <f t="shared" si="3"/>
        <v>1405/07/11</v>
      </c>
      <c r="F36" t="str">
        <f t="shared" si="4"/>
        <v>1405/07</v>
      </c>
      <c r="G36" t="str">
        <f>IF(OR($E36="",$E36="نامعتبر",Sync!$X32=""),"",IF(AND(LEFT(UPPER(TRIM(Sync!$X32)),2)="SL",IFERROR(VLOOKUP(Sync!$W32,OpTbl,3,0),"")="فروش"),UPPER(TRIM(Sync!$X32)),""))</f>
        <v/>
      </c>
      <c r="H36" t="str">
        <f>IF($G36="","",IF(Sync!$W32="","",Sync!$W32))</f>
        <v/>
      </c>
      <c r="I36" t="str">
        <f>IF(OR($G36="",Sync!$Y32=""),"",Sync!$Y32)</f>
        <v/>
      </c>
      <c r="J36" t="str">
        <f>IF(OR($G36="",Sync!$Z32=""),"",Sync!$Z32)</f>
        <v/>
      </c>
      <c r="K36">
        <f>IF($G36="",0,IF(Sync!$AA32="",0,Sync!$AA32))</f>
        <v>0</v>
      </c>
      <c r="L36">
        <f>IF($G36="",0,IF(Sync!$AB32="",0,Sync!$AB32))</f>
        <v>0</v>
      </c>
      <c r="M36" t="str">
        <f t="shared" si="5"/>
        <v/>
      </c>
      <c r="N36">
        <f>IF($G36="",0,IF($H36="مرجوعی فروش",-1,1)*IF(Sync!$AC32="",0,Sync!$AC32))</f>
        <v>0</v>
      </c>
      <c r="O36" t="str">
        <f>IF(OR($G36="",Sync!$V32=""),"",Sync!$V32)</f>
        <v/>
      </c>
      <c r="P36" t="str">
        <f>IF(OR($G36="",Sync!$AD32=""),"",Sync!$AD32)</f>
        <v/>
      </c>
      <c r="Q36" t="str">
        <f>IF($G36="","",IF(Sync!$U32="","0000",IF(AND(ISNUMBER(Sync!$U32),Sync!$U32&gt;=0,Sync!$U32&lt;1),RIGHT("00"&amp;HOUR(Sync!$U32),2)&amp;RIGHT("00"&amp;MINUTE(Sync!$U32),2),IFERROR(RIGHT("00"&amp;VALUE(LEFT(Sync!$U32,FIND(":",Sync!$U32)-1)),2)&amp;RIGHT("00"&amp;VALUE(MID(Sync!$U32,FIND(":",Sync!$U32)+1,2)),2),"0000"))))</f>
        <v/>
      </c>
    </row>
    <row r="37" spans="1:17" x14ac:dyDescent="0.2">
      <c r="A37" t="str">
        <f>IF(Sync!$T33="","",Sync!$T33)</f>
        <v>1405/07/11</v>
      </c>
      <c r="B37">
        <f t="shared" si="0"/>
        <v>1405</v>
      </c>
      <c r="C37">
        <f t="shared" si="1"/>
        <v>7</v>
      </c>
      <c r="D37">
        <f t="shared" si="2"/>
        <v>11</v>
      </c>
      <c r="E37" t="str">
        <f t="shared" si="3"/>
        <v>1405/07/11</v>
      </c>
      <c r="F37" t="str">
        <f t="shared" si="4"/>
        <v>1405/07</v>
      </c>
      <c r="G37" t="str">
        <f>IF(OR($E37="",$E37="نامعتبر",Sync!$X33=""),"",IF(AND(LEFT(UPPER(TRIM(Sync!$X33)),2)="SL",IFERROR(VLOOKUP(Sync!$W33,OpTbl,3,0),"")="فروش"),UPPER(TRIM(Sync!$X33)),""))</f>
        <v/>
      </c>
      <c r="H37" t="str">
        <f>IF($G37="","",IF(Sync!$W33="","",Sync!$W33))</f>
        <v/>
      </c>
      <c r="I37" t="str">
        <f>IF(OR($G37="",Sync!$Y33=""),"",Sync!$Y33)</f>
        <v/>
      </c>
      <c r="J37" t="str">
        <f>IF(OR($G37="",Sync!$Z33=""),"",Sync!$Z33)</f>
        <v/>
      </c>
      <c r="K37">
        <f>IF($G37="",0,IF(Sync!$AA33="",0,Sync!$AA33))</f>
        <v>0</v>
      </c>
      <c r="L37">
        <f>IF($G37="",0,IF(Sync!$AB33="",0,Sync!$AB33))</f>
        <v>0</v>
      </c>
      <c r="M37" t="str">
        <f t="shared" si="5"/>
        <v/>
      </c>
      <c r="N37">
        <f>IF($G37="",0,IF($H37="مرجوعی فروش",-1,1)*IF(Sync!$AC33="",0,Sync!$AC33))</f>
        <v>0</v>
      </c>
      <c r="O37" t="str">
        <f>IF(OR($G37="",Sync!$V33=""),"",Sync!$V33)</f>
        <v/>
      </c>
      <c r="P37" t="str">
        <f>IF(OR($G37="",Sync!$AD33=""),"",Sync!$AD33)</f>
        <v/>
      </c>
      <c r="Q37" t="str">
        <f>IF($G37="","",IF(Sync!$U33="","0000",IF(AND(ISNUMBER(Sync!$U33),Sync!$U33&gt;=0,Sync!$U33&lt;1),RIGHT("00"&amp;HOUR(Sync!$U33),2)&amp;RIGHT("00"&amp;MINUTE(Sync!$U33),2),IFERROR(RIGHT("00"&amp;VALUE(LEFT(Sync!$U33,FIND(":",Sync!$U33)-1)),2)&amp;RIGHT("00"&amp;VALUE(MID(Sync!$U33,FIND(":",Sync!$U33)+1,2)),2),"0000"))))</f>
        <v/>
      </c>
    </row>
    <row r="38" spans="1:17" x14ac:dyDescent="0.2">
      <c r="A38" t="str">
        <f>IF(Sync!$T34="","",Sync!$T34)</f>
        <v>1405/07/13</v>
      </c>
      <c r="B38">
        <f t="shared" si="0"/>
        <v>1405</v>
      </c>
      <c r="C38">
        <f t="shared" si="1"/>
        <v>7</v>
      </c>
      <c r="D38">
        <f t="shared" si="2"/>
        <v>13</v>
      </c>
      <c r="E38" t="str">
        <f t="shared" si="3"/>
        <v>1405/07/13</v>
      </c>
      <c r="F38" t="str">
        <f t="shared" si="4"/>
        <v>1405/07</v>
      </c>
      <c r="G38" t="str">
        <f>IF(OR($E38="",$E38="نامعتبر",Sync!$X34=""),"",IF(AND(LEFT(UPPER(TRIM(Sync!$X34)),2)="SL",IFERROR(VLOOKUP(Sync!$W34,OpTbl,3,0),"")="فروش"),UPPER(TRIM(Sync!$X34)),""))</f>
        <v/>
      </c>
      <c r="H38" t="str">
        <f>IF($G38="","",IF(Sync!$W34="","",Sync!$W34))</f>
        <v/>
      </c>
      <c r="I38" t="str">
        <f>IF(OR($G38="",Sync!$Y34=""),"",Sync!$Y34)</f>
        <v/>
      </c>
      <c r="J38" t="str">
        <f>IF(OR($G38="",Sync!$Z34=""),"",Sync!$Z34)</f>
        <v/>
      </c>
      <c r="K38">
        <f>IF($G38="",0,IF(Sync!$AA34="",0,Sync!$AA34))</f>
        <v>0</v>
      </c>
      <c r="L38">
        <f>IF($G38="",0,IF(Sync!$AB34="",0,Sync!$AB34))</f>
        <v>0</v>
      </c>
      <c r="M38" t="str">
        <f t="shared" si="5"/>
        <v/>
      </c>
      <c r="N38">
        <f>IF($G38="",0,IF($H38="مرجوعی فروش",-1,1)*IF(Sync!$AC34="",0,Sync!$AC34))</f>
        <v>0</v>
      </c>
      <c r="O38" t="str">
        <f>IF(OR($G38="",Sync!$V34=""),"",Sync!$V34)</f>
        <v/>
      </c>
      <c r="P38" t="str">
        <f>IF(OR($G38="",Sync!$AD34=""),"",Sync!$AD34)</f>
        <v/>
      </c>
      <c r="Q38" t="str">
        <f>IF($G38="","",IF(Sync!$U34="","0000",IF(AND(ISNUMBER(Sync!$U34),Sync!$U34&gt;=0,Sync!$U34&lt;1),RIGHT("00"&amp;HOUR(Sync!$U34),2)&amp;RIGHT("00"&amp;MINUTE(Sync!$U34),2),IFERROR(RIGHT("00"&amp;VALUE(LEFT(Sync!$U34,FIND(":",Sync!$U34)-1)),2)&amp;RIGHT("00"&amp;VALUE(MID(Sync!$U34,FIND(":",Sync!$U34)+1,2)),2),"0000"))))</f>
        <v/>
      </c>
    </row>
    <row r="39" spans="1:17" x14ac:dyDescent="0.2">
      <c r="A39" t="str">
        <f>IF(Sync!$T35="","",Sync!$T35)</f>
        <v>1405/07/13</v>
      </c>
      <c r="B39">
        <f t="shared" si="0"/>
        <v>1405</v>
      </c>
      <c r="C39">
        <f t="shared" si="1"/>
        <v>7</v>
      </c>
      <c r="D39">
        <f t="shared" si="2"/>
        <v>13</v>
      </c>
      <c r="E39" t="str">
        <f t="shared" si="3"/>
        <v>1405/07/13</v>
      </c>
      <c r="F39" t="str">
        <f t="shared" si="4"/>
        <v>1405/07</v>
      </c>
      <c r="G39" t="str">
        <f>IF(OR($E39="",$E39="نامعتبر",Sync!$X35=""),"",IF(AND(LEFT(UPPER(TRIM(Sync!$X35)),2)="SL",IFERROR(VLOOKUP(Sync!$W35,OpTbl,3,0),"")="فروش"),UPPER(TRIM(Sync!$X35)),""))</f>
        <v/>
      </c>
      <c r="H39" t="str">
        <f>IF($G39="","",IF(Sync!$W35="","",Sync!$W35))</f>
        <v/>
      </c>
      <c r="I39" t="str">
        <f>IF(OR($G39="",Sync!$Y35=""),"",Sync!$Y35)</f>
        <v/>
      </c>
      <c r="J39" t="str">
        <f>IF(OR($G39="",Sync!$Z35=""),"",Sync!$Z35)</f>
        <v/>
      </c>
      <c r="K39">
        <f>IF($G39="",0,IF(Sync!$AA35="",0,Sync!$AA35))</f>
        <v>0</v>
      </c>
      <c r="L39">
        <f>IF($G39="",0,IF(Sync!$AB35="",0,Sync!$AB35))</f>
        <v>0</v>
      </c>
      <c r="M39" t="str">
        <f t="shared" si="5"/>
        <v/>
      </c>
      <c r="N39">
        <f>IF($G39="",0,IF($H39="مرجوعی فروش",-1,1)*IF(Sync!$AC35="",0,Sync!$AC35))</f>
        <v>0</v>
      </c>
      <c r="O39" t="str">
        <f>IF(OR($G39="",Sync!$V35=""),"",Sync!$V35)</f>
        <v/>
      </c>
      <c r="P39" t="str">
        <f>IF(OR($G39="",Sync!$AD35=""),"",Sync!$AD35)</f>
        <v/>
      </c>
      <c r="Q39" t="str">
        <f>IF($G39="","",IF(Sync!$U35="","0000",IF(AND(ISNUMBER(Sync!$U35),Sync!$U35&gt;=0,Sync!$U35&lt;1),RIGHT("00"&amp;HOUR(Sync!$U35),2)&amp;RIGHT("00"&amp;MINUTE(Sync!$U35),2),IFERROR(RIGHT("00"&amp;VALUE(LEFT(Sync!$U35,FIND(":",Sync!$U35)-1)),2)&amp;RIGHT("00"&amp;VALUE(MID(Sync!$U35,FIND(":",Sync!$U35)+1,2)),2),"0000"))))</f>
        <v/>
      </c>
    </row>
    <row r="40" spans="1:17" x14ac:dyDescent="0.2">
      <c r="A40" t="str">
        <f>IF(Sync!$T36="","",Sync!$T36)</f>
        <v>1405/07/13</v>
      </c>
      <c r="B40">
        <f t="shared" si="0"/>
        <v>1405</v>
      </c>
      <c r="C40">
        <f t="shared" si="1"/>
        <v>7</v>
      </c>
      <c r="D40">
        <f t="shared" si="2"/>
        <v>13</v>
      </c>
      <c r="E40" t="str">
        <f t="shared" si="3"/>
        <v>1405/07/13</v>
      </c>
      <c r="F40" t="str">
        <f t="shared" si="4"/>
        <v>1405/07</v>
      </c>
      <c r="G40" t="str">
        <f>IF(OR($E40="",$E40="نامعتبر",Sync!$X36=""),"",IF(AND(LEFT(UPPER(TRIM(Sync!$X36)),2)="SL",IFERROR(VLOOKUP(Sync!$W36,OpTbl,3,0),"")="فروش"),UPPER(TRIM(Sync!$X36)),""))</f>
        <v/>
      </c>
      <c r="H40" t="str">
        <f>IF($G40="","",IF(Sync!$W36="","",Sync!$W36))</f>
        <v/>
      </c>
      <c r="I40" t="str">
        <f>IF(OR($G40="",Sync!$Y36=""),"",Sync!$Y36)</f>
        <v/>
      </c>
      <c r="J40" t="str">
        <f>IF(OR($G40="",Sync!$Z36=""),"",Sync!$Z36)</f>
        <v/>
      </c>
      <c r="K40">
        <f>IF($G40="",0,IF(Sync!$AA36="",0,Sync!$AA36))</f>
        <v>0</v>
      </c>
      <c r="L40">
        <f>IF($G40="",0,IF(Sync!$AB36="",0,Sync!$AB36))</f>
        <v>0</v>
      </c>
      <c r="M40" t="str">
        <f t="shared" si="5"/>
        <v/>
      </c>
      <c r="N40">
        <f>IF($G40="",0,IF($H40="مرجوعی فروش",-1,1)*IF(Sync!$AC36="",0,Sync!$AC36))</f>
        <v>0</v>
      </c>
      <c r="O40" t="str">
        <f>IF(OR($G40="",Sync!$V36=""),"",Sync!$V36)</f>
        <v/>
      </c>
      <c r="P40" t="str">
        <f>IF(OR($G40="",Sync!$AD36=""),"",Sync!$AD36)</f>
        <v/>
      </c>
      <c r="Q40" t="str">
        <f>IF($G40="","",IF(Sync!$U36="","0000",IF(AND(ISNUMBER(Sync!$U36),Sync!$U36&gt;=0,Sync!$U36&lt;1),RIGHT("00"&amp;HOUR(Sync!$U36),2)&amp;RIGHT("00"&amp;MINUTE(Sync!$U36),2),IFERROR(RIGHT("00"&amp;VALUE(LEFT(Sync!$U36,FIND(":",Sync!$U36)-1)),2)&amp;RIGHT("00"&amp;VALUE(MID(Sync!$U36,FIND(":",Sync!$U36)+1,2)),2),"0000"))))</f>
        <v/>
      </c>
    </row>
    <row r="41" spans="1:17" x14ac:dyDescent="0.2">
      <c r="A41" t="str">
        <f>IF(Sync!$T37="","",Sync!$T37)</f>
        <v>1405/07/13</v>
      </c>
      <c r="B41">
        <f t="shared" si="0"/>
        <v>1405</v>
      </c>
      <c r="C41">
        <f t="shared" si="1"/>
        <v>7</v>
      </c>
      <c r="D41">
        <f t="shared" si="2"/>
        <v>13</v>
      </c>
      <c r="E41" t="str">
        <f t="shared" si="3"/>
        <v>1405/07/13</v>
      </c>
      <c r="F41" t="str">
        <f t="shared" si="4"/>
        <v>1405/07</v>
      </c>
      <c r="G41" t="str">
        <f>IF(OR($E41="",$E41="نامعتبر",Sync!$X37=""),"",IF(AND(LEFT(UPPER(TRIM(Sync!$X37)),2)="SL",IFERROR(VLOOKUP(Sync!$W37,OpTbl,3,0),"")="فروش"),UPPER(TRIM(Sync!$X37)),""))</f>
        <v/>
      </c>
      <c r="H41" t="str">
        <f>IF($G41="","",IF(Sync!$W37="","",Sync!$W37))</f>
        <v/>
      </c>
      <c r="I41" t="str">
        <f>IF(OR($G41="",Sync!$Y37=""),"",Sync!$Y37)</f>
        <v/>
      </c>
      <c r="J41" t="str">
        <f>IF(OR($G41="",Sync!$Z37=""),"",Sync!$Z37)</f>
        <v/>
      </c>
      <c r="K41">
        <f>IF($G41="",0,IF(Sync!$AA37="",0,Sync!$AA37))</f>
        <v>0</v>
      </c>
      <c r="L41">
        <f>IF($G41="",0,IF(Sync!$AB37="",0,Sync!$AB37))</f>
        <v>0</v>
      </c>
      <c r="M41" t="str">
        <f t="shared" si="5"/>
        <v/>
      </c>
      <c r="N41">
        <f>IF($G41="",0,IF($H41="مرجوعی فروش",-1,1)*IF(Sync!$AC37="",0,Sync!$AC37))</f>
        <v>0</v>
      </c>
      <c r="O41" t="str">
        <f>IF(OR($G41="",Sync!$V37=""),"",Sync!$V37)</f>
        <v/>
      </c>
      <c r="P41" t="str">
        <f>IF(OR($G41="",Sync!$AD37=""),"",Sync!$AD37)</f>
        <v/>
      </c>
      <c r="Q41" t="str">
        <f>IF($G41="","",IF(Sync!$U37="","0000",IF(AND(ISNUMBER(Sync!$U37),Sync!$U37&gt;=0,Sync!$U37&lt;1),RIGHT("00"&amp;HOUR(Sync!$U37),2)&amp;RIGHT("00"&amp;MINUTE(Sync!$U37),2),IFERROR(RIGHT("00"&amp;VALUE(LEFT(Sync!$U37,FIND(":",Sync!$U37)-1)),2)&amp;RIGHT("00"&amp;VALUE(MID(Sync!$U37,FIND(":",Sync!$U37)+1,2)),2),"0000"))))</f>
        <v/>
      </c>
    </row>
    <row r="42" spans="1:17" x14ac:dyDescent="0.2">
      <c r="A42" t="str">
        <f>IF(Sync!$T38="","",Sync!$T38)</f>
        <v>1405/07/14</v>
      </c>
      <c r="B42">
        <f t="shared" si="0"/>
        <v>1405</v>
      </c>
      <c r="C42">
        <f t="shared" si="1"/>
        <v>7</v>
      </c>
      <c r="D42">
        <f t="shared" si="2"/>
        <v>14</v>
      </c>
      <c r="E42" t="str">
        <f t="shared" si="3"/>
        <v>1405/07/14</v>
      </c>
      <c r="F42" t="str">
        <f t="shared" si="4"/>
        <v>1405/07</v>
      </c>
      <c r="G42" t="str">
        <f>IF(OR($E42="",$E42="نامعتبر",Sync!$X38=""),"",IF(AND(LEFT(UPPER(TRIM(Sync!$X38)),2)="SL",IFERROR(VLOOKUP(Sync!$W38,OpTbl,3,0),"")="فروش"),UPPER(TRIM(Sync!$X38)),""))</f>
        <v>SL001</v>
      </c>
      <c r="H42" t="str">
        <f>IF($G42="","",IF(Sync!$W38="","",Sync!$W38))</f>
        <v>فروش</v>
      </c>
      <c r="I42" t="str">
        <f>IF(OR($G42="",Sync!$Y38=""),"",Sync!$Y38)</f>
        <v/>
      </c>
      <c r="J42" t="str">
        <f>IF(OR($G42="",Sync!$Z38=""),"",Sync!$Z38)</f>
        <v/>
      </c>
      <c r="K42">
        <f>IF($G42="",0,IF(Sync!$AA38="",0,Sync!$AA38))</f>
        <v>3020</v>
      </c>
      <c r="L42">
        <f>IF($G42="",0,IF(Sync!$AB38="",0,Sync!$AB38))</f>
        <v>0</v>
      </c>
      <c r="M42">
        <f t="shared" si="5"/>
        <v>3020</v>
      </c>
      <c r="N42">
        <f>IF($G42="",0,IF($H42="مرجوعی فروش",-1,1)*IF(Sync!$AC38="",0,Sync!$AC38))</f>
        <v>0</v>
      </c>
      <c r="O42" t="str">
        <f>IF(OR($G42="",Sync!$V38=""),"",Sync!$V38)</f>
        <v/>
      </c>
      <c r="P42" t="str">
        <f>IF(OR($G42="",Sync!$AD38=""),"",Sync!$AD38)</f>
        <v/>
      </c>
      <c r="Q42" t="str">
        <f>IF($G42="","",IF(Sync!$U38="","0000",IF(AND(ISNUMBER(Sync!$U38),Sync!$U38&gt;=0,Sync!$U38&lt;1),RIGHT("00"&amp;HOUR(Sync!$U38),2)&amp;RIGHT("00"&amp;MINUTE(Sync!$U38),2),IFERROR(RIGHT("00"&amp;VALUE(LEFT(Sync!$U38,FIND(":",Sync!$U38)-1)),2)&amp;RIGHT("00"&amp;VALUE(MID(Sync!$U38,FIND(":",Sync!$U38)+1,2)),2),"0000"))))</f>
        <v>0000</v>
      </c>
    </row>
    <row r="43" spans="1:17" x14ac:dyDescent="0.2">
      <c r="A43" t="str">
        <f>IF(Sync!$T39="","",Sync!$T39)</f>
        <v>1405/07/14</v>
      </c>
      <c r="B43">
        <f t="shared" si="0"/>
        <v>1405</v>
      </c>
      <c r="C43">
        <f t="shared" si="1"/>
        <v>7</v>
      </c>
      <c r="D43">
        <f t="shared" si="2"/>
        <v>14</v>
      </c>
      <c r="E43" t="str">
        <f t="shared" si="3"/>
        <v>1405/07/14</v>
      </c>
      <c r="F43" t="str">
        <f t="shared" si="4"/>
        <v>1405/07</v>
      </c>
      <c r="G43" t="str">
        <f>IF(OR($E43="",$E43="نامعتبر",Sync!$X39=""),"",IF(AND(LEFT(UPPER(TRIM(Sync!$X39)),2)="SL",IFERROR(VLOOKUP(Sync!$W39,OpTbl,3,0),"")="فروش"),UPPER(TRIM(Sync!$X39)),""))</f>
        <v/>
      </c>
      <c r="H43" t="str">
        <f>IF($G43="","",IF(Sync!$W39="","",Sync!$W39))</f>
        <v/>
      </c>
      <c r="I43" t="str">
        <f>IF(OR($G43="",Sync!$Y39=""),"",Sync!$Y39)</f>
        <v/>
      </c>
      <c r="J43" t="str">
        <f>IF(OR($G43="",Sync!$Z39=""),"",Sync!$Z39)</f>
        <v/>
      </c>
      <c r="K43">
        <f>IF($G43="",0,IF(Sync!$AA39="",0,Sync!$AA39))</f>
        <v>0</v>
      </c>
      <c r="L43">
        <f>IF($G43="",0,IF(Sync!$AB39="",0,Sync!$AB39))</f>
        <v>0</v>
      </c>
      <c r="M43" t="str">
        <f t="shared" si="5"/>
        <v/>
      </c>
      <c r="N43">
        <f>IF($G43="",0,IF($H43="مرجوعی فروش",-1,1)*IF(Sync!$AC39="",0,Sync!$AC39))</f>
        <v>0</v>
      </c>
      <c r="O43" t="str">
        <f>IF(OR($G43="",Sync!$V39=""),"",Sync!$V39)</f>
        <v/>
      </c>
      <c r="P43" t="str">
        <f>IF(OR($G43="",Sync!$AD39=""),"",Sync!$AD39)</f>
        <v/>
      </c>
      <c r="Q43" t="str">
        <f>IF($G43="","",IF(Sync!$U39="","0000",IF(AND(ISNUMBER(Sync!$U39),Sync!$U39&gt;=0,Sync!$U39&lt;1),RIGHT("00"&amp;HOUR(Sync!$U39),2)&amp;RIGHT("00"&amp;MINUTE(Sync!$U39),2),IFERROR(RIGHT("00"&amp;VALUE(LEFT(Sync!$U39,FIND(":",Sync!$U39)-1)),2)&amp;RIGHT("00"&amp;VALUE(MID(Sync!$U39,FIND(":",Sync!$U39)+1,2)),2),"0000"))))</f>
        <v/>
      </c>
    </row>
    <row r="44" spans="1:17" x14ac:dyDescent="0.2">
      <c r="A44" t="str">
        <f>IF(Sync!$T40="","",Sync!$T40)</f>
        <v>1405/07/14</v>
      </c>
      <c r="B44">
        <f t="shared" si="0"/>
        <v>1405</v>
      </c>
      <c r="C44">
        <f t="shared" si="1"/>
        <v>7</v>
      </c>
      <c r="D44">
        <f t="shared" si="2"/>
        <v>14</v>
      </c>
      <c r="E44" t="str">
        <f t="shared" si="3"/>
        <v>1405/07/14</v>
      </c>
      <c r="F44" t="str">
        <f t="shared" si="4"/>
        <v>1405/07</v>
      </c>
      <c r="G44" t="str">
        <f>IF(OR($E44="",$E44="نامعتبر",Sync!$X40=""),"",IF(AND(LEFT(UPPER(TRIM(Sync!$X40)),2)="SL",IFERROR(VLOOKUP(Sync!$W40,OpTbl,3,0),"")="فروش"),UPPER(TRIM(Sync!$X40)),""))</f>
        <v/>
      </c>
      <c r="H44" t="str">
        <f>IF($G44="","",IF(Sync!$W40="","",Sync!$W40))</f>
        <v/>
      </c>
      <c r="I44" t="str">
        <f>IF(OR($G44="",Sync!$Y40=""),"",Sync!$Y40)</f>
        <v/>
      </c>
      <c r="J44" t="str">
        <f>IF(OR($G44="",Sync!$Z40=""),"",Sync!$Z40)</f>
        <v/>
      </c>
      <c r="K44">
        <f>IF($G44="",0,IF(Sync!$AA40="",0,Sync!$AA40))</f>
        <v>0</v>
      </c>
      <c r="L44">
        <f>IF($G44="",0,IF(Sync!$AB40="",0,Sync!$AB40))</f>
        <v>0</v>
      </c>
      <c r="M44" t="str">
        <f t="shared" si="5"/>
        <v/>
      </c>
      <c r="N44">
        <f>IF($G44="",0,IF($H44="مرجوعی فروش",-1,1)*IF(Sync!$AC40="",0,Sync!$AC40))</f>
        <v>0</v>
      </c>
      <c r="O44" t="str">
        <f>IF(OR($G44="",Sync!$V40=""),"",Sync!$V40)</f>
        <v/>
      </c>
      <c r="P44" t="str">
        <f>IF(OR($G44="",Sync!$AD40=""),"",Sync!$AD40)</f>
        <v/>
      </c>
      <c r="Q44" t="str">
        <f>IF($G44="","",IF(Sync!$U40="","0000",IF(AND(ISNUMBER(Sync!$U40),Sync!$U40&gt;=0,Sync!$U40&lt;1),RIGHT("00"&amp;HOUR(Sync!$U40),2)&amp;RIGHT("00"&amp;MINUTE(Sync!$U40),2),IFERROR(RIGHT("00"&amp;VALUE(LEFT(Sync!$U40,FIND(":",Sync!$U40)-1)),2)&amp;RIGHT("00"&amp;VALUE(MID(Sync!$U40,FIND(":",Sync!$U40)+1,2)),2),"0000"))))</f>
        <v/>
      </c>
    </row>
    <row r="45" spans="1:17" x14ac:dyDescent="0.2">
      <c r="A45" t="str">
        <f>IF(Sync!$T41="","",Sync!$T41)</f>
        <v>1405/07/14</v>
      </c>
      <c r="B45">
        <f t="shared" si="0"/>
        <v>1405</v>
      </c>
      <c r="C45">
        <f t="shared" si="1"/>
        <v>7</v>
      </c>
      <c r="D45">
        <f t="shared" si="2"/>
        <v>14</v>
      </c>
      <c r="E45" t="str">
        <f t="shared" si="3"/>
        <v>1405/07/14</v>
      </c>
      <c r="F45" t="str">
        <f t="shared" si="4"/>
        <v>1405/07</v>
      </c>
      <c r="G45" t="str">
        <f>IF(OR($E45="",$E45="نامعتبر",Sync!$X41=""),"",IF(AND(LEFT(UPPER(TRIM(Sync!$X41)),2)="SL",IFERROR(VLOOKUP(Sync!$W41,OpTbl,3,0),"")="فروش"),UPPER(TRIM(Sync!$X41)),""))</f>
        <v/>
      </c>
      <c r="H45" t="str">
        <f>IF($G45="","",IF(Sync!$W41="","",Sync!$W41))</f>
        <v/>
      </c>
      <c r="I45" t="str">
        <f>IF(OR($G45="",Sync!$Y41=""),"",Sync!$Y41)</f>
        <v/>
      </c>
      <c r="J45" t="str">
        <f>IF(OR($G45="",Sync!$Z41=""),"",Sync!$Z41)</f>
        <v/>
      </c>
      <c r="K45">
        <f>IF($G45="",0,IF(Sync!$AA41="",0,Sync!$AA41))</f>
        <v>0</v>
      </c>
      <c r="L45">
        <f>IF($G45="",0,IF(Sync!$AB41="",0,Sync!$AB41))</f>
        <v>0</v>
      </c>
      <c r="M45" t="str">
        <f t="shared" si="5"/>
        <v/>
      </c>
      <c r="N45">
        <f>IF($G45="",0,IF($H45="مرجوعی فروش",-1,1)*IF(Sync!$AC41="",0,Sync!$AC41))</f>
        <v>0</v>
      </c>
      <c r="O45" t="str">
        <f>IF(OR($G45="",Sync!$V41=""),"",Sync!$V41)</f>
        <v/>
      </c>
      <c r="P45" t="str">
        <f>IF(OR($G45="",Sync!$AD41=""),"",Sync!$AD41)</f>
        <v/>
      </c>
      <c r="Q45" t="str">
        <f>IF($G45="","",IF(Sync!$U41="","0000",IF(AND(ISNUMBER(Sync!$U41),Sync!$U41&gt;=0,Sync!$U41&lt;1),RIGHT("00"&amp;HOUR(Sync!$U41),2)&amp;RIGHT("00"&amp;MINUTE(Sync!$U41),2),IFERROR(RIGHT("00"&amp;VALUE(LEFT(Sync!$U41,FIND(":",Sync!$U41)-1)),2)&amp;RIGHT("00"&amp;VALUE(MID(Sync!$U41,FIND(":",Sync!$U41)+1,2)),2),"0000"))))</f>
        <v/>
      </c>
    </row>
    <row r="46" spans="1:17" x14ac:dyDescent="0.2">
      <c r="A46" t="str">
        <f>IF(Sync!$T42="","",Sync!$T42)</f>
        <v>1405/07/14</v>
      </c>
      <c r="B46">
        <f t="shared" si="0"/>
        <v>1405</v>
      </c>
      <c r="C46">
        <f t="shared" si="1"/>
        <v>7</v>
      </c>
      <c r="D46">
        <f t="shared" si="2"/>
        <v>14</v>
      </c>
      <c r="E46" t="str">
        <f t="shared" si="3"/>
        <v>1405/07/14</v>
      </c>
      <c r="F46" t="str">
        <f t="shared" si="4"/>
        <v>1405/07</v>
      </c>
      <c r="G46" t="str">
        <f>IF(OR($E46="",$E46="نامعتبر",Sync!$X42=""),"",IF(AND(LEFT(UPPER(TRIM(Sync!$X42)),2)="SL",IFERROR(VLOOKUP(Sync!$W42,OpTbl,3,0),"")="فروش"),UPPER(TRIM(Sync!$X42)),""))</f>
        <v/>
      </c>
      <c r="H46" t="str">
        <f>IF($G46="","",IF(Sync!$W42="","",Sync!$W42))</f>
        <v/>
      </c>
      <c r="I46" t="str">
        <f>IF(OR($G46="",Sync!$Y42=""),"",Sync!$Y42)</f>
        <v/>
      </c>
      <c r="J46" t="str">
        <f>IF(OR($G46="",Sync!$Z42=""),"",Sync!$Z42)</f>
        <v/>
      </c>
      <c r="K46">
        <f>IF($G46="",0,IF(Sync!$AA42="",0,Sync!$AA42))</f>
        <v>0</v>
      </c>
      <c r="L46">
        <f>IF($G46="",0,IF(Sync!$AB42="",0,Sync!$AB42))</f>
        <v>0</v>
      </c>
      <c r="M46" t="str">
        <f t="shared" si="5"/>
        <v/>
      </c>
      <c r="N46">
        <f>IF($G46="",0,IF($H46="مرجوعی فروش",-1,1)*IF(Sync!$AC42="",0,Sync!$AC42))</f>
        <v>0</v>
      </c>
      <c r="O46" t="str">
        <f>IF(OR($G46="",Sync!$V42=""),"",Sync!$V42)</f>
        <v/>
      </c>
      <c r="P46" t="str">
        <f>IF(OR($G46="",Sync!$AD42=""),"",Sync!$AD42)</f>
        <v/>
      </c>
      <c r="Q46" t="str">
        <f>IF($G46="","",IF(Sync!$U42="","0000",IF(AND(ISNUMBER(Sync!$U42),Sync!$U42&gt;=0,Sync!$U42&lt;1),RIGHT("00"&amp;HOUR(Sync!$U42),2)&amp;RIGHT("00"&amp;MINUTE(Sync!$U42),2),IFERROR(RIGHT("00"&amp;VALUE(LEFT(Sync!$U42,FIND(":",Sync!$U42)-1)),2)&amp;RIGHT("00"&amp;VALUE(MID(Sync!$U42,FIND(":",Sync!$U42)+1,2)),2),"0000"))))</f>
        <v/>
      </c>
    </row>
    <row r="47" spans="1:17" x14ac:dyDescent="0.2">
      <c r="A47" t="str">
        <f>IF(Sync!$T43="","",Sync!$T43)</f>
        <v>1405/07/14</v>
      </c>
      <c r="B47">
        <f t="shared" si="0"/>
        <v>1405</v>
      </c>
      <c r="C47">
        <f t="shared" si="1"/>
        <v>7</v>
      </c>
      <c r="D47">
        <f t="shared" si="2"/>
        <v>14</v>
      </c>
      <c r="E47" t="str">
        <f t="shared" si="3"/>
        <v>1405/07/14</v>
      </c>
      <c r="F47" t="str">
        <f t="shared" si="4"/>
        <v>1405/07</v>
      </c>
      <c r="G47" t="str">
        <f>IF(OR($E47="",$E47="نامعتبر",Sync!$X43=""),"",IF(AND(LEFT(UPPER(TRIM(Sync!$X43)),2)="SL",IFERROR(VLOOKUP(Sync!$W43,OpTbl,3,0),"")="فروش"),UPPER(TRIM(Sync!$X43)),""))</f>
        <v/>
      </c>
      <c r="H47" t="str">
        <f>IF($G47="","",IF(Sync!$W43="","",Sync!$W43))</f>
        <v/>
      </c>
      <c r="I47" t="str">
        <f>IF(OR($G47="",Sync!$Y43=""),"",Sync!$Y43)</f>
        <v/>
      </c>
      <c r="J47" t="str">
        <f>IF(OR($G47="",Sync!$Z43=""),"",Sync!$Z43)</f>
        <v/>
      </c>
      <c r="K47">
        <f>IF($G47="",0,IF(Sync!$AA43="",0,Sync!$AA43))</f>
        <v>0</v>
      </c>
      <c r="L47">
        <f>IF($G47="",0,IF(Sync!$AB43="",0,Sync!$AB43))</f>
        <v>0</v>
      </c>
      <c r="M47" t="str">
        <f t="shared" si="5"/>
        <v/>
      </c>
      <c r="N47">
        <f>IF($G47="",0,IF($H47="مرجوعی فروش",-1,1)*IF(Sync!$AC43="",0,Sync!$AC43))</f>
        <v>0</v>
      </c>
      <c r="O47" t="str">
        <f>IF(OR($G47="",Sync!$V43=""),"",Sync!$V43)</f>
        <v/>
      </c>
      <c r="P47" t="str">
        <f>IF(OR($G47="",Sync!$AD43=""),"",Sync!$AD43)</f>
        <v/>
      </c>
      <c r="Q47" t="str">
        <f>IF($G47="","",IF(Sync!$U43="","0000",IF(AND(ISNUMBER(Sync!$U43),Sync!$U43&gt;=0,Sync!$U43&lt;1),RIGHT("00"&amp;HOUR(Sync!$U43),2)&amp;RIGHT("00"&amp;MINUTE(Sync!$U43),2),IFERROR(RIGHT("00"&amp;VALUE(LEFT(Sync!$U43,FIND(":",Sync!$U43)-1)),2)&amp;RIGHT("00"&amp;VALUE(MID(Sync!$U43,FIND(":",Sync!$U43)+1,2)),2),"0000"))))</f>
        <v/>
      </c>
    </row>
    <row r="48" spans="1:17" x14ac:dyDescent="0.2">
      <c r="A48" t="str">
        <f>IF(Sync!$T44="","",Sync!$T44)</f>
        <v>1405/07/15</v>
      </c>
      <c r="B48">
        <f t="shared" si="0"/>
        <v>1405</v>
      </c>
      <c r="C48">
        <f t="shared" si="1"/>
        <v>7</v>
      </c>
      <c r="D48">
        <f t="shared" si="2"/>
        <v>15</v>
      </c>
      <c r="E48" t="str">
        <f t="shared" si="3"/>
        <v>1405/07/15</v>
      </c>
      <c r="F48" t="str">
        <f t="shared" si="4"/>
        <v>1405/07</v>
      </c>
      <c r="G48" t="str">
        <f>IF(OR($E48="",$E48="نامعتبر",Sync!$X44=""),"",IF(AND(LEFT(UPPER(TRIM(Sync!$X44)),2)="SL",IFERROR(VLOOKUP(Sync!$W44,OpTbl,3,0),"")="فروش"),UPPER(TRIM(Sync!$X44)),""))</f>
        <v>SL002</v>
      </c>
      <c r="H48" t="str">
        <f>IF($G48="","",IF(Sync!$W44="","",Sync!$W44))</f>
        <v>فروش</v>
      </c>
      <c r="I48" t="str">
        <f>IF(OR($G48="",Sync!$Y44=""),"",Sync!$Y44)</f>
        <v/>
      </c>
      <c r="J48" t="str">
        <f>IF(OR($G48="",Sync!$Z44=""),"",Sync!$Z44)</f>
        <v/>
      </c>
      <c r="K48">
        <f>IF($G48="",0,IF(Sync!$AA44="",0,Sync!$AA44))</f>
        <v>3065</v>
      </c>
      <c r="L48">
        <f>IF($G48="",0,IF(Sync!$AB44="",0,Sync!$AB44))</f>
        <v>0</v>
      </c>
      <c r="M48">
        <f t="shared" si="5"/>
        <v>3065</v>
      </c>
      <c r="N48">
        <f>IF($G48="",0,IF($H48="مرجوعی فروش",-1,1)*IF(Sync!$AC44="",0,Sync!$AC44))</f>
        <v>0</v>
      </c>
      <c r="O48" t="str">
        <f>IF(OR($G48="",Sync!$V44=""),"",Sync!$V44)</f>
        <v/>
      </c>
      <c r="P48" t="str">
        <f>IF(OR($G48="",Sync!$AD44=""),"",Sync!$AD44)</f>
        <v/>
      </c>
      <c r="Q48" t="str">
        <f>IF($G48="","",IF(Sync!$U44="","0000",IF(AND(ISNUMBER(Sync!$U44),Sync!$U44&gt;=0,Sync!$U44&lt;1),RIGHT("00"&amp;HOUR(Sync!$U44),2)&amp;RIGHT("00"&amp;MINUTE(Sync!$U44),2),IFERROR(RIGHT("00"&amp;VALUE(LEFT(Sync!$U44,FIND(":",Sync!$U44)-1)),2)&amp;RIGHT("00"&amp;VALUE(MID(Sync!$U44,FIND(":",Sync!$U44)+1,2)),2),"0000"))))</f>
        <v>0000</v>
      </c>
    </row>
    <row r="49" spans="1:17" x14ac:dyDescent="0.2">
      <c r="A49" t="str">
        <f>IF(Sync!$T45="","",Sync!$T45)</f>
        <v>1405/07/15</v>
      </c>
      <c r="B49">
        <f t="shared" si="0"/>
        <v>1405</v>
      </c>
      <c r="C49">
        <f t="shared" si="1"/>
        <v>7</v>
      </c>
      <c r="D49">
        <f t="shared" si="2"/>
        <v>15</v>
      </c>
      <c r="E49" t="str">
        <f t="shared" si="3"/>
        <v>1405/07/15</v>
      </c>
      <c r="F49" t="str">
        <f t="shared" si="4"/>
        <v>1405/07</v>
      </c>
      <c r="G49" t="str">
        <f>IF(OR($E49="",$E49="نامعتبر",Sync!$X45=""),"",IF(AND(LEFT(UPPER(TRIM(Sync!$X45)),2)="SL",IFERROR(VLOOKUP(Sync!$W45,OpTbl,3,0),"")="فروش"),UPPER(TRIM(Sync!$X45)),""))</f>
        <v/>
      </c>
      <c r="H49" t="str">
        <f>IF($G49="","",IF(Sync!$W45="","",Sync!$W45))</f>
        <v/>
      </c>
      <c r="I49" t="str">
        <f>IF(OR($G49="",Sync!$Y45=""),"",Sync!$Y45)</f>
        <v/>
      </c>
      <c r="J49" t="str">
        <f>IF(OR($G49="",Sync!$Z45=""),"",Sync!$Z45)</f>
        <v/>
      </c>
      <c r="K49">
        <f>IF($G49="",0,IF(Sync!$AA45="",0,Sync!$AA45))</f>
        <v>0</v>
      </c>
      <c r="L49">
        <f>IF($G49="",0,IF(Sync!$AB45="",0,Sync!$AB45))</f>
        <v>0</v>
      </c>
      <c r="M49" t="str">
        <f t="shared" si="5"/>
        <v/>
      </c>
      <c r="N49">
        <f>IF($G49="",0,IF($H49="مرجوعی فروش",-1,1)*IF(Sync!$AC45="",0,Sync!$AC45))</f>
        <v>0</v>
      </c>
      <c r="O49" t="str">
        <f>IF(OR($G49="",Sync!$V45=""),"",Sync!$V45)</f>
        <v/>
      </c>
      <c r="P49" t="str">
        <f>IF(OR($G49="",Sync!$AD45=""),"",Sync!$AD45)</f>
        <v/>
      </c>
      <c r="Q49" t="str">
        <f>IF($G49="","",IF(Sync!$U45="","0000",IF(AND(ISNUMBER(Sync!$U45),Sync!$U45&gt;=0,Sync!$U45&lt;1),RIGHT("00"&amp;HOUR(Sync!$U45),2)&amp;RIGHT("00"&amp;MINUTE(Sync!$U45),2),IFERROR(RIGHT("00"&amp;VALUE(LEFT(Sync!$U45,FIND(":",Sync!$U45)-1)),2)&amp;RIGHT("00"&amp;VALUE(MID(Sync!$U45,FIND(":",Sync!$U45)+1,2)),2),"0000"))))</f>
        <v/>
      </c>
    </row>
    <row r="50" spans="1:17" x14ac:dyDescent="0.2">
      <c r="A50" t="str">
        <f>IF(Sync!$T46="","",Sync!$T46)</f>
        <v>1405/07/15</v>
      </c>
      <c r="B50">
        <f t="shared" si="0"/>
        <v>1405</v>
      </c>
      <c r="C50">
        <f t="shared" si="1"/>
        <v>7</v>
      </c>
      <c r="D50">
        <f t="shared" si="2"/>
        <v>15</v>
      </c>
      <c r="E50" t="str">
        <f t="shared" si="3"/>
        <v>1405/07/15</v>
      </c>
      <c r="F50" t="str">
        <f t="shared" si="4"/>
        <v>1405/07</v>
      </c>
      <c r="G50" t="str">
        <f>IF(OR($E50="",$E50="نامعتبر",Sync!$X46=""),"",IF(AND(LEFT(UPPER(TRIM(Sync!$X46)),2)="SL",IFERROR(VLOOKUP(Sync!$W46,OpTbl,3,0),"")="فروش"),UPPER(TRIM(Sync!$X46)),""))</f>
        <v/>
      </c>
      <c r="H50" t="str">
        <f>IF($G50="","",IF(Sync!$W46="","",Sync!$W46))</f>
        <v/>
      </c>
      <c r="I50" t="str">
        <f>IF(OR($G50="",Sync!$Y46=""),"",Sync!$Y46)</f>
        <v/>
      </c>
      <c r="J50" t="str">
        <f>IF(OR($G50="",Sync!$Z46=""),"",Sync!$Z46)</f>
        <v/>
      </c>
      <c r="K50">
        <f>IF($G50="",0,IF(Sync!$AA46="",0,Sync!$AA46))</f>
        <v>0</v>
      </c>
      <c r="L50">
        <f>IF($G50="",0,IF(Sync!$AB46="",0,Sync!$AB46))</f>
        <v>0</v>
      </c>
      <c r="M50" t="str">
        <f t="shared" si="5"/>
        <v/>
      </c>
      <c r="N50">
        <f>IF($G50="",0,IF($H50="مرجوعی فروش",-1,1)*IF(Sync!$AC46="",0,Sync!$AC46))</f>
        <v>0</v>
      </c>
      <c r="O50" t="str">
        <f>IF(OR($G50="",Sync!$V46=""),"",Sync!$V46)</f>
        <v/>
      </c>
      <c r="P50" t="str">
        <f>IF(OR($G50="",Sync!$AD46=""),"",Sync!$AD46)</f>
        <v/>
      </c>
      <c r="Q50" t="str">
        <f>IF($G50="","",IF(Sync!$U46="","0000",IF(AND(ISNUMBER(Sync!$U46),Sync!$U46&gt;=0,Sync!$U46&lt;1),RIGHT("00"&amp;HOUR(Sync!$U46),2)&amp;RIGHT("00"&amp;MINUTE(Sync!$U46),2),IFERROR(RIGHT("00"&amp;VALUE(LEFT(Sync!$U46,FIND(":",Sync!$U46)-1)),2)&amp;RIGHT("00"&amp;VALUE(MID(Sync!$U46,FIND(":",Sync!$U46)+1,2)),2),"0000"))))</f>
        <v/>
      </c>
    </row>
    <row r="51" spans="1:17" x14ac:dyDescent="0.2">
      <c r="A51" t="str">
        <f>IF(Sync!$T47="","",Sync!$T47)</f>
        <v>1405/07/15</v>
      </c>
      <c r="B51">
        <f t="shared" si="0"/>
        <v>1405</v>
      </c>
      <c r="C51">
        <f t="shared" si="1"/>
        <v>7</v>
      </c>
      <c r="D51">
        <f t="shared" si="2"/>
        <v>15</v>
      </c>
      <c r="E51" t="str">
        <f t="shared" si="3"/>
        <v>1405/07/15</v>
      </c>
      <c r="F51" t="str">
        <f t="shared" si="4"/>
        <v>1405/07</v>
      </c>
      <c r="G51" t="str">
        <f>IF(OR($E51="",$E51="نامعتبر",Sync!$X47=""),"",IF(AND(LEFT(UPPER(TRIM(Sync!$X47)),2)="SL",IFERROR(VLOOKUP(Sync!$W47,OpTbl,3,0),"")="فروش"),UPPER(TRIM(Sync!$X47)),""))</f>
        <v>SL003</v>
      </c>
      <c r="H51" t="str">
        <f>IF($G51="","",IF(Sync!$W47="","",Sync!$W47))</f>
        <v>فروش</v>
      </c>
      <c r="I51" t="str">
        <f>IF(OR($G51="",Sync!$Y47=""),"",Sync!$Y47)</f>
        <v/>
      </c>
      <c r="J51" t="str">
        <f>IF(OR($G51="",Sync!$Z47=""),"",Sync!$Z47)</f>
        <v/>
      </c>
      <c r="K51">
        <f>IF($G51="",0,IF(Sync!$AA47="",0,Sync!$AA47))</f>
        <v>3035</v>
      </c>
      <c r="L51">
        <f>IF($G51="",0,IF(Sync!$AB47="",0,Sync!$AB47))</f>
        <v>0</v>
      </c>
      <c r="M51">
        <f t="shared" si="5"/>
        <v>3035</v>
      </c>
      <c r="N51">
        <f>IF($G51="",0,IF($H51="مرجوعی فروش",-1,1)*IF(Sync!$AC47="",0,Sync!$AC47))</f>
        <v>0</v>
      </c>
      <c r="O51" t="str">
        <f>IF(OR($G51="",Sync!$V47=""),"",Sync!$V47)</f>
        <v/>
      </c>
      <c r="P51" t="str">
        <f>IF(OR($G51="",Sync!$AD47=""),"",Sync!$AD47)</f>
        <v/>
      </c>
      <c r="Q51" t="str">
        <f>IF($G51="","",IF(Sync!$U47="","0000",IF(AND(ISNUMBER(Sync!$U47),Sync!$U47&gt;=0,Sync!$U47&lt;1),RIGHT("00"&amp;HOUR(Sync!$U47),2)&amp;RIGHT("00"&amp;MINUTE(Sync!$U47),2),IFERROR(RIGHT("00"&amp;VALUE(LEFT(Sync!$U47,FIND(":",Sync!$U47)-1)),2)&amp;RIGHT("00"&amp;VALUE(MID(Sync!$U47,FIND(":",Sync!$U47)+1,2)),2),"0000"))))</f>
        <v>0000</v>
      </c>
    </row>
    <row r="52" spans="1:17" x14ac:dyDescent="0.2">
      <c r="A52" t="str">
        <f>IF(Sync!$T48="","",Sync!$T48)</f>
        <v>1405/07/15</v>
      </c>
      <c r="B52">
        <f t="shared" si="0"/>
        <v>1405</v>
      </c>
      <c r="C52">
        <f t="shared" si="1"/>
        <v>7</v>
      </c>
      <c r="D52">
        <f t="shared" si="2"/>
        <v>15</v>
      </c>
      <c r="E52" t="str">
        <f t="shared" si="3"/>
        <v>1405/07/15</v>
      </c>
      <c r="F52" t="str">
        <f t="shared" si="4"/>
        <v>1405/07</v>
      </c>
      <c r="G52" t="str">
        <f>IF(OR($E52="",$E52="نامعتبر",Sync!$X48=""),"",IF(AND(LEFT(UPPER(TRIM(Sync!$X48)),2)="SL",IFERROR(VLOOKUP(Sync!$W48,OpTbl,3,0),"")="فروش"),UPPER(TRIM(Sync!$X48)),""))</f>
        <v>SL001</v>
      </c>
      <c r="H52" t="str">
        <f>IF($G52="","",IF(Sync!$W48="","",Sync!$W48))</f>
        <v>فروش</v>
      </c>
      <c r="I52" t="str">
        <f>IF(OR($G52="",Sync!$Y48=""),"",Sync!$Y48)</f>
        <v/>
      </c>
      <c r="J52" t="str">
        <f>IF(OR($G52="",Sync!$Z48=""),"",Sync!$Z48)</f>
        <v/>
      </c>
      <c r="K52">
        <f>IF($G52="",0,IF(Sync!$AA48="",0,Sync!$AA48))</f>
        <v>2210</v>
      </c>
      <c r="L52">
        <f>IF($G52="",0,IF(Sync!$AB48="",0,Sync!$AB48))</f>
        <v>0</v>
      </c>
      <c r="M52">
        <f t="shared" si="5"/>
        <v>2210</v>
      </c>
      <c r="N52">
        <f>IF($G52="",0,IF($H52="مرجوعی فروش",-1,1)*IF(Sync!$AC48="",0,Sync!$AC48))</f>
        <v>0</v>
      </c>
      <c r="O52" t="str">
        <f>IF(OR($G52="",Sync!$V48=""),"",Sync!$V48)</f>
        <v/>
      </c>
      <c r="P52" t="str">
        <f>IF(OR($G52="",Sync!$AD48=""),"",Sync!$AD48)</f>
        <v/>
      </c>
      <c r="Q52" t="str">
        <f>IF($G52="","",IF(Sync!$U48="","0000",IF(AND(ISNUMBER(Sync!$U48),Sync!$U48&gt;=0,Sync!$U48&lt;1),RIGHT("00"&amp;HOUR(Sync!$U48),2)&amp;RIGHT("00"&amp;MINUTE(Sync!$U48),2),IFERROR(RIGHT("00"&amp;VALUE(LEFT(Sync!$U48,FIND(":",Sync!$U48)-1)),2)&amp;RIGHT("00"&amp;VALUE(MID(Sync!$U48,FIND(":",Sync!$U48)+1,2)),2),"0000"))))</f>
        <v>0000</v>
      </c>
    </row>
    <row r="53" spans="1:17" x14ac:dyDescent="0.2">
      <c r="A53" t="str">
        <f>IF(Sync!$T49="","",Sync!$T49)</f>
        <v>1405/07/15</v>
      </c>
      <c r="B53">
        <f t="shared" si="0"/>
        <v>1405</v>
      </c>
      <c r="C53">
        <f t="shared" si="1"/>
        <v>7</v>
      </c>
      <c r="D53">
        <f t="shared" si="2"/>
        <v>15</v>
      </c>
      <c r="E53" t="str">
        <f t="shared" si="3"/>
        <v>1405/07/15</v>
      </c>
      <c r="F53" t="str">
        <f t="shared" si="4"/>
        <v>1405/07</v>
      </c>
      <c r="G53" t="str">
        <f>IF(OR($E53="",$E53="نامعتبر",Sync!$X49=""),"",IF(AND(LEFT(UPPER(TRIM(Sync!$X49)),2)="SL",IFERROR(VLOOKUP(Sync!$W49,OpTbl,3,0),"")="فروش"),UPPER(TRIM(Sync!$X49)),""))</f>
        <v/>
      </c>
      <c r="H53" t="str">
        <f>IF($G53="","",IF(Sync!$W49="","",Sync!$W49))</f>
        <v/>
      </c>
      <c r="I53" t="str">
        <f>IF(OR($G53="",Sync!$Y49=""),"",Sync!$Y49)</f>
        <v/>
      </c>
      <c r="J53" t="str">
        <f>IF(OR($G53="",Sync!$Z49=""),"",Sync!$Z49)</f>
        <v/>
      </c>
      <c r="K53">
        <f>IF($G53="",0,IF(Sync!$AA49="",0,Sync!$AA49))</f>
        <v>0</v>
      </c>
      <c r="L53">
        <f>IF($G53="",0,IF(Sync!$AB49="",0,Sync!$AB49))</f>
        <v>0</v>
      </c>
      <c r="M53" t="str">
        <f t="shared" si="5"/>
        <v/>
      </c>
      <c r="N53">
        <f>IF($G53="",0,IF($H53="مرجوعی فروش",-1,1)*IF(Sync!$AC49="",0,Sync!$AC49))</f>
        <v>0</v>
      </c>
      <c r="O53" t="str">
        <f>IF(OR($G53="",Sync!$V49=""),"",Sync!$V49)</f>
        <v/>
      </c>
      <c r="P53" t="str">
        <f>IF(OR($G53="",Sync!$AD49=""),"",Sync!$AD49)</f>
        <v/>
      </c>
      <c r="Q53" t="str">
        <f>IF($G53="","",IF(Sync!$U49="","0000",IF(AND(ISNUMBER(Sync!$U49),Sync!$U49&gt;=0,Sync!$U49&lt;1),RIGHT("00"&amp;HOUR(Sync!$U49),2)&amp;RIGHT("00"&amp;MINUTE(Sync!$U49),2),IFERROR(RIGHT("00"&amp;VALUE(LEFT(Sync!$U49,FIND(":",Sync!$U49)-1)),2)&amp;RIGHT("00"&amp;VALUE(MID(Sync!$U49,FIND(":",Sync!$U49)+1,2)),2),"0000"))))</f>
        <v/>
      </c>
    </row>
    <row r="54" spans="1:17" x14ac:dyDescent="0.2">
      <c r="A54" t="str">
        <f>IF(Sync!$T50="","",Sync!$T50)</f>
        <v>1405/07/15</v>
      </c>
      <c r="B54">
        <f t="shared" si="0"/>
        <v>1405</v>
      </c>
      <c r="C54">
        <f t="shared" si="1"/>
        <v>7</v>
      </c>
      <c r="D54">
        <f t="shared" si="2"/>
        <v>15</v>
      </c>
      <c r="E54" t="str">
        <f t="shared" si="3"/>
        <v>1405/07/15</v>
      </c>
      <c r="F54" t="str">
        <f t="shared" si="4"/>
        <v>1405/07</v>
      </c>
      <c r="G54" t="str">
        <f>IF(OR($E54="",$E54="نامعتبر",Sync!$X50=""),"",IF(AND(LEFT(UPPER(TRIM(Sync!$X50)),2)="SL",IFERROR(VLOOKUP(Sync!$W50,OpTbl,3,0),"")="فروش"),UPPER(TRIM(Sync!$X50)),""))</f>
        <v/>
      </c>
      <c r="H54" t="str">
        <f>IF($G54="","",IF(Sync!$W50="","",Sync!$W50))</f>
        <v/>
      </c>
      <c r="I54" t="str">
        <f>IF(OR($G54="",Sync!$Y50=""),"",Sync!$Y50)</f>
        <v/>
      </c>
      <c r="J54" t="str">
        <f>IF(OR($G54="",Sync!$Z50=""),"",Sync!$Z50)</f>
        <v/>
      </c>
      <c r="K54">
        <f>IF($G54="",0,IF(Sync!$AA50="",0,Sync!$AA50))</f>
        <v>0</v>
      </c>
      <c r="L54">
        <f>IF($G54="",0,IF(Sync!$AB50="",0,Sync!$AB50))</f>
        <v>0</v>
      </c>
      <c r="M54" t="str">
        <f t="shared" si="5"/>
        <v/>
      </c>
      <c r="N54">
        <f>IF($G54="",0,IF($H54="مرجوعی فروش",-1,1)*IF(Sync!$AC50="",0,Sync!$AC50))</f>
        <v>0</v>
      </c>
      <c r="O54" t="str">
        <f>IF(OR($G54="",Sync!$V50=""),"",Sync!$V50)</f>
        <v/>
      </c>
      <c r="P54" t="str">
        <f>IF(OR($G54="",Sync!$AD50=""),"",Sync!$AD50)</f>
        <v/>
      </c>
      <c r="Q54" t="str">
        <f>IF($G54="","",IF(Sync!$U50="","0000",IF(AND(ISNUMBER(Sync!$U50),Sync!$U50&gt;=0,Sync!$U50&lt;1),RIGHT("00"&amp;HOUR(Sync!$U50),2)&amp;RIGHT("00"&amp;MINUTE(Sync!$U50),2),IFERROR(RIGHT("00"&amp;VALUE(LEFT(Sync!$U50,FIND(":",Sync!$U50)-1)),2)&amp;RIGHT("00"&amp;VALUE(MID(Sync!$U50,FIND(":",Sync!$U50)+1,2)),2),"0000"))))</f>
        <v/>
      </c>
    </row>
    <row r="55" spans="1:17" x14ac:dyDescent="0.2">
      <c r="A55" t="str">
        <f>IF(Sync!$T51="","",Sync!$T51)</f>
        <v>1405/07/15</v>
      </c>
      <c r="B55">
        <f t="shared" si="0"/>
        <v>1405</v>
      </c>
      <c r="C55">
        <f t="shared" si="1"/>
        <v>7</v>
      </c>
      <c r="D55">
        <f t="shared" si="2"/>
        <v>15</v>
      </c>
      <c r="E55" t="str">
        <f t="shared" si="3"/>
        <v>1405/07/15</v>
      </c>
      <c r="F55" t="str">
        <f t="shared" si="4"/>
        <v>1405/07</v>
      </c>
      <c r="G55" t="str">
        <f>IF(OR($E55="",$E55="نامعتبر",Sync!$X51=""),"",IF(AND(LEFT(UPPER(TRIM(Sync!$X51)),2)="SL",IFERROR(VLOOKUP(Sync!$W51,OpTbl,3,0),"")="فروش"),UPPER(TRIM(Sync!$X51)),""))</f>
        <v/>
      </c>
      <c r="H55" t="str">
        <f>IF($G55="","",IF(Sync!$W51="","",Sync!$W51))</f>
        <v/>
      </c>
      <c r="I55" t="str">
        <f>IF(OR($G55="",Sync!$Y51=""),"",Sync!$Y51)</f>
        <v/>
      </c>
      <c r="J55" t="str">
        <f>IF(OR($G55="",Sync!$Z51=""),"",Sync!$Z51)</f>
        <v/>
      </c>
      <c r="K55">
        <f>IF($G55="",0,IF(Sync!$AA51="",0,Sync!$AA51))</f>
        <v>0</v>
      </c>
      <c r="L55">
        <f>IF($G55="",0,IF(Sync!$AB51="",0,Sync!$AB51))</f>
        <v>0</v>
      </c>
      <c r="M55" t="str">
        <f t="shared" si="5"/>
        <v/>
      </c>
      <c r="N55">
        <f>IF($G55="",0,IF($H55="مرجوعی فروش",-1,1)*IF(Sync!$AC51="",0,Sync!$AC51))</f>
        <v>0</v>
      </c>
      <c r="O55" t="str">
        <f>IF(OR($G55="",Sync!$V51=""),"",Sync!$V51)</f>
        <v/>
      </c>
      <c r="P55" t="str">
        <f>IF(OR($G55="",Sync!$AD51=""),"",Sync!$AD51)</f>
        <v/>
      </c>
      <c r="Q55" t="str">
        <f>IF($G55="","",IF(Sync!$U51="","0000",IF(AND(ISNUMBER(Sync!$U51),Sync!$U51&gt;=0,Sync!$U51&lt;1),RIGHT("00"&amp;HOUR(Sync!$U51),2)&amp;RIGHT("00"&amp;MINUTE(Sync!$U51),2),IFERROR(RIGHT("00"&amp;VALUE(LEFT(Sync!$U51,FIND(":",Sync!$U51)-1)),2)&amp;RIGHT("00"&amp;VALUE(MID(Sync!$U51,FIND(":",Sync!$U51)+1,2)),2),"0000"))))</f>
        <v/>
      </c>
    </row>
    <row r="56" spans="1:17" x14ac:dyDescent="0.2">
      <c r="A56" t="str">
        <f>IF(Sync!$T52="","",Sync!$T52)</f>
        <v>1405/07/16</v>
      </c>
      <c r="B56">
        <f t="shared" si="0"/>
        <v>1405</v>
      </c>
      <c r="C56">
        <f t="shared" si="1"/>
        <v>7</v>
      </c>
      <c r="D56">
        <f t="shared" si="2"/>
        <v>16</v>
      </c>
      <c r="E56" t="str">
        <f t="shared" si="3"/>
        <v>1405/07/16</v>
      </c>
      <c r="F56" t="str">
        <f t="shared" si="4"/>
        <v>1405/07</v>
      </c>
      <c r="G56" t="str">
        <f>IF(OR($E56="",$E56="نامعتبر",Sync!$X52=""),"",IF(AND(LEFT(UPPER(TRIM(Sync!$X52)),2)="SL",IFERROR(VLOOKUP(Sync!$W52,OpTbl,3,0),"")="فروش"),UPPER(TRIM(Sync!$X52)),""))</f>
        <v/>
      </c>
      <c r="H56" t="str">
        <f>IF($G56="","",IF(Sync!$W52="","",Sync!$W52))</f>
        <v/>
      </c>
      <c r="I56" t="str">
        <f>IF(OR($G56="",Sync!$Y52=""),"",Sync!$Y52)</f>
        <v/>
      </c>
      <c r="J56" t="str">
        <f>IF(OR($G56="",Sync!$Z52=""),"",Sync!$Z52)</f>
        <v/>
      </c>
      <c r="K56">
        <f>IF($G56="",0,IF(Sync!$AA52="",0,Sync!$AA52))</f>
        <v>0</v>
      </c>
      <c r="L56">
        <f>IF($G56="",0,IF(Sync!$AB52="",0,Sync!$AB52))</f>
        <v>0</v>
      </c>
      <c r="M56" t="str">
        <f t="shared" si="5"/>
        <v/>
      </c>
      <c r="N56">
        <f>IF($G56="",0,IF($H56="مرجوعی فروش",-1,1)*IF(Sync!$AC52="",0,Sync!$AC52))</f>
        <v>0</v>
      </c>
      <c r="O56" t="str">
        <f>IF(OR($G56="",Sync!$V52=""),"",Sync!$V52)</f>
        <v/>
      </c>
      <c r="P56" t="str">
        <f>IF(OR($G56="",Sync!$AD52=""),"",Sync!$AD52)</f>
        <v/>
      </c>
      <c r="Q56" t="str">
        <f>IF($G56="","",IF(Sync!$U52="","0000",IF(AND(ISNUMBER(Sync!$U52),Sync!$U52&gt;=0,Sync!$U52&lt;1),RIGHT("00"&amp;HOUR(Sync!$U52),2)&amp;RIGHT("00"&amp;MINUTE(Sync!$U52),2),IFERROR(RIGHT("00"&amp;VALUE(LEFT(Sync!$U52,FIND(":",Sync!$U52)-1)),2)&amp;RIGHT("00"&amp;VALUE(MID(Sync!$U52,FIND(":",Sync!$U52)+1,2)),2),"0000"))))</f>
        <v/>
      </c>
    </row>
    <row r="57" spans="1:17" x14ac:dyDescent="0.2">
      <c r="A57" t="str">
        <f>IF(Sync!$T53="","",Sync!$T53)</f>
        <v>1405/07/16</v>
      </c>
      <c r="B57">
        <f t="shared" si="0"/>
        <v>1405</v>
      </c>
      <c r="C57">
        <f t="shared" si="1"/>
        <v>7</v>
      </c>
      <c r="D57">
        <f t="shared" si="2"/>
        <v>16</v>
      </c>
      <c r="E57" t="str">
        <f t="shared" si="3"/>
        <v>1405/07/16</v>
      </c>
      <c r="F57" t="str">
        <f t="shared" si="4"/>
        <v>1405/07</v>
      </c>
      <c r="G57" t="str">
        <f>IF(OR($E57="",$E57="نامعتبر",Sync!$X53=""),"",IF(AND(LEFT(UPPER(TRIM(Sync!$X53)),2)="SL",IFERROR(VLOOKUP(Sync!$W53,OpTbl,3,0),"")="فروش"),UPPER(TRIM(Sync!$X53)),""))</f>
        <v>SL004</v>
      </c>
      <c r="H57" t="str">
        <f>IF($G57="","",IF(Sync!$W53="","",Sync!$W53))</f>
        <v>فروش</v>
      </c>
      <c r="I57" t="str">
        <f>IF(OR($G57="",Sync!$Y53=""),"",Sync!$Y53)</f>
        <v/>
      </c>
      <c r="J57" t="str">
        <f>IF(OR($G57="",Sync!$Z53=""),"",Sync!$Z53)</f>
        <v/>
      </c>
      <c r="K57">
        <f>IF($G57="",0,IF(Sync!$AA53="",0,Sync!$AA53))</f>
        <v>4755</v>
      </c>
      <c r="L57">
        <f>IF($G57="",0,IF(Sync!$AB53="",0,Sync!$AB53))</f>
        <v>0</v>
      </c>
      <c r="M57">
        <f t="shared" si="5"/>
        <v>4755</v>
      </c>
      <c r="N57">
        <f>IF($G57="",0,IF($H57="مرجوعی فروش",-1,1)*IF(Sync!$AC53="",0,Sync!$AC53))</f>
        <v>0</v>
      </c>
      <c r="O57" t="str">
        <f>IF(OR($G57="",Sync!$V53=""),"",Sync!$V53)</f>
        <v/>
      </c>
      <c r="P57" t="str">
        <f>IF(OR($G57="",Sync!$AD53=""),"",Sync!$AD53)</f>
        <v/>
      </c>
      <c r="Q57" t="str">
        <f>IF($G57="","",IF(Sync!$U53="","0000",IF(AND(ISNUMBER(Sync!$U53),Sync!$U53&gt;=0,Sync!$U53&lt;1),RIGHT("00"&amp;HOUR(Sync!$U53),2)&amp;RIGHT("00"&amp;MINUTE(Sync!$U53),2),IFERROR(RIGHT("00"&amp;VALUE(LEFT(Sync!$U53,FIND(":",Sync!$U53)-1)),2)&amp;RIGHT("00"&amp;VALUE(MID(Sync!$U53,FIND(":",Sync!$U53)+1,2)),2),"0000"))))</f>
        <v>0000</v>
      </c>
    </row>
    <row r="58" spans="1:17" x14ac:dyDescent="0.2">
      <c r="A58" t="str">
        <f>IF(Sync!$T54="","",Sync!$T54)</f>
        <v>1405/07/16</v>
      </c>
      <c r="B58">
        <f t="shared" si="0"/>
        <v>1405</v>
      </c>
      <c r="C58">
        <f t="shared" si="1"/>
        <v>7</v>
      </c>
      <c r="D58">
        <f t="shared" si="2"/>
        <v>16</v>
      </c>
      <c r="E58" t="str">
        <f t="shared" si="3"/>
        <v>1405/07/16</v>
      </c>
      <c r="F58" t="str">
        <f t="shared" si="4"/>
        <v>1405/07</v>
      </c>
      <c r="G58" t="str">
        <f>IF(OR($E58="",$E58="نامعتبر",Sync!$X54=""),"",IF(AND(LEFT(UPPER(TRIM(Sync!$X54)),2)="SL",IFERROR(VLOOKUP(Sync!$W54,OpTbl,3,0),"")="فروش"),UPPER(TRIM(Sync!$X54)),""))</f>
        <v/>
      </c>
      <c r="H58" t="str">
        <f>IF($G58="","",IF(Sync!$W54="","",Sync!$W54))</f>
        <v/>
      </c>
      <c r="I58" t="str">
        <f>IF(OR($G58="",Sync!$Y54=""),"",Sync!$Y54)</f>
        <v/>
      </c>
      <c r="J58" t="str">
        <f>IF(OR($G58="",Sync!$Z54=""),"",Sync!$Z54)</f>
        <v/>
      </c>
      <c r="K58">
        <f>IF($G58="",0,IF(Sync!$AA54="",0,Sync!$AA54))</f>
        <v>0</v>
      </c>
      <c r="L58">
        <f>IF($G58="",0,IF(Sync!$AB54="",0,Sync!$AB54))</f>
        <v>0</v>
      </c>
      <c r="M58" t="str">
        <f t="shared" si="5"/>
        <v/>
      </c>
      <c r="N58">
        <f>IF($G58="",0,IF($H58="مرجوعی فروش",-1,1)*IF(Sync!$AC54="",0,Sync!$AC54))</f>
        <v>0</v>
      </c>
      <c r="O58" t="str">
        <f>IF(OR($G58="",Sync!$V54=""),"",Sync!$V54)</f>
        <v/>
      </c>
      <c r="P58" t="str">
        <f>IF(OR($G58="",Sync!$AD54=""),"",Sync!$AD54)</f>
        <v/>
      </c>
      <c r="Q58" t="str">
        <f>IF($G58="","",IF(Sync!$U54="","0000",IF(AND(ISNUMBER(Sync!$U54),Sync!$U54&gt;=0,Sync!$U54&lt;1),RIGHT("00"&amp;HOUR(Sync!$U54),2)&amp;RIGHT("00"&amp;MINUTE(Sync!$U54),2),IFERROR(RIGHT("00"&amp;VALUE(LEFT(Sync!$U54,FIND(":",Sync!$U54)-1)),2)&amp;RIGHT("00"&amp;VALUE(MID(Sync!$U54,FIND(":",Sync!$U54)+1,2)),2),"0000"))))</f>
        <v/>
      </c>
    </row>
    <row r="59" spans="1:17" x14ac:dyDescent="0.2">
      <c r="A59" t="str">
        <f>IF(Sync!$T55="","",Sync!$T55)</f>
        <v>1405/07/16</v>
      </c>
      <c r="B59">
        <f t="shared" si="0"/>
        <v>1405</v>
      </c>
      <c r="C59">
        <f t="shared" si="1"/>
        <v>7</v>
      </c>
      <c r="D59">
        <f t="shared" si="2"/>
        <v>16</v>
      </c>
      <c r="E59" t="str">
        <f t="shared" si="3"/>
        <v>1405/07/16</v>
      </c>
      <c r="F59" t="str">
        <f t="shared" si="4"/>
        <v>1405/07</v>
      </c>
      <c r="G59" t="str">
        <f>IF(OR($E59="",$E59="نامعتبر",Sync!$X55=""),"",IF(AND(LEFT(UPPER(TRIM(Sync!$X55)),2)="SL",IFERROR(VLOOKUP(Sync!$W55,OpTbl,3,0),"")="فروش"),UPPER(TRIM(Sync!$X55)),""))</f>
        <v/>
      </c>
      <c r="H59" t="str">
        <f>IF($G59="","",IF(Sync!$W55="","",Sync!$W55))</f>
        <v/>
      </c>
      <c r="I59" t="str">
        <f>IF(OR($G59="",Sync!$Y55=""),"",Sync!$Y55)</f>
        <v/>
      </c>
      <c r="J59" t="str">
        <f>IF(OR($G59="",Sync!$Z55=""),"",Sync!$Z55)</f>
        <v/>
      </c>
      <c r="K59">
        <f>IF($G59="",0,IF(Sync!$AA55="",0,Sync!$AA55))</f>
        <v>0</v>
      </c>
      <c r="L59">
        <f>IF($G59="",0,IF(Sync!$AB55="",0,Sync!$AB55))</f>
        <v>0</v>
      </c>
      <c r="M59" t="str">
        <f t="shared" si="5"/>
        <v/>
      </c>
      <c r="N59">
        <f>IF($G59="",0,IF($H59="مرجوعی فروش",-1,1)*IF(Sync!$AC55="",0,Sync!$AC55))</f>
        <v>0</v>
      </c>
      <c r="O59" t="str">
        <f>IF(OR($G59="",Sync!$V55=""),"",Sync!$V55)</f>
        <v/>
      </c>
      <c r="P59" t="str">
        <f>IF(OR($G59="",Sync!$AD55=""),"",Sync!$AD55)</f>
        <v/>
      </c>
      <c r="Q59" t="str">
        <f>IF($G59="","",IF(Sync!$U55="","0000",IF(AND(ISNUMBER(Sync!$U55),Sync!$U55&gt;=0,Sync!$U55&lt;1),RIGHT("00"&amp;HOUR(Sync!$U55),2)&amp;RIGHT("00"&amp;MINUTE(Sync!$U55),2),IFERROR(RIGHT("00"&amp;VALUE(LEFT(Sync!$U55,FIND(":",Sync!$U55)-1)),2)&amp;RIGHT("00"&amp;VALUE(MID(Sync!$U55,FIND(":",Sync!$U55)+1,2)),2),"0000"))))</f>
        <v/>
      </c>
    </row>
    <row r="60" spans="1:17" x14ac:dyDescent="0.2">
      <c r="A60" t="str">
        <f>IF(Sync!$T56="","",Sync!$T56)</f>
        <v>1405/07/16</v>
      </c>
      <c r="B60">
        <f t="shared" si="0"/>
        <v>1405</v>
      </c>
      <c r="C60">
        <f t="shared" si="1"/>
        <v>7</v>
      </c>
      <c r="D60">
        <f t="shared" si="2"/>
        <v>16</v>
      </c>
      <c r="E60" t="str">
        <f t="shared" si="3"/>
        <v>1405/07/16</v>
      </c>
      <c r="F60" t="str">
        <f t="shared" si="4"/>
        <v>1405/07</v>
      </c>
      <c r="G60" t="str">
        <f>IF(OR($E60="",$E60="نامعتبر",Sync!$X56=""),"",IF(AND(LEFT(UPPER(TRIM(Sync!$X56)),2)="SL",IFERROR(VLOOKUP(Sync!$W56,OpTbl,3,0),"")="فروش"),UPPER(TRIM(Sync!$X56)),""))</f>
        <v/>
      </c>
      <c r="H60" t="str">
        <f>IF($G60="","",IF(Sync!$W56="","",Sync!$W56))</f>
        <v/>
      </c>
      <c r="I60" t="str">
        <f>IF(OR($G60="",Sync!$Y56=""),"",Sync!$Y56)</f>
        <v/>
      </c>
      <c r="J60" t="str">
        <f>IF(OR($G60="",Sync!$Z56=""),"",Sync!$Z56)</f>
        <v/>
      </c>
      <c r="K60">
        <f>IF($G60="",0,IF(Sync!$AA56="",0,Sync!$AA56))</f>
        <v>0</v>
      </c>
      <c r="L60">
        <f>IF($G60="",0,IF(Sync!$AB56="",0,Sync!$AB56))</f>
        <v>0</v>
      </c>
      <c r="M60" t="str">
        <f t="shared" si="5"/>
        <v/>
      </c>
      <c r="N60">
        <f>IF($G60="",0,IF($H60="مرجوعی فروش",-1,1)*IF(Sync!$AC56="",0,Sync!$AC56))</f>
        <v>0</v>
      </c>
      <c r="O60" t="str">
        <f>IF(OR($G60="",Sync!$V56=""),"",Sync!$V56)</f>
        <v/>
      </c>
      <c r="P60" t="str">
        <f>IF(OR($G60="",Sync!$AD56=""),"",Sync!$AD56)</f>
        <v/>
      </c>
      <c r="Q60" t="str">
        <f>IF($G60="","",IF(Sync!$U56="","0000",IF(AND(ISNUMBER(Sync!$U56),Sync!$U56&gt;=0,Sync!$U56&lt;1),RIGHT("00"&amp;HOUR(Sync!$U56),2)&amp;RIGHT("00"&amp;MINUTE(Sync!$U56),2),IFERROR(RIGHT("00"&amp;VALUE(LEFT(Sync!$U56,FIND(":",Sync!$U56)-1)),2)&amp;RIGHT("00"&amp;VALUE(MID(Sync!$U56,FIND(":",Sync!$U56)+1,2)),2),"0000"))))</f>
        <v/>
      </c>
    </row>
    <row r="61" spans="1:17" x14ac:dyDescent="0.2">
      <c r="A61" t="str">
        <f>IF(Sync!$T57="","",Sync!$T57)</f>
        <v>1405/07/17</v>
      </c>
      <c r="B61">
        <f t="shared" si="0"/>
        <v>1405</v>
      </c>
      <c r="C61">
        <f t="shared" si="1"/>
        <v>7</v>
      </c>
      <c r="D61">
        <f t="shared" si="2"/>
        <v>17</v>
      </c>
      <c r="E61" t="str">
        <f t="shared" si="3"/>
        <v>1405/07/17</v>
      </c>
      <c r="F61" t="str">
        <f t="shared" si="4"/>
        <v>1405/07</v>
      </c>
      <c r="G61" t="str">
        <f>IF(OR($E61="",$E61="نامعتبر",Sync!$X57=""),"",IF(AND(LEFT(UPPER(TRIM(Sync!$X57)),2)="SL",IFERROR(VLOOKUP(Sync!$W57,OpTbl,3,0),"")="فروش"),UPPER(TRIM(Sync!$X57)),""))</f>
        <v>SL001</v>
      </c>
      <c r="H61" t="str">
        <f>IF($G61="","",IF(Sync!$W57="","",Sync!$W57))</f>
        <v>فروش</v>
      </c>
      <c r="I61" t="str">
        <f>IF(OR($G61="",Sync!$Y57=""),"",Sync!$Y57)</f>
        <v/>
      </c>
      <c r="J61" t="str">
        <f>IF(OR($G61="",Sync!$Z57=""),"",Sync!$Z57)</f>
        <v/>
      </c>
      <c r="K61">
        <f>IF($G61="",0,IF(Sync!$AA57="",0,Sync!$AA57))</f>
        <v>3035</v>
      </c>
      <c r="L61">
        <f>IF($G61="",0,IF(Sync!$AB57="",0,Sync!$AB57))</f>
        <v>0</v>
      </c>
      <c r="M61">
        <f t="shared" si="5"/>
        <v>3035</v>
      </c>
      <c r="N61">
        <f>IF($G61="",0,IF($H61="مرجوعی فروش",-1,1)*IF(Sync!$AC57="",0,Sync!$AC57))</f>
        <v>0</v>
      </c>
      <c r="O61" t="str">
        <f>IF(OR($G61="",Sync!$V57=""),"",Sync!$V57)</f>
        <v/>
      </c>
      <c r="P61" t="str">
        <f>IF(OR($G61="",Sync!$AD57=""),"",Sync!$AD57)</f>
        <v/>
      </c>
      <c r="Q61" t="str">
        <f>IF($G61="","",IF(Sync!$U57="","0000",IF(AND(ISNUMBER(Sync!$U57),Sync!$U57&gt;=0,Sync!$U57&lt;1),RIGHT("00"&amp;HOUR(Sync!$U57),2)&amp;RIGHT("00"&amp;MINUTE(Sync!$U57),2),IFERROR(RIGHT("00"&amp;VALUE(LEFT(Sync!$U57,FIND(":",Sync!$U57)-1)),2)&amp;RIGHT("00"&amp;VALUE(MID(Sync!$U57,FIND(":",Sync!$U57)+1,2)),2),"0000"))))</f>
        <v>0000</v>
      </c>
    </row>
    <row r="62" spans="1:17" x14ac:dyDescent="0.2">
      <c r="A62" t="str">
        <f>IF(Sync!$T58="","",Sync!$T58)</f>
        <v>1405/07/17</v>
      </c>
      <c r="B62">
        <f t="shared" si="0"/>
        <v>1405</v>
      </c>
      <c r="C62">
        <f t="shared" si="1"/>
        <v>7</v>
      </c>
      <c r="D62">
        <f t="shared" si="2"/>
        <v>17</v>
      </c>
      <c r="E62" t="str">
        <f t="shared" si="3"/>
        <v>1405/07/17</v>
      </c>
      <c r="F62" t="str">
        <f t="shared" si="4"/>
        <v>1405/07</v>
      </c>
      <c r="G62" t="str">
        <f>IF(OR($E62="",$E62="نامعتبر",Sync!$X58=""),"",IF(AND(LEFT(UPPER(TRIM(Sync!$X58)),2)="SL",IFERROR(VLOOKUP(Sync!$W58,OpTbl,3,0),"")="فروش"),UPPER(TRIM(Sync!$X58)),""))</f>
        <v>SL003</v>
      </c>
      <c r="H62" t="str">
        <f>IF($G62="","",IF(Sync!$W58="","",Sync!$W58))</f>
        <v>فروش</v>
      </c>
      <c r="I62" t="str">
        <f>IF(OR($G62="",Sync!$Y58=""),"",Sync!$Y58)</f>
        <v/>
      </c>
      <c r="J62" t="str">
        <f>IF(OR($G62="",Sync!$Z58=""),"",Sync!$Z58)</f>
        <v/>
      </c>
      <c r="K62">
        <f>IF($G62="",0,IF(Sync!$AA58="",0,Sync!$AA58))</f>
        <v>3190</v>
      </c>
      <c r="L62">
        <f>IF($G62="",0,IF(Sync!$AB58="",0,Sync!$AB58))</f>
        <v>0</v>
      </c>
      <c r="M62">
        <f t="shared" si="5"/>
        <v>3190</v>
      </c>
      <c r="N62">
        <f>IF($G62="",0,IF($H62="مرجوعی فروش",-1,1)*IF(Sync!$AC58="",0,Sync!$AC58))</f>
        <v>0</v>
      </c>
      <c r="O62" t="str">
        <f>IF(OR($G62="",Sync!$V58=""),"",Sync!$V58)</f>
        <v/>
      </c>
      <c r="P62" t="str">
        <f>IF(OR($G62="",Sync!$AD58=""),"",Sync!$AD58)</f>
        <v/>
      </c>
      <c r="Q62" t="str">
        <f>IF($G62="","",IF(Sync!$U58="","0000",IF(AND(ISNUMBER(Sync!$U58),Sync!$U58&gt;=0,Sync!$U58&lt;1),RIGHT("00"&amp;HOUR(Sync!$U58),2)&amp;RIGHT("00"&amp;MINUTE(Sync!$U58),2),IFERROR(RIGHT("00"&amp;VALUE(LEFT(Sync!$U58,FIND(":",Sync!$U58)-1)),2)&amp;RIGHT("00"&amp;VALUE(MID(Sync!$U58,FIND(":",Sync!$U58)+1,2)),2),"0000"))))</f>
        <v>0000</v>
      </c>
    </row>
    <row r="63" spans="1:17" x14ac:dyDescent="0.2">
      <c r="A63" t="str">
        <f>IF(Sync!$T59="","",Sync!$T59)</f>
        <v>1405/07/17</v>
      </c>
      <c r="B63">
        <f t="shared" si="0"/>
        <v>1405</v>
      </c>
      <c r="C63">
        <f t="shared" si="1"/>
        <v>7</v>
      </c>
      <c r="D63">
        <f t="shared" si="2"/>
        <v>17</v>
      </c>
      <c r="E63" t="str">
        <f t="shared" si="3"/>
        <v>1405/07/17</v>
      </c>
      <c r="F63" t="str">
        <f t="shared" si="4"/>
        <v>1405/07</v>
      </c>
      <c r="G63" t="str">
        <f>IF(OR($E63="",$E63="نامعتبر",Sync!$X59=""),"",IF(AND(LEFT(UPPER(TRIM(Sync!$X59)),2)="SL",IFERROR(VLOOKUP(Sync!$W59,OpTbl,3,0),"")="فروش"),UPPER(TRIM(Sync!$X59)),""))</f>
        <v/>
      </c>
      <c r="H63" t="str">
        <f>IF($G63="","",IF(Sync!$W59="","",Sync!$W59))</f>
        <v/>
      </c>
      <c r="I63" t="str">
        <f>IF(OR($G63="",Sync!$Y59=""),"",Sync!$Y59)</f>
        <v/>
      </c>
      <c r="J63" t="str">
        <f>IF(OR($G63="",Sync!$Z59=""),"",Sync!$Z59)</f>
        <v/>
      </c>
      <c r="K63">
        <f>IF($G63="",0,IF(Sync!$AA59="",0,Sync!$AA59))</f>
        <v>0</v>
      </c>
      <c r="L63">
        <f>IF($G63="",0,IF(Sync!$AB59="",0,Sync!$AB59))</f>
        <v>0</v>
      </c>
      <c r="M63" t="str">
        <f t="shared" si="5"/>
        <v/>
      </c>
      <c r="N63">
        <f>IF($G63="",0,IF($H63="مرجوعی فروش",-1,1)*IF(Sync!$AC59="",0,Sync!$AC59))</f>
        <v>0</v>
      </c>
      <c r="O63" t="str">
        <f>IF(OR($G63="",Sync!$V59=""),"",Sync!$V59)</f>
        <v/>
      </c>
      <c r="P63" t="str">
        <f>IF(OR($G63="",Sync!$AD59=""),"",Sync!$AD59)</f>
        <v/>
      </c>
      <c r="Q63" t="str">
        <f>IF($G63="","",IF(Sync!$U59="","0000",IF(AND(ISNUMBER(Sync!$U59),Sync!$U59&gt;=0,Sync!$U59&lt;1),RIGHT("00"&amp;HOUR(Sync!$U59),2)&amp;RIGHT("00"&amp;MINUTE(Sync!$U59),2),IFERROR(RIGHT("00"&amp;VALUE(LEFT(Sync!$U59,FIND(":",Sync!$U59)-1)),2)&amp;RIGHT("00"&amp;VALUE(MID(Sync!$U59,FIND(":",Sync!$U59)+1,2)),2),"0000"))))</f>
        <v/>
      </c>
    </row>
    <row r="64" spans="1:17" x14ac:dyDescent="0.2">
      <c r="A64" t="str">
        <f>IF(Sync!$T60="","",Sync!$T60)</f>
        <v>1405/07/17</v>
      </c>
      <c r="B64">
        <f t="shared" si="0"/>
        <v>1405</v>
      </c>
      <c r="C64">
        <f t="shared" si="1"/>
        <v>7</v>
      </c>
      <c r="D64">
        <f t="shared" si="2"/>
        <v>17</v>
      </c>
      <c r="E64" t="str">
        <f t="shared" si="3"/>
        <v>1405/07/17</v>
      </c>
      <c r="F64" t="str">
        <f t="shared" si="4"/>
        <v>1405/07</v>
      </c>
      <c r="G64" t="str">
        <f>IF(OR($E64="",$E64="نامعتبر",Sync!$X60=""),"",IF(AND(LEFT(UPPER(TRIM(Sync!$X60)),2)="SL",IFERROR(VLOOKUP(Sync!$W60,OpTbl,3,0),"")="فروش"),UPPER(TRIM(Sync!$X60)),""))</f>
        <v/>
      </c>
      <c r="H64" t="str">
        <f>IF($G64="","",IF(Sync!$W60="","",Sync!$W60))</f>
        <v/>
      </c>
      <c r="I64" t="str">
        <f>IF(OR($G64="",Sync!$Y60=""),"",Sync!$Y60)</f>
        <v/>
      </c>
      <c r="J64" t="str">
        <f>IF(OR($G64="",Sync!$Z60=""),"",Sync!$Z60)</f>
        <v/>
      </c>
      <c r="K64">
        <f>IF($G64="",0,IF(Sync!$AA60="",0,Sync!$AA60))</f>
        <v>0</v>
      </c>
      <c r="L64">
        <f>IF($G64="",0,IF(Sync!$AB60="",0,Sync!$AB60))</f>
        <v>0</v>
      </c>
      <c r="M64" t="str">
        <f t="shared" si="5"/>
        <v/>
      </c>
      <c r="N64">
        <f>IF($G64="",0,IF($H64="مرجوعی فروش",-1,1)*IF(Sync!$AC60="",0,Sync!$AC60))</f>
        <v>0</v>
      </c>
      <c r="O64" t="str">
        <f>IF(OR($G64="",Sync!$V60=""),"",Sync!$V60)</f>
        <v/>
      </c>
      <c r="P64" t="str">
        <f>IF(OR($G64="",Sync!$AD60=""),"",Sync!$AD60)</f>
        <v/>
      </c>
      <c r="Q64" t="str">
        <f>IF($G64="","",IF(Sync!$U60="","0000",IF(AND(ISNUMBER(Sync!$U60),Sync!$U60&gt;=0,Sync!$U60&lt;1),RIGHT("00"&amp;HOUR(Sync!$U60),2)&amp;RIGHT("00"&amp;MINUTE(Sync!$U60),2),IFERROR(RIGHT("00"&amp;VALUE(LEFT(Sync!$U60,FIND(":",Sync!$U60)-1)),2)&amp;RIGHT("00"&amp;VALUE(MID(Sync!$U60,FIND(":",Sync!$U60)+1,2)),2),"0000"))))</f>
        <v/>
      </c>
    </row>
    <row r="65" spans="1:17" x14ac:dyDescent="0.2">
      <c r="A65" t="str">
        <f>IF(Sync!$T61="","",Sync!$T61)</f>
        <v>1405/07/17</v>
      </c>
      <c r="B65">
        <f t="shared" si="0"/>
        <v>1405</v>
      </c>
      <c r="C65">
        <f t="shared" si="1"/>
        <v>7</v>
      </c>
      <c r="D65">
        <f t="shared" si="2"/>
        <v>17</v>
      </c>
      <c r="E65" t="str">
        <f t="shared" si="3"/>
        <v>1405/07/17</v>
      </c>
      <c r="F65" t="str">
        <f t="shared" si="4"/>
        <v>1405/07</v>
      </c>
      <c r="G65" t="str">
        <f>IF(OR($E65="",$E65="نامعتبر",Sync!$X61=""),"",IF(AND(LEFT(UPPER(TRIM(Sync!$X61)),2)="SL",IFERROR(VLOOKUP(Sync!$W61,OpTbl,3,0),"")="فروش"),UPPER(TRIM(Sync!$X61)),""))</f>
        <v>SL002</v>
      </c>
      <c r="H65" t="str">
        <f>IF($G65="","",IF(Sync!$W61="","",Sync!$W61))</f>
        <v>فروش</v>
      </c>
      <c r="I65" t="str">
        <f>IF(OR($G65="",Sync!$Y61=""),"",Sync!$Y61)</f>
        <v/>
      </c>
      <c r="J65" t="str">
        <f>IF(OR($G65="",Sync!$Z61=""),"",Sync!$Z61)</f>
        <v/>
      </c>
      <c r="K65">
        <f>IF($G65="",0,IF(Sync!$AA61="",0,Sync!$AA61))</f>
        <v>2220</v>
      </c>
      <c r="L65">
        <f>IF($G65="",0,IF(Sync!$AB61="",0,Sync!$AB61))</f>
        <v>0</v>
      </c>
      <c r="M65">
        <f t="shared" si="5"/>
        <v>2220</v>
      </c>
      <c r="N65">
        <f>IF($G65="",0,IF($H65="مرجوعی فروش",-1,1)*IF(Sync!$AC61="",0,Sync!$AC61))</f>
        <v>0</v>
      </c>
      <c r="O65" t="str">
        <f>IF(OR($G65="",Sync!$V61=""),"",Sync!$V61)</f>
        <v/>
      </c>
      <c r="P65" t="str">
        <f>IF(OR($G65="",Sync!$AD61=""),"",Sync!$AD61)</f>
        <v/>
      </c>
      <c r="Q65" t="str">
        <f>IF($G65="","",IF(Sync!$U61="","0000",IF(AND(ISNUMBER(Sync!$U61),Sync!$U61&gt;=0,Sync!$U61&lt;1),RIGHT("00"&amp;HOUR(Sync!$U61),2)&amp;RIGHT("00"&amp;MINUTE(Sync!$U61),2),IFERROR(RIGHT("00"&amp;VALUE(LEFT(Sync!$U61,FIND(":",Sync!$U61)-1)),2)&amp;RIGHT("00"&amp;VALUE(MID(Sync!$U61,FIND(":",Sync!$U61)+1,2)),2),"0000"))))</f>
        <v>0000</v>
      </c>
    </row>
    <row r="66" spans="1:17" x14ac:dyDescent="0.2">
      <c r="A66" t="str">
        <f>IF(Sync!$T62="","",Sync!$T62)</f>
        <v>1405/07/17</v>
      </c>
      <c r="B66">
        <f t="shared" si="0"/>
        <v>1405</v>
      </c>
      <c r="C66">
        <f t="shared" si="1"/>
        <v>7</v>
      </c>
      <c r="D66">
        <f t="shared" si="2"/>
        <v>17</v>
      </c>
      <c r="E66" t="str">
        <f t="shared" si="3"/>
        <v>1405/07/17</v>
      </c>
      <c r="F66" t="str">
        <f t="shared" si="4"/>
        <v>1405/07</v>
      </c>
      <c r="G66" t="str">
        <f>IF(OR($E66="",$E66="نامعتبر",Sync!$X62=""),"",IF(AND(LEFT(UPPER(TRIM(Sync!$X62)),2)="SL",IFERROR(VLOOKUP(Sync!$W62,OpTbl,3,0),"")="فروش"),UPPER(TRIM(Sync!$X62)),""))</f>
        <v/>
      </c>
      <c r="H66" t="str">
        <f>IF($G66="","",IF(Sync!$W62="","",Sync!$W62))</f>
        <v/>
      </c>
      <c r="I66" t="str">
        <f>IF(OR($G66="",Sync!$Y62=""),"",Sync!$Y62)</f>
        <v/>
      </c>
      <c r="J66" t="str">
        <f>IF(OR($G66="",Sync!$Z62=""),"",Sync!$Z62)</f>
        <v/>
      </c>
      <c r="K66">
        <f>IF($G66="",0,IF(Sync!$AA62="",0,Sync!$AA62))</f>
        <v>0</v>
      </c>
      <c r="L66">
        <f>IF($G66="",0,IF(Sync!$AB62="",0,Sync!$AB62))</f>
        <v>0</v>
      </c>
      <c r="M66" t="str">
        <f t="shared" si="5"/>
        <v/>
      </c>
      <c r="N66">
        <f>IF($G66="",0,IF($H66="مرجوعی فروش",-1,1)*IF(Sync!$AC62="",0,Sync!$AC62))</f>
        <v>0</v>
      </c>
      <c r="O66" t="str">
        <f>IF(OR($G66="",Sync!$V62=""),"",Sync!$V62)</f>
        <v/>
      </c>
      <c r="P66" t="str">
        <f>IF(OR($G66="",Sync!$AD62=""),"",Sync!$AD62)</f>
        <v/>
      </c>
      <c r="Q66" t="str">
        <f>IF($G66="","",IF(Sync!$U62="","0000",IF(AND(ISNUMBER(Sync!$U62),Sync!$U62&gt;=0,Sync!$U62&lt;1),RIGHT("00"&amp;HOUR(Sync!$U62),2)&amp;RIGHT("00"&amp;MINUTE(Sync!$U62),2),IFERROR(RIGHT("00"&amp;VALUE(LEFT(Sync!$U62,FIND(":",Sync!$U62)-1)),2)&amp;RIGHT("00"&amp;VALUE(MID(Sync!$U62,FIND(":",Sync!$U62)+1,2)),2),"0000"))))</f>
        <v/>
      </c>
    </row>
    <row r="67" spans="1:17" x14ac:dyDescent="0.2">
      <c r="A67" t="str">
        <f>IF(Sync!$T63="","",Sync!$T63)</f>
        <v>1405/07/17</v>
      </c>
      <c r="B67">
        <f t="shared" si="0"/>
        <v>1405</v>
      </c>
      <c r="C67">
        <f t="shared" si="1"/>
        <v>7</v>
      </c>
      <c r="D67">
        <f t="shared" si="2"/>
        <v>17</v>
      </c>
      <c r="E67" t="str">
        <f t="shared" si="3"/>
        <v>1405/07/17</v>
      </c>
      <c r="F67" t="str">
        <f t="shared" si="4"/>
        <v>1405/07</v>
      </c>
      <c r="G67" t="str">
        <f>IF(OR($E67="",$E67="نامعتبر",Sync!$X63=""),"",IF(AND(LEFT(UPPER(TRIM(Sync!$X63)),2)="SL",IFERROR(VLOOKUP(Sync!$W63,OpTbl,3,0),"")="فروش"),UPPER(TRIM(Sync!$X63)),""))</f>
        <v/>
      </c>
      <c r="H67" t="str">
        <f>IF($G67="","",IF(Sync!$W63="","",Sync!$W63))</f>
        <v/>
      </c>
      <c r="I67" t="str">
        <f>IF(OR($G67="",Sync!$Y63=""),"",Sync!$Y63)</f>
        <v/>
      </c>
      <c r="J67" t="str">
        <f>IF(OR($G67="",Sync!$Z63=""),"",Sync!$Z63)</f>
        <v/>
      </c>
      <c r="K67">
        <f>IF($G67="",0,IF(Sync!$AA63="",0,Sync!$AA63))</f>
        <v>0</v>
      </c>
      <c r="L67">
        <f>IF($G67="",0,IF(Sync!$AB63="",0,Sync!$AB63))</f>
        <v>0</v>
      </c>
      <c r="M67" t="str">
        <f t="shared" si="5"/>
        <v/>
      </c>
      <c r="N67">
        <f>IF($G67="",0,IF($H67="مرجوعی فروش",-1,1)*IF(Sync!$AC63="",0,Sync!$AC63))</f>
        <v>0</v>
      </c>
      <c r="O67" t="str">
        <f>IF(OR($G67="",Sync!$V63=""),"",Sync!$V63)</f>
        <v/>
      </c>
      <c r="P67" t="str">
        <f>IF(OR($G67="",Sync!$AD63=""),"",Sync!$AD63)</f>
        <v/>
      </c>
      <c r="Q67" t="str">
        <f>IF($G67="","",IF(Sync!$U63="","0000",IF(AND(ISNUMBER(Sync!$U63),Sync!$U63&gt;=0,Sync!$U63&lt;1),RIGHT("00"&amp;HOUR(Sync!$U63),2)&amp;RIGHT("00"&amp;MINUTE(Sync!$U63),2),IFERROR(RIGHT("00"&amp;VALUE(LEFT(Sync!$U63,FIND(":",Sync!$U63)-1)),2)&amp;RIGHT("00"&amp;VALUE(MID(Sync!$U63,FIND(":",Sync!$U63)+1,2)),2),"0000"))))</f>
        <v/>
      </c>
    </row>
    <row r="68" spans="1:17" x14ac:dyDescent="0.2">
      <c r="A68" t="str">
        <f>IF(Sync!$T64="","",Sync!$T64)</f>
        <v>1405/07/17</v>
      </c>
      <c r="B68">
        <f t="shared" si="0"/>
        <v>1405</v>
      </c>
      <c r="C68">
        <f t="shared" si="1"/>
        <v>7</v>
      </c>
      <c r="D68">
        <f t="shared" si="2"/>
        <v>17</v>
      </c>
      <c r="E68" t="str">
        <f t="shared" si="3"/>
        <v>1405/07/17</v>
      </c>
      <c r="F68" t="str">
        <f t="shared" si="4"/>
        <v>1405/07</v>
      </c>
      <c r="G68" t="str">
        <f>IF(OR($E68="",$E68="نامعتبر",Sync!$X64=""),"",IF(AND(LEFT(UPPER(TRIM(Sync!$X64)),2)="SL",IFERROR(VLOOKUP(Sync!$W64,OpTbl,3,0),"")="فروش"),UPPER(TRIM(Sync!$X64)),""))</f>
        <v/>
      </c>
      <c r="H68" t="str">
        <f>IF($G68="","",IF(Sync!$W64="","",Sync!$W64))</f>
        <v/>
      </c>
      <c r="I68" t="str">
        <f>IF(OR($G68="",Sync!$Y64=""),"",Sync!$Y64)</f>
        <v/>
      </c>
      <c r="J68" t="str">
        <f>IF(OR($G68="",Sync!$Z64=""),"",Sync!$Z64)</f>
        <v/>
      </c>
      <c r="K68">
        <f>IF($G68="",0,IF(Sync!$AA64="",0,Sync!$AA64))</f>
        <v>0</v>
      </c>
      <c r="L68">
        <f>IF($G68="",0,IF(Sync!$AB64="",0,Sync!$AB64))</f>
        <v>0</v>
      </c>
      <c r="M68" t="str">
        <f t="shared" si="5"/>
        <v/>
      </c>
      <c r="N68">
        <f>IF($G68="",0,IF($H68="مرجوعی فروش",-1,1)*IF(Sync!$AC64="",0,Sync!$AC64))</f>
        <v>0</v>
      </c>
      <c r="O68" t="str">
        <f>IF(OR($G68="",Sync!$V64=""),"",Sync!$V64)</f>
        <v/>
      </c>
      <c r="P68" t="str">
        <f>IF(OR($G68="",Sync!$AD64=""),"",Sync!$AD64)</f>
        <v/>
      </c>
      <c r="Q68" t="str">
        <f>IF($G68="","",IF(Sync!$U64="","0000",IF(AND(ISNUMBER(Sync!$U64),Sync!$U64&gt;=0,Sync!$U64&lt;1),RIGHT("00"&amp;HOUR(Sync!$U64),2)&amp;RIGHT("00"&amp;MINUTE(Sync!$U64),2),IFERROR(RIGHT("00"&amp;VALUE(LEFT(Sync!$U64,FIND(":",Sync!$U64)-1)),2)&amp;RIGHT("00"&amp;VALUE(MID(Sync!$U64,FIND(":",Sync!$U64)+1,2)),2),"0000"))))</f>
        <v/>
      </c>
    </row>
    <row r="69" spans="1:17" x14ac:dyDescent="0.2">
      <c r="A69" t="str">
        <f>IF(Sync!$T65="","",Sync!$T65)</f>
        <v>1405/07/17</v>
      </c>
      <c r="B69">
        <f t="shared" si="0"/>
        <v>1405</v>
      </c>
      <c r="C69">
        <f t="shared" si="1"/>
        <v>7</v>
      </c>
      <c r="D69">
        <f t="shared" si="2"/>
        <v>17</v>
      </c>
      <c r="E69" t="str">
        <f t="shared" si="3"/>
        <v>1405/07/17</v>
      </c>
      <c r="F69" t="str">
        <f t="shared" si="4"/>
        <v>1405/07</v>
      </c>
      <c r="G69" t="str">
        <f>IF(OR($E69="",$E69="نامعتبر",Sync!$X65=""),"",IF(AND(LEFT(UPPER(TRIM(Sync!$X65)),2)="SL",IFERROR(VLOOKUP(Sync!$W65,OpTbl,3,0),"")="فروش"),UPPER(TRIM(Sync!$X65)),""))</f>
        <v/>
      </c>
      <c r="H69" t="str">
        <f>IF($G69="","",IF(Sync!$W65="","",Sync!$W65))</f>
        <v/>
      </c>
      <c r="I69" t="str">
        <f>IF(OR($G69="",Sync!$Y65=""),"",Sync!$Y65)</f>
        <v/>
      </c>
      <c r="J69" t="str">
        <f>IF(OR($G69="",Sync!$Z65=""),"",Sync!$Z65)</f>
        <v/>
      </c>
      <c r="K69">
        <f>IF($G69="",0,IF(Sync!$AA65="",0,Sync!$AA65))</f>
        <v>0</v>
      </c>
      <c r="L69">
        <f>IF($G69="",0,IF(Sync!$AB65="",0,Sync!$AB65))</f>
        <v>0</v>
      </c>
      <c r="M69" t="str">
        <f t="shared" si="5"/>
        <v/>
      </c>
      <c r="N69">
        <f>IF($G69="",0,IF($H69="مرجوعی فروش",-1,1)*IF(Sync!$AC65="",0,Sync!$AC65))</f>
        <v>0</v>
      </c>
      <c r="O69" t="str">
        <f>IF(OR($G69="",Sync!$V65=""),"",Sync!$V65)</f>
        <v/>
      </c>
      <c r="P69" t="str">
        <f>IF(OR($G69="",Sync!$AD65=""),"",Sync!$AD65)</f>
        <v/>
      </c>
      <c r="Q69" t="str">
        <f>IF($G69="","",IF(Sync!$U65="","0000",IF(AND(ISNUMBER(Sync!$U65),Sync!$U65&gt;=0,Sync!$U65&lt;1),RIGHT("00"&amp;HOUR(Sync!$U65),2)&amp;RIGHT("00"&amp;MINUTE(Sync!$U65),2),IFERROR(RIGHT("00"&amp;VALUE(LEFT(Sync!$U65,FIND(":",Sync!$U65)-1)),2)&amp;RIGHT("00"&amp;VALUE(MID(Sync!$U65,FIND(":",Sync!$U65)+1,2)),2),"0000"))))</f>
        <v/>
      </c>
    </row>
    <row r="70" spans="1:17" x14ac:dyDescent="0.2">
      <c r="A70" t="str">
        <f>IF(Sync!$T66="","",Sync!$T66)</f>
        <v>1405/07/17</v>
      </c>
      <c r="B70">
        <f t="shared" si="0"/>
        <v>1405</v>
      </c>
      <c r="C70">
        <f t="shared" si="1"/>
        <v>7</v>
      </c>
      <c r="D70">
        <f t="shared" si="2"/>
        <v>17</v>
      </c>
      <c r="E70" t="str">
        <f t="shared" si="3"/>
        <v>1405/07/17</v>
      </c>
      <c r="F70" t="str">
        <f t="shared" si="4"/>
        <v>1405/07</v>
      </c>
      <c r="G70" t="str">
        <f>IF(OR($E70="",$E70="نامعتبر",Sync!$X66=""),"",IF(AND(LEFT(UPPER(TRIM(Sync!$X66)),2)="SL",IFERROR(VLOOKUP(Sync!$W66,OpTbl,3,0),"")="فروش"),UPPER(TRIM(Sync!$X66)),""))</f>
        <v/>
      </c>
      <c r="H70" t="str">
        <f>IF($G70="","",IF(Sync!$W66="","",Sync!$W66))</f>
        <v/>
      </c>
      <c r="I70" t="str">
        <f>IF(OR($G70="",Sync!$Y66=""),"",Sync!$Y66)</f>
        <v/>
      </c>
      <c r="J70" t="str">
        <f>IF(OR($G70="",Sync!$Z66=""),"",Sync!$Z66)</f>
        <v/>
      </c>
      <c r="K70">
        <f>IF($G70="",0,IF(Sync!$AA66="",0,Sync!$AA66))</f>
        <v>0</v>
      </c>
      <c r="L70">
        <f>IF($G70="",0,IF(Sync!$AB66="",0,Sync!$AB66))</f>
        <v>0</v>
      </c>
      <c r="M70" t="str">
        <f t="shared" si="5"/>
        <v/>
      </c>
      <c r="N70">
        <f>IF($G70="",0,IF($H70="مرجوعی فروش",-1,1)*IF(Sync!$AC66="",0,Sync!$AC66))</f>
        <v>0</v>
      </c>
      <c r="O70" t="str">
        <f>IF(OR($G70="",Sync!$V66=""),"",Sync!$V66)</f>
        <v/>
      </c>
      <c r="P70" t="str">
        <f>IF(OR($G70="",Sync!$AD66=""),"",Sync!$AD66)</f>
        <v/>
      </c>
      <c r="Q70" t="str">
        <f>IF($G70="","",IF(Sync!$U66="","0000",IF(AND(ISNUMBER(Sync!$U66),Sync!$U66&gt;=0,Sync!$U66&lt;1),RIGHT("00"&amp;HOUR(Sync!$U66),2)&amp;RIGHT("00"&amp;MINUTE(Sync!$U66),2),IFERROR(RIGHT("00"&amp;VALUE(LEFT(Sync!$U66,FIND(":",Sync!$U66)-1)),2)&amp;RIGHT("00"&amp;VALUE(MID(Sync!$U66,FIND(":",Sync!$U66)+1,2)),2),"0000"))))</f>
        <v/>
      </c>
    </row>
    <row r="71" spans="1:17" x14ac:dyDescent="0.2">
      <c r="A71" t="str">
        <f>IF(Sync!$T67="","",Sync!$T67)</f>
        <v>1405/07/17</v>
      </c>
      <c r="B71">
        <f t="shared" si="0"/>
        <v>1405</v>
      </c>
      <c r="C71">
        <f t="shared" si="1"/>
        <v>7</v>
      </c>
      <c r="D71">
        <f t="shared" si="2"/>
        <v>17</v>
      </c>
      <c r="E71" t="str">
        <f t="shared" si="3"/>
        <v>1405/07/17</v>
      </c>
      <c r="F71" t="str">
        <f t="shared" si="4"/>
        <v>1405/07</v>
      </c>
      <c r="G71" t="str">
        <f>IF(OR($E71="",$E71="نامعتبر",Sync!$X67=""),"",IF(AND(LEFT(UPPER(TRIM(Sync!$X67)),2)="SL",IFERROR(VLOOKUP(Sync!$W67,OpTbl,3,0),"")="فروش"),UPPER(TRIM(Sync!$X67)),""))</f>
        <v/>
      </c>
      <c r="H71" t="str">
        <f>IF($G71="","",IF(Sync!$W67="","",Sync!$W67))</f>
        <v/>
      </c>
      <c r="I71" t="str">
        <f>IF(OR($G71="",Sync!$Y67=""),"",Sync!$Y67)</f>
        <v/>
      </c>
      <c r="J71" t="str">
        <f>IF(OR($G71="",Sync!$Z67=""),"",Sync!$Z67)</f>
        <v/>
      </c>
      <c r="K71">
        <f>IF($G71="",0,IF(Sync!$AA67="",0,Sync!$AA67))</f>
        <v>0</v>
      </c>
      <c r="L71">
        <f>IF($G71="",0,IF(Sync!$AB67="",0,Sync!$AB67))</f>
        <v>0</v>
      </c>
      <c r="M71" t="str">
        <f t="shared" si="5"/>
        <v/>
      </c>
      <c r="N71">
        <f>IF($G71="",0,IF($H71="مرجوعی فروش",-1,1)*IF(Sync!$AC67="",0,Sync!$AC67))</f>
        <v>0</v>
      </c>
      <c r="O71" t="str">
        <f>IF(OR($G71="",Sync!$V67=""),"",Sync!$V67)</f>
        <v/>
      </c>
      <c r="P71" t="str">
        <f>IF(OR($G71="",Sync!$AD67=""),"",Sync!$AD67)</f>
        <v/>
      </c>
      <c r="Q71" t="str">
        <f>IF($G71="","",IF(Sync!$U67="","0000",IF(AND(ISNUMBER(Sync!$U67),Sync!$U67&gt;=0,Sync!$U67&lt;1),RIGHT("00"&amp;HOUR(Sync!$U67),2)&amp;RIGHT("00"&amp;MINUTE(Sync!$U67),2),IFERROR(RIGHT("00"&amp;VALUE(LEFT(Sync!$U67,FIND(":",Sync!$U67)-1)),2)&amp;RIGHT("00"&amp;VALUE(MID(Sync!$U67,FIND(":",Sync!$U67)+1,2)),2),"0000"))))</f>
        <v/>
      </c>
    </row>
    <row r="72" spans="1:17" x14ac:dyDescent="0.2">
      <c r="A72" t="str">
        <f>IF(Sync!$T68="","",Sync!$T68)</f>
        <v>1405/07/17</v>
      </c>
      <c r="B72">
        <f t="shared" si="0"/>
        <v>1405</v>
      </c>
      <c r="C72">
        <f t="shared" si="1"/>
        <v>7</v>
      </c>
      <c r="D72">
        <f t="shared" si="2"/>
        <v>17</v>
      </c>
      <c r="E72" t="str">
        <f t="shared" si="3"/>
        <v>1405/07/17</v>
      </c>
      <c r="F72" t="str">
        <f t="shared" si="4"/>
        <v>1405/07</v>
      </c>
      <c r="G72" t="str">
        <f>IF(OR($E72="",$E72="نامعتبر",Sync!$X68=""),"",IF(AND(LEFT(UPPER(TRIM(Sync!$X68)),2)="SL",IFERROR(VLOOKUP(Sync!$W68,OpTbl,3,0),"")="فروش"),UPPER(TRIM(Sync!$X68)),""))</f>
        <v/>
      </c>
      <c r="H72" t="str">
        <f>IF($G72="","",IF(Sync!$W68="","",Sync!$W68))</f>
        <v/>
      </c>
      <c r="I72" t="str">
        <f>IF(OR($G72="",Sync!$Y68=""),"",Sync!$Y68)</f>
        <v/>
      </c>
      <c r="J72" t="str">
        <f>IF(OR($G72="",Sync!$Z68=""),"",Sync!$Z68)</f>
        <v/>
      </c>
      <c r="K72">
        <f>IF($G72="",0,IF(Sync!$AA68="",0,Sync!$AA68))</f>
        <v>0</v>
      </c>
      <c r="L72">
        <f>IF($G72="",0,IF(Sync!$AB68="",0,Sync!$AB68))</f>
        <v>0</v>
      </c>
      <c r="M72" t="str">
        <f t="shared" si="5"/>
        <v/>
      </c>
      <c r="N72">
        <f>IF($G72="",0,IF($H72="مرجوعی فروش",-1,1)*IF(Sync!$AC68="",0,Sync!$AC68))</f>
        <v>0</v>
      </c>
      <c r="O72" t="str">
        <f>IF(OR($G72="",Sync!$V68=""),"",Sync!$V68)</f>
        <v/>
      </c>
      <c r="P72" t="str">
        <f>IF(OR($G72="",Sync!$AD68=""),"",Sync!$AD68)</f>
        <v/>
      </c>
      <c r="Q72" t="str">
        <f>IF($G72="","",IF(Sync!$U68="","0000",IF(AND(ISNUMBER(Sync!$U68),Sync!$U68&gt;=0,Sync!$U68&lt;1),RIGHT("00"&amp;HOUR(Sync!$U68),2)&amp;RIGHT("00"&amp;MINUTE(Sync!$U68),2),IFERROR(RIGHT("00"&amp;VALUE(LEFT(Sync!$U68,FIND(":",Sync!$U68)-1)),2)&amp;RIGHT("00"&amp;VALUE(MID(Sync!$U68,FIND(":",Sync!$U68)+1,2)),2),"0000"))))</f>
        <v/>
      </c>
    </row>
    <row r="73" spans="1:17" x14ac:dyDescent="0.2">
      <c r="A73" t="str">
        <f>IF(Sync!$T69="","",Sync!$T69)</f>
        <v>1405/07/17</v>
      </c>
      <c r="B73">
        <f t="shared" si="0"/>
        <v>1405</v>
      </c>
      <c r="C73">
        <f t="shared" si="1"/>
        <v>7</v>
      </c>
      <c r="D73">
        <f t="shared" si="2"/>
        <v>17</v>
      </c>
      <c r="E73" t="str">
        <f t="shared" si="3"/>
        <v>1405/07/17</v>
      </c>
      <c r="F73" t="str">
        <f t="shared" si="4"/>
        <v>1405/07</v>
      </c>
      <c r="G73" t="str">
        <f>IF(OR($E73="",$E73="نامعتبر",Sync!$X69=""),"",IF(AND(LEFT(UPPER(TRIM(Sync!$X69)),2)="SL",IFERROR(VLOOKUP(Sync!$W69,OpTbl,3,0),"")="فروش"),UPPER(TRIM(Sync!$X69)),""))</f>
        <v/>
      </c>
      <c r="H73" t="str">
        <f>IF($G73="","",IF(Sync!$W69="","",Sync!$W69))</f>
        <v/>
      </c>
      <c r="I73" t="str">
        <f>IF(OR($G73="",Sync!$Y69=""),"",Sync!$Y69)</f>
        <v/>
      </c>
      <c r="J73" t="str">
        <f>IF(OR($G73="",Sync!$Z69=""),"",Sync!$Z69)</f>
        <v/>
      </c>
      <c r="K73">
        <f>IF($G73="",0,IF(Sync!$AA69="",0,Sync!$AA69))</f>
        <v>0</v>
      </c>
      <c r="L73">
        <f>IF($G73="",0,IF(Sync!$AB69="",0,Sync!$AB69))</f>
        <v>0</v>
      </c>
      <c r="M73" t="str">
        <f t="shared" si="5"/>
        <v/>
      </c>
      <c r="N73">
        <f>IF($G73="",0,IF($H73="مرجوعی فروش",-1,1)*IF(Sync!$AC69="",0,Sync!$AC69))</f>
        <v>0</v>
      </c>
      <c r="O73" t="str">
        <f>IF(OR($G73="",Sync!$V69=""),"",Sync!$V69)</f>
        <v/>
      </c>
      <c r="P73" t="str">
        <f>IF(OR($G73="",Sync!$AD69=""),"",Sync!$AD69)</f>
        <v/>
      </c>
      <c r="Q73" t="str">
        <f>IF($G73="","",IF(Sync!$U69="","0000",IF(AND(ISNUMBER(Sync!$U69),Sync!$U69&gt;=0,Sync!$U69&lt;1),RIGHT("00"&amp;HOUR(Sync!$U69),2)&amp;RIGHT("00"&amp;MINUTE(Sync!$U69),2),IFERROR(RIGHT("00"&amp;VALUE(LEFT(Sync!$U69,FIND(":",Sync!$U69)-1)),2)&amp;RIGHT("00"&amp;VALUE(MID(Sync!$U69,FIND(":",Sync!$U69)+1,2)),2),"0000"))))</f>
        <v/>
      </c>
    </row>
    <row r="74" spans="1:17" x14ac:dyDescent="0.2">
      <c r="A74" t="str">
        <f>IF(Sync!$T70="","",Sync!$T70)</f>
        <v>1405/07/17</v>
      </c>
      <c r="B74">
        <f t="shared" ref="B74:B137" si="6">IF($A74="","",IF(ISNUMBER($A74),IF(AND($A74&gt;=10000101,$A74&lt;=99991231),INT($A74/10000),""),IFERROR(VALUE(TRIM(LEFT($A74,FIND("/",$A74)-1))),"")))</f>
        <v>1405</v>
      </c>
      <c r="C74">
        <f t="shared" ref="C74:C137" si="7">IF(OR($A74="",$B74=""),"",IF(ISNUMBER($A74),INT(MOD($A74,10000)/100),IFERROR(VALUE(TRIM(LEFT(MID($A74,FIND("/",$A74)+1,20),FIND("/",MID($A74,FIND("/",$A74)+1,20))-1))),"")))</f>
        <v>7</v>
      </c>
      <c r="D74">
        <f t="shared" ref="D74:D137" si="8">IF(OR($A74="",$B74=""),"",IF(ISNUMBER($A74),MOD($A74,100),IFERROR(VALUE(TRIM(MID(MID($A74,FIND("/",$A74)+1,20),FIND("/",MID($A74,FIND("/",$A74)+1,20))+1,20))),"")))</f>
        <v>17</v>
      </c>
      <c r="E74" t="str">
        <f t="shared" ref="E74:E137" si="9">IF($A74="","",IF(OR($B74="",$C74="",$D74="",$B74&lt;1300,$B74&gt;1500,$C74&lt;1,$C74&gt;12,$D74&lt;1,$D74&gt;31),"نامعتبر",RIGHT("0000"&amp;$B74,4)&amp;"/"&amp;RIGHT("00"&amp;$C74,2)&amp;"/"&amp;RIGHT("00"&amp;$D74,2)))</f>
        <v>1405/07/17</v>
      </c>
      <c r="F74" t="str">
        <f t="shared" ref="F74:F137" si="10">IF(OR($E74="",$E74="نامعتبر"),"",LEFT($E74,4)&amp;"/"&amp;MID($E74,6,2))</f>
        <v>1405/07</v>
      </c>
      <c r="G74" t="str">
        <f>IF(OR($E74="",$E74="نامعتبر",Sync!$X70=""),"",IF(AND(LEFT(UPPER(TRIM(Sync!$X70)),2)="SL",IFERROR(VLOOKUP(Sync!$W70,OpTbl,3,0),"")="فروش"),UPPER(TRIM(Sync!$X70)),""))</f>
        <v/>
      </c>
      <c r="H74" t="str">
        <f>IF($G74="","",IF(Sync!$W70="","",Sync!$W70))</f>
        <v/>
      </c>
      <c r="I74" t="str">
        <f>IF(OR($G74="",Sync!$Y70=""),"",Sync!$Y70)</f>
        <v/>
      </c>
      <c r="J74" t="str">
        <f>IF(OR($G74="",Sync!$Z70=""),"",Sync!$Z70)</f>
        <v/>
      </c>
      <c r="K74">
        <f>IF($G74="",0,IF(Sync!$AA70="",0,Sync!$AA70))</f>
        <v>0</v>
      </c>
      <c r="L74">
        <f>IF($G74="",0,IF(Sync!$AB70="",0,Sync!$AB70))</f>
        <v>0</v>
      </c>
      <c r="M74" t="str">
        <f t="shared" ref="M74:M137" si="11">IF($G74="","",IF($H74="مرجوعی فروش",-1,1)*($K74-$L74*IFERROR(VLOOKUP("P01",ParamTbl,3,0),1.5)))</f>
        <v/>
      </c>
      <c r="N74">
        <f>IF($G74="",0,IF($H74="مرجوعی فروش",-1,1)*IF(Sync!$AC70="",0,Sync!$AC70))</f>
        <v>0</v>
      </c>
      <c r="O74" t="str">
        <f>IF(OR($G74="",Sync!$V70=""),"",Sync!$V70)</f>
        <v/>
      </c>
      <c r="P74" t="str">
        <f>IF(OR($G74="",Sync!$AD70=""),"",Sync!$AD70)</f>
        <v/>
      </c>
      <c r="Q74" t="str">
        <f>IF($G74="","",IF(Sync!$U70="","0000",IF(AND(ISNUMBER(Sync!$U70),Sync!$U70&gt;=0,Sync!$U70&lt;1),RIGHT("00"&amp;HOUR(Sync!$U70),2)&amp;RIGHT("00"&amp;MINUTE(Sync!$U70),2),IFERROR(RIGHT("00"&amp;VALUE(LEFT(Sync!$U70,FIND(":",Sync!$U70)-1)),2)&amp;RIGHT("00"&amp;VALUE(MID(Sync!$U70,FIND(":",Sync!$U70)+1,2)),2),"0000"))))</f>
        <v/>
      </c>
    </row>
    <row r="75" spans="1:17" x14ac:dyDescent="0.2">
      <c r="A75" t="str">
        <f>IF(Sync!$T71="","",Sync!$T71)</f>
        <v>1405/07/17</v>
      </c>
      <c r="B75">
        <f t="shared" si="6"/>
        <v>1405</v>
      </c>
      <c r="C75">
        <f t="shared" si="7"/>
        <v>7</v>
      </c>
      <c r="D75">
        <f t="shared" si="8"/>
        <v>17</v>
      </c>
      <c r="E75" t="str">
        <f t="shared" si="9"/>
        <v>1405/07/17</v>
      </c>
      <c r="F75" t="str">
        <f t="shared" si="10"/>
        <v>1405/07</v>
      </c>
      <c r="G75" t="str">
        <f>IF(OR($E75="",$E75="نامعتبر",Sync!$X71=""),"",IF(AND(LEFT(UPPER(TRIM(Sync!$X71)),2)="SL",IFERROR(VLOOKUP(Sync!$W71,OpTbl,3,0),"")="فروش"),UPPER(TRIM(Sync!$X71)),""))</f>
        <v/>
      </c>
      <c r="H75" t="str">
        <f>IF($G75="","",IF(Sync!$W71="","",Sync!$W71))</f>
        <v/>
      </c>
      <c r="I75" t="str">
        <f>IF(OR($G75="",Sync!$Y71=""),"",Sync!$Y71)</f>
        <v/>
      </c>
      <c r="J75" t="str">
        <f>IF(OR($G75="",Sync!$Z71=""),"",Sync!$Z71)</f>
        <v/>
      </c>
      <c r="K75">
        <f>IF($G75="",0,IF(Sync!$AA71="",0,Sync!$AA71))</f>
        <v>0</v>
      </c>
      <c r="L75">
        <f>IF($G75="",0,IF(Sync!$AB71="",0,Sync!$AB71))</f>
        <v>0</v>
      </c>
      <c r="M75" t="str">
        <f t="shared" si="11"/>
        <v/>
      </c>
      <c r="N75">
        <f>IF($G75="",0,IF($H75="مرجوعی فروش",-1,1)*IF(Sync!$AC71="",0,Sync!$AC71))</f>
        <v>0</v>
      </c>
      <c r="O75" t="str">
        <f>IF(OR($G75="",Sync!$V71=""),"",Sync!$V71)</f>
        <v/>
      </c>
      <c r="P75" t="str">
        <f>IF(OR($G75="",Sync!$AD71=""),"",Sync!$AD71)</f>
        <v/>
      </c>
      <c r="Q75" t="str">
        <f>IF($G75="","",IF(Sync!$U71="","0000",IF(AND(ISNUMBER(Sync!$U71),Sync!$U71&gt;=0,Sync!$U71&lt;1),RIGHT("00"&amp;HOUR(Sync!$U71),2)&amp;RIGHT("00"&amp;MINUTE(Sync!$U71),2),IFERROR(RIGHT("00"&amp;VALUE(LEFT(Sync!$U71,FIND(":",Sync!$U71)-1)),2)&amp;RIGHT("00"&amp;VALUE(MID(Sync!$U71,FIND(":",Sync!$U71)+1,2)),2),"0000"))))</f>
        <v/>
      </c>
    </row>
    <row r="76" spans="1:17" x14ac:dyDescent="0.2">
      <c r="A76" t="str">
        <f>IF(Sync!$T72="","",Sync!$T72)</f>
        <v>1405/07/17</v>
      </c>
      <c r="B76">
        <f t="shared" si="6"/>
        <v>1405</v>
      </c>
      <c r="C76">
        <f t="shared" si="7"/>
        <v>7</v>
      </c>
      <c r="D76">
        <f t="shared" si="8"/>
        <v>17</v>
      </c>
      <c r="E76" t="str">
        <f t="shared" si="9"/>
        <v>1405/07/17</v>
      </c>
      <c r="F76" t="str">
        <f t="shared" si="10"/>
        <v>1405/07</v>
      </c>
      <c r="G76" t="str">
        <f>IF(OR($E76="",$E76="نامعتبر",Sync!$X72=""),"",IF(AND(LEFT(UPPER(TRIM(Sync!$X72)),2)="SL",IFERROR(VLOOKUP(Sync!$W72,OpTbl,3,0),"")="فروش"),UPPER(TRIM(Sync!$X72)),""))</f>
        <v/>
      </c>
      <c r="H76" t="str">
        <f>IF($G76="","",IF(Sync!$W72="","",Sync!$W72))</f>
        <v/>
      </c>
      <c r="I76" t="str">
        <f>IF(OR($G76="",Sync!$Y72=""),"",Sync!$Y72)</f>
        <v/>
      </c>
      <c r="J76" t="str">
        <f>IF(OR($G76="",Sync!$Z72=""),"",Sync!$Z72)</f>
        <v/>
      </c>
      <c r="K76">
        <f>IF($G76="",0,IF(Sync!$AA72="",0,Sync!$AA72))</f>
        <v>0</v>
      </c>
      <c r="L76">
        <f>IF($G76="",0,IF(Sync!$AB72="",0,Sync!$AB72))</f>
        <v>0</v>
      </c>
      <c r="M76" t="str">
        <f t="shared" si="11"/>
        <v/>
      </c>
      <c r="N76">
        <f>IF($G76="",0,IF($H76="مرجوعی فروش",-1,1)*IF(Sync!$AC72="",0,Sync!$AC72))</f>
        <v>0</v>
      </c>
      <c r="O76" t="str">
        <f>IF(OR($G76="",Sync!$V72=""),"",Sync!$V72)</f>
        <v/>
      </c>
      <c r="P76" t="str">
        <f>IF(OR($G76="",Sync!$AD72=""),"",Sync!$AD72)</f>
        <v/>
      </c>
      <c r="Q76" t="str">
        <f>IF($G76="","",IF(Sync!$U72="","0000",IF(AND(ISNUMBER(Sync!$U72),Sync!$U72&gt;=0,Sync!$U72&lt;1),RIGHT("00"&amp;HOUR(Sync!$U72),2)&amp;RIGHT("00"&amp;MINUTE(Sync!$U72),2),IFERROR(RIGHT("00"&amp;VALUE(LEFT(Sync!$U72,FIND(":",Sync!$U72)-1)),2)&amp;RIGHT("00"&amp;VALUE(MID(Sync!$U72,FIND(":",Sync!$U72)+1,2)),2),"0000"))))</f>
        <v/>
      </c>
    </row>
    <row r="77" spans="1:17" x14ac:dyDescent="0.2">
      <c r="A77" t="str">
        <f>IF(Sync!$T73="","",Sync!$T73)</f>
        <v>1405/07/17</v>
      </c>
      <c r="B77">
        <f t="shared" si="6"/>
        <v>1405</v>
      </c>
      <c r="C77">
        <f t="shared" si="7"/>
        <v>7</v>
      </c>
      <c r="D77">
        <f t="shared" si="8"/>
        <v>17</v>
      </c>
      <c r="E77" t="str">
        <f t="shared" si="9"/>
        <v>1405/07/17</v>
      </c>
      <c r="F77" t="str">
        <f t="shared" si="10"/>
        <v>1405/07</v>
      </c>
      <c r="G77" t="str">
        <f>IF(OR($E77="",$E77="نامعتبر",Sync!$X73=""),"",IF(AND(LEFT(UPPER(TRIM(Sync!$X73)),2)="SL",IFERROR(VLOOKUP(Sync!$W73,OpTbl,3,0),"")="فروش"),UPPER(TRIM(Sync!$X73)),""))</f>
        <v/>
      </c>
      <c r="H77" t="str">
        <f>IF($G77="","",IF(Sync!$W73="","",Sync!$W73))</f>
        <v/>
      </c>
      <c r="I77" t="str">
        <f>IF(OR($G77="",Sync!$Y73=""),"",Sync!$Y73)</f>
        <v/>
      </c>
      <c r="J77" t="str">
        <f>IF(OR($G77="",Sync!$Z73=""),"",Sync!$Z73)</f>
        <v/>
      </c>
      <c r="K77">
        <f>IF($G77="",0,IF(Sync!$AA73="",0,Sync!$AA73))</f>
        <v>0</v>
      </c>
      <c r="L77">
        <f>IF($G77="",0,IF(Sync!$AB73="",0,Sync!$AB73))</f>
        <v>0</v>
      </c>
      <c r="M77" t="str">
        <f t="shared" si="11"/>
        <v/>
      </c>
      <c r="N77">
        <f>IF($G77="",0,IF($H77="مرجوعی فروش",-1,1)*IF(Sync!$AC73="",0,Sync!$AC73))</f>
        <v>0</v>
      </c>
      <c r="O77" t="str">
        <f>IF(OR($G77="",Sync!$V73=""),"",Sync!$V73)</f>
        <v/>
      </c>
      <c r="P77" t="str">
        <f>IF(OR($G77="",Sync!$AD73=""),"",Sync!$AD73)</f>
        <v/>
      </c>
      <c r="Q77" t="str">
        <f>IF($G77="","",IF(Sync!$U73="","0000",IF(AND(ISNUMBER(Sync!$U73),Sync!$U73&gt;=0,Sync!$U73&lt;1),RIGHT("00"&amp;HOUR(Sync!$U73),2)&amp;RIGHT("00"&amp;MINUTE(Sync!$U73),2),IFERROR(RIGHT("00"&amp;VALUE(LEFT(Sync!$U73,FIND(":",Sync!$U73)-1)),2)&amp;RIGHT("00"&amp;VALUE(MID(Sync!$U73,FIND(":",Sync!$U73)+1,2)),2),"0000"))))</f>
        <v/>
      </c>
    </row>
    <row r="78" spans="1:17" x14ac:dyDescent="0.2">
      <c r="A78" t="str">
        <f>IF(Sync!$T74="","",Sync!$T74)</f>
        <v>1405/07/18</v>
      </c>
      <c r="B78">
        <f t="shared" si="6"/>
        <v>1405</v>
      </c>
      <c r="C78">
        <f t="shared" si="7"/>
        <v>7</v>
      </c>
      <c r="D78">
        <f t="shared" si="8"/>
        <v>18</v>
      </c>
      <c r="E78" t="str">
        <f t="shared" si="9"/>
        <v>1405/07/18</v>
      </c>
      <c r="F78" t="str">
        <f t="shared" si="10"/>
        <v>1405/07</v>
      </c>
      <c r="G78" t="str">
        <f>IF(OR($E78="",$E78="نامعتبر",Sync!$X74=""),"",IF(AND(LEFT(UPPER(TRIM(Sync!$X74)),2)="SL",IFERROR(VLOOKUP(Sync!$W74,OpTbl,3,0),"")="فروش"),UPPER(TRIM(Sync!$X74)),""))</f>
        <v/>
      </c>
      <c r="H78" t="str">
        <f>IF($G78="","",IF(Sync!$W74="","",Sync!$W74))</f>
        <v/>
      </c>
      <c r="I78" t="str">
        <f>IF(OR($G78="",Sync!$Y74=""),"",Sync!$Y74)</f>
        <v/>
      </c>
      <c r="J78" t="str">
        <f>IF(OR($G78="",Sync!$Z74=""),"",Sync!$Z74)</f>
        <v/>
      </c>
      <c r="K78">
        <f>IF($G78="",0,IF(Sync!$AA74="",0,Sync!$AA74))</f>
        <v>0</v>
      </c>
      <c r="L78">
        <f>IF($G78="",0,IF(Sync!$AB74="",0,Sync!$AB74))</f>
        <v>0</v>
      </c>
      <c r="M78" t="str">
        <f t="shared" si="11"/>
        <v/>
      </c>
      <c r="N78">
        <f>IF($G78="",0,IF($H78="مرجوعی فروش",-1,1)*IF(Sync!$AC74="",0,Sync!$AC74))</f>
        <v>0</v>
      </c>
      <c r="O78" t="str">
        <f>IF(OR($G78="",Sync!$V74=""),"",Sync!$V74)</f>
        <v/>
      </c>
      <c r="P78" t="str">
        <f>IF(OR($G78="",Sync!$AD74=""),"",Sync!$AD74)</f>
        <v/>
      </c>
      <c r="Q78" t="str">
        <f>IF($G78="","",IF(Sync!$U74="","0000",IF(AND(ISNUMBER(Sync!$U74),Sync!$U74&gt;=0,Sync!$U74&lt;1),RIGHT("00"&amp;HOUR(Sync!$U74),2)&amp;RIGHT("00"&amp;MINUTE(Sync!$U74),2),IFERROR(RIGHT("00"&amp;VALUE(LEFT(Sync!$U74,FIND(":",Sync!$U74)-1)),2)&amp;RIGHT("00"&amp;VALUE(MID(Sync!$U74,FIND(":",Sync!$U74)+1,2)),2),"0000"))))</f>
        <v/>
      </c>
    </row>
    <row r="79" spans="1:17" x14ac:dyDescent="0.2">
      <c r="A79" t="str">
        <f>IF(Sync!$T75="","",Sync!$T75)</f>
        <v>1405/07/18</v>
      </c>
      <c r="B79">
        <f t="shared" si="6"/>
        <v>1405</v>
      </c>
      <c r="C79">
        <f t="shared" si="7"/>
        <v>7</v>
      </c>
      <c r="D79">
        <f t="shared" si="8"/>
        <v>18</v>
      </c>
      <c r="E79" t="str">
        <f t="shared" si="9"/>
        <v>1405/07/18</v>
      </c>
      <c r="F79" t="str">
        <f t="shared" si="10"/>
        <v>1405/07</v>
      </c>
      <c r="G79" t="str">
        <f>IF(OR($E79="",$E79="نامعتبر",Sync!$X75=""),"",IF(AND(LEFT(UPPER(TRIM(Sync!$X75)),2)="SL",IFERROR(VLOOKUP(Sync!$W75,OpTbl,3,0),"")="فروش"),UPPER(TRIM(Sync!$X75)),""))</f>
        <v/>
      </c>
      <c r="H79" t="str">
        <f>IF($G79="","",IF(Sync!$W75="","",Sync!$W75))</f>
        <v/>
      </c>
      <c r="I79" t="str">
        <f>IF(OR($G79="",Sync!$Y75=""),"",Sync!$Y75)</f>
        <v/>
      </c>
      <c r="J79" t="str">
        <f>IF(OR($G79="",Sync!$Z75=""),"",Sync!$Z75)</f>
        <v/>
      </c>
      <c r="K79">
        <f>IF($G79="",0,IF(Sync!$AA75="",0,Sync!$AA75))</f>
        <v>0</v>
      </c>
      <c r="L79">
        <f>IF($G79="",0,IF(Sync!$AB75="",0,Sync!$AB75))</f>
        <v>0</v>
      </c>
      <c r="M79" t="str">
        <f t="shared" si="11"/>
        <v/>
      </c>
      <c r="N79">
        <f>IF($G79="",0,IF($H79="مرجوعی فروش",-1,1)*IF(Sync!$AC75="",0,Sync!$AC75))</f>
        <v>0</v>
      </c>
      <c r="O79" t="str">
        <f>IF(OR($G79="",Sync!$V75=""),"",Sync!$V75)</f>
        <v/>
      </c>
      <c r="P79" t="str">
        <f>IF(OR($G79="",Sync!$AD75=""),"",Sync!$AD75)</f>
        <v/>
      </c>
      <c r="Q79" t="str">
        <f>IF($G79="","",IF(Sync!$U75="","0000",IF(AND(ISNUMBER(Sync!$U75),Sync!$U75&gt;=0,Sync!$U75&lt;1),RIGHT("00"&amp;HOUR(Sync!$U75),2)&amp;RIGHT("00"&amp;MINUTE(Sync!$U75),2),IFERROR(RIGHT("00"&amp;VALUE(LEFT(Sync!$U75,FIND(":",Sync!$U75)-1)),2)&amp;RIGHT("00"&amp;VALUE(MID(Sync!$U75,FIND(":",Sync!$U75)+1,2)),2),"0000"))))</f>
        <v/>
      </c>
    </row>
    <row r="80" spans="1:17" x14ac:dyDescent="0.2">
      <c r="A80" t="str">
        <f>IF(Sync!$T76="","",Sync!$T76)</f>
        <v>1405/07/18</v>
      </c>
      <c r="B80">
        <f t="shared" si="6"/>
        <v>1405</v>
      </c>
      <c r="C80">
        <f t="shared" si="7"/>
        <v>7</v>
      </c>
      <c r="D80">
        <f t="shared" si="8"/>
        <v>18</v>
      </c>
      <c r="E80" t="str">
        <f t="shared" si="9"/>
        <v>1405/07/18</v>
      </c>
      <c r="F80" t="str">
        <f t="shared" si="10"/>
        <v>1405/07</v>
      </c>
      <c r="G80" t="str">
        <f>IF(OR($E80="",$E80="نامعتبر",Sync!$X76=""),"",IF(AND(LEFT(UPPER(TRIM(Sync!$X76)),2)="SL",IFERROR(VLOOKUP(Sync!$W76,OpTbl,3,0),"")="فروش"),UPPER(TRIM(Sync!$X76)),""))</f>
        <v>SL003</v>
      </c>
      <c r="H80" t="str">
        <f>IF($G80="","",IF(Sync!$W76="","",Sync!$W76))</f>
        <v>فروش</v>
      </c>
      <c r="I80" t="str">
        <f>IF(OR($G80="",Sync!$Y76=""),"",Sync!$Y76)</f>
        <v/>
      </c>
      <c r="J80" t="str">
        <f>IF(OR($G80="",Sync!$Z76=""),"",Sync!$Z76)</f>
        <v/>
      </c>
      <c r="K80">
        <f>IF($G80="",0,IF(Sync!$AA76="",0,Sync!$AA76))</f>
        <v>3045</v>
      </c>
      <c r="L80">
        <f>IF($G80="",0,IF(Sync!$AB76="",0,Sync!$AB76))</f>
        <v>0</v>
      </c>
      <c r="M80">
        <f t="shared" si="11"/>
        <v>3045</v>
      </c>
      <c r="N80">
        <f>IF($G80="",0,IF($H80="مرجوعی فروش",-1,1)*IF(Sync!$AC76="",0,Sync!$AC76))</f>
        <v>0</v>
      </c>
      <c r="O80" t="str">
        <f>IF(OR($G80="",Sync!$V76=""),"",Sync!$V76)</f>
        <v/>
      </c>
      <c r="P80" t="str">
        <f>IF(OR($G80="",Sync!$AD76=""),"",Sync!$AD76)</f>
        <v/>
      </c>
      <c r="Q80" t="str">
        <f>IF($G80="","",IF(Sync!$U76="","0000",IF(AND(ISNUMBER(Sync!$U76),Sync!$U76&gt;=0,Sync!$U76&lt;1),RIGHT("00"&amp;HOUR(Sync!$U76),2)&amp;RIGHT("00"&amp;MINUTE(Sync!$U76),2),IFERROR(RIGHT("00"&amp;VALUE(LEFT(Sync!$U76,FIND(":",Sync!$U76)-1)),2)&amp;RIGHT("00"&amp;VALUE(MID(Sync!$U76,FIND(":",Sync!$U76)+1,2)),2),"0000"))))</f>
        <v>0000</v>
      </c>
    </row>
    <row r="81" spans="1:17" x14ac:dyDescent="0.2">
      <c r="A81" t="str">
        <f>IF(Sync!$T77="","",Sync!$T77)</f>
        <v>1405/07/18</v>
      </c>
      <c r="B81">
        <f t="shared" si="6"/>
        <v>1405</v>
      </c>
      <c r="C81">
        <f t="shared" si="7"/>
        <v>7</v>
      </c>
      <c r="D81">
        <f t="shared" si="8"/>
        <v>18</v>
      </c>
      <c r="E81" t="str">
        <f t="shared" si="9"/>
        <v>1405/07/18</v>
      </c>
      <c r="F81" t="str">
        <f t="shared" si="10"/>
        <v>1405/07</v>
      </c>
      <c r="G81" t="str">
        <f>IF(OR($E81="",$E81="نامعتبر",Sync!$X77=""),"",IF(AND(LEFT(UPPER(TRIM(Sync!$X77)),2)="SL",IFERROR(VLOOKUP(Sync!$W77,OpTbl,3,0),"")="فروش"),UPPER(TRIM(Sync!$X77)),""))</f>
        <v/>
      </c>
      <c r="H81" t="str">
        <f>IF($G81="","",IF(Sync!$W77="","",Sync!$W77))</f>
        <v/>
      </c>
      <c r="I81" t="str">
        <f>IF(OR($G81="",Sync!$Y77=""),"",Sync!$Y77)</f>
        <v/>
      </c>
      <c r="J81" t="str">
        <f>IF(OR($G81="",Sync!$Z77=""),"",Sync!$Z77)</f>
        <v/>
      </c>
      <c r="K81">
        <f>IF($G81="",0,IF(Sync!$AA77="",0,Sync!$AA77))</f>
        <v>0</v>
      </c>
      <c r="L81">
        <f>IF($G81="",0,IF(Sync!$AB77="",0,Sync!$AB77))</f>
        <v>0</v>
      </c>
      <c r="M81" t="str">
        <f t="shared" si="11"/>
        <v/>
      </c>
      <c r="N81">
        <f>IF($G81="",0,IF($H81="مرجوعی فروش",-1,1)*IF(Sync!$AC77="",0,Sync!$AC77))</f>
        <v>0</v>
      </c>
      <c r="O81" t="str">
        <f>IF(OR($G81="",Sync!$V77=""),"",Sync!$V77)</f>
        <v/>
      </c>
      <c r="P81" t="str">
        <f>IF(OR($G81="",Sync!$AD77=""),"",Sync!$AD77)</f>
        <v/>
      </c>
      <c r="Q81" t="str">
        <f>IF($G81="","",IF(Sync!$U77="","0000",IF(AND(ISNUMBER(Sync!$U77),Sync!$U77&gt;=0,Sync!$U77&lt;1),RIGHT("00"&amp;HOUR(Sync!$U77),2)&amp;RIGHT("00"&amp;MINUTE(Sync!$U77),2),IFERROR(RIGHT("00"&amp;VALUE(LEFT(Sync!$U77,FIND(":",Sync!$U77)-1)),2)&amp;RIGHT("00"&amp;VALUE(MID(Sync!$U77,FIND(":",Sync!$U77)+1,2)),2),"0000"))))</f>
        <v/>
      </c>
    </row>
    <row r="82" spans="1:17" x14ac:dyDescent="0.2">
      <c r="A82" t="str">
        <f>IF(Sync!$T78="","",Sync!$T78)</f>
        <v>1405/07/18</v>
      </c>
      <c r="B82">
        <f t="shared" si="6"/>
        <v>1405</v>
      </c>
      <c r="C82">
        <f t="shared" si="7"/>
        <v>7</v>
      </c>
      <c r="D82">
        <f t="shared" si="8"/>
        <v>18</v>
      </c>
      <c r="E82" t="str">
        <f t="shared" si="9"/>
        <v>1405/07/18</v>
      </c>
      <c r="F82" t="str">
        <f t="shared" si="10"/>
        <v>1405/07</v>
      </c>
      <c r="G82" t="str">
        <f>IF(OR($E82="",$E82="نامعتبر",Sync!$X78=""),"",IF(AND(LEFT(UPPER(TRIM(Sync!$X78)),2)="SL",IFERROR(VLOOKUP(Sync!$W78,OpTbl,3,0),"")="فروش"),UPPER(TRIM(Sync!$X78)),""))</f>
        <v>SL001</v>
      </c>
      <c r="H82" t="str">
        <f>IF($G82="","",IF(Sync!$W78="","",Sync!$W78))</f>
        <v>فروش</v>
      </c>
      <c r="I82" t="str">
        <f>IF(OR($G82="",Sync!$Y78=""),"",Sync!$Y78)</f>
        <v/>
      </c>
      <c r="J82" t="str">
        <f>IF(OR($G82="",Sync!$Z78=""),"",Sync!$Z78)</f>
        <v/>
      </c>
      <c r="K82">
        <f>IF($G82="",0,IF(Sync!$AA78="",0,Sync!$AA78))</f>
        <v>2195</v>
      </c>
      <c r="L82">
        <f>IF($G82="",0,IF(Sync!$AB78="",0,Sync!$AB78))</f>
        <v>0</v>
      </c>
      <c r="M82">
        <f t="shared" si="11"/>
        <v>2195</v>
      </c>
      <c r="N82">
        <f>IF($G82="",0,IF($H82="مرجوعی فروش",-1,1)*IF(Sync!$AC78="",0,Sync!$AC78))</f>
        <v>0</v>
      </c>
      <c r="O82" t="str">
        <f>IF(OR($G82="",Sync!$V78=""),"",Sync!$V78)</f>
        <v/>
      </c>
      <c r="P82" t="str">
        <f>IF(OR($G82="",Sync!$AD78=""),"",Sync!$AD78)</f>
        <v/>
      </c>
      <c r="Q82" t="str">
        <f>IF($G82="","",IF(Sync!$U78="","0000",IF(AND(ISNUMBER(Sync!$U78),Sync!$U78&gt;=0,Sync!$U78&lt;1),RIGHT("00"&amp;HOUR(Sync!$U78),2)&amp;RIGHT("00"&amp;MINUTE(Sync!$U78),2),IFERROR(RIGHT("00"&amp;VALUE(LEFT(Sync!$U78,FIND(":",Sync!$U78)-1)),2)&amp;RIGHT("00"&amp;VALUE(MID(Sync!$U78,FIND(":",Sync!$U78)+1,2)),2),"0000"))))</f>
        <v>0000</v>
      </c>
    </row>
    <row r="83" spans="1:17" x14ac:dyDescent="0.2">
      <c r="A83" t="str">
        <f>IF(Sync!$T79="","",Sync!$T79)</f>
        <v>1405/07/18</v>
      </c>
      <c r="B83">
        <f t="shared" si="6"/>
        <v>1405</v>
      </c>
      <c r="C83">
        <f t="shared" si="7"/>
        <v>7</v>
      </c>
      <c r="D83">
        <f t="shared" si="8"/>
        <v>18</v>
      </c>
      <c r="E83" t="str">
        <f t="shared" si="9"/>
        <v>1405/07/18</v>
      </c>
      <c r="F83" t="str">
        <f t="shared" si="10"/>
        <v>1405/07</v>
      </c>
      <c r="G83" t="str">
        <f>IF(OR($E83="",$E83="نامعتبر",Sync!$X79=""),"",IF(AND(LEFT(UPPER(TRIM(Sync!$X79)),2)="SL",IFERROR(VLOOKUP(Sync!$W79,OpTbl,3,0),"")="فروش"),UPPER(TRIM(Sync!$X79)),""))</f>
        <v/>
      </c>
      <c r="H83" t="str">
        <f>IF($G83="","",IF(Sync!$W79="","",Sync!$W79))</f>
        <v/>
      </c>
      <c r="I83" t="str">
        <f>IF(OR($G83="",Sync!$Y79=""),"",Sync!$Y79)</f>
        <v/>
      </c>
      <c r="J83" t="str">
        <f>IF(OR($G83="",Sync!$Z79=""),"",Sync!$Z79)</f>
        <v/>
      </c>
      <c r="K83">
        <f>IF($G83="",0,IF(Sync!$AA79="",0,Sync!$AA79))</f>
        <v>0</v>
      </c>
      <c r="L83">
        <f>IF($G83="",0,IF(Sync!$AB79="",0,Sync!$AB79))</f>
        <v>0</v>
      </c>
      <c r="M83" t="str">
        <f t="shared" si="11"/>
        <v/>
      </c>
      <c r="N83">
        <f>IF($G83="",0,IF($H83="مرجوعی فروش",-1,1)*IF(Sync!$AC79="",0,Sync!$AC79))</f>
        <v>0</v>
      </c>
      <c r="O83" t="str">
        <f>IF(OR($G83="",Sync!$V79=""),"",Sync!$V79)</f>
        <v/>
      </c>
      <c r="P83" t="str">
        <f>IF(OR($G83="",Sync!$AD79=""),"",Sync!$AD79)</f>
        <v/>
      </c>
      <c r="Q83" t="str">
        <f>IF($G83="","",IF(Sync!$U79="","0000",IF(AND(ISNUMBER(Sync!$U79),Sync!$U79&gt;=0,Sync!$U79&lt;1),RIGHT("00"&amp;HOUR(Sync!$U79),2)&amp;RIGHT("00"&amp;MINUTE(Sync!$U79),2),IFERROR(RIGHT("00"&amp;VALUE(LEFT(Sync!$U79,FIND(":",Sync!$U79)-1)),2)&amp;RIGHT("00"&amp;VALUE(MID(Sync!$U79,FIND(":",Sync!$U79)+1,2)),2),"0000"))))</f>
        <v/>
      </c>
    </row>
    <row r="84" spans="1:17" x14ac:dyDescent="0.2">
      <c r="A84" t="str">
        <f>IF(Sync!$T80="","",Sync!$T80)</f>
        <v>1405/07/18</v>
      </c>
      <c r="B84">
        <f t="shared" si="6"/>
        <v>1405</v>
      </c>
      <c r="C84">
        <f t="shared" si="7"/>
        <v>7</v>
      </c>
      <c r="D84">
        <f t="shared" si="8"/>
        <v>18</v>
      </c>
      <c r="E84" t="str">
        <f t="shared" si="9"/>
        <v>1405/07/18</v>
      </c>
      <c r="F84" t="str">
        <f t="shared" si="10"/>
        <v>1405/07</v>
      </c>
      <c r="G84" t="str">
        <f>IF(OR($E84="",$E84="نامعتبر",Sync!$X80=""),"",IF(AND(LEFT(UPPER(TRIM(Sync!$X80)),2)="SL",IFERROR(VLOOKUP(Sync!$W80,OpTbl,3,0),"")="فروش"),UPPER(TRIM(Sync!$X80)),""))</f>
        <v>SL005</v>
      </c>
      <c r="H84" t="str">
        <f>IF($G84="","",IF(Sync!$W80="","",Sync!$W80))</f>
        <v>فروش</v>
      </c>
      <c r="I84" t="str">
        <f>IF(OR($G84="",Sync!$Y80=""),"",Sync!$Y80)</f>
        <v/>
      </c>
      <c r="J84" t="str">
        <f>IF(OR($G84="",Sync!$Z80=""),"",Sync!$Z80)</f>
        <v/>
      </c>
      <c r="K84">
        <f>IF($G84="",0,IF(Sync!$AA80="",0,Sync!$AA80))</f>
        <v>2155</v>
      </c>
      <c r="L84">
        <f>IF($G84="",0,IF(Sync!$AB80="",0,Sync!$AB80))</f>
        <v>0</v>
      </c>
      <c r="M84">
        <f t="shared" si="11"/>
        <v>2155</v>
      </c>
      <c r="N84">
        <f>IF($G84="",0,IF($H84="مرجوعی فروش",-1,1)*IF(Sync!$AC80="",0,Sync!$AC80))</f>
        <v>0</v>
      </c>
      <c r="O84" t="str">
        <f>IF(OR($G84="",Sync!$V80=""),"",Sync!$V80)</f>
        <v/>
      </c>
      <c r="P84" t="str">
        <f>IF(OR($G84="",Sync!$AD80=""),"",Sync!$AD80)</f>
        <v/>
      </c>
      <c r="Q84" t="str">
        <f>IF($G84="","",IF(Sync!$U80="","0000",IF(AND(ISNUMBER(Sync!$U80),Sync!$U80&gt;=0,Sync!$U80&lt;1),RIGHT("00"&amp;HOUR(Sync!$U80),2)&amp;RIGHT("00"&amp;MINUTE(Sync!$U80),2),IFERROR(RIGHT("00"&amp;VALUE(LEFT(Sync!$U80,FIND(":",Sync!$U80)-1)),2)&amp;RIGHT("00"&amp;VALUE(MID(Sync!$U80,FIND(":",Sync!$U80)+1,2)),2),"0000"))))</f>
        <v>0000</v>
      </c>
    </row>
    <row r="85" spans="1:17" x14ac:dyDescent="0.2">
      <c r="A85" t="str">
        <f>IF(Sync!$T81="","",Sync!$T81)</f>
        <v>1405/07/18</v>
      </c>
      <c r="B85">
        <f t="shared" si="6"/>
        <v>1405</v>
      </c>
      <c r="C85">
        <f t="shared" si="7"/>
        <v>7</v>
      </c>
      <c r="D85">
        <f t="shared" si="8"/>
        <v>18</v>
      </c>
      <c r="E85" t="str">
        <f t="shared" si="9"/>
        <v>1405/07/18</v>
      </c>
      <c r="F85" t="str">
        <f t="shared" si="10"/>
        <v>1405/07</v>
      </c>
      <c r="G85" t="str">
        <f>IF(OR($E85="",$E85="نامعتبر",Sync!$X81=""),"",IF(AND(LEFT(UPPER(TRIM(Sync!$X81)),2)="SL",IFERROR(VLOOKUP(Sync!$W81,OpTbl,3,0),"")="فروش"),UPPER(TRIM(Sync!$X81)),""))</f>
        <v/>
      </c>
      <c r="H85" t="str">
        <f>IF($G85="","",IF(Sync!$W81="","",Sync!$W81))</f>
        <v/>
      </c>
      <c r="I85" t="str">
        <f>IF(OR($G85="",Sync!$Y81=""),"",Sync!$Y81)</f>
        <v/>
      </c>
      <c r="J85" t="str">
        <f>IF(OR($G85="",Sync!$Z81=""),"",Sync!$Z81)</f>
        <v/>
      </c>
      <c r="K85">
        <f>IF($G85="",0,IF(Sync!$AA81="",0,Sync!$AA81))</f>
        <v>0</v>
      </c>
      <c r="L85">
        <f>IF($G85="",0,IF(Sync!$AB81="",0,Sync!$AB81))</f>
        <v>0</v>
      </c>
      <c r="M85" t="str">
        <f t="shared" si="11"/>
        <v/>
      </c>
      <c r="N85">
        <f>IF($G85="",0,IF($H85="مرجوعی فروش",-1,1)*IF(Sync!$AC81="",0,Sync!$AC81))</f>
        <v>0</v>
      </c>
      <c r="O85" t="str">
        <f>IF(OR($G85="",Sync!$V81=""),"",Sync!$V81)</f>
        <v/>
      </c>
      <c r="P85" t="str">
        <f>IF(OR($G85="",Sync!$AD81=""),"",Sync!$AD81)</f>
        <v/>
      </c>
      <c r="Q85" t="str">
        <f>IF($G85="","",IF(Sync!$U81="","0000",IF(AND(ISNUMBER(Sync!$U81),Sync!$U81&gt;=0,Sync!$U81&lt;1),RIGHT("00"&amp;HOUR(Sync!$U81),2)&amp;RIGHT("00"&amp;MINUTE(Sync!$U81),2),IFERROR(RIGHT("00"&amp;VALUE(LEFT(Sync!$U81,FIND(":",Sync!$U81)-1)),2)&amp;RIGHT("00"&amp;VALUE(MID(Sync!$U81,FIND(":",Sync!$U81)+1,2)),2),"0000"))))</f>
        <v/>
      </c>
    </row>
    <row r="86" spans="1:17" x14ac:dyDescent="0.2">
      <c r="A86" t="str">
        <f>IF(Sync!$T82="","",Sync!$T82)</f>
        <v>1405/07/19</v>
      </c>
      <c r="B86">
        <f t="shared" si="6"/>
        <v>1405</v>
      </c>
      <c r="C86">
        <f t="shared" si="7"/>
        <v>7</v>
      </c>
      <c r="D86">
        <f t="shared" si="8"/>
        <v>19</v>
      </c>
      <c r="E86" t="str">
        <f t="shared" si="9"/>
        <v>1405/07/19</v>
      </c>
      <c r="F86" t="str">
        <f t="shared" si="10"/>
        <v>1405/07</v>
      </c>
      <c r="G86" t="str">
        <f>IF(OR($E86="",$E86="نامعتبر",Sync!$X82=""),"",IF(AND(LEFT(UPPER(TRIM(Sync!$X82)),2)="SL",IFERROR(VLOOKUP(Sync!$W82,OpTbl,3,0),"")="فروش"),UPPER(TRIM(Sync!$X82)),""))</f>
        <v/>
      </c>
      <c r="H86" t="str">
        <f>IF($G86="","",IF(Sync!$W82="","",Sync!$W82))</f>
        <v/>
      </c>
      <c r="I86" t="str">
        <f>IF(OR($G86="",Sync!$Y82=""),"",Sync!$Y82)</f>
        <v/>
      </c>
      <c r="J86" t="str">
        <f>IF(OR($G86="",Sync!$Z82=""),"",Sync!$Z82)</f>
        <v/>
      </c>
      <c r="K86">
        <f>IF($G86="",0,IF(Sync!$AA82="",0,Sync!$AA82))</f>
        <v>0</v>
      </c>
      <c r="L86">
        <f>IF($G86="",0,IF(Sync!$AB82="",0,Sync!$AB82))</f>
        <v>0</v>
      </c>
      <c r="M86" t="str">
        <f t="shared" si="11"/>
        <v/>
      </c>
      <c r="N86">
        <f>IF($G86="",0,IF($H86="مرجوعی فروش",-1,1)*IF(Sync!$AC82="",0,Sync!$AC82))</f>
        <v>0</v>
      </c>
      <c r="O86" t="str">
        <f>IF(OR($G86="",Sync!$V82=""),"",Sync!$V82)</f>
        <v/>
      </c>
      <c r="P86" t="str">
        <f>IF(OR($G86="",Sync!$AD82=""),"",Sync!$AD82)</f>
        <v/>
      </c>
      <c r="Q86" t="str">
        <f>IF($G86="","",IF(Sync!$U82="","0000",IF(AND(ISNUMBER(Sync!$U82),Sync!$U82&gt;=0,Sync!$U82&lt;1),RIGHT("00"&amp;HOUR(Sync!$U82),2)&amp;RIGHT("00"&amp;MINUTE(Sync!$U82),2),IFERROR(RIGHT("00"&amp;VALUE(LEFT(Sync!$U82,FIND(":",Sync!$U82)-1)),2)&amp;RIGHT("00"&amp;VALUE(MID(Sync!$U82,FIND(":",Sync!$U82)+1,2)),2),"0000"))))</f>
        <v/>
      </c>
    </row>
    <row r="87" spans="1:17" x14ac:dyDescent="0.2">
      <c r="A87" t="str">
        <f>IF(Sync!$T83="","",Sync!$T83)</f>
        <v>1405/07/19</v>
      </c>
      <c r="B87">
        <f t="shared" si="6"/>
        <v>1405</v>
      </c>
      <c r="C87">
        <f t="shared" si="7"/>
        <v>7</v>
      </c>
      <c r="D87">
        <f t="shared" si="8"/>
        <v>19</v>
      </c>
      <c r="E87" t="str">
        <f t="shared" si="9"/>
        <v>1405/07/19</v>
      </c>
      <c r="F87" t="str">
        <f t="shared" si="10"/>
        <v>1405/07</v>
      </c>
      <c r="G87" t="str">
        <f>IF(OR($E87="",$E87="نامعتبر",Sync!$X83=""),"",IF(AND(LEFT(UPPER(TRIM(Sync!$X83)),2)="SL",IFERROR(VLOOKUP(Sync!$W83,OpTbl,3,0),"")="فروش"),UPPER(TRIM(Sync!$X83)),""))</f>
        <v>SL005</v>
      </c>
      <c r="H87" t="str">
        <f>IF($G87="","",IF(Sync!$W83="","",Sync!$W83))</f>
        <v>فروش</v>
      </c>
      <c r="I87" t="str">
        <f>IF(OR($G87="",Sync!$Y83=""),"",Sync!$Y83)</f>
        <v/>
      </c>
      <c r="J87" t="str">
        <f>IF(OR($G87="",Sync!$Z83=""),"",Sync!$Z83)</f>
        <v/>
      </c>
      <c r="K87">
        <f>IF($G87="",0,IF(Sync!$AA83="",0,Sync!$AA83))</f>
        <v>2975</v>
      </c>
      <c r="L87">
        <f>IF($G87="",0,IF(Sync!$AB83="",0,Sync!$AB83))</f>
        <v>0</v>
      </c>
      <c r="M87">
        <f t="shared" si="11"/>
        <v>2975</v>
      </c>
      <c r="N87">
        <f>IF($G87="",0,IF($H87="مرجوعی فروش",-1,1)*IF(Sync!$AC83="",0,Sync!$AC83))</f>
        <v>0</v>
      </c>
      <c r="O87" t="str">
        <f>IF(OR($G87="",Sync!$V83=""),"",Sync!$V83)</f>
        <v/>
      </c>
      <c r="P87" t="str">
        <f>IF(OR($G87="",Sync!$AD83=""),"",Sync!$AD83)</f>
        <v/>
      </c>
      <c r="Q87" t="str">
        <f>IF($G87="","",IF(Sync!$U83="","0000",IF(AND(ISNUMBER(Sync!$U83),Sync!$U83&gt;=0,Sync!$U83&lt;1),RIGHT("00"&amp;HOUR(Sync!$U83),2)&amp;RIGHT("00"&amp;MINUTE(Sync!$U83),2),IFERROR(RIGHT("00"&amp;VALUE(LEFT(Sync!$U83,FIND(":",Sync!$U83)-1)),2)&amp;RIGHT("00"&amp;VALUE(MID(Sync!$U83,FIND(":",Sync!$U83)+1,2)),2),"0000"))))</f>
        <v>0000</v>
      </c>
    </row>
    <row r="88" spans="1:17" x14ac:dyDescent="0.2">
      <c r="A88" t="str">
        <f>IF(Sync!$T84="","",Sync!$T84)</f>
        <v>1405/07/19</v>
      </c>
      <c r="B88">
        <f t="shared" si="6"/>
        <v>1405</v>
      </c>
      <c r="C88">
        <f t="shared" si="7"/>
        <v>7</v>
      </c>
      <c r="D88">
        <f t="shared" si="8"/>
        <v>19</v>
      </c>
      <c r="E88" t="str">
        <f t="shared" si="9"/>
        <v>1405/07/19</v>
      </c>
      <c r="F88" t="str">
        <f t="shared" si="10"/>
        <v>1405/07</v>
      </c>
      <c r="G88" t="str">
        <f>IF(OR($E88="",$E88="نامعتبر",Sync!$X84=""),"",IF(AND(LEFT(UPPER(TRIM(Sync!$X84)),2)="SL",IFERROR(VLOOKUP(Sync!$W84,OpTbl,3,0),"")="فروش"),UPPER(TRIM(Sync!$X84)),""))</f>
        <v/>
      </c>
      <c r="H88" t="str">
        <f>IF($G88="","",IF(Sync!$W84="","",Sync!$W84))</f>
        <v/>
      </c>
      <c r="I88" t="str">
        <f>IF(OR($G88="",Sync!$Y84=""),"",Sync!$Y84)</f>
        <v/>
      </c>
      <c r="J88" t="str">
        <f>IF(OR($G88="",Sync!$Z84=""),"",Sync!$Z84)</f>
        <v/>
      </c>
      <c r="K88">
        <f>IF($G88="",0,IF(Sync!$AA84="",0,Sync!$AA84))</f>
        <v>0</v>
      </c>
      <c r="L88">
        <f>IF($G88="",0,IF(Sync!$AB84="",0,Sync!$AB84))</f>
        <v>0</v>
      </c>
      <c r="M88" t="str">
        <f t="shared" si="11"/>
        <v/>
      </c>
      <c r="N88">
        <f>IF($G88="",0,IF($H88="مرجوعی فروش",-1,1)*IF(Sync!$AC84="",0,Sync!$AC84))</f>
        <v>0</v>
      </c>
      <c r="O88" t="str">
        <f>IF(OR($G88="",Sync!$V84=""),"",Sync!$V84)</f>
        <v/>
      </c>
      <c r="P88" t="str">
        <f>IF(OR($G88="",Sync!$AD84=""),"",Sync!$AD84)</f>
        <v/>
      </c>
      <c r="Q88" t="str">
        <f>IF($G88="","",IF(Sync!$U84="","0000",IF(AND(ISNUMBER(Sync!$U84),Sync!$U84&gt;=0,Sync!$U84&lt;1),RIGHT("00"&amp;HOUR(Sync!$U84),2)&amp;RIGHT("00"&amp;MINUTE(Sync!$U84),2),IFERROR(RIGHT("00"&amp;VALUE(LEFT(Sync!$U84,FIND(":",Sync!$U84)-1)),2)&amp;RIGHT("00"&amp;VALUE(MID(Sync!$U84,FIND(":",Sync!$U84)+1,2)),2),"0000"))))</f>
        <v/>
      </c>
    </row>
    <row r="89" spans="1:17" x14ac:dyDescent="0.2">
      <c r="A89" t="str">
        <f>IF(Sync!$T85="","",Sync!$T85)</f>
        <v>1405/07/19</v>
      </c>
      <c r="B89">
        <f t="shared" si="6"/>
        <v>1405</v>
      </c>
      <c r="C89">
        <f t="shared" si="7"/>
        <v>7</v>
      </c>
      <c r="D89">
        <f t="shared" si="8"/>
        <v>19</v>
      </c>
      <c r="E89" t="str">
        <f t="shared" si="9"/>
        <v>1405/07/19</v>
      </c>
      <c r="F89" t="str">
        <f t="shared" si="10"/>
        <v>1405/07</v>
      </c>
      <c r="G89" t="str">
        <f>IF(OR($E89="",$E89="نامعتبر",Sync!$X85=""),"",IF(AND(LEFT(UPPER(TRIM(Sync!$X85)),2)="SL",IFERROR(VLOOKUP(Sync!$W85,OpTbl,3,0),"")="فروش"),UPPER(TRIM(Sync!$X85)),""))</f>
        <v/>
      </c>
      <c r="H89" t="str">
        <f>IF($G89="","",IF(Sync!$W85="","",Sync!$W85))</f>
        <v/>
      </c>
      <c r="I89" t="str">
        <f>IF(OR($G89="",Sync!$Y85=""),"",Sync!$Y85)</f>
        <v/>
      </c>
      <c r="J89" t="str">
        <f>IF(OR($G89="",Sync!$Z85=""),"",Sync!$Z85)</f>
        <v/>
      </c>
      <c r="K89">
        <f>IF($G89="",0,IF(Sync!$AA85="",0,Sync!$AA85))</f>
        <v>0</v>
      </c>
      <c r="L89">
        <f>IF($G89="",0,IF(Sync!$AB85="",0,Sync!$AB85))</f>
        <v>0</v>
      </c>
      <c r="M89" t="str">
        <f t="shared" si="11"/>
        <v/>
      </c>
      <c r="N89">
        <f>IF($G89="",0,IF($H89="مرجوعی فروش",-1,1)*IF(Sync!$AC85="",0,Sync!$AC85))</f>
        <v>0</v>
      </c>
      <c r="O89" t="str">
        <f>IF(OR($G89="",Sync!$V85=""),"",Sync!$V85)</f>
        <v/>
      </c>
      <c r="P89" t="str">
        <f>IF(OR($G89="",Sync!$AD85=""),"",Sync!$AD85)</f>
        <v/>
      </c>
      <c r="Q89" t="str">
        <f>IF($G89="","",IF(Sync!$U85="","0000",IF(AND(ISNUMBER(Sync!$U85),Sync!$U85&gt;=0,Sync!$U85&lt;1),RIGHT("00"&amp;HOUR(Sync!$U85),2)&amp;RIGHT("00"&amp;MINUTE(Sync!$U85),2),IFERROR(RIGHT("00"&amp;VALUE(LEFT(Sync!$U85,FIND(":",Sync!$U85)-1)),2)&amp;RIGHT("00"&amp;VALUE(MID(Sync!$U85,FIND(":",Sync!$U85)+1,2)),2),"0000"))))</f>
        <v/>
      </c>
    </row>
    <row r="90" spans="1:17" x14ac:dyDescent="0.2">
      <c r="A90" t="str">
        <f>IF(Sync!$T86="","",Sync!$T86)</f>
        <v>1405/07/19</v>
      </c>
      <c r="B90">
        <f t="shared" si="6"/>
        <v>1405</v>
      </c>
      <c r="C90">
        <f t="shared" si="7"/>
        <v>7</v>
      </c>
      <c r="D90">
        <f t="shared" si="8"/>
        <v>19</v>
      </c>
      <c r="E90" t="str">
        <f t="shared" si="9"/>
        <v>1405/07/19</v>
      </c>
      <c r="F90" t="str">
        <f t="shared" si="10"/>
        <v>1405/07</v>
      </c>
      <c r="G90" t="str">
        <f>IF(OR($E90="",$E90="نامعتبر",Sync!$X86=""),"",IF(AND(LEFT(UPPER(TRIM(Sync!$X86)),2)="SL",IFERROR(VLOOKUP(Sync!$W86,OpTbl,3,0),"")="فروش"),UPPER(TRIM(Sync!$X86)),""))</f>
        <v>SL003</v>
      </c>
      <c r="H90" t="str">
        <f>IF($G90="","",IF(Sync!$W86="","",Sync!$W86))</f>
        <v>فروش</v>
      </c>
      <c r="I90" t="str">
        <f>IF(OR($G90="",Sync!$Y86=""),"",Sync!$Y86)</f>
        <v/>
      </c>
      <c r="J90" t="str">
        <f>IF(OR($G90="",Sync!$Z86=""),"",Sync!$Z86)</f>
        <v/>
      </c>
      <c r="K90">
        <f>IF($G90="",0,IF(Sync!$AA86="",0,Sync!$AA86))</f>
        <v>3105</v>
      </c>
      <c r="L90">
        <f>IF($G90="",0,IF(Sync!$AB86="",0,Sync!$AB86))</f>
        <v>0</v>
      </c>
      <c r="M90">
        <f t="shared" si="11"/>
        <v>3105</v>
      </c>
      <c r="N90">
        <f>IF($G90="",0,IF($H90="مرجوعی فروش",-1,1)*IF(Sync!$AC86="",0,Sync!$AC86))</f>
        <v>0</v>
      </c>
      <c r="O90" t="str">
        <f>IF(OR($G90="",Sync!$V86=""),"",Sync!$V86)</f>
        <v/>
      </c>
      <c r="P90" t="str">
        <f>IF(OR($G90="",Sync!$AD86=""),"",Sync!$AD86)</f>
        <v/>
      </c>
      <c r="Q90" t="str">
        <f>IF($G90="","",IF(Sync!$U86="","0000",IF(AND(ISNUMBER(Sync!$U86),Sync!$U86&gt;=0,Sync!$U86&lt;1),RIGHT("00"&amp;HOUR(Sync!$U86),2)&amp;RIGHT("00"&amp;MINUTE(Sync!$U86),2),IFERROR(RIGHT("00"&amp;VALUE(LEFT(Sync!$U86,FIND(":",Sync!$U86)-1)),2)&amp;RIGHT("00"&amp;VALUE(MID(Sync!$U86,FIND(":",Sync!$U86)+1,2)),2),"0000"))))</f>
        <v>0000</v>
      </c>
    </row>
    <row r="91" spans="1:17" x14ac:dyDescent="0.2">
      <c r="A91" t="str">
        <f>IF(Sync!$T87="","",Sync!$T87)</f>
        <v>1405/07/19</v>
      </c>
      <c r="B91">
        <f t="shared" si="6"/>
        <v>1405</v>
      </c>
      <c r="C91">
        <f t="shared" si="7"/>
        <v>7</v>
      </c>
      <c r="D91">
        <f t="shared" si="8"/>
        <v>19</v>
      </c>
      <c r="E91" t="str">
        <f t="shared" si="9"/>
        <v>1405/07/19</v>
      </c>
      <c r="F91" t="str">
        <f t="shared" si="10"/>
        <v>1405/07</v>
      </c>
      <c r="G91" t="str">
        <f>IF(OR($E91="",$E91="نامعتبر",Sync!$X87=""),"",IF(AND(LEFT(UPPER(TRIM(Sync!$X87)),2)="SL",IFERROR(VLOOKUP(Sync!$W87,OpTbl,3,0),"")="فروش"),UPPER(TRIM(Sync!$X87)),""))</f>
        <v/>
      </c>
      <c r="H91" t="str">
        <f>IF($G91="","",IF(Sync!$W87="","",Sync!$W87))</f>
        <v/>
      </c>
      <c r="I91" t="str">
        <f>IF(OR($G91="",Sync!$Y87=""),"",Sync!$Y87)</f>
        <v/>
      </c>
      <c r="J91" t="str">
        <f>IF(OR($G91="",Sync!$Z87=""),"",Sync!$Z87)</f>
        <v/>
      </c>
      <c r="K91">
        <f>IF($G91="",0,IF(Sync!$AA87="",0,Sync!$AA87))</f>
        <v>0</v>
      </c>
      <c r="L91">
        <f>IF($G91="",0,IF(Sync!$AB87="",0,Sync!$AB87))</f>
        <v>0</v>
      </c>
      <c r="M91" t="str">
        <f t="shared" si="11"/>
        <v/>
      </c>
      <c r="N91">
        <f>IF($G91="",0,IF($H91="مرجوعی فروش",-1,1)*IF(Sync!$AC87="",0,Sync!$AC87))</f>
        <v>0</v>
      </c>
      <c r="O91" t="str">
        <f>IF(OR($G91="",Sync!$V87=""),"",Sync!$V87)</f>
        <v/>
      </c>
      <c r="P91" t="str">
        <f>IF(OR($G91="",Sync!$AD87=""),"",Sync!$AD87)</f>
        <v/>
      </c>
      <c r="Q91" t="str">
        <f>IF($G91="","",IF(Sync!$U87="","0000",IF(AND(ISNUMBER(Sync!$U87),Sync!$U87&gt;=0,Sync!$U87&lt;1),RIGHT("00"&amp;HOUR(Sync!$U87),2)&amp;RIGHT("00"&amp;MINUTE(Sync!$U87),2),IFERROR(RIGHT("00"&amp;VALUE(LEFT(Sync!$U87,FIND(":",Sync!$U87)-1)),2)&amp;RIGHT("00"&amp;VALUE(MID(Sync!$U87,FIND(":",Sync!$U87)+1,2)),2),"0000"))))</f>
        <v/>
      </c>
    </row>
    <row r="92" spans="1:17" x14ac:dyDescent="0.2">
      <c r="A92" t="str">
        <f>IF(Sync!$T88="","",Sync!$T88)</f>
        <v>1405/07/19</v>
      </c>
      <c r="B92">
        <f t="shared" si="6"/>
        <v>1405</v>
      </c>
      <c r="C92">
        <f t="shared" si="7"/>
        <v>7</v>
      </c>
      <c r="D92">
        <f t="shared" si="8"/>
        <v>19</v>
      </c>
      <c r="E92" t="str">
        <f t="shared" si="9"/>
        <v>1405/07/19</v>
      </c>
      <c r="F92" t="str">
        <f t="shared" si="10"/>
        <v>1405/07</v>
      </c>
      <c r="G92" t="str">
        <f>IF(OR($E92="",$E92="نامعتبر",Sync!$X88=""),"",IF(AND(LEFT(UPPER(TRIM(Sync!$X88)),2)="SL",IFERROR(VLOOKUP(Sync!$W88,OpTbl,3,0),"")="فروش"),UPPER(TRIM(Sync!$X88)),""))</f>
        <v>SL001</v>
      </c>
      <c r="H92" t="str">
        <f>IF($G92="","",IF(Sync!$W88="","",Sync!$W88))</f>
        <v>فروش</v>
      </c>
      <c r="I92" t="str">
        <f>IF(OR($G92="",Sync!$Y88=""),"",Sync!$Y88)</f>
        <v/>
      </c>
      <c r="J92" t="str">
        <f>IF(OR($G92="",Sync!$Z88=""),"",Sync!$Z88)</f>
        <v/>
      </c>
      <c r="K92">
        <f>IF($G92="",0,IF(Sync!$AA88="",0,Sync!$AA88))</f>
        <v>3025</v>
      </c>
      <c r="L92">
        <f>IF($G92="",0,IF(Sync!$AB88="",0,Sync!$AB88))</f>
        <v>0</v>
      </c>
      <c r="M92">
        <f t="shared" si="11"/>
        <v>3025</v>
      </c>
      <c r="N92">
        <f>IF($G92="",0,IF($H92="مرجوعی فروش",-1,1)*IF(Sync!$AC88="",0,Sync!$AC88))</f>
        <v>0</v>
      </c>
      <c r="O92" t="str">
        <f>IF(OR($G92="",Sync!$V88=""),"",Sync!$V88)</f>
        <v/>
      </c>
      <c r="P92" t="str">
        <f>IF(OR($G92="",Sync!$AD88=""),"",Sync!$AD88)</f>
        <v/>
      </c>
      <c r="Q92" t="str">
        <f>IF($G92="","",IF(Sync!$U88="","0000",IF(AND(ISNUMBER(Sync!$U88),Sync!$U88&gt;=0,Sync!$U88&lt;1),RIGHT("00"&amp;HOUR(Sync!$U88),2)&amp;RIGHT("00"&amp;MINUTE(Sync!$U88),2),IFERROR(RIGHT("00"&amp;VALUE(LEFT(Sync!$U88,FIND(":",Sync!$U88)-1)),2)&amp;RIGHT("00"&amp;VALUE(MID(Sync!$U88,FIND(":",Sync!$U88)+1,2)),2),"0000"))))</f>
        <v>0000</v>
      </c>
    </row>
    <row r="93" spans="1:17" x14ac:dyDescent="0.2">
      <c r="A93" t="str">
        <f>IF(Sync!$T89="","",Sync!$T89)</f>
        <v>1405/07/20</v>
      </c>
      <c r="B93">
        <f t="shared" si="6"/>
        <v>1405</v>
      </c>
      <c r="C93">
        <f t="shared" si="7"/>
        <v>7</v>
      </c>
      <c r="D93">
        <f t="shared" si="8"/>
        <v>20</v>
      </c>
      <c r="E93" t="str">
        <f t="shared" si="9"/>
        <v>1405/07/20</v>
      </c>
      <c r="F93" t="str">
        <f t="shared" si="10"/>
        <v>1405/07</v>
      </c>
      <c r="G93" t="str">
        <f>IF(OR($E93="",$E93="نامعتبر",Sync!$X89=""),"",IF(AND(LEFT(UPPER(TRIM(Sync!$X89)),2)="SL",IFERROR(VLOOKUP(Sync!$W89,OpTbl,3,0),"")="فروش"),UPPER(TRIM(Sync!$X89)),""))</f>
        <v/>
      </c>
      <c r="H93" t="str">
        <f>IF($G93="","",IF(Sync!$W89="","",Sync!$W89))</f>
        <v/>
      </c>
      <c r="I93" t="str">
        <f>IF(OR($G93="",Sync!$Y89=""),"",Sync!$Y89)</f>
        <v/>
      </c>
      <c r="J93" t="str">
        <f>IF(OR($G93="",Sync!$Z89=""),"",Sync!$Z89)</f>
        <v/>
      </c>
      <c r="K93">
        <f>IF($G93="",0,IF(Sync!$AA89="",0,Sync!$AA89))</f>
        <v>0</v>
      </c>
      <c r="L93">
        <f>IF($G93="",0,IF(Sync!$AB89="",0,Sync!$AB89))</f>
        <v>0</v>
      </c>
      <c r="M93" t="str">
        <f t="shared" si="11"/>
        <v/>
      </c>
      <c r="N93">
        <f>IF($G93="",0,IF($H93="مرجوعی فروش",-1,1)*IF(Sync!$AC89="",0,Sync!$AC89))</f>
        <v>0</v>
      </c>
      <c r="O93" t="str">
        <f>IF(OR($G93="",Sync!$V89=""),"",Sync!$V89)</f>
        <v/>
      </c>
      <c r="P93" t="str">
        <f>IF(OR($G93="",Sync!$AD89=""),"",Sync!$AD89)</f>
        <v/>
      </c>
      <c r="Q93" t="str">
        <f>IF($G93="","",IF(Sync!$U89="","0000",IF(AND(ISNUMBER(Sync!$U89),Sync!$U89&gt;=0,Sync!$U89&lt;1),RIGHT("00"&amp;HOUR(Sync!$U89),2)&amp;RIGHT("00"&amp;MINUTE(Sync!$U89),2),IFERROR(RIGHT("00"&amp;VALUE(LEFT(Sync!$U89,FIND(":",Sync!$U89)-1)),2)&amp;RIGHT("00"&amp;VALUE(MID(Sync!$U89,FIND(":",Sync!$U89)+1,2)),2),"0000"))))</f>
        <v/>
      </c>
    </row>
    <row r="94" spans="1:17" x14ac:dyDescent="0.2">
      <c r="A94" t="str">
        <f>IF(Sync!$T90="","",Sync!$T90)</f>
        <v>1405/07/20</v>
      </c>
      <c r="B94">
        <f t="shared" si="6"/>
        <v>1405</v>
      </c>
      <c r="C94">
        <f t="shared" si="7"/>
        <v>7</v>
      </c>
      <c r="D94">
        <f t="shared" si="8"/>
        <v>20</v>
      </c>
      <c r="E94" t="str">
        <f t="shared" si="9"/>
        <v>1405/07/20</v>
      </c>
      <c r="F94" t="str">
        <f t="shared" si="10"/>
        <v>1405/07</v>
      </c>
      <c r="G94" t="str">
        <f>IF(OR($E94="",$E94="نامعتبر",Sync!$X90=""),"",IF(AND(LEFT(UPPER(TRIM(Sync!$X90)),2)="SL",IFERROR(VLOOKUP(Sync!$W90,OpTbl,3,0),"")="فروش"),UPPER(TRIM(Sync!$X90)),""))</f>
        <v/>
      </c>
      <c r="H94" t="str">
        <f>IF($G94="","",IF(Sync!$W90="","",Sync!$W90))</f>
        <v/>
      </c>
      <c r="I94" t="str">
        <f>IF(OR($G94="",Sync!$Y90=""),"",Sync!$Y90)</f>
        <v/>
      </c>
      <c r="J94" t="str">
        <f>IF(OR($G94="",Sync!$Z90=""),"",Sync!$Z90)</f>
        <v/>
      </c>
      <c r="K94">
        <f>IF($G94="",0,IF(Sync!$AA90="",0,Sync!$AA90))</f>
        <v>0</v>
      </c>
      <c r="L94">
        <f>IF($G94="",0,IF(Sync!$AB90="",0,Sync!$AB90))</f>
        <v>0</v>
      </c>
      <c r="M94" t="str">
        <f t="shared" si="11"/>
        <v/>
      </c>
      <c r="N94">
        <f>IF($G94="",0,IF($H94="مرجوعی فروش",-1,1)*IF(Sync!$AC90="",0,Sync!$AC90))</f>
        <v>0</v>
      </c>
      <c r="O94" t="str">
        <f>IF(OR($G94="",Sync!$V90=""),"",Sync!$V90)</f>
        <v/>
      </c>
      <c r="P94" t="str">
        <f>IF(OR($G94="",Sync!$AD90=""),"",Sync!$AD90)</f>
        <v/>
      </c>
      <c r="Q94" t="str">
        <f>IF($G94="","",IF(Sync!$U90="","0000",IF(AND(ISNUMBER(Sync!$U90),Sync!$U90&gt;=0,Sync!$U90&lt;1),RIGHT("00"&amp;HOUR(Sync!$U90),2)&amp;RIGHT("00"&amp;MINUTE(Sync!$U90),2),IFERROR(RIGHT("00"&amp;VALUE(LEFT(Sync!$U90,FIND(":",Sync!$U90)-1)),2)&amp;RIGHT("00"&amp;VALUE(MID(Sync!$U90,FIND(":",Sync!$U90)+1,2)),2),"0000"))))</f>
        <v/>
      </c>
    </row>
    <row r="95" spans="1:17" x14ac:dyDescent="0.2">
      <c r="A95" t="str">
        <f>IF(Sync!$T91="","",Sync!$T91)</f>
        <v>1405/07/20</v>
      </c>
      <c r="B95">
        <f t="shared" si="6"/>
        <v>1405</v>
      </c>
      <c r="C95">
        <f t="shared" si="7"/>
        <v>7</v>
      </c>
      <c r="D95">
        <f t="shared" si="8"/>
        <v>20</v>
      </c>
      <c r="E95" t="str">
        <f t="shared" si="9"/>
        <v>1405/07/20</v>
      </c>
      <c r="F95" t="str">
        <f t="shared" si="10"/>
        <v>1405/07</v>
      </c>
      <c r="G95" t="str">
        <f>IF(OR($E95="",$E95="نامعتبر",Sync!$X91=""),"",IF(AND(LEFT(UPPER(TRIM(Sync!$X91)),2)="SL",IFERROR(VLOOKUP(Sync!$W91,OpTbl,3,0),"")="فروش"),UPPER(TRIM(Sync!$X91)),""))</f>
        <v>SL001</v>
      </c>
      <c r="H95" t="str">
        <f>IF($G95="","",IF(Sync!$W91="","",Sync!$W91))</f>
        <v>فروش</v>
      </c>
      <c r="I95" t="str">
        <f>IF(OR($G95="",Sync!$Y91=""),"",Sync!$Y91)</f>
        <v/>
      </c>
      <c r="J95" t="str">
        <f>IF(OR($G95="",Sync!$Z91=""),"",Sync!$Z91)</f>
        <v/>
      </c>
      <c r="K95">
        <f>IF($G95="",0,IF(Sync!$AA91="",0,Sync!$AA91))</f>
        <v>3045</v>
      </c>
      <c r="L95">
        <f>IF($G95="",0,IF(Sync!$AB91="",0,Sync!$AB91))</f>
        <v>0</v>
      </c>
      <c r="M95">
        <f t="shared" si="11"/>
        <v>3045</v>
      </c>
      <c r="N95">
        <f>IF($G95="",0,IF($H95="مرجوعی فروش",-1,1)*IF(Sync!$AC91="",0,Sync!$AC91))</f>
        <v>0</v>
      </c>
      <c r="O95" t="str">
        <f>IF(OR($G95="",Sync!$V91=""),"",Sync!$V91)</f>
        <v/>
      </c>
      <c r="P95" t="str">
        <f>IF(OR($G95="",Sync!$AD91=""),"",Sync!$AD91)</f>
        <v/>
      </c>
      <c r="Q95" t="str">
        <f>IF($G95="","",IF(Sync!$U91="","0000",IF(AND(ISNUMBER(Sync!$U91),Sync!$U91&gt;=0,Sync!$U91&lt;1),RIGHT("00"&amp;HOUR(Sync!$U91),2)&amp;RIGHT("00"&amp;MINUTE(Sync!$U91),2),IFERROR(RIGHT("00"&amp;VALUE(LEFT(Sync!$U91,FIND(":",Sync!$U91)-1)),2)&amp;RIGHT("00"&amp;VALUE(MID(Sync!$U91,FIND(":",Sync!$U91)+1,2)),2),"0000"))))</f>
        <v>0000</v>
      </c>
    </row>
    <row r="96" spans="1:17" x14ac:dyDescent="0.2">
      <c r="A96" t="str">
        <f>IF(Sync!$T92="","",Sync!$T92)</f>
        <v>1405/07/20</v>
      </c>
      <c r="B96">
        <f t="shared" si="6"/>
        <v>1405</v>
      </c>
      <c r="C96">
        <f t="shared" si="7"/>
        <v>7</v>
      </c>
      <c r="D96">
        <f t="shared" si="8"/>
        <v>20</v>
      </c>
      <c r="E96" t="str">
        <f t="shared" si="9"/>
        <v>1405/07/20</v>
      </c>
      <c r="F96" t="str">
        <f t="shared" si="10"/>
        <v>1405/07</v>
      </c>
      <c r="G96" t="str">
        <f>IF(OR($E96="",$E96="نامعتبر",Sync!$X92=""),"",IF(AND(LEFT(UPPER(TRIM(Sync!$X92)),2)="SL",IFERROR(VLOOKUP(Sync!$W92,OpTbl,3,0),"")="فروش"),UPPER(TRIM(Sync!$X92)),""))</f>
        <v>SL003</v>
      </c>
      <c r="H96" t="str">
        <f>IF($G96="","",IF(Sync!$W92="","",Sync!$W92))</f>
        <v>فروش</v>
      </c>
      <c r="I96" t="str">
        <f>IF(OR($G96="",Sync!$Y92=""),"",Sync!$Y92)</f>
        <v/>
      </c>
      <c r="J96" t="str">
        <f>IF(OR($G96="",Sync!$Z92=""),"",Sync!$Z92)</f>
        <v/>
      </c>
      <c r="K96">
        <f>IF($G96="",0,IF(Sync!$AA92="",0,Sync!$AA92))</f>
        <v>3035</v>
      </c>
      <c r="L96">
        <f>IF($G96="",0,IF(Sync!$AB92="",0,Sync!$AB92))</f>
        <v>0</v>
      </c>
      <c r="M96">
        <f t="shared" si="11"/>
        <v>3035</v>
      </c>
      <c r="N96">
        <f>IF($G96="",0,IF($H96="مرجوعی فروش",-1,1)*IF(Sync!$AC92="",0,Sync!$AC92))</f>
        <v>0</v>
      </c>
      <c r="O96" t="str">
        <f>IF(OR($G96="",Sync!$V92=""),"",Sync!$V92)</f>
        <v/>
      </c>
      <c r="P96" t="str">
        <f>IF(OR($G96="",Sync!$AD92=""),"",Sync!$AD92)</f>
        <v/>
      </c>
      <c r="Q96" t="str">
        <f>IF($G96="","",IF(Sync!$U92="","0000",IF(AND(ISNUMBER(Sync!$U92),Sync!$U92&gt;=0,Sync!$U92&lt;1),RIGHT("00"&amp;HOUR(Sync!$U92),2)&amp;RIGHT("00"&amp;MINUTE(Sync!$U92),2),IFERROR(RIGHT("00"&amp;VALUE(LEFT(Sync!$U92,FIND(":",Sync!$U92)-1)),2)&amp;RIGHT("00"&amp;VALUE(MID(Sync!$U92,FIND(":",Sync!$U92)+1,2)),2),"0000"))))</f>
        <v>0000</v>
      </c>
    </row>
    <row r="97" spans="1:17" x14ac:dyDescent="0.2">
      <c r="A97" t="str">
        <f>IF(Sync!$T93="","",Sync!$T93)</f>
        <v>1405/07/20</v>
      </c>
      <c r="B97">
        <f t="shared" si="6"/>
        <v>1405</v>
      </c>
      <c r="C97">
        <f t="shared" si="7"/>
        <v>7</v>
      </c>
      <c r="D97">
        <f t="shared" si="8"/>
        <v>20</v>
      </c>
      <c r="E97" t="str">
        <f t="shared" si="9"/>
        <v>1405/07/20</v>
      </c>
      <c r="F97" t="str">
        <f t="shared" si="10"/>
        <v>1405/07</v>
      </c>
      <c r="G97" t="str">
        <f>IF(OR($E97="",$E97="نامعتبر",Sync!$X93=""),"",IF(AND(LEFT(UPPER(TRIM(Sync!$X93)),2)="SL",IFERROR(VLOOKUP(Sync!$W93,OpTbl,3,0),"")="فروش"),UPPER(TRIM(Sync!$X93)),""))</f>
        <v/>
      </c>
      <c r="H97" t="str">
        <f>IF($G97="","",IF(Sync!$W93="","",Sync!$W93))</f>
        <v/>
      </c>
      <c r="I97" t="str">
        <f>IF(OR($G97="",Sync!$Y93=""),"",Sync!$Y93)</f>
        <v/>
      </c>
      <c r="J97" t="str">
        <f>IF(OR($G97="",Sync!$Z93=""),"",Sync!$Z93)</f>
        <v/>
      </c>
      <c r="K97">
        <f>IF($G97="",0,IF(Sync!$AA93="",0,Sync!$AA93))</f>
        <v>0</v>
      </c>
      <c r="L97">
        <f>IF($G97="",0,IF(Sync!$AB93="",0,Sync!$AB93))</f>
        <v>0</v>
      </c>
      <c r="M97" t="str">
        <f t="shared" si="11"/>
        <v/>
      </c>
      <c r="N97">
        <f>IF($G97="",0,IF($H97="مرجوعی فروش",-1,1)*IF(Sync!$AC93="",0,Sync!$AC93))</f>
        <v>0</v>
      </c>
      <c r="O97" t="str">
        <f>IF(OR($G97="",Sync!$V93=""),"",Sync!$V93)</f>
        <v/>
      </c>
      <c r="P97" t="str">
        <f>IF(OR($G97="",Sync!$AD93=""),"",Sync!$AD93)</f>
        <v/>
      </c>
      <c r="Q97" t="str">
        <f>IF($G97="","",IF(Sync!$U93="","0000",IF(AND(ISNUMBER(Sync!$U93),Sync!$U93&gt;=0,Sync!$U93&lt;1),RIGHT("00"&amp;HOUR(Sync!$U93),2)&amp;RIGHT("00"&amp;MINUTE(Sync!$U93),2),IFERROR(RIGHT("00"&amp;VALUE(LEFT(Sync!$U93,FIND(":",Sync!$U93)-1)),2)&amp;RIGHT("00"&amp;VALUE(MID(Sync!$U93,FIND(":",Sync!$U93)+1,2)),2),"0000"))))</f>
        <v/>
      </c>
    </row>
    <row r="98" spans="1:17" x14ac:dyDescent="0.2">
      <c r="A98" t="str">
        <f>IF(Sync!$T94="","",Sync!$T94)</f>
        <v>1405/07/20</v>
      </c>
      <c r="B98">
        <f t="shared" si="6"/>
        <v>1405</v>
      </c>
      <c r="C98">
        <f t="shared" si="7"/>
        <v>7</v>
      </c>
      <c r="D98">
        <f t="shared" si="8"/>
        <v>20</v>
      </c>
      <c r="E98" t="str">
        <f t="shared" si="9"/>
        <v>1405/07/20</v>
      </c>
      <c r="F98" t="str">
        <f t="shared" si="10"/>
        <v>1405/07</v>
      </c>
      <c r="G98" t="str">
        <f>IF(OR($E98="",$E98="نامعتبر",Sync!$X94=""),"",IF(AND(LEFT(UPPER(TRIM(Sync!$X94)),2)="SL",IFERROR(VLOOKUP(Sync!$W94,OpTbl,3,0),"")="فروش"),UPPER(TRIM(Sync!$X94)),""))</f>
        <v/>
      </c>
      <c r="H98" t="str">
        <f>IF($G98="","",IF(Sync!$W94="","",Sync!$W94))</f>
        <v/>
      </c>
      <c r="I98" t="str">
        <f>IF(OR($G98="",Sync!$Y94=""),"",Sync!$Y94)</f>
        <v/>
      </c>
      <c r="J98" t="str">
        <f>IF(OR($G98="",Sync!$Z94=""),"",Sync!$Z94)</f>
        <v/>
      </c>
      <c r="K98">
        <f>IF($G98="",0,IF(Sync!$AA94="",0,Sync!$AA94))</f>
        <v>0</v>
      </c>
      <c r="L98">
        <f>IF($G98="",0,IF(Sync!$AB94="",0,Sync!$AB94))</f>
        <v>0</v>
      </c>
      <c r="M98" t="str">
        <f t="shared" si="11"/>
        <v/>
      </c>
      <c r="N98">
        <f>IF($G98="",0,IF($H98="مرجوعی فروش",-1,1)*IF(Sync!$AC94="",0,Sync!$AC94))</f>
        <v>0</v>
      </c>
      <c r="O98" t="str">
        <f>IF(OR($G98="",Sync!$V94=""),"",Sync!$V94)</f>
        <v/>
      </c>
      <c r="P98" t="str">
        <f>IF(OR($G98="",Sync!$AD94=""),"",Sync!$AD94)</f>
        <v/>
      </c>
      <c r="Q98" t="str">
        <f>IF($G98="","",IF(Sync!$U94="","0000",IF(AND(ISNUMBER(Sync!$U94),Sync!$U94&gt;=0,Sync!$U94&lt;1),RIGHT("00"&amp;HOUR(Sync!$U94),2)&amp;RIGHT("00"&amp;MINUTE(Sync!$U94),2),IFERROR(RIGHT("00"&amp;VALUE(LEFT(Sync!$U94,FIND(":",Sync!$U94)-1)),2)&amp;RIGHT("00"&amp;VALUE(MID(Sync!$U94,FIND(":",Sync!$U94)+1,2)),2),"0000"))))</f>
        <v/>
      </c>
    </row>
    <row r="99" spans="1:17" x14ac:dyDescent="0.2">
      <c r="A99" t="str">
        <f>IF(Sync!$T95="","",Sync!$T95)</f>
        <v>1405/07/20</v>
      </c>
      <c r="B99">
        <f t="shared" si="6"/>
        <v>1405</v>
      </c>
      <c r="C99">
        <f t="shared" si="7"/>
        <v>7</v>
      </c>
      <c r="D99">
        <f t="shared" si="8"/>
        <v>20</v>
      </c>
      <c r="E99" t="str">
        <f t="shared" si="9"/>
        <v>1405/07/20</v>
      </c>
      <c r="F99" t="str">
        <f t="shared" si="10"/>
        <v>1405/07</v>
      </c>
      <c r="G99" t="str">
        <f>IF(OR($E99="",$E99="نامعتبر",Sync!$X95=""),"",IF(AND(LEFT(UPPER(TRIM(Sync!$X95)),2)="SL",IFERROR(VLOOKUP(Sync!$W95,OpTbl,3,0),"")="فروش"),UPPER(TRIM(Sync!$X95)),""))</f>
        <v/>
      </c>
      <c r="H99" t="str">
        <f>IF($G99="","",IF(Sync!$W95="","",Sync!$W95))</f>
        <v/>
      </c>
      <c r="I99" t="str">
        <f>IF(OR($G99="",Sync!$Y95=""),"",Sync!$Y95)</f>
        <v/>
      </c>
      <c r="J99" t="str">
        <f>IF(OR($G99="",Sync!$Z95=""),"",Sync!$Z95)</f>
        <v/>
      </c>
      <c r="K99">
        <f>IF($G99="",0,IF(Sync!$AA95="",0,Sync!$AA95))</f>
        <v>0</v>
      </c>
      <c r="L99">
        <f>IF($G99="",0,IF(Sync!$AB95="",0,Sync!$AB95))</f>
        <v>0</v>
      </c>
      <c r="M99" t="str">
        <f t="shared" si="11"/>
        <v/>
      </c>
      <c r="N99">
        <f>IF($G99="",0,IF($H99="مرجوعی فروش",-1,1)*IF(Sync!$AC95="",0,Sync!$AC95))</f>
        <v>0</v>
      </c>
      <c r="O99" t="str">
        <f>IF(OR($G99="",Sync!$V95=""),"",Sync!$V95)</f>
        <v/>
      </c>
      <c r="P99" t="str">
        <f>IF(OR($G99="",Sync!$AD95=""),"",Sync!$AD95)</f>
        <v/>
      </c>
      <c r="Q99" t="str">
        <f>IF($G99="","",IF(Sync!$U95="","0000",IF(AND(ISNUMBER(Sync!$U95),Sync!$U95&gt;=0,Sync!$U95&lt;1),RIGHT("00"&amp;HOUR(Sync!$U95),2)&amp;RIGHT("00"&amp;MINUTE(Sync!$U95),2),IFERROR(RIGHT("00"&amp;VALUE(LEFT(Sync!$U95,FIND(":",Sync!$U95)-1)),2)&amp;RIGHT("00"&amp;VALUE(MID(Sync!$U95,FIND(":",Sync!$U95)+1,2)),2),"0000"))))</f>
        <v/>
      </c>
    </row>
    <row r="100" spans="1:17" x14ac:dyDescent="0.2">
      <c r="A100" t="str">
        <f>IF(Sync!$T96="","",Sync!$T96)</f>
        <v>1405/07/19</v>
      </c>
      <c r="B100">
        <f t="shared" si="6"/>
        <v>1405</v>
      </c>
      <c r="C100">
        <f t="shared" si="7"/>
        <v>7</v>
      </c>
      <c r="D100">
        <f t="shared" si="8"/>
        <v>19</v>
      </c>
      <c r="E100" t="str">
        <f t="shared" si="9"/>
        <v>1405/07/19</v>
      </c>
      <c r="F100" t="str">
        <f t="shared" si="10"/>
        <v>1405/07</v>
      </c>
      <c r="G100" t="str">
        <f>IF(OR($E100="",$E100="نامعتبر",Sync!$X96=""),"",IF(AND(LEFT(UPPER(TRIM(Sync!$X96)),2)="SL",IFERROR(VLOOKUP(Sync!$W96,OpTbl,3,0),"")="فروش"),UPPER(TRIM(Sync!$X96)),""))</f>
        <v/>
      </c>
      <c r="H100" t="str">
        <f>IF($G100="","",IF(Sync!$W96="","",Sync!$W96))</f>
        <v/>
      </c>
      <c r="I100" t="str">
        <f>IF(OR($G100="",Sync!$Y96=""),"",Sync!$Y96)</f>
        <v/>
      </c>
      <c r="J100" t="str">
        <f>IF(OR($G100="",Sync!$Z96=""),"",Sync!$Z96)</f>
        <v/>
      </c>
      <c r="K100">
        <f>IF($G100="",0,IF(Sync!$AA96="",0,Sync!$AA96))</f>
        <v>0</v>
      </c>
      <c r="L100">
        <f>IF($G100="",0,IF(Sync!$AB96="",0,Sync!$AB96))</f>
        <v>0</v>
      </c>
      <c r="M100" t="str">
        <f t="shared" si="11"/>
        <v/>
      </c>
      <c r="N100">
        <f>IF($G100="",0,IF($H100="مرجوعی فروش",-1,1)*IF(Sync!$AC96="",0,Sync!$AC96))</f>
        <v>0</v>
      </c>
      <c r="O100" t="str">
        <f>IF(OR($G100="",Sync!$V96=""),"",Sync!$V96)</f>
        <v/>
      </c>
      <c r="P100" t="str">
        <f>IF(OR($G100="",Sync!$AD96=""),"",Sync!$AD96)</f>
        <v/>
      </c>
      <c r="Q100" t="str">
        <f>IF($G100="","",IF(Sync!$U96="","0000",IF(AND(ISNUMBER(Sync!$U96),Sync!$U96&gt;=0,Sync!$U96&lt;1),RIGHT("00"&amp;HOUR(Sync!$U96),2)&amp;RIGHT("00"&amp;MINUTE(Sync!$U96),2),IFERROR(RIGHT("00"&amp;VALUE(LEFT(Sync!$U96,FIND(":",Sync!$U96)-1)),2)&amp;RIGHT("00"&amp;VALUE(MID(Sync!$U96,FIND(":",Sync!$U96)+1,2)),2),"0000"))))</f>
        <v/>
      </c>
    </row>
    <row r="101" spans="1:17" x14ac:dyDescent="0.2">
      <c r="A101" t="str">
        <f>IF(Sync!$T97="","",Sync!$T97)</f>
        <v>1405/07/21</v>
      </c>
      <c r="B101">
        <f t="shared" si="6"/>
        <v>1405</v>
      </c>
      <c r="C101">
        <f t="shared" si="7"/>
        <v>7</v>
      </c>
      <c r="D101">
        <f t="shared" si="8"/>
        <v>21</v>
      </c>
      <c r="E101" t="str">
        <f t="shared" si="9"/>
        <v>1405/07/21</v>
      </c>
      <c r="F101" t="str">
        <f t="shared" si="10"/>
        <v>1405/07</v>
      </c>
      <c r="G101" t="str">
        <f>IF(OR($E101="",$E101="نامعتبر",Sync!$X97=""),"",IF(AND(LEFT(UPPER(TRIM(Sync!$X97)),2)="SL",IFERROR(VLOOKUP(Sync!$W97,OpTbl,3,0),"")="فروش"),UPPER(TRIM(Sync!$X97)),""))</f>
        <v/>
      </c>
      <c r="H101" t="str">
        <f>IF($G101="","",IF(Sync!$W97="","",Sync!$W97))</f>
        <v/>
      </c>
      <c r="I101" t="str">
        <f>IF(OR($G101="",Sync!$Y97=""),"",Sync!$Y97)</f>
        <v/>
      </c>
      <c r="J101" t="str">
        <f>IF(OR($G101="",Sync!$Z97=""),"",Sync!$Z97)</f>
        <v/>
      </c>
      <c r="K101">
        <f>IF($G101="",0,IF(Sync!$AA97="",0,Sync!$AA97))</f>
        <v>0</v>
      </c>
      <c r="L101">
        <f>IF($G101="",0,IF(Sync!$AB97="",0,Sync!$AB97))</f>
        <v>0</v>
      </c>
      <c r="M101" t="str">
        <f t="shared" si="11"/>
        <v/>
      </c>
      <c r="N101">
        <f>IF($G101="",0,IF($H101="مرجوعی فروش",-1,1)*IF(Sync!$AC97="",0,Sync!$AC97))</f>
        <v>0</v>
      </c>
      <c r="O101" t="str">
        <f>IF(OR($G101="",Sync!$V97=""),"",Sync!$V97)</f>
        <v/>
      </c>
      <c r="P101" t="str">
        <f>IF(OR($G101="",Sync!$AD97=""),"",Sync!$AD97)</f>
        <v/>
      </c>
      <c r="Q101" t="str">
        <f>IF($G101="","",IF(Sync!$U97="","0000",IF(AND(ISNUMBER(Sync!$U97),Sync!$U97&gt;=0,Sync!$U97&lt;1),RIGHT("00"&amp;HOUR(Sync!$U97),2)&amp;RIGHT("00"&amp;MINUTE(Sync!$U97),2),IFERROR(RIGHT("00"&amp;VALUE(LEFT(Sync!$U97,FIND(":",Sync!$U97)-1)),2)&amp;RIGHT("00"&amp;VALUE(MID(Sync!$U97,FIND(":",Sync!$U97)+1,2)),2),"0000"))))</f>
        <v/>
      </c>
    </row>
    <row r="102" spans="1:17" x14ac:dyDescent="0.2">
      <c r="A102" t="str">
        <f>IF(Sync!$T98="","",Sync!$T98)</f>
        <v>1405/07/21</v>
      </c>
      <c r="B102">
        <f t="shared" si="6"/>
        <v>1405</v>
      </c>
      <c r="C102">
        <f t="shared" si="7"/>
        <v>7</v>
      </c>
      <c r="D102">
        <f t="shared" si="8"/>
        <v>21</v>
      </c>
      <c r="E102" t="str">
        <f t="shared" si="9"/>
        <v>1405/07/21</v>
      </c>
      <c r="F102" t="str">
        <f t="shared" si="10"/>
        <v>1405/07</v>
      </c>
      <c r="G102" t="str">
        <f>IF(OR($E102="",$E102="نامعتبر",Sync!$X98=""),"",IF(AND(LEFT(UPPER(TRIM(Sync!$X98)),2)="SL",IFERROR(VLOOKUP(Sync!$W98,OpTbl,3,0),"")="فروش"),UPPER(TRIM(Sync!$X98)),""))</f>
        <v/>
      </c>
      <c r="H102" t="str">
        <f>IF($G102="","",IF(Sync!$W98="","",Sync!$W98))</f>
        <v/>
      </c>
      <c r="I102" t="str">
        <f>IF(OR($G102="",Sync!$Y98=""),"",Sync!$Y98)</f>
        <v/>
      </c>
      <c r="J102" t="str">
        <f>IF(OR($G102="",Sync!$Z98=""),"",Sync!$Z98)</f>
        <v/>
      </c>
      <c r="K102">
        <f>IF($G102="",0,IF(Sync!$AA98="",0,Sync!$AA98))</f>
        <v>0</v>
      </c>
      <c r="L102">
        <f>IF($G102="",0,IF(Sync!$AB98="",0,Sync!$AB98))</f>
        <v>0</v>
      </c>
      <c r="M102" t="str">
        <f t="shared" si="11"/>
        <v/>
      </c>
      <c r="N102">
        <f>IF($G102="",0,IF($H102="مرجوعی فروش",-1,1)*IF(Sync!$AC98="",0,Sync!$AC98))</f>
        <v>0</v>
      </c>
      <c r="O102" t="str">
        <f>IF(OR($G102="",Sync!$V98=""),"",Sync!$V98)</f>
        <v/>
      </c>
      <c r="P102" t="str">
        <f>IF(OR($G102="",Sync!$AD98=""),"",Sync!$AD98)</f>
        <v/>
      </c>
      <c r="Q102" t="str">
        <f>IF($G102="","",IF(Sync!$U98="","0000",IF(AND(ISNUMBER(Sync!$U98),Sync!$U98&gt;=0,Sync!$U98&lt;1),RIGHT("00"&amp;HOUR(Sync!$U98),2)&amp;RIGHT("00"&amp;MINUTE(Sync!$U98),2),IFERROR(RIGHT("00"&amp;VALUE(LEFT(Sync!$U98,FIND(":",Sync!$U98)-1)),2)&amp;RIGHT("00"&amp;VALUE(MID(Sync!$U98,FIND(":",Sync!$U98)+1,2)),2),"0000"))))</f>
        <v/>
      </c>
    </row>
    <row r="103" spans="1:17" x14ac:dyDescent="0.2">
      <c r="A103" t="str">
        <f>IF(Sync!$T99="","",Sync!$T99)</f>
        <v>1405/07/21</v>
      </c>
      <c r="B103">
        <f t="shared" si="6"/>
        <v>1405</v>
      </c>
      <c r="C103">
        <f t="shared" si="7"/>
        <v>7</v>
      </c>
      <c r="D103">
        <f t="shared" si="8"/>
        <v>21</v>
      </c>
      <c r="E103" t="str">
        <f t="shared" si="9"/>
        <v>1405/07/21</v>
      </c>
      <c r="F103" t="str">
        <f t="shared" si="10"/>
        <v>1405/07</v>
      </c>
      <c r="G103" t="str">
        <f>IF(OR($E103="",$E103="نامعتبر",Sync!$X99=""),"",IF(AND(LEFT(UPPER(TRIM(Sync!$X99)),2)="SL",IFERROR(VLOOKUP(Sync!$W99,OpTbl,3,0),"")="فروش"),UPPER(TRIM(Sync!$X99)),""))</f>
        <v/>
      </c>
      <c r="H103" t="str">
        <f>IF($G103="","",IF(Sync!$W99="","",Sync!$W99))</f>
        <v/>
      </c>
      <c r="I103" t="str">
        <f>IF(OR($G103="",Sync!$Y99=""),"",Sync!$Y99)</f>
        <v/>
      </c>
      <c r="J103" t="str">
        <f>IF(OR($G103="",Sync!$Z99=""),"",Sync!$Z99)</f>
        <v/>
      </c>
      <c r="K103">
        <f>IF($G103="",0,IF(Sync!$AA99="",0,Sync!$AA99))</f>
        <v>0</v>
      </c>
      <c r="L103">
        <f>IF($G103="",0,IF(Sync!$AB99="",0,Sync!$AB99))</f>
        <v>0</v>
      </c>
      <c r="M103" t="str">
        <f t="shared" si="11"/>
        <v/>
      </c>
      <c r="N103">
        <f>IF($G103="",0,IF($H103="مرجوعی فروش",-1,1)*IF(Sync!$AC99="",0,Sync!$AC99))</f>
        <v>0</v>
      </c>
      <c r="O103" t="str">
        <f>IF(OR($G103="",Sync!$V99=""),"",Sync!$V99)</f>
        <v/>
      </c>
      <c r="P103" t="str">
        <f>IF(OR($G103="",Sync!$AD99=""),"",Sync!$AD99)</f>
        <v/>
      </c>
      <c r="Q103" t="str">
        <f>IF($G103="","",IF(Sync!$U99="","0000",IF(AND(ISNUMBER(Sync!$U99),Sync!$U99&gt;=0,Sync!$U99&lt;1),RIGHT("00"&amp;HOUR(Sync!$U99),2)&amp;RIGHT("00"&amp;MINUTE(Sync!$U99),2),IFERROR(RIGHT("00"&amp;VALUE(LEFT(Sync!$U99,FIND(":",Sync!$U99)-1)),2)&amp;RIGHT("00"&amp;VALUE(MID(Sync!$U99,FIND(":",Sync!$U99)+1,2)),2),"0000"))))</f>
        <v/>
      </c>
    </row>
    <row r="104" spans="1:17" x14ac:dyDescent="0.2">
      <c r="A104" t="str">
        <f>IF(Sync!$T100="","",Sync!$T100)</f>
        <v>1405/07/21</v>
      </c>
      <c r="B104">
        <f t="shared" si="6"/>
        <v>1405</v>
      </c>
      <c r="C104">
        <f t="shared" si="7"/>
        <v>7</v>
      </c>
      <c r="D104">
        <f t="shared" si="8"/>
        <v>21</v>
      </c>
      <c r="E104" t="str">
        <f t="shared" si="9"/>
        <v>1405/07/21</v>
      </c>
      <c r="F104" t="str">
        <f t="shared" si="10"/>
        <v>1405/07</v>
      </c>
      <c r="G104" t="str">
        <f>IF(OR($E104="",$E104="نامعتبر",Sync!$X100=""),"",IF(AND(LEFT(UPPER(TRIM(Sync!$X100)),2)="SL",IFERROR(VLOOKUP(Sync!$W100,OpTbl,3,0),"")="فروش"),UPPER(TRIM(Sync!$X100)),""))</f>
        <v/>
      </c>
      <c r="H104" t="str">
        <f>IF($G104="","",IF(Sync!$W100="","",Sync!$W100))</f>
        <v/>
      </c>
      <c r="I104" t="str">
        <f>IF(OR($G104="",Sync!$Y100=""),"",Sync!$Y100)</f>
        <v/>
      </c>
      <c r="J104" t="str">
        <f>IF(OR($G104="",Sync!$Z100=""),"",Sync!$Z100)</f>
        <v/>
      </c>
      <c r="K104">
        <f>IF($G104="",0,IF(Sync!$AA100="",0,Sync!$AA100))</f>
        <v>0</v>
      </c>
      <c r="L104">
        <f>IF($G104="",0,IF(Sync!$AB100="",0,Sync!$AB100))</f>
        <v>0</v>
      </c>
      <c r="M104" t="str">
        <f t="shared" si="11"/>
        <v/>
      </c>
      <c r="N104">
        <f>IF($G104="",0,IF($H104="مرجوعی فروش",-1,1)*IF(Sync!$AC100="",0,Sync!$AC100))</f>
        <v>0</v>
      </c>
      <c r="O104" t="str">
        <f>IF(OR($G104="",Sync!$V100=""),"",Sync!$V100)</f>
        <v/>
      </c>
      <c r="P104" t="str">
        <f>IF(OR($G104="",Sync!$AD100=""),"",Sync!$AD100)</f>
        <v/>
      </c>
      <c r="Q104" t="str">
        <f>IF($G104="","",IF(Sync!$U100="","0000",IF(AND(ISNUMBER(Sync!$U100),Sync!$U100&gt;=0,Sync!$U100&lt;1),RIGHT("00"&amp;HOUR(Sync!$U100),2)&amp;RIGHT("00"&amp;MINUTE(Sync!$U100),2),IFERROR(RIGHT("00"&amp;VALUE(LEFT(Sync!$U100,FIND(":",Sync!$U100)-1)),2)&amp;RIGHT("00"&amp;VALUE(MID(Sync!$U100,FIND(":",Sync!$U100)+1,2)),2),"0000"))))</f>
        <v/>
      </c>
    </row>
    <row r="105" spans="1:17" x14ac:dyDescent="0.2">
      <c r="A105" t="str">
        <f>IF(Sync!$T101="","",Sync!$T101)</f>
        <v>1405/07/21</v>
      </c>
      <c r="B105">
        <f t="shared" si="6"/>
        <v>1405</v>
      </c>
      <c r="C105">
        <f t="shared" si="7"/>
        <v>7</v>
      </c>
      <c r="D105">
        <f t="shared" si="8"/>
        <v>21</v>
      </c>
      <c r="E105" t="str">
        <f t="shared" si="9"/>
        <v>1405/07/21</v>
      </c>
      <c r="F105" t="str">
        <f t="shared" si="10"/>
        <v>1405/07</v>
      </c>
      <c r="G105" t="str">
        <f>IF(OR($E105="",$E105="نامعتبر",Sync!$X101=""),"",IF(AND(LEFT(UPPER(TRIM(Sync!$X101)),2)="SL",IFERROR(VLOOKUP(Sync!$W101,OpTbl,3,0),"")="فروش"),UPPER(TRIM(Sync!$X101)),""))</f>
        <v>SL001</v>
      </c>
      <c r="H105" t="str">
        <f>IF($G105="","",IF(Sync!$W101="","",Sync!$W101))</f>
        <v>فروش</v>
      </c>
      <c r="I105" t="str">
        <f>IF(OR($G105="",Sync!$Y101=""),"",Sync!$Y101)</f>
        <v/>
      </c>
      <c r="J105" t="str">
        <f>IF(OR($G105="",Sync!$Z101=""),"",Sync!$Z101)</f>
        <v/>
      </c>
      <c r="K105">
        <f>IF($G105="",0,IF(Sync!$AA101="",0,Sync!$AA101))</f>
        <v>2170</v>
      </c>
      <c r="L105">
        <f>IF($G105="",0,IF(Sync!$AB101="",0,Sync!$AB101))</f>
        <v>0</v>
      </c>
      <c r="M105">
        <f t="shared" si="11"/>
        <v>2170</v>
      </c>
      <c r="N105">
        <f>IF($G105="",0,IF($H105="مرجوعی فروش",-1,1)*IF(Sync!$AC101="",0,Sync!$AC101))</f>
        <v>0</v>
      </c>
      <c r="O105" t="str">
        <f>IF(OR($G105="",Sync!$V101=""),"",Sync!$V101)</f>
        <v/>
      </c>
      <c r="P105" t="str">
        <f>IF(OR($G105="",Sync!$AD101=""),"",Sync!$AD101)</f>
        <v/>
      </c>
      <c r="Q105" t="str">
        <f>IF($G105="","",IF(Sync!$U101="","0000",IF(AND(ISNUMBER(Sync!$U101),Sync!$U101&gt;=0,Sync!$U101&lt;1),RIGHT("00"&amp;HOUR(Sync!$U101),2)&amp;RIGHT("00"&amp;MINUTE(Sync!$U101),2),IFERROR(RIGHT("00"&amp;VALUE(LEFT(Sync!$U101,FIND(":",Sync!$U101)-1)),2)&amp;RIGHT("00"&amp;VALUE(MID(Sync!$U101,FIND(":",Sync!$U101)+1,2)),2),"0000"))))</f>
        <v>0000</v>
      </c>
    </row>
    <row r="106" spans="1:17" x14ac:dyDescent="0.2">
      <c r="A106" t="str">
        <f>IF(Sync!$T102="","",Sync!$T102)</f>
        <v>1405/07/21</v>
      </c>
      <c r="B106">
        <f t="shared" si="6"/>
        <v>1405</v>
      </c>
      <c r="C106">
        <f t="shared" si="7"/>
        <v>7</v>
      </c>
      <c r="D106">
        <f t="shared" si="8"/>
        <v>21</v>
      </c>
      <c r="E106" t="str">
        <f t="shared" si="9"/>
        <v>1405/07/21</v>
      </c>
      <c r="F106" t="str">
        <f t="shared" si="10"/>
        <v>1405/07</v>
      </c>
      <c r="G106" t="str">
        <f>IF(OR($E106="",$E106="نامعتبر",Sync!$X102=""),"",IF(AND(LEFT(UPPER(TRIM(Sync!$X102)),2)="SL",IFERROR(VLOOKUP(Sync!$W102,OpTbl,3,0),"")="فروش"),UPPER(TRIM(Sync!$X102)),""))</f>
        <v/>
      </c>
      <c r="H106" t="str">
        <f>IF($G106="","",IF(Sync!$W102="","",Sync!$W102))</f>
        <v/>
      </c>
      <c r="I106" t="str">
        <f>IF(OR($G106="",Sync!$Y102=""),"",Sync!$Y102)</f>
        <v/>
      </c>
      <c r="J106" t="str">
        <f>IF(OR($G106="",Sync!$Z102=""),"",Sync!$Z102)</f>
        <v/>
      </c>
      <c r="K106">
        <f>IF($G106="",0,IF(Sync!$AA102="",0,Sync!$AA102))</f>
        <v>0</v>
      </c>
      <c r="L106">
        <f>IF($G106="",0,IF(Sync!$AB102="",0,Sync!$AB102))</f>
        <v>0</v>
      </c>
      <c r="M106" t="str">
        <f t="shared" si="11"/>
        <v/>
      </c>
      <c r="N106">
        <f>IF($G106="",0,IF($H106="مرجوعی فروش",-1,1)*IF(Sync!$AC102="",0,Sync!$AC102))</f>
        <v>0</v>
      </c>
      <c r="O106" t="str">
        <f>IF(OR($G106="",Sync!$V102=""),"",Sync!$V102)</f>
        <v/>
      </c>
      <c r="P106" t="str">
        <f>IF(OR($G106="",Sync!$AD102=""),"",Sync!$AD102)</f>
        <v/>
      </c>
      <c r="Q106" t="str">
        <f>IF($G106="","",IF(Sync!$U102="","0000",IF(AND(ISNUMBER(Sync!$U102),Sync!$U102&gt;=0,Sync!$U102&lt;1),RIGHT("00"&amp;HOUR(Sync!$U102),2)&amp;RIGHT("00"&amp;MINUTE(Sync!$U102),2),IFERROR(RIGHT("00"&amp;VALUE(LEFT(Sync!$U102,FIND(":",Sync!$U102)-1)),2)&amp;RIGHT("00"&amp;VALUE(MID(Sync!$U102,FIND(":",Sync!$U102)+1,2)),2),"0000"))))</f>
        <v/>
      </c>
    </row>
    <row r="107" spans="1:17" x14ac:dyDescent="0.2">
      <c r="A107" t="str">
        <f>IF(Sync!$T103="","",Sync!$T103)</f>
        <v>1405/07/21</v>
      </c>
      <c r="B107">
        <f t="shared" si="6"/>
        <v>1405</v>
      </c>
      <c r="C107">
        <f t="shared" si="7"/>
        <v>7</v>
      </c>
      <c r="D107">
        <f t="shared" si="8"/>
        <v>21</v>
      </c>
      <c r="E107" t="str">
        <f t="shared" si="9"/>
        <v>1405/07/21</v>
      </c>
      <c r="F107" t="str">
        <f t="shared" si="10"/>
        <v>1405/07</v>
      </c>
      <c r="G107" t="str">
        <f>IF(OR($E107="",$E107="نامعتبر",Sync!$X103=""),"",IF(AND(LEFT(UPPER(TRIM(Sync!$X103)),2)="SL",IFERROR(VLOOKUP(Sync!$W103,OpTbl,3,0),"")="فروش"),UPPER(TRIM(Sync!$X103)),""))</f>
        <v/>
      </c>
      <c r="H107" t="str">
        <f>IF($G107="","",IF(Sync!$W103="","",Sync!$W103))</f>
        <v/>
      </c>
      <c r="I107" t="str">
        <f>IF(OR($G107="",Sync!$Y103=""),"",Sync!$Y103)</f>
        <v/>
      </c>
      <c r="J107" t="str">
        <f>IF(OR($G107="",Sync!$Z103=""),"",Sync!$Z103)</f>
        <v/>
      </c>
      <c r="K107">
        <f>IF($G107="",0,IF(Sync!$AA103="",0,Sync!$AA103))</f>
        <v>0</v>
      </c>
      <c r="L107">
        <f>IF($G107="",0,IF(Sync!$AB103="",0,Sync!$AB103))</f>
        <v>0</v>
      </c>
      <c r="M107" t="str">
        <f t="shared" si="11"/>
        <v/>
      </c>
      <c r="N107">
        <f>IF($G107="",0,IF($H107="مرجوعی فروش",-1,1)*IF(Sync!$AC103="",0,Sync!$AC103))</f>
        <v>0</v>
      </c>
      <c r="O107" t="str">
        <f>IF(OR($G107="",Sync!$V103=""),"",Sync!$V103)</f>
        <v/>
      </c>
      <c r="P107" t="str">
        <f>IF(OR($G107="",Sync!$AD103=""),"",Sync!$AD103)</f>
        <v/>
      </c>
      <c r="Q107" t="str">
        <f>IF($G107="","",IF(Sync!$U103="","0000",IF(AND(ISNUMBER(Sync!$U103),Sync!$U103&gt;=0,Sync!$U103&lt;1),RIGHT("00"&amp;HOUR(Sync!$U103),2)&amp;RIGHT("00"&amp;MINUTE(Sync!$U103),2),IFERROR(RIGHT("00"&amp;VALUE(LEFT(Sync!$U103,FIND(":",Sync!$U103)-1)),2)&amp;RIGHT("00"&amp;VALUE(MID(Sync!$U103,FIND(":",Sync!$U103)+1,2)),2),"0000"))))</f>
        <v/>
      </c>
    </row>
    <row r="108" spans="1:17" x14ac:dyDescent="0.2">
      <c r="A108" t="str">
        <f>IF(Sync!$T104="","",Sync!$T104)</f>
        <v>1405/07/21</v>
      </c>
      <c r="B108">
        <f t="shared" si="6"/>
        <v>1405</v>
      </c>
      <c r="C108">
        <f t="shared" si="7"/>
        <v>7</v>
      </c>
      <c r="D108">
        <f t="shared" si="8"/>
        <v>21</v>
      </c>
      <c r="E108" t="str">
        <f t="shared" si="9"/>
        <v>1405/07/21</v>
      </c>
      <c r="F108" t="str">
        <f t="shared" si="10"/>
        <v>1405/07</v>
      </c>
      <c r="G108" t="str">
        <f>IF(OR($E108="",$E108="نامعتبر",Sync!$X104=""),"",IF(AND(LEFT(UPPER(TRIM(Sync!$X104)),2)="SL",IFERROR(VLOOKUP(Sync!$W104,OpTbl,3,0),"")="فروش"),UPPER(TRIM(Sync!$X104)),""))</f>
        <v/>
      </c>
      <c r="H108" t="str">
        <f>IF($G108="","",IF(Sync!$W104="","",Sync!$W104))</f>
        <v/>
      </c>
      <c r="I108" t="str">
        <f>IF(OR($G108="",Sync!$Y104=""),"",Sync!$Y104)</f>
        <v/>
      </c>
      <c r="J108" t="str">
        <f>IF(OR($G108="",Sync!$Z104=""),"",Sync!$Z104)</f>
        <v/>
      </c>
      <c r="K108">
        <f>IF($G108="",0,IF(Sync!$AA104="",0,Sync!$AA104))</f>
        <v>0</v>
      </c>
      <c r="L108">
        <f>IF($G108="",0,IF(Sync!$AB104="",0,Sync!$AB104))</f>
        <v>0</v>
      </c>
      <c r="M108" t="str">
        <f t="shared" si="11"/>
        <v/>
      </c>
      <c r="N108">
        <f>IF($G108="",0,IF($H108="مرجوعی فروش",-1,1)*IF(Sync!$AC104="",0,Sync!$AC104))</f>
        <v>0</v>
      </c>
      <c r="O108" t="str">
        <f>IF(OR($G108="",Sync!$V104=""),"",Sync!$V104)</f>
        <v/>
      </c>
      <c r="P108" t="str">
        <f>IF(OR($G108="",Sync!$AD104=""),"",Sync!$AD104)</f>
        <v/>
      </c>
      <c r="Q108" t="str">
        <f>IF($G108="","",IF(Sync!$U104="","0000",IF(AND(ISNUMBER(Sync!$U104),Sync!$U104&gt;=0,Sync!$U104&lt;1),RIGHT("00"&amp;HOUR(Sync!$U104),2)&amp;RIGHT("00"&amp;MINUTE(Sync!$U104),2),IFERROR(RIGHT("00"&amp;VALUE(LEFT(Sync!$U104,FIND(":",Sync!$U104)-1)),2)&amp;RIGHT("00"&amp;VALUE(MID(Sync!$U104,FIND(":",Sync!$U104)+1,2)),2),"0000"))))</f>
        <v/>
      </c>
    </row>
    <row r="109" spans="1:17" x14ac:dyDescent="0.2">
      <c r="A109" t="str">
        <f>IF(Sync!$T105="","",Sync!$T105)</f>
        <v>1405/07/21</v>
      </c>
      <c r="B109">
        <f t="shared" si="6"/>
        <v>1405</v>
      </c>
      <c r="C109">
        <f t="shared" si="7"/>
        <v>7</v>
      </c>
      <c r="D109">
        <f t="shared" si="8"/>
        <v>21</v>
      </c>
      <c r="E109" t="str">
        <f t="shared" si="9"/>
        <v>1405/07/21</v>
      </c>
      <c r="F109" t="str">
        <f t="shared" si="10"/>
        <v>1405/07</v>
      </c>
      <c r="G109" t="str">
        <f>IF(OR($E109="",$E109="نامعتبر",Sync!$X105=""),"",IF(AND(LEFT(UPPER(TRIM(Sync!$X105)),2)="SL",IFERROR(VLOOKUP(Sync!$W105,OpTbl,3,0),"")="فروش"),UPPER(TRIM(Sync!$X105)),""))</f>
        <v/>
      </c>
      <c r="H109" t="str">
        <f>IF($G109="","",IF(Sync!$W105="","",Sync!$W105))</f>
        <v/>
      </c>
      <c r="I109" t="str">
        <f>IF(OR($G109="",Sync!$Y105=""),"",Sync!$Y105)</f>
        <v/>
      </c>
      <c r="J109" t="str">
        <f>IF(OR($G109="",Sync!$Z105=""),"",Sync!$Z105)</f>
        <v/>
      </c>
      <c r="K109">
        <f>IF($G109="",0,IF(Sync!$AA105="",0,Sync!$AA105))</f>
        <v>0</v>
      </c>
      <c r="L109">
        <f>IF($G109="",0,IF(Sync!$AB105="",0,Sync!$AB105))</f>
        <v>0</v>
      </c>
      <c r="M109" t="str">
        <f t="shared" si="11"/>
        <v/>
      </c>
      <c r="N109">
        <f>IF($G109="",0,IF($H109="مرجوعی فروش",-1,1)*IF(Sync!$AC105="",0,Sync!$AC105))</f>
        <v>0</v>
      </c>
      <c r="O109" t="str">
        <f>IF(OR($G109="",Sync!$V105=""),"",Sync!$V105)</f>
        <v/>
      </c>
      <c r="P109" t="str">
        <f>IF(OR($G109="",Sync!$AD105=""),"",Sync!$AD105)</f>
        <v/>
      </c>
      <c r="Q109" t="str">
        <f>IF($G109="","",IF(Sync!$U105="","0000",IF(AND(ISNUMBER(Sync!$U105),Sync!$U105&gt;=0,Sync!$U105&lt;1),RIGHT("00"&amp;HOUR(Sync!$U105),2)&amp;RIGHT("00"&amp;MINUTE(Sync!$U105),2),IFERROR(RIGHT("00"&amp;VALUE(LEFT(Sync!$U105,FIND(":",Sync!$U105)-1)),2)&amp;RIGHT("00"&amp;VALUE(MID(Sync!$U105,FIND(":",Sync!$U105)+1,2)),2),"0000"))))</f>
        <v/>
      </c>
    </row>
    <row r="110" spans="1:17" x14ac:dyDescent="0.2">
      <c r="A110" t="str">
        <f>IF(Sync!$T106="","",Sync!$T106)</f>
        <v>1405/07/21</v>
      </c>
      <c r="B110">
        <f t="shared" si="6"/>
        <v>1405</v>
      </c>
      <c r="C110">
        <f t="shared" si="7"/>
        <v>7</v>
      </c>
      <c r="D110">
        <f t="shared" si="8"/>
        <v>21</v>
      </c>
      <c r="E110" t="str">
        <f t="shared" si="9"/>
        <v>1405/07/21</v>
      </c>
      <c r="F110" t="str">
        <f t="shared" si="10"/>
        <v>1405/07</v>
      </c>
      <c r="G110" t="str">
        <f>IF(OR($E110="",$E110="نامعتبر",Sync!$X106=""),"",IF(AND(LEFT(UPPER(TRIM(Sync!$X106)),2)="SL",IFERROR(VLOOKUP(Sync!$W106,OpTbl,3,0),"")="فروش"),UPPER(TRIM(Sync!$X106)),""))</f>
        <v/>
      </c>
      <c r="H110" t="str">
        <f>IF($G110="","",IF(Sync!$W106="","",Sync!$W106))</f>
        <v/>
      </c>
      <c r="I110" t="str">
        <f>IF(OR($G110="",Sync!$Y106=""),"",Sync!$Y106)</f>
        <v/>
      </c>
      <c r="J110" t="str">
        <f>IF(OR($G110="",Sync!$Z106=""),"",Sync!$Z106)</f>
        <v/>
      </c>
      <c r="K110">
        <f>IF($G110="",0,IF(Sync!$AA106="",0,Sync!$AA106))</f>
        <v>0</v>
      </c>
      <c r="L110">
        <f>IF($G110="",0,IF(Sync!$AB106="",0,Sync!$AB106))</f>
        <v>0</v>
      </c>
      <c r="M110" t="str">
        <f t="shared" si="11"/>
        <v/>
      </c>
      <c r="N110">
        <f>IF($G110="",0,IF($H110="مرجوعی فروش",-1,1)*IF(Sync!$AC106="",0,Sync!$AC106))</f>
        <v>0</v>
      </c>
      <c r="O110" t="str">
        <f>IF(OR($G110="",Sync!$V106=""),"",Sync!$V106)</f>
        <v/>
      </c>
      <c r="P110" t="str">
        <f>IF(OR($G110="",Sync!$AD106=""),"",Sync!$AD106)</f>
        <v/>
      </c>
      <c r="Q110" t="str">
        <f>IF($G110="","",IF(Sync!$U106="","0000",IF(AND(ISNUMBER(Sync!$U106),Sync!$U106&gt;=0,Sync!$U106&lt;1),RIGHT("00"&amp;HOUR(Sync!$U106),2)&amp;RIGHT("00"&amp;MINUTE(Sync!$U106),2),IFERROR(RIGHT("00"&amp;VALUE(LEFT(Sync!$U106,FIND(":",Sync!$U106)-1)),2)&amp;RIGHT("00"&amp;VALUE(MID(Sync!$U106,FIND(":",Sync!$U106)+1,2)),2),"0000"))))</f>
        <v/>
      </c>
    </row>
    <row r="111" spans="1:17" x14ac:dyDescent="0.2">
      <c r="A111" t="str">
        <f>IF(Sync!$T107="","",Sync!$T107)</f>
        <v>1405/07/21</v>
      </c>
      <c r="B111">
        <f t="shared" si="6"/>
        <v>1405</v>
      </c>
      <c r="C111">
        <f t="shared" si="7"/>
        <v>7</v>
      </c>
      <c r="D111">
        <f t="shared" si="8"/>
        <v>21</v>
      </c>
      <c r="E111" t="str">
        <f t="shared" si="9"/>
        <v>1405/07/21</v>
      </c>
      <c r="F111" t="str">
        <f t="shared" si="10"/>
        <v>1405/07</v>
      </c>
      <c r="G111" t="str">
        <f>IF(OR($E111="",$E111="نامعتبر",Sync!$X107=""),"",IF(AND(LEFT(UPPER(TRIM(Sync!$X107)),2)="SL",IFERROR(VLOOKUP(Sync!$W107,OpTbl,3,0),"")="فروش"),UPPER(TRIM(Sync!$X107)),""))</f>
        <v/>
      </c>
      <c r="H111" t="str">
        <f>IF($G111="","",IF(Sync!$W107="","",Sync!$W107))</f>
        <v/>
      </c>
      <c r="I111" t="str">
        <f>IF(OR($G111="",Sync!$Y107=""),"",Sync!$Y107)</f>
        <v/>
      </c>
      <c r="J111" t="str">
        <f>IF(OR($G111="",Sync!$Z107=""),"",Sync!$Z107)</f>
        <v/>
      </c>
      <c r="K111">
        <f>IF($G111="",0,IF(Sync!$AA107="",0,Sync!$AA107))</f>
        <v>0</v>
      </c>
      <c r="L111">
        <f>IF($G111="",0,IF(Sync!$AB107="",0,Sync!$AB107))</f>
        <v>0</v>
      </c>
      <c r="M111" t="str">
        <f t="shared" si="11"/>
        <v/>
      </c>
      <c r="N111">
        <f>IF($G111="",0,IF($H111="مرجوعی فروش",-1,1)*IF(Sync!$AC107="",0,Sync!$AC107))</f>
        <v>0</v>
      </c>
      <c r="O111" t="str">
        <f>IF(OR($G111="",Sync!$V107=""),"",Sync!$V107)</f>
        <v/>
      </c>
      <c r="P111" t="str">
        <f>IF(OR($G111="",Sync!$AD107=""),"",Sync!$AD107)</f>
        <v/>
      </c>
      <c r="Q111" t="str">
        <f>IF($G111="","",IF(Sync!$U107="","0000",IF(AND(ISNUMBER(Sync!$U107),Sync!$U107&gt;=0,Sync!$U107&lt;1),RIGHT("00"&amp;HOUR(Sync!$U107),2)&amp;RIGHT("00"&amp;MINUTE(Sync!$U107),2),IFERROR(RIGHT("00"&amp;VALUE(LEFT(Sync!$U107,FIND(":",Sync!$U107)-1)),2)&amp;RIGHT("00"&amp;VALUE(MID(Sync!$U107,FIND(":",Sync!$U107)+1,2)),2),"0000"))))</f>
        <v/>
      </c>
    </row>
    <row r="112" spans="1:17" x14ac:dyDescent="0.2">
      <c r="A112" t="str">
        <f>IF(Sync!$T108="","",Sync!$T108)</f>
        <v>1405/07/21</v>
      </c>
      <c r="B112">
        <f t="shared" si="6"/>
        <v>1405</v>
      </c>
      <c r="C112">
        <f t="shared" si="7"/>
        <v>7</v>
      </c>
      <c r="D112">
        <f t="shared" si="8"/>
        <v>21</v>
      </c>
      <c r="E112" t="str">
        <f t="shared" si="9"/>
        <v>1405/07/21</v>
      </c>
      <c r="F112" t="str">
        <f t="shared" si="10"/>
        <v>1405/07</v>
      </c>
      <c r="G112" t="str">
        <f>IF(OR($E112="",$E112="نامعتبر",Sync!$X108=""),"",IF(AND(LEFT(UPPER(TRIM(Sync!$X108)),2)="SL",IFERROR(VLOOKUP(Sync!$W108,OpTbl,3,0),"")="فروش"),UPPER(TRIM(Sync!$X108)),""))</f>
        <v/>
      </c>
      <c r="H112" t="str">
        <f>IF($G112="","",IF(Sync!$W108="","",Sync!$W108))</f>
        <v/>
      </c>
      <c r="I112" t="str">
        <f>IF(OR($G112="",Sync!$Y108=""),"",Sync!$Y108)</f>
        <v/>
      </c>
      <c r="J112" t="str">
        <f>IF(OR($G112="",Sync!$Z108=""),"",Sync!$Z108)</f>
        <v/>
      </c>
      <c r="K112">
        <f>IF($G112="",0,IF(Sync!$AA108="",0,Sync!$AA108))</f>
        <v>0</v>
      </c>
      <c r="L112">
        <f>IF($G112="",0,IF(Sync!$AB108="",0,Sync!$AB108))</f>
        <v>0</v>
      </c>
      <c r="M112" t="str">
        <f t="shared" si="11"/>
        <v/>
      </c>
      <c r="N112">
        <f>IF($G112="",0,IF($H112="مرجوعی فروش",-1,1)*IF(Sync!$AC108="",0,Sync!$AC108))</f>
        <v>0</v>
      </c>
      <c r="O112" t="str">
        <f>IF(OR($G112="",Sync!$V108=""),"",Sync!$V108)</f>
        <v/>
      </c>
      <c r="P112" t="str">
        <f>IF(OR($G112="",Sync!$AD108=""),"",Sync!$AD108)</f>
        <v/>
      </c>
      <c r="Q112" t="str">
        <f>IF($G112="","",IF(Sync!$U108="","0000",IF(AND(ISNUMBER(Sync!$U108),Sync!$U108&gt;=0,Sync!$U108&lt;1),RIGHT("00"&amp;HOUR(Sync!$U108),2)&amp;RIGHT("00"&amp;MINUTE(Sync!$U108),2),IFERROR(RIGHT("00"&amp;VALUE(LEFT(Sync!$U108,FIND(":",Sync!$U108)-1)),2)&amp;RIGHT("00"&amp;VALUE(MID(Sync!$U108,FIND(":",Sync!$U108)+1,2)),2),"0000"))))</f>
        <v/>
      </c>
    </row>
    <row r="113" spans="1:17" x14ac:dyDescent="0.2">
      <c r="A113" t="str">
        <f>IF(Sync!$T109="","",Sync!$T109)</f>
        <v>1405/07/21</v>
      </c>
      <c r="B113">
        <f t="shared" si="6"/>
        <v>1405</v>
      </c>
      <c r="C113">
        <f t="shared" si="7"/>
        <v>7</v>
      </c>
      <c r="D113">
        <f t="shared" si="8"/>
        <v>21</v>
      </c>
      <c r="E113" t="str">
        <f t="shared" si="9"/>
        <v>1405/07/21</v>
      </c>
      <c r="F113" t="str">
        <f t="shared" si="10"/>
        <v>1405/07</v>
      </c>
      <c r="G113" t="str">
        <f>IF(OR($E113="",$E113="نامعتبر",Sync!$X109=""),"",IF(AND(LEFT(UPPER(TRIM(Sync!$X109)),2)="SL",IFERROR(VLOOKUP(Sync!$W109,OpTbl,3,0),"")="فروش"),UPPER(TRIM(Sync!$X109)),""))</f>
        <v/>
      </c>
      <c r="H113" t="str">
        <f>IF($G113="","",IF(Sync!$W109="","",Sync!$W109))</f>
        <v/>
      </c>
      <c r="I113" t="str">
        <f>IF(OR($G113="",Sync!$Y109=""),"",Sync!$Y109)</f>
        <v/>
      </c>
      <c r="J113" t="str">
        <f>IF(OR($G113="",Sync!$Z109=""),"",Sync!$Z109)</f>
        <v/>
      </c>
      <c r="K113">
        <f>IF($G113="",0,IF(Sync!$AA109="",0,Sync!$AA109))</f>
        <v>0</v>
      </c>
      <c r="L113">
        <f>IF($G113="",0,IF(Sync!$AB109="",0,Sync!$AB109))</f>
        <v>0</v>
      </c>
      <c r="M113" t="str">
        <f t="shared" si="11"/>
        <v/>
      </c>
      <c r="N113">
        <f>IF($G113="",0,IF($H113="مرجوعی فروش",-1,1)*IF(Sync!$AC109="",0,Sync!$AC109))</f>
        <v>0</v>
      </c>
      <c r="O113" t="str">
        <f>IF(OR($G113="",Sync!$V109=""),"",Sync!$V109)</f>
        <v/>
      </c>
      <c r="P113" t="str">
        <f>IF(OR($G113="",Sync!$AD109=""),"",Sync!$AD109)</f>
        <v/>
      </c>
      <c r="Q113" t="str">
        <f>IF($G113="","",IF(Sync!$U109="","0000",IF(AND(ISNUMBER(Sync!$U109),Sync!$U109&gt;=0,Sync!$U109&lt;1),RIGHT("00"&amp;HOUR(Sync!$U109),2)&amp;RIGHT("00"&amp;MINUTE(Sync!$U109),2),IFERROR(RIGHT("00"&amp;VALUE(LEFT(Sync!$U109,FIND(":",Sync!$U109)-1)),2)&amp;RIGHT("00"&amp;VALUE(MID(Sync!$U109,FIND(":",Sync!$U109)+1,2)),2),"0000"))))</f>
        <v/>
      </c>
    </row>
    <row r="114" spans="1:17" x14ac:dyDescent="0.2">
      <c r="A114" t="str">
        <f>IF(Sync!$T110="","",Sync!$T110)</f>
        <v>1405/07/21</v>
      </c>
      <c r="B114">
        <f t="shared" si="6"/>
        <v>1405</v>
      </c>
      <c r="C114">
        <f t="shared" si="7"/>
        <v>7</v>
      </c>
      <c r="D114">
        <f t="shared" si="8"/>
        <v>21</v>
      </c>
      <c r="E114" t="str">
        <f t="shared" si="9"/>
        <v>1405/07/21</v>
      </c>
      <c r="F114" t="str">
        <f t="shared" si="10"/>
        <v>1405/07</v>
      </c>
      <c r="G114" t="str">
        <f>IF(OR($E114="",$E114="نامعتبر",Sync!$X110=""),"",IF(AND(LEFT(UPPER(TRIM(Sync!$X110)),2)="SL",IFERROR(VLOOKUP(Sync!$W110,OpTbl,3,0),"")="فروش"),UPPER(TRIM(Sync!$X110)),""))</f>
        <v/>
      </c>
      <c r="H114" t="str">
        <f>IF($G114="","",IF(Sync!$W110="","",Sync!$W110))</f>
        <v/>
      </c>
      <c r="I114" t="str">
        <f>IF(OR($G114="",Sync!$Y110=""),"",Sync!$Y110)</f>
        <v/>
      </c>
      <c r="J114" t="str">
        <f>IF(OR($G114="",Sync!$Z110=""),"",Sync!$Z110)</f>
        <v/>
      </c>
      <c r="K114">
        <f>IF($G114="",0,IF(Sync!$AA110="",0,Sync!$AA110))</f>
        <v>0</v>
      </c>
      <c r="L114">
        <f>IF($G114="",0,IF(Sync!$AB110="",0,Sync!$AB110))</f>
        <v>0</v>
      </c>
      <c r="M114" t="str">
        <f t="shared" si="11"/>
        <v/>
      </c>
      <c r="N114">
        <f>IF($G114="",0,IF($H114="مرجوعی فروش",-1,1)*IF(Sync!$AC110="",0,Sync!$AC110))</f>
        <v>0</v>
      </c>
      <c r="O114" t="str">
        <f>IF(OR($G114="",Sync!$V110=""),"",Sync!$V110)</f>
        <v/>
      </c>
      <c r="P114" t="str">
        <f>IF(OR($G114="",Sync!$AD110=""),"",Sync!$AD110)</f>
        <v/>
      </c>
      <c r="Q114" t="str">
        <f>IF($G114="","",IF(Sync!$U110="","0000",IF(AND(ISNUMBER(Sync!$U110),Sync!$U110&gt;=0,Sync!$U110&lt;1),RIGHT("00"&amp;HOUR(Sync!$U110),2)&amp;RIGHT("00"&amp;MINUTE(Sync!$U110),2),IFERROR(RIGHT("00"&amp;VALUE(LEFT(Sync!$U110,FIND(":",Sync!$U110)-1)),2)&amp;RIGHT("00"&amp;VALUE(MID(Sync!$U110,FIND(":",Sync!$U110)+1,2)),2),"0000"))))</f>
        <v/>
      </c>
    </row>
    <row r="115" spans="1:17" x14ac:dyDescent="0.2">
      <c r="A115" t="str">
        <f>IF(Sync!$T111="","",Sync!$T111)</f>
        <v>1405/07/22</v>
      </c>
      <c r="B115">
        <f t="shared" si="6"/>
        <v>1405</v>
      </c>
      <c r="C115">
        <f t="shared" si="7"/>
        <v>7</v>
      </c>
      <c r="D115">
        <f t="shared" si="8"/>
        <v>22</v>
      </c>
      <c r="E115" t="str">
        <f t="shared" si="9"/>
        <v>1405/07/22</v>
      </c>
      <c r="F115" t="str">
        <f t="shared" si="10"/>
        <v>1405/07</v>
      </c>
      <c r="G115" t="str">
        <f>IF(OR($E115="",$E115="نامعتبر",Sync!$X111=""),"",IF(AND(LEFT(UPPER(TRIM(Sync!$X111)),2)="SL",IFERROR(VLOOKUP(Sync!$W111,OpTbl,3,0),"")="فروش"),UPPER(TRIM(Sync!$X111)),""))</f>
        <v>SL002</v>
      </c>
      <c r="H115" t="str">
        <f>IF($G115="","",IF(Sync!$W111="","",Sync!$W111))</f>
        <v>فروش</v>
      </c>
      <c r="I115" t="str">
        <f>IF(OR($G115="",Sync!$Y111=""),"",Sync!$Y111)</f>
        <v/>
      </c>
      <c r="J115" t="str">
        <f>IF(OR($G115="",Sync!$Z111=""),"",Sync!$Z111)</f>
        <v/>
      </c>
      <c r="K115">
        <f>IF($G115="",0,IF(Sync!$AA111="",0,Sync!$AA111))</f>
        <v>3030</v>
      </c>
      <c r="L115">
        <f>IF($G115="",0,IF(Sync!$AB111="",0,Sync!$AB111))</f>
        <v>0</v>
      </c>
      <c r="M115">
        <f t="shared" si="11"/>
        <v>3030</v>
      </c>
      <c r="N115">
        <f>IF($G115="",0,IF($H115="مرجوعی فروش",-1,1)*IF(Sync!$AC111="",0,Sync!$AC111))</f>
        <v>0</v>
      </c>
      <c r="O115" t="str">
        <f>IF(OR($G115="",Sync!$V111=""),"",Sync!$V111)</f>
        <v/>
      </c>
      <c r="P115" t="str">
        <f>IF(OR($G115="",Sync!$AD111=""),"",Sync!$AD111)</f>
        <v/>
      </c>
      <c r="Q115" t="str">
        <f>IF($G115="","",IF(Sync!$U111="","0000",IF(AND(ISNUMBER(Sync!$U111),Sync!$U111&gt;=0,Sync!$U111&lt;1),RIGHT("00"&amp;HOUR(Sync!$U111),2)&amp;RIGHT("00"&amp;MINUTE(Sync!$U111),2),IFERROR(RIGHT("00"&amp;VALUE(LEFT(Sync!$U111,FIND(":",Sync!$U111)-1)),2)&amp;RIGHT("00"&amp;VALUE(MID(Sync!$U111,FIND(":",Sync!$U111)+1,2)),2),"0000"))))</f>
        <v>0000</v>
      </c>
    </row>
    <row r="116" spans="1:17" x14ac:dyDescent="0.2">
      <c r="A116" t="str">
        <f>IF(Sync!$T112="","",Sync!$T112)</f>
        <v>1405/07/22</v>
      </c>
      <c r="B116">
        <f t="shared" si="6"/>
        <v>1405</v>
      </c>
      <c r="C116">
        <f t="shared" si="7"/>
        <v>7</v>
      </c>
      <c r="D116">
        <f t="shared" si="8"/>
        <v>22</v>
      </c>
      <c r="E116" t="str">
        <f t="shared" si="9"/>
        <v>1405/07/22</v>
      </c>
      <c r="F116" t="str">
        <f t="shared" si="10"/>
        <v>1405/07</v>
      </c>
      <c r="G116" t="str">
        <f>IF(OR($E116="",$E116="نامعتبر",Sync!$X112=""),"",IF(AND(LEFT(UPPER(TRIM(Sync!$X112)),2)="SL",IFERROR(VLOOKUP(Sync!$W112,OpTbl,3,0),"")="فروش"),UPPER(TRIM(Sync!$X112)),""))</f>
        <v/>
      </c>
      <c r="H116" t="str">
        <f>IF($G116="","",IF(Sync!$W112="","",Sync!$W112))</f>
        <v/>
      </c>
      <c r="I116" t="str">
        <f>IF(OR($G116="",Sync!$Y112=""),"",Sync!$Y112)</f>
        <v/>
      </c>
      <c r="J116" t="str">
        <f>IF(OR($G116="",Sync!$Z112=""),"",Sync!$Z112)</f>
        <v/>
      </c>
      <c r="K116">
        <f>IF($G116="",0,IF(Sync!$AA112="",0,Sync!$AA112))</f>
        <v>0</v>
      </c>
      <c r="L116">
        <f>IF($G116="",0,IF(Sync!$AB112="",0,Sync!$AB112))</f>
        <v>0</v>
      </c>
      <c r="M116" t="str">
        <f t="shared" si="11"/>
        <v/>
      </c>
      <c r="N116">
        <f>IF($G116="",0,IF($H116="مرجوعی فروش",-1,1)*IF(Sync!$AC112="",0,Sync!$AC112))</f>
        <v>0</v>
      </c>
      <c r="O116" t="str">
        <f>IF(OR($G116="",Sync!$V112=""),"",Sync!$V112)</f>
        <v/>
      </c>
      <c r="P116" t="str">
        <f>IF(OR($G116="",Sync!$AD112=""),"",Sync!$AD112)</f>
        <v/>
      </c>
      <c r="Q116" t="str">
        <f>IF($G116="","",IF(Sync!$U112="","0000",IF(AND(ISNUMBER(Sync!$U112),Sync!$U112&gt;=0,Sync!$U112&lt;1),RIGHT("00"&amp;HOUR(Sync!$U112),2)&amp;RIGHT("00"&amp;MINUTE(Sync!$U112),2),IFERROR(RIGHT("00"&amp;VALUE(LEFT(Sync!$U112,FIND(":",Sync!$U112)-1)),2)&amp;RIGHT("00"&amp;VALUE(MID(Sync!$U112,FIND(":",Sync!$U112)+1,2)),2),"0000"))))</f>
        <v/>
      </c>
    </row>
    <row r="117" spans="1:17" x14ac:dyDescent="0.2">
      <c r="A117" t="str">
        <f>IF(Sync!$T113="","",Sync!$T113)</f>
        <v>1405/07/22</v>
      </c>
      <c r="B117">
        <f t="shared" si="6"/>
        <v>1405</v>
      </c>
      <c r="C117">
        <f t="shared" si="7"/>
        <v>7</v>
      </c>
      <c r="D117">
        <f t="shared" si="8"/>
        <v>22</v>
      </c>
      <c r="E117" t="str">
        <f t="shared" si="9"/>
        <v>1405/07/22</v>
      </c>
      <c r="F117" t="str">
        <f t="shared" si="10"/>
        <v>1405/07</v>
      </c>
      <c r="G117" t="str">
        <f>IF(OR($E117="",$E117="نامعتبر",Sync!$X113=""),"",IF(AND(LEFT(UPPER(TRIM(Sync!$X113)),2)="SL",IFERROR(VLOOKUP(Sync!$W113,OpTbl,3,0),"")="فروش"),UPPER(TRIM(Sync!$X113)),""))</f>
        <v/>
      </c>
      <c r="H117" t="str">
        <f>IF($G117="","",IF(Sync!$W113="","",Sync!$W113))</f>
        <v/>
      </c>
      <c r="I117" t="str">
        <f>IF(OR($G117="",Sync!$Y113=""),"",Sync!$Y113)</f>
        <v/>
      </c>
      <c r="J117" t="str">
        <f>IF(OR($G117="",Sync!$Z113=""),"",Sync!$Z113)</f>
        <v/>
      </c>
      <c r="K117">
        <f>IF($G117="",0,IF(Sync!$AA113="",0,Sync!$AA113))</f>
        <v>0</v>
      </c>
      <c r="L117">
        <f>IF($G117="",0,IF(Sync!$AB113="",0,Sync!$AB113))</f>
        <v>0</v>
      </c>
      <c r="M117" t="str">
        <f t="shared" si="11"/>
        <v/>
      </c>
      <c r="N117">
        <f>IF($G117="",0,IF($H117="مرجوعی فروش",-1,1)*IF(Sync!$AC113="",0,Sync!$AC113))</f>
        <v>0</v>
      </c>
      <c r="O117" t="str">
        <f>IF(OR($G117="",Sync!$V113=""),"",Sync!$V113)</f>
        <v/>
      </c>
      <c r="P117" t="str">
        <f>IF(OR($G117="",Sync!$AD113=""),"",Sync!$AD113)</f>
        <v/>
      </c>
      <c r="Q117" t="str">
        <f>IF($G117="","",IF(Sync!$U113="","0000",IF(AND(ISNUMBER(Sync!$U113),Sync!$U113&gt;=0,Sync!$U113&lt;1),RIGHT("00"&amp;HOUR(Sync!$U113),2)&amp;RIGHT("00"&amp;MINUTE(Sync!$U113),2),IFERROR(RIGHT("00"&amp;VALUE(LEFT(Sync!$U113,FIND(":",Sync!$U113)-1)),2)&amp;RIGHT("00"&amp;VALUE(MID(Sync!$U113,FIND(":",Sync!$U113)+1,2)),2),"0000"))))</f>
        <v/>
      </c>
    </row>
    <row r="118" spans="1:17" x14ac:dyDescent="0.2">
      <c r="A118" t="str">
        <f>IF(Sync!$T114="","",Sync!$T114)</f>
        <v>1405/07/22</v>
      </c>
      <c r="B118">
        <f t="shared" si="6"/>
        <v>1405</v>
      </c>
      <c r="C118">
        <f t="shared" si="7"/>
        <v>7</v>
      </c>
      <c r="D118">
        <f t="shared" si="8"/>
        <v>22</v>
      </c>
      <c r="E118" t="str">
        <f t="shared" si="9"/>
        <v>1405/07/22</v>
      </c>
      <c r="F118" t="str">
        <f t="shared" si="10"/>
        <v>1405/07</v>
      </c>
      <c r="G118" t="str">
        <f>IF(OR($E118="",$E118="نامعتبر",Sync!$X114=""),"",IF(AND(LEFT(UPPER(TRIM(Sync!$X114)),2)="SL",IFERROR(VLOOKUP(Sync!$W114,OpTbl,3,0),"")="فروش"),UPPER(TRIM(Sync!$X114)),""))</f>
        <v/>
      </c>
      <c r="H118" t="str">
        <f>IF($G118="","",IF(Sync!$W114="","",Sync!$W114))</f>
        <v/>
      </c>
      <c r="I118" t="str">
        <f>IF(OR($G118="",Sync!$Y114=""),"",Sync!$Y114)</f>
        <v/>
      </c>
      <c r="J118" t="str">
        <f>IF(OR($G118="",Sync!$Z114=""),"",Sync!$Z114)</f>
        <v/>
      </c>
      <c r="K118">
        <f>IF($G118="",0,IF(Sync!$AA114="",0,Sync!$AA114))</f>
        <v>0</v>
      </c>
      <c r="L118">
        <f>IF($G118="",0,IF(Sync!$AB114="",0,Sync!$AB114))</f>
        <v>0</v>
      </c>
      <c r="M118" t="str">
        <f t="shared" si="11"/>
        <v/>
      </c>
      <c r="N118">
        <f>IF($G118="",0,IF($H118="مرجوعی فروش",-1,1)*IF(Sync!$AC114="",0,Sync!$AC114))</f>
        <v>0</v>
      </c>
      <c r="O118" t="str">
        <f>IF(OR($G118="",Sync!$V114=""),"",Sync!$V114)</f>
        <v/>
      </c>
      <c r="P118" t="str">
        <f>IF(OR($G118="",Sync!$AD114=""),"",Sync!$AD114)</f>
        <v/>
      </c>
      <c r="Q118" t="str">
        <f>IF($G118="","",IF(Sync!$U114="","0000",IF(AND(ISNUMBER(Sync!$U114),Sync!$U114&gt;=0,Sync!$U114&lt;1),RIGHT("00"&amp;HOUR(Sync!$U114),2)&amp;RIGHT("00"&amp;MINUTE(Sync!$U114),2),IFERROR(RIGHT("00"&amp;VALUE(LEFT(Sync!$U114,FIND(":",Sync!$U114)-1)),2)&amp;RIGHT("00"&amp;VALUE(MID(Sync!$U114,FIND(":",Sync!$U114)+1,2)),2),"0000"))))</f>
        <v/>
      </c>
    </row>
    <row r="119" spans="1:17" x14ac:dyDescent="0.2">
      <c r="A119" t="str">
        <f>IF(Sync!$T115="","",Sync!$T115)</f>
        <v>1405/07/22</v>
      </c>
      <c r="B119">
        <f t="shared" si="6"/>
        <v>1405</v>
      </c>
      <c r="C119">
        <f t="shared" si="7"/>
        <v>7</v>
      </c>
      <c r="D119">
        <f t="shared" si="8"/>
        <v>22</v>
      </c>
      <c r="E119" t="str">
        <f t="shared" si="9"/>
        <v>1405/07/22</v>
      </c>
      <c r="F119" t="str">
        <f t="shared" si="10"/>
        <v>1405/07</v>
      </c>
      <c r="G119" t="str">
        <f>IF(OR($E119="",$E119="نامعتبر",Sync!$X115=""),"",IF(AND(LEFT(UPPER(TRIM(Sync!$X115)),2)="SL",IFERROR(VLOOKUP(Sync!$W115,OpTbl,3,0),"")="فروش"),UPPER(TRIM(Sync!$X115)),""))</f>
        <v/>
      </c>
      <c r="H119" t="str">
        <f>IF($G119="","",IF(Sync!$W115="","",Sync!$W115))</f>
        <v/>
      </c>
      <c r="I119" t="str">
        <f>IF(OR($G119="",Sync!$Y115=""),"",Sync!$Y115)</f>
        <v/>
      </c>
      <c r="J119" t="str">
        <f>IF(OR($G119="",Sync!$Z115=""),"",Sync!$Z115)</f>
        <v/>
      </c>
      <c r="K119">
        <f>IF($G119="",0,IF(Sync!$AA115="",0,Sync!$AA115))</f>
        <v>0</v>
      </c>
      <c r="L119">
        <f>IF($G119="",0,IF(Sync!$AB115="",0,Sync!$AB115))</f>
        <v>0</v>
      </c>
      <c r="M119" t="str">
        <f t="shared" si="11"/>
        <v/>
      </c>
      <c r="N119">
        <f>IF($G119="",0,IF($H119="مرجوعی فروش",-1,1)*IF(Sync!$AC115="",0,Sync!$AC115))</f>
        <v>0</v>
      </c>
      <c r="O119" t="str">
        <f>IF(OR($G119="",Sync!$V115=""),"",Sync!$V115)</f>
        <v/>
      </c>
      <c r="P119" t="str">
        <f>IF(OR($G119="",Sync!$AD115=""),"",Sync!$AD115)</f>
        <v/>
      </c>
      <c r="Q119" t="str">
        <f>IF($G119="","",IF(Sync!$U115="","0000",IF(AND(ISNUMBER(Sync!$U115),Sync!$U115&gt;=0,Sync!$U115&lt;1),RIGHT("00"&amp;HOUR(Sync!$U115),2)&amp;RIGHT("00"&amp;MINUTE(Sync!$U115),2),IFERROR(RIGHT("00"&amp;VALUE(LEFT(Sync!$U115,FIND(":",Sync!$U115)-1)),2)&amp;RIGHT("00"&amp;VALUE(MID(Sync!$U115,FIND(":",Sync!$U115)+1,2)),2),"0000"))))</f>
        <v/>
      </c>
    </row>
    <row r="120" spans="1:17" x14ac:dyDescent="0.2">
      <c r="A120" t="str">
        <f>IF(Sync!$T116="","",Sync!$T116)</f>
        <v>1405/07/22</v>
      </c>
      <c r="B120">
        <f t="shared" si="6"/>
        <v>1405</v>
      </c>
      <c r="C120">
        <f t="shared" si="7"/>
        <v>7</v>
      </c>
      <c r="D120">
        <f t="shared" si="8"/>
        <v>22</v>
      </c>
      <c r="E120" t="str">
        <f t="shared" si="9"/>
        <v>1405/07/22</v>
      </c>
      <c r="F120" t="str">
        <f t="shared" si="10"/>
        <v>1405/07</v>
      </c>
      <c r="G120" t="str">
        <f>IF(OR($E120="",$E120="نامعتبر",Sync!$X116=""),"",IF(AND(LEFT(UPPER(TRIM(Sync!$X116)),2)="SL",IFERROR(VLOOKUP(Sync!$W116,OpTbl,3,0),"")="فروش"),UPPER(TRIM(Sync!$X116)),""))</f>
        <v/>
      </c>
      <c r="H120" t="str">
        <f>IF($G120="","",IF(Sync!$W116="","",Sync!$W116))</f>
        <v/>
      </c>
      <c r="I120" t="str">
        <f>IF(OR($G120="",Sync!$Y116=""),"",Sync!$Y116)</f>
        <v/>
      </c>
      <c r="J120" t="str">
        <f>IF(OR($G120="",Sync!$Z116=""),"",Sync!$Z116)</f>
        <v/>
      </c>
      <c r="K120">
        <f>IF($G120="",0,IF(Sync!$AA116="",0,Sync!$AA116))</f>
        <v>0</v>
      </c>
      <c r="L120">
        <f>IF($G120="",0,IF(Sync!$AB116="",0,Sync!$AB116))</f>
        <v>0</v>
      </c>
      <c r="M120" t="str">
        <f t="shared" si="11"/>
        <v/>
      </c>
      <c r="N120">
        <f>IF($G120="",0,IF($H120="مرجوعی فروش",-1,1)*IF(Sync!$AC116="",0,Sync!$AC116))</f>
        <v>0</v>
      </c>
      <c r="O120" t="str">
        <f>IF(OR($G120="",Sync!$V116=""),"",Sync!$V116)</f>
        <v/>
      </c>
      <c r="P120" t="str">
        <f>IF(OR($G120="",Sync!$AD116=""),"",Sync!$AD116)</f>
        <v/>
      </c>
      <c r="Q120" t="str">
        <f>IF($G120="","",IF(Sync!$U116="","0000",IF(AND(ISNUMBER(Sync!$U116),Sync!$U116&gt;=0,Sync!$U116&lt;1),RIGHT("00"&amp;HOUR(Sync!$U116),2)&amp;RIGHT("00"&amp;MINUTE(Sync!$U116),2),IFERROR(RIGHT("00"&amp;VALUE(LEFT(Sync!$U116,FIND(":",Sync!$U116)-1)),2)&amp;RIGHT("00"&amp;VALUE(MID(Sync!$U116,FIND(":",Sync!$U116)+1,2)),2),"0000"))))</f>
        <v/>
      </c>
    </row>
    <row r="121" spans="1:17" x14ac:dyDescent="0.2">
      <c r="A121" t="str">
        <f>IF(Sync!$T117="","",Sync!$T117)</f>
        <v>1405/07/22</v>
      </c>
      <c r="B121">
        <f t="shared" si="6"/>
        <v>1405</v>
      </c>
      <c r="C121">
        <f t="shared" si="7"/>
        <v>7</v>
      </c>
      <c r="D121">
        <f t="shared" si="8"/>
        <v>22</v>
      </c>
      <c r="E121" t="str">
        <f t="shared" si="9"/>
        <v>1405/07/22</v>
      </c>
      <c r="F121" t="str">
        <f t="shared" si="10"/>
        <v>1405/07</v>
      </c>
      <c r="G121" t="str">
        <f>IF(OR($E121="",$E121="نامعتبر",Sync!$X117=""),"",IF(AND(LEFT(UPPER(TRIM(Sync!$X117)),2)="SL",IFERROR(VLOOKUP(Sync!$W117,OpTbl,3,0),"")="فروش"),UPPER(TRIM(Sync!$X117)),""))</f>
        <v/>
      </c>
      <c r="H121" t="str">
        <f>IF($G121="","",IF(Sync!$W117="","",Sync!$W117))</f>
        <v/>
      </c>
      <c r="I121" t="str">
        <f>IF(OR($G121="",Sync!$Y117=""),"",Sync!$Y117)</f>
        <v/>
      </c>
      <c r="J121" t="str">
        <f>IF(OR($G121="",Sync!$Z117=""),"",Sync!$Z117)</f>
        <v/>
      </c>
      <c r="K121">
        <f>IF($G121="",0,IF(Sync!$AA117="",0,Sync!$AA117))</f>
        <v>0</v>
      </c>
      <c r="L121">
        <f>IF($G121="",0,IF(Sync!$AB117="",0,Sync!$AB117))</f>
        <v>0</v>
      </c>
      <c r="M121" t="str">
        <f t="shared" si="11"/>
        <v/>
      </c>
      <c r="N121">
        <f>IF($G121="",0,IF($H121="مرجوعی فروش",-1,1)*IF(Sync!$AC117="",0,Sync!$AC117))</f>
        <v>0</v>
      </c>
      <c r="O121" t="str">
        <f>IF(OR($G121="",Sync!$V117=""),"",Sync!$V117)</f>
        <v/>
      </c>
      <c r="P121" t="str">
        <f>IF(OR($G121="",Sync!$AD117=""),"",Sync!$AD117)</f>
        <v/>
      </c>
      <c r="Q121" t="str">
        <f>IF($G121="","",IF(Sync!$U117="","0000",IF(AND(ISNUMBER(Sync!$U117),Sync!$U117&gt;=0,Sync!$U117&lt;1),RIGHT("00"&amp;HOUR(Sync!$U117),2)&amp;RIGHT("00"&amp;MINUTE(Sync!$U117),2),IFERROR(RIGHT("00"&amp;VALUE(LEFT(Sync!$U117,FIND(":",Sync!$U117)-1)),2)&amp;RIGHT("00"&amp;VALUE(MID(Sync!$U117,FIND(":",Sync!$U117)+1,2)),2),"0000"))))</f>
        <v/>
      </c>
    </row>
    <row r="122" spans="1:17" x14ac:dyDescent="0.2">
      <c r="A122" t="str">
        <f>IF(Sync!$T118="","",Sync!$T118)</f>
        <v>1405/07/22</v>
      </c>
      <c r="B122">
        <f t="shared" si="6"/>
        <v>1405</v>
      </c>
      <c r="C122">
        <f t="shared" si="7"/>
        <v>7</v>
      </c>
      <c r="D122">
        <f t="shared" si="8"/>
        <v>22</v>
      </c>
      <c r="E122" t="str">
        <f t="shared" si="9"/>
        <v>1405/07/22</v>
      </c>
      <c r="F122" t="str">
        <f t="shared" si="10"/>
        <v>1405/07</v>
      </c>
      <c r="G122" t="str">
        <f>IF(OR($E122="",$E122="نامعتبر",Sync!$X118=""),"",IF(AND(LEFT(UPPER(TRIM(Sync!$X118)),2)="SL",IFERROR(VLOOKUP(Sync!$W118,OpTbl,3,0),"")="فروش"),UPPER(TRIM(Sync!$X118)),""))</f>
        <v/>
      </c>
      <c r="H122" t="str">
        <f>IF($G122="","",IF(Sync!$W118="","",Sync!$W118))</f>
        <v/>
      </c>
      <c r="I122" t="str">
        <f>IF(OR($G122="",Sync!$Y118=""),"",Sync!$Y118)</f>
        <v/>
      </c>
      <c r="J122" t="str">
        <f>IF(OR($G122="",Sync!$Z118=""),"",Sync!$Z118)</f>
        <v/>
      </c>
      <c r="K122">
        <f>IF($G122="",0,IF(Sync!$AA118="",0,Sync!$AA118))</f>
        <v>0</v>
      </c>
      <c r="L122">
        <f>IF($G122="",0,IF(Sync!$AB118="",0,Sync!$AB118))</f>
        <v>0</v>
      </c>
      <c r="M122" t="str">
        <f t="shared" si="11"/>
        <v/>
      </c>
      <c r="N122">
        <f>IF($G122="",0,IF($H122="مرجوعی فروش",-1,1)*IF(Sync!$AC118="",0,Sync!$AC118))</f>
        <v>0</v>
      </c>
      <c r="O122" t="str">
        <f>IF(OR($G122="",Sync!$V118=""),"",Sync!$V118)</f>
        <v/>
      </c>
      <c r="P122" t="str">
        <f>IF(OR($G122="",Sync!$AD118=""),"",Sync!$AD118)</f>
        <v/>
      </c>
      <c r="Q122" t="str">
        <f>IF($G122="","",IF(Sync!$U118="","0000",IF(AND(ISNUMBER(Sync!$U118),Sync!$U118&gt;=0,Sync!$U118&lt;1),RIGHT("00"&amp;HOUR(Sync!$U118),2)&amp;RIGHT("00"&amp;MINUTE(Sync!$U118),2),IFERROR(RIGHT("00"&amp;VALUE(LEFT(Sync!$U118,FIND(":",Sync!$U118)-1)),2)&amp;RIGHT("00"&amp;VALUE(MID(Sync!$U118,FIND(":",Sync!$U118)+1,2)),2),"0000"))))</f>
        <v/>
      </c>
    </row>
    <row r="123" spans="1:17" x14ac:dyDescent="0.2">
      <c r="A123" t="str">
        <f>IF(Sync!$T119="","",Sync!$T119)</f>
        <v>1405/07/22</v>
      </c>
      <c r="B123">
        <f t="shared" si="6"/>
        <v>1405</v>
      </c>
      <c r="C123">
        <f t="shared" si="7"/>
        <v>7</v>
      </c>
      <c r="D123">
        <f t="shared" si="8"/>
        <v>22</v>
      </c>
      <c r="E123" t="str">
        <f t="shared" si="9"/>
        <v>1405/07/22</v>
      </c>
      <c r="F123" t="str">
        <f t="shared" si="10"/>
        <v>1405/07</v>
      </c>
      <c r="G123" t="str">
        <f>IF(OR($E123="",$E123="نامعتبر",Sync!$X119=""),"",IF(AND(LEFT(UPPER(TRIM(Sync!$X119)),2)="SL",IFERROR(VLOOKUP(Sync!$W119,OpTbl,3,0),"")="فروش"),UPPER(TRIM(Sync!$X119)),""))</f>
        <v>SL003</v>
      </c>
      <c r="H123" t="str">
        <f>IF($G123="","",IF(Sync!$W119="","",Sync!$W119))</f>
        <v>فروش</v>
      </c>
      <c r="I123" t="str">
        <f>IF(OR($G123="",Sync!$Y119=""),"",Sync!$Y119)</f>
        <v/>
      </c>
      <c r="J123" t="str">
        <f>IF(OR($G123="",Sync!$Z119=""),"",Sync!$Z119)</f>
        <v/>
      </c>
      <c r="K123">
        <f>IF($G123="",0,IF(Sync!$AA119="",0,Sync!$AA119))</f>
        <v>2015</v>
      </c>
      <c r="L123">
        <f>IF($G123="",0,IF(Sync!$AB119="",0,Sync!$AB119))</f>
        <v>0</v>
      </c>
      <c r="M123">
        <f t="shared" si="11"/>
        <v>2015</v>
      </c>
      <c r="N123">
        <f>IF($G123="",0,IF($H123="مرجوعی فروش",-1,1)*IF(Sync!$AC119="",0,Sync!$AC119))</f>
        <v>0</v>
      </c>
      <c r="O123" t="str">
        <f>IF(OR($G123="",Sync!$V119=""),"",Sync!$V119)</f>
        <v/>
      </c>
      <c r="P123" t="str">
        <f>IF(OR($G123="",Sync!$AD119=""),"",Sync!$AD119)</f>
        <v/>
      </c>
      <c r="Q123" t="str">
        <f>IF($G123="","",IF(Sync!$U119="","0000",IF(AND(ISNUMBER(Sync!$U119),Sync!$U119&gt;=0,Sync!$U119&lt;1),RIGHT("00"&amp;HOUR(Sync!$U119),2)&amp;RIGHT("00"&amp;MINUTE(Sync!$U119),2),IFERROR(RIGHT("00"&amp;VALUE(LEFT(Sync!$U119,FIND(":",Sync!$U119)-1)),2)&amp;RIGHT("00"&amp;VALUE(MID(Sync!$U119,FIND(":",Sync!$U119)+1,2)),2),"0000"))))</f>
        <v>0000</v>
      </c>
    </row>
    <row r="124" spans="1:17" x14ac:dyDescent="0.2">
      <c r="A124" t="str">
        <f>IF(Sync!$T120="","",Sync!$T120)</f>
        <v>1405/07/22</v>
      </c>
      <c r="B124">
        <f t="shared" si="6"/>
        <v>1405</v>
      </c>
      <c r="C124">
        <f t="shared" si="7"/>
        <v>7</v>
      </c>
      <c r="D124">
        <f t="shared" si="8"/>
        <v>22</v>
      </c>
      <c r="E124" t="str">
        <f t="shared" si="9"/>
        <v>1405/07/22</v>
      </c>
      <c r="F124" t="str">
        <f t="shared" si="10"/>
        <v>1405/07</v>
      </c>
      <c r="G124" t="str">
        <f>IF(OR($E124="",$E124="نامعتبر",Sync!$X120=""),"",IF(AND(LEFT(UPPER(TRIM(Sync!$X120)),2)="SL",IFERROR(VLOOKUP(Sync!$W120,OpTbl,3,0),"")="فروش"),UPPER(TRIM(Sync!$X120)),""))</f>
        <v/>
      </c>
      <c r="H124" t="str">
        <f>IF($G124="","",IF(Sync!$W120="","",Sync!$W120))</f>
        <v/>
      </c>
      <c r="I124" t="str">
        <f>IF(OR($G124="",Sync!$Y120=""),"",Sync!$Y120)</f>
        <v/>
      </c>
      <c r="J124" t="str">
        <f>IF(OR($G124="",Sync!$Z120=""),"",Sync!$Z120)</f>
        <v/>
      </c>
      <c r="K124">
        <f>IF($G124="",0,IF(Sync!$AA120="",0,Sync!$AA120))</f>
        <v>0</v>
      </c>
      <c r="L124">
        <f>IF($G124="",0,IF(Sync!$AB120="",0,Sync!$AB120))</f>
        <v>0</v>
      </c>
      <c r="M124" t="str">
        <f t="shared" si="11"/>
        <v/>
      </c>
      <c r="N124">
        <f>IF($G124="",0,IF($H124="مرجوعی فروش",-1,1)*IF(Sync!$AC120="",0,Sync!$AC120))</f>
        <v>0</v>
      </c>
      <c r="O124" t="str">
        <f>IF(OR($G124="",Sync!$V120=""),"",Sync!$V120)</f>
        <v/>
      </c>
      <c r="P124" t="str">
        <f>IF(OR($G124="",Sync!$AD120=""),"",Sync!$AD120)</f>
        <v/>
      </c>
      <c r="Q124" t="str">
        <f>IF($G124="","",IF(Sync!$U120="","0000",IF(AND(ISNUMBER(Sync!$U120),Sync!$U120&gt;=0,Sync!$U120&lt;1),RIGHT("00"&amp;HOUR(Sync!$U120),2)&amp;RIGHT("00"&amp;MINUTE(Sync!$U120),2),IFERROR(RIGHT("00"&amp;VALUE(LEFT(Sync!$U120,FIND(":",Sync!$U120)-1)),2)&amp;RIGHT("00"&amp;VALUE(MID(Sync!$U120,FIND(":",Sync!$U120)+1,2)),2),"0000"))))</f>
        <v/>
      </c>
    </row>
    <row r="125" spans="1:17" x14ac:dyDescent="0.2">
      <c r="A125" t="str">
        <f>IF(Sync!$T121="","",Sync!$T121)</f>
        <v>1405/07/22</v>
      </c>
      <c r="B125">
        <f t="shared" si="6"/>
        <v>1405</v>
      </c>
      <c r="C125">
        <f t="shared" si="7"/>
        <v>7</v>
      </c>
      <c r="D125">
        <f t="shared" si="8"/>
        <v>22</v>
      </c>
      <c r="E125" t="str">
        <f t="shared" si="9"/>
        <v>1405/07/22</v>
      </c>
      <c r="F125" t="str">
        <f t="shared" si="10"/>
        <v>1405/07</v>
      </c>
      <c r="G125" t="str">
        <f>IF(OR($E125="",$E125="نامعتبر",Sync!$X121=""),"",IF(AND(LEFT(UPPER(TRIM(Sync!$X121)),2)="SL",IFERROR(VLOOKUP(Sync!$W121,OpTbl,3,0),"")="فروش"),UPPER(TRIM(Sync!$X121)),""))</f>
        <v/>
      </c>
      <c r="H125" t="str">
        <f>IF($G125="","",IF(Sync!$W121="","",Sync!$W121))</f>
        <v/>
      </c>
      <c r="I125" t="str">
        <f>IF(OR($G125="",Sync!$Y121=""),"",Sync!$Y121)</f>
        <v/>
      </c>
      <c r="J125" t="str">
        <f>IF(OR($G125="",Sync!$Z121=""),"",Sync!$Z121)</f>
        <v/>
      </c>
      <c r="K125">
        <f>IF($G125="",0,IF(Sync!$AA121="",0,Sync!$AA121))</f>
        <v>0</v>
      </c>
      <c r="L125">
        <f>IF($G125="",0,IF(Sync!$AB121="",0,Sync!$AB121))</f>
        <v>0</v>
      </c>
      <c r="M125" t="str">
        <f t="shared" si="11"/>
        <v/>
      </c>
      <c r="N125">
        <f>IF($G125="",0,IF($H125="مرجوعی فروش",-1,1)*IF(Sync!$AC121="",0,Sync!$AC121))</f>
        <v>0</v>
      </c>
      <c r="O125" t="str">
        <f>IF(OR($G125="",Sync!$V121=""),"",Sync!$V121)</f>
        <v/>
      </c>
      <c r="P125" t="str">
        <f>IF(OR($G125="",Sync!$AD121=""),"",Sync!$AD121)</f>
        <v/>
      </c>
      <c r="Q125" t="str">
        <f>IF($G125="","",IF(Sync!$U121="","0000",IF(AND(ISNUMBER(Sync!$U121),Sync!$U121&gt;=0,Sync!$U121&lt;1),RIGHT("00"&amp;HOUR(Sync!$U121),2)&amp;RIGHT("00"&amp;MINUTE(Sync!$U121),2),IFERROR(RIGHT("00"&amp;VALUE(LEFT(Sync!$U121,FIND(":",Sync!$U121)-1)),2)&amp;RIGHT("00"&amp;VALUE(MID(Sync!$U121,FIND(":",Sync!$U121)+1,2)),2),"0000"))))</f>
        <v/>
      </c>
    </row>
    <row r="126" spans="1:17" x14ac:dyDescent="0.2">
      <c r="A126" t="str">
        <f>IF(Sync!$T122="","",Sync!$T122)</f>
        <v>1405/07/22</v>
      </c>
      <c r="B126">
        <f t="shared" si="6"/>
        <v>1405</v>
      </c>
      <c r="C126">
        <f t="shared" si="7"/>
        <v>7</v>
      </c>
      <c r="D126">
        <f t="shared" si="8"/>
        <v>22</v>
      </c>
      <c r="E126" t="str">
        <f t="shared" si="9"/>
        <v>1405/07/22</v>
      </c>
      <c r="F126" t="str">
        <f t="shared" si="10"/>
        <v>1405/07</v>
      </c>
      <c r="G126" t="str">
        <f>IF(OR($E126="",$E126="نامعتبر",Sync!$X122=""),"",IF(AND(LEFT(UPPER(TRIM(Sync!$X122)),2)="SL",IFERROR(VLOOKUP(Sync!$W122,OpTbl,3,0),"")="فروش"),UPPER(TRIM(Sync!$X122)),""))</f>
        <v/>
      </c>
      <c r="H126" t="str">
        <f>IF($G126="","",IF(Sync!$W122="","",Sync!$W122))</f>
        <v/>
      </c>
      <c r="I126" t="str">
        <f>IF(OR($G126="",Sync!$Y122=""),"",Sync!$Y122)</f>
        <v/>
      </c>
      <c r="J126" t="str">
        <f>IF(OR($G126="",Sync!$Z122=""),"",Sync!$Z122)</f>
        <v/>
      </c>
      <c r="K126">
        <f>IF($G126="",0,IF(Sync!$AA122="",0,Sync!$AA122))</f>
        <v>0</v>
      </c>
      <c r="L126">
        <f>IF($G126="",0,IF(Sync!$AB122="",0,Sync!$AB122))</f>
        <v>0</v>
      </c>
      <c r="M126" t="str">
        <f t="shared" si="11"/>
        <v/>
      </c>
      <c r="N126">
        <f>IF($G126="",0,IF($H126="مرجوعی فروش",-1,1)*IF(Sync!$AC122="",0,Sync!$AC122))</f>
        <v>0</v>
      </c>
      <c r="O126" t="str">
        <f>IF(OR($G126="",Sync!$V122=""),"",Sync!$V122)</f>
        <v/>
      </c>
      <c r="P126" t="str">
        <f>IF(OR($G126="",Sync!$AD122=""),"",Sync!$AD122)</f>
        <v/>
      </c>
      <c r="Q126" t="str">
        <f>IF($G126="","",IF(Sync!$U122="","0000",IF(AND(ISNUMBER(Sync!$U122),Sync!$U122&gt;=0,Sync!$U122&lt;1),RIGHT("00"&amp;HOUR(Sync!$U122),2)&amp;RIGHT("00"&amp;MINUTE(Sync!$U122),2),IFERROR(RIGHT("00"&amp;VALUE(LEFT(Sync!$U122,FIND(":",Sync!$U122)-1)),2)&amp;RIGHT("00"&amp;VALUE(MID(Sync!$U122,FIND(":",Sync!$U122)+1,2)),2),"0000"))))</f>
        <v/>
      </c>
    </row>
    <row r="127" spans="1:17" x14ac:dyDescent="0.2">
      <c r="A127" t="str">
        <f>IF(Sync!$T123="","",Sync!$T123)</f>
        <v>1405/07/22</v>
      </c>
      <c r="B127">
        <f t="shared" si="6"/>
        <v>1405</v>
      </c>
      <c r="C127">
        <f t="shared" si="7"/>
        <v>7</v>
      </c>
      <c r="D127">
        <f t="shared" si="8"/>
        <v>22</v>
      </c>
      <c r="E127" t="str">
        <f t="shared" si="9"/>
        <v>1405/07/22</v>
      </c>
      <c r="F127" t="str">
        <f t="shared" si="10"/>
        <v>1405/07</v>
      </c>
      <c r="G127" t="str">
        <f>IF(OR($E127="",$E127="نامعتبر",Sync!$X123=""),"",IF(AND(LEFT(UPPER(TRIM(Sync!$X123)),2)="SL",IFERROR(VLOOKUP(Sync!$W123,OpTbl,3,0),"")="فروش"),UPPER(TRIM(Sync!$X123)),""))</f>
        <v>SL001</v>
      </c>
      <c r="H127" t="str">
        <f>IF($G127="","",IF(Sync!$W123="","",Sync!$W123))</f>
        <v>فروش</v>
      </c>
      <c r="I127" t="str">
        <f>IF(OR($G127="",Sync!$Y123=""),"",Sync!$Y123)</f>
        <v/>
      </c>
      <c r="J127" t="str">
        <f>IF(OR($G127="",Sync!$Z123=""),"",Sync!$Z123)</f>
        <v/>
      </c>
      <c r="K127">
        <f>IF($G127="",0,IF(Sync!$AA123="",0,Sync!$AA123))</f>
        <v>2175</v>
      </c>
      <c r="L127">
        <f>IF($G127="",0,IF(Sync!$AB123="",0,Sync!$AB123))</f>
        <v>0</v>
      </c>
      <c r="M127">
        <f t="shared" si="11"/>
        <v>2175</v>
      </c>
      <c r="N127">
        <f>IF($G127="",0,IF($H127="مرجوعی فروش",-1,1)*IF(Sync!$AC123="",0,Sync!$AC123))</f>
        <v>0</v>
      </c>
      <c r="O127" t="str">
        <f>IF(OR($G127="",Sync!$V123=""),"",Sync!$V123)</f>
        <v/>
      </c>
      <c r="P127" t="str">
        <f>IF(OR($G127="",Sync!$AD123=""),"",Sync!$AD123)</f>
        <v/>
      </c>
      <c r="Q127" t="str">
        <f>IF($G127="","",IF(Sync!$U123="","0000",IF(AND(ISNUMBER(Sync!$U123),Sync!$U123&gt;=0,Sync!$U123&lt;1),RIGHT("00"&amp;HOUR(Sync!$U123),2)&amp;RIGHT("00"&amp;MINUTE(Sync!$U123),2),IFERROR(RIGHT("00"&amp;VALUE(LEFT(Sync!$U123,FIND(":",Sync!$U123)-1)),2)&amp;RIGHT("00"&amp;VALUE(MID(Sync!$U123,FIND(":",Sync!$U123)+1,2)),2),"0000"))))</f>
        <v>0000</v>
      </c>
    </row>
    <row r="128" spans="1:17" x14ac:dyDescent="0.2">
      <c r="A128" t="str">
        <f>IF(Sync!$T124="","",Sync!$T124)</f>
        <v>1405/07/22</v>
      </c>
      <c r="B128">
        <f t="shared" si="6"/>
        <v>1405</v>
      </c>
      <c r="C128">
        <f t="shared" si="7"/>
        <v>7</v>
      </c>
      <c r="D128">
        <f t="shared" si="8"/>
        <v>22</v>
      </c>
      <c r="E128" t="str">
        <f t="shared" si="9"/>
        <v>1405/07/22</v>
      </c>
      <c r="F128" t="str">
        <f t="shared" si="10"/>
        <v>1405/07</v>
      </c>
      <c r="G128" t="str">
        <f>IF(OR($E128="",$E128="نامعتبر",Sync!$X124=""),"",IF(AND(LEFT(UPPER(TRIM(Sync!$X124)),2)="SL",IFERROR(VLOOKUP(Sync!$W124,OpTbl,3,0),"")="فروش"),UPPER(TRIM(Sync!$X124)),""))</f>
        <v/>
      </c>
      <c r="H128" t="str">
        <f>IF($G128="","",IF(Sync!$W124="","",Sync!$W124))</f>
        <v/>
      </c>
      <c r="I128" t="str">
        <f>IF(OR($G128="",Sync!$Y124=""),"",Sync!$Y124)</f>
        <v/>
      </c>
      <c r="J128" t="str">
        <f>IF(OR($G128="",Sync!$Z124=""),"",Sync!$Z124)</f>
        <v/>
      </c>
      <c r="K128">
        <f>IF($G128="",0,IF(Sync!$AA124="",0,Sync!$AA124))</f>
        <v>0</v>
      </c>
      <c r="L128">
        <f>IF($G128="",0,IF(Sync!$AB124="",0,Sync!$AB124))</f>
        <v>0</v>
      </c>
      <c r="M128" t="str">
        <f t="shared" si="11"/>
        <v/>
      </c>
      <c r="N128">
        <f>IF($G128="",0,IF($H128="مرجوعی فروش",-1,1)*IF(Sync!$AC124="",0,Sync!$AC124))</f>
        <v>0</v>
      </c>
      <c r="O128" t="str">
        <f>IF(OR($G128="",Sync!$V124=""),"",Sync!$V124)</f>
        <v/>
      </c>
      <c r="P128" t="str">
        <f>IF(OR($G128="",Sync!$AD124=""),"",Sync!$AD124)</f>
        <v/>
      </c>
      <c r="Q128" t="str">
        <f>IF($G128="","",IF(Sync!$U124="","0000",IF(AND(ISNUMBER(Sync!$U124),Sync!$U124&gt;=0,Sync!$U124&lt;1),RIGHT("00"&amp;HOUR(Sync!$U124),2)&amp;RIGHT("00"&amp;MINUTE(Sync!$U124),2),IFERROR(RIGHT("00"&amp;VALUE(LEFT(Sync!$U124,FIND(":",Sync!$U124)-1)),2)&amp;RIGHT("00"&amp;VALUE(MID(Sync!$U124,FIND(":",Sync!$U124)+1,2)),2),"0000"))))</f>
        <v/>
      </c>
    </row>
    <row r="129" spans="1:17" x14ac:dyDescent="0.2">
      <c r="A129" t="str">
        <f>IF(Sync!$T125="","",Sync!$T125)</f>
        <v>1405/07/22</v>
      </c>
      <c r="B129">
        <f t="shared" si="6"/>
        <v>1405</v>
      </c>
      <c r="C129">
        <f t="shared" si="7"/>
        <v>7</v>
      </c>
      <c r="D129">
        <f t="shared" si="8"/>
        <v>22</v>
      </c>
      <c r="E129" t="str">
        <f t="shared" si="9"/>
        <v>1405/07/22</v>
      </c>
      <c r="F129" t="str">
        <f t="shared" si="10"/>
        <v>1405/07</v>
      </c>
      <c r="G129" t="str">
        <f>IF(OR($E129="",$E129="نامعتبر",Sync!$X125=""),"",IF(AND(LEFT(UPPER(TRIM(Sync!$X125)),2)="SL",IFERROR(VLOOKUP(Sync!$W125,OpTbl,3,0),"")="فروش"),UPPER(TRIM(Sync!$X125)),""))</f>
        <v/>
      </c>
      <c r="H129" t="str">
        <f>IF($G129="","",IF(Sync!$W125="","",Sync!$W125))</f>
        <v/>
      </c>
      <c r="I129" t="str">
        <f>IF(OR($G129="",Sync!$Y125=""),"",Sync!$Y125)</f>
        <v/>
      </c>
      <c r="J129" t="str">
        <f>IF(OR($G129="",Sync!$Z125=""),"",Sync!$Z125)</f>
        <v/>
      </c>
      <c r="K129">
        <f>IF($G129="",0,IF(Sync!$AA125="",0,Sync!$AA125))</f>
        <v>0</v>
      </c>
      <c r="L129">
        <f>IF($G129="",0,IF(Sync!$AB125="",0,Sync!$AB125))</f>
        <v>0</v>
      </c>
      <c r="M129" t="str">
        <f t="shared" si="11"/>
        <v/>
      </c>
      <c r="N129">
        <f>IF($G129="",0,IF($H129="مرجوعی فروش",-1,1)*IF(Sync!$AC125="",0,Sync!$AC125))</f>
        <v>0</v>
      </c>
      <c r="O129" t="str">
        <f>IF(OR($G129="",Sync!$V125=""),"",Sync!$V125)</f>
        <v/>
      </c>
      <c r="P129" t="str">
        <f>IF(OR($G129="",Sync!$AD125=""),"",Sync!$AD125)</f>
        <v/>
      </c>
      <c r="Q129" t="str">
        <f>IF($G129="","",IF(Sync!$U125="","0000",IF(AND(ISNUMBER(Sync!$U125),Sync!$U125&gt;=0,Sync!$U125&lt;1),RIGHT("00"&amp;HOUR(Sync!$U125),2)&amp;RIGHT("00"&amp;MINUTE(Sync!$U125),2),IFERROR(RIGHT("00"&amp;VALUE(LEFT(Sync!$U125,FIND(":",Sync!$U125)-1)),2)&amp;RIGHT("00"&amp;VALUE(MID(Sync!$U125,FIND(":",Sync!$U125)+1,2)),2),"0000"))))</f>
        <v/>
      </c>
    </row>
    <row r="130" spans="1:17" x14ac:dyDescent="0.2">
      <c r="A130" t="str">
        <f>IF(Sync!$T126="","",Sync!$T126)</f>
        <v>1405/07/22</v>
      </c>
      <c r="B130">
        <f t="shared" si="6"/>
        <v>1405</v>
      </c>
      <c r="C130">
        <f t="shared" si="7"/>
        <v>7</v>
      </c>
      <c r="D130">
        <f t="shared" si="8"/>
        <v>22</v>
      </c>
      <c r="E130" t="str">
        <f t="shared" si="9"/>
        <v>1405/07/22</v>
      </c>
      <c r="F130" t="str">
        <f t="shared" si="10"/>
        <v>1405/07</v>
      </c>
      <c r="G130" t="str">
        <f>IF(OR($E130="",$E130="نامعتبر",Sync!$X126=""),"",IF(AND(LEFT(UPPER(TRIM(Sync!$X126)),2)="SL",IFERROR(VLOOKUP(Sync!$W126,OpTbl,3,0),"")="فروش"),UPPER(TRIM(Sync!$X126)),""))</f>
        <v/>
      </c>
      <c r="H130" t="str">
        <f>IF($G130="","",IF(Sync!$W126="","",Sync!$W126))</f>
        <v/>
      </c>
      <c r="I130" t="str">
        <f>IF(OR($G130="",Sync!$Y126=""),"",Sync!$Y126)</f>
        <v/>
      </c>
      <c r="J130" t="str">
        <f>IF(OR($G130="",Sync!$Z126=""),"",Sync!$Z126)</f>
        <v/>
      </c>
      <c r="K130">
        <f>IF($G130="",0,IF(Sync!$AA126="",0,Sync!$AA126))</f>
        <v>0</v>
      </c>
      <c r="L130">
        <f>IF($G130="",0,IF(Sync!$AB126="",0,Sync!$AB126))</f>
        <v>0</v>
      </c>
      <c r="M130" t="str">
        <f t="shared" si="11"/>
        <v/>
      </c>
      <c r="N130">
        <f>IF($G130="",0,IF($H130="مرجوعی فروش",-1,1)*IF(Sync!$AC126="",0,Sync!$AC126))</f>
        <v>0</v>
      </c>
      <c r="O130" t="str">
        <f>IF(OR($G130="",Sync!$V126=""),"",Sync!$V126)</f>
        <v/>
      </c>
      <c r="P130" t="str">
        <f>IF(OR($G130="",Sync!$AD126=""),"",Sync!$AD126)</f>
        <v/>
      </c>
      <c r="Q130" t="str">
        <f>IF($G130="","",IF(Sync!$U126="","0000",IF(AND(ISNUMBER(Sync!$U126),Sync!$U126&gt;=0,Sync!$U126&lt;1),RIGHT("00"&amp;HOUR(Sync!$U126),2)&amp;RIGHT("00"&amp;MINUTE(Sync!$U126),2),IFERROR(RIGHT("00"&amp;VALUE(LEFT(Sync!$U126,FIND(":",Sync!$U126)-1)),2)&amp;RIGHT("00"&amp;VALUE(MID(Sync!$U126,FIND(":",Sync!$U126)+1,2)),2),"0000"))))</f>
        <v/>
      </c>
    </row>
    <row r="131" spans="1:17" x14ac:dyDescent="0.2">
      <c r="A131" t="str">
        <f>IF(Sync!$T127="","",Sync!$T127)</f>
        <v>1405/07/22</v>
      </c>
      <c r="B131">
        <f t="shared" si="6"/>
        <v>1405</v>
      </c>
      <c r="C131">
        <f t="shared" si="7"/>
        <v>7</v>
      </c>
      <c r="D131">
        <f t="shared" si="8"/>
        <v>22</v>
      </c>
      <c r="E131" t="str">
        <f t="shared" si="9"/>
        <v>1405/07/22</v>
      </c>
      <c r="F131" t="str">
        <f t="shared" si="10"/>
        <v>1405/07</v>
      </c>
      <c r="G131" t="str">
        <f>IF(OR($E131="",$E131="نامعتبر",Sync!$X127=""),"",IF(AND(LEFT(UPPER(TRIM(Sync!$X127)),2)="SL",IFERROR(VLOOKUP(Sync!$W127,OpTbl,3,0),"")="فروش"),UPPER(TRIM(Sync!$X127)),""))</f>
        <v/>
      </c>
      <c r="H131" t="str">
        <f>IF($G131="","",IF(Sync!$W127="","",Sync!$W127))</f>
        <v/>
      </c>
      <c r="I131" t="str">
        <f>IF(OR($G131="",Sync!$Y127=""),"",Sync!$Y127)</f>
        <v/>
      </c>
      <c r="J131" t="str">
        <f>IF(OR($G131="",Sync!$Z127=""),"",Sync!$Z127)</f>
        <v/>
      </c>
      <c r="K131">
        <f>IF($G131="",0,IF(Sync!$AA127="",0,Sync!$AA127))</f>
        <v>0</v>
      </c>
      <c r="L131">
        <f>IF($G131="",0,IF(Sync!$AB127="",0,Sync!$AB127))</f>
        <v>0</v>
      </c>
      <c r="M131" t="str">
        <f t="shared" si="11"/>
        <v/>
      </c>
      <c r="N131">
        <f>IF($G131="",0,IF($H131="مرجوعی فروش",-1,1)*IF(Sync!$AC127="",0,Sync!$AC127))</f>
        <v>0</v>
      </c>
      <c r="O131" t="str">
        <f>IF(OR($G131="",Sync!$V127=""),"",Sync!$V127)</f>
        <v/>
      </c>
      <c r="P131" t="str">
        <f>IF(OR($G131="",Sync!$AD127=""),"",Sync!$AD127)</f>
        <v/>
      </c>
      <c r="Q131" t="str">
        <f>IF($G131="","",IF(Sync!$U127="","0000",IF(AND(ISNUMBER(Sync!$U127),Sync!$U127&gt;=0,Sync!$U127&lt;1),RIGHT("00"&amp;HOUR(Sync!$U127),2)&amp;RIGHT("00"&amp;MINUTE(Sync!$U127),2),IFERROR(RIGHT("00"&amp;VALUE(LEFT(Sync!$U127,FIND(":",Sync!$U127)-1)),2)&amp;RIGHT("00"&amp;VALUE(MID(Sync!$U127,FIND(":",Sync!$U127)+1,2)),2),"0000"))))</f>
        <v/>
      </c>
    </row>
    <row r="132" spans="1:17" x14ac:dyDescent="0.2">
      <c r="A132" t="str">
        <f>IF(Sync!$T128="","",Sync!$T128)</f>
        <v>1405/07/23</v>
      </c>
      <c r="B132">
        <f t="shared" si="6"/>
        <v>1405</v>
      </c>
      <c r="C132">
        <f t="shared" si="7"/>
        <v>7</v>
      </c>
      <c r="D132">
        <f t="shared" si="8"/>
        <v>23</v>
      </c>
      <c r="E132" t="str">
        <f t="shared" si="9"/>
        <v>1405/07/23</v>
      </c>
      <c r="F132" t="str">
        <f t="shared" si="10"/>
        <v>1405/07</v>
      </c>
      <c r="G132" t="str">
        <f>IF(OR($E132="",$E132="نامعتبر",Sync!$X128=""),"",IF(AND(LEFT(UPPER(TRIM(Sync!$X128)),2)="SL",IFERROR(VLOOKUP(Sync!$W128,OpTbl,3,0),"")="فروش"),UPPER(TRIM(Sync!$X128)),""))</f>
        <v/>
      </c>
      <c r="H132" t="str">
        <f>IF($G132="","",IF(Sync!$W128="","",Sync!$W128))</f>
        <v/>
      </c>
      <c r="I132" t="str">
        <f>IF(OR($G132="",Sync!$Y128=""),"",Sync!$Y128)</f>
        <v/>
      </c>
      <c r="J132" t="str">
        <f>IF(OR($G132="",Sync!$Z128=""),"",Sync!$Z128)</f>
        <v/>
      </c>
      <c r="K132">
        <f>IF($G132="",0,IF(Sync!$AA128="",0,Sync!$AA128))</f>
        <v>0</v>
      </c>
      <c r="L132">
        <f>IF($G132="",0,IF(Sync!$AB128="",0,Sync!$AB128))</f>
        <v>0</v>
      </c>
      <c r="M132" t="str">
        <f t="shared" si="11"/>
        <v/>
      </c>
      <c r="N132">
        <f>IF($G132="",0,IF($H132="مرجوعی فروش",-1,1)*IF(Sync!$AC128="",0,Sync!$AC128))</f>
        <v>0</v>
      </c>
      <c r="O132" t="str">
        <f>IF(OR($G132="",Sync!$V128=""),"",Sync!$V128)</f>
        <v/>
      </c>
      <c r="P132" t="str">
        <f>IF(OR($G132="",Sync!$AD128=""),"",Sync!$AD128)</f>
        <v/>
      </c>
      <c r="Q132" t="str">
        <f>IF($G132="","",IF(Sync!$U128="","0000",IF(AND(ISNUMBER(Sync!$U128),Sync!$U128&gt;=0,Sync!$U128&lt;1),RIGHT("00"&amp;HOUR(Sync!$U128),2)&amp;RIGHT("00"&amp;MINUTE(Sync!$U128),2),IFERROR(RIGHT("00"&amp;VALUE(LEFT(Sync!$U128,FIND(":",Sync!$U128)-1)),2)&amp;RIGHT("00"&amp;VALUE(MID(Sync!$U128,FIND(":",Sync!$U128)+1,2)),2),"0000"))))</f>
        <v/>
      </c>
    </row>
    <row r="133" spans="1:17" x14ac:dyDescent="0.2">
      <c r="A133" t="str">
        <f>IF(Sync!$T129="","",Sync!$T129)</f>
        <v>1405/07/23</v>
      </c>
      <c r="B133">
        <f t="shared" si="6"/>
        <v>1405</v>
      </c>
      <c r="C133">
        <f t="shared" si="7"/>
        <v>7</v>
      </c>
      <c r="D133">
        <f t="shared" si="8"/>
        <v>23</v>
      </c>
      <c r="E133" t="str">
        <f t="shared" si="9"/>
        <v>1405/07/23</v>
      </c>
      <c r="F133" t="str">
        <f t="shared" si="10"/>
        <v>1405/07</v>
      </c>
      <c r="G133" t="str">
        <f>IF(OR($E133="",$E133="نامعتبر",Sync!$X129=""),"",IF(AND(LEFT(UPPER(TRIM(Sync!$X129)),2)="SL",IFERROR(VLOOKUP(Sync!$W129,OpTbl,3,0),"")="فروش"),UPPER(TRIM(Sync!$X129)),""))</f>
        <v/>
      </c>
      <c r="H133" t="str">
        <f>IF($G133="","",IF(Sync!$W129="","",Sync!$W129))</f>
        <v/>
      </c>
      <c r="I133" t="str">
        <f>IF(OR($G133="",Sync!$Y129=""),"",Sync!$Y129)</f>
        <v/>
      </c>
      <c r="J133" t="str">
        <f>IF(OR($G133="",Sync!$Z129=""),"",Sync!$Z129)</f>
        <v/>
      </c>
      <c r="K133">
        <f>IF($G133="",0,IF(Sync!$AA129="",0,Sync!$AA129))</f>
        <v>0</v>
      </c>
      <c r="L133">
        <f>IF($G133="",0,IF(Sync!$AB129="",0,Sync!$AB129))</f>
        <v>0</v>
      </c>
      <c r="M133" t="str">
        <f t="shared" si="11"/>
        <v/>
      </c>
      <c r="N133">
        <f>IF($G133="",0,IF($H133="مرجوعی فروش",-1,1)*IF(Sync!$AC129="",0,Sync!$AC129))</f>
        <v>0</v>
      </c>
      <c r="O133" t="str">
        <f>IF(OR($G133="",Sync!$V129=""),"",Sync!$V129)</f>
        <v/>
      </c>
      <c r="P133" t="str">
        <f>IF(OR($G133="",Sync!$AD129=""),"",Sync!$AD129)</f>
        <v/>
      </c>
      <c r="Q133" t="str">
        <f>IF($G133="","",IF(Sync!$U129="","0000",IF(AND(ISNUMBER(Sync!$U129),Sync!$U129&gt;=0,Sync!$U129&lt;1),RIGHT("00"&amp;HOUR(Sync!$U129),2)&amp;RIGHT("00"&amp;MINUTE(Sync!$U129),2),IFERROR(RIGHT("00"&amp;VALUE(LEFT(Sync!$U129,FIND(":",Sync!$U129)-1)),2)&amp;RIGHT("00"&amp;VALUE(MID(Sync!$U129,FIND(":",Sync!$U129)+1,2)),2),"0000"))))</f>
        <v/>
      </c>
    </row>
    <row r="134" spans="1:17" x14ac:dyDescent="0.2">
      <c r="A134" t="str">
        <f>IF(Sync!$T130="","",Sync!$T130)</f>
        <v>1405/07/23</v>
      </c>
      <c r="B134">
        <f t="shared" si="6"/>
        <v>1405</v>
      </c>
      <c r="C134">
        <f t="shared" si="7"/>
        <v>7</v>
      </c>
      <c r="D134">
        <f t="shared" si="8"/>
        <v>23</v>
      </c>
      <c r="E134" t="str">
        <f t="shared" si="9"/>
        <v>1405/07/23</v>
      </c>
      <c r="F134" t="str">
        <f t="shared" si="10"/>
        <v>1405/07</v>
      </c>
      <c r="G134" t="str">
        <f>IF(OR($E134="",$E134="نامعتبر",Sync!$X130=""),"",IF(AND(LEFT(UPPER(TRIM(Sync!$X130)),2)="SL",IFERROR(VLOOKUP(Sync!$W130,OpTbl,3,0),"")="فروش"),UPPER(TRIM(Sync!$X130)),""))</f>
        <v/>
      </c>
      <c r="H134" t="str">
        <f>IF($G134="","",IF(Sync!$W130="","",Sync!$W130))</f>
        <v/>
      </c>
      <c r="I134" t="str">
        <f>IF(OR($G134="",Sync!$Y130=""),"",Sync!$Y130)</f>
        <v/>
      </c>
      <c r="J134" t="str">
        <f>IF(OR($G134="",Sync!$Z130=""),"",Sync!$Z130)</f>
        <v/>
      </c>
      <c r="K134">
        <f>IF($G134="",0,IF(Sync!$AA130="",0,Sync!$AA130))</f>
        <v>0</v>
      </c>
      <c r="L134">
        <f>IF($G134="",0,IF(Sync!$AB130="",0,Sync!$AB130))</f>
        <v>0</v>
      </c>
      <c r="M134" t="str">
        <f t="shared" si="11"/>
        <v/>
      </c>
      <c r="N134">
        <f>IF($G134="",0,IF($H134="مرجوعی فروش",-1,1)*IF(Sync!$AC130="",0,Sync!$AC130))</f>
        <v>0</v>
      </c>
      <c r="O134" t="str">
        <f>IF(OR($G134="",Sync!$V130=""),"",Sync!$V130)</f>
        <v/>
      </c>
      <c r="P134" t="str">
        <f>IF(OR($G134="",Sync!$AD130=""),"",Sync!$AD130)</f>
        <v/>
      </c>
      <c r="Q134" t="str">
        <f>IF($G134="","",IF(Sync!$U130="","0000",IF(AND(ISNUMBER(Sync!$U130),Sync!$U130&gt;=0,Sync!$U130&lt;1),RIGHT("00"&amp;HOUR(Sync!$U130),2)&amp;RIGHT("00"&amp;MINUTE(Sync!$U130),2),IFERROR(RIGHT("00"&amp;VALUE(LEFT(Sync!$U130,FIND(":",Sync!$U130)-1)),2)&amp;RIGHT("00"&amp;VALUE(MID(Sync!$U130,FIND(":",Sync!$U130)+1,2)),2),"0000"))))</f>
        <v/>
      </c>
    </row>
    <row r="135" spans="1:17" x14ac:dyDescent="0.2">
      <c r="A135" t="str">
        <f>IF(Sync!$T131="","",Sync!$T131)</f>
        <v>1405/07/23</v>
      </c>
      <c r="B135">
        <f t="shared" si="6"/>
        <v>1405</v>
      </c>
      <c r="C135">
        <f t="shared" si="7"/>
        <v>7</v>
      </c>
      <c r="D135">
        <f t="shared" si="8"/>
        <v>23</v>
      </c>
      <c r="E135" t="str">
        <f t="shared" si="9"/>
        <v>1405/07/23</v>
      </c>
      <c r="F135" t="str">
        <f t="shared" si="10"/>
        <v>1405/07</v>
      </c>
      <c r="G135" t="str">
        <f>IF(OR($E135="",$E135="نامعتبر",Sync!$X131=""),"",IF(AND(LEFT(UPPER(TRIM(Sync!$X131)),2)="SL",IFERROR(VLOOKUP(Sync!$W131,OpTbl,3,0),"")="فروش"),UPPER(TRIM(Sync!$X131)),""))</f>
        <v/>
      </c>
      <c r="H135" t="str">
        <f>IF($G135="","",IF(Sync!$W131="","",Sync!$W131))</f>
        <v/>
      </c>
      <c r="I135" t="str">
        <f>IF(OR($G135="",Sync!$Y131=""),"",Sync!$Y131)</f>
        <v/>
      </c>
      <c r="J135" t="str">
        <f>IF(OR($G135="",Sync!$Z131=""),"",Sync!$Z131)</f>
        <v/>
      </c>
      <c r="K135">
        <f>IF($G135="",0,IF(Sync!$AA131="",0,Sync!$AA131))</f>
        <v>0</v>
      </c>
      <c r="L135">
        <f>IF($G135="",0,IF(Sync!$AB131="",0,Sync!$AB131))</f>
        <v>0</v>
      </c>
      <c r="M135" t="str">
        <f t="shared" si="11"/>
        <v/>
      </c>
      <c r="N135">
        <f>IF($G135="",0,IF($H135="مرجوعی فروش",-1,1)*IF(Sync!$AC131="",0,Sync!$AC131))</f>
        <v>0</v>
      </c>
      <c r="O135" t="str">
        <f>IF(OR($G135="",Sync!$V131=""),"",Sync!$V131)</f>
        <v/>
      </c>
      <c r="P135" t="str">
        <f>IF(OR($G135="",Sync!$AD131=""),"",Sync!$AD131)</f>
        <v/>
      </c>
      <c r="Q135" t="str">
        <f>IF($G135="","",IF(Sync!$U131="","0000",IF(AND(ISNUMBER(Sync!$U131),Sync!$U131&gt;=0,Sync!$U131&lt;1),RIGHT("00"&amp;HOUR(Sync!$U131),2)&amp;RIGHT("00"&amp;MINUTE(Sync!$U131),2),IFERROR(RIGHT("00"&amp;VALUE(LEFT(Sync!$U131,FIND(":",Sync!$U131)-1)),2)&amp;RIGHT("00"&amp;VALUE(MID(Sync!$U131,FIND(":",Sync!$U131)+1,2)),2),"0000"))))</f>
        <v/>
      </c>
    </row>
    <row r="136" spans="1:17" x14ac:dyDescent="0.2">
      <c r="A136" t="str">
        <f>IF(Sync!$T132="","",Sync!$T132)</f>
        <v>1405/07/23</v>
      </c>
      <c r="B136">
        <f t="shared" si="6"/>
        <v>1405</v>
      </c>
      <c r="C136">
        <f t="shared" si="7"/>
        <v>7</v>
      </c>
      <c r="D136">
        <f t="shared" si="8"/>
        <v>23</v>
      </c>
      <c r="E136" t="str">
        <f t="shared" si="9"/>
        <v>1405/07/23</v>
      </c>
      <c r="F136" t="str">
        <f t="shared" si="10"/>
        <v>1405/07</v>
      </c>
      <c r="G136" t="str">
        <f>IF(OR($E136="",$E136="نامعتبر",Sync!$X132=""),"",IF(AND(LEFT(UPPER(TRIM(Sync!$X132)),2)="SL",IFERROR(VLOOKUP(Sync!$W132,OpTbl,3,0),"")="فروش"),UPPER(TRIM(Sync!$X132)),""))</f>
        <v/>
      </c>
      <c r="H136" t="str">
        <f>IF($G136="","",IF(Sync!$W132="","",Sync!$W132))</f>
        <v/>
      </c>
      <c r="I136" t="str">
        <f>IF(OR($G136="",Sync!$Y132=""),"",Sync!$Y132)</f>
        <v/>
      </c>
      <c r="J136" t="str">
        <f>IF(OR($G136="",Sync!$Z132=""),"",Sync!$Z132)</f>
        <v/>
      </c>
      <c r="K136">
        <f>IF($G136="",0,IF(Sync!$AA132="",0,Sync!$AA132))</f>
        <v>0</v>
      </c>
      <c r="L136">
        <f>IF($G136="",0,IF(Sync!$AB132="",0,Sync!$AB132))</f>
        <v>0</v>
      </c>
      <c r="M136" t="str">
        <f t="shared" si="11"/>
        <v/>
      </c>
      <c r="N136">
        <f>IF($G136="",0,IF($H136="مرجوعی فروش",-1,1)*IF(Sync!$AC132="",0,Sync!$AC132))</f>
        <v>0</v>
      </c>
      <c r="O136" t="str">
        <f>IF(OR($G136="",Sync!$V132=""),"",Sync!$V132)</f>
        <v/>
      </c>
      <c r="P136" t="str">
        <f>IF(OR($G136="",Sync!$AD132=""),"",Sync!$AD132)</f>
        <v/>
      </c>
      <c r="Q136" t="str">
        <f>IF($G136="","",IF(Sync!$U132="","0000",IF(AND(ISNUMBER(Sync!$U132),Sync!$U132&gt;=0,Sync!$U132&lt;1),RIGHT("00"&amp;HOUR(Sync!$U132),2)&amp;RIGHT("00"&amp;MINUTE(Sync!$U132),2),IFERROR(RIGHT("00"&amp;VALUE(LEFT(Sync!$U132,FIND(":",Sync!$U132)-1)),2)&amp;RIGHT("00"&amp;VALUE(MID(Sync!$U132,FIND(":",Sync!$U132)+1,2)),2),"0000"))))</f>
        <v/>
      </c>
    </row>
    <row r="137" spans="1:17" x14ac:dyDescent="0.2">
      <c r="A137" t="str">
        <f>IF(Sync!$T133="","",Sync!$T133)</f>
        <v>1405/07/23</v>
      </c>
      <c r="B137">
        <f t="shared" si="6"/>
        <v>1405</v>
      </c>
      <c r="C137">
        <f t="shared" si="7"/>
        <v>7</v>
      </c>
      <c r="D137">
        <f t="shared" si="8"/>
        <v>23</v>
      </c>
      <c r="E137" t="str">
        <f t="shared" si="9"/>
        <v>1405/07/23</v>
      </c>
      <c r="F137" t="str">
        <f t="shared" si="10"/>
        <v>1405/07</v>
      </c>
      <c r="G137" t="str">
        <f>IF(OR($E137="",$E137="نامعتبر",Sync!$X133=""),"",IF(AND(LEFT(UPPER(TRIM(Sync!$X133)),2)="SL",IFERROR(VLOOKUP(Sync!$W133,OpTbl,3,0),"")="فروش"),UPPER(TRIM(Sync!$X133)),""))</f>
        <v/>
      </c>
      <c r="H137" t="str">
        <f>IF($G137="","",IF(Sync!$W133="","",Sync!$W133))</f>
        <v/>
      </c>
      <c r="I137" t="str">
        <f>IF(OR($G137="",Sync!$Y133=""),"",Sync!$Y133)</f>
        <v/>
      </c>
      <c r="J137" t="str">
        <f>IF(OR($G137="",Sync!$Z133=""),"",Sync!$Z133)</f>
        <v/>
      </c>
      <c r="K137">
        <f>IF($G137="",0,IF(Sync!$AA133="",0,Sync!$AA133))</f>
        <v>0</v>
      </c>
      <c r="L137">
        <f>IF($G137="",0,IF(Sync!$AB133="",0,Sync!$AB133))</f>
        <v>0</v>
      </c>
      <c r="M137" t="str">
        <f t="shared" si="11"/>
        <v/>
      </c>
      <c r="N137">
        <f>IF($G137="",0,IF($H137="مرجوعی فروش",-1,1)*IF(Sync!$AC133="",0,Sync!$AC133))</f>
        <v>0</v>
      </c>
      <c r="O137" t="str">
        <f>IF(OR($G137="",Sync!$V133=""),"",Sync!$V133)</f>
        <v/>
      </c>
      <c r="P137" t="str">
        <f>IF(OR($G137="",Sync!$AD133=""),"",Sync!$AD133)</f>
        <v/>
      </c>
      <c r="Q137" t="str">
        <f>IF($G137="","",IF(Sync!$U133="","0000",IF(AND(ISNUMBER(Sync!$U133),Sync!$U133&gt;=0,Sync!$U133&lt;1),RIGHT("00"&amp;HOUR(Sync!$U133),2)&amp;RIGHT("00"&amp;MINUTE(Sync!$U133),2),IFERROR(RIGHT("00"&amp;VALUE(LEFT(Sync!$U133,FIND(":",Sync!$U133)-1)),2)&amp;RIGHT("00"&amp;VALUE(MID(Sync!$U133,FIND(":",Sync!$U133)+1,2)),2),"0000"))))</f>
        <v/>
      </c>
    </row>
    <row r="138" spans="1:17" x14ac:dyDescent="0.2">
      <c r="A138" t="str">
        <f>IF(Sync!$T134="","",Sync!$T134)</f>
        <v>1405/07/23</v>
      </c>
      <c r="B138">
        <f t="shared" ref="B138:B201" si="12">IF($A138="","",IF(ISNUMBER($A138),IF(AND($A138&gt;=10000101,$A138&lt;=99991231),INT($A138/10000),""),IFERROR(VALUE(TRIM(LEFT($A138,FIND("/",$A138)-1))),"")))</f>
        <v>1405</v>
      </c>
      <c r="C138">
        <f t="shared" ref="C138:C201" si="13">IF(OR($A138="",$B138=""),"",IF(ISNUMBER($A138),INT(MOD($A138,10000)/100),IFERROR(VALUE(TRIM(LEFT(MID($A138,FIND("/",$A138)+1,20),FIND("/",MID($A138,FIND("/",$A138)+1,20))-1))),"")))</f>
        <v>7</v>
      </c>
      <c r="D138">
        <f t="shared" ref="D138:D201" si="14">IF(OR($A138="",$B138=""),"",IF(ISNUMBER($A138),MOD($A138,100),IFERROR(VALUE(TRIM(MID(MID($A138,FIND("/",$A138)+1,20),FIND("/",MID($A138,FIND("/",$A138)+1,20))+1,20))),"")))</f>
        <v>23</v>
      </c>
      <c r="E138" t="str">
        <f t="shared" ref="E138:E201" si="15">IF($A138="","",IF(OR($B138="",$C138="",$D138="",$B138&lt;1300,$B138&gt;1500,$C138&lt;1,$C138&gt;12,$D138&lt;1,$D138&gt;31),"نامعتبر",RIGHT("0000"&amp;$B138,4)&amp;"/"&amp;RIGHT("00"&amp;$C138,2)&amp;"/"&amp;RIGHT("00"&amp;$D138,2)))</f>
        <v>1405/07/23</v>
      </c>
      <c r="F138" t="str">
        <f t="shared" ref="F138:F201" si="16">IF(OR($E138="",$E138="نامعتبر"),"",LEFT($E138,4)&amp;"/"&amp;MID($E138,6,2))</f>
        <v>1405/07</v>
      </c>
      <c r="G138" t="str">
        <f>IF(OR($E138="",$E138="نامعتبر",Sync!$X134=""),"",IF(AND(LEFT(UPPER(TRIM(Sync!$X134)),2)="SL",IFERROR(VLOOKUP(Sync!$W134,OpTbl,3,0),"")="فروش"),UPPER(TRIM(Sync!$X134)),""))</f>
        <v/>
      </c>
      <c r="H138" t="str">
        <f>IF($G138="","",IF(Sync!$W134="","",Sync!$W134))</f>
        <v/>
      </c>
      <c r="I138" t="str">
        <f>IF(OR($G138="",Sync!$Y134=""),"",Sync!$Y134)</f>
        <v/>
      </c>
      <c r="J138" t="str">
        <f>IF(OR($G138="",Sync!$Z134=""),"",Sync!$Z134)</f>
        <v/>
      </c>
      <c r="K138">
        <f>IF($G138="",0,IF(Sync!$AA134="",0,Sync!$AA134))</f>
        <v>0</v>
      </c>
      <c r="L138">
        <f>IF($G138="",0,IF(Sync!$AB134="",0,Sync!$AB134))</f>
        <v>0</v>
      </c>
      <c r="M138" t="str">
        <f t="shared" ref="M138:M201" si="17">IF($G138="","",IF($H138="مرجوعی فروش",-1,1)*($K138-$L138*IFERROR(VLOOKUP("P01",ParamTbl,3,0),1.5)))</f>
        <v/>
      </c>
      <c r="N138">
        <f>IF($G138="",0,IF($H138="مرجوعی فروش",-1,1)*IF(Sync!$AC134="",0,Sync!$AC134))</f>
        <v>0</v>
      </c>
      <c r="O138" t="str">
        <f>IF(OR($G138="",Sync!$V134=""),"",Sync!$V134)</f>
        <v/>
      </c>
      <c r="P138" t="str">
        <f>IF(OR($G138="",Sync!$AD134=""),"",Sync!$AD134)</f>
        <v/>
      </c>
      <c r="Q138" t="str">
        <f>IF($G138="","",IF(Sync!$U134="","0000",IF(AND(ISNUMBER(Sync!$U134),Sync!$U134&gt;=0,Sync!$U134&lt;1),RIGHT("00"&amp;HOUR(Sync!$U134),2)&amp;RIGHT("00"&amp;MINUTE(Sync!$U134),2),IFERROR(RIGHT("00"&amp;VALUE(LEFT(Sync!$U134,FIND(":",Sync!$U134)-1)),2)&amp;RIGHT("00"&amp;VALUE(MID(Sync!$U134,FIND(":",Sync!$U134)+1,2)),2),"0000"))))</f>
        <v/>
      </c>
    </row>
    <row r="139" spans="1:17" x14ac:dyDescent="0.2">
      <c r="A139" t="str">
        <f>IF(Sync!$T135="","",Sync!$T135)</f>
        <v>1405/07/23</v>
      </c>
      <c r="B139">
        <f t="shared" si="12"/>
        <v>1405</v>
      </c>
      <c r="C139">
        <f t="shared" si="13"/>
        <v>7</v>
      </c>
      <c r="D139">
        <f t="shared" si="14"/>
        <v>23</v>
      </c>
      <c r="E139" t="str">
        <f t="shared" si="15"/>
        <v>1405/07/23</v>
      </c>
      <c r="F139" t="str">
        <f t="shared" si="16"/>
        <v>1405/07</v>
      </c>
      <c r="G139" t="str">
        <f>IF(OR($E139="",$E139="نامعتبر",Sync!$X135=""),"",IF(AND(LEFT(UPPER(TRIM(Sync!$X135)),2)="SL",IFERROR(VLOOKUP(Sync!$W135,OpTbl,3,0),"")="فروش"),UPPER(TRIM(Sync!$X135)),""))</f>
        <v/>
      </c>
      <c r="H139" t="str">
        <f>IF($G139="","",IF(Sync!$W135="","",Sync!$W135))</f>
        <v/>
      </c>
      <c r="I139" t="str">
        <f>IF(OR($G139="",Sync!$Y135=""),"",Sync!$Y135)</f>
        <v/>
      </c>
      <c r="J139" t="str">
        <f>IF(OR($G139="",Sync!$Z135=""),"",Sync!$Z135)</f>
        <v/>
      </c>
      <c r="K139">
        <f>IF($G139="",0,IF(Sync!$AA135="",0,Sync!$AA135))</f>
        <v>0</v>
      </c>
      <c r="L139">
        <f>IF($G139="",0,IF(Sync!$AB135="",0,Sync!$AB135))</f>
        <v>0</v>
      </c>
      <c r="M139" t="str">
        <f t="shared" si="17"/>
        <v/>
      </c>
      <c r="N139">
        <f>IF($G139="",0,IF($H139="مرجوعی فروش",-1,1)*IF(Sync!$AC135="",0,Sync!$AC135))</f>
        <v>0</v>
      </c>
      <c r="O139" t="str">
        <f>IF(OR($G139="",Sync!$V135=""),"",Sync!$V135)</f>
        <v/>
      </c>
      <c r="P139" t="str">
        <f>IF(OR($G139="",Sync!$AD135=""),"",Sync!$AD135)</f>
        <v/>
      </c>
      <c r="Q139" t="str">
        <f>IF($G139="","",IF(Sync!$U135="","0000",IF(AND(ISNUMBER(Sync!$U135),Sync!$U135&gt;=0,Sync!$U135&lt;1),RIGHT("00"&amp;HOUR(Sync!$U135),2)&amp;RIGHT("00"&amp;MINUTE(Sync!$U135),2),IFERROR(RIGHT("00"&amp;VALUE(LEFT(Sync!$U135,FIND(":",Sync!$U135)-1)),2)&amp;RIGHT("00"&amp;VALUE(MID(Sync!$U135,FIND(":",Sync!$U135)+1,2)),2),"0000"))))</f>
        <v/>
      </c>
    </row>
    <row r="140" spans="1:17" x14ac:dyDescent="0.2">
      <c r="A140" t="str">
        <f>IF(Sync!$T136="","",Sync!$T136)</f>
        <v>1405/07/23</v>
      </c>
      <c r="B140">
        <f t="shared" si="12"/>
        <v>1405</v>
      </c>
      <c r="C140">
        <f t="shared" si="13"/>
        <v>7</v>
      </c>
      <c r="D140">
        <f t="shared" si="14"/>
        <v>23</v>
      </c>
      <c r="E140" t="str">
        <f t="shared" si="15"/>
        <v>1405/07/23</v>
      </c>
      <c r="F140" t="str">
        <f t="shared" si="16"/>
        <v>1405/07</v>
      </c>
      <c r="G140" t="str">
        <f>IF(OR($E140="",$E140="نامعتبر",Sync!$X136=""),"",IF(AND(LEFT(UPPER(TRIM(Sync!$X136)),2)="SL",IFERROR(VLOOKUP(Sync!$W136,OpTbl,3,0),"")="فروش"),UPPER(TRIM(Sync!$X136)),""))</f>
        <v/>
      </c>
      <c r="H140" t="str">
        <f>IF($G140="","",IF(Sync!$W136="","",Sync!$W136))</f>
        <v/>
      </c>
      <c r="I140" t="str">
        <f>IF(OR($G140="",Sync!$Y136=""),"",Sync!$Y136)</f>
        <v/>
      </c>
      <c r="J140" t="str">
        <f>IF(OR($G140="",Sync!$Z136=""),"",Sync!$Z136)</f>
        <v/>
      </c>
      <c r="K140">
        <f>IF($G140="",0,IF(Sync!$AA136="",0,Sync!$AA136))</f>
        <v>0</v>
      </c>
      <c r="L140">
        <f>IF($G140="",0,IF(Sync!$AB136="",0,Sync!$AB136))</f>
        <v>0</v>
      </c>
      <c r="M140" t="str">
        <f t="shared" si="17"/>
        <v/>
      </c>
      <c r="N140">
        <f>IF($G140="",0,IF($H140="مرجوعی فروش",-1,1)*IF(Sync!$AC136="",0,Sync!$AC136))</f>
        <v>0</v>
      </c>
      <c r="O140" t="str">
        <f>IF(OR($G140="",Sync!$V136=""),"",Sync!$V136)</f>
        <v/>
      </c>
      <c r="P140" t="str">
        <f>IF(OR($G140="",Sync!$AD136=""),"",Sync!$AD136)</f>
        <v/>
      </c>
      <c r="Q140" t="str">
        <f>IF($G140="","",IF(Sync!$U136="","0000",IF(AND(ISNUMBER(Sync!$U136),Sync!$U136&gt;=0,Sync!$U136&lt;1),RIGHT("00"&amp;HOUR(Sync!$U136),2)&amp;RIGHT("00"&amp;MINUTE(Sync!$U136),2),IFERROR(RIGHT("00"&amp;VALUE(LEFT(Sync!$U136,FIND(":",Sync!$U136)-1)),2)&amp;RIGHT("00"&amp;VALUE(MID(Sync!$U136,FIND(":",Sync!$U136)+1,2)),2),"0000"))))</f>
        <v/>
      </c>
    </row>
    <row r="141" spans="1:17" x14ac:dyDescent="0.2">
      <c r="A141" t="str">
        <f>IF(Sync!$T137="","",Sync!$T137)</f>
        <v>1405/07/23</v>
      </c>
      <c r="B141">
        <f t="shared" si="12"/>
        <v>1405</v>
      </c>
      <c r="C141">
        <f t="shared" si="13"/>
        <v>7</v>
      </c>
      <c r="D141">
        <f t="shared" si="14"/>
        <v>23</v>
      </c>
      <c r="E141" t="str">
        <f t="shared" si="15"/>
        <v>1405/07/23</v>
      </c>
      <c r="F141" t="str">
        <f t="shared" si="16"/>
        <v>1405/07</v>
      </c>
      <c r="G141" t="str">
        <f>IF(OR($E141="",$E141="نامعتبر",Sync!$X137=""),"",IF(AND(LEFT(UPPER(TRIM(Sync!$X137)),2)="SL",IFERROR(VLOOKUP(Sync!$W137,OpTbl,3,0),"")="فروش"),UPPER(TRIM(Sync!$X137)),""))</f>
        <v/>
      </c>
      <c r="H141" t="str">
        <f>IF($G141="","",IF(Sync!$W137="","",Sync!$W137))</f>
        <v/>
      </c>
      <c r="I141" t="str">
        <f>IF(OR($G141="",Sync!$Y137=""),"",Sync!$Y137)</f>
        <v/>
      </c>
      <c r="J141" t="str">
        <f>IF(OR($G141="",Sync!$Z137=""),"",Sync!$Z137)</f>
        <v/>
      </c>
      <c r="K141">
        <f>IF($G141="",0,IF(Sync!$AA137="",0,Sync!$AA137))</f>
        <v>0</v>
      </c>
      <c r="L141">
        <f>IF($G141="",0,IF(Sync!$AB137="",0,Sync!$AB137))</f>
        <v>0</v>
      </c>
      <c r="M141" t="str">
        <f t="shared" si="17"/>
        <v/>
      </c>
      <c r="N141">
        <f>IF($G141="",0,IF($H141="مرجوعی فروش",-1,1)*IF(Sync!$AC137="",0,Sync!$AC137))</f>
        <v>0</v>
      </c>
      <c r="O141" t="str">
        <f>IF(OR($G141="",Sync!$V137=""),"",Sync!$V137)</f>
        <v/>
      </c>
      <c r="P141" t="str">
        <f>IF(OR($G141="",Sync!$AD137=""),"",Sync!$AD137)</f>
        <v/>
      </c>
      <c r="Q141" t="str">
        <f>IF($G141="","",IF(Sync!$U137="","0000",IF(AND(ISNUMBER(Sync!$U137),Sync!$U137&gt;=0,Sync!$U137&lt;1),RIGHT("00"&amp;HOUR(Sync!$U137),2)&amp;RIGHT("00"&amp;MINUTE(Sync!$U137),2),IFERROR(RIGHT("00"&amp;VALUE(LEFT(Sync!$U137,FIND(":",Sync!$U137)-1)),2)&amp;RIGHT("00"&amp;VALUE(MID(Sync!$U137,FIND(":",Sync!$U137)+1,2)),2),"0000"))))</f>
        <v/>
      </c>
    </row>
    <row r="142" spans="1:17" x14ac:dyDescent="0.2">
      <c r="A142" t="str">
        <f>IF(Sync!$T138="","",Sync!$T138)</f>
        <v>1405/07/23</v>
      </c>
      <c r="B142">
        <f t="shared" si="12"/>
        <v>1405</v>
      </c>
      <c r="C142">
        <f t="shared" si="13"/>
        <v>7</v>
      </c>
      <c r="D142">
        <f t="shared" si="14"/>
        <v>23</v>
      </c>
      <c r="E142" t="str">
        <f t="shared" si="15"/>
        <v>1405/07/23</v>
      </c>
      <c r="F142" t="str">
        <f t="shared" si="16"/>
        <v>1405/07</v>
      </c>
      <c r="G142" t="str">
        <f>IF(OR($E142="",$E142="نامعتبر",Sync!$X138=""),"",IF(AND(LEFT(UPPER(TRIM(Sync!$X138)),2)="SL",IFERROR(VLOOKUP(Sync!$W138,OpTbl,3,0),"")="فروش"),UPPER(TRIM(Sync!$X138)),""))</f>
        <v/>
      </c>
      <c r="H142" t="str">
        <f>IF($G142="","",IF(Sync!$W138="","",Sync!$W138))</f>
        <v/>
      </c>
      <c r="I142" t="str">
        <f>IF(OR($G142="",Sync!$Y138=""),"",Sync!$Y138)</f>
        <v/>
      </c>
      <c r="J142" t="str">
        <f>IF(OR($G142="",Sync!$Z138=""),"",Sync!$Z138)</f>
        <v/>
      </c>
      <c r="K142">
        <f>IF($G142="",0,IF(Sync!$AA138="",0,Sync!$AA138))</f>
        <v>0</v>
      </c>
      <c r="L142">
        <f>IF($G142="",0,IF(Sync!$AB138="",0,Sync!$AB138))</f>
        <v>0</v>
      </c>
      <c r="M142" t="str">
        <f t="shared" si="17"/>
        <v/>
      </c>
      <c r="N142">
        <f>IF($G142="",0,IF($H142="مرجوعی فروش",-1,1)*IF(Sync!$AC138="",0,Sync!$AC138))</f>
        <v>0</v>
      </c>
      <c r="O142" t="str">
        <f>IF(OR($G142="",Sync!$V138=""),"",Sync!$V138)</f>
        <v/>
      </c>
      <c r="P142" t="str">
        <f>IF(OR($G142="",Sync!$AD138=""),"",Sync!$AD138)</f>
        <v/>
      </c>
      <c r="Q142" t="str">
        <f>IF($G142="","",IF(Sync!$U138="","0000",IF(AND(ISNUMBER(Sync!$U138),Sync!$U138&gt;=0,Sync!$U138&lt;1),RIGHT("00"&amp;HOUR(Sync!$U138),2)&amp;RIGHT("00"&amp;MINUTE(Sync!$U138),2),IFERROR(RIGHT("00"&amp;VALUE(LEFT(Sync!$U138,FIND(":",Sync!$U138)-1)),2)&amp;RIGHT("00"&amp;VALUE(MID(Sync!$U138,FIND(":",Sync!$U138)+1,2)),2),"0000"))))</f>
        <v/>
      </c>
    </row>
    <row r="143" spans="1:17" x14ac:dyDescent="0.2">
      <c r="A143" t="str">
        <f>IF(Sync!$T139="","",Sync!$T139)</f>
        <v>1405/07/23</v>
      </c>
      <c r="B143">
        <f t="shared" si="12"/>
        <v>1405</v>
      </c>
      <c r="C143">
        <f t="shared" si="13"/>
        <v>7</v>
      </c>
      <c r="D143">
        <f t="shared" si="14"/>
        <v>23</v>
      </c>
      <c r="E143" t="str">
        <f t="shared" si="15"/>
        <v>1405/07/23</v>
      </c>
      <c r="F143" t="str">
        <f t="shared" si="16"/>
        <v>1405/07</v>
      </c>
      <c r="G143" t="str">
        <f>IF(OR($E143="",$E143="نامعتبر",Sync!$X139=""),"",IF(AND(LEFT(UPPER(TRIM(Sync!$X139)),2)="SL",IFERROR(VLOOKUP(Sync!$W139,OpTbl,3,0),"")="فروش"),UPPER(TRIM(Sync!$X139)),""))</f>
        <v/>
      </c>
      <c r="H143" t="str">
        <f>IF($G143="","",IF(Sync!$W139="","",Sync!$W139))</f>
        <v/>
      </c>
      <c r="I143" t="str">
        <f>IF(OR($G143="",Sync!$Y139=""),"",Sync!$Y139)</f>
        <v/>
      </c>
      <c r="J143" t="str">
        <f>IF(OR($G143="",Sync!$Z139=""),"",Sync!$Z139)</f>
        <v/>
      </c>
      <c r="K143">
        <f>IF($G143="",0,IF(Sync!$AA139="",0,Sync!$AA139))</f>
        <v>0</v>
      </c>
      <c r="L143">
        <f>IF($G143="",0,IF(Sync!$AB139="",0,Sync!$AB139))</f>
        <v>0</v>
      </c>
      <c r="M143" t="str">
        <f t="shared" si="17"/>
        <v/>
      </c>
      <c r="N143">
        <f>IF($G143="",0,IF($H143="مرجوعی فروش",-1,1)*IF(Sync!$AC139="",0,Sync!$AC139))</f>
        <v>0</v>
      </c>
      <c r="O143" t="str">
        <f>IF(OR($G143="",Sync!$V139=""),"",Sync!$V139)</f>
        <v/>
      </c>
      <c r="P143" t="str">
        <f>IF(OR($G143="",Sync!$AD139=""),"",Sync!$AD139)</f>
        <v/>
      </c>
      <c r="Q143" t="str">
        <f>IF($G143="","",IF(Sync!$U139="","0000",IF(AND(ISNUMBER(Sync!$U139),Sync!$U139&gt;=0,Sync!$U139&lt;1),RIGHT("00"&amp;HOUR(Sync!$U139),2)&amp;RIGHT("00"&amp;MINUTE(Sync!$U139),2),IFERROR(RIGHT("00"&amp;VALUE(LEFT(Sync!$U139,FIND(":",Sync!$U139)-1)),2)&amp;RIGHT("00"&amp;VALUE(MID(Sync!$U139,FIND(":",Sync!$U139)+1,2)),2),"0000"))))</f>
        <v/>
      </c>
    </row>
    <row r="144" spans="1:17" x14ac:dyDescent="0.2">
      <c r="A144" t="str">
        <f>IF(Sync!$T140="","",Sync!$T140)</f>
        <v>1405/07/24</v>
      </c>
      <c r="B144">
        <f t="shared" si="12"/>
        <v>1405</v>
      </c>
      <c r="C144">
        <f t="shared" si="13"/>
        <v>7</v>
      </c>
      <c r="D144">
        <f t="shared" si="14"/>
        <v>24</v>
      </c>
      <c r="E144" t="str">
        <f t="shared" si="15"/>
        <v>1405/07/24</v>
      </c>
      <c r="F144" t="str">
        <f t="shared" si="16"/>
        <v>1405/07</v>
      </c>
      <c r="G144" t="str">
        <f>IF(OR($E144="",$E144="نامعتبر",Sync!$X140=""),"",IF(AND(LEFT(UPPER(TRIM(Sync!$X140)),2)="SL",IFERROR(VLOOKUP(Sync!$W140,OpTbl,3,0),"")="فروش"),UPPER(TRIM(Sync!$X140)),""))</f>
        <v>SL002</v>
      </c>
      <c r="H144" t="str">
        <f>IF($G144="","",IF(Sync!$W140="","",Sync!$W140))</f>
        <v>فروش</v>
      </c>
      <c r="I144" t="str">
        <f>IF(OR($G144="",Sync!$Y140=""),"",Sync!$Y140)</f>
        <v/>
      </c>
      <c r="J144" t="str">
        <f>IF(OR($G144="",Sync!$Z140=""),"",Sync!$Z140)</f>
        <v/>
      </c>
      <c r="K144">
        <f>IF($G144="",0,IF(Sync!$AA140="",0,Sync!$AA140))</f>
        <v>2640</v>
      </c>
      <c r="L144">
        <f>IF($G144="",0,IF(Sync!$AB140="",0,Sync!$AB140))</f>
        <v>0</v>
      </c>
      <c r="M144">
        <f t="shared" si="17"/>
        <v>2640</v>
      </c>
      <c r="N144">
        <f>IF($G144="",0,IF($H144="مرجوعی فروش",-1,1)*IF(Sync!$AC140="",0,Sync!$AC140))</f>
        <v>0</v>
      </c>
      <c r="O144" t="str">
        <f>IF(OR($G144="",Sync!$V140=""),"",Sync!$V140)</f>
        <v/>
      </c>
      <c r="P144" t="str">
        <f>IF(OR($G144="",Sync!$AD140=""),"",Sync!$AD140)</f>
        <v/>
      </c>
      <c r="Q144" t="str">
        <f>IF($G144="","",IF(Sync!$U140="","0000",IF(AND(ISNUMBER(Sync!$U140),Sync!$U140&gt;=0,Sync!$U140&lt;1),RIGHT("00"&amp;HOUR(Sync!$U140),2)&amp;RIGHT("00"&amp;MINUTE(Sync!$U140),2),IFERROR(RIGHT("00"&amp;VALUE(LEFT(Sync!$U140,FIND(":",Sync!$U140)-1)),2)&amp;RIGHT("00"&amp;VALUE(MID(Sync!$U140,FIND(":",Sync!$U140)+1,2)),2),"0000"))))</f>
        <v>0000</v>
      </c>
    </row>
    <row r="145" spans="1:17" x14ac:dyDescent="0.2">
      <c r="A145" t="str">
        <f>IF(Sync!$T141="","",Sync!$T141)</f>
        <v>1405/07/24</v>
      </c>
      <c r="B145">
        <f t="shared" si="12"/>
        <v>1405</v>
      </c>
      <c r="C145">
        <f t="shared" si="13"/>
        <v>7</v>
      </c>
      <c r="D145">
        <f t="shared" si="14"/>
        <v>24</v>
      </c>
      <c r="E145" t="str">
        <f t="shared" si="15"/>
        <v>1405/07/24</v>
      </c>
      <c r="F145" t="str">
        <f t="shared" si="16"/>
        <v>1405/07</v>
      </c>
      <c r="G145" t="str">
        <f>IF(OR($E145="",$E145="نامعتبر",Sync!$X141=""),"",IF(AND(LEFT(UPPER(TRIM(Sync!$X141)),2)="SL",IFERROR(VLOOKUP(Sync!$W141,OpTbl,3,0),"")="فروش"),UPPER(TRIM(Sync!$X141)),""))</f>
        <v>SL005</v>
      </c>
      <c r="H145" t="str">
        <f>IF($G145="","",IF(Sync!$W141="","",Sync!$W141))</f>
        <v>فروش</v>
      </c>
      <c r="I145" t="str">
        <f>IF(OR($G145="",Sync!$Y141=""),"",Sync!$Y141)</f>
        <v/>
      </c>
      <c r="J145" t="str">
        <f>IF(OR($G145="",Sync!$Z141=""),"",Sync!$Z141)</f>
        <v/>
      </c>
      <c r="K145">
        <f>IF($G145="",0,IF(Sync!$AA141="",0,Sync!$AA141))</f>
        <v>3135</v>
      </c>
      <c r="L145">
        <f>IF($G145="",0,IF(Sync!$AB141="",0,Sync!$AB141))</f>
        <v>0</v>
      </c>
      <c r="M145">
        <f t="shared" si="17"/>
        <v>3135</v>
      </c>
      <c r="N145">
        <f>IF($G145="",0,IF($H145="مرجوعی فروش",-1,1)*IF(Sync!$AC141="",0,Sync!$AC141))</f>
        <v>0</v>
      </c>
      <c r="O145" t="str">
        <f>IF(OR($G145="",Sync!$V141=""),"",Sync!$V141)</f>
        <v/>
      </c>
      <c r="P145" t="str">
        <f>IF(OR($G145="",Sync!$AD141=""),"",Sync!$AD141)</f>
        <v/>
      </c>
      <c r="Q145" t="str">
        <f>IF($G145="","",IF(Sync!$U141="","0000",IF(AND(ISNUMBER(Sync!$U141),Sync!$U141&gt;=0,Sync!$U141&lt;1),RIGHT("00"&amp;HOUR(Sync!$U141),2)&amp;RIGHT("00"&amp;MINUTE(Sync!$U141),2),IFERROR(RIGHT("00"&amp;VALUE(LEFT(Sync!$U141,FIND(":",Sync!$U141)-1)),2)&amp;RIGHT("00"&amp;VALUE(MID(Sync!$U141,FIND(":",Sync!$U141)+1,2)),2),"0000"))))</f>
        <v>0000</v>
      </c>
    </row>
    <row r="146" spans="1:17" x14ac:dyDescent="0.2">
      <c r="A146" t="str">
        <f>IF(Sync!$T142="","",Sync!$T142)</f>
        <v>1405/07/24</v>
      </c>
      <c r="B146">
        <f t="shared" si="12"/>
        <v>1405</v>
      </c>
      <c r="C146">
        <f t="shared" si="13"/>
        <v>7</v>
      </c>
      <c r="D146">
        <f t="shared" si="14"/>
        <v>24</v>
      </c>
      <c r="E146" t="str">
        <f t="shared" si="15"/>
        <v>1405/07/24</v>
      </c>
      <c r="F146" t="str">
        <f t="shared" si="16"/>
        <v>1405/07</v>
      </c>
      <c r="G146" t="str">
        <f>IF(OR($E146="",$E146="نامعتبر",Sync!$X142=""),"",IF(AND(LEFT(UPPER(TRIM(Sync!$X142)),2)="SL",IFERROR(VLOOKUP(Sync!$W142,OpTbl,3,0),"")="فروش"),UPPER(TRIM(Sync!$X142)),""))</f>
        <v/>
      </c>
      <c r="H146" t="str">
        <f>IF($G146="","",IF(Sync!$W142="","",Sync!$W142))</f>
        <v/>
      </c>
      <c r="I146" t="str">
        <f>IF(OR($G146="",Sync!$Y142=""),"",Sync!$Y142)</f>
        <v/>
      </c>
      <c r="J146" t="str">
        <f>IF(OR($G146="",Sync!$Z142=""),"",Sync!$Z142)</f>
        <v/>
      </c>
      <c r="K146">
        <f>IF($G146="",0,IF(Sync!$AA142="",0,Sync!$AA142))</f>
        <v>0</v>
      </c>
      <c r="L146">
        <f>IF($G146="",0,IF(Sync!$AB142="",0,Sync!$AB142))</f>
        <v>0</v>
      </c>
      <c r="M146" t="str">
        <f t="shared" si="17"/>
        <v/>
      </c>
      <c r="N146">
        <f>IF($G146="",0,IF($H146="مرجوعی فروش",-1,1)*IF(Sync!$AC142="",0,Sync!$AC142))</f>
        <v>0</v>
      </c>
      <c r="O146" t="str">
        <f>IF(OR($G146="",Sync!$V142=""),"",Sync!$V142)</f>
        <v/>
      </c>
      <c r="P146" t="str">
        <f>IF(OR($G146="",Sync!$AD142=""),"",Sync!$AD142)</f>
        <v/>
      </c>
      <c r="Q146" t="str">
        <f>IF($G146="","",IF(Sync!$U142="","0000",IF(AND(ISNUMBER(Sync!$U142),Sync!$U142&gt;=0,Sync!$U142&lt;1),RIGHT("00"&amp;HOUR(Sync!$U142),2)&amp;RIGHT("00"&amp;MINUTE(Sync!$U142),2),IFERROR(RIGHT("00"&amp;VALUE(LEFT(Sync!$U142,FIND(":",Sync!$U142)-1)),2)&amp;RIGHT("00"&amp;VALUE(MID(Sync!$U142,FIND(":",Sync!$U142)+1,2)),2),"0000"))))</f>
        <v/>
      </c>
    </row>
    <row r="147" spans="1:17" x14ac:dyDescent="0.2">
      <c r="A147" t="str">
        <f>IF(Sync!$T143="","",Sync!$T143)</f>
        <v>1405/07/24</v>
      </c>
      <c r="B147">
        <f t="shared" si="12"/>
        <v>1405</v>
      </c>
      <c r="C147">
        <f t="shared" si="13"/>
        <v>7</v>
      </c>
      <c r="D147">
        <f t="shared" si="14"/>
        <v>24</v>
      </c>
      <c r="E147" t="str">
        <f t="shared" si="15"/>
        <v>1405/07/24</v>
      </c>
      <c r="F147" t="str">
        <f t="shared" si="16"/>
        <v>1405/07</v>
      </c>
      <c r="G147" t="str">
        <f>IF(OR($E147="",$E147="نامعتبر",Sync!$X143=""),"",IF(AND(LEFT(UPPER(TRIM(Sync!$X143)),2)="SL",IFERROR(VLOOKUP(Sync!$W143,OpTbl,3,0),"")="فروش"),UPPER(TRIM(Sync!$X143)),""))</f>
        <v>SL003</v>
      </c>
      <c r="H147" t="str">
        <f>IF($G147="","",IF(Sync!$W143="","",Sync!$W143))</f>
        <v>فروش</v>
      </c>
      <c r="I147" t="str">
        <f>IF(OR($G147="",Sync!$Y143=""),"",Sync!$Y143)</f>
        <v/>
      </c>
      <c r="J147" t="str">
        <f>IF(OR($G147="",Sync!$Z143=""),"",Sync!$Z143)</f>
        <v/>
      </c>
      <c r="K147">
        <f>IF($G147="",0,IF(Sync!$AA143="",0,Sync!$AA143))</f>
        <v>3060</v>
      </c>
      <c r="L147">
        <f>IF($G147="",0,IF(Sync!$AB143="",0,Sync!$AB143))</f>
        <v>0</v>
      </c>
      <c r="M147">
        <f t="shared" si="17"/>
        <v>3060</v>
      </c>
      <c r="N147">
        <f>IF($G147="",0,IF($H147="مرجوعی فروش",-1,1)*IF(Sync!$AC143="",0,Sync!$AC143))</f>
        <v>0</v>
      </c>
      <c r="O147" t="str">
        <f>IF(OR($G147="",Sync!$V143=""),"",Sync!$V143)</f>
        <v/>
      </c>
      <c r="P147" t="str">
        <f>IF(OR($G147="",Sync!$AD143=""),"",Sync!$AD143)</f>
        <v/>
      </c>
      <c r="Q147" t="str">
        <f>IF($G147="","",IF(Sync!$U143="","0000",IF(AND(ISNUMBER(Sync!$U143),Sync!$U143&gt;=0,Sync!$U143&lt;1),RIGHT("00"&amp;HOUR(Sync!$U143),2)&amp;RIGHT("00"&amp;MINUTE(Sync!$U143),2),IFERROR(RIGHT("00"&amp;VALUE(LEFT(Sync!$U143,FIND(":",Sync!$U143)-1)),2)&amp;RIGHT("00"&amp;VALUE(MID(Sync!$U143,FIND(":",Sync!$U143)+1,2)),2),"0000"))))</f>
        <v>0000</v>
      </c>
    </row>
    <row r="148" spans="1:17" x14ac:dyDescent="0.2">
      <c r="A148" t="str">
        <f>IF(Sync!$T144="","",Sync!$T144)</f>
        <v>1405/07/24</v>
      </c>
      <c r="B148">
        <f t="shared" si="12"/>
        <v>1405</v>
      </c>
      <c r="C148">
        <f t="shared" si="13"/>
        <v>7</v>
      </c>
      <c r="D148">
        <f t="shared" si="14"/>
        <v>24</v>
      </c>
      <c r="E148" t="str">
        <f t="shared" si="15"/>
        <v>1405/07/24</v>
      </c>
      <c r="F148" t="str">
        <f t="shared" si="16"/>
        <v>1405/07</v>
      </c>
      <c r="G148" t="str">
        <f>IF(OR($E148="",$E148="نامعتبر",Sync!$X144=""),"",IF(AND(LEFT(UPPER(TRIM(Sync!$X144)),2)="SL",IFERROR(VLOOKUP(Sync!$W144,OpTbl,3,0),"")="فروش"),UPPER(TRIM(Sync!$X144)),""))</f>
        <v/>
      </c>
      <c r="H148" t="str">
        <f>IF($G148="","",IF(Sync!$W144="","",Sync!$W144))</f>
        <v/>
      </c>
      <c r="I148" t="str">
        <f>IF(OR($G148="",Sync!$Y144=""),"",Sync!$Y144)</f>
        <v/>
      </c>
      <c r="J148" t="str">
        <f>IF(OR($G148="",Sync!$Z144=""),"",Sync!$Z144)</f>
        <v/>
      </c>
      <c r="K148">
        <f>IF($G148="",0,IF(Sync!$AA144="",0,Sync!$AA144))</f>
        <v>0</v>
      </c>
      <c r="L148">
        <f>IF($G148="",0,IF(Sync!$AB144="",0,Sync!$AB144))</f>
        <v>0</v>
      </c>
      <c r="M148" t="str">
        <f t="shared" si="17"/>
        <v/>
      </c>
      <c r="N148">
        <f>IF($G148="",0,IF($H148="مرجوعی فروش",-1,1)*IF(Sync!$AC144="",0,Sync!$AC144))</f>
        <v>0</v>
      </c>
      <c r="O148" t="str">
        <f>IF(OR($G148="",Sync!$V144=""),"",Sync!$V144)</f>
        <v/>
      </c>
      <c r="P148" t="str">
        <f>IF(OR($G148="",Sync!$AD144=""),"",Sync!$AD144)</f>
        <v/>
      </c>
      <c r="Q148" t="str">
        <f>IF($G148="","",IF(Sync!$U144="","0000",IF(AND(ISNUMBER(Sync!$U144),Sync!$U144&gt;=0,Sync!$U144&lt;1),RIGHT("00"&amp;HOUR(Sync!$U144),2)&amp;RIGHT("00"&amp;MINUTE(Sync!$U144),2),IFERROR(RIGHT("00"&amp;VALUE(LEFT(Sync!$U144,FIND(":",Sync!$U144)-1)),2)&amp;RIGHT("00"&amp;VALUE(MID(Sync!$U144,FIND(":",Sync!$U144)+1,2)),2),"0000"))))</f>
        <v/>
      </c>
    </row>
    <row r="149" spans="1:17" x14ac:dyDescent="0.2">
      <c r="A149" t="str">
        <f>IF(Sync!$T145="","",Sync!$T145)</f>
        <v>1405/07/24</v>
      </c>
      <c r="B149">
        <f t="shared" si="12"/>
        <v>1405</v>
      </c>
      <c r="C149">
        <f t="shared" si="13"/>
        <v>7</v>
      </c>
      <c r="D149">
        <f t="shared" si="14"/>
        <v>24</v>
      </c>
      <c r="E149" t="str">
        <f t="shared" si="15"/>
        <v>1405/07/24</v>
      </c>
      <c r="F149" t="str">
        <f t="shared" si="16"/>
        <v>1405/07</v>
      </c>
      <c r="G149" t="str">
        <f>IF(OR($E149="",$E149="نامعتبر",Sync!$X145=""),"",IF(AND(LEFT(UPPER(TRIM(Sync!$X145)),2)="SL",IFERROR(VLOOKUP(Sync!$W145,OpTbl,3,0),"")="فروش"),UPPER(TRIM(Sync!$X145)),""))</f>
        <v>SL001</v>
      </c>
      <c r="H149" t="str">
        <f>IF($G149="","",IF(Sync!$W145="","",Sync!$W145))</f>
        <v>فروش</v>
      </c>
      <c r="I149" t="str">
        <f>IF(OR($G149="",Sync!$Y145=""),"",Sync!$Y145)</f>
        <v/>
      </c>
      <c r="J149" t="str">
        <f>IF(OR($G149="",Sync!$Z145=""),"",Sync!$Z145)</f>
        <v/>
      </c>
      <c r="K149">
        <f>IF($G149="",0,IF(Sync!$AA145="",0,Sync!$AA145))</f>
        <v>2130</v>
      </c>
      <c r="L149">
        <f>IF($G149="",0,IF(Sync!$AB145="",0,Sync!$AB145))</f>
        <v>0</v>
      </c>
      <c r="M149">
        <f t="shared" si="17"/>
        <v>2130</v>
      </c>
      <c r="N149">
        <f>IF($G149="",0,IF($H149="مرجوعی فروش",-1,1)*IF(Sync!$AC145="",0,Sync!$AC145))</f>
        <v>0</v>
      </c>
      <c r="O149" t="str">
        <f>IF(OR($G149="",Sync!$V145=""),"",Sync!$V145)</f>
        <v/>
      </c>
      <c r="P149" t="str">
        <f>IF(OR($G149="",Sync!$AD145=""),"",Sync!$AD145)</f>
        <v/>
      </c>
      <c r="Q149" t="str">
        <f>IF($G149="","",IF(Sync!$U145="","0000",IF(AND(ISNUMBER(Sync!$U145),Sync!$U145&gt;=0,Sync!$U145&lt;1),RIGHT("00"&amp;HOUR(Sync!$U145),2)&amp;RIGHT("00"&amp;MINUTE(Sync!$U145),2),IFERROR(RIGHT("00"&amp;VALUE(LEFT(Sync!$U145,FIND(":",Sync!$U145)-1)),2)&amp;RIGHT("00"&amp;VALUE(MID(Sync!$U145,FIND(":",Sync!$U145)+1,2)),2),"0000"))))</f>
        <v>0000</v>
      </c>
    </row>
    <row r="150" spans="1:17" x14ac:dyDescent="0.2">
      <c r="A150" t="str">
        <f>IF(Sync!$T146="","",Sync!$T146)</f>
        <v>1405/07/24</v>
      </c>
      <c r="B150">
        <f t="shared" si="12"/>
        <v>1405</v>
      </c>
      <c r="C150">
        <f t="shared" si="13"/>
        <v>7</v>
      </c>
      <c r="D150">
        <f t="shared" si="14"/>
        <v>24</v>
      </c>
      <c r="E150" t="str">
        <f t="shared" si="15"/>
        <v>1405/07/24</v>
      </c>
      <c r="F150" t="str">
        <f t="shared" si="16"/>
        <v>1405/07</v>
      </c>
      <c r="G150" t="str">
        <f>IF(OR($E150="",$E150="نامعتبر",Sync!$X146=""),"",IF(AND(LEFT(UPPER(TRIM(Sync!$X146)),2)="SL",IFERROR(VLOOKUP(Sync!$W146,OpTbl,3,0),"")="فروش"),UPPER(TRIM(Sync!$X146)),""))</f>
        <v/>
      </c>
      <c r="H150" t="str">
        <f>IF($G150="","",IF(Sync!$W146="","",Sync!$W146))</f>
        <v/>
      </c>
      <c r="I150" t="str">
        <f>IF(OR($G150="",Sync!$Y146=""),"",Sync!$Y146)</f>
        <v/>
      </c>
      <c r="J150" t="str">
        <f>IF(OR($G150="",Sync!$Z146=""),"",Sync!$Z146)</f>
        <v/>
      </c>
      <c r="K150">
        <f>IF($G150="",0,IF(Sync!$AA146="",0,Sync!$AA146))</f>
        <v>0</v>
      </c>
      <c r="L150">
        <f>IF($G150="",0,IF(Sync!$AB146="",0,Sync!$AB146))</f>
        <v>0</v>
      </c>
      <c r="M150" t="str">
        <f t="shared" si="17"/>
        <v/>
      </c>
      <c r="N150">
        <f>IF($G150="",0,IF($H150="مرجوعی فروش",-1,1)*IF(Sync!$AC146="",0,Sync!$AC146))</f>
        <v>0</v>
      </c>
      <c r="O150" t="str">
        <f>IF(OR($G150="",Sync!$V146=""),"",Sync!$V146)</f>
        <v/>
      </c>
      <c r="P150" t="str">
        <f>IF(OR($G150="",Sync!$AD146=""),"",Sync!$AD146)</f>
        <v/>
      </c>
      <c r="Q150" t="str">
        <f>IF($G150="","",IF(Sync!$U146="","0000",IF(AND(ISNUMBER(Sync!$U146),Sync!$U146&gt;=0,Sync!$U146&lt;1),RIGHT("00"&amp;HOUR(Sync!$U146),2)&amp;RIGHT("00"&amp;MINUTE(Sync!$U146),2),IFERROR(RIGHT("00"&amp;VALUE(LEFT(Sync!$U146,FIND(":",Sync!$U146)-1)),2)&amp;RIGHT("00"&amp;VALUE(MID(Sync!$U146,FIND(":",Sync!$U146)+1,2)),2),"0000"))))</f>
        <v/>
      </c>
    </row>
    <row r="151" spans="1:17" x14ac:dyDescent="0.2">
      <c r="A151" t="str">
        <f>IF(Sync!$T147="","",Sync!$T147)</f>
        <v>1405/07/24</v>
      </c>
      <c r="B151">
        <f t="shared" si="12"/>
        <v>1405</v>
      </c>
      <c r="C151">
        <f t="shared" si="13"/>
        <v>7</v>
      </c>
      <c r="D151">
        <f t="shared" si="14"/>
        <v>24</v>
      </c>
      <c r="E151" t="str">
        <f t="shared" si="15"/>
        <v>1405/07/24</v>
      </c>
      <c r="F151" t="str">
        <f t="shared" si="16"/>
        <v>1405/07</v>
      </c>
      <c r="G151" t="str">
        <f>IF(OR($E151="",$E151="نامعتبر",Sync!$X147=""),"",IF(AND(LEFT(UPPER(TRIM(Sync!$X147)),2)="SL",IFERROR(VLOOKUP(Sync!$W147,OpTbl,3,0),"")="فروش"),UPPER(TRIM(Sync!$X147)),""))</f>
        <v/>
      </c>
      <c r="H151" t="str">
        <f>IF($G151="","",IF(Sync!$W147="","",Sync!$W147))</f>
        <v/>
      </c>
      <c r="I151" t="str">
        <f>IF(OR($G151="",Sync!$Y147=""),"",Sync!$Y147)</f>
        <v/>
      </c>
      <c r="J151" t="str">
        <f>IF(OR($G151="",Sync!$Z147=""),"",Sync!$Z147)</f>
        <v/>
      </c>
      <c r="K151">
        <f>IF($G151="",0,IF(Sync!$AA147="",0,Sync!$AA147))</f>
        <v>0</v>
      </c>
      <c r="L151">
        <f>IF($G151="",0,IF(Sync!$AB147="",0,Sync!$AB147))</f>
        <v>0</v>
      </c>
      <c r="M151" t="str">
        <f t="shared" si="17"/>
        <v/>
      </c>
      <c r="N151">
        <f>IF($G151="",0,IF($H151="مرجوعی فروش",-1,1)*IF(Sync!$AC147="",0,Sync!$AC147))</f>
        <v>0</v>
      </c>
      <c r="O151" t="str">
        <f>IF(OR($G151="",Sync!$V147=""),"",Sync!$V147)</f>
        <v/>
      </c>
      <c r="P151" t="str">
        <f>IF(OR($G151="",Sync!$AD147=""),"",Sync!$AD147)</f>
        <v/>
      </c>
      <c r="Q151" t="str">
        <f>IF($G151="","",IF(Sync!$U147="","0000",IF(AND(ISNUMBER(Sync!$U147),Sync!$U147&gt;=0,Sync!$U147&lt;1),RIGHT("00"&amp;HOUR(Sync!$U147),2)&amp;RIGHT("00"&amp;MINUTE(Sync!$U147),2),IFERROR(RIGHT("00"&amp;VALUE(LEFT(Sync!$U147,FIND(":",Sync!$U147)-1)),2)&amp;RIGHT("00"&amp;VALUE(MID(Sync!$U147,FIND(":",Sync!$U147)+1,2)),2),"0000"))))</f>
        <v/>
      </c>
    </row>
    <row r="152" spans="1:17" x14ac:dyDescent="0.2">
      <c r="A152" t="str">
        <f>IF(Sync!$T148="","",Sync!$T148)</f>
        <v>1405/07/24</v>
      </c>
      <c r="B152">
        <f t="shared" si="12"/>
        <v>1405</v>
      </c>
      <c r="C152">
        <f t="shared" si="13"/>
        <v>7</v>
      </c>
      <c r="D152">
        <f t="shared" si="14"/>
        <v>24</v>
      </c>
      <c r="E152" t="str">
        <f t="shared" si="15"/>
        <v>1405/07/24</v>
      </c>
      <c r="F152" t="str">
        <f t="shared" si="16"/>
        <v>1405/07</v>
      </c>
      <c r="G152" t="str">
        <f>IF(OR($E152="",$E152="نامعتبر",Sync!$X148=""),"",IF(AND(LEFT(UPPER(TRIM(Sync!$X148)),2)="SL",IFERROR(VLOOKUP(Sync!$W148,OpTbl,3,0),"")="فروش"),UPPER(TRIM(Sync!$X148)),""))</f>
        <v/>
      </c>
      <c r="H152" t="str">
        <f>IF($G152="","",IF(Sync!$W148="","",Sync!$W148))</f>
        <v/>
      </c>
      <c r="I152" t="str">
        <f>IF(OR($G152="",Sync!$Y148=""),"",Sync!$Y148)</f>
        <v/>
      </c>
      <c r="J152" t="str">
        <f>IF(OR($G152="",Sync!$Z148=""),"",Sync!$Z148)</f>
        <v/>
      </c>
      <c r="K152">
        <f>IF($G152="",0,IF(Sync!$AA148="",0,Sync!$AA148))</f>
        <v>0</v>
      </c>
      <c r="L152">
        <f>IF($G152="",0,IF(Sync!$AB148="",0,Sync!$AB148))</f>
        <v>0</v>
      </c>
      <c r="M152" t="str">
        <f t="shared" si="17"/>
        <v/>
      </c>
      <c r="N152">
        <f>IF($G152="",0,IF($H152="مرجوعی فروش",-1,1)*IF(Sync!$AC148="",0,Sync!$AC148))</f>
        <v>0</v>
      </c>
      <c r="O152" t="str">
        <f>IF(OR($G152="",Sync!$V148=""),"",Sync!$V148)</f>
        <v/>
      </c>
      <c r="P152" t="str">
        <f>IF(OR($G152="",Sync!$AD148=""),"",Sync!$AD148)</f>
        <v/>
      </c>
      <c r="Q152" t="str">
        <f>IF($G152="","",IF(Sync!$U148="","0000",IF(AND(ISNUMBER(Sync!$U148),Sync!$U148&gt;=0,Sync!$U148&lt;1),RIGHT("00"&amp;HOUR(Sync!$U148),2)&amp;RIGHT("00"&amp;MINUTE(Sync!$U148),2),IFERROR(RIGHT("00"&amp;VALUE(LEFT(Sync!$U148,FIND(":",Sync!$U148)-1)),2)&amp;RIGHT("00"&amp;VALUE(MID(Sync!$U148,FIND(":",Sync!$U148)+1,2)),2),"0000"))))</f>
        <v/>
      </c>
    </row>
    <row r="153" spans="1:17" x14ac:dyDescent="0.2">
      <c r="A153" t="str">
        <f>IF(Sync!$T149="","",Sync!$T149)</f>
        <v>1405/07/24</v>
      </c>
      <c r="B153">
        <f t="shared" si="12"/>
        <v>1405</v>
      </c>
      <c r="C153">
        <f t="shared" si="13"/>
        <v>7</v>
      </c>
      <c r="D153">
        <f t="shared" si="14"/>
        <v>24</v>
      </c>
      <c r="E153" t="str">
        <f t="shared" si="15"/>
        <v>1405/07/24</v>
      </c>
      <c r="F153" t="str">
        <f t="shared" si="16"/>
        <v>1405/07</v>
      </c>
      <c r="G153" t="str">
        <f>IF(OR($E153="",$E153="نامعتبر",Sync!$X149=""),"",IF(AND(LEFT(UPPER(TRIM(Sync!$X149)),2)="SL",IFERROR(VLOOKUP(Sync!$W149,OpTbl,3,0),"")="فروش"),UPPER(TRIM(Sync!$X149)),""))</f>
        <v/>
      </c>
      <c r="H153" t="str">
        <f>IF($G153="","",IF(Sync!$W149="","",Sync!$W149))</f>
        <v/>
      </c>
      <c r="I153" t="str">
        <f>IF(OR($G153="",Sync!$Y149=""),"",Sync!$Y149)</f>
        <v/>
      </c>
      <c r="J153" t="str">
        <f>IF(OR($G153="",Sync!$Z149=""),"",Sync!$Z149)</f>
        <v/>
      </c>
      <c r="K153">
        <f>IF($G153="",0,IF(Sync!$AA149="",0,Sync!$AA149))</f>
        <v>0</v>
      </c>
      <c r="L153">
        <f>IF($G153="",0,IF(Sync!$AB149="",0,Sync!$AB149))</f>
        <v>0</v>
      </c>
      <c r="M153" t="str">
        <f t="shared" si="17"/>
        <v/>
      </c>
      <c r="N153">
        <f>IF($G153="",0,IF($H153="مرجوعی فروش",-1,1)*IF(Sync!$AC149="",0,Sync!$AC149))</f>
        <v>0</v>
      </c>
      <c r="O153" t="str">
        <f>IF(OR($G153="",Sync!$V149=""),"",Sync!$V149)</f>
        <v/>
      </c>
      <c r="P153" t="str">
        <f>IF(OR($G153="",Sync!$AD149=""),"",Sync!$AD149)</f>
        <v/>
      </c>
      <c r="Q153" t="str">
        <f>IF($G153="","",IF(Sync!$U149="","0000",IF(AND(ISNUMBER(Sync!$U149),Sync!$U149&gt;=0,Sync!$U149&lt;1),RIGHT("00"&amp;HOUR(Sync!$U149),2)&amp;RIGHT("00"&amp;MINUTE(Sync!$U149),2),IFERROR(RIGHT("00"&amp;VALUE(LEFT(Sync!$U149,FIND(":",Sync!$U149)-1)),2)&amp;RIGHT("00"&amp;VALUE(MID(Sync!$U149,FIND(":",Sync!$U149)+1,2)),2),"0000"))))</f>
        <v/>
      </c>
    </row>
    <row r="154" spans="1:17" x14ac:dyDescent="0.2">
      <c r="A154" t="str">
        <f>IF(Sync!$T150="","",Sync!$T150)</f>
        <v>1405/07/24</v>
      </c>
      <c r="B154">
        <f t="shared" si="12"/>
        <v>1405</v>
      </c>
      <c r="C154">
        <f t="shared" si="13"/>
        <v>7</v>
      </c>
      <c r="D154">
        <f t="shared" si="14"/>
        <v>24</v>
      </c>
      <c r="E154" t="str">
        <f t="shared" si="15"/>
        <v>1405/07/24</v>
      </c>
      <c r="F154" t="str">
        <f t="shared" si="16"/>
        <v>1405/07</v>
      </c>
      <c r="G154" t="str">
        <f>IF(OR($E154="",$E154="نامعتبر",Sync!$X150=""),"",IF(AND(LEFT(UPPER(TRIM(Sync!$X150)),2)="SL",IFERROR(VLOOKUP(Sync!$W150,OpTbl,3,0),"")="فروش"),UPPER(TRIM(Sync!$X150)),""))</f>
        <v/>
      </c>
      <c r="H154" t="str">
        <f>IF($G154="","",IF(Sync!$W150="","",Sync!$W150))</f>
        <v/>
      </c>
      <c r="I154" t="str">
        <f>IF(OR($G154="",Sync!$Y150=""),"",Sync!$Y150)</f>
        <v/>
      </c>
      <c r="J154" t="str">
        <f>IF(OR($G154="",Sync!$Z150=""),"",Sync!$Z150)</f>
        <v/>
      </c>
      <c r="K154">
        <f>IF($G154="",0,IF(Sync!$AA150="",0,Sync!$AA150))</f>
        <v>0</v>
      </c>
      <c r="L154">
        <f>IF($G154="",0,IF(Sync!$AB150="",0,Sync!$AB150))</f>
        <v>0</v>
      </c>
      <c r="M154" t="str">
        <f t="shared" si="17"/>
        <v/>
      </c>
      <c r="N154">
        <f>IF($G154="",0,IF($H154="مرجوعی فروش",-1,1)*IF(Sync!$AC150="",0,Sync!$AC150))</f>
        <v>0</v>
      </c>
      <c r="O154" t="str">
        <f>IF(OR($G154="",Sync!$V150=""),"",Sync!$V150)</f>
        <v/>
      </c>
      <c r="P154" t="str">
        <f>IF(OR($G154="",Sync!$AD150=""),"",Sync!$AD150)</f>
        <v/>
      </c>
      <c r="Q154" t="str">
        <f>IF($G154="","",IF(Sync!$U150="","0000",IF(AND(ISNUMBER(Sync!$U150),Sync!$U150&gt;=0,Sync!$U150&lt;1),RIGHT("00"&amp;HOUR(Sync!$U150),2)&amp;RIGHT("00"&amp;MINUTE(Sync!$U150),2),IFERROR(RIGHT("00"&amp;VALUE(LEFT(Sync!$U150,FIND(":",Sync!$U150)-1)),2)&amp;RIGHT("00"&amp;VALUE(MID(Sync!$U150,FIND(":",Sync!$U150)+1,2)),2),"0000"))))</f>
        <v/>
      </c>
    </row>
    <row r="155" spans="1:17" x14ac:dyDescent="0.2">
      <c r="A155" t="str">
        <f>IF(Sync!$T151="","",Sync!$T151)</f>
        <v>1405/07/25</v>
      </c>
      <c r="B155">
        <f t="shared" si="12"/>
        <v>1405</v>
      </c>
      <c r="C155">
        <f t="shared" si="13"/>
        <v>7</v>
      </c>
      <c r="D155">
        <f t="shared" si="14"/>
        <v>25</v>
      </c>
      <c r="E155" t="str">
        <f t="shared" si="15"/>
        <v>1405/07/25</v>
      </c>
      <c r="F155" t="str">
        <f t="shared" si="16"/>
        <v>1405/07</v>
      </c>
      <c r="G155" t="str">
        <f>IF(OR($E155="",$E155="نامعتبر",Sync!$X151=""),"",IF(AND(LEFT(UPPER(TRIM(Sync!$X151)),2)="SL",IFERROR(VLOOKUP(Sync!$W151,OpTbl,3,0),"")="فروش"),UPPER(TRIM(Sync!$X151)),""))</f>
        <v>SL005</v>
      </c>
      <c r="H155" t="str">
        <f>IF($G155="","",IF(Sync!$W151="","",Sync!$W151))</f>
        <v>فروش</v>
      </c>
      <c r="I155" t="str">
        <f>IF(OR($G155="",Sync!$Y151=""),"",Sync!$Y151)</f>
        <v/>
      </c>
      <c r="J155" t="str">
        <f>IF(OR($G155="",Sync!$Z151=""),"",Sync!$Z151)</f>
        <v/>
      </c>
      <c r="K155">
        <f>IF($G155="",0,IF(Sync!$AA151="",0,Sync!$AA151))</f>
        <v>4405</v>
      </c>
      <c r="L155">
        <f>IF($G155="",0,IF(Sync!$AB151="",0,Sync!$AB151))</f>
        <v>0</v>
      </c>
      <c r="M155">
        <f t="shared" si="17"/>
        <v>4405</v>
      </c>
      <c r="N155">
        <f>IF($G155="",0,IF($H155="مرجوعی فروش",-1,1)*IF(Sync!$AC151="",0,Sync!$AC151))</f>
        <v>0</v>
      </c>
      <c r="O155" t="str">
        <f>IF(OR($G155="",Sync!$V151=""),"",Sync!$V151)</f>
        <v/>
      </c>
      <c r="P155" t="str">
        <f>IF(OR($G155="",Sync!$AD151=""),"",Sync!$AD151)</f>
        <v/>
      </c>
      <c r="Q155" t="str">
        <f>IF($G155="","",IF(Sync!$U151="","0000",IF(AND(ISNUMBER(Sync!$U151),Sync!$U151&gt;=0,Sync!$U151&lt;1),RIGHT("00"&amp;HOUR(Sync!$U151),2)&amp;RIGHT("00"&amp;MINUTE(Sync!$U151),2),IFERROR(RIGHT("00"&amp;VALUE(LEFT(Sync!$U151,FIND(":",Sync!$U151)-1)),2)&amp;RIGHT("00"&amp;VALUE(MID(Sync!$U151,FIND(":",Sync!$U151)+1,2)),2),"0000"))))</f>
        <v>0000</v>
      </c>
    </row>
    <row r="156" spans="1:17" x14ac:dyDescent="0.2">
      <c r="A156" t="str">
        <f>IF(Sync!$T152="","",Sync!$T152)</f>
        <v>1405/07/25</v>
      </c>
      <c r="B156">
        <f t="shared" si="12"/>
        <v>1405</v>
      </c>
      <c r="C156">
        <f t="shared" si="13"/>
        <v>7</v>
      </c>
      <c r="D156">
        <f t="shared" si="14"/>
        <v>25</v>
      </c>
      <c r="E156" t="str">
        <f t="shared" si="15"/>
        <v>1405/07/25</v>
      </c>
      <c r="F156" t="str">
        <f t="shared" si="16"/>
        <v>1405/07</v>
      </c>
      <c r="G156" t="str">
        <f>IF(OR($E156="",$E156="نامعتبر",Sync!$X152=""),"",IF(AND(LEFT(UPPER(TRIM(Sync!$X152)),2)="SL",IFERROR(VLOOKUP(Sync!$W152,OpTbl,3,0),"")="فروش"),UPPER(TRIM(Sync!$X152)),""))</f>
        <v/>
      </c>
      <c r="H156" t="str">
        <f>IF($G156="","",IF(Sync!$W152="","",Sync!$W152))</f>
        <v/>
      </c>
      <c r="I156" t="str">
        <f>IF(OR($G156="",Sync!$Y152=""),"",Sync!$Y152)</f>
        <v/>
      </c>
      <c r="J156" t="str">
        <f>IF(OR($G156="",Sync!$Z152=""),"",Sync!$Z152)</f>
        <v/>
      </c>
      <c r="K156">
        <f>IF($G156="",0,IF(Sync!$AA152="",0,Sync!$AA152))</f>
        <v>0</v>
      </c>
      <c r="L156">
        <f>IF($G156="",0,IF(Sync!$AB152="",0,Sync!$AB152))</f>
        <v>0</v>
      </c>
      <c r="M156" t="str">
        <f t="shared" si="17"/>
        <v/>
      </c>
      <c r="N156">
        <f>IF($G156="",0,IF($H156="مرجوعی فروش",-1,1)*IF(Sync!$AC152="",0,Sync!$AC152))</f>
        <v>0</v>
      </c>
      <c r="O156" t="str">
        <f>IF(OR($G156="",Sync!$V152=""),"",Sync!$V152)</f>
        <v/>
      </c>
      <c r="P156" t="str">
        <f>IF(OR($G156="",Sync!$AD152=""),"",Sync!$AD152)</f>
        <v/>
      </c>
      <c r="Q156" t="str">
        <f>IF($G156="","",IF(Sync!$U152="","0000",IF(AND(ISNUMBER(Sync!$U152),Sync!$U152&gt;=0,Sync!$U152&lt;1),RIGHT("00"&amp;HOUR(Sync!$U152),2)&amp;RIGHT("00"&amp;MINUTE(Sync!$U152),2),IFERROR(RIGHT("00"&amp;VALUE(LEFT(Sync!$U152,FIND(":",Sync!$U152)-1)),2)&amp;RIGHT("00"&amp;VALUE(MID(Sync!$U152,FIND(":",Sync!$U152)+1,2)),2),"0000"))))</f>
        <v/>
      </c>
    </row>
    <row r="157" spans="1:17" x14ac:dyDescent="0.2">
      <c r="A157" t="str">
        <f>IF(Sync!$T153="","",Sync!$T153)</f>
        <v>1405/07/25</v>
      </c>
      <c r="B157">
        <f t="shared" si="12"/>
        <v>1405</v>
      </c>
      <c r="C157">
        <f t="shared" si="13"/>
        <v>7</v>
      </c>
      <c r="D157">
        <f t="shared" si="14"/>
        <v>25</v>
      </c>
      <c r="E157" t="str">
        <f t="shared" si="15"/>
        <v>1405/07/25</v>
      </c>
      <c r="F157" t="str">
        <f t="shared" si="16"/>
        <v>1405/07</v>
      </c>
      <c r="G157" t="str">
        <f>IF(OR($E157="",$E157="نامعتبر",Sync!$X153=""),"",IF(AND(LEFT(UPPER(TRIM(Sync!$X153)),2)="SL",IFERROR(VLOOKUP(Sync!$W153,OpTbl,3,0),"")="فروش"),UPPER(TRIM(Sync!$X153)),""))</f>
        <v/>
      </c>
      <c r="H157" t="str">
        <f>IF($G157="","",IF(Sync!$W153="","",Sync!$W153))</f>
        <v/>
      </c>
      <c r="I157" t="str">
        <f>IF(OR($G157="",Sync!$Y153=""),"",Sync!$Y153)</f>
        <v/>
      </c>
      <c r="J157" t="str">
        <f>IF(OR($G157="",Sync!$Z153=""),"",Sync!$Z153)</f>
        <v/>
      </c>
      <c r="K157">
        <f>IF($G157="",0,IF(Sync!$AA153="",0,Sync!$AA153))</f>
        <v>0</v>
      </c>
      <c r="L157">
        <f>IF($G157="",0,IF(Sync!$AB153="",0,Sync!$AB153))</f>
        <v>0</v>
      </c>
      <c r="M157" t="str">
        <f t="shared" si="17"/>
        <v/>
      </c>
      <c r="N157">
        <f>IF($G157="",0,IF($H157="مرجوعی فروش",-1,1)*IF(Sync!$AC153="",0,Sync!$AC153))</f>
        <v>0</v>
      </c>
      <c r="O157" t="str">
        <f>IF(OR($G157="",Sync!$V153=""),"",Sync!$V153)</f>
        <v/>
      </c>
      <c r="P157" t="str">
        <f>IF(OR($G157="",Sync!$AD153=""),"",Sync!$AD153)</f>
        <v/>
      </c>
      <c r="Q157" t="str">
        <f>IF($G157="","",IF(Sync!$U153="","0000",IF(AND(ISNUMBER(Sync!$U153),Sync!$U153&gt;=0,Sync!$U153&lt;1),RIGHT("00"&amp;HOUR(Sync!$U153),2)&amp;RIGHT("00"&amp;MINUTE(Sync!$U153),2),IFERROR(RIGHT("00"&amp;VALUE(LEFT(Sync!$U153,FIND(":",Sync!$U153)-1)),2)&amp;RIGHT("00"&amp;VALUE(MID(Sync!$U153,FIND(":",Sync!$U153)+1,2)),2),"0000"))))</f>
        <v/>
      </c>
    </row>
    <row r="158" spans="1:17" x14ac:dyDescent="0.2">
      <c r="A158" t="str">
        <f>IF(Sync!$T154="","",Sync!$T154)</f>
        <v>1405/07/25</v>
      </c>
      <c r="B158">
        <f t="shared" si="12"/>
        <v>1405</v>
      </c>
      <c r="C158">
        <f t="shared" si="13"/>
        <v>7</v>
      </c>
      <c r="D158">
        <f t="shared" si="14"/>
        <v>25</v>
      </c>
      <c r="E158" t="str">
        <f t="shared" si="15"/>
        <v>1405/07/25</v>
      </c>
      <c r="F158" t="str">
        <f t="shared" si="16"/>
        <v>1405/07</v>
      </c>
      <c r="G158" t="str">
        <f>IF(OR($E158="",$E158="نامعتبر",Sync!$X154=""),"",IF(AND(LEFT(UPPER(TRIM(Sync!$X154)),2)="SL",IFERROR(VLOOKUP(Sync!$W154,OpTbl,3,0),"")="فروش"),UPPER(TRIM(Sync!$X154)),""))</f>
        <v/>
      </c>
      <c r="H158" t="str">
        <f>IF($G158="","",IF(Sync!$W154="","",Sync!$W154))</f>
        <v/>
      </c>
      <c r="I158" t="str">
        <f>IF(OR($G158="",Sync!$Y154=""),"",Sync!$Y154)</f>
        <v/>
      </c>
      <c r="J158" t="str">
        <f>IF(OR($G158="",Sync!$Z154=""),"",Sync!$Z154)</f>
        <v/>
      </c>
      <c r="K158">
        <f>IF($G158="",0,IF(Sync!$AA154="",0,Sync!$AA154))</f>
        <v>0</v>
      </c>
      <c r="L158">
        <f>IF($G158="",0,IF(Sync!$AB154="",0,Sync!$AB154))</f>
        <v>0</v>
      </c>
      <c r="M158" t="str">
        <f t="shared" si="17"/>
        <v/>
      </c>
      <c r="N158">
        <f>IF($G158="",0,IF($H158="مرجوعی فروش",-1,1)*IF(Sync!$AC154="",0,Sync!$AC154))</f>
        <v>0</v>
      </c>
      <c r="O158" t="str">
        <f>IF(OR($G158="",Sync!$V154=""),"",Sync!$V154)</f>
        <v/>
      </c>
      <c r="P158" t="str">
        <f>IF(OR($G158="",Sync!$AD154=""),"",Sync!$AD154)</f>
        <v/>
      </c>
      <c r="Q158" t="str">
        <f>IF($G158="","",IF(Sync!$U154="","0000",IF(AND(ISNUMBER(Sync!$U154),Sync!$U154&gt;=0,Sync!$U154&lt;1),RIGHT("00"&amp;HOUR(Sync!$U154),2)&amp;RIGHT("00"&amp;MINUTE(Sync!$U154),2),IFERROR(RIGHT("00"&amp;VALUE(LEFT(Sync!$U154,FIND(":",Sync!$U154)-1)),2)&amp;RIGHT("00"&amp;VALUE(MID(Sync!$U154,FIND(":",Sync!$U154)+1,2)),2),"0000"))))</f>
        <v/>
      </c>
    </row>
    <row r="159" spans="1:17" x14ac:dyDescent="0.2">
      <c r="A159" t="str">
        <f>IF(Sync!$T155="","",Sync!$T155)</f>
        <v>1405/07/25</v>
      </c>
      <c r="B159">
        <f t="shared" si="12"/>
        <v>1405</v>
      </c>
      <c r="C159">
        <f t="shared" si="13"/>
        <v>7</v>
      </c>
      <c r="D159">
        <f t="shared" si="14"/>
        <v>25</v>
      </c>
      <c r="E159" t="str">
        <f t="shared" si="15"/>
        <v>1405/07/25</v>
      </c>
      <c r="F159" t="str">
        <f t="shared" si="16"/>
        <v>1405/07</v>
      </c>
      <c r="G159" t="str">
        <f>IF(OR($E159="",$E159="نامعتبر",Sync!$X155=""),"",IF(AND(LEFT(UPPER(TRIM(Sync!$X155)),2)="SL",IFERROR(VLOOKUP(Sync!$W155,OpTbl,3,0),"")="فروش"),UPPER(TRIM(Sync!$X155)),""))</f>
        <v>SL001</v>
      </c>
      <c r="H159" t="str">
        <f>IF($G159="","",IF(Sync!$W155="","",Sync!$W155))</f>
        <v>فروش</v>
      </c>
      <c r="I159" t="str">
        <f>IF(OR($G159="",Sync!$Y155=""),"",Sync!$Y155)</f>
        <v/>
      </c>
      <c r="J159" t="str">
        <f>IF(OR($G159="",Sync!$Z155=""),"",Sync!$Z155)</f>
        <v/>
      </c>
      <c r="K159">
        <f>IF($G159="",0,IF(Sync!$AA155="",0,Sync!$AA155))</f>
        <v>2165</v>
      </c>
      <c r="L159">
        <f>IF($G159="",0,IF(Sync!$AB155="",0,Sync!$AB155))</f>
        <v>0</v>
      </c>
      <c r="M159">
        <f t="shared" si="17"/>
        <v>2165</v>
      </c>
      <c r="N159">
        <f>IF($G159="",0,IF($H159="مرجوعی فروش",-1,1)*IF(Sync!$AC155="",0,Sync!$AC155))</f>
        <v>0</v>
      </c>
      <c r="O159" t="str">
        <f>IF(OR($G159="",Sync!$V155=""),"",Sync!$V155)</f>
        <v/>
      </c>
      <c r="P159" t="str">
        <f>IF(OR($G159="",Sync!$AD155=""),"",Sync!$AD155)</f>
        <v/>
      </c>
      <c r="Q159" t="str">
        <f>IF($G159="","",IF(Sync!$U155="","0000",IF(AND(ISNUMBER(Sync!$U155),Sync!$U155&gt;=0,Sync!$U155&lt;1),RIGHT("00"&amp;HOUR(Sync!$U155),2)&amp;RIGHT("00"&amp;MINUTE(Sync!$U155),2),IFERROR(RIGHT("00"&amp;VALUE(LEFT(Sync!$U155,FIND(":",Sync!$U155)-1)),2)&amp;RIGHT("00"&amp;VALUE(MID(Sync!$U155,FIND(":",Sync!$U155)+1,2)),2),"0000"))))</f>
        <v>0000</v>
      </c>
    </row>
    <row r="160" spans="1:17" x14ac:dyDescent="0.2">
      <c r="A160" t="str">
        <f>IF(Sync!$T156="","",Sync!$T156)</f>
        <v>1405/07/25</v>
      </c>
      <c r="B160">
        <f t="shared" si="12"/>
        <v>1405</v>
      </c>
      <c r="C160">
        <f t="shared" si="13"/>
        <v>7</v>
      </c>
      <c r="D160">
        <f t="shared" si="14"/>
        <v>25</v>
      </c>
      <c r="E160" t="str">
        <f t="shared" si="15"/>
        <v>1405/07/25</v>
      </c>
      <c r="F160" t="str">
        <f t="shared" si="16"/>
        <v>1405/07</v>
      </c>
      <c r="G160" t="str">
        <f>IF(OR($E160="",$E160="نامعتبر",Sync!$X156=""),"",IF(AND(LEFT(UPPER(TRIM(Sync!$X156)),2)="SL",IFERROR(VLOOKUP(Sync!$W156,OpTbl,3,0),"")="فروش"),UPPER(TRIM(Sync!$X156)),""))</f>
        <v>SL003</v>
      </c>
      <c r="H160" t="str">
        <f>IF($G160="","",IF(Sync!$W156="","",Sync!$W156))</f>
        <v>فروش</v>
      </c>
      <c r="I160" t="str">
        <f>IF(OR($G160="",Sync!$Y156=""),"",Sync!$Y156)</f>
        <v/>
      </c>
      <c r="J160" t="str">
        <f>IF(OR($G160="",Sync!$Z156=""),"",Sync!$Z156)</f>
        <v/>
      </c>
      <c r="K160">
        <f>IF($G160="",0,IF(Sync!$AA156="",0,Sync!$AA156))</f>
        <v>2175</v>
      </c>
      <c r="L160">
        <f>IF($G160="",0,IF(Sync!$AB156="",0,Sync!$AB156))</f>
        <v>0</v>
      </c>
      <c r="M160">
        <f t="shared" si="17"/>
        <v>2175</v>
      </c>
      <c r="N160">
        <f>IF($G160="",0,IF($H160="مرجوعی فروش",-1,1)*IF(Sync!$AC156="",0,Sync!$AC156))</f>
        <v>0</v>
      </c>
      <c r="O160" t="str">
        <f>IF(OR($G160="",Sync!$V156=""),"",Sync!$V156)</f>
        <v/>
      </c>
      <c r="P160" t="str">
        <f>IF(OR($G160="",Sync!$AD156=""),"",Sync!$AD156)</f>
        <v/>
      </c>
      <c r="Q160" t="str">
        <f>IF($G160="","",IF(Sync!$U156="","0000",IF(AND(ISNUMBER(Sync!$U156),Sync!$U156&gt;=0,Sync!$U156&lt;1),RIGHT("00"&amp;HOUR(Sync!$U156),2)&amp;RIGHT("00"&amp;MINUTE(Sync!$U156),2),IFERROR(RIGHT("00"&amp;VALUE(LEFT(Sync!$U156,FIND(":",Sync!$U156)-1)),2)&amp;RIGHT("00"&amp;VALUE(MID(Sync!$U156,FIND(":",Sync!$U156)+1,2)),2),"0000"))))</f>
        <v>0000</v>
      </c>
    </row>
    <row r="161" spans="1:17" x14ac:dyDescent="0.2">
      <c r="A161" t="str">
        <f>IF(Sync!$T157="","",Sync!$T157)</f>
        <v>1405/07/25</v>
      </c>
      <c r="B161">
        <f t="shared" si="12"/>
        <v>1405</v>
      </c>
      <c r="C161">
        <f t="shared" si="13"/>
        <v>7</v>
      </c>
      <c r="D161">
        <f t="shared" si="14"/>
        <v>25</v>
      </c>
      <c r="E161" t="str">
        <f t="shared" si="15"/>
        <v>1405/07/25</v>
      </c>
      <c r="F161" t="str">
        <f t="shared" si="16"/>
        <v>1405/07</v>
      </c>
      <c r="G161" t="str">
        <f>IF(OR($E161="",$E161="نامعتبر",Sync!$X157=""),"",IF(AND(LEFT(UPPER(TRIM(Sync!$X157)),2)="SL",IFERROR(VLOOKUP(Sync!$W157,OpTbl,3,0),"")="فروش"),UPPER(TRIM(Sync!$X157)),""))</f>
        <v/>
      </c>
      <c r="H161" t="str">
        <f>IF($G161="","",IF(Sync!$W157="","",Sync!$W157))</f>
        <v/>
      </c>
      <c r="I161" t="str">
        <f>IF(OR($G161="",Sync!$Y157=""),"",Sync!$Y157)</f>
        <v/>
      </c>
      <c r="J161" t="str">
        <f>IF(OR($G161="",Sync!$Z157=""),"",Sync!$Z157)</f>
        <v/>
      </c>
      <c r="K161">
        <f>IF($G161="",0,IF(Sync!$AA157="",0,Sync!$AA157))</f>
        <v>0</v>
      </c>
      <c r="L161">
        <f>IF($G161="",0,IF(Sync!$AB157="",0,Sync!$AB157))</f>
        <v>0</v>
      </c>
      <c r="M161" t="str">
        <f t="shared" si="17"/>
        <v/>
      </c>
      <c r="N161">
        <f>IF($G161="",0,IF($H161="مرجوعی فروش",-1,1)*IF(Sync!$AC157="",0,Sync!$AC157))</f>
        <v>0</v>
      </c>
      <c r="O161" t="str">
        <f>IF(OR($G161="",Sync!$V157=""),"",Sync!$V157)</f>
        <v/>
      </c>
      <c r="P161" t="str">
        <f>IF(OR($G161="",Sync!$AD157=""),"",Sync!$AD157)</f>
        <v/>
      </c>
      <c r="Q161" t="str">
        <f>IF($G161="","",IF(Sync!$U157="","0000",IF(AND(ISNUMBER(Sync!$U157),Sync!$U157&gt;=0,Sync!$U157&lt;1),RIGHT("00"&amp;HOUR(Sync!$U157),2)&amp;RIGHT("00"&amp;MINUTE(Sync!$U157),2),IFERROR(RIGHT("00"&amp;VALUE(LEFT(Sync!$U157,FIND(":",Sync!$U157)-1)),2)&amp;RIGHT("00"&amp;VALUE(MID(Sync!$U157,FIND(":",Sync!$U157)+1,2)),2),"0000"))))</f>
        <v/>
      </c>
    </row>
    <row r="162" spans="1:17" x14ac:dyDescent="0.2">
      <c r="A162" t="str">
        <f>IF(Sync!$T158="","",Sync!$T158)</f>
        <v>1405/07/25</v>
      </c>
      <c r="B162">
        <f t="shared" si="12"/>
        <v>1405</v>
      </c>
      <c r="C162">
        <f t="shared" si="13"/>
        <v>7</v>
      </c>
      <c r="D162">
        <f t="shared" si="14"/>
        <v>25</v>
      </c>
      <c r="E162" t="str">
        <f t="shared" si="15"/>
        <v>1405/07/25</v>
      </c>
      <c r="F162" t="str">
        <f t="shared" si="16"/>
        <v>1405/07</v>
      </c>
      <c r="G162" t="str">
        <f>IF(OR($E162="",$E162="نامعتبر",Sync!$X158=""),"",IF(AND(LEFT(UPPER(TRIM(Sync!$X158)),2)="SL",IFERROR(VLOOKUP(Sync!$W158,OpTbl,3,0),"")="فروش"),UPPER(TRIM(Sync!$X158)),""))</f>
        <v/>
      </c>
      <c r="H162" t="str">
        <f>IF($G162="","",IF(Sync!$W158="","",Sync!$W158))</f>
        <v/>
      </c>
      <c r="I162" t="str">
        <f>IF(OR($G162="",Sync!$Y158=""),"",Sync!$Y158)</f>
        <v/>
      </c>
      <c r="J162" t="str">
        <f>IF(OR($G162="",Sync!$Z158=""),"",Sync!$Z158)</f>
        <v/>
      </c>
      <c r="K162">
        <f>IF($G162="",0,IF(Sync!$AA158="",0,Sync!$AA158))</f>
        <v>0</v>
      </c>
      <c r="L162">
        <f>IF($G162="",0,IF(Sync!$AB158="",0,Sync!$AB158))</f>
        <v>0</v>
      </c>
      <c r="M162" t="str">
        <f t="shared" si="17"/>
        <v/>
      </c>
      <c r="N162">
        <f>IF($G162="",0,IF($H162="مرجوعی فروش",-1,1)*IF(Sync!$AC158="",0,Sync!$AC158))</f>
        <v>0</v>
      </c>
      <c r="O162" t="str">
        <f>IF(OR($G162="",Sync!$V158=""),"",Sync!$V158)</f>
        <v/>
      </c>
      <c r="P162" t="str">
        <f>IF(OR($G162="",Sync!$AD158=""),"",Sync!$AD158)</f>
        <v/>
      </c>
      <c r="Q162" t="str">
        <f>IF($G162="","",IF(Sync!$U158="","0000",IF(AND(ISNUMBER(Sync!$U158),Sync!$U158&gt;=0,Sync!$U158&lt;1),RIGHT("00"&amp;HOUR(Sync!$U158),2)&amp;RIGHT("00"&amp;MINUTE(Sync!$U158),2),IFERROR(RIGHT("00"&amp;VALUE(LEFT(Sync!$U158,FIND(":",Sync!$U158)-1)),2)&amp;RIGHT("00"&amp;VALUE(MID(Sync!$U158,FIND(":",Sync!$U158)+1,2)),2),"0000"))))</f>
        <v/>
      </c>
    </row>
    <row r="163" spans="1:17" x14ac:dyDescent="0.2">
      <c r="A163" t="str">
        <f>IF(Sync!$T159="","",Sync!$T159)</f>
        <v>1405/07/26</v>
      </c>
      <c r="B163">
        <f t="shared" si="12"/>
        <v>1405</v>
      </c>
      <c r="C163">
        <f t="shared" si="13"/>
        <v>7</v>
      </c>
      <c r="D163">
        <f t="shared" si="14"/>
        <v>26</v>
      </c>
      <c r="E163" t="str">
        <f t="shared" si="15"/>
        <v>1405/07/26</v>
      </c>
      <c r="F163" t="str">
        <f t="shared" si="16"/>
        <v>1405/07</v>
      </c>
      <c r="G163" t="str">
        <f>IF(OR($E163="",$E163="نامعتبر",Sync!$X159=""),"",IF(AND(LEFT(UPPER(TRIM(Sync!$X159)),2)="SL",IFERROR(VLOOKUP(Sync!$W159,OpTbl,3,0),"")="فروش"),UPPER(TRIM(Sync!$X159)),""))</f>
        <v/>
      </c>
      <c r="H163" t="str">
        <f>IF($G163="","",IF(Sync!$W159="","",Sync!$W159))</f>
        <v/>
      </c>
      <c r="I163" t="str">
        <f>IF(OR($G163="",Sync!$Y159=""),"",Sync!$Y159)</f>
        <v/>
      </c>
      <c r="J163" t="str">
        <f>IF(OR($G163="",Sync!$Z159=""),"",Sync!$Z159)</f>
        <v/>
      </c>
      <c r="K163">
        <f>IF($G163="",0,IF(Sync!$AA159="",0,Sync!$AA159))</f>
        <v>0</v>
      </c>
      <c r="L163">
        <f>IF($G163="",0,IF(Sync!$AB159="",0,Sync!$AB159))</f>
        <v>0</v>
      </c>
      <c r="M163" t="str">
        <f t="shared" si="17"/>
        <v/>
      </c>
      <c r="N163">
        <f>IF($G163="",0,IF($H163="مرجوعی فروش",-1,1)*IF(Sync!$AC159="",0,Sync!$AC159))</f>
        <v>0</v>
      </c>
      <c r="O163" t="str">
        <f>IF(OR($G163="",Sync!$V159=""),"",Sync!$V159)</f>
        <v/>
      </c>
      <c r="P163" t="str">
        <f>IF(OR($G163="",Sync!$AD159=""),"",Sync!$AD159)</f>
        <v/>
      </c>
      <c r="Q163" t="str">
        <f>IF($G163="","",IF(Sync!$U159="","0000",IF(AND(ISNUMBER(Sync!$U159),Sync!$U159&gt;=0,Sync!$U159&lt;1),RIGHT("00"&amp;HOUR(Sync!$U159),2)&amp;RIGHT("00"&amp;MINUTE(Sync!$U159),2),IFERROR(RIGHT("00"&amp;VALUE(LEFT(Sync!$U159,FIND(":",Sync!$U159)-1)),2)&amp;RIGHT("00"&amp;VALUE(MID(Sync!$U159,FIND(":",Sync!$U159)+1,2)),2),"0000"))))</f>
        <v/>
      </c>
    </row>
    <row r="164" spans="1:17" x14ac:dyDescent="0.2">
      <c r="A164" t="str">
        <f>IF(Sync!$T160="","",Sync!$T160)</f>
        <v>1405/07/26</v>
      </c>
      <c r="B164">
        <f t="shared" si="12"/>
        <v>1405</v>
      </c>
      <c r="C164">
        <f t="shared" si="13"/>
        <v>7</v>
      </c>
      <c r="D164">
        <f t="shared" si="14"/>
        <v>26</v>
      </c>
      <c r="E164" t="str">
        <f t="shared" si="15"/>
        <v>1405/07/26</v>
      </c>
      <c r="F164" t="str">
        <f t="shared" si="16"/>
        <v>1405/07</v>
      </c>
      <c r="G164" t="str">
        <f>IF(OR($E164="",$E164="نامعتبر",Sync!$X160=""),"",IF(AND(LEFT(UPPER(TRIM(Sync!$X160)),2)="SL",IFERROR(VLOOKUP(Sync!$W160,OpTbl,3,0),"")="فروش"),UPPER(TRIM(Sync!$X160)),""))</f>
        <v/>
      </c>
      <c r="H164" t="str">
        <f>IF($G164="","",IF(Sync!$W160="","",Sync!$W160))</f>
        <v/>
      </c>
      <c r="I164" t="str">
        <f>IF(OR($G164="",Sync!$Y160=""),"",Sync!$Y160)</f>
        <v/>
      </c>
      <c r="J164" t="str">
        <f>IF(OR($G164="",Sync!$Z160=""),"",Sync!$Z160)</f>
        <v/>
      </c>
      <c r="K164">
        <f>IF($G164="",0,IF(Sync!$AA160="",0,Sync!$AA160))</f>
        <v>0</v>
      </c>
      <c r="L164">
        <f>IF($G164="",0,IF(Sync!$AB160="",0,Sync!$AB160))</f>
        <v>0</v>
      </c>
      <c r="M164" t="str">
        <f t="shared" si="17"/>
        <v/>
      </c>
      <c r="N164">
        <f>IF($G164="",0,IF($H164="مرجوعی فروش",-1,1)*IF(Sync!$AC160="",0,Sync!$AC160))</f>
        <v>0</v>
      </c>
      <c r="O164" t="str">
        <f>IF(OR($G164="",Sync!$V160=""),"",Sync!$V160)</f>
        <v/>
      </c>
      <c r="P164" t="str">
        <f>IF(OR($G164="",Sync!$AD160=""),"",Sync!$AD160)</f>
        <v/>
      </c>
      <c r="Q164" t="str">
        <f>IF($G164="","",IF(Sync!$U160="","0000",IF(AND(ISNUMBER(Sync!$U160),Sync!$U160&gt;=0,Sync!$U160&lt;1),RIGHT("00"&amp;HOUR(Sync!$U160),2)&amp;RIGHT("00"&amp;MINUTE(Sync!$U160),2),IFERROR(RIGHT("00"&amp;VALUE(LEFT(Sync!$U160,FIND(":",Sync!$U160)-1)),2)&amp;RIGHT("00"&amp;VALUE(MID(Sync!$U160,FIND(":",Sync!$U160)+1,2)),2),"0000"))))</f>
        <v/>
      </c>
    </row>
    <row r="165" spans="1:17" x14ac:dyDescent="0.2">
      <c r="A165" t="str">
        <f>IF(Sync!$T161="","",Sync!$T161)</f>
        <v>1405/07/26</v>
      </c>
      <c r="B165">
        <f t="shared" si="12"/>
        <v>1405</v>
      </c>
      <c r="C165">
        <f t="shared" si="13"/>
        <v>7</v>
      </c>
      <c r="D165">
        <f t="shared" si="14"/>
        <v>26</v>
      </c>
      <c r="E165" t="str">
        <f t="shared" si="15"/>
        <v>1405/07/26</v>
      </c>
      <c r="F165" t="str">
        <f t="shared" si="16"/>
        <v>1405/07</v>
      </c>
      <c r="G165" t="str">
        <f>IF(OR($E165="",$E165="نامعتبر",Sync!$X161=""),"",IF(AND(LEFT(UPPER(TRIM(Sync!$X161)),2)="SL",IFERROR(VLOOKUP(Sync!$W161,OpTbl,3,0),"")="فروش"),UPPER(TRIM(Sync!$X161)),""))</f>
        <v>SL002</v>
      </c>
      <c r="H165" t="str">
        <f>IF($G165="","",IF(Sync!$W161="","",Sync!$W161))</f>
        <v>فروش</v>
      </c>
      <c r="I165" t="str">
        <f>IF(OR($G165="",Sync!$Y161=""),"",Sync!$Y161)</f>
        <v/>
      </c>
      <c r="J165" t="str">
        <f>IF(OR($G165="",Sync!$Z161=""),"",Sync!$Z161)</f>
        <v/>
      </c>
      <c r="K165">
        <f>IF($G165="",0,IF(Sync!$AA161="",0,Sync!$AA161))</f>
        <v>3000</v>
      </c>
      <c r="L165">
        <f>IF($G165="",0,IF(Sync!$AB161="",0,Sync!$AB161))</f>
        <v>0</v>
      </c>
      <c r="M165">
        <f t="shared" si="17"/>
        <v>3000</v>
      </c>
      <c r="N165">
        <f>IF($G165="",0,IF($H165="مرجوعی فروش",-1,1)*IF(Sync!$AC161="",0,Sync!$AC161))</f>
        <v>0</v>
      </c>
      <c r="O165" t="str">
        <f>IF(OR($G165="",Sync!$V161=""),"",Sync!$V161)</f>
        <v/>
      </c>
      <c r="P165" t="str">
        <f>IF(OR($G165="",Sync!$AD161=""),"",Sync!$AD161)</f>
        <v/>
      </c>
      <c r="Q165" t="str">
        <f>IF($G165="","",IF(Sync!$U161="","0000",IF(AND(ISNUMBER(Sync!$U161),Sync!$U161&gt;=0,Sync!$U161&lt;1),RIGHT("00"&amp;HOUR(Sync!$U161),2)&amp;RIGHT("00"&amp;MINUTE(Sync!$U161),2),IFERROR(RIGHT("00"&amp;VALUE(LEFT(Sync!$U161,FIND(":",Sync!$U161)-1)),2)&amp;RIGHT("00"&amp;VALUE(MID(Sync!$U161,FIND(":",Sync!$U161)+1,2)),2),"0000"))))</f>
        <v>0000</v>
      </c>
    </row>
    <row r="166" spans="1:17" x14ac:dyDescent="0.2">
      <c r="A166" t="str">
        <f>IF(Sync!$T162="","",Sync!$T162)</f>
        <v>1405/07/26</v>
      </c>
      <c r="B166">
        <f t="shared" si="12"/>
        <v>1405</v>
      </c>
      <c r="C166">
        <f t="shared" si="13"/>
        <v>7</v>
      </c>
      <c r="D166">
        <f t="shared" si="14"/>
        <v>26</v>
      </c>
      <c r="E166" t="str">
        <f t="shared" si="15"/>
        <v>1405/07/26</v>
      </c>
      <c r="F166" t="str">
        <f t="shared" si="16"/>
        <v>1405/07</v>
      </c>
      <c r="G166" t="str">
        <f>IF(OR($E166="",$E166="نامعتبر",Sync!$X162=""),"",IF(AND(LEFT(UPPER(TRIM(Sync!$X162)),2)="SL",IFERROR(VLOOKUP(Sync!$W162,OpTbl,3,0),"")="فروش"),UPPER(TRIM(Sync!$X162)),""))</f>
        <v/>
      </c>
      <c r="H166" t="str">
        <f>IF($G166="","",IF(Sync!$W162="","",Sync!$W162))</f>
        <v/>
      </c>
      <c r="I166" t="str">
        <f>IF(OR($G166="",Sync!$Y162=""),"",Sync!$Y162)</f>
        <v/>
      </c>
      <c r="J166" t="str">
        <f>IF(OR($G166="",Sync!$Z162=""),"",Sync!$Z162)</f>
        <v/>
      </c>
      <c r="K166">
        <f>IF($G166="",0,IF(Sync!$AA162="",0,Sync!$AA162))</f>
        <v>0</v>
      </c>
      <c r="L166">
        <f>IF($G166="",0,IF(Sync!$AB162="",0,Sync!$AB162))</f>
        <v>0</v>
      </c>
      <c r="M166" t="str">
        <f t="shared" si="17"/>
        <v/>
      </c>
      <c r="N166">
        <f>IF($G166="",0,IF($H166="مرجوعی فروش",-1,1)*IF(Sync!$AC162="",0,Sync!$AC162))</f>
        <v>0</v>
      </c>
      <c r="O166" t="str">
        <f>IF(OR($G166="",Sync!$V162=""),"",Sync!$V162)</f>
        <v/>
      </c>
      <c r="P166" t="str">
        <f>IF(OR($G166="",Sync!$AD162=""),"",Sync!$AD162)</f>
        <v/>
      </c>
      <c r="Q166" t="str">
        <f>IF($G166="","",IF(Sync!$U162="","0000",IF(AND(ISNUMBER(Sync!$U162),Sync!$U162&gt;=0,Sync!$U162&lt;1),RIGHT("00"&amp;HOUR(Sync!$U162),2)&amp;RIGHT("00"&amp;MINUTE(Sync!$U162),2),IFERROR(RIGHT("00"&amp;VALUE(LEFT(Sync!$U162,FIND(":",Sync!$U162)-1)),2)&amp;RIGHT("00"&amp;VALUE(MID(Sync!$U162,FIND(":",Sync!$U162)+1,2)),2),"0000"))))</f>
        <v/>
      </c>
    </row>
    <row r="167" spans="1:17" x14ac:dyDescent="0.2">
      <c r="A167" t="str">
        <f>IF(Sync!$T163="","",Sync!$T163)</f>
        <v>1405/07/26</v>
      </c>
      <c r="B167">
        <f t="shared" si="12"/>
        <v>1405</v>
      </c>
      <c r="C167">
        <f t="shared" si="13"/>
        <v>7</v>
      </c>
      <c r="D167">
        <f t="shared" si="14"/>
        <v>26</v>
      </c>
      <c r="E167" t="str">
        <f t="shared" si="15"/>
        <v>1405/07/26</v>
      </c>
      <c r="F167" t="str">
        <f t="shared" si="16"/>
        <v>1405/07</v>
      </c>
      <c r="G167" t="str">
        <f>IF(OR($E167="",$E167="نامعتبر",Sync!$X163=""),"",IF(AND(LEFT(UPPER(TRIM(Sync!$X163)),2)="SL",IFERROR(VLOOKUP(Sync!$W163,OpTbl,3,0),"")="فروش"),UPPER(TRIM(Sync!$X163)),""))</f>
        <v>SL003</v>
      </c>
      <c r="H167" t="str">
        <f>IF($G167="","",IF(Sync!$W163="","",Sync!$W163))</f>
        <v>فروش</v>
      </c>
      <c r="I167" t="str">
        <f>IF(OR($G167="",Sync!$Y163=""),"",Sync!$Y163)</f>
        <v/>
      </c>
      <c r="J167" t="str">
        <f>IF(OR($G167="",Sync!$Z163=""),"",Sync!$Z163)</f>
        <v/>
      </c>
      <c r="K167">
        <f>IF($G167="",0,IF(Sync!$AA163="",0,Sync!$AA163))</f>
        <v>2250</v>
      </c>
      <c r="L167">
        <f>IF($G167="",0,IF(Sync!$AB163="",0,Sync!$AB163))</f>
        <v>0</v>
      </c>
      <c r="M167">
        <f t="shared" si="17"/>
        <v>2250</v>
      </c>
      <c r="N167">
        <f>IF($G167="",0,IF($H167="مرجوعی فروش",-1,1)*IF(Sync!$AC163="",0,Sync!$AC163))</f>
        <v>0</v>
      </c>
      <c r="O167" t="str">
        <f>IF(OR($G167="",Sync!$V163=""),"",Sync!$V163)</f>
        <v/>
      </c>
      <c r="P167" t="str">
        <f>IF(OR($G167="",Sync!$AD163=""),"",Sync!$AD163)</f>
        <v/>
      </c>
      <c r="Q167" t="str">
        <f>IF($G167="","",IF(Sync!$U163="","0000",IF(AND(ISNUMBER(Sync!$U163),Sync!$U163&gt;=0,Sync!$U163&lt;1),RIGHT("00"&amp;HOUR(Sync!$U163),2)&amp;RIGHT("00"&amp;MINUTE(Sync!$U163),2),IFERROR(RIGHT("00"&amp;VALUE(LEFT(Sync!$U163,FIND(":",Sync!$U163)-1)),2)&amp;RIGHT("00"&amp;VALUE(MID(Sync!$U163,FIND(":",Sync!$U163)+1,2)),2),"0000"))))</f>
        <v>0000</v>
      </c>
    </row>
    <row r="168" spans="1:17" x14ac:dyDescent="0.2">
      <c r="A168" t="str">
        <f>IF(Sync!$T164="","",Sync!$T164)</f>
        <v>1405/07/26</v>
      </c>
      <c r="B168">
        <f t="shared" si="12"/>
        <v>1405</v>
      </c>
      <c r="C168">
        <f t="shared" si="13"/>
        <v>7</v>
      </c>
      <c r="D168">
        <f t="shared" si="14"/>
        <v>26</v>
      </c>
      <c r="E168" t="str">
        <f t="shared" si="15"/>
        <v>1405/07/26</v>
      </c>
      <c r="F168" t="str">
        <f t="shared" si="16"/>
        <v>1405/07</v>
      </c>
      <c r="G168" t="str">
        <f>IF(OR($E168="",$E168="نامعتبر",Sync!$X164=""),"",IF(AND(LEFT(UPPER(TRIM(Sync!$X164)),2)="SL",IFERROR(VLOOKUP(Sync!$W164,OpTbl,3,0),"")="فروش"),UPPER(TRIM(Sync!$X164)),""))</f>
        <v>SL001</v>
      </c>
      <c r="H168" t="str">
        <f>IF($G168="","",IF(Sync!$W164="","",Sync!$W164))</f>
        <v>فروش</v>
      </c>
      <c r="I168" t="str">
        <f>IF(OR($G168="",Sync!$Y164=""),"",Sync!$Y164)</f>
        <v/>
      </c>
      <c r="J168" t="str">
        <f>IF(OR($G168="",Sync!$Z164=""),"",Sync!$Z164)</f>
        <v/>
      </c>
      <c r="K168">
        <f>IF($G168="",0,IF(Sync!$AA164="",0,Sync!$AA164))</f>
        <v>2245</v>
      </c>
      <c r="L168">
        <f>IF($G168="",0,IF(Sync!$AB164="",0,Sync!$AB164))</f>
        <v>0</v>
      </c>
      <c r="M168">
        <f t="shared" si="17"/>
        <v>2245</v>
      </c>
      <c r="N168">
        <f>IF($G168="",0,IF($H168="مرجوعی فروش",-1,1)*IF(Sync!$AC164="",0,Sync!$AC164))</f>
        <v>0</v>
      </c>
      <c r="O168" t="str">
        <f>IF(OR($G168="",Sync!$V164=""),"",Sync!$V164)</f>
        <v/>
      </c>
      <c r="P168" t="str">
        <f>IF(OR($G168="",Sync!$AD164=""),"",Sync!$AD164)</f>
        <v/>
      </c>
      <c r="Q168" t="str">
        <f>IF($G168="","",IF(Sync!$U164="","0000",IF(AND(ISNUMBER(Sync!$U164),Sync!$U164&gt;=0,Sync!$U164&lt;1),RIGHT("00"&amp;HOUR(Sync!$U164),2)&amp;RIGHT("00"&amp;MINUTE(Sync!$U164),2),IFERROR(RIGHT("00"&amp;VALUE(LEFT(Sync!$U164,FIND(":",Sync!$U164)-1)),2)&amp;RIGHT("00"&amp;VALUE(MID(Sync!$U164,FIND(":",Sync!$U164)+1,2)),2),"0000"))))</f>
        <v>0000</v>
      </c>
    </row>
    <row r="169" spans="1:17" x14ac:dyDescent="0.2">
      <c r="A169" t="str">
        <f>IF(Sync!$T165="","",Sync!$T165)</f>
        <v>1405/07/26</v>
      </c>
      <c r="B169">
        <f t="shared" si="12"/>
        <v>1405</v>
      </c>
      <c r="C169">
        <f t="shared" si="13"/>
        <v>7</v>
      </c>
      <c r="D169">
        <f t="shared" si="14"/>
        <v>26</v>
      </c>
      <c r="E169" t="str">
        <f t="shared" si="15"/>
        <v>1405/07/26</v>
      </c>
      <c r="F169" t="str">
        <f t="shared" si="16"/>
        <v>1405/07</v>
      </c>
      <c r="G169" t="str">
        <f>IF(OR($E169="",$E169="نامعتبر",Sync!$X165=""),"",IF(AND(LEFT(UPPER(TRIM(Sync!$X165)),2)="SL",IFERROR(VLOOKUP(Sync!$W165,OpTbl,3,0),"")="فروش"),UPPER(TRIM(Sync!$X165)),""))</f>
        <v/>
      </c>
      <c r="H169" t="str">
        <f>IF($G169="","",IF(Sync!$W165="","",Sync!$W165))</f>
        <v/>
      </c>
      <c r="I169" t="str">
        <f>IF(OR($G169="",Sync!$Y165=""),"",Sync!$Y165)</f>
        <v/>
      </c>
      <c r="J169" t="str">
        <f>IF(OR($G169="",Sync!$Z165=""),"",Sync!$Z165)</f>
        <v/>
      </c>
      <c r="K169">
        <f>IF($G169="",0,IF(Sync!$AA165="",0,Sync!$AA165))</f>
        <v>0</v>
      </c>
      <c r="L169">
        <f>IF($G169="",0,IF(Sync!$AB165="",0,Sync!$AB165))</f>
        <v>0</v>
      </c>
      <c r="M169" t="str">
        <f t="shared" si="17"/>
        <v/>
      </c>
      <c r="N169">
        <f>IF($G169="",0,IF($H169="مرجوعی فروش",-1,1)*IF(Sync!$AC165="",0,Sync!$AC165))</f>
        <v>0</v>
      </c>
      <c r="O169" t="str">
        <f>IF(OR($G169="",Sync!$V165=""),"",Sync!$V165)</f>
        <v/>
      </c>
      <c r="P169" t="str">
        <f>IF(OR($G169="",Sync!$AD165=""),"",Sync!$AD165)</f>
        <v/>
      </c>
      <c r="Q169" t="str">
        <f>IF($G169="","",IF(Sync!$U165="","0000",IF(AND(ISNUMBER(Sync!$U165),Sync!$U165&gt;=0,Sync!$U165&lt;1),RIGHT("00"&amp;HOUR(Sync!$U165),2)&amp;RIGHT("00"&amp;MINUTE(Sync!$U165),2),IFERROR(RIGHT("00"&amp;VALUE(LEFT(Sync!$U165,FIND(":",Sync!$U165)-1)),2)&amp;RIGHT("00"&amp;VALUE(MID(Sync!$U165,FIND(":",Sync!$U165)+1,2)),2),"0000"))))</f>
        <v/>
      </c>
    </row>
    <row r="170" spans="1:17" x14ac:dyDescent="0.2">
      <c r="A170" t="str">
        <f>IF(Sync!$T166="","",Sync!$T166)</f>
        <v>1405/07/26</v>
      </c>
      <c r="B170">
        <f t="shared" si="12"/>
        <v>1405</v>
      </c>
      <c r="C170">
        <f t="shared" si="13"/>
        <v>7</v>
      </c>
      <c r="D170">
        <f t="shared" si="14"/>
        <v>26</v>
      </c>
      <c r="E170" t="str">
        <f t="shared" si="15"/>
        <v>1405/07/26</v>
      </c>
      <c r="F170" t="str">
        <f t="shared" si="16"/>
        <v>1405/07</v>
      </c>
      <c r="G170" t="str">
        <f>IF(OR($E170="",$E170="نامعتبر",Sync!$X166=""),"",IF(AND(LEFT(UPPER(TRIM(Sync!$X166)),2)="SL",IFERROR(VLOOKUP(Sync!$W166,OpTbl,3,0),"")="فروش"),UPPER(TRIM(Sync!$X166)),""))</f>
        <v/>
      </c>
      <c r="H170" t="str">
        <f>IF($G170="","",IF(Sync!$W166="","",Sync!$W166))</f>
        <v/>
      </c>
      <c r="I170" t="str">
        <f>IF(OR($G170="",Sync!$Y166=""),"",Sync!$Y166)</f>
        <v/>
      </c>
      <c r="J170" t="str">
        <f>IF(OR($G170="",Sync!$Z166=""),"",Sync!$Z166)</f>
        <v/>
      </c>
      <c r="K170">
        <f>IF($G170="",0,IF(Sync!$AA166="",0,Sync!$AA166))</f>
        <v>0</v>
      </c>
      <c r="L170">
        <f>IF($G170="",0,IF(Sync!$AB166="",0,Sync!$AB166))</f>
        <v>0</v>
      </c>
      <c r="M170" t="str">
        <f t="shared" si="17"/>
        <v/>
      </c>
      <c r="N170">
        <f>IF($G170="",0,IF($H170="مرجوعی فروش",-1,1)*IF(Sync!$AC166="",0,Sync!$AC166))</f>
        <v>0</v>
      </c>
      <c r="O170" t="str">
        <f>IF(OR($G170="",Sync!$V166=""),"",Sync!$V166)</f>
        <v/>
      </c>
      <c r="P170" t="str">
        <f>IF(OR($G170="",Sync!$AD166=""),"",Sync!$AD166)</f>
        <v/>
      </c>
      <c r="Q170" t="str">
        <f>IF($G170="","",IF(Sync!$U166="","0000",IF(AND(ISNUMBER(Sync!$U166),Sync!$U166&gt;=0,Sync!$U166&lt;1),RIGHT("00"&amp;HOUR(Sync!$U166),2)&amp;RIGHT("00"&amp;MINUTE(Sync!$U166),2),IFERROR(RIGHT("00"&amp;VALUE(LEFT(Sync!$U166,FIND(":",Sync!$U166)-1)),2)&amp;RIGHT("00"&amp;VALUE(MID(Sync!$U166,FIND(":",Sync!$U166)+1,2)),2),"0000"))))</f>
        <v/>
      </c>
    </row>
    <row r="171" spans="1:17" x14ac:dyDescent="0.2">
      <c r="A171" t="str">
        <f>IF(Sync!$T167="","",Sync!$T167)</f>
        <v>1405/07/26</v>
      </c>
      <c r="B171">
        <f t="shared" si="12"/>
        <v>1405</v>
      </c>
      <c r="C171">
        <f t="shared" si="13"/>
        <v>7</v>
      </c>
      <c r="D171">
        <f t="shared" si="14"/>
        <v>26</v>
      </c>
      <c r="E171" t="str">
        <f t="shared" si="15"/>
        <v>1405/07/26</v>
      </c>
      <c r="F171" t="str">
        <f t="shared" si="16"/>
        <v>1405/07</v>
      </c>
      <c r="G171" t="str">
        <f>IF(OR($E171="",$E171="نامعتبر",Sync!$X167=""),"",IF(AND(LEFT(UPPER(TRIM(Sync!$X167)),2)="SL",IFERROR(VLOOKUP(Sync!$W167,OpTbl,3,0),"")="فروش"),UPPER(TRIM(Sync!$X167)),""))</f>
        <v/>
      </c>
      <c r="H171" t="str">
        <f>IF($G171="","",IF(Sync!$W167="","",Sync!$W167))</f>
        <v/>
      </c>
      <c r="I171" t="str">
        <f>IF(OR($G171="",Sync!$Y167=""),"",Sync!$Y167)</f>
        <v/>
      </c>
      <c r="J171" t="str">
        <f>IF(OR($G171="",Sync!$Z167=""),"",Sync!$Z167)</f>
        <v/>
      </c>
      <c r="K171">
        <f>IF($G171="",0,IF(Sync!$AA167="",0,Sync!$AA167))</f>
        <v>0</v>
      </c>
      <c r="L171">
        <f>IF($G171="",0,IF(Sync!$AB167="",0,Sync!$AB167))</f>
        <v>0</v>
      </c>
      <c r="M171" t="str">
        <f t="shared" si="17"/>
        <v/>
      </c>
      <c r="N171">
        <f>IF($G171="",0,IF($H171="مرجوعی فروش",-1,1)*IF(Sync!$AC167="",0,Sync!$AC167))</f>
        <v>0</v>
      </c>
      <c r="O171" t="str">
        <f>IF(OR($G171="",Sync!$V167=""),"",Sync!$V167)</f>
        <v/>
      </c>
      <c r="P171" t="str">
        <f>IF(OR($G171="",Sync!$AD167=""),"",Sync!$AD167)</f>
        <v/>
      </c>
      <c r="Q171" t="str">
        <f>IF($G171="","",IF(Sync!$U167="","0000",IF(AND(ISNUMBER(Sync!$U167),Sync!$U167&gt;=0,Sync!$U167&lt;1),RIGHT("00"&amp;HOUR(Sync!$U167),2)&amp;RIGHT("00"&amp;MINUTE(Sync!$U167),2),IFERROR(RIGHT("00"&amp;VALUE(LEFT(Sync!$U167,FIND(":",Sync!$U167)-1)),2)&amp;RIGHT("00"&amp;VALUE(MID(Sync!$U167,FIND(":",Sync!$U167)+1,2)),2),"0000"))))</f>
        <v/>
      </c>
    </row>
    <row r="172" spans="1:17" x14ac:dyDescent="0.2">
      <c r="A172" t="str">
        <f>IF(Sync!$T168="","",Sync!$T168)</f>
        <v>1405/07/26</v>
      </c>
      <c r="B172">
        <f t="shared" si="12"/>
        <v>1405</v>
      </c>
      <c r="C172">
        <f t="shared" si="13"/>
        <v>7</v>
      </c>
      <c r="D172">
        <f t="shared" si="14"/>
        <v>26</v>
      </c>
      <c r="E172" t="str">
        <f t="shared" si="15"/>
        <v>1405/07/26</v>
      </c>
      <c r="F172" t="str">
        <f t="shared" si="16"/>
        <v>1405/07</v>
      </c>
      <c r="G172" t="str">
        <f>IF(OR($E172="",$E172="نامعتبر",Sync!$X168=""),"",IF(AND(LEFT(UPPER(TRIM(Sync!$X168)),2)="SL",IFERROR(VLOOKUP(Sync!$W168,OpTbl,3,0),"")="فروش"),UPPER(TRIM(Sync!$X168)),""))</f>
        <v/>
      </c>
      <c r="H172" t="str">
        <f>IF($G172="","",IF(Sync!$W168="","",Sync!$W168))</f>
        <v/>
      </c>
      <c r="I172" t="str">
        <f>IF(OR($G172="",Sync!$Y168=""),"",Sync!$Y168)</f>
        <v/>
      </c>
      <c r="J172" t="str">
        <f>IF(OR($G172="",Sync!$Z168=""),"",Sync!$Z168)</f>
        <v/>
      </c>
      <c r="K172">
        <f>IF($G172="",0,IF(Sync!$AA168="",0,Sync!$AA168))</f>
        <v>0</v>
      </c>
      <c r="L172">
        <f>IF($G172="",0,IF(Sync!$AB168="",0,Sync!$AB168))</f>
        <v>0</v>
      </c>
      <c r="M172" t="str">
        <f t="shared" si="17"/>
        <v/>
      </c>
      <c r="N172">
        <f>IF($G172="",0,IF($H172="مرجوعی فروش",-1,1)*IF(Sync!$AC168="",0,Sync!$AC168))</f>
        <v>0</v>
      </c>
      <c r="O172" t="str">
        <f>IF(OR($G172="",Sync!$V168=""),"",Sync!$V168)</f>
        <v/>
      </c>
      <c r="P172" t="str">
        <f>IF(OR($G172="",Sync!$AD168=""),"",Sync!$AD168)</f>
        <v/>
      </c>
      <c r="Q172" t="str">
        <f>IF($G172="","",IF(Sync!$U168="","0000",IF(AND(ISNUMBER(Sync!$U168),Sync!$U168&gt;=0,Sync!$U168&lt;1),RIGHT("00"&amp;HOUR(Sync!$U168),2)&amp;RIGHT("00"&amp;MINUTE(Sync!$U168),2),IFERROR(RIGHT("00"&amp;VALUE(LEFT(Sync!$U168,FIND(":",Sync!$U168)-1)),2)&amp;RIGHT("00"&amp;VALUE(MID(Sync!$U168,FIND(":",Sync!$U168)+1,2)),2),"0000"))))</f>
        <v/>
      </c>
    </row>
    <row r="173" spans="1:17" x14ac:dyDescent="0.2">
      <c r="A173" t="str">
        <f>IF(Sync!$T169="","",Sync!$T169)</f>
        <v>1405/07/26</v>
      </c>
      <c r="B173">
        <f t="shared" si="12"/>
        <v>1405</v>
      </c>
      <c r="C173">
        <f t="shared" si="13"/>
        <v>7</v>
      </c>
      <c r="D173">
        <f t="shared" si="14"/>
        <v>26</v>
      </c>
      <c r="E173" t="str">
        <f t="shared" si="15"/>
        <v>1405/07/26</v>
      </c>
      <c r="F173" t="str">
        <f t="shared" si="16"/>
        <v>1405/07</v>
      </c>
      <c r="G173" t="str">
        <f>IF(OR($E173="",$E173="نامعتبر",Sync!$X169=""),"",IF(AND(LEFT(UPPER(TRIM(Sync!$X169)),2)="SL",IFERROR(VLOOKUP(Sync!$W169,OpTbl,3,0),"")="فروش"),UPPER(TRIM(Sync!$X169)),""))</f>
        <v/>
      </c>
      <c r="H173" t="str">
        <f>IF($G173="","",IF(Sync!$W169="","",Sync!$W169))</f>
        <v/>
      </c>
      <c r="I173" t="str">
        <f>IF(OR($G173="",Sync!$Y169=""),"",Sync!$Y169)</f>
        <v/>
      </c>
      <c r="J173" t="str">
        <f>IF(OR($G173="",Sync!$Z169=""),"",Sync!$Z169)</f>
        <v/>
      </c>
      <c r="K173">
        <f>IF($G173="",0,IF(Sync!$AA169="",0,Sync!$AA169))</f>
        <v>0</v>
      </c>
      <c r="L173">
        <f>IF($G173="",0,IF(Sync!$AB169="",0,Sync!$AB169))</f>
        <v>0</v>
      </c>
      <c r="M173" t="str">
        <f t="shared" si="17"/>
        <v/>
      </c>
      <c r="N173">
        <f>IF($G173="",0,IF($H173="مرجوعی فروش",-1,1)*IF(Sync!$AC169="",0,Sync!$AC169))</f>
        <v>0</v>
      </c>
      <c r="O173" t="str">
        <f>IF(OR($G173="",Sync!$V169=""),"",Sync!$V169)</f>
        <v/>
      </c>
      <c r="P173" t="str">
        <f>IF(OR($G173="",Sync!$AD169=""),"",Sync!$AD169)</f>
        <v/>
      </c>
      <c r="Q173" t="str">
        <f>IF($G173="","",IF(Sync!$U169="","0000",IF(AND(ISNUMBER(Sync!$U169),Sync!$U169&gt;=0,Sync!$U169&lt;1),RIGHT("00"&amp;HOUR(Sync!$U169),2)&amp;RIGHT("00"&amp;MINUTE(Sync!$U169),2),IFERROR(RIGHT("00"&amp;VALUE(LEFT(Sync!$U169,FIND(":",Sync!$U169)-1)),2)&amp;RIGHT("00"&amp;VALUE(MID(Sync!$U169,FIND(":",Sync!$U169)+1,2)),2),"0000"))))</f>
        <v/>
      </c>
    </row>
    <row r="174" spans="1:17" x14ac:dyDescent="0.2">
      <c r="A174" t="str">
        <f>IF(Sync!$T170="","",Sync!$T170)</f>
        <v>1405/07/27</v>
      </c>
      <c r="B174">
        <f t="shared" si="12"/>
        <v>1405</v>
      </c>
      <c r="C174">
        <f t="shared" si="13"/>
        <v>7</v>
      </c>
      <c r="D174">
        <f t="shared" si="14"/>
        <v>27</v>
      </c>
      <c r="E174" t="str">
        <f t="shared" si="15"/>
        <v>1405/07/27</v>
      </c>
      <c r="F174" t="str">
        <f t="shared" si="16"/>
        <v>1405/07</v>
      </c>
      <c r="G174" t="str">
        <f>IF(OR($E174="",$E174="نامعتبر",Sync!$X170=""),"",IF(AND(LEFT(UPPER(TRIM(Sync!$X170)),2)="SL",IFERROR(VLOOKUP(Sync!$W170,OpTbl,3,0),"")="فروش"),UPPER(TRIM(Sync!$X170)),""))</f>
        <v/>
      </c>
      <c r="H174" t="str">
        <f>IF($G174="","",IF(Sync!$W170="","",Sync!$W170))</f>
        <v/>
      </c>
      <c r="I174" t="str">
        <f>IF(OR($G174="",Sync!$Y170=""),"",Sync!$Y170)</f>
        <v/>
      </c>
      <c r="J174" t="str">
        <f>IF(OR($G174="",Sync!$Z170=""),"",Sync!$Z170)</f>
        <v/>
      </c>
      <c r="K174">
        <f>IF($G174="",0,IF(Sync!$AA170="",0,Sync!$AA170))</f>
        <v>0</v>
      </c>
      <c r="L174">
        <f>IF($G174="",0,IF(Sync!$AB170="",0,Sync!$AB170))</f>
        <v>0</v>
      </c>
      <c r="M174" t="str">
        <f t="shared" si="17"/>
        <v/>
      </c>
      <c r="N174">
        <f>IF($G174="",0,IF($H174="مرجوعی فروش",-1,1)*IF(Sync!$AC170="",0,Sync!$AC170))</f>
        <v>0</v>
      </c>
      <c r="O174" t="str">
        <f>IF(OR($G174="",Sync!$V170=""),"",Sync!$V170)</f>
        <v/>
      </c>
      <c r="P174" t="str">
        <f>IF(OR($G174="",Sync!$AD170=""),"",Sync!$AD170)</f>
        <v/>
      </c>
      <c r="Q174" t="str">
        <f>IF($G174="","",IF(Sync!$U170="","0000",IF(AND(ISNUMBER(Sync!$U170),Sync!$U170&gt;=0,Sync!$U170&lt;1),RIGHT("00"&amp;HOUR(Sync!$U170),2)&amp;RIGHT("00"&amp;MINUTE(Sync!$U170),2),IFERROR(RIGHT("00"&amp;VALUE(LEFT(Sync!$U170,FIND(":",Sync!$U170)-1)),2)&amp;RIGHT("00"&amp;VALUE(MID(Sync!$U170,FIND(":",Sync!$U170)+1,2)),2),"0000"))))</f>
        <v/>
      </c>
    </row>
    <row r="175" spans="1:17" x14ac:dyDescent="0.2">
      <c r="A175" t="str">
        <f>IF(Sync!$T171="","",Sync!$T171)</f>
        <v>1405/07/27</v>
      </c>
      <c r="B175">
        <f t="shared" si="12"/>
        <v>1405</v>
      </c>
      <c r="C175">
        <f t="shared" si="13"/>
        <v>7</v>
      </c>
      <c r="D175">
        <f t="shared" si="14"/>
        <v>27</v>
      </c>
      <c r="E175" t="str">
        <f t="shared" si="15"/>
        <v>1405/07/27</v>
      </c>
      <c r="F175" t="str">
        <f t="shared" si="16"/>
        <v>1405/07</v>
      </c>
      <c r="G175" t="str">
        <f>IF(OR($E175="",$E175="نامعتبر",Sync!$X171=""),"",IF(AND(LEFT(UPPER(TRIM(Sync!$X171)),2)="SL",IFERROR(VLOOKUP(Sync!$W171,OpTbl,3,0),"")="فروش"),UPPER(TRIM(Sync!$X171)),""))</f>
        <v/>
      </c>
      <c r="H175" t="str">
        <f>IF($G175="","",IF(Sync!$W171="","",Sync!$W171))</f>
        <v/>
      </c>
      <c r="I175" t="str">
        <f>IF(OR($G175="",Sync!$Y171=""),"",Sync!$Y171)</f>
        <v/>
      </c>
      <c r="J175" t="str">
        <f>IF(OR($G175="",Sync!$Z171=""),"",Sync!$Z171)</f>
        <v/>
      </c>
      <c r="K175">
        <f>IF($G175="",0,IF(Sync!$AA171="",0,Sync!$AA171))</f>
        <v>0</v>
      </c>
      <c r="L175">
        <f>IF($G175="",0,IF(Sync!$AB171="",0,Sync!$AB171))</f>
        <v>0</v>
      </c>
      <c r="M175" t="str">
        <f t="shared" si="17"/>
        <v/>
      </c>
      <c r="N175">
        <f>IF($G175="",0,IF($H175="مرجوعی فروش",-1,1)*IF(Sync!$AC171="",0,Sync!$AC171))</f>
        <v>0</v>
      </c>
      <c r="O175" t="str">
        <f>IF(OR($G175="",Sync!$V171=""),"",Sync!$V171)</f>
        <v/>
      </c>
      <c r="P175" t="str">
        <f>IF(OR($G175="",Sync!$AD171=""),"",Sync!$AD171)</f>
        <v/>
      </c>
      <c r="Q175" t="str">
        <f>IF($G175="","",IF(Sync!$U171="","0000",IF(AND(ISNUMBER(Sync!$U171),Sync!$U171&gt;=0,Sync!$U171&lt;1),RIGHT("00"&amp;HOUR(Sync!$U171),2)&amp;RIGHT("00"&amp;MINUTE(Sync!$U171),2),IFERROR(RIGHT("00"&amp;VALUE(LEFT(Sync!$U171,FIND(":",Sync!$U171)-1)),2)&amp;RIGHT("00"&amp;VALUE(MID(Sync!$U171,FIND(":",Sync!$U171)+1,2)),2),"0000"))))</f>
        <v/>
      </c>
    </row>
    <row r="176" spans="1:17" x14ac:dyDescent="0.2">
      <c r="A176" t="str">
        <f>IF(Sync!$T172="","",Sync!$T172)</f>
        <v>1405/07/27</v>
      </c>
      <c r="B176">
        <f t="shared" si="12"/>
        <v>1405</v>
      </c>
      <c r="C176">
        <f t="shared" si="13"/>
        <v>7</v>
      </c>
      <c r="D176">
        <f t="shared" si="14"/>
        <v>27</v>
      </c>
      <c r="E176" t="str">
        <f t="shared" si="15"/>
        <v>1405/07/27</v>
      </c>
      <c r="F176" t="str">
        <f t="shared" si="16"/>
        <v>1405/07</v>
      </c>
      <c r="G176" t="str">
        <f>IF(OR($E176="",$E176="نامعتبر",Sync!$X172=""),"",IF(AND(LEFT(UPPER(TRIM(Sync!$X172)),2)="SL",IFERROR(VLOOKUP(Sync!$W172,OpTbl,3,0),"")="فروش"),UPPER(TRIM(Sync!$X172)),""))</f>
        <v/>
      </c>
      <c r="H176" t="str">
        <f>IF($G176="","",IF(Sync!$W172="","",Sync!$W172))</f>
        <v/>
      </c>
      <c r="I176" t="str">
        <f>IF(OR($G176="",Sync!$Y172=""),"",Sync!$Y172)</f>
        <v/>
      </c>
      <c r="J176" t="str">
        <f>IF(OR($G176="",Sync!$Z172=""),"",Sync!$Z172)</f>
        <v/>
      </c>
      <c r="K176">
        <f>IF($G176="",0,IF(Sync!$AA172="",0,Sync!$AA172))</f>
        <v>0</v>
      </c>
      <c r="L176">
        <f>IF($G176="",0,IF(Sync!$AB172="",0,Sync!$AB172))</f>
        <v>0</v>
      </c>
      <c r="M176" t="str">
        <f t="shared" si="17"/>
        <v/>
      </c>
      <c r="N176">
        <f>IF($G176="",0,IF($H176="مرجوعی فروش",-1,1)*IF(Sync!$AC172="",0,Sync!$AC172))</f>
        <v>0</v>
      </c>
      <c r="O176" t="str">
        <f>IF(OR($G176="",Sync!$V172=""),"",Sync!$V172)</f>
        <v/>
      </c>
      <c r="P176" t="str">
        <f>IF(OR($G176="",Sync!$AD172=""),"",Sync!$AD172)</f>
        <v/>
      </c>
      <c r="Q176" t="str">
        <f>IF($G176="","",IF(Sync!$U172="","0000",IF(AND(ISNUMBER(Sync!$U172),Sync!$U172&gt;=0,Sync!$U172&lt;1),RIGHT("00"&amp;HOUR(Sync!$U172),2)&amp;RIGHT("00"&amp;MINUTE(Sync!$U172),2),IFERROR(RIGHT("00"&amp;VALUE(LEFT(Sync!$U172,FIND(":",Sync!$U172)-1)),2)&amp;RIGHT("00"&amp;VALUE(MID(Sync!$U172,FIND(":",Sync!$U172)+1,2)),2),"0000"))))</f>
        <v/>
      </c>
    </row>
    <row r="177" spans="1:17" x14ac:dyDescent="0.2">
      <c r="A177" t="str">
        <f>IF(Sync!$T173="","",Sync!$T173)</f>
        <v>1405/07/27</v>
      </c>
      <c r="B177">
        <f t="shared" si="12"/>
        <v>1405</v>
      </c>
      <c r="C177">
        <f t="shared" si="13"/>
        <v>7</v>
      </c>
      <c r="D177">
        <f t="shared" si="14"/>
        <v>27</v>
      </c>
      <c r="E177" t="str">
        <f t="shared" si="15"/>
        <v>1405/07/27</v>
      </c>
      <c r="F177" t="str">
        <f t="shared" si="16"/>
        <v>1405/07</v>
      </c>
      <c r="G177" t="str">
        <f>IF(OR($E177="",$E177="نامعتبر",Sync!$X173=""),"",IF(AND(LEFT(UPPER(TRIM(Sync!$X173)),2)="SL",IFERROR(VLOOKUP(Sync!$W173,OpTbl,3,0),"")="فروش"),UPPER(TRIM(Sync!$X173)),""))</f>
        <v>SL005</v>
      </c>
      <c r="H177" t="str">
        <f>IF($G177="","",IF(Sync!$W173="","",Sync!$W173))</f>
        <v>فروش</v>
      </c>
      <c r="I177" t="str">
        <f>IF(OR($G177="",Sync!$Y173=""),"",Sync!$Y173)</f>
        <v/>
      </c>
      <c r="J177" t="str">
        <f>IF(OR($G177="",Sync!$Z173=""),"",Sync!$Z173)</f>
        <v/>
      </c>
      <c r="K177">
        <f>IF($G177="",0,IF(Sync!$AA173="",0,Sync!$AA173))</f>
        <v>4680</v>
      </c>
      <c r="L177">
        <f>IF($G177="",0,IF(Sync!$AB173="",0,Sync!$AB173))</f>
        <v>0</v>
      </c>
      <c r="M177">
        <f t="shared" si="17"/>
        <v>4680</v>
      </c>
      <c r="N177">
        <f>IF($G177="",0,IF($H177="مرجوعی فروش",-1,1)*IF(Sync!$AC173="",0,Sync!$AC173))</f>
        <v>0</v>
      </c>
      <c r="O177" t="str">
        <f>IF(OR($G177="",Sync!$V173=""),"",Sync!$V173)</f>
        <v/>
      </c>
      <c r="P177" t="str">
        <f>IF(OR($G177="",Sync!$AD173=""),"",Sync!$AD173)</f>
        <v/>
      </c>
      <c r="Q177" t="str">
        <f>IF($G177="","",IF(Sync!$U173="","0000",IF(AND(ISNUMBER(Sync!$U173),Sync!$U173&gt;=0,Sync!$U173&lt;1),RIGHT("00"&amp;HOUR(Sync!$U173),2)&amp;RIGHT("00"&amp;MINUTE(Sync!$U173),2),IFERROR(RIGHT("00"&amp;VALUE(LEFT(Sync!$U173,FIND(":",Sync!$U173)-1)),2)&amp;RIGHT("00"&amp;VALUE(MID(Sync!$U173,FIND(":",Sync!$U173)+1,2)),2),"0000"))))</f>
        <v>0000</v>
      </c>
    </row>
    <row r="178" spans="1:17" x14ac:dyDescent="0.2">
      <c r="A178" t="str">
        <f>IF(Sync!$T174="","",Sync!$T174)</f>
        <v>1405/07/27</v>
      </c>
      <c r="B178">
        <f t="shared" si="12"/>
        <v>1405</v>
      </c>
      <c r="C178">
        <f t="shared" si="13"/>
        <v>7</v>
      </c>
      <c r="D178">
        <f t="shared" si="14"/>
        <v>27</v>
      </c>
      <c r="E178" t="str">
        <f t="shared" si="15"/>
        <v>1405/07/27</v>
      </c>
      <c r="F178" t="str">
        <f t="shared" si="16"/>
        <v>1405/07</v>
      </c>
      <c r="G178" t="str">
        <f>IF(OR($E178="",$E178="نامعتبر",Sync!$X174=""),"",IF(AND(LEFT(UPPER(TRIM(Sync!$X174)),2)="SL",IFERROR(VLOOKUP(Sync!$W174,OpTbl,3,0),"")="فروش"),UPPER(TRIM(Sync!$X174)),""))</f>
        <v>SL004</v>
      </c>
      <c r="H178" t="str">
        <f>IF($G178="","",IF(Sync!$W174="","",Sync!$W174))</f>
        <v>فروش</v>
      </c>
      <c r="I178" t="str">
        <f>IF(OR($G178="",Sync!$Y174=""),"",Sync!$Y174)</f>
        <v/>
      </c>
      <c r="J178" t="str">
        <f>IF(OR($G178="",Sync!$Z174=""),"",Sync!$Z174)</f>
        <v/>
      </c>
      <c r="K178">
        <f>IF($G178="",0,IF(Sync!$AA174="",0,Sync!$AA174))</f>
        <v>4675</v>
      </c>
      <c r="L178">
        <f>IF($G178="",0,IF(Sync!$AB174="",0,Sync!$AB174))</f>
        <v>0</v>
      </c>
      <c r="M178">
        <f t="shared" si="17"/>
        <v>4675</v>
      </c>
      <c r="N178">
        <f>IF($G178="",0,IF($H178="مرجوعی فروش",-1,1)*IF(Sync!$AC174="",0,Sync!$AC174))</f>
        <v>0</v>
      </c>
      <c r="O178" t="str">
        <f>IF(OR($G178="",Sync!$V174=""),"",Sync!$V174)</f>
        <v/>
      </c>
      <c r="P178" t="str">
        <f>IF(OR($G178="",Sync!$AD174=""),"",Sync!$AD174)</f>
        <v/>
      </c>
      <c r="Q178" t="str">
        <f>IF($G178="","",IF(Sync!$U174="","0000",IF(AND(ISNUMBER(Sync!$U174),Sync!$U174&gt;=0,Sync!$U174&lt;1),RIGHT("00"&amp;HOUR(Sync!$U174),2)&amp;RIGHT("00"&amp;MINUTE(Sync!$U174),2),IFERROR(RIGHT("00"&amp;VALUE(LEFT(Sync!$U174,FIND(":",Sync!$U174)-1)),2)&amp;RIGHT("00"&amp;VALUE(MID(Sync!$U174,FIND(":",Sync!$U174)+1,2)),2),"0000"))))</f>
        <v>0000</v>
      </c>
    </row>
    <row r="179" spans="1:17" x14ac:dyDescent="0.2">
      <c r="A179" t="str">
        <f>IF(Sync!$T175="","",Sync!$T175)</f>
        <v>1405/07/27</v>
      </c>
      <c r="B179">
        <f t="shared" si="12"/>
        <v>1405</v>
      </c>
      <c r="C179">
        <f t="shared" si="13"/>
        <v>7</v>
      </c>
      <c r="D179">
        <f t="shared" si="14"/>
        <v>27</v>
      </c>
      <c r="E179" t="str">
        <f t="shared" si="15"/>
        <v>1405/07/27</v>
      </c>
      <c r="F179" t="str">
        <f t="shared" si="16"/>
        <v>1405/07</v>
      </c>
      <c r="G179" t="str">
        <f>IF(OR($E179="",$E179="نامعتبر",Sync!$X175=""),"",IF(AND(LEFT(UPPER(TRIM(Sync!$X175)),2)="SL",IFERROR(VLOOKUP(Sync!$W175,OpTbl,3,0),"")="فروش"),UPPER(TRIM(Sync!$X175)),""))</f>
        <v/>
      </c>
      <c r="H179" t="str">
        <f>IF($G179="","",IF(Sync!$W175="","",Sync!$W175))</f>
        <v/>
      </c>
      <c r="I179" t="str">
        <f>IF(OR($G179="",Sync!$Y175=""),"",Sync!$Y175)</f>
        <v/>
      </c>
      <c r="J179" t="str">
        <f>IF(OR($G179="",Sync!$Z175=""),"",Sync!$Z175)</f>
        <v/>
      </c>
      <c r="K179">
        <f>IF($G179="",0,IF(Sync!$AA175="",0,Sync!$AA175))</f>
        <v>0</v>
      </c>
      <c r="L179">
        <f>IF($G179="",0,IF(Sync!$AB175="",0,Sync!$AB175))</f>
        <v>0</v>
      </c>
      <c r="M179" t="str">
        <f t="shared" si="17"/>
        <v/>
      </c>
      <c r="N179">
        <f>IF($G179="",0,IF($H179="مرجوعی فروش",-1,1)*IF(Sync!$AC175="",0,Sync!$AC175))</f>
        <v>0</v>
      </c>
      <c r="O179" t="str">
        <f>IF(OR($G179="",Sync!$V175=""),"",Sync!$V175)</f>
        <v/>
      </c>
      <c r="P179" t="str">
        <f>IF(OR($G179="",Sync!$AD175=""),"",Sync!$AD175)</f>
        <v/>
      </c>
      <c r="Q179" t="str">
        <f>IF($G179="","",IF(Sync!$U175="","0000",IF(AND(ISNUMBER(Sync!$U175),Sync!$U175&gt;=0,Sync!$U175&lt;1),RIGHT("00"&amp;HOUR(Sync!$U175),2)&amp;RIGHT("00"&amp;MINUTE(Sync!$U175),2),IFERROR(RIGHT("00"&amp;VALUE(LEFT(Sync!$U175,FIND(":",Sync!$U175)-1)),2)&amp;RIGHT("00"&amp;VALUE(MID(Sync!$U175,FIND(":",Sync!$U175)+1,2)),2),"0000"))))</f>
        <v/>
      </c>
    </row>
    <row r="180" spans="1:17" x14ac:dyDescent="0.2">
      <c r="A180" t="str">
        <f>IF(Sync!$T176="","",Sync!$T176)</f>
        <v>1405/07/27</v>
      </c>
      <c r="B180">
        <f t="shared" si="12"/>
        <v>1405</v>
      </c>
      <c r="C180">
        <f t="shared" si="13"/>
        <v>7</v>
      </c>
      <c r="D180">
        <f t="shared" si="14"/>
        <v>27</v>
      </c>
      <c r="E180" t="str">
        <f t="shared" si="15"/>
        <v>1405/07/27</v>
      </c>
      <c r="F180" t="str">
        <f t="shared" si="16"/>
        <v>1405/07</v>
      </c>
      <c r="G180" t="str">
        <f>IF(OR($E180="",$E180="نامعتبر",Sync!$X176=""),"",IF(AND(LEFT(UPPER(TRIM(Sync!$X176)),2)="SL",IFERROR(VLOOKUP(Sync!$W176,OpTbl,3,0),"")="فروش"),UPPER(TRIM(Sync!$X176)),""))</f>
        <v>SL003</v>
      </c>
      <c r="H180" t="str">
        <f>IF($G180="","",IF(Sync!$W176="","",Sync!$W176))</f>
        <v>فروش</v>
      </c>
      <c r="I180" t="str">
        <f>IF(OR($G180="",Sync!$Y176=""),"",Sync!$Y176)</f>
        <v/>
      </c>
      <c r="J180" t="str">
        <f>IF(OR($G180="",Sync!$Z176=""),"",Sync!$Z176)</f>
        <v/>
      </c>
      <c r="K180">
        <f>IF($G180="",0,IF(Sync!$AA176="",0,Sync!$AA176))</f>
        <v>2150</v>
      </c>
      <c r="L180">
        <f>IF($G180="",0,IF(Sync!$AB176="",0,Sync!$AB176))</f>
        <v>0</v>
      </c>
      <c r="M180">
        <f t="shared" si="17"/>
        <v>2150</v>
      </c>
      <c r="N180">
        <f>IF($G180="",0,IF($H180="مرجوعی فروش",-1,1)*IF(Sync!$AC176="",0,Sync!$AC176))</f>
        <v>0</v>
      </c>
      <c r="O180" t="str">
        <f>IF(OR($G180="",Sync!$V176=""),"",Sync!$V176)</f>
        <v/>
      </c>
      <c r="P180" t="str">
        <f>IF(OR($G180="",Sync!$AD176=""),"",Sync!$AD176)</f>
        <v/>
      </c>
      <c r="Q180" t="str">
        <f>IF($G180="","",IF(Sync!$U176="","0000",IF(AND(ISNUMBER(Sync!$U176),Sync!$U176&gt;=0,Sync!$U176&lt;1),RIGHT("00"&amp;HOUR(Sync!$U176),2)&amp;RIGHT("00"&amp;MINUTE(Sync!$U176),2),IFERROR(RIGHT("00"&amp;VALUE(LEFT(Sync!$U176,FIND(":",Sync!$U176)-1)),2)&amp;RIGHT("00"&amp;VALUE(MID(Sync!$U176,FIND(":",Sync!$U176)+1,2)),2),"0000"))))</f>
        <v>0000</v>
      </c>
    </row>
    <row r="181" spans="1:17" x14ac:dyDescent="0.2">
      <c r="A181" t="str">
        <f>IF(Sync!$T177="","",Sync!$T177)</f>
        <v>1405/07/27</v>
      </c>
      <c r="B181">
        <f t="shared" si="12"/>
        <v>1405</v>
      </c>
      <c r="C181">
        <f t="shared" si="13"/>
        <v>7</v>
      </c>
      <c r="D181">
        <f t="shared" si="14"/>
        <v>27</v>
      </c>
      <c r="E181" t="str">
        <f t="shared" si="15"/>
        <v>1405/07/27</v>
      </c>
      <c r="F181" t="str">
        <f t="shared" si="16"/>
        <v>1405/07</v>
      </c>
      <c r="G181" t="str">
        <f>IF(OR($E181="",$E181="نامعتبر",Sync!$X177=""),"",IF(AND(LEFT(UPPER(TRIM(Sync!$X177)),2)="SL",IFERROR(VLOOKUP(Sync!$W177,OpTbl,3,0),"")="فروش"),UPPER(TRIM(Sync!$X177)),""))</f>
        <v/>
      </c>
      <c r="H181" t="str">
        <f>IF($G181="","",IF(Sync!$W177="","",Sync!$W177))</f>
        <v/>
      </c>
      <c r="I181" t="str">
        <f>IF(OR($G181="",Sync!$Y177=""),"",Sync!$Y177)</f>
        <v/>
      </c>
      <c r="J181" t="str">
        <f>IF(OR($G181="",Sync!$Z177=""),"",Sync!$Z177)</f>
        <v/>
      </c>
      <c r="K181">
        <f>IF($G181="",0,IF(Sync!$AA177="",0,Sync!$AA177))</f>
        <v>0</v>
      </c>
      <c r="L181">
        <f>IF($G181="",0,IF(Sync!$AB177="",0,Sync!$AB177))</f>
        <v>0</v>
      </c>
      <c r="M181" t="str">
        <f t="shared" si="17"/>
        <v/>
      </c>
      <c r="N181">
        <f>IF($G181="",0,IF($H181="مرجوعی فروش",-1,1)*IF(Sync!$AC177="",0,Sync!$AC177))</f>
        <v>0</v>
      </c>
      <c r="O181" t="str">
        <f>IF(OR($G181="",Sync!$V177=""),"",Sync!$V177)</f>
        <v/>
      </c>
      <c r="P181" t="str">
        <f>IF(OR($G181="",Sync!$AD177=""),"",Sync!$AD177)</f>
        <v/>
      </c>
      <c r="Q181" t="str">
        <f>IF($G181="","",IF(Sync!$U177="","0000",IF(AND(ISNUMBER(Sync!$U177),Sync!$U177&gt;=0,Sync!$U177&lt;1),RIGHT("00"&amp;HOUR(Sync!$U177),2)&amp;RIGHT("00"&amp;MINUTE(Sync!$U177),2),IFERROR(RIGHT("00"&amp;VALUE(LEFT(Sync!$U177,FIND(":",Sync!$U177)-1)),2)&amp;RIGHT("00"&amp;VALUE(MID(Sync!$U177,FIND(":",Sync!$U177)+1,2)),2),"0000"))))</f>
        <v/>
      </c>
    </row>
    <row r="182" spans="1:17" x14ac:dyDescent="0.2">
      <c r="A182" t="str">
        <f>IF(Sync!$T178="","",Sync!$T178)</f>
        <v>1405/07/27</v>
      </c>
      <c r="B182">
        <f t="shared" si="12"/>
        <v>1405</v>
      </c>
      <c r="C182">
        <f t="shared" si="13"/>
        <v>7</v>
      </c>
      <c r="D182">
        <f t="shared" si="14"/>
        <v>27</v>
      </c>
      <c r="E182" t="str">
        <f t="shared" si="15"/>
        <v>1405/07/27</v>
      </c>
      <c r="F182" t="str">
        <f t="shared" si="16"/>
        <v>1405/07</v>
      </c>
      <c r="G182" t="str">
        <f>IF(OR($E182="",$E182="نامعتبر",Sync!$X178=""),"",IF(AND(LEFT(UPPER(TRIM(Sync!$X178)),2)="SL",IFERROR(VLOOKUP(Sync!$W178,OpTbl,3,0),"")="فروش"),UPPER(TRIM(Sync!$X178)),""))</f>
        <v/>
      </c>
      <c r="H182" t="str">
        <f>IF($G182="","",IF(Sync!$W178="","",Sync!$W178))</f>
        <v/>
      </c>
      <c r="I182" t="str">
        <f>IF(OR($G182="",Sync!$Y178=""),"",Sync!$Y178)</f>
        <v/>
      </c>
      <c r="J182" t="str">
        <f>IF(OR($G182="",Sync!$Z178=""),"",Sync!$Z178)</f>
        <v/>
      </c>
      <c r="K182">
        <f>IF($G182="",0,IF(Sync!$AA178="",0,Sync!$AA178))</f>
        <v>0</v>
      </c>
      <c r="L182">
        <f>IF($G182="",0,IF(Sync!$AB178="",0,Sync!$AB178))</f>
        <v>0</v>
      </c>
      <c r="M182" t="str">
        <f t="shared" si="17"/>
        <v/>
      </c>
      <c r="N182">
        <f>IF($G182="",0,IF($H182="مرجوعی فروش",-1,1)*IF(Sync!$AC178="",0,Sync!$AC178))</f>
        <v>0</v>
      </c>
      <c r="O182" t="str">
        <f>IF(OR($G182="",Sync!$V178=""),"",Sync!$V178)</f>
        <v/>
      </c>
      <c r="P182" t="str">
        <f>IF(OR($G182="",Sync!$AD178=""),"",Sync!$AD178)</f>
        <v/>
      </c>
      <c r="Q182" t="str">
        <f>IF($G182="","",IF(Sync!$U178="","0000",IF(AND(ISNUMBER(Sync!$U178),Sync!$U178&gt;=0,Sync!$U178&lt;1),RIGHT("00"&amp;HOUR(Sync!$U178),2)&amp;RIGHT("00"&amp;MINUTE(Sync!$U178),2),IFERROR(RIGHT("00"&amp;VALUE(LEFT(Sync!$U178,FIND(":",Sync!$U178)-1)),2)&amp;RIGHT("00"&amp;VALUE(MID(Sync!$U178,FIND(":",Sync!$U178)+1,2)),2),"0000"))))</f>
        <v/>
      </c>
    </row>
    <row r="183" spans="1:17" x14ac:dyDescent="0.2">
      <c r="A183" t="str">
        <f>IF(Sync!$T179="","",Sync!$T179)</f>
        <v>1405/07/27</v>
      </c>
      <c r="B183">
        <f t="shared" si="12"/>
        <v>1405</v>
      </c>
      <c r="C183">
        <f t="shared" si="13"/>
        <v>7</v>
      </c>
      <c r="D183">
        <f t="shared" si="14"/>
        <v>27</v>
      </c>
      <c r="E183" t="str">
        <f t="shared" si="15"/>
        <v>1405/07/27</v>
      </c>
      <c r="F183" t="str">
        <f t="shared" si="16"/>
        <v>1405/07</v>
      </c>
      <c r="G183" t="str">
        <f>IF(OR($E183="",$E183="نامعتبر",Sync!$X179=""),"",IF(AND(LEFT(UPPER(TRIM(Sync!$X179)),2)="SL",IFERROR(VLOOKUP(Sync!$W179,OpTbl,3,0),"")="فروش"),UPPER(TRIM(Sync!$X179)),""))</f>
        <v/>
      </c>
      <c r="H183" t="str">
        <f>IF($G183="","",IF(Sync!$W179="","",Sync!$W179))</f>
        <v/>
      </c>
      <c r="I183" t="str">
        <f>IF(OR($G183="",Sync!$Y179=""),"",Sync!$Y179)</f>
        <v/>
      </c>
      <c r="J183" t="str">
        <f>IF(OR($G183="",Sync!$Z179=""),"",Sync!$Z179)</f>
        <v/>
      </c>
      <c r="K183">
        <f>IF($G183="",0,IF(Sync!$AA179="",0,Sync!$AA179))</f>
        <v>0</v>
      </c>
      <c r="L183">
        <f>IF($G183="",0,IF(Sync!$AB179="",0,Sync!$AB179))</f>
        <v>0</v>
      </c>
      <c r="M183" t="str">
        <f t="shared" si="17"/>
        <v/>
      </c>
      <c r="N183">
        <f>IF($G183="",0,IF($H183="مرجوعی فروش",-1,1)*IF(Sync!$AC179="",0,Sync!$AC179))</f>
        <v>0</v>
      </c>
      <c r="O183" t="str">
        <f>IF(OR($G183="",Sync!$V179=""),"",Sync!$V179)</f>
        <v/>
      </c>
      <c r="P183" t="str">
        <f>IF(OR($G183="",Sync!$AD179=""),"",Sync!$AD179)</f>
        <v/>
      </c>
      <c r="Q183" t="str">
        <f>IF($G183="","",IF(Sync!$U179="","0000",IF(AND(ISNUMBER(Sync!$U179),Sync!$U179&gt;=0,Sync!$U179&lt;1),RIGHT("00"&amp;HOUR(Sync!$U179),2)&amp;RIGHT("00"&amp;MINUTE(Sync!$U179),2),IFERROR(RIGHT("00"&amp;VALUE(LEFT(Sync!$U179,FIND(":",Sync!$U179)-1)),2)&amp;RIGHT("00"&amp;VALUE(MID(Sync!$U179,FIND(":",Sync!$U179)+1,2)),2),"0000"))))</f>
        <v/>
      </c>
    </row>
    <row r="184" spans="1:17" x14ac:dyDescent="0.2">
      <c r="A184" t="str">
        <f>IF(Sync!$T180="","",Sync!$T180)</f>
        <v>1405/07/27</v>
      </c>
      <c r="B184">
        <f t="shared" si="12"/>
        <v>1405</v>
      </c>
      <c r="C184">
        <f t="shared" si="13"/>
        <v>7</v>
      </c>
      <c r="D184">
        <f t="shared" si="14"/>
        <v>27</v>
      </c>
      <c r="E184" t="str">
        <f t="shared" si="15"/>
        <v>1405/07/27</v>
      </c>
      <c r="F184" t="str">
        <f t="shared" si="16"/>
        <v>1405/07</v>
      </c>
      <c r="G184" t="str">
        <f>IF(OR($E184="",$E184="نامعتبر",Sync!$X180=""),"",IF(AND(LEFT(UPPER(TRIM(Sync!$X180)),2)="SL",IFERROR(VLOOKUP(Sync!$W180,OpTbl,3,0),"")="فروش"),UPPER(TRIM(Sync!$X180)),""))</f>
        <v/>
      </c>
      <c r="H184" t="str">
        <f>IF($G184="","",IF(Sync!$W180="","",Sync!$W180))</f>
        <v/>
      </c>
      <c r="I184" t="str">
        <f>IF(OR($G184="",Sync!$Y180=""),"",Sync!$Y180)</f>
        <v/>
      </c>
      <c r="J184" t="str">
        <f>IF(OR($G184="",Sync!$Z180=""),"",Sync!$Z180)</f>
        <v/>
      </c>
      <c r="K184">
        <f>IF($G184="",0,IF(Sync!$AA180="",0,Sync!$AA180))</f>
        <v>0</v>
      </c>
      <c r="L184">
        <f>IF($G184="",0,IF(Sync!$AB180="",0,Sync!$AB180))</f>
        <v>0</v>
      </c>
      <c r="M184" t="str">
        <f t="shared" si="17"/>
        <v/>
      </c>
      <c r="N184">
        <f>IF($G184="",0,IF($H184="مرجوعی فروش",-1,1)*IF(Sync!$AC180="",0,Sync!$AC180))</f>
        <v>0</v>
      </c>
      <c r="O184" t="str">
        <f>IF(OR($G184="",Sync!$V180=""),"",Sync!$V180)</f>
        <v/>
      </c>
      <c r="P184" t="str">
        <f>IF(OR($G184="",Sync!$AD180=""),"",Sync!$AD180)</f>
        <v/>
      </c>
      <c r="Q184" t="str">
        <f>IF($G184="","",IF(Sync!$U180="","0000",IF(AND(ISNUMBER(Sync!$U180),Sync!$U180&gt;=0,Sync!$U180&lt;1),RIGHT("00"&amp;HOUR(Sync!$U180),2)&amp;RIGHT("00"&amp;MINUTE(Sync!$U180),2),IFERROR(RIGHT("00"&amp;VALUE(LEFT(Sync!$U180,FIND(":",Sync!$U180)-1)),2)&amp;RIGHT("00"&amp;VALUE(MID(Sync!$U180,FIND(":",Sync!$U180)+1,2)),2),"0000"))))</f>
        <v/>
      </c>
    </row>
    <row r="185" spans="1:17" x14ac:dyDescent="0.2">
      <c r="A185" t="str">
        <f>IF(Sync!$T181="","",Sync!$T181)</f>
        <v>1405/07/27</v>
      </c>
      <c r="B185">
        <f t="shared" si="12"/>
        <v>1405</v>
      </c>
      <c r="C185">
        <f t="shared" si="13"/>
        <v>7</v>
      </c>
      <c r="D185">
        <f t="shared" si="14"/>
        <v>27</v>
      </c>
      <c r="E185" t="str">
        <f t="shared" si="15"/>
        <v>1405/07/27</v>
      </c>
      <c r="F185" t="str">
        <f t="shared" si="16"/>
        <v>1405/07</v>
      </c>
      <c r="G185" t="str">
        <f>IF(OR($E185="",$E185="نامعتبر",Sync!$X181=""),"",IF(AND(LEFT(UPPER(TRIM(Sync!$X181)),2)="SL",IFERROR(VLOOKUP(Sync!$W181,OpTbl,3,0),"")="فروش"),UPPER(TRIM(Sync!$X181)),""))</f>
        <v/>
      </c>
      <c r="H185" t="str">
        <f>IF($G185="","",IF(Sync!$W181="","",Sync!$W181))</f>
        <v/>
      </c>
      <c r="I185" t="str">
        <f>IF(OR($G185="",Sync!$Y181=""),"",Sync!$Y181)</f>
        <v/>
      </c>
      <c r="J185" t="str">
        <f>IF(OR($G185="",Sync!$Z181=""),"",Sync!$Z181)</f>
        <v/>
      </c>
      <c r="K185">
        <f>IF($G185="",0,IF(Sync!$AA181="",0,Sync!$AA181))</f>
        <v>0</v>
      </c>
      <c r="L185">
        <f>IF($G185="",0,IF(Sync!$AB181="",0,Sync!$AB181))</f>
        <v>0</v>
      </c>
      <c r="M185" t="str">
        <f t="shared" si="17"/>
        <v/>
      </c>
      <c r="N185">
        <f>IF($G185="",0,IF($H185="مرجوعی فروش",-1,1)*IF(Sync!$AC181="",0,Sync!$AC181))</f>
        <v>0</v>
      </c>
      <c r="O185" t="str">
        <f>IF(OR($G185="",Sync!$V181=""),"",Sync!$V181)</f>
        <v/>
      </c>
      <c r="P185" t="str">
        <f>IF(OR($G185="",Sync!$AD181=""),"",Sync!$AD181)</f>
        <v/>
      </c>
      <c r="Q185" t="str">
        <f>IF($G185="","",IF(Sync!$U181="","0000",IF(AND(ISNUMBER(Sync!$U181),Sync!$U181&gt;=0,Sync!$U181&lt;1),RIGHT("00"&amp;HOUR(Sync!$U181),2)&amp;RIGHT("00"&amp;MINUTE(Sync!$U181),2),IFERROR(RIGHT("00"&amp;VALUE(LEFT(Sync!$U181,FIND(":",Sync!$U181)-1)),2)&amp;RIGHT("00"&amp;VALUE(MID(Sync!$U181,FIND(":",Sync!$U181)+1,2)),2),"0000"))))</f>
        <v/>
      </c>
    </row>
    <row r="186" spans="1:17" x14ac:dyDescent="0.2">
      <c r="A186" t="str">
        <f>IF(Sync!$T182="","",Sync!$T182)</f>
        <v>1405/07/27</v>
      </c>
      <c r="B186">
        <f t="shared" si="12"/>
        <v>1405</v>
      </c>
      <c r="C186">
        <f t="shared" si="13"/>
        <v>7</v>
      </c>
      <c r="D186">
        <f t="shared" si="14"/>
        <v>27</v>
      </c>
      <c r="E186" t="str">
        <f t="shared" si="15"/>
        <v>1405/07/27</v>
      </c>
      <c r="F186" t="str">
        <f t="shared" si="16"/>
        <v>1405/07</v>
      </c>
      <c r="G186" t="str">
        <f>IF(OR($E186="",$E186="نامعتبر",Sync!$X182=""),"",IF(AND(LEFT(UPPER(TRIM(Sync!$X182)),2)="SL",IFERROR(VLOOKUP(Sync!$W182,OpTbl,3,0),"")="فروش"),UPPER(TRIM(Sync!$X182)),""))</f>
        <v/>
      </c>
      <c r="H186" t="str">
        <f>IF($G186="","",IF(Sync!$W182="","",Sync!$W182))</f>
        <v/>
      </c>
      <c r="I186" t="str">
        <f>IF(OR($G186="",Sync!$Y182=""),"",Sync!$Y182)</f>
        <v/>
      </c>
      <c r="J186" t="str">
        <f>IF(OR($G186="",Sync!$Z182=""),"",Sync!$Z182)</f>
        <v/>
      </c>
      <c r="K186">
        <f>IF($G186="",0,IF(Sync!$AA182="",0,Sync!$AA182))</f>
        <v>0</v>
      </c>
      <c r="L186">
        <f>IF($G186="",0,IF(Sync!$AB182="",0,Sync!$AB182))</f>
        <v>0</v>
      </c>
      <c r="M186" t="str">
        <f t="shared" si="17"/>
        <v/>
      </c>
      <c r="N186">
        <f>IF($G186="",0,IF($H186="مرجوعی فروش",-1,1)*IF(Sync!$AC182="",0,Sync!$AC182))</f>
        <v>0</v>
      </c>
      <c r="O186" t="str">
        <f>IF(OR($G186="",Sync!$V182=""),"",Sync!$V182)</f>
        <v/>
      </c>
      <c r="P186" t="str">
        <f>IF(OR($G186="",Sync!$AD182=""),"",Sync!$AD182)</f>
        <v/>
      </c>
      <c r="Q186" t="str">
        <f>IF($G186="","",IF(Sync!$U182="","0000",IF(AND(ISNUMBER(Sync!$U182),Sync!$U182&gt;=0,Sync!$U182&lt;1),RIGHT("00"&amp;HOUR(Sync!$U182),2)&amp;RIGHT("00"&amp;MINUTE(Sync!$U182),2),IFERROR(RIGHT("00"&amp;VALUE(LEFT(Sync!$U182,FIND(":",Sync!$U182)-1)),2)&amp;RIGHT("00"&amp;VALUE(MID(Sync!$U182,FIND(":",Sync!$U182)+1,2)),2),"0000"))))</f>
        <v/>
      </c>
    </row>
    <row r="187" spans="1:17" x14ac:dyDescent="0.2">
      <c r="A187" t="str">
        <f>IF(Sync!$T183="","",Sync!$T183)</f>
        <v>1405/07/28</v>
      </c>
      <c r="B187">
        <f t="shared" si="12"/>
        <v>1405</v>
      </c>
      <c r="C187">
        <f t="shared" si="13"/>
        <v>7</v>
      </c>
      <c r="D187">
        <f t="shared" si="14"/>
        <v>28</v>
      </c>
      <c r="E187" t="str">
        <f t="shared" si="15"/>
        <v>1405/07/28</v>
      </c>
      <c r="F187" t="str">
        <f t="shared" si="16"/>
        <v>1405/07</v>
      </c>
      <c r="G187" t="str">
        <f>IF(OR($E187="",$E187="نامعتبر",Sync!$X183=""),"",IF(AND(LEFT(UPPER(TRIM(Sync!$X183)),2)="SL",IFERROR(VLOOKUP(Sync!$W183,OpTbl,3,0),"")="فروش"),UPPER(TRIM(Sync!$X183)),""))</f>
        <v/>
      </c>
      <c r="H187" t="str">
        <f>IF($G187="","",IF(Sync!$W183="","",Sync!$W183))</f>
        <v/>
      </c>
      <c r="I187" t="str">
        <f>IF(OR($G187="",Sync!$Y183=""),"",Sync!$Y183)</f>
        <v/>
      </c>
      <c r="J187" t="str">
        <f>IF(OR($G187="",Sync!$Z183=""),"",Sync!$Z183)</f>
        <v/>
      </c>
      <c r="K187">
        <f>IF($G187="",0,IF(Sync!$AA183="",0,Sync!$AA183))</f>
        <v>0</v>
      </c>
      <c r="L187">
        <f>IF($G187="",0,IF(Sync!$AB183="",0,Sync!$AB183))</f>
        <v>0</v>
      </c>
      <c r="M187" t="str">
        <f t="shared" si="17"/>
        <v/>
      </c>
      <c r="N187">
        <f>IF($G187="",0,IF($H187="مرجوعی فروش",-1,1)*IF(Sync!$AC183="",0,Sync!$AC183))</f>
        <v>0</v>
      </c>
      <c r="O187" t="str">
        <f>IF(OR($G187="",Sync!$V183=""),"",Sync!$V183)</f>
        <v/>
      </c>
      <c r="P187" t="str">
        <f>IF(OR($G187="",Sync!$AD183=""),"",Sync!$AD183)</f>
        <v/>
      </c>
      <c r="Q187" t="str">
        <f>IF($G187="","",IF(Sync!$U183="","0000",IF(AND(ISNUMBER(Sync!$U183),Sync!$U183&gt;=0,Sync!$U183&lt;1),RIGHT("00"&amp;HOUR(Sync!$U183),2)&amp;RIGHT("00"&amp;MINUTE(Sync!$U183),2),IFERROR(RIGHT("00"&amp;VALUE(LEFT(Sync!$U183,FIND(":",Sync!$U183)-1)),2)&amp;RIGHT("00"&amp;VALUE(MID(Sync!$U183,FIND(":",Sync!$U183)+1,2)),2),"0000"))))</f>
        <v/>
      </c>
    </row>
    <row r="188" spans="1:17" x14ac:dyDescent="0.2">
      <c r="A188" t="str">
        <f>IF(Sync!$T184="","",Sync!$T184)</f>
        <v>1405/07/28</v>
      </c>
      <c r="B188">
        <f t="shared" si="12"/>
        <v>1405</v>
      </c>
      <c r="C188">
        <f t="shared" si="13"/>
        <v>7</v>
      </c>
      <c r="D188">
        <f t="shared" si="14"/>
        <v>28</v>
      </c>
      <c r="E188" t="str">
        <f t="shared" si="15"/>
        <v>1405/07/28</v>
      </c>
      <c r="F188" t="str">
        <f t="shared" si="16"/>
        <v>1405/07</v>
      </c>
      <c r="G188" t="str">
        <f>IF(OR($E188="",$E188="نامعتبر",Sync!$X184=""),"",IF(AND(LEFT(UPPER(TRIM(Sync!$X184)),2)="SL",IFERROR(VLOOKUP(Sync!$W184,OpTbl,3,0),"")="فروش"),UPPER(TRIM(Sync!$X184)),""))</f>
        <v/>
      </c>
      <c r="H188" t="str">
        <f>IF($G188="","",IF(Sync!$W184="","",Sync!$W184))</f>
        <v/>
      </c>
      <c r="I188" t="str">
        <f>IF(OR($G188="",Sync!$Y184=""),"",Sync!$Y184)</f>
        <v/>
      </c>
      <c r="J188" t="str">
        <f>IF(OR($G188="",Sync!$Z184=""),"",Sync!$Z184)</f>
        <v/>
      </c>
      <c r="K188">
        <f>IF($G188="",0,IF(Sync!$AA184="",0,Sync!$AA184))</f>
        <v>0</v>
      </c>
      <c r="L188">
        <f>IF($G188="",0,IF(Sync!$AB184="",0,Sync!$AB184))</f>
        <v>0</v>
      </c>
      <c r="M188" t="str">
        <f t="shared" si="17"/>
        <v/>
      </c>
      <c r="N188">
        <f>IF($G188="",0,IF($H188="مرجوعی فروش",-1,1)*IF(Sync!$AC184="",0,Sync!$AC184))</f>
        <v>0</v>
      </c>
      <c r="O188" t="str">
        <f>IF(OR($G188="",Sync!$V184=""),"",Sync!$V184)</f>
        <v/>
      </c>
      <c r="P188" t="str">
        <f>IF(OR($G188="",Sync!$AD184=""),"",Sync!$AD184)</f>
        <v/>
      </c>
      <c r="Q188" t="str">
        <f>IF($G188="","",IF(Sync!$U184="","0000",IF(AND(ISNUMBER(Sync!$U184),Sync!$U184&gt;=0,Sync!$U184&lt;1),RIGHT("00"&amp;HOUR(Sync!$U184),2)&amp;RIGHT("00"&amp;MINUTE(Sync!$U184),2),IFERROR(RIGHT("00"&amp;VALUE(LEFT(Sync!$U184,FIND(":",Sync!$U184)-1)),2)&amp;RIGHT("00"&amp;VALUE(MID(Sync!$U184,FIND(":",Sync!$U184)+1,2)),2),"0000"))))</f>
        <v/>
      </c>
    </row>
    <row r="189" spans="1:17" x14ac:dyDescent="0.2">
      <c r="A189" t="str">
        <f>IF(Sync!$T185="","",Sync!$T185)</f>
        <v>1405/07/28</v>
      </c>
      <c r="B189">
        <f t="shared" si="12"/>
        <v>1405</v>
      </c>
      <c r="C189">
        <f t="shared" si="13"/>
        <v>7</v>
      </c>
      <c r="D189">
        <f t="shared" si="14"/>
        <v>28</v>
      </c>
      <c r="E189" t="str">
        <f t="shared" si="15"/>
        <v>1405/07/28</v>
      </c>
      <c r="F189" t="str">
        <f t="shared" si="16"/>
        <v>1405/07</v>
      </c>
      <c r="G189" t="str">
        <f>IF(OR($E189="",$E189="نامعتبر",Sync!$X185=""),"",IF(AND(LEFT(UPPER(TRIM(Sync!$X185)),2)="SL",IFERROR(VLOOKUP(Sync!$W185,OpTbl,3,0),"")="فروش"),UPPER(TRIM(Sync!$X185)),""))</f>
        <v/>
      </c>
      <c r="H189" t="str">
        <f>IF($G189="","",IF(Sync!$W185="","",Sync!$W185))</f>
        <v/>
      </c>
      <c r="I189" t="str">
        <f>IF(OR($G189="",Sync!$Y185=""),"",Sync!$Y185)</f>
        <v/>
      </c>
      <c r="J189" t="str">
        <f>IF(OR($G189="",Sync!$Z185=""),"",Sync!$Z185)</f>
        <v/>
      </c>
      <c r="K189">
        <f>IF($G189="",0,IF(Sync!$AA185="",0,Sync!$AA185))</f>
        <v>0</v>
      </c>
      <c r="L189">
        <f>IF($G189="",0,IF(Sync!$AB185="",0,Sync!$AB185))</f>
        <v>0</v>
      </c>
      <c r="M189" t="str">
        <f t="shared" si="17"/>
        <v/>
      </c>
      <c r="N189">
        <f>IF($G189="",0,IF($H189="مرجوعی فروش",-1,1)*IF(Sync!$AC185="",0,Sync!$AC185))</f>
        <v>0</v>
      </c>
      <c r="O189" t="str">
        <f>IF(OR($G189="",Sync!$V185=""),"",Sync!$V185)</f>
        <v/>
      </c>
      <c r="P189" t="str">
        <f>IF(OR($G189="",Sync!$AD185=""),"",Sync!$AD185)</f>
        <v/>
      </c>
      <c r="Q189" t="str">
        <f>IF($G189="","",IF(Sync!$U185="","0000",IF(AND(ISNUMBER(Sync!$U185),Sync!$U185&gt;=0,Sync!$U185&lt;1),RIGHT("00"&amp;HOUR(Sync!$U185),2)&amp;RIGHT("00"&amp;MINUTE(Sync!$U185),2),IFERROR(RIGHT("00"&amp;VALUE(LEFT(Sync!$U185,FIND(":",Sync!$U185)-1)),2)&amp;RIGHT("00"&amp;VALUE(MID(Sync!$U185,FIND(":",Sync!$U185)+1,2)),2),"0000"))))</f>
        <v/>
      </c>
    </row>
    <row r="190" spans="1:17" x14ac:dyDescent="0.2">
      <c r="A190" t="str">
        <f>IF(Sync!$T186="","",Sync!$T186)</f>
        <v>1405/07/28</v>
      </c>
      <c r="B190">
        <f t="shared" si="12"/>
        <v>1405</v>
      </c>
      <c r="C190">
        <f t="shared" si="13"/>
        <v>7</v>
      </c>
      <c r="D190">
        <f t="shared" si="14"/>
        <v>28</v>
      </c>
      <c r="E190" t="str">
        <f t="shared" si="15"/>
        <v>1405/07/28</v>
      </c>
      <c r="F190" t="str">
        <f t="shared" si="16"/>
        <v>1405/07</v>
      </c>
      <c r="G190" t="str">
        <f>IF(OR($E190="",$E190="نامعتبر",Sync!$X186=""),"",IF(AND(LEFT(UPPER(TRIM(Sync!$X186)),2)="SL",IFERROR(VLOOKUP(Sync!$W186,OpTbl,3,0),"")="فروش"),UPPER(TRIM(Sync!$X186)),""))</f>
        <v>SL004</v>
      </c>
      <c r="H190" t="str">
        <f>IF($G190="","",IF(Sync!$W186="","",Sync!$W186))</f>
        <v>فروش</v>
      </c>
      <c r="I190" t="str">
        <f>IF(OR($G190="",Sync!$Y186=""),"",Sync!$Y186)</f>
        <v/>
      </c>
      <c r="J190" t="str">
        <f>IF(OR($G190="",Sync!$Z186=""),"",Sync!$Z186)</f>
        <v/>
      </c>
      <c r="K190">
        <f>IF($G190="",0,IF(Sync!$AA186="",0,Sync!$AA186))</f>
        <v>4545</v>
      </c>
      <c r="L190">
        <f>IF($G190="",0,IF(Sync!$AB186="",0,Sync!$AB186))</f>
        <v>0</v>
      </c>
      <c r="M190">
        <f t="shared" si="17"/>
        <v>4545</v>
      </c>
      <c r="N190">
        <f>IF($G190="",0,IF($H190="مرجوعی فروش",-1,1)*IF(Sync!$AC186="",0,Sync!$AC186))</f>
        <v>0</v>
      </c>
      <c r="O190" t="str">
        <f>IF(OR($G190="",Sync!$V186=""),"",Sync!$V186)</f>
        <v/>
      </c>
      <c r="P190" t="str">
        <f>IF(OR($G190="",Sync!$AD186=""),"",Sync!$AD186)</f>
        <v/>
      </c>
      <c r="Q190" t="str">
        <f>IF($G190="","",IF(Sync!$U186="","0000",IF(AND(ISNUMBER(Sync!$U186),Sync!$U186&gt;=0,Sync!$U186&lt;1),RIGHT("00"&amp;HOUR(Sync!$U186),2)&amp;RIGHT("00"&amp;MINUTE(Sync!$U186),2),IFERROR(RIGHT("00"&amp;VALUE(LEFT(Sync!$U186,FIND(":",Sync!$U186)-1)),2)&amp;RIGHT("00"&amp;VALUE(MID(Sync!$U186,FIND(":",Sync!$U186)+1,2)),2),"0000"))))</f>
        <v>0000</v>
      </c>
    </row>
    <row r="191" spans="1:17" x14ac:dyDescent="0.2">
      <c r="A191" t="str">
        <f>IF(Sync!$T187="","",Sync!$T187)</f>
        <v>1405/07/28</v>
      </c>
      <c r="B191">
        <f t="shared" si="12"/>
        <v>1405</v>
      </c>
      <c r="C191">
        <f t="shared" si="13"/>
        <v>7</v>
      </c>
      <c r="D191">
        <f t="shared" si="14"/>
        <v>28</v>
      </c>
      <c r="E191" t="str">
        <f t="shared" si="15"/>
        <v>1405/07/28</v>
      </c>
      <c r="F191" t="str">
        <f t="shared" si="16"/>
        <v>1405/07</v>
      </c>
      <c r="G191" t="str">
        <f>IF(OR($E191="",$E191="نامعتبر",Sync!$X187=""),"",IF(AND(LEFT(UPPER(TRIM(Sync!$X187)),2)="SL",IFERROR(VLOOKUP(Sync!$W187,OpTbl,3,0),"")="فروش"),UPPER(TRIM(Sync!$X187)),""))</f>
        <v>SL003</v>
      </c>
      <c r="H191" t="str">
        <f>IF($G191="","",IF(Sync!$W187="","",Sync!$W187))</f>
        <v>فروش</v>
      </c>
      <c r="I191" t="str">
        <f>IF(OR($G191="",Sync!$Y187=""),"",Sync!$Y187)</f>
        <v/>
      </c>
      <c r="J191" t="str">
        <f>IF(OR($G191="",Sync!$Z187=""),"",Sync!$Z187)</f>
        <v/>
      </c>
      <c r="K191">
        <f>IF($G191="",0,IF(Sync!$AA187="",0,Sync!$AA187))</f>
        <v>2995</v>
      </c>
      <c r="L191">
        <f>IF($G191="",0,IF(Sync!$AB187="",0,Sync!$AB187))</f>
        <v>0</v>
      </c>
      <c r="M191">
        <f t="shared" si="17"/>
        <v>2995</v>
      </c>
      <c r="N191">
        <f>IF($G191="",0,IF($H191="مرجوعی فروش",-1,1)*IF(Sync!$AC187="",0,Sync!$AC187))</f>
        <v>0</v>
      </c>
      <c r="O191" t="str">
        <f>IF(OR($G191="",Sync!$V187=""),"",Sync!$V187)</f>
        <v/>
      </c>
      <c r="P191" t="str">
        <f>IF(OR($G191="",Sync!$AD187=""),"",Sync!$AD187)</f>
        <v/>
      </c>
      <c r="Q191" t="str">
        <f>IF($G191="","",IF(Sync!$U187="","0000",IF(AND(ISNUMBER(Sync!$U187),Sync!$U187&gt;=0,Sync!$U187&lt;1),RIGHT("00"&amp;HOUR(Sync!$U187),2)&amp;RIGHT("00"&amp;MINUTE(Sync!$U187),2),IFERROR(RIGHT("00"&amp;VALUE(LEFT(Sync!$U187,FIND(":",Sync!$U187)-1)),2)&amp;RIGHT("00"&amp;VALUE(MID(Sync!$U187,FIND(":",Sync!$U187)+1,2)),2),"0000"))))</f>
        <v>0000</v>
      </c>
    </row>
    <row r="192" spans="1:17" x14ac:dyDescent="0.2">
      <c r="A192" t="str">
        <f>IF(Sync!$T188="","",Sync!$T188)</f>
        <v>1405/07/28</v>
      </c>
      <c r="B192">
        <f t="shared" si="12"/>
        <v>1405</v>
      </c>
      <c r="C192">
        <f t="shared" si="13"/>
        <v>7</v>
      </c>
      <c r="D192">
        <f t="shared" si="14"/>
        <v>28</v>
      </c>
      <c r="E192" t="str">
        <f t="shared" si="15"/>
        <v>1405/07/28</v>
      </c>
      <c r="F192" t="str">
        <f t="shared" si="16"/>
        <v>1405/07</v>
      </c>
      <c r="G192" t="str">
        <f>IF(OR($E192="",$E192="نامعتبر",Sync!$X188=""),"",IF(AND(LEFT(UPPER(TRIM(Sync!$X188)),2)="SL",IFERROR(VLOOKUP(Sync!$W188,OpTbl,3,0),"")="فروش"),UPPER(TRIM(Sync!$X188)),""))</f>
        <v/>
      </c>
      <c r="H192" t="str">
        <f>IF($G192="","",IF(Sync!$W188="","",Sync!$W188))</f>
        <v/>
      </c>
      <c r="I192" t="str">
        <f>IF(OR($G192="",Sync!$Y188=""),"",Sync!$Y188)</f>
        <v/>
      </c>
      <c r="J192" t="str">
        <f>IF(OR($G192="",Sync!$Z188=""),"",Sync!$Z188)</f>
        <v/>
      </c>
      <c r="K192">
        <f>IF($G192="",0,IF(Sync!$AA188="",0,Sync!$AA188))</f>
        <v>0</v>
      </c>
      <c r="L192">
        <f>IF($G192="",0,IF(Sync!$AB188="",0,Sync!$AB188))</f>
        <v>0</v>
      </c>
      <c r="M192" t="str">
        <f t="shared" si="17"/>
        <v/>
      </c>
      <c r="N192">
        <f>IF($G192="",0,IF($H192="مرجوعی فروش",-1,1)*IF(Sync!$AC188="",0,Sync!$AC188))</f>
        <v>0</v>
      </c>
      <c r="O192" t="str">
        <f>IF(OR($G192="",Sync!$V188=""),"",Sync!$V188)</f>
        <v/>
      </c>
      <c r="P192" t="str">
        <f>IF(OR($G192="",Sync!$AD188=""),"",Sync!$AD188)</f>
        <v/>
      </c>
      <c r="Q192" t="str">
        <f>IF($G192="","",IF(Sync!$U188="","0000",IF(AND(ISNUMBER(Sync!$U188),Sync!$U188&gt;=0,Sync!$U188&lt;1),RIGHT("00"&amp;HOUR(Sync!$U188),2)&amp;RIGHT("00"&amp;MINUTE(Sync!$U188),2),IFERROR(RIGHT("00"&amp;VALUE(LEFT(Sync!$U188,FIND(":",Sync!$U188)-1)),2)&amp;RIGHT("00"&amp;VALUE(MID(Sync!$U188,FIND(":",Sync!$U188)+1,2)),2),"0000"))))</f>
        <v/>
      </c>
    </row>
    <row r="193" spans="1:17" x14ac:dyDescent="0.2">
      <c r="A193" t="str">
        <f>IF(Sync!$T189="","",Sync!$T189)</f>
        <v>1405/07/28</v>
      </c>
      <c r="B193">
        <f t="shared" si="12"/>
        <v>1405</v>
      </c>
      <c r="C193">
        <f t="shared" si="13"/>
        <v>7</v>
      </c>
      <c r="D193">
        <f t="shared" si="14"/>
        <v>28</v>
      </c>
      <c r="E193" t="str">
        <f t="shared" si="15"/>
        <v>1405/07/28</v>
      </c>
      <c r="F193" t="str">
        <f t="shared" si="16"/>
        <v>1405/07</v>
      </c>
      <c r="G193" t="str">
        <f>IF(OR($E193="",$E193="نامعتبر",Sync!$X189=""),"",IF(AND(LEFT(UPPER(TRIM(Sync!$X189)),2)="SL",IFERROR(VLOOKUP(Sync!$W189,OpTbl,3,0),"")="فروش"),UPPER(TRIM(Sync!$X189)),""))</f>
        <v/>
      </c>
      <c r="H193" t="str">
        <f>IF($G193="","",IF(Sync!$W189="","",Sync!$W189))</f>
        <v/>
      </c>
      <c r="I193" t="str">
        <f>IF(OR($G193="",Sync!$Y189=""),"",Sync!$Y189)</f>
        <v/>
      </c>
      <c r="J193" t="str">
        <f>IF(OR($G193="",Sync!$Z189=""),"",Sync!$Z189)</f>
        <v/>
      </c>
      <c r="K193">
        <f>IF($G193="",0,IF(Sync!$AA189="",0,Sync!$AA189))</f>
        <v>0</v>
      </c>
      <c r="L193">
        <f>IF($G193="",0,IF(Sync!$AB189="",0,Sync!$AB189))</f>
        <v>0</v>
      </c>
      <c r="M193" t="str">
        <f t="shared" si="17"/>
        <v/>
      </c>
      <c r="N193">
        <f>IF($G193="",0,IF($H193="مرجوعی فروش",-1,1)*IF(Sync!$AC189="",0,Sync!$AC189))</f>
        <v>0</v>
      </c>
      <c r="O193" t="str">
        <f>IF(OR($G193="",Sync!$V189=""),"",Sync!$V189)</f>
        <v/>
      </c>
      <c r="P193" t="str">
        <f>IF(OR($G193="",Sync!$AD189=""),"",Sync!$AD189)</f>
        <v/>
      </c>
      <c r="Q193" t="str">
        <f>IF($G193="","",IF(Sync!$U189="","0000",IF(AND(ISNUMBER(Sync!$U189),Sync!$U189&gt;=0,Sync!$U189&lt;1),RIGHT("00"&amp;HOUR(Sync!$U189),2)&amp;RIGHT("00"&amp;MINUTE(Sync!$U189),2),IFERROR(RIGHT("00"&amp;VALUE(LEFT(Sync!$U189,FIND(":",Sync!$U189)-1)),2)&amp;RIGHT("00"&amp;VALUE(MID(Sync!$U189,FIND(":",Sync!$U189)+1,2)),2),"0000"))))</f>
        <v/>
      </c>
    </row>
    <row r="194" spans="1:17" x14ac:dyDescent="0.2">
      <c r="A194" t="str">
        <f>IF(Sync!$T190="","",Sync!$T190)</f>
        <v>1405/07/28</v>
      </c>
      <c r="B194">
        <f t="shared" si="12"/>
        <v>1405</v>
      </c>
      <c r="C194">
        <f t="shared" si="13"/>
        <v>7</v>
      </c>
      <c r="D194">
        <f t="shared" si="14"/>
        <v>28</v>
      </c>
      <c r="E194" t="str">
        <f t="shared" si="15"/>
        <v>1405/07/28</v>
      </c>
      <c r="F194" t="str">
        <f t="shared" si="16"/>
        <v>1405/07</v>
      </c>
      <c r="G194" t="str">
        <f>IF(OR($E194="",$E194="نامعتبر",Sync!$X190=""),"",IF(AND(LEFT(UPPER(TRIM(Sync!$X190)),2)="SL",IFERROR(VLOOKUP(Sync!$W190,OpTbl,3,0),"")="فروش"),UPPER(TRIM(Sync!$X190)),""))</f>
        <v/>
      </c>
      <c r="H194" t="str">
        <f>IF($G194="","",IF(Sync!$W190="","",Sync!$W190))</f>
        <v/>
      </c>
      <c r="I194" t="str">
        <f>IF(OR($G194="",Sync!$Y190=""),"",Sync!$Y190)</f>
        <v/>
      </c>
      <c r="J194" t="str">
        <f>IF(OR($G194="",Sync!$Z190=""),"",Sync!$Z190)</f>
        <v/>
      </c>
      <c r="K194">
        <f>IF($G194="",0,IF(Sync!$AA190="",0,Sync!$AA190))</f>
        <v>0</v>
      </c>
      <c r="L194">
        <f>IF($G194="",0,IF(Sync!$AB190="",0,Sync!$AB190))</f>
        <v>0</v>
      </c>
      <c r="M194" t="str">
        <f t="shared" si="17"/>
        <v/>
      </c>
      <c r="N194">
        <f>IF($G194="",0,IF($H194="مرجوعی فروش",-1,1)*IF(Sync!$AC190="",0,Sync!$AC190))</f>
        <v>0</v>
      </c>
      <c r="O194" t="str">
        <f>IF(OR($G194="",Sync!$V190=""),"",Sync!$V190)</f>
        <v/>
      </c>
      <c r="P194" t="str">
        <f>IF(OR($G194="",Sync!$AD190=""),"",Sync!$AD190)</f>
        <v/>
      </c>
      <c r="Q194" t="str">
        <f>IF($G194="","",IF(Sync!$U190="","0000",IF(AND(ISNUMBER(Sync!$U190),Sync!$U190&gt;=0,Sync!$U190&lt;1),RIGHT("00"&amp;HOUR(Sync!$U190),2)&amp;RIGHT("00"&amp;MINUTE(Sync!$U190),2),IFERROR(RIGHT("00"&amp;VALUE(LEFT(Sync!$U190,FIND(":",Sync!$U190)-1)),2)&amp;RIGHT("00"&amp;VALUE(MID(Sync!$U190,FIND(":",Sync!$U190)+1,2)),2),"0000"))))</f>
        <v/>
      </c>
    </row>
    <row r="195" spans="1:17" x14ac:dyDescent="0.2">
      <c r="A195" t="str">
        <f>IF(Sync!$T191="","",Sync!$T191)</f>
        <v>1405/07/28</v>
      </c>
      <c r="B195">
        <f t="shared" si="12"/>
        <v>1405</v>
      </c>
      <c r="C195">
        <f t="shared" si="13"/>
        <v>7</v>
      </c>
      <c r="D195">
        <f t="shared" si="14"/>
        <v>28</v>
      </c>
      <c r="E195" t="str">
        <f t="shared" si="15"/>
        <v>1405/07/28</v>
      </c>
      <c r="F195" t="str">
        <f t="shared" si="16"/>
        <v>1405/07</v>
      </c>
      <c r="G195" t="str">
        <f>IF(OR($E195="",$E195="نامعتبر",Sync!$X191=""),"",IF(AND(LEFT(UPPER(TRIM(Sync!$X191)),2)="SL",IFERROR(VLOOKUP(Sync!$W191,OpTbl,3,0),"")="فروش"),UPPER(TRIM(Sync!$X191)),""))</f>
        <v/>
      </c>
      <c r="H195" t="str">
        <f>IF($G195="","",IF(Sync!$W191="","",Sync!$W191))</f>
        <v/>
      </c>
      <c r="I195" t="str">
        <f>IF(OR($G195="",Sync!$Y191=""),"",Sync!$Y191)</f>
        <v/>
      </c>
      <c r="J195" t="str">
        <f>IF(OR($G195="",Sync!$Z191=""),"",Sync!$Z191)</f>
        <v/>
      </c>
      <c r="K195">
        <f>IF($G195="",0,IF(Sync!$AA191="",0,Sync!$AA191))</f>
        <v>0</v>
      </c>
      <c r="L195">
        <f>IF($G195="",0,IF(Sync!$AB191="",0,Sync!$AB191))</f>
        <v>0</v>
      </c>
      <c r="M195" t="str">
        <f t="shared" si="17"/>
        <v/>
      </c>
      <c r="N195">
        <f>IF($G195="",0,IF($H195="مرجوعی فروش",-1,1)*IF(Sync!$AC191="",0,Sync!$AC191))</f>
        <v>0</v>
      </c>
      <c r="O195" t="str">
        <f>IF(OR($G195="",Sync!$V191=""),"",Sync!$V191)</f>
        <v/>
      </c>
      <c r="P195" t="str">
        <f>IF(OR($G195="",Sync!$AD191=""),"",Sync!$AD191)</f>
        <v/>
      </c>
      <c r="Q195" t="str">
        <f>IF($G195="","",IF(Sync!$U191="","0000",IF(AND(ISNUMBER(Sync!$U191),Sync!$U191&gt;=0,Sync!$U191&lt;1),RIGHT("00"&amp;HOUR(Sync!$U191),2)&amp;RIGHT("00"&amp;MINUTE(Sync!$U191),2),IFERROR(RIGHT("00"&amp;VALUE(LEFT(Sync!$U191,FIND(":",Sync!$U191)-1)),2)&amp;RIGHT("00"&amp;VALUE(MID(Sync!$U191,FIND(":",Sync!$U191)+1,2)),2),"0000"))))</f>
        <v/>
      </c>
    </row>
    <row r="196" spans="1:17" x14ac:dyDescent="0.2">
      <c r="A196" t="str">
        <f>IF(Sync!$T192="","",Sync!$T192)</f>
        <v>1405/07/29</v>
      </c>
      <c r="B196">
        <f t="shared" si="12"/>
        <v>1405</v>
      </c>
      <c r="C196">
        <f t="shared" si="13"/>
        <v>7</v>
      </c>
      <c r="D196">
        <f t="shared" si="14"/>
        <v>29</v>
      </c>
      <c r="E196" t="str">
        <f t="shared" si="15"/>
        <v>1405/07/29</v>
      </c>
      <c r="F196" t="str">
        <f t="shared" si="16"/>
        <v>1405/07</v>
      </c>
      <c r="G196" t="str">
        <f>IF(OR($E196="",$E196="نامعتبر",Sync!$X192=""),"",IF(AND(LEFT(UPPER(TRIM(Sync!$X192)),2)="SL",IFERROR(VLOOKUP(Sync!$W192,OpTbl,3,0),"")="فروش"),UPPER(TRIM(Sync!$X192)),""))</f>
        <v/>
      </c>
      <c r="H196" t="str">
        <f>IF($G196="","",IF(Sync!$W192="","",Sync!$W192))</f>
        <v/>
      </c>
      <c r="I196" t="str">
        <f>IF(OR($G196="",Sync!$Y192=""),"",Sync!$Y192)</f>
        <v/>
      </c>
      <c r="J196" t="str">
        <f>IF(OR($G196="",Sync!$Z192=""),"",Sync!$Z192)</f>
        <v/>
      </c>
      <c r="K196">
        <f>IF($G196="",0,IF(Sync!$AA192="",0,Sync!$AA192))</f>
        <v>0</v>
      </c>
      <c r="L196">
        <f>IF($G196="",0,IF(Sync!$AB192="",0,Sync!$AB192))</f>
        <v>0</v>
      </c>
      <c r="M196" t="str">
        <f t="shared" si="17"/>
        <v/>
      </c>
      <c r="N196">
        <f>IF($G196="",0,IF($H196="مرجوعی فروش",-1,1)*IF(Sync!$AC192="",0,Sync!$AC192))</f>
        <v>0</v>
      </c>
      <c r="O196" t="str">
        <f>IF(OR($G196="",Sync!$V192=""),"",Sync!$V192)</f>
        <v/>
      </c>
      <c r="P196" t="str">
        <f>IF(OR($G196="",Sync!$AD192=""),"",Sync!$AD192)</f>
        <v/>
      </c>
      <c r="Q196" t="str">
        <f>IF($G196="","",IF(Sync!$U192="","0000",IF(AND(ISNUMBER(Sync!$U192),Sync!$U192&gt;=0,Sync!$U192&lt;1),RIGHT("00"&amp;HOUR(Sync!$U192),2)&amp;RIGHT("00"&amp;MINUTE(Sync!$U192),2),IFERROR(RIGHT("00"&amp;VALUE(LEFT(Sync!$U192,FIND(":",Sync!$U192)-1)),2)&amp;RIGHT("00"&amp;VALUE(MID(Sync!$U192,FIND(":",Sync!$U192)+1,2)),2),"0000"))))</f>
        <v/>
      </c>
    </row>
    <row r="197" spans="1:17" x14ac:dyDescent="0.2">
      <c r="A197" t="str">
        <f>IF(Sync!$T193="","",Sync!$T193)</f>
        <v/>
      </c>
      <c r="B197" t="str">
        <f t="shared" si="12"/>
        <v/>
      </c>
      <c r="C197" t="str">
        <f t="shared" si="13"/>
        <v/>
      </c>
      <c r="D197" t="str">
        <f t="shared" si="14"/>
        <v/>
      </c>
      <c r="E197" t="str">
        <f t="shared" si="15"/>
        <v/>
      </c>
      <c r="F197" t="str">
        <f t="shared" si="16"/>
        <v/>
      </c>
      <c r="G197" t="str">
        <f>IF(OR($E197="",$E197="نامعتبر",Sync!$X193=""),"",IF(AND(LEFT(UPPER(TRIM(Sync!$X193)),2)="SL",IFERROR(VLOOKUP(Sync!$W193,OpTbl,3,0),"")="فروش"),UPPER(TRIM(Sync!$X193)),""))</f>
        <v/>
      </c>
      <c r="H197" t="str">
        <f>IF($G197="","",IF(Sync!$W193="","",Sync!$W193))</f>
        <v/>
      </c>
      <c r="I197" t="str">
        <f>IF(OR($G197="",Sync!$Y193=""),"",Sync!$Y193)</f>
        <v/>
      </c>
      <c r="J197" t="str">
        <f>IF(OR($G197="",Sync!$Z193=""),"",Sync!$Z193)</f>
        <v/>
      </c>
      <c r="K197">
        <f>IF($G197="",0,IF(Sync!$AA193="",0,Sync!$AA193))</f>
        <v>0</v>
      </c>
      <c r="L197">
        <f>IF($G197="",0,IF(Sync!$AB193="",0,Sync!$AB193))</f>
        <v>0</v>
      </c>
      <c r="M197" t="str">
        <f t="shared" si="17"/>
        <v/>
      </c>
      <c r="N197">
        <f>IF($G197="",0,IF($H197="مرجوعی فروش",-1,1)*IF(Sync!$AC193="",0,Sync!$AC193))</f>
        <v>0</v>
      </c>
      <c r="O197" t="str">
        <f>IF(OR($G197="",Sync!$V193=""),"",Sync!$V193)</f>
        <v/>
      </c>
      <c r="P197" t="str">
        <f>IF(OR($G197="",Sync!$AD193=""),"",Sync!$AD193)</f>
        <v/>
      </c>
      <c r="Q197" t="str">
        <f>IF($G197="","",IF(Sync!$U193="","0000",IF(AND(ISNUMBER(Sync!$U193),Sync!$U193&gt;=0,Sync!$U193&lt;1),RIGHT("00"&amp;HOUR(Sync!$U193),2)&amp;RIGHT("00"&amp;MINUTE(Sync!$U193),2),IFERROR(RIGHT("00"&amp;VALUE(LEFT(Sync!$U193,FIND(":",Sync!$U193)-1)),2)&amp;RIGHT("00"&amp;VALUE(MID(Sync!$U193,FIND(":",Sync!$U193)+1,2)),2),"0000"))))</f>
        <v/>
      </c>
    </row>
    <row r="198" spans="1:17" x14ac:dyDescent="0.2">
      <c r="A198" t="str">
        <f>IF(Sync!$T194="","",Sync!$T194)</f>
        <v/>
      </c>
      <c r="B198" t="str">
        <f t="shared" si="12"/>
        <v/>
      </c>
      <c r="C198" t="str">
        <f t="shared" si="13"/>
        <v/>
      </c>
      <c r="D198" t="str">
        <f t="shared" si="14"/>
        <v/>
      </c>
      <c r="E198" t="str">
        <f t="shared" si="15"/>
        <v/>
      </c>
      <c r="F198" t="str">
        <f t="shared" si="16"/>
        <v/>
      </c>
      <c r="G198" t="str">
        <f>IF(OR($E198="",$E198="نامعتبر",Sync!$X194=""),"",IF(AND(LEFT(UPPER(TRIM(Sync!$X194)),2)="SL",IFERROR(VLOOKUP(Sync!$W194,OpTbl,3,0),"")="فروش"),UPPER(TRIM(Sync!$X194)),""))</f>
        <v/>
      </c>
      <c r="H198" t="str">
        <f>IF($G198="","",IF(Sync!$W194="","",Sync!$W194))</f>
        <v/>
      </c>
      <c r="I198" t="str">
        <f>IF(OR($G198="",Sync!$Y194=""),"",Sync!$Y194)</f>
        <v/>
      </c>
      <c r="J198" t="str">
        <f>IF(OR($G198="",Sync!$Z194=""),"",Sync!$Z194)</f>
        <v/>
      </c>
      <c r="K198">
        <f>IF($G198="",0,IF(Sync!$AA194="",0,Sync!$AA194))</f>
        <v>0</v>
      </c>
      <c r="L198">
        <f>IF($G198="",0,IF(Sync!$AB194="",0,Sync!$AB194))</f>
        <v>0</v>
      </c>
      <c r="M198" t="str">
        <f t="shared" si="17"/>
        <v/>
      </c>
      <c r="N198">
        <f>IF($G198="",0,IF($H198="مرجوعی فروش",-1,1)*IF(Sync!$AC194="",0,Sync!$AC194))</f>
        <v>0</v>
      </c>
      <c r="O198" t="str">
        <f>IF(OR($G198="",Sync!$V194=""),"",Sync!$V194)</f>
        <v/>
      </c>
      <c r="P198" t="str">
        <f>IF(OR($G198="",Sync!$AD194=""),"",Sync!$AD194)</f>
        <v/>
      </c>
      <c r="Q198" t="str">
        <f>IF($G198="","",IF(Sync!$U194="","0000",IF(AND(ISNUMBER(Sync!$U194),Sync!$U194&gt;=0,Sync!$U194&lt;1),RIGHT("00"&amp;HOUR(Sync!$U194),2)&amp;RIGHT("00"&amp;MINUTE(Sync!$U194),2),IFERROR(RIGHT("00"&amp;VALUE(LEFT(Sync!$U194,FIND(":",Sync!$U194)-1)),2)&amp;RIGHT("00"&amp;VALUE(MID(Sync!$U194,FIND(":",Sync!$U194)+1,2)),2),"0000"))))</f>
        <v/>
      </c>
    </row>
    <row r="199" spans="1:17" x14ac:dyDescent="0.2">
      <c r="A199" t="str">
        <f>IF(Sync!$T195="","",Sync!$T195)</f>
        <v/>
      </c>
      <c r="B199" t="str">
        <f t="shared" si="12"/>
        <v/>
      </c>
      <c r="C199" t="str">
        <f t="shared" si="13"/>
        <v/>
      </c>
      <c r="D199" t="str">
        <f t="shared" si="14"/>
        <v/>
      </c>
      <c r="E199" t="str">
        <f t="shared" si="15"/>
        <v/>
      </c>
      <c r="F199" t="str">
        <f t="shared" si="16"/>
        <v/>
      </c>
      <c r="G199" t="str">
        <f>IF(OR($E199="",$E199="نامعتبر",Sync!$X195=""),"",IF(AND(LEFT(UPPER(TRIM(Sync!$X195)),2)="SL",IFERROR(VLOOKUP(Sync!$W195,OpTbl,3,0),"")="فروش"),UPPER(TRIM(Sync!$X195)),""))</f>
        <v/>
      </c>
      <c r="H199" t="str">
        <f>IF($G199="","",IF(Sync!$W195="","",Sync!$W195))</f>
        <v/>
      </c>
      <c r="I199" t="str">
        <f>IF(OR($G199="",Sync!$Y195=""),"",Sync!$Y195)</f>
        <v/>
      </c>
      <c r="J199" t="str">
        <f>IF(OR($G199="",Sync!$Z195=""),"",Sync!$Z195)</f>
        <v/>
      </c>
      <c r="K199">
        <f>IF($G199="",0,IF(Sync!$AA195="",0,Sync!$AA195))</f>
        <v>0</v>
      </c>
      <c r="L199">
        <f>IF($G199="",0,IF(Sync!$AB195="",0,Sync!$AB195))</f>
        <v>0</v>
      </c>
      <c r="M199" t="str">
        <f t="shared" si="17"/>
        <v/>
      </c>
      <c r="N199">
        <f>IF($G199="",0,IF($H199="مرجوعی فروش",-1,1)*IF(Sync!$AC195="",0,Sync!$AC195))</f>
        <v>0</v>
      </c>
      <c r="O199" t="str">
        <f>IF(OR($G199="",Sync!$V195=""),"",Sync!$V195)</f>
        <v/>
      </c>
      <c r="P199" t="str">
        <f>IF(OR($G199="",Sync!$AD195=""),"",Sync!$AD195)</f>
        <v/>
      </c>
      <c r="Q199" t="str">
        <f>IF($G199="","",IF(Sync!$U195="","0000",IF(AND(ISNUMBER(Sync!$U195),Sync!$U195&gt;=0,Sync!$U195&lt;1),RIGHT("00"&amp;HOUR(Sync!$U195),2)&amp;RIGHT("00"&amp;MINUTE(Sync!$U195),2),IFERROR(RIGHT("00"&amp;VALUE(LEFT(Sync!$U195,FIND(":",Sync!$U195)-1)),2)&amp;RIGHT("00"&amp;VALUE(MID(Sync!$U195,FIND(":",Sync!$U195)+1,2)),2),"0000"))))</f>
        <v/>
      </c>
    </row>
    <row r="200" spans="1:17" x14ac:dyDescent="0.2">
      <c r="A200" t="str">
        <f>IF(Sync!$T196="","",Sync!$T196)</f>
        <v/>
      </c>
      <c r="B200" t="str">
        <f t="shared" si="12"/>
        <v/>
      </c>
      <c r="C200" t="str">
        <f t="shared" si="13"/>
        <v/>
      </c>
      <c r="D200" t="str">
        <f t="shared" si="14"/>
        <v/>
      </c>
      <c r="E200" t="str">
        <f t="shared" si="15"/>
        <v/>
      </c>
      <c r="F200" t="str">
        <f t="shared" si="16"/>
        <v/>
      </c>
      <c r="G200" t="str">
        <f>IF(OR($E200="",$E200="نامعتبر",Sync!$X196=""),"",IF(AND(LEFT(UPPER(TRIM(Sync!$X196)),2)="SL",IFERROR(VLOOKUP(Sync!$W196,OpTbl,3,0),"")="فروش"),UPPER(TRIM(Sync!$X196)),""))</f>
        <v/>
      </c>
      <c r="H200" t="str">
        <f>IF($G200="","",IF(Sync!$W196="","",Sync!$W196))</f>
        <v/>
      </c>
      <c r="I200" t="str">
        <f>IF(OR($G200="",Sync!$Y196=""),"",Sync!$Y196)</f>
        <v/>
      </c>
      <c r="J200" t="str">
        <f>IF(OR($G200="",Sync!$Z196=""),"",Sync!$Z196)</f>
        <v/>
      </c>
      <c r="K200">
        <f>IF($G200="",0,IF(Sync!$AA196="",0,Sync!$AA196))</f>
        <v>0</v>
      </c>
      <c r="L200">
        <f>IF($G200="",0,IF(Sync!$AB196="",0,Sync!$AB196))</f>
        <v>0</v>
      </c>
      <c r="M200" t="str">
        <f t="shared" si="17"/>
        <v/>
      </c>
      <c r="N200">
        <f>IF($G200="",0,IF($H200="مرجوعی فروش",-1,1)*IF(Sync!$AC196="",0,Sync!$AC196))</f>
        <v>0</v>
      </c>
      <c r="O200" t="str">
        <f>IF(OR($G200="",Sync!$V196=""),"",Sync!$V196)</f>
        <v/>
      </c>
      <c r="P200" t="str">
        <f>IF(OR($G200="",Sync!$AD196=""),"",Sync!$AD196)</f>
        <v/>
      </c>
      <c r="Q200" t="str">
        <f>IF($G200="","",IF(Sync!$U196="","0000",IF(AND(ISNUMBER(Sync!$U196),Sync!$U196&gt;=0,Sync!$U196&lt;1),RIGHT("00"&amp;HOUR(Sync!$U196),2)&amp;RIGHT("00"&amp;MINUTE(Sync!$U196),2),IFERROR(RIGHT("00"&amp;VALUE(LEFT(Sync!$U196,FIND(":",Sync!$U196)-1)),2)&amp;RIGHT("00"&amp;VALUE(MID(Sync!$U196,FIND(":",Sync!$U196)+1,2)),2),"0000"))))</f>
        <v/>
      </c>
    </row>
    <row r="201" spans="1:17" x14ac:dyDescent="0.2">
      <c r="A201" t="str">
        <f>IF(Sync!$T197="","",Sync!$T197)</f>
        <v/>
      </c>
      <c r="B201" t="str">
        <f t="shared" si="12"/>
        <v/>
      </c>
      <c r="C201" t="str">
        <f t="shared" si="13"/>
        <v/>
      </c>
      <c r="D201" t="str">
        <f t="shared" si="14"/>
        <v/>
      </c>
      <c r="E201" t="str">
        <f t="shared" si="15"/>
        <v/>
      </c>
      <c r="F201" t="str">
        <f t="shared" si="16"/>
        <v/>
      </c>
      <c r="G201" t="str">
        <f>IF(OR($E201="",$E201="نامعتبر",Sync!$X197=""),"",IF(AND(LEFT(UPPER(TRIM(Sync!$X197)),2)="SL",IFERROR(VLOOKUP(Sync!$W197,OpTbl,3,0),"")="فروش"),UPPER(TRIM(Sync!$X197)),""))</f>
        <v/>
      </c>
      <c r="H201" t="str">
        <f>IF($G201="","",IF(Sync!$W197="","",Sync!$W197))</f>
        <v/>
      </c>
      <c r="I201" t="str">
        <f>IF(OR($G201="",Sync!$Y197=""),"",Sync!$Y197)</f>
        <v/>
      </c>
      <c r="J201" t="str">
        <f>IF(OR($G201="",Sync!$Z197=""),"",Sync!$Z197)</f>
        <v/>
      </c>
      <c r="K201">
        <f>IF($G201="",0,IF(Sync!$AA197="",0,Sync!$AA197))</f>
        <v>0</v>
      </c>
      <c r="L201">
        <f>IF($G201="",0,IF(Sync!$AB197="",0,Sync!$AB197))</f>
        <v>0</v>
      </c>
      <c r="M201" t="str">
        <f t="shared" si="17"/>
        <v/>
      </c>
      <c r="N201">
        <f>IF($G201="",0,IF($H201="مرجوعی فروش",-1,1)*IF(Sync!$AC197="",0,Sync!$AC197))</f>
        <v>0</v>
      </c>
      <c r="O201" t="str">
        <f>IF(OR($G201="",Sync!$V197=""),"",Sync!$V197)</f>
        <v/>
      </c>
      <c r="P201" t="str">
        <f>IF(OR($G201="",Sync!$AD197=""),"",Sync!$AD197)</f>
        <v/>
      </c>
      <c r="Q201" t="str">
        <f>IF($G201="","",IF(Sync!$U197="","0000",IF(AND(ISNUMBER(Sync!$U197),Sync!$U197&gt;=0,Sync!$U197&lt;1),RIGHT("00"&amp;HOUR(Sync!$U197),2)&amp;RIGHT("00"&amp;MINUTE(Sync!$U197),2),IFERROR(RIGHT("00"&amp;VALUE(LEFT(Sync!$U197,FIND(":",Sync!$U197)-1)),2)&amp;RIGHT("00"&amp;VALUE(MID(Sync!$U197,FIND(":",Sync!$U197)+1,2)),2),"0000"))))</f>
        <v/>
      </c>
    </row>
    <row r="202" spans="1:17" x14ac:dyDescent="0.2">
      <c r="A202" t="str">
        <f>IF(Sync!$T198="","",Sync!$T198)</f>
        <v/>
      </c>
      <c r="B202" t="str">
        <f t="shared" ref="B202:B265" si="18">IF($A202="","",IF(ISNUMBER($A202),IF(AND($A202&gt;=10000101,$A202&lt;=99991231),INT($A202/10000),""),IFERROR(VALUE(TRIM(LEFT($A202,FIND("/",$A202)-1))),"")))</f>
        <v/>
      </c>
      <c r="C202" t="str">
        <f t="shared" ref="C202:C265" si="19">IF(OR($A202="",$B202=""),"",IF(ISNUMBER($A202),INT(MOD($A202,10000)/100),IFERROR(VALUE(TRIM(LEFT(MID($A202,FIND("/",$A202)+1,20),FIND("/",MID($A202,FIND("/",$A202)+1,20))-1))),"")))</f>
        <v/>
      </c>
      <c r="D202" t="str">
        <f t="shared" ref="D202:D265" si="20">IF(OR($A202="",$B202=""),"",IF(ISNUMBER($A202),MOD($A202,100),IFERROR(VALUE(TRIM(MID(MID($A202,FIND("/",$A202)+1,20),FIND("/",MID($A202,FIND("/",$A202)+1,20))+1,20))),"")))</f>
        <v/>
      </c>
      <c r="E202" t="str">
        <f t="shared" ref="E202:E265" si="21">IF($A202="","",IF(OR($B202="",$C202="",$D202="",$B202&lt;1300,$B202&gt;1500,$C202&lt;1,$C202&gt;12,$D202&lt;1,$D202&gt;31),"نامعتبر",RIGHT("0000"&amp;$B202,4)&amp;"/"&amp;RIGHT("00"&amp;$C202,2)&amp;"/"&amp;RIGHT("00"&amp;$D202,2)))</f>
        <v/>
      </c>
      <c r="F202" t="str">
        <f t="shared" ref="F202:F265" si="22">IF(OR($E202="",$E202="نامعتبر"),"",LEFT($E202,4)&amp;"/"&amp;MID($E202,6,2))</f>
        <v/>
      </c>
      <c r="G202" t="str">
        <f>IF(OR($E202="",$E202="نامعتبر",Sync!$X198=""),"",IF(AND(LEFT(UPPER(TRIM(Sync!$X198)),2)="SL",IFERROR(VLOOKUP(Sync!$W198,OpTbl,3,0),"")="فروش"),UPPER(TRIM(Sync!$X198)),""))</f>
        <v/>
      </c>
      <c r="H202" t="str">
        <f>IF($G202="","",IF(Sync!$W198="","",Sync!$W198))</f>
        <v/>
      </c>
      <c r="I202" t="str">
        <f>IF(OR($G202="",Sync!$Y198=""),"",Sync!$Y198)</f>
        <v/>
      </c>
      <c r="J202" t="str">
        <f>IF(OR($G202="",Sync!$Z198=""),"",Sync!$Z198)</f>
        <v/>
      </c>
      <c r="K202">
        <f>IF($G202="",0,IF(Sync!$AA198="",0,Sync!$AA198))</f>
        <v>0</v>
      </c>
      <c r="L202">
        <f>IF($G202="",0,IF(Sync!$AB198="",0,Sync!$AB198))</f>
        <v>0</v>
      </c>
      <c r="M202" t="str">
        <f t="shared" ref="M202:M265" si="23">IF($G202="","",IF($H202="مرجوعی فروش",-1,1)*($K202-$L202*IFERROR(VLOOKUP("P01",ParamTbl,3,0),1.5)))</f>
        <v/>
      </c>
      <c r="N202">
        <f>IF($G202="",0,IF($H202="مرجوعی فروش",-1,1)*IF(Sync!$AC198="",0,Sync!$AC198))</f>
        <v>0</v>
      </c>
      <c r="O202" t="str">
        <f>IF(OR($G202="",Sync!$V198=""),"",Sync!$V198)</f>
        <v/>
      </c>
      <c r="P202" t="str">
        <f>IF(OR($G202="",Sync!$AD198=""),"",Sync!$AD198)</f>
        <v/>
      </c>
      <c r="Q202" t="str">
        <f>IF($G202="","",IF(Sync!$U198="","0000",IF(AND(ISNUMBER(Sync!$U198),Sync!$U198&gt;=0,Sync!$U198&lt;1),RIGHT("00"&amp;HOUR(Sync!$U198),2)&amp;RIGHT("00"&amp;MINUTE(Sync!$U198),2),IFERROR(RIGHT("00"&amp;VALUE(LEFT(Sync!$U198,FIND(":",Sync!$U198)-1)),2)&amp;RIGHT("00"&amp;VALUE(MID(Sync!$U198,FIND(":",Sync!$U198)+1,2)),2),"0000"))))</f>
        <v/>
      </c>
    </row>
    <row r="203" spans="1:17" x14ac:dyDescent="0.2">
      <c r="A203" t="str">
        <f>IF(Sync!$T199="","",Sync!$T199)</f>
        <v/>
      </c>
      <c r="B203" t="str">
        <f t="shared" si="18"/>
        <v/>
      </c>
      <c r="C203" t="str">
        <f t="shared" si="19"/>
        <v/>
      </c>
      <c r="D203" t="str">
        <f t="shared" si="20"/>
        <v/>
      </c>
      <c r="E203" t="str">
        <f t="shared" si="21"/>
        <v/>
      </c>
      <c r="F203" t="str">
        <f t="shared" si="22"/>
        <v/>
      </c>
      <c r="G203" t="str">
        <f>IF(OR($E203="",$E203="نامعتبر",Sync!$X199=""),"",IF(AND(LEFT(UPPER(TRIM(Sync!$X199)),2)="SL",IFERROR(VLOOKUP(Sync!$W199,OpTbl,3,0),"")="فروش"),UPPER(TRIM(Sync!$X199)),""))</f>
        <v/>
      </c>
      <c r="H203" t="str">
        <f>IF($G203="","",IF(Sync!$W199="","",Sync!$W199))</f>
        <v/>
      </c>
      <c r="I203" t="str">
        <f>IF(OR($G203="",Sync!$Y199=""),"",Sync!$Y199)</f>
        <v/>
      </c>
      <c r="J203" t="str">
        <f>IF(OR($G203="",Sync!$Z199=""),"",Sync!$Z199)</f>
        <v/>
      </c>
      <c r="K203">
        <f>IF($G203="",0,IF(Sync!$AA199="",0,Sync!$AA199))</f>
        <v>0</v>
      </c>
      <c r="L203">
        <f>IF($G203="",0,IF(Sync!$AB199="",0,Sync!$AB199))</f>
        <v>0</v>
      </c>
      <c r="M203" t="str">
        <f t="shared" si="23"/>
        <v/>
      </c>
      <c r="N203">
        <f>IF($G203="",0,IF($H203="مرجوعی فروش",-1,1)*IF(Sync!$AC199="",0,Sync!$AC199))</f>
        <v>0</v>
      </c>
      <c r="O203" t="str">
        <f>IF(OR($G203="",Sync!$V199=""),"",Sync!$V199)</f>
        <v/>
      </c>
      <c r="P203" t="str">
        <f>IF(OR($G203="",Sync!$AD199=""),"",Sync!$AD199)</f>
        <v/>
      </c>
      <c r="Q203" t="str">
        <f>IF($G203="","",IF(Sync!$U199="","0000",IF(AND(ISNUMBER(Sync!$U199),Sync!$U199&gt;=0,Sync!$U199&lt;1),RIGHT("00"&amp;HOUR(Sync!$U199),2)&amp;RIGHT("00"&amp;MINUTE(Sync!$U199),2),IFERROR(RIGHT("00"&amp;VALUE(LEFT(Sync!$U199,FIND(":",Sync!$U199)-1)),2)&amp;RIGHT("00"&amp;VALUE(MID(Sync!$U199,FIND(":",Sync!$U199)+1,2)),2),"0000"))))</f>
        <v/>
      </c>
    </row>
    <row r="204" spans="1:17" x14ac:dyDescent="0.2">
      <c r="A204" t="str">
        <f>IF(Sync!$T200="","",Sync!$T200)</f>
        <v/>
      </c>
      <c r="B204" t="str">
        <f t="shared" si="18"/>
        <v/>
      </c>
      <c r="C204" t="str">
        <f t="shared" si="19"/>
        <v/>
      </c>
      <c r="D204" t="str">
        <f t="shared" si="20"/>
        <v/>
      </c>
      <c r="E204" t="str">
        <f t="shared" si="21"/>
        <v/>
      </c>
      <c r="F204" t="str">
        <f t="shared" si="22"/>
        <v/>
      </c>
      <c r="G204" t="str">
        <f>IF(OR($E204="",$E204="نامعتبر",Sync!$X200=""),"",IF(AND(LEFT(UPPER(TRIM(Sync!$X200)),2)="SL",IFERROR(VLOOKUP(Sync!$W200,OpTbl,3,0),"")="فروش"),UPPER(TRIM(Sync!$X200)),""))</f>
        <v/>
      </c>
      <c r="H204" t="str">
        <f>IF($G204="","",IF(Sync!$W200="","",Sync!$W200))</f>
        <v/>
      </c>
      <c r="I204" t="str">
        <f>IF(OR($G204="",Sync!$Y200=""),"",Sync!$Y200)</f>
        <v/>
      </c>
      <c r="J204" t="str">
        <f>IF(OR($G204="",Sync!$Z200=""),"",Sync!$Z200)</f>
        <v/>
      </c>
      <c r="K204">
        <f>IF($G204="",0,IF(Sync!$AA200="",0,Sync!$AA200))</f>
        <v>0</v>
      </c>
      <c r="L204">
        <f>IF($G204="",0,IF(Sync!$AB200="",0,Sync!$AB200))</f>
        <v>0</v>
      </c>
      <c r="M204" t="str">
        <f t="shared" si="23"/>
        <v/>
      </c>
      <c r="N204">
        <f>IF($G204="",0,IF($H204="مرجوعی فروش",-1,1)*IF(Sync!$AC200="",0,Sync!$AC200))</f>
        <v>0</v>
      </c>
      <c r="O204" t="str">
        <f>IF(OR($G204="",Sync!$V200=""),"",Sync!$V200)</f>
        <v/>
      </c>
      <c r="P204" t="str">
        <f>IF(OR($G204="",Sync!$AD200=""),"",Sync!$AD200)</f>
        <v/>
      </c>
      <c r="Q204" t="str">
        <f>IF($G204="","",IF(Sync!$U200="","0000",IF(AND(ISNUMBER(Sync!$U200),Sync!$U200&gt;=0,Sync!$U200&lt;1),RIGHT("00"&amp;HOUR(Sync!$U200),2)&amp;RIGHT("00"&amp;MINUTE(Sync!$U200),2),IFERROR(RIGHT("00"&amp;VALUE(LEFT(Sync!$U200,FIND(":",Sync!$U200)-1)),2)&amp;RIGHT("00"&amp;VALUE(MID(Sync!$U200,FIND(":",Sync!$U200)+1,2)),2),"0000"))))</f>
        <v/>
      </c>
    </row>
    <row r="205" spans="1:17" x14ac:dyDescent="0.2">
      <c r="A205" t="str">
        <f>IF(Sync!$T201="","",Sync!$T201)</f>
        <v/>
      </c>
      <c r="B205" t="str">
        <f t="shared" si="18"/>
        <v/>
      </c>
      <c r="C205" t="str">
        <f t="shared" si="19"/>
        <v/>
      </c>
      <c r="D205" t="str">
        <f t="shared" si="20"/>
        <v/>
      </c>
      <c r="E205" t="str">
        <f t="shared" si="21"/>
        <v/>
      </c>
      <c r="F205" t="str">
        <f t="shared" si="22"/>
        <v/>
      </c>
      <c r="G205" t="str">
        <f>IF(OR($E205="",$E205="نامعتبر",Sync!$X201=""),"",IF(AND(LEFT(UPPER(TRIM(Sync!$X201)),2)="SL",IFERROR(VLOOKUP(Sync!$W201,OpTbl,3,0),"")="فروش"),UPPER(TRIM(Sync!$X201)),""))</f>
        <v/>
      </c>
      <c r="H205" t="str">
        <f>IF($G205="","",IF(Sync!$W201="","",Sync!$W201))</f>
        <v/>
      </c>
      <c r="I205" t="str">
        <f>IF(OR($G205="",Sync!$Y201=""),"",Sync!$Y201)</f>
        <v/>
      </c>
      <c r="J205" t="str">
        <f>IF(OR($G205="",Sync!$Z201=""),"",Sync!$Z201)</f>
        <v/>
      </c>
      <c r="K205">
        <f>IF($G205="",0,IF(Sync!$AA201="",0,Sync!$AA201))</f>
        <v>0</v>
      </c>
      <c r="L205">
        <f>IF($G205="",0,IF(Sync!$AB201="",0,Sync!$AB201))</f>
        <v>0</v>
      </c>
      <c r="M205" t="str">
        <f t="shared" si="23"/>
        <v/>
      </c>
      <c r="N205">
        <f>IF($G205="",0,IF($H205="مرجوعی فروش",-1,1)*IF(Sync!$AC201="",0,Sync!$AC201))</f>
        <v>0</v>
      </c>
      <c r="O205" t="str">
        <f>IF(OR($G205="",Sync!$V201=""),"",Sync!$V201)</f>
        <v/>
      </c>
      <c r="P205" t="str">
        <f>IF(OR($G205="",Sync!$AD201=""),"",Sync!$AD201)</f>
        <v/>
      </c>
      <c r="Q205" t="str">
        <f>IF($G205="","",IF(Sync!$U201="","0000",IF(AND(ISNUMBER(Sync!$U201),Sync!$U201&gt;=0,Sync!$U201&lt;1),RIGHT("00"&amp;HOUR(Sync!$U201),2)&amp;RIGHT("00"&amp;MINUTE(Sync!$U201),2),IFERROR(RIGHT("00"&amp;VALUE(LEFT(Sync!$U201,FIND(":",Sync!$U201)-1)),2)&amp;RIGHT("00"&amp;VALUE(MID(Sync!$U201,FIND(":",Sync!$U201)+1,2)),2),"0000"))))</f>
        <v/>
      </c>
    </row>
    <row r="206" spans="1:17" x14ac:dyDescent="0.2">
      <c r="A206" t="str">
        <f>IF(Sync!$T202="","",Sync!$T202)</f>
        <v/>
      </c>
      <c r="B206" t="str">
        <f t="shared" si="18"/>
        <v/>
      </c>
      <c r="C206" t="str">
        <f t="shared" si="19"/>
        <v/>
      </c>
      <c r="D206" t="str">
        <f t="shared" si="20"/>
        <v/>
      </c>
      <c r="E206" t="str">
        <f t="shared" si="21"/>
        <v/>
      </c>
      <c r="F206" t="str">
        <f t="shared" si="22"/>
        <v/>
      </c>
      <c r="G206" t="str">
        <f>IF(OR($E206="",$E206="نامعتبر",Sync!$X202=""),"",IF(AND(LEFT(UPPER(TRIM(Sync!$X202)),2)="SL",IFERROR(VLOOKUP(Sync!$W202,OpTbl,3,0),"")="فروش"),UPPER(TRIM(Sync!$X202)),""))</f>
        <v/>
      </c>
      <c r="H206" t="str">
        <f>IF($G206="","",IF(Sync!$W202="","",Sync!$W202))</f>
        <v/>
      </c>
      <c r="I206" t="str">
        <f>IF(OR($G206="",Sync!$Y202=""),"",Sync!$Y202)</f>
        <v/>
      </c>
      <c r="J206" t="str">
        <f>IF(OR($G206="",Sync!$Z202=""),"",Sync!$Z202)</f>
        <v/>
      </c>
      <c r="K206">
        <f>IF($G206="",0,IF(Sync!$AA202="",0,Sync!$AA202))</f>
        <v>0</v>
      </c>
      <c r="L206">
        <f>IF($G206="",0,IF(Sync!$AB202="",0,Sync!$AB202))</f>
        <v>0</v>
      </c>
      <c r="M206" t="str">
        <f t="shared" si="23"/>
        <v/>
      </c>
      <c r="N206">
        <f>IF($G206="",0,IF($H206="مرجوعی فروش",-1,1)*IF(Sync!$AC202="",0,Sync!$AC202))</f>
        <v>0</v>
      </c>
      <c r="O206" t="str">
        <f>IF(OR($G206="",Sync!$V202=""),"",Sync!$V202)</f>
        <v/>
      </c>
      <c r="P206" t="str">
        <f>IF(OR($G206="",Sync!$AD202=""),"",Sync!$AD202)</f>
        <v/>
      </c>
      <c r="Q206" t="str">
        <f>IF($G206="","",IF(Sync!$U202="","0000",IF(AND(ISNUMBER(Sync!$U202),Sync!$U202&gt;=0,Sync!$U202&lt;1),RIGHT("00"&amp;HOUR(Sync!$U202),2)&amp;RIGHT("00"&amp;MINUTE(Sync!$U202),2),IFERROR(RIGHT("00"&amp;VALUE(LEFT(Sync!$U202,FIND(":",Sync!$U202)-1)),2)&amp;RIGHT("00"&amp;VALUE(MID(Sync!$U202,FIND(":",Sync!$U202)+1,2)),2),"0000"))))</f>
        <v/>
      </c>
    </row>
    <row r="207" spans="1:17" x14ac:dyDescent="0.2">
      <c r="A207" t="str">
        <f>IF(Sync!$T203="","",Sync!$T203)</f>
        <v/>
      </c>
      <c r="B207" t="str">
        <f t="shared" si="18"/>
        <v/>
      </c>
      <c r="C207" t="str">
        <f t="shared" si="19"/>
        <v/>
      </c>
      <c r="D207" t="str">
        <f t="shared" si="20"/>
        <v/>
      </c>
      <c r="E207" t="str">
        <f t="shared" si="21"/>
        <v/>
      </c>
      <c r="F207" t="str">
        <f t="shared" si="22"/>
        <v/>
      </c>
      <c r="G207" t="str">
        <f>IF(OR($E207="",$E207="نامعتبر",Sync!$X203=""),"",IF(AND(LEFT(UPPER(TRIM(Sync!$X203)),2)="SL",IFERROR(VLOOKUP(Sync!$W203,OpTbl,3,0),"")="فروش"),UPPER(TRIM(Sync!$X203)),""))</f>
        <v/>
      </c>
      <c r="H207" t="str">
        <f>IF($G207="","",IF(Sync!$W203="","",Sync!$W203))</f>
        <v/>
      </c>
      <c r="I207" t="str">
        <f>IF(OR($G207="",Sync!$Y203=""),"",Sync!$Y203)</f>
        <v/>
      </c>
      <c r="J207" t="str">
        <f>IF(OR($G207="",Sync!$Z203=""),"",Sync!$Z203)</f>
        <v/>
      </c>
      <c r="K207">
        <f>IF($G207="",0,IF(Sync!$AA203="",0,Sync!$AA203))</f>
        <v>0</v>
      </c>
      <c r="L207">
        <f>IF($G207="",0,IF(Sync!$AB203="",0,Sync!$AB203))</f>
        <v>0</v>
      </c>
      <c r="M207" t="str">
        <f t="shared" si="23"/>
        <v/>
      </c>
      <c r="N207">
        <f>IF($G207="",0,IF($H207="مرجوعی فروش",-1,1)*IF(Sync!$AC203="",0,Sync!$AC203))</f>
        <v>0</v>
      </c>
      <c r="O207" t="str">
        <f>IF(OR($G207="",Sync!$V203=""),"",Sync!$V203)</f>
        <v/>
      </c>
      <c r="P207" t="str">
        <f>IF(OR($G207="",Sync!$AD203=""),"",Sync!$AD203)</f>
        <v/>
      </c>
      <c r="Q207" t="str">
        <f>IF($G207="","",IF(Sync!$U203="","0000",IF(AND(ISNUMBER(Sync!$U203),Sync!$U203&gt;=0,Sync!$U203&lt;1),RIGHT("00"&amp;HOUR(Sync!$U203),2)&amp;RIGHT("00"&amp;MINUTE(Sync!$U203),2),IFERROR(RIGHT("00"&amp;VALUE(LEFT(Sync!$U203,FIND(":",Sync!$U203)-1)),2)&amp;RIGHT("00"&amp;VALUE(MID(Sync!$U203,FIND(":",Sync!$U203)+1,2)),2),"0000"))))</f>
        <v/>
      </c>
    </row>
    <row r="208" spans="1:17" x14ac:dyDescent="0.2">
      <c r="A208" t="str">
        <f>IF(Sync!$T204="","",Sync!$T204)</f>
        <v/>
      </c>
      <c r="B208" t="str">
        <f t="shared" si="18"/>
        <v/>
      </c>
      <c r="C208" t="str">
        <f t="shared" si="19"/>
        <v/>
      </c>
      <c r="D208" t="str">
        <f t="shared" si="20"/>
        <v/>
      </c>
      <c r="E208" t="str">
        <f t="shared" si="21"/>
        <v/>
      </c>
      <c r="F208" t="str">
        <f t="shared" si="22"/>
        <v/>
      </c>
      <c r="G208" t="str">
        <f>IF(OR($E208="",$E208="نامعتبر",Sync!$X204=""),"",IF(AND(LEFT(UPPER(TRIM(Sync!$X204)),2)="SL",IFERROR(VLOOKUP(Sync!$W204,OpTbl,3,0),"")="فروش"),UPPER(TRIM(Sync!$X204)),""))</f>
        <v/>
      </c>
      <c r="H208" t="str">
        <f>IF($G208="","",IF(Sync!$W204="","",Sync!$W204))</f>
        <v/>
      </c>
      <c r="I208" t="str">
        <f>IF(OR($G208="",Sync!$Y204=""),"",Sync!$Y204)</f>
        <v/>
      </c>
      <c r="J208" t="str">
        <f>IF(OR($G208="",Sync!$Z204=""),"",Sync!$Z204)</f>
        <v/>
      </c>
      <c r="K208">
        <f>IF($G208="",0,IF(Sync!$AA204="",0,Sync!$AA204))</f>
        <v>0</v>
      </c>
      <c r="L208">
        <f>IF($G208="",0,IF(Sync!$AB204="",0,Sync!$AB204))</f>
        <v>0</v>
      </c>
      <c r="M208" t="str">
        <f t="shared" si="23"/>
        <v/>
      </c>
      <c r="N208">
        <f>IF($G208="",0,IF($H208="مرجوعی فروش",-1,1)*IF(Sync!$AC204="",0,Sync!$AC204))</f>
        <v>0</v>
      </c>
      <c r="O208" t="str">
        <f>IF(OR($G208="",Sync!$V204=""),"",Sync!$V204)</f>
        <v/>
      </c>
      <c r="P208" t="str">
        <f>IF(OR($G208="",Sync!$AD204=""),"",Sync!$AD204)</f>
        <v/>
      </c>
      <c r="Q208" t="str">
        <f>IF($G208="","",IF(Sync!$U204="","0000",IF(AND(ISNUMBER(Sync!$U204),Sync!$U204&gt;=0,Sync!$U204&lt;1),RIGHT("00"&amp;HOUR(Sync!$U204),2)&amp;RIGHT("00"&amp;MINUTE(Sync!$U204),2),IFERROR(RIGHT("00"&amp;VALUE(LEFT(Sync!$U204,FIND(":",Sync!$U204)-1)),2)&amp;RIGHT("00"&amp;VALUE(MID(Sync!$U204,FIND(":",Sync!$U204)+1,2)),2),"0000"))))</f>
        <v/>
      </c>
    </row>
    <row r="209" spans="1:17" x14ac:dyDescent="0.2">
      <c r="A209" t="str">
        <f>IF(Sync!$T205="","",Sync!$T205)</f>
        <v/>
      </c>
      <c r="B209" t="str">
        <f t="shared" si="18"/>
        <v/>
      </c>
      <c r="C209" t="str">
        <f t="shared" si="19"/>
        <v/>
      </c>
      <c r="D209" t="str">
        <f t="shared" si="20"/>
        <v/>
      </c>
      <c r="E209" t="str">
        <f t="shared" si="21"/>
        <v/>
      </c>
      <c r="F209" t="str">
        <f t="shared" si="22"/>
        <v/>
      </c>
      <c r="G209" t="str">
        <f>IF(OR($E209="",$E209="نامعتبر",Sync!$X205=""),"",IF(AND(LEFT(UPPER(TRIM(Sync!$X205)),2)="SL",IFERROR(VLOOKUP(Sync!$W205,OpTbl,3,0),"")="فروش"),UPPER(TRIM(Sync!$X205)),""))</f>
        <v/>
      </c>
      <c r="H209" t="str">
        <f>IF($G209="","",IF(Sync!$W205="","",Sync!$W205))</f>
        <v/>
      </c>
      <c r="I209" t="str">
        <f>IF(OR($G209="",Sync!$Y205=""),"",Sync!$Y205)</f>
        <v/>
      </c>
      <c r="J209" t="str">
        <f>IF(OR($G209="",Sync!$Z205=""),"",Sync!$Z205)</f>
        <v/>
      </c>
      <c r="K209">
        <f>IF($G209="",0,IF(Sync!$AA205="",0,Sync!$AA205))</f>
        <v>0</v>
      </c>
      <c r="L209">
        <f>IF($G209="",0,IF(Sync!$AB205="",0,Sync!$AB205))</f>
        <v>0</v>
      </c>
      <c r="M209" t="str">
        <f t="shared" si="23"/>
        <v/>
      </c>
      <c r="N209">
        <f>IF($G209="",0,IF($H209="مرجوعی فروش",-1,1)*IF(Sync!$AC205="",0,Sync!$AC205))</f>
        <v>0</v>
      </c>
      <c r="O209" t="str">
        <f>IF(OR($G209="",Sync!$V205=""),"",Sync!$V205)</f>
        <v/>
      </c>
      <c r="P209" t="str">
        <f>IF(OR($G209="",Sync!$AD205=""),"",Sync!$AD205)</f>
        <v/>
      </c>
      <c r="Q209" t="str">
        <f>IF($G209="","",IF(Sync!$U205="","0000",IF(AND(ISNUMBER(Sync!$U205),Sync!$U205&gt;=0,Sync!$U205&lt;1),RIGHT("00"&amp;HOUR(Sync!$U205),2)&amp;RIGHT("00"&amp;MINUTE(Sync!$U205),2),IFERROR(RIGHT("00"&amp;VALUE(LEFT(Sync!$U205,FIND(":",Sync!$U205)-1)),2)&amp;RIGHT("00"&amp;VALUE(MID(Sync!$U205,FIND(":",Sync!$U205)+1,2)),2),"0000"))))</f>
        <v/>
      </c>
    </row>
    <row r="210" spans="1:17" x14ac:dyDescent="0.2">
      <c r="A210" t="str">
        <f>IF(Sync!$T206="","",Sync!$T206)</f>
        <v/>
      </c>
      <c r="B210" t="str">
        <f t="shared" si="18"/>
        <v/>
      </c>
      <c r="C210" t="str">
        <f t="shared" si="19"/>
        <v/>
      </c>
      <c r="D210" t="str">
        <f t="shared" si="20"/>
        <v/>
      </c>
      <c r="E210" t="str">
        <f t="shared" si="21"/>
        <v/>
      </c>
      <c r="F210" t="str">
        <f t="shared" si="22"/>
        <v/>
      </c>
      <c r="G210" t="str">
        <f>IF(OR($E210="",$E210="نامعتبر",Sync!$X206=""),"",IF(AND(LEFT(UPPER(TRIM(Sync!$X206)),2)="SL",IFERROR(VLOOKUP(Sync!$W206,OpTbl,3,0),"")="فروش"),UPPER(TRIM(Sync!$X206)),""))</f>
        <v/>
      </c>
      <c r="H210" t="str">
        <f>IF($G210="","",IF(Sync!$W206="","",Sync!$W206))</f>
        <v/>
      </c>
      <c r="I210" t="str">
        <f>IF(OR($G210="",Sync!$Y206=""),"",Sync!$Y206)</f>
        <v/>
      </c>
      <c r="J210" t="str">
        <f>IF(OR($G210="",Sync!$Z206=""),"",Sync!$Z206)</f>
        <v/>
      </c>
      <c r="K210">
        <f>IF($G210="",0,IF(Sync!$AA206="",0,Sync!$AA206))</f>
        <v>0</v>
      </c>
      <c r="L210">
        <f>IF($G210="",0,IF(Sync!$AB206="",0,Sync!$AB206))</f>
        <v>0</v>
      </c>
      <c r="M210" t="str">
        <f t="shared" si="23"/>
        <v/>
      </c>
      <c r="N210">
        <f>IF($G210="",0,IF($H210="مرجوعی فروش",-1,1)*IF(Sync!$AC206="",0,Sync!$AC206))</f>
        <v>0</v>
      </c>
      <c r="O210" t="str">
        <f>IF(OR($G210="",Sync!$V206=""),"",Sync!$V206)</f>
        <v/>
      </c>
      <c r="P210" t="str">
        <f>IF(OR($G210="",Sync!$AD206=""),"",Sync!$AD206)</f>
        <v/>
      </c>
      <c r="Q210" t="str">
        <f>IF($G210="","",IF(Sync!$U206="","0000",IF(AND(ISNUMBER(Sync!$U206),Sync!$U206&gt;=0,Sync!$U206&lt;1),RIGHT("00"&amp;HOUR(Sync!$U206),2)&amp;RIGHT("00"&amp;MINUTE(Sync!$U206),2),IFERROR(RIGHT("00"&amp;VALUE(LEFT(Sync!$U206,FIND(":",Sync!$U206)-1)),2)&amp;RIGHT("00"&amp;VALUE(MID(Sync!$U206,FIND(":",Sync!$U206)+1,2)),2),"0000"))))</f>
        <v/>
      </c>
    </row>
    <row r="211" spans="1:17" x14ac:dyDescent="0.2">
      <c r="A211" t="str">
        <f>IF(Sync!$T207="","",Sync!$T207)</f>
        <v/>
      </c>
      <c r="B211" t="str">
        <f t="shared" si="18"/>
        <v/>
      </c>
      <c r="C211" t="str">
        <f t="shared" si="19"/>
        <v/>
      </c>
      <c r="D211" t="str">
        <f t="shared" si="20"/>
        <v/>
      </c>
      <c r="E211" t="str">
        <f t="shared" si="21"/>
        <v/>
      </c>
      <c r="F211" t="str">
        <f t="shared" si="22"/>
        <v/>
      </c>
      <c r="G211" t="str">
        <f>IF(OR($E211="",$E211="نامعتبر",Sync!$X207=""),"",IF(AND(LEFT(UPPER(TRIM(Sync!$X207)),2)="SL",IFERROR(VLOOKUP(Sync!$W207,OpTbl,3,0),"")="فروش"),UPPER(TRIM(Sync!$X207)),""))</f>
        <v/>
      </c>
      <c r="H211" t="str">
        <f>IF($G211="","",IF(Sync!$W207="","",Sync!$W207))</f>
        <v/>
      </c>
      <c r="I211" t="str">
        <f>IF(OR($G211="",Sync!$Y207=""),"",Sync!$Y207)</f>
        <v/>
      </c>
      <c r="J211" t="str">
        <f>IF(OR($G211="",Sync!$Z207=""),"",Sync!$Z207)</f>
        <v/>
      </c>
      <c r="K211">
        <f>IF($G211="",0,IF(Sync!$AA207="",0,Sync!$AA207))</f>
        <v>0</v>
      </c>
      <c r="L211">
        <f>IF($G211="",0,IF(Sync!$AB207="",0,Sync!$AB207))</f>
        <v>0</v>
      </c>
      <c r="M211" t="str">
        <f t="shared" si="23"/>
        <v/>
      </c>
      <c r="N211">
        <f>IF($G211="",0,IF($H211="مرجوعی فروش",-1,1)*IF(Sync!$AC207="",0,Sync!$AC207))</f>
        <v>0</v>
      </c>
      <c r="O211" t="str">
        <f>IF(OR($G211="",Sync!$V207=""),"",Sync!$V207)</f>
        <v/>
      </c>
      <c r="P211" t="str">
        <f>IF(OR($G211="",Sync!$AD207=""),"",Sync!$AD207)</f>
        <v/>
      </c>
      <c r="Q211" t="str">
        <f>IF($G211="","",IF(Sync!$U207="","0000",IF(AND(ISNUMBER(Sync!$U207),Sync!$U207&gt;=0,Sync!$U207&lt;1),RIGHT("00"&amp;HOUR(Sync!$U207),2)&amp;RIGHT("00"&amp;MINUTE(Sync!$U207),2),IFERROR(RIGHT("00"&amp;VALUE(LEFT(Sync!$U207,FIND(":",Sync!$U207)-1)),2)&amp;RIGHT("00"&amp;VALUE(MID(Sync!$U207,FIND(":",Sync!$U207)+1,2)),2),"0000"))))</f>
        <v/>
      </c>
    </row>
    <row r="212" spans="1:17" x14ac:dyDescent="0.2">
      <c r="A212" t="str">
        <f>IF(Sync!$T208="","",Sync!$T208)</f>
        <v/>
      </c>
      <c r="B212" t="str">
        <f t="shared" si="18"/>
        <v/>
      </c>
      <c r="C212" t="str">
        <f t="shared" si="19"/>
        <v/>
      </c>
      <c r="D212" t="str">
        <f t="shared" si="20"/>
        <v/>
      </c>
      <c r="E212" t="str">
        <f t="shared" si="21"/>
        <v/>
      </c>
      <c r="F212" t="str">
        <f t="shared" si="22"/>
        <v/>
      </c>
      <c r="G212" t="str">
        <f>IF(OR($E212="",$E212="نامعتبر",Sync!$X208=""),"",IF(AND(LEFT(UPPER(TRIM(Sync!$X208)),2)="SL",IFERROR(VLOOKUP(Sync!$W208,OpTbl,3,0),"")="فروش"),UPPER(TRIM(Sync!$X208)),""))</f>
        <v/>
      </c>
      <c r="H212" t="str">
        <f>IF($G212="","",IF(Sync!$W208="","",Sync!$W208))</f>
        <v/>
      </c>
      <c r="I212" t="str">
        <f>IF(OR($G212="",Sync!$Y208=""),"",Sync!$Y208)</f>
        <v/>
      </c>
      <c r="J212" t="str">
        <f>IF(OR($G212="",Sync!$Z208=""),"",Sync!$Z208)</f>
        <v/>
      </c>
      <c r="K212">
        <f>IF($G212="",0,IF(Sync!$AA208="",0,Sync!$AA208))</f>
        <v>0</v>
      </c>
      <c r="L212">
        <f>IF($G212="",0,IF(Sync!$AB208="",0,Sync!$AB208))</f>
        <v>0</v>
      </c>
      <c r="M212" t="str">
        <f t="shared" si="23"/>
        <v/>
      </c>
      <c r="N212">
        <f>IF($G212="",0,IF($H212="مرجوعی فروش",-1,1)*IF(Sync!$AC208="",0,Sync!$AC208))</f>
        <v>0</v>
      </c>
      <c r="O212" t="str">
        <f>IF(OR($G212="",Sync!$V208=""),"",Sync!$V208)</f>
        <v/>
      </c>
      <c r="P212" t="str">
        <f>IF(OR($G212="",Sync!$AD208=""),"",Sync!$AD208)</f>
        <v/>
      </c>
      <c r="Q212" t="str">
        <f>IF($G212="","",IF(Sync!$U208="","0000",IF(AND(ISNUMBER(Sync!$U208),Sync!$U208&gt;=0,Sync!$U208&lt;1),RIGHT("00"&amp;HOUR(Sync!$U208),2)&amp;RIGHT("00"&amp;MINUTE(Sync!$U208),2),IFERROR(RIGHT("00"&amp;VALUE(LEFT(Sync!$U208,FIND(":",Sync!$U208)-1)),2)&amp;RIGHT("00"&amp;VALUE(MID(Sync!$U208,FIND(":",Sync!$U208)+1,2)),2),"0000"))))</f>
        <v/>
      </c>
    </row>
    <row r="213" spans="1:17" x14ac:dyDescent="0.2">
      <c r="A213" t="str">
        <f>IF(Sync!$T209="","",Sync!$T209)</f>
        <v/>
      </c>
      <c r="B213" t="str">
        <f t="shared" si="18"/>
        <v/>
      </c>
      <c r="C213" t="str">
        <f t="shared" si="19"/>
        <v/>
      </c>
      <c r="D213" t="str">
        <f t="shared" si="20"/>
        <v/>
      </c>
      <c r="E213" t="str">
        <f t="shared" si="21"/>
        <v/>
      </c>
      <c r="F213" t="str">
        <f t="shared" si="22"/>
        <v/>
      </c>
      <c r="G213" t="str">
        <f>IF(OR($E213="",$E213="نامعتبر",Sync!$X209=""),"",IF(AND(LEFT(UPPER(TRIM(Sync!$X209)),2)="SL",IFERROR(VLOOKUP(Sync!$W209,OpTbl,3,0),"")="فروش"),UPPER(TRIM(Sync!$X209)),""))</f>
        <v/>
      </c>
      <c r="H213" t="str">
        <f>IF($G213="","",IF(Sync!$W209="","",Sync!$W209))</f>
        <v/>
      </c>
      <c r="I213" t="str">
        <f>IF(OR($G213="",Sync!$Y209=""),"",Sync!$Y209)</f>
        <v/>
      </c>
      <c r="J213" t="str">
        <f>IF(OR($G213="",Sync!$Z209=""),"",Sync!$Z209)</f>
        <v/>
      </c>
      <c r="K213">
        <f>IF($G213="",0,IF(Sync!$AA209="",0,Sync!$AA209))</f>
        <v>0</v>
      </c>
      <c r="L213">
        <f>IF($G213="",0,IF(Sync!$AB209="",0,Sync!$AB209))</f>
        <v>0</v>
      </c>
      <c r="M213" t="str">
        <f t="shared" si="23"/>
        <v/>
      </c>
      <c r="N213">
        <f>IF($G213="",0,IF($H213="مرجوعی فروش",-1,1)*IF(Sync!$AC209="",0,Sync!$AC209))</f>
        <v>0</v>
      </c>
      <c r="O213" t="str">
        <f>IF(OR($G213="",Sync!$V209=""),"",Sync!$V209)</f>
        <v/>
      </c>
      <c r="P213" t="str">
        <f>IF(OR($G213="",Sync!$AD209=""),"",Sync!$AD209)</f>
        <v/>
      </c>
      <c r="Q213" t="str">
        <f>IF($G213="","",IF(Sync!$U209="","0000",IF(AND(ISNUMBER(Sync!$U209),Sync!$U209&gt;=0,Sync!$U209&lt;1),RIGHT("00"&amp;HOUR(Sync!$U209),2)&amp;RIGHT("00"&amp;MINUTE(Sync!$U209),2),IFERROR(RIGHT("00"&amp;VALUE(LEFT(Sync!$U209,FIND(":",Sync!$U209)-1)),2)&amp;RIGHT("00"&amp;VALUE(MID(Sync!$U209,FIND(":",Sync!$U209)+1,2)),2),"0000"))))</f>
        <v/>
      </c>
    </row>
    <row r="214" spans="1:17" x14ac:dyDescent="0.2">
      <c r="A214" t="str">
        <f>IF(Sync!$T210="","",Sync!$T210)</f>
        <v/>
      </c>
      <c r="B214" t="str">
        <f t="shared" si="18"/>
        <v/>
      </c>
      <c r="C214" t="str">
        <f t="shared" si="19"/>
        <v/>
      </c>
      <c r="D214" t="str">
        <f t="shared" si="20"/>
        <v/>
      </c>
      <c r="E214" t="str">
        <f t="shared" si="21"/>
        <v/>
      </c>
      <c r="F214" t="str">
        <f t="shared" si="22"/>
        <v/>
      </c>
      <c r="G214" t="str">
        <f>IF(OR($E214="",$E214="نامعتبر",Sync!$X210=""),"",IF(AND(LEFT(UPPER(TRIM(Sync!$X210)),2)="SL",IFERROR(VLOOKUP(Sync!$W210,OpTbl,3,0),"")="فروش"),UPPER(TRIM(Sync!$X210)),""))</f>
        <v/>
      </c>
      <c r="H214" t="str">
        <f>IF($G214="","",IF(Sync!$W210="","",Sync!$W210))</f>
        <v/>
      </c>
      <c r="I214" t="str">
        <f>IF(OR($G214="",Sync!$Y210=""),"",Sync!$Y210)</f>
        <v/>
      </c>
      <c r="J214" t="str">
        <f>IF(OR($G214="",Sync!$Z210=""),"",Sync!$Z210)</f>
        <v/>
      </c>
      <c r="K214">
        <f>IF($G214="",0,IF(Sync!$AA210="",0,Sync!$AA210))</f>
        <v>0</v>
      </c>
      <c r="L214">
        <f>IF($G214="",0,IF(Sync!$AB210="",0,Sync!$AB210))</f>
        <v>0</v>
      </c>
      <c r="M214" t="str">
        <f t="shared" si="23"/>
        <v/>
      </c>
      <c r="N214">
        <f>IF($G214="",0,IF($H214="مرجوعی فروش",-1,1)*IF(Sync!$AC210="",0,Sync!$AC210))</f>
        <v>0</v>
      </c>
      <c r="O214" t="str">
        <f>IF(OR($G214="",Sync!$V210=""),"",Sync!$V210)</f>
        <v/>
      </c>
      <c r="P214" t="str">
        <f>IF(OR($G214="",Sync!$AD210=""),"",Sync!$AD210)</f>
        <v/>
      </c>
      <c r="Q214" t="str">
        <f>IF($G214="","",IF(Sync!$U210="","0000",IF(AND(ISNUMBER(Sync!$U210),Sync!$U210&gt;=0,Sync!$U210&lt;1),RIGHT("00"&amp;HOUR(Sync!$U210),2)&amp;RIGHT("00"&amp;MINUTE(Sync!$U210),2),IFERROR(RIGHT("00"&amp;VALUE(LEFT(Sync!$U210,FIND(":",Sync!$U210)-1)),2)&amp;RIGHT("00"&amp;VALUE(MID(Sync!$U210,FIND(":",Sync!$U210)+1,2)),2),"0000"))))</f>
        <v/>
      </c>
    </row>
    <row r="215" spans="1:17" x14ac:dyDescent="0.2">
      <c r="A215" t="str">
        <f>IF(Sync!$T211="","",Sync!$T211)</f>
        <v/>
      </c>
      <c r="B215" t="str">
        <f t="shared" si="18"/>
        <v/>
      </c>
      <c r="C215" t="str">
        <f t="shared" si="19"/>
        <v/>
      </c>
      <c r="D215" t="str">
        <f t="shared" si="20"/>
        <v/>
      </c>
      <c r="E215" t="str">
        <f t="shared" si="21"/>
        <v/>
      </c>
      <c r="F215" t="str">
        <f t="shared" si="22"/>
        <v/>
      </c>
      <c r="G215" t="str">
        <f>IF(OR($E215="",$E215="نامعتبر",Sync!$X211=""),"",IF(AND(LEFT(UPPER(TRIM(Sync!$X211)),2)="SL",IFERROR(VLOOKUP(Sync!$W211,OpTbl,3,0),"")="فروش"),UPPER(TRIM(Sync!$X211)),""))</f>
        <v/>
      </c>
      <c r="H215" t="str">
        <f>IF($G215="","",IF(Sync!$W211="","",Sync!$W211))</f>
        <v/>
      </c>
      <c r="I215" t="str">
        <f>IF(OR($G215="",Sync!$Y211=""),"",Sync!$Y211)</f>
        <v/>
      </c>
      <c r="J215" t="str">
        <f>IF(OR($G215="",Sync!$Z211=""),"",Sync!$Z211)</f>
        <v/>
      </c>
      <c r="K215">
        <f>IF($G215="",0,IF(Sync!$AA211="",0,Sync!$AA211))</f>
        <v>0</v>
      </c>
      <c r="L215">
        <f>IF($G215="",0,IF(Sync!$AB211="",0,Sync!$AB211))</f>
        <v>0</v>
      </c>
      <c r="M215" t="str">
        <f t="shared" si="23"/>
        <v/>
      </c>
      <c r="N215">
        <f>IF($G215="",0,IF($H215="مرجوعی فروش",-1,1)*IF(Sync!$AC211="",0,Sync!$AC211))</f>
        <v>0</v>
      </c>
      <c r="O215" t="str">
        <f>IF(OR($G215="",Sync!$V211=""),"",Sync!$V211)</f>
        <v/>
      </c>
      <c r="P215" t="str">
        <f>IF(OR($G215="",Sync!$AD211=""),"",Sync!$AD211)</f>
        <v/>
      </c>
      <c r="Q215" t="str">
        <f>IF($G215="","",IF(Sync!$U211="","0000",IF(AND(ISNUMBER(Sync!$U211),Sync!$U211&gt;=0,Sync!$U211&lt;1),RIGHT("00"&amp;HOUR(Sync!$U211),2)&amp;RIGHT("00"&amp;MINUTE(Sync!$U211),2),IFERROR(RIGHT("00"&amp;VALUE(LEFT(Sync!$U211,FIND(":",Sync!$U211)-1)),2)&amp;RIGHT("00"&amp;VALUE(MID(Sync!$U211,FIND(":",Sync!$U211)+1,2)),2),"0000"))))</f>
        <v/>
      </c>
    </row>
    <row r="216" spans="1:17" x14ac:dyDescent="0.2">
      <c r="A216" t="str">
        <f>IF(Sync!$T212="","",Sync!$T212)</f>
        <v/>
      </c>
      <c r="B216" t="str">
        <f t="shared" si="18"/>
        <v/>
      </c>
      <c r="C216" t="str">
        <f t="shared" si="19"/>
        <v/>
      </c>
      <c r="D216" t="str">
        <f t="shared" si="20"/>
        <v/>
      </c>
      <c r="E216" t="str">
        <f t="shared" si="21"/>
        <v/>
      </c>
      <c r="F216" t="str">
        <f t="shared" si="22"/>
        <v/>
      </c>
      <c r="G216" t="str">
        <f>IF(OR($E216="",$E216="نامعتبر",Sync!$X212=""),"",IF(AND(LEFT(UPPER(TRIM(Sync!$X212)),2)="SL",IFERROR(VLOOKUP(Sync!$W212,OpTbl,3,0),"")="فروش"),UPPER(TRIM(Sync!$X212)),""))</f>
        <v/>
      </c>
      <c r="H216" t="str">
        <f>IF($G216="","",IF(Sync!$W212="","",Sync!$W212))</f>
        <v/>
      </c>
      <c r="I216" t="str">
        <f>IF(OR($G216="",Sync!$Y212=""),"",Sync!$Y212)</f>
        <v/>
      </c>
      <c r="J216" t="str">
        <f>IF(OR($G216="",Sync!$Z212=""),"",Sync!$Z212)</f>
        <v/>
      </c>
      <c r="K216">
        <f>IF($G216="",0,IF(Sync!$AA212="",0,Sync!$AA212))</f>
        <v>0</v>
      </c>
      <c r="L216">
        <f>IF($G216="",0,IF(Sync!$AB212="",0,Sync!$AB212))</f>
        <v>0</v>
      </c>
      <c r="M216" t="str">
        <f t="shared" si="23"/>
        <v/>
      </c>
      <c r="N216">
        <f>IF($G216="",0,IF($H216="مرجوعی فروش",-1,1)*IF(Sync!$AC212="",0,Sync!$AC212))</f>
        <v>0</v>
      </c>
      <c r="O216" t="str">
        <f>IF(OR($G216="",Sync!$V212=""),"",Sync!$V212)</f>
        <v/>
      </c>
      <c r="P216" t="str">
        <f>IF(OR($G216="",Sync!$AD212=""),"",Sync!$AD212)</f>
        <v/>
      </c>
      <c r="Q216" t="str">
        <f>IF($G216="","",IF(Sync!$U212="","0000",IF(AND(ISNUMBER(Sync!$U212),Sync!$U212&gt;=0,Sync!$U212&lt;1),RIGHT("00"&amp;HOUR(Sync!$U212),2)&amp;RIGHT("00"&amp;MINUTE(Sync!$U212),2),IFERROR(RIGHT("00"&amp;VALUE(LEFT(Sync!$U212,FIND(":",Sync!$U212)-1)),2)&amp;RIGHT("00"&amp;VALUE(MID(Sync!$U212,FIND(":",Sync!$U212)+1,2)),2),"0000"))))</f>
        <v/>
      </c>
    </row>
    <row r="217" spans="1:17" x14ac:dyDescent="0.2">
      <c r="A217" t="str">
        <f>IF(Sync!$T213="","",Sync!$T213)</f>
        <v/>
      </c>
      <c r="B217" t="str">
        <f t="shared" si="18"/>
        <v/>
      </c>
      <c r="C217" t="str">
        <f t="shared" si="19"/>
        <v/>
      </c>
      <c r="D217" t="str">
        <f t="shared" si="20"/>
        <v/>
      </c>
      <c r="E217" t="str">
        <f t="shared" si="21"/>
        <v/>
      </c>
      <c r="F217" t="str">
        <f t="shared" si="22"/>
        <v/>
      </c>
      <c r="G217" t="str">
        <f>IF(OR($E217="",$E217="نامعتبر",Sync!$X213=""),"",IF(AND(LEFT(UPPER(TRIM(Sync!$X213)),2)="SL",IFERROR(VLOOKUP(Sync!$W213,OpTbl,3,0),"")="فروش"),UPPER(TRIM(Sync!$X213)),""))</f>
        <v/>
      </c>
      <c r="H217" t="str">
        <f>IF($G217="","",IF(Sync!$W213="","",Sync!$W213))</f>
        <v/>
      </c>
      <c r="I217" t="str">
        <f>IF(OR($G217="",Sync!$Y213=""),"",Sync!$Y213)</f>
        <v/>
      </c>
      <c r="J217" t="str">
        <f>IF(OR($G217="",Sync!$Z213=""),"",Sync!$Z213)</f>
        <v/>
      </c>
      <c r="K217">
        <f>IF($G217="",0,IF(Sync!$AA213="",0,Sync!$AA213))</f>
        <v>0</v>
      </c>
      <c r="L217">
        <f>IF($G217="",0,IF(Sync!$AB213="",0,Sync!$AB213))</f>
        <v>0</v>
      </c>
      <c r="M217" t="str">
        <f t="shared" si="23"/>
        <v/>
      </c>
      <c r="N217">
        <f>IF($G217="",0,IF($H217="مرجوعی فروش",-1,1)*IF(Sync!$AC213="",0,Sync!$AC213))</f>
        <v>0</v>
      </c>
      <c r="O217" t="str">
        <f>IF(OR($G217="",Sync!$V213=""),"",Sync!$V213)</f>
        <v/>
      </c>
      <c r="P217" t="str">
        <f>IF(OR($G217="",Sync!$AD213=""),"",Sync!$AD213)</f>
        <v/>
      </c>
      <c r="Q217" t="str">
        <f>IF($G217="","",IF(Sync!$U213="","0000",IF(AND(ISNUMBER(Sync!$U213),Sync!$U213&gt;=0,Sync!$U213&lt;1),RIGHT("00"&amp;HOUR(Sync!$U213),2)&amp;RIGHT("00"&amp;MINUTE(Sync!$U213),2),IFERROR(RIGHT("00"&amp;VALUE(LEFT(Sync!$U213,FIND(":",Sync!$U213)-1)),2)&amp;RIGHT("00"&amp;VALUE(MID(Sync!$U213,FIND(":",Sync!$U213)+1,2)),2),"0000"))))</f>
        <v/>
      </c>
    </row>
    <row r="218" spans="1:17" x14ac:dyDescent="0.2">
      <c r="A218" t="str">
        <f>IF(Sync!$T214="","",Sync!$T214)</f>
        <v/>
      </c>
      <c r="B218" t="str">
        <f t="shared" si="18"/>
        <v/>
      </c>
      <c r="C218" t="str">
        <f t="shared" si="19"/>
        <v/>
      </c>
      <c r="D218" t="str">
        <f t="shared" si="20"/>
        <v/>
      </c>
      <c r="E218" t="str">
        <f t="shared" si="21"/>
        <v/>
      </c>
      <c r="F218" t="str">
        <f t="shared" si="22"/>
        <v/>
      </c>
      <c r="G218" t="str">
        <f>IF(OR($E218="",$E218="نامعتبر",Sync!$X214=""),"",IF(AND(LEFT(UPPER(TRIM(Sync!$X214)),2)="SL",IFERROR(VLOOKUP(Sync!$W214,OpTbl,3,0),"")="فروش"),UPPER(TRIM(Sync!$X214)),""))</f>
        <v/>
      </c>
      <c r="H218" t="str">
        <f>IF($G218="","",IF(Sync!$W214="","",Sync!$W214))</f>
        <v/>
      </c>
      <c r="I218" t="str">
        <f>IF(OR($G218="",Sync!$Y214=""),"",Sync!$Y214)</f>
        <v/>
      </c>
      <c r="J218" t="str">
        <f>IF(OR($G218="",Sync!$Z214=""),"",Sync!$Z214)</f>
        <v/>
      </c>
      <c r="K218">
        <f>IF($G218="",0,IF(Sync!$AA214="",0,Sync!$AA214))</f>
        <v>0</v>
      </c>
      <c r="L218">
        <f>IF($G218="",0,IF(Sync!$AB214="",0,Sync!$AB214))</f>
        <v>0</v>
      </c>
      <c r="M218" t="str">
        <f t="shared" si="23"/>
        <v/>
      </c>
      <c r="N218">
        <f>IF($G218="",0,IF($H218="مرجوعی فروش",-1,1)*IF(Sync!$AC214="",0,Sync!$AC214))</f>
        <v>0</v>
      </c>
      <c r="O218" t="str">
        <f>IF(OR($G218="",Sync!$V214=""),"",Sync!$V214)</f>
        <v/>
      </c>
      <c r="P218" t="str">
        <f>IF(OR($G218="",Sync!$AD214=""),"",Sync!$AD214)</f>
        <v/>
      </c>
      <c r="Q218" t="str">
        <f>IF($G218="","",IF(Sync!$U214="","0000",IF(AND(ISNUMBER(Sync!$U214),Sync!$U214&gt;=0,Sync!$U214&lt;1),RIGHT("00"&amp;HOUR(Sync!$U214),2)&amp;RIGHT("00"&amp;MINUTE(Sync!$U214),2),IFERROR(RIGHT("00"&amp;VALUE(LEFT(Sync!$U214,FIND(":",Sync!$U214)-1)),2)&amp;RIGHT("00"&amp;VALUE(MID(Sync!$U214,FIND(":",Sync!$U214)+1,2)),2),"0000"))))</f>
        <v/>
      </c>
    </row>
    <row r="219" spans="1:17" x14ac:dyDescent="0.2">
      <c r="A219" t="str">
        <f>IF(Sync!$T215="","",Sync!$T215)</f>
        <v/>
      </c>
      <c r="B219" t="str">
        <f t="shared" si="18"/>
        <v/>
      </c>
      <c r="C219" t="str">
        <f t="shared" si="19"/>
        <v/>
      </c>
      <c r="D219" t="str">
        <f t="shared" si="20"/>
        <v/>
      </c>
      <c r="E219" t="str">
        <f t="shared" si="21"/>
        <v/>
      </c>
      <c r="F219" t="str">
        <f t="shared" si="22"/>
        <v/>
      </c>
      <c r="G219" t="str">
        <f>IF(OR($E219="",$E219="نامعتبر",Sync!$X215=""),"",IF(AND(LEFT(UPPER(TRIM(Sync!$X215)),2)="SL",IFERROR(VLOOKUP(Sync!$W215,OpTbl,3,0),"")="فروش"),UPPER(TRIM(Sync!$X215)),""))</f>
        <v/>
      </c>
      <c r="H219" t="str">
        <f>IF($G219="","",IF(Sync!$W215="","",Sync!$W215))</f>
        <v/>
      </c>
      <c r="I219" t="str">
        <f>IF(OR($G219="",Sync!$Y215=""),"",Sync!$Y215)</f>
        <v/>
      </c>
      <c r="J219" t="str">
        <f>IF(OR($G219="",Sync!$Z215=""),"",Sync!$Z215)</f>
        <v/>
      </c>
      <c r="K219">
        <f>IF($G219="",0,IF(Sync!$AA215="",0,Sync!$AA215))</f>
        <v>0</v>
      </c>
      <c r="L219">
        <f>IF($G219="",0,IF(Sync!$AB215="",0,Sync!$AB215))</f>
        <v>0</v>
      </c>
      <c r="M219" t="str">
        <f t="shared" si="23"/>
        <v/>
      </c>
      <c r="N219">
        <f>IF($G219="",0,IF($H219="مرجوعی فروش",-1,1)*IF(Sync!$AC215="",0,Sync!$AC215))</f>
        <v>0</v>
      </c>
      <c r="O219" t="str">
        <f>IF(OR($G219="",Sync!$V215=""),"",Sync!$V215)</f>
        <v/>
      </c>
      <c r="P219" t="str">
        <f>IF(OR($G219="",Sync!$AD215=""),"",Sync!$AD215)</f>
        <v/>
      </c>
      <c r="Q219" t="str">
        <f>IF($G219="","",IF(Sync!$U215="","0000",IF(AND(ISNUMBER(Sync!$U215),Sync!$U215&gt;=0,Sync!$U215&lt;1),RIGHT("00"&amp;HOUR(Sync!$U215),2)&amp;RIGHT("00"&amp;MINUTE(Sync!$U215),2),IFERROR(RIGHT("00"&amp;VALUE(LEFT(Sync!$U215,FIND(":",Sync!$U215)-1)),2)&amp;RIGHT("00"&amp;VALUE(MID(Sync!$U215,FIND(":",Sync!$U215)+1,2)),2),"0000"))))</f>
        <v/>
      </c>
    </row>
    <row r="220" spans="1:17" x14ac:dyDescent="0.2">
      <c r="A220" t="str">
        <f>IF(Sync!$T216="","",Sync!$T216)</f>
        <v/>
      </c>
      <c r="B220" t="str">
        <f t="shared" si="18"/>
        <v/>
      </c>
      <c r="C220" t="str">
        <f t="shared" si="19"/>
        <v/>
      </c>
      <c r="D220" t="str">
        <f t="shared" si="20"/>
        <v/>
      </c>
      <c r="E220" t="str">
        <f t="shared" si="21"/>
        <v/>
      </c>
      <c r="F220" t="str">
        <f t="shared" si="22"/>
        <v/>
      </c>
      <c r="G220" t="str">
        <f>IF(OR($E220="",$E220="نامعتبر",Sync!$X216=""),"",IF(AND(LEFT(UPPER(TRIM(Sync!$X216)),2)="SL",IFERROR(VLOOKUP(Sync!$W216,OpTbl,3,0),"")="فروش"),UPPER(TRIM(Sync!$X216)),""))</f>
        <v/>
      </c>
      <c r="H220" t="str">
        <f>IF($G220="","",IF(Sync!$W216="","",Sync!$W216))</f>
        <v/>
      </c>
      <c r="I220" t="str">
        <f>IF(OR($G220="",Sync!$Y216=""),"",Sync!$Y216)</f>
        <v/>
      </c>
      <c r="J220" t="str">
        <f>IF(OR($G220="",Sync!$Z216=""),"",Sync!$Z216)</f>
        <v/>
      </c>
      <c r="K220">
        <f>IF($G220="",0,IF(Sync!$AA216="",0,Sync!$AA216))</f>
        <v>0</v>
      </c>
      <c r="L220">
        <f>IF($G220="",0,IF(Sync!$AB216="",0,Sync!$AB216))</f>
        <v>0</v>
      </c>
      <c r="M220" t="str">
        <f t="shared" si="23"/>
        <v/>
      </c>
      <c r="N220">
        <f>IF($G220="",0,IF($H220="مرجوعی فروش",-1,1)*IF(Sync!$AC216="",0,Sync!$AC216))</f>
        <v>0</v>
      </c>
      <c r="O220" t="str">
        <f>IF(OR($G220="",Sync!$V216=""),"",Sync!$V216)</f>
        <v/>
      </c>
      <c r="P220" t="str">
        <f>IF(OR($G220="",Sync!$AD216=""),"",Sync!$AD216)</f>
        <v/>
      </c>
      <c r="Q220" t="str">
        <f>IF($G220="","",IF(Sync!$U216="","0000",IF(AND(ISNUMBER(Sync!$U216),Sync!$U216&gt;=0,Sync!$U216&lt;1),RIGHT("00"&amp;HOUR(Sync!$U216),2)&amp;RIGHT("00"&amp;MINUTE(Sync!$U216),2),IFERROR(RIGHT("00"&amp;VALUE(LEFT(Sync!$U216,FIND(":",Sync!$U216)-1)),2)&amp;RIGHT("00"&amp;VALUE(MID(Sync!$U216,FIND(":",Sync!$U216)+1,2)),2),"0000"))))</f>
        <v/>
      </c>
    </row>
    <row r="221" spans="1:17" x14ac:dyDescent="0.2">
      <c r="A221" t="str">
        <f>IF(Sync!$T217="","",Sync!$T217)</f>
        <v/>
      </c>
      <c r="B221" t="str">
        <f t="shared" si="18"/>
        <v/>
      </c>
      <c r="C221" t="str">
        <f t="shared" si="19"/>
        <v/>
      </c>
      <c r="D221" t="str">
        <f t="shared" si="20"/>
        <v/>
      </c>
      <c r="E221" t="str">
        <f t="shared" si="21"/>
        <v/>
      </c>
      <c r="F221" t="str">
        <f t="shared" si="22"/>
        <v/>
      </c>
      <c r="G221" t="str">
        <f>IF(OR($E221="",$E221="نامعتبر",Sync!$X217=""),"",IF(AND(LEFT(UPPER(TRIM(Sync!$X217)),2)="SL",IFERROR(VLOOKUP(Sync!$W217,OpTbl,3,0),"")="فروش"),UPPER(TRIM(Sync!$X217)),""))</f>
        <v/>
      </c>
      <c r="H221" t="str">
        <f>IF($G221="","",IF(Sync!$W217="","",Sync!$W217))</f>
        <v/>
      </c>
      <c r="I221" t="str">
        <f>IF(OR($G221="",Sync!$Y217=""),"",Sync!$Y217)</f>
        <v/>
      </c>
      <c r="J221" t="str">
        <f>IF(OR($G221="",Sync!$Z217=""),"",Sync!$Z217)</f>
        <v/>
      </c>
      <c r="K221">
        <f>IF($G221="",0,IF(Sync!$AA217="",0,Sync!$AA217))</f>
        <v>0</v>
      </c>
      <c r="L221">
        <f>IF($G221="",0,IF(Sync!$AB217="",0,Sync!$AB217))</f>
        <v>0</v>
      </c>
      <c r="M221" t="str">
        <f t="shared" si="23"/>
        <v/>
      </c>
      <c r="N221">
        <f>IF($G221="",0,IF($H221="مرجوعی فروش",-1,1)*IF(Sync!$AC217="",0,Sync!$AC217))</f>
        <v>0</v>
      </c>
      <c r="O221" t="str">
        <f>IF(OR($G221="",Sync!$V217=""),"",Sync!$V217)</f>
        <v/>
      </c>
      <c r="P221" t="str">
        <f>IF(OR($G221="",Sync!$AD217=""),"",Sync!$AD217)</f>
        <v/>
      </c>
      <c r="Q221" t="str">
        <f>IF($G221="","",IF(Sync!$U217="","0000",IF(AND(ISNUMBER(Sync!$U217),Sync!$U217&gt;=0,Sync!$U217&lt;1),RIGHT("00"&amp;HOUR(Sync!$U217),2)&amp;RIGHT("00"&amp;MINUTE(Sync!$U217),2),IFERROR(RIGHT("00"&amp;VALUE(LEFT(Sync!$U217,FIND(":",Sync!$U217)-1)),2)&amp;RIGHT("00"&amp;VALUE(MID(Sync!$U217,FIND(":",Sync!$U217)+1,2)),2),"0000"))))</f>
        <v/>
      </c>
    </row>
    <row r="222" spans="1:17" x14ac:dyDescent="0.2">
      <c r="A222" t="str">
        <f>IF(Sync!$T218="","",Sync!$T218)</f>
        <v/>
      </c>
      <c r="B222" t="str">
        <f t="shared" si="18"/>
        <v/>
      </c>
      <c r="C222" t="str">
        <f t="shared" si="19"/>
        <v/>
      </c>
      <c r="D222" t="str">
        <f t="shared" si="20"/>
        <v/>
      </c>
      <c r="E222" t="str">
        <f t="shared" si="21"/>
        <v/>
      </c>
      <c r="F222" t="str">
        <f t="shared" si="22"/>
        <v/>
      </c>
      <c r="G222" t="str">
        <f>IF(OR($E222="",$E222="نامعتبر",Sync!$X218=""),"",IF(AND(LEFT(UPPER(TRIM(Sync!$X218)),2)="SL",IFERROR(VLOOKUP(Sync!$W218,OpTbl,3,0),"")="فروش"),UPPER(TRIM(Sync!$X218)),""))</f>
        <v/>
      </c>
      <c r="H222" t="str">
        <f>IF($G222="","",IF(Sync!$W218="","",Sync!$W218))</f>
        <v/>
      </c>
      <c r="I222" t="str">
        <f>IF(OR($G222="",Sync!$Y218=""),"",Sync!$Y218)</f>
        <v/>
      </c>
      <c r="J222" t="str">
        <f>IF(OR($G222="",Sync!$Z218=""),"",Sync!$Z218)</f>
        <v/>
      </c>
      <c r="K222">
        <f>IF($G222="",0,IF(Sync!$AA218="",0,Sync!$AA218))</f>
        <v>0</v>
      </c>
      <c r="L222">
        <f>IF($G222="",0,IF(Sync!$AB218="",0,Sync!$AB218))</f>
        <v>0</v>
      </c>
      <c r="M222" t="str">
        <f t="shared" si="23"/>
        <v/>
      </c>
      <c r="N222">
        <f>IF($G222="",0,IF($H222="مرجوعی فروش",-1,1)*IF(Sync!$AC218="",0,Sync!$AC218))</f>
        <v>0</v>
      </c>
      <c r="O222" t="str">
        <f>IF(OR($G222="",Sync!$V218=""),"",Sync!$V218)</f>
        <v/>
      </c>
      <c r="P222" t="str">
        <f>IF(OR($G222="",Sync!$AD218=""),"",Sync!$AD218)</f>
        <v/>
      </c>
      <c r="Q222" t="str">
        <f>IF($G222="","",IF(Sync!$U218="","0000",IF(AND(ISNUMBER(Sync!$U218),Sync!$U218&gt;=0,Sync!$U218&lt;1),RIGHT("00"&amp;HOUR(Sync!$U218),2)&amp;RIGHT("00"&amp;MINUTE(Sync!$U218),2),IFERROR(RIGHT("00"&amp;VALUE(LEFT(Sync!$U218,FIND(":",Sync!$U218)-1)),2)&amp;RIGHT("00"&amp;VALUE(MID(Sync!$U218,FIND(":",Sync!$U218)+1,2)),2),"0000"))))</f>
        <v/>
      </c>
    </row>
    <row r="223" spans="1:17" x14ac:dyDescent="0.2">
      <c r="A223" t="str">
        <f>IF(Sync!$T219="","",Sync!$T219)</f>
        <v/>
      </c>
      <c r="B223" t="str">
        <f t="shared" si="18"/>
        <v/>
      </c>
      <c r="C223" t="str">
        <f t="shared" si="19"/>
        <v/>
      </c>
      <c r="D223" t="str">
        <f t="shared" si="20"/>
        <v/>
      </c>
      <c r="E223" t="str">
        <f t="shared" si="21"/>
        <v/>
      </c>
      <c r="F223" t="str">
        <f t="shared" si="22"/>
        <v/>
      </c>
      <c r="G223" t="str">
        <f>IF(OR($E223="",$E223="نامعتبر",Sync!$X219=""),"",IF(AND(LEFT(UPPER(TRIM(Sync!$X219)),2)="SL",IFERROR(VLOOKUP(Sync!$W219,OpTbl,3,0),"")="فروش"),UPPER(TRIM(Sync!$X219)),""))</f>
        <v/>
      </c>
      <c r="H223" t="str">
        <f>IF($G223="","",IF(Sync!$W219="","",Sync!$W219))</f>
        <v/>
      </c>
      <c r="I223" t="str">
        <f>IF(OR($G223="",Sync!$Y219=""),"",Sync!$Y219)</f>
        <v/>
      </c>
      <c r="J223" t="str">
        <f>IF(OR($G223="",Sync!$Z219=""),"",Sync!$Z219)</f>
        <v/>
      </c>
      <c r="K223">
        <f>IF($G223="",0,IF(Sync!$AA219="",0,Sync!$AA219))</f>
        <v>0</v>
      </c>
      <c r="L223">
        <f>IF($G223="",0,IF(Sync!$AB219="",0,Sync!$AB219))</f>
        <v>0</v>
      </c>
      <c r="M223" t="str">
        <f t="shared" si="23"/>
        <v/>
      </c>
      <c r="N223">
        <f>IF($G223="",0,IF($H223="مرجوعی فروش",-1,1)*IF(Sync!$AC219="",0,Sync!$AC219))</f>
        <v>0</v>
      </c>
      <c r="O223" t="str">
        <f>IF(OR($G223="",Sync!$V219=""),"",Sync!$V219)</f>
        <v/>
      </c>
      <c r="P223" t="str">
        <f>IF(OR($G223="",Sync!$AD219=""),"",Sync!$AD219)</f>
        <v/>
      </c>
      <c r="Q223" t="str">
        <f>IF($G223="","",IF(Sync!$U219="","0000",IF(AND(ISNUMBER(Sync!$U219),Sync!$U219&gt;=0,Sync!$U219&lt;1),RIGHT("00"&amp;HOUR(Sync!$U219),2)&amp;RIGHT("00"&amp;MINUTE(Sync!$U219),2),IFERROR(RIGHT("00"&amp;VALUE(LEFT(Sync!$U219,FIND(":",Sync!$U219)-1)),2)&amp;RIGHT("00"&amp;VALUE(MID(Sync!$U219,FIND(":",Sync!$U219)+1,2)),2),"0000"))))</f>
        <v/>
      </c>
    </row>
    <row r="224" spans="1:17" x14ac:dyDescent="0.2">
      <c r="A224" t="str">
        <f>IF(Sync!$T220="","",Sync!$T220)</f>
        <v/>
      </c>
      <c r="B224" t="str">
        <f t="shared" si="18"/>
        <v/>
      </c>
      <c r="C224" t="str">
        <f t="shared" si="19"/>
        <v/>
      </c>
      <c r="D224" t="str">
        <f t="shared" si="20"/>
        <v/>
      </c>
      <c r="E224" t="str">
        <f t="shared" si="21"/>
        <v/>
      </c>
      <c r="F224" t="str">
        <f t="shared" si="22"/>
        <v/>
      </c>
      <c r="G224" t="str">
        <f>IF(OR($E224="",$E224="نامعتبر",Sync!$X220=""),"",IF(AND(LEFT(UPPER(TRIM(Sync!$X220)),2)="SL",IFERROR(VLOOKUP(Sync!$W220,OpTbl,3,0),"")="فروش"),UPPER(TRIM(Sync!$X220)),""))</f>
        <v/>
      </c>
      <c r="H224" t="str">
        <f>IF($G224="","",IF(Sync!$W220="","",Sync!$W220))</f>
        <v/>
      </c>
      <c r="I224" t="str">
        <f>IF(OR($G224="",Sync!$Y220=""),"",Sync!$Y220)</f>
        <v/>
      </c>
      <c r="J224" t="str">
        <f>IF(OR($G224="",Sync!$Z220=""),"",Sync!$Z220)</f>
        <v/>
      </c>
      <c r="K224">
        <f>IF($G224="",0,IF(Sync!$AA220="",0,Sync!$AA220))</f>
        <v>0</v>
      </c>
      <c r="L224">
        <f>IF($G224="",0,IF(Sync!$AB220="",0,Sync!$AB220))</f>
        <v>0</v>
      </c>
      <c r="M224" t="str">
        <f t="shared" si="23"/>
        <v/>
      </c>
      <c r="N224">
        <f>IF($G224="",0,IF($H224="مرجوعی فروش",-1,1)*IF(Sync!$AC220="",0,Sync!$AC220))</f>
        <v>0</v>
      </c>
      <c r="O224" t="str">
        <f>IF(OR($G224="",Sync!$V220=""),"",Sync!$V220)</f>
        <v/>
      </c>
      <c r="P224" t="str">
        <f>IF(OR($G224="",Sync!$AD220=""),"",Sync!$AD220)</f>
        <v/>
      </c>
      <c r="Q224" t="str">
        <f>IF($G224="","",IF(Sync!$U220="","0000",IF(AND(ISNUMBER(Sync!$U220),Sync!$U220&gt;=0,Sync!$U220&lt;1),RIGHT("00"&amp;HOUR(Sync!$U220),2)&amp;RIGHT("00"&amp;MINUTE(Sync!$U220),2),IFERROR(RIGHT("00"&amp;VALUE(LEFT(Sync!$U220,FIND(":",Sync!$U220)-1)),2)&amp;RIGHT("00"&amp;VALUE(MID(Sync!$U220,FIND(":",Sync!$U220)+1,2)),2),"0000"))))</f>
        <v/>
      </c>
    </row>
    <row r="225" spans="1:17" x14ac:dyDescent="0.2">
      <c r="A225" t="str">
        <f>IF(Sync!$T221="","",Sync!$T221)</f>
        <v/>
      </c>
      <c r="B225" t="str">
        <f t="shared" si="18"/>
        <v/>
      </c>
      <c r="C225" t="str">
        <f t="shared" si="19"/>
        <v/>
      </c>
      <c r="D225" t="str">
        <f t="shared" si="20"/>
        <v/>
      </c>
      <c r="E225" t="str">
        <f t="shared" si="21"/>
        <v/>
      </c>
      <c r="F225" t="str">
        <f t="shared" si="22"/>
        <v/>
      </c>
      <c r="G225" t="str">
        <f>IF(OR($E225="",$E225="نامعتبر",Sync!$X221=""),"",IF(AND(LEFT(UPPER(TRIM(Sync!$X221)),2)="SL",IFERROR(VLOOKUP(Sync!$W221,OpTbl,3,0),"")="فروش"),UPPER(TRIM(Sync!$X221)),""))</f>
        <v/>
      </c>
      <c r="H225" t="str">
        <f>IF($G225="","",IF(Sync!$W221="","",Sync!$W221))</f>
        <v/>
      </c>
      <c r="I225" t="str">
        <f>IF(OR($G225="",Sync!$Y221=""),"",Sync!$Y221)</f>
        <v/>
      </c>
      <c r="J225" t="str">
        <f>IF(OR($G225="",Sync!$Z221=""),"",Sync!$Z221)</f>
        <v/>
      </c>
      <c r="K225">
        <f>IF($G225="",0,IF(Sync!$AA221="",0,Sync!$AA221))</f>
        <v>0</v>
      </c>
      <c r="L225">
        <f>IF($G225="",0,IF(Sync!$AB221="",0,Sync!$AB221))</f>
        <v>0</v>
      </c>
      <c r="M225" t="str">
        <f t="shared" si="23"/>
        <v/>
      </c>
      <c r="N225">
        <f>IF($G225="",0,IF($H225="مرجوعی فروش",-1,1)*IF(Sync!$AC221="",0,Sync!$AC221))</f>
        <v>0</v>
      </c>
      <c r="O225" t="str">
        <f>IF(OR($G225="",Sync!$V221=""),"",Sync!$V221)</f>
        <v/>
      </c>
      <c r="P225" t="str">
        <f>IF(OR($G225="",Sync!$AD221=""),"",Sync!$AD221)</f>
        <v/>
      </c>
      <c r="Q225" t="str">
        <f>IF($G225="","",IF(Sync!$U221="","0000",IF(AND(ISNUMBER(Sync!$U221),Sync!$U221&gt;=0,Sync!$U221&lt;1),RIGHT("00"&amp;HOUR(Sync!$U221),2)&amp;RIGHT("00"&amp;MINUTE(Sync!$U221),2),IFERROR(RIGHT("00"&amp;VALUE(LEFT(Sync!$U221,FIND(":",Sync!$U221)-1)),2)&amp;RIGHT("00"&amp;VALUE(MID(Sync!$U221,FIND(":",Sync!$U221)+1,2)),2),"0000"))))</f>
        <v/>
      </c>
    </row>
    <row r="226" spans="1:17" x14ac:dyDescent="0.2">
      <c r="A226" t="str">
        <f>IF(Sync!$T222="","",Sync!$T222)</f>
        <v/>
      </c>
      <c r="B226" t="str">
        <f t="shared" si="18"/>
        <v/>
      </c>
      <c r="C226" t="str">
        <f t="shared" si="19"/>
        <v/>
      </c>
      <c r="D226" t="str">
        <f t="shared" si="20"/>
        <v/>
      </c>
      <c r="E226" t="str">
        <f t="shared" si="21"/>
        <v/>
      </c>
      <c r="F226" t="str">
        <f t="shared" si="22"/>
        <v/>
      </c>
      <c r="G226" t="str">
        <f>IF(OR($E226="",$E226="نامعتبر",Sync!$X222=""),"",IF(AND(LEFT(UPPER(TRIM(Sync!$X222)),2)="SL",IFERROR(VLOOKUP(Sync!$W222,OpTbl,3,0),"")="فروش"),UPPER(TRIM(Sync!$X222)),""))</f>
        <v/>
      </c>
      <c r="H226" t="str">
        <f>IF($G226="","",IF(Sync!$W222="","",Sync!$W222))</f>
        <v/>
      </c>
      <c r="I226" t="str">
        <f>IF(OR($G226="",Sync!$Y222=""),"",Sync!$Y222)</f>
        <v/>
      </c>
      <c r="J226" t="str">
        <f>IF(OR($G226="",Sync!$Z222=""),"",Sync!$Z222)</f>
        <v/>
      </c>
      <c r="K226">
        <f>IF($G226="",0,IF(Sync!$AA222="",0,Sync!$AA222))</f>
        <v>0</v>
      </c>
      <c r="L226">
        <f>IF($G226="",0,IF(Sync!$AB222="",0,Sync!$AB222))</f>
        <v>0</v>
      </c>
      <c r="M226" t="str">
        <f t="shared" si="23"/>
        <v/>
      </c>
      <c r="N226">
        <f>IF($G226="",0,IF($H226="مرجوعی فروش",-1,1)*IF(Sync!$AC222="",0,Sync!$AC222))</f>
        <v>0</v>
      </c>
      <c r="O226" t="str">
        <f>IF(OR($G226="",Sync!$V222=""),"",Sync!$V222)</f>
        <v/>
      </c>
      <c r="P226" t="str">
        <f>IF(OR($G226="",Sync!$AD222=""),"",Sync!$AD222)</f>
        <v/>
      </c>
      <c r="Q226" t="str">
        <f>IF($G226="","",IF(Sync!$U222="","0000",IF(AND(ISNUMBER(Sync!$U222),Sync!$U222&gt;=0,Sync!$U222&lt;1),RIGHT("00"&amp;HOUR(Sync!$U222),2)&amp;RIGHT("00"&amp;MINUTE(Sync!$U222),2),IFERROR(RIGHT("00"&amp;VALUE(LEFT(Sync!$U222,FIND(":",Sync!$U222)-1)),2)&amp;RIGHT("00"&amp;VALUE(MID(Sync!$U222,FIND(":",Sync!$U222)+1,2)),2),"0000"))))</f>
        <v/>
      </c>
    </row>
    <row r="227" spans="1:17" x14ac:dyDescent="0.2">
      <c r="A227" t="str">
        <f>IF(Sync!$T223="","",Sync!$T223)</f>
        <v/>
      </c>
      <c r="B227" t="str">
        <f t="shared" si="18"/>
        <v/>
      </c>
      <c r="C227" t="str">
        <f t="shared" si="19"/>
        <v/>
      </c>
      <c r="D227" t="str">
        <f t="shared" si="20"/>
        <v/>
      </c>
      <c r="E227" t="str">
        <f t="shared" si="21"/>
        <v/>
      </c>
      <c r="F227" t="str">
        <f t="shared" si="22"/>
        <v/>
      </c>
      <c r="G227" t="str">
        <f>IF(OR($E227="",$E227="نامعتبر",Sync!$X223=""),"",IF(AND(LEFT(UPPER(TRIM(Sync!$X223)),2)="SL",IFERROR(VLOOKUP(Sync!$W223,OpTbl,3,0),"")="فروش"),UPPER(TRIM(Sync!$X223)),""))</f>
        <v/>
      </c>
      <c r="H227" t="str">
        <f>IF($G227="","",IF(Sync!$W223="","",Sync!$W223))</f>
        <v/>
      </c>
      <c r="I227" t="str">
        <f>IF(OR($G227="",Sync!$Y223=""),"",Sync!$Y223)</f>
        <v/>
      </c>
      <c r="J227" t="str">
        <f>IF(OR($G227="",Sync!$Z223=""),"",Sync!$Z223)</f>
        <v/>
      </c>
      <c r="K227">
        <f>IF($G227="",0,IF(Sync!$AA223="",0,Sync!$AA223))</f>
        <v>0</v>
      </c>
      <c r="L227">
        <f>IF($G227="",0,IF(Sync!$AB223="",0,Sync!$AB223))</f>
        <v>0</v>
      </c>
      <c r="M227" t="str">
        <f t="shared" si="23"/>
        <v/>
      </c>
      <c r="N227">
        <f>IF($G227="",0,IF($H227="مرجوعی فروش",-1,1)*IF(Sync!$AC223="",0,Sync!$AC223))</f>
        <v>0</v>
      </c>
      <c r="O227" t="str">
        <f>IF(OR($G227="",Sync!$V223=""),"",Sync!$V223)</f>
        <v/>
      </c>
      <c r="P227" t="str">
        <f>IF(OR($G227="",Sync!$AD223=""),"",Sync!$AD223)</f>
        <v/>
      </c>
      <c r="Q227" t="str">
        <f>IF($G227="","",IF(Sync!$U223="","0000",IF(AND(ISNUMBER(Sync!$U223),Sync!$U223&gt;=0,Sync!$U223&lt;1),RIGHT("00"&amp;HOUR(Sync!$U223),2)&amp;RIGHT("00"&amp;MINUTE(Sync!$U223),2),IFERROR(RIGHT("00"&amp;VALUE(LEFT(Sync!$U223,FIND(":",Sync!$U223)-1)),2)&amp;RIGHT("00"&amp;VALUE(MID(Sync!$U223,FIND(":",Sync!$U223)+1,2)),2),"0000"))))</f>
        <v/>
      </c>
    </row>
    <row r="228" spans="1:17" x14ac:dyDescent="0.2">
      <c r="A228" t="str">
        <f>IF(Sync!$T224="","",Sync!$T224)</f>
        <v/>
      </c>
      <c r="B228" t="str">
        <f t="shared" si="18"/>
        <v/>
      </c>
      <c r="C228" t="str">
        <f t="shared" si="19"/>
        <v/>
      </c>
      <c r="D228" t="str">
        <f t="shared" si="20"/>
        <v/>
      </c>
      <c r="E228" t="str">
        <f t="shared" si="21"/>
        <v/>
      </c>
      <c r="F228" t="str">
        <f t="shared" si="22"/>
        <v/>
      </c>
      <c r="G228" t="str">
        <f>IF(OR($E228="",$E228="نامعتبر",Sync!$X224=""),"",IF(AND(LEFT(UPPER(TRIM(Sync!$X224)),2)="SL",IFERROR(VLOOKUP(Sync!$W224,OpTbl,3,0),"")="فروش"),UPPER(TRIM(Sync!$X224)),""))</f>
        <v/>
      </c>
      <c r="H228" t="str">
        <f>IF($G228="","",IF(Sync!$W224="","",Sync!$W224))</f>
        <v/>
      </c>
      <c r="I228" t="str">
        <f>IF(OR($G228="",Sync!$Y224=""),"",Sync!$Y224)</f>
        <v/>
      </c>
      <c r="J228" t="str">
        <f>IF(OR($G228="",Sync!$Z224=""),"",Sync!$Z224)</f>
        <v/>
      </c>
      <c r="K228">
        <f>IF($G228="",0,IF(Sync!$AA224="",0,Sync!$AA224))</f>
        <v>0</v>
      </c>
      <c r="L228">
        <f>IF($G228="",0,IF(Sync!$AB224="",0,Sync!$AB224))</f>
        <v>0</v>
      </c>
      <c r="M228" t="str">
        <f t="shared" si="23"/>
        <v/>
      </c>
      <c r="N228">
        <f>IF($G228="",0,IF($H228="مرجوعی فروش",-1,1)*IF(Sync!$AC224="",0,Sync!$AC224))</f>
        <v>0</v>
      </c>
      <c r="O228" t="str">
        <f>IF(OR($G228="",Sync!$V224=""),"",Sync!$V224)</f>
        <v/>
      </c>
      <c r="P228" t="str">
        <f>IF(OR($G228="",Sync!$AD224=""),"",Sync!$AD224)</f>
        <v/>
      </c>
      <c r="Q228" t="str">
        <f>IF($G228="","",IF(Sync!$U224="","0000",IF(AND(ISNUMBER(Sync!$U224),Sync!$U224&gt;=0,Sync!$U224&lt;1),RIGHT("00"&amp;HOUR(Sync!$U224),2)&amp;RIGHT("00"&amp;MINUTE(Sync!$U224),2),IFERROR(RIGHT("00"&amp;VALUE(LEFT(Sync!$U224,FIND(":",Sync!$U224)-1)),2)&amp;RIGHT("00"&amp;VALUE(MID(Sync!$U224,FIND(":",Sync!$U224)+1,2)),2),"0000"))))</f>
        <v/>
      </c>
    </row>
    <row r="229" spans="1:17" x14ac:dyDescent="0.2">
      <c r="A229" t="str">
        <f>IF(Sync!$T225="","",Sync!$T225)</f>
        <v/>
      </c>
      <c r="B229" t="str">
        <f t="shared" si="18"/>
        <v/>
      </c>
      <c r="C229" t="str">
        <f t="shared" si="19"/>
        <v/>
      </c>
      <c r="D229" t="str">
        <f t="shared" si="20"/>
        <v/>
      </c>
      <c r="E229" t="str">
        <f t="shared" si="21"/>
        <v/>
      </c>
      <c r="F229" t="str">
        <f t="shared" si="22"/>
        <v/>
      </c>
      <c r="G229" t="str">
        <f>IF(OR($E229="",$E229="نامعتبر",Sync!$X225=""),"",IF(AND(LEFT(UPPER(TRIM(Sync!$X225)),2)="SL",IFERROR(VLOOKUP(Sync!$W225,OpTbl,3,0),"")="فروش"),UPPER(TRIM(Sync!$X225)),""))</f>
        <v/>
      </c>
      <c r="H229" t="str">
        <f>IF($G229="","",IF(Sync!$W225="","",Sync!$W225))</f>
        <v/>
      </c>
      <c r="I229" t="str">
        <f>IF(OR($G229="",Sync!$Y225=""),"",Sync!$Y225)</f>
        <v/>
      </c>
      <c r="J229" t="str">
        <f>IF(OR($G229="",Sync!$Z225=""),"",Sync!$Z225)</f>
        <v/>
      </c>
      <c r="K229">
        <f>IF($G229="",0,IF(Sync!$AA225="",0,Sync!$AA225))</f>
        <v>0</v>
      </c>
      <c r="L229">
        <f>IF($G229="",0,IF(Sync!$AB225="",0,Sync!$AB225))</f>
        <v>0</v>
      </c>
      <c r="M229" t="str">
        <f t="shared" si="23"/>
        <v/>
      </c>
      <c r="N229">
        <f>IF($G229="",0,IF($H229="مرجوعی فروش",-1,1)*IF(Sync!$AC225="",0,Sync!$AC225))</f>
        <v>0</v>
      </c>
      <c r="O229" t="str">
        <f>IF(OR($G229="",Sync!$V225=""),"",Sync!$V225)</f>
        <v/>
      </c>
      <c r="P229" t="str">
        <f>IF(OR($G229="",Sync!$AD225=""),"",Sync!$AD225)</f>
        <v/>
      </c>
      <c r="Q229" t="str">
        <f>IF($G229="","",IF(Sync!$U225="","0000",IF(AND(ISNUMBER(Sync!$U225),Sync!$U225&gt;=0,Sync!$U225&lt;1),RIGHT("00"&amp;HOUR(Sync!$U225),2)&amp;RIGHT("00"&amp;MINUTE(Sync!$U225),2),IFERROR(RIGHT("00"&amp;VALUE(LEFT(Sync!$U225,FIND(":",Sync!$U225)-1)),2)&amp;RIGHT("00"&amp;VALUE(MID(Sync!$U225,FIND(":",Sync!$U225)+1,2)),2),"0000"))))</f>
        <v/>
      </c>
    </row>
    <row r="230" spans="1:17" x14ac:dyDescent="0.2">
      <c r="A230" t="str">
        <f>IF(Sync!$T226="","",Sync!$T226)</f>
        <v/>
      </c>
      <c r="B230" t="str">
        <f t="shared" si="18"/>
        <v/>
      </c>
      <c r="C230" t="str">
        <f t="shared" si="19"/>
        <v/>
      </c>
      <c r="D230" t="str">
        <f t="shared" si="20"/>
        <v/>
      </c>
      <c r="E230" t="str">
        <f t="shared" si="21"/>
        <v/>
      </c>
      <c r="F230" t="str">
        <f t="shared" si="22"/>
        <v/>
      </c>
      <c r="G230" t="str">
        <f>IF(OR($E230="",$E230="نامعتبر",Sync!$X226=""),"",IF(AND(LEFT(UPPER(TRIM(Sync!$X226)),2)="SL",IFERROR(VLOOKUP(Sync!$W226,OpTbl,3,0),"")="فروش"),UPPER(TRIM(Sync!$X226)),""))</f>
        <v/>
      </c>
      <c r="H230" t="str">
        <f>IF($G230="","",IF(Sync!$W226="","",Sync!$W226))</f>
        <v/>
      </c>
      <c r="I230" t="str">
        <f>IF(OR($G230="",Sync!$Y226=""),"",Sync!$Y226)</f>
        <v/>
      </c>
      <c r="J230" t="str">
        <f>IF(OR($G230="",Sync!$Z226=""),"",Sync!$Z226)</f>
        <v/>
      </c>
      <c r="K230">
        <f>IF($G230="",0,IF(Sync!$AA226="",0,Sync!$AA226))</f>
        <v>0</v>
      </c>
      <c r="L230">
        <f>IF($G230="",0,IF(Sync!$AB226="",0,Sync!$AB226))</f>
        <v>0</v>
      </c>
      <c r="M230" t="str">
        <f t="shared" si="23"/>
        <v/>
      </c>
      <c r="N230">
        <f>IF($G230="",0,IF($H230="مرجوعی فروش",-1,1)*IF(Sync!$AC226="",0,Sync!$AC226))</f>
        <v>0</v>
      </c>
      <c r="O230" t="str">
        <f>IF(OR($G230="",Sync!$V226=""),"",Sync!$V226)</f>
        <v/>
      </c>
      <c r="P230" t="str">
        <f>IF(OR($G230="",Sync!$AD226=""),"",Sync!$AD226)</f>
        <v/>
      </c>
      <c r="Q230" t="str">
        <f>IF($G230="","",IF(Sync!$U226="","0000",IF(AND(ISNUMBER(Sync!$U226),Sync!$U226&gt;=0,Sync!$U226&lt;1),RIGHT("00"&amp;HOUR(Sync!$U226),2)&amp;RIGHT("00"&amp;MINUTE(Sync!$U226),2),IFERROR(RIGHT("00"&amp;VALUE(LEFT(Sync!$U226,FIND(":",Sync!$U226)-1)),2)&amp;RIGHT("00"&amp;VALUE(MID(Sync!$U226,FIND(":",Sync!$U226)+1,2)),2),"0000"))))</f>
        <v/>
      </c>
    </row>
    <row r="231" spans="1:17" x14ac:dyDescent="0.2">
      <c r="A231" t="str">
        <f>IF(Sync!$T227="","",Sync!$T227)</f>
        <v/>
      </c>
      <c r="B231" t="str">
        <f t="shared" si="18"/>
        <v/>
      </c>
      <c r="C231" t="str">
        <f t="shared" si="19"/>
        <v/>
      </c>
      <c r="D231" t="str">
        <f t="shared" si="20"/>
        <v/>
      </c>
      <c r="E231" t="str">
        <f t="shared" si="21"/>
        <v/>
      </c>
      <c r="F231" t="str">
        <f t="shared" si="22"/>
        <v/>
      </c>
      <c r="G231" t="str">
        <f>IF(OR($E231="",$E231="نامعتبر",Sync!$X227=""),"",IF(AND(LEFT(UPPER(TRIM(Sync!$X227)),2)="SL",IFERROR(VLOOKUP(Sync!$W227,OpTbl,3,0),"")="فروش"),UPPER(TRIM(Sync!$X227)),""))</f>
        <v/>
      </c>
      <c r="H231" t="str">
        <f>IF($G231="","",IF(Sync!$W227="","",Sync!$W227))</f>
        <v/>
      </c>
      <c r="I231" t="str">
        <f>IF(OR($G231="",Sync!$Y227=""),"",Sync!$Y227)</f>
        <v/>
      </c>
      <c r="J231" t="str">
        <f>IF(OR($G231="",Sync!$Z227=""),"",Sync!$Z227)</f>
        <v/>
      </c>
      <c r="K231">
        <f>IF($G231="",0,IF(Sync!$AA227="",0,Sync!$AA227))</f>
        <v>0</v>
      </c>
      <c r="L231">
        <f>IF($G231="",0,IF(Sync!$AB227="",0,Sync!$AB227))</f>
        <v>0</v>
      </c>
      <c r="M231" t="str">
        <f t="shared" si="23"/>
        <v/>
      </c>
      <c r="N231">
        <f>IF($G231="",0,IF($H231="مرجوعی فروش",-1,1)*IF(Sync!$AC227="",0,Sync!$AC227))</f>
        <v>0</v>
      </c>
      <c r="O231" t="str">
        <f>IF(OR($G231="",Sync!$V227=""),"",Sync!$V227)</f>
        <v/>
      </c>
      <c r="P231" t="str">
        <f>IF(OR($G231="",Sync!$AD227=""),"",Sync!$AD227)</f>
        <v/>
      </c>
      <c r="Q231" t="str">
        <f>IF($G231="","",IF(Sync!$U227="","0000",IF(AND(ISNUMBER(Sync!$U227),Sync!$U227&gt;=0,Sync!$U227&lt;1),RIGHT("00"&amp;HOUR(Sync!$U227),2)&amp;RIGHT("00"&amp;MINUTE(Sync!$U227),2),IFERROR(RIGHT("00"&amp;VALUE(LEFT(Sync!$U227,FIND(":",Sync!$U227)-1)),2)&amp;RIGHT("00"&amp;VALUE(MID(Sync!$U227,FIND(":",Sync!$U227)+1,2)),2),"0000"))))</f>
        <v/>
      </c>
    </row>
    <row r="232" spans="1:17" x14ac:dyDescent="0.2">
      <c r="A232" t="str">
        <f>IF(Sync!$T228="","",Sync!$T228)</f>
        <v/>
      </c>
      <c r="B232" t="str">
        <f t="shared" si="18"/>
        <v/>
      </c>
      <c r="C232" t="str">
        <f t="shared" si="19"/>
        <v/>
      </c>
      <c r="D232" t="str">
        <f t="shared" si="20"/>
        <v/>
      </c>
      <c r="E232" t="str">
        <f t="shared" si="21"/>
        <v/>
      </c>
      <c r="F232" t="str">
        <f t="shared" si="22"/>
        <v/>
      </c>
      <c r="G232" t="str">
        <f>IF(OR($E232="",$E232="نامعتبر",Sync!$X228=""),"",IF(AND(LEFT(UPPER(TRIM(Sync!$X228)),2)="SL",IFERROR(VLOOKUP(Sync!$W228,OpTbl,3,0),"")="فروش"),UPPER(TRIM(Sync!$X228)),""))</f>
        <v/>
      </c>
      <c r="H232" t="str">
        <f>IF($G232="","",IF(Sync!$W228="","",Sync!$W228))</f>
        <v/>
      </c>
      <c r="I232" t="str">
        <f>IF(OR($G232="",Sync!$Y228=""),"",Sync!$Y228)</f>
        <v/>
      </c>
      <c r="J232" t="str">
        <f>IF(OR($G232="",Sync!$Z228=""),"",Sync!$Z228)</f>
        <v/>
      </c>
      <c r="K232">
        <f>IF($G232="",0,IF(Sync!$AA228="",0,Sync!$AA228))</f>
        <v>0</v>
      </c>
      <c r="L232">
        <f>IF($G232="",0,IF(Sync!$AB228="",0,Sync!$AB228))</f>
        <v>0</v>
      </c>
      <c r="M232" t="str">
        <f t="shared" si="23"/>
        <v/>
      </c>
      <c r="N232">
        <f>IF($G232="",0,IF($H232="مرجوعی فروش",-1,1)*IF(Sync!$AC228="",0,Sync!$AC228))</f>
        <v>0</v>
      </c>
      <c r="O232" t="str">
        <f>IF(OR($G232="",Sync!$V228=""),"",Sync!$V228)</f>
        <v/>
      </c>
      <c r="P232" t="str">
        <f>IF(OR($G232="",Sync!$AD228=""),"",Sync!$AD228)</f>
        <v/>
      </c>
      <c r="Q232" t="str">
        <f>IF($G232="","",IF(Sync!$U228="","0000",IF(AND(ISNUMBER(Sync!$U228),Sync!$U228&gt;=0,Sync!$U228&lt;1),RIGHT("00"&amp;HOUR(Sync!$U228),2)&amp;RIGHT("00"&amp;MINUTE(Sync!$U228),2),IFERROR(RIGHT("00"&amp;VALUE(LEFT(Sync!$U228,FIND(":",Sync!$U228)-1)),2)&amp;RIGHT("00"&amp;VALUE(MID(Sync!$U228,FIND(":",Sync!$U228)+1,2)),2),"0000"))))</f>
        <v/>
      </c>
    </row>
    <row r="233" spans="1:17" x14ac:dyDescent="0.2">
      <c r="A233" t="str">
        <f>IF(Sync!$T229="","",Sync!$T229)</f>
        <v/>
      </c>
      <c r="B233" t="str">
        <f t="shared" si="18"/>
        <v/>
      </c>
      <c r="C233" t="str">
        <f t="shared" si="19"/>
        <v/>
      </c>
      <c r="D233" t="str">
        <f t="shared" si="20"/>
        <v/>
      </c>
      <c r="E233" t="str">
        <f t="shared" si="21"/>
        <v/>
      </c>
      <c r="F233" t="str">
        <f t="shared" si="22"/>
        <v/>
      </c>
      <c r="G233" t="str">
        <f>IF(OR($E233="",$E233="نامعتبر",Sync!$X229=""),"",IF(AND(LEFT(UPPER(TRIM(Sync!$X229)),2)="SL",IFERROR(VLOOKUP(Sync!$W229,OpTbl,3,0),"")="فروش"),UPPER(TRIM(Sync!$X229)),""))</f>
        <v/>
      </c>
      <c r="H233" t="str">
        <f>IF($G233="","",IF(Sync!$W229="","",Sync!$W229))</f>
        <v/>
      </c>
      <c r="I233" t="str">
        <f>IF(OR($G233="",Sync!$Y229=""),"",Sync!$Y229)</f>
        <v/>
      </c>
      <c r="J233" t="str">
        <f>IF(OR($G233="",Sync!$Z229=""),"",Sync!$Z229)</f>
        <v/>
      </c>
      <c r="K233">
        <f>IF($G233="",0,IF(Sync!$AA229="",0,Sync!$AA229))</f>
        <v>0</v>
      </c>
      <c r="L233">
        <f>IF($G233="",0,IF(Sync!$AB229="",0,Sync!$AB229))</f>
        <v>0</v>
      </c>
      <c r="M233" t="str">
        <f t="shared" si="23"/>
        <v/>
      </c>
      <c r="N233">
        <f>IF($G233="",0,IF($H233="مرجوعی فروش",-1,1)*IF(Sync!$AC229="",0,Sync!$AC229))</f>
        <v>0</v>
      </c>
      <c r="O233" t="str">
        <f>IF(OR($G233="",Sync!$V229=""),"",Sync!$V229)</f>
        <v/>
      </c>
      <c r="P233" t="str">
        <f>IF(OR($G233="",Sync!$AD229=""),"",Sync!$AD229)</f>
        <v/>
      </c>
      <c r="Q233" t="str">
        <f>IF($G233="","",IF(Sync!$U229="","0000",IF(AND(ISNUMBER(Sync!$U229),Sync!$U229&gt;=0,Sync!$U229&lt;1),RIGHT("00"&amp;HOUR(Sync!$U229),2)&amp;RIGHT("00"&amp;MINUTE(Sync!$U229),2),IFERROR(RIGHT("00"&amp;VALUE(LEFT(Sync!$U229,FIND(":",Sync!$U229)-1)),2)&amp;RIGHT("00"&amp;VALUE(MID(Sync!$U229,FIND(":",Sync!$U229)+1,2)),2),"0000"))))</f>
        <v/>
      </c>
    </row>
    <row r="234" spans="1:17" x14ac:dyDescent="0.2">
      <c r="A234" t="str">
        <f>IF(Sync!$T230="","",Sync!$T230)</f>
        <v/>
      </c>
      <c r="B234" t="str">
        <f t="shared" si="18"/>
        <v/>
      </c>
      <c r="C234" t="str">
        <f t="shared" si="19"/>
        <v/>
      </c>
      <c r="D234" t="str">
        <f t="shared" si="20"/>
        <v/>
      </c>
      <c r="E234" t="str">
        <f t="shared" si="21"/>
        <v/>
      </c>
      <c r="F234" t="str">
        <f t="shared" si="22"/>
        <v/>
      </c>
      <c r="G234" t="str">
        <f>IF(OR($E234="",$E234="نامعتبر",Sync!$X230=""),"",IF(AND(LEFT(UPPER(TRIM(Sync!$X230)),2)="SL",IFERROR(VLOOKUP(Sync!$W230,OpTbl,3,0),"")="فروش"),UPPER(TRIM(Sync!$X230)),""))</f>
        <v/>
      </c>
      <c r="H234" t="str">
        <f>IF($G234="","",IF(Sync!$W230="","",Sync!$W230))</f>
        <v/>
      </c>
      <c r="I234" t="str">
        <f>IF(OR($G234="",Sync!$Y230=""),"",Sync!$Y230)</f>
        <v/>
      </c>
      <c r="J234" t="str">
        <f>IF(OR($G234="",Sync!$Z230=""),"",Sync!$Z230)</f>
        <v/>
      </c>
      <c r="K234">
        <f>IF($G234="",0,IF(Sync!$AA230="",0,Sync!$AA230))</f>
        <v>0</v>
      </c>
      <c r="L234">
        <f>IF($G234="",0,IF(Sync!$AB230="",0,Sync!$AB230))</f>
        <v>0</v>
      </c>
      <c r="M234" t="str">
        <f t="shared" si="23"/>
        <v/>
      </c>
      <c r="N234">
        <f>IF($G234="",0,IF($H234="مرجوعی فروش",-1,1)*IF(Sync!$AC230="",0,Sync!$AC230))</f>
        <v>0</v>
      </c>
      <c r="O234" t="str">
        <f>IF(OR($G234="",Sync!$V230=""),"",Sync!$V230)</f>
        <v/>
      </c>
      <c r="P234" t="str">
        <f>IF(OR($G234="",Sync!$AD230=""),"",Sync!$AD230)</f>
        <v/>
      </c>
      <c r="Q234" t="str">
        <f>IF($G234="","",IF(Sync!$U230="","0000",IF(AND(ISNUMBER(Sync!$U230),Sync!$U230&gt;=0,Sync!$U230&lt;1),RIGHT("00"&amp;HOUR(Sync!$U230),2)&amp;RIGHT("00"&amp;MINUTE(Sync!$U230),2),IFERROR(RIGHT("00"&amp;VALUE(LEFT(Sync!$U230,FIND(":",Sync!$U230)-1)),2)&amp;RIGHT("00"&amp;VALUE(MID(Sync!$U230,FIND(":",Sync!$U230)+1,2)),2),"0000"))))</f>
        <v/>
      </c>
    </row>
    <row r="235" spans="1:17" x14ac:dyDescent="0.2">
      <c r="A235" t="str">
        <f>IF(Sync!$T231="","",Sync!$T231)</f>
        <v/>
      </c>
      <c r="B235" t="str">
        <f t="shared" si="18"/>
        <v/>
      </c>
      <c r="C235" t="str">
        <f t="shared" si="19"/>
        <v/>
      </c>
      <c r="D235" t="str">
        <f t="shared" si="20"/>
        <v/>
      </c>
      <c r="E235" t="str">
        <f t="shared" si="21"/>
        <v/>
      </c>
      <c r="F235" t="str">
        <f t="shared" si="22"/>
        <v/>
      </c>
      <c r="G235" t="str">
        <f>IF(OR($E235="",$E235="نامعتبر",Sync!$X231=""),"",IF(AND(LEFT(UPPER(TRIM(Sync!$X231)),2)="SL",IFERROR(VLOOKUP(Sync!$W231,OpTbl,3,0),"")="فروش"),UPPER(TRIM(Sync!$X231)),""))</f>
        <v/>
      </c>
      <c r="H235" t="str">
        <f>IF($G235="","",IF(Sync!$W231="","",Sync!$W231))</f>
        <v/>
      </c>
      <c r="I235" t="str">
        <f>IF(OR($G235="",Sync!$Y231=""),"",Sync!$Y231)</f>
        <v/>
      </c>
      <c r="J235" t="str">
        <f>IF(OR($G235="",Sync!$Z231=""),"",Sync!$Z231)</f>
        <v/>
      </c>
      <c r="K235">
        <f>IF($G235="",0,IF(Sync!$AA231="",0,Sync!$AA231))</f>
        <v>0</v>
      </c>
      <c r="L235">
        <f>IF($G235="",0,IF(Sync!$AB231="",0,Sync!$AB231))</f>
        <v>0</v>
      </c>
      <c r="M235" t="str">
        <f t="shared" si="23"/>
        <v/>
      </c>
      <c r="N235">
        <f>IF($G235="",0,IF($H235="مرجوعی فروش",-1,1)*IF(Sync!$AC231="",0,Sync!$AC231))</f>
        <v>0</v>
      </c>
      <c r="O235" t="str">
        <f>IF(OR($G235="",Sync!$V231=""),"",Sync!$V231)</f>
        <v/>
      </c>
      <c r="P235" t="str">
        <f>IF(OR($G235="",Sync!$AD231=""),"",Sync!$AD231)</f>
        <v/>
      </c>
      <c r="Q235" t="str">
        <f>IF($G235="","",IF(Sync!$U231="","0000",IF(AND(ISNUMBER(Sync!$U231),Sync!$U231&gt;=0,Sync!$U231&lt;1),RIGHT("00"&amp;HOUR(Sync!$U231),2)&amp;RIGHT("00"&amp;MINUTE(Sync!$U231),2),IFERROR(RIGHT("00"&amp;VALUE(LEFT(Sync!$U231,FIND(":",Sync!$U231)-1)),2)&amp;RIGHT("00"&amp;VALUE(MID(Sync!$U231,FIND(":",Sync!$U231)+1,2)),2),"0000"))))</f>
        <v/>
      </c>
    </row>
    <row r="236" spans="1:17" x14ac:dyDescent="0.2">
      <c r="A236" t="str">
        <f>IF(Sync!$T232="","",Sync!$T232)</f>
        <v/>
      </c>
      <c r="B236" t="str">
        <f t="shared" si="18"/>
        <v/>
      </c>
      <c r="C236" t="str">
        <f t="shared" si="19"/>
        <v/>
      </c>
      <c r="D236" t="str">
        <f t="shared" si="20"/>
        <v/>
      </c>
      <c r="E236" t="str">
        <f t="shared" si="21"/>
        <v/>
      </c>
      <c r="F236" t="str">
        <f t="shared" si="22"/>
        <v/>
      </c>
      <c r="G236" t="str">
        <f>IF(OR($E236="",$E236="نامعتبر",Sync!$X232=""),"",IF(AND(LEFT(UPPER(TRIM(Sync!$X232)),2)="SL",IFERROR(VLOOKUP(Sync!$W232,OpTbl,3,0),"")="فروش"),UPPER(TRIM(Sync!$X232)),""))</f>
        <v/>
      </c>
      <c r="H236" t="str">
        <f>IF($G236="","",IF(Sync!$W232="","",Sync!$W232))</f>
        <v/>
      </c>
      <c r="I236" t="str">
        <f>IF(OR($G236="",Sync!$Y232=""),"",Sync!$Y232)</f>
        <v/>
      </c>
      <c r="J236" t="str">
        <f>IF(OR($G236="",Sync!$Z232=""),"",Sync!$Z232)</f>
        <v/>
      </c>
      <c r="K236">
        <f>IF($G236="",0,IF(Sync!$AA232="",0,Sync!$AA232))</f>
        <v>0</v>
      </c>
      <c r="L236">
        <f>IF($G236="",0,IF(Sync!$AB232="",0,Sync!$AB232))</f>
        <v>0</v>
      </c>
      <c r="M236" t="str">
        <f t="shared" si="23"/>
        <v/>
      </c>
      <c r="N236">
        <f>IF($G236="",0,IF($H236="مرجوعی فروش",-1,1)*IF(Sync!$AC232="",0,Sync!$AC232))</f>
        <v>0</v>
      </c>
      <c r="O236" t="str">
        <f>IF(OR($G236="",Sync!$V232=""),"",Sync!$V232)</f>
        <v/>
      </c>
      <c r="P236" t="str">
        <f>IF(OR($G236="",Sync!$AD232=""),"",Sync!$AD232)</f>
        <v/>
      </c>
      <c r="Q236" t="str">
        <f>IF($G236="","",IF(Sync!$U232="","0000",IF(AND(ISNUMBER(Sync!$U232),Sync!$U232&gt;=0,Sync!$U232&lt;1),RIGHT("00"&amp;HOUR(Sync!$U232),2)&amp;RIGHT("00"&amp;MINUTE(Sync!$U232),2),IFERROR(RIGHT("00"&amp;VALUE(LEFT(Sync!$U232,FIND(":",Sync!$U232)-1)),2)&amp;RIGHT("00"&amp;VALUE(MID(Sync!$U232,FIND(":",Sync!$U232)+1,2)),2),"0000"))))</f>
        <v/>
      </c>
    </row>
    <row r="237" spans="1:17" x14ac:dyDescent="0.2">
      <c r="A237" t="str">
        <f>IF(Sync!$T233="","",Sync!$T233)</f>
        <v/>
      </c>
      <c r="B237" t="str">
        <f t="shared" si="18"/>
        <v/>
      </c>
      <c r="C237" t="str">
        <f t="shared" si="19"/>
        <v/>
      </c>
      <c r="D237" t="str">
        <f t="shared" si="20"/>
        <v/>
      </c>
      <c r="E237" t="str">
        <f t="shared" si="21"/>
        <v/>
      </c>
      <c r="F237" t="str">
        <f t="shared" si="22"/>
        <v/>
      </c>
      <c r="G237" t="str">
        <f>IF(OR($E237="",$E237="نامعتبر",Sync!$X233=""),"",IF(AND(LEFT(UPPER(TRIM(Sync!$X233)),2)="SL",IFERROR(VLOOKUP(Sync!$W233,OpTbl,3,0),"")="فروش"),UPPER(TRIM(Sync!$X233)),""))</f>
        <v/>
      </c>
      <c r="H237" t="str">
        <f>IF($G237="","",IF(Sync!$W233="","",Sync!$W233))</f>
        <v/>
      </c>
      <c r="I237" t="str">
        <f>IF(OR($G237="",Sync!$Y233=""),"",Sync!$Y233)</f>
        <v/>
      </c>
      <c r="J237" t="str">
        <f>IF(OR($G237="",Sync!$Z233=""),"",Sync!$Z233)</f>
        <v/>
      </c>
      <c r="K237">
        <f>IF($G237="",0,IF(Sync!$AA233="",0,Sync!$AA233))</f>
        <v>0</v>
      </c>
      <c r="L237">
        <f>IF($G237="",0,IF(Sync!$AB233="",0,Sync!$AB233))</f>
        <v>0</v>
      </c>
      <c r="M237" t="str">
        <f t="shared" si="23"/>
        <v/>
      </c>
      <c r="N237">
        <f>IF($G237="",0,IF($H237="مرجوعی فروش",-1,1)*IF(Sync!$AC233="",0,Sync!$AC233))</f>
        <v>0</v>
      </c>
      <c r="O237" t="str">
        <f>IF(OR($G237="",Sync!$V233=""),"",Sync!$V233)</f>
        <v/>
      </c>
      <c r="P237" t="str">
        <f>IF(OR($G237="",Sync!$AD233=""),"",Sync!$AD233)</f>
        <v/>
      </c>
      <c r="Q237" t="str">
        <f>IF($G237="","",IF(Sync!$U233="","0000",IF(AND(ISNUMBER(Sync!$U233),Sync!$U233&gt;=0,Sync!$U233&lt;1),RIGHT("00"&amp;HOUR(Sync!$U233),2)&amp;RIGHT("00"&amp;MINUTE(Sync!$U233),2),IFERROR(RIGHT("00"&amp;VALUE(LEFT(Sync!$U233,FIND(":",Sync!$U233)-1)),2)&amp;RIGHT("00"&amp;VALUE(MID(Sync!$U233,FIND(":",Sync!$U233)+1,2)),2),"0000"))))</f>
        <v/>
      </c>
    </row>
    <row r="238" spans="1:17" x14ac:dyDescent="0.2">
      <c r="A238" t="str">
        <f>IF(Sync!$T234="","",Sync!$T234)</f>
        <v/>
      </c>
      <c r="B238" t="str">
        <f t="shared" si="18"/>
        <v/>
      </c>
      <c r="C238" t="str">
        <f t="shared" si="19"/>
        <v/>
      </c>
      <c r="D238" t="str">
        <f t="shared" si="20"/>
        <v/>
      </c>
      <c r="E238" t="str">
        <f t="shared" si="21"/>
        <v/>
      </c>
      <c r="F238" t="str">
        <f t="shared" si="22"/>
        <v/>
      </c>
      <c r="G238" t="str">
        <f>IF(OR($E238="",$E238="نامعتبر",Sync!$X234=""),"",IF(AND(LEFT(UPPER(TRIM(Sync!$X234)),2)="SL",IFERROR(VLOOKUP(Sync!$W234,OpTbl,3,0),"")="فروش"),UPPER(TRIM(Sync!$X234)),""))</f>
        <v/>
      </c>
      <c r="H238" t="str">
        <f>IF($G238="","",IF(Sync!$W234="","",Sync!$W234))</f>
        <v/>
      </c>
      <c r="I238" t="str">
        <f>IF(OR($G238="",Sync!$Y234=""),"",Sync!$Y234)</f>
        <v/>
      </c>
      <c r="J238" t="str">
        <f>IF(OR($G238="",Sync!$Z234=""),"",Sync!$Z234)</f>
        <v/>
      </c>
      <c r="K238">
        <f>IF($G238="",0,IF(Sync!$AA234="",0,Sync!$AA234))</f>
        <v>0</v>
      </c>
      <c r="L238">
        <f>IF($G238="",0,IF(Sync!$AB234="",0,Sync!$AB234))</f>
        <v>0</v>
      </c>
      <c r="M238" t="str">
        <f t="shared" si="23"/>
        <v/>
      </c>
      <c r="N238">
        <f>IF($G238="",0,IF($H238="مرجوعی فروش",-1,1)*IF(Sync!$AC234="",0,Sync!$AC234))</f>
        <v>0</v>
      </c>
      <c r="O238" t="str">
        <f>IF(OR($G238="",Sync!$V234=""),"",Sync!$V234)</f>
        <v/>
      </c>
      <c r="P238" t="str">
        <f>IF(OR($G238="",Sync!$AD234=""),"",Sync!$AD234)</f>
        <v/>
      </c>
      <c r="Q238" t="str">
        <f>IF($G238="","",IF(Sync!$U234="","0000",IF(AND(ISNUMBER(Sync!$U234),Sync!$U234&gt;=0,Sync!$U234&lt;1),RIGHT("00"&amp;HOUR(Sync!$U234),2)&amp;RIGHT("00"&amp;MINUTE(Sync!$U234),2),IFERROR(RIGHT("00"&amp;VALUE(LEFT(Sync!$U234,FIND(":",Sync!$U234)-1)),2)&amp;RIGHT("00"&amp;VALUE(MID(Sync!$U234,FIND(":",Sync!$U234)+1,2)),2),"0000"))))</f>
        <v/>
      </c>
    </row>
    <row r="239" spans="1:17" x14ac:dyDescent="0.2">
      <c r="A239" t="str">
        <f>IF(Sync!$T235="","",Sync!$T235)</f>
        <v/>
      </c>
      <c r="B239" t="str">
        <f t="shared" si="18"/>
        <v/>
      </c>
      <c r="C239" t="str">
        <f t="shared" si="19"/>
        <v/>
      </c>
      <c r="D239" t="str">
        <f t="shared" si="20"/>
        <v/>
      </c>
      <c r="E239" t="str">
        <f t="shared" si="21"/>
        <v/>
      </c>
      <c r="F239" t="str">
        <f t="shared" si="22"/>
        <v/>
      </c>
      <c r="G239" t="str">
        <f>IF(OR($E239="",$E239="نامعتبر",Sync!$X235=""),"",IF(AND(LEFT(UPPER(TRIM(Sync!$X235)),2)="SL",IFERROR(VLOOKUP(Sync!$W235,OpTbl,3,0),"")="فروش"),UPPER(TRIM(Sync!$X235)),""))</f>
        <v/>
      </c>
      <c r="H239" t="str">
        <f>IF($G239="","",IF(Sync!$W235="","",Sync!$W235))</f>
        <v/>
      </c>
      <c r="I239" t="str">
        <f>IF(OR($G239="",Sync!$Y235=""),"",Sync!$Y235)</f>
        <v/>
      </c>
      <c r="J239" t="str">
        <f>IF(OR($G239="",Sync!$Z235=""),"",Sync!$Z235)</f>
        <v/>
      </c>
      <c r="K239">
        <f>IF($G239="",0,IF(Sync!$AA235="",0,Sync!$AA235))</f>
        <v>0</v>
      </c>
      <c r="L239">
        <f>IF($G239="",0,IF(Sync!$AB235="",0,Sync!$AB235))</f>
        <v>0</v>
      </c>
      <c r="M239" t="str">
        <f t="shared" si="23"/>
        <v/>
      </c>
      <c r="N239">
        <f>IF($G239="",0,IF($H239="مرجوعی فروش",-1,1)*IF(Sync!$AC235="",0,Sync!$AC235))</f>
        <v>0</v>
      </c>
      <c r="O239" t="str">
        <f>IF(OR($G239="",Sync!$V235=""),"",Sync!$V235)</f>
        <v/>
      </c>
      <c r="P239" t="str">
        <f>IF(OR($G239="",Sync!$AD235=""),"",Sync!$AD235)</f>
        <v/>
      </c>
      <c r="Q239" t="str">
        <f>IF($G239="","",IF(Sync!$U235="","0000",IF(AND(ISNUMBER(Sync!$U235),Sync!$U235&gt;=0,Sync!$U235&lt;1),RIGHT("00"&amp;HOUR(Sync!$U235),2)&amp;RIGHT("00"&amp;MINUTE(Sync!$U235),2),IFERROR(RIGHT("00"&amp;VALUE(LEFT(Sync!$U235,FIND(":",Sync!$U235)-1)),2)&amp;RIGHT("00"&amp;VALUE(MID(Sync!$U235,FIND(":",Sync!$U235)+1,2)),2),"0000"))))</f>
        <v/>
      </c>
    </row>
    <row r="240" spans="1:17" x14ac:dyDescent="0.2">
      <c r="A240" t="str">
        <f>IF(Sync!$T236="","",Sync!$T236)</f>
        <v/>
      </c>
      <c r="B240" t="str">
        <f t="shared" si="18"/>
        <v/>
      </c>
      <c r="C240" t="str">
        <f t="shared" si="19"/>
        <v/>
      </c>
      <c r="D240" t="str">
        <f t="shared" si="20"/>
        <v/>
      </c>
      <c r="E240" t="str">
        <f t="shared" si="21"/>
        <v/>
      </c>
      <c r="F240" t="str">
        <f t="shared" si="22"/>
        <v/>
      </c>
      <c r="G240" t="str">
        <f>IF(OR($E240="",$E240="نامعتبر",Sync!$X236=""),"",IF(AND(LEFT(UPPER(TRIM(Sync!$X236)),2)="SL",IFERROR(VLOOKUP(Sync!$W236,OpTbl,3,0),"")="فروش"),UPPER(TRIM(Sync!$X236)),""))</f>
        <v/>
      </c>
      <c r="H240" t="str">
        <f>IF($G240="","",IF(Sync!$W236="","",Sync!$W236))</f>
        <v/>
      </c>
      <c r="I240" t="str">
        <f>IF(OR($G240="",Sync!$Y236=""),"",Sync!$Y236)</f>
        <v/>
      </c>
      <c r="J240" t="str">
        <f>IF(OR($G240="",Sync!$Z236=""),"",Sync!$Z236)</f>
        <v/>
      </c>
      <c r="K240">
        <f>IF($G240="",0,IF(Sync!$AA236="",0,Sync!$AA236))</f>
        <v>0</v>
      </c>
      <c r="L240">
        <f>IF($G240="",0,IF(Sync!$AB236="",0,Sync!$AB236))</f>
        <v>0</v>
      </c>
      <c r="M240" t="str">
        <f t="shared" si="23"/>
        <v/>
      </c>
      <c r="N240">
        <f>IF($G240="",0,IF($H240="مرجوعی فروش",-1,1)*IF(Sync!$AC236="",0,Sync!$AC236))</f>
        <v>0</v>
      </c>
      <c r="O240" t="str">
        <f>IF(OR($G240="",Sync!$V236=""),"",Sync!$V236)</f>
        <v/>
      </c>
      <c r="P240" t="str">
        <f>IF(OR($G240="",Sync!$AD236=""),"",Sync!$AD236)</f>
        <v/>
      </c>
      <c r="Q240" t="str">
        <f>IF($G240="","",IF(Sync!$U236="","0000",IF(AND(ISNUMBER(Sync!$U236),Sync!$U236&gt;=0,Sync!$U236&lt;1),RIGHT("00"&amp;HOUR(Sync!$U236),2)&amp;RIGHT("00"&amp;MINUTE(Sync!$U236),2),IFERROR(RIGHT("00"&amp;VALUE(LEFT(Sync!$U236,FIND(":",Sync!$U236)-1)),2)&amp;RIGHT("00"&amp;VALUE(MID(Sync!$U236,FIND(":",Sync!$U236)+1,2)),2),"0000"))))</f>
        <v/>
      </c>
    </row>
    <row r="241" spans="1:17" x14ac:dyDescent="0.2">
      <c r="A241" t="str">
        <f>IF(Sync!$T237="","",Sync!$T237)</f>
        <v/>
      </c>
      <c r="B241" t="str">
        <f t="shared" si="18"/>
        <v/>
      </c>
      <c r="C241" t="str">
        <f t="shared" si="19"/>
        <v/>
      </c>
      <c r="D241" t="str">
        <f t="shared" si="20"/>
        <v/>
      </c>
      <c r="E241" t="str">
        <f t="shared" si="21"/>
        <v/>
      </c>
      <c r="F241" t="str">
        <f t="shared" si="22"/>
        <v/>
      </c>
      <c r="G241" t="str">
        <f>IF(OR($E241="",$E241="نامعتبر",Sync!$X237=""),"",IF(AND(LEFT(UPPER(TRIM(Sync!$X237)),2)="SL",IFERROR(VLOOKUP(Sync!$W237,OpTbl,3,0),"")="فروش"),UPPER(TRIM(Sync!$X237)),""))</f>
        <v/>
      </c>
      <c r="H241" t="str">
        <f>IF($G241="","",IF(Sync!$W237="","",Sync!$W237))</f>
        <v/>
      </c>
      <c r="I241" t="str">
        <f>IF(OR($G241="",Sync!$Y237=""),"",Sync!$Y237)</f>
        <v/>
      </c>
      <c r="J241" t="str">
        <f>IF(OR($G241="",Sync!$Z237=""),"",Sync!$Z237)</f>
        <v/>
      </c>
      <c r="K241">
        <f>IF($G241="",0,IF(Sync!$AA237="",0,Sync!$AA237))</f>
        <v>0</v>
      </c>
      <c r="L241">
        <f>IF($G241="",0,IF(Sync!$AB237="",0,Sync!$AB237))</f>
        <v>0</v>
      </c>
      <c r="M241" t="str">
        <f t="shared" si="23"/>
        <v/>
      </c>
      <c r="N241">
        <f>IF($G241="",0,IF($H241="مرجوعی فروش",-1,1)*IF(Sync!$AC237="",0,Sync!$AC237))</f>
        <v>0</v>
      </c>
      <c r="O241" t="str">
        <f>IF(OR($G241="",Sync!$V237=""),"",Sync!$V237)</f>
        <v/>
      </c>
      <c r="P241" t="str">
        <f>IF(OR($G241="",Sync!$AD237=""),"",Sync!$AD237)</f>
        <v/>
      </c>
      <c r="Q241" t="str">
        <f>IF($G241="","",IF(Sync!$U237="","0000",IF(AND(ISNUMBER(Sync!$U237),Sync!$U237&gt;=0,Sync!$U237&lt;1),RIGHT("00"&amp;HOUR(Sync!$U237),2)&amp;RIGHT("00"&amp;MINUTE(Sync!$U237),2),IFERROR(RIGHT("00"&amp;VALUE(LEFT(Sync!$U237,FIND(":",Sync!$U237)-1)),2)&amp;RIGHT("00"&amp;VALUE(MID(Sync!$U237,FIND(":",Sync!$U237)+1,2)),2),"0000"))))</f>
        <v/>
      </c>
    </row>
    <row r="242" spans="1:17" x14ac:dyDescent="0.2">
      <c r="A242" t="str">
        <f>IF(Sync!$T238="","",Sync!$T238)</f>
        <v/>
      </c>
      <c r="B242" t="str">
        <f t="shared" si="18"/>
        <v/>
      </c>
      <c r="C242" t="str">
        <f t="shared" si="19"/>
        <v/>
      </c>
      <c r="D242" t="str">
        <f t="shared" si="20"/>
        <v/>
      </c>
      <c r="E242" t="str">
        <f t="shared" si="21"/>
        <v/>
      </c>
      <c r="F242" t="str">
        <f t="shared" si="22"/>
        <v/>
      </c>
      <c r="G242" t="str">
        <f>IF(OR($E242="",$E242="نامعتبر",Sync!$X238=""),"",IF(AND(LEFT(UPPER(TRIM(Sync!$X238)),2)="SL",IFERROR(VLOOKUP(Sync!$W238,OpTbl,3,0),"")="فروش"),UPPER(TRIM(Sync!$X238)),""))</f>
        <v/>
      </c>
      <c r="H242" t="str">
        <f>IF($G242="","",IF(Sync!$W238="","",Sync!$W238))</f>
        <v/>
      </c>
      <c r="I242" t="str">
        <f>IF(OR($G242="",Sync!$Y238=""),"",Sync!$Y238)</f>
        <v/>
      </c>
      <c r="J242" t="str">
        <f>IF(OR($G242="",Sync!$Z238=""),"",Sync!$Z238)</f>
        <v/>
      </c>
      <c r="K242">
        <f>IF($G242="",0,IF(Sync!$AA238="",0,Sync!$AA238))</f>
        <v>0</v>
      </c>
      <c r="L242">
        <f>IF($G242="",0,IF(Sync!$AB238="",0,Sync!$AB238))</f>
        <v>0</v>
      </c>
      <c r="M242" t="str">
        <f t="shared" si="23"/>
        <v/>
      </c>
      <c r="N242">
        <f>IF($G242="",0,IF($H242="مرجوعی فروش",-1,1)*IF(Sync!$AC238="",0,Sync!$AC238))</f>
        <v>0</v>
      </c>
      <c r="O242" t="str">
        <f>IF(OR($G242="",Sync!$V238=""),"",Sync!$V238)</f>
        <v/>
      </c>
      <c r="P242" t="str">
        <f>IF(OR($G242="",Sync!$AD238=""),"",Sync!$AD238)</f>
        <v/>
      </c>
      <c r="Q242" t="str">
        <f>IF($G242="","",IF(Sync!$U238="","0000",IF(AND(ISNUMBER(Sync!$U238),Sync!$U238&gt;=0,Sync!$U238&lt;1),RIGHT("00"&amp;HOUR(Sync!$U238),2)&amp;RIGHT("00"&amp;MINUTE(Sync!$U238),2),IFERROR(RIGHT("00"&amp;VALUE(LEFT(Sync!$U238,FIND(":",Sync!$U238)-1)),2)&amp;RIGHT("00"&amp;VALUE(MID(Sync!$U238,FIND(":",Sync!$U238)+1,2)),2),"0000"))))</f>
        <v/>
      </c>
    </row>
    <row r="243" spans="1:17" x14ac:dyDescent="0.2">
      <c r="A243" t="str">
        <f>IF(Sync!$T239="","",Sync!$T239)</f>
        <v/>
      </c>
      <c r="B243" t="str">
        <f t="shared" si="18"/>
        <v/>
      </c>
      <c r="C243" t="str">
        <f t="shared" si="19"/>
        <v/>
      </c>
      <c r="D243" t="str">
        <f t="shared" si="20"/>
        <v/>
      </c>
      <c r="E243" t="str">
        <f t="shared" si="21"/>
        <v/>
      </c>
      <c r="F243" t="str">
        <f t="shared" si="22"/>
        <v/>
      </c>
      <c r="G243" t="str">
        <f>IF(OR($E243="",$E243="نامعتبر",Sync!$X239=""),"",IF(AND(LEFT(UPPER(TRIM(Sync!$X239)),2)="SL",IFERROR(VLOOKUP(Sync!$W239,OpTbl,3,0),"")="فروش"),UPPER(TRIM(Sync!$X239)),""))</f>
        <v/>
      </c>
      <c r="H243" t="str">
        <f>IF($G243="","",IF(Sync!$W239="","",Sync!$W239))</f>
        <v/>
      </c>
      <c r="I243" t="str">
        <f>IF(OR($G243="",Sync!$Y239=""),"",Sync!$Y239)</f>
        <v/>
      </c>
      <c r="J243" t="str">
        <f>IF(OR($G243="",Sync!$Z239=""),"",Sync!$Z239)</f>
        <v/>
      </c>
      <c r="K243">
        <f>IF($G243="",0,IF(Sync!$AA239="",0,Sync!$AA239))</f>
        <v>0</v>
      </c>
      <c r="L243">
        <f>IF($G243="",0,IF(Sync!$AB239="",0,Sync!$AB239))</f>
        <v>0</v>
      </c>
      <c r="M243" t="str">
        <f t="shared" si="23"/>
        <v/>
      </c>
      <c r="N243">
        <f>IF($G243="",0,IF($H243="مرجوعی فروش",-1,1)*IF(Sync!$AC239="",0,Sync!$AC239))</f>
        <v>0</v>
      </c>
      <c r="O243" t="str">
        <f>IF(OR($G243="",Sync!$V239=""),"",Sync!$V239)</f>
        <v/>
      </c>
      <c r="P243" t="str">
        <f>IF(OR($G243="",Sync!$AD239=""),"",Sync!$AD239)</f>
        <v/>
      </c>
      <c r="Q243" t="str">
        <f>IF($G243="","",IF(Sync!$U239="","0000",IF(AND(ISNUMBER(Sync!$U239),Sync!$U239&gt;=0,Sync!$U239&lt;1),RIGHT("00"&amp;HOUR(Sync!$U239),2)&amp;RIGHT("00"&amp;MINUTE(Sync!$U239),2),IFERROR(RIGHT("00"&amp;VALUE(LEFT(Sync!$U239,FIND(":",Sync!$U239)-1)),2)&amp;RIGHT("00"&amp;VALUE(MID(Sync!$U239,FIND(":",Sync!$U239)+1,2)),2),"0000"))))</f>
        <v/>
      </c>
    </row>
    <row r="244" spans="1:17" x14ac:dyDescent="0.2">
      <c r="A244" t="str">
        <f>IF(Sync!$T240="","",Sync!$T240)</f>
        <v/>
      </c>
      <c r="B244" t="str">
        <f t="shared" si="18"/>
        <v/>
      </c>
      <c r="C244" t="str">
        <f t="shared" si="19"/>
        <v/>
      </c>
      <c r="D244" t="str">
        <f t="shared" si="20"/>
        <v/>
      </c>
      <c r="E244" t="str">
        <f t="shared" si="21"/>
        <v/>
      </c>
      <c r="F244" t="str">
        <f t="shared" si="22"/>
        <v/>
      </c>
      <c r="G244" t="str">
        <f>IF(OR($E244="",$E244="نامعتبر",Sync!$X240=""),"",IF(AND(LEFT(UPPER(TRIM(Sync!$X240)),2)="SL",IFERROR(VLOOKUP(Sync!$W240,OpTbl,3,0),"")="فروش"),UPPER(TRIM(Sync!$X240)),""))</f>
        <v/>
      </c>
      <c r="H244" t="str">
        <f>IF($G244="","",IF(Sync!$W240="","",Sync!$W240))</f>
        <v/>
      </c>
      <c r="I244" t="str">
        <f>IF(OR($G244="",Sync!$Y240=""),"",Sync!$Y240)</f>
        <v/>
      </c>
      <c r="J244" t="str">
        <f>IF(OR($G244="",Sync!$Z240=""),"",Sync!$Z240)</f>
        <v/>
      </c>
      <c r="K244">
        <f>IF($G244="",0,IF(Sync!$AA240="",0,Sync!$AA240))</f>
        <v>0</v>
      </c>
      <c r="L244">
        <f>IF($G244="",0,IF(Sync!$AB240="",0,Sync!$AB240))</f>
        <v>0</v>
      </c>
      <c r="M244" t="str">
        <f t="shared" si="23"/>
        <v/>
      </c>
      <c r="N244">
        <f>IF($G244="",0,IF($H244="مرجوعی فروش",-1,1)*IF(Sync!$AC240="",0,Sync!$AC240))</f>
        <v>0</v>
      </c>
      <c r="O244" t="str">
        <f>IF(OR($G244="",Sync!$V240=""),"",Sync!$V240)</f>
        <v/>
      </c>
      <c r="P244" t="str">
        <f>IF(OR($G244="",Sync!$AD240=""),"",Sync!$AD240)</f>
        <v/>
      </c>
      <c r="Q244" t="str">
        <f>IF($G244="","",IF(Sync!$U240="","0000",IF(AND(ISNUMBER(Sync!$U240),Sync!$U240&gt;=0,Sync!$U240&lt;1),RIGHT("00"&amp;HOUR(Sync!$U240),2)&amp;RIGHT("00"&amp;MINUTE(Sync!$U240),2),IFERROR(RIGHT("00"&amp;VALUE(LEFT(Sync!$U240,FIND(":",Sync!$U240)-1)),2)&amp;RIGHT("00"&amp;VALUE(MID(Sync!$U240,FIND(":",Sync!$U240)+1,2)),2),"0000"))))</f>
        <v/>
      </c>
    </row>
    <row r="245" spans="1:17" x14ac:dyDescent="0.2">
      <c r="A245" t="str">
        <f>IF(Sync!$T241="","",Sync!$T241)</f>
        <v/>
      </c>
      <c r="B245" t="str">
        <f t="shared" si="18"/>
        <v/>
      </c>
      <c r="C245" t="str">
        <f t="shared" si="19"/>
        <v/>
      </c>
      <c r="D245" t="str">
        <f t="shared" si="20"/>
        <v/>
      </c>
      <c r="E245" t="str">
        <f t="shared" si="21"/>
        <v/>
      </c>
      <c r="F245" t="str">
        <f t="shared" si="22"/>
        <v/>
      </c>
      <c r="G245" t="str">
        <f>IF(OR($E245="",$E245="نامعتبر",Sync!$X241=""),"",IF(AND(LEFT(UPPER(TRIM(Sync!$X241)),2)="SL",IFERROR(VLOOKUP(Sync!$W241,OpTbl,3,0),"")="فروش"),UPPER(TRIM(Sync!$X241)),""))</f>
        <v/>
      </c>
      <c r="H245" t="str">
        <f>IF($G245="","",IF(Sync!$W241="","",Sync!$W241))</f>
        <v/>
      </c>
      <c r="I245" t="str">
        <f>IF(OR($G245="",Sync!$Y241=""),"",Sync!$Y241)</f>
        <v/>
      </c>
      <c r="J245" t="str">
        <f>IF(OR($G245="",Sync!$Z241=""),"",Sync!$Z241)</f>
        <v/>
      </c>
      <c r="K245">
        <f>IF($G245="",0,IF(Sync!$AA241="",0,Sync!$AA241))</f>
        <v>0</v>
      </c>
      <c r="L245">
        <f>IF($G245="",0,IF(Sync!$AB241="",0,Sync!$AB241))</f>
        <v>0</v>
      </c>
      <c r="M245" t="str">
        <f t="shared" si="23"/>
        <v/>
      </c>
      <c r="N245">
        <f>IF($G245="",0,IF($H245="مرجوعی فروش",-1,1)*IF(Sync!$AC241="",0,Sync!$AC241))</f>
        <v>0</v>
      </c>
      <c r="O245" t="str">
        <f>IF(OR($G245="",Sync!$V241=""),"",Sync!$V241)</f>
        <v/>
      </c>
      <c r="P245" t="str">
        <f>IF(OR($G245="",Sync!$AD241=""),"",Sync!$AD241)</f>
        <v/>
      </c>
      <c r="Q245" t="str">
        <f>IF($G245="","",IF(Sync!$U241="","0000",IF(AND(ISNUMBER(Sync!$U241),Sync!$U241&gt;=0,Sync!$U241&lt;1),RIGHT("00"&amp;HOUR(Sync!$U241),2)&amp;RIGHT("00"&amp;MINUTE(Sync!$U241),2),IFERROR(RIGHT("00"&amp;VALUE(LEFT(Sync!$U241,FIND(":",Sync!$U241)-1)),2)&amp;RIGHT("00"&amp;VALUE(MID(Sync!$U241,FIND(":",Sync!$U241)+1,2)),2),"0000"))))</f>
        <v/>
      </c>
    </row>
    <row r="246" spans="1:17" x14ac:dyDescent="0.2">
      <c r="A246" t="str">
        <f>IF(Sync!$T242="","",Sync!$T242)</f>
        <v/>
      </c>
      <c r="B246" t="str">
        <f t="shared" si="18"/>
        <v/>
      </c>
      <c r="C246" t="str">
        <f t="shared" si="19"/>
        <v/>
      </c>
      <c r="D246" t="str">
        <f t="shared" si="20"/>
        <v/>
      </c>
      <c r="E246" t="str">
        <f t="shared" si="21"/>
        <v/>
      </c>
      <c r="F246" t="str">
        <f t="shared" si="22"/>
        <v/>
      </c>
      <c r="G246" t="str">
        <f>IF(OR($E246="",$E246="نامعتبر",Sync!$X242=""),"",IF(AND(LEFT(UPPER(TRIM(Sync!$X242)),2)="SL",IFERROR(VLOOKUP(Sync!$W242,OpTbl,3,0),"")="فروش"),UPPER(TRIM(Sync!$X242)),""))</f>
        <v/>
      </c>
      <c r="H246" t="str">
        <f>IF($G246="","",IF(Sync!$W242="","",Sync!$W242))</f>
        <v/>
      </c>
      <c r="I246" t="str">
        <f>IF(OR($G246="",Sync!$Y242=""),"",Sync!$Y242)</f>
        <v/>
      </c>
      <c r="J246" t="str">
        <f>IF(OR($G246="",Sync!$Z242=""),"",Sync!$Z242)</f>
        <v/>
      </c>
      <c r="K246">
        <f>IF($G246="",0,IF(Sync!$AA242="",0,Sync!$AA242))</f>
        <v>0</v>
      </c>
      <c r="L246">
        <f>IF($G246="",0,IF(Sync!$AB242="",0,Sync!$AB242))</f>
        <v>0</v>
      </c>
      <c r="M246" t="str">
        <f t="shared" si="23"/>
        <v/>
      </c>
      <c r="N246">
        <f>IF($G246="",0,IF($H246="مرجوعی فروش",-1,1)*IF(Sync!$AC242="",0,Sync!$AC242))</f>
        <v>0</v>
      </c>
      <c r="O246" t="str">
        <f>IF(OR($G246="",Sync!$V242=""),"",Sync!$V242)</f>
        <v/>
      </c>
      <c r="P246" t="str">
        <f>IF(OR($G246="",Sync!$AD242=""),"",Sync!$AD242)</f>
        <v/>
      </c>
      <c r="Q246" t="str">
        <f>IF($G246="","",IF(Sync!$U242="","0000",IF(AND(ISNUMBER(Sync!$U242),Sync!$U242&gt;=0,Sync!$U242&lt;1),RIGHT("00"&amp;HOUR(Sync!$U242),2)&amp;RIGHT("00"&amp;MINUTE(Sync!$U242),2),IFERROR(RIGHT("00"&amp;VALUE(LEFT(Sync!$U242,FIND(":",Sync!$U242)-1)),2)&amp;RIGHT("00"&amp;VALUE(MID(Sync!$U242,FIND(":",Sync!$U242)+1,2)),2),"0000"))))</f>
        <v/>
      </c>
    </row>
    <row r="247" spans="1:17" x14ac:dyDescent="0.2">
      <c r="A247" t="str">
        <f>IF(Sync!$T243="","",Sync!$T243)</f>
        <v/>
      </c>
      <c r="B247" t="str">
        <f t="shared" si="18"/>
        <v/>
      </c>
      <c r="C247" t="str">
        <f t="shared" si="19"/>
        <v/>
      </c>
      <c r="D247" t="str">
        <f t="shared" si="20"/>
        <v/>
      </c>
      <c r="E247" t="str">
        <f t="shared" si="21"/>
        <v/>
      </c>
      <c r="F247" t="str">
        <f t="shared" si="22"/>
        <v/>
      </c>
      <c r="G247" t="str">
        <f>IF(OR($E247="",$E247="نامعتبر",Sync!$X243=""),"",IF(AND(LEFT(UPPER(TRIM(Sync!$X243)),2)="SL",IFERROR(VLOOKUP(Sync!$W243,OpTbl,3,0),"")="فروش"),UPPER(TRIM(Sync!$X243)),""))</f>
        <v/>
      </c>
      <c r="H247" t="str">
        <f>IF($G247="","",IF(Sync!$W243="","",Sync!$W243))</f>
        <v/>
      </c>
      <c r="I247" t="str">
        <f>IF(OR($G247="",Sync!$Y243=""),"",Sync!$Y243)</f>
        <v/>
      </c>
      <c r="J247" t="str">
        <f>IF(OR($G247="",Sync!$Z243=""),"",Sync!$Z243)</f>
        <v/>
      </c>
      <c r="K247">
        <f>IF($G247="",0,IF(Sync!$AA243="",0,Sync!$AA243))</f>
        <v>0</v>
      </c>
      <c r="L247">
        <f>IF($G247="",0,IF(Sync!$AB243="",0,Sync!$AB243))</f>
        <v>0</v>
      </c>
      <c r="M247" t="str">
        <f t="shared" si="23"/>
        <v/>
      </c>
      <c r="N247">
        <f>IF($G247="",0,IF($H247="مرجوعی فروش",-1,1)*IF(Sync!$AC243="",0,Sync!$AC243))</f>
        <v>0</v>
      </c>
      <c r="O247" t="str">
        <f>IF(OR($G247="",Sync!$V243=""),"",Sync!$V243)</f>
        <v/>
      </c>
      <c r="P247" t="str">
        <f>IF(OR($G247="",Sync!$AD243=""),"",Sync!$AD243)</f>
        <v/>
      </c>
      <c r="Q247" t="str">
        <f>IF($G247="","",IF(Sync!$U243="","0000",IF(AND(ISNUMBER(Sync!$U243),Sync!$U243&gt;=0,Sync!$U243&lt;1),RIGHT("00"&amp;HOUR(Sync!$U243),2)&amp;RIGHT("00"&amp;MINUTE(Sync!$U243),2),IFERROR(RIGHT("00"&amp;VALUE(LEFT(Sync!$U243,FIND(":",Sync!$U243)-1)),2)&amp;RIGHT("00"&amp;VALUE(MID(Sync!$U243,FIND(":",Sync!$U243)+1,2)),2),"0000"))))</f>
        <v/>
      </c>
    </row>
    <row r="248" spans="1:17" x14ac:dyDescent="0.2">
      <c r="A248" t="str">
        <f>IF(Sync!$T244="","",Sync!$T244)</f>
        <v/>
      </c>
      <c r="B248" t="str">
        <f t="shared" si="18"/>
        <v/>
      </c>
      <c r="C248" t="str">
        <f t="shared" si="19"/>
        <v/>
      </c>
      <c r="D248" t="str">
        <f t="shared" si="20"/>
        <v/>
      </c>
      <c r="E248" t="str">
        <f t="shared" si="21"/>
        <v/>
      </c>
      <c r="F248" t="str">
        <f t="shared" si="22"/>
        <v/>
      </c>
      <c r="G248" t="str">
        <f>IF(OR($E248="",$E248="نامعتبر",Sync!$X244=""),"",IF(AND(LEFT(UPPER(TRIM(Sync!$X244)),2)="SL",IFERROR(VLOOKUP(Sync!$W244,OpTbl,3,0),"")="فروش"),UPPER(TRIM(Sync!$X244)),""))</f>
        <v/>
      </c>
      <c r="H248" t="str">
        <f>IF($G248="","",IF(Sync!$W244="","",Sync!$W244))</f>
        <v/>
      </c>
      <c r="I248" t="str">
        <f>IF(OR($G248="",Sync!$Y244=""),"",Sync!$Y244)</f>
        <v/>
      </c>
      <c r="J248" t="str">
        <f>IF(OR($G248="",Sync!$Z244=""),"",Sync!$Z244)</f>
        <v/>
      </c>
      <c r="K248">
        <f>IF($G248="",0,IF(Sync!$AA244="",0,Sync!$AA244))</f>
        <v>0</v>
      </c>
      <c r="L248">
        <f>IF($G248="",0,IF(Sync!$AB244="",0,Sync!$AB244))</f>
        <v>0</v>
      </c>
      <c r="M248" t="str">
        <f t="shared" si="23"/>
        <v/>
      </c>
      <c r="N248">
        <f>IF($G248="",0,IF($H248="مرجوعی فروش",-1,1)*IF(Sync!$AC244="",0,Sync!$AC244))</f>
        <v>0</v>
      </c>
      <c r="O248" t="str">
        <f>IF(OR($G248="",Sync!$V244=""),"",Sync!$V244)</f>
        <v/>
      </c>
      <c r="P248" t="str">
        <f>IF(OR($G248="",Sync!$AD244=""),"",Sync!$AD244)</f>
        <v/>
      </c>
      <c r="Q248" t="str">
        <f>IF($G248="","",IF(Sync!$U244="","0000",IF(AND(ISNUMBER(Sync!$U244),Sync!$U244&gt;=0,Sync!$U244&lt;1),RIGHT("00"&amp;HOUR(Sync!$U244),2)&amp;RIGHT("00"&amp;MINUTE(Sync!$U244),2),IFERROR(RIGHT("00"&amp;VALUE(LEFT(Sync!$U244,FIND(":",Sync!$U244)-1)),2)&amp;RIGHT("00"&amp;VALUE(MID(Sync!$U244,FIND(":",Sync!$U244)+1,2)),2),"0000"))))</f>
        <v/>
      </c>
    </row>
    <row r="249" spans="1:17" x14ac:dyDescent="0.2">
      <c r="A249" t="str">
        <f>IF(Sync!$T245="","",Sync!$T245)</f>
        <v/>
      </c>
      <c r="B249" t="str">
        <f t="shared" si="18"/>
        <v/>
      </c>
      <c r="C249" t="str">
        <f t="shared" si="19"/>
        <v/>
      </c>
      <c r="D249" t="str">
        <f t="shared" si="20"/>
        <v/>
      </c>
      <c r="E249" t="str">
        <f t="shared" si="21"/>
        <v/>
      </c>
      <c r="F249" t="str">
        <f t="shared" si="22"/>
        <v/>
      </c>
      <c r="G249" t="str">
        <f>IF(OR($E249="",$E249="نامعتبر",Sync!$X245=""),"",IF(AND(LEFT(UPPER(TRIM(Sync!$X245)),2)="SL",IFERROR(VLOOKUP(Sync!$W245,OpTbl,3,0),"")="فروش"),UPPER(TRIM(Sync!$X245)),""))</f>
        <v/>
      </c>
      <c r="H249" t="str">
        <f>IF($G249="","",IF(Sync!$W245="","",Sync!$W245))</f>
        <v/>
      </c>
      <c r="I249" t="str">
        <f>IF(OR($G249="",Sync!$Y245=""),"",Sync!$Y245)</f>
        <v/>
      </c>
      <c r="J249" t="str">
        <f>IF(OR($G249="",Sync!$Z245=""),"",Sync!$Z245)</f>
        <v/>
      </c>
      <c r="K249">
        <f>IF($G249="",0,IF(Sync!$AA245="",0,Sync!$AA245))</f>
        <v>0</v>
      </c>
      <c r="L249">
        <f>IF($G249="",0,IF(Sync!$AB245="",0,Sync!$AB245))</f>
        <v>0</v>
      </c>
      <c r="M249" t="str">
        <f t="shared" si="23"/>
        <v/>
      </c>
      <c r="N249">
        <f>IF($G249="",0,IF($H249="مرجوعی فروش",-1,1)*IF(Sync!$AC245="",0,Sync!$AC245))</f>
        <v>0</v>
      </c>
      <c r="O249" t="str">
        <f>IF(OR($G249="",Sync!$V245=""),"",Sync!$V245)</f>
        <v/>
      </c>
      <c r="P249" t="str">
        <f>IF(OR($G249="",Sync!$AD245=""),"",Sync!$AD245)</f>
        <v/>
      </c>
      <c r="Q249" t="str">
        <f>IF($G249="","",IF(Sync!$U245="","0000",IF(AND(ISNUMBER(Sync!$U245),Sync!$U245&gt;=0,Sync!$U245&lt;1),RIGHT("00"&amp;HOUR(Sync!$U245),2)&amp;RIGHT("00"&amp;MINUTE(Sync!$U245),2),IFERROR(RIGHT("00"&amp;VALUE(LEFT(Sync!$U245,FIND(":",Sync!$U245)-1)),2)&amp;RIGHT("00"&amp;VALUE(MID(Sync!$U245,FIND(":",Sync!$U245)+1,2)),2),"0000"))))</f>
        <v/>
      </c>
    </row>
    <row r="250" spans="1:17" x14ac:dyDescent="0.2">
      <c r="A250" t="str">
        <f>IF(Sync!$T246="","",Sync!$T246)</f>
        <v/>
      </c>
      <c r="B250" t="str">
        <f t="shared" si="18"/>
        <v/>
      </c>
      <c r="C250" t="str">
        <f t="shared" si="19"/>
        <v/>
      </c>
      <c r="D250" t="str">
        <f t="shared" si="20"/>
        <v/>
      </c>
      <c r="E250" t="str">
        <f t="shared" si="21"/>
        <v/>
      </c>
      <c r="F250" t="str">
        <f t="shared" si="22"/>
        <v/>
      </c>
      <c r="G250" t="str">
        <f>IF(OR($E250="",$E250="نامعتبر",Sync!$X246=""),"",IF(AND(LEFT(UPPER(TRIM(Sync!$X246)),2)="SL",IFERROR(VLOOKUP(Sync!$W246,OpTbl,3,0),"")="فروش"),UPPER(TRIM(Sync!$X246)),""))</f>
        <v/>
      </c>
      <c r="H250" t="str">
        <f>IF($G250="","",IF(Sync!$W246="","",Sync!$W246))</f>
        <v/>
      </c>
      <c r="I250" t="str">
        <f>IF(OR($G250="",Sync!$Y246=""),"",Sync!$Y246)</f>
        <v/>
      </c>
      <c r="J250" t="str">
        <f>IF(OR($G250="",Sync!$Z246=""),"",Sync!$Z246)</f>
        <v/>
      </c>
      <c r="K250">
        <f>IF($G250="",0,IF(Sync!$AA246="",0,Sync!$AA246))</f>
        <v>0</v>
      </c>
      <c r="L250">
        <f>IF($G250="",0,IF(Sync!$AB246="",0,Sync!$AB246))</f>
        <v>0</v>
      </c>
      <c r="M250" t="str">
        <f t="shared" si="23"/>
        <v/>
      </c>
      <c r="N250">
        <f>IF($G250="",0,IF($H250="مرجوعی فروش",-1,1)*IF(Sync!$AC246="",0,Sync!$AC246))</f>
        <v>0</v>
      </c>
      <c r="O250" t="str">
        <f>IF(OR($G250="",Sync!$V246=""),"",Sync!$V246)</f>
        <v/>
      </c>
      <c r="P250" t="str">
        <f>IF(OR($G250="",Sync!$AD246=""),"",Sync!$AD246)</f>
        <v/>
      </c>
      <c r="Q250" t="str">
        <f>IF($G250="","",IF(Sync!$U246="","0000",IF(AND(ISNUMBER(Sync!$U246),Sync!$U246&gt;=0,Sync!$U246&lt;1),RIGHT("00"&amp;HOUR(Sync!$U246),2)&amp;RIGHT("00"&amp;MINUTE(Sync!$U246),2),IFERROR(RIGHT("00"&amp;VALUE(LEFT(Sync!$U246,FIND(":",Sync!$U246)-1)),2)&amp;RIGHT("00"&amp;VALUE(MID(Sync!$U246,FIND(":",Sync!$U246)+1,2)),2),"0000"))))</f>
        <v/>
      </c>
    </row>
    <row r="251" spans="1:17" x14ac:dyDescent="0.2">
      <c r="A251" t="str">
        <f>IF(Sync!$T247="","",Sync!$T247)</f>
        <v/>
      </c>
      <c r="B251" t="str">
        <f t="shared" si="18"/>
        <v/>
      </c>
      <c r="C251" t="str">
        <f t="shared" si="19"/>
        <v/>
      </c>
      <c r="D251" t="str">
        <f t="shared" si="20"/>
        <v/>
      </c>
      <c r="E251" t="str">
        <f t="shared" si="21"/>
        <v/>
      </c>
      <c r="F251" t="str">
        <f t="shared" si="22"/>
        <v/>
      </c>
      <c r="G251" t="str">
        <f>IF(OR($E251="",$E251="نامعتبر",Sync!$X247=""),"",IF(AND(LEFT(UPPER(TRIM(Sync!$X247)),2)="SL",IFERROR(VLOOKUP(Sync!$W247,OpTbl,3,0),"")="فروش"),UPPER(TRIM(Sync!$X247)),""))</f>
        <v/>
      </c>
      <c r="H251" t="str">
        <f>IF($G251="","",IF(Sync!$W247="","",Sync!$W247))</f>
        <v/>
      </c>
      <c r="I251" t="str">
        <f>IF(OR($G251="",Sync!$Y247=""),"",Sync!$Y247)</f>
        <v/>
      </c>
      <c r="J251" t="str">
        <f>IF(OR($G251="",Sync!$Z247=""),"",Sync!$Z247)</f>
        <v/>
      </c>
      <c r="K251">
        <f>IF($G251="",0,IF(Sync!$AA247="",0,Sync!$AA247))</f>
        <v>0</v>
      </c>
      <c r="L251">
        <f>IF($G251="",0,IF(Sync!$AB247="",0,Sync!$AB247))</f>
        <v>0</v>
      </c>
      <c r="M251" t="str">
        <f t="shared" si="23"/>
        <v/>
      </c>
      <c r="N251">
        <f>IF($G251="",0,IF($H251="مرجوعی فروش",-1,1)*IF(Sync!$AC247="",0,Sync!$AC247))</f>
        <v>0</v>
      </c>
      <c r="O251" t="str">
        <f>IF(OR($G251="",Sync!$V247=""),"",Sync!$V247)</f>
        <v/>
      </c>
      <c r="P251" t="str">
        <f>IF(OR($G251="",Sync!$AD247=""),"",Sync!$AD247)</f>
        <v/>
      </c>
      <c r="Q251" t="str">
        <f>IF($G251="","",IF(Sync!$U247="","0000",IF(AND(ISNUMBER(Sync!$U247),Sync!$U247&gt;=0,Sync!$U247&lt;1),RIGHT("00"&amp;HOUR(Sync!$U247),2)&amp;RIGHT("00"&amp;MINUTE(Sync!$U247),2),IFERROR(RIGHT("00"&amp;VALUE(LEFT(Sync!$U247,FIND(":",Sync!$U247)-1)),2)&amp;RIGHT("00"&amp;VALUE(MID(Sync!$U247,FIND(":",Sync!$U247)+1,2)),2),"0000"))))</f>
        <v/>
      </c>
    </row>
    <row r="252" spans="1:17" x14ac:dyDescent="0.2">
      <c r="A252" t="str">
        <f>IF(Sync!$T248="","",Sync!$T248)</f>
        <v/>
      </c>
      <c r="B252" t="str">
        <f t="shared" si="18"/>
        <v/>
      </c>
      <c r="C252" t="str">
        <f t="shared" si="19"/>
        <v/>
      </c>
      <c r="D252" t="str">
        <f t="shared" si="20"/>
        <v/>
      </c>
      <c r="E252" t="str">
        <f t="shared" si="21"/>
        <v/>
      </c>
      <c r="F252" t="str">
        <f t="shared" si="22"/>
        <v/>
      </c>
      <c r="G252" t="str">
        <f>IF(OR($E252="",$E252="نامعتبر",Sync!$X248=""),"",IF(AND(LEFT(UPPER(TRIM(Sync!$X248)),2)="SL",IFERROR(VLOOKUP(Sync!$W248,OpTbl,3,0),"")="فروش"),UPPER(TRIM(Sync!$X248)),""))</f>
        <v/>
      </c>
      <c r="H252" t="str">
        <f>IF($G252="","",IF(Sync!$W248="","",Sync!$W248))</f>
        <v/>
      </c>
      <c r="I252" t="str">
        <f>IF(OR($G252="",Sync!$Y248=""),"",Sync!$Y248)</f>
        <v/>
      </c>
      <c r="J252" t="str">
        <f>IF(OR($G252="",Sync!$Z248=""),"",Sync!$Z248)</f>
        <v/>
      </c>
      <c r="K252">
        <f>IF($G252="",0,IF(Sync!$AA248="",0,Sync!$AA248))</f>
        <v>0</v>
      </c>
      <c r="L252">
        <f>IF($G252="",0,IF(Sync!$AB248="",0,Sync!$AB248))</f>
        <v>0</v>
      </c>
      <c r="M252" t="str">
        <f t="shared" si="23"/>
        <v/>
      </c>
      <c r="N252">
        <f>IF($G252="",0,IF($H252="مرجوعی فروش",-1,1)*IF(Sync!$AC248="",0,Sync!$AC248))</f>
        <v>0</v>
      </c>
      <c r="O252" t="str">
        <f>IF(OR($G252="",Sync!$V248=""),"",Sync!$V248)</f>
        <v/>
      </c>
      <c r="P252" t="str">
        <f>IF(OR($G252="",Sync!$AD248=""),"",Sync!$AD248)</f>
        <v/>
      </c>
      <c r="Q252" t="str">
        <f>IF($G252="","",IF(Sync!$U248="","0000",IF(AND(ISNUMBER(Sync!$U248),Sync!$U248&gt;=0,Sync!$U248&lt;1),RIGHT("00"&amp;HOUR(Sync!$U248),2)&amp;RIGHT("00"&amp;MINUTE(Sync!$U248),2),IFERROR(RIGHT("00"&amp;VALUE(LEFT(Sync!$U248,FIND(":",Sync!$U248)-1)),2)&amp;RIGHT("00"&amp;VALUE(MID(Sync!$U248,FIND(":",Sync!$U248)+1,2)),2),"0000"))))</f>
        <v/>
      </c>
    </row>
    <row r="253" spans="1:17" x14ac:dyDescent="0.2">
      <c r="A253" t="str">
        <f>IF(Sync!$T249="","",Sync!$T249)</f>
        <v/>
      </c>
      <c r="B253" t="str">
        <f t="shared" si="18"/>
        <v/>
      </c>
      <c r="C253" t="str">
        <f t="shared" si="19"/>
        <v/>
      </c>
      <c r="D253" t="str">
        <f t="shared" si="20"/>
        <v/>
      </c>
      <c r="E253" t="str">
        <f t="shared" si="21"/>
        <v/>
      </c>
      <c r="F253" t="str">
        <f t="shared" si="22"/>
        <v/>
      </c>
      <c r="G253" t="str">
        <f>IF(OR($E253="",$E253="نامعتبر",Sync!$X249=""),"",IF(AND(LEFT(UPPER(TRIM(Sync!$X249)),2)="SL",IFERROR(VLOOKUP(Sync!$W249,OpTbl,3,0),"")="فروش"),UPPER(TRIM(Sync!$X249)),""))</f>
        <v/>
      </c>
      <c r="H253" t="str">
        <f>IF($G253="","",IF(Sync!$W249="","",Sync!$W249))</f>
        <v/>
      </c>
      <c r="I253" t="str">
        <f>IF(OR($G253="",Sync!$Y249=""),"",Sync!$Y249)</f>
        <v/>
      </c>
      <c r="J253" t="str">
        <f>IF(OR($G253="",Sync!$Z249=""),"",Sync!$Z249)</f>
        <v/>
      </c>
      <c r="K253">
        <f>IF($G253="",0,IF(Sync!$AA249="",0,Sync!$AA249))</f>
        <v>0</v>
      </c>
      <c r="L253">
        <f>IF($G253="",0,IF(Sync!$AB249="",0,Sync!$AB249))</f>
        <v>0</v>
      </c>
      <c r="M253" t="str">
        <f t="shared" si="23"/>
        <v/>
      </c>
      <c r="N253">
        <f>IF($G253="",0,IF($H253="مرجوعی فروش",-1,1)*IF(Sync!$AC249="",0,Sync!$AC249))</f>
        <v>0</v>
      </c>
      <c r="O253" t="str">
        <f>IF(OR($G253="",Sync!$V249=""),"",Sync!$V249)</f>
        <v/>
      </c>
      <c r="P253" t="str">
        <f>IF(OR($G253="",Sync!$AD249=""),"",Sync!$AD249)</f>
        <v/>
      </c>
      <c r="Q253" t="str">
        <f>IF($G253="","",IF(Sync!$U249="","0000",IF(AND(ISNUMBER(Sync!$U249),Sync!$U249&gt;=0,Sync!$U249&lt;1),RIGHT("00"&amp;HOUR(Sync!$U249),2)&amp;RIGHT("00"&amp;MINUTE(Sync!$U249),2),IFERROR(RIGHT("00"&amp;VALUE(LEFT(Sync!$U249,FIND(":",Sync!$U249)-1)),2)&amp;RIGHT("00"&amp;VALUE(MID(Sync!$U249,FIND(":",Sync!$U249)+1,2)),2),"0000"))))</f>
        <v/>
      </c>
    </row>
    <row r="254" spans="1:17" x14ac:dyDescent="0.2">
      <c r="A254" t="str">
        <f>IF(Sync!$T250="","",Sync!$T250)</f>
        <v/>
      </c>
      <c r="B254" t="str">
        <f t="shared" si="18"/>
        <v/>
      </c>
      <c r="C254" t="str">
        <f t="shared" si="19"/>
        <v/>
      </c>
      <c r="D254" t="str">
        <f t="shared" si="20"/>
        <v/>
      </c>
      <c r="E254" t="str">
        <f t="shared" si="21"/>
        <v/>
      </c>
      <c r="F254" t="str">
        <f t="shared" si="22"/>
        <v/>
      </c>
      <c r="G254" t="str">
        <f>IF(OR($E254="",$E254="نامعتبر",Sync!$X250=""),"",IF(AND(LEFT(UPPER(TRIM(Sync!$X250)),2)="SL",IFERROR(VLOOKUP(Sync!$W250,OpTbl,3,0),"")="فروش"),UPPER(TRIM(Sync!$X250)),""))</f>
        <v/>
      </c>
      <c r="H254" t="str">
        <f>IF($G254="","",IF(Sync!$W250="","",Sync!$W250))</f>
        <v/>
      </c>
      <c r="I254" t="str">
        <f>IF(OR($G254="",Sync!$Y250=""),"",Sync!$Y250)</f>
        <v/>
      </c>
      <c r="J254" t="str">
        <f>IF(OR($G254="",Sync!$Z250=""),"",Sync!$Z250)</f>
        <v/>
      </c>
      <c r="K254">
        <f>IF($G254="",0,IF(Sync!$AA250="",0,Sync!$AA250))</f>
        <v>0</v>
      </c>
      <c r="L254">
        <f>IF($G254="",0,IF(Sync!$AB250="",0,Sync!$AB250))</f>
        <v>0</v>
      </c>
      <c r="M254" t="str">
        <f t="shared" si="23"/>
        <v/>
      </c>
      <c r="N254">
        <f>IF($G254="",0,IF($H254="مرجوعی فروش",-1,1)*IF(Sync!$AC250="",0,Sync!$AC250))</f>
        <v>0</v>
      </c>
      <c r="O254" t="str">
        <f>IF(OR($G254="",Sync!$V250=""),"",Sync!$V250)</f>
        <v/>
      </c>
      <c r="P254" t="str">
        <f>IF(OR($G254="",Sync!$AD250=""),"",Sync!$AD250)</f>
        <v/>
      </c>
      <c r="Q254" t="str">
        <f>IF($G254="","",IF(Sync!$U250="","0000",IF(AND(ISNUMBER(Sync!$U250),Sync!$U250&gt;=0,Sync!$U250&lt;1),RIGHT("00"&amp;HOUR(Sync!$U250),2)&amp;RIGHT("00"&amp;MINUTE(Sync!$U250),2),IFERROR(RIGHT("00"&amp;VALUE(LEFT(Sync!$U250,FIND(":",Sync!$U250)-1)),2)&amp;RIGHT("00"&amp;VALUE(MID(Sync!$U250,FIND(":",Sync!$U250)+1,2)),2),"0000"))))</f>
        <v/>
      </c>
    </row>
    <row r="255" spans="1:17" x14ac:dyDescent="0.2">
      <c r="A255" t="str">
        <f>IF(Sync!$T251="","",Sync!$T251)</f>
        <v/>
      </c>
      <c r="B255" t="str">
        <f t="shared" si="18"/>
        <v/>
      </c>
      <c r="C255" t="str">
        <f t="shared" si="19"/>
        <v/>
      </c>
      <c r="D255" t="str">
        <f t="shared" si="20"/>
        <v/>
      </c>
      <c r="E255" t="str">
        <f t="shared" si="21"/>
        <v/>
      </c>
      <c r="F255" t="str">
        <f t="shared" si="22"/>
        <v/>
      </c>
      <c r="G255" t="str">
        <f>IF(OR($E255="",$E255="نامعتبر",Sync!$X251=""),"",IF(AND(LEFT(UPPER(TRIM(Sync!$X251)),2)="SL",IFERROR(VLOOKUP(Sync!$W251,OpTbl,3,0),"")="فروش"),UPPER(TRIM(Sync!$X251)),""))</f>
        <v/>
      </c>
      <c r="H255" t="str">
        <f>IF($G255="","",IF(Sync!$W251="","",Sync!$W251))</f>
        <v/>
      </c>
      <c r="I255" t="str">
        <f>IF(OR($G255="",Sync!$Y251=""),"",Sync!$Y251)</f>
        <v/>
      </c>
      <c r="J255" t="str">
        <f>IF(OR($G255="",Sync!$Z251=""),"",Sync!$Z251)</f>
        <v/>
      </c>
      <c r="K255">
        <f>IF($G255="",0,IF(Sync!$AA251="",0,Sync!$AA251))</f>
        <v>0</v>
      </c>
      <c r="L255">
        <f>IF($G255="",0,IF(Sync!$AB251="",0,Sync!$AB251))</f>
        <v>0</v>
      </c>
      <c r="M255" t="str">
        <f t="shared" si="23"/>
        <v/>
      </c>
      <c r="N255">
        <f>IF($G255="",0,IF($H255="مرجوعی فروش",-1,1)*IF(Sync!$AC251="",0,Sync!$AC251))</f>
        <v>0</v>
      </c>
      <c r="O255" t="str">
        <f>IF(OR($G255="",Sync!$V251=""),"",Sync!$V251)</f>
        <v/>
      </c>
      <c r="P255" t="str">
        <f>IF(OR($G255="",Sync!$AD251=""),"",Sync!$AD251)</f>
        <v/>
      </c>
      <c r="Q255" t="str">
        <f>IF($G255="","",IF(Sync!$U251="","0000",IF(AND(ISNUMBER(Sync!$U251),Sync!$U251&gt;=0,Sync!$U251&lt;1),RIGHT("00"&amp;HOUR(Sync!$U251),2)&amp;RIGHT("00"&amp;MINUTE(Sync!$U251),2),IFERROR(RIGHT("00"&amp;VALUE(LEFT(Sync!$U251,FIND(":",Sync!$U251)-1)),2)&amp;RIGHT("00"&amp;VALUE(MID(Sync!$U251,FIND(":",Sync!$U251)+1,2)),2),"0000"))))</f>
        <v/>
      </c>
    </row>
    <row r="256" spans="1:17" x14ac:dyDescent="0.2">
      <c r="A256" t="str">
        <f>IF(Sync!$T252="","",Sync!$T252)</f>
        <v/>
      </c>
      <c r="B256" t="str">
        <f t="shared" si="18"/>
        <v/>
      </c>
      <c r="C256" t="str">
        <f t="shared" si="19"/>
        <v/>
      </c>
      <c r="D256" t="str">
        <f t="shared" si="20"/>
        <v/>
      </c>
      <c r="E256" t="str">
        <f t="shared" si="21"/>
        <v/>
      </c>
      <c r="F256" t="str">
        <f t="shared" si="22"/>
        <v/>
      </c>
      <c r="G256" t="str">
        <f>IF(OR($E256="",$E256="نامعتبر",Sync!$X252=""),"",IF(AND(LEFT(UPPER(TRIM(Sync!$X252)),2)="SL",IFERROR(VLOOKUP(Sync!$W252,OpTbl,3,0),"")="فروش"),UPPER(TRIM(Sync!$X252)),""))</f>
        <v/>
      </c>
      <c r="H256" t="str">
        <f>IF($G256="","",IF(Sync!$W252="","",Sync!$W252))</f>
        <v/>
      </c>
      <c r="I256" t="str">
        <f>IF(OR($G256="",Sync!$Y252=""),"",Sync!$Y252)</f>
        <v/>
      </c>
      <c r="J256" t="str">
        <f>IF(OR($G256="",Sync!$Z252=""),"",Sync!$Z252)</f>
        <v/>
      </c>
      <c r="K256">
        <f>IF($G256="",0,IF(Sync!$AA252="",0,Sync!$AA252))</f>
        <v>0</v>
      </c>
      <c r="L256">
        <f>IF($G256="",0,IF(Sync!$AB252="",0,Sync!$AB252))</f>
        <v>0</v>
      </c>
      <c r="M256" t="str">
        <f t="shared" si="23"/>
        <v/>
      </c>
      <c r="N256">
        <f>IF($G256="",0,IF($H256="مرجوعی فروش",-1,1)*IF(Sync!$AC252="",0,Sync!$AC252))</f>
        <v>0</v>
      </c>
      <c r="O256" t="str">
        <f>IF(OR($G256="",Sync!$V252=""),"",Sync!$V252)</f>
        <v/>
      </c>
      <c r="P256" t="str">
        <f>IF(OR($G256="",Sync!$AD252=""),"",Sync!$AD252)</f>
        <v/>
      </c>
      <c r="Q256" t="str">
        <f>IF($G256="","",IF(Sync!$U252="","0000",IF(AND(ISNUMBER(Sync!$U252),Sync!$U252&gt;=0,Sync!$U252&lt;1),RIGHT("00"&amp;HOUR(Sync!$U252),2)&amp;RIGHT("00"&amp;MINUTE(Sync!$U252),2),IFERROR(RIGHT("00"&amp;VALUE(LEFT(Sync!$U252,FIND(":",Sync!$U252)-1)),2)&amp;RIGHT("00"&amp;VALUE(MID(Sync!$U252,FIND(":",Sync!$U252)+1,2)),2),"0000"))))</f>
        <v/>
      </c>
    </row>
    <row r="257" spans="1:17" x14ac:dyDescent="0.2">
      <c r="A257" t="str">
        <f>IF(Sync!$T253="","",Sync!$T253)</f>
        <v/>
      </c>
      <c r="B257" t="str">
        <f t="shared" si="18"/>
        <v/>
      </c>
      <c r="C257" t="str">
        <f t="shared" si="19"/>
        <v/>
      </c>
      <c r="D257" t="str">
        <f t="shared" si="20"/>
        <v/>
      </c>
      <c r="E257" t="str">
        <f t="shared" si="21"/>
        <v/>
      </c>
      <c r="F257" t="str">
        <f t="shared" si="22"/>
        <v/>
      </c>
      <c r="G257" t="str">
        <f>IF(OR($E257="",$E257="نامعتبر",Sync!$X253=""),"",IF(AND(LEFT(UPPER(TRIM(Sync!$X253)),2)="SL",IFERROR(VLOOKUP(Sync!$W253,OpTbl,3,0),"")="فروش"),UPPER(TRIM(Sync!$X253)),""))</f>
        <v/>
      </c>
      <c r="H257" t="str">
        <f>IF($G257="","",IF(Sync!$W253="","",Sync!$W253))</f>
        <v/>
      </c>
      <c r="I257" t="str">
        <f>IF(OR($G257="",Sync!$Y253=""),"",Sync!$Y253)</f>
        <v/>
      </c>
      <c r="J257" t="str">
        <f>IF(OR($G257="",Sync!$Z253=""),"",Sync!$Z253)</f>
        <v/>
      </c>
      <c r="K257">
        <f>IF($G257="",0,IF(Sync!$AA253="",0,Sync!$AA253))</f>
        <v>0</v>
      </c>
      <c r="L257">
        <f>IF($G257="",0,IF(Sync!$AB253="",0,Sync!$AB253))</f>
        <v>0</v>
      </c>
      <c r="M257" t="str">
        <f t="shared" si="23"/>
        <v/>
      </c>
      <c r="N257">
        <f>IF($G257="",0,IF($H257="مرجوعی فروش",-1,1)*IF(Sync!$AC253="",0,Sync!$AC253))</f>
        <v>0</v>
      </c>
      <c r="O257" t="str">
        <f>IF(OR($G257="",Sync!$V253=""),"",Sync!$V253)</f>
        <v/>
      </c>
      <c r="P257" t="str">
        <f>IF(OR($G257="",Sync!$AD253=""),"",Sync!$AD253)</f>
        <v/>
      </c>
      <c r="Q257" t="str">
        <f>IF($G257="","",IF(Sync!$U253="","0000",IF(AND(ISNUMBER(Sync!$U253),Sync!$U253&gt;=0,Sync!$U253&lt;1),RIGHT("00"&amp;HOUR(Sync!$U253),2)&amp;RIGHT("00"&amp;MINUTE(Sync!$U253),2),IFERROR(RIGHT("00"&amp;VALUE(LEFT(Sync!$U253,FIND(":",Sync!$U253)-1)),2)&amp;RIGHT("00"&amp;VALUE(MID(Sync!$U253,FIND(":",Sync!$U253)+1,2)),2),"0000"))))</f>
        <v/>
      </c>
    </row>
    <row r="258" spans="1:17" x14ac:dyDescent="0.2">
      <c r="A258" t="str">
        <f>IF(Sync!$T254="","",Sync!$T254)</f>
        <v/>
      </c>
      <c r="B258" t="str">
        <f t="shared" si="18"/>
        <v/>
      </c>
      <c r="C258" t="str">
        <f t="shared" si="19"/>
        <v/>
      </c>
      <c r="D258" t="str">
        <f t="shared" si="20"/>
        <v/>
      </c>
      <c r="E258" t="str">
        <f t="shared" si="21"/>
        <v/>
      </c>
      <c r="F258" t="str">
        <f t="shared" si="22"/>
        <v/>
      </c>
      <c r="G258" t="str">
        <f>IF(OR($E258="",$E258="نامعتبر",Sync!$X254=""),"",IF(AND(LEFT(UPPER(TRIM(Sync!$X254)),2)="SL",IFERROR(VLOOKUP(Sync!$W254,OpTbl,3,0),"")="فروش"),UPPER(TRIM(Sync!$X254)),""))</f>
        <v/>
      </c>
      <c r="H258" t="str">
        <f>IF($G258="","",IF(Sync!$W254="","",Sync!$W254))</f>
        <v/>
      </c>
      <c r="I258" t="str">
        <f>IF(OR($G258="",Sync!$Y254=""),"",Sync!$Y254)</f>
        <v/>
      </c>
      <c r="J258" t="str">
        <f>IF(OR($G258="",Sync!$Z254=""),"",Sync!$Z254)</f>
        <v/>
      </c>
      <c r="K258">
        <f>IF($G258="",0,IF(Sync!$AA254="",0,Sync!$AA254))</f>
        <v>0</v>
      </c>
      <c r="L258">
        <f>IF($G258="",0,IF(Sync!$AB254="",0,Sync!$AB254))</f>
        <v>0</v>
      </c>
      <c r="M258" t="str">
        <f t="shared" si="23"/>
        <v/>
      </c>
      <c r="N258">
        <f>IF($G258="",0,IF($H258="مرجوعی فروش",-1,1)*IF(Sync!$AC254="",0,Sync!$AC254))</f>
        <v>0</v>
      </c>
      <c r="O258" t="str">
        <f>IF(OR($G258="",Sync!$V254=""),"",Sync!$V254)</f>
        <v/>
      </c>
      <c r="P258" t="str">
        <f>IF(OR($G258="",Sync!$AD254=""),"",Sync!$AD254)</f>
        <v/>
      </c>
      <c r="Q258" t="str">
        <f>IF($G258="","",IF(Sync!$U254="","0000",IF(AND(ISNUMBER(Sync!$U254),Sync!$U254&gt;=0,Sync!$U254&lt;1),RIGHT("00"&amp;HOUR(Sync!$U254),2)&amp;RIGHT("00"&amp;MINUTE(Sync!$U254),2),IFERROR(RIGHT("00"&amp;VALUE(LEFT(Sync!$U254,FIND(":",Sync!$U254)-1)),2)&amp;RIGHT("00"&amp;VALUE(MID(Sync!$U254,FIND(":",Sync!$U254)+1,2)),2),"0000"))))</f>
        <v/>
      </c>
    </row>
    <row r="259" spans="1:17" x14ac:dyDescent="0.2">
      <c r="A259" t="str">
        <f>IF(Sync!$T255="","",Sync!$T255)</f>
        <v/>
      </c>
      <c r="B259" t="str">
        <f t="shared" si="18"/>
        <v/>
      </c>
      <c r="C259" t="str">
        <f t="shared" si="19"/>
        <v/>
      </c>
      <c r="D259" t="str">
        <f t="shared" si="20"/>
        <v/>
      </c>
      <c r="E259" t="str">
        <f t="shared" si="21"/>
        <v/>
      </c>
      <c r="F259" t="str">
        <f t="shared" si="22"/>
        <v/>
      </c>
      <c r="G259" t="str">
        <f>IF(OR($E259="",$E259="نامعتبر",Sync!$X255=""),"",IF(AND(LEFT(UPPER(TRIM(Sync!$X255)),2)="SL",IFERROR(VLOOKUP(Sync!$W255,OpTbl,3,0),"")="فروش"),UPPER(TRIM(Sync!$X255)),""))</f>
        <v/>
      </c>
      <c r="H259" t="str">
        <f>IF($G259="","",IF(Sync!$W255="","",Sync!$W255))</f>
        <v/>
      </c>
      <c r="I259" t="str">
        <f>IF(OR($G259="",Sync!$Y255=""),"",Sync!$Y255)</f>
        <v/>
      </c>
      <c r="J259" t="str">
        <f>IF(OR($G259="",Sync!$Z255=""),"",Sync!$Z255)</f>
        <v/>
      </c>
      <c r="K259">
        <f>IF($G259="",0,IF(Sync!$AA255="",0,Sync!$AA255))</f>
        <v>0</v>
      </c>
      <c r="L259">
        <f>IF($G259="",0,IF(Sync!$AB255="",0,Sync!$AB255))</f>
        <v>0</v>
      </c>
      <c r="M259" t="str">
        <f t="shared" si="23"/>
        <v/>
      </c>
      <c r="N259">
        <f>IF($G259="",0,IF($H259="مرجوعی فروش",-1,1)*IF(Sync!$AC255="",0,Sync!$AC255))</f>
        <v>0</v>
      </c>
      <c r="O259" t="str">
        <f>IF(OR($G259="",Sync!$V255=""),"",Sync!$V255)</f>
        <v/>
      </c>
      <c r="P259" t="str">
        <f>IF(OR($G259="",Sync!$AD255=""),"",Sync!$AD255)</f>
        <v/>
      </c>
      <c r="Q259" t="str">
        <f>IF($G259="","",IF(Sync!$U255="","0000",IF(AND(ISNUMBER(Sync!$U255),Sync!$U255&gt;=0,Sync!$U255&lt;1),RIGHT("00"&amp;HOUR(Sync!$U255),2)&amp;RIGHT("00"&amp;MINUTE(Sync!$U255),2),IFERROR(RIGHT("00"&amp;VALUE(LEFT(Sync!$U255,FIND(":",Sync!$U255)-1)),2)&amp;RIGHT("00"&amp;VALUE(MID(Sync!$U255,FIND(":",Sync!$U255)+1,2)),2),"0000"))))</f>
        <v/>
      </c>
    </row>
    <row r="260" spans="1:17" x14ac:dyDescent="0.2">
      <c r="A260" t="str">
        <f>IF(Sync!$T256="","",Sync!$T256)</f>
        <v/>
      </c>
      <c r="B260" t="str">
        <f t="shared" si="18"/>
        <v/>
      </c>
      <c r="C260" t="str">
        <f t="shared" si="19"/>
        <v/>
      </c>
      <c r="D260" t="str">
        <f t="shared" si="20"/>
        <v/>
      </c>
      <c r="E260" t="str">
        <f t="shared" si="21"/>
        <v/>
      </c>
      <c r="F260" t="str">
        <f t="shared" si="22"/>
        <v/>
      </c>
      <c r="G260" t="str">
        <f>IF(OR($E260="",$E260="نامعتبر",Sync!$X256=""),"",IF(AND(LEFT(UPPER(TRIM(Sync!$X256)),2)="SL",IFERROR(VLOOKUP(Sync!$W256,OpTbl,3,0),"")="فروش"),UPPER(TRIM(Sync!$X256)),""))</f>
        <v/>
      </c>
      <c r="H260" t="str">
        <f>IF($G260="","",IF(Sync!$W256="","",Sync!$W256))</f>
        <v/>
      </c>
      <c r="I260" t="str">
        <f>IF(OR($G260="",Sync!$Y256=""),"",Sync!$Y256)</f>
        <v/>
      </c>
      <c r="J260" t="str">
        <f>IF(OR($G260="",Sync!$Z256=""),"",Sync!$Z256)</f>
        <v/>
      </c>
      <c r="K260">
        <f>IF($G260="",0,IF(Sync!$AA256="",0,Sync!$AA256))</f>
        <v>0</v>
      </c>
      <c r="L260">
        <f>IF($G260="",0,IF(Sync!$AB256="",0,Sync!$AB256))</f>
        <v>0</v>
      </c>
      <c r="M260" t="str">
        <f t="shared" si="23"/>
        <v/>
      </c>
      <c r="N260">
        <f>IF($G260="",0,IF($H260="مرجوعی فروش",-1,1)*IF(Sync!$AC256="",0,Sync!$AC256))</f>
        <v>0</v>
      </c>
      <c r="O260" t="str">
        <f>IF(OR($G260="",Sync!$V256=""),"",Sync!$V256)</f>
        <v/>
      </c>
      <c r="P260" t="str">
        <f>IF(OR($G260="",Sync!$AD256=""),"",Sync!$AD256)</f>
        <v/>
      </c>
      <c r="Q260" t="str">
        <f>IF($G260="","",IF(Sync!$U256="","0000",IF(AND(ISNUMBER(Sync!$U256),Sync!$U256&gt;=0,Sync!$U256&lt;1),RIGHT("00"&amp;HOUR(Sync!$U256),2)&amp;RIGHT("00"&amp;MINUTE(Sync!$U256),2),IFERROR(RIGHT("00"&amp;VALUE(LEFT(Sync!$U256,FIND(":",Sync!$U256)-1)),2)&amp;RIGHT("00"&amp;VALUE(MID(Sync!$U256,FIND(":",Sync!$U256)+1,2)),2),"0000"))))</f>
        <v/>
      </c>
    </row>
    <row r="261" spans="1:17" x14ac:dyDescent="0.2">
      <c r="A261" t="str">
        <f>IF(Sync!$T257="","",Sync!$T257)</f>
        <v/>
      </c>
      <c r="B261" t="str">
        <f t="shared" si="18"/>
        <v/>
      </c>
      <c r="C261" t="str">
        <f t="shared" si="19"/>
        <v/>
      </c>
      <c r="D261" t="str">
        <f t="shared" si="20"/>
        <v/>
      </c>
      <c r="E261" t="str">
        <f t="shared" si="21"/>
        <v/>
      </c>
      <c r="F261" t="str">
        <f t="shared" si="22"/>
        <v/>
      </c>
      <c r="G261" t="str">
        <f>IF(OR($E261="",$E261="نامعتبر",Sync!$X257=""),"",IF(AND(LEFT(UPPER(TRIM(Sync!$X257)),2)="SL",IFERROR(VLOOKUP(Sync!$W257,OpTbl,3,0),"")="فروش"),UPPER(TRIM(Sync!$X257)),""))</f>
        <v/>
      </c>
      <c r="H261" t="str">
        <f>IF($G261="","",IF(Sync!$W257="","",Sync!$W257))</f>
        <v/>
      </c>
      <c r="I261" t="str">
        <f>IF(OR($G261="",Sync!$Y257=""),"",Sync!$Y257)</f>
        <v/>
      </c>
      <c r="J261" t="str">
        <f>IF(OR($G261="",Sync!$Z257=""),"",Sync!$Z257)</f>
        <v/>
      </c>
      <c r="K261">
        <f>IF($G261="",0,IF(Sync!$AA257="",0,Sync!$AA257))</f>
        <v>0</v>
      </c>
      <c r="L261">
        <f>IF($G261="",0,IF(Sync!$AB257="",0,Sync!$AB257))</f>
        <v>0</v>
      </c>
      <c r="M261" t="str">
        <f t="shared" si="23"/>
        <v/>
      </c>
      <c r="N261">
        <f>IF($G261="",0,IF($H261="مرجوعی فروش",-1,1)*IF(Sync!$AC257="",0,Sync!$AC257))</f>
        <v>0</v>
      </c>
      <c r="O261" t="str">
        <f>IF(OR($G261="",Sync!$V257=""),"",Sync!$V257)</f>
        <v/>
      </c>
      <c r="P261" t="str">
        <f>IF(OR($G261="",Sync!$AD257=""),"",Sync!$AD257)</f>
        <v/>
      </c>
      <c r="Q261" t="str">
        <f>IF($G261="","",IF(Sync!$U257="","0000",IF(AND(ISNUMBER(Sync!$U257),Sync!$U257&gt;=0,Sync!$U257&lt;1),RIGHT("00"&amp;HOUR(Sync!$U257),2)&amp;RIGHT("00"&amp;MINUTE(Sync!$U257),2),IFERROR(RIGHT("00"&amp;VALUE(LEFT(Sync!$U257,FIND(":",Sync!$U257)-1)),2)&amp;RIGHT("00"&amp;VALUE(MID(Sync!$U257,FIND(":",Sync!$U257)+1,2)),2),"0000"))))</f>
        <v/>
      </c>
    </row>
    <row r="262" spans="1:17" x14ac:dyDescent="0.2">
      <c r="A262" t="str">
        <f>IF(Sync!$T258="","",Sync!$T258)</f>
        <v/>
      </c>
      <c r="B262" t="str">
        <f t="shared" si="18"/>
        <v/>
      </c>
      <c r="C262" t="str">
        <f t="shared" si="19"/>
        <v/>
      </c>
      <c r="D262" t="str">
        <f t="shared" si="20"/>
        <v/>
      </c>
      <c r="E262" t="str">
        <f t="shared" si="21"/>
        <v/>
      </c>
      <c r="F262" t="str">
        <f t="shared" si="22"/>
        <v/>
      </c>
      <c r="G262" t="str">
        <f>IF(OR($E262="",$E262="نامعتبر",Sync!$X258=""),"",IF(AND(LEFT(UPPER(TRIM(Sync!$X258)),2)="SL",IFERROR(VLOOKUP(Sync!$W258,OpTbl,3,0),"")="فروش"),UPPER(TRIM(Sync!$X258)),""))</f>
        <v/>
      </c>
      <c r="H262" t="str">
        <f>IF($G262="","",IF(Sync!$W258="","",Sync!$W258))</f>
        <v/>
      </c>
      <c r="I262" t="str">
        <f>IF(OR($G262="",Sync!$Y258=""),"",Sync!$Y258)</f>
        <v/>
      </c>
      <c r="J262" t="str">
        <f>IF(OR($G262="",Sync!$Z258=""),"",Sync!$Z258)</f>
        <v/>
      </c>
      <c r="K262">
        <f>IF($G262="",0,IF(Sync!$AA258="",0,Sync!$AA258))</f>
        <v>0</v>
      </c>
      <c r="L262">
        <f>IF($G262="",0,IF(Sync!$AB258="",0,Sync!$AB258))</f>
        <v>0</v>
      </c>
      <c r="M262" t="str">
        <f t="shared" si="23"/>
        <v/>
      </c>
      <c r="N262">
        <f>IF($G262="",0,IF($H262="مرجوعی فروش",-1,1)*IF(Sync!$AC258="",0,Sync!$AC258))</f>
        <v>0</v>
      </c>
      <c r="O262" t="str">
        <f>IF(OR($G262="",Sync!$V258=""),"",Sync!$V258)</f>
        <v/>
      </c>
      <c r="P262" t="str">
        <f>IF(OR($G262="",Sync!$AD258=""),"",Sync!$AD258)</f>
        <v/>
      </c>
      <c r="Q262" t="str">
        <f>IF($G262="","",IF(Sync!$U258="","0000",IF(AND(ISNUMBER(Sync!$U258),Sync!$U258&gt;=0,Sync!$U258&lt;1),RIGHT("00"&amp;HOUR(Sync!$U258),2)&amp;RIGHT("00"&amp;MINUTE(Sync!$U258),2),IFERROR(RIGHT("00"&amp;VALUE(LEFT(Sync!$U258,FIND(":",Sync!$U258)-1)),2)&amp;RIGHT("00"&amp;VALUE(MID(Sync!$U258,FIND(":",Sync!$U258)+1,2)),2),"0000"))))</f>
        <v/>
      </c>
    </row>
    <row r="263" spans="1:17" x14ac:dyDescent="0.2">
      <c r="A263" t="str">
        <f>IF(Sync!$T259="","",Sync!$T259)</f>
        <v/>
      </c>
      <c r="B263" t="str">
        <f t="shared" si="18"/>
        <v/>
      </c>
      <c r="C263" t="str">
        <f t="shared" si="19"/>
        <v/>
      </c>
      <c r="D263" t="str">
        <f t="shared" si="20"/>
        <v/>
      </c>
      <c r="E263" t="str">
        <f t="shared" si="21"/>
        <v/>
      </c>
      <c r="F263" t="str">
        <f t="shared" si="22"/>
        <v/>
      </c>
      <c r="G263" t="str">
        <f>IF(OR($E263="",$E263="نامعتبر",Sync!$X259=""),"",IF(AND(LEFT(UPPER(TRIM(Sync!$X259)),2)="SL",IFERROR(VLOOKUP(Sync!$W259,OpTbl,3,0),"")="فروش"),UPPER(TRIM(Sync!$X259)),""))</f>
        <v/>
      </c>
      <c r="H263" t="str">
        <f>IF($G263="","",IF(Sync!$W259="","",Sync!$W259))</f>
        <v/>
      </c>
      <c r="I263" t="str">
        <f>IF(OR($G263="",Sync!$Y259=""),"",Sync!$Y259)</f>
        <v/>
      </c>
      <c r="J263" t="str">
        <f>IF(OR($G263="",Sync!$Z259=""),"",Sync!$Z259)</f>
        <v/>
      </c>
      <c r="K263">
        <f>IF($G263="",0,IF(Sync!$AA259="",0,Sync!$AA259))</f>
        <v>0</v>
      </c>
      <c r="L263">
        <f>IF($G263="",0,IF(Sync!$AB259="",0,Sync!$AB259))</f>
        <v>0</v>
      </c>
      <c r="M263" t="str">
        <f t="shared" si="23"/>
        <v/>
      </c>
      <c r="N263">
        <f>IF($G263="",0,IF($H263="مرجوعی فروش",-1,1)*IF(Sync!$AC259="",0,Sync!$AC259))</f>
        <v>0</v>
      </c>
      <c r="O263" t="str">
        <f>IF(OR($G263="",Sync!$V259=""),"",Sync!$V259)</f>
        <v/>
      </c>
      <c r="P263" t="str">
        <f>IF(OR($G263="",Sync!$AD259=""),"",Sync!$AD259)</f>
        <v/>
      </c>
      <c r="Q263" t="str">
        <f>IF($G263="","",IF(Sync!$U259="","0000",IF(AND(ISNUMBER(Sync!$U259),Sync!$U259&gt;=0,Sync!$U259&lt;1),RIGHT("00"&amp;HOUR(Sync!$U259),2)&amp;RIGHT("00"&amp;MINUTE(Sync!$U259),2),IFERROR(RIGHT("00"&amp;VALUE(LEFT(Sync!$U259,FIND(":",Sync!$U259)-1)),2)&amp;RIGHT("00"&amp;VALUE(MID(Sync!$U259,FIND(":",Sync!$U259)+1,2)),2),"0000"))))</f>
        <v/>
      </c>
    </row>
    <row r="264" spans="1:17" x14ac:dyDescent="0.2">
      <c r="A264" t="str">
        <f>IF(Sync!$T260="","",Sync!$T260)</f>
        <v/>
      </c>
      <c r="B264" t="str">
        <f t="shared" si="18"/>
        <v/>
      </c>
      <c r="C264" t="str">
        <f t="shared" si="19"/>
        <v/>
      </c>
      <c r="D264" t="str">
        <f t="shared" si="20"/>
        <v/>
      </c>
      <c r="E264" t="str">
        <f t="shared" si="21"/>
        <v/>
      </c>
      <c r="F264" t="str">
        <f t="shared" si="22"/>
        <v/>
      </c>
      <c r="G264" t="str">
        <f>IF(OR($E264="",$E264="نامعتبر",Sync!$X260=""),"",IF(AND(LEFT(UPPER(TRIM(Sync!$X260)),2)="SL",IFERROR(VLOOKUP(Sync!$W260,OpTbl,3,0),"")="فروش"),UPPER(TRIM(Sync!$X260)),""))</f>
        <v/>
      </c>
      <c r="H264" t="str">
        <f>IF($G264="","",IF(Sync!$W260="","",Sync!$W260))</f>
        <v/>
      </c>
      <c r="I264" t="str">
        <f>IF(OR($G264="",Sync!$Y260=""),"",Sync!$Y260)</f>
        <v/>
      </c>
      <c r="J264" t="str">
        <f>IF(OR($G264="",Sync!$Z260=""),"",Sync!$Z260)</f>
        <v/>
      </c>
      <c r="K264">
        <f>IF($G264="",0,IF(Sync!$AA260="",0,Sync!$AA260))</f>
        <v>0</v>
      </c>
      <c r="L264">
        <f>IF($G264="",0,IF(Sync!$AB260="",0,Sync!$AB260))</f>
        <v>0</v>
      </c>
      <c r="M264" t="str">
        <f t="shared" si="23"/>
        <v/>
      </c>
      <c r="N264">
        <f>IF($G264="",0,IF($H264="مرجوعی فروش",-1,1)*IF(Sync!$AC260="",0,Sync!$AC260))</f>
        <v>0</v>
      </c>
      <c r="O264" t="str">
        <f>IF(OR($G264="",Sync!$V260=""),"",Sync!$V260)</f>
        <v/>
      </c>
      <c r="P264" t="str">
        <f>IF(OR($G264="",Sync!$AD260=""),"",Sync!$AD260)</f>
        <v/>
      </c>
      <c r="Q264" t="str">
        <f>IF($G264="","",IF(Sync!$U260="","0000",IF(AND(ISNUMBER(Sync!$U260),Sync!$U260&gt;=0,Sync!$U260&lt;1),RIGHT("00"&amp;HOUR(Sync!$U260),2)&amp;RIGHT("00"&amp;MINUTE(Sync!$U260),2),IFERROR(RIGHT("00"&amp;VALUE(LEFT(Sync!$U260,FIND(":",Sync!$U260)-1)),2)&amp;RIGHT("00"&amp;VALUE(MID(Sync!$U260,FIND(":",Sync!$U260)+1,2)),2),"0000"))))</f>
        <v/>
      </c>
    </row>
    <row r="265" spans="1:17" x14ac:dyDescent="0.2">
      <c r="A265" t="str">
        <f>IF(Sync!$T261="","",Sync!$T261)</f>
        <v/>
      </c>
      <c r="B265" t="str">
        <f t="shared" si="18"/>
        <v/>
      </c>
      <c r="C265" t="str">
        <f t="shared" si="19"/>
        <v/>
      </c>
      <c r="D265" t="str">
        <f t="shared" si="20"/>
        <v/>
      </c>
      <c r="E265" t="str">
        <f t="shared" si="21"/>
        <v/>
      </c>
      <c r="F265" t="str">
        <f t="shared" si="22"/>
        <v/>
      </c>
      <c r="G265" t="str">
        <f>IF(OR($E265="",$E265="نامعتبر",Sync!$X261=""),"",IF(AND(LEFT(UPPER(TRIM(Sync!$X261)),2)="SL",IFERROR(VLOOKUP(Sync!$W261,OpTbl,3,0),"")="فروش"),UPPER(TRIM(Sync!$X261)),""))</f>
        <v/>
      </c>
      <c r="H265" t="str">
        <f>IF($G265="","",IF(Sync!$W261="","",Sync!$W261))</f>
        <v/>
      </c>
      <c r="I265" t="str">
        <f>IF(OR($G265="",Sync!$Y261=""),"",Sync!$Y261)</f>
        <v/>
      </c>
      <c r="J265" t="str">
        <f>IF(OR($G265="",Sync!$Z261=""),"",Sync!$Z261)</f>
        <v/>
      </c>
      <c r="K265">
        <f>IF($G265="",0,IF(Sync!$AA261="",0,Sync!$AA261))</f>
        <v>0</v>
      </c>
      <c r="L265">
        <f>IF($G265="",0,IF(Sync!$AB261="",0,Sync!$AB261))</f>
        <v>0</v>
      </c>
      <c r="M265" t="str">
        <f t="shared" si="23"/>
        <v/>
      </c>
      <c r="N265">
        <f>IF($G265="",0,IF($H265="مرجوعی فروش",-1,1)*IF(Sync!$AC261="",0,Sync!$AC261))</f>
        <v>0</v>
      </c>
      <c r="O265" t="str">
        <f>IF(OR($G265="",Sync!$V261=""),"",Sync!$V261)</f>
        <v/>
      </c>
      <c r="P265" t="str">
        <f>IF(OR($G265="",Sync!$AD261=""),"",Sync!$AD261)</f>
        <v/>
      </c>
      <c r="Q265" t="str">
        <f>IF($G265="","",IF(Sync!$U261="","0000",IF(AND(ISNUMBER(Sync!$U261),Sync!$U261&gt;=0,Sync!$U261&lt;1),RIGHT("00"&amp;HOUR(Sync!$U261),2)&amp;RIGHT("00"&amp;MINUTE(Sync!$U261),2),IFERROR(RIGHT("00"&amp;VALUE(LEFT(Sync!$U261,FIND(":",Sync!$U261)-1)),2)&amp;RIGHT("00"&amp;VALUE(MID(Sync!$U261,FIND(":",Sync!$U261)+1,2)),2),"0000"))))</f>
        <v/>
      </c>
    </row>
    <row r="266" spans="1:17" x14ac:dyDescent="0.2">
      <c r="A266" t="str">
        <f>IF(Sync!$T262="","",Sync!$T262)</f>
        <v/>
      </c>
      <c r="B266" t="str">
        <f t="shared" ref="B266:B329" si="24">IF($A266="","",IF(ISNUMBER($A266),IF(AND($A266&gt;=10000101,$A266&lt;=99991231),INT($A266/10000),""),IFERROR(VALUE(TRIM(LEFT($A266,FIND("/",$A266)-1))),"")))</f>
        <v/>
      </c>
      <c r="C266" t="str">
        <f t="shared" ref="C266:C329" si="25">IF(OR($A266="",$B266=""),"",IF(ISNUMBER($A266),INT(MOD($A266,10000)/100),IFERROR(VALUE(TRIM(LEFT(MID($A266,FIND("/",$A266)+1,20),FIND("/",MID($A266,FIND("/",$A266)+1,20))-1))),"")))</f>
        <v/>
      </c>
      <c r="D266" t="str">
        <f t="shared" ref="D266:D329" si="26">IF(OR($A266="",$B266=""),"",IF(ISNUMBER($A266),MOD($A266,100),IFERROR(VALUE(TRIM(MID(MID($A266,FIND("/",$A266)+1,20),FIND("/",MID($A266,FIND("/",$A266)+1,20))+1,20))),"")))</f>
        <v/>
      </c>
      <c r="E266" t="str">
        <f t="shared" ref="E266:E329" si="27">IF($A266="","",IF(OR($B266="",$C266="",$D266="",$B266&lt;1300,$B266&gt;1500,$C266&lt;1,$C266&gt;12,$D266&lt;1,$D266&gt;31),"نامعتبر",RIGHT("0000"&amp;$B266,4)&amp;"/"&amp;RIGHT("00"&amp;$C266,2)&amp;"/"&amp;RIGHT("00"&amp;$D266,2)))</f>
        <v/>
      </c>
      <c r="F266" t="str">
        <f t="shared" ref="F266:F329" si="28">IF(OR($E266="",$E266="نامعتبر"),"",LEFT($E266,4)&amp;"/"&amp;MID($E266,6,2))</f>
        <v/>
      </c>
      <c r="G266" t="str">
        <f>IF(OR($E266="",$E266="نامعتبر",Sync!$X262=""),"",IF(AND(LEFT(UPPER(TRIM(Sync!$X262)),2)="SL",IFERROR(VLOOKUP(Sync!$W262,OpTbl,3,0),"")="فروش"),UPPER(TRIM(Sync!$X262)),""))</f>
        <v/>
      </c>
      <c r="H266" t="str">
        <f>IF($G266="","",IF(Sync!$W262="","",Sync!$W262))</f>
        <v/>
      </c>
      <c r="I266" t="str">
        <f>IF(OR($G266="",Sync!$Y262=""),"",Sync!$Y262)</f>
        <v/>
      </c>
      <c r="J266" t="str">
        <f>IF(OR($G266="",Sync!$Z262=""),"",Sync!$Z262)</f>
        <v/>
      </c>
      <c r="K266">
        <f>IF($G266="",0,IF(Sync!$AA262="",0,Sync!$AA262))</f>
        <v>0</v>
      </c>
      <c r="L266">
        <f>IF($G266="",0,IF(Sync!$AB262="",0,Sync!$AB262))</f>
        <v>0</v>
      </c>
      <c r="M266" t="str">
        <f t="shared" ref="M266:M329" si="29">IF($G266="","",IF($H266="مرجوعی فروش",-1,1)*($K266-$L266*IFERROR(VLOOKUP("P01",ParamTbl,3,0),1.5)))</f>
        <v/>
      </c>
      <c r="N266">
        <f>IF($G266="",0,IF($H266="مرجوعی فروش",-1,1)*IF(Sync!$AC262="",0,Sync!$AC262))</f>
        <v>0</v>
      </c>
      <c r="O266" t="str">
        <f>IF(OR($G266="",Sync!$V262=""),"",Sync!$V262)</f>
        <v/>
      </c>
      <c r="P266" t="str">
        <f>IF(OR($G266="",Sync!$AD262=""),"",Sync!$AD262)</f>
        <v/>
      </c>
      <c r="Q266" t="str">
        <f>IF($G266="","",IF(Sync!$U262="","0000",IF(AND(ISNUMBER(Sync!$U262),Sync!$U262&gt;=0,Sync!$U262&lt;1),RIGHT("00"&amp;HOUR(Sync!$U262),2)&amp;RIGHT("00"&amp;MINUTE(Sync!$U262),2),IFERROR(RIGHT("00"&amp;VALUE(LEFT(Sync!$U262,FIND(":",Sync!$U262)-1)),2)&amp;RIGHT("00"&amp;VALUE(MID(Sync!$U262,FIND(":",Sync!$U262)+1,2)),2),"0000"))))</f>
        <v/>
      </c>
    </row>
    <row r="267" spans="1:17" x14ac:dyDescent="0.2">
      <c r="A267" t="str">
        <f>IF(Sync!$T263="","",Sync!$T263)</f>
        <v/>
      </c>
      <c r="B267" t="str">
        <f t="shared" si="24"/>
        <v/>
      </c>
      <c r="C267" t="str">
        <f t="shared" si="25"/>
        <v/>
      </c>
      <c r="D267" t="str">
        <f t="shared" si="26"/>
        <v/>
      </c>
      <c r="E267" t="str">
        <f t="shared" si="27"/>
        <v/>
      </c>
      <c r="F267" t="str">
        <f t="shared" si="28"/>
        <v/>
      </c>
      <c r="G267" t="str">
        <f>IF(OR($E267="",$E267="نامعتبر",Sync!$X263=""),"",IF(AND(LEFT(UPPER(TRIM(Sync!$X263)),2)="SL",IFERROR(VLOOKUP(Sync!$W263,OpTbl,3,0),"")="فروش"),UPPER(TRIM(Sync!$X263)),""))</f>
        <v/>
      </c>
      <c r="H267" t="str">
        <f>IF($G267="","",IF(Sync!$W263="","",Sync!$W263))</f>
        <v/>
      </c>
      <c r="I267" t="str">
        <f>IF(OR($G267="",Sync!$Y263=""),"",Sync!$Y263)</f>
        <v/>
      </c>
      <c r="J267" t="str">
        <f>IF(OR($G267="",Sync!$Z263=""),"",Sync!$Z263)</f>
        <v/>
      </c>
      <c r="K267">
        <f>IF($G267="",0,IF(Sync!$AA263="",0,Sync!$AA263))</f>
        <v>0</v>
      </c>
      <c r="L267">
        <f>IF($G267="",0,IF(Sync!$AB263="",0,Sync!$AB263))</f>
        <v>0</v>
      </c>
      <c r="M267" t="str">
        <f t="shared" si="29"/>
        <v/>
      </c>
      <c r="N267">
        <f>IF($G267="",0,IF($H267="مرجوعی فروش",-1,1)*IF(Sync!$AC263="",0,Sync!$AC263))</f>
        <v>0</v>
      </c>
      <c r="O267" t="str">
        <f>IF(OR($G267="",Sync!$V263=""),"",Sync!$V263)</f>
        <v/>
      </c>
      <c r="P267" t="str">
        <f>IF(OR($G267="",Sync!$AD263=""),"",Sync!$AD263)</f>
        <v/>
      </c>
      <c r="Q267" t="str">
        <f>IF($G267="","",IF(Sync!$U263="","0000",IF(AND(ISNUMBER(Sync!$U263),Sync!$U263&gt;=0,Sync!$U263&lt;1),RIGHT("00"&amp;HOUR(Sync!$U263),2)&amp;RIGHT("00"&amp;MINUTE(Sync!$U263),2),IFERROR(RIGHT("00"&amp;VALUE(LEFT(Sync!$U263,FIND(":",Sync!$U263)-1)),2)&amp;RIGHT("00"&amp;VALUE(MID(Sync!$U263,FIND(":",Sync!$U263)+1,2)),2),"0000"))))</f>
        <v/>
      </c>
    </row>
    <row r="268" spans="1:17" x14ac:dyDescent="0.2">
      <c r="A268" t="str">
        <f>IF(Sync!$T264="","",Sync!$T264)</f>
        <v/>
      </c>
      <c r="B268" t="str">
        <f t="shared" si="24"/>
        <v/>
      </c>
      <c r="C268" t="str">
        <f t="shared" si="25"/>
        <v/>
      </c>
      <c r="D268" t="str">
        <f t="shared" si="26"/>
        <v/>
      </c>
      <c r="E268" t="str">
        <f t="shared" si="27"/>
        <v/>
      </c>
      <c r="F268" t="str">
        <f t="shared" si="28"/>
        <v/>
      </c>
      <c r="G268" t="str">
        <f>IF(OR($E268="",$E268="نامعتبر",Sync!$X264=""),"",IF(AND(LEFT(UPPER(TRIM(Sync!$X264)),2)="SL",IFERROR(VLOOKUP(Sync!$W264,OpTbl,3,0),"")="فروش"),UPPER(TRIM(Sync!$X264)),""))</f>
        <v/>
      </c>
      <c r="H268" t="str">
        <f>IF($G268="","",IF(Sync!$W264="","",Sync!$W264))</f>
        <v/>
      </c>
      <c r="I268" t="str">
        <f>IF(OR($G268="",Sync!$Y264=""),"",Sync!$Y264)</f>
        <v/>
      </c>
      <c r="J268" t="str">
        <f>IF(OR($G268="",Sync!$Z264=""),"",Sync!$Z264)</f>
        <v/>
      </c>
      <c r="K268">
        <f>IF($G268="",0,IF(Sync!$AA264="",0,Sync!$AA264))</f>
        <v>0</v>
      </c>
      <c r="L268">
        <f>IF($G268="",0,IF(Sync!$AB264="",0,Sync!$AB264))</f>
        <v>0</v>
      </c>
      <c r="M268" t="str">
        <f t="shared" si="29"/>
        <v/>
      </c>
      <c r="N268">
        <f>IF($G268="",0,IF($H268="مرجوعی فروش",-1,1)*IF(Sync!$AC264="",0,Sync!$AC264))</f>
        <v>0</v>
      </c>
      <c r="O268" t="str">
        <f>IF(OR($G268="",Sync!$V264=""),"",Sync!$V264)</f>
        <v/>
      </c>
      <c r="P268" t="str">
        <f>IF(OR($G268="",Sync!$AD264=""),"",Sync!$AD264)</f>
        <v/>
      </c>
      <c r="Q268" t="str">
        <f>IF($G268="","",IF(Sync!$U264="","0000",IF(AND(ISNUMBER(Sync!$U264),Sync!$U264&gt;=0,Sync!$U264&lt;1),RIGHT("00"&amp;HOUR(Sync!$U264),2)&amp;RIGHT("00"&amp;MINUTE(Sync!$U264),2),IFERROR(RIGHT("00"&amp;VALUE(LEFT(Sync!$U264,FIND(":",Sync!$U264)-1)),2)&amp;RIGHT("00"&amp;VALUE(MID(Sync!$U264,FIND(":",Sync!$U264)+1,2)),2),"0000"))))</f>
        <v/>
      </c>
    </row>
    <row r="269" spans="1:17" x14ac:dyDescent="0.2">
      <c r="A269" t="str">
        <f>IF(Sync!$T265="","",Sync!$T265)</f>
        <v/>
      </c>
      <c r="B269" t="str">
        <f t="shared" si="24"/>
        <v/>
      </c>
      <c r="C269" t="str">
        <f t="shared" si="25"/>
        <v/>
      </c>
      <c r="D269" t="str">
        <f t="shared" si="26"/>
        <v/>
      </c>
      <c r="E269" t="str">
        <f t="shared" si="27"/>
        <v/>
      </c>
      <c r="F269" t="str">
        <f t="shared" si="28"/>
        <v/>
      </c>
      <c r="G269" t="str">
        <f>IF(OR($E269="",$E269="نامعتبر",Sync!$X265=""),"",IF(AND(LEFT(UPPER(TRIM(Sync!$X265)),2)="SL",IFERROR(VLOOKUP(Sync!$W265,OpTbl,3,0),"")="فروش"),UPPER(TRIM(Sync!$X265)),""))</f>
        <v/>
      </c>
      <c r="H269" t="str">
        <f>IF($G269="","",IF(Sync!$W265="","",Sync!$W265))</f>
        <v/>
      </c>
      <c r="I269" t="str">
        <f>IF(OR($G269="",Sync!$Y265=""),"",Sync!$Y265)</f>
        <v/>
      </c>
      <c r="J269" t="str">
        <f>IF(OR($G269="",Sync!$Z265=""),"",Sync!$Z265)</f>
        <v/>
      </c>
      <c r="K269">
        <f>IF($G269="",0,IF(Sync!$AA265="",0,Sync!$AA265))</f>
        <v>0</v>
      </c>
      <c r="L269">
        <f>IF($G269="",0,IF(Sync!$AB265="",0,Sync!$AB265))</f>
        <v>0</v>
      </c>
      <c r="M269" t="str">
        <f t="shared" si="29"/>
        <v/>
      </c>
      <c r="N269">
        <f>IF($G269="",0,IF($H269="مرجوعی فروش",-1,1)*IF(Sync!$AC265="",0,Sync!$AC265))</f>
        <v>0</v>
      </c>
      <c r="O269" t="str">
        <f>IF(OR($G269="",Sync!$V265=""),"",Sync!$V265)</f>
        <v/>
      </c>
      <c r="P269" t="str">
        <f>IF(OR($G269="",Sync!$AD265=""),"",Sync!$AD265)</f>
        <v/>
      </c>
      <c r="Q269" t="str">
        <f>IF($G269="","",IF(Sync!$U265="","0000",IF(AND(ISNUMBER(Sync!$U265),Sync!$U265&gt;=0,Sync!$U265&lt;1),RIGHT("00"&amp;HOUR(Sync!$U265),2)&amp;RIGHT("00"&amp;MINUTE(Sync!$U265),2),IFERROR(RIGHT("00"&amp;VALUE(LEFT(Sync!$U265,FIND(":",Sync!$U265)-1)),2)&amp;RIGHT("00"&amp;VALUE(MID(Sync!$U265,FIND(":",Sync!$U265)+1,2)),2),"0000"))))</f>
        <v/>
      </c>
    </row>
    <row r="270" spans="1:17" x14ac:dyDescent="0.2">
      <c r="A270" t="str">
        <f>IF(Sync!$T266="","",Sync!$T266)</f>
        <v/>
      </c>
      <c r="B270" t="str">
        <f t="shared" si="24"/>
        <v/>
      </c>
      <c r="C270" t="str">
        <f t="shared" si="25"/>
        <v/>
      </c>
      <c r="D270" t="str">
        <f t="shared" si="26"/>
        <v/>
      </c>
      <c r="E270" t="str">
        <f t="shared" si="27"/>
        <v/>
      </c>
      <c r="F270" t="str">
        <f t="shared" si="28"/>
        <v/>
      </c>
      <c r="G270" t="str">
        <f>IF(OR($E270="",$E270="نامعتبر",Sync!$X266=""),"",IF(AND(LEFT(UPPER(TRIM(Sync!$X266)),2)="SL",IFERROR(VLOOKUP(Sync!$W266,OpTbl,3,0),"")="فروش"),UPPER(TRIM(Sync!$X266)),""))</f>
        <v/>
      </c>
      <c r="H270" t="str">
        <f>IF($G270="","",IF(Sync!$W266="","",Sync!$W266))</f>
        <v/>
      </c>
      <c r="I270" t="str">
        <f>IF(OR($G270="",Sync!$Y266=""),"",Sync!$Y266)</f>
        <v/>
      </c>
      <c r="J270" t="str">
        <f>IF(OR($G270="",Sync!$Z266=""),"",Sync!$Z266)</f>
        <v/>
      </c>
      <c r="K270">
        <f>IF($G270="",0,IF(Sync!$AA266="",0,Sync!$AA266))</f>
        <v>0</v>
      </c>
      <c r="L270">
        <f>IF($G270="",0,IF(Sync!$AB266="",0,Sync!$AB266))</f>
        <v>0</v>
      </c>
      <c r="M270" t="str">
        <f t="shared" si="29"/>
        <v/>
      </c>
      <c r="N270">
        <f>IF($G270="",0,IF($H270="مرجوعی فروش",-1,1)*IF(Sync!$AC266="",0,Sync!$AC266))</f>
        <v>0</v>
      </c>
      <c r="O270" t="str">
        <f>IF(OR($G270="",Sync!$V266=""),"",Sync!$V266)</f>
        <v/>
      </c>
      <c r="P270" t="str">
        <f>IF(OR($G270="",Sync!$AD266=""),"",Sync!$AD266)</f>
        <v/>
      </c>
      <c r="Q270" t="str">
        <f>IF($G270="","",IF(Sync!$U266="","0000",IF(AND(ISNUMBER(Sync!$U266),Sync!$U266&gt;=0,Sync!$U266&lt;1),RIGHT("00"&amp;HOUR(Sync!$U266),2)&amp;RIGHT("00"&amp;MINUTE(Sync!$U266),2),IFERROR(RIGHT("00"&amp;VALUE(LEFT(Sync!$U266,FIND(":",Sync!$U266)-1)),2)&amp;RIGHT("00"&amp;VALUE(MID(Sync!$U266,FIND(":",Sync!$U266)+1,2)),2),"0000"))))</f>
        <v/>
      </c>
    </row>
    <row r="271" spans="1:17" x14ac:dyDescent="0.2">
      <c r="A271" t="str">
        <f>IF(Sync!$T267="","",Sync!$T267)</f>
        <v/>
      </c>
      <c r="B271" t="str">
        <f t="shared" si="24"/>
        <v/>
      </c>
      <c r="C271" t="str">
        <f t="shared" si="25"/>
        <v/>
      </c>
      <c r="D271" t="str">
        <f t="shared" si="26"/>
        <v/>
      </c>
      <c r="E271" t="str">
        <f t="shared" si="27"/>
        <v/>
      </c>
      <c r="F271" t="str">
        <f t="shared" si="28"/>
        <v/>
      </c>
      <c r="G271" t="str">
        <f>IF(OR($E271="",$E271="نامعتبر",Sync!$X267=""),"",IF(AND(LEFT(UPPER(TRIM(Sync!$X267)),2)="SL",IFERROR(VLOOKUP(Sync!$W267,OpTbl,3,0),"")="فروش"),UPPER(TRIM(Sync!$X267)),""))</f>
        <v/>
      </c>
      <c r="H271" t="str">
        <f>IF($G271="","",IF(Sync!$W267="","",Sync!$W267))</f>
        <v/>
      </c>
      <c r="I271" t="str">
        <f>IF(OR($G271="",Sync!$Y267=""),"",Sync!$Y267)</f>
        <v/>
      </c>
      <c r="J271" t="str">
        <f>IF(OR($G271="",Sync!$Z267=""),"",Sync!$Z267)</f>
        <v/>
      </c>
      <c r="K271">
        <f>IF($G271="",0,IF(Sync!$AA267="",0,Sync!$AA267))</f>
        <v>0</v>
      </c>
      <c r="L271">
        <f>IF($G271="",0,IF(Sync!$AB267="",0,Sync!$AB267))</f>
        <v>0</v>
      </c>
      <c r="M271" t="str">
        <f t="shared" si="29"/>
        <v/>
      </c>
      <c r="N271">
        <f>IF($G271="",0,IF($H271="مرجوعی فروش",-1,1)*IF(Sync!$AC267="",0,Sync!$AC267))</f>
        <v>0</v>
      </c>
      <c r="O271" t="str">
        <f>IF(OR($G271="",Sync!$V267=""),"",Sync!$V267)</f>
        <v/>
      </c>
      <c r="P271" t="str">
        <f>IF(OR($G271="",Sync!$AD267=""),"",Sync!$AD267)</f>
        <v/>
      </c>
      <c r="Q271" t="str">
        <f>IF($G271="","",IF(Sync!$U267="","0000",IF(AND(ISNUMBER(Sync!$U267),Sync!$U267&gt;=0,Sync!$U267&lt;1),RIGHT("00"&amp;HOUR(Sync!$U267),2)&amp;RIGHT("00"&amp;MINUTE(Sync!$U267),2),IFERROR(RIGHT("00"&amp;VALUE(LEFT(Sync!$U267,FIND(":",Sync!$U267)-1)),2)&amp;RIGHT("00"&amp;VALUE(MID(Sync!$U267,FIND(":",Sync!$U267)+1,2)),2),"0000"))))</f>
        <v/>
      </c>
    </row>
    <row r="272" spans="1:17" x14ac:dyDescent="0.2">
      <c r="A272" t="str">
        <f>IF(Sync!$T268="","",Sync!$T268)</f>
        <v/>
      </c>
      <c r="B272" t="str">
        <f t="shared" si="24"/>
        <v/>
      </c>
      <c r="C272" t="str">
        <f t="shared" si="25"/>
        <v/>
      </c>
      <c r="D272" t="str">
        <f t="shared" si="26"/>
        <v/>
      </c>
      <c r="E272" t="str">
        <f t="shared" si="27"/>
        <v/>
      </c>
      <c r="F272" t="str">
        <f t="shared" si="28"/>
        <v/>
      </c>
      <c r="G272" t="str">
        <f>IF(OR($E272="",$E272="نامعتبر",Sync!$X268=""),"",IF(AND(LEFT(UPPER(TRIM(Sync!$X268)),2)="SL",IFERROR(VLOOKUP(Sync!$W268,OpTbl,3,0),"")="فروش"),UPPER(TRIM(Sync!$X268)),""))</f>
        <v/>
      </c>
      <c r="H272" t="str">
        <f>IF($G272="","",IF(Sync!$W268="","",Sync!$W268))</f>
        <v/>
      </c>
      <c r="I272" t="str">
        <f>IF(OR($G272="",Sync!$Y268=""),"",Sync!$Y268)</f>
        <v/>
      </c>
      <c r="J272" t="str">
        <f>IF(OR($G272="",Sync!$Z268=""),"",Sync!$Z268)</f>
        <v/>
      </c>
      <c r="K272">
        <f>IF($G272="",0,IF(Sync!$AA268="",0,Sync!$AA268))</f>
        <v>0</v>
      </c>
      <c r="L272">
        <f>IF($G272="",0,IF(Sync!$AB268="",0,Sync!$AB268))</f>
        <v>0</v>
      </c>
      <c r="M272" t="str">
        <f t="shared" si="29"/>
        <v/>
      </c>
      <c r="N272">
        <f>IF($G272="",0,IF($H272="مرجوعی فروش",-1,1)*IF(Sync!$AC268="",0,Sync!$AC268))</f>
        <v>0</v>
      </c>
      <c r="O272" t="str">
        <f>IF(OR($G272="",Sync!$V268=""),"",Sync!$V268)</f>
        <v/>
      </c>
      <c r="P272" t="str">
        <f>IF(OR($G272="",Sync!$AD268=""),"",Sync!$AD268)</f>
        <v/>
      </c>
      <c r="Q272" t="str">
        <f>IF($G272="","",IF(Sync!$U268="","0000",IF(AND(ISNUMBER(Sync!$U268),Sync!$U268&gt;=0,Sync!$U268&lt;1),RIGHT("00"&amp;HOUR(Sync!$U268),2)&amp;RIGHT("00"&amp;MINUTE(Sync!$U268),2),IFERROR(RIGHT("00"&amp;VALUE(LEFT(Sync!$U268,FIND(":",Sync!$U268)-1)),2)&amp;RIGHT("00"&amp;VALUE(MID(Sync!$U268,FIND(":",Sync!$U268)+1,2)),2),"0000"))))</f>
        <v/>
      </c>
    </row>
    <row r="273" spans="1:17" x14ac:dyDescent="0.2">
      <c r="A273" t="str">
        <f>IF(Sync!$T269="","",Sync!$T269)</f>
        <v/>
      </c>
      <c r="B273" t="str">
        <f t="shared" si="24"/>
        <v/>
      </c>
      <c r="C273" t="str">
        <f t="shared" si="25"/>
        <v/>
      </c>
      <c r="D273" t="str">
        <f t="shared" si="26"/>
        <v/>
      </c>
      <c r="E273" t="str">
        <f t="shared" si="27"/>
        <v/>
      </c>
      <c r="F273" t="str">
        <f t="shared" si="28"/>
        <v/>
      </c>
      <c r="G273" t="str">
        <f>IF(OR($E273="",$E273="نامعتبر",Sync!$X269=""),"",IF(AND(LEFT(UPPER(TRIM(Sync!$X269)),2)="SL",IFERROR(VLOOKUP(Sync!$W269,OpTbl,3,0),"")="فروش"),UPPER(TRIM(Sync!$X269)),""))</f>
        <v/>
      </c>
      <c r="H273" t="str">
        <f>IF($G273="","",IF(Sync!$W269="","",Sync!$W269))</f>
        <v/>
      </c>
      <c r="I273" t="str">
        <f>IF(OR($G273="",Sync!$Y269=""),"",Sync!$Y269)</f>
        <v/>
      </c>
      <c r="J273" t="str">
        <f>IF(OR($G273="",Sync!$Z269=""),"",Sync!$Z269)</f>
        <v/>
      </c>
      <c r="K273">
        <f>IF($G273="",0,IF(Sync!$AA269="",0,Sync!$AA269))</f>
        <v>0</v>
      </c>
      <c r="L273">
        <f>IF($G273="",0,IF(Sync!$AB269="",0,Sync!$AB269))</f>
        <v>0</v>
      </c>
      <c r="M273" t="str">
        <f t="shared" si="29"/>
        <v/>
      </c>
      <c r="N273">
        <f>IF($G273="",0,IF($H273="مرجوعی فروش",-1,1)*IF(Sync!$AC269="",0,Sync!$AC269))</f>
        <v>0</v>
      </c>
      <c r="O273" t="str">
        <f>IF(OR($G273="",Sync!$V269=""),"",Sync!$V269)</f>
        <v/>
      </c>
      <c r="P273" t="str">
        <f>IF(OR($G273="",Sync!$AD269=""),"",Sync!$AD269)</f>
        <v/>
      </c>
      <c r="Q273" t="str">
        <f>IF($G273="","",IF(Sync!$U269="","0000",IF(AND(ISNUMBER(Sync!$U269),Sync!$U269&gt;=0,Sync!$U269&lt;1),RIGHT("00"&amp;HOUR(Sync!$U269),2)&amp;RIGHT("00"&amp;MINUTE(Sync!$U269),2),IFERROR(RIGHT("00"&amp;VALUE(LEFT(Sync!$U269,FIND(":",Sync!$U269)-1)),2)&amp;RIGHT("00"&amp;VALUE(MID(Sync!$U269,FIND(":",Sync!$U269)+1,2)),2),"0000"))))</f>
        <v/>
      </c>
    </row>
    <row r="274" spans="1:17" x14ac:dyDescent="0.2">
      <c r="A274" t="str">
        <f>IF(Sync!$T270="","",Sync!$T270)</f>
        <v/>
      </c>
      <c r="B274" t="str">
        <f t="shared" si="24"/>
        <v/>
      </c>
      <c r="C274" t="str">
        <f t="shared" si="25"/>
        <v/>
      </c>
      <c r="D274" t="str">
        <f t="shared" si="26"/>
        <v/>
      </c>
      <c r="E274" t="str">
        <f t="shared" si="27"/>
        <v/>
      </c>
      <c r="F274" t="str">
        <f t="shared" si="28"/>
        <v/>
      </c>
      <c r="G274" t="str">
        <f>IF(OR($E274="",$E274="نامعتبر",Sync!$X270=""),"",IF(AND(LEFT(UPPER(TRIM(Sync!$X270)),2)="SL",IFERROR(VLOOKUP(Sync!$W270,OpTbl,3,0),"")="فروش"),UPPER(TRIM(Sync!$X270)),""))</f>
        <v/>
      </c>
      <c r="H274" t="str">
        <f>IF($G274="","",IF(Sync!$W270="","",Sync!$W270))</f>
        <v/>
      </c>
      <c r="I274" t="str">
        <f>IF(OR($G274="",Sync!$Y270=""),"",Sync!$Y270)</f>
        <v/>
      </c>
      <c r="J274" t="str">
        <f>IF(OR($G274="",Sync!$Z270=""),"",Sync!$Z270)</f>
        <v/>
      </c>
      <c r="K274">
        <f>IF($G274="",0,IF(Sync!$AA270="",0,Sync!$AA270))</f>
        <v>0</v>
      </c>
      <c r="L274">
        <f>IF($G274="",0,IF(Sync!$AB270="",0,Sync!$AB270))</f>
        <v>0</v>
      </c>
      <c r="M274" t="str">
        <f t="shared" si="29"/>
        <v/>
      </c>
      <c r="N274">
        <f>IF($G274="",0,IF($H274="مرجوعی فروش",-1,1)*IF(Sync!$AC270="",0,Sync!$AC270))</f>
        <v>0</v>
      </c>
      <c r="O274" t="str">
        <f>IF(OR($G274="",Sync!$V270=""),"",Sync!$V270)</f>
        <v/>
      </c>
      <c r="P274" t="str">
        <f>IF(OR($G274="",Sync!$AD270=""),"",Sync!$AD270)</f>
        <v/>
      </c>
      <c r="Q274" t="str">
        <f>IF($G274="","",IF(Sync!$U270="","0000",IF(AND(ISNUMBER(Sync!$U270),Sync!$U270&gt;=0,Sync!$U270&lt;1),RIGHT("00"&amp;HOUR(Sync!$U270),2)&amp;RIGHT("00"&amp;MINUTE(Sync!$U270),2),IFERROR(RIGHT("00"&amp;VALUE(LEFT(Sync!$U270,FIND(":",Sync!$U270)-1)),2)&amp;RIGHT("00"&amp;VALUE(MID(Sync!$U270,FIND(":",Sync!$U270)+1,2)),2),"0000"))))</f>
        <v/>
      </c>
    </row>
    <row r="275" spans="1:17" x14ac:dyDescent="0.2">
      <c r="A275" t="str">
        <f>IF(Sync!$T271="","",Sync!$T271)</f>
        <v/>
      </c>
      <c r="B275" t="str">
        <f t="shared" si="24"/>
        <v/>
      </c>
      <c r="C275" t="str">
        <f t="shared" si="25"/>
        <v/>
      </c>
      <c r="D275" t="str">
        <f t="shared" si="26"/>
        <v/>
      </c>
      <c r="E275" t="str">
        <f t="shared" si="27"/>
        <v/>
      </c>
      <c r="F275" t="str">
        <f t="shared" si="28"/>
        <v/>
      </c>
      <c r="G275" t="str">
        <f>IF(OR($E275="",$E275="نامعتبر",Sync!$X271=""),"",IF(AND(LEFT(UPPER(TRIM(Sync!$X271)),2)="SL",IFERROR(VLOOKUP(Sync!$W271,OpTbl,3,0),"")="فروش"),UPPER(TRIM(Sync!$X271)),""))</f>
        <v/>
      </c>
      <c r="H275" t="str">
        <f>IF($G275="","",IF(Sync!$W271="","",Sync!$W271))</f>
        <v/>
      </c>
      <c r="I275" t="str">
        <f>IF(OR($G275="",Sync!$Y271=""),"",Sync!$Y271)</f>
        <v/>
      </c>
      <c r="J275" t="str">
        <f>IF(OR($G275="",Sync!$Z271=""),"",Sync!$Z271)</f>
        <v/>
      </c>
      <c r="K275">
        <f>IF($G275="",0,IF(Sync!$AA271="",0,Sync!$AA271))</f>
        <v>0</v>
      </c>
      <c r="L275">
        <f>IF($G275="",0,IF(Sync!$AB271="",0,Sync!$AB271))</f>
        <v>0</v>
      </c>
      <c r="M275" t="str">
        <f t="shared" si="29"/>
        <v/>
      </c>
      <c r="N275">
        <f>IF($G275="",0,IF($H275="مرجوعی فروش",-1,1)*IF(Sync!$AC271="",0,Sync!$AC271))</f>
        <v>0</v>
      </c>
      <c r="O275" t="str">
        <f>IF(OR($G275="",Sync!$V271=""),"",Sync!$V271)</f>
        <v/>
      </c>
      <c r="P275" t="str">
        <f>IF(OR($G275="",Sync!$AD271=""),"",Sync!$AD271)</f>
        <v/>
      </c>
      <c r="Q275" t="str">
        <f>IF($G275="","",IF(Sync!$U271="","0000",IF(AND(ISNUMBER(Sync!$U271),Sync!$U271&gt;=0,Sync!$U271&lt;1),RIGHT("00"&amp;HOUR(Sync!$U271),2)&amp;RIGHT("00"&amp;MINUTE(Sync!$U271),2),IFERROR(RIGHT("00"&amp;VALUE(LEFT(Sync!$U271,FIND(":",Sync!$U271)-1)),2)&amp;RIGHT("00"&amp;VALUE(MID(Sync!$U271,FIND(":",Sync!$U271)+1,2)),2),"0000"))))</f>
        <v/>
      </c>
    </row>
    <row r="276" spans="1:17" x14ac:dyDescent="0.2">
      <c r="A276" t="str">
        <f>IF(Sync!$T272="","",Sync!$T272)</f>
        <v/>
      </c>
      <c r="B276" t="str">
        <f t="shared" si="24"/>
        <v/>
      </c>
      <c r="C276" t="str">
        <f t="shared" si="25"/>
        <v/>
      </c>
      <c r="D276" t="str">
        <f t="shared" si="26"/>
        <v/>
      </c>
      <c r="E276" t="str">
        <f t="shared" si="27"/>
        <v/>
      </c>
      <c r="F276" t="str">
        <f t="shared" si="28"/>
        <v/>
      </c>
      <c r="G276" t="str">
        <f>IF(OR($E276="",$E276="نامعتبر",Sync!$X272=""),"",IF(AND(LEFT(UPPER(TRIM(Sync!$X272)),2)="SL",IFERROR(VLOOKUP(Sync!$W272,OpTbl,3,0),"")="فروش"),UPPER(TRIM(Sync!$X272)),""))</f>
        <v/>
      </c>
      <c r="H276" t="str">
        <f>IF($G276="","",IF(Sync!$W272="","",Sync!$W272))</f>
        <v/>
      </c>
      <c r="I276" t="str">
        <f>IF(OR($G276="",Sync!$Y272=""),"",Sync!$Y272)</f>
        <v/>
      </c>
      <c r="J276" t="str">
        <f>IF(OR($G276="",Sync!$Z272=""),"",Sync!$Z272)</f>
        <v/>
      </c>
      <c r="K276">
        <f>IF($G276="",0,IF(Sync!$AA272="",0,Sync!$AA272))</f>
        <v>0</v>
      </c>
      <c r="L276">
        <f>IF($G276="",0,IF(Sync!$AB272="",0,Sync!$AB272))</f>
        <v>0</v>
      </c>
      <c r="M276" t="str">
        <f t="shared" si="29"/>
        <v/>
      </c>
      <c r="N276">
        <f>IF($G276="",0,IF($H276="مرجوعی فروش",-1,1)*IF(Sync!$AC272="",0,Sync!$AC272))</f>
        <v>0</v>
      </c>
      <c r="O276" t="str">
        <f>IF(OR($G276="",Sync!$V272=""),"",Sync!$V272)</f>
        <v/>
      </c>
      <c r="P276" t="str">
        <f>IF(OR($G276="",Sync!$AD272=""),"",Sync!$AD272)</f>
        <v/>
      </c>
      <c r="Q276" t="str">
        <f>IF($G276="","",IF(Sync!$U272="","0000",IF(AND(ISNUMBER(Sync!$U272),Sync!$U272&gt;=0,Sync!$U272&lt;1),RIGHT("00"&amp;HOUR(Sync!$U272),2)&amp;RIGHT("00"&amp;MINUTE(Sync!$U272),2),IFERROR(RIGHT("00"&amp;VALUE(LEFT(Sync!$U272,FIND(":",Sync!$U272)-1)),2)&amp;RIGHT("00"&amp;VALUE(MID(Sync!$U272,FIND(":",Sync!$U272)+1,2)),2),"0000"))))</f>
        <v/>
      </c>
    </row>
    <row r="277" spans="1:17" x14ac:dyDescent="0.2">
      <c r="A277" t="str">
        <f>IF(Sync!$T273="","",Sync!$T273)</f>
        <v/>
      </c>
      <c r="B277" t="str">
        <f t="shared" si="24"/>
        <v/>
      </c>
      <c r="C277" t="str">
        <f t="shared" si="25"/>
        <v/>
      </c>
      <c r="D277" t="str">
        <f t="shared" si="26"/>
        <v/>
      </c>
      <c r="E277" t="str">
        <f t="shared" si="27"/>
        <v/>
      </c>
      <c r="F277" t="str">
        <f t="shared" si="28"/>
        <v/>
      </c>
      <c r="G277" t="str">
        <f>IF(OR($E277="",$E277="نامعتبر",Sync!$X273=""),"",IF(AND(LEFT(UPPER(TRIM(Sync!$X273)),2)="SL",IFERROR(VLOOKUP(Sync!$W273,OpTbl,3,0),"")="فروش"),UPPER(TRIM(Sync!$X273)),""))</f>
        <v/>
      </c>
      <c r="H277" t="str">
        <f>IF($G277="","",IF(Sync!$W273="","",Sync!$W273))</f>
        <v/>
      </c>
      <c r="I277" t="str">
        <f>IF(OR($G277="",Sync!$Y273=""),"",Sync!$Y273)</f>
        <v/>
      </c>
      <c r="J277" t="str">
        <f>IF(OR($G277="",Sync!$Z273=""),"",Sync!$Z273)</f>
        <v/>
      </c>
      <c r="K277">
        <f>IF($G277="",0,IF(Sync!$AA273="",0,Sync!$AA273))</f>
        <v>0</v>
      </c>
      <c r="L277">
        <f>IF($G277="",0,IF(Sync!$AB273="",0,Sync!$AB273))</f>
        <v>0</v>
      </c>
      <c r="M277" t="str">
        <f t="shared" si="29"/>
        <v/>
      </c>
      <c r="N277">
        <f>IF($G277="",0,IF($H277="مرجوعی فروش",-1,1)*IF(Sync!$AC273="",0,Sync!$AC273))</f>
        <v>0</v>
      </c>
      <c r="O277" t="str">
        <f>IF(OR($G277="",Sync!$V273=""),"",Sync!$V273)</f>
        <v/>
      </c>
      <c r="P277" t="str">
        <f>IF(OR($G277="",Sync!$AD273=""),"",Sync!$AD273)</f>
        <v/>
      </c>
      <c r="Q277" t="str">
        <f>IF($G277="","",IF(Sync!$U273="","0000",IF(AND(ISNUMBER(Sync!$U273),Sync!$U273&gt;=0,Sync!$U273&lt;1),RIGHT("00"&amp;HOUR(Sync!$U273),2)&amp;RIGHT("00"&amp;MINUTE(Sync!$U273),2),IFERROR(RIGHT("00"&amp;VALUE(LEFT(Sync!$U273,FIND(":",Sync!$U273)-1)),2)&amp;RIGHT("00"&amp;VALUE(MID(Sync!$U273,FIND(":",Sync!$U273)+1,2)),2),"0000"))))</f>
        <v/>
      </c>
    </row>
    <row r="278" spans="1:17" x14ac:dyDescent="0.2">
      <c r="A278" t="str">
        <f>IF(Sync!$T274="","",Sync!$T274)</f>
        <v/>
      </c>
      <c r="B278" t="str">
        <f t="shared" si="24"/>
        <v/>
      </c>
      <c r="C278" t="str">
        <f t="shared" si="25"/>
        <v/>
      </c>
      <c r="D278" t="str">
        <f t="shared" si="26"/>
        <v/>
      </c>
      <c r="E278" t="str">
        <f t="shared" si="27"/>
        <v/>
      </c>
      <c r="F278" t="str">
        <f t="shared" si="28"/>
        <v/>
      </c>
      <c r="G278" t="str">
        <f>IF(OR($E278="",$E278="نامعتبر",Sync!$X274=""),"",IF(AND(LEFT(UPPER(TRIM(Sync!$X274)),2)="SL",IFERROR(VLOOKUP(Sync!$W274,OpTbl,3,0),"")="فروش"),UPPER(TRIM(Sync!$X274)),""))</f>
        <v/>
      </c>
      <c r="H278" t="str">
        <f>IF($G278="","",IF(Sync!$W274="","",Sync!$W274))</f>
        <v/>
      </c>
      <c r="I278" t="str">
        <f>IF(OR($G278="",Sync!$Y274=""),"",Sync!$Y274)</f>
        <v/>
      </c>
      <c r="J278" t="str">
        <f>IF(OR($G278="",Sync!$Z274=""),"",Sync!$Z274)</f>
        <v/>
      </c>
      <c r="K278">
        <f>IF($G278="",0,IF(Sync!$AA274="",0,Sync!$AA274))</f>
        <v>0</v>
      </c>
      <c r="L278">
        <f>IF($G278="",0,IF(Sync!$AB274="",0,Sync!$AB274))</f>
        <v>0</v>
      </c>
      <c r="M278" t="str">
        <f t="shared" si="29"/>
        <v/>
      </c>
      <c r="N278">
        <f>IF($G278="",0,IF($H278="مرجوعی فروش",-1,1)*IF(Sync!$AC274="",0,Sync!$AC274))</f>
        <v>0</v>
      </c>
      <c r="O278" t="str">
        <f>IF(OR($G278="",Sync!$V274=""),"",Sync!$V274)</f>
        <v/>
      </c>
      <c r="P278" t="str">
        <f>IF(OR($G278="",Sync!$AD274=""),"",Sync!$AD274)</f>
        <v/>
      </c>
      <c r="Q278" t="str">
        <f>IF($G278="","",IF(Sync!$U274="","0000",IF(AND(ISNUMBER(Sync!$U274),Sync!$U274&gt;=0,Sync!$U274&lt;1),RIGHT("00"&amp;HOUR(Sync!$U274),2)&amp;RIGHT("00"&amp;MINUTE(Sync!$U274),2),IFERROR(RIGHT("00"&amp;VALUE(LEFT(Sync!$U274,FIND(":",Sync!$U274)-1)),2)&amp;RIGHT("00"&amp;VALUE(MID(Sync!$U274,FIND(":",Sync!$U274)+1,2)),2),"0000"))))</f>
        <v/>
      </c>
    </row>
    <row r="279" spans="1:17" x14ac:dyDescent="0.2">
      <c r="A279" t="str">
        <f>IF(Sync!$T275="","",Sync!$T275)</f>
        <v/>
      </c>
      <c r="B279" t="str">
        <f t="shared" si="24"/>
        <v/>
      </c>
      <c r="C279" t="str">
        <f t="shared" si="25"/>
        <v/>
      </c>
      <c r="D279" t="str">
        <f t="shared" si="26"/>
        <v/>
      </c>
      <c r="E279" t="str">
        <f t="shared" si="27"/>
        <v/>
      </c>
      <c r="F279" t="str">
        <f t="shared" si="28"/>
        <v/>
      </c>
      <c r="G279" t="str">
        <f>IF(OR($E279="",$E279="نامعتبر",Sync!$X275=""),"",IF(AND(LEFT(UPPER(TRIM(Sync!$X275)),2)="SL",IFERROR(VLOOKUP(Sync!$W275,OpTbl,3,0),"")="فروش"),UPPER(TRIM(Sync!$X275)),""))</f>
        <v/>
      </c>
      <c r="H279" t="str">
        <f>IF($G279="","",IF(Sync!$W275="","",Sync!$W275))</f>
        <v/>
      </c>
      <c r="I279" t="str">
        <f>IF(OR($G279="",Sync!$Y275=""),"",Sync!$Y275)</f>
        <v/>
      </c>
      <c r="J279" t="str">
        <f>IF(OR($G279="",Sync!$Z275=""),"",Sync!$Z275)</f>
        <v/>
      </c>
      <c r="K279">
        <f>IF($G279="",0,IF(Sync!$AA275="",0,Sync!$AA275))</f>
        <v>0</v>
      </c>
      <c r="L279">
        <f>IF($G279="",0,IF(Sync!$AB275="",0,Sync!$AB275))</f>
        <v>0</v>
      </c>
      <c r="M279" t="str">
        <f t="shared" si="29"/>
        <v/>
      </c>
      <c r="N279">
        <f>IF($G279="",0,IF($H279="مرجوعی فروش",-1,1)*IF(Sync!$AC275="",0,Sync!$AC275))</f>
        <v>0</v>
      </c>
      <c r="O279" t="str">
        <f>IF(OR($G279="",Sync!$V275=""),"",Sync!$V275)</f>
        <v/>
      </c>
      <c r="P279" t="str">
        <f>IF(OR($G279="",Sync!$AD275=""),"",Sync!$AD275)</f>
        <v/>
      </c>
      <c r="Q279" t="str">
        <f>IF($G279="","",IF(Sync!$U275="","0000",IF(AND(ISNUMBER(Sync!$U275),Sync!$U275&gt;=0,Sync!$U275&lt;1),RIGHT("00"&amp;HOUR(Sync!$U275),2)&amp;RIGHT("00"&amp;MINUTE(Sync!$U275),2),IFERROR(RIGHT("00"&amp;VALUE(LEFT(Sync!$U275,FIND(":",Sync!$U275)-1)),2)&amp;RIGHT("00"&amp;VALUE(MID(Sync!$U275,FIND(":",Sync!$U275)+1,2)),2),"0000"))))</f>
        <v/>
      </c>
    </row>
    <row r="280" spans="1:17" x14ac:dyDescent="0.2">
      <c r="A280" t="str">
        <f>IF(Sync!$T276="","",Sync!$T276)</f>
        <v/>
      </c>
      <c r="B280" t="str">
        <f t="shared" si="24"/>
        <v/>
      </c>
      <c r="C280" t="str">
        <f t="shared" si="25"/>
        <v/>
      </c>
      <c r="D280" t="str">
        <f t="shared" si="26"/>
        <v/>
      </c>
      <c r="E280" t="str">
        <f t="shared" si="27"/>
        <v/>
      </c>
      <c r="F280" t="str">
        <f t="shared" si="28"/>
        <v/>
      </c>
      <c r="G280" t="str">
        <f>IF(OR($E280="",$E280="نامعتبر",Sync!$X276=""),"",IF(AND(LEFT(UPPER(TRIM(Sync!$X276)),2)="SL",IFERROR(VLOOKUP(Sync!$W276,OpTbl,3,0),"")="فروش"),UPPER(TRIM(Sync!$X276)),""))</f>
        <v/>
      </c>
      <c r="H280" t="str">
        <f>IF($G280="","",IF(Sync!$W276="","",Sync!$W276))</f>
        <v/>
      </c>
      <c r="I280" t="str">
        <f>IF(OR($G280="",Sync!$Y276=""),"",Sync!$Y276)</f>
        <v/>
      </c>
      <c r="J280" t="str">
        <f>IF(OR($G280="",Sync!$Z276=""),"",Sync!$Z276)</f>
        <v/>
      </c>
      <c r="K280">
        <f>IF($G280="",0,IF(Sync!$AA276="",0,Sync!$AA276))</f>
        <v>0</v>
      </c>
      <c r="L280">
        <f>IF($G280="",0,IF(Sync!$AB276="",0,Sync!$AB276))</f>
        <v>0</v>
      </c>
      <c r="M280" t="str">
        <f t="shared" si="29"/>
        <v/>
      </c>
      <c r="N280">
        <f>IF($G280="",0,IF($H280="مرجوعی فروش",-1,1)*IF(Sync!$AC276="",0,Sync!$AC276))</f>
        <v>0</v>
      </c>
      <c r="O280" t="str">
        <f>IF(OR($G280="",Sync!$V276=""),"",Sync!$V276)</f>
        <v/>
      </c>
      <c r="P280" t="str">
        <f>IF(OR($G280="",Sync!$AD276=""),"",Sync!$AD276)</f>
        <v/>
      </c>
      <c r="Q280" t="str">
        <f>IF($G280="","",IF(Sync!$U276="","0000",IF(AND(ISNUMBER(Sync!$U276),Sync!$U276&gt;=0,Sync!$U276&lt;1),RIGHT("00"&amp;HOUR(Sync!$U276),2)&amp;RIGHT("00"&amp;MINUTE(Sync!$U276),2),IFERROR(RIGHT("00"&amp;VALUE(LEFT(Sync!$U276,FIND(":",Sync!$U276)-1)),2)&amp;RIGHT("00"&amp;VALUE(MID(Sync!$U276,FIND(":",Sync!$U276)+1,2)),2),"0000"))))</f>
        <v/>
      </c>
    </row>
    <row r="281" spans="1:17" x14ac:dyDescent="0.2">
      <c r="A281" t="str">
        <f>IF(Sync!$T277="","",Sync!$T277)</f>
        <v/>
      </c>
      <c r="B281" t="str">
        <f t="shared" si="24"/>
        <v/>
      </c>
      <c r="C281" t="str">
        <f t="shared" si="25"/>
        <v/>
      </c>
      <c r="D281" t="str">
        <f t="shared" si="26"/>
        <v/>
      </c>
      <c r="E281" t="str">
        <f t="shared" si="27"/>
        <v/>
      </c>
      <c r="F281" t="str">
        <f t="shared" si="28"/>
        <v/>
      </c>
      <c r="G281" t="str">
        <f>IF(OR($E281="",$E281="نامعتبر",Sync!$X277=""),"",IF(AND(LEFT(UPPER(TRIM(Sync!$X277)),2)="SL",IFERROR(VLOOKUP(Sync!$W277,OpTbl,3,0),"")="فروش"),UPPER(TRIM(Sync!$X277)),""))</f>
        <v/>
      </c>
      <c r="H281" t="str">
        <f>IF($G281="","",IF(Sync!$W277="","",Sync!$W277))</f>
        <v/>
      </c>
      <c r="I281" t="str">
        <f>IF(OR($G281="",Sync!$Y277=""),"",Sync!$Y277)</f>
        <v/>
      </c>
      <c r="J281" t="str">
        <f>IF(OR($G281="",Sync!$Z277=""),"",Sync!$Z277)</f>
        <v/>
      </c>
      <c r="K281">
        <f>IF($G281="",0,IF(Sync!$AA277="",0,Sync!$AA277))</f>
        <v>0</v>
      </c>
      <c r="L281">
        <f>IF($G281="",0,IF(Sync!$AB277="",0,Sync!$AB277))</f>
        <v>0</v>
      </c>
      <c r="M281" t="str">
        <f t="shared" si="29"/>
        <v/>
      </c>
      <c r="N281">
        <f>IF($G281="",0,IF($H281="مرجوعی فروش",-1,1)*IF(Sync!$AC277="",0,Sync!$AC277))</f>
        <v>0</v>
      </c>
      <c r="O281" t="str">
        <f>IF(OR($G281="",Sync!$V277=""),"",Sync!$V277)</f>
        <v/>
      </c>
      <c r="P281" t="str">
        <f>IF(OR($G281="",Sync!$AD277=""),"",Sync!$AD277)</f>
        <v/>
      </c>
      <c r="Q281" t="str">
        <f>IF($G281="","",IF(Sync!$U277="","0000",IF(AND(ISNUMBER(Sync!$U277),Sync!$U277&gt;=0,Sync!$U277&lt;1),RIGHT("00"&amp;HOUR(Sync!$U277),2)&amp;RIGHT("00"&amp;MINUTE(Sync!$U277),2),IFERROR(RIGHT("00"&amp;VALUE(LEFT(Sync!$U277,FIND(":",Sync!$U277)-1)),2)&amp;RIGHT("00"&amp;VALUE(MID(Sync!$U277,FIND(":",Sync!$U277)+1,2)),2),"0000"))))</f>
        <v/>
      </c>
    </row>
    <row r="282" spans="1:17" x14ac:dyDescent="0.2">
      <c r="A282" t="str">
        <f>IF(Sync!$T278="","",Sync!$T278)</f>
        <v/>
      </c>
      <c r="B282" t="str">
        <f t="shared" si="24"/>
        <v/>
      </c>
      <c r="C282" t="str">
        <f t="shared" si="25"/>
        <v/>
      </c>
      <c r="D282" t="str">
        <f t="shared" si="26"/>
        <v/>
      </c>
      <c r="E282" t="str">
        <f t="shared" si="27"/>
        <v/>
      </c>
      <c r="F282" t="str">
        <f t="shared" si="28"/>
        <v/>
      </c>
      <c r="G282" t="str">
        <f>IF(OR($E282="",$E282="نامعتبر",Sync!$X278=""),"",IF(AND(LEFT(UPPER(TRIM(Sync!$X278)),2)="SL",IFERROR(VLOOKUP(Sync!$W278,OpTbl,3,0),"")="فروش"),UPPER(TRIM(Sync!$X278)),""))</f>
        <v/>
      </c>
      <c r="H282" t="str">
        <f>IF($G282="","",IF(Sync!$W278="","",Sync!$W278))</f>
        <v/>
      </c>
      <c r="I282" t="str">
        <f>IF(OR($G282="",Sync!$Y278=""),"",Sync!$Y278)</f>
        <v/>
      </c>
      <c r="J282" t="str">
        <f>IF(OR($G282="",Sync!$Z278=""),"",Sync!$Z278)</f>
        <v/>
      </c>
      <c r="K282">
        <f>IF($G282="",0,IF(Sync!$AA278="",0,Sync!$AA278))</f>
        <v>0</v>
      </c>
      <c r="L282">
        <f>IF($G282="",0,IF(Sync!$AB278="",0,Sync!$AB278))</f>
        <v>0</v>
      </c>
      <c r="M282" t="str">
        <f t="shared" si="29"/>
        <v/>
      </c>
      <c r="N282">
        <f>IF($G282="",0,IF($H282="مرجوعی فروش",-1,1)*IF(Sync!$AC278="",0,Sync!$AC278))</f>
        <v>0</v>
      </c>
      <c r="O282" t="str">
        <f>IF(OR($G282="",Sync!$V278=""),"",Sync!$V278)</f>
        <v/>
      </c>
      <c r="P282" t="str">
        <f>IF(OR($G282="",Sync!$AD278=""),"",Sync!$AD278)</f>
        <v/>
      </c>
      <c r="Q282" t="str">
        <f>IF($G282="","",IF(Sync!$U278="","0000",IF(AND(ISNUMBER(Sync!$U278),Sync!$U278&gt;=0,Sync!$U278&lt;1),RIGHT("00"&amp;HOUR(Sync!$U278),2)&amp;RIGHT("00"&amp;MINUTE(Sync!$U278),2),IFERROR(RIGHT("00"&amp;VALUE(LEFT(Sync!$U278,FIND(":",Sync!$U278)-1)),2)&amp;RIGHT("00"&amp;VALUE(MID(Sync!$U278,FIND(":",Sync!$U278)+1,2)),2),"0000"))))</f>
        <v/>
      </c>
    </row>
    <row r="283" spans="1:17" x14ac:dyDescent="0.2">
      <c r="A283" t="str">
        <f>IF(Sync!$T279="","",Sync!$T279)</f>
        <v/>
      </c>
      <c r="B283" t="str">
        <f t="shared" si="24"/>
        <v/>
      </c>
      <c r="C283" t="str">
        <f t="shared" si="25"/>
        <v/>
      </c>
      <c r="D283" t="str">
        <f t="shared" si="26"/>
        <v/>
      </c>
      <c r="E283" t="str">
        <f t="shared" si="27"/>
        <v/>
      </c>
      <c r="F283" t="str">
        <f t="shared" si="28"/>
        <v/>
      </c>
      <c r="G283" t="str">
        <f>IF(OR($E283="",$E283="نامعتبر",Sync!$X279=""),"",IF(AND(LEFT(UPPER(TRIM(Sync!$X279)),2)="SL",IFERROR(VLOOKUP(Sync!$W279,OpTbl,3,0),"")="فروش"),UPPER(TRIM(Sync!$X279)),""))</f>
        <v/>
      </c>
      <c r="H283" t="str">
        <f>IF($G283="","",IF(Sync!$W279="","",Sync!$W279))</f>
        <v/>
      </c>
      <c r="I283" t="str">
        <f>IF(OR($G283="",Sync!$Y279=""),"",Sync!$Y279)</f>
        <v/>
      </c>
      <c r="J283" t="str">
        <f>IF(OR($G283="",Sync!$Z279=""),"",Sync!$Z279)</f>
        <v/>
      </c>
      <c r="K283">
        <f>IF($G283="",0,IF(Sync!$AA279="",0,Sync!$AA279))</f>
        <v>0</v>
      </c>
      <c r="L283">
        <f>IF($G283="",0,IF(Sync!$AB279="",0,Sync!$AB279))</f>
        <v>0</v>
      </c>
      <c r="M283" t="str">
        <f t="shared" si="29"/>
        <v/>
      </c>
      <c r="N283">
        <f>IF($G283="",0,IF($H283="مرجوعی فروش",-1,1)*IF(Sync!$AC279="",0,Sync!$AC279))</f>
        <v>0</v>
      </c>
      <c r="O283" t="str">
        <f>IF(OR($G283="",Sync!$V279=""),"",Sync!$V279)</f>
        <v/>
      </c>
      <c r="P283" t="str">
        <f>IF(OR($G283="",Sync!$AD279=""),"",Sync!$AD279)</f>
        <v/>
      </c>
      <c r="Q283" t="str">
        <f>IF($G283="","",IF(Sync!$U279="","0000",IF(AND(ISNUMBER(Sync!$U279),Sync!$U279&gt;=0,Sync!$U279&lt;1),RIGHT("00"&amp;HOUR(Sync!$U279),2)&amp;RIGHT("00"&amp;MINUTE(Sync!$U279),2),IFERROR(RIGHT("00"&amp;VALUE(LEFT(Sync!$U279,FIND(":",Sync!$U279)-1)),2)&amp;RIGHT("00"&amp;VALUE(MID(Sync!$U279,FIND(":",Sync!$U279)+1,2)),2),"0000"))))</f>
        <v/>
      </c>
    </row>
    <row r="284" spans="1:17" x14ac:dyDescent="0.2">
      <c r="A284" t="str">
        <f>IF(Sync!$T280="","",Sync!$T280)</f>
        <v/>
      </c>
      <c r="B284" t="str">
        <f t="shared" si="24"/>
        <v/>
      </c>
      <c r="C284" t="str">
        <f t="shared" si="25"/>
        <v/>
      </c>
      <c r="D284" t="str">
        <f t="shared" si="26"/>
        <v/>
      </c>
      <c r="E284" t="str">
        <f t="shared" si="27"/>
        <v/>
      </c>
      <c r="F284" t="str">
        <f t="shared" si="28"/>
        <v/>
      </c>
      <c r="G284" t="str">
        <f>IF(OR($E284="",$E284="نامعتبر",Sync!$X280=""),"",IF(AND(LEFT(UPPER(TRIM(Sync!$X280)),2)="SL",IFERROR(VLOOKUP(Sync!$W280,OpTbl,3,0),"")="فروش"),UPPER(TRIM(Sync!$X280)),""))</f>
        <v/>
      </c>
      <c r="H284" t="str">
        <f>IF($G284="","",IF(Sync!$W280="","",Sync!$W280))</f>
        <v/>
      </c>
      <c r="I284" t="str">
        <f>IF(OR($G284="",Sync!$Y280=""),"",Sync!$Y280)</f>
        <v/>
      </c>
      <c r="J284" t="str">
        <f>IF(OR($G284="",Sync!$Z280=""),"",Sync!$Z280)</f>
        <v/>
      </c>
      <c r="K284">
        <f>IF($G284="",0,IF(Sync!$AA280="",0,Sync!$AA280))</f>
        <v>0</v>
      </c>
      <c r="L284">
        <f>IF($G284="",0,IF(Sync!$AB280="",0,Sync!$AB280))</f>
        <v>0</v>
      </c>
      <c r="M284" t="str">
        <f t="shared" si="29"/>
        <v/>
      </c>
      <c r="N284">
        <f>IF($G284="",0,IF($H284="مرجوعی فروش",-1,1)*IF(Sync!$AC280="",0,Sync!$AC280))</f>
        <v>0</v>
      </c>
      <c r="O284" t="str">
        <f>IF(OR($G284="",Sync!$V280=""),"",Sync!$V280)</f>
        <v/>
      </c>
      <c r="P284" t="str">
        <f>IF(OR($G284="",Sync!$AD280=""),"",Sync!$AD280)</f>
        <v/>
      </c>
      <c r="Q284" t="str">
        <f>IF($G284="","",IF(Sync!$U280="","0000",IF(AND(ISNUMBER(Sync!$U280),Sync!$U280&gt;=0,Sync!$U280&lt;1),RIGHT("00"&amp;HOUR(Sync!$U280),2)&amp;RIGHT("00"&amp;MINUTE(Sync!$U280),2),IFERROR(RIGHT("00"&amp;VALUE(LEFT(Sync!$U280,FIND(":",Sync!$U280)-1)),2)&amp;RIGHT("00"&amp;VALUE(MID(Sync!$U280,FIND(":",Sync!$U280)+1,2)),2),"0000"))))</f>
        <v/>
      </c>
    </row>
    <row r="285" spans="1:17" x14ac:dyDescent="0.2">
      <c r="A285" t="str">
        <f>IF(Sync!$T281="","",Sync!$T281)</f>
        <v/>
      </c>
      <c r="B285" t="str">
        <f t="shared" si="24"/>
        <v/>
      </c>
      <c r="C285" t="str">
        <f t="shared" si="25"/>
        <v/>
      </c>
      <c r="D285" t="str">
        <f t="shared" si="26"/>
        <v/>
      </c>
      <c r="E285" t="str">
        <f t="shared" si="27"/>
        <v/>
      </c>
      <c r="F285" t="str">
        <f t="shared" si="28"/>
        <v/>
      </c>
      <c r="G285" t="str">
        <f>IF(OR($E285="",$E285="نامعتبر",Sync!$X281=""),"",IF(AND(LEFT(UPPER(TRIM(Sync!$X281)),2)="SL",IFERROR(VLOOKUP(Sync!$W281,OpTbl,3,0),"")="فروش"),UPPER(TRIM(Sync!$X281)),""))</f>
        <v/>
      </c>
      <c r="H285" t="str">
        <f>IF($G285="","",IF(Sync!$W281="","",Sync!$W281))</f>
        <v/>
      </c>
      <c r="I285" t="str">
        <f>IF(OR($G285="",Sync!$Y281=""),"",Sync!$Y281)</f>
        <v/>
      </c>
      <c r="J285" t="str">
        <f>IF(OR($G285="",Sync!$Z281=""),"",Sync!$Z281)</f>
        <v/>
      </c>
      <c r="K285">
        <f>IF($G285="",0,IF(Sync!$AA281="",0,Sync!$AA281))</f>
        <v>0</v>
      </c>
      <c r="L285">
        <f>IF($G285="",0,IF(Sync!$AB281="",0,Sync!$AB281))</f>
        <v>0</v>
      </c>
      <c r="M285" t="str">
        <f t="shared" si="29"/>
        <v/>
      </c>
      <c r="N285">
        <f>IF($G285="",0,IF($H285="مرجوعی فروش",-1,1)*IF(Sync!$AC281="",0,Sync!$AC281))</f>
        <v>0</v>
      </c>
      <c r="O285" t="str">
        <f>IF(OR($G285="",Sync!$V281=""),"",Sync!$V281)</f>
        <v/>
      </c>
      <c r="P285" t="str">
        <f>IF(OR($G285="",Sync!$AD281=""),"",Sync!$AD281)</f>
        <v/>
      </c>
      <c r="Q285" t="str">
        <f>IF($G285="","",IF(Sync!$U281="","0000",IF(AND(ISNUMBER(Sync!$U281),Sync!$U281&gt;=0,Sync!$U281&lt;1),RIGHT("00"&amp;HOUR(Sync!$U281),2)&amp;RIGHT("00"&amp;MINUTE(Sync!$U281),2),IFERROR(RIGHT("00"&amp;VALUE(LEFT(Sync!$U281,FIND(":",Sync!$U281)-1)),2)&amp;RIGHT("00"&amp;VALUE(MID(Sync!$U281,FIND(":",Sync!$U281)+1,2)),2),"0000"))))</f>
        <v/>
      </c>
    </row>
    <row r="286" spans="1:17" x14ac:dyDescent="0.2">
      <c r="A286" t="str">
        <f>IF(Sync!$T282="","",Sync!$T282)</f>
        <v/>
      </c>
      <c r="B286" t="str">
        <f t="shared" si="24"/>
        <v/>
      </c>
      <c r="C286" t="str">
        <f t="shared" si="25"/>
        <v/>
      </c>
      <c r="D286" t="str">
        <f t="shared" si="26"/>
        <v/>
      </c>
      <c r="E286" t="str">
        <f t="shared" si="27"/>
        <v/>
      </c>
      <c r="F286" t="str">
        <f t="shared" si="28"/>
        <v/>
      </c>
      <c r="G286" t="str">
        <f>IF(OR($E286="",$E286="نامعتبر",Sync!$X282=""),"",IF(AND(LEFT(UPPER(TRIM(Sync!$X282)),2)="SL",IFERROR(VLOOKUP(Sync!$W282,OpTbl,3,0),"")="فروش"),UPPER(TRIM(Sync!$X282)),""))</f>
        <v/>
      </c>
      <c r="H286" t="str">
        <f>IF($G286="","",IF(Sync!$W282="","",Sync!$W282))</f>
        <v/>
      </c>
      <c r="I286" t="str">
        <f>IF(OR($G286="",Sync!$Y282=""),"",Sync!$Y282)</f>
        <v/>
      </c>
      <c r="J286" t="str">
        <f>IF(OR($G286="",Sync!$Z282=""),"",Sync!$Z282)</f>
        <v/>
      </c>
      <c r="K286">
        <f>IF($G286="",0,IF(Sync!$AA282="",0,Sync!$AA282))</f>
        <v>0</v>
      </c>
      <c r="L286">
        <f>IF($G286="",0,IF(Sync!$AB282="",0,Sync!$AB282))</f>
        <v>0</v>
      </c>
      <c r="M286" t="str">
        <f t="shared" si="29"/>
        <v/>
      </c>
      <c r="N286">
        <f>IF($G286="",0,IF($H286="مرجوعی فروش",-1,1)*IF(Sync!$AC282="",0,Sync!$AC282))</f>
        <v>0</v>
      </c>
      <c r="O286" t="str">
        <f>IF(OR($G286="",Sync!$V282=""),"",Sync!$V282)</f>
        <v/>
      </c>
      <c r="P286" t="str">
        <f>IF(OR($G286="",Sync!$AD282=""),"",Sync!$AD282)</f>
        <v/>
      </c>
      <c r="Q286" t="str">
        <f>IF($G286="","",IF(Sync!$U282="","0000",IF(AND(ISNUMBER(Sync!$U282),Sync!$U282&gt;=0,Sync!$U282&lt;1),RIGHT("00"&amp;HOUR(Sync!$U282),2)&amp;RIGHT("00"&amp;MINUTE(Sync!$U282),2),IFERROR(RIGHT("00"&amp;VALUE(LEFT(Sync!$U282,FIND(":",Sync!$U282)-1)),2)&amp;RIGHT("00"&amp;VALUE(MID(Sync!$U282,FIND(":",Sync!$U282)+1,2)),2),"0000"))))</f>
        <v/>
      </c>
    </row>
    <row r="287" spans="1:17" x14ac:dyDescent="0.2">
      <c r="A287" t="str">
        <f>IF(Sync!$T283="","",Sync!$T283)</f>
        <v/>
      </c>
      <c r="B287" t="str">
        <f t="shared" si="24"/>
        <v/>
      </c>
      <c r="C287" t="str">
        <f t="shared" si="25"/>
        <v/>
      </c>
      <c r="D287" t="str">
        <f t="shared" si="26"/>
        <v/>
      </c>
      <c r="E287" t="str">
        <f t="shared" si="27"/>
        <v/>
      </c>
      <c r="F287" t="str">
        <f t="shared" si="28"/>
        <v/>
      </c>
      <c r="G287" t="str">
        <f>IF(OR($E287="",$E287="نامعتبر",Sync!$X283=""),"",IF(AND(LEFT(UPPER(TRIM(Sync!$X283)),2)="SL",IFERROR(VLOOKUP(Sync!$W283,OpTbl,3,0),"")="فروش"),UPPER(TRIM(Sync!$X283)),""))</f>
        <v/>
      </c>
      <c r="H287" t="str">
        <f>IF($G287="","",IF(Sync!$W283="","",Sync!$W283))</f>
        <v/>
      </c>
      <c r="I287" t="str">
        <f>IF(OR($G287="",Sync!$Y283=""),"",Sync!$Y283)</f>
        <v/>
      </c>
      <c r="J287" t="str">
        <f>IF(OR($G287="",Sync!$Z283=""),"",Sync!$Z283)</f>
        <v/>
      </c>
      <c r="K287">
        <f>IF($G287="",0,IF(Sync!$AA283="",0,Sync!$AA283))</f>
        <v>0</v>
      </c>
      <c r="L287">
        <f>IF($G287="",0,IF(Sync!$AB283="",0,Sync!$AB283))</f>
        <v>0</v>
      </c>
      <c r="M287" t="str">
        <f t="shared" si="29"/>
        <v/>
      </c>
      <c r="N287">
        <f>IF($G287="",0,IF($H287="مرجوعی فروش",-1,1)*IF(Sync!$AC283="",0,Sync!$AC283))</f>
        <v>0</v>
      </c>
      <c r="O287" t="str">
        <f>IF(OR($G287="",Sync!$V283=""),"",Sync!$V283)</f>
        <v/>
      </c>
      <c r="P287" t="str">
        <f>IF(OR($G287="",Sync!$AD283=""),"",Sync!$AD283)</f>
        <v/>
      </c>
      <c r="Q287" t="str">
        <f>IF($G287="","",IF(Sync!$U283="","0000",IF(AND(ISNUMBER(Sync!$U283),Sync!$U283&gt;=0,Sync!$U283&lt;1),RIGHT("00"&amp;HOUR(Sync!$U283),2)&amp;RIGHT("00"&amp;MINUTE(Sync!$U283),2),IFERROR(RIGHT("00"&amp;VALUE(LEFT(Sync!$U283,FIND(":",Sync!$U283)-1)),2)&amp;RIGHT("00"&amp;VALUE(MID(Sync!$U283,FIND(":",Sync!$U283)+1,2)),2),"0000"))))</f>
        <v/>
      </c>
    </row>
    <row r="288" spans="1:17" x14ac:dyDescent="0.2">
      <c r="A288" t="str">
        <f>IF(Sync!$T284="","",Sync!$T284)</f>
        <v/>
      </c>
      <c r="B288" t="str">
        <f t="shared" si="24"/>
        <v/>
      </c>
      <c r="C288" t="str">
        <f t="shared" si="25"/>
        <v/>
      </c>
      <c r="D288" t="str">
        <f t="shared" si="26"/>
        <v/>
      </c>
      <c r="E288" t="str">
        <f t="shared" si="27"/>
        <v/>
      </c>
      <c r="F288" t="str">
        <f t="shared" si="28"/>
        <v/>
      </c>
      <c r="G288" t="str">
        <f>IF(OR($E288="",$E288="نامعتبر",Sync!$X284=""),"",IF(AND(LEFT(UPPER(TRIM(Sync!$X284)),2)="SL",IFERROR(VLOOKUP(Sync!$W284,OpTbl,3,0),"")="فروش"),UPPER(TRIM(Sync!$X284)),""))</f>
        <v/>
      </c>
      <c r="H288" t="str">
        <f>IF($G288="","",IF(Sync!$W284="","",Sync!$W284))</f>
        <v/>
      </c>
      <c r="I288" t="str">
        <f>IF(OR($G288="",Sync!$Y284=""),"",Sync!$Y284)</f>
        <v/>
      </c>
      <c r="J288" t="str">
        <f>IF(OR($G288="",Sync!$Z284=""),"",Sync!$Z284)</f>
        <v/>
      </c>
      <c r="K288">
        <f>IF($G288="",0,IF(Sync!$AA284="",0,Sync!$AA284))</f>
        <v>0</v>
      </c>
      <c r="L288">
        <f>IF($G288="",0,IF(Sync!$AB284="",0,Sync!$AB284))</f>
        <v>0</v>
      </c>
      <c r="M288" t="str">
        <f t="shared" si="29"/>
        <v/>
      </c>
      <c r="N288">
        <f>IF($G288="",0,IF($H288="مرجوعی فروش",-1,1)*IF(Sync!$AC284="",0,Sync!$AC284))</f>
        <v>0</v>
      </c>
      <c r="O288" t="str">
        <f>IF(OR($G288="",Sync!$V284=""),"",Sync!$V284)</f>
        <v/>
      </c>
      <c r="P288" t="str">
        <f>IF(OR($G288="",Sync!$AD284=""),"",Sync!$AD284)</f>
        <v/>
      </c>
      <c r="Q288" t="str">
        <f>IF($G288="","",IF(Sync!$U284="","0000",IF(AND(ISNUMBER(Sync!$U284),Sync!$U284&gt;=0,Sync!$U284&lt;1),RIGHT("00"&amp;HOUR(Sync!$U284),2)&amp;RIGHT("00"&amp;MINUTE(Sync!$U284),2),IFERROR(RIGHT("00"&amp;VALUE(LEFT(Sync!$U284,FIND(":",Sync!$U284)-1)),2)&amp;RIGHT("00"&amp;VALUE(MID(Sync!$U284,FIND(":",Sync!$U284)+1,2)),2),"0000"))))</f>
        <v/>
      </c>
    </row>
    <row r="289" spans="1:17" x14ac:dyDescent="0.2">
      <c r="A289" t="str">
        <f>IF(Sync!$T285="","",Sync!$T285)</f>
        <v/>
      </c>
      <c r="B289" t="str">
        <f t="shared" si="24"/>
        <v/>
      </c>
      <c r="C289" t="str">
        <f t="shared" si="25"/>
        <v/>
      </c>
      <c r="D289" t="str">
        <f t="shared" si="26"/>
        <v/>
      </c>
      <c r="E289" t="str">
        <f t="shared" si="27"/>
        <v/>
      </c>
      <c r="F289" t="str">
        <f t="shared" si="28"/>
        <v/>
      </c>
      <c r="G289" t="str">
        <f>IF(OR($E289="",$E289="نامعتبر",Sync!$X285=""),"",IF(AND(LEFT(UPPER(TRIM(Sync!$X285)),2)="SL",IFERROR(VLOOKUP(Sync!$W285,OpTbl,3,0),"")="فروش"),UPPER(TRIM(Sync!$X285)),""))</f>
        <v/>
      </c>
      <c r="H289" t="str">
        <f>IF($G289="","",IF(Sync!$W285="","",Sync!$W285))</f>
        <v/>
      </c>
      <c r="I289" t="str">
        <f>IF(OR($G289="",Sync!$Y285=""),"",Sync!$Y285)</f>
        <v/>
      </c>
      <c r="J289" t="str">
        <f>IF(OR($G289="",Sync!$Z285=""),"",Sync!$Z285)</f>
        <v/>
      </c>
      <c r="K289">
        <f>IF($G289="",0,IF(Sync!$AA285="",0,Sync!$AA285))</f>
        <v>0</v>
      </c>
      <c r="L289">
        <f>IF($G289="",0,IF(Sync!$AB285="",0,Sync!$AB285))</f>
        <v>0</v>
      </c>
      <c r="M289" t="str">
        <f t="shared" si="29"/>
        <v/>
      </c>
      <c r="N289">
        <f>IF($G289="",0,IF($H289="مرجوعی فروش",-1,1)*IF(Sync!$AC285="",0,Sync!$AC285))</f>
        <v>0</v>
      </c>
      <c r="O289" t="str">
        <f>IF(OR($G289="",Sync!$V285=""),"",Sync!$V285)</f>
        <v/>
      </c>
      <c r="P289" t="str">
        <f>IF(OR($G289="",Sync!$AD285=""),"",Sync!$AD285)</f>
        <v/>
      </c>
      <c r="Q289" t="str">
        <f>IF($G289="","",IF(Sync!$U285="","0000",IF(AND(ISNUMBER(Sync!$U285),Sync!$U285&gt;=0,Sync!$U285&lt;1),RIGHT("00"&amp;HOUR(Sync!$U285),2)&amp;RIGHT("00"&amp;MINUTE(Sync!$U285),2),IFERROR(RIGHT("00"&amp;VALUE(LEFT(Sync!$U285,FIND(":",Sync!$U285)-1)),2)&amp;RIGHT("00"&amp;VALUE(MID(Sync!$U285,FIND(":",Sync!$U285)+1,2)),2),"0000"))))</f>
        <v/>
      </c>
    </row>
    <row r="290" spans="1:17" x14ac:dyDescent="0.2">
      <c r="A290" t="str">
        <f>IF(Sync!$T286="","",Sync!$T286)</f>
        <v/>
      </c>
      <c r="B290" t="str">
        <f t="shared" si="24"/>
        <v/>
      </c>
      <c r="C290" t="str">
        <f t="shared" si="25"/>
        <v/>
      </c>
      <c r="D290" t="str">
        <f t="shared" si="26"/>
        <v/>
      </c>
      <c r="E290" t="str">
        <f t="shared" si="27"/>
        <v/>
      </c>
      <c r="F290" t="str">
        <f t="shared" si="28"/>
        <v/>
      </c>
      <c r="G290" t="str">
        <f>IF(OR($E290="",$E290="نامعتبر",Sync!$X286=""),"",IF(AND(LEFT(UPPER(TRIM(Sync!$X286)),2)="SL",IFERROR(VLOOKUP(Sync!$W286,OpTbl,3,0),"")="فروش"),UPPER(TRIM(Sync!$X286)),""))</f>
        <v/>
      </c>
      <c r="H290" t="str">
        <f>IF($G290="","",IF(Sync!$W286="","",Sync!$W286))</f>
        <v/>
      </c>
      <c r="I290" t="str">
        <f>IF(OR($G290="",Sync!$Y286=""),"",Sync!$Y286)</f>
        <v/>
      </c>
      <c r="J290" t="str">
        <f>IF(OR($G290="",Sync!$Z286=""),"",Sync!$Z286)</f>
        <v/>
      </c>
      <c r="K290">
        <f>IF($G290="",0,IF(Sync!$AA286="",0,Sync!$AA286))</f>
        <v>0</v>
      </c>
      <c r="L290">
        <f>IF($G290="",0,IF(Sync!$AB286="",0,Sync!$AB286))</f>
        <v>0</v>
      </c>
      <c r="M290" t="str">
        <f t="shared" si="29"/>
        <v/>
      </c>
      <c r="N290">
        <f>IF($G290="",0,IF($H290="مرجوعی فروش",-1,1)*IF(Sync!$AC286="",0,Sync!$AC286))</f>
        <v>0</v>
      </c>
      <c r="O290" t="str">
        <f>IF(OR($G290="",Sync!$V286=""),"",Sync!$V286)</f>
        <v/>
      </c>
      <c r="P290" t="str">
        <f>IF(OR($G290="",Sync!$AD286=""),"",Sync!$AD286)</f>
        <v/>
      </c>
      <c r="Q290" t="str">
        <f>IF($G290="","",IF(Sync!$U286="","0000",IF(AND(ISNUMBER(Sync!$U286),Sync!$U286&gt;=0,Sync!$U286&lt;1),RIGHT("00"&amp;HOUR(Sync!$U286),2)&amp;RIGHT("00"&amp;MINUTE(Sync!$U286),2),IFERROR(RIGHT("00"&amp;VALUE(LEFT(Sync!$U286,FIND(":",Sync!$U286)-1)),2)&amp;RIGHT("00"&amp;VALUE(MID(Sync!$U286,FIND(":",Sync!$U286)+1,2)),2),"0000"))))</f>
        <v/>
      </c>
    </row>
    <row r="291" spans="1:17" x14ac:dyDescent="0.2">
      <c r="A291" t="str">
        <f>IF(Sync!$T287="","",Sync!$T287)</f>
        <v/>
      </c>
      <c r="B291" t="str">
        <f t="shared" si="24"/>
        <v/>
      </c>
      <c r="C291" t="str">
        <f t="shared" si="25"/>
        <v/>
      </c>
      <c r="D291" t="str">
        <f t="shared" si="26"/>
        <v/>
      </c>
      <c r="E291" t="str">
        <f t="shared" si="27"/>
        <v/>
      </c>
      <c r="F291" t="str">
        <f t="shared" si="28"/>
        <v/>
      </c>
      <c r="G291" t="str">
        <f>IF(OR($E291="",$E291="نامعتبر",Sync!$X287=""),"",IF(AND(LEFT(UPPER(TRIM(Sync!$X287)),2)="SL",IFERROR(VLOOKUP(Sync!$W287,OpTbl,3,0),"")="فروش"),UPPER(TRIM(Sync!$X287)),""))</f>
        <v/>
      </c>
      <c r="H291" t="str">
        <f>IF($G291="","",IF(Sync!$W287="","",Sync!$W287))</f>
        <v/>
      </c>
      <c r="I291" t="str">
        <f>IF(OR($G291="",Sync!$Y287=""),"",Sync!$Y287)</f>
        <v/>
      </c>
      <c r="J291" t="str">
        <f>IF(OR($G291="",Sync!$Z287=""),"",Sync!$Z287)</f>
        <v/>
      </c>
      <c r="K291">
        <f>IF($G291="",0,IF(Sync!$AA287="",0,Sync!$AA287))</f>
        <v>0</v>
      </c>
      <c r="L291">
        <f>IF($G291="",0,IF(Sync!$AB287="",0,Sync!$AB287))</f>
        <v>0</v>
      </c>
      <c r="M291" t="str">
        <f t="shared" si="29"/>
        <v/>
      </c>
      <c r="N291">
        <f>IF($G291="",0,IF($H291="مرجوعی فروش",-1,1)*IF(Sync!$AC287="",0,Sync!$AC287))</f>
        <v>0</v>
      </c>
      <c r="O291" t="str">
        <f>IF(OR($G291="",Sync!$V287=""),"",Sync!$V287)</f>
        <v/>
      </c>
      <c r="P291" t="str">
        <f>IF(OR($G291="",Sync!$AD287=""),"",Sync!$AD287)</f>
        <v/>
      </c>
      <c r="Q291" t="str">
        <f>IF($G291="","",IF(Sync!$U287="","0000",IF(AND(ISNUMBER(Sync!$U287),Sync!$U287&gt;=0,Sync!$U287&lt;1),RIGHT("00"&amp;HOUR(Sync!$U287),2)&amp;RIGHT("00"&amp;MINUTE(Sync!$U287),2),IFERROR(RIGHT("00"&amp;VALUE(LEFT(Sync!$U287,FIND(":",Sync!$U287)-1)),2)&amp;RIGHT("00"&amp;VALUE(MID(Sync!$U287,FIND(":",Sync!$U287)+1,2)),2),"0000"))))</f>
        <v/>
      </c>
    </row>
    <row r="292" spans="1:17" x14ac:dyDescent="0.2">
      <c r="A292" t="str">
        <f>IF(Sync!$T288="","",Sync!$T288)</f>
        <v/>
      </c>
      <c r="B292" t="str">
        <f t="shared" si="24"/>
        <v/>
      </c>
      <c r="C292" t="str">
        <f t="shared" si="25"/>
        <v/>
      </c>
      <c r="D292" t="str">
        <f t="shared" si="26"/>
        <v/>
      </c>
      <c r="E292" t="str">
        <f t="shared" si="27"/>
        <v/>
      </c>
      <c r="F292" t="str">
        <f t="shared" si="28"/>
        <v/>
      </c>
      <c r="G292" t="str">
        <f>IF(OR($E292="",$E292="نامعتبر",Sync!$X288=""),"",IF(AND(LEFT(UPPER(TRIM(Sync!$X288)),2)="SL",IFERROR(VLOOKUP(Sync!$W288,OpTbl,3,0),"")="فروش"),UPPER(TRIM(Sync!$X288)),""))</f>
        <v/>
      </c>
      <c r="H292" t="str">
        <f>IF($G292="","",IF(Sync!$W288="","",Sync!$W288))</f>
        <v/>
      </c>
      <c r="I292" t="str">
        <f>IF(OR($G292="",Sync!$Y288=""),"",Sync!$Y288)</f>
        <v/>
      </c>
      <c r="J292" t="str">
        <f>IF(OR($G292="",Sync!$Z288=""),"",Sync!$Z288)</f>
        <v/>
      </c>
      <c r="K292">
        <f>IF($G292="",0,IF(Sync!$AA288="",0,Sync!$AA288))</f>
        <v>0</v>
      </c>
      <c r="L292">
        <f>IF($G292="",0,IF(Sync!$AB288="",0,Sync!$AB288))</f>
        <v>0</v>
      </c>
      <c r="M292" t="str">
        <f t="shared" si="29"/>
        <v/>
      </c>
      <c r="N292">
        <f>IF($G292="",0,IF($H292="مرجوعی فروش",-1,1)*IF(Sync!$AC288="",0,Sync!$AC288))</f>
        <v>0</v>
      </c>
      <c r="O292" t="str">
        <f>IF(OR($G292="",Sync!$V288=""),"",Sync!$V288)</f>
        <v/>
      </c>
      <c r="P292" t="str">
        <f>IF(OR($G292="",Sync!$AD288=""),"",Sync!$AD288)</f>
        <v/>
      </c>
      <c r="Q292" t="str">
        <f>IF($G292="","",IF(Sync!$U288="","0000",IF(AND(ISNUMBER(Sync!$U288),Sync!$U288&gt;=0,Sync!$U288&lt;1),RIGHT("00"&amp;HOUR(Sync!$U288),2)&amp;RIGHT("00"&amp;MINUTE(Sync!$U288),2),IFERROR(RIGHT("00"&amp;VALUE(LEFT(Sync!$U288,FIND(":",Sync!$U288)-1)),2)&amp;RIGHT("00"&amp;VALUE(MID(Sync!$U288,FIND(":",Sync!$U288)+1,2)),2),"0000"))))</f>
        <v/>
      </c>
    </row>
    <row r="293" spans="1:17" x14ac:dyDescent="0.2">
      <c r="A293" t="str">
        <f>IF(Sync!$T289="","",Sync!$T289)</f>
        <v/>
      </c>
      <c r="B293" t="str">
        <f t="shared" si="24"/>
        <v/>
      </c>
      <c r="C293" t="str">
        <f t="shared" si="25"/>
        <v/>
      </c>
      <c r="D293" t="str">
        <f t="shared" si="26"/>
        <v/>
      </c>
      <c r="E293" t="str">
        <f t="shared" si="27"/>
        <v/>
      </c>
      <c r="F293" t="str">
        <f t="shared" si="28"/>
        <v/>
      </c>
      <c r="G293" t="str">
        <f>IF(OR($E293="",$E293="نامعتبر",Sync!$X289=""),"",IF(AND(LEFT(UPPER(TRIM(Sync!$X289)),2)="SL",IFERROR(VLOOKUP(Sync!$W289,OpTbl,3,0),"")="فروش"),UPPER(TRIM(Sync!$X289)),""))</f>
        <v/>
      </c>
      <c r="H293" t="str">
        <f>IF($G293="","",IF(Sync!$W289="","",Sync!$W289))</f>
        <v/>
      </c>
      <c r="I293" t="str">
        <f>IF(OR($G293="",Sync!$Y289=""),"",Sync!$Y289)</f>
        <v/>
      </c>
      <c r="J293" t="str">
        <f>IF(OR($G293="",Sync!$Z289=""),"",Sync!$Z289)</f>
        <v/>
      </c>
      <c r="K293">
        <f>IF($G293="",0,IF(Sync!$AA289="",0,Sync!$AA289))</f>
        <v>0</v>
      </c>
      <c r="L293">
        <f>IF($G293="",0,IF(Sync!$AB289="",0,Sync!$AB289))</f>
        <v>0</v>
      </c>
      <c r="M293" t="str">
        <f t="shared" si="29"/>
        <v/>
      </c>
      <c r="N293">
        <f>IF($G293="",0,IF($H293="مرجوعی فروش",-1,1)*IF(Sync!$AC289="",0,Sync!$AC289))</f>
        <v>0</v>
      </c>
      <c r="O293" t="str">
        <f>IF(OR($G293="",Sync!$V289=""),"",Sync!$V289)</f>
        <v/>
      </c>
      <c r="P293" t="str">
        <f>IF(OR($G293="",Sync!$AD289=""),"",Sync!$AD289)</f>
        <v/>
      </c>
      <c r="Q293" t="str">
        <f>IF($G293="","",IF(Sync!$U289="","0000",IF(AND(ISNUMBER(Sync!$U289),Sync!$U289&gt;=0,Sync!$U289&lt;1),RIGHT("00"&amp;HOUR(Sync!$U289),2)&amp;RIGHT("00"&amp;MINUTE(Sync!$U289),2),IFERROR(RIGHT("00"&amp;VALUE(LEFT(Sync!$U289,FIND(":",Sync!$U289)-1)),2)&amp;RIGHT("00"&amp;VALUE(MID(Sync!$U289,FIND(":",Sync!$U289)+1,2)),2),"0000"))))</f>
        <v/>
      </c>
    </row>
    <row r="294" spans="1:17" x14ac:dyDescent="0.2">
      <c r="A294" t="str">
        <f>IF(Sync!$T290="","",Sync!$T290)</f>
        <v/>
      </c>
      <c r="B294" t="str">
        <f t="shared" si="24"/>
        <v/>
      </c>
      <c r="C294" t="str">
        <f t="shared" si="25"/>
        <v/>
      </c>
      <c r="D294" t="str">
        <f t="shared" si="26"/>
        <v/>
      </c>
      <c r="E294" t="str">
        <f t="shared" si="27"/>
        <v/>
      </c>
      <c r="F294" t="str">
        <f t="shared" si="28"/>
        <v/>
      </c>
      <c r="G294" t="str">
        <f>IF(OR($E294="",$E294="نامعتبر",Sync!$X290=""),"",IF(AND(LEFT(UPPER(TRIM(Sync!$X290)),2)="SL",IFERROR(VLOOKUP(Sync!$W290,OpTbl,3,0),"")="فروش"),UPPER(TRIM(Sync!$X290)),""))</f>
        <v/>
      </c>
      <c r="H294" t="str">
        <f>IF($G294="","",IF(Sync!$W290="","",Sync!$W290))</f>
        <v/>
      </c>
      <c r="I294" t="str">
        <f>IF(OR($G294="",Sync!$Y290=""),"",Sync!$Y290)</f>
        <v/>
      </c>
      <c r="J294" t="str">
        <f>IF(OR($G294="",Sync!$Z290=""),"",Sync!$Z290)</f>
        <v/>
      </c>
      <c r="K294">
        <f>IF($G294="",0,IF(Sync!$AA290="",0,Sync!$AA290))</f>
        <v>0</v>
      </c>
      <c r="L294">
        <f>IF($G294="",0,IF(Sync!$AB290="",0,Sync!$AB290))</f>
        <v>0</v>
      </c>
      <c r="M294" t="str">
        <f t="shared" si="29"/>
        <v/>
      </c>
      <c r="N294">
        <f>IF($G294="",0,IF($H294="مرجوعی فروش",-1,1)*IF(Sync!$AC290="",0,Sync!$AC290))</f>
        <v>0</v>
      </c>
      <c r="O294" t="str">
        <f>IF(OR($G294="",Sync!$V290=""),"",Sync!$V290)</f>
        <v/>
      </c>
      <c r="P294" t="str">
        <f>IF(OR($G294="",Sync!$AD290=""),"",Sync!$AD290)</f>
        <v/>
      </c>
      <c r="Q294" t="str">
        <f>IF($G294="","",IF(Sync!$U290="","0000",IF(AND(ISNUMBER(Sync!$U290),Sync!$U290&gt;=0,Sync!$U290&lt;1),RIGHT("00"&amp;HOUR(Sync!$U290),2)&amp;RIGHT("00"&amp;MINUTE(Sync!$U290),2),IFERROR(RIGHT("00"&amp;VALUE(LEFT(Sync!$U290,FIND(":",Sync!$U290)-1)),2)&amp;RIGHT("00"&amp;VALUE(MID(Sync!$U290,FIND(":",Sync!$U290)+1,2)),2),"0000"))))</f>
        <v/>
      </c>
    </row>
    <row r="295" spans="1:17" x14ac:dyDescent="0.2">
      <c r="A295" t="str">
        <f>IF(Sync!$T291="","",Sync!$T291)</f>
        <v/>
      </c>
      <c r="B295" t="str">
        <f t="shared" si="24"/>
        <v/>
      </c>
      <c r="C295" t="str">
        <f t="shared" si="25"/>
        <v/>
      </c>
      <c r="D295" t="str">
        <f t="shared" si="26"/>
        <v/>
      </c>
      <c r="E295" t="str">
        <f t="shared" si="27"/>
        <v/>
      </c>
      <c r="F295" t="str">
        <f t="shared" si="28"/>
        <v/>
      </c>
      <c r="G295" t="str">
        <f>IF(OR($E295="",$E295="نامعتبر",Sync!$X291=""),"",IF(AND(LEFT(UPPER(TRIM(Sync!$X291)),2)="SL",IFERROR(VLOOKUP(Sync!$W291,OpTbl,3,0),"")="فروش"),UPPER(TRIM(Sync!$X291)),""))</f>
        <v/>
      </c>
      <c r="H295" t="str">
        <f>IF($G295="","",IF(Sync!$W291="","",Sync!$W291))</f>
        <v/>
      </c>
      <c r="I295" t="str">
        <f>IF(OR($G295="",Sync!$Y291=""),"",Sync!$Y291)</f>
        <v/>
      </c>
      <c r="J295" t="str">
        <f>IF(OR($G295="",Sync!$Z291=""),"",Sync!$Z291)</f>
        <v/>
      </c>
      <c r="K295">
        <f>IF($G295="",0,IF(Sync!$AA291="",0,Sync!$AA291))</f>
        <v>0</v>
      </c>
      <c r="L295">
        <f>IF($G295="",0,IF(Sync!$AB291="",0,Sync!$AB291))</f>
        <v>0</v>
      </c>
      <c r="M295" t="str">
        <f t="shared" si="29"/>
        <v/>
      </c>
      <c r="N295">
        <f>IF($G295="",0,IF($H295="مرجوعی فروش",-1,1)*IF(Sync!$AC291="",0,Sync!$AC291))</f>
        <v>0</v>
      </c>
      <c r="O295" t="str">
        <f>IF(OR($G295="",Sync!$V291=""),"",Sync!$V291)</f>
        <v/>
      </c>
      <c r="P295" t="str">
        <f>IF(OR($G295="",Sync!$AD291=""),"",Sync!$AD291)</f>
        <v/>
      </c>
      <c r="Q295" t="str">
        <f>IF($G295="","",IF(Sync!$U291="","0000",IF(AND(ISNUMBER(Sync!$U291),Sync!$U291&gt;=0,Sync!$U291&lt;1),RIGHT("00"&amp;HOUR(Sync!$U291),2)&amp;RIGHT("00"&amp;MINUTE(Sync!$U291),2),IFERROR(RIGHT("00"&amp;VALUE(LEFT(Sync!$U291,FIND(":",Sync!$U291)-1)),2)&amp;RIGHT("00"&amp;VALUE(MID(Sync!$U291,FIND(":",Sync!$U291)+1,2)),2),"0000"))))</f>
        <v/>
      </c>
    </row>
    <row r="296" spans="1:17" x14ac:dyDescent="0.2">
      <c r="A296" t="str">
        <f>IF(Sync!$T292="","",Sync!$T292)</f>
        <v/>
      </c>
      <c r="B296" t="str">
        <f t="shared" si="24"/>
        <v/>
      </c>
      <c r="C296" t="str">
        <f t="shared" si="25"/>
        <v/>
      </c>
      <c r="D296" t="str">
        <f t="shared" si="26"/>
        <v/>
      </c>
      <c r="E296" t="str">
        <f t="shared" si="27"/>
        <v/>
      </c>
      <c r="F296" t="str">
        <f t="shared" si="28"/>
        <v/>
      </c>
      <c r="G296" t="str">
        <f>IF(OR($E296="",$E296="نامعتبر",Sync!$X292=""),"",IF(AND(LEFT(UPPER(TRIM(Sync!$X292)),2)="SL",IFERROR(VLOOKUP(Sync!$W292,OpTbl,3,0),"")="فروش"),UPPER(TRIM(Sync!$X292)),""))</f>
        <v/>
      </c>
      <c r="H296" t="str">
        <f>IF($G296="","",IF(Sync!$W292="","",Sync!$W292))</f>
        <v/>
      </c>
      <c r="I296" t="str">
        <f>IF(OR($G296="",Sync!$Y292=""),"",Sync!$Y292)</f>
        <v/>
      </c>
      <c r="J296" t="str">
        <f>IF(OR($G296="",Sync!$Z292=""),"",Sync!$Z292)</f>
        <v/>
      </c>
      <c r="K296">
        <f>IF($G296="",0,IF(Sync!$AA292="",0,Sync!$AA292))</f>
        <v>0</v>
      </c>
      <c r="L296">
        <f>IF($G296="",0,IF(Sync!$AB292="",0,Sync!$AB292))</f>
        <v>0</v>
      </c>
      <c r="M296" t="str">
        <f t="shared" si="29"/>
        <v/>
      </c>
      <c r="N296">
        <f>IF($G296="",0,IF($H296="مرجوعی فروش",-1,1)*IF(Sync!$AC292="",0,Sync!$AC292))</f>
        <v>0</v>
      </c>
      <c r="O296" t="str">
        <f>IF(OR($G296="",Sync!$V292=""),"",Sync!$V292)</f>
        <v/>
      </c>
      <c r="P296" t="str">
        <f>IF(OR($G296="",Sync!$AD292=""),"",Sync!$AD292)</f>
        <v/>
      </c>
      <c r="Q296" t="str">
        <f>IF($G296="","",IF(Sync!$U292="","0000",IF(AND(ISNUMBER(Sync!$U292),Sync!$U292&gt;=0,Sync!$U292&lt;1),RIGHT("00"&amp;HOUR(Sync!$U292),2)&amp;RIGHT("00"&amp;MINUTE(Sync!$U292),2),IFERROR(RIGHT("00"&amp;VALUE(LEFT(Sync!$U292,FIND(":",Sync!$U292)-1)),2)&amp;RIGHT("00"&amp;VALUE(MID(Sync!$U292,FIND(":",Sync!$U292)+1,2)),2),"0000"))))</f>
        <v/>
      </c>
    </row>
    <row r="297" spans="1:17" x14ac:dyDescent="0.2">
      <c r="A297" t="str">
        <f>IF(Sync!$T293="","",Sync!$T293)</f>
        <v/>
      </c>
      <c r="B297" t="str">
        <f t="shared" si="24"/>
        <v/>
      </c>
      <c r="C297" t="str">
        <f t="shared" si="25"/>
        <v/>
      </c>
      <c r="D297" t="str">
        <f t="shared" si="26"/>
        <v/>
      </c>
      <c r="E297" t="str">
        <f t="shared" si="27"/>
        <v/>
      </c>
      <c r="F297" t="str">
        <f t="shared" si="28"/>
        <v/>
      </c>
      <c r="G297" t="str">
        <f>IF(OR($E297="",$E297="نامعتبر",Sync!$X293=""),"",IF(AND(LEFT(UPPER(TRIM(Sync!$X293)),2)="SL",IFERROR(VLOOKUP(Sync!$W293,OpTbl,3,0),"")="فروش"),UPPER(TRIM(Sync!$X293)),""))</f>
        <v/>
      </c>
      <c r="H297" t="str">
        <f>IF($G297="","",IF(Sync!$W293="","",Sync!$W293))</f>
        <v/>
      </c>
      <c r="I297" t="str">
        <f>IF(OR($G297="",Sync!$Y293=""),"",Sync!$Y293)</f>
        <v/>
      </c>
      <c r="J297" t="str">
        <f>IF(OR($G297="",Sync!$Z293=""),"",Sync!$Z293)</f>
        <v/>
      </c>
      <c r="K297">
        <f>IF($G297="",0,IF(Sync!$AA293="",0,Sync!$AA293))</f>
        <v>0</v>
      </c>
      <c r="L297">
        <f>IF($G297="",0,IF(Sync!$AB293="",0,Sync!$AB293))</f>
        <v>0</v>
      </c>
      <c r="M297" t="str">
        <f t="shared" si="29"/>
        <v/>
      </c>
      <c r="N297">
        <f>IF($G297="",0,IF($H297="مرجوعی فروش",-1,1)*IF(Sync!$AC293="",0,Sync!$AC293))</f>
        <v>0</v>
      </c>
      <c r="O297" t="str">
        <f>IF(OR($G297="",Sync!$V293=""),"",Sync!$V293)</f>
        <v/>
      </c>
      <c r="P297" t="str">
        <f>IF(OR($G297="",Sync!$AD293=""),"",Sync!$AD293)</f>
        <v/>
      </c>
      <c r="Q297" t="str">
        <f>IF($G297="","",IF(Sync!$U293="","0000",IF(AND(ISNUMBER(Sync!$U293),Sync!$U293&gt;=0,Sync!$U293&lt;1),RIGHT("00"&amp;HOUR(Sync!$U293),2)&amp;RIGHT("00"&amp;MINUTE(Sync!$U293),2),IFERROR(RIGHT("00"&amp;VALUE(LEFT(Sync!$U293,FIND(":",Sync!$U293)-1)),2)&amp;RIGHT("00"&amp;VALUE(MID(Sync!$U293,FIND(":",Sync!$U293)+1,2)),2),"0000"))))</f>
        <v/>
      </c>
    </row>
    <row r="298" spans="1:17" x14ac:dyDescent="0.2">
      <c r="A298" t="str">
        <f>IF(Sync!$T294="","",Sync!$T294)</f>
        <v/>
      </c>
      <c r="B298" t="str">
        <f t="shared" si="24"/>
        <v/>
      </c>
      <c r="C298" t="str">
        <f t="shared" si="25"/>
        <v/>
      </c>
      <c r="D298" t="str">
        <f t="shared" si="26"/>
        <v/>
      </c>
      <c r="E298" t="str">
        <f t="shared" si="27"/>
        <v/>
      </c>
      <c r="F298" t="str">
        <f t="shared" si="28"/>
        <v/>
      </c>
      <c r="G298" t="str">
        <f>IF(OR($E298="",$E298="نامعتبر",Sync!$X294=""),"",IF(AND(LEFT(UPPER(TRIM(Sync!$X294)),2)="SL",IFERROR(VLOOKUP(Sync!$W294,OpTbl,3,0),"")="فروش"),UPPER(TRIM(Sync!$X294)),""))</f>
        <v/>
      </c>
      <c r="H298" t="str">
        <f>IF($G298="","",IF(Sync!$W294="","",Sync!$W294))</f>
        <v/>
      </c>
      <c r="I298" t="str">
        <f>IF(OR($G298="",Sync!$Y294=""),"",Sync!$Y294)</f>
        <v/>
      </c>
      <c r="J298" t="str">
        <f>IF(OR($G298="",Sync!$Z294=""),"",Sync!$Z294)</f>
        <v/>
      </c>
      <c r="K298">
        <f>IF($G298="",0,IF(Sync!$AA294="",0,Sync!$AA294))</f>
        <v>0</v>
      </c>
      <c r="L298">
        <f>IF($G298="",0,IF(Sync!$AB294="",0,Sync!$AB294))</f>
        <v>0</v>
      </c>
      <c r="M298" t="str">
        <f t="shared" si="29"/>
        <v/>
      </c>
      <c r="N298">
        <f>IF($G298="",0,IF($H298="مرجوعی فروش",-1,1)*IF(Sync!$AC294="",0,Sync!$AC294))</f>
        <v>0</v>
      </c>
      <c r="O298" t="str">
        <f>IF(OR($G298="",Sync!$V294=""),"",Sync!$V294)</f>
        <v/>
      </c>
      <c r="P298" t="str">
        <f>IF(OR($G298="",Sync!$AD294=""),"",Sync!$AD294)</f>
        <v/>
      </c>
      <c r="Q298" t="str">
        <f>IF($G298="","",IF(Sync!$U294="","0000",IF(AND(ISNUMBER(Sync!$U294),Sync!$U294&gt;=0,Sync!$U294&lt;1),RIGHT("00"&amp;HOUR(Sync!$U294),2)&amp;RIGHT("00"&amp;MINUTE(Sync!$U294),2),IFERROR(RIGHT("00"&amp;VALUE(LEFT(Sync!$U294,FIND(":",Sync!$U294)-1)),2)&amp;RIGHT("00"&amp;VALUE(MID(Sync!$U294,FIND(":",Sync!$U294)+1,2)),2),"0000"))))</f>
        <v/>
      </c>
    </row>
    <row r="299" spans="1:17" x14ac:dyDescent="0.2">
      <c r="A299" t="str">
        <f>IF(Sync!$T295="","",Sync!$T295)</f>
        <v/>
      </c>
      <c r="B299" t="str">
        <f t="shared" si="24"/>
        <v/>
      </c>
      <c r="C299" t="str">
        <f t="shared" si="25"/>
        <v/>
      </c>
      <c r="D299" t="str">
        <f t="shared" si="26"/>
        <v/>
      </c>
      <c r="E299" t="str">
        <f t="shared" si="27"/>
        <v/>
      </c>
      <c r="F299" t="str">
        <f t="shared" si="28"/>
        <v/>
      </c>
      <c r="G299" t="str">
        <f>IF(OR($E299="",$E299="نامعتبر",Sync!$X295=""),"",IF(AND(LEFT(UPPER(TRIM(Sync!$X295)),2)="SL",IFERROR(VLOOKUP(Sync!$W295,OpTbl,3,0),"")="فروش"),UPPER(TRIM(Sync!$X295)),""))</f>
        <v/>
      </c>
      <c r="H299" t="str">
        <f>IF($G299="","",IF(Sync!$W295="","",Sync!$W295))</f>
        <v/>
      </c>
      <c r="I299" t="str">
        <f>IF(OR($G299="",Sync!$Y295=""),"",Sync!$Y295)</f>
        <v/>
      </c>
      <c r="J299" t="str">
        <f>IF(OR($G299="",Sync!$Z295=""),"",Sync!$Z295)</f>
        <v/>
      </c>
      <c r="K299">
        <f>IF($G299="",0,IF(Sync!$AA295="",0,Sync!$AA295))</f>
        <v>0</v>
      </c>
      <c r="L299">
        <f>IF($G299="",0,IF(Sync!$AB295="",0,Sync!$AB295))</f>
        <v>0</v>
      </c>
      <c r="M299" t="str">
        <f t="shared" si="29"/>
        <v/>
      </c>
      <c r="N299">
        <f>IF($G299="",0,IF($H299="مرجوعی فروش",-1,1)*IF(Sync!$AC295="",0,Sync!$AC295))</f>
        <v>0</v>
      </c>
      <c r="O299" t="str">
        <f>IF(OR($G299="",Sync!$V295=""),"",Sync!$V295)</f>
        <v/>
      </c>
      <c r="P299" t="str">
        <f>IF(OR($G299="",Sync!$AD295=""),"",Sync!$AD295)</f>
        <v/>
      </c>
      <c r="Q299" t="str">
        <f>IF($G299="","",IF(Sync!$U295="","0000",IF(AND(ISNUMBER(Sync!$U295),Sync!$U295&gt;=0,Sync!$U295&lt;1),RIGHT("00"&amp;HOUR(Sync!$U295),2)&amp;RIGHT("00"&amp;MINUTE(Sync!$U295),2),IFERROR(RIGHT("00"&amp;VALUE(LEFT(Sync!$U295,FIND(":",Sync!$U295)-1)),2)&amp;RIGHT("00"&amp;VALUE(MID(Sync!$U295,FIND(":",Sync!$U295)+1,2)),2),"0000"))))</f>
        <v/>
      </c>
    </row>
    <row r="300" spans="1:17" x14ac:dyDescent="0.2">
      <c r="A300" t="str">
        <f>IF(Sync!$T296="","",Sync!$T296)</f>
        <v/>
      </c>
      <c r="B300" t="str">
        <f t="shared" si="24"/>
        <v/>
      </c>
      <c r="C300" t="str">
        <f t="shared" si="25"/>
        <v/>
      </c>
      <c r="D300" t="str">
        <f t="shared" si="26"/>
        <v/>
      </c>
      <c r="E300" t="str">
        <f t="shared" si="27"/>
        <v/>
      </c>
      <c r="F300" t="str">
        <f t="shared" si="28"/>
        <v/>
      </c>
      <c r="G300" t="str">
        <f>IF(OR($E300="",$E300="نامعتبر",Sync!$X296=""),"",IF(AND(LEFT(UPPER(TRIM(Sync!$X296)),2)="SL",IFERROR(VLOOKUP(Sync!$W296,OpTbl,3,0),"")="فروش"),UPPER(TRIM(Sync!$X296)),""))</f>
        <v/>
      </c>
      <c r="H300" t="str">
        <f>IF($G300="","",IF(Sync!$W296="","",Sync!$W296))</f>
        <v/>
      </c>
      <c r="I300" t="str">
        <f>IF(OR($G300="",Sync!$Y296=""),"",Sync!$Y296)</f>
        <v/>
      </c>
      <c r="J300" t="str">
        <f>IF(OR($G300="",Sync!$Z296=""),"",Sync!$Z296)</f>
        <v/>
      </c>
      <c r="K300">
        <f>IF($G300="",0,IF(Sync!$AA296="",0,Sync!$AA296))</f>
        <v>0</v>
      </c>
      <c r="L300">
        <f>IF($G300="",0,IF(Sync!$AB296="",0,Sync!$AB296))</f>
        <v>0</v>
      </c>
      <c r="M300" t="str">
        <f t="shared" si="29"/>
        <v/>
      </c>
      <c r="N300">
        <f>IF($G300="",0,IF($H300="مرجوعی فروش",-1,1)*IF(Sync!$AC296="",0,Sync!$AC296))</f>
        <v>0</v>
      </c>
      <c r="O300" t="str">
        <f>IF(OR($G300="",Sync!$V296=""),"",Sync!$V296)</f>
        <v/>
      </c>
      <c r="P300" t="str">
        <f>IF(OR($G300="",Sync!$AD296=""),"",Sync!$AD296)</f>
        <v/>
      </c>
      <c r="Q300" t="str">
        <f>IF($G300="","",IF(Sync!$U296="","0000",IF(AND(ISNUMBER(Sync!$U296),Sync!$U296&gt;=0,Sync!$U296&lt;1),RIGHT("00"&amp;HOUR(Sync!$U296),2)&amp;RIGHT("00"&amp;MINUTE(Sync!$U296),2),IFERROR(RIGHT("00"&amp;VALUE(LEFT(Sync!$U296,FIND(":",Sync!$U296)-1)),2)&amp;RIGHT("00"&amp;VALUE(MID(Sync!$U296,FIND(":",Sync!$U296)+1,2)),2),"0000"))))</f>
        <v/>
      </c>
    </row>
    <row r="301" spans="1:17" x14ac:dyDescent="0.2">
      <c r="A301" t="str">
        <f>IF(Sync!$T297="","",Sync!$T297)</f>
        <v/>
      </c>
      <c r="B301" t="str">
        <f t="shared" si="24"/>
        <v/>
      </c>
      <c r="C301" t="str">
        <f t="shared" si="25"/>
        <v/>
      </c>
      <c r="D301" t="str">
        <f t="shared" si="26"/>
        <v/>
      </c>
      <c r="E301" t="str">
        <f t="shared" si="27"/>
        <v/>
      </c>
      <c r="F301" t="str">
        <f t="shared" si="28"/>
        <v/>
      </c>
      <c r="G301" t="str">
        <f>IF(OR($E301="",$E301="نامعتبر",Sync!$X297=""),"",IF(AND(LEFT(UPPER(TRIM(Sync!$X297)),2)="SL",IFERROR(VLOOKUP(Sync!$W297,OpTbl,3,0),"")="فروش"),UPPER(TRIM(Sync!$X297)),""))</f>
        <v/>
      </c>
      <c r="H301" t="str">
        <f>IF($G301="","",IF(Sync!$W297="","",Sync!$W297))</f>
        <v/>
      </c>
      <c r="I301" t="str">
        <f>IF(OR($G301="",Sync!$Y297=""),"",Sync!$Y297)</f>
        <v/>
      </c>
      <c r="J301" t="str">
        <f>IF(OR($G301="",Sync!$Z297=""),"",Sync!$Z297)</f>
        <v/>
      </c>
      <c r="K301">
        <f>IF($G301="",0,IF(Sync!$AA297="",0,Sync!$AA297))</f>
        <v>0</v>
      </c>
      <c r="L301">
        <f>IF($G301="",0,IF(Sync!$AB297="",0,Sync!$AB297))</f>
        <v>0</v>
      </c>
      <c r="M301" t="str">
        <f t="shared" si="29"/>
        <v/>
      </c>
      <c r="N301">
        <f>IF($G301="",0,IF($H301="مرجوعی فروش",-1,1)*IF(Sync!$AC297="",0,Sync!$AC297))</f>
        <v>0</v>
      </c>
      <c r="O301" t="str">
        <f>IF(OR($G301="",Sync!$V297=""),"",Sync!$V297)</f>
        <v/>
      </c>
      <c r="P301" t="str">
        <f>IF(OR($G301="",Sync!$AD297=""),"",Sync!$AD297)</f>
        <v/>
      </c>
      <c r="Q301" t="str">
        <f>IF($G301="","",IF(Sync!$U297="","0000",IF(AND(ISNUMBER(Sync!$U297),Sync!$U297&gt;=0,Sync!$U297&lt;1),RIGHT("00"&amp;HOUR(Sync!$U297),2)&amp;RIGHT("00"&amp;MINUTE(Sync!$U297),2),IFERROR(RIGHT("00"&amp;VALUE(LEFT(Sync!$U297,FIND(":",Sync!$U297)-1)),2)&amp;RIGHT("00"&amp;VALUE(MID(Sync!$U297,FIND(":",Sync!$U297)+1,2)),2),"0000"))))</f>
        <v/>
      </c>
    </row>
    <row r="302" spans="1:17" x14ac:dyDescent="0.2">
      <c r="A302" t="str">
        <f>IF(Sync!$T298="","",Sync!$T298)</f>
        <v/>
      </c>
      <c r="B302" t="str">
        <f t="shared" si="24"/>
        <v/>
      </c>
      <c r="C302" t="str">
        <f t="shared" si="25"/>
        <v/>
      </c>
      <c r="D302" t="str">
        <f t="shared" si="26"/>
        <v/>
      </c>
      <c r="E302" t="str">
        <f t="shared" si="27"/>
        <v/>
      </c>
      <c r="F302" t="str">
        <f t="shared" si="28"/>
        <v/>
      </c>
      <c r="G302" t="str">
        <f>IF(OR($E302="",$E302="نامعتبر",Sync!$X298=""),"",IF(AND(LEFT(UPPER(TRIM(Sync!$X298)),2)="SL",IFERROR(VLOOKUP(Sync!$W298,OpTbl,3,0),"")="فروش"),UPPER(TRIM(Sync!$X298)),""))</f>
        <v/>
      </c>
      <c r="H302" t="str">
        <f>IF($G302="","",IF(Sync!$W298="","",Sync!$W298))</f>
        <v/>
      </c>
      <c r="I302" t="str">
        <f>IF(OR($G302="",Sync!$Y298=""),"",Sync!$Y298)</f>
        <v/>
      </c>
      <c r="J302" t="str">
        <f>IF(OR($G302="",Sync!$Z298=""),"",Sync!$Z298)</f>
        <v/>
      </c>
      <c r="K302">
        <f>IF($G302="",0,IF(Sync!$AA298="",0,Sync!$AA298))</f>
        <v>0</v>
      </c>
      <c r="L302">
        <f>IF($G302="",0,IF(Sync!$AB298="",0,Sync!$AB298))</f>
        <v>0</v>
      </c>
      <c r="M302" t="str">
        <f t="shared" si="29"/>
        <v/>
      </c>
      <c r="N302">
        <f>IF($G302="",0,IF($H302="مرجوعی فروش",-1,1)*IF(Sync!$AC298="",0,Sync!$AC298))</f>
        <v>0</v>
      </c>
      <c r="O302" t="str">
        <f>IF(OR($G302="",Sync!$V298=""),"",Sync!$V298)</f>
        <v/>
      </c>
      <c r="P302" t="str">
        <f>IF(OR($G302="",Sync!$AD298=""),"",Sync!$AD298)</f>
        <v/>
      </c>
      <c r="Q302" t="str">
        <f>IF($G302="","",IF(Sync!$U298="","0000",IF(AND(ISNUMBER(Sync!$U298),Sync!$U298&gt;=0,Sync!$U298&lt;1),RIGHT("00"&amp;HOUR(Sync!$U298),2)&amp;RIGHT("00"&amp;MINUTE(Sync!$U298),2),IFERROR(RIGHT("00"&amp;VALUE(LEFT(Sync!$U298,FIND(":",Sync!$U298)-1)),2)&amp;RIGHT("00"&amp;VALUE(MID(Sync!$U298,FIND(":",Sync!$U298)+1,2)),2),"0000"))))</f>
        <v/>
      </c>
    </row>
    <row r="303" spans="1:17" x14ac:dyDescent="0.2">
      <c r="A303" t="str">
        <f>IF(Sync!$T299="","",Sync!$T299)</f>
        <v/>
      </c>
      <c r="B303" t="str">
        <f t="shared" si="24"/>
        <v/>
      </c>
      <c r="C303" t="str">
        <f t="shared" si="25"/>
        <v/>
      </c>
      <c r="D303" t="str">
        <f t="shared" si="26"/>
        <v/>
      </c>
      <c r="E303" t="str">
        <f t="shared" si="27"/>
        <v/>
      </c>
      <c r="F303" t="str">
        <f t="shared" si="28"/>
        <v/>
      </c>
      <c r="G303" t="str">
        <f>IF(OR($E303="",$E303="نامعتبر",Sync!$X299=""),"",IF(AND(LEFT(UPPER(TRIM(Sync!$X299)),2)="SL",IFERROR(VLOOKUP(Sync!$W299,OpTbl,3,0),"")="فروش"),UPPER(TRIM(Sync!$X299)),""))</f>
        <v/>
      </c>
      <c r="H303" t="str">
        <f>IF($G303="","",IF(Sync!$W299="","",Sync!$W299))</f>
        <v/>
      </c>
      <c r="I303" t="str">
        <f>IF(OR($G303="",Sync!$Y299=""),"",Sync!$Y299)</f>
        <v/>
      </c>
      <c r="J303" t="str">
        <f>IF(OR($G303="",Sync!$Z299=""),"",Sync!$Z299)</f>
        <v/>
      </c>
      <c r="K303">
        <f>IF($G303="",0,IF(Sync!$AA299="",0,Sync!$AA299))</f>
        <v>0</v>
      </c>
      <c r="L303">
        <f>IF($G303="",0,IF(Sync!$AB299="",0,Sync!$AB299))</f>
        <v>0</v>
      </c>
      <c r="M303" t="str">
        <f t="shared" si="29"/>
        <v/>
      </c>
      <c r="N303">
        <f>IF($G303="",0,IF($H303="مرجوعی فروش",-1,1)*IF(Sync!$AC299="",0,Sync!$AC299))</f>
        <v>0</v>
      </c>
      <c r="O303" t="str">
        <f>IF(OR($G303="",Sync!$V299=""),"",Sync!$V299)</f>
        <v/>
      </c>
      <c r="P303" t="str">
        <f>IF(OR($G303="",Sync!$AD299=""),"",Sync!$AD299)</f>
        <v/>
      </c>
      <c r="Q303" t="str">
        <f>IF($G303="","",IF(Sync!$U299="","0000",IF(AND(ISNUMBER(Sync!$U299),Sync!$U299&gt;=0,Sync!$U299&lt;1),RIGHT("00"&amp;HOUR(Sync!$U299),2)&amp;RIGHT("00"&amp;MINUTE(Sync!$U299),2),IFERROR(RIGHT("00"&amp;VALUE(LEFT(Sync!$U299,FIND(":",Sync!$U299)-1)),2)&amp;RIGHT("00"&amp;VALUE(MID(Sync!$U299,FIND(":",Sync!$U299)+1,2)),2),"0000"))))</f>
        <v/>
      </c>
    </row>
    <row r="304" spans="1:17" x14ac:dyDescent="0.2">
      <c r="A304" t="str">
        <f>IF(Sync!$T300="","",Sync!$T300)</f>
        <v/>
      </c>
      <c r="B304" t="str">
        <f t="shared" si="24"/>
        <v/>
      </c>
      <c r="C304" t="str">
        <f t="shared" si="25"/>
        <v/>
      </c>
      <c r="D304" t="str">
        <f t="shared" si="26"/>
        <v/>
      </c>
      <c r="E304" t="str">
        <f t="shared" si="27"/>
        <v/>
      </c>
      <c r="F304" t="str">
        <f t="shared" si="28"/>
        <v/>
      </c>
      <c r="G304" t="str">
        <f>IF(OR($E304="",$E304="نامعتبر",Sync!$X300=""),"",IF(AND(LEFT(UPPER(TRIM(Sync!$X300)),2)="SL",IFERROR(VLOOKUP(Sync!$W300,OpTbl,3,0),"")="فروش"),UPPER(TRIM(Sync!$X300)),""))</f>
        <v/>
      </c>
      <c r="H304" t="str">
        <f>IF($G304="","",IF(Sync!$W300="","",Sync!$W300))</f>
        <v/>
      </c>
      <c r="I304" t="str">
        <f>IF(OR($G304="",Sync!$Y300=""),"",Sync!$Y300)</f>
        <v/>
      </c>
      <c r="J304" t="str">
        <f>IF(OR($G304="",Sync!$Z300=""),"",Sync!$Z300)</f>
        <v/>
      </c>
      <c r="K304">
        <f>IF($G304="",0,IF(Sync!$AA300="",0,Sync!$AA300))</f>
        <v>0</v>
      </c>
      <c r="L304">
        <f>IF($G304="",0,IF(Sync!$AB300="",0,Sync!$AB300))</f>
        <v>0</v>
      </c>
      <c r="M304" t="str">
        <f t="shared" si="29"/>
        <v/>
      </c>
      <c r="N304">
        <f>IF($G304="",0,IF($H304="مرجوعی فروش",-1,1)*IF(Sync!$AC300="",0,Sync!$AC300))</f>
        <v>0</v>
      </c>
      <c r="O304" t="str">
        <f>IF(OR($G304="",Sync!$V300=""),"",Sync!$V300)</f>
        <v/>
      </c>
      <c r="P304" t="str">
        <f>IF(OR($G304="",Sync!$AD300=""),"",Sync!$AD300)</f>
        <v/>
      </c>
      <c r="Q304" t="str">
        <f>IF($G304="","",IF(Sync!$U300="","0000",IF(AND(ISNUMBER(Sync!$U300),Sync!$U300&gt;=0,Sync!$U300&lt;1),RIGHT("00"&amp;HOUR(Sync!$U300),2)&amp;RIGHT("00"&amp;MINUTE(Sync!$U300),2),IFERROR(RIGHT("00"&amp;VALUE(LEFT(Sync!$U300,FIND(":",Sync!$U300)-1)),2)&amp;RIGHT("00"&amp;VALUE(MID(Sync!$U300,FIND(":",Sync!$U300)+1,2)),2),"0000"))))</f>
        <v/>
      </c>
    </row>
    <row r="305" spans="1:17" x14ac:dyDescent="0.2">
      <c r="A305" t="str">
        <f>IF(Sync!$T301="","",Sync!$T301)</f>
        <v/>
      </c>
      <c r="B305" t="str">
        <f t="shared" si="24"/>
        <v/>
      </c>
      <c r="C305" t="str">
        <f t="shared" si="25"/>
        <v/>
      </c>
      <c r="D305" t="str">
        <f t="shared" si="26"/>
        <v/>
      </c>
      <c r="E305" t="str">
        <f t="shared" si="27"/>
        <v/>
      </c>
      <c r="F305" t="str">
        <f t="shared" si="28"/>
        <v/>
      </c>
      <c r="G305" t="str">
        <f>IF(OR($E305="",$E305="نامعتبر",Sync!$X301=""),"",IF(AND(LEFT(UPPER(TRIM(Sync!$X301)),2)="SL",IFERROR(VLOOKUP(Sync!$W301,OpTbl,3,0),"")="فروش"),UPPER(TRIM(Sync!$X301)),""))</f>
        <v/>
      </c>
      <c r="H305" t="str">
        <f>IF($G305="","",IF(Sync!$W301="","",Sync!$W301))</f>
        <v/>
      </c>
      <c r="I305" t="str">
        <f>IF(OR($G305="",Sync!$Y301=""),"",Sync!$Y301)</f>
        <v/>
      </c>
      <c r="J305" t="str">
        <f>IF(OR($G305="",Sync!$Z301=""),"",Sync!$Z301)</f>
        <v/>
      </c>
      <c r="K305">
        <f>IF($G305="",0,IF(Sync!$AA301="",0,Sync!$AA301))</f>
        <v>0</v>
      </c>
      <c r="L305">
        <f>IF($G305="",0,IF(Sync!$AB301="",0,Sync!$AB301))</f>
        <v>0</v>
      </c>
      <c r="M305" t="str">
        <f t="shared" si="29"/>
        <v/>
      </c>
      <c r="N305">
        <f>IF($G305="",0,IF($H305="مرجوعی فروش",-1,1)*IF(Sync!$AC301="",0,Sync!$AC301))</f>
        <v>0</v>
      </c>
      <c r="O305" t="str">
        <f>IF(OR($G305="",Sync!$V301=""),"",Sync!$V301)</f>
        <v/>
      </c>
      <c r="P305" t="str">
        <f>IF(OR($G305="",Sync!$AD301=""),"",Sync!$AD301)</f>
        <v/>
      </c>
      <c r="Q305" t="str">
        <f>IF($G305="","",IF(Sync!$U301="","0000",IF(AND(ISNUMBER(Sync!$U301),Sync!$U301&gt;=0,Sync!$U301&lt;1),RIGHT("00"&amp;HOUR(Sync!$U301),2)&amp;RIGHT("00"&amp;MINUTE(Sync!$U301),2),IFERROR(RIGHT("00"&amp;VALUE(LEFT(Sync!$U301,FIND(":",Sync!$U301)-1)),2)&amp;RIGHT("00"&amp;VALUE(MID(Sync!$U301,FIND(":",Sync!$U301)+1,2)),2),"0000"))))</f>
        <v/>
      </c>
    </row>
    <row r="306" spans="1:17" x14ac:dyDescent="0.2">
      <c r="A306" t="str">
        <f>IF(Sync!$T302="","",Sync!$T302)</f>
        <v/>
      </c>
      <c r="B306" t="str">
        <f t="shared" si="24"/>
        <v/>
      </c>
      <c r="C306" t="str">
        <f t="shared" si="25"/>
        <v/>
      </c>
      <c r="D306" t="str">
        <f t="shared" si="26"/>
        <v/>
      </c>
      <c r="E306" t="str">
        <f t="shared" si="27"/>
        <v/>
      </c>
      <c r="F306" t="str">
        <f t="shared" si="28"/>
        <v/>
      </c>
      <c r="G306" t="str">
        <f>IF(OR($E306="",$E306="نامعتبر",Sync!$X302=""),"",IF(AND(LEFT(UPPER(TRIM(Sync!$X302)),2)="SL",IFERROR(VLOOKUP(Sync!$W302,OpTbl,3,0),"")="فروش"),UPPER(TRIM(Sync!$X302)),""))</f>
        <v/>
      </c>
      <c r="H306" t="str">
        <f>IF($G306="","",IF(Sync!$W302="","",Sync!$W302))</f>
        <v/>
      </c>
      <c r="I306" t="str">
        <f>IF(OR($G306="",Sync!$Y302=""),"",Sync!$Y302)</f>
        <v/>
      </c>
      <c r="J306" t="str">
        <f>IF(OR($G306="",Sync!$Z302=""),"",Sync!$Z302)</f>
        <v/>
      </c>
      <c r="K306">
        <f>IF($G306="",0,IF(Sync!$AA302="",0,Sync!$AA302))</f>
        <v>0</v>
      </c>
      <c r="L306">
        <f>IF($G306="",0,IF(Sync!$AB302="",0,Sync!$AB302))</f>
        <v>0</v>
      </c>
      <c r="M306" t="str">
        <f t="shared" si="29"/>
        <v/>
      </c>
      <c r="N306">
        <f>IF($G306="",0,IF($H306="مرجوعی فروش",-1,1)*IF(Sync!$AC302="",0,Sync!$AC302))</f>
        <v>0</v>
      </c>
      <c r="O306" t="str">
        <f>IF(OR($G306="",Sync!$V302=""),"",Sync!$V302)</f>
        <v/>
      </c>
      <c r="P306" t="str">
        <f>IF(OR($G306="",Sync!$AD302=""),"",Sync!$AD302)</f>
        <v/>
      </c>
      <c r="Q306" t="str">
        <f>IF($G306="","",IF(Sync!$U302="","0000",IF(AND(ISNUMBER(Sync!$U302),Sync!$U302&gt;=0,Sync!$U302&lt;1),RIGHT("00"&amp;HOUR(Sync!$U302),2)&amp;RIGHT("00"&amp;MINUTE(Sync!$U302),2),IFERROR(RIGHT("00"&amp;VALUE(LEFT(Sync!$U302,FIND(":",Sync!$U302)-1)),2)&amp;RIGHT("00"&amp;VALUE(MID(Sync!$U302,FIND(":",Sync!$U302)+1,2)),2),"0000"))))</f>
        <v/>
      </c>
    </row>
    <row r="307" spans="1:17" x14ac:dyDescent="0.2">
      <c r="A307" t="str">
        <f>IF(Sync!$T303="","",Sync!$T303)</f>
        <v/>
      </c>
      <c r="B307" t="str">
        <f t="shared" si="24"/>
        <v/>
      </c>
      <c r="C307" t="str">
        <f t="shared" si="25"/>
        <v/>
      </c>
      <c r="D307" t="str">
        <f t="shared" si="26"/>
        <v/>
      </c>
      <c r="E307" t="str">
        <f t="shared" si="27"/>
        <v/>
      </c>
      <c r="F307" t="str">
        <f t="shared" si="28"/>
        <v/>
      </c>
      <c r="G307" t="str">
        <f>IF(OR($E307="",$E307="نامعتبر",Sync!$X303=""),"",IF(AND(LEFT(UPPER(TRIM(Sync!$X303)),2)="SL",IFERROR(VLOOKUP(Sync!$W303,OpTbl,3,0),"")="فروش"),UPPER(TRIM(Sync!$X303)),""))</f>
        <v/>
      </c>
      <c r="H307" t="str">
        <f>IF($G307="","",IF(Sync!$W303="","",Sync!$W303))</f>
        <v/>
      </c>
      <c r="I307" t="str">
        <f>IF(OR($G307="",Sync!$Y303=""),"",Sync!$Y303)</f>
        <v/>
      </c>
      <c r="J307" t="str">
        <f>IF(OR($G307="",Sync!$Z303=""),"",Sync!$Z303)</f>
        <v/>
      </c>
      <c r="K307">
        <f>IF($G307="",0,IF(Sync!$AA303="",0,Sync!$AA303))</f>
        <v>0</v>
      </c>
      <c r="L307">
        <f>IF($G307="",0,IF(Sync!$AB303="",0,Sync!$AB303))</f>
        <v>0</v>
      </c>
      <c r="M307" t="str">
        <f t="shared" si="29"/>
        <v/>
      </c>
      <c r="N307">
        <f>IF($G307="",0,IF($H307="مرجوعی فروش",-1,1)*IF(Sync!$AC303="",0,Sync!$AC303))</f>
        <v>0</v>
      </c>
      <c r="O307" t="str">
        <f>IF(OR($G307="",Sync!$V303=""),"",Sync!$V303)</f>
        <v/>
      </c>
      <c r="P307" t="str">
        <f>IF(OR($G307="",Sync!$AD303=""),"",Sync!$AD303)</f>
        <v/>
      </c>
      <c r="Q307" t="str">
        <f>IF($G307="","",IF(Sync!$U303="","0000",IF(AND(ISNUMBER(Sync!$U303),Sync!$U303&gt;=0,Sync!$U303&lt;1),RIGHT("00"&amp;HOUR(Sync!$U303),2)&amp;RIGHT("00"&amp;MINUTE(Sync!$U303),2),IFERROR(RIGHT("00"&amp;VALUE(LEFT(Sync!$U303,FIND(":",Sync!$U303)-1)),2)&amp;RIGHT("00"&amp;VALUE(MID(Sync!$U303,FIND(":",Sync!$U303)+1,2)),2),"0000"))))</f>
        <v/>
      </c>
    </row>
    <row r="308" spans="1:17" x14ac:dyDescent="0.2">
      <c r="A308" t="str">
        <f>IF(Sync!$T304="","",Sync!$T304)</f>
        <v/>
      </c>
      <c r="B308" t="str">
        <f t="shared" si="24"/>
        <v/>
      </c>
      <c r="C308" t="str">
        <f t="shared" si="25"/>
        <v/>
      </c>
      <c r="D308" t="str">
        <f t="shared" si="26"/>
        <v/>
      </c>
      <c r="E308" t="str">
        <f t="shared" si="27"/>
        <v/>
      </c>
      <c r="F308" t="str">
        <f t="shared" si="28"/>
        <v/>
      </c>
      <c r="G308" t="str">
        <f>IF(OR($E308="",$E308="نامعتبر",Sync!$X304=""),"",IF(AND(LEFT(UPPER(TRIM(Sync!$X304)),2)="SL",IFERROR(VLOOKUP(Sync!$W304,OpTbl,3,0),"")="فروش"),UPPER(TRIM(Sync!$X304)),""))</f>
        <v/>
      </c>
      <c r="H308" t="str">
        <f>IF($G308="","",IF(Sync!$W304="","",Sync!$W304))</f>
        <v/>
      </c>
      <c r="I308" t="str">
        <f>IF(OR($G308="",Sync!$Y304=""),"",Sync!$Y304)</f>
        <v/>
      </c>
      <c r="J308" t="str">
        <f>IF(OR($G308="",Sync!$Z304=""),"",Sync!$Z304)</f>
        <v/>
      </c>
      <c r="K308">
        <f>IF($G308="",0,IF(Sync!$AA304="",0,Sync!$AA304))</f>
        <v>0</v>
      </c>
      <c r="L308">
        <f>IF($G308="",0,IF(Sync!$AB304="",0,Sync!$AB304))</f>
        <v>0</v>
      </c>
      <c r="M308" t="str">
        <f t="shared" si="29"/>
        <v/>
      </c>
      <c r="N308">
        <f>IF($G308="",0,IF($H308="مرجوعی فروش",-1,1)*IF(Sync!$AC304="",0,Sync!$AC304))</f>
        <v>0</v>
      </c>
      <c r="O308" t="str">
        <f>IF(OR($G308="",Sync!$V304=""),"",Sync!$V304)</f>
        <v/>
      </c>
      <c r="P308" t="str">
        <f>IF(OR($G308="",Sync!$AD304=""),"",Sync!$AD304)</f>
        <v/>
      </c>
      <c r="Q308" t="str">
        <f>IF($G308="","",IF(Sync!$U304="","0000",IF(AND(ISNUMBER(Sync!$U304),Sync!$U304&gt;=0,Sync!$U304&lt;1),RIGHT("00"&amp;HOUR(Sync!$U304),2)&amp;RIGHT("00"&amp;MINUTE(Sync!$U304),2),IFERROR(RIGHT("00"&amp;VALUE(LEFT(Sync!$U304,FIND(":",Sync!$U304)-1)),2)&amp;RIGHT("00"&amp;VALUE(MID(Sync!$U304,FIND(":",Sync!$U304)+1,2)),2),"0000"))))</f>
        <v/>
      </c>
    </row>
    <row r="309" spans="1:17" x14ac:dyDescent="0.2">
      <c r="A309" t="str">
        <f>IF(Sync!$T305="","",Sync!$T305)</f>
        <v/>
      </c>
      <c r="B309" t="str">
        <f t="shared" si="24"/>
        <v/>
      </c>
      <c r="C309" t="str">
        <f t="shared" si="25"/>
        <v/>
      </c>
      <c r="D309" t="str">
        <f t="shared" si="26"/>
        <v/>
      </c>
      <c r="E309" t="str">
        <f t="shared" si="27"/>
        <v/>
      </c>
      <c r="F309" t="str">
        <f t="shared" si="28"/>
        <v/>
      </c>
      <c r="G309" t="str">
        <f>IF(OR($E309="",$E309="نامعتبر",Sync!$X305=""),"",IF(AND(LEFT(UPPER(TRIM(Sync!$X305)),2)="SL",IFERROR(VLOOKUP(Sync!$W305,OpTbl,3,0),"")="فروش"),UPPER(TRIM(Sync!$X305)),""))</f>
        <v/>
      </c>
      <c r="H309" t="str">
        <f>IF($G309="","",IF(Sync!$W305="","",Sync!$W305))</f>
        <v/>
      </c>
      <c r="I309" t="str">
        <f>IF(OR($G309="",Sync!$Y305=""),"",Sync!$Y305)</f>
        <v/>
      </c>
      <c r="J309" t="str">
        <f>IF(OR($G309="",Sync!$Z305=""),"",Sync!$Z305)</f>
        <v/>
      </c>
      <c r="K309">
        <f>IF($G309="",0,IF(Sync!$AA305="",0,Sync!$AA305))</f>
        <v>0</v>
      </c>
      <c r="L309">
        <f>IF($G309="",0,IF(Sync!$AB305="",0,Sync!$AB305))</f>
        <v>0</v>
      </c>
      <c r="M309" t="str">
        <f t="shared" si="29"/>
        <v/>
      </c>
      <c r="N309">
        <f>IF($G309="",0,IF($H309="مرجوعی فروش",-1,1)*IF(Sync!$AC305="",0,Sync!$AC305))</f>
        <v>0</v>
      </c>
      <c r="O309" t="str">
        <f>IF(OR($G309="",Sync!$V305=""),"",Sync!$V305)</f>
        <v/>
      </c>
      <c r="P309" t="str">
        <f>IF(OR($G309="",Sync!$AD305=""),"",Sync!$AD305)</f>
        <v/>
      </c>
      <c r="Q309" t="str">
        <f>IF($G309="","",IF(Sync!$U305="","0000",IF(AND(ISNUMBER(Sync!$U305),Sync!$U305&gt;=0,Sync!$U305&lt;1),RIGHT("00"&amp;HOUR(Sync!$U305),2)&amp;RIGHT("00"&amp;MINUTE(Sync!$U305),2),IFERROR(RIGHT("00"&amp;VALUE(LEFT(Sync!$U305,FIND(":",Sync!$U305)-1)),2)&amp;RIGHT("00"&amp;VALUE(MID(Sync!$U305,FIND(":",Sync!$U305)+1,2)),2),"0000"))))</f>
        <v/>
      </c>
    </row>
    <row r="310" spans="1:17" x14ac:dyDescent="0.2">
      <c r="A310" t="str">
        <f>IF(Sync!$T306="","",Sync!$T306)</f>
        <v/>
      </c>
      <c r="B310" t="str">
        <f t="shared" si="24"/>
        <v/>
      </c>
      <c r="C310" t="str">
        <f t="shared" si="25"/>
        <v/>
      </c>
      <c r="D310" t="str">
        <f t="shared" si="26"/>
        <v/>
      </c>
      <c r="E310" t="str">
        <f t="shared" si="27"/>
        <v/>
      </c>
      <c r="F310" t="str">
        <f t="shared" si="28"/>
        <v/>
      </c>
      <c r="G310" t="str">
        <f>IF(OR($E310="",$E310="نامعتبر",Sync!$X306=""),"",IF(AND(LEFT(UPPER(TRIM(Sync!$X306)),2)="SL",IFERROR(VLOOKUP(Sync!$W306,OpTbl,3,0),"")="فروش"),UPPER(TRIM(Sync!$X306)),""))</f>
        <v/>
      </c>
      <c r="H310" t="str">
        <f>IF($G310="","",IF(Sync!$W306="","",Sync!$W306))</f>
        <v/>
      </c>
      <c r="I310" t="str">
        <f>IF(OR($G310="",Sync!$Y306=""),"",Sync!$Y306)</f>
        <v/>
      </c>
      <c r="J310" t="str">
        <f>IF(OR($G310="",Sync!$Z306=""),"",Sync!$Z306)</f>
        <v/>
      </c>
      <c r="K310">
        <f>IF($G310="",0,IF(Sync!$AA306="",0,Sync!$AA306))</f>
        <v>0</v>
      </c>
      <c r="L310">
        <f>IF($G310="",0,IF(Sync!$AB306="",0,Sync!$AB306))</f>
        <v>0</v>
      </c>
      <c r="M310" t="str">
        <f t="shared" si="29"/>
        <v/>
      </c>
      <c r="N310">
        <f>IF($G310="",0,IF($H310="مرجوعی فروش",-1,1)*IF(Sync!$AC306="",0,Sync!$AC306))</f>
        <v>0</v>
      </c>
      <c r="O310" t="str">
        <f>IF(OR($G310="",Sync!$V306=""),"",Sync!$V306)</f>
        <v/>
      </c>
      <c r="P310" t="str">
        <f>IF(OR($G310="",Sync!$AD306=""),"",Sync!$AD306)</f>
        <v/>
      </c>
      <c r="Q310" t="str">
        <f>IF($G310="","",IF(Sync!$U306="","0000",IF(AND(ISNUMBER(Sync!$U306),Sync!$U306&gt;=0,Sync!$U306&lt;1),RIGHT("00"&amp;HOUR(Sync!$U306),2)&amp;RIGHT("00"&amp;MINUTE(Sync!$U306),2),IFERROR(RIGHT("00"&amp;VALUE(LEFT(Sync!$U306,FIND(":",Sync!$U306)-1)),2)&amp;RIGHT("00"&amp;VALUE(MID(Sync!$U306,FIND(":",Sync!$U306)+1,2)),2),"0000"))))</f>
        <v/>
      </c>
    </row>
    <row r="311" spans="1:17" x14ac:dyDescent="0.2">
      <c r="A311" t="str">
        <f>IF(Sync!$T307="","",Sync!$T307)</f>
        <v/>
      </c>
      <c r="B311" t="str">
        <f t="shared" si="24"/>
        <v/>
      </c>
      <c r="C311" t="str">
        <f t="shared" si="25"/>
        <v/>
      </c>
      <c r="D311" t="str">
        <f t="shared" si="26"/>
        <v/>
      </c>
      <c r="E311" t="str">
        <f t="shared" si="27"/>
        <v/>
      </c>
      <c r="F311" t="str">
        <f t="shared" si="28"/>
        <v/>
      </c>
      <c r="G311" t="str">
        <f>IF(OR($E311="",$E311="نامعتبر",Sync!$X307=""),"",IF(AND(LEFT(UPPER(TRIM(Sync!$X307)),2)="SL",IFERROR(VLOOKUP(Sync!$W307,OpTbl,3,0),"")="فروش"),UPPER(TRIM(Sync!$X307)),""))</f>
        <v/>
      </c>
      <c r="H311" t="str">
        <f>IF($G311="","",IF(Sync!$W307="","",Sync!$W307))</f>
        <v/>
      </c>
      <c r="I311" t="str">
        <f>IF(OR($G311="",Sync!$Y307=""),"",Sync!$Y307)</f>
        <v/>
      </c>
      <c r="J311" t="str">
        <f>IF(OR($G311="",Sync!$Z307=""),"",Sync!$Z307)</f>
        <v/>
      </c>
      <c r="K311">
        <f>IF($G311="",0,IF(Sync!$AA307="",0,Sync!$AA307))</f>
        <v>0</v>
      </c>
      <c r="L311">
        <f>IF($G311="",0,IF(Sync!$AB307="",0,Sync!$AB307))</f>
        <v>0</v>
      </c>
      <c r="M311" t="str">
        <f t="shared" si="29"/>
        <v/>
      </c>
      <c r="N311">
        <f>IF($G311="",0,IF($H311="مرجوعی فروش",-1,1)*IF(Sync!$AC307="",0,Sync!$AC307))</f>
        <v>0</v>
      </c>
      <c r="O311" t="str">
        <f>IF(OR($G311="",Sync!$V307=""),"",Sync!$V307)</f>
        <v/>
      </c>
      <c r="P311" t="str">
        <f>IF(OR($G311="",Sync!$AD307=""),"",Sync!$AD307)</f>
        <v/>
      </c>
      <c r="Q311" t="str">
        <f>IF($G311="","",IF(Sync!$U307="","0000",IF(AND(ISNUMBER(Sync!$U307),Sync!$U307&gt;=0,Sync!$U307&lt;1),RIGHT("00"&amp;HOUR(Sync!$U307),2)&amp;RIGHT("00"&amp;MINUTE(Sync!$U307),2),IFERROR(RIGHT("00"&amp;VALUE(LEFT(Sync!$U307,FIND(":",Sync!$U307)-1)),2)&amp;RIGHT("00"&amp;VALUE(MID(Sync!$U307,FIND(":",Sync!$U307)+1,2)),2),"0000"))))</f>
        <v/>
      </c>
    </row>
    <row r="312" spans="1:17" x14ac:dyDescent="0.2">
      <c r="A312" t="str">
        <f>IF(Sync!$T308="","",Sync!$T308)</f>
        <v/>
      </c>
      <c r="B312" t="str">
        <f t="shared" si="24"/>
        <v/>
      </c>
      <c r="C312" t="str">
        <f t="shared" si="25"/>
        <v/>
      </c>
      <c r="D312" t="str">
        <f t="shared" si="26"/>
        <v/>
      </c>
      <c r="E312" t="str">
        <f t="shared" si="27"/>
        <v/>
      </c>
      <c r="F312" t="str">
        <f t="shared" si="28"/>
        <v/>
      </c>
      <c r="G312" t="str">
        <f>IF(OR($E312="",$E312="نامعتبر",Sync!$X308=""),"",IF(AND(LEFT(UPPER(TRIM(Sync!$X308)),2)="SL",IFERROR(VLOOKUP(Sync!$W308,OpTbl,3,0),"")="فروش"),UPPER(TRIM(Sync!$X308)),""))</f>
        <v/>
      </c>
      <c r="H312" t="str">
        <f>IF($G312="","",IF(Sync!$W308="","",Sync!$W308))</f>
        <v/>
      </c>
      <c r="I312" t="str">
        <f>IF(OR($G312="",Sync!$Y308=""),"",Sync!$Y308)</f>
        <v/>
      </c>
      <c r="J312" t="str">
        <f>IF(OR($G312="",Sync!$Z308=""),"",Sync!$Z308)</f>
        <v/>
      </c>
      <c r="K312">
        <f>IF($G312="",0,IF(Sync!$AA308="",0,Sync!$AA308))</f>
        <v>0</v>
      </c>
      <c r="L312">
        <f>IF($G312="",0,IF(Sync!$AB308="",0,Sync!$AB308))</f>
        <v>0</v>
      </c>
      <c r="M312" t="str">
        <f t="shared" si="29"/>
        <v/>
      </c>
      <c r="N312">
        <f>IF($G312="",0,IF($H312="مرجوعی فروش",-1,1)*IF(Sync!$AC308="",0,Sync!$AC308))</f>
        <v>0</v>
      </c>
      <c r="O312" t="str">
        <f>IF(OR($G312="",Sync!$V308=""),"",Sync!$V308)</f>
        <v/>
      </c>
      <c r="P312" t="str">
        <f>IF(OR($G312="",Sync!$AD308=""),"",Sync!$AD308)</f>
        <v/>
      </c>
      <c r="Q312" t="str">
        <f>IF($G312="","",IF(Sync!$U308="","0000",IF(AND(ISNUMBER(Sync!$U308),Sync!$U308&gt;=0,Sync!$U308&lt;1),RIGHT("00"&amp;HOUR(Sync!$U308),2)&amp;RIGHT("00"&amp;MINUTE(Sync!$U308),2),IFERROR(RIGHT("00"&amp;VALUE(LEFT(Sync!$U308,FIND(":",Sync!$U308)-1)),2)&amp;RIGHT("00"&amp;VALUE(MID(Sync!$U308,FIND(":",Sync!$U308)+1,2)),2),"0000"))))</f>
        <v/>
      </c>
    </row>
    <row r="313" spans="1:17" x14ac:dyDescent="0.2">
      <c r="A313" t="str">
        <f>IF(Sync!$T309="","",Sync!$T309)</f>
        <v/>
      </c>
      <c r="B313" t="str">
        <f t="shared" si="24"/>
        <v/>
      </c>
      <c r="C313" t="str">
        <f t="shared" si="25"/>
        <v/>
      </c>
      <c r="D313" t="str">
        <f t="shared" si="26"/>
        <v/>
      </c>
      <c r="E313" t="str">
        <f t="shared" si="27"/>
        <v/>
      </c>
      <c r="F313" t="str">
        <f t="shared" si="28"/>
        <v/>
      </c>
      <c r="G313" t="str">
        <f>IF(OR($E313="",$E313="نامعتبر",Sync!$X309=""),"",IF(AND(LEFT(UPPER(TRIM(Sync!$X309)),2)="SL",IFERROR(VLOOKUP(Sync!$W309,OpTbl,3,0),"")="فروش"),UPPER(TRIM(Sync!$X309)),""))</f>
        <v/>
      </c>
      <c r="H313" t="str">
        <f>IF($G313="","",IF(Sync!$W309="","",Sync!$W309))</f>
        <v/>
      </c>
      <c r="I313" t="str">
        <f>IF(OR($G313="",Sync!$Y309=""),"",Sync!$Y309)</f>
        <v/>
      </c>
      <c r="J313" t="str">
        <f>IF(OR($G313="",Sync!$Z309=""),"",Sync!$Z309)</f>
        <v/>
      </c>
      <c r="K313">
        <f>IF($G313="",0,IF(Sync!$AA309="",0,Sync!$AA309))</f>
        <v>0</v>
      </c>
      <c r="L313">
        <f>IF($G313="",0,IF(Sync!$AB309="",0,Sync!$AB309))</f>
        <v>0</v>
      </c>
      <c r="M313" t="str">
        <f t="shared" si="29"/>
        <v/>
      </c>
      <c r="N313">
        <f>IF($G313="",0,IF($H313="مرجوعی فروش",-1,1)*IF(Sync!$AC309="",0,Sync!$AC309))</f>
        <v>0</v>
      </c>
      <c r="O313" t="str">
        <f>IF(OR($G313="",Sync!$V309=""),"",Sync!$V309)</f>
        <v/>
      </c>
      <c r="P313" t="str">
        <f>IF(OR($G313="",Sync!$AD309=""),"",Sync!$AD309)</f>
        <v/>
      </c>
      <c r="Q313" t="str">
        <f>IF($G313="","",IF(Sync!$U309="","0000",IF(AND(ISNUMBER(Sync!$U309),Sync!$U309&gt;=0,Sync!$U309&lt;1),RIGHT("00"&amp;HOUR(Sync!$U309),2)&amp;RIGHT("00"&amp;MINUTE(Sync!$U309),2),IFERROR(RIGHT("00"&amp;VALUE(LEFT(Sync!$U309,FIND(":",Sync!$U309)-1)),2)&amp;RIGHT("00"&amp;VALUE(MID(Sync!$U309,FIND(":",Sync!$U309)+1,2)),2),"0000"))))</f>
        <v/>
      </c>
    </row>
    <row r="314" spans="1:17" x14ac:dyDescent="0.2">
      <c r="A314" t="str">
        <f>IF(Sync!$T310="","",Sync!$T310)</f>
        <v/>
      </c>
      <c r="B314" t="str">
        <f t="shared" si="24"/>
        <v/>
      </c>
      <c r="C314" t="str">
        <f t="shared" si="25"/>
        <v/>
      </c>
      <c r="D314" t="str">
        <f t="shared" si="26"/>
        <v/>
      </c>
      <c r="E314" t="str">
        <f t="shared" si="27"/>
        <v/>
      </c>
      <c r="F314" t="str">
        <f t="shared" si="28"/>
        <v/>
      </c>
      <c r="G314" t="str">
        <f>IF(OR($E314="",$E314="نامعتبر",Sync!$X310=""),"",IF(AND(LEFT(UPPER(TRIM(Sync!$X310)),2)="SL",IFERROR(VLOOKUP(Sync!$W310,OpTbl,3,0),"")="فروش"),UPPER(TRIM(Sync!$X310)),""))</f>
        <v/>
      </c>
      <c r="H314" t="str">
        <f>IF($G314="","",IF(Sync!$W310="","",Sync!$W310))</f>
        <v/>
      </c>
      <c r="I314" t="str">
        <f>IF(OR($G314="",Sync!$Y310=""),"",Sync!$Y310)</f>
        <v/>
      </c>
      <c r="J314" t="str">
        <f>IF(OR($G314="",Sync!$Z310=""),"",Sync!$Z310)</f>
        <v/>
      </c>
      <c r="K314">
        <f>IF($G314="",0,IF(Sync!$AA310="",0,Sync!$AA310))</f>
        <v>0</v>
      </c>
      <c r="L314">
        <f>IF($G314="",0,IF(Sync!$AB310="",0,Sync!$AB310))</f>
        <v>0</v>
      </c>
      <c r="M314" t="str">
        <f t="shared" si="29"/>
        <v/>
      </c>
      <c r="N314">
        <f>IF($G314="",0,IF($H314="مرجوعی فروش",-1,1)*IF(Sync!$AC310="",0,Sync!$AC310))</f>
        <v>0</v>
      </c>
      <c r="O314" t="str">
        <f>IF(OR($G314="",Sync!$V310=""),"",Sync!$V310)</f>
        <v/>
      </c>
      <c r="P314" t="str">
        <f>IF(OR($G314="",Sync!$AD310=""),"",Sync!$AD310)</f>
        <v/>
      </c>
      <c r="Q314" t="str">
        <f>IF($G314="","",IF(Sync!$U310="","0000",IF(AND(ISNUMBER(Sync!$U310),Sync!$U310&gt;=0,Sync!$U310&lt;1),RIGHT("00"&amp;HOUR(Sync!$U310),2)&amp;RIGHT("00"&amp;MINUTE(Sync!$U310),2),IFERROR(RIGHT("00"&amp;VALUE(LEFT(Sync!$U310,FIND(":",Sync!$U310)-1)),2)&amp;RIGHT("00"&amp;VALUE(MID(Sync!$U310,FIND(":",Sync!$U310)+1,2)),2),"0000"))))</f>
        <v/>
      </c>
    </row>
    <row r="315" spans="1:17" x14ac:dyDescent="0.2">
      <c r="A315" t="str">
        <f>IF(Sync!$T311="","",Sync!$T311)</f>
        <v/>
      </c>
      <c r="B315" t="str">
        <f t="shared" si="24"/>
        <v/>
      </c>
      <c r="C315" t="str">
        <f t="shared" si="25"/>
        <v/>
      </c>
      <c r="D315" t="str">
        <f t="shared" si="26"/>
        <v/>
      </c>
      <c r="E315" t="str">
        <f t="shared" si="27"/>
        <v/>
      </c>
      <c r="F315" t="str">
        <f t="shared" si="28"/>
        <v/>
      </c>
      <c r="G315" t="str">
        <f>IF(OR($E315="",$E315="نامعتبر",Sync!$X311=""),"",IF(AND(LEFT(UPPER(TRIM(Sync!$X311)),2)="SL",IFERROR(VLOOKUP(Sync!$W311,OpTbl,3,0),"")="فروش"),UPPER(TRIM(Sync!$X311)),""))</f>
        <v/>
      </c>
      <c r="H315" t="str">
        <f>IF($G315="","",IF(Sync!$W311="","",Sync!$W311))</f>
        <v/>
      </c>
      <c r="I315" t="str">
        <f>IF(OR($G315="",Sync!$Y311=""),"",Sync!$Y311)</f>
        <v/>
      </c>
      <c r="J315" t="str">
        <f>IF(OR($G315="",Sync!$Z311=""),"",Sync!$Z311)</f>
        <v/>
      </c>
      <c r="K315">
        <f>IF($G315="",0,IF(Sync!$AA311="",0,Sync!$AA311))</f>
        <v>0</v>
      </c>
      <c r="L315">
        <f>IF($G315="",0,IF(Sync!$AB311="",0,Sync!$AB311))</f>
        <v>0</v>
      </c>
      <c r="M315" t="str">
        <f t="shared" si="29"/>
        <v/>
      </c>
      <c r="N315">
        <f>IF($G315="",0,IF($H315="مرجوعی فروش",-1,1)*IF(Sync!$AC311="",0,Sync!$AC311))</f>
        <v>0</v>
      </c>
      <c r="O315" t="str">
        <f>IF(OR($G315="",Sync!$V311=""),"",Sync!$V311)</f>
        <v/>
      </c>
      <c r="P315" t="str">
        <f>IF(OR($G315="",Sync!$AD311=""),"",Sync!$AD311)</f>
        <v/>
      </c>
      <c r="Q315" t="str">
        <f>IF($G315="","",IF(Sync!$U311="","0000",IF(AND(ISNUMBER(Sync!$U311),Sync!$U311&gt;=0,Sync!$U311&lt;1),RIGHT("00"&amp;HOUR(Sync!$U311),2)&amp;RIGHT("00"&amp;MINUTE(Sync!$U311),2),IFERROR(RIGHT("00"&amp;VALUE(LEFT(Sync!$U311,FIND(":",Sync!$U311)-1)),2)&amp;RIGHT("00"&amp;VALUE(MID(Sync!$U311,FIND(":",Sync!$U311)+1,2)),2),"0000"))))</f>
        <v/>
      </c>
    </row>
    <row r="316" spans="1:17" x14ac:dyDescent="0.2">
      <c r="A316" t="str">
        <f>IF(Sync!$T312="","",Sync!$T312)</f>
        <v/>
      </c>
      <c r="B316" t="str">
        <f t="shared" si="24"/>
        <v/>
      </c>
      <c r="C316" t="str">
        <f t="shared" si="25"/>
        <v/>
      </c>
      <c r="D316" t="str">
        <f t="shared" si="26"/>
        <v/>
      </c>
      <c r="E316" t="str">
        <f t="shared" si="27"/>
        <v/>
      </c>
      <c r="F316" t="str">
        <f t="shared" si="28"/>
        <v/>
      </c>
      <c r="G316" t="str">
        <f>IF(OR($E316="",$E316="نامعتبر",Sync!$X312=""),"",IF(AND(LEFT(UPPER(TRIM(Sync!$X312)),2)="SL",IFERROR(VLOOKUP(Sync!$W312,OpTbl,3,0),"")="فروش"),UPPER(TRIM(Sync!$X312)),""))</f>
        <v/>
      </c>
      <c r="H316" t="str">
        <f>IF($G316="","",IF(Sync!$W312="","",Sync!$W312))</f>
        <v/>
      </c>
      <c r="I316" t="str">
        <f>IF(OR($G316="",Sync!$Y312=""),"",Sync!$Y312)</f>
        <v/>
      </c>
      <c r="J316" t="str">
        <f>IF(OR($G316="",Sync!$Z312=""),"",Sync!$Z312)</f>
        <v/>
      </c>
      <c r="K316">
        <f>IF($G316="",0,IF(Sync!$AA312="",0,Sync!$AA312))</f>
        <v>0</v>
      </c>
      <c r="L316">
        <f>IF($G316="",0,IF(Sync!$AB312="",0,Sync!$AB312))</f>
        <v>0</v>
      </c>
      <c r="M316" t="str">
        <f t="shared" si="29"/>
        <v/>
      </c>
      <c r="N316">
        <f>IF($G316="",0,IF($H316="مرجوعی فروش",-1,1)*IF(Sync!$AC312="",0,Sync!$AC312))</f>
        <v>0</v>
      </c>
      <c r="O316" t="str">
        <f>IF(OR($G316="",Sync!$V312=""),"",Sync!$V312)</f>
        <v/>
      </c>
      <c r="P316" t="str">
        <f>IF(OR($G316="",Sync!$AD312=""),"",Sync!$AD312)</f>
        <v/>
      </c>
      <c r="Q316" t="str">
        <f>IF($G316="","",IF(Sync!$U312="","0000",IF(AND(ISNUMBER(Sync!$U312),Sync!$U312&gt;=0,Sync!$U312&lt;1),RIGHT("00"&amp;HOUR(Sync!$U312),2)&amp;RIGHT("00"&amp;MINUTE(Sync!$U312),2),IFERROR(RIGHT("00"&amp;VALUE(LEFT(Sync!$U312,FIND(":",Sync!$U312)-1)),2)&amp;RIGHT("00"&amp;VALUE(MID(Sync!$U312,FIND(":",Sync!$U312)+1,2)),2),"0000"))))</f>
        <v/>
      </c>
    </row>
    <row r="317" spans="1:17" x14ac:dyDescent="0.2">
      <c r="A317" t="str">
        <f>IF(Sync!$T313="","",Sync!$T313)</f>
        <v/>
      </c>
      <c r="B317" t="str">
        <f t="shared" si="24"/>
        <v/>
      </c>
      <c r="C317" t="str">
        <f t="shared" si="25"/>
        <v/>
      </c>
      <c r="D317" t="str">
        <f t="shared" si="26"/>
        <v/>
      </c>
      <c r="E317" t="str">
        <f t="shared" si="27"/>
        <v/>
      </c>
      <c r="F317" t="str">
        <f t="shared" si="28"/>
        <v/>
      </c>
      <c r="G317" t="str">
        <f>IF(OR($E317="",$E317="نامعتبر",Sync!$X313=""),"",IF(AND(LEFT(UPPER(TRIM(Sync!$X313)),2)="SL",IFERROR(VLOOKUP(Sync!$W313,OpTbl,3,0),"")="فروش"),UPPER(TRIM(Sync!$X313)),""))</f>
        <v/>
      </c>
      <c r="H317" t="str">
        <f>IF($G317="","",IF(Sync!$W313="","",Sync!$W313))</f>
        <v/>
      </c>
      <c r="I317" t="str">
        <f>IF(OR($G317="",Sync!$Y313=""),"",Sync!$Y313)</f>
        <v/>
      </c>
      <c r="J317" t="str">
        <f>IF(OR($G317="",Sync!$Z313=""),"",Sync!$Z313)</f>
        <v/>
      </c>
      <c r="K317">
        <f>IF($G317="",0,IF(Sync!$AA313="",0,Sync!$AA313))</f>
        <v>0</v>
      </c>
      <c r="L317">
        <f>IF($G317="",0,IF(Sync!$AB313="",0,Sync!$AB313))</f>
        <v>0</v>
      </c>
      <c r="M317" t="str">
        <f t="shared" si="29"/>
        <v/>
      </c>
      <c r="N317">
        <f>IF($G317="",0,IF($H317="مرجوعی فروش",-1,1)*IF(Sync!$AC313="",0,Sync!$AC313))</f>
        <v>0</v>
      </c>
      <c r="O317" t="str">
        <f>IF(OR($G317="",Sync!$V313=""),"",Sync!$V313)</f>
        <v/>
      </c>
      <c r="P317" t="str">
        <f>IF(OR($G317="",Sync!$AD313=""),"",Sync!$AD313)</f>
        <v/>
      </c>
      <c r="Q317" t="str">
        <f>IF($G317="","",IF(Sync!$U313="","0000",IF(AND(ISNUMBER(Sync!$U313),Sync!$U313&gt;=0,Sync!$U313&lt;1),RIGHT("00"&amp;HOUR(Sync!$U313),2)&amp;RIGHT("00"&amp;MINUTE(Sync!$U313),2),IFERROR(RIGHT("00"&amp;VALUE(LEFT(Sync!$U313,FIND(":",Sync!$U313)-1)),2)&amp;RIGHT("00"&amp;VALUE(MID(Sync!$U313,FIND(":",Sync!$U313)+1,2)),2),"0000"))))</f>
        <v/>
      </c>
    </row>
    <row r="318" spans="1:17" x14ac:dyDescent="0.2">
      <c r="A318" t="str">
        <f>IF(Sync!$T314="","",Sync!$T314)</f>
        <v/>
      </c>
      <c r="B318" t="str">
        <f t="shared" si="24"/>
        <v/>
      </c>
      <c r="C318" t="str">
        <f t="shared" si="25"/>
        <v/>
      </c>
      <c r="D318" t="str">
        <f t="shared" si="26"/>
        <v/>
      </c>
      <c r="E318" t="str">
        <f t="shared" si="27"/>
        <v/>
      </c>
      <c r="F318" t="str">
        <f t="shared" si="28"/>
        <v/>
      </c>
      <c r="G318" t="str">
        <f>IF(OR($E318="",$E318="نامعتبر",Sync!$X314=""),"",IF(AND(LEFT(UPPER(TRIM(Sync!$X314)),2)="SL",IFERROR(VLOOKUP(Sync!$W314,OpTbl,3,0),"")="فروش"),UPPER(TRIM(Sync!$X314)),""))</f>
        <v/>
      </c>
      <c r="H318" t="str">
        <f>IF($G318="","",IF(Sync!$W314="","",Sync!$W314))</f>
        <v/>
      </c>
      <c r="I318" t="str">
        <f>IF(OR($G318="",Sync!$Y314=""),"",Sync!$Y314)</f>
        <v/>
      </c>
      <c r="J318" t="str">
        <f>IF(OR($G318="",Sync!$Z314=""),"",Sync!$Z314)</f>
        <v/>
      </c>
      <c r="K318">
        <f>IF($G318="",0,IF(Sync!$AA314="",0,Sync!$AA314))</f>
        <v>0</v>
      </c>
      <c r="L318">
        <f>IF($G318="",0,IF(Sync!$AB314="",0,Sync!$AB314))</f>
        <v>0</v>
      </c>
      <c r="M318" t="str">
        <f t="shared" si="29"/>
        <v/>
      </c>
      <c r="N318">
        <f>IF($G318="",0,IF($H318="مرجوعی فروش",-1,1)*IF(Sync!$AC314="",0,Sync!$AC314))</f>
        <v>0</v>
      </c>
      <c r="O318" t="str">
        <f>IF(OR($G318="",Sync!$V314=""),"",Sync!$V314)</f>
        <v/>
      </c>
      <c r="P318" t="str">
        <f>IF(OR($G318="",Sync!$AD314=""),"",Sync!$AD314)</f>
        <v/>
      </c>
      <c r="Q318" t="str">
        <f>IF($G318="","",IF(Sync!$U314="","0000",IF(AND(ISNUMBER(Sync!$U314),Sync!$U314&gt;=0,Sync!$U314&lt;1),RIGHT("00"&amp;HOUR(Sync!$U314),2)&amp;RIGHT("00"&amp;MINUTE(Sync!$U314),2),IFERROR(RIGHT("00"&amp;VALUE(LEFT(Sync!$U314,FIND(":",Sync!$U314)-1)),2)&amp;RIGHT("00"&amp;VALUE(MID(Sync!$U314,FIND(":",Sync!$U314)+1,2)),2),"0000"))))</f>
        <v/>
      </c>
    </row>
    <row r="319" spans="1:17" x14ac:dyDescent="0.2">
      <c r="A319" t="str">
        <f>IF(Sync!$T315="","",Sync!$T315)</f>
        <v/>
      </c>
      <c r="B319" t="str">
        <f t="shared" si="24"/>
        <v/>
      </c>
      <c r="C319" t="str">
        <f t="shared" si="25"/>
        <v/>
      </c>
      <c r="D319" t="str">
        <f t="shared" si="26"/>
        <v/>
      </c>
      <c r="E319" t="str">
        <f t="shared" si="27"/>
        <v/>
      </c>
      <c r="F319" t="str">
        <f t="shared" si="28"/>
        <v/>
      </c>
      <c r="G319" t="str">
        <f>IF(OR($E319="",$E319="نامعتبر",Sync!$X315=""),"",IF(AND(LEFT(UPPER(TRIM(Sync!$X315)),2)="SL",IFERROR(VLOOKUP(Sync!$W315,OpTbl,3,0),"")="فروش"),UPPER(TRIM(Sync!$X315)),""))</f>
        <v/>
      </c>
      <c r="H319" t="str">
        <f>IF($G319="","",IF(Sync!$W315="","",Sync!$W315))</f>
        <v/>
      </c>
      <c r="I319" t="str">
        <f>IF(OR($G319="",Sync!$Y315=""),"",Sync!$Y315)</f>
        <v/>
      </c>
      <c r="J319" t="str">
        <f>IF(OR($G319="",Sync!$Z315=""),"",Sync!$Z315)</f>
        <v/>
      </c>
      <c r="K319">
        <f>IF($G319="",0,IF(Sync!$AA315="",0,Sync!$AA315))</f>
        <v>0</v>
      </c>
      <c r="L319">
        <f>IF($G319="",0,IF(Sync!$AB315="",0,Sync!$AB315))</f>
        <v>0</v>
      </c>
      <c r="M319" t="str">
        <f t="shared" si="29"/>
        <v/>
      </c>
      <c r="N319">
        <f>IF($G319="",0,IF($H319="مرجوعی فروش",-1,1)*IF(Sync!$AC315="",0,Sync!$AC315))</f>
        <v>0</v>
      </c>
      <c r="O319" t="str">
        <f>IF(OR($G319="",Sync!$V315=""),"",Sync!$V315)</f>
        <v/>
      </c>
      <c r="P319" t="str">
        <f>IF(OR($G319="",Sync!$AD315=""),"",Sync!$AD315)</f>
        <v/>
      </c>
      <c r="Q319" t="str">
        <f>IF($G319="","",IF(Sync!$U315="","0000",IF(AND(ISNUMBER(Sync!$U315),Sync!$U315&gt;=0,Sync!$U315&lt;1),RIGHT("00"&amp;HOUR(Sync!$U315),2)&amp;RIGHT("00"&amp;MINUTE(Sync!$U315),2),IFERROR(RIGHT("00"&amp;VALUE(LEFT(Sync!$U315,FIND(":",Sync!$U315)-1)),2)&amp;RIGHT("00"&amp;VALUE(MID(Sync!$U315,FIND(":",Sync!$U315)+1,2)),2),"0000"))))</f>
        <v/>
      </c>
    </row>
    <row r="320" spans="1:17" x14ac:dyDescent="0.2">
      <c r="A320" t="str">
        <f>IF(Sync!$T316="","",Sync!$T316)</f>
        <v/>
      </c>
      <c r="B320" t="str">
        <f t="shared" si="24"/>
        <v/>
      </c>
      <c r="C320" t="str">
        <f t="shared" si="25"/>
        <v/>
      </c>
      <c r="D320" t="str">
        <f t="shared" si="26"/>
        <v/>
      </c>
      <c r="E320" t="str">
        <f t="shared" si="27"/>
        <v/>
      </c>
      <c r="F320" t="str">
        <f t="shared" si="28"/>
        <v/>
      </c>
      <c r="G320" t="str">
        <f>IF(OR($E320="",$E320="نامعتبر",Sync!$X316=""),"",IF(AND(LEFT(UPPER(TRIM(Sync!$X316)),2)="SL",IFERROR(VLOOKUP(Sync!$W316,OpTbl,3,0),"")="فروش"),UPPER(TRIM(Sync!$X316)),""))</f>
        <v/>
      </c>
      <c r="H320" t="str">
        <f>IF($G320="","",IF(Sync!$W316="","",Sync!$W316))</f>
        <v/>
      </c>
      <c r="I320" t="str">
        <f>IF(OR($G320="",Sync!$Y316=""),"",Sync!$Y316)</f>
        <v/>
      </c>
      <c r="J320" t="str">
        <f>IF(OR($G320="",Sync!$Z316=""),"",Sync!$Z316)</f>
        <v/>
      </c>
      <c r="K320">
        <f>IF($G320="",0,IF(Sync!$AA316="",0,Sync!$AA316))</f>
        <v>0</v>
      </c>
      <c r="L320">
        <f>IF($G320="",0,IF(Sync!$AB316="",0,Sync!$AB316))</f>
        <v>0</v>
      </c>
      <c r="M320" t="str">
        <f t="shared" si="29"/>
        <v/>
      </c>
      <c r="N320">
        <f>IF($G320="",0,IF($H320="مرجوعی فروش",-1,1)*IF(Sync!$AC316="",0,Sync!$AC316))</f>
        <v>0</v>
      </c>
      <c r="O320" t="str">
        <f>IF(OR($G320="",Sync!$V316=""),"",Sync!$V316)</f>
        <v/>
      </c>
      <c r="P320" t="str">
        <f>IF(OR($G320="",Sync!$AD316=""),"",Sync!$AD316)</f>
        <v/>
      </c>
      <c r="Q320" t="str">
        <f>IF($G320="","",IF(Sync!$U316="","0000",IF(AND(ISNUMBER(Sync!$U316),Sync!$U316&gt;=0,Sync!$U316&lt;1),RIGHT("00"&amp;HOUR(Sync!$U316),2)&amp;RIGHT("00"&amp;MINUTE(Sync!$U316),2),IFERROR(RIGHT("00"&amp;VALUE(LEFT(Sync!$U316,FIND(":",Sync!$U316)-1)),2)&amp;RIGHT("00"&amp;VALUE(MID(Sync!$U316,FIND(":",Sync!$U316)+1,2)),2),"0000"))))</f>
        <v/>
      </c>
    </row>
    <row r="321" spans="1:17" x14ac:dyDescent="0.2">
      <c r="A321" t="str">
        <f>IF(Sync!$T317="","",Sync!$T317)</f>
        <v/>
      </c>
      <c r="B321" t="str">
        <f t="shared" si="24"/>
        <v/>
      </c>
      <c r="C321" t="str">
        <f t="shared" si="25"/>
        <v/>
      </c>
      <c r="D321" t="str">
        <f t="shared" si="26"/>
        <v/>
      </c>
      <c r="E321" t="str">
        <f t="shared" si="27"/>
        <v/>
      </c>
      <c r="F321" t="str">
        <f t="shared" si="28"/>
        <v/>
      </c>
      <c r="G321" t="str">
        <f>IF(OR($E321="",$E321="نامعتبر",Sync!$X317=""),"",IF(AND(LEFT(UPPER(TRIM(Sync!$X317)),2)="SL",IFERROR(VLOOKUP(Sync!$W317,OpTbl,3,0),"")="فروش"),UPPER(TRIM(Sync!$X317)),""))</f>
        <v/>
      </c>
      <c r="H321" t="str">
        <f>IF($G321="","",IF(Sync!$W317="","",Sync!$W317))</f>
        <v/>
      </c>
      <c r="I321" t="str">
        <f>IF(OR($G321="",Sync!$Y317=""),"",Sync!$Y317)</f>
        <v/>
      </c>
      <c r="J321" t="str">
        <f>IF(OR($G321="",Sync!$Z317=""),"",Sync!$Z317)</f>
        <v/>
      </c>
      <c r="K321">
        <f>IF($G321="",0,IF(Sync!$AA317="",0,Sync!$AA317))</f>
        <v>0</v>
      </c>
      <c r="L321">
        <f>IF($G321="",0,IF(Sync!$AB317="",0,Sync!$AB317))</f>
        <v>0</v>
      </c>
      <c r="M321" t="str">
        <f t="shared" si="29"/>
        <v/>
      </c>
      <c r="N321">
        <f>IF($G321="",0,IF($H321="مرجوعی فروش",-1,1)*IF(Sync!$AC317="",0,Sync!$AC317))</f>
        <v>0</v>
      </c>
      <c r="O321" t="str">
        <f>IF(OR($G321="",Sync!$V317=""),"",Sync!$V317)</f>
        <v/>
      </c>
      <c r="P321" t="str">
        <f>IF(OR($G321="",Sync!$AD317=""),"",Sync!$AD317)</f>
        <v/>
      </c>
      <c r="Q321" t="str">
        <f>IF($G321="","",IF(Sync!$U317="","0000",IF(AND(ISNUMBER(Sync!$U317),Sync!$U317&gt;=0,Sync!$U317&lt;1),RIGHT("00"&amp;HOUR(Sync!$U317),2)&amp;RIGHT("00"&amp;MINUTE(Sync!$U317),2),IFERROR(RIGHT("00"&amp;VALUE(LEFT(Sync!$U317,FIND(":",Sync!$U317)-1)),2)&amp;RIGHT("00"&amp;VALUE(MID(Sync!$U317,FIND(":",Sync!$U317)+1,2)),2),"0000"))))</f>
        <v/>
      </c>
    </row>
    <row r="322" spans="1:17" x14ac:dyDescent="0.2">
      <c r="A322" t="str">
        <f>IF(Sync!$T318="","",Sync!$T318)</f>
        <v/>
      </c>
      <c r="B322" t="str">
        <f t="shared" si="24"/>
        <v/>
      </c>
      <c r="C322" t="str">
        <f t="shared" si="25"/>
        <v/>
      </c>
      <c r="D322" t="str">
        <f t="shared" si="26"/>
        <v/>
      </c>
      <c r="E322" t="str">
        <f t="shared" si="27"/>
        <v/>
      </c>
      <c r="F322" t="str">
        <f t="shared" si="28"/>
        <v/>
      </c>
      <c r="G322" t="str">
        <f>IF(OR($E322="",$E322="نامعتبر",Sync!$X318=""),"",IF(AND(LEFT(UPPER(TRIM(Sync!$X318)),2)="SL",IFERROR(VLOOKUP(Sync!$W318,OpTbl,3,0),"")="فروش"),UPPER(TRIM(Sync!$X318)),""))</f>
        <v/>
      </c>
      <c r="H322" t="str">
        <f>IF($G322="","",IF(Sync!$W318="","",Sync!$W318))</f>
        <v/>
      </c>
      <c r="I322" t="str">
        <f>IF(OR($G322="",Sync!$Y318=""),"",Sync!$Y318)</f>
        <v/>
      </c>
      <c r="J322" t="str">
        <f>IF(OR($G322="",Sync!$Z318=""),"",Sync!$Z318)</f>
        <v/>
      </c>
      <c r="K322">
        <f>IF($G322="",0,IF(Sync!$AA318="",0,Sync!$AA318))</f>
        <v>0</v>
      </c>
      <c r="L322">
        <f>IF($G322="",0,IF(Sync!$AB318="",0,Sync!$AB318))</f>
        <v>0</v>
      </c>
      <c r="M322" t="str">
        <f t="shared" si="29"/>
        <v/>
      </c>
      <c r="N322">
        <f>IF($G322="",0,IF($H322="مرجوعی فروش",-1,1)*IF(Sync!$AC318="",0,Sync!$AC318))</f>
        <v>0</v>
      </c>
      <c r="O322" t="str">
        <f>IF(OR($G322="",Sync!$V318=""),"",Sync!$V318)</f>
        <v/>
      </c>
      <c r="P322" t="str">
        <f>IF(OR($G322="",Sync!$AD318=""),"",Sync!$AD318)</f>
        <v/>
      </c>
      <c r="Q322" t="str">
        <f>IF($G322="","",IF(Sync!$U318="","0000",IF(AND(ISNUMBER(Sync!$U318),Sync!$U318&gt;=0,Sync!$U318&lt;1),RIGHT("00"&amp;HOUR(Sync!$U318),2)&amp;RIGHT("00"&amp;MINUTE(Sync!$U318),2),IFERROR(RIGHT("00"&amp;VALUE(LEFT(Sync!$U318,FIND(":",Sync!$U318)-1)),2)&amp;RIGHT("00"&amp;VALUE(MID(Sync!$U318,FIND(":",Sync!$U318)+1,2)),2),"0000"))))</f>
        <v/>
      </c>
    </row>
    <row r="323" spans="1:17" x14ac:dyDescent="0.2">
      <c r="A323" t="str">
        <f>IF(Sync!$T319="","",Sync!$T319)</f>
        <v/>
      </c>
      <c r="B323" t="str">
        <f t="shared" si="24"/>
        <v/>
      </c>
      <c r="C323" t="str">
        <f t="shared" si="25"/>
        <v/>
      </c>
      <c r="D323" t="str">
        <f t="shared" si="26"/>
        <v/>
      </c>
      <c r="E323" t="str">
        <f t="shared" si="27"/>
        <v/>
      </c>
      <c r="F323" t="str">
        <f t="shared" si="28"/>
        <v/>
      </c>
      <c r="G323" t="str">
        <f>IF(OR($E323="",$E323="نامعتبر",Sync!$X319=""),"",IF(AND(LEFT(UPPER(TRIM(Sync!$X319)),2)="SL",IFERROR(VLOOKUP(Sync!$W319,OpTbl,3,0),"")="فروش"),UPPER(TRIM(Sync!$X319)),""))</f>
        <v/>
      </c>
      <c r="H323" t="str">
        <f>IF($G323="","",IF(Sync!$W319="","",Sync!$W319))</f>
        <v/>
      </c>
      <c r="I323" t="str">
        <f>IF(OR($G323="",Sync!$Y319=""),"",Sync!$Y319)</f>
        <v/>
      </c>
      <c r="J323" t="str">
        <f>IF(OR($G323="",Sync!$Z319=""),"",Sync!$Z319)</f>
        <v/>
      </c>
      <c r="K323">
        <f>IF($G323="",0,IF(Sync!$AA319="",0,Sync!$AA319))</f>
        <v>0</v>
      </c>
      <c r="L323">
        <f>IF($G323="",0,IF(Sync!$AB319="",0,Sync!$AB319))</f>
        <v>0</v>
      </c>
      <c r="M323" t="str">
        <f t="shared" si="29"/>
        <v/>
      </c>
      <c r="N323">
        <f>IF($G323="",0,IF($H323="مرجوعی فروش",-1,1)*IF(Sync!$AC319="",0,Sync!$AC319))</f>
        <v>0</v>
      </c>
      <c r="O323" t="str">
        <f>IF(OR($G323="",Sync!$V319=""),"",Sync!$V319)</f>
        <v/>
      </c>
      <c r="P323" t="str">
        <f>IF(OR($G323="",Sync!$AD319=""),"",Sync!$AD319)</f>
        <v/>
      </c>
      <c r="Q323" t="str">
        <f>IF($G323="","",IF(Sync!$U319="","0000",IF(AND(ISNUMBER(Sync!$U319),Sync!$U319&gt;=0,Sync!$U319&lt;1),RIGHT("00"&amp;HOUR(Sync!$U319),2)&amp;RIGHT("00"&amp;MINUTE(Sync!$U319),2),IFERROR(RIGHT("00"&amp;VALUE(LEFT(Sync!$U319,FIND(":",Sync!$U319)-1)),2)&amp;RIGHT("00"&amp;VALUE(MID(Sync!$U319,FIND(":",Sync!$U319)+1,2)),2),"0000"))))</f>
        <v/>
      </c>
    </row>
    <row r="324" spans="1:17" x14ac:dyDescent="0.2">
      <c r="A324" t="str">
        <f>IF(Sync!$T320="","",Sync!$T320)</f>
        <v/>
      </c>
      <c r="B324" t="str">
        <f t="shared" si="24"/>
        <v/>
      </c>
      <c r="C324" t="str">
        <f t="shared" si="25"/>
        <v/>
      </c>
      <c r="D324" t="str">
        <f t="shared" si="26"/>
        <v/>
      </c>
      <c r="E324" t="str">
        <f t="shared" si="27"/>
        <v/>
      </c>
      <c r="F324" t="str">
        <f t="shared" si="28"/>
        <v/>
      </c>
      <c r="G324" t="str">
        <f>IF(OR($E324="",$E324="نامعتبر",Sync!$X320=""),"",IF(AND(LEFT(UPPER(TRIM(Sync!$X320)),2)="SL",IFERROR(VLOOKUP(Sync!$W320,OpTbl,3,0),"")="فروش"),UPPER(TRIM(Sync!$X320)),""))</f>
        <v/>
      </c>
      <c r="H324" t="str">
        <f>IF($G324="","",IF(Sync!$W320="","",Sync!$W320))</f>
        <v/>
      </c>
      <c r="I324" t="str">
        <f>IF(OR($G324="",Sync!$Y320=""),"",Sync!$Y320)</f>
        <v/>
      </c>
      <c r="J324" t="str">
        <f>IF(OR($G324="",Sync!$Z320=""),"",Sync!$Z320)</f>
        <v/>
      </c>
      <c r="K324">
        <f>IF($G324="",0,IF(Sync!$AA320="",0,Sync!$AA320))</f>
        <v>0</v>
      </c>
      <c r="L324">
        <f>IF($G324="",0,IF(Sync!$AB320="",0,Sync!$AB320))</f>
        <v>0</v>
      </c>
      <c r="M324" t="str">
        <f t="shared" si="29"/>
        <v/>
      </c>
      <c r="N324">
        <f>IF($G324="",0,IF($H324="مرجوعی فروش",-1,1)*IF(Sync!$AC320="",0,Sync!$AC320))</f>
        <v>0</v>
      </c>
      <c r="O324" t="str">
        <f>IF(OR($G324="",Sync!$V320=""),"",Sync!$V320)</f>
        <v/>
      </c>
      <c r="P324" t="str">
        <f>IF(OR($G324="",Sync!$AD320=""),"",Sync!$AD320)</f>
        <v/>
      </c>
      <c r="Q324" t="str">
        <f>IF($G324="","",IF(Sync!$U320="","0000",IF(AND(ISNUMBER(Sync!$U320),Sync!$U320&gt;=0,Sync!$U320&lt;1),RIGHT("00"&amp;HOUR(Sync!$U320),2)&amp;RIGHT("00"&amp;MINUTE(Sync!$U320),2),IFERROR(RIGHT("00"&amp;VALUE(LEFT(Sync!$U320,FIND(":",Sync!$U320)-1)),2)&amp;RIGHT("00"&amp;VALUE(MID(Sync!$U320,FIND(":",Sync!$U320)+1,2)),2),"0000"))))</f>
        <v/>
      </c>
    </row>
    <row r="325" spans="1:17" x14ac:dyDescent="0.2">
      <c r="A325" t="str">
        <f>IF(Sync!$T321="","",Sync!$T321)</f>
        <v/>
      </c>
      <c r="B325" t="str">
        <f t="shared" si="24"/>
        <v/>
      </c>
      <c r="C325" t="str">
        <f t="shared" si="25"/>
        <v/>
      </c>
      <c r="D325" t="str">
        <f t="shared" si="26"/>
        <v/>
      </c>
      <c r="E325" t="str">
        <f t="shared" si="27"/>
        <v/>
      </c>
      <c r="F325" t="str">
        <f t="shared" si="28"/>
        <v/>
      </c>
      <c r="G325" t="str">
        <f>IF(OR($E325="",$E325="نامعتبر",Sync!$X321=""),"",IF(AND(LEFT(UPPER(TRIM(Sync!$X321)),2)="SL",IFERROR(VLOOKUP(Sync!$W321,OpTbl,3,0),"")="فروش"),UPPER(TRIM(Sync!$X321)),""))</f>
        <v/>
      </c>
      <c r="H325" t="str">
        <f>IF($G325="","",IF(Sync!$W321="","",Sync!$W321))</f>
        <v/>
      </c>
      <c r="I325" t="str">
        <f>IF(OR($G325="",Sync!$Y321=""),"",Sync!$Y321)</f>
        <v/>
      </c>
      <c r="J325" t="str">
        <f>IF(OR($G325="",Sync!$Z321=""),"",Sync!$Z321)</f>
        <v/>
      </c>
      <c r="K325">
        <f>IF($G325="",0,IF(Sync!$AA321="",0,Sync!$AA321))</f>
        <v>0</v>
      </c>
      <c r="L325">
        <f>IF($G325="",0,IF(Sync!$AB321="",0,Sync!$AB321))</f>
        <v>0</v>
      </c>
      <c r="M325" t="str">
        <f t="shared" si="29"/>
        <v/>
      </c>
      <c r="N325">
        <f>IF($G325="",0,IF($H325="مرجوعی فروش",-1,1)*IF(Sync!$AC321="",0,Sync!$AC321))</f>
        <v>0</v>
      </c>
      <c r="O325" t="str">
        <f>IF(OR($G325="",Sync!$V321=""),"",Sync!$V321)</f>
        <v/>
      </c>
      <c r="P325" t="str">
        <f>IF(OR($G325="",Sync!$AD321=""),"",Sync!$AD321)</f>
        <v/>
      </c>
      <c r="Q325" t="str">
        <f>IF($G325="","",IF(Sync!$U321="","0000",IF(AND(ISNUMBER(Sync!$U321),Sync!$U321&gt;=0,Sync!$U321&lt;1),RIGHT("00"&amp;HOUR(Sync!$U321),2)&amp;RIGHT("00"&amp;MINUTE(Sync!$U321),2),IFERROR(RIGHT("00"&amp;VALUE(LEFT(Sync!$U321,FIND(":",Sync!$U321)-1)),2)&amp;RIGHT("00"&amp;VALUE(MID(Sync!$U321,FIND(":",Sync!$U321)+1,2)),2),"0000"))))</f>
        <v/>
      </c>
    </row>
    <row r="326" spans="1:17" x14ac:dyDescent="0.2">
      <c r="A326" t="str">
        <f>IF(Sync!$T322="","",Sync!$T322)</f>
        <v/>
      </c>
      <c r="B326" t="str">
        <f t="shared" si="24"/>
        <v/>
      </c>
      <c r="C326" t="str">
        <f t="shared" si="25"/>
        <v/>
      </c>
      <c r="D326" t="str">
        <f t="shared" si="26"/>
        <v/>
      </c>
      <c r="E326" t="str">
        <f t="shared" si="27"/>
        <v/>
      </c>
      <c r="F326" t="str">
        <f t="shared" si="28"/>
        <v/>
      </c>
      <c r="G326" t="str">
        <f>IF(OR($E326="",$E326="نامعتبر",Sync!$X322=""),"",IF(AND(LEFT(UPPER(TRIM(Sync!$X322)),2)="SL",IFERROR(VLOOKUP(Sync!$W322,OpTbl,3,0),"")="فروش"),UPPER(TRIM(Sync!$X322)),""))</f>
        <v/>
      </c>
      <c r="H326" t="str">
        <f>IF($G326="","",IF(Sync!$W322="","",Sync!$W322))</f>
        <v/>
      </c>
      <c r="I326" t="str">
        <f>IF(OR($G326="",Sync!$Y322=""),"",Sync!$Y322)</f>
        <v/>
      </c>
      <c r="J326" t="str">
        <f>IF(OR($G326="",Sync!$Z322=""),"",Sync!$Z322)</f>
        <v/>
      </c>
      <c r="K326">
        <f>IF($G326="",0,IF(Sync!$AA322="",0,Sync!$AA322))</f>
        <v>0</v>
      </c>
      <c r="L326">
        <f>IF($G326="",0,IF(Sync!$AB322="",0,Sync!$AB322))</f>
        <v>0</v>
      </c>
      <c r="M326" t="str">
        <f t="shared" si="29"/>
        <v/>
      </c>
      <c r="N326">
        <f>IF($G326="",0,IF($H326="مرجوعی فروش",-1,1)*IF(Sync!$AC322="",0,Sync!$AC322))</f>
        <v>0</v>
      </c>
      <c r="O326" t="str">
        <f>IF(OR($G326="",Sync!$V322=""),"",Sync!$V322)</f>
        <v/>
      </c>
      <c r="P326" t="str">
        <f>IF(OR($G326="",Sync!$AD322=""),"",Sync!$AD322)</f>
        <v/>
      </c>
      <c r="Q326" t="str">
        <f>IF($G326="","",IF(Sync!$U322="","0000",IF(AND(ISNUMBER(Sync!$U322),Sync!$U322&gt;=0,Sync!$U322&lt;1),RIGHT("00"&amp;HOUR(Sync!$U322),2)&amp;RIGHT("00"&amp;MINUTE(Sync!$U322),2),IFERROR(RIGHT("00"&amp;VALUE(LEFT(Sync!$U322,FIND(":",Sync!$U322)-1)),2)&amp;RIGHT("00"&amp;VALUE(MID(Sync!$U322,FIND(":",Sync!$U322)+1,2)),2),"0000"))))</f>
        <v/>
      </c>
    </row>
    <row r="327" spans="1:17" x14ac:dyDescent="0.2">
      <c r="A327" t="str">
        <f>IF(Sync!$T323="","",Sync!$T323)</f>
        <v/>
      </c>
      <c r="B327" t="str">
        <f t="shared" si="24"/>
        <v/>
      </c>
      <c r="C327" t="str">
        <f t="shared" si="25"/>
        <v/>
      </c>
      <c r="D327" t="str">
        <f t="shared" si="26"/>
        <v/>
      </c>
      <c r="E327" t="str">
        <f t="shared" si="27"/>
        <v/>
      </c>
      <c r="F327" t="str">
        <f t="shared" si="28"/>
        <v/>
      </c>
      <c r="G327" t="str">
        <f>IF(OR($E327="",$E327="نامعتبر",Sync!$X323=""),"",IF(AND(LEFT(UPPER(TRIM(Sync!$X323)),2)="SL",IFERROR(VLOOKUP(Sync!$W323,OpTbl,3,0),"")="فروش"),UPPER(TRIM(Sync!$X323)),""))</f>
        <v/>
      </c>
      <c r="H327" t="str">
        <f>IF($G327="","",IF(Sync!$W323="","",Sync!$W323))</f>
        <v/>
      </c>
      <c r="I327" t="str">
        <f>IF(OR($G327="",Sync!$Y323=""),"",Sync!$Y323)</f>
        <v/>
      </c>
      <c r="J327" t="str">
        <f>IF(OR($G327="",Sync!$Z323=""),"",Sync!$Z323)</f>
        <v/>
      </c>
      <c r="K327">
        <f>IF($G327="",0,IF(Sync!$AA323="",0,Sync!$AA323))</f>
        <v>0</v>
      </c>
      <c r="L327">
        <f>IF($G327="",0,IF(Sync!$AB323="",0,Sync!$AB323))</f>
        <v>0</v>
      </c>
      <c r="M327" t="str">
        <f t="shared" si="29"/>
        <v/>
      </c>
      <c r="N327">
        <f>IF($G327="",0,IF($H327="مرجوعی فروش",-1,1)*IF(Sync!$AC323="",0,Sync!$AC323))</f>
        <v>0</v>
      </c>
      <c r="O327" t="str">
        <f>IF(OR($G327="",Sync!$V323=""),"",Sync!$V323)</f>
        <v/>
      </c>
      <c r="P327" t="str">
        <f>IF(OR($G327="",Sync!$AD323=""),"",Sync!$AD323)</f>
        <v/>
      </c>
      <c r="Q327" t="str">
        <f>IF($G327="","",IF(Sync!$U323="","0000",IF(AND(ISNUMBER(Sync!$U323),Sync!$U323&gt;=0,Sync!$U323&lt;1),RIGHT("00"&amp;HOUR(Sync!$U323),2)&amp;RIGHT("00"&amp;MINUTE(Sync!$U323),2),IFERROR(RIGHT("00"&amp;VALUE(LEFT(Sync!$U323,FIND(":",Sync!$U323)-1)),2)&amp;RIGHT("00"&amp;VALUE(MID(Sync!$U323,FIND(":",Sync!$U323)+1,2)),2),"0000"))))</f>
        <v/>
      </c>
    </row>
    <row r="328" spans="1:17" x14ac:dyDescent="0.2">
      <c r="A328" t="str">
        <f>IF(Sync!$T324="","",Sync!$T324)</f>
        <v/>
      </c>
      <c r="B328" t="str">
        <f t="shared" si="24"/>
        <v/>
      </c>
      <c r="C328" t="str">
        <f t="shared" si="25"/>
        <v/>
      </c>
      <c r="D328" t="str">
        <f t="shared" si="26"/>
        <v/>
      </c>
      <c r="E328" t="str">
        <f t="shared" si="27"/>
        <v/>
      </c>
      <c r="F328" t="str">
        <f t="shared" si="28"/>
        <v/>
      </c>
      <c r="G328" t="str">
        <f>IF(OR($E328="",$E328="نامعتبر",Sync!$X324=""),"",IF(AND(LEFT(UPPER(TRIM(Sync!$X324)),2)="SL",IFERROR(VLOOKUP(Sync!$W324,OpTbl,3,0),"")="فروش"),UPPER(TRIM(Sync!$X324)),""))</f>
        <v/>
      </c>
      <c r="H328" t="str">
        <f>IF($G328="","",IF(Sync!$W324="","",Sync!$W324))</f>
        <v/>
      </c>
      <c r="I328" t="str">
        <f>IF(OR($G328="",Sync!$Y324=""),"",Sync!$Y324)</f>
        <v/>
      </c>
      <c r="J328" t="str">
        <f>IF(OR($G328="",Sync!$Z324=""),"",Sync!$Z324)</f>
        <v/>
      </c>
      <c r="K328">
        <f>IF($G328="",0,IF(Sync!$AA324="",0,Sync!$AA324))</f>
        <v>0</v>
      </c>
      <c r="L328">
        <f>IF($G328="",0,IF(Sync!$AB324="",0,Sync!$AB324))</f>
        <v>0</v>
      </c>
      <c r="M328" t="str">
        <f t="shared" si="29"/>
        <v/>
      </c>
      <c r="N328">
        <f>IF($G328="",0,IF($H328="مرجوعی فروش",-1,1)*IF(Sync!$AC324="",0,Sync!$AC324))</f>
        <v>0</v>
      </c>
      <c r="O328" t="str">
        <f>IF(OR($G328="",Sync!$V324=""),"",Sync!$V324)</f>
        <v/>
      </c>
      <c r="P328" t="str">
        <f>IF(OR($G328="",Sync!$AD324=""),"",Sync!$AD324)</f>
        <v/>
      </c>
      <c r="Q328" t="str">
        <f>IF($G328="","",IF(Sync!$U324="","0000",IF(AND(ISNUMBER(Sync!$U324),Sync!$U324&gt;=0,Sync!$U324&lt;1),RIGHT("00"&amp;HOUR(Sync!$U324),2)&amp;RIGHT("00"&amp;MINUTE(Sync!$U324),2),IFERROR(RIGHT("00"&amp;VALUE(LEFT(Sync!$U324,FIND(":",Sync!$U324)-1)),2)&amp;RIGHT("00"&amp;VALUE(MID(Sync!$U324,FIND(":",Sync!$U324)+1,2)),2),"0000"))))</f>
        <v/>
      </c>
    </row>
    <row r="329" spans="1:17" x14ac:dyDescent="0.2">
      <c r="A329" t="str">
        <f>IF(Sync!$T325="","",Sync!$T325)</f>
        <v/>
      </c>
      <c r="B329" t="str">
        <f t="shared" si="24"/>
        <v/>
      </c>
      <c r="C329" t="str">
        <f t="shared" si="25"/>
        <v/>
      </c>
      <c r="D329" t="str">
        <f t="shared" si="26"/>
        <v/>
      </c>
      <c r="E329" t="str">
        <f t="shared" si="27"/>
        <v/>
      </c>
      <c r="F329" t="str">
        <f t="shared" si="28"/>
        <v/>
      </c>
      <c r="G329" t="str">
        <f>IF(OR($E329="",$E329="نامعتبر",Sync!$X325=""),"",IF(AND(LEFT(UPPER(TRIM(Sync!$X325)),2)="SL",IFERROR(VLOOKUP(Sync!$W325,OpTbl,3,0),"")="فروش"),UPPER(TRIM(Sync!$X325)),""))</f>
        <v/>
      </c>
      <c r="H329" t="str">
        <f>IF($G329="","",IF(Sync!$W325="","",Sync!$W325))</f>
        <v/>
      </c>
      <c r="I329" t="str">
        <f>IF(OR($G329="",Sync!$Y325=""),"",Sync!$Y325)</f>
        <v/>
      </c>
      <c r="J329" t="str">
        <f>IF(OR($G329="",Sync!$Z325=""),"",Sync!$Z325)</f>
        <v/>
      </c>
      <c r="K329">
        <f>IF($G329="",0,IF(Sync!$AA325="",0,Sync!$AA325))</f>
        <v>0</v>
      </c>
      <c r="L329">
        <f>IF($G329="",0,IF(Sync!$AB325="",0,Sync!$AB325))</f>
        <v>0</v>
      </c>
      <c r="M329" t="str">
        <f t="shared" si="29"/>
        <v/>
      </c>
      <c r="N329">
        <f>IF($G329="",0,IF($H329="مرجوعی فروش",-1,1)*IF(Sync!$AC325="",0,Sync!$AC325))</f>
        <v>0</v>
      </c>
      <c r="O329" t="str">
        <f>IF(OR($G329="",Sync!$V325=""),"",Sync!$V325)</f>
        <v/>
      </c>
      <c r="P329" t="str">
        <f>IF(OR($G329="",Sync!$AD325=""),"",Sync!$AD325)</f>
        <v/>
      </c>
      <c r="Q329" t="str">
        <f>IF($G329="","",IF(Sync!$U325="","0000",IF(AND(ISNUMBER(Sync!$U325),Sync!$U325&gt;=0,Sync!$U325&lt;1),RIGHT("00"&amp;HOUR(Sync!$U325),2)&amp;RIGHT("00"&amp;MINUTE(Sync!$U325),2),IFERROR(RIGHT("00"&amp;VALUE(LEFT(Sync!$U325,FIND(":",Sync!$U325)-1)),2)&amp;RIGHT("00"&amp;VALUE(MID(Sync!$U325,FIND(":",Sync!$U325)+1,2)),2),"0000"))))</f>
        <v/>
      </c>
    </row>
    <row r="330" spans="1:17" x14ac:dyDescent="0.2">
      <c r="A330" t="str">
        <f>IF(Sync!$T326="","",Sync!$T326)</f>
        <v/>
      </c>
      <c r="B330" t="str">
        <f t="shared" ref="B330:B393" si="30">IF($A330="","",IF(ISNUMBER($A330),IF(AND($A330&gt;=10000101,$A330&lt;=99991231),INT($A330/10000),""),IFERROR(VALUE(TRIM(LEFT($A330,FIND("/",$A330)-1))),"")))</f>
        <v/>
      </c>
      <c r="C330" t="str">
        <f t="shared" ref="C330:C393" si="31">IF(OR($A330="",$B330=""),"",IF(ISNUMBER($A330),INT(MOD($A330,10000)/100),IFERROR(VALUE(TRIM(LEFT(MID($A330,FIND("/",$A330)+1,20),FIND("/",MID($A330,FIND("/",$A330)+1,20))-1))),"")))</f>
        <v/>
      </c>
      <c r="D330" t="str">
        <f t="shared" ref="D330:D393" si="32">IF(OR($A330="",$B330=""),"",IF(ISNUMBER($A330),MOD($A330,100),IFERROR(VALUE(TRIM(MID(MID($A330,FIND("/",$A330)+1,20),FIND("/",MID($A330,FIND("/",$A330)+1,20))+1,20))),"")))</f>
        <v/>
      </c>
      <c r="E330" t="str">
        <f t="shared" ref="E330:E393" si="33">IF($A330="","",IF(OR($B330="",$C330="",$D330="",$B330&lt;1300,$B330&gt;1500,$C330&lt;1,$C330&gt;12,$D330&lt;1,$D330&gt;31),"نامعتبر",RIGHT("0000"&amp;$B330,4)&amp;"/"&amp;RIGHT("00"&amp;$C330,2)&amp;"/"&amp;RIGHT("00"&amp;$D330,2)))</f>
        <v/>
      </c>
      <c r="F330" t="str">
        <f t="shared" ref="F330:F393" si="34">IF(OR($E330="",$E330="نامعتبر"),"",LEFT($E330,4)&amp;"/"&amp;MID($E330,6,2))</f>
        <v/>
      </c>
      <c r="G330" t="str">
        <f>IF(OR($E330="",$E330="نامعتبر",Sync!$X326=""),"",IF(AND(LEFT(UPPER(TRIM(Sync!$X326)),2)="SL",IFERROR(VLOOKUP(Sync!$W326,OpTbl,3,0),"")="فروش"),UPPER(TRIM(Sync!$X326)),""))</f>
        <v/>
      </c>
      <c r="H330" t="str">
        <f>IF($G330="","",IF(Sync!$W326="","",Sync!$W326))</f>
        <v/>
      </c>
      <c r="I330" t="str">
        <f>IF(OR($G330="",Sync!$Y326=""),"",Sync!$Y326)</f>
        <v/>
      </c>
      <c r="J330" t="str">
        <f>IF(OR($G330="",Sync!$Z326=""),"",Sync!$Z326)</f>
        <v/>
      </c>
      <c r="K330">
        <f>IF($G330="",0,IF(Sync!$AA326="",0,Sync!$AA326))</f>
        <v>0</v>
      </c>
      <c r="L330">
        <f>IF($G330="",0,IF(Sync!$AB326="",0,Sync!$AB326))</f>
        <v>0</v>
      </c>
      <c r="M330" t="str">
        <f t="shared" ref="M330:M393" si="35">IF($G330="","",IF($H330="مرجوعی فروش",-1,1)*($K330-$L330*IFERROR(VLOOKUP("P01",ParamTbl,3,0),1.5)))</f>
        <v/>
      </c>
      <c r="N330">
        <f>IF($G330="",0,IF($H330="مرجوعی فروش",-1,1)*IF(Sync!$AC326="",0,Sync!$AC326))</f>
        <v>0</v>
      </c>
      <c r="O330" t="str">
        <f>IF(OR($G330="",Sync!$V326=""),"",Sync!$V326)</f>
        <v/>
      </c>
      <c r="P330" t="str">
        <f>IF(OR($G330="",Sync!$AD326=""),"",Sync!$AD326)</f>
        <v/>
      </c>
      <c r="Q330" t="str">
        <f>IF($G330="","",IF(Sync!$U326="","0000",IF(AND(ISNUMBER(Sync!$U326),Sync!$U326&gt;=0,Sync!$U326&lt;1),RIGHT("00"&amp;HOUR(Sync!$U326),2)&amp;RIGHT("00"&amp;MINUTE(Sync!$U326),2),IFERROR(RIGHT("00"&amp;VALUE(LEFT(Sync!$U326,FIND(":",Sync!$U326)-1)),2)&amp;RIGHT("00"&amp;VALUE(MID(Sync!$U326,FIND(":",Sync!$U326)+1,2)),2),"0000"))))</f>
        <v/>
      </c>
    </row>
    <row r="331" spans="1:17" x14ac:dyDescent="0.2">
      <c r="A331" t="str">
        <f>IF(Sync!$T327="","",Sync!$T327)</f>
        <v/>
      </c>
      <c r="B331" t="str">
        <f t="shared" si="30"/>
        <v/>
      </c>
      <c r="C331" t="str">
        <f t="shared" si="31"/>
        <v/>
      </c>
      <c r="D331" t="str">
        <f t="shared" si="32"/>
        <v/>
      </c>
      <c r="E331" t="str">
        <f t="shared" si="33"/>
        <v/>
      </c>
      <c r="F331" t="str">
        <f t="shared" si="34"/>
        <v/>
      </c>
      <c r="G331" t="str">
        <f>IF(OR($E331="",$E331="نامعتبر",Sync!$X327=""),"",IF(AND(LEFT(UPPER(TRIM(Sync!$X327)),2)="SL",IFERROR(VLOOKUP(Sync!$W327,OpTbl,3,0),"")="فروش"),UPPER(TRIM(Sync!$X327)),""))</f>
        <v/>
      </c>
      <c r="H331" t="str">
        <f>IF($G331="","",IF(Sync!$W327="","",Sync!$W327))</f>
        <v/>
      </c>
      <c r="I331" t="str">
        <f>IF(OR($G331="",Sync!$Y327=""),"",Sync!$Y327)</f>
        <v/>
      </c>
      <c r="J331" t="str">
        <f>IF(OR($G331="",Sync!$Z327=""),"",Sync!$Z327)</f>
        <v/>
      </c>
      <c r="K331">
        <f>IF($G331="",0,IF(Sync!$AA327="",0,Sync!$AA327))</f>
        <v>0</v>
      </c>
      <c r="L331">
        <f>IF($G331="",0,IF(Sync!$AB327="",0,Sync!$AB327))</f>
        <v>0</v>
      </c>
      <c r="M331" t="str">
        <f t="shared" si="35"/>
        <v/>
      </c>
      <c r="N331">
        <f>IF($G331="",0,IF($H331="مرجوعی فروش",-1,1)*IF(Sync!$AC327="",0,Sync!$AC327))</f>
        <v>0</v>
      </c>
      <c r="O331" t="str">
        <f>IF(OR($G331="",Sync!$V327=""),"",Sync!$V327)</f>
        <v/>
      </c>
      <c r="P331" t="str">
        <f>IF(OR($G331="",Sync!$AD327=""),"",Sync!$AD327)</f>
        <v/>
      </c>
      <c r="Q331" t="str">
        <f>IF($G331="","",IF(Sync!$U327="","0000",IF(AND(ISNUMBER(Sync!$U327),Sync!$U327&gt;=0,Sync!$U327&lt;1),RIGHT("00"&amp;HOUR(Sync!$U327),2)&amp;RIGHT("00"&amp;MINUTE(Sync!$U327),2),IFERROR(RIGHT("00"&amp;VALUE(LEFT(Sync!$U327,FIND(":",Sync!$U327)-1)),2)&amp;RIGHT("00"&amp;VALUE(MID(Sync!$U327,FIND(":",Sync!$U327)+1,2)),2),"0000"))))</f>
        <v/>
      </c>
    </row>
    <row r="332" spans="1:17" x14ac:dyDescent="0.2">
      <c r="A332" t="str">
        <f>IF(Sync!$T328="","",Sync!$T328)</f>
        <v/>
      </c>
      <c r="B332" t="str">
        <f t="shared" si="30"/>
        <v/>
      </c>
      <c r="C332" t="str">
        <f t="shared" si="31"/>
        <v/>
      </c>
      <c r="D332" t="str">
        <f t="shared" si="32"/>
        <v/>
      </c>
      <c r="E332" t="str">
        <f t="shared" si="33"/>
        <v/>
      </c>
      <c r="F332" t="str">
        <f t="shared" si="34"/>
        <v/>
      </c>
      <c r="G332" t="str">
        <f>IF(OR($E332="",$E332="نامعتبر",Sync!$X328=""),"",IF(AND(LEFT(UPPER(TRIM(Sync!$X328)),2)="SL",IFERROR(VLOOKUP(Sync!$W328,OpTbl,3,0),"")="فروش"),UPPER(TRIM(Sync!$X328)),""))</f>
        <v/>
      </c>
      <c r="H332" t="str">
        <f>IF($G332="","",IF(Sync!$W328="","",Sync!$W328))</f>
        <v/>
      </c>
      <c r="I332" t="str">
        <f>IF(OR($G332="",Sync!$Y328=""),"",Sync!$Y328)</f>
        <v/>
      </c>
      <c r="J332" t="str">
        <f>IF(OR($G332="",Sync!$Z328=""),"",Sync!$Z328)</f>
        <v/>
      </c>
      <c r="K332">
        <f>IF($G332="",0,IF(Sync!$AA328="",0,Sync!$AA328))</f>
        <v>0</v>
      </c>
      <c r="L332">
        <f>IF($G332="",0,IF(Sync!$AB328="",0,Sync!$AB328))</f>
        <v>0</v>
      </c>
      <c r="M332" t="str">
        <f t="shared" si="35"/>
        <v/>
      </c>
      <c r="N332">
        <f>IF($G332="",0,IF($H332="مرجوعی فروش",-1,1)*IF(Sync!$AC328="",0,Sync!$AC328))</f>
        <v>0</v>
      </c>
      <c r="O332" t="str">
        <f>IF(OR($G332="",Sync!$V328=""),"",Sync!$V328)</f>
        <v/>
      </c>
      <c r="P332" t="str">
        <f>IF(OR($G332="",Sync!$AD328=""),"",Sync!$AD328)</f>
        <v/>
      </c>
      <c r="Q332" t="str">
        <f>IF($G332="","",IF(Sync!$U328="","0000",IF(AND(ISNUMBER(Sync!$U328),Sync!$U328&gt;=0,Sync!$U328&lt;1),RIGHT("00"&amp;HOUR(Sync!$U328),2)&amp;RIGHT("00"&amp;MINUTE(Sync!$U328),2),IFERROR(RIGHT("00"&amp;VALUE(LEFT(Sync!$U328,FIND(":",Sync!$U328)-1)),2)&amp;RIGHT("00"&amp;VALUE(MID(Sync!$U328,FIND(":",Sync!$U328)+1,2)),2),"0000"))))</f>
        <v/>
      </c>
    </row>
    <row r="333" spans="1:17" x14ac:dyDescent="0.2">
      <c r="A333" t="str">
        <f>IF(Sync!$T329="","",Sync!$T329)</f>
        <v/>
      </c>
      <c r="B333" t="str">
        <f t="shared" si="30"/>
        <v/>
      </c>
      <c r="C333" t="str">
        <f t="shared" si="31"/>
        <v/>
      </c>
      <c r="D333" t="str">
        <f t="shared" si="32"/>
        <v/>
      </c>
      <c r="E333" t="str">
        <f t="shared" si="33"/>
        <v/>
      </c>
      <c r="F333" t="str">
        <f t="shared" si="34"/>
        <v/>
      </c>
      <c r="G333" t="str">
        <f>IF(OR($E333="",$E333="نامعتبر",Sync!$X329=""),"",IF(AND(LEFT(UPPER(TRIM(Sync!$X329)),2)="SL",IFERROR(VLOOKUP(Sync!$W329,OpTbl,3,0),"")="فروش"),UPPER(TRIM(Sync!$X329)),""))</f>
        <v/>
      </c>
      <c r="H333" t="str">
        <f>IF($G333="","",IF(Sync!$W329="","",Sync!$W329))</f>
        <v/>
      </c>
      <c r="I333" t="str">
        <f>IF(OR($G333="",Sync!$Y329=""),"",Sync!$Y329)</f>
        <v/>
      </c>
      <c r="J333" t="str">
        <f>IF(OR($G333="",Sync!$Z329=""),"",Sync!$Z329)</f>
        <v/>
      </c>
      <c r="K333">
        <f>IF($G333="",0,IF(Sync!$AA329="",0,Sync!$AA329))</f>
        <v>0</v>
      </c>
      <c r="L333">
        <f>IF($G333="",0,IF(Sync!$AB329="",0,Sync!$AB329))</f>
        <v>0</v>
      </c>
      <c r="M333" t="str">
        <f t="shared" si="35"/>
        <v/>
      </c>
      <c r="N333">
        <f>IF($G333="",0,IF($H333="مرجوعی فروش",-1,1)*IF(Sync!$AC329="",0,Sync!$AC329))</f>
        <v>0</v>
      </c>
      <c r="O333" t="str">
        <f>IF(OR($G333="",Sync!$V329=""),"",Sync!$V329)</f>
        <v/>
      </c>
      <c r="P333" t="str">
        <f>IF(OR($G333="",Sync!$AD329=""),"",Sync!$AD329)</f>
        <v/>
      </c>
      <c r="Q333" t="str">
        <f>IF($G333="","",IF(Sync!$U329="","0000",IF(AND(ISNUMBER(Sync!$U329),Sync!$U329&gt;=0,Sync!$U329&lt;1),RIGHT("00"&amp;HOUR(Sync!$U329),2)&amp;RIGHT("00"&amp;MINUTE(Sync!$U329),2),IFERROR(RIGHT("00"&amp;VALUE(LEFT(Sync!$U329,FIND(":",Sync!$U329)-1)),2)&amp;RIGHT("00"&amp;VALUE(MID(Sync!$U329,FIND(":",Sync!$U329)+1,2)),2),"0000"))))</f>
        <v/>
      </c>
    </row>
    <row r="334" spans="1:17" x14ac:dyDescent="0.2">
      <c r="A334" t="str">
        <f>IF(Sync!$T330="","",Sync!$T330)</f>
        <v/>
      </c>
      <c r="B334" t="str">
        <f t="shared" si="30"/>
        <v/>
      </c>
      <c r="C334" t="str">
        <f t="shared" si="31"/>
        <v/>
      </c>
      <c r="D334" t="str">
        <f t="shared" si="32"/>
        <v/>
      </c>
      <c r="E334" t="str">
        <f t="shared" si="33"/>
        <v/>
      </c>
      <c r="F334" t="str">
        <f t="shared" si="34"/>
        <v/>
      </c>
      <c r="G334" t="str">
        <f>IF(OR($E334="",$E334="نامعتبر",Sync!$X330=""),"",IF(AND(LEFT(UPPER(TRIM(Sync!$X330)),2)="SL",IFERROR(VLOOKUP(Sync!$W330,OpTbl,3,0),"")="فروش"),UPPER(TRIM(Sync!$X330)),""))</f>
        <v/>
      </c>
      <c r="H334" t="str">
        <f>IF($G334="","",IF(Sync!$W330="","",Sync!$W330))</f>
        <v/>
      </c>
      <c r="I334" t="str">
        <f>IF(OR($G334="",Sync!$Y330=""),"",Sync!$Y330)</f>
        <v/>
      </c>
      <c r="J334" t="str">
        <f>IF(OR($G334="",Sync!$Z330=""),"",Sync!$Z330)</f>
        <v/>
      </c>
      <c r="K334">
        <f>IF($G334="",0,IF(Sync!$AA330="",0,Sync!$AA330))</f>
        <v>0</v>
      </c>
      <c r="L334">
        <f>IF($G334="",0,IF(Sync!$AB330="",0,Sync!$AB330))</f>
        <v>0</v>
      </c>
      <c r="M334" t="str">
        <f t="shared" si="35"/>
        <v/>
      </c>
      <c r="N334">
        <f>IF($G334="",0,IF($H334="مرجوعی فروش",-1,1)*IF(Sync!$AC330="",0,Sync!$AC330))</f>
        <v>0</v>
      </c>
      <c r="O334" t="str">
        <f>IF(OR($G334="",Sync!$V330=""),"",Sync!$V330)</f>
        <v/>
      </c>
      <c r="P334" t="str">
        <f>IF(OR($G334="",Sync!$AD330=""),"",Sync!$AD330)</f>
        <v/>
      </c>
      <c r="Q334" t="str">
        <f>IF($G334="","",IF(Sync!$U330="","0000",IF(AND(ISNUMBER(Sync!$U330),Sync!$U330&gt;=0,Sync!$U330&lt;1),RIGHT("00"&amp;HOUR(Sync!$U330),2)&amp;RIGHT("00"&amp;MINUTE(Sync!$U330),2),IFERROR(RIGHT("00"&amp;VALUE(LEFT(Sync!$U330,FIND(":",Sync!$U330)-1)),2)&amp;RIGHT("00"&amp;VALUE(MID(Sync!$U330,FIND(":",Sync!$U330)+1,2)),2),"0000"))))</f>
        <v/>
      </c>
    </row>
    <row r="335" spans="1:17" x14ac:dyDescent="0.2">
      <c r="A335" t="str">
        <f>IF(Sync!$T331="","",Sync!$T331)</f>
        <v/>
      </c>
      <c r="B335" t="str">
        <f t="shared" si="30"/>
        <v/>
      </c>
      <c r="C335" t="str">
        <f t="shared" si="31"/>
        <v/>
      </c>
      <c r="D335" t="str">
        <f t="shared" si="32"/>
        <v/>
      </c>
      <c r="E335" t="str">
        <f t="shared" si="33"/>
        <v/>
      </c>
      <c r="F335" t="str">
        <f t="shared" si="34"/>
        <v/>
      </c>
      <c r="G335" t="str">
        <f>IF(OR($E335="",$E335="نامعتبر",Sync!$X331=""),"",IF(AND(LEFT(UPPER(TRIM(Sync!$X331)),2)="SL",IFERROR(VLOOKUP(Sync!$W331,OpTbl,3,0),"")="فروش"),UPPER(TRIM(Sync!$X331)),""))</f>
        <v/>
      </c>
      <c r="H335" t="str">
        <f>IF($G335="","",IF(Sync!$W331="","",Sync!$W331))</f>
        <v/>
      </c>
      <c r="I335" t="str">
        <f>IF(OR($G335="",Sync!$Y331=""),"",Sync!$Y331)</f>
        <v/>
      </c>
      <c r="J335" t="str">
        <f>IF(OR($G335="",Sync!$Z331=""),"",Sync!$Z331)</f>
        <v/>
      </c>
      <c r="K335">
        <f>IF($G335="",0,IF(Sync!$AA331="",0,Sync!$AA331))</f>
        <v>0</v>
      </c>
      <c r="L335">
        <f>IF($G335="",0,IF(Sync!$AB331="",0,Sync!$AB331))</f>
        <v>0</v>
      </c>
      <c r="M335" t="str">
        <f t="shared" si="35"/>
        <v/>
      </c>
      <c r="N335">
        <f>IF($G335="",0,IF($H335="مرجوعی فروش",-1,1)*IF(Sync!$AC331="",0,Sync!$AC331))</f>
        <v>0</v>
      </c>
      <c r="O335" t="str">
        <f>IF(OR($G335="",Sync!$V331=""),"",Sync!$V331)</f>
        <v/>
      </c>
      <c r="P335" t="str">
        <f>IF(OR($G335="",Sync!$AD331=""),"",Sync!$AD331)</f>
        <v/>
      </c>
      <c r="Q335" t="str">
        <f>IF($G335="","",IF(Sync!$U331="","0000",IF(AND(ISNUMBER(Sync!$U331),Sync!$U331&gt;=0,Sync!$U331&lt;1),RIGHT("00"&amp;HOUR(Sync!$U331),2)&amp;RIGHT("00"&amp;MINUTE(Sync!$U331),2),IFERROR(RIGHT("00"&amp;VALUE(LEFT(Sync!$U331,FIND(":",Sync!$U331)-1)),2)&amp;RIGHT("00"&amp;VALUE(MID(Sync!$U331,FIND(":",Sync!$U331)+1,2)),2),"0000"))))</f>
        <v/>
      </c>
    </row>
    <row r="336" spans="1:17" x14ac:dyDescent="0.2">
      <c r="A336" t="str">
        <f>IF(Sync!$T332="","",Sync!$T332)</f>
        <v/>
      </c>
      <c r="B336" t="str">
        <f t="shared" si="30"/>
        <v/>
      </c>
      <c r="C336" t="str">
        <f t="shared" si="31"/>
        <v/>
      </c>
      <c r="D336" t="str">
        <f t="shared" si="32"/>
        <v/>
      </c>
      <c r="E336" t="str">
        <f t="shared" si="33"/>
        <v/>
      </c>
      <c r="F336" t="str">
        <f t="shared" si="34"/>
        <v/>
      </c>
      <c r="G336" t="str">
        <f>IF(OR($E336="",$E336="نامعتبر",Sync!$X332=""),"",IF(AND(LEFT(UPPER(TRIM(Sync!$X332)),2)="SL",IFERROR(VLOOKUP(Sync!$W332,OpTbl,3,0),"")="فروش"),UPPER(TRIM(Sync!$X332)),""))</f>
        <v/>
      </c>
      <c r="H336" t="str">
        <f>IF($G336="","",IF(Sync!$W332="","",Sync!$W332))</f>
        <v/>
      </c>
      <c r="I336" t="str">
        <f>IF(OR($G336="",Sync!$Y332=""),"",Sync!$Y332)</f>
        <v/>
      </c>
      <c r="J336" t="str">
        <f>IF(OR($G336="",Sync!$Z332=""),"",Sync!$Z332)</f>
        <v/>
      </c>
      <c r="K336">
        <f>IF($G336="",0,IF(Sync!$AA332="",0,Sync!$AA332))</f>
        <v>0</v>
      </c>
      <c r="L336">
        <f>IF($G336="",0,IF(Sync!$AB332="",0,Sync!$AB332))</f>
        <v>0</v>
      </c>
      <c r="M336" t="str">
        <f t="shared" si="35"/>
        <v/>
      </c>
      <c r="N336">
        <f>IF($G336="",0,IF($H336="مرجوعی فروش",-1,1)*IF(Sync!$AC332="",0,Sync!$AC332))</f>
        <v>0</v>
      </c>
      <c r="O336" t="str">
        <f>IF(OR($G336="",Sync!$V332=""),"",Sync!$V332)</f>
        <v/>
      </c>
      <c r="P336" t="str">
        <f>IF(OR($G336="",Sync!$AD332=""),"",Sync!$AD332)</f>
        <v/>
      </c>
      <c r="Q336" t="str">
        <f>IF($G336="","",IF(Sync!$U332="","0000",IF(AND(ISNUMBER(Sync!$U332),Sync!$U332&gt;=0,Sync!$U332&lt;1),RIGHT("00"&amp;HOUR(Sync!$U332),2)&amp;RIGHT("00"&amp;MINUTE(Sync!$U332),2),IFERROR(RIGHT("00"&amp;VALUE(LEFT(Sync!$U332,FIND(":",Sync!$U332)-1)),2)&amp;RIGHT("00"&amp;VALUE(MID(Sync!$U332,FIND(":",Sync!$U332)+1,2)),2),"0000"))))</f>
        <v/>
      </c>
    </row>
    <row r="337" spans="1:17" x14ac:dyDescent="0.2">
      <c r="A337" t="str">
        <f>IF(Sync!$T333="","",Sync!$T333)</f>
        <v/>
      </c>
      <c r="B337" t="str">
        <f t="shared" si="30"/>
        <v/>
      </c>
      <c r="C337" t="str">
        <f t="shared" si="31"/>
        <v/>
      </c>
      <c r="D337" t="str">
        <f t="shared" si="32"/>
        <v/>
      </c>
      <c r="E337" t="str">
        <f t="shared" si="33"/>
        <v/>
      </c>
      <c r="F337" t="str">
        <f t="shared" si="34"/>
        <v/>
      </c>
      <c r="G337" t="str">
        <f>IF(OR($E337="",$E337="نامعتبر",Sync!$X333=""),"",IF(AND(LEFT(UPPER(TRIM(Sync!$X333)),2)="SL",IFERROR(VLOOKUP(Sync!$W333,OpTbl,3,0),"")="فروش"),UPPER(TRIM(Sync!$X333)),""))</f>
        <v/>
      </c>
      <c r="H337" t="str">
        <f>IF($G337="","",IF(Sync!$W333="","",Sync!$W333))</f>
        <v/>
      </c>
      <c r="I337" t="str">
        <f>IF(OR($G337="",Sync!$Y333=""),"",Sync!$Y333)</f>
        <v/>
      </c>
      <c r="J337" t="str">
        <f>IF(OR($G337="",Sync!$Z333=""),"",Sync!$Z333)</f>
        <v/>
      </c>
      <c r="K337">
        <f>IF($G337="",0,IF(Sync!$AA333="",0,Sync!$AA333))</f>
        <v>0</v>
      </c>
      <c r="L337">
        <f>IF($G337="",0,IF(Sync!$AB333="",0,Sync!$AB333))</f>
        <v>0</v>
      </c>
      <c r="M337" t="str">
        <f t="shared" si="35"/>
        <v/>
      </c>
      <c r="N337">
        <f>IF($G337="",0,IF($H337="مرجوعی فروش",-1,1)*IF(Sync!$AC333="",0,Sync!$AC333))</f>
        <v>0</v>
      </c>
      <c r="O337" t="str">
        <f>IF(OR($G337="",Sync!$V333=""),"",Sync!$V333)</f>
        <v/>
      </c>
      <c r="P337" t="str">
        <f>IF(OR($G337="",Sync!$AD333=""),"",Sync!$AD333)</f>
        <v/>
      </c>
      <c r="Q337" t="str">
        <f>IF($G337="","",IF(Sync!$U333="","0000",IF(AND(ISNUMBER(Sync!$U333),Sync!$U333&gt;=0,Sync!$U333&lt;1),RIGHT("00"&amp;HOUR(Sync!$U333),2)&amp;RIGHT("00"&amp;MINUTE(Sync!$U333),2),IFERROR(RIGHT("00"&amp;VALUE(LEFT(Sync!$U333,FIND(":",Sync!$U333)-1)),2)&amp;RIGHT("00"&amp;VALUE(MID(Sync!$U333,FIND(":",Sync!$U333)+1,2)),2),"0000"))))</f>
        <v/>
      </c>
    </row>
    <row r="338" spans="1:17" x14ac:dyDescent="0.2">
      <c r="A338" t="str">
        <f>IF(Sync!$T334="","",Sync!$T334)</f>
        <v/>
      </c>
      <c r="B338" t="str">
        <f t="shared" si="30"/>
        <v/>
      </c>
      <c r="C338" t="str">
        <f t="shared" si="31"/>
        <v/>
      </c>
      <c r="D338" t="str">
        <f t="shared" si="32"/>
        <v/>
      </c>
      <c r="E338" t="str">
        <f t="shared" si="33"/>
        <v/>
      </c>
      <c r="F338" t="str">
        <f t="shared" si="34"/>
        <v/>
      </c>
      <c r="G338" t="str">
        <f>IF(OR($E338="",$E338="نامعتبر",Sync!$X334=""),"",IF(AND(LEFT(UPPER(TRIM(Sync!$X334)),2)="SL",IFERROR(VLOOKUP(Sync!$W334,OpTbl,3,0),"")="فروش"),UPPER(TRIM(Sync!$X334)),""))</f>
        <v/>
      </c>
      <c r="H338" t="str">
        <f>IF($G338="","",IF(Sync!$W334="","",Sync!$W334))</f>
        <v/>
      </c>
      <c r="I338" t="str">
        <f>IF(OR($G338="",Sync!$Y334=""),"",Sync!$Y334)</f>
        <v/>
      </c>
      <c r="J338" t="str">
        <f>IF(OR($G338="",Sync!$Z334=""),"",Sync!$Z334)</f>
        <v/>
      </c>
      <c r="K338">
        <f>IF($G338="",0,IF(Sync!$AA334="",0,Sync!$AA334))</f>
        <v>0</v>
      </c>
      <c r="L338">
        <f>IF($G338="",0,IF(Sync!$AB334="",0,Sync!$AB334))</f>
        <v>0</v>
      </c>
      <c r="M338" t="str">
        <f t="shared" si="35"/>
        <v/>
      </c>
      <c r="N338">
        <f>IF($G338="",0,IF($H338="مرجوعی فروش",-1,1)*IF(Sync!$AC334="",0,Sync!$AC334))</f>
        <v>0</v>
      </c>
      <c r="O338" t="str">
        <f>IF(OR($G338="",Sync!$V334=""),"",Sync!$V334)</f>
        <v/>
      </c>
      <c r="P338" t="str">
        <f>IF(OR($G338="",Sync!$AD334=""),"",Sync!$AD334)</f>
        <v/>
      </c>
      <c r="Q338" t="str">
        <f>IF($G338="","",IF(Sync!$U334="","0000",IF(AND(ISNUMBER(Sync!$U334),Sync!$U334&gt;=0,Sync!$U334&lt;1),RIGHT("00"&amp;HOUR(Sync!$U334),2)&amp;RIGHT("00"&amp;MINUTE(Sync!$U334),2),IFERROR(RIGHT("00"&amp;VALUE(LEFT(Sync!$U334,FIND(":",Sync!$U334)-1)),2)&amp;RIGHT("00"&amp;VALUE(MID(Sync!$U334,FIND(":",Sync!$U334)+1,2)),2),"0000"))))</f>
        <v/>
      </c>
    </row>
    <row r="339" spans="1:17" x14ac:dyDescent="0.2">
      <c r="A339" t="str">
        <f>IF(Sync!$T335="","",Sync!$T335)</f>
        <v/>
      </c>
      <c r="B339" t="str">
        <f t="shared" si="30"/>
        <v/>
      </c>
      <c r="C339" t="str">
        <f t="shared" si="31"/>
        <v/>
      </c>
      <c r="D339" t="str">
        <f t="shared" si="32"/>
        <v/>
      </c>
      <c r="E339" t="str">
        <f t="shared" si="33"/>
        <v/>
      </c>
      <c r="F339" t="str">
        <f t="shared" si="34"/>
        <v/>
      </c>
      <c r="G339" t="str">
        <f>IF(OR($E339="",$E339="نامعتبر",Sync!$X335=""),"",IF(AND(LEFT(UPPER(TRIM(Sync!$X335)),2)="SL",IFERROR(VLOOKUP(Sync!$W335,OpTbl,3,0),"")="فروش"),UPPER(TRIM(Sync!$X335)),""))</f>
        <v/>
      </c>
      <c r="H339" t="str">
        <f>IF($G339="","",IF(Sync!$W335="","",Sync!$W335))</f>
        <v/>
      </c>
      <c r="I339" t="str">
        <f>IF(OR($G339="",Sync!$Y335=""),"",Sync!$Y335)</f>
        <v/>
      </c>
      <c r="J339" t="str">
        <f>IF(OR($G339="",Sync!$Z335=""),"",Sync!$Z335)</f>
        <v/>
      </c>
      <c r="K339">
        <f>IF($G339="",0,IF(Sync!$AA335="",0,Sync!$AA335))</f>
        <v>0</v>
      </c>
      <c r="L339">
        <f>IF($G339="",0,IF(Sync!$AB335="",0,Sync!$AB335))</f>
        <v>0</v>
      </c>
      <c r="M339" t="str">
        <f t="shared" si="35"/>
        <v/>
      </c>
      <c r="N339">
        <f>IF($G339="",0,IF($H339="مرجوعی فروش",-1,1)*IF(Sync!$AC335="",0,Sync!$AC335))</f>
        <v>0</v>
      </c>
      <c r="O339" t="str">
        <f>IF(OR($G339="",Sync!$V335=""),"",Sync!$V335)</f>
        <v/>
      </c>
      <c r="P339" t="str">
        <f>IF(OR($G339="",Sync!$AD335=""),"",Sync!$AD335)</f>
        <v/>
      </c>
      <c r="Q339" t="str">
        <f>IF($G339="","",IF(Sync!$U335="","0000",IF(AND(ISNUMBER(Sync!$U335),Sync!$U335&gt;=0,Sync!$U335&lt;1),RIGHT("00"&amp;HOUR(Sync!$U335),2)&amp;RIGHT("00"&amp;MINUTE(Sync!$U335),2),IFERROR(RIGHT("00"&amp;VALUE(LEFT(Sync!$U335,FIND(":",Sync!$U335)-1)),2)&amp;RIGHT("00"&amp;VALUE(MID(Sync!$U335,FIND(":",Sync!$U335)+1,2)),2),"0000"))))</f>
        <v/>
      </c>
    </row>
    <row r="340" spans="1:17" x14ac:dyDescent="0.2">
      <c r="A340" t="str">
        <f>IF(Sync!$T336="","",Sync!$T336)</f>
        <v/>
      </c>
      <c r="B340" t="str">
        <f t="shared" si="30"/>
        <v/>
      </c>
      <c r="C340" t="str">
        <f t="shared" si="31"/>
        <v/>
      </c>
      <c r="D340" t="str">
        <f t="shared" si="32"/>
        <v/>
      </c>
      <c r="E340" t="str">
        <f t="shared" si="33"/>
        <v/>
      </c>
      <c r="F340" t="str">
        <f t="shared" si="34"/>
        <v/>
      </c>
      <c r="G340" t="str">
        <f>IF(OR($E340="",$E340="نامعتبر",Sync!$X336=""),"",IF(AND(LEFT(UPPER(TRIM(Sync!$X336)),2)="SL",IFERROR(VLOOKUP(Sync!$W336,OpTbl,3,0),"")="فروش"),UPPER(TRIM(Sync!$X336)),""))</f>
        <v/>
      </c>
      <c r="H340" t="str">
        <f>IF($G340="","",IF(Sync!$W336="","",Sync!$W336))</f>
        <v/>
      </c>
      <c r="I340" t="str">
        <f>IF(OR($G340="",Sync!$Y336=""),"",Sync!$Y336)</f>
        <v/>
      </c>
      <c r="J340" t="str">
        <f>IF(OR($G340="",Sync!$Z336=""),"",Sync!$Z336)</f>
        <v/>
      </c>
      <c r="K340">
        <f>IF($G340="",0,IF(Sync!$AA336="",0,Sync!$AA336))</f>
        <v>0</v>
      </c>
      <c r="L340">
        <f>IF($G340="",0,IF(Sync!$AB336="",0,Sync!$AB336))</f>
        <v>0</v>
      </c>
      <c r="M340" t="str">
        <f t="shared" si="35"/>
        <v/>
      </c>
      <c r="N340">
        <f>IF($G340="",0,IF($H340="مرجوعی فروش",-1,1)*IF(Sync!$AC336="",0,Sync!$AC336))</f>
        <v>0</v>
      </c>
      <c r="O340" t="str">
        <f>IF(OR($G340="",Sync!$V336=""),"",Sync!$V336)</f>
        <v/>
      </c>
      <c r="P340" t="str">
        <f>IF(OR($G340="",Sync!$AD336=""),"",Sync!$AD336)</f>
        <v/>
      </c>
      <c r="Q340" t="str">
        <f>IF($G340="","",IF(Sync!$U336="","0000",IF(AND(ISNUMBER(Sync!$U336),Sync!$U336&gt;=0,Sync!$U336&lt;1),RIGHT("00"&amp;HOUR(Sync!$U336),2)&amp;RIGHT("00"&amp;MINUTE(Sync!$U336),2),IFERROR(RIGHT("00"&amp;VALUE(LEFT(Sync!$U336,FIND(":",Sync!$U336)-1)),2)&amp;RIGHT("00"&amp;VALUE(MID(Sync!$U336,FIND(":",Sync!$U336)+1,2)),2),"0000"))))</f>
        <v/>
      </c>
    </row>
    <row r="341" spans="1:17" x14ac:dyDescent="0.2">
      <c r="A341" t="str">
        <f>IF(Sync!$T337="","",Sync!$T337)</f>
        <v/>
      </c>
      <c r="B341" t="str">
        <f t="shared" si="30"/>
        <v/>
      </c>
      <c r="C341" t="str">
        <f t="shared" si="31"/>
        <v/>
      </c>
      <c r="D341" t="str">
        <f t="shared" si="32"/>
        <v/>
      </c>
      <c r="E341" t="str">
        <f t="shared" si="33"/>
        <v/>
      </c>
      <c r="F341" t="str">
        <f t="shared" si="34"/>
        <v/>
      </c>
      <c r="G341" t="str">
        <f>IF(OR($E341="",$E341="نامعتبر",Sync!$X337=""),"",IF(AND(LEFT(UPPER(TRIM(Sync!$X337)),2)="SL",IFERROR(VLOOKUP(Sync!$W337,OpTbl,3,0),"")="فروش"),UPPER(TRIM(Sync!$X337)),""))</f>
        <v/>
      </c>
      <c r="H341" t="str">
        <f>IF($G341="","",IF(Sync!$W337="","",Sync!$W337))</f>
        <v/>
      </c>
      <c r="I341" t="str">
        <f>IF(OR($G341="",Sync!$Y337=""),"",Sync!$Y337)</f>
        <v/>
      </c>
      <c r="J341" t="str">
        <f>IF(OR($G341="",Sync!$Z337=""),"",Sync!$Z337)</f>
        <v/>
      </c>
      <c r="K341">
        <f>IF($G341="",0,IF(Sync!$AA337="",0,Sync!$AA337))</f>
        <v>0</v>
      </c>
      <c r="L341">
        <f>IF($G341="",0,IF(Sync!$AB337="",0,Sync!$AB337))</f>
        <v>0</v>
      </c>
      <c r="M341" t="str">
        <f t="shared" si="35"/>
        <v/>
      </c>
      <c r="N341">
        <f>IF($G341="",0,IF($H341="مرجوعی فروش",-1,1)*IF(Sync!$AC337="",0,Sync!$AC337))</f>
        <v>0</v>
      </c>
      <c r="O341" t="str">
        <f>IF(OR($G341="",Sync!$V337=""),"",Sync!$V337)</f>
        <v/>
      </c>
      <c r="P341" t="str">
        <f>IF(OR($G341="",Sync!$AD337=""),"",Sync!$AD337)</f>
        <v/>
      </c>
      <c r="Q341" t="str">
        <f>IF($G341="","",IF(Sync!$U337="","0000",IF(AND(ISNUMBER(Sync!$U337),Sync!$U337&gt;=0,Sync!$U337&lt;1),RIGHT("00"&amp;HOUR(Sync!$U337),2)&amp;RIGHT("00"&amp;MINUTE(Sync!$U337),2),IFERROR(RIGHT("00"&amp;VALUE(LEFT(Sync!$U337,FIND(":",Sync!$U337)-1)),2)&amp;RIGHT("00"&amp;VALUE(MID(Sync!$U337,FIND(":",Sync!$U337)+1,2)),2),"0000"))))</f>
        <v/>
      </c>
    </row>
    <row r="342" spans="1:17" x14ac:dyDescent="0.2">
      <c r="A342" t="str">
        <f>IF(Sync!$T338="","",Sync!$T338)</f>
        <v/>
      </c>
      <c r="B342" t="str">
        <f t="shared" si="30"/>
        <v/>
      </c>
      <c r="C342" t="str">
        <f t="shared" si="31"/>
        <v/>
      </c>
      <c r="D342" t="str">
        <f t="shared" si="32"/>
        <v/>
      </c>
      <c r="E342" t="str">
        <f t="shared" si="33"/>
        <v/>
      </c>
      <c r="F342" t="str">
        <f t="shared" si="34"/>
        <v/>
      </c>
      <c r="G342" t="str">
        <f>IF(OR($E342="",$E342="نامعتبر",Sync!$X338=""),"",IF(AND(LEFT(UPPER(TRIM(Sync!$X338)),2)="SL",IFERROR(VLOOKUP(Sync!$W338,OpTbl,3,0),"")="فروش"),UPPER(TRIM(Sync!$X338)),""))</f>
        <v/>
      </c>
      <c r="H342" t="str">
        <f>IF($G342="","",IF(Sync!$W338="","",Sync!$W338))</f>
        <v/>
      </c>
      <c r="I342" t="str">
        <f>IF(OR($G342="",Sync!$Y338=""),"",Sync!$Y338)</f>
        <v/>
      </c>
      <c r="J342" t="str">
        <f>IF(OR($G342="",Sync!$Z338=""),"",Sync!$Z338)</f>
        <v/>
      </c>
      <c r="K342">
        <f>IF($G342="",0,IF(Sync!$AA338="",0,Sync!$AA338))</f>
        <v>0</v>
      </c>
      <c r="L342">
        <f>IF($G342="",0,IF(Sync!$AB338="",0,Sync!$AB338))</f>
        <v>0</v>
      </c>
      <c r="M342" t="str">
        <f t="shared" si="35"/>
        <v/>
      </c>
      <c r="N342">
        <f>IF($G342="",0,IF($H342="مرجوعی فروش",-1,1)*IF(Sync!$AC338="",0,Sync!$AC338))</f>
        <v>0</v>
      </c>
      <c r="O342" t="str">
        <f>IF(OR($G342="",Sync!$V338=""),"",Sync!$V338)</f>
        <v/>
      </c>
      <c r="P342" t="str">
        <f>IF(OR($G342="",Sync!$AD338=""),"",Sync!$AD338)</f>
        <v/>
      </c>
      <c r="Q342" t="str">
        <f>IF($G342="","",IF(Sync!$U338="","0000",IF(AND(ISNUMBER(Sync!$U338),Sync!$U338&gt;=0,Sync!$U338&lt;1),RIGHT("00"&amp;HOUR(Sync!$U338),2)&amp;RIGHT("00"&amp;MINUTE(Sync!$U338),2),IFERROR(RIGHT("00"&amp;VALUE(LEFT(Sync!$U338,FIND(":",Sync!$U338)-1)),2)&amp;RIGHT("00"&amp;VALUE(MID(Sync!$U338,FIND(":",Sync!$U338)+1,2)),2),"0000"))))</f>
        <v/>
      </c>
    </row>
    <row r="343" spans="1:17" x14ac:dyDescent="0.2">
      <c r="A343" t="str">
        <f>IF(Sync!$T339="","",Sync!$T339)</f>
        <v/>
      </c>
      <c r="B343" t="str">
        <f t="shared" si="30"/>
        <v/>
      </c>
      <c r="C343" t="str">
        <f t="shared" si="31"/>
        <v/>
      </c>
      <c r="D343" t="str">
        <f t="shared" si="32"/>
        <v/>
      </c>
      <c r="E343" t="str">
        <f t="shared" si="33"/>
        <v/>
      </c>
      <c r="F343" t="str">
        <f t="shared" si="34"/>
        <v/>
      </c>
      <c r="G343" t="str">
        <f>IF(OR($E343="",$E343="نامعتبر",Sync!$X339=""),"",IF(AND(LEFT(UPPER(TRIM(Sync!$X339)),2)="SL",IFERROR(VLOOKUP(Sync!$W339,OpTbl,3,0),"")="فروش"),UPPER(TRIM(Sync!$X339)),""))</f>
        <v/>
      </c>
      <c r="H343" t="str">
        <f>IF($G343="","",IF(Sync!$W339="","",Sync!$W339))</f>
        <v/>
      </c>
      <c r="I343" t="str">
        <f>IF(OR($G343="",Sync!$Y339=""),"",Sync!$Y339)</f>
        <v/>
      </c>
      <c r="J343" t="str">
        <f>IF(OR($G343="",Sync!$Z339=""),"",Sync!$Z339)</f>
        <v/>
      </c>
      <c r="K343">
        <f>IF($G343="",0,IF(Sync!$AA339="",0,Sync!$AA339))</f>
        <v>0</v>
      </c>
      <c r="L343">
        <f>IF($G343="",0,IF(Sync!$AB339="",0,Sync!$AB339))</f>
        <v>0</v>
      </c>
      <c r="M343" t="str">
        <f t="shared" si="35"/>
        <v/>
      </c>
      <c r="N343">
        <f>IF($G343="",0,IF($H343="مرجوعی فروش",-1,1)*IF(Sync!$AC339="",0,Sync!$AC339))</f>
        <v>0</v>
      </c>
      <c r="O343" t="str">
        <f>IF(OR($G343="",Sync!$V339=""),"",Sync!$V339)</f>
        <v/>
      </c>
      <c r="P343" t="str">
        <f>IF(OR($G343="",Sync!$AD339=""),"",Sync!$AD339)</f>
        <v/>
      </c>
      <c r="Q343" t="str">
        <f>IF($G343="","",IF(Sync!$U339="","0000",IF(AND(ISNUMBER(Sync!$U339),Sync!$U339&gt;=0,Sync!$U339&lt;1),RIGHT("00"&amp;HOUR(Sync!$U339),2)&amp;RIGHT("00"&amp;MINUTE(Sync!$U339),2),IFERROR(RIGHT("00"&amp;VALUE(LEFT(Sync!$U339,FIND(":",Sync!$U339)-1)),2)&amp;RIGHT("00"&amp;VALUE(MID(Sync!$U339,FIND(":",Sync!$U339)+1,2)),2),"0000"))))</f>
        <v/>
      </c>
    </row>
    <row r="344" spans="1:17" x14ac:dyDescent="0.2">
      <c r="A344" t="str">
        <f>IF(Sync!$T340="","",Sync!$T340)</f>
        <v/>
      </c>
      <c r="B344" t="str">
        <f t="shared" si="30"/>
        <v/>
      </c>
      <c r="C344" t="str">
        <f t="shared" si="31"/>
        <v/>
      </c>
      <c r="D344" t="str">
        <f t="shared" si="32"/>
        <v/>
      </c>
      <c r="E344" t="str">
        <f t="shared" si="33"/>
        <v/>
      </c>
      <c r="F344" t="str">
        <f t="shared" si="34"/>
        <v/>
      </c>
      <c r="G344" t="str">
        <f>IF(OR($E344="",$E344="نامعتبر",Sync!$X340=""),"",IF(AND(LEFT(UPPER(TRIM(Sync!$X340)),2)="SL",IFERROR(VLOOKUP(Sync!$W340,OpTbl,3,0),"")="فروش"),UPPER(TRIM(Sync!$X340)),""))</f>
        <v/>
      </c>
      <c r="H344" t="str">
        <f>IF($G344="","",IF(Sync!$W340="","",Sync!$W340))</f>
        <v/>
      </c>
      <c r="I344" t="str">
        <f>IF(OR($G344="",Sync!$Y340=""),"",Sync!$Y340)</f>
        <v/>
      </c>
      <c r="J344" t="str">
        <f>IF(OR($G344="",Sync!$Z340=""),"",Sync!$Z340)</f>
        <v/>
      </c>
      <c r="K344">
        <f>IF($G344="",0,IF(Sync!$AA340="",0,Sync!$AA340))</f>
        <v>0</v>
      </c>
      <c r="L344">
        <f>IF($G344="",0,IF(Sync!$AB340="",0,Sync!$AB340))</f>
        <v>0</v>
      </c>
      <c r="M344" t="str">
        <f t="shared" si="35"/>
        <v/>
      </c>
      <c r="N344">
        <f>IF($G344="",0,IF($H344="مرجوعی فروش",-1,1)*IF(Sync!$AC340="",0,Sync!$AC340))</f>
        <v>0</v>
      </c>
      <c r="O344" t="str">
        <f>IF(OR($G344="",Sync!$V340=""),"",Sync!$V340)</f>
        <v/>
      </c>
      <c r="P344" t="str">
        <f>IF(OR($G344="",Sync!$AD340=""),"",Sync!$AD340)</f>
        <v/>
      </c>
      <c r="Q344" t="str">
        <f>IF($G344="","",IF(Sync!$U340="","0000",IF(AND(ISNUMBER(Sync!$U340),Sync!$U340&gt;=0,Sync!$U340&lt;1),RIGHT("00"&amp;HOUR(Sync!$U340),2)&amp;RIGHT("00"&amp;MINUTE(Sync!$U340),2),IFERROR(RIGHT("00"&amp;VALUE(LEFT(Sync!$U340,FIND(":",Sync!$U340)-1)),2)&amp;RIGHT("00"&amp;VALUE(MID(Sync!$U340,FIND(":",Sync!$U340)+1,2)),2),"0000"))))</f>
        <v/>
      </c>
    </row>
    <row r="345" spans="1:17" x14ac:dyDescent="0.2">
      <c r="A345" t="str">
        <f>IF(Sync!$T341="","",Sync!$T341)</f>
        <v/>
      </c>
      <c r="B345" t="str">
        <f t="shared" si="30"/>
        <v/>
      </c>
      <c r="C345" t="str">
        <f t="shared" si="31"/>
        <v/>
      </c>
      <c r="D345" t="str">
        <f t="shared" si="32"/>
        <v/>
      </c>
      <c r="E345" t="str">
        <f t="shared" si="33"/>
        <v/>
      </c>
      <c r="F345" t="str">
        <f t="shared" si="34"/>
        <v/>
      </c>
      <c r="G345" t="str">
        <f>IF(OR($E345="",$E345="نامعتبر",Sync!$X341=""),"",IF(AND(LEFT(UPPER(TRIM(Sync!$X341)),2)="SL",IFERROR(VLOOKUP(Sync!$W341,OpTbl,3,0),"")="فروش"),UPPER(TRIM(Sync!$X341)),""))</f>
        <v/>
      </c>
      <c r="H345" t="str">
        <f>IF($G345="","",IF(Sync!$W341="","",Sync!$W341))</f>
        <v/>
      </c>
      <c r="I345" t="str">
        <f>IF(OR($G345="",Sync!$Y341=""),"",Sync!$Y341)</f>
        <v/>
      </c>
      <c r="J345" t="str">
        <f>IF(OR($G345="",Sync!$Z341=""),"",Sync!$Z341)</f>
        <v/>
      </c>
      <c r="K345">
        <f>IF($G345="",0,IF(Sync!$AA341="",0,Sync!$AA341))</f>
        <v>0</v>
      </c>
      <c r="L345">
        <f>IF($G345="",0,IF(Sync!$AB341="",0,Sync!$AB341))</f>
        <v>0</v>
      </c>
      <c r="M345" t="str">
        <f t="shared" si="35"/>
        <v/>
      </c>
      <c r="N345">
        <f>IF($G345="",0,IF($H345="مرجوعی فروش",-1,1)*IF(Sync!$AC341="",0,Sync!$AC341))</f>
        <v>0</v>
      </c>
      <c r="O345" t="str">
        <f>IF(OR($G345="",Sync!$V341=""),"",Sync!$V341)</f>
        <v/>
      </c>
      <c r="P345" t="str">
        <f>IF(OR($G345="",Sync!$AD341=""),"",Sync!$AD341)</f>
        <v/>
      </c>
      <c r="Q345" t="str">
        <f>IF($G345="","",IF(Sync!$U341="","0000",IF(AND(ISNUMBER(Sync!$U341),Sync!$U341&gt;=0,Sync!$U341&lt;1),RIGHT("00"&amp;HOUR(Sync!$U341),2)&amp;RIGHT("00"&amp;MINUTE(Sync!$U341),2),IFERROR(RIGHT("00"&amp;VALUE(LEFT(Sync!$U341,FIND(":",Sync!$U341)-1)),2)&amp;RIGHT("00"&amp;VALUE(MID(Sync!$U341,FIND(":",Sync!$U341)+1,2)),2),"0000"))))</f>
        <v/>
      </c>
    </row>
    <row r="346" spans="1:17" x14ac:dyDescent="0.2">
      <c r="A346" t="str">
        <f>IF(Sync!$T342="","",Sync!$T342)</f>
        <v/>
      </c>
      <c r="B346" t="str">
        <f t="shared" si="30"/>
        <v/>
      </c>
      <c r="C346" t="str">
        <f t="shared" si="31"/>
        <v/>
      </c>
      <c r="D346" t="str">
        <f t="shared" si="32"/>
        <v/>
      </c>
      <c r="E346" t="str">
        <f t="shared" si="33"/>
        <v/>
      </c>
      <c r="F346" t="str">
        <f t="shared" si="34"/>
        <v/>
      </c>
      <c r="G346" t="str">
        <f>IF(OR($E346="",$E346="نامعتبر",Sync!$X342=""),"",IF(AND(LEFT(UPPER(TRIM(Sync!$X342)),2)="SL",IFERROR(VLOOKUP(Sync!$W342,OpTbl,3,0),"")="فروش"),UPPER(TRIM(Sync!$X342)),""))</f>
        <v/>
      </c>
      <c r="H346" t="str">
        <f>IF($G346="","",IF(Sync!$W342="","",Sync!$W342))</f>
        <v/>
      </c>
      <c r="I346" t="str">
        <f>IF(OR($G346="",Sync!$Y342=""),"",Sync!$Y342)</f>
        <v/>
      </c>
      <c r="J346" t="str">
        <f>IF(OR($G346="",Sync!$Z342=""),"",Sync!$Z342)</f>
        <v/>
      </c>
      <c r="K346">
        <f>IF($G346="",0,IF(Sync!$AA342="",0,Sync!$AA342))</f>
        <v>0</v>
      </c>
      <c r="L346">
        <f>IF($G346="",0,IF(Sync!$AB342="",0,Sync!$AB342))</f>
        <v>0</v>
      </c>
      <c r="M346" t="str">
        <f t="shared" si="35"/>
        <v/>
      </c>
      <c r="N346">
        <f>IF($G346="",0,IF($H346="مرجوعی فروش",-1,1)*IF(Sync!$AC342="",0,Sync!$AC342))</f>
        <v>0</v>
      </c>
      <c r="O346" t="str">
        <f>IF(OR($G346="",Sync!$V342=""),"",Sync!$V342)</f>
        <v/>
      </c>
      <c r="P346" t="str">
        <f>IF(OR($G346="",Sync!$AD342=""),"",Sync!$AD342)</f>
        <v/>
      </c>
      <c r="Q346" t="str">
        <f>IF($G346="","",IF(Sync!$U342="","0000",IF(AND(ISNUMBER(Sync!$U342),Sync!$U342&gt;=0,Sync!$U342&lt;1),RIGHT("00"&amp;HOUR(Sync!$U342),2)&amp;RIGHT("00"&amp;MINUTE(Sync!$U342),2),IFERROR(RIGHT("00"&amp;VALUE(LEFT(Sync!$U342,FIND(":",Sync!$U342)-1)),2)&amp;RIGHT("00"&amp;VALUE(MID(Sync!$U342,FIND(":",Sync!$U342)+1,2)),2),"0000"))))</f>
        <v/>
      </c>
    </row>
    <row r="347" spans="1:17" x14ac:dyDescent="0.2">
      <c r="A347" t="str">
        <f>IF(Sync!$T343="","",Sync!$T343)</f>
        <v/>
      </c>
      <c r="B347" t="str">
        <f t="shared" si="30"/>
        <v/>
      </c>
      <c r="C347" t="str">
        <f t="shared" si="31"/>
        <v/>
      </c>
      <c r="D347" t="str">
        <f t="shared" si="32"/>
        <v/>
      </c>
      <c r="E347" t="str">
        <f t="shared" si="33"/>
        <v/>
      </c>
      <c r="F347" t="str">
        <f t="shared" si="34"/>
        <v/>
      </c>
      <c r="G347" t="str">
        <f>IF(OR($E347="",$E347="نامعتبر",Sync!$X343=""),"",IF(AND(LEFT(UPPER(TRIM(Sync!$X343)),2)="SL",IFERROR(VLOOKUP(Sync!$W343,OpTbl,3,0),"")="فروش"),UPPER(TRIM(Sync!$X343)),""))</f>
        <v/>
      </c>
      <c r="H347" t="str">
        <f>IF($G347="","",IF(Sync!$W343="","",Sync!$W343))</f>
        <v/>
      </c>
      <c r="I347" t="str">
        <f>IF(OR($G347="",Sync!$Y343=""),"",Sync!$Y343)</f>
        <v/>
      </c>
      <c r="J347" t="str">
        <f>IF(OR($G347="",Sync!$Z343=""),"",Sync!$Z343)</f>
        <v/>
      </c>
      <c r="K347">
        <f>IF($G347="",0,IF(Sync!$AA343="",0,Sync!$AA343))</f>
        <v>0</v>
      </c>
      <c r="L347">
        <f>IF($G347="",0,IF(Sync!$AB343="",0,Sync!$AB343))</f>
        <v>0</v>
      </c>
      <c r="M347" t="str">
        <f t="shared" si="35"/>
        <v/>
      </c>
      <c r="N347">
        <f>IF($G347="",0,IF($H347="مرجوعی فروش",-1,1)*IF(Sync!$AC343="",0,Sync!$AC343))</f>
        <v>0</v>
      </c>
      <c r="O347" t="str">
        <f>IF(OR($G347="",Sync!$V343=""),"",Sync!$V343)</f>
        <v/>
      </c>
      <c r="P347" t="str">
        <f>IF(OR($G347="",Sync!$AD343=""),"",Sync!$AD343)</f>
        <v/>
      </c>
      <c r="Q347" t="str">
        <f>IF($G347="","",IF(Sync!$U343="","0000",IF(AND(ISNUMBER(Sync!$U343),Sync!$U343&gt;=0,Sync!$U343&lt;1),RIGHT("00"&amp;HOUR(Sync!$U343),2)&amp;RIGHT("00"&amp;MINUTE(Sync!$U343),2),IFERROR(RIGHT("00"&amp;VALUE(LEFT(Sync!$U343,FIND(":",Sync!$U343)-1)),2)&amp;RIGHT("00"&amp;VALUE(MID(Sync!$U343,FIND(":",Sync!$U343)+1,2)),2),"0000"))))</f>
        <v/>
      </c>
    </row>
    <row r="348" spans="1:17" x14ac:dyDescent="0.2">
      <c r="A348" t="str">
        <f>IF(Sync!$T344="","",Sync!$T344)</f>
        <v/>
      </c>
      <c r="B348" t="str">
        <f t="shared" si="30"/>
        <v/>
      </c>
      <c r="C348" t="str">
        <f t="shared" si="31"/>
        <v/>
      </c>
      <c r="D348" t="str">
        <f t="shared" si="32"/>
        <v/>
      </c>
      <c r="E348" t="str">
        <f t="shared" si="33"/>
        <v/>
      </c>
      <c r="F348" t="str">
        <f t="shared" si="34"/>
        <v/>
      </c>
      <c r="G348" t="str">
        <f>IF(OR($E348="",$E348="نامعتبر",Sync!$X344=""),"",IF(AND(LEFT(UPPER(TRIM(Sync!$X344)),2)="SL",IFERROR(VLOOKUP(Sync!$W344,OpTbl,3,0),"")="فروش"),UPPER(TRIM(Sync!$X344)),""))</f>
        <v/>
      </c>
      <c r="H348" t="str">
        <f>IF($G348="","",IF(Sync!$W344="","",Sync!$W344))</f>
        <v/>
      </c>
      <c r="I348" t="str">
        <f>IF(OR($G348="",Sync!$Y344=""),"",Sync!$Y344)</f>
        <v/>
      </c>
      <c r="J348" t="str">
        <f>IF(OR($G348="",Sync!$Z344=""),"",Sync!$Z344)</f>
        <v/>
      </c>
      <c r="K348">
        <f>IF($G348="",0,IF(Sync!$AA344="",0,Sync!$AA344))</f>
        <v>0</v>
      </c>
      <c r="L348">
        <f>IF($G348="",0,IF(Sync!$AB344="",0,Sync!$AB344))</f>
        <v>0</v>
      </c>
      <c r="M348" t="str">
        <f t="shared" si="35"/>
        <v/>
      </c>
      <c r="N348">
        <f>IF($G348="",0,IF($H348="مرجوعی فروش",-1,1)*IF(Sync!$AC344="",0,Sync!$AC344))</f>
        <v>0</v>
      </c>
      <c r="O348" t="str">
        <f>IF(OR($G348="",Sync!$V344=""),"",Sync!$V344)</f>
        <v/>
      </c>
      <c r="P348" t="str">
        <f>IF(OR($G348="",Sync!$AD344=""),"",Sync!$AD344)</f>
        <v/>
      </c>
      <c r="Q348" t="str">
        <f>IF($G348="","",IF(Sync!$U344="","0000",IF(AND(ISNUMBER(Sync!$U344),Sync!$U344&gt;=0,Sync!$U344&lt;1),RIGHT("00"&amp;HOUR(Sync!$U344),2)&amp;RIGHT("00"&amp;MINUTE(Sync!$U344),2),IFERROR(RIGHT("00"&amp;VALUE(LEFT(Sync!$U344,FIND(":",Sync!$U344)-1)),2)&amp;RIGHT("00"&amp;VALUE(MID(Sync!$U344,FIND(":",Sync!$U344)+1,2)),2),"0000"))))</f>
        <v/>
      </c>
    </row>
    <row r="349" spans="1:17" x14ac:dyDescent="0.2">
      <c r="A349" t="str">
        <f>IF(Sync!$T345="","",Sync!$T345)</f>
        <v/>
      </c>
      <c r="B349" t="str">
        <f t="shared" si="30"/>
        <v/>
      </c>
      <c r="C349" t="str">
        <f t="shared" si="31"/>
        <v/>
      </c>
      <c r="D349" t="str">
        <f t="shared" si="32"/>
        <v/>
      </c>
      <c r="E349" t="str">
        <f t="shared" si="33"/>
        <v/>
      </c>
      <c r="F349" t="str">
        <f t="shared" si="34"/>
        <v/>
      </c>
      <c r="G349" t="str">
        <f>IF(OR($E349="",$E349="نامعتبر",Sync!$X345=""),"",IF(AND(LEFT(UPPER(TRIM(Sync!$X345)),2)="SL",IFERROR(VLOOKUP(Sync!$W345,OpTbl,3,0),"")="فروش"),UPPER(TRIM(Sync!$X345)),""))</f>
        <v/>
      </c>
      <c r="H349" t="str">
        <f>IF($G349="","",IF(Sync!$W345="","",Sync!$W345))</f>
        <v/>
      </c>
      <c r="I349" t="str">
        <f>IF(OR($G349="",Sync!$Y345=""),"",Sync!$Y345)</f>
        <v/>
      </c>
      <c r="J349" t="str">
        <f>IF(OR($G349="",Sync!$Z345=""),"",Sync!$Z345)</f>
        <v/>
      </c>
      <c r="K349">
        <f>IF($G349="",0,IF(Sync!$AA345="",0,Sync!$AA345))</f>
        <v>0</v>
      </c>
      <c r="L349">
        <f>IF($G349="",0,IF(Sync!$AB345="",0,Sync!$AB345))</f>
        <v>0</v>
      </c>
      <c r="M349" t="str">
        <f t="shared" si="35"/>
        <v/>
      </c>
      <c r="N349">
        <f>IF($G349="",0,IF($H349="مرجوعی فروش",-1,1)*IF(Sync!$AC345="",0,Sync!$AC345))</f>
        <v>0</v>
      </c>
      <c r="O349" t="str">
        <f>IF(OR($G349="",Sync!$V345=""),"",Sync!$V345)</f>
        <v/>
      </c>
      <c r="P349" t="str">
        <f>IF(OR($G349="",Sync!$AD345=""),"",Sync!$AD345)</f>
        <v/>
      </c>
      <c r="Q349" t="str">
        <f>IF($G349="","",IF(Sync!$U345="","0000",IF(AND(ISNUMBER(Sync!$U345),Sync!$U345&gt;=0,Sync!$U345&lt;1),RIGHT("00"&amp;HOUR(Sync!$U345),2)&amp;RIGHT("00"&amp;MINUTE(Sync!$U345),2),IFERROR(RIGHT("00"&amp;VALUE(LEFT(Sync!$U345,FIND(":",Sync!$U345)-1)),2)&amp;RIGHT("00"&amp;VALUE(MID(Sync!$U345,FIND(":",Sync!$U345)+1,2)),2),"0000"))))</f>
        <v/>
      </c>
    </row>
    <row r="350" spans="1:17" x14ac:dyDescent="0.2">
      <c r="A350" t="str">
        <f>IF(Sync!$T346="","",Sync!$T346)</f>
        <v/>
      </c>
      <c r="B350" t="str">
        <f t="shared" si="30"/>
        <v/>
      </c>
      <c r="C350" t="str">
        <f t="shared" si="31"/>
        <v/>
      </c>
      <c r="D350" t="str">
        <f t="shared" si="32"/>
        <v/>
      </c>
      <c r="E350" t="str">
        <f t="shared" si="33"/>
        <v/>
      </c>
      <c r="F350" t="str">
        <f t="shared" si="34"/>
        <v/>
      </c>
      <c r="G350" t="str">
        <f>IF(OR($E350="",$E350="نامعتبر",Sync!$X346=""),"",IF(AND(LEFT(UPPER(TRIM(Sync!$X346)),2)="SL",IFERROR(VLOOKUP(Sync!$W346,OpTbl,3,0),"")="فروش"),UPPER(TRIM(Sync!$X346)),""))</f>
        <v/>
      </c>
      <c r="H350" t="str">
        <f>IF($G350="","",IF(Sync!$W346="","",Sync!$W346))</f>
        <v/>
      </c>
      <c r="I350" t="str">
        <f>IF(OR($G350="",Sync!$Y346=""),"",Sync!$Y346)</f>
        <v/>
      </c>
      <c r="J350" t="str">
        <f>IF(OR($G350="",Sync!$Z346=""),"",Sync!$Z346)</f>
        <v/>
      </c>
      <c r="K350">
        <f>IF($G350="",0,IF(Sync!$AA346="",0,Sync!$AA346))</f>
        <v>0</v>
      </c>
      <c r="L350">
        <f>IF($G350="",0,IF(Sync!$AB346="",0,Sync!$AB346))</f>
        <v>0</v>
      </c>
      <c r="M350" t="str">
        <f t="shared" si="35"/>
        <v/>
      </c>
      <c r="N350">
        <f>IF($G350="",0,IF($H350="مرجوعی فروش",-1,1)*IF(Sync!$AC346="",0,Sync!$AC346))</f>
        <v>0</v>
      </c>
      <c r="O350" t="str">
        <f>IF(OR($G350="",Sync!$V346=""),"",Sync!$V346)</f>
        <v/>
      </c>
      <c r="P350" t="str">
        <f>IF(OR($G350="",Sync!$AD346=""),"",Sync!$AD346)</f>
        <v/>
      </c>
      <c r="Q350" t="str">
        <f>IF($G350="","",IF(Sync!$U346="","0000",IF(AND(ISNUMBER(Sync!$U346),Sync!$U346&gt;=0,Sync!$U346&lt;1),RIGHT("00"&amp;HOUR(Sync!$U346),2)&amp;RIGHT("00"&amp;MINUTE(Sync!$U346),2),IFERROR(RIGHT("00"&amp;VALUE(LEFT(Sync!$U346,FIND(":",Sync!$U346)-1)),2)&amp;RIGHT("00"&amp;VALUE(MID(Sync!$U346,FIND(":",Sync!$U346)+1,2)),2),"0000"))))</f>
        <v/>
      </c>
    </row>
    <row r="351" spans="1:17" x14ac:dyDescent="0.2">
      <c r="A351" t="str">
        <f>IF(Sync!$T347="","",Sync!$T347)</f>
        <v/>
      </c>
      <c r="B351" t="str">
        <f t="shared" si="30"/>
        <v/>
      </c>
      <c r="C351" t="str">
        <f t="shared" si="31"/>
        <v/>
      </c>
      <c r="D351" t="str">
        <f t="shared" si="32"/>
        <v/>
      </c>
      <c r="E351" t="str">
        <f t="shared" si="33"/>
        <v/>
      </c>
      <c r="F351" t="str">
        <f t="shared" si="34"/>
        <v/>
      </c>
      <c r="G351" t="str">
        <f>IF(OR($E351="",$E351="نامعتبر",Sync!$X347=""),"",IF(AND(LEFT(UPPER(TRIM(Sync!$X347)),2)="SL",IFERROR(VLOOKUP(Sync!$W347,OpTbl,3,0),"")="فروش"),UPPER(TRIM(Sync!$X347)),""))</f>
        <v/>
      </c>
      <c r="H351" t="str">
        <f>IF($G351="","",IF(Sync!$W347="","",Sync!$W347))</f>
        <v/>
      </c>
      <c r="I351" t="str">
        <f>IF(OR($G351="",Sync!$Y347=""),"",Sync!$Y347)</f>
        <v/>
      </c>
      <c r="J351" t="str">
        <f>IF(OR($G351="",Sync!$Z347=""),"",Sync!$Z347)</f>
        <v/>
      </c>
      <c r="K351">
        <f>IF($G351="",0,IF(Sync!$AA347="",0,Sync!$AA347))</f>
        <v>0</v>
      </c>
      <c r="L351">
        <f>IF($G351="",0,IF(Sync!$AB347="",0,Sync!$AB347))</f>
        <v>0</v>
      </c>
      <c r="M351" t="str">
        <f t="shared" si="35"/>
        <v/>
      </c>
      <c r="N351">
        <f>IF($G351="",0,IF($H351="مرجوعی فروش",-1,1)*IF(Sync!$AC347="",0,Sync!$AC347))</f>
        <v>0</v>
      </c>
      <c r="O351" t="str">
        <f>IF(OR($G351="",Sync!$V347=""),"",Sync!$V347)</f>
        <v/>
      </c>
      <c r="P351" t="str">
        <f>IF(OR($G351="",Sync!$AD347=""),"",Sync!$AD347)</f>
        <v/>
      </c>
      <c r="Q351" t="str">
        <f>IF($G351="","",IF(Sync!$U347="","0000",IF(AND(ISNUMBER(Sync!$U347),Sync!$U347&gt;=0,Sync!$U347&lt;1),RIGHT("00"&amp;HOUR(Sync!$U347),2)&amp;RIGHT("00"&amp;MINUTE(Sync!$U347),2),IFERROR(RIGHT("00"&amp;VALUE(LEFT(Sync!$U347,FIND(":",Sync!$U347)-1)),2)&amp;RIGHT("00"&amp;VALUE(MID(Sync!$U347,FIND(":",Sync!$U347)+1,2)),2),"0000"))))</f>
        <v/>
      </c>
    </row>
    <row r="352" spans="1:17" x14ac:dyDescent="0.2">
      <c r="A352" t="str">
        <f>IF(Sync!$T348="","",Sync!$T348)</f>
        <v/>
      </c>
      <c r="B352" t="str">
        <f t="shared" si="30"/>
        <v/>
      </c>
      <c r="C352" t="str">
        <f t="shared" si="31"/>
        <v/>
      </c>
      <c r="D352" t="str">
        <f t="shared" si="32"/>
        <v/>
      </c>
      <c r="E352" t="str">
        <f t="shared" si="33"/>
        <v/>
      </c>
      <c r="F352" t="str">
        <f t="shared" si="34"/>
        <v/>
      </c>
      <c r="G352" t="str">
        <f>IF(OR($E352="",$E352="نامعتبر",Sync!$X348=""),"",IF(AND(LEFT(UPPER(TRIM(Sync!$X348)),2)="SL",IFERROR(VLOOKUP(Sync!$W348,OpTbl,3,0),"")="فروش"),UPPER(TRIM(Sync!$X348)),""))</f>
        <v/>
      </c>
      <c r="H352" t="str">
        <f>IF($G352="","",IF(Sync!$W348="","",Sync!$W348))</f>
        <v/>
      </c>
      <c r="I352" t="str">
        <f>IF(OR($G352="",Sync!$Y348=""),"",Sync!$Y348)</f>
        <v/>
      </c>
      <c r="J352" t="str">
        <f>IF(OR($G352="",Sync!$Z348=""),"",Sync!$Z348)</f>
        <v/>
      </c>
      <c r="K352">
        <f>IF($G352="",0,IF(Sync!$AA348="",0,Sync!$AA348))</f>
        <v>0</v>
      </c>
      <c r="L352">
        <f>IF($G352="",0,IF(Sync!$AB348="",0,Sync!$AB348))</f>
        <v>0</v>
      </c>
      <c r="M352" t="str">
        <f t="shared" si="35"/>
        <v/>
      </c>
      <c r="N352">
        <f>IF($G352="",0,IF($H352="مرجوعی فروش",-1,1)*IF(Sync!$AC348="",0,Sync!$AC348))</f>
        <v>0</v>
      </c>
      <c r="O352" t="str">
        <f>IF(OR($G352="",Sync!$V348=""),"",Sync!$V348)</f>
        <v/>
      </c>
      <c r="P352" t="str">
        <f>IF(OR($G352="",Sync!$AD348=""),"",Sync!$AD348)</f>
        <v/>
      </c>
      <c r="Q352" t="str">
        <f>IF($G352="","",IF(Sync!$U348="","0000",IF(AND(ISNUMBER(Sync!$U348),Sync!$U348&gt;=0,Sync!$U348&lt;1),RIGHT("00"&amp;HOUR(Sync!$U348),2)&amp;RIGHT("00"&amp;MINUTE(Sync!$U348),2),IFERROR(RIGHT("00"&amp;VALUE(LEFT(Sync!$U348,FIND(":",Sync!$U348)-1)),2)&amp;RIGHT("00"&amp;VALUE(MID(Sync!$U348,FIND(":",Sync!$U348)+1,2)),2),"0000"))))</f>
        <v/>
      </c>
    </row>
    <row r="353" spans="1:17" x14ac:dyDescent="0.2">
      <c r="A353" t="str">
        <f>IF(Sync!$T349="","",Sync!$T349)</f>
        <v/>
      </c>
      <c r="B353" t="str">
        <f t="shared" si="30"/>
        <v/>
      </c>
      <c r="C353" t="str">
        <f t="shared" si="31"/>
        <v/>
      </c>
      <c r="D353" t="str">
        <f t="shared" si="32"/>
        <v/>
      </c>
      <c r="E353" t="str">
        <f t="shared" si="33"/>
        <v/>
      </c>
      <c r="F353" t="str">
        <f t="shared" si="34"/>
        <v/>
      </c>
      <c r="G353" t="str">
        <f>IF(OR($E353="",$E353="نامعتبر",Sync!$X349=""),"",IF(AND(LEFT(UPPER(TRIM(Sync!$X349)),2)="SL",IFERROR(VLOOKUP(Sync!$W349,OpTbl,3,0),"")="فروش"),UPPER(TRIM(Sync!$X349)),""))</f>
        <v/>
      </c>
      <c r="H353" t="str">
        <f>IF($G353="","",IF(Sync!$W349="","",Sync!$W349))</f>
        <v/>
      </c>
      <c r="I353" t="str">
        <f>IF(OR($G353="",Sync!$Y349=""),"",Sync!$Y349)</f>
        <v/>
      </c>
      <c r="J353" t="str">
        <f>IF(OR($G353="",Sync!$Z349=""),"",Sync!$Z349)</f>
        <v/>
      </c>
      <c r="K353">
        <f>IF($G353="",0,IF(Sync!$AA349="",0,Sync!$AA349))</f>
        <v>0</v>
      </c>
      <c r="L353">
        <f>IF($G353="",0,IF(Sync!$AB349="",0,Sync!$AB349))</f>
        <v>0</v>
      </c>
      <c r="M353" t="str">
        <f t="shared" si="35"/>
        <v/>
      </c>
      <c r="N353">
        <f>IF($G353="",0,IF($H353="مرجوعی فروش",-1,1)*IF(Sync!$AC349="",0,Sync!$AC349))</f>
        <v>0</v>
      </c>
      <c r="O353" t="str">
        <f>IF(OR($G353="",Sync!$V349=""),"",Sync!$V349)</f>
        <v/>
      </c>
      <c r="P353" t="str">
        <f>IF(OR($G353="",Sync!$AD349=""),"",Sync!$AD349)</f>
        <v/>
      </c>
      <c r="Q353" t="str">
        <f>IF($G353="","",IF(Sync!$U349="","0000",IF(AND(ISNUMBER(Sync!$U349),Sync!$U349&gt;=0,Sync!$U349&lt;1),RIGHT("00"&amp;HOUR(Sync!$U349),2)&amp;RIGHT("00"&amp;MINUTE(Sync!$U349),2),IFERROR(RIGHT("00"&amp;VALUE(LEFT(Sync!$U349,FIND(":",Sync!$U349)-1)),2)&amp;RIGHT("00"&amp;VALUE(MID(Sync!$U349,FIND(":",Sync!$U349)+1,2)),2),"0000"))))</f>
        <v/>
      </c>
    </row>
    <row r="354" spans="1:17" x14ac:dyDescent="0.2">
      <c r="A354" t="str">
        <f>IF(Sync!$T350="","",Sync!$T350)</f>
        <v/>
      </c>
      <c r="B354" t="str">
        <f t="shared" si="30"/>
        <v/>
      </c>
      <c r="C354" t="str">
        <f t="shared" si="31"/>
        <v/>
      </c>
      <c r="D354" t="str">
        <f t="shared" si="32"/>
        <v/>
      </c>
      <c r="E354" t="str">
        <f t="shared" si="33"/>
        <v/>
      </c>
      <c r="F354" t="str">
        <f t="shared" si="34"/>
        <v/>
      </c>
      <c r="G354" t="str">
        <f>IF(OR($E354="",$E354="نامعتبر",Sync!$X350=""),"",IF(AND(LEFT(UPPER(TRIM(Sync!$X350)),2)="SL",IFERROR(VLOOKUP(Sync!$W350,OpTbl,3,0),"")="فروش"),UPPER(TRIM(Sync!$X350)),""))</f>
        <v/>
      </c>
      <c r="H354" t="str">
        <f>IF($G354="","",IF(Sync!$W350="","",Sync!$W350))</f>
        <v/>
      </c>
      <c r="I354" t="str">
        <f>IF(OR($G354="",Sync!$Y350=""),"",Sync!$Y350)</f>
        <v/>
      </c>
      <c r="J354" t="str">
        <f>IF(OR($G354="",Sync!$Z350=""),"",Sync!$Z350)</f>
        <v/>
      </c>
      <c r="K354">
        <f>IF($G354="",0,IF(Sync!$AA350="",0,Sync!$AA350))</f>
        <v>0</v>
      </c>
      <c r="L354">
        <f>IF($G354="",0,IF(Sync!$AB350="",0,Sync!$AB350))</f>
        <v>0</v>
      </c>
      <c r="M354" t="str">
        <f t="shared" si="35"/>
        <v/>
      </c>
      <c r="N354">
        <f>IF($G354="",0,IF($H354="مرجوعی فروش",-1,1)*IF(Sync!$AC350="",0,Sync!$AC350))</f>
        <v>0</v>
      </c>
      <c r="O354" t="str">
        <f>IF(OR($G354="",Sync!$V350=""),"",Sync!$V350)</f>
        <v/>
      </c>
      <c r="P354" t="str">
        <f>IF(OR($G354="",Sync!$AD350=""),"",Sync!$AD350)</f>
        <v/>
      </c>
      <c r="Q354" t="str">
        <f>IF($G354="","",IF(Sync!$U350="","0000",IF(AND(ISNUMBER(Sync!$U350),Sync!$U350&gt;=0,Sync!$U350&lt;1),RIGHT("00"&amp;HOUR(Sync!$U350),2)&amp;RIGHT("00"&amp;MINUTE(Sync!$U350),2),IFERROR(RIGHT("00"&amp;VALUE(LEFT(Sync!$U350,FIND(":",Sync!$U350)-1)),2)&amp;RIGHT("00"&amp;VALUE(MID(Sync!$U350,FIND(":",Sync!$U350)+1,2)),2),"0000"))))</f>
        <v/>
      </c>
    </row>
    <row r="355" spans="1:17" x14ac:dyDescent="0.2">
      <c r="A355" t="str">
        <f>IF(Sync!$T351="","",Sync!$T351)</f>
        <v/>
      </c>
      <c r="B355" t="str">
        <f t="shared" si="30"/>
        <v/>
      </c>
      <c r="C355" t="str">
        <f t="shared" si="31"/>
        <v/>
      </c>
      <c r="D355" t="str">
        <f t="shared" si="32"/>
        <v/>
      </c>
      <c r="E355" t="str">
        <f t="shared" si="33"/>
        <v/>
      </c>
      <c r="F355" t="str">
        <f t="shared" si="34"/>
        <v/>
      </c>
      <c r="G355" t="str">
        <f>IF(OR($E355="",$E355="نامعتبر",Sync!$X351=""),"",IF(AND(LEFT(UPPER(TRIM(Sync!$X351)),2)="SL",IFERROR(VLOOKUP(Sync!$W351,OpTbl,3,0),"")="فروش"),UPPER(TRIM(Sync!$X351)),""))</f>
        <v/>
      </c>
      <c r="H355" t="str">
        <f>IF($G355="","",IF(Sync!$W351="","",Sync!$W351))</f>
        <v/>
      </c>
      <c r="I355" t="str">
        <f>IF(OR($G355="",Sync!$Y351=""),"",Sync!$Y351)</f>
        <v/>
      </c>
      <c r="J355" t="str">
        <f>IF(OR($G355="",Sync!$Z351=""),"",Sync!$Z351)</f>
        <v/>
      </c>
      <c r="K355">
        <f>IF($G355="",0,IF(Sync!$AA351="",0,Sync!$AA351))</f>
        <v>0</v>
      </c>
      <c r="L355">
        <f>IF($G355="",0,IF(Sync!$AB351="",0,Sync!$AB351))</f>
        <v>0</v>
      </c>
      <c r="M355" t="str">
        <f t="shared" si="35"/>
        <v/>
      </c>
      <c r="N355">
        <f>IF($G355="",0,IF($H355="مرجوعی فروش",-1,1)*IF(Sync!$AC351="",0,Sync!$AC351))</f>
        <v>0</v>
      </c>
      <c r="O355" t="str">
        <f>IF(OR($G355="",Sync!$V351=""),"",Sync!$V351)</f>
        <v/>
      </c>
      <c r="P355" t="str">
        <f>IF(OR($G355="",Sync!$AD351=""),"",Sync!$AD351)</f>
        <v/>
      </c>
      <c r="Q355" t="str">
        <f>IF($G355="","",IF(Sync!$U351="","0000",IF(AND(ISNUMBER(Sync!$U351),Sync!$U351&gt;=0,Sync!$U351&lt;1),RIGHT("00"&amp;HOUR(Sync!$U351),2)&amp;RIGHT("00"&amp;MINUTE(Sync!$U351),2),IFERROR(RIGHT("00"&amp;VALUE(LEFT(Sync!$U351,FIND(":",Sync!$U351)-1)),2)&amp;RIGHT("00"&amp;VALUE(MID(Sync!$U351,FIND(":",Sync!$U351)+1,2)),2),"0000"))))</f>
        <v/>
      </c>
    </row>
    <row r="356" spans="1:17" x14ac:dyDescent="0.2">
      <c r="A356" t="str">
        <f>IF(Sync!$T352="","",Sync!$T352)</f>
        <v/>
      </c>
      <c r="B356" t="str">
        <f t="shared" si="30"/>
        <v/>
      </c>
      <c r="C356" t="str">
        <f t="shared" si="31"/>
        <v/>
      </c>
      <c r="D356" t="str">
        <f t="shared" si="32"/>
        <v/>
      </c>
      <c r="E356" t="str">
        <f t="shared" si="33"/>
        <v/>
      </c>
      <c r="F356" t="str">
        <f t="shared" si="34"/>
        <v/>
      </c>
      <c r="G356" t="str">
        <f>IF(OR($E356="",$E356="نامعتبر",Sync!$X352=""),"",IF(AND(LEFT(UPPER(TRIM(Sync!$X352)),2)="SL",IFERROR(VLOOKUP(Sync!$W352,OpTbl,3,0),"")="فروش"),UPPER(TRIM(Sync!$X352)),""))</f>
        <v/>
      </c>
      <c r="H356" t="str">
        <f>IF($G356="","",IF(Sync!$W352="","",Sync!$W352))</f>
        <v/>
      </c>
      <c r="I356" t="str">
        <f>IF(OR($G356="",Sync!$Y352=""),"",Sync!$Y352)</f>
        <v/>
      </c>
      <c r="J356" t="str">
        <f>IF(OR($G356="",Sync!$Z352=""),"",Sync!$Z352)</f>
        <v/>
      </c>
      <c r="K356">
        <f>IF($G356="",0,IF(Sync!$AA352="",0,Sync!$AA352))</f>
        <v>0</v>
      </c>
      <c r="L356">
        <f>IF($G356="",0,IF(Sync!$AB352="",0,Sync!$AB352))</f>
        <v>0</v>
      </c>
      <c r="M356" t="str">
        <f t="shared" si="35"/>
        <v/>
      </c>
      <c r="N356">
        <f>IF($G356="",0,IF($H356="مرجوعی فروش",-1,1)*IF(Sync!$AC352="",0,Sync!$AC352))</f>
        <v>0</v>
      </c>
      <c r="O356" t="str">
        <f>IF(OR($G356="",Sync!$V352=""),"",Sync!$V352)</f>
        <v/>
      </c>
      <c r="P356" t="str">
        <f>IF(OR($G356="",Sync!$AD352=""),"",Sync!$AD352)</f>
        <v/>
      </c>
      <c r="Q356" t="str">
        <f>IF($G356="","",IF(Sync!$U352="","0000",IF(AND(ISNUMBER(Sync!$U352),Sync!$U352&gt;=0,Sync!$U352&lt;1),RIGHT("00"&amp;HOUR(Sync!$U352),2)&amp;RIGHT("00"&amp;MINUTE(Sync!$U352),2),IFERROR(RIGHT("00"&amp;VALUE(LEFT(Sync!$U352,FIND(":",Sync!$U352)-1)),2)&amp;RIGHT("00"&amp;VALUE(MID(Sync!$U352,FIND(":",Sync!$U352)+1,2)),2),"0000"))))</f>
        <v/>
      </c>
    </row>
    <row r="357" spans="1:17" x14ac:dyDescent="0.2">
      <c r="A357" t="str">
        <f>IF(Sync!$T353="","",Sync!$T353)</f>
        <v/>
      </c>
      <c r="B357" t="str">
        <f t="shared" si="30"/>
        <v/>
      </c>
      <c r="C357" t="str">
        <f t="shared" si="31"/>
        <v/>
      </c>
      <c r="D357" t="str">
        <f t="shared" si="32"/>
        <v/>
      </c>
      <c r="E357" t="str">
        <f t="shared" si="33"/>
        <v/>
      </c>
      <c r="F357" t="str">
        <f t="shared" si="34"/>
        <v/>
      </c>
      <c r="G357" t="str">
        <f>IF(OR($E357="",$E357="نامعتبر",Sync!$X353=""),"",IF(AND(LEFT(UPPER(TRIM(Sync!$X353)),2)="SL",IFERROR(VLOOKUP(Sync!$W353,OpTbl,3,0),"")="فروش"),UPPER(TRIM(Sync!$X353)),""))</f>
        <v/>
      </c>
      <c r="H357" t="str">
        <f>IF($G357="","",IF(Sync!$W353="","",Sync!$W353))</f>
        <v/>
      </c>
      <c r="I357" t="str">
        <f>IF(OR($G357="",Sync!$Y353=""),"",Sync!$Y353)</f>
        <v/>
      </c>
      <c r="J357" t="str">
        <f>IF(OR($G357="",Sync!$Z353=""),"",Sync!$Z353)</f>
        <v/>
      </c>
      <c r="K357">
        <f>IF($G357="",0,IF(Sync!$AA353="",0,Sync!$AA353))</f>
        <v>0</v>
      </c>
      <c r="L357">
        <f>IF($G357="",0,IF(Sync!$AB353="",0,Sync!$AB353))</f>
        <v>0</v>
      </c>
      <c r="M357" t="str">
        <f t="shared" si="35"/>
        <v/>
      </c>
      <c r="N357">
        <f>IF($G357="",0,IF($H357="مرجوعی فروش",-1,1)*IF(Sync!$AC353="",0,Sync!$AC353))</f>
        <v>0</v>
      </c>
      <c r="O357" t="str">
        <f>IF(OR($G357="",Sync!$V353=""),"",Sync!$V353)</f>
        <v/>
      </c>
      <c r="P357" t="str">
        <f>IF(OR($G357="",Sync!$AD353=""),"",Sync!$AD353)</f>
        <v/>
      </c>
      <c r="Q357" t="str">
        <f>IF($G357="","",IF(Sync!$U353="","0000",IF(AND(ISNUMBER(Sync!$U353),Sync!$U353&gt;=0,Sync!$U353&lt;1),RIGHT("00"&amp;HOUR(Sync!$U353),2)&amp;RIGHT("00"&amp;MINUTE(Sync!$U353),2),IFERROR(RIGHT("00"&amp;VALUE(LEFT(Sync!$U353,FIND(":",Sync!$U353)-1)),2)&amp;RIGHT("00"&amp;VALUE(MID(Sync!$U353,FIND(":",Sync!$U353)+1,2)),2),"0000"))))</f>
        <v/>
      </c>
    </row>
    <row r="358" spans="1:17" x14ac:dyDescent="0.2">
      <c r="A358" t="str">
        <f>IF(Sync!$T354="","",Sync!$T354)</f>
        <v/>
      </c>
      <c r="B358" t="str">
        <f t="shared" si="30"/>
        <v/>
      </c>
      <c r="C358" t="str">
        <f t="shared" si="31"/>
        <v/>
      </c>
      <c r="D358" t="str">
        <f t="shared" si="32"/>
        <v/>
      </c>
      <c r="E358" t="str">
        <f t="shared" si="33"/>
        <v/>
      </c>
      <c r="F358" t="str">
        <f t="shared" si="34"/>
        <v/>
      </c>
      <c r="G358" t="str">
        <f>IF(OR($E358="",$E358="نامعتبر",Sync!$X354=""),"",IF(AND(LEFT(UPPER(TRIM(Sync!$X354)),2)="SL",IFERROR(VLOOKUP(Sync!$W354,OpTbl,3,0),"")="فروش"),UPPER(TRIM(Sync!$X354)),""))</f>
        <v/>
      </c>
      <c r="H358" t="str">
        <f>IF($G358="","",IF(Sync!$W354="","",Sync!$W354))</f>
        <v/>
      </c>
      <c r="I358" t="str">
        <f>IF(OR($G358="",Sync!$Y354=""),"",Sync!$Y354)</f>
        <v/>
      </c>
      <c r="J358" t="str">
        <f>IF(OR($G358="",Sync!$Z354=""),"",Sync!$Z354)</f>
        <v/>
      </c>
      <c r="K358">
        <f>IF($G358="",0,IF(Sync!$AA354="",0,Sync!$AA354))</f>
        <v>0</v>
      </c>
      <c r="L358">
        <f>IF($G358="",0,IF(Sync!$AB354="",0,Sync!$AB354))</f>
        <v>0</v>
      </c>
      <c r="M358" t="str">
        <f t="shared" si="35"/>
        <v/>
      </c>
      <c r="N358">
        <f>IF($G358="",0,IF($H358="مرجوعی فروش",-1,1)*IF(Sync!$AC354="",0,Sync!$AC354))</f>
        <v>0</v>
      </c>
      <c r="O358" t="str">
        <f>IF(OR($G358="",Sync!$V354=""),"",Sync!$V354)</f>
        <v/>
      </c>
      <c r="P358" t="str">
        <f>IF(OR($G358="",Sync!$AD354=""),"",Sync!$AD354)</f>
        <v/>
      </c>
      <c r="Q358" t="str">
        <f>IF($G358="","",IF(Sync!$U354="","0000",IF(AND(ISNUMBER(Sync!$U354),Sync!$U354&gt;=0,Sync!$U354&lt;1),RIGHT("00"&amp;HOUR(Sync!$U354),2)&amp;RIGHT("00"&amp;MINUTE(Sync!$U354),2),IFERROR(RIGHT("00"&amp;VALUE(LEFT(Sync!$U354,FIND(":",Sync!$U354)-1)),2)&amp;RIGHT("00"&amp;VALUE(MID(Sync!$U354,FIND(":",Sync!$U354)+1,2)),2),"0000"))))</f>
        <v/>
      </c>
    </row>
    <row r="359" spans="1:17" x14ac:dyDescent="0.2">
      <c r="A359" t="str">
        <f>IF(Sync!$T355="","",Sync!$T355)</f>
        <v/>
      </c>
      <c r="B359" t="str">
        <f t="shared" si="30"/>
        <v/>
      </c>
      <c r="C359" t="str">
        <f t="shared" si="31"/>
        <v/>
      </c>
      <c r="D359" t="str">
        <f t="shared" si="32"/>
        <v/>
      </c>
      <c r="E359" t="str">
        <f t="shared" si="33"/>
        <v/>
      </c>
      <c r="F359" t="str">
        <f t="shared" si="34"/>
        <v/>
      </c>
      <c r="G359" t="str">
        <f>IF(OR($E359="",$E359="نامعتبر",Sync!$X355=""),"",IF(AND(LEFT(UPPER(TRIM(Sync!$X355)),2)="SL",IFERROR(VLOOKUP(Sync!$W355,OpTbl,3,0),"")="فروش"),UPPER(TRIM(Sync!$X355)),""))</f>
        <v/>
      </c>
      <c r="H359" t="str">
        <f>IF($G359="","",IF(Sync!$W355="","",Sync!$W355))</f>
        <v/>
      </c>
      <c r="I359" t="str">
        <f>IF(OR($G359="",Sync!$Y355=""),"",Sync!$Y355)</f>
        <v/>
      </c>
      <c r="J359" t="str">
        <f>IF(OR($G359="",Sync!$Z355=""),"",Sync!$Z355)</f>
        <v/>
      </c>
      <c r="K359">
        <f>IF($G359="",0,IF(Sync!$AA355="",0,Sync!$AA355))</f>
        <v>0</v>
      </c>
      <c r="L359">
        <f>IF($G359="",0,IF(Sync!$AB355="",0,Sync!$AB355))</f>
        <v>0</v>
      </c>
      <c r="M359" t="str">
        <f t="shared" si="35"/>
        <v/>
      </c>
      <c r="N359">
        <f>IF($G359="",0,IF($H359="مرجوعی فروش",-1,1)*IF(Sync!$AC355="",0,Sync!$AC355))</f>
        <v>0</v>
      </c>
      <c r="O359" t="str">
        <f>IF(OR($G359="",Sync!$V355=""),"",Sync!$V355)</f>
        <v/>
      </c>
      <c r="P359" t="str">
        <f>IF(OR($G359="",Sync!$AD355=""),"",Sync!$AD355)</f>
        <v/>
      </c>
      <c r="Q359" t="str">
        <f>IF($G359="","",IF(Sync!$U355="","0000",IF(AND(ISNUMBER(Sync!$U355),Sync!$U355&gt;=0,Sync!$U355&lt;1),RIGHT("00"&amp;HOUR(Sync!$U355),2)&amp;RIGHT("00"&amp;MINUTE(Sync!$U355),2),IFERROR(RIGHT("00"&amp;VALUE(LEFT(Sync!$U355,FIND(":",Sync!$U355)-1)),2)&amp;RIGHT("00"&amp;VALUE(MID(Sync!$U355,FIND(":",Sync!$U355)+1,2)),2),"0000"))))</f>
        <v/>
      </c>
    </row>
    <row r="360" spans="1:17" x14ac:dyDescent="0.2">
      <c r="A360" t="str">
        <f>IF(Sync!$T356="","",Sync!$T356)</f>
        <v/>
      </c>
      <c r="B360" t="str">
        <f t="shared" si="30"/>
        <v/>
      </c>
      <c r="C360" t="str">
        <f t="shared" si="31"/>
        <v/>
      </c>
      <c r="D360" t="str">
        <f t="shared" si="32"/>
        <v/>
      </c>
      <c r="E360" t="str">
        <f t="shared" si="33"/>
        <v/>
      </c>
      <c r="F360" t="str">
        <f t="shared" si="34"/>
        <v/>
      </c>
      <c r="G360" t="str">
        <f>IF(OR($E360="",$E360="نامعتبر",Sync!$X356=""),"",IF(AND(LEFT(UPPER(TRIM(Sync!$X356)),2)="SL",IFERROR(VLOOKUP(Sync!$W356,OpTbl,3,0),"")="فروش"),UPPER(TRIM(Sync!$X356)),""))</f>
        <v/>
      </c>
      <c r="H360" t="str">
        <f>IF($G360="","",IF(Sync!$W356="","",Sync!$W356))</f>
        <v/>
      </c>
      <c r="I360" t="str">
        <f>IF(OR($G360="",Sync!$Y356=""),"",Sync!$Y356)</f>
        <v/>
      </c>
      <c r="J360" t="str">
        <f>IF(OR($G360="",Sync!$Z356=""),"",Sync!$Z356)</f>
        <v/>
      </c>
      <c r="K360">
        <f>IF($G360="",0,IF(Sync!$AA356="",0,Sync!$AA356))</f>
        <v>0</v>
      </c>
      <c r="L360">
        <f>IF($G360="",0,IF(Sync!$AB356="",0,Sync!$AB356))</f>
        <v>0</v>
      </c>
      <c r="M360" t="str">
        <f t="shared" si="35"/>
        <v/>
      </c>
      <c r="N360">
        <f>IF($G360="",0,IF($H360="مرجوعی فروش",-1,1)*IF(Sync!$AC356="",0,Sync!$AC356))</f>
        <v>0</v>
      </c>
      <c r="O360" t="str">
        <f>IF(OR($G360="",Sync!$V356=""),"",Sync!$V356)</f>
        <v/>
      </c>
      <c r="P360" t="str">
        <f>IF(OR($G360="",Sync!$AD356=""),"",Sync!$AD356)</f>
        <v/>
      </c>
      <c r="Q360" t="str">
        <f>IF($G360="","",IF(Sync!$U356="","0000",IF(AND(ISNUMBER(Sync!$U356),Sync!$U356&gt;=0,Sync!$U356&lt;1),RIGHT("00"&amp;HOUR(Sync!$U356),2)&amp;RIGHT("00"&amp;MINUTE(Sync!$U356),2),IFERROR(RIGHT("00"&amp;VALUE(LEFT(Sync!$U356,FIND(":",Sync!$U356)-1)),2)&amp;RIGHT("00"&amp;VALUE(MID(Sync!$U356,FIND(":",Sync!$U356)+1,2)),2),"0000"))))</f>
        <v/>
      </c>
    </row>
    <row r="361" spans="1:17" x14ac:dyDescent="0.2">
      <c r="A361" t="str">
        <f>IF(Sync!$T357="","",Sync!$T357)</f>
        <v/>
      </c>
      <c r="B361" t="str">
        <f t="shared" si="30"/>
        <v/>
      </c>
      <c r="C361" t="str">
        <f t="shared" si="31"/>
        <v/>
      </c>
      <c r="D361" t="str">
        <f t="shared" si="32"/>
        <v/>
      </c>
      <c r="E361" t="str">
        <f t="shared" si="33"/>
        <v/>
      </c>
      <c r="F361" t="str">
        <f t="shared" si="34"/>
        <v/>
      </c>
      <c r="G361" t="str">
        <f>IF(OR($E361="",$E361="نامعتبر",Sync!$X357=""),"",IF(AND(LEFT(UPPER(TRIM(Sync!$X357)),2)="SL",IFERROR(VLOOKUP(Sync!$W357,OpTbl,3,0),"")="فروش"),UPPER(TRIM(Sync!$X357)),""))</f>
        <v/>
      </c>
      <c r="H361" t="str">
        <f>IF($G361="","",IF(Sync!$W357="","",Sync!$W357))</f>
        <v/>
      </c>
      <c r="I361" t="str">
        <f>IF(OR($G361="",Sync!$Y357=""),"",Sync!$Y357)</f>
        <v/>
      </c>
      <c r="J361" t="str">
        <f>IF(OR($G361="",Sync!$Z357=""),"",Sync!$Z357)</f>
        <v/>
      </c>
      <c r="K361">
        <f>IF($G361="",0,IF(Sync!$AA357="",0,Sync!$AA357))</f>
        <v>0</v>
      </c>
      <c r="L361">
        <f>IF($G361="",0,IF(Sync!$AB357="",0,Sync!$AB357))</f>
        <v>0</v>
      </c>
      <c r="M361" t="str">
        <f t="shared" si="35"/>
        <v/>
      </c>
      <c r="N361">
        <f>IF($G361="",0,IF($H361="مرجوعی فروش",-1,1)*IF(Sync!$AC357="",0,Sync!$AC357))</f>
        <v>0</v>
      </c>
      <c r="O361" t="str">
        <f>IF(OR($G361="",Sync!$V357=""),"",Sync!$V357)</f>
        <v/>
      </c>
      <c r="P361" t="str">
        <f>IF(OR($G361="",Sync!$AD357=""),"",Sync!$AD357)</f>
        <v/>
      </c>
      <c r="Q361" t="str">
        <f>IF($G361="","",IF(Sync!$U357="","0000",IF(AND(ISNUMBER(Sync!$U357),Sync!$U357&gt;=0,Sync!$U357&lt;1),RIGHT("00"&amp;HOUR(Sync!$U357),2)&amp;RIGHT("00"&amp;MINUTE(Sync!$U357),2),IFERROR(RIGHT("00"&amp;VALUE(LEFT(Sync!$U357,FIND(":",Sync!$U357)-1)),2)&amp;RIGHT("00"&amp;VALUE(MID(Sync!$U357,FIND(":",Sync!$U357)+1,2)),2),"0000"))))</f>
        <v/>
      </c>
    </row>
    <row r="362" spans="1:17" x14ac:dyDescent="0.2">
      <c r="A362" t="str">
        <f>IF(Sync!$T358="","",Sync!$T358)</f>
        <v/>
      </c>
      <c r="B362" t="str">
        <f t="shared" si="30"/>
        <v/>
      </c>
      <c r="C362" t="str">
        <f t="shared" si="31"/>
        <v/>
      </c>
      <c r="D362" t="str">
        <f t="shared" si="32"/>
        <v/>
      </c>
      <c r="E362" t="str">
        <f t="shared" si="33"/>
        <v/>
      </c>
      <c r="F362" t="str">
        <f t="shared" si="34"/>
        <v/>
      </c>
      <c r="G362" t="str">
        <f>IF(OR($E362="",$E362="نامعتبر",Sync!$X358=""),"",IF(AND(LEFT(UPPER(TRIM(Sync!$X358)),2)="SL",IFERROR(VLOOKUP(Sync!$W358,OpTbl,3,0),"")="فروش"),UPPER(TRIM(Sync!$X358)),""))</f>
        <v/>
      </c>
      <c r="H362" t="str">
        <f>IF($G362="","",IF(Sync!$W358="","",Sync!$W358))</f>
        <v/>
      </c>
      <c r="I362" t="str">
        <f>IF(OR($G362="",Sync!$Y358=""),"",Sync!$Y358)</f>
        <v/>
      </c>
      <c r="J362" t="str">
        <f>IF(OR($G362="",Sync!$Z358=""),"",Sync!$Z358)</f>
        <v/>
      </c>
      <c r="K362">
        <f>IF($G362="",0,IF(Sync!$AA358="",0,Sync!$AA358))</f>
        <v>0</v>
      </c>
      <c r="L362">
        <f>IF($G362="",0,IF(Sync!$AB358="",0,Sync!$AB358))</f>
        <v>0</v>
      </c>
      <c r="M362" t="str">
        <f t="shared" si="35"/>
        <v/>
      </c>
      <c r="N362">
        <f>IF($G362="",0,IF($H362="مرجوعی فروش",-1,1)*IF(Sync!$AC358="",0,Sync!$AC358))</f>
        <v>0</v>
      </c>
      <c r="O362" t="str">
        <f>IF(OR($G362="",Sync!$V358=""),"",Sync!$V358)</f>
        <v/>
      </c>
      <c r="P362" t="str">
        <f>IF(OR($G362="",Sync!$AD358=""),"",Sync!$AD358)</f>
        <v/>
      </c>
      <c r="Q362" t="str">
        <f>IF($G362="","",IF(Sync!$U358="","0000",IF(AND(ISNUMBER(Sync!$U358),Sync!$U358&gt;=0,Sync!$U358&lt;1),RIGHT("00"&amp;HOUR(Sync!$U358),2)&amp;RIGHT("00"&amp;MINUTE(Sync!$U358),2),IFERROR(RIGHT("00"&amp;VALUE(LEFT(Sync!$U358,FIND(":",Sync!$U358)-1)),2)&amp;RIGHT("00"&amp;VALUE(MID(Sync!$U358,FIND(":",Sync!$U358)+1,2)),2),"0000"))))</f>
        <v/>
      </c>
    </row>
    <row r="363" spans="1:17" x14ac:dyDescent="0.2">
      <c r="A363" t="str">
        <f>IF(Sync!$T359="","",Sync!$T359)</f>
        <v/>
      </c>
      <c r="B363" t="str">
        <f t="shared" si="30"/>
        <v/>
      </c>
      <c r="C363" t="str">
        <f t="shared" si="31"/>
        <v/>
      </c>
      <c r="D363" t="str">
        <f t="shared" si="32"/>
        <v/>
      </c>
      <c r="E363" t="str">
        <f t="shared" si="33"/>
        <v/>
      </c>
      <c r="F363" t="str">
        <f t="shared" si="34"/>
        <v/>
      </c>
      <c r="G363" t="str">
        <f>IF(OR($E363="",$E363="نامعتبر",Sync!$X359=""),"",IF(AND(LEFT(UPPER(TRIM(Sync!$X359)),2)="SL",IFERROR(VLOOKUP(Sync!$W359,OpTbl,3,0),"")="فروش"),UPPER(TRIM(Sync!$X359)),""))</f>
        <v/>
      </c>
      <c r="H363" t="str">
        <f>IF($G363="","",IF(Sync!$W359="","",Sync!$W359))</f>
        <v/>
      </c>
      <c r="I363" t="str">
        <f>IF(OR($G363="",Sync!$Y359=""),"",Sync!$Y359)</f>
        <v/>
      </c>
      <c r="J363" t="str">
        <f>IF(OR($G363="",Sync!$Z359=""),"",Sync!$Z359)</f>
        <v/>
      </c>
      <c r="K363">
        <f>IF($G363="",0,IF(Sync!$AA359="",0,Sync!$AA359))</f>
        <v>0</v>
      </c>
      <c r="L363">
        <f>IF($G363="",0,IF(Sync!$AB359="",0,Sync!$AB359))</f>
        <v>0</v>
      </c>
      <c r="M363" t="str">
        <f t="shared" si="35"/>
        <v/>
      </c>
      <c r="N363">
        <f>IF($G363="",0,IF($H363="مرجوعی فروش",-1,1)*IF(Sync!$AC359="",0,Sync!$AC359))</f>
        <v>0</v>
      </c>
      <c r="O363" t="str">
        <f>IF(OR($G363="",Sync!$V359=""),"",Sync!$V359)</f>
        <v/>
      </c>
      <c r="P363" t="str">
        <f>IF(OR($G363="",Sync!$AD359=""),"",Sync!$AD359)</f>
        <v/>
      </c>
      <c r="Q363" t="str">
        <f>IF($G363="","",IF(Sync!$U359="","0000",IF(AND(ISNUMBER(Sync!$U359),Sync!$U359&gt;=0,Sync!$U359&lt;1),RIGHT("00"&amp;HOUR(Sync!$U359),2)&amp;RIGHT("00"&amp;MINUTE(Sync!$U359),2),IFERROR(RIGHT("00"&amp;VALUE(LEFT(Sync!$U359,FIND(":",Sync!$U359)-1)),2)&amp;RIGHT("00"&amp;VALUE(MID(Sync!$U359,FIND(":",Sync!$U359)+1,2)),2),"0000"))))</f>
        <v/>
      </c>
    </row>
    <row r="364" spans="1:17" x14ac:dyDescent="0.2">
      <c r="A364" t="str">
        <f>IF(Sync!$T360="","",Sync!$T360)</f>
        <v/>
      </c>
      <c r="B364" t="str">
        <f t="shared" si="30"/>
        <v/>
      </c>
      <c r="C364" t="str">
        <f t="shared" si="31"/>
        <v/>
      </c>
      <c r="D364" t="str">
        <f t="shared" si="32"/>
        <v/>
      </c>
      <c r="E364" t="str">
        <f t="shared" si="33"/>
        <v/>
      </c>
      <c r="F364" t="str">
        <f t="shared" si="34"/>
        <v/>
      </c>
      <c r="G364" t="str">
        <f>IF(OR($E364="",$E364="نامعتبر",Sync!$X360=""),"",IF(AND(LEFT(UPPER(TRIM(Sync!$X360)),2)="SL",IFERROR(VLOOKUP(Sync!$W360,OpTbl,3,0),"")="فروش"),UPPER(TRIM(Sync!$X360)),""))</f>
        <v/>
      </c>
      <c r="H364" t="str">
        <f>IF($G364="","",IF(Sync!$W360="","",Sync!$W360))</f>
        <v/>
      </c>
      <c r="I364" t="str">
        <f>IF(OR($G364="",Sync!$Y360=""),"",Sync!$Y360)</f>
        <v/>
      </c>
      <c r="J364" t="str">
        <f>IF(OR($G364="",Sync!$Z360=""),"",Sync!$Z360)</f>
        <v/>
      </c>
      <c r="K364">
        <f>IF($G364="",0,IF(Sync!$AA360="",0,Sync!$AA360))</f>
        <v>0</v>
      </c>
      <c r="L364">
        <f>IF($G364="",0,IF(Sync!$AB360="",0,Sync!$AB360))</f>
        <v>0</v>
      </c>
      <c r="M364" t="str">
        <f t="shared" si="35"/>
        <v/>
      </c>
      <c r="N364">
        <f>IF($G364="",0,IF($H364="مرجوعی فروش",-1,1)*IF(Sync!$AC360="",0,Sync!$AC360))</f>
        <v>0</v>
      </c>
      <c r="O364" t="str">
        <f>IF(OR($G364="",Sync!$V360=""),"",Sync!$V360)</f>
        <v/>
      </c>
      <c r="P364" t="str">
        <f>IF(OR($G364="",Sync!$AD360=""),"",Sync!$AD360)</f>
        <v/>
      </c>
      <c r="Q364" t="str">
        <f>IF($G364="","",IF(Sync!$U360="","0000",IF(AND(ISNUMBER(Sync!$U360),Sync!$U360&gt;=0,Sync!$U360&lt;1),RIGHT("00"&amp;HOUR(Sync!$U360),2)&amp;RIGHT("00"&amp;MINUTE(Sync!$U360),2),IFERROR(RIGHT("00"&amp;VALUE(LEFT(Sync!$U360,FIND(":",Sync!$U360)-1)),2)&amp;RIGHT("00"&amp;VALUE(MID(Sync!$U360,FIND(":",Sync!$U360)+1,2)),2),"0000"))))</f>
        <v/>
      </c>
    </row>
    <row r="365" spans="1:17" x14ac:dyDescent="0.2">
      <c r="A365" t="str">
        <f>IF(Sync!$T361="","",Sync!$T361)</f>
        <v/>
      </c>
      <c r="B365" t="str">
        <f t="shared" si="30"/>
        <v/>
      </c>
      <c r="C365" t="str">
        <f t="shared" si="31"/>
        <v/>
      </c>
      <c r="D365" t="str">
        <f t="shared" si="32"/>
        <v/>
      </c>
      <c r="E365" t="str">
        <f t="shared" si="33"/>
        <v/>
      </c>
      <c r="F365" t="str">
        <f t="shared" si="34"/>
        <v/>
      </c>
      <c r="G365" t="str">
        <f>IF(OR($E365="",$E365="نامعتبر",Sync!$X361=""),"",IF(AND(LEFT(UPPER(TRIM(Sync!$X361)),2)="SL",IFERROR(VLOOKUP(Sync!$W361,OpTbl,3,0),"")="فروش"),UPPER(TRIM(Sync!$X361)),""))</f>
        <v/>
      </c>
      <c r="H365" t="str">
        <f>IF($G365="","",IF(Sync!$W361="","",Sync!$W361))</f>
        <v/>
      </c>
      <c r="I365" t="str">
        <f>IF(OR($G365="",Sync!$Y361=""),"",Sync!$Y361)</f>
        <v/>
      </c>
      <c r="J365" t="str">
        <f>IF(OR($G365="",Sync!$Z361=""),"",Sync!$Z361)</f>
        <v/>
      </c>
      <c r="K365">
        <f>IF($G365="",0,IF(Sync!$AA361="",0,Sync!$AA361))</f>
        <v>0</v>
      </c>
      <c r="L365">
        <f>IF($G365="",0,IF(Sync!$AB361="",0,Sync!$AB361))</f>
        <v>0</v>
      </c>
      <c r="M365" t="str">
        <f t="shared" si="35"/>
        <v/>
      </c>
      <c r="N365">
        <f>IF($G365="",0,IF($H365="مرجوعی فروش",-1,1)*IF(Sync!$AC361="",0,Sync!$AC361))</f>
        <v>0</v>
      </c>
      <c r="O365" t="str">
        <f>IF(OR($G365="",Sync!$V361=""),"",Sync!$V361)</f>
        <v/>
      </c>
      <c r="P365" t="str">
        <f>IF(OR($G365="",Sync!$AD361=""),"",Sync!$AD361)</f>
        <v/>
      </c>
      <c r="Q365" t="str">
        <f>IF($G365="","",IF(Sync!$U361="","0000",IF(AND(ISNUMBER(Sync!$U361),Sync!$U361&gt;=0,Sync!$U361&lt;1),RIGHT("00"&amp;HOUR(Sync!$U361),2)&amp;RIGHT("00"&amp;MINUTE(Sync!$U361),2),IFERROR(RIGHT("00"&amp;VALUE(LEFT(Sync!$U361,FIND(":",Sync!$U361)-1)),2)&amp;RIGHT("00"&amp;VALUE(MID(Sync!$U361,FIND(":",Sync!$U361)+1,2)),2),"0000"))))</f>
        <v/>
      </c>
    </row>
    <row r="366" spans="1:17" x14ac:dyDescent="0.2">
      <c r="A366" t="str">
        <f>IF(Sync!$T362="","",Sync!$T362)</f>
        <v/>
      </c>
      <c r="B366" t="str">
        <f t="shared" si="30"/>
        <v/>
      </c>
      <c r="C366" t="str">
        <f t="shared" si="31"/>
        <v/>
      </c>
      <c r="D366" t="str">
        <f t="shared" si="32"/>
        <v/>
      </c>
      <c r="E366" t="str">
        <f t="shared" si="33"/>
        <v/>
      </c>
      <c r="F366" t="str">
        <f t="shared" si="34"/>
        <v/>
      </c>
      <c r="G366" t="str">
        <f>IF(OR($E366="",$E366="نامعتبر",Sync!$X362=""),"",IF(AND(LEFT(UPPER(TRIM(Sync!$X362)),2)="SL",IFERROR(VLOOKUP(Sync!$W362,OpTbl,3,0),"")="فروش"),UPPER(TRIM(Sync!$X362)),""))</f>
        <v/>
      </c>
      <c r="H366" t="str">
        <f>IF($G366="","",IF(Sync!$W362="","",Sync!$W362))</f>
        <v/>
      </c>
      <c r="I366" t="str">
        <f>IF(OR($G366="",Sync!$Y362=""),"",Sync!$Y362)</f>
        <v/>
      </c>
      <c r="J366" t="str">
        <f>IF(OR($G366="",Sync!$Z362=""),"",Sync!$Z362)</f>
        <v/>
      </c>
      <c r="K366">
        <f>IF($G366="",0,IF(Sync!$AA362="",0,Sync!$AA362))</f>
        <v>0</v>
      </c>
      <c r="L366">
        <f>IF($G366="",0,IF(Sync!$AB362="",0,Sync!$AB362))</f>
        <v>0</v>
      </c>
      <c r="M366" t="str">
        <f t="shared" si="35"/>
        <v/>
      </c>
      <c r="N366">
        <f>IF($G366="",0,IF($H366="مرجوعی فروش",-1,1)*IF(Sync!$AC362="",0,Sync!$AC362))</f>
        <v>0</v>
      </c>
      <c r="O366" t="str">
        <f>IF(OR($G366="",Sync!$V362=""),"",Sync!$V362)</f>
        <v/>
      </c>
      <c r="P366" t="str">
        <f>IF(OR($G366="",Sync!$AD362=""),"",Sync!$AD362)</f>
        <v/>
      </c>
      <c r="Q366" t="str">
        <f>IF($G366="","",IF(Sync!$U362="","0000",IF(AND(ISNUMBER(Sync!$U362),Sync!$U362&gt;=0,Sync!$U362&lt;1),RIGHT("00"&amp;HOUR(Sync!$U362),2)&amp;RIGHT("00"&amp;MINUTE(Sync!$U362),2),IFERROR(RIGHT("00"&amp;VALUE(LEFT(Sync!$U362,FIND(":",Sync!$U362)-1)),2)&amp;RIGHT("00"&amp;VALUE(MID(Sync!$U362,FIND(":",Sync!$U362)+1,2)),2),"0000"))))</f>
        <v/>
      </c>
    </row>
    <row r="367" spans="1:17" x14ac:dyDescent="0.2">
      <c r="A367" t="str">
        <f>IF(Sync!$T363="","",Sync!$T363)</f>
        <v/>
      </c>
      <c r="B367" t="str">
        <f t="shared" si="30"/>
        <v/>
      </c>
      <c r="C367" t="str">
        <f t="shared" si="31"/>
        <v/>
      </c>
      <c r="D367" t="str">
        <f t="shared" si="32"/>
        <v/>
      </c>
      <c r="E367" t="str">
        <f t="shared" si="33"/>
        <v/>
      </c>
      <c r="F367" t="str">
        <f t="shared" si="34"/>
        <v/>
      </c>
      <c r="G367" t="str">
        <f>IF(OR($E367="",$E367="نامعتبر",Sync!$X363=""),"",IF(AND(LEFT(UPPER(TRIM(Sync!$X363)),2)="SL",IFERROR(VLOOKUP(Sync!$W363,OpTbl,3,0),"")="فروش"),UPPER(TRIM(Sync!$X363)),""))</f>
        <v/>
      </c>
      <c r="H367" t="str">
        <f>IF($G367="","",IF(Sync!$W363="","",Sync!$W363))</f>
        <v/>
      </c>
      <c r="I367" t="str">
        <f>IF(OR($G367="",Sync!$Y363=""),"",Sync!$Y363)</f>
        <v/>
      </c>
      <c r="J367" t="str">
        <f>IF(OR($G367="",Sync!$Z363=""),"",Sync!$Z363)</f>
        <v/>
      </c>
      <c r="K367">
        <f>IF($G367="",0,IF(Sync!$AA363="",0,Sync!$AA363))</f>
        <v>0</v>
      </c>
      <c r="L367">
        <f>IF($G367="",0,IF(Sync!$AB363="",0,Sync!$AB363))</f>
        <v>0</v>
      </c>
      <c r="M367" t="str">
        <f t="shared" si="35"/>
        <v/>
      </c>
      <c r="N367">
        <f>IF($G367="",0,IF($H367="مرجوعی فروش",-1,1)*IF(Sync!$AC363="",0,Sync!$AC363))</f>
        <v>0</v>
      </c>
      <c r="O367" t="str">
        <f>IF(OR($G367="",Sync!$V363=""),"",Sync!$V363)</f>
        <v/>
      </c>
      <c r="P367" t="str">
        <f>IF(OR($G367="",Sync!$AD363=""),"",Sync!$AD363)</f>
        <v/>
      </c>
      <c r="Q367" t="str">
        <f>IF($G367="","",IF(Sync!$U363="","0000",IF(AND(ISNUMBER(Sync!$U363),Sync!$U363&gt;=0,Sync!$U363&lt;1),RIGHT("00"&amp;HOUR(Sync!$U363),2)&amp;RIGHT("00"&amp;MINUTE(Sync!$U363),2),IFERROR(RIGHT("00"&amp;VALUE(LEFT(Sync!$U363,FIND(":",Sync!$U363)-1)),2)&amp;RIGHT("00"&amp;VALUE(MID(Sync!$U363,FIND(":",Sync!$U363)+1,2)),2),"0000"))))</f>
        <v/>
      </c>
    </row>
    <row r="368" spans="1:17" x14ac:dyDescent="0.2">
      <c r="A368" t="str">
        <f>IF(Sync!$T364="","",Sync!$T364)</f>
        <v/>
      </c>
      <c r="B368" t="str">
        <f t="shared" si="30"/>
        <v/>
      </c>
      <c r="C368" t="str">
        <f t="shared" si="31"/>
        <v/>
      </c>
      <c r="D368" t="str">
        <f t="shared" si="32"/>
        <v/>
      </c>
      <c r="E368" t="str">
        <f t="shared" si="33"/>
        <v/>
      </c>
      <c r="F368" t="str">
        <f t="shared" si="34"/>
        <v/>
      </c>
      <c r="G368" t="str">
        <f>IF(OR($E368="",$E368="نامعتبر",Sync!$X364=""),"",IF(AND(LEFT(UPPER(TRIM(Sync!$X364)),2)="SL",IFERROR(VLOOKUP(Sync!$W364,OpTbl,3,0),"")="فروش"),UPPER(TRIM(Sync!$X364)),""))</f>
        <v/>
      </c>
      <c r="H368" t="str">
        <f>IF($G368="","",IF(Sync!$W364="","",Sync!$W364))</f>
        <v/>
      </c>
      <c r="I368" t="str">
        <f>IF(OR($G368="",Sync!$Y364=""),"",Sync!$Y364)</f>
        <v/>
      </c>
      <c r="J368" t="str">
        <f>IF(OR($G368="",Sync!$Z364=""),"",Sync!$Z364)</f>
        <v/>
      </c>
      <c r="K368">
        <f>IF($G368="",0,IF(Sync!$AA364="",0,Sync!$AA364))</f>
        <v>0</v>
      </c>
      <c r="L368">
        <f>IF($G368="",0,IF(Sync!$AB364="",0,Sync!$AB364))</f>
        <v>0</v>
      </c>
      <c r="M368" t="str">
        <f t="shared" si="35"/>
        <v/>
      </c>
      <c r="N368">
        <f>IF($G368="",0,IF($H368="مرجوعی فروش",-1,1)*IF(Sync!$AC364="",0,Sync!$AC364))</f>
        <v>0</v>
      </c>
      <c r="O368" t="str">
        <f>IF(OR($G368="",Sync!$V364=""),"",Sync!$V364)</f>
        <v/>
      </c>
      <c r="P368" t="str">
        <f>IF(OR($G368="",Sync!$AD364=""),"",Sync!$AD364)</f>
        <v/>
      </c>
      <c r="Q368" t="str">
        <f>IF($G368="","",IF(Sync!$U364="","0000",IF(AND(ISNUMBER(Sync!$U364),Sync!$U364&gt;=0,Sync!$U364&lt;1),RIGHT("00"&amp;HOUR(Sync!$U364),2)&amp;RIGHT("00"&amp;MINUTE(Sync!$U364),2),IFERROR(RIGHT("00"&amp;VALUE(LEFT(Sync!$U364,FIND(":",Sync!$U364)-1)),2)&amp;RIGHT("00"&amp;VALUE(MID(Sync!$U364,FIND(":",Sync!$U364)+1,2)),2),"0000"))))</f>
        <v/>
      </c>
    </row>
    <row r="369" spans="1:17" x14ac:dyDescent="0.2">
      <c r="A369" t="str">
        <f>IF(Sync!$T365="","",Sync!$T365)</f>
        <v/>
      </c>
      <c r="B369" t="str">
        <f t="shared" si="30"/>
        <v/>
      </c>
      <c r="C369" t="str">
        <f t="shared" si="31"/>
        <v/>
      </c>
      <c r="D369" t="str">
        <f t="shared" si="32"/>
        <v/>
      </c>
      <c r="E369" t="str">
        <f t="shared" si="33"/>
        <v/>
      </c>
      <c r="F369" t="str">
        <f t="shared" si="34"/>
        <v/>
      </c>
      <c r="G369" t="str">
        <f>IF(OR($E369="",$E369="نامعتبر",Sync!$X365=""),"",IF(AND(LEFT(UPPER(TRIM(Sync!$X365)),2)="SL",IFERROR(VLOOKUP(Sync!$W365,OpTbl,3,0),"")="فروش"),UPPER(TRIM(Sync!$X365)),""))</f>
        <v/>
      </c>
      <c r="H369" t="str">
        <f>IF($G369="","",IF(Sync!$W365="","",Sync!$W365))</f>
        <v/>
      </c>
      <c r="I369" t="str">
        <f>IF(OR($G369="",Sync!$Y365=""),"",Sync!$Y365)</f>
        <v/>
      </c>
      <c r="J369" t="str">
        <f>IF(OR($G369="",Sync!$Z365=""),"",Sync!$Z365)</f>
        <v/>
      </c>
      <c r="K369">
        <f>IF($G369="",0,IF(Sync!$AA365="",0,Sync!$AA365))</f>
        <v>0</v>
      </c>
      <c r="L369">
        <f>IF($G369="",0,IF(Sync!$AB365="",0,Sync!$AB365))</f>
        <v>0</v>
      </c>
      <c r="M369" t="str">
        <f t="shared" si="35"/>
        <v/>
      </c>
      <c r="N369">
        <f>IF($G369="",0,IF($H369="مرجوعی فروش",-1,1)*IF(Sync!$AC365="",0,Sync!$AC365))</f>
        <v>0</v>
      </c>
      <c r="O369" t="str">
        <f>IF(OR($G369="",Sync!$V365=""),"",Sync!$V365)</f>
        <v/>
      </c>
      <c r="P369" t="str">
        <f>IF(OR($G369="",Sync!$AD365=""),"",Sync!$AD365)</f>
        <v/>
      </c>
      <c r="Q369" t="str">
        <f>IF($G369="","",IF(Sync!$U365="","0000",IF(AND(ISNUMBER(Sync!$U365),Sync!$U365&gt;=0,Sync!$U365&lt;1),RIGHT("00"&amp;HOUR(Sync!$U365),2)&amp;RIGHT("00"&amp;MINUTE(Sync!$U365),2),IFERROR(RIGHT("00"&amp;VALUE(LEFT(Sync!$U365,FIND(":",Sync!$U365)-1)),2)&amp;RIGHT("00"&amp;VALUE(MID(Sync!$U365,FIND(":",Sync!$U365)+1,2)),2),"0000"))))</f>
        <v/>
      </c>
    </row>
    <row r="370" spans="1:17" x14ac:dyDescent="0.2">
      <c r="A370" t="str">
        <f>IF(Sync!$T366="","",Sync!$T366)</f>
        <v/>
      </c>
      <c r="B370" t="str">
        <f t="shared" si="30"/>
        <v/>
      </c>
      <c r="C370" t="str">
        <f t="shared" si="31"/>
        <v/>
      </c>
      <c r="D370" t="str">
        <f t="shared" si="32"/>
        <v/>
      </c>
      <c r="E370" t="str">
        <f t="shared" si="33"/>
        <v/>
      </c>
      <c r="F370" t="str">
        <f t="shared" si="34"/>
        <v/>
      </c>
      <c r="G370" t="str">
        <f>IF(OR($E370="",$E370="نامعتبر",Sync!$X366=""),"",IF(AND(LEFT(UPPER(TRIM(Sync!$X366)),2)="SL",IFERROR(VLOOKUP(Sync!$W366,OpTbl,3,0),"")="فروش"),UPPER(TRIM(Sync!$X366)),""))</f>
        <v/>
      </c>
      <c r="H370" t="str">
        <f>IF($G370="","",IF(Sync!$W366="","",Sync!$W366))</f>
        <v/>
      </c>
      <c r="I370" t="str">
        <f>IF(OR($G370="",Sync!$Y366=""),"",Sync!$Y366)</f>
        <v/>
      </c>
      <c r="J370" t="str">
        <f>IF(OR($G370="",Sync!$Z366=""),"",Sync!$Z366)</f>
        <v/>
      </c>
      <c r="K370">
        <f>IF($G370="",0,IF(Sync!$AA366="",0,Sync!$AA366))</f>
        <v>0</v>
      </c>
      <c r="L370">
        <f>IF($G370="",0,IF(Sync!$AB366="",0,Sync!$AB366))</f>
        <v>0</v>
      </c>
      <c r="M370" t="str">
        <f t="shared" si="35"/>
        <v/>
      </c>
      <c r="N370">
        <f>IF($G370="",0,IF($H370="مرجوعی فروش",-1,1)*IF(Sync!$AC366="",0,Sync!$AC366))</f>
        <v>0</v>
      </c>
      <c r="O370" t="str">
        <f>IF(OR($G370="",Sync!$V366=""),"",Sync!$V366)</f>
        <v/>
      </c>
      <c r="P370" t="str">
        <f>IF(OR($G370="",Sync!$AD366=""),"",Sync!$AD366)</f>
        <v/>
      </c>
      <c r="Q370" t="str">
        <f>IF($G370="","",IF(Sync!$U366="","0000",IF(AND(ISNUMBER(Sync!$U366),Sync!$U366&gt;=0,Sync!$U366&lt;1),RIGHT("00"&amp;HOUR(Sync!$U366),2)&amp;RIGHT("00"&amp;MINUTE(Sync!$U366),2),IFERROR(RIGHT("00"&amp;VALUE(LEFT(Sync!$U366,FIND(":",Sync!$U366)-1)),2)&amp;RIGHT("00"&amp;VALUE(MID(Sync!$U366,FIND(":",Sync!$U366)+1,2)),2),"0000"))))</f>
        <v/>
      </c>
    </row>
    <row r="371" spans="1:17" x14ac:dyDescent="0.2">
      <c r="A371" t="str">
        <f>IF(Sync!$T367="","",Sync!$T367)</f>
        <v/>
      </c>
      <c r="B371" t="str">
        <f t="shared" si="30"/>
        <v/>
      </c>
      <c r="C371" t="str">
        <f t="shared" si="31"/>
        <v/>
      </c>
      <c r="D371" t="str">
        <f t="shared" si="32"/>
        <v/>
      </c>
      <c r="E371" t="str">
        <f t="shared" si="33"/>
        <v/>
      </c>
      <c r="F371" t="str">
        <f t="shared" si="34"/>
        <v/>
      </c>
      <c r="G371" t="str">
        <f>IF(OR($E371="",$E371="نامعتبر",Sync!$X367=""),"",IF(AND(LEFT(UPPER(TRIM(Sync!$X367)),2)="SL",IFERROR(VLOOKUP(Sync!$W367,OpTbl,3,0),"")="فروش"),UPPER(TRIM(Sync!$X367)),""))</f>
        <v/>
      </c>
      <c r="H371" t="str">
        <f>IF($G371="","",IF(Sync!$W367="","",Sync!$W367))</f>
        <v/>
      </c>
      <c r="I371" t="str">
        <f>IF(OR($G371="",Sync!$Y367=""),"",Sync!$Y367)</f>
        <v/>
      </c>
      <c r="J371" t="str">
        <f>IF(OR($G371="",Sync!$Z367=""),"",Sync!$Z367)</f>
        <v/>
      </c>
      <c r="K371">
        <f>IF($G371="",0,IF(Sync!$AA367="",0,Sync!$AA367))</f>
        <v>0</v>
      </c>
      <c r="L371">
        <f>IF($G371="",0,IF(Sync!$AB367="",0,Sync!$AB367))</f>
        <v>0</v>
      </c>
      <c r="M371" t="str">
        <f t="shared" si="35"/>
        <v/>
      </c>
      <c r="N371">
        <f>IF($G371="",0,IF($H371="مرجوعی فروش",-1,1)*IF(Sync!$AC367="",0,Sync!$AC367))</f>
        <v>0</v>
      </c>
      <c r="O371" t="str">
        <f>IF(OR($G371="",Sync!$V367=""),"",Sync!$V367)</f>
        <v/>
      </c>
      <c r="P371" t="str">
        <f>IF(OR($G371="",Sync!$AD367=""),"",Sync!$AD367)</f>
        <v/>
      </c>
      <c r="Q371" t="str">
        <f>IF($G371="","",IF(Sync!$U367="","0000",IF(AND(ISNUMBER(Sync!$U367),Sync!$U367&gt;=0,Sync!$U367&lt;1),RIGHT("00"&amp;HOUR(Sync!$U367),2)&amp;RIGHT("00"&amp;MINUTE(Sync!$U367),2),IFERROR(RIGHT("00"&amp;VALUE(LEFT(Sync!$U367,FIND(":",Sync!$U367)-1)),2)&amp;RIGHT("00"&amp;VALUE(MID(Sync!$U367,FIND(":",Sync!$U367)+1,2)),2),"0000"))))</f>
        <v/>
      </c>
    </row>
    <row r="372" spans="1:17" x14ac:dyDescent="0.2">
      <c r="A372" t="str">
        <f>IF(Sync!$T368="","",Sync!$T368)</f>
        <v/>
      </c>
      <c r="B372" t="str">
        <f t="shared" si="30"/>
        <v/>
      </c>
      <c r="C372" t="str">
        <f t="shared" si="31"/>
        <v/>
      </c>
      <c r="D372" t="str">
        <f t="shared" si="32"/>
        <v/>
      </c>
      <c r="E372" t="str">
        <f t="shared" si="33"/>
        <v/>
      </c>
      <c r="F372" t="str">
        <f t="shared" si="34"/>
        <v/>
      </c>
      <c r="G372" t="str">
        <f>IF(OR($E372="",$E372="نامعتبر",Sync!$X368=""),"",IF(AND(LEFT(UPPER(TRIM(Sync!$X368)),2)="SL",IFERROR(VLOOKUP(Sync!$W368,OpTbl,3,0),"")="فروش"),UPPER(TRIM(Sync!$X368)),""))</f>
        <v/>
      </c>
      <c r="H372" t="str">
        <f>IF($G372="","",IF(Sync!$W368="","",Sync!$W368))</f>
        <v/>
      </c>
      <c r="I372" t="str">
        <f>IF(OR($G372="",Sync!$Y368=""),"",Sync!$Y368)</f>
        <v/>
      </c>
      <c r="J372" t="str">
        <f>IF(OR($G372="",Sync!$Z368=""),"",Sync!$Z368)</f>
        <v/>
      </c>
      <c r="K372">
        <f>IF($G372="",0,IF(Sync!$AA368="",0,Sync!$AA368))</f>
        <v>0</v>
      </c>
      <c r="L372">
        <f>IF($G372="",0,IF(Sync!$AB368="",0,Sync!$AB368))</f>
        <v>0</v>
      </c>
      <c r="M372" t="str">
        <f t="shared" si="35"/>
        <v/>
      </c>
      <c r="N372">
        <f>IF($G372="",0,IF($H372="مرجوعی فروش",-1,1)*IF(Sync!$AC368="",0,Sync!$AC368))</f>
        <v>0</v>
      </c>
      <c r="O372" t="str">
        <f>IF(OR($G372="",Sync!$V368=""),"",Sync!$V368)</f>
        <v/>
      </c>
      <c r="P372" t="str">
        <f>IF(OR($G372="",Sync!$AD368=""),"",Sync!$AD368)</f>
        <v/>
      </c>
      <c r="Q372" t="str">
        <f>IF($G372="","",IF(Sync!$U368="","0000",IF(AND(ISNUMBER(Sync!$U368),Sync!$U368&gt;=0,Sync!$U368&lt;1),RIGHT("00"&amp;HOUR(Sync!$U368),2)&amp;RIGHT("00"&amp;MINUTE(Sync!$U368),2),IFERROR(RIGHT("00"&amp;VALUE(LEFT(Sync!$U368,FIND(":",Sync!$U368)-1)),2)&amp;RIGHT("00"&amp;VALUE(MID(Sync!$U368,FIND(":",Sync!$U368)+1,2)),2),"0000"))))</f>
        <v/>
      </c>
    </row>
    <row r="373" spans="1:17" x14ac:dyDescent="0.2">
      <c r="A373" t="str">
        <f>IF(Sync!$T369="","",Sync!$T369)</f>
        <v/>
      </c>
      <c r="B373" t="str">
        <f t="shared" si="30"/>
        <v/>
      </c>
      <c r="C373" t="str">
        <f t="shared" si="31"/>
        <v/>
      </c>
      <c r="D373" t="str">
        <f t="shared" si="32"/>
        <v/>
      </c>
      <c r="E373" t="str">
        <f t="shared" si="33"/>
        <v/>
      </c>
      <c r="F373" t="str">
        <f t="shared" si="34"/>
        <v/>
      </c>
      <c r="G373" t="str">
        <f>IF(OR($E373="",$E373="نامعتبر",Sync!$X369=""),"",IF(AND(LEFT(UPPER(TRIM(Sync!$X369)),2)="SL",IFERROR(VLOOKUP(Sync!$W369,OpTbl,3,0),"")="فروش"),UPPER(TRIM(Sync!$X369)),""))</f>
        <v/>
      </c>
      <c r="H373" t="str">
        <f>IF($G373="","",IF(Sync!$W369="","",Sync!$W369))</f>
        <v/>
      </c>
      <c r="I373" t="str">
        <f>IF(OR($G373="",Sync!$Y369=""),"",Sync!$Y369)</f>
        <v/>
      </c>
      <c r="J373" t="str">
        <f>IF(OR($G373="",Sync!$Z369=""),"",Sync!$Z369)</f>
        <v/>
      </c>
      <c r="K373">
        <f>IF($G373="",0,IF(Sync!$AA369="",0,Sync!$AA369))</f>
        <v>0</v>
      </c>
      <c r="L373">
        <f>IF($G373="",0,IF(Sync!$AB369="",0,Sync!$AB369))</f>
        <v>0</v>
      </c>
      <c r="M373" t="str">
        <f t="shared" si="35"/>
        <v/>
      </c>
      <c r="N373">
        <f>IF($G373="",0,IF($H373="مرجوعی فروش",-1,1)*IF(Sync!$AC369="",0,Sync!$AC369))</f>
        <v>0</v>
      </c>
      <c r="O373" t="str">
        <f>IF(OR($G373="",Sync!$V369=""),"",Sync!$V369)</f>
        <v/>
      </c>
      <c r="P373" t="str">
        <f>IF(OR($G373="",Sync!$AD369=""),"",Sync!$AD369)</f>
        <v/>
      </c>
      <c r="Q373" t="str">
        <f>IF($G373="","",IF(Sync!$U369="","0000",IF(AND(ISNUMBER(Sync!$U369),Sync!$U369&gt;=0,Sync!$U369&lt;1),RIGHT("00"&amp;HOUR(Sync!$U369),2)&amp;RIGHT("00"&amp;MINUTE(Sync!$U369),2),IFERROR(RIGHT("00"&amp;VALUE(LEFT(Sync!$U369,FIND(":",Sync!$U369)-1)),2)&amp;RIGHT("00"&amp;VALUE(MID(Sync!$U369,FIND(":",Sync!$U369)+1,2)),2),"0000"))))</f>
        <v/>
      </c>
    </row>
    <row r="374" spans="1:17" x14ac:dyDescent="0.2">
      <c r="A374" t="str">
        <f>IF(Sync!$T370="","",Sync!$T370)</f>
        <v/>
      </c>
      <c r="B374" t="str">
        <f t="shared" si="30"/>
        <v/>
      </c>
      <c r="C374" t="str">
        <f t="shared" si="31"/>
        <v/>
      </c>
      <c r="D374" t="str">
        <f t="shared" si="32"/>
        <v/>
      </c>
      <c r="E374" t="str">
        <f t="shared" si="33"/>
        <v/>
      </c>
      <c r="F374" t="str">
        <f t="shared" si="34"/>
        <v/>
      </c>
      <c r="G374" t="str">
        <f>IF(OR($E374="",$E374="نامعتبر",Sync!$X370=""),"",IF(AND(LEFT(UPPER(TRIM(Sync!$X370)),2)="SL",IFERROR(VLOOKUP(Sync!$W370,OpTbl,3,0),"")="فروش"),UPPER(TRIM(Sync!$X370)),""))</f>
        <v/>
      </c>
      <c r="H374" t="str">
        <f>IF($G374="","",IF(Sync!$W370="","",Sync!$W370))</f>
        <v/>
      </c>
      <c r="I374" t="str">
        <f>IF(OR($G374="",Sync!$Y370=""),"",Sync!$Y370)</f>
        <v/>
      </c>
      <c r="J374" t="str">
        <f>IF(OR($G374="",Sync!$Z370=""),"",Sync!$Z370)</f>
        <v/>
      </c>
      <c r="K374">
        <f>IF($G374="",0,IF(Sync!$AA370="",0,Sync!$AA370))</f>
        <v>0</v>
      </c>
      <c r="L374">
        <f>IF($G374="",0,IF(Sync!$AB370="",0,Sync!$AB370))</f>
        <v>0</v>
      </c>
      <c r="M374" t="str">
        <f t="shared" si="35"/>
        <v/>
      </c>
      <c r="N374">
        <f>IF($G374="",0,IF($H374="مرجوعی فروش",-1,1)*IF(Sync!$AC370="",0,Sync!$AC370))</f>
        <v>0</v>
      </c>
      <c r="O374" t="str">
        <f>IF(OR($G374="",Sync!$V370=""),"",Sync!$V370)</f>
        <v/>
      </c>
      <c r="P374" t="str">
        <f>IF(OR($G374="",Sync!$AD370=""),"",Sync!$AD370)</f>
        <v/>
      </c>
      <c r="Q374" t="str">
        <f>IF($G374="","",IF(Sync!$U370="","0000",IF(AND(ISNUMBER(Sync!$U370),Sync!$U370&gt;=0,Sync!$U370&lt;1),RIGHT("00"&amp;HOUR(Sync!$U370),2)&amp;RIGHT("00"&amp;MINUTE(Sync!$U370),2),IFERROR(RIGHT("00"&amp;VALUE(LEFT(Sync!$U370,FIND(":",Sync!$U370)-1)),2)&amp;RIGHT("00"&amp;VALUE(MID(Sync!$U370,FIND(":",Sync!$U370)+1,2)),2),"0000"))))</f>
        <v/>
      </c>
    </row>
    <row r="375" spans="1:17" x14ac:dyDescent="0.2">
      <c r="A375" t="str">
        <f>IF(Sync!$T371="","",Sync!$T371)</f>
        <v/>
      </c>
      <c r="B375" t="str">
        <f t="shared" si="30"/>
        <v/>
      </c>
      <c r="C375" t="str">
        <f t="shared" si="31"/>
        <v/>
      </c>
      <c r="D375" t="str">
        <f t="shared" si="32"/>
        <v/>
      </c>
      <c r="E375" t="str">
        <f t="shared" si="33"/>
        <v/>
      </c>
      <c r="F375" t="str">
        <f t="shared" si="34"/>
        <v/>
      </c>
      <c r="G375" t="str">
        <f>IF(OR($E375="",$E375="نامعتبر",Sync!$X371=""),"",IF(AND(LEFT(UPPER(TRIM(Sync!$X371)),2)="SL",IFERROR(VLOOKUP(Sync!$W371,OpTbl,3,0),"")="فروش"),UPPER(TRIM(Sync!$X371)),""))</f>
        <v/>
      </c>
      <c r="H375" t="str">
        <f>IF($G375="","",IF(Sync!$W371="","",Sync!$W371))</f>
        <v/>
      </c>
      <c r="I375" t="str">
        <f>IF(OR($G375="",Sync!$Y371=""),"",Sync!$Y371)</f>
        <v/>
      </c>
      <c r="J375" t="str">
        <f>IF(OR($G375="",Sync!$Z371=""),"",Sync!$Z371)</f>
        <v/>
      </c>
      <c r="K375">
        <f>IF($G375="",0,IF(Sync!$AA371="",0,Sync!$AA371))</f>
        <v>0</v>
      </c>
      <c r="L375">
        <f>IF($G375="",0,IF(Sync!$AB371="",0,Sync!$AB371))</f>
        <v>0</v>
      </c>
      <c r="M375" t="str">
        <f t="shared" si="35"/>
        <v/>
      </c>
      <c r="N375">
        <f>IF($G375="",0,IF($H375="مرجوعی فروش",-1,1)*IF(Sync!$AC371="",0,Sync!$AC371))</f>
        <v>0</v>
      </c>
      <c r="O375" t="str">
        <f>IF(OR($G375="",Sync!$V371=""),"",Sync!$V371)</f>
        <v/>
      </c>
      <c r="P375" t="str">
        <f>IF(OR($G375="",Sync!$AD371=""),"",Sync!$AD371)</f>
        <v/>
      </c>
      <c r="Q375" t="str">
        <f>IF($G375="","",IF(Sync!$U371="","0000",IF(AND(ISNUMBER(Sync!$U371),Sync!$U371&gt;=0,Sync!$U371&lt;1),RIGHT("00"&amp;HOUR(Sync!$U371),2)&amp;RIGHT("00"&amp;MINUTE(Sync!$U371),2),IFERROR(RIGHT("00"&amp;VALUE(LEFT(Sync!$U371,FIND(":",Sync!$U371)-1)),2)&amp;RIGHT("00"&amp;VALUE(MID(Sync!$U371,FIND(":",Sync!$U371)+1,2)),2),"0000"))))</f>
        <v/>
      </c>
    </row>
    <row r="376" spans="1:17" x14ac:dyDescent="0.2">
      <c r="A376" t="str">
        <f>IF(Sync!$T372="","",Sync!$T372)</f>
        <v/>
      </c>
      <c r="B376" t="str">
        <f t="shared" si="30"/>
        <v/>
      </c>
      <c r="C376" t="str">
        <f t="shared" si="31"/>
        <v/>
      </c>
      <c r="D376" t="str">
        <f t="shared" si="32"/>
        <v/>
      </c>
      <c r="E376" t="str">
        <f t="shared" si="33"/>
        <v/>
      </c>
      <c r="F376" t="str">
        <f t="shared" si="34"/>
        <v/>
      </c>
      <c r="G376" t="str">
        <f>IF(OR($E376="",$E376="نامعتبر",Sync!$X372=""),"",IF(AND(LEFT(UPPER(TRIM(Sync!$X372)),2)="SL",IFERROR(VLOOKUP(Sync!$W372,OpTbl,3,0),"")="فروش"),UPPER(TRIM(Sync!$X372)),""))</f>
        <v/>
      </c>
      <c r="H376" t="str">
        <f>IF($G376="","",IF(Sync!$W372="","",Sync!$W372))</f>
        <v/>
      </c>
      <c r="I376" t="str">
        <f>IF(OR($G376="",Sync!$Y372=""),"",Sync!$Y372)</f>
        <v/>
      </c>
      <c r="J376" t="str">
        <f>IF(OR($G376="",Sync!$Z372=""),"",Sync!$Z372)</f>
        <v/>
      </c>
      <c r="K376">
        <f>IF($G376="",0,IF(Sync!$AA372="",0,Sync!$AA372))</f>
        <v>0</v>
      </c>
      <c r="L376">
        <f>IF($G376="",0,IF(Sync!$AB372="",0,Sync!$AB372))</f>
        <v>0</v>
      </c>
      <c r="M376" t="str">
        <f t="shared" si="35"/>
        <v/>
      </c>
      <c r="N376">
        <f>IF($G376="",0,IF($H376="مرجوعی فروش",-1,1)*IF(Sync!$AC372="",0,Sync!$AC372))</f>
        <v>0</v>
      </c>
      <c r="O376" t="str">
        <f>IF(OR($G376="",Sync!$V372=""),"",Sync!$V372)</f>
        <v/>
      </c>
      <c r="P376" t="str">
        <f>IF(OR($G376="",Sync!$AD372=""),"",Sync!$AD372)</f>
        <v/>
      </c>
      <c r="Q376" t="str">
        <f>IF($G376="","",IF(Sync!$U372="","0000",IF(AND(ISNUMBER(Sync!$U372),Sync!$U372&gt;=0,Sync!$U372&lt;1),RIGHT("00"&amp;HOUR(Sync!$U372),2)&amp;RIGHT("00"&amp;MINUTE(Sync!$U372),2),IFERROR(RIGHT("00"&amp;VALUE(LEFT(Sync!$U372,FIND(":",Sync!$U372)-1)),2)&amp;RIGHT("00"&amp;VALUE(MID(Sync!$U372,FIND(":",Sync!$U372)+1,2)),2),"0000"))))</f>
        <v/>
      </c>
    </row>
    <row r="377" spans="1:17" x14ac:dyDescent="0.2">
      <c r="A377" t="str">
        <f>IF(Sync!$T373="","",Sync!$T373)</f>
        <v/>
      </c>
      <c r="B377" t="str">
        <f t="shared" si="30"/>
        <v/>
      </c>
      <c r="C377" t="str">
        <f t="shared" si="31"/>
        <v/>
      </c>
      <c r="D377" t="str">
        <f t="shared" si="32"/>
        <v/>
      </c>
      <c r="E377" t="str">
        <f t="shared" si="33"/>
        <v/>
      </c>
      <c r="F377" t="str">
        <f t="shared" si="34"/>
        <v/>
      </c>
      <c r="G377" t="str">
        <f>IF(OR($E377="",$E377="نامعتبر",Sync!$X373=""),"",IF(AND(LEFT(UPPER(TRIM(Sync!$X373)),2)="SL",IFERROR(VLOOKUP(Sync!$W373,OpTbl,3,0),"")="فروش"),UPPER(TRIM(Sync!$X373)),""))</f>
        <v/>
      </c>
      <c r="H377" t="str">
        <f>IF($G377="","",IF(Sync!$W373="","",Sync!$W373))</f>
        <v/>
      </c>
      <c r="I377" t="str">
        <f>IF(OR($G377="",Sync!$Y373=""),"",Sync!$Y373)</f>
        <v/>
      </c>
      <c r="J377" t="str">
        <f>IF(OR($G377="",Sync!$Z373=""),"",Sync!$Z373)</f>
        <v/>
      </c>
      <c r="K377">
        <f>IF($G377="",0,IF(Sync!$AA373="",0,Sync!$AA373))</f>
        <v>0</v>
      </c>
      <c r="L377">
        <f>IF($G377="",0,IF(Sync!$AB373="",0,Sync!$AB373))</f>
        <v>0</v>
      </c>
      <c r="M377" t="str">
        <f t="shared" si="35"/>
        <v/>
      </c>
      <c r="N377">
        <f>IF($G377="",0,IF($H377="مرجوعی فروش",-1,1)*IF(Sync!$AC373="",0,Sync!$AC373))</f>
        <v>0</v>
      </c>
      <c r="O377" t="str">
        <f>IF(OR($G377="",Sync!$V373=""),"",Sync!$V373)</f>
        <v/>
      </c>
      <c r="P377" t="str">
        <f>IF(OR($G377="",Sync!$AD373=""),"",Sync!$AD373)</f>
        <v/>
      </c>
      <c r="Q377" t="str">
        <f>IF($G377="","",IF(Sync!$U373="","0000",IF(AND(ISNUMBER(Sync!$U373),Sync!$U373&gt;=0,Sync!$U373&lt;1),RIGHT("00"&amp;HOUR(Sync!$U373),2)&amp;RIGHT("00"&amp;MINUTE(Sync!$U373),2),IFERROR(RIGHT("00"&amp;VALUE(LEFT(Sync!$U373,FIND(":",Sync!$U373)-1)),2)&amp;RIGHT("00"&amp;VALUE(MID(Sync!$U373,FIND(":",Sync!$U373)+1,2)),2),"0000"))))</f>
        <v/>
      </c>
    </row>
    <row r="378" spans="1:17" x14ac:dyDescent="0.2">
      <c r="A378" t="str">
        <f>IF(Sync!$T374="","",Sync!$T374)</f>
        <v/>
      </c>
      <c r="B378" t="str">
        <f t="shared" si="30"/>
        <v/>
      </c>
      <c r="C378" t="str">
        <f t="shared" si="31"/>
        <v/>
      </c>
      <c r="D378" t="str">
        <f t="shared" si="32"/>
        <v/>
      </c>
      <c r="E378" t="str">
        <f t="shared" si="33"/>
        <v/>
      </c>
      <c r="F378" t="str">
        <f t="shared" si="34"/>
        <v/>
      </c>
      <c r="G378" t="str">
        <f>IF(OR($E378="",$E378="نامعتبر",Sync!$X374=""),"",IF(AND(LEFT(UPPER(TRIM(Sync!$X374)),2)="SL",IFERROR(VLOOKUP(Sync!$W374,OpTbl,3,0),"")="فروش"),UPPER(TRIM(Sync!$X374)),""))</f>
        <v/>
      </c>
      <c r="H378" t="str">
        <f>IF($G378="","",IF(Sync!$W374="","",Sync!$W374))</f>
        <v/>
      </c>
      <c r="I378" t="str">
        <f>IF(OR($G378="",Sync!$Y374=""),"",Sync!$Y374)</f>
        <v/>
      </c>
      <c r="J378" t="str">
        <f>IF(OR($G378="",Sync!$Z374=""),"",Sync!$Z374)</f>
        <v/>
      </c>
      <c r="K378">
        <f>IF($G378="",0,IF(Sync!$AA374="",0,Sync!$AA374))</f>
        <v>0</v>
      </c>
      <c r="L378">
        <f>IF($G378="",0,IF(Sync!$AB374="",0,Sync!$AB374))</f>
        <v>0</v>
      </c>
      <c r="M378" t="str">
        <f t="shared" si="35"/>
        <v/>
      </c>
      <c r="N378">
        <f>IF($G378="",0,IF($H378="مرجوعی فروش",-1,1)*IF(Sync!$AC374="",0,Sync!$AC374))</f>
        <v>0</v>
      </c>
      <c r="O378" t="str">
        <f>IF(OR($G378="",Sync!$V374=""),"",Sync!$V374)</f>
        <v/>
      </c>
      <c r="P378" t="str">
        <f>IF(OR($G378="",Sync!$AD374=""),"",Sync!$AD374)</f>
        <v/>
      </c>
      <c r="Q378" t="str">
        <f>IF($G378="","",IF(Sync!$U374="","0000",IF(AND(ISNUMBER(Sync!$U374),Sync!$U374&gt;=0,Sync!$U374&lt;1),RIGHT("00"&amp;HOUR(Sync!$U374),2)&amp;RIGHT("00"&amp;MINUTE(Sync!$U374),2),IFERROR(RIGHT("00"&amp;VALUE(LEFT(Sync!$U374,FIND(":",Sync!$U374)-1)),2)&amp;RIGHT("00"&amp;VALUE(MID(Sync!$U374,FIND(":",Sync!$U374)+1,2)),2),"0000"))))</f>
        <v/>
      </c>
    </row>
    <row r="379" spans="1:17" x14ac:dyDescent="0.2">
      <c r="A379" t="str">
        <f>IF(Sync!$T375="","",Sync!$T375)</f>
        <v/>
      </c>
      <c r="B379" t="str">
        <f t="shared" si="30"/>
        <v/>
      </c>
      <c r="C379" t="str">
        <f t="shared" si="31"/>
        <v/>
      </c>
      <c r="D379" t="str">
        <f t="shared" si="32"/>
        <v/>
      </c>
      <c r="E379" t="str">
        <f t="shared" si="33"/>
        <v/>
      </c>
      <c r="F379" t="str">
        <f t="shared" si="34"/>
        <v/>
      </c>
      <c r="G379" t="str">
        <f>IF(OR($E379="",$E379="نامعتبر",Sync!$X375=""),"",IF(AND(LEFT(UPPER(TRIM(Sync!$X375)),2)="SL",IFERROR(VLOOKUP(Sync!$W375,OpTbl,3,0),"")="فروش"),UPPER(TRIM(Sync!$X375)),""))</f>
        <v/>
      </c>
      <c r="H379" t="str">
        <f>IF($G379="","",IF(Sync!$W375="","",Sync!$W375))</f>
        <v/>
      </c>
      <c r="I379" t="str">
        <f>IF(OR($G379="",Sync!$Y375=""),"",Sync!$Y375)</f>
        <v/>
      </c>
      <c r="J379" t="str">
        <f>IF(OR($G379="",Sync!$Z375=""),"",Sync!$Z375)</f>
        <v/>
      </c>
      <c r="K379">
        <f>IF($G379="",0,IF(Sync!$AA375="",0,Sync!$AA375))</f>
        <v>0</v>
      </c>
      <c r="L379">
        <f>IF($G379="",0,IF(Sync!$AB375="",0,Sync!$AB375))</f>
        <v>0</v>
      </c>
      <c r="M379" t="str">
        <f t="shared" si="35"/>
        <v/>
      </c>
      <c r="N379">
        <f>IF($G379="",0,IF($H379="مرجوعی فروش",-1,1)*IF(Sync!$AC375="",0,Sync!$AC375))</f>
        <v>0</v>
      </c>
      <c r="O379" t="str">
        <f>IF(OR($G379="",Sync!$V375=""),"",Sync!$V375)</f>
        <v/>
      </c>
      <c r="P379" t="str">
        <f>IF(OR($G379="",Sync!$AD375=""),"",Sync!$AD375)</f>
        <v/>
      </c>
      <c r="Q379" t="str">
        <f>IF($G379="","",IF(Sync!$U375="","0000",IF(AND(ISNUMBER(Sync!$U375),Sync!$U375&gt;=0,Sync!$U375&lt;1),RIGHT("00"&amp;HOUR(Sync!$U375),2)&amp;RIGHT("00"&amp;MINUTE(Sync!$U375),2),IFERROR(RIGHT("00"&amp;VALUE(LEFT(Sync!$U375,FIND(":",Sync!$U375)-1)),2)&amp;RIGHT("00"&amp;VALUE(MID(Sync!$U375,FIND(":",Sync!$U375)+1,2)),2),"0000"))))</f>
        <v/>
      </c>
    </row>
    <row r="380" spans="1:17" x14ac:dyDescent="0.2">
      <c r="A380" t="str">
        <f>IF(Sync!$T376="","",Sync!$T376)</f>
        <v/>
      </c>
      <c r="B380" t="str">
        <f t="shared" si="30"/>
        <v/>
      </c>
      <c r="C380" t="str">
        <f t="shared" si="31"/>
        <v/>
      </c>
      <c r="D380" t="str">
        <f t="shared" si="32"/>
        <v/>
      </c>
      <c r="E380" t="str">
        <f t="shared" si="33"/>
        <v/>
      </c>
      <c r="F380" t="str">
        <f t="shared" si="34"/>
        <v/>
      </c>
      <c r="G380" t="str">
        <f>IF(OR($E380="",$E380="نامعتبر",Sync!$X376=""),"",IF(AND(LEFT(UPPER(TRIM(Sync!$X376)),2)="SL",IFERROR(VLOOKUP(Sync!$W376,OpTbl,3,0),"")="فروش"),UPPER(TRIM(Sync!$X376)),""))</f>
        <v/>
      </c>
      <c r="H380" t="str">
        <f>IF($G380="","",IF(Sync!$W376="","",Sync!$W376))</f>
        <v/>
      </c>
      <c r="I380" t="str">
        <f>IF(OR($G380="",Sync!$Y376=""),"",Sync!$Y376)</f>
        <v/>
      </c>
      <c r="J380" t="str">
        <f>IF(OR($G380="",Sync!$Z376=""),"",Sync!$Z376)</f>
        <v/>
      </c>
      <c r="K380">
        <f>IF($G380="",0,IF(Sync!$AA376="",0,Sync!$AA376))</f>
        <v>0</v>
      </c>
      <c r="L380">
        <f>IF($G380="",0,IF(Sync!$AB376="",0,Sync!$AB376))</f>
        <v>0</v>
      </c>
      <c r="M380" t="str">
        <f t="shared" si="35"/>
        <v/>
      </c>
      <c r="N380">
        <f>IF($G380="",0,IF($H380="مرجوعی فروش",-1,1)*IF(Sync!$AC376="",0,Sync!$AC376))</f>
        <v>0</v>
      </c>
      <c r="O380" t="str">
        <f>IF(OR($G380="",Sync!$V376=""),"",Sync!$V376)</f>
        <v/>
      </c>
      <c r="P380" t="str">
        <f>IF(OR($G380="",Sync!$AD376=""),"",Sync!$AD376)</f>
        <v/>
      </c>
      <c r="Q380" t="str">
        <f>IF($G380="","",IF(Sync!$U376="","0000",IF(AND(ISNUMBER(Sync!$U376),Sync!$U376&gt;=0,Sync!$U376&lt;1),RIGHT("00"&amp;HOUR(Sync!$U376),2)&amp;RIGHT("00"&amp;MINUTE(Sync!$U376),2),IFERROR(RIGHT("00"&amp;VALUE(LEFT(Sync!$U376,FIND(":",Sync!$U376)-1)),2)&amp;RIGHT("00"&amp;VALUE(MID(Sync!$U376,FIND(":",Sync!$U376)+1,2)),2),"0000"))))</f>
        <v/>
      </c>
    </row>
    <row r="381" spans="1:17" x14ac:dyDescent="0.2">
      <c r="A381" t="str">
        <f>IF(Sync!$T377="","",Sync!$T377)</f>
        <v/>
      </c>
      <c r="B381" t="str">
        <f t="shared" si="30"/>
        <v/>
      </c>
      <c r="C381" t="str">
        <f t="shared" si="31"/>
        <v/>
      </c>
      <c r="D381" t="str">
        <f t="shared" si="32"/>
        <v/>
      </c>
      <c r="E381" t="str">
        <f t="shared" si="33"/>
        <v/>
      </c>
      <c r="F381" t="str">
        <f t="shared" si="34"/>
        <v/>
      </c>
      <c r="G381" t="str">
        <f>IF(OR($E381="",$E381="نامعتبر",Sync!$X377=""),"",IF(AND(LEFT(UPPER(TRIM(Sync!$X377)),2)="SL",IFERROR(VLOOKUP(Sync!$W377,OpTbl,3,0),"")="فروش"),UPPER(TRIM(Sync!$X377)),""))</f>
        <v/>
      </c>
      <c r="H381" t="str">
        <f>IF($G381="","",IF(Sync!$W377="","",Sync!$W377))</f>
        <v/>
      </c>
      <c r="I381" t="str">
        <f>IF(OR($G381="",Sync!$Y377=""),"",Sync!$Y377)</f>
        <v/>
      </c>
      <c r="J381" t="str">
        <f>IF(OR($G381="",Sync!$Z377=""),"",Sync!$Z377)</f>
        <v/>
      </c>
      <c r="K381">
        <f>IF($G381="",0,IF(Sync!$AA377="",0,Sync!$AA377))</f>
        <v>0</v>
      </c>
      <c r="L381">
        <f>IF($G381="",0,IF(Sync!$AB377="",0,Sync!$AB377))</f>
        <v>0</v>
      </c>
      <c r="M381" t="str">
        <f t="shared" si="35"/>
        <v/>
      </c>
      <c r="N381">
        <f>IF($G381="",0,IF($H381="مرجوعی فروش",-1,1)*IF(Sync!$AC377="",0,Sync!$AC377))</f>
        <v>0</v>
      </c>
      <c r="O381" t="str">
        <f>IF(OR($G381="",Sync!$V377=""),"",Sync!$V377)</f>
        <v/>
      </c>
      <c r="P381" t="str">
        <f>IF(OR($G381="",Sync!$AD377=""),"",Sync!$AD377)</f>
        <v/>
      </c>
      <c r="Q381" t="str">
        <f>IF($G381="","",IF(Sync!$U377="","0000",IF(AND(ISNUMBER(Sync!$U377),Sync!$U377&gt;=0,Sync!$U377&lt;1),RIGHT("00"&amp;HOUR(Sync!$U377),2)&amp;RIGHT("00"&amp;MINUTE(Sync!$U377),2),IFERROR(RIGHT("00"&amp;VALUE(LEFT(Sync!$U377,FIND(":",Sync!$U377)-1)),2)&amp;RIGHT("00"&amp;VALUE(MID(Sync!$U377,FIND(":",Sync!$U377)+1,2)),2),"0000"))))</f>
        <v/>
      </c>
    </row>
    <row r="382" spans="1:17" x14ac:dyDescent="0.2">
      <c r="A382" t="str">
        <f>IF(Sync!$T378="","",Sync!$T378)</f>
        <v/>
      </c>
      <c r="B382" t="str">
        <f t="shared" si="30"/>
        <v/>
      </c>
      <c r="C382" t="str">
        <f t="shared" si="31"/>
        <v/>
      </c>
      <c r="D382" t="str">
        <f t="shared" si="32"/>
        <v/>
      </c>
      <c r="E382" t="str">
        <f t="shared" si="33"/>
        <v/>
      </c>
      <c r="F382" t="str">
        <f t="shared" si="34"/>
        <v/>
      </c>
      <c r="G382" t="str">
        <f>IF(OR($E382="",$E382="نامعتبر",Sync!$X378=""),"",IF(AND(LEFT(UPPER(TRIM(Sync!$X378)),2)="SL",IFERROR(VLOOKUP(Sync!$W378,OpTbl,3,0),"")="فروش"),UPPER(TRIM(Sync!$X378)),""))</f>
        <v/>
      </c>
      <c r="H382" t="str">
        <f>IF($G382="","",IF(Sync!$W378="","",Sync!$W378))</f>
        <v/>
      </c>
      <c r="I382" t="str">
        <f>IF(OR($G382="",Sync!$Y378=""),"",Sync!$Y378)</f>
        <v/>
      </c>
      <c r="J382" t="str">
        <f>IF(OR($G382="",Sync!$Z378=""),"",Sync!$Z378)</f>
        <v/>
      </c>
      <c r="K382">
        <f>IF($G382="",0,IF(Sync!$AA378="",0,Sync!$AA378))</f>
        <v>0</v>
      </c>
      <c r="L382">
        <f>IF($G382="",0,IF(Sync!$AB378="",0,Sync!$AB378))</f>
        <v>0</v>
      </c>
      <c r="M382" t="str">
        <f t="shared" si="35"/>
        <v/>
      </c>
      <c r="N382">
        <f>IF($G382="",0,IF($H382="مرجوعی فروش",-1,1)*IF(Sync!$AC378="",0,Sync!$AC378))</f>
        <v>0</v>
      </c>
      <c r="O382" t="str">
        <f>IF(OR($G382="",Sync!$V378=""),"",Sync!$V378)</f>
        <v/>
      </c>
      <c r="P382" t="str">
        <f>IF(OR($G382="",Sync!$AD378=""),"",Sync!$AD378)</f>
        <v/>
      </c>
      <c r="Q382" t="str">
        <f>IF($G382="","",IF(Sync!$U378="","0000",IF(AND(ISNUMBER(Sync!$U378),Sync!$U378&gt;=0,Sync!$U378&lt;1),RIGHT("00"&amp;HOUR(Sync!$U378),2)&amp;RIGHT("00"&amp;MINUTE(Sync!$U378),2),IFERROR(RIGHT("00"&amp;VALUE(LEFT(Sync!$U378,FIND(":",Sync!$U378)-1)),2)&amp;RIGHT("00"&amp;VALUE(MID(Sync!$U378,FIND(":",Sync!$U378)+1,2)),2),"0000"))))</f>
        <v/>
      </c>
    </row>
    <row r="383" spans="1:17" x14ac:dyDescent="0.2">
      <c r="A383" t="str">
        <f>IF(Sync!$T379="","",Sync!$T379)</f>
        <v/>
      </c>
      <c r="B383" t="str">
        <f t="shared" si="30"/>
        <v/>
      </c>
      <c r="C383" t="str">
        <f t="shared" si="31"/>
        <v/>
      </c>
      <c r="D383" t="str">
        <f t="shared" si="32"/>
        <v/>
      </c>
      <c r="E383" t="str">
        <f t="shared" si="33"/>
        <v/>
      </c>
      <c r="F383" t="str">
        <f t="shared" si="34"/>
        <v/>
      </c>
      <c r="G383" t="str">
        <f>IF(OR($E383="",$E383="نامعتبر",Sync!$X379=""),"",IF(AND(LEFT(UPPER(TRIM(Sync!$X379)),2)="SL",IFERROR(VLOOKUP(Sync!$W379,OpTbl,3,0),"")="فروش"),UPPER(TRIM(Sync!$X379)),""))</f>
        <v/>
      </c>
      <c r="H383" t="str">
        <f>IF($G383="","",IF(Sync!$W379="","",Sync!$W379))</f>
        <v/>
      </c>
      <c r="I383" t="str">
        <f>IF(OR($G383="",Sync!$Y379=""),"",Sync!$Y379)</f>
        <v/>
      </c>
      <c r="J383" t="str">
        <f>IF(OR($G383="",Sync!$Z379=""),"",Sync!$Z379)</f>
        <v/>
      </c>
      <c r="K383">
        <f>IF($G383="",0,IF(Sync!$AA379="",0,Sync!$AA379))</f>
        <v>0</v>
      </c>
      <c r="L383">
        <f>IF($G383="",0,IF(Sync!$AB379="",0,Sync!$AB379))</f>
        <v>0</v>
      </c>
      <c r="M383" t="str">
        <f t="shared" si="35"/>
        <v/>
      </c>
      <c r="N383">
        <f>IF($G383="",0,IF($H383="مرجوعی فروش",-1,1)*IF(Sync!$AC379="",0,Sync!$AC379))</f>
        <v>0</v>
      </c>
      <c r="O383" t="str">
        <f>IF(OR($G383="",Sync!$V379=""),"",Sync!$V379)</f>
        <v/>
      </c>
      <c r="P383" t="str">
        <f>IF(OR($G383="",Sync!$AD379=""),"",Sync!$AD379)</f>
        <v/>
      </c>
      <c r="Q383" t="str">
        <f>IF($G383="","",IF(Sync!$U379="","0000",IF(AND(ISNUMBER(Sync!$U379),Sync!$U379&gt;=0,Sync!$U379&lt;1),RIGHT("00"&amp;HOUR(Sync!$U379),2)&amp;RIGHT("00"&amp;MINUTE(Sync!$U379),2),IFERROR(RIGHT("00"&amp;VALUE(LEFT(Sync!$U379,FIND(":",Sync!$U379)-1)),2)&amp;RIGHT("00"&amp;VALUE(MID(Sync!$U379,FIND(":",Sync!$U379)+1,2)),2),"0000"))))</f>
        <v/>
      </c>
    </row>
    <row r="384" spans="1:17" x14ac:dyDescent="0.2">
      <c r="A384" t="str">
        <f>IF(Sync!$T380="","",Sync!$T380)</f>
        <v/>
      </c>
      <c r="B384" t="str">
        <f t="shared" si="30"/>
        <v/>
      </c>
      <c r="C384" t="str">
        <f t="shared" si="31"/>
        <v/>
      </c>
      <c r="D384" t="str">
        <f t="shared" si="32"/>
        <v/>
      </c>
      <c r="E384" t="str">
        <f t="shared" si="33"/>
        <v/>
      </c>
      <c r="F384" t="str">
        <f t="shared" si="34"/>
        <v/>
      </c>
      <c r="G384" t="str">
        <f>IF(OR($E384="",$E384="نامعتبر",Sync!$X380=""),"",IF(AND(LEFT(UPPER(TRIM(Sync!$X380)),2)="SL",IFERROR(VLOOKUP(Sync!$W380,OpTbl,3,0),"")="فروش"),UPPER(TRIM(Sync!$X380)),""))</f>
        <v/>
      </c>
      <c r="H384" t="str">
        <f>IF($G384="","",IF(Sync!$W380="","",Sync!$W380))</f>
        <v/>
      </c>
      <c r="I384" t="str">
        <f>IF(OR($G384="",Sync!$Y380=""),"",Sync!$Y380)</f>
        <v/>
      </c>
      <c r="J384" t="str">
        <f>IF(OR($G384="",Sync!$Z380=""),"",Sync!$Z380)</f>
        <v/>
      </c>
      <c r="K384">
        <f>IF($G384="",0,IF(Sync!$AA380="",0,Sync!$AA380))</f>
        <v>0</v>
      </c>
      <c r="L384">
        <f>IF($G384="",0,IF(Sync!$AB380="",0,Sync!$AB380))</f>
        <v>0</v>
      </c>
      <c r="M384" t="str">
        <f t="shared" si="35"/>
        <v/>
      </c>
      <c r="N384">
        <f>IF($G384="",0,IF($H384="مرجوعی فروش",-1,1)*IF(Sync!$AC380="",0,Sync!$AC380))</f>
        <v>0</v>
      </c>
      <c r="O384" t="str">
        <f>IF(OR($G384="",Sync!$V380=""),"",Sync!$V380)</f>
        <v/>
      </c>
      <c r="P384" t="str">
        <f>IF(OR($G384="",Sync!$AD380=""),"",Sync!$AD380)</f>
        <v/>
      </c>
      <c r="Q384" t="str">
        <f>IF($G384="","",IF(Sync!$U380="","0000",IF(AND(ISNUMBER(Sync!$U380),Sync!$U380&gt;=0,Sync!$U380&lt;1),RIGHT("00"&amp;HOUR(Sync!$U380),2)&amp;RIGHT("00"&amp;MINUTE(Sync!$U380),2),IFERROR(RIGHT("00"&amp;VALUE(LEFT(Sync!$U380,FIND(":",Sync!$U380)-1)),2)&amp;RIGHT("00"&amp;VALUE(MID(Sync!$U380,FIND(":",Sync!$U380)+1,2)),2),"0000"))))</f>
        <v/>
      </c>
    </row>
    <row r="385" spans="1:17" x14ac:dyDescent="0.2">
      <c r="A385" t="str">
        <f>IF(Sync!$T381="","",Sync!$T381)</f>
        <v/>
      </c>
      <c r="B385" t="str">
        <f t="shared" si="30"/>
        <v/>
      </c>
      <c r="C385" t="str">
        <f t="shared" si="31"/>
        <v/>
      </c>
      <c r="D385" t="str">
        <f t="shared" si="32"/>
        <v/>
      </c>
      <c r="E385" t="str">
        <f t="shared" si="33"/>
        <v/>
      </c>
      <c r="F385" t="str">
        <f t="shared" si="34"/>
        <v/>
      </c>
      <c r="G385" t="str">
        <f>IF(OR($E385="",$E385="نامعتبر",Sync!$X381=""),"",IF(AND(LEFT(UPPER(TRIM(Sync!$X381)),2)="SL",IFERROR(VLOOKUP(Sync!$W381,OpTbl,3,0),"")="فروش"),UPPER(TRIM(Sync!$X381)),""))</f>
        <v/>
      </c>
      <c r="H385" t="str">
        <f>IF($G385="","",IF(Sync!$W381="","",Sync!$W381))</f>
        <v/>
      </c>
      <c r="I385" t="str">
        <f>IF(OR($G385="",Sync!$Y381=""),"",Sync!$Y381)</f>
        <v/>
      </c>
      <c r="J385" t="str">
        <f>IF(OR($G385="",Sync!$Z381=""),"",Sync!$Z381)</f>
        <v/>
      </c>
      <c r="K385">
        <f>IF($G385="",0,IF(Sync!$AA381="",0,Sync!$AA381))</f>
        <v>0</v>
      </c>
      <c r="L385">
        <f>IF($G385="",0,IF(Sync!$AB381="",0,Sync!$AB381))</f>
        <v>0</v>
      </c>
      <c r="M385" t="str">
        <f t="shared" si="35"/>
        <v/>
      </c>
      <c r="N385">
        <f>IF($G385="",0,IF($H385="مرجوعی فروش",-1,1)*IF(Sync!$AC381="",0,Sync!$AC381))</f>
        <v>0</v>
      </c>
      <c r="O385" t="str">
        <f>IF(OR($G385="",Sync!$V381=""),"",Sync!$V381)</f>
        <v/>
      </c>
      <c r="P385" t="str">
        <f>IF(OR($G385="",Sync!$AD381=""),"",Sync!$AD381)</f>
        <v/>
      </c>
      <c r="Q385" t="str">
        <f>IF($G385="","",IF(Sync!$U381="","0000",IF(AND(ISNUMBER(Sync!$U381),Sync!$U381&gt;=0,Sync!$U381&lt;1),RIGHT("00"&amp;HOUR(Sync!$U381),2)&amp;RIGHT("00"&amp;MINUTE(Sync!$U381),2),IFERROR(RIGHT("00"&amp;VALUE(LEFT(Sync!$U381,FIND(":",Sync!$U381)-1)),2)&amp;RIGHT("00"&amp;VALUE(MID(Sync!$U381,FIND(":",Sync!$U381)+1,2)),2),"0000"))))</f>
        <v/>
      </c>
    </row>
    <row r="386" spans="1:17" x14ac:dyDescent="0.2">
      <c r="A386" t="str">
        <f>IF(Sync!$T382="","",Sync!$T382)</f>
        <v/>
      </c>
      <c r="B386" t="str">
        <f t="shared" si="30"/>
        <v/>
      </c>
      <c r="C386" t="str">
        <f t="shared" si="31"/>
        <v/>
      </c>
      <c r="D386" t="str">
        <f t="shared" si="32"/>
        <v/>
      </c>
      <c r="E386" t="str">
        <f t="shared" si="33"/>
        <v/>
      </c>
      <c r="F386" t="str">
        <f t="shared" si="34"/>
        <v/>
      </c>
      <c r="G386" t="str">
        <f>IF(OR($E386="",$E386="نامعتبر",Sync!$X382=""),"",IF(AND(LEFT(UPPER(TRIM(Sync!$X382)),2)="SL",IFERROR(VLOOKUP(Sync!$W382,OpTbl,3,0),"")="فروش"),UPPER(TRIM(Sync!$X382)),""))</f>
        <v/>
      </c>
      <c r="H386" t="str">
        <f>IF($G386="","",IF(Sync!$W382="","",Sync!$W382))</f>
        <v/>
      </c>
      <c r="I386" t="str">
        <f>IF(OR($G386="",Sync!$Y382=""),"",Sync!$Y382)</f>
        <v/>
      </c>
      <c r="J386" t="str">
        <f>IF(OR($G386="",Sync!$Z382=""),"",Sync!$Z382)</f>
        <v/>
      </c>
      <c r="K386">
        <f>IF($G386="",0,IF(Sync!$AA382="",0,Sync!$AA382))</f>
        <v>0</v>
      </c>
      <c r="L386">
        <f>IF($G386="",0,IF(Sync!$AB382="",0,Sync!$AB382))</f>
        <v>0</v>
      </c>
      <c r="M386" t="str">
        <f t="shared" si="35"/>
        <v/>
      </c>
      <c r="N386">
        <f>IF($G386="",0,IF($H386="مرجوعی فروش",-1,1)*IF(Sync!$AC382="",0,Sync!$AC382))</f>
        <v>0</v>
      </c>
      <c r="O386" t="str">
        <f>IF(OR($G386="",Sync!$V382=""),"",Sync!$V382)</f>
        <v/>
      </c>
      <c r="P386" t="str">
        <f>IF(OR($G386="",Sync!$AD382=""),"",Sync!$AD382)</f>
        <v/>
      </c>
      <c r="Q386" t="str">
        <f>IF($G386="","",IF(Sync!$U382="","0000",IF(AND(ISNUMBER(Sync!$U382),Sync!$U382&gt;=0,Sync!$U382&lt;1),RIGHT("00"&amp;HOUR(Sync!$U382),2)&amp;RIGHT("00"&amp;MINUTE(Sync!$U382),2),IFERROR(RIGHT("00"&amp;VALUE(LEFT(Sync!$U382,FIND(":",Sync!$U382)-1)),2)&amp;RIGHT("00"&amp;VALUE(MID(Sync!$U382,FIND(":",Sync!$U382)+1,2)),2),"0000"))))</f>
        <v/>
      </c>
    </row>
    <row r="387" spans="1:17" x14ac:dyDescent="0.2">
      <c r="A387" t="str">
        <f>IF(Sync!$T383="","",Sync!$T383)</f>
        <v/>
      </c>
      <c r="B387" t="str">
        <f t="shared" si="30"/>
        <v/>
      </c>
      <c r="C387" t="str">
        <f t="shared" si="31"/>
        <v/>
      </c>
      <c r="D387" t="str">
        <f t="shared" si="32"/>
        <v/>
      </c>
      <c r="E387" t="str">
        <f t="shared" si="33"/>
        <v/>
      </c>
      <c r="F387" t="str">
        <f t="shared" si="34"/>
        <v/>
      </c>
      <c r="G387" t="str">
        <f>IF(OR($E387="",$E387="نامعتبر",Sync!$X383=""),"",IF(AND(LEFT(UPPER(TRIM(Sync!$X383)),2)="SL",IFERROR(VLOOKUP(Sync!$W383,OpTbl,3,0),"")="فروش"),UPPER(TRIM(Sync!$X383)),""))</f>
        <v/>
      </c>
      <c r="H387" t="str">
        <f>IF($G387="","",IF(Sync!$W383="","",Sync!$W383))</f>
        <v/>
      </c>
      <c r="I387" t="str">
        <f>IF(OR($G387="",Sync!$Y383=""),"",Sync!$Y383)</f>
        <v/>
      </c>
      <c r="J387" t="str">
        <f>IF(OR($G387="",Sync!$Z383=""),"",Sync!$Z383)</f>
        <v/>
      </c>
      <c r="K387">
        <f>IF($G387="",0,IF(Sync!$AA383="",0,Sync!$AA383))</f>
        <v>0</v>
      </c>
      <c r="L387">
        <f>IF($G387="",0,IF(Sync!$AB383="",0,Sync!$AB383))</f>
        <v>0</v>
      </c>
      <c r="M387" t="str">
        <f t="shared" si="35"/>
        <v/>
      </c>
      <c r="N387">
        <f>IF($G387="",0,IF($H387="مرجوعی فروش",-1,1)*IF(Sync!$AC383="",0,Sync!$AC383))</f>
        <v>0</v>
      </c>
      <c r="O387" t="str">
        <f>IF(OR($G387="",Sync!$V383=""),"",Sync!$V383)</f>
        <v/>
      </c>
      <c r="P387" t="str">
        <f>IF(OR($G387="",Sync!$AD383=""),"",Sync!$AD383)</f>
        <v/>
      </c>
      <c r="Q387" t="str">
        <f>IF($G387="","",IF(Sync!$U383="","0000",IF(AND(ISNUMBER(Sync!$U383),Sync!$U383&gt;=0,Sync!$U383&lt;1),RIGHT("00"&amp;HOUR(Sync!$U383),2)&amp;RIGHT("00"&amp;MINUTE(Sync!$U383),2),IFERROR(RIGHT("00"&amp;VALUE(LEFT(Sync!$U383,FIND(":",Sync!$U383)-1)),2)&amp;RIGHT("00"&amp;VALUE(MID(Sync!$U383,FIND(":",Sync!$U383)+1,2)),2),"0000"))))</f>
        <v/>
      </c>
    </row>
    <row r="388" spans="1:17" x14ac:dyDescent="0.2">
      <c r="A388" t="str">
        <f>IF(Sync!$T384="","",Sync!$T384)</f>
        <v/>
      </c>
      <c r="B388" t="str">
        <f t="shared" si="30"/>
        <v/>
      </c>
      <c r="C388" t="str">
        <f t="shared" si="31"/>
        <v/>
      </c>
      <c r="D388" t="str">
        <f t="shared" si="32"/>
        <v/>
      </c>
      <c r="E388" t="str">
        <f t="shared" si="33"/>
        <v/>
      </c>
      <c r="F388" t="str">
        <f t="shared" si="34"/>
        <v/>
      </c>
      <c r="G388" t="str">
        <f>IF(OR($E388="",$E388="نامعتبر",Sync!$X384=""),"",IF(AND(LEFT(UPPER(TRIM(Sync!$X384)),2)="SL",IFERROR(VLOOKUP(Sync!$W384,OpTbl,3,0),"")="فروش"),UPPER(TRIM(Sync!$X384)),""))</f>
        <v/>
      </c>
      <c r="H388" t="str">
        <f>IF($G388="","",IF(Sync!$W384="","",Sync!$W384))</f>
        <v/>
      </c>
      <c r="I388" t="str">
        <f>IF(OR($G388="",Sync!$Y384=""),"",Sync!$Y384)</f>
        <v/>
      </c>
      <c r="J388" t="str">
        <f>IF(OR($G388="",Sync!$Z384=""),"",Sync!$Z384)</f>
        <v/>
      </c>
      <c r="K388">
        <f>IF($G388="",0,IF(Sync!$AA384="",0,Sync!$AA384))</f>
        <v>0</v>
      </c>
      <c r="L388">
        <f>IF($G388="",0,IF(Sync!$AB384="",0,Sync!$AB384))</f>
        <v>0</v>
      </c>
      <c r="M388" t="str">
        <f t="shared" si="35"/>
        <v/>
      </c>
      <c r="N388">
        <f>IF($G388="",0,IF($H388="مرجوعی فروش",-1,1)*IF(Sync!$AC384="",0,Sync!$AC384))</f>
        <v>0</v>
      </c>
      <c r="O388" t="str">
        <f>IF(OR($G388="",Sync!$V384=""),"",Sync!$V384)</f>
        <v/>
      </c>
      <c r="P388" t="str">
        <f>IF(OR($G388="",Sync!$AD384=""),"",Sync!$AD384)</f>
        <v/>
      </c>
      <c r="Q388" t="str">
        <f>IF($G388="","",IF(Sync!$U384="","0000",IF(AND(ISNUMBER(Sync!$U384),Sync!$U384&gt;=0,Sync!$U384&lt;1),RIGHT("00"&amp;HOUR(Sync!$U384),2)&amp;RIGHT("00"&amp;MINUTE(Sync!$U384),2),IFERROR(RIGHT("00"&amp;VALUE(LEFT(Sync!$U384,FIND(":",Sync!$U384)-1)),2)&amp;RIGHT("00"&amp;VALUE(MID(Sync!$U384,FIND(":",Sync!$U384)+1,2)),2),"0000"))))</f>
        <v/>
      </c>
    </row>
    <row r="389" spans="1:17" x14ac:dyDescent="0.2">
      <c r="A389" t="str">
        <f>IF(Sync!$T385="","",Sync!$T385)</f>
        <v/>
      </c>
      <c r="B389" t="str">
        <f t="shared" si="30"/>
        <v/>
      </c>
      <c r="C389" t="str">
        <f t="shared" si="31"/>
        <v/>
      </c>
      <c r="D389" t="str">
        <f t="shared" si="32"/>
        <v/>
      </c>
      <c r="E389" t="str">
        <f t="shared" si="33"/>
        <v/>
      </c>
      <c r="F389" t="str">
        <f t="shared" si="34"/>
        <v/>
      </c>
      <c r="G389" t="str">
        <f>IF(OR($E389="",$E389="نامعتبر",Sync!$X385=""),"",IF(AND(LEFT(UPPER(TRIM(Sync!$X385)),2)="SL",IFERROR(VLOOKUP(Sync!$W385,OpTbl,3,0),"")="فروش"),UPPER(TRIM(Sync!$X385)),""))</f>
        <v/>
      </c>
      <c r="H389" t="str">
        <f>IF($G389="","",IF(Sync!$W385="","",Sync!$W385))</f>
        <v/>
      </c>
      <c r="I389" t="str">
        <f>IF(OR($G389="",Sync!$Y385=""),"",Sync!$Y385)</f>
        <v/>
      </c>
      <c r="J389" t="str">
        <f>IF(OR($G389="",Sync!$Z385=""),"",Sync!$Z385)</f>
        <v/>
      </c>
      <c r="K389">
        <f>IF($G389="",0,IF(Sync!$AA385="",0,Sync!$AA385))</f>
        <v>0</v>
      </c>
      <c r="L389">
        <f>IF($G389="",0,IF(Sync!$AB385="",0,Sync!$AB385))</f>
        <v>0</v>
      </c>
      <c r="M389" t="str">
        <f t="shared" si="35"/>
        <v/>
      </c>
      <c r="N389">
        <f>IF($G389="",0,IF($H389="مرجوعی فروش",-1,1)*IF(Sync!$AC385="",0,Sync!$AC385))</f>
        <v>0</v>
      </c>
      <c r="O389" t="str">
        <f>IF(OR($G389="",Sync!$V385=""),"",Sync!$V385)</f>
        <v/>
      </c>
      <c r="P389" t="str">
        <f>IF(OR($G389="",Sync!$AD385=""),"",Sync!$AD385)</f>
        <v/>
      </c>
      <c r="Q389" t="str">
        <f>IF($G389="","",IF(Sync!$U385="","0000",IF(AND(ISNUMBER(Sync!$U385),Sync!$U385&gt;=0,Sync!$U385&lt;1),RIGHT("00"&amp;HOUR(Sync!$U385),2)&amp;RIGHT("00"&amp;MINUTE(Sync!$U385),2),IFERROR(RIGHT("00"&amp;VALUE(LEFT(Sync!$U385,FIND(":",Sync!$U385)-1)),2)&amp;RIGHT("00"&amp;VALUE(MID(Sync!$U385,FIND(":",Sync!$U385)+1,2)),2),"0000"))))</f>
        <v/>
      </c>
    </row>
    <row r="390" spans="1:17" x14ac:dyDescent="0.2">
      <c r="A390" t="str">
        <f>IF(Sync!$T386="","",Sync!$T386)</f>
        <v/>
      </c>
      <c r="B390" t="str">
        <f t="shared" si="30"/>
        <v/>
      </c>
      <c r="C390" t="str">
        <f t="shared" si="31"/>
        <v/>
      </c>
      <c r="D390" t="str">
        <f t="shared" si="32"/>
        <v/>
      </c>
      <c r="E390" t="str">
        <f t="shared" si="33"/>
        <v/>
      </c>
      <c r="F390" t="str">
        <f t="shared" si="34"/>
        <v/>
      </c>
      <c r="G390" t="str">
        <f>IF(OR($E390="",$E390="نامعتبر",Sync!$X386=""),"",IF(AND(LEFT(UPPER(TRIM(Sync!$X386)),2)="SL",IFERROR(VLOOKUP(Sync!$W386,OpTbl,3,0),"")="فروش"),UPPER(TRIM(Sync!$X386)),""))</f>
        <v/>
      </c>
      <c r="H390" t="str">
        <f>IF($G390="","",IF(Sync!$W386="","",Sync!$W386))</f>
        <v/>
      </c>
      <c r="I390" t="str">
        <f>IF(OR($G390="",Sync!$Y386=""),"",Sync!$Y386)</f>
        <v/>
      </c>
      <c r="J390" t="str">
        <f>IF(OR($G390="",Sync!$Z386=""),"",Sync!$Z386)</f>
        <v/>
      </c>
      <c r="K390">
        <f>IF($G390="",0,IF(Sync!$AA386="",0,Sync!$AA386))</f>
        <v>0</v>
      </c>
      <c r="L390">
        <f>IF($G390="",0,IF(Sync!$AB386="",0,Sync!$AB386))</f>
        <v>0</v>
      </c>
      <c r="M390" t="str">
        <f t="shared" si="35"/>
        <v/>
      </c>
      <c r="N390">
        <f>IF($G390="",0,IF($H390="مرجوعی فروش",-1,1)*IF(Sync!$AC386="",0,Sync!$AC386))</f>
        <v>0</v>
      </c>
      <c r="O390" t="str">
        <f>IF(OR($G390="",Sync!$V386=""),"",Sync!$V386)</f>
        <v/>
      </c>
      <c r="P390" t="str">
        <f>IF(OR($G390="",Sync!$AD386=""),"",Sync!$AD386)</f>
        <v/>
      </c>
      <c r="Q390" t="str">
        <f>IF($G390="","",IF(Sync!$U386="","0000",IF(AND(ISNUMBER(Sync!$U386),Sync!$U386&gt;=0,Sync!$U386&lt;1),RIGHT("00"&amp;HOUR(Sync!$U386),2)&amp;RIGHT("00"&amp;MINUTE(Sync!$U386),2),IFERROR(RIGHT("00"&amp;VALUE(LEFT(Sync!$U386,FIND(":",Sync!$U386)-1)),2)&amp;RIGHT("00"&amp;VALUE(MID(Sync!$U386,FIND(":",Sync!$U386)+1,2)),2),"0000"))))</f>
        <v/>
      </c>
    </row>
    <row r="391" spans="1:17" x14ac:dyDescent="0.2">
      <c r="A391" t="str">
        <f>IF(Sync!$T387="","",Sync!$T387)</f>
        <v/>
      </c>
      <c r="B391" t="str">
        <f t="shared" si="30"/>
        <v/>
      </c>
      <c r="C391" t="str">
        <f t="shared" si="31"/>
        <v/>
      </c>
      <c r="D391" t="str">
        <f t="shared" si="32"/>
        <v/>
      </c>
      <c r="E391" t="str">
        <f t="shared" si="33"/>
        <v/>
      </c>
      <c r="F391" t="str">
        <f t="shared" si="34"/>
        <v/>
      </c>
      <c r="G391" t="str">
        <f>IF(OR($E391="",$E391="نامعتبر",Sync!$X387=""),"",IF(AND(LEFT(UPPER(TRIM(Sync!$X387)),2)="SL",IFERROR(VLOOKUP(Sync!$W387,OpTbl,3,0),"")="فروش"),UPPER(TRIM(Sync!$X387)),""))</f>
        <v/>
      </c>
      <c r="H391" t="str">
        <f>IF($G391="","",IF(Sync!$W387="","",Sync!$W387))</f>
        <v/>
      </c>
      <c r="I391" t="str">
        <f>IF(OR($G391="",Sync!$Y387=""),"",Sync!$Y387)</f>
        <v/>
      </c>
      <c r="J391" t="str">
        <f>IF(OR($G391="",Sync!$Z387=""),"",Sync!$Z387)</f>
        <v/>
      </c>
      <c r="K391">
        <f>IF($G391="",0,IF(Sync!$AA387="",0,Sync!$AA387))</f>
        <v>0</v>
      </c>
      <c r="L391">
        <f>IF($G391="",0,IF(Sync!$AB387="",0,Sync!$AB387))</f>
        <v>0</v>
      </c>
      <c r="M391" t="str">
        <f t="shared" si="35"/>
        <v/>
      </c>
      <c r="N391">
        <f>IF($G391="",0,IF($H391="مرجوعی فروش",-1,1)*IF(Sync!$AC387="",0,Sync!$AC387))</f>
        <v>0</v>
      </c>
      <c r="O391" t="str">
        <f>IF(OR($G391="",Sync!$V387=""),"",Sync!$V387)</f>
        <v/>
      </c>
      <c r="P391" t="str">
        <f>IF(OR($G391="",Sync!$AD387=""),"",Sync!$AD387)</f>
        <v/>
      </c>
      <c r="Q391" t="str">
        <f>IF($G391="","",IF(Sync!$U387="","0000",IF(AND(ISNUMBER(Sync!$U387),Sync!$U387&gt;=0,Sync!$U387&lt;1),RIGHT("00"&amp;HOUR(Sync!$U387),2)&amp;RIGHT("00"&amp;MINUTE(Sync!$U387),2),IFERROR(RIGHT("00"&amp;VALUE(LEFT(Sync!$U387,FIND(":",Sync!$U387)-1)),2)&amp;RIGHT("00"&amp;VALUE(MID(Sync!$U387,FIND(":",Sync!$U387)+1,2)),2),"0000"))))</f>
        <v/>
      </c>
    </row>
    <row r="392" spans="1:17" x14ac:dyDescent="0.2">
      <c r="A392" t="str">
        <f>IF(Sync!$T388="","",Sync!$T388)</f>
        <v/>
      </c>
      <c r="B392" t="str">
        <f t="shared" si="30"/>
        <v/>
      </c>
      <c r="C392" t="str">
        <f t="shared" si="31"/>
        <v/>
      </c>
      <c r="D392" t="str">
        <f t="shared" si="32"/>
        <v/>
      </c>
      <c r="E392" t="str">
        <f t="shared" si="33"/>
        <v/>
      </c>
      <c r="F392" t="str">
        <f t="shared" si="34"/>
        <v/>
      </c>
      <c r="G392" t="str">
        <f>IF(OR($E392="",$E392="نامعتبر",Sync!$X388=""),"",IF(AND(LEFT(UPPER(TRIM(Sync!$X388)),2)="SL",IFERROR(VLOOKUP(Sync!$W388,OpTbl,3,0),"")="فروش"),UPPER(TRIM(Sync!$X388)),""))</f>
        <v/>
      </c>
      <c r="H392" t="str">
        <f>IF($G392="","",IF(Sync!$W388="","",Sync!$W388))</f>
        <v/>
      </c>
      <c r="I392" t="str">
        <f>IF(OR($G392="",Sync!$Y388=""),"",Sync!$Y388)</f>
        <v/>
      </c>
      <c r="J392" t="str">
        <f>IF(OR($G392="",Sync!$Z388=""),"",Sync!$Z388)</f>
        <v/>
      </c>
      <c r="K392">
        <f>IF($G392="",0,IF(Sync!$AA388="",0,Sync!$AA388))</f>
        <v>0</v>
      </c>
      <c r="L392">
        <f>IF($G392="",0,IF(Sync!$AB388="",0,Sync!$AB388))</f>
        <v>0</v>
      </c>
      <c r="M392" t="str">
        <f t="shared" si="35"/>
        <v/>
      </c>
      <c r="N392">
        <f>IF($G392="",0,IF($H392="مرجوعی فروش",-1,1)*IF(Sync!$AC388="",0,Sync!$AC388))</f>
        <v>0</v>
      </c>
      <c r="O392" t="str">
        <f>IF(OR($G392="",Sync!$V388=""),"",Sync!$V388)</f>
        <v/>
      </c>
      <c r="P392" t="str">
        <f>IF(OR($G392="",Sync!$AD388=""),"",Sync!$AD388)</f>
        <v/>
      </c>
      <c r="Q392" t="str">
        <f>IF($G392="","",IF(Sync!$U388="","0000",IF(AND(ISNUMBER(Sync!$U388),Sync!$U388&gt;=0,Sync!$U388&lt;1),RIGHT("00"&amp;HOUR(Sync!$U388),2)&amp;RIGHT("00"&amp;MINUTE(Sync!$U388),2),IFERROR(RIGHT("00"&amp;VALUE(LEFT(Sync!$U388,FIND(":",Sync!$U388)-1)),2)&amp;RIGHT("00"&amp;VALUE(MID(Sync!$U388,FIND(":",Sync!$U388)+1,2)),2),"0000"))))</f>
        <v/>
      </c>
    </row>
    <row r="393" spans="1:17" x14ac:dyDescent="0.2">
      <c r="A393" t="str">
        <f>IF(Sync!$T389="","",Sync!$T389)</f>
        <v/>
      </c>
      <c r="B393" t="str">
        <f t="shared" si="30"/>
        <v/>
      </c>
      <c r="C393" t="str">
        <f t="shared" si="31"/>
        <v/>
      </c>
      <c r="D393" t="str">
        <f t="shared" si="32"/>
        <v/>
      </c>
      <c r="E393" t="str">
        <f t="shared" si="33"/>
        <v/>
      </c>
      <c r="F393" t="str">
        <f t="shared" si="34"/>
        <v/>
      </c>
      <c r="G393" t="str">
        <f>IF(OR($E393="",$E393="نامعتبر",Sync!$X389=""),"",IF(AND(LEFT(UPPER(TRIM(Sync!$X389)),2)="SL",IFERROR(VLOOKUP(Sync!$W389,OpTbl,3,0),"")="فروش"),UPPER(TRIM(Sync!$X389)),""))</f>
        <v/>
      </c>
      <c r="H393" t="str">
        <f>IF($G393="","",IF(Sync!$W389="","",Sync!$W389))</f>
        <v/>
      </c>
      <c r="I393" t="str">
        <f>IF(OR($G393="",Sync!$Y389=""),"",Sync!$Y389)</f>
        <v/>
      </c>
      <c r="J393" t="str">
        <f>IF(OR($G393="",Sync!$Z389=""),"",Sync!$Z389)</f>
        <v/>
      </c>
      <c r="K393">
        <f>IF($G393="",0,IF(Sync!$AA389="",0,Sync!$AA389))</f>
        <v>0</v>
      </c>
      <c r="L393">
        <f>IF($G393="",0,IF(Sync!$AB389="",0,Sync!$AB389))</f>
        <v>0</v>
      </c>
      <c r="M393" t="str">
        <f t="shared" si="35"/>
        <v/>
      </c>
      <c r="N393">
        <f>IF($G393="",0,IF($H393="مرجوعی فروش",-1,1)*IF(Sync!$AC389="",0,Sync!$AC389))</f>
        <v>0</v>
      </c>
      <c r="O393" t="str">
        <f>IF(OR($G393="",Sync!$V389=""),"",Sync!$V389)</f>
        <v/>
      </c>
      <c r="P393" t="str">
        <f>IF(OR($G393="",Sync!$AD389=""),"",Sync!$AD389)</f>
        <v/>
      </c>
      <c r="Q393" t="str">
        <f>IF($G393="","",IF(Sync!$U389="","0000",IF(AND(ISNUMBER(Sync!$U389),Sync!$U389&gt;=0,Sync!$U389&lt;1),RIGHT("00"&amp;HOUR(Sync!$U389),2)&amp;RIGHT("00"&amp;MINUTE(Sync!$U389),2),IFERROR(RIGHT("00"&amp;VALUE(LEFT(Sync!$U389,FIND(":",Sync!$U389)-1)),2)&amp;RIGHT("00"&amp;VALUE(MID(Sync!$U389,FIND(":",Sync!$U389)+1,2)),2),"0000"))))</f>
        <v/>
      </c>
    </row>
    <row r="394" spans="1:17" x14ac:dyDescent="0.2">
      <c r="A394" t="str">
        <f>IF(Sync!$T390="","",Sync!$T390)</f>
        <v/>
      </c>
      <c r="B394" t="str">
        <f t="shared" ref="B394:B457" si="36">IF($A394="","",IF(ISNUMBER($A394),IF(AND($A394&gt;=10000101,$A394&lt;=99991231),INT($A394/10000),""),IFERROR(VALUE(TRIM(LEFT($A394,FIND("/",$A394)-1))),"")))</f>
        <v/>
      </c>
      <c r="C394" t="str">
        <f t="shared" ref="C394:C457" si="37">IF(OR($A394="",$B394=""),"",IF(ISNUMBER($A394),INT(MOD($A394,10000)/100),IFERROR(VALUE(TRIM(LEFT(MID($A394,FIND("/",$A394)+1,20),FIND("/",MID($A394,FIND("/",$A394)+1,20))-1))),"")))</f>
        <v/>
      </c>
      <c r="D394" t="str">
        <f t="shared" ref="D394:D457" si="38">IF(OR($A394="",$B394=""),"",IF(ISNUMBER($A394),MOD($A394,100),IFERROR(VALUE(TRIM(MID(MID($A394,FIND("/",$A394)+1,20),FIND("/",MID($A394,FIND("/",$A394)+1,20))+1,20))),"")))</f>
        <v/>
      </c>
      <c r="E394" t="str">
        <f t="shared" ref="E394:E457" si="39">IF($A394="","",IF(OR($B394="",$C394="",$D394="",$B394&lt;1300,$B394&gt;1500,$C394&lt;1,$C394&gt;12,$D394&lt;1,$D394&gt;31),"نامعتبر",RIGHT("0000"&amp;$B394,4)&amp;"/"&amp;RIGHT("00"&amp;$C394,2)&amp;"/"&amp;RIGHT("00"&amp;$D394,2)))</f>
        <v/>
      </c>
      <c r="F394" t="str">
        <f t="shared" ref="F394:F457" si="40">IF(OR($E394="",$E394="نامعتبر"),"",LEFT($E394,4)&amp;"/"&amp;MID($E394,6,2))</f>
        <v/>
      </c>
      <c r="G394" t="str">
        <f>IF(OR($E394="",$E394="نامعتبر",Sync!$X390=""),"",IF(AND(LEFT(UPPER(TRIM(Sync!$X390)),2)="SL",IFERROR(VLOOKUP(Sync!$W390,OpTbl,3,0),"")="فروش"),UPPER(TRIM(Sync!$X390)),""))</f>
        <v/>
      </c>
      <c r="H394" t="str">
        <f>IF($G394="","",IF(Sync!$W390="","",Sync!$W390))</f>
        <v/>
      </c>
      <c r="I394" t="str">
        <f>IF(OR($G394="",Sync!$Y390=""),"",Sync!$Y390)</f>
        <v/>
      </c>
      <c r="J394" t="str">
        <f>IF(OR($G394="",Sync!$Z390=""),"",Sync!$Z390)</f>
        <v/>
      </c>
      <c r="K394">
        <f>IF($G394="",0,IF(Sync!$AA390="",0,Sync!$AA390))</f>
        <v>0</v>
      </c>
      <c r="L394">
        <f>IF($G394="",0,IF(Sync!$AB390="",0,Sync!$AB390))</f>
        <v>0</v>
      </c>
      <c r="M394" t="str">
        <f t="shared" ref="M394:M457" si="41">IF($G394="","",IF($H394="مرجوعی فروش",-1,1)*($K394-$L394*IFERROR(VLOOKUP("P01",ParamTbl,3,0),1.5)))</f>
        <v/>
      </c>
      <c r="N394">
        <f>IF($G394="",0,IF($H394="مرجوعی فروش",-1,1)*IF(Sync!$AC390="",0,Sync!$AC390))</f>
        <v>0</v>
      </c>
      <c r="O394" t="str">
        <f>IF(OR($G394="",Sync!$V390=""),"",Sync!$V390)</f>
        <v/>
      </c>
      <c r="P394" t="str">
        <f>IF(OR($G394="",Sync!$AD390=""),"",Sync!$AD390)</f>
        <v/>
      </c>
      <c r="Q394" t="str">
        <f>IF($G394="","",IF(Sync!$U390="","0000",IF(AND(ISNUMBER(Sync!$U390),Sync!$U390&gt;=0,Sync!$U390&lt;1),RIGHT("00"&amp;HOUR(Sync!$U390),2)&amp;RIGHT("00"&amp;MINUTE(Sync!$U390),2),IFERROR(RIGHT("00"&amp;VALUE(LEFT(Sync!$U390,FIND(":",Sync!$U390)-1)),2)&amp;RIGHT("00"&amp;VALUE(MID(Sync!$U390,FIND(":",Sync!$U390)+1,2)),2),"0000"))))</f>
        <v/>
      </c>
    </row>
    <row r="395" spans="1:17" x14ac:dyDescent="0.2">
      <c r="A395" t="str">
        <f>IF(Sync!$T391="","",Sync!$T391)</f>
        <v/>
      </c>
      <c r="B395" t="str">
        <f t="shared" si="36"/>
        <v/>
      </c>
      <c r="C395" t="str">
        <f t="shared" si="37"/>
        <v/>
      </c>
      <c r="D395" t="str">
        <f t="shared" si="38"/>
        <v/>
      </c>
      <c r="E395" t="str">
        <f t="shared" si="39"/>
        <v/>
      </c>
      <c r="F395" t="str">
        <f t="shared" si="40"/>
        <v/>
      </c>
      <c r="G395" t="str">
        <f>IF(OR($E395="",$E395="نامعتبر",Sync!$X391=""),"",IF(AND(LEFT(UPPER(TRIM(Sync!$X391)),2)="SL",IFERROR(VLOOKUP(Sync!$W391,OpTbl,3,0),"")="فروش"),UPPER(TRIM(Sync!$X391)),""))</f>
        <v/>
      </c>
      <c r="H395" t="str">
        <f>IF($G395="","",IF(Sync!$W391="","",Sync!$W391))</f>
        <v/>
      </c>
      <c r="I395" t="str">
        <f>IF(OR($G395="",Sync!$Y391=""),"",Sync!$Y391)</f>
        <v/>
      </c>
      <c r="J395" t="str">
        <f>IF(OR($G395="",Sync!$Z391=""),"",Sync!$Z391)</f>
        <v/>
      </c>
      <c r="K395">
        <f>IF($G395="",0,IF(Sync!$AA391="",0,Sync!$AA391))</f>
        <v>0</v>
      </c>
      <c r="L395">
        <f>IF($G395="",0,IF(Sync!$AB391="",0,Sync!$AB391))</f>
        <v>0</v>
      </c>
      <c r="M395" t="str">
        <f t="shared" si="41"/>
        <v/>
      </c>
      <c r="N395">
        <f>IF($G395="",0,IF($H395="مرجوعی فروش",-1,1)*IF(Sync!$AC391="",0,Sync!$AC391))</f>
        <v>0</v>
      </c>
      <c r="O395" t="str">
        <f>IF(OR($G395="",Sync!$V391=""),"",Sync!$V391)</f>
        <v/>
      </c>
      <c r="P395" t="str">
        <f>IF(OR($G395="",Sync!$AD391=""),"",Sync!$AD391)</f>
        <v/>
      </c>
      <c r="Q395" t="str">
        <f>IF($G395="","",IF(Sync!$U391="","0000",IF(AND(ISNUMBER(Sync!$U391),Sync!$U391&gt;=0,Sync!$U391&lt;1),RIGHT("00"&amp;HOUR(Sync!$U391),2)&amp;RIGHT("00"&amp;MINUTE(Sync!$U391),2),IFERROR(RIGHT("00"&amp;VALUE(LEFT(Sync!$U391,FIND(":",Sync!$U391)-1)),2)&amp;RIGHT("00"&amp;VALUE(MID(Sync!$U391,FIND(":",Sync!$U391)+1,2)),2),"0000"))))</f>
        <v/>
      </c>
    </row>
    <row r="396" spans="1:17" x14ac:dyDescent="0.2">
      <c r="A396" t="str">
        <f>IF(Sync!$T392="","",Sync!$T392)</f>
        <v/>
      </c>
      <c r="B396" t="str">
        <f t="shared" si="36"/>
        <v/>
      </c>
      <c r="C396" t="str">
        <f t="shared" si="37"/>
        <v/>
      </c>
      <c r="D396" t="str">
        <f t="shared" si="38"/>
        <v/>
      </c>
      <c r="E396" t="str">
        <f t="shared" si="39"/>
        <v/>
      </c>
      <c r="F396" t="str">
        <f t="shared" si="40"/>
        <v/>
      </c>
      <c r="G396" t="str">
        <f>IF(OR($E396="",$E396="نامعتبر",Sync!$X392=""),"",IF(AND(LEFT(UPPER(TRIM(Sync!$X392)),2)="SL",IFERROR(VLOOKUP(Sync!$W392,OpTbl,3,0),"")="فروش"),UPPER(TRIM(Sync!$X392)),""))</f>
        <v/>
      </c>
      <c r="H396" t="str">
        <f>IF($G396="","",IF(Sync!$W392="","",Sync!$W392))</f>
        <v/>
      </c>
      <c r="I396" t="str">
        <f>IF(OR($G396="",Sync!$Y392=""),"",Sync!$Y392)</f>
        <v/>
      </c>
      <c r="J396" t="str">
        <f>IF(OR($G396="",Sync!$Z392=""),"",Sync!$Z392)</f>
        <v/>
      </c>
      <c r="K396">
        <f>IF($G396="",0,IF(Sync!$AA392="",0,Sync!$AA392))</f>
        <v>0</v>
      </c>
      <c r="L396">
        <f>IF($G396="",0,IF(Sync!$AB392="",0,Sync!$AB392))</f>
        <v>0</v>
      </c>
      <c r="M396" t="str">
        <f t="shared" si="41"/>
        <v/>
      </c>
      <c r="N396">
        <f>IF($G396="",0,IF($H396="مرجوعی فروش",-1,1)*IF(Sync!$AC392="",0,Sync!$AC392))</f>
        <v>0</v>
      </c>
      <c r="O396" t="str">
        <f>IF(OR($G396="",Sync!$V392=""),"",Sync!$V392)</f>
        <v/>
      </c>
      <c r="P396" t="str">
        <f>IF(OR($G396="",Sync!$AD392=""),"",Sync!$AD392)</f>
        <v/>
      </c>
      <c r="Q396" t="str">
        <f>IF($G396="","",IF(Sync!$U392="","0000",IF(AND(ISNUMBER(Sync!$U392),Sync!$U392&gt;=0,Sync!$U392&lt;1),RIGHT("00"&amp;HOUR(Sync!$U392),2)&amp;RIGHT("00"&amp;MINUTE(Sync!$U392),2),IFERROR(RIGHT("00"&amp;VALUE(LEFT(Sync!$U392,FIND(":",Sync!$U392)-1)),2)&amp;RIGHT("00"&amp;VALUE(MID(Sync!$U392,FIND(":",Sync!$U392)+1,2)),2),"0000"))))</f>
        <v/>
      </c>
    </row>
    <row r="397" spans="1:17" x14ac:dyDescent="0.2">
      <c r="A397" t="str">
        <f>IF(Sync!$T393="","",Sync!$T393)</f>
        <v/>
      </c>
      <c r="B397" t="str">
        <f t="shared" si="36"/>
        <v/>
      </c>
      <c r="C397" t="str">
        <f t="shared" si="37"/>
        <v/>
      </c>
      <c r="D397" t="str">
        <f t="shared" si="38"/>
        <v/>
      </c>
      <c r="E397" t="str">
        <f t="shared" si="39"/>
        <v/>
      </c>
      <c r="F397" t="str">
        <f t="shared" si="40"/>
        <v/>
      </c>
      <c r="G397" t="str">
        <f>IF(OR($E397="",$E397="نامعتبر",Sync!$X393=""),"",IF(AND(LEFT(UPPER(TRIM(Sync!$X393)),2)="SL",IFERROR(VLOOKUP(Sync!$W393,OpTbl,3,0),"")="فروش"),UPPER(TRIM(Sync!$X393)),""))</f>
        <v/>
      </c>
      <c r="H397" t="str">
        <f>IF($G397="","",IF(Sync!$W393="","",Sync!$W393))</f>
        <v/>
      </c>
      <c r="I397" t="str">
        <f>IF(OR($G397="",Sync!$Y393=""),"",Sync!$Y393)</f>
        <v/>
      </c>
      <c r="J397" t="str">
        <f>IF(OR($G397="",Sync!$Z393=""),"",Sync!$Z393)</f>
        <v/>
      </c>
      <c r="K397">
        <f>IF($G397="",0,IF(Sync!$AA393="",0,Sync!$AA393))</f>
        <v>0</v>
      </c>
      <c r="L397">
        <f>IF($G397="",0,IF(Sync!$AB393="",0,Sync!$AB393))</f>
        <v>0</v>
      </c>
      <c r="M397" t="str">
        <f t="shared" si="41"/>
        <v/>
      </c>
      <c r="N397">
        <f>IF($G397="",0,IF($H397="مرجوعی فروش",-1,1)*IF(Sync!$AC393="",0,Sync!$AC393))</f>
        <v>0</v>
      </c>
      <c r="O397" t="str">
        <f>IF(OR($G397="",Sync!$V393=""),"",Sync!$V393)</f>
        <v/>
      </c>
      <c r="P397" t="str">
        <f>IF(OR($G397="",Sync!$AD393=""),"",Sync!$AD393)</f>
        <v/>
      </c>
      <c r="Q397" t="str">
        <f>IF($G397="","",IF(Sync!$U393="","0000",IF(AND(ISNUMBER(Sync!$U393),Sync!$U393&gt;=0,Sync!$U393&lt;1),RIGHT("00"&amp;HOUR(Sync!$U393),2)&amp;RIGHT("00"&amp;MINUTE(Sync!$U393),2),IFERROR(RIGHT("00"&amp;VALUE(LEFT(Sync!$U393,FIND(":",Sync!$U393)-1)),2)&amp;RIGHT("00"&amp;VALUE(MID(Sync!$U393,FIND(":",Sync!$U393)+1,2)),2),"0000"))))</f>
        <v/>
      </c>
    </row>
    <row r="398" spans="1:17" x14ac:dyDescent="0.2">
      <c r="A398" t="str">
        <f>IF(Sync!$T394="","",Sync!$T394)</f>
        <v/>
      </c>
      <c r="B398" t="str">
        <f t="shared" si="36"/>
        <v/>
      </c>
      <c r="C398" t="str">
        <f t="shared" si="37"/>
        <v/>
      </c>
      <c r="D398" t="str">
        <f t="shared" si="38"/>
        <v/>
      </c>
      <c r="E398" t="str">
        <f t="shared" si="39"/>
        <v/>
      </c>
      <c r="F398" t="str">
        <f t="shared" si="40"/>
        <v/>
      </c>
      <c r="G398" t="str">
        <f>IF(OR($E398="",$E398="نامعتبر",Sync!$X394=""),"",IF(AND(LEFT(UPPER(TRIM(Sync!$X394)),2)="SL",IFERROR(VLOOKUP(Sync!$W394,OpTbl,3,0),"")="فروش"),UPPER(TRIM(Sync!$X394)),""))</f>
        <v/>
      </c>
      <c r="H398" t="str">
        <f>IF($G398="","",IF(Sync!$W394="","",Sync!$W394))</f>
        <v/>
      </c>
      <c r="I398" t="str">
        <f>IF(OR($G398="",Sync!$Y394=""),"",Sync!$Y394)</f>
        <v/>
      </c>
      <c r="J398" t="str">
        <f>IF(OR($G398="",Sync!$Z394=""),"",Sync!$Z394)</f>
        <v/>
      </c>
      <c r="K398">
        <f>IF($G398="",0,IF(Sync!$AA394="",0,Sync!$AA394))</f>
        <v>0</v>
      </c>
      <c r="L398">
        <f>IF($G398="",0,IF(Sync!$AB394="",0,Sync!$AB394))</f>
        <v>0</v>
      </c>
      <c r="M398" t="str">
        <f t="shared" si="41"/>
        <v/>
      </c>
      <c r="N398">
        <f>IF($G398="",0,IF($H398="مرجوعی فروش",-1,1)*IF(Sync!$AC394="",0,Sync!$AC394))</f>
        <v>0</v>
      </c>
      <c r="O398" t="str">
        <f>IF(OR($G398="",Sync!$V394=""),"",Sync!$V394)</f>
        <v/>
      </c>
      <c r="P398" t="str">
        <f>IF(OR($G398="",Sync!$AD394=""),"",Sync!$AD394)</f>
        <v/>
      </c>
      <c r="Q398" t="str">
        <f>IF($G398="","",IF(Sync!$U394="","0000",IF(AND(ISNUMBER(Sync!$U394),Sync!$U394&gt;=0,Sync!$U394&lt;1),RIGHT("00"&amp;HOUR(Sync!$U394),2)&amp;RIGHT("00"&amp;MINUTE(Sync!$U394),2),IFERROR(RIGHT("00"&amp;VALUE(LEFT(Sync!$U394,FIND(":",Sync!$U394)-1)),2)&amp;RIGHT("00"&amp;VALUE(MID(Sync!$U394,FIND(":",Sync!$U394)+1,2)),2),"0000"))))</f>
        <v/>
      </c>
    </row>
    <row r="399" spans="1:17" x14ac:dyDescent="0.2">
      <c r="A399" t="str">
        <f>IF(Sync!$T395="","",Sync!$T395)</f>
        <v/>
      </c>
      <c r="B399" t="str">
        <f t="shared" si="36"/>
        <v/>
      </c>
      <c r="C399" t="str">
        <f t="shared" si="37"/>
        <v/>
      </c>
      <c r="D399" t="str">
        <f t="shared" si="38"/>
        <v/>
      </c>
      <c r="E399" t="str">
        <f t="shared" si="39"/>
        <v/>
      </c>
      <c r="F399" t="str">
        <f t="shared" si="40"/>
        <v/>
      </c>
      <c r="G399" t="str">
        <f>IF(OR($E399="",$E399="نامعتبر",Sync!$X395=""),"",IF(AND(LEFT(UPPER(TRIM(Sync!$X395)),2)="SL",IFERROR(VLOOKUP(Sync!$W395,OpTbl,3,0),"")="فروش"),UPPER(TRIM(Sync!$X395)),""))</f>
        <v/>
      </c>
      <c r="H399" t="str">
        <f>IF($G399="","",IF(Sync!$W395="","",Sync!$W395))</f>
        <v/>
      </c>
      <c r="I399" t="str">
        <f>IF(OR($G399="",Sync!$Y395=""),"",Sync!$Y395)</f>
        <v/>
      </c>
      <c r="J399" t="str">
        <f>IF(OR($G399="",Sync!$Z395=""),"",Sync!$Z395)</f>
        <v/>
      </c>
      <c r="K399">
        <f>IF($G399="",0,IF(Sync!$AA395="",0,Sync!$AA395))</f>
        <v>0</v>
      </c>
      <c r="L399">
        <f>IF($G399="",0,IF(Sync!$AB395="",0,Sync!$AB395))</f>
        <v>0</v>
      </c>
      <c r="M399" t="str">
        <f t="shared" si="41"/>
        <v/>
      </c>
      <c r="N399">
        <f>IF($G399="",0,IF($H399="مرجوعی فروش",-1,1)*IF(Sync!$AC395="",0,Sync!$AC395))</f>
        <v>0</v>
      </c>
      <c r="O399" t="str">
        <f>IF(OR($G399="",Sync!$V395=""),"",Sync!$V395)</f>
        <v/>
      </c>
      <c r="P399" t="str">
        <f>IF(OR($G399="",Sync!$AD395=""),"",Sync!$AD395)</f>
        <v/>
      </c>
      <c r="Q399" t="str">
        <f>IF($G399="","",IF(Sync!$U395="","0000",IF(AND(ISNUMBER(Sync!$U395),Sync!$U395&gt;=0,Sync!$U395&lt;1),RIGHT("00"&amp;HOUR(Sync!$U395),2)&amp;RIGHT("00"&amp;MINUTE(Sync!$U395),2),IFERROR(RIGHT("00"&amp;VALUE(LEFT(Sync!$U395,FIND(":",Sync!$U395)-1)),2)&amp;RIGHT("00"&amp;VALUE(MID(Sync!$U395,FIND(":",Sync!$U395)+1,2)),2),"0000"))))</f>
        <v/>
      </c>
    </row>
    <row r="400" spans="1:17" x14ac:dyDescent="0.2">
      <c r="A400" t="str">
        <f>IF(Sync!$T396="","",Sync!$T396)</f>
        <v/>
      </c>
      <c r="B400" t="str">
        <f t="shared" si="36"/>
        <v/>
      </c>
      <c r="C400" t="str">
        <f t="shared" si="37"/>
        <v/>
      </c>
      <c r="D400" t="str">
        <f t="shared" si="38"/>
        <v/>
      </c>
      <c r="E400" t="str">
        <f t="shared" si="39"/>
        <v/>
      </c>
      <c r="F400" t="str">
        <f t="shared" si="40"/>
        <v/>
      </c>
      <c r="G400" t="str">
        <f>IF(OR($E400="",$E400="نامعتبر",Sync!$X396=""),"",IF(AND(LEFT(UPPER(TRIM(Sync!$X396)),2)="SL",IFERROR(VLOOKUP(Sync!$W396,OpTbl,3,0),"")="فروش"),UPPER(TRIM(Sync!$X396)),""))</f>
        <v/>
      </c>
      <c r="H400" t="str">
        <f>IF($G400="","",IF(Sync!$W396="","",Sync!$W396))</f>
        <v/>
      </c>
      <c r="I400" t="str">
        <f>IF(OR($G400="",Sync!$Y396=""),"",Sync!$Y396)</f>
        <v/>
      </c>
      <c r="J400" t="str">
        <f>IF(OR($G400="",Sync!$Z396=""),"",Sync!$Z396)</f>
        <v/>
      </c>
      <c r="K400">
        <f>IF($G400="",0,IF(Sync!$AA396="",0,Sync!$AA396))</f>
        <v>0</v>
      </c>
      <c r="L400">
        <f>IF($G400="",0,IF(Sync!$AB396="",0,Sync!$AB396))</f>
        <v>0</v>
      </c>
      <c r="M400" t="str">
        <f t="shared" si="41"/>
        <v/>
      </c>
      <c r="N400">
        <f>IF($G400="",0,IF($H400="مرجوعی فروش",-1,1)*IF(Sync!$AC396="",0,Sync!$AC396))</f>
        <v>0</v>
      </c>
      <c r="O400" t="str">
        <f>IF(OR($G400="",Sync!$V396=""),"",Sync!$V396)</f>
        <v/>
      </c>
      <c r="P400" t="str">
        <f>IF(OR($G400="",Sync!$AD396=""),"",Sync!$AD396)</f>
        <v/>
      </c>
      <c r="Q400" t="str">
        <f>IF($G400="","",IF(Sync!$U396="","0000",IF(AND(ISNUMBER(Sync!$U396),Sync!$U396&gt;=0,Sync!$U396&lt;1),RIGHT("00"&amp;HOUR(Sync!$U396),2)&amp;RIGHT("00"&amp;MINUTE(Sync!$U396),2),IFERROR(RIGHT("00"&amp;VALUE(LEFT(Sync!$U396,FIND(":",Sync!$U396)-1)),2)&amp;RIGHT("00"&amp;VALUE(MID(Sync!$U396,FIND(":",Sync!$U396)+1,2)),2),"0000"))))</f>
        <v/>
      </c>
    </row>
    <row r="401" spans="1:17" x14ac:dyDescent="0.2">
      <c r="A401" t="str">
        <f>IF(Sync!$T397="","",Sync!$T397)</f>
        <v/>
      </c>
      <c r="B401" t="str">
        <f t="shared" si="36"/>
        <v/>
      </c>
      <c r="C401" t="str">
        <f t="shared" si="37"/>
        <v/>
      </c>
      <c r="D401" t="str">
        <f t="shared" si="38"/>
        <v/>
      </c>
      <c r="E401" t="str">
        <f t="shared" si="39"/>
        <v/>
      </c>
      <c r="F401" t="str">
        <f t="shared" si="40"/>
        <v/>
      </c>
      <c r="G401" t="str">
        <f>IF(OR($E401="",$E401="نامعتبر",Sync!$X397=""),"",IF(AND(LEFT(UPPER(TRIM(Sync!$X397)),2)="SL",IFERROR(VLOOKUP(Sync!$W397,OpTbl,3,0),"")="فروش"),UPPER(TRIM(Sync!$X397)),""))</f>
        <v/>
      </c>
      <c r="H401" t="str">
        <f>IF($G401="","",IF(Sync!$W397="","",Sync!$W397))</f>
        <v/>
      </c>
      <c r="I401" t="str">
        <f>IF(OR($G401="",Sync!$Y397=""),"",Sync!$Y397)</f>
        <v/>
      </c>
      <c r="J401" t="str">
        <f>IF(OR($G401="",Sync!$Z397=""),"",Sync!$Z397)</f>
        <v/>
      </c>
      <c r="K401">
        <f>IF($G401="",0,IF(Sync!$AA397="",0,Sync!$AA397))</f>
        <v>0</v>
      </c>
      <c r="L401">
        <f>IF($G401="",0,IF(Sync!$AB397="",0,Sync!$AB397))</f>
        <v>0</v>
      </c>
      <c r="M401" t="str">
        <f t="shared" si="41"/>
        <v/>
      </c>
      <c r="N401">
        <f>IF($G401="",0,IF($H401="مرجوعی فروش",-1,1)*IF(Sync!$AC397="",0,Sync!$AC397))</f>
        <v>0</v>
      </c>
      <c r="O401" t="str">
        <f>IF(OR($G401="",Sync!$V397=""),"",Sync!$V397)</f>
        <v/>
      </c>
      <c r="P401" t="str">
        <f>IF(OR($G401="",Sync!$AD397=""),"",Sync!$AD397)</f>
        <v/>
      </c>
      <c r="Q401" t="str">
        <f>IF($G401="","",IF(Sync!$U397="","0000",IF(AND(ISNUMBER(Sync!$U397),Sync!$U397&gt;=0,Sync!$U397&lt;1),RIGHT("00"&amp;HOUR(Sync!$U397),2)&amp;RIGHT("00"&amp;MINUTE(Sync!$U397),2),IFERROR(RIGHT("00"&amp;VALUE(LEFT(Sync!$U397,FIND(":",Sync!$U397)-1)),2)&amp;RIGHT("00"&amp;VALUE(MID(Sync!$U397,FIND(":",Sync!$U397)+1,2)),2),"0000"))))</f>
        <v/>
      </c>
    </row>
    <row r="402" spans="1:17" x14ac:dyDescent="0.2">
      <c r="A402" t="str">
        <f>IF(Sync!$T398="","",Sync!$T398)</f>
        <v/>
      </c>
      <c r="B402" t="str">
        <f t="shared" si="36"/>
        <v/>
      </c>
      <c r="C402" t="str">
        <f t="shared" si="37"/>
        <v/>
      </c>
      <c r="D402" t="str">
        <f t="shared" si="38"/>
        <v/>
      </c>
      <c r="E402" t="str">
        <f t="shared" si="39"/>
        <v/>
      </c>
      <c r="F402" t="str">
        <f t="shared" si="40"/>
        <v/>
      </c>
      <c r="G402" t="str">
        <f>IF(OR($E402="",$E402="نامعتبر",Sync!$X398=""),"",IF(AND(LEFT(UPPER(TRIM(Sync!$X398)),2)="SL",IFERROR(VLOOKUP(Sync!$W398,OpTbl,3,0),"")="فروش"),UPPER(TRIM(Sync!$X398)),""))</f>
        <v/>
      </c>
      <c r="H402" t="str">
        <f>IF($G402="","",IF(Sync!$W398="","",Sync!$W398))</f>
        <v/>
      </c>
      <c r="I402" t="str">
        <f>IF(OR($G402="",Sync!$Y398=""),"",Sync!$Y398)</f>
        <v/>
      </c>
      <c r="J402" t="str">
        <f>IF(OR($G402="",Sync!$Z398=""),"",Sync!$Z398)</f>
        <v/>
      </c>
      <c r="K402">
        <f>IF($G402="",0,IF(Sync!$AA398="",0,Sync!$AA398))</f>
        <v>0</v>
      </c>
      <c r="L402">
        <f>IF($G402="",0,IF(Sync!$AB398="",0,Sync!$AB398))</f>
        <v>0</v>
      </c>
      <c r="M402" t="str">
        <f t="shared" si="41"/>
        <v/>
      </c>
      <c r="N402">
        <f>IF($G402="",0,IF($H402="مرجوعی فروش",-1,1)*IF(Sync!$AC398="",0,Sync!$AC398))</f>
        <v>0</v>
      </c>
      <c r="O402" t="str">
        <f>IF(OR($G402="",Sync!$V398=""),"",Sync!$V398)</f>
        <v/>
      </c>
      <c r="P402" t="str">
        <f>IF(OR($G402="",Sync!$AD398=""),"",Sync!$AD398)</f>
        <v/>
      </c>
      <c r="Q402" t="str">
        <f>IF($G402="","",IF(Sync!$U398="","0000",IF(AND(ISNUMBER(Sync!$U398),Sync!$U398&gt;=0,Sync!$U398&lt;1),RIGHT("00"&amp;HOUR(Sync!$U398),2)&amp;RIGHT("00"&amp;MINUTE(Sync!$U398),2),IFERROR(RIGHT("00"&amp;VALUE(LEFT(Sync!$U398,FIND(":",Sync!$U398)-1)),2)&amp;RIGHT("00"&amp;VALUE(MID(Sync!$U398,FIND(":",Sync!$U398)+1,2)),2),"0000"))))</f>
        <v/>
      </c>
    </row>
    <row r="403" spans="1:17" x14ac:dyDescent="0.2">
      <c r="A403" t="str">
        <f>IF(Sync!$T399="","",Sync!$T399)</f>
        <v/>
      </c>
      <c r="B403" t="str">
        <f t="shared" si="36"/>
        <v/>
      </c>
      <c r="C403" t="str">
        <f t="shared" si="37"/>
        <v/>
      </c>
      <c r="D403" t="str">
        <f t="shared" si="38"/>
        <v/>
      </c>
      <c r="E403" t="str">
        <f t="shared" si="39"/>
        <v/>
      </c>
      <c r="F403" t="str">
        <f t="shared" si="40"/>
        <v/>
      </c>
      <c r="G403" t="str">
        <f>IF(OR($E403="",$E403="نامعتبر",Sync!$X399=""),"",IF(AND(LEFT(UPPER(TRIM(Sync!$X399)),2)="SL",IFERROR(VLOOKUP(Sync!$W399,OpTbl,3,0),"")="فروش"),UPPER(TRIM(Sync!$X399)),""))</f>
        <v/>
      </c>
      <c r="H403" t="str">
        <f>IF($G403="","",IF(Sync!$W399="","",Sync!$W399))</f>
        <v/>
      </c>
      <c r="I403" t="str">
        <f>IF(OR($G403="",Sync!$Y399=""),"",Sync!$Y399)</f>
        <v/>
      </c>
      <c r="J403" t="str">
        <f>IF(OR($G403="",Sync!$Z399=""),"",Sync!$Z399)</f>
        <v/>
      </c>
      <c r="K403">
        <f>IF($G403="",0,IF(Sync!$AA399="",0,Sync!$AA399))</f>
        <v>0</v>
      </c>
      <c r="L403">
        <f>IF($G403="",0,IF(Sync!$AB399="",0,Sync!$AB399))</f>
        <v>0</v>
      </c>
      <c r="M403" t="str">
        <f t="shared" si="41"/>
        <v/>
      </c>
      <c r="N403">
        <f>IF($G403="",0,IF($H403="مرجوعی فروش",-1,1)*IF(Sync!$AC399="",0,Sync!$AC399))</f>
        <v>0</v>
      </c>
      <c r="O403" t="str">
        <f>IF(OR($G403="",Sync!$V399=""),"",Sync!$V399)</f>
        <v/>
      </c>
      <c r="P403" t="str">
        <f>IF(OR($G403="",Sync!$AD399=""),"",Sync!$AD399)</f>
        <v/>
      </c>
      <c r="Q403" t="str">
        <f>IF($G403="","",IF(Sync!$U399="","0000",IF(AND(ISNUMBER(Sync!$U399),Sync!$U399&gt;=0,Sync!$U399&lt;1),RIGHT("00"&amp;HOUR(Sync!$U399),2)&amp;RIGHT("00"&amp;MINUTE(Sync!$U399),2),IFERROR(RIGHT("00"&amp;VALUE(LEFT(Sync!$U399,FIND(":",Sync!$U399)-1)),2)&amp;RIGHT("00"&amp;VALUE(MID(Sync!$U399,FIND(":",Sync!$U399)+1,2)),2),"0000"))))</f>
        <v/>
      </c>
    </row>
    <row r="404" spans="1:17" x14ac:dyDescent="0.2">
      <c r="A404" t="str">
        <f>IF(Sync!$T400="","",Sync!$T400)</f>
        <v/>
      </c>
      <c r="B404" t="str">
        <f t="shared" si="36"/>
        <v/>
      </c>
      <c r="C404" t="str">
        <f t="shared" si="37"/>
        <v/>
      </c>
      <c r="D404" t="str">
        <f t="shared" si="38"/>
        <v/>
      </c>
      <c r="E404" t="str">
        <f t="shared" si="39"/>
        <v/>
      </c>
      <c r="F404" t="str">
        <f t="shared" si="40"/>
        <v/>
      </c>
      <c r="G404" t="str">
        <f>IF(OR($E404="",$E404="نامعتبر",Sync!$X400=""),"",IF(AND(LEFT(UPPER(TRIM(Sync!$X400)),2)="SL",IFERROR(VLOOKUP(Sync!$W400,OpTbl,3,0),"")="فروش"),UPPER(TRIM(Sync!$X400)),""))</f>
        <v/>
      </c>
      <c r="H404" t="str">
        <f>IF($G404="","",IF(Sync!$W400="","",Sync!$W400))</f>
        <v/>
      </c>
      <c r="I404" t="str">
        <f>IF(OR($G404="",Sync!$Y400=""),"",Sync!$Y400)</f>
        <v/>
      </c>
      <c r="J404" t="str">
        <f>IF(OR($G404="",Sync!$Z400=""),"",Sync!$Z400)</f>
        <v/>
      </c>
      <c r="K404">
        <f>IF($G404="",0,IF(Sync!$AA400="",0,Sync!$AA400))</f>
        <v>0</v>
      </c>
      <c r="L404">
        <f>IF($G404="",0,IF(Sync!$AB400="",0,Sync!$AB400))</f>
        <v>0</v>
      </c>
      <c r="M404" t="str">
        <f t="shared" si="41"/>
        <v/>
      </c>
      <c r="N404">
        <f>IF($G404="",0,IF($H404="مرجوعی فروش",-1,1)*IF(Sync!$AC400="",0,Sync!$AC400))</f>
        <v>0</v>
      </c>
      <c r="O404" t="str">
        <f>IF(OR($G404="",Sync!$V400=""),"",Sync!$V400)</f>
        <v/>
      </c>
      <c r="P404" t="str">
        <f>IF(OR($G404="",Sync!$AD400=""),"",Sync!$AD400)</f>
        <v/>
      </c>
      <c r="Q404" t="str">
        <f>IF($G404="","",IF(Sync!$U400="","0000",IF(AND(ISNUMBER(Sync!$U400),Sync!$U400&gt;=0,Sync!$U400&lt;1),RIGHT("00"&amp;HOUR(Sync!$U400),2)&amp;RIGHT("00"&amp;MINUTE(Sync!$U400),2),IFERROR(RIGHT("00"&amp;VALUE(LEFT(Sync!$U400,FIND(":",Sync!$U400)-1)),2)&amp;RIGHT("00"&amp;VALUE(MID(Sync!$U400,FIND(":",Sync!$U400)+1,2)),2),"0000"))))</f>
        <v/>
      </c>
    </row>
    <row r="405" spans="1:17" x14ac:dyDescent="0.2">
      <c r="A405" t="str">
        <f>IF(Sync!$T401="","",Sync!$T401)</f>
        <v/>
      </c>
      <c r="B405" t="str">
        <f t="shared" si="36"/>
        <v/>
      </c>
      <c r="C405" t="str">
        <f t="shared" si="37"/>
        <v/>
      </c>
      <c r="D405" t="str">
        <f t="shared" si="38"/>
        <v/>
      </c>
      <c r="E405" t="str">
        <f t="shared" si="39"/>
        <v/>
      </c>
      <c r="F405" t="str">
        <f t="shared" si="40"/>
        <v/>
      </c>
      <c r="G405" t="str">
        <f>IF(OR($E405="",$E405="نامعتبر",Sync!$X401=""),"",IF(AND(LEFT(UPPER(TRIM(Sync!$X401)),2)="SL",IFERROR(VLOOKUP(Sync!$W401,OpTbl,3,0),"")="فروش"),UPPER(TRIM(Sync!$X401)),""))</f>
        <v/>
      </c>
      <c r="H405" t="str">
        <f>IF($G405="","",IF(Sync!$W401="","",Sync!$W401))</f>
        <v/>
      </c>
      <c r="I405" t="str">
        <f>IF(OR($G405="",Sync!$Y401=""),"",Sync!$Y401)</f>
        <v/>
      </c>
      <c r="J405" t="str">
        <f>IF(OR($G405="",Sync!$Z401=""),"",Sync!$Z401)</f>
        <v/>
      </c>
      <c r="K405">
        <f>IF($G405="",0,IF(Sync!$AA401="",0,Sync!$AA401))</f>
        <v>0</v>
      </c>
      <c r="L405">
        <f>IF($G405="",0,IF(Sync!$AB401="",0,Sync!$AB401))</f>
        <v>0</v>
      </c>
      <c r="M405" t="str">
        <f t="shared" si="41"/>
        <v/>
      </c>
      <c r="N405">
        <f>IF($G405="",0,IF($H405="مرجوعی فروش",-1,1)*IF(Sync!$AC401="",0,Sync!$AC401))</f>
        <v>0</v>
      </c>
      <c r="O405" t="str">
        <f>IF(OR($G405="",Sync!$V401=""),"",Sync!$V401)</f>
        <v/>
      </c>
      <c r="P405" t="str">
        <f>IF(OR($G405="",Sync!$AD401=""),"",Sync!$AD401)</f>
        <v/>
      </c>
      <c r="Q405" t="str">
        <f>IF($G405="","",IF(Sync!$U401="","0000",IF(AND(ISNUMBER(Sync!$U401),Sync!$U401&gt;=0,Sync!$U401&lt;1),RIGHT("00"&amp;HOUR(Sync!$U401),2)&amp;RIGHT("00"&amp;MINUTE(Sync!$U401),2),IFERROR(RIGHT("00"&amp;VALUE(LEFT(Sync!$U401,FIND(":",Sync!$U401)-1)),2)&amp;RIGHT("00"&amp;VALUE(MID(Sync!$U401,FIND(":",Sync!$U401)+1,2)),2),"0000"))))</f>
        <v/>
      </c>
    </row>
    <row r="406" spans="1:17" x14ac:dyDescent="0.2">
      <c r="A406" t="str">
        <f>IF(Sync!$T402="","",Sync!$T402)</f>
        <v/>
      </c>
      <c r="B406" t="str">
        <f t="shared" si="36"/>
        <v/>
      </c>
      <c r="C406" t="str">
        <f t="shared" si="37"/>
        <v/>
      </c>
      <c r="D406" t="str">
        <f t="shared" si="38"/>
        <v/>
      </c>
      <c r="E406" t="str">
        <f t="shared" si="39"/>
        <v/>
      </c>
      <c r="F406" t="str">
        <f t="shared" si="40"/>
        <v/>
      </c>
      <c r="G406" t="str">
        <f>IF(OR($E406="",$E406="نامعتبر",Sync!$X402=""),"",IF(AND(LEFT(UPPER(TRIM(Sync!$X402)),2)="SL",IFERROR(VLOOKUP(Sync!$W402,OpTbl,3,0),"")="فروش"),UPPER(TRIM(Sync!$X402)),""))</f>
        <v/>
      </c>
      <c r="H406" t="str">
        <f>IF($G406="","",IF(Sync!$W402="","",Sync!$W402))</f>
        <v/>
      </c>
      <c r="I406" t="str">
        <f>IF(OR($G406="",Sync!$Y402=""),"",Sync!$Y402)</f>
        <v/>
      </c>
      <c r="J406" t="str">
        <f>IF(OR($G406="",Sync!$Z402=""),"",Sync!$Z402)</f>
        <v/>
      </c>
      <c r="K406">
        <f>IF($G406="",0,IF(Sync!$AA402="",0,Sync!$AA402))</f>
        <v>0</v>
      </c>
      <c r="L406">
        <f>IF($G406="",0,IF(Sync!$AB402="",0,Sync!$AB402))</f>
        <v>0</v>
      </c>
      <c r="M406" t="str">
        <f t="shared" si="41"/>
        <v/>
      </c>
      <c r="N406">
        <f>IF($G406="",0,IF($H406="مرجوعی فروش",-1,1)*IF(Sync!$AC402="",0,Sync!$AC402))</f>
        <v>0</v>
      </c>
      <c r="O406" t="str">
        <f>IF(OR($G406="",Sync!$V402=""),"",Sync!$V402)</f>
        <v/>
      </c>
      <c r="P406" t="str">
        <f>IF(OR($G406="",Sync!$AD402=""),"",Sync!$AD402)</f>
        <v/>
      </c>
      <c r="Q406" t="str">
        <f>IF($G406="","",IF(Sync!$U402="","0000",IF(AND(ISNUMBER(Sync!$U402),Sync!$U402&gt;=0,Sync!$U402&lt;1),RIGHT("00"&amp;HOUR(Sync!$U402),2)&amp;RIGHT("00"&amp;MINUTE(Sync!$U402),2),IFERROR(RIGHT("00"&amp;VALUE(LEFT(Sync!$U402,FIND(":",Sync!$U402)-1)),2)&amp;RIGHT("00"&amp;VALUE(MID(Sync!$U402,FIND(":",Sync!$U402)+1,2)),2),"0000"))))</f>
        <v/>
      </c>
    </row>
    <row r="407" spans="1:17" x14ac:dyDescent="0.2">
      <c r="A407" t="str">
        <f>IF(Sync!$T403="","",Sync!$T403)</f>
        <v/>
      </c>
      <c r="B407" t="str">
        <f t="shared" si="36"/>
        <v/>
      </c>
      <c r="C407" t="str">
        <f t="shared" si="37"/>
        <v/>
      </c>
      <c r="D407" t="str">
        <f t="shared" si="38"/>
        <v/>
      </c>
      <c r="E407" t="str">
        <f t="shared" si="39"/>
        <v/>
      </c>
      <c r="F407" t="str">
        <f t="shared" si="40"/>
        <v/>
      </c>
      <c r="G407" t="str">
        <f>IF(OR($E407="",$E407="نامعتبر",Sync!$X403=""),"",IF(AND(LEFT(UPPER(TRIM(Sync!$X403)),2)="SL",IFERROR(VLOOKUP(Sync!$W403,OpTbl,3,0),"")="فروش"),UPPER(TRIM(Sync!$X403)),""))</f>
        <v/>
      </c>
      <c r="H407" t="str">
        <f>IF($G407="","",IF(Sync!$W403="","",Sync!$W403))</f>
        <v/>
      </c>
      <c r="I407" t="str">
        <f>IF(OR($G407="",Sync!$Y403=""),"",Sync!$Y403)</f>
        <v/>
      </c>
      <c r="J407" t="str">
        <f>IF(OR($G407="",Sync!$Z403=""),"",Sync!$Z403)</f>
        <v/>
      </c>
      <c r="K407">
        <f>IF($G407="",0,IF(Sync!$AA403="",0,Sync!$AA403))</f>
        <v>0</v>
      </c>
      <c r="L407">
        <f>IF($G407="",0,IF(Sync!$AB403="",0,Sync!$AB403))</f>
        <v>0</v>
      </c>
      <c r="M407" t="str">
        <f t="shared" si="41"/>
        <v/>
      </c>
      <c r="N407">
        <f>IF($G407="",0,IF($H407="مرجوعی فروش",-1,1)*IF(Sync!$AC403="",0,Sync!$AC403))</f>
        <v>0</v>
      </c>
      <c r="O407" t="str">
        <f>IF(OR($G407="",Sync!$V403=""),"",Sync!$V403)</f>
        <v/>
      </c>
      <c r="P407" t="str">
        <f>IF(OR($G407="",Sync!$AD403=""),"",Sync!$AD403)</f>
        <v/>
      </c>
      <c r="Q407" t="str">
        <f>IF($G407="","",IF(Sync!$U403="","0000",IF(AND(ISNUMBER(Sync!$U403),Sync!$U403&gt;=0,Sync!$U403&lt;1),RIGHT("00"&amp;HOUR(Sync!$U403),2)&amp;RIGHT("00"&amp;MINUTE(Sync!$U403),2),IFERROR(RIGHT("00"&amp;VALUE(LEFT(Sync!$U403,FIND(":",Sync!$U403)-1)),2)&amp;RIGHT("00"&amp;VALUE(MID(Sync!$U403,FIND(":",Sync!$U403)+1,2)),2),"0000"))))</f>
        <v/>
      </c>
    </row>
    <row r="408" spans="1:17" x14ac:dyDescent="0.2">
      <c r="A408" t="str">
        <f>IF(Sync!$T404="","",Sync!$T404)</f>
        <v/>
      </c>
      <c r="B408" t="str">
        <f t="shared" si="36"/>
        <v/>
      </c>
      <c r="C408" t="str">
        <f t="shared" si="37"/>
        <v/>
      </c>
      <c r="D408" t="str">
        <f t="shared" si="38"/>
        <v/>
      </c>
      <c r="E408" t="str">
        <f t="shared" si="39"/>
        <v/>
      </c>
      <c r="F408" t="str">
        <f t="shared" si="40"/>
        <v/>
      </c>
      <c r="G408" t="str">
        <f>IF(OR($E408="",$E408="نامعتبر",Sync!$X404=""),"",IF(AND(LEFT(UPPER(TRIM(Sync!$X404)),2)="SL",IFERROR(VLOOKUP(Sync!$W404,OpTbl,3,0),"")="فروش"),UPPER(TRIM(Sync!$X404)),""))</f>
        <v/>
      </c>
      <c r="H408" t="str">
        <f>IF($G408="","",IF(Sync!$W404="","",Sync!$W404))</f>
        <v/>
      </c>
      <c r="I408" t="str">
        <f>IF(OR($G408="",Sync!$Y404=""),"",Sync!$Y404)</f>
        <v/>
      </c>
      <c r="J408" t="str">
        <f>IF(OR($G408="",Sync!$Z404=""),"",Sync!$Z404)</f>
        <v/>
      </c>
      <c r="K408">
        <f>IF($G408="",0,IF(Sync!$AA404="",0,Sync!$AA404))</f>
        <v>0</v>
      </c>
      <c r="L408">
        <f>IF($G408="",0,IF(Sync!$AB404="",0,Sync!$AB404))</f>
        <v>0</v>
      </c>
      <c r="M408" t="str">
        <f t="shared" si="41"/>
        <v/>
      </c>
      <c r="N408">
        <f>IF($G408="",0,IF($H408="مرجوعی فروش",-1,1)*IF(Sync!$AC404="",0,Sync!$AC404))</f>
        <v>0</v>
      </c>
      <c r="O408" t="str">
        <f>IF(OR($G408="",Sync!$V404=""),"",Sync!$V404)</f>
        <v/>
      </c>
      <c r="P408" t="str">
        <f>IF(OR($G408="",Sync!$AD404=""),"",Sync!$AD404)</f>
        <v/>
      </c>
      <c r="Q408" t="str">
        <f>IF($G408="","",IF(Sync!$U404="","0000",IF(AND(ISNUMBER(Sync!$U404),Sync!$U404&gt;=0,Sync!$U404&lt;1),RIGHT("00"&amp;HOUR(Sync!$U404),2)&amp;RIGHT("00"&amp;MINUTE(Sync!$U404),2),IFERROR(RIGHT("00"&amp;VALUE(LEFT(Sync!$U404,FIND(":",Sync!$U404)-1)),2)&amp;RIGHT("00"&amp;VALUE(MID(Sync!$U404,FIND(":",Sync!$U404)+1,2)),2),"0000"))))</f>
        <v/>
      </c>
    </row>
    <row r="409" spans="1:17" x14ac:dyDescent="0.2">
      <c r="A409" t="str">
        <f>IF(Sync!$T405="","",Sync!$T405)</f>
        <v/>
      </c>
      <c r="B409" t="str">
        <f t="shared" si="36"/>
        <v/>
      </c>
      <c r="C409" t="str">
        <f t="shared" si="37"/>
        <v/>
      </c>
      <c r="D409" t="str">
        <f t="shared" si="38"/>
        <v/>
      </c>
      <c r="E409" t="str">
        <f t="shared" si="39"/>
        <v/>
      </c>
      <c r="F409" t="str">
        <f t="shared" si="40"/>
        <v/>
      </c>
      <c r="G409" t="str">
        <f>IF(OR($E409="",$E409="نامعتبر",Sync!$X405=""),"",IF(AND(LEFT(UPPER(TRIM(Sync!$X405)),2)="SL",IFERROR(VLOOKUP(Sync!$W405,OpTbl,3,0),"")="فروش"),UPPER(TRIM(Sync!$X405)),""))</f>
        <v/>
      </c>
      <c r="H409" t="str">
        <f>IF($G409="","",IF(Sync!$W405="","",Sync!$W405))</f>
        <v/>
      </c>
      <c r="I409" t="str">
        <f>IF(OR($G409="",Sync!$Y405=""),"",Sync!$Y405)</f>
        <v/>
      </c>
      <c r="J409" t="str">
        <f>IF(OR($G409="",Sync!$Z405=""),"",Sync!$Z405)</f>
        <v/>
      </c>
      <c r="K409">
        <f>IF($G409="",0,IF(Sync!$AA405="",0,Sync!$AA405))</f>
        <v>0</v>
      </c>
      <c r="L409">
        <f>IF($G409="",0,IF(Sync!$AB405="",0,Sync!$AB405))</f>
        <v>0</v>
      </c>
      <c r="M409" t="str">
        <f t="shared" si="41"/>
        <v/>
      </c>
      <c r="N409">
        <f>IF($G409="",0,IF($H409="مرجوعی فروش",-1,1)*IF(Sync!$AC405="",0,Sync!$AC405))</f>
        <v>0</v>
      </c>
      <c r="O409" t="str">
        <f>IF(OR($G409="",Sync!$V405=""),"",Sync!$V405)</f>
        <v/>
      </c>
      <c r="P409" t="str">
        <f>IF(OR($G409="",Sync!$AD405=""),"",Sync!$AD405)</f>
        <v/>
      </c>
      <c r="Q409" t="str">
        <f>IF($G409="","",IF(Sync!$U405="","0000",IF(AND(ISNUMBER(Sync!$U405),Sync!$U405&gt;=0,Sync!$U405&lt;1),RIGHT("00"&amp;HOUR(Sync!$U405),2)&amp;RIGHT("00"&amp;MINUTE(Sync!$U405),2),IFERROR(RIGHT("00"&amp;VALUE(LEFT(Sync!$U405,FIND(":",Sync!$U405)-1)),2)&amp;RIGHT("00"&amp;VALUE(MID(Sync!$U405,FIND(":",Sync!$U405)+1,2)),2),"0000"))))</f>
        <v/>
      </c>
    </row>
    <row r="410" spans="1:17" x14ac:dyDescent="0.2">
      <c r="A410" t="str">
        <f>IF(Sync!$T406="","",Sync!$T406)</f>
        <v/>
      </c>
      <c r="B410" t="str">
        <f t="shared" si="36"/>
        <v/>
      </c>
      <c r="C410" t="str">
        <f t="shared" si="37"/>
        <v/>
      </c>
      <c r="D410" t="str">
        <f t="shared" si="38"/>
        <v/>
      </c>
      <c r="E410" t="str">
        <f t="shared" si="39"/>
        <v/>
      </c>
      <c r="F410" t="str">
        <f t="shared" si="40"/>
        <v/>
      </c>
      <c r="G410" t="str">
        <f>IF(OR($E410="",$E410="نامعتبر",Sync!$X406=""),"",IF(AND(LEFT(UPPER(TRIM(Sync!$X406)),2)="SL",IFERROR(VLOOKUP(Sync!$W406,OpTbl,3,0),"")="فروش"),UPPER(TRIM(Sync!$X406)),""))</f>
        <v/>
      </c>
      <c r="H410" t="str">
        <f>IF($G410="","",IF(Sync!$W406="","",Sync!$W406))</f>
        <v/>
      </c>
      <c r="I410" t="str">
        <f>IF(OR($G410="",Sync!$Y406=""),"",Sync!$Y406)</f>
        <v/>
      </c>
      <c r="J410" t="str">
        <f>IF(OR($G410="",Sync!$Z406=""),"",Sync!$Z406)</f>
        <v/>
      </c>
      <c r="K410">
        <f>IF($G410="",0,IF(Sync!$AA406="",0,Sync!$AA406))</f>
        <v>0</v>
      </c>
      <c r="L410">
        <f>IF($G410="",0,IF(Sync!$AB406="",0,Sync!$AB406))</f>
        <v>0</v>
      </c>
      <c r="M410" t="str">
        <f t="shared" si="41"/>
        <v/>
      </c>
      <c r="N410">
        <f>IF($G410="",0,IF($H410="مرجوعی فروش",-1,1)*IF(Sync!$AC406="",0,Sync!$AC406))</f>
        <v>0</v>
      </c>
      <c r="O410" t="str">
        <f>IF(OR($G410="",Sync!$V406=""),"",Sync!$V406)</f>
        <v/>
      </c>
      <c r="P410" t="str">
        <f>IF(OR($G410="",Sync!$AD406=""),"",Sync!$AD406)</f>
        <v/>
      </c>
      <c r="Q410" t="str">
        <f>IF($G410="","",IF(Sync!$U406="","0000",IF(AND(ISNUMBER(Sync!$U406),Sync!$U406&gt;=0,Sync!$U406&lt;1),RIGHT("00"&amp;HOUR(Sync!$U406),2)&amp;RIGHT("00"&amp;MINUTE(Sync!$U406),2),IFERROR(RIGHT("00"&amp;VALUE(LEFT(Sync!$U406,FIND(":",Sync!$U406)-1)),2)&amp;RIGHT("00"&amp;VALUE(MID(Sync!$U406,FIND(":",Sync!$U406)+1,2)),2),"0000"))))</f>
        <v/>
      </c>
    </row>
    <row r="411" spans="1:17" x14ac:dyDescent="0.2">
      <c r="A411" t="str">
        <f>IF(Sync!$T407="","",Sync!$T407)</f>
        <v/>
      </c>
      <c r="B411" t="str">
        <f t="shared" si="36"/>
        <v/>
      </c>
      <c r="C411" t="str">
        <f t="shared" si="37"/>
        <v/>
      </c>
      <c r="D411" t="str">
        <f t="shared" si="38"/>
        <v/>
      </c>
      <c r="E411" t="str">
        <f t="shared" si="39"/>
        <v/>
      </c>
      <c r="F411" t="str">
        <f t="shared" si="40"/>
        <v/>
      </c>
      <c r="G411" t="str">
        <f>IF(OR($E411="",$E411="نامعتبر",Sync!$X407=""),"",IF(AND(LEFT(UPPER(TRIM(Sync!$X407)),2)="SL",IFERROR(VLOOKUP(Sync!$W407,OpTbl,3,0),"")="فروش"),UPPER(TRIM(Sync!$X407)),""))</f>
        <v/>
      </c>
      <c r="H411" t="str">
        <f>IF($G411="","",IF(Sync!$W407="","",Sync!$W407))</f>
        <v/>
      </c>
      <c r="I411" t="str">
        <f>IF(OR($G411="",Sync!$Y407=""),"",Sync!$Y407)</f>
        <v/>
      </c>
      <c r="J411" t="str">
        <f>IF(OR($G411="",Sync!$Z407=""),"",Sync!$Z407)</f>
        <v/>
      </c>
      <c r="K411">
        <f>IF($G411="",0,IF(Sync!$AA407="",0,Sync!$AA407))</f>
        <v>0</v>
      </c>
      <c r="L411">
        <f>IF($G411="",0,IF(Sync!$AB407="",0,Sync!$AB407))</f>
        <v>0</v>
      </c>
      <c r="M411" t="str">
        <f t="shared" si="41"/>
        <v/>
      </c>
      <c r="N411">
        <f>IF($G411="",0,IF($H411="مرجوعی فروش",-1,1)*IF(Sync!$AC407="",0,Sync!$AC407))</f>
        <v>0</v>
      </c>
      <c r="O411" t="str">
        <f>IF(OR($G411="",Sync!$V407=""),"",Sync!$V407)</f>
        <v/>
      </c>
      <c r="P411" t="str">
        <f>IF(OR($G411="",Sync!$AD407=""),"",Sync!$AD407)</f>
        <v/>
      </c>
      <c r="Q411" t="str">
        <f>IF($G411="","",IF(Sync!$U407="","0000",IF(AND(ISNUMBER(Sync!$U407),Sync!$U407&gt;=0,Sync!$U407&lt;1),RIGHT("00"&amp;HOUR(Sync!$U407),2)&amp;RIGHT("00"&amp;MINUTE(Sync!$U407),2),IFERROR(RIGHT("00"&amp;VALUE(LEFT(Sync!$U407,FIND(":",Sync!$U407)-1)),2)&amp;RIGHT("00"&amp;VALUE(MID(Sync!$U407,FIND(":",Sync!$U407)+1,2)),2),"0000"))))</f>
        <v/>
      </c>
    </row>
    <row r="412" spans="1:17" x14ac:dyDescent="0.2">
      <c r="A412" t="str">
        <f>IF(Sync!$T408="","",Sync!$T408)</f>
        <v/>
      </c>
      <c r="B412" t="str">
        <f t="shared" si="36"/>
        <v/>
      </c>
      <c r="C412" t="str">
        <f t="shared" si="37"/>
        <v/>
      </c>
      <c r="D412" t="str">
        <f t="shared" si="38"/>
        <v/>
      </c>
      <c r="E412" t="str">
        <f t="shared" si="39"/>
        <v/>
      </c>
      <c r="F412" t="str">
        <f t="shared" si="40"/>
        <v/>
      </c>
      <c r="G412" t="str">
        <f>IF(OR($E412="",$E412="نامعتبر",Sync!$X408=""),"",IF(AND(LEFT(UPPER(TRIM(Sync!$X408)),2)="SL",IFERROR(VLOOKUP(Sync!$W408,OpTbl,3,0),"")="فروش"),UPPER(TRIM(Sync!$X408)),""))</f>
        <v/>
      </c>
      <c r="H412" t="str">
        <f>IF($G412="","",IF(Sync!$W408="","",Sync!$W408))</f>
        <v/>
      </c>
      <c r="I412" t="str">
        <f>IF(OR($G412="",Sync!$Y408=""),"",Sync!$Y408)</f>
        <v/>
      </c>
      <c r="J412" t="str">
        <f>IF(OR($G412="",Sync!$Z408=""),"",Sync!$Z408)</f>
        <v/>
      </c>
      <c r="K412">
        <f>IF($G412="",0,IF(Sync!$AA408="",0,Sync!$AA408))</f>
        <v>0</v>
      </c>
      <c r="L412">
        <f>IF($G412="",0,IF(Sync!$AB408="",0,Sync!$AB408))</f>
        <v>0</v>
      </c>
      <c r="M412" t="str">
        <f t="shared" si="41"/>
        <v/>
      </c>
      <c r="N412">
        <f>IF($G412="",0,IF($H412="مرجوعی فروش",-1,1)*IF(Sync!$AC408="",0,Sync!$AC408))</f>
        <v>0</v>
      </c>
      <c r="O412" t="str">
        <f>IF(OR($G412="",Sync!$V408=""),"",Sync!$V408)</f>
        <v/>
      </c>
      <c r="P412" t="str">
        <f>IF(OR($G412="",Sync!$AD408=""),"",Sync!$AD408)</f>
        <v/>
      </c>
      <c r="Q412" t="str">
        <f>IF($G412="","",IF(Sync!$U408="","0000",IF(AND(ISNUMBER(Sync!$U408),Sync!$U408&gt;=0,Sync!$U408&lt;1),RIGHT("00"&amp;HOUR(Sync!$U408),2)&amp;RIGHT("00"&amp;MINUTE(Sync!$U408),2),IFERROR(RIGHT("00"&amp;VALUE(LEFT(Sync!$U408,FIND(":",Sync!$U408)-1)),2)&amp;RIGHT("00"&amp;VALUE(MID(Sync!$U408,FIND(":",Sync!$U408)+1,2)),2),"0000"))))</f>
        <v/>
      </c>
    </row>
    <row r="413" spans="1:17" x14ac:dyDescent="0.2">
      <c r="A413" t="str">
        <f>IF(Sync!$T409="","",Sync!$T409)</f>
        <v/>
      </c>
      <c r="B413" t="str">
        <f t="shared" si="36"/>
        <v/>
      </c>
      <c r="C413" t="str">
        <f t="shared" si="37"/>
        <v/>
      </c>
      <c r="D413" t="str">
        <f t="shared" si="38"/>
        <v/>
      </c>
      <c r="E413" t="str">
        <f t="shared" si="39"/>
        <v/>
      </c>
      <c r="F413" t="str">
        <f t="shared" si="40"/>
        <v/>
      </c>
      <c r="G413" t="str">
        <f>IF(OR($E413="",$E413="نامعتبر",Sync!$X409=""),"",IF(AND(LEFT(UPPER(TRIM(Sync!$X409)),2)="SL",IFERROR(VLOOKUP(Sync!$W409,OpTbl,3,0),"")="فروش"),UPPER(TRIM(Sync!$X409)),""))</f>
        <v/>
      </c>
      <c r="H413" t="str">
        <f>IF($G413="","",IF(Sync!$W409="","",Sync!$W409))</f>
        <v/>
      </c>
      <c r="I413" t="str">
        <f>IF(OR($G413="",Sync!$Y409=""),"",Sync!$Y409)</f>
        <v/>
      </c>
      <c r="J413" t="str">
        <f>IF(OR($G413="",Sync!$Z409=""),"",Sync!$Z409)</f>
        <v/>
      </c>
      <c r="K413">
        <f>IF($G413="",0,IF(Sync!$AA409="",0,Sync!$AA409))</f>
        <v>0</v>
      </c>
      <c r="L413">
        <f>IF($G413="",0,IF(Sync!$AB409="",0,Sync!$AB409))</f>
        <v>0</v>
      </c>
      <c r="M413" t="str">
        <f t="shared" si="41"/>
        <v/>
      </c>
      <c r="N413">
        <f>IF($G413="",0,IF($H413="مرجوعی فروش",-1,1)*IF(Sync!$AC409="",0,Sync!$AC409))</f>
        <v>0</v>
      </c>
      <c r="O413" t="str">
        <f>IF(OR($G413="",Sync!$V409=""),"",Sync!$V409)</f>
        <v/>
      </c>
      <c r="P413" t="str">
        <f>IF(OR($G413="",Sync!$AD409=""),"",Sync!$AD409)</f>
        <v/>
      </c>
      <c r="Q413" t="str">
        <f>IF($G413="","",IF(Sync!$U409="","0000",IF(AND(ISNUMBER(Sync!$U409),Sync!$U409&gt;=0,Sync!$U409&lt;1),RIGHT("00"&amp;HOUR(Sync!$U409),2)&amp;RIGHT("00"&amp;MINUTE(Sync!$U409),2),IFERROR(RIGHT("00"&amp;VALUE(LEFT(Sync!$U409,FIND(":",Sync!$U409)-1)),2)&amp;RIGHT("00"&amp;VALUE(MID(Sync!$U409,FIND(":",Sync!$U409)+1,2)),2),"0000"))))</f>
        <v/>
      </c>
    </row>
    <row r="414" spans="1:17" x14ac:dyDescent="0.2">
      <c r="A414" t="str">
        <f>IF(Sync!$T410="","",Sync!$T410)</f>
        <v/>
      </c>
      <c r="B414" t="str">
        <f t="shared" si="36"/>
        <v/>
      </c>
      <c r="C414" t="str">
        <f t="shared" si="37"/>
        <v/>
      </c>
      <c r="D414" t="str">
        <f t="shared" si="38"/>
        <v/>
      </c>
      <c r="E414" t="str">
        <f t="shared" si="39"/>
        <v/>
      </c>
      <c r="F414" t="str">
        <f t="shared" si="40"/>
        <v/>
      </c>
      <c r="G414" t="str">
        <f>IF(OR($E414="",$E414="نامعتبر",Sync!$X410=""),"",IF(AND(LEFT(UPPER(TRIM(Sync!$X410)),2)="SL",IFERROR(VLOOKUP(Sync!$W410,OpTbl,3,0),"")="فروش"),UPPER(TRIM(Sync!$X410)),""))</f>
        <v/>
      </c>
      <c r="H414" t="str">
        <f>IF($G414="","",IF(Sync!$W410="","",Sync!$W410))</f>
        <v/>
      </c>
      <c r="I414" t="str">
        <f>IF(OR($G414="",Sync!$Y410=""),"",Sync!$Y410)</f>
        <v/>
      </c>
      <c r="J414" t="str">
        <f>IF(OR($G414="",Sync!$Z410=""),"",Sync!$Z410)</f>
        <v/>
      </c>
      <c r="K414">
        <f>IF($G414="",0,IF(Sync!$AA410="",0,Sync!$AA410))</f>
        <v>0</v>
      </c>
      <c r="L414">
        <f>IF($G414="",0,IF(Sync!$AB410="",0,Sync!$AB410))</f>
        <v>0</v>
      </c>
      <c r="M414" t="str">
        <f t="shared" si="41"/>
        <v/>
      </c>
      <c r="N414">
        <f>IF($G414="",0,IF($H414="مرجوعی فروش",-1,1)*IF(Sync!$AC410="",0,Sync!$AC410))</f>
        <v>0</v>
      </c>
      <c r="O414" t="str">
        <f>IF(OR($G414="",Sync!$V410=""),"",Sync!$V410)</f>
        <v/>
      </c>
      <c r="P414" t="str">
        <f>IF(OR($G414="",Sync!$AD410=""),"",Sync!$AD410)</f>
        <v/>
      </c>
      <c r="Q414" t="str">
        <f>IF($G414="","",IF(Sync!$U410="","0000",IF(AND(ISNUMBER(Sync!$U410),Sync!$U410&gt;=0,Sync!$U410&lt;1),RIGHT("00"&amp;HOUR(Sync!$U410),2)&amp;RIGHT("00"&amp;MINUTE(Sync!$U410),2),IFERROR(RIGHT("00"&amp;VALUE(LEFT(Sync!$U410,FIND(":",Sync!$U410)-1)),2)&amp;RIGHT("00"&amp;VALUE(MID(Sync!$U410,FIND(":",Sync!$U410)+1,2)),2),"0000"))))</f>
        <v/>
      </c>
    </row>
    <row r="415" spans="1:17" x14ac:dyDescent="0.2">
      <c r="A415" t="str">
        <f>IF(Sync!$T411="","",Sync!$T411)</f>
        <v/>
      </c>
      <c r="B415" t="str">
        <f t="shared" si="36"/>
        <v/>
      </c>
      <c r="C415" t="str">
        <f t="shared" si="37"/>
        <v/>
      </c>
      <c r="D415" t="str">
        <f t="shared" si="38"/>
        <v/>
      </c>
      <c r="E415" t="str">
        <f t="shared" si="39"/>
        <v/>
      </c>
      <c r="F415" t="str">
        <f t="shared" si="40"/>
        <v/>
      </c>
      <c r="G415" t="str">
        <f>IF(OR($E415="",$E415="نامعتبر",Sync!$X411=""),"",IF(AND(LEFT(UPPER(TRIM(Sync!$X411)),2)="SL",IFERROR(VLOOKUP(Sync!$W411,OpTbl,3,0),"")="فروش"),UPPER(TRIM(Sync!$X411)),""))</f>
        <v/>
      </c>
      <c r="H415" t="str">
        <f>IF($G415="","",IF(Sync!$W411="","",Sync!$W411))</f>
        <v/>
      </c>
      <c r="I415" t="str">
        <f>IF(OR($G415="",Sync!$Y411=""),"",Sync!$Y411)</f>
        <v/>
      </c>
      <c r="J415" t="str">
        <f>IF(OR($G415="",Sync!$Z411=""),"",Sync!$Z411)</f>
        <v/>
      </c>
      <c r="K415">
        <f>IF($G415="",0,IF(Sync!$AA411="",0,Sync!$AA411))</f>
        <v>0</v>
      </c>
      <c r="L415">
        <f>IF($G415="",0,IF(Sync!$AB411="",0,Sync!$AB411))</f>
        <v>0</v>
      </c>
      <c r="M415" t="str">
        <f t="shared" si="41"/>
        <v/>
      </c>
      <c r="N415">
        <f>IF($G415="",0,IF($H415="مرجوعی فروش",-1,1)*IF(Sync!$AC411="",0,Sync!$AC411))</f>
        <v>0</v>
      </c>
      <c r="O415" t="str">
        <f>IF(OR($G415="",Sync!$V411=""),"",Sync!$V411)</f>
        <v/>
      </c>
      <c r="P415" t="str">
        <f>IF(OR($G415="",Sync!$AD411=""),"",Sync!$AD411)</f>
        <v/>
      </c>
      <c r="Q415" t="str">
        <f>IF($G415="","",IF(Sync!$U411="","0000",IF(AND(ISNUMBER(Sync!$U411),Sync!$U411&gt;=0,Sync!$U411&lt;1),RIGHT("00"&amp;HOUR(Sync!$U411),2)&amp;RIGHT("00"&amp;MINUTE(Sync!$U411),2),IFERROR(RIGHT("00"&amp;VALUE(LEFT(Sync!$U411,FIND(":",Sync!$U411)-1)),2)&amp;RIGHT("00"&amp;VALUE(MID(Sync!$U411,FIND(":",Sync!$U411)+1,2)),2),"0000"))))</f>
        <v/>
      </c>
    </row>
    <row r="416" spans="1:17" x14ac:dyDescent="0.2">
      <c r="A416" t="str">
        <f>IF(Sync!$T412="","",Sync!$T412)</f>
        <v/>
      </c>
      <c r="B416" t="str">
        <f t="shared" si="36"/>
        <v/>
      </c>
      <c r="C416" t="str">
        <f t="shared" si="37"/>
        <v/>
      </c>
      <c r="D416" t="str">
        <f t="shared" si="38"/>
        <v/>
      </c>
      <c r="E416" t="str">
        <f t="shared" si="39"/>
        <v/>
      </c>
      <c r="F416" t="str">
        <f t="shared" si="40"/>
        <v/>
      </c>
      <c r="G416" t="str">
        <f>IF(OR($E416="",$E416="نامعتبر",Sync!$X412=""),"",IF(AND(LEFT(UPPER(TRIM(Sync!$X412)),2)="SL",IFERROR(VLOOKUP(Sync!$W412,OpTbl,3,0),"")="فروش"),UPPER(TRIM(Sync!$X412)),""))</f>
        <v/>
      </c>
      <c r="H416" t="str">
        <f>IF($G416="","",IF(Sync!$W412="","",Sync!$W412))</f>
        <v/>
      </c>
      <c r="I416" t="str">
        <f>IF(OR($G416="",Sync!$Y412=""),"",Sync!$Y412)</f>
        <v/>
      </c>
      <c r="J416" t="str">
        <f>IF(OR($G416="",Sync!$Z412=""),"",Sync!$Z412)</f>
        <v/>
      </c>
      <c r="K416">
        <f>IF($G416="",0,IF(Sync!$AA412="",0,Sync!$AA412))</f>
        <v>0</v>
      </c>
      <c r="L416">
        <f>IF($G416="",0,IF(Sync!$AB412="",0,Sync!$AB412))</f>
        <v>0</v>
      </c>
      <c r="M416" t="str">
        <f t="shared" si="41"/>
        <v/>
      </c>
      <c r="N416">
        <f>IF($G416="",0,IF($H416="مرجوعی فروش",-1,1)*IF(Sync!$AC412="",0,Sync!$AC412))</f>
        <v>0</v>
      </c>
      <c r="O416" t="str">
        <f>IF(OR($G416="",Sync!$V412=""),"",Sync!$V412)</f>
        <v/>
      </c>
      <c r="P416" t="str">
        <f>IF(OR($G416="",Sync!$AD412=""),"",Sync!$AD412)</f>
        <v/>
      </c>
      <c r="Q416" t="str">
        <f>IF($G416="","",IF(Sync!$U412="","0000",IF(AND(ISNUMBER(Sync!$U412),Sync!$U412&gt;=0,Sync!$U412&lt;1),RIGHT("00"&amp;HOUR(Sync!$U412),2)&amp;RIGHT("00"&amp;MINUTE(Sync!$U412),2),IFERROR(RIGHT("00"&amp;VALUE(LEFT(Sync!$U412,FIND(":",Sync!$U412)-1)),2)&amp;RIGHT("00"&amp;VALUE(MID(Sync!$U412,FIND(":",Sync!$U412)+1,2)),2),"0000"))))</f>
        <v/>
      </c>
    </row>
    <row r="417" spans="1:17" x14ac:dyDescent="0.2">
      <c r="A417" t="str">
        <f>IF(Sync!$T413="","",Sync!$T413)</f>
        <v/>
      </c>
      <c r="B417" t="str">
        <f t="shared" si="36"/>
        <v/>
      </c>
      <c r="C417" t="str">
        <f t="shared" si="37"/>
        <v/>
      </c>
      <c r="D417" t="str">
        <f t="shared" si="38"/>
        <v/>
      </c>
      <c r="E417" t="str">
        <f t="shared" si="39"/>
        <v/>
      </c>
      <c r="F417" t="str">
        <f t="shared" si="40"/>
        <v/>
      </c>
      <c r="G417" t="str">
        <f>IF(OR($E417="",$E417="نامعتبر",Sync!$X413=""),"",IF(AND(LEFT(UPPER(TRIM(Sync!$X413)),2)="SL",IFERROR(VLOOKUP(Sync!$W413,OpTbl,3,0),"")="فروش"),UPPER(TRIM(Sync!$X413)),""))</f>
        <v/>
      </c>
      <c r="H417" t="str">
        <f>IF($G417="","",IF(Sync!$W413="","",Sync!$W413))</f>
        <v/>
      </c>
      <c r="I417" t="str">
        <f>IF(OR($G417="",Sync!$Y413=""),"",Sync!$Y413)</f>
        <v/>
      </c>
      <c r="J417" t="str">
        <f>IF(OR($G417="",Sync!$Z413=""),"",Sync!$Z413)</f>
        <v/>
      </c>
      <c r="K417">
        <f>IF($G417="",0,IF(Sync!$AA413="",0,Sync!$AA413))</f>
        <v>0</v>
      </c>
      <c r="L417">
        <f>IF($G417="",0,IF(Sync!$AB413="",0,Sync!$AB413))</f>
        <v>0</v>
      </c>
      <c r="M417" t="str">
        <f t="shared" si="41"/>
        <v/>
      </c>
      <c r="N417">
        <f>IF($G417="",0,IF($H417="مرجوعی فروش",-1,1)*IF(Sync!$AC413="",0,Sync!$AC413))</f>
        <v>0</v>
      </c>
      <c r="O417" t="str">
        <f>IF(OR($G417="",Sync!$V413=""),"",Sync!$V413)</f>
        <v/>
      </c>
      <c r="P417" t="str">
        <f>IF(OR($G417="",Sync!$AD413=""),"",Sync!$AD413)</f>
        <v/>
      </c>
      <c r="Q417" t="str">
        <f>IF($G417="","",IF(Sync!$U413="","0000",IF(AND(ISNUMBER(Sync!$U413),Sync!$U413&gt;=0,Sync!$U413&lt;1),RIGHT("00"&amp;HOUR(Sync!$U413),2)&amp;RIGHT("00"&amp;MINUTE(Sync!$U413),2),IFERROR(RIGHT("00"&amp;VALUE(LEFT(Sync!$U413,FIND(":",Sync!$U413)-1)),2)&amp;RIGHT("00"&amp;VALUE(MID(Sync!$U413,FIND(":",Sync!$U413)+1,2)),2),"0000"))))</f>
        <v/>
      </c>
    </row>
    <row r="418" spans="1:17" x14ac:dyDescent="0.2">
      <c r="A418" t="str">
        <f>IF(Sync!$T414="","",Sync!$T414)</f>
        <v/>
      </c>
      <c r="B418" t="str">
        <f t="shared" si="36"/>
        <v/>
      </c>
      <c r="C418" t="str">
        <f t="shared" si="37"/>
        <v/>
      </c>
      <c r="D418" t="str">
        <f t="shared" si="38"/>
        <v/>
      </c>
      <c r="E418" t="str">
        <f t="shared" si="39"/>
        <v/>
      </c>
      <c r="F418" t="str">
        <f t="shared" si="40"/>
        <v/>
      </c>
      <c r="G418" t="str">
        <f>IF(OR($E418="",$E418="نامعتبر",Sync!$X414=""),"",IF(AND(LEFT(UPPER(TRIM(Sync!$X414)),2)="SL",IFERROR(VLOOKUP(Sync!$W414,OpTbl,3,0),"")="فروش"),UPPER(TRIM(Sync!$X414)),""))</f>
        <v/>
      </c>
      <c r="H418" t="str">
        <f>IF($G418="","",IF(Sync!$W414="","",Sync!$W414))</f>
        <v/>
      </c>
      <c r="I418" t="str">
        <f>IF(OR($G418="",Sync!$Y414=""),"",Sync!$Y414)</f>
        <v/>
      </c>
      <c r="J418" t="str">
        <f>IF(OR($G418="",Sync!$Z414=""),"",Sync!$Z414)</f>
        <v/>
      </c>
      <c r="K418">
        <f>IF($G418="",0,IF(Sync!$AA414="",0,Sync!$AA414))</f>
        <v>0</v>
      </c>
      <c r="L418">
        <f>IF($G418="",0,IF(Sync!$AB414="",0,Sync!$AB414))</f>
        <v>0</v>
      </c>
      <c r="M418" t="str">
        <f t="shared" si="41"/>
        <v/>
      </c>
      <c r="N418">
        <f>IF($G418="",0,IF($H418="مرجوعی فروش",-1,1)*IF(Sync!$AC414="",0,Sync!$AC414))</f>
        <v>0</v>
      </c>
      <c r="O418" t="str">
        <f>IF(OR($G418="",Sync!$V414=""),"",Sync!$V414)</f>
        <v/>
      </c>
      <c r="P418" t="str">
        <f>IF(OR($G418="",Sync!$AD414=""),"",Sync!$AD414)</f>
        <v/>
      </c>
      <c r="Q418" t="str">
        <f>IF($G418="","",IF(Sync!$U414="","0000",IF(AND(ISNUMBER(Sync!$U414),Sync!$U414&gt;=0,Sync!$U414&lt;1),RIGHT("00"&amp;HOUR(Sync!$U414),2)&amp;RIGHT("00"&amp;MINUTE(Sync!$U414),2),IFERROR(RIGHT("00"&amp;VALUE(LEFT(Sync!$U414,FIND(":",Sync!$U414)-1)),2)&amp;RIGHT("00"&amp;VALUE(MID(Sync!$U414,FIND(":",Sync!$U414)+1,2)),2),"0000"))))</f>
        <v/>
      </c>
    </row>
    <row r="419" spans="1:17" x14ac:dyDescent="0.2">
      <c r="A419" t="str">
        <f>IF(Sync!$T415="","",Sync!$T415)</f>
        <v/>
      </c>
      <c r="B419" t="str">
        <f t="shared" si="36"/>
        <v/>
      </c>
      <c r="C419" t="str">
        <f t="shared" si="37"/>
        <v/>
      </c>
      <c r="D419" t="str">
        <f t="shared" si="38"/>
        <v/>
      </c>
      <c r="E419" t="str">
        <f t="shared" si="39"/>
        <v/>
      </c>
      <c r="F419" t="str">
        <f t="shared" si="40"/>
        <v/>
      </c>
      <c r="G419" t="str">
        <f>IF(OR($E419="",$E419="نامعتبر",Sync!$X415=""),"",IF(AND(LEFT(UPPER(TRIM(Sync!$X415)),2)="SL",IFERROR(VLOOKUP(Sync!$W415,OpTbl,3,0),"")="فروش"),UPPER(TRIM(Sync!$X415)),""))</f>
        <v/>
      </c>
      <c r="H419" t="str">
        <f>IF($G419="","",IF(Sync!$W415="","",Sync!$W415))</f>
        <v/>
      </c>
      <c r="I419" t="str">
        <f>IF(OR($G419="",Sync!$Y415=""),"",Sync!$Y415)</f>
        <v/>
      </c>
      <c r="J419" t="str">
        <f>IF(OR($G419="",Sync!$Z415=""),"",Sync!$Z415)</f>
        <v/>
      </c>
      <c r="K419">
        <f>IF($G419="",0,IF(Sync!$AA415="",0,Sync!$AA415))</f>
        <v>0</v>
      </c>
      <c r="L419">
        <f>IF($G419="",0,IF(Sync!$AB415="",0,Sync!$AB415))</f>
        <v>0</v>
      </c>
      <c r="M419" t="str">
        <f t="shared" si="41"/>
        <v/>
      </c>
      <c r="N419">
        <f>IF($G419="",0,IF($H419="مرجوعی فروش",-1,1)*IF(Sync!$AC415="",0,Sync!$AC415))</f>
        <v>0</v>
      </c>
      <c r="O419" t="str">
        <f>IF(OR($G419="",Sync!$V415=""),"",Sync!$V415)</f>
        <v/>
      </c>
      <c r="P419" t="str">
        <f>IF(OR($G419="",Sync!$AD415=""),"",Sync!$AD415)</f>
        <v/>
      </c>
      <c r="Q419" t="str">
        <f>IF($G419="","",IF(Sync!$U415="","0000",IF(AND(ISNUMBER(Sync!$U415),Sync!$U415&gt;=0,Sync!$U415&lt;1),RIGHT("00"&amp;HOUR(Sync!$U415),2)&amp;RIGHT("00"&amp;MINUTE(Sync!$U415),2),IFERROR(RIGHT("00"&amp;VALUE(LEFT(Sync!$U415,FIND(":",Sync!$U415)-1)),2)&amp;RIGHT("00"&amp;VALUE(MID(Sync!$U415,FIND(":",Sync!$U415)+1,2)),2),"0000"))))</f>
        <v/>
      </c>
    </row>
    <row r="420" spans="1:17" x14ac:dyDescent="0.2">
      <c r="A420" t="str">
        <f>IF(Sync!$T416="","",Sync!$T416)</f>
        <v/>
      </c>
      <c r="B420" t="str">
        <f t="shared" si="36"/>
        <v/>
      </c>
      <c r="C420" t="str">
        <f t="shared" si="37"/>
        <v/>
      </c>
      <c r="D420" t="str">
        <f t="shared" si="38"/>
        <v/>
      </c>
      <c r="E420" t="str">
        <f t="shared" si="39"/>
        <v/>
      </c>
      <c r="F420" t="str">
        <f t="shared" si="40"/>
        <v/>
      </c>
      <c r="G420" t="str">
        <f>IF(OR($E420="",$E420="نامعتبر",Sync!$X416=""),"",IF(AND(LEFT(UPPER(TRIM(Sync!$X416)),2)="SL",IFERROR(VLOOKUP(Sync!$W416,OpTbl,3,0),"")="فروش"),UPPER(TRIM(Sync!$X416)),""))</f>
        <v/>
      </c>
      <c r="H420" t="str">
        <f>IF($G420="","",IF(Sync!$W416="","",Sync!$W416))</f>
        <v/>
      </c>
      <c r="I420" t="str">
        <f>IF(OR($G420="",Sync!$Y416=""),"",Sync!$Y416)</f>
        <v/>
      </c>
      <c r="J420" t="str">
        <f>IF(OR($G420="",Sync!$Z416=""),"",Sync!$Z416)</f>
        <v/>
      </c>
      <c r="K420">
        <f>IF($G420="",0,IF(Sync!$AA416="",0,Sync!$AA416))</f>
        <v>0</v>
      </c>
      <c r="L420">
        <f>IF($G420="",0,IF(Sync!$AB416="",0,Sync!$AB416))</f>
        <v>0</v>
      </c>
      <c r="M420" t="str">
        <f t="shared" si="41"/>
        <v/>
      </c>
      <c r="N420">
        <f>IF($G420="",0,IF($H420="مرجوعی فروش",-1,1)*IF(Sync!$AC416="",0,Sync!$AC416))</f>
        <v>0</v>
      </c>
      <c r="O420" t="str">
        <f>IF(OR($G420="",Sync!$V416=""),"",Sync!$V416)</f>
        <v/>
      </c>
      <c r="P420" t="str">
        <f>IF(OR($G420="",Sync!$AD416=""),"",Sync!$AD416)</f>
        <v/>
      </c>
      <c r="Q420" t="str">
        <f>IF($G420="","",IF(Sync!$U416="","0000",IF(AND(ISNUMBER(Sync!$U416),Sync!$U416&gt;=0,Sync!$U416&lt;1),RIGHT("00"&amp;HOUR(Sync!$U416),2)&amp;RIGHT("00"&amp;MINUTE(Sync!$U416),2),IFERROR(RIGHT("00"&amp;VALUE(LEFT(Sync!$U416,FIND(":",Sync!$U416)-1)),2)&amp;RIGHT("00"&amp;VALUE(MID(Sync!$U416,FIND(":",Sync!$U416)+1,2)),2),"0000"))))</f>
        <v/>
      </c>
    </row>
    <row r="421" spans="1:17" x14ac:dyDescent="0.2">
      <c r="A421" t="str">
        <f>IF(Sync!$T417="","",Sync!$T417)</f>
        <v/>
      </c>
      <c r="B421" t="str">
        <f t="shared" si="36"/>
        <v/>
      </c>
      <c r="C421" t="str">
        <f t="shared" si="37"/>
        <v/>
      </c>
      <c r="D421" t="str">
        <f t="shared" si="38"/>
        <v/>
      </c>
      <c r="E421" t="str">
        <f t="shared" si="39"/>
        <v/>
      </c>
      <c r="F421" t="str">
        <f t="shared" si="40"/>
        <v/>
      </c>
      <c r="G421" t="str">
        <f>IF(OR($E421="",$E421="نامعتبر",Sync!$X417=""),"",IF(AND(LEFT(UPPER(TRIM(Sync!$X417)),2)="SL",IFERROR(VLOOKUP(Sync!$W417,OpTbl,3,0),"")="فروش"),UPPER(TRIM(Sync!$X417)),""))</f>
        <v/>
      </c>
      <c r="H421" t="str">
        <f>IF($G421="","",IF(Sync!$W417="","",Sync!$W417))</f>
        <v/>
      </c>
      <c r="I421" t="str">
        <f>IF(OR($G421="",Sync!$Y417=""),"",Sync!$Y417)</f>
        <v/>
      </c>
      <c r="J421" t="str">
        <f>IF(OR($G421="",Sync!$Z417=""),"",Sync!$Z417)</f>
        <v/>
      </c>
      <c r="K421">
        <f>IF($G421="",0,IF(Sync!$AA417="",0,Sync!$AA417))</f>
        <v>0</v>
      </c>
      <c r="L421">
        <f>IF($G421="",0,IF(Sync!$AB417="",0,Sync!$AB417))</f>
        <v>0</v>
      </c>
      <c r="M421" t="str">
        <f t="shared" si="41"/>
        <v/>
      </c>
      <c r="N421">
        <f>IF($G421="",0,IF($H421="مرجوعی فروش",-1,1)*IF(Sync!$AC417="",0,Sync!$AC417))</f>
        <v>0</v>
      </c>
      <c r="O421" t="str">
        <f>IF(OR($G421="",Sync!$V417=""),"",Sync!$V417)</f>
        <v/>
      </c>
      <c r="P421" t="str">
        <f>IF(OR($G421="",Sync!$AD417=""),"",Sync!$AD417)</f>
        <v/>
      </c>
      <c r="Q421" t="str">
        <f>IF($G421="","",IF(Sync!$U417="","0000",IF(AND(ISNUMBER(Sync!$U417),Sync!$U417&gt;=0,Sync!$U417&lt;1),RIGHT("00"&amp;HOUR(Sync!$U417),2)&amp;RIGHT("00"&amp;MINUTE(Sync!$U417),2),IFERROR(RIGHT("00"&amp;VALUE(LEFT(Sync!$U417,FIND(":",Sync!$U417)-1)),2)&amp;RIGHT("00"&amp;VALUE(MID(Sync!$U417,FIND(":",Sync!$U417)+1,2)),2),"0000"))))</f>
        <v/>
      </c>
    </row>
    <row r="422" spans="1:17" x14ac:dyDescent="0.2">
      <c r="A422" t="str">
        <f>IF(Sync!$T418="","",Sync!$T418)</f>
        <v/>
      </c>
      <c r="B422" t="str">
        <f t="shared" si="36"/>
        <v/>
      </c>
      <c r="C422" t="str">
        <f t="shared" si="37"/>
        <v/>
      </c>
      <c r="D422" t="str">
        <f t="shared" si="38"/>
        <v/>
      </c>
      <c r="E422" t="str">
        <f t="shared" si="39"/>
        <v/>
      </c>
      <c r="F422" t="str">
        <f t="shared" si="40"/>
        <v/>
      </c>
      <c r="G422" t="str">
        <f>IF(OR($E422="",$E422="نامعتبر",Sync!$X418=""),"",IF(AND(LEFT(UPPER(TRIM(Sync!$X418)),2)="SL",IFERROR(VLOOKUP(Sync!$W418,OpTbl,3,0),"")="فروش"),UPPER(TRIM(Sync!$X418)),""))</f>
        <v/>
      </c>
      <c r="H422" t="str">
        <f>IF($G422="","",IF(Sync!$W418="","",Sync!$W418))</f>
        <v/>
      </c>
      <c r="I422" t="str">
        <f>IF(OR($G422="",Sync!$Y418=""),"",Sync!$Y418)</f>
        <v/>
      </c>
      <c r="J422" t="str">
        <f>IF(OR($G422="",Sync!$Z418=""),"",Sync!$Z418)</f>
        <v/>
      </c>
      <c r="K422">
        <f>IF($G422="",0,IF(Sync!$AA418="",0,Sync!$AA418))</f>
        <v>0</v>
      </c>
      <c r="L422">
        <f>IF($G422="",0,IF(Sync!$AB418="",0,Sync!$AB418))</f>
        <v>0</v>
      </c>
      <c r="M422" t="str">
        <f t="shared" si="41"/>
        <v/>
      </c>
      <c r="N422">
        <f>IF($G422="",0,IF($H422="مرجوعی فروش",-1,1)*IF(Sync!$AC418="",0,Sync!$AC418))</f>
        <v>0</v>
      </c>
      <c r="O422" t="str">
        <f>IF(OR($G422="",Sync!$V418=""),"",Sync!$V418)</f>
        <v/>
      </c>
      <c r="P422" t="str">
        <f>IF(OR($G422="",Sync!$AD418=""),"",Sync!$AD418)</f>
        <v/>
      </c>
      <c r="Q422" t="str">
        <f>IF($G422="","",IF(Sync!$U418="","0000",IF(AND(ISNUMBER(Sync!$U418),Sync!$U418&gt;=0,Sync!$U418&lt;1),RIGHT("00"&amp;HOUR(Sync!$U418),2)&amp;RIGHT("00"&amp;MINUTE(Sync!$U418),2),IFERROR(RIGHT("00"&amp;VALUE(LEFT(Sync!$U418,FIND(":",Sync!$U418)-1)),2)&amp;RIGHT("00"&amp;VALUE(MID(Sync!$U418,FIND(":",Sync!$U418)+1,2)),2),"0000"))))</f>
        <v/>
      </c>
    </row>
    <row r="423" spans="1:17" x14ac:dyDescent="0.2">
      <c r="A423" t="str">
        <f>IF(Sync!$T419="","",Sync!$T419)</f>
        <v/>
      </c>
      <c r="B423" t="str">
        <f t="shared" si="36"/>
        <v/>
      </c>
      <c r="C423" t="str">
        <f t="shared" si="37"/>
        <v/>
      </c>
      <c r="D423" t="str">
        <f t="shared" si="38"/>
        <v/>
      </c>
      <c r="E423" t="str">
        <f t="shared" si="39"/>
        <v/>
      </c>
      <c r="F423" t="str">
        <f t="shared" si="40"/>
        <v/>
      </c>
      <c r="G423" t="str">
        <f>IF(OR($E423="",$E423="نامعتبر",Sync!$X419=""),"",IF(AND(LEFT(UPPER(TRIM(Sync!$X419)),2)="SL",IFERROR(VLOOKUP(Sync!$W419,OpTbl,3,0),"")="فروش"),UPPER(TRIM(Sync!$X419)),""))</f>
        <v/>
      </c>
      <c r="H423" t="str">
        <f>IF($G423="","",IF(Sync!$W419="","",Sync!$W419))</f>
        <v/>
      </c>
      <c r="I423" t="str">
        <f>IF(OR($G423="",Sync!$Y419=""),"",Sync!$Y419)</f>
        <v/>
      </c>
      <c r="J423" t="str">
        <f>IF(OR($G423="",Sync!$Z419=""),"",Sync!$Z419)</f>
        <v/>
      </c>
      <c r="K423">
        <f>IF($G423="",0,IF(Sync!$AA419="",0,Sync!$AA419))</f>
        <v>0</v>
      </c>
      <c r="L423">
        <f>IF($G423="",0,IF(Sync!$AB419="",0,Sync!$AB419))</f>
        <v>0</v>
      </c>
      <c r="M423" t="str">
        <f t="shared" si="41"/>
        <v/>
      </c>
      <c r="N423">
        <f>IF($G423="",0,IF($H423="مرجوعی فروش",-1,1)*IF(Sync!$AC419="",0,Sync!$AC419))</f>
        <v>0</v>
      </c>
      <c r="O423" t="str">
        <f>IF(OR($G423="",Sync!$V419=""),"",Sync!$V419)</f>
        <v/>
      </c>
      <c r="P423" t="str">
        <f>IF(OR($G423="",Sync!$AD419=""),"",Sync!$AD419)</f>
        <v/>
      </c>
      <c r="Q423" t="str">
        <f>IF($G423="","",IF(Sync!$U419="","0000",IF(AND(ISNUMBER(Sync!$U419),Sync!$U419&gt;=0,Sync!$U419&lt;1),RIGHT("00"&amp;HOUR(Sync!$U419),2)&amp;RIGHT("00"&amp;MINUTE(Sync!$U419),2),IFERROR(RIGHT("00"&amp;VALUE(LEFT(Sync!$U419,FIND(":",Sync!$U419)-1)),2)&amp;RIGHT("00"&amp;VALUE(MID(Sync!$U419,FIND(":",Sync!$U419)+1,2)),2),"0000"))))</f>
        <v/>
      </c>
    </row>
    <row r="424" spans="1:17" x14ac:dyDescent="0.2">
      <c r="A424" t="str">
        <f>IF(Sync!$T420="","",Sync!$T420)</f>
        <v/>
      </c>
      <c r="B424" t="str">
        <f t="shared" si="36"/>
        <v/>
      </c>
      <c r="C424" t="str">
        <f t="shared" si="37"/>
        <v/>
      </c>
      <c r="D424" t="str">
        <f t="shared" si="38"/>
        <v/>
      </c>
      <c r="E424" t="str">
        <f t="shared" si="39"/>
        <v/>
      </c>
      <c r="F424" t="str">
        <f t="shared" si="40"/>
        <v/>
      </c>
      <c r="G424" t="str">
        <f>IF(OR($E424="",$E424="نامعتبر",Sync!$X420=""),"",IF(AND(LEFT(UPPER(TRIM(Sync!$X420)),2)="SL",IFERROR(VLOOKUP(Sync!$W420,OpTbl,3,0),"")="فروش"),UPPER(TRIM(Sync!$X420)),""))</f>
        <v/>
      </c>
      <c r="H424" t="str">
        <f>IF($G424="","",IF(Sync!$W420="","",Sync!$W420))</f>
        <v/>
      </c>
      <c r="I424" t="str">
        <f>IF(OR($G424="",Sync!$Y420=""),"",Sync!$Y420)</f>
        <v/>
      </c>
      <c r="J424" t="str">
        <f>IF(OR($G424="",Sync!$Z420=""),"",Sync!$Z420)</f>
        <v/>
      </c>
      <c r="K424">
        <f>IF($G424="",0,IF(Sync!$AA420="",0,Sync!$AA420))</f>
        <v>0</v>
      </c>
      <c r="L424">
        <f>IF($G424="",0,IF(Sync!$AB420="",0,Sync!$AB420))</f>
        <v>0</v>
      </c>
      <c r="M424" t="str">
        <f t="shared" si="41"/>
        <v/>
      </c>
      <c r="N424">
        <f>IF($G424="",0,IF($H424="مرجوعی فروش",-1,1)*IF(Sync!$AC420="",0,Sync!$AC420))</f>
        <v>0</v>
      </c>
      <c r="O424" t="str">
        <f>IF(OR($G424="",Sync!$V420=""),"",Sync!$V420)</f>
        <v/>
      </c>
      <c r="P424" t="str">
        <f>IF(OR($G424="",Sync!$AD420=""),"",Sync!$AD420)</f>
        <v/>
      </c>
      <c r="Q424" t="str">
        <f>IF($G424="","",IF(Sync!$U420="","0000",IF(AND(ISNUMBER(Sync!$U420),Sync!$U420&gt;=0,Sync!$U420&lt;1),RIGHT("00"&amp;HOUR(Sync!$U420),2)&amp;RIGHT("00"&amp;MINUTE(Sync!$U420),2),IFERROR(RIGHT("00"&amp;VALUE(LEFT(Sync!$U420,FIND(":",Sync!$U420)-1)),2)&amp;RIGHT("00"&amp;VALUE(MID(Sync!$U420,FIND(":",Sync!$U420)+1,2)),2),"0000"))))</f>
        <v/>
      </c>
    </row>
    <row r="425" spans="1:17" x14ac:dyDescent="0.2">
      <c r="A425" t="str">
        <f>IF(Sync!$T421="","",Sync!$T421)</f>
        <v/>
      </c>
      <c r="B425" t="str">
        <f t="shared" si="36"/>
        <v/>
      </c>
      <c r="C425" t="str">
        <f t="shared" si="37"/>
        <v/>
      </c>
      <c r="D425" t="str">
        <f t="shared" si="38"/>
        <v/>
      </c>
      <c r="E425" t="str">
        <f t="shared" si="39"/>
        <v/>
      </c>
      <c r="F425" t="str">
        <f t="shared" si="40"/>
        <v/>
      </c>
      <c r="G425" t="str">
        <f>IF(OR($E425="",$E425="نامعتبر",Sync!$X421=""),"",IF(AND(LEFT(UPPER(TRIM(Sync!$X421)),2)="SL",IFERROR(VLOOKUP(Sync!$W421,OpTbl,3,0),"")="فروش"),UPPER(TRIM(Sync!$X421)),""))</f>
        <v/>
      </c>
      <c r="H425" t="str">
        <f>IF($G425="","",IF(Sync!$W421="","",Sync!$W421))</f>
        <v/>
      </c>
      <c r="I425" t="str">
        <f>IF(OR($G425="",Sync!$Y421=""),"",Sync!$Y421)</f>
        <v/>
      </c>
      <c r="J425" t="str">
        <f>IF(OR($G425="",Sync!$Z421=""),"",Sync!$Z421)</f>
        <v/>
      </c>
      <c r="K425">
        <f>IF($G425="",0,IF(Sync!$AA421="",0,Sync!$AA421))</f>
        <v>0</v>
      </c>
      <c r="L425">
        <f>IF($G425="",0,IF(Sync!$AB421="",0,Sync!$AB421))</f>
        <v>0</v>
      </c>
      <c r="M425" t="str">
        <f t="shared" si="41"/>
        <v/>
      </c>
      <c r="N425">
        <f>IF($G425="",0,IF($H425="مرجوعی فروش",-1,1)*IF(Sync!$AC421="",0,Sync!$AC421))</f>
        <v>0</v>
      </c>
      <c r="O425" t="str">
        <f>IF(OR($G425="",Sync!$V421=""),"",Sync!$V421)</f>
        <v/>
      </c>
      <c r="P425" t="str">
        <f>IF(OR($G425="",Sync!$AD421=""),"",Sync!$AD421)</f>
        <v/>
      </c>
      <c r="Q425" t="str">
        <f>IF($G425="","",IF(Sync!$U421="","0000",IF(AND(ISNUMBER(Sync!$U421),Sync!$U421&gt;=0,Sync!$U421&lt;1),RIGHT("00"&amp;HOUR(Sync!$U421),2)&amp;RIGHT("00"&amp;MINUTE(Sync!$U421),2),IFERROR(RIGHT("00"&amp;VALUE(LEFT(Sync!$U421,FIND(":",Sync!$U421)-1)),2)&amp;RIGHT("00"&amp;VALUE(MID(Sync!$U421,FIND(":",Sync!$U421)+1,2)),2),"0000"))))</f>
        <v/>
      </c>
    </row>
    <row r="426" spans="1:17" x14ac:dyDescent="0.2">
      <c r="A426" t="str">
        <f>IF(Sync!$T422="","",Sync!$T422)</f>
        <v/>
      </c>
      <c r="B426" t="str">
        <f t="shared" si="36"/>
        <v/>
      </c>
      <c r="C426" t="str">
        <f t="shared" si="37"/>
        <v/>
      </c>
      <c r="D426" t="str">
        <f t="shared" si="38"/>
        <v/>
      </c>
      <c r="E426" t="str">
        <f t="shared" si="39"/>
        <v/>
      </c>
      <c r="F426" t="str">
        <f t="shared" si="40"/>
        <v/>
      </c>
      <c r="G426" t="str">
        <f>IF(OR($E426="",$E426="نامعتبر",Sync!$X422=""),"",IF(AND(LEFT(UPPER(TRIM(Sync!$X422)),2)="SL",IFERROR(VLOOKUP(Sync!$W422,OpTbl,3,0),"")="فروش"),UPPER(TRIM(Sync!$X422)),""))</f>
        <v/>
      </c>
      <c r="H426" t="str">
        <f>IF($G426="","",IF(Sync!$W422="","",Sync!$W422))</f>
        <v/>
      </c>
      <c r="I426" t="str">
        <f>IF(OR($G426="",Sync!$Y422=""),"",Sync!$Y422)</f>
        <v/>
      </c>
      <c r="J426" t="str">
        <f>IF(OR($G426="",Sync!$Z422=""),"",Sync!$Z422)</f>
        <v/>
      </c>
      <c r="K426">
        <f>IF($G426="",0,IF(Sync!$AA422="",0,Sync!$AA422))</f>
        <v>0</v>
      </c>
      <c r="L426">
        <f>IF($G426="",0,IF(Sync!$AB422="",0,Sync!$AB422))</f>
        <v>0</v>
      </c>
      <c r="M426" t="str">
        <f t="shared" si="41"/>
        <v/>
      </c>
      <c r="N426">
        <f>IF($G426="",0,IF($H426="مرجوعی فروش",-1,1)*IF(Sync!$AC422="",0,Sync!$AC422))</f>
        <v>0</v>
      </c>
      <c r="O426" t="str">
        <f>IF(OR($G426="",Sync!$V422=""),"",Sync!$V422)</f>
        <v/>
      </c>
      <c r="P426" t="str">
        <f>IF(OR($G426="",Sync!$AD422=""),"",Sync!$AD422)</f>
        <v/>
      </c>
      <c r="Q426" t="str">
        <f>IF($G426="","",IF(Sync!$U422="","0000",IF(AND(ISNUMBER(Sync!$U422),Sync!$U422&gt;=0,Sync!$U422&lt;1),RIGHT("00"&amp;HOUR(Sync!$U422),2)&amp;RIGHT("00"&amp;MINUTE(Sync!$U422),2),IFERROR(RIGHT("00"&amp;VALUE(LEFT(Sync!$U422,FIND(":",Sync!$U422)-1)),2)&amp;RIGHT("00"&amp;VALUE(MID(Sync!$U422,FIND(":",Sync!$U422)+1,2)),2),"0000"))))</f>
        <v/>
      </c>
    </row>
    <row r="427" spans="1:17" x14ac:dyDescent="0.2">
      <c r="A427" t="str">
        <f>IF(Sync!$T423="","",Sync!$T423)</f>
        <v/>
      </c>
      <c r="B427" t="str">
        <f t="shared" si="36"/>
        <v/>
      </c>
      <c r="C427" t="str">
        <f t="shared" si="37"/>
        <v/>
      </c>
      <c r="D427" t="str">
        <f t="shared" si="38"/>
        <v/>
      </c>
      <c r="E427" t="str">
        <f t="shared" si="39"/>
        <v/>
      </c>
      <c r="F427" t="str">
        <f t="shared" si="40"/>
        <v/>
      </c>
      <c r="G427" t="str">
        <f>IF(OR($E427="",$E427="نامعتبر",Sync!$X423=""),"",IF(AND(LEFT(UPPER(TRIM(Sync!$X423)),2)="SL",IFERROR(VLOOKUP(Sync!$W423,OpTbl,3,0),"")="فروش"),UPPER(TRIM(Sync!$X423)),""))</f>
        <v/>
      </c>
      <c r="H427" t="str">
        <f>IF($G427="","",IF(Sync!$W423="","",Sync!$W423))</f>
        <v/>
      </c>
      <c r="I427" t="str">
        <f>IF(OR($G427="",Sync!$Y423=""),"",Sync!$Y423)</f>
        <v/>
      </c>
      <c r="J427" t="str">
        <f>IF(OR($G427="",Sync!$Z423=""),"",Sync!$Z423)</f>
        <v/>
      </c>
      <c r="K427">
        <f>IF($G427="",0,IF(Sync!$AA423="",0,Sync!$AA423))</f>
        <v>0</v>
      </c>
      <c r="L427">
        <f>IF($G427="",0,IF(Sync!$AB423="",0,Sync!$AB423))</f>
        <v>0</v>
      </c>
      <c r="M427" t="str">
        <f t="shared" si="41"/>
        <v/>
      </c>
      <c r="N427">
        <f>IF($G427="",0,IF($H427="مرجوعی فروش",-1,1)*IF(Sync!$AC423="",0,Sync!$AC423))</f>
        <v>0</v>
      </c>
      <c r="O427" t="str">
        <f>IF(OR($G427="",Sync!$V423=""),"",Sync!$V423)</f>
        <v/>
      </c>
      <c r="P427" t="str">
        <f>IF(OR($G427="",Sync!$AD423=""),"",Sync!$AD423)</f>
        <v/>
      </c>
      <c r="Q427" t="str">
        <f>IF($G427="","",IF(Sync!$U423="","0000",IF(AND(ISNUMBER(Sync!$U423),Sync!$U423&gt;=0,Sync!$U423&lt;1),RIGHT("00"&amp;HOUR(Sync!$U423),2)&amp;RIGHT("00"&amp;MINUTE(Sync!$U423),2),IFERROR(RIGHT("00"&amp;VALUE(LEFT(Sync!$U423,FIND(":",Sync!$U423)-1)),2)&amp;RIGHT("00"&amp;VALUE(MID(Sync!$U423,FIND(":",Sync!$U423)+1,2)),2),"0000"))))</f>
        <v/>
      </c>
    </row>
    <row r="428" spans="1:17" x14ac:dyDescent="0.2">
      <c r="A428" t="str">
        <f>IF(Sync!$T424="","",Sync!$T424)</f>
        <v/>
      </c>
      <c r="B428" t="str">
        <f t="shared" si="36"/>
        <v/>
      </c>
      <c r="C428" t="str">
        <f t="shared" si="37"/>
        <v/>
      </c>
      <c r="D428" t="str">
        <f t="shared" si="38"/>
        <v/>
      </c>
      <c r="E428" t="str">
        <f t="shared" si="39"/>
        <v/>
      </c>
      <c r="F428" t="str">
        <f t="shared" si="40"/>
        <v/>
      </c>
      <c r="G428" t="str">
        <f>IF(OR($E428="",$E428="نامعتبر",Sync!$X424=""),"",IF(AND(LEFT(UPPER(TRIM(Sync!$X424)),2)="SL",IFERROR(VLOOKUP(Sync!$W424,OpTbl,3,0),"")="فروش"),UPPER(TRIM(Sync!$X424)),""))</f>
        <v/>
      </c>
      <c r="H428" t="str">
        <f>IF($G428="","",IF(Sync!$W424="","",Sync!$W424))</f>
        <v/>
      </c>
      <c r="I428" t="str">
        <f>IF(OR($G428="",Sync!$Y424=""),"",Sync!$Y424)</f>
        <v/>
      </c>
      <c r="J428" t="str">
        <f>IF(OR($G428="",Sync!$Z424=""),"",Sync!$Z424)</f>
        <v/>
      </c>
      <c r="K428">
        <f>IF($G428="",0,IF(Sync!$AA424="",0,Sync!$AA424))</f>
        <v>0</v>
      </c>
      <c r="L428">
        <f>IF($G428="",0,IF(Sync!$AB424="",0,Sync!$AB424))</f>
        <v>0</v>
      </c>
      <c r="M428" t="str">
        <f t="shared" si="41"/>
        <v/>
      </c>
      <c r="N428">
        <f>IF($G428="",0,IF($H428="مرجوعی فروش",-1,1)*IF(Sync!$AC424="",0,Sync!$AC424))</f>
        <v>0</v>
      </c>
      <c r="O428" t="str">
        <f>IF(OR($G428="",Sync!$V424=""),"",Sync!$V424)</f>
        <v/>
      </c>
      <c r="P428" t="str">
        <f>IF(OR($G428="",Sync!$AD424=""),"",Sync!$AD424)</f>
        <v/>
      </c>
      <c r="Q428" t="str">
        <f>IF($G428="","",IF(Sync!$U424="","0000",IF(AND(ISNUMBER(Sync!$U424),Sync!$U424&gt;=0,Sync!$U424&lt;1),RIGHT("00"&amp;HOUR(Sync!$U424),2)&amp;RIGHT("00"&amp;MINUTE(Sync!$U424),2),IFERROR(RIGHT("00"&amp;VALUE(LEFT(Sync!$U424,FIND(":",Sync!$U424)-1)),2)&amp;RIGHT("00"&amp;VALUE(MID(Sync!$U424,FIND(":",Sync!$U424)+1,2)),2),"0000"))))</f>
        <v/>
      </c>
    </row>
    <row r="429" spans="1:17" x14ac:dyDescent="0.2">
      <c r="A429" t="str">
        <f>IF(Sync!$T425="","",Sync!$T425)</f>
        <v/>
      </c>
      <c r="B429" t="str">
        <f t="shared" si="36"/>
        <v/>
      </c>
      <c r="C429" t="str">
        <f t="shared" si="37"/>
        <v/>
      </c>
      <c r="D429" t="str">
        <f t="shared" si="38"/>
        <v/>
      </c>
      <c r="E429" t="str">
        <f t="shared" si="39"/>
        <v/>
      </c>
      <c r="F429" t="str">
        <f t="shared" si="40"/>
        <v/>
      </c>
      <c r="G429" t="str">
        <f>IF(OR($E429="",$E429="نامعتبر",Sync!$X425=""),"",IF(AND(LEFT(UPPER(TRIM(Sync!$X425)),2)="SL",IFERROR(VLOOKUP(Sync!$W425,OpTbl,3,0),"")="فروش"),UPPER(TRIM(Sync!$X425)),""))</f>
        <v/>
      </c>
      <c r="H429" t="str">
        <f>IF($G429="","",IF(Sync!$W425="","",Sync!$W425))</f>
        <v/>
      </c>
      <c r="I429" t="str">
        <f>IF(OR($G429="",Sync!$Y425=""),"",Sync!$Y425)</f>
        <v/>
      </c>
      <c r="J429" t="str">
        <f>IF(OR($G429="",Sync!$Z425=""),"",Sync!$Z425)</f>
        <v/>
      </c>
      <c r="K429">
        <f>IF($G429="",0,IF(Sync!$AA425="",0,Sync!$AA425))</f>
        <v>0</v>
      </c>
      <c r="L429">
        <f>IF($G429="",0,IF(Sync!$AB425="",0,Sync!$AB425))</f>
        <v>0</v>
      </c>
      <c r="M429" t="str">
        <f t="shared" si="41"/>
        <v/>
      </c>
      <c r="N429">
        <f>IF($G429="",0,IF($H429="مرجوعی فروش",-1,1)*IF(Sync!$AC425="",0,Sync!$AC425))</f>
        <v>0</v>
      </c>
      <c r="O429" t="str">
        <f>IF(OR($G429="",Sync!$V425=""),"",Sync!$V425)</f>
        <v/>
      </c>
      <c r="P429" t="str">
        <f>IF(OR($G429="",Sync!$AD425=""),"",Sync!$AD425)</f>
        <v/>
      </c>
      <c r="Q429" t="str">
        <f>IF($G429="","",IF(Sync!$U425="","0000",IF(AND(ISNUMBER(Sync!$U425),Sync!$U425&gt;=0,Sync!$U425&lt;1),RIGHT("00"&amp;HOUR(Sync!$U425),2)&amp;RIGHT("00"&amp;MINUTE(Sync!$U425),2),IFERROR(RIGHT("00"&amp;VALUE(LEFT(Sync!$U425,FIND(":",Sync!$U425)-1)),2)&amp;RIGHT("00"&amp;VALUE(MID(Sync!$U425,FIND(":",Sync!$U425)+1,2)),2),"0000"))))</f>
        <v/>
      </c>
    </row>
    <row r="430" spans="1:17" x14ac:dyDescent="0.2">
      <c r="A430" t="str">
        <f>IF(Sync!$T426="","",Sync!$T426)</f>
        <v/>
      </c>
      <c r="B430" t="str">
        <f t="shared" si="36"/>
        <v/>
      </c>
      <c r="C430" t="str">
        <f t="shared" si="37"/>
        <v/>
      </c>
      <c r="D430" t="str">
        <f t="shared" si="38"/>
        <v/>
      </c>
      <c r="E430" t="str">
        <f t="shared" si="39"/>
        <v/>
      </c>
      <c r="F430" t="str">
        <f t="shared" si="40"/>
        <v/>
      </c>
      <c r="G430" t="str">
        <f>IF(OR($E430="",$E430="نامعتبر",Sync!$X426=""),"",IF(AND(LEFT(UPPER(TRIM(Sync!$X426)),2)="SL",IFERROR(VLOOKUP(Sync!$W426,OpTbl,3,0),"")="فروش"),UPPER(TRIM(Sync!$X426)),""))</f>
        <v/>
      </c>
      <c r="H430" t="str">
        <f>IF($G430="","",IF(Sync!$W426="","",Sync!$W426))</f>
        <v/>
      </c>
      <c r="I430" t="str">
        <f>IF(OR($G430="",Sync!$Y426=""),"",Sync!$Y426)</f>
        <v/>
      </c>
      <c r="J430" t="str">
        <f>IF(OR($G430="",Sync!$Z426=""),"",Sync!$Z426)</f>
        <v/>
      </c>
      <c r="K430">
        <f>IF($G430="",0,IF(Sync!$AA426="",0,Sync!$AA426))</f>
        <v>0</v>
      </c>
      <c r="L430">
        <f>IF($G430="",0,IF(Sync!$AB426="",0,Sync!$AB426))</f>
        <v>0</v>
      </c>
      <c r="M430" t="str">
        <f t="shared" si="41"/>
        <v/>
      </c>
      <c r="N430">
        <f>IF($G430="",0,IF($H430="مرجوعی فروش",-1,1)*IF(Sync!$AC426="",0,Sync!$AC426))</f>
        <v>0</v>
      </c>
      <c r="O430" t="str">
        <f>IF(OR($G430="",Sync!$V426=""),"",Sync!$V426)</f>
        <v/>
      </c>
      <c r="P430" t="str">
        <f>IF(OR($G430="",Sync!$AD426=""),"",Sync!$AD426)</f>
        <v/>
      </c>
      <c r="Q430" t="str">
        <f>IF($G430="","",IF(Sync!$U426="","0000",IF(AND(ISNUMBER(Sync!$U426),Sync!$U426&gt;=0,Sync!$U426&lt;1),RIGHT("00"&amp;HOUR(Sync!$U426),2)&amp;RIGHT("00"&amp;MINUTE(Sync!$U426),2),IFERROR(RIGHT("00"&amp;VALUE(LEFT(Sync!$U426,FIND(":",Sync!$U426)-1)),2)&amp;RIGHT("00"&amp;VALUE(MID(Sync!$U426,FIND(":",Sync!$U426)+1,2)),2),"0000"))))</f>
        <v/>
      </c>
    </row>
    <row r="431" spans="1:17" x14ac:dyDescent="0.2">
      <c r="A431" t="str">
        <f>IF(Sync!$T427="","",Sync!$T427)</f>
        <v/>
      </c>
      <c r="B431" t="str">
        <f t="shared" si="36"/>
        <v/>
      </c>
      <c r="C431" t="str">
        <f t="shared" si="37"/>
        <v/>
      </c>
      <c r="D431" t="str">
        <f t="shared" si="38"/>
        <v/>
      </c>
      <c r="E431" t="str">
        <f t="shared" si="39"/>
        <v/>
      </c>
      <c r="F431" t="str">
        <f t="shared" si="40"/>
        <v/>
      </c>
      <c r="G431" t="str">
        <f>IF(OR($E431="",$E431="نامعتبر",Sync!$X427=""),"",IF(AND(LEFT(UPPER(TRIM(Sync!$X427)),2)="SL",IFERROR(VLOOKUP(Sync!$W427,OpTbl,3,0),"")="فروش"),UPPER(TRIM(Sync!$X427)),""))</f>
        <v/>
      </c>
      <c r="H431" t="str">
        <f>IF($G431="","",IF(Sync!$W427="","",Sync!$W427))</f>
        <v/>
      </c>
      <c r="I431" t="str">
        <f>IF(OR($G431="",Sync!$Y427=""),"",Sync!$Y427)</f>
        <v/>
      </c>
      <c r="J431" t="str">
        <f>IF(OR($G431="",Sync!$Z427=""),"",Sync!$Z427)</f>
        <v/>
      </c>
      <c r="K431">
        <f>IF($G431="",0,IF(Sync!$AA427="",0,Sync!$AA427))</f>
        <v>0</v>
      </c>
      <c r="L431">
        <f>IF($G431="",0,IF(Sync!$AB427="",0,Sync!$AB427))</f>
        <v>0</v>
      </c>
      <c r="M431" t="str">
        <f t="shared" si="41"/>
        <v/>
      </c>
      <c r="N431">
        <f>IF($G431="",0,IF($H431="مرجوعی فروش",-1,1)*IF(Sync!$AC427="",0,Sync!$AC427))</f>
        <v>0</v>
      </c>
      <c r="O431" t="str">
        <f>IF(OR($G431="",Sync!$V427=""),"",Sync!$V427)</f>
        <v/>
      </c>
      <c r="P431" t="str">
        <f>IF(OR($G431="",Sync!$AD427=""),"",Sync!$AD427)</f>
        <v/>
      </c>
      <c r="Q431" t="str">
        <f>IF($G431="","",IF(Sync!$U427="","0000",IF(AND(ISNUMBER(Sync!$U427),Sync!$U427&gt;=0,Sync!$U427&lt;1),RIGHT("00"&amp;HOUR(Sync!$U427),2)&amp;RIGHT("00"&amp;MINUTE(Sync!$U427),2),IFERROR(RIGHT("00"&amp;VALUE(LEFT(Sync!$U427,FIND(":",Sync!$U427)-1)),2)&amp;RIGHT("00"&amp;VALUE(MID(Sync!$U427,FIND(":",Sync!$U427)+1,2)),2),"0000"))))</f>
        <v/>
      </c>
    </row>
    <row r="432" spans="1:17" x14ac:dyDescent="0.2">
      <c r="A432" t="str">
        <f>IF(Sync!$T428="","",Sync!$T428)</f>
        <v/>
      </c>
      <c r="B432" t="str">
        <f t="shared" si="36"/>
        <v/>
      </c>
      <c r="C432" t="str">
        <f t="shared" si="37"/>
        <v/>
      </c>
      <c r="D432" t="str">
        <f t="shared" si="38"/>
        <v/>
      </c>
      <c r="E432" t="str">
        <f t="shared" si="39"/>
        <v/>
      </c>
      <c r="F432" t="str">
        <f t="shared" si="40"/>
        <v/>
      </c>
      <c r="G432" t="str">
        <f>IF(OR($E432="",$E432="نامعتبر",Sync!$X428=""),"",IF(AND(LEFT(UPPER(TRIM(Sync!$X428)),2)="SL",IFERROR(VLOOKUP(Sync!$W428,OpTbl,3,0),"")="فروش"),UPPER(TRIM(Sync!$X428)),""))</f>
        <v/>
      </c>
      <c r="H432" t="str">
        <f>IF($G432="","",IF(Sync!$W428="","",Sync!$W428))</f>
        <v/>
      </c>
      <c r="I432" t="str">
        <f>IF(OR($G432="",Sync!$Y428=""),"",Sync!$Y428)</f>
        <v/>
      </c>
      <c r="J432" t="str">
        <f>IF(OR($G432="",Sync!$Z428=""),"",Sync!$Z428)</f>
        <v/>
      </c>
      <c r="K432">
        <f>IF($G432="",0,IF(Sync!$AA428="",0,Sync!$AA428))</f>
        <v>0</v>
      </c>
      <c r="L432">
        <f>IF($G432="",0,IF(Sync!$AB428="",0,Sync!$AB428))</f>
        <v>0</v>
      </c>
      <c r="M432" t="str">
        <f t="shared" si="41"/>
        <v/>
      </c>
      <c r="N432">
        <f>IF($G432="",0,IF($H432="مرجوعی فروش",-1,1)*IF(Sync!$AC428="",0,Sync!$AC428))</f>
        <v>0</v>
      </c>
      <c r="O432" t="str">
        <f>IF(OR($G432="",Sync!$V428=""),"",Sync!$V428)</f>
        <v/>
      </c>
      <c r="P432" t="str">
        <f>IF(OR($G432="",Sync!$AD428=""),"",Sync!$AD428)</f>
        <v/>
      </c>
      <c r="Q432" t="str">
        <f>IF($G432="","",IF(Sync!$U428="","0000",IF(AND(ISNUMBER(Sync!$U428),Sync!$U428&gt;=0,Sync!$U428&lt;1),RIGHT("00"&amp;HOUR(Sync!$U428),2)&amp;RIGHT("00"&amp;MINUTE(Sync!$U428),2),IFERROR(RIGHT("00"&amp;VALUE(LEFT(Sync!$U428,FIND(":",Sync!$U428)-1)),2)&amp;RIGHT("00"&amp;VALUE(MID(Sync!$U428,FIND(":",Sync!$U428)+1,2)),2),"0000"))))</f>
        <v/>
      </c>
    </row>
    <row r="433" spans="1:17" x14ac:dyDescent="0.2">
      <c r="A433" t="str">
        <f>IF(Sync!$T429="","",Sync!$T429)</f>
        <v/>
      </c>
      <c r="B433" t="str">
        <f t="shared" si="36"/>
        <v/>
      </c>
      <c r="C433" t="str">
        <f t="shared" si="37"/>
        <v/>
      </c>
      <c r="D433" t="str">
        <f t="shared" si="38"/>
        <v/>
      </c>
      <c r="E433" t="str">
        <f t="shared" si="39"/>
        <v/>
      </c>
      <c r="F433" t="str">
        <f t="shared" si="40"/>
        <v/>
      </c>
      <c r="G433" t="str">
        <f>IF(OR($E433="",$E433="نامعتبر",Sync!$X429=""),"",IF(AND(LEFT(UPPER(TRIM(Sync!$X429)),2)="SL",IFERROR(VLOOKUP(Sync!$W429,OpTbl,3,0),"")="فروش"),UPPER(TRIM(Sync!$X429)),""))</f>
        <v/>
      </c>
      <c r="H433" t="str">
        <f>IF($G433="","",IF(Sync!$W429="","",Sync!$W429))</f>
        <v/>
      </c>
      <c r="I433" t="str">
        <f>IF(OR($G433="",Sync!$Y429=""),"",Sync!$Y429)</f>
        <v/>
      </c>
      <c r="J433" t="str">
        <f>IF(OR($G433="",Sync!$Z429=""),"",Sync!$Z429)</f>
        <v/>
      </c>
      <c r="K433">
        <f>IF($G433="",0,IF(Sync!$AA429="",0,Sync!$AA429))</f>
        <v>0</v>
      </c>
      <c r="L433">
        <f>IF($G433="",0,IF(Sync!$AB429="",0,Sync!$AB429))</f>
        <v>0</v>
      </c>
      <c r="M433" t="str">
        <f t="shared" si="41"/>
        <v/>
      </c>
      <c r="N433">
        <f>IF($G433="",0,IF($H433="مرجوعی فروش",-1,1)*IF(Sync!$AC429="",0,Sync!$AC429))</f>
        <v>0</v>
      </c>
      <c r="O433" t="str">
        <f>IF(OR($G433="",Sync!$V429=""),"",Sync!$V429)</f>
        <v/>
      </c>
      <c r="P433" t="str">
        <f>IF(OR($G433="",Sync!$AD429=""),"",Sync!$AD429)</f>
        <v/>
      </c>
      <c r="Q433" t="str">
        <f>IF($G433="","",IF(Sync!$U429="","0000",IF(AND(ISNUMBER(Sync!$U429),Sync!$U429&gt;=0,Sync!$U429&lt;1),RIGHT("00"&amp;HOUR(Sync!$U429),2)&amp;RIGHT("00"&amp;MINUTE(Sync!$U429),2),IFERROR(RIGHT("00"&amp;VALUE(LEFT(Sync!$U429,FIND(":",Sync!$U429)-1)),2)&amp;RIGHT("00"&amp;VALUE(MID(Sync!$U429,FIND(":",Sync!$U429)+1,2)),2),"0000"))))</f>
        <v/>
      </c>
    </row>
    <row r="434" spans="1:17" x14ac:dyDescent="0.2">
      <c r="A434" t="str">
        <f>IF(Sync!$T430="","",Sync!$T430)</f>
        <v/>
      </c>
      <c r="B434" t="str">
        <f t="shared" si="36"/>
        <v/>
      </c>
      <c r="C434" t="str">
        <f t="shared" si="37"/>
        <v/>
      </c>
      <c r="D434" t="str">
        <f t="shared" si="38"/>
        <v/>
      </c>
      <c r="E434" t="str">
        <f t="shared" si="39"/>
        <v/>
      </c>
      <c r="F434" t="str">
        <f t="shared" si="40"/>
        <v/>
      </c>
      <c r="G434" t="str">
        <f>IF(OR($E434="",$E434="نامعتبر",Sync!$X430=""),"",IF(AND(LEFT(UPPER(TRIM(Sync!$X430)),2)="SL",IFERROR(VLOOKUP(Sync!$W430,OpTbl,3,0),"")="فروش"),UPPER(TRIM(Sync!$X430)),""))</f>
        <v/>
      </c>
      <c r="H434" t="str">
        <f>IF($G434="","",IF(Sync!$W430="","",Sync!$W430))</f>
        <v/>
      </c>
      <c r="I434" t="str">
        <f>IF(OR($G434="",Sync!$Y430=""),"",Sync!$Y430)</f>
        <v/>
      </c>
      <c r="J434" t="str">
        <f>IF(OR($G434="",Sync!$Z430=""),"",Sync!$Z430)</f>
        <v/>
      </c>
      <c r="K434">
        <f>IF($G434="",0,IF(Sync!$AA430="",0,Sync!$AA430))</f>
        <v>0</v>
      </c>
      <c r="L434">
        <f>IF($G434="",0,IF(Sync!$AB430="",0,Sync!$AB430))</f>
        <v>0</v>
      </c>
      <c r="M434" t="str">
        <f t="shared" si="41"/>
        <v/>
      </c>
      <c r="N434">
        <f>IF($G434="",0,IF($H434="مرجوعی فروش",-1,1)*IF(Sync!$AC430="",0,Sync!$AC430))</f>
        <v>0</v>
      </c>
      <c r="O434" t="str">
        <f>IF(OR($G434="",Sync!$V430=""),"",Sync!$V430)</f>
        <v/>
      </c>
      <c r="P434" t="str">
        <f>IF(OR($G434="",Sync!$AD430=""),"",Sync!$AD430)</f>
        <v/>
      </c>
      <c r="Q434" t="str">
        <f>IF($G434="","",IF(Sync!$U430="","0000",IF(AND(ISNUMBER(Sync!$U430),Sync!$U430&gt;=0,Sync!$U430&lt;1),RIGHT("00"&amp;HOUR(Sync!$U430),2)&amp;RIGHT("00"&amp;MINUTE(Sync!$U430),2),IFERROR(RIGHT("00"&amp;VALUE(LEFT(Sync!$U430,FIND(":",Sync!$U430)-1)),2)&amp;RIGHT("00"&amp;VALUE(MID(Sync!$U430,FIND(":",Sync!$U430)+1,2)),2),"0000"))))</f>
        <v/>
      </c>
    </row>
    <row r="435" spans="1:17" x14ac:dyDescent="0.2">
      <c r="A435" t="str">
        <f>IF(Sync!$T431="","",Sync!$T431)</f>
        <v/>
      </c>
      <c r="B435" t="str">
        <f t="shared" si="36"/>
        <v/>
      </c>
      <c r="C435" t="str">
        <f t="shared" si="37"/>
        <v/>
      </c>
      <c r="D435" t="str">
        <f t="shared" si="38"/>
        <v/>
      </c>
      <c r="E435" t="str">
        <f t="shared" si="39"/>
        <v/>
      </c>
      <c r="F435" t="str">
        <f t="shared" si="40"/>
        <v/>
      </c>
      <c r="G435" t="str">
        <f>IF(OR($E435="",$E435="نامعتبر",Sync!$X431=""),"",IF(AND(LEFT(UPPER(TRIM(Sync!$X431)),2)="SL",IFERROR(VLOOKUP(Sync!$W431,OpTbl,3,0),"")="فروش"),UPPER(TRIM(Sync!$X431)),""))</f>
        <v/>
      </c>
      <c r="H435" t="str">
        <f>IF($G435="","",IF(Sync!$W431="","",Sync!$W431))</f>
        <v/>
      </c>
      <c r="I435" t="str">
        <f>IF(OR($G435="",Sync!$Y431=""),"",Sync!$Y431)</f>
        <v/>
      </c>
      <c r="J435" t="str">
        <f>IF(OR($G435="",Sync!$Z431=""),"",Sync!$Z431)</f>
        <v/>
      </c>
      <c r="K435">
        <f>IF($G435="",0,IF(Sync!$AA431="",0,Sync!$AA431))</f>
        <v>0</v>
      </c>
      <c r="L435">
        <f>IF($G435="",0,IF(Sync!$AB431="",0,Sync!$AB431))</f>
        <v>0</v>
      </c>
      <c r="M435" t="str">
        <f t="shared" si="41"/>
        <v/>
      </c>
      <c r="N435">
        <f>IF($G435="",0,IF($H435="مرجوعی فروش",-1,1)*IF(Sync!$AC431="",0,Sync!$AC431))</f>
        <v>0</v>
      </c>
      <c r="O435" t="str">
        <f>IF(OR($G435="",Sync!$V431=""),"",Sync!$V431)</f>
        <v/>
      </c>
      <c r="P435" t="str">
        <f>IF(OR($G435="",Sync!$AD431=""),"",Sync!$AD431)</f>
        <v/>
      </c>
      <c r="Q435" t="str">
        <f>IF($G435="","",IF(Sync!$U431="","0000",IF(AND(ISNUMBER(Sync!$U431),Sync!$U431&gt;=0,Sync!$U431&lt;1),RIGHT("00"&amp;HOUR(Sync!$U431),2)&amp;RIGHT("00"&amp;MINUTE(Sync!$U431),2),IFERROR(RIGHT("00"&amp;VALUE(LEFT(Sync!$U431,FIND(":",Sync!$U431)-1)),2)&amp;RIGHT("00"&amp;VALUE(MID(Sync!$U431,FIND(":",Sync!$U431)+1,2)),2),"0000"))))</f>
        <v/>
      </c>
    </row>
    <row r="436" spans="1:17" x14ac:dyDescent="0.2">
      <c r="A436" t="str">
        <f>IF(Sync!$T432="","",Sync!$T432)</f>
        <v/>
      </c>
      <c r="B436" t="str">
        <f t="shared" si="36"/>
        <v/>
      </c>
      <c r="C436" t="str">
        <f t="shared" si="37"/>
        <v/>
      </c>
      <c r="D436" t="str">
        <f t="shared" si="38"/>
        <v/>
      </c>
      <c r="E436" t="str">
        <f t="shared" si="39"/>
        <v/>
      </c>
      <c r="F436" t="str">
        <f t="shared" si="40"/>
        <v/>
      </c>
      <c r="G436" t="str">
        <f>IF(OR($E436="",$E436="نامعتبر",Sync!$X432=""),"",IF(AND(LEFT(UPPER(TRIM(Sync!$X432)),2)="SL",IFERROR(VLOOKUP(Sync!$W432,OpTbl,3,0),"")="فروش"),UPPER(TRIM(Sync!$X432)),""))</f>
        <v/>
      </c>
      <c r="H436" t="str">
        <f>IF($G436="","",IF(Sync!$W432="","",Sync!$W432))</f>
        <v/>
      </c>
      <c r="I436" t="str">
        <f>IF(OR($G436="",Sync!$Y432=""),"",Sync!$Y432)</f>
        <v/>
      </c>
      <c r="J436" t="str">
        <f>IF(OR($G436="",Sync!$Z432=""),"",Sync!$Z432)</f>
        <v/>
      </c>
      <c r="K436">
        <f>IF($G436="",0,IF(Sync!$AA432="",0,Sync!$AA432))</f>
        <v>0</v>
      </c>
      <c r="L436">
        <f>IF($G436="",0,IF(Sync!$AB432="",0,Sync!$AB432))</f>
        <v>0</v>
      </c>
      <c r="M436" t="str">
        <f t="shared" si="41"/>
        <v/>
      </c>
      <c r="N436">
        <f>IF($G436="",0,IF($H436="مرجوعی فروش",-1,1)*IF(Sync!$AC432="",0,Sync!$AC432))</f>
        <v>0</v>
      </c>
      <c r="O436" t="str">
        <f>IF(OR($G436="",Sync!$V432=""),"",Sync!$V432)</f>
        <v/>
      </c>
      <c r="P436" t="str">
        <f>IF(OR($G436="",Sync!$AD432=""),"",Sync!$AD432)</f>
        <v/>
      </c>
      <c r="Q436" t="str">
        <f>IF($G436="","",IF(Sync!$U432="","0000",IF(AND(ISNUMBER(Sync!$U432),Sync!$U432&gt;=0,Sync!$U432&lt;1),RIGHT("00"&amp;HOUR(Sync!$U432),2)&amp;RIGHT("00"&amp;MINUTE(Sync!$U432),2),IFERROR(RIGHT("00"&amp;VALUE(LEFT(Sync!$U432,FIND(":",Sync!$U432)-1)),2)&amp;RIGHT("00"&amp;VALUE(MID(Sync!$U432,FIND(":",Sync!$U432)+1,2)),2),"0000"))))</f>
        <v/>
      </c>
    </row>
    <row r="437" spans="1:17" x14ac:dyDescent="0.2">
      <c r="A437" t="str">
        <f>IF(Sync!$T433="","",Sync!$T433)</f>
        <v/>
      </c>
      <c r="B437" t="str">
        <f t="shared" si="36"/>
        <v/>
      </c>
      <c r="C437" t="str">
        <f t="shared" si="37"/>
        <v/>
      </c>
      <c r="D437" t="str">
        <f t="shared" si="38"/>
        <v/>
      </c>
      <c r="E437" t="str">
        <f t="shared" si="39"/>
        <v/>
      </c>
      <c r="F437" t="str">
        <f t="shared" si="40"/>
        <v/>
      </c>
      <c r="G437" t="str">
        <f>IF(OR($E437="",$E437="نامعتبر",Sync!$X433=""),"",IF(AND(LEFT(UPPER(TRIM(Sync!$X433)),2)="SL",IFERROR(VLOOKUP(Sync!$W433,OpTbl,3,0),"")="فروش"),UPPER(TRIM(Sync!$X433)),""))</f>
        <v/>
      </c>
      <c r="H437" t="str">
        <f>IF($G437="","",IF(Sync!$W433="","",Sync!$W433))</f>
        <v/>
      </c>
      <c r="I437" t="str">
        <f>IF(OR($G437="",Sync!$Y433=""),"",Sync!$Y433)</f>
        <v/>
      </c>
      <c r="J437" t="str">
        <f>IF(OR($G437="",Sync!$Z433=""),"",Sync!$Z433)</f>
        <v/>
      </c>
      <c r="K437">
        <f>IF($G437="",0,IF(Sync!$AA433="",0,Sync!$AA433))</f>
        <v>0</v>
      </c>
      <c r="L437">
        <f>IF($G437="",0,IF(Sync!$AB433="",0,Sync!$AB433))</f>
        <v>0</v>
      </c>
      <c r="M437" t="str">
        <f t="shared" si="41"/>
        <v/>
      </c>
      <c r="N437">
        <f>IF($G437="",0,IF($H437="مرجوعی فروش",-1,1)*IF(Sync!$AC433="",0,Sync!$AC433))</f>
        <v>0</v>
      </c>
      <c r="O437" t="str">
        <f>IF(OR($G437="",Sync!$V433=""),"",Sync!$V433)</f>
        <v/>
      </c>
      <c r="P437" t="str">
        <f>IF(OR($G437="",Sync!$AD433=""),"",Sync!$AD433)</f>
        <v/>
      </c>
      <c r="Q437" t="str">
        <f>IF($G437="","",IF(Sync!$U433="","0000",IF(AND(ISNUMBER(Sync!$U433),Sync!$U433&gt;=0,Sync!$U433&lt;1),RIGHT("00"&amp;HOUR(Sync!$U433),2)&amp;RIGHT("00"&amp;MINUTE(Sync!$U433),2),IFERROR(RIGHT("00"&amp;VALUE(LEFT(Sync!$U433,FIND(":",Sync!$U433)-1)),2)&amp;RIGHT("00"&amp;VALUE(MID(Sync!$U433,FIND(":",Sync!$U433)+1,2)),2),"0000"))))</f>
        <v/>
      </c>
    </row>
    <row r="438" spans="1:17" x14ac:dyDescent="0.2">
      <c r="A438" t="str">
        <f>IF(Sync!$T434="","",Sync!$T434)</f>
        <v/>
      </c>
      <c r="B438" t="str">
        <f t="shared" si="36"/>
        <v/>
      </c>
      <c r="C438" t="str">
        <f t="shared" si="37"/>
        <v/>
      </c>
      <c r="D438" t="str">
        <f t="shared" si="38"/>
        <v/>
      </c>
      <c r="E438" t="str">
        <f t="shared" si="39"/>
        <v/>
      </c>
      <c r="F438" t="str">
        <f t="shared" si="40"/>
        <v/>
      </c>
      <c r="G438" t="str">
        <f>IF(OR($E438="",$E438="نامعتبر",Sync!$X434=""),"",IF(AND(LEFT(UPPER(TRIM(Sync!$X434)),2)="SL",IFERROR(VLOOKUP(Sync!$W434,OpTbl,3,0),"")="فروش"),UPPER(TRIM(Sync!$X434)),""))</f>
        <v/>
      </c>
      <c r="H438" t="str">
        <f>IF($G438="","",IF(Sync!$W434="","",Sync!$W434))</f>
        <v/>
      </c>
      <c r="I438" t="str">
        <f>IF(OR($G438="",Sync!$Y434=""),"",Sync!$Y434)</f>
        <v/>
      </c>
      <c r="J438" t="str">
        <f>IF(OR($G438="",Sync!$Z434=""),"",Sync!$Z434)</f>
        <v/>
      </c>
      <c r="K438">
        <f>IF($G438="",0,IF(Sync!$AA434="",0,Sync!$AA434))</f>
        <v>0</v>
      </c>
      <c r="L438">
        <f>IF($G438="",0,IF(Sync!$AB434="",0,Sync!$AB434))</f>
        <v>0</v>
      </c>
      <c r="M438" t="str">
        <f t="shared" si="41"/>
        <v/>
      </c>
      <c r="N438">
        <f>IF($G438="",0,IF($H438="مرجوعی فروش",-1,1)*IF(Sync!$AC434="",0,Sync!$AC434))</f>
        <v>0</v>
      </c>
      <c r="O438" t="str">
        <f>IF(OR($G438="",Sync!$V434=""),"",Sync!$V434)</f>
        <v/>
      </c>
      <c r="P438" t="str">
        <f>IF(OR($G438="",Sync!$AD434=""),"",Sync!$AD434)</f>
        <v/>
      </c>
      <c r="Q438" t="str">
        <f>IF($G438="","",IF(Sync!$U434="","0000",IF(AND(ISNUMBER(Sync!$U434),Sync!$U434&gt;=0,Sync!$U434&lt;1),RIGHT("00"&amp;HOUR(Sync!$U434),2)&amp;RIGHT("00"&amp;MINUTE(Sync!$U434),2),IFERROR(RIGHT("00"&amp;VALUE(LEFT(Sync!$U434,FIND(":",Sync!$U434)-1)),2)&amp;RIGHT("00"&amp;VALUE(MID(Sync!$U434,FIND(":",Sync!$U434)+1,2)),2),"0000"))))</f>
        <v/>
      </c>
    </row>
    <row r="439" spans="1:17" x14ac:dyDescent="0.2">
      <c r="A439" t="str">
        <f>IF(Sync!$T435="","",Sync!$T435)</f>
        <v/>
      </c>
      <c r="B439" t="str">
        <f t="shared" si="36"/>
        <v/>
      </c>
      <c r="C439" t="str">
        <f t="shared" si="37"/>
        <v/>
      </c>
      <c r="D439" t="str">
        <f t="shared" si="38"/>
        <v/>
      </c>
      <c r="E439" t="str">
        <f t="shared" si="39"/>
        <v/>
      </c>
      <c r="F439" t="str">
        <f t="shared" si="40"/>
        <v/>
      </c>
      <c r="G439" t="str">
        <f>IF(OR($E439="",$E439="نامعتبر",Sync!$X435=""),"",IF(AND(LEFT(UPPER(TRIM(Sync!$X435)),2)="SL",IFERROR(VLOOKUP(Sync!$W435,OpTbl,3,0),"")="فروش"),UPPER(TRIM(Sync!$X435)),""))</f>
        <v/>
      </c>
      <c r="H439" t="str">
        <f>IF($G439="","",IF(Sync!$W435="","",Sync!$W435))</f>
        <v/>
      </c>
      <c r="I439" t="str">
        <f>IF(OR($G439="",Sync!$Y435=""),"",Sync!$Y435)</f>
        <v/>
      </c>
      <c r="J439" t="str">
        <f>IF(OR($G439="",Sync!$Z435=""),"",Sync!$Z435)</f>
        <v/>
      </c>
      <c r="K439">
        <f>IF($G439="",0,IF(Sync!$AA435="",0,Sync!$AA435))</f>
        <v>0</v>
      </c>
      <c r="L439">
        <f>IF($G439="",0,IF(Sync!$AB435="",0,Sync!$AB435))</f>
        <v>0</v>
      </c>
      <c r="M439" t="str">
        <f t="shared" si="41"/>
        <v/>
      </c>
      <c r="N439">
        <f>IF($G439="",0,IF($H439="مرجوعی فروش",-1,1)*IF(Sync!$AC435="",0,Sync!$AC435))</f>
        <v>0</v>
      </c>
      <c r="O439" t="str">
        <f>IF(OR($G439="",Sync!$V435=""),"",Sync!$V435)</f>
        <v/>
      </c>
      <c r="P439" t="str">
        <f>IF(OR($G439="",Sync!$AD435=""),"",Sync!$AD435)</f>
        <v/>
      </c>
      <c r="Q439" t="str">
        <f>IF($G439="","",IF(Sync!$U435="","0000",IF(AND(ISNUMBER(Sync!$U435),Sync!$U435&gt;=0,Sync!$U435&lt;1),RIGHT("00"&amp;HOUR(Sync!$U435),2)&amp;RIGHT("00"&amp;MINUTE(Sync!$U435),2),IFERROR(RIGHT("00"&amp;VALUE(LEFT(Sync!$U435,FIND(":",Sync!$U435)-1)),2)&amp;RIGHT("00"&amp;VALUE(MID(Sync!$U435,FIND(":",Sync!$U435)+1,2)),2),"0000"))))</f>
        <v/>
      </c>
    </row>
    <row r="440" spans="1:17" x14ac:dyDescent="0.2">
      <c r="A440" t="str">
        <f>IF(Sync!$T436="","",Sync!$T436)</f>
        <v/>
      </c>
      <c r="B440" t="str">
        <f t="shared" si="36"/>
        <v/>
      </c>
      <c r="C440" t="str">
        <f t="shared" si="37"/>
        <v/>
      </c>
      <c r="D440" t="str">
        <f t="shared" si="38"/>
        <v/>
      </c>
      <c r="E440" t="str">
        <f t="shared" si="39"/>
        <v/>
      </c>
      <c r="F440" t="str">
        <f t="shared" si="40"/>
        <v/>
      </c>
      <c r="G440" t="str">
        <f>IF(OR($E440="",$E440="نامعتبر",Sync!$X436=""),"",IF(AND(LEFT(UPPER(TRIM(Sync!$X436)),2)="SL",IFERROR(VLOOKUP(Sync!$W436,OpTbl,3,0),"")="فروش"),UPPER(TRIM(Sync!$X436)),""))</f>
        <v/>
      </c>
      <c r="H440" t="str">
        <f>IF($G440="","",IF(Sync!$W436="","",Sync!$W436))</f>
        <v/>
      </c>
      <c r="I440" t="str">
        <f>IF(OR($G440="",Sync!$Y436=""),"",Sync!$Y436)</f>
        <v/>
      </c>
      <c r="J440" t="str">
        <f>IF(OR($G440="",Sync!$Z436=""),"",Sync!$Z436)</f>
        <v/>
      </c>
      <c r="K440">
        <f>IF($G440="",0,IF(Sync!$AA436="",0,Sync!$AA436))</f>
        <v>0</v>
      </c>
      <c r="L440">
        <f>IF($G440="",0,IF(Sync!$AB436="",0,Sync!$AB436))</f>
        <v>0</v>
      </c>
      <c r="M440" t="str">
        <f t="shared" si="41"/>
        <v/>
      </c>
      <c r="N440">
        <f>IF($G440="",0,IF($H440="مرجوعی فروش",-1,1)*IF(Sync!$AC436="",0,Sync!$AC436))</f>
        <v>0</v>
      </c>
      <c r="O440" t="str">
        <f>IF(OR($G440="",Sync!$V436=""),"",Sync!$V436)</f>
        <v/>
      </c>
      <c r="P440" t="str">
        <f>IF(OR($G440="",Sync!$AD436=""),"",Sync!$AD436)</f>
        <v/>
      </c>
      <c r="Q440" t="str">
        <f>IF($G440="","",IF(Sync!$U436="","0000",IF(AND(ISNUMBER(Sync!$U436),Sync!$U436&gt;=0,Sync!$U436&lt;1),RIGHT("00"&amp;HOUR(Sync!$U436),2)&amp;RIGHT("00"&amp;MINUTE(Sync!$U436),2),IFERROR(RIGHT("00"&amp;VALUE(LEFT(Sync!$U436,FIND(":",Sync!$U436)-1)),2)&amp;RIGHT("00"&amp;VALUE(MID(Sync!$U436,FIND(":",Sync!$U436)+1,2)),2),"0000"))))</f>
        <v/>
      </c>
    </row>
    <row r="441" spans="1:17" x14ac:dyDescent="0.2">
      <c r="A441" t="str">
        <f>IF(Sync!$T437="","",Sync!$T437)</f>
        <v/>
      </c>
      <c r="B441" t="str">
        <f t="shared" si="36"/>
        <v/>
      </c>
      <c r="C441" t="str">
        <f t="shared" si="37"/>
        <v/>
      </c>
      <c r="D441" t="str">
        <f t="shared" si="38"/>
        <v/>
      </c>
      <c r="E441" t="str">
        <f t="shared" si="39"/>
        <v/>
      </c>
      <c r="F441" t="str">
        <f t="shared" si="40"/>
        <v/>
      </c>
      <c r="G441" t="str">
        <f>IF(OR($E441="",$E441="نامعتبر",Sync!$X437=""),"",IF(AND(LEFT(UPPER(TRIM(Sync!$X437)),2)="SL",IFERROR(VLOOKUP(Sync!$W437,OpTbl,3,0),"")="فروش"),UPPER(TRIM(Sync!$X437)),""))</f>
        <v/>
      </c>
      <c r="H441" t="str">
        <f>IF($G441="","",IF(Sync!$W437="","",Sync!$W437))</f>
        <v/>
      </c>
      <c r="I441" t="str">
        <f>IF(OR($G441="",Sync!$Y437=""),"",Sync!$Y437)</f>
        <v/>
      </c>
      <c r="J441" t="str">
        <f>IF(OR($G441="",Sync!$Z437=""),"",Sync!$Z437)</f>
        <v/>
      </c>
      <c r="K441">
        <f>IF($G441="",0,IF(Sync!$AA437="",0,Sync!$AA437))</f>
        <v>0</v>
      </c>
      <c r="L441">
        <f>IF($G441="",0,IF(Sync!$AB437="",0,Sync!$AB437))</f>
        <v>0</v>
      </c>
      <c r="M441" t="str">
        <f t="shared" si="41"/>
        <v/>
      </c>
      <c r="N441">
        <f>IF($G441="",0,IF($H441="مرجوعی فروش",-1,1)*IF(Sync!$AC437="",0,Sync!$AC437))</f>
        <v>0</v>
      </c>
      <c r="O441" t="str">
        <f>IF(OR($G441="",Sync!$V437=""),"",Sync!$V437)</f>
        <v/>
      </c>
      <c r="P441" t="str">
        <f>IF(OR($G441="",Sync!$AD437=""),"",Sync!$AD437)</f>
        <v/>
      </c>
      <c r="Q441" t="str">
        <f>IF($G441="","",IF(Sync!$U437="","0000",IF(AND(ISNUMBER(Sync!$U437),Sync!$U437&gt;=0,Sync!$U437&lt;1),RIGHT("00"&amp;HOUR(Sync!$U437),2)&amp;RIGHT("00"&amp;MINUTE(Sync!$U437),2),IFERROR(RIGHT("00"&amp;VALUE(LEFT(Sync!$U437,FIND(":",Sync!$U437)-1)),2)&amp;RIGHT("00"&amp;VALUE(MID(Sync!$U437,FIND(":",Sync!$U437)+1,2)),2),"0000"))))</f>
        <v/>
      </c>
    </row>
    <row r="442" spans="1:17" x14ac:dyDescent="0.2">
      <c r="A442" t="str">
        <f>IF(Sync!$T438="","",Sync!$T438)</f>
        <v/>
      </c>
      <c r="B442" t="str">
        <f t="shared" si="36"/>
        <v/>
      </c>
      <c r="C442" t="str">
        <f t="shared" si="37"/>
        <v/>
      </c>
      <c r="D442" t="str">
        <f t="shared" si="38"/>
        <v/>
      </c>
      <c r="E442" t="str">
        <f t="shared" si="39"/>
        <v/>
      </c>
      <c r="F442" t="str">
        <f t="shared" si="40"/>
        <v/>
      </c>
      <c r="G442" t="str">
        <f>IF(OR($E442="",$E442="نامعتبر",Sync!$X438=""),"",IF(AND(LEFT(UPPER(TRIM(Sync!$X438)),2)="SL",IFERROR(VLOOKUP(Sync!$W438,OpTbl,3,0),"")="فروش"),UPPER(TRIM(Sync!$X438)),""))</f>
        <v/>
      </c>
      <c r="H442" t="str">
        <f>IF($G442="","",IF(Sync!$W438="","",Sync!$W438))</f>
        <v/>
      </c>
      <c r="I442" t="str">
        <f>IF(OR($G442="",Sync!$Y438=""),"",Sync!$Y438)</f>
        <v/>
      </c>
      <c r="J442" t="str">
        <f>IF(OR($G442="",Sync!$Z438=""),"",Sync!$Z438)</f>
        <v/>
      </c>
      <c r="K442">
        <f>IF($G442="",0,IF(Sync!$AA438="",0,Sync!$AA438))</f>
        <v>0</v>
      </c>
      <c r="L442">
        <f>IF($G442="",0,IF(Sync!$AB438="",0,Sync!$AB438))</f>
        <v>0</v>
      </c>
      <c r="M442" t="str">
        <f t="shared" si="41"/>
        <v/>
      </c>
      <c r="N442">
        <f>IF($G442="",0,IF($H442="مرجوعی فروش",-1,1)*IF(Sync!$AC438="",0,Sync!$AC438))</f>
        <v>0</v>
      </c>
      <c r="O442" t="str">
        <f>IF(OR($G442="",Sync!$V438=""),"",Sync!$V438)</f>
        <v/>
      </c>
      <c r="P442" t="str">
        <f>IF(OR($G442="",Sync!$AD438=""),"",Sync!$AD438)</f>
        <v/>
      </c>
      <c r="Q442" t="str">
        <f>IF($G442="","",IF(Sync!$U438="","0000",IF(AND(ISNUMBER(Sync!$U438),Sync!$U438&gt;=0,Sync!$U438&lt;1),RIGHT("00"&amp;HOUR(Sync!$U438),2)&amp;RIGHT("00"&amp;MINUTE(Sync!$U438),2),IFERROR(RIGHT("00"&amp;VALUE(LEFT(Sync!$U438,FIND(":",Sync!$U438)-1)),2)&amp;RIGHT("00"&amp;VALUE(MID(Sync!$U438,FIND(":",Sync!$U438)+1,2)),2),"0000"))))</f>
        <v/>
      </c>
    </row>
    <row r="443" spans="1:17" x14ac:dyDescent="0.2">
      <c r="A443" t="str">
        <f>IF(Sync!$T439="","",Sync!$T439)</f>
        <v/>
      </c>
      <c r="B443" t="str">
        <f t="shared" si="36"/>
        <v/>
      </c>
      <c r="C443" t="str">
        <f t="shared" si="37"/>
        <v/>
      </c>
      <c r="D443" t="str">
        <f t="shared" si="38"/>
        <v/>
      </c>
      <c r="E443" t="str">
        <f t="shared" si="39"/>
        <v/>
      </c>
      <c r="F443" t="str">
        <f t="shared" si="40"/>
        <v/>
      </c>
      <c r="G443" t="str">
        <f>IF(OR($E443="",$E443="نامعتبر",Sync!$X439=""),"",IF(AND(LEFT(UPPER(TRIM(Sync!$X439)),2)="SL",IFERROR(VLOOKUP(Sync!$W439,OpTbl,3,0),"")="فروش"),UPPER(TRIM(Sync!$X439)),""))</f>
        <v/>
      </c>
      <c r="H443" t="str">
        <f>IF($G443="","",IF(Sync!$W439="","",Sync!$W439))</f>
        <v/>
      </c>
      <c r="I443" t="str">
        <f>IF(OR($G443="",Sync!$Y439=""),"",Sync!$Y439)</f>
        <v/>
      </c>
      <c r="J443" t="str">
        <f>IF(OR($G443="",Sync!$Z439=""),"",Sync!$Z439)</f>
        <v/>
      </c>
      <c r="K443">
        <f>IF($G443="",0,IF(Sync!$AA439="",0,Sync!$AA439))</f>
        <v>0</v>
      </c>
      <c r="L443">
        <f>IF($G443="",0,IF(Sync!$AB439="",0,Sync!$AB439))</f>
        <v>0</v>
      </c>
      <c r="M443" t="str">
        <f t="shared" si="41"/>
        <v/>
      </c>
      <c r="N443">
        <f>IF($G443="",0,IF($H443="مرجوعی فروش",-1,1)*IF(Sync!$AC439="",0,Sync!$AC439))</f>
        <v>0</v>
      </c>
      <c r="O443" t="str">
        <f>IF(OR($G443="",Sync!$V439=""),"",Sync!$V439)</f>
        <v/>
      </c>
      <c r="P443" t="str">
        <f>IF(OR($G443="",Sync!$AD439=""),"",Sync!$AD439)</f>
        <v/>
      </c>
      <c r="Q443" t="str">
        <f>IF($G443="","",IF(Sync!$U439="","0000",IF(AND(ISNUMBER(Sync!$U439),Sync!$U439&gt;=0,Sync!$U439&lt;1),RIGHT("00"&amp;HOUR(Sync!$U439),2)&amp;RIGHT("00"&amp;MINUTE(Sync!$U439),2),IFERROR(RIGHT("00"&amp;VALUE(LEFT(Sync!$U439,FIND(":",Sync!$U439)-1)),2)&amp;RIGHT("00"&amp;VALUE(MID(Sync!$U439,FIND(":",Sync!$U439)+1,2)),2),"0000"))))</f>
        <v/>
      </c>
    </row>
    <row r="444" spans="1:17" x14ac:dyDescent="0.2">
      <c r="A444" t="str">
        <f>IF(Sync!$T440="","",Sync!$T440)</f>
        <v/>
      </c>
      <c r="B444" t="str">
        <f t="shared" si="36"/>
        <v/>
      </c>
      <c r="C444" t="str">
        <f t="shared" si="37"/>
        <v/>
      </c>
      <c r="D444" t="str">
        <f t="shared" si="38"/>
        <v/>
      </c>
      <c r="E444" t="str">
        <f t="shared" si="39"/>
        <v/>
      </c>
      <c r="F444" t="str">
        <f t="shared" si="40"/>
        <v/>
      </c>
      <c r="G444" t="str">
        <f>IF(OR($E444="",$E444="نامعتبر",Sync!$X440=""),"",IF(AND(LEFT(UPPER(TRIM(Sync!$X440)),2)="SL",IFERROR(VLOOKUP(Sync!$W440,OpTbl,3,0),"")="فروش"),UPPER(TRIM(Sync!$X440)),""))</f>
        <v/>
      </c>
      <c r="H444" t="str">
        <f>IF($G444="","",IF(Sync!$W440="","",Sync!$W440))</f>
        <v/>
      </c>
      <c r="I444" t="str">
        <f>IF(OR($G444="",Sync!$Y440=""),"",Sync!$Y440)</f>
        <v/>
      </c>
      <c r="J444" t="str">
        <f>IF(OR($G444="",Sync!$Z440=""),"",Sync!$Z440)</f>
        <v/>
      </c>
      <c r="K444">
        <f>IF($G444="",0,IF(Sync!$AA440="",0,Sync!$AA440))</f>
        <v>0</v>
      </c>
      <c r="L444">
        <f>IF($G444="",0,IF(Sync!$AB440="",0,Sync!$AB440))</f>
        <v>0</v>
      </c>
      <c r="M444" t="str">
        <f t="shared" si="41"/>
        <v/>
      </c>
      <c r="N444">
        <f>IF($G444="",0,IF($H444="مرجوعی فروش",-1,1)*IF(Sync!$AC440="",0,Sync!$AC440))</f>
        <v>0</v>
      </c>
      <c r="O444" t="str">
        <f>IF(OR($G444="",Sync!$V440=""),"",Sync!$V440)</f>
        <v/>
      </c>
      <c r="P444" t="str">
        <f>IF(OR($G444="",Sync!$AD440=""),"",Sync!$AD440)</f>
        <v/>
      </c>
      <c r="Q444" t="str">
        <f>IF($G444="","",IF(Sync!$U440="","0000",IF(AND(ISNUMBER(Sync!$U440),Sync!$U440&gt;=0,Sync!$U440&lt;1),RIGHT("00"&amp;HOUR(Sync!$U440),2)&amp;RIGHT("00"&amp;MINUTE(Sync!$U440),2),IFERROR(RIGHT("00"&amp;VALUE(LEFT(Sync!$U440,FIND(":",Sync!$U440)-1)),2)&amp;RIGHT("00"&amp;VALUE(MID(Sync!$U440,FIND(":",Sync!$U440)+1,2)),2),"0000"))))</f>
        <v/>
      </c>
    </row>
    <row r="445" spans="1:17" x14ac:dyDescent="0.2">
      <c r="A445" t="str">
        <f>IF(Sync!$T441="","",Sync!$T441)</f>
        <v/>
      </c>
      <c r="B445" t="str">
        <f t="shared" si="36"/>
        <v/>
      </c>
      <c r="C445" t="str">
        <f t="shared" si="37"/>
        <v/>
      </c>
      <c r="D445" t="str">
        <f t="shared" si="38"/>
        <v/>
      </c>
      <c r="E445" t="str">
        <f t="shared" si="39"/>
        <v/>
      </c>
      <c r="F445" t="str">
        <f t="shared" si="40"/>
        <v/>
      </c>
      <c r="G445" t="str">
        <f>IF(OR($E445="",$E445="نامعتبر",Sync!$X441=""),"",IF(AND(LEFT(UPPER(TRIM(Sync!$X441)),2)="SL",IFERROR(VLOOKUP(Sync!$W441,OpTbl,3,0),"")="فروش"),UPPER(TRIM(Sync!$X441)),""))</f>
        <v/>
      </c>
      <c r="H445" t="str">
        <f>IF($G445="","",IF(Sync!$W441="","",Sync!$W441))</f>
        <v/>
      </c>
      <c r="I445" t="str">
        <f>IF(OR($G445="",Sync!$Y441=""),"",Sync!$Y441)</f>
        <v/>
      </c>
      <c r="J445" t="str">
        <f>IF(OR($G445="",Sync!$Z441=""),"",Sync!$Z441)</f>
        <v/>
      </c>
      <c r="K445">
        <f>IF($G445="",0,IF(Sync!$AA441="",0,Sync!$AA441))</f>
        <v>0</v>
      </c>
      <c r="L445">
        <f>IF($G445="",0,IF(Sync!$AB441="",0,Sync!$AB441))</f>
        <v>0</v>
      </c>
      <c r="M445" t="str">
        <f t="shared" si="41"/>
        <v/>
      </c>
      <c r="N445">
        <f>IF($G445="",0,IF($H445="مرجوعی فروش",-1,1)*IF(Sync!$AC441="",0,Sync!$AC441))</f>
        <v>0</v>
      </c>
      <c r="O445" t="str">
        <f>IF(OR($G445="",Sync!$V441=""),"",Sync!$V441)</f>
        <v/>
      </c>
      <c r="P445" t="str">
        <f>IF(OR($G445="",Sync!$AD441=""),"",Sync!$AD441)</f>
        <v/>
      </c>
      <c r="Q445" t="str">
        <f>IF($G445="","",IF(Sync!$U441="","0000",IF(AND(ISNUMBER(Sync!$U441),Sync!$U441&gt;=0,Sync!$U441&lt;1),RIGHT("00"&amp;HOUR(Sync!$U441),2)&amp;RIGHT("00"&amp;MINUTE(Sync!$U441),2),IFERROR(RIGHT("00"&amp;VALUE(LEFT(Sync!$U441,FIND(":",Sync!$U441)-1)),2)&amp;RIGHT("00"&amp;VALUE(MID(Sync!$U441,FIND(":",Sync!$U441)+1,2)),2),"0000"))))</f>
        <v/>
      </c>
    </row>
    <row r="446" spans="1:17" x14ac:dyDescent="0.2">
      <c r="A446" t="str">
        <f>IF(Sync!$T442="","",Sync!$T442)</f>
        <v/>
      </c>
      <c r="B446" t="str">
        <f t="shared" si="36"/>
        <v/>
      </c>
      <c r="C446" t="str">
        <f t="shared" si="37"/>
        <v/>
      </c>
      <c r="D446" t="str">
        <f t="shared" si="38"/>
        <v/>
      </c>
      <c r="E446" t="str">
        <f t="shared" si="39"/>
        <v/>
      </c>
      <c r="F446" t="str">
        <f t="shared" si="40"/>
        <v/>
      </c>
      <c r="G446" t="str">
        <f>IF(OR($E446="",$E446="نامعتبر",Sync!$X442=""),"",IF(AND(LEFT(UPPER(TRIM(Sync!$X442)),2)="SL",IFERROR(VLOOKUP(Sync!$W442,OpTbl,3,0),"")="فروش"),UPPER(TRIM(Sync!$X442)),""))</f>
        <v/>
      </c>
      <c r="H446" t="str">
        <f>IF($G446="","",IF(Sync!$W442="","",Sync!$W442))</f>
        <v/>
      </c>
      <c r="I446" t="str">
        <f>IF(OR($G446="",Sync!$Y442=""),"",Sync!$Y442)</f>
        <v/>
      </c>
      <c r="J446" t="str">
        <f>IF(OR($G446="",Sync!$Z442=""),"",Sync!$Z442)</f>
        <v/>
      </c>
      <c r="K446">
        <f>IF($G446="",0,IF(Sync!$AA442="",0,Sync!$AA442))</f>
        <v>0</v>
      </c>
      <c r="L446">
        <f>IF($G446="",0,IF(Sync!$AB442="",0,Sync!$AB442))</f>
        <v>0</v>
      </c>
      <c r="M446" t="str">
        <f t="shared" si="41"/>
        <v/>
      </c>
      <c r="N446">
        <f>IF($G446="",0,IF($H446="مرجوعی فروش",-1,1)*IF(Sync!$AC442="",0,Sync!$AC442))</f>
        <v>0</v>
      </c>
      <c r="O446" t="str">
        <f>IF(OR($G446="",Sync!$V442=""),"",Sync!$V442)</f>
        <v/>
      </c>
      <c r="P446" t="str">
        <f>IF(OR($G446="",Sync!$AD442=""),"",Sync!$AD442)</f>
        <v/>
      </c>
      <c r="Q446" t="str">
        <f>IF($G446="","",IF(Sync!$U442="","0000",IF(AND(ISNUMBER(Sync!$U442),Sync!$U442&gt;=0,Sync!$U442&lt;1),RIGHT("00"&amp;HOUR(Sync!$U442),2)&amp;RIGHT("00"&amp;MINUTE(Sync!$U442),2),IFERROR(RIGHT("00"&amp;VALUE(LEFT(Sync!$U442,FIND(":",Sync!$U442)-1)),2)&amp;RIGHT("00"&amp;VALUE(MID(Sync!$U442,FIND(":",Sync!$U442)+1,2)),2),"0000"))))</f>
        <v/>
      </c>
    </row>
    <row r="447" spans="1:17" x14ac:dyDescent="0.2">
      <c r="A447" t="str">
        <f>IF(Sync!$T443="","",Sync!$T443)</f>
        <v/>
      </c>
      <c r="B447" t="str">
        <f t="shared" si="36"/>
        <v/>
      </c>
      <c r="C447" t="str">
        <f t="shared" si="37"/>
        <v/>
      </c>
      <c r="D447" t="str">
        <f t="shared" si="38"/>
        <v/>
      </c>
      <c r="E447" t="str">
        <f t="shared" si="39"/>
        <v/>
      </c>
      <c r="F447" t="str">
        <f t="shared" si="40"/>
        <v/>
      </c>
      <c r="G447" t="str">
        <f>IF(OR($E447="",$E447="نامعتبر",Sync!$X443=""),"",IF(AND(LEFT(UPPER(TRIM(Sync!$X443)),2)="SL",IFERROR(VLOOKUP(Sync!$W443,OpTbl,3,0),"")="فروش"),UPPER(TRIM(Sync!$X443)),""))</f>
        <v/>
      </c>
      <c r="H447" t="str">
        <f>IF($G447="","",IF(Sync!$W443="","",Sync!$W443))</f>
        <v/>
      </c>
      <c r="I447" t="str">
        <f>IF(OR($G447="",Sync!$Y443=""),"",Sync!$Y443)</f>
        <v/>
      </c>
      <c r="J447" t="str">
        <f>IF(OR($G447="",Sync!$Z443=""),"",Sync!$Z443)</f>
        <v/>
      </c>
      <c r="K447">
        <f>IF($G447="",0,IF(Sync!$AA443="",0,Sync!$AA443))</f>
        <v>0</v>
      </c>
      <c r="L447">
        <f>IF($G447="",0,IF(Sync!$AB443="",0,Sync!$AB443))</f>
        <v>0</v>
      </c>
      <c r="M447" t="str">
        <f t="shared" si="41"/>
        <v/>
      </c>
      <c r="N447">
        <f>IF($G447="",0,IF($H447="مرجوعی فروش",-1,1)*IF(Sync!$AC443="",0,Sync!$AC443))</f>
        <v>0</v>
      </c>
      <c r="O447" t="str">
        <f>IF(OR($G447="",Sync!$V443=""),"",Sync!$V443)</f>
        <v/>
      </c>
      <c r="P447" t="str">
        <f>IF(OR($G447="",Sync!$AD443=""),"",Sync!$AD443)</f>
        <v/>
      </c>
      <c r="Q447" t="str">
        <f>IF($G447="","",IF(Sync!$U443="","0000",IF(AND(ISNUMBER(Sync!$U443),Sync!$U443&gt;=0,Sync!$U443&lt;1),RIGHT("00"&amp;HOUR(Sync!$U443),2)&amp;RIGHT("00"&amp;MINUTE(Sync!$U443),2),IFERROR(RIGHT("00"&amp;VALUE(LEFT(Sync!$U443,FIND(":",Sync!$U443)-1)),2)&amp;RIGHT("00"&amp;VALUE(MID(Sync!$U443,FIND(":",Sync!$U443)+1,2)),2),"0000"))))</f>
        <v/>
      </c>
    </row>
    <row r="448" spans="1:17" x14ac:dyDescent="0.2">
      <c r="A448" t="str">
        <f>IF(Sync!$T444="","",Sync!$T444)</f>
        <v/>
      </c>
      <c r="B448" t="str">
        <f t="shared" si="36"/>
        <v/>
      </c>
      <c r="C448" t="str">
        <f t="shared" si="37"/>
        <v/>
      </c>
      <c r="D448" t="str">
        <f t="shared" si="38"/>
        <v/>
      </c>
      <c r="E448" t="str">
        <f t="shared" si="39"/>
        <v/>
      </c>
      <c r="F448" t="str">
        <f t="shared" si="40"/>
        <v/>
      </c>
      <c r="G448" t="str">
        <f>IF(OR($E448="",$E448="نامعتبر",Sync!$X444=""),"",IF(AND(LEFT(UPPER(TRIM(Sync!$X444)),2)="SL",IFERROR(VLOOKUP(Sync!$W444,OpTbl,3,0),"")="فروش"),UPPER(TRIM(Sync!$X444)),""))</f>
        <v/>
      </c>
      <c r="H448" t="str">
        <f>IF($G448="","",IF(Sync!$W444="","",Sync!$W444))</f>
        <v/>
      </c>
      <c r="I448" t="str">
        <f>IF(OR($G448="",Sync!$Y444=""),"",Sync!$Y444)</f>
        <v/>
      </c>
      <c r="J448" t="str">
        <f>IF(OR($G448="",Sync!$Z444=""),"",Sync!$Z444)</f>
        <v/>
      </c>
      <c r="K448">
        <f>IF($G448="",0,IF(Sync!$AA444="",0,Sync!$AA444))</f>
        <v>0</v>
      </c>
      <c r="L448">
        <f>IF($G448="",0,IF(Sync!$AB444="",0,Sync!$AB444))</f>
        <v>0</v>
      </c>
      <c r="M448" t="str">
        <f t="shared" si="41"/>
        <v/>
      </c>
      <c r="N448">
        <f>IF($G448="",0,IF($H448="مرجوعی فروش",-1,1)*IF(Sync!$AC444="",0,Sync!$AC444))</f>
        <v>0</v>
      </c>
      <c r="O448" t="str">
        <f>IF(OR($G448="",Sync!$V444=""),"",Sync!$V444)</f>
        <v/>
      </c>
      <c r="P448" t="str">
        <f>IF(OR($G448="",Sync!$AD444=""),"",Sync!$AD444)</f>
        <v/>
      </c>
      <c r="Q448" t="str">
        <f>IF($G448="","",IF(Sync!$U444="","0000",IF(AND(ISNUMBER(Sync!$U444),Sync!$U444&gt;=0,Sync!$U444&lt;1),RIGHT("00"&amp;HOUR(Sync!$U444),2)&amp;RIGHT("00"&amp;MINUTE(Sync!$U444),2),IFERROR(RIGHT("00"&amp;VALUE(LEFT(Sync!$U444,FIND(":",Sync!$U444)-1)),2)&amp;RIGHT("00"&amp;VALUE(MID(Sync!$U444,FIND(":",Sync!$U444)+1,2)),2),"0000"))))</f>
        <v/>
      </c>
    </row>
    <row r="449" spans="1:17" x14ac:dyDescent="0.2">
      <c r="A449" t="str">
        <f>IF(Sync!$T445="","",Sync!$T445)</f>
        <v/>
      </c>
      <c r="B449" t="str">
        <f t="shared" si="36"/>
        <v/>
      </c>
      <c r="C449" t="str">
        <f t="shared" si="37"/>
        <v/>
      </c>
      <c r="D449" t="str">
        <f t="shared" si="38"/>
        <v/>
      </c>
      <c r="E449" t="str">
        <f t="shared" si="39"/>
        <v/>
      </c>
      <c r="F449" t="str">
        <f t="shared" si="40"/>
        <v/>
      </c>
      <c r="G449" t="str">
        <f>IF(OR($E449="",$E449="نامعتبر",Sync!$X445=""),"",IF(AND(LEFT(UPPER(TRIM(Sync!$X445)),2)="SL",IFERROR(VLOOKUP(Sync!$W445,OpTbl,3,0),"")="فروش"),UPPER(TRIM(Sync!$X445)),""))</f>
        <v/>
      </c>
      <c r="H449" t="str">
        <f>IF($G449="","",IF(Sync!$W445="","",Sync!$W445))</f>
        <v/>
      </c>
      <c r="I449" t="str">
        <f>IF(OR($G449="",Sync!$Y445=""),"",Sync!$Y445)</f>
        <v/>
      </c>
      <c r="J449" t="str">
        <f>IF(OR($G449="",Sync!$Z445=""),"",Sync!$Z445)</f>
        <v/>
      </c>
      <c r="K449">
        <f>IF($G449="",0,IF(Sync!$AA445="",0,Sync!$AA445))</f>
        <v>0</v>
      </c>
      <c r="L449">
        <f>IF($G449="",0,IF(Sync!$AB445="",0,Sync!$AB445))</f>
        <v>0</v>
      </c>
      <c r="M449" t="str">
        <f t="shared" si="41"/>
        <v/>
      </c>
      <c r="N449">
        <f>IF($G449="",0,IF($H449="مرجوعی فروش",-1,1)*IF(Sync!$AC445="",0,Sync!$AC445))</f>
        <v>0</v>
      </c>
      <c r="O449" t="str">
        <f>IF(OR($G449="",Sync!$V445=""),"",Sync!$V445)</f>
        <v/>
      </c>
      <c r="P449" t="str">
        <f>IF(OR($G449="",Sync!$AD445=""),"",Sync!$AD445)</f>
        <v/>
      </c>
      <c r="Q449" t="str">
        <f>IF($G449="","",IF(Sync!$U445="","0000",IF(AND(ISNUMBER(Sync!$U445),Sync!$U445&gt;=0,Sync!$U445&lt;1),RIGHT("00"&amp;HOUR(Sync!$U445),2)&amp;RIGHT("00"&amp;MINUTE(Sync!$U445),2),IFERROR(RIGHT("00"&amp;VALUE(LEFT(Sync!$U445,FIND(":",Sync!$U445)-1)),2)&amp;RIGHT("00"&amp;VALUE(MID(Sync!$U445,FIND(":",Sync!$U445)+1,2)),2),"0000"))))</f>
        <v/>
      </c>
    </row>
    <row r="450" spans="1:17" x14ac:dyDescent="0.2">
      <c r="A450" t="str">
        <f>IF(Sync!$T446="","",Sync!$T446)</f>
        <v/>
      </c>
      <c r="B450" t="str">
        <f t="shared" si="36"/>
        <v/>
      </c>
      <c r="C450" t="str">
        <f t="shared" si="37"/>
        <v/>
      </c>
      <c r="D450" t="str">
        <f t="shared" si="38"/>
        <v/>
      </c>
      <c r="E450" t="str">
        <f t="shared" si="39"/>
        <v/>
      </c>
      <c r="F450" t="str">
        <f t="shared" si="40"/>
        <v/>
      </c>
      <c r="G450" t="str">
        <f>IF(OR($E450="",$E450="نامعتبر",Sync!$X446=""),"",IF(AND(LEFT(UPPER(TRIM(Sync!$X446)),2)="SL",IFERROR(VLOOKUP(Sync!$W446,OpTbl,3,0),"")="فروش"),UPPER(TRIM(Sync!$X446)),""))</f>
        <v/>
      </c>
      <c r="H450" t="str">
        <f>IF($G450="","",IF(Sync!$W446="","",Sync!$W446))</f>
        <v/>
      </c>
      <c r="I450" t="str">
        <f>IF(OR($G450="",Sync!$Y446=""),"",Sync!$Y446)</f>
        <v/>
      </c>
      <c r="J450" t="str">
        <f>IF(OR($G450="",Sync!$Z446=""),"",Sync!$Z446)</f>
        <v/>
      </c>
      <c r="K450">
        <f>IF($G450="",0,IF(Sync!$AA446="",0,Sync!$AA446))</f>
        <v>0</v>
      </c>
      <c r="L450">
        <f>IF($G450="",0,IF(Sync!$AB446="",0,Sync!$AB446))</f>
        <v>0</v>
      </c>
      <c r="M450" t="str">
        <f t="shared" si="41"/>
        <v/>
      </c>
      <c r="N450">
        <f>IF($G450="",0,IF($H450="مرجوعی فروش",-1,1)*IF(Sync!$AC446="",0,Sync!$AC446))</f>
        <v>0</v>
      </c>
      <c r="O450" t="str">
        <f>IF(OR($G450="",Sync!$V446=""),"",Sync!$V446)</f>
        <v/>
      </c>
      <c r="P450" t="str">
        <f>IF(OR($G450="",Sync!$AD446=""),"",Sync!$AD446)</f>
        <v/>
      </c>
      <c r="Q450" t="str">
        <f>IF($G450="","",IF(Sync!$U446="","0000",IF(AND(ISNUMBER(Sync!$U446),Sync!$U446&gt;=0,Sync!$U446&lt;1),RIGHT("00"&amp;HOUR(Sync!$U446),2)&amp;RIGHT("00"&amp;MINUTE(Sync!$U446),2),IFERROR(RIGHT("00"&amp;VALUE(LEFT(Sync!$U446,FIND(":",Sync!$U446)-1)),2)&amp;RIGHT("00"&amp;VALUE(MID(Sync!$U446,FIND(":",Sync!$U446)+1,2)),2),"0000"))))</f>
        <v/>
      </c>
    </row>
    <row r="451" spans="1:17" x14ac:dyDescent="0.2">
      <c r="A451" t="str">
        <f>IF(Sync!$T447="","",Sync!$T447)</f>
        <v/>
      </c>
      <c r="B451" t="str">
        <f t="shared" si="36"/>
        <v/>
      </c>
      <c r="C451" t="str">
        <f t="shared" si="37"/>
        <v/>
      </c>
      <c r="D451" t="str">
        <f t="shared" si="38"/>
        <v/>
      </c>
      <c r="E451" t="str">
        <f t="shared" si="39"/>
        <v/>
      </c>
      <c r="F451" t="str">
        <f t="shared" si="40"/>
        <v/>
      </c>
      <c r="G451" t="str">
        <f>IF(OR($E451="",$E451="نامعتبر",Sync!$X447=""),"",IF(AND(LEFT(UPPER(TRIM(Sync!$X447)),2)="SL",IFERROR(VLOOKUP(Sync!$W447,OpTbl,3,0),"")="فروش"),UPPER(TRIM(Sync!$X447)),""))</f>
        <v/>
      </c>
      <c r="H451" t="str">
        <f>IF($G451="","",IF(Sync!$W447="","",Sync!$W447))</f>
        <v/>
      </c>
      <c r="I451" t="str">
        <f>IF(OR($G451="",Sync!$Y447=""),"",Sync!$Y447)</f>
        <v/>
      </c>
      <c r="J451" t="str">
        <f>IF(OR($G451="",Sync!$Z447=""),"",Sync!$Z447)</f>
        <v/>
      </c>
      <c r="K451">
        <f>IF($G451="",0,IF(Sync!$AA447="",0,Sync!$AA447))</f>
        <v>0</v>
      </c>
      <c r="L451">
        <f>IF($G451="",0,IF(Sync!$AB447="",0,Sync!$AB447))</f>
        <v>0</v>
      </c>
      <c r="M451" t="str">
        <f t="shared" si="41"/>
        <v/>
      </c>
      <c r="N451">
        <f>IF($G451="",0,IF($H451="مرجوعی فروش",-1,1)*IF(Sync!$AC447="",0,Sync!$AC447))</f>
        <v>0</v>
      </c>
      <c r="O451" t="str">
        <f>IF(OR($G451="",Sync!$V447=""),"",Sync!$V447)</f>
        <v/>
      </c>
      <c r="P451" t="str">
        <f>IF(OR($G451="",Sync!$AD447=""),"",Sync!$AD447)</f>
        <v/>
      </c>
      <c r="Q451" t="str">
        <f>IF($G451="","",IF(Sync!$U447="","0000",IF(AND(ISNUMBER(Sync!$U447),Sync!$U447&gt;=0,Sync!$U447&lt;1),RIGHT("00"&amp;HOUR(Sync!$U447),2)&amp;RIGHT("00"&amp;MINUTE(Sync!$U447),2),IFERROR(RIGHT("00"&amp;VALUE(LEFT(Sync!$U447,FIND(":",Sync!$U447)-1)),2)&amp;RIGHT("00"&amp;VALUE(MID(Sync!$U447,FIND(":",Sync!$U447)+1,2)),2),"0000"))))</f>
        <v/>
      </c>
    </row>
    <row r="452" spans="1:17" x14ac:dyDescent="0.2">
      <c r="A452" t="str">
        <f>IF(Sync!$T448="","",Sync!$T448)</f>
        <v/>
      </c>
      <c r="B452" t="str">
        <f t="shared" si="36"/>
        <v/>
      </c>
      <c r="C452" t="str">
        <f t="shared" si="37"/>
        <v/>
      </c>
      <c r="D452" t="str">
        <f t="shared" si="38"/>
        <v/>
      </c>
      <c r="E452" t="str">
        <f t="shared" si="39"/>
        <v/>
      </c>
      <c r="F452" t="str">
        <f t="shared" si="40"/>
        <v/>
      </c>
      <c r="G452" t="str">
        <f>IF(OR($E452="",$E452="نامعتبر",Sync!$X448=""),"",IF(AND(LEFT(UPPER(TRIM(Sync!$X448)),2)="SL",IFERROR(VLOOKUP(Sync!$W448,OpTbl,3,0),"")="فروش"),UPPER(TRIM(Sync!$X448)),""))</f>
        <v/>
      </c>
      <c r="H452" t="str">
        <f>IF($G452="","",IF(Sync!$W448="","",Sync!$W448))</f>
        <v/>
      </c>
      <c r="I452" t="str">
        <f>IF(OR($G452="",Sync!$Y448=""),"",Sync!$Y448)</f>
        <v/>
      </c>
      <c r="J452" t="str">
        <f>IF(OR($G452="",Sync!$Z448=""),"",Sync!$Z448)</f>
        <v/>
      </c>
      <c r="K452">
        <f>IF($G452="",0,IF(Sync!$AA448="",0,Sync!$AA448))</f>
        <v>0</v>
      </c>
      <c r="L452">
        <f>IF($G452="",0,IF(Sync!$AB448="",0,Sync!$AB448))</f>
        <v>0</v>
      </c>
      <c r="M452" t="str">
        <f t="shared" si="41"/>
        <v/>
      </c>
      <c r="N452">
        <f>IF($G452="",0,IF($H452="مرجوعی فروش",-1,1)*IF(Sync!$AC448="",0,Sync!$AC448))</f>
        <v>0</v>
      </c>
      <c r="O452" t="str">
        <f>IF(OR($G452="",Sync!$V448=""),"",Sync!$V448)</f>
        <v/>
      </c>
      <c r="P452" t="str">
        <f>IF(OR($G452="",Sync!$AD448=""),"",Sync!$AD448)</f>
        <v/>
      </c>
      <c r="Q452" t="str">
        <f>IF($G452="","",IF(Sync!$U448="","0000",IF(AND(ISNUMBER(Sync!$U448),Sync!$U448&gt;=0,Sync!$U448&lt;1),RIGHT("00"&amp;HOUR(Sync!$U448),2)&amp;RIGHT("00"&amp;MINUTE(Sync!$U448),2),IFERROR(RIGHT("00"&amp;VALUE(LEFT(Sync!$U448,FIND(":",Sync!$U448)-1)),2)&amp;RIGHT("00"&amp;VALUE(MID(Sync!$U448,FIND(":",Sync!$U448)+1,2)),2),"0000"))))</f>
        <v/>
      </c>
    </row>
    <row r="453" spans="1:17" x14ac:dyDescent="0.2">
      <c r="A453" t="str">
        <f>IF(Sync!$T449="","",Sync!$T449)</f>
        <v/>
      </c>
      <c r="B453" t="str">
        <f t="shared" si="36"/>
        <v/>
      </c>
      <c r="C453" t="str">
        <f t="shared" si="37"/>
        <v/>
      </c>
      <c r="D453" t="str">
        <f t="shared" si="38"/>
        <v/>
      </c>
      <c r="E453" t="str">
        <f t="shared" si="39"/>
        <v/>
      </c>
      <c r="F453" t="str">
        <f t="shared" si="40"/>
        <v/>
      </c>
      <c r="G453" t="str">
        <f>IF(OR($E453="",$E453="نامعتبر",Sync!$X449=""),"",IF(AND(LEFT(UPPER(TRIM(Sync!$X449)),2)="SL",IFERROR(VLOOKUP(Sync!$W449,OpTbl,3,0),"")="فروش"),UPPER(TRIM(Sync!$X449)),""))</f>
        <v/>
      </c>
      <c r="H453" t="str">
        <f>IF($G453="","",IF(Sync!$W449="","",Sync!$W449))</f>
        <v/>
      </c>
      <c r="I453" t="str">
        <f>IF(OR($G453="",Sync!$Y449=""),"",Sync!$Y449)</f>
        <v/>
      </c>
      <c r="J453" t="str">
        <f>IF(OR($G453="",Sync!$Z449=""),"",Sync!$Z449)</f>
        <v/>
      </c>
      <c r="K453">
        <f>IF($G453="",0,IF(Sync!$AA449="",0,Sync!$AA449))</f>
        <v>0</v>
      </c>
      <c r="L453">
        <f>IF($G453="",0,IF(Sync!$AB449="",0,Sync!$AB449))</f>
        <v>0</v>
      </c>
      <c r="M453" t="str">
        <f t="shared" si="41"/>
        <v/>
      </c>
      <c r="N453">
        <f>IF($G453="",0,IF($H453="مرجوعی فروش",-1,1)*IF(Sync!$AC449="",0,Sync!$AC449))</f>
        <v>0</v>
      </c>
      <c r="O453" t="str">
        <f>IF(OR($G453="",Sync!$V449=""),"",Sync!$V449)</f>
        <v/>
      </c>
      <c r="P453" t="str">
        <f>IF(OR($G453="",Sync!$AD449=""),"",Sync!$AD449)</f>
        <v/>
      </c>
      <c r="Q453" t="str">
        <f>IF($G453="","",IF(Sync!$U449="","0000",IF(AND(ISNUMBER(Sync!$U449),Sync!$U449&gt;=0,Sync!$U449&lt;1),RIGHT("00"&amp;HOUR(Sync!$U449),2)&amp;RIGHT("00"&amp;MINUTE(Sync!$U449),2),IFERROR(RIGHT("00"&amp;VALUE(LEFT(Sync!$U449,FIND(":",Sync!$U449)-1)),2)&amp;RIGHT("00"&amp;VALUE(MID(Sync!$U449,FIND(":",Sync!$U449)+1,2)),2),"0000"))))</f>
        <v/>
      </c>
    </row>
    <row r="454" spans="1:17" x14ac:dyDescent="0.2">
      <c r="A454" t="str">
        <f>IF(Sync!$T450="","",Sync!$T450)</f>
        <v/>
      </c>
      <c r="B454" t="str">
        <f t="shared" si="36"/>
        <v/>
      </c>
      <c r="C454" t="str">
        <f t="shared" si="37"/>
        <v/>
      </c>
      <c r="D454" t="str">
        <f t="shared" si="38"/>
        <v/>
      </c>
      <c r="E454" t="str">
        <f t="shared" si="39"/>
        <v/>
      </c>
      <c r="F454" t="str">
        <f t="shared" si="40"/>
        <v/>
      </c>
      <c r="G454" t="str">
        <f>IF(OR($E454="",$E454="نامعتبر",Sync!$X450=""),"",IF(AND(LEFT(UPPER(TRIM(Sync!$X450)),2)="SL",IFERROR(VLOOKUP(Sync!$W450,OpTbl,3,0),"")="فروش"),UPPER(TRIM(Sync!$X450)),""))</f>
        <v/>
      </c>
      <c r="H454" t="str">
        <f>IF($G454="","",IF(Sync!$W450="","",Sync!$W450))</f>
        <v/>
      </c>
      <c r="I454" t="str">
        <f>IF(OR($G454="",Sync!$Y450=""),"",Sync!$Y450)</f>
        <v/>
      </c>
      <c r="J454" t="str">
        <f>IF(OR($G454="",Sync!$Z450=""),"",Sync!$Z450)</f>
        <v/>
      </c>
      <c r="K454">
        <f>IF($G454="",0,IF(Sync!$AA450="",0,Sync!$AA450))</f>
        <v>0</v>
      </c>
      <c r="L454">
        <f>IF($G454="",0,IF(Sync!$AB450="",0,Sync!$AB450))</f>
        <v>0</v>
      </c>
      <c r="M454" t="str">
        <f t="shared" si="41"/>
        <v/>
      </c>
      <c r="N454">
        <f>IF($G454="",0,IF($H454="مرجوعی فروش",-1,1)*IF(Sync!$AC450="",0,Sync!$AC450))</f>
        <v>0</v>
      </c>
      <c r="O454" t="str">
        <f>IF(OR($G454="",Sync!$V450=""),"",Sync!$V450)</f>
        <v/>
      </c>
      <c r="P454" t="str">
        <f>IF(OR($G454="",Sync!$AD450=""),"",Sync!$AD450)</f>
        <v/>
      </c>
      <c r="Q454" t="str">
        <f>IF($G454="","",IF(Sync!$U450="","0000",IF(AND(ISNUMBER(Sync!$U450),Sync!$U450&gt;=0,Sync!$U450&lt;1),RIGHT("00"&amp;HOUR(Sync!$U450),2)&amp;RIGHT("00"&amp;MINUTE(Sync!$U450),2),IFERROR(RIGHT("00"&amp;VALUE(LEFT(Sync!$U450,FIND(":",Sync!$U450)-1)),2)&amp;RIGHT("00"&amp;VALUE(MID(Sync!$U450,FIND(":",Sync!$U450)+1,2)),2),"0000"))))</f>
        <v/>
      </c>
    </row>
    <row r="455" spans="1:17" x14ac:dyDescent="0.2">
      <c r="A455" t="str">
        <f>IF(Sync!$T451="","",Sync!$T451)</f>
        <v/>
      </c>
      <c r="B455" t="str">
        <f t="shared" si="36"/>
        <v/>
      </c>
      <c r="C455" t="str">
        <f t="shared" si="37"/>
        <v/>
      </c>
      <c r="D455" t="str">
        <f t="shared" si="38"/>
        <v/>
      </c>
      <c r="E455" t="str">
        <f t="shared" si="39"/>
        <v/>
      </c>
      <c r="F455" t="str">
        <f t="shared" si="40"/>
        <v/>
      </c>
      <c r="G455" t="str">
        <f>IF(OR($E455="",$E455="نامعتبر",Sync!$X451=""),"",IF(AND(LEFT(UPPER(TRIM(Sync!$X451)),2)="SL",IFERROR(VLOOKUP(Sync!$W451,OpTbl,3,0),"")="فروش"),UPPER(TRIM(Sync!$X451)),""))</f>
        <v/>
      </c>
      <c r="H455" t="str">
        <f>IF($G455="","",IF(Sync!$W451="","",Sync!$W451))</f>
        <v/>
      </c>
      <c r="I455" t="str">
        <f>IF(OR($G455="",Sync!$Y451=""),"",Sync!$Y451)</f>
        <v/>
      </c>
      <c r="J455" t="str">
        <f>IF(OR($G455="",Sync!$Z451=""),"",Sync!$Z451)</f>
        <v/>
      </c>
      <c r="K455">
        <f>IF($G455="",0,IF(Sync!$AA451="",0,Sync!$AA451))</f>
        <v>0</v>
      </c>
      <c r="L455">
        <f>IF($G455="",0,IF(Sync!$AB451="",0,Sync!$AB451))</f>
        <v>0</v>
      </c>
      <c r="M455" t="str">
        <f t="shared" si="41"/>
        <v/>
      </c>
      <c r="N455">
        <f>IF($G455="",0,IF($H455="مرجوعی فروش",-1,1)*IF(Sync!$AC451="",0,Sync!$AC451))</f>
        <v>0</v>
      </c>
      <c r="O455" t="str">
        <f>IF(OR($G455="",Sync!$V451=""),"",Sync!$V451)</f>
        <v/>
      </c>
      <c r="P455" t="str">
        <f>IF(OR($G455="",Sync!$AD451=""),"",Sync!$AD451)</f>
        <v/>
      </c>
      <c r="Q455" t="str">
        <f>IF($G455="","",IF(Sync!$U451="","0000",IF(AND(ISNUMBER(Sync!$U451),Sync!$U451&gt;=0,Sync!$U451&lt;1),RIGHT("00"&amp;HOUR(Sync!$U451),2)&amp;RIGHT("00"&amp;MINUTE(Sync!$U451),2),IFERROR(RIGHT("00"&amp;VALUE(LEFT(Sync!$U451,FIND(":",Sync!$U451)-1)),2)&amp;RIGHT("00"&amp;VALUE(MID(Sync!$U451,FIND(":",Sync!$U451)+1,2)),2),"0000"))))</f>
        <v/>
      </c>
    </row>
    <row r="456" spans="1:17" x14ac:dyDescent="0.2">
      <c r="A456" t="str">
        <f>IF(Sync!$T452="","",Sync!$T452)</f>
        <v/>
      </c>
      <c r="B456" t="str">
        <f t="shared" si="36"/>
        <v/>
      </c>
      <c r="C456" t="str">
        <f t="shared" si="37"/>
        <v/>
      </c>
      <c r="D456" t="str">
        <f t="shared" si="38"/>
        <v/>
      </c>
      <c r="E456" t="str">
        <f t="shared" si="39"/>
        <v/>
      </c>
      <c r="F456" t="str">
        <f t="shared" si="40"/>
        <v/>
      </c>
      <c r="G456" t="str">
        <f>IF(OR($E456="",$E456="نامعتبر",Sync!$X452=""),"",IF(AND(LEFT(UPPER(TRIM(Sync!$X452)),2)="SL",IFERROR(VLOOKUP(Sync!$W452,OpTbl,3,0),"")="فروش"),UPPER(TRIM(Sync!$X452)),""))</f>
        <v/>
      </c>
      <c r="H456" t="str">
        <f>IF($G456="","",IF(Sync!$W452="","",Sync!$W452))</f>
        <v/>
      </c>
      <c r="I456" t="str">
        <f>IF(OR($G456="",Sync!$Y452=""),"",Sync!$Y452)</f>
        <v/>
      </c>
      <c r="J456" t="str">
        <f>IF(OR($G456="",Sync!$Z452=""),"",Sync!$Z452)</f>
        <v/>
      </c>
      <c r="K456">
        <f>IF($G456="",0,IF(Sync!$AA452="",0,Sync!$AA452))</f>
        <v>0</v>
      </c>
      <c r="L456">
        <f>IF($G456="",0,IF(Sync!$AB452="",0,Sync!$AB452))</f>
        <v>0</v>
      </c>
      <c r="M456" t="str">
        <f t="shared" si="41"/>
        <v/>
      </c>
      <c r="N456">
        <f>IF($G456="",0,IF($H456="مرجوعی فروش",-1,1)*IF(Sync!$AC452="",0,Sync!$AC452))</f>
        <v>0</v>
      </c>
      <c r="O456" t="str">
        <f>IF(OR($G456="",Sync!$V452=""),"",Sync!$V452)</f>
        <v/>
      </c>
      <c r="P456" t="str">
        <f>IF(OR($G456="",Sync!$AD452=""),"",Sync!$AD452)</f>
        <v/>
      </c>
      <c r="Q456" t="str">
        <f>IF($G456="","",IF(Sync!$U452="","0000",IF(AND(ISNUMBER(Sync!$U452),Sync!$U452&gt;=0,Sync!$U452&lt;1),RIGHT("00"&amp;HOUR(Sync!$U452),2)&amp;RIGHT("00"&amp;MINUTE(Sync!$U452),2),IFERROR(RIGHT("00"&amp;VALUE(LEFT(Sync!$U452,FIND(":",Sync!$U452)-1)),2)&amp;RIGHT("00"&amp;VALUE(MID(Sync!$U452,FIND(":",Sync!$U452)+1,2)),2),"0000"))))</f>
        <v/>
      </c>
    </row>
    <row r="457" spans="1:17" x14ac:dyDescent="0.2">
      <c r="A457" t="str">
        <f>IF(Sync!$T453="","",Sync!$T453)</f>
        <v/>
      </c>
      <c r="B457" t="str">
        <f t="shared" si="36"/>
        <v/>
      </c>
      <c r="C457" t="str">
        <f t="shared" si="37"/>
        <v/>
      </c>
      <c r="D457" t="str">
        <f t="shared" si="38"/>
        <v/>
      </c>
      <c r="E457" t="str">
        <f t="shared" si="39"/>
        <v/>
      </c>
      <c r="F457" t="str">
        <f t="shared" si="40"/>
        <v/>
      </c>
      <c r="G457" t="str">
        <f>IF(OR($E457="",$E457="نامعتبر",Sync!$X453=""),"",IF(AND(LEFT(UPPER(TRIM(Sync!$X453)),2)="SL",IFERROR(VLOOKUP(Sync!$W453,OpTbl,3,0),"")="فروش"),UPPER(TRIM(Sync!$X453)),""))</f>
        <v/>
      </c>
      <c r="H457" t="str">
        <f>IF($G457="","",IF(Sync!$W453="","",Sync!$W453))</f>
        <v/>
      </c>
      <c r="I457" t="str">
        <f>IF(OR($G457="",Sync!$Y453=""),"",Sync!$Y453)</f>
        <v/>
      </c>
      <c r="J457" t="str">
        <f>IF(OR($G457="",Sync!$Z453=""),"",Sync!$Z453)</f>
        <v/>
      </c>
      <c r="K457">
        <f>IF($G457="",0,IF(Sync!$AA453="",0,Sync!$AA453))</f>
        <v>0</v>
      </c>
      <c r="L457">
        <f>IF($G457="",0,IF(Sync!$AB453="",0,Sync!$AB453))</f>
        <v>0</v>
      </c>
      <c r="M457" t="str">
        <f t="shared" si="41"/>
        <v/>
      </c>
      <c r="N457">
        <f>IF($G457="",0,IF($H457="مرجوعی فروش",-1,1)*IF(Sync!$AC453="",0,Sync!$AC453))</f>
        <v>0</v>
      </c>
      <c r="O457" t="str">
        <f>IF(OR($G457="",Sync!$V453=""),"",Sync!$V453)</f>
        <v/>
      </c>
      <c r="P457" t="str">
        <f>IF(OR($G457="",Sync!$AD453=""),"",Sync!$AD453)</f>
        <v/>
      </c>
      <c r="Q457" t="str">
        <f>IF($G457="","",IF(Sync!$U453="","0000",IF(AND(ISNUMBER(Sync!$U453),Sync!$U453&gt;=0,Sync!$U453&lt;1),RIGHT("00"&amp;HOUR(Sync!$U453),2)&amp;RIGHT("00"&amp;MINUTE(Sync!$U453),2),IFERROR(RIGHT("00"&amp;VALUE(LEFT(Sync!$U453,FIND(":",Sync!$U453)-1)),2)&amp;RIGHT("00"&amp;VALUE(MID(Sync!$U453,FIND(":",Sync!$U453)+1,2)),2),"0000"))))</f>
        <v/>
      </c>
    </row>
    <row r="458" spans="1:17" x14ac:dyDescent="0.2">
      <c r="A458" t="str">
        <f>IF(Sync!$T454="","",Sync!$T454)</f>
        <v/>
      </c>
      <c r="B458" t="str">
        <f t="shared" ref="B458:B521" si="42">IF($A458="","",IF(ISNUMBER($A458),IF(AND($A458&gt;=10000101,$A458&lt;=99991231),INT($A458/10000),""),IFERROR(VALUE(TRIM(LEFT($A458,FIND("/",$A458)-1))),"")))</f>
        <v/>
      </c>
      <c r="C458" t="str">
        <f t="shared" ref="C458:C521" si="43">IF(OR($A458="",$B458=""),"",IF(ISNUMBER($A458),INT(MOD($A458,10000)/100),IFERROR(VALUE(TRIM(LEFT(MID($A458,FIND("/",$A458)+1,20),FIND("/",MID($A458,FIND("/",$A458)+1,20))-1))),"")))</f>
        <v/>
      </c>
      <c r="D458" t="str">
        <f t="shared" ref="D458:D521" si="44">IF(OR($A458="",$B458=""),"",IF(ISNUMBER($A458),MOD($A458,100),IFERROR(VALUE(TRIM(MID(MID($A458,FIND("/",$A458)+1,20),FIND("/",MID($A458,FIND("/",$A458)+1,20))+1,20))),"")))</f>
        <v/>
      </c>
      <c r="E458" t="str">
        <f t="shared" ref="E458:E521" si="45">IF($A458="","",IF(OR($B458="",$C458="",$D458="",$B458&lt;1300,$B458&gt;1500,$C458&lt;1,$C458&gt;12,$D458&lt;1,$D458&gt;31),"نامعتبر",RIGHT("0000"&amp;$B458,4)&amp;"/"&amp;RIGHT("00"&amp;$C458,2)&amp;"/"&amp;RIGHT("00"&amp;$D458,2)))</f>
        <v/>
      </c>
      <c r="F458" t="str">
        <f t="shared" ref="F458:F521" si="46">IF(OR($E458="",$E458="نامعتبر"),"",LEFT($E458,4)&amp;"/"&amp;MID($E458,6,2))</f>
        <v/>
      </c>
      <c r="G458" t="str">
        <f>IF(OR($E458="",$E458="نامعتبر",Sync!$X454=""),"",IF(AND(LEFT(UPPER(TRIM(Sync!$X454)),2)="SL",IFERROR(VLOOKUP(Sync!$W454,OpTbl,3,0),"")="فروش"),UPPER(TRIM(Sync!$X454)),""))</f>
        <v/>
      </c>
      <c r="H458" t="str">
        <f>IF($G458="","",IF(Sync!$W454="","",Sync!$W454))</f>
        <v/>
      </c>
      <c r="I458" t="str">
        <f>IF(OR($G458="",Sync!$Y454=""),"",Sync!$Y454)</f>
        <v/>
      </c>
      <c r="J458" t="str">
        <f>IF(OR($G458="",Sync!$Z454=""),"",Sync!$Z454)</f>
        <v/>
      </c>
      <c r="K458">
        <f>IF($G458="",0,IF(Sync!$AA454="",0,Sync!$AA454))</f>
        <v>0</v>
      </c>
      <c r="L458">
        <f>IF($G458="",0,IF(Sync!$AB454="",0,Sync!$AB454))</f>
        <v>0</v>
      </c>
      <c r="M458" t="str">
        <f t="shared" ref="M458:M521" si="47">IF($G458="","",IF($H458="مرجوعی فروش",-1,1)*($K458-$L458*IFERROR(VLOOKUP("P01",ParamTbl,3,0),1.5)))</f>
        <v/>
      </c>
      <c r="N458">
        <f>IF($G458="",0,IF($H458="مرجوعی فروش",-1,1)*IF(Sync!$AC454="",0,Sync!$AC454))</f>
        <v>0</v>
      </c>
      <c r="O458" t="str">
        <f>IF(OR($G458="",Sync!$V454=""),"",Sync!$V454)</f>
        <v/>
      </c>
      <c r="P458" t="str">
        <f>IF(OR($G458="",Sync!$AD454=""),"",Sync!$AD454)</f>
        <v/>
      </c>
      <c r="Q458" t="str">
        <f>IF($G458="","",IF(Sync!$U454="","0000",IF(AND(ISNUMBER(Sync!$U454),Sync!$U454&gt;=0,Sync!$U454&lt;1),RIGHT("00"&amp;HOUR(Sync!$U454),2)&amp;RIGHT("00"&amp;MINUTE(Sync!$U454),2),IFERROR(RIGHT("00"&amp;VALUE(LEFT(Sync!$U454,FIND(":",Sync!$U454)-1)),2)&amp;RIGHT("00"&amp;VALUE(MID(Sync!$U454,FIND(":",Sync!$U454)+1,2)),2),"0000"))))</f>
        <v/>
      </c>
    </row>
    <row r="459" spans="1:17" x14ac:dyDescent="0.2">
      <c r="A459" t="str">
        <f>IF(Sync!$T455="","",Sync!$T455)</f>
        <v/>
      </c>
      <c r="B459" t="str">
        <f t="shared" si="42"/>
        <v/>
      </c>
      <c r="C459" t="str">
        <f t="shared" si="43"/>
        <v/>
      </c>
      <c r="D459" t="str">
        <f t="shared" si="44"/>
        <v/>
      </c>
      <c r="E459" t="str">
        <f t="shared" si="45"/>
        <v/>
      </c>
      <c r="F459" t="str">
        <f t="shared" si="46"/>
        <v/>
      </c>
      <c r="G459" t="str">
        <f>IF(OR($E459="",$E459="نامعتبر",Sync!$X455=""),"",IF(AND(LEFT(UPPER(TRIM(Sync!$X455)),2)="SL",IFERROR(VLOOKUP(Sync!$W455,OpTbl,3,0),"")="فروش"),UPPER(TRIM(Sync!$X455)),""))</f>
        <v/>
      </c>
      <c r="H459" t="str">
        <f>IF($G459="","",IF(Sync!$W455="","",Sync!$W455))</f>
        <v/>
      </c>
      <c r="I459" t="str">
        <f>IF(OR($G459="",Sync!$Y455=""),"",Sync!$Y455)</f>
        <v/>
      </c>
      <c r="J459" t="str">
        <f>IF(OR($G459="",Sync!$Z455=""),"",Sync!$Z455)</f>
        <v/>
      </c>
      <c r="K459">
        <f>IF($G459="",0,IF(Sync!$AA455="",0,Sync!$AA455))</f>
        <v>0</v>
      </c>
      <c r="L459">
        <f>IF($G459="",0,IF(Sync!$AB455="",0,Sync!$AB455))</f>
        <v>0</v>
      </c>
      <c r="M459" t="str">
        <f t="shared" si="47"/>
        <v/>
      </c>
      <c r="N459">
        <f>IF($G459="",0,IF($H459="مرجوعی فروش",-1,1)*IF(Sync!$AC455="",0,Sync!$AC455))</f>
        <v>0</v>
      </c>
      <c r="O459" t="str">
        <f>IF(OR($G459="",Sync!$V455=""),"",Sync!$V455)</f>
        <v/>
      </c>
      <c r="P459" t="str">
        <f>IF(OR($G459="",Sync!$AD455=""),"",Sync!$AD455)</f>
        <v/>
      </c>
      <c r="Q459" t="str">
        <f>IF($G459="","",IF(Sync!$U455="","0000",IF(AND(ISNUMBER(Sync!$U455),Sync!$U455&gt;=0,Sync!$U455&lt;1),RIGHT("00"&amp;HOUR(Sync!$U455),2)&amp;RIGHT("00"&amp;MINUTE(Sync!$U455),2),IFERROR(RIGHT("00"&amp;VALUE(LEFT(Sync!$U455,FIND(":",Sync!$U455)-1)),2)&amp;RIGHT("00"&amp;VALUE(MID(Sync!$U455,FIND(":",Sync!$U455)+1,2)),2),"0000"))))</f>
        <v/>
      </c>
    </row>
    <row r="460" spans="1:17" x14ac:dyDescent="0.2">
      <c r="A460" t="str">
        <f>IF(Sync!$T456="","",Sync!$T456)</f>
        <v/>
      </c>
      <c r="B460" t="str">
        <f t="shared" si="42"/>
        <v/>
      </c>
      <c r="C460" t="str">
        <f t="shared" si="43"/>
        <v/>
      </c>
      <c r="D460" t="str">
        <f t="shared" si="44"/>
        <v/>
      </c>
      <c r="E460" t="str">
        <f t="shared" si="45"/>
        <v/>
      </c>
      <c r="F460" t="str">
        <f t="shared" si="46"/>
        <v/>
      </c>
      <c r="G460" t="str">
        <f>IF(OR($E460="",$E460="نامعتبر",Sync!$X456=""),"",IF(AND(LEFT(UPPER(TRIM(Sync!$X456)),2)="SL",IFERROR(VLOOKUP(Sync!$W456,OpTbl,3,0),"")="فروش"),UPPER(TRIM(Sync!$X456)),""))</f>
        <v/>
      </c>
      <c r="H460" t="str">
        <f>IF($G460="","",IF(Sync!$W456="","",Sync!$W456))</f>
        <v/>
      </c>
      <c r="I460" t="str">
        <f>IF(OR($G460="",Sync!$Y456=""),"",Sync!$Y456)</f>
        <v/>
      </c>
      <c r="J460" t="str">
        <f>IF(OR($G460="",Sync!$Z456=""),"",Sync!$Z456)</f>
        <v/>
      </c>
      <c r="K460">
        <f>IF($G460="",0,IF(Sync!$AA456="",0,Sync!$AA456))</f>
        <v>0</v>
      </c>
      <c r="L460">
        <f>IF($G460="",0,IF(Sync!$AB456="",0,Sync!$AB456))</f>
        <v>0</v>
      </c>
      <c r="M460" t="str">
        <f t="shared" si="47"/>
        <v/>
      </c>
      <c r="N460">
        <f>IF($G460="",0,IF($H460="مرجوعی فروش",-1,1)*IF(Sync!$AC456="",0,Sync!$AC456))</f>
        <v>0</v>
      </c>
      <c r="O460" t="str">
        <f>IF(OR($G460="",Sync!$V456=""),"",Sync!$V456)</f>
        <v/>
      </c>
      <c r="P460" t="str">
        <f>IF(OR($G460="",Sync!$AD456=""),"",Sync!$AD456)</f>
        <v/>
      </c>
      <c r="Q460" t="str">
        <f>IF($G460="","",IF(Sync!$U456="","0000",IF(AND(ISNUMBER(Sync!$U456),Sync!$U456&gt;=0,Sync!$U456&lt;1),RIGHT("00"&amp;HOUR(Sync!$U456),2)&amp;RIGHT("00"&amp;MINUTE(Sync!$U456),2),IFERROR(RIGHT("00"&amp;VALUE(LEFT(Sync!$U456,FIND(":",Sync!$U456)-1)),2)&amp;RIGHT("00"&amp;VALUE(MID(Sync!$U456,FIND(":",Sync!$U456)+1,2)),2),"0000"))))</f>
        <v/>
      </c>
    </row>
    <row r="461" spans="1:17" x14ac:dyDescent="0.2">
      <c r="A461" t="str">
        <f>IF(Sync!$T457="","",Sync!$T457)</f>
        <v/>
      </c>
      <c r="B461" t="str">
        <f t="shared" si="42"/>
        <v/>
      </c>
      <c r="C461" t="str">
        <f t="shared" si="43"/>
        <v/>
      </c>
      <c r="D461" t="str">
        <f t="shared" si="44"/>
        <v/>
      </c>
      <c r="E461" t="str">
        <f t="shared" si="45"/>
        <v/>
      </c>
      <c r="F461" t="str">
        <f t="shared" si="46"/>
        <v/>
      </c>
      <c r="G461" t="str">
        <f>IF(OR($E461="",$E461="نامعتبر",Sync!$X457=""),"",IF(AND(LEFT(UPPER(TRIM(Sync!$X457)),2)="SL",IFERROR(VLOOKUP(Sync!$W457,OpTbl,3,0),"")="فروش"),UPPER(TRIM(Sync!$X457)),""))</f>
        <v/>
      </c>
      <c r="H461" t="str">
        <f>IF($G461="","",IF(Sync!$W457="","",Sync!$W457))</f>
        <v/>
      </c>
      <c r="I461" t="str">
        <f>IF(OR($G461="",Sync!$Y457=""),"",Sync!$Y457)</f>
        <v/>
      </c>
      <c r="J461" t="str">
        <f>IF(OR($G461="",Sync!$Z457=""),"",Sync!$Z457)</f>
        <v/>
      </c>
      <c r="K461">
        <f>IF($G461="",0,IF(Sync!$AA457="",0,Sync!$AA457))</f>
        <v>0</v>
      </c>
      <c r="L461">
        <f>IF($G461="",0,IF(Sync!$AB457="",0,Sync!$AB457))</f>
        <v>0</v>
      </c>
      <c r="M461" t="str">
        <f t="shared" si="47"/>
        <v/>
      </c>
      <c r="N461">
        <f>IF($G461="",0,IF($H461="مرجوعی فروش",-1,1)*IF(Sync!$AC457="",0,Sync!$AC457))</f>
        <v>0</v>
      </c>
      <c r="O461" t="str">
        <f>IF(OR($G461="",Sync!$V457=""),"",Sync!$V457)</f>
        <v/>
      </c>
      <c r="P461" t="str">
        <f>IF(OR($G461="",Sync!$AD457=""),"",Sync!$AD457)</f>
        <v/>
      </c>
      <c r="Q461" t="str">
        <f>IF($G461="","",IF(Sync!$U457="","0000",IF(AND(ISNUMBER(Sync!$U457),Sync!$U457&gt;=0,Sync!$U457&lt;1),RIGHT("00"&amp;HOUR(Sync!$U457),2)&amp;RIGHT("00"&amp;MINUTE(Sync!$U457),2),IFERROR(RIGHT("00"&amp;VALUE(LEFT(Sync!$U457,FIND(":",Sync!$U457)-1)),2)&amp;RIGHT("00"&amp;VALUE(MID(Sync!$U457,FIND(":",Sync!$U457)+1,2)),2),"0000"))))</f>
        <v/>
      </c>
    </row>
    <row r="462" spans="1:17" x14ac:dyDescent="0.2">
      <c r="A462" t="str">
        <f>IF(Sync!$T458="","",Sync!$T458)</f>
        <v/>
      </c>
      <c r="B462" t="str">
        <f t="shared" si="42"/>
        <v/>
      </c>
      <c r="C462" t="str">
        <f t="shared" si="43"/>
        <v/>
      </c>
      <c r="D462" t="str">
        <f t="shared" si="44"/>
        <v/>
      </c>
      <c r="E462" t="str">
        <f t="shared" si="45"/>
        <v/>
      </c>
      <c r="F462" t="str">
        <f t="shared" si="46"/>
        <v/>
      </c>
      <c r="G462" t="str">
        <f>IF(OR($E462="",$E462="نامعتبر",Sync!$X458=""),"",IF(AND(LEFT(UPPER(TRIM(Sync!$X458)),2)="SL",IFERROR(VLOOKUP(Sync!$W458,OpTbl,3,0),"")="فروش"),UPPER(TRIM(Sync!$X458)),""))</f>
        <v/>
      </c>
      <c r="H462" t="str">
        <f>IF($G462="","",IF(Sync!$W458="","",Sync!$W458))</f>
        <v/>
      </c>
      <c r="I462" t="str">
        <f>IF(OR($G462="",Sync!$Y458=""),"",Sync!$Y458)</f>
        <v/>
      </c>
      <c r="J462" t="str">
        <f>IF(OR($G462="",Sync!$Z458=""),"",Sync!$Z458)</f>
        <v/>
      </c>
      <c r="K462">
        <f>IF($G462="",0,IF(Sync!$AA458="",0,Sync!$AA458))</f>
        <v>0</v>
      </c>
      <c r="L462">
        <f>IF($G462="",0,IF(Sync!$AB458="",0,Sync!$AB458))</f>
        <v>0</v>
      </c>
      <c r="M462" t="str">
        <f t="shared" si="47"/>
        <v/>
      </c>
      <c r="N462">
        <f>IF($G462="",0,IF($H462="مرجوعی فروش",-1,1)*IF(Sync!$AC458="",0,Sync!$AC458))</f>
        <v>0</v>
      </c>
      <c r="O462" t="str">
        <f>IF(OR($G462="",Sync!$V458=""),"",Sync!$V458)</f>
        <v/>
      </c>
      <c r="P462" t="str">
        <f>IF(OR($G462="",Sync!$AD458=""),"",Sync!$AD458)</f>
        <v/>
      </c>
      <c r="Q462" t="str">
        <f>IF($G462="","",IF(Sync!$U458="","0000",IF(AND(ISNUMBER(Sync!$U458),Sync!$U458&gt;=0,Sync!$U458&lt;1),RIGHT("00"&amp;HOUR(Sync!$U458),2)&amp;RIGHT("00"&amp;MINUTE(Sync!$U458),2),IFERROR(RIGHT("00"&amp;VALUE(LEFT(Sync!$U458,FIND(":",Sync!$U458)-1)),2)&amp;RIGHT("00"&amp;VALUE(MID(Sync!$U458,FIND(":",Sync!$U458)+1,2)),2),"0000"))))</f>
        <v/>
      </c>
    </row>
    <row r="463" spans="1:17" x14ac:dyDescent="0.2">
      <c r="A463" t="str">
        <f>IF(Sync!$T459="","",Sync!$T459)</f>
        <v/>
      </c>
      <c r="B463" t="str">
        <f t="shared" si="42"/>
        <v/>
      </c>
      <c r="C463" t="str">
        <f t="shared" si="43"/>
        <v/>
      </c>
      <c r="D463" t="str">
        <f t="shared" si="44"/>
        <v/>
      </c>
      <c r="E463" t="str">
        <f t="shared" si="45"/>
        <v/>
      </c>
      <c r="F463" t="str">
        <f t="shared" si="46"/>
        <v/>
      </c>
      <c r="G463" t="str">
        <f>IF(OR($E463="",$E463="نامعتبر",Sync!$X459=""),"",IF(AND(LEFT(UPPER(TRIM(Sync!$X459)),2)="SL",IFERROR(VLOOKUP(Sync!$W459,OpTbl,3,0),"")="فروش"),UPPER(TRIM(Sync!$X459)),""))</f>
        <v/>
      </c>
      <c r="H463" t="str">
        <f>IF($G463="","",IF(Sync!$W459="","",Sync!$W459))</f>
        <v/>
      </c>
      <c r="I463" t="str">
        <f>IF(OR($G463="",Sync!$Y459=""),"",Sync!$Y459)</f>
        <v/>
      </c>
      <c r="J463" t="str">
        <f>IF(OR($G463="",Sync!$Z459=""),"",Sync!$Z459)</f>
        <v/>
      </c>
      <c r="K463">
        <f>IF($G463="",0,IF(Sync!$AA459="",0,Sync!$AA459))</f>
        <v>0</v>
      </c>
      <c r="L463">
        <f>IF($G463="",0,IF(Sync!$AB459="",0,Sync!$AB459))</f>
        <v>0</v>
      </c>
      <c r="M463" t="str">
        <f t="shared" si="47"/>
        <v/>
      </c>
      <c r="N463">
        <f>IF($G463="",0,IF($H463="مرجوعی فروش",-1,1)*IF(Sync!$AC459="",0,Sync!$AC459))</f>
        <v>0</v>
      </c>
      <c r="O463" t="str">
        <f>IF(OR($G463="",Sync!$V459=""),"",Sync!$V459)</f>
        <v/>
      </c>
      <c r="P463" t="str">
        <f>IF(OR($G463="",Sync!$AD459=""),"",Sync!$AD459)</f>
        <v/>
      </c>
      <c r="Q463" t="str">
        <f>IF($G463="","",IF(Sync!$U459="","0000",IF(AND(ISNUMBER(Sync!$U459),Sync!$U459&gt;=0,Sync!$U459&lt;1),RIGHT("00"&amp;HOUR(Sync!$U459),2)&amp;RIGHT("00"&amp;MINUTE(Sync!$U459),2),IFERROR(RIGHT("00"&amp;VALUE(LEFT(Sync!$U459,FIND(":",Sync!$U459)-1)),2)&amp;RIGHT("00"&amp;VALUE(MID(Sync!$U459,FIND(":",Sync!$U459)+1,2)),2),"0000"))))</f>
        <v/>
      </c>
    </row>
    <row r="464" spans="1:17" x14ac:dyDescent="0.2">
      <c r="A464" t="str">
        <f>IF(Sync!$T460="","",Sync!$T460)</f>
        <v/>
      </c>
      <c r="B464" t="str">
        <f t="shared" si="42"/>
        <v/>
      </c>
      <c r="C464" t="str">
        <f t="shared" si="43"/>
        <v/>
      </c>
      <c r="D464" t="str">
        <f t="shared" si="44"/>
        <v/>
      </c>
      <c r="E464" t="str">
        <f t="shared" si="45"/>
        <v/>
      </c>
      <c r="F464" t="str">
        <f t="shared" si="46"/>
        <v/>
      </c>
      <c r="G464" t="str">
        <f>IF(OR($E464="",$E464="نامعتبر",Sync!$X460=""),"",IF(AND(LEFT(UPPER(TRIM(Sync!$X460)),2)="SL",IFERROR(VLOOKUP(Sync!$W460,OpTbl,3,0),"")="فروش"),UPPER(TRIM(Sync!$X460)),""))</f>
        <v/>
      </c>
      <c r="H464" t="str">
        <f>IF($G464="","",IF(Sync!$W460="","",Sync!$W460))</f>
        <v/>
      </c>
      <c r="I464" t="str">
        <f>IF(OR($G464="",Sync!$Y460=""),"",Sync!$Y460)</f>
        <v/>
      </c>
      <c r="J464" t="str">
        <f>IF(OR($G464="",Sync!$Z460=""),"",Sync!$Z460)</f>
        <v/>
      </c>
      <c r="K464">
        <f>IF($G464="",0,IF(Sync!$AA460="",0,Sync!$AA460))</f>
        <v>0</v>
      </c>
      <c r="L464">
        <f>IF($G464="",0,IF(Sync!$AB460="",0,Sync!$AB460))</f>
        <v>0</v>
      </c>
      <c r="M464" t="str">
        <f t="shared" si="47"/>
        <v/>
      </c>
      <c r="N464">
        <f>IF($G464="",0,IF($H464="مرجوعی فروش",-1,1)*IF(Sync!$AC460="",0,Sync!$AC460))</f>
        <v>0</v>
      </c>
      <c r="O464" t="str">
        <f>IF(OR($G464="",Sync!$V460=""),"",Sync!$V460)</f>
        <v/>
      </c>
      <c r="P464" t="str">
        <f>IF(OR($G464="",Sync!$AD460=""),"",Sync!$AD460)</f>
        <v/>
      </c>
      <c r="Q464" t="str">
        <f>IF($G464="","",IF(Sync!$U460="","0000",IF(AND(ISNUMBER(Sync!$U460),Sync!$U460&gt;=0,Sync!$U460&lt;1),RIGHT("00"&amp;HOUR(Sync!$U460),2)&amp;RIGHT("00"&amp;MINUTE(Sync!$U460),2),IFERROR(RIGHT("00"&amp;VALUE(LEFT(Sync!$U460,FIND(":",Sync!$U460)-1)),2)&amp;RIGHT("00"&amp;VALUE(MID(Sync!$U460,FIND(":",Sync!$U460)+1,2)),2),"0000"))))</f>
        <v/>
      </c>
    </row>
    <row r="465" spans="1:17" x14ac:dyDescent="0.2">
      <c r="A465" t="str">
        <f>IF(Sync!$T461="","",Sync!$T461)</f>
        <v/>
      </c>
      <c r="B465" t="str">
        <f t="shared" si="42"/>
        <v/>
      </c>
      <c r="C465" t="str">
        <f t="shared" si="43"/>
        <v/>
      </c>
      <c r="D465" t="str">
        <f t="shared" si="44"/>
        <v/>
      </c>
      <c r="E465" t="str">
        <f t="shared" si="45"/>
        <v/>
      </c>
      <c r="F465" t="str">
        <f t="shared" si="46"/>
        <v/>
      </c>
      <c r="G465" t="str">
        <f>IF(OR($E465="",$E465="نامعتبر",Sync!$X461=""),"",IF(AND(LEFT(UPPER(TRIM(Sync!$X461)),2)="SL",IFERROR(VLOOKUP(Sync!$W461,OpTbl,3,0),"")="فروش"),UPPER(TRIM(Sync!$X461)),""))</f>
        <v/>
      </c>
      <c r="H465" t="str">
        <f>IF($G465="","",IF(Sync!$W461="","",Sync!$W461))</f>
        <v/>
      </c>
      <c r="I465" t="str">
        <f>IF(OR($G465="",Sync!$Y461=""),"",Sync!$Y461)</f>
        <v/>
      </c>
      <c r="J465" t="str">
        <f>IF(OR($G465="",Sync!$Z461=""),"",Sync!$Z461)</f>
        <v/>
      </c>
      <c r="K465">
        <f>IF($G465="",0,IF(Sync!$AA461="",0,Sync!$AA461))</f>
        <v>0</v>
      </c>
      <c r="L465">
        <f>IF($G465="",0,IF(Sync!$AB461="",0,Sync!$AB461))</f>
        <v>0</v>
      </c>
      <c r="M465" t="str">
        <f t="shared" si="47"/>
        <v/>
      </c>
      <c r="N465">
        <f>IF($G465="",0,IF($H465="مرجوعی فروش",-1,1)*IF(Sync!$AC461="",0,Sync!$AC461))</f>
        <v>0</v>
      </c>
      <c r="O465" t="str">
        <f>IF(OR($G465="",Sync!$V461=""),"",Sync!$V461)</f>
        <v/>
      </c>
      <c r="P465" t="str">
        <f>IF(OR($G465="",Sync!$AD461=""),"",Sync!$AD461)</f>
        <v/>
      </c>
      <c r="Q465" t="str">
        <f>IF($G465="","",IF(Sync!$U461="","0000",IF(AND(ISNUMBER(Sync!$U461),Sync!$U461&gt;=0,Sync!$U461&lt;1),RIGHT("00"&amp;HOUR(Sync!$U461),2)&amp;RIGHT("00"&amp;MINUTE(Sync!$U461),2),IFERROR(RIGHT("00"&amp;VALUE(LEFT(Sync!$U461,FIND(":",Sync!$U461)-1)),2)&amp;RIGHT("00"&amp;VALUE(MID(Sync!$U461,FIND(":",Sync!$U461)+1,2)),2),"0000"))))</f>
        <v/>
      </c>
    </row>
    <row r="466" spans="1:17" x14ac:dyDescent="0.2">
      <c r="A466" t="str">
        <f>IF(Sync!$T462="","",Sync!$T462)</f>
        <v/>
      </c>
      <c r="B466" t="str">
        <f t="shared" si="42"/>
        <v/>
      </c>
      <c r="C466" t="str">
        <f t="shared" si="43"/>
        <v/>
      </c>
      <c r="D466" t="str">
        <f t="shared" si="44"/>
        <v/>
      </c>
      <c r="E466" t="str">
        <f t="shared" si="45"/>
        <v/>
      </c>
      <c r="F466" t="str">
        <f t="shared" si="46"/>
        <v/>
      </c>
      <c r="G466" t="str">
        <f>IF(OR($E466="",$E466="نامعتبر",Sync!$X462=""),"",IF(AND(LEFT(UPPER(TRIM(Sync!$X462)),2)="SL",IFERROR(VLOOKUP(Sync!$W462,OpTbl,3,0),"")="فروش"),UPPER(TRIM(Sync!$X462)),""))</f>
        <v/>
      </c>
      <c r="H466" t="str">
        <f>IF($G466="","",IF(Sync!$W462="","",Sync!$W462))</f>
        <v/>
      </c>
      <c r="I466" t="str">
        <f>IF(OR($G466="",Sync!$Y462=""),"",Sync!$Y462)</f>
        <v/>
      </c>
      <c r="J466" t="str">
        <f>IF(OR($G466="",Sync!$Z462=""),"",Sync!$Z462)</f>
        <v/>
      </c>
      <c r="K466">
        <f>IF($G466="",0,IF(Sync!$AA462="",0,Sync!$AA462))</f>
        <v>0</v>
      </c>
      <c r="L466">
        <f>IF($G466="",0,IF(Sync!$AB462="",0,Sync!$AB462))</f>
        <v>0</v>
      </c>
      <c r="M466" t="str">
        <f t="shared" si="47"/>
        <v/>
      </c>
      <c r="N466">
        <f>IF($G466="",0,IF($H466="مرجوعی فروش",-1,1)*IF(Sync!$AC462="",0,Sync!$AC462))</f>
        <v>0</v>
      </c>
      <c r="O466" t="str">
        <f>IF(OR($G466="",Sync!$V462=""),"",Sync!$V462)</f>
        <v/>
      </c>
      <c r="P466" t="str">
        <f>IF(OR($G466="",Sync!$AD462=""),"",Sync!$AD462)</f>
        <v/>
      </c>
      <c r="Q466" t="str">
        <f>IF($G466="","",IF(Sync!$U462="","0000",IF(AND(ISNUMBER(Sync!$U462),Sync!$U462&gt;=0,Sync!$U462&lt;1),RIGHT("00"&amp;HOUR(Sync!$U462),2)&amp;RIGHT("00"&amp;MINUTE(Sync!$U462),2),IFERROR(RIGHT("00"&amp;VALUE(LEFT(Sync!$U462,FIND(":",Sync!$U462)-1)),2)&amp;RIGHT("00"&amp;VALUE(MID(Sync!$U462,FIND(":",Sync!$U462)+1,2)),2),"0000"))))</f>
        <v/>
      </c>
    </row>
    <row r="467" spans="1:17" x14ac:dyDescent="0.2">
      <c r="A467" t="str">
        <f>IF(Sync!$T463="","",Sync!$T463)</f>
        <v/>
      </c>
      <c r="B467" t="str">
        <f t="shared" si="42"/>
        <v/>
      </c>
      <c r="C467" t="str">
        <f t="shared" si="43"/>
        <v/>
      </c>
      <c r="D467" t="str">
        <f t="shared" si="44"/>
        <v/>
      </c>
      <c r="E467" t="str">
        <f t="shared" si="45"/>
        <v/>
      </c>
      <c r="F467" t="str">
        <f t="shared" si="46"/>
        <v/>
      </c>
      <c r="G467" t="str">
        <f>IF(OR($E467="",$E467="نامعتبر",Sync!$X463=""),"",IF(AND(LEFT(UPPER(TRIM(Sync!$X463)),2)="SL",IFERROR(VLOOKUP(Sync!$W463,OpTbl,3,0),"")="فروش"),UPPER(TRIM(Sync!$X463)),""))</f>
        <v/>
      </c>
      <c r="H467" t="str">
        <f>IF($G467="","",IF(Sync!$W463="","",Sync!$W463))</f>
        <v/>
      </c>
      <c r="I467" t="str">
        <f>IF(OR($G467="",Sync!$Y463=""),"",Sync!$Y463)</f>
        <v/>
      </c>
      <c r="J467" t="str">
        <f>IF(OR($G467="",Sync!$Z463=""),"",Sync!$Z463)</f>
        <v/>
      </c>
      <c r="K467">
        <f>IF($G467="",0,IF(Sync!$AA463="",0,Sync!$AA463))</f>
        <v>0</v>
      </c>
      <c r="L467">
        <f>IF($G467="",0,IF(Sync!$AB463="",0,Sync!$AB463))</f>
        <v>0</v>
      </c>
      <c r="M467" t="str">
        <f t="shared" si="47"/>
        <v/>
      </c>
      <c r="N467">
        <f>IF($G467="",0,IF($H467="مرجوعی فروش",-1,1)*IF(Sync!$AC463="",0,Sync!$AC463))</f>
        <v>0</v>
      </c>
      <c r="O467" t="str">
        <f>IF(OR($G467="",Sync!$V463=""),"",Sync!$V463)</f>
        <v/>
      </c>
      <c r="P467" t="str">
        <f>IF(OR($G467="",Sync!$AD463=""),"",Sync!$AD463)</f>
        <v/>
      </c>
      <c r="Q467" t="str">
        <f>IF($G467="","",IF(Sync!$U463="","0000",IF(AND(ISNUMBER(Sync!$U463),Sync!$U463&gt;=0,Sync!$U463&lt;1),RIGHT("00"&amp;HOUR(Sync!$U463),2)&amp;RIGHT("00"&amp;MINUTE(Sync!$U463),2),IFERROR(RIGHT("00"&amp;VALUE(LEFT(Sync!$U463,FIND(":",Sync!$U463)-1)),2)&amp;RIGHT("00"&amp;VALUE(MID(Sync!$U463,FIND(":",Sync!$U463)+1,2)),2),"0000"))))</f>
        <v/>
      </c>
    </row>
    <row r="468" spans="1:17" x14ac:dyDescent="0.2">
      <c r="A468" t="str">
        <f>IF(Sync!$T464="","",Sync!$T464)</f>
        <v/>
      </c>
      <c r="B468" t="str">
        <f t="shared" si="42"/>
        <v/>
      </c>
      <c r="C468" t="str">
        <f t="shared" si="43"/>
        <v/>
      </c>
      <c r="D468" t="str">
        <f t="shared" si="44"/>
        <v/>
      </c>
      <c r="E468" t="str">
        <f t="shared" si="45"/>
        <v/>
      </c>
      <c r="F468" t="str">
        <f t="shared" si="46"/>
        <v/>
      </c>
      <c r="G468" t="str">
        <f>IF(OR($E468="",$E468="نامعتبر",Sync!$X464=""),"",IF(AND(LEFT(UPPER(TRIM(Sync!$X464)),2)="SL",IFERROR(VLOOKUP(Sync!$W464,OpTbl,3,0),"")="فروش"),UPPER(TRIM(Sync!$X464)),""))</f>
        <v/>
      </c>
      <c r="H468" t="str">
        <f>IF($G468="","",IF(Sync!$W464="","",Sync!$W464))</f>
        <v/>
      </c>
      <c r="I468" t="str">
        <f>IF(OR($G468="",Sync!$Y464=""),"",Sync!$Y464)</f>
        <v/>
      </c>
      <c r="J468" t="str">
        <f>IF(OR($G468="",Sync!$Z464=""),"",Sync!$Z464)</f>
        <v/>
      </c>
      <c r="K468">
        <f>IF($G468="",0,IF(Sync!$AA464="",0,Sync!$AA464))</f>
        <v>0</v>
      </c>
      <c r="L468">
        <f>IF($G468="",0,IF(Sync!$AB464="",0,Sync!$AB464))</f>
        <v>0</v>
      </c>
      <c r="M468" t="str">
        <f t="shared" si="47"/>
        <v/>
      </c>
      <c r="N468">
        <f>IF($G468="",0,IF($H468="مرجوعی فروش",-1,1)*IF(Sync!$AC464="",0,Sync!$AC464))</f>
        <v>0</v>
      </c>
      <c r="O468" t="str">
        <f>IF(OR($G468="",Sync!$V464=""),"",Sync!$V464)</f>
        <v/>
      </c>
      <c r="P468" t="str">
        <f>IF(OR($G468="",Sync!$AD464=""),"",Sync!$AD464)</f>
        <v/>
      </c>
      <c r="Q468" t="str">
        <f>IF($G468="","",IF(Sync!$U464="","0000",IF(AND(ISNUMBER(Sync!$U464),Sync!$U464&gt;=0,Sync!$U464&lt;1),RIGHT("00"&amp;HOUR(Sync!$U464),2)&amp;RIGHT("00"&amp;MINUTE(Sync!$U464),2),IFERROR(RIGHT("00"&amp;VALUE(LEFT(Sync!$U464,FIND(":",Sync!$U464)-1)),2)&amp;RIGHT("00"&amp;VALUE(MID(Sync!$U464,FIND(":",Sync!$U464)+1,2)),2),"0000"))))</f>
        <v/>
      </c>
    </row>
    <row r="469" spans="1:17" x14ac:dyDescent="0.2">
      <c r="A469" t="str">
        <f>IF(Sync!$T465="","",Sync!$T465)</f>
        <v/>
      </c>
      <c r="B469" t="str">
        <f t="shared" si="42"/>
        <v/>
      </c>
      <c r="C469" t="str">
        <f t="shared" si="43"/>
        <v/>
      </c>
      <c r="D469" t="str">
        <f t="shared" si="44"/>
        <v/>
      </c>
      <c r="E469" t="str">
        <f t="shared" si="45"/>
        <v/>
      </c>
      <c r="F469" t="str">
        <f t="shared" si="46"/>
        <v/>
      </c>
      <c r="G469" t="str">
        <f>IF(OR($E469="",$E469="نامعتبر",Sync!$X465=""),"",IF(AND(LEFT(UPPER(TRIM(Sync!$X465)),2)="SL",IFERROR(VLOOKUP(Sync!$W465,OpTbl,3,0),"")="فروش"),UPPER(TRIM(Sync!$X465)),""))</f>
        <v/>
      </c>
      <c r="H469" t="str">
        <f>IF($G469="","",IF(Sync!$W465="","",Sync!$W465))</f>
        <v/>
      </c>
      <c r="I469" t="str">
        <f>IF(OR($G469="",Sync!$Y465=""),"",Sync!$Y465)</f>
        <v/>
      </c>
      <c r="J469" t="str">
        <f>IF(OR($G469="",Sync!$Z465=""),"",Sync!$Z465)</f>
        <v/>
      </c>
      <c r="K469">
        <f>IF($G469="",0,IF(Sync!$AA465="",0,Sync!$AA465))</f>
        <v>0</v>
      </c>
      <c r="L469">
        <f>IF($G469="",0,IF(Sync!$AB465="",0,Sync!$AB465))</f>
        <v>0</v>
      </c>
      <c r="M469" t="str">
        <f t="shared" si="47"/>
        <v/>
      </c>
      <c r="N469">
        <f>IF($G469="",0,IF($H469="مرجوعی فروش",-1,1)*IF(Sync!$AC465="",0,Sync!$AC465))</f>
        <v>0</v>
      </c>
      <c r="O469" t="str">
        <f>IF(OR($G469="",Sync!$V465=""),"",Sync!$V465)</f>
        <v/>
      </c>
      <c r="P469" t="str">
        <f>IF(OR($G469="",Sync!$AD465=""),"",Sync!$AD465)</f>
        <v/>
      </c>
      <c r="Q469" t="str">
        <f>IF($G469="","",IF(Sync!$U465="","0000",IF(AND(ISNUMBER(Sync!$U465),Sync!$U465&gt;=0,Sync!$U465&lt;1),RIGHT("00"&amp;HOUR(Sync!$U465),2)&amp;RIGHT("00"&amp;MINUTE(Sync!$U465),2),IFERROR(RIGHT("00"&amp;VALUE(LEFT(Sync!$U465,FIND(":",Sync!$U465)-1)),2)&amp;RIGHT("00"&amp;VALUE(MID(Sync!$U465,FIND(":",Sync!$U465)+1,2)),2),"0000"))))</f>
        <v/>
      </c>
    </row>
    <row r="470" spans="1:17" x14ac:dyDescent="0.2">
      <c r="A470" t="str">
        <f>IF(Sync!$T466="","",Sync!$T466)</f>
        <v/>
      </c>
      <c r="B470" t="str">
        <f t="shared" si="42"/>
        <v/>
      </c>
      <c r="C470" t="str">
        <f t="shared" si="43"/>
        <v/>
      </c>
      <c r="D470" t="str">
        <f t="shared" si="44"/>
        <v/>
      </c>
      <c r="E470" t="str">
        <f t="shared" si="45"/>
        <v/>
      </c>
      <c r="F470" t="str">
        <f t="shared" si="46"/>
        <v/>
      </c>
      <c r="G470" t="str">
        <f>IF(OR($E470="",$E470="نامعتبر",Sync!$X466=""),"",IF(AND(LEFT(UPPER(TRIM(Sync!$X466)),2)="SL",IFERROR(VLOOKUP(Sync!$W466,OpTbl,3,0),"")="فروش"),UPPER(TRIM(Sync!$X466)),""))</f>
        <v/>
      </c>
      <c r="H470" t="str">
        <f>IF($G470="","",IF(Sync!$W466="","",Sync!$W466))</f>
        <v/>
      </c>
      <c r="I470" t="str">
        <f>IF(OR($G470="",Sync!$Y466=""),"",Sync!$Y466)</f>
        <v/>
      </c>
      <c r="J470" t="str">
        <f>IF(OR($G470="",Sync!$Z466=""),"",Sync!$Z466)</f>
        <v/>
      </c>
      <c r="K470">
        <f>IF($G470="",0,IF(Sync!$AA466="",0,Sync!$AA466))</f>
        <v>0</v>
      </c>
      <c r="L470">
        <f>IF($G470="",0,IF(Sync!$AB466="",0,Sync!$AB466))</f>
        <v>0</v>
      </c>
      <c r="M470" t="str">
        <f t="shared" si="47"/>
        <v/>
      </c>
      <c r="N470">
        <f>IF($G470="",0,IF($H470="مرجوعی فروش",-1,1)*IF(Sync!$AC466="",0,Sync!$AC466))</f>
        <v>0</v>
      </c>
      <c r="O470" t="str">
        <f>IF(OR($G470="",Sync!$V466=""),"",Sync!$V466)</f>
        <v/>
      </c>
      <c r="P470" t="str">
        <f>IF(OR($G470="",Sync!$AD466=""),"",Sync!$AD466)</f>
        <v/>
      </c>
      <c r="Q470" t="str">
        <f>IF($G470="","",IF(Sync!$U466="","0000",IF(AND(ISNUMBER(Sync!$U466),Sync!$U466&gt;=0,Sync!$U466&lt;1),RIGHT("00"&amp;HOUR(Sync!$U466),2)&amp;RIGHT("00"&amp;MINUTE(Sync!$U466),2),IFERROR(RIGHT("00"&amp;VALUE(LEFT(Sync!$U466,FIND(":",Sync!$U466)-1)),2)&amp;RIGHT("00"&amp;VALUE(MID(Sync!$U466,FIND(":",Sync!$U466)+1,2)),2),"0000"))))</f>
        <v/>
      </c>
    </row>
    <row r="471" spans="1:17" x14ac:dyDescent="0.2">
      <c r="A471" t="str">
        <f>IF(Sync!$T467="","",Sync!$T467)</f>
        <v/>
      </c>
      <c r="B471" t="str">
        <f t="shared" si="42"/>
        <v/>
      </c>
      <c r="C471" t="str">
        <f t="shared" si="43"/>
        <v/>
      </c>
      <c r="D471" t="str">
        <f t="shared" si="44"/>
        <v/>
      </c>
      <c r="E471" t="str">
        <f t="shared" si="45"/>
        <v/>
      </c>
      <c r="F471" t="str">
        <f t="shared" si="46"/>
        <v/>
      </c>
      <c r="G471" t="str">
        <f>IF(OR($E471="",$E471="نامعتبر",Sync!$X467=""),"",IF(AND(LEFT(UPPER(TRIM(Sync!$X467)),2)="SL",IFERROR(VLOOKUP(Sync!$W467,OpTbl,3,0),"")="فروش"),UPPER(TRIM(Sync!$X467)),""))</f>
        <v/>
      </c>
      <c r="H471" t="str">
        <f>IF($G471="","",IF(Sync!$W467="","",Sync!$W467))</f>
        <v/>
      </c>
      <c r="I471" t="str">
        <f>IF(OR($G471="",Sync!$Y467=""),"",Sync!$Y467)</f>
        <v/>
      </c>
      <c r="J471" t="str">
        <f>IF(OR($G471="",Sync!$Z467=""),"",Sync!$Z467)</f>
        <v/>
      </c>
      <c r="K471">
        <f>IF($G471="",0,IF(Sync!$AA467="",0,Sync!$AA467))</f>
        <v>0</v>
      </c>
      <c r="L471">
        <f>IF($G471="",0,IF(Sync!$AB467="",0,Sync!$AB467))</f>
        <v>0</v>
      </c>
      <c r="M471" t="str">
        <f t="shared" si="47"/>
        <v/>
      </c>
      <c r="N471">
        <f>IF($G471="",0,IF($H471="مرجوعی فروش",-1,1)*IF(Sync!$AC467="",0,Sync!$AC467))</f>
        <v>0</v>
      </c>
      <c r="O471" t="str">
        <f>IF(OR($G471="",Sync!$V467=""),"",Sync!$V467)</f>
        <v/>
      </c>
      <c r="P471" t="str">
        <f>IF(OR($G471="",Sync!$AD467=""),"",Sync!$AD467)</f>
        <v/>
      </c>
      <c r="Q471" t="str">
        <f>IF($G471="","",IF(Sync!$U467="","0000",IF(AND(ISNUMBER(Sync!$U467),Sync!$U467&gt;=0,Sync!$U467&lt;1),RIGHT("00"&amp;HOUR(Sync!$U467),2)&amp;RIGHT("00"&amp;MINUTE(Sync!$U467),2),IFERROR(RIGHT("00"&amp;VALUE(LEFT(Sync!$U467,FIND(":",Sync!$U467)-1)),2)&amp;RIGHT("00"&amp;VALUE(MID(Sync!$U467,FIND(":",Sync!$U467)+1,2)),2),"0000"))))</f>
        <v/>
      </c>
    </row>
    <row r="472" spans="1:17" x14ac:dyDescent="0.2">
      <c r="A472" t="str">
        <f>IF(Sync!$T468="","",Sync!$T468)</f>
        <v/>
      </c>
      <c r="B472" t="str">
        <f t="shared" si="42"/>
        <v/>
      </c>
      <c r="C472" t="str">
        <f t="shared" si="43"/>
        <v/>
      </c>
      <c r="D472" t="str">
        <f t="shared" si="44"/>
        <v/>
      </c>
      <c r="E472" t="str">
        <f t="shared" si="45"/>
        <v/>
      </c>
      <c r="F472" t="str">
        <f t="shared" si="46"/>
        <v/>
      </c>
      <c r="G472" t="str">
        <f>IF(OR($E472="",$E472="نامعتبر",Sync!$X468=""),"",IF(AND(LEFT(UPPER(TRIM(Sync!$X468)),2)="SL",IFERROR(VLOOKUP(Sync!$W468,OpTbl,3,0),"")="فروش"),UPPER(TRIM(Sync!$X468)),""))</f>
        <v/>
      </c>
      <c r="H472" t="str">
        <f>IF($G472="","",IF(Sync!$W468="","",Sync!$W468))</f>
        <v/>
      </c>
      <c r="I472" t="str">
        <f>IF(OR($G472="",Sync!$Y468=""),"",Sync!$Y468)</f>
        <v/>
      </c>
      <c r="J472" t="str">
        <f>IF(OR($G472="",Sync!$Z468=""),"",Sync!$Z468)</f>
        <v/>
      </c>
      <c r="K472">
        <f>IF($G472="",0,IF(Sync!$AA468="",0,Sync!$AA468))</f>
        <v>0</v>
      </c>
      <c r="L472">
        <f>IF($G472="",0,IF(Sync!$AB468="",0,Sync!$AB468))</f>
        <v>0</v>
      </c>
      <c r="M472" t="str">
        <f t="shared" si="47"/>
        <v/>
      </c>
      <c r="N472">
        <f>IF($G472="",0,IF($H472="مرجوعی فروش",-1,1)*IF(Sync!$AC468="",0,Sync!$AC468))</f>
        <v>0</v>
      </c>
      <c r="O472" t="str">
        <f>IF(OR($G472="",Sync!$V468=""),"",Sync!$V468)</f>
        <v/>
      </c>
      <c r="P472" t="str">
        <f>IF(OR($G472="",Sync!$AD468=""),"",Sync!$AD468)</f>
        <v/>
      </c>
      <c r="Q472" t="str">
        <f>IF($G472="","",IF(Sync!$U468="","0000",IF(AND(ISNUMBER(Sync!$U468),Sync!$U468&gt;=0,Sync!$U468&lt;1),RIGHT("00"&amp;HOUR(Sync!$U468),2)&amp;RIGHT("00"&amp;MINUTE(Sync!$U468),2),IFERROR(RIGHT("00"&amp;VALUE(LEFT(Sync!$U468,FIND(":",Sync!$U468)-1)),2)&amp;RIGHT("00"&amp;VALUE(MID(Sync!$U468,FIND(":",Sync!$U468)+1,2)),2),"0000"))))</f>
        <v/>
      </c>
    </row>
    <row r="473" spans="1:17" x14ac:dyDescent="0.2">
      <c r="A473" t="str">
        <f>IF(Sync!$T469="","",Sync!$T469)</f>
        <v/>
      </c>
      <c r="B473" t="str">
        <f t="shared" si="42"/>
        <v/>
      </c>
      <c r="C473" t="str">
        <f t="shared" si="43"/>
        <v/>
      </c>
      <c r="D473" t="str">
        <f t="shared" si="44"/>
        <v/>
      </c>
      <c r="E473" t="str">
        <f t="shared" si="45"/>
        <v/>
      </c>
      <c r="F473" t="str">
        <f t="shared" si="46"/>
        <v/>
      </c>
      <c r="G473" t="str">
        <f>IF(OR($E473="",$E473="نامعتبر",Sync!$X469=""),"",IF(AND(LEFT(UPPER(TRIM(Sync!$X469)),2)="SL",IFERROR(VLOOKUP(Sync!$W469,OpTbl,3,0),"")="فروش"),UPPER(TRIM(Sync!$X469)),""))</f>
        <v/>
      </c>
      <c r="H473" t="str">
        <f>IF($G473="","",IF(Sync!$W469="","",Sync!$W469))</f>
        <v/>
      </c>
      <c r="I473" t="str">
        <f>IF(OR($G473="",Sync!$Y469=""),"",Sync!$Y469)</f>
        <v/>
      </c>
      <c r="J473" t="str">
        <f>IF(OR($G473="",Sync!$Z469=""),"",Sync!$Z469)</f>
        <v/>
      </c>
      <c r="K473">
        <f>IF($G473="",0,IF(Sync!$AA469="",0,Sync!$AA469))</f>
        <v>0</v>
      </c>
      <c r="L473">
        <f>IF($G473="",0,IF(Sync!$AB469="",0,Sync!$AB469))</f>
        <v>0</v>
      </c>
      <c r="M473" t="str">
        <f t="shared" si="47"/>
        <v/>
      </c>
      <c r="N473">
        <f>IF($G473="",0,IF($H473="مرجوعی فروش",-1,1)*IF(Sync!$AC469="",0,Sync!$AC469))</f>
        <v>0</v>
      </c>
      <c r="O473" t="str">
        <f>IF(OR($G473="",Sync!$V469=""),"",Sync!$V469)</f>
        <v/>
      </c>
      <c r="P473" t="str">
        <f>IF(OR($G473="",Sync!$AD469=""),"",Sync!$AD469)</f>
        <v/>
      </c>
      <c r="Q473" t="str">
        <f>IF($G473="","",IF(Sync!$U469="","0000",IF(AND(ISNUMBER(Sync!$U469),Sync!$U469&gt;=0,Sync!$U469&lt;1),RIGHT("00"&amp;HOUR(Sync!$U469),2)&amp;RIGHT("00"&amp;MINUTE(Sync!$U469),2),IFERROR(RIGHT("00"&amp;VALUE(LEFT(Sync!$U469,FIND(":",Sync!$U469)-1)),2)&amp;RIGHT("00"&amp;VALUE(MID(Sync!$U469,FIND(":",Sync!$U469)+1,2)),2),"0000"))))</f>
        <v/>
      </c>
    </row>
    <row r="474" spans="1:17" x14ac:dyDescent="0.2">
      <c r="A474" t="str">
        <f>IF(Sync!$T470="","",Sync!$T470)</f>
        <v/>
      </c>
      <c r="B474" t="str">
        <f t="shared" si="42"/>
        <v/>
      </c>
      <c r="C474" t="str">
        <f t="shared" si="43"/>
        <v/>
      </c>
      <c r="D474" t="str">
        <f t="shared" si="44"/>
        <v/>
      </c>
      <c r="E474" t="str">
        <f t="shared" si="45"/>
        <v/>
      </c>
      <c r="F474" t="str">
        <f t="shared" si="46"/>
        <v/>
      </c>
      <c r="G474" t="str">
        <f>IF(OR($E474="",$E474="نامعتبر",Sync!$X470=""),"",IF(AND(LEFT(UPPER(TRIM(Sync!$X470)),2)="SL",IFERROR(VLOOKUP(Sync!$W470,OpTbl,3,0),"")="فروش"),UPPER(TRIM(Sync!$X470)),""))</f>
        <v/>
      </c>
      <c r="H474" t="str">
        <f>IF($G474="","",IF(Sync!$W470="","",Sync!$W470))</f>
        <v/>
      </c>
      <c r="I474" t="str">
        <f>IF(OR($G474="",Sync!$Y470=""),"",Sync!$Y470)</f>
        <v/>
      </c>
      <c r="J474" t="str">
        <f>IF(OR($G474="",Sync!$Z470=""),"",Sync!$Z470)</f>
        <v/>
      </c>
      <c r="K474">
        <f>IF($G474="",0,IF(Sync!$AA470="",0,Sync!$AA470))</f>
        <v>0</v>
      </c>
      <c r="L474">
        <f>IF($G474="",0,IF(Sync!$AB470="",0,Sync!$AB470))</f>
        <v>0</v>
      </c>
      <c r="M474" t="str">
        <f t="shared" si="47"/>
        <v/>
      </c>
      <c r="N474">
        <f>IF($G474="",0,IF($H474="مرجوعی فروش",-1,1)*IF(Sync!$AC470="",0,Sync!$AC470))</f>
        <v>0</v>
      </c>
      <c r="O474" t="str">
        <f>IF(OR($G474="",Sync!$V470=""),"",Sync!$V470)</f>
        <v/>
      </c>
      <c r="P474" t="str">
        <f>IF(OR($G474="",Sync!$AD470=""),"",Sync!$AD470)</f>
        <v/>
      </c>
      <c r="Q474" t="str">
        <f>IF($G474="","",IF(Sync!$U470="","0000",IF(AND(ISNUMBER(Sync!$U470),Sync!$U470&gt;=0,Sync!$U470&lt;1),RIGHT("00"&amp;HOUR(Sync!$U470),2)&amp;RIGHT("00"&amp;MINUTE(Sync!$U470),2),IFERROR(RIGHT("00"&amp;VALUE(LEFT(Sync!$U470,FIND(":",Sync!$U470)-1)),2)&amp;RIGHT("00"&amp;VALUE(MID(Sync!$U470,FIND(":",Sync!$U470)+1,2)),2),"0000"))))</f>
        <v/>
      </c>
    </row>
    <row r="475" spans="1:17" x14ac:dyDescent="0.2">
      <c r="A475" t="str">
        <f>IF(Sync!$T471="","",Sync!$T471)</f>
        <v/>
      </c>
      <c r="B475" t="str">
        <f t="shared" si="42"/>
        <v/>
      </c>
      <c r="C475" t="str">
        <f t="shared" si="43"/>
        <v/>
      </c>
      <c r="D475" t="str">
        <f t="shared" si="44"/>
        <v/>
      </c>
      <c r="E475" t="str">
        <f t="shared" si="45"/>
        <v/>
      </c>
      <c r="F475" t="str">
        <f t="shared" si="46"/>
        <v/>
      </c>
      <c r="G475" t="str">
        <f>IF(OR($E475="",$E475="نامعتبر",Sync!$X471=""),"",IF(AND(LEFT(UPPER(TRIM(Sync!$X471)),2)="SL",IFERROR(VLOOKUP(Sync!$W471,OpTbl,3,0),"")="فروش"),UPPER(TRIM(Sync!$X471)),""))</f>
        <v/>
      </c>
      <c r="H475" t="str">
        <f>IF($G475="","",IF(Sync!$W471="","",Sync!$W471))</f>
        <v/>
      </c>
      <c r="I475" t="str">
        <f>IF(OR($G475="",Sync!$Y471=""),"",Sync!$Y471)</f>
        <v/>
      </c>
      <c r="J475" t="str">
        <f>IF(OR($G475="",Sync!$Z471=""),"",Sync!$Z471)</f>
        <v/>
      </c>
      <c r="K475">
        <f>IF($G475="",0,IF(Sync!$AA471="",0,Sync!$AA471))</f>
        <v>0</v>
      </c>
      <c r="L475">
        <f>IF($G475="",0,IF(Sync!$AB471="",0,Sync!$AB471))</f>
        <v>0</v>
      </c>
      <c r="M475" t="str">
        <f t="shared" si="47"/>
        <v/>
      </c>
      <c r="N475">
        <f>IF($G475="",0,IF($H475="مرجوعی فروش",-1,1)*IF(Sync!$AC471="",0,Sync!$AC471))</f>
        <v>0</v>
      </c>
      <c r="O475" t="str">
        <f>IF(OR($G475="",Sync!$V471=""),"",Sync!$V471)</f>
        <v/>
      </c>
      <c r="P475" t="str">
        <f>IF(OR($G475="",Sync!$AD471=""),"",Sync!$AD471)</f>
        <v/>
      </c>
      <c r="Q475" t="str">
        <f>IF($G475="","",IF(Sync!$U471="","0000",IF(AND(ISNUMBER(Sync!$U471),Sync!$U471&gt;=0,Sync!$U471&lt;1),RIGHT("00"&amp;HOUR(Sync!$U471),2)&amp;RIGHT("00"&amp;MINUTE(Sync!$U471),2),IFERROR(RIGHT("00"&amp;VALUE(LEFT(Sync!$U471,FIND(":",Sync!$U471)-1)),2)&amp;RIGHT("00"&amp;VALUE(MID(Sync!$U471,FIND(":",Sync!$U471)+1,2)),2),"0000"))))</f>
        <v/>
      </c>
    </row>
    <row r="476" spans="1:17" x14ac:dyDescent="0.2">
      <c r="A476" t="str">
        <f>IF(Sync!$T472="","",Sync!$T472)</f>
        <v/>
      </c>
      <c r="B476" t="str">
        <f t="shared" si="42"/>
        <v/>
      </c>
      <c r="C476" t="str">
        <f t="shared" si="43"/>
        <v/>
      </c>
      <c r="D476" t="str">
        <f t="shared" si="44"/>
        <v/>
      </c>
      <c r="E476" t="str">
        <f t="shared" si="45"/>
        <v/>
      </c>
      <c r="F476" t="str">
        <f t="shared" si="46"/>
        <v/>
      </c>
      <c r="G476" t="str">
        <f>IF(OR($E476="",$E476="نامعتبر",Sync!$X472=""),"",IF(AND(LEFT(UPPER(TRIM(Sync!$X472)),2)="SL",IFERROR(VLOOKUP(Sync!$W472,OpTbl,3,0),"")="فروش"),UPPER(TRIM(Sync!$X472)),""))</f>
        <v/>
      </c>
      <c r="H476" t="str">
        <f>IF($G476="","",IF(Sync!$W472="","",Sync!$W472))</f>
        <v/>
      </c>
      <c r="I476" t="str">
        <f>IF(OR($G476="",Sync!$Y472=""),"",Sync!$Y472)</f>
        <v/>
      </c>
      <c r="J476" t="str">
        <f>IF(OR($G476="",Sync!$Z472=""),"",Sync!$Z472)</f>
        <v/>
      </c>
      <c r="K476">
        <f>IF($G476="",0,IF(Sync!$AA472="",0,Sync!$AA472))</f>
        <v>0</v>
      </c>
      <c r="L476">
        <f>IF($G476="",0,IF(Sync!$AB472="",0,Sync!$AB472))</f>
        <v>0</v>
      </c>
      <c r="M476" t="str">
        <f t="shared" si="47"/>
        <v/>
      </c>
      <c r="N476">
        <f>IF($G476="",0,IF($H476="مرجوعی فروش",-1,1)*IF(Sync!$AC472="",0,Sync!$AC472))</f>
        <v>0</v>
      </c>
      <c r="O476" t="str">
        <f>IF(OR($G476="",Sync!$V472=""),"",Sync!$V472)</f>
        <v/>
      </c>
      <c r="P476" t="str">
        <f>IF(OR($G476="",Sync!$AD472=""),"",Sync!$AD472)</f>
        <v/>
      </c>
      <c r="Q476" t="str">
        <f>IF($G476="","",IF(Sync!$U472="","0000",IF(AND(ISNUMBER(Sync!$U472),Sync!$U472&gt;=0,Sync!$U472&lt;1),RIGHT("00"&amp;HOUR(Sync!$U472),2)&amp;RIGHT("00"&amp;MINUTE(Sync!$U472),2),IFERROR(RIGHT("00"&amp;VALUE(LEFT(Sync!$U472,FIND(":",Sync!$U472)-1)),2)&amp;RIGHT("00"&amp;VALUE(MID(Sync!$U472,FIND(":",Sync!$U472)+1,2)),2),"0000"))))</f>
        <v/>
      </c>
    </row>
    <row r="477" spans="1:17" x14ac:dyDescent="0.2">
      <c r="A477" t="str">
        <f>IF(Sync!$T473="","",Sync!$T473)</f>
        <v/>
      </c>
      <c r="B477" t="str">
        <f t="shared" si="42"/>
        <v/>
      </c>
      <c r="C477" t="str">
        <f t="shared" si="43"/>
        <v/>
      </c>
      <c r="D477" t="str">
        <f t="shared" si="44"/>
        <v/>
      </c>
      <c r="E477" t="str">
        <f t="shared" si="45"/>
        <v/>
      </c>
      <c r="F477" t="str">
        <f t="shared" si="46"/>
        <v/>
      </c>
      <c r="G477" t="str">
        <f>IF(OR($E477="",$E477="نامعتبر",Sync!$X473=""),"",IF(AND(LEFT(UPPER(TRIM(Sync!$X473)),2)="SL",IFERROR(VLOOKUP(Sync!$W473,OpTbl,3,0),"")="فروش"),UPPER(TRIM(Sync!$X473)),""))</f>
        <v/>
      </c>
      <c r="H477" t="str">
        <f>IF($G477="","",IF(Sync!$W473="","",Sync!$W473))</f>
        <v/>
      </c>
      <c r="I477" t="str">
        <f>IF(OR($G477="",Sync!$Y473=""),"",Sync!$Y473)</f>
        <v/>
      </c>
      <c r="J477" t="str">
        <f>IF(OR($G477="",Sync!$Z473=""),"",Sync!$Z473)</f>
        <v/>
      </c>
      <c r="K477">
        <f>IF($G477="",0,IF(Sync!$AA473="",0,Sync!$AA473))</f>
        <v>0</v>
      </c>
      <c r="L477">
        <f>IF($G477="",0,IF(Sync!$AB473="",0,Sync!$AB473))</f>
        <v>0</v>
      </c>
      <c r="M477" t="str">
        <f t="shared" si="47"/>
        <v/>
      </c>
      <c r="N477">
        <f>IF($G477="",0,IF($H477="مرجوعی فروش",-1,1)*IF(Sync!$AC473="",0,Sync!$AC473))</f>
        <v>0</v>
      </c>
      <c r="O477" t="str">
        <f>IF(OR($G477="",Sync!$V473=""),"",Sync!$V473)</f>
        <v/>
      </c>
      <c r="P477" t="str">
        <f>IF(OR($G477="",Sync!$AD473=""),"",Sync!$AD473)</f>
        <v/>
      </c>
      <c r="Q477" t="str">
        <f>IF($G477="","",IF(Sync!$U473="","0000",IF(AND(ISNUMBER(Sync!$U473),Sync!$U473&gt;=0,Sync!$U473&lt;1),RIGHT("00"&amp;HOUR(Sync!$U473),2)&amp;RIGHT("00"&amp;MINUTE(Sync!$U473),2),IFERROR(RIGHT("00"&amp;VALUE(LEFT(Sync!$U473,FIND(":",Sync!$U473)-1)),2)&amp;RIGHT("00"&amp;VALUE(MID(Sync!$U473,FIND(":",Sync!$U473)+1,2)),2),"0000"))))</f>
        <v/>
      </c>
    </row>
    <row r="478" spans="1:17" x14ac:dyDescent="0.2">
      <c r="A478" t="str">
        <f>IF(Sync!$T474="","",Sync!$T474)</f>
        <v/>
      </c>
      <c r="B478" t="str">
        <f t="shared" si="42"/>
        <v/>
      </c>
      <c r="C478" t="str">
        <f t="shared" si="43"/>
        <v/>
      </c>
      <c r="D478" t="str">
        <f t="shared" si="44"/>
        <v/>
      </c>
      <c r="E478" t="str">
        <f t="shared" si="45"/>
        <v/>
      </c>
      <c r="F478" t="str">
        <f t="shared" si="46"/>
        <v/>
      </c>
      <c r="G478" t="str">
        <f>IF(OR($E478="",$E478="نامعتبر",Sync!$X474=""),"",IF(AND(LEFT(UPPER(TRIM(Sync!$X474)),2)="SL",IFERROR(VLOOKUP(Sync!$W474,OpTbl,3,0),"")="فروش"),UPPER(TRIM(Sync!$X474)),""))</f>
        <v/>
      </c>
      <c r="H478" t="str">
        <f>IF($G478="","",IF(Sync!$W474="","",Sync!$W474))</f>
        <v/>
      </c>
      <c r="I478" t="str">
        <f>IF(OR($G478="",Sync!$Y474=""),"",Sync!$Y474)</f>
        <v/>
      </c>
      <c r="J478" t="str">
        <f>IF(OR($G478="",Sync!$Z474=""),"",Sync!$Z474)</f>
        <v/>
      </c>
      <c r="K478">
        <f>IF($G478="",0,IF(Sync!$AA474="",0,Sync!$AA474))</f>
        <v>0</v>
      </c>
      <c r="L478">
        <f>IF($G478="",0,IF(Sync!$AB474="",0,Sync!$AB474))</f>
        <v>0</v>
      </c>
      <c r="M478" t="str">
        <f t="shared" si="47"/>
        <v/>
      </c>
      <c r="N478">
        <f>IF($G478="",0,IF($H478="مرجوعی فروش",-1,1)*IF(Sync!$AC474="",0,Sync!$AC474))</f>
        <v>0</v>
      </c>
      <c r="O478" t="str">
        <f>IF(OR($G478="",Sync!$V474=""),"",Sync!$V474)</f>
        <v/>
      </c>
      <c r="P478" t="str">
        <f>IF(OR($G478="",Sync!$AD474=""),"",Sync!$AD474)</f>
        <v/>
      </c>
      <c r="Q478" t="str">
        <f>IF($G478="","",IF(Sync!$U474="","0000",IF(AND(ISNUMBER(Sync!$U474),Sync!$U474&gt;=0,Sync!$U474&lt;1),RIGHT("00"&amp;HOUR(Sync!$U474),2)&amp;RIGHT("00"&amp;MINUTE(Sync!$U474),2),IFERROR(RIGHT("00"&amp;VALUE(LEFT(Sync!$U474,FIND(":",Sync!$U474)-1)),2)&amp;RIGHT("00"&amp;VALUE(MID(Sync!$U474,FIND(":",Sync!$U474)+1,2)),2),"0000"))))</f>
        <v/>
      </c>
    </row>
    <row r="479" spans="1:17" x14ac:dyDescent="0.2">
      <c r="A479" t="str">
        <f>IF(Sync!$T475="","",Sync!$T475)</f>
        <v/>
      </c>
      <c r="B479" t="str">
        <f t="shared" si="42"/>
        <v/>
      </c>
      <c r="C479" t="str">
        <f t="shared" si="43"/>
        <v/>
      </c>
      <c r="D479" t="str">
        <f t="shared" si="44"/>
        <v/>
      </c>
      <c r="E479" t="str">
        <f t="shared" si="45"/>
        <v/>
      </c>
      <c r="F479" t="str">
        <f t="shared" si="46"/>
        <v/>
      </c>
      <c r="G479" t="str">
        <f>IF(OR($E479="",$E479="نامعتبر",Sync!$X475=""),"",IF(AND(LEFT(UPPER(TRIM(Sync!$X475)),2)="SL",IFERROR(VLOOKUP(Sync!$W475,OpTbl,3,0),"")="فروش"),UPPER(TRIM(Sync!$X475)),""))</f>
        <v/>
      </c>
      <c r="H479" t="str">
        <f>IF($G479="","",IF(Sync!$W475="","",Sync!$W475))</f>
        <v/>
      </c>
      <c r="I479" t="str">
        <f>IF(OR($G479="",Sync!$Y475=""),"",Sync!$Y475)</f>
        <v/>
      </c>
      <c r="J479" t="str">
        <f>IF(OR($G479="",Sync!$Z475=""),"",Sync!$Z475)</f>
        <v/>
      </c>
      <c r="K479">
        <f>IF($G479="",0,IF(Sync!$AA475="",0,Sync!$AA475))</f>
        <v>0</v>
      </c>
      <c r="L479">
        <f>IF($G479="",0,IF(Sync!$AB475="",0,Sync!$AB475))</f>
        <v>0</v>
      </c>
      <c r="M479" t="str">
        <f t="shared" si="47"/>
        <v/>
      </c>
      <c r="N479">
        <f>IF($G479="",0,IF($H479="مرجوعی فروش",-1,1)*IF(Sync!$AC475="",0,Sync!$AC475))</f>
        <v>0</v>
      </c>
      <c r="O479" t="str">
        <f>IF(OR($G479="",Sync!$V475=""),"",Sync!$V475)</f>
        <v/>
      </c>
      <c r="P479" t="str">
        <f>IF(OR($G479="",Sync!$AD475=""),"",Sync!$AD475)</f>
        <v/>
      </c>
      <c r="Q479" t="str">
        <f>IF($G479="","",IF(Sync!$U475="","0000",IF(AND(ISNUMBER(Sync!$U475),Sync!$U475&gt;=0,Sync!$U475&lt;1),RIGHT("00"&amp;HOUR(Sync!$U475),2)&amp;RIGHT("00"&amp;MINUTE(Sync!$U475),2),IFERROR(RIGHT("00"&amp;VALUE(LEFT(Sync!$U475,FIND(":",Sync!$U475)-1)),2)&amp;RIGHT("00"&amp;VALUE(MID(Sync!$U475,FIND(":",Sync!$U475)+1,2)),2),"0000"))))</f>
        <v/>
      </c>
    </row>
    <row r="480" spans="1:17" x14ac:dyDescent="0.2">
      <c r="A480" t="str">
        <f>IF(Sync!$T476="","",Sync!$T476)</f>
        <v/>
      </c>
      <c r="B480" t="str">
        <f t="shared" si="42"/>
        <v/>
      </c>
      <c r="C480" t="str">
        <f t="shared" si="43"/>
        <v/>
      </c>
      <c r="D480" t="str">
        <f t="shared" si="44"/>
        <v/>
      </c>
      <c r="E480" t="str">
        <f t="shared" si="45"/>
        <v/>
      </c>
      <c r="F480" t="str">
        <f t="shared" si="46"/>
        <v/>
      </c>
      <c r="G480" t="str">
        <f>IF(OR($E480="",$E480="نامعتبر",Sync!$X476=""),"",IF(AND(LEFT(UPPER(TRIM(Sync!$X476)),2)="SL",IFERROR(VLOOKUP(Sync!$W476,OpTbl,3,0),"")="فروش"),UPPER(TRIM(Sync!$X476)),""))</f>
        <v/>
      </c>
      <c r="H480" t="str">
        <f>IF($G480="","",IF(Sync!$W476="","",Sync!$W476))</f>
        <v/>
      </c>
      <c r="I480" t="str">
        <f>IF(OR($G480="",Sync!$Y476=""),"",Sync!$Y476)</f>
        <v/>
      </c>
      <c r="J480" t="str">
        <f>IF(OR($G480="",Sync!$Z476=""),"",Sync!$Z476)</f>
        <v/>
      </c>
      <c r="K480">
        <f>IF($G480="",0,IF(Sync!$AA476="",0,Sync!$AA476))</f>
        <v>0</v>
      </c>
      <c r="L480">
        <f>IF($G480="",0,IF(Sync!$AB476="",0,Sync!$AB476))</f>
        <v>0</v>
      </c>
      <c r="M480" t="str">
        <f t="shared" si="47"/>
        <v/>
      </c>
      <c r="N480">
        <f>IF($G480="",0,IF($H480="مرجوعی فروش",-1,1)*IF(Sync!$AC476="",0,Sync!$AC476))</f>
        <v>0</v>
      </c>
      <c r="O480" t="str">
        <f>IF(OR($G480="",Sync!$V476=""),"",Sync!$V476)</f>
        <v/>
      </c>
      <c r="P480" t="str">
        <f>IF(OR($G480="",Sync!$AD476=""),"",Sync!$AD476)</f>
        <v/>
      </c>
      <c r="Q480" t="str">
        <f>IF($G480="","",IF(Sync!$U476="","0000",IF(AND(ISNUMBER(Sync!$U476),Sync!$U476&gt;=0,Sync!$U476&lt;1),RIGHT("00"&amp;HOUR(Sync!$U476),2)&amp;RIGHT("00"&amp;MINUTE(Sync!$U476),2),IFERROR(RIGHT("00"&amp;VALUE(LEFT(Sync!$U476,FIND(":",Sync!$U476)-1)),2)&amp;RIGHT("00"&amp;VALUE(MID(Sync!$U476,FIND(":",Sync!$U476)+1,2)),2),"0000"))))</f>
        <v/>
      </c>
    </row>
    <row r="481" spans="1:17" x14ac:dyDescent="0.2">
      <c r="A481" t="str">
        <f>IF(Sync!$T477="","",Sync!$T477)</f>
        <v/>
      </c>
      <c r="B481" t="str">
        <f t="shared" si="42"/>
        <v/>
      </c>
      <c r="C481" t="str">
        <f t="shared" si="43"/>
        <v/>
      </c>
      <c r="D481" t="str">
        <f t="shared" si="44"/>
        <v/>
      </c>
      <c r="E481" t="str">
        <f t="shared" si="45"/>
        <v/>
      </c>
      <c r="F481" t="str">
        <f t="shared" si="46"/>
        <v/>
      </c>
      <c r="G481" t="str">
        <f>IF(OR($E481="",$E481="نامعتبر",Sync!$X477=""),"",IF(AND(LEFT(UPPER(TRIM(Sync!$X477)),2)="SL",IFERROR(VLOOKUP(Sync!$W477,OpTbl,3,0),"")="فروش"),UPPER(TRIM(Sync!$X477)),""))</f>
        <v/>
      </c>
      <c r="H481" t="str">
        <f>IF($G481="","",IF(Sync!$W477="","",Sync!$W477))</f>
        <v/>
      </c>
      <c r="I481" t="str">
        <f>IF(OR($G481="",Sync!$Y477=""),"",Sync!$Y477)</f>
        <v/>
      </c>
      <c r="J481" t="str">
        <f>IF(OR($G481="",Sync!$Z477=""),"",Sync!$Z477)</f>
        <v/>
      </c>
      <c r="K481">
        <f>IF($G481="",0,IF(Sync!$AA477="",0,Sync!$AA477))</f>
        <v>0</v>
      </c>
      <c r="L481">
        <f>IF($G481="",0,IF(Sync!$AB477="",0,Sync!$AB477))</f>
        <v>0</v>
      </c>
      <c r="M481" t="str">
        <f t="shared" si="47"/>
        <v/>
      </c>
      <c r="N481">
        <f>IF($G481="",0,IF($H481="مرجوعی فروش",-1,1)*IF(Sync!$AC477="",0,Sync!$AC477))</f>
        <v>0</v>
      </c>
      <c r="O481" t="str">
        <f>IF(OR($G481="",Sync!$V477=""),"",Sync!$V477)</f>
        <v/>
      </c>
      <c r="P481" t="str">
        <f>IF(OR($G481="",Sync!$AD477=""),"",Sync!$AD477)</f>
        <v/>
      </c>
      <c r="Q481" t="str">
        <f>IF($G481="","",IF(Sync!$U477="","0000",IF(AND(ISNUMBER(Sync!$U477),Sync!$U477&gt;=0,Sync!$U477&lt;1),RIGHT("00"&amp;HOUR(Sync!$U477),2)&amp;RIGHT("00"&amp;MINUTE(Sync!$U477),2),IFERROR(RIGHT("00"&amp;VALUE(LEFT(Sync!$U477,FIND(":",Sync!$U477)-1)),2)&amp;RIGHT("00"&amp;VALUE(MID(Sync!$U477,FIND(":",Sync!$U477)+1,2)),2),"0000"))))</f>
        <v/>
      </c>
    </row>
    <row r="482" spans="1:17" x14ac:dyDescent="0.2">
      <c r="A482" t="str">
        <f>IF(Sync!$T478="","",Sync!$T478)</f>
        <v/>
      </c>
      <c r="B482" t="str">
        <f t="shared" si="42"/>
        <v/>
      </c>
      <c r="C482" t="str">
        <f t="shared" si="43"/>
        <v/>
      </c>
      <c r="D482" t="str">
        <f t="shared" si="44"/>
        <v/>
      </c>
      <c r="E482" t="str">
        <f t="shared" si="45"/>
        <v/>
      </c>
      <c r="F482" t="str">
        <f t="shared" si="46"/>
        <v/>
      </c>
      <c r="G482" t="str">
        <f>IF(OR($E482="",$E482="نامعتبر",Sync!$X478=""),"",IF(AND(LEFT(UPPER(TRIM(Sync!$X478)),2)="SL",IFERROR(VLOOKUP(Sync!$W478,OpTbl,3,0),"")="فروش"),UPPER(TRIM(Sync!$X478)),""))</f>
        <v/>
      </c>
      <c r="H482" t="str">
        <f>IF($G482="","",IF(Sync!$W478="","",Sync!$W478))</f>
        <v/>
      </c>
      <c r="I482" t="str">
        <f>IF(OR($G482="",Sync!$Y478=""),"",Sync!$Y478)</f>
        <v/>
      </c>
      <c r="J482" t="str">
        <f>IF(OR($G482="",Sync!$Z478=""),"",Sync!$Z478)</f>
        <v/>
      </c>
      <c r="K482">
        <f>IF($G482="",0,IF(Sync!$AA478="",0,Sync!$AA478))</f>
        <v>0</v>
      </c>
      <c r="L482">
        <f>IF($G482="",0,IF(Sync!$AB478="",0,Sync!$AB478))</f>
        <v>0</v>
      </c>
      <c r="M482" t="str">
        <f t="shared" si="47"/>
        <v/>
      </c>
      <c r="N482">
        <f>IF($G482="",0,IF($H482="مرجوعی فروش",-1,1)*IF(Sync!$AC478="",0,Sync!$AC478))</f>
        <v>0</v>
      </c>
      <c r="O482" t="str">
        <f>IF(OR($G482="",Sync!$V478=""),"",Sync!$V478)</f>
        <v/>
      </c>
      <c r="P482" t="str">
        <f>IF(OR($G482="",Sync!$AD478=""),"",Sync!$AD478)</f>
        <v/>
      </c>
      <c r="Q482" t="str">
        <f>IF($G482="","",IF(Sync!$U478="","0000",IF(AND(ISNUMBER(Sync!$U478),Sync!$U478&gt;=0,Sync!$U478&lt;1),RIGHT("00"&amp;HOUR(Sync!$U478),2)&amp;RIGHT("00"&amp;MINUTE(Sync!$U478),2),IFERROR(RIGHT("00"&amp;VALUE(LEFT(Sync!$U478,FIND(":",Sync!$U478)-1)),2)&amp;RIGHT("00"&amp;VALUE(MID(Sync!$U478,FIND(":",Sync!$U478)+1,2)),2),"0000"))))</f>
        <v/>
      </c>
    </row>
    <row r="483" spans="1:17" x14ac:dyDescent="0.2">
      <c r="A483" t="str">
        <f>IF(Sync!$T479="","",Sync!$T479)</f>
        <v/>
      </c>
      <c r="B483" t="str">
        <f t="shared" si="42"/>
        <v/>
      </c>
      <c r="C483" t="str">
        <f t="shared" si="43"/>
        <v/>
      </c>
      <c r="D483" t="str">
        <f t="shared" si="44"/>
        <v/>
      </c>
      <c r="E483" t="str">
        <f t="shared" si="45"/>
        <v/>
      </c>
      <c r="F483" t="str">
        <f t="shared" si="46"/>
        <v/>
      </c>
      <c r="G483" t="str">
        <f>IF(OR($E483="",$E483="نامعتبر",Sync!$X479=""),"",IF(AND(LEFT(UPPER(TRIM(Sync!$X479)),2)="SL",IFERROR(VLOOKUP(Sync!$W479,OpTbl,3,0),"")="فروش"),UPPER(TRIM(Sync!$X479)),""))</f>
        <v/>
      </c>
      <c r="H483" t="str">
        <f>IF($G483="","",IF(Sync!$W479="","",Sync!$W479))</f>
        <v/>
      </c>
      <c r="I483" t="str">
        <f>IF(OR($G483="",Sync!$Y479=""),"",Sync!$Y479)</f>
        <v/>
      </c>
      <c r="J483" t="str">
        <f>IF(OR($G483="",Sync!$Z479=""),"",Sync!$Z479)</f>
        <v/>
      </c>
      <c r="K483">
        <f>IF($G483="",0,IF(Sync!$AA479="",0,Sync!$AA479))</f>
        <v>0</v>
      </c>
      <c r="L483">
        <f>IF($G483="",0,IF(Sync!$AB479="",0,Sync!$AB479))</f>
        <v>0</v>
      </c>
      <c r="M483" t="str">
        <f t="shared" si="47"/>
        <v/>
      </c>
      <c r="N483">
        <f>IF($G483="",0,IF($H483="مرجوعی فروش",-1,1)*IF(Sync!$AC479="",0,Sync!$AC479))</f>
        <v>0</v>
      </c>
      <c r="O483" t="str">
        <f>IF(OR($G483="",Sync!$V479=""),"",Sync!$V479)</f>
        <v/>
      </c>
      <c r="P483" t="str">
        <f>IF(OR($G483="",Sync!$AD479=""),"",Sync!$AD479)</f>
        <v/>
      </c>
      <c r="Q483" t="str">
        <f>IF($G483="","",IF(Sync!$U479="","0000",IF(AND(ISNUMBER(Sync!$U479),Sync!$U479&gt;=0,Sync!$U479&lt;1),RIGHT("00"&amp;HOUR(Sync!$U479),2)&amp;RIGHT("00"&amp;MINUTE(Sync!$U479),2),IFERROR(RIGHT("00"&amp;VALUE(LEFT(Sync!$U479,FIND(":",Sync!$U479)-1)),2)&amp;RIGHT("00"&amp;VALUE(MID(Sync!$U479,FIND(":",Sync!$U479)+1,2)),2),"0000"))))</f>
        <v/>
      </c>
    </row>
    <row r="484" spans="1:17" x14ac:dyDescent="0.2">
      <c r="A484" t="str">
        <f>IF(Sync!$T480="","",Sync!$T480)</f>
        <v/>
      </c>
      <c r="B484" t="str">
        <f t="shared" si="42"/>
        <v/>
      </c>
      <c r="C484" t="str">
        <f t="shared" si="43"/>
        <v/>
      </c>
      <c r="D484" t="str">
        <f t="shared" si="44"/>
        <v/>
      </c>
      <c r="E484" t="str">
        <f t="shared" si="45"/>
        <v/>
      </c>
      <c r="F484" t="str">
        <f t="shared" si="46"/>
        <v/>
      </c>
      <c r="G484" t="str">
        <f>IF(OR($E484="",$E484="نامعتبر",Sync!$X480=""),"",IF(AND(LEFT(UPPER(TRIM(Sync!$X480)),2)="SL",IFERROR(VLOOKUP(Sync!$W480,OpTbl,3,0),"")="فروش"),UPPER(TRIM(Sync!$X480)),""))</f>
        <v/>
      </c>
      <c r="H484" t="str">
        <f>IF($G484="","",IF(Sync!$W480="","",Sync!$W480))</f>
        <v/>
      </c>
      <c r="I484" t="str">
        <f>IF(OR($G484="",Sync!$Y480=""),"",Sync!$Y480)</f>
        <v/>
      </c>
      <c r="J484" t="str">
        <f>IF(OR($G484="",Sync!$Z480=""),"",Sync!$Z480)</f>
        <v/>
      </c>
      <c r="K484">
        <f>IF($G484="",0,IF(Sync!$AA480="",0,Sync!$AA480))</f>
        <v>0</v>
      </c>
      <c r="L484">
        <f>IF($G484="",0,IF(Sync!$AB480="",0,Sync!$AB480))</f>
        <v>0</v>
      </c>
      <c r="M484" t="str">
        <f t="shared" si="47"/>
        <v/>
      </c>
      <c r="N484">
        <f>IF($G484="",0,IF($H484="مرجوعی فروش",-1,1)*IF(Sync!$AC480="",0,Sync!$AC480))</f>
        <v>0</v>
      </c>
      <c r="O484" t="str">
        <f>IF(OR($G484="",Sync!$V480=""),"",Sync!$V480)</f>
        <v/>
      </c>
      <c r="P484" t="str">
        <f>IF(OR($G484="",Sync!$AD480=""),"",Sync!$AD480)</f>
        <v/>
      </c>
      <c r="Q484" t="str">
        <f>IF($G484="","",IF(Sync!$U480="","0000",IF(AND(ISNUMBER(Sync!$U480),Sync!$U480&gt;=0,Sync!$U480&lt;1),RIGHT("00"&amp;HOUR(Sync!$U480),2)&amp;RIGHT("00"&amp;MINUTE(Sync!$U480),2),IFERROR(RIGHT("00"&amp;VALUE(LEFT(Sync!$U480,FIND(":",Sync!$U480)-1)),2)&amp;RIGHT("00"&amp;VALUE(MID(Sync!$U480,FIND(":",Sync!$U480)+1,2)),2),"0000"))))</f>
        <v/>
      </c>
    </row>
    <row r="485" spans="1:17" x14ac:dyDescent="0.2">
      <c r="A485" t="str">
        <f>IF(Sync!$T481="","",Sync!$T481)</f>
        <v/>
      </c>
      <c r="B485" t="str">
        <f t="shared" si="42"/>
        <v/>
      </c>
      <c r="C485" t="str">
        <f t="shared" si="43"/>
        <v/>
      </c>
      <c r="D485" t="str">
        <f t="shared" si="44"/>
        <v/>
      </c>
      <c r="E485" t="str">
        <f t="shared" si="45"/>
        <v/>
      </c>
      <c r="F485" t="str">
        <f t="shared" si="46"/>
        <v/>
      </c>
      <c r="G485" t="str">
        <f>IF(OR($E485="",$E485="نامعتبر",Sync!$X481=""),"",IF(AND(LEFT(UPPER(TRIM(Sync!$X481)),2)="SL",IFERROR(VLOOKUP(Sync!$W481,OpTbl,3,0),"")="فروش"),UPPER(TRIM(Sync!$X481)),""))</f>
        <v/>
      </c>
      <c r="H485" t="str">
        <f>IF($G485="","",IF(Sync!$W481="","",Sync!$W481))</f>
        <v/>
      </c>
      <c r="I485" t="str">
        <f>IF(OR($G485="",Sync!$Y481=""),"",Sync!$Y481)</f>
        <v/>
      </c>
      <c r="J485" t="str">
        <f>IF(OR($G485="",Sync!$Z481=""),"",Sync!$Z481)</f>
        <v/>
      </c>
      <c r="K485">
        <f>IF($G485="",0,IF(Sync!$AA481="",0,Sync!$AA481))</f>
        <v>0</v>
      </c>
      <c r="L485">
        <f>IF($G485="",0,IF(Sync!$AB481="",0,Sync!$AB481))</f>
        <v>0</v>
      </c>
      <c r="M485" t="str">
        <f t="shared" si="47"/>
        <v/>
      </c>
      <c r="N485">
        <f>IF($G485="",0,IF($H485="مرجوعی فروش",-1,1)*IF(Sync!$AC481="",0,Sync!$AC481))</f>
        <v>0</v>
      </c>
      <c r="O485" t="str">
        <f>IF(OR($G485="",Sync!$V481=""),"",Sync!$V481)</f>
        <v/>
      </c>
      <c r="P485" t="str">
        <f>IF(OR($G485="",Sync!$AD481=""),"",Sync!$AD481)</f>
        <v/>
      </c>
      <c r="Q485" t="str">
        <f>IF($G485="","",IF(Sync!$U481="","0000",IF(AND(ISNUMBER(Sync!$U481),Sync!$U481&gt;=0,Sync!$U481&lt;1),RIGHT("00"&amp;HOUR(Sync!$U481),2)&amp;RIGHT("00"&amp;MINUTE(Sync!$U481),2),IFERROR(RIGHT("00"&amp;VALUE(LEFT(Sync!$U481,FIND(":",Sync!$U481)-1)),2)&amp;RIGHT("00"&amp;VALUE(MID(Sync!$U481,FIND(":",Sync!$U481)+1,2)),2),"0000"))))</f>
        <v/>
      </c>
    </row>
    <row r="486" spans="1:17" x14ac:dyDescent="0.2">
      <c r="A486" t="str">
        <f>IF(Sync!$T482="","",Sync!$T482)</f>
        <v/>
      </c>
      <c r="B486" t="str">
        <f t="shared" si="42"/>
        <v/>
      </c>
      <c r="C486" t="str">
        <f t="shared" si="43"/>
        <v/>
      </c>
      <c r="D486" t="str">
        <f t="shared" si="44"/>
        <v/>
      </c>
      <c r="E486" t="str">
        <f t="shared" si="45"/>
        <v/>
      </c>
      <c r="F486" t="str">
        <f t="shared" si="46"/>
        <v/>
      </c>
      <c r="G486" t="str">
        <f>IF(OR($E486="",$E486="نامعتبر",Sync!$X482=""),"",IF(AND(LEFT(UPPER(TRIM(Sync!$X482)),2)="SL",IFERROR(VLOOKUP(Sync!$W482,OpTbl,3,0),"")="فروش"),UPPER(TRIM(Sync!$X482)),""))</f>
        <v/>
      </c>
      <c r="H486" t="str">
        <f>IF($G486="","",IF(Sync!$W482="","",Sync!$W482))</f>
        <v/>
      </c>
      <c r="I486" t="str">
        <f>IF(OR($G486="",Sync!$Y482=""),"",Sync!$Y482)</f>
        <v/>
      </c>
      <c r="J486" t="str">
        <f>IF(OR($G486="",Sync!$Z482=""),"",Sync!$Z482)</f>
        <v/>
      </c>
      <c r="K486">
        <f>IF($G486="",0,IF(Sync!$AA482="",0,Sync!$AA482))</f>
        <v>0</v>
      </c>
      <c r="L486">
        <f>IF($G486="",0,IF(Sync!$AB482="",0,Sync!$AB482))</f>
        <v>0</v>
      </c>
      <c r="M486" t="str">
        <f t="shared" si="47"/>
        <v/>
      </c>
      <c r="N486">
        <f>IF($G486="",0,IF($H486="مرجوعی فروش",-1,1)*IF(Sync!$AC482="",0,Sync!$AC482))</f>
        <v>0</v>
      </c>
      <c r="O486" t="str">
        <f>IF(OR($G486="",Sync!$V482=""),"",Sync!$V482)</f>
        <v/>
      </c>
      <c r="P486" t="str">
        <f>IF(OR($G486="",Sync!$AD482=""),"",Sync!$AD482)</f>
        <v/>
      </c>
      <c r="Q486" t="str">
        <f>IF($G486="","",IF(Sync!$U482="","0000",IF(AND(ISNUMBER(Sync!$U482),Sync!$U482&gt;=0,Sync!$U482&lt;1),RIGHT("00"&amp;HOUR(Sync!$U482),2)&amp;RIGHT("00"&amp;MINUTE(Sync!$U482),2),IFERROR(RIGHT("00"&amp;VALUE(LEFT(Sync!$U482,FIND(":",Sync!$U482)-1)),2)&amp;RIGHT("00"&amp;VALUE(MID(Sync!$U482,FIND(":",Sync!$U482)+1,2)),2),"0000"))))</f>
        <v/>
      </c>
    </row>
    <row r="487" spans="1:17" x14ac:dyDescent="0.2">
      <c r="A487" t="str">
        <f>IF(Sync!$T483="","",Sync!$T483)</f>
        <v/>
      </c>
      <c r="B487" t="str">
        <f t="shared" si="42"/>
        <v/>
      </c>
      <c r="C487" t="str">
        <f t="shared" si="43"/>
        <v/>
      </c>
      <c r="D487" t="str">
        <f t="shared" si="44"/>
        <v/>
      </c>
      <c r="E487" t="str">
        <f t="shared" si="45"/>
        <v/>
      </c>
      <c r="F487" t="str">
        <f t="shared" si="46"/>
        <v/>
      </c>
      <c r="G487" t="str">
        <f>IF(OR($E487="",$E487="نامعتبر",Sync!$X483=""),"",IF(AND(LEFT(UPPER(TRIM(Sync!$X483)),2)="SL",IFERROR(VLOOKUP(Sync!$W483,OpTbl,3,0),"")="فروش"),UPPER(TRIM(Sync!$X483)),""))</f>
        <v/>
      </c>
      <c r="H487" t="str">
        <f>IF($G487="","",IF(Sync!$W483="","",Sync!$W483))</f>
        <v/>
      </c>
      <c r="I487" t="str">
        <f>IF(OR($G487="",Sync!$Y483=""),"",Sync!$Y483)</f>
        <v/>
      </c>
      <c r="J487" t="str">
        <f>IF(OR($G487="",Sync!$Z483=""),"",Sync!$Z483)</f>
        <v/>
      </c>
      <c r="K487">
        <f>IF($G487="",0,IF(Sync!$AA483="",0,Sync!$AA483))</f>
        <v>0</v>
      </c>
      <c r="L487">
        <f>IF($G487="",0,IF(Sync!$AB483="",0,Sync!$AB483))</f>
        <v>0</v>
      </c>
      <c r="M487" t="str">
        <f t="shared" si="47"/>
        <v/>
      </c>
      <c r="N487">
        <f>IF($G487="",0,IF($H487="مرجوعی فروش",-1,1)*IF(Sync!$AC483="",0,Sync!$AC483))</f>
        <v>0</v>
      </c>
      <c r="O487" t="str">
        <f>IF(OR($G487="",Sync!$V483=""),"",Sync!$V483)</f>
        <v/>
      </c>
      <c r="P487" t="str">
        <f>IF(OR($G487="",Sync!$AD483=""),"",Sync!$AD483)</f>
        <v/>
      </c>
      <c r="Q487" t="str">
        <f>IF($G487="","",IF(Sync!$U483="","0000",IF(AND(ISNUMBER(Sync!$U483),Sync!$U483&gt;=0,Sync!$U483&lt;1),RIGHT("00"&amp;HOUR(Sync!$U483),2)&amp;RIGHT("00"&amp;MINUTE(Sync!$U483),2),IFERROR(RIGHT("00"&amp;VALUE(LEFT(Sync!$U483,FIND(":",Sync!$U483)-1)),2)&amp;RIGHT("00"&amp;VALUE(MID(Sync!$U483,FIND(":",Sync!$U483)+1,2)),2),"0000"))))</f>
        <v/>
      </c>
    </row>
    <row r="488" spans="1:17" x14ac:dyDescent="0.2">
      <c r="A488" t="str">
        <f>IF(Sync!$T484="","",Sync!$T484)</f>
        <v/>
      </c>
      <c r="B488" t="str">
        <f t="shared" si="42"/>
        <v/>
      </c>
      <c r="C488" t="str">
        <f t="shared" si="43"/>
        <v/>
      </c>
      <c r="D488" t="str">
        <f t="shared" si="44"/>
        <v/>
      </c>
      <c r="E488" t="str">
        <f t="shared" si="45"/>
        <v/>
      </c>
      <c r="F488" t="str">
        <f t="shared" si="46"/>
        <v/>
      </c>
      <c r="G488" t="str">
        <f>IF(OR($E488="",$E488="نامعتبر",Sync!$X484=""),"",IF(AND(LEFT(UPPER(TRIM(Sync!$X484)),2)="SL",IFERROR(VLOOKUP(Sync!$W484,OpTbl,3,0),"")="فروش"),UPPER(TRIM(Sync!$X484)),""))</f>
        <v/>
      </c>
      <c r="H488" t="str">
        <f>IF($G488="","",IF(Sync!$W484="","",Sync!$W484))</f>
        <v/>
      </c>
      <c r="I488" t="str">
        <f>IF(OR($G488="",Sync!$Y484=""),"",Sync!$Y484)</f>
        <v/>
      </c>
      <c r="J488" t="str">
        <f>IF(OR($G488="",Sync!$Z484=""),"",Sync!$Z484)</f>
        <v/>
      </c>
      <c r="K488">
        <f>IF($G488="",0,IF(Sync!$AA484="",0,Sync!$AA484))</f>
        <v>0</v>
      </c>
      <c r="L488">
        <f>IF($G488="",0,IF(Sync!$AB484="",0,Sync!$AB484))</f>
        <v>0</v>
      </c>
      <c r="M488" t="str">
        <f t="shared" si="47"/>
        <v/>
      </c>
      <c r="N488">
        <f>IF($G488="",0,IF($H488="مرجوعی فروش",-1,1)*IF(Sync!$AC484="",0,Sync!$AC484))</f>
        <v>0</v>
      </c>
      <c r="O488" t="str">
        <f>IF(OR($G488="",Sync!$V484=""),"",Sync!$V484)</f>
        <v/>
      </c>
      <c r="P488" t="str">
        <f>IF(OR($G488="",Sync!$AD484=""),"",Sync!$AD484)</f>
        <v/>
      </c>
      <c r="Q488" t="str">
        <f>IF($G488="","",IF(Sync!$U484="","0000",IF(AND(ISNUMBER(Sync!$U484),Sync!$U484&gt;=0,Sync!$U484&lt;1),RIGHT("00"&amp;HOUR(Sync!$U484),2)&amp;RIGHT("00"&amp;MINUTE(Sync!$U484),2),IFERROR(RIGHT("00"&amp;VALUE(LEFT(Sync!$U484,FIND(":",Sync!$U484)-1)),2)&amp;RIGHT("00"&amp;VALUE(MID(Sync!$U484,FIND(":",Sync!$U484)+1,2)),2),"0000"))))</f>
        <v/>
      </c>
    </row>
    <row r="489" spans="1:17" x14ac:dyDescent="0.2">
      <c r="A489" t="str">
        <f>IF(Sync!$T485="","",Sync!$T485)</f>
        <v/>
      </c>
      <c r="B489" t="str">
        <f t="shared" si="42"/>
        <v/>
      </c>
      <c r="C489" t="str">
        <f t="shared" si="43"/>
        <v/>
      </c>
      <c r="D489" t="str">
        <f t="shared" si="44"/>
        <v/>
      </c>
      <c r="E489" t="str">
        <f t="shared" si="45"/>
        <v/>
      </c>
      <c r="F489" t="str">
        <f t="shared" si="46"/>
        <v/>
      </c>
      <c r="G489" t="str">
        <f>IF(OR($E489="",$E489="نامعتبر",Sync!$X485=""),"",IF(AND(LEFT(UPPER(TRIM(Sync!$X485)),2)="SL",IFERROR(VLOOKUP(Sync!$W485,OpTbl,3,0),"")="فروش"),UPPER(TRIM(Sync!$X485)),""))</f>
        <v/>
      </c>
      <c r="H489" t="str">
        <f>IF($G489="","",IF(Sync!$W485="","",Sync!$W485))</f>
        <v/>
      </c>
      <c r="I489" t="str">
        <f>IF(OR($G489="",Sync!$Y485=""),"",Sync!$Y485)</f>
        <v/>
      </c>
      <c r="J489" t="str">
        <f>IF(OR($G489="",Sync!$Z485=""),"",Sync!$Z485)</f>
        <v/>
      </c>
      <c r="K489">
        <f>IF($G489="",0,IF(Sync!$AA485="",0,Sync!$AA485))</f>
        <v>0</v>
      </c>
      <c r="L489">
        <f>IF($G489="",0,IF(Sync!$AB485="",0,Sync!$AB485))</f>
        <v>0</v>
      </c>
      <c r="M489" t="str">
        <f t="shared" si="47"/>
        <v/>
      </c>
      <c r="N489">
        <f>IF($G489="",0,IF($H489="مرجوعی فروش",-1,1)*IF(Sync!$AC485="",0,Sync!$AC485))</f>
        <v>0</v>
      </c>
      <c r="O489" t="str">
        <f>IF(OR($G489="",Sync!$V485=""),"",Sync!$V485)</f>
        <v/>
      </c>
      <c r="P489" t="str">
        <f>IF(OR($G489="",Sync!$AD485=""),"",Sync!$AD485)</f>
        <v/>
      </c>
      <c r="Q489" t="str">
        <f>IF($G489="","",IF(Sync!$U485="","0000",IF(AND(ISNUMBER(Sync!$U485),Sync!$U485&gt;=0,Sync!$U485&lt;1),RIGHT("00"&amp;HOUR(Sync!$U485),2)&amp;RIGHT("00"&amp;MINUTE(Sync!$U485),2),IFERROR(RIGHT("00"&amp;VALUE(LEFT(Sync!$U485,FIND(":",Sync!$U485)-1)),2)&amp;RIGHT("00"&amp;VALUE(MID(Sync!$U485,FIND(":",Sync!$U485)+1,2)),2),"0000"))))</f>
        <v/>
      </c>
    </row>
    <row r="490" spans="1:17" x14ac:dyDescent="0.2">
      <c r="A490" t="str">
        <f>IF(Sync!$T486="","",Sync!$T486)</f>
        <v/>
      </c>
      <c r="B490" t="str">
        <f t="shared" si="42"/>
        <v/>
      </c>
      <c r="C490" t="str">
        <f t="shared" si="43"/>
        <v/>
      </c>
      <c r="D490" t="str">
        <f t="shared" si="44"/>
        <v/>
      </c>
      <c r="E490" t="str">
        <f t="shared" si="45"/>
        <v/>
      </c>
      <c r="F490" t="str">
        <f t="shared" si="46"/>
        <v/>
      </c>
      <c r="G490" t="str">
        <f>IF(OR($E490="",$E490="نامعتبر",Sync!$X486=""),"",IF(AND(LEFT(UPPER(TRIM(Sync!$X486)),2)="SL",IFERROR(VLOOKUP(Sync!$W486,OpTbl,3,0),"")="فروش"),UPPER(TRIM(Sync!$X486)),""))</f>
        <v/>
      </c>
      <c r="H490" t="str">
        <f>IF($G490="","",IF(Sync!$W486="","",Sync!$W486))</f>
        <v/>
      </c>
      <c r="I490" t="str">
        <f>IF(OR($G490="",Sync!$Y486=""),"",Sync!$Y486)</f>
        <v/>
      </c>
      <c r="J490" t="str">
        <f>IF(OR($G490="",Sync!$Z486=""),"",Sync!$Z486)</f>
        <v/>
      </c>
      <c r="K490">
        <f>IF($G490="",0,IF(Sync!$AA486="",0,Sync!$AA486))</f>
        <v>0</v>
      </c>
      <c r="L490">
        <f>IF($G490="",0,IF(Sync!$AB486="",0,Sync!$AB486))</f>
        <v>0</v>
      </c>
      <c r="M490" t="str">
        <f t="shared" si="47"/>
        <v/>
      </c>
      <c r="N490">
        <f>IF($G490="",0,IF($H490="مرجوعی فروش",-1,1)*IF(Sync!$AC486="",0,Sync!$AC486))</f>
        <v>0</v>
      </c>
      <c r="O490" t="str">
        <f>IF(OR($G490="",Sync!$V486=""),"",Sync!$V486)</f>
        <v/>
      </c>
      <c r="P490" t="str">
        <f>IF(OR($G490="",Sync!$AD486=""),"",Sync!$AD486)</f>
        <v/>
      </c>
      <c r="Q490" t="str">
        <f>IF($G490="","",IF(Sync!$U486="","0000",IF(AND(ISNUMBER(Sync!$U486),Sync!$U486&gt;=0,Sync!$U486&lt;1),RIGHT("00"&amp;HOUR(Sync!$U486),2)&amp;RIGHT("00"&amp;MINUTE(Sync!$U486),2),IFERROR(RIGHT("00"&amp;VALUE(LEFT(Sync!$U486,FIND(":",Sync!$U486)-1)),2)&amp;RIGHT("00"&amp;VALUE(MID(Sync!$U486,FIND(":",Sync!$U486)+1,2)),2),"0000"))))</f>
        <v/>
      </c>
    </row>
    <row r="491" spans="1:17" x14ac:dyDescent="0.2">
      <c r="A491" t="str">
        <f>IF(Sync!$T487="","",Sync!$T487)</f>
        <v/>
      </c>
      <c r="B491" t="str">
        <f t="shared" si="42"/>
        <v/>
      </c>
      <c r="C491" t="str">
        <f t="shared" si="43"/>
        <v/>
      </c>
      <c r="D491" t="str">
        <f t="shared" si="44"/>
        <v/>
      </c>
      <c r="E491" t="str">
        <f t="shared" si="45"/>
        <v/>
      </c>
      <c r="F491" t="str">
        <f t="shared" si="46"/>
        <v/>
      </c>
      <c r="G491" t="str">
        <f>IF(OR($E491="",$E491="نامعتبر",Sync!$X487=""),"",IF(AND(LEFT(UPPER(TRIM(Sync!$X487)),2)="SL",IFERROR(VLOOKUP(Sync!$W487,OpTbl,3,0),"")="فروش"),UPPER(TRIM(Sync!$X487)),""))</f>
        <v/>
      </c>
      <c r="H491" t="str">
        <f>IF($G491="","",IF(Sync!$W487="","",Sync!$W487))</f>
        <v/>
      </c>
      <c r="I491" t="str">
        <f>IF(OR($G491="",Sync!$Y487=""),"",Sync!$Y487)</f>
        <v/>
      </c>
      <c r="J491" t="str">
        <f>IF(OR($G491="",Sync!$Z487=""),"",Sync!$Z487)</f>
        <v/>
      </c>
      <c r="K491">
        <f>IF($G491="",0,IF(Sync!$AA487="",0,Sync!$AA487))</f>
        <v>0</v>
      </c>
      <c r="L491">
        <f>IF($G491="",0,IF(Sync!$AB487="",0,Sync!$AB487))</f>
        <v>0</v>
      </c>
      <c r="M491" t="str">
        <f t="shared" si="47"/>
        <v/>
      </c>
      <c r="N491">
        <f>IF($G491="",0,IF($H491="مرجوعی فروش",-1,1)*IF(Sync!$AC487="",0,Sync!$AC487))</f>
        <v>0</v>
      </c>
      <c r="O491" t="str">
        <f>IF(OR($G491="",Sync!$V487=""),"",Sync!$V487)</f>
        <v/>
      </c>
      <c r="P491" t="str">
        <f>IF(OR($G491="",Sync!$AD487=""),"",Sync!$AD487)</f>
        <v/>
      </c>
      <c r="Q491" t="str">
        <f>IF($G491="","",IF(Sync!$U487="","0000",IF(AND(ISNUMBER(Sync!$U487),Sync!$U487&gt;=0,Sync!$U487&lt;1),RIGHT("00"&amp;HOUR(Sync!$U487),2)&amp;RIGHT("00"&amp;MINUTE(Sync!$U487),2),IFERROR(RIGHT("00"&amp;VALUE(LEFT(Sync!$U487,FIND(":",Sync!$U487)-1)),2)&amp;RIGHT("00"&amp;VALUE(MID(Sync!$U487,FIND(":",Sync!$U487)+1,2)),2),"0000"))))</f>
        <v/>
      </c>
    </row>
    <row r="492" spans="1:17" x14ac:dyDescent="0.2">
      <c r="A492" t="str">
        <f>IF(Sync!$T488="","",Sync!$T488)</f>
        <v/>
      </c>
      <c r="B492" t="str">
        <f t="shared" si="42"/>
        <v/>
      </c>
      <c r="C492" t="str">
        <f t="shared" si="43"/>
        <v/>
      </c>
      <c r="D492" t="str">
        <f t="shared" si="44"/>
        <v/>
      </c>
      <c r="E492" t="str">
        <f t="shared" si="45"/>
        <v/>
      </c>
      <c r="F492" t="str">
        <f t="shared" si="46"/>
        <v/>
      </c>
      <c r="G492" t="str">
        <f>IF(OR($E492="",$E492="نامعتبر",Sync!$X488=""),"",IF(AND(LEFT(UPPER(TRIM(Sync!$X488)),2)="SL",IFERROR(VLOOKUP(Sync!$W488,OpTbl,3,0),"")="فروش"),UPPER(TRIM(Sync!$X488)),""))</f>
        <v/>
      </c>
      <c r="H492" t="str">
        <f>IF($G492="","",IF(Sync!$W488="","",Sync!$W488))</f>
        <v/>
      </c>
      <c r="I492" t="str">
        <f>IF(OR($G492="",Sync!$Y488=""),"",Sync!$Y488)</f>
        <v/>
      </c>
      <c r="J492" t="str">
        <f>IF(OR($G492="",Sync!$Z488=""),"",Sync!$Z488)</f>
        <v/>
      </c>
      <c r="K492">
        <f>IF($G492="",0,IF(Sync!$AA488="",0,Sync!$AA488))</f>
        <v>0</v>
      </c>
      <c r="L492">
        <f>IF($G492="",0,IF(Sync!$AB488="",0,Sync!$AB488))</f>
        <v>0</v>
      </c>
      <c r="M492" t="str">
        <f t="shared" si="47"/>
        <v/>
      </c>
      <c r="N492">
        <f>IF($G492="",0,IF($H492="مرجوعی فروش",-1,1)*IF(Sync!$AC488="",0,Sync!$AC488))</f>
        <v>0</v>
      </c>
      <c r="O492" t="str">
        <f>IF(OR($G492="",Sync!$V488=""),"",Sync!$V488)</f>
        <v/>
      </c>
      <c r="P492" t="str">
        <f>IF(OR($G492="",Sync!$AD488=""),"",Sync!$AD488)</f>
        <v/>
      </c>
      <c r="Q492" t="str">
        <f>IF($G492="","",IF(Sync!$U488="","0000",IF(AND(ISNUMBER(Sync!$U488),Sync!$U488&gt;=0,Sync!$U488&lt;1),RIGHT("00"&amp;HOUR(Sync!$U488),2)&amp;RIGHT("00"&amp;MINUTE(Sync!$U488),2),IFERROR(RIGHT("00"&amp;VALUE(LEFT(Sync!$U488,FIND(":",Sync!$U488)-1)),2)&amp;RIGHT("00"&amp;VALUE(MID(Sync!$U488,FIND(":",Sync!$U488)+1,2)),2),"0000"))))</f>
        <v/>
      </c>
    </row>
    <row r="493" spans="1:17" x14ac:dyDescent="0.2">
      <c r="A493" t="str">
        <f>IF(Sync!$T489="","",Sync!$T489)</f>
        <v/>
      </c>
      <c r="B493" t="str">
        <f t="shared" si="42"/>
        <v/>
      </c>
      <c r="C493" t="str">
        <f t="shared" si="43"/>
        <v/>
      </c>
      <c r="D493" t="str">
        <f t="shared" si="44"/>
        <v/>
      </c>
      <c r="E493" t="str">
        <f t="shared" si="45"/>
        <v/>
      </c>
      <c r="F493" t="str">
        <f t="shared" si="46"/>
        <v/>
      </c>
      <c r="G493" t="str">
        <f>IF(OR($E493="",$E493="نامعتبر",Sync!$X489=""),"",IF(AND(LEFT(UPPER(TRIM(Sync!$X489)),2)="SL",IFERROR(VLOOKUP(Sync!$W489,OpTbl,3,0),"")="فروش"),UPPER(TRIM(Sync!$X489)),""))</f>
        <v/>
      </c>
      <c r="H493" t="str">
        <f>IF($G493="","",IF(Sync!$W489="","",Sync!$W489))</f>
        <v/>
      </c>
      <c r="I493" t="str">
        <f>IF(OR($G493="",Sync!$Y489=""),"",Sync!$Y489)</f>
        <v/>
      </c>
      <c r="J493" t="str">
        <f>IF(OR($G493="",Sync!$Z489=""),"",Sync!$Z489)</f>
        <v/>
      </c>
      <c r="K493">
        <f>IF($G493="",0,IF(Sync!$AA489="",0,Sync!$AA489))</f>
        <v>0</v>
      </c>
      <c r="L493">
        <f>IF($G493="",0,IF(Sync!$AB489="",0,Sync!$AB489))</f>
        <v>0</v>
      </c>
      <c r="M493" t="str">
        <f t="shared" si="47"/>
        <v/>
      </c>
      <c r="N493">
        <f>IF($G493="",0,IF($H493="مرجوعی فروش",-1,1)*IF(Sync!$AC489="",0,Sync!$AC489))</f>
        <v>0</v>
      </c>
      <c r="O493" t="str">
        <f>IF(OR($G493="",Sync!$V489=""),"",Sync!$V489)</f>
        <v/>
      </c>
      <c r="P493" t="str">
        <f>IF(OR($G493="",Sync!$AD489=""),"",Sync!$AD489)</f>
        <v/>
      </c>
      <c r="Q493" t="str">
        <f>IF($G493="","",IF(Sync!$U489="","0000",IF(AND(ISNUMBER(Sync!$U489),Sync!$U489&gt;=0,Sync!$U489&lt;1),RIGHT("00"&amp;HOUR(Sync!$U489),2)&amp;RIGHT("00"&amp;MINUTE(Sync!$U489),2),IFERROR(RIGHT("00"&amp;VALUE(LEFT(Sync!$U489,FIND(":",Sync!$U489)-1)),2)&amp;RIGHT("00"&amp;VALUE(MID(Sync!$U489,FIND(":",Sync!$U489)+1,2)),2),"0000"))))</f>
        <v/>
      </c>
    </row>
    <row r="494" spans="1:17" x14ac:dyDescent="0.2">
      <c r="A494" t="str">
        <f>IF(Sync!$T490="","",Sync!$T490)</f>
        <v/>
      </c>
      <c r="B494" t="str">
        <f t="shared" si="42"/>
        <v/>
      </c>
      <c r="C494" t="str">
        <f t="shared" si="43"/>
        <v/>
      </c>
      <c r="D494" t="str">
        <f t="shared" si="44"/>
        <v/>
      </c>
      <c r="E494" t="str">
        <f t="shared" si="45"/>
        <v/>
      </c>
      <c r="F494" t="str">
        <f t="shared" si="46"/>
        <v/>
      </c>
      <c r="G494" t="str">
        <f>IF(OR($E494="",$E494="نامعتبر",Sync!$X490=""),"",IF(AND(LEFT(UPPER(TRIM(Sync!$X490)),2)="SL",IFERROR(VLOOKUP(Sync!$W490,OpTbl,3,0),"")="فروش"),UPPER(TRIM(Sync!$X490)),""))</f>
        <v/>
      </c>
      <c r="H494" t="str">
        <f>IF($G494="","",IF(Sync!$W490="","",Sync!$W490))</f>
        <v/>
      </c>
      <c r="I494" t="str">
        <f>IF(OR($G494="",Sync!$Y490=""),"",Sync!$Y490)</f>
        <v/>
      </c>
      <c r="J494" t="str">
        <f>IF(OR($G494="",Sync!$Z490=""),"",Sync!$Z490)</f>
        <v/>
      </c>
      <c r="K494">
        <f>IF($G494="",0,IF(Sync!$AA490="",0,Sync!$AA490))</f>
        <v>0</v>
      </c>
      <c r="L494">
        <f>IF($G494="",0,IF(Sync!$AB490="",0,Sync!$AB490))</f>
        <v>0</v>
      </c>
      <c r="M494" t="str">
        <f t="shared" si="47"/>
        <v/>
      </c>
      <c r="N494">
        <f>IF($G494="",0,IF($H494="مرجوعی فروش",-1,1)*IF(Sync!$AC490="",0,Sync!$AC490))</f>
        <v>0</v>
      </c>
      <c r="O494" t="str">
        <f>IF(OR($G494="",Sync!$V490=""),"",Sync!$V490)</f>
        <v/>
      </c>
      <c r="P494" t="str">
        <f>IF(OR($G494="",Sync!$AD490=""),"",Sync!$AD490)</f>
        <v/>
      </c>
      <c r="Q494" t="str">
        <f>IF($G494="","",IF(Sync!$U490="","0000",IF(AND(ISNUMBER(Sync!$U490),Sync!$U490&gt;=0,Sync!$U490&lt;1),RIGHT("00"&amp;HOUR(Sync!$U490),2)&amp;RIGHT("00"&amp;MINUTE(Sync!$U490),2),IFERROR(RIGHT("00"&amp;VALUE(LEFT(Sync!$U490,FIND(":",Sync!$U490)-1)),2)&amp;RIGHT("00"&amp;VALUE(MID(Sync!$U490,FIND(":",Sync!$U490)+1,2)),2),"0000"))))</f>
        <v/>
      </c>
    </row>
    <row r="495" spans="1:17" x14ac:dyDescent="0.2">
      <c r="A495" t="str">
        <f>IF(Sync!$T491="","",Sync!$T491)</f>
        <v/>
      </c>
      <c r="B495" t="str">
        <f t="shared" si="42"/>
        <v/>
      </c>
      <c r="C495" t="str">
        <f t="shared" si="43"/>
        <v/>
      </c>
      <c r="D495" t="str">
        <f t="shared" si="44"/>
        <v/>
      </c>
      <c r="E495" t="str">
        <f t="shared" si="45"/>
        <v/>
      </c>
      <c r="F495" t="str">
        <f t="shared" si="46"/>
        <v/>
      </c>
      <c r="G495" t="str">
        <f>IF(OR($E495="",$E495="نامعتبر",Sync!$X491=""),"",IF(AND(LEFT(UPPER(TRIM(Sync!$X491)),2)="SL",IFERROR(VLOOKUP(Sync!$W491,OpTbl,3,0),"")="فروش"),UPPER(TRIM(Sync!$X491)),""))</f>
        <v/>
      </c>
      <c r="H495" t="str">
        <f>IF($G495="","",IF(Sync!$W491="","",Sync!$W491))</f>
        <v/>
      </c>
      <c r="I495" t="str">
        <f>IF(OR($G495="",Sync!$Y491=""),"",Sync!$Y491)</f>
        <v/>
      </c>
      <c r="J495" t="str">
        <f>IF(OR($G495="",Sync!$Z491=""),"",Sync!$Z491)</f>
        <v/>
      </c>
      <c r="K495">
        <f>IF($G495="",0,IF(Sync!$AA491="",0,Sync!$AA491))</f>
        <v>0</v>
      </c>
      <c r="L495">
        <f>IF($G495="",0,IF(Sync!$AB491="",0,Sync!$AB491))</f>
        <v>0</v>
      </c>
      <c r="M495" t="str">
        <f t="shared" si="47"/>
        <v/>
      </c>
      <c r="N495">
        <f>IF($G495="",0,IF($H495="مرجوعی فروش",-1,1)*IF(Sync!$AC491="",0,Sync!$AC491))</f>
        <v>0</v>
      </c>
      <c r="O495" t="str">
        <f>IF(OR($G495="",Sync!$V491=""),"",Sync!$V491)</f>
        <v/>
      </c>
      <c r="P495" t="str">
        <f>IF(OR($G495="",Sync!$AD491=""),"",Sync!$AD491)</f>
        <v/>
      </c>
      <c r="Q495" t="str">
        <f>IF($G495="","",IF(Sync!$U491="","0000",IF(AND(ISNUMBER(Sync!$U491),Sync!$U491&gt;=0,Sync!$U491&lt;1),RIGHT("00"&amp;HOUR(Sync!$U491),2)&amp;RIGHT("00"&amp;MINUTE(Sync!$U491),2),IFERROR(RIGHT("00"&amp;VALUE(LEFT(Sync!$U491,FIND(":",Sync!$U491)-1)),2)&amp;RIGHT("00"&amp;VALUE(MID(Sync!$U491,FIND(":",Sync!$U491)+1,2)),2),"0000"))))</f>
        <v/>
      </c>
    </row>
    <row r="496" spans="1:17" x14ac:dyDescent="0.2">
      <c r="A496" t="str">
        <f>IF(Sync!$T492="","",Sync!$T492)</f>
        <v/>
      </c>
      <c r="B496" t="str">
        <f t="shared" si="42"/>
        <v/>
      </c>
      <c r="C496" t="str">
        <f t="shared" si="43"/>
        <v/>
      </c>
      <c r="D496" t="str">
        <f t="shared" si="44"/>
        <v/>
      </c>
      <c r="E496" t="str">
        <f t="shared" si="45"/>
        <v/>
      </c>
      <c r="F496" t="str">
        <f t="shared" si="46"/>
        <v/>
      </c>
      <c r="G496" t="str">
        <f>IF(OR($E496="",$E496="نامعتبر",Sync!$X492=""),"",IF(AND(LEFT(UPPER(TRIM(Sync!$X492)),2)="SL",IFERROR(VLOOKUP(Sync!$W492,OpTbl,3,0),"")="فروش"),UPPER(TRIM(Sync!$X492)),""))</f>
        <v/>
      </c>
      <c r="H496" t="str">
        <f>IF($G496="","",IF(Sync!$W492="","",Sync!$W492))</f>
        <v/>
      </c>
      <c r="I496" t="str">
        <f>IF(OR($G496="",Sync!$Y492=""),"",Sync!$Y492)</f>
        <v/>
      </c>
      <c r="J496" t="str">
        <f>IF(OR($G496="",Sync!$Z492=""),"",Sync!$Z492)</f>
        <v/>
      </c>
      <c r="K496">
        <f>IF($G496="",0,IF(Sync!$AA492="",0,Sync!$AA492))</f>
        <v>0</v>
      </c>
      <c r="L496">
        <f>IF($G496="",0,IF(Sync!$AB492="",0,Sync!$AB492))</f>
        <v>0</v>
      </c>
      <c r="M496" t="str">
        <f t="shared" si="47"/>
        <v/>
      </c>
      <c r="N496">
        <f>IF($G496="",0,IF($H496="مرجوعی فروش",-1,1)*IF(Sync!$AC492="",0,Sync!$AC492))</f>
        <v>0</v>
      </c>
      <c r="O496" t="str">
        <f>IF(OR($G496="",Sync!$V492=""),"",Sync!$V492)</f>
        <v/>
      </c>
      <c r="P496" t="str">
        <f>IF(OR($G496="",Sync!$AD492=""),"",Sync!$AD492)</f>
        <v/>
      </c>
      <c r="Q496" t="str">
        <f>IF($G496="","",IF(Sync!$U492="","0000",IF(AND(ISNUMBER(Sync!$U492),Sync!$U492&gt;=0,Sync!$U492&lt;1),RIGHT("00"&amp;HOUR(Sync!$U492),2)&amp;RIGHT("00"&amp;MINUTE(Sync!$U492),2),IFERROR(RIGHT("00"&amp;VALUE(LEFT(Sync!$U492,FIND(":",Sync!$U492)-1)),2)&amp;RIGHT("00"&amp;VALUE(MID(Sync!$U492,FIND(":",Sync!$U492)+1,2)),2),"0000"))))</f>
        <v/>
      </c>
    </row>
    <row r="497" spans="1:17" x14ac:dyDescent="0.2">
      <c r="A497" t="str">
        <f>IF(Sync!$T493="","",Sync!$T493)</f>
        <v/>
      </c>
      <c r="B497" t="str">
        <f t="shared" si="42"/>
        <v/>
      </c>
      <c r="C497" t="str">
        <f t="shared" si="43"/>
        <v/>
      </c>
      <c r="D497" t="str">
        <f t="shared" si="44"/>
        <v/>
      </c>
      <c r="E497" t="str">
        <f t="shared" si="45"/>
        <v/>
      </c>
      <c r="F497" t="str">
        <f t="shared" si="46"/>
        <v/>
      </c>
      <c r="G497" t="str">
        <f>IF(OR($E497="",$E497="نامعتبر",Sync!$X493=""),"",IF(AND(LEFT(UPPER(TRIM(Sync!$X493)),2)="SL",IFERROR(VLOOKUP(Sync!$W493,OpTbl,3,0),"")="فروش"),UPPER(TRIM(Sync!$X493)),""))</f>
        <v/>
      </c>
      <c r="H497" t="str">
        <f>IF($G497="","",IF(Sync!$W493="","",Sync!$W493))</f>
        <v/>
      </c>
      <c r="I497" t="str">
        <f>IF(OR($G497="",Sync!$Y493=""),"",Sync!$Y493)</f>
        <v/>
      </c>
      <c r="J497" t="str">
        <f>IF(OR($G497="",Sync!$Z493=""),"",Sync!$Z493)</f>
        <v/>
      </c>
      <c r="K497">
        <f>IF($G497="",0,IF(Sync!$AA493="",0,Sync!$AA493))</f>
        <v>0</v>
      </c>
      <c r="L497">
        <f>IF($G497="",0,IF(Sync!$AB493="",0,Sync!$AB493))</f>
        <v>0</v>
      </c>
      <c r="M497" t="str">
        <f t="shared" si="47"/>
        <v/>
      </c>
      <c r="N497">
        <f>IF($G497="",0,IF($H497="مرجوعی فروش",-1,1)*IF(Sync!$AC493="",0,Sync!$AC493))</f>
        <v>0</v>
      </c>
      <c r="O497" t="str">
        <f>IF(OR($G497="",Sync!$V493=""),"",Sync!$V493)</f>
        <v/>
      </c>
      <c r="P497" t="str">
        <f>IF(OR($G497="",Sync!$AD493=""),"",Sync!$AD493)</f>
        <v/>
      </c>
      <c r="Q497" t="str">
        <f>IF($G497="","",IF(Sync!$U493="","0000",IF(AND(ISNUMBER(Sync!$U493),Sync!$U493&gt;=0,Sync!$U493&lt;1),RIGHT("00"&amp;HOUR(Sync!$U493),2)&amp;RIGHT("00"&amp;MINUTE(Sync!$U493),2),IFERROR(RIGHT("00"&amp;VALUE(LEFT(Sync!$U493,FIND(":",Sync!$U493)-1)),2)&amp;RIGHT("00"&amp;VALUE(MID(Sync!$U493,FIND(":",Sync!$U493)+1,2)),2),"0000"))))</f>
        <v/>
      </c>
    </row>
    <row r="498" spans="1:17" x14ac:dyDescent="0.2">
      <c r="A498" t="str">
        <f>IF(Sync!$T494="","",Sync!$T494)</f>
        <v/>
      </c>
      <c r="B498" t="str">
        <f t="shared" si="42"/>
        <v/>
      </c>
      <c r="C498" t="str">
        <f t="shared" si="43"/>
        <v/>
      </c>
      <c r="D498" t="str">
        <f t="shared" si="44"/>
        <v/>
      </c>
      <c r="E498" t="str">
        <f t="shared" si="45"/>
        <v/>
      </c>
      <c r="F498" t="str">
        <f t="shared" si="46"/>
        <v/>
      </c>
      <c r="G498" t="str">
        <f>IF(OR($E498="",$E498="نامعتبر",Sync!$X494=""),"",IF(AND(LEFT(UPPER(TRIM(Sync!$X494)),2)="SL",IFERROR(VLOOKUP(Sync!$W494,OpTbl,3,0),"")="فروش"),UPPER(TRIM(Sync!$X494)),""))</f>
        <v/>
      </c>
      <c r="H498" t="str">
        <f>IF($G498="","",IF(Sync!$W494="","",Sync!$W494))</f>
        <v/>
      </c>
      <c r="I498" t="str">
        <f>IF(OR($G498="",Sync!$Y494=""),"",Sync!$Y494)</f>
        <v/>
      </c>
      <c r="J498" t="str">
        <f>IF(OR($G498="",Sync!$Z494=""),"",Sync!$Z494)</f>
        <v/>
      </c>
      <c r="K498">
        <f>IF($G498="",0,IF(Sync!$AA494="",0,Sync!$AA494))</f>
        <v>0</v>
      </c>
      <c r="L498">
        <f>IF($G498="",0,IF(Sync!$AB494="",0,Sync!$AB494))</f>
        <v>0</v>
      </c>
      <c r="M498" t="str">
        <f t="shared" si="47"/>
        <v/>
      </c>
      <c r="N498">
        <f>IF($G498="",0,IF($H498="مرجوعی فروش",-1,1)*IF(Sync!$AC494="",0,Sync!$AC494))</f>
        <v>0</v>
      </c>
      <c r="O498" t="str">
        <f>IF(OR($G498="",Sync!$V494=""),"",Sync!$V494)</f>
        <v/>
      </c>
      <c r="P498" t="str">
        <f>IF(OR($G498="",Sync!$AD494=""),"",Sync!$AD494)</f>
        <v/>
      </c>
      <c r="Q498" t="str">
        <f>IF($G498="","",IF(Sync!$U494="","0000",IF(AND(ISNUMBER(Sync!$U494),Sync!$U494&gt;=0,Sync!$U494&lt;1),RIGHT("00"&amp;HOUR(Sync!$U494),2)&amp;RIGHT("00"&amp;MINUTE(Sync!$U494),2),IFERROR(RIGHT("00"&amp;VALUE(LEFT(Sync!$U494,FIND(":",Sync!$U494)-1)),2)&amp;RIGHT("00"&amp;VALUE(MID(Sync!$U494,FIND(":",Sync!$U494)+1,2)),2),"0000"))))</f>
        <v/>
      </c>
    </row>
    <row r="499" spans="1:17" x14ac:dyDescent="0.2">
      <c r="A499" t="str">
        <f>IF(Sync!$T495="","",Sync!$T495)</f>
        <v/>
      </c>
      <c r="B499" t="str">
        <f t="shared" si="42"/>
        <v/>
      </c>
      <c r="C499" t="str">
        <f t="shared" si="43"/>
        <v/>
      </c>
      <c r="D499" t="str">
        <f t="shared" si="44"/>
        <v/>
      </c>
      <c r="E499" t="str">
        <f t="shared" si="45"/>
        <v/>
      </c>
      <c r="F499" t="str">
        <f t="shared" si="46"/>
        <v/>
      </c>
      <c r="G499" t="str">
        <f>IF(OR($E499="",$E499="نامعتبر",Sync!$X495=""),"",IF(AND(LEFT(UPPER(TRIM(Sync!$X495)),2)="SL",IFERROR(VLOOKUP(Sync!$W495,OpTbl,3,0),"")="فروش"),UPPER(TRIM(Sync!$X495)),""))</f>
        <v/>
      </c>
      <c r="H499" t="str">
        <f>IF($G499="","",IF(Sync!$W495="","",Sync!$W495))</f>
        <v/>
      </c>
      <c r="I499" t="str">
        <f>IF(OR($G499="",Sync!$Y495=""),"",Sync!$Y495)</f>
        <v/>
      </c>
      <c r="J499" t="str">
        <f>IF(OR($G499="",Sync!$Z495=""),"",Sync!$Z495)</f>
        <v/>
      </c>
      <c r="K499">
        <f>IF($G499="",0,IF(Sync!$AA495="",0,Sync!$AA495))</f>
        <v>0</v>
      </c>
      <c r="L499">
        <f>IF($G499="",0,IF(Sync!$AB495="",0,Sync!$AB495))</f>
        <v>0</v>
      </c>
      <c r="M499" t="str">
        <f t="shared" si="47"/>
        <v/>
      </c>
      <c r="N499">
        <f>IF($G499="",0,IF($H499="مرجوعی فروش",-1,1)*IF(Sync!$AC495="",0,Sync!$AC495))</f>
        <v>0</v>
      </c>
      <c r="O499" t="str">
        <f>IF(OR($G499="",Sync!$V495=""),"",Sync!$V495)</f>
        <v/>
      </c>
      <c r="P499" t="str">
        <f>IF(OR($G499="",Sync!$AD495=""),"",Sync!$AD495)</f>
        <v/>
      </c>
      <c r="Q499" t="str">
        <f>IF($G499="","",IF(Sync!$U495="","0000",IF(AND(ISNUMBER(Sync!$U495),Sync!$U495&gt;=0,Sync!$U495&lt;1),RIGHT("00"&amp;HOUR(Sync!$U495),2)&amp;RIGHT("00"&amp;MINUTE(Sync!$U495),2),IFERROR(RIGHT("00"&amp;VALUE(LEFT(Sync!$U495,FIND(":",Sync!$U495)-1)),2)&amp;RIGHT("00"&amp;VALUE(MID(Sync!$U495,FIND(":",Sync!$U495)+1,2)),2),"0000"))))</f>
        <v/>
      </c>
    </row>
    <row r="500" spans="1:17" x14ac:dyDescent="0.2">
      <c r="A500" t="str">
        <f>IF(Sync!$T496="","",Sync!$T496)</f>
        <v/>
      </c>
      <c r="B500" t="str">
        <f t="shared" si="42"/>
        <v/>
      </c>
      <c r="C500" t="str">
        <f t="shared" si="43"/>
        <v/>
      </c>
      <c r="D500" t="str">
        <f t="shared" si="44"/>
        <v/>
      </c>
      <c r="E500" t="str">
        <f t="shared" si="45"/>
        <v/>
      </c>
      <c r="F500" t="str">
        <f t="shared" si="46"/>
        <v/>
      </c>
      <c r="G500" t="str">
        <f>IF(OR($E500="",$E500="نامعتبر",Sync!$X496=""),"",IF(AND(LEFT(UPPER(TRIM(Sync!$X496)),2)="SL",IFERROR(VLOOKUP(Sync!$W496,OpTbl,3,0),"")="فروش"),UPPER(TRIM(Sync!$X496)),""))</f>
        <v/>
      </c>
      <c r="H500" t="str">
        <f>IF($G500="","",IF(Sync!$W496="","",Sync!$W496))</f>
        <v/>
      </c>
      <c r="I500" t="str">
        <f>IF(OR($G500="",Sync!$Y496=""),"",Sync!$Y496)</f>
        <v/>
      </c>
      <c r="J500" t="str">
        <f>IF(OR($G500="",Sync!$Z496=""),"",Sync!$Z496)</f>
        <v/>
      </c>
      <c r="K500">
        <f>IF($G500="",0,IF(Sync!$AA496="",0,Sync!$AA496))</f>
        <v>0</v>
      </c>
      <c r="L500">
        <f>IF($G500="",0,IF(Sync!$AB496="",0,Sync!$AB496))</f>
        <v>0</v>
      </c>
      <c r="M500" t="str">
        <f t="shared" si="47"/>
        <v/>
      </c>
      <c r="N500">
        <f>IF($G500="",0,IF($H500="مرجوعی فروش",-1,1)*IF(Sync!$AC496="",0,Sync!$AC496))</f>
        <v>0</v>
      </c>
      <c r="O500" t="str">
        <f>IF(OR($G500="",Sync!$V496=""),"",Sync!$V496)</f>
        <v/>
      </c>
      <c r="P500" t="str">
        <f>IF(OR($G500="",Sync!$AD496=""),"",Sync!$AD496)</f>
        <v/>
      </c>
      <c r="Q500" t="str">
        <f>IF($G500="","",IF(Sync!$U496="","0000",IF(AND(ISNUMBER(Sync!$U496),Sync!$U496&gt;=0,Sync!$U496&lt;1),RIGHT("00"&amp;HOUR(Sync!$U496),2)&amp;RIGHT("00"&amp;MINUTE(Sync!$U496),2),IFERROR(RIGHT("00"&amp;VALUE(LEFT(Sync!$U496,FIND(":",Sync!$U496)-1)),2)&amp;RIGHT("00"&amp;VALUE(MID(Sync!$U496,FIND(":",Sync!$U496)+1,2)),2),"0000"))))</f>
        <v/>
      </c>
    </row>
    <row r="501" spans="1:17" x14ac:dyDescent="0.2">
      <c r="A501" t="str">
        <f>IF(Sync!$T497="","",Sync!$T497)</f>
        <v/>
      </c>
      <c r="B501" t="str">
        <f t="shared" si="42"/>
        <v/>
      </c>
      <c r="C501" t="str">
        <f t="shared" si="43"/>
        <v/>
      </c>
      <c r="D501" t="str">
        <f t="shared" si="44"/>
        <v/>
      </c>
      <c r="E501" t="str">
        <f t="shared" si="45"/>
        <v/>
      </c>
      <c r="F501" t="str">
        <f t="shared" si="46"/>
        <v/>
      </c>
      <c r="G501" t="str">
        <f>IF(OR($E501="",$E501="نامعتبر",Sync!$X497=""),"",IF(AND(LEFT(UPPER(TRIM(Sync!$X497)),2)="SL",IFERROR(VLOOKUP(Sync!$W497,OpTbl,3,0),"")="فروش"),UPPER(TRIM(Sync!$X497)),""))</f>
        <v/>
      </c>
      <c r="H501" t="str">
        <f>IF($G501="","",IF(Sync!$W497="","",Sync!$W497))</f>
        <v/>
      </c>
      <c r="I501" t="str">
        <f>IF(OR($G501="",Sync!$Y497=""),"",Sync!$Y497)</f>
        <v/>
      </c>
      <c r="J501" t="str">
        <f>IF(OR($G501="",Sync!$Z497=""),"",Sync!$Z497)</f>
        <v/>
      </c>
      <c r="K501">
        <f>IF($G501="",0,IF(Sync!$AA497="",0,Sync!$AA497))</f>
        <v>0</v>
      </c>
      <c r="L501">
        <f>IF($G501="",0,IF(Sync!$AB497="",0,Sync!$AB497))</f>
        <v>0</v>
      </c>
      <c r="M501" t="str">
        <f t="shared" si="47"/>
        <v/>
      </c>
      <c r="N501">
        <f>IF($G501="",0,IF($H501="مرجوعی فروش",-1,1)*IF(Sync!$AC497="",0,Sync!$AC497))</f>
        <v>0</v>
      </c>
      <c r="O501" t="str">
        <f>IF(OR($G501="",Sync!$V497=""),"",Sync!$V497)</f>
        <v/>
      </c>
      <c r="P501" t="str">
        <f>IF(OR($G501="",Sync!$AD497=""),"",Sync!$AD497)</f>
        <v/>
      </c>
      <c r="Q501" t="str">
        <f>IF($G501="","",IF(Sync!$U497="","0000",IF(AND(ISNUMBER(Sync!$U497),Sync!$U497&gt;=0,Sync!$U497&lt;1),RIGHT("00"&amp;HOUR(Sync!$U497),2)&amp;RIGHT("00"&amp;MINUTE(Sync!$U497),2),IFERROR(RIGHT("00"&amp;VALUE(LEFT(Sync!$U497,FIND(":",Sync!$U497)-1)),2)&amp;RIGHT("00"&amp;VALUE(MID(Sync!$U497,FIND(":",Sync!$U497)+1,2)),2),"0000"))))</f>
        <v/>
      </c>
    </row>
    <row r="502" spans="1:17" x14ac:dyDescent="0.2">
      <c r="A502" t="str">
        <f>IF(Sync!$T498="","",Sync!$T498)</f>
        <v/>
      </c>
      <c r="B502" t="str">
        <f t="shared" si="42"/>
        <v/>
      </c>
      <c r="C502" t="str">
        <f t="shared" si="43"/>
        <v/>
      </c>
      <c r="D502" t="str">
        <f t="shared" si="44"/>
        <v/>
      </c>
      <c r="E502" t="str">
        <f t="shared" si="45"/>
        <v/>
      </c>
      <c r="F502" t="str">
        <f t="shared" si="46"/>
        <v/>
      </c>
      <c r="G502" t="str">
        <f>IF(OR($E502="",$E502="نامعتبر",Sync!$X498=""),"",IF(AND(LEFT(UPPER(TRIM(Sync!$X498)),2)="SL",IFERROR(VLOOKUP(Sync!$W498,OpTbl,3,0),"")="فروش"),UPPER(TRIM(Sync!$X498)),""))</f>
        <v/>
      </c>
      <c r="H502" t="str">
        <f>IF($G502="","",IF(Sync!$W498="","",Sync!$W498))</f>
        <v/>
      </c>
      <c r="I502" t="str">
        <f>IF(OR($G502="",Sync!$Y498=""),"",Sync!$Y498)</f>
        <v/>
      </c>
      <c r="J502" t="str">
        <f>IF(OR($G502="",Sync!$Z498=""),"",Sync!$Z498)</f>
        <v/>
      </c>
      <c r="K502">
        <f>IF($G502="",0,IF(Sync!$AA498="",0,Sync!$AA498))</f>
        <v>0</v>
      </c>
      <c r="L502">
        <f>IF($G502="",0,IF(Sync!$AB498="",0,Sync!$AB498))</f>
        <v>0</v>
      </c>
      <c r="M502" t="str">
        <f t="shared" si="47"/>
        <v/>
      </c>
      <c r="N502">
        <f>IF($G502="",0,IF($H502="مرجوعی فروش",-1,1)*IF(Sync!$AC498="",0,Sync!$AC498))</f>
        <v>0</v>
      </c>
      <c r="O502" t="str">
        <f>IF(OR($G502="",Sync!$V498=""),"",Sync!$V498)</f>
        <v/>
      </c>
      <c r="P502" t="str">
        <f>IF(OR($G502="",Sync!$AD498=""),"",Sync!$AD498)</f>
        <v/>
      </c>
      <c r="Q502" t="str">
        <f>IF($G502="","",IF(Sync!$U498="","0000",IF(AND(ISNUMBER(Sync!$U498),Sync!$U498&gt;=0,Sync!$U498&lt;1),RIGHT("00"&amp;HOUR(Sync!$U498),2)&amp;RIGHT("00"&amp;MINUTE(Sync!$U498),2),IFERROR(RIGHT("00"&amp;VALUE(LEFT(Sync!$U498,FIND(":",Sync!$U498)-1)),2)&amp;RIGHT("00"&amp;VALUE(MID(Sync!$U498,FIND(":",Sync!$U498)+1,2)),2),"0000"))))</f>
        <v/>
      </c>
    </row>
    <row r="503" spans="1:17" x14ac:dyDescent="0.2">
      <c r="A503" t="str">
        <f>IF(Sync!$T499="","",Sync!$T499)</f>
        <v/>
      </c>
      <c r="B503" t="str">
        <f t="shared" si="42"/>
        <v/>
      </c>
      <c r="C503" t="str">
        <f t="shared" si="43"/>
        <v/>
      </c>
      <c r="D503" t="str">
        <f t="shared" si="44"/>
        <v/>
      </c>
      <c r="E503" t="str">
        <f t="shared" si="45"/>
        <v/>
      </c>
      <c r="F503" t="str">
        <f t="shared" si="46"/>
        <v/>
      </c>
      <c r="G503" t="str">
        <f>IF(OR($E503="",$E503="نامعتبر",Sync!$X499=""),"",IF(AND(LEFT(UPPER(TRIM(Sync!$X499)),2)="SL",IFERROR(VLOOKUP(Sync!$W499,OpTbl,3,0),"")="فروش"),UPPER(TRIM(Sync!$X499)),""))</f>
        <v/>
      </c>
      <c r="H503" t="str">
        <f>IF($G503="","",IF(Sync!$W499="","",Sync!$W499))</f>
        <v/>
      </c>
      <c r="I503" t="str">
        <f>IF(OR($G503="",Sync!$Y499=""),"",Sync!$Y499)</f>
        <v/>
      </c>
      <c r="J503" t="str">
        <f>IF(OR($G503="",Sync!$Z499=""),"",Sync!$Z499)</f>
        <v/>
      </c>
      <c r="K503">
        <f>IF($G503="",0,IF(Sync!$AA499="",0,Sync!$AA499))</f>
        <v>0</v>
      </c>
      <c r="L503">
        <f>IF($G503="",0,IF(Sync!$AB499="",0,Sync!$AB499))</f>
        <v>0</v>
      </c>
      <c r="M503" t="str">
        <f t="shared" si="47"/>
        <v/>
      </c>
      <c r="N503">
        <f>IF($G503="",0,IF($H503="مرجوعی فروش",-1,1)*IF(Sync!$AC499="",0,Sync!$AC499))</f>
        <v>0</v>
      </c>
      <c r="O503" t="str">
        <f>IF(OR($G503="",Sync!$V499=""),"",Sync!$V499)</f>
        <v/>
      </c>
      <c r="P503" t="str">
        <f>IF(OR($G503="",Sync!$AD499=""),"",Sync!$AD499)</f>
        <v/>
      </c>
      <c r="Q503" t="str">
        <f>IF($G503="","",IF(Sync!$U499="","0000",IF(AND(ISNUMBER(Sync!$U499),Sync!$U499&gt;=0,Sync!$U499&lt;1),RIGHT("00"&amp;HOUR(Sync!$U499),2)&amp;RIGHT("00"&amp;MINUTE(Sync!$U499),2),IFERROR(RIGHT("00"&amp;VALUE(LEFT(Sync!$U499,FIND(":",Sync!$U499)-1)),2)&amp;RIGHT("00"&amp;VALUE(MID(Sync!$U499,FIND(":",Sync!$U499)+1,2)),2),"0000"))))</f>
        <v/>
      </c>
    </row>
    <row r="504" spans="1:17" x14ac:dyDescent="0.2">
      <c r="A504" t="str">
        <f>IF(Sync!$T500="","",Sync!$T500)</f>
        <v/>
      </c>
      <c r="B504" t="str">
        <f t="shared" si="42"/>
        <v/>
      </c>
      <c r="C504" t="str">
        <f t="shared" si="43"/>
        <v/>
      </c>
      <c r="D504" t="str">
        <f t="shared" si="44"/>
        <v/>
      </c>
      <c r="E504" t="str">
        <f t="shared" si="45"/>
        <v/>
      </c>
      <c r="F504" t="str">
        <f t="shared" si="46"/>
        <v/>
      </c>
      <c r="G504" t="str">
        <f>IF(OR($E504="",$E504="نامعتبر",Sync!$X500=""),"",IF(AND(LEFT(UPPER(TRIM(Sync!$X500)),2)="SL",IFERROR(VLOOKUP(Sync!$W500,OpTbl,3,0),"")="فروش"),UPPER(TRIM(Sync!$X500)),""))</f>
        <v/>
      </c>
      <c r="H504" t="str">
        <f>IF($G504="","",IF(Sync!$W500="","",Sync!$W500))</f>
        <v/>
      </c>
      <c r="I504" t="str">
        <f>IF(OR($G504="",Sync!$Y500=""),"",Sync!$Y500)</f>
        <v/>
      </c>
      <c r="J504" t="str">
        <f>IF(OR($G504="",Sync!$Z500=""),"",Sync!$Z500)</f>
        <v/>
      </c>
      <c r="K504">
        <f>IF($G504="",0,IF(Sync!$AA500="",0,Sync!$AA500))</f>
        <v>0</v>
      </c>
      <c r="L504">
        <f>IF($G504="",0,IF(Sync!$AB500="",0,Sync!$AB500))</f>
        <v>0</v>
      </c>
      <c r="M504" t="str">
        <f t="shared" si="47"/>
        <v/>
      </c>
      <c r="N504">
        <f>IF($G504="",0,IF($H504="مرجوعی فروش",-1,1)*IF(Sync!$AC500="",0,Sync!$AC500))</f>
        <v>0</v>
      </c>
      <c r="O504" t="str">
        <f>IF(OR($G504="",Sync!$V500=""),"",Sync!$V500)</f>
        <v/>
      </c>
      <c r="P504" t="str">
        <f>IF(OR($G504="",Sync!$AD500=""),"",Sync!$AD500)</f>
        <v/>
      </c>
      <c r="Q504" t="str">
        <f>IF($G504="","",IF(Sync!$U500="","0000",IF(AND(ISNUMBER(Sync!$U500),Sync!$U500&gt;=0,Sync!$U500&lt;1),RIGHT("00"&amp;HOUR(Sync!$U500),2)&amp;RIGHT("00"&amp;MINUTE(Sync!$U500),2),IFERROR(RIGHT("00"&amp;VALUE(LEFT(Sync!$U500,FIND(":",Sync!$U500)-1)),2)&amp;RIGHT("00"&amp;VALUE(MID(Sync!$U500,FIND(":",Sync!$U500)+1,2)),2),"0000"))))</f>
        <v/>
      </c>
    </row>
    <row r="505" spans="1:17" x14ac:dyDescent="0.2">
      <c r="A505" t="str">
        <f>IF(Sync!$T501="","",Sync!$T501)</f>
        <v/>
      </c>
      <c r="B505" t="str">
        <f t="shared" si="42"/>
        <v/>
      </c>
      <c r="C505" t="str">
        <f t="shared" si="43"/>
        <v/>
      </c>
      <c r="D505" t="str">
        <f t="shared" si="44"/>
        <v/>
      </c>
      <c r="E505" t="str">
        <f t="shared" si="45"/>
        <v/>
      </c>
      <c r="F505" t="str">
        <f t="shared" si="46"/>
        <v/>
      </c>
      <c r="G505" t="str">
        <f>IF(OR($E505="",$E505="نامعتبر",Sync!$X501=""),"",IF(AND(LEFT(UPPER(TRIM(Sync!$X501)),2)="SL",IFERROR(VLOOKUP(Sync!$W501,OpTbl,3,0),"")="فروش"),UPPER(TRIM(Sync!$X501)),""))</f>
        <v/>
      </c>
      <c r="H505" t="str">
        <f>IF($G505="","",IF(Sync!$W501="","",Sync!$W501))</f>
        <v/>
      </c>
      <c r="I505" t="str">
        <f>IF(OR($G505="",Sync!$Y501=""),"",Sync!$Y501)</f>
        <v/>
      </c>
      <c r="J505" t="str">
        <f>IF(OR($G505="",Sync!$Z501=""),"",Sync!$Z501)</f>
        <v/>
      </c>
      <c r="K505">
        <f>IF($G505="",0,IF(Sync!$AA501="",0,Sync!$AA501))</f>
        <v>0</v>
      </c>
      <c r="L505">
        <f>IF($G505="",0,IF(Sync!$AB501="",0,Sync!$AB501))</f>
        <v>0</v>
      </c>
      <c r="M505" t="str">
        <f t="shared" si="47"/>
        <v/>
      </c>
      <c r="N505">
        <f>IF($G505="",0,IF($H505="مرجوعی فروش",-1,1)*IF(Sync!$AC501="",0,Sync!$AC501))</f>
        <v>0</v>
      </c>
      <c r="O505" t="str">
        <f>IF(OR($G505="",Sync!$V501=""),"",Sync!$V501)</f>
        <v/>
      </c>
      <c r="P505" t="str">
        <f>IF(OR($G505="",Sync!$AD501=""),"",Sync!$AD501)</f>
        <v/>
      </c>
      <c r="Q505" t="str">
        <f>IF($G505="","",IF(Sync!$U501="","0000",IF(AND(ISNUMBER(Sync!$U501),Sync!$U501&gt;=0,Sync!$U501&lt;1),RIGHT("00"&amp;HOUR(Sync!$U501),2)&amp;RIGHT("00"&amp;MINUTE(Sync!$U501),2),IFERROR(RIGHT("00"&amp;VALUE(LEFT(Sync!$U501,FIND(":",Sync!$U501)-1)),2)&amp;RIGHT("00"&amp;VALUE(MID(Sync!$U501,FIND(":",Sync!$U501)+1,2)),2),"0000"))))</f>
        <v/>
      </c>
    </row>
    <row r="506" spans="1:17" x14ac:dyDescent="0.2">
      <c r="A506" t="str">
        <f>IF(Sync!$T502="","",Sync!$T502)</f>
        <v/>
      </c>
      <c r="B506" t="str">
        <f t="shared" si="42"/>
        <v/>
      </c>
      <c r="C506" t="str">
        <f t="shared" si="43"/>
        <v/>
      </c>
      <c r="D506" t="str">
        <f t="shared" si="44"/>
        <v/>
      </c>
      <c r="E506" t="str">
        <f t="shared" si="45"/>
        <v/>
      </c>
      <c r="F506" t="str">
        <f t="shared" si="46"/>
        <v/>
      </c>
      <c r="G506" t="str">
        <f>IF(OR($E506="",$E506="نامعتبر",Sync!$X502=""),"",IF(AND(LEFT(UPPER(TRIM(Sync!$X502)),2)="SL",IFERROR(VLOOKUP(Sync!$W502,OpTbl,3,0),"")="فروش"),UPPER(TRIM(Sync!$X502)),""))</f>
        <v/>
      </c>
      <c r="H506" t="str">
        <f>IF($G506="","",IF(Sync!$W502="","",Sync!$W502))</f>
        <v/>
      </c>
      <c r="I506" t="str">
        <f>IF(OR($G506="",Sync!$Y502=""),"",Sync!$Y502)</f>
        <v/>
      </c>
      <c r="J506" t="str">
        <f>IF(OR($G506="",Sync!$Z502=""),"",Sync!$Z502)</f>
        <v/>
      </c>
      <c r="K506">
        <f>IF($G506="",0,IF(Sync!$AA502="",0,Sync!$AA502))</f>
        <v>0</v>
      </c>
      <c r="L506">
        <f>IF($G506="",0,IF(Sync!$AB502="",0,Sync!$AB502))</f>
        <v>0</v>
      </c>
      <c r="M506" t="str">
        <f t="shared" si="47"/>
        <v/>
      </c>
      <c r="N506">
        <f>IF($G506="",0,IF($H506="مرجوعی فروش",-1,1)*IF(Sync!$AC502="",0,Sync!$AC502))</f>
        <v>0</v>
      </c>
      <c r="O506" t="str">
        <f>IF(OR($G506="",Sync!$V502=""),"",Sync!$V502)</f>
        <v/>
      </c>
      <c r="P506" t="str">
        <f>IF(OR($G506="",Sync!$AD502=""),"",Sync!$AD502)</f>
        <v/>
      </c>
      <c r="Q506" t="str">
        <f>IF($G506="","",IF(Sync!$U502="","0000",IF(AND(ISNUMBER(Sync!$U502),Sync!$U502&gt;=0,Sync!$U502&lt;1),RIGHT("00"&amp;HOUR(Sync!$U502),2)&amp;RIGHT("00"&amp;MINUTE(Sync!$U502),2),IFERROR(RIGHT("00"&amp;VALUE(LEFT(Sync!$U502,FIND(":",Sync!$U502)-1)),2)&amp;RIGHT("00"&amp;VALUE(MID(Sync!$U502,FIND(":",Sync!$U502)+1,2)),2),"0000"))))</f>
        <v/>
      </c>
    </row>
    <row r="507" spans="1:17" x14ac:dyDescent="0.2">
      <c r="A507" t="str">
        <f>IF(Sync!$T503="","",Sync!$T503)</f>
        <v/>
      </c>
      <c r="B507" t="str">
        <f t="shared" si="42"/>
        <v/>
      </c>
      <c r="C507" t="str">
        <f t="shared" si="43"/>
        <v/>
      </c>
      <c r="D507" t="str">
        <f t="shared" si="44"/>
        <v/>
      </c>
      <c r="E507" t="str">
        <f t="shared" si="45"/>
        <v/>
      </c>
      <c r="F507" t="str">
        <f t="shared" si="46"/>
        <v/>
      </c>
      <c r="G507" t="str">
        <f>IF(OR($E507="",$E507="نامعتبر",Sync!$X503=""),"",IF(AND(LEFT(UPPER(TRIM(Sync!$X503)),2)="SL",IFERROR(VLOOKUP(Sync!$W503,OpTbl,3,0),"")="فروش"),UPPER(TRIM(Sync!$X503)),""))</f>
        <v/>
      </c>
      <c r="H507" t="str">
        <f>IF($G507="","",IF(Sync!$W503="","",Sync!$W503))</f>
        <v/>
      </c>
      <c r="I507" t="str">
        <f>IF(OR($G507="",Sync!$Y503=""),"",Sync!$Y503)</f>
        <v/>
      </c>
      <c r="J507" t="str">
        <f>IF(OR($G507="",Sync!$Z503=""),"",Sync!$Z503)</f>
        <v/>
      </c>
      <c r="K507">
        <f>IF($G507="",0,IF(Sync!$AA503="",0,Sync!$AA503))</f>
        <v>0</v>
      </c>
      <c r="L507">
        <f>IF($G507="",0,IF(Sync!$AB503="",0,Sync!$AB503))</f>
        <v>0</v>
      </c>
      <c r="M507" t="str">
        <f t="shared" si="47"/>
        <v/>
      </c>
      <c r="N507">
        <f>IF($G507="",0,IF($H507="مرجوعی فروش",-1,1)*IF(Sync!$AC503="",0,Sync!$AC503))</f>
        <v>0</v>
      </c>
      <c r="O507" t="str">
        <f>IF(OR($G507="",Sync!$V503=""),"",Sync!$V503)</f>
        <v/>
      </c>
      <c r="P507" t="str">
        <f>IF(OR($G507="",Sync!$AD503=""),"",Sync!$AD503)</f>
        <v/>
      </c>
      <c r="Q507" t="str">
        <f>IF($G507="","",IF(Sync!$U503="","0000",IF(AND(ISNUMBER(Sync!$U503),Sync!$U503&gt;=0,Sync!$U503&lt;1),RIGHT("00"&amp;HOUR(Sync!$U503),2)&amp;RIGHT("00"&amp;MINUTE(Sync!$U503),2),IFERROR(RIGHT("00"&amp;VALUE(LEFT(Sync!$U503,FIND(":",Sync!$U503)-1)),2)&amp;RIGHT("00"&amp;VALUE(MID(Sync!$U503,FIND(":",Sync!$U503)+1,2)),2),"0000"))))</f>
        <v/>
      </c>
    </row>
    <row r="508" spans="1:17" x14ac:dyDescent="0.2">
      <c r="A508" t="str">
        <f>IF(Sync!$T504="","",Sync!$T504)</f>
        <v/>
      </c>
      <c r="B508" t="str">
        <f t="shared" si="42"/>
        <v/>
      </c>
      <c r="C508" t="str">
        <f t="shared" si="43"/>
        <v/>
      </c>
      <c r="D508" t="str">
        <f t="shared" si="44"/>
        <v/>
      </c>
      <c r="E508" t="str">
        <f t="shared" si="45"/>
        <v/>
      </c>
      <c r="F508" t="str">
        <f t="shared" si="46"/>
        <v/>
      </c>
      <c r="G508" t="str">
        <f>IF(OR($E508="",$E508="نامعتبر",Sync!$X504=""),"",IF(AND(LEFT(UPPER(TRIM(Sync!$X504)),2)="SL",IFERROR(VLOOKUP(Sync!$W504,OpTbl,3,0),"")="فروش"),UPPER(TRIM(Sync!$X504)),""))</f>
        <v/>
      </c>
      <c r="H508" t="str">
        <f>IF($G508="","",IF(Sync!$W504="","",Sync!$W504))</f>
        <v/>
      </c>
      <c r="I508" t="str">
        <f>IF(OR($G508="",Sync!$Y504=""),"",Sync!$Y504)</f>
        <v/>
      </c>
      <c r="J508" t="str">
        <f>IF(OR($G508="",Sync!$Z504=""),"",Sync!$Z504)</f>
        <v/>
      </c>
      <c r="K508">
        <f>IF($G508="",0,IF(Sync!$AA504="",0,Sync!$AA504))</f>
        <v>0</v>
      </c>
      <c r="L508">
        <f>IF($G508="",0,IF(Sync!$AB504="",0,Sync!$AB504))</f>
        <v>0</v>
      </c>
      <c r="M508" t="str">
        <f t="shared" si="47"/>
        <v/>
      </c>
      <c r="N508">
        <f>IF($G508="",0,IF($H508="مرجوعی فروش",-1,1)*IF(Sync!$AC504="",0,Sync!$AC504))</f>
        <v>0</v>
      </c>
      <c r="O508" t="str">
        <f>IF(OR($G508="",Sync!$V504=""),"",Sync!$V504)</f>
        <v/>
      </c>
      <c r="P508" t="str">
        <f>IF(OR($G508="",Sync!$AD504=""),"",Sync!$AD504)</f>
        <v/>
      </c>
      <c r="Q508" t="str">
        <f>IF($G508="","",IF(Sync!$U504="","0000",IF(AND(ISNUMBER(Sync!$U504),Sync!$U504&gt;=0,Sync!$U504&lt;1),RIGHT("00"&amp;HOUR(Sync!$U504),2)&amp;RIGHT("00"&amp;MINUTE(Sync!$U504),2),IFERROR(RIGHT("00"&amp;VALUE(LEFT(Sync!$U504,FIND(":",Sync!$U504)-1)),2)&amp;RIGHT("00"&amp;VALUE(MID(Sync!$U504,FIND(":",Sync!$U504)+1,2)),2),"0000"))))</f>
        <v/>
      </c>
    </row>
    <row r="509" spans="1:17" x14ac:dyDescent="0.2">
      <c r="A509" t="str">
        <f>IF(Sync!$T505="","",Sync!$T505)</f>
        <v/>
      </c>
      <c r="B509" t="str">
        <f t="shared" si="42"/>
        <v/>
      </c>
      <c r="C509" t="str">
        <f t="shared" si="43"/>
        <v/>
      </c>
      <c r="D509" t="str">
        <f t="shared" si="44"/>
        <v/>
      </c>
      <c r="E509" t="str">
        <f t="shared" si="45"/>
        <v/>
      </c>
      <c r="F509" t="str">
        <f t="shared" si="46"/>
        <v/>
      </c>
      <c r="G509" t="str">
        <f>IF(OR($E509="",$E509="نامعتبر",Sync!$X505=""),"",IF(AND(LEFT(UPPER(TRIM(Sync!$X505)),2)="SL",IFERROR(VLOOKUP(Sync!$W505,OpTbl,3,0),"")="فروش"),UPPER(TRIM(Sync!$X505)),""))</f>
        <v/>
      </c>
      <c r="H509" t="str">
        <f>IF($G509="","",IF(Sync!$W505="","",Sync!$W505))</f>
        <v/>
      </c>
      <c r="I509" t="str">
        <f>IF(OR($G509="",Sync!$Y505=""),"",Sync!$Y505)</f>
        <v/>
      </c>
      <c r="J509" t="str">
        <f>IF(OR($G509="",Sync!$Z505=""),"",Sync!$Z505)</f>
        <v/>
      </c>
      <c r="K509">
        <f>IF($G509="",0,IF(Sync!$AA505="",0,Sync!$AA505))</f>
        <v>0</v>
      </c>
      <c r="L509">
        <f>IF($G509="",0,IF(Sync!$AB505="",0,Sync!$AB505))</f>
        <v>0</v>
      </c>
      <c r="M509" t="str">
        <f t="shared" si="47"/>
        <v/>
      </c>
      <c r="N509">
        <f>IF($G509="",0,IF($H509="مرجوعی فروش",-1,1)*IF(Sync!$AC505="",0,Sync!$AC505))</f>
        <v>0</v>
      </c>
      <c r="O509" t="str">
        <f>IF(OR($G509="",Sync!$V505=""),"",Sync!$V505)</f>
        <v/>
      </c>
      <c r="P509" t="str">
        <f>IF(OR($G509="",Sync!$AD505=""),"",Sync!$AD505)</f>
        <v/>
      </c>
      <c r="Q509" t="str">
        <f>IF($G509="","",IF(Sync!$U505="","0000",IF(AND(ISNUMBER(Sync!$U505),Sync!$U505&gt;=0,Sync!$U505&lt;1),RIGHT("00"&amp;HOUR(Sync!$U505),2)&amp;RIGHT("00"&amp;MINUTE(Sync!$U505),2),IFERROR(RIGHT("00"&amp;VALUE(LEFT(Sync!$U505,FIND(":",Sync!$U505)-1)),2)&amp;RIGHT("00"&amp;VALUE(MID(Sync!$U505,FIND(":",Sync!$U505)+1,2)),2),"0000"))))</f>
        <v/>
      </c>
    </row>
    <row r="510" spans="1:17" x14ac:dyDescent="0.2">
      <c r="A510" t="str">
        <f>IF(Sync!$T506="","",Sync!$T506)</f>
        <v/>
      </c>
      <c r="B510" t="str">
        <f t="shared" si="42"/>
        <v/>
      </c>
      <c r="C510" t="str">
        <f t="shared" si="43"/>
        <v/>
      </c>
      <c r="D510" t="str">
        <f t="shared" si="44"/>
        <v/>
      </c>
      <c r="E510" t="str">
        <f t="shared" si="45"/>
        <v/>
      </c>
      <c r="F510" t="str">
        <f t="shared" si="46"/>
        <v/>
      </c>
      <c r="G510" t="str">
        <f>IF(OR($E510="",$E510="نامعتبر",Sync!$X506=""),"",IF(AND(LEFT(UPPER(TRIM(Sync!$X506)),2)="SL",IFERROR(VLOOKUP(Sync!$W506,OpTbl,3,0),"")="فروش"),UPPER(TRIM(Sync!$X506)),""))</f>
        <v/>
      </c>
      <c r="H510" t="str">
        <f>IF($G510="","",IF(Sync!$W506="","",Sync!$W506))</f>
        <v/>
      </c>
      <c r="I510" t="str">
        <f>IF(OR($G510="",Sync!$Y506=""),"",Sync!$Y506)</f>
        <v/>
      </c>
      <c r="J510" t="str">
        <f>IF(OR($G510="",Sync!$Z506=""),"",Sync!$Z506)</f>
        <v/>
      </c>
      <c r="K510">
        <f>IF($G510="",0,IF(Sync!$AA506="",0,Sync!$AA506))</f>
        <v>0</v>
      </c>
      <c r="L510">
        <f>IF($G510="",0,IF(Sync!$AB506="",0,Sync!$AB506))</f>
        <v>0</v>
      </c>
      <c r="M510" t="str">
        <f t="shared" si="47"/>
        <v/>
      </c>
      <c r="N510">
        <f>IF($G510="",0,IF($H510="مرجوعی فروش",-1,1)*IF(Sync!$AC506="",0,Sync!$AC506))</f>
        <v>0</v>
      </c>
      <c r="O510" t="str">
        <f>IF(OR($G510="",Sync!$V506=""),"",Sync!$V506)</f>
        <v/>
      </c>
      <c r="P510" t="str">
        <f>IF(OR($G510="",Sync!$AD506=""),"",Sync!$AD506)</f>
        <v/>
      </c>
      <c r="Q510" t="str">
        <f>IF($G510="","",IF(Sync!$U506="","0000",IF(AND(ISNUMBER(Sync!$U506),Sync!$U506&gt;=0,Sync!$U506&lt;1),RIGHT("00"&amp;HOUR(Sync!$U506),2)&amp;RIGHT("00"&amp;MINUTE(Sync!$U506),2),IFERROR(RIGHT("00"&amp;VALUE(LEFT(Sync!$U506,FIND(":",Sync!$U506)-1)),2)&amp;RIGHT("00"&amp;VALUE(MID(Sync!$U506,FIND(":",Sync!$U506)+1,2)),2),"0000"))))</f>
        <v/>
      </c>
    </row>
    <row r="511" spans="1:17" x14ac:dyDescent="0.2">
      <c r="A511" t="str">
        <f>IF(Sync!$T507="","",Sync!$T507)</f>
        <v/>
      </c>
      <c r="B511" t="str">
        <f t="shared" si="42"/>
        <v/>
      </c>
      <c r="C511" t="str">
        <f t="shared" si="43"/>
        <v/>
      </c>
      <c r="D511" t="str">
        <f t="shared" si="44"/>
        <v/>
      </c>
      <c r="E511" t="str">
        <f t="shared" si="45"/>
        <v/>
      </c>
      <c r="F511" t="str">
        <f t="shared" si="46"/>
        <v/>
      </c>
      <c r="G511" t="str">
        <f>IF(OR($E511="",$E511="نامعتبر",Sync!$X507=""),"",IF(AND(LEFT(UPPER(TRIM(Sync!$X507)),2)="SL",IFERROR(VLOOKUP(Sync!$W507,OpTbl,3,0),"")="فروش"),UPPER(TRIM(Sync!$X507)),""))</f>
        <v/>
      </c>
      <c r="H511" t="str">
        <f>IF($G511="","",IF(Sync!$W507="","",Sync!$W507))</f>
        <v/>
      </c>
      <c r="I511" t="str">
        <f>IF(OR($G511="",Sync!$Y507=""),"",Sync!$Y507)</f>
        <v/>
      </c>
      <c r="J511" t="str">
        <f>IF(OR($G511="",Sync!$Z507=""),"",Sync!$Z507)</f>
        <v/>
      </c>
      <c r="K511">
        <f>IF($G511="",0,IF(Sync!$AA507="",0,Sync!$AA507))</f>
        <v>0</v>
      </c>
      <c r="L511">
        <f>IF($G511="",0,IF(Sync!$AB507="",0,Sync!$AB507))</f>
        <v>0</v>
      </c>
      <c r="M511" t="str">
        <f t="shared" si="47"/>
        <v/>
      </c>
      <c r="N511">
        <f>IF($G511="",0,IF($H511="مرجوعی فروش",-1,1)*IF(Sync!$AC507="",0,Sync!$AC507))</f>
        <v>0</v>
      </c>
      <c r="O511" t="str">
        <f>IF(OR($G511="",Sync!$V507=""),"",Sync!$V507)</f>
        <v/>
      </c>
      <c r="P511" t="str">
        <f>IF(OR($G511="",Sync!$AD507=""),"",Sync!$AD507)</f>
        <v/>
      </c>
      <c r="Q511" t="str">
        <f>IF($G511="","",IF(Sync!$U507="","0000",IF(AND(ISNUMBER(Sync!$U507),Sync!$U507&gt;=0,Sync!$U507&lt;1),RIGHT("00"&amp;HOUR(Sync!$U507),2)&amp;RIGHT("00"&amp;MINUTE(Sync!$U507),2),IFERROR(RIGHT("00"&amp;VALUE(LEFT(Sync!$U507,FIND(":",Sync!$U507)-1)),2)&amp;RIGHT("00"&amp;VALUE(MID(Sync!$U507,FIND(":",Sync!$U507)+1,2)),2),"0000"))))</f>
        <v/>
      </c>
    </row>
    <row r="512" spans="1:17" x14ac:dyDescent="0.2">
      <c r="A512" t="str">
        <f>IF(Sync!$T508="","",Sync!$T508)</f>
        <v/>
      </c>
      <c r="B512" t="str">
        <f t="shared" si="42"/>
        <v/>
      </c>
      <c r="C512" t="str">
        <f t="shared" si="43"/>
        <v/>
      </c>
      <c r="D512" t="str">
        <f t="shared" si="44"/>
        <v/>
      </c>
      <c r="E512" t="str">
        <f t="shared" si="45"/>
        <v/>
      </c>
      <c r="F512" t="str">
        <f t="shared" si="46"/>
        <v/>
      </c>
      <c r="G512" t="str">
        <f>IF(OR($E512="",$E512="نامعتبر",Sync!$X508=""),"",IF(AND(LEFT(UPPER(TRIM(Sync!$X508)),2)="SL",IFERROR(VLOOKUP(Sync!$W508,OpTbl,3,0),"")="فروش"),UPPER(TRIM(Sync!$X508)),""))</f>
        <v/>
      </c>
      <c r="H512" t="str">
        <f>IF($G512="","",IF(Sync!$W508="","",Sync!$W508))</f>
        <v/>
      </c>
      <c r="I512" t="str">
        <f>IF(OR($G512="",Sync!$Y508=""),"",Sync!$Y508)</f>
        <v/>
      </c>
      <c r="J512" t="str">
        <f>IF(OR($G512="",Sync!$Z508=""),"",Sync!$Z508)</f>
        <v/>
      </c>
      <c r="K512">
        <f>IF($G512="",0,IF(Sync!$AA508="",0,Sync!$AA508))</f>
        <v>0</v>
      </c>
      <c r="L512">
        <f>IF($G512="",0,IF(Sync!$AB508="",0,Sync!$AB508))</f>
        <v>0</v>
      </c>
      <c r="M512" t="str">
        <f t="shared" si="47"/>
        <v/>
      </c>
      <c r="N512">
        <f>IF($G512="",0,IF($H512="مرجوعی فروش",-1,1)*IF(Sync!$AC508="",0,Sync!$AC508))</f>
        <v>0</v>
      </c>
      <c r="O512" t="str">
        <f>IF(OR($G512="",Sync!$V508=""),"",Sync!$V508)</f>
        <v/>
      </c>
      <c r="P512" t="str">
        <f>IF(OR($G512="",Sync!$AD508=""),"",Sync!$AD508)</f>
        <v/>
      </c>
      <c r="Q512" t="str">
        <f>IF($G512="","",IF(Sync!$U508="","0000",IF(AND(ISNUMBER(Sync!$U508),Sync!$U508&gt;=0,Sync!$U508&lt;1),RIGHT("00"&amp;HOUR(Sync!$U508),2)&amp;RIGHT("00"&amp;MINUTE(Sync!$U508),2),IFERROR(RIGHT("00"&amp;VALUE(LEFT(Sync!$U508,FIND(":",Sync!$U508)-1)),2)&amp;RIGHT("00"&amp;VALUE(MID(Sync!$U508,FIND(":",Sync!$U508)+1,2)),2),"0000"))))</f>
        <v/>
      </c>
    </row>
    <row r="513" spans="1:17" x14ac:dyDescent="0.2">
      <c r="A513" t="str">
        <f>IF(Sync!$T509="","",Sync!$T509)</f>
        <v/>
      </c>
      <c r="B513" t="str">
        <f t="shared" si="42"/>
        <v/>
      </c>
      <c r="C513" t="str">
        <f t="shared" si="43"/>
        <v/>
      </c>
      <c r="D513" t="str">
        <f t="shared" si="44"/>
        <v/>
      </c>
      <c r="E513" t="str">
        <f t="shared" si="45"/>
        <v/>
      </c>
      <c r="F513" t="str">
        <f t="shared" si="46"/>
        <v/>
      </c>
      <c r="G513" t="str">
        <f>IF(OR($E513="",$E513="نامعتبر",Sync!$X509=""),"",IF(AND(LEFT(UPPER(TRIM(Sync!$X509)),2)="SL",IFERROR(VLOOKUP(Sync!$W509,OpTbl,3,0),"")="فروش"),UPPER(TRIM(Sync!$X509)),""))</f>
        <v/>
      </c>
      <c r="H513" t="str">
        <f>IF($G513="","",IF(Sync!$W509="","",Sync!$W509))</f>
        <v/>
      </c>
      <c r="I513" t="str">
        <f>IF(OR($G513="",Sync!$Y509=""),"",Sync!$Y509)</f>
        <v/>
      </c>
      <c r="J513" t="str">
        <f>IF(OR($G513="",Sync!$Z509=""),"",Sync!$Z509)</f>
        <v/>
      </c>
      <c r="K513">
        <f>IF($G513="",0,IF(Sync!$AA509="",0,Sync!$AA509))</f>
        <v>0</v>
      </c>
      <c r="L513">
        <f>IF($G513="",0,IF(Sync!$AB509="",0,Sync!$AB509))</f>
        <v>0</v>
      </c>
      <c r="M513" t="str">
        <f t="shared" si="47"/>
        <v/>
      </c>
      <c r="N513">
        <f>IF($G513="",0,IF($H513="مرجوعی فروش",-1,1)*IF(Sync!$AC509="",0,Sync!$AC509))</f>
        <v>0</v>
      </c>
      <c r="O513" t="str">
        <f>IF(OR($G513="",Sync!$V509=""),"",Sync!$V509)</f>
        <v/>
      </c>
      <c r="P513" t="str">
        <f>IF(OR($G513="",Sync!$AD509=""),"",Sync!$AD509)</f>
        <v/>
      </c>
      <c r="Q513" t="str">
        <f>IF($G513="","",IF(Sync!$U509="","0000",IF(AND(ISNUMBER(Sync!$U509),Sync!$U509&gt;=0,Sync!$U509&lt;1),RIGHT("00"&amp;HOUR(Sync!$U509),2)&amp;RIGHT("00"&amp;MINUTE(Sync!$U509),2),IFERROR(RIGHT("00"&amp;VALUE(LEFT(Sync!$U509,FIND(":",Sync!$U509)-1)),2)&amp;RIGHT("00"&amp;VALUE(MID(Sync!$U509,FIND(":",Sync!$U509)+1,2)),2),"0000"))))</f>
        <v/>
      </c>
    </row>
    <row r="514" spans="1:17" x14ac:dyDescent="0.2">
      <c r="A514" t="str">
        <f>IF(Sync!$T510="","",Sync!$T510)</f>
        <v/>
      </c>
      <c r="B514" t="str">
        <f t="shared" si="42"/>
        <v/>
      </c>
      <c r="C514" t="str">
        <f t="shared" si="43"/>
        <v/>
      </c>
      <c r="D514" t="str">
        <f t="shared" si="44"/>
        <v/>
      </c>
      <c r="E514" t="str">
        <f t="shared" si="45"/>
        <v/>
      </c>
      <c r="F514" t="str">
        <f t="shared" si="46"/>
        <v/>
      </c>
      <c r="G514" t="str">
        <f>IF(OR($E514="",$E514="نامعتبر",Sync!$X510=""),"",IF(AND(LEFT(UPPER(TRIM(Sync!$X510)),2)="SL",IFERROR(VLOOKUP(Sync!$W510,OpTbl,3,0),"")="فروش"),UPPER(TRIM(Sync!$X510)),""))</f>
        <v/>
      </c>
      <c r="H514" t="str">
        <f>IF($G514="","",IF(Sync!$W510="","",Sync!$W510))</f>
        <v/>
      </c>
      <c r="I514" t="str">
        <f>IF(OR($G514="",Sync!$Y510=""),"",Sync!$Y510)</f>
        <v/>
      </c>
      <c r="J514" t="str">
        <f>IF(OR($G514="",Sync!$Z510=""),"",Sync!$Z510)</f>
        <v/>
      </c>
      <c r="K514">
        <f>IF($G514="",0,IF(Sync!$AA510="",0,Sync!$AA510))</f>
        <v>0</v>
      </c>
      <c r="L514">
        <f>IF($G514="",0,IF(Sync!$AB510="",0,Sync!$AB510))</f>
        <v>0</v>
      </c>
      <c r="M514" t="str">
        <f t="shared" si="47"/>
        <v/>
      </c>
      <c r="N514">
        <f>IF($G514="",0,IF($H514="مرجوعی فروش",-1,1)*IF(Sync!$AC510="",0,Sync!$AC510))</f>
        <v>0</v>
      </c>
      <c r="O514" t="str">
        <f>IF(OR($G514="",Sync!$V510=""),"",Sync!$V510)</f>
        <v/>
      </c>
      <c r="P514" t="str">
        <f>IF(OR($G514="",Sync!$AD510=""),"",Sync!$AD510)</f>
        <v/>
      </c>
      <c r="Q514" t="str">
        <f>IF($G514="","",IF(Sync!$U510="","0000",IF(AND(ISNUMBER(Sync!$U510),Sync!$U510&gt;=0,Sync!$U510&lt;1),RIGHT("00"&amp;HOUR(Sync!$U510),2)&amp;RIGHT("00"&amp;MINUTE(Sync!$U510),2),IFERROR(RIGHT("00"&amp;VALUE(LEFT(Sync!$U510,FIND(":",Sync!$U510)-1)),2)&amp;RIGHT("00"&amp;VALUE(MID(Sync!$U510,FIND(":",Sync!$U510)+1,2)),2),"0000"))))</f>
        <v/>
      </c>
    </row>
    <row r="515" spans="1:17" x14ac:dyDescent="0.2">
      <c r="A515" t="str">
        <f>IF(Sync!$T511="","",Sync!$T511)</f>
        <v/>
      </c>
      <c r="B515" t="str">
        <f t="shared" si="42"/>
        <v/>
      </c>
      <c r="C515" t="str">
        <f t="shared" si="43"/>
        <v/>
      </c>
      <c r="D515" t="str">
        <f t="shared" si="44"/>
        <v/>
      </c>
      <c r="E515" t="str">
        <f t="shared" si="45"/>
        <v/>
      </c>
      <c r="F515" t="str">
        <f t="shared" si="46"/>
        <v/>
      </c>
      <c r="G515" t="str">
        <f>IF(OR($E515="",$E515="نامعتبر",Sync!$X511=""),"",IF(AND(LEFT(UPPER(TRIM(Sync!$X511)),2)="SL",IFERROR(VLOOKUP(Sync!$W511,OpTbl,3,0),"")="فروش"),UPPER(TRIM(Sync!$X511)),""))</f>
        <v/>
      </c>
      <c r="H515" t="str">
        <f>IF($G515="","",IF(Sync!$W511="","",Sync!$W511))</f>
        <v/>
      </c>
      <c r="I515" t="str">
        <f>IF(OR($G515="",Sync!$Y511=""),"",Sync!$Y511)</f>
        <v/>
      </c>
      <c r="J515" t="str">
        <f>IF(OR($G515="",Sync!$Z511=""),"",Sync!$Z511)</f>
        <v/>
      </c>
      <c r="K515">
        <f>IF($G515="",0,IF(Sync!$AA511="",0,Sync!$AA511))</f>
        <v>0</v>
      </c>
      <c r="L515">
        <f>IF($G515="",0,IF(Sync!$AB511="",0,Sync!$AB511))</f>
        <v>0</v>
      </c>
      <c r="M515" t="str">
        <f t="shared" si="47"/>
        <v/>
      </c>
      <c r="N515">
        <f>IF($G515="",0,IF($H515="مرجوعی فروش",-1,1)*IF(Sync!$AC511="",0,Sync!$AC511))</f>
        <v>0</v>
      </c>
      <c r="O515" t="str">
        <f>IF(OR($G515="",Sync!$V511=""),"",Sync!$V511)</f>
        <v/>
      </c>
      <c r="P515" t="str">
        <f>IF(OR($G515="",Sync!$AD511=""),"",Sync!$AD511)</f>
        <v/>
      </c>
      <c r="Q515" t="str">
        <f>IF($G515="","",IF(Sync!$U511="","0000",IF(AND(ISNUMBER(Sync!$U511),Sync!$U511&gt;=0,Sync!$U511&lt;1),RIGHT("00"&amp;HOUR(Sync!$U511),2)&amp;RIGHT("00"&amp;MINUTE(Sync!$U511),2),IFERROR(RIGHT("00"&amp;VALUE(LEFT(Sync!$U511,FIND(":",Sync!$U511)-1)),2)&amp;RIGHT("00"&amp;VALUE(MID(Sync!$U511,FIND(":",Sync!$U511)+1,2)),2),"0000"))))</f>
        <v/>
      </c>
    </row>
    <row r="516" spans="1:17" x14ac:dyDescent="0.2">
      <c r="A516" t="str">
        <f>IF(Sync!$T512="","",Sync!$T512)</f>
        <v/>
      </c>
      <c r="B516" t="str">
        <f t="shared" si="42"/>
        <v/>
      </c>
      <c r="C516" t="str">
        <f t="shared" si="43"/>
        <v/>
      </c>
      <c r="D516" t="str">
        <f t="shared" si="44"/>
        <v/>
      </c>
      <c r="E516" t="str">
        <f t="shared" si="45"/>
        <v/>
      </c>
      <c r="F516" t="str">
        <f t="shared" si="46"/>
        <v/>
      </c>
      <c r="G516" t="str">
        <f>IF(OR($E516="",$E516="نامعتبر",Sync!$X512=""),"",IF(AND(LEFT(UPPER(TRIM(Sync!$X512)),2)="SL",IFERROR(VLOOKUP(Sync!$W512,OpTbl,3,0),"")="فروش"),UPPER(TRIM(Sync!$X512)),""))</f>
        <v/>
      </c>
      <c r="H516" t="str">
        <f>IF($G516="","",IF(Sync!$W512="","",Sync!$W512))</f>
        <v/>
      </c>
      <c r="I516" t="str">
        <f>IF(OR($G516="",Sync!$Y512=""),"",Sync!$Y512)</f>
        <v/>
      </c>
      <c r="J516" t="str">
        <f>IF(OR($G516="",Sync!$Z512=""),"",Sync!$Z512)</f>
        <v/>
      </c>
      <c r="K516">
        <f>IF($G516="",0,IF(Sync!$AA512="",0,Sync!$AA512))</f>
        <v>0</v>
      </c>
      <c r="L516">
        <f>IF($G516="",0,IF(Sync!$AB512="",0,Sync!$AB512))</f>
        <v>0</v>
      </c>
      <c r="M516" t="str">
        <f t="shared" si="47"/>
        <v/>
      </c>
      <c r="N516">
        <f>IF($G516="",0,IF($H516="مرجوعی فروش",-1,1)*IF(Sync!$AC512="",0,Sync!$AC512))</f>
        <v>0</v>
      </c>
      <c r="O516" t="str">
        <f>IF(OR($G516="",Sync!$V512=""),"",Sync!$V512)</f>
        <v/>
      </c>
      <c r="P516" t="str">
        <f>IF(OR($G516="",Sync!$AD512=""),"",Sync!$AD512)</f>
        <v/>
      </c>
      <c r="Q516" t="str">
        <f>IF($G516="","",IF(Sync!$U512="","0000",IF(AND(ISNUMBER(Sync!$U512),Sync!$U512&gt;=0,Sync!$U512&lt;1),RIGHT("00"&amp;HOUR(Sync!$U512),2)&amp;RIGHT("00"&amp;MINUTE(Sync!$U512),2),IFERROR(RIGHT("00"&amp;VALUE(LEFT(Sync!$U512,FIND(":",Sync!$U512)-1)),2)&amp;RIGHT("00"&amp;VALUE(MID(Sync!$U512,FIND(":",Sync!$U512)+1,2)),2),"0000"))))</f>
        <v/>
      </c>
    </row>
    <row r="517" spans="1:17" x14ac:dyDescent="0.2">
      <c r="A517" t="str">
        <f>IF(Sync!$T513="","",Sync!$T513)</f>
        <v/>
      </c>
      <c r="B517" t="str">
        <f t="shared" si="42"/>
        <v/>
      </c>
      <c r="C517" t="str">
        <f t="shared" si="43"/>
        <v/>
      </c>
      <c r="D517" t="str">
        <f t="shared" si="44"/>
        <v/>
      </c>
      <c r="E517" t="str">
        <f t="shared" si="45"/>
        <v/>
      </c>
      <c r="F517" t="str">
        <f t="shared" si="46"/>
        <v/>
      </c>
      <c r="G517" t="str">
        <f>IF(OR($E517="",$E517="نامعتبر",Sync!$X513=""),"",IF(AND(LEFT(UPPER(TRIM(Sync!$X513)),2)="SL",IFERROR(VLOOKUP(Sync!$W513,OpTbl,3,0),"")="فروش"),UPPER(TRIM(Sync!$X513)),""))</f>
        <v/>
      </c>
      <c r="H517" t="str">
        <f>IF($G517="","",IF(Sync!$W513="","",Sync!$W513))</f>
        <v/>
      </c>
      <c r="I517" t="str">
        <f>IF(OR($G517="",Sync!$Y513=""),"",Sync!$Y513)</f>
        <v/>
      </c>
      <c r="J517" t="str">
        <f>IF(OR($G517="",Sync!$Z513=""),"",Sync!$Z513)</f>
        <v/>
      </c>
      <c r="K517">
        <f>IF($G517="",0,IF(Sync!$AA513="",0,Sync!$AA513))</f>
        <v>0</v>
      </c>
      <c r="L517">
        <f>IF($G517="",0,IF(Sync!$AB513="",0,Sync!$AB513))</f>
        <v>0</v>
      </c>
      <c r="M517" t="str">
        <f t="shared" si="47"/>
        <v/>
      </c>
      <c r="N517">
        <f>IF($G517="",0,IF($H517="مرجوعی فروش",-1,1)*IF(Sync!$AC513="",0,Sync!$AC513))</f>
        <v>0</v>
      </c>
      <c r="O517" t="str">
        <f>IF(OR($G517="",Sync!$V513=""),"",Sync!$V513)</f>
        <v/>
      </c>
      <c r="P517" t="str">
        <f>IF(OR($G517="",Sync!$AD513=""),"",Sync!$AD513)</f>
        <v/>
      </c>
      <c r="Q517" t="str">
        <f>IF($G517="","",IF(Sync!$U513="","0000",IF(AND(ISNUMBER(Sync!$U513),Sync!$U513&gt;=0,Sync!$U513&lt;1),RIGHT("00"&amp;HOUR(Sync!$U513),2)&amp;RIGHT("00"&amp;MINUTE(Sync!$U513),2),IFERROR(RIGHT("00"&amp;VALUE(LEFT(Sync!$U513,FIND(":",Sync!$U513)-1)),2)&amp;RIGHT("00"&amp;VALUE(MID(Sync!$U513,FIND(":",Sync!$U513)+1,2)),2),"0000"))))</f>
        <v/>
      </c>
    </row>
    <row r="518" spans="1:17" x14ac:dyDescent="0.2">
      <c r="A518" t="str">
        <f>IF(Sync!$T514="","",Sync!$T514)</f>
        <v/>
      </c>
      <c r="B518" t="str">
        <f t="shared" si="42"/>
        <v/>
      </c>
      <c r="C518" t="str">
        <f t="shared" si="43"/>
        <v/>
      </c>
      <c r="D518" t="str">
        <f t="shared" si="44"/>
        <v/>
      </c>
      <c r="E518" t="str">
        <f t="shared" si="45"/>
        <v/>
      </c>
      <c r="F518" t="str">
        <f t="shared" si="46"/>
        <v/>
      </c>
      <c r="G518" t="str">
        <f>IF(OR($E518="",$E518="نامعتبر",Sync!$X514=""),"",IF(AND(LEFT(UPPER(TRIM(Sync!$X514)),2)="SL",IFERROR(VLOOKUP(Sync!$W514,OpTbl,3,0),"")="فروش"),UPPER(TRIM(Sync!$X514)),""))</f>
        <v/>
      </c>
      <c r="H518" t="str">
        <f>IF($G518="","",IF(Sync!$W514="","",Sync!$W514))</f>
        <v/>
      </c>
      <c r="I518" t="str">
        <f>IF(OR($G518="",Sync!$Y514=""),"",Sync!$Y514)</f>
        <v/>
      </c>
      <c r="J518" t="str">
        <f>IF(OR($G518="",Sync!$Z514=""),"",Sync!$Z514)</f>
        <v/>
      </c>
      <c r="K518">
        <f>IF($G518="",0,IF(Sync!$AA514="",0,Sync!$AA514))</f>
        <v>0</v>
      </c>
      <c r="L518">
        <f>IF($G518="",0,IF(Sync!$AB514="",0,Sync!$AB514))</f>
        <v>0</v>
      </c>
      <c r="M518" t="str">
        <f t="shared" si="47"/>
        <v/>
      </c>
      <c r="N518">
        <f>IF($G518="",0,IF($H518="مرجوعی فروش",-1,1)*IF(Sync!$AC514="",0,Sync!$AC514))</f>
        <v>0</v>
      </c>
      <c r="O518" t="str">
        <f>IF(OR($G518="",Sync!$V514=""),"",Sync!$V514)</f>
        <v/>
      </c>
      <c r="P518" t="str">
        <f>IF(OR($G518="",Sync!$AD514=""),"",Sync!$AD514)</f>
        <v/>
      </c>
      <c r="Q518" t="str">
        <f>IF($G518="","",IF(Sync!$U514="","0000",IF(AND(ISNUMBER(Sync!$U514),Sync!$U514&gt;=0,Sync!$U514&lt;1),RIGHT("00"&amp;HOUR(Sync!$U514),2)&amp;RIGHT("00"&amp;MINUTE(Sync!$U514),2),IFERROR(RIGHT("00"&amp;VALUE(LEFT(Sync!$U514,FIND(":",Sync!$U514)-1)),2)&amp;RIGHT("00"&amp;VALUE(MID(Sync!$U514,FIND(":",Sync!$U514)+1,2)),2),"0000"))))</f>
        <v/>
      </c>
    </row>
    <row r="519" spans="1:17" x14ac:dyDescent="0.2">
      <c r="A519" t="str">
        <f>IF(Sync!$T515="","",Sync!$T515)</f>
        <v/>
      </c>
      <c r="B519" t="str">
        <f t="shared" si="42"/>
        <v/>
      </c>
      <c r="C519" t="str">
        <f t="shared" si="43"/>
        <v/>
      </c>
      <c r="D519" t="str">
        <f t="shared" si="44"/>
        <v/>
      </c>
      <c r="E519" t="str">
        <f t="shared" si="45"/>
        <v/>
      </c>
      <c r="F519" t="str">
        <f t="shared" si="46"/>
        <v/>
      </c>
      <c r="G519" t="str">
        <f>IF(OR($E519="",$E519="نامعتبر",Sync!$X515=""),"",IF(AND(LEFT(UPPER(TRIM(Sync!$X515)),2)="SL",IFERROR(VLOOKUP(Sync!$W515,OpTbl,3,0),"")="فروش"),UPPER(TRIM(Sync!$X515)),""))</f>
        <v/>
      </c>
      <c r="H519" t="str">
        <f>IF($G519="","",IF(Sync!$W515="","",Sync!$W515))</f>
        <v/>
      </c>
      <c r="I519" t="str">
        <f>IF(OR($G519="",Sync!$Y515=""),"",Sync!$Y515)</f>
        <v/>
      </c>
      <c r="J519" t="str">
        <f>IF(OR($G519="",Sync!$Z515=""),"",Sync!$Z515)</f>
        <v/>
      </c>
      <c r="K519">
        <f>IF($G519="",0,IF(Sync!$AA515="",0,Sync!$AA515))</f>
        <v>0</v>
      </c>
      <c r="L519">
        <f>IF($G519="",0,IF(Sync!$AB515="",0,Sync!$AB515))</f>
        <v>0</v>
      </c>
      <c r="M519" t="str">
        <f t="shared" si="47"/>
        <v/>
      </c>
      <c r="N519">
        <f>IF($G519="",0,IF($H519="مرجوعی فروش",-1,1)*IF(Sync!$AC515="",0,Sync!$AC515))</f>
        <v>0</v>
      </c>
      <c r="O519" t="str">
        <f>IF(OR($G519="",Sync!$V515=""),"",Sync!$V515)</f>
        <v/>
      </c>
      <c r="P519" t="str">
        <f>IF(OR($G519="",Sync!$AD515=""),"",Sync!$AD515)</f>
        <v/>
      </c>
      <c r="Q519" t="str">
        <f>IF($G519="","",IF(Sync!$U515="","0000",IF(AND(ISNUMBER(Sync!$U515),Sync!$U515&gt;=0,Sync!$U515&lt;1),RIGHT("00"&amp;HOUR(Sync!$U515),2)&amp;RIGHT("00"&amp;MINUTE(Sync!$U515),2),IFERROR(RIGHT("00"&amp;VALUE(LEFT(Sync!$U515,FIND(":",Sync!$U515)-1)),2)&amp;RIGHT("00"&amp;VALUE(MID(Sync!$U515,FIND(":",Sync!$U515)+1,2)),2),"0000"))))</f>
        <v/>
      </c>
    </row>
    <row r="520" spans="1:17" x14ac:dyDescent="0.2">
      <c r="A520" t="str">
        <f>IF(Sync!$T516="","",Sync!$T516)</f>
        <v/>
      </c>
      <c r="B520" t="str">
        <f t="shared" si="42"/>
        <v/>
      </c>
      <c r="C520" t="str">
        <f t="shared" si="43"/>
        <v/>
      </c>
      <c r="D520" t="str">
        <f t="shared" si="44"/>
        <v/>
      </c>
      <c r="E520" t="str">
        <f t="shared" si="45"/>
        <v/>
      </c>
      <c r="F520" t="str">
        <f t="shared" si="46"/>
        <v/>
      </c>
      <c r="G520" t="str">
        <f>IF(OR($E520="",$E520="نامعتبر",Sync!$X516=""),"",IF(AND(LEFT(UPPER(TRIM(Sync!$X516)),2)="SL",IFERROR(VLOOKUP(Sync!$W516,OpTbl,3,0),"")="فروش"),UPPER(TRIM(Sync!$X516)),""))</f>
        <v/>
      </c>
      <c r="H520" t="str">
        <f>IF($G520="","",IF(Sync!$W516="","",Sync!$W516))</f>
        <v/>
      </c>
      <c r="I520" t="str">
        <f>IF(OR($G520="",Sync!$Y516=""),"",Sync!$Y516)</f>
        <v/>
      </c>
      <c r="J520" t="str">
        <f>IF(OR($G520="",Sync!$Z516=""),"",Sync!$Z516)</f>
        <v/>
      </c>
      <c r="K520">
        <f>IF($G520="",0,IF(Sync!$AA516="",0,Sync!$AA516))</f>
        <v>0</v>
      </c>
      <c r="L520">
        <f>IF($G520="",0,IF(Sync!$AB516="",0,Sync!$AB516))</f>
        <v>0</v>
      </c>
      <c r="M520" t="str">
        <f t="shared" si="47"/>
        <v/>
      </c>
      <c r="N520">
        <f>IF($G520="",0,IF($H520="مرجوعی فروش",-1,1)*IF(Sync!$AC516="",0,Sync!$AC516))</f>
        <v>0</v>
      </c>
      <c r="O520" t="str">
        <f>IF(OR($G520="",Sync!$V516=""),"",Sync!$V516)</f>
        <v/>
      </c>
      <c r="P520" t="str">
        <f>IF(OR($G520="",Sync!$AD516=""),"",Sync!$AD516)</f>
        <v/>
      </c>
      <c r="Q520" t="str">
        <f>IF($G520="","",IF(Sync!$U516="","0000",IF(AND(ISNUMBER(Sync!$U516),Sync!$U516&gt;=0,Sync!$U516&lt;1),RIGHT("00"&amp;HOUR(Sync!$U516),2)&amp;RIGHT("00"&amp;MINUTE(Sync!$U516),2),IFERROR(RIGHT("00"&amp;VALUE(LEFT(Sync!$U516,FIND(":",Sync!$U516)-1)),2)&amp;RIGHT("00"&amp;VALUE(MID(Sync!$U516,FIND(":",Sync!$U516)+1,2)),2),"0000"))))</f>
        <v/>
      </c>
    </row>
    <row r="521" spans="1:17" x14ac:dyDescent="0.2">
      <c r="A521" t="str">
        <f>IF(Sync!$T517="","",Sync!$T517)</f>
        <v/>
      </c>
      <c r="B521" t="str">
        <f t="shared" si="42"/>
        <v/>
      </c>
      <c r="C521" t="str">
        <f t="shared" si="43"/>
        <v/>
      </c>
      <c r="D521" t="str">
        <f t="shared" si="44"/>
        <v/>
      </c>
      <c r="E521" t="str">
        <f t="shared" si="45"/>
        <v/>
      </c>
      <c r="F521" t="str">
        <f t="shared" si="46"/>
        <v/>
      </c>
      <c r="G521" t="str">
        <f>IF(OR($E521="",$E521="نامعتبر",Sync!$X517=""),"",IF(AND(LEFT(UPPER(TRIM(Sync!$X517)),2)="SL",IFERROR(VLOOKUP(Sync!$W517,OpTbl,3,0),"")="فروش"),UPPER(TRIM(Sync!$X517)),""))</f>
        <v/>
      </c>
      <c r="H521" t="str">
        <f>IF($G521="","",IF(Sync!$W517="","",Sync!$W517))</f>
        <v/>
      </c>
      <c r="I521" t="str">
        <f>IF(OR($G521="",Sync!$Y517=""),"",Sync!$Y517)</f>
        <v/>
      </c>
      <c r="J521" t="str">
        <f>IF(OR($G521="",Sync!$Z517=""),"",Sync!$Z517)</f>
        <v/>
      </c>
      <c r="K521">
        <f>IF($G521="",0,IF(Sync!$AA517="",0,Sync!$AA517))</f>
        <v>0</v>
      </c>
      <c r="L521">
        <f>IF($G521="",0,IF(Sync!$AB517="",0,Sync!$AB517))</f>
        <v>0</v>
      </c>
      <c r="M521" t="str">
        <f t="shared" si="47"/>
        <v/>
      </c>
      <c r="N521">
        <f>IF($G521="",0,IF($H521="مرجوعی فروش",-1,1)*IF(Sync!$AC517="",0,Sync!$AC517))</f>
        <v>0</v>
      </c>
      <c r="O521" t="str">
        <f>IF(OR($G521="",Sync!$V517=""),"",Sync!$V517)</f>
        <v/>
      </c>
      <c r="P521" t="str">
        <f>IF(OR($G521="",Sync!$AD517=""),"",Sync!$AD517)</f>
        <v/>
      </c>
      <c r="Q521" t="str">
        <f>IF($G521="","",IF(Sync!$U517="","0000",IF(AND(ISNUMBER(Sync!$U517),Sync!$U517&gt;=0,Sync!$U517&lt;1),RIGHT("00"&amp;HOUR(Sync!$U517),2)&amp;RIGHT("00"&amp;MINUTE(Sync!$U517),2),IFERROR(RIGHT("00"&amp;VALUE(LEFT(Sync!$U517,FIND(":",Sync!$U517)-1)),2)&amp;RIGHT("00"&amp;VALUE(MID(Sync!$U517,FIND(":",Sync!$U517)+1,2)),2),"0000"))))</f>
        <v/>
      </c>
    </row>
    <row r="522" spans="1:17" x14ac:dyDescent="0.2">
      <c r="A522" t="str">
        <f>IF(Sync!$T518="","",Sync!$T518)</f>
        <v/>
      </c>
      <c r="B522" t="str">
        <f t="shared" ref="B522:B585" si="48">IF($A522="","",IF(ISNUMBER($A522),IF(AND($A522&gt;=10000101,$A522&lt;=99991231),INT($A522/10000),""),IFERROR(VALUE(TRIM(LEFT($A522,FIND("/",$A522)-1))),"")))</f>
        <v/>
      </c>
      <c r="C522" t="str">
        <f t="shared" ref="C522:C585" si="49">IF(OR($A522="",$B522=""),"",IF(ISNUMBER($A522),INT(MOD($A522,10000)/100),IFERROR(VALUE(TRIM(LEFT(MID($A522,FIND("/",$A522)+1,20),FIND("/",MID($A522,FIND("/",$A522)+1,20))-1))),"")))</f>
        <v/>
      </c>
      <c r="D522" t="str">
        <f t="shared" ref="D522:D585" si="50">IF(OR($A522="",$B522=""),"",IF(ISNUMBER($A522),MOD($A522,100),IFERROR(VALUE(TRIM(MID(MID($A522,FIND("/",$A522)+1,20),FIND("/",MID($A522,FIND("/",$A522)+1,20))+1,20))),"")))</f>
        <v/>
      </c>
      <c r="E522" t="str">
        <f t="shared" ref="E522:E585" si="51">IF($A522="","",IF(OR($B522="",$C522="",$D522="",$B522&lt;1300,$B522&gt;1500,$C522&lt;1,$C522&gt;12,$D522&lt;1,$D522&gt;31),"نامعتبر",RIGHT("0000"&amp;$B522,4)&amp;"/"&amp;RIGHT("00"&amp;$C522,2)&amp;"/"&amp;RIGHT("00"&amp;$D522,2)))</f>
        <v/>
      </c>
      <c r="F522" t="str">
        <f t="shared" ref="F522:F585" si="52">IF(OR($E522="",$E522="نامعتبر"),"",LEFT($E522,4)&amp;"/"&amp;MID($E522,6,2))</f>
        <v/>
      </c>
      <c r="G522" t="str">
        <f>IF(OR($E522="",$E522="نامعتبر",Sync!$X518=""),"",IF(AND(LEFT(UPPER(TRIM(Sync!$X518)),2)="SL",IFERROR(VLOOKUP(Sync!$W518,OpTbl,3,0),"")="فروش"),UPPER(TRIM(Sync!$X518)),""))</f>
        <v/>
      </c>
      <c r="H522" t="str">
        <f>IF($G522="","",IF(Sync!$W518="","",Sync!$W518))</f>
        <v/>
      </c>
      <c r="I522" t="str">
        <f>IF(OR($G522="",Sync!$Y518=""),"",Sync!$Y518)</f>
        <v/>
      </c>
      <c r="J522" t="str">
        <f>IF(OR($G522="",Sync!$Z518=""),"",Sync!$Z518)</f>
        <v/>
      </c>
      <c r="K522">
        <f>IF($G522="",0,IF(Sync!$AA518="",0,Sync!$AA518))</f>
        <v>0</v>
      </c>
      <c r="L522">
        <f>IF($G522="",0,IF(Sync!$AB518="",0,Sync!$AB518))</f>
        <v>0</v>
      </c>
      <c r="M522" t="str">
        <f t="shared" ref="M522:M585" si="53">IF($G522="","",IF($H522="مرجوعی فروش",-1,1)*($K522-$L522*IFERROR(VLOOKUP("P01",ParamTbl,3,0),1.5)))</f>
        <v/>
      </c>
      <c r="N522">
        <f>IF($G522="",0,IF($H522="مرجوعی فروش",-1,1)*IF(Sync!$AC518="",0,Sync!$AC518))</f>
        <v>0</v>
      </c>
      <c r="O522" t="str">
        <f>IF(OR($G522="",Sync!$V518=""),"",Sync!$V518)</f>
        <v/>
      </c>
      <c r="P522" t="str">
        <f>IF(OR($G522="",Sync!$AD518=""),"",Sync!$AD518)</f>
        <v/>
      </c>
      <c r="Q522" t="str">
        <f>IF($G522="","",IF(Sync!$U518="","0000",IF(AND(ISNUMBER(Sync!$U518),Sync!$U518&gt;=0,Sync!$U518&lt;1),RIGHT("00"&amp;HOUR(Sync!$U518),2)&amp;RIGHT("00"&amp;MINUTE(Sync!$U518),2),IFERROR(RIGHT("00"&amp;VALUE(LEFT(Sync!$U518,FIND(":",Sync!$U518)-1)),2)&amp;RIGHT("00"&amp;VALUE(MID(Sync!$U518,FIND(":",Sync!$U518)+1,2)),2),"0000"))))</f>
        <v/>
      </c>
    </row>
    <row r="523" spans="1:17" x14ac:dyDescent="0.2">
      <c r="A523" t="str">
        <f>IF(Sync!$T519="","",Sync!$T519)</f>
        <v/>
      </c>
      <c r="B523" t="str">
        <f t="shared" si="48"/>
        <v/>
      </c>
      <c r="C523" t="str">
        <f t="shared" si="49"/>
        <v/>
      </c>
      <c r="D523" t="str">
        <f t="shared" si="50"/>
        <v/>
      </c>
      <c r="E523" t="str">
        <f t="shared" si="51"/>
        <v/>
      </c>
      <c r="F523" t="str">
        <f t="shared" si="52"/>
        <v/>
      </c>
      <c r="G523" t="str">
        <f>IF(OR($E523="",$E523="نامعتبر",Sync!$X519=""),"",IF(AND(LEFT(UPPER(TRIM(Sync!$X519)),2)="SL",IFERROR(VLOOKUP(Sync!$W519,OpTbl,3,0),"")="فروش"),UPPER(TRIM(Sync!$X519)),""))</f>
        <v/>
      </c>
      <c r="H523" t="str">
        <f>IF($G523="","",IF(Sync!$W519="","",Sync!$W519))</f>
        <v/>
      </c>
      <c r="I523" t="str">
        <f>IF(OR($G523="",Sync!$Y519=""),"",Sync!$Y519)</f>
        <v/>
      </c>
      <c r="J523" t="str">
        <f>IF(OR($G523="",Sync!$Z519=""),"",Sync!$Z519)</f>
        <v/>
      </c>
      <c r="K523">
        <f>IF($G523="",0,IF(Sync!$AA519="",0,Sync!$AA519))</f>
        <v>0</v>
      </c>
      <c r="L523">
        <f>IF($G523="",0,IF(Sync!$AB519="",0,Sync!$AB519))</f>
        <v>0</v>
      </c>
      <c r="M523" t="str">
        <f t="shared" si="53"/>
        <v/>
      </c>
      <c r="N523">
        <f>IF($G523="",0,IF($H523="مرجوعی فروش",-1,1)*IF(Sync!$AC519="",0,Sync!$AC519))</f>
        <v>0</v>
      </c>
      <c r="O523" t="str">
        <f>IF(OR($G523="",Sync!$V519=""),"",Sync!$V519)</f>
        <v/>
      </c>
      <c r="P523" t="str">
        <f>IF(OR($G523="",Sync!$AD519=""),"",Sync!$AD519)</f>
        <v/>
      </c>
      <c r="Q523" t="str">
        <f>IF($G523="","",IF(Sync!$U519="","0000",IF(AND(ISNUMBER(Sync!$U519),Sync!$U519&gt;=0,Sync!$U519&lt;1),RIGHT("00"&amp;HOUR(Sync!$U519),2)&amp;RIGHT("00"&amp;MINUTE(Sync!$U519),2),IFERROR(RIGHT("00"&amp;VALUE(LEFT(Sync!$U519,FIND(":",Sync!$U519)-1)),2)&amp;RIGHT("00"&amp;VALUE(MID(Sync!$U519,FIND(":",Sync!$U519)+1,2)),2),"0000"))))</f>
        <v/>
      </c>
    </row>
    <row r="524" spans="1:17" x14ac:dyDescent="0.2">
      <c r="A524" t="str">
        <f>IF(Sync!$T520="","",Sync!$T520)</f>
        <v/>
      </c>
      <c r="B524" t="str">
        <f t="shared" si="48"/>
        <v/>
      </c>
      <c r="C524" t="str">
        <f t="shared" si="49"/>
        <v/>
      </c>
      <c r="D524" t="str">
        <f t="shared" si="50"/>
        <v/>
      </c>
      <c r="E524" t="str">
        <f t="shared" si="51"/>
        <v/>
      </c>
      <c r="F524" t="str">
        <f t="shared" si="52"/>
        <v/>
      </c>
      <c r="G524" t="str">
        <f>IF(OR($E524="",$E524="نامعتبر",Sync!$X520=""),"",IF(AND(LEFT(UPPER(TRIM(Sync!$X520)),2)="SL",IFERROR(VLOOKUP(Sync!$W520,OpTbl,3,0),"")="فروش"),UPPER(TRIM(Sync!$X520)),""))</f>
        <v/>
      </c>
      <c r="H524" t="str">
        <f>IF($G524="","",IF(Sync!$W520="","",Sync!$W520))</f>
        <v/>
      </c>
      <c r="I524" t="str">
        <f>IF(OR($G524="",Sync!$Y520=""),"",Sync!$Y520)</f>
        <v/>
      </c>
      <c r="J524" t="str">
        <f>IF(OR($G524="",Sync!$Z520=""),"",Sync!$Z520)</f>
        <v/>
      </c>
      <c r="K524">
        <f>IF($G524="",0,IF(Sync!$AA520="",0,Sync!$AA520))</f>
        <v>0</v>
      </c>
      <c r="L524">
        <f>IF($G524="",0,IF(Sync!$AB520="",0,Sync!$AB520))</f>
        <v>0</v>
      </c>
      <c r="M524" t="str">
        <f t="shared" si="53"/>
        <v/>
      </c>
      <c r="N524">
        <f>IF($G524="",0,IF($H524="مرجوعی فروش",-1,1)*IF(Sync!$AC520="",0,Sync!$AC520))</f>
        <v>0</v>
      </c>
      <c r="O524" t="str">
        <f>IF(OR($G524="",Sync!$V520=""),"",Sync!$V520)</f>
        <v/>
      </c>
      <c r="P524" t="str">
        <f>IF(OR($G524="",Sync!$AD520=""),"",Sync!$AD520)</f>
        <v/>
      </c>
      <c r="Q524" t="str">
        <f>IF($G524="","",IF(Sync!$U520="","0000",IF(AND(ISNUMBER(Sync!$U520),Sync!$U520&gt;=0,Sync!$U520&lt;1),RIGHT("00"&amp;HOUR(Sync!$U520),2)&amp;RIGHT("00"&amp;MINUTE(Sync!$U520),2),IFERROR(RIGHT("00"&amp;VALUE(LEFT(Sync!$U520,FIND(":",Sync!$U520)-1)),2)&amp;RIGHT("00"&amp;VALUE(MID(Sync!$U520,FIND(":",Sync!$U520)+1,2)),2),"0000"))))</f>
        <v/>
      </c>
    </row>
    <row r="525" spans="1:17" x14ac:dyDescent="0.2">
      <c r="A525" t="str">
        <f>IF(Sync!$T521="","",Sync!$T521)</f>
        <v/>
      </c>
      <c r="B525" t="str">
        <f t="shared" si="48"/>
        <v/>
      </c>
      <c r="C525" t="str">
        <f t="shared" si="49"/>
        <v/>
      </c>
      <c r="D525" t="str">
        <f t="shared" si="50"/>
        <v/>
      </c>
      <c r="E525" t="str">
        <f t="shared" si="51"/>
        <v/>
      </c>
      <c r="F525" t="str">
        <f t="shared" si="52"/>
        <v/>
      </c>
      <c r="G525" t="str">
        <f>IF(OR($E525="",$E525="نامعتبر",Sync!$X521=""),"",IF(AND(LEFT(UPPER(TRIM(Sync!$X521)),2)="SL",IFERROR(VLOOKUP(Sync!$W521,OpTbl,3,0),"")="فروش"),UPPER(TRIM(Sync!$X521)),""))</f>
        <v/>
      </c>
      <c r="H525" t="str">
        <f>IF($G525="","",IF(Sync!$W521="","",Sync!$W521))</f>
        <v/>
      </c>
      <c r="I525" t="str">
        <f>IF(OR($G525="",Sync!$Y521=""),"",Sync!$Y521)</f>
        <v/>
      </c>
      <c r="J525" t="str">
        <f>IF(OR($G525="",Sync!$Z521=""),"",Sync!$Z521)</f>
        <v/>
      </c>
      <c r="K525">
        <f>IF($G525="",0,IF(Sync!$AA521="",0,Sync!$AA521))</f>
        <v>0</v>
      </c>
      <c r="L525">
        <f>IF($G525="",0,IF(Sync!$AB521="",0,Sync!$AB521))</f>
        <v>0</v>
      </c>
      <c r="M525" t="str">
        <f t="shared" si="53"/>
        <v/>
      </c>
      <c r="N525">
        <f>IF($G525="",0,IF($H525="مرجوعی فروش",-1,1)*IF(Sync!$AC521="",0,Sync!$AC521))</f>
        <v>0</v>
      </c>
      <c r="O525" t="str">
        <f>IF(OR($G525="",Sync!$V521=""),"",Sync!$V521)</f>
        <v/>
      </c>
      <c r="P525" t="str">
        <f>IF(OR($G525="",Sync!$AD521=""),"",Sync!$AD521)</f>
        <v/>
      </c>
      <c r="Q525" t="str">
        <f>IF($G525="","",IF(Sync!$U521="","0000",IF(AND(ISNUMBER(Sync!$U521),Sync!$U521&gt;=0,Sync!$U521&lt;1),RIGHT("00"&amp;HOUR(Sync!$U521),2)&amp;RIGHT("00"&amp;MINUTE(Sync!$U521),2),IFERROR(RIGHT("00"&amp;VALUE(LEFT(Sync!$U521,FIND(":",Sync!$U521)-1)),2)&amp;RIGHT("00"&amp;VALUE(MID(Sync!$U521,FIND(":",Sync!$U521)+1,2)),2),"0000"))))</f>
        <v/>
      </c>
    </row>
    <row r="526" spans="1:17" x14ac:dyDescent="0.2">
      <c r="A526" t="str">
        <f>IF(Sync!$T522="","",Sync!$T522)</f>
        <v/>
      </c>
      <c r="B526" t="str">
        <f t="shared" si="48"/>
        <v/>
      </c>
      <c r="C526" t="str">
        <f t="shared" si="49"/>
        <v/>
      </c>
      <c r="D526" t="str">
        <f t="shared" si="50"/>
        <v/>
      </c>
      <c r="E526" t="str">
        <f t="shared" si="51"/>
        <v/>
      </c>
      <c r="F526" t="str">
        <f t="shared" si="52"/>
        <v/>
      </c>
      <c r="G526" t="str">
        <f>IF(OR($E526="",$E526="نامعتبر",Sync!$X522=""),"",IF(AND(LEFT(UPPER(TRIM(Sync!$X522)),2)="SL",IFERROR(VLOOKUP(Sync!$W522,OpTbl,3,0),"")="فروش"),UPPER(TRIM(Sync!$X522)),""))</f>
        <v/>
      </c>
      <c r="H526" t="str">
        <f>IF($G526="","",IF(Sync!$W522="","",Sync!$W522))</f>
        <v/>
      </c>
      <c r="I526" t="str">
        <f>IF(OR($G526="",Sync!$Y522=""),"",Sync!$Y522)</f>
        <v/>
      </c>
      <c r="J526" t="str">
        <f>IF(OR($G526="",Sync!$Z522=""),"",Sync!$Z522)</f>
        <v/>
      </c>
      <c r="K526">
        <f>IF($G526="",0,IF(Sync!$AA522="",0,Sync!$AA522))</f>
        <v>0</v>
      </c>
      <c r="L526">
        <f>IF($G526="",0,IF(Sync!$AB522="",0,Sync!$AB522))</f>
        <v>0</v>
      </c>
      <c r="M526" t="str">
        <f t="shared" si="53"/>
        <v/>
      </c>
      <c r="N526">
        <f>IF($G526="",0,IF($H526="مرجوعی فروش",-1,1)*IF(Sync!$AC522="",0,Sync!$AC522))</f>
        <v>0</v>
      </c>
      <c r="O526" t="str">
        <f>IF(OR($G526="",Sync!$V522=""),"",Sync!$V522)</f>
        <v/>
      </c>
      <c r="P526" t="str">
        <f>IF(OR($G526="",Sync!$AD522=""),"",Sync!$AD522)</f>
        <v/>
      </c>
      <c r="Q526" t="str">
        <f>IF($G526="","",IF(Sync!$U522="","0000",IF(AND(ISNUMBER(Sync!$U522),Sync!$U522&gt;=0,Sync!$U522&lt;1),RIGHT("00"&amp;HOUR(Sync!$U522),2)&amp;RIGHT("00"&amp;MINUTE(Sync!$U522),2),IFERROR(RIGHT("00"&amp;VALUE(LEFT(Sync!$U522,FIND(":",Sync!$U522)-1)),2)&amp;RIGHT("00"&amp;VALUE(MID(Sync!$U522,FIND(":",Sync!$U522)+1,2)),2),"0000"))))</f>
        <v/>
      </c>
    </row>
    <row r="527" spans="1:17" x14ac:dyDescent="0.2">
      <c r="A527" t="str">
        <f>IF(Sync!$T523="","",Sync!$T523)</f>
        <v/>
      </c>
      <c r="B527" t="str">
        <f t="shared" si="48"/>
        <v/>
      </c>
      <c r="C527" t="str">
        <f t="shared" si="49"/>
        <v/>
      </c>
      <c r="D527" t="str">
        <f t="shared" si="50"/>
        <v/>
      </c>
      <c r="E527" t="str">
        <f t="shared" si="51"/>
        <v/>
      </c>
      <c r="F527" t="str">
        <f t="shared" si="52"/>
        <v/>
      </c>
      <c r="G527" t="str">
        <f>IF(OR($E527="",$E527="نامعتبر",Sync!$X523=""),"",IF(AND(LEFT(UPPER(TRIM(Sync!$X523)),2)="SL",IFERROR(VLOOKUP(Sync!$W523,OpTbl,3,0),"")="فروش"),UPPER(TRIM(Sync!$X523)),""))</f>
        <v/>
      </c>
      <c r="H527" t="str">
        <f>IF($G527="","",IF(Sync!$W523="","",Sync!$W523))</f>
        <v/>
      </c>
      <c r="I527" t="str">
        <f>IF(OR($G527="",Sync!$Y523=""),"",Sync!$Y523)</f>
        <v/>
      </c>
      <c r="J527" t="str">
        <f>IF(OR($G527="",Sync!$Z523=""),"",Sync!$Z523)</f>
        <v/>
      </c>
      <c r="K527">
        <f>IF($G527="",0,IF(Sync!$AA523="",0,Sync!$AA523))</f>
        <v>0</v>
      </c>
      <c r="L527">
        <f>IF($G527="",0,IF(Sync!$AB523="",0,Sync!$AB523))</f>
        <v>0</v>
      </c>
      <c r="M527" t="str">
        <f t="shared" si="53"/>
        <v/>
      </c>
      <c r="N527">
        <f>IF($G527="",0,IF($H527="مرجوعی فروش",-1,1)*IF(Sync!$AC523="",0,Sync!$AC523))</f>
        <v>0</v>
      </c>
      <c r="O527" t="str">
        <f>IF(OR($G527="",Sync!$V523=""),"",Sync!$V523)</f>
        <v/>
      </c>
      <c r="P527" t="str">
        <f>IF(OR($G527="",Sync!$AD523=""),"",Sync!$AD523)</f>
        <v/>
      </c>
      <c r="Q527" t="str">
        <f>IF($G527="","",IF(Sync!$U523="","0000",IF(AND(ISNUMBER(Sync!$U523),Sync!$U523&gt;=0,Sync!$U523&lt;1),RIGHT("00"&amp;HOUR(Sync!$U523),2)&amp;RIGHT("00"&amp;MINUTE(Sync!$U523),2),IFERROR(RIGHT("00"&amp;VALUE(LEFT(Sync!$U523,FIND(":",Sync!$U523)-1)),2)&amp;RIGHT("00"&amp;VALUE(MID(Sync!$U523,FIND(":",Sync!$U523)+1,2)),2),"0000"))))</f>
        <v/>
      </c>
    </row>
    <row r="528" spans="1:17" x14ac:dyDescent="0.2">
      <c r="A528" t="str">
        <f>IF(Sync!$T524="","",Sync!$T524)</f>
        <v/>
      </c>
      <c r="B528" t="str">
        <f t="shared" si="48"/>
        <v/>
      </c>
      <c r="C528" t="str">
        <f t="shared" si="49"/>
        <v/>
      </c>
      <c r="D528" t="str">
        <f t="shared" si="50"/>
        <v/>
      </c>
      <c r="E528" t="str">
        <f t="shared" si="51"/>
        <v/>
      </c>
      <c r="F528" t="str">
        <f t="shared" si="52"/>
        <v/>
      </c>
      <c r="G528" t="str">
        <f>IF(OR($E528="",$E528="نامعتبر",Sync!$X524=""),"",IF(AND(LEFT(UPPER(TRIM(Sync!$X524)),2)="SL",IFERROR(VLOOKUP(Sync!$W524,OpTbl,3,0),"")="فروش"),UPPER(TRIM(Sync!$X524)),""))</f>
        <v/>
      </c>
      <c r="H528" t="str">
        <f>IF($G528="","",IF(Sync!$W524="","",Sync!$W524))</f>
        <v/>
      </c>
      <c r="I528" t="str">
        <f>IF(OR($G528="",Sync!$Y524=""),"",Sync!$Y524)</f>
        <v/>
      </c>
      <c r="J528" t="str">
        <f>IF(OR($G528="",Sync!$Z524=""),"",Sync!$Z524)</f>
        <v/>
      </c>
      <c r="K528">
        <f>IF($G528="",0,IF(Sync!$AA524="",0,Sync!$AA524))</f>
        <v>0</v>
      </c>
      <c r="L528">
        <f>IF($G528="",0,IF(Sync!$AB524="",0,Sync!$AB524))</f>
        <v>0</v>
      </c>
      <c r="M528" t="str">
        <f t="shared" si="53"/>
        <v/>
      </c>
      <c r="N528">
        <f>IF($G528="",0,IF($H528="مرجوعی فروش",-1,1)*IF(Sync!$AC524="",0,Sync!$AC524))</f>
        <v>0</v>
      </c>
      <c r="O528" t="str">
        <f>IF(OR($G528="",Sync!$V524=""),"",Sync!$V524)</f>
        <v/>
      </c>
      <c r="P528" t="str">
        <f>IF(OR($G528="",Sync!$AD524=""),"",Sync!$AD524)</f>
        <v/>
      </c>
      <c r="Q528" t="str">
        <f>IF($G528="","",IF(Sync!$U524="","0000",IF(AND(ISNUMBER(Sync!$U524),Sync!$U524&gt;=0,Sync!$U524&lt;1),RIGHT("00"&amp;HOUR(Sync!$U524),2)&amp;RIGHT("00"&amp;MINUTE(Sync!$U524),2),IFERROR(RIGHT("00"&amp;VALUE(LEFT(Sync!$U524,FIND(":",Sync!$U524)-1)),2)&amp;RIGHT("00"&amp;VALUE(MID(Sync!$U524,FIND(":",Sync!$U524)+1,2)),2),"0000"))))</f>
        <v/>
      </c>
    </row>
    <row r="529" spans="1:17" x14ac:dyDescent="0.2">
      <c r="A529" t="str">
        <f>IF(Sync!$T525="","",Sync!$T525)</f>
        <v/>
      </c>
      <c r="B529" t="str">
        <f t="shared" si="48"/>
        <v/>
      </c>
      <c r="C529" t="str">
        <f t="shared" si="49"/>
        <v/>
      </c>
      <c r="D529" t="str">
        <f t="shared" si="50"/>
        <v/>
      </c>
      <c r="E529" t="str">
        <f t="shared" si="51"/>
        <v/>
      </c>
      <c r="F529" t="str">
        <f t="shared" si="52"/>
        <v/>
      </c>
      <c r="G529" t="str">
        <f>IF(OR($E529="",$E529="نامعتبر",Sync!$X525=""),"",IF(AND(LEFT(UPPER(TRIM(Sync!$X525)),2)="SL",IFERROR(VLOOKUP(Sync!$W525,OpTbl,3,0),"")="فروش"),UPPER(TRIM(Sync!$X525)),""))</f>
        <v/>
      </c>
      <c r="H529" t="str">
        <f>IF($G529="","",IF(Sync!$W525="","",Sync!$W525))</f>
        <v/>
      </c>
      <c r="I529" t="str">
        <f>IF(OR($G529="",Sync!$Y525=""),"",Sync!$Y525)</f>
        <v/>
      </c>
      <c r="J529" t="str">
        <f>IF(OR($G529="",Sync!$Z525=""),"",Sync!$Z525)</f>
        <v/>
      </c>
      <c r="K529">
        <f>IF($G529="",0,IF(Sync!$AA525="",0,Sync!$AA525))</f>
        <v>0</v>
      </c>
      <c r="L529">
        <f>IF($G529="",0,IF(Sync!$AB525="",0,Sync!$AB525))</f>
        <v>0</v>
      </c>
      <c r="M529" t="str">
        <f t="shared" si="53"/>
        <v/>
      </c>
      <c r="N529">
        <f>IF($G529="",0,IF($H529="مرجوعی فروش",-1,1)*IF(Sync!$AC525="",0,Sync!$AC525))</f>
        <v>0</v>
      </c>
      <c r="O529" t="str">
        <f>IF(OR($G529="",Sync!$V525=""),"",Sync!$V525)</f>
        <v/>
      </c>
      <c r="P529" t="str">
        <f>IF(OR($G529="",Sync!$AD525=""),"",Sync!$AD525)</f>
        <v/>
      </c>
      <c r="Q529" t="str">
        <f>IF($G529="","",IF(Sync!$U525="","0000",IF(AND(ISNUMBER(Sync!$U525),Sync!$U525&gt;=0,Sync!$U525&lt;1),RIGHT("00"&amp;HOUR(Sync!$U525),2)&amp;RIGHT("00"&amp;MINUTE(Sync!$U525),2),IFERROR(RIGHT("00"&amp;VALUE(LEFT(Sync!$U525,FIND(":",Sync!$U525)-1)),2)&amp;RIGHT("00"&amp;VALUE(MID(Sync!$U525,FIND(":",Sync!$U525)+1,2)),2),"0000"))))</f>
        <v/>
      </c>
    </row>
    <row r="530" spans="1:17" x14ac:dyDescent="0.2">
      <c r="A530" t="str">
        <f>IF(Sync!$T526="","",Sync!$T526)</f>
        <v/>
      </c>
      <c r="B530" t="str">
        <f t="shared" si="48"/>
        <v/>
      </c>
      <c r="C530" t="str">
        <f t="shared" si="49"/>
        <v/>
      </c>
      <c r="D530" t="str">
        <f t="shared" si="50"/>
        <v/>
      </c>
      <c r="E530" t="str">
        <f t="shared" si="51"/>
        <v/>
      </c>
      <c r="F530" t="str">
        <f t="shared" si="52"/>
        <v/>
      </c>
      <c r="G530" t="str">
        <f>IF(OR($E530="",$E530="نامعتبر",Sync!$X526=""),"",IF(AND(LEFT(UPPER(TRIM(Sync!$X526)),2)="SL",IFERROR(VLOOKUP(Sync!$W526,OpTbl,3,0),"")="فروش"),UPPER(TRIM(Sync!$X526)),""))</f>
        <v/>
      </c>
      <c r="H530" t="str">
        <f>IF($G530="","",IF(Sync!$W526="","",Sync!$W526))</f>
        <v/>
      </c>
      <c r="I530" t="str">
        <f>IF(OR($G530="",Sync!$Y526=""),"",Sync!$Y526)</f>
        <v/>
      </c>
      <c r="J530" t="str">
        <f>IF(OR($G530="",Sync!$Z526=""),"",Sync!$Z526)</f>
        <v/>
      </c>
      <c r="K530">
        <f>IF($G530="",0,IF(Sync!$AA526="",0,Sync!$AA526))</f>
        <v>0</v>
      </c>
      <c r="L530">
        <f>IF($G530="",0,IF(Sync!$AB526="",0,Sync!$AB526))</f>
        <v>0</v>
      </c>
      <c r="M530" t="str">
        <f t="shared" si="53"/>
        <v/>
      </c>
      <c r="N530">
        <f>IF($G530="",0,IF($H530="مرجوعی فروش",-1,1)*IF(Sync!$AC526="",0,Sync!$AC526))</f>
        <v>0</v>
      </c>
      <c r="O530" t="str">
        <f>IF(OR($G530="",Sync!$V526=""),"",Sync!$V526)</f>
        <v/>
      </c>
      <c r="P530" t="str">
        <f>IF(OR($G530="",Sync!$AD526=""),"",Sync!$AD526)</f>
        <v/>
      </c>
      <c r="Q530" t="str">
        <f>IF($G530="","",IF(Sync!$U526="","0000",IF(AND(ISNUMBER(Sync!$U526),Sync!$U526&gt;=0,Sync!$U526&lt;1),RIGHT("00"&amp;HOUR(Sync!$U526),2)&amp;RIGHT("00"&amp;MINUTE(Sync!$U526),2),IFERROR(RIGHT("00"&amp;VALUE(LEFT(Sync!$U526,FIND(":",Sync!$U526)-1)),2)&amp;RIGHT("00"&amp;VALUE(MID(Sync!$U526,FIND(":",Sync!$U526)+1,2)),2),"0000"))))</f>
        <v/>
      </c>
    </row>
    <row r="531" spans="1:17" x14ac:dyDescent="0.2">
      <c r="A531" t="str">
        <f>IF(Sync!$T527="","",Sync!$T527)</f>
        <v/>
      </c>
      <c r="B531" t="str">
        <f t="shared" si="48"/>
        <v/>
      </c>
      <c r="C531" t="str">
        <f t="shared" si="49"/>
        <v/>
      </c>
      <c r="D531" t="str">
        <f t="shared" si="50"/>
        <v/>
      </c>
      <c r="E531" t="str">
        <f t="shared" si="51"/>
        <v/>
      </c>
      <c r="F531" t="str">
        <f t="shared" si="52"/>
        <v/>
      </c>
      <c r="G531" t="str">
        <f>IF(OR($E531="",$E531="نامعتبر",Sync!$X527=""),"",IF(AND(LEFT(UPPER(TRIM(Sync!$X527)),2)="SL",IFERROR(VLOOKUP(Sync!$W527,OpTbl,3,0),"")="فروش"),UPPER(TRIM(Sync!$X527)),""))</f>
        <v/>
      </c>
      <c r="H531" t="str">
        <f>IF($G531="","",IF(Sync!$W527="","",Sync!$W527))</f>
        <v/>
      </c>
      <c r="I531" t="str">
        <f>IF(OR($G531="",Sync!$Y527=""),"",Sync!$Y527)</f>
        <v/>
      </c>
      <c r="J531" t="str">
        <f>IF(OR($G531="",Sync!$Z527=""),"",Sync!$Z527)</f>
        <v/>
      </c>
      <c r="K531">
        <f>IF($G531="",0,IF(Sync!$AA527="",0,Sync!$AA527))</f>
        <v>0</v>
      </c>
      <c r="L531">
        <f>IF($G531="",0,IF(Sync!$AB527="",0,Sync!$AB527))</f>
        <v>0</v>
      </c>
      <c r="M531" t="str">
        <f t="shared" si="53"/>
        <v/>
      </c>
      <c r="N531">
        <f>IF($G531="",0,IF($H531="مرجوعی فروش",-1,1)*IF(Sync!$AC527="",0,Sync!$AC527))</f>
        <v>0</v>
      </c>
      <c r="O531" t="str">
        <f>IF(OR($G531="",Sync!$V527=""),"",Sync!$V527)</f>
        <v/>
      </c>
      <c r="P531" t="str">
        <f>IF(OR($G531="",Sync!$AD527=""),"",Sync!$AD527)</f>
        <v/>
      </c>
      <c r="Q531" t="str">
        <f>IF($G531="","",IF(Sync!$U527="","0000",IF(AND(ISNUMBER(Sync!$U527),Sync!$U527&gt;=0,Sync!$U527&lt;1),RIGHT("00"&amp;HOUR(Sync!$U527),2)&amp;RIGHT("00"&amp;MINUTE(Sync!$U527),2),IFERROR(RIGHT("00"&amp;VALUE(LEFT(Sync!$U527,FIND(":",Sync!$U527)-1)),2)&amp;RIGHT("00"&amp;VALUE(MID(Sync!$U527,FIND(":",Sync!$U527)+1,2)),2),"0000"))))</f>
        <v/>
      </c>
    </row>
    <row r="532" spans="1:17" x14ac:dyDescent="0.2">
      <c r="A532" t="str">
        <f>IF(Sync!$T528="","",Sync!$T528)</f>
        <v/>
      </c>
      <c r="B532" t="str">
        <f t="shared" si="48"/>
        <v/>
      </c>
      <c r="C532" t="str">
        <f t="shared" si="49"/>
        <v/>
      </c>
      <c r="D532" t="str">
        <f t="shared" si="50"/>
        <v/>
      </c>
      <c r="E532" t="str">
        <f t="shared" si="51"/>
        <v/>
      </c>
      <c r="F532" t="str">
        <f t="shared" si="52"/>
        <v/>
      </c>
      <c r="G532" t="str">
        <f>IF(OR($E532="",$E532="نامعتبر",Sync!$X528=""),"",IF(AND(LEFT(UPPER(TRIM(Sync!$X528)),2)="SL",IFERROR(VLOOKUP(Sync!$W528,OpTbl,3,0),"")="فروش"),UPPER(TRIM(Sync!$X528)),""))</f>
        <v/>
      </c>
      <c r="H532" t="str">
        <f>IF($G532="","",IF(Sync!$W528="","",Sync!$W528))</f>
        <v/>
      </c>
      <c r="I532" t="str">
        <f>IF(OR($G532="",Sync!$Y528=""),"",Sync!$Y528)</f>
        <v/>
      </c>
      <c r="J532" t="str">
        <f>IF(OR($G532="",Sync!$Z528=""),"",Sync!$Z528)</f>
        <v/>
      </c>
      <c r="K532">
        <f>IF($G532="",0,IF(Sync!$AA528="",0,Sync!$AA528))</f>
        <v>0</v>
      </c>
      <c r="L532">
        <f>IF($G532="",0,IF(Sync!$AB528="",0,Sync!$AB528))</f>
        <v>0</v>
      </c>
      <c r="M532" t="str">
        <f t="shared" si="53"/>
        <v/>
      </c>
      <c r="N532">
        <f>IF($G532="",0,IF($H532="مرجوعی فروش",-1,1)*IF(Sync!$AC528="",0,Sync!$AC528))</f>
        <v>0</v>
      </c>
      <c r="O532" t="str">
        <f>IF(OR($G532="",Sync!$V528=""),"",Sync!$V528)</f>
        <v/>
      </c>
      <c r="P532" t="str">
        <f>IF(OR($G532="",Sync!$AD528=""),"",Sync!$AD528)</f>
        <v/>
      </c>
      <c r="Q532" t="str">
        <f>IF($G532="","",IF(Sync!$U528="","0000",IF(AND(ISNUMBER(Sync!$U528),Sync!$U528&gt;=0,Sync!$U528&lt;1),RIGHT("00"&amp;HOUR(Sync!$U528),2)&amp;RIGHT("00"&amp;MINUTE(Sync!$U528),2),IFERROR(RIGHT("00"&amp;VALUE(LEFT(Sync!$U528,FIND(":",Sync!$U528)-1)),2)&amp;RIGHT("00"&amp;VALUE(MID(Sync!$U528,FIND(":",Sync!$U528)+1,2)),2),"0000"))))</f>
        <v/>
      </c>
    </row>
    <row r="533" spans="1:17" x14ac:dyDescent="0.2">
      <c r="A533" t="str">
        <f>IF(Sync!$T529="","",Sync!$T529)</f>
        <v/>
      </c>
      <c r="B533" t="str">
        <f t="shared" si="48"/>
        <v/>
      </c>
      <c r="C533" t="str">
        <f t="shared" si="49"/>
        <v/>
      </c>
      <c r="D533" t="str">
        <f t="shared" si="50"/>
        <v/>
      </c>
      <c r="E533" t="str">
        <f t="shared" si="51"/>
        <v/>
      </c>
      <c r="F533" t="str">
        <f t="shared" si="52"/>
        <v/>
      </c>
      <c r="G533" t="str">
        <f>IF(OR($E533="",$E533="نامعتبر",Sync!$X529=""),"",IF(AND(LEFT(UPPER(TRIM(Sync!$X529)),2)="SL",IFERROR(VLOOKUP(Sync!$W529,OpTbl,3,0),"")="فروش"),UPPER(TRIM(Sync!$X529)),""))</f>
        <v/>
      </c>
      <c r="H533" t="str">
        <f>IF($G533="","",IF(Sync!$W529="","",Sync!$W529))</f>
        <v/>
      </c>
      <c r="I533" t="str">
        <f>IF(OR($G533="",Sync!$Y529=""),"",Sync!$Y529)</f>
        <v/>
      </c>
      <c r="J533" t="str">
        <f>IF(OR($G533="",Sync!$Z529=""),"",Sync!$Z529)</f>
        <v/>
      </c>
      <c r="K533">
        <f>IF($G533="",0,IF(Sync!$AA529="",0,Sync!$AA529))</f>
        <v>0</v>
      </c>
      <c r="L533">
        <f>IF($G533="",0,IF(Sync!$AB529="",0,Sync!$AB529))</f>
        <v>0</v>
      </c>
      <c r="M533" t="str">
        <f t="shared" si="53"/>
        <v/>
      </c>
      <c r="N533">
        <f>IF($G533="",0,IF($H533="مرجوعی فروش",-1,1)*IF(Sync!$AC529="",0,Sync!$AC529))</f>
        <v>0</v>
      </c>
      <c r="O533" t="str">
        <f>IF(OR($G533="",Sync!$V529=""),"",Sync!$V529)</f>
        <v/>
      </c>
      <c r="P533" t="str">
        <f>IF(OR($G533="",Sync!$AD529=""),"",Sync!$AD529)</f>
        <v/>
      </c>
      <c r="Q533" t="str">
        <f>IF($G533="","",IF(Sync!$U529="","0000",IF(AND(ISNUMBER(Sync!$U529),Sync!$U529&gt;=0,Sync!$U529&lt;1),RIGHT("00"&amp;HOUR(Sync!$U529),2)&amp;RIGHT("00"&amp;MINUTE(Sync!$U529),2),IFERROR(RIGHT("00"&amp;VALUE(LEFT(Sync!$U529,FIND(":",Sync!$U529)-1)),2)&amp;RIGHT("00"&amp;VALUE(MID(Sync!$U529,FIND(":",Sync!$U529)+1,2)),2),"0000"))))</f>
        <v/>
      </c>
    </row>
    <row r="534" spans="1:17" x14ac:dyDescent="0.2">
      <c r="A534" t="str">
        <f>IF(Sync!$T530="","",Sync!$T530)</f>
        <v/>
      </c>
      <c r="B534" t="str">
        <f t="shared" si="48"/>
        <v/>
      </c>
      <c r="C534" t="str">
        <f t="shared" si="49"/>
        <v/>
      </c>
      <c r="D534" t="str">
        <f t="shared" si="50"/>
        <v/>
      </c>
      <c r="E534" t="str">
        <f t="shared" si="51"/>
        <v/>
      </c>
      <c r="F534" t="str">
        <f t="shared" si="52"/>
        <v/>
      </c>
      <c r="G534" t="str">
        <f>IF(OR($E534="",$E534="نامعتبر",Sync!$X530=""),"",IF(AND(LEFT(UPPER(TRIM(Sync!$X530)),2)="SL",IFERROR(VLOOKUP(Sync!$W530,OpTbl,3,0),"")="فروش"),UPPER(TRIM(Sync!$X530)),""))</f>
        <v/>
      </c>
      <c r="H534" t="str">
        <f>IF($G534="","",IF(Sync!$W530="","",Sync!$W530))</f>
        <v/>
      </c>
      <c r="I534" t="str">
        <f>IF(OR($G534="",Sync!$Y530=""),"",Sync!$Y530)</f>
        <v/>
      </c>
      <c r="J534" t="str">
        <f>IF(OR($G534="",Sync!$Z530=""),"",Sync!$Z530)</f>
        <v/>
      </c>
      <c r="K534">
        <f>IF($G534="",0,IF(Sync!$AA530="",0,Sync!$AA530))</f>
        <v>0</v>
      </c>
      <c r="L534">
        <f>IF($G534="",0,IF(Sync!$AB530="",0,Sync!$AB530))</f>
        <v>0</v>
      </c>
      <c r="M534" t="str">
        <f t="shared" si="53"/>
        <v/>
      </c>
      <c r="N534">
        <f>IF($G534="",0,IF($H534="مرجوعی فروش",-1,1)*IF(Sync!$AC530="",0,Sync!$AC530))</f>
        <v>0</v>
      </c>
      <c r="O534" t="str">
        <f>IF(OR($G534="",Sync!$V530=""),"",Sync!$V530)</f>
        <v/>
      </c>
      <c r="P534" t="str">
        <f>IF(OR($G534="",Sync!$AD530=""),"",Sync!$AD530)</f>
        <v/>
      </c>
      <c r="Q534" t="str">
        <f>IF($G534="","",IF(Sync!$U530="","0000",IF(AND(ISNUMBER(Sync!$U530),Sync!$U530&gt;=0,Sync!$U530&lt;1),RIGHT("00"&amp;HOUR(Sync!$U530),2)&amp;RIGHT("00"&amp;MINUTE(Sync!$U530),2),IFERROR(RIGHT("00"&amp;VALUE(LEFT(Sync!$U530,FIND(":",Sync!$U530)-1)),2)&amp;RIGHT("00"&amp;VALUE(MID(Sync!$U530,FIND(":",Sync!$U530)+1,2)),2),"0000"))))</f>
        <v/>
      </c>
    </row>
    <row r="535" spans="1:17" x14ac:dyDescent="0.2">
      <c r="A535" t="str">
        <f>IF(Sync!$T531="","",Sync!$T531)</f>
        <v/>
      </c>
      <c r="B535" t="str">
        <f t="shared" si="48"/>
        <v/>
      </c>
      <c r="C535" t="str">
        <f t="shared" si="49"/>
        <v/>
      </c>
      <c r="D535" t="str">
        <f t="shared" si="50"/>
        <v/>
      </c>
      <c r="E535" t="str">
        <f t="shared" si="51"/>
        <v/>
      </c>
      <c r="F535" t="str">
        <f t="shared" si="52"/>
        <v/>
      </c>
      <c r="G535" t="str">
        <f>IF(OR($E535="",$E535="نامعتبر",Sync!$X531=""),"",IF(AND(LEFT(UPPER(TRIM(Sync!$X531)),2)="SL",IFERROR(VLOOKUP(Sync!$W531,OpTbl,3,0),"")="فروش"),UPPER(TRIM(Sync!$X531)),""))</f>
        <v/>
      </c>
      <c r="H535" t="str">
        <f>IF($G535="","",IF(Sync!$W531="","",Sync!$W531))</f>
        <v/>
      </c>
      <c r="I535" t="str">
        <f>IF(OR($G535="",Sync!$Y531=""),"",Sync!$Y531)</f>
        <v/>
      </c>
      <c r="J535" t="str">
        <f>IF(OR($G535="",Sync!$Z531=""),"",Sync!$Z531)</f>
        <v/>
      </c>
      <c r="K535">
        <f>IF($G535="",0,IF(Sync!$AA531="",0,Sync!$AA531))</f>
        <v>0</v>
      </c>
      <c r="L535">
        <f>IF($G535="",0,IF(Sync!$AB531="",0,Sync!$AB531))</f>
        <v>0</v>
      </c>
      <c r="M535" t="str">
        <f t="shared" si="53"/>
        <v/>
      </c>
      <c r="N535">
        <f>IF($G535="",0,IF($H535="مرجوعی فروش",-1,1)*IF(Sync!$AC531="",0,Sync!$AC531))</f>
        <v>0</v>
      </c>
      <c r="O535" t="str">
        <f>IF(OR($G535="",Sync!$V531=""),"",Sync!$V531)</f>
        <v/>
      </c>
      <c r="P535" t="str">
        <f>IF(OR($G535="",Sync!$AD531=""),"",Sync!$AD531)</f>
        <v/>
      </c>
      <c r="Q535" t="str">
        <f>IF($G535="","",IF(Sync!$U531="","0000",IF(AND(ISNUMBER(Sync!$U531),Sync!$U531&gt;=0,Sync!$U531&lt;1),RIGHT("00"&amp;HOUR(Sync!$U531),2)&amp;RIGHT("00"&amp;MINUTE(Sync!$U531),2),IFERROR(RIGHT("00"&amp;VALUE(LEFT(Sync!$U531,FIND(":",Sync!$U531)-1)),2)&amp;RIGHT("00"&amp;VALUE(MID(Sync!$U531,FIND(":",Sync!$U531)+1,2)),2),"0000"))))</f>
        <v/>
      </c>
    </row>
    <row r="536" spans="1:17" x14ac:dyDescent="0.2">
      <c r="A536" t="str">
        <f>IF(Sync!$T532="","",Sync!$T532)</f>
        <v/>
      </c>
      <c r="B536" t="str">
        <f t="shared" si="48"/>
        <v/>
      </c>
      <c r="C536" t="str">
        <f t="shared" si="49"/>
        <v/>
      </c>
      <c r="D536" t="str">
        <f t="shared" si="50"/>
        <v/>
      </c>
      <c r="E536" t="str">
        <f t="shared" si="51"/>
        <v/>
      </c>
      <c r="F536" t="str">
        <f t="shared" si="52"/>
        <v/>
      </c>
      <c r="G536" t="str">
        <f>IF(OR($E536="",$E536="نامعتبر",Sync!$X532=""),"",IF(AND(LEFT(UPPER(TRIM(Sync!$X532)),2)="SL",IFERROR(VLOOKUP(Sync!$W532,OpTbl,3,0),"")="فروش"),UPPER(TRIM(Sync!$X532)),""))</f>
        <v/>
      </c>
      <c r="H536" t="str">
        <f>IF($G536="","",IF(Sync!$W532="","",Sync!$W532))</f>
        <v/>
      </c>
      <c r="I536" t="str">
        <f>IF(OR($G536="",Sync!$Y532=""),"",Sync!$Y532)</f>
        <v/>
      </c>
      <c r="J536" t="str">
        <f>IF(OR($G536="",Sync!$Z532=""),"",Sync!$Z532)</f>
        <v/>
      </c>
      <c r="K536">
        <f>IF($G536="",0,IF(Sync!$AA532="",0,Sync!$AA532))</f>
        <v>0</v>
      </c>
      <c r="L536">
        <f>IF($G536="",0,IF(Sync!$AB532="",0,Sync!$AB532))</f>
        <v>0</v>
      </c>
      <c r="M536" t="str">
        <f t="shared" si="53"/>
        <v/>
      </c>
      <c r="N536">
        <f>IF($G536="",0,IF($H536="مرجوعی فروش",-1,1)*IF(Sync!$AC532="",0,Sync!$AC532))</f>
        <v>0</v>
      </c>
      <c r="O536" t="str">
        <f>IF(OR($G536="",Sync!$V532=""),"",Sync!$V532)</f>
        <v/>
      </c>
      <c r="P536" t="str">
        <f>IF(OR($G536="",Sync!$AD532=""),"",Sync!$AD532)</f>
        <v/>
      </c>
      <c r="Q536" t="str">
        <f>IF($G536="","",IF(Sync!$U532="","0000",IF(AND(ISNUMBER(Sync!$U532),Sync!$U532&gt;=0,Sync!$U532&lt;1),RIGHT("00"&amp;HOUR(Sync!$U532),2)&amp;RIGHT("00"&amp;MINUTE(Sync!$U532),2),IFERROR(RIGHT("00"&amp;VALUE(LEFT(Sync!$U532,FIND(":",Sync!$U532)-1)),2)&amp;RIGHT("00"&amp;VALUE(MID(Sync!$U532,FIND(":",Sync!$U532)+1,2)),2),"0000"))))</f>
        <v/>
      </c>
    </row>
    <row r="537" spans="1:17" x14ac:dyDescent="0.2">
      <c r="A537" t="str">
        <f>IF(Sync!$T533="","",Sync!$T533)</f>
        <v/>
      </c>
      <c r="B537" t="str">
        <f t="shared" si="48"/>
        <v/>
      </c>
      <c r="C537" t="str">
        <f t="shared" si="49"/>
        <v/>
      </c>
      <c r="D537" t="str">
        <f t="shared" si="50"/>
        <v/>
      </c>
      <c r="E537" t="str">
        <f t="shared" si="51"/>
        <v/>
      </c>
      <c r="F537" t="str">
        <f t="shared" si="52"/>
        <v/>
      </c>
      <c r="G537" t="str">
        <f>IF(OR($E537="",$E537="نامعتبر",Sync!$X533=""),"",IF(AND(LEFT(UPPER(TRIM(Sync!$X533)),2)="SL",IFERROR(VLOOKUP(Sync!$W533,OpTbl,3,0),"")="فروش"),UPPER(TRIM(Sync!$X533)),""))</f>
        <v/>
      </c>
      <c r="H537" t="str">
        <f>IF($G537="","",IF(Sync!$W533="","",Sync!$W533))</f>
        <v/>
      </c>
      <c r="I537" t="str">
        <f>IF(OR($G537="",Sync!$Y533=""),"",Sync!$Y533)</f>
        <v/>
      </c>
      <c r="J537" t="str">
        <f>IF(OR($G537="",Sync!$Z533=""),"",Sync!$Z533)</f>
        <v/>
      </c>
      <c r="K537">
        <f>IF($G537="",0,IF(Sync!$AA533="",0,Sync!$AA533))</f>
        <v>0</v>
      </c>
      <c r="L537">
        <f>IF($G537="",0,IF(Sync!$AB533="",0,Sync!$AB533))</f>
        <v>0</v>
      </c>
      <c r="M537" t="str">
        <f t="shared" si="53"/>
        <v/>
      </c>
      <c r="N537">
        <f>IF($G537="",0,IF($H537="مرجوعی فروش",-1,1)*IF(Sync!$AC533="",0,Sync!$AC533))</f>
        <v>0</v>
      </c>
      <c r="O537" t="str">
        <f>IF(OR($G537="",Sync!$V533=""),"",Sync!$V533)</f>
        <v/>
      </c>
      <c r="P537" t="str">
        <f>IF(OR($G537="",Sync!$AD533=""),"",Sync!$AD533)</f>
        <v/>
      </c>
      <c r="Q537" t="str">
        <f>IF($G537="","",IF(Sync!$U533="","0000",IF(AND(ISNUMBER(Sync!$U533),Sync!$U533&gt;=0,Sync!$U533&lt;1),RIGHT("00"&amp;HOUR(Sync!$U533),2)&amp;RIGHT("00"&amp;MINUTE(Sync!$U533),2),IFERROR(RIGHT("00"&amp;VALUE(LEFT(Sync!$U533,FIND(":",Sync!$U533)-1)),2)&amp;RIGHT("00"&amp;VALUE(MID(Sync!$U533,FIND(":",Sync!$U533)+1,2)),2),"0000"))))</f>
        <v/>
      </c>
    </row>
    <row r="538" spans="1:17" x14ac:dyDescent="0.2">
      <c r="A538" t="str">
        <f>IF(Sync!$T534="","",Sync!$T534)</f>
        <v/>
      </c>
      <c r="B538" t="str">
        <f t="shared" si="48"/>
        <v/>
      </c>
      <c r="C538" t="str">
        <f t="shared" si="49"/>
        <v/>
      </c>
      <c r="D538" t="str">
        <f t="shared" si="50"/>
        <v/>
      </c>
      <c r="E538" t="str">
        <f t="shared" si="51"/>
        <v/>
      </c>
      <c r="F538" t="str">
        <f t="shared" si="52"/>
        <v/>
      </c>
      <c r="G538" t="str">
        <f>IF(OR($E538="",$E538="نامعتبر",Sync!$X534=""),"",IF(AND(LEFT(UPPER(TRIM(Sync!$X534)),2)="SL",IFERROR(VLOOKUP(Sync!$W534,OpTbl,3,0),"")="فروش"),UPPER(TRIM(Sync!$X534)),""))</f>
        <v/>
      </c>
      <c r="H538" t="str">
        <f>IF($G538="","",IF(Sync!$W534="","",Sync!$W534))</f>
        <v/>
      </c>
      <c r="I538" t="str">
        <f>IF(OR($G538="",Sync!$Y534=""),"",Sync!$Y534)</f>
        <v/>
      </c>
      <c r="J538" t="str">
        <f>IF(OR($G538="",Sync!$Z534=""),"",Sync!$Z534)</f>
        <v/>
      </c>
      <c r="K538">
        <f>IF($G538="",0,IF(Sync!$AA534="",0,Sync!$AA534))</f>
        <v>0</v>
      </c>
      <c r="L538">
        <f>IF($G538="",0,IF(Sync!$AB534="",0,Sync!$AB534))</f>
        <v>0</v>
      </c>
      <c r="M538" t="str">
        <f t="shared" si="53"/>
        <v/>
      </c>
      <c r="N538">
        <f>IF($G538="",0,IF($H538="مرجوعی فروش",-1,1)*IF(Sync!$AC534="",0,Sync!$AC534))</f>
        <v>0</v>
      </c>
      <c r="O538" t="str">
        <f>IF(OR($G538="",Sync!$V534=""),"",Sync!$V534)</f>
        <v/>
      </c>
      <c r="P538" t="str">
        <f>IF(OR($G538="",Sync!$AD534=""),"",Sync!$AD534)</f>
        <v/>
      </c>
      <c r="Q538" t="str">
        <f>IF($G538="","",IF(Sync!$U534="","0000",IF(AND(ISNUMBER(Sync!$U534),Sync!$U534&gt;=0,Sync!$U534&lt;1),RIGHT("00"&amp;HOUR(Sync!$U534),2)&amp;RIGHT("00"&amp;MINUTE(Sync!$U534),2),IFERROR(RIGHT("00"&amp;VALUE(LEFT(Sync!$U534,FIND(":",Sync!$U534)-1)),2)&amp;RIGHT("00"&amp;VALUE(MID(Sync!$U534,FIND(":",Sync!$U534)+1,2)),2),"0000"))))</f>
        <v/>
      </c>
    </row>
    <row r="539" spans="1:17" x14ac:dyDescent="0.2">
      <c r="A539" t="str">
        <f>IF(Sync!$T535="","",Sync!$T535)</f>
        <v/>
      </c>
      <c r="B539" t="str">
        <f t="shared" si="48"/>
        <v/>
      </c>
      <c r="C539" t="str">
        <f t="shared" si="49"/>
        <v/>
      </c>
      <c r="D539" t="str">
        <f t="shared" si="50"/>
        <v/>
      </c>
      <c r="E539" t="str">
        <f t="shared" si="51"/>
        <v/>
      </c>
      <c r="F539" t="str">
        <f t="shared" si="52"/>
        <v/>
      </c>
      <c r="G539" t="str">
        <f>IF(OR($E539="",$E539="نامعتبر",Sync!$X535=""),"",IF(AND(LEFT(UPPER(TRIM(Sync!$X535)),2)="SL",IFERROR(VLOOKUP(Sync!$W535,OpTbl,3,0),"")="فروش"),UPPER(TRIM(Sync!$X535)),""))</f>
        <v/>
      </c>
      <c r="H539" t="str">
        <f>IF($G539="","",IF(Sync!$W535="","",Sync!$W535))</f>
        <v/>
      </c>
      <c r="I539" t="str">
        <f>IF(OR($G539="",Sync!$Y535=""),"",Sync!$Y535)</f>
        <v/>
      </c>
      <c r="J539" t="str">
        <f>IF(OR($G539="",Sync!$Z535=""),"",Sync!$Z535)</f>
        <v/>
      </c>
      <c r="K539">
        <f>IF($G539="",0,IF(Sync!$AA535="",0,Sync!$AA535))</f>
        <v>0</v>
      </c>
      <c r="L539">
        <f>IF($G539="",0,IF(Sync!$AB535="",0,Sync!$AB535))</f>
        <v>0</v>
      </c>
      <c r="M539" t="str">
        <f t="shared" si="53"/>
        <v/>
      </c>
      <c r="N539">
        <f>IF($G539="",0,IF($H539="مرجوعی فروش",-1,1)*IF(Sync!$AC535="",0,Sync!$AC535))</f>
        <v>0</v>
      </c>
      <c r="O539" t="str">
        <f>IF(OR($G539="",Sync!$V535=""),"",Sync!$V535)</f>
        <v/>
      </c>
      <c r="P539" t="str">
        <f>IF(OR($G539="",Sync!$AD535=""),"",Sync!$AD535)</f>
        <v/>
      </c>
      <c r="Q539" t="str">
        <f>IF($G539="","",IF(Sync!$U535="","0000",IF(AND(ISNUMBER(Sync!$U535),Sync!$U535&gt;=0,Sync!$U535&lt;1),RIGHT("00"&amp;HOUR(Sync!$U535),2)&amp;RIGHT("00"&amp;MINUTE(Sync!$U535),2),IFERROR(RIGHT("00"&amp;VALUE(LEFT(Sync!$U535,FIND(":",Sync!$U535)-1)),2)&amp;RIGHT("00"&amp;VALUE(MID(Sync!$U535,FIND(":",Sync!$U535)+1,2)),2),"0000"))))</f>
        <v/>
      </c>
    </row>
    <row r="540" spans="1:17" x14ac:dyDescent="0.2">
      <c r="A540" t="str">
        <f>IF(Sync!$T536="","",Sync!$T536)</f>
        <v/>
      </c>
      <c r="B540" t="str">
        <f t="shared" si="48"/>
        <v/>
      </c>
      <c r="C540" t="str">
        <f t="shared" si="49"/>
        <v/>
      </c>
      <c r="D540" t="str">
        <f t="shared" si="50"/>
        <v/>
      </c>
      <c r="E540" t="str">
        <f t="shared" si="51"/>
        <v/>
      </c>
      <c r="F540" t="str">
        <f t="shared" si="52"/>
        <v/>
      </c>
      <c r="G540" t="str">
        <f>IF(OR($E540="",$E540="نامعتبر",Sync!$X536=""),"",IF(AND(LEFT(UPPER(TRIM(Sync!$X536)),2)="SL",IFERROR(VLOOKUP(Sync!$W536,OpTbl,3,0),"")="فروش"),UPPER(TRIM(Sync!$X536)),""))</f>
        <v/>
      </c>
      <c r="H540" t="str">
        <f>IF($G540="","",IF(Sync!$W536="","",Sync!$W536))</f>
        <v/>
      </c>
      <c r="I540" t="str">
        <f>IF(OR($G540="",Sync!$Y536=""),"",Sync!$Y536)</f>
        <v/>
      </c>
      <c r="J540" t="str">
        <f>IF(OR($G540="",Sync!$Z536=""),"",Sync!$Z536)</f>
        <v/>
      </c>
      <c r="K540">
        <f>IF($G540="",0,IF(Sync!$AA536="",0,Sync!$AA536))</f>
        <v>0</v>
      </c>
      <c r="L540">
        <f>IF($G540="",0,IF(Sync!$AB536="",0,Sync!$AB536))</f>
        <v>0</v>
      </c>
      <c r="M540" t="str">
        <f t="shared" si="53"/>
        <v/>
      </c>
      <c r="N540">
        <f>IF($G540="",0,IF($H540="مرجوعی فروش",-1,1)*IF(Sync!$AC536="",0,Sync!$AC536))</f>
        <v>0</v>
      </c>
      <c r="O540" t="str">
        <f>IF(OR($G540="",Sync!$V536=""),"",Sync!$V536)</f>
        <v/>
      </c>
      <c r="P540" t="str">
        <f>IF(OR($G540="",Sync!$AD536=""),"",Sync!$AD536)</f>
        <v/>
      </c>
      <c r="Q540" t="str">
        <f>IF($G540="","",IF(Sync!$U536="","0000",IF(AND(ISNUMBER(Sync!$U536),Sync!$U536&gt;=0,Sync!$U536&lt;1),RIGHT("00"&amp;HOUR(Sync!$U536),2)&amp;RIGHT("00"&amp;MINUTE(Sync!$U536),2),IFERROR(RIGHT("00"&amp;VALUE(LEFT(Sync!$U536,FIND(":",Sync!$U536)-1)),2)&amp;RIGHT("00"&amp;VALUE(MID(Sync!$U536,FIND(":",Sync!$U536)+1,2)),2),"0000"))))</f>
        <v/>
      </c>
    </row>
    <row r="541" spans="1:17" x14ac:dyDescent="0.2">
      <c r="A541" t="str">
        <f>IF(Sync!$T537="","",Sync!$T537)</f>
        <v/>
      </c>
      <c r="B541" t="str">
        <f t="shared" si="48"/>
        <v/>
      </c>
      <c r="C541" t="str">
        <f t="shared" si="49"/>
        <v/>
      </c>
      <c r="D541" t="str">
        <f t="shared" si="50"/>
        <v/>
      </c>
      <c r="E541" t="str">
        <f t="shared" si="51"/>
        <v/>
      </c>
      <c r="F541" t="str">
        <f t="shared" si="52"/>
        <v/>
      </c>
      <c r="G541" t="str">
        <f>IF(OR($E541="",$E541="نامعتبر",Sync!$X537=""),"",IF(AND(LEFT(UPPER(TRIM(Sync!$X537)),2)="SL",IFERROR(VLOOKUP(Sync!$W537,OpTbl,3,0),"")="فروش"),UPPER(TRIM(Sync!$X537)),""))</f>
        <v/>
      </c>
      <c r="H541" t="str">
        <f>IF($G541="","",IF(Sync!$W537="","",Sync!$W537))</f>
        <v/>
      </c>
      <c r="I541" t="str">
        <f>IF(OR($G541="",Sync!$Y537=""),"",Sync!$Y537)</f>
        <v/>
      </c>
      <c r="J541" t="str">
        <f>IF(OR($G541="",Sync!$Z537=""),"",Sync!$Z537)</f>
        <v/>
      </c>
      <c r="K541">
        <f>IF($G541="",0,IF(Sync!$AA537="",0,Sync!$AA537))</f>
        <v>0</v>
      </c>
      <c r="L541">
        <f>IF($G541="",0,IF(Sync!$AB537="",0,Sync!$AB537))</f>
        <v>0</v>
      </c>
      <c r="M541" t="str">
        <f t="shared" si="53"/>
        <v/>
      </c>
      <c r="N541">
        <f>IF($G541="",0,IF($H541="مرجوعی فروش",-1,1)*IF(Sync!$AC537="",0,Sync!$AC537))</f>
        <v>0</v>
      </c>
      <c r="O541" t="str">
        <f>IF(OR($G541="",Sync!$V537=""),"",Sync!$V537)</f>
        <v/>
      </c>
      <c r="P541" t="str">
        <f>IF(OR($G541="",Sync!$AD537=""),"",Sync!$AD537)</f>
        <v/>
      </c>
      <c r="Q541" t="str">
        <f>IF($G541="","",IF(Sync!$U537="","0000",IF(AND(ISNUMBER(Sync!$U537),Sync!$U537&gt;=0,Sync!$U537&lt;1),RIGHT("00"&amp;HOUR(Sync!$U537),2)&amp;RIGHT("00"&amp;MINUTE(Sync!$U537),2),IFERROR(RIGHT("00"&amp;VALUE(LEFT(Sync!$U537,FIND(":",Sync!$U537)-1)),2)&amp;RIGHT("00"&amp;VALUE(MID(Sync!$U537,FIND(":",Sync!$U537)+1,2)),2),"0000"))))</f>
        <v/>
      </c>
    </row>
    <row r="542" spans="1:17" x14ac:dyDescent="0.2">
      <c r="A542" t="str">
        <f>IF(Sync!$T538="","",Sync!$T538)</f>
        <v/>
      </c>
      <c r="B542" t="str">
        <f t="shared" si="48"/>
        <v/>
      </c>
      <c r="C542" t="str">
        <f t="shared" si="49"/>
        <v/>
      </c>
      <c r="D542" t="str">
        <f t="shared" si="50"/>
        <v/>
      </c>
      <c r="E542" t="str">
        <f t="shared" si="51"/>
        <v/>
      </c>
      <c r="F542" t="str">
        <f t="shared" si="52"/>
        <v/>
      </c>
      <c r="G542" t="str">
        <f>IF(OR($E542="",$E542="نامعتبر",Sync!$X538=""),"",IF(AND(LEFT(UPPER(TRIM(Sync!$X538)),2)="SL",IFERROR(VLOOKUP(Sync!$W538,OpTbl,3,0),"")="فروش"),UPPER(TRIM(Sync!$X538)),""))</f>
        <v/>
      </c>
      <c r="H542" t="str">
        <f>IF($G542="","",IF(Sync!$W538="","",Sync!$W538))</f>
        <v/>
      </c>
      <c r="I542" t="str">
        <f>IF(OR($G542="",Sync!$Y538=""),"",Sync!$Y538)</f>
        <v/>
      </c>
      <c r="J542" t="str">
        <f>IF(OR($G542="",Sync!$Z538=""),"",Sync!$Z538)</f>
        <v/>
      </c>
      <c r="K542">
        <f>IF($G542="",0,IF(Sync!$AA538="",0,Sync!$AA538))</f>
        <v>0</v>
      </c>
      <c r="L542">
        <f>IF($G542="",0,IF(Sync!$AB538="",0,Sync!$AB538))</f>
        <v>0</v>
      </c>
      <c r="M542" t="str">
        <f t="shared" si="53"/>
        <v/>
      </c>
      <c r="N542">
        <f>IF($G542="",0,IF($H542="مرجوعی فروش",-1,1)*IF(Sync!$AC538="",0,Sync!$AC538))</f>
        <v>0</v>
      </c>
      <c r="O542" t="str">
        <f>IF(OR($G542="",Sync!$V538=""),"",Sync!$V538)</f>
        <v/>
      </c>
      <c r="P542" t="str">
        <f>IF(OR($G542="",Sync!$AD538=""),"",Sync!$AD538)</f>
        <v/>
      </c>
      <c r="Q542" t="str">
        <f>IF($G542="","",IF(Sync!$U538="","0000",IF(AND(ISNUMBER(Sync!$U538),Sync!$U538&gt;=0,Sync!$U538&lt;1),RIGHT("00"&amp;HOUR(Sync!$U538),2)&amp;RIGHT("00"&amp;MINUTE(Sync!$U538),2),IFERROR(RIGHT("00"&amp;VALUE(LEFT(Sync!$U538,FIND(":",Sync!$U538)-1)),2)&amp;RIGHT("00"&amp;VALUE(MID(Sync!$U538,FIND(":",Sync!$U538)+1,2)),2),"0000"))))</f>
        <v/>
      </c>
    </row>
    <row r="543" spans="1:17" x14ac:dyDescent="0.2">
      <c r="A543" t="str">
        <f>IF(Sync!$T539="","",Sync!$T539)</f>
        <v/>
      </c>
      <c r="B543" t="str">
        <f t="shared" si="48"/>
        <v/>
      </c>
      <c r="C543" t="str">
        <f t="shared" si="49"/>
        <v/>
      </c>
      <c r="D543" t="str">
        <f t="shared" si="50"/>
        <v/>
      </c>
      <c r="E543" t="str">
        <f t="shared" si="51"/>
        <v/>
      </c>
      <c r="F543" t="str">
        <f t="shared" si="52"/>
        <v/>
      </c>
      <c r="G543" t="str">
        <f>IF(OR($E543="",$E543="نامعتبر",Sync!$X539=""),"",IF(AND(LEFT(UPPER(TRIM(Sync!$X539)),2)="SL",IFERROR(VLOOKUP(Sync!$W539,OpTbl,3,0),"")="فروش"),UPPER(TRIM(Sync!$X539)),""))</f>
        <v/>
      </c>
      <c r="H543" t="str">
        <f>IF($G543="","",IF(Sync!$W539="","",Sync!$W539))</f>
        <v/>
      </c>
      <c r="I543" t="str">
        <f>IF(OR($G543="",Sync!$Y539=""),"",Sync!$Y539)</f>
        <v/>
      </c>
      <c r="J543" t="str">
        <f>IF(OR($G543="",Sync!$Z539=""),"",Sync!$Z539)</f>
        <v/>
      </c>
      <c r="K543">
        <f>IF($G543="",0,IF(Sync!$AA539="",0,Sync!$AA539))</f>
        <v>0</v>
      </c>
      <c r="L543">
        <f>IF($G543="",0,IF(Sync!$AB539="",0,Sync!$AB539))</f>
        <v>0</v>
      </c>
      <c r="M543" t="str">
        <f t="shared" si="53"/>
        <v/>
      </c>
      <c r="N543">
        <f>IF($G543="",0,IF($H543="مرجوعی فروش",-1,1)*IF(Sync!$AC539="",0,Sync!$AC539))</f>
        <v>0</v>
      </c>
      <c r="O543" t="str">
        <f>IF(OR($G543="",Sync!$V539=""),"",Sync!$V539)</f>
        <v/>
      </c>
      <c r="P543" t="str">
        <f>IF(OR($G543="",Sync!$AD539=""),"",Sync!$AD539)</f>
        <v/>
      </c>
      <c r="Q543" t="str">
        <f>IF($G543="","",IF(Sync!$U539="","0000",IF(AND(ISNUMBER(Sync!$U539),Sync!$U539&gt;=0,Sync!$U539&lt;1),RIGHT("00"&amp;HOUR(Sync!$U539),2)&amp;RIGHT("00"&amp;MINUTE(Sync!$U539),2),IFERROR(RIGHT("00"&amp;VALUE(LEFT(Sync!$U539,FIND(":",Sync!$U539)-1)),2)&amp;RIGHT("00"&amp;VALUE(MID(Sync!$U539,FIND(":",Sync!$U539)+1,2)),2),"0000"))))</f>
        <v/>
      </c>
    </row>
    <row r="544" spans="1:17" x14ac:dyDescent="0.2">
      <c r="A544" t="str">
        <f>IF(Sync!$T540="","",Sync!$T540)</f>
        <v/>
      </c>
      <c r="B544" t="str">
        <f t="shared" si="48"/>
        <v/>
      </c>
      <c r="C544" t="str">
        <f t="shared" si="49"/>
        <v/>
      </c>
      <c r="D544" t="str">
        <f t="shared" si="50"/>
        <v/>
      </c>
      <c r="E544" t="str">
        <f t="shared" si="51"/>
        <v/>
      </c>
      <c r="F544" t="str">
        <f t="shared" si="52"/>
        <v/>
      </c>
      <c r="G544" t="str">
        <f>IF(OR($E544="",$E544="نامعتبر",Sync!$X540=""),"",IF(AND(LEFT(UPPER(TRIM(Sync!$X540)),2)="SL",IFERROR(VLOOKUP(Sync!$W540,OpTbl,3,0),"")="فروش"),UPPER(TRIM(Sync!$X540)),""))</f>
        <v/>
      </c>
      <c r="H544" t="str">
        <f>IF($G544="","",IF(Sync!$W540="","",Sync!$W540))</f>
        <v/>
      </c>
      <c r="I544" t="str">
        <f>IF(OR($G544="",Sync!$Y540=""),"",Sync!$Y540)</f>
        <v/>
      </c>
      <c r="J544" t="str">
        <f>IF(OR($G544="",Sync!$Z540=""),"",Sync!$Z540)</f>
        <v/>
      </c>
      <c r="K544">
        <f>IF($G544="",0,IF(Sync!$AA540="",0,Sync!$AA540))</f>
        <v>0</v>
      </c>
      <c r="L544">
        <f>IF($G544="",0,IF(Sync!$AB540="",0,Sync!$AB540))</f>
        <v>0</v>
      </c>
      <c r="M544" t="str">
        <f t="shared" si="53"/>
        <v/>
      </c>
      <c r="N544">
        <f>IF($G544="",0,IF($H544="مرجوعی فروش",-1,1)*IF(Sync!$AC540="",0,Sync!$AC540))</f>
        <v>0</v>
      </c>
      <c r="O544" t="str">
        <f>IF(OR($G544="",Sync!$V540=""),"",Sync!$V540)</f>
        <v/>
      </c>
      <c r="P544" t="str">
        <f>IF(OR($G544="",Sync!$AD540=""),"",Sync!$AD540)</f>
        <v/>
      </c>
      <c r="Q544" t="str">
        <f>IF($G544="","",IF(Sync!$U540="","0000",IF(AND(ISNUMBER(Sync!$U540),Sync!$U540&gt;=0,Sync!$U540&lt;1),RIGHT("00"&amp;HOUR(Sync!$U540),2)&amp;RIGHT("00"&amp;MINUTE(Sync!$U540),2),IFERROR(RIGHT("00"&amp;VALUE(LEFT(Sync!$U540,FIND(":",Sync!$U540)-1)),2)&amp;RIGHT("00"&amp;VALUE(MID(Sync!$U540,FIND(":",Sync!$U540)+1,2)),2),"0000"))))</f>
        <v/>
      </c>
    </row>
    <row r="545" spans="1:17" x14ac:dyDescent="0.2">
      <c r="A545" t="str">
        <f>IF(Sync!$T541="","",Sync!$T541)</f>
        <v/>
      </c>
      <c r="B545" t="str">
        <f t="shared" si="48"/>
        <v/>
      </c>
      <c r="C545" t="str">
        <f t="shared" si="49"/>
        <v/>
      </c>
      <c r="D545" t="str">
        <f t="shared" si="50"/>
        <v/>
      </c>
      <c r="E545" t="str">
        <f t="shared" si="51"/>
        <v/>
      </c>
      <c r="F545" t="str">
        <f t="shared" si="52"/>
        <v/>
      </c>
      <c r="G545" t="str">
        <f>IF(OR($E545="",$E545="نامعتبر",Sync!$X541=""),"",IF(AND(LEFT(UPPER(TRIM(Sync!$X541)),2)="SL",IFERROR(VLOOKUP(Sync!$W541,OpTbl,3,0),"")="فروش"),UPPER(TRIM(Sync!$X541)),""))</f>
        <v/>
      </c>
      <c r="H545" t="str">
        <f>IF($G545="","",IF(Sync!$W541="","",Sync!$W541))</f>
        <v/>
      </c>
      <c r="I545" t="str">
        <f>IF(OR($G545="",Sync!$Y541=""),"",Sync!$Y541)</f>
        <v/>
      </c>
      <c r="J545" t="str">
        <f>IF(OR($G545="",Sync!$Z541=""),"",Sync!$Z541)</f>
        <v/>
      </c>
      <c r="K545">
        <f>IF($G545="",0,IF(Sync!$AA541="",0,Sync!$AA541))</f>
        <v>0</v>
      </c>
      <c r="L545">
        <f>IF($G545="",0,IF(Sync!$AB541="",0,Sync!$AB541))</f>
        <v>0</v>
      </c>
      <c r="M545" t="str">
        <f t="shared" si="53"/>
        <v/>
      </c>
      <c r="N545">
        <f>IF($G545="",0,IF($H545="مرجوعی فروش",-1,1)*IF(Sync!$AC541="",0,Sync!$AC541))</f>
        <v>0</v>
      </c>
      <c r="O545" t="str">
        <f>IF(OR($G545="",Sync!$V541=""),"",Sync!$V541)</f>
        <v/>
      </c>
      <c r="P545" t="str">
        <f>IF(OR($G545="",Sync!$AD541=""),"",Sync!$AD541)</f>
        <v/>
      </c>
      <c r="Q545" t="str">
        <f>IF($G545="","",IF(Sync!$U541="","0000",IF(AND(ISNUMBER(Sync!$U541),Sync!$U541&gt;=0,Sync!$U541&lt;1),RIGHT("00"&amp;HOUR(Sync!$U541),2)&amp;RIGHT("00"&amp;MINUTE(Sync!$U541),2),IFERROR(RIGHT("00"&amp;VALUE(LEFT(Sync!$U541,FIND(":",Sync!$U541)-1)),2)&amp;RIGHT("00"&amp;VALUE(MID(Sync!$U541,FIND(":",Sync!$U541)+1,2)),2),"0000"))))</f>
        <v/>
      </c>
    </row>
    <row r="546" spans="1:17" x14ac:dyDescent="0.2">
      <c r="A546" t="str">
        <f>IF(Sync!$T542="","",Sync!$T542)</f>
        <v/>
      </c>
      <c r="B546" t="str">
        <f t="shared" si="48"/>
        <v/>
      </c>
      <c r="C546" t="str">
        <f t="shared" si="49"/>
        <v/>
      </c>
      <c r="D546" t="str">
        <f t="shared" si="50"/>
        <v/>
      </c>
      <c r="E546" t="str">
        <f t="shared" si="51"/>
        <v/>
      </c>
      <c r="F546" t="str">
        <f t="shared" si="52"/>
        <v/>
      </c>
      <c r="G546" t="str">
        <f>IF(OR($E546="",$E546="نامعتبر",Sync!$X542=""),"",IF(AND(LEFT(UPPER(TRIM(Sync!$X542)),2)="SL",IFERROR(VLOOKUP(Sync!$W542,OpTbl,3,0),"")="فروش"),UPPER(TRIM(Sync!$X542)),""))</f>
        <v/>
      </c>
      <c r="H546" t="str">
        <f>IF($G546="","",IF(Sync!$W542="","",Sync!$W542))</f>
        <v/>
      </c>
      <c r="I546" t="str">
        <f>IF(OR($G546="",Sync!$Y542=""),"",Sync!$Y542)</f>
        <v/>
      </c>
      <c r="J546" t="str">
        <f>IF(OR($G546="",Sync!$Z542=""),"",Sync!$Z542)</f>
        <v/>
      </c>
      <c r="K546">
        <f>IF($G546="",0,IF(Sync!$AA542="",0,Sync!$AA542))</f>
        <v>0</v>
      </c>
      <c r="L546">
        <f>IF($G546="",0,IF(Sync!$AB542="",0,Sync!$AB542))</f>
        <v>0</v>
      </c>
      <c r="M546" t="str">
        <f t="shared" si="53"/>
        <v/>
      </c>
      <c r="N546">
        <f>IF($G546="",0,IF($H546="مرجوعی فروش",-1,1)*IF(Sync!$AC542="",0,Sync!$AC542))</f>
        <v>0</v>
      </c>
      <c r="O546" t="str">
        <f>IF(OR($G546="",Sync!$V542=""),"",Sync!$V542)</f>
        <v/>
      </c>
      <c r="P546" t="str">
        <f>IF(OR($G546="",Sync!$AD542=""),"",Sync!$AD542)</f>
        <v/>
      </c>
      <c r="Q546" t="str">
        <f>IF($G546="","",IF(Sync!$U542="","0000",IF(AND(ISNUMBER(Sync!$U542),Sync!$U542&gt;=0,Sync!$U542&lt;1),RIGHT("00"&amp;HOUR(Sync!$U542),2)&amp;RIGHT("00"&amp;MINUTE(Sync!$U542),2),IFERROR(RIGHT("00"&amp;VALUE(LEFT(Sync!$U542,FIND(":",Sync!$U542)-1)),2)&amp;RIGHT("00"&amp;VALUE(MID(Sync!$U542,FIND(":",Sync!$U542)+1,2)),2),"0000"))))</f>
        <v/>
      </c>
    </row>
    <row r="547" spans="1:17" x14ac:dyDescent="0.2">
      <c r="A547" t="str">
        <f>IF(Sync!$T543="","",Sync!$T543)</f>
        <v/>
      </c>
      <c r="B547" t="str">
        <f t="shared" si="48"/>
        <v/>
      </c>
      <c r="C547" t="str">
        <f t="shared" si="49"/>
        <v/>
      </c>
      <c r="D547" t="str">
        <f t="shared" si="50"/>
        <v/>
      </c>
      <c r="E547" t="str">
        <f t="shared" si="51"/>
        <v/>
      </c>
      <c r="F547" t="str">
        <f t="shared" si="52"/>
        <v/>
      </c>
      <c r="G547" t="str">
        <f>IF(OR($E547="",$E547="نامعتبر",Sync!$X543=""),"",IF(AND(LEFT(UPPER(TRIM(Sync!$X543)),2)="SL",IFERROR(VLOOKUP(Sync!$W543,OpTbl,3,0),"")="فروش"),UPPER(TRIM(Sync!$X543)),""))</f>
        <v/>
      </c>
      <c r="H547" t="str">
        <f>IF($G547="","",IF(Sync!$W543="","",Sync!$W543))</f>
        <v/>
      </c>
      <c r="I547" t="str">
        <f>IF(OR($G547="",Sync!$Y543=""),"",Sync!$Y543)</f>
        <v/>
      </c>
      <c r="J547" t="str">
        <f>IF(OR($G547="",Sync!$Z543=""),"",Sync!$Z543)</f>
        <v/>
      </c>
      <c r="K547">
        <f>IF($G547="",0,IF(Sync!$AA543="",0,Sync!$AA543))</f>
        <v>0</v>
      </c>
      <c r="L547">
        <f>IF($G547="",0,IF(Sync!$AB543="",0,Sync!$AB543))</f>
        <v>0</v>
      </c>
      <c r="M547" t="str">
        <f t="shared" si="53"/>
        <v/>
      </c>
      <c r="N547">
        <f>IF($G547="",0,IF($H547="مرجوعی فروش",-1,1)*IF(Sync!$AC543="",0,Sync!$AC543))</f>
        <v>0</v>
      </c>
      <c r="O547" t="str">
        <f>IF(OR($G547="",Sync!$V543=""),"",Sync!$V543)</f>
        <v/>
      </c>
      <c r="P547" t="str">
        <f>IF(OR($G547="",Sync!$AD543=""),"",Sync!$AD543)</f>
        <v/>
      </c>
      <c r="Q547" t="str">
        <f>IF($G547="","",IF(Sync!$U543="","0000",IF(AND(ISNUMBER(Sync!$U543),Sync!$U543&gt;=0,Sync!$U543&lt;1),RIGHT("00"&amp;HOUR(Sync!$U543),2)&amp;RIGHT("00"&amp;MINUTE(Sync!$U543),2),IFERROR(RIGHT("00"&amp;VALUE(LEFT(Sync!$U543,FIND(":",Sync!$U543)-1)),2)&amp;RIGHT("00"&amp;VALUE(MID(Sync!$U543,FIND(":",Sync!$U543)+1,2)),2),"0000"))))</f>
        <v/>
      </c>
    </row>
    <row r="548" spans="1:17" x14ac:dyDescent="0.2">
      <c r="A548" t="str">
        <f>IF(Sync!$T544="","",Sync!$T544)</f>
        <v/>
      </c>
      <c r="B548" t="str">
        <f t="shared" si="48"/>
        <v/>
      </c>
      <c r="C548" t="str">
        <f t="shared" si="49"/>
        <v/>
      </c>
      <c r="D548" t="str">
        <f t="shared" si="50"/>
        <v/>
      </c>
      <c r="E548" t="str">
        <f t="shared" si="51"/>
        <v/>
      </c>
      <c r="F548" t="str">
        <f t="shared" si="52"/>
        <v/>
      </c>
      <c r="G548" t="str">
        <f>IF(OR($E548="",$E548="نامعتبر",Sync!$X544=""),"",IF(AND(LEFT(UPPER(TRIM(Sync!$X544)),2)="SL",IFERROR(VLOOKUP(Sync!$W544,OpTbl,3,0),"")="فروش"),UPPER(TRIM(Sync!$X544)),""))</f>
        <v/>
      </c>
      <c r="H548" t="str">
        <f>IF($G548="","",IF(Sync!$W544="","",Sync!$W544))</f>
        <v/>
      </c>
      <c r="I548" t="str">
        <f>IF(OR($G548="",Sync!$Y544=""),"",Sync!$Y544)</f>
        <v/>
      </c>
      <c r="J548" t="str">
        <f>IF(OR($G548="",Sync!$Z544=""),"",Sync!$Z544)</f>
        <v/>
      </c>
      <c r="K548">
        <f>IF($G548="",0,IF(Sync!$AA544="",0,Sync!$AA544))</f>
        <v>0</v>
      </c>
      <c r="L548">
        <f>IF($G548="",0,IF(Sync!$AB544="",0,Sync!$AB544))</f>
        <v>0</v>
      </c>
      <c r="M548" t="str">
        <f t="shared" si="53"/>
        <v/>
      </c>
      <c r="N548">
        <f>IF($G548="",0,IF($H548="مرجوعی فروش",-1,1)*IF(Sync!$AC544="",0,Sync!$AC544))</f>
        <v>0</v>
      </c>
      <c r="O548" t="str">
        <f>IF(OR($G548="",Sync!$V544=""),"",Sync!$V544)</f>
        <v/>
      </c>
      <c r="P548" t="str">
        <f>IF(OR($G548="",Sync!$AD544=""),"",Sync!$AD544)</f>
        <v/>
      </c>
      <c r="Q548" t="str">
        <f>IF($G548="","",IF(Sync!$U544="","0000",IF(AND(ISNUMBER(Sync!$U544),Sync!$U544&gt;=0,Sync!$U544&lt;1),RIGHT("00"&amp;HOUR(Sync!$U544),2)&amp;RIGHT("00"&amp;MINUTE(Sync!$U544),2),IFERROR(RIGHT("00"&amp;VALUE(LEFT(Sync!$U544,FIND(":",Sync!$U544)-1)),2)&amp;RIGHT("00"&amp;VALUE(MID(Sync!$U544,FIND(":",Sync!$U544)+1,2)),2),"0000"))))</f>
        <v/>
      </c>
    </row>
    <row r="549" spans="1:17" x14ac:dyDescent="0.2">
      <c r="A549" t="str">
        <f>IF(Sync!$T545="","",Sync!$T545)</f>
        <v/>
      </c>
      <c r="B549" t="str">
        <f t="shared" si="48"/>
        <v/>
      </c>
      <c r="C549" t="str">
        <f t="shared" si="49"/>
        <v/>
      </c>
      <c r="D549" t="str">
        <f t="shared" si="50"/>
        <v/>
      </c>
      <c r="E549" t="str">
        <f t="shared" si="51"/>
        <v/>
      </c>
      <c r="F549" t="str">
        <f t="shared" si="52"/>
        <v/>
      </c>
      <c r="G549" t="str">
        <f>IF(OR($E549="",$E549="نامعتبر",Sync!$X545=""),"",IF(AND(LEFT(UPPER(TRIM(Sync!$X545)),2)="SL",IFERROR(VLOOKUP(Sync!$W545,OpTbl,3,0),"")="فروش"),UPPER(TRIM(Sync!$X545)),""))</f>
        <v/>
      </c>
      <c r="H549" t="str">
        <f>IF($G549="","",IF(Sync!$W545="","",Sync!$W545))</f>
        <v/>
      </c>
      <c r="I549" t="str">
        <f>IF(OR($G549="",Sync!$Y545=""),"",Sync!$Y545)</f>
        <v/>
      </c>
      <c r="J549" t="str">
        <f>IF(OR($G549="",Sync!$Z545=""),"",Sync!$Z545)</f>
        <v/>
      </c>
      <c r="K549">
        <f>IF($G549="",0,IF(Sync!$AA545="",0,Sync!$AA545))</f>
        <v>0</v>
      </c>
      <c r="L549">
        <f>IF($G549="",0,IF(Sync!$AB545="",0,Sync!$AB545))</f>
        <v>0</v>
      </c>
      <c r="M549" t="str">
        <f t="shared" si="53"/>
        <v/>
      </c>
      <c r="N549">
        <f>IF($G549="",0,IF($H549="مرجوعی فروش",-1,1)*IF(Sync!$AC545="",0,Sync!$AC545))</f>
        <v>0</v>
      </c>
      <c r="O549" t="str">
        <f>IF(OR($G549="",Sync!$V545=""),"",Sync!$V545)</f>
        <v/>
      </c>
      <c r="P549" t="str">
        <f>IF(OR($G549="",Sync!$AD545=""),"",Sync!$AD545)</f>
        <v/>
      </c>
      <c r="Q549" t="str">
        <f>IF($G549="","",IF(Sync!$U545="","0000",IF(AND(ISNUMBER(Sync!$U545),Sync!$U545&gt;=0,Sync!$U545&lt;1),RIGHT("00"&amp;HOUR(Sync!$U545),2)&amp;RIGHT("00"&amp;MINUTE(Sync!$U545),2),IFERROR(RIGHT("00"&amp;VALUE(LEFT(Sync!$U545,FIND(":",Sync!$U545)-1)),2)&amp;RIGHT("00"&amp;VALUE(MID(Sync!$U545,FIND(":",Sync!$U545)+1,2)),2),"0000"))))</f>
        <v/>
      </c>
    </row>
    <row r="550" spans="1:17" x14ac:dyDescent="0.2">
      <c r="A550" t="str">
        <f>IF(Sync!$T546="","",Sync!$T546)</f>
        <v/>
      </c>
      <c r="B550" t="str">
        <f t="shared" si="48"/>
        <v/>
      </c>
      <c r="C550" t="str">
        <f t="shared" si="49"/>
        <v/>
      </c>
      <c r="D550" t="str">
        <f t="shared" si="50"/>
        <v/>
      </c>
      <c r="E550" t="str">
        <f t="shared" si="51"/>
        <v/>
      </c>
      <c r="F550" t="str">
        <f t="shared" si="52"/>
        <v/>
      </c>
      <c r="G550" t="str">
        <f>IF(OR($E550="",$E550="نامعتبر",Sync!$X546=""),"",IF(AND(LEFT(UPPER(TRIM(Sync!$X546)),2)="SL",IFERROR(VLOOKUP(Sync!$W546,OpTbl,3,0),"")="فروش"),UPPER(TRIM(Sync!$X546)),""))</f>
        <v/>
      </c>
      <c r="H550" t="str">
        <f>IF($G550="","",IF(Sync!$W546="","",Sync!$W546))</f>
        <v/>
      </c>
      <c r="I550" t="str">
        <f>IF(OR($G550="",Sync!$Y546=""),"",Sync!$Y546)</f>
        <v/>
      </c>
      <c r="J550" t="str">
        <f>IF(OR($G550="",Sync!$Z546=""),"",Sync!$Z546)</f>
        <v/>
      </c>
      <c r="K550">
        <f>IF($G550="",0,IF(Sync!$AA546="",0,Sync!$AA546))</f>
        <v>0</v>
      </c>
      <c r="L550">
        <f>IF($G550="",0,IF(Sync!$AB546="",0,Sync!$AB546))</f>
        <v>0</v>
      </c>
      <c r="M550" t="str">
        <f t="shared" si="53"/>
        <v/>
      </c>
      <c r="N550">
        <f>IF($G550="",0,IF($H550="مرجوعی فروش",-1,1)*IF(Sync!$AC546="",0,Sync!$AC546))</f>
        <v>0</v>
      </c>
      <c r="O550" t="str">
        <f>IF(OR($G550="",Sync!$V546=""),"",Sync!$V546)</f>
        <v/>
      </c>
      <c r="P550" t="str">
        <f>IF(OR($G550="",Sync!$AD546=""),"",Sync!$AD546)</f>
        <v/>
      </c>
      <c r="Q550" t="str">
        <f>IF($G550="","",IF(Sync!$U546="","0000",IF(AND(ISNUMBER(Sync!$U546),Sync!$U546&gt;=0,Sync!$U546&lt;1),RIGHT("00"&amp;HOUR(Sync!$U546),2)&amp;RIGHT("00"&amp;MINUTE(Sync!$U546),2),IFERROR(RIGHT("00"&amp;VALUE(LEFT(Sync!$U546,FIND(":",Sync!$U546)-1)),2)&amp;RIGHT("00"&amp;VALUE(MID(Sync!$U546,FIND(":",Sync!$U546)+1,2)),2),"0000"))))</f>
        <v/>
      </c>
    </row>
    <row r="551" spans="1:17" x14ac:dyDescent="0.2">
      <c r="A551" t="str">
        <f>IF(Sync!$T547="","",Sync!$T547)</f>
        <v/>
      </c>
      <c r="B551" t="str">
        <f t="shared" si="48"/>
        <v/>
      </c>
      <c r="C551" t="str">
        <f t="shared" si="49"/>
        <v/>
      </c>
      <c r="D551" t="str">
        <f t="shared" si="50"/>
        <v/>
      </c>
      <c r="E551" t="str">
        <f t="shared" si="51"/>
        <v/>
      </c>
      <c r="F551" t="str">
        <f t="shared" si="52"/>
        <v/>
      </c>
      <c r="G551" t="str">
        <f>IF(OR($E551="",$E551="نامعتبر",Sync!$X547=""),"",IF(AND(LEFT(UPPER(TRIM(Sync!$X547)),2)="SL",IFERROR(VLOOKUP(Sync!$W547,OpTbl,3,0),"")="فروش"),UPPER(TRIM(Sync!$X547)),""))</f>
        <v/>
      </c>
      <c r="H551" t="str">
        <f>IF($G551="","",IF(Sync!$W547="","",Sync!$W547))</f>
        <v/>
      </c>
      <c r="I551" t="str">
        <f>IF(OR($G551="",Sync!$Y547=""),"",Sync!$Y547)</f>
        <v/>
      </c>
      <c r="J551" t="str">
        <f>IF(OR($G551="",Sync!$Z547=""),"",Sync!$Z547)</f>
        <v/>
      </c>
      <c r="K551">
        <f>IF($G551="",0,IF(Sync!$AA547="",0,Sync!$AA547))</f>
        <v>0</v>
      </c>
      <c r="L551">
        <f>IF($G551="",0,IF(Sync!$AB547="",0,Sync!$AB547))</f>
        <v>0</v>
      </c>
      <c r="M551" t="str">
        <f t="shared" si="53"/>
        <v/>
      </c>
      <c r="N551">
        <f>IF($G551="",0,IF($H551="مرجوعی فروش",-1,1)*IF(Sync!$AC547="",0,Sync!$AC547))</f>
        <v>0</v>
      </c>
      <c r="O551" t="str">
        <f>IF(OR($G551="",Sync!$V547=""),"",Sync!$V547)</f>
        <v/>
      </c>
      <c r="P551" t="str">
        <f>IF(OR($G551="",Sync!$AD547=""),"",Sync!$AD547)</f>
        <v/>
      </c>
      <c r="Q551" t="str">
        <f>IF($G551="","",IF(Sync!$U547="","0000",IF(AND(ISNUMBER(Sync!$U547),Sync!$U547&gt;=0,Sync!$U547&lt;1),RIGHT("00"&amp;HOUR(Sync!$U547),2)&amp;RIGHT("00"&amp;MINUTE(Sync!$U547),2),IFERROR(RIGHT("00"&amp;VALUE(LEFT(Sync!$U547,FIND(":",Sync!$U547)-1)),2)&amp;RIGHT("00"&amp;VALUE(MID(Sync!$U547,FIND(":",Sync!$U547)+1,2)),2),"0000"))))</f>
        <v/>
      </c>
    </row>
    <row r="552" spans="1:17" x14ac:dyDescent="0.2">
      <c r="A552" t="str">
        <f>IF(Sync!$T548="","",Sync!$T548)</f>
        <v/>
      </c>
      <c r="B552" t="str">
        <f t="shared" si="48"/>
        <v/>
      </c>
      <c r="C552" t="str">
        <f t="shared" si="49"/>
        <v/>
      </c>
      <c r="D552" t="str">
        <f t="shared" si="50"/>
        <v/>
      </c>
      <c r="E552" t="str">
        <f t="shared" si="51"/>
        <v/>
      </c>
      <c r="F552" t="str">
        <f t="shared" si="52"/>
        <v/>
      </c>
      <c r="G552" t="str">
        <f>IF(OR($E552="",$E552="نامعتبر",Sync!$X548=""),"",IF(AND(LEFT(UPPER(TRIM(Sync!$X548)),2)="SL",IFERROR(VLOOKUP(Sync!$W548,OpTbl,3,0),"")="فروش"),UPPER(TRIM(Sync!$X548)),""))</f>
        <v/>
      </c>
      <c r="H552" t="str">
        <f>IF($G552="","",IF(Sync!$W548="","",Sync!$W548))</f>
        <v/>
      </c>
      <c r="I552" t="str">
        <f>IF(OR($G552="",Sync!$Y548=""),"",Sync!$Y548)</f>
        <v/>
      </c>
      <c r="J552" t="str">
        <f>IF(OR($G552="",Sync!$Z548=""),"",Sync!$Z548)</f>
        <v/>
      </c>
      <c r="K552">
        <f>IF($G552="",0,IF(Sync!$AA548="",0,Sync!$AA548))</f>
        <v>0</v>
      </c>
      <c r="L552">
        <f>IF($G552="",0,IF(Sync!$AB548="",0,Sync!$AB548))</f>
        <v>0</v>
      </c>
      <c r="M552" t="str">
        <f t="shared" si="53"/>
        <v/>
      </c>
      <c r="N552">
        <f>IF($G552="",0,IF($H552="مرجوعی فروش",-1,1)*IF(Sync!$AC548="",0,Sync!$AC548))</f>
        <v>0</v>
      </c>
      <c r="O552" t="str">
        <f>IF(OR($G552="",Sync!$V548=""),"",Sync!$V548)</f>
        <v/>
      </c>
      <c r="P552" t="str">
        <f>IF(OR($G552="",Sync!$AD548=""),"",Sync!$AD548)</f>
        <v/>
      </c>
      <c r="Q552" t="str">
        <f>IF($G552="","",IF(Sync!$U548="","0000",IF(AND(ISNUMBER(Sync!$U548),Sync!$U548&gt;=0,Sync!$U548&lt;1),RIGHT("00"&amp;HOUR(Sync!$U548),2)&amp;RIGHT("00"&amp;MINUTE(Sync!$U548),2),IFERROR(RIGHT("00"&amp;VALUE(LEFT(Sync!$U548,FIND(":",Sync!$U548)-1)),2)&amp;RIGHT("00"&amp;VALUE(MID(Sync!$U548,FIND(":",Sync!$U548)+1,2)),2),"0000"))))</f>
        <v/>
      </c>
    </row>
    <row r="553" spans="1:17" x14ac:dyDescent="0.2">
      <c r="A553" t="str">
        <f>IF(Sync!$T549="","",Sync!$T549)</f>
        <v/>
      </c>
      <c r="B553" t="str">
        <f t="shared" si="48"/>
        <v/>
      </c>
      <c r="C553" t="str">
        <f t="shared" si="49"/>
        <v/>
      </c>
      <c r="D553" t="str">
        <f t="shared" si="50"/>
        <v/>
      </c>
      <c r="E553" t="str">
        <f t="shared" si="51"/>
        <v/>
      </c>
      <c r="F553" t="str">
        <f t="shared" si="52"/>
        <v/>
      </c>
      <c r="G553" t="str">
        <f>IF(OR($E553="",$E553="نامعتبر",Sync!$X549=""),"",IF(AND(LEFT(UPPER(TRIM(Sync!$X549)),2)="SL",IFERROR(VLOOKUP(Sync!$W549,OpTbl,3,0),"")="فروش"),UPPER(TRIM(Sync!$X549)),""))</f>
        <v/>
      </c>
      <c r="H553" t="str">
        <f>IF($G553="","",IF(Sync!$W549="","",Sync!$W549))</f>
        <v/>
      </c>
      <c r="I553" t="str">
        <f>IF(OR($G553="",Sync!$Y549=""),"",Sync!$Y549)</f>
        <v/>
      </c>
      <c r="J553" t="str">
        <f>IF(OR($G553="",Sync!$Z549=""),"",Sync!$Z549)</f>
        <v/>
      </c>
      <c r="K553">
        <f>IF($G553="",0,IF(Sync!$AA549="",0,Sync!$AA549))</f>
        <v>0</v>
      </c>
      <c r="L553">
        <f>IF($G553="",0,IF(Sync!$AB549="",0,Sync!$AB549))</f>
        <v>0</v>
      </c>
      <c r="M553" t="str">
        <f t="shared" si="53"/>
        <v/>
      </c>
      <c r="N553">
        <f>IF($G553="",0,IF($H553="مرجوعی فروش",-1,1)*IF(Sync!$AC549="",0,Sync!$AC549))</f>
        <v>0</v>
      </c>
      <c r="O553" t="str">
        <f>IF(OR($G553="",Sync!$V549=""),"",Sync!$V549)</f>
        <v/>
      </c>
      <c r="P553" t="str">
        <f>IF(OR($G553="",Sync!$AD549=""),"",Sync!$AD549)</f>
        <v/>
      </c>
      <c r="Q553" t="str">
        <f>IF($G553="","",IF(Sync!$U549="","0000",IF(AND(ISNUMBER(Sync!$U549),Sync!$U549&gt;=0,Sync!$U549&lt;1),RIGHT("00"&amp;HOUR(Sync!$U549),2)&amp;RIGHT("00"&amp;MINUTE(Sync!$U549),2),IFERROR(RIGHT("00"&amp;VALUE(LEFT(Sync!$U549,FIND(":",Sync!$U549)-1)),2)&amp;RIGHT("00"&amp;VALUE(MID(Sync!$U549,FIND(":",Sync!$U549)+1,2)),2),"0000"))))</f>
        <v/>
      </c>
    </row>
    <row r="554" spans="1:17" x14ac:dyDescent="0.2">
      <c r="A554" t="str">
        <f>IF(Sync!$T550="","",Sync!$T550)</f>
        <v/>
      </c>
      <c r="B554" t="str">
        <f t="shared" si="48"/>
        <v/>
      </c>
      <c r="C554" t="str">
        <f t="shared" si="49"/>
        <v/>
      </c>
      <c r="D554" t="str">
        <f t="shared" si="50"/>
        <v/>
      </c>
      <c r="E554" t="str">
        <f t="shared" si="51"/>
        <v/>
      </c>
      <c r="F554" t="str">
        <f t="shared" si="52"/>
        <v/>
      </c>
      <c r="G554" t="str">
        <f>IF(OR($E554="",$E554="نامعتبر",Sync!$X550=""),"",IF(AND(LEFT(UPPER(TRIM(Sync!$X550)),2)="SL",IFERROR(VLOOKUP(Sync!$W550,OpTbl,3,0),"")="فروش"),UPPER(TRIM(Sync!$X550)),""))</f>
        <v/>
      </c>
      <c r="H554" t="str">
        <f>IF($G554="","",IF(Sync!$W550="","",Sync!$W550))</f>
        <v/>
      </c>
      <c r="I554" t="str">
        <f>IF(OR($G554="",Sync!$Y550=""),"",Sync!$Y550)</f>
        <v/>
      </c>
      <c r="J554" t="str">
        <f>IF(OR($G554="",Sync!$Z550=""),"",Sync!$Z550)</f>
        <v/>
      </c>
      <c r="K554">
        <f>IF($G554="",0,IF(Sync!$AA550="",0,Sync!$AA550))</f>
        <v>0</v>
      </c>
      <c r="L554">
        <f>IF($G554="",0,IF(Sync!$AB550="",0,Sync!$AB550))</f>
        <v>0</v>
      </c>
      <c r="M554" t="str">
        <f t="shared" si="53"/>
        <v/>
      </c>
      <c r="N554">
        <f>IF($G554="",0,IF($H554="مرجوعی فروش",-1,1)*IF(Sync!$AC550="",0,Sync!$AC550))</f>
        <v>0</v>
      </c>
      <c r="O554" t="str">
        <f>IF(OR($G554="",Sync!$V550=""),"",Sync!$V550)</f>
        <v/>
      </c>
      <c r="P554" t="str">
        <f>IF(OR($G554="",Sync!$AD550=""),"",Sync!$AD550)</f>
        <v/>
      </c>
      <c r="Q554" t="str">
        <f>IF($G554="","",IF(Sync!$U550="","0000",IF(AND(ISNUMBER(Sync!$U550),Sync!$U550&gt;=0,Sync!$U550&lt;1),RIGHT("00"&amp;HOUR(Sync!$U550),2)&amp;RIGHT("00"&amp;MINUTE(Sync!$U550),2),IFERROR(RIGHT("00"&amp;VALUE(LEFT(Sync!$U550,FIND(":",Sync!$U550)-1)),2)&amp;RIGHT("00"&amp;VALUE(MID(Sync!$U550,FIND(":",Sync!$U550)+1,2)),2),"0000"))))</f>
        <v/>
      </c>
    </row>
    <row r="555" spans="1:17" x14ac:dyDescent="0.2">
      <c r="A555" t="str">
        <f>IF(Sync!$T551="","",Sync!$T551)</f>
        <v/>
      </c>
      <c r="B555" t="str">
        <f t="shared" si="48"/>
        <v/>
      </c>
      <c r="C555" t="str">
        <f t="shared" si="49"/>
        <v/>
      </c>
      <c r="D555" t="str">
        <f t="shared" si="50"/>
        <v/>
      </c>
      <c r="E555" t="str">
        <f t="shared" si="51"/>
        <v/>
      </c>
      <c r="F555" t="str">
        <f t="shared" si="52"/>
        <v/>
      </c>
      <c r="G555" t="str">
        <f>IF(OR($E555="",$E555="نامعتبر",Sync!$X551=""),"",IF(AND(LEFT(UPPER(TRIM(Sync!$X551)),2)="SL",IFERROR(VLOOKUP(Sync!$W551,OpTbl,3,0),"")="فروش"),UPPER(TRIM(Sync!$X551)),""))</f>
        <v/>
      </c>
      <c r="H555" t="str">
        <f>IF($G555="","",IF(Sync!$W551="","",Sync!$W551))</f>
        <v/>
      </c>
      <c r="I555" t="str">
        <f>IF(OR($G555="",Sync!$Y551=""),"",Sync!$Y551)</f>
        <v/>
      </c>
      <c r="J555" t="str">
        <f>IF(OR($G555="",Sync!$Z551=""),"",Sync!$Z551)</f>
        <v/>
      </c>
      <c r="K555">
        <f>IF($G555="",0,IF(Sync!$AA551="",0,Sync!$AA551))</f>
        <v>0</v>
      </c>
      <c r="L555">
        <f>IF($G555="",0,IF(Sync!$AB551="",0,Sync!$AB551))</f>
        <v>0</v>
      </c>
      <c r="M555" t="str">
        <f t="shared" si="53"/>
        <v/>
      </c>
      <c r="N555">
        <f>IF($G555="",0,IF($H555="مرجوعی فروش",-1,1)*IF(Sync!$AC551="",0,Sync!$AC551))</f>
        <v>0</v>
      </c>
      <c r="O555" t="str">
        <f>IF(OR($G555="",Sync!$V551=""),"",Sync!$V551)</f>
        <v/>
      </c>
      <c r="P555" t="str">
        <f>IF(OR($G555="",Sync!$AD551=""),"",Sync!$AD551)</f>
        <v/>
      </c>
      <c r="Q555" t="str">
        <f>IF($G555="","",IF(Sync!$U551="","0000",IF(AND(ISNUMBER(Sync!$U551),Sync!$U551&gt;=0,Sync!$U551&lt;1),RIGHT("00"&amp;HOUR(Sync!$U551),2)&amp;RIGHT("00"&amp;MINUTE(Sync!$U551),2),IFERROR(RIGHT("00"&amp;VALUE(LEFT(Sync!$U551,FIND(":",Sync!$U551)-1)),2)&amp;RIGHT("00"&amp;VALUE(MID(Sync!$U551,FIND(":",Sync!$U551)+1,2)),2),"0000"))))</f>
        <v/>
      </c>
    </row>
    <row r="556" spans="1:17" x14ac:dyDescent="0.2">
      <c r="A556" t="str">
        <f>IF(Sync!$T552="","",Sync!$T552)</f>
        <v/>
      </c>
      <c r="B556" t="str">
        <f t="shared" si="48"/>
        <v/>
      </c>
      <c r="C556" t="str">
        <f t="shared" si="49"/>
        <v/>
      </c>
      <c r="D556" t="str">
        <f t="shared" si="50"/>
        <v/>
      </c>
      <c r="E556" t="str">
        <f t="shared" si="51"/>
        <v/>
      </c>
      <c r="F556" t="str">
        <f t="shared" si="52"/>
        <v/>
      </c>
      <c r="G556" t="str">
        <f>IF(OR($E556="",$E556="نامعتبر",Sync!$X552=""),"",IF(AND(LEFT(UPPER(TRIM(Sync!$X552)),2)="SL",IFERROR(VLOOKUP(Sync!$W552,OpTbl,3,0),"")="فروش"),UPPER(TRIM(Sync!$X552)),""))</f>
        <v/>
      </c>
      <c r="H556" t="str">
        <f>IF($G556="","",IF(Sync!$W552="","",Sync!$W552))</f>
        <v/>
      </c>
      <c r="I556" t="str">
        <f>IF(OR($G556="",Sync!$Y552=""),"",Sync!$Y552)</f>
        <v/>
      </c>
      <c r="J556" t="str">
        <f>IF(OR($G556="",Sync!$Z552=""),"",Sync!$Z552)</f>
        <v/>
      </c>
      <c r="K556">
        <f>IF($G556="",0,IF(Sync!$AA552="",0,Sync!$AA552))</f>
        <v>0</v>
      </c>
      <c r="L556">
        <f>IF($G556="",0,IF(Sync!$AB552="",0,Sync!$AB552))</f>
        <v>0</v>
      </c>
      <c r="M556" t="str">
        <f t="shared" si="53"/>
        <v/>
      </c>
      <c r="N556">
        <f>IF($G556="",0,IF($H556="مرجوعی فروش",-1,1)*IF(Sync!$AC552="",0,Sync!$AC552))</f>
        <v>0</v>
      </c>
      <c r="O556" t="str">
        <f>IF(OR($G556="",Sync!$V552=""),"",Sync!$V552)</f>
        <v/>
      </c>
      <c r="P556" t="str">
        <f>IF(OR($G556="",Sync!$AD552=""),"",Sync!$AD552)</f>
        <v/>
      </c>
      <c r="Q556" t="str">
        <f>IF($G556="","",IF(Sync!$U552="","0000",IF(AND(ISNUMBER(Sync!$U552),Sync!$U552&gt;=0,Sync!$U552&lt;1),RIGHT("00"&amp;HOUR(Sync!$U552),2)&amp;RIGHT("00"&amp;MINUTE(Sync!$U552),2),IFERROR(RIGHT("00"&amp;VALUE(LEFT(Sync!$U552,FIND(":",Sync!$U552)-1)),2)&amp;RIGHT("00"&amp;VALUE(MID(Sync!$U552,FIND(":",Sync!$U552)+1,2)),2),"0000"))))</f>
        <v/>
      </c>
    </row>
    <row r="557" spans="1:17" x14ac:dyDescent="0.2">
      <c r="A557" t="str">
        <f>IF(Sync!$T553="","",Sync!$T553)</f>
        <v/>
      </c>
      <c r="B557" t="str">
        <f t="shared" si="48"/>
        <v/>
      </c>
      <c r="C557" t="str">
        <f t="shared" si="49"/>
        <v/>
      </c>
      <c r="D557" t="str">
        <f t="shared" si="50"/>
        <v/>
      </c>
      <c r="E557" t="str">
        <f t="shared" si="51"/>
        <v/>
      </c>
      <c r="F557" t="str">
        <f t="shared" si="52"/>
        <v/>
      </c>
      <c r="G557" t="str">
        <f>IF(OR($E557="",$E557="نامعتبر",Sync!$X553=""),"",IF(AND(LEFT(UPPER(TRIM(Sync!$X553)),2)="SL",IFERROR(VLOOKUP(Sync!$W553,OpTbl,3,0),"")="فروش"),UPPER(TRIM(Sync!$X553)),""))</f>
        <v/>
      </c>
      <c r="H557" t="str">
        <f>IF($G557="","",IF(Sync!$W553="","",Sync!$W553))</f>
        <v/>
      </c>
      <c r="I557" t="str">
        <f>IF(OR($G557="",Sync!$Y553=""),"",Sync!$Y553)</f>
        <v/>
      </c>
      <c r="J557" t="str">
        <f>IF(OR($G557="",Sync!$Z553=""),"",Sync!$Z553)</f>
        <v/>
      </c>
      <c r="K557">
        <f>IF($G557="",0,IF(Sync!$AA553="",0,Sync!$AA553))</f>
        <v>0</v>
      </c>
      <c r="L557">
        <f>IF($G557="",0,IF(Sync!$AB553="",0,Sync!$AB553))</f>
        <v>0</v>
      </c>
      <c r="M557" t="str">
        <f t="shared" si="53"/>
        <v/>
      </c>
      <c r="N557">
        <f>IF($G557="",0,IF($H557="مرجوعی فروش",-1,1)*IF(Sync!$AC553="",0,Sync!$AC553))</f>
        <v>0</v>
      </c>
      <c r="O557" t="str">
        <f>IF(OR($G557="",Sync!$V553=""),"",Sync!$V553)</f>
        <v/>
      </c>
      <c r="P557" t="str">
        <f>IF(OR($G557="",Sync!$AD553=""),"",Sync!$AD553)</f>
        <v/>
      </c>
      <c r="Q557" t="str">
        <f>IF($G557="","",IF(Sync!$U553="","0000",IF(AND(ISNUMBER(Sync!$U553),Sync!$U553&gt;=0,Sync!$U553&lt;1),RIGHT("00"&amp;HOUR(Sync!$U553),2)&amp;RIGHT("00"&amp;MINUTE(Sync!$U553),2),IFERROR(RIGHT("00"&amp;VALUE(LEFT(Sync!$U553,FIND(":",Sync!$U553)-1)),2)&amp;RIGHT("00"&amp;VALUE(MID(Sync!$U553,FIND(":",Sync!$U553)+1,2)),2),"0000"))))</f>
        <v/>
      </c>
    </row>
    <row r="558" spans="1:17" x14ac:dyDescent="0.2">
      <c r="A558" t="str">
        <f>IF(Sync!$T554="","",Sync!$T554)</f>
        <v/>
      </c>
      <c r="B558" t="str">
        <f t="shared" si="48"/>
        <v/>
      </c>
      <c r="C558" t="str">
        <f t="shared" si="49"/>
        <v/>
      </c>
      <c r="D558" t="str">
        <f t="shared" si="50"/>
        <v/>
      </c>
      <c r="E558" t="str">
        <f t="shared" si="51"/>
        <v/>
      </c>
      <c r="F558" t="str">
        <f t="shared" si="52"/>
        <v/>
      </c>
      <c r="G558" t="str">
        <f>IF(OR($E558="",$E558="نامعتبر",Sync!$X554=""),"",IF(AND(LEFT(UPPER(TRIM(Sync!$X554)),2)="SL",IFERROR(VLOOKUP(Sync!$W554,OpTbl,3,0),"")="فروش"),UPPER(TRIM(Sync!$X554)),""))</f>
        <v/>
      </c>
      <c r="H558" t="str">
        <f>IF($G558="","",IF(Sync!$W554="","",Sync!$W554))</f>
        <v/>
      </c>
      <c r="I558" t="str">
        <f>IF(OR($G558="",Sync!$Y554=""),"",Sync!$Y554)</f>
        <v/>
      </c>
      <c r="J558" t="str">
        <f>IF(OR($G558="",Sync!$Z554=""),"",Sync!$Z554)</f>
        <v/>
      </c>
      <c r="K558">
        <f>IF($G558="",0,IF(Sync!$AA554="",0,Sync!$AA554))</f>
        <v>0</v>
      </c>
      <c r="L558">
        <f>IF($G558="",0,IF(Sync!$AB554="",0,Sync!$AB554))</f>
        <v>0</v>
      </c>
      <c r="M558" t="str">
        <f t="shared" si="53"/>
        <v/>
      </c>
      <c r="N558">
        <f>IF($G558="",0,IF($H558="مرجوعی فروش",-1,1)*IF(Sync!$AC554="",0,Sync!$AC554))</f>
        <v>0</v>
      </c>
      <c r="O558" t="str">
        <f>IF(OR($G558="",Sync!$V554=""),"",Sync!$V554)</f>
        <v/>
      </c>
      <c r="P558" t="str">
        <f>IF(OR($G558="",Sync!$AD554=""),"",Sync!$AD554)</f>
        <v/>
      </c>
      <c r="Q558" t="str">
        <f>IF($G558="","",IF(Sync!$U554="","0000",IF(AND(ISNUMBER(Sync!$U554),Sync!$U554&gt;=0,Sync!$U554&lt;1),RIGHT("00"&amp;HOUR(Sync!$U554),2)&amp;RIGHT("00"&amp;MINUTE(Sync!$U554),2),IFERROR(RIGHT("00"&amp;VALUE(LEFT(Sync!$U554,FIND(":",Sync!$U554)-1)),2)&amp;RIGHT("00"&amp;VALUE(MID(Sync!$U554,FIND(":",Sync!$U554)+1,2)),2),"0000"))))</f>
        <v/>
      </c>
    </row>
    <row r="559" spans="1:17" x14ac:dyDescent="0.2">
      <c r="A559" t="str">
        <f>IF(Sync!$T555="","",Sync!$T555)</f>
        <v/>
      </c>
      <c r="B559" t="str">
        <f t="shared" si="48"/>
        <v/>
      </c>
      <c r="C559" t="str">
        <f t="shared" si="49"/>
        <v/>
      </c>
      <c r="D559" t="str">
        <f t="shared" si="50"/>
        <v/>
      </c>
      <c r="E559" t="str">
        <f t="shared" si="51"/>
        <v/>
      </c>
      <c r="F559" t="str">
        <f t="shared" si="52"/>
        <v/>
      </c>
      <c r="G559" t="str">
        <f>IF(OR($E559="",$E559="نامعتبر",Sync!$X555=""),"",IF(AND(LEFT(UPPER(TRIM(Sync!$X555)),2)="SL",IFERROR(VLOOKUP(Sync!$W555,OpTbl,3,0),"")="فروش"),UPPER(TRIM(Sync!$X555)),""))</f>
        <v/>
      </c>
      <c r="H559" t="str">
        <f>IF($G559="","",IF(Sync!$W555="","",Sync!$W555))</f>
        <v/>
      </c>
      <c r="I559" t="str">
        <f>IF(OR($G559="",Sync!$Y555=""),"",Sync!$Y555)</f>
        <v/>
      </c>
      <c r="J559" t="str">
        <f>IF(OR($G559="",Sync!$Z555=""),"",Sync!$Z555)</f>
        <v/>
      </c>
      <c r="K559">
        <f>IF($G559="",0,IF(Sync!$AA555="",0,Sync!$AA555))</f>
        <v>0</v>
      </c>
      <c r="L559">
        <f>IF($G559="",0,IF(Sync!$AB555="",0,Sync!$AB555))</f>
        <v>0</v>
      </c>
      <c r="M559" t="str">
        <f t="shared" si="53"/>
        <v/>
      </c>
      <c r="N559">
        <f>IF($G559="",0,IF($H559="مرجوعی فروش",-1,1)*IF(Sync!$AC555="",0,Sync!$AC555))</f>
        <v>0</v>
      </c>
      <c r="O559" t="str">
        <f>IF(OR($G559="",Sync!$V555=""),"",Sync!$V555)</f>
        <v/>
      </c>
      <c r="P559" t="str">
        <f>IF(OR($G559="",Sync!$AD555=""),"",Sync!$AD555)</f>
        <v/>
      </c>
      <c r="Q559" t="str">
        <f>IF($G559="","",IF(Sync!$U555="","0000",IF(AND(ISNUMBER(Sync!$U555),Sync!$U555&gt;=0,Sync!$U555&lt;1),RIGHT("00"&amp;HOUR(Sync!$U555),2)&amp;RIGHT("00"&amp;MINUTE(Sync!$U555),2),IFERROR(RIGHT("00"&amp;VALUE(LEFT(Sync!$U555,FIND(":",Sync!$U555)-1)),2)&amp;RIGHT("00"&amp;VALUE(MID(Sync!$U555,FIND(":",Sync!$U555)+1,2)),2),"0000"))))</f>
        <v/>
      </c>
    </row>
    <row r="560" spans="1:17" x14ac:dyDescent="0.2">
      <c r="A560" t="str">
        <f>IF(Sync!$T556="","",Sync!$T556)</f>
        <v/>
      </c>
      <c r="B560" t="str">
        <f t="shared" si="48"/>
        <v/>
      </c>
      <c r="C560" t="str">
        <f t="shared" si="49"/>
        <v/>
      </c>
      <c r="D560" t="str">
        <f t="shared" si="50"/>
        <v/>
      </c>
      <c r="E560" t="str">
        <f t="shared" si="51"/>
        <v/>
      </c>
      <c r="F560" t="str">
        <f t="shared" si="52"/>
        <v/>
      </c>
      <c r="G560" t="str">
        <f>IF(OR($E560="",$E560="نامعتبر",Sync!$X556=""),"",IF(AND(LEFT(UPPER(TRIM(Sync!$X556)),2)="SL",IFERROR(VLOOKUP(Sync!$W556,OpTbl,3,0),"")="فروش"),UPPER(TRIM(Sync!$X556)),""))</f>
        <v/>
      </c>
      <c r="H560" t="str">
        <f>IF($G560="","",IF(Sync!$W556="","",Sync!$W556))</f>
        <v/>
      </c>
      <c r="I560" t="str">
        <f>IF(OR($G560="",Sync!$Y556=""),"",Sync!$Y556)</f>
        <v/>
      </c>
      <c r="J560" t="str">
        <f>IF(OR($G560="",Sync!$Z556=""),"",Sync!$Z556)</f>
        <v/>
      </c>
      <c r="K560">
        <f>IF($G560="",0,IF(Sync!$AA556="",0,Sync!$AA556))</f>
        <v>0</v>
      </c>
      <c r="L560">
        <f>IF($G560="",0,IF(Sync!$AB556="",0,Sync!$AB556))</f>
        <v>0</v>
      </c>
      <c r="M560" t="str">
        <f t="shared" si="53"/>
        <v/>
      </c>
      <c r="N560">
        <f>IF($G560="",0,IF($H560="مرجوعی فروش",-1,1)*IF(Sync!$AC556="",0,Sync!$AC556))</f>
        <v>0</v>
      </c>
      <c r="O560" t="str">
        <f>IF(OR($G560="",Sync!$V556=""),"",Sync!$V556)</f>
        <v/>
      </c>
      <c r="P560" t="str">
        <f>IF(OR($G560="",Sync!$AD556=""),"",Sync!$AD556)</f>
        <v/>
      </c>
      <c r="Q560" t="str">
        <f>IF($G560="","",IF(Sync!$U556="","0000",IF(AND(ISNUMBER(Sync!$U556),Sync!$U556&gt;=0,Sync!$U556&lt;1),RIGHT("00"&amp;HOUR(Sync!$U556),2)&amp;RIGHT("00"&amp;MINUTE(Sync!$U556),2),IFERROR(RIGHT("00"&amp;VALUE(LEFT(Sync!$U556,FIND(":",Sync!$U556)-1)),2)&amp;RIGHT("00"&amp;VALUE(MID(Sync!$U556,FIND(":",Sync!$U556)+1,2)),2),"0000"))))</f>
        <v/>
      </c>
    </row>
    <row r="561" spans="1:17" x14ac:dyDescent="0.2">
      <c r="A561" t="str">
        <f>IF(Sync!$T557="","",Sync!$T557)</f>
        <v/>
      </c>
      <c r="B561" t="str">
        <f t="shared" si="48"/>
        <v/>
      </c>
      <c r="C561" t="str">
        <f t="shared" si="49"/>
        <v/>
      </c>
      <c r="D561" t="str">
        <f t="shared" si="50"/>
        <v/>
      </c>
      <c r="E561" t="str">
        <f t="shared" si="51"/>
        <v/>
      </c>
      <c r="F561" t="str">
        <f t="shared" si="52"/>
        <v/>
      </c>
      <c r="G561" t="str">
        <f>IF(OR($E561="",$E561="نامعتبر",Sync!$X557=""),"",IF(AND(LEFT(UPPER(TRIM(Sync!$X557)),2)="SL",IFERROR(VLOOKUP(Sync!$W557,OpTbl,3,0),"")="فروش"),UPPER(TRIM(Sync!$X557)),""))</f>
        <v/>
      </c>
      <c r="H561" t="str">
        <f>IF($G561="","",IF(Sync!$W557="","",Sync!$W557))</f>
        <v/>
      </c>
      <c r="I561" t="str">
        <f>IF(OR($G561="",Sync!$Y557=""),"",Sync!$Y557)</f>
        <v/>
      </c>
      <c r="J561" t="str">
        <f>IF(OR($G561="",Sync!$Z557=""),"",Sync!$Z557)</f>
        <v/>
      </c>
      <c r="K561">
        <f>IF($G561="",0,IF(Sync!$AA557="",0,Sync!$AA557))</f>
        <v>0</v>
      </c>
      <c r="L561">
        <f>IF($G561="",0,IF(Sync!$AB557="",0,Sync!$AB557))</f>
        <v>0</v>
      </c>
      <c r="M561" t="str">
        <f t="shared" si="53"/>
        <v/>
      </c>
      <c r="N561">
        <f>IF($G561="",0,IF($H561="مرجوعی فروش",-1,1)*IF(Sync!$AC557="",0,Sync!$AC557))</f>
        <v>0</v>
      </c>
      <c r="O561" t="str">
        <f>IF(OR($G561="",Sync!$V557=""),"",Sync!$V557)</f>
        <v/>
      </c>
      <c r="P561" t="str">
        <f>IF(OR($G561="",Sync!$AD557=""),"",Sync!$AD557)</f>
        <v/>
      </c>
      <c r="Q561" t="str">
        <f>IF($G561="","",IF(Sync!$U557="","0000",IF(AND(ISNUMBER(Sync!$U557),Sync!$U557&gt;=0,Sync!$U557&lt;1),RIGHT("00"&amp;HOUR(Sync!$U557),2)&amp;RIGHT("00"&amp;MINUTE(Sync!$U557),2),IFERROR(RIGHT("00"&amp;VALUE(LEFT(Sync!$U557,FIND(":",Sync!$U557)-1)),2)&amp;RIGHT("00"&amp;VALUE(MID(Sync!$U557,FIND(":",Sync!$U557)+1,2)),2),"0000"))))</f>
        <v/>
      </c>
    </row>
    <row r="562" spans="1:17" x14ac:dyDescent="0.2">
      <c r="A562" t="str">
        <f>IF(Sync!$T558="","",Sync!$T558)</f>
        <v/>
      </c>
      <c r="B562" t="str">
        <f t="shared" si="48"/>
        <v/>
      </c>
      <c r="C562" t="str">
        <f t="shared" si="49"/>
        <v/>
      </c>
      <c r="D562" t="str">
        <f t="shared" si="50"/>
        <v/>
      </c>
      <c r="E562" t="str">
        <f t="shared" si="51"/>
        <v/>
      </c>
      <c r="F562" t="str">
        <f t="shared" si="52"/>
        <v/>
      </c>
      <c r="G562" t="str">
        <f>IF(OR($E562="",$E562="نامعتبر",Sync!$X558=""),"",IF(AND(LEFT(UPPER(TRIM(Sync!$X558)),2)="SL",IFERROR(VLOOKUP(Sync!$W558,OpTbl,3,0),"")="فروش"),UPPER(TRIM(Sync!$X558)),""))</f>
        <v/>
      </c>
      <c r="H562" t="str">
        <f>IF($G562="","",IF(Sync!$W558="","",Sync!$W558))</f>
        <v/>
      </c>
      <c r="I562" t="str">
        <f>IF(OR($G562="",Sync!$Y558=""),"",Sync!$Y558)</f>
        <v/>
      </c>
      <c r="J562" t="str">
        <f>IF(OR($G562="",Sync!$Z558=""),"",Sync!$Z558)</f>
        <v/>
      </c>
      <c r="K562">
        <f>IF($G562="",0,IF(Sync!$AA558="",0,Sync!$AA558))</f>
        <v>0</v>
      </c>
      <c r="L562">
        <f>IF($G562="",0,IF(Sync!$AB558="",0,Sync!$AB558))</f>
        <v>0</v>
      </c>
      <c r="M562" t="str">
        <f t="shared" si="53"/>
        <v/>
      </c>
      <c r="N562">
        <f>IF($G562="",0,IF($H562="مرجوعی فروش",-1,1)*IF(Sync!$AC558="",0,Sync!$AC558))</f>
        <v>0</v>
      </c>
      <c r="O562" t="str">
        <f>IF(OR($G562="",Sync!$V558=""),"",Sync!$V558)</f>
        <v/>
      </c>
      <c r="P562" t="str">
        <f>IF(OR($G562="",Sync!$AD558=""),"",Sync!$AD558)</f>
        <v/>
      </c>
      <c r="Q562" t="str">
        <f>IF($G562="","",IF(Sync!$U558="","0000",IF(AND(ISNUMBER(Sync!$U558),Sync!$U558&gt;=0,Sync!$U558&lt;1),RIGHT("00"&amp;HOUR(Sync!$U558),2)&amp;RIGHT("00"&amp;MINUTE(Sync!$U558),2),IFERROR(RIGHT("00"&amp;VALUE(LEFT(Sync!$U558,FIND(":",Sync!$U558)-1)),2)&amp;RIGHT("00"&amp;VALUE(MID(Sync!$U558,FIND(":",Sync!$U558)+1,2)),2),"0000"))))</f>
        <v/>
      </c>
    </row>
    <row r="563" spans="1:17" x14ac:dyDescent="0.2">
      <c r="A563" t="str">
        <f>IF(Sync!$T559="","",Sync!$T559)</f>
        <v/>
      </c>
      <c r="B563" t="str">
        <f t="shared" si="48"/>
        <v/>
      </c>
      <c r="C563" t="str">
        <f t="shared" si="49"/>
        <v/>
      </c>
      <c r="D563" t="str">
        <f t="shared" si="50"/>
        <v/>
      </c>
      <c r="E563" t="str">
        <f t="shared" si="51"/>
        <v/>
      </c>
      <c r="F563" t="str">
        <f t="shared" si="52"/>
        <v/>
      </c>
      <c r="G563" t="str">
        <f>IF(OR($E563="",$E563="نامعتبر",Sync!$X559=""),"",IF(AND(LEFT(UPPER(TRIM(Sync!$X559)),2)="SL",IFERROR(VLOOKUP(Sync!$W559,OpTbl,3,0),"")="فروش"),UPPER(TRIM(Sync!$X559)),""))</f>
        <v/>
      </c>
      <c r="H563" t="str">
        <f>IF($G563="","",IF(Sync!$W559="","",Sync!$W559))</f>
        <v/>
      </c>
      <c r="I563" t="str">
        <f>IF(OR($G563="",Sync!$Y559=""),"",Sync!$Y559)</f>
        <v/>
      </c>
      <c r="J563" t="str">
        <f>IF(OR($G563="",Sync!$Z559=""),"",Sync!$Z559)</f>
        <v/>
      </c>
      <c r="K563">
        <f>IF($G563="",0,IF(Sync!$AA559="",0,Sync!$AA559))</f>
        <v>0</v>
      </c>
      <c r="L563">
        <f>IF($G563="",0,IF(Sync!$AB559="",0,Sync!$AB559))</f>
        <v>0</v>
      </c>
      <c r="M563" t="str">
        <f t="shared" si="53"/>
        <v/>
      </c>
      <c r="N563">
        <f>IF($G563="",0,IF($H563="مرجوعی فروش",-1,1)*IF(Sync!$AC559="",0,Sync!$AC559))</f>
        <v>0</v>
      </c>
      <c r="O563" t="str">
        <f>IF(OR($G563="",Sync!$V559=""),"",Sync!$V559)</f>
        <v/>
      </c>
      <c r="P563" t="str">
        <f>IF(OR($G563="",Sync!$AD559=""),"",Sync!$AD559)</f>
        <v/>
      </c>
      <c r="Q563" t="str">
        <f>IF($G563="","",IF(Sync!$U559="","0000",IF(AND(ISNUMBER(Sync!$U559),Sync!$U559&gt;=0,Sync!$U559&lt;1),RIGHT("00"&amp;HOUR(Sync!$U559),2)&amp;RIGHT("00"&amp;MINUTE(Sync!$U559),2),IFERROR(RIGHT("00"&amp;VALUE(LEFT(Sync!$U559,FIND(":",Sync!$U559)-1)),2)&amp;RIGHT("00"&amp;VALUE(MID(Sync!$U559,FIND(":",Sync!$U559)+1,2)),2),"0000"))))</f>
        <v/>
      </c>
    </row>
    <row r="564" spans="1:17" x14ac:dyDescent="0.2">
      <c r="A564" t="str">
        <f>IF(Sync!$T560="","",Sync!$T560)</f>
        <v/>
      </c>
      <c r="B564" t="str">
        <f t="shared" si="48"/>
        <v/>
      </c>
      <c r="C564" t="str">
        <f t="shared" si="49"/>
        <v/>
      </c>
      <c r="D564" t="str">
        <f t="shared" si="50"/>
        <v/>
      </c>
      <c r="E564" t="str">
        <f t="shared" si="51"/>
        <v/>
      </c>
      <c r="F564" t="str">
        <f t="shared" si="52"/>
        <v/>
      </c>
      <c r="G564" t="str">
        <f>IF(OR($E564="",$E564="نامعتبر",Sync!$X560=""),"",IF(AND(LEFT(UPPER(TRIM(Sync!$X560)),2)="SL",IFERROR(VLOOKUP(Sync!$W560,OpTbl,3,0),"")="فروش"),UPPER(TRIM(Sync!$X560)),""))</f>
        <v/>
      </c>
      <c r="H564" t="str">
        <f>IF($G564="","",IF(Sync!$W560="","",Sync!$W560))</f>
        <v/>
      </c>
      <c r="I564" t="str">
        <f>IF(OR($G564="",Sync!$Y560=""),"",Sync!$Y560)</f>
        <v/>
      </c>
      <c r="J564" t="str">
        <f>IF(OR($G564="",Sync!$Z560=""),"",Sync!$Z560)</f>
        <v/>
      </c>
      <c r="K564">
        <f>IF($G564="",0,IF(Sync!$AA560="",0,Sync!$AA560))</f>
        <v>0</v>
      </c>
      <c r="L564">
        <f>IF($G564="",0,IF(Sync!$AB560="",0,Sync!$AB560))</f>
        <v>0</v>
      </c>
      <c r="M564" t="str">
        <f t="shared" si="53"/>
        <v/>
      </c>
      <c r="N564">
        <f>IF($G564="",0,IF($H564="مرجوعی فروش",-1,1)*IF(Sync!$AC560="",0,Sync!$AC560))</f>
        <v>0</v>
      </c>
      <c r="O564" t="str">
        <f>IF(OR($G564="",Sync!$V560=""),"",Sync!$V560)</f>
        <v/>
      </c>
      <c r="P564" t="str">
        <f>IF(OR($G564="",Sync!$AD560=""),"",Sync!$AD560)</f>
        <v/>
      </c>
      <c r="Q564" t="str">
        <f>IF($G564="","",IF(Sync!$U560="","0000",IF(AND(ISNUMBER(Sync!$U560),Sync!$U560&gt;=0,Sync!$U560&lt;1),RIGHT("00"&amp;HOUR(Sync!$U560),2)&amp;RIGHT("00"&amp;MINUTE(Sync!$U560),2),IFERROR(RIGHT("00"&amp;VALUE(LEFT(Sync!$U560,FIND(":",Sync!$U560)-1)),2)&amp;RIGHT("00"&amp;VALUE(MID(Sync!$U560,FIND(":",Sync!$U560)+1,2)),2),"0000"))))</f>
        <v/>
      </c>
    </row>
    <row r="565" spans="1:17" x14ac:dyDescent="0.2">
      <c r="A565" t="str">
        <f>IF(Sync!$T561="","",Sync!$T561)</f>
        <v/>
      </c>
      <c r="B565" t="str">
        <f t="shared" si="48"/>
        <v/>
      </c>
      <c r="C565" t="str">
        <f t="shared" si="49"/>
        <v/>
      </c>
      <c r="D565" t="str">
        <f t="shared" si="50"/>
        <v/>
      </c>
      <c r="E565" t="str">
        <f t="shared" si="51"/>
        <v/>
      </c>
      <c r="F565" t="str">
        <f t="shared" si="52"/>
        <v/>
      </c>
      <c r="G565" t="str">
        <f>IF(OR($E565="",$E565="نامعتبر",Sync!$X561=""),"",IF(AND(LEFT(UPPER(TRIM(Sync!$X561)),2)="SL",IFERROR(VLOOKUP(Sync!$W561,OpTbl,3,0),"")="فروش"),UPPER(TRIM(Sync!$X561)),""))</f>
        <v/>
      </c>
      <c r="H565" t="str">
        <f>IF($G565="","",IF(Sync!$W561="","",Sync!$W561))</f>
        <v/>
      </c>
      <c r="I565" t="str">
        <f>IF(OR($G565="",Sync!$Y561=""),"",Sync!$Y561)</f>
        <v/>
      </c>
      <c r="J565" t="str">
        <f>IF(OR($G565="",Sync!$Z561=""),"",Sync!$Z561)</f>
        <v/>
      </c>
      <c r="K565">
        <f>IF($G565="",0,IF(Sync!$AA561="",0,Sync!$AA561))</f>
        <v>0</v>
      </c>
      <c r="L565">
        <f>IF($G565="",0,IF(Sync!$AB561="",0,Sync!$AB561))</f>
        <v>0</v>
      </c>
      <c r="M565" t="str">
        <f t="shared" si="53"/>
        <v/>
      </c>
      <c r="N565">
        <f>IF($G565="",0,IF($H565="مرجوعی فروش",-1,1)*IF(Sync!$AC561="",0,Sync!$AC561))</f>
        <v>0</v>
      </c>
      <c r="O565" t="str">
        <f>IF(OR($G565="",Sync!$V561=""),"",Sync!$V561)</f>
        <v/>
      </c>
      <c r="P565" t="str">
        <f>IF(OR($G565="",Sync!$AD561=""),"",Sync!$AD561)</f>
        <v/>
      </c>
      <c r="Q565" t="str">
        <f>IF($G565="","",IF(Sync!$U561="","0000",IF(AND(ISNUMBER(Sync!$U561),Sync!$U561&gt;=0,Sync!$U561&lt;1),RIGHT("00"&amp;HOUR(Sync!$U561),2)&amp;RIGHT("00"&amp;MINUTE(Sync!$U561),2),IFERROR(RIGHT("00"&amp;VALUE(LEFT(Sync!$U561,FIND(":",Sync!$U561)-1)),2)&amp;RIGHT("00"&amp;VALUE(MID(Sync!$U561,FIND(":",Sync!$U561)+1,2)),2),"0000"))))</f>
        <v/>
      </c>
    </row>
    <row r="566" spans="1:17" x14ac:dyDescent="0.2">
      <c r="A566" t="str">
        <f>IF(Sync!$T562="","",Sync!$T562)</f>
        <v/>
      </c>
      <c r="B566" t="str">
        <f t="shared" si="48"/>
        <v/>
      </c>
      <c r="C566" t="str">
        <f t="shared" si="49"/>
        <v/>
      </c>
      <c r="D566" t="str">
        <f t="shared" si="50"/>
        <v/>
      </c>
      <c r="E566" t="str">
        <f t="shared" si="51"/>
        <v/>
      </c>
      <c r="F566" t="str">
        <f t="shared" si="52"/>
        <v/>
      </c>
      <c r="G566" t="str">
        <f>IF(OR($E566="",$E566="نامعتبر",Sync!$X562=""),"",IF(AND(LEFT(UPPER(TRIM(Sync!$X562)),2)="SL",IFERROR(VLOOKUP(Sync!$W562,OpTbl,3,0),"")="فروش"),UPPER(TRIM(Sync!$X562)),""))</f>
        <v/>
      </c>
      <c r="H566" t="str">
        <f>IF($G566="","",IF(Sync!$W562="","",Sync!$W562))</f>
        <v/>
      </c>
      <c r="I566" t="str">
        <f>IF(OR($G566="",Sync!$Y562=""),"",Sync!$Y562)</f>
        <v/>
      </c>
      <c r="J566" t="str">
        <f>IF(OR($G566="",Sync!$Z562=""),"",Sync!$Z562)</f>
        <v/>
      </c>
      <c r="K566">
        <f>IF($G566="",0,IF(Sync!$AA562="",0,Sync!$AA562))</f>
        <v>0</v>
      </c>
      <c r="L566">
        <f>IF($G566="",0,IF(Sync!$AB562="",0,Sync!$AB562))</f>
        <v>0</v>
      </c>
      <c r="M566" t="str">
        <f t="shared" si="53"/>
        <v/>
      </c>
      <c r="N566">
        <f>IF($G566="",0,IF($H566="مرجوعی فروش",-1,1)*IF(Sync!$AC562="",0,Sync!$AC562))</f>
        <v>0</v>
      </c>
      <c r="O566" t="str">
        <f>IF(OR($G566="",Sync!$V562=""),"",Sync!$V562)</f>
        <v/>
      </c>
      <c r="P566" t="str">
        <f>IF(OR($G566="",Sync!$AD562=""),"",Sync!$AD562)</f>
        <v/>
      </c>
      <c r="Q566" t="str">
        <f>IF($G566="","",IF(Sync!$U562="","0000",IF(AND(ISNUMBER(Sync!$U562),Sync!$U562&gt;=0,Sync!$U562&lt;1),RIGHT("00"&amp;HOUR(Sync!$U562),2)&amp;RIGHT("00"&amp;MINUTE(Sync!$U562),2),IFERROR(RIGHT("00"&amp;VALUE(LEFT(Sync!$U562,FIND(":",Sync!$U562)-1)),2)&amp;RIGHT("00"&amp;VALUE(MID(Sync!$U562,FIND(":",Sync!$U562)+1,2)),2),"0000"))))</f>
        <v/>
      </c>
    </row>
    <row r="567" spans="1:17" x14ac:dyDescent="0.2">
      <c r="A567" t="str">
        <f>IF(Sync!$T563="","",Sync!$T563)</f>
        <v/>
      </c>
      <c r="B567" t="str">
        <f t="shared" si="48"/>
        <v/>
      </c>
      <c r="C567" t="str">
        <f t="shared" si="49"/>
        <v/>
      </c>
      <c r="D567" t="str">
        <f t="shared" si="50"/>
        <v/>
      </c>
      <c r="E567" t="str">
        <f t="shared" si="51"/>
        <v/>
      </c>
      <c r="F567" t="str">
        <f t="shared" si="52"/>
        <v/>
      </c>
      <c r="G567" t="str">
        <f>IF(OR($E567="",$E567="نامعتبر",Sync!$X563=""),"",IF(AND(LEFT(UPPER(TRIM(Sync!$X563)),2)="SL",IFERROR(VLOOKUP(Sync!$W563,OpTbl,3,0),"")="فروش"),UPPER(TRIM(Sync!$X563)),""))</f>
        <v/>
      </c>
      <c r="H567" t="str">
        <f>IF($G567="","",IF(Sync!$W563="","",Sync!$W563))</f>
        <v/>
      </c>
      <c r="I567" t="str">
        <f>IF(OR($G567="",Sync!$Y563=""),"",Sync!$Y563)</f>
        <v/>
      </c>
      <c r="J567" t="str">
        <f>IF(OR($G567="",Sync!$Z563=""),"",Sync!$Z563)</f>
        <v/>
      </c>
      <c r="K567">
        <f>IF($G567="",0,IF(Sync!$AA563="",0,Sync!$AA563))</f>
        <v>0</v>
      </c>
      <c r="L567">
        <f>IF($G567="",0,IF(Sync!$AB563="",0,Sync!$AB563))</f>
        <v>0</v>
      </c>
      <c r="M567" t="str">
        <f t="shared" si="53"/>
        <v/>
      </c>
      <c r="N567">
        <f>IF($G567="",0,IF($H567="مرجوعی فروش",-1,1)*IF(Sync!$AC563="",0,Sync!$AC563))</f>
        <v>0</v>
      </c>
      <c r="O567" t="str">
        <f>IF(OR($G567="",Sync!$V563=""),"",Sync!$V563)</f>
        <v/>
      </c>
      <c r="P567" t="str">
        <f>IF(OR($G567="",Sync!$AD563=""),"",Sync!$AD563)</f>
        <v/>
      </c>
      <c r="Q567" t="str">
        <f>IF($G567="","",IF(Sync!$U563="","0000",IF(AND(ISNUMBER(Sync!$U563),Sync!$U563&gt;=0,Sync!$U563&lt;1),RIGHT("00"&amp;HOUR(Sync!$U563),2)&amp;RIGHT("00"&amp;MINUTE(Sync!$U563),2),IFERROR(RIGHT("00"&amp;VALUE(LEFT(Sync!$U563,FIND(":",Sync!$U563)-1)),2)&amp;RIGHT("00"&amp;VALUE(MID(Sync!$U563,FIND(":",Sync!$U563)+1,2)),2),"0000"))))</f>
        <v/>
      </c>
    </row>
    <row r="568" spans="1:17" x14ac:dyDescent="0.2">
      <c r="A568" t="str">
        <f>IF(Sync!$T564="","",Sync!$T564)</f>
        <v/>
      </c>
      <c r="B568" t="str">
        <f t="shared" si="48"/>
        <v/>
      </c>
      <c r="C568" t="str">
        <f t="shared" si="49"/>
        <v/>
      </c>
      <c r="D568" t="str">
        <f t="shared" si="50"/>
        <v/>
      </c>
      <c r="E568" t="str">
        <f t="shared" si="51"/>
        <v/>
      </c>
      <c r="F568" t="str">
        <f t="shared" si="52"/>
        <v/>
      </c>
      <c r="G568" t="str">
        <f>IF(OR($E568="",$E568="نامعتبر",Sync!$X564=""),"",IF(AND(LEFT(UPPER(TRIM(Sync!$X564)),2)="SL",IFERROR(VLOOKUP(Sync!$W564,OpTbl,3,0),"")="فروش"),UPPER(TRIM(Sync!$X564)),""))</f>
        <v/>
      </c>
      <c r="H568" t="str">
        <f>IF($G568="","",IF(Sync!$W564="","",Sync!$W564))</f>
        <v/>
      </c>
      <c r="I568" t="str">
        <f>IF(OR($G568="",Sync!$Y564=""),"",Sync!$Y564)</f>
        <v/>
      </c>
      <c r="J568" t="str">
        <f>IF(OR($G568="",Sync!$Z564=""),"",Sync!$Z564)</f>
        <v/>
      </c>
      <c r="K568">
        <f>IF($G568="",0,IF(Sync!$AA564="",0,Sync!$AA564))</f>
        <v>0</v>
      </c>
      <c r="L568">
        <f>IF($G568="",0,IF(Sync!$AB564="",0,Sync!$AB564))</f>
        <v>0</v>
      </c>
      <c r="M568" t="str">
        <f t="shared" si="53"/>
        <v/>
      </c>
      <c r="N568">
        <f>IF($G568="",0,IF($H568="مرجوعی فروش",-1,1)*IF(Sync!$AC564="",0,Sync!$AC564))</f>
        <v>0</v>
      </c>
      <c r="O568" t="str">
        <f>IF(OR($G568="",Sync!$V564=""),"",Sync!$V564)</f>
        <v/>
      </c>
      <c r="P568" t="str">
        <f>IF(OR($G568="",Sync!$AD564=""),"",Sync!$AD564)</f>
        <v/>
      </c>
      <c r="Q568" t="str">
        <f>IF($G568="","",IF(Sync!$U564="","0000",IF(AND(ISNUMBER(Sync!$U564),Sync!$U564&gt;=0,Sync!$U564&lt;1),RIGHT("00"&amp;HOUR(Sync!$U564),2)&amp;RIGHT("00"&amp;MINUTE(Sync!$U564),2),IFERROR(RIGHT("00"&amp;VALUE(LEFT(Sync!$U564,FIND(":",Sync!$U564)-1)),2)&amp;RIGHT("00"&amp;VALUE(MID(Sync!$U564,FIND(":",Sync!$U564)+1,2)),2),"0000"))))</f>
        <v/>
      </c>
    </row>
    <row r="569" spans="1:17" x14ac:dyDescent="0.2">
      <c r="A569" t="str">
        <f>IF(Sync!$T565="","",Sync!$T565)</f>
        <v/>
      </c>
      <c r="B569" t="str">
        <f t="shared" si="48"/>
        <v/>
      </c>
      <c r="C569" t="str">
        <f t="shared" si="49"/>
        <v/>
      </c>
      <c r="D569" t="str">
        <f t="shared" si="50"/>
        <v/>
      </c>
      <c r="E569" t="str">
        <f t="shared" si="51"/>
        <v/>
      </c>
      <c r="F569" t="str">
        <f t="shared" si="52"/>
        <v/>
      </c>
      <c r="G569" t="str">
        <f>IF(OR($E569="",$E569="نامعتبر",Sync!$X565=""),"",IF(AND(LEFT(UPPER(TRIM(Sync!$X565)),2)="SL",IFERROR(VLOOKUP(Sync!$W565,OpTbl,3,0),"")="فروش"),UPPER(TRIM(Sync!$X565)),""))</f>
        <v/>
      </c>
      <c r="H569" t="str">
        <f>IF($G569="","",IF(Sync!$W565="","",Sync!$W565))</f>
        <v/>
      </c>
      <c r="I569" t="str">
        <f>IF(OR($G569="",Sync!$Y565=""),"",Sync!$Y565)</f>
        <v/>
      </c>
      <c r="J569" t="str">
        <f>IF(OR($G569="",Sync!$Z565=""),"",Sync!$Z565)</f>
        <v/>
      </c>
      <c r="K569">
        <f>IF($G569="",0,IF(Sync!$AA565="",0,Sync!$AA565))</f>
        <v>0</v>
      </c>
      <c r="L569">
        <f>IF($G569="",0,IF(Sync!$AB565="",0,Sync!$AB565))</f>
        <v>0</v>
      </c>
      <c r="M569" t="str">
        <f t="shared" si="53"/>
        <v/>
      </c>
      <c r="N569">
        <f>IF($G569="",0,IF($H569="مرجوعی فروش",-1,1)*IF(Sync!$AC565="",0,Sync!$AC565))</f>
        <v>0</v>
      </c>
      <c r="O569" t="str">
        <f>IF(OR($G569="",Sync!$V565=""),"",Sync!$V565)</f>
        <v/>
      </c>
      <c r="P569" t="str">
        <f>IF(OR($G569="",Sync!$AD565=""),"",Sync!$AD565)</f>
        <v/>
      </c>
      <c r="Q569" t="str">
        <f>IF($G569="","",IF(Sync!$U565="","0000",IF(AND(ISNUMBER(Sync!$U565),Sync!$U565&gt;=0,Sync!$U565&lt;1),RIGHT("00"&amp;HOUR(Sync!$U565),2)&amp;RIGHT("00"&amp;MINUTE(Sync!$U565),2),IFERROR(RIGHT("00"&amp;VALUE(LEFT(Sync!$U565,FIND(":",Sync!$U565)-1)),2)&amp;RIGHT("00"&amp;VALUE(MID(Sync!$U565,FIND(":",Sync!$U565)+1,2)),2),"0000"))))</f>
        <v/>
      </c>
    </row>
    <row r="570" spans="1:17" x14ac:dyDescent="0.2">
      <c r="A570" t="str">
        <f>IF(Sync!$T566="","",Sync!$T566)</f>
        <v/>
      </c>
      <c r="B570" t="str">
        <f t="shared" si="48"/>
        <v/>
      </c>
      <c r="C570" t="str">
        <f t="shared" si="49"/>
        <v/>
      </c>
      <c r="D570" t="str">
        <f t="shared" si="50"/>
        <v/>
      </c>
      <c r="E570" t="str">
        <f t="shared" si="51"/>
        <v/>
      </c>
      <c r="F570" t="str">
        <f t="shared" si="52"/>
        <v/>
      </c>
      <c r="G570" t="str">
        <f>IF(OR($E570="",$E570="نامعتبر",Sync!$X566=""),"",IF(AND(LEFT(UPPER(TRIM(Sync!$X566)),2)="SL",IFERROR(VLOOKUP(Sync!$W566,OpTbl,3,0),"")="فروش"),UPPER(TRIM(Sync!$X566)),""))</f>
        <v/>
      </c>
      <c r="H570" t="str">
        <f>IF($G570="","",IF(Sync!$W566="","",Sync!$W566))</f>
        <v/>
      </c>
      <c r="I570" t="str">
        <f>IF(OR($G570="",Sync!$Y566=""),"",Sync!$Y566)</f>
        <v/>
      </c>
      <c r="J570" t="str">
        <f>IF(OR($G570="",Sync!$Z566=""),"",Sync!$Z566)</f>
        <v/>
      </c>
      <c r="K570">
        <f>IF($G570="",0,IF(Sync!$AA566="",0,Sync!$AA566))</f>
        <v>0</v>
      </c>
      <c r="L570">
        <f>IF($G570="",0,IF(Sync!$AB566="",0,Sync!$AB566))</f>
        <v>0</v>
      </c>
      <c r="M570" t="str">
        <f t="shared" si="53"/>
        <v/>
      </c>
      <c r="N570">
        <f>IF($G570="",0,IF($H570="مرجوعی فروش",-1,1)*IF(Sync!$AC566="",0,Sync!$AC566))</f>
        <v>0</v>
      </c>
      <c r="O570" t="str">
        <f>IF(OR($G570="",Sync!$V566=""),"",Sync!$V566)</f>
        <v/>
      </c>
      <c r="P570" t="str">
        <f>IF(OR($G570="",Sync!$AD566=""),"",Sync!$AD566)</f>
        <v/>
      </c>
      <c r="Q570" t="str">
        <f>IF($G570="","",IF(Sync!$U566="","0000",IF(AND(ISNUMBER(Sync!$U566),Sync!$U566&gt;=0,Sync!$U566&lt;1),RIGHT("00"&amp;HOUR(Sync!$U566),2)&amp;RIGHT("00"&amp;MINUTE(Sync!$U566),2),IFERROR(RIGHT("00"&amp;VALUE(LEFT(Sync!$U566,FIND(":",Sync!$U566)-1)),2)&amp;RIGHT("00"&amp;VALUE(MID(Sync!$U566,FIND(":",Sync!$U566)+1,2)),2),"0000"))))</f>
        <v/>
      </c>
    </row>
    <row r="571" spans="1:17" x14ac:dyDescent="0.2">
      <c r="A571" t="str">
        <f>IF(Sync!$T567="","",Sync!$T567)</f>
        <v/>
      </c>
      <c r="B571" t="str">
        <f t="shared" si="48"/>
        <v/>
      </c>
      <c r="C571" t="str">
        <f t="shared" si="49"/>
        <v/>
      </c>
      <c r="D571" t="str">
        <f t="shared" si="50"/>
        <v/>
      </c>
      <c r="E571" t="str">
        <f t="shared" si="51"/>
        <v/>
      </c>
      <c r="F571" t="str">
        <f t="shared" si="52"/>
        <v/>
      </c>
      <c r="G571" t="str">
        <f>IF(OR($E571="",$E571="نامعتبر",Sync!$X567=""),"",IF(AND(LEFT(UPPER(TRIM(Sync!$X567)),2)="SL",IFERROR(VLOOKUP(Sync!$W567,OpTbl,3,0),"")="فروش"),UPPER(TRIM(Sync!$X567)),""))</f>
        <v/>
      </c>
      <c r="H571" t="str">
        <f>IF($G571="","",IF(Sync!$W567="","",Sync!$W567))</f>
        <v/>
      </c>
      <c r="I571" t="str">
        <f>IF(OR($G571="",Sync!$Y567=""),"",Sync!$Y567)</f>
        <v/>
      </c>
      <c r="J571" t="str">
        <f>IF(OR($G571="",Sync!$Z567=""),"",Sync!$Z567)</f>
        <v/>
      </c>
      <c r="K571">
        <f>IF($G571="",0,IF(Sync!$AA567="",0,Sync!$AA567))</f>
        <v>0</v>
      </c>
      <c r="L571">
        <f>IF($G571="",0,IF(Sync!$AB567="",0,Sync!$AB567))</f>
        <v>0</v>
      </c>
      <c r="M571" t="str">
        <f t="shared" si="53"/>
        <v/>
      </c>
      <c r="N571">
        <f>IF($G571="",0,IF($H571="مرجوعی فروش",-1,1)*IF(Sync!$AC567="",0,Sync!$AC567))</f>
        <v>0</v>
      </c>
      <c r="O571" t="str">
        <f>IF(OR($G571="",Sync!$V567=""),"",Sync!$V567)</f>
        <v/>
      </c>
      <c r="P571" t="str">
        <f>IF(OR($G571="",Sync!$AD567=""),"",Sync!$AD567)</f>
        <v/>
      </c>
      <c r="Q571" t="str">
        <f>IF($G571="","",IF(Sync!$U567="","0000",IF(AND(ISNUMBER(Sync!$U567),Sync!$U567&gt;=0,Sync!$U567&lt;1),RIGHT("00"&amp;HOUR(Sync!$U567),2)&amp;RIGHT("00"&amp;MINUTE(Sync!$U567),2),IFERROR(RIGHT("00"&amp;VALUE(LEFT(Sync!$U567,FIND(":",Sync!$U567)-1)),2)&amp;RIGHT("00"&amp;VALUE(MID(Sync!$U567,FIND(":",Sync!$U567)+1,2)),2),"0000"))))</f>
        <v/>
      </c>
    </row>
    <row r="572" spans="1:17" x14ac:dyDescent="0.2">
      <c r="A572" t="str">
        <f>IF(Sync!$T568="","",Sync!$T568)</f>
        <v/>
      </c>
      <c r="B572" t="str">
        <f t="shared" si="48"/>
        <v/>
      </c>
      <c r="C572" t="str">
        <f t="shared" si="49"/>
        <v/>
      </c>
      <c r="D572" t="str">
        <f t="shared" si="50"/>
        <v/>
      </c>
      <c r="E572" t="str">
        <f t="shared" si="51"/>
        <v/>
      </c>
      <c r="F572" t="str">
        <f t="shared" si="52"/>
        <v/>
      </c>
      <c r="G572" t="str">
        <f>IF(OR($E572="",$E572="نامعتبر",Sync!$X568=""),"",IF(AND(LEFT(UPPER(TRIM(Sync!$X568)),2)="SL",IFERROR(VLOOKUP(Sync!$W568,OpTbl,3,0),"")="فروش"),UPPER(TRIM(Sync!$X568)),""))</f>
        <v/>
      </c>
      <c r="H572" t="str">
        <f>IF($G572="","",IF(Sync!$W568="","",Sync!$W568))</f>
        <v/>
      </c>
      <c r="I572" t="str">
        <f>IF(OR($G572="",Sync!$Y568=""),"",Sync!$Y568)</f>
        <v/>
      </c>
      <c r="J572" t="str">
        <f>IF(OR($G572="",Sync!$Z568=""),"",Sync!$Z568)</f>
        <v/>
      </c>
      <c r="K572">
        <f>IF($G572="",0,IF(Sync!$AA568="",0,Sync!$AA568))</f>
        <v>0</v>
      </c>
      <c r="L572">
        <f>IF($G572="",0,IF(Sync!$AB568="",0,Sync!$AB568))</f>
        <v>0</v>
      </c>
      <c r="M572" t="str">
        <f t="shared" si="53"/>
        <v/>
      </c>
      <c r="N572">
        <f>IF($G572="",0,IF($H572="مرجوعی فروش",-1,1)*IF(Sync!$AC568="",0,Sync!$AC568))</f>
        <v>0</v>
      </c>
      <c r="O572" t="str">
        <f>IF(OR($G572="",Sync!$V568=""),"",Sync!$V568)</f>
        <v/>
      </c>
      <c r="P572" t="str">
        <f>IF(OR($G572="",Sync!$AD568=""),"",Sync!$AD568)</f>
        <v/>
      </c>
      <c r="Q572" t="str">
        <f>IF($G572="","",IF(Sync!$U568="","0000",IF(AND(ISNUMBER(Sync!$U568),Sync!$U568&gt;=0,Sync!$U568&lt;1),RIGHT("00"&amp;HOUR(Sync!$U568),2)&amp;RIGHT("00"&amp;MINUTE(Sync!$U568),2),IFERROR(RIGHT("00"&amp;VALUE(LEFT(Sync!$U568,FIND(":",Sync!$U568)-1)),2)&amp;RIGHT("00"&amp;VALUE(MID(Sync!$U568,FIND(":",Sync!$U568)+1,2)),2),"0000"))))</f>
        <v/>
      </c>
    </row>
    <row r="573" spans="1:17" x14ac:dyDescent="0.2">
      <c r="A573" t="str">
        <f>IF(Sync!$T569="","",Sync!$T569)</f>
        <v/>
      </c>
      <c r="B573" t="str">
        <f t="shared" si="48"/>
        <v/>
      </c>
      <c r="C573" t="str">
        <f t="shared" si="49"/>
        <v/>
      </c>
      <c r="D573" t="str">
        <f t="shared" si="50"/>
        <v/>
      </c>
      <c r="E573" t="str">
        <f t="shared" si="51"/>
        <v/>
      </c>
      <c r="F573" t="str">
        <f t="shared" si="52"/>
        <v/>
      </c>
      <c r="G573" t="str">
        <f>IF(OR($E573="",$E573="نامعتبر",Sync!$X569=""),"",IF(AND(LEFT(UPPER(TRIM(Sync!$X569)),2)="SL",IFERROR(VLOOKUP(Sync!$W569,OpTbl,3,0),"")="فروش"),UPPER(TRIM(Sync!$X569)),""))</f>
        <v/>
      </c>
      <c r="H573" t="str">
        <f>IF($G573="","",IF(Sync!$W569="","",Sync!$W569))</f>
        <v/>
      </c>
      <c r="I573" t="str">
        <f>IF(OR($G573="",Sync!$Y569=""),"",Sync!$Y569)</f>
        <v/>
      </c>
      <c r="J573" t="str">
        <f>IF(OR($G573="",Sync!$Z569=""),"",Sync!$Z569)</f>
        <v/>
      </c>
      <c r="K573">
        <f>IF($G573="",0,IF(Sync!$AA569="",0,Sync!$AA569))</f>
        <v>0</v>
      </c>
      <c r="L573">
        <f>IF($G573="",0,IF(Sync!$AB569="",0,Sync!$AB569))</f>
        <v>0</v>
      </c>
      <c r="M573" t="str">
        <f t="shared" si="53"/>
        <v/>
      </c>
      <c r="N573">
        <f>IF($G573="",0,IF($H573="مرجوعی فروش",-1,1)*IF(Sync!$AC569="",0,Sync!$AC569))</f>
        <v>0</v>
      </c>
      <c r="O573" t="str">
        <f>IF(OR($G573="",Sync!$V569=""),"",Sync!$V569)</f>
        <v/>
      </c>
      <c r="P573" t="str">
        <f>IF(OR($G573="",Sync!$AD569=""),"",Sync!$AD569)</f>
        <v/>
      </c>
      <c r="Q573" t="str">
        <f>IF($G573="","",IF(Sync!$U569="","0000",IF(AND(ISNUMBER(Sync!$U569),Sync!$U569&gt;=0,Sync!$U569&lt;1),RIGHT("00"&amp;HOUR(Sync!$U569),2)&amp;RIGHT("00"&amp;MINUTE(Sync!$U569),2),IFERROR(RIGHT("00"&amp;VALUE(LEFT(Sync!$U569,FIND(":",Sync!$U569)-1)),2)&amp;RIGHT("00"&amp;VALUE(MID(Sync!$U569,FIND(":",Sync!$U569)+1,2)),2),"0000"))))</f>
        <v/>
      </c>
    </row>
    <row r="574" spans="1:17" x14ac:dyDescent="0.2">
      <c r="A574" t="str">
        <f>IF(Sync!$T570="","",Sync!$T570)</f>
        <v/>
      </c>
      <c r="B574" t="str">
        <f t="shared" si="48"/>
        <v/>
      </c>
      <c r="C574" t="str">
        <f t="shared" si="49"/>
        <v/>
      </c>
      <c r="D574" t="str">
        <f t="shared" si="50"/>
        <v/>
      </c>
      <c r="E574" t="str">
        <f t="shared" si="51"/>
        <v/>
      </c>
      <c r="F574" t="str">
        <f t="shared" si="52"/>
        <v/>
      </c>
      <c r="G574" t="str">
        <f>IF(OR($E574="",$E574="نامعتبر",Sync!$X570=""),"",IF(AND(LEFT(UPPER(TRIM(Sync!$X570)),2)="SL",IFERROR(VLOOKUP(Sync!$W570,OpTbl,3,0),"")="فروش"),UPPER(TRIM(Sync!$X570)),""))</f>
        <v/>
      </c>
      <c r="H574" t="str">
        <f>IF($G574="","",IF(Sync!$W570="","",Sync!$W570))</f>
        <v/>
      </c>
      <c r="I574" t="str">
        <f>IF(OR($G574="",Sync!$Y570=""),"",Sync!$Y570)</f>
        <v/>
      </c>
      <c r="J574" t="str">
        <f>IF(OR($G574="",Sync!$Z570=""),"",Sync!$Z570)</f>
        <v/>
      </c>
      <c r="K574">
        <f>IF($G574="",0,IF(Sync!$AA570="",0,Sync!$AA570))</f>
        <v>0</v>
      </c>
      <c r="L574">
        <f>IF($G574="",0,IF(Sync!$AB570="",0,Sync!$AB570))</f>
        <v>0</v>
      </c>
      <c r="M574" t="str">
        <f t="shared" si="53"/>
        <v/>
      </c>
      <c r="N574">
        <f>IF($G574="",0,IF($H574="مرجوعی فروش",-1,1)*IF(Sync!$AC570="",0,Sync!$AC570))</f>
        <v>0</v>
      </c>
      <c r="O574" t="str">
        <f>IF(OR($G574="",Sync!$V570=""),"",Sync!$V570)</f>
        <v/>
      </c>
      <c r="P574" t="str">
        <f>IF(OR($G574="",Sync!$AD570=""),"",Sync!$AD570)</f>
        <v/>
      </c>
      <c r="Q574" t="str">
        <f>IF($G574="","",IF(Sync!$U570="","0000",IF(AND(ISNUMBER(Sync!$U570),Sync!$U570&gt;=0,Sync!$U570&lt;1),RIGHT("00"&amp;HOUR(Sync!$U570),2)&amp;RIGHT("00"&amp;MINUTE(Sync!$U570),2),IFERROR(RIGHT("00"&amp;VALUE(LEFT(Sync!$U570,FIND(":",Sync!$U570)-1)),2)&amp;RIGHT("00"&amp;VALUE(MID(Sync!$U570,FIND(":",Sync!$U570)+1,2)),2),"0000"))))</f>
        <v/>
      </c>
    </row>
    <row r="575" spans="1:17" x14ac:dyDescent="0.2">
      <c r="A575" t="str">
        <f>IF(Sync!$T571="","",Sync!$T571)</f>
        <v/>
      </c>
      <c r="B575" t="str">
        <f t="shared" si="48"/>
        <v/>
      </c>
      <c r="C575" t="str">
        <f t="shared" si="49"/>
        <v/>
      </c>
      <c r="D575" t="str">
        <f t="shared" si="50"/>
        <v/>
      </c>
      <c r="E575" t="str">
        <f t="shared" si="51"/>
        <v/>
      </c>
      <c r="F575" t="str">
        <f t="shared" si="52"/>
        <v/>
      </c>
      <c r="G575" t="str">
        <f>IF(OR($E575="",$E575="نامعتبر",Sync!$X571=""),"",IF(AND(LEFT(UPPER(TRIM(Sync!$X571)),2)="SL",IFERROR(VLOOKUP(Sync!$W571,OpTbl,3,0),"")="فروش"),UPPER(TRIM(Sync!$X571)),""))</f>
        <v/>
      </c>
      <c r="H575" t="str">
        <f>IF($G575="","",IF(Sync!$W571="","",Sync!$W571))</f>
        <v/>
      </c>
      <c r="I575" t="str">
        <f>IF(OR($G575="",Sync!$Y571=""),"",Sync!$Y571)</f>
        <v/>
      </c>
      <c r="J575" t="str">
        <f>IF(OR($G575="",Sync!$Z571=""),"",Sync!$Z571)</f>
        <v/>
      </c>
      <c r="K575">
        <f>IF($G575="",0,IF(Sync!$AA571="",0,Sync!$AA571))</f>
        <v>0</v>
      </c>
      <c r="L575">
        <f>IF($G575="",0,IF(Sync!$AB571="",0,Sync!$AB571))</f>
        <v>0</v>
      </c>
      <c r="M575" t="str">
        <f t="shared" si="53"/>
        <v/>
      </c>
      <c r="N575">
        <f>IF($G575="",0,IF($H575="مرجوعی فروش",-1,1)*IF(Sync!$AC571="",0,Sync!$AC571))</f>
        <v>0</v>
      </c>
      <c r="O575" t="str">
        <f>IF(OR($G575="",Sync!$V571=""),"",Sync!$V571)</f>
        <v/>
      </c>
      <c r="P575" t="str">
        <f>IF(OR($G575="",Sync!$AD571=""),"",Sync!$AD571)</f>
        <v/>
      </c>
      <c r="Q575" t="str">
        <f>IF($G575="","",IF(Sync!$U571="","0000",IF(AND(ISNUMBER(Sync!$U571),Sync!$U571&gt;=0,Sync!$U571&lt;1),RIGHT("00"&amp;HOUR(Sync!$U571),2)&amp;RIGHT("00"&amp;MINUTE(Sync!$U571),2),IFERROR(RIGHT("00"&amp;VALUE(LEFT(Sync!$U571,FIND(":",Sync!$U571)-1)),2)&amp;RIGHT("00"&amp;VALUE(MID(Sync!$U571,FIND(":",Sync!$U571)+1,2)),2),"0000"))))</f>
        <v/>
      </c>
    </row>
    <row r="576" spans="1:17" x14ac:dyDescent="0.2">
      <c r="A576" t="str">
        <f>IF(Sync!$T572="","",Sync!$T572)</f>
        <v/>
      </c>
      <c r="B576" t="str">
        <f t="shared" si="48"/>
        <v/>
      </c>
      <c r="C576" t="str">
        <f t="shared" si="49"/>
        <v/>
      </c>
      <c r="D576" t="str">
        <f t="shared" si="50"/>
        <v/>
      </c>
      <c r="E576" t="str">
        <f t="shared" si="51"/>
        <v/>
      </c>
      <c r="F576" t="str">
        <f t="shared" si="52"/>
        <v/>
      </c>
      <c r="G576" t="str">
        <f>IF(OR($E576="",$E576="نامعتبر",Sync!$X572=""),"",IF(AND(LEFT(UPPER(TRIM(Sync!$X572)),2)="SL",IFERROR(VLOOKUP(Sync!$W572,OpTbl,3,0),"")="فروش"),UPPER(TRIM(Sync!$X572)),""))</f>
        <v/>
      </c>
      <c r="H576" t="str">
        <f>IF($G576="","",IF(Sync!$W572="","",Sync!$W572))</f>
        <v/>
      </c>
      <c r="I576" t="str">
        <f>IF(OR($G576="",Sync!$Y572=""),"",Sync!$Y572)</f>
        <v/>
      </c>
      <c r="J576" t="str">
        <f>IF(OR($G576="",Sync!$Z572=""),"",Sync!$Z572)</f>
        <v/>
      </c>
      <c r="K576">
        <f>IF($G576="",0,IF(Sync!$AA572="",0,Sync!$AA572))</f>
        <v>0</v>
      </c>
      <c r="L576">
        <f>IF($G576="",0,IF(Sync!$AB572="",0,Sync!$AB572))</f>
        <v>0</v>
      </c>
      <c r="M576" t="str">
        <f t="shared" si="53"/>
        <v/>
      </c>
      <c r="N576">
        <f>IF($G576="",0,IF($H576="مرجوعی فروش",-1,1)*IF(Sync!$AC572="",0,Sync!$AC572))</f>
        <v>0</v>
      </c>
      <c r="O576" t="str">
        <f>IF(OR($G576="",Sync!$V572=""),"",Sync!$V572)</f>
        <v/>
      </c>
      <c r="P576" t="str">
        <f>IF(OR($G576="",Sync!$AD572=""),"",Sync!$AD572)</f>
        <v/>
      </c>
      <c r="Q576" t="str">
        <f>IF($G576="","",IF(Sync!$U572="","0000",IF(AND(ISNUMBER(Sync!$U572),Sync!$U572&gt;=0,Sync!$U572&lt;1),RIGHT("00"&amp;HOUR(Sync!$U572),2)&amp;RIGHT("00"&amp;MINUTE(Sync!$U572),2),IFERROR(RIGHT("00"&amp;VALUE(LEFT(Sync!$U572,FIND(":",Sync!$U572)-1)),2)&amp;RIGHT("00"&amp;VALUE(MID(Sync!$U572,FIND(":",Sync!$U572)+1,2)),2),"0000"))))</f>
        <v/>
      </c>
    </row>
    <row r="577" spans="1:17" x14ac:dyDescent="0.2">
      <c r="A577" t="str">
        <f>IF(Sync!$T573="","",Sync!$T573)</f>
        <v/>
      </c>
      <c r="B577" t="str">
        <f t="shared" si="48"/>
        <v/>
      </c>
      <c r="C577" t="str">
        <f t="shared" si="49"/>
        <v/>
      </c>
      <c r="D577" t="str">
        <f t="shared" si="50"/>
        <v/>
      </c>
      <c r="E577" t="str">
        <f t="shared" si="51"/>
        <v/>
      </c>
      <c r="F577" t="str">
        <f t="shared" si="52"/>
        <v/>
      </c>
      <c r="G577" t="str">
        <f>IF(OR($E577="",$E577="نامعتبر",Sync!$X573=""),"",IF(AND(LEFT(UPPER(TRIM(Sync!$X573)),2)="SL",IFERROR(VLOOKUP(Sync!$W573,OpTbl,3,0),"")="فروش"),UPPER(TRIM(Sync!$X573)),""))</f>
        <v/>
      </c>
      <c r="H577" t="str">
        <f>IF($G577="","",IF(Sync!$W573="","",Sync!$W573))</f>
        <v/>
      </c>
      <c r="I577" t="str">
        <f>IF(OR($G577="",Sync!$Y573=""),"",Sync!$Y573)</f>
        <v/>
      </c>
      <c r="J577" t="str">
        <f>IF(OR($G577="",Sync!$Z573=""),"",Sync!$Z573)</f>
        <v/>
      </c>
      <c r="K577">
        <f>IF($G577="",0,IF(Sync!$AA573="",0,Sync!$AA573))</f>
        <v>0</v>
      </c>
      <c r="L577">
        <f>IF($G577="",0,IF(Sync!$AB573="",0,Sync!$AB573))</f>
        <v>0</v>
      </c>
      <c r="M577" t="str">
        <f t="shared" si="53"/>
        <v/>
      </c>
      <c r="N577">
        <f>IF($G577="",0,IF($H577="مرجوعی فروش",-1,1)*IF(Sync!$AC573="",0,Sync!$AC573))</f>
        <v>0</v>
      </c>
      <c r="O577" t="str">
        <f>IF(OR($G577="",Sync!$V573=""),"",Sync!$V573)</f>
        <v/>
      </c>
      <c r="P577" t="str">
        <f>IF(OR($G577="",Sync!$AD573=""),"",Sync!$AD573)</f>
        <v/>
      </c>
      <c r="Q577" t="str">
        <f>IF($G577="","",IF(Sync!$U573="","0000",IF(AND(ISNUMBER(Sync!$U573),Sync!$U573&gt;=0,Sync!$U573&lt;1),RIGHT("00"&amp;HOUR(Sync!$U573),2)&amp;RIGHT("00"&amp;MINUTE(Sync!$U573),2),IFERROR(RIGHT("00"&amp;VALUE(LEFT(Sync!$U573,FIND(":",Sync!$U573)-1)),2)&amp;RIGHT("00"&amp;VALUE(MID(Sync!$U573,FIND(":",Sync!$U573)+1,2)),2),"0000"))))</f>
        <v/>
      </c>
    </row>
    <row r="578" spans="1:17" x14ac:dyDescent="0.2">
      <c r="A578" t="str">
        <f>IF(Sync!$T574="","",Sync!$T574)</f>
        <v/>
      </c>
      <c r="B578" t="str">
        <f t="shared" si="48"/>
        <v/>
      </c>
      <c r="C578" t="str">
        <f t="shared" si="49"/>
        <v/>
      </c>
      <c r="D578" t="str">
        <f t="shared" si="50"/>
        <v/>
      </c>
      <c r="E578" t="str">
        <f t="shared" si="51"/>
        <v/>
      </c>
      <c r="F578" t="str">
        <f t="shared" si="52"/>
        <v/>
      </c>
      <c r="G578" t="str">
        <f>IF(OR($E578="",$E578="نامعتبر",Sync!$X574=""),"",IF(AND(LEFT(UPPER(TRIM(Sync!$X574)),2)="SL",IFERROR(VLOOKUP(Sync!$W574,OpTbl,3,0),"")="فروش"),UPPER(TRIM(Sync!$X574)),""))</f>
        <v/>
      </c>
      <c r="H578" t="str">
        <f>IF($G578="","",IF(Sync!$W574="","",Sync!$W574))</f>
        <v/>
      </c>
      <c r="I578" t="str">
        <f>IF(OR($G578="",Sync!$Y574=""),"",Sync!$Y574)</f>
        <v/>
      </c>
      <c r="J578" t="str">
        <f>IF(OR($G578="",Sync!$Z574=""),"",Sync!$Z574)</f>
        <v/>
      </c>
      <c r="K578">
        <f>IF($G578="",0,IF(Sync!$AA574="",0,Sync!$AA574))</f>
        <v>0</v>
      </c>
      <c r="L578">
        <f>IF($G578="",0,IF(Sync!$AB574="",0,Sync!$AB574))</f>
        <v>0</v>
      </c>
      <c r="M578" t="str">
        <f t="shared" si="53"/>
        <v/>
      </c>
      <c r="N578">
        <f>IF($G578="",0,IF($H578="مرجوعی فروش",-1,1)*IF(Sync!$AC574="",0,Sync!$AC574))</f>
        <v>0</v>
      </c>
      <c r="O578" t="str">
        <f>IF(OR($G578="",Sync!$V574=""),"",Sync!$V574)</f>
        <v/>
      </c>
      <c r="P578" t="str">
        <f>IF(OR($G578="",Sync!$AD574=""),"",Sync!$AD574)</f>
        <v/>
      </c>
      <c r="Q578" t="str">
        <f>IF($G578="","",IF(Sync!$U574="","0000",IF(AND(ISNUMBER(Sync!$U574),Sync!$U574&gt;=0,Sync!$U574&lt;1),RIGHT("00"&amp;HOUR(Sync!$U574),2)&amp;RIGHT("00"&amp;MINUTE(Sync!$U574),2),IFERROR(RIGHT("00"&amp;VALUE(LEFT(Sync!$U574,FIND(":",Sync!$U574)-1)),2)&amp;RIGHT("00"&amp;VALUE(MID(Sync!$U574,FIND(":",Sync!$U574)+1,2)),2),"0000"))))</f>
        <v/>
      </c>
    </row>
    <row r="579" spans="1:17" x14ac:dyDescent="0.2">
      <c r="A579" t="str">
        <f>IF(Sync!$T575="","",Sync!$T575)</f>
        <v/>
      </c>
      <c r="B579" t="str">
        <f t="shared" si="48"/>
        <v/>
      </c>
      <c r="C579" t="str">
        <f t="shared" si="49"/>
        <v/>
      </c>
      <c r="D579" t="str">
        <f t="shared" si="50"/>
        <v/>
      </c>
      <c r="E579" t="str">
        <f t="shared" si="51"/>
        <v/>
      </c>
      <c r="F579" t="str">
        <f t="shared" si="52"/>
        <v/>
      </c>
      <c r="G579" t="str">
        <f>IF(OR($E579="",$E579="نامعتبر",Sync!$X575=""),"",IF(AND(LEFT(UPPER(TRIM(Sync!$X575)),2)="SL",IFERROR(VLOOKUP(Sync!$W575,OpTbl,3,0),"")="فروش"),UPPER(TRIM(Sync!$X575)),""))</f>
        <v/>
      </c>
      <c r="H579" t="str">
        <f>IF($G579="","",IF(Sync!$W575="","",Sync!$W575))</f>
        <v/>
      </c>
      <c r="I579" t="str">
        <f>IF(OR($G579="",Sync!$Y575=""),"",Sync!$Y575)</f>
        <v/>
      </c>
      <c r="J579" t="str">
        <f>IF(OR($G579="",Sync!$Z575=""),"",Sync!$Z575)</f>
        <v/>
      </c>
      <c r="K579">
        <f>IF($G579="",0,IF(Sync!$AA575="",0,Sync!$AA575))</f>
        <v>0</v>
      </c>
      <c r="L579">
        <f>IF($G579="",0,IF(Sync!$AB575="",0,Sync!$AB575))</f>
        <v>0</v>
      </c>
      <c r="M579" t="str">
        <f t="shared" si="53"/>
        <v/>
      </c>
      <c r="N579">
        <f>IF($G579="",0,IF($H579="مرجوعی فروش",-1,1)*IF(Sync!$AC575="",0,Sync!$AC575))</f>
        <v>0</v>
      </c>
      <c r="O579" t="str">
        <f>IF(OR($G579="",Sync!$V575=""),"",Sync!$V575)</f>
        <v/>
      </c>
      <c r="P579" t="str">
        <f>IF(OR($G579="",Sync!$AD575=""),"",Sync!$AD575)</f>
        <v/>
      </c>
      <c r="Q579" t="str">
        <f>IF($G579="","",IF(Sync!$U575="","0000",IF(AND(ISNUMBER(Sync!$U575),Sync!$U575&gt;=0,Sync!$U575&lt;1),RIGHT("00"&amp;HOUR(Sync!$U575),2)&amp;RIGHT("00"&amp;MINUTE(Sync!$U575),2),IFERROR(RIGHT("00"&amp;VALUE(LEFT(Sync!$U575,FIND(":",Sync!$U575)-1)),2)&amp;RIGHT("00"&amp;VALUE(MID(Sync!$U575,FIND(":",Sync!$U575)+1,2)),2),"0000"))))</f>
        <v/>
      </c>
    </row>
    <row r="580" spans="1:17" x14ac:dyDescent="0.2">
      <c r="A580" t="str">
        <f>IF(Sync!$T576="","",Sync!$T576)</f>
        <v/>
      </c>
      <c r="B580" t="str">
        <f t="shared" si="48"/>
        <v/>
      </c>
      <c r="C580" t="str">
        <f t="shared" si="49"/>
        <v/>
      </c>
      <c r="D580" t="str">
        <f t="shared" si="50"/>
        <v/>
      </c>
      <c r="E580" t="str">
        <f t="shared" si="51"/>
        <v/>
      </c>
      <c r="F580" t="str">
        <f t="shared" si="52"/>
        <v/>
      </c>
      <c r="G580" t="str">
        <f>IF(OR($E580="",$E580="نامعتبر",Sync!$X576=""),"",IF(AND(LEFT(UPPER(TRIM(Sync!$X576)),2)="SL",IFERROR(VLOOKUP(Sync!$W576,OpTbl,3,0),"")="فروش"),UPPER(TRIM(Sync!$X576)),""))</f>
        <v/>
      </c>
      <c r="H580" t="str">
        <f>IF($G580="","",IF(Sync!$W576="","",Sync!$W576))</f>
        <v/>
      </c>
      <c r="I580" t="str">
        <f>IF(OR($G580="",Sync!$Y576=""),"",Sync!$Y576)</f>
        <v/>
      </c>
      <c r="J580" t="str">
        <f>IF(OR($G580="",Sync!$Z576=""),"",Sync!$Z576)</f>
        <v/>
      </c>
      <c r="K580">
        <f>IF($G580="",0,IF(Sync!$AA576="",0,Sync!$AA576))</f>
        <v>0</v>
      </c>
      <c r="L580">
        <f>IF($G580="",0,IF(Sync!$AB576="",0,Sync!$AB576))</f>
        <v>0</v>
      </c>
      <c r="M580" t="str">
        <f t="shared" si="53"/>
        <v/>
      </c>
      <c r="N580">
        <f>IF($G580="",0,IF($H580="مرجوعی فروش",-1,1)*IF(Sync!$AC576="",0,Sync!$AC576))</f>
        <v>0</v>
      </c>
      <c r="O580" t="str">
        <f>IF(OR($G580="",Sync!$V576=""),"",Sync!$V576)</f>
        <v/>
      </c>
      <c r="P580" t="str">
        <f>IF(OR($G580="",Sync!$AD576=""),"",Sync!$AD576)</f>
        <v/>
      </c>
      <c r="Q580" t="str">
        <f>IF($G580="","",IF(Sync!$U576="","0000",IF(AND(ISNUMBER(Sync!$U576),Sync!$U576&gt;=0,Sync!$U576&lt;1),RIGHT("00"&amp;HOUR(Sync!$U576),2)&amp;RIGHT("00"&amp;MINUTE(Sync!$U576),2),IFERROR(RIGHT("00"&amp;VALUE(LEFT(Sync!$U576,FIND(":",Sync!$U576)-1)),2)&amp;RIGHT("00"&amp;VALUE(MID(Sync!$U576,FIND(":",Sync!$U576)+1,2)),2),"0000"))))</f>
        <v/>
      </c>
    </row>
    <row r="581" spans="1:17" x14ac:dyDescent="0.2">
      <c r="A581" t="str">
        <f>IF(Sync!$T577="","",Sync!$T577)</f>
        <v/>
      </c>
      <c r="B581" t="str">
        <f t="shared" si="48"/>
        <v/>
      </c>
      <c r="C581" t="str">
        <f t="shared" si="49"/>
        <v/>
      </c>
      <c r="D581" t="str">
        <f t="shared" si="50"/>
        <v/>
      </c>
      <c r="E581" t="str">
        <f t="shared" si="51"/>
        <v/>
      </c>
      <c r="F581" t="str">
        <f t="shared" si="52"/>
        <v/>
      </c>
      <c r="G581" t="str">
        <f>IF(OR($E581="",$E581="نامعتبر",Sync!$X577=""),"",IF(AND(LEFT(UPPER(TRIM(Sync!$X577)),2)="SL",IFERROR(VLOOKUP(Sync!$W577,OpTbl,3,0),"")="فروش"),UPPER(TRIM(Sync!$X577)),""))</f>
        <v/>
      </c>
      <c r="H581" t="str">
        <f>IF($G581="","",IF(Sync!$W577="","",Sync!$W577))</f>
        <v/>
      </c>
      <c r="I581" t="str">
        <f>IF(OR($G581="",Sync!$Y577=""),"",Sync!$Y577)</f>
        <v/>
      </c>
      <c r="J581" t="str">
        <f>IF(OR($G581="",Sync!$Z577=""),"",Sync!$Z577)</f>
        <v/>
      </c>
      <c r="K581">
        <f>IF($G581="",0,IF(Sync!$AA577="",0,Sync!$AA577))</f>
        <v>0</v>
      </c>
      <c r="L581">
        <f>IF($G581="",0,IF(Sync!$AB577="",0,Sync!$AB577))</f>
        <v>0</v>
      </c>
      <c r="M581" t="str">
        <f t="shared" si="53"/>
        <v/>
      </c>
      <c r="N581">
        <f>IF($G581="",0,IF($H581="مرجوعی فروش",-1,1)*IF(Sync!$AC577="",0,Sync!$AC577))</f>
        <v>0</v>
      </c>
      <c r="O581" t="str">
        <f>IF(OR($G581="",Sync!$V577=""),"",Sync!$V577)</f>
        <v/>
      </c>
      <c r="P581" t="str">
        <f>IF(OR($G581="",Sync!$AD577=""),"",Sync!$AD577)</f>
        <v/>
      </c>
      <c r="Q581" t="str">
        <f>IF($G581="","",IF(Sync!$U577="","0000",IF(AND(ISNUMBER(Sync!$U577),Sync!$U577&gt;=0,Sync!$U577&lt;1),RIGHT("00"&amp;HOUR(Sync!$U577),2)&amp;RIGHT("00"&amp;MINUTE(Sync!$U577),2),IFERROR(RIGHT("00"&amp;VALUE(LEFT(Sync!$U577,FIND(":",Sync!$U577)-1)),2)&amp;RIGHT("00"&amp;VALUE(MID(Sync!$U577,FIND(":",Sync!$U577)+1,2)),2),"0000"))))</f>
        <v/>
      </c>
    </row>
    <row r="582" spans="1:17" x14ac:dyDescent="0.2">
      <c r="A582" t="str">
        <f>IF(Sync!$T578="","",Sync!$T578)</f>
        <v/>
      </c>
      <c r="B582" t="str">
        <f t="shared" si="48"/>
        <v/>
      </c>
      <c r="C582" t="str">
        <f t="shared" si="49"/>
        <v/>
      </c>
      <c r="D582" t="str">
        <f t="shared" si="50"/>
        <v/>
      </c>
      <c r="E582" t="str">
        <f t="shared" si="51"/>
        <v/>
      </c>
      <c r="F582" t="str">
        <f t="shared" si="52"/>
        <v/>
      </c>
      <c r="G582" t="str">
        <f>IF(OR($E582="",$E582="نامعتبر",Sync!$X578=""),"",IF(AND(LEFT(UPPER(TRIM(Sync!$X578)),2)="SL",IFERROR(VLOOKUP(Sync!$W578,OpTbl,3,0),"")="فروش"),UPPER(TRIM(Sync!$X578)),""))</f>
        <v/>
      </c>
      <c r="H582" t="str">
        <f>IF($G582="","",IF(Sync!$W578="","",Sync!$W578))</f>
        <v/>
      </c>
      <c r="I582" t="str">
        <f>IF(OR($G582="",Sync!$Y578=""),"",Sync!$Y578)</f>
        <v/>
      </c>
      <c r="J582" t="str">
        <f>IF(OR($G582="",Sync!$Z578=""),"",Sync!$Z578)</f>
        <v/>
      </c>
      <c r="K582">
        <f>IF($G582="",0,IF(Sync!$AA578="",0,Sync!$AA578))</f>
        <v>0</v>
      </c>
      <c r="L582">
        <f>IF($G582="",0,IF(Sync!$AB578="",0,Sync!$AB578))</f>
        <v>0</v>
      </c>
      <c r="M582" t="str">
        <f t="shared" si="53"/>
        <v/>
      </c>
      <c r="N582">
        <f>IF($G582="",0,IF($H582="مرجوعی فروش",-1,1)*IF(Sync!$AC578="",0,Sync!$AC578))</f>
        <v>0</v>
      </c>
      <c r="O582" t="str">
        <f>IF(OR($G582="",Sync!$V578=""),"",Sync!$V578)</f>
        <v/>
      </c>
      <c r="P582" t="str">
        <f>IF(OR($G582="",Sync!$AD578=""),"",Sync!$AD578)</f>
        <v/>
      </c>
      <c r="Q582" t="str">
        <f>IF($G582="","",IF(Sync!$U578="","0000",IF(AND(ISNUMBER(Sync!$U578),Sync!$U578&gt;=0,Sync!$U578&lt;1),RIGHT("00"&amp;HOUR(Sync!$U578),2)&amp;RIGHT("00"&amp;MINUTE(Sync!$U578),2),IFERROR(RIGHT("00"&amp;VALUE(LEFT(Sync!$U578,FIND(":",Sync!$U578)-1)),2)&amp;RIGHT("00"&amp;VALUE(MID(Sync!$U578,FIND(":",Sync!$U578)+1,2)),2),"0000"))))</f>
        <v/>
      </c>
    </row>
    <row r="583" spans="1:17" x14ac:dyDescent="0.2">
      <c r="A583" t="str">
        <f>IF(Sync!$T579="","",Sync!$T579)</f>
        <v/>
      </c>
      <c r="B583" t="str">
        <f t="shared" si="48"/>
        <v/>
      </c>
      <c r="C583" t="str">
        <f t="shared" si="49"/>
        <v/>
      </c>
      <c r="D583" t="str">
        <f t="shared" si="50"/>
        <v/>
      </c>
      <c r="E583" t="str">
        <f t="shared" si="51"/>
        <v/>
      </c>
      <c r="F583" t="str">
        <f t="shared" si="52"/>
        <v/>
      </c>
      <c r="G583" t="str">
        <f>IF(OR($E583="",$E583="نامعتبر",Sync!$X579=""),"",IF(AND(LEFT(UPPER(TRIM(Sync!$X579)),2)="SL",IFERROR(VLOOKUP(Sync!$W579,OpTbl,3,0),"")="فروش"),UPPER(TRIM(Sync!$X579)),""))</f>
        <v/>
      </c>
      <c r="H583" t="str">
        <f>IF($G583="","",IF(Sync!$W579="","",Sync!$W579))</f>
        <v/>
      </c>
      <c r="I583" t="str">
        <f>IF(OR($G583="",Sync!$Y579=""),"",Sync!$Y579)</f>
        <v/>
      </c>
      <c r="J583" t="str">
        <f>IF(OR($G583="",Sync!$Z579=""),"",Sync!$Z579)</f>
        <v/>
      </c>
      <c r="K583">
        <f>IF($G583="",0,IF(Sync!$AA579="",0,Sync!$AA579))</f>
        <v>0</v>
      </c>
      <c r="L583">
        <f>IF($G583="",0,IF(Sync!$AB579="",0,Sync!$AB579))</f>
        <v>0</v>
      </c>
      <c r="M583" t="str">
        <f t="shared" si="53"/>
        <v/>
      </c>
      <c r="N583">
        <f>IF($G583="",0,IF($H583="مرجوعی فروش",-1,1)*IF(Sync!$AC579="",0,Sync!$AC579))</f>
        <v>0</v>
      </c>
      <c r="O583" t="str">
        <f>IF(OR($G583="",Sync!$V579=""),"",Sync!$V579)</f>
        <v/>
      </c>
      <c r="P583" t="str">
        <f>IF(OR($G583="",Sync!$AD579=""),"",Sync!$AD579)</f>
        <v/>
      </c>
      <c r="Q583" t="str">
        <f>IF($G583="","",IF(Sync!$U579="","0000",IF(AND(ISNUMBER(Sync!$U579),Sync!$U579&gt;=0,Sync!$U579&lt;1),RIGHT("00"&amp;HOUR(Sync!$U579),2)&amp;RIGHT("00"&amp;MINUTE(Sync!$U579),2),IFERROR(RIGHT("00"&amp;VALUE(LEFT(Sync!$U579,FIND(":",Sync!$U579)-1)),2)&amp;RIGHT("00"&amp;VALUE(MID(Sync!$U579,FIND(":",Sync!$U579)+1,2)),2),"0000"))))</f>
        <v/>
      </c>
    </row>
    <row r="584" spans="1:17" x14ac:dyDescent="0.2">
      <c r="A584" t="str">
        <f>IF(Sync!$T580="","",Sync!$T580)</f>
        <v/>
      </c>
      <c r="B584" t="str">
        <f t="shared" si="48"/>
        <v/>
      </c>
      <c r="C584" t="str">
        <f t="shared" si="49"/>
        <v/>
      </c>
      <c r="D584" t="str">
        <f t="shared" si="50"/>
        <v/>
      </c>
      <c r="E584" t="str">
        <f t="shared" si="51"/>
        <v/>
      </c>
      <c r="F584" t="str">
        <f t="shared" si="52"/>
        <v/>
      </c>
      <c r="G584" t="str">
        <f>IF(OR($E584="",$E584="نامعتبر",Sync!$X580=""),"",IF(AND(LEFT(UPPER(TRIM(Sync!$X580)),2)="SL",IFERROR(VLOOKUP(Sync!$W580,OpTbl,3,0),"")="فروش"),UPPER(TRIM(Sync!$X580)),""))</f>
        <v/>
      </c>
      <c r="H584" t="str">
        <f>IF($G584="","",IF(Sync!$W580="","",Sync!$W580))</f>
        <v/>
      </c>
      <c r="I584" t="str">
        <f>IF(OR($G584="",Sync!$Y580=""),"",Sync!$Y580)</f>
        <v/>
      </c>
      <c r="J584" t="str">
        <f>IF(OR($G584="",Sync!$Z580=""),"",Sync!$Z580)</f>
        <v/>
      </c>
      <c r="K584">
        <f>IF($G584="",0,IF(Sync!$AA580="",0,Sync!$AA580))</f>
        <v>0</v>
      </c>
      <c r="L584">
        <f>IF($G584="",0,IF(Sync!$AB580="",0,Sync!$AB580))</f>
        <v>0</v>
      </c>
      <c r="M584" t="str">
        <f t="shared" si="53"/>
        <v/>
      </c>
      <c r="N584">
        <f>IF($G584="",0,IF($H584="مرجوعی فروش",-1,1)*IF(Sync!$AC580="",0,Sync!$AC580))</f>
        <v>0</v>
      </c>
      <c r="O584" t="str">
        <f>IF(OR($G584="",Sync!$V580=""),"",Sync!$V580)</f>
        <v/>
      </c>
      <c r="P584" t="str">
        <f>IF(OR($G584="",Sync!$AD580=""),"",Sync!$AD580)</f>
        <v/>
      </c>
      <c r="Q584" t="str">
        <f>IF($G584="","",IF(Sync!$U580="","0000",IF(AND(ISNUMBER(Sync!$U580),Sync!$U580&gt;=0,Sync!$U580&lt;1),RIGHT("00"&amp;HOUR(Sync!$U580),2)&amp;RIGHT("00"&amp;MINUTE(Sync!$U580),2),IFERROR(RIGHT("00"&amp;VALUE(LEFT(Sync!$U580,FIND(":",Sync!$U580)-1)),2)&amp;RIGHT("00"&amp;VALUE(MID(Sync!$U580,FIND(":",Sync!$U580)+1,2)),2),"0000"))))</f>
        <v/>
      </c>
    </row>
    <row r="585" spans="1:17" x14ac:dyDescent="0.2">
      <c r="A585" t="str">
        <f>IF(Sync!$T581="","",Sync!$T581)</f>
        <v/>
      </c>
      <c r="B585" t="str">
        <f t="shared" si="48"/>
        <v/>
      </c>
      <c r="C585" t="str">
        <f t="shared" si="49"/>
        <v/>
      </c>
      <c r="D585" t="str">
        <f t="shared" si="50"/>
        <v/>
      </c>
      <c r="E585" t="str">
        <f t="shared" si="51"/>
        <v/>
      </c>
      <c r="F585" t="str">
        <f t="shared" si="52"/>
        <v/>
      </c>
      <c r="G585" t="str">
        <f>IF(OR($E585="",$E585="نامعتبر",Sync!$X581=""),"",IF(AND(LEFT(UPPER(TRIM(Sync!$X581)),2)="SL",IFERROR(VLOOKUP(Sync!$W581,OpTbl,3,0),"")="فروش"),UPPER(TRIM(Sync!$X581)),""))</f>
        <v/>
      </c>
      <c r="H585" t="str">
        <f>IF($G585="","",IF(Sync!$W581="","",Sync!$W581))</f>
        <v/>
      </c>
      <c r="I585" t="str">
        <f>IF(OR($G585="",Sync!$Y581=""),"",Sync!$Y581)</f>
        <v/>
      </c>
      <c r="J585" t="str">
        <f>IF(OR($G585="",Sync!$Z581=""),"",Sync!$Z581)</f>
        <v/>
      </c>
      <c r="K585">
        <f>IF($G585="",0,IF(Sync!$AA581="",0,Sync!$AA581))</f>
        <v>0</v>
      </c>
      <c r="L585">
        <f>IF($G585="",0,IF(Sync!$AB581="",0,Sync!$AB581))</f>
        <v>0</v>
      </c>
      <c r="M585" t="str">
        <f t="shared" si="53"/>
        <v/>
      </c>
      <c r="N585">
        <f>IF($G585="",0,IF($H585="مرجوعی فروش",-1,1)*IF(Sync!$AC581="",0,Sync!$AC581))</f>
        <v>0</v>
      </c>
      <c r="O585" t="str">
        <f>IF(OR($G585="",Sync!$V581=""),"",Sync!$V581)</f>
        <v/>
      </c>
      <c r="P585" t="str">
        <f>IF(OR($G585="",Sync!$AD581=""),"",Sync!$AD581)</f>
        <v/>
      </c>
      <c r="Q585" t="str">
        <f>IF($G585="","",IF(Sync!$U581="","0000",IF(AND(ISNUMBER(Sync!$U581),Sync!$U581&gt;=0,Sync!$U581&lt;1),RIGHT("00"&amp;HOUR(Sync!$U581),2)&amp;RIGHT("00"&amp;MINUTE(Sync!$U581),2),IFERROR(RIGHT("00"&amp;VALUE(LEFT(Sync!$U581,FIND(":",Sync!$U581)-1)),2)&amp;RIGHT("00"&amp;VALUE(MID(Sync!$U581,FIND(":",Sync!$U581)+1,2)),2),"0000"))))</f>
        <v/>
      </c>
    </row>
    <row r="586" spans="1:17" x14ac:dyDescent="0.2">
      <c r="A586" t="str">
        <f>IF(Sync!$T582="","",Sync!$T582)</f>
        <v/>
      </c>
      <c r="B586" t="str">
        <f t="shared" ref="B586:B649" si="54">IF($A586="","",IF(ISNUMBER($A586),IF(AND($A586&gt;=10000101,$A586&lt;=99991231),INT($A586/10000),""),IFERROR(VALUE(TRIM(LEFT($A586,FIND("/",$A586)-1))),"")))</f>
        <v/>
      </c>
      <c r="C586" t="str">
        <f t="shared" ref="C586:C649" si="55">IF(OR($A586="",$B586=""),"",IF(ISNUMBER($A586),INT(MOD($A586,10000)/100),IFERROR(VALUE(TRIM(LEFT(MID($A586,FIND("/",$A586)+1,20),FIND("/",MID($A586,FIND("/",$A586)+1,20))-1))),"")))</f>
        <v/>
      </c>
      <c r="D586" t="str">
        <f t="shared" ref="D586:D649" si="56">IF(OR($A586="",$B586=""),"",IF(ISNUMBER($A586),MOD($A586,100),IFERROR(VALUE(TRIM(MID(MID($A586,FIND("/",$A586)+1,20),FIND("/",MID($A586,FIND("/",$A586)+1,20))+1,20))),"")))</f>
        <v/>
      </c>
      <c r="E586" t="str">
        <f t="shared" ref="E586:E649" si="57">IF($A586="","",IF(OR($B586="",$C586="",$D586="",$B586&lt;1300,$B586&gt;1500,$C586&lt;1,$C586&gt;12,$D586&lt;1,$D586&gt;31),"نامعتبر",RIGHT("0000"&amp;$B586,4)&amp;"/"&amp;RIGHT("00"&amp;$C586,2)&amp;"/"&amp;RIGHT("00"&amp;$D586,2)))</f>
        <v/>
      </c>
      <c r="F586" t="str">
        <f t="shared" ref="F586:F649" si="58">IF(OR($E586="",$E586="نامعتبر"),"",LEFT($E586,4)&amp;"/"&amp;MID($E586,6,2))</f>
        <v/>
      </c>
      <c r="G586" t="str">
        <f>IF(OR($E586="",$E586="نامعتبر",Sync!$X582=""),"",IF(AND(LEFT(UPPER(TRIM(Sync!$X582)),2)="SL",IFERROR(VLOOKUP(Sync!$W582,OpTbl,3,0),"")="فروش"),UPPER(TRIM(Sync!$X582)),""))</f>
        <v/>
      </c>
      <c r="H586" t="str">
        <f>IF($G586="","",IF(Sync!$W582="","",Sync!$W582))</f>
        <v/>
      </c>
      <c r="I586" t="str">
        <f>IF(OR($G586="",Sync!$Y582=""),"",Sync!$Y582)</f>
        <v/>
      </c>
      <c r="J586" t="str">
        <f>IF(OR($G586="",Sync!$Z582=""),"",Sync!$Z582)</f>
        <v/>
      </c>
      <c r="K586">
        <f>IF($G586="",0,IF(Sync!$AA582="",0,Sync!$AA582))</f>
        <v>0</v>
      </c>
      <c r="L586">
        <f>IF($G586="",0,IF(Sync!$AB582="",0,Sync!$AB582))</f>
        <v>0</v>
      </c>
      <c r="M586" t="str">
        <f t="shared" ref="M586:M649" si="59">IF($G586="","",IF($H586="مرجوعی فروش",-1,1)*($K586-$L586*IFERROR(VLOOKUP("P01",ParamTbl,3,0),1.5)))</f>
        <v/>
      </c>
      <c r="N586">
        <f>IF($G586="",0,IF($H586="مرجوعی فروش",-1,1)*IF(Sync!$AC582="",0,Sync!$AC582))</f>
        <v>0</v>
      </c>
      <c r="O586" t="str">
        <f>IF(OR($G586="",Sync!$V582=""),"",Sync!$V582)</f>
        <v/>
      </c>
      <c r="P586" t="str">
        <f>IF(OR($G586="",Sync!$AD582=""),"",Sync!$AD582)</f>
        <v/>
      </c>
      <c r="Q586" t="str">
        <f>IF($G586="","",IF(Sync!$U582="","0000",IF(AND(ISNUMBER(Sync!$U582),Sync!$U582&gt;=0,Sync!$U582&lt;1),RIGHT("00"&amp;HOUR(Sync!$U582),2)&amp;RIGHT("00"&amp;MINUTE(Sync!$U582),2),IFERROR(RIGHT("00"&amp;VALUE(LEFT(Sync!$U582,FIND(":",Sync!$U582)-1)),2)&amp;RIGHT("00"&amp;VALUE(MID(Sync!$U582,FIND(":",Sync!$U582)+1,2)),2),"0000"))))</f>
        <v/>
      </c>
    </row>
    <row r="587" spans="1:17" x14ac:dyDescent="0.2">
      <c r="A587" t="str">
        <f>IF(Sync!$T583="","",Sync!$T583)</f>
        <v/>
      </c>
      <c r="B587" t="str">
        <f t="shared" si="54"/>
        <v/>
      </c>
      <c r="C587" t="str">
        <f t="shared" si="55"/>
        <v/>
      </c>
      <c r="D587" t="str">
        <f t="shared" si="56"/>
        <v/>
      </c>
      <c r="E587" t="str">
        <f t="shared" si="57"/>
        <v/>
      </c>
      <c r="F587" t="str">
        <f t="shared" si="58"/>
        <v/>
      </c>
      <c r="G587" t="str">
        <f>IF(OR($E587="",$E587="نامعتبر",Sync!$X583=""),"",IF(AND(LEFT(UPPER(TRIM(Sync!$X583)),2)="SL",IFERROR(VLOOKUP(Sync!$W583,OpTbl,3,0),"")="فروش"),UPPER(TRIM(Sync!$X583)),""))</f>
        <v/>
      </c>
      <c r="H587" t="str">
        <f>IF($G587="","",IF(Sync!$W583="","",Sync!$W583))</f>
        <v/>
      </c>
      <c r="I587" t="str">
        <f>IF(OR($G587="",Sync!$Y583=""),"",Sync!$Y583)</f>
        <v/>
      </c>
      <c r="J587" t="str">
        <f>IF(OR($G587="",Sync!$Z583=""),"",Sync!$Z583)</f>
        <v/>
      </c>
      <c r="K587">
        <f>IF($G587="",0,IF(Sync!$AA583="",0,Sync!$AA583))</f>
        <v>0</v>
      </c>
      <c r="L587">
        <f>IF($G587="",0,IF(Sync!$AB583="",0,Sync!$AB583))</f>
        <v>0</v>
      </c>
      <c r="M587" t="str">
        <f t="shared" si="59"/>
        <v/>
      </c>
      <c r="N587">
        <f>IF($G587="",0,IF($H587="مرجوعی فروش",-1,1)*IF(Sync!$AC583="",0,Sync!$AC583))</f>
        <v>0</v>
      </c>
      <c r="O587" t="str">
        <f>IF(OR($G587="",Sync!$V583=""),"",Sync!$V583)</f>
        <v/>
      </c>
      <c r="P587" t="str">
        <f>IF(OR($G587="",Sync!$AD583=""),"",Sync!$AD583)</f>
        <v/>
      </c>
      <c r="Q587" t="str">
        <f>IF($G587="","",IF(Sync!$U583="","0000",IF(AND(ISNUMBER(Sync!$U583),Sync!$U583&gt;=0,Sync!$U583&lt;1),RIGHT("00"&amp;HOUR(Sync!$U583),2)&amp;RIGHT("00"&amp;MINUTE(Sync!$U583),2),IFERROR(RIGHT("00"&amp;VALUE(LEFT(Sync!$U583,FIND(":",Sync!$U583)-1)),2)&amp;RIGHT("00"&amp;VALUE(MID(Sync!$U583,FIND(":",Sync!$U583)+1,2)),2),"0000"))))</f>
        <v/>
      </c>
    </row>
    <row r="588" spans="1:17" x14ac:dyDescent="0.2">
      <c r="A588" t="str">
        <f>IF(Sync!$T584="","",Sync!$T584)</f>
        <v/>
      </c>
      <c r="B588" t="str">
        <f t="shared" si="54"/>
        <v/>
      </c>
      <c r="C588" t="str">
        <f t="shared" si="55"/>
        <v/>
      </c>
      <c r="D588" t="str">
        <f t="shared" si="56"/>
        <v/>
      </c>
      <c r="E588" t="str">
        <f t="shared" si="57"/>
        <v/>
      </c>
      <c r="F588" t="str">
        <f t="shared" si="58"/>
        <v/>
      </c>
      <c r="G588" t="str">
        <f>IF(OR($E588="",$E588="نامعتبر",Sync!$X584=""),"",IF(AND(LEFT(UPPER(TRIM(Sync!$X584)),2)="SL",IFERROR(VLOOKUP(Sync!$W584,OpTbl,3,0),"")="فروش"),UPPER(TRIM(Sync!$X584)),""))</f>
        <v/>
      </c>
      <c r="H588" t="str">
        <f>IF($G588="","",IF(Sync!$W584="","",Sync!$W584))</f>
        <v/>
      </c>
      <c r="I588" t="str">
        <f>IF(OR($G588="",Sync!$Y584=""),"",Sync!$Y584)</f>
        <v/>
      </c>
      <c r="J588" t="str">
        <f>IF(OR($G588="",Sync!$Z584=""),"",Sync!$Z584)</f>
        <v/>
      </c>
      <c r="K588">
        <f>IF($G588="",0,IF(Sync!$AA584="",0,Sync!$AA584))</f>
        <v>0</v>
      </c>
      <c r="L588">
        <f>IF($G588="",0,IF(Sync!$AB584="",0,Sync!$AB584))</f>
        <v>0</v>
      </c>
      <c r="M588" t="str">
        <f t="shared" si="59"/>
        <v/>
      </c>
      <c r="N588">
        <f>IF($G588="",0,IF($H588="مرجوعی فروش",-1,1)*IF(Sync!$AC584="",0,Sync!$AC584))</f>
        <v>0</v>
      </c>
      <c r="O588" t="str">
        <f>IF(OR($G588="",Sync!$V584=""),"",Sync!$V584)</f>
        <v/>
      </c>
      <c r="P588" t="str">
        <f>IF(OR($G588="",Sync!$AD584=""),"",Sync!$AD584)</f>
        <v/>
      </c>
      <c r="Q588" t="str">
        <f>IF($G588="","",IF(Sync!$U584="","0000",IF(AND(ISNUMBER(Sync!$U584),Sync!$U584&gt;=0,Sync!$U584&lt;1),RIGHT("00"&amp;HOUR(Sync!$U584),2)&amp;RIGHT("00"&amp;MINUTE(Sync!$U584),2),IFERROR(RIGHT("00"&amp;VALUE(LEFT(Sync!$U584,FIND(":",Sync!$U584)-1)),2)&amp;RIGHT("00"&amp;VALUE(MID(Sync!$U584,FIND(":",Sync!$U584)+1,2)),2),"0000"))))</f>
        <v/>
      </c>
    </row>
    <row r="589" spans="1:17" x14ac:dyDescent="0.2">
      <c r="A589" t="str">
        <f>IF(Sync!$T585="","",Sync!$T585)</f>
        <v/>
      </c>
      <c r="B589" t="str">
        <f t="shared" si="54"/>
        <v/>
      </c>
      <c r="C589" t="str">
        <f t="shared" si="55"/>
        <v/>
      </c>
      <c r="D589" t="str">
        <f t="shared" si="56"/>
        <v/>
      </c>
      <c r="E589" t="str">
        <f t="shared" si="57"/>
        <v/>
      </c>
      <c r="F589" t="str">
        <f t="shared" si="58"/>
        <v/>
      </c>
      <c r="G589" t="str">
        <f>IF(OR($E589="",$E589="نامعتبر",Sync!$X585=""),"",IF(AND(LEFT(UPPER(TRIM(Sync!$X585)),2)="SL",IFERROR(VLOOKUP(Sync!$W585,OpTbl,3,0),"")="فروش"),UPPER(TRIM(Sync!$X585)),""))</f>
        <v/>
      </c>
      <c r="H589" t="str">
        <f>IF($G589="","",IF(Sync!$W585="","",Sync!$W585))</f>
        <v/>
      </c>
      <c r="I589" t="str">
        <f>IF(OR($G589="",Sync!$Y585=""),"",Sync!$Y585)</f>
        <v/>
      </c>
      <c r="J589" t="str">
        <f>IF(OR($G589="",Sync!$Z585=""),"",Sync!$Z585)</f>
        <v/>
      </c>
      <c r="K589">
        <f>IF($G589="",0,IF(Sync!$AA585="",0,Sync!$AA585))</f>
        <v>0</v>
      </c>
      <c r="L589">
        <f>IF($G589="",0,IF(Sync!$AB585="",0,Sync!$AB585))</f>
        <v>0</v>
      </c>
      <c r="M589" t="str">
        <f t="shared" si="59"/>
        <v/>
      </c>
      <c r="N589">
        <f>IF($G589="",0,IF($H589="مرجوعی فروش",-1,1)*IF(Sync!$AC585="",0,Sync!$AC585))</f>
        <v>0</v>
      </c>
      <c r="O589" t="str">
        <f>IF(OR($G589="",Sync!$V585=""),"",Sync!$V585)</f>
        <v/>
      </c>
      <c r="P589" t="str">
        <f>IF(OR($G589="",Sync!$AD585=""),"",Sync!$AD585)</f>
        <v/>
      </c>
      <c r="Q589" t="str">
        <f>IF($G589="","",IF(Sync!$U585="","0000",IF(AND(ISNUMBER(Sync!$U585),Sync!$U585&gt;=0,Sync!$U585&lt;1),RIGHT("00"&amp;HOUR(Sync!$U585),2)&amp;RIGHT("00"&amp;MINUTE(Sync!$U585),2),IFERROR(RIGHT("00"&amp;VALUE(LEFT(Sync!$U585,FIND(":",Sync!$U585)-1)),2)&amp;RIGHT("00"&amp;VALUE(MID(Sync!$U585,FIND(":",Sync!$U585)+1,2)),2),"0000"))))</f>
        <v/>
      </c>
    </row>
    <row r="590" spans="1:17" x14ac:dyDescent="0.2">
      <c r="A590" t="str">
        <f>IF(Sync!$T586="","",Sync!$T586)</f>
        <v/>
      </c>
      <c r="B590" t="str">
        <f t="shared" si="54"/>
        <v/>
      </c>
      <c r="C590" t="str">
        <f t="shared" si="55"/>
        <v/>
      </c>
      <c r="D590" t="str">
        <f t="shared" si="56"/>
        <v/>
      </c>
      <c r="E590" t="str">
        <f t="shared" si="57"/>
        <v/>
      </c>
      <c r="F590" t="str">
        <f t="shared" si="58"/>
        <v/>
      </c>
      <c r="G590" t="str">
        <f>IF(OR($E590="",$E590="نامعتبر",Sync!$X586=""),"",IF(AND(LEFT(UPPER(TRIM(Sync!$X586)),2)="SL",IFERROR(VLOOKUP(Sync!$W586,OpTbl,3,0),"")="فروش"),UPPER(TRIM(Sync!$X586)),""))</f>
        <v/>
      </c>
      <c r="H590" t="str">
        <f>IF($G590="","",IF(Sync!$W586="","",Sync!$W586))</f>
        <v/>
      </c>
      <c r="I590" t="str">
        <f>IF(OR($G590="",Sync!$Y586=""),"",Sync!$Y586)</f>
        <v/>
      </c>
      <c r="J590" t="str">
        <f>IF(OR($G590="",Sync!$Z586=""),"",Sync!$Z586)</f>
        <v/>
      </c>
      <c r="K590">
        <f>IF($G590="",0,IF(Sync!$AA586="",0,Sync!$AA586))</f>
        <v>0</v>
      </c>
      <c r="L590">
        <f>IF($G590="",0,IF(Sync!$AB586="",0,Sync!$AB586))</f>
        <v>0</v>
      </c>
      <c r="M590" t="str">
        <f t="shared" si="59"/>
        <v/>
      </c>
      <c r="N590">
        <f>IF($G590="",0,IF($H590="مرجوعی فروش",-1,1)*IF(Sync!$AC586="",0,Sync!$AC586))</f>
        <v>0</v>
      </c>
      <c r="O590" t="str">
        <f>IF(OR($G590="",Sync!$V586=""),"",Sync!$V586)</f>
        <v/>
      </c>
      <c r="P590" t="str">
        <f>IF(OR($G590="",Sync!$AD586=""),"",Sync!$AD586)</f>
        <v/>
      </c>
      <c r="Q590" t="str">
        <f>IF($G590="","",IF(Sync!$U586="","0000",IF(AND(ISNUMBER(Sync!$U586),Sync!$U586&gt;=0,Sync!$U586&lt;1),RIGHT("00"&amp;HOUR(Sync!$U586),2)&amp;RIGHT("00"&amp;MINUTE(Sync!$U586),2),IFERROR(RIGHT("00"&amp;VALUE(LEFT(Sync!$U586,FIND(":",Sync!$U586)-1)),2)&amp;RIGHT("00"&amp;VALUE(MID(Sync!$U586,FIND(":",Sync!$U586)+1,2)),2),"0000"))))</f>
        <v/>
      </c>
    </row>
    <row r="591" spans="1:17" x14ac:dyDescent="0.2">
      <c r="A591" t="str">
        <f>IF(Sync!$T587="","",Sync!$T587)</f>
        <v/>
      </c>
      <c r="B591" t="str">
        <f t="shared" si="54"/>
        <v/>
      </c>
      <c r="C591" t="str">
        <f t="shared" si="55"/>
        <v/>
      </c>
      <c r="D591" t="str">
        <f t="shared" si="56"/>
        <v/>
      </c>
      <c r="E591" t="str">
        <f t="shared" si="57"/>
        <v/>
      </c>
      <c r="F591" t="str">
        <f t="shared" si="58"/>
        <v/>
      </c>
      <c r="G591" t="str">
        <f>IF(OR($E591="",$E591="نامعتبر",Sync!$X587=""),"",IF(AND(LEFT(UPPER(TRIM(Sync!$X587)),2)="SL",IFERROR(VLOOKUP(Sync!$W587,OpTbl,3,0),"")="فروش"),UPPER(TRIM(Sync!$X587)),""))</f>
        <v/>
      </c>
      <c r="H591" t="str">
        <f>IF($G591="","",IF(Sync!$W587="","",Sync!$W587))</f>
        <v/>
      </c>
      <c r="I591" t="str">
        <f>IF(OR($G591="",Sync!$Y587=""),"",Sync!$Y587)</f>
        <v/>
      </c>
      <c r="J591" t="str">
        <f>IF(OR($G591="",Sync!$Z587=""),"",Sync!$Z587)</f>
        <v/>
      </c>
      <c r="K591">
        <f>IF($G591="",0,IF(Sync!$AA587="",0,Sync!$AA587))</f>
        <v>0</v>
      </c>
      <c r="L591">
        <f>IF($G591="",0,IF(Sync!$AB587="",0,Sync!$AB587))</f>
        <v>0</v>
      </c>
      <c r="M591" t="str">
        <f t="shared" si="59"/>
        <v/>
      </c>
      <c r="N591">
        <f>IF($G591="",0,IF($H591="مرجوعی فروش",-1,1)*IF(Sync!$AC587="",0,Sync!$AC587))</f>
        <v>0</v>
      </c>
      <c r="O591" t="str">
        <f>IF(OR($G591="",Sync!$V587=""),"",Sync!$V587)</f>
        <v/>
      </c>
      <c r="P591" t="str">
        <f>IF(OR($G591="",Sync!$AD587=""),"",Sync!$AD587)</f>
        <v/>
      </c>
      <c r="Q591" t="str">
        <f>IF($G591="","",IF(Sync!$U587="","0000",IF(AND(ISNUMBER(Sync!$U587),Sync!$U587&gt;=0,Sync!$U587&lt;1),RIGHT("00"&amp;HOUR(Sync!$U587),2)&amp;RIGHT("00"&amp;MINUTE(Sync!$U587),2),IFERROR(RIGHT("00"&amp;VALUE(LEFT(Sync!$U587,FIND(":",Sync!$U587)-1)),2)&amp;RIGHT("00"&amp;VALUE(MID(Sync!$U587,FIND(":",Sync!$U587)+1,2)),2),"0000"))))</f>
        <v/>
      </c>
    </row>
    <row r="592" spans="1:17" x14ac:dyDescent="0.2">
      <c r="A592" t="str">
        <f>IF(Sync!$T588="","",Sync!$T588)</f>
        <v/>
      </c>
      <c r="B592" t="str">
        <f t="shared" si="54"/>
        <v/>
      </c>
      <c r="C592" t="str">
        <f t="shared" si="55"/>
        <v/>
      </c>
      <c r="D592" t="str">
        <f t="shared" si="56"/>
        <v/>
      </c>
      <c r="E592" t="str">
        <f t="shared" si="57"/>
        <v/>
      </c>
      <c r="F592" t="str">
        <f t="shared" si="58"/>
        <v/>
      </c>
      <c r="G592" t="str">
        <f>IF(OR($E592="",$E592="نامعتبر",Sync!$X588=""),"",IF(AND(LEFT(UPPER(TRIM(Sync!$X588)),2)="SL",IFERROR(VLOOKUP(Sync!$W588,OpTbl,3,0),"")="فروش"),UPPER(TRIM(Sync!$X588)),""))</f>
        <v/>
      </c>
      <c r="H592" t="str">
        <f>IF($G592="","",IF(Sync!$W588="","",Sync!$W588))</f>
        <v/>
      </c>
      <c r="I592" t="str">
        <f>IF(OR($G592="",Sync!$Y588=""),"",Sync!$Y588)</f>
        <v/>
      </c>
      <c r="J592" t="str">
        <f>IF(OR($G592="",Sync!$Z588=""),"",Sync!$Z588)</f>
        <v/>
      </c>
      <c r="K592">
        <f>IF($G592="",0,IF(Sync!$AA588="",0,Sync!$AA588))</f>
        <v>0</v>
      </c>
      <c r="L592">
        <f>IF($G592="",0,IF(Sync!$AB588="",0,Sync!$AB588))</f>
        <v>0</v>
      </c>
      <c r="M592" t="str">
        <f t="shared" si="59"/>
        <v/>
      </c>
      <c r="N592">
        <f>IF($G592="",0,IF($H592="مرجوعی فروش",-1,1)*IF(Sync!$AC588="",0,Sync!$AC588))</f>
        <v>0</v>
      </c>
      <c r="O592" t="str">
        <f>IF(OR($G592="",Sync!$V588=""),"",Sync!$V588)</f>
        <v/>
      </c>
      <c r="P592" t="str">
        <f>IF(OR($G592="",Sync!$AD588=""),"",Sync!$AD588)</f>
        <v/>
      </c>
      <c r="Q592" t="str">
        <f>IF($G592="","",IF(Sync!$U588="","0000",IF(AND(ISNUMBER(Sync!$U588),Sync!$U588&gt;=0,Sync!$U588&lt;1),RIGHT("00"&amp;HOUR(Sync!$U588),2)&amp;RIGHT("00"&amp;MINUTE(Sync!$U588),2),IFERROR(RIGHT("00"&amp;VALUE(LEFT(Sync!$U588,FIND(":",Sync!$U588)-1)),2)&amp;RIGHT("00"&amp;VALUE(MID(Sync!$U588,FIND(":",Sync!$U588)+1,2)),2),"0000"))))</f>
        <v/>
      </c>
    </row>
    <row r="593" spans="1:17" x14ac:dyDescent="0.2">
      <c r="A593" t="str">
        <f>IF(Sync!$T589="","",Sync!$T589)</f>
        <v/>
      </c>
      <c r="B593" t="str">
        <f t="shared" si="54"/>
        <v/>
      </c>
      <c r="C593" t="str">
        <f t="shared" si="55"/>
        <v/>
      </c>
      <c r="D593" t="str">
        <f t="shared" si="56"/>
        <v/>
      </c>
      <c r="E593" t="str">
        <f t="shared" si="57"/>
        <v/>
      </c>
      <c r="F593" t="str">
        <f t="shared" si="58"/>
        <v/>
      </c>
      <c r="G593" t="str">
        <f>IF(OR($E593="",$E593="نامعتبر",Sync!$X589=""),"",IF(AND(LEFT(UPPER(TRIM(Sync!$X589)),2)="SL",IFERROR(VLOOKUP(Sync!$W589,OpTbl,3,0),"")="فروش"),UPPER(TRIM(Sync!$X589)),""))</f>
        <v/>
      </c>
      <c r="H593" t="str">
        <f>IF($G593="","",IF(Sync!$W589="","",Sync!$W589))</f>
        <v/>
      </c>
      <c r="I593" t="str">
        <f>IF(OR($G593="",Sync!$Y589=""),"",Sync!$Y589)</f>
        <v/>
      </c>
      <c r="J593" t="str">
        <f>IF(OR($G593="",Sync!$Z589=""),"",Sync!$Z589)</f>
        <v/>
      </c>
      <c r="K593">
        <f>IF($G593="",0,IF(Sync!$AA589="",0,Sync!$AA589))</f>
        <v>0</v>
      </c>
      <c r="L593">
        <f>IF($G593="",0,IF(Sync!$AB589="",0,Sync!$AB589))</f>
        <v>0</v>
      </c>
      <c r="M593" t="str">
        <f t="shared" si="59"/>
        <v/>
      </c>
      <c r="N593">
        <f>IF($G593="",0,IF($H593="مرجوعی فروش",-1,1)*IF(Sync!$AC589="",0,Sync!$AC589))</f>
        <v>0</v>
      </c>
      <c r="O593" t="str">
        <f>IF(OR($G593="",Sync!$V589=""),"",Sync!$V589)</f>
        <v/>
      </c>
      <c r="P593" t="str">
        <f>IF(OR($G593="",Sync!$AD589=""),"",Sync!$AD589)</f>
        <v/>
      </c>
      <c r="Q593" t="str">
        <f>IF($G593="","",IF(Sync!$U589="","0000",IF(AND(ISNUMBER(Sync!$U589),Sync!$U589&gt;=0,Sync!$U589&lt;1),RIGHT("00"&amp;HOUR(Sync!$U589),2)&amp;RIGHT("00"&amp;MINUTE(Sync!$U589),2),IFERROR(RIGHT("00"&amp;VALUE(LEFT(Sync!$U589,FIND(":",Sync!$U589)-1)),2)&amp;RIGHT("00"&amp;VALUE(MID(Sync!$U589,FIND(":",Sync!$U589)+1,2)),2),"0000"))))</f>
        <v/>
      </c>
    </row>
    <row r="594" spans="1:17" x14ac:dyDescent="0.2">
      <c r="A594" t="str">
        <f>IF(Sync!$T590="","",Sync!$T590)</f>
        <v/>
      </c>
      <c r="B594" t="str">
        <f t="shared" si="54"/>
        <v/>
      </c>
      <c r="C594" t="str">
        <f t="shared" si="55"/>
        <v/>
      </c>
      <c r="D594" t="str">
        <f t="shared" si="56"/>
        <v/>
      </c>
      <c r="E594" t="str">
        <f t="shared" si="57"/>
        <v/>
      </c>
      <c r="F594" t="str">
        <f t="shared" si="58"/>
        <v/>
      </c>
      <c r="G594" t="str">
        <f>IF(OR($E594="",$E594="نامعتبر",Sync!$X590=""),"",IF(AND(LEFT(UPPER(TRIM(Sync!$X590)),2)="SL",IFERROR(VLOOKUP(Sync!$W590,OpTbl,3,0),"")="فروش"),UPPER(TRIM(Sync!$X590)),""))</f>
        <v/>
      </c>
      <c r="H594" t="str">
        <f>IF($G594="","",IF(Sync!$W590="","",Sync!$W590))</f>
        <v/>
      </c>
      <c r="I594" t="str">
        <f>IF(OR($G594="",Sync!$Y590=""),"",Sync!$Y590)</f>
        <v/>
      </c>
      <c r="J594" t="str">
        <f>IF(OR($G594="",Sync!$Z590=""),"",Sync!$Z590)</f>
        <v/>
      </c>
      <c r="K594">
        <f>IF($G594="",0,IF(Sync!$AA590="",0,Sync!$AA590))</f>
        <v>0</v>
      </c>
      <c r="L594">
        <f>IF($G594="",0,IF(Sync!$AB590="",0,Sync!$AB590))</f>
        <v>0</v>
      </c>
      <c r="M594" t="str">
        <f t="shared" si="59"/>
        <v/>
      </c>
      <c r="N594">
        <f>IF($G594="",0,IF($H594="مرجوعی فروش",-1,1)*IF(Sync!$AC590="",0,Sync!$AC590))</f>
        <v>0</v>
      </c>
      <c r="O594" t="str">
        <f>IF(OR($G594="",Sync!$V590=""),"",Sync!$V590)</f>
        <v/>
      </c>
      <c r="P594" t="str">
        <f>IF(OR($G594="",Sync!$AD590=""),"",Sync!$AD590)</f>
        <v/>
      </c>
      <c r="Q594" t="str">
        <f>IF($G594="","",IF(Sync!$U590="","0000",IF(AND(ISNUMBER(Sync!$U590),Sync!$U590&gt;=0,Sync!$U590&lt;1),RIGHT("00"&amp;HOUR(Sync!$U590),2)&amp;RIGHT("00"&amp;MINUTE(Sync!$U590),2),IFERROR(RIGHT("00"&amp;VALUE(LEFT(Sync!$U590,FIND(":",Sync!$U590)-1)),2)&amp;RIGHT("00"&amp;VALUE(MID(Sync!$U590,FIND(":",Sync!$U590)+1,2)),2),"0000"))))</f>
        <v/>
      </c>
    </row>
    <row r="595" spans="1:17" x14ac:dyDescent="0.2">
      <c r="A595" t="str">
        <f>IF(Sync!$T591="","",Sync!$T591)</f>
        <v/>
      </c>
      <c r="B595" t="str">
        <f t="shared" si="54"/>
        <v/>
      </c>
      <c r="C595" t="str">
        <f t="shared" si="55"/>
        <v/>
      </c>
      <c r="D595" t="str">
        <f t="shared" si="56"/>
        <v/>
      </c>
      <c r="E595" t="str">
        <f t="shared" si="57"/>
        <v/>
      </c>
      <c r="F595" t="str">
        <f t="shared" si="58"/>
        <v/>
      </c>
      <c r="G595" t="str">
        <f>IF(OR($E595="",$E595="نامعتبر",Sync!$X591=""),"",IF(AND(LEFT(UPPER(TRIM(Sync!$X591)),2)="SL",IFERROR(VLOOKUP(Sync!$W591,OpTbl,3,0),"")="فروش"),UPPER(TRIM(Sync!$X591)),""))</f>
        <v/>
      </c>
      <c r="H595" t="str">
        <f>IF($G595="","",IF(Sync!$W591="","",Sync!$W591))</f>
        <v/>
      </c>
      <c r="I595" t="str">
        <f>IF(OR($G595="",Sync!$Y591=""),"",Sync!$Y591)</f>
        <v/>
      </c>
      <c r="J595" t="str">
        <f>IF(OR($G595="",Sync!$Z591=""),"",Sync!$Z591)</f>
        <v/>
      </c>
      <c r="K595">
        <f>IF($G595="",0,IF(Sync!$AA591="",0,Sync!$AA591))</f>
        <v>0</v>
      </c>
      <c r="L595">
        <f>IF($G595="",0,IF(Sync!$AB591="",0,Sync!$AB591))</f>
        <v>0</v>
      </c>
      <c r="M595" t="str">
        <f t="shared" si="59"/>
        <v/>
      </c>
      <c r="N595">
        <f>IF($G595="",0,IF($H595="مرجوعی فروش",-1,1)*IF(Sync!$AC591="",0,Sync!$AC591))</f>
        <v>0</v>
      </c>
      <c r="O595" t="str">
        <f>IF(OR($G595="",Sync!$V591=""),"",Sync!$V591)</f>
        <v/>
      </c>
      <c r="P595" t="str">
        <f>IF(OR($G595="",Sync!$AD591=""),"",Sync!$AD591)</f>
        <v/>
      </c>
      <c r="Q595" t="str">
        <f>IF($G595="","",IF(Sync!$U591="","0000",IF(AND(ISNUMBER(Sync!$U591),Sync!$U591&gt;=0,Sync!$U591&lt;1),RIGHT("00"&amp;HOUR(Sync!$U591),2)&amp;RIGHT("00"&amp;MINUTE(Sync!$U591),2),IFERROR(RIGHT("00"&amp;VALUE(LEFT(Sync!$U591,FIND(":",Sync!$U591)-1)),2)&amp;RIGHT("00"&amp;VALUE(MID(Sync!$U591,FIND(":",Sync!$U591)+1,2)),2),"0000"))))</f>
        <v/>
      </c>
    </row>
    <row r="596" spans="1:17" x14ac:dyDescent="0.2">
      <c r="A596" t="str">
        <f>IF(Sync!$T592="","",Sync!$T592)</f>
        <v/>
      </c>
      <c r="B596" t="str">
        <f t="shared" si="54"/>
        <v/>
      </c>
      <c r="C596" t="str">
        <f t="shared" si="55"/>
        <v/>
      </c>
      <c r="D596" t="str">
        <f t="shared" si="56"/>
        <v/>
      </c>
      <c r="E596" t="str">
        <f t="shared" si="57"/>
        <v/>
      </c>
      <c r="F596" t="str">
        <f t="shared" si="58"/>
        <v/>
      </c>
      <c r="G596" t="str">
        <f>IF(OR($E596="",$E596="نامعتبر",Sync!$X592=""),"",IF(AND(LEFT(UPPER(TRIM(Sync!$X592)),2)="SL",IFERROR(VLOOKUP(Sync!$W592,OpTbl,3,0),"")="فروش"),UPPER(TRIM(Sync!$X592)),""))</f>
        <v/>
      </c>
      <c r="H596" t="str">
        <f>IF($G596="","",IF(Sync!$W592="","",Sync!$W592))</f>
        <v/>
      </c>
      <c r="I596" t="str">
        <f>IF(OR($G596="",Sync!$Y592=""),"",Sync!$Y592)</f>
        <v/>
      </c>
      <c r="J596" t="str">
        <f>IF(OR($G596="",Sync!$Z592=""),"",Sync!$Z592)</f>
        <v/>
      </c>
      <c r="K596">
        <f>IF($G596="",0,IF(Sync!$AA592="",0,Sync!$AA592))</f>
        <v>0</v>
      </c>
      <c r="L596">
        <f>IF($G596="",0,IF(Sync!$AB592="",0,Sync!$AB592))</f>
        <v>0</v>
      </c>
      <c r="M596" t="str">
        <f t="shared" si="59"/>
        <v/>
      </c>
      <c r="N596">
        <f>IF($G596="",0,IF($H596="مرجوعی فروش",-1,1)*IF(Sync!$AC592="",0,Sync!$AC592))</f>
        <v>0</v>
      </c>
      <c r="O596" t="str">
        <f>IF(OR($G596="",Sync!$V592=""),"",Sync!$V592)</f>
        <v/>
      </c>
      <c r="P596" t="str">
        <f>IF(OR($G596="",Sync!$AD592=""),"",Sync!$AD592)</f>
        <v/>
      </c>
      <c r="Q596" t="str">
        <f>IF($G596="","",IF(Sync!$U592="","0000",IF(AND(ISNUMBER(Sync!$U592),Sync!$U592&gt;=0,Sync!$U592&lt;1),RIGHT("00"&amp;HOUR(Sync!$U592),2)&amp;RIGHT("00"&amp;MINUTE(Sync!$U592),2),IFERROR(RIGHT("00"&amp;VALUE(LEFT(Sync!$U592,FIND(":",Sync!$U592)-1)),2)&amp;RIGHT("00"&amp;VALUE(MID(Sync!$U592,FIND(":",Sync!$U592)+1,2)),2),"0000"))))</f>
        <v/>
      </c>
    </row>
    <row r="597" spans="1:17" x14ac:dyDescent="0.2">
      <c r="A597" t="str">
        <f>IF(Sync!$T593="","",Sync!$T593)</f>
        <v/>
      </c>
      <c r="B597" t="str">
        <f t="shared" si="54"/>
        <v/>
      </c>
      <c r="C597" t="str">
        <f t="shared" si="55"/>
        <v/>
      </c>
      <c r="D597" t="str">
        <f t="shared" si="56"/>
        <v/>
      </c>
      <c r="E597" t="str">
        <f t="shared" si="57"/>
        <v/>
      </c>
      <c r="F597" t="str">
        <f t="shared" si="58"/>
        <v/>
      </c>
      <c r="G597" t="str">
        <f>IF(OR($E597="",$E597="نامعتبر",Sync!$X593=""),"",IF(AND(LEFT(UPPER(TRIM(Sync!$X593)),2)="SL",IFERROR(VLOOKUP(Sync!$W593,OpTbl,3,0),"")="فروش"),UPPER(TRIM(Sync!$X593)),""))</f>
        <v/>
      </c>
      <c r="H597" t="str">
        <f>IF($G597="","",IF(Sync!$W593="","",Sync!$W593))</f>
        <v/>
      </c>
      <c r="I597" t="str">
        <f>IF(OR($G597="",Sync!$Y593=""),"",Sync!$Y593)</f>
        <v/>
      </c>
      <c r="J597" t="str">
        <f>IF(OR($G597="",Sync!$Z593=""),"",Sync!$Z593)</f>
        <v/>
      </c>
      <c r="K597">
        <f>IF($G597="",0,IF(Sync!$AA593="",0,Sync!$AA593))</f>
        <v>0</v>
      </c>
      <c r="L597">
        <f>IF($G597="",0,IF(Sync!$AB593="",0,Sync!$AB593))</f>
        <v>0</v>
      </c>
      <c r="M597" t="str">
        <f t="shared" si="59"/>
        <v/>
      </c>
      <c r="N597">
        <f>IF($G597="",0,IF($H597="مرجوعی فروش",-1,1)*IF(Sync!$AC593="",0,Sync!$AC593))</f>
        <v>0</v>
      </c>
      <c r="O597" t="str">
        <f>IF(OR($G597="",Sync!$V593=""),"",Sync!$V593)</f>
        <v/>
      </c>
      <c r="P597" t="str">
        <f>IF(OR($G597="",Sync!$AD593=""),"",Sync!$AD593)</f>
        <v/>
      </c>
      <c r="Q597" t="str">
        <f>IF($G597="","",IF(Sync!$U593="","0000",IF(AND(ISNUMBER(Sync!$U593),Sync!$U593&gt;=0,Sync!$U593&lt;1),RIGHT("00"&amp;HOUR(Sync!$U593),2)&amp;RIGHT("00"&amp;MINUTE(Sync!$U593),2),IFERROR(RIGHT("00"&amp;VALUE(LEFT(Sync!$U593,FIND(":",Sync!$U593)-1)),2)&amp;RIGHT("00"&amp;VALUE(MID(Sync!$U593,FIND(":",Sync!$U593)+1,2)),2),"0000"))))</f>
        <v/>
      </c>
    </row>
    <row r="598" spans="1:17" x14ac:dyDescent="0.2">
      <c r="A598" t="str">
        <f>IF(Sync!$T594="","",Sync!$T594)</f>
        <v/>
      </c>
      <c r="B598" t="str">
        <f t="shared" si="54"/>
        <v/>
      </c>
      <c r="C598" t="str">
        <f t="shared" si="55"/>
        <v/>
      </c>
      <c r="D598" t="str">
        <f t="shared" si="56"/>
        <v/>
      </c>
      <c r="E598" t="str">
        <f t="shared" si="57"/>
        <v/>
      </c>
      <c r="F598" t="str">
        <f t="shared" si="58"/>
        <v/>
      </c>
      <c r="G598" t="str">
        <f>IF(OR($E598="",$E598="نامعتبر",Sync!$X594=""),"",IF(AND(LEFT(UPPER(TRIM(Sync!$X594)),2)="SL",IFERROR(VLOOKUP(Sync!$W594,OpTbl,3,0),"")="فروش"),UPPER(TRIM(Sync!$X594)),""))</f>
        <v/>
      </c>
      <c r="H598" t="str">
        <f>IF($G598="","",IF(Sync!$W594="","",Sync!$W594))</f>
        <v/>
      </c>
      <c r="I598" t="str">
        <f>IF(OR($G598="",Sync!$Y594=""),"",Sync!$Y594)</f>
        <v/>
      </c>
      <c r="J598" t="str">
        <f>IF(OR($G598="",Sync!$Z594=""),"",Sync!$Z594)</f>
        <v/>
      </c>
      <c r="K598">
        <f>IF($G598="",0,IF(Sync!$AA594="",0,Sync!$AA594))</f>
        <v>0</v>
      </c>
      <c r="L598">
        <f>IF($G598="",0,IF(Sync!$AB594="",0,Sync!$AB594))</f>
        <v>0</v>
      </c>
      <c r="M598" t="str">
        <f t="shared" si="59"/>
        <v/>
      </c>
      <c r="N598">
        <f>IF($G598="",0,IF($H598="مرجوعی فروش",-1,1)*IF(Sync!$AC594="",0,Sync!$AC594))</f>
        <v>0</v>
      </c>
      <c r="O598" t="str">
        <f>IF(OR($G598="",Sync!$V594=""),"",Sync!$V594)</f>
        <v/>
      </c>
      <c r="P598" t="str">
        <f>IF(OR($G598="",Sync!$AD594=""),"",Sync!$AD594)</f>
        <v/>
      </c>
      <c r="Q598" t="str">
        <f>IF($G598="","",IF(Sync!$U594="","0000",IF(AND(ISNUMBER(Sync!$U594),Sync!$U594&gt;=0,Sync!$U594&lt;1),RIGHT("00"&amp;HOUR(Sync!$U594),2)&amp;RIGHT("00"&amp;MINUTE(Sync!$U594),2),IFERROR(RIGHT("00"&amp;VALUE(LEFT(Sync!$U594,FIND(":",Sync!$U594)-1)),2)&amp;RIGHT("00"&amp;VALUE(MID(Sync!$U594,FIND(":",Sync!$U594)+1,2)),2),"0000"))))</f>
        <v/>
      </c>
    </row>
    <row r="599" spans="1:17" x14ac:dyDescent="0.2">
      <c r="A599" t="str">
        <f>IF(Sync!$T595="","",Sync!$T595)</f>
        <v/>
      </c>
      <c r="B599" t="str">
        <f t="shared" si="54"/>
        <v/>
      </c>
      <c r="C599" t="str">
        <f t="shared" si="55"/>
        <v/>
      </c>
      <c r="D599" t="str">
        <f t="shared" si="56"/>
        <v/>
      </c>
      <c r="E599" t="str">
        <f t="shared" si="57"/>
        <v/>
      </c>
      <c r="F599" t="str">
        <f t="shared" si="58"/>
        <v/>
      </c>
      <c r="G599" t="str">
        <f>IF(OR($E599="",$E599="نامعتبر",Sync!$X595=""),"",IF(AND(LEFT(UPPER(TRIM(Sync!$X595)),2)="SL",IFERROR(VLOOKUP(Sync!$W595,OpTbl,3,0),"")="فروش"),UPPER(TRIM(Sync!$X595)),""))</f>
        <v/>
      </c>
      <c r="H599" t="str">
        <f>IF($G599="","",IF(Sync!$W595="","",Sync!$W595))</f>
        <v/>
      </c>
      <c r="I599" t="str">
        <f>IF(OR($G599="",Sync!$Y595=""),"",Sync!$Y595)</f>
        <v/>
      </c>
      <c r="J599" t="str">
        <f>IF(OR($G599="",Sync!$Z595=""),"",Sync!$Z595)</f>
        <v/>
      </c>
      <c r="K599">
        <f>IF($G599="",0,IF(Sync!$AA595="",0,Sync!$AA595))</f>
        <v>0</v>
      </c>
      <c r="L599">
        <f>IF($G599="",0,IF(Sync!$AB595="",0,Sync!$AB595))</f>
        <v>0</v>
      </c>
      <c r="M599" t="str">
        <f t="shared" si="59"/>
        <v/>
      </c>
      <c r="N599">
        <f>IF($G599="",0,IF($H599="مرجوعی فروش",-1,1)*IF(Sync!$AC595="",0,Sync!$AC595))</f>
        <v>0</v>
      </c>
      <c r="O599" t="str">
        <f>IF(OR($G599="",Sync!$V595=""),"",Sync!$V595)</f>
        <v/>
      </c>
      <c r="P599" t="str">
        <f>IF(OR($G599="",Sync!$AD595=""),"",Sync!$AD595)</f>
        <v/>
      </c>
      <c r="Q599" t="str">
        <f>IF($G599="","",IF(Sync!$U595="","0000",IF(AND(ISNUMBER(Sync!$U595),Sync!$U595&gt;=0,Sync!$U595&lt;1),RIGHT("00"&amp;HOUR(Sync!$U595),2)&amp;RIGHT("00"&amp;MINUTE(Sync!$U595),2),IFERROR(RIGHT("00"&amp;VALUE(LEFT(Sync!$U595,FIND(":",Sync!$U595)-1)),2)&amp;RIGHT("00"&amp;VALUE(MID(Sync!$U595,FIND(":",Sync!$U595)+1,2)),2),"0000"))))</f>
        <v/>
      </c>
    </row>
    <row r="600" spans="1:17" x14ac:dyDescent="0.2">
      <c r="A600" t="str">
        <f>IF(Sync!$T596="","",Sync!$T596)</f>
        <v/>
      </c>
      <c r="B600" t="str">
        <f t="shared" si="54"/>
        <v/>
      </c>
      <c r="C600" t="str">
        <f t="shared" si="55"/>
        <v/>
      </c>
      <c r="D600" t="str">
        <f t="shared" si="56"/>
        <v/>
      </c>
      <c r="E600" t="str">
        <f t="shared" si="57"/>
        <v/>
      </c>
      <c r="F600" t="str">
        <f t="shared" si="58"/>
        <v/>
      </c>
      <c r="G600" t="str">
        <f>IF(OR($E600="",$E600="نامعتبر",Sync!$X596=""),"",IF(AND(LEFT(UPPER(TRIM(Sync!$X596)),2)="SL",IFERROR(VLOOKUP(Sync!$W596,OpTbl,3,0),"")="فروش"),UPPER(TRIM(Sync!$X596)),""))</f>
        <v/>
      </c>
      <c r="H600" t="str">
        <f>IF($G600="","",IF(Sync!$W596="","",Sync!$W596))</f>
        <v/>
      </c>
      <c r="I600" t="str">
        <f>IF(OR($G600="",Sync!$Y596=""),"",Sync!$Y596)</f>
        <v/>
      </c>
      <c r="J600" t="str">
        <f>IF(OR($G600="",Sync!$Z596=""),"",Sync!$Z596)</f>
        <v/>
      </c>
      <c r="K600">
        <f>IF($G600="",0,IF(Sync!$AA596="",0,Sync!$AA596))</f>
        <v>0</v>
      </c>
      <c r="L600">
        <f>IF($G600="",0,IF(Sync!$AB596="",0,Sync!$AB596))</f>
        <v>0</v>
      </c>
      <c r="M600" t="str">
        <f t="shared" si="59"/>
        <v/>
      </c>
      <c r="N600">
        <f>IF($G600="",0,IF($H600="مرجوعی فروش",-1,1)*IF(Sync!$AC596="",0,Sync!$AC596))</f>
        <v>0</v>
      </c>
      <c r="O600" t="str">
        <f>IF(OR($G600="",Sync!$V596=""),"",Sync!$V596)</f>
        <v/>
      </c>
      <c r="P600" t="str">
        <f>IF(OR($G600="",Sync!$AD596=""),"",Sync!$AD596)</f>
        <v/>
      </c>
      <c r="Q600" t="str">
        <f>IF($G600="","",IF(Sync!$U596="","0000",IF(AND(ISNUMBER(Sync!$U596),Sync!$U596&gt;=0,Sync!$U596&lt;1),RIGHT("00"&amp;HOUR(Sync!$U596),2)&amp;RIGHT("00"&amp;MINUTE(Sync!$U596),2),IFERROR(RIGHT("00"&amp;VALUE(LEFT(Sync!$U596,FIND(":",Sync!$U596)-1)),2)&amp;RIGHT("00"&amp;VALUE(MID(Sync!$U596,FIND(":",Sync!$U596)+1,2)),2),"0000"))))</f>
        <v/>
      </c>
    </row>
    <row r="601" spans="1:17" x14ac:dyDescent="0.2">
      <c r="A601" t="str">
        <f>IF(Sync!$T597="","",Sync!$T597)</f>
        <v/>
      </c>
      <c r="B601" t="str">
        <f t="shared" si="54"/>
        <v/>
      </c>
      <c r="C601" t="str">
        <f t="shared" si="55"/>
        <v/>
      </c>
      <c r="D601" t="str">
        <f t="shared" si="56"/>
        <v/>
      </c>
      <c r="E601" t="str">
        <f t="shared" si="57"/>
        <v/>
      </c>
      <c r="F601" t="str">
        <f t="shared" si="58"/>
        <v/>
      </c>
      <c r="G601" t="str">
        <f>IF(OR($E601="",$E601="نامعتبر",Sync!$X597=""),"",IF(AND(LEFT(UPPER(TRIM(Sync!$X597)),2)="SL",IFERROR(VLOOKUP(Sync!$W597,OpTbl,3,0),"")="فروش"),UPPER(TRIM(Sync!$X597)),""))</f>
        <v/>
      </c>
      <c r="H601" t="str">
        <f>IF($G601="","",IF(Sync!$W597="","",Sync!$W597))</f>
        <v/>
      </c>
      <c r="I601" t="str">
        <f>IF(OR($G601="",Sync!$Y597=""),"",Sync!$Y597)</f>
        <v/>
      </c>
      <c r="J601" t="str">
        <f>IF(OR($G601="",Sync!$Z597=""),"",Sync!$Z597)</f>
        <v/>
      </c>
      <c r="K601">
        <f>IF($G601="",0,IF(Sync!$AA597="",0,Sync!$AA597))</f>
        <v>0</v>
      </c>
      <c r="L601">
        <f>IF($G601="",0,IF(Sync!$AB597="",0,Sync!$AB597))</f>
        <v>0</v>
      </c>
      <c r="M601" t="str">
        <f t="shared" si="59"/>
        <v/>
      </c>
      <c r="N601">
        <f>IF($G601="",0,IF($H601="مرجوعی فروش",-1,1)*IF(Sync!$AC597="",0,Sync!$AC597))</f>
        <v>0</v>
      </c>
      <c r="O601" t="str">
        <f>IF(OR($G601="",Sync!$V597=""),"",Sync!$V597)</f>
        <v/>
      </c>
      <c r="P601" t="str">
        <f>IF(OR($G601="",Sync!$AD597=""),"",Sync!$AD597)</f>
        <v/>
      </c>
      <c r="Q601" t="str">
        <f>IF($G601="","",IF(Sync!$U597="","0000",IF(AND(ISNUMBER(Sync!$U597),Sync!$U597&gt;=0,Sync!$U597&lt;1),RIGHT("00"&amp;HOUR(Sync!$U597),2)&amp;RIGHT("00"&amp;MINUTE(Sync!$U597),2),IFERROR(RIGHT("00"&amp;VALUE(LEFT(Sync!$U597,FIND(":",Sync!$U597)-1)),2)&amp;RIGHT("00"&amp;VALUE(MID(Sync!$U597,FIND(":",Sync!$U597)+1,2)),2),"0000"))))</f>
        <v/>
      </c>
    </row>
    <row r="602" spans="1:17" x14ac:dyDescent="0.2">
      <c r="A602" t="str">
        <f>IF(Sync!$T598="","",Sync!$T598)</f>
        <v/>
      </c>
      <c r="B602" t="str">
        <f t="shared" si="54"/>
        <v/>
      </c>
      <c r="C602" t="str">
        <f t="shared" si="55"/>
        <v/>
      </c>
      <c r="D602" t="str">
        <f t="shared" si="56"/>
        <v/>
      </c>
      <c r="E602" t="str">
        <f t="shared" si="57"/>
        <v/>
      </c>
      <c r="F602" t="str">
        <f t="shared" si="58"/>
        <v/>
      </c>
      <c r="G602" t="str">
        <f>IF(OR($E602="",$E602="نامعتبر",Sync!$X598=""),"",IF(AND(LEFT(UPPER(TRIM(Sync!$X598)),2)="SL",IFERROR(VLOOKUP(Sync!$W598,OpTbl,3,0),"")="فروش"),UPPER(TRIM(Sync!$X598)),""))</f>
        <v/>
      </c>
      <c r="H602" t="str">
        <f>IF($G602="","",IF(Sync!$W598="","",Sync!$W598))</f>
        <v/>
      </c>
      <c r="I602" t="str">
        <f>IF(OR($G602="",Sync!$Y598=""),"",Sync!$Y598)</f>
        <v/>
      </c>
      <c r="J602" t="str">
        <f>IF(OR($G602="",Sync!$Z598=""),"",Sync!$Z598)</f>
        <v/>
      </c>
      <c r="K602">
        <f>IF($G602="",0,IF(Sync!$AA598="",0,Sync!$AA598))</f>
        <v>0</v>
      </c>
      <c r="L602">
        <f>IF($G602="",0,IF(Sync!$AB598="",0,Sync!$AB598))</f>
        <v>0</v>
      </c>
      <c r="M602" t="str">
        <f t="shared" si="59"/>
        <v/>
      </c>
      <c r="N602">
        <f>IF($G602="",0,IF($H602="مرجوعی فروش",-1,1)*IF(Sync!$AC598="",0,Sync!$AC598))</f>
        <v>0</v>
      </c>
      <c r="O602" t="str">
        <f>IF(OR($G602="",Sync!$V598=""),"",Sync!$V598)</f>
        <v/>
      </c>
      <c r="P602" t="str">
        <f>IF(OR($G602="",Sync!$AD598=""),"",Sync!$AD598)</f>
        <v/>
      </c>
      <c r="Q602" t="str">
        <f>IF($G602="","",IF(Sync!$U598="","0000",IF(AND(ISNUMBER(Sync!$U598),Sync!$U598&gt;=0,Sync!$U598&lt;1),RIGHT("00"&amp;HOUR(Sync!$U598),2)&amp;RIGHT("00"&amp;MINUTE(Sync!$U598),2),IFERROR(RIGHT("00"&amp;VALUE(LEFT(Sync!$U598,FIND(":",Sync!$U598)-1)),2)&amp;RIGHT("00"&amp;VALUE(MID(Sync!$U598,FIND(":",Sync!$U598)+1,2)),2),"0000"))))</f>
        <v/>
      </c>
    </row>
    <row r="603" spans="1:17" x14ac:dyDescent="0.2">
      <c r="A603" t="str">
        <f>IF(Sync!$T599="","",Sync!$T599)</f>
        <v/>
      </c>
      <c r="B603" t="str">
        <f t="shared" si="54"/>
        <v/>
      </c>
      <c r="C603" t="str">
        <f t="shared" si="55"/>
        <v/>
      </c>
      <c r="D603" t="str">
        <f t="shared" si="56"/>
        <v/>
      </c>
      <c r="E603" t="str">
        <f t="shared" si="57"/>
        <v/>
      </c>
      <c r="F603" t="str">
        <f t="shared" si="58"/>
        <v/>
      </c>
      <c r="G603" t="str">
        <f>IF(OR($E603="",$E603="نامعتبر",Sync!$X599=""),"",IF(AND(LEFT(UPPER(TRIM(Sync!$X599)),2)="SL",IFERROR(VLOOKUP(Sync!$W599,OpTbl,3,0),"")="فروش"),UPPER(TRIM(Sync!$X599)),""))</f>
        <v/>
      </c>
      <c r="H603" t="str">
        <f>IF($G603="","",IF(Sync!$W599="","",Sync!$W599))</f>
        <v/>
      </c>
      <c r="I603" t="str">
        <f>IF(OR($G603="",Sync!$Y599=""),"",Sync!$Y599)</f>
        <v/>
      </c>
      <c r="J603" t="str">
        <f>IF(OR($G603="",Sync!$Z599=""),"",Sync!$Z599)</f>
        <v/>
      </c>
      <c r="K603">
        <f>IF($G603="",0,IF(Sync!$AA599="",0,Sync!$AA599))</f>
        <v>0</v>
      </c>
      <c r="L603">
        <f>IF($G603="",0,IF(Sync!$AB599="",0,Sync!$AB599))</f>
        <v>0</v>
      </c>
      <c r="M603" t="str">
        <f t="shared" si="59"/>
        <v/>
      </c>
      <c r="N603">
        <f>IF($G603="",0,IF($H603="مرجوعی فروش",-1,1)*IF(Sync!$AC599="",0,Sync!$AC599))</f>
        <v>0</v>
      </c>
      <c r="O603" t="str">
        <f>IF(OR($G603="",Sync!$V599=""),"",Sync!$V599)</f>
        <v/>
      </c>
      <c r="P603" t="str">
        <f>IF(OR($G603="",Sync!$AD599=""),"",Sync!$AD599)</f>
        <v/>
      </c>
      <c r="Q603" t="str">
        <f>IF($G603="","",IF(Sync!$U599="","0000",IF(AND(ISNUMBER(Sync!$U599),Sync!$U599&gt;=0,Sync!$U599&lt;1),RIGHT("00"&amp;HOUR(Sync!$U599),2)&amp;RIGHT("00"&amp;MINUTE(Sync!$U599),2),IFERROR(RIGHT("00"&amp;VALUE(LEFT(Sync!$U599,FIND(":",Sync!$U599)-1)),2)&amp;RIGHT("00"&amp;VALUE(MID(Sync!$U599,FIND(":",Sync!$U599)+1,2)),2),"0000"))))</f>
        <v/>
      </c>
    </row>
    <row r="604" spans="1:17" x14ac:dyDescent="0.2">
      <c r="A604" t="str">
        <f>IF(Sync!$T600="","",Sync!$T600)</f>
        <v/>
      </c>
      <c r="B604" t="str">
        <f t="shared" si="54"/>
        <v/>
      </c>
      <c r="C604" t="str">
        <f t="shared" si="55"/>
        <v/>
      </c>
      <c r="D604" t="str">
        <f t="shared" si="56"/>
        <v/>
      </c>
      <c r="E604" t="str">
        <f t="shared" si="57"/>
        <v/>
      </c>
      <c r="F604" t="str">
        <f t="shared" si="58"/>
        <v/>
      </c>
      <c r="G604" t="str">
        <f>IF(OR($E604="",$E604="نامعتبر",Sync!$X600=""),"",IF(AND(LEFT(UPPER(TRIM(Sync!$X600)),2)="SL",IFERROR(VLOOKUP(Sync!$W600,OpTbl,3,0),"")="فروش"),UPPER(TRIM(Sync!$X600)),""))</f>
        <v/>
      </c>
      <c r="H604" t="str">
        <f>IF($G604="","",IF(Sync!$W600="","",Sync!$W600))</f>
        <v/>
      </c>
      <c r="I604" t="str">
        <f>IF(OR($G604="",Sync!$Y600=""),"",Sync!$Y600)</f>
        <v/>
      </c>
      <c r="J604" t="str">
        <f>IF(OR($G604="",Sync!$Z600=""),"",Sync!$Z600)</f>
        <v/>
      </c>
      <c r="K604">
        <f>IF($G604="",0,IF(Sync!$AA600="",0,Sync!$AA600))</f>
        <v>0</v>
      </c>
      <c r="L604">
        <f>IF($G604="",0,IF(Sync!$AB600="",0,Sync!$AB600))</f>
        <v>0</v>
      </c>
      <c r="M604" t="str">
        <f t="shared" si="59"/>
        <v/>
      </c>
      <c r="N604">
        <f>IF($G604="",0,IF($H604="مرجوعی فروش",-1,1)*IF(Sync!$AC600="",0,Sync!$AC600))</f>
        <v>0</v>
      </c>
      <c r="O604" t="str">
        <f>IF(OR($G604="",Sync!$V600=""),"",Sync!$V600)</f>
        <v/>
      </c>
      <c r="P604" t="str">
        <f>IF(OR($G604="",Sync!$AD600=""),"",Sync!$AD600)</f>
        <v/>
      </c>
      <c r="Q604" t="str">
        <f>IF($G604="","",IF(Sync!$U600="","0000",IF(AND(ISNUMBER(Sync!$U600),Sync!$U600&gt;=0,Sync!$U600&lt;1),RIGHT("00"&amp;HOUR(Sync!$U600),2)&amp;RIGHT("00"&amp;MINUTE(Sync!$U600),2),IFERROR(RIGHT("00"&amp;VALUE(LEFT(Sync!$U600,FIND(":",Sync!$U600)-1)),2)&amp;RIGHT("00"&amp;VALUE(MID(Sync!$U600,FIND(":",Sync!$U600)+1,2)),2),"0000"))))</f>
        <v/>
      </c>
    </row>
    <row r="605" spans="1:17" x14ac:dyDescent="0.2">
      <c r="A605" t="str">
        <f>IF(Sync!$T601="","",Sync!$T601)</f>
        <v/>
      </c>
      <c r="B605" t="str">
        <f t="shared" si="54"/>
        <v/>
      </c>
      <c r="C605" t="str">
        <f t="shared" si="55"/>
        <v/>
      </c>
      <c r="D605" t="str">
        <f t="shared" si="56"/>
        <v/>
      </c>
      <c r="E605" t="str">
        <f t="shared" si="57"/>
        <v/>
      </c>
      <c r="F605" t="str">
        <f t="shared" si="58"/>
        <v/>
      </c>
      <c r="G605" t="str">
        <f>IF(OR($E605="",$E605="نامعتبر",Sync!$X601=""),"",IF(AND(LEFT(UPPER(TRIM(Sync!$X601)),2)="SL",IFERROR(VLOOKUP(Sync!$W601,OpTbl,3,0),"")="فروش"),UPPER(TRIM(Sync!$X601)),""))</f>
        <v/>
      </c>
      <c r="H605" t="str">
        <f>IF($G605="","",IF(Sync!$W601="","",Sync!$W601))</f>
        <v/>
      </c>
      <c r="I605" t="str">
        <f>IF(OR($G605="",Sync!$Y601=""),"",Sync!$Y601)</f>
        <v/>
      </c>
      <c r="J605" t="str">
        <f>IF(OR($G605="",Sync!$Z601=""),"",Sync!$Z601)</f>
        <v/>
      </c>
      <c r="K605">
        <f>IF($G605="",0,IF(Sync!$AA601="",0,Sync!$AA601))</f>
        <v>0</v>
      </c>
      <c r="L605">
        <f>IF($G605="",0,IF(Sync!$AB601="",0,Sync!$AB601))</f>
        <v>0</v>
      </c>
      <c r="M605" t="str">
        <f t="shared" si="59"/>
        <v/>
      </c>
      <c r="N605">
        <f>IF($G605="",0,IF($H605="مرجوعی فروش",-1,1)*IF(Sync!$AC601="",0,Sync!$AC601))</f>
        <v>0</v>
      </c>
      <c r="O605" t="str">
        <f>IF(OR($G605="",Sync!$V601=""),"",Sync!$V601)</f>
        <v/>
      </c>
      <c r="P605" t="str">
        <f>IF(OR($G605="",Sync!$AD601=""),"",Sync!$AD601)</f>
        <v/>
      </c>
      <c r="Q605" t="str">
        <f>IF($G605="","",IF(Sync!$U601="","0000",IF(AND(ISNUMBER(Sync!$U601),Sync!$U601&gt;=0,Sync!$U601&lt;1),RIGHT("00"&amp;HOUR(Sync!$U601),2)&amp;RIGHT("00"&amp;MINUTE(Sync!$U601),2),IFERROR(RIGHT("00"&amp;VALUE(LEFT(Sync!$U601,FIND(":",Sync!$U601)-1)),2)&amp;RIGHT("00"&amp;VALUE(MID(Sync!$U601,FIND(":",Sync!$U601)+1,2)),2),"0000"))))</f>
        <v/>
      </c>
    </row>
    <row r="606" spans="1:17" x14ac:dyDescent="0.2">
      <c r="A606" t="str">
        <f>IF(Sync!$T602="","",Sync!$T602)</f>
        <v/>
      </c>
      <c r="B606" t="str">
        <f t="shared" si="54"/>
        <v/>
      </c>
      <c r="C606" t="str">
        <f t="shared" si="55"/>
        <v/>
      </c>
      <c r="D606" t="str">
        <f t="shared" si="56"/>
        <v/>
      </c>
      <c r="E606" t="str">
        <f t="shared" si="57"/>
        <v/>
      </c>
      <c r="F606" t="str">
        <f t="shared" si="58"/>
        <v/>
      </c>
      <c r="G606" t="str">
        <f>IF(OR($E606="",$E606="نامعتبر",Sync!$X602=""),"",IF(AND(LEFT(UPPER(TRIM(Sync!$X602)),2)="SL",IFERROR(VLOOKUP(Sync!$W602,OpTbl,3,0),"")="فروش"),UPPER(TRIM(Sync!$X602)),""))</f>
        <v/>
      </c>
      <c r="H606" t="str">
        <f>IF($G606="","",IF(Sync!$W602="","",Sync!$W602))</f>
        <v/>
      </c>
      <c r="I606" t="str">
        <f>IF(OR($G606="",Sync!$Y602=""),"",Sync!$Y602)</f>
        <v/>
      </c>
      <c r="J606" t="str">
        <f>IF(OR($G606="",Sync!$Z602=""),"",Sync!$Z602)</f>
        <v/>
      </c>
      <c r="K606">
        <f>IF($G606="",0,IF(Sync!$AA602="",0,Sync!$AA602))</f>
        <v>0</v>
      </c>
      <c r="L606">
        <f>IF($G606="",0,IF(Sync!$AB602="",0,Sync!$AB602))</f>
        <v>0</v>
      </c>
      <c r="M606" t="str">
        <f t="shared" si="59"/>
        <v/>
      </c>
      <c r="N606">
        <f>IF($G606="",0,IF($H606="مرجوعی فروش",-1,1)*IF(Sync!$AC602="",0,Sync!$AC602))</f>
        <v>0</v>
      </c>
      <c r="O606" t="str">
        <f>IF(OR($G606="",Sync!$V602=""),"",Sync!$V602)</f>
        <v/>
      </c>
      <c r="P606" t="str">
        <f>IF(OR($G606="",Sync!$AD602=""),"",Sync!$AD602)</f>
        <v/>
      </c>
      <c r="Q606" t="str">
        <f>IF($G606="","",IF(Sync!$U602="","0000",IF(AND(ISNUMBER(Sync!$U602),Sync!$U602&gt;=0,Sync!$U602&lt;1),RIGHT("00"&amp;HOUR(Sync!$U602),2)&amp;RIGHT("00"&amp;MINUTE(Sync!$U602),2),IFERROR(RIGHT("00"&amp;VALUE(LEFT(Sync!$U602,FIND(":",Sync!$U602)-1)),2)&amp;RIGHT("00"&amp;VALUE(MID(Sync!$U602,FIND(":",Sync!$U602)+1,2)),2),"0000"))))</f>
        <v/>
      </c>
    </row>
    <row r="607" spans="1:17" x14ac:dyDescent="0.2">
      <c r="A607" t="str">
        <f>IF(Sync!$T603="","",Sync!$T603)</f>
        <v/>
      </c>
      <c r="B607" t="str">
        <f t="shared" si="54"/>
        <v/>
      </c>
      <c r="C607" t="str">
        <f t="shared" si="55"/>
        <v/>
      </c>
      <c r="D607" t="str">
        <f t="shared" si="56"/>
        <v/>
      </c>
      <c r="E607" t="str">
        <f t="shared" si="57"/>
        <v/>
      </c>
      <c r="F607" t="str">
        <f t="shared" si="58"/>
        <v/>
      </c>
      <c r="G607" t="str">
        <f>IF(OR($E607="",$E607="نامعتبر",Sync!$X603=""),"",IF(AND(LEFT(UPPER(TRIM(Sync!$X603)),2)="SL",IFERROR(VLOOKUP(Sync!$W603,OpTbl,3,0),"")="فروش"),UPPER(TRIM(Sync!$X603)),""))</f>
        <v/>
      </c>
      <c r="H607" t="str">
        <f>IF($G607="","",IF(Sync!$W603="","",Sync!$W603))</f>
        <v/>
      </c>
      <c r="I607" t="str">
        <f>IF(OR($G607="",Sync!$Y603=""),"",Sync!$Y603)</f>
        <v/>
      </c>
      <c r="J607" t="str">
        <f>IF(OR($G607="",Sync!$Z603=""),"",Sync!$Z603)</f>
        <v/>
      </c>
      <c r="K607">
        <f>IF($G607="",0,IF(Sync!$AA603="",0,Sync!$AA603))</f>
        <v>0</v>
      </c>
      <c r="L607">
        <f>IF($G607="",0,IF(Sync!$AB603="",0,Sync!$AB603))</f>
        <v>0</v>
      </c>
      <c r="M607" t="str">
        <f t="shared" si="59"/>
        <v/>
      </c>
      <c r="N607">
        <f>IF($G607="",0,IF($H607="مرجوعی فروش",-1,1)*IF(Sync!$AC603="",0,Sync!$AC603))</f>
        <v>0</v>
      </c>
      <c r="O607" t="str">
        <f>IF(OR($G607="",Sync!$V603=""),"",Sync!$V603)</f>
        <v/>
      </c>
      <c r="P607" t="str">
        <f>IF(OR($G607="",Sync!$AD603=""),"",Sync!$AD603)</f>
        <v/>
      </c>
      <c r="Q607" t="str">
        <f>IF($G607="","",IF(Sync!$U603="","0000",IF(AND(ISNUMBER(Sync!$U603),Sync!$U603&gt;=0,Sync!$U603&lt;1),RIGHT("00"&amp;HOUR(Sync!$U603),2)&amp;RIGHT("00"&amp;MINUTE(Sync!$U603),2),IFERROR(RIGHT("00"&amp;VALUE(LEFT(Sync!$U603,FIND(":",Sync!$U603)-1)),2)&amp;RIGHT("00"&amp;VALUE(MID(Sync!$U603,FIND(":",Sync!$U603)+1,2)),2),"0000"))))</f>
        <v/>
      </c>
    </row>
    <row r="608" spans="1:17" x14ac:dyDescent="0.2">
      <c r="A608" t="str">
        <f>IF(Sync!$T604="","",Sync!$T604)</f>
        <v/>
      </c>
      <c r="B608" t="str">
        <f t="shared" si="54"/>
        <v/>
      </c>
      <c r="C608" t="str">
        <f t="shared" si="55"/>
        <v/>
      </c>
      <c r="D608" t="str">
        <f t="shared" si="56"/>
        <v/>
      </c>
      <c r="E608" t="str">
        <f t="shared" si="57"/>
        <v/>
      </c>
      <c r="F608" t="str">
        <f t="shared" si="58"/>
        <v/>
      </c>
      <c r="G608" t="str">
        <f>IF(OR($E608="",$E608="نامعتبر",Sync!$X604=""),"",IF(AND(LEFT(UPPER(TRIM(Sync!$X604)),2)="SL",IFERROR(VLOOKUP(Sync!$W604,OpTbl,3,0),"")="فروش"),UPPER(TRIM(Sync!$X604)),""))</f>
        <v/>
      </c>
      <c r="H608" t="str">
        <f>IF($G608="","",IF(Sync!$W604="","",Sync!$W604))</f>
        <v/>
      </c>
      <c r="I608" t="str">
        <f>IF(OR($G608="",Sync!$Y604=""),"",Sync!$Y604)</f>
        <v/>
      </c>
      <c r="J608" t="str">
        <f>IF(OR($G608="",Sync!$Z604=""),"",Sync!$Z604)</f>
        <v/>
      </c>
      <c r="K608">
        <f>IF($G608="",0,IF(Sync!$AA604="",0,Sync!$AA604))</f>
        <v>0</v>
      </c>
      <c r="L608">
        <f>IF($G608="",0,IF(Sync!$AB604="",0,Sync!$AB604))</f>
        <v>0</v>
      </c>
      <c r="M608" t="str">
        <f t="shared" si="59"/>
        <v/>
      </c>
      <c r="N608">
        <f>IF($G608="",0,IF($H608="مرجوعی فروش",-1,1)*IF(Sync!$AC604="",0,Sync!$AC604))</f>
        <v>0</v>
      </c>
      <c r="O608" t="str">
        <f>IF(OR($G608="",Sync!$V604=""),"",Sync!$V604)</f>
        <v/>
      </c>
      <c r="P608" t="str">
        <f>IF(OR($G608="",Sync!$AD604=""),"",Sync!$AD604)</f>
        <v/>
      </c>
      <c r="Q608" t="str">
        <f>IF($G608="","",IF(Sync!$U604="","0000",IF(AND(ISNUMBER(Sync!$U604),Sync!$U604&gt;=0,Sync!$U604&lt;1),RIGHT("00"&amp;HOUR(Sync!$U604),2)&amp;RIGHT("00"&amp;MINUTE(Sync!$U604),2),IFERROR(RIGHT("00"&amp;VALUE(LEFT(Sync!$U604,FIND(":",Sync!$U604)-1)),2)&amp;RIGHT("00"&amp;VALUE(MID(Sync!$U604,FIND(":",Sync!$U604)+1,2)),2),"0000"))))</f>
        <v/>
      </c>
    </row>
    <row r="609" spans="1:17" x14ac:dyDescent="0.2">
      <c r="A609" t="str">
        <f>IF(Sync!$T605="","",Sync!$T605)</f>
        <v/>
      </c>
      <c r="B609" t="str">
        <f t="shared" si="54"/>
        <v/>
      </c>
      <c r="C609" t="str">
        <f t="shared" si="55"/>
        <v/>
      </c>
      <c r="D609" t="str">
        <f t="shared" si="56"/>
        <v/>
      </c>
      <c r="E609" t="str">
        <f t="shared" si="57"/>
        <v/>
      </c>
      <c r="F609" t="str">
        <f t="shared" si="58"/>
        <v/>
      </c>
      <c r="G609" t="str">
        <f>IF(OR($E609="",$E609="نامعتبر",Sync!$X605=""),"",IF(AND(LEFT(UPPER(TRIM(Sync!$X605)),2)="SL",IFERROR(VLOOKUP(Sync!$W605,OpTbl,3,0),"")="فروش"),UPPER(TRIM(Sync!$X605)),""))</f>
        <v/>
      </c>
      <c r="H609" t="str">
        <f>IF($G609="","",IF(Sync!$W605="","",Sync!$W605))</f>
        <v/>
      </c>
      <c r="I609" t="str">
        <f>IF(OR($G609="",Sync!$Y605=""),"",Sync!$Y605)</f>
        <v/>
      </c>
      <c r="J609" t="str">
        <f>IF(OR($G609="",Sync!$Z605=""),"",Sync!$Z605)</f>
        <v/>
      </c>
      <c r="K609">
        <f>IF($G609="",0,IF(Sync!$AA605="",0,Sync!$AA605))</f>
        <v>0</v>
      </c>
      <c r="L609">
        <f>IF($G609="",0,IF(Sync!$AB605="",0,Sync!$AB605))</f>
        <v>0</v>
      </c>
      <c r="M609" t="str">
        <f t="shared" si="59"/>
        <v/>
      </c>
      <c r="N609">
        <f>IF($G609="",0,IF($H609="مرجوعی فروش",-1,1)*IF(Sync!$AC605="",0,Sync!$AC605))</f>
        <v>0</v>
      </c>
      <c r="O609" t="str">
        <f>IF(OR($G609="",Sync!$V605=""),"",Sync!$V605)</f>
        <v/>
      </c>
      <c r="P609" t="str">
        <f>IF(OR($G609="",Sync!$AD605=""),"",Sync!$AD605)</f>
        <v/>
      </c>
      <c r="Q609" t="str">
        <f>IF($G609="","",IF(Sync!$U605="","0000",IF(AND(ISNUMBER(Sync!$U605),Sync!$U605&gt;=0,Sync!$U605&lt;1),RIGHT("00"&amp;HOUR(Sync!$U605),2)&amp;RIGHT("00"&amp;MINUTE(Sync!$U605),2),IFERROR(RIGHT("00"&amp;VALUE(LEFT(Sync!$U605,FIND(":",Sync!$U605)-1)),2)&amp;RIGHT("00"&amp;VALUE(MID(Sync!$U605,FIND(":",Sync!$U605)+1,2)),2),"0000"))))</f>
        <v/>
      </c>
    </row>
    <row r="610" spans="1:17" x14ac:dyDescent="0.2">
      <c r="A610" t="str">
        <f>IF(Sync!$T606="","",Sync!$T606)</f>
        <v/>
      </c>
      <c r="B610" t="str">
        <f t="shared" si="54"/>
        <v/>
      </c>
      <c r="C610" t="str">
        <f t="shared" si="55"/>
        <v/>
      </c>
      <c r="D610" t="str">
        <f t="shared" si="56"/>
        <v/>
      </c>
      <c r="E610" t="str">
        <f t="shared" si="57"/>
        <v/>
      </c>
      <c r="F610" t="str">
        <f t="shared" si="58"/>
        <v/>
      </c>
      <c r="G610" t="str">
        <f>IF(OR($E610="",$E610="نامعتبر",Sync!$X606=""),"",IF(AND(LEFT(UPPER(TRIM(Sync!$X606)),2)="SL",IFERROR(VLOOKUP(Sync!$W606,OpTbl,3,0),"")="فروش"),UPPER(TRIM(Sync!$X606)),""))</f>
        <v/>
      </c>
      <c r="H610" t="str">
        <f>IF($G610="","",IF(Sync!$W606="","",Sync!$W606))</f>
        <v/>
      </c>
      <c r="I610" t="str">
        <f>IF(OR($G610="",Sync!$Y606=""),"",Sync!$Y606)</f>
        <v/>
      </c>
      <c r="J610" t="str">
        <f>IF(OR($G610="",Sync!$Z606=""),"",Sync!$Z606)</f>
        <v/>
      </c>
      <c r="K610">
        <f>IF($G610="",0,IF(Sync!$AA606="",0,Sync!$AA606))</f>
        <v>0</v>
      </c>
      <c r="L610">
        <f>IF($G610="",0,IF(Sync!$AB606="",0,Sync!$AB606))</f>
        <v>0</v>
      </c>
      <c r="M610" t="str">
        <f t="shared" si="59"/>
        <v/>
      </c>
      <c r="N610">
        <f>IF($G610="",0,IF($H610="مرجوعی فروش",-1,1)*IF(Sync!$AC606="",0,Sync!$AC606))</f>
        <v>0</v>
      </c>
      <c r="O610" t="str">
        <f>IF(OR($G610="",Sync!$V606=""),"",Sync!$V606)</f>
        <v/>
      </c>
      <c r="P610" t="str">
        <f>IF(OR($G610="",Sync!$AD606=""),"",Sync!$AD606)</f>
        <v/>
      </c>
      <c r="Q610" t="str">
        <f>IF($G610="","",IF(Sync!$U606="","0000",IF(AND(ISNUMBER(Sync!$U606),Sync!$U606&gt;=0,Sync!$U606&lt;1),RIGHT("00"&amp;HOUR(Sync!$U606),2)&amp;RIGHT("00"&amp;MINUTE(Sync!$U606),2),IFERROR(RIGHT("00"&amp;VALUE(LEFT(Sync!$U606,FIND(":",Sync!$U606)-1)),2)&amp;RIGHT("00"&amp;VALUE(MID(Sync!$U606,FIND(":",Sync!$U606)+1,2)),2),"0000"))))</f>
        <v/>
      </c>
    </row>
    <row r="611" spans="1:17" x14ac:dyDescent="0.2">
      <c r="A611" t="str">
        <f>IF(Sync!$T607="","",Sync!$T607)</f>
        <v/>
      </c>
      <c r="B611" t="str">
        <f t="shared" si="54"/>
        <v/>
      </c>
      <c r="C611" t="str">
        <f t="shared" si="55"/>
        <v/>
      </c>
      <c r="D611" t="str">
        <f t="shared" si="56"/>
        <v/>
      </c>
      <c r="E611" t="str">
        <f t="shared" si="57"/>
        <v/>
      </c>
      <c r="F611" t="str">
        <f t="shared" si="58"/>
        <v/>
      </c>
      <c r="G611" t="str">
        <f>IF(OR($E611="",$E611="نامعتبر",Sync!$X607=""),"",IF(AND(LEFT(UPPER(TRIM(Sync!$X607)),2)="SL",IFERROR(VLOOKUP(Sync!$W607,OpTbl,3,0),"")="فروش"),UPPER(TRIM(Sync!$X607)),""))</f>
        <v/>
      </c>
      <c r="H611" t="str">
        <f>IF($G611="","",IF(Sync!$W607="","",Sync!$W607))</f>
        <v/>
      </c>
      <c r="I611" t="str">
        <f>IF(OR($G611="",Sync!$Y607=""),"",Sync!$Y607)</f>
        <v/>
      </c>
      <c r="J611" t="str">
        <f>IF(OR($G611="",Sync!$Z607=""),"",Sync!$Z607)</f>
        <v/>
      </c>
      <c r="K611">
        <f>IF($G611="",0,IF(Sync!$AA607="",0,Sync!$AA607))</f>
        <v>0</v>
      </c>
      <c r="L611">
        <f>IF($G611="",0,IF(Sync!$AB607="",0,Sync!$AB607))</f>
        <v>0</v>
      </c>
      <c r="M611" t="str">
        <f t="shared" si="59"/>
        <v/>
      </c>
      <c r="N611">
        <f>IF($G611="",0,IF($H611="مرجوعی فروش",-1,1)*IF(Sync!$AC607="",0,Sync!$AC607))</f>
        <v>0</v>
      </c>
      <c r="O611" t="str">
        <f>IF(OR($G611="",Sync!$V607=""),"",Sync!$V607)</f>
        <v/>
      </c>
      <c r="P611" t="str">
        <f>IF(OR($G611="",Sync!$AD607=""),"",Sync!$AD607)</f>
        <v/>
      </c>
      <c r="Q611" t="str">
        <f>IF($G611="","",IF(Sync!$U607="","0000",IF(AND(ISNUMBER(Sync!$U607),Sync!$U607&gt;=0,Sync!$U607&lt;1),RIGHT("00"&amp;HOUR(Sync!$U607),2)&amp;RIGHT("00"&amp;MINUTE(Sync!$U607),2),IFERROR(RIGHT("00"&amp;VALUE(LEFT(Sync!$U607,FIND(":",Sync!$U607)-1)),2)&amp;RIGHT("00"&amp;VALUE(MID(Sync!$U607,FIND(":",Sync!$U607)+1,2)),2),"0000"))))</f>
        <v/>
      </c>
    </row>
    <row r="612" spans="1:17" x14ac:dyDescent="0.2">
      <c r="A612" t="str">
        <f>IF(Sync!$T608="","",Sync!$T608)</f>
        <v/>
      </c>
      <c r="B612" t="str">
        <f t="shared" si="54"/>
        <v/>
      </c>
      <c r="C612" t="str">
        <f t="shared" si="55"/>
        <v/>
      </c>
      <c r="D612" t="str">
        <f t="shared" si="56"/>
        <v/>
      </c>
      <c r="E612" t="str">
        <f t="shared" si="57"/>
        <v/>
      </c>
      <c r="F612" t="str">
        <f t="shared" si="58"/>
        <v/>
      </c>
      <c r="G612" t="str">
        <f>IF(OR($E612="",$E612="نامعتبر",Sync!$X608=""),"",IF(AND(LEFT(UPPER(TRIM(Sync!$X608)),2)="SL",IFERROR(VLOOKUP(Sync!$W608,OpTbl,3,0),"")="فروش"),UPPER(TRIM(Sync!$X608)),""))</f>
        <v/>
      </c>
      <c r="H612" t="str">
        <f>IF($G612="","",IF(Sync!$W608="","",Sync!$W608))</f>
        <v/>
      </c>
      <c r="I612" t="str">
        <f>IF(OR($G612="",Sync!$Y608=""),"",Sync!$Y608)</f>
        <v/>
      </c>
      <c r="J612" t="str">
        <f>IF(OR($G612="",Sync!$Z608=""),"",Sync!$Z608)</f>
        <v/>
      </c>
      <c r="K612">
        <f>IF($G612="",0,IF(Sync!$AA608="",0,Sync!$AA608))</f>
        <v>0</v>
      </c>
      <c r="L612">
        <f>IF($G612="",0,IF(Sync!$AB608="",0,Sync!$AB608))</f>
        <v>0</v>
      </c>
      <c r="M612" t="str">
        <f t="shared" si="59"/>
        <v/>
      </c>
      <c r="N612">
        <f>IF($G612="",0,IF($H612="مرجوعی فروش",-1,1)*IF(Sync!$AC608="",0,Sync!$AC608))</f>
        <v>0</v>
      </c>
      <c r="O612" t="str">
        <f>IF(OR($G612="",Sync!$V608=""),"",Sync!$V608)</f>
        <v/>
      </c>
      <c r="P612" t="str">
        <f>IF(OR($G612="",Sync!$AD608=""),"",Sync!$AD608)</f>
        <v/>
      </c>
      <c r="Q612" t="str">
        <f>IF($G612="","",IF(Sync!$U608="","0000",IF(AND(ISNUMBER(Sync!$U608),Sync!$U608&gt;=0,Sync!$U608&lt;1),RIGHT("00"&amp;HOUR(Sync!$U608),2)&amp;RIGHT("00"&amp;MINUTE(Sync!$U608),2),IFERROR(RIGHT("00"&amp;VALUE(LEFT(Sync!$U608,FIND(":",Sync!$U608)-1)),2)&amp;RIGHT("00"&amp;VALUE(MID(Sync!$U608,FIND(":",Sync!$U608)+1,2)),2),"0000"))))</f>
        <v/>
      </c>
    </row>
    <row r="613" spans="1:17" x14ac:dyDescent="0.2">
      <c r="A613" t="str">
        <f>IF(Sync!$T609="","",Sync!$T609)</f>
        <v/>
      </c>
      <c r="B613" t="str">
        <f t="shared" si="54"/>
        <v/>
      </c>
      <c r="C613" t="str">
        <f t="shared" si="55"/>
        <v/>
      </c>
      <c r="D613" t="str">
        <f t="shared" si="56"/>
        <v/>
      </c>
      <c r="E613" t="str">
        <f t="shared" si="57"/>
        <v/>
      </c>
      <c r="F613" t="str">
        <f t="shared" si="58"/>
        <v/>
      </c>
      <c r="G613" t="str">
        <f>IF(OR($E613="",$E613="نامعتبر",Sync!$X609=""),"",IF(AND(LEFT(UPPER(TRIM(Sync!$X609)),2)="SL",IFERROR(VLOOKUP(Sync!$W609,OpTbl,3,0),"")="فروش"),UPPER(TRIM(Sync!$X609)),""))</f>
        <v/>
      </c>
      <c r="H613" t="str">
        <f>IF($G613="","",IF(Sync!$W609="","",Sync!$W609))</f>
        <v/>
      </c>
      <c r="I613" t="str">
        <f>IF(OR($G613="",Sync!$Y609=""),"",Sync!$Y609)</f>
        <v/>
      </c>
      <c r="J613" t="str">
        <f>IF(OR($G613="",Sync!$Z609=""),"",Sync!$Z609)</f>
        <v/>
      </c>
      <c r="K613">
        <f>IF($G613="",0,IF(Sync!$AA609="",0,Sync!$AA609))</f>
        <v>0</v>
      </c>
      <c r="L613">
        <f>IF($G613="",0,IF(Sync!$AB609="",0,Sync!$AB609))</f>
        <v>0</v>
      </c>
      <c r="M613" t="str">
        <f t="shared" si="59"/>
        <v/>
      </c>
      <c r="N613">
        <f>IF($G613="",0,IF($H613="مرجوعی فروش",-1,1)*IF(Sync!$AC609="",0,Sync!$AC609))</f>
        <v>0</v>
      </c>
      <c r="O613" t="str">
        <f>IF(OR($G613="",Sync!$V609=""),"",Sync!$V609)</f>
        <v/>
      </c>
      <c r="P613" t="str">
        <f>IF(OR($G613="",Sync!$AD609=""),"",Sync!$AD609)</f>
        <v/>
      </c>
      <c r="Q613" t="str">
        <f>IF($G613="","",IF(Sync!$U609="","0000",IF(AND(ISNUMBER(Sync!$U609),Sync!$U609&gt;=0,Sync!$U609&lt;1),RIGHT("00"&amp;HOUR(Sync!$U609),2)&amp;RIGHT("00"&amp;MINUTE(Sync!$U609),2),IFERROR(RIGHT("00"&amp;VALUE(LEFT(Sync!$U609,FIND(":",Sync!$U609)-1)),2)&amp;RIGHT("00"&amp;VALUE(MID(Sync!$U609,FIND(":",Sync!$U609)+1,2)),2),"0000"))))</f>
        <v/>
      </c>
    </row>
    <row r="614" spans="1:17" x14ac:dyDescent="0.2">
      <c r="A614" t="str">
        <f>IF(Sync!$T610="","",Sync!$T610)</f>
        <v/>
      </c>
      <c r="B614" t="str">
        <f t="shared" si="54"/>
        <v/>
      </c>
      <c r="C614" t="str">
        <f t="shared" si="55"/>
        <v/>
      </c>
      <c r="D614" t="str">
        <f t="shared" si="56"/>
        <v/>
      </c>
      <c r="E614" t="str">
        <f t="shared" si="57"/>
        <v/>
      </c>
      <c r="F614" t="str">
        <f t="shared" si="58"/>
        <v/>
      </c>
      <c r="G614" t="str">
        <f>IF(OR($E614="",$E614="نامعتبر",Sync!$X610=""),"",IF(AND(LEFT(UPPER(TRIM(Sync!$X610)),2)="SL",IFERROR(VLOOKUP(Sync!$W610,OpTbl,3,0),"")="فروش"),UPPER(TRIM(Sync!$X610)),""))</f>
        <v/>
      </c>
      <c r="H614" t="str">
        <f>IF($G614="","",IF(Sync!$W610="","",Sync!$W610))</f>
        <v/>
      </c>
      <c r="I614" t="str">
        <f>IF(OR($G614="",Sync!$Y610=""),"",Sync!$Y610)</f>
        <v/>
      </c>
      <c r="J614" t="str">
        <f>IF(OR($G614="",Sync!$Z610=""),"",Sync!$Z610)</f>
        <v/>
      </c>
      <c r="K614">
        <f>IF($G614="",0,IF(Sync!$AA610="",0,Sync!$AA610))</f>
        <v>0</v>
      </c>
      <c r="L614">
        <f>IF($G614="",0,IF(Sync!$AB610="",0,Sync!$AB610))</f>
        <v>0</v>
      </c>
      <c r="M614" t="str">
        <f t="shared" si="59"/>
        <v/>
      </c>
      <c r="N614">
        <f>IF($G614="",0,IF($H614="مرجوعی فروش",-1,1)*IF(Sync!$AC610="",0,Sync!$AC610))</f>
        <v>0</v>
      </c>
      <c r="O614" t="str">
        <f>IF(OR($G614="",Sync!$V610=""),"",Sync!$V610)</f>
        <v/>
      </c>
      <c r="P614" t="str">
        <f>IF(OR($G614="",Sync!$AD610=""),"",Sync!$AD610)</f>
        <v/>
      </c>
      <c r="Q614" t="str">
        <f>IF($G614="","",IF(Sync!$U610="","0000",IF(AND(ISNUMBER(Sync!$U610),Sync!$U610&gt;=0,Sync!$U610&lt;1),RIGHT("00"&amp;HOUR(Sync!$U610),2)&amp;RIGHT("00"&amp;MINUTE(Sync!$U610),2),IFERROR(RIGHT("00"&amp;VALUE(LEFT(Sync!$U610,FIND(":",Sync!$U610)-1)),2)&amp;RIGHT("00"&amp;VALUE(MID(Sync!$U610,FIND(":",Sync!$U610)+1,2)),2),"0000"))))</f>
        <v/>
      </c>
    </row>
    <row r="615" spans="1:17" x14ac:dyDescent="0.2">
      <c r="A615" t="str">
        <f>IF(Sync!$T611="","",Sync!$T611)</f>
        <v/>
      </c>
      <c r="B615" t="str">
        <f t="shared" si="54"/>
        <v/>
      </c>
      <c r="C615" t="str">
        <f t="shared" si="55"/>
        <v/>
      </c>
      <c r="D615" t="str">
        <f t="shared" si="56"/>
        <v/>
      </c>
      <c r="E615" t="str">
        <f t="shared" si="57"/>
        <v/>
      </c>
      <c r="F615" t="str">
        <f t="shared" si="58"/>
        <v/>
      </c>
      <c r="G615" t="str">
        <f>IF(OR($E615="",$E615="نامعتبر",Sync!$X611=""),"",IF(AND(LEFT(UPPER(TRIM(Sync!$X611)),2)="SL",IFERROR(VLOOKUP(Sync!$W611,OpTbl,3,0),"")="فروش"),UPPER(TRIM(Sync!$X611)),""))</f>
        <v/>
      </c>
      <c r="H615" t="str">
        <f>IF($G615="","",IF(Sync!$W611="","",Sync!$W611))</f>
        <v/>
      </c>
      <c r="I615" t="str">
        <f>IF(OR($G615="",Sync!$Y611=""),"",Sync!$Y611)</f>
        <v/>
      </c>
      <c r="J615" t="str">
        <f>IF(OR($G615="",Sync!$Z611=""),"",Sync!$Z611)</f>
        <v/>
      </c>
      <c r="K615">
        <f>IF($G615="",0,IF(Sync!$AA611="",0,Sync!$AA611))</f>
        <v>0</v>
      </c>
      <c r="L615">
        <f>IF($G615="",0,IF(Sync!$AB611="",0,Sync!$AB611))</f>
        <v>0</v>
      </c>
      <c r="M615" t="str">
        <f t="shared" si="59"/>
        <v/>
      </c>
      <c r="N615">
        <f>IF($G615="",0,IF($H615="مرجوعی فروش",-1,1)*IF(Sync!$AC611="",0,Sync!$AC611))</f>
        <v>0</v>
      </c>
      <c r="O615" t="str">
        <f>IF(OR($G615="",Sync!$V611=""),"",Sync!$V611)</f>
        <v/>
      </c>
      <c r="P615" t="str">
        <f>IF(OR($G615="",Sync!$AD611=""),"",Sync!$AD611)</f>
        <v/>
      </c>
      <c r="Q615" t="str">
        <f>IF($G615="","",IF(Sync!$U611="","0000",IF(AND(ISNUMBER(Sync!$U611),Sync!$U611&gt;=0,Sync!$U611&lt;1),RIGHT("00"&amp;HOUR(Sync!$U611),2)&amp;RIGHT("00"&amp;MINUTE(Sync!$U611),2),IFERROR(RIGHT("00"&amp;VALUE(LEFT(Sync!$U611,FIND(":",Sync!$U611)-1)),2)&amp;RIGHT("00"&amp;VALUE(MID(Sync!$U611,FIND(":",Sync!$U611)+1,2)),2),"0000"))))</f>
        <v/>
      </c>
    </row>
    <row r="616" spans="1:17" x14ac:dyDescent="0.2">
      <c r="A616" t="str">
        <f>IF(Sync!$T612="","",Sync!$T612)</f>
        <v/>
      </c>
      <c r="B616" t="str">
        <f t="shared" si="54"/>
        <v/>
      </c>
      <c r="C616" t="str">
        <f t="shared" si="55"/>
        <v/>
      </c>
      <c r="D616" t="str">
        <f t="shared" si="56"/>
        <v/>
      </c>
      <c r="E616" t="str">
        <f t="shared" si="57"/>
        <v/>
      </c>
      <c r="F616" t="str">
        <f t="shared" si="58"/>
        <v/>
      </c>
      <c r="G616" t="str">
        <f>IF(OR($E616="",$E616="نامعتبر",Sync!$X612=""),"",IF(AND(LEFT(UPPER(TRIM(Sync!$X612)),2)="SL",IFERROR(VLOOKUP(Sync!$W612,OpTbl,3,0),"")="فروش"),UPPER(TRIM(Sync!$X612)),""))</f>
        <v/>
      </c>
      <c r="H616" t="str">
        <f>IF($G616="","",IF(Sync!$W612="","",Sync!$W612))</f>
        <v/>
      </c>
      <c r="I616" t="str">
        <f>IF(OR($G616="",Sync!$Y612=""),"",Sync!$Y612)</f>
        <v/>
      </c>
      <c r="J616" t="str">
        <f>IF(OR($G616="",Sync!$Z612=""),"",Sync!$Z612)</f>
        <v/>
      </c>
      <c r="K616">
        <f>IF($G616="",0,IF(Sync!$AA612="",0,Sync!$AA612))</f>
        <v>0</v>
      </c>
      <c r="L616">
        <f>IF($G616="",0,IF(Sync!$AB612="",0,Sync!$AB612))</f>
        <v>0</v>
      </c>
      <c r="M616" t="str">
        <f t="shared" si="59"/>
        <v/>
      </c>
      <c r="N616">
        <f>IF($G616="",0,IF($H616="مرجوعی فروش",-1,1)*IF(Sync!$AC612="",0,Sync!$AC612))</f>
        <v>0</v>
      </c>
      <c r="O616" t="str">
        <f>IF(OR($G616="",Sync!$V612=""),"",Sync!$V612)</f>
        <v/>
      </c>
      <c r="P616" t="str">
        <f>IF(OR($G616="",Sync!$AD612=""),"",Sync!$AD612)</f>
        <v/>
      </c>
      <c r="Q616" t="str">
        <f>IF($G616="","",IF(Sync!$U612="","0000",IF(AND(ISNUMBER(Sync!$U612),Sync!$U612&gt;=0,Sync!$U612&lt;1),RIGHT("00"&amp;HOUR(Sync!$U612),2)&amp;RIGHT("00"&amp;MINUTE(Sync!$U612),2),IFERROR(RIGHT("00"&amp;VALUE(LEFT(Sync!$U612,FIND(":",Sync!$U612)-1)),2)&amp;RIGHT("00"&amp;VALUE(MID(Sync!$U612,FIND(":",Sync!$U612)+1,2)),2),"0000"))))</f>
        <v/>
      </c>
    </row>
    <row r="617" spans="1:17" x14ac:dyDescent="0.2">
      <c r="A617" t="str">
        <f>IF(Sync!$T613="","",Sync!$T613)</f>
        <v/>
      </c>
      <c r="B617" t="str">
        <f t="shared" si="54"/>
        <v/>
      </c>
      <c r="C617" t="str">
        <f t="shared" si="55"/>
        <v/>
      </c>
      <c r="D617" t="str">
        <f t="shared" si="56"/>
        <v/>
      </c>
      <c r="E617" t="str">
        <f t="shared" si="57"/>
        <v/>
      </c>
      <c r="F617" t="str">
        <f t="shared" si="58"/>
        <v/>
      </c>
      <c r="G617" t="str">
        <f>IF(OR($E617="",$E617="نامعتبر",Sync!$X613=""),"",IF(AND(LEFT(UPPER(TRIM(Sync!$X613)),2)="SL",IFERROR(VLOOKUP(Sync!$W613,OpTbl,3,0),"")="فروش"),UPPER(TRIM(Sync!$X613)),""))</f>
        <v/>
      </c>
      <c r="H617" t="str">
        <f>IF($G617="","",IF(Sync!$W613="","",Sync!$W613))</f>
        <v/>
      </c>
      <c r="I617" t="str">
        <f>IF(OR($G617="",Sync!$Y613=""),"",Sync!$Y613)</f>
        <v/>
      </c>
      <c r="J617" t="str">
        <f>IF(OR($G617="",Sync!$Z613=""),"",Sync!$Z613)</f>
        <v/>
      </c>
      <c r="K617">
        <f>IF($G617="",0,IF(Sync!$AA613="",0,Sync!$AA613))</f>
        <v>0</v>
      </c>
      <c r="L617">
        <f>IF($G617="",0,IF(Sync!$AB613="",0,Sync!$AB613))</f>
        <v>0</v>
      </c>
      <c r="M617" t="str">
        <f t="shared" si="59"/>
        <v/>
      </c>
      <c r="N617">
        <f>IF($G617="",0,IF($H617="مرجوعی فروش",-1,1)*IF(Sync!$AC613="",0,Sync!$AC613))</f>
        <v>0</v>
      </c>
      <c r="O617" t="str">
        <f>IF(OR($G617="",Sync!$V613=""),"",Sync!$V613)</f>
        <v/>
      </c>
      <c r="P617" t="str">
        <f>IF(OR($G617="",Sync!$AD613=""),"",Sync!$AD613)</f>
        <v/>
      </c>
      <c r="Q617" t="str">
        <f>IF($G617="","",IF(Sync!$U613="","0000",IF(AND(ISNUMBER(Sync!$U613),Sync!$U613&gt;=0,Sync!$U613&lt;1),RIGHT("00"&amp;HOUR(Sync!$U613),2)&amp;RIGHT("00"&amp;MINUTE(Sync!$U613),2),IFERROR(RIGHT("00"&amp;VALUE(LEFT(Sync!$U613,FIND(":",Sync!$U613)-1)),2)&amp;RIGHT("00"&amp;VALUE(MID(Sync!$U613,FIND(":",Sync!$U613)+1,2)),2),"0000"))))</f>
        <v/>
      </c>
    </row>
    <row r="618" spans="1:17" x14ac:dyDescent="0.2">
      <c r="A618" t="str">
        <f>IF(Sync!$T614="","",Sync!$T614)</f>
        <v/>
      </c>
      <c r="B618" t="str">
        <f t="shared" si="54"/>
        <v/>
      </c>
      <c r="C618" t="str">
        <f t="shared" si="55"/>
        <v/>
      </c>
      <c r="D618" t="str">
        <f t="shared" si="56"/>
        <v/>
      </c>
      <c r="E618" t="str">
        <f t="shared" si="57"/>
        <v/>
      </c>
      <c r="F618" t="str">
        <f t="shared" si="58"/>
        <v/>
      </c>
      <c r="G618" t="str">
        <f>IF(OR($E618="",$E618="نامعتبر",Sync!$X614=""),"",IF(AND(LEFT(UPPER(TRIM(Sync!$X614)),2)="SL",IFERROR(VLOOKUP(Sync!$W614,OpTbl,3,0),"")="فروش"),UPPER(TRIM(Sync!$X614)),""))</f>
        <v/>
      </c>
      <c r="H618" t="str">
        <f>IF($G618="","",IF(Sync!$W614="","",Sync!$W614))</f>
        <v/>
      </c>
      <c r="I618" t="str">
        <f>IF(OR($G618="",Sync!$Y614=""),"",Sync!$Y614)</f>
        <v/>
      </c>
      <c r="J618" t="str">
        <f>IF(OR($G618="",Sync!$Z614=""),"",Sync!$Z614)</f>
        <v/>
      </c>
      <c r="K618">
        <f>IF($G618="",0,IF(Sync!$AA614="",0,Sync!$AA614))</f>
        <v>0</v>
      </c>
      <c r="L618">
        <f>IF($G618="",0,IF(Sync!$AB614="",0,Sync!$AB614))</f>
        <v>0</v>
      </c>
      <c r="M618" t="str">
        <f t="shared" si="59"/>
        <v/>
      </c>
      <c r="N618">
        <f>IF($G618="",0,IF($H618="مرجوعی فروش",-1,1)*IF(Sync!$AC614="",0,Sync!$AC614))</f>
        <v>0</v>
      </c>
      <c r="O618" t="str">
        <f>IF(OR($G618="",Sync!$V614=""),"",Sync!$V614)</f>
        <v/>
      </c>
      <c r="P618" t="str">
        <f>IF(OR($G618="",Sync!$AD614=""),"",Sync!$AD614)</f>
        <v/>
      </c>
      <c r="Q618" t="str">
        <f>IF($G618="","",IF(Sync!$U614="","0000",IF(AND(ISNUMBER(Sync!$U614),Sync!$U614&gt;=0,Sync!$U614&lt;1),RIGHT("00"&amp;HOUR(Sync!$U614),2)&amp;RIGHT("00"&amp;MINUTE(Sync!$U614),2),IFERROR(RIGHT("00"&amp;VALUE(LEFT(Sync!$U614,FIND(":",Sync!$U614)-1)),2)&amp;RIGHT("00"&amp;VALUE(MID(Sync!$U614,FIND(":",Sync!$U614)+1,2)),2),"0000"))))</f>
        <v/>
      </c>
    </row>
    <row r="619" spans="1:17" x14ac:dyDescent="0.2">
      <c r="A619" t="str">
        <f>IF(Sync!$T615="","",Sync!$T615)</f>
        <v/>
      </c>
      <c r="B619" t="str">
        <f t="shared" si="54"/>
        <v/>
      </c>
      <c r="C619" t="str">
        <f t="shared" si="55"/>
        <v/>
      </c>
      <c r="D619" t="str">
        <f t="shared" si="56"/>
        <v/>
      </c>
      <c r="E619" t="str">
        <f t="shared" si="57"/>
        <v/>
      </c>
      <c r="F619" t="str">
        <f t="shared" si="58"/>
        <v/>
      </c>
      <c r="G619" t="str">
        <f>IF(OR($E619="",$E619="نامعتبر",Sync!$X615=""),"",IF(AND(LEFT(UPPER(TRIM(Sync!$X615)),2)="SL",IFERROR(VLOOKUP(Sync!$W615,OpTbl,3,0),"")="فروش"),UPPER(TRIM(Sync!$X615)),""))</f>
        <v/>
      </c>
      <c r="H619" t="str">
        <f>IF($G619="","",IF(Sync!$W615="","",Sync!$W615))</f>
        <v/>
      </c>
      <c r="I619" t="str">
        <f>IF(OR($G619="",Sync!$Y615=""),"",Sync!$Y615)</f>
        <v/>
      </c>
      <c r="J619" t="str">
        <f>IF(OR($G619="",Sync!$Z615=""),"",Sync!$Z615)</f>
        <v/>
      </c>
      <c r="K619">
        <f>IF($G619="",0,IF(Sync!$AA615="",0,Sync!$AA615))</f>
        <v>0</v>
      </c>
      <c r="L619">
        <f>IF($G619="",0,IF(Sync!$AB615="",0,Sync!$AB615))</f>
        <v>0</v>
      </c>
      <c r="M619" t="str">
        <f t="shared" si="59"/>
        <v/>
      </c>
      <c r="N619">
        <f>IF($G619="",0,IF($H619="مرجوعی فروش",-1,1)*IF(Sync!$AC615="",0,Sync!$AC615))</f>
        <v>0</v>
      </c>
      <c r="O619" t="str">
        <f>IF(OR($G619="",Sync!$V615=""),"",Sync!$V615)</f>
        <v/>
      </c>
      <c r="P619" t="str">
        <f>IF(OR($G619="",Sync!$AD615=""),"",Sync!$AD615)</f>
        <v/>
      </c>
      <c r="Q619" t="str">
        <f>IF($G619="","",IF(Sync!$U615="","0000",IF(AND(ISNUMBER(Sync!$U615),Sync!$U615&gt;=0,Sync!$U615&lt;1),RIGHT("00"&amp;HOUR(Sync!$U615),2)&amp;RIGHT("00"&amp;MINUTE(Sync!$U615),2),IFERROR(RIGHT("00"&amp;VALUE(LEFT(Sync!$U615,FIND(":",Sync!$U615)-1)),2)&amp;RIGHT("00"&amp;VALUE(MID(Sync!$U615,FIND(":",Sync!$U615)+1,2)),2),"0000"))))</f>
        <v/>
      </c>
    </row>
    <row r="620" spans="1:17" x14ac:dyDescent="0.2">
      <c r="A620" t="str">
        <f>IF(Sync!$T616="","",Sync!$T616)</f>
        <v/>
      </c>
      <c r="B620" t="str">
        <f t="shared" si="54"/>
        <v/>
      </c>
      <c r="C620" t="str">
        <f t="shared" si="55"/>
        <v/>
      </c>
      <c r="D620" t="str">
        <f t="shared" si="56"/>
        <v/>
      </c>
      <c r="E620" t="str">
        <f t="shared" si="57"/>
        <v/>
      </c>
      <c r="F620" t="str">
        <f t="shared" si="58"/>
        <v/>
      </c>
      <c r="G620" t="str">
        <f>IF(OR($E620="",$E620="نامعتبر",Sync!$X616=""),"",IF(AND(LEFT(UPPER(TRIM(Sync!$X616)),2)="SL",IFERROR(VLOOKUP(Sync!$W616,OpTbl,3,0),"")="فروش"),UPPER(TRIM(Sync!$X616)),""))</f>
        <v/>
      </c>
      <c r="H620" t="str">
        <f>IF($G620="","",IF(Sync!$W616="","",Sync!$W616))</f>
        <v/>
      </c>
      <c r="I620" t="str">
        <f>IF(OR($G620="",Sync!$Y616=""),"",Sync!$Y616)</f>
        <v/>
      </c>
      <c r="J620" t="str">
        <f>IF(OR($G620="",Sync!$Z616=""),"",Sync!$Z616)</f>
        <v/>
      </c>
      <c r="K620">
        <f>IF($G620="",0,IF(Sync!$AA616="",0,Sync!$AA616))</f>
        <v>0</v>
      </c>
      <c r="L620">
        <f>IF($G620="",0,IF(Sync!$AB616="",0,Sync!$AB616))</f>
        <v>0</v>
      </c>
      <c r="M620" t="str">
        <f t="shared" si="59"/>
        <v/>
      </c>
      <c r="N620">
        <f>IF($G620="",0,IF($H620="مرجوعی فروش",-1,1)*IF(Sync!$AC616="",0,Sync!$AC616))</f>
        <v>0</v>
      </c>
      <c r="O620" t="str">
        <f>IF(OR($G620="",Sync!$V616=""),"",Sync!$V616)</f>
        <v/>
      </c>
      <c r="P620" t="str">
        <f>IF(OR($G620="",Sync!$AD616=""),"",Sync!$AD616)</f>
        <v/>
      </c>
      <c r="Q620" t="str">
        <f>IF($G620="","",IF(Sync!$U616="","0000",IF(AND(ISNUMBER(Sync!$U616),Sync!$U616&gt;=0,Sync!$U616&lt;1),RIGHT("00"&amp;HOUR(Sync!$U616),2)&amp;RIGHT("00"&amp;MINUTE(Sync!$U616),2),IFERROR(RIGHT("00"&amp;VALUE(LEFT(Sync!$U616,FIND(":",Sync!$U616)-1)),2)&amp;RIGHT("00"&amp;VALUE(MID(Sync!$U616,FIND(":",Sync!$U616)+1,2)),2),"0000"))))</f>
        <v/>
      </c>
    </row>
    <row r="621" spans="1:17" x14ac:dyDescent="0.2">
      <c r="A621" t="str">
        <f>IF(Sync!$T617="","",Sync!$T617)</f>
        <v/>
      </c>
      <c r="B621" t="str">
        <f t="shared" si="54"/>
        <v/>
      </c>
      <c r="C621" t="str">
        <f t="shared" si="55"/>
        <v/>
      </c>
      <c r="D621" t="str">
        <f t="shared" si="56"/>
        <v/>
      </c>
      <c r="E621" t="str">
        <f t="shared" si="57"/>
        <v/>
      </c>
      <c r="F621" t="str">
        <f t="shared" si="58"/>
        <v/>
      </c>
      <c r="G621" t="str">
        <f>IF(OR($E621="",$E621="نامعتبر",Sync!$X617=""),"",IF(AND(LEFT(UPPER(TRIM(Sync!$X617)),2)="SL",IFERROR(VLOOKUP(Sync!$W617,OpTbl,3,0),"")="فروش"),UPPER(TRIM(Sync!$X617)),""))</f>
        <v/>
      </c>
      <c r="H621" t="str">
        <f>IF($G621="","",IF(Sync!$W617="","",Sync!$W617))</f>
        <v/>
      </c>
      <c r="I621" t="str">
        <f>IF(OR($G621="",Sync!$Y617=""),"",Sync!$Y617)</f>
        <v/>
      </c>
      <c r="J621" t="str">
        <f>IF(OR($G621="",Sync!$Z617=""),"",Sync!$Z617)</f>
        <v/>
      </c>
      <c r="K621">
        <f>IF($G621="",0,IF(Sync!$AA617="",0,Sync!$AA617))</f>
        <v>0</v>
      </c>
      <c r="L621">
        <f>IF($G621="",0,IF(Sync!$AB617="",0,Sync!$AB617))</f>
        <v>0</v>
      </c>
      <c r="M621" t="str">
        <f t="shared" si="59"/>
        <v/>
      </c>
      <c r="N621">
        <f>IF($G621="",0,IF($H621="مرجوعی فروش",-1,1)*IF(Sync!$AC617="",0,Sync!$AC617))</f>
        <v>0</v>
      </c>
      <c r="O621" t="str">
        <f>IF(OR($G621="",Sync!$V617=""),"",Sync!$V617)</f>
        <v/>
      </c>
      <c r="P621" t="str">
        <f>IF(OR($G621="",Sync!$AD617=""),"",Sync!$AD617)</f>
        <v/>
      </c>
      <c r="Q621" t="str">
        <f>IF($G621="","",IF(Sync!$U617="","0000",IF(AND(ISNUMBER(Sync!$U617),Sync!$U617&gt;=0,Sync!$U617&lt;1),RIGHT("00"&amp;HOUR(Sync!$U617),2)&amp;RIGHT("00"&amp;MINUTE(Sync!$U617),2),IFERROR(RIGHT("00"&amp;VALUE(LEFT(Sync!$U617,FIND(":",Sync!$U617)-1)),2)&amp;RIGHT("00"&amp;VALUE(MID(Sync!$U617,FIND(":",Sync!$U617)+1,2)),2),"0000"))))</f>
        <v/>
      </c>
    </row>
    <row r="622" spans="1:17" x14ac:dyDescent="0.2">
      <c r="A622" t="str">
        <f>IF(Sync!$T618="","",Sync!$T618)</f>
        <v/>
      </c>
      <c r="B622" t="str">
        <f t="shared" si="54"/>
        <v/>
      </c>
      <c r="C622" t="str">
        <f t="shared" si="55"/>
        <v/>
      </c>
      <c r="D622" t="str">
        <f t="shared" si="56"/>
        <v/>
      </c>
      <c r="E622" t="str">
        <f t="shared" si="57"/>
        <v/>
      </c>
      <c r="F622" t="str">
        <f t="shared" si="58"/>
        <v/>
      </c>
      <c r="G622" t="str">
        <f>IF(OR($E622="",$E622="نامعتبر",Sync!$X618=""),"",IF(AND(LEFT(UPPER(TRIM(Sync!$X618)),2)="SL",IFERROR(VLOOKUP(Sync!$W618,OpTbl,3,0),"")="فروش"),UPPER(TRIM(Sync!$X618)),""))</f>
        <v/>
      </c>
      <c r="H622" t="str">
        <f>IF($G622="","",IF(Sync!$W618="","",Sync!$W618))</f>
        <v/>
      </c>
      <c r="I622" t="str">
        <f>IF(OR($G622="",Sync!$Y618=""),"",Sync!$Y618)</f>
        <v/>
      </c>
      <c r="J622" t="str">
        <f>IF(OR($G622="",Sync!$Z618=""),"",Sync!$Z618)</f>
        <v/>
      </c>
      <c r="K622">
        <f>IF($G622="",0,IF(Sync!$AA618="",0,Sync!$AA618))</f>
        <v>0</v>
      </c>
      <c r="L622">
        <f>IF($G622="",0,IF(Sync!$AB618="",0,Sync!$AB618))</f>
        <v>0</v>
      </c>
      <c r="M622" t="str">
        <f t="shared" si="59"/>
        <v/>
      </c>
      <c r="N622">
        <f>IF($G622="",0,IF($H622="مرجوعی فروش",-1,1)*IF(Sync!$AC618="",0,Sync!$AC618))</f>
        <v>0</v>
      </c>
      <c r="O622" t="str">
        <f>IF(OR($G622="",Sync!$V618=""),"",Sync!$V618)</f>
        <v/>
      </c>
      <c r="P622" t="str">
        <f>IF(OR($G622="",Sync!$AD618=""),"",Sync!$AD618)</f>
        <v/>
      </c>
      <c r="Q622" t="str">
        <f>IF($G622="","",IF(Sync!$U618="","0000",IF(AND(ISNUMBER(Sync!$U618),Sync!$U618&gt;=0,Sync!$U618&lt;1),RIGHT("00"&amp;HOUR(Sync!$U618),2)&amp;RIGHT("00"&amp;MINUTE(Sync!$U618),2),IFERROR(RIGHT("00"&amp;VALUE(LEFT(Sync!$U618,FIND(":",Sync!$U618)-1)),2)&amp;RIGHT("00"&amp;VALUE(MID(Sync!$U618,FIND(":",Sync!$U618)+1,2)),2),"0000"))))</f>
        <v/>
      </c>
    </row>
    <row r="623" spans="1:17" x14ac:dyDescent="0.2">
      <c r="A623" t="str">
        <f>IF(Sync!$T619="","",Sync!$T619)</f>
        <v/>
      </c>
      <c r="B623" t="str">
        <f t="shared" si="54"/>
        <v/>
      </c>
      <c r="C623" t="str">
        <f t="shared" si="55"/>
        <v/>
      </c>
      <c r="D623" t="str">
        <f t="shared" si="56"/>
        <v/>
      </c>
      <c r="E623" t="str">
        <f t="shared" si="57"/>
        <v/>
      </c>
      <c r="F623" t="str">
        <f t="shared" si="58"/>
        <v/>
      </c>
      <c r="G623" t="str">
        <f>IF(OR($E623="",$E623="نامعتبر",Sync!$X619=""),"",IF(AND(LEFT(UPPER(TRIM(Sync!$X619)),2)="SL",IFERROR(VLOOKUP(Sync!$W619,OpTbl,3,0),"")="فروش"),UPPER(TRIM(Sync!$X619)),""))</f>
        <v/>
      </c>
      <c r="H623" t="str">
        <f>IF($G623="","",IF(Sync!$W619="","",Sync!$W619))</f>
        <v/>
      </c>
      <c r="I623" t="str">
        <f>IF(OR($G623="",Sync!$Y619=""),"",Sync!$Y619)</f>
        <v/>
      </c>
      <c r="J623" t="str">
        <f>IF(OR($G623="",Sync!$Z619=""),"",Sync!$Z619)</f>
        <v/>
      </c>
      <c r="K623">
        <f>IF($G623="",0,IF(Sync!$AA619="",0,Sync!$AA619))</f>
        <v>0</v>
      </c>
      <c r="L623">
        <f>IF($G623="",0,IF(Sync!$AB619="",0,Sync!$AB619))</f>
        <v>0</v>
      </c>
      <c r="M623" t="str">
        <f t="shared" si="59"/>
        <v/>
      </c>
      <c r="N623">
        <f>IF($G623="",0,IF($H623="مرجوعی فروش",-1,1)*IF(Sync!$AC619="",0,Sync!$AC619))</f>
        <v>0</v>
      </c>
      <c r="O623" t="str">
        <f>IF(OR($G623="",Sync!$V619=""),"",Sync!$V619)</f>
        <v/>
      </c>
      <c r="P623" t="str">
        <f>IF(OR($G623="",Sync!$AD619=""),"",Sync!$AD619)</f>
        <v/>
      </c>
      <c r="Q623" t="str">
        <f>IF($G623="","",IF(Sync!$U619="","0000",IF(AND(ISNUMBER(Sync!$U619),Sync!$U619&gt;=0,Sync!$U619&lt;1),RIGHT("00"&amp;HOUR(Sync!$U619),2)&amp;RIGHT("00"&amp;MINUTE(Sync!$U619),2),IFERROR(RIGHT("00"&amp;VALUE(LEFT(Sync!$U619,FIND(":",Sync!$U619)-1)),2)&amp;RIGHT("00"&amp;VALUE(MID(Sync!$U619,FIND(":",Sync!$U619)+1,2)),2),"0000"))))</f>
        <v/>
      </c>
    </row>
    <row r="624" spans="1:17" x14ac:dyDescent="0.2">
      <c r="A624" t="str">
        <f>IF(Sync!$T620="","",Sync!$T620)</f>
        <v/>
      </c>
      <c r="B624" t="str">
        <f t="shared" si="54"/>
        <v/>
      </c>
      <c r="C624" t="str">
        <f t="shared" si="55"/>
        <v/>
      </c>
      <c r="D624" t="str">
        <f t="shared" si="56"/>
        <v/>
      </c>
      <c r="E624" t="str">
        <f t="shared" si="57"/>
        <v/>
      </c>
      <c r="F624" t="str">
        <f t="shared" si="58"/>
        <v/>
      </c>
      <c r="G624" t="str">
        <f>IF(OR($E624="",$E624="نامعتبر",Sync!$X620=""),"",IF(AND(LEFT(UPPER(TRIM(Sync!$X620)),2)="SL",IFERROR(VLOOKUP(Sync!$W620,OpTbl,3,0),"")="فروش"),UPPER(TRIM(Sync!$X620)),""))</f>
        <v/>
      </c>
      <c r="H624" t="str">
        <f>IF($G624="","",IF(Sync!$W620="","",Sync!$W620))</f>
        <v/>
      </c>
      <c r="I624" t="str">
        <f>IF(OR($G624="",Sync!$Y620=""),"",Sync!$Y620)</f>
        <v/>
      </c>
      <c r="J624" t="str">
        <f>IF(OR($G624="",Sync!$Z620=""),"",Sync!$Z620)</f>
        <v/>
      </c>
      <c r="K624">
        <f>IF($G624="",0,IF(Sync!$AA620="",0,Sync!$AA620))</f>
        <v>0</v>
      </c>
      <c r="L624">
        <f>IF($G624="",0,IF(Sync!$AB620="",0,Sync!$AB620))</f>
        <v>0</v>
      </c>
      <c r="M624" t="str">
        <f t="shared" si="59"/>
        <v/>
      </c>
      <c r="N624">
        <f>IF($G624="",0,IF($H624="مرجوعی فروش",-1,1)*IF(Sync!$AC620="",0,Sync!$AC620))</f>
        <v>0</v>
      </c>
      <c r="O624" t="str">
        <f>IF(OR($G624="",Sync!$V620=""),"",Sync!$V620)</f>
        <v/>
      </c>
      <c r="P624" t="str">
        <f>IF(OR($G624="",Sync!$AD620=""),"",Sync!$AD620)</f>
        <v/>
      </c>
      <c r="Q624" t="str">
        <f>IF($G624="","",IF(Sync!$U620="","0000",IF(AND(ISNUMBER(Sync!$U620),Sync!$U620&gt;=0,Sync!$U620&lt;1),RIGHT("00"&amp;HOUR(Sync!$U620),2)&amp;RIGHT("00"&amp;MINUTE(Sync!$U620),2),IFERROR(RIGHT("00"&amp;VALUE(LEFT(Sync!$U620,FIND(":",Sync!$U620)-1)),2)&amp;RIGHT("00"&amp;VALUE(MID(Sync!$U620,FIND(":",Sync!$U620)+1,2)),2),"0000"))))</f>
        <v/>
      </c>
    </row>
    <row r="625" spans="1:17" x14ac:dyDescent="0.2">
      <c r="A625" t="str">
        <f>IF(Sync!$T621="","",Sync!$T621)</f>
        <v/>
      </c>
      <c r="B625" t="str">
        <f t="shared" si="54"/>
        <v/>
      </c>
      <c r="C625" t="str">
        <f t="shared" si="55"/>
        <v/>
      </c>
      <c r="D625" t="str">
        <f t="shared" si="56"/>
        <v/>
      </c>
      <c r="E625" t="str">
        <f t="shared" si="57"/>
        <v/>
      </c>
      <c r="F625" t="str">
        <f t="shared" si="58"/>
        <v/>
      </c>
      <c r="G625" t="str">
        <f>IF(OR($E625="",$E625="نامعتبر",Sync!$X621=""),"",IF(AND(LEFT(UPPER(TRIM(Sync!$X621)),2)="SL",IFERROR(VLOOKUP(Sync!$W621,OpTbl,3,0),"")="فروش"),UPPER(TRIM(Sync!$X621)),""))</f>
        <v/>
      </c>
      <c r="H625" t="str">
        <f>IF($G625="","",IF(Sync!$W621="","",Sync!$W621))</f>
        <v/>
      </c>
      <c r="I625" t="str">
        <f>IF(OR($G625="",Sync!$Y621=""),"",Sync!$Y621)</f>
        <v/>
      </c>
      <c r="J625" t="str">
        <f>IF(OR($G625="",Sync!$Z621=""),"",Sync!$Z621)</f>
        <v/>
      </c>
      <c r="K625">
        <f>IF($G625="",0,IF(Sync!$AA621="",0,Sync!$AA621))</f>
        <v>0</v>
      </c>
      <c r="L625">
        <f>IF($G625="",0,IF(Sync!$AB621="",0,Sync!$AB621))</f>
        <v>0</v>
      </c>
      <c r="M625" t="str">
        <f t="shared" si="59"/>
        <v/>
      </c>
      <c r="N625">
        <f>IF($G625="",0,IF($H625="مرجوعی فروش",-1,1)*IF(Sync!$AC621="",0,Sync!$AC621))</f>
        <v>0</v>
      </c>
      <c r="O625" t="str">
        <f>IF(OR($G625="",Sync!$V621=""),"",Sync!$V621)</f>
        <v/>
      </c>
      <c r="P625" t="str">
        <f>IF(OR($G625="",Sync!$AD621=""),"",Sync!$AD621)</f>
        <v/>
      </c>
      <c r="Q625" t="str">
        <f>IF($G625="","",IF(Sync!$U621="","0000",IF(AND(ISNUMBER(Sync!$U621),Sync!$U621&gt;=0,Sync!$U621&lt;1),RIGHT("00"&amp;HOUR(Sync!$U621),2)&amp;RIGHT("00"&amp;MINUTE(Sync!$U621),2),IFERROR(RIGHT("00"&amp;VALUE(LEFT(Sync!$U621,FIND(":",Sync!$U621)-1)),2)&amp;RIGHT("00"&amp;VALUE(MID(Sync!$U621,FIND(":",Sync!$U621)+1,2)),2),"0000"))))</f>
        <v/>
      </c>
    </row>
    <row r="626" spans="1:17" x14ac:dyDescent="0.2">
      <c r="A626" t="str">
        <f>IF(Sync!$T622="","",Sync!$T622)</f>
        <v/>
      </c>
      <c r="B626" t="str">
        <f t="shared" si="54"/>
        <v/>
      </c>
      <c r="C626" t="str">
        <f t="shared" si="55"/>
        <v/>
      </c>
      <c r="D626" t="str">
        <f t="shared" si="56"/>
        <v/>
      </c>
      <c r="E626" t="str">
        <f t="shared" si="57"/>
        <v/>
      </c>
      <c r="F626" t="str">
        <f t="shared" si="58"/>
        <v/>
      </c>
      <c r="G626" t="str">
        <f>IF(OR($E626="",$E626="نامعتبر",Sync!$X622=""),"",IF(AND(LEFT(UPPER(TRIM(Sync!$X622)),2)="SL",IFERROR(VLOOKUP(Sync!$W622,OpTbl,3,0),"")="فروش"),UPPER(TRIM(Sync!$X622)),""))</f>
        <v/>
      </c>
      <c r="H626" t="str">
        <f>IF($G626="","",IF(Sync!$W622="","",Sync!$W622))</f>
        <v/>
      </c>
      <c r="I626" t="str">
        <f>IF(OR($G626="",Sync!$Y622=""),"",Sync!$Y622)</f>
        <v/>
      </c>
      <c r="J626" t="str">
        <f>IF(OR($G626="",Sync!$Z622=""),"",Sync!$Z622)</f>
        <v/>
      </c>
      <c r="K626">
        <f>IF($G626="",0,IF(Sync!$AA622="",0,Sync!$AA622))</f>
        <v>0</v>
      </c>
      <c r="L626">
        <f>IF($G626="",0,IF(Sync!$AB622="",0,Sync!$AB622))</f>
        <v>0</v>
      </c>
      <c r="M626" t="str">
        <f t="shared" si="59"/>
        <v/>
      </c>
      <c r="N626">
        <f>IF($G626="",0,IF($H626="مرجوعی فروش",-1,1)*IF(Sync!$AC622="",0,Sync!$AC622))</f>
        <v>0</v>
      </c>
      <c r="O626" t="str">
        <f>IF(OR($G626="",Sync!$V622=""),"",Sync!$V622)</f>
        <v/>
      </c>
      <c r="P626" t="str">
        <f>IF(OR($G626="",Sync!$AD622=""),"",Sync!$AD622)</f>
        <v/>
      </c>
      <c r="Q626" t="str">
        <f>IF($G626="","",IF(Sync!$U622="","0000",IF(AND(ISNUMBER(Sync!$U622),Sync!$U622&gt;=0,Sync!$U622&lt;1),RIGHT("00"&amp;HOUR(Sync!$U622),2)&amp;RIGHT("00"&amp;MINUTE(Sync!$U622),2),IFERROR(RIGHT("00"&amp;VALUE(LEFT(Sync!$U622,FIND(":",Sync!$U622)-1)),2)&amp;RIGHT("00"&amp;VALUE(MID(Sync!$U622,FIND(":",Sync!$U622)+1,2)),2),"0000"))))</f>
        <v/>
      </c>
    </row>
    <row r="627" spans="1:17" x14ac:dyDescent="0.2">
      <c r="A627" t="str">
        <f>IF(Sync!$T623="","",Sync!$T623)</f>
        <v/>
      </c>
      <c r="B627" t="str">
        <f t="shared" si="54"/>
        <v/>
      </c>
      <c r="C627" t="str">
        <f t="shared" si="55"/>
        <v/>
      </c>
      <c r="D627" t="str">
        <f t="shared" si="56"/>
        <v/>
      </c>
      <c r="E627" t="str">
        <f t="shared" si="57"/>
        <v/>
      </c>
      <c r="F627" t="str">
        <f t="shared" si="58"/>
        <v/>
      </c>
      <c r="G627" t="str">
        <f>IF(OR($E627="",$E627="نامعتبر",Sync!$X623=""),"",IF(AND(LEFT(UPPER(TRIM(Sync!$X623)),2)="SL",IFERROR(VLOOKUP(Sync!$W623,OpTbl,3,0),"")="فروش"),UPPER(TRIM(Sync!$X623)),""))</f>
        <v/>
      </c>
      <c r="H627" t="str">
        <f>IF($G627="","",IF(Sync!$W623="","",Sync!$W623))</f>
        <v/>
      </c>
      <c r="I627" t="str">
        <f>IF(OR($G627="",Sync!$Y623=""),"",Sync!$Y623)</f>
        <v/>
      </c>
      <c r="J627" t="str">
        <f>IF(OR($G627="",Sync!$Z623=""),"",Sync!$Z623)</f>
        <v/>
      </c>
      <c r="K627">
        <f>IF($G627="",0,IF(Sync!$AA623="",0,Sync!$AA623))</f>
        <v>0</v>
      </c>
      <c r="L627">
        <f>IF($G627="",0,IF(Sync!$AB623="",0,Sync!$AB623))</f>
        <v>0</v>
      </c>
      <c r="M627" t="str">
        <f t="shared" si="59"/>
        <v/>
      </c>
      <c r="N627">
        <f>IF($G627="",0,IF($H627="مرجوعی فروش",-1,1)*IF(Sync!$AC623="",0,Sync!$AC623))</f>
        <v>0</v>
      </c>
      <c r="O627" t="str">
        <f>IF(OR($G627="",Sync!$V623=""),"",Sync!$V623)</f>
        <v/>
      </c>
      <c r="P627" t="str">
        <f>IF(OR($G627="",Sync!$AD623=""),"",Sync!$AD623)</f>
        <v/>
      </c>
      <c r="Q627" t="str">
        <f>IF($G627="","",IF(Sync!$U623="","0000",IF(AND(ISNUMBER(Sync!$U623),Sync!$U623&gt;=0,Sync!$U623&lt;1),RIGHT("00"&amp;HOUR(Sync!$U623),2)&amp;RIGHT("00"&amp;MINUTE(Sync!$U623),2),IFERROR(RIGHT("00"&amp;VALUE(LEFT(Sync!$U623,FIND(":",Sync!$U623)-1)),2)&amp;RIGHT("00"&amp;VALUE(MID(Sync!$U623,FIND(":",Sync!$U623)+1,2)),2),"0000"))))</f>
        <v/>
      </c>
    </row>
    <row r="628" spans="1:17" x14ac:dyDescent="0.2">
      <c r="A628" t="str">
        <f>IF(Sync!$T624="","",Sync!$T624)</f>
        <v/>
      </c>
      <c r="B628" t="str">
        <f t="shared" si="54"/>
        <v/>
      </c>
      <c r="C628" t="str">
        <f t="shared" si="55"/>
        <v/>
      </c>
      <c r="D628" t="str">
        <f t="shared" si="56"/>
        <v/>
      </c>
      <c r="E628" t="str">
        <f t="shared" si="57"/>
        <v/>
      </c>
      <c r="F628" t="str">
        <f t="shared" si="58"/>
        <v/>
      </c>
      <c r="G628" t="str">
        <f>IF(OR($E628="",$E628="نامعتبر",Sync!$X624=""),"",IF(AND(LEFT(UPPER(TRIM(Sync!$X624)),2)="SL",IFERROR(VLOOKUP(Sync!$W624,OpTbl,3,0),"")="فروش"),UPPER(TRIM(Sync!$X624)),""))</f>
        <v/>
      </c>
      <c r="H628" t="str">
        <f>IF($G628="","",IF(Sync!$W624="","",Sync!$W624))</f>
        <v/>
      </c>
      <c r="I628" t="str">
        <f>IF(OR($G628="",Sync!$Y624=""),"",Sync!$Y624)</f>
        <v/>
      </c>
      <c r="J628" t="str">
        <f>IF(OR($G628="",Sync!$Z624=""),"",Sync!$Z624)</f>
        <v/>
      </c>
      <c r="K628">
        <f>IF($G628="",0,IF(Sync!$AA624="",0,Sync!$AA624))</f>
        <v>0</v>
      </c>
      <c r="L628">
        <f>IF($G628="",0,IF(Sync!$AB624="",0,Sync!$AB624))</f>
        <v>0</v>
      </c>
      <c r="M628" t="str">
        <f t="shared" si="59"/>
        <v/>
      </c>
      <c r="N628">
        <f>IF($G628="",0,IF($H628="مرجوعی فروش",-1,1)*IF(Sync!$AC624="",0,Sync!$AC624))</f>
        <v>0</v>
      </c>
      <c r="O628" t="str">
        <f>IF(OR($G628="",Sync!$V624=""),"",Sync!$V624)</f>
        <v/>
      </c>
      <c r="P628" t="str">
        <f>IF(OR($G628="",Sync!$AD624=""),"",Sync!$AD624)</f>
        <v/>
      </c>
      <c r="Q628" t="str">
        <f>IF($G628="","",IF(Sync!$U624="","0000",IF(AND(ISNUMBER(Sync!$U624),Sync!$U624&gt;=0,Sync!$U624&lt;1),RIGHT("00"&amp;HOUR(Sync!$U624),2)&amp;RIGHT("00"&amp;MINUTE(Sync!$U624),2),IFERROR(RIGHT("00"&amp;VALUE(LEFT(Sync!$U624,FIND(":",Sync!$U624)-1)),2)&amp;RIGHT("00"&amp;VALUE(MID(Sync!$U624,FIND(":",Sync!$U624)+1,2)),2),"0000"))))</f>
        <v/>
      </c>
    </row>
    <row r="629" spans="1:17" x14ac:dyDescent="0.2">
      <c r="A629" t="str">
        <f>IF(Sync!$T625="","",Sync!$T625)</f>
        <v/>
      </c>
      <c r="B629" t="str">
        <f t="shared" si="54"/>
        <v/>
      </c>
      <c r="C629" t="str">
        <f t="shared" si="55"/>
        <v/>
      </c>
      <c r="D629" t="str">
        <f t="shared" si="56"/>
        <v/>
      </c>
      <c r="E629" t="str">
        <f t="shared" si="57"/>
        <v/>
      </c>
      <c r="F629" t="str">
        <f t="shared" si="58"/>
        <v/>
      </c>
      <c r="G629" t="str">
        <f>IF(OR($E629="",$E629="نامعتبر",Sync!$X625=""),"",IF(AND(LEFT(UPPER(TRIM(Sync!$X625)),2)="SL",IFERROR(VLOOKUP(Sync!$W625,OpTbl,3,0),"")="فروش"),UPPER(TRIM(Sync!$X625)),""))</f>
        <v/>
      </c>
      <c r="H629" t="str">
        <f>IF($G629="","",IF(Sync!$W625="","",Sync!$W625))</f>
        <v/>
      </c>
      <c r="I629" t="str">
        <f>IF(OR($G629="",Sync!$Y625=""),"",Sync!$Y625)</f>
        <v/>
      </c>
      <c r="J629" t="str">
        <f>IF(OR($G629="",Sync!$Z625=""),"",Sync!$Z625)</f>
        <v/>
      </c>
      <c r="K629">
        <f>IF($G629="",0,IF(Sync!$AA625="",0,Sync!$AA625))</f>
        <v>0</v>
      </c>
      <c r="L629">
        <f>IF($G629="",0,IF(Sync!$AB625="",0,Sync!$AB625))</f>
        <v>0</v>
      </c>
      <c r="M629" t="str">
        <f t="shared" si="59"/>
        <v/>
      </c>
      <c r="N629">
        <f>IF($G629="",0,IF($H629="مرجوعی فروش",-1,1)*IF(Sync!$AC625="",0,Sync!$AC625))</f>
        <v>0</v>
      </c>
      <c r="O629" t="str">
        <f>IF(OR($G629="",Sync!$V625=""),"",Sync!$V625)</f>
        <v/>
      </c>
      <c r="P629" t="str">
        <f>IF(OR($G629="",Sync!$AD625=""),"",Sync!$AD625)</f>
        <v/>
      </c>
      <c r="Q629" t="str">
        <f>IF($G629="","",IF(Sync!$U625="","0000",IF(AND(ISNUMBER(Sync!$U625),Sync!$U625&gt;=0,Sync!$U625&lt;1),RIGHT("00"&amp;HOUR(Sync!$U625),2)&amp;RIGHT("00"&amp;MINUTE(Sync!$U625),2),IFERROR(RIGHT("00"&amp;VALUE(LEFT(Sync!$U625,FIND(":",Sync!$U625)-1)),2)&amp;RIGHT("00"&amp;VALUE(MID(Sync!$U625,FIND(":",Sync!$U625)+1,2)),2),"0000"))))</f>
        <v/>
      </c>
    </row>
    <row r="630" spans="1:17" x14ac:dyDescent="0.2">
      <c r="A630" t="str">
        <f>IF(Sync!$T626="","",Sync!$T626)</f>
        <v/>
      </c>
      <c r="B630" t="str">
        <f t="shared" si="54"/>
        <v/>
      </c>
      <c r="C630" t="str">
        <f t="shared" si="55"/>
        <v/>
      </c>
      <c r="D630" t="str">
        <f t="shared" si="56"/>
        <v/>
      </c>
      <c r="E630" t="str">
        <f t="shared" si="57"/>
        <v/>
      </c>
      <c r="F630" t="str">
        <f t="shared" si="58"/>
        <v/>
      </c>
      <c r="G630" t="str">
        <f>IF(OR($E630="",$E630="نامعتبر",Sync!$X626=""),"",IF(AND(LEFT(UPPER(TRIM(Sync!$X626)),2)="SL",IFERROR(VLOOKUP(Sync!$W626,OpTbl,3,0),"")="فروش"),UPPER(TRIM(Sync!$X626)),""))</f>
        <v/>
      </c>
      <c r="H630" t="str">
        <f>IF($G630="","",IF(Sync!$W626="","",Sync!$W626))</f>
        <v/>
      </c>
      <c r="I630" t="str">
        <f>IF(OR($G630="",Sync!$Y626=""),"",Sync!$Y626)</f>
        <v/>
      </c>
      <c r="J630" t="str">
        <f>IF(OR($G630="",Sync!$Z626=""),"",Sync!$Z626)</f>
        <v/>
      </c>
      <c r="K630">
        <f>IF($G630="",0,IF(Sync!$AA626="",0,Sync!$AA626))</f>
        <v>0</v>
      </c>
      <c r="L630">
        <f>IF($G630="",0,IF(Sync!$AB626="",0,Sync!$AB626))</f>
        <v>0</v>
      </c>
      <c r="M630" t="str">
        <f t="shared" si="59"/>
        <v/>
      </c>
      <c r="N630">
        <f>IF($G630="",0,IF($H630="مرجوعی فروش",-1,1)*IF(Sync!$AC626="",0,Sync!$AC626))</f>
        <v>0</v>
      </c>
      <c r="O630" t="str">
        <f>IF(OR($G630="",Sync!$V626=""),"",Sync!$V626)</f>
        <v/>
      </c>
      <c r="P630" t="str">
        <f>IF(OR($G630="",Sync!$AD626=""),"",Sync!$AD626)</f>
        <v/>
      </c>
      <c r="Q630" t="str">
        <f>IF($G630="","",IF(Sync!$U626="","0000",IF(AND(ISNUMBER(Sync!$U626),Sync!$U626&gt;=0,Sync!$U626&lt;1),RIGHT("00"&amp;HOUR(Sync!$U626),2)&amp;RIGHT("00"&amp;MINUTE(Sync!$U626),2),IFERROR(RIGHT("00"&amp;VALUE(LEFT(Sync!$U626,FIND(":",Sync!$U626)-1)),2)&amp;RIGHT("00"&amp;VALUE(MID(Sync!$U626,FIND(":",Sync!$U626)+1,2)),2),"0000"))))</f>
        <v/>
      </c>
    </row>
    <row r="631" spans="1:17" x14ac:dyDescent="0.2">
      <c r="A631" t="str">
        <f>IF(Sync!$T627="","",Sync!$T627)</f>
        <v/>
      </c>
      <c r="B631" t="str">
        <f t="shared" si="54"/>
        <v/>
      </c>
      <c r="C631" t="str">
        <f t="shared" si="55"/>
        <v/>
      </c>
      <c r="D631" t="str">
        <f t="shared" si="56"/>
        <v/>
      </c>
      <c r="E631" t="str">
        <f t="shared" si="57"/>
        <v/>
      </c>
      <c r="F631" t="str">
        <f t="shared" si="58"/>
        <v/>
      </c>
      <c r="G631" t="str">
        <f>IF(OR($E631="",$E631="نامعتبر",Sync!$X627=""),"",IF(AND(LEFT(UPPER(TRIM(Sync!$X627)),2)="SL",IFERROR(VLOOKUP(Sync!$W627,OpTbl,3,0),"")="فروش"),UPPER(TRIM(Sync!$X627)),""))</f>
        <v/>
      </c>
      <c r="H631" t="str">
        <f>IF($G631="","",IF(Sync!$W627="","",Sync!$W627))</f>
        <v/>
      </c>
      <c r="I631" t="str">
        <f>IF(OR($G631="",Sync!$Y627=""),"",Sync!$Y627)</f>
        <v/>
      </c>
      <c r="J631" t="str">
        <f>IF(OR($G631="",Sync!$Z627=""),"",Sync!$Z627)</f>
        <v/>
      </c>
      <c r="K631">
        <f>IF($G631="",0,IF(Sync!$AA627="",0,Sync!$AA627))</f>
        <v>0</v>
      </c>
      <c r="L631">
        <f>IF($G631="",0,IF(Sync!$AB627="",0,Sync!$AB627))</f>
        <v>0</v>
      </c>
      <c r="M631" t="str">
        <f t="shared" si="59"/>
        <v/>
      </c>
      <c r="N631">
        <f>IF($G631="",0,IF($H631="مرجوعی فروش",-1,1)*IF(Sync!$AC627="",0,Sync!$AC627))</f>
        <v>0</v>
      </c>
      <c r="O631" t="str">
        <f>IF(OR($G631="",Sync!$V627=""),"",Sync!$V627)</f>
        <v/>
      </c>
      <c r="P631" t="str">
        <f>IF(OR($G631="",Sync!$AD627=""),"",Sync!$AD627)</f>
        <v/>
      </c>
      <c r="Q631" t="str">
        <f>IF($G631="","",IF(Sync!$U627="","0000",IF(AND(ISNUMBER(Sync!$U627),Sync!$U627&gt;=0,Sync!$U627&lt;1),RIGHT("00"&amp;HOUR(Sync!$U627),2)&amp;RIGHT("00"&amp;MINUTE(Sync!$U627),2),IFERROR(RIGHT("00"&amp;VALUE(LEFT(Sync!$U627,FIND(":",Sync!$U627)-1)),2)&amp;RIGHT("00"&amp;VALUE(MID(Sync!$U627,FIND(":",Sync!$U627)+1,2)),2),"0000"))))</f>
        <v/>
      </c>
    </row>
    <row r="632" spans="1:17" x14ac:dyDescent="0.2">
      <c r="A632" t="str">
        <f>IF(Sync!$T628="","",Sync!$T628)</f>
        <v/>
      </c>
      <c r="B632" t="str">
        <f t="shared" si="54"/>
        <v/>
      </c>
      <c r="C632" t="str">
        <f t="shared" si="55"/>
        <v/>
      </c>
      <c r="D632" t="str">
        <f t="shared" si="56"/>
        <v/>
      </c>
      <c r="E632" t="str">
        <f t="shared" si="57"/>
        <v/>
      </c>
      <c r="F632" t="str">
        <f t="shared" si="58"/>
        <v/>
      </c>
      <c r="G632" t="str">
        <f>IF(OR($E632="",$E632="نامعتبر",Sync!$X628=""),"",IF(AND(LEFT(UPPER(TRIM(Sync!$X628)),2)="SL",IFERROR(VLOOKUP(Sync!$W628,OpTbl,3,0),"")="فروش"),UPPER(TRIM(Sync!$X628)),""))</f>
        <v/>
      </c>
      <c r="H632" t="str">
        <f>IF($G632="","",IF(Sync!$W628="","",Sync!$W628))</f>
        <v/>
      </c>
      <c r="I632" t="str">
        <f>IF(OR($G632="",Sync!$Y628=""),"",Sync!$Y628)</f>
        <v/>
      </c>
      <c r="J632" t="str">
        <f>IF(OR($G632="",Sync!$Z628=""),"",Sync!$Z628)</f>
        <v/>
      </c>
      <c r="K632">
        <f>IF($G632="",0,IF(Sync!$AA628="",0,Sync!$AA628))</f>
        <v>0</v>
      </c>
      <c r="L632">
        <f>IF($G632="",0,IF(Sync!$AB628="",0,Sync!$AB628))</f>
        <v>0</v>
      </c>
      <c r="M632" t="str">
        <f t="shared" si="59"/>
        <v/>
      </c>
      <c r="N632">
        <f>IF($G632="",0,IF($H632="مرجوعی فروش",-1,1)*IF(Sync!$AC628="",0,Sync!$AC628))</f>
        <v>0</v>
      </c>
      <c r="O632" t="str">
        <f>IF(OR($G632="",Sync!$V628=""),"",Sync!$V628)</f>
        <v/>
      </c>
      <c r="P632" t="str">
        <f>IF(OR($G632="",Sync!$AD628=""),"",Sync!$AD628)</f>
        <v/>
      </c>
      <c r="Q632" t="str">
        <f>IF($G632="","",IF(Sync!$U628="","0000",IF(AND(ISNUMBER(Sync!$U628),Sync!$U628&gt;=0,Sync!$U628&lt;1),RIGHT("00"&amp;HOUR(Sync!$U628),2)&amp;RIGHT("00"&amp;MINUTE(Sync!$U628),2),IFERROR(RIGHT("00"&amp;VALUE(LEFT(Sync!$U628,FIND(":",Sync!$U628)-1)),2)&amp;RIGHT("00"&amp;VALUE(MID(Sync!$U628,FIND(":",Sync!$U628)+1,2)),2),"0000"))))</f>
        <v/>
      </c>
    </row>
    <row r="633" spans="1:17" x14ac:dyDescent="0.2">
      <c r="A633" t="str">
        <f>IF(Sync!$T629="","",Sync!$T629)</f>
        <v/>
      </c>
      <c r="B633" t="str">
        <f t="shared" si="54"/>
        <v/>
      </c>
      <c r="C633" t="str">
        <f t="shared" si="55"/>
        <v/>
      </c>
      <c r="D633" t="str">
        <f t="shared" si="56"/>
        <v/>
      </c>
      <c r="E633" t="str">
        <f t="shared" si="57"/>
        <v/>
      </c>
      <c r="F633" t="str">
        <f t="shared" si="58"/>
        <v/>
      </c>
      <c r="G633" t="str">
        <f>IF(OR($E633="",$E633="نامعتبر",Sync!$X629=""),"",IF(AND(LEFT(UPPER(TRIM(Sync!$X629)),2)="SL",IFERROR(VLOOKUP(Sync!$W629,OpTbl,3,0),"")="فروش"),UPPER(TRIM(Sync!$X629)),""))</f>
        <v/>
      </c>
      <c r="H633" t="str">
        <f>IF($G633="","",IF(Sync!$W629="","",Sync!$W629))</f>
        <v/>
      </c>
      <c r="I633" t="str">
        <f>IF(OR($G633="",Sync!$Y629=""),"",Sync!$Y629)</f>
        <v/>
      </c>
      <c r="J633" t="str">
        <f>IF(OR($G633="",Sync!$Z629=""),"",Sync!$Z629)</f>
        <v/>
      </c>
      <c r="K633">
        <f>IF($G633="",0,IF(Sync!$AA629="",0,Sync!$AA629))</f>
        <v>0</v>
      </c>
      <c r="L633">
        <f>IF($G633="",0,IF(Sync!$AB629="",0,Sync!$AB629))</f>
        <v>0</v>
      </c>
      <c r="M633" t="str">
        <f t="shared" si="59"/>
        <v/>
      </c>
      <c r="N633">
        <f>IF($G633="",0,IF($H633="مرجوعی فروش",-1,1)*IF(Sync!$AC629="",0,Sync!$AC629))</f>
        <v>0</v>
      </c>
      <c r="O633" t="str">
        <f>IF(OR($G633="",Sync!$V629=""),"",Sync!$V629)</f>
        <v/>
      </c>
      <c r="P633" t="str">
        <f>IF(OR($G633="",Sync!$AD629=""),"",Sync!$AD629)</f>
        <v/>
      </c>
      <c r="Q633" t="str">
        <f>IF($G633="","",IF(Sync!$U629="","0000",IF(AND(ISNUMBER(Sync!$U629),Sync!$U629&gt;=0,Sync!$U629&lt;1),RIGHT("00"&amp;HOUR(Sync!$U629),2)&amp;RIGHT("00"&amp;MINUTE(Sync!$U629),2),IFERROR(RIGHT("00"&amp;VALUE(LEFT(Sync!$U629,FIND(":",Sync!$U629)-1)),2)&amp;RIGHT("00"&amp;VALUE(MID(Sync!$U629,FIND(":",Sync!$U629)+1,2)),2),"0000"))))</f>
        <v/>
      </c>
    </row>
    <row r="634" spans="1:17" x14ac:dyDescent="0.2">
      <c r="A634" t="str">
        <f>IF(Sync!$T630="","",Sync!$T630)</f>
        <v/>
      </c>
      <c r="B634" t="str">
        <f t="shared" si="54"/>
        <v/>
      </c>
      <c r="C634" t="str">
        <f t="shared" si="55"/>
        <v/>
      </c>
      <c r="D634" t="str">
        <f t="shared" si="56"/>
        <v/>
      </c>
      <c r="E634" t="str">
        <f t="shared" si="57"/>
        <v/>
      </c>
      <c r="F634" t="str">
        <f t="shared" si="58"/>
        <v/>
      </c>
      <c r="G634" t="str">
        <f>IF(OR($E634="",$E634="نامعتبر",Sync!$X630=""),"",IF(AND(LEFT(UPPER(TRIM(Sync!$X630)),2)="SL",IFERROR(VLOOKUP(Sync!$W630,OpTbl,3,0),"")="فروش"),UPPER(TRIM(Sync!$X630)),""))</f>
        <v/>
      </c>
      <c r="H634" t="str">
        <f>IF($G634="","",IF(Sync!$W630="","",Sync!$W630))</f>
        <v/>
      </c>
      <c r="I634" t="str">
        <f>IF(OR($G634="",Sync!$Y630=""),"",Sync!$Y630)</f>
        <v/>
      </c>
      <c r="J634" t="str">
        <f>IF(OR($G634="",Sync!$Z630=""),"",Sync!$Z630)</f>
        <v/>
      </c>
      <c r="K634">
        <f>IF($G634="",0,IF(Sync!$AA630="",0,Sync!$AA630))</f>
        <v>0</v>
      </c>
      <c r="L634">
        <f>IF($G634="",0,IF(Sync!$AB630="",0,Sync!$AB630))</f>
        <v>0</v>
      </c>
      <c r="M634" t="str">
        <f t="shared" si="59"/>
        <v/>
      </c>
      <c r="N634">
        <f>IF($G634="",0,IF($H634="مرجوعی فروش",-1,1)*IF(Sync!$AC630="",0,Sync!$AC630))</f>
        <v>0</v>
      </c>
      <c r="O634" t="str">
        <f>IF(OR($G634="",Sync!$V630=""),"",Sync!$V630)</f>
        <v/>
      </c>
      <c r="P634" t="str">
        <f>IF(OR($G634="",Sync!$AD630=""),"",Sync!$AD630)</f>
        <v/>
      </c>
      <c r="Q634" t="str">
        <f>IF($G634="","",IF(Sync!$U630="","0000",IF(AND(ISNUMBER(Sync!$U630),Sync!$U630&gt;=0,Sync!$U630&lt;1),RIGHT("00"&amp;HOUR(Sync!$U630),2)&amp;RIGHT("00"&amp;MINUTE(Sync!$U630),2),IFERROR(RIGHT("00"&amp;VALUE(LEFT(Sync!$U630,FIND(":",Sync!$U630)-1)),2)&amp;RIGHT("00"&amp;VALUE(MID(Sync!$U630,FIND(":",Sync!$U630)+1,2)),2),"0000"))))</f>
        <v/>
      </c>
    </row>
    <row r="635" spans="1:17" x14ac:dyDescent="0.2">
      <c r="A635" t="str">
        <f>IF(Sync!$T631="","",Sync!$T631)</f>
        <v/>
      </c>
      <c r="B635" t="str">
        <f t="shared" si="54"/>
        <v/>
      </c>
      <c r="C635" t="str">
        <f t="shared" si="55"/>
        <v/>
      </c>
      <c r="D635" t="str">
        <f t="shared" si="56"/>
        <v/>
      </c>
      <c r="E635" t="str">
        <f t="shared" si="57"/>
        <v/>
      </c>
      <c r="F635" t="str">
        <f t="shared" si="58"/>
        <v/>
      </c>
      <c r="G635" t="str">
        <f>IF(OR($E635="",$E635="نامعتبر",Sync!$X631=""),"",IF(AND(LEFT(UPPER(TRIM(Sync!$X631)),2)="SL",IFERROR(VLOOKUP(Sync!$W631,OpTbl,3,0),"")="فروش"),UPPER(TRIM(Sync!$X631)),""))</f>
        <v/>
      </c>
      <c r="H635" t="str">
        <f>IF($G635="","",IF(Sync!$W631="","",Sync!$W631))</f>
        <v/>
      </c>
      <c r="I635" t="str">
        <f>IF(OR($G635="",Sync!$Y631=""),"",Sync!$Y631)</f>
        <v/>
      </c>
      <c r="J635" t="str">
        <f>IF(OR($G635="",Sync!$Z631=""),"",Sync!$Z631)</f>
        <v/>
      </c>
      <c r="K635">
        <f>IF($G635="",0,IF(Sync!$AA631="",0,Sync!$AA631))</f>
        <v>0</v>
      </c>
      <c r="L635">
        <f>IF($G635="",0,IF(Sync!$AB631="",0,Sync!$AB631))</f>
        <v>0</v>
      </c>
      <c r="M635" t="str">
        <f t="shared" si="59"/>
        <v/>
      </c>
      <c r="N635">
        <f>IF($G635="",0,IF($H635="مرجوعی فروش",-1,1)*IF(Sync!$AC631="",0,Sync!$AC631))</f>
        <v>0</v>
      </c>
      <c r="O635" t="str">
        <f>IF(OR($G635="",Sync!$V631=""),"",Sync!$V631)</f>
        <v/>
      </c>
      <c r="P635" t="str">
        <f>IF(OR($G635="",Sync!$AD631=""),"",Sync!$AD631)</f>
        <v/>
      </c>
      <c r="Q635" t="str">
        <f>IF($G635="","",IF(Sync!$U631="","0000",IF(AND(ISNUMBER(Sync!$U631),Sync!$U631&gt;=0,Sync!$U631&lt;1),RIGHT("00"&amp;HOUR(Sync!$U631),2)&amp;RIGHT("00"&amp;MINUTE(Sync!$U631),2),IFERROR(RIGHT("00"&amp;VALUE(LEFT(Sync!$U631,FIND(":",Sync!$U631)-1)),2)&amp;RIGHT("00"&amp;VALUE(MID(Sync!$U631,FIND(":",Sync!$U631)+1,2)),2),"0000"))))</f>
        <v/>
      </c>
    </row>
    <row r="636" spans="1:17" x14ac:dyDescent="0.2">
      <c r="A636" t="str">
        <f>IF(Sync!$T632="","",Sync!$T632)</f>
        <v/>
      </c>
      <c r="B636" t="str">
        <f t="shared" si="54"/>
        <v/>
      </c>
      <c r="C636" t="str">
        <f t="shared" si="55"/>
        <v/>
      </c>
      <c r="D636" t="str">
        <f t="shared" si="56"/>
        <v/>
      </c>
      <c r="E636" t="str">
        <f t="shared" si="57"/>
        <v/>
      </c>
      <c r="F636" t="str">
        <f t="shared" si="58"/>
        <v/>
      </c>
      <c r="G636" t="str">
        <f>IF(OR($E636="",$E636="نامعتبر",Sync!$X632=""),"",IF(AND(LEFT(UPPER(TRIM(Sync!$X632)),2)="SL",IFERROR(VLOOKUP(Sync!$W632,OpTbl,3,0),"")="فروش"),UPPER(TRIM(Sync!$X632)),""))</f>
        <v/>
      </c>
      <c r="H636" t="str">
        <f>IF($G636="","",IF(Sync!$W632="","",Sync!$W632))</f>
        <v/>
      </c>
      <c r="I636" t="str">
        <f>IF(OR($G636="",Sync!$Y632=""),"",Sync!$Y632)</f>
        <v/>
      </c>
      <c r="J636" t="str">
        <f>IF(OR($G636="",Sync!$Z632=""),"",Sync!$Z632)</f>
        <v/>
      </c>
      <c r="K636">
        <f>IF($G636="",0,IF(Sync!$AA632="",0,Sync!$AA632))</f>
        <v>0</v>
      </c>
      <c r="L636">
        <f>IF($G636="",0,IF(Sync!$AB632="",0,Sync!$AB632))</f>
        <v>0</v>
      </c>
      <c r="M636" t="str">
        <f t="shared" si="59"/>
        <v/>
      </c>
      <c r="N636">
        <f>IF($G636="",0,IF($H636="مرجوعی فروش",-1,1)*IF(Sync!$AC632="",0,Sync!$AC632))</f>
        <v>0</v>
      </c>
      <c r="O636" t="str">
        <f>IF(OR($G636="",Sync!$V632=""),"",Sync!$V632)</f>
        <v/>
      </c>
      <c r="P636" t="str">
        <f>IF(OR($G636="",Sync!$AD632=""),"",Sync!$AD632)</f>
        <v/>
      </c>
      <c r="Q636" t="str">
        <f>IF($G636="","",IF(Sync!$U632="","0000",IF(AND(ISNUMBER(Sync!$U632),Sync!$U632&gt;=0,Sync!$U632&lt;1),RIGHT("00"&amp;HOUR(Sync!$U632),2)&amp;RIGHT("00"&amp;MINUTE(Sync!$U632),2),IFERROR(RIGHT("00"&amp;VALUE(LEFT(Sync!$U632,FIND(":",Sync!$U632)-1)),2)&amp;RIGHT("00"&amp;VALUE(MID(Sync!$U632,FIND(":",Sync!$U632)+1,2)),2),"0000"))))</f>
        <v/>
      </c>
    </row>
    <row r="637" spans="1:17" x14ac:dyDescent="0.2">
      <c r="A637" t="str">
        <f>IF(Sync!$T633="","",Sync!$T633)</f>
        <v/>
      </c>
      <c r="B637" t="str">
        <f t="shared" si="54"/>
        <v/>
      </c>
      <c r="C637" t="str">
        <f t="shared" si="55"/>
        <v/>
      </c>
      <c r="D637" t="str">
        <f t="shared" si="56"/>
        <v/>
      </c>
      <c r="E637" t="str">
        <f t="shared" si="57"/>
        <v/>
      </c>
      <c r="F637" t="str">
        <f t="shared" si="58"/>
        <v/>
      </c>
      <c r="G637" t="str">
        <f>IF(OR($E637="",$E637="نامعتبر",Sync!$X633=""),"",IF(AND(LEFT(UPPER(TRIM(Sync!$X633)),2)="SL",IFERROR(VLOOKUP(Sync!$W633,OpTbl,3,0),"")="فروش"),UPPER(TRIM(Sync!$X633)),""))</f>
        <v/>
      </c>
      <c r="H637" t="str">
        <f>IF($G637="","",IF(Sync!$W633="","",Sync!$W633))</f>
        <v/>
      </c>
      <c r="I637" t="str">
        <f>IF(OR($G637="",Sync!$Y633=""),"",Sync!$Y633)</f>
        <v/>
      </c>
      <c r="J637" t="str">
        <f>IF(OR($G637="",Sync!$Z633=""),"",Sync!$Z633)</f>
        <v/>
      </c>
      <c r="K637">
        <f>IF($G637="",0,IF(Sync!$AA633="",0,Sync!$AA633))</f>
        <v>0</v>
      </c>
      <c r="L637">
        <f>IF($G637="",0,IF(Sync!$AB633="",0,Sync!$AB633))</f>
        <v>0</v>
      </c>
      <c r="M637" t="str">
        <f t="shared" si="59"/>
        <v/>
      </c>
      <c r="N637">
        <f>IF($G637="",0,IF($H637="مرجوعی فروش",-1,1)*IF(Sync!$AC633="",0,Sync!$AC633))</f>
        <v>0</v>
      </c>
      <c r="O637" t="str">
        <f>IF(OR($G637="",Sync!$V633=""),"",Sync!$V633)</f>
        <v/>
      </c>
      <c r="P637" t="str">
        <f>IF(OR($G637="",Sync!$AD633=""),"",Sync!$AD633)</f>
        <v/>
      </c>
      <c r="Q637" t="str">
        <f>IF($G637="","",IF(Sync!$U633="","0000",IF(AND(ISNUMBER(Sync!$U633),Sync!$U633&gt;=0,Sync!$U633&lt;1),RIGHT("00"&amp;HOUR(Sync!$U633),2)&amp;RIGHT("00"&amp;MINUTE(Sync!$U633),2),IFERROR(RIGHT("00"&amp;VALUE(LEFT(Sync!$U633,FIND(":",Sync!$U633)-1)),2)&amp;RIGHT("00"&amp;VALUE(MID(Sync!$U633,FIND(":",Sync!$U633)+1,2)),2),"0000"))))</f>
        <v/>
      </c>
    </row>
    <row r="638" spans="1:17" x14ac:dyDescent="0.2">
      <c r="A638" t="str">
        <f>IF(Sync!$T634="","",Sync!$T634)</f>
        <v/>
      </c>
      <c r="B638" t="str">
        <f t="shared" si="54"/>
        <v/>
      </c>
      <c r="C638" t="str">
        <f t="shared" si="55"/>
        <v/>
      </c>
      <c r="D638" t="str">
        <f t="shared" si="56"/>
        <v/>
      </c>
      <c r="E638" t="str">
        <f t="shared" si="57"/>
        <v/>
      </c>
      <c r="F638" t="str">
        <f t="shared" si="58"/>
        <v/>
      </c>
      <c r="G638" t="str">
        <f>IF(OR($E638="",$E638="نامعتبر",Sync!$X634=""),"",IF(AND(LEFT(UPPER(TRIM(Sync!$X634)),2)="SL",IFERROR(VLOOKUP(Sync!$W634,OpTbl,3,0),"")="فروش"),UPPER(TRIM(Sync!$X634)),""))</f>
        <v/>
      </c>
      <c r="H638" t="str">
        <f>IF($G638="","",IF(Sync!$W634="","",Sync!$W634))</f>
        <v/>
      </c>
      <c r="I638" t="str">
        <f>IF(OR($G638="",Sync!$Y634=""),"",Sync!$Y634)</f>
        <v/>
      </c>
      <c r="J638" t="str">
        <f>IF(OR($G638="",Sync!$Z634=""),"",Sync!$Z634)</f>
        <v/>
      </c>
      <c r="K638">
        <f>IF($G638="",0,IF(Sync!$AA634="",0,Sync!$AA634))</f>
        <v>0</v>
      </c>
      <c r="L638">
        <f>IF($G638="",0,IF(Sync!$AB634="",0,Sync!$AB634))</f>
        <v>0</v>
      </c>
      <c r="M638" t="str">
        <f t="shared" si="59"/>
        <v/>
      </c>
      <c r="N638">
        <f>IF($G638="",0,IF($H638="مرجوعی فروش",-1,1)*IF(Sync!$AC634="",0,Sync!$AC634))</f>
        <v>0</v>
      </c>
      <c r="O638" t="str">
        <f>IF(OR($G638="",Sync!$V634=""),"",Sync!$V634)</f>
        <v/>
      </c>
      <c r="P638" t="str">
        <f>IF(OR($G638="",Sync!$AD634=""),"",Sync!$AD634)</f>
        <v/>
      </c>
      <c r="Q638" t="str">
        <f>IF($G638="","",IF(Sync!$U634="","0000",IF(AND(ISNUMBER(Sync!$U634),Sync!$U634&gt;=0,Sync!$U634&lt;1),RIGHT("00"&amp;HOUR(Sync!$U634),2)&amp;RIGHT("00"&amp;MINUTE(Sync!$U634),2),IFERROR(RIGHT("00"&amp;VALUE(LEFT(Sync!$U634,FIND(":",Sync!$U634)-1)),2)&amp;RIGHT("00"&amp;VALUE(MID(Sync!$U634,FIND(":",Sync!$U634)+1,2)),2),"0000"))))</f>
        <v/>
      </c>
    </row>
    <row r="639" spans="1:17" x14ac:dyDescent="0.2">
      <c r="A639" t="str">
        <f>IF(Sync!$T635="","",Sync!$T635)</f>
        <v/>
      </c>
      <c r="B639" t="str">
        <f t="shared" si="54"/>
        <v/>
      </c>
      <c r="C639" t="str">
        <f t="shared" si="55"/>
        <v/>
      </c>
      <c r="D639" t="str">
        <f t="shared" si="56"/>
        <v/>
      </c>
      <c r="E639" t="str">
        <f t="shared" si="57"/>
        <v/>
      </c>
      <c r="F639" t="str">
        <f t="shared" si="58"/>
        <v/>
      </c>
      <c r="G639" t="str">
        <f>IF(OR($E639="",$E639="نامعتبر",Sync!$X635=""),"",IF(AND(LEFT(UPPER(TRIM(Sync!$X635)),2)="SL",IFERROR(VLOOKUP(Sync!$W635,OpTbl,3,0),"")="فروش"),UPPER(TRIM(Sync!$X635)),""))</f>
        <v/>
      </c>
      <c r="H639" t="str">
        <f>IF($G639="","",IF(Sync!$W635="","",Sync!$W635))</f>
        <v/>
      </c>
      <c r="I639" t="str">
        <f>IF(OR($G639="",Sync!$Y635=""),"",Sync!$Y635)</f>
        <v/>
      </c>
      <c r="J639" t="str">
        <f>IF(OR($G639="",Sync!$Z635=""),"",Sync!$Z635)</f>
        <v/>
      </c>
      <c r="K639">
        <f>IF($G639="",0,IF(Sync!$AA635="",0,Sync!$AA635))</f>
        <v>0</v>
      </c>
      <c r="L639">
        <f>IF($G639="",0,IF(Sync!$AB635="",0,Sync!$AB635))</f>
        <v>0</v>
      </c>
      <c r="M639" t="str">
        <f t="shared" si="59"/>
        <v/>
      </c>
      <c r="N639">
        <f>IF($G639="",0,IF($H639="مرجوعی فروش",-1,1)*IF(Sync!$AC635="",0,Sync!$AC635))</f>
        <v>0</v>
      </c>
      <c r="O639" t="str">
        <f>IF(OR($G639="",Sync!$V635=""),"",Sync!$V635)</f>
        <v/>
      </c>
      <c r="P639" t="str">
        <f>IF(OR($G639="",Sync!$AD635=""),"",Sync!$AD635)</f>
        <v/>
      </c>
      <c r="Q639" t="str">
        <f>IF($G639="","",IF(Sync!$U635="","0000",IF(AND(ISNUMBER(Sync!$U635),Sync!$U635&gt;=0,Sync!$U635&lt;1),RIGHT("00"&amp;HOUR(Sync!$U635),2)&amp;RIGHT("00"&amp;MINUTE(Sync!$U635),2),IFERROR(RIGHT("00"&amp;VALUE(LEFT(Sync!$U635,FIND(":",Sync!$U635)-1)),2)&amp;RIGHT("00"&amp;VALUE(MID(Sync!$U635,FIND(":",Sync!$U635)+1,2)),2),"0000"))))</f>
        <v/>
      </c>
    </row>
    <row r="640" spans="1:17" x14ac:dyDescent="0.2">
      <c r="A640" t="str">
        <f>IF(Sync!$T636="","",Sync!$T636)</f>
        <v/>
      </c>
      <c r="B640" t="str">
        <f t="shared" si="54"/>
        <v/>
      </c>
      <c r="C640" t="str">
        <f t="shared" si="55"/>
        <v/>
      </c>
      <c r="D640" t="str">
        <f t="shared" si="56"/>
        <v/>
      </c>
      <c r="E640" t="str">
        <f t="shared" si="57"/>
        <v/>
      </c>
      <c r="F640" t="str">
        <f t="shared" si="58"/>
        <v/>
      </c>
      <c r="G640" t="str">
        <f>IF(OR($E640="",$E640="نامعتبر",Sync!$X636=""),"",IF(AND(LEFT(UPPER(TRIM(Sync!$X636)),2)="SL",IFERROR(VLOOKUP(Sync!$W636,OpTbl,3,0),"")="فروش"),UPPER(TRIM(Sync!$X636)),""))</f>
        <v/>
      </c>
      <c r="H640" t="str">
        <f>IF($G640="","",IF(Sync!$W636="","",Sync!$W636))</f>
        <v/>
      </c>
      <c r="I640" t="str">
        <f>IF(OR($G640="",Sync!$Y636=""),"",Sync!$Y636)</f>
        <v/>
      </c>
      <c r="J640" t="str">
        <f>IF(OR($G640="",Sync!$Z636=""),"",Sync!$Z636)</f>
        <v/>
      </c>
      <c r="K640">
        <f>IF($G640="",0,IF(Sync!$AA636="",0,Sync!$AA636))</f>
        <v>0</v>
      </c>
      <c r="L640">
        <f>IF($G640="",0,IF(Sync!$AB636="",0,Sync!$AB636))</f>
        <v>0</v>
      </c>
      <c r="M640" t="str">
        <f t="shared" si="59"/>
        <v/>
      </c>
      <c r="N640">
        <f>IF($G640="",0,IF($H640="مرجوعی فروش",-1,1)*IF(Sync!$AC636="",0,Sync!$AC636))</f>
        <v>0</v>
      </c>
      <c r="O640" t="str">
        <f>IF(OR($G640="",Sync!$V636=""),"",Sync!$V636)</f>
        <v/>
      </c>
      <c r="P640" t="str">
        <f>IF(OR($G640="",Sync!$AD636=""),"",Sync!$AD636)</f>
        <v/>
      </c>
      <c r="Q640" t="str">
        <f>IF($G640="","",IF(Sync!$U636="","0000",IF(AND(ISNUMBER(Sync!$U636),Sync!$U636&gt;=0,Sync!$U636&lt;1),RIGHT("00"&amp;HOUR(Sync!$U636),2)&amp;RIGHT("00"&amp;MINUTE(Sync!$U636),2),IFERROR(RIGHT("00"&amp;VALUE(LEFT(Sync!$U636,FIND(":",Sync!$U636)-1)),2)&amp;RIGHT("00"&amp;VALUE(MID(Sync!$U636,FIND(":",Sync!$U636)+1,2)),2),"0000"))))</f>
        <v/>
      </c>
    </row>
    <row r="641" spans="1:17" x14ac:dyDescent="0.2">
      <c r="A641" t="str">
        <f>IF(Sync!$T637="","",Sync!$T637)</f>
        <v/>
      </c>
      <c r="B641" t="str">
        <f t="shared" si="54"/>
        <v/>
      </c>
      <c r="C641" t="str">
        <f t="shared" si="55"/>
        <v/>
      </c>
      <c r="D641" t="str">
        <f t="shared" si="56"/>
        <v/>
      </c>
      <c r="E641" t="str">
        <f t="shared" si="57"/>
        <v/>
      </c>
      <c r="F641" t="str">
        <f t="shared" si="58"/>
        <v/>
      </c>
      <c r="G641" t="str">
        <f>IF(OR($E641="",$E641="نامعتبر",Sync!$X637=""),"",IF(AND(LEFT(UPPER(TRIM(Sync!$X637)),2)="SL",IFERROR(VLOOKUP(Sync!$W637,OpTbl,3,0),"")="فروش"),UPPER(TRIM(Sync!$X637)),""))</f>
        <v/>
      </c>
      <c r="H641" t="str">
        <f>IF($G641="","",IF(Sync!$W637="","",Sync!$W637))</f>
        <v/>
      </c>
      <c r="I641" t="str">
        <f>IF(OR($G641="",Sync!$Y637=""),"",Sync!$Y637)</f>
        <v/>
      </c>
      <c r="J641" t="str">
        <f>IF(OR($G641="",Sync!$Z637=""),"",Sync!$Z637)</f>
        <v/>
      </c>
      <c r="K641">
        <f>IF($G641="",0,IF(Sync!$AA637="",0,Sync!$AA637))</f>
        <v>0</v>
      </c>
      <c r="L641">
        <f>IF($G641="",0,IF(Sync!$AB637="",0,Sync!$AB637))</f>
        <v>0</v>
      </c>
      <c r="M641" t="str">
        <f t="shared" si="59"/>
        <v/>
      </c>
      <c r="N641">
        <f>IF($G641="",0,IF($H641="مرجوعی فروش",-1,1)*IF(Sync!$AC637="",0,Sync!$AC637))</f>
        <v>0</v>
      </c>
      <c r="O641" t="str">
        <f>IF(OR($G641="",Sync!$V637=""),"",Sync!$V637)</f>
        <v/>
      </c>
      <c r="P641" t="str">
        <f>IF(OR($G641="",Sync!$AD637=""),"",Sync!$AD637)</f>
        <v/>
      </c>
      <c r="Q641" t="str">
        <f>IF($G641="","",IF(Sync!$U637="","0000",IF(AND(ISNUMBER(Sync!$U637),Sync!$U637&gt;=0,Sync!$U637&lt;1),RIGHT("00"&amp;HOUR(Sync!$U637),2)&amp;RIGHT("00"&amp;MINUTE(Sync!$U637),2),IFERROR(RIGHT("00"&amp;VALUE(LEFT(Sync!$U637,FIND(":",Sync!$U637)-1)),2)&amp;RIGHT("00"&amp;VALUE(MID(Sync!$U637,FIND(":",Sync!$U637)+1,2)),2),"0000"))))</f>
        <v/>
      </c>
    </row>
    <row r="642" spans="1:17" x14ac:dyDescent="0.2">
      <c r="A642" t="str">
        <f>IF(Sync!$T638="","",Sync!$T638)</f>
        <v/>
      </c>
      <c r="B642" t="str">
        <f t="shared" si="54"/>
        <v/>
      </c>
      <c r="C642" t="str">
        <f t="shared" si="55"/>
        <v/>
      </c>
      <c r="D642" t="str">
        <f t="shared" si="56"/>
        <v/>
      </c>
      <c r="E642" t="str">
        <f t="shared" si="57"/>
        <v/>
      </c>
      <c r="F642" t="str">
        <f t="shared" si="58"/>
        <v/>
      </c>
      <c r="G642" t="str">
        <f>IF(OR($E642="",$E642="نامعتبر",Sync!$X638=""),"",IF(AND(LEFT(UPPER(TRIM(Sync!$X638)),2)="SL",IFERROR(VLOOKUP(Sync!$W638,OpTbl,3,0),"")="فروش"),UPPER(TRIM(Sync!$X638)),""))</f>
        <v/>
      </c>
      <c r="H642" t="str">
        <f>IF($G642="","",IF(Sync!$W638="","",Sync!$W638))</f>
        <v/>
      </c>
      <c r="I642" t="str">
        <f>IF(OR($G642="",Sync!$Y638=""),"",Sync!$Y638)</f>
        <v/>
      </c>
      <c r="J642" t="str">
        <f>IF(OR($G642="",Sync!$Z638=""),"",Sync!$Z638)</f>
        <v/>
      </c>
      <c r="K642">
        <f>IF($G642="",0,IF(Sync!$AA638="",0,Sync!$AA638))</f>
        <v>0</v>
      </c>
      <c r="L642">
        <f>IF($G642="",0,IF(Sync!$AB638="",0,Sync!$AB638))</f>
        <v>0</v>
      </c>
      <c r="M642" t="str">
        <f t="shared" si="59"/>
        <v/>
      </c>
      <c r="N642">
        <f>IF($G642="",0,IF($H642="مرجوعی فروش",-1,1)*IF(Sync!$AC638="",0,Sync!$AC638))</f>
        <v>0</v>
      </c>
      <c r="O642" t="str">
        <f>IF(OR($G642="",Sync!$V638=""),"",Sync!$V638)</f>
        <v/>
      </c>
      <c r="P642" t="str">
        <f>IF(OR($G642="",Sync!$AD638=""),"",Sync!$AD638)</f>
        <v/>
      </c>
      <c r="Q642" t="str">
        <f>IF($G642="","",IF(Sync!$U638="","0000",IF(AND(ISNUMBER(Sync!$U638),Sync!$U638&gt;=0,Sync!$U638&lt;1),RIGHT("00"&amp;HOUR(Sync!$U638),2)&amp;RIGHT("00"&amp;MINUTE(Sync!$U638),2),IFERROR(RIGHT("00"&amp;VALUE(LEFT(Sync!$U638,FIND(":",Sync!$U638)-1)),2)&amp;RIGHT("00"&amp;VALUE(MID(Sync!$U638,FIND(":",Sync!$U638)+1,2)),2),"0000"))))</f>
        <v/>
      </c>
    </row>
    <row r="643" spans="1:17" x14ac:dyDescent="0.2">
      <c r="A643" t="str">
        <f>IF(Sync!$T639="","",Sync!$T639)</f>
        <v/>
      </c>
      <c r="B643" t="str">
        <f t="shared" si="54"/>
        <v/>
      </c>
      <c r="C643" t="str">
        <f t="shared" si="55"/>
        <v/>
      </c>
      <c r="D643" t="str">
        <f t="shared" si="56"/>
        <v/>
      </c>
      <c r="E643" t="str">
        <f t="shared" si="57"/>
        <v/>
      </c>
      <c r="F643" t="str">
        <f t="shared" si="58"/>
        <v/>
      </c>
      <c r="G643" t="str">
        <f>IF(OR($E643="",$E643="نامعتبر",Sync!$X639=""),"",IF(AND(LEFT(UPPER(TRIM(Sync!$X639)),2)="SL",IFERROR(VLOOKUP(Sync!$W639,OpTbl,3,0),"")="فروش"),UPPER(TRIM(Sync!$X639)),""))</f>
        <v/>
      </c>
      <c r="H643" t="str">
        <f>IF($G643="","",IF(Sync!$W639="","",Sync!$W639))</f>
        <v/>
      </c>
      <c r="I643" t="str">
        <f>IF(OR($G643="",Sync!$Y639=""),"",Sync!$Y639)</f>
        <v/>
      </c>
      <c r="J643" t="str">
        <f>IF(OR($G643="",Sync!$Z639=""),"",Sync!$Z639)</f>
        <v/>
      </c>
      <c r="K643">
        <f>IF($G643="",0,IF(Sync!$AA639="",0,Sync!$AA639))</f>
        <v>0</v>
      </c>
      <c r="L643">
        <f>IF($G643="",0,IF(Sync!$AB639="",0,Sync!$AB639))</f>
        <v>0</v>
      </c>
      <c r="M643" t="str">
        <f t="shared" si="59"/>
        <v/>
      </c>
      <c r="N643">
        <f>IF($G643="",0,IF($H643="مرجوعی فروش",-1,1)*IF(Sync!$AC639="",0,Sync!$AC639))</f>
        <v>0</v>
      </c>
      <c r="O643" t="str">
        <f>IF(OR($G643="",Sync!$V639=""),"",Sync!$V639)</f>
        <v/>
      </c>
      <c r="P643" t="str">
        <f>IF(OR($G643="",Sync!$AD639=""),"",Sync!$AD639)</f>
        <v/>
      </c>
      <c r="Q643" t="str">
        <f>IF($G643="","",IF(Sync!$U639="","0000",IF(AND(ISNUMBER(Sync!$U639),Sync!$U639&gt;=0,Sync!$U639&lt;1),RIGHT("00"&amp;HOUR(Sync!$U639),2)&amp;RIGHT("00"&amp;MINUTE(Sync!$U639),2),IFERROR(RIGHT("00"&amp;VALUE(LEFT(Sync!$U639,FIND(":",Sync!$U639)-1)),2)&amp;RIGHT("00"&amp;VALUE(MID(Sync!$U639,FIND(":",Sync!$U639)+1,2)),2),"0000"))))</f>
        <v/>
      </c>
    </row>
    <row r="644" spans="1:17" x14ac:dyDescent="0.2">
      <c r="A644" t="str">
        <f>IF(Sync!$T640="","",Sync!$T640)</f>
        <v/>
      </c>
      <c r="B644" t="str">
        <f t="shared" si="54"/>
        <v/>
      </c>
      <c r="C644" t="str">
        <f t="shared" si="55"/>
        <v/>
      </c>
      <c r="D644" t="str">
        <f t="shared" si="56"/>
        <v/>
      </c>
      <c r="E644" t="str">
        <f t="shared" si="57"/>
        <v/>
      </c>
      <c r="F644" t="str">
        <f t="shared" si="58"/>
        <v/>
      </c>
      <c r="G644" t="str">
        <f>IF(OR($E644="",$E644="نامعتبر",Sync!$X640=""),"",IF(AND(LEFT(UPPER(TRIM(Sync!$X640)),2)="SL",IFERROR(VLOOKUP(Sync!$W640,OpTbl,3,0),"")="فروش"),UPPER(TRIM(Sync!$X640)),""))</f>
        <v/>
      </c>
      <c r="H644" t="str">
        <f>IF($G644="","",IF(Sync!$W640="","",Sync!$W640))</f>
        <v/>
      </c>
      <c r="I644" t="str">
        <f>IF(OR($G644="",Sync!$Y640=""),"",Sync!$Y640)</f>
        <v/>
      </c>
      <c r="J644" t="str">
        <f>IF(OR($G644="",Sync!$Z640=""),"",Sync!$Z640)</f>
        <v/>
      </c>
      <c r="K644">
        <f>IF($G644="",0,IF(Sync!$AA640="",0,Sync!$AA640))</f>
        <v>0</v>
      </c>
      <c r="L644">
        <f>IF($G644="",0,IF(Sync!$AB640="",0,Sync!$AB640))</f>
        <v>0</v>
      </c>
      <c r="M644" t="str">
        <f t="shared" si="59"/>
        <v/>
      </c>
      <c r="N644">
        <f>IF($G644="",0,IF($H644="مرجوعی فروش",-1,1)*IF(Sync!$AC640="",0,Sync!$AC640))</f>
        <v>0</v>
      </c>
      <c r="O644" t="str">
        <f>IF(OR($G644="",Sync!$V640=""),"",Sync!$V640)</f>
        <v/>
      </c>
      <c r="P644" t="str">
        <f>IF(OR($G644="",Sync!$AD640=""),"",Sync!$AD640)</f>
        <v/>
      </c>
      <c r="Q644" t="str">
        <f>IF($G644="","",IF(Sync!$U640="","0000",IF(AND(ISNUMBER(Sync!$U640),Sync!$U640&gt;=0,Sync!$U640&lt;1),RIGHT("00"&amp;HOUR(Sync!$U640),2)&amp;RIGHT("00"&amp;MINUTE(Sync!$U640),2),IFERROR(RIGHT("00"&amp;VALUE(LEFT(Sync!$U640,FIND(":",Sync!$U640)-1)),2)&amp;RIGHT("00"&amp;VALUE(MID(Sync!$U640,FIND(":",Sync!$U640)+1,2)),2),"0000"))))</f>
        <v/>
      </c>
    </row>
    <row r="645" spans="1:17" x14ac:dyDescent="0.2">
      <c r="A645" t="str">
        <f>IF(Sync!$T641="","",Sync!$T641)</f>
        <v/>
      </c>
      <c r="B645" t="str">
        <f t="shared" si="54"/>
        <v/>
      </c>
      <c r="C645" t="str">
        <f t="shared" si="55"/>
        <v/>
      </c>
      <c r="D645" t="str">
        <f t="shared" si="56"/>
        <v/>
      </c>
      <c r="E645" t="str">
        <f t="shared" si="57"/>
        <v/>
      </c>
      <c r="F645" t="str">
        <f t="shared" si="58"/>
        <v/>
      </c>
      <c r="G645" t="str">
        <f>IF(OR($E645="",$E645="نامعتبر",Sync!$X641=""),"",IF(AND(LEFT(UPPER(TRIM(Sync!$X641)),2)="SL",IFERROR(VLOOKUP(Sync!$W641,OpTbl,3,0),"")="فروش"),UPPER(TRIM(Sync!$X641)),""))</f>
        <v/>
      </c>
      <c r="H645" t="str">
        <f>IF($G645="","",IF(Sync!$W641="","",Sync!$W641))</f>
        <v/>
      </c>
      <c r="I645" t="str">
        <f>IF(OR($G645="",Sync!$Y641=""),"",Sync!$Y641)</f>
        <v/>
      </c>
      <c r="J645" t="str">
        <f>IF(OR($G645="",Sync!$Z641=""),"",Sync!$Z641)</f>
        <v/>
      </c>
      <c r="K645">
        <f>IF($G645="",0,IF(Sync!$AA641="",0,Sync!$AA641))</f>
        <v>0</v>
      </c>
      <c r="L645">
        <f>IF($G645="",0,IF(Sync!$AB641="",0,Sync!$AB641))</f>
        <v>0</v>
      </c>
      <c r="M645" t="str">
        <f t="shared" si="59"/>
        <v/>
      </c>
      <c r="N645">
        <f>IF($G645="",0,IF($H645="مرجوعی فروش",-1,1)*IF(Sync!$AC641="",0,Sync!$AC641))</f>
        <v>0</v>
      </c>
      <c r="O645" t="str">
        <f>IF(OR($G645="",Sync!$V641=""),"",Sync!$V641)</f>
        <v/>
      </c>
      <c r="P645" t="str">
        <f>IF(OR($G645="",Sync!$AD641=""),"",Sync!$AD641)</f>
        <v/>
      </c>
      <c r="Q645" t="str">
        <f>IF($G645="","",IF(Sync!$U641="","0000",IF(AND(ISNUMBER(Sync!$U641),Sync!$U641&gt;=0,Sync!$U641&lt;1),RIGHT("00"&amp;HOUR(Sync!$U641),2)&amp;RIGHT("00"&amp;MINUTE(Sync!$U641),2),IFERROR(RIGHT("00"&amp;VALUE(LEFT(Sync!$U641,FIND(":",Sync!$U641)-1)),2)&amp;RIGHT("00"&amp;VALUE(MID(Sync!$U641,FIND(":",Sync!$U641)+1,2)),2),"0000"))))</f>
        <v/>
      </c>
    </row>
    <row r="646" spans="1:17" x14ac:dyDescent="0.2">
      <c r="A646" t="str">
        <f>IF(Sync!$T642="","",Sync!$T642)</f>
        <v/>
      </c>
      <c r="B646" t="str">
        <f t="shared" si="54"/>
        <v/>
      </c>
      <c r="C646" t="str">
        <f t="shared" si="55"/>
        <v/>
      </c>
      <c r="D646" t="str">
        <f t="shared" si="56"/>
        <v/>
      </c>
      <c r="E646" t="str">
        <f t="shared" si="57"/>
        <v/>
      </c>
      <c r="F646" t="str">
        <f t="shared" si="58"/>
        <v/>
      </c>
      <c r="G646" t="str">
        <f>IF(OR($E646="",$E646="نامعتبر",Sync!$X642=""),"",IF(AND(LEFT(UPPER(TRIM(Sync!$X642)),2)="SL",IFERROR(VLOOKUP(Sync!$W642,OpTbl,3,0),"")="فروش"),UPPER(TRIM(Sync!$X642)),""))</f>
        <v/>
      </c>
      <c r="H646" t="str">
        <f>IF($G646="","",IF(Sync!$W642="","",Sync!$W642))</f>
        <v/>
      </c>
      <c r="I646" t="str">
        <f>IF(OR($G646="",Sync!$Y642=""),"",Sync!$Y642)</f>
        <v/>
      </c>
      <c r="J646" t="str">
        <f>IF(OR($G646="",Sync!$Z642=""),"",Sync!$Z642)</f>
        <v/>
      </c>
      <c r="K646">
        <f>IF($G646="",0,IF(Sync!$AA642="",0,Sync!$AA642))</f>
        <v>0</v>
      </c>
      <c r="L646">
        <f>IF($G646="",0,IF(Sync!$AB642="",0,Sync!$AB642))</f>
        <v>0</v>
      </c>
      <c r="M646" t="str">
        <f t="shared" si="59"/>
        <v/>
      </c>
      <c r="N646">
        <f>IF($G646="",0,IF($H646="مرجوعی فروش",-1,1)*IF(Sync!$AC642="",0,Sync!$AC642))</f>
        <v>0</v>
      </c>
      <c r="O646" t="str">
        <f>IF(OR($G646="",Sync!$V642=""),"",Sync!$V642)</f>
        <v/>
      </c>
      <c r="P646" t="str">
        <f>IF(OR($G646="",Sync!$AD642=""),"",Sync!$AD642)</f>
        <v/>
      </c>
      <c r="Q646" t="str">
        <f>IF($G646="","",IF(Sync!$U642="","0000",IF(AND(ISNUMBER(Sync!$U642),Sync!$U642&gt;=0,Sync!$U642&lt;1),RIGHT("00"&amp;HOUR(Sync!$U642),2)&amp;RIGHT("00"&amp;MINUTE(Sync!$U642),2),IFERROR(RIGHT("00"&amp;VALUE(LEFT(Sync!$U642,FIND(":",Sync!$U642)-1)),2)&amp;RIGHT("00"&amp;VALUE(MID(Sync!$U642,FIND(":",Sync!$U642)+1,2)),2),"0000"))))</f>
        <v/>
      </c>
    </row>
    <row r="647" spans="1:17" x14ac:dyDescent="0.2">
      <c r="A647" t="str">
        <f>IF(Sync!$T643="","",Sync!$T643)</f>
        <v/>
      </c>
      <c r="B647" t="str">
        <f t="shared" si="54"/>
        <v/>
      </c>
      <c r="C647" t="str">
        <f t="shared" si="55"/>
        <v/>
      </c>
      <c r="D647" t="str">
        <f t="shared" si="56"/>
        <v/>
      </c>
      <c r="E647" t="str">
        <f t="shared" si="57"/>
        <v/>
      </c>
      <c r="F647" t="str">
        <f t="shared" si="58"/>
        <v/>
      </c>
      <c r="G647" t="str">
        <f>IF(OR($E647="",$E647="نامعتبر",Sync!$X643=""),"",IF(AND(LEFT(UPPER(TRIM(Sync!$X643)),2)="SL",IFERROR(VLOOKUP(Sync!$W643,OpTbl,3,0),"")="فروش"),UPPER(TRIM(Sync!$X643)),""))</f>
        <v/>
      </c>
      <c r="H647" t="str">
        <f>IF($G647="","",IF(Sync!$W643="","",Sync!$W643))</f>
        <v/>
      </c>
      <c r="I647" t="str">
        <f>IF(OR($G647="",Sync!$Y643=""),"",Sync!$Y643)</f>
        <v/>
      </c>
      <c r="J647" t="str">
        <f>IF(OR($G647="",Sync!$Z643=""),"",Sync!$Z643)</f>
        <v/>
      </c>
      <c r="K647">
        <f>IF($G647="",0,IF(Sync!$AA643="",0,Sync!$AA643))</f>
        <v>0</v>
      </c>
      <c r="L647">
        <f>IF($G647="",0,IF(Sync!$AB643="",0,Sync!$AB643))</f>
        <v>0</v>
      </c>
      <c r="M647" t="str">
        <f t="shared" si="59"/>
        <v/>
      </c>
      <c r="N647">
        <f>IF($G647="",0,IF($H647="مرجوعی فروش",-1,1)*IF(Sync!$AC643="",0,Sync!$AC643))</f>
        <v>0</v>
      </c>
      <c r="O647" t="str">
        <f>IF(OR($G647="",Sync!$V643=""),"",Sync!$V643)</f>
        <v/>
      </c>
      <c r="P647" t="str">
        <f>IF(OR($G647="",Sync!$AD643=""),"",Sync!$AD643)</f>
        <v/>
      </c>
      <c r="Q647" t="str">
        <f>IF($G647="","",IF(Sync!$U643="","0000",IF(AND(ISNUMBER(Sync!$U643),Sync!$U643&gt;=0,Sync!$U643&lt;1),RIGHT("00"&amp;HOUR(Sync!$U643),2)&amp;RIGHT("00"&amp;MINUTE(Sync!$U643),2),IFERROR(RIGHT("00"&amp;VALUE(LEFT(Sync!$U643,FIND(":",Sync!$U643)-1)),2)&amp;RIGHT("00"&amp;VALUE(MID(Sync!$U643,FIND(":",Sync!$U643)+1,2)),2),"0000"))))</f>
        <v/>
      </c>
    </row>
    <row r="648" spans="1:17" x14ac:dyDescent="0.2">
      <c r="A648" t="str">
        <f>IF(Sync!$T644="","",Sync!$T644)</f>
        <v/>
      </c>
      <c r="B648" t="str">
        <f t="shared" si="54"/>
        <v/>
      </c>
      <c r="C648" t="str">
        <f t="shared" si="55"/>
        <v/>
      </c>
      <c r="D648" t="str">
        <f t="shared" si="56"/>
        <v/>
      </c>
      <c r="E648" t="str">
        <f t="shared" si="57"/>
        <v/>
      </c>
      <c r="F648" t="str">
        <f t="shared" si="58"/>
        <v/>
      </c>
      <c r="G648" t="str">
        <f>IF(OR($E648="",$E648="نامعتبر",Sync!$X644=""),"",IF(AND(LEFT(UPPER(TRIM(Sync!$X644)),2)="SL",IFERROR(VLOOKUP(Sync!$W644,OpTbl,3,0),"")="فروش"),UPPER(TRIM(Sync!$X644)),""))</f>
        <v/>
      </c>
      <c r="H648" t="str">
        <f>IF($G648="","",IF(Sync!$W644="","",Sync!$W644))</f>
        <v/>
      </c>
      <c r="I648" t="str">
        <f>IF(OR($G648="",Sync!$Y644=""),"",Sync!$Y644)</f>
        <v/>
      </c>
      <c r="J648" t="str">
        <f>IF(OR($G648="",Sync!$Z644=""),"",Sync!$Z644)</f>
        <v/>
      </c>
      <c r="K648">
        <f>IF($G648="",0,IF(Sync!$AA644="",0,Sync!$AA644))</f>
        <v>0</v>
      </c>
      <c r="L648">
        <f>IF($G648="",0,IF(Sync!$AB644="",0,Sync!$AB644))</f>
        <v>0</v>
      </c>
      <c r="M648" t="str">
        <f t="shared" si="59"/>
        <v/>
      </c>
      <c r="N648">
        <f>IF($G648="",0,IF($H648="مرجوعی فروش",-1,1)*IF(Sync!$AC644="",0,Sync!$AC644))</f>
        <v>0</v>
      </c>
      <c r="O648" t="str">
        <f>IF(OR($G648="",Sync!$V644=""),"",Sync!$V644)</f>
        <v/>
      </c>
      <c r="P648" t="str">
        <f>IF(OR($G648="",Sync!$AD644=""),"",Sync!$AD644)</f>
        <v/>
      </c>
      <c r="Q648" t="str">
        <f>IF($G648="","",IF(Sync!$U644="","0000",IF(AND(ISNUMBER(Sync!$U644),Sync!$U644&gt;=0,Sync!$U644&lt;1),RIGHT("00"&amp;HOUR(Sync!$U644),2)&amp;RIGHT("00"&amp;MINUTE(Sync!$U644),2),IFERROR(RIGHT("00"&amp;VALUE(LEFT(Sync!$U644,FIND(":",Sync!$U644)-1)),2)&amp;RIGHT("00"&amp;VALUE(MID(Sync!$U644,FIND(":",Sync!$U644)+1,2)),2),"0000"))))</f>
        <v/>
      </c>
    </row>
    <row r="649" spans="1:17" x14ac:dyDescent="0.2">
      <c r="A649" t="str">
        <f>IF(Sync!$T645="","",Sync!$T645)</f>
        <v/>
      </c>
      <c r="B649" t="str">
        <f t="shared" si="54"/>
        <v/>
      </c>
      <c r="C649" t="str">
        <f t="shared" si="55"/>
        <v/>
      </c>
      <c r="D649" t="str">
        <f t="shared" si="56"/>
        <v/>
      </c>
      <c r="E649" t="str">
        <f t="shared" si="57"/>
        <v/>
      </c>
      <c r="F649" t="str">
        <f t="shared" si="58"/>
        <v/>
      </c>
      <c r="G649" t="str">
        <f>IF(OR($E649="",$E649="نامعتبر",Sync!$X645=""),"",IF(AND(LEFT(UPPER(TRIM(Sync!$X645)),2)="SL",IFERROR(VLOOKUP(Sync!$W645,OpTbl,3,0),"")="فروش"),UPPER(TRIM(Sync!$X645)),""))</f>
        <v/>
      </c>
      <c r="H649" t="str">
        <f>IF($G649="","",IF(Sync!$W645="","",Sync!$W645))</f>
        <v/>
      </c>
      <c r="I649" t="str">
        <f>IF(OR($G649="",Sync!$Y645=""),"",Sync!$Y645)</f>
        <v/>
      </c>
      <c r="J649" t="str">
        <f>IF(OR($G649="",Sync!$Z645=""),"",Sync!$Z645)</f>
        <v/>
      </c>
      <c r="K649">
        <f>IF($G649="",0,IF(Sync!$AA645="",0,Sync!$AA645))</f>
        <v>0</v>
      </c>
      <c r="L649">
        <f>IF($G649="",0,IF(Sync!$AB645="",0,Sync!$AB645))</f>
        <v>0</v>
      </c>
      <c r="M649" t="str">
        <f t="shared" si="59"/>
        <v/>
      </c>
      <c r="N649">
        <f>IF($G649="",0,IF($H649="مرجوعی فروش",-1,1)*IF(Sync!$AC645="",0,Sync!$AC645))</f>
        <v>0</v>
      </c>
      <c r="O649" t="str">
        <f>IF(OR($G649="",Sync!$V645=""),"",Sync!$V645)</f>
        <v/>
      </c>
      <c r="P649" t="str">
        <f>IF(OR($G649="",Sync!$AD645=""),"",Sync!$AD645)</f>
        <v/>
      </c>
      <c r="Q649" t="str">
        <f>IF($G649="","",IF(Sync!$U645="","0000",IF(AND(ISNUMBER(Sync!$U645),Sync!$U645&gt;=0,Sync!$U645&lt;1),RIGHT("00"&amp;HOUR(Sync!$U645),2)&amp;RIGHT("00"&amp;MINUTE(Sync!$U645),2),IFERROR(RIGHT("00"&amp;VALUE(LEFT(Sync!$U645,FIND(":",Sync!$U645)-1)),2)&amp;RIGHT("00"&amp;VALUE(MID(Sync!$U645,FIND(":",Sync!$U645)+1,2)),2),"0000"))))</f>
        <v/>
      </c>
    </row>
    <row r="650" spans="1:17" x14ac:dyDescent="0.2">
      <c r="A650" t="str">
        <f>IF(Sync!$T646="","",Sync!$T646)</f>
        <v/>
      </c>
      <c r="B650" t="str">
        <f t="shared" ref="B650:B713" si="60">IF($A650="","",IF(ISNUMBER($A650),IF(AND($A650&gt;=10000101,$A650&lt;=99991231),INT($A650/10000),""),IFERROR(VALUE(TRIM(LEFT($A650,FIND("/",$A650)-1))),"")))</f>
        <v/>
      </c>
      <c r="C650" t="str">
        <f t="shared" ref="C650:C713" si="61">IF(OR($A650="",$B650=""),"",IF(ISNUMBER($A650),INT(MOD($A650,10000)/100),IFERROR(VALUE(TRIM(LEFT(MID($A650,FIND("/",$A650)+1,20),FIND("/",MID($A650,FIND("/",$A650)+1,20))-1))),"")))</f>
        <v/>
      </c>
      <c r="D650" t="str">
        <f t="shared" ref="D650:D713" si="62">IF(OR($A650="",$B650=""),"",IF(ISNUMBER($A650),MOD($A650,100),IFERROR(VALUE(TRIM(MID(MID($A650,FIND("/",$A650)+1,20),FIND("/",MID($A650,FIND("/",$A650)+1,20))+1,20))),"")))</f>
        <v/>
      </c>
      <c r="E650" t="str">
        <f t="shared" ref="E650:E713" si="63">IF($A650="","",IF(OR($B650="",$C650="",$D650="",$B650&lt;1300,$B650&gt;1500,$C650&lt;1,$C650&gt;12,$D650&lt;1,$D650&gt;31),"نامعتبر",RIGHT("0000"&amp;$B650,4)&amp;"/"&amp;RIGHT("00"&amp;$C650,2)&amp;"/"&amp;RIGHT("00"&amp;$D650,2)))</f>
        <v/>
      </c>
      <c r="F650" t="str">
        <f t="shared" ref="F650:F713" si="64">IF(OR($E650="",$E650="نامعتبر"),"",LEFT($E650,4)&amp;"/"&amp;MID($E650,6,2))</f>
        <v/>
      </c>
      <c r="G650" t="str">
        <f>IF(OR($E650="",$E650="نامعتبر",Sync!$X646=""),"",IF(AND(LEFT(UPPER(TRIM(Sync!$X646)),2)="SL",IFERROR(VLOOKUP(Sync!$W646,OpTbl,3,0),"")="فروش"),UPPER(TRIM(Sync!$X646)),""))</f>
        <v/>
      </c>
      <c r="H650" t="str">
        <f>IF($G650="","",IF(Sync!$W646="","",Sync!$W646))</f>
        <v/>
      </c>
      <c r="I650" t="str">
        <f>IF(OR($G650="",Sync!$Y646=""),"",Sync!$Y646)</f>
        <v/>
      </c>
      <c r="J650" t="str">
        <f>IF(OR($G650="",Sync!$Z646=""),"",Sync!$Z646)</f>
        <v/>
      </c>
      <c r="K650">
        <f>IF($G650="",0,IF(Sync!$AA646="",0,Sync!$AA646))</f>
        <v>0</v>
      </c>
      <c r="L650">
        <f>IF($G650="",0,IF(Sync!$AB646="",0,Sync!$AB646))</f>
        <v>0</v>
      </c>
      <c r="M650" t="str">
        <f t="shared" ref="M650:M713" si="65">IF($G650="","",IF($H650="مرجوعی فروش",-1,1)*($K650-$L650*IFERROR(VLOOKUP("P01",ParamTbl,3,0),1.5)))</f>
        <v/>
      </c>
      <c r="N650">
        <f>IF($G650="",0,IF($H650="مرجوعی فروش",-1,1)*IF(Sync!$AC646="",0,Sync!$AC646))</f>
        <v>0</v>
      </c>
      <c r="O650" t="str">
        <f>IF(OR($G650="",Sync!$V646=""),"",Sync!$V646)</f>
        <v/>
      </c>
      <c r="P650" t="str">
        <f>IF(OR($G650="",Sync!$AD646=""),"",Sync!$AD646)</f>
        <v/>
      </c>
      <c r="Q650" t="str">
        <f>IF($G650="","",IF(Sync!$U646="","0000",IF(AND(ISNUMBER(Sync!$U646),Sync!$U646&gt;=0,Sync!$U646&lt;1),RIGHT("00"&amp;HOUR(Sync!$U646),2)&amp;RIGHT("00"&amp;MINUTE(Sync!$U646),2),IFERROR(RIGHT("00"&amp;VALUE(LEFT(Sync!$U646,FIND(":",Sync!$U646)-1)),2)&amp;RIGHT("00"&amp;VALUE(MID(Sync!$U646,FIND(":",Sync!$U646)+1,2)),2),"0000"))))</f>
        <v/>
      </c>
    </row>
    <row r="651" spans="1:17" x14ac:dyDescent="0.2">
      <c r="A651" t="str">
        <f>IF(Sync!$T647="","",Sync!$T647)</f>
        <v/>
      </c>
      <c r="B651" t="str">
        <f t="shared" si="60"/>
        <v/>
      </c>
      <c r="C651" t="str">
        <f t="shared" si="61"/>
        <v/>
      </c>
      <c r="D651" t="str">
        <f t="shared" si="62"/>
        <v/>
      </c>
      <c r="E651" t="str">
        <f t="shared" si="63"/>
        <v/>
      </c>
      <c r="F651" t="str">
        <f t="shared" si="64"/>
        <v/>
      </c>
      <c r="G651" t="str">
        <f>IF(OR($E651="",$E651="نامعتبر",Sync!$X647=""),"",IF(AND(LEFT(UPPER(TRIM(Sync!$X647)),2)="SL",IFERROR(VLOOKUP(Sync!$W647,OpTbl,3,0),"")="فروش"),UPPER(TRIM(Sync!$X647)),""))</f>
        <v/>
      </c>
      <c r="H651" t="str">
        <f>IF($G651="","",IF(Sync!$W647="","",Sync!$W647))</f>
        <v/>
      </c>
      <c r="I651" t="str">
        <f>IF(OR($G651="",Sync!$Y647=""),"",Sync!$Y647)</f>
        <v/>
      </c>
      <c r="J651" t="str">
        <f>IF(OR($G651="",Sync!$Z647=""),"",Sync!$Z647)</f>
        <v/>
      </c>
      <c r="K651">
        <f>IF($G651="",0,IF(Sync!$AA647="",0,Sync!$AA647))</f>
        <v>0</v>
      </c>
      <c r="L651">
        <f>IF($G651="",0,IF(Sync!$AB647="",0,Sync!$AB647))</f>
        <v>0</v>
      </c>
      <c r="M651" t="str">
        <f t="shared" si="65"/>
        <v/>
      </c>
      <c r="N651">
        <f>IF($G651="",0,IF($H651="مرجوعی فروش",-1,1)*IF(Sync!$AC647="",0,Sync!$AC647))</f>
        <v>0</v>
      </c>
      <c r="O651" t="str">
        <f>IF(OR($G651="",Sync!$V647=""),"",Sync!$V647)</f>
        <v/>
      </c>
      <c r="P651" t="str">
        <f>IF(OR($G651="",Sync!$AD647=""),"",Sync!$AD647)</f>
        <v/>
      </c>
      <c r="Q651" t="str">
        <f>IF($G651="","",IF(Sync!$U647="","0000",IF(AND(ISNUMBER(Sync!$U647),Sync!$U647&gt;=0,Sync!$U647&lt;1),RIGHT("00"&amp;HOUR(Sync!$U647),2)&amp;RIGHT("00"&amp;MINUTE(Sync!$U647),2),IFERROR(RIGHT("00"&amp;VALUE(LEFT(Sync!$U647,FIND(":",Sync!$U647)-1)),2)&amp;RIGHT("00"&amp;VALUE(MID(Sync!$U647,FIND(":",Sync!$U647)+1,2)),2),"0000"))))</f>
        <v/>
      </c>
    </row>
    <row r="652" spans="1:17" x14ac:dyDescent="0.2">
      <c r="A652" t="str">
        <f>IF(Sync!$T648="","",Sync!$T648)</f>
        <v/>
      </c>
      <c r="B652" t="str">
        <f t="shared" si="60"/>
        <v/>
      </c>
      <c r="C652" t="str">
        <f t="shared" si="61"/>
        <v/>
      </c>
      <c r="D652" t="str">
        <f t="shared" si="62"/>
        <v/>
      </c>
      <c r="E652" t="str">
        <f t="shared" si="63"/>
        <v/>
      </c>
      <c r="F652" t="str">
        <f t="shared" si="64"/>
        <v/>
      </c>
      <c r="G652" t="str">
        <f>IF(OR($E652="",$E652="نامعتبر",Sync!$X648=""),"",IF(AND(LEFT(UPPER(TRIM(Sync!$X648)),2)="SL",IFERROR(VLOOKUP(Sync!$W648,OpTbl,3,0),"")="فروش"),UPPER(TRIM(Sync!$X648)),""))</f>
        <v/>
      </c>
      <c r="H652" t="str">
        <f>IF($G652="","",IF(Sync!$W648="","",Sync!$W648))</f>
        <v/>
      </c>
      <c r="I652" t="str">
        <f>IF(OR($G652="",Sync!$Y648=""),"",Sync!$Y648)</f>
        <v/>
      </c>
      <c r="J652" t="str">
        <f>IF(OR($G652="",Sync!$Z648=""),"",Sync!$Z648)</f>
        <v/>
      </c>
      <c r="K652">
        <f>IF($G652="",0,IF(Sync!$AA648="",0,Sync!$AA648))</f>
        <v>0</v>
      </c>
      <c r="L652">
        <f>IF($G652="",0,IF(Sync!$AB648="",0,Sync!$AB648))</f>
        <v>0</v>
      </c>
      <c r="M652" t="str">
        <f t="shared" si="65"/>
        <v/>
      </c>
      <c r="N652">
        <f>IF($G652="",0,IF($H652="مرجوعی فروش",-1,1)*IF(Sync!$AC648="",0,Sync!$AC648))</f>
        <v>0</v>
      </c>
      <c r="O652" t="str">
        <f>IF(OR($G652="",Sync!$V648=""),"",Sync!$V648)</f>
        <v/>
      </c>
      <c r="P652" t="str">
        <f>IF(OR($G652="",Sync!$AD648=""),"",Sync!$AD648)</f>
        <v/>
      </c>
      <c r="Q652" t="str">
        <f>IF($G652="","",IF(Sync!$U648="","0000",IF(AND(ISNUMBER(Sync!$U648),Sync!$U648&gt;=0,Sync!$U648&lt;1),RIGHT("00"&amp;HOUR(Sync!$U648),2)&amp;RIGHT("00"&amp;MINUTE(Sync!$U648),2),IFERROR(RIGHT("00"&amp;VALUE(LEFT(Sync!$U648,FIND(":",Sync!$U648)-1)),2)&amp;RIGHT("00"&amp;VALUE(MID(Sync!$U648,FIND(":",Sync!$U648)+1,2)),2),"0000"))))</f>
        <v/>
      </c>
    </row>
    <row r="653" spans="1:17" x14ac:dyDescent="0.2">
      <c r="A653" t="str">
        <f>IF(Sync!$T649="","",Sync!$T649)</f>
        <v/>
      </c>
      <c r="B653" t="str">
        <f t="shared" si="60"/>
        <v/>
      </c>
      <c r="C653" t="str">
        <f t="shared" si="61"/>
        <v/>
      </c>
      <c r="D653" t="str">
        <f t="shared" si="62"/>
        <v/>
      </c>
      <c r="E653" t="str">
        <f t="shared" si="63"/>
        <v/>
      </c>
      <c r="F653" t="str">
        <f t="shared" si="64"/>
        <v/>
      </c>
      <c r="G653" t="str">
        <f>IF(OR($E653="",$E653="نامعتبر",Sync!$X649=""),"",IF(AND(LEFT(UPPER(TRIM(Sync!$X649)),2)="SL",IFERROR(VLOOKUP(Sync!$W649,OpTbl,3,0),"")="فروش"),UPPER(TRIM(Sync!$X649)),""))</f>
        <v/>
      </c>
      <c r="H653" t="str">
        <f>IF($G653="","",IF(Sync!$W649="","",Sync!$W649))</f>
        <v/>
      </c>
      <c r="I653" t="str">
        <f>IF(OR($G653="",Sync!$Y649=""),"",Sync!$Y649)</f>
        <v/>
      </c>
      <c r="J653" t="str">
        <f>IF(OR($G653="",Sync!$Z649=""),"",Sync!$Z649)</f>
        <v/>
      </c>
      <c r="K653">
        <f>IF($G653="",0,IF(Sync!$AA649="",0,Sync!$AA649))</f>
        <v>0</v>
      </c>
      <c r="L653">
        <f>IF($G653="",0,IF(Sync!$AB649="",0,Sync!$AB649))</f>
        <v>0</v>
      </c>
      <c r="M653" t="str">
        <f t="shared" si="65"/>
        <v/>
      </c>
      <c r="N653">
        <f>IF($G653="",0,IF($H653="مرجوعی فروش",-1,1)*IF(Sync!$AC649="",0,Sync!$AC649))</f>
        <v>0</v>
      </c>
      <c r="O653" t="str">
        <f>IF(OR($G653="",Sync!$V649=""),"",Sync!$V649)</f>
        <v/>
      </c>
      <c r="P653" t="str">
        <f>IF(OR($G653="",Sync!$AD649=""),"",Sync!$AD649)</f>
        <v/>
      </c>
      <c r="Q653" t="str">
        <f>IF($G653="","",IF(Sync!$U649="","0000",IF(AND(ISNUMBER(Sync!$U649),Sync!$U649&gt;=0,Sync!$U649&lt;1),RIGHT("00"&amp;HOUR(Sync!$U649),2)&amp;RIGHT("00"&amp;MINUTE(Sync!$U649),2),IFERROR(RIGHT("00"&amp;VALUE(LEFT(Sync!$U649,FIND(":",Sync!$U649)-1)),2)&amp;RIGHT("00"&amp;VALUE(MID(Sync!$U649,FIND(":",Sync!$U649)+1,2)),2),"0000"))))</f>
        <v/>
      </c>
    </row>
    <row r="654" spans="1:17" x14ac:dyDescent="0.2">
      <c r="A654" t="str">
        <f>IF(Sync!$T650="","",Sync!$T650)</f>
        <v/>
      </c>
      <c r="B654" t="str">
        <f t="shared" si="60"/>
        <v/>
      </c>
      <c r="C654" t="str">
        <f t="shared" si="61"/>
        <v/>
      </c>
      <c r="D654" t="str">
        <f t="shared" si="62"/>
        <v/>
      </c>
      <c r="E654" t="str">
        <f t="shared" si="63"/>
        <v/>
      </c>
      <c r="F654" t="str">
        <f t="shared" si="64"/>
        <v/>
      </c>
      <c r="G654" t="str">
        <f>IF(OR($E654="",$E654="نامعتبر",Sync!$X650=""),"",IF(AND(LEFT(UPPER(TRIM(Sync!$X650)),2)="SL",IFERROR(VLOOKUP(Sync!$W650,OpTbl,3,0),"")="فروش"),UPPER(TRIM(Sync!$X650)),""))</f>
        <v/>
      </c>
      <c r="H654" t="str">
        <f>IF($G654="","",IF(Sync!$W650="","",Sync!$W650))</f>
        <v/>
      </c>
      <c r="I654" t="str">
        <f>IF(OR($G654="",Sync!$Y650=""),"",Sync!$Y650)</f>
        <v/>
      </c>
      <c r="J654" t="str">
        <f>IF(OR($G654="",Sync!$Z650=""),"",Sync!$Z650)</f>
        <v/>
      </c>
      <c r="K654">
        <f>IF($G654="",0,IF(Sync!$AA650="",0,Sync!$AA650))</f>
        <v>0</v>
      </c>
      <c r="L654">
        <f>IF($G654="",0,IF(Sync!$AB650="",0,Sync!$AB650))</f>
        <v>0</v>
      </c>
      <c r="M654" t="str">
        <f t="shared" si="65"/>
        <v/>
      </c>
      <c r="N654">
        <f>IF($G654="",0,IF($H654="مرجوعی فروش",-1,1)*IF(Sync!$AC650="",0,Sync!$AC650))</f>
        <v>0</v>
      </c>
      <c r="O654" t="str">
        <f>IF(OR($G654="",Sync!$V650=""),"",Sync!$V650)</f>
        <v/>
      </c>
      <c r="P654" t="str">
        <f>IF(OR($G654="",Sync!$AD650=""),"",Sync!$AD650)</f>
        <v/>
      </c>
      <c r="Q654" t="str">
        <f>IF($G654="","",IF(Sync!$U650="","0000",IF(AND(ISNUMBER(Sync!$U650),Sync!$U650&gt;=0,Sync!$U650&lt;1),RIGHT("00"&amp;HOUR(Sync!$U650),2)&amp;RIGHT("00"&amp;MINUTE(Sync!$U650),2),IFERROR(RIGHT("00"&amp;VALUE(LEFT(Sync!$U650,FIND(":",Sync!$U650)-1)),2)&amp;RIGHT("00"&amp;VALUE(MID(Sync!$U650,FIND(":",Sync!$U650)+1,2)),2),"0000"))))</f>
        <v/>
      </c>
    </row>
    <row r="655" spans="1:17" x14ac:dyDescent="0.2">
      <c r="A655" t="str">
        <f>IF(Sync!$T651="","",Sync!$T651)</f>
        <v/>
      </c>
      <c r="B655" t="str">
        <f t="shared" si="60"/>
        <v/>
      </c>
      <c r="C655" t="str">
        <f t="shared" si="61"/>
        <v/>
      </c>
      <c r="D655" t="str">
        <f t="shared" si="62"/>
        <v/>
      </c>
      <c r="E655" t="str">
        <f t="shared" si="63"/>
        <v/>
      </c>
      <c r="F655" t="str">
        <f t="shared" si="64"/>
        <v/>
      </c>
      <c r="G655" t="str">
        <f>IF(OR($E655="",$E655="نامعتبر",Sync!$X651=""),"",IF(AND(LEFT(UPPER(TRIM(Sync!$X651)),2)="SL",IFERROR(VLOOKUP(Sync!$W651,OpTbl,3,0),"")="فروش"),UPPER(TRIM(Sync!$X651)),""))</f>
        <v/>
      </c>
      <c r="H655" t="str">
        <f>IF($G655="","",IF(Sync!$W651="","",Sync!$W651))</f>
        <v/>
      </c>
      <c r="I655" t="str">
        <f>IF(OR($G655="",Sync!$Y651=""),"",Sync!$Y651)</f>
        <v/>
      </c>
      <c r="J655" t="str">
        <f>IF(OR($G655="",Sync!$Z651=""),"",Sync!$Z651)</f>
        <v/>
      </c>
      <c r="K655">
        <f>IF($G655="",0,IF(Sync!$AA651="",0,Sync!$AA651))</f>
        <v>0</v>
      </c>
      <c r="L655">
        <f>IF($G655="",0,IF(Sync!$AB651="",0,Sync!$AB651))</f>
        <v>0</v>
      </c>
      <c r="M655" t="str">
        <f t="shared" si="65"/>
        <v/>
      </c>
      <c r="N655">
        <f>IF($G655="",0,IF($H655="مرجوعی فروش",-1,1)*IF(Sync!$AC651="",0,Sync!$AC651))</f>
        <v>0</v>
      </c>
      <c r="O655" t="str">
        <f>IF(OR($G655="",Sync!$V651=""),"",Sync!$V651)</f>
        <v/>
      </c>
      <c r="P655" t="str">
        <f>IF(OR($G655="",Sync!$AD651=""),"",Sync!$AD651)</f>
        <v/>
      </c>
      <c r="Q655" t="str">
        <f>IF($G655="","",IF(Sync!$U651="","0000",IF(AND(ISNUMBER(Sync!$U651),Sync!$U651&gt;=0,Sync!$U651&lt;1),RIGHT("00"&amp;HOUR(Sync!$U651),2)&amp;RIGHT("00"&amp;MINUTE(Sync!$U651),2),IFERROR(RIGHT("00"&amp;VALUE(LEFT(Sync!$U651,FIND(":",Sync!$U651)-1)),2)&amp;RIGHT("00"&amp;VALUE(MID(Sync!$U651,FIND(":",Sync!$U651)+1,2)),2),"0000"))))</f>
        <v/>
      </c>
    </row>
    <row r="656" spans="1:17" x14ac:dyDescent="0.2">
      <c r="A656" t="str">
        <f>IF(Sync!$T652="","",Sync!$T652)</f>
        <v/>
      </c>
      <c r="B656" t="str">
        <f t="shared" si="60"/>
        <v/>
      </c>
      <c r="C656" t="str">
        <f t="shared" si="61"/>
        <v/>
      </c>
      <c r="D656" t="str">
        <f t="shared" si="62"/>
        <v/>
      </c>
      <c r="E656" t="str">
        <f t="shared" si="63"/>
        <v/>
      </c>
      <c r="F656" t="str">
        <f t="shared" si="64"/>
        <v/>
      </c>
      <c r="G656" t="str">
        <f>IF(OR($E656="",$E656="نامعتبر",Sync!$X652=""),"",IF(AND(LEFT(UPPER(TRIM(Sync!$X652)),2)="SL",IFERROR(VLOOKUP(Sync!$W652,OpTbl,3,0),"")="فروش"),UPPER(TRIM(Sync!$X652)),""))</f>
        <v/>
      </c>
      <c r="H656" t="str">
        <f>IF($G656="","",IF(Sync!$W652="","",Sync!$W652))</f>
        <v/>
      </c>
      <c r="I656" t="str">
        <f>IF(OR($G656="",Sync!$Y652=""),"",Sync!$Y652)</f>
        <v/>
      </c>
      <c r="J656" t="str">
        <f>IF(OR($G656="",Sync!$Z652=""),"",Sync!$Z652)</f>
        <v/>
      </c>
      <c r="K656">
        <f>IF($G656="",0,IF(Sync!$AA652="",0,Sync!$AA652))</f>
        <v>0</v>
      </c>
      <c r="L656">
        <f>IF($G656="",0,IF(Sync!$AB652="",0,Sync!$AB652))</f>
        <v>0</v>
      </c>
      <c r="M656" t="str">
        <f t="shared" si="65"/>
        <v/>
      </c>
      <c r="N656">
        <f>IF($G656="",0,IF($H656="مرجوعی فروش",-1,1)*IF(Sync!$AC652="",0,Sync!$AC652))</f>
        <v>0</v>
      </c>
      <c r="O656" t="str">
        <f>IF(OR($G656="",Sync!$V652=""),"",Sync!$V652)</f>
        <v/>
      </c>
      <c r="P656" t="str">
        <f>IF(OR($G656="",Sync!$AD652=""),"",Sync!$AD652)</f>
        <v/>
      </c>
      <c r="Q656" t="str">
        <f>IF($G656="","",IF(Sync!$U652="","0000",IF(AND(ISNUMBER(Sync!$U652),Sync!$U652&gt;=0,Sync!$U652&lt;1),RIGHT("00"&amp;HOUR(Sync!$U652),2)&amp;RIGHT("00"&amp;MINUTE(Sync!$U652),2),IFERROR(RIGHT("00"&amp;VALUE(LEFT(Sync!$U652,FIND(":",Sync!$U652)-1)),2)&amp;RIGHT("00"&amp;VALUE(MID(Sync!$U652,FIND(":",Sync!$U652)+1,2)),2),"0000"))))</f>
        <v/>
      </c>
    </row>
    <row r="657" spans="1:17" x14ac:dyDescent="0.2">
      <c r="A657" t="str">
        <f>IF(Sync!$T653="","",Sync!$T653)</f>
        <v/>
      </c>
      <c r="B657" t="str">
        <f t="shared" si="60"/>
        <v/>
      </c>
      <c r="C657" t="str">
        <f t="shared" si="61"/>
        <v/>
      </c>
      <c r="D657" t="str">
        <f t="shared" si="62"/>
        <v/>
      </c>
      <c r="E657" t="str">
        <f t="shared" si="63"/>
        <v/>
      </c>
      <c r="F657" t="str">
        <f t="shared" si="64"/>
        <v/>
      </c>
      <c r="G657" t="str">
        <f>IF(OR($E657="",$E657="نامعتبر",Sync!$X653=""),"",IF(AND(LEFT(UPPER(TRIM(Sync!$X653)),2)="SL",IFERROR(VLOOKUP(Sync!$W653,OpTbl,3,0),"")="فروش"),UPPER(TRIM(Sync!$X653)),""))</f>
        <v/>
      </c>
      <c r="H657" t="str">
        <f>IF($G657="","",IF(Sync!$W653="","",Sync!$W653))</f>
        <v/>
      </c>
      <c r="I657" t="str">
        <f>IF(OR($G657="",Sync!$Y653=""),"",Sync!$Y653)</f>
        <v/>
      </c>
      <c r="J657" t="str">
        <f>IF(OR($G657="",Sync!$Z653=""),"",Sync!$Z653)</f>
        <v/>
      </c>
      <c r="K657">
        <f>IF($G657="",0,IF(Sync!$AA653="",0,Sync!$AA653))</f>
        <v>0</v>
      </c>
      <c r="L657">
        <f>IF($G657="",0,IF(Sync!$AB653="",0,Sync!$AB653))</f>
        <v>0</v>
      </c>
      <c r="M657" t="str">
        <f t="shared" si="65"/>
        <v/>
      </c>
      <c r="N657">
        <f>IF($G657="",0,IF($H657="مرجوعی فروش",-1,1)*IF(Sync!$AC653="",0,Sync!$AC653))</f>
        <v>0</v>
      </c>
      <c r="O657" t="str">
        <f>IF(OR($G657="",Sync!$V653=""),"",Sync!$V653)</f>
        <v/>
      </c>
      <c r="P657" t="str">
        <f>IF(OR($G657="",Sync!$AD653=""),"",Sync!$AD653)</f>
        <v/>
      </c>
      <c r="Q657" t="str">
        <f>IF($G657="","",IF(Sync!$U653="","0000",IF(AND(ISNUMBER(Sync!$U653),Sync!$U653&gt;=0,Sync!$U653&lt;1),RIGHT("00"&amp;HOUR(Sync!$U653),2)&amp;RIGHT("00"&amp;MINUTE(Sync!$U653),2),IFERROR(RIGHT("00"&amp;VALUE(LEFT(Sync!$U653,FIND(":",Sync!$U653)-1)),2)&amp;RIGHT("00"&amp;VALUE(MID(Sync!$U653,FIND(":",Sync!$U653)+1,2)),2),"0000"))))</f>
        <v/>
      </c>
    </row>
    <row r="658" spans="1:17" x14ac:dyDescent="0.2">
      <c r="A658" t="str">
        <f>IF(Sync!$T654="","",Sync!$T654)</f>
        <v/>
      </c>
      <c r="B658" t="str">
        <f t="shared" si="60"/>
        <v/>
      </c>
      <c r="C658" t="str">
        <f t="shared" si="61"/>
        <v/>
      </c>
      <c r="D658" t="str">
        <f t="shared" si="62"/>
        <v/>
      </c>
      <c r="E658" t="str">
        <f t="shared" si="63"/>
        <v/>
      </c>
      <c r="F658" t="str">
        <f t="shared" si="64"/>
        <v/>
      </c>
      <c r="G658" t="str">
        <f>IF(OR($E658="",$E658="نامعتبر",Sync!$X654=""),"",IF(AND(LEFT(UPPER(TRIM(Sync!$X654)),2)="SL",IFERROR(VLOOKUP(Sync!$W654,OpTbl,3,0),"")="فروش"),UPPER(TRIM(Sync!$X654)),""))</f>
        <v/>
      </c>
      <c r="H658" t="str">
        <f>IF($G658="","",IF(Sync!$W654="","",Sync!$W654))</f>
        <v/>
      </c>
      <c r="I658" t="str">
        <f>IF(OR($G658="",Sync!$Y654=""),"",Sync!$Y654)</f>
        <v/>
      </c>
      <c r="J658" t="str">
        <f>IF(OR($G658="",Sync!$Z654=""),"",Sync!$Z654)</f>
        <v/>
      </c>
      <c r="K658">
        <f>IF($G658="",0,IF(Sync!$AA654="",0,Sync!$AA654))</f>
        <v>0</v>
      </c>
      <c r="L658">
        <f>IF($G658="",0,IF(Sync!$AB654="",0,Sync!$AB654))</f>
        <v>0</v>
      </c>
      <c r="M658" t="str">
        <f t="shared" si="65"/>
        <v/>
      </c>
      <c r="N658">
        <f>IF($G658="",0,IF($H658="مرجوعی فروش",-1,1)*IF(Sync!$AC654="",0,Sync!$AC654))</f>
        <v>0</v>
      </c>
      <c r="O658" t="str">
        <f>IF(OR($G658="",Sync!$V654=""),"",Sync!$V654)</f>
        <v/>
      </c>
      <c r="P658" t="str">
        <f>IF(OR($G658="",Sync!$AD654=""),"",Sync!$AD654)</f>
        <v/>
      </c>
      <c r="Q658" t="str">
        <f>IF($G658="","",IF(Sync!$U654="","0000",IF(AND(ISNUMBER(Sync!$U654),Sync!$U654&gt;=0,Sync!$U654&lt;1),RIGHT("00"&amp;HOUR(Sync!$U654),2)&amp;RIGHT("00"&amp;MINUTE(Sync!$U654),2),IFERROR(RIGHT("00"&amp;VALUE(LEFT(Sync!$U654,FIND(":",Sync!$U654)-1)),2)&amp;RIGHT("00"&amp;VALUE(MID(Sync!$U654,FIND(":",Sync!$U654)+1,2)),2),"0000"))))</f>
        <v/>
      </c>
    </row>
    <row r="659" spans="1:17" x14ac:dyDescent="0.2">
      <c r="A659" t="str">
        <f>IF(Sync!$T655="","",Sync!$T655)</f>
        <v/>
      </c>
      <c r="B659" t="str">
        <f t="shared" si="60"/>
        <v/>
      </c>
      <c r="C659" t="str">
        <f t="shared" si="61"/>
        <v/>
      </c>
      <c r="D659" t="str">
        <f t="shared" si="62"/>
        <v/>
      </c>
      <c r="E659" t="str">
        <f t="shared" si="63"/>
        <v/>
      </c>
      <c r="F659" t="str">
        <f t="shared" si="64"/>
        <v/>
      </c>
      <c r="G659" t="str">
        <f>IF(OR($E659="",$E659="نامعتبر",Sync!$X655=""),"",IF(AND(LEFT(UPPER(TRIM(Sync!$X655)),2)="SL",IFERROR(VLOOKUP(Sync!$W655,OpTbl,3,0),"")="فروش"),UPPER(TRIM(Sync!$X655)),""))</f>
        <v/>
      </c>
      <c r="H659" t="str">
        <f>IF($G659="","",IF(Sync!$W655="","",Sync!$W655))</f>
        <v/>
      </c>
      <c r="I659" t="str">
        <f>IF(OR($G659="",Sync!$Y655=""),"",Sync!$Y655)</f>
        <v/>
      </c>
      <c r="J659" t="str">
        <f>IF(OR($G659="",Sync!$Z655=""),"",Sync!$Z655)</f>
        <v/>
      </c>
      <c r="K659">
        <f>IF($G659="",0,IF(Sync!$AA655="",0,Sync!$AA655))</f>
        <v>0</v>
      </c>
      <c r="L659">
        <f>IF($G659="",0,IF(Sync!$AB655="",0,Sync!$AB655))</f>
        <v>0</v>
      </c>
      <c r="M659" t="str">
        <f t="shared" si="65"/>
        <v/>
      </c>
      <c r="N659">
        <f>IF($G659="",0,IF($H659="مرجوعی فروش",-1,1)*IF(Sync!$AC655="",0,Sync!$AC655))</f>
        <v>0</v>
      </c>
      <c r="O659" t="str">
        <f>IF(OR($G659="",Sync!$V655=""),"",Sync!$V655)</f>
        <v/>
      </c>
      <c r="P659" t="str">
        <f>IF(OR($G659="",Sync!$AD655=""),"",Sync!$AD655)</f>
        <v/>
      </c>
      <c r="Q659" t="str">
        <f>IF($G659="","",IF(Sync!$U655="","0000",IF(AND(ISNUMBER(Sync!$U655),Sync!$U655&gt;=0,Sync!$U655&lt;1),RIGHT("00"&amp;HOUR(Sync!$U655),2)&amp;RIGHT("00"&amp;MINUTE(Sync!$U655),2),IFERROR(RIGHT("00"&amp;VALUE(LEFT(Sync!$U655,FIND(":",Sync!$U655)-1)),2)&amp;RIGHT("00"&amp;VALUE(MID(Sync!$U655,FIND(":",Sync!$U655)+1,2)),2),"0000"))))</f>
        <v/>
      </c>
    </row>
    <row r="660" spans="1:17" x14ac:dyDescent="0.2">
      <c r="A660" t="str">
        <f>IF(Sync!$T656="","",Sync!$T656)</f>
        <v/>
      </c>
      <c r="B660" t="str">
        <f t="shared" si="60"/>
        <v/>
      </c>
      <c r="C660" t="str">
        <f t="shared" si="61"/>
        <v/>
      </c>
      <c r="D660" t="str">
        <f t="shared" si="62"/>
        <v/>
      </c>
      <c r="E660" t="str">
        <f t="shared" si="63"/>
        <v/>
      </c>
      <c r="F660" t="str">
        <f t="shared" si="64"/>
        <v/>
      </c>
      <c r="G660" t="str">
        <f>IF(OR($E660="",$E660="نامعتبر",Sync!$X656=""),"",IF(AND(LEFT(UPPER(TRIM(Sync!$X656)),2)="SL",IFERROR(VLOOKUP(Sync!$W656,OpTbl,3,0),"")="فروش"),UPPER(TRIM(Sync!$X656)),""))</f>
        <v/>
      </c>
      <c r="H660" t="str">
        <f>IF($G660="","",IF(Sync!$W656="","",Sync!$W656))</f>
        <v/>
      </c>
      <c r="I660" t="str">
        <f>IF(OR($G660="",Sync!$Y656=""),"",Sync!$Y656)</f>
        <v/>
      </c>
      <c r="J660" t="str">
        <f>IF(OR($G660="",Sync!$Z656=""),"",Sync!$Z656)</f>
        <v/>
      </c>
      <c r="K660">
        <f>IF($G660="",0,IF(Sync!$AA656="",0,Sync!$AA656))</f>
        <v>0</v>
      </c>
      <c r="L660">
        <f>IF($G660="",0,IF(Sync!$AB656="",0,Sync!$AB656))</f>
        <v>0</v>
      </c>
      <c r="M660" t="str">
        <f t="shared" si="65"/>
        <v/>
      </c>
      <c r="N660">
        <f>IF($G660="",0,IF($H660="مرجوعی فروش",-1,1)*IF(Sync!$AC656="",0,Sync!$AC656))</f>
        <v>0</v>
      </c>
      <c r="O660" t="str">
        <f>IF(OR($G660="",Sync!$V656=""),"",Sync!$V656)</f>
        <v/>
      </c>
      <c r="P660" t="str">
        <f>IF(OR($G660="",Sync!$AD656=""),"",Sync!$AD656)</f>
        <v/>
      </c>
      <c r="Q660" t="str">
        <f>IF($G660="","",IF(Sync!$U656="","0000",IF(AND(ISNUMBER(Sync!$U656),Sync!$U656&gt;=0,Sync!$U656&lt;1),RIGHT("00"&amp;HOUR(Sync!$U656),2)&amp;RIGHT("00"&amp;MINUTE(Sync!$U656),2),IFERROR(RIGHT("00"&amp;VALUE(LEFT(Sync!$U656,FIND(":",Sync!$U656)-1)),2)&amp;RIGHT("00"&amp;VALUE(MID(Sync!$U656,FIND(":",Sync!$U656)+1,2)),2),"0000"))))</f>
        <v/>
      </c>
    </row>
    <row r="661" spans="1:17" x14ac:dyDescent="0.2">
      <c r="A661" t="str">
        <f>IF(Sync!$T657="","",Sync!$T657)</f>
        <v/>
      </c>
      <c r="B661" t="str">
        <f t="shared" si="60"/>
        <v/>
      </c>
      <c r="C661" t="str">
        <f t="shared" si="61"/>
        <v/>
      </c>
      <c r="D661" t="str">
        <f t="shared" si="62"/>
        <v/>
      </c>
      <c r="E661" t="str">
        <f t="shared" si="63"/>
        <v/>
      </c>
      <c r="F661" t="str">
        <f t="shared" si="64"/>
        <v/>
      </c>
      <c r="G661" t="str">
        <f>IF(OR($E661="",$E661="نامعتبر",Sync!$X657=""),"",IF(AND(LEFT(UPPER(TRIM(Sync!$X657)),2)="SL",IFERROR(VLOOKUP(Sync!$W657,OpTbl,3,0),"")="فروش"),UPPER(TRIM(Sync!$X657)),""))</f>
        <v/>
      </c>
      <c r="H661" t="str">
        <f>IF($G661="","",IF(Sync!$W657="","",Sync!$W657))</f>
        <v/>
      </c>
      <c r="I661" t="str">
        <f>IF(OR($G661="",Sync!$Y657=""),"",Sync!$Y657)</f>
        <v/>
      </c>
      <c r="J661" t="str">
        <f>IF(OR($G661="",Sync!$Z657=""),"",Sync!$Z657)</f>
        <v/>
      </c>
      <c r="K661">
        <f>IF($G661="",0,IF(Sync!$AA657="",0,Sync!$AA657))</f>
        <v>0</v>
      </c>
      <c r="L661">
        <f>IF($G661="",0,IF(Sync!$AB657="",0,Sync!$AB657))</f>
        <v>0</v>
      </c>
      <c r="M661" t="str">
        <f t="shared" si="65"/>
        <v/>
      </c>
      <c r="N661">
        <f>IF($G661="",0,IF($H661="مرجوعی فروش",-1,1)*IF(Sync!$AC657="",0,Sync!$AC657))</f>
        <v>0</v>
      </c>
      <c r="O661" t="str">
        <f>IF(OR($G661="",Sync!$V657=""),"",Sync!$V657)</f>
        <v/>
      </c>
      <c r="P661" t="str">
        <f>IF(OR($G661="",Sync!$AD657=""),"",Sync!$AD657)</f>
        <v/>
      </c>
      <c r="Q661" t="str">
        <f>IF($G661="","",IF(Sync!$U657="","0000",IF(AND(ISNUMBER(Sync!$U657),Sync!$U657&gt;=0,Sync!$U657&lt;1),RIGHT("00"&amp;HOUR(Sync!$U657),2)&amp;RIGHT("00"&amp;MINUTE(Sync!$U657),2),IFERROR(RIGHT("00"&amp;VALUE(LEFT(Sync!$U657,FIND(":",Sync!$U657)-1)),2)&amp;RIGHT("00"&amp;VALUE(MID(Sync!$U657,FIND(":",Sync!$U657)+1,2)),2),"0000"))))</f>
        <v/>
      </c>
    </row>
    <row r="662" spans="1:17" x14ac:dyDescent="0.2">
      <c r="A662" t="str">
        <f>IF(Sync!$T658="","",Sync!$T658)</f>
        <v/>
      </c>
      <c r="B662" t="str">
        <f t="shared" si="60"/>
        <v/>
      </c>
      <c r="C662" t="str">
        <f t="shared" si="61"/>
        <v/>
      </c>
      <c r="D662" t="str">
        <f t="shared" si="62"/>
        <v/>
      </c>
      <c r="E662" t="str">
        <f t="shared" si="63"/>
        <v/>
      </c>
      <c r="F662" t="str">
        <f t="shared" si="64"/>
        <v/>
      </c>
      <c r="G662" t="str">
        <f>IF(OR($E662="",$E662="نامعتبر",Sync!$X658=""),"",IF(AND(LEFT(UPPER(TRIM(Sync!$X658)),2)="SL",IFERROR(VLOOKUP(Sync!$W658,OpTbl,3,0),"")="فروش"),UPPER(TRIM(Sync!$X658)),""))</f>
        <v/>
      </c>
      <c r="H662" t="str">
        <f>IF($G662="","",IF(Sync!$W658="","",Sync!$W658))</f>
        <v/>
      </c>
      <c r="I662" t="str">
        <f>IF(OR($G662="",Sync!$Y658=""),"",Sync!$Y658)</f>
        <v/>
      </c>
      <c r="J662" t="str">
        <f>IF(OR($G662="",Sync!$Z658=""),"",Sync!$Z658)</f>
        <v/>
      </c>
      <c r="K662">
        <f>IF($G662="",0,IF(Sync!$AA658="",0,Sync!$AA658))</f>
        <v>0</v>
      </c>
      <c r="L662">
        <f>IF($G662="",0,IF(Sync!$AB658="",0,Sync!$AB658))</f>
        <v>0</v>
      </c>
      <c r="M662" t="str">
        <f t="shared" si="65"/>
        <v/>
      </c>
      <c r="N662">
        <f>IF($G662="",0,IF($H662="مرجوعی فروش",-1,1)*IF(Sync!$AC658="",0,Sync!$AC658))</f>
        <v>0</v>
      </c>
      <c r="O662" t="str">
        <f>IF(OR($G662="",Sync!$V658=""),"",Sync!$V658)</f>
        <v/>
      </c>
      <c r="P662" t="str">
        <f>IF(OR($G662="",Sync!$AD658=""),"",Sync!$AD658)</f>
        <v/>
      </c>
      <c r="Q662" t="str">
        <f>IF($G662="","",IF(Sync!$U658="","0000",IF(AND(ISNUMBER(Sync!$U658),Sync!$U658&gt;=0,Sync!$U658&lt;1),RIGHT("00"&amp;HOUR(Sync!$U658),2)&amp;RIGHT("00"&amp;MINUTE(Sync!$U658),2),IFERROR(RIGHT("00"&amp;VALUE(LEFT(Sync!$U658,FIND(":",Sync!$U658)-1)),2)&amp;RIGHT("00"&amp;VALUE(MID(Sync!$U658,FIND(":",Sync!$U658)+1,2)),2),"0000"))))</f>
        <v/>
      </c>
    </row>
    <row r="663" spans="1:17" x14ac:dyDescent="0.2">
      <c r="A663" t="str">
        <f>IF(Sync!$T659="","",Sync!$T659)</f>
        <v/>
      </c>
      <c r="B663" t="str">
        <f t="shared" si="60"/>
        <v/>
      </c>
      <c r="C663" t="str">
        <f t="shared" si="61"/>
        <v/>
      </c>
      <c r="D663" t="str">
        <f t="shared" si="62"/>
        <v/>
      </c>
      <c r="E663" t="str">
        <f t="shared" si="63"/>
        <v/>
      </c>
      <c r="F663" t="str">
        <f t="shared" si="64"/>
        <v/>
      </c>
      <c r="G663" t="str">
        <f>IF(OR($E663="",$E663="نامعتبر",Sync!$X659=""),"",IF(AND(LEFT(UPPER(TRIM(Sync!$X659)),2)="SL",IFERROR(VLOOKUP(Sync!$W659,OpTbl,3,0),"")="فروش"),UPPER(TRIM(Sync!$X659)),""))</f>
        <v/>
      </c>
      <c r="H663" t="str">
        <f>IF($G663="","",IF(Sync!$W659="","",Sync!$W659))</f>
        <v/>
      </c>
      <c r="I663" t="str">
        <f>IF(OR($G663="",Sync!$Y659=""),"",Sync!$Y659)</f>
        <v/>
      </c>
      <c r="J663" t="str">
        <f>IF(OR($G663="",Sync!$Z659=""),"",Sync!$Z659)</f>
        <v/>
      </c>
      <c r="K663">
        <f>IF($G663="",0,IF(Sync!$AA659="",0,Sync!$AA659))</f>
        <v>0</v>
      </c>
      <c r="L663">
        <f>IF($G663="",0,IF(Sync!$AB659="",0,Sync!$AB659))</f>
        <v>0</v>
      </c>
      <c r="M663" t="str">
        <f t="shared" si="65"/>
        <v/>
      </c>
      <c r="N663">
        <f>IF($G663="",0,IF($H663="مرجوعی فروش",-1,1)*IF(Sync!$AC659="",0,Sync!$AC659))</f>
        <v>0</v>
      </c>
      <c r="O663" t="str">
        <f>IF(OR($G663="",Sync!$V659=""),"",Sync!$V659)</f>
        <v/>
      </c>
      <c r="P663" t="str">
        <f>IF(OR($G663="",Sync!$AD659=""),"",Sync!$AD659)</f>
        <v/>
      </c>
      <c r="Q663" t="str">
        <f>IF($G663="","",IF(Sync!$U659="","0000",IF(AND(ISNUMBER(Sync!$U659),Sync!$U659&gt;=0,Sync!$U659&lt;1),RIGHT("00"&amp;HOUR(Sync!$U659),2)&amp;RIGHT("00"&amp;MINUTE(Sync!$U659),2),IFERROR(RIGHT("00"&amp;VALUE(LEFT(Sync!$U659,FIND(":",Sync!$U659)-1)),2)&amp;RIGHT("00"&amp;VALUE(MID(Sync!$U659,FIND(":",Sync!$U659)+1,2)),2),"0000"))))</f>
        <v/>
      </c>
    </row>
    <row r="664" spans="1:17" x14ac:dyDescent="0.2">
      <c r="A664" t="str">
        <f>IF(Sync!$T660="","",Sync!$T660)</f>
        <v/>
      </c>
      <c r="B664" t="str">
        <f t="shared" si="60"/>
        <v/>
      </c>
      <c r="C664" t="str">
        <f t="shared" si="61"/>
        <v/>
      </c>
      <c r="D664" t="str">
        <f t="shared" si="62"/>
        <v/>
      </c>
      <c r="E664" t="str">
        <f t="shared" si="63"/>
        <v/>
      </c>
      <c r="F664" t="str">
        <f t="shared" si="64"/>
        <v/>
      </c>
      <c r="G664" t="str">
        <f>IF(OR($E664="",$E664="نامعتبر",Sync!$X660=""),"",IF(AND(LEFT(UPPER(TRIM(Sync!$X660)),2)="SL",IFERROR(VLOOKUP(Sync!$W660,OpTbl,3,0),"")="فروش"),UPPER(TRIM(Sync!$X660)),""))</f>
        <v/>
      </c>
      <c r="H664" t="str">
        <f>IF($G664="","",IF(Sync!$W660="","",Sync!$W660))</f>
        <v/>
      </c>
      <c r="I664" t="str">
        <f>IF(OR($G664="",Sync!$Y660=""),"",Sync!$Y660)</f>
        <v/>
      </c>
      <c r="J664" t="str">
        <f>IF(OR($G664="",Sync!$Z660=""),"",Sync!$Z660)</f>
        <v/>
      </c>
      <c r="K664">
        <f>IF($G664="",0,IF(Sync!$AA660="",0,Sync!$AA660))</f>
        <v>0</v>
      </c>
      <c r="L664">
        <f>IF($G664="",0,IF(Sync!$AB660="",0,Sync!$AB660))</f>
        <v>0</v>
      </c>
      <c r="M664" t="str">
        <f t="shared" si="65"/>
        <v/>
      </c>
      <c r="N664">
        <f>IF($G664="",0,IF($H664="مرجوعی فروش",-1,1)*IF(Sync!$AC660="",0,Sync!$AC660))</f>
        <v>0</v>
      </c>
      <c r="O664" t="str">
        <f>IF(OR($G664="",Sync!$V660=""),"",Sync!$V660)</f>
        <v/>
      </c>
      <c r="P664" t="str">
        <f>IF(OR($G664="",Sync!$AD660=""),"",Sync!$AD660)</f>
        <v/>
      </c>
      <c r="Q664" t="str">
        <f>IF($G664="","",IF(Sync!$U660="","0000",IF(AND(ISNUMBER(Sync!$U660),Sync!$U660&gt;=0,Sync!$U660&lt;1),RIGHT("00"&amp;HOUR(Sync!$U660),2)&amp;RIGHT("00"&amp;MINUTE(Sync!$U660),2),IFERROR(RIGHT("00"&amp;VALUE(LEFT(Sync!$U660,FIND(":",Sync!$U660)-1)),2)&amp;RIGHT("00"&amp;VALUE(MID(Sync!$U660,FIND(":",Sync!$U660)+1,2)),2),"0000"))))</f>
        <v/>
      </c>
    </row>
    <row r="665" spans="1:17" x14ac:dyDescent="0.2">
      <c r="A665" t="str">
        <f>IF(Sync!$T661="","",Sync!$T661)</f>
        <v/>
      </c>
      <c r="B665" t="str">
        <f t="shared" si="60"/>
        <v/>
      </c>
      <c r="C665" t="str">
        <f t="shared" si="61"/>
        <v/>
      </c>
      <c r="D665" t="str">
        <f t="shared" si="62"/>
        <v/>
      </c>
      <c r="E665" t="str">
        <f t="shared" si="63"/>
        <v/>
      </c>
      <c r="F665" t="str">
        <f t="shared" si="64"/>
        <v/>
      </c>
      <c r="G665" t="str">
        <f>IF(OR($E665="",$E665="نامعتبر",Sync!$X661=""),"",IF(AND(LEFT(UPPER(TRIM(Sync!$X661)),2)="SL",IFERROR(VLOOKUP(Sync!$W661,OpTbl,3,0),"")="فروش"),UPPER(TRIM(Sync!$X661)),""))</f>
        <v/>
      </c>
      <c r="H665" t="str">
        <f>IF($G665="","",IF(Sync!$W661="","",Sync!$W661))</f>
        <v/>
      </c>
      <c r="I665" t="str">
        <f>IF(OR($G665="",Sync!$Y661=""),"",Sync!$Y661)</f>
        <v/>
      </c>
      <c r="J665" t="str">
        <f>IF(OR($G665="",Sync!$Z661=""),"",Sync!$Z661)</f>
        <v/>
      </c>
      <c r="K665">
        <f>IF($G665="",0,IF(Sync!$AA661="",0,Sync!$AA661))</f>
        <v>0</v>
      </c>
      <c r="L665">
        <f>IF($G665="",0,IF(Sync!$AB661="",0,Sync!$AB661))</f>
        <v>0</v>
      </c>
      <c r="M665" t="str">
        <f t="shared" si="65"/>
        <v/>
      </c>
      <c r="N665">
        <f>IF($G665="",0,IF($H665="مرجوعی فروش",-1,1)*IF(Sync!$AC661="",0,Sync!$AC661))</f>
        <v>0</v>
      </c>
      <c r="O665" t="str">
        <f>IF(OR($G665="",Sync!$V661=""),"",Sync!$V661)</f>
        <v/>
      </c>
      <c r="P665" t="str">
        <f>IF(OR($G665="",Sync!$AD661=""),"",Sync!$AD661)</f>
        <v/>
      </c>
      <c r="Q665" t="str">
        <f>IF($G665="","",IF(Sync!$U661="","0000",IF(AND(ISNUMBER(Sync!$U661),Sync!$U661&gt;=0,Sync!$U661&lt;1),RIGHT("00"&amp;HOUR(Sync!$U661),2)&amp;RIGHT("00"&amp;MINUTE(Sync!$U661),2),IFERROR(RIGHT("00"&amp;VALUE(LEFT(Sync!$U661,FIND(":",Sync!$U661)-1)),2)&amp;RIGHT("00"&amp;VALUE(MID(Sync!$U661,FIND(":",Sync!$U661)+1,2)),2),"0000"))))</f>
        <v/>
      </c>
    </row>
    <row r="666" spans="1:17" x14ac:dyDescent="0.2">
      <c r="A666" t="str">
        <f>IF(Sync!$T662="","",Sync!$T662)</f>
        <v/>
      </c>
      <c r="B666" t="str">
        <f t="shared" si="60"/>
        <v/>
      </c>
      <c r="C666" t="str">
        <f t="shared" si="61"/>
        <v/>
      </c>
      <c r="D666" t="str">
        <f t="shared" si="62"/>
        <v/>
      </c>
      <c r="E666" t="str">
        <f t="shared" si="63"/>
        <v/>
      </c>
      <c r="F666" t="str">
        <f t="shared" si="64"/>
        <v/>
      </c>
      <c r="G666" t="str">
        <f>IF(OR($E666="",$E666="نامعتبر",Sync!$X662=""),"",IF(AND(LEFT(UPPER(TRIM(Sync!$X662)),2)="SL",IFERROR(VLOOKUP(Sync!$W662,OpTbl,3,0),"")="فروش"),UPPER(TRIM(Sync!$X662)),""))</f>
        <v/>
      </c>
      <c r="H666" t="str">
        <f>IF($G666="","",IF(Sync!$W662="","",Sync!$W662))</f>
        <v/>
      </c>
      <c r="I666" t="str">
        <f>IF(OR($G666="",Sync!$Y662=""),"",Sync!$Y662)</f>
        <v/>
      </c>
      <c r="J666" t="str">
        <f>IF(OR($G666="",Sync!$Z662=""),"",Sync!$Z662)</f>
        <v/>
      </c>
      <c r="K666">
        <f>IF($G666="",0,IF(Sync!$AA662="",0,Sync!$AA662))</f>
        <v>0</v>
      </c>
      <c r="L666">
        <f>IF($G666="",0,IF(Sync!$AB662="",0,Sync!$AB662))</f>
        <v>0</v>
      </c>
      <c r="M666" t="str">
        <f t="shared" si="65"/>
        <v/>
      </c>
      <c r="N666">
        <f>IF($G666="",0,IF($H666="مرجوعی فروش",-1,1)*IF(Sync!$AC662="",0,Sync!$AC662))</f>
        <v>0</v>
      </c>
      <c r="O666" t="str">
        <f>IF(OR($G666="",Sync!$V662=""),"",Sync!$V662)</f>
        <v/>
      </c>
      <c r="P666" t="str">
        <f>IF(OR($G666="",Sync!$AD662=""),"",Sync!$AD662)</f>
        <v/>
      </c>
      <c r="Q666" t="str">
        <f>IF($G666="","",IF(Sync!$U662="","0000",IF(AND(ISNUMBER(Sync!$U662),Sync!$U662&gt;=0,Sync!$U662&lt;1),RIGHT("00"&amp;HOUR(Sync!$U662),2)&amp;RIGHT("00"&amp;MINUTE(Sync!$U662),2),IFERROR(RIGHT("00"&amp;VALUE(LEFT(Sync!$U662,FIND(":",Sync!$U662)-1)),2)&amp;RIGHT("00"&amp;VALUE(MID(Sync!$U662,FIND(":",Sync!$U662)+1,2)),2),"0000"))))</f>
        <v/>
      </c>
    </row>
    <row r="667" spans="1:17" x14ac:dyDescent="0.2">
      <c r="A667" t="str">
        <f>IF(Sync!$T663="","",Sync!$T663)</f>
        <v/>
      </c>
      <c r="B667" t="str">
        <f t="shared" si="60"/>
        <v/>
      </c>
      <c r="C667" t="str">
        <f t="shared" si="61"/>
        <v/>
      </c>
      <c r="D667" t="str">
        <f t="shared" si="62"/>
        <v/>
      </c>
      <c r="E667" t="str">
        <f t="shared" si="63"/>
        <v/>
      </c>
      <c r="F667" t="str">
        <f t="shared" si="64"/>
        <v/>
      </c>
      <c r="G667" t="str">
        <f>IF(OR($E667="",$E667="نامعتبر",Sync!$X663=""),"",IF(AND(LEFT(UPPER(TRIM(Sync!$X663)),2)="SL",IFERROR(VLOOKUP(Sync!$W663,OpTbl,3,0),"")="فروش"),UPPER(TRIM(Sync!$X663)),""))</f>
        <v/>
      </c>
      <c r="H667" t="str">
        <f>IF($G667="","",IF(Sync!$W663="","",Sync!$W663))</f>
        <v/>
      </c>
      <c r="I667" t="str">
        <f>IF(OR($G667="",Sync!$Y663=""),"",Sync!$Y663)</f>
        <v/>
      </c>
      <c r="J667" t="str">
        <f>IF(OR($G667="",Sync!$Z663=""),"",Sync!$Z663)</f>
        <v/>
      </c>
      <c r="K667">
        <f>IF($G667="",0,IF(Sync!$AA663="",0,Sync!$AA663))</f>
        <v>0</v>
      </c>
      <c r="L667">
        <f>IF($G667="",0,IF(Sync!$AB663="",0,Sync!$AB663))</f>
        <v>0</v>
      </c>
      <c r="M667" t="str">
        <f t="shared" si="65"/>
        <v/>
      </c>
      <c r="N667">
        <f>IF($G667="",0,IF($H667="مرجوعی فروش",-1,1)*IF(Sync!$AC663="",0,Sync!$AC663))</f>
        <v>0</v>
      </c>
      <c r="O667" t="str">
        <f>IF(OR($G667="",Sync!$V663=""),"",Sync!$V663)</f>
        <v/>
      </c>
      <c r="P667" t="str">
        <f>IF(OR($G667="",Sync!$AD663=""),"",Sync!$AD663)</f>
        <v/>
      </c>
      <c r="Q667" t="str">
        <f>IF($G667="","",IF(Sync!$U663="","0000",IF(AND(ISNUMBER(Sync!$U663),Sync!$U663&gt;=0,Sync!$U663&lt;1),RIGHT("00"&amp;HOUR(Sync!$U663),2)&amp;RIGHT("00"&amp;MINUTE(Sync!$U663),2),IFERROR(RIGHT("00"&amp;VALUE(LEFT(Sync!$U663,FIND(":",Sync!$U663)-1)),2)&amp;RIGHT("00"&amp;VALUE(MID(Sync!$U663,FIND(":",Sync!$U663)+1,2)),2),"0000"))))</f>
        <v/>
      </c>
    </row>
    <row r="668" spans="1:17" x14ac:dyDescent="0.2">
      <c r="A668" t="str">
        <f>IF(Sync!$T664="","",Sync!$T664)</f>
        <v/>
      </c>
      <c r="B668" t="str">
        <f t="shared" si="60"/>
        <v/>
      </c>
      <c r="C668" t="str">
        <f t="shared" si="61"/>
        <v/>
      </c>
      <c r="D668" t="str">
        <f t="shared" si="62"/>
        <v/>
      </c>
      <c r="E668" t="str">
        <f t="shared" si="63"/>
        <v/>
      </c>
      <c r="F668" t="str">
        <f t="shared" si="64"/>
        <v/>
      </c>
      <c r="G668" t="str">
        <f>IF(OR($E668="",$E668="نامعتبر",Sync!$X664=""),"",IF(AND(LEFT(UPPER(TRIM(Sync!$X664)),2)="SL",IFERROR(VLOOKUP(Sync!$W664,OpTbl,3,0),"")="فروش"),UPPER(TRIM(Sync!$X664)),""))</f>
        <v/>
      </c>
      <c r="H668" t="str">
        <f>IF($G668="","",IF(Sync!$W664="","",Sync!$W664))</f>
        <v/>
      </c>
      <c r="I668" t="str">
        <f>IF(OR($G668="",Sync!$Y664=""),"",Sync!$Y664)</f>
        <v/>
      </c>
      <c r="J668" t="str">
        <f>IF(OR($G668="",Sync!$Z664=""),"",Sync!$Z664)</f>
        <v/>
      </c>
      <c r="K668">
        <f>IF($G668="",0,IF(Sync!$AA664="",0,Sync!$AA664))</f>
        <v>0</v>
      </c>
      <c r="L668">
        <f>IF($G668="",0,IF(Sync!$AB664="",0,Sync!$AB664))</f>
        <v>0</v>
      </c>
      <c r="M668" t="str">
        <f t="shared" si="65"/>
        <v/>
      </c>
      <c r="N668">
        <f>IF($G668="",0,IF($H668="مرجوعی فروش",-1,1)*IF(Sync!$AC664="",0,Sync!$AC664))</f>
        <v>0</v>
      </c>
      <c r="O668" t="str">
        <f>IF(OR($G668="",Sync!$V664=""),"",Sync!$V664)</f>
        <v/>
      </c>
      <c r="P668" t="str">
        <f>IF(OR($G668="",Sync!$AD664=""),"",Sync!$AD664)</f>
        <v/>
      </c>
      <c r="Q668" t="str">
        <f>IF($G668="","",IF(Sync!$U664="","0000",IF(AND(ISNUMBER(Sync!$U664),Sync!$U664&gt;=0,Sync!$U664&lt;1),RIGHT("00"&amp;HOUR(Sync!$U664),2)&amp;RIGHT("00"&amp;MINUTE(Sync!$U664),2),IFERROR(RIGHT("00"&amp;VALUE(LEFT(Sync!$U664,FIND(":",Sync!$U664)-1)),2)&amp;RIGHT("00"&amp;VALUE(MID(Sync!$U664,FIND(":",Sync!$U664)+1,2)),2),"0000"))))</f>
        <v/>
      </c>
    </row>
    <row r="669" spans="1:17" x14ac:dyDescent="0.2">
      <c r="A669" t="str">
        <f>IF(Sync!$T665="","",Sync!$T665)</f>
        <v/>
      </c>
      <c r="B669" t="str">
        <f t="shared" si="60"/>
        <v/>
      </c>
      <c r="C669" t="str">
        <f t="shared" si="61"/>
        <v/>
      </c>
      <c r="D669" t="str">
        <f t="shared" si="62"/>
        <v/>
      </c>
      <c r="E669" t="str">
        <f t="shared" si="63"/>
        <v/>
      </c>
      <c r="F669" t="str">
        <f t="shared" si="64"/>
        <v/>
      </c>
      <c r="G669" t="str">
        <f>IF(OR($E669="",$E669="نامعتبر",Sync!$X665=""),"",IF(AND(LEFT(UPPER(TRIM(Sync!$X665)),2)="SL",IFERROR(VLOOKUP(Sync!$W665,OpTbl,3,0),"")="فروش"),UPPER(TRIM(Sync!$X665)),""))</f>
        <v/>
      </c>
      <c r="H669" t="str">
        <f>IF($G669="","",IF(Sync!$W665="","",Sync!$W665))</f>
        <v/>
      </c>
      <c r="I669" t="str">
        <f>IF(OR($G669="",Sync!$Y665=""),"",Sync!$Y665)</f>
        <v/>
      </c>
      <c r="J669" t="str">
        <f>IF(OR($G669="",Sync!$Z665=""),"",Sync!$Z665)</f>
        <v/>
      </c>
      <c r="K669">
        <f>IF($G669="",0,IF(Sync!$AA665="",0,Sync!$AA665))</f>
        <v>0</v>
      </c>
      <c r="L669">
        <f>IF($G669="",0,IF(Sync!$AB665="",0,Sync!$AB665))</f>
        <v>0</v>
      </c>
      <c r="M669" t="str">
        <f t="shared" si="65"/>
        <v/>
      </c>
      <c r="N669">
        <f>IF($G669="",0,IF($H669="مرجوعی فروش",-1,1)*IF(Sync!$AC665="",0,Sync!$AC665))</f>
        <v>0</v>
      </c>
      <c r="O669" t="str">
        <f>IF(OR($G669="",Sync!$V665=""),"",Sync!$V665)</f>
        <v/>
      </c>
      <c r="P669" t="str">
        <f>IF(OR($G669="",Sync!$AD665=""),"",Sync!$AD665)</f>
        <v/>
      </c>
      <c r="Q669" t="str">
        <f>IF($G669="","",IF(Sync!$U665="","0000",IF(AND(ISNUMBER(Sync!$U665),Sync!$U665&gt;=0,Sync!$U665&lt;1),RIGHT("00"&amp;HOUR(Sync!$U665),2)&amp;RIGHT("00"&amp;MINUTE(Sync!$U665),2),IFERROR(RIGHT("00"&amp;VALUE(LEFT(Sync!$U665,FIND(":",Sync!$U665)-1)),2)&amp;RIGHT("00"&amp;VALUE(MID(Sync!$U665,FIND(":",Sync!$U665)+1,2)),2),"0000"))))</f>
        <v/>
      </c>
    </row>
    <row r="670" spans="1:17" x14ac:dyDescent="0.2">
      <c r="A670" t="str">
        <f>IF(Sync!$T666="","",Sync!$T666)</f>
        <v/>
      </c>
      <c r="B670" t="str">
        <f t="shared" si="60"/>
        <v/>
      </c>
      <c r="C670" t="str">
        <f t="shared" si="61"/>
        <v/>
      </c>
      <c r="D670" t="str">
        <f t="shared" si="62"/>
        <v/>
      </c>
      <c r="E670" t="str">
        <f t="shared" si="63"/>
        <v/>
      </c>
      <c r="F670" t="str">
        <f t="shared" si="64"/>
        <v/>
      </c>
      <c r="G670" t="str">
        <f>IF(OR($E670="",$E670="نامعتبر",Sync!$X666=""),"",IF(AND(LEFT(UPPER(TRIM(Sync!$X666)),2)="SL",IFERROR(VLOOKUP(Sync!$W666,OpTbl,3,0),"")="فروش"),UPPER(TRIM(Sync!$X666)),""))</f>
        <v/>
      </c>
      <c r="H670" t="str">
        <f>IF($G670="","",IF(Sync!$W666="","",Sync!$W666))</f>
        <v/>
      </c>
      <c r="I670" t="str">
        <f>IF(OR($G670="",Sync!$Y666=""),"",Sync!$Y666)</f>
        <v/>
      </c>
      <c r="J670" t="str">
        <f>IF(OR($G670="",Sync!$Z666=""),"",Sync!$Z666)</f>
        <v/>
      </c>
      <c r="K670">
        <f>IF($G670="",0,IF(Sync!$AA666="",0,Sync!$AA666))</f>
        <v>0</v>
      </c>
      <c r="L670">
        <f>IF($G670="",0,IF(Sync!$AB666="",0,Sync!$AB666))</f>
        <v>0</v>
      </c>
      <c r="M670" t="str">
        <f t="shared" si="65"/>
        <v/>
      </c>
      <c r="N670">
        <f>IF($G670="",0,IF($H670="مرجوعی فروش",-1,1)*IF(Sync!$AC666="",0,Sync!$AC666))</f>
        <v>0</v>
      </c>
      <c r="O670" t="str">
        <f>IF(OR($G670="",Sync!$V666=""),"",Sync!$V666)</f>
        <v/>
      </c>
      <c r="P670" t="str">
        <f>IF(OR($G670="",Sync!$AD666=""),"",Sync!$AD666)</f>
        <v/>
      </c>
      <c r="Q670" t="str">
        <f>IF($G670="","",IF(Sync!$U666="","0000",IF(AND(ISNUMBER(Sync!$U666),Sync!$U666&gt;=0,Sync!$U666&lt;1),RIGHT("00"&amp;HOUR(Sync!$U666),2)&amp;RIGHT("00"&amp;MINUTE(Sync!$U666),2),IFERROR(RIGHT("00"&amp;VALUE(LEFT(Sync!$U666,FIND(":",Sync!$U666)-1)),2)&amp;RIGHT("00"&amp;VALUE(MID(Sync!$U666,FIND(":",Sync!$U666)+1,2)),2),"0000"))))</f>
        <v/>
      </c>
    </row>
    <row r="671" spans="1:17" x14ac:dyDescent="0.2">
      <c r="A671" t="str">
        <f>IF(Sync!$T667="","",Sync!$T667)</f>
        <v/>
      </c>
      <c r="B671" t="str">
        <f t="shared" si="60"/>
        <v/>
      </c>
      <c r="C671" t="str">
        <f t="shared" si="61"/>
        <v/>
      </c>
      <c r="D671" t="str">
        <f t="shared" si="62"/>
        <v/>
      </c>
      <c r="E671" t="str">
        <f t="shared" si="63"/>
        <v/>
      </c>
      <c r="F671" t="str">
        <f t="shared" si="64"/>
        <v/>
      </c>
      <c r="G671" t="str">
        <f>IF(OR($E671="",$E671="نامعتبر",Sync!$X667=""),"",IF(AND(LEFT(UPPER(TRIM(Sync!$X667)),2)="SL",IFERROR(VLOOKUP(Sync!$W667,OpTbl,3,0),"")="فروش"),UPPER(TRIM(Sync!$X667)),""))</f>
        <v/>
      </c>
      <c r="H671" t="str">
        <f>IF($G671="","",IF(Sync!$W667="","",Sync!$W667))</f>
        <v/>
      </c>
      <c r="I671" t="str">
        <f>IF(OR($G671="",Sync!$Y667=""),"",Sync!$Y667)</f>
        <v/>
      </c>
      <c r="J671" t="str">
        <f>IF(OR($G671="",Sync!$Z667=""),"",Sync!$Z667)</f>
        <v/>
      </c>
      <c r="K671">
        <f>IF($G671="",0,IF(Sync!$AA667="",0,Sync!$AA667))</f>
        <v>0</v>
      </c>
      <c r="L671">
        <f>IF($G671="",0,IF(Sync!$AB667="",0,Sync!$AB667))</f>
        <v>0</v>
      </c>
      <c r="M671" t="str">
        <f t="shared" si="65"/>
        <v/>
      </c>
      <c r="N671">
        <f>IF($G671="",0,IF($H671="مرجوعی فروش",-1,1)*IF(Sync!$AC667="",0,Sync!$AC667))</f>
        <v>0</v>
      </c>
      <c r="O671" t="str">
        <f>IF(OR($G671="",Sync!$V667=""),"",Sync!$V667)</f>
        <v/>
      </c>
      <c r="P671" t="str">
        <f>IF(OR($G671="",Sync!$AD667=""),"",Sync!$AD667)</f>
        <v/>
      </c>
      <c r="Q671" t="str">
        <f>IF($G671="","",IF(Sync!$U667="","0000",IF(AND(ISNUMBER(Sync!$U667),Sync!$U667&gt;=0,Sync!$U667&lt;1),RIGHT("00"&amp;HOUR(Sync!$U667),2)&amp;RIGHT("00"&amp;MINUTE(Sync!$U667),2),IFERROR(RIGHT("00"&amp;VALUE(LEFT(Sync!$U667,FIND(":",Sync!$U667)-1)),2)&amp;RIGHT("00"&amp;VALUE(MID(Sync!$U667,FIND(":",Sync!$U667)+1,2)),2),"0000"))))</f>
        <v/>
      </c>
    </row>
    <row r="672" spans="1:17" x14ac:dyDescent="0.2">
      <c r="A672" t="str">
        <f>IF(Sync!$T668="","",Sync!$T668)</f>
        <v/>
      </c>
      <c r="B672" t="str">
        <f t="shared" si="60"/>
        <v/>
      </c>
      <c r="C672" t="str">
        <f t="shared" si="61"/>
        <v/>
      </c>
      <c r="D672" t="str">
        <f t="shared" si="62"/>
        <v/>
      </c>
      <c r="E672" t="str">
        <f t="shared" si="63"/>
        <v/>
      </c>
      <c r="F672" t="str">
        <f t="shared" si="64"/>
        <v/>
      </c>
      <c r="G672" t="str">
        <f>IF(OR($E672="",$E672="نامعتبر",Sync!$X668=""),"",IF(AND(LEFT(UPPER(TRIM(Sync!$X668)),2)="SL",IFERROR(VLOOKUP(Sync!$W668,OpTbl,3,0),"")="فروش"),UPPER(TRIM(Sync!$X668)),""))</f>
        <v/>
      </c>
      <c r="H672" t="str">
        <f>IF($G672="","",IF(Sync!$W668="","",Sync!$W668))</f>
        <v/>
      </c>
      <c r="I672" t="str">
        <f>IF(OR($G672="",Sync!$Y668=""),"",Sync!$Y668)</f>
        <v/>
      </c>
      <c r="J672" t="str">
        <f>IF(OR($G672="",Sync!$Z668=""),"",Sync!$Z668)</f>
        <v/>
      </c>
      <c r="K672">
        <f>IF($G672="",0,IF(Sync!$AA668="",0,Sync!$AA668))</f>
        <v>0</v>
      </c>
      <c r="L672">
        <f>IF($G672="",0,IF(Sync!$AB668="",0,Sync!$AB668))</f>
        <v>0</v>
      </c>
      <c r="M672" t="str">
        <f t="shared" si="65"/>
        <v/>
      </c>
      <c r="N672">
        <f>IF($G672="",0,IF($H672="مرجوعی فروش",-1,1)*IF(Sync!$AC668="",0,Sync!$AC668))</f>
        <v>0</v>
      </c>
      <c r="O672" t="str">
        <f>IF(OR($G672="",Sync!$V668=""),"",Sync!$V668)</f>
        <v/>
      </c>
      <c r="P672" t="str">
        <f>IF(OR($G672="",Sync!$AD668=""),"",Sync!$AD668)</f>
        <v/>
      </c>
      <c r="Q672" t="str">
        <f>IF($G672="","",IF(Sync!$U668="","0000",IF(AND(ISNUMBER(Sync!$U668),Sync!$U668&gt;=0,Sync!$U668&lt;1),RIGHT("00"&amp;HOUR(Sync!$U668),2)&amp;RIGHT("00"&amp;MINUTE(Sync!$U668),2),IFERROR(RIGHT("00"&amp;VALUE(LEFT(Sync!$U668,FIND(":",Sync!$U668)-1)),2)&amp;RIGHT("00"&amp;VALUE(MID(Sync!$U668,FIND(":",Sync!$U668)+1,2)),2),"0000"))))</f>
        <v/>
      </c>
    </row>
    <row r="673" spans="1:17" x14ac:dyDescent="0.2">
      <c r="A673" t="str">
        <f>IF(Sync!$T669="","",Sync!$T669)</f>
        <v/>
      </c>
      <c r="B673" t="str">
        <f t="shared" si="60"/>
        <v/>
      </c>
      <c r="C673" t="str">
        <f t="shared" si="61"/>
        <v/>
      </c>
      <c r="D673" t="str">
        <f t="shared" si="62"/>
        <v/>
      </c>
      <c r="E673" t="str">
        <f t="shared" si="63"/>
        <v/>
      </c>
      <c r="F673" t="str">
        <f t="shared" si="64"/>
        <v/>
      </c>
      <c r="G673" t="str">
        <f>IF(OR($E673="",$E673="نامعتبر",Sync!$X669=""),"",IF(AND(LEFT(UPPER(TRIM(Sync!$X669)),2)="SL",IFERROR(VLOOKUP(Sync!$W669,OpTbl,3,0),"")="فروش"),UPPER(TRIM(Sync!$X669)),""))</f>
        <v/>
      </c>
      <c r="H673" t="str">
        <f>IF($G673="","",IF(Sync!$W669="","",Sync!$W669))</f>
        <v/>
      </c>
      <c r="I673" t="str">
        <f>IF(OR($G673="",Sync!$Y669=""),"",Sync!$Y669)</f>
        <v/>
      </c>
      <c r="J673" t="str">
        <f>IF(OR($G673="",Sync!$Z669=""),"",Sync!$Z669)</f>
        <v/>
      </c>
      <c r="K673">
        <f>IF($G673="",0,IF(Sync!$AA669="",0,Sync!$AA669))</f>
        <v>0</v>
      </c>
      <c r="L673">
        <f>IF($G673="",0,IF(Sync!$AB669="",0,Sync!$AB669))</f>
        <v>0</v>
      </c>
      <c r="M673" t="str">
        <f t="shared" si="65"/>
        <v/>
      </c>
      <c r="N673">
        <f>IF($G673="",0,IF($H673="مرجوعی فروش",-1,1)*IF(Sync!$AC669="",0,Sync!$AC669))</f>
        <v>0</v>
      </c>
      <c r="O673" t="str">
        <f>IF(OR($G673="",Sync!$V669=""),"",Sync!$V669)</f>
        <v/>
      </c>
      <c r="P673" t="str">
        <f>IF(OR($G673="",Sync!$AD669=""),"",Sync!$AD669)</f>
        <v/>
      </c>
      <c r="Q673" t="str">
        <f>IF($G673="","",IF(Sync!$U669="","0000",IF(AND(ISNUMBER(Sync!$U669),Sync!$U669&gt;=0,Sync!$U669&lt;1),RIGHT("00"&amp;HOUR(Sync!$U669),2)&amp;RIGHT("00"&amp;MINUTE(Sync!$U669),2),IFERROR(RIGHT("00"&amp;VALUE(LEFT(Sync!$U669,FIND(":",Sync!$U669)-1)),2)&amp;RIGHT("00"&amp;VALUE(MID(Sync!$U669,FIND(":",Sync!$U669)+1,2)),2),"0000"))))</f>
        <v/>
      </c>
    </row>
    <row r="674" spans="1:17" x14ac:dyDescent="0.2">
      <c r="A674" t="str">
        <f>IF(Sync!$T670="","",Sync!$T670)</f>
        <v/>
      </c>
      <c r="B674" t="str">
        <f t="shared" si="60"/>
        <v/>
      </c>
      <c r="C674" t="str">
        <f t="shared" si="61"/>
        <v/>
      </c>
      <c r="D674" t="str">
        <f t="shared" si="62"/>
        <v/>
      </c>
      <c r="E674" t="str">
        <f t="shared" si="63"/>
        <v/>
      </c>
      <c r="F674" t="str">
        <f t="shared" si="64"/>
        <v/>
      </c>
      <c r="G674" t="str">
        <f>IF(OR($E674="",$E674="نامعتبر",Sync!$X670=""),"",IF(AND(LEFT(UPPER(TRIM(Sync!$X670)),2)="SL",IFERROR(VLOOKUP(Sync!$W670,OpTbl,3,0),"")="فروش"),UPPER(TRIM(Sync!$X670)),""))</f>
        <v/>
      </c>
      <c r="H674" t="str">
        <f>IF($G674="","",IF(Sync!$W670="","",Sync!$W670))</f>
        <v/>
      </c>
      <c r="I674" t="str">
        <f>IF(OR($G674="",Sync!$Y670=""),"",Sync!$Y670)</f>
        <v/>
      </c>
      <c r="J674" t="str">
        <f>IF(OR($G674="",Sync!$Z670=""),"",Sync!$Z670)</f>
        <v/>
      </c>
      <c r="K674">
        <f>IF($G674="",0,IF(Sync!$AA670="",0,Sync!$AA670))</f>
        <v>0</v>
      </c>
      <c r="L674">
        <f>IF($G674="",0,IF(Sync!$AB670="",0,Sync!$AB670))</f>
        <v>0</v>
      </c>
      <c r="M674" t="str">
        <f t="shared" si="65"/>
        <v/>
      </c>
      <c r="N674">
        <f>IF($G674="",0,IF($H674="مرجوعی فروش",-1,1)*IF(Sync!$AC670="",0,Sync!$AC670))</f>
        <v>0</v>
      </c>
      <c r="O674" t="str">
        <f>IF(OR($G674="",Sync!$V670=""),"",Sync!$V670)</f>
        <v/>
      </c>
      <c r="P674" t="str">
        <f>IF(OR($G674="",Sync!$AD670=""),"",Sync!$AD670)</f>
        <v/>
      </c>
      <c r="Q674" t="str">
        <f>IF($G674="","",IF(Sync!$U670="","0000",IF(AND(ISNUMBER(Sync!$U670),Sync!$U670&gt;=0,Sync!$U670&lt;1),RIGHT("00"&amp;HOUR(Sync!$U670),2)&amp;RIGHT("00"&amp;MINUTE(Sync!$U670),2),IFERROR(RIGHT("00"&amp;VALUE(LEFT(Sync!$U670,FIND(":",Sync!$U670)-1)),2)&amp;RIGHT("00"&amp;VALUE(MID(Sync!$U670,FIND(":",Sync!$U670)+1,2)),2),"0000"))))</f>
        <v/>
      </c>
    </row>
    <row r="675" spans="1:17" x14ac:dyDescent="0.2">
      <c r="A675" t="str">
        <f>IF(Sync!$T671="","",Sync!$T671)</f>
        <v/>
      </c>
      <c r="B675" t="str">
        <f t="shared" si="60"/>
        <v/>
      </c>
      <c r="C675" t="str">
        <f t="shared" si="61"/>
        <v/>
      </c>
      <c r="D675" t="str">
        <f t="shared" si="62"/>
        <v/>
      </c>
      <c r="E675" t="str">
        <f t="shared" si="63"/>
        <v/>
      </c>
      <c r="F675" t="str">
        <f t="shared" si="64"/>
        <v/>
      </c>
      <c r="G675" t="str">
        <f>IF(OR($E675="",$E675="نامعتبر",Sync!$X671=""),"",IF(AND(LEFT(UPPER(TRIM(Sync!$X671)),2)="SL",IFERROR(VLOOKUP(Sync!$W671,OpTbl,3,0),"")="فروش"),UPPER(TRIM(Sync!$X671)),""))</f>
        <v/>
      </c>
      <c r="H675" t="str">
        <f>IF($G675="","",IF(Sync!$W671="","",Sync!$W671))</f>
        <v/>
      </c>
      <c r="I675" t="str">
        <f>IF(OR($G675="",Sync!$Y671=""),"",Sync!$Y671)</f>
        <v/>
      </c>
      <c r="J675" t="str">
        <f>IF(OR($G675="",Sync!$Z671=""),"",Sync!$Z671)</f>
        <v/>
      </c>
      <c r="K675">
        <f>IF($G675="",0,IF(Sync!$AA671="",0,Sync!$AA671))</f>
        <v>0</v>
      </c>
      <c r="L675">
        <f>IF($G675="",0,IF(Sync!$AB671="",0,Sync!$AB671))</f>
        <v>0</v>
      </c>
      <c r="M675" t="str">
        <f t="shared" si="65"/>
        <v/>
      </c>
      <c r="N675">
        <f>IF($G675="",0,IF($H675="مرجوعی فروش",-1,1)*IF(Sync!$AC671="",0,Sync!$AC671))</f>
        <v>0</v>
      </c>
      <c r="O675" t="str">
        <f>IF(OR($G675="",Sync!$V671=""),"",Sync!$V671)</f>
        <v/>
      </c>
      <c r="P675" t="str">
        <f>IF(OR($G675="",Sync!$AD671=""),"",Sync!$AD671)</f>
        <v/>
      </c>
      <c r="Q675" t="str">
        <f>IF($G675="","",IF(Sync!$U671="","0000",IF(AND(ISNUMBER(Sync!$U671),Sync!$U671&gt;=0,Sync!$U671&lt;1),RIGHT("00"&amp;HOUR(Sync!$U671),2)&amp;RIGHT("00"&amp;MINUTE(Sync!$U671),2),IFERROR(RIGHT("00"&amp;VALUE(LEFT(Sync!$U671,FIND(":",Sync!$U671)-1)),2)&amp;RIGHT("00"&amp;VALUE(MID(Sync!$U671,FIND(":",Sync!$U671)+1,2)),2),"0000"))))</f>
        <v/>
      </c>
    </row>
    <row r="676" spans="1:17" x14ac:dyDescent="0.2">
      <c r="A676" t="str">
        <f>IF(Sync!$T672="","",Sync!$T672)</f>
        <v/>
      </c>
      <c r="B676" t="str">
        <f t="shared" si="60"/>
        <v/>
      </c>
      <c r="C676" t="str">
        <f t="shared" si="61"/>
        <v/>
      </c>
      <c r="D676" t="str">
        <f t="shared" si="62"/>
        <v/>
      </c>
      <c r="E676" t="str">
        <f t="shared" si="63"/>
        <v/>
      </c>
      <c r="F676" t="str">
        <f t="shared" si="64"/>
        <v/>
      </c>
      <c r="G676" t="str">
        <f>IF(OR($E676="",$E676="نامعتبر",Sync!$X672=""),"",IF(AND(LEFT(UPPER(TRIM(Sync!$X672)),2)="SL",IFERROR(VLOOKUP(Sync!$W672,OpTbl,3,0),"")="فروش"),UPPER(TRIM(Sync!$X672)),""))</f>
        <v/>
      </c>
      <c r="H676" t="str">
        <f>IF($G676="","",IF(Sync!$W672="","",Sync!$W672))</f>
        <v/>
      </c>
      <c r="I676" t="str">
        <f>IF(OR($G676="",Sync!$Y672=""),"",Sync!$Y672)</f>
        <v/>
      </c>
      <c r="J676" t="str">
        <f>IF(OR($G676="",Sync!$Z672=""),"",Sync!$Z672)</f>
        <v/>
      </c>
      <c r="K676">
        <f>IF($G676="",0,IF(Sync!$AA672="",0,Sync!$AA672))</f>
        <v>0</v>
      </c>
      <c r="L676">
        <f>IF($G676="",0,IF(Sync!$AB672="",0,Sync!$AB672))</f>
        <v>0</v>
      </c>
      <c r="M676" t="str">
        <f t="shared" si="65"/>
        <v/>
      </c>
      <c r="N676">
        <f>IF($G676="",0,IF($H676="مرجوعی فروش",-1,1)*IF(Sync!$AC672="",0,Sync!$AC672))</f>
        <v>0</v>
      </c>
      <c r="O676" t="str">
        <f>IF(OR($G676="",Sync!$V672=""),"",Sync!$V672)</f>
        <v/>
      </c>
      <c r="P676" t="str">
        <f>IF(OR($G676="",Sync!$AD672=""),"",Sync!$AD672)</f>
        <v/>
      </c>
      <c r="Q676" t="str">
        <f>IF($G676="","",IF(Sync!$U672="","0000",IF(AND(ISNUMBER(Sync!$U672),Sync!$U672&gt;=0,Sync!$U672&lt;1),RIGHT("00"&amp;HOUR(Sync!$U672),2)&amp;RIGHT("00"&amp;MINUTE(Sync!$U672),2),IFERROR(RIGHT("00"&amp;VALUE(LEFT(Sync!$U672,FIND(":",Sync!$U672)-1)),2)&amp;RIGHT("00"&amp;VALUE(MID(Sync!$U672,FIND(":",Sync!$U672)+1,2)),2),"0000"))))</f>
        <v/>
      </c>
    </row>
    <row r="677" spans="1:17" x14ac:dyDescent="0.2">
      <c r="A677" t="str">
        <f>IF(Sync!$T673="","",Sync!$T673)</f>
        <v/>
      </c>
      <c r="B677" t="str">
        <f t="shared" si="60"/>
        <v/>
      </c>
      <c r="C677" t="str">
        <f t="shared" si="61"/>
        <v/>
      </c>
      <c r="D677" t="str">
        <f t="shared" si="62"/>
        <v/>
      </c>
      <c r="E677" t="str">
        <f t="shared" si="63"/>
        <v/>
      </c>
      <c r="F677" t="str">
        <f t="shared" si="64"/>
        <v/>
      </c>
      <c r="G677" t="str">
        <f>IF(OR($E677="",$E677="نامعتبر",Sync!$X673=""),"",IF(AND(LEFT(UPPER(TRIM(Sync!$X673)),2)="SL",IFERROR(VLOOKUP(Sync!$W673,OpTbl,3,0),"")="فروش"),UPPER(TRIM(Sync!$X673)),""))</f>
        <v/>
      </c>
      <c r="H677" t="str">
        <f>IF($G677="","",IF(Sync!$W673="","",Sync!$W673))</f>
        <v/>
      </c>
      <c r="I677" t="str">
        <f>IF(OR($G677="",Sync!$Y673=""),"",Sync!$Y673)</f>
        <v/>
      </c>
      <c r="J677" t="str">
        <f>IF(OR($G677="",Sync!$Z673=""),"",Sync!$Z673)</f>
        <v/>
      </c>
      <c r="K677">
        <f>IF($G677="",0,IF(Sync!$AA673="",0,Sync!$AA673))</f>
        <v>0</v>
      </c>
      <c r="L677">
        <f>IF($G677="",0,IF(Sync!$AB673="",0,Sync!$AB673))</f>
        <v>0</v>
      </c>
      <c r="M677" t="str">
        <f t="shared" si="65"/>
        <v/>
      </c>
      <c r="N677">
        <f>IF($G677="",0,IF($H677="مرجوعی فروش",-1,1)*IF(Sync!$AC673="",0,Sync!$AC673))</f>
        <v>0</v>
      </c>
      <c r="O677" t="str">
        <f>IF(OR($G677="",Sync!$V673=""),"",Sync!$V673)</f>
        <v/>
      </c>
      <c r="P677" t="str">
        <f>IF(OR($G677="",Sync!$AD673=""),"",Sync!$AD673)</f>
        <v/>
      </c>
      <c r="Q677" t="str">
        <f>IF($G677="","",IF(Sync!$U673="","0000",IF(AND(ISNUMBER(Sync!$U673),Sync!$U673&gt;=0,Sync!$U673&lt;1),RIGHT("00"&amp;HOUR(Sync!$U673),2)&amp;RIGHT("00"&amp;MINUTE(Sync!$U673),2),IFERROR(RIGHT("00"&amp;VALUE(LEFT(Sync!$U673,FIND(":",Sync!$U673)-1)),2)&amp;RIGHT("00"&amp;VALUE(MID(Sync!$U673,FIND(":",Sync!$U673)+1,2)),2),"0000"))))</f>
        <v/>
      </c>
    </row>
    <row r="678" spans="1:17" x14ac:dyDescent="0.2">
      <c r="A678" t="str">
        <f>IF(Sync!$T674="","",Sync!$T674)</f>
        <v/>
      </c>
      <c r="B678" t="str">
        <f t="shared" si="60"/>
        <v/>
      </c>
      <c r="C678" t="str">
        <f t="shared" si="61"/>
        <v/>
      </c>
      <c r="D678" t="str">
        <f t="shared" si="62"/>
        <v/>
      </c>
      <c r="E678" t="str">
        <f t="shared" si="63"/>
        <v/>
      </c>
      <c r="F678" t="str">
        <f t="shared" si="64"/>
        <v/>
      </c>
      <c r="G678" t="str">
        <f>IF(OR($E678="",$E678="نامعتبر",Sync!$X674=""),"",IF(AND(LEFT(UPPER(TRIM(Sync!$X674)),2)="SL",IFERROR(VLOOKUP(Sync!$W674,OpTbl,3,0),"")="فروش"),UPPER(TRIM(Sync!$X674)),""))</f>
        <v/>
      </c>
      <c r="H678" t="str">
        <f>IF($G678="","",IF(Sync!$W674="","",Sync!$W674))</f>
        <v/>
      </c>
      <c r="I678" t="str">
        <f>IF(OR($G678="",Sync!$Y674=""),"",Sync!$Y674)</f>
        <v/>
      </c>
      <c r="J678" t="str">
        <f>IF(OR($G678="",Sync!$Z674=""),"",Sync!$Z674)</f>
        <v/>
      </c>
      <c r="K678">
        <f>IF($G678="",0,IF(Sync!$AA674="",0,Sync!$AA674))</f>
        <v>0</v>
      </c>
      <c r="L678">
        <f>IF($G678="",0,IF(Sync!$AB674="",0,Sync!$AB674))</f>
        <v>0</v>
      </c>
      <c r="M678" t="str">
        <f t="shared" si="65"/>
        <v/>
      </c>
      <c r="N678">
        <f>IF($G678="",0,IF($H678="مرجوعی فروش",-1,1)*IF(Sync!$AC674="",0,Sync!$AC674))</f>
        <v>0</v>
      </c>
      <c r="O678" t="str">
        <f>IF(OR($G678="",Sync!$V674=""),"",Sync!$V674)</f>
        <v/>
      </c>
      <c r="P678" t="str">
        <f>IF(OR($G678="",Sync!$AD674=""),"",Sync!$AD674)</f>
        <v/>
      </c>
      <c r="Q678" t="str">
        <f>IF($G678="","",IF(Sync!$U674="","0000",IF(AND(ISNUMBER(Sync!$U674),Sync!$U674&gt;=0,Sync!$U674&lt;1),RIGHT("00"&amp;HOUR(Sync!$U674),2)&amp;RIGHT("00"&amp;MINUTE(Sync!$U674),2),IFERROR(RIGHT("00"&amp;VALUE(LEFT(Sync!$U674,FIND(":",Sync!$U674)-1)),2)&amp;RIGHT("00"&amp;VALUE(MID(Sync!$U674,FIND(":",Sync!$U674)+1,2)),2),"0000"))))</f>
        <v/>
      </c>
    </row>
    <row r="679" spans="1:17" x14ac:dyDescent="0.2">
      <c r="A679" t="str">
        <f>IF(Sync!$T675="","",Sync!$T675)</f>
        <v/>
      </c>
      <c r="B679" t="str">
        <f t="shared" si="60"/>
        <v/>
      </c>
      <c r="C679" t="str">
        <f t="shared" si="61"/>
        <v/>
      </c>
      <c r="D679" t="str">
        <f t="shared" si="62"/>
        <v/>
      </c>
      <c r="E679" t="str">
        <f t="shared" si="63"/>
        <v/>
      </c>
      <c r="F679" t="str">
        <f t="shared" si="64"/>
        <v/>
      </c>
      <c r="G679" t="str">
        <f>IF(OR($E679="",$E679="نامعتبر",Sync!$X675=""),"",IF(AND(LEFT(UPPER(TRIM(Sync!$X675)),2)="SL",IFERROR(VLOOKUP(Sync!$W675,OpTbl,3,0),"")="فروش"),UPPER(TRIM(Sync!$X675)),""))</f>
        <v/>
      </c>
      <c r="H679" t="str">
        <f>IF($G679="","",IF(Sync!$W675="","",Sync!$W675))</f>
        <v/>
      </c>
      <c r="I679" t="str">
        <f>IF(OR($G679="",Sync!$Y675=""),"",Sync!$Y675)</f>
        <v/>
      </c>
      <c r="J679" t="str">
        <f>IF(OR($G679="",Sync!$Z675=""),"",Sync!$Z675)</f>
        <v/>
      </c>
      <c r="K679">
        <f>IF($G679="",0,IF(Sync!$AA675="",0,Sync!$AA675))</f>
        <v>0</v>
      </c>
      <c r="L679">
        <f>IF($G679="",0,IF(Sync!$AB675="",0,Sync!$AB675))</f>
        <v>0</v>
      </c>
      <c r="M679" t="str">
        <f t="shared" si="65"/>
        <v/>
      </c>
      <c r="N679">
        <f>IF($G679="",0,IF($H679="مرجوعی فروش",-1,1)*IF(Sync!$AC675="",0,Sync!$AC675))</f>
        <v>0</v>
      </c>
      <c r="O679" t="str">
        <f>IF(OR($G679="",Sync!$V675=""),"",Sync!$V675)</f>
        <v/>
      </c>
      <c r="P679" t="str">
        <f>IF(OR($G679="",Sync!$AD675=""),"",Sync!$AD675)</f>
        <v/>
      </c>
      <c r="Q679" t="str">
        <f>IF($G679="","",IF(Sync!$U675="","0000",IF(AND(ISNUMBER(Sync!$U675),Sync!$U675&gt;=0,Sync!$U675&lt;1),RIGHT("00"&amp;HOUR(Sync!$U675),2)&amp;RIGHT("00"&amp;MINUTE(Sync!$U675),2),IFERROR(RIGHT("00"&amp;VALUE(LEFT(Sync!$U675,FIND(":",Sync!$U675)-1)),2)&amp;RIGHT("00"&amp;VALUE(MID(Sync!$U675,FIND(":",Sync!$U675)+1,2)),2),"0000"))))</f>
        <v/>
      </c>
    </row>
    <row r="680" spans="1:17" x14ac:dyDescent="0.2">
      <c r="A680" t="str">
        <f>IF(Sync!$T676="","",Sync!$T676)</f>
        <v/>
      </c>
      <c r="B680" t="str">
        <f t="shared" si="60"/>
        <v/>
      </c>
      <c r="C680" t="str">
        <f t="shared" si="61"/>
        <v/>
      </c>
      <c r="D680" t="str">
        <f t="shared" si="62"/>
        <v/>
      </c>
      <c r="E680" t="str">
        <f t="shared" si="63"/>
        <v/>
      </c>
      <c r="F680" t="str">
        <f t="shared" si="64"/>
        <v/>
      </c>
      <c r="G680" t="str">
        <f>IF(OR($E680="",$E680="نامعتبر",Sync!$X676=""),"",IF(AND(LEFT(UPPER(TRIM(Sync!$X676)),2)="SL",IFERROR(VLOOKUP(Sync!$W676,OpTbl,3,0),"")="فروش"),UPPER(TRIM(Sync!$X676)),""))</f>
        <v/>
      </c>
      <c r="H680" t="str">
        <f>IF($G680="","",IF(Sync!$W676="","",Sync!$W676))</f>
        <v/>
      </c>
      <c r="I680" t="str">
        <f>IF(OR($G680="",Sync!$Y676=""),"",Sync!$Y676)</f>
        <v/>
      </c>
      <c r="J680" t="str">
        <f>IF(OR($G680="",Sync!$Z676=""),"",Sync!$Z676)</f>
        <v/>
      </c>
      <c r="K680">
        <f>IF($G680="",0,IF(Sync!$AA676="",0,Sync!$AA676))</f>
        <v>0</v>
      </c>
      <c r="L680">
        <f>IF($G680="",0,IF(Sync!$AB676="",0,Sync!$AB676))</f>
        <v>0</v>
      </c>
      <c r="M680" t="str">
        <f t="shared" si="65"/>
        <v/>
      </c>
      <c r="N680">
        <f>IF($G680="",0,IF($H680="مرجوعی فروش",-1,1)*IF(Sync!$AC676="",0,Sync!$AC676))</f>
        <v>0</v>
      </c>
      <c r="O680" t="str">
        <f>IF(OR($G680="",Sync!$V676=""),"",Sync!$V676)</f>
        <v/>
      </c>
      <c r="P680" t="str">
        <f>IF(OR($G680="",Sync!$AD676=""),"",Sync!$AD676)</f>
        <v/>
      </c>
      <c r="Q680" t="str">
        <f>IF($G680="","",IF(Sync!$U676="","0000",IF(AND(ISNUMBER(Sync!$U676),Sync!$U676&gt;=0,Sync!$U676&lt;1),RIGHT("00"&amp;HOUR(Sync!$U676),2)&amp;RIGHT("00"&amp;MINUTE(Sync!$U676),2),IFERROR(RIGHT("00"&amp;VALUE(LEFT(Sync!$U676,FIND(":",Sync!$U676)-1)),2)&amp;RIGHT("00"&amp;VALUE(MID(Sync!$U676,FIND(":",Sync!$U676)+1,2)),2),"0000"))))</f>
        <v/>
      </c>
    </row>
    <row r="681" spans="1:17" x14ac:dyDescent="0.2">
      <c r="A681" t="str">
        <f>IF(Sync!$T677="","",Sync!$T677)</f>
        <v/>
      </c>
      <c r="B681" t="str">
        <f t="shared" si="60"/>
        <v/>
      </c>
      <c r="C681" t="str">
        <f t="shared" si="61"/>
        <v/>
      </c>
      <c r="D681" t="str">
        <f t="shared" si="62"/>
        <v/>
      </c>
      <c r="E681" t="str">
        <f t="shared" si="63"/>
        <v/>
      </c>
      <c r="F681" t="str">
        <f t="shared" si="64"/>
        <v/>
      </c>
      <c r="G681" t="str">
        <f>IF(OR($E681="",$E681="نامعتبر",Sync!$X677=""),"",IF(AND(LEFT(UPPER(TRIM(Sync!$X677)),2)="SL",IFERROR(VLOOKUP(Sync!$W677,OpTbl,3,0),"")="فروش"),UPPER(TRIM(Sync!$X677)),""))</f>
        <v/>
      </c>
      <c r="H681" t="str">
        <f>IF($G681="","",IF(Sync!$W677="","",Sync!$W677))</f>
        <v/>
      </c>
      <c r="I681" t="str">
        <f>IF(OR($G681="",Sync!$Y677=""),"",Sync!$Y677)</f>
        <v/>
      </c>
      <c r="J681" t="str">
        <f>IF(OR($G681="",Sync!$Z677=""),"",Sync!$Z677)</f>
        <v/>
      </c>
      <c r="K681">
        <f>IF($G681="",0,IF(Sync!$AA677="",0,Sync!$AA677))</f>
        <v>0</v>
      </c>
      <c r="L681">
        <f>IF($G681="",0,IF(Sync!$AB677="",0,Sync!$AB677))</f>
        <v>0</v>
      </c>
      <c r="M681" t="str">
        <f t="shared" si="65"/>
        <v/>
      </c>
      <c r="N681">
        <f>IF($G681="",0,IF($H681="مرجوعی فروش",-1,1)*IF(Sync!$AC677="",0,Sync!$AC677))</f>
        <v>0</v>
      </c>
      <c r="O681" t="str">
        <f>IF(OR($G681="",Sync!$V677=""),"",Sync!$V677)</f>
        <v/>
      </c>
      <c r="P681" t="str">
        <f>IF(OR($G681="",Sync!$AD677=""),"",Sync!$AD677)</f>
        <v/>
      </c>
      <c r="Q681" t="str">
        <f>IF($G681="","",IF(Sync!$U677="","0000",IF(AND(ISNUMBER(Sync!$U677),Sync!$U677&gt;=0,Sync!$U677&lt;1),RIGHT("00"&amp;HOUR(Sync!$U677),2)&amp;RIGHT("00"&amp;MINUTE(Sync!$U677),2),IFERROR(RIGHT("00"&amp;VALUE(LEFT(Sync!$U677,FIND(":",Sync!$U677)-1)),2)&amp;RIGHT("00"&amp;VALUE(MID(Sync!$U677,FIND(":",Sync!$U677)+1,2)),2),"0000"))))</f>
        <v/>
      </c>
    </row>
    <row r="682" spans="1:17" x14ac:dyDescent="0.2">
      <c r="A682" t="str">
        <f>IF(Sync!$T678="","",Sync!$T678)</f>
        <v/>
      </c>
      <c r="B682" t="str">
        <f t="shared" si="60"/>
        <v/>
      </c>
      <c r="C682" t="str">
        <f t="shared" si="61"/>
        <v/>
      </c>
      <c r="D682" t="str">
        <f t="shared" si="62"/>
        <v/>
      </c>
      <c r="E682" t="str">
        <f t="shared" si="63"/>
        <v/>
      </c>
      <c r="F682" t="str">
        <f t="shared" si="64"/>
        <v/>
      </c>
      <c r="G682" t="str">
        <f>IF(OR($E682="",$E682="نامعتبر",Sync!$X678=""),"",IF(AND(LEFT(UPPER(TRIM(Sync!$X678)),2)="SL",IFERROR(VLOOKUP(Sync!$W678,OpTbl,3,0),"")="فروش"),UPPER(TRIM(Sync!$X678)),""))</f>
        <v/>
      </c>
      <c r="H682" t="str">
        <f>IF($G682="","",IF(Sync!$W678="","",Sync!$W678))</f>
        <v/>
      </c>
      <c r="I682" t="str">
        <f>IF(OR($G682="",Sync!$Y678=""),"",Sync!$Y678)</f>
        <v/>
      </c>
      <c r="J682" t="str">
        <f>IF(OR($G682="",Sync!$Z678=""),"",Sync!$Z678)</f>
        <v/>
      </c>
      <c r="K682">
        <f>IF($G682="",0,IF(Sync!$AA678="",0,Sync!$AA678))</f>
        <v>0</v>
      </c>
      <c r="L682">
        <f>IF($G682="",0,IF(Sync!$AB678="",0,Sync!$AB678))</f>
        <v>0</v>
      </c>
      <c r="M682" t="str">
        <f t="shared" si="65"/>
        <v/>
      </c>
      <c r="N682">
        <f>IF($G682="",0,IF($H682="مرجوعی فروش",-1,1)*IF(Sync!$AC678="",0,Sync!$AC678))</f>
        <v>0</v>
      </c>
      <c r="O682" t="str">
        <f>IF(OR($G682="",Sync!$V678=""),"",Sync!$V678)</f>
        <v/>
      </c>
      <c r="P682" t="str">
        <f>IF(OR($G682="",Sync!$AD678=""),"",Sync!$AD678)</f>
        <v/>
      </c>
      <c r="Q682" t="str">
        <f>IF($G682="","",IF(Sync!$U678="","0000",IF(AND(ISNUMBER(Sync!$U678),Sync!$U678&gt;=0,Sync!$U678&lt;1),RIGHT("00"&amp;HOUR(Sync!$U678),2)&amp;RIGHT("00"&amp;MINUTE(Sync!$U678),2),IFERROR(RIGHT("00"&amp;VALUE(LEFT(Sync!$U678,FIND(":",Sync!$U678)-1)),2)&amp;RIGHT("00"&amp;VALUE(MID(Sync!$U678,FIND(":",Sync!$U678)+1,2)),2),"0000"))))</f>
        <v/>
      </c>
    </row>
    <row r="683" spans="1:17" x14ac:dyDescent="0.2">
      <c r="A683" t="str">
        <f>IF(Sync!$T679="","",Sync!$T679)</f>
        <v/>
      </c>
      <c r="B683" t="str">
        <f t="shared" si="60"/>
        <v/>
      </c>
      <c r="C683" t="str">
        <f t="shared" si="61"/>
        <v/>
      </c>
      <c r="D683" t="str">
        <f t="shared" si="62"/>
        <v/>
      </c>
      <c r="E683" t="str">
        <f t="shared" si="63"/>
        <v/>
      </c>
      <c r="F683" t="str">
        <f t="shared" si="64"/>
        <v/>
      </c>
      <c r="G683" t="str">
        <f>IF(OR($E683="",$E683="نامعتبر",Sync!$X679=""),"",IF(AND(LEFT(UPPER(TRIM(Sync!$X679)),2)="SL",IFERROR(VLOOKUP(Sync!$W679,OpTbl,3,0),"")="فروش"),UPPER(TRIM(Sync!$X679)),""))</f>
        <v/>
      </c>
      <c r="H683" t="str">
        <f>IF($G683="","",IF(Sync!$W679="","",Sync!$W679))</f>
        <v/>
      </c>
      <c r="I683" t="str">
        <f>IF(OR($G683="",Sync!$Y679=""),"",Sync!$Y679)</f>
        <v/>
      </c>
      <c r="J683" t="str">
        <f>IF(OR($G683="",Sync!$Z679=""),"",Sync!$Z679)</f>
        <v/>
      </c>
      <c r="K683">
        <f>IF($G683="",0,IF(Sync!$AA679="",0,Sync!$AA679))</f>
        <v>0</v>
      </c>
      <c r="L683">
        <f>IF($G683="",0,IF(Sync!$AB679="",0,Sync!$AB679))</f>
        <v>0</v>
      </c>
      <c r="M683" t="str">
        <f t="shared" si="65"/>
        <v/>
      </c>
      <c r="N683">
        <f>IF($G683="",0,IF($H683="مرجوعی فروش",-1,1)*IF(Sync!$AC679="",0,Sync!$AC679))</f>
        <v>0</v>
      </c>
      <c r="O683" t="str">
        <f>IF(OR($G683="",Sync!$V679=""),"",Sync!$V679)</f>
        <v/>
      </c>
      <c r="P683" t="str">
        <f>IF(OR($G683="",Sync!$AD679=""),"",Sync!$AD679)</f>
        <v/>
      </c>
      <c r="Q683" t="str">
        <f>IF($G683="","",IF(Sync!$U679="","0000",IF(AND(ISNUMBER(Sync!$U679),Sync!$U679&gt;=0,Sync!$U679&lt;1),RIGHT("00"&amp;HOUR(Sync!$U679),2)&amp;RIGHT("00"&amp;MINUTE(Sync!$U679),2),IFERROR(RIGHT("00"&amp;VALUE(LEFT(Sync!$U679,FIND(":",Sync!$U679)-1)),2)&amp;RIGHT("00"&amp;VALUE(MID(Sync!$U679,FIND(":",Sync!$U679)+1,2)),2),"0000"))))</f>
        <v/>
      </c>
    </row>
    <row r="684" spans="1:17" x14ac:dyDescent="0.2">
      <c r="A684" t="str">
        <f>IF(Sync!$T680="","",Sync!$T680)</f>
        <v/>
      </c>
      <c r="B684" t="str">
        <f t="shared" si="60"/>
        <v/>
      </c>
      <c r="C684" t="str">
        <f t="shared" si="61"/>
        <v/>
      </c>
      <c r="D684" t="str">
        <f t="shared" si="62"/>
        <v/>
      </c>
      <c r="E684" t="str">
        <f t="shared" si="63"/>
        <v/>
      </c>
      <c r="F684" t="str">
        <f t="shared" si="64"/>
        <v/>
      </c>
      <c r="G684" t="str">
        <f>IF(OR($E684="",$E684="نامعتبر",Sync!$X680=""),"",IF(AND(LEFT(UPPER(TRIM(Sync!$X680)),2)="SL",IFERROR(VLOOKUP(Sync!$W680,OpTbl,3,0),"")="فروش"),UPPER(TRIM(Sync!$X680)),""))</f>
        <v/>
      </c>
      <c r="H684" t="str">
        <f>IF($G684="","",IF(Sync!$W680="","",Sync!$W680))</f>
        <v/>
      </c>
      <c r="I684" t="str">
        <f>IF(OR($G684="",Sync!$Y680=""),"",Sync!$Y680)</f>
        <v/>
      </c>
      <c r="J684" t="str">
        <f>IF(OR($G684="",Sync!$Z680=""),"",Sync!$Z680)</f>
        <v/>
      </c>
      <c r="K684">
        <f>IF($G684="",0,IF(Sync!$AA680="",0,Sync!$AA680))</f>
        <v>0</v>
      </c>
      <c r="L684">
        <f>IF($G684="",0,IF(Sync!$AB680="",0,Sync!$AB680))</f>
        <v>0</v>
      </c>
      <c r="M684" t="str">
        <f t="shared" si="65"/>
        <v/>
      </c>
      <c r="N684">
        <f>IF($G684="",0,IF($H684="مرجوعی فروش",-1,1)*IF(Sync!$AC680="",0,Sync!$AC680))</f>
        <v>0</v>
      </c>
      <c r="O684" t="str">
        <f>IF(OR($G684="",Sync!$V680=""),"",Sync!$V680)</f>
        <v/>
      </c>
      <c r="P684" t="str">
        <f>IF(OR($G684="",Sync!$AD680=""),"",Sync!$AD680)</f>
        <v/>
      </c>
      <c r="Q684" t="str">
        <f>IF($G684="","",IF(Sync!$U680="","0000",IF(AND(ISNUMBER(Sync!$U680),Sync!$U680&gt;=0,Sync!$U680&lt;1),RIGHT("00"&amp;HOUR(Sync!$U680),2)&amp;RIGHT("00"&amp;MINUTE(Sync!$U680),2),IFERROR(RIGHT("00"&amp;VALUE(LEFT(Sync!$U680,FIND(":",Sync!$U680)-1)),2)&amp;RIGHT("00"&amp;VALUE(MID(Sync!$U680,FIND(":",Sync!$U680)+1,2)),2),"0000"))))</f>
        <v/>
      </c>
    </row>
    <row r="685" spans="1:17" x14ac:dyDescent="0.2">
      <c r="A685" t="str">
        <f>IF(Sync!$T681="","",Sync!$T681)</f>
        <v/>
      </c>
      <c r="B685" t="str">
        <f t="shared" si="60"/>
        <v/>
      </c>
      <c r="C685" t="str">
        <f t="shared" si="61"/>
        <v/>
      </c>
      <c r="D685" t="str">
        <f t="shared" si="62"/>
        <v/>
      </c>
      <c r="E685" t="str">
        <f t="shared" si="63"/>
        <v/>
      </c>
      <c r="F685" t="str">
        <f t="shared" si="64"/>
        <v/>
      </c>
      <c r="G685" t="str">
        <f>IF(OR($E685="",$E685="نامعتبر",Sync!$X681=""),"",IF(AND(LEFT(UPPER(TRIM(Sync!$X681)),2)="SL",IFERROR(VLOOKUP(Sync!$W681,OpTbl,3,0),"")="فروش"),UPPER(TRIM(Sync!$X681)),""))</f>
        <v/>
      </c>
      <c r="H685" t="str">
        <f>IF($G685="","",IF(Sync!$W681="","",Sync!$W681))</f>
        <v/>
      </c>
      <c r="I685" t="str">
        <f>IF(OR($G685="",Sync!$Y681=""),"",Sync!$Y681)</f>
        <v/>
      </c>
      <c r="J685" t="str">
        <f>IF(OR($G685="",Sync!$Z681=""),"",Sync!$Z681)</f>
        <v/>
      </c>
      <c r="K685">
        <f>IF($G685="",0,IF(Sync!$AA681="",0,Sync!$AA681))</f>
        <v>0</v>
      </c>
      <c r="L685">
        <f>IF($G685="",0,IF(Sync!$AB681="",0,Sync!$AB681))</f>
        <v>0</v>
      </c>
      <c r="M685" t="str">
        <f t="shared" si="65"/>
        <v/>
      </c>
      <c r="N685">
        <f>IF($G685="",0,IF($H685="مرجوعی فروش",-1,1)*IF(Sync!$AC681="",0,Sync!$AC681))</f>
        <v>0</v>
      </c>
      <c r="O685" t="str">
        <f>IF(OR($G685="",Sync!$V681=""),"",Sync!$V681)</f>
        <v/>
      </c>
      <c r="P685" t="str">
        <f>IF(OR($G685="",Sync!$AD681=""),"",Sync!$AD681)</f>
        <v/>
      </c>
      <c r="Q685" t="str">
        <f>IF($G685="","",IF(Sync!$U681="","0000",IF(AND(ISNUMBER(Sync!$U681),Sync!$U681&gt;=0,Sync!$U681&lt;1),RIGHT("00"&amp;HOUR(Sync!$U681),2)&amp;RIGHT("00"&amp;MINUTE(Sync!$U681),2),IFERROR(RIGHT("00"&amp;VALUE(LEFT(Sync!$U681,FIND(":",Sync!$U681)-1)),2)&amp;RIGHT("00"&amp;VALUE(MID(Sync!$U681,FIND(":",Sync!$U681)+1,2)),2),"0000"))))</f>
        <v/>
      </c>
    </row>
    <row r="686" spans="1:17" x14ac:dyDescent="0.2">
      <c r="A686" t="str">
        <f>IF(Sync!$T682="","",Sync!$T682)</f>
        <v/>
      </c>
      <c r="B686" t="str">
        <f t="shared" si="60"/>
        <v/>
      </c>
      <c r="C686" t="str">
        <f t="shared" si="61"/>
        <v/>
      </c>
      <c r="D686" t="str">
        <f t="shared" si="62"/>
        <v/>
      </c>
      <c r="E686" t="str">
        <f t="shared" si="63"/>
        <v/>
      </c>
      <c r="F686" t="str">
        <f t="shared" si="64"/>
        <v/>
      </c>
      <c r="G686" t="str">
        <f>IF(OR($E686="",$E686="نامعتبر",Sync!$X682=""),"",IF(AND(LEFT(UPPER(TRIM(Sync!$X682)),2)="SL",IFERROR(VLOOKUP(Sync!$W682,OpTbl,3,0),"")="فروش"),UPPER(TRIM(Sync!$X682)),""))</f>
        <v/>
      </c>
      <c r="H686" t="str">
        <f>IF($G686="","",IF(Sync!$W682="","",Sync!$W682))</f>
        <v/>
      </c>
      <c r="I686" t="str">
        <f>IF(OR($G686="",Sync!$Y682=""),"",Sync!$Y682)</f>
        <v/>
      </c>
      <c r="J686" t="str">
        <f>IF(OR($G686="",Sync!$Z682=""),"",Sync!$Z682)</f>
        <v/>
      </c>
      <c r="K686">
        <f>IF($G686="",0,IF(Sync!$AA682="",0,Sync!$AA682))</f>
        <v>0</v>
      </c>
      <c r="L686">
        <f>IF($G686="",0,IF(Sync!$AB682="",0,Sync!$AB682))</f>
        <v>0</v>
      </c>
      <c r="M686" t="str">
        <f t="shared" si="65"/>
        <v/>
      </c>
      <c r="N686">
        <f>IF($G686="",0,IF($H686="مرجوعی فروش",-1,1)*IF(Sync!$AC682="",0,Sync!$AC682))</f>
        <v>0</v>
      </c>
      <c r="O686" t="str">
        <f>IF(OR($G686="",Sync!$V682=""),"",Sync!$V682)</f>
        <v/>
      </c>
      <c r="P686" t="str">
        <f>IF(OR($G686="",Sync!$AD682=""),"",Sync!$AD682)</f>
        <v/>
      </c>
      <c r="Q686" t="str">
        <f>IF($G686="","",IF(Sync!$U682="","0000",IF(AND(ISNUMBER(Sync!$U682),Sync!$U682&gt;=0,Sync!$U682&lt;1),RIGHT("00"&amp;HOUR(Sync!$U682),2)&amp;RIGHT("00"&amp;MINUTE(Sync!$U682),2),IFERROR(RIGHT("00"&amp;VALUE(LEFT(Sync!$U682,FIND(":",Sync!$U682)-1)),2)&amp;RIGHT("00"&amp;VALUE(MID(Sync!$U682,FIND(":",Sync!$U682)+1,2)),2),"0000"))))</f>
        <v/>
      </c>
    </row>
    <row r="687" spans="1:17" x14ac:dyDescent="0.2">
      <c r="A687" t="str">
        <f>IF(Sync!$T683="","",Sync!$T683)</f>
        <v/>
      </c>
      <c r="B687" t="str">
        <f t="shared" si="60"/>
        <v/>
      </c>
      <c r="C687" t="str">
        <f t="shared" si="61"/>
        <v/>
      </c>
      <c r="D687" t="str">
        <f t="shared" si="62"/>
        <v/>
      </c>
      <c r="E687" t="str">
        <f t="shared" si="63"/>
        <v/>
      </c>
      <c r="F687" t="str">
        <f t="shared" si="64"/>
        <v/>
      </c>
      <c r="G687" t="str">
        <f>IF(OR($E687="",$E687="نامعتبر",Sync!$X683=""),"",IF(AND(LEFT(UPPER(TRIM(Sync!$X683)),2)="SL",IFERROR(VLOOKUP(Sync!$W683,OpTbl,3,0),"")="فروش"),UPPER(TRIM(Sync!$X683)),""))</f>
        <v/>
      </c>
      <c r="H687" t="str">
        <f>IF($G687="","",IF(Sync!$W683="","",Sync!$W683))</f>
        <v/>
      </c>
      <c r="I687" t="str">
        <f>IF(OR($G687="",Sync!$Y683=""),"",Sync!$Y683)</f>
        <v/>
      </c>
      <c r="J687" t="str">
        <f>IF(OR($G687="",Sync!$Z683=""),"",Sync!$Z683)</f>
        <v/>
      </c>
      <c r="K687">
        <f>IF($G687="",0,IF(Sync!$AA683="",0,Sync!$AA683))</f>
        <v>0</v>
      </c>
      <c r="L687">
        <f>IF($G687="",0,IF(Sync!$AB683="",0,Sync!$AB683))</f>
        <v>0</v>
      </c>
      <c r="M687" t="str">
        <f t="shared" si="65"/>
        <v/>
      </c>
      <c r="N687">
        <f>IF($G687="",0,IF($H687="مرجوعی فروش",-1,1)*IF(Sync!$AC683="",0,Sync!$AC683))</f>
        <v>0</v>
      </c>
      <c r="O687" t="str">
        <f>IF(OR($G687="",Sync!$V683=""),"",Sync!$V683)</f>
        <v/>
      </c>
      <c r="P687" t="str">
        <f>IF(OR($G687="",Sync!$AD683=""),"",Sync!$AD683)</f>
        <v/>
      </c>
      <c r="Q687" t="str">
        <f>IF($G687="","",IF(Sync!$U683="","0000",IF(AND(ISNUMBER(Sync!$U683),Sync!$U683&gt;=0,Sync!$U683&lt;1),RIGHT("00"&amp;HOUR(Sync!$U683),2)&amp;RIGHT("00"&amp;MINUTE(Sync!$U683),2),IFERROR(RIGHT("00"&amp;VALUE(LEFT(Sync!$U683,FIND(":",Sync!$U683)-1)),2)&amp;RIGHT("00"&amp;VALUE(MID(Sync!$U683,FIND(":",Sync!$U683)+1,2)),2),"0000"))))</f>
        <v/>
      </c>
    </row>
    <row r="688" spans="1:17" x14ac:dyDescent="0.2">
      <c r="A688" t="str">
        <f>IF(Sync!$T684="","",Sync!$T684)</f>
        <v/>
      </c>
      <c r="B688" t="str">
        <f t="shared" si="60"/>
        <v/>
      </c>
      <c r="C688" t="str">
        <f t="shared" si="61"/>
        <v/>
      </c>
      <c r="D688" t="str">
        <f t="shared" si="62"/>
        <v/>
      </c>
      <c r="E688" t="str">
        <f t="shared" si="63"/>
        <v/>
      </c>
      <c r="F688" t="str">
        <f t="shared" si="64"/>
        <v/>
      </c>
      <c r="G688" t="str">
        <f>IF(OR($E688="",$E688="نامعتبر",Sync!$X684=""),"",IF(AND(LEFT(UPPER(TRIM(Sync!$X684)),2)="SL",IFERROR(VLOOKUP(Sync!$W684,OpTbl,3,0),"")="فروش"),UPPER(TRIM(Sync!$X684)),""))</f>
        <v/>
      </c>
      <c r="H688" t="str">
        <f>IF($G688="","",IF(Sync!$W684="","",Sync!$W684))</f>
        <v/>
      </c>
      <c r="I688" t="str">
        <f>IF(OR($G688="",Sync!$Y684=""),"",Sync!$Y684)</f>
        <v/>
      </c>
      <c r="J688" t="str">
        <f>IF(OR($G688="",Sync!$Z684=""),"",Sync!$Z684)</f>
        <v/>
      </c>
      <c r="K688">
        <f>IF($G688="",0,IF(Sync!$AA684="",0,Sync!$AA684))</f>
        <v>0</v>
      </c>
      <c r="L688">
        <f>IF($G688="",0,IF(Sync!$AB684="",0,Sync!$AB684))</f>
        <v>0</v>
      </c>
      <c r="M688" t="str">
        <f t="shared" si="65"/>
        <v/>
      </c>
      <c r="N688">
        <f>IF($G688="",0,IF($H688="مرجوعی فروش",-1,1)*IF(Sync!$AC684="",0,Sync!$AC684))</f>
        <v>0</v>
      </c>
      <c r="O688" t="str">
        <f>IF(OR($G688="",Sync!$V684=""),"",Sync!$V684)</f>
        <v/>
      </c>
      <c r="P688" t="str">
        <f>IF(OR($G688="",Sync!$AD684=""),"",Sync!$AD684)</f>
        <v/>
      </c>
      <c r="Q688" t="str">
        <f>IF($G688="","",IF(Sync!$U684="","0000",IF(AND(ISNUMBER(Sync!$U684),Sync!$U684&gt;=0,Sync!$U684&lt;1),RIGHT("00"&amp;HOUR(Sync!$U684),2)&amp;RIGHT("00"&amp;MINUTE(Sync!$U684),2),IFERROR(RIGHT("00"&amp;VALUE(LEFT(Sync!$U684,FIND(":",Sync!$U684)-1)),2)&amp;RIGHT("00"&amp;VALUE(MID(Sync!$U684,FIND(":",Sync!$U684)+1,2)),2),"0000"))))</f>
        <v/>
      </c>
    </row>
    <row r="689" spans="1:17" x14ac:dyDescent="0.2">
      <c r="A689" t="str">
        <f>IF(Sync!$T685="","",Sync!$T685)</f>
        <v/>
      </c>
      <c r="B689" t="str">
        <f t="shared" si="60"/>
        <v/>
      </c>
      <c r="C689" t="str">
        <f t="shared" si="61"/>
        <v/>
      </c>
      <c r="D689" t="str">
        <f t="shared" si="62"/>
        <v/>
      </c>
      <c r="E689" t="str">
        <f t="shared" si="63"/>
        <v/>
      </c>
      <c r="F689" t="str">
        <f t="shared" si="64"/>
        <v/>
      </c>
      <c r="G689" t="str">
        <f>IF(OR($E689="",$E689="نامعتبر",Sync!$X685=""),"",IF(AND(LEFT(UPPER(TRIM(Sync!$X685)),2)="SL",IFERROR(VLOOKUP(Sync!$W685,OpTbl,3,0),"")="فروش"),UPPER(TRIM(Sync!$X685)),""))</f>
        <v/>
      </c>
      <c r="H689" t="str">
        <f>IF($G689="","",IF(Sync!$W685="","",Sync!$W685))</f>
        <v/>
      </c>
      <c r="I689" t="str">
        <f>IF(OR($G689="",Sync!$Y685=""),"",Sync!$Y685)</f>
        <v/>
      </c>
      <c r="J689" t="str">
        <f>IF(OR($G689="",Sync!$Z685=""),"",Sync!$Z685)</f>
        <v/>
      </c>
      <c r="K689">
        <f>IF($G689="",0,IF(Sync!$AA685="",0,Sync!$AA685))</f>
        <v>0</v>
      </c>
      <c r="L689">
        <f>IF($G689="",0,IF(Sync!$AB685="",0,Sync!$AB685))</f>
        <v>0</v>
      </c>
      <c r="M689" t="str">
        <f t="shared" si="65"/>
        <v/>
      </c>
      <c r="N689">
        <f>IF($G689="",0,IF($H689="مرجوعی فروش",-1,1)*IF(Sync!$AC685="",0,Sync!$AC685))</f>
        <v>0</v>
      </c>
      <c r="O689" t="str">
        <f>IF(OR($G689="",Sync!$V685=""),"",Sync!$V685)</f>
        <v/>
      </c>
      <c r="P689" t="str">
        <f>IF(OR($G689="",Sync!$AD685=""),"",Sync!$AD685)</f>
        <v/>
      </c>
      <c r="Q689" t="str">
        <f>IF($G689="","",IF(Sync!$U685="","0000",IF(AND(ISNUMBER(Sync!$U685),Sync!$U685&gt;=0,Sync!$U685&lt;1),RIGHT("00"&amp;HOUR(Sync!$U685),2)&amp;RIGHT("00"&amp;MINUTE(Sync!$U685),2),IFERROR(RIGHT("00"&amp;VALUE(LEFT(Sync!$U685,FIND(":",Sync!$U685)-1)),2)&amp;RIGHT("00"&amp;VALUE(MID(Sync!$U685,FIND(":",Sync!$U685)+1,2)),2),"0000"))))</f>
        <v/>
      </c>
    </row>
    <row r="690" spans="1:17" x14ac:dyDescent="0.2">
      <c r="A690" t="str">
        <f>IF(Sync!$T686="","",Sync!$T686)</f>
        <v/>
      </c>
      <c r="B690" t="str">
        <f t="shared" si="60"/>
        <v/>
      </c>
      <c r="C690" t="str">
        <f t="shared" si="61"/>
        <v/>
      </c>
      <c r="D690" t="str">
        <f t="shared" si="62"/>
        <v/>
      </c>
      <c r="E690" t="str">
        <f t="shared" si="63"/>
        <v/>
      </c>
      <c r="F690" t="str">
        <f t="shared" si="64"/>
        <v/>
      </c>
      <c r="G690" t="str">
        <f>IF(OR($E690="",$E690="نامعتبر",Sync!$X686=""),"",IF(AND(LEFT(UPPER(TRIM(Sync!$X686)),2)="SL",IFERROR(VLOOKUP(Sync!$W686,OpTbl,3,0),"")="فروش"),UPPER(TRIM(Sync!$X686)),""))</f>
        <v/>
      </c>
      <c r="H690" t="str">
        <f>IF($G690="","",IF(Sync!$W686="","",Sync!$W686))</f>
        <v/>
      </c>
      <c r="I690" t="str">
        <f>IF(OR($G690="",Sync!$Y686=""),"",Sync!$Y686)</f>
        <v/>
      </c>
      <c r="J690" t="str">
        <f>IF(OR($G690="",Sync!$Z686=""),"",Sync!$Z686)</f>
        <v/>
      </c>
      <c r="K690">
        <f>IF($G690="",0,IF(Sync!$AA686="",0,Sync!$AA686))</f>
        <v>0</v>
      </c>
      <c r="L690">
        <f>IF($G690="",0,IF(Sync!$AB686="",0,Sync!$AB686))</f>
        <v>0</v>
      </c>
      <c r="M690" t="str">
        <f t="shared" si="65"/>
        <v/>
      </c>
      <c r="N690">
        <f>IF($G690="",0,IF($H690="مرجوعی فروش",-1,1)*IF(Sync!$AC686="",0,Sync!$AC686))</f>
        <v>0</v>
      </c>
      <c r="O690" t="str">
        <f>IF(OR($G690="",Sync!$V686=""),"",Sync!$V686)</f>
        <v/>
      </c>
      <c r="P690" t="str">
        <f>IF(OR($G690="",Sync!$AD686=""),"",Sync!$AD686)</f>
        <v/>
      </c>
      <c r="Q690" t="str">
        <f>IF($G690="","",IF(Sync!$U686="","0000",IF(AND(ISNUMBER(Sync!$U686),Sync!$U686&gt;=0,Sync!$U686&lt;1),RIGHT("00"&amp;HOUR(Sync!$U686),2)&amp;RIGHT("00"&amp;MINUTE(Sync!$U686),2),IFERROR(RIGHT("00"&amp;VALUE(LEFT(Sync!$U686,FIND(":",Sync!$U686)-1)),2)&amp;RIGHT("00"&amp;VALUE(MID(Sync!$U686,FIND(":",Sync!$U686)+1,2)),2),"0000"))))</f>
        <v/>
      </c>
    </row>
    <row r="691" spans="1:17" x14ac:dyDescent="0.2">
      <c r="A691" t="str">
        <f>IF(Sync!$T687="","",Sync!$T687)</f>
        <v/>
      </c>
      <c r="B691" t="str">
        <f t="shared" si="60"/>
        <v/>
      </c>
      <c r="C691" t="str">
        <f t="shared" si="61"/>
        <v/>
      </c>
      <c r="D691" t="str">
        <f t="shared" si="62"/>
        <v/>
      </c>
      <c r="E691" t="str">
        <f t="shared" si="63"/>
        <v/>
      </c>
      <c r="F691" t="str">
        <f t="shared" si="64"/>
        <v/>
      </c>
      <c r="G691" t="str">
        <f>IF(OR($E691="",$E691="نامعتبر",Sync!$X687=""),"",IF(AND(LEFT(UPPER(TRIM(Sync!$X687)),2)="SL",IFERROR(VLOOKUP(Sync!$W687,OpTbl,3,0),"")="فروش"),UPPER(TRIM(Sync!$X687)),""))</f>
        <v/>
      </c>
      <c r="H691" t="str">
        <f>IF($G691="","",IF(Sync!$W687="","",Sync!$W687))</f>
        <v/>
      </c>
      <c r="I691" t="str">
        <f>IF(OR($G691="",Sync!$Y687=""),"",Sync!$Y687)</f>
        <v/>
      </c>
      <c r="J691" t="str">
        <f>IF(OR($G691="",Sync!$Z687=""),"",Sync!$Z687)</f>
        <v/>
      </c>
      <c r="K691">
        <f>IF($G691="",0,IF(Sync!$AA687="",0,Sync!$AA687))</f>
        <v>0</v>
      </c>
      <c r="L691">
        <f>IF($G691="",0,IF(Sync!$AB687="",0,Sync!$AB687))</f>
        <v>0</v>
      </c>
      <c r="M691" t="str">
        <f t="shared" si="65"/>
        <v/>
      </c>
      <c r="N691">
        <f>IF($G691="",0,IF($H691="مرجوعی فروش",-1,1)*IF(Sync!$AC687="",0,Sync!$AC687))</f>
        <v>0</v>
      </c>
      <c r="O691" t="str">
        <f>IF(OR($G691="",Sync!$V687=""),"",Sync!$V687)</f>
        <v/>
      </c>
      <c r="P691" t="str">
        <f>IF(OR($G691="",Sync!$AD687=""),"",Sync!$AD687)</f>
        <v/>
      </c>
      <c r="Q691" t="str">
        <f>IF($G691="","",IF(Sync!$U687="","0000",IF(AND(ISNUMBER(Sync!$U687),Sync!$U687&gt;=0,Sync!$U687&lt;1),RIGHT("00"&amp;HOUR(Sync!$U687),2)&amp;RIGHT("00"&amp;MINUTE(Sync!$U687),2),IFERROR(RIGHT("00"&amp;VALUE(LEFT(Sync!$U687,FIND(":",Sync!$U687)-1)),2)&amp;RIGHT("00"&amp;VALUE(MID(Sync!$U687,FIND(":",Sync!$U687)+1,2)),2),"0000"))))</f>
        <v/>
      </c>
    </row>
    <row r="692" spans="1:17" x14ac:dyDescent="0.2">
      <c r="A692" t="str">
        <f>IF(Sync!$T688="","",Sync!$T688)</f>
        <v/>
      </c>
      <c r="B692" t="str">
        <f t="shared" si="60"/>
        <v/>
      </c>
      <c r="C692" t="str">
        <f t="shared" si="61"/>
        <v/>
      </c>
      <c r="D692" t="str">
        <f t="shared" si="62"/>
        <v/>
      </c>
      <c r="E692" t="str">
        <f t="shared" si="63"/>
        <v/>
      </c>
      <c r="F692" t="str">
        <f t="shared" si="64"/>
        <v/>
      </c>
      <c r="G692" t="str">
        <f>IF(OR($E692="",$E692="نامعتبر",Sync!$X688=""),"",IF(AND(LEFT(UPPER(TRIM(Sync!$X688)),2)="SL",IFERROR(VLOOKUP(Sync!$W688,OpTbl,3,0),"")="فروش"),UPPER(TRIM(Sync!$X688)),""))</f>
        <v/>
      </c>
      <c r="H692" t="str">
        <f>IF($G692="","",IF(Sync!$W688="","",Sync!$W688))</f>
        <v/>
      </c>
      <c r="I692" t="str">
        <f>IF(OR($G692="",Sync!$Y688=""),"",Sync!$Y688)</f>
        <v/>
      </c>
      <c r="J692" t="str">
        <f>IF(OR($G692="",Sync!$Z688=""),"",Sync!$Z688)</f>
        <v/>
      </c>
      <c r="K692">
        <f>IF($G692="",0,IF(Sync!$AA688="",0,Sync!$AA688))</f>
        <v>0</v>
      </c>
      <c r="L692">
        <f>IF($G692="",0,IF(Sync!$AB688="",0,Sync!$AB688))</f>
        <v>0</v>
      </c>
      <c r="M692" t="str">
        <f t="shared" si="65"/>
        <v/>
      </c>
      <c r="N692">
        <f>IF($G692="",0,IF($H692="مرجوعی فروش",-1,1)*IF(Sync!$AC688="",0,Sync!$AC688))</f>
        <v>0</v>
      </c>
      <c r="O692" t="str">
        <f>IF(OR($G692="",Sync!$V688=""),"",Sync!$V688)</f>
        <v/>
      </c>
      <c r="P692" t="str">
        <f>IF(OR($G692="",Sync!$AD688=""),"",Sync!$AD688)</f>
        <v/>
      </c>
      <c r="Q692" t="str">
        <f>IF($G692="","",IF(Sync!$U688="","0000",IF(AND(ISNUMBER(Sync!$U688),Sync!$U688&gt;=0,Sync!$U688&lt;1),RIGHT("00"&amp;HOUR(Sync!$U688),2)&amp;RIGHT("00"&amp;MINUTE(Sync!$U688),2),IFERROR(RIGHT("00"&amp;VALUE(LEFT(Sync!$U688,FIND(":",Sync!$U688)-1)),2)&amp;RIGHT("00"&amp;VALUE(MID(Sync!$U688,FIND(":",Sync!$U688)+1,2)),2),"0000"))))</f>
        <v/>
      </c>
    </row>
    <row r="693" spans="1:17" x14ac:dyDescent="0.2">
      <c r="A693" t="str">
        <f>IF(Sync!$T689="","",Sync!$T689)</f>
        <v/>
      </c>
      <c r="B693" t="str">
        <f t="shared" si="60"/>
        <v/>
      </c>
      <c r="C693" t="str">
        <f t="shared" si="61"/>
        <v/>
      </c>
      <c r="D693" t="str">
        <f t="shared" si="62"/>
        <v/>
      </c>
      <c r="E693" t="str">
        <f t="shared" si="63"/>
        <v/>
      </c>
      <c r="F693" t="str">
        <f t="shared" si="64"/>
        <v/>
      </c>
      <c r="G693" t="str">
        <f>IF(OR($E693="",$E693="نامعتبر",Sync!$X689=""),"",IF(AND(LEFT(UPPER(TRIM(Sync!$X689)),2)="SL",IFERROR(VLOOKUP(Sync!$W689,OpTbl,3,0),"")="فروش"),UPPER(TRIM(Sync!$X689)),""))</f>
        <v/>
      </c>
      <c r="H693" t="str">
        <f>IF($G693="","",IF(Sync!$W689="","",Sync!$W689))</f>
        <v/>
      </c>
      <c r="I693" t="str">
        <f>IF(OR($G693="",Sync!$Y689=""),"",Sync!$Y689)</f>
        <v/>
      </c>
      <c r="J693" t="str">
        <f>IF(OR($G693="",Sync!$Z689=""),"",Sync!$Z689)</f>
        <v/>
      </c>
      <c r="K693">
        <f>IF($G693="",0,IF(Sync!$AA689="",0,Sync!$AA689))</f>
        <v>0</v>
      </c>
      <c r="L693">
        <f>IF($G693="",0,IF(Sync!$AB689="",0,Sync!$AB689))</f>
        <v>0</v>
      </c>
      <c r="M693" t="str">
        <f t="shared" si="65"/>
        <v/>
      </c>
      <c r="N693">
        <f>IF($G693="",0,IF($H693="مرجوعی فروش",-1,1)*IF(Sync!$AC689="",0,Sync!$AC689))</f>
        <v>0</v>
      </c>
      <c r="O693" t="str">
        <f>IF(OR($G693="",Sync!$V689=""),"",Sync!$V689)</f>
        <v/>
      </c>
      <c r="P693" t="str">
        <f>IF(OR($G693="",Sync!$AD689=""),"",Sync!$AD689)</f>
        <v/>
      </c>
      <c r="Q693" t="str">
        <f>IF($G693="","",IF(Sync!$U689="","0000",IF(AND(ISNUMBER(Sync!$U689),Sync!$U689&gt;=0,Sync!$U689&lt;1),RIGHT("00"&amp;HOUR(Sync!$U689),2)&amp;RIGHT("00"&amp;MINUTE(Sync!$U689),2),IFERROR(RIGHT("00"&amp;VALUE(LEFT(Sync!$U689,FIND(":",Sync!$U689)-1)),2)&amp;RIGHT("00"&amp;VALUE(MID(Sync!$U689,FIND(":",Sync!$U689)+1,2)),2),"0000"))))</f>
        <v/>
      </c>
    </row>
    <row r="694" spans="1:17" x14ac:dyDescent="0.2">
      <c r="A694" t="str">
        <f>IF(Sync!$T690="","",Sync!$T690)</f>
        <v/>
      </c>
      <c r="B694" t="str">
        <f t="shared" si="60"/>
        <v/>
      </c>
      <c r="C694" t="str">
        <f t="shared" si="61"/>
        <v/>
      </c>
      <c r="D694" t="str">
        <f t="shared" si="62"/>
        <v/>
      </c>
      <c r="E694" t="str">
        <f t="shared" si="63"/>
        <v/>
      </c>
      <c r="F694" t="str">
        <f t="shared" si="64"/>
        <v/>
      </c>
      <c r="G694" t="str">
        <f>IF(OR($E694="",$E694="نامعتبر",Sync!$X690=""),"",IF(AND(LEFT(UPPER(TRIM(Sync!$X690)),2)="SL",IFERROR(VLOOKUP(Sync!$W690,OpTbl,3,0),"")="فروش"),UPPER(TRIM(Sync!$X690)),""))</f>
        <v/>
      </c>
      <c r="H694" t="str">
        <f>IF($G694="","",IF(Sync!$W690="","",Sync!$W690))</f>
        <v/>
      </c>
      <c r="I694" t="str">
        <f>IF(OR($G694="",Sync!$Y690=""),"",Sync!$Y690)</f>
        <v/>
      </c>
      <c r="J694" t="str">
        <f>IF(OR($G694="",Sync!$Z690=""),"",Sync!$Z690)</f>
        <v/>
      </c>
      <c r="K694">
        <f>IF($G694="",0,IF(Sync!$AA690="",0,Sync!$AA690))</f>
        <v>0</v>
      </c>
      <c r="L694">
        <f>IF($G694="",0,IF(Sync!$AB690="",0,Sync!$AB690))</f>
        <v>0</v>
      </c>
      <c r="M694" t="str">
        <f t="shared" si="65"/>
        <v/>
      </c>
      <c r="N694">
        <f>IF($G694="",0,IF($H694="مرجوعی فروش",-1,1)*IF(Sync!$AC690="",0,Sync!$AC690))</f>
        <v>0</v>
      </c>
      <c r="O694" t="str">
        <f>IF(OR($G694="",Sync!$V690=""),"",Sync!$V690)</f>
        <v/>
      </c>
      <c r="P694" t="str">
        <f>IF(OR($G694="",Sync!$AD690=""),"",Sync!$AD690)</f>
        <v/>
      </c>
      <c r="Q694" t="str">
        <f>IF($G694="","",IF(Sync!$U690="","0000",IF(AND(ISNUMBER(Sync!$U690),Sync!$U690&gt;=0,Sync!$U690&lt;1),RIGHT("00"&amp;HOUR(Sync!$U690),2)&amp;RIGHT("00"&amp;MINUTE(Sync!$U690),2),IFERROR(RIGHT("00"&amp;VALUE(LEFT(Sync!$U690,FIND(":",Sync!$U690)-1)),2)&amp;RIGHT("00"&amp;VALUE(MID(Sync!$U690,FIND(":",Sync!$U690)+1,2)),2),"0000"))))</f>
        <v/>
      </c>
    </row>
    <row r="695" spans="1:17" x14ac:dyDescent="0.2">
      <c r="A695" t="str">
        <f>IF(Sync!$T691="","",Sync!$T691)</f>
        <v/>
      </c>
      <c r="B695" t="str">
        <f t="shared" si="60"/>
        <v/>
      </c>
      <c r="C695" t="str">
        <f t="shared" si="61"/>
        <v/>
      </c>
      <c r="D695" t="str">
        <f t="shared" si="62"/>
        <v/>
      </c>
      <c r="E695" t="str">
        <f t="shared" si="63"/>
        <v/>
      </c>
      <c r="F695" t="str">
        <f t="shared" si="64"/>
        <v/>
      </c>
      <c r="G695" t="str">
        <f>IF(OR($E695="",$E695="نامعتبر",Sync!$X691=""),"",IF(AND(LEFT(UPPER(TRIM(Sync!$X691)),2)="SL",IFERROR(VLOOKUP(Sync!$W691,OpTbl,3,0),"")="فروش"),UPPER(TRIM(Sync!$X691)),""))</f>
        <v/>
      </c>
      <c r="H695" t="str">
        <f>IF($G695="","",IF(Sync!$W691="","",Sync!$W691))</f>
        <v/>
      </c>
      <c r="I695" t="str">
        <f>IF(OR($G695="",Sync!$Y691=""),"",Sync!$Y691)</f>
        <v/>
      </c>
      <c r="J695" t="str">
        <f>IF(OR($G695="",Sync!$Z691=""),"",Sync!$Z691)</f>
        <v/>
      </c>
      <c r="K695">
        <f>IF($G695="",0,IF(Sync!$AA691="",0,Sync!$AA691))</f>
        <v>0</v>
      </c>
      <c r="L695">
        <f>IF($G695="",0,IF(Sync!$AB691="",0,Sync!$AB691))</f>
        <v>0</v>
      </c>
      <c r="M695" t="str">
        <f t="shared" si="65"/>
        <v/>
      </c>
      <c r="N695">
        <f>IF($G695="",0,IF($H695="مرجوعی فروش",-1,1)*IF(Sync!$AC691="",0,Sync!$AC691))</f>
        <v>0</v>
      </c>
      <c r="O695" t="str">
        <f>IF(OR($G695="",Sync!$V691=""),"",Sync!$V691)</f>
        <v/>
      </c>
      <c r="P695" t="str">
        <f>IF(OR($G695="",Sync!$AD691=""),"",Sync!$AD691)</f>
        <v/>
      </c>
      <c r="Q695" t="str">
        <f>IF($G695="","",IF(Sync!$U691="","0000",IF(AND(ISNUMBER(Sync!$U691),Sync!$U691&gt;=0,Sync!$U691&lt;1),RIGHT("00"&amp;HOUR(Sync!$U691),2)&amp;RIGHT("00"&amp;MINUTE(Sync!$U691),2),IFERROR(RIGHT("00"&amp;VALUE(LEFT(Sync!$U691,FIND(":",Sync!$U691)-1)),2)&amp;RIGHT("00"&amp;VALUE(MID(Sync!$U691,FIND(":",Sync!$U691)+1,2)),2),"0000"))))</f>
        <v/>
      </c>
    </row>
    <row r="696" spans="1:17" x14ac:dyDescent="0.2">
      <c r="A696" t="str">
        <f>IF(Sync!$T692="","",Sync!$T692)</f>
        <v/>
      </c>
      <c r="B696" t="str">
        <f t="shared" si="60"/>
        <v/>
      </c>
      <c r="C696" t="str">
        <f t="shared" si="61"/>
        <v/>
      </c>
      <c r="D696" t="str">
        <f t="shared" si="62"/>
        <v/>
      </c>
      <c r="E696" t="str">
        <f t="shared" si="63"/>
        <v/>
      </c>
      <c r="F696" t="str">
        <f t="shared" si="64"/>
        <v/>
      </c>
      <c r="G696" t="str">
        <f>IF(OR($E696="",$E696="نامعتبر",Sync!$X692=""),"",IF(AND(LEFT(UPPER(TRIM(Sync!$X692)),2)="SL",IFERROR(VLOOKUP(Sync!$W692,OpTbl,3,0),"")="فروش"),UPPER(TRIM(Sync!$X692)),""))</f>
        <v/>
      </c>
      <c r="H696" t="str">
        <f>IF($G696="","",IF(Sync!$W692="","",Sync!$W692))</f>
        <v/>
      </c>
      <c r="I696" t="str">
        <f>IF(OR($G696="",Sync!$Y692=""),"",Sync!$Y692)</f>
        <v/>
      </c>
      <c r="J696" t="str">
        <f>IF(OR($G696="",Sync!$Z692=""),"",Sync!$Z692)</f>
        <v/>
      </c>
      <c r="K696">
        <f>IF($G696="",0,IF(Sync!$AA692="",0,Sync!$AA692))</f>
        <v>0</v>
      </c>
      <c r="L696">
        <f>IF($G696="",0,IF(Sync!$AB692="",0,Sync!$AB692))</f>
        <v>0</v>
      </c>
      <c r="M696" t="str">
        <f t="shared" si="65"/>
        <v/>
      </c>
      <c r="N696">
        <f>IF($G696="",0,IF($H696="مرجوعی فروش",-1,1)*IF(Sync!$AC692="",0,Sync!$AC692))</f>
        <v>0</v>
      </c>
      <c r="O696" t="str">
        <f>IF(OR($G696="",Sync!$V692=""),"",Sync!$V692)</f>
        <v/>
      </c>
      <c r="P696" t="str">
        <f>IF(OR($G696="",Sync!$AD692=""),"",Sync!$AD692)</f>
        <v/>
      </c>
      <c r="Q696" t="str">
        <f>IF($G696="","",IF(Sync!$U692="","0000",IF(AND(ISNUMBER(Sync!$U692),Sync!$U692&gt;=0,Sync!$U692&lt;1),RIGHT("00"&amp;HOUR(Sync!$U692),2)&amp;RIGHT("00"&amp;MINUTE(Sync!$U692),2),IFERROR(RIGHT("00"&amp;VALUE(LEFT(Sync!$U692,FIND(":",Sync!$U692)-1)),2)&amp;RIGHT("00"&amp;VALUE(MID(Sync!$U692,FIND(":",Sync!$U692)+1,2)),2),"0000"))))</f>
        <v/>
      </c>
    </row>
    <row r="697" spans="1:17" x14ac:dyDescent="0.2">
      <c r="A697" t="str">
        <f>IF(Sync!$T693="","",Sync!$T693)</f>
        <v/>
      </c>
      <c r="B697" t="str">
        <f t="shared" si="60"/>
        <v/>
      </c>
      <c r="C697" t="str">
        <f t="shared" si="61"/>
        <v/>
      </c>
      <c r="D697" t="str">
        <f t="shared" si="62"/>
        <v/>
      </c>
      <c r="E697" t="str">
        <f t="shared" si="63"/>
        <v/>
      </c>
      <c r="F697" t="str">
        <f t="shared" si="64"/>
        <v/>
      </c>
      <c r="G697" t="str">
        <f>IF(OR($E697="",$E697="نامعتبر",Sync!$X693=""),"",IF(AND(LEFT(UPPER(TRIM(Sync!$X693)),2)="SL",IFERROR(VLOOKUP(Sync!$W693,OpTbl,3,0),"")="فروش"),UPPER(TRIM(Sync!$X693)),""))</f>
        <v/>
      </c>
      <c r="H697" t="str">
        <f>IF($G697="","",IF(Sync!$W693="","",Sync!$W693))</f>
        <v/>
      </c>
      <c r="I697" t="str">
        <f>IF(OR($G697="",Sync!$Y693=""),"",Sync!$Y693)</f>
        <v/>
      </c>
      <c r="J697" t="str">
        <f>IF(OR($G697="",Sync!$Z693=""),"",Sync!$Z693)</f>
        <v/>
      </c>
      <c r="K697">
        <f>IF($G697="",0,IF(Sync!$AA693="",0,Sync!$AA693))</f>
        <v>0</v>
      </c>
      <c r="L697">
        <f>IF($G697="",0,IF(Sync!$AB693="",0,Sync!$AB693))</f>
        <v>0</v>
      </c>
      <c r="M697" t="str">
        <f t="shared" si="65"/>
        <v/>
      </c>
      <c r="N697">
        <f>IF($G697="",0,IF($H697="مرجوعی فروش",-1,1)*IF(Sync!$AC693="",0,Sync!$AC693))</f>
        <v>0</v>
      </c>
      <c r="O697" t="str">
        <f>IF(OR($G697="",Sync!$V693=""),"",Sync!$V693)</f>
        <v/>
      </c>
      <c r="P697" t="str">
        <f>IF(OR($G697="",Sync!$AD693=""),"",Sync!$AD693)</f>
        <v/>
      </c>
      <c r="Q697" t="str">
        <f>IF($G697="","",IF(Sync!$U693="","0000",IF(AND(ISNUMBER(Sync!$U693),Sync!$U693&gt;=0,Sync!$U693&lt;1),RIGHT("00"&amp;HOUR(Sync!$U693),2)&amp;RIGHT("00"&amp;MINUTE(Sync!$U693),2),IFERROR(RIGHT("00"&amp;VALUE(LEFT(Sync!$U693,FIND(":",Sync!$U693)-1)),2)&amp;RIGHT("00"&amp;VALUE(MID(Sync!$U693,FIND(":",Sync!$U693)+1,2)),2),"0000"))))</f>
        <v/>
      </c>
    </row>
    <row r="698" spans="1:17" x14ac:dyDescent="0.2">
      <c r="A698" t="str">
        <f>IF(Sync!$T694="","",Sync!$T694)</f>
        <v/>
      </c>
      <c r="B698" t="str">
        <f t="shared" si="60"/>
        <v/>
      </c>
      <c r="C698" t="str">
        <f t="shared" si="61"/>
        <v/>
      </c>
      <c r="D698" t="str">
        <f t="shared" si="62"/>
        <v/>
      </c>
      <c r="E698" t="str">
        <f t="shared" si="63"/>
        <v/>
      </c>
      <c r="F698" t="str">
        <f t="shared" si="64"/>
        <v/>
      </c>
      <c r="G698" t="str">
        <f>IF(OR($E698="",$E698="نامعتبر",Sync!$X694=""),"",IF(AND(LEFT(UPPER(TRIM(Sync!$X694)),2)="SL",IFERROR(VLOOKUP(Sync!$W694,OpTbl,3,0),"")="فروش"),UPPER(TRIM(Sync!$X694)),""))</f>
        <v/>
      </c>
      <c r="H698" t="str">
        <f>IF($G698="","",IF(Sync!$W694="","",Sync!$W694))</f>
        <v/>
      </c>
      <c r="I698" t="str">
        <f>IF(OR($G698="",Sync!$Y694=""),"",Sync!$Y694)</f>
        <v/>
      </c>
      <c r="J698" t="str">
        <f>IF(OR($G698="",Sync!$Z694=""),"",Sync!$Z694)</f>
        <v/>
      </c>
      <c r="K698">
        <f>IF($G698="",0,IF(Sync!$AA694="",0,Sync!$AA694))</f>
        <v>0</v>
      </c>
      <c r="L698">
        <f>IF($G698="",0,IF(Sync!$AB694="",0,Sync!$AB694))</f>
        <v>0</v>
      </c>
      <c r="M698" t="str">
        <f t="shared" si="65"/>
        <v/>
      </c>
      <c r="N698">
        <f>IF($G698="",0,IF($H698="مرجوعی فروش",-1,1)*IF(Sync!$AC694="",0,Sync!$AC694))</f>
        <v>0</v>
      </c>
      <c r="O698" t="str">
        <f>IF(OR($G698="",Sync!$V694=""),"",Sync!$V694)</f>
        <v/>
      </c>
      <c r="P698" t="str">
        <f>IF(OR($G698="",Sync!$AD694=""),"",Sync!$AD694)</f>
        <v/>
      </c>
      <c r="Q698" t="str">
        <f>IF($G698="","",IF(Sync!$U694="","0000",IF(AND(ISNUMBER(Sync!$U694),Sync!$U694&gt;=0,Sync!$U694&lt;1),RIGHT("00"&amp;HOUR(Sync!$U694),2)&amp;RIGHT("00"&amp;MINUTE(Sync!$U694),2),IFERROR(RIGHT("00"&amp;VALUE(LEFT(Sync!$U694,FIND(":",Sync!$U694)-1)),2)&amp;RIGHT("00"&amp;VALUE(MID(Sync!$U694,FIND(":",Sync!$U694)+1,2)),2),"0000"))))</f>
        <v/>
      </c>
    </row>
    <row r="699" spans="1:17" x14ac:dyDescent="0.2">
      <c r="A699" t="str">
        <f>IF(Sync!$T695="","",Sync!$T695)</f>
        <v/>
      </c>
      <c r="B699" t="str">
        <f t="shared" si="60"/>
        <v/>
      </c>
      <c r="C699" t="str">
        <f t="shared" si="61"/>
        <v/>
      </c>
      <c r="D699" t="str">
        <f t="shared" si="62"/>
        <v/>
      </c>
      <c r="E699" t="str">
        <f t="shared" si="63"/>
        <v/>
      </c>
      <c r="F699" t="str">
        <f t="shared" si="64"/>
        <v/>
      </c>
      <c r="G699" t="str">
        <f>IF(OR($E699="",$E699="نامعتبر",Sync!$X695=""),"",IF(AND(LEFT(UPPER(TRIM(Sync!$X695)),2)="SL",IFERROR(VLOOKUP(Sync!$W695,OpTbl,3,0),"")="فروش"),UPPER(TRIM(Sync!$X695)),""))</f>
        <v/>
      </c>
      <c r="H699" t="str">
        <f>IF($G699="","",IF(Sync!$W695="","",Sync!$W695))</f>
        <v/>
      </c>
      <c r="I699" t="str">
        <f>IF(OR($G699="",Sync!$Y695=""),"",Sync!$Y695)</f>
        <v/>
      </c>
      <c r="J699" t="str">
        <f>IF(OR($G699="",Sync!$Z695=""),"",Sync!$Z695)</f>
        <v/>
      </c>
      <c r="K699">
        <f>IF($G699="",0,IF(Sync!$AA695="",0,Sync!$AA695))</f>
        <v>0</v>
      </c>
      <c r="L699">
        <f>IF($G699="",0,IF(Sync!$AB695="",0,Sync!$AB695))</f>
        <v>0</v>
      </c>
      <c r="M699" t="str">
        <f t="shared" si="65"/>
        <v/>
      </c>
      <c r="N699">
        <f>IF($G699="",0,IF($H699="مرجوعی فروش",-1,1)*IF(Sync!$AC695="",0,Sync!$AC695))</f>
        <v>0</v>
      </c>
      <c r="O699" t="str">
        <f>IF(OR($G699="",Sync!$V695=""),"",Sync!$V695)</f>
        <v/>
      </c>
      <c r="P699" t="str">
        <f>IF(OR($G699="",Sync!$AD695=""),"",Sync!$AD695)</f>
        <v/>
      </c>
      <c r="Q699" t="str">
        <f>IF($G699="","",IF(Sync!$U695="","0000",IF(AND(ISNUMBER(Sync!$U695),Sync!$U695&gt;=0,Sync!$U695&lt;1),RIGHT("00"&amp;HOUR(Sync!$U695),2)&amp;RIGHT("00"&amp;MINUTE(Sync!$U695),2),IFERROR(RIGHT("00"&amp;VALUE(LEFT(Sync!$U695,FIND(":",Sync!$U695)-1)),2)&amp;RIGHT("00"&amp;VALUE(MID(Sync!$U695,FIND(":",Sync!$U695)+1,2)),2),"0000"))))</f>
        <v/>
      </c>
    </row>
    <row r="700" spans="1:17" x14ac:dyDescent="0.2">
      <c r="A700" t="str">
        <f>IF(Sync!$T696="","",Sync!$T696)</f>
        <v/>
      </c>
      <c r="B700" t="str">
        <f t="shared" si="60"/>
        <v/>
      </c>
      <c r="C700" t="str">
        <f t="shared" si="61"/>
        <v/>
      </c>
      <c r="D700" t="str">
        <f t="shared" si="62"/>
        <v/>
      </c>
      <c r="E700" t="str">
        <f t="shared" si="63"/>
        <v/>
      </c>
      <c r="F700" t="str">
        <f t="shared" si="64"/>
        <v/>
      </c>
      <c r="G700" t="str">
        <f>IF(OR($E700="",$E700="نامعتبر",Sync!$X696=""),"",IF(AND(LEFT(UPPER(TRIM(Sync!$X696)),2)="SL",IFERROR(VLOOKUP(Sync!$W696,OpTbl,3,0),"")="فروش"),UPPER(TRIM(Sync!$X696)),""))</f>
        <v/>
      </c>
      <c r="H700" t="str">
        <f>IF($G700="","",IF(Sync!$W696="","",Sync!$W696))</f>
        <v/>
      </c>
      <c r="I700" t="str">
        <f>IF(OR($G700="",Sync!$Y696=""),"",Sync!$Y696)</f>
        <v/>
      </c>
      <c r="J700" t="str">
        <f>IF(OR($G700="",Sync!$Z696=""),"",Sync!$Z696)</f>
        <v/>
      </c>
      <c r="K700">
        <f>IF($G700="",0,IF(Sync!$AA696="",0,Sync!$AA696))</f>
        <v>0</v>
      </c>
      <c r="L700">
        <f>IF($G700="",0,IF(Sync!$AB696="",0,Sync!$AB696))</f>
        <v>0</v>
      </c>
      <c r="M700" t="str">
        <f t="shared" si="65"/>
        <v/>
      </c>
      <c r="N700">
        <f>IF($G700="",0,IF($H700="مرجوعی فروش",-1,1)*IF(Sync!$AC696="",0,Sync!$AC696))</f>
        <v>0</v>
      </c>
      <c r="O700" t="str">
        <f>IF(OR($G700="",Sync!$V696=""),"",Sync!$V696)</f>
        <v/>
      </c>
      <c r="P700" t="str">
        <f>IF(OR($G700="",Sync!$AD696=""),"",Sync!$AD696)</f>
        <v/>
      </c>
      <c r="Q700" t="str">
        <f>IF($G700="","",IF(Sync!$U696="","0000",IF(AND(ISNUMBER(Sync!$U696),Sync!$U696&gt;=0,Sync!$U696&lt;1),RIGHT("00"&amp;HOUR(Sync!$U696),2)&amp;RIGHT("00"&amp;MINUTE(Sync!$U696),2),IFERROR(RIGHT("00"&amp;VALUE(LEFT(Sync!$U696,FIND(":",Sync!$U696)-1)),2)&amp;RIGHT("00"&amp;VALUE(MID(Sync!$U696,FIND(":",Sync!$U696)+1,2)),2),"0000"))))</f>
        <v/>
      </c>
    </row>
    <row r="701" spans="1:17" x14ac:dyDescent="0.2">
      <c r="A701" t="str">
        <f>IF(Sync!$T697="","",Sync!$T697)</f>
        <v/>
      </c>
      <c r="B701" t="str">
        <f t="shared" si="60"/>
        <v/>
      </c>
      <c r="C701" t="str">
        <f t="shared" si="61"/>
        <v/>
      </c>
      <c r="D701" t="str">
        <f t="shared" si="62"/>
        <v/>
      </c>
      <c r="E701" t="str">
        <f t="shared" si="63"/>
        <v/>
      </c>
      <c r="F701" t="str">
        <f t="shared" si="64"/>
        <v/>
      </c>
      <c r="G701" t="str">
        <f>IF(OR($E701="",$E701="نامعتبر",Sync!$X697=""),"",IF(AND(LEFT(UPPER(TRIM(Sync!$X697)),2)="SL",IFERROR(VLOOKUP(Sync!$W697,OpTbl,3,0),"")="فروش"),UPPER(TRIM(Sync!$X697)),""))</f>
        <v/>
      </c>
      <c r="H701" t="str">
        <f>IF($G701="","",IF(Sync!$W697="","",Sync!$W697))</f>
        <v/>
      </c>
      <c r="I701" t="str">
        <f>IF(OR($G701="",Sync!$Y697=""),"",Sync!$Y697)</f>
        <v/>
      </c>
      <c r="J701" t="str">
        <f>IF(OR($G701="",Sync!$Z697=""),"",Sync!$Z697)</f>
        <v/>
      </c>
      <c r="K701">
        <f>IF($G701="",0,IF(Sync!$AA697="",0,Sync!$AA697))</f>
        <v>0</v>
      </c>
      <c r="L701">
        <f>IF($G701="",0,IF(Sync!$AB697="",0,Sync!$AB697))</f>
        <v>0</v>
      </c>
      <c r="M701" t="str">
        <f t="shared" si="65"/>
        <v/>
      </c>
      <c r="N701">
        <f>IF($G701="",0,IF($H701="مرجوعی فروش",-1,1)*IF(Sync!$AC697="",0,Sync!$AC697))</f>
        <v>0</v>
      </c>
      <c r="O701" t="str">
        <f>IF(OR($G701="",Sync!$V697=""),"",Sync!$V697)</f>
        <v/>
      </c>
      <c r="P701" t="str">
        <f>IF(OR($G701="",Sync!$AD697=""),"",Sync!$AD697)</f>
        <v/>
      </c>
      <c r="Q701" t="str">
        <f>IF($G701="","",IF(Sync!$U697="","0000",IF(AND(ISNUMBER(Sync!$U697),Sync!$U697&gt;=0,Sync!$U697&lt;1),RIGHT("00"&amp;HOUR(Sync!$U697),2)&amp;RIGHT("00"&amp;MINUTE(Sync!$U697),2),IFERROR(RIGHT("00"&amp;VALUE(LEFT(Sync!$U697,FIND(":",Sync!$U697)-1)),2)&amp;RIGHT("00"&amp;VALUE(MID(Sync!$U697,FIND(":",Sync!$U697)+1,2)),2),"0000"))))</f>
        <v/>
      </c>
    </row>
    <row r="702" spans="1:17" x14ac:dyDescent="0.2">
      <c r="A702" t="str">
        <f>IF(Sync!$T698="","",Sync!$T698)</f>
        <v/>
      </c>
      <c r="B702" t="str">
        <f t="shared" si="60"/>
        <v/>
      </c>
      <c r="C702" t="str">
        <f t="shared" si="61"/>
        <v/>
      </c>
      <c r="D702" t="str">
        <f t="shared" si="62"/>
        <v/>
      </c>
      <c r="E702" t="str">
        <f t="shared" si="63"/>
        <v/>
      </c>
      <c r="F702" t="str">
        <f t="shared" si="64"/>
        <v/>
      </c>
      <c r="G702" t="str">
        <f>IF(OR($E702="",$E702="نامعتبر",Sync!$X698=""),"",IF(AND(LEFT(UPPER(TRIM(Sync!$X698)),2)="SL",IFERROR(VLOOKUP(Sync!$W698,OpTbl,3,0),"")="فروش"),UPPER(TRIM(Sync!$X698)),""))</f>
        <v/>
      </c>
      <c r="H702" t="str">
        <f>IF($G702="","",IF(Sync!$W698="","",Sync!$W698))</f>
        <v/>
      </c>
      <c r="I702" t="str">
        <f>IF(OR($G702="",Sync!$Y698=""),"",Sync!$Y698)</f>
        <v/>
      </c>
      <c r="J702" t="str">
        <f>IF(OR($G702="",Sync!$Z698=""),"",Sync!$Z698)</f>
        <v/>
      </c>
      <c r="K702">
        <f>IF($G702="",0,IF(Sync!$AA698="",0,Sync!$AA698))</f>
        <v>0</v>
      </c>
      <c r="L702">
        <f>IF($G702="",0,IF(Sync!$AB698="",0,Sync!$AB698))</f>
        <v>0</v>
      </c>
      <c r="M702" t="str">
        <f t="shared" si="65"/>
        <v/>
      </c>
      <c r="N702">
        <f>IF($G702="",0,IF($H702="مرجوعی فروش",-1,1)*IF(Sync!$AC698="",0,Sync!$AC698))</f>
        <v>0</v>
      </c>
      <c r="O702" t="str">
        <f>IF(OR($G702="",Sync!$V698=""),"",Sync!$V698)</f>
        <v/>
      </c>
      <c r="P702" t="str">
        <f>IF(OR($G702="",Sync!$AD698=""),"",Sync!$AD698)</f>
        <v/>
      </c>
      <c r="Q702" t="str">
        <f>IF($G702="","",IF(Sync!$U698="","0000",IF(AND(ISNUMBER(Sync!$U698),Sync!$U698&gt;=0,Sync!$U698&lt;1),RIGHT("00"&amp;HOUR(Sync!$U698),2)&amp;RIGHT("00"&amp;MINUTE(Sync!$U698),2),IFERROR(RIGHT("00"&amp;VALUE(LEFT(Sync!$U698,FIND(":",Sync!$U698)-1)),2)&amp;RIGHT("00"&amp;VALUE(MID(Sync!$U698,FIND(":",Sync!$U698)+1,2)),2),"0000"))))</f>
        <v/>
      </c>
    </row>
    <row r="703" spans="1:17" x14ac:dyDescent="0.2">
      <c r="A703" t="str">
        <f>IF(Sync!$T699="","",Sync!$T699)</f>
        <v/>
      </c>
      <c r="B703" t="str">
        <f t="shared" si="60"/>
        <v/>
      </c>
      <c r="C703" t="str">
        <f t="shared" si="61"/>
        <v/>
      </c>
      <c r="D703" t="str">
        <f t="shared" si="62"/>
        <v/>
      </c>
      <c r="E703" t="str">
        <f t="shared" si="63"/>
        <v/>
      </c>
      <c r="F703" t="str">
        <f t="shared" si="64"/>
        <v/>
      </c>
      <c r="G703" t="str">
        <f>IF(OR($E703="",$E703="نامعتبر",Sync!$X699=""),"",IF(AND(LEFT(UPPER(TRIM(Sync!$X699)),2)="SL",IFERROR(VLOOKUP(Sync!$W699,OpTbl,3,0),"")="فروش"),UPPER(TRIM(Sync!$X699)),""))</f>
        <v/>
      </c>
      <c r="H703" t="str">
        <f>IF($G703="","",IF(Sync!$W699="","",Sync!$W699))</f>
        <v/>
      </c>
      <c r="I703" t="str">
        <f>IF(OR($G703="",Sync!$Y699=""),"",Sync!$Y699)</f>
        <v/>
      </c>
      <c r="J703" t="str">
        <f>IF(OR($G703="",Sync!$Z699=""),"",Sync!$Z699)</f>
        <v/>
      </c>
      <c r="K703">
        <f>IF($G703="",0,IF(Sync!$AA699="",0,Sync!$AA699))</f>
        <v>0</v>
      </c>
      <c r="L703">
        <f>IF($G703="",0,IF(Sync!$AB699="",0,Sync!$AB699))</f>
        <v>0</v>
      </c>
      <c r="M703" t="str">
        <f t="shared" si="65"/>
        <v/>
      </c>
      <c r="N703">
        <f>IF($G703="",0,IF($H703="مرجوعی فروش",-1,1)*IF(Sync!$AC699="",0,Sync!$AC699))</f>
        <v>0</v>
      </c>
      <c r="O703" t="str">
        <f>IF(OR($G703="",Sync!$V699=""),"",Sync!$V699)</f>
        <v/>
      </c>
      <c r="P703" t="str">
        <f>IF(OR($G703="",Sync!$AD699=""),"",Sync!$AD699)</f>
        <v/>
      </c>
      <c r="Q703" t="str">
        <f>IF($G703="","",IF(Sync!$U699="","0000",IF(AND(ISNUMBER(Sync!$U699),Sync!$U699&gt;=0,Sync!$U699&lt;1),RIGHT("00"&amp;HOUR(Sync!$U699),2)&amp;RIGHT("00"&amp;MINUTE(Sync!$U699),2),IFERROR(RIGHT("00"&amp;VALUE(LEFT(Sync!$U699,FIND(":",Sync!$U699)-1)),2)&amp;RIGHT("00"&amp;VALUE(MID(Sync!$U699,FIND(":",Sync!$U699)+1,2)),2),"0000"))))</f>
        <v/>
      </c>
    </row>
    <row r="704" spans="1:17" x14ac:dyDescent="0.2">
      <c r="A704" t="str">
        <f>IF(Sync!$T700="","",Sync!$T700)</f>
        <v/>
      </c>
      <c r="B704" t="str">
        <f t="shared" si="60"/>
        <v/>
      </c>
      <c r="C704" t="str">
        <f t="shared" si="61"/>
        <v/>
      </c>
      <c r="D704" t="str">
        <f t="shared" si="62"/>
        <v/>
      </c>
      <c r="E704" t="str">
        <f t="shared" si="63"/>
        <v/>
      </c>
      <c r="F704" t="str">
        <f t="shared" si="64"/>
        <v/>
      </c>
      <c r="G704" t="str">
        <f>IF(OR($E704="",$E704="نامعتبر",Sync!$X700=""),"",IF(AND(LEFT(UPPER(TRIM(Sync!$X700)),2)="SL",IFERROR(VLOOKUP(Sync!$W700,OpTbl,3,0),"")="فروش"),UPPER(TRIM(Sync!$X700)),""))</f>
        <v/>
      </c>
      <c r="H704" t="str">
        <f>IF($G704="","",IF(Sync!$W700="","",Sync!$W700))</f>
        <v/>
      </c>
      <c r="I704" t="str">
        <f>IF(OR($G704="",Sync!$Y700=""),"",Sync!$Y700)</f>
        <v/>
      </c>
      <c r="J704" t="str">
        <f>IF(OR($G704="",Sync!$Z700=""),"",Sync!$Z700)</f>
        <v/>
      </c>
      <c r="K704">
        <f>IF($G704="",0,IF(Sync!$AA700="",0,Sync!$AA700))</f>
        <v>0</v>
      </c>
      <c r="L704">
        <f>IF($G704="",0,IF(Sync!$AB700="",0,Sync!$AB700))</f>
        <v>0</v>
      </c>
      <c r="M704" t="str">
        <f t="shared" si="65"/>
        <v/>
      </c>
      <c r="N704">
        <f>IF($G704="",0,IF($H704="مرجوعی فروش",-1,1)*IF(Sync!$AC700="",0,Sync!$AC700))</f>
        <v>0</v>
      </c>
      <c r="O704" t="str">
        <f>IF(OR($G704="",Sync!$V700=""),"",Sync!$V700)</f>
        <v/>
      </c>
      <c r="P704" t="str">
        <f>IF(OR($G704="",Sync!$AD700=""),"",Sync!$AD700)</f>
        <v/>
      </c>
      <c r="Q704" t="str">
        <f>IF($G704="","",IF(Sync!$U700="","0000",IF(AND(ISNUMBER(Sync!$U700),Sync!$U700&gt;=0,Sync!$U700&lt;1),RIGHT("00"&amp;HOUR(Sync!$U700),2)&amp;RIGHT("00"&amp;MINUTE(Sync!$U700),2),IFERROR(RIGHT("00"&amp;VALUE(LEFT(Sync!$U700,FIND(":",Sync!$U700)-1)),2)&amp;RIGHT("00"&amp;VALUE(MID(Sync!$U700,FIND(":",Sync!$U700)+1,2)),2),"0000"))))</f>
        <v/>
      </c>
    </row>
    <row r="705" spans="1:17" x14ac:dyDescent="0.2">
      <c r="A705" t="str">
        <f>IF(Sync!$T701="","",Sync!$T701)</f>
        <v/>
      </c>
      <c r="B705" t="str">
        <f t="shared" si="60"/>
        <v/>
      </c>
      <c r="C705" t="str">
        <f t="shared" si="61"/>
        <v/>
      </c>
      <c r="D705" t="str">
        <f t="shared" si="62"/>
        <v/>
      </c>
      <c r="E705" t="str">
        <f t="shared" si="63"/>
        <v/>
      </c>
      <c r="F705" t="str">
        <f t="shared" si="64"/>
        <v/>
      </c>
      <c r="G705" t="str">
        <f>IF(OR($E705="",$E705="نامعتبر",Sync!$X701=""),"",IF(AND(LEFT(UPPER(TRIM(Sync!$X701)),2)="SL",IFERROR(VLOOKUP(Sync!$W701,OpTbl,3,0),"")="فروش"),UPPER(TRIM(Sync!$X701)),""))</f>
        <v/>
      </c>
      <c r="H705" t="str">
        <f>IF($G705="","",IF(Sync!$W701="","",Sync!$W701))</f>
        <v/>
      </c>
      <c r="I705" t="str">
        <f>IF(OR($G705="",Sync!$Y701=""),"",Sync!$Y701)</f>
        <v/>
      </c>
      <c r="J705" t="str">
        <f>IF(OR($G705="",Sync!$Z701=""),"",Sync!$Z701)</f>
        <v/>
      </c>
      <c r="K705">
        <f>IF($G705="",0,IF(Sync!$AA701="",0,Sync!$AA701))</f>
        <v>0</v>
      </c>
      <c r="L705">
        <f>IF($G705="",0,IF(Sync!$AB701="",0,Sync!$AB701))</f>
        <v>0</v>
      </c>
      <c r="M705" t="str">
        <f t="shared" si="65"/>
        <v/>
      </c>
      <c r="N705">
        <f>IF($G705="",0,IF($H705="مرجوعی فروش",-1,1)*IF(Sync!$AC701="",0,Sync!$AC701))</f>
        <v>0</v>
      </c>
      <c r="O705" t="str">
        <f>IF(OR($G705="",Sync!$V701=""),"",Sync!$V701)</f>
        <v/>
      </c>
      <c r="P705" t="str">
        <f>IF(OR($G705="",Sync!$AD701=""),"",Sync!$AD701)</f>
        <v/>
      </c>
      <c r="Q705" t="str">
        <f>IF($G705="","",IF(Sync!$U701="","0000",IF(AND(ISNUMBER(Sync!$U701),Sync!$U701&gt;=0,Sync!$U701&lt;1),RIGHT("00"&amp;HOUR(Sync!$U701),2)&amp;RIGHT("00"&amp;MINUTE(Sync!$U701),2),IFERROR(RIGHT("00"&amp;VALUE(LEFT(Sync!$U701,FIND(":",Sync!$U701)-1)),2)&amp;RIGHT("00"&amp;VALUE(MID(Sync!$U701,FIND(":",Sync!$U701)+1,2)),2),"0000"))))</f>
        <v/>
      </c>
    </row>
    <row r="706" spans="1:17" x14ac:dyDescent="0.2">
      <c r="A706" t="str">
        <f>IF(Sync!$T702="","",Sync!$T702)</f>
        <v/>
      </c>
      <c r="B706" t="str">
        <f t="shared" si="60"/>
        <v/>
      </c>
      <c r="C706" t="str">
        <f t="shared" si="61"/>
        <v/>
      </c>
      <c r="D706" t="str">
        <f t="shared" si="62"/>
        <v/>
      </c>
      <c r="E706" t="str">
        <f t="shared" si="63"/>
        <v/>
      </c>
      <c r="F706" t="str">
        <f t="shared" si="64"/>
        <v/>
      </c>
      <c r="G706" t="str">
        <f>IF(OR($E706="",$E706="نامعتبر",Sync!$X702=""),"",IF(AND(LEFT(UPPER(TRIM(Sync!$X702)),2)="SL",IFERROR(VLOOKUP(Sync!$W702,OpTbl,3,0),"")="فروش"),UPPER(TRIM(Sync!$X702)),""))</f>
        <v/>
      </c>
      <c r="H706" t="str">
        <f>IF($G706="","",IF(Sync!$W702="","",Sync!$W702))</f>
        <v/>
      </c>
      <c r="I706" t="str">
        <f>IF(OR($G706="",Sync!$Y702=""),"",Sync!$Y702)</f>
        <v/>
      </c>
      <c r="J706" t="str">
        <f>IF(OR($G706="",Sync!$Z702=""),"",Sync!$Z702)</f>
        <v/>
      </c>
      <c r="K706">
        <f>IF($G706="",0,IF(Sync!$AA702="",0,Sync!$AA702))</f>
        <v>0</v>
      </c>
      <c r="L706">
        <f>IF($G706="",0,IF(Sync!$AB702="",0,Sync!$AB702))</f>
        <v>0</v>
      </c>
      <c r="M706" t="str">
        <f t="shared" si="65"/>
        <v/>
      </c>
      <c r="N706">
        <f>IF($G706="",0,IF($H706="مرجوعی فروش",-1,1)*IF(Sync!$AC702="",0,Sync!$AC702))</f>
        <v>0</v>
      </c>
      <c r="O706" t="str">
        <f>IF(OR($G706="",Sync!$V702=""),"",Sync!$V702)</f>
        <v/>
      </c>
      <c r="P706" t="str">
        <f>IF(OR($G706="",Sync!$AD702=""),"",Sync!$AD702)</f>
        <v/>
      </c>
      <c r="Q706" t="str">
        <f>IF($G706="","",IF(Sync!$U702="","0000",IF(AND(ISNUMBER(Sync!$U702),Sync!$U702&gt;=0,Sync!$U702&lt;1),RIGHT("00"&amp;HOUR(Sync!$U702),2)&amp;RIGHT("00"&amp;MINUTE(Sync!$U702),2),IFERROR(RIGHT("00"&amp;VALUE(LEFT(Sync!$U702,FIND(":",Sync!$U702)-1)),2)&amp;RIGHT("00"&amp;VALUE(MID(Sync!$U702,FIND(":",Sync!$U702)+1,2)),2),"0000"))))</f>
        <v/>
      </c>
    </row>
    <row r="707" spans="1:17" x14ac:dyDescent="0.2">
      <c r="A707" t="str">
        <f>IF(Sync!$T703="","",Sync!$T703)</f>
        <v/>
      </c>
      <c r="B707" t="str">
        <f t="shared" si="60"/>
        <v/>
      </c>
      <c r="C707" t="str">
        <f t="shared" si="61"/>
        <v/>
      </c>
      <c r="D707" t="str">
        <f t="shared" si="62"/>
        <v/>
      </c>
      <c r="E707" t="str">
        <f t="shared" si="63"/>
        <v/>
      </c>
      <c r="F707" t="str">
        <f t="shared" si="64"/>
        <v/>
      </c>
      <c r="G707" t="str">
        <f>IF(OR($E707="",$E707="نامعتبر",Sync!$X703=""),"",IF(AND(LEFT(UPPER(TRIM(Sync!$X703)),2)="SL",IFERROR(VLOOKUP(Sync!$W703,OpTbl,3,0),"")="فروش"),UPPER(TRIM(Sync!$X703)),""))</f>
        <v/>
      </c>
      <c r="H707" t="str">
        <f>IF($G707="","",IF(Sync!$W703="","",Sync!$W703))</f>
        <v/>
      </c>
      <c r="I707" t="str">
        <f>IF(OR($G707="",Sync!$Y703=""),"",Sync!$Y703)</f>
        <v/>
      </c>
      <c r="J707" t="str">
        <f>IF(OR($G707="",Sync!$Z703=""),"",Sync!$Z703)</f>
        <v/>
      </c>
      <c r="K707">
        <f>IF($G707="",0,IF(Sync!$AA703="",0,Sync!$AA703))</f>
        <v>0</v>
      </c>
      <c r="L707">
        <f>IF($G707="",0,IF(Sync!$AB703="",0,Sync!$AB703))</f>
        <v>0</v>
      </c>
      <c r="M707" t="str">
        <f t="shared" si="65"/>
        <v/>
      </c>
      <c r="N707">
        <f>IF($G707="",0,IF($H707="مرجوعی فروش",-1,1)*IF(Sync!$AC703="",0,Sync!$AC703))</f>
        <v>0</v>
      </c>
      <c r="O707" t="str">
        <f>IF(OR($G707="",Sync!$V703=""),"",Sync!$V703)</f>
        <v/>
      </c>
      <c r="P707" t="str">
        <f>IF(OR($G707="",Sync!$AD703=""),"",Sync!$AD703)</f>
        <v/>
      </c>
      <c r="Q707" t="str">
        <f>IF($G707="","",IF(Sync!$U703="","0000",IF(AND(ISNUMBER(Sync!$U703),Sync!$U703&gt;=0,Sync!$U703&lt;1),RIGHT("00"&amp;HOUR(Sync!$U703),2)&amp;RIGHT("00"&amp;MINUTE(Sync!$U703),2),IFERROR(RIGHT("00"&amp;VALUE(LEFT(Sync!$U703,FIND(":",Sync!$U703)-1)),2)&amp;RIGHT("00"&amp;VALUE(MID(Sync!$U703,FIND(":",Sync!$U703)+1,2)),2),"0000"))))</f>
        <v/>
      </c>
    </row>
    <row r="708" spans="1:17" x14ac:dyDescent="0.2">
      <c r="A708" t="str">
        <f>IF(Sync!$T704="","",Sync!$T704)</f>
        <v/>
      </c>
      <c r="B708" t="str">
        <f t="shared" si="60"/>
        <v/>
      </c>
      <c r="C708" t="str">
        <f t="shared" si="61"/>
        <v/>
      </c>
      <c r="D708" t="str">
        <f t="shared" si="62"/>
        <v/>
      </c>
      <c r="E708" t="str">
        <f t="shared" si="63"/>
        <v/>
      </c>
      <c r="F708" t="str">
        <f t="shared" si="64"/>
        <v/>
      </c>
      <c r="G708" t="str">
        <f>IF(OR($E708="",$E708="نامعتبر",Sync!$X704=""),"",IF(AND(LEFT(UPPER(TRIM(Sync!$X704)),2)="SL",IFERROR(VLOOKUP(Sync!$W704,OpTbl,3,0),"")="فروش"),UPPER(TRIM(Sync!$X704)),""))</f>
        <v/>
      </c>
      <c r="H708" t="str">
        <f>IF($G708="","",IF(Sync!$W704="","",Sync!$W704))</f>
        <v/>
      </c>
      <c r="I708" t="str">
        <f>IF(OR($G708="",Sync!$Y704=""),"",Sync!$Y704)</f>
        <v/>
      </c>
      <c r="J708" t="str">
        <f>IF(OR($G708="",Sync!$Z704=""),"",Sync!$Z704)</f>
        <v/>
      </c>
      <c r="K708">
        <f>IF($G708="",0,IF(Sync!$AA704="",0,Sync!$AA704))</f>
        <v>0</v>
      </c>
      <c r="L708">
        <f>IF($G708="",0,IF(Sync!$AB704="",0,Sync!$AB704))</f>
        <v>0</v>
      </c>
      <c r="M708" t="str">
        <f t="shared" si="65"/>
        <v/>
      </c>
      <c r="N708">
        <f>IF($G708="",0,IF($H708="مرجوعی فروش",-1,1)*IF(Sync!$AC704="",0,Sync!$AC704))</f>
        <v>0</v>
      </c>
      <c r="O708" t="str">
        <f>IF(OR($G708="",Sync!$V704=""),"",Sync!$V704)</f>
        <v/>
      </c>
      <c r="P708" t="str">
        <f>IF(OR($G708="",Sync!$AD704=""),"",Sync!$AD704)</f>
        <v/>
      </c>
      <c r="Q708" t="str">
        <f>IF($G708="","",IF(Sync!$U704="","0000",IF(AND(ISNUMBER(Sync!$U704),Sync!$U704&gt;=0,Sync!$U704&lt;1),RIGHT("00"&amp;HOUR(Sync!$U704),2)&amp;RIGHT("00"&amp;MINUTE(Sync!$U704),2),IFERROR(RIGHT("00"&amp;VALUE(LEFT(Sync!$U704,FIND(":",Sync!$U704)-1)),2)&amp;RIGHT("00"&amp;VALUE(MID(Sync!$U704,FIND(":",Sync!$U704)+1,2)),2),"0000"))))</f>
        <v/>
      </c>
    </row>
    <row r="709" spans="1:17" x14ac:dyDescent="0.2">
      <c r="A709" t="str">
        <f>IF(Sync!$T705="","",Sync!$T705)</f>
        <v/>
      </c>
      <c r="B709" t="str">
        <f t="shared" si="60"/>
        <v/>
      </c>
      <c r="C709" t="str">
        <f t="shared" si="61"/>
        <v/>
      </c>
      <c r="D709" t="str">
        <f t="shared" si="62"/>
        <v/>
      </c>
      <c r="E709" t="str">
        <f t="shared" si="63"/>
        <v/>
      </c>
      <c r="F709" t="str">
        <f t="shared" si="64"/>
        <v/>
      </c>
      <c r="G709" t="str">
        <f>IF(OR($E709="",$E709="نامعتبر",Sync!$X705=""),"",IF(AND(LEFT(UPPER(TRIM(Sync!$X705)),2)="SL",IFERROR(VLOOKUP(Sync!$W705,OpTbl,3,0),"")="فروش"),UPPER(TRIM(Sync!$X705)),""))</f>
        <v/>
      </c>
      <c r="H709" t="str">
        <f>IF($G709="","",IF(Sync!$W705="","",Sync!$W705))</f>
        <v/>
      </c>
      <c r="I709" t="str">
        <f>IF(OR($G709="",Sync!$Y705=""),"",Sync!$Y705)</f>
        <v/>
      </c>
      <c r="J709" t="str">
        <f>IF(OR($G709="",Sync!$Z705=""),"",Sync!$Z705)</f>
        <v/>
      </c>
      <c r="K709">
        <f>IF($G709="",0,IF(Sync!$AA705="",0,Sync!$AA705))</f>
        <v>0</v>
      </c>
      <c r="L709">
        <f>IF($G709="",0,IF(Sync!$AB705="",0,Sync!$AB705))</f>
        <v>0</v>
      </c>
      <c r="M709" t="str">
        <f t="shared" si="65"/>
        <v/>
      </c>
      <c r="N709">
        <f>IF($G709="",0,IF($H709="مرجوعی فروش",-1,1)*IF(Sync!$AC705="",0,Sync!$AC705))</f>
        <v>0</v>
      </c>
      <c r="O709" t="str">
        <f>IF(OR($G709="",Sync!$V705=""),"",Sync!$V705)</f>
        <v/>
      </c>
      <c r="P709" t="str">
        <f>IF(OR($G709="",Sync!$AD705=""),"",Sync!$AD705)</f>
        <v/>
      </c>
      <c r="Q709" t="str">
        <f>IF($G709="","",IF(Sync!$U705="","0000",IF(AND(ISNUMBER(Sync!$U705),Sync!$U705&gt;=0,Sync!$U705&lt;1),RIGHT("00"&amp;HOUR(Sync!$U705),2)&amp;RIGHT("00"&amp;MINUTE(Sync!$U705),2),IFERROR(RIGHT("00"&amp;VALUE(LEFT(Sync!$U705,FIND(":",Sync!$U705)-1)),2)&amp;RIGHT("00"&amp;VALUE(MID(Sync!$U705,FIND(":",Sync!$U705)+1,2)),2),"0000"))))</f>
        <v/>
      </c>
    </row>
    <row r="710" spans="1:17" x14ac:dyDescent="0.2">
      <c r="A710" t="str">
        <f>IF(Sync!$T706="","",Sync!$T706)</f>
        <v/>
      </c>
      <c r="B710" t="str">
        <f t="shared" si="60"/>
        <v/>
      </c>
      <c r="C710" t="str">
        <f t="shared" si="61"/>
        <v/>
      </c>
      <c r="D710" t="str">
        <f t="shared" si="62"/>
        <v/>
      </c>
      <c r="E710" t="str">
        <f t="shared" si="63"/>
        <v/>
      </c>
      <c r="F710" t="str">
        <f t="shared" si="64"/>
        <v/>
      </c>
      <c r="G710" t="str">
        <f>IF(OR($E710="",$E710="نامعتبر",Sync!$X706=""),"",IF(AND(LEFT(UPPER(TRIM(Sync!$X706)),2)="SL",IFERROR(VLOOKUP(Sync!$W706,OpTbl,3,0),"")="فروش"),UPPER(TRIM(Sync!$X706)),""))</f>
        <v/>
      </c>
      <c r="H710" t="str">
        <f>IF($G710="","",IF(Sync!$W706="","",Sync!$W706))</f>
        <v/>
      </c>
      <c r="I710" t="str">
        <f>IF(OR($G710="",Sync!$Y706=""),"",Sync!$Y706)</f>
        <v/>
      </c>
      <c r="J710" t="str">
        <f>IF(OR($G710="",Sync!$Z706=""),"",Sync!$Z706)</f>
        <v/>
      </c>
      <c r="K710">
        <f>IF($G710="",0,IF(Sync!$AA706="",0,Sync!$AA706))</f>
        <v>0</v>
      </c>
      <c r="L710">
        <f>IF($G710="",0,IF(Sync!$AB706="",0,Sync!$AB706))</f>
        <v>0</v>
      </c>
      <c r="M710" t="str">
        <f t="shared" si="65"/>
        <v/>
      </c>
      <c r="N710">
        <f>IF($G710="",0,IF($H710="مرجوعی فروش",-1,1)*IF(Sync!$AC706="",0,Sync!$AC706))</f>
        <v>0</v>
      </c>
      <c r="O710" t="str">
        <f>IF(OR($G710="",Sync!$V706=""),"",Sync!$V706)</f>
        <v/>
      </c>
      <c r="P710" t="str">
        <f>IF(OR($G710="",Sync!$AD706=""),"",Sync!$AD706)</f>
        <v/>
      </c>
      <c r="Q710" t="str">
        <f>IF($G710="","",IF(Sync!$U706="","0000",IF(AND(ISNUMBER(Sync!$U706),Sync!$U706&gt;=0,Sync!$U706&lt;1),RIGHT("00"&amp;HOUR(Sync!$U706),2)&amp;RIGHT("00"&amp;MINUTE(Sync!$U706),2),IFERROR(RIGHT("00"&amp;VALUE(LEFT(Sync!$U706,FIND(":",Sync!$U706)-1)),2)&amp;RIGHT("00"&amp;VALUE(MID(Sync!$U706,FIND(":",Sync!$U706)+1,2)),2),"0000"))))</f>
        <v/>
      </c>
    </row>
    <row r="711" spans="1:17" x14ac:dyDescent="0.2">
      <c r="A711" t="str">
        <f>IF(Sync!$T707="","",Sync!$T707)</f>
        <v/>
      </c>
      <c r="B711" t="str">
        <f t="shared" si="60"/>
        <v/>
      </c>
      <c r="C711" t="str">
        <f t="shared" si="61"/>
        <v/>
      </c>
      <c r="D711" t="str">
        <f t="shared" si="62"/>
        <v/>
      </c>
      <c r="E711" t="str">
        <f t="shared" si="63"/>
        <v/>
      </c>
      <c r="F711" t="str">
        <f t="shared" si="64"/>
        <v/>
      </c>
      <c r="G711" t="str">
        <f>IF(OR($E711="",$E711="نامعتبر",Sync!$X707=""),"",IF(AND(LEFT(UPPER(TRIM(Sync!$X707)),2)="SL",IFERROR(VLOOKUP(Sync!$W707,OpTbl,3,0),"")="فروش"),UPPER(TRIM(Sync!$X707)),""))</f>
        <v/>
      </c>
      <c r="H711" t="str">
        <f>IF($G711="","",IF(Sync!$W707="","",Sync!$W707))</f>
        <v/>
      </c>
      <c r="I711" t="str">
        <f>IF(OR($G711="",Sync!$Y707=""),"",Sync!$Y707)</f>
        <v/>
      </c>
      <c r="J711" t="str">
        <f>IF(OR($G711="",Sync!$Z707=""),"",Sync!$Z707)</f>
        <v/>
      </c>
      <c r="K711">
        <f>IF($G711="",0,IF(Sync!$AA707="",0,Sync!$AA707))</f>
        <v>0</v>
      </c>
      <c r="L711">
        <f>IF($G711="",0,IF(Sync!$AB707="",0,Sync!$AB707))</f>
        <v>0</v>
      </c>
      <c r="M711" t="str">
        <f t="shared" si="65"/>
        <v/>
      </c>
      <c r="N711">
        <f>IF($G711="",0,IF($H711="مرجوعی فروش",-1,1)*IF(Sync!$AC707="",0,Sync!$AC707))</f>
        <v>0</v>
      </c>
      <c r="O711" t="str">
        <f>IF(OR($G711="",Sync!$V707=""),"",Sync!$V707)</f>
        <v/>
      </c>
      <c r="P711" t="str">
        <f>IF(OR($G711="",Sync!$AD707=""),"",Sync!$AD707)</f>
        <v/>
      </c>
      <c r="Q711" t="str">
        <f>IF($G711="","",IF(Sync!$U707="","0000",IF(AND(ISNUMBER(Sync!$U707),Sync!$U707&gt;=0,Sync!$U707&lt;1),RIGHT("00"&amp;HOUR(Sync!$U707),2)&amp;RIGHT("00"&amp;MINUTE(Sync!$U707),2),IFERROR(RIGHT("00"&amp;VALUE(LEFT(Sync!$U707,FIND(":",Sync!$U707)-1)),2)&amp;RIGHT("00"&amp;VALUE(MID(Sync!$U707,FIND(":",Sync!$U707)+1,2)),2),"0000"))))</f>
        <v/>
      </c>
    </row>
    <row r="712" spans="1:17" x14ac:dyDescent="0.2">
      <c r="A712" t="str">
        <f>IF(Sync!$T708="","",Sync!$T708)</f>
        <v/>
      </c>
      <c r="B712" t="str">
        <f t="shared" si="60"/>
        <v/>
      </c>
      <c r="C712" t="str">
        <f t="shared" si="61"/>
        <v/>
      </c>
      <c r="D712" t="str">
        <f t="shared" si="62"/>
        <v/>
      </c>
      <c r="E712" t="str">
        <f t="shared" si="63"/>
        <v/>
      </c>
      <c r="F712" t="str">
        <f t="shared" si="64"/>
        <v/>
      </c>
      <c r="G712" t="str">
        <f>IF(OR($E712="",$E712="نامعتبر",Sync!$X708=""),"",IF(AND(LEFT(UPPER(TRIM(Sync!$X708)),2)="SL",IFERROR(VLOOKUP(Sync!$W708,OpTbl,3,0),"")="فروش"),UPPER(TRIM(Sync!$X708)),""))</f>
        <v/>
      </c>
      <c r="H712" t="str">
        <f>IF($G712="","",IF(Sync!$W708="","",Sync!$W708))</f>
        <v/>
      </c>
      <c r="I712" t="str">
        <f>IF(OR($G712="",Sync!$Y708=""),"",Sync!$Y708)</f>
        <v/>
      </c>
      <c r="J712" t="str">
        <f>IF(OR($G712="",Sync!$Z708=""),"",Sync!$Z708)</f>
        <v/>
      </c>
      <c r="K712">
        <f>IF($G712="",0,IF(Sync!$AA708="",0,Sync!$AA708))</f>
        <v>0</v>
      </c>
      <c r="L712">
        <f>IF($G712="",0,IF(Sync!$AB708="",0,Sync!$AB708))</f>
        <v>0</v>
      </c>
      <c r="M712" t="str">
        <f t="shared" si="65"/>
        <v/>
      </c>
      <c r="N712">
        <f>IF($G712="",0,IF($H712="مرجوعی فروش",-1,1)*IF(Sync!$AC708="",0,Sync!$AC708))</f>
        <v>0</v>
      </c>
      <c r="O712" t="str">
        <f>IF(OR($G712="",Sync!$V708=""),"",Sync!$V708)</f>
        <v/>
      </c>
      <c r="P712" t="str">
        <f>IF(OR($G712="",Sync!$AD708=""),"",Sync!$AD708)</f>
        <v/>
      </c>
      <c r="Q712" t="str">
        <f>IF($G712="","",IF(Sync!$U708="","0000",IF(AND(ISNUMBER(Sync!$U708),Sync!$U708&gt;=0,Sync!$U708&lt;1),RIGHT("00"&amp;HOUR(Sync!$U708),2)&amp;RIGHT("00"&amp;MINUTE(Sync!$U708),2),IFERROR(RIGHT("00"&amp;VALUE(LEFT(Sync!$U708,FIND(":",Sync!$U708)-1)),2)&amp;RIGHT("00"&amp;VALUE(MID(Sync!$U708,FIND(":",Sync!$U708)+1,2)),2),"0000"))))</f>
        <v/>
      </c>
    </row>
    <row r="713" spans="1:17" x14ac:dyDescent="0.2">
      <c r="A713" t="str">
        <f>IF(Sync!$T709="","",Sync!$T709)</f>
        <v/>
      </c>
      <c r="B713" t="str">
        <f t="shared" si="60"/>
        <v/>
      </c>
      <c r="C713" t="str">
        <f t="shared" si="61"/>
        <v/>
      </c>
      <c r="D713" t="str">
        <f t="shared" si="62"/>
        <v/>
      </c>
      <c r="E713" t="str">
        <f t="shared" si="63"/>
        <v/>
      </c>
      <c r="F713" t="str">
        <f t="shared" si="64"/>
        <v/>
      </c>
      <c r="G713" t="str">
        <f>IF(OR($E713="",$E713="نامعتبر",Sync!$X709=""),"",IF(AND(LEFT(UPPER(TRIM(Sync!$X709)),2)="SL",IFERROR(VLOOKUP(Sync!$W709,OpTbl,3,0),"")="فروش"),UPPER(TRIM(Sync!$X709)),""))</f>
        <v/>
      </c>
      <c r="H713" t="str">
        <f>IF($G713="","",IF(Sync!$W709="","",Sync!$W709))</f>
        <v/>
      </c>
      <c r="I713" t="str">
        <f>IF(OR($G713="",Sync!$Y709=""),"",Sync!$Y709)</f>
        <v/>
      </c>
      <c r="J713" t="str">
        <f>IF(OR($G713="",Sync!$Z709=""),"",Sync!$Z709)</f>
        <v/>
      </c>
      <c r="K713">
        <f>IF($G713="",0,IF(Sync!$AA709="",0,Sync!$AA709))</f>
        <v>0</v>
      </c>
      <c r="L713">
        <f>IF($G713="",0,IF(Sync!$AB709="",0,Sync!$AB709))</f>
        <v>0</v>
      </c>
      <c r="M713" t="str">
        <f t="shared" si="65"/>
        <v/>
      </c>
      <c r="N713">
        <f>IF($G713="",0,IF($H713="مرجوعی فروش",-1,1)*IF(Sync!$AC709="",0,Sync!$AC709))</f>
        <v>0</v>
      </c>
      <c r="O713" t="str">
        <f>IF(OR($G713="",Sync!$V709=""),"",Sync!$V709)</f>
        <v/>
      </c>
      <c r="P713" t="str">
        <f>IF(OR($G713="",Sync!$AD709=""),"",Sync!$AD709)</f>
        <v/>
      </c>
      <c r="Q713" t="str">
        <f>IF($G713="","",IF(Sync!$U709="","0000",IF(AND(ISNUMBER(Sync!$U709),Sync!$U709&gt;=0,Sync!$U709&lt;1),RIGHT("00"&amp;HOUR(Sync!$U709),2)&amp;RIGHT("00"&amp;MINUTE(Sync!$U709),2),IFERROR(RIGHT("00"&amp;VALUE(LEFT(Sync!$U709,FIND(":",Sync!$U709)-1)),2)&amp;RIGHT("00"&amp;VALUE(MID(Sync!$U709,FIND(":",Sync!$U709)+1,2)),2),"0000"))))</f>
        <v/>
      </c>
    </row>
    <row r="714" spans="1:17" x14ac:dyDescent="0.2">
      <c r="A714" t="str">
        <f>IF(Sync!$T710="","",Sync!$T710)</f>
        <v/>
      </c>
      <c r="B714" t="str">
        <f t="shared" ref="B714:B777" si="66">IF($A714="","",IF(ISNUMBER($A714),IF(AND($A714&gt;=10000101,$A714&lt;=99991231),INT($A714/10000),""),IFERROR(VALUE(TRIM(LEFT($A714,FIND("/",$A714)-1))),"")))</f>
        <v/>
      </c>
      <c r="C714" t="str">
        <f t="shared" ref="C714:C777" si="67">IF(OR($A714="",$B714=""),"",IF(ISNUMBER($A714),INT(MOD($A714,10000)/100),IFERROR(VALUE(TRIM(LEFT(MID($A714,FIND("/",$A714)+1,20),FIND("/",MID($A714,FIND("/",$A714)+1,20))-1))),"")))</f>
        <v/>
      </c>
      <c r="D714" t="str">
        <f t="shared" ref="D714:D777" si="68">IF(OR($A714="",$B714=""),"",IF(ISNUMBER($A714),MOD($A714,100),IFERROR(VALUE(TRIM(MID(MID($A714,FIND("/",$A714)+1,20),FIND("/",MID($A714,FIND("/",$A714)+1,20))+1,20))),"")))</f>
        <v/>
      </c>
      <c r="E714" t="str">
        <f t="shared" ref="E714:E777" si="69">IF($A714="","",IF(OR($B714="",$C714="",$D714="",$B714&lt;1300,$B714&gt;1500,$C714&lt;1,$C714&gt;12,$D714&lt;1,$D714&gt;31),"نامعتبر",RIGHT("0000"&amp;$B714,4)&amp;"/"&amp;RIGHT("00"&amp;$C714,2)&amp;"/"&amp;RIGHT("00"&amp;$D714,2)))</f>
        <v/>
      </c>
      <c r="F714" t="str">
        <f t="shared" ref="F714:F777" si="70">IF(OR($E714="",$E714="نامعتبر"),"",LEFT($E714,4)&amp;"/"&amp;MID($E714,6,2))</f>
        <v/>
      </c>
      <c r="G714" t="str">
        <f>IF(OR($E714="",$E714="نامعتبر",Sync!$X710=""),"",IF(AND(LEFT(UPPER(TRIM(Sync!$X710)),2)="SL",IFERROR(VLOOKUP(Sync!$W710,OpTbl,3,0),"")="فروش"),UPPER(TRIM(Sync!$X710)),""))</f>
        <v/>
      </c>
      <c r="H714" t="str">
        <f>IF($G714="","",IF(Sync!$W710="","",Sync!$W710))</f>
        <v/>
      </c>
      <c r="I714" t="str">
        <f>IF(OR($G714="",Sync!$Y710=""),"",Sync!$Y710)</f>
        <v/>
      </c>
      <c r="J714" t="str">
        <f>IF(OR($G714="",Sync!$Z710=""),"",Sync!$Z710)</f>
        <v/>
      </c>
      <c r="K714">
        <f>IF($G714="",0,IF(Sync!$AA710="",0,Sync!$AA710))</f>
        <v>0</v>
      </c>
      <c r="L714">
        <f>IF($G714="",0,IF(Sync!$AB710="",0,Sync!$AB710))</f>
        <v>0</v>
      </c>
      <c r="M714" t="str">
        <f t="shared" ref="M714:M777" si="71">IF($G714="","",IF($H714="مرجوعی فروش",-1,1)*($K714-$L714*IFERROR(VLOOKUP("P01",ParamTbl,3,0),1.5)))</f>
        <v/>
      </c>
      <c r="N714">
        <f>IF($G714="",0,IF($H714="مرجوعی فروش",-1,1)*IF(Sync!$AC710="",0,Sync!$AC710))</f>
        <v>0</v>
      </c>
      <c r="O714" t="str">
        <f>IF(OR($G714="",Sync!$V710=""),"",Sync!$V710)</f>
        <v/>
      </c>
      <c r="P714" t="str">
        <f>IF(OR($G714="",Sync!$AD710=""),"",Sync!$AD710)</f>
        <v/>
      </c>
      <c r="Q714" t="str">
        <f>IF($G714="","",IF(Sync!$U710="","0000",IF(AND(ISNUMBER(Sync!$U710),Sync!$U710&gt;=0,Sync!$U710&lt;1),RIGHT("00"&amp;HOUR(Sync!$U710),2)&amp;RIGHT("00"&amp;MINUTE(Sync!$U710),2),IFERROR(RIGHT("00"&amp;VALUE(LEFT(Sync!$U710,FIND(":",Sync!$U710)-1)),2)&amp;RIGHT("00"&amp;VALUE(MID(Sync!$U710,FIND(":",Sync!$U710)+1,2)),2),"0000"))))</f>
        <v/>
      </c>
    </row>
    <row r="715" spans="1:17" x14ac:dyDescent="0.2">
      <c r="A715" t="str">
        <f>IF(Sync!$T711="","",Sync!$T711)</f>
        <v/>
      </c>
      <c r="B715" t="str">
        <f t="shared" si="66"/>
        <v/>
      </c>
      <c r="C715" t="str">
        <f t="shared" si="67"/>
        <v/>
      </c>
      <c r="D715" t="str">
        <f t="shared" si="68"/>
        <v/>
      </c>
      <c r="E715" t="str">
        <f t="shared" si="69"/>
        <v/>
      </c>
      <c r="F715" t="str">
        <f t="shared" si="70"/>
        <v/>
      </c>
      <c r="G715" t="str">
        <f>IF(OR($E715="",$E715="نامعتبر",Sync!$X711=""),"",IF(AND(LEFT(UPPER(TRIM(Sync!$X711)),2)="SL",IFERROR(VLOOKUP(Sync!$W711,OpTbl,3,0),"")="فروش"),UPPER(TRIM(Sync!$X711)),""))</f>
        <v/>
      </c>
      <c r="H715" t="str">
        <f>IF($G715="","",IF(Sync!$W711="","",Sync!$W711))</f>
        <v/>
      </c>
      <c r="I715" t="str">
        <f>IF(OR($G715="",Sync!$Y711=""),"",Sync!$Y711)</f>
        <v/>
      </c>
      <c r="J715" t="str">
        <f>IF(OR($G715="",Sync!$Z711=""),"",Sync!$Z711)</f>
        <v/>
      </c>
      <c r="K715">
        <f>IF($G715="",0,IF(Sync!$AA711="",0,Sync!$AA711))</f>
        <v>0</v>
      </c>
      <c r="L715">
        <f>IF($G715="",0,IF(Sync!$AB711="",0,Sync!$AB711))</f>
        <v>0</v>
      </c>
      <c r="M715" t="str">
        <f t="shared" si="71"/>
        <v/>
      </c>
      <c r="N715">
        <f>IF($G715="",0,IF($H715="مرجوعی فروش",-1,1)*IF(Sync!$AC711="",0,Sync!$AC711))</f>
        <v>0</v>
      </c>
      <c r="O715" t="str">
        <f>IF(OR($G715="",Sync!$V711=""),"",Sync!$V711)</f>
        <v/>
      </c>
      <c r="P715" t="str">
        <f>IF(OR($G715="",Sync!$AD711=""),"",Sync!$AD711)</f>
        <v/>
      </c>
      <c r="Q715" t="str">
        <f>IF($G715="","",IF(Sync!$U711="","0000",IF(AND(ISNUMBER(Sync!$U711),Sync!$U711&gt;=0,Sync!$U711&lt;1),RIGHT("00"&amp;HOUR(Sync!$U711),2)&amp;RIGHT("00"&amp;MINUTE(Sync!$U711),2),IFERROR(RIGHT("00"&amp;VALUE(LEFT(Sync!$U711,FIND(":",Sync!$U711)-1)),2)&amp;RIGHT("00"&amp;VALUE(MID(Sync!$U711,FIND(":",Sync!$U711)+1,2)),2),"0000"))))</f>
        <v/>
      </c>
    </row>
    <row r="716" spans="1:17" x14ac:dyDescent="0.2">
      <c r="A716" t="str">
        <f>IF(Sync!$T712="","",Sync!$T712)</f>
        <v/>
      </c>
      <c r="B716" t="str">
        <f t="shared" si="66"/>
        <v/>
      </c>
      <c r="C716" t="str">
        <f t="shared" si="67"/>
        <v/>
      </c>
      <c r="D716" t="str">
        <f t="shared" si="68"/>
        <v/>
      </c>
      <c r="E716" t="str">
        <f t="shared" si="69"/>
        <v/>
      </c>
      <c r="F716" t="str">
        <f t="shared" si="70"/>
        <v/>
      </c>
      <c r="G716" t="str">
        <f>IF(OR($E716="",$E716="نامعتبر",Sync!$X712=""),"",IF(AND(LEFT(UPPER(TRIM(Sync!$X712)),2)="SL",IFERROR(VLOOKUP(Sync!$W712,OpTbl,3,0),"")="فروش"),UPPER(TRIM(Sync!$X712)),""))</f>
        <v/>
      </c>
      <c r="H716" t="str">
        <f>IF($G716="","",IF(Sync!$W712="","",Sync!$W712))</f>
        <v/>
      </c>
      <c r="I716" t="str">
        <f>IF(OR($G716="",Sync!$Y712=""),"",Sync!$Y712)</f>
        <v/>
      </c>
      <c r="J716" t="str">
        <f>IF(OR($G716="",Sync!$Z712=""),"",Sync!$Z712)</f>
        <v/>
      </c>
      <c r="K716">
        <f>IF($G716="",0,IF(Sync!$AA712="",0,Sync!$AA712))</f>
        <v>0</v>
      </c>
      <c r="L716">
        <f>IF($G716="",0,IF(Sync!$AB712="",0,Sync!$AB712))</f>
        <v>0</v>
      </c>
      <c r="M716" t="str">
        <f t="shared" si="71"/>
        <v/>
      </c>
      <c r="N716">
        <f>IF($G716="",0,IF($H716="مرجوعی فروش",-1,1)*IF(Sync!$AC712="",0,Sync!$AC712))</f>
        <v>0</v>
      </c>
      <c r="O716" t="str">
        <f>IF(OR($G716="",Sync!$V712=""),"",Sync!$V712)</f>
        <v/>
      </c>
      <c r="P716" t="str">
        <f>IF(OR($G716="",Sync!$AD712=""),"",Sync!$AD712)</f>
        <v/>
      </c>
      <c r="Q716" t="str">
        <f>IF($G716="","",IF(Sync!$U712="","0000",IF(AND(ISNUMBER(Sync!$U712),Sync!$U712&gt;=0,Sync!$U712&lt;1),RIGHT("00"&amp;HOUR(Sync!$U712),2)&amp;RIGHT("00"&amp;MINUTE(Sync!$U712),2),IFERROR(RIGHT("00"&amp;VALUE(LEFT(Sync!$U712,FIND(":",Sync!$U712)-1)),2)&amp;RIGHT("00"&amp;VALUE(MID(Sync!$U712,FIND(":",Sync!$U712)+1,2)),2),"0000"))))</f>
        <v/>
      </c>
    </row>
    <row r="717" spans="1:17" x14ac:dyDescent="0.2">
      <c r="A717" t="str">
        <f>IF(Sync!$T713="","",Sync!$T713)</f>
        <v/>
      </c>
      <c r="B717" t="str">
        <f t="shared" si="66"/>
        <v/>
      </c>
      <c r="C717" t="str">
        <f t="shared" si="67"/>
        <v/>
      </c>
      <c r="D717" t="str">
        <f t="shared" si="68"/>
        <v/>
      </c>
      <c r="E717" t="str">
        <f t="shared" si="69"/>
        <v/>
      </c>
      <c r="F717" t="str">
        <f t="shared" si="70"/>
        <v/>
      </c>
      <c r="G717" t="str">
        <f>IF(OR($E717="",$E717="نامعتبر",Sync!$X713=""),"",IF(AND(LEFT(UPPER(TRIM(Sync!$X713)),2)="SL",IFERROR(VLOOKUP(Sync!$W713,OpTbl,3,0),"")="فروش"),UPPER(TRIM(Sync!$X713)),""))</f>
        <v/>
      </c>
      <c r="H717" t="str">
        <f>IF($G717="","",IF(Sync!$W713="","",Sync!$W713))</f>
        <v/>
      </c>
      <c r="I717" t="str">
        <f>IF(OR($G717="",Sync!$Y713=""),"",Sync!$Y713)</f>
        <v/>
      </c>
      <c r="J717" t="str">
        <f>IF(OR($G717="",Sync!$Z713=""),"",Sync!$Z713)</f>
        <v/>
      </c>
      <c r="K717">
        <f>IF($G717="",0,IF(Sync!$AA713="",0,Sync!$AA713))</f>
        <v>0</v>
      </c>
      <c r="L717">
        <f>IF($G717="",0,IF(Sync!$AB713="",0,Sync!$AB713))</f>
        <v>0</v>
      </c>
      <c r="M717" t="str">
        <f t="shared" si="71"/>
        <v/>
      </c>
      <c r="N717">
        <f>IF($G717="",0,IF($H717="مرجوعی فروش",-1,1)*IF(Sync!$AC713="",0,Sync!$AC713))</f>
        <v>0</v>
      </c>
      <c r="O717" t="str">
        <f>IF(OR($G717="",Sync!$V713=""),"",Sync!$V713)</f>
        <v/>
      </c>
      <c r="P717" t="str">
        <f>IF(OR($G717="",Sync!$AD713=""),"",Sync!$AD713)</f>
        <v/>
      </c>
      <c r="Q717" t="str">
        <f>IF($G717="","",IF(Sync!$U713="","0000",IF(AND(ISNUMBER(Sync!$U713),Sync!$U713&gt;=0,Sync!$U713&lt;1),RIGHT("00"&amp;HOUR(Sync!$U713),2)&amp;RIGHT("00"&amp;MINUTE(Sync!$U713),2),IFERROR(RIGHT("00"&amp;VALUE(LEFT(Sync!$U713,FIND(":",Sync!$U713)-1)),2)&amp;RIGHT("00"&amp;VALUE(MID(Sync!$U713,FIND(":",Sync!$U713)+1,2)),2),"0000"))))</f>
        <v/>
      </c>
    </row>
    <row r="718" spans="1:17" x14ac:dyDescent="0.2">
      <c r="A718" t="str">
        <f>IF(Sync!$T714="","",Sync!$T714)</f>
        <v/>
      </c>
      <c r="B718" t="str">
        <f t="shared" si="66"/>
        <v/>
      </c>
      <c r="C718" t="str">
        <f t="shared" si="67"/>
        <v/>
      </c>
      <c r="D718" t="str">
        <f t="shared" si="68"/>
        <v/>
      </c>
      <c r="E718" t="str">
        <f t="shared" si="69"/>
        <v/>
      </c>
      <c r="F718" t="str">
        <f t="shared" si="70"/>
        <v/>
      </c>
      <c r="G718" t="str">
        <f>IF(OR($E718="",$E718="نامعتبر",Sync!$X714=""),"",IF(AND(LEFT(UPPER(TRIM(Sync!$X714)),2)="SL",IFERROR(VLOOKUP(Sync!$W714,OpTbl,3,0),"")="فروش"),UPPER(TRIM(Sync!$X714)),""))</f>
        <v/>
      </c>
      <c r="H718" t="str">
        <f>IF($G718="","",IF(Sync!$W714="","",Sync!$W714))</f>
        <v/>
      </c>
      <c r="I718" t="str">
        <f>IF(OR($G718="",Sync!$Y714=""),"",Sync!$Y714)</f>
        <v/>
      </c>
      <c r="J718" t="str">
        <f>IF(OR($G718="",Sync!$Z714=""),"",Sync!$Z714)</f>
        <v/>
      </c>
      <c r="K718">
        <f>IF($G718="",0,IF(Sync!$AA714="",0,Sync!$AA714))</f>
        <v>0</v>
      </c>
      <c r="L718">
        <f>IF($G718="",0,IF(Sync!$AB714="",0,Sync!$AB714))</f>
        <v>0</v>
      </c>
      <c r="M718" t="str">
        <f t="shared" si="71"/>
        <v/>
      </c>
      <c r="N718">
        <f>IF($G718="",0,IF($H718="مرجوعی فروش",-1,1)*IF(Sync!$AC714="",0,Sync!$AC714))</f>
        <v>0</v>
      </c>
      <c r="O718" t="str">
        <f>IF(OR($G718="",Sync!$V714=""),"",Sync!$V714)</f>
        <v/>
      </c>
      <c r="P718" t="str">
        <f>IF(OR($G718="",Sync!$AD714=""),"",Sync!$AD714)</f>
        <v/>
      </c>
      <c r="Q718" t="str">
        <f>IF($G718="","",IF(Sync!$U714="","0000",IF(AND(ISNUMBER(Sync!$U714),Sync!$U714&gt;=0,Sync!$U714&lt;1),RIGHT("00"&amp;HOUR(Sync!$U714),2)&amp;RIGHT("00"&amp;MINUTE(Sync!$U714),2),IFERROR(RIGHT("00"&amp;VALUE(LEFT(Sync!$U714,FIND(":",Sync!$U714)-1)),2)&amp;RIGHT("00"&amp;VALUE(MID(Sync!$U714,FIND(":",Sync!$U714)+1,2)),2),"0000"))))</f>
        <v/>
      </c>
    </row>
    <row r="719" spans="1:17" x14ac:dyDescent="0.2">
      <c r="A719" t="str">
        <f>IF(Sync!$T715="","",Sync!$T715)</f>
        <v/>
      </c>
      <c r="B719" t="str">
        <f t="shared" si="66"/>
        <v/>
      </c>
      <c r="C719" t="str">
        <f t="shared" si="67"/>
        <v/>
      </c>
      <c r="D719" t="str">
        <f t="shared" si="68"/>
        <v/>
      </c>
      <c r="E719" t="str">
        <f t="shared" si="69"/>
        <v/>
      </c>
      <c r="F719" t="str">
        <f t="shared" si="70"/>
        <v/>
      </c>
      <c r="G719" t="str">
        <f>IF(OR($E719="",$E719="نامعتبر",Sync!$X715=""),"",IF(AND(LEFT(UPPER(TRIM(Sync!$X715)),2)="SL",IFERROR(VLOOKUP(Sync!$W715,OpTbl,3,0),"")="فروش"),UPPER(TRIM(Sync!$X715)),""))</f>
        <v/>
      </c>
      <c r="H719" t="str">
        <f>IF($G719="","",IF(Sync!$W715="","",Sync!$W715))</f>
        <v/>
      </c>
      <c r="I719" t="str">
        <f>IF(OR($G719="",Sync!$Y715=""),"",Sync!$Y715)</f>
        <v/>
      </c>
      <c r="J719" t="str">
        <f>IF(OR($G719="",Sync!$Z715=""),"",Sync!$Z715)</f>
        <v/>
      </c>
      <c r="K719">
        <f>IF($G719="",0,IF(Sync!$AA715="",0,Sync!$AA715))</f>
        <v>0</v>
      </c>
      <c r="L719">
        <f>IF($G719="",0,IF(Sync!$AB715="",0,Sync!$AB715))</f>
        <v>0</v>
      </c>
      <c r="M719" t="str">
        <f t="shared" si="71"/>
        <v/>
      </c>
      <c r="N719">
        <f>IF($G719="",0,IF($H719="مرجوعی فروش",-1,1)*IF(Sync!$AC715="",0,Sync!$AC715))</f>
        <v>0</v>
      </c>
      <c r="O719" t="str">
        <f>IF(OR($G719="",Sync!$V715=""),"",Sync!$V715)</f>
        <v/>
      </c>
      <c r="P719" t="str">
        <f>IF(OR($G719="",Sync!$AD715=""),"",Sync!$AD715)</f>
        <v/>
      </c>
      <c r="Q719" t="str">
        <f>IF($G719="","",IF(Sync!$U715="","0000",IF(AND(ISNUMBER(Sync!$U715),Sync!$U715&gt;=0,Sync!$U715&lt;1),RIGHT("00"&amp;HOUR(Sync!$U715),2)&amp;RIGHT("00"&amp;MINUTE(Sync!$U715),2),IFERROR(RIGHT("00"&amp;VALUE(LEFT(Sync!$U715,FIND(":",Sync!$U715)-1)),2)&amp;RIGHT("00"&amp;VALUE(MID(Sync!$U715,FIND(":",Sync!$U715)+1,2)),2),"0000"))))</f>
        <v/>
      </c>
    </row>
    <row r="720" spans="1:17" x14ac:dyDescent="0.2">
      <c r="A720" t="str">
        <f>IF(Sync!$T716="","",Sync!$T716)</f>
        <v/>
      </c>
      <c r="B720" t="str">
        <f t="shared" si="66"/>
        <v/>
      </c>
      <c r="C720" t="str">
        <f t="shared" si="67"/>
        <v/>
      </c>
      <c r="D720" t="str">
        <f t="shared" si="68"/>
        <v/>
      </c>
      <c r="E720" t="str">
        <f t="shared" si="69"/>
        <v/>
      </c>
      <c r="F720" t="str">
        <f t="shared" si="70"/>
        <v/>
      </c>
      <c r="G720" t="str">
        <f>IF(OR($E720="",$E720="نامعتبر",Sync!$X716=""),"",IF(AND(LEFT(UPPER(TRIM(Sync!$X716)),2)="SL",IFERROR(VLOOKUP(Sync!$W716,OpTbl,3,0),"")="فروش"),UPPER(TRIM(Sync!$X716)),""))</f>
        <v/>
      </c>
      <c r="H720" t="str">
        <f>IF($G720="","",IF(Sync!$W716="","",Sync!$W716))</f>
        <v/>
      </c>
      <c r="I720" t="str">
        <f>IF(OR($G720="",Sync!$Y716=""),"",Sync!$Y716)</f>
        <v/>
      </c>
      <c r="J720" t="str">
        <f>IF(OR($G720="",Sync!$Z716=""),"",Sync!$Z716)</f>
        <v/>
      </c>
      <c r="K720">
        <f>IF($G720="",0,IF(Sync!$AA716="",0,Sync!$AA716))</f>
        <v>0</v>
      </c>
      <c r="L720">
        <f>IF($G720="",0,IF(Sync!$AB716="",0,Sync!$AB716))</f>
        <v>0</v>
      </c>
      <c r="M720" t="str">
        <f t="shared" si="71"/>
        <v/>
      </c>
      <c r="N720">
        <f>IF($G720="",0,IF($H720="مرجوعی فروش",-1,1)*IF(Sync!$AC716="",0,Sync!$AC716))</f>
        <v>0</v>
      </c>
      <c r="O720" t="str">
        <f>IF(OR($G720="",Sync!$V716=""),"",Sync!$V716)</f>
        <v/>
      </c>
      <c r="P720" t="str">
        <f>IF(OR($G720="",Sync!$AD716=""),"",Sync!$AD716)</f>
        <v/>
      </c>
      <c r="Q720" t="str">
        <f>IF($G720="","",IF(Sync!$U716="","0000",IF(AND(ISNUMBER(Sync!$U716),Sync!$U716&gt;=0,Sync!$U716&lt;1),RIGHT("00"&amp;HOUR(Sync!$U716),2)&amp;RIGHT("00"&amp;MINUTE(Sync!$U716),2),IFERROR(RIGHT("00"&amp;VALUE(LEFT(Sync!$U716,FIND(":",Sync!$U716)-1)),2)&amp;RIGHT("00"&amp;VALUE(MID(Sync!$U716,FIND(":",Sync!$U716)+1,2)),2),"0000"))))</f>
        <v/>
      </c>
    </row>
    <row r="721" spans="1:17" x14ac:dyDescent="0.2">
      <c r="A721" t="str">
        <f>IF(Sync!$T717="","",Sync!$T717)</f>
        <v/>
      </c>
      <c r="B721" t="str">
        <f t="shared" si="66"/>
        <v/>
      </c>
      <c r="C721" t="str">
        <f t="shared" si="67"/>
        <v/>
      </c>
      <c r="D721" t="str">
        <f t="shared" si="68"/>
        <v/>
      </c>
      <c r="E721" t="str">
        <f t="shared" si="69"/>
        <v/>
      </c>
      <c r="F721" t="str">
        <f t="shared" si="70"/>
        <v/>
      </c>
      <c r="G721" t="str">
        <f>IF(OR($E721="",$E721="نامعتبر",Sync!$X717=""),"",IF(AND(LEFT(UPPER(TRIM(Sync!$X717)),2)="SL",IFERROR(VLOOKUP(Sync!$W717,OpTbl,3,0),"")="فروش"),UPPER(TRIM(Sync!$X717)),""))</f>
        <v/>
      </c>
      <c r="H721" t="str">
        <f>IF($G721="","",IF(Sync!$W717="","",Sync!$W717))</f>
        <v/>
      </c>
      <c r="I721" t="str">
        <f>IF(OR($G721="",Sync!$Y717=""),"",Sync!$Y717)</f>
        <v/>
      </c>
      <c r="J721" t="str">
        <f>IF(OR($G721="",Sync!$Z717=""),"",Sync!$Z717)</f>
        <v/>
      </c>
      <c r="K721">
        <f>IF($G721="",0,IF(Sync!$AA717="",0,Sync!$AA717))</f>
        <v>0</v>
      </c>
      <c r="L721">
        <f>IF($G721="",0,IF(Sync!$AB717="",0,Sync!$AB717))</f>
        <v>0</v>
      </c>
      <c r="M721" t="str">
        <f t="shared" si="71"/>
        <v/>
      </c>
      <c r="N721">
        <f>IF($G721="",0,IF($H721="مرجوعی فروش",-1,1)*IF(Sync!$AC717="",0,Sync!$AC717))</f>
        <v>0</v>
      </c>
      <c r="O721" t="str">
        <f>IF(OR($G721="",Sync!$V717=""),"",Sync!$V717)</f>
        <v/>
      </c>
      <c r="P721" t="str">
        <f>IF(OR($G721="",Sync!$AD717=""),"",Sync!$AD717)</f>
        <v/>
      </c>
      <c r="Q721" t="str">
        <f>IF($G721="","",IF(Sync!$U717="","0000",IF(AND(ISNUMBER(Sync!$U717),Sync!$U717&gt;=0,Sync!$U717&lt;1),RIGHT("00"&amp;HOUR(Sync!$U717),2)&amp;RIGHT("00"&amp;MINUTE(Sync!$U717),2),IFERROR(RIGHT("00"&amp;VALUE(LEFT(Sync!$U717,FIND(":",Sync!$U717)-1)),2)&amp;RIGHT("00"&amp;VALUE(MID(Sync!$U717,FIND(":",Sync!$U717)+1,2)),2),"0000"))))</f>
        <v/>
      </c>
    </row>
    <row r="722" spans="1:17" x14ac:dyDescent="0.2">
      <c r="A722" t="str">
        <f>IF(Sync!$T718="","",Sync!$T718)</f>
        <v/>
      </c>
      <c r="B722" t="str">
        <f t="shared" si="66"/>
        <v/>
      </c>
      <c r="C722" t="str">
        <f t="shared" si="67"/>
        <v/>
      </c>
      <c r="D722" t="str">
        <f t="shared" si="68"/>
        <v/>
      </c>
      <c r="E722" t="str">
        <f t="shared" si="69"/>
        <v/>
      </c>
      <c r="F722" t="str">
        <f t="shared" si="70"/>
        <v/>
      </c>
      <c r="G722" t="str">
        <f>IF(OR($E722="",$E722="نامعتبر",Sync!$X718=""),"",IF(AND(LEFT(UPPER(TRIM(Sync!$X718)),2)="SL",IFERROR(VLOOKUP(Sync!$W718,OpTbl,3,0),"")="فروش"),UPPER(TRIM(Sync!$X718)),""))</f>
        <v/>
      </c>
      <c r="H722" t="str">
        <f>IF($G722="","",IF(Sync!$W718="","",Sync!$W718))</f>
        <v/>
      </c>
      <c r="I722" t="str">
        <f>IF(OR($G722="",Sync!$Y718=""),"",Sync!$Y718)</f>
        <v/>
      </c>
      <c r="J722" t="str">
        <f>IF(OR($G722="",Sync!$Z718=""),"",Sync!$Z718)</f>
        <v/>
      </c>
      <c r="K722">
        <f>IF($G722="",0,IF(Sync!$AA718="",0,Sync!$AA718))</f>
        <v>0</v>
      </c>
      <c r="L722">
        <f>IF($G722="",0,IF(Sync!$AB718="",0,Sync!$AB718))</f>
        <v>0</v>
      </c>
      <c r="M722" t="str">
        <f t="shared" si="71"/>
        <v/>
      </c>
      <c r="N722">
        <f>IF($G722="",0,IF($H722="مرجوعی فروش",-1,1)*IF(Sync!$AC718="",0,Sync!$AC718))</f>
        <v>0</v>
      </c>
      <c r="O722" t="str">
        <f>IF(OR($G722="",Sync!$V718=""),"",Sync!$V718)</f>
        <v/>
      </c>
      <c r="P722" t="str">
        <f>IF(OR($G722="",Sync!$AD718=""),"",Sync!$AD718)</f>
        <v/>
      </c>
      <c r="Q722" t="str">
        <f>IF($G722="","",IF(Sync!$U718="","0000",IF(AND(ISNUMBER(Sync!$U718),Sync!$U718&gt;=0,Sync!$U718&lt;1),RIGHT("00"&amp;HOUR(Sync!$U718),2)&amp;RIGHT("00"&amp;MINUTE(Sync!$U718),2),IFERROR(RIGHT("00"&amp;VALUE(LEFT(Sync!$U718,FIND(":",Sync!$U718)-1)),2)&amp;RIGHT("00"&amp;VALUE(MID(Sync!$U718,FIND(":",Sync!$U718)+1,2)),2),"0000"))))</f>
        <v/>
      </c>
    </row>
    <row r="723" spans="1:17" x14ac:dyDescent="0.2">
      <c r="A723" t="str">
        <f>IF(Sync!$T719="","",Sync!$T719)</f>
        <v/>
      </c>
      <c r="B723" t="str">
        <f t="shared" si="66"/>
        <v/>
      </c>
      <c r="C723" t="str">
        <f t="shared" si="67"/>
        <v/>
      </c>
      <c r="D723" t="str">
        <f t="shared" si="68"/>
        <v/>
      </c>
      <c r="E723" t="str">
        <f t="shared" si="69"/>
        <v/>
      </c>
      <c r="F723" t="str">
        <f t="shared" si="70"/>
        <v/>
      </c>
      <c r="G723" t="str">
        <f>IF(OR($E723="",$E723="نامعتبر",Sync!$X719=""),"",IF(AND(LEFT(UPPER(TRIM(Sync!$X719)),2)="SL",IFERROR(VLOOKUP(Sync!$W719,OpTbl,3,0),"")="فروش"),UPPER(TRIM(Sync!$X719)),""))</f>
        <v/>
      </c>
      <c r="H723" t="str">
        <f>IF($G723="","",IF(Sync!$W719="","",Sync!$W719))</f>
        <v/>
      </c>
      <c r="I723" t="str">
        <f>IF(OR($G723="",Sync!$Y719=""),"",Sync!$Y719)</f>
        <v/>
      </c>
      <c r="J723" t="str">
        <f>IF(OR($G723="",Sync!$Z719=""),"",Sync!$Z719)</f>
        <v/>
      </c>
      <c r="K723">
        <f>IF($G723="",0,IF(Sync!$AA719="",0,Sync!$AA719))</f>
        <v>0</v>
      </c>
      <c r="L723">
        <f>IF($G723="",0,IF(Sync!$AB719="",0,Sync!$AB719))</f>
        <v>0</v>
      </c>
      <c r="M723" t="str">
        <f t="shared" si="71"/>
        <v/>
      </c>
      <c r="N723">
        <f>IF($G723="",0,IF($H723="مرجوعی فروش",-1,1)*IF(Sync!$AC719="",0,Sync!$AC719))</f>
        <v>0</v>
      </c>
      <c r="O723" t="str">
        <f>IF(OR($G723="",Sync!$V719=""),"",Sync!$V719)</f>
        <v/>
      </c>
      <c r="P723" t="str">
        <f>IF(OR($G723="",Sync!$AD719=""),"",Sync!$AD719)</f>
        <v/>
      </c>
      <c r="Q723" t="str">
        <f>IF($G723="","",IF(Sync!$U719="","0000",IF(AND(ISNUMBER(Sync!$U719),Sync!$U719&gt;=0,Sync!$U719&lt;1),RIGHT("00"&amp;HOUR(Sync!$U719),2)&amp;RIGHT("00"&amp;MINUTE(Sync!$U719),2),IFERROR(RIGHT("00"&amp;VALUE(LEFT(Sync!$U719,FIND(":",Sync!$U719)-1)),2)&amp;RIGHT("00"&amp;VALUE(MID(Sync!$U719,FIND(":",Sync!$U719)+1,2)),2),"0000"))))</f>
        <v/>
      </c>
    </row>
    <row r="724" spans="1:17" x14ac:dyDescent="0.2">
      <c r="A724" t="str">
        <f>IF(Sync!$T720="","",Sync!$T720)</f>
        <v/>
      </c>
      <c r="B724" t="str">
        <f t="shared" si="66"/>
        <v/>
      </c>
      <c r="C724" t="str">
        <f t="shared" si="67"/>
        <v/>
      </c>
      <c r="D724" t="str">
        <f t="shared" si="68"/>
        <v/>
      </c>
      <c r="E724" t="str">
        <f t="shared" si="69"/>
        <v/>
      </c>
      <c r="F724" t="str">
        <f t="shared" si="70"/>
        <v/>
      </c>
      <c r="G724" t="str">
        <f>IF(OR($E724="",$E724="نامعتبر",Sync!$X720=""),"",IF(AND(LEFT(UPPER(TRIM(Sync!$X720)),2)="SL",IFERROR(VLOOKUP(Sync!$W720,OpTbl,3,0),"")="فروش"),UPPER(TRIM(Sync!$X720)),""))</f>
        <v/>
      </c>
      <c r="H724" t="str">
        <f>IF($G724="","",IF(Sync!$W720="","",Sync!$W720))</f>
        <v/>
      </c>
      <c r="I724" t="str">
        <f>IF(OR($G724="",Sync!$Y720=""),"",Sync!$Y720)</f>
        <v/>
      </c>
      <c r="J724" t="str">
        <f>IF(OR($G724="",Sync!$Z720=""),"",Sync!$Z720)</f>
        <v/>
      </c>
      <c r="K724">
        <f>IF($G724="",0,IF(Sync!$AA720="",0,Sync!$AA720))</f>
        <v>0</v>
      </c>
      <c r="L724">
        <f>IF($G724="",0,IF(Sync!$AB720="",0,Sync!$AB720))</f>
        <v>0</v>
      </c>
      <c r="M724" t="str">
        <f t="shared" si="71"/>
        <v/>
      </c>
      <c r="N724">
        <f>IF($G724="",0,IF($H724="مرجوعی فروش",-1,1)*IF(Sync!$AC720="",0,Sync!$AC720))</f>
        <v>0</v>
      </c>
      <c r="O724" t="str">
        <f>IF(OR($G724="",Sync!$V720=""),"",Sync!$V720)</f>
        <v/>
      </c>
      <c r="P724" t="str">
        <f>IF(OR($G724="",Sync!$AD720=""),"",Sync!$AD720)</f>
        <v/>
      </c>
      <c r="Q724" t="str">
        <f>IF($G724="","",IF(Sync!$U720="","0000",IF(AND(ISNUMBER(Sync!$U720),Sync!$U720&gt;=0,Sync!$U720&lt;1),RIGHT("00"&amp;HOUR(Sync!$U720),2)&amp;RIGHT("00"&amp;MINUTE(Sync!$U720),2),IFERROR(RIGHT("00"&amp;VALUE(LEFT(Sync!$U720,FIND(":",Sync!$U720)-1)),2)&amp;RIGHT("00"&amp;VALUE(MID(Sync!$U720,FIND(":",Sync!$U720)+1,2)),2),"0000"))))</f>
        <v/>
      </c>
    </row>
    <row r="725" spans="1:17" x14ac:dyDescent="0.2">
      <c r="A725" t="str">
        <f>IF(Sync!$T721="","",Sync!$T721)</f>
        <v/>
      </c>
      <c r="B725" t="str">
        <f t="shared" si="66"/>
        <v/>
      </c>
      <c r="C725" t="str">
        <f t="shared" si="67"/>
        <v/>
      </c>
      <c r="D725" t="str">
        <f t="shared" si="68"/>
        <v/>
      </c>
      <c r="E725" t="str">
        <f t="shared" si="69"/>
        <v/>
      </c>
      <c r="F725" t="str">
        <f t="shared" si="70"/>
        <v/>
      </c>
      <c r="G725" t="str">
        <f>IF(OR($E725="",$E725="نامعتبر",Sync!$X721=""),"",IF(AND(LEFT(UPPER(TRIM(Sync!$X721)),2)="SL",IFERROR(VLOOKUP(Sync!$W721,OpTbl,3,0),"")="فروش"),UPPER(TRIM(Sync!$X721)),""))</f>
        <v/>
      </c>
      <c r="H725" t="str">
        <f>IF($G725="","",IF(Sync!$W721="","",Sync!$W721))</f>
        <v/>
      </c>
      <c r="I725" t="str">
        <f>IF(OR($G725="",Sync!$Y721=""),"",Sync!$Y721)</f>
        <v/>
      </c>
      <c r="J725" t="str">
        <f>IF(OR($G725="",Sync!$Z721=""),"",Sync!$Z721)</f>
        <v/>
      </c>
      <c r="K725">
        <f>IF($G725="",0,IF(Sync!$AA721="",0,Sync!$AA721))</f>
        <v>0</v>
      </c>
      <c r="L725">
        <f>IF($G725="",0,IF(Sync!$AB721="",0,Sync!$AB721))</f>
        <v>0</v>
      </c>
      <c r="M725" t="str">
        <f t="shared" si="71"/>
        <v/>
      </c>
      <c r="N725">
        <f>IF($G725="",0,IF($H725="مرجوعی فروش",-1,1)*IF(Sync!$AC721="",0,Sync!$AC721))</f>
        <v>0</v>
      </c>
      <c r="O725" t="str">
        <f>IF(OR($G725="",Sync!$V721=""),"",Sync!$V721)</f>
        <v/>
      </c>
      <c r="P725" t="str">
        <f>IF(OR($G725="",Sync!$AD721=""),"",Sync!$AD721)</f>
        <v/>
      </c>
      <c r="Q725" t="str">
        <f>IF($G725="","",IF(Sync!$U721="","0000",IF(AND(ISNUMBER(Sync!$U721),Sync!$U721&gt;=0,Sync!$U721&lt;1),RIGHT("00"&amp;HOUR(Sync!$U721),2)&amp;RIGHT("00"&amp;MINUTE(Sync!$U721),2),IFERROR(RIGHT("00"&amp;VALUE(LEFT(Sync!$U721,FIND(":",Sync!$U721)-1)),2)&amp;RIGHT("00"&amp;VALUE(MID(Sync!$U721,FIND(":",Sync!$U721)+1,2)),2),"0000"))))</f>
        <v/>
      </c>
    </row>
    <row r="726" spans="1:17" x14ac:dyDescent="0.2">
      <c r="A726" t="str">
        <f>IF(Sync!$T722="","",Sync!$T722)</f>
        <v/>
      </c>
      <c r="B726" t="str">
        <f t="shared" si="66"/>
        <v/>
      </c>
      <c r="C726" t="str">
        <f t="shared" si="67"/>
        <v/>
      </c>
      <c r="D726" t="str">
        <f t="shared" si="68"/>
        <v/>
      </c>
      <c r="E726" t="str">
        <f t="shared" si="69"/>
        <v/>
      </c>
      <c r="F726" t="str">
        <f t="shared" si="70"/>
        <v/>
      </c>
      <c r="G726" t="str">
        <f>IF(OR($E726="",$E726="نامعتبر",Sync!$X722=""),"",IF(AND(LEFT(UPPER(TRIM(Sync!$X722)),2)="SL",IFERROR(VLOOKUP(Sync!$W722,OpTbl,3,0),"")="فروش"),UPPER(TRIM(Sync!$X722)),""))</f>
        <v/>
      </c>
      <c r="H726" t="str">
        <f>IF($G726="","",IF(Sync!$W722="","",Sync!$W722))</f>
        <v/>
      </c>
      <c r="I726" t="str">
        <f>IF(OR($G726="",Sync!$Y722=""),"",Sync!$Y722)</f>
        <v/>
      </c>
      <c r="J726" t="str">
        <f>IF(OR($G726="",Sync!$Z722=""),"",Sync!$Z722)</f>
        <v/>
      </c>
      <c r="K726">
        <f>IF($G726="",0,IF(Sync!$AA722="",0,Sync!$AA722))</f>
        <v>0</v>
      </c>
      <c r="L726">
        <f>IF($G726="",0,IF(Sync!$AB722="",0,Sync!$AB722))</f>
        <v>0</v>
      </c>
      <c r="M726" t="str">
        <f t="shared" si="71"/>
        <v/>
      </c>
      <c r="N726">
        <f>IF($G726="",0,IF($H726="مرجوعی فروش",-1,1)*IF(Sync!$AC722="",0,Sync!$AC722))</f>
        <v>0</v>
      </c>
      <c r="O726" t="str">
        <f>IF(OR($G726="",Sync!$V722=""),"",Sync!$V722)</f>
        <v/>
      </c>
      <c r="P726" t="str">
        <f>IF(OR($G726="",Sync!$AD722=""),"",Sync!$AD722)</f>
        <v/>
      </c>
      <c r="Q726" t="str">
        <f>IF($G726="","",IF(Sync!$U722="","0000",IF(AND(ISNUMBER(Sync!$U722),Sync!$U722&gt;=0,Sync!$U722&lt;1),RIGHT("00"&amp;HOUR(Sync!$U722),2)&amp;RIGHT("00"&amp;MINUTE(Sync!$U722),2),IFERROR(RIGHT("00"&amp;VALUE(LEFT(Sync!$U722,FIND(":",Sync!$U722)-1)),2)&amp;RIGHT("00"&amp;VALUE(MID(Sync!$U722,FIND(":",Sync!$U722)+1,2)),2),"0000"))))</f>
        <v/>
      </c>
    </row>
    <row r="727" spans="1:17" x14ac:dyDescent="0.2">
      <c r="A727" t="str">
        <f>IF(Sync!$T723="","",Sync!$T723)</f>
        <v/>
      </c>
      <c r="B727" t="str">
        <f t="shared" si="66"/>
        <v/>
      </c>
      <c r="C727" t="str">
        <f t="shared" si="67"/>
        <v/>
      </c>
      <c r="D727" t="str">
        <f t="shared" si="68"/>
        <v/>
      </c>
      <c r="E727" t="str">
        <f t="shared" si="69"/>
        <v/>
      </c>
      <c r="F727" t="str">
        <f t="shared" si="70"/>
        <v/>
      </c>
      <c r="G727" t="str">
        <f>IF(OR($E727="",$E727="نامعتبر",Sync!$X723=""),"",IF(AND(LEFT(UPPER(TRIM(Sync!$X723)),2)="SL",IFERROR(VLOOKUP(Sync!$W723,OpTbl,3,0),"")="فروش"),UPPER(TRIM(Sync!$X723)),""))</f>
        <v/>
      </c>
      <c r="H727" t="str">
        <f>IF($G727="","",IF(Sync!$W723="","",Sync!$W723))</f>
        <v/>
      </c>
      <c r="I727" t="str">
        <f>IF(OR($G727="",Sync!$Y723=""),"",Sync!$Y723)</f>
        <v/>
      </c>
      <c r="J727" t="str">
        <f>IF(OR($G727="",Sync!$Z723=""),"",Sync!$Z723)</f>
        <v/>
      </c>
      <c r="K727">
        <f>IF($G727="",0,IF(Sync!$AA723="",0,Sync!$AA723))</f>
        <v>0</v>
      </c>
      <c r="L727">
        <f>IF($G727="",0,IF(Sync!$AB723="",0,Sync!$AB723))</f>
        <v>0</v>
      </c>
      <c r="M727" t="str">
        <f t="shared" si="71"/>
        <v/>
      </c>
      <c r="N727">
        <f>IF($G727="",0,IF($H727="مرجوعی فروش",-1,1)*IF(Sync!$AC723="",0,Sync!$AC723))</f>
        <v>0</v>
      </c>
      <c r="O727" t="str">
        <f>IF(OR($G727="",Sync!$V723=""),"",Sync!$V723)</f>
        <v/>
      </c>
      <c r="P727" t="str">
        <f>IF(OR($G727="",Sync!$AD723=""),"",Sync!$AD723)</f>
        <v/>
      </c>
      <c r="Q727" t="str">
        <f>IF($G727="","",IF(Sync!$U723="","0000",IF(AND(ISNUMBER(Sync!$U723),Sync!$U723&gt;=0,Sync!$U723&lt;1),RIGHT("00"&amp;HOUR(Sync!$U723),2)&amp;RIGHT("00"&amp;MINUTE(Sync!$U723),2),IFERROR(RIGHT("00"&amp;VALUE(LEFT(Sync!$U723,FIND(":",Sync!$U723)-1)),2)&amp;RIGHT("00"&amp;VALUE(MID(Sync!$U723,FIND(":",Sync!$U723)+1,2)),2),"0000"))))</f>
        <v/>
      </c>
    </row>
    <row r="728" spans="1:17" x14ac:dyDescent="0.2">
      <c r="A728" t="str">
        <f>IF(Sync!$T724="","",Sync!$T724)</f>
        <v/>
      </c>
      <c r="B728" t="str">
        <f t="shared" si="66"/>
        <v/>
      </c>
      <c r="C728" t="str">
        <f t="shared" si="67"/>
        <v/>
      </c>
      <c r="D728" t="str">
        <f t="shared" si="68"/>
        <v/>
      </c>
      <c r="E728" t="str">
        <f t="shared" si="69"/>
        <v/>
      </c>
      <c r="F728" t="str">
        <f t="shared" si="70"/>
        <v/>
      </c>
      <c r="G728" t="str">
        <f>IF(OR($E728="",$E728="نامعتبر",Sync!$X724=""),"",IF(AND(LEFT(UPPER(TRIM(Sync!$X724)),2)="SL",IFERROR(VLOOKUP(Sync!$W724,OpTbl,3,0),"")="فروش"),UPPER(TRIM(Sync!$X724)),""))</f>
        <v/>
      </c>
      <c r="H728" t="str">
        <f>IF($G728="","",IF(Sync!$W724="","",Sync!$W724))</f>
        <v/>
      </c>
      <c r="I728" t="str">
        <f>IF(OR($G728="",Sync!$Y724=""),"",Sync!$Y724)</f>
        <v/>
      </c>
      <c r="J728" t="str">
        <f>IF(OR($G728="",Sync!$Z724=""),"",Sync!$Z724)</f>
        <v/>
      </c>
      <c r="K728">
        <f>IF($G728="",0,IF(Sync!$AA724="",0,Sync!$AA724))</f>
        <v>0</v>
      </c>
      <c r="L728">
        <f>IF($G728="",0,IF(Sync!$AB724="",0,Sync!$AB724))</f>
        <v>0</v>
      </c>
      <c r="M728" t="str">
        <f t="shared" si="71"/>
        <v/>
      </c>
      <c r="N728">
        <f>IF($G728="",0,IF($H728="مرجوعی فروش",-1,1)*IF(Sync!$AC724="",0,Sync!$AC724))</f>
        <v>0</v>
      </c>
      <c r="O728" t="str">
        <f>IF(OR($G728="",Sync!$V724=""),"",Sync!$V724)</f>
        <v/>
      </c>
      <c r="P728" t="str">
        <f>IF(OR($G728="",Sync!$AD724=""),"",Sync!$AD724)</f>
        <v/>
      </c>
      <c r="Q728" t="str">
        <f>IF($G728="","",IF(Sync!$U724="","0000",IF(AND(ISNUMBER(Sync!$U724),Sync!$U724&gt;=0,Sync!$U724&lt;1),RIGHT("00"&amp;HOUR(Sync!$U724),2)&amp;RIGHT("00"&amp;MINUTE(Sync!$U724),2),IFERROR(RIGHT("00"&amp;VALUE(LEFT(Sync!$U724,FIND(":",Sync!$U724)-1)),2)&amp;RIGHT("00"&amp;VALUE(MID(Sync!$U724,FIND(":",Sync!$U724)+1,2)),2),"0000"))))</f>
        <v/>
      </c>
    </row>
    <row r="729" spans="1:17" x14ac:dyDescent="0.2">
      <c r="A729" t="str">
        <f>IF(Sync!$T725="","",Sync!$T725)</f>
        <v/>
      </c>
      <c r="B729" t="str">
        <f t="shared" si="66"/>
        <v/>
      </c>
      <c r="C729" t="str">
        <f t="shared" si="67"/>
        <v/>
      </c>
      <c r="D729" t="str">
        <f t="shared" si="68"/>
        <v/>
      </c>
      <c r="E729" t="str">
        <f t="shared" si="69"/>
        <v/>
      </c>
      <c r="F729" t="str">
        <f t="shared" si="70"/>
        <v/>
      </c>
      <c r="G729" t="str">
        <f>IF(OR($E729="",$E729="نامعتبر",Sync!$X725=""),"",IF(AND(LEFT(UPPER(TRIM(Sync!$X725)),2)="SL",IFERROR(VLOOKUP(Sync!$W725,OpTbl,3,0),"")="فروش"),UPPER(TRIM(Sync!$X725)),""))</f>
        <v/>
      </c>
      <c r="H729" t="str">
        <f>IF($G729="","",IF(Sync!$W725="","",Sync!$W725))</f>
        <v/>
      </c>
      <c r="I729" t="str">
        <f>IF(OR($G729="",Sync!$Y725=""),"",Sync!$Y725)</f>
        <v/>
      </c>
      <c r="J729" t="str">
        <f>IF(OR($G729="",Sync!$Z725=""),"",Sync!$Z725)</f>
        <v/>
      </c>
      <c r="K729">
        <f>IF($G729="",0,IF(Sync!$AA725="",0,Sync!$AA725))</f>
        <v>0</v>
      </c>
      <c r="L729">
        <f>IF($G729="",0,IF(Sync!$AB725="",0,Sync!$AB725))</f>
        <v>0</v>
      </c>
      <c r="M729" t="str">
        <f t="shared" si="71"/>
        <v/>
      </c>
      <c r="N729">
        <f>IF($G729="",0,IF($H729="مرجوعی فروش",-1,1)*IF(Sync!$AC725="",0,Sync!$AC725))</f>
        <v>0</v>
      </c>
      <c r="O729" t="str">
        <f>IF(OR($G729="",Sync!$V725=""),"",Sync!$V725)</f>
        <v/>
      </c>
      <c r="P729" t="str">
        <f>IF(OR($G729="",Sync!$AD725=""),"",Sync!$AD725)</f>
        <v/>
      </c>
      <c r="Q729" t="str">
        <f>IF($G729="","",IF(Sync!$U725="","0000",IF(AND(ISNUMBER(Sync!$U725),Sync!$U725&gt;=0,Sync!$U725&lt;1),RIGHT("00"&amp;HOUR(Sync!$U725),2)&amp;RIGHT("00"&amp;MINUTE(Sync!$U725),2),IFERROR(RIGHT("00"&amp;VALUE(LEFT(Sync!$U725,FIND(":",Sync!$U725)-1)),2)&amp;RIGHT("00"&amp;VALUE(MID(Sync!$U725,FIND(":",Sync!$U725)+1,2)),2),"0000"))))</f>
        <v/>
      </c>
    </row>
    <row r="730" spans="1:17" x14ac:dyDescent="0.2">
      <c r="A730" t="str">
        <f>IF(Sync!$T726="","",Sync!$T726)</f>
        <v/>
      </c>
      <c r="B730" t="str">
        <f t="shared" si="66"/>
        <v/>
      </c>
      <c r="C730" t="str">
        <f t="shared" si="67"/>
        <v/>
      </c>
      <c r="D730" t="str">
        <f t="shared" si="68"/>
        <v/>
      </c>
      <c r="E730" t="str">
        <f t="shared" si="69"/>
        <v/>
      </c>
      <c r="F730" t="str">
        <f t="shared" si="70"/>
        <v/>
      </c>
      <c r="G730" t="str">
        <f>IF(OR($E730="",$E730="نامعتبر",Sync!$X726=""),"",IF(AND(LEFT(UPPER(TRIM(Sync!$X726)),2)="SL",IFERROR(VLOOKUP(Sync!$W726,OpTbl,3,0),"")="فروش"),UPPER(TRIM(Sync!$X726)),""))</f>
        <v/>
      </c>
      <c r="H730" t="str">
        <f>IF($G730="","",IF(Sync!$W726="","",Sync!$W726))</f>
        <v/>
      </c>
      <c r="I730" t="str">
        <f>IF(OR($G730="",Sync!$Y726=""),"",Sync!$Y726)</f>
        <v/>
      </c>
      <c r="J730" t="str">
        <f>IF(OR($G730="",Sync!$Z726=""),"",Sync!$Z726)</f>
        <v/>
      </c>
      <c r="K730">
        <f>IF($G730="",0,IF(Sync!$AA726="",0,Sync!$AA726))</f>
        <v>0</v>
      </c>
      <c r="L730">
        <f>IF($G730="",0,IF(Sync!$AB726="",0,Sync!$AB726))</f>
        <v>0</v>
      </c>
      <c r="M730" t="str">
        <f t="shared" si="71"/>
        <v/>
      </c>
      <c r="N730">
        <f>IF($G730="",0,IF($H730="مرجوعی فروش",-1,1)*IF(Sync!$AC726="",0,Sync!$AC726))</f>
        <v>0</v>
      </c>
      <c r="O730" t="str">
        <f>IF(OR($G730="",Sync!$V726=""),"",Sync!$V726)</f>
        <v/>
      </c>
      <c r="P730" t="str">
        <f>IF(OR($G730="",Sync!$AD726=""),"",Sync!$AD726)</f>
        <v/>
      </c>
      <c r="Q730" t="str">
        <f>IF($G730="","",IF(Sync!$U726="","0000",IF(AND(ISNUMBER(Sync!$U726),Sync!$U726&gt;=0,Sync!$U726&lt;1),RIGHT("00"&amp;HOUR(Sync!$U726),2)&amp;RIGHT("00"&amp;MINUTE(Sync!$U726),2),IFERROR(RIGHT("00"&amp;VALUE(LEFT(Sync!$U726,FIND(":",Sync!$U726)-1)),2)&amp;RIGHT("00"&amp;VALUE(MID(Sync!$U726,FIND(":",Sync!$U726)+1,2)),2),"0000"))))</f>
        <v/>
      </c>
    </row>
    <row r="731" spans="1:17" x14ac:dyDescent="0.2">
      <c r="A731" t="str">
        <f>IF(Sync!$T727="","",Sync!$T727)</f>
        <v/>
      </c>
      <c r="B731" t="str">
        <f t="shared" si="66"/>
        <v/>
      </c>
      <c r="C731" t="str">
        <f t="shared" si="67"/>
        <v/>
      </c>
      <c r="D731" t="str">
        <f t="shared" si="68"/>
        <v/>
      </c>
      <c r="E731" t="str">
        <f t="shared" si="69"/>
        <v/>
      </c>
      <c r="F731" t="str">
        <f t="shared" si="70"/>
        <v/>
      </c>
      <c r="G731" t="str">
        <f>IF(OR($E731="",$E731="نامعتبر",Sync!$X727=""),"",IF(AND(LEFT(UPPER(TRIM(Sync!$X727)),2)="SL",IFERROR(VLOOKUP(Sync!$W727,OpTbl,3,0),"")="فروش"),UPPER(TRIM(Sync!$X727)),""))</f>
        <v/>
      </c>
      <c r="H731" t="str">
        <f>IF($G731="","",IF(Sync!$W727="","",Sync!$W727))</f>
        <v/>
      </c>
      <c r="I731" t="str">
        <f>IF(OR($G731="",Sync!$Y727=""),"",Sync!$Y727)</f>
        <v/>
      </c>
      <c r="J731" t="str">
        <f>IF(OR($G731="",Sync!$Z727=""),"",Sync!$Z727)</f>
        <v/>
      </c>
      <c r="K731">
        <f>IF($G731="",0,IF(Sync!$AA727="",0,Sync!$AA727))</f>
        <v>0</v>
      </c>
      <c r="L731">
        <f>IF($G731="",0,IF(Sync!$AB727="",0,Sync!$AB727))</f>
        <v>0</v>
      </c>
      <c r="M731" t="str">
        <f t="shared" si="71"/>
        <v/>
      </c>
      <c r="N731">
        <f>IF($G731="",0,IF($H731="مرجوعی فروش",-1,1)*IF(Sync!$AC727="",0,Sync!$AC727))</f>
        <v>0</v>
      </c>
      <c r="O731" t="str">
        <f>IF(OR($G731="",Sync!$V727=""),"",Sync!$V727)</f>
        <v/>
      </c>
      <c r="P731" t="str">
        <f>IF(OR($G731="",Sync!$AD727=""),"",Sync!$AD727)</f>
        <v/>
      </c>
      <c r="Q731" t="str">
        <f>IF($G731="","",IF(Sync!$U727="","0000",IF(AND(ISNUMBER(Sync!$U727),Sync!$U727&gt;=0,Sync!$U727&lt;1),RIGHT("00"&amp;HOUR(Sync!$U727),2)&amp;RIGHT("00"&amp;MINUTE(Sync!$U727),2),IFERROR(RIGHT("00"&amp;VALUE(LEFT(Sync!$U727,FIND(":",Sync!$U727)-1)),2)&amp;RIGHT("00"&amp;VALUE(MID(Sync!$U727,FIND(":",Sync!$U727)+1,2)),2),"0000"))))</f>
        <v/>
      </c>
    </row>
    <row r="732" spans="1:17" x14ac:dyDescent="0.2">
      <c r="A732" t="str">
        <f>IF(Sync!$T728="","",Sync!$T728)</f>
        <v/>
      </c>
      <c r="B732" t="str">
        <f t="shared" si="66"/>
        <v/>
      </c>
      <c r="C732" t="str">
        <f t="shared" si="67"/>
        <v/>
      </c>
      <c r="D732" t="str">
        <f t="shared" si="68"/>
        <v/>
      </c>
      <c r="E732" t="str">
        <f t="shared" si="69"/>
        <v/>
      </c>
      <c r="F732" t="str">
        <f t="shared" si="70"/>
        <v/>
      </c>
      <c r="G732" t="str">
        <f>IF(OR($E732="",$E732="نامعتبر",Sync!$X728=""),"",IF(AND(LEFT(UPPER(TRIM(Sync!$X728)),2)="SL",IFERROR(VLOOKUP(Sync!$W728,OpTbl,3,0),"")="فروش"),UPPER(TRIM(Sync!$X728)),""))</f>
        <v/>
      </c>
      <c r="H732" t="str">
        <f>IF($G732="","",IF(Sync!$W728="","",Sync!$W728))</f>
        <v/>
      </c>
      <c r="I732" t="str">
        <f>IF(OR($G732="",Sync!$Y728=""),"",Sync!$Y728)</f>
        <v/>
      </c>
      <c r="J732" t="str">
        <f>IF(OR($G732="",Sync!$Z728=""),"",Sync!$Z728)</f>
        <v/>
      </c>
      <c r="K732">
        <f>IF($G732="",0,IF(Sync!$AA728="",0,Sync!$AA728))</f>
        <v>0</v>
      </c>
      <c r="L732">
        <f>IF($G732="",0,IF(Sync!$AB728="",0,Sync!$AB728))</f>
        <v>0</v>
      </c>
      <c r="M732" t="str">
        <f t="shared" si="71"/>
        <v/>
      </c>
      <c r="N732">
        <f>IF($G732="",0,IF($H732="مرجوعی فروش",-1,1)*IF(Sync!$AC728="",0,Sync!$AC728))</f>
        <v>0</v>
      </c>
      <c r="O732" t="str">
        <f>IF(OR($G732="",Sync!$V728=""),"",Sync!$V728)</f>
        <v/>
      </c>
      <c r="P732" t="str">
        <f>IF(OR($G732="",Sync!$AD728=""),"",Sync!$AD728)</f>
        <v/>
      </c>
      <c r="Q732" t="str">
        <f>IF($G732="","",IF(Sync!$U728="","0000",IF(AND(ISNUMBER(Sync!$U728),Sync!$U728&gt;=0,Sync!$U728&lt;1),RIGHT("00"&amp;HOUR(Sync!$U728),2)&amp;RIGHT("00"&amp;MINUTE(Sync!$U728),2),IFERROR(RIGHT("00"&amp;VALUE(LEFT(Sync!$U728,FIND(":",Sync!$U728)-1)),2)&amp;RIGHT("00"&amp;VALUE(MID(Sync!$U728,FIND(":",Sync!$U728)+1,2)),2),"0000"))))</f>
        <v/>
      </c>
    </row>
    <row r="733" spans="1:17" x14ac:dyDescent="0.2">
      <c r="A733" t="str">
        <f>IF(Sync!$T729="","",Sync!$T729)</f>
        <v/>
      </c>
      <c r="B733" t="str">
        <f t="shared" si="66"/>
        <v/>
      </c>
      <c r="C733" t="str">
        <f t="shared" si="67"/>
        <v/>
      </c>
      <c r="D733" t="str">
        <f t="shared" si="68"/>
        <v/>
      </c>
      <c r="E733" t="str">
        <f t="shared" si="69"/>
        <v/>
      </c>
      <c r="F733" t="str">
        <f t="shared" si="70"/>
        <v/>
      </c>
      <c r="G733" t="str">
        <f>IF(OR($E733="",$E733="نامعتبر",Sync!$X729=""),"",IF(AND(LEFT(UPPER(TRIM(Sync!$X729)),2)="SL",IFERROR(VLOOKUP(Sync!$W729,OpTbl,3,0),"")="فروش"),UPPER(TRIM(Sync!$X729)),""))</f>
        <v/>
      </c>
      <c r="H733" t="str">
        <f>IF($G733="","",IF(Sync!$W729="","",Sync!$W729))</f>
        <v/>
      </c>
      <c r="I733" t="str">
        <f>IF(OR($G733="",Sync!$Y729=""),"",Sync!$Y729)</f>
        <v/>
      </c>
      <c r="J733" t="str">
        <f>IF(OR($G733="",Sync!$Z729=""),"",Sync!$Z729)</f>
        <v/>
      </c>
      <c r="K733">
        <f>IF($G733="",0,IF(Sync!$AA729="",0,Sync!$AA729))</f>
        <v>0</v>
      </c>
      <c r="L733">
        <f>IF($G733="",0,IF(Sync!$AB729="",0,Sync!$AB729))</f>
        <v>0</v>
      </c>
      <c r="M733" t="str">
        <f t="shared" si="71"/>
        <v/>
      </c>
      <c r="N733">
        <f>IF($G733="",0,IF($H733="مرجوعی فروش",-1,1)*IF(Sync!$AC729="",0,Sync!$AC729))</f>
        <v>0</v>
      </c>
      <c r="O733" t="str">
        <f>IF(OR($G733="",Sync!$V729=""),"",Sync!$V729)</f>
        <v/>
      </c>
      <c r="P733" t="str">
        <f>IF(OR($G733="",Sync!$AD729=""),"",Sync!$AD729)</f>
        <v/>
      </c>
      <c r="Q733" t="str">
        <f>IF($G733="","",IF(Sync!$U729="","0000",IF(AND(ISNUMBER(Sync!$U729),Sync!$U729&gt;=0,Sync!$U729&lt;1),RIGHT("00"&amp;HOUR(Sync!$U729),2)&amp;RIGHT("00"&amp;MINUTE(Sync!$U729),2),IFERROR(RIGHT("00"&amp;VALUE(LEFT(Sync!$U729,FIND(":",Sync!$U729)-1)),2)&amp;RIGHT("00"&amp;VALUE(MID(Sync!$U729,FIND(":",Sync!$U729)+1,2)),2),"0000"))))</f>
        <v/>
      </c>
    </row>
    <row r="734" spans="1:17" x14ac:dyDescent="0.2">
      <c r="A734" t="str">
        <f>IF(Sync!$T730="","",Sync!$T730)</f>
        <v/>
      </c>
      <c r="B734" t="str">
        <f t="shared" si="66"/>
        <v/>
      </c>
      <c r="C734" t="str">
        <f t="shared" si="67"/>
        <v/>
      </c>
      <c r="D734" t="str">
        <f t="shared" si="68"/>
        <v/>
      </c>
      <c r="E734" t="str">
        <f t="shared" si="69"/>
        <v/>
      </c>
      <c r="F734" t="str">
        <f t="shared" si="70"/>
        <v/>
      </c>
      <c r="G734" t="str">
        <f>IF(OR($E734="",$E734="نامعتبر",Sync!$X730=""),"",IF(AND(LEFT(UPPER(TRIM(Sync!$X730)),2)="SL",IFERROR(VLOOKUP(Sync!$W730,OpTbl,3,0),"")="فروش"),UPPER(TRIM(Sync!$X730)),""))</f>
        <v/>
      </c>
      <c r="H734" t="str">
        <f>IF($G734="","",IF(Sync!$W730="","",Sync!$W730))</f>
        <v/>
      </c>
      <c r="I734" t="str">
        <f>IF(OR($G734="",Sync!$Y730=""),"",Sync!$Y730)</f>
        <v/>
      </c>
      <c r="J734" t="str">
        <f>IF(OR($G734="",Sync!$Z730=""),"",Sync!$Z730)</f>
        <v/>
      </c>
      <c r="K734">
        <f>IF($G734="",0,IF(Sync!$AA730="",0,Sync!$AA730))</f>
        <v>0</v>
      </c>
      <c r="L734">
        <f>IF($G734="",0,IF(Sync!$AB730="",0,Sync!$AB730))</f>
        <v>0</v>
      </c>
      <c r="M734" t="str">
        <f t="shared" si="71"/>
        <v/>
      </c>
      <c r="N734">
        <f>IF($G734="",0,IF($H734="مرجوعی فروش",-1,1)*IF(Sync!$AC730="",0,Sync!$AC730))</f>
        <v>0</v>
      </c>
      <c r="O734" t="str">
        <f>IF(OR($G734="",Sync!$V730=""),"",Sync!$V730)</f>
        <v/>
      </c>
      <c r="P734" t="str">
        <f>IF(OR($G734="",Sync!$AD730=""),"",Sync!$AD730)</f>
        <v/>
      </c>
      <c r="Q734" t="str">
        <f>IF($G734="","",IF(Sync!$U730="","0000",IF(AND(ISNUMBER(Sync!$U730),Sync!$U730&gt;=0,Sync!$U730&lt;1),RIGHT("00"&amp;HOUR(Sync!$U730),2)&amp;RIGHT("00"&amp;MINUTE(Sync!$U730),2),IFERROR(RIGHT("00"&amp;VALUE(LEFT(Sync!$U730,FIND(":",Sync!$U730)-1)),2)&amp;RIGHT("00"&amp;VALUE(MID(Sync!$U730,FIND(":",Sync!$U730)+1,2)),2),"0000"))))</f>
        <v/>
      </c>
    </row>
    <row r="735" spans="1:17" x14ac:dyDescent="0.2">
      <c r="A735" t="str">
        <f>IF(Sync!$T731="","",Sync!$T731)</f>
        <v/>
      </c>
      <c r="B735" t="str">
        <f t="shared" si="66"/>
        <v/>
      </c>
      <c r="C735" t="str">
        <f t="shared" si="67"/>
        <v/>
      </c>
      <c r="D735" t="str">
        <f t="shared" si="68"/>
        <v/>
      </c>
      <c r="E735" t="str">
        <f t="shared" si="69"/>
        <v/>
      </c>
      <c r="F735" t="str">
        <f t="shared" si="70"/>
        <v/>
      </c>
      <c r="G735" t="str">
        <f>IF(OR($E735="",$E735="نامعتبر",Sync!$X731=""),"",IF(AND(LEFT(UPPER(TRIM(Sync!$X731)),2)="SL",IFERROR(VLOOKUP(Sync!$W731,OpTbl,3,0),"")="فروش"),UPPER(TRIM(Sync!$X731)),""))</f>
        <v/>
      </c>
      <c r="H735" t="str">
        <f>IF($G735="","",IF(Sync!$W731="","",Sync!$W731))</f>
        <v/>
      </c>
      <c r="I735" t="str">
        <f>IF(OR($G735="",Sync!$Y731=""),"",Sync!$Y731)</f>
        <v/>
      </c>
      <c r="J735" t="str">
        <f>IF(OR($G735="",Sync!$Z731=""),"",Sync!$Z731)</f>
        <v/>
      </c>
      <c r="K735">
        <f>IF($G735="",0,IF(Sync!$AA731="",0,Sync!$AA731))</f>
        <v>0</v>
      </c>
      <c r="L735">
        <f>IF($G735="",0,IF(Sync!$AB731="",0,Sync!$AB731))</f>
        <v>0</v>
      </c>
      <c r="M735" t="str">
        <f t="shared" si="71"/>
        <v/>
      </c>
      <c r="N735">
        <f>IF($G735="",0,IF($H735="مرجوعی فروش",-1,1)*IF(Sync!$AC731="",0,Sync!$AC731))</f>
        <v>0</v>
      </c>
      <c r="O735" t="str">
        <f>IF(OR($G735="",Sync!$V731=""),"",Sync!$V731)</f>
        <v/>
      </c>
      <c r="P735" t="str">
        <f>IF(OR($G735="",Sync!$AD731=""),"",Sync!$AD731)</f>
        <v/>
      </c>
      <c r="Q735" t="str">
        <f>IF($G735="","",IF(Sync!$U731="","0000",IF(AND(ISNUMBER(Sync!$U731),Sync!$U731&gt;=0,Sync!$U731&lt;1),RIGHT("00"&amp;HOUR(Sync!$U731),2)&amp;RIGHT("00"&amp;MINUTE(Sync!$U731),2),IFERROR(RIGHT("00"&amp;VALUE(LEFT(Sync!$U731,FIND(":",Sync!$U731)-1)),2)&amp;RIGHT("00"&amp;VALUE(MID(Sync!$U731,FIND(":",Sync!$U731)+1,2)),2),"0000"))))</f>
        <v/>
      </c>
    </row>
    <row r="736" spans="1:17" x14ac:dyDescent="0.2">
      <c r="A736" t="str">
        <f>IF(Sync!$T732="","",Sync!$T732)</f>
        <v/>
      </c>
      <c r="B736" t="str">
        <f t="shared" si="66"/>
        <v/>
      </c>
      <c r="C736" t="str">
        <f t="shared" si="67"/>
        <v/>
      </c>
      <c r="D736" t="str">
        <f t="shared" si="68"/>
        <v/>
      </c>
      <c r="E736" t="str">
        <f t="shared" si="69"/>
        <v/>
      </c>
      <c r="F736" t="str">
        <f t="shared" si="70"/>
        <v/>
      </c>
      <c r="G736" t="str">
        <f>IF(OR($E736="",$E736="نامعتبر",Sync!$X732=""),"",IF(AND(LEFT(UPPER(TRIM(Sync!$X732)),2)="SL",IFERROR(VLOOKUP(Sync!$W732,OpTbl,3,0),"")="فروش"),UPPER(TRIM(Sync!$X732)),""))</f>
        <v/>
      </c>
      <c r="H736" t="str">
        <f>IF($G736="","",IF(Sync!$W732="","",Sync!$W732))</f>
        <v/>
      </c>
      <c r="I736" t="str">
        <f>IF(OR($G736="",Sync!$Y732=""),"",Sync!$Y732)</f>
        <v/>
      </c>
      <c r="J736" t="str">
        <f>IF(OR($G736="",Sync!$Z732=""),"",Sync!$Z732)</f>
        <v/>
      </c>
      <c r="K736">
        <f>IF($G736="",0,IF(Sync!$AA732="",0,Sync!$AA732))</f>
        <v>0</v>
      </c>
      <c r="L736">
        <f>IF($G736="",0,IF(Sync!$AB732="",0,Sync!$AB732))</f>
        <v>0</v>
      </c>
      <c r="M736" t="str">
        <f t="shared" si="71"/>
        <v/>
      </c>
      <c r="N736">
        <f>IF($G736="",0,IF($H736="مرجوعی فروش",-1,1)*IF(Sync!$AC732="",0,Sync!$AC732))</f>
        <v>0</v>
      </c>
      <c r="O736" t="str">
        <f>IF(OR($G736="",Sync!$V732=""),"",Sync!$V732)</f>
        <v/>
      </c>
      <c r="P736" t="str">
        <f>IF(OR($G736="",Sync!$AD732=""),"",Sync!$AD732)</f>
        <v/>
      </c>
      <c r="Q736" t="str">
        <f>IF($G736="","",IF(Sync!$U732="","0000",IF(AND(ISNUMBER(Sync!$U732),Sync!$U732&gt;=0,Sync!$U732&lt;1),RIGHT("00"&amp;HOUR(Sync!$U732),2)&amp;RIGHT("00"&amp;MINUTE(Sync!$U732),2),IFERROR(RIGHT("00"&amp;VALUE(LEFT(Sync!$U732,FIND(":",Sync!$U732)-1)),2)&amp;RIGHT("00"&amp;VALUE(MID(Sync!$U732,FIND(":",Sync!$U732)+1,2)),2),"0000"))))</f>
        <v/>
      </c>
    </row>
    <row r="737" spans="1:17" x14ac:dyDescent="0.2">
      <c r="A737" t="str">
        <f>IF(Sync!$T733="","",Sync!$T733)</f>
        <v/>
      </c>
      <c r="B737" t="str">
        <f t="shared" si="66"/>
        <v/>
      </c>
      <c r="C737" t="str">
        <f t="shared" si="67"/>
        <v/>
      </c>
      <c r="D737" t="str">
        <f t="shared" si="68"/>
        <v/>
      </c>
      <c r="E737" t="str">
        <f t="shared" si="69"/>
        <v/>
      </c>
      <c r="F737" t="str">
        <f t="shared" si="70"/>
        <v/>
      </c>
      <c r="G737" t="str">
        <f>IF(OR($E737="",$E737="نامعتبر",Sync!$X733=""),"",IF(AND(LEFT(UPPER(TRIM(Sync!$X733)),2)="SL",IFERROR(VLOOKUP(Sync!$W733,OpTbl,3,0),"")="فروش"),UPPER(TRIM(Sync!$X733)),""))</f>
        <v/>
      </c>
      <c r="H737" t="str">
        <f>IF($G737="","",IF(Sync!$W733="","",Sync!$W733))</f>
        <v/>
      </c>
      <c r="I737" t="str">
        <f>IF(OR($G737="",Sync!$Y733=""),"",Sync!$Y733)</f>
        <v/>
      </c>
      <c r="J737" t="str">
        <f>IF(OR($G737="",Sync!$Z733=""),"",Sync!$Z733)</f>
        <v/>
      </c>
      <c r="K737">
        <f>IF($G737="",0,IF(Sync!$AA733="",0,Sync!$AA733))</f>
        <v>0</v>
      </c>
      <c r="L737">
        <f>IF($G737="",0,IF(Sync!$AB733="",0,Sync!$AB733))</f>
        <v>0</v>
      </c>
      <c r="M737" t="str">
        <f t="shared" si="71"/>
        <v/>
      </c>
      <c r="N737">
        <f>IF($G737="",0,IF($H737="مرجوعی فروش",-1,1)*IF(Sync!$AC733="",0,Sync!$AC733))</f>
        <v>0</v>
      </c>
      <c r="O737" t="str">
        <f>IF(OR($G737="",Sync!$V733=""),"",Sync!$V733)</f>
        <v/>
      </c>
      <c r="P737" t="str">
        <f>IF(OR($G737="",Sync!$AD733=""),"",Sync!$AD733)</f>
        <v/>
      </c>
      <c r="Q737" t="str">
        <f>IF($G737="","",IF(Sync!$U733="","0000",IF(AND(ISNUMBER(Sync!$U733),Sync!$U733&gt;=0,Sync!$U733&lt;1),RIGHT("00"&amp;HOUR(Sync!$U733),2)&amp;RIGHT("00"&amp;MINUTE(Sync!$U733),2),IFERROR(RIGHT("00"&amp;VALUE(LEFT(Sync!$U733,FIND(":",Sync!$U733)-1)),2)&amp;RIGHT("00"&amp;VALUE(MID(Sync!$U733,FIND(":",Sync!$U733)+1,2)),2),"0000"))))</f>
        <v/>
      </c>
    </row>
    <row r="738" spans="1:17" x14ac:dyDescent="0.2">
      <c r="A738" t="str">
        <f>IF(Sync!$T734="","",Sync!$T734)</f>
        <v/>
      </c>
      <c r="B738" t="str">
        <f t="shared" si="66"/>
        <v/>
      </c>
      <c r="C738" t="str">
        <f t="shared" si="67"/>
        <v/>
      </c>
      <c r="D738" t="str">
        <f t="shared" si="68"/>
        <v/>
      </c>
      <c r="E738" t="str">
        <f t="shared" si="69"/>
        <v/>
      </c>
      <c r="F738" t="str">
        <f t="shared" si="70"/>
        <v/>
      </c>
      <c r="G738" t="str">
        <f>IF(OR($E738="",$E738="نامعتبر",Sync!$X734=""),"",IF(AND(LEFT(UPPER(TRIM(Sync!$X734)),2)="SL",IFERROR(VLOOKUP(Sync!$W734,OpTbl,3,0),"")="فروش"),UPPER(TRIM(Sync!$X734)),""))</f>
        <v/>
      </c>
      <c r="H738" t="str">
        <f>IF($G738="","",IF(Sync!$W734="","",Sync!$W734))</f>
        <v/>
      </c>
      <c r="I738" t="str">
        <f>IF(OR($G738="",Sync!$Y734=""),"",Sync!$Y734)</f>
        <v/>
      </c>
      <c r="J738" t="str">
        <f>IF(OR($G738="",Sync!$Z734=""),"",Sync!$Z734)</f>
        <v/>
      </c>
      <c r="K738">
        <f>IF($G738="",0,IF(Sync!$AA734="",0,Sync!$AA734))</f>
        <v>0</v>
      </c>
      <c r="L738">
        <f>IF($G738="",0,IF(Sync!$AB734="",0,Sync!$AB734))</f>
        <v>0</v>
      </c>
      <c r="M738" t="str">
        <f t="shared" si="71"/>
        <v/>
      </c>
      <c r="N738">
        <f>IF($G738="",0,IF($H738="مرجوعی فروش",-1,1)*IF(Sync!$AC734="",0,Sync!$AC734))</f>
        <v>0</v>
      </c>
      <c r="O738" t="str">
        <f>IF(OR($G738="",Sync!$V734=""),"",Sync!$V734)</f>
        <v/>
      </c>
      <c r="P738" t="str">
        <f>IF(OR($G738="",Sync!$AD734=""),"",Sync!$AD734)</f>
        <v/>
      </c>
      <c r="Q738" t="str">
        <f>IF($G738="","",IF(Sync!$U734="","0000",IF(AND(ISNUMBER(Sync!$U734),Sync!$U734&gt;=0,Sync!$U734&lt;1),RIGHT("00"&amp;HOUR(Sync!$U734),2)&amp;RIGHT("00"&amp;MINUTE(Sync!$U734),2),IFERROR(RIGHT("00"&amp;VALUE(LEFT(Sync!$U734,FIND(":",Sync!$U734)-1)),2)&amp;RIGHT("00"&amp;VALUE(MID(Sync!$U734,FIND(":",Sync!$U734)+1,2)),2),"0000"))))</f>
        <v/>
      </c>
    </row>
    <row r="739" spans="1:17" x14ac:dyDescent="0.2">
      <c r="A739" t="str">
        <f>IF(Sync!$T735="","",Sync!$T735)</f>
        <v/>
      </c>
      <c r="B739" t="str">
        <f t="shared" si="66"/>
        <v/>
      </c>
      <c r="C739" t="str">
        <f t="shared" si="67"/>
        <v/>
      </c>
      <c r="D739" t="str">
        <f t="shared" si="68"/>
        <v/>
      </c>
      <c r="E739" t="str">
        <f t="shared" si="69"/>
        <v/>
      </c>
      <c r="F739" t="str">
        <f t="shared" si="70"/>
        <v/>
      </c>
      <c r="G739" t="str">
        <f>IF(OR($E739="",$E739="نامعتبر",Sync!$X735=""),"",IF(AND(LEFT(UPPER(TRIM(Sync!$X735)),2)="SL",IFERROR(VLOOKUP(Sync!$W735,OpTbl,3,0),"")="فروش"),UPPER(TRIM(Sync!$X735)),""))</f>
        <v/>
      </c>
      <c r="H739" t="str">
        <f>IF($G739="","",IF(Sync!$W735="","",Sync!$W735))</f>
        <v/>
      </c>
      <c r="I739" t="str">
        <f>IF(OR($G739="",Sync!$Y735=""),"",Sync!$Y735)</f>
        <v/>
      </c>
      <c r="J739" t="str">
        <f>IF(OR($G739="",Sync!$Z735=""),"",Sync!$Z735)</f>
        <v/>
      </c>
      <c r="K739">
        <f>IF($G739="",0,IF(Sync!$AA735="",0,Sync!$AA735))</f>
        <v>0</v>
      </c>
      <c r="L739">
        <f>IF($G739="",0,IF(Sync!$AB735="",0,Sync!$AB735))</f>
        <v>0</v>
      </c>
      <c r="M739" t="str">
        <f t="shared" si="71"/>
        <v/>
      </c>
      <c r="N739">
        <f>IF($G739="",0,IF($H739="مرجوعی فروش",-1,1)*IF(Sync!$AC735="",0,Sync!$AC735))</f>
        <v>0</v>
      </c>
      <c r="O739" t="str">
        <f>IF(OR($G739="",Sync!$V735=""),"",Sync!$V735)</f>
        <v/>
      </c>
      <c r="P739" t="str">
        <f>IF(OR($G739="",Sync!$AD735=""),"",Sync!$AD735)</f>
        <v/>
      </c>
      <c r="Q739" t="str">
        <f>IF($G739="","",IF(Sync!$U735="","0000",IF(AND(ISNUMBER(Sync!$U735),Sync!$U735&gt;=0,Sync!$U735&lt;1),RIGHT("00"&amp;HOUR(Sync!$U735),2)&amp;RIGHT("00"&amp;MINUTE(Sync!$U735),2),IFERROR(RIGHT("00"&amp;VALUE(LEFT(Sync!$U735,FIND(":",Sync!$U735)-1)),2)&amp;RIGHT("00"&amp;VALUE(MID(Sync!$U735,FIND(":",Sync!$U735)+1,2)),2),"0000"))))</f>
        <v/>
      </c>
    </row>
    <row r="740" spans="1:17" x14ac:dyDescent="0.2">
      <c r="A740" t="str">
        <f>IF(Sync!$T736="","",Sync!$T736)</f>
        <v/>
      </c>
      <c r="B740" t="str">
        <f t="shared" si="66"/>
        <v/>
      </c>
      <c r="C740" t="str">
        <f t="shared" si="67"/>
        <v/>
      </c>
      <c r="D740" t="str">
        <f t="shared" si="68"/>
        <v/>
      </c>
      <c r="E740" t="str">
        <f t="shared" si="69"/>
        <v/>
      </c>
      <c r="F740" t="str">
        <f t="shared" si="70"/>
        <v/>
      </c>
      <c r="G740" t="str">
        <f>IF(OR($E740="",$E740="نامعتبر",Sync!$X736=""),"",IF(AND(LEFT(UPPER(TRIM(Sync!$X736)),2)="SL",IFERROR(VLOOKUP(Sync!$W736,OpTbl,3,0),"")="فروش"),UPPER(TRIM(Sync!$X736)),""))</f>
        <v/>
      </c>
      <c r="H740" t="str">
        <f>IF($G740="","",IF(Sync!$W736="","",Sync!$W736))</f>
        <v/>
      </c>
      <c r="I740" t="str">
        <f>IF(OR($G740="",Sync!$Y736=""),"",Sync!$Y736)</f>
        <v/>
      </c>
      <c r="J740" t="str">
        <f>IF(OR($G740="",Sync!$Z736=""),"",Sync!$Z736)</f>
        <v/>
      </c>
      <c r="K740">
        <f>IF($G740="",0,IF(Sync!$AA736="",0,Sync!$AA736))</f>
        <v>0</v>
      </c>
      <c r="L740">
        <f>IF($G740="",0,IF(Sync!$AB736="",0,Sync!$AB736))</f>
        <v>0</v>
      </c>
      <c r="M740" t="str">
        <f t="shared" si="71"/>
        <v/>
      </c>
      <c r="N740">
        <f>IF($G740="",0,IF($H740="مرجوعی فروش",-1,1)*IF(Sync!$AC736="",0,Sync!$AC736))</f>
        <v>0</v>
      </c>
      <c r="O740" t="str">
        <f>IF(OR($G740="",Sync!$V736=""),"",Sync!$V736)</f>
        <v/>
      </c>
      <c r="P740" t="str">
        <f>IF(OR($G740="",Sync!$AD736=""),"",Sync!$AD736)</f>
        <v/>
      </c>
      <c r="Q740" t="str">
        <f>IF($G740="","",IF(Sync!$U736="","0000",IF(AND(ISNUMBER(Sync!$U736),Sync!$U736&gt;=0,Sync!$U736&lt;1),RIGHT("00"&amp;HOUR(Sync!$U736),2)&amp;RIGHT("00"&amp;MINUTE(Sync!$U736),2),IFERROR(RIGHT("00"&amp;VALUE(LEFT(Sync!$U736,FIND(":",Sync!$U736)-1)),2)&amp;RIGHT("00"&amp;VALUE(MID(Sync!$U736,FIND(":",Sync!$U736)+1,2)),2),"0000"))))</f>
        <v/>
      </c>
    </row>
    <row r="741" spans="1:17" x14ac:dyDescent="0.2">
      <c r="A741" t="str">
        <f>IF(Sync!$T737="","",Sync!$T737)</f>
        <v/>
      </c>
      <c r="B741" t="str">
        <f t="shared" si="66"/>
        <v/>
      </c>
      <c r="C741" t="str">
        <f t="shared" si="67"/>
        <v/>
      </c>
      <c r="D741" t="str">
        <f t="shared" si="68"/>
        <v/>
      </c>
      <c r="E741" t="str">
        <f t="shared" si="69"/>
        <v/>
      </c>
      <c r="F741" t="str">
        <f t="shared" si="70"/>
        <v/>
      </c>
      <c r="G741" t="str">
        <f>IF(OR($E741="",$E741="نامعتبر",Sync!$X737=""),"",IF(AND(LEFT(UPPER(TRIM(Sync!$X737)),2)="SL",IFERROR(VLOOKUP(Sync!$W737,OpTbl,3,0),"")="فروش"),UPPER(TRIM(Sync!$X737)),""))</f>
        <v/>
      </c>
      <c r="H741" t="str">
        <f>IF($G741="","",IF(Sync!$W737="","",Sync!$W737))</f>
        <v/>
      </c>
      <c r="I741" t="str">
        <f>IF(OR($G741="",Sync!$Y737=""),"",Sync!$Y737)</f>
        <v/>
      </c>
      <c r="J741" t="str">
        <f>IF(OR($G741="",Sync!$Z737=""),"",Sync!$Z737)</f>
        <v/>
      </c>
      <c r="K741">
        <f>IF($G741="",0,IF(Sync!$AA737="",0,Sync!$AA737))</f>
        <v>0</v>
      </c>
      <c r="L741">
        <f>IF($G741="",0,IF(Sync!$AB737="",0,Sync!$AB737))</f>
        <v>0</v>
      </c>
      <c r="M741" t="str">
        <f t="shared" si="71"/>
        <v/>
      </c>
      <c r="N741">
        <f>IF($G741="",0,IF($H741="مرجوعی فروش",-1,1)*IF(Sync!$AC737="",0,Sync!$AC737))</f>
        <v>0</v>
      </c>
      <c r="O741" t="str">
        <f>IF(OR($G741="",Sync!$V737=""),"",Sync!$V737)</f>
        <v/>
      </c>
      <c r="P741" t="str">
        <f>IF(OR($G741="",Sync!$AD737=""),"",Sync!$AD737)</f>
        <v/>
      </c>
      <c r="Q741" t="str">
        <f>IF($G741="","",IF(Sync!$U737="","0000",IF(AND(ISNUMBER(Sync!$U737),Sync!$U737&gt;=0,Sync!$U737&lt;1),RIGHT("00"&amp;HOUR(Sync!$U737),2)&amp;RIGHT("00"&amp;MINUTE(Sync!$U737),2),IFERROR(RIGHT("00"&amp;VALUE(LEFT(Sync!$U737,FIND(":",Sync!$U737)-1)),2)&amp;RIGHT("00"&amp;VALUE(MID(Sync!$U737,FIND(":",Sync!$U737)+1,2)),2),"0000"))))</f>
        <v/>
      </c>
    </row>
    <row r="742" spans="1:17" x14ac:dyDescent="0.2">
      <c r="A742" t="str">
        <f>IF(Sync!$T738="","",Sync!$T738)</f>
        <v/>
      </c>
      <c r="B742" t="str">
        <f t="shared" si="66"/>
        <v/>
      </c>
      <c r="C742" t="str">
        <f t="shared" si="67"/>
        <v/>
      </c>
      <c r="D742" t="str">
        <f t="shared" si="68"/>
        <v/>
      </c>
      <c r="E742" t="str">
        <f t="shared" si="69"/>
        <v/>
      </c>
      <c r="F742" t="str">
        <f t="shared" si="70"/>
        <v/>
      </c>
      <c r="G742" t="str">
        <f>IF(OR($E742="",$E742="نامعتبر",Sync!$X738=""),"",IF(AND(LEFT(UPPER(TRIM(Sync!$X738)),2)="SL",IFERROR(VLOOKUP(Sync!$W738,OpTbl,3,0),"")="فروش"),UPPER(TRIM(Sync!$X738)),""))</f>
        <v/>
      </c>
      <c r="H742" t="str">
        <f>IF($G742="","",IF(Sync!$W738="","",Sync!$W738))</f>
        <v/>
      </c>
      <c r="I742" t="str">
        <f>IF(OR($G742="",Sync!$Y738=""),"",Sync!$Y738)</f>
        <v/>
      </c>
      <c r="J742" t="str">
        <f>IF(OR($G742="",Sync!$Z738=""),"",Sync!$Z738)</f>
        <v/>
      </c>
      <c r="K742">
        <f>IF($G742="",0,IF(Sync!$AA738="",0,Sync!$AA738))</f>
        <v>0</v>
      </c>
      <c r="L742">
        <f>IF($G742="",0,IF(Sync!$AB738="",0,Sync!$AB738))</f>
        <v>0</v>
      </c>
      <c r="M742" t="str">
        <f t="shared" si="71"/>
        <v/>
      </c>
      <c r="N742">
        <f>IF($G742="",0,IF($H742="مرجوعی فروش",-1,1)*IF(Sync!$AC738="",0,Sync!$AC738))</f>
        <v>0</v>
      </c>
      <c r="O742" t="str">
        <f>IF(OR($G742="",Sync!$V738=""),"",Sync!$V738)</f>
        <v/>
      </c>
      <c r="P742" t="str">
        <f>IF(OR($G742="",Sync!$AD738=""),"",Sync!$AD738)</f>
        <v/>
      </c>
      <c r="Q742" t="str">
        <f>IF($G742="","",IF(Sync!$U738="","0000",IF(AND(ISNUMBER(Sync!$U738),Sync!$U738&gt;=0,Sync!$U738&lt;1),RIGHT("00"&amp;HOUR(Sync!$U738),2)&amp;RIGHT("00"&amp;MINUTE(Sync!$U738),2),IFERROR(RIGHT("00"&amp;VALUE(LEFT(Sync!$U738,FIND(":",Sync!$U738)-1)),2)&amp;RIGHT("00"&amp;VALUE(MID(Sync!$U738,FIND(":",Sync!$U738)+1,2)),2),"0000"))))</f>
        <v/>
      </c>
    </row>
    <row r="743" spans="1:17" x14ac:dyDescent="0.2">
      <c r="A743" t="str">
        <f>IF(Sync!$T739="","",Sync!$T739)</f>
        <v/>
      </c>
      <c r="B743" t="str">
        <f t="shared" si="66"/>
        <v/>
      </c>
      <c r="C743" t="str">
        <f t="shared" si="67"/>
        <v/>
      </c>
      <c r="D743" t="str">
        <f t="shared" si="68"/>
        <v/>
      </c>
      <c r="E743" t="str">
        <f t="shared" si="69"/>
        <v/>
      </c>
      <c r="F743" t="str">
        <f t="shared" si="70"/>
        <v/>
      </c>
      <c r="G743" t="str">
        <f>IF(OR($E743="",$E743="نامعتبر",Sync!$X739=""),"",IF(AND(LEFT(UPPER(TRIM(Sync!$X739)),2)="SL",IFERROR(VLOOKUP(Sync!$W739,OpTbl,3,0),"")="فروش"),UPPER(TRIM(Sync!$X739)),""))</f>
        <v/>
      </c>
      <c r="H743" t="str">
        <f>IF($G743="","",IF(Sync!$W739="","",Sync!$W739))</f>
        <v/>
      </c>
      <c r="I743" t="str">
        <f>IF(OR($G743="",Sync!$Y739=""),"",Sync!$Y739)</f>
        <v/>
      </c>
      <c r="J743" t="str">
        <f>IF(OR($G743="",Sync!$Z739=""),"",Sync!$Z739)</f>
        <v/>
      </c>
      <c r="K743">
        <f>IF($G743="",0,IF(Sync!$AA739="",0,Sync!$AA739))</f>
        <v>0</v>
      </c>
      <c r="L743">
        <f>IF($G743="",0,IF(Sync!$AB739="",0,Sync!$AB739))</f>
        <v>0</v>
      </c>
      <c r="M743" t="str">
        <f t="shared" si="71"/>
        <v/>
      </c>
      <c r="N743">
        <f>IF($G743="",0,IF($H743="مرجوعی فروش",-1,1)*IF(Sync!$AC739="",0,Sync!$AC739))</f>
        <v>0</v>
      </c>
      <c r="O743" t="str">
        <f>IF(OR($G743="",Sync!$V739=""),"",Sync!$V739)</f>
        <v/>
      </c>
      <c r="P743" t="str">
        <f>IF(OR($G743="",Sync!$AD739=""),"",Sync!$AD739)</f>
        <v/>
      </c>
      <c r="Q743" t="str">
        <f>IF($G743="","",IF(Sync!$U739="","0000",IF(AND(ISNUMBER(Sync!$U739),Sync!$U739&gt;=0,Sync!$U739&lt;1),RIGHT("00"&amp;HOUR(Sync!$U739),2)&amp;RIGHT("00"&amp;MINUTE(Sync!$U739),2),IFERROR(RIGHT("00"&amp;VALUE(LEFT(Sync!$U739,FIND(":",Sync!$U739)-1)),2)&amp;RIGHT("00"&amp;VALUE(MID(Sync!$U739,FIND(":",Sync!$U739)+1,2)),2),"0000"))))</f>
        <v/>
      </c>
    </row>
    <row r="744" spans="1:17" x14ac:dyDescent="0.2">
      <c r="A744" t="str">
        <f>IF(Sync!$T740="","",Sync!$T740)</f>
        <v/>
      </c>
      <c r="B744" t="str">
        <f t="shared" si="66"/>
        <v/>
      </c>
      <c r="C744" t="str">
        <f t="shared" si="67"/>
        <v/>
      </c>
      <c r="D744" t="str">
        <f t="shared" si="68"/>
        <v/>
      </c>
      <c r="E744" t="str">
        <f t="shared" si="69"/>
        <v/>
      </c>
      <c r="F744" t="str">
        <f t="shared" si="70"/>
        <v/>
      </c>
      <c r="G744" t="str">
        <f>IF(OR($E744="",$E744="نامعتبر",Sync!$X740=""),"",IF(AND(LEFT(UPPER(TRIM(Sync!$X740)),2)="SL",IFERROR(VLOOKUP(Sync!$W740,OpTbl,3,0),"")="فروش"),UPPER(TRIM(Sync!$X740)),""))</f>
        <v/>
      </c>
      <c r="H744" t="str">
        <f>IF($G744="","",IF(Sync!$W740="","",Sync!$W740))</f>
        <v/>
      </c>
      <c r="I744" t="str">
        <f>IF(OR($G744="",Sync!$Y740=""),"",Sync!$Y740)</f>
        <v/>
      </c>
      <c r="J744" t="str">
        <f>IF(OR($G744="",Sync!$Z740=""),"",Sync!$Z740)</f>
        <v/>
      </c>
      <c r="K744">
        <f>IF($G744="",0,IF(Sync!$AA740="",0,Sync!$AA740))</f>
        <v>0</v>
      </c>
      <c r="L744">
        <f>IF($G744="",0,IF(Sync!$AB740="",0,Sync!$AB740))</f>
        <v>0</v>
      </c>
      <c r="M744" t="str">
        <f t="shared" si="71"/>
        <v/>
      </c>
      <c r="N744">
        <f>IF($G744="",0,IF($H744="مرجوعی فروش",-1,1)*IF(Sync!$AC740="",0,Sync!$AC740))</f>
        <v>0</v>
      </c>
      <c r="O744" t="str">
        <f>IF(OR($G744="",Sync!$V740=""),"",Sync!$V740)</f>
        <v/>
      </c>
      <c r="P744" t="str">
        <f>IF(OR($G744="",Sync!$AD740=""),"",Sync!$AD740)</f>
        <v/>
      </c>
      <c r="Q744" t="str">
        <f>IF($G744="","",IF(Sync!$U740="","0000",IF(AND(ISNUMBER(Sync!$U740),Sync!$U740&gt;=0,Sync!$U740&lt;1),RIGHT("00"&amp;HOUR(Sync!$U740),2)&amp;RIGHT("00"&amp;MINUTE(Sync!$U740),2),IFERROR(RIGHT("00"&amp;VALUE(LEFT(Sync!$U740,FIND(":",Sync!$U740)-1)),2)&amp;RIGHT("00"&amp;VALUE(MID(Sync!$U740,FIND(":",Sync!$U740)+1,2)),2),"0000"))))</f>
        <v/>
      </c>
    </row>
    <row r="745" spans="1:17" x14ac:dyDescent="0.2">
      <c r="A745" t="str">
        <f>IF(Sync!$T741="","",Sync!$T741)</f>
        <v/>
      </c>
      <c r="B745" t="str">
        <f t="shared" si="66"/>
        <v/>
      </c>
      <c r="C745" t="str">
        <f t="shared" si="67"/>
        <v/>
      </c>
      <c r="D745" t="str">
        <f t="shared" si="68"/>
        <v/>
      </c>
      <c r="E745" t="str">
        <f t="shared" si="69"/>
        <v/>
      </c>
      <c r="F745" t="str">
        <f t="shared" si="70"/>
        <v/>
      </c>
      <c r="G745" t="str">
        <f>IF(OR($E745="",$E745="نامعتبر",Sync!$X741=""),"",IF(AND(LEFT(UPPER(TRIM(Sync!$X741)),2)="SL",IFERROR(VLOOKUP(Sync!$W741,OpTbl,3,0),"")="فروش"),UPPER(TRIM(Sync!$X741)),""))</f>
        <v/>
      </c>
      <c r="H745" t="str">
        <f>IF($G745="","",IF(Sync!$W741="","",Sync!$W741))</f>
        <v/>
      </c>
      <c r="I745" t="str">
        <f>IF(OR($G745="",Sync!$Y741=""),"",Sync!$Y741)</f>
        <v/>
      </c>
      <c r="J745" t="str">
        <f>IF(OR($G745="",Sync!$Z741=""),"",Sync!$Z741)</f>
        <v/>
      </c>
      <c r="K745">
        <f>IF($G745="",0,IF(Sync!$AA741="",0,Sync!$AA741))</f>
        <v>0</v>
      </c>
      <c r="L745">
        <f>IF($G745="",0,IF(Sync!$AB741="",0,Sync!$AB741))</f>
        <v>0</v>
      </c>
      <c r="M745" t="str">
        <f t="shared" si="71"/>
        <v/>
      </c>
      <c r="N745">
        <f>IF($G745="",0,IF($H745="مرجوعی فروش",-1,1)*IF(Sync!$AC741="",0,Sync!$AC741))</f>
        <v>0</v>
      </c>
      <c r="O745" t="str">
        <f>IF(OR($G745="",Sync!$V741=""),"",Sync!$V741)</f>
        <v/>
      </c>
      <c r="P745" t="str">
        <f>IF(OR($G745="",Sync!$AD741=""),"",Sync!$AD741)</f>
        <v/>
      </c>
      <c r="Q745" t="str">
        <f>IF($G745="","",IF(Sync!$U741="","0000",IF(AND(ISNUMBER(Sync!$U741),Sync!$U741&gt;=0,Sync!$U741&lt;1),RIGHT("00"&amp;HOUR(Sync!$U741),2)&amp;RIGHT("00"&amp;MINUTE(Sync!$U741),2),IFERROR(RIGHT("00"&amp;VALUE(LEFT(Sync!$U741,FIND(":",Sync!$U741)-1)),2)&amp;RIGHT("00"&amp;VALUE(MID(Sync!$U741,FIND(":",Sync!$U741)+1,2)),2),"0000"))))</f>
        <v/>
      </c>
    </row>
    <row r="746" spans="1:17" x14ac:dyDescent="0.2">
      <c r="A746" t="str">
        <f>IF(Sync!$T742="","",Sync!$T742)</f>
        <v/>
      </c>
      <c r="B746" t="str">
        <f t="shared" si="66"/>
        <v/>
      </c>
      <c r="C746" t="str">
        <f t="shared" si="67"/>
        <v/>
      </c>
      <c r="D746" t="str">
        <f t="shared" si="68"/>
        <v/>
      </c>
      <c r="E746" t="str">
        <f t="shared" si="69"/>
        <v/>
      </c>
      <c r="F746" t="str">
        <f t="shared" si="70"/>
        <v/>
      </c>
      <c r="G746" t="str">
        <f>IF(OR($E746="",$E746="نامعتبر",Sync!$X742=""),"",IF(AND(LEFT(UPPER(TRIM(Sync!$X742)),2)="SL",IFERROR(VLOOKUP(Sync!$W742,OpTbl,3,0),"")="فروش"),UPPER(TRIM(Sync!$X742)),""))</f>
        <v/>
      </c>
      <c r="H746" t="str">
        <f>IF($G746="","",IF(Sync!$W742="","",Sync!$W742))</f>
        <v/>
      </c>
      <c r="I746" t="str">
        <f>IF(OR($G746="",Sync!$Y742=""),"",Sync!$Y742)</f>
        <v/>
      </c>
      <c r="J746" t="str">
        <f>IF(OR($G746="",Sync!$Z742=""),"",Sync!$Z742)</f>
        <v/>
      </c>
      <c r="K746">
        <f>IF($G746="",0,IF(Sync!$AA742="",0,Sync!$AA742))</f>
        <v>0</v>
      </c>
      <c r="L746">
        <f>IF($G746="",0,IF(Sync!$AB742="",0,Sync!$AB742))</f>
        <v>0</v>
      </c>
      <c r="M746" t="str">
        <f t="shared" si="71"/>
        <v/>
      </c>
      <c r="N746">
        <f>IF($G746="",0,IF($H746="مرجوعی فروش",-1,1)*IF(Sync!$AC742="",0,Sync!$AC742))</f>
        <v>0</v>
      </c>
      <c r="O746" t="str">
        <f>IF(OR($G746="",Sync!$V742=""),"",Sync!$V742)</f>
        <v/>
      </c>
      <c r="P746" t="str">
        <f>IF(OR($G746="",Sync!$AD742=""),"",Sync!$AD742)</f>
        <v/>
      </c>
      <c r="Q746" t="str">
        <f>IF($G746="","",IF(Sync!$U742="","0000",IF(AND(ISNUMBER(Sync!$U742),Sync!$U742&gt;=0,Sync!$U742&lt;1),RIGHT("00"&amp;HOUR(Sync!$U742),2)&amp;RIGHT("00"&amp;MINUTE(Sync!$U742),2),IFERROR(RIGHT("00"&amp;VALUE(LEFT(Sync!$U742,FIND(":",Sync!$U742)-1)),2)&amp;RIGHT("00"&amp;VALUE(MID(Sync!$U742,FIND(":",Sync!$U742)+1,2)),2),"0000"))))</f>
        <v/>
      </c>
    </row>
    <row r="747" spans="1:17" x14ac:dyDescent="0.2">
      <c r="A747" t="str">
        <f>IF(Sync!$T743="","",Sync!$T743)</f>
        <v/>
      </c>
      <c r="B747" t="str">
        <f t="shared" si="66"/>
        <v/>
      </c>
      <c r="C747" t="str">
        <f t="shared" si="67"/>
        <v/>
      </c>
      <c r="D747" t="str">
        <f t="shared" si="68"/>
        <v/>
      </c>
      <c r="E747" t="str">
        <f t="shared" si="69"/>
        <v/>
      </c>
      <c r="F747" t="str">
        <f t="shared" si="70"/>
        <v/>
      </c>
      <c r="G747" t="str">
        <f>IF(OR($E747="",$E747="نامعتبر",Sync!$X743=""),"",IF(AND(LEFT(UPPER(TRIM(Sync!$X743)),2)="SL",IFERROR(VLOOKUP(Sync!$W743,OpTbl,3,0),"")="فروش"),UPPER(TRIM(Sync!$X743)),""))</f>
        <v/>
      </c>
      <c r="H747" t="str">
        <f>IF($G747="","",IF(Sync!$W743="","",Sync!$W743))</f>
        <v/>
      </c>
      <c r="I747" t="str">
        <f>IF(OR($G747="",Sync!$Y743=""),"",Sync!$Y743)</f>
        <v/>
      </c>
      <c r="J747" t="str">
        <f>IF(OR($G747="",Sync!$Z743=""),"",Sync!$Z743)</f>
        <v/>
      </c>
      <c r="K747">
        <f>IF($G747="",0,IF(Sync!$AA743="",0,Sync!$AA743))</f>
        <v>0</v>
      </c>
      <c r="L747">
        <f>IF($G747="",0,IF(Sync!$AB743="",0,Sync!$AB743))</f>
        <v>0</v>
      </c>
      <c r="M747" t="str">
        <f t="shared" si="71"/>
        <v/>
      </c>
      <c r="N747">
        <f>IF($G747="",0,IF($H747="مرجوعی فروش",-1,1)*IF(Sync!$AC743="",0,Sync!$AC743))</f>
        <v>0</v>
      </c>
      <c r="O747" t="str">
        <f>IF(OR($G747="",Sync!$V743=""),"",Sync!$V743)</f>
        <v/>
      </c>
      <c r="P747" t="str">
        <f>IF(OR($G747="",Sync!$AD743=""),"",Sync!$AD743)</f>
        <v/>
      </c>
      <c r="Q747" t="str">
        <f>IF($G747="","",IF(Sync!$U743="","0000",IF(AND(ISNUMBER(Sync!$U743),Sync!$U743&gt;=0,Sync!$U743&lt;1),RIGHT("00"&amp;HOUR(Sync!$U743),2)&amp;RIGHT("00"&amp;MINUTE(Sync!$U743),2),IFERROR(RIGHT("00"&amp;VALUE(LEFT(Sync!$U743,FIND(":",Sync!$U743)-1)),2)&amp;RIGHT("00"&amp;VALUE(MID(Sync!$U743,FIND(":",Sync!$U743)+1,2)),2),"0000"))))</f>
        <v/>
      </c>
    </row>
    <row r="748" spans="1:17" x14ac:dyDescent="0.2">
      <c r="A748" t="str">
        <f>IF(Sync!$T744="","",Sync!$T744)</f>
        <v/>
      </c>
      <c r="B748" t="str">
        <f t="shared" si="66"/>
        <v/>
      </c>
      <c r="C748" t="str">
        <f t="shared" si="67"/>
        <v/>
      </c>
      <c r="D748" t="str">
        <f t="shared" si="68"/>
        <v/>
      </c>
      <c r="E748" t="str">
        <f t="shared" si="69"/>
        <v/>
      </c>
      <c r="F748" t="str">
        <f t="shared" si="70"/>
        <v/>
      </c>
      <c r="G748" t="str">
        <f>IF(OR($E748="",$E748="نامعتبر",Sync!$X744=""),"",IF(AND(LEFT(UPPER(TRIM(Sync!$X744)),2)="SL",IFERROR(VLOOKUP(Sync!$W744,OpTbl,3,0),"")="فروش"),UPPER(TRIM(Sync!$X744)),""))</f>
        <v/>
      </c>
      <c r="H748" t="str">
        <f>IF($G748="","",IF(Sync!$W744="","",Sync!$W744))</f>
        <v/>
      </c>
      <c r="I748" t="str">
        <f>IF(OR($G748="",Sync!$Y744=""),"",Sync!$Y744)</f>
        <v/>
      </c>
      <c r="J748" t="str">
        <f>IF(OR($G748="",Sync!$Z744=""),"",Sync!$Z744)</f>
        <v/>
      </c>
      <c r="K748">
        <f>IF($G748="",0,IF(Sync!$AA744="",0,Sync!$AA744))</f>
        <v>0</v>
      </c>
      <c r="L748">
        <f>IF($G748="",0,IF(Sync!$AB744="",0,Sync!$AB744))</f>
        <v>0</v>
      </c>
      <c r="M748" t="str">
        <f t="shared" si="71"/>
        <v/>
      </c>
      <c r="N748">
        <f>IF($G748="",0,IF($H748="مرجوعی فروش",-1,1)*IF(Sync!$AC744="",0,Sync!$AC744))</f>
        <v>0</v>
      </c>
      <c r="O748" t="str">
        <f>IF(OR($G748="",Sync!$V744=""),"",Sync!$V744)</f>
        <v/>
      </c>
      <c r="P748" t="str">
        <f>IF(OR($G748="",Sync!$AD744=""),"",Sync!$AD744)</f>
        <v/>
      </c>
      <c r="Q748" t="str">
        <f>IF($G748="","",IF(Sync!$U744="","0000",IF(AND(ISNUMBER(Sync!$U744),Sync!$U744&gt;=0,Sync!$U744&lt;1),RIGHT("00"&amp;HOUR(Sync!$U744),2)&amp;RIGHT("00"&amp;MINUTE(Sync!$U744),2),IFERROR(RIGHT("00"&amp;VALUE(LEFT(Sync!$U744,FIND(":",Sync!$U744)-1)),2)&amp;RIGHT("00"&amp;VALUE(MID(Sync!$U744,FIND(":",Sync!$U744)+1,2)),2),"0000"))))</f>
        <v/>
      </c>
    </row>
    <row r="749" spans="1:17" x14ac:dyDescent="0.2">
      <c r="A749" t="str">
        <f>IF(Sync!$T745="","",Sync!$T745)</f>
        <v/>
      </c>
      <c r="B749" t="str">
        <f t="shared" si="66"/>
        <v/>
      </c>
      <c r="C749" t="str">
        <f t="shared" si="67"/>
        <v/>
      </c>
      <c r="D749" t="str">
        <f t="shared" si="68"/>
        <v/>
      </c>
      <c r="E749" t="str">
        <f t="shared" si="69"/>
        <v/>
      </c>
      <c r="F749" t="str">
        <f t="shared" si="70"/>
        <v/>
      </c>
      <c r="G749" t="str">
        <f>IF(OR($E749="",$E749="نامعتبر",Sync!$X745=""),"",IF(AND(LEFT(UPPER(TRIM(Sync!$X745)),2)="SL",IFERROR(VLOOKUP(Sync!$W745,OpTbl,3,0),"")="فروش"),UPPER(TRIM(Sync!$X745)),""))</f>
        <v/>
      </c>
      <c r="H749" t="str">
        <f>IF($G749="","",IF(Sync!$W745="","",Sync!$W745))</f>
        <v/>
      </c>
      <c r="I749" t="str">
        <f>IF(OR($G749="",Sync!$Y745=""),"",Sync!$Y745)</f>
        <v/>
      </c>
      <c r="J749" t="str">
        <f>IF(OR($G749="",Sync!$Z745=""),"",Sync!$Z745)</f>
        <v/>
      </c>
      <c r="K749">
        <f>IF($G749="",0,IF(Sync!$AA745="",0,Sync!$AA745))</f>
        <v>0</v>
      </c>
      <c r="L749">
        <f>IF($G749="",0,IF(Sync!$AB745="",0,Sync!$AB745))</f>
        <v>0</v>
      </c>
      <c r="M749" t="str">
        <f t="shared" si="71"/>
        <v/>
      </c>
      <c r="N749">
        <f>IF($G749="",0,IF($H749="مرجوعی فروش",-1,1)*IF(Sync!$AC745="",0,Sync!$AC745))</f>
        <v>0</v>
      </c>
      <c r="O749" t="str">
        <f>IF(OR($G749="",Sync!$V745=""),"",Sync!$V745)</f>
        <v/>
      </c>
      <c r="P749" t="str">
        <f>IF(OR($G749="",Sync!$AD745=""),"",Sync!$AD745)</f>
        <v/>
      </c>
      <c r="Q749" t="str">
        <f>IF($G749="","",IF(Sync!$U745="","0000",IF(AND(ISNUMBER(Sync!$U745),Sync!$U745&gt;=0,Sync!$U745&lt;1),RIGHT("00"&amp;HOUR(Sync!$U745),2)&amp;RIGHT("00"&amp;MINUTE(Sync!$U745),2),IFERROR(RIGHT("00"&amp;VALUE(LEFT(Sync!$U745,FIND(":",Sync!$U745)-1)),2)&amp;RIGHT("00"&amp;VALUE(MID(Sync!$U745,FIND(":",Sync!$U745)+1,2)),2),"0000"))))</f>
        <v/>
      </c>
    </row>
    <row r="750" spans="1:17" x14ac:dyDescent="0.2">
      <c r="A750" t="str">
        <f>IF(Sync!$T746="","",Sync!$T746)</f>
        <v/>
      </c>
      <c r="B750" t="str">
        <f t="shared" si="66"/>
        <v/>
      </c>
      <c r="C750" t="str">
        <f t="shared" si="67"/>
        <v/>
      </c>
      <c r="D750" t="str">
        <f t="shared" si="68"/>
        <v/>
      </c>
      <c r="E750" t="str">
        <f t="shared" si="69"/>
        <v/>
      </c>
      <c r="F750" t="str">
        <f t="shared" si="70"/>
        <v/>
      </c>
      <c r="G750" t="str">
        <f>IF(OR($E750="",$E750="نامعتبر",Sync!$X746=""),"",IF(AND(LEFT(UPPER(TRIM(Sync!$X746)),2)="SL",IFERROR(VLOOKUP(Sync!$W746,OpTbl,3,0),"")="فروش"),UPPER(TRIM(Sync!$X746)),""))</f>
        <v/>
      </c>
      <c r="H750" t="str">
        <f>IF($G750="","",IF(Sync!$W746="","",Sync!$W746))</f>
        <v/>
      </c>
      <c r="I750" t="str">
        <f>IF(OR($G750="",Sync!$Y746=""),"",Sync!$Y746)</f>
        <v/>
      </c>
      <c r="J750" t="str">
        <f>IF(OR($G750="",Sync!$Z746=""),"",Sync!$Z746)</f>
        <v/>
      </c>
      <c r="K750">
        <f>IF($G750="",0,IF(Sync!$AA746="",0,Sync!$AA746))</f>
        <v>0</v>
      </c>
      <c r="L750">
        <f>IF($G750="",0,IF(Sync!$AB746="",0,Sync!$AB746))</f>
        <v>0</v>
      </c>
      <c r="M750" t="str">
        <f t="shared" si="71"/>
        <v/>
      </c>
      <c r="N750">
        <f>IF($G750="",0,IF($H750="مرجوعی فروش",-1,1)*IF(Sync!$AC746="",0,Sync!$AC746))</f>
        <v>0</v>
      </c>
      <c r="O750" t="str">
        <f>IF(OR($G750="",Sync!$V746=""),"",Sync!$V746)</f>
        <v/>
      </c>
      <c r="P750" t="str">
        <f>IF(OR($G750="",Sync!$AD746=""),"",Sync!$AD746)</f>
        <v/>
      </c>
      <c r="Q750" t="str">
        <f>IF($G750="","",IF(Sync!$U746="","0000",IF(AND(ISNUMBER(Sync!$U746),Sync!$U746&gt;=0,Sync!$U746&lt;1),RIGHT("00"&amp;HOUR(Sync!$U746),2)&amp;RIGHT("00"&amp;MINUTE(Sync!$U746),2),IFERROR(RIGHT("00"&amp;VALUE(LEFT(Sync!$U746,FIND(":",Sync!$U746)-1)),2)&amp;RIGHT("00"&amp;VALUE(MID(Sync!$U746,FIND(":",Sync!$U746)+1,2)),2),"0000"))))</f>
        <v/>
      </c>
    </row>
    <row r="751" spans="1:17" x14ac:dyDescent="0.2">
      <c r="A751" t="str">
        <f>IF(Sync!$T747="","",Sync!$T747)</f>
        <v/>
      </c>
      <c r="B751" t="str">
        <f t="shared" si="66"/>
        <v/>
      </c>
      <c r="C751" t="str">
        <f t="shared" si="67"/>
        <v/>
      </c>
      <c r="D751" t="str">
        <f t="shared" si="68"/>
        <v/>
      </c>
      <c r="E751" t="str">
        <f t="shared" si="69"/>
        <v/>
      </c>
      <c r="F751" t="str">
        <f t="shared" si="70"/>
        <v/>
      </c>
      <c r="G751" t="str">
        <f>IF(OR($E751="",$E751="نامعتبر",Sync!$X747=""),"",IF(AND(LEFT(UPPER(TRIM(Sync!$X747)),2)="SL",IFERROR(VLOOKUP(Sync!$W747,OpTbl,3,0),"")="فروش"),UPPER(TRIM(Sync!$X747)),""))</f>
        <v/>
      </c>
      <c r="H751" t="str">
        <f>IF($G751="","",IF(Sync!$W747="","",Sync!$W747))</f>
        <v/>
      </c>
      <c r="I751" t="str">
        <f>IF(OR($G751="",Sync!$Y747=""),"",Sync!$Y747)</f>
        <v/>
      </c>
      <c r="J751" t="str">
        <f>IF(OR($G751="",Sync!$Z747=""),"",Sync!$Z747)</f>
        <v/>
      </c>
      <c r="K751">
        <f>IF($G751="",0,IF(Sync!$AA747="",0,Sync!$AA747))</f>
        <v>0</v>
      </c>
      <c r="L751">
        <f>IF($G751="",0,IF(Sync!$AB747="",0,Sync!$AB747))</f>
        <v>0</v>
      </c>
      <c r="M751" t="str">
        <f t="shared" si="71"/>
        <v/>
      </c>
      <c r="N751">
        <f>IF($G751="",0,IF($H751="مرجوعی فروش",-1,1)*IF(Sync!$AC747="",0,Sync!$AC747))</f>
        <v>0</v>
      </c>
      <c r="O751" t="str">
        <f>IF(OR($G751="",Sync!$V747=""),"",Sync!$V747)</f>
        <v/>
      </c>
      <c r="P751" t="str">
        <f>IF(OR($G751="",Sync!$AD747=""),"",Sync!$AD747)</f>
        <v/>
      </c>
      <c r="Q751" t="str">
        <f>IF($G751="","",IF(Sync!$U747="","0000",IF(AND(ISNUMBER(Sync!$U747),Sync!$U747&gt;=0,Sync!$U747&lt;1),RIGHT("00"&amp;HOUR(Sync!$U747),2)&amp;RIGHT("00"&amp;MINUTE(Sync!$U747),2),IFERROR(RIGHT("00"&amp;VALUE(LEFT(Sync!$U747,FIND(":",Sync!$U747)-1)),2)&amp;RIGHT("00"&amp;VALUE(MID(Sync!$U747,FIND(":",Sync!$U747)+1,2)),2),"0000"))))</f>
        <v/>
      </c>
    </row>
    <row r="752" spans="1:17" x14ac:dyDescent="0.2">
      <c r="A752" t="str">
        <f>IF(Sync!$T748="","",Sync!$T748)</f>
        <v/>
      </c>
      <c r="B752" t="str">
        <f t="shared" si="66"/>
        <v/>
      </c>
      <c r="C752" t="str">
        <f t="shared" si="67"/>
        <v/>
      </c>
      <c r="D752" t="str">
        <f t="shared" si="68"/>
        <v/>
      </c>
      <c r="E752" t="str">
        <f t="shared" si="69"/>
        <v/>
      </c>
      <c r="F752" t="str">
        <f t="shared" si="70"/>
        <v/>
      </c>
      <c r="G752" t="str">
        <f>IF(OR($E752="",$E752="نامعتبر",Sync!$X748=""),"",IF(AND(LEFT(UPPER(TRIM(Sync!$X748)),2)="SL",IFERROR(VLOOKUP(Sync!$W748,OpTbl,3,0),"")="فروش"),UPPER(TRIM(Sync!$X748)),""))</f>
        <v/>
      </c>
      <c r="H752" t="str">
        <f>IF($G752="","",IF(Sync!$W748="","",Sync!$W748))</f>
        <v/>
      </c>
      <c r="I752" t="str">
        <f>IF(OR($G752="",Sync!$Y748=""),"",Sync!$Y748)</f>
        <v/>
      </c>
      <c r="J752" t="str">
        <f>IF(OR($G752="",Sync!$Z748=""),"",Sync!$Z748)</f>
        <v/>
      </c>
      <c r="K752">
        <f>IF($G752="",0,IF(Sync!$AA748="",0,Sync!$AA748))</f>
        <v>0</v>
      </c>
      <c r="L752">
        <f>IF($G752="",0,IF(Sync!$AB748="",0,Sync!$AB748))</f>
        <v>0</v>
      </c>
      <c r="M752" t="str">
        <f t="shared" si="71"/>
        <v/>
      </c>
      <c r="N752">
        <f>IF($G752="",0,IF($H752="مرجوعی فروش",-1,1)*IF(Sync!$AC748="",0,Sync!$AC748))</f>
        <v>0</v>
      </c>
      <c r="O752" t="str">
        <f>IF(OR($G752="",Sync!$V748=""),"",Sync!$V748)</f>
        <v/>
      </c>
      <c r="P752" t="str">
        <f>IF(OR($G752="",Sync!$AD748=""),"",Sync!$AD748)</f>
        <v/>
      </c>
      <c r="Q752" t="str">
        <f>IF($G752="","",IF(Sync!$U748="","0000",IF(AND(ISNUMBER(Sync!$U748),Sync!$U748&gt;=0,Sync!$U748&lt;1),RIGHT("00"&amp;HOUR(Sync!$U748),2)&amp;RIGHT("00"&amp;MINUTE(Sync!$U748),2),IFERROR(RIGHT("00"&amp;VALUE(LEFT(Sync!$U748,FIND(":",Sync!$U748)-1)),2)&amp;RIGHT("00"&amp;VALUE(MID(Sync!$U748,FIND(":",Sync!$U748)+1,2)),2),"0000"))))</f>
        <v/>
      </c>
    </row>
    <row r="753" spans="1:17" x14ac:dyDescent="0.2">
      <c r="A753" t="str">
        <f>IF(Sync!$T749="","",Sync!$T749)</f>
        <v/>
      </c>
      <c r="B753" t="str">
        <f t="shared" si="66"/>
        <v/>
      </c>
      <c r="C753" t="str">
        <f t="shared" si="67"/>
        <v/>
      </c>
      <c r="D753" t="str">
        <f t="shared" si="68"/>
        <v/>
      </c>
      <c r="E753" t="str">
        <f t="shared" si="69"/>
        <v/>
      </c>
      <c r="F753" t="str">
        <f t="shared" si="70"/>
        <v/>
      </c>
      <c r="G753" t="str">
        <f>IF(OR($E753="",$E753="نامعتبر",Sync!$X749=""),"",IF(AND(LEFT(UPPER(TRIM(Sync!$X749)),2)="SL",IFERROR(VLOOKUP(Sync!$W749,OpTbl,3,0),"")="فروش"),UPPER(TRIM(Sync!$X749)),""))</f>
        <v/>
      </c>
      <c r="H753" t="str">
        <f>IF($G753="","",IF(Sync!$W749="","",Sync!$W749))</f>
        <v/>
      </c>
      <c r="I753" t="str">
        <f>IF(OR($G753="",Sync!$Y749=""),"",Sync!$Y749)</f>
        <v/>
      </c>
      <c r="J753" t="str">
        <f>IF(OR($G753="",Sync!$Z749=""),"",Sync!$Z749)</f>
        <v/>
      </c>
      <c r="K753">
        <f>IF($G753="",0,IF(Sync!$AA749="",0,Sync!$AA749))</f>
        <v>0</v>
      </c>
      <c r="L753">
        <f>IF($G753="",0,IF(Sync!$AB749="",0,Sync!$AB749))</f>
        <v>0</v>
      </c>
      <c r="M753" t="str">
        <f t="shared" si="71"/>
        <v/>
      </c>
      <c r="N753">
        <f>IF($G753="",0,IF($H753="مرجوعی فروش",-1,1)*IF(Sync!$AC749="",0,Sync!$AC749))</f>
        <v>0</v>
      </c>
      <c r="O753" t="str">
        <f>IF(OR($G753="",Sync!$V749=""),"",Sync!$V749)</f>
        <v/>
      </c>
      <c r="P753" t="str">
        <f>IF(OR($G753="",Sync!$AD749=""),"",Sync!$AD749)</f>
        <v/>
      </c>
      <c r="Q753" t="str">
        <f>IF($G753="","",IF(Sync!$U749="","0000",IF(AND(ISNUMBER(Sync!$U749),Sync!$U749&gt;=0,Sync!$U749&lt;1),RIGHT("00"&amp;HOUR(Sync!$U749),2)&amp;RIGHT("00"&amp;MINUTE(Sync!$U749),2),IFERROR(RIGHT("00"&amp;VALUE(LEFT(Sync!$U749,FIND(":",Sync!$U749)-1)),2)&amp;RIGHT("00"&amp;VALUE(MID(Sync!$U749,FIND(":",Sync!$U749)+1,2)),2),"0000"))))</f>
        <v/>
      </c>
    </row>
    <row r="754" spans="1:17" x14ac:dyDescent="0.2">
      <c r="A754" t="str">
        <f>IF(Sync!$T750="","",Sync!$T750)</f>
        <v/>
      </c>
      <c r="B754" t="str">
        <f t="shared" si="66"/>
        <v/>
      </c>
      <c r="C754" t="str">
        <f t="shared" si="67"/>
        <v/>
      </c>
      <c r="D754" t="str">
        <f t="shared" si="68"/>
        <v/>
      </c>
      <c r="E754" t="str">
        <f t="shared" si="69"/>
        <v/>
      </c>
      <c r="F754" t="str">
        <f t="shared" si="70"/>
        <v/>
      </c>
      <c r="G754" t="str">
        <f>IF(OR($E754="",$E754="نامعتبر",Sync!$X750=""),"",IF(AND(LEFT(UPPER(TRIM(Sync!$X750)),2)="SL",IFERROR(VLOOKUP(Sync!$W750,OpTbl,3,0),"")="فروش"),UPPER(TRIM(Sync!$X750)),""))</f>
        <v/>
      </c>
      <c r="H754" t="str">
        <f>IF($G754="","",IF(Sync!$W750="","",Sync!$W750))</f>
        <v/>
      </c>
      <c r="I754" t="str">
        <f>IF(OR($G754="",Sync!$Y750=""),"",Sync!$Y750)</f>
        <v/>
      </c>
      <c r="J754" t="str">
        <f>IF(OR($G754="",Sync!$Z750=""),"",Sync!$Z750)</f>
        <v/>
      </c>
      <c r="K754">
        <f>IF($G754="",0,IF(Sync!$AA750="",0,Sync!$AA750))</f>
        <v>0</v>
      </c>
      <c r="L754">
        <f>IF($G754="",0,IF(Sync!$AB750="",0,Sync!$AB750))</f>
        <v>0</v>
      </c>
      <c r="M754" t="str">
        <f t="shared" si="71"/>
        <v/>
      </c>
      <c r="N754">
        <f>IF($G754="",0,IF($H754="مرجوعی فروش",-1,1)*IF(Sync!$AC750="",0,Sync!$AC750))</f>
        <v>0</v>
      </c>
      <c r="O754" t="str">
        <f>IF(OR($G754="",Sync!$V750=""),"",Sync!$V750)</f>
        <v/>
      </c>
      <c r="P754" t="str">
        <f>IF(OR($G754="",Sync!$AD750=""),"",Sync!$AD750)</f>
        <v/>
      </c>
      <c r="Q754" t="str">
        <f>IF($G754="","",IF(Sync!$U750="","0000",IF(AND(ISNUMBER(Sync!$U750),Sync!$U750&gt;=0,Sync!$U750&lt;1),RIGHT("00"&amp;HOUR(Sync!$U750),2)&amp;RIGHT("00"&amp;MINUTE(Sync!$U750),2),IFERROR(RIGHT("00"&amp;VALUE(LEFT(Sync!$U750,FIND(":",Sync!$U750)-1)),2)&amp;RIGHT("00"&amp;VALUE(MID(Sync!$U750,FIND(":",Sync!$U750)+1,2)),2),"0000"))))</f>
        <v/>
      </c>
    </row>
    <row r="755" spans="1:17" x14ac:dyDescent="0.2">
      <c r="A755" t="str">
        <f>IF(Sync!$T751="","",Sync!$T751)</f>
        <v/>
      </c>
      <c r="B755" t="str">
        <f t="shared" si="66"/>
        <v/>
      </c>
      <c r="C755" t="str">
        <f t="shared" si="67"/>
        <v/>
      </c>
      <c r="D755" t="str">
        <f t="shared" si="68"/>
        <v/>
      </c>
      <c r="E755" t="str">
        <f t="shared" si="69"/>
        <v/>
      </c>
      <c r="F755" t="str">
        <f t="shared" si="70"/>
        <v/>
      </c>
      <c r="G755" t="str">
        <f>IF(OR($E755="",$E755="نامعتبر",Sync!$X751=""),"",IF(AND(LEFT(UPPER(TRIM(Sync!$X751)),2)="SL",IFERROR(VLOOKUP(Sync!$W751,OpTbl,3,0),"")="فروش"),UPPER(TRIM(Sync!$X751)),""))</f>
        <v/>
      </c>
      <c r="H755" t="str">
        <f>IF($G755="","",IF(Sync!$W751="","",Sync!$W751))</f>
        <v/>
      </c>
      <c r="I755" t="str">
        <f>IF(OR($G755="",Sync!$Y751=""),"",Sync!$Y751)</f>
        <v/>
      </c>
      <c r="J755" t="str">
        <f>IF(OR($G755="",Sync!$Z751=""),"",Sync!$Z751)</f>
        <v/>
      </c>
      <c r="K755">
        <f>IF($G755="",0,IF(Sync!$AA751="",0,Sync!$AA751))</f>
        <v>0</v>
      </c>
      <c r="L755">
        <f>IF($G755="",0,IF(Sync!$AB751="",0,Sync!$AB751))</f>
        <v>0</v>
      </c>
      <c r="M755" t="str">
        <f t="shared" si="71"/>
        <v/>
      </c>
      <c r="N755">
        <f>IF($G755="",0,IF($H755="مرجوعی فروش",-1,1)*IF(Sync!$AC751="",0,Sync!$AC751))</f>
        <v>0</v>
      </c>
      <c r="O755" t="str">
        <f>IF(OR($G755="",Sync!$V751=""),"",Sync!$V751)</f>
        <v/>
      </c>
      <c r="P755" t="str">
        <f>IF(OR($G755="",Sync!$AD751=""),"",Sync!$AD751)</f>
        <v/>
      </c>
      <c r="Q755" t="str">
        <f>IF($G755="","",IF(Sync!$U751="","0000",IF(AND(ISNUMBER(Sync!$U751),Sync!$U751&gt;=0,Sync!$U751&lt;1),RIGHT("00"&amp;HOUR(Sync!$U751),2)&amp;RIGHT("00"&amp;MINUTE(Sync!$U751),2),IFERROR(RIGHT("00"&amp;VALUE(LEFT(Sync!$U751,FIND(":",Sync!$U751)-1)),2)&amp;RIGHT("00"&amp;VALUE(MID(Sync!$U751,FIND(":",Sync!$U751)+1,2)),2),"0000"))))</f>
        <v/>
      </c>
    </row>
    <row r="756" spans="1:17" x14ac:dyDescent="0.2">
      <c r="A756" t="str">
        <f>IF(Sync!$T752="","",Sync!$T752)</f>
        <v/>
      </c>
      <c r="B756" t="str">
        <f t="shared" si="66"/>
        <v/>
      </c>
      <c r="C756" t="str">
        <f t="shared" si="67"/>
        <v/>
      </c>
      <c r="D756" t="str">
        <f t="shared" si="68"/>
        <v/>
      </c>
      <c r="E756" t="str">
        <f t="shared" si="69"/>
        <v/>
      </c>
      <c r="F756" t="str">
        <f t="shared" si="70"/>
        <v/>
      </c>
      <c r="G756" t="str">
        <f>IF(OR($E756="",$E756="نامعتبر",Sync!$X752=""),"",IF(AND(LEFT(UPPER(TRIM(Sync!$X752)),2)="SL",IFERROR(VLOOKUP(Sync!$W752,OpTbl,3,0),"")="فروش"),UPPER(TRIM(Sync!$X752)),""))</f>
        <v/>
      </c>
      <c r="H756" t="str">
        <f>IF($G756="","",IF(Sync!$W752="","",Sync!$W752))</f>
        <v/>
      </c>
      <c r="I756" t="str">
        <f>IF(OR($G756="",Sync!$Y752=""),"",Sync!$Y752)</f>
        <v/>
      </c>
      <c r="J756" t="str">
        <f>IF(OR($G756="",Sync!$Z752=""),"",Sync!$Z752)</f>
        <v/>
      </c>
      <c r="K756">
        <f>IF($G756="",0,IF(Sync!$AA752="",0,Sync!$AA752))</f>
        <v>0</v>
      </c>
      <c r="L756">
        <f>IF($G756="",0,IF(Sync!$AB752="",0,Sync!$AB752))</f>
        <v>0</v>
      </c>
      <c r="M756" t="str">
        <f t="shared" si="71"/>
        <v/>
      </c>
      <c r="N756">
        <f>IF($G756="",0,IF($H756="مرجوعی فروش",-1,1)*IF(Sync!$AC752="",0,Sync!$AC752))</f>
        <v>0</v>
      </c>
      <c r="O756" t="str">
        <f>IF(OR($G756="",Sync!$V752=""),"",Sync!$V752)</f>
        <v/>
      </c>
      <c r="P756" t="str">
        <f>IF(OR($G756="",Sync!$AD752=""),"",Sync!$AD752)</f>
        <v/>
      </c>
      <c r="Q756" t="str">
        <f>IF($G756="","",IF(Sync!$U752="","0000",IF(AND(ISNUMBER(Sync!$U752),Sync!$U752&gt;=0,Sync!$U752&lt;1),RIGHT("00"&amp;HOUR(Sync!$U752),2)&amp;RIGHT("00"&amp;MINUTE(Sync!$U752),2),IFERROR(RIGHT("00"&amp;VALUE(LEFT(Sync!$U752,FIND(":",Sync!$U752)-1)),2)&amp;RIGHT("00"&amp;VALUE(MID(Sync!$U752,FIND(":",Sync!$U752)+1,2)),2),"0000"))))</f>
        <v/>
      </c>
    </row>
    <row r="757" spans="1:17" x14ac:dyDescent="0.2">
      <c r="A757" t="str">
        <f>IF(Sync!$T753="","",Sync!$T753)</f>
        <v/>
      </c>
      <c r="B757" t="str">
        <f t="shared" si="66"/>
        <v/>
      </c>
      <c r="C757" t="str">
        <f t="shared" si="67"/>
        <v/>
      </c>
      <c r="D757" t="str">
        <f t="shared" si="68"/>
        <v/>
      </c>
      <c r="E757" t="str">
        <f t="shared" si="69"/>
        <v/>
      </c>
      <c r="F757" t="str">
        <f t="shared" si="70"/>
        <v/>
      </c>
      <c r="G757" t="str">
        <f>IF(OR($E757="",$E757="نامعتبر",Sync!$X753=""),"",IF(AND(LEFT(UPPER(TRIM(Sync!$X753)),2)="SL",IFERROR(VLOOKUP(Sync!$W753,OpTbl,3,0),"")="فروش"),UPPER(TRIM(Sync!$X753)),""))</f>
        <v/>
      </c>
      <c r="H757" t="str">
        <f>IF($G757="","",IF(Sync!$W753="","",Sync!$W753))</f>
        <v/>
      </c>
      <c r="I757" t="str">
        <f>IF(OR($G757="",Sync!$Y753=""),"",Sync!$Y753)</f>
        <v/>
      </c>
      <c r="J757" t="str">
        <f>IF(OR($G757="",Sync!$Z753=""),"",Sync!$Z753)</f>
        <v/>
      </c>
      <c r="K757">
        <f>IF($G757="",0,IF(Sync!$AA753="",0,Sync!$AA753))</f>
        <v>0</v>
      </c>
      <c r="L757">
        <f>IF($G757="",0,IF(Sync!$AB753="",0,Sync!$AB753))</f>
        <v>0</v>
      </c>
      <c r="M757" t="str">
        <f t="shared" si="71"/>
        <v/>
      </c>
      <c r="N757">
        <f>IF($G757="",0,IF($H757="مرجوعی فروش",-1,1)*IF(Sync!$AC753="",0,Sync!$AC753))</f>
        <v>0</v>
      </c>
      <c r="O757" t="str">
        <f>IF(OR($G757="",Sync!$V753=""),"",Sync!$V753)</f>
        <v/>
      </c>
      <c r="P757" t="str">
        <f>IF(OR($G757="",Sync!$AD753=""),"",Sync!$AD753)</f>
        <v/>
      </c>
      <c r="Q757" t="str">
        <f>IF($G757="","",IF(Sync!$U753="","0000",IF(AND(ISNUMBER(Sync!$U753),Sync!$U753&gt;=0,Sync!$U753&lt;1),RIGHT("00"&amp;HOUR(Sync!$U753),2)&amp;RIGHT("00"&amp;MINUTE(Sync!$U753),2),IFERROR(RIGHT("00"&amp;VALUE(LEFT(Sync!$U753,FIND(":",Sync!$U753)-1)),2)&amp;RIGHT("00"&amp;VALUE(MID(Sync!$U753,FIND(":",Sync!$U753)+1,2)),2),"0000"))))</f>
        <v/>
      </c>
    </row>
    <row r="758" spans="1:17" x14ac:dyDescent="0.2">
      <c r="A758" t="str">
        <f>IF(Sync!$T754="","",Sync!$T754)</f>
        <v/>
      </c>
      <c r="B758" t="str">
        <f t="shared" si="66"/>
        <v/>
      </c>
      <c r="C758" t="str">
        <f t="shared" si="67"/>
        <v/>
      </c>
      <c r="D758" t="str">
        <f t="shared" si="68"/>
        <v/>
      </c>
      <c r="E758" t="str">
        <f t="shared" si="69"/>
        <v/>
      </c>
      <c r="F758" t="str">
        <f t="shared" si="70"/>
        <v/>
      </c>
      <c r="G758" t="str">
        <f>IF(OR($E758="",$E758="نامعتبر",Sync!$X754=""),"",IF(AND(LEFT(UPPER(TRIM(Sync!$X754)),2)="SL",IFERROR(VLOOKUP(Sync!$W754,OpTbl,3,0),"")="فروش"),UPPER(TRIM(Sync!$X754)),""))</f>
        <v/>
      </c>
      <c r="H758" t="str">
        <f>IF($G758="","",IF(Sync!$W754="","",Sync!$W754))</f>
        <v/>
      </c>
      <c r="I758" t="str">
        <f>IF(OR($G758="",Sync!$Y754=""),"",Sync!$Y754)</f>
        <v/>
      </c>
      <c r="J758" t="str">
        <f>IF(OR($G758="",Sync!$Z754=""),"",Sync!$Z754)</f>
        <v/>
      </c>
      <c r="K758">
        <f>IF($G758="",0,IF(Sync!$AA754="",0,Sync!$AA754))</f>
        <v>0</v>
      </c>
      <c r="L758">
        <f>IF($G758="",0,IF(Sync!$AB754="",0,Sync!$AB754))</f>
        <v>0</v>
      </c>
      <c r="M758" t="str">
        <f t="shared" si="71"/>
        <v/>
      </c>
      <c r="N758">
        <f>IF($G758="",0,IF($H758="مرجوعی فروش",-1,1)*IF(Sync!$AC754="",0,Sync!$AC754))</f>
        <v>0</v>
      </c>
      <c r="O758" t="str">
        <f>IF(OR($G758="",Sync!$V754=""),"",Sync!$V754)</f>
        <v/>
      </c>
      <c r="P758" t="str">
        <f>IF(OR($G758="",Sync!$AD754=""),"",Sync!$AD754)</f>
        <v/>
      </c>
      <c r="Q758" t="str">
        <f>IF($G758="","",IF(Sync!$U754="","0000",IF(AND(ISNUMBER(Sync!$U754),Sync!$U754&gt;=0,Sync!$U754&lt;1),RIGHT("00"&amp;HOUR(Sync!$U754),2)&amp;RIGHT("00"&amp;MINUTE(Sync!$U754),2),IFERROR(RIGHT("00"&amp;VALUE(LEFT(Sync!$U754,FIND(":",Sync!$U754)-1)),2)&amp;RIGHT("00"&amp;VALUE(MID(Sync!$U754,FIND(":",Sync!$U754)+1,2)),2),"0000"))))</f>
        <v/>
      </c>
    </row>
    <row r="759" spans="1:17" x14ac:dyDescent="0.2">
      <c r="A759" t="str">
        <f>IF(Sync!$T755="","",Sync!$T755)</f>
        <v/>
      </c>
      <c r="B759" t="str">
        <f t="shared" si="66"/>
        <v/>
      </c>
      <c r="C759" t="str">
        <f t="shared" si="67"/>
        <v/>
      </c>
      <c r="D759" t="str">
        <f t="shared" si="68"/>
        <v/>
      </c>
      <c r="E759" t="str">
        <f t="shared" si="69"/>
        <v/>
      </c>
      <c r="F759" t="str">
        <f t="shared" si="70"/>
        <v/>
      </c>
      <c r="G759" t="str">
        <f>IF(OR($E759="",$E759="نامعتبر",Sync!$X755=""),"",IF(AND(LEFT(UPPER(TRIM(Sync!$X755)),2)="SL",IFERROR(VLOOKUP(Sync!$W755,OpTbl,3,0),"")="فروش"),UPPER(TRIM(Sync!$X755)),""))</f>
        <v/>
      </c>
      <c r="H759" t="str">
        <f>IF($G759="","",IF(Sync!$W755="","",Sync!$W755))</f>
        <v/>
      </c>
      <c r="I759" t="str">
        <f>IF(OR($G759="",Sync!$Y755=""),"",Sync!$Y755)</f>
        <v/>
      </c>
      <c r="J759" t="str">
        <f>IF(OR($G759="",Sync!$Z755=""),"",Sync!$Z755)</f>
        <v/>
      </c>
      <c r="K759">
        <f>IF($G759="",0,IF(Sync!$AA755="",0,Sync!$AA755))</f>
        <v>0</v>
      </c>
      <c r="L759">
        <f>IF($G759="",0,IF(Sync!$AB755="",0,Sync!$AB755))</f>
        <v>0</v>
      </c>
      <c r="M759" t="str">
        <f t="shared" si="71"/>
        <v/>
      </c>
      <c r="N759">
        <f>IF($G759="",0,IF($H759="مرجوعی فروش",-1,1)*IF(Sync!$AC755="",0,Sync!$AC755))</f>
        <v>0</v>
      </c>
      <c r="O759" t="str">
        <f>IF(OR($G759="",Sync!$V755=""),"",Sync!$V755)</f>
        <v/>
      </c>
      <c r="P759" t="str">
        <f>IF(OR($G759="",Sync!$AD755=""),"",Sync!$AD755)</f>
        <v/>
      </c>
      <c r="Q759" t="str">
        <f>IF($G759="","",IF(Sync!$U755="","0000",IF(AND(ISNUMBER(Sync!$U755),Sync!$U755&gt;=0,Sync!$U755&lt;1),RIGHT("00"&amp;HOUR(Sync!$U755),2)&amp;RIGHT("00"&amp;MINUTE(Sync!$U755),2),IFERROR(RIGHT("00"&amp;VALUE(LEFT(Sync!$U755,FIND(":",Sync!$U755)-1)),2)&amp;RIGHT("00"&amp;VALUE(MID(Sync!$U755,FIND(":",Sync!$U755)+1,2)),2),"0000"))))</f>
        <v/>
      </c>
    </row>
    <row r="760" spans="1:17" x14ac:dyDescent="0.2">
      <c r="A760" t="str">
        <f>IF(Sync!$T756="","",Sync!$T756)</f>
        <v/>
      </c>
      <c r="B760" t="str">
        <f t="shared" si="66"/>
        <v/>
      </c>
      <c r="C760" t="str">
        <f t="shared" si="67"/>
        <v/>
      </c>
      <c r="D760" t="str">
        <f t="shared" si="68"/>
        <v/>
      </c>
      <c r="E760" t="str">
        <f t="shared" si="69"/>
        <v/>
      </c>
      <c r="F760" t="str">
        <f t="shared" si="70"/>
        <v/>
      </c>
      <c r="G760" t="str">
        <f>IF(OR($E760="",$E760="نامعتبر",Sync!$X756=""),"",IF(AND(LEFT(UPPER(TRIM(Sync!$X756)),2)="SL",IFERROR(VLOOKUP(Sync!$W756,OpTbl,3,0),"")="فروش"),UPPER(TRIM(Sync!$X756)),""))</f>
        <v/>
      </c>
      <c r="H760" t="str">
        <f>IF($G760="","",IF(Sync!$W756="","",Sync!$W756))</f>
        <v/>
      </c>
      <c r="I760" t="str">
        <f>IF(OR($G760="",Sync!$Y756=""),"",Sync!$Y756)</f>
        <v/>
      </c>
      <c r="J760" t="str">
        <f>IF(OR($G760="",Sync!$Z756=""),"",Sync!$Z756)</f>
        <v/>
      </c>
      <c r="K760">
        <f>IF($G760="",0,IF(Sync!$AA756="",0,Sync!$AA756))</f>
        <v>0</v>
      </c>
      <c r="L760">
        <f>IF($G760="",0,IF(Sync!$AB756="",0,Sync!$AB756))</f>
        <v>0</v>
      </c>
      <c r="M760" t="str">
        <f t="shared" si="71"/>
        <v/>
      </c>
      <c r="N760">
        <f>IF($G760="",0,IF($H760="مرجوعی فروش",-1,1)*IF(Sync!$AC756="",0,Sync!$AC756))</f>
        <v>0</v>
      </c>
      <c r="O760" t="str">
        <f>IF(OR($G760="",Sync!$V756=""),"",Sync!$V756)</f>
        <v/>
      </c>
      <c r="P760" t="str">
        <f>IF(OR($G760="",Sync!$AD756=""),"",Sync!$AD756)</f>
        <v/>
      </c>
      <c r="Q760" t="str">
        <f>IF($G760="","",IF(Sync!$U756="","0000",IF(AND(ISNUMBER(Sync!$U756),Sync!$U756&gt;=0,Sync!$U756&lt;1),RIGHT("00"&amp;HOUR(Sync!$U756),2)&amp;RIGHT("00"&amp;MINUTE(Sync!$U756),2),IFERROR(RIGHT("00"&amp;VALUE(LEFT(Sync!$U756,FIND(":",Sync!$U756)-1)),2)&amp;RIGHT("00"&amp;VALUE(MID(Sync!$U756,FIND(":",Sync!$U756)+1,2)),2),"0000"))))</f>
        <v/>
      </c>
    </row>
    <row r="761" spans="1:17" x14ac:dyDescent="0.2">
      <c r="A761" t="str">
        <f>IF(Sync!$T757="","",Sync!$T757)</f>
        <v/>
      </c>
      <c r="B761" t="str">
        <f t="shared" si="66"/>
        <v/>
      </c>
      <c r="C761" t="str">
        <f t="shared" si="67"/>
        <v/>
      </c>
      <c r="D761" t="str">
        <f t="shared" si="68"/>
        <v/>
      </c>
      <c r="E761" t="str">
        <f t="shared" si="69"/>
        <v/>
      </c>
      <c r="F761" t="str">
        <f t="shared" si="70"/>
        <v/>
      </c>
      <c r="G761" t="str">
        <f>IF(OR($E761="",$E761="نامعتبر",Sync!$X757=""),"",IF(AND(LEFT(UPPER(TRIM(Sync!$X757)),2)="SL",IFERROR(VLOOKUP(Sync!$W757,OpTbl,3,0),"")="فروش"),UPPER(TRIM(Sync!$X757)),""))</f>
        <v/>
      </c>
      <c r="H761" t="str">
        <f>IF($G761="","",IF(Sync!$W757="","",Sync!$W757))</f>
        <v/>
      </c>
      <c r="I761" t="str">
        <f>IF(OR($G761="",Sync!$Y757=""),"",Sync!$Y757)</f>
        <v/>
      </c>
      <c r="J761" t="str">
        <f>IF(OR($G761="",Sync!$Z757=""),"",Sync!$Z757)</f>
        <v/>
      </c>
      <c r="K761">
        <f>IF($G761="",0,IF(Sync!$AA757="",0,Sync!$AA757))</f>
        <v>0</v>
      </c>
      <c r="L761">
        <f>IF($G761="",0,IF(Sync!$AB757="",0,Sync!$AB757))</f>
        <v>0</v>
      </c>
      <c r="M761" t="str">
        <f t="shared" si="71"/>
        <v/>
      </c>
      <c r="N761">
        <f>IF($G761="",0,IF($H761="مرجوعی فروش",-1,1)*IF(Sync!$AC757="",0,Sync!$AC757))</f>
        <v>0</v>
      </c>
      <c r="O761" t="str">
        <f>IF(OR($G761="",Sync!$V757=""),"",Sync!$V757)</f>
        <v/>
      </c>
      <c r="P761" t="str">
        <f>IF(OR($G761="",Sync!$AD757=""),"",Sync!$AD757)</f>
        <v/>
      </c>
      <c r="Q761" t="str">
        <f>IF($G761="","",IF(Sync!$U757="","0000",IF(AND(ISNUMBER(Sync!$U757),Sync!$U757&gt;=0,Sync!$U757&lt;1),RIGHT("00"&amp;HOUR(Sync!$U757),2)&amp;RIGHT("00"&amp;MINUTE(Sync!$U757),2),IFERROR(RIGHT("00"&amp;VALUE(LEFT(Sync!$U757,FIND(":",Sync!$U757)-1)),2)&amp;RIGHT("00"&amp;VALUE(MID(Sync!$U757,FIND(":",Sync!$U757)+1,2)),2),"0000"))))</f>
        <v/>
      </c>
    </row>
    <row r="762" spans="1:17" x14ac:dyDescent="0.2">
      <c r="A762" t="str">
        <f>IF(Sync!$T758="","",Sync!$T758)</f>
        <v/>
      </c>
      <c r="B762" t="str">
        <f t="shared" si="66"/>
        <v/>
      </c>
      <c r="C762" t="str">
        <f t="shared" si="67"/>
        <v/>
      </c>
      <c r="D762" t="str">
        <f t="shared" si="68"/>
        <v/>
      </c>
      <c r="E762" t="str">
        <f t="shared" si="69"/>
        <v/>
      </c>
      <c r="F762" t="str">
        <f t="shared" si="70"/>
        <v/>
      </c>
      <c r="G762" t="str">
        <f>IF(OR($E762="",$E762="نامعتبر",Sync!$X758=""),"",IF(AND(LEFT(UPPER(TRIM(Sync!$X758)),2)="SL",IFERROR(VLOOKUP(Sync!$W758,OpTbl,3,0),"")="فروش"),UPPER(TRIM(Sync!$X758)),""))</f>
        <v/>
      </c>
      <c r="H762" t="str">
        <f>IF($G762="","",IF(Sync!$W758="","",Sync!$W758))</f>
        <v/>
      </c>
      <c r="I762" t="str">
        <f>IF(OR($G762="",Sync!$Y758=""),"",Sync!$Y758)</f>
        <v/>
      </c>
      <c r="J762" t="str">
        <f>IF(OR($G762="",Sync!$Z758=""),"",Sync!$Z758)</f>
        <v/>
      </c>
      <c r="K762">
        <f>IF($G762="",0,IF(Sync!$AA758="",0,Sync!$AA758))</f>
        <v>0</v>
      </c>
      <c r="L762">
        <f>IF($G762="",0,IF(Sync!$AB758="",0,Sync!$AB758))</f>
        <v>0</v>
      </c>
      <c r="M762" t="str">
        <f t="shared" si="71"/>
        <v/>
      </c>
      <c r="N762">
        <f>IF($G762="",0,IF($H762="مرجوعی فروش",-1,1)*IF(Sync!$AC758="",0,Sync!$AC758))</f>
        <v>0</v>
      </c>
      <c r="O762" t="str">
        <f>IF(OR($G762="",Sync!$V758=""),"",Sync!$V758)</f>
        <v/>
      </c>
      <c r="P762" t="str">
        <f>IF(OR($G762="",Sync!$AD758=""),"",Sync!$AD758)</f>
        <v/>
      </c>
      <c r="Q762" t="str">
        <f>IF($G762="","",IF(Sync!$U758="","0000",IF(AND(ISNUMBER(Sync!$U758),Sync!$U758&gt;=0,Sync!$U758&lt;1),RIGHT("00"&amp;HOUR(Sync!$U758),2)&amp;RIGHT("00"&amp;MINUTE(Sync!$U758),2),IFERROR(RIGHT("00"&amp;VALUE(LEFT(Sync!$U758,FIND(":",Sync!$U758)-1)),2)&amp;RIGHT("00"&amp;VALUE(MID(Sync!$U758,FIND(":",Sync!$U758)+1,2)),2),"0000"))))</f>
        <v/>
      </c>
    </row>
    <row r="763" spans="1:17" x14ac:dyDescent="0.2">
      <c r="A763" t="str">
        <f>IF(Sync!$T759="","",Sync!$T759)</f>
        <v/>
      </c>
      <c r="B763" t="str">
        <f t="shared" si="66"/>
        <v/>
      </c>
      <c r="C763" t="str">
        <f t="shared" si="67"/>
        <v/>
      </c>
      <c r="D763" t="str">
        <f t="shared" si="68"/>
        <v/>
      </c>
      <c r="E763" t="str">
        <f t="shared" si="69"/>
        <v/>
      </c>
      <c r="F763" t="str">
        <f t="shared" si="70"/>
        <v/>
      </c>
      <c r="G763" t="str">
        <f>IF(OR($E763="",$E763="نامعتبر",Sync!$X759=""),"",IF(AND(LEFT(UPPER(TRIM(Sync!$X759)),2)="SL",IFERROR(VLOOKUP(Sync!$W759,OpTbl,3,0),"")="فروش"),UPPER(TRIM(Sync!$X759)),""))</f>
        <v/>
      </c>
      <c r="H763" t="str">
        <f>IF($G763="","",IF(Sync!$W759="","",Sync!$W759))</f>
        <v/>
      </c>
      <c r="I763" t="str">
        <f>IF(OR($G763="",Sync!$Y759=""),"",Sync!$Y759)</f>
        <v/>
      </c>
      <c r="J763" t="str">
        <f>IF(OR($G763="",Sync!$Z759=""),"",Sync!$Z759)</f>
        <v/>
      </c>
      <c r="K763">
        <f>IF($G763="",0,IF(Sync!$AA759="",0,Sync!$AA759))</f>
        <v>0</v>
      </c>
      <c r="L763">
        <f>IF($G763="",0,IF(Sync!$AB759="",0,Sync!$AB759))</f>
        <v>0</v>
      </c>
      <c r="M763" t="str">
        <f t="shared" si="71"/>
        <v/>
      </c>
      <c r="N763">
        <f>IF($G763="",0,IF($H763="مرجوعی فروش",-1,1)*IF(Sync!$AC759="",0,Sync!$AC759))</f>
        <v>0</v>
      </c>
      <c r="O763" t="str">
        <f>IF(OR($G763="",Sync!$V759=""),"",Sync!$V759)</f>
        <v/>
      </c>
      <c r="P763" t="str">
        <f>IF(OR($G763="",Sync!$AD759=""),"",Sync!$AD759)</f>
        <v/>
      </c>
      <c r="Q763" t="str">
        <f>IF($G763="","",IF(Sync!$U759="","0000",IF(AND(ISNUMBER(Sync!$U759),Sync!$U759&gt;=0,Sync!$U759&lt;1),RIGHT("00"&amp;HOUR(Sync!$U759),2)&amp;RIGHT("00"&amp;MINUTE(Sync!$U759),2),IFERROR(RIGHT("00"&amp;VALUE(LEFT(Sync!$U759,FIND(":",Sync!$U759)-1)),2)&amp;RIGHT("00"&amp;VALUE(MID(Sync!$U759,FIND(":",Sync!$U759)+1,2)),2),"0000"))))</f>
        <v/>
      </c>
    </row>
    <row r="764" spans="1:17" x14ac:dyDescent="0.2">
      <c r="A764" t="str">
        <f>IF(Sync!$T760="","",Sync!$T760)</f>
        <v/>
      </c>
      <c r="B764" t="str">
        <f t="shared" si="66"/>
        <v/>
      </c>
      <c r="C764" t="str">
        <f t="shared" si="67"/>
        <v/>
      </c>
      <c r="D764" t="str">
        <f t="shared" si="68"/>
        <v/>
      </c>
      <c r="E764" t="str">
        <f t="shared" si="69"/>
        <v/>
      </c>
      <c r="F764" t="str">
        <f t="shared" si="70"/>
        <v/>
      </c>
      <c r="G764" t="str">
        <f>IF(OR($E764="",$E764="نامعتبر",Sync!$X760=""),"",IF(AND(LEFT(UPPER(TRIM(Sync!$X760)),2)="SL",IFERROR(VLOOKUP(Sync!$W760,OpTbl,3,0),"")="فروش"),UPPER(TRIM(Sync!$X760)),""))</f>
        <v/>
      </c>
      <c r="H764" t="str">
        <f>IF($G764="","",IF(Sync!$W760="","",Sync!$W760))</f>
        <v/>
      </c>
      <c r="I764" t="str">
        <f>IF(OR($G764="",Sync!$Y760=""),"",Sync!$Y760)</f>
        <v/>
      </c>
      <c r="J764" t="str">
        <f>IF(OR($G764="",Sync!$Z760=""),"",Sync!$Z760)</f>
        <v/>
      </c>
      <c r="K764">
        <f>IF($G764="",0,IF(Sync!$AA760="",0,Sync!$AA760))</f>
        <v>0</v>
      </c>
      <c r="L764">
        <f>IF($G764="",0,IF(Sync!$AB760="",0,Sync!$AB760))</f>
        <v>0</v>
      </c>
      <c r="M764" t="str">
        <f t="shared" si="71"/>
        <v/>
      </c>
      <c r="N764">
        <f>IF($G764="",0,IF($H764="مرجوعی فروش",-1,1)*IF(Sync!$AC760="",0,Sync!$AC760))</f>
        <v>0</v>
      </c>
      <c r="O764" t="str">
        <f>IF(OR($G764="",Sync!$V760=""),"",Sync!$V760)</f>
        <v/>
      </c>
      <c r="P764" t="str">
        <f>IF(OR($G764="",Sync!$AD760=""),"",Sync!$AD760)</f>
        <v/>
      </c>
      <c r="Q764" t="str">
        <f>IF($G764="","",IF(Sync!$U760="","0000",IF(AND(ISNUMBER(Sync!$U760),Sync!$U760&gt;=0,Sync!$U760&lt;1),RIGHT("00"&amp;HOUR(Sync!$U760),2)&amp;RIGHT("00"&amp;MINUTE(Sync!$U760),2),IFERROR(RIGHT("00"&amp;VALUE(LEFT(Sync!$U760,FIND(":",Sync!$U760)-1)),2)&amp;RIGHT("00"&amp;VALUE(MID(Sync!$U760,FIND(":",Sync!$U760)+1,2)),2),"0000"))))</f>
        <v/>
      </c>
    </row>
    <row r="765" spans="1:17" x14ac:dyDescent="0.2">
      <c r="A765" t="str">
        <f>IF(Sync!$T761="","",Sync!$T761)</f>
        <v/>
      </c>
      <c r="B765" t="str">
        <f t="shared" si="66"/>
        <v/>
      </c>
      <c r="C765" t="str">
        <f t="shared" si="67"/>
        <v/>
      </c>
      <c r="D765" t="str">
        <f t="shared" si="68"/>
        <v/>
      </c>
      <c r="E765" t="str">
        <f t="shared" si="69"/>
        <v/>
      </c>
      <c r="F765" t="str">
        <f t="shared" si="70"/>
        <v/>
      </c>
      <c r="G765" t="str">
        <f>IF(OR($E765="",$E765="نامعتبر",Sync!$X761=""),"",IF(AND(LEFT(UPPER(TRIM(Sync!$X761)),2)="SL",IFERROR(VLOOKUP(Sync!$W761,OpTbl,3,0),"")="فروش"),UPPER(TRIM(Sync!$X761)),""))</f>
        <v/>
      </c>
      <c r="H765" t="str">
        <f>IF($G765="","",IF(Sync!$W761="","",Sync!$W761))</f>
        <v/>
      </c>
      <c r="I765" t="str">
        <f>IF(OR($G765="",Sync!$Y761=""),"",Sync!$Y761)</f>
        <v/>
      </c>
      <c r="J765" t="str">
        <f>IF(OR($G765="",Sync!$Z761=""),"",Sync!$Z761)</f>
        <v/>
      </c>
      <c r="K765">
        <f>IF($G765="",0,IF(Sync!$AA761="",0,Sync!$AA761))</f>
        <v>0</v>
      </c>
      <c r="L765">
        <f>IF($G765="",0,IF(Sync!$AB761="",0,Sync!$AB761))</f>
        <v>0</v>
      </c>
      <c r="M765" t="str">
        <f t="shared" si="71"/>
        <v/>
      </c>
      <c r="N765">
        <f>IF($G765="",0,IF($H765="مرجوعی فروش",-1,1)*IF(Sync!$AC761="",0,Sync!$AC761))</f>
        <v>0</v>
      </c>
      <c r="O765" t="str">
        <f>IF(OR($G765="",Sync!$V761=""),"",Sync!$V761)</f>
        <v/>
      </c>
      <c r="P765" t="str">
        <f>IF(OR($G765="",Sync!$AD761=""),"",Sync!$AD761)</f>
        <v/>
      </c>
      <c r="Q765" t="str">
        <f>IF($G765="","",IF(Sync!$U761="","0000",IF(AND(ISNUMBER(Sync!$U761),Sync!$U761&gt;=0,Sync!$U761&lt;1),RIGHT("00"&amp;HOUR(Sync!$U761),2)&amp;RIGHT("00"&amp;MINUTE(Sync!$U761),2),IFERROR(RIGHT("00"&amp;VALUE(LEFT(Sync!$U761,FIND(":",Sync!$U761)-1)),2)&amp;RIGHT("00"&amp;VALUE(MID(Sync!$U761,FIND(":",Sync!$U761)+1,2)),2),"0000"))))</f>
        <v/>
      </c>
    </row>
    <row r="766" spans="1:17" x14ac:dyDescent="0.2">
      <c r="A766" t="str">
        <f>IF(Sync!$T762="","",Sync!$T762)</f>
        <v/>
      </c>
      <c r="B766" t="str">
        <f t="shared" si="66"/>
        <v/>
      </c>
      <c r="C766" t="str">
        <f t="shared" si="67"/>
        <v/>
      </c>
      <c r="D766" t="str">
        <f t="shared" si="68"/>
        <v/>
      </c>
      <c r="E766" t="str">
        <f t="shared" si="69"/>
        <v/>
      </c>
      <c r="F766" t="str">
        <f t="shared" si="70"/>
        <v/>
      </c>
      <c r="G766" t="str">
        <f>IF(OR($E766="",$E766="نامعتبر",Sync!$X762=""),"",IF(AND(LEFT(UPPER(TRIM(Sync!$X762)),2)="SL",IFERROR(VLOOKUP(Sync!$W762,OpTbl,3,0),"")="فروش"),UPPER(TRIM(Sync!$X762)),""))</f>
        <v/>
      </c>
      <c r="H766" t="str">
        <f>IF($G766="","",IF(Sync!$W762="","",Sync!$W762))</f>
        <v/>
      </c>
      <c r="I766" t="str">
        <f>IF(OR($G766="",Sync!$Y762=""),"",Sync!$Y762)</f>
        <v/>
      </c>
      <c r="J766" t="str">
        <f>IF(OR($G766="",Sync!$Z762=""),"",Sync!$Z762)</f>
        <v/>
      </c>
      <c r="K766">
        <f>IF($G766="",0,IF(Sync!$AA762="",0,Sync!$AA762))</f>
        <v>0</v>
      </c>
      <c r="L766">
        <f>IF($G766="",0,IF(Sync!$AB762="",0,Sync!$AB762))</f>
        <v>0</v>
      </c>
      <c r="M766" t="str">
        <f t="shared" si="71"/>
        <v/>
      </c>
      <c r="N766">
        <f>IF($G766="",0,IF($H766="مرجوعی فروش",-1,1)*IF(Sync!$AC762="",0,Sync!$AC762))</f>
        <v>0</v>
      </c>
      <c r="O766" t="str">
        <f>IF(OR($G766="",Sync!$V762=""),"",Sync!$V762)</f>
        <v/>
      </c>
      <c r="P766" t="str">
        <f>IF(OR($G766="",Sync!$AD762=""),"",Sync!$AD762)</f>
        <v/>
      </c>
      <c r="Q766" t="str">
        <f>IF($G766="","",IF(Sync!$U762="","0000",IF(AND(ISNUMBER(Sync!$U762),Sync!$U762&gt;=0,Sync!$U762&lt;1),RIGHT("00"&amp;HOUR(Sync!$U762),2)&amp;RIGHT("00"&amp;MINUTE(Sync!$U762),2),IFERROR(RIGHT("00"&amp;VALUE(LEFT(Sync!$U762,FIND(":",Sync!$U762)-1)),2)&amp;RIGHT("00"&amp;VALUE(MID(Sync!$U762,FIND(":",Sync!$U762)+1,2)),2),"0000"))))</f>
        <v/>
      </c>
    </row>
    <row r="767" spans="1:17" x14ac:dyDescent="0.2">
      <c r="A767" t="str">
        <f>IF(Sync!$T763="","",Sync!$T763)</f>
        <v/>
      </c>
      <c r="B767" t="str">
        <f t="shared" si="66"/>
        <v/>
      </c>
      <c r="C767" t="str">
        <f t="shared" si="67"/>
        <v/>
      </c>
      <c r="D767" t="str">
        <f t="shared" si="68"/>
        <v/>
      </c>
      <c r="E767" t="str">
        <f t="shared" si="69"/>
        <v/>
      </c>
      <c r="F767" t="str">
        <f t="shared" si="70"/>
        <v/>
      </c>
      <c r="G767" t="str">
        <f>IF(OR($E767="",$E767="نامعتبر",Sync!$X763=""),"",IF(AND(LEFT(UPPER(TRIM(Sync!$X763)),2)="SL",IFERROR(VLOOKUP(Sync!$W763,OpTbl,3,0),"")="فروش"),UPPER(TRIM(Sync!$X763)),""))</f>
        <v/>
      </c>
      <c r="H767" t="str">
        <f>IF($G767="","",IF(Sync!$W763="","",Sync!$W763))</f>
        <v/>
      </c>
      <c r="I767" t="str">
        <f>IF(OR($G767="",Sync!$Y763=""),"",Sync!$Y763)</f>
        <v/>
      </c>
      <c r="J767" t="str">
        <f>IF(OR($G767="",Sync!$Z763=""),"",Sync!$Z763)</f>
        <v/>
      </c>
      <c r="K767">
        <f>IF($G767="",0,IF(Sync!$AA763="",0,Sync!$AA763))</f>
        <v>0</v>
      </c>
      <c r="L767">
        <f>IF($G767="",0,IF(Sync!$AB763="",0,Sync!$AB763))</f>
        <v>0</v>
      </c>
      <c r="M767" t="str">
        <f t="shared" si="71"/>
        <v/>
      </c>
      <c r="N767">
        <f>IF($G767="",0,IF($H767="مرجوعی فروش",-1,1)*IF(Sync!$AC763="",0,Sync!$AC763))</f>
        <v>0</v>
      </c>
      <c r="O767" t="str">
        <f>IF(OR($G767="",Sync!$V763=""),"",Sync!$V763)</f>
        <v/>
      </c>
      <c r="P767" t="str">
        <f>IF(OR($G767="",Sync!$AD763=""),"",Sync!$AD763)</f>
        <v/>
      </c>
      <c r="Q767" t="str">
        <f>IF($G767="","",IF(Sync!$U763="","0000",IF(AND(ISNUMBER(Sync!$U763),Sync!$U763&gt;=0,Sync!$U763&lt;1),RIGHT("00"&amp;HOUR(Sync!$U763),2)&amp;RIGHT("00"&amp;MINUTE(Sync!$U763),2),IFERROR(RIGHT("00"&amp;VALUE(LEFT(Sync!$U763,FIND(":",Sync!$U763)-1)),2)&amp;RIGHT("00"&amp;VALUE(MID(Sync!$U763,FIND(":",Sync!$U763)+1,2)),2),"0000"))))</f>
        <v/>
      </c>
    </row>
    <row r="768" spans="1:17" x14ac:dyDescent="0.2">
      <c r="A768" t="str">
        <f>IF(Sync!$T764="","",Sync!$T764)</f>
        <v/>
      </c>
      <c r="B768" t="str">
        <f t="shared" si="66"/>
        <v/>
      </c>
      <c r="C768" t="str">
        <f t="shared" si="67"/>
        <v/>
      </c>
      <c r="D768" t="str">
        <f t="shared" si="68"/>
        <v/>
      </c>
      <c r="E768" t="str">
        <f t="shared" si="69"/>
        <v/>
      </c>
      <c r="F768" t="str">
        <f t="shared" si="70"/>
        <v/>
      </c>
      <c r="G768" t="str">
        <f>IF(OR($E768="",$E768="نامعتبر",Sync!$X764=""),"",IF(AND(LEFT(UPPER(TRIM(Sync!$X764)),2)="SL",IFERROR(VLOOKUP(Sync!$W764,OpTbl,3,0),"")="فروش"),UPPER(TRIM(Sync!$X764)),""))</f>
        <v/>
      </c>
      <c r="H768" t="str">
        <f>IF($G768="","",IF(Sync!$W764="","",Sync!$W764))</f>
        <v/>
      </c>
      <c r="I768" t="str">
        <f>IF(OR($G768="",Sync!$Y764=""),"",Sync!$Y764)</f>
        <v/>
      </c>
      <c r="J768" t="str">
        <f>IF(OR($G768="",Sync!$Z764=""),"",Sync!$Z764)</f>
        <v/>
      </c>
      <c r="K768">
        <f>IF($G768="",0,IF(Sync!$AA764="",0,Sync!$AA764))</f>
        <v>0</v>
      </c>
      <c r="L768">
        <f>IF($G768="",0,IF(Sync!$AB764="",0,Sync!$AB764))</f>
        <v>0</v>
      </c>
      <c r="M768" t="str">
        <f t="shared" si="71"/>
        <v/>
      </c>
      <c r="N768">
        <f>IF($G768="",0,IF($H768="مرجوعی فروش",-1,1)*IF(Sync!$AC764="",0,Sync!$AC764))</f>
        <v>0</v>
      </c>
      <c r="O768" t="str">
        <f>IF(OR($G768="",Sync!$V764=""),"",Sync!$V764)</f>
        <v/>
      </c>
      <c r="P768" t="str">
        <f>IF(OR($G768="",Sync!$AD764=""),"",Sync!$AD764)</f>
        <v/>
      </c>
      <c r="Q768" t="str">
        <f>IF($G768="","",IF(Sync!$U764="","0000",IF(AND(ISNUMBER(Sync!$U764),Sync!$U764&gt;=0,Sync!$U764&lt;1),RIGHT("00"&amp;HOUR(Sync!$U764),2)&amp;RIGHT("00"&amp;MINUTE(Sync!$U764),2),IFERROR(RIGHT("00"&amp;VALUE(LEFT(Sync!$U764,FIND(":",Sync!$U764)-1)),2)&amp;RIGHT("00"&amp;VALUE(MID(Sync!$U764,FIND(":",Sync!$U764)+1,2)),2),"0000"))))</f>
        <v/>
      </c>
    </row>
    <row r="769" spans="1:17" x14ac:dyDescent="0.2">
      <c r="A769" t="str">
        <f>IF(Sync!$T765="","",Sync!$T765)</f>
        <v/>
      </c>
      <c r="B769" t="str">
        <f t="shared" si="66"/>
        <v/>
      </c>
      <c r="C769" t="str">
        <f t="shared" si="67"/>
        <v/>
      </c>
      <c r="D769" t="str">
        <f t="shared" si="68"/>
        <v/>
      </c>
      <c r="E769" t="str">
        <f t="shared" si="69"/>
        <v/>
      </c>
      <c r="F769" t="str">
        <f t="shared" si="70"/>
        <v/>
      </c>
      <c r="G769" t="str">
        <f>IF(OR($E769="",$E769="نامعتبر",Sync!$X765=""),"",IF(AND(LEFT(UPPER(TRIM(Sync!$X765)),2)="SL",IFERROR(VLOOKUP(Sync!$W765,OpTbl,3,0),"")="فروش"),UPPER(TRIM(Sync!$X765)),""))</f>
        <v/>
      </c>
      <c r="H769" t="str">
        <f>IF($G769="","",IF(Sync!$W765="","",Sync!$W765))</f>
        <v/>
      </c>
      <c r="I769" t="str">
        <f>IF(OR($G769="",Sync!$Y765=""),"",Sync!$Y765)</f>
        <v/>
      </c>
      <c r="J769" t="str">
        <f>IF(OR($G769="",Sync!$Z765=""),"",Sync!$Z765)</f>
        <v/>
      </c>
      <c r="K769">
        <f>IF($G769="",0,IF(Sync!$AA765="",0,Sync!$AA765))</f>
        <v>0</v>
      </c>
      <c r="L769">
        <f>IF($G769="",0,IF(Sync!$AB765="",0,Sync!$AB765))</f>
        <v>0</v>
      </c>
      <c r="M769" t="str">
        <f t="shared" si="71"/>
        <v/>
      </c>
      <c r="N769">
        <f>IF($G769="",0,IF($H769="مرجوعی فروش",-1,1)*IF(Sync!$AC765="",0,Sync!$AC765))</f>
        <v>0</v>
      </c>
      <c r="O769" t="str">
        <f>IF(OR($G769="",Sync!$V765=""),"",Sync!$V765)</f>
        <v/>
      </c>
      <c r="P769" t="str">
        <f>IF(OR($G769="",Sync!$AD765=""),"",Sync!$AD765)</f>
        <v/>
      </c>
      <c r="Q769" t="str">
        <f>IF($G769="","",IF(Sync!$U765="","0000",IF(AND(ISNUMBER(Sync!$U765),Sync!$U765&gt;=0,Sync!$U765&lt;1),RIGHT("00"&amp;HOUR(Sync!$U765),2)&amp;RIGHT("00"&amp;MINUTE(Sync!$U765),2),IFERROR(RIGHT("00"&amp;VALUE(LEFT(Sync!$U765,FIND(":",Sync!$U765)-1)),2)&amp;RIGHT("00"&amp;VALUE(MID(Sync!$U765,FIND(":",Sync!$U765)+1,2)),2),"0000"))))</f>
        <v/>
      </c>
    </row>
    <row r="770" spans="1:17" x14ac:dyDescent="0.2">
      <c r="A770" t="str">
        <f>IF(Sync!$T766="","",Sync!$T766)</f>
        <v/>
      </c>
      <c r="B770" t="str">
        <f t="shared" si="66"/>
        <v/>
      </c>
      <c r="C770" t="str">
        <f t="shared" si="67"/>
        <v/>
      </c>
      <c r="D770" t="str">
        <f t="shared" si="68"/>
        <v/>
      </c>
      <c r="E770" t="str">
        <f t="shared" si="69"/>
        <v/>
      </c>
      <c r="F770" t="str">
        <f t="shared" si="70"/>
        <v/>
      </c>
      <c r="G770" t="str">
        <f>IF(OR($E770="",$E770="نامعتبر",Sync!$X766=""),"",IF(AND(LEFT(UPPER(TRIM(Sync!$X766)),2)="SL",IFERROR(VLOOKUP(Sync!$W766,OpTbl,3,0),"")="فروش"),UPPER(TRIM(Sync!$X766)),""))</f>
        <v/>
      </c>
      <c r="H770" t="str">
        <f>IF($G770="","",IF(Sync!$W766="","",Sync!$W766))</f>
        <v/>
      </c>
      <c r="I770" t="str">
        <f>IF(OR($G770="",Sync!$Y766=""),"",Sync!$Y766)</f>
        <v/>
      </c>
      <c r="J770" t="str">
        <f>IF(OR($G770="",Sync!$Z766=""),"",Sync!$Z766)</f>
        <v/>
      </c>
      <c r="K770">
        <f>IF($G770="",0,IF(Sync!$AA766="",0,Sync!$AA766))</f>
        <v>0</v>
      </c>
      <c r="L770">
        <f>IF($G770="",0,IF(Sync!$AB766="",0,Sync!$AB766))</f>
        <v>0</v>
      </c>
      <c r="M770" t="str">
        <f t="shared" si="71"/>
        <v/>
      </c>
      <c r="N770">
        <f>IF($G770="",0,IF($H770="مرجوعی فروش",-1,1)*IF(Sync!$AC766="",0,Sync!$AC766))</f>
        <v>0</v>
      </c>
      <c r="O770" t="str">
        <f>IF(OR($G770="",Sync!$V766=""),"",Sync!$V766)</f>
        <v/>
      </c>
      <c r="P770" t="str">
        <f>IF(OR($G770="",Sync!$AD766=""),"",Sync!$AD766)</f>
        <v/>
      </c>
      <c r="Q770" t="str">
        <f>IF($G770="","",IF(Sync!$U766="","0000",IF(AND(ISNUMBER(Sync!$U766),Sync!$U766&gt;=0,Sync!$U766&lt;1),RIGHT("00"&amp;HOUR(Sync!$U766),2)&amp;RIGHT("00"&amp;MINUTE(Sync!$U766),2),IFERROR(RIGHT("00"&amp;VALUE(LEFT(Sync!$U766,FIND(":",Sync!$U766)-1)),2)&amp;RIGHT("00"&amp;VALUE(MID(Sync!$U766,FIND(":",Sync!$U766)+1,2)),2),"0000"))))</f>
        <v/>
      </c>
    </row>
    <row r="771" spans="1:17" x14ac:dyDescent="0.2">
      <c r="A771" t="str">
        <f>IF(Sync!$T767="","",Sync!$T767)</f>
        <v/>
      </c>
      <c r="B771" t="str">
        <f t="shared" si="66"/>
        <v/>
      </c>
      <c r="C771" t="str">
        <f t="shared" si="67"/>
        <v/>
      </c>
      <c r="D771" t="str">
        <f t="shared" si="68"/>
        <v/>
      </c>
      <c r="E771" t="str">
        <f t="shared" si="69"/>
        <v/>
      </c>
      <c r="F771" t="str">
        <f t="shared" si="70"/>
        <v/>
      </c>
      <c r="G771" t="str">
        <f>IF(OR($E771="",$E771="نامعتبر",Sync!$X767=""),"",IF(AND(LEFT(UPPER(TRIM(Sync!$X767)),2)="SL",IFERROR(VLOOKUP(Sync!$W767,OpTbl,3,0),"")="فروش"),UPPER(TRIM(Sync!$X767)),""))</f>
        <v/>
      </c>
      <c r="H771" t="str">
        <f>IF($G771="","",IF(Sync!$W767="","",Sync!$W767))</f>
        <v/>
      </c>
      <c r="I771" t="str">
        <f>IF(OR($G771="",Sync!$Y767=""),"",Sync!$Y767)</f>
        <v/>
      </c>
      <c r="J771" t="str">
        <f>IF(OR($G771="",Sync!$Z767=""),"",Sync!$Z767)</f>
        <v/>
      </c>
      <c r="K771">
        <f>IF($G771="",0,IF(Sync!$AA767="",0,Sync!$AA767))</f>
        <v>0</v>
      </c>
      <c r="L771">
        <f>IF($G771="",0,IF(Sync!$AB767="",0,Sync!$AB767))</f>
        <v>0</v>
      </c>
      <c r="M771" t="str">
        <f t="shared" si="71"/>
        <v/>
      </c>
      <c r="N771">
        <f>IF($G771="",0,IF($H771="مرجوعی فروش",-1,1)*IF(Sync!$AC767="",0,Sync!$AC767))</f>
        <v>0</v>
      </c>
      <c r="O771" t="str">
        <f>IF(OR($G771="",Sync!$V767=""),"",Sync!$V767)</f>
        <v/>
      </c>
      <c r="P771" t="str">
        <f>IF(OR($G771="",Sync!$AD767=""),"",Sync!$AD767)</f>
        <v/>
      </c>
      <c r="Q771" t="str">
        <f>IF($G771="","",IF(Sync!$U767="","0000",IF(AND(ISNUMBER(Sync!$U767),Sync!$U767&gt;=0,Sync!$U767&lt;1),RIGHT("00"&amp;HOUR(Sync!$U767),2)&amp;RIGHT("00"&amp;MINUTE(Sync!$U767),2),IFERROR(RIGHT("00"&amp;VALUE(LEFT(Sync!$U767,FIND(":",Sync!$U767)-1)),2)&amp;RIGHT("00"&amp;VALUE(MID(Sync!$U767,FIND(":",Sync!$U767)+1,2)),2),"0000"))))</f>
        <v/>
      </c>
    </row>
    <row r="772" spans="1:17" x14ac:dyDescent="0.2">
      <c r="A772" t="str">
        <f>IF(Sync!$T768="","",Sync!$T768)</f>
        <v/>
      </c>
      <c r="B772" t="str">
        <f t="shared" si="66"/>
        <v/>
      </c>
      <c r="C772" t="str">
        <f t="shared" si="67"/>
        <v/>
      </c>
      <c r="D772" t="str">
        <f t="shared" si="68"/>
        <v/>
      </c>
      <c r="E772" t="str">
        <f t="shared" si="69"/>
        <v/>
      </c>
      <c r="F772" t="str">
        <f t="shared" si="70"/>
        <v/>
      </c>
      <c r="G772" t="str">
        <f>IF(OR($E772="",$E772="نامعتبر",Sync!$X768=""),"",IF(AND(LEFT(UPPER(TRIM(Sync!$X768)),2)="SL",IFERROR(VLOOKUP(Sync!$W768,OpTbl,3,0),"")="فروش"),UPPER(TRIM(Sync!$X768)),""))</f>
        <v/>
      </c>
      <c r="H772" t="str">
        <f>IF($G772="","",IF(Sync!$W768="","",Sync!$W768))</f>
        <v/>
      </c>
      <c r="I772" t="str">
        <f>IF(OR($G772="",Sync!$Y768=""),"",Sync!$Y768)</f>
        <v/>
      </c>
      <c r="J772" t="str">
        <f>IF(OR($G772="",Sync!$Z768=""),"",Sync!$Z768)</f>
        <v/>
      </c>
      <c r="K772">
        <f>IF($G772="",0,IF(Sync!$AA768="",0,Sync!$AA768))</f>
        <v>0</v>
      </c>
      <c r="L772">
        <f>IF($G772="",0,IF(Sync!$AB768="",0,Sync!$AB768))</f>
        <v>0</v>
      </c>
      <c r="M772" t="str">
        <f t="shared" si="71"/>
        <v/>
      </c>
      <c r="N772">
        <f>IF($G772="",0,IF($H772="مرجوعی فروش",-1,1)*IF(Sync!$AC768="",0,Sync!$AC768))</f>
        <v>0</v>
      </c>
      <c r="O772" t="str">
        <f>IF(OR($G772="",Sync!$V768=""),"",Sync!$V768)</f>
        <v/>
      </c>
      <c r="P772" t="str">
        <f>IF(OR($G772="",Sync!$AD768=""),"",Sync!$AD768)</f>
        <v/>
      </c>
      <c r="Q772" t="str">
        <f>IF($G772="","",IF(Sync!$U768="","0000",IF(AND(ISNUMBER(Sync!$U768),Sync!$U768&gt;=0,Sync!$U768&lt;1),RIGHT("00"&amp;HOUR(Sync!$U768),2)&amp;RIGHT("00"&amp;MINUTE(Sync!$U768),2),IFERROR(RIGHT("00"&amp;VALUE(LEFT(Sync!$U768,FIND(":",Sync!$U768)-1)),2)&amp;RIGHT("00"&amp;VALUE(MID(Sync!$U768,FIND(":",Sync!$U768)+1,2)),2),"0000"))))</f>
        <v/>
      </c>
    </row>
    <row r="773" spans="1:17" x14ac:dyDescent="0.2">
      <c r="A773" t="str">
        <f>IF(Sync!$T769="","",Sync!$T769)</f>
        <v/>
      </c>
      <c r="B773" t="str">
        <f t="shared" si="66"/>
        <v/>
      </c>
      <c r="C773" t="str">
        <f t="shared" si="67"/>
        <v/>
      </c>
      <c r="D773" t="str">
        <f t="shared" si="68"/>
        <v/>
      </c>
      <c r="E773" t="str">
        <f t="shared" si="69"/>
        <v/>
      </c>
      <c r="F773" t="str">
        <f t="shared" si="70"/>
        <v/>
      </c>
      <c r="G773" t="str">
        <f>IF(OR($E773="",$E773="نامعتبر",Sync!$X769=""),"",IF(AND(LEFT(UPPER(TRIM(Sync!$X769)),2)="SL",IFERROR(VLOOKUP(Sync!$W769,OpTbl,3,0),"")="فروش"),UPPER(TRIM(Sync!$X769)),""))</f>
        <v/>
      </c>
      <c r="H773" t="str">
        <f>IF($G773="","",IF(Sync!$W769="","",Sync!$W769))</f>
        <v/>
      </c>
      <c r="I773" t="str">
        <f>IF(OR($G773="",Sync!$Y769=""),"",Sync!$Y769)</f>
        <v/>
      </c>
      <c r="J773" t="str">
        <f>IF(OR($G773="",Sync!$Z769=""),"",Sync!$Z769)</f>
        <v/>
      </c>
      <c r="K773">
        <f>IF($G773="",0,IF(Sync!$AA769="",0,Sync!$AA769))</f>
        <v>0</v>
      </c>
      <c r="L773">
        <f>IF($G773="",0,IF(Sync!$AB769="",0,Sync!$AB769))</f>
        <v>0</v>
      </c>
      <c r="M773" t="str">
        <f t="shared" si="71"/>
        <v/>
      </c>
      <c r="N773">
        <f>IF($G773="",0,IF($H773="مرجوعی فروش",-1,1)*IF(Sync!$AC769="",0,Sync!$AC769))</f>
        <v>0</v>
      </c>
      <c r="O773" t="str">
        <f>IF(OR($G773="",Sync!$V769=""),"",Sync!$V769)</f>
        <v/>
      </c>
      <c r="P773" t="str">
        <f>IF(OR($G773="",Sync!$AD769=""),"",Sync!$AD769)</f>
        <v/>
      </c>
      <c r="Q773" t="str">
        <f>IF($G773="","",IF(Sync!$U769="","0000",IF(AND(ISNUMBER(Sync!$U769),Sync!$U769&gt;=0,Sync!$U769&lt;1),RIGHT("00"&amp;HOUR(Sync!$U769),2)&amp;RIGHT("00"&amp;MINUTE(Sync!$U769),2),IFERROR(RIGHT("00"&amp;VALUE(LEFT(Sync!$U769,FIND(":",Sync!$U769)-1)),2)&amp;RIGHT("00"&amp;VALUE(MID(Sync!$U769,FIND(":",Sync!$U769)+1,2)),2),"0000"))))</f>
        <v/>
      </c>
    </row>
    <row r="774" spans="1:17" x14ac:dyDescent="0.2">
      <c r="A774" t="str">
        <f>IF(Sync!$T770="","",Sync!$T770)</f>
        <v/>
      </c>
      <c r="B774" t="str">
        <f t="shared" si="66"/>
        <v/>
      </c>
      <c r="C774" t="str">
        <f t="shared" si="67"/>
        <v/>
      </c>
      <c r="D774" t="str">
        <f t="shared" si="68"/>
        <v/>
      </c>
      <c r="E774" t="str">
        <f t="shared" si="69"/>
        <v/>
      </c>
      <c r="F774" t="str">
        <f t="shared" si="70"/>
        <v/>
      </c>
      <c r="G774" t="str">
        <f>IF(OR($E774="",$E774="نامعتبر",Sync!$X770=""),"",IF(AND(LEFT(UPPER(TRIM(Sync!$X770)),2)="SL",IFERROR(VLOOKUP(Sync!$W770,OpTbl,3,0),"")="فروش"),UPPER(TRIM(Sync!$X770)),""))</f>
        <v/>
      </c>
      <c r="H774" t="str">
        <f>IF($G774="","",IF(Sync!$W770="","",Sync!$W770))</f>
        <v/>
      </c>
      <c r="I774" t="str">
        <f>IF(OR($G774="",Sync!$Y770=""),"",Sync!$Y770)</f>
        <v/>
      </c>
      <c r="J774" t="str">
        <f>IF(OR($G774="",Sync!$Z770=""),"",Sync!$Z770)</f>
        <v/>
      </c>
      <c r="K774">
        <f>IF($G774="",0,IF(Sync!$AA770="",0,Sync!$AA770))</f>
        <v>0</v>
      </c>
      <c r="L774">
        <f>IF($G774="",0,IF(Sync!$AB770="",0,Sync!$AB770))</f>
        <v>0</v>
      </c>
      <c r="M774" t="str">
        <f t="shared" si="71"/>
        <v/>
      </c>
      <c r="N774">
        <f>IF($G774="",0,IF($H774="مرجوعی فروش",-1,1)*IF(Sync!$AC770="",0,Sync!$AC770))</f>
        <v>0</v>
      </c>
      <c r="O774" t="str">
        <f>IF(OR($G774="",Sync!$V770=""),"",Sync!$V770)</f>
        <v/>
      </c>
      <c r="P774" t="str">
        <f>IF(OR($G774="",Sync!$AD770=""),"",Sync!$AD770)</f>
        <v/>
      </c>
      <c r="Q774" t="str">
        <f>IF($G774="","",IF(Sync!$U770="","0000",IF(AND(ISNUMBER(Sync!$U770),Sync!$U770&gt;=0,Sync!$U770&lt;1),RIGHT("00"&amp;HOUR(Sync!$U770),2)&amp;RIGHT("00"&amp;MINUTE(Sync!$U770),2),IFERROR(RIGHT("00"&amp;VALUE(LEFT(Sync!$U770,FIND(":",Sync!$U770)-1)),2)&amp;RIGHT("00"&amp;VALUE(MID(Sync!$U770,FIND(":",Sync!$U770)+1,2)),2),"0000"))))</f>
        <v/>
      </c>
    </row>
    <row r="775" spans="1:17" x14ac:dyDescent="0.2">
      <c r="A775" t="str">
        <f>IF(Sync!$T771="","",Sync!$T771)</f>
        <v/>
      </c>
      <c r="B775" t="str">
        <f t="shared" si="66"/>
        <v/>
      </c>
      <c r="C775" t="str">
        <f t="shared" si="67"/>
        <v/>
      </c>
      <c r="D775" t="str">
        <f t="shared" si="68"/>
        <v/>
      </c>
      <c r="E775" t="str">
        <f t="shared" si="69"/>
        <v/>
      </c>
      <c r="F775" t="str">
        <f t="shared" si="70"/>
        <v/>
      </c>
      <c r="G775" t="str">
        <f>IF(OR($E775="",$E775="نامعتبر",Sync!$X771=""),"",IF(AND(LEFT(UPPER(TRIM(Sync!$X771)),2)="SL",IFERROR(VLOOKUP(Sync!$W771,OpTbl,3,0),"")="فروش"),UPPER(TRIM(Sync!$X771)),""))</f>
        <v/>
      </c>
      <c r="H775" t="str">
        <f>IF($G775="","",IF(Sync!$W771="","",Sync!$W771))</f>
        <v/>
      </c>
      <c r="I775" t="str">
        <f>IF(OR($G775="",Sync!$Y771=""),"",Sync!$Y771)</f>
        <v/>
      </c>
      <c r="J775" t="str">
        <f>IF(OR($G775="",Sync!$Z771=""),"",Sync!$Z771)</f>
        <v/>
      </c>
      <c r="K775">
        <f>IF($G775="",0,IF(Sync!$AA771="",0,Sync!$AA771))</f>
        <v>0</v>
      </c>
      <c r="L775">
        <f>IF($G775="",0,IF(Sync!$AB771="",0,Sync!$AB771))</f>
        <v>0</v>
      </c>
      <c r="M775" t="str">
        <f t="shared" si="71"/>
        <v/>
      </c>
      <c r="N775">
        <f>IF($G775="",0,IF($H775="مرجوعی فروش",-1,1)*IF(Sync!$AC771="",0,Sync!$AC771))</f>
        <v>0</v>
      </c>
      <c r="O775" t="str">
        <f>IF(OR($G775="",Sync!$V771=""),"",Sync!$V771)</f>
        <v/>
      </c>
      <c r="P775" t="str">
        <f>IF(OR($G775="",Sync!$AD771=""),"",Sync!$AD771)</f>
        <v/>
      </c>
      <c r="Q775" t="str">
        <f>IF($G775="","",IF(Sync!$U771="","0000",IF(AND(ISNUMBER(Sync!$U771),Sync!$U771&gt;=0,Sync!$U771&lt;1),RIGHT("00"&amp;HOUR(Sync!$U771),2)&amp;RIGHT("00"&amp;MINUTE(Sync!$U771),2),IFERROR(RIGHT("00"&amp;VALUE(LEFT(Sync!$U771,FIND(":",Sync!$U771)-1)),2)&amp;RIGHT("00"&amp;VALUE(MID(Sync!$U771,FIND(":",Sync!$U771)+1,2)),2),"0000"))))</f>
        <v/>
      </c>
    </row>
    <row r="776" spans="1:17" x14ac:dyDescent="0.2">
      <c r="A776" t="str">
        <f>IF(Sync!$T772="","",Sync!$T772)</f>
        <v/>
      </c>
      <c r="B776" t="str">
        <f t="shared" si="66"/>
        <v/>
      </c>
      <c r="C776" t="str">
        <f t="shared" si="67"/>
        <v/>
      </c>
      <c r="D776" t="str">
        <f t="shared" si="68"/>
        <v/>
      </c>
      <c r="E776" t="str">
        <f t="shared" si="69"/>
        <v/>
      </c>
      <c r="F776" t="str">
        <f t="shared" si="70"/>
        <v/>
      </c>
      <c r="G776" t="str">
        <f>IF(OR($E776="",$E776="نامعتبر",Sync!$X772=""),"",IF(AND(LEFT(UPPER(TRIM(Sync!$X772)),2)="SL",IFERROR(VLOOKUP(Sync!$W772,OpTbl,3,0),"")="فروش"),UPPER(TRIM(Sync!$X772)),""))</f>
        <v/>
      </c>
      <c r="H776" t="str">
        <f>IF($G776="","",IF(Sync!$W772="","",Sync!$W772))</f>
        <v/>
      </c>
      <c r="I776" t="str">
        <f>IF(OR($G776="",Sync!$Y772=""),"",Sync!$Y772)</f>
        <v/>
      </c>
      <c r="J776" t="str">
        <f>IF(OR($G776="",Sync!$Z772=""),"",Sync!$Z772)</f>
        <v/>
      </c>
      <c r="K776">
        <f>IF($G776="",0,IF(Sync!$AA772="",0,Sync!$AA772))</f>
        <v>0</v>
      </c>
      <c r="L776">
        <f>IF($G776="",0,IF(Sync!$AB772="",0,Sync!$AB772))</f>
        <v>0</v>
      </c>
      <c r="M776" t="str">
        <f t="shared" si="71"/>
        <v/>
      </c>
      <c r="N776">
        <f>IF($G776="",0,IF($H776="مرجوعی فروش",-1,1)*IF(Sync!$AC772="",0,Sync!$AC772))</f>
        <v>0</v>
      </c>
      <c r="O776" t="str">
        <f>IF(OR($G776="",Sync!$V772=""),"",Sync!$V772)</f>
        <v/>
      </c>
      <c r="P776" t="str">
        <f>IF(OR($G776="",Sync!$AD772=""),"",Sync!$AD772)</f>
        <v/>
      </c>
      <c r="Q776" t="str">
        <f>IF($G776="","",IF(Sync!$U772="","0000",IF(AND(ISNUMBER(Sync!$U772),Sync!$U772&gt;=0,Sync!$U772&lt;1),RIGHT("00"&amp;HOUR(Sync!$U772),2)&amp;RIGHT("00"&amp;MINUTE(Sync!$U772),2),IFERROR(RIGHT("00"&amp;VALUE(LEFT(Sync!$U772,FIND(":",Sync!$U772)-1)),2)&amp;RIGHT("00"&amp;VALUE(MID(Sync!$U772,FIND(":",Sync!$U772)+1,2)),2),"0000"))))</f>
        <v/>
      </c>
    </row>
    <row r="777" spans="1:17" x14ac:dyDescent="0.2">
      <c r="A777" t="str">
        <f>IF(Sync!$T773="","",Sync!$T773)</f>
        <v/>
      </c>
      <c r="B777" t="str">
        <f t="shared" si="66"/>
        <v/>
      </c>
      <c r="C777" t="str">
        <f t="shared" si="67"/>
        <v/>
      </c>
      <c r="D777" t="str">
        <f t="shared" si="68"/>
        <v/>
      </c>
      <c r="E777" t="str">
        <f t="shared" si="69"/>
        <v/>
      </c>
      <c r="F777" t="str">
        <f t="shared" si="70"/>
        <v/>
      </c>
      <c r="G777" t="str">
        <f>IF(OR($E777="",$E777="نامعتبر",Sync!$X773=""),"",IF(AND(LEFT(UPPER(TRIM(Sync!$X773)),2)="SL",IFERROR(VLOOKUP(Sync!$W773,OpTbl,3,0),"")="فروش"),UPPER(TRIM(Sync!$X773)),""))</f>
        <v/>
      </c>
      <c r="H777" t="str">
        <f>IF($G777="","",IF(Sync!$W773="","",Sync!$W773))</f>
        <v/>
      </c>
      <c r="I777" t="str">
        <f>IF(OR($G777="",Sync!$Y773=""),"",Sync!$Y773)</f>
        <v/>
      </c>
      <c r="J777" t="str">
        <f>IF(OR($G777="",Sync!$Z773=""),"",Sync!$Z773)</f>
        <v/>
      </c>
      <c r="K777">
        <f>IF($G777="",0,IF(Sync!$AA773="",0,Sync!$AA773))</f>
        <v>0</v>
      </c>
      <c r="L777">
        <f>IF($G777="",0,IF(Sync!$AB773="",0,Sync!$AB773))</f>
        <v>0</v>
      </c>
      <c r="M777" t="str">
        <f t="shared" si="71"/>
        <v/>
      </c>
      <c r="N777">
        <f>IF($G777="",0,IF($H777="مرجوعی فروش",-1,1)*IF(Sync!$AC773="",0,Sync!$AC773))</f>
        <v>0</v>
      </c>
      <c r="O777" t="str">
        <f>IF(OR($G777="",Sync!$V773=""),"",Sync!$V773)</f>
        <v/>
      </c>
      <c r="P777" t="str">
        <f>IF(OR($G777="",Sync!$AD773=""),"",Sync!$AD773)</f>
        <v/>
      </c>
      <c r="Q777" t="str">
        <f>IF($G777="","",IF(Sync!$U773="","0000",IF(AND(ISNUMBER(Sync!$U773),Sync!$U773&gt;=0,Sync!$U773&lt;1),RIGHT("00"&amp;HOUR(Sync!$U773),2)&amp;RIGHT("00"&amp;MINUTE(Sync!$U773),2),IFERROR(RIGHT("00"&amp;VALUE(LEFT(Sync!$U773,FIND(":",Sync!$U773)-1)),2)&amp;RIGHT("00"&amp;VALUE(MID(Sync!$U773,FIND(":",Sync!$U773)+1,2)),2),"0000"))))</f>
        <v/>
      </c>
    </row>
    <row r="778" spans="1:17" x14ac:dyDescent="0.2">
      <c r="A778" t="str">
        <f>IF(Sync!$T774="","",Sync!$T774)</f>
        <v/>
      </c>
      <c r="B778" t="str">
        <f t="shared" ref="B778:B841" si="72">IF($A778="","",IF(ISNUMBER($A778),IF(AND($A778&gt;=10000101,$A778&lt;=99991231),INT($A778/10000),""),IFERROR(VALUE(TRIM(LEFT($A778,FIND("/",$A778)-1))),"")))</f>
        <v/>
      </c>
      <c r="C778" t="str">
        <f t="shared" ref="C778:C841" si="73">IF(OR($A778="",$B778=""),"",IF(ISNUMBER($A778),INT(MOD($A778,10000)/100),IFERROR(VALUE(TRIM(LEFT(MID($A778,FIND("/",$A778)+1,20),FIND("/",MID($A778,FIND("/",$A778)+1,20))-1))),"")))</f>
        <v/>
      </c>
      <c r="D778" t="str">
        <f t="shared" ref="D778:D841" si="74">IF(OR($A778="",$B778=""),"",IF(ISNUMBER($A778),MOD($A778,100),IFERROR(VALUE(TRIM(MID(MID($A778,FIND("/",$A778)+1,20),FIND("/",MID($A778,FIND("/",$A778)+1,20))+1,20))),"")))</f>
        <v/>
      </c>
      <c r="E778" t="str">
        <f t="shared" ref="E778:E841" si="75">IF($A778="","",IF(OR($B778="",$C778="",$D778="",$B778&lt;1300,$B778&gt;1500,$C778&lt;1,$C778&gt;12,$D778&lt;1,$D778&gt;31),"نامعتبر",RIGHT("0000"&amp;$B778,4)&amp;"/"&amp;RIGHT("00"&amp;$C778,2)&amp;"/"&amp;RIGHT("00"&amp;$D778,2)))</f>
        <v/>
      </c>
      <c r="F778" t="str">
        <f t="shared" ref="F778:F841" si="76">IF(OR($E778="",$E778="نامعتبر"),"",LEFT($E778,4)&amp;"/"&amp;MID($E778,6,2))</f>
        <v/>
      </c>
      <c r="G778" t="str">
        <f>IF(OR($E778="",$E778="نامعتبر",Sync!$X774=""),"",IF(AND(LEFT(UPPER(TRIM(Sync!$X774)),2)="SL",IFERROR(VLOOKUP(Sync!$W774,OpTbl,3,0),"")="فروش"),UPPER(TRIM(Sync!$X774)),""))</f>
        <v/>
      </c>
      <c r="H778" t="str">
        <f>IF($G778="","",IF(Sync!$W774="","",Sync!$W774))</f>
        <v/>
      </c>
      <c r="I778" t="str">
        <f>IF(OR($G778="",Sync!$Y774=""),"",Sync!$Y774)</f>
        <v/>
      </c>
      <c r="J778" t="str">
        <f>IF(OR($G778="",Sync!$Z774=""),"",Sync!$Z774)</f>
        <v/>
      </c>
      <c r="K778">
        <f>IF($G778="",0,IF(Sync!$AA774="",0,Sync!$AA774))</f>
        <v>0</v>
      </c>
      <c r="L778">
        <f>IF($G778="",0,IF(Sync!$AB774="",0,Sync!$AB774))</f>
        <v>0</v>
      </c>
      <c r="M778" t="str">
        <f t="shared" ref="M778:M841" si="77">IF($G778="","",IF($H778="مرجوعی فروش",-1,1)*($K778-$L778*IFERROR(VLOOKUP("P01",ParamTbl,3,0),1.5)))</f>
        <v/>
      </c>
      <c r="N778">
        <f>IF($G778="",0,IF($H778="مرجوعی فروش",-1,1)*IF(Sync!$AC774="",0,Sync!$AC774))</f>
        <v>0</v>
      </c>
      <c r="O778" t="str">
        <f>IF(OR($G778="",Sync!$V774=""),"",Sync!$V774)</f>
        <v/>
      </c>
      <c r="P778" t="str">
        <f>IF(OR($G778="",Sync!$AD774=""),"",Sync!$AD774)</f>
        <v/>
      </c>
      <c r="Q778" t="str">
        <f>IF($G778="","",IF(Sync!$U774="","0000",IF(AND(ISNUMBER(Sync!$U774),Sync!$U774&gt;=0,Sync!$U774&lt;1),RIGHT("00"&amp;HOUR(Sync!$U774),2)&amp;RIGHT("00"&amp;MINUTE(Sync!$U774),2),IFERROR(RIGHT("00"&amp;VALUE(LEFT(Sync!$U774,FIND(":",Sync!$U774)-1)),2)&amp;RIGHT("00"&amp;VALUE(MID(Sync!$U774,FIND(":",Sync!$U774)+1,2)),2),"0000"))))</f>
        <v/>
      </c>
    </row>
    <row r="779" spans="1:17" x14ac:dyDescent="0.2">
      <c r="A779" t="str">
        <f>IF(Sync!$T775="","",Sync!$T775)</f>
        <v/>
      </c>
      <c r="B779" t="str">
        <f t="shared" si="72"/>
        <v/>
      </c>
      <c r="C779" t="str">
        <f t="shared" si="73"/>
        <v/>
      </c>
      <c r="D779" t="str">
        <f t="shared" si="74"/>
        <v/>
      </c>
      <c r="E779" t="str">
        <f t="shared" si="75"/>
        <v/>
      </c>
      <c r="F779" t="str">
        <f t="shared" si="76"/>
        <v/>
      </c>
      <c r="G779" t="str">
        <f>IF(OR($E779="",$E779="نامعتبر",Sync!$X775=""),"",IF(AND(LEFT(UPPER(TRIM(Sync!$X775)),2)="SL",IFERROR(VLOOKUP(Sync!$W775,OpTbl,3,0),"")="فروش"),UPPER(TRIM(Sync!$X775)),""))</f>
        <v/>
      </c>
      <c r="H779" t="str">
        <f>IF($G779="","",IF(Sync!$W775="","",Sync!$W775))</f>
        <v/>
      </c>
      <c r="I779" t="str">
        <f>IF(OR($G779="",Sync!$Y775=""),"",Sync!$Y775)</f>
        <v/>
      </c>
      <c r="J779" t="str">
        <f>IF(OR($G779="",Sync!$Z775=""),"",Sync!$Z775)</f>
        <v/>
      </c>
      <c r="K779">
        <f>IF($G779="",0,IF(Sync!$AA775="",0,Sync!$AA775))</f>
        <v>0</v>
      </c>
      <c r="L779">
        <f>IF($G779="",0,IF(Sync!$AB775="",0,Sync!$AB775))</f>
        <v>0</v>
      </c>
      <c r="M779" t="str">
        <f t="shared" si="77"/>
        <v/>
      </c>
      <c r="N779">
        <f>IF($G779="",0,IF($H779="مرجوعی فروش",-1,1)*IF(Sync!$AC775="",0,Sync!$AC775))</f>
        <v>0</v>
      </c>
      <c r="O779" t="str">
        <f>IF(OR($G779="",Sync!$V775=""),"",Sync!$V775)</f>
        <v/>
      </c>
      <c r="P779" t="str">
        <f>IF(OR($G779="",Sync!$AD775=""),"",Sync!$AD775)</f>
        <v/>
      </c>
      <c r="Q779" t="str">
        <f>IF($G779="","",IF(Sync!$U775="","0000",IF(AND(ISNUMBER(Sync!$U775),Sync!$U775&gt;=0,Sync!$U775&lt;1),RIGHT("00"&amp;HOUR(Sync!$U775),2)&amp;RIGHT("00"&amp;MINUTE(Sync!$U775),2),IFERROR(RIGHT("00"&amp;VALUE(LEFT(Sync!$U775,FIND(":",Sync!$U775)-1)),2)&amp;RIGHT("00"&amp;VALUE(MID(Sync!$U775,FIND(":",Sync!$U775)+1,2)),2),"0000"))))</f>
        <v/>
      </c>
    </row>
    <row r="780" spans="1:17" x14ac:dyDescent="0.2">
      <c r="A780" t="str">
        <f>IF(Sync!$T776="","",Sync!$T776)</f>
        <v/>
      </c>
      <c r="B780" t="str">
        <f t="shared" si="72"/>
        <v/>
      </c>
      <c r="C780" t="str">
        <f t="shared" si="73"/>
        <v/>
      </c>
      <c r="D780" t="str">
        <f t="shared" si="74"/>
        <v/>
      </c>
      <c r="E780" t="str">
        <f t="shared" si="75"/>
        <v/>
      </c>
      <c r="F780" t="str">
        <f t="shared" si="76"/>
        <v/>
      </c>
      <c r="G780" t="str">
        <f>IF(OR($E780="",$E780="نامعتبر",Sync!$X776=""),"",IF(AND(LEFT(UPPER(TRIM(Sync!$X776)),2)="SL",IFERROR(VLOOKUP(Sync!$W776,OpTbl,3,0),"")="فروش"),UPPER(TRIM(Sync!$X776)),""))</f>
        <v/>
      </c>
      <c r="H780" t="str">
        <f>IF($G780="","",IF(Sync!$W776="","",Sync!$W776))</f>
        <v/>
      </c>
      <c r="I780" t="str">
        <f>IF(OR($G780="",Sync!$Y776=""),"",Sync!$Y776)</f>
        <v/>
      </c>
      <c r="J780" t="str">
        <f>IF(OR($G780="",Sync!$Z776=""),"",Sync!$Z776)</f>
        <v/>
      </c>
      <c r="K780">
        <f>IF($G780="",0,IF(Sync!$AA776="",0,Sync!$AA776))</f>
        <v>0</v>
      </c>
      <c r="L780">
        <f>IF($G780="",0,IF(Sync!$AB776="",0,Sync!$AB776))</f>
        <v>0</v>
      </c>
      <c r="M780" t="str">
        <f t="shared" si="77"/>
        <v/>
      </c>
      <c r="N780">
        <f>IF($G780="",0,IF($H780="مرجوعی فروش",-1,1)*IF(Sync!$AC776="",0,Sync!$AC776))</f>
        <v>0</v>
      </c>
      <c r="O780" t="str">
        <f>IF(OR($G780="",Sync!$V776=""),"",Sync!$V776)</f>
        <v/>
      </c>
      <c r="P780" t="str">
        <f>IF(OR($G780="",Sync!$AD776=""),"",Sync!$AD776)</f>
        <v/>
      </c>
      <c r="Q780" t="str">
        <f>IF($G780="","",IF(Sync!$U776="","0000",IF(AND(ISNUMBER(Sync!$U776),Sync!$U776&gt;=0,Sync!$U776&lt;1),RIGHT("00"&amp;HOUR(Sync!$U776),2)&amp;RIGHT("00"&amp;MINUTE(Sync!$U776),2),IFERROR(RIGHT("00"&amp;VALUE(LEFT(Sync!$U776,FIND(":",Sync!$U776)-1)),2)&amp;RIGHT("00"&amp;VALUE(MID(Sync!$U776,FIND(":",Sync!$U776)+1,2)),2),"0000"))))</f>
        <v/>
      </c>
    </row>
    <row r="781" spans="1:17" x14ac:dyDescent="0.2">
      <c r="A781" t="str">
        <f>IF(Sync!$T777="","",Sync!$T777)</f>
        <v/>
      </c>
      <c r="B781" t="str">
        <f t="shared" si="72"/>
        <v/>
      </c>
      <c r="C781" t="str">
        <f t="shared" si="73"/>
        <v/>
      </c>
      <c r="D781" t="str">
        <f t="shared" si="74"/>
        <v/>
      </c>
      <c r="E781" t="str">
        <f t="shared" si="75"/>
        <v/>
      </c>
      <c r="F781" t="str">
        <f t="shared" si="76"/>
        <v/>
      </c>
      <c r="G781" t="str">
        <f>IF(OR($E781="",$E781="نامعتبر",Sync!$X777=""),"",IF(AND(LEFT(UPPER(TRIM(Sync!$X777)),2)="SL",IFERROR(VLOOKUP(Sync!$W777,OpTbl,3,0),"")="فروش"),UPPER(TRIM(Sync!$X777)),""))</f>
        <v/>
      </c>
      <c r="H781" t="str">
        <f>IF($G781="","",IF(Sync!$W777="","",Sync!$W777))</f>
        <v/>
      </c>
      <c r="I781" t="str">
        <f>IF(OR($G781="",Sync!$Y777=""),"",Sync!$Y777)</f>
        <v/>
      </c>
      <c r="J781" t="str">
        <f>IF(OR($G781="",Sync!$Z777=""),"",Sync!$Z777)</f>
        <v/>
      </c>
      <c r="K781">
        <f>IF($G781="",0,IF(Sync!$AA777="",0,Sync!$AA777))</f>
        <v>0</v>
      </c>
      <c r="L781">
        <f>IF($G781="",0,IF(Sync!$AB777="",0,Sync!$AB777))</f>
        <v>0</v>
      </c>
      <c r="M781" t="str">
        <f t="shared" si="77"/>
        <v/>
      </c>
      <c r="N781">
        <f>IF($G781="",0,IF($H781="مرجوعی فروش",-1,1)*IF(Sync!$AC777="",0,Sync!$AC777))</f>
        <v>0</v>
      </c>
      <c r="O781" t="str">
        <f>IF(OR($G781="",Sync!$V777=""),"",Sync!$V777)</f>
        <v/>
      </c>
      <c r="P781" t="str">
        <f>IF(OR($G781="",Sync!$AD777=""),"",Sync!$AD777)</f>
        <v/>
      </c>
      <c r="Q781" t="str">
        <f>IF($G781="","",IF(Sync!$U777="","0000",IF(AND(ISNUMBER(Sync!$U777),Sync!$U777&gt;=0,Sync!$U777&lt;1),RIGHT("00"&amp;HOUR(Sync!$U777),2)&amp;RIGHT("00"&amp;MINUTE(Sync!$U777),2),IFERROR(RIGHT("00"&amp;VALUE(LEFT(Sync!$U777,FIND(":",Sync!$U777)-1)),2)&amp;RIGHT("00"&amp;VALUE(MID(Sync!$U777,FIND(":",Sync!$U777)+1,2)),2),"0000"))))</f>
        <v/>
      </c>
    </row>
    <row r="782" spans="1:17" x14ac:dyDescent="0.2">
      <c r="A782" t="str">
        <f>IF(Sync!$T778="","",Sync!$T778)</f>
        <v/>
      </c>
      <c r="B782" t="str">
        <f t="shared" si="72"/>
        <v/>
      </c>
      <c r="C782" t="str">
        <f t="shared" si="73"/>
        <v/>
      </c>
      <c r="D782" t="str">
        <f t="shared" si="74"/>
        <v/>
      </c>
      <c r="E782" t="str">
        <f t="shared" si="75"/>
        <v/>
      </c>
      <c r="F782" t="str">
        <f t="shared" si="76"/>
        <v/>
      </c>
      <c r="G782" t="str">
        <f>IF(OR($E782="",$E782="نامعتبر",Sync!$X778=""),"",IF(AND(LEFT(UPPER(TRIM(Sync!$X778)),2)="SL",IFERROR(VLOOKUP(Sync!$W778,OpTbl,3,0),"")="فروش"),UPPER(TRIM(Sync!$X778)),""))</f>
        <v/>
      </c>
      <c r="H782" t="str">
        <f>IF($G782="","",IF(Sync!$W778="","",Sync!$W778))</f>
        <v/>
      </c>
      <c r="I782" t="str">
        <f>IF(OR($G782="",Sync!$Y778=""),"",Sync!$Y778)</f>
        <v/>
      </c>
      <c r="J782" t="str">
        <f>IF(OR($G782="",Sync!$Z778=""),"",Sync!$Z778)</f>
        <v/>
      </c>
      <c r="K782">
        <f>IF($G782="",0,IF(Sync!$AA778="",0,Sync!$AA778))</f>
        <v>0</v>
      </c>
      <c r="L782">
        <f>IF($G782="",0,IF(Sync!$AB778="",0,Sync!$AB778))</f>
        <v>0</v>
      </c>
      <c r="M782" t="str">
        <f t="shared" si="77"/>
        <v/>
      </c>
      <c r="N782">
        <f>IF($G782="",0,IF($H782="مرجوعی فروش",-1,1)*IF(Sync!$AC778="",0,Sync!$AC778))</f>
        <v>0</v>
      </c>
      <c r="O782" t="str">
        <f>IF(OR($G782="",Sync!$V778=""),"",Sync!$V778)</f>
        <v/>
      </c>
      <c r="P782" t="str">
        <f>IF(OR($G782="",Sync!$AD778=""),"",Sync!$AD778)</f>
        <v/>
      </c>
      <c r="Q782" t="str">
        <f>IF($G782="","",IF(Sync!$U778="","0000",IF(AND(ISNUMBER(Sync!$U778),Sync!$U778&gt;=0,Sync!$U778&lt;1),RIGHT("00"&amp;HOUR(Sync!$U778),2)&amp;RIGHT("00"&amp;MINUTE(Sync!$U778),2),IFERROR(RIGHT("00"&amp;VALUE(LEFT(Sync!$U778,FIND(":",Sync!$U778)-1)),2)&amp;RIGHT("00"&amp;VALUE(MID(Sync!$U778,FIND(":",Sync!$U778)+1,2)),2),"0000"))))</f>
        <v/>
      </c>
    </row>
    <row r="783" spans="1:17" x14ac:dyDescent="0.2">
      <c r="A783" t="str">
        <f>IF(Sync!$T779="","",Sync!$T779)</f>
        <v/>
      </c>
      <c r="B783" t="str">
        <f t="shared" si="72"/>
        <v/>
      </c>
      <c r="C783" t="str">
        <f t="shared" si="73"/>
        <v/>
      </c>
      <c r="D783" t="str">
        <f t="shared" si="74"/>
        <v/>
      </c>
      <c r="E783" t="str">
        <f t="shared" si="75"/>
        <v/>
      </c>
      <c r="F783" t="str">
        <f t="shared" si="76"/>
        <v/>
      </c>
      <c r="G783" t="str">
        <f>IF(OR($E783="",$E783="نامعتبر",Sync!$X779=""),"",IF(AND(LEFT(UPPER(TRIM(Sync!$X779)),2)="SL",IFERROR(VLOOKUP(Sync!$W779,OpTbl,3,0),"")="فروش"),UPPER(TRIM(Sync!$X779)),""))</f>
        <v/>
      </c>
      <c r="H783" t="str">
        <f>IF($G783="","",IF(Sync!$W779="","",Sync!$W779))</f>
        <v/>
      </c>
      <c r="I783" t="str">
        <f>IF(OR($G783="",Sync!$Y779=""),"",Sync!$Y779)</f>
        <v/>
      </c>
      <c r="J783" t="str">
        <f>IF(OR($G783="",Sync!$Z779=""),"",Sync!$Z779)</f>
        <v/>
      </c>
      <c r="K783">
        <f>IF($G783="",0,IF(Sync!$AA779="",0,Sync!$AA779))</f>
        <v>0</v>
      </c>
      <c r="L783">
        <f>IF($G783="",0,IF(Sync!$AB779="",0,Sync!$AB779))</f>
        <v>0</v>
      </c>
      <c r="M783" t="str">
        <f t="shared" si="77"/>
        <v/>
      </c>
      <c r="N783">
        <f>IF($G783="",0,IF($H783="مرجوعی فروش",-1,1)*IF(Sync!$AC779="",0,Sync!$AC779))</f>
        <v>0</v>
      </c>
      <c r="O783" t="str">
        <f>IF(OR($G783="",Sync!$V779=""),"",Sync!$V779)</f>
        <v/>
      </c>
      <c r="P783" t="str">
        <f>IF(OR($G783="",Sync!$AD779=""),"",Sync!$AD779)</f>
        <v/>
      </c>
      <c r="Q783" t="str">
        <f>IF($G783="","",IF(Sync!$U779="","0000",IF(AND(ISNUMBER(Sync!$U779),Sync!$U779&gt;=0,Sync!$U779&lt;1),RIGHT("00"&amp;HOUR(Sync!$U779),2)&amp;RIGHT("00"&amp;MINUTE(Sync!$U779),2),IFERROR(RIGHT("00"&amp;VALUE(LEFT(Sync!$U779,FIND(":",Sync!$U779)-1)),2)&amp;RIGHT("00"&amp;VALUE(MID(Sync!$U779,FIND(":",Sync!$U779)+1,2)),2),"0000"))))</f>
        <v/>
      </c>
    </row>
    <row r="784" spans="1:17" x14ac:dyDescent="0.2">
      <c r="A784" t="str">
        <f>IF(Sync!$T780="","",Sync!$T780)</f>
        <v/>
      </c>
      <c r="B784" t="str">
        <f t="shared" si="72"/>
        <v/>
      </c>
      <c r="C784" t="str">
        <f t="shared" si="73"/>
        <v/>
      </c>
      <c r="D784" t="str">
        <f t="shared" si="74"/>
        <v/>
      </c>
      <c r="E784" t="str">
        <f t="shared" si="75"/>
        <v/>
      </c>
      <c r="F784" t="str">
        <f t="shared" si="76"/>
        <v/>
      </c>
      <c r="G784" t="str">
        <f>IF(OR($E784="",$E784="نامعتبر",Sync!$X780=""),"",IF(AND(LEFT(UPPER(TRIM(Sync!$X780)),2)="SL",IFERROR(VLOOKUP(Sync!$W780,OpTbl,3,0),"")="فروش"),UPPER(TRIM(Sync!$X780)),""))</f>
        <v/>
      </c>
      <c r="H784" t="str">
        <f>IF($G784="","",IF(Sync!$W780="","",Sync!$W780))</f>
        <v/>
      </c>
      <c r="I784" t="str">
        <f>IF(OR($G784="",Sync!$Y780=""),"",Sync!$Y780)</f>
        <v/>
      </c>
      <c r="J784" t="str">
        <f>IF(OR($G784="",Sync!$Z780=""),"",Sync!$Z780)</f>
        <v/>
      </c>
      <c r="K784">
        <f>IF($G784="",0,IF(Sync!$AA780="",0,Sync!$AA780))</f>
        <v>0</v>
      </c>
      <c r="L784">
        <f>IF($G784="",0,IF(Sync!$AB780="",0,Sync!$AB780))</f>
        <v>0</v>
      </c>
      <c r="M784" t="str">
        <f t="shared" si="77"/>
        <v/>
      </c>
      <c r="N784">
        <f>IF($G784="",0,IF($H784="مرجوعی فروش",-1,1)*IF(Sync!$AC780="",0,Sync!$AC780))</f>
        <v>0</v>
      </c>
      <c r="O784" t="str">
        <f>IF(OR($G784="",Sync!$V780=""),"",Sync!$V780)</f>
        <v/>
      </c>
      <c r="P784" t="str">
        <f>IF(OR($G784="",Sync!$AD780=""),"",Sync!$AD780)</f>
        <v/>
      </c>
      <c r="Q784" t="str">
        <f>IF($G784="","",IF(Sync!$U780="","0000",IF(AND(ISNUMBER(Sync!$U780),Sync!$U780&gt;=0,Sync!$U780&lt;1),RIGHT("00"&amp;HOUR(Sync!$U780),2)&amp;RIGHT("00"&amp;MINUTE(Sync!$U780),2),IFERROR(RIGHT("00"&amp;VALUE(LEFT(Sync!$U780,FIND(":",Sync!$U780)-1)),2)&amp;RIGHT("00"&amp;VALUE(MID(Sync!$U780,FIND(":",Sync!$U780)+1,2)),2),"0000"))))</f>
        <v/>
      </c>
    </row>
    <row r="785" spans="1:17" x14ac:dyDescent="0.2">
      <c r="A785" t="str">
        <f>IF(Sync!$T781="","",Sync!$T781)</f>
        <v/>
      </c>
      <c r="B785" t="str">
        <f t="shared" si="72"/>
        <v/>
      </c>
      <c r="C785" t="str">
        <f t="shared" si="73"/>
        <v/>
      </c>
      <c r="D785" t="str">
        <f t="shared" si="74"/>
        <v/>
      </c>
      <c r="E785" t="str">
        <f t="shared" si="75"/>
        <v/>
      </c>
      <c r="F785" t="str">
        <f t="shared" si="76"/>
        <v/>
      </c>
      <c r="G785" t="str">
        <f>IF(OR($E785="",$E785="نامعتبر",Sync!$X781=""),"",IF(AND(LEFT(UPPER(TRIM(Sync!$X781)),2)="SL",IFERROR(VLOOKUP(Sync!$W781,OpTbl,3,0),"")="فروش"),UPPER(TRIM(Sync!$X781)),""))</f>
        <v/>
      </c>
      <c r="H785" t="str">
        <f>IF($G785="","",IF(Sync!$W781="","",Sync!$W781))</f>
        <v/>
      </c>
      <c r="I785" t="str">
        <f>IF(OR($G785="",Sync!$Y781=""),"",Sync!$Y781)</f>
        <v/>
      </c>
      <c r="J785" t="str">
        <f>IF(OR($G785="",Sync!$Z781=""),"",Sync!$Z781)</f>
        <v/>
      </c>
      <c r="K785">
        <f>IF($G785="",0,IF(Sync!$AA781="",0,Sync!$AA781))</f>
        <v>0</v>
      </c>
      <c r="L785">
        <f>IF($G785="",0,IF(Sync!$AB781="",0,Sync!$AB781))</f>
        <v>0</v>
      </c>
      <c r="M785" t="str">
        <f t="shared" si="77"/>
        <v/>
      </c>
      <c r="N785">
        <f>IF($G785="",0,IF($H785="مرجوعی فروش",-1,1)*IF(Sync!$AC781="",0,Sync!$AC781))</f>
        <v>0</v>
      </c>
      <c r="O785" t="str">
        <f>IF(OR($G785="",Sync!$V781=""),"",Sync!$V781)</f>
        <v/>
      </c>
      <c r="P785" t="str">
        <f>IF(OR($G785="",Sync!$AD781=""),"",Sync!$AD781)</f>
        <v/>
      </c>
      <c r="Q785" t="str">
        <f>IF($G785="","",IF(Sync!$U781="","0000",IF(AND(ISNUMBER(Sync!$U781),Sync!$U781&gt;=0,Sync!$U781&lt;1),RIGHT("00"&amp;HOUR(Sync!$U781),2)&amp;RIGHT("00"&amp;MINUTE(Sync!$U781),2),IFERROR(RIGHT("00"&amp;VALUE(LEFT(Sync!$U781,FIND(":",Sync!$U781)-1)),2)&amp;RIGHT("00"&amp;VALUE(MID(Sync!$U781,FIND(":",Sync!$U781)+1,2)),2),"0000"))))</f>
        <v/>
      </c>
    </row>
    <row r="786" spans="1:17" x14ac:dyDescent="0.2">
      <c r="A786" t="str">
        <f>IF(Sync!$T782="","",Sync!$T782)</f>
        <v/>
      </c>
      <c r="B786" t="str">
        <f t="shared" si="72"/>
        <v/>
      </c>
      <c r="C786" t="str">
        <f t="shared" si="73"/>
        <v/>
      </c>
      <c r="D786" t="str">
        <f t="shared" si="74"/>
        <v/>
      </c>
      <c r="E786" t="str">
        <f t="shared" si="75"/>
        <v/>
      </c>
      <c r="F786" t="str">
        <f t="shared" si="76"/>
        <v/>
      </c>
      <c r="G786" t="str">
        <f>IF(OR($E786="",$E786="نامعتبر",Sync!$X782=""),"",IF(AND(LEFT(UPPER(TRIM(Sync!$X782)),2)="SL",IFERROR(VLOOKUP(Sync!$W782,OpTbl,3,0),"")="فروش"),UPPER(TRIM(Sync!$X782)),""))</f>
        <v/>
      </c>
      <c r="H786" t="str">
        <f>IF($G786="","",IF(Sync!$W782="","",Sync!$W782))</f>
        <v/>
      </c>
      <c r="I786" t="str">
        <f>IF(OR($G786="",Sync!$Y782=""),"",Sync!$Y782)</f>
        <v/>
      </c>
      <c r="J786" t="str">
        <f>IF(OR($G786="",Sync!$Z782=""),"",Sync!$Z782)</f>
        <v/>
      </c>
      <c r="K786">
        <f>IF($G786="",0,IF(Sync!$AA782="",0,Sync!$AA782))</f>
        <v>0</v>
      </c>
      <c r="L786">
        <f>IF($G786="",0,IF(Sync!$AB782="",0,Sync!$AB782))</f>
        <v>0</v>
      </c>
      <c r="M786" t="str">
        <f t="shared" si="77"/>
        <v/>
      </c>
      <c r="N786">
        <f>IF($G786="",0,IF($H786="مرجوعی فروش",-1,1)*IF(Sync!$AC782="",0,Sync!$AC782))</f>
        <v>0</v>
      </c>
      <c r="O786" t="str">
        <f>IF(OR($G786="",Sync!$V782=""),"",Sync!$V782)</f>
        <v/>
      </c>
      <c r="P786" t="str">
        <f>IF(OR($G786="",Sync!$AD782=""),"",Sync!$AD782)</f>
        <v/>
      </c>
      <c r="Q786" t="str">
        <f>IF($G786="","",IF(Sync!$U782="","0000",IF(AND(ISNUMBER(Sync!$U782),Sync!$U782&gt;=0,Sync!$U782&lt;1),RIGHT("00"&amp;HOUR(Sync!$U782),2)&amp;RIGHT("00"&amp;MINUTE(Sync!$U782),2),IFERROR(RIGHT("00"&amp;VALUE(LEFT(Sync!$U782,FIND(":",Sync!$U782)-1)),2)&amp;RIGHT("00"&amp;VALUE(MID(Sync!$U782,FIND(":",Sync!$U782)+1,2)),2),"0000"))))</f>
        <v/>
      </c>
    </row>
    <row r="787" spans="1:17" x14ac:dyDescent="0.2">
      <c r="A787" t="str">
        <f>IF(Sync!$T783="","",Sync!$T783)</f>
        <v/>
      </c>
      <c r="B787" t="str">
        <f t="shared" si="72"/>
        <v/>
      </c>
      <c r="C787" t="str">
        <f t="shared" si="73"/>
        <v/>
      </c>
      <c r="D787" t="str">
        <f t="shared" si="74"/>
        <v/>
      </c>
      <c r="E787" t="str">
        <f t="shared" si="75"/>
        <v/>
      </c>
      <c r="F787" t="str">
        <f t="shared" si="76"/>
        <v/>
      </c>
      <c r="G787" t="str">
        <f>IF(OR($E787="",$E787="نامعتبر",Sync!$X783=""),"",IF(AND(LEFT(UPPER(TRIM(Sync!$X783)),2)="SL",IFERROR(VLOOKUP(Sync!$W783,OpTbl,3,0),"")="فروش"),UPPER(TRIM(Sync!$X783)),""))</f>
        <v/>
      </c>
      <c r="H787" t="str">
        <f>IF($G787="","",IF(Sync!$W783="","",Sync!$W783))</f>
        <v/>
      </c>
      <c r="I787" t="str">
        <f>IF(OR($G787="",Sync!$Y783=""),"",Sync!$Y783)</f>
        <v/>
      </c>
      <c r="J787" t="str">
        <f>IF(OR($G787="",Sync!$Z783=""),"",Sync!$Z783)</f>
        <v/>
      </c>
      <c r="K787">
        <f>IF($G787="",0,IF(Sync!$AA783="",0,Sync!$AA783))</f>
        <v>0</v>
      </c>
      <c r="L787">
        <f>IF($G787="",0,IF(Sync!$AB783="",0,Sync!$AB783))</f>
        <v>0</v>
      </c>
      <c r="M787" t="str">
        <f t="shared" si="77"/>
        <v/>
      </c>
      <c r="N787">
        <f>IF($G787="",0,IF($H787="مرجوعی فروش",-1,1)*IF(Sync!$AC783="",0,Sync!$AC783))</f>
        <v>0</v>
      </c>
      <c r="O787" t="str">
        <f>IF(OR($G787="",Sync!$V783=""),"",Sync!$V783)</f>
        <v/>
      </c>
      <c r="P787" t="str">
        <f>IF(OR($G787="",Sync!$AD783=""),"",Sync!$AD783)</f>
        <v/>
      </c>
      <c r="Q787" t="str">
        <f>IF($G787="","",IF(Sync!$U783="","0000",IF(AND(ISNUMBER(Sync!$U783),Sync!$U783&gt;=0,Sync!$U783&lt;1),RIGHT("00"&amp;HOUR(Sync!$U783),2)&amp;RIGHT("00"&amp;MINUTE(Sync!$U783),2),IFERROR(RIGHT("00"&amp;VALUE(LEFT(Sync!$U783,FIND(":",Sync!$U783)-1)),2)&amp;RIGHT("00"&amp;VALUE(MID(Sync!$U783,FIND(":",Sync!$U783)+1,2)),2),"0000"))))</f>
        <v/>
      </c>
    </row>
    <row r="788" spans="1:17" x14ac:dyDescent="0.2">
      <c r="A788" t="str">
        <f>IF(Sync!$T784="","",Sync!$T784)</f>
        <v/>
      </c>
      <c r="B788" t="str">
        <f t="shared" si="72"/>
        <v/>
      </c>
      <c r="C788" t="str">
        <f t="shared" si="73"/>
        <v/>
      </c>
      <c r="D788" t="str">
        <f t="shared" si="74"/>
        <v/>
      </c>
      <c r="E788" t="str">
        <f t="shared" si="75"/>
        <v/>
      </c>
      <c r="F788" t="str">
        <f t="shared" si="76"/>
        <v/>
      </c>
      <c r="G788" t="str">
        <f>IF(OR($E788="",$E788="نامعتبر",Sync!$X784=""),"",IF(AND(LEFT(UPPER(TRIM(Sync!$X784)),2)="SL",IFERROR(VLOOKUP(Sync!$W784,OpTbl,3,0),"")="فروش"),UPPER(TRIM(Sync!$X784)),""))</f>
        <v/>
      </c>
      <c r="H788" t="str">
        <f>IF($G788="","",IF(Sync!$W784="","",Sync!$W784))</f>
        <v/>
      </c>
      <c r="I788" t="str">
        <f>IF(OR($G788="",Sync!$Y784=""),"",Sync!$Y784)</f>
        <v/>
      </c>
      <c r="J788" t="str">
        <f>IF(OR($G788="",Sync!$Z784=""),"",Sync!$Z784)</f>
        <v/>
      </c>
      <c r="K788">
        <f>IF($G788="",0,IF(Sync!$AA784="",0,Sync!$AA784))</f>
        <v>0</v>
      </c>
      <c r="L788">
        <f>IF($G788="",0,IF(Sync!$AB784="",0,Sync!$AB784))</f>
        <v>0</v>
      </c>
      <c r="M788" t="str">
        <f t="shared" si="77"/>
        <v/>
      </c>
      <c r="N788">
        <f>IF($G788="",0,IF($H788="مرجوعی فروش",-1,1)*IF(Sync!$AC784="",0,Sync!$AC784))</f>
        <v>0</v>
      </c>
      <c r="O788" t="str">
        <f>IF(OR($G788="",Sync!$V784=""),"",Sync!$V784)</f>
        <v/>
      </c>
      <c r="P788" t="str">
        <f>IF(OR($G788="",Sync!$AD784=""),"",Sync!$AD784)</f>
        <v/>
      </c>
      <c r="Q788" t="str">
        <f>IF($G788="","",IF(Sync!$U784="","0000",IF(AND(ISNUMBER(Sync!$U784),Sync!$U784&gt;=0,Sync!$U784&lt;1),RIGHT("00"&amp;HOUR(Sync!$U784),2)&amp;RIGHT("00"&amp;MINUTE(Sync!$U784),2),IFERROR(RIGHT("00"&amp;VALUE(LEFT(Sync!$U784,FIND(":",Sync!$U784)-1)),2)&amp;RIGHT("00"&amp;VALUE(MID(Sync!$U784,FIND(":",Sync!$U784)+1,2)),2),"0000"))))</f>
        <v/>
      </c>
    </row>
    <row r="789" spans="1:17" x14ac:dyDescent="0.2">
      <c r="A789" t="str">
        <f>IF(Sync!$T785="","",Sync!$T785)</f>
        <v/>
      </c>
      <c r="B789" t="str">
        <f t="shared" si="72"/>
        <v/>
      </c>
      <c r="C789" t="str">
        <f t="shared" si="73"/>
        <v/>
      </c>
      <c r="D789" t="str">
        <f t="shared" si="74"/>
        <v/>
      </c>
      <c r="E789" t="str">
        <f t="shared" si="75"/>
        <v/>
      </c>
      <c r="F789" t="str">
        <f t="shared" si="76"/>
        <v/>
      </c>
      <c r="G789" t="str">
        <f>IF(OR($E789="",$E789="نامعتبر",Sync!$X785=""),"",IF(AND(LEFT(UPPER(TRIM(Sync!$X785)),2)="SL",IFERROR(VLOOKUP(Sync!$W785,OpTbl,3,0),"")="فروش"),UPPER(TRIM(Sync!$X785)),""))</f>
        <v/>
      </c>
      <c r="H789" t="str">
        <f>IF($G789="","",IF(Sync!$W785="","",Sync!$W785))</f>
        <v/>
      </c>
      <c r="I789" t="str">
        <f>IF(OR($G789="",Sync!$Y785=""),"",Sync!$Y785)</f>
        <v/>
      </c>
      <c r="J789" t="str">
        <f>IF(OR($G789="",Sync!$Z785=""),"",Sync!$Z785)</f>
        <v/>
      </c>
      <c r="K789">
        <f>IF($G789="",0,IF(Sync!$AA785="",0,Sync!$AA785))</f>
        <v>0</v>
      </c>
      <c r="L789">
        <f>IF($G789="",0,IF(Sync!$AB785="",0,Sync!$AB785))</f>
        <v>0</v>
      </c>
      <c r="M789" t="str">
        <f t="shared" si="77"/>
        <v/>
      </c>
      <c r="N789">
        <f>IF($G789="",0,IF($H789="مرجوعی فروش",-1,1)*IF(Sync!$AC785="",0,Sync!$AC785))</f>
        <v>0</v>
      </c>
      <c r="O789" t="str">
        <f>IF(OR($G789="",Sync!$V785=""),"",Sync!$V785)</f>
        <v/>
      </c>
      <c r="P789" t="str">
        <f>IF(OR($G789="",Sync!$AD785=""),"",Sync!$AD785)</f>
        <v/>
      </c>
      <c r="Q789" t="str">
        <f>IF($G789="","",IF(Sync!$U785="","0000",IF(AND(ISNUMBER(Sync!$U785),Sync!$U785&gt;=0,Sync!$U785&lt;1),RIGHT("00"&amp;HOUR(Sync!$U785),2)&amp;RIGHT("00"&amp;MINUTE(Sync!$U785),2),IFERROR(RIGHT("00"&amp;VALUE(LEFT(Sync!$U785,FIND(":",Sync!$U785)-1)),2)&amp;RIGHT("00"&amp;VALUE(MID(Sync!$U785,FIND(":",Sync!$U785)+1,2)),2),"0000"))))</f>
        <v/>
      </c>
    </row>
    <row r="790" spans="1:17" x14ac:dyDescent="0.2">
      <c r="A790" t="str">
        <f>IF(Sync!$T786="","",Sync!$T786)</f>
        <v/>
      </c>
      <c r="B790" t="str">
        <f t="shared" si="72"/>
        <v/>
      </c>
      <c r="C790" t="str">
        <f t="shared" si="73"/>
        <v/>
      </c>
      <c r="D790" t="str">
        <f t="shared" si="74"/>
        <v/>
      </c>
      <c r="E790" t="str">
        <f t="shared" si="75"/>
        <v/>
      </c>
      <c r="F790" t="str">
        <f t="shared" si="76"/>
        <v/>
      </c>
      <c r="G790" t="str">
        <f>IF(OR($E790="",$E790="نامعتبر",Sync!$X786=""),"",IF(AND(LEFT(UPPER(TRIM(Sync!$X786)),2)="SL",IFERROR(VLOOKUP(Sync!$W786,OpTbl,3,0),"")="فروش"),UPPER(TRIM(Sync!$X786)),""))</f>
        <v/>
      </c>
      <c r="H790" t="str">
        <f>IF($G790="","",IF(Sync!$W786="","",Sync!$W786))</f>
        <v/>
      </c>
      <c r="I790" t="str">
        <f>IF(OR($G790="",Sync!$Y786=""),"",Sync!$Y786)</f>
        <v/>
      </c>
      <c r="J790" t="str">
        <f>IF(OR($G790="",Sync!$Z786=""),"",Sync!$Z786)</f>
        <v/>
      </c>
      <c r="K790">
        <f>IF($G790="",0,IF(Sync!$AA786="",0,Sync!$AA786))</f>
        <v>0</v>
      </c>
      <c r="L790">
        <f>IF($G790="",0,IF(Sync!$AB786="",0,Sync!$AB786))</f>
        <v>0</v>
      </c>
      <c r="M790" t="str">
        <f t="shared" si="77"/>
        <v/>
      </c>
      <c r="N790">
        <f>IF($G790="",0,IF($H790="مرجوعی فروش",-1,1)*IF(Sync!$AC786="",0,Sync!$AC786))</f>
        <v>0</v>
      </c>
      <c r="O790" t="str">
        <f>IF(OR($G790="",Sync!$V786=""),"",Sync!$V786)</f>
        <v/>
      </c>
      <c r="P790" t="str">
        <f>IF(OR($G790="",Sync!$AD786=""),"",Sync!$AD786)</f>
        <v/>
      </c>
      <c r="Q790" t="str">
        <f>IF($G790="","",IF(Sync!$U786="","0000",IF(AND(ISNUMBER(Sync!$U786),Sync!$U786&gt;=0,Sync!$U786&lt;1),RIGHT("00"&amp;HOUR(Sync!$U786),2)&amp;RIGHT("00"&amp;MINUTE(Sync!$U786),2),IFERROR(RIGHT("00"&amp;VALUE(LEFT(Sync!$U786,FIND(":",Sync!$U786)-1)),2)&amp;RIGHT("00"&amp;VALUE(MID(Sync!$U786,FIND(":",Sync!$U786)+1,2)),2),"0000"))))</f>
        <v/>
      </c>
    </row>
    <row r="791" spans="1:17" x14ac:dyDescent="0.2">
      <c r="A791" t="str">
        <f>IF(Sync!$T787="","",Sync!$T787)</f>
        <v/>
      </c>
      <c r="B791" t="str">
        <f t="shared" si="72"/>
        <v/>
      </c>
      <c r="C791" t="str">
        <f t="shared" si="73"/>
        <v/>
      </c>
      <c r="D791" t="str">
        <f t="shared" si="74"/>
        <v/>
      </c>
      <c r="E791" t="str">
        <f t="shared" si="75"/>
        <v/>
      </c>
      <c r="F791" t="str">
        <f t="shared" si="76"/>
        <v/>
      </c>
      <c r="G791" t="str">
        <f>IF(OR($E791="",$E791="نامعتبر",Sync!$X787=""),"",IF(AND(LEFT(UPPER(TRIM(Sync!$X787)),2)="SL",IFERROR(VLOOKUP(Sync!$W787,OpTbl,3,0),"")="فروش"),UPPER(TRIM(Sync!$X787)),""))</f>
        <v/>
      </c>
      <c r="H791" t="str">
        <f>IF($G791="","",IF(Sync!$W787="","",Sync!$W787))</f>
        <v/>
      </c>
      <c r="I791" t="str">
        <f>IF(OR($G791="",Sync!$Y787=""),"",Sync!$Y787)</f>
        <v/>
      </c>
      <c r="J791" t="str">
        <f>IF(OR($G791="",Sync!$Z787=""),"",Sync!$Z787)</f>
        <v/>
      </c>
      <c r="K791">
        <f>IF($G791="",0,IF(Sync!$AA787="",0,Sync!$AA787))</f>
        <v>0</v>
      </c>
      <c r="L791">
        <f>IF($G791="",0,IF(Sync!$AB787="",0,Sync!$AB787))</f>
        <v>0</v>
      </c>
      <c r="M791" t="str">
        <f t="shared" si="77"/>
        <v/>
      </c>
      <c r="N791">
        <f>IF($G791="",0,IF($H791="مرجوعی فروش",-1,1)*IF(Sync!$AC787="",0,Sync!$AC787))</f>
        <v>0</v>
      </c>
      <c r="O791" t="str">
        <f>IF(OR($G791="",Sync!$V787=""),"",Sync!$V787)</f>
        <v/>
      </c>
      <c r="P791" t="str">
        <f>IF(OR($G791="",Sync!$AD787=""),"",Sync!$AD787)</f>
        <v/>
      </c>
      <c r="Q791" t="str">
        <f>IF($G791="","",IF(Sync!$U787="","0000",IF(AND(ISNUMBER(Sync!$U787),Sync!$U787&gt;=0,Sync!$U787&lt;1),RIGHT("00"&amp;HOUR(Sync!$U787),2)&amp;RIGHT("00"&amp;MINUTE(Sync!$U787),2),IFERROR(RIGHT("00"&amp;VALUE(LEFT(Sync!$U787,FIND(":",Sync!$U787)-1)),2)&amp;RIGHT("00"&amp;VALUE(MID(Sync!$U787,FIND(":",Sync!$U787)+1,2)),2),"0000"))))</f>
        <v/>
      </c>
    </row>
    <row r="792" spans="1:17" x14ac:dyDescent="0.2">
      <c r="A792" t="str">
        <f>IF(Sync!$T788="","",Sync!$T788)</f>
        <v/>
      </c>
      <c r="B792" t="str">
        <f t="shared" si="72"/>
        <v/>
      </c>
      <c r="C792" t="str">
        <f t="shared" si="73"/>
        <v/>
      </c>
      <c r="D792" t="str">
        <f t="shared" si="74"/>
        <v/>
      </c>
      <c r="E792" t="str">
        <f t="shared" si="75"/>
        <v/>
      </c>
      <c r="F792" t="str">
        <f t="shared" si="76"/>
        <v/>
      </c>
      <c r="G792" t="str">
        <f>IF(OR($E792="",$E792="نامعتبر",Sync!$X788=""),"",IF(AND(LEFT(UPPER(TRIM(Sync!$X788)),2)="SL",IFERROR(VLOOKUP(Sync!$W788,OpTbl,3,0),"")="فروش"),UPPER(TRIM(Sync!$X788)),""))</f>
        <v/>
      </c>
      <c r="H792" t="str">
        <f>IF($G792="","",IF(Sync!$W788="","",Sync!$W788))</f>
        <v/>
      </c>
      <c r="I792" t="str">
        <f>IF(OR($G792="",Sync!$Y788=""),"",Sync!$Y788)</f>
        <v/>
      </c>
      <c r="J792" t="str">
        <f>IF(OR($G792="",Sync!$Z788=""),"",Sync!$Z788)</f>
        <v/>
      </c>
      <c r="K792">
        <f>IF($G792="",0,IF(Sync!$AA788="",0,Sync!$AA788))</f>
        <v>0</v>
      </c>
      <c r="L792">
        <f>IF($G792="",0,IF(Sync!$AB788="",0,Sync!$AB788))</f>
        <v>0</v>
      </c>
      <c r="M792" t="str">
        <f t="shared" si="77"/>
        <v/>
      </c>
      <c r="N792">
        <f>IF($G792="",0,IF($H792="مرجوعی فروش",-1,1)*IF(Sync!$AC788="",0,Sync!$AC788))</f>
        <v>0</v>
      </c>
      <c r="O792" t="str">
        <f>IF(OR($G792="",Sync!$V788=""),"",Sync!$V788)</f>
        <v/>
      </c>
      <c r="P792" t="str">
        <f>IF(OR($G792="",Sync!$AD788=""),"",Sync!$AD788)</f>
        <v/>
      </c>
      <c r="Q792" t="str">
        <f>IF($G792="","",IF(Sync!$U788="","0000",IF(AND(ISNUMBER(Sync!$U788),Sync!$U788&gt;=0,Sync!$U788&lt;1),RIGHT("00"&amp;HOUR(Sync!$U788),2)&amp;RIGHT("00"&amp;MINUTE(Sync!$U788),2),IFERROR(RIGHT("00"&amp;VALUE(LEFT(Sync!$U788,FIND(":",Sync!$U788)-1)),2)&amp;RIGHT("00"&amp;VALUE(MID(Sync!$U788,FIND(":",Sync!$U788)+1,2)),2),"0000"))))</f>
        <v/>
      </c>
    </row>
    <row r="793" spans="1:17" x14ac:dyDescent="0.2">
      <c r="A793" t="str">
        <f>IF(Sync!$T789="","",Sync!$T789)</f>
        <v/>
      </c>
      <c r="B793" t="str">
        <f t="shared" si="72"/>
        <v/>
      </c>
      <c r="C793" t="str">
        <f t="shared" si="73"/>
        <v/>
      </c>
      <c r="D793" t="str">
        <f t="shared" si="74"/>
        <v/>
      </c>
      <c r="E793" t="str">
        <f t="shared" si="75"/>
        <v/>
      </c>
      <c r="F793" t="str">
        <f t="shared" si="76"/>
        <v/>
      </c>
      <c r="G793" t="str">
        <f>IF(OR($E793="",$E793="نامعتبر",Sync!$X789=""),"",IF(AND(LEFT(UPPER(TRIM(Sync!$X789)),2)="SL",IFERROR(VLOOKUP(Sync!$W789,OpTbl,3,0),"")="فروش"),UPPER(TRIM(Sync!$X789)),""))</f>
        <v/>
      </c>
      <c r="H793" t="str">
        <f>IF($G793="","",IF(Sync!$W789="","",Sync!$W789))</f>
        <v/>
      </c>
      <c r="I793" t="str">
        <f>IF(OR($G793="",Sync!$Y789=""),"",Sync!$Y789)</f>
        <v/>
      </c>
      <c r="J793" t="str">
        <f>IF(OR($G793="",Sync!$Z789=""),"",Sync!$Z789)</f>
        <v/>
      </c>
      <c r="K793">
        <f>IF($G793="",0,IF(Sync!$AA789="",0,Sync!$AA789))</f>
        <v>0</v>
      </c>
      <c r="L793">
        <f>IF($G793="",0,IF(Sync!$AB789="",0,Sync!$AB789))</f>
        <v>0</v>
      </c>
      <c r="M793" t="str">
        <f t="shared" si="77"/>
        <v/>
      </c>
      <c r="N793">
        <f>IF($G793="",0,IF($H793="مرجوعی فروش",-1,1)*IF(Sync!$AC789="",0,Sync!$AC789))</f>
        <v>0</v>
      </c>
      <c r="O793" t="str">
        <f>IF(OR($G793="",Sync!$V789=""),"",Sync!$V789)</f>
        <v/>
      </c>
      <c r="P793" t="str">
        <f>IF(OR($G793="",Sync!$AD789=""),"",Sync!$AD789)</f>
        <v/>
      </c>
      <c r="Q793" t="str">
        <f>IF($G793="","",IF(Sync!$U789="","0000",IF(AND(ISNUMBER(Sync!$U789),Sync!$U789&gt;=0,Sync!$U789&lt;1),RIGHT("00"&amp;HOUR(Sync!$U789),2)&amp;RIGHT("00"&amp;MINUTE(Sync!$U789),2),IFERROR(RIGHT("00"&amp;VALUE(LEFT(Sync!$U789,FIND(":",Sync!$U789)-1)),2)&amp;RIGHT("00"&amp;VALUE(MID(Sync!$U789,FIND(":",Sync!$U789)+1,2)),2),"0000"))))</f>
        <v/>
      </c>
    </row>
    <row r="794" spans="1:17" x14ac:dyDescent="0.2">
      <c r="A794" t="str">
        <f>IF(Sync!$T790="","",Sync!$T790)</f>
        <v/>
      </c>
      <c r="B794" t="str">
        <f t="shared" si="72"/>
        <v/>
      </c>
      <c r="C794" t="str">
        <f t="shared" si="73"/>
        <v/>
      </c>
      <c r="D794" t="str">
        <f t="shared" si="74"/>
        <v/>
      </c>
      <c r="E794" t="str">
        <f t="shared" si="75"/>
        <v/>
      </c>
      <c r="F794" t="str">
        <f t="shared" si="76"/>
        <v/>
      </c>
      <c r="G794" t="str">
        <f>IF(OR($E794="",$E794="نامعتبر",Sync!$X790=""),"",IF(AND(LEFT(UPPER(TRIM(Sync!$X790)),2)="SL",IFERROR(VLOOKUP(Sync!$W790,OpTbl,3,0),"")="فروش"),UPPER(TRIM(Sync!$X790)),""))</f>
        <v/>
      </c>
      <c r="H794" t="str">
        <f>IF($G794="","",IF(Sync!$W790="","",Sync!$W790))</f>
        <v/>
      </c>
      <c r="I794" t="str">
        <f>IF(OR($G794="",Sync!$Y790=""),"",Sync!$Y790)</f>
        <v/>
      </c>
      <c r="J794" t="str">
        <f>IF(OR($G794="",Sync!$Z790=""),"",Sync!$Z790)</f>
        <v/>
      </c>
      <c r="K794">
        <f>IF($G794="",0,IF(Sync!$AA790="",0,Sync!$AA790))</f>
        <v>0</v>
      </c>
      <c r="L794">
        <f>IF($G794="",0,IF(Sync!$AB790="",0,Sync!$AB790))</f>
        <v>0</v>
      </c>
      <c r="M794" t="str">
        <f t="shared" si="77"/>
        <v/>
      </c>
      <c r="N794">
        <f>IF($G794="",0,IF($H794="مرجوعی فروش",-1,1)*IF(Sync!$AC790="",0,Sync!$AC790))</f>
        <v>0</v>
      </c>
      <c r="O794" t="str">
        <f>IF(OR($G794="",Sync!$V790=""),"",Sync!$V790)</f>
        <v/>
      </c>
      <c r="P794" t="str">
        <f>IF(OR($G794="",Sync!$AD790=""),"",Sync!$AD790)</f>
        <v/>
      </c>
      <c r="Q794" t="str">
        <f>IF($G794="","",IF(Sync!$U790="","0000",IF(AND(ISNUMBER(Sync!$U790),Sync!$U790&gt;=0,Sync!$U790&lt;1),RIGHT("00"&amp;HOUR(Sync!$U790),2)&amp;RIGHT("00"&amp;MINUTE(Sync!$U790),2),IFERROR(RIGHT("00"&amp;VALUE(LEFT(Sync!$U790,FIND(":",Sync!$U790)-1)),2)&amp;RIGHT("00"&amp;VALUE(MID(Sync!$U790,FIND(":",Sync!$U790)+1,2)),2),"0000"))))</f>
        <v/>
      </c>
    </row>
    <row r="795" spans="1:17" x14ac:dyDescent="0.2">
      <c r="A795" t="str">
        <f>IF(Sync!$T791="","",Sync!$T791)</f>
        <v/>
      </c>
      <c r="B795" t="str">
        <f t="shared" si="72"/>
        <v/>
      </c>
      <c r="C795" t="str">
        <f t="shared" si="73"/>
        <v/>
      </c>
      <c r="D795" t="str">
        <f t="shared" si="74"/>
        <v/>
      </c>
      <c r="E795" t="str">
        <f t="shared" si="75"/>
        <v/>
      </c>
      <c r="F795" t="str">
        <f t="shared" si="76"/>
        <v/>
      </c>
      <c r="G795" t="str">
        <f>IF(OR($E795="",$E795="نامعتبر",Sync!$X791=""),"",IF(AND(LEFT(UPPER(TRIM(Sync!$X791)),2)="SL",IFERROR(VLOOKUP(Sync!$W791,OpTbl,3,0),"")="فروش"),UPPER(TRIM(Sync!$X791)),""))</f>
        <v/>
      </c>
      <c r="H795" t="str">
        <f>IF($G795="","",IF(Sync!$W791="","",Sync!$W791))</f>
        <v/>
      </c>
      <c r="I795" t="str">
        <f>IF(OR($G795="",Sync!$Y791=""),"",Sync!$Y791)</f>
        <v/>
      </c>
      <c r="J795" t="str">
        <f>IF(OR($G795="",Sync!$Z791=""),"",Sync!$Z791)</f>
        <v/>
      </c>
      <c r="K795">
        <f>IF($G795="",0,IF(Sync!$AA791="",0,Sync!$AA791))</f>
        <v>0</v>
      </c>
      <c r="L795">
        <f>IF($G795="",0,IF(Sync!$AB791="",0,Sync!$AB791))</f>
        <v>0</v>
      </c>
      <c r="M795" t="str">
        <f t="shared" si="77"/>
        <v/>
      </c>
      <c r="N795">
        <f>IF($G795="",0,IF($H795="مرجوعی فروش",-1,1)*IF(Sync!$AC791="",0,Sync!$AC791))</f>
        <v>0</v>
      </c>
      <c r="O795" t="str">
        <f>IF(OR($G795="",Sync!$V791=""),"",Sync!$V791)</f>
        <v/>
      </c>
      <c r="P795" t="str">
        <f>IF(OR($G795="",Sync!$AD791=""),"",Sync!$AD791)</f>
        <v/>
      </c>
      <c r="Q795" t="str">
        <f>IF($G795="","",IF(Sync!$U791="","0000",IF(AND(ISNUMBER(Sync!$U791),Sync!$U791&gt;=0,Sync!$U791&lt;1),RIGHT("00"&amp;HOUR(Sync!$U791),2)&amp;RIGHT("00"&amp;MINUTE(Sync!$U791),2),IFERROR(RIGHT("00"&amp;VALUE(LEFT(Sync!$U791,FIND(":",Sync!$U791)-1)),2)&amp;RIGHT("00"&amp;VALUE(MID(Sync!$U791,FIND(":",Sync!$U791)+1,2)),2),"0000"))))</f>
        <v/>
      </c>
    </row>
    <row r="796" spans="1:17" x14ac:dyDescent="0.2">
      <c r="A796" t="str">
        <f>IF(Sync!$T792="","",Sync!$T792)</f>
        <v/>
      </c>
      <c r="B796" t="str">
        <f t="shared" si="72"/>
        <v/>
      </c>
      <c r="C796" t="str">
        <f t="shared" si="73"/>
        <v/>
      </c>
      <c r="D796" t="str">
        <f t="shared" si="74"/>
        <v/>
      </c>
      <c r="E796" t="str">
        <f t="shared" si="75"/>
        <v/>
      </c>
      <c r="F796" t="str">
        <f t="shared" si="76"/>
        <v/>
      </c>
      <c r="G796" t="str">
        <f>IF(OR($E796="",$E796="نامعتبر",Sync!$X792=""),"",IF(AND(LEFT(UPPER(TRIM(Sync!$X792)),2)="SL",IFERROR(VLOOKUP(Sync!$W792,OpTbl,3,0),"")="فروش"),UPPER(TRIM(Sync!$X792)),""))</f>
        <v/>
      </c>
      <c r="H796" t="str">
        <f>IF($G796="","",IF(Sync!$W792="","",Sync!$W792))</f>
        <v/>
      </c>
      <c r="I796" t="str">
        <f>IF(OR($G796="",Sync!$Y792=""),"",Sync!$Y792)</f>
        <v/>
      </c>
      <c r="J796" t="str">
        <f>IF(OR($G796="",Sync!$Z792=""),"",Sync!$Z792)</f>
        <v/>
      </c>
      <c r="K796">
        <f>IF($G796="",0,IF(Sync!$AA792="",0,Sync!$AA792))</f>
        <v>0</v>
      </c>
      <c r="L796">
        <f>IF($G796="",0,IF(Sync!$AB792="",0,Sync!$AB792))</f>
        <v>0</v>
      </c>
      <c r="M796" t="str">
        <f t="shared" si="77"/>
        <v/>
      </c>
      <c r="N796">
        <f>IF($G796="",0,IF($H796="مرجوعی فروش",-1,1)*IF(Sync!$AC792="",0,Sync!$AC792))</f>
        <v>0</v>
      </c>
      <c r="O796" t="str">
        <f>IF(OR($G796="",Sync!$V792=""),"",Sync!$V792)</f>
        <v/>
      </c>
      <c r="P796" t="str">
        <f>IF(OR($G796="",Sync!$AD792=""),"",Sync!$AD792)</f>
        <v/>
      </c>
      <c r="Q796" t="str">
        <f>IF($G796="","",IF(Sync!$U792="","0000",IF(AND(ISNUMBER(Sync!$U792),Sync!$U792&gt;=0,Sync!$U792&lt;1),RIGHT("00"&amp;HOUR(Sync!$U792),2)&amp;RIGHT("00"&amp;MINUTE(Sync!$U792),2),IFERROR(RIGHT("00"&amp;VALUE(LEFT(Sync!$U792,FIND(":",Sync!$U792)-1)),2)&amp;RIGHT("00"&amp;VALUE(MID(Sync!$U792,FIND(":",Sync!$U792)+1,2)),2),"0000"))))</f>
        <v/>
      </c>
    </row>
    <row r="797" spans="1:17" x14ac:dyDescent="0.2">
      <c r="A797" t="str">
        <f>IF(Sync!$T793="","",Sync!$T793)</f>
        <v/>
      </c>
      <c r="B797" t="str">
        <f t="shared" si="72"/>
        <v/>
      </c>
      <c r="C797" t="str">
        <f t="shared" si="73"/>
        <v/>
      </c>
      <c r="D797" t="str">
        <f t="shared" si="74"/>
        <v/>
      </c>
      <c r="E797" t="str">
        <f t="shared" si="75"/>
        <v/>
      </c>
      <c r="F797" t="str">
        <f t="shared" si="76"/>
        <v/>
      </c>
      <c r="G797" t="str">
        <f>IF(OR($E797="",$E797="نامعتبر",Sync!$X793=""),"",IF(AND(LEFT(UPPER(TRIM(Sync!$X793)),2)="SL",IFERROR(VLOOKUP(Sync!$W793,OpTbl,3,0),"")="فروش"),UPPER(TRIM(Sync!$X793)),""))</f>
        <v/>
      </c>
      <c r="H797" t="str">
        <f>IF($G797="","",IF(Sync!$W793="","",Sync!$W793))</f>
        <v/>
      </c>
      <c r="I797" t="str">
        <f>IF(OR($G797="",Sync!$Y793=""),"",Sync!$Y793)</f>
        <v/>
      </c>
      <c r="J797" t="str">
        <f>IF(OR($G797="",Sync!$Z793=""),"",Sync!$Z793)</f>
        <v/>
      </c>
      <c r="K797">
        <f>IF($G797="",0,IF(Sync!$AA793="",0,Sync!$AA793))</f>
        <v>0</v>
      </c>
      <c r="L797">
        <f>IF($G797="",0,IF(Sync!$AB793="",0,Sync!$AB793))</f>
        <v>0</v>
      </c>
      <c r="M797" t="str">
        <f t="shared" si="77"/>
        <v/>
      </c>
      <c r="N797">
        <f>IF($G797="",0,IF($H797="مرجوعی فروش",-1,1)*IF(Sync!$AC793="",0,Sync!$AC793))</f>
        <v>0</v>
      </c>
      <c r="O797" t="str">
        <f>IF(OR($G797="",Sync!$V793=""),"",Sync!$V793)</f>
        <v/>
      </c>
      <c r="P797" t="str">
        <f>IF(OR($G797="",Sync!$AD793=""),"",Sync!$AD793)</f>
        <v/>
      </c>
      <c r="Q797" t="str">
        <f>IF($G797="","",IF(Sync!$U793="","0000",IF(AND(ISNUMBER(Sync!$U793),Sync!$U793&gt;=0,Sync!$U793&lt;1),RIGHT("00"&amp;HOUR(Sync!$U793),2)&amp;RIGHT("00"&amp;MINUTE(Sync!$U793),2),IFERROR(RIGHT("00"&amp;VALUE(LEFT(Sync!$U793,FIND(":",Sync!$U793)-1)),2)&amp;RIGHT("00"&amp;VALUE(MID(Sync!$U793,FIND(":",Sync!$U793)+1,2)),2),"0000"))))</f>
        <v/>
      </c>
    </row>
    <row r="798" spans="1:17" x14ac:dyDescent="0.2">
      <c r="A798" t="str">
        <f>IF(Sync!$T794="","",Sync!$T794)</f>
        <v/>
      </c>
      <c r="B798" t="str">
        <f t="shared" si="72"/>
        <v/>
      </c>
      <c r="C798" t="str">
        <f t="shared" si="73"/>
        <v/>
      </c>
      <c r="D798" t="str">
        <f t="shared" si="74"/>
        <v/>
      </c>
      <c r="E798" t="str">
        <f t="shared" si="75"/>
        <v/>
      </c>
      <c r="F798" t="str">
        <f t="shared" si="76"/>
        <v/>
      </c>
      <c r="G798" t="str">
        <f>IF(OR($E798="",$E798="نامعتبر",Sync!$X794=""),"",IF(AND(LEFT(UPPER(TRIM(Sync!$X794)),2)="SL",IFERROR(VLOOKUP(Sync!$W794,OpTbl,3,0),"")="فروش"),UPPER(TRIM(Sync!$X794)),""))</f>
        <v/>
      </c>
      <c r="H798" t="str">
        <f>IF($G798="","",IF(Sync!$W794="","",Sync!$W794))</f>
        <v/>
      </c>
      <c r="I798" t="str">
        <f>IF(OR($G798="",Sync!$Y794=""),"",Sync!$Y794)</f>
        <v/>
      </c>
      <c r="J798" t="str">
        <f>IF(OR($G798="",Sync!$Z794=""),"",Sync!$Z794)</f>
        <v/>
      </c>
      <c r="K798">
        <f>IF($G798="",0,IF(Sync!$AA794="",0,Sync!$AA794))</f>
        <v>0</v>
      </c>
      <c r="L798">
        <f>IF($G798="",0,IF(Sync!$AB794="",0,Sync!$AB794))</f>
        <v>0</v>
      </c>
      <c r="M798" t="str">
        <f t="shared" si="77"/>
        <v/>
      </c>
      <c r="N798">
        <f>IF($G798="",0,IF($H798="مرجوعی فروش",-1,1)*IF(Sync!$AC794="",0,Sync!$AC794))</f>
        <v>0</v>
      </c>
      <c r="O798" t="str">
        <f>IF(OR($G798="",Sync!$V794=""),"",Sync!$V794)</f>
        <v/>
      </c>
      <c r="P798" t="str">
        <f>IF(OR($G798="",Sync!$AD794=""),"",Sync!$AD794)</f>
        <v/>
      </c>
      <c r="Q798" t="str">
        <f>IF($G798="","",IF(Sync!$U794="","0000",IF(AND(ISNUMBER(Sync!$U794),Sync!$U794&gt;=0,Sync!$U794&lt;1),RIGHT("00"&amp;HOUR(Sync!$U794),2)&amp;RIGHT("00"&amp;MINUTE(Sync!$U794),2),IFERROR(RIGHT("00"&amp;VALUE(LEFT(Sync!$U794,FIND(":",Sync!$U794)-1)),2)&amp;RIGHT("00"&amp;VALUE(MID(Sync!$U794,FIND(":",Sync!$U794)+1,2)),2),"0000"))))</f>
        <v/>
      </c>
    </row>
    <row r="799" spans="1:17" x14ac:dyDescent="0.2">
      <c r="A799" t="str">
        <f>IF(Sync!$T795="","",Sync!$T795)</f>
        <v/>
      </c>
      <c r="B799" t="str">
        <f t="shared" si="72"/>
        <v/>
      </c>
      <c r="C799" t="str">
        <f t="shared" si="73"/>
        <v/>
      </c>
      <c r="D799" t="str">
        <f t="shared" si="74"/>
        <v/>
      </c>
      <c r="E799" t="str">
        <f t="shared" si="75"/>
        <v/>
      </c>
      <c r="F799" t="str">
        <f t="shared" si="76"/>
        <v/>
      </c>
      <c r="G799" t="str">
        <f>IF(OR($E799="",$E799="نامعتبر",Sync!$X795=""),"",IF(AND(LEFT(UPPER(TRIM(Sync!$X795)),2)="SL",IFERROR(VLOOKUP(Sync!$W795,OpTbl,3,0),"")="فروش"),UPPER(TRIM(Sync!$X795)),""))</f>
        <v/>
      </c>
      <c r="H799" t="str">
        <f>IF($G799="","",IF(Sync!$W795="","",Sync!$W795))</f>
        <v/>
      </c>
      <c r="I799" t="str">
        <f>IF(OR($G799="",Sync!$Y795=""),"",Sync!$Y795)</f>
        <v/>
      </c>
      <c r="J799" t="str">
        <f>IF(OR($G799="",Sync!$Z795=""),"",Sync!$Z795)</f>
        <v/>
      </c>
      <c r="K799">
        <f>IF($G799="",0,IF(Sync!$AA795="",0,Sync!$AA795))</f>
        <v>0</v>
      </c>
      <c r="L799">
        <f>IF($G799="",0,IF(Sync!$AB795="",0,Sync!$AB795))</f>
        <v>0</v>
      </c>
      <c r="M799" t="str">
        <f t="shared" si="77"/>
        <v/>
      </c>
      <c r="N799">
        <f>IF($G799="",0,IF($H799="مرجوعی فروش",-1,1)*IF(Sync!$AC795="",0,Sync!$AC795))</f>
        <v>0</v>
      </c>
      <c r="O799" t="str">
        <f>IF(OR($G799="",Sync!$V795=""),"",Sync!$V795)</f>
        <v/>
      </c>
      <c r="P799" t="str">
        <f>IF(OR($G799="",Sync!$AD795=""),"",Sync!$AD795)</f>
        <v/>
      </c>
      <c r="Q799" t="str">
        <f>IF($G799="","",IF(Sync!$U795="","0000",IF(AND(ISNUMBER(Sync!$U795),Sync!$U795&gt;=0,Sync!$U795&lt;1),RIGHT("00"&amp;HOUR(Sync!$U795),2)&amp;RIGHT("00"&amp;MINUTE(Sync!$U795),2),IFERROR(RIGHT("00"&amp;VALUE(LEFT(Sync!$U795,FIND(":",Sync!$U795)-1)),2)&amp;RIGHT("00"&amp;VALUE(MID(Sync!$U795,FIND(":",Sync!$U795)+1,2)),2),"0000"))))</f>
        <v/>
      </c>
    </row>
    <row r="800" spans="1:17" x14ac:dyDescent="0.2">
      <c r="A800" t="str">
        <f>IF(Sync!$T796="","",Sync!$T796)</f>
        <v/>
      </c>
      <c r="B800" t="str">
        <f t="shared" si="72"/>
        <v/>
      </c>
      <c r="C800" t="str">
        <f t="shared" si="73"/>
        <v/>
      </c>
      <c r="D800" t="str">
        <f t="shared" si="74"/>
        <v/>
      </c>
      <c r="E800" t="str">
        <f t="shared" si="75"/>
        <v/>
      </c>
      <c r="F800" t="str">
        <f t="shared" si="76"/>
        <v/>
      </c>
      <c r="G800" t="str">
        <f>IF(OR($E800="",$E800="نامعتبر",Sync!$X796=""),"",IF(AND(LEFT(UPPER(TRIM(Sync!$X796)),2)="SL",IFERROR(VLOOKUP(Sync!$W796,OpTbl,3,0),"")="فروش"),UPPER(TRIM(Sync!$X796)),""))</f>
        <v/>
      </c>
      <c r="H800" t="str">
        <f>IF($G800="","",IF(Sync!$W796="","",Sync!$W796))</f>
        <v/>
      </c>
      <c r="I800" t="str">
        <f>IF(OR($G800="",Sync!$Y796=""),"",Sync!$Y796)</f>
        <v/>
      </c>
      <c r="J800" t="str">
        <f>IF(OR($G800="",Sync!$Z796=""),"",Sync!$Z796)</f>
        <v/>
      </c>
      <c r="K800">
        <f>IF($G800="",0,IF(Sync!$AA796="",0,Sync!$AA796))</f>
        <v>0</v>
      </c>
      <c r="L800">
        <f>IF($G800="",0,IF(Sync!$AB796="",0,Sync!$AB796))</f>
        <v>0</v>
      </c>
      <c r="M800" t="str">
        <f t="shared" si="77"/>
        <v/>
      </c>
      <c r="N800">
        <f>IF($G800="",0,IF($H800="مرجوعی فروش",-1,1)*IF(Sync!$AC796="",0,Sync!$AC796))</f>
        <v>0</v>
      </c>
      <c r="O800" t="str">
        <f>IF(OR($G800="",Sync!$V796=""),"",Sync!$V796)</f>
        <v/>
      </c>
      <c r="P800" t="str">
        <f>IF(OR($G800="",Sync!$AD796=""),"",Sync!$AD796)</f>
        <v/>
      </c>
      <c r="Q800" t="str">
        <f>IF($G800="","",IF(Sync!$U796="","0000",IF(AND(ISNUMBER(Sync!$U796),Sync!$U796&gt;=0,Sync!$U796&lt;1),RIGHT("00"&amp;HOUR(Sync!$U796),2)&amp;RIGHT("00"&amp;MINUTE(Sync!$U796),2),IFERROR(RIGHT("00"&amp;VALUE(LEFT(Sync!$U796,FIND(":",Sync!$U796)-1)),2)&amp;RIGHT("00"&amp;VALUE(MID(Sync!$U796,FIND(":",Sync!$U796)+1,2)),2),"0000"))))</f>
        <v/>
      </c>
    </row>
    <row r="801" spans="1:17" x14ac:dyDescent="0.2">
      <c r="A801" t="str">
        <f>IF(Sync!$T797="","",Sync!$T797)</f>
        <v/>
      </c>
      <c r="B801" t="str">
        <f t="shared" si="72"/>
        <v/>
      </c>
      <c r="C801" t="str">
        <f t="shared" si="73"/>
        <v/>
      </c>
      <c r="D801" t="str">
        <f t="shared" si="74"/>
        <v/>
      </c>
      <c r="E801" t="str">
        <f t="shared" si="75"/>
        <v/>
      </c>
      <c r="F801" t="str">
        <f t="shared" si="76"/>
        <v/>
      </c>
      <c r="G801" t="str">
        <f>IF(OR($E801="",$E801="نامعتبر",Sync!$X797=""),"",IF(AND(LEFT(UPPER(TRIM(Sync!$X797)),2)="SL",IFERROR(VLOOKUP(Sync!$W797,OpTbl,3,0),"")="فروش"),UPPER(TRIM(Sync!$X797)),""))</f>
        <v/>
      </c>
      <c r="H801" t="str">
        <f>IF($G801="","",IF(Sync!$W797="","",Sync!$W797))</f>
        <v/>
      </c>
      <c r="I801" t="str">
        <f>IF(OR($G801="",Sync!$Y797=""),"",Sync!$Y797)</f>
        <v/>
      </c>
      <c r="J801" t="str">
        <f>IF(OR($G801="",Sync!$Z797=""),"",Sync!$Z797)</f>
        <v/>
      </c>
      <c r="K801">
        <f>IF($G801="",0,IF(Sync!$AA797="",0,Sync!$AA797))</f>
        <v>0</v>
      </c>
      <c r="L801">
        <f>IF($G801="",0,IF(Sync!$AB797="",0,Sync!$AB797))</f>
        <v>0</v>
      </c>
      <c r="M801" t="str">
        <f t="shared" si="77"/>
        <v/>
      </c>
      <c r="N801">
        <f>IF($G801="",0,IF($H801="مرجوعی فروش",-1,1)*IF(Sync!$AC797="",0,Sync!$AC797))</f>
        <v>0</v>
      </c>
      <c r="O801" t="str">
        <f>IF(OR($G801="",Sync!$V797=""),"",Sync!$V797)</f>
        <v/>
      </c>
      <c r="P801" t="str">
        <f>IF(OR($G801="",Sync!$AD797=""),"",Sync!$AD797)</f>
        <v/>
      </c>
      <c r="Q801" t="str">
        <f>IF($G801="","",IF(Sync!$U797="","0000",IF(AND(ISNUMBER(Sync!$U797),Sync!$U797&gt;=0,Sync!$U797&lt;1),RIGHT("00"&amp;HOUR(Sync!$U797),2)&amp;RIGHT("00"&amp;MINUTE(Sync!$U797),2),IFERROR(RIGHT("00"&amp;VALUE(LEFT(Sync!$U797,FIND(":",Sync!$U797)-1)),2)&amp;RIGHT("00"&amp;VALUE(MID(Sync!$U797,FIND(":",Sync!$U797)+1,2)),2),"0000"))))</f>
        <v/>
      </c>
    </row>
    <row r="802" spans="1:17" x14ac:dyDescent="0.2">
      <c r="A802" t="str">
        <f>IF(Sync!$T798="","",Sync!$T798)</f>
        <v/>
      </c>
      <c r="B802" t="str">
        <f t="shared" si="72"/>
        <v/>
      </c>
      <c r="C802" t="str">
        <f t="shared" si="73"/>
        <v/>
      </c>
      <c r="D802" t="str">
        <f t="shared" si="74"/>
        <v/>
      </c>
      <c r="E802" t="str">
        <f t="shared" si="75"/>
        <v/>
      </c>
      <c r="F802" t="str">
        <f t="shared" si="76"/>
        <v/>
      </c>
      <c r="G802" t="str">
        <f>IF(OR($E802="",$E802="نامعتبر",Sync!$X798=""),"",IF(AND(LEFT(UPPER(TRIM(Sync!$X798)),2)="SL",IFERROR(VLOOKUP(Sync!$W798,OpTbl,3,0),"")="فروش"),UPPER(TRIM(Sync!$X798)),""))</f>
        <v/>
      </c>
      <c r="H802" t="str">
        <f>IF($G802="","",IF(Sync!$W798="","",Sync!$W798))</f>
        <v/>
      </c>
      <c r="I802" t="str">
        <f>IF(OR($G802="",Sync!$Y798=""),"",Sync!$Y798)</f>
        <v/>
      </c>
      <c r="J802" t="str">
        <f>IF(OR($G802="",Sync!$Z798=""),"",Sync!$Z798)</f>
        <v/>
      </c>
      <c r="K802">
        <f>IF($G802="",0,IF(Sync!$AA798="",0,Sync!$AA798))</f>
        <v>0</v>
      </c>
      <c r="L802">
        <f>IF($G802="",0,IF(Sync!$AB798="",0,Sync!$AB798))</f>
        <v>0</v>
      </c>
      <c r="M802" t="str">
        <f t="shared" si="77"/>
        <v/>
      </c>
      <c r="N802">
        <f>IF($G802="",0,IF($H802="مرجوعی فروش",-1,1)*IF(Sync!$AC798="",0,Sync!$AC798))</f>
        <v>0</v>
      </c>
      <c r="O802" t="str">
        <f>IF(OR($G802="",Sync!$V798=""),"",Sync!$V798)</f>
        <v/>
      </c>
      <c r="P802" t="str">
        <f>IF(OR($G802="",Sync!$AD798=""),"",Sync!$AD798)</f>
        <v/>
      </c>
      <c r="Q802" t="str">
        <f>IF($G802="","",IF(Sync!$U798="","0000",IF(AND(ISNUMBER(Sync!$U798),Sync!$U798&gt;=0,Sync!$U798&lt;1),RIGHT("00"&amp;HOUR(Sync!$U798),2)&amp;RIGHT("00"&amp;MINUTE(Sync!$U798),2),IFERROR(RIGHT("00"&amp;VALUE(LEFT(Sync!$U798,FIND(":",Sync!$U798)-1)),2)&amp;RIGHT("00"&amp;VALUE(MID(Sync!$U798,FIND(":",Sync!$U798)+1,2)),2),"0000"))))</f>
        <v/>
      </c>
    </row>
    <row r="803" spans="1:17" x14ac:dyDescent="0.2">
      <c r="A803" t="str">
        <f>IF(Sync!$T799="","",Sync!$T799)</f>
        <v/>
      </c>
      <c r="B803" t="str">
        <f t="shared" si="72"/>
        <v/>
      </c>
      <c r="C803" t="str">
        <f t="shared" si="73"/>
        <v/>
      </c>
      <c r="D803" t="str">
        <f t="shared" si="74"/>
        <v/>
      </c>
      <c r="E803" t="str">
        <f t="shared" si="75"/>
        <v/>
      </c>
      <c r="F803" t="str">
        <f t="shared" si="76"/>
        <v/>
      </c>
      <c r="G803" t="str">
        <f>IF(OR($E803="",$E803="نامعتبر",Sync!$X799=""),"",IF(AND(LEFT(UPPER(TRIM(Sync!$X799)),2)="SL",IFERROR(VLOOKUP(Sync!$W799,OpTbl,3,0),"")="فروش"),UPPER(TRIM(Sync!$X799)),""))</f>
        <v/>
      </c>
      <c r="H803" t="str">
        <f>IF($G803="","",IF(Sync!$W799="","",Sync!$W799))</f>
        <v/>
      </c>
      <c r="I803" t="str">
        <f>IF(OR($G803="",Sync!$Y799=""),"",Sync!$Y799)</f>
        <v/>
      </c>
      <c r="J803" t="str">
        <f>IF(OR($G803="",Sync!$Z799=""),"",Sync!$Z799)</f>
        <v/>
      </c>
      <c r="K803">
        <f>IF($G803="",0,IF(Sync!$AA799="",0,Sync!$AA799))</f>
        <v>0</v>
      </c>
      <c r="L803">
        <f>IF($G803="",0,IF(Sync!$AB799="",0,Sync!$AB799))</f>
        <v>0</v>
      </c>
      <c r="M803" t="str">
        <f t="shared" si="77"/>
        <v/>
      </c>
      <c r="N803">
        <f>IF($G803="",0,IF($H803="مرجوعی فروش",-1,1)*IF(Sync!$AC799="",0,Sync!$AC799))</f>
        <v>0</v>
      </c>
      <c r="O803" t="str">
        <f>IF(OR($G803="",Sync!$V799=""),"",Sync!$V799)</f>
        <v/>
      </c>
      <c r="P803" t="str">
        <f>IF(OR($G803="",Sync!$AD799=""),"",Sync!$AD799)</f>
        <v/>
      </c>
      <c r="Q803" t="str">
        <f>IF($G803="","",IF(Sync!$U799="","0000",IF(AND(ISNUMBER(Sync!$U799),Sync!$U799&gt;=0,Sync!$U799&lt;1),RIGHT("00"&amp;HOUR(Sync!$U799),2)&amp;RIGHT("00"&amp;MINUTE(Sync!$U799),2),IFERROR(RIGHT("00"&amp;VALUE(LEFT(Sync!$U799,FIND(":",Sync!$U799)-1)),2)&amp;RIGHT("00"&amp;VALUE(MID(Sync!$U799,FIND(":",Sync!$U799)+1,2)),2),"0000"))))</f>
        <v/>
      </c>
    </row>
    <row r="804" spans="1:17" x14ac:dyDescent="0.2">
      <c r="A804" t="str">
        <f>IF(Sync!$T800="","",Sync!$T800)</f>
        <v/>
      </c>
      <c r="B804" t="str">
        <f t="shared" si="72"/>
        <v/>
      </c>
      <c r="C804" t="str">
        <f t="shared" si="73"/>
        <v/>
      </c>
      <c r="D804" t="str">
        <f t="shared" si="74"/>
        <v/>
      </c>
      <c r="E804" t="str">
        <f t="shared" si="75"/>
        <v/>
      </c>
      <c r="F804" t="str">
        <f t="shared" si="76"/>
        <v/>
      </c>
      <c r="G804" t="str">
        <f>IF(OR($E804="",$E804="نامعتبر",Sync!$X800=""),"",IF(AND(LEFT(UPPER(TRIM(Sync!$X800)),2)="SL",IFERROR(VLOOKUP(Sync!$W800,OpTbl,3,0),"")="فروش"),UPPER(TRIM(Sync!$X800)),""))</f>
        <v/>
      </c>
      <c r="H804" t="str">
        <f>IF($G804="","",IF(Sync!$W800="","",Sync!$W800))</f>
        <v/>
      </c>
      <c r="I804" t="str">
        <f>IF(OR($G804="",Sync!$Y800=""),"",Sync!$Y800)</f>
        <v/>
      </c>
      <c r="J804" t="str">
        <f>IF(OR($G804="",Sync!$Z800=""),"",Sync!$Z800)</f>
        <v/>
      </c>
      <c r="K804">
        <f>IF($G804="",0,IF(Sync!$AA800="",0,Sync!$AA800))</f>
        <v>0</v>
      </c>
      <c r="L804">
        <f>IF($G804="",0,IF(Sync!$AB800="",0,Sync!$AB800))</f>
        <v>0</v>
      </c>
      <c r="M804" t="str">
        <f t="shared" si="77"/>
        <v/>
      </c>
      <c r="N804">
        <f>IF($G804="",0,IF($H804="مرجوعی فروش",-1,1)*IF(Sync!$AC800="",0,Sync!$AC800))</f>
        <v>0</v>
      </c>
      <c r="O804" t="str">
        <f>IF(OR($G804="",Sync!$V800=""),"",Sync!$V800)</f>
        <v/>
      </c>
      <c r="P804" t="str">
        <f>IF(OR($G804="",Sync!$AD800=""),"",Sync!$AD800)</f>
        <v/>
      </c>
      <c r="Q804" t="str">
        <f>IF($G804="","",IF(Sync!$U800="","0000",IF(AND(ISNUMBER(Sync!$U800),Sync!$U800&gt;=0,Sync!$U800&lt;1),RIGHT("00"&amp;HOUR(Sync!$U800),2)&amp;RIGHT("00"&amp;MINUTE(Sync!$U800),2),IFERROR(RIGHT("00"&amp;VALUE(LEFT(Sync!$U800,FIND(":",Sync!$U800)-1)),2)&amp;RIGHT("00"&amp;VALUE(MID(Sync!$U800,FIND(":",Sync!$U800)+1,2)),2),"0000"))))</f>
        <v/>
      </c>
    </row>
    <row r="805" spans="1:17" x14ac:dyDescent="0.2">
      <c r="A805" t="str">
        <f>IF(Sync!$T801="","",Sync!$T801)</f>
        <v/>
      </c>
      <c r="B805" t="str">
        <f t="shared" si="72"/>
        <v/>
      </c>
      <c r="C805" t="str">
        <f t="shared" si="73"/>
        <v/>
      </c>
      <c r="D805" t="str">
        <f t="shared" si="74"/>
        <v/>
      </c>
      <c r="E805" t="str">
        <f t="shared" si="75"/>
        <v/>
      </c>
      <c r="F805" t="str">
        <f t="shared" si="76"/>
        <v/>
      </c>
      <c r="G805" t="str">
        <f>IF(OR($E805="",$E805="نامعتبر",Sync!$X801=""),"",IF(AND(LEFT(UPPER(TRIM(Sync!$X801)),2)="SL",IFERROR(VLOOKUP(Sync!$W801,OpTbl,3,0),"")="فروش"),UPPER(TRIM(Sync!$X801)),""))</f>
        <v/>
      </c>
      <c r="H805" t="str">
        <f>IF($G805="","",IF(Sync!$W801="","",Sync!$W801))</f>
        <v/>
      </c>
      <c r="I805" t="str">
        <f>IF(OR($G805="",Sync!$Y801=""),"",Sync!$Y801)</f>
        <v/>
      </c>
      <c r="J805" t="str">
        <f>IF(OR($G805="",Sync!$Z801=""),"",Sync!$Z801)</f>
        <v/>
      </c>
      <c r="K805">
        <f>IF($G805="",0,IF(Sync!$AA801="",0,Sync!$AA801))</f>
        <v>0</v>
      </c>
      <c r="L805">
        <f>IF($G805="",0,IF(Sync!$AB801="",0,Sync!$AB801))</f>
        <v>0</v>
      </c>
      <c r="M805" t="str">
        <f t="shared" si="77"/>
        <v/>
      </c>
      <c r="N805">
        <f>IF($G805="",0,IF($H805="مرجوعی فروش",-1,1)*IF(Sync!$AC801="",0,Sync!$AC801))</f>
        <v>0</v>
      </c>
      <c r="O805" t="str">
        <f>IF(OR($G805="",Sync!$V801=""),"",Sync!$V801)</f>
        <v/>
      </c>
      <c r="P805" t="str">
        <f>IF(OR($G805="",Sync!$AD801=""),"",Sync!$AD801)</f>
        <v/>
      </c>
      <c r="Q805" t="str">
        <f>IF($G805="","",IF(Sync!$U801="","0000",IF(AND(ISNUMBER(Sync!$U801),Sync!$U801&gt;=0,Sync!$U801&lt;1),RIGHT("00"&amp;HOUR(Sync!$U801),2)&amp;RIGHT("00"&amp;MINUTE(Sync!$U801),2),IFERROR(RIGHT("00"&amp;VALUE(LEFT(Sync!$U801,FIND(":",Sync!$U801)-1)),2)&amp;RIGHT("00"&amp;VALUE(MID(Sync!$U801,FIND(":",Sync!$U801)+1,2)),2),"0000"))))</f>
        <v/>
      </c>
    </row>
    <row r="806" spans="1:17" x14ac:dyDescent="0.2">
      <c r="A806" t="str">
        <f>IF(Sync!$T802="","",Sync!$T802)</f>
        <v/>
      </c>
      <c r="B806" t="str">
        <f t="shared" si="72"/>
        <v/>
      </c>
      <c r="C806" t="str">
        <f t="shared" si="73"/>
        <v/>
      </c>
      <c r="D806" t="str">
        <f t="shared" si="74"/>
        <v/>
      </c>
      <c r="E806" t="str">
        <f t="shared" si="75"/>
        <v/>
      </c>
      <c r="F806" t="str">
        <f t="shared" si="76"/>
        <v/>
      </c>
      <c r="G806" t="str">
        <f>IF(OR($E806="",$E806="نامعتبر",Sync!$X802=""),"",IF(AND(LEFT(UPPER(TRIM(Sync!$X802)),2)="SL",IFERROR(VLOOKUP(Sync!$W802,OpTbl,3,0),"")="فروش"),UPPER(TRIM(Sync!$X802)),""))</f>
        <v/>
      </c>
      <c r="H806" t="str">
        <f>IF($G806="","",IF(Sync!$W802="","",Sync!$W802))</f>
        <v/>
      </c>
      <c r="I806" t="str">
        <f>IF(OR($G806="",Sync!$Y802=""),"",Sync!$Y802)</f>
        <v/>
      </c>
      <c r="J806" t="str">
        <f>IF(OR($G806="",Sync!$Z802=""),"",Sync!$Z802)</f>
        <v/>
      </c>
      <c r="K806">
        <f>IF($G806="",0,IF(Sync!$AA802="",0,Sync!$AA802))</f>
        <v>0</v>
      </c>
      <c r="L806">
        <f>IF($G806="",0,IF(Sync!$AB802="",0,Sync!$AB802))</f>
        <v>0</v>
      </c>
      <c r="M806" t="str">
        <f t="shared" si="77"/>
        <v/>
      </c>
      <c r="N806">
        <f>IF($G806="",0,IF($H806="مرجوعی فروش",-1,1)*IF(Sync!$AC802="",0,Sync!$AC802))</f>
        <v>0</v>
      </c>
      <c r="O806" t="str">
        <f>IF(OR($G806="",Sync!$V802=""),"",Sync!$V802)</f>
        <v/>
      </c>
      <c r="P806" t="str">
        <f>IF(OR($G806="",Sync!$AD802=""),"",Sync!$AD802)</f>
        <v/>
      </c>
      <c r="Q806" t="str">
        <f>IF($G806="","",IF(Sync!$U802="","0000",IF(AND(ISNUMBER(Sync!$U802),Sync!$U802&gt;=0,Sync!$U802&lt;1),RIGHT("00"&amp;HOUR(Sync!$U802),2)&amp;RIGHT("00"&amp;MINUTE(Sync!$U802),2),IFERROR(RIGHT("00"&amp;VALUE(LEFT(Sync!$U802,FIND(":",Sync!$U802)-1)),2)&amp;RIGHT("00"&amp;VALUE(MID(Sync!$U802,FIND(":",Sync!$U802)+1,2)),2),"0000"))))</f>
        <v/>
      </c>
    </row>
    <row r="807" spans="1:17" x14ac:dyDescent="0.2">
      <c r="A807" t="str">
        <f>IF(Sync!$T803="","",Sync!$T803)</f>
        <v/>
      </c>
      <c r="B807" t="str">
        <f t="shared" si="72"/>
        <v/>
      </c>
      <c r="C807" t="str">
        <f t="shared" si="73"/>
        <v/>
      </c>
      <c r="D807" t="str">
        <f t="shared" si="74"/>
        <v/>
      </c>
      <c r="E807" t="str">
        <f t="shared" si="75"/>
        <v/>
      </c>
      <c r="F807" t="str">
        <f t="shared" si="76"/>
        <v/>
      </c>
      <c r="G807" t="str">
        <f>IF(OR($E807="",$E807="نامعتبر",Sync!$X803=""),"",IF(AND(LEFT(UPPER(TRIM(Sync!$X803)),2)="SL",IFERROR(VLOOKUP(Sync!$W803,OpTbl,3,0),"")="فروش"),UPPER(TRIM(Sync!$X803)),""))</f>
        <v/>
      </c>
      <c r="H807" t="str">
        <f>IF($G807="","",IF(Sync!$W803="","",Sync!$W803))</f>
        <v/>
      </c>
      <c r="I807" t="str">
        <f>IF(OR($G807="",Sync!$Y803=""),"",Sync!$Y803)</f>
        <v/>
      </c>
      <c r="J807" t="str">
        <f>IF(OR($G807="",Sync!$Z803=""),"",Sync!$Z803)</f>
        <v/>
      </c>
      <c r="K807">
        <f>IF($G807="",0,IF(Sync!$AA803="",0,Sync!$AA803))</f>
        <v>0</v>
      </c>
      <c r="L807">
        <f>IF($G807="",0,IF(Sync!$AB803="",0,Sync!$AB803))</f>
        <v>0</v>
      </c>
      <c r="M807" t="str">
        <f t="shared" si="77"/>
        <v/>
      </c>
      <c r="N807">
        <f>IF($G807="",0,IF($H807="مرجوعی فروش",-1,1)*IF(Sync!$AC803="",0,Sync!$AC803))</f>
        <v>0</v>
      </c>
      <c r="O807" t="str">
        <f>IF(OR($G807="",Sync!$V803=""),"",Sync!$V803)</f>
        <v/>
      </c>
      <c r="P807" t="str">
        <f>IF(OR($G807="",Sync!$AD803=""),"",Sync!$AD803)</f>
        <v/>
      </c>
      <c r="Q807" t="str">
        <f>IF($G807="","",IF(Sync!$U803="","0000",IF(AND(ISNUMBER(Sync!$U803),Sync!$U803&gt;=0,Sync!$U803&lt;1),RIGHT("00"&amp;HOUR(Sync!$U803),2)&amp;RIGHT("00"&amp;MINUTE(Sync!$U803),2),IFERROR(RIGHT("00"&amp;VALUE(LEFT(Sync!$U803,FIND(":",Sync!$U803)-1)),2)&amp;RIGHT("00"&amp;VALUE(MID(Sync!$U803,FIND(":",Sync!$U803)+1,2)),2),"0000"))))</f>
        <v/>
      </c>
    </row>
    <row r="808" spans="1:17" x14ac:dyDescent="0.2">
      <c r="A808" t="str">
        <f>IF(Sync!$T804="","",Sync!$T804)</f>
        <v/>
      </c>
      <c r="B808" t="str">
        <f t="shared" si="72"/>
        <v/>
      </c>
      <c r="C808" t="str">
        <f t="shared" si="73"/>
        <v/>
      </c>
      <c r="D808" t="str">
        <f t="shared" si="74"/>
        <v/>
      </c>
      <c r="E808" t="str">
        <f t="shared" si="75"/>
        <v/>
      </c>
      <c r="F808" t="str">
        <f t="shared" si="76"/>
        <v/>
      </c>
      <c r="G808" t="str">
        <f>IF(OR($E808="",$E808="نامعتبر",Sync!$X804=""),"",IF(AND(LEFT(UPPER(TRIM(Sync!$X804)),2)="SL",IFERROR(VLOOKUP(Sync!$W804,OpTbl,3,0),"")="فروش"),UPPER(TRIM(Sync!$X804)),""))</f>
        <v/>
      </c>
      <c r="H808" t="str">
        <f>IF($G808="","",IF(Sync!$W804="","",Sync!$W804))</f>
        <v/>
      </c>
      <c r="I808" t="str">
        <f>IF(OR($G808="",Sync!$Y804=""),"",Sync!$Y804)</f>
        <v/>
      </c>
      <c r="J808" t="str">
        <f>IF(OR($G808="",Sync!$Z804=""),"",Sync!$Z804)</f>
        <v/>
      </c>
      <c r="K808">
        <f>IF($G808="",0,IF(Sync!$AA804="",0,Sync!$AA804))</f>
        <v>0</v>
      </c>
      <c r="L808">
        <f>IF($G808="",0,IF(Sync!$AB804="",0,Sync!$AB804))</f>
        <v>0</v>
      </c>
      <c r="M808" t="str">
        <f t="shared" si="77"/>
        <v/>
      </c>
      <c r="N808">
        <f>IF($G808="",0,IF($H808="مرجوعی فروش",-1,1)*IF(Sync!$AC804="",0,Sync!$AC804))</f>
        <v>0</v>
      </c>
      <c r="O808" t="str">
        <f>IF(OR($G808="",Sync!$V804=""),"",Sync!$V804)</f>
        <v/>
      </c>
      <c r="P808" t="str">
        <f>IF(OR($G808="",Sync!$AD804=""),"",Sync!$AD804)</f>
        <v/>
      </c>
      <c r="Q808" t="str">
        <f>IF($G808="","",IF(Sync!$U804="","0000",IF(AND(ISNUMBER(Sync!$U804),Sync!$U804&gt;=0,Sync!$U804&lt;1),RIGHT("00"&amp;HOUR(Sync!$U804),2)&amp;RIGHT("00"&amp;MINUTE(Sync!$U804),2),IFERROR(RIGHT("00"&amp;VALUE(LEFT(Sync!$U804,FIND(":",Sync!$U804)-1)),2)&amp;RIGHT("00"&amp;VALUE(MID(Sync!$U804,FIND(":",Sync!$U804)+1,2)),2),"0000"))))</f>
        <v/>
      </c>
    </row>
    <row r="809" spans="1:17" x14ac:dyDescent="0.2">
      <c r="A809" t="str">
        <f>IF(Sync!$T805="","",Sync!$T805)</f>
        <v/>
      </c>
      <c r="B809" t="str">
        <f t="shared" si="72"/>
        <v/>
      </c>
      <c r="C809" t="str">
        <f t="shared" si="73"/>
        <v/>
      </c>
      <c r="D809" t="str">
        <f t="shared" si="74"/>
        <v/>
      </c>
      <c r="E809" t="str">
        <f t="shared" si="75"/>
        <v/>
      </c>
      <c r="F809" t="str">
        <f t="shared" si="76"/>
        <v/>
      </c>
      <c r="G809" t="str">
        <f>IF(OR($E809="",$E809="نامعتبر",Sync!$X805=""),"",IF(AND(LEFT(UPPER(TRIM(Sync!$X805)),2)="SL",IFERROR(VLOOKUP(Sync!$W805,OpTbl,3,0),"")="فروش"),UPPER(TRIM(Sync!$X805)),""))</f>
        <v/>
      </c>
      <c r="H809" t="str">
        <f>IF($G809="","",IF(Sync!$W805="","",Sync!$W805))</f>
        <v/>
      </c>
      <c r="I809" t="str">
        <f>IF(OR($G809="",Sync!$Y805=""),"",Sync!$Y805)</f>
        <v/>
      </c>
      <c r="J809" t="str">
        <f>IF(OR($G809="",Sync!$Z805=""),"",Sync!$Z805)</f>
        <v/>
      </c>
      <c r="K809">
        <f>IF($G809="",0,IF(Sync!$AA805="",0,Sync!$AA805))</f>
        <v>0</v>
      </c>
      <c r="L809">
        <f>IF($G809="",0,IF(Sync!$AB805="",0,Sync!$AB805))</f>
        <v>0</v>
      </c>
      <c r="M809" t="str">
        <f t="shared" si="77"/>
        <v/>
      </c>
      <c r="N809">
        <f>IF($G809="",0,IF($H809="مرجوعی فروش",-1,1)*IF(Sync!$AC805="",0,Sync!$AC805))</f>
        <v>0</v>
      </c>
      <c r="O809" t="str">
        <f>IF(OR($G809="",Sync!$V805=""),"",Sync!$V805)</f>
        <v/>
      </c>
      <c r="P809" t="str">
        <f>IF(OR($G809="",Sync!$AD805=""),"",Sync!$AD805)</f>
        <v/>
      </c>
      <c r="Q809" t="str">
        <f>IF($G809="","",IF(Sync!$U805="","0000",IF(AND(ISNUMBER(Sync!$U805),Sync!$U805&gt;=0,Sync!$U805&lt;1),RIGHT("00"&amp;HOUR(Sync!$U805),2)&amp;RIGHT("00"&amp;MINUTE(Sync!$U805),2),IFERROR(RIGHT("00"&amp;VALUE(LEFT(Sync!$U805,FIND(":",Sync!$U805)-1)),2)&amp;RIGHT("00"&amp;VALUE(MID(Sync!$U805,FIND(":",Sync!$U805)+1,2)),2),"0000"))))</f>
        <v/>
      </c>
    </row>
    <row r="810" spans="1:17" x14ac:dyDescent="0.2">
      <c r="A810" t="str">
        <f>IF(Sync!$T806="","",Sync!$T806)</f>
        <v/>
      </c>
      <c r="B810" t="str">
        <f t="shared" si="72"/>
        <v/>
      </c>
      <c r="C810" t="str">
        <f t="shared" si="73"/>
        <v/>
      </c>
      <c r="D810" t="str">
        <f t="shared" si="74"/>
        <v/>
      </c>
      <c r="E810" t="str">
        <f t="shared" si="75"/>
        <v/>
      </c>
      <c r="F810" t="str">
        <f t="shared" si="76"/>
        <v/>
      </c>
      <c r="G810" t="str">
        <f>IF(OR($E810="",$E810="نامعتبر",Sync!$X806=""),"",IF(AND(LEFT(UPPER(TRIM(Sync!$X806)),2)="SL",IFERROR(VLOOKUP(Sync!$W806,OpTbl,3,0),"")="فروش"),UPPER(TRIM(Sync!$X806)),""))</f>
        <v/>
      </c>
      <c r="H810" t="str">
        <f>IF($G810="","",IF(Sync!$W806="","",Sync!$W806))</f>
        <v/>
      </c>
      <c r="I810" t="str">
        <f>IF(OR($G810="",Sync!$Y806=""),"",Sync!$Y806)</f>
        <v/>
      </c>
      <c r="J810" t="str">
        <f>IF(OR($G810="",Sync!$Z806=""),"",Sync!$Z806)</f>
        <v/>
      </c>
      <c r="K810">
        <f>IF($G810="",0,IF(Sync!$AA806="",0,Sync!$AA806))</f>
        <v>0</v>
      </c>
      <c r="L810">
        <f>IF($G810="",0,IF(Sync!$AB806="",0,Sync!$AB806))</f>
        <v>0</v>
      </c>
      <c r="M810" t="str">
        <f t="shared" si="77"/>
        <v/>
      </c>
      <c r="N810">
        <f>IF($G810="",0,IF($H810="مرجوعی فروش",-1,1)*IF(Sync!$AC806="",0,Sync!$AC806))</f>
        <v>0</v>
      </c>
      <c r="O810" t="str">
        <f>IF(OR($G810="",Sync!$V806=""),"",Sync!$V806)</f>
        <v/>
      </c>
      <c r="P810" t="str">
        <f>IF(OR($G810="",Sync!$AD806=""),"",Sync!$AD806)</f>
        <v/>
      </c>
      <c r="Q810" t="str">
        <f>IF($G810="","",IF(Sync!$U806="","0000",IF(AND(ISNUMBER(Sync!$U806),Sync!$U806&gt;=0,Sync!$U806&lt;1),RIGHT("00"&amp;HOUR(Sync!$U806),2)&amp;RIGHT("00"&amp;MINUTE(Sync!$U806),2),IFERROR(RIGHT("00"&amp;VALUE(LEFT(Sync!$U806,FIND(":",Sync!$U806)-1)),2)&amp;RIGHT("00"&amp;VALUE(MID(Sync!$U806,FIND(":",Sync!$U806)+1,2)),2),"0000"))))</f>
        <v/>
      </c>
    </row>
    <row r="811" spans="1:17" x14ac:dyDescent="0.2">
      <c r="A811" t="str">
        <f>IF(Sync!$T807="","",Sync!$T807)</f>
        <v/>
      </c>
      <c r="B811" t="str">
        <f t="shared" si="72"/>
        <v/>
      </c>
      <c r="C811" t="str">
        <f t="shared" si="73"/>
        <v/>
      </c>
      <c r="D811" t="str">
        <f t="shared" si="74"/>
        <v/>
      </c>
      <c r="E811" t="str">
        <f t="shared" si="75"/>
        <v/>
      </c>
      <c r="F811" t="str">
        <f t="shared" si="76"/>
        <v/>
      </c>
      <c r="G811" t="str">
        <f>IF(OR($E811="",$E811="نامعتبر",Sync!$X807=""),"",IF(AND(LEFT(UPPER(TRIM(Sync!$X807)),2)="SL",IFERROR(VLOOKUP(Sync!$W807,OpTbl,3,0),"")="فروش"),UPPER(TRIM(Sync!$X807)),""))</f>
        <v/>
      </c>
      <c r="H811" t="str">
        <f>IF($G811="","",IF(Sync!$W807="","",Sync!$W807))</f>
        <v/>
      </c>
      <c r="I811" t="str">
        <f>IF(OR($G811="",Sync!$Y807=""),"",Sync!$Y807)</f>
        <v/>
      </c>
      <c r="J811" t="str">
        <f>IF(OR($G811="",Sync!$Z807=""),"",Sync!$Z807)</f>
        <v/>
      </c>
      <c r="K811">
        <f>IF($G811="",0,IF(Sync!$AA807="",0,Sync!$AA807))</f>
        <v>0</v>
      </c>
      <c r="L811">
        <f>IF($G811="",0,IF(Sync!$AB807="",0,Sync!$AB807))</f>
        <v>0</v>
      </c>
      <c r="M811" t="str">
        <f t="shared" si="77"/>
        <v/>
      </c>
      <c r="N811">
        <f>IF($G811="",0,IF($H811="مرجوعی فروش",-1,1)*IF(Sync!$AC807="",0,Sync!$AC807))</f>
        <v>0</v>
      </c>
      <c r="O811" t="str">
        <f>IF(OR($G811="",Sync!$V807=""),"",Sync!$V807)</f>
        <v/>
      </c>
      <c r="P811" t="str">
        <f>IF(OR($G811="",Sync!$AD807=""),"",Sync!$AD807)</f>
        <v/>
      </c>
      <c r="Q811" t="str">
        <f>IF($G811="","",IF(Sync!$U807="","0000",IF(AND(ISNUMBER(Sync!$U807),Sync!$U807&gt;=0,Sync!$U807&lt;1),RIGHT("00"&amp;HOUR(Sync!$U807),2)&amp;RIGHT("00"&amp;MINUTE(Sync!$U807),2),IFERROR(RIGHT("00"&amp;VALUE(LEFT(Sync!$U807,FIND(":",Sync!$U807)-1)),2)&amp;RIGHT("00"&amp;VALUE(MID(Sync!$U807,FIND(":",Sync!$U807)+1,2)),2),"0000"))))</f>
        <v/>
      </c>
    </row>
    <row r="812" spans="1:17" x14ac:dyDescent="0.2">
      <c r="A812" t="str">
        <f>IF(Sync!$T808="","",Sync!$T808)</f>
        <v/>
      </c>
      <c r="B812" t="str">
        <f t="shared" si="72"/>
        <v/>
      </c>
      <c r="C812" t="str">
        <f t="shared" si="73"/>
        <v/>
      </c>
      <c r="D812" t="str">
        <f t="shared" si="74"/>
        <v/>
      </c>
      <c r="E812" t="str">
        <f t="shared" si="75"/>
        <v/>
      </c>
      <c r="F812" t="str">
        <f t="shared" si="76"/>
        <v/>
      </c>
      <c r="G812" t="str">
        <f>IF(OR($E812="",$E812="نامعتبر",Sync!$X808=""),"",IF(AND(LEFT(UPPER(TRIM(Sync!$X808)),2)="SL",IFERROR(VLOOKUP(Sync!$W808,OpTbl,3,0),"")="فروش"),UPPER(TRIM(Sync!$X808)),""))</f>
        <v/>
      </c>
      <c r="H812" t="str">
        <f>IF($G812="","",IF(Sync!$W808="","",Sync!$W808))</f>
        <v/>
      </c>
      <c r="I812" t="str">
        <f>IF(OR($G812="",Sync!$Y808=""),"",Sync!$Y808)</f>
        <v/>
      </c>
      <c r="J812" t="str">
        <f>IF(OR($G812="",Sync!$Z808=""),"",Sync!$Z808)</f>
        <v/>
      </c>
      <c r="K812">
        <f>IF($G812="",0,IF(Sync!$AA808="",0,Sync!$AA808))</f>
        <v>0</v>
      </c>
      <c r="L812">
        <f>IF($G812="",0,IF(Sync!$AB808="",0,Sync!$AB808))</f>
        <v>0</v>
      </c>
      <c r="M812" t="str">
        <f t="shared" si="77"/>
        <v/>
      </c>
      <c r="N812">
        <f>IF($G812="",0,IF($H812="مرجوعی فروش",-1,1)*IF(Sync!$AC808="",0,Sync!$AC808))</f>
        <v>0</v>
      </c>
      <c r="O812" t="str">
        <f>IF(OR($G812="",Sync!$V808=""),"",Sync!$V808)</f>
        <v/>
      </c>
      <c r="P812" t="str">
        <f>IF(OR($G812="",Sync!$AD808=""),"",Sync!$AD808)</f>
        <v/>
      </c>
      <c r="Q812" t="str">
        <f>IF($G812="","",IF(Sync!$U808="","0000",IF(AND(ISNUMBER(Sync!$U808),Sync!$U808&gt;=0,Sync!$U808&lt;1),RIGHT("00"&amp;HOUR(Sync!$U808),2)&amp;RIGHT("00"&amp;MINUTE(Sync!$U808),2),IFERROR(RIGHT("00"&amp;VALUE(LEFT(Sync!$U808,FIND(":",Sync!$U808)-1)),2)&amp;RIGHT("00"&amp;VALUE(MID(Sync!$U808,FIND(":",Sync!$U808)+1,2)),2),"0000"))))</f>
        <v/>
      </c>
    </row>
    <row r="813" spans="1:17" x14ac:dyDescent="0.2">
      <c r="A813" t="str">
        <f>IF(Sync!$T809="","",Sync!$T809)</f>
        <v/>
      </c>
      <c r="B813" t="str">
        <f t="shared" si="72"/>
        <v/>
      </c>
      <c r="C813" t="str">
        <f t="shared" si="73"/>
        <v/>
      </c>
      <c r="D813" t="str">
        <f t="shared" si="74"/>
        <v/>
      </c>
      <c r="E813" t="str">
        <f t="shared" si="75"/>
        <v/>
      </c>
      <c r="F813" t="str">
        <f t="shared" si="76"/>
        <v/>
      </c>
      <c r="G813" t="str">
        <f>IF(OR($E813="",$E813="نامعتبر",Sync!$X809=""),"",IF(AND(LEFT(UPPER(TRIM(Sync!$X809)),2)="SL",IFERROR(VLOOKUP(Sync!$W809,OpTbl,3,0),"")="فروش"),UPPER(TRIM(Sync!$X809)),""))</f>
        <v/>
      </c>
      <c r="H813" t="str">
        <f>IF($G813="","",IF(Sync!$W809="","",Sync!$W809))</f>
        <v/>
      </c>
      <c r="I813" t="str">
        <f>IF(OR($G813="",Sync!$Y809=""),"",Sync!$Y809)</f>
        <v/>
      </c>
      <c r="J813" t="str">
        <f>IF(OR($G813="",Sync!$Z809=""),"",Sync!$Z809)</f>
        <v/>
      </c>
      <c r="K813">
        <f>IF($G813="",0,IF(Sync!$AA809="",0,Sync!$AA809))</f>
        <v>0</v>
      </c>
      <c r="L813">
        <f>IF($G813="",0,IF(Sync!$AB809="",0,Sync!$AB809))</f>
        <v>0</v>
      </c>
      <c r="M813" t="str">
        <f t="shared" si="77"/>
        <v/>
      </c>
      <c r="N813">
        <f>IF($G813="",0,IF($H813="مرجوعی فروش",-1,1)*IF(Sync!$AC809="",0,Sync!$AC809))</f>
        <v>0</v>
      </c>
      <c r="O813" t="str">
        <f>IF(OR($G813="",Sync!$V809=""),"",Sync!$V809)</f>
        <v/>
      </c>
      <c r="P813" t="str">
        <f>IF(OR($G813="",Sync!$AD809=""),"",Sync!$AD809)</f>
        <v/>
      </c>
      <c r="Q813" t="str">
        <f>IF($G813="","",IF(Sync!$U809="","0000",IF(AND(ISNUMBER(Sync!$U809),Sync!$U809&gt;=0,Sync!$U809&lt;1),RIGHT("00"&amp;HOUR(Sync!$U809),2)&amp;RIGHT("00"&amp;MINUTE(Sync!$U809),2),IFERROR(RIGHT("00"&amp;VALUE(LEFT(Sync!$U809,FIND(":",Sync!$U809)-1)),2)&amp;RIGHT("00"&amp;VALUE(MID(Sync!$U809,FIND(":",Sync!$U809)+1,2)),2),"0000"))))</f>
        <v/>
      </c>
    </row>
    <row r="814" spans="1:17" x14ac:dyDescent="0.2">
      <c r="A814" t="str">
        <f>IF(Sync!$T810="","",Sync!$T810)</f>
        <v/>
      </c>
      <c r="B814" t="str">
        <f t="shared" si="72"/>
        <v/>
      </c>
      <c r="C814" t="str">
        <f t="shared" si="73"/>
        <v/>
      </c>
      <c r="D814" t="str">
        <f t="shared" si="74"/>
        <v/>
      </c>
      <c r="E814" t="str">
        <f t="shared" si="75"/>
        <v/>
      </c>
      <c r="F814" t="str">
        <f t="shared" si="76"/>
        <v/>
      </c>
      <c r="G814" t="str">
        <f>IF(OR($E814="",$E814="نامعتبر",Sync!$X810=""),"",IF(AND(LEFT(UPPER(TRIM(Sync!$X810)),2)="SL",IFERROR(VLOOKUP(Sync!$W810,OpTbl,3,0),"")="فروش"),UPPER(TRIM(Sync!$X810)),""))</f>
        <v/>
      </c>
      <c r="H814" t="str">
        <f>IF($G814="","",IF(Sync!$W810="","",Sync!$W810))</f>
        <v/>
      </c>
      <c r="I814" t="str">
        <f>IF(OR($G814="",Sync!$Y810=""),"",Sync!$Y810)</f>
        <v/>
      </c>
      <c r="J814" t="str">
        <f>IF(OR($G814="",Sync!$Z810=""),"",Sync!$Z810)</f>
        <v/>
      </c>
      <c r="K814">
        <f>IF($G814="",0,IF(Sync!$AA810="",0,Sync!$AA810))</f>
        <v>0</v>
      </c>
      <c r="L814">
        <f>IF($G814="",0,IF(Sync!$AB810="",0,Sync!$AB810))</f>
        <v>0</v>
      </c>
      <c r="M814" t="str">
        <f t="shared" si="77"/>
        <v/>
      </c>
      <c r="N814">
        <f>IF($G814="",0,IF($H814="مرجوعی فروش",-1,1)*IF(Sync!$AC810="",0,Sync!$AC810))</f>
        <v>0</v>
      </c>
      <c r="O814" t="str">
        <f>IF(OR($G814="",Sync!$V810=""),"",Sync!$V810)</f>
        <v/>
      </c>
      <c r="P814" t="str">
        <f>IF(OR($G814="",Sync!$AD810=""),"",Sync!$AD810)</f>
        <v/>
      </c>
      <c r="Q814" t="str">
        <f>IF($G814="","",IF(Sync!$U810="","0000",IF(AND(ISNUMBER(Sync!$U810),Sync!$U810&gt;=0,Sync!$U810&lt;1),RIGHT("00"&amp;HOUR(Sync!$U810),2)&amp;RIGHT("00"&amp;MINUTE(Sync!$U810),2),IFERROR(RIGHT("00"&amp;VALUE(LEFT(Sync!$U810,FIND(":",Sync!$U810)-1)),2)&amp;RIGHT("00"&amp;VALUE(MID(Sync!$U810,FIND(":",Sync!$U810)+1,2)),2),"0000"))))</f>
        <v/>
      </c>
    </row>
    <row r="815" spans="1:17" x14ac:dyDescent="0.2">
      <c r="A815" t="str">
        <f>IF(Sync!$T811="","",Sync!$T811)</f>
        <v/>
      </c>
      <c r="B815" t="str">
        <f t="shared" si="72"/>
        <v/>
      </c>
      <c r="C815" t="str">
        <f t="shared" si="73"/>
        <v/>
      </c>
      <c r="D815" t="str">
        <f t="shared" si="74"/>
        <v/>
      </c>
      <c r="E815" t="str">
        <f t="shared" si="75"/>
        <v/>
      </c>
      <c r="F815" t="str">
        <f t="shared" si="76"/>
        <v/>
      </c>
      <c r="G815" t="str">
        <f>IF(OR($E815="",$E815="نامعتبر",Sync!$X811=""),"",IF(AND(LEFT(UPPER(TRIM(Sync!$X811)),2)="SL",IFERROR(VLOOKUP(Sync!$W811,OpTbl,3,0),"")="فروش"),UPPER(TRIM(Sync!$X811)),""))</f>
        <v/>
      </c>
      <c r="H815" t="str">
        <f>IF($G815="","",IF(Sync!$W811="","",Sync!$W811))</f>
        <v/>
      </c>
      <c r="I815" t="str">
        <f>IF(OR($G815="",Sync!$Y811=""),"",Sync!$Y811)</f>
        <v/>
      </c>
      <c r="J815" t="str">
        <f>IF(OR($G815="",Sync!$Z811=""),"",Sync!$Z811)</f>
        <v/>
      </c>
      <c r="K815">
        <f>IF($G815="",0,IF(Sync!$AA811="",0,Sync!$AA811))</f>
        <v>0</v>
      </c>
      <c r="L815">
        <f>IF($G815="",0,IF(Sync!$AB811="",0,Sync!$AB811))</f>
        <v>0</v>
      </c>
      <c r="M815" t="str">
        <f t="shared" si="77"/>
        <v/>
      </c>
      <c r="N815">
        <f>IF($G815="",0,IF($H815="مرجوعی فروش",-1,1)*IF(Sync!$AC811="",0,Sync!$AC811))</f>
        <v>0</v>
      </c>
      <c r="O815" t="str">
        <f>IF(OR($G815="",Sync!$V811=""),"",Sync!$V811)</f>
        <v/>
      </c>
      <c r="P815" t="str">
        <f>IF(OR($G815="",Sync!$AD811=""),"",Sync!$AD811)</f>
        <v/>
      </c>
      <c r="Q815" t="str">
        <f>IF($G815="","",IF(Sync!$U811="","0000",IF(AND(ISNUMBER(Sync!$U811),Sync!$U811&gt;=0,Sync!$U811&lt;1),RIGHT("00"&amp;HOUR(Sync!$U811),2)&amp;RIGHT("00"&amp;MINUTE(Sync!$U811),2),IFERROR(RIGHT("00"&amp;VALUE(LEFT(Sync!$U811,FIND(":",Sync!$U811)-1)),2)&amp;RIGHT("00"&amp;VALUE(MID(Sync!$U811,FIND(":",Sync!$U811)+1,2)),2),"0000"))))</f>
        <v/>
      </c>
    </row>
    <row r="816" spans="1:17" x14ac:dyDescent="0.2">
      <c r="A816" t="str">
        <f>IF(Sync!$T812="","",Sync!$T812)</f>
        <v/>
      </c>
      <c r="B816" t="str">
        <f t="shared" si="72"/>
        <v/>
      </c>
      <c r="C816" t="str">
        <f t="shared" si="73"/>
        <v/>
      </c>
      <c r="D816" t="str">
        <f t="shared" si="74"/>
        <v/>
      </c>
      <c r="E816" t="str">
        <f t="shared" si="75"/>
        <v/>
      </c>
      <c r="F816" t="str">
        <f t="shared" si="76"/>
        <v/>
      </c>
      <c r="G816" t="str">
        <f>IF(OR($E816="",$E816="نامعتبر",Sync!$X812=""),"",IF(AND(LEFT(UPPER(TRIM(Sync!$X812)),2)="SL",IFERROR(VLOOKUP(Sync!$W812,OpTbl,3,0),"")="فروش"),UPPER(TRIM(Sync!$X812)),""))</f>
        <v/>
      </c>
      <c r="H816" t="str">
        <f>IF($G816="","",IF(Sync!$W812="","",Sync!$W812))</f>
        <v/>
      </c>
      <c r="I816" t="str">
        <f>IF(OR($G816="",Sync!$Y812=""),"",Sync!$Y812)</f>
        <v/>
      </c>
      <c r="J816" t="str">
        <f>IF(OR($G816="",Sync!$Z812=""),"",Sync!$Z812)</f>
        <v/>
      </c>
      <c r="K816">
        <f>IF($G816="",0,IF(Sync!$AA812="",0,Sync!$AA812))</f>
        <v>0</v>
      </c>
      <c r="L816">
        <f>IF($G816="",0,IF(Sync!$AB812="",0,Sync!$AB812))</f>
        <v>0</v>
      </c>
      <c r="M816" t="str">
        <f t="shared" si="77"/>
        <v/>
      </c>
      <c r="N816">
        <f>IF($G816="",0,IF($H816="مرجوعی فروش",-1,1)*IF(Sync!$AC812="",0,Sync!$AC812))</f>
        <v>0</v>
      </c>
      <c r="O816" t="str">
        <f>IF(OR($G816="",Sync!$V812=""),"",Sync!$V812)</f>
        <v/>
      </c>
      <c r="P816" t="str">
        <f>IF(OR($G816="",Sync!$AD812=""),"",Sync!$AD812)</f>
        <v/>
      </c>
      <c r="Q816" t="str">
        <f>IF($G816="","",IF(Sync!$U812="","0000",IF(AND(ISNUMBER(Sync!$U812),Sync!$U812&gt;=0,Sync!$U812&lt;1),RIGHT("00"&amp;HOUR(Sync!$U812),2)&amp;RIGHT("00"&amp;MINUTE(Sync!$U812),2),IFERROR(RIGHT("00"&amp;VALUE(LEFT(Sync!$U812,FIND(":",Sync!$U812)-1)),2)&amp;RIGHT("00"&amp;VALUE(MID(Sync!$U812,FIND(":",Sync!$U812)+1,2)),2),"0000"))))</f>
        <v/>
      </c>
    </row>
    <row r="817" spans="1:17" x14ac:dyDescent="0.2">
      <c r="A817" t="str">
        <f>IF(Sync!$T813="","",Sync!$T813)</f>
        <v/>
      </c>
      <c r="B817" t="str">
        <f t="shared" si="72"/>
        <v/>
      </c>
      <c r="C817" t="str">
        <f t="shared" si="73"/>
        <v/>
      </c>
      <c r="D817" t="str">
        <f t="shared" si="74"/>
        <v/>
      </c>
      <c r="E817" t="str">
        <f t="shared" si="75"/>
        <v/>
      </c>
      <c r="F817" t="str">
        <f t="shared" si="76"/>
        <v/>
      </c>
      <c r="G817" t="str">
        <f>IF(OR($E817="",$E817="نامعتبر",Sync!$X813=""),"",IF(AND(LEFT(UPPER(TRIM(Sync!$X813)),2)="SL",IFERROR(VLOOKUP(Sync!$W813,OpTbl,3,0),"")="فروش"),UPPER(TRIM(Sync!$X813)),""))</f>
        <v/>
      </c>
      <c r="H817" t="str">
        <f>IF($G817="","",IF(Sync!$W813="","",Sync!$W813))</f>
        <v/>
      </c>
      <c r="I817" t="str">
        <f>IF(OR($G817="",Sync!$Y813=""),"",Sync!$Y813)</f>
        <v/>
      </c>
      <c r="J817" t="str">
        <f>IF(OR($G817="",Sync!$Z813=""),"",Sync!$Z813)</f>
        <v/>
      </c>
      <c r="K817">
        <f>IF($G817="",0,IF(Sync!$AA813="",0,Sync!$AA813))</f>
        <v>0</v>
      </c>
      <c r="L817">
        <f>IF($G817="",0,IF(Sync!$AB813="",0,Sync!$AB813))</f>
        <v>0</v>
      </c>
      <c r="M817" t="str">
        <f t="shared" si="77"/>
        <v/>
      </c>
      <c r="N817">
        <f>IF($G817="",0,IF($H817="مرجوعی فروش",-1,1)*IF(Sync!$AC813="",0,Sync!$AC813))</f>
        <v>0</v>
      </c>
      <c r="O817" t="str">
        <f>IF(OR($G817="",Sync!$V813=""),"",Sync!$V813)</f>
        <v/>
      </c>
      <c r="P817" t="str">
        <f>IF(OR($G817="",Sync!$AD813=""),"",Sync!$AD813)</f>
        <v/>
      </c>
      <c r="Q817" t="str">
        <f>IF($G817="","",IF(Sync!$U813="","0000",IF(AND(ISNUMBER(Sync!$U813),Sync!$U813&gt;=0,Sync!$U813&lt;1),RIGHT("00"&amp;HOUR(Sync!$U813),2)&amp;RIGHT("00"&amp;MINUTE(Sync!$U813),2),IFERROR(RIGHT("00"&amp;VALUE(LEFT(Sync!$U813,FIND(":",Sync!$U813)-1)),2)&amp;RIGHT("00"&amp;VALUE(MID(Sync!$U813,FIND(":",Sync!$U813)+1,2)),2),"0000"))))</f>
        <v/>
      </c>
    </row>
    <row r="818" spans="1:17" x14ac:dyDescent="0.2">
      <c r="A818" t="str">
        <f>IF(Sync!$T814="","",Sync!$T814)</f>
        <v/>
      </c>
      <c r="B818" t="str">
        <f t="shared" si="72"/>
        <v/>
      </c>
      <c r="C818" t="str">
        <f t="shared" si="73"/>
        <v/>
      </c>
      <c r="D818" t="str">
        <f t="shared" si="74"/>
        <v/>
      </c>
      <c r="E818" t="str">
        <f t="shared" si="75"/>
        <v/>
      </c>
      <c r="F818" t="str">
        <f t="shared" si="76"/>
        <v/>
      </c>
      <c r="G818" t="str">
        <f>IF(OR($E818="",$E818="نامعتبر",Sync!$X814=""),"",IF(AND(LEFT(UPPER(TRIM(Sync!$X814)),2)="SL",IFERROR(VLOOKUP(Sync!$W814,OpTbl,3,0),"")="فروش"),UPPER(TRIM(Sync!$X814)),""))</f>
        <v/>
      </c>
      <c r="H818" t="str">
        <f>IF($G818="","",IF(Sync!$W814="","",Sync!$W814))</f>
        <v/>
      </c>
      <c r="I818" t="str">
        <f>IF(OR($G818="",Sync!$Y814=""),"",Sync!$Y814)</f>
        <v/>
      </c>
      <c r="J818" t="str">
        <f>IF(OR($G818="",Sync!$Z814=""),"",Sync!$Z814)</f>
        <v/>
      </c>
      <c r="K818">
        <f>IF($G818="",0,IF(Sync!$AA814="",0,Sync!$AA814))</f>
        <v>0</v>
      </c>
      <c r="L818">
        <f>IF($G818="",0,IF(Sync!$AB814="",0,Sync!$AB814))</f>
        <v>0</v>
      </c>
      <c r="M818" t="str">
        <f t="shared" si="77"/>
        <v/>
      </c>
      <c r="N818">
        <f>IF($G818="",0,IF($H818="مرجوعی فروش",-1,1)*IF(Sync!$AC814="",0,Sync!$AC814))</f>
        <v>0</v>
      </c>
      <c r="O818" t="str">
        <f>IF(OR($G818="",Sync!$V814=""),"",Sync!$V814)</f>
        <v/>
      </c>
      <c r="P818" t="str">
        <f>IF(OR($G818="",Sync!$AD814=""),"",Sync!$AD814)</f>
        <v/>
      </c>
      <c r="Q818" t="str">
        <f>IF($G818="","",IF(Sync!$U814="","0000",IF(AND(ISNUMBER(Sync!$U814),Sync!$U814&gt;=0,Sync!$U814&lt;1),RIGHT("00"&amp;HOUR(Sync!$U814),2)&amp;RIGHT("00"&amp;MINUTE(Sync!$U814),2),IFERROR(RIGHT("00"&amp;VALUE(LEFT(Sync!$U814,FIND(":",Sync!$U814)-1)),2)&amp;RIGHT("00"&amp;VALUE(MID(Sync!$U814,FIND(":",Sync!$U814)+1,2)),2),"0000"))))</f>
        <v/>
      </c>
    </row>
    <row r="819" spans="1:17" x14ac:dyDescent="0.2">
      <c r="A819" t="str">
        <f>IF(Sync!$T815="","",Sync!$T815)</f>
        <v/>
      </c>
      <c r="B819" t="str">
        <f t="shared" si="72"/>
        <v/>
      </c>
      <c r="C819" t="str">
        <f t="shared" si="73"/>
        <v/>
      </c>
      <c r="D819" t="str">
        <f t="shared" si="74"/>
        <v/>
      </c>
      <c r="E819" t="str">
        <f t="shared" si="75"/>
        <v/>
      </c>
      <c r="F819" t="str">
        <f t="shared" si="76"/>
        <v/>
      </c>
      <c r="G819" t="str">
        <f>IF(OR($E819="",$E819="نامعتبر",Sync!$X815=""),"",IF(AND(LEFT(UPPER(TRIM(Sync!$X815)),2)="SL",IFERROR(VLOOKUP(Sync!$W815,OpTbl,3,0),"")="فروش"),UPPER(TRIM(Sync!$X815)),""))</f>
        <v/>
      </c>
      <c r="H819" t="str">
        <f>IF($G819="","",IF(Sync!$W815="","",Sync!$W815))</f>
        <v/>
      </c>
      <c r="I819" t="str">
        <f>IF(OR($G819="",Sync!$Y815=""),"",Sync!$Y815)</f>
        <v/>
      </c>
      <c r="J819" t="str">
        <f>IF(OR($G819="",Sync!$Z815=""),"",Sync!$Z815)</f>
        <v/>
      </c>
      <c r="K819">
        <f>IF($G819="",0,IF(Sync!$AA815="",0,Sync!$AA815))</f>
        <v>0</v>
      </c>
      <c r="L819">
        <f>IF($G819="",0,IF(Sync!$AB815="",0,Sync!$AB815))</f>
        <v>0</v>
      </c>
      <c r="M819" t="str">
        <f t="shared" si="77"/>
        <v/>
      </c>
      <c r="N819">
        <f>IF($G819="",0,IF($H819="مرجوعی فروش",-1,1)*IF(Sync!$AC815="",0,Sync!$AC815))</f>
        <v>0</v>
      </c>
      <c r="O819" t="str">
        <f>IF(OR($G819="",Sync!$V815=""),"",Sync!$V815)</f>
        <v/>
      </c>
      <c r="P819" t="str">
        <f>IF(OR($G819="",Sync!$AD815=""),"",Sync!$AD815)</f>
        <v/>
      </c>
      <c r="Q819" t="str">
        <f>IF($G819="","",IF(Sync!$U815="","0000",IF(AND(ISNUMBER(Sync!$U815),Sync!$U815&gt;=0,Sync!$U815&lt;1),RIGHT("00"&amp;HOUR(Sync!$U815),2)&amp;RIGHT("00"&amp;MINUTE(Sync!$U815),2),IFERROR(RIGHT("00"&amp;VALUE(LEFT(Sync!$U815,FIND(":",Sync!$U815)-1)),2)&amp;RIGHT("00"&amp;VALUE(MID(Sync!$U815,FIND(":",Sync!$U815)+1,2)),2),"0000"))))</f>
        <v/>
      </c>
    </row>
    <row r="820" spans="1:17" x14ac:dyDescent="0.2">
      <c r="A820" t="str">
        <f>IF(Sync!$T816="","",Sync!$T816)</f>
        <v/>
      </c>
      <c r="B820" t="str">
        <f t="shared" si="72"/>
        <v/>
      </c>
      <c r="C820" t="str">
        <f t="shared" si="73"/>
        <v/>
      </c>
      <c r="D820" t="str">
        <f t="shared" si="74"/>
        <v/>
      </c>
      <c r="E820" t="str">
        <f t="shared" si="75"/>
        <v/>
      </c>
      <c r="F820" t="str">
        <f t="shared" si="76"/>
        <v/>
      </c>
      <c r="G820" t="str">
        <f>IF(OR($E820="",$E820="نامعتبر",Sync!$X816=""),"",IF(AND(LEFT(UPPER(TRIM(Sync!$X816)),2)="SL",IFERROR(VLOOKUP(Sync!$W816,OpTbl,3,0),"")="فروش"),UPPER(TRIM(Sync!$X816)),""))</f>
        <v/>
      </c>
      <c r="H820" t="str">
        <f>IF($G820="","",IF(Sync!$W816="","",Sync!$W816))</f>
        <v/>
      </c>
      <c r="I820" t="str">
        <f>IF(OR($G820="",Sync!$Y816=""),"",Sync!$Y816)</f>
        <v/>
      </c>
      <c r="J820" t="str">
        <f>IF(OR($G820="",Sync!$Z816=""),"",Sync!$Z816)</f>
        <v/>
      </c>
      <c r="K820">
        <f>IF($G820="",0,IF(Sync!$AA816="",0,Sync!$AA816))</f>
        <v>0</v>
      </c>
      <c r="L820">
        <f>IF($G820="",0,IF(Sync!$AB816="",0,Sync!$AB816))</f>
        <v>0</v>
      </c>
      <c r="M820" t="str">
        <f t="shared" si="77"/>
        <v/>
      </c>
      <c r="N820">
        <f>IF($G820="",0,IF($H820="مرجوعی فروش",-1,1)*IF(Sync!$AC816="",0,Sync!$AC816))</f>
        <v>0</v>
      </c>
      <c r="O820" t="str">
        <f>IF(OR($G820="",Sync!$V816=""),"",Sync!$V816)</f>
        <v/>
      </c>
      <c r="P820" t="str">
        <f>IF(OR($G820="",Sync!$AD816=""),"",Sync!$AD816)</f>
        <v/>
      </c>
      <c r="Q820" t="str">
        <f>IF($G820="","",IF(Sync!$U816="","0000",IF(AND(ISNUMBER(Sync!$U816),Sync!$U816&gt;=0,Sync!$U816&lt;1),RIGHT("00"&amp;HOUR(Sync!$U816),2)&amp;RIGHT("00"&amp;MINUTE(Sync!$U816),2),IFERROR(RIGHT("00"&amp;VALUE(LEFT(Sync!$U816,FIND(":",Sync!$U816)-1)),2)&amp;RIGHT("00"&amp;VALUE(MID(Sync!$U816,FIND(":",Sync!$U816)+1,2)),2),"0000"))))</f>
        <v/>
      </c>
    </row>
    <row r="821" spans="1:17" x14ac:dyDescent="0.2">
      <c r="A821" t="str">
        <f>IF(Sync!$T817="","",Sync!$T817)</f>
        <v/>
      </c>
      <c r="B821" t="str">
        <f t="shared" si="72"/>
        <v/>
      </c>
      <c r="C821" t="str">
        <f t="shared" si="73"/>
        <v/>
      </c>
      <c r="D821" t="str">
        <f t="shared" si="74"/>
        <v/>
      </c>
      <c r="E821" t="str">
        <f t="shared" si="75"/>
        <v/>
      </c>
      <c r="F821" t="str">
        <f t="shared" si="76"/>
        <v/>
      </c>
      <c r="G821" t="str">
        <f>IF(OR($E821="",$E821="نامعتبر",Sync!$X817=""),"",IF(AND(LEFT(UPPER(TRIM(Sync!$X817)),2)="SL",IFERROR(VLOOKUP(Sync!$W817,OpTbl,3,0),"")="فروش"),UPPER(TRIM(Sync!$X817)),""))</f>
        <v/>
      </c>
      <c r="H821" t="str">
        <f>IF($G821="","",IF(Sync!$W817="","",Sync!$W817))</f>
        <v/>
      </c>
      <c r="I821" t="str">
        <f>IF(OR($G821="",Sync!$Y817=""),"",Sync!$Y817)</f>
        <v/>
      </c>
      <c r="J821" t="str">
        <f>IF(OR($G821="",Sync!$Z817=""),"",Sync!$Z817)</f>
        <v/>
      </c>
      <c r="K821">
        <f>IF($G821="",0,IF(Sync!$AA817="",0,Sync!$AA817))</f>
        <v>0</v>
      </c>
      <c r="L821">
        <f>IF($G821="",0,IF(Sync!$AB817="",0,Sync!$AB817))</f>
        <v>0</v>
      </c>
      <c r="M821" t="str">
        <f t="shared" si="77"/>
        <v/>
      </c>
      <c r="N821">
        <f>IF($G821="",0,IF($H821="مرجوعی فروش",-1,1)*IF(Sync!$AC817="",0,Sync!$AC817))</f>
        <v>0</v>
      </c>
      <c r="O821" t="str">
        <f>IF(OR($G821="",Sync!$V817=""),"",Sync!$V817)</f>
        <v/>
      </c>
      <c r="P821" t="str">
        <f>IF(OR($G821="",Sync!$AD817=""),"",Sync!$AD817)</f>
        <v/>
      </c>
      <c r="Q821" t="str">
        <f>IF($G821="","",IF(Sync!$U817="","0000",IF(AND(ISNUMBER(Sync!$U817),Sync!$U817&gt;=0,Sync!$U817&lt;1),RIGHT("00"&amp;HOUR(Sync!$U817),2)&amp;RIGHT("00"&amp;MINUTE(Sync!$U817),2),IFERROR(RIGHT("00"&amp;VALUE(LEFT(Sync!$U817,FIND(":",Sync!$U817)-1)),2)&amp;RIGHT("00"&amp;VALUE(MID(Sync!$U817,FIND(":",Sync!$U817)+1,2)),2),"0000"))))</f>
        <v/>
      </c>
    </row>
    <row r="822" spans="1:17" x14ac:dyDescent="0.2">
      <c r="A822" t="str">
        <f>IF(Sync!$T818="","",Sync!$T818)</f>
        <v/>
      </c>
      <c r="B822" t="str">
        <f t="shared" si="72"/>
        <v/>
      </c>
      <c r="C822" t="str">
        <f t="shared" si="73"/>
        <v/>
      </c>
      <c r="D822" t="str">
        <f t="shared" si="74"/>
        <v/>
      </c>
      <c r="E822" t="str">
        <f t="shared" si="75"/>
        <v/>
      </c>
      <c r="F822" t="str">
        <f t="shared" si="76"/>
        <v/>
      </c>
      <c r="G822" t="str">
        <f>IF(OR($E822="",$E822="نامعتبر",Sync!$X818=""),"",IF(AND(LEFT(UPPER(TRIM(Sync!$X818)),2)="SL",IFERROR(VLOOKUP(Sync!$W818,OpTbl,3,0),"")="فروش"),UPPER(TRIM(Sync!$X818)),""))</f>
        <v/>
      </c>
      <c r="H822" t="str">
        <f>IF($G822="","",IF(Sync!$W818="","",Sync!$W818))</f>
        <v/>
      </c>
      <c r="I822" t="str">
        <f>IF(OR($G822="",Sync!$Y818=""),"",Sync!$Y818)</f>
        <v/>
      </c>
      <c r="J822" t="str">
        <f>IF(OR($G822="",Sync!$Z818=""),"",Sync!$Z818)</f>
        <v/>
      </c>
      <c r="K822">
        <f>IF($G822="",0,IF(Sync!$AA818="",0,Sync!$AA818))</f>
        <v>0</v>
      </c>
      <c r="L822">
        <f>IF($G822="",0,IF(Sync!$AB818="",0,Sync!$AB818))</f>
        <v>0</v>
      </c>
      <c r="M822" t="str">
        <f t="shared" si="77"/>
        <v/>
      </c>
      <c r="N822">
        <f>IF($G822="",0,IF($H822="مرجوعی فروش",-1,1)*IF(Sync!$AC818="",0,Sync!$AC818))</f>
        <v>0</v>
      </c>
      <c r="O822" t="str">
        <f>IF(OR($G822="",Sync!$V818=""),"",Sync!$V818)</f>
        <v/>
      </c>
      <c r="P822" t="str">
        <f>IF(OR($G822="",Sync!$AD818=""),"",Sync!$AD818)</f>
        <v/>
      </c>
      <c r="Q822" t="str">
        <f>IF($G822="","",IF(Sync!$U818="","0000",IF(AND(ISNUMBER(Sync!$U818),Sync!$U818&gt;=0,Sync!$U818&lt;1),RIGHT("00"&amp;HOUR(Sync!$U818),2)&amp;RIGHT("00"&amp;MINUTE(Sync!$U818),2),IFERROR(RIGHT("00"&amp;VALUE(LEFT(Sync!$U818,FIND(":",Sync!$U818)-1)),2)&amp;RIGHT("00"&amp;VALUE(MID(Sync!$U818,FIND(":",Sync!$U818)+1,2)),2),"0000"))))</f>
        <v/>
      </c>
    </row>
    <row r="823" spans="1:17" x14ac:dyDescent="0.2">
      <c r="A823" t="str">
        <f>IF(Sync!$T819="","",Sync!$T819)</f>
        <v/>
      </c>
      <c r="B823" t="str">
        <f t="shared" si="72"/>
        <v/>
      </c>
      <c r="C823" t="str">
        <f t="shared" si="73"/>
        <v/>
      </c>
      <c r="D823" t="str">
        <f t="shared" si="74"/>
        <v/>
      </c>
      <c r="E823" t="str">
        <f t="shared" si="75"/>
        <v/>
      </c>
      <c r="F823" t="str">
        <f t="shared" si="76"/>
        <v/>
      </c>
      <c r="G823" t="str">
        <f>IF(OR($E823="",$E823="نامعتبر",Sync!$X819=""),"",IF(AND(LEFT(UPPER(TRIM(Sync!$X819)),2)="SL",IFERROR(VLOOKUP(Sync!$W819,OpTbl,3,0),"")="فروش"),UPPER(TRIM(Sync!$X819)),""))</f>
        <v/>
      </c>
      <c r="H823" t="str">
        <f>IF($G823="","",IF(Sync!$W819="","",Sync!$W819))</f>
        <v/>
      </c>
      <c r="I823" t="str">
        <f>IF(OR($G823="",Sync!$Y819=""),"",Sync!$Y819)</f>
        <v/>
      </c>
      <c r="J823" t="str">
        <f>IF(OR($G823="",Sync!$Z819=""),"",Sync!$Z819)</f>
        <v/>
      </c>
      <c r="K823">
        <f>IF($G823="",0,IF(Sync!$AA819="",0,Sync!$AA819))</f>
        <v>0</v>
      </c>
      <c r="L823">
        <f>IF($G823="",0,IF(Sync!$AB819="",0,Sync!$AB819))</f>
        <v>0</v>
      </c>
      <c r="M823" t="str">
        <f t="shared" si="77"/>
        <v/>
      </c>
      <c r="N823">
        <f>IF($G823="",0,IF($H823="مرجوعی فروش",-1,1)*IF(Sync!$AC819="",0,Sync!$AC819))</f>
        <v>0</v>
      </c>
      <c r="O823" t="str">
        <f>IF(OR($G823="",Sync!$V819=""),"",Sync!$V819)</f>
        <v/>
      </c>
      <c r="P823" t="str">
        <f>IF(OR($G823="",Sync!$AD819=""),"",Sync!$AD819)</f>
        <v/>
      </c>
      <c r="Q823" t="str">
        <f>IF($G823="","",IF(Sync!$U819="","0000",IF(AND(ISNUMBER(Sync!$U819),Sync!$U819&gt;=0,Sync!$U819&lt;1),RIGHT("00"&amp;HOUR(Sync!$U819),2)&amp;RIGHT("00"&amp;MINUTE(Sync!$U819),2),IFERROR(RIGHT("00"&amp;VALUE(LEFT(Sync!$U819,FIND(":",Sync!$U819)-1)),2)&amp;RIGHT("00"&amp;VALUE(MID(Sync!$U819,FIND(":",Sync!$U819)+1,2)),2),"0000"))))</f>
        <v/>
      </c>
    </row>
    <row r="824" spans="1:17" x14ac:dyDescent="0.2">
      <c r="A824" t="str">
        <f>IF(Sync!$T820="","",Sync!$T820)</f>
        <v/>
      </c>
      <c r="B824" t="str">
        <f t="shared" si="72"/>
        <v/>
      </c>
      <c r="C824" t="str">
        <f t="shared" si="73"/>
        <v/>
      </c>
      <c r="D824" t="str">
        <f t="shared" si="74"/>
        <v/>
      </c>
      <c r="E824" t="str">
        <f t="shared" si="75"/>
        <v/>
      </c>
      <c r="F824" t="str">
        <f t="shared" si="76"/>
        <v/>
      </c>
      <c r="G824" t="str">
        <f>IF(OR($E824="",$E824="نامعتبر",Sync!$X820=""),"",IF(AND(LEFT(UPPER(TRIM(Sync!$X820)),2)="SL",IFERROR(VLOOKUP(Sync!$W820,OpTbl,3,0),"")="فروش"),UPPER(TRIM(Sync!$X820)),""))</f>
        <v/>
      </c>
      <c r="H824" t="str">
        <f>IF($G824="","",IF(Sync!$W820="","",Sync!$W820))</f>
        <v/>
      </c>
      <c r="I824" t="str">
        <f>IF(OR($G824="",Sync!$Y820=""),"",Sync!$Y820)</f>
        <v/>
      </c>
      <c r="J824" t="str">
        <f>IF(OR($G824="",Sync!$Z820=""),"",Sync!$Z820)</f>
        <v/>
      </c>
      <c r="K824">
        <f>IF($G824="",0,IF(Sync!$AA820="",0,Sync!$AA820))</f>
        <v>0</v>
      </c>
      <c r="L824">
        <f>IF($G824="",0,IF(Sync!$AB820="",0,Sync!$AB820))</f>
        <v>0</v>
      </c>
      <c r="M824" t="str">
        <f t="shared" si="77"/>
        <v/>
      </c>
      <c r="N824">
        <f>IF($G824="",0,IF($H824="مرجوعی فروش",-1,1)*IF(Sync!$AC820="",0,Sync!$AC820))</f>
        <v>0</v>
      </c>
      <c r="O824" t="str">
        <f>IF(OR($G824="",Sync!$V820=""),"",Sync!$V820)</f>
        <v/>
      </c>
      <c r="P824" t="str">
        <f>IF(OR($G824="",Sync!$AD820=""),"",Sync!$AD820)</f>
        <v/>
      </c>
      <c r="Q824" t="str">
        <f>IF($G824="","",IF(Sync!$U820="","0000",IF(AND(ISNUMBER(Sync!$U820),Sync!$U820&gt;=0,Sync!$U820&lt;1),RIGHT("00"&amp;HOUR(Sync!$U820),2)&amp;RIGHT("00"&amp;MINUTE(Sync!$U820),2),IFERROR(RIGHT("00"&amp;VALUE(LEFT(Sync!$U820,FIND(":",Sync!$U820)-1)),2)&amp;RIGHT("00"&amp;VALUE(MID(Sync!$U820,FIND(":",Sync!$U820)+1,2)),2),"0000"))))</f>
        <v/>
      </c>
    </row>
    <row r="825" spans="1:17" x14ac:dyDescent="0.2">
      <c r="A825" t="str">
        <f>IF(Sync!$T821="","",Sync!$T821)</f>
        <v/>
      </c>
      <c r="B825" t="str">
        <f t="shared" si="72"/>
        <v/>
      </c>
      <c r="C825" t="str">
        <f t="shared" si="73"/>
        <v/>
      </c>
      <c r="D825" t="str">
        <f t="shared" si="74"/>
        <v/>
      </c>
      <c r="E825" t="str">
        <f t="shared" si="75"/>
        <v/>
      </c>
      <c r="F825" t="str">
        <f t="shared" si="76"/>
        <v/>
      </c>
      <c r="G825" t="str">
        <f>IF(OR($E825="",$E825="نامعتبر",Sync!$X821=""),"",IF(AND(LEFT(UPPER(TRIM(Sync!$X821)),2)="SL",IFERROR(VLOOKUP(Sync!$W821,OpTbl,3,0),"")="فروش"),UPPER(TRIM(Sync!$X821)),""))</f>
        <v/>
      </c>
      <c r="H825" t="str">
        <f>IF($G825="","",IF(Sync!$W821="","",Sync!$W821))</f>
        <v/>
      </c>
      <c r="I825" t="str">
        <f>IF(OR($G825="",Sync!$Y821=""),"",Sync!$Y821)</f>
        <v/>
      </c>
      <c r="J825" t="str">
        <f>IF(OR($G825="",Sync!$Z821=""),"",Sync!$Z821)</f>
        <v/>
      </c>
      <c r="K825">
        <f>IF($G825="",0,IF(Sync!$AA821="",0,Sync!$AA821))</f>
        <v>0</v>
      </c>
      <c r="L825">
        <f>IF($G825="",0,IF(Sync!$AB821="",0,Sync!$AB821))</f>
        <v>0</v>
      </c>
      <c r="M825" t="str">
        <f t="shared" si="77"/>
        <v/>
      </c>
      <c r="N825">
        <f>IF($G825="",0,IF($H825="مرجوعی فروش",-1,1)*IF(Sync!$AC821="",0,Sync!$AC821))</f>
        <v>0</v>
      </c>
      <c r="O825" t="str">
        <f>IF(OR($G825="",Sync!$V821=""),"",Sync!$V821)</f>
        <v/>
      </c>
      <c r="P825" t="str">
        <f>IF(OR($G825="",Sync!$AD821=""),"",Sync!$AD821)</f>
        <v/>
      </c>
      <c r="Q825" t="str">
        <f>IF($G825="","",IF(Sync!$U821="","0000",IF(AND(ISNUMBER(Sync!$U821),Sync!$U821&gt;=0,Sync!$U821&lt;1),RIGHT("00"&amp;HOUR(Sync!$U821),2)&amp;RIGHT("00"&amp;MINUTE(Sync!$U821),2),IFERROR(RIGHT("00"&amp;VALUE(LEFT(Sync!$U821,FIND(":",Sync!$U821)-1)),2)&amp;RIGHT("00"&amp;VALUE(MID(Sync!$U821,FIND(":",Sync!$U821)+1,2)),2),"0000"))))</f>
        <v/>
      </c>
    </row>
    <row r="826" spans="1:17" x14ac:dyDescent="0.2">
      <c r="A826" t="str">
        <f>IF(Sync!$T822="","",Sync!$T822)</f>
        <v/>
      </c>
      <c r="B826" t="str">
        <f t="shared" si="72"/>
        <v/>
      </c>
      <c r="C826" t="str">
        <f t="shared" si="73"/>
        <v/>
      </c>
      <c r="D826" t="str">
        <f t="shared" si="74"/>
        <v/>
      </c>
      <c r="E826" t="str">
        <f t="shared" si="75"/>
        <v/>
      </c>
      <c r="F826" t="str">
        <f t="shared" si="76"/>
        <v/>
      </c>
      <c r="G826" t="str">
        <f>IF(OR($E826="",$E826="نامعتبر",Sync!$X822=""),"",IF(AND(LEFT(UPPER(TRIM(Sync!$X822)),2)="SL",IFERROR(VLOOKUP(Sync!$W822,OpTbl,3,0),"")="فروش"),UPPER(TRIM(Sync!$X822)),""))</f>
        <v/>
      </c>
      <c r="H826" t="str">
        <f>IF($G826="","",IF(Sync!$W822="","",Sync!$W822))</f>
        <v/>
      </c>
      <c r="I826" t="str">
        <f>IF(OR($G826="",Sync!$Y822=""),"",Sync!$Y822)</f>
        <v/>
      </c>
      <c r="J826" t="str">
        <f>IF(OR($G826="",Sync!$Z822=""),"",Sync!$Z822)</f>
        <v/>
      </c>
      <c r="K826">
        <f>IF($G826="",0,IF(Sync!$AA822="",0,Sync!$AA822))</f>
        <v>0</v>
      </c>
      <c r="L826">
        <f>IF($G826="",0,IF(Sync!$AB822="",0,Sync!$AB822))</f>
        <v>0</v>
      </c>
      <c r="M826" t="str">
        <f t="shared" si="77"/>
        <v/>
      </c>
      <c r="N826">
        <f>IF($G826="",0,IF($H826="مرجوعی فروش",-1,1)*IF(Sync!$AC822="",0,Sync!$AC822))</f>
        <v>0</v>
      </c>
      <c r="O826" t="str">
        <f>IF(OR($G826="",Sync!$V822=""),"",Sync!$V822)</f>
        <v/>
      </c>
      <c r="P826" t="str">
        <f>IF(OR($G826="",Sync!$AD822=""),"",Sync!$AD822)</f>
        <v/>
      </c>
      <c r="Q826" t="str">
        <f>IF($G826="","",IF(Sync!$U822="","0000",IF(AND(ISNUMBER(Sync!$U822),Sync!$U822&gt;=0,Sync!$U822&lt;1),RIGHT("00"&amp;HOUR(Sync!$U822),2)&amp;RIGHT("00"&amp;MINUTE(Sync!$U822),2),IFERROR(RIGHT("00"&amp;VALUE(LEFT(Sync!$U822,FIND(":",Sync!$U822)-1)),2)&amp;RIGHT("00"&amp;VALUE(MID(Sync!$U822,FIND(":",Sync!$U822)+1,2)),2),"0000"))))</f>
        <v/>
      </c>
    </row>
    <row r="827" spans="1:17" x14ac:dyDescent="0.2">
      <c r="A827" t="str">
        <f>IF(Sync!$T823="","",Sync!$T823)</f>
        <v/>
      </c>
      <c r="B827" t="str">
        <f t="shared" si="72"/>
        <v/>
      </c>
      <c r="C827" t="str">
        <f t="shared" si="73"/>
        <v/>
      </c>
      <c r="D827" t="str">
        <f t="shared" si="74"/>
        <v/>
      </c>
      <c r="E827" t="str">
        <f t="shared" si="75"/>
        <v/>
      </c>
      <c r="F827" t="str">
        <f t="shared" si="76"/>
        <v/>
      </c>
      <c r="G827" t="str">
        <f>IF(OR($E827="",$E827="نامعتبر",Sync!$X823=""),"",IF(AND(LEFT(UPPER(TRIM(Sync!$X823)),2)="SL",IFERROR(VLOOKUP(Sync!$W823,OpTbl,3,0),"")="فروش"),UPPER(TRIM(Sync!$X823)),""))</f>
        <v/>
      </c>
      <c r="H827" t="str">
        <f>IF($G827="","",IF(Sync!$W823="","",Sync!$W823))</f>
        <v/>
      </c>
      <c r="I827" t="str">
        <f>IF(OR($G827="",Sync!$Y823=""),"",Sync!$Y823)</f>
        <v/>
      </c>
      <c r="J827" t="str">
        <f>IF(OR($G827="",Sync!$Z823=""),"",Sync!$Z823)</f>
        <v/>
      </c>
      <c r="K827">
        <f>IF($G827="",0,IF(Sync!$AA823="",0,Sync!$AA823))</f>
        <v>0</v>
      </c>
      <c r="L827">
        <f>IF($G827="",0,IF(Sync!$AB823="",0,Sync!$AB823))</f>
        <v>0</v>
      </c>
      <c r="M827" t="str">
        <f t="shared" si="77"/>
        <v/>
      </c>
      <c r="N827">
        <f>IF($G827="",0,IF($H827="مرجوعی فروش",-1,1)*IF(Sync!$AC823="",0,Sync!$AC823))</f>
        <v>0</v>
      </c>
      <c r="O827" t="str">
        <f>IF(OR($G827="",Sync!$V823=""),"",Sync!$V823)</f>
        <v/>
      </c>
      <c r="P827" t="str">
        <f>IF(OR($G827="",Sync!$AD823=""),"",Sync!$AD823)</f>
        <v/>
      </c>
      <c r="Q827" t="str">
        <f>IF($G827="","",IF(Sync!$U823="","0000",IF(AND(ISNUMBER(Sync!$U823),Sync!$U823&gt;=0,Sync!$U823&lt;1),RIGHT("00"&amp;HOUR(Sync!$U823),2)&amp;RIGHT("00"&amp;MINUTE(Sync!$U823),2),IFERROR(RIGHT("00"&amp;VALUE(LEFT(Sync!$U823,FIND(":",Sync!$U823)-1)),2)&amp;RIGHT("00"&amp;VALUE(MID(Sync!$U823,FIND(":",Sync!$U823)+1,2)),2),"0000"))))</f>
        <v/>
      </c>
    </row>
    <row r="828" spans="1:17" x14ac:dyDescent="0.2">
      <c r="A828" t="str">
        <f>IF(Sync!$T824="","",Sync!$T824)</f>
        <v/>
      </c>
      <c r="B828" t="str">
        <f t="shared" si="72"/>
        <v/>
      </c>
      <c r="C828" t="str">
        <f t="shared" si="73"/>
        <v/>
      </c>
      <c r="D828" t="str">
        <f t="shared" si="74"/>
        <v/>
      </c>
      <c r="E828" t="str">
        <f t="shared" si="75"/>
        <v/>
      </c>
      <c r="F828" t="str">
        <f t="shared" si="76"/>
        <v/>
      </c>
      <c r="G828" t="str">
        <f>IF(OR($E828="",$E828="نامعتبر",Sync!$X824=""),"",IF(AND(LEFT(UPPER(TRIM(Sync!$X824)),2)="SL",IFERROR(VLOOKUP(Sync!$W824,OpTbl,3,0),"")="فروش"),UPPER(TRIM(Sync!$X824)),""))</f>
        <v/>
      </c>
      <c r="H828" t="str">
        <f>IF($G828="","",IF(Sync!$W824="","",Sync!$W824))</f>
        <v/>
      </c>
      <c r="I828" t="str">
        <f>IF(OR($G828="",Sync!$Y824=""),"",Sync!$Y824)</f>
        <v/>
      </c>
      <c r="J828" t="str">
        <f>IF(OR($G828="",Sync!$Z824=""),"",Sync!$Z824)</f>
        <v/>
      </c>
      <c r="K828">
        <f>IF($G828="",0,IF(Sync!$AA824="",0,Sync!$AA824))</f>
        <v>0</v>
      </c>
      <c r="L828">
        <f>IF($G828="",0,IF(Sync!$AB824="",0,Sync!$AB824))</f>
        <v>0</v>
      </c>
      <c r="M828" t="str">
        <f t="shared" si="77"/>
        <v/>
      </c>
      <c r="N828">
        <f>IF($G828="",0,IF($H828="مرجوعی فروش",-1,1)*IF(Sync!$AC824="",0,Sync!$AC824))</f>
        <v>0</v>
      </c>
      <c r="O828" t="str">
        <f>IF(OR($G828="",Sync!$V824=""),"",Sync!$V824)</f>
        <v/>
      </c>
      <c r="P828" t="str">
        <f>IF(OR($G828="",Sync!$AD824=""),"",Sync!$AD824)</f>
        <v/>
      </c>
      <c r="Q828" t="str">
        <f>IF($G828="","",IF(Sync!$U824="","0000",IF(AND(ISNUMBER(Sync!$U824),Sync!$U824&gt;=0,Sync!$U824&lt;1),RIGHT("00"&amp;HOUR(Sync!$U824),2)&amp;RIGHT("00"&amp;MINUTE(Sync!$U824),2),IFERROR(RIGHT("00"&amp;VALUE(LEFT(Sync!$U824,FIND(":",Sync!$U824)-1)),2)&amp;RIGHT("00"&amp;VALUE(MID(Sync!$U824,FIND(":",Sync!$U824)+1,2)),2),"0000"))))</f>
        <v/>
      </c>
    </row>
    <row r="829" spans="1:17" x14ac:dyDescent="0.2">
      <c r="A829" t="str">
        <f>IF(Sync!$T825="","",Sync!$T825)</f>
        <v/>
      </c>
      <c r="B829" t="str">
        <f t="shared" si="72"/>
        <v/>
      </c>
      <c r="C829" t="str">
        <f t="shared" si="73"/>
        <v/>
      </c>
      <c r="D829" t="str">
        <f t="shared" si="74"/>
        <v/>
      </c>
      <c r="E829" t="str">
        <f t="shared" si="75"/>
        <v/>
      </c>
      <c r="F829" t="str">
        <f t="shared" si="76"/>
        <v/>
      </c>
      <c r="G829" t="str">
        <f>IF(OR($E829="",$E829="نامعتبر",Sync!$X825=""),"",IF(AND(LEFT(UPPER(TRIM(Sync!$X825)),2)="SL",IFERROR(VLOOKUP(Sync!$W825,OpTbl,3,0),"")="فروش"),UPPER(TRIM(Sync!$X825)),""))</f>
        <v/>
      </c>
      <c r="H829" t="str">
        <f>IF($G829="","",IF(Sync!$W825="","",Sync!$W825))</f>
        <v/>
      </c>
      <c r="I829" t="str">
        <f>IF(OR($G829="",Sync!$Y825=""),"",Sync!$Y825)</f>
        <v/>
      </c>
      <c r="J829" t="str">
        <f>IF(OR($G829="",Sync!$Z825=""),"",Sync!$Z825)</f>
        <v/>
      </c>
      <c r="K829">
        <f>IF($G829="",0,IF(Sync!$AA825="",0,Sync!$AA825))</f>
        <v>0</v>
      </c>
      <c r="L829">
        <f>IF($G829="",0,IF(Sync!$AB825="",0,Sync!$AB825))</f>
        <v>0</v>
      </c>
      <c r="M829" t="str">
        <f t="shared" si="77"/>
        <v/>
      </c>
      <c r="N829">
        <f>IF($G829="",0,IF($H829="مرجوعی فروش",-1,1)*IF(Sync!$AC825="",0,Sync!$AC825))</f>
        <v>0</v>
      </c>
      <c r="O829" t="str">
        <f>IF(OR($G829="",Sync!$V825=""),"",Sync!$V825)</f>
        <v/>
      </c>
      <c r="P829" t="str">
        <f>IF(OR($G829="",Sync!$AD825=""),"",Sync!$AD825)</f>
        <v/>
      </c>
      <c r="Q829" t="str">
        <f>IF($G829="","",IF(Sync!$U825="","0000",IF(AND(ISNUMBER(Sync!$U825),Sync!$U825&gt;=0,Sync!$U825&lt;1),RIGHT("00"&amp;HOUR(Sync!$U825),2)&amp;RIGHT("00"&amp;MINUTE(Sync!$U825),2),IFERROR(RIGHT("00"&amp;VALUE(LEFT(Sync!$U825,FIND(":",Sync!$U825)-1)),2)&amp;RIGHT("00"&amp;VALUE(MID(Sync!$U825,FIND(":",Sync!$U825)+1,2)),2),"0000"))))</f>
        <v/>
      </c>
    </row>
    <row r="830" spans="1:17" x14ac:dyDescent="0.2">
      <c r="A830" t="str">
        <f>IF(Sync!$T826="","",Sync!$T826)</f>
        <v/>
      </c>
      <c r="B830" t="str">
        <f t="shared" si="72"/>
        <v/>
      </c>
      <c r="C830" t="str">
        <f t="shared" si="73"/>
        <v/>
      </c>
      <c r="D830" t="str">
        <f t="shared" si="74"/>
        <v/>
      </c>
      <c r="E830" t="str">
        <f t="shared" si="75"/>
        <v/>
      </c>
      <c r="F830" t="str">
        <f t="shared" si="76"/>
        <v/>
      </c>
      <c r="G830" t="str">
        <f>IF(OR($E830="",$E830="نامعتبر",Sync!$X826=""),"",IF(AND(LEFT(UPPER(TRIM(Sync!$X826)),2)="SL",IFERROR(VLOOKUP(Sync!$W826,OpTbl,3,0),"")="فروش"),UPPER(TRIM(Sync!$X826)),""))</f>
        <v/>
      </c>
      <c r="H830" t="str">
        <f>IF($G830="","",IF(Sync!$W826="","",Sync!$W826))</f>
        <v/>
      </c>
      <c r="I830" t="str">
        <f>IF(OR($G830="",Sync!$Y826=""),"",Sync!$Y826)</f>
        <v/>
      </c>
      <c r="J830" t="str">
        <f>IF(OR($G830="",Sync!$Z826=""),"",Sync!$Z826)</f>
        <v/>
      </c>
      <c r="K830">
        <f>IF($G830="",0,IF(Sync!$AA826="",0,Sync!$AA826))</f>
        <v>0</v>
      </c>
      <c r="L830">
        <f>IF($G830="",0,IF(Sync!$AB826="",0,Sync!$AB826))</f>
        <v>0</v>
      </c>
      <c r="M830" t="str">
        <f t="shared" si="77"/>
        <v/>
      </c>
      <c r="N830">
        <f>IF($G830="",0,IF($H830="مرجوعی فروش",-1,1)*IF(Sync!$AC826="",0,Sync!$AC826))</f>
        <v>0</v>
      </c>
      <c r="O830" t="str">
        <f>IF(OR($G830="",Sync!$V826=""),"",Sync!$V826)</f>
        <v/>
      </c>
      <c r="P830" t="str">
        <f>IF(OR($G830="",Sync!$AD826=""),"",Sync!$AD826)</f>
        <v/>
      </c>
      <c r="Q830" t="str">
        <f>IF($G830="","",IF(Sync!$U826="","0000",IF(AND(ISNUMBER(Sync!$U826),Sync!$U826&gt;=0,Sync!$U826&lt;1),RIGHT("00"&amp;HOUR(Sync!$U826),2)&amp;RIGHT("00"&amp;MINUTE(Sync!$U826),2),IFERROR(RIGHT("00"&amp;VALUE(LEFT(Sync!$U826,FIND(":",Sync!$U826)-1)),2)&amp;RIGHT("00"&amp;VALUE(MID(Sync!$U826,FIND(":",Sync!$U826)+1,2)),2),"0000"))))</f>
        <v/>
      </c>
    </row>
    <row r="831" spans="1:17" x14ac:dyDescent="0.2">
      <c r="A831" t="str">
        <f>IF(Sync!$T827="","",Sync!$T827)</f>
        <v/>
      </c>
      <c r="B831" t="str">
        <f t="shared" si="72"/>
        <v/>
      </c>
      <c r="C831" t="str">
        <f t="shared" si="73"/>
        <v/>
      </c>
      <c r="D831" t="str">
        <f t="shared" si="74"/>
        <v/>
      </c>
      <c r="E831" t="str">
        <f t="shared" si="75"/>
        <v/>
      </c>
      <c r="F831" t="str">
        <f t="shared" si="76"/>
        <v/>
      </c>
      <c r="G831" t="str">
        <f>IF(OR($E831="",$E831="نامعتبر",Sync!$X827=""),"",IF(AND(LEFT(UPPER(TRIM(Sync!$X827)),2)="SL",IFERROR(VLOOKUP(Sync!$W827,OpTbl,3,0),"")="فروش"),UPPER(TRIM(Sync!$X827)),""))</f>
        <v/>
      </c>
      <c r="H831" t="str">
        <f>IF($G831="","",IF(Sync!$W827="","",Sync!$W827))</f>
        <v/>
      </c>
      <c r="I831" t="str">
        <f>IF(OR($G831="",Sync!$Y827=""),"",Sync!$Y827)</f>
        <v/>
      </c>
      <c r="J831" t="str">
        <f>IF(OR($G831="",Sync!$Z827=""),"",Sync!$Z827)</f>
        <v/>
      </c>
      <c r="K831">
        <f>IF($G831="",0,IF(Sync!$AA827="",0,Sync!$AA827))</f>
        <v>0</v>
      </c>
      <c r="L831">
        <f>IF($G831="",0,IF(Sync!$AB827="",0,Sync!$AB827))</f>
        <v>0</v>
      </c>
      <c r="M831" t="str">
        <f t="shared" si="77"/>
        <v/>
      </c>
      <c r="N831">
        <f>IF($G831="",0,IF($H831="مرجوعی فروش",-1,1)*IF(Sync!$AC827="",0,Sync!$AC827))</f>
        <v>0</v>
      </c>
      <c r="O831" t="str">
        <f>IF(OR($G831="",Sync!$V827=""),"",Sync!$V827)</f>
        <v/>
      </c>
      <c r="P831" t="str">
        <f>IF(OR($G831="",Sync!$AD827=""),"",Sync!$AD827)</f>
        <v/>
      </c>
      <c r="Q831" t="str">
        <f>IF($G831="","",IF(Sync!$U827="","0000",IF(AND(ISNUMBER(Sync!$U827),Sync!$U827&gt;=0,Sync!$U827&lt;1),RIGHT("00"&amp;HOUR(Sync!$U827),2)&amp;RIGHT("00"&amp;MINUTE(Sync!$U827),2),IFERROR(RIGHT("00"&amp;VALUE(LEFT(Sync!$U827,FIND(":",Sync!$U827)-1)),2)&amp;RIGHT("00"&amp;VALUE(MID(Sync!$U827,FIND(":",Sync!$U827)+1,2)),2),"0000"))))</f>
        <v/>
      </c>
    </row>
    <row r="832" spans="1:17" x14ac:dyDescent="0.2">
      <c r="A832" t="str">
        <f>IF(Sync!$T828="","",Sync!$T828)</f>
        <v/>
      </c>
      <c r="B832" t="str">
        <f t="shared" si="72"/>
        <v/>
      </c>
      <c r="C832" t="str">
        <f t="shared" si="73"/>
        <v/>
      </c>
      <c r="D832" t="str">
        <f t="shared" si="74"/>
        <v/>
      </c>
      <c r="E832" t="str">
        <f t="shared" si="75"/>
        <v/>
      </c>
      <c r="F832" t="str">
        <f t="shared" si="76"/>
        <v/>
      </c>
      <c r="G832" t="str">
        <f>IF(OR($E832="",$E832="نامعتبر",Sync!$X828=""),"",IF(AND(LEFT(UPPER(TRIM(Sync!$X828)),2)="SL",IFERROR(VLOOKUP(Sync!$W828,OpTbl,3,0),"")="فروش"),UPPER(TRIM(Sync!$X828)),""))</f>
        <v/>
      </c>
      <c r="H832" t="str">
        <f>IF($G832="","",IF(Sync!$W828="","",Sync!$W828))</f>
        <v/>
      </c>
      <c r="I832" t="str">
        <f>IF(OR($G832="",Sync!$Y828=""),"",Sync!$Y828)</f>
        <v/>
      </c>
      <c r="J832" t="str">
        <f>IF(OR($G832="",Sync!$Z828=""),"",Sync!$Z828)</f>
        <v/>
      </c>
      <c r="K832">
        <f>IF($G832="",0,IF(Sync!$AA828="",0,Sync!$AA828))</f>
        <v>0</v>
      </c>
      <c r="L832">
        <f>IF($G832="",0,IF(Sync!$AB828="",0,Sync!$AB828))</f>
        <v>0</v>
      </c>
      <c r="M832" t="str">
        <f t="shared" si="77"/>
        <v/>
      </c>
      <c r="N832">
        <f>IF($G832="",0,IF($H832="مرجوعی فروش",-1,1)*IF(Sync!$AC828="",0,Sync!$AC828))</f>
        <v>0</v>
      </c>
      <c r="O832" t="str">
        <f>IF(OR($G832="",Sync!$V828=""),"",Sync!$V828)</f>
        <v/>
      </c>
      <c r="P832" t="str">
        <f>IF(OR($G832="",Sync!$AD828=""),"",Sync!$AD828)</f>
        <v/>
      </c>
      <c r="Q832" t="str">
        <f>IF($G832="","",IF(Sync!$U828="","0000",IF(AND(ISNUMBER(Sync!$U828),Sync!$U828&gt;=0,Sync!$U828&lt;1),RIGHT("00"&amp;HOUR(Sync!$U828),2)&amp;RIGHT("00"&amp;MINUTE(Sync!$U828),2),IFERROR(RIGHT("00"&amp;VALUE(LEFT(Sync!$U828,FIND(":",Sync!$U828)-1)),2)&amp;RIGHT("00"&amp;VALUE(MID(Sync!$U828,FIND(":",Sync!$U828)+1,2)),2),"0000"))))</f>
        <v/>
      </c>
    </row>
    <row r="833" spans="1:17" x14ac:dyDescent="0.2">
      <c r="A833" t="str">
        <f>IF(Sync!$T829="","",Sync!$T829)</f>
        <v/>
      </c>
      <c r="B833" t="str">
        <f t="shared" si="72"/>
        <v/>
      </c>
      <c r="C833" t="str">
        <f t="shared" si="73"/>
        <v/>
      </c>
      <c r="D833" t="str">
        <f t="shared" si="74"/>
        <v/>
      </c>
      <c r="E833" t="str">
        <f t="shared" si="75"/>
        <v/>
      </c>
      <c r="F833" t="str">
        <f t="shared" si="76"/>
        <v/>
      </c>
      <c r="G833" t="str">
        <f>IF(OR($E833="",$E833="نامعتبر",Sync!$X829=""),"",IF(AND(LEFT(UPPER(TRIM(Sync!$X829)),2)="SL",IFERROR(VLOOKUP(Sync!$W829,OpTbl,3,0),"")="فروش"),UPPER(TRIM(Sync!$X829)),""))</f>
        <v/>
      </c>
      <c r="H833" t="str">
        <f>IF($G833="","",IF(Sync!$W829="","",Sync!$W829))</f>
        <v/>
      </c>
      <c r="I833" t="str">
        <f>IF(OR($G833="",Sync!$Y829=""),"",Sync!$Y829)</f>
        <v/>
      </c>
      <c r="J833" t="str">
        <f>IF(OR($G833="",Sync!$Z829=""),"",Sync!$Z829)</f>
        <v/>
      </c>
      <c r="K833">
        <f>IF($G833="",0,IF(Sync!$AA829="",0,Sync!$AA829))</f>
        <v>0</v>
      </c>
      <c r="L833">
        <f>IF($G833="",0,IF(Sync!$AB829="",0,Sync!$AB829))</f>
        <v>0</v>
      </c>
      <c r="M833" t="str">
        <f t="shared" si="77"/>
        <v/>
      </c>
      <c r="N833">
        <f>IF($G833="",0,IF($H833="مرجوعی فروش",-1,1)*IF(Sync!$AC829="",0,Sync!$AC829))</f>
        <v>0</v>
      </c>
      <c r="O833" t="str">
        <f>IF(OR($G833="",Sync!$V829=""),"",Sync!$V829)</f>
        <v/>
      </c>
      <c r="P833" t="str">
        <f>IF(OR($G833="",Sync!$AD829=""),"",Sync!$AD829)</f>
        <v/>
      </c>
      <c r="Q833" t="str">
        <f>IF($G833="","",IF(Sync!$U829="","0000",IF(AND(ISNUMBER(Sync!$U829),Sync!$U829&gt;=0,Sync!$U829&lt;1),RIGHT("00"&amp;HOUR(Sync!$U829),2)&amp;RIGHT("00"&amp;MINUTE(Sync!$U829),2),IFERROR(RIGHT("00"&amp;VALUE(LEFT(Sync!$U829,FIND(":",Sync!$U829)-1)),2)&amp;RIGHT("00"&amp;VALUE(MID(Sync!$U829,FIND(":",Sync!$U829)+1,2)),2),"0000"))))</f>
        <v/>
      </c>
    </row>
    <row r="834" spans="1:17" x14ac:dyDescent="0.2">
      <c r="A834" t="str">
        <f>IF(Sync!$T830="","",Sync!$T830)</f>
        <v/>
      </c>
      <c r="B834" t="str">
        <f t="shared" si="72"/>
        <v/>
      </c>
      <c r="C834" t="str">
        <f t="shared" si="73"/>
        <v/>
      </c>
      <c r="D834" t="str">
        <f t="shared" si="74"/>
        <v/>
      </c>
      <c r="E834" t="str">
        <f t="shared" si="75"/>
        <v/>
      </c>
      <c r="F834" t="str">
        <f t="shared" si="76"/>
        <v/>
      </c>
      <c r="G834" t="str">
        <f>IF(OR($E834="",$E834="نامعتبر",Sync!$X830=""),"",IF(AND(LEFT(UPPER(TRIM(Sync!$X830)),2)="SL",IFERROR(VLOOKUP(Sync!$W830,OpTbl,3,0),"")="فروش"),UPPER(TRIM(Sync!$X830)),""))</f>
        <v/>
      </c>
      <c r="H834" t="str">
        <f>IF($G834="","",IF(Sync!$W830="","",Sync!$W830))</f>
        <v/>
      </c>
      <c r="I834" t="str">
        <f>IF(OR($G834="",Sync!$Y830=""),"",Sync!$Y830)</f>
        <v/>
      </c>
      <c r="J834" t="str">
        <f>IF(OR($G834="",Sync!$Z830=""),"",Sync!$Z830)</f>
        <v/>
      </c>
      <c r="K834">
        <f>IF($G834="",0,IF(Sync!$AA830="",0,Sync!$AA830))</f>
        <v>0</v>
      </c>
      <c r="L834">
        <f>IF($G834="",0,IF(Sync!$AB830="",0,Sync!$AB830))</f>
        <v>0</v>
      </c>
      <c r="M834" t="str">
        <f t="shared" si="77"/>
        <v/>
      </c>
      <c r="N834">
        <f>IF($G834="",0,IF($H834="مرجوعی فروش",-1,1)*IF(Sync!$AC830="",0,Sync!$AC830))</f>
        <v>0</v>
      </c>
      <c r="O834" t="str">
        <f>IF(OR($G834="",Sync!$V830=""),"",Sync!$V830)</f>
        <v/>
      </c>
      <c r="P834" t="str">
        <f>IF(OR($G834="",Sync!$AD830=""),"",Sync!$AD830)</f>
        <v/>
      </c>
      <c r="Q834" t="str">
        <f>IF($G834="","",IF(Sync!$U830="","0000",IF(AND(ISNUMBER(Sync!$U830),Sync!$U830&gt;=0,Sync!$U830&lt;1),RIGHT("00"&amp;HOUR(Sync!$U830),2)&amp;RIGHT("00"&amp;MINUTE(Sync!$U830),2),IFERROR(RIGHT("00"&amp;VALUE(LEFT(Sync!$U830,FIND(":",Sync!$U830)-1)),2)&amp;RIGHT("00"&amp;VALUE(MID(Sync!$U830,FIND(":",Sync!$U830)+1,2)),2),"0000"))))</f>
        <v/>
      </c>
    </row>
    <row r="835" spans="1:17" x14ac:dyDescent="0.2">
      <c r="A835" t="str">
        <f>IF(Sync!$T831="","",Sync!$T831)</f>
        <v/>
      </c>
      <c r="B835" t="str">
        <f t="shared" si="72"/>
        <v/>
      </c>
      <c r="C835" t="str">
        <f t="shared" si="73"/>
        <v/>
      </c>
      <c r="D835" t="str">
        <f t="shared" si="74"/>
        <v/>
      </c>
      <c r="E835" t="str">
        <f t="shared" si="75"/>
        <v/>
      </c>
      <c r="F835" t="str">
        <f t="shared" si="76"/>
        <v/>
      </c>
      <c r="G835" t="str">
        <f>IF(OR($E835="",$E835="نامعتبر",Sync!$X831=""),"",IF(AND(LEFT(UPPER(TRIM(Sync!$X831)),2)="SL",IFERROR(VLOOKUP(Sync!$W831,OpTbl,3,0),"")="فروش"),UPPER(TRIM(Sync!$X831)),""))</f>
        <v/>
      </c>
      <c r="H835" t="str">
        <f>IF($G835="","",IF(Sync!$W831="","",Sync!$W831))</f>
        <v/>
      </c>
      <c r="I835" t="str">
        <f>IF(OR($G835="",Sync!$Y831=""),"",Sync!$Y831)</f>
        <v/>
      </c>
      <c r="J835" t="str">
        <f>IF(OR($G835="",Sync!$Z831=""),"",Sync!$Z831)</f>
        <v/>
      </c>
      <c r="K835">
        <f>IF($G835="",0,IF(Sync!$AA831="",0,Sync!$AA831))</f>
        <v>0</v>
      </c>
      <c r="L835">
        <f>IF($G835="",0,IF(Sync!$AB831="",0,Sync!$AB831))</f>
        <v>0</v>
      </c>
      <c r="M835" t="str">
        <f t="shared" si="77"/>
        <v/>
      </c>
      <c r="N835">
        <f>IF($G835="",0,IF($H835="مرجوعی فروش",-1,1)*IF(Sync!$AC831="",0,Sync!$AC831))</f>
        <v>0</v>
      </c>
      <c r="O835" t="str">
        <f>IF(OR($G835="",Sync!$V831=""),"",Sync!$V831)</f>
        <v/>
      </c>
      <c r="P835" t="str">
        <f>IF(OR($G835="",Sync!$AD831=""),"",Sync!$AD831)</f>
        <v/>
      </c>
      <c r="Q835" t="str">
        <f>IF($G835="","",IF(Sync!$U831="","0000",IF(AND(ISNUMBER(Sync!$U831),Sync!$U831&gt;=0,Sync!$U831&lt;1),RIGHT("00"&amp;HOUR(Sync!$U831),2)&amp;RIGHT("00"&amp;MINUTE(Sync!$U831),2),IFERROR(RIGHT("00"&amp;VALUE(LEFT(Sync!$U831,FIND(":",Sync!$U831)-1)),2)&amp;RIGHT("00"&amp;VALUE(MID(Sync!$U831,FIND(":",Sync!$U831)+1,2)),2),"0000"))))</f>
        <v/>
      </c>
    </row>
    <row r="836" spans="1:17" x14ac:dyDescent="0.2">
      <c r="A836" t="str">
        <f>IF(Sync!$T832="","",Sync!$T832)</f>
        <v/>
      </c>
      <c r="B836" t="str">
        <f t="shared" si="72"/>
        <v/>
      </c>
      <c r="C836" t="str">
        <f t="shared" si="73"/>
        <v/>
      </c>
      <c r="D836" t="str">
        <f t="shared" si="74"/>
        <v/>
      </c>
      <c r="E836" t="str">
        <f t="shared" si="75"/>
        <v/>
      </c>
      <c r="F836" t="str">
        <f t="shared" si="76"/>
        <v/>
      </c>
      <c r="G836" t="str">
        <f>IF(OR($E836="",$E836="نامعتبر",Sync!$X832=""),"",IF(AND(LEFT(UPPER(TRIM(Sync!$X832)),2)="SL",IFERROR(VLOOKUP(Sync!$W832,OpTbl,3,0),"")="فروش"),UPPER(TRIM(Sync!$X832)),""))</f>
        <v/>
      </c>
      <c r="H836" t="str">
        <f>IF($G836="","",IF(Sync!$W832="","",Sync!$W832))</f>
        <v/>
      </c>
      <c r="I836" t="str">
        <f>IF(OR($G836="",Sync!$Y832=""),"",Sync!$Y832)</f>
        <v/>
      </c>
      <c r="J836" t="str">
        <f>IF(OR($G836="",Sync!$Z832=""),"",Sync!$Z832)</f>
        <v/>
      </c>
      <c r="K836">
        <f>IF($G836="",0,IF(Sync!$AA832="",0,Sync!$AA832))</f>
        <v>0</v>
      </c>
      <c r="L836">
        <f>IF($G836="",0,IF(Sync!$AB832="",0,Sync!$AB832))</f>
        <v>0</v>
      </c>
      <c r="M836" t="str">
        <f t="shared" si="77"/>
        <v/>
      </c>
      <c r="N836">
        <f>IF($G836="",0,IF($H836="مرجوعی فروش",-1,1)*IF(Sync!$AC832="",0,Sync!$AC832))</f>
        <v>0</v>
      </c>
      <c r="O836" t="str">
        <f>IF(OR($G836="",Sync!$V832=""),"",Sync!$V832)</f>
        <v/>
      </c>
      <c r="P836" t="str">
        <f>IF(OR($G836="",Sync!$AD832=""),"",Sync!$AD832)</f>
        <v/>
      </c>
      <c r="Q836" t="str">
        <f>IF($G836="","",IF(Sync!$U832="","0000",IF(AND(ISNUMBER(Sync!$U832),Sync!$U832&gt;=0,Sync!$U832&lt;1),RIGHT("00"&amp;HOUR(Sync!$U832),2)&amp;RIGHT("00"&amp;MINUTE(Sync!$U832),2),IFERROR(RIGHT("00"&amp;VALUE(LEFT(Sync!$U832,FIND(":",Sync!$U832)-1)),2)&amp;RIGHT("00"&amp;VALUE(MID(Sync!$U832,FIND(":",Sync!$U832)+1,2)),2),"0000"))))</f>
        <v/>
      </c>
    </row>
    <row r="837" spans="1:17" x14ac:dyDescent="0.2">
      <c r="A837" t="str">
        <f>IF(Sync!$T833="","",Sync!$T833)</f>
        <v/>
      </c>
      <c r="B837" t="str">
        <f t="shared" si="72"/>
        <v/>
      </c>
      <c r="C837" t="str">
        <f t="shared" si="73"/>
        <v/>
      </c>
      <c r="D837" t="str">
        <f t="shared" si="74"/>
        <v/>
      </c>
      <c r="E837" t="str">
        <f t="shared" si="75"/>
        <v/>
      </c>
      <c r="F837" t="str">
        <f t="shared" si="76"/>
        <v/>
      </c>
      <c r="G837" t="str">
        <f>IF(OR($E837="",$E837="نامعتبر",Sync!$X833=""),"",IF(AND(LEFT(UPPER(TRIM(Sync!$X833)),2)="SL",IFERROR(VLOOKUP(Sync!$W833,OpTbl,3,0),"")="فروش"),UPPER(TRIM(Sync!$X833)),""))</f>
        <v/>
      </c>
      <c r="H837" t="str">
        <f>IF($G837="","",IF(Sync!$W833="","",Sync!$W833))</f>
        <v/>
      </c>
      <c r="I837" t="str">
        <f>IF(OR($G837="",Sync!$Y833=""),"",Sync!$Y833)</f>
        <v/>
      </c>
      <c r="J837" t="str">
        <f>IF(OR($G837="",Sync!$Z833=""),"",Sync!$Z833)</f>
        <v/>
      </c>
      <c r="K837">
        <f>IF($G837="",0,IF(Sync!$AA833="",0,Sync!$AA833))</f>
        <v>0</v>
      </c>
      <c r="L837">
        <f>IF($G837="",0,IF(Sync!$AB833="",0,Sync!$AB833))</f>
        <v>0</v>
      </c>
      <c r="M837" t="str">
        <f t="shared" si="77"/>
        <v/>
      </c>
      <c r="N837">
        <f>IF($G837="",0,IF($H837="مرجوعی فروش",-1,1)*IF(Sync!$AC833="",0,Sync!$AC833))</f>
        <v>0</v>
      </c>
      <c r="O837" t="str">
        <f>IF(OR($G837="",Sync!$V833=""),"",Sync!$V833)</f>
        <v/>
      </c>
      <c r="P837" t="str">
        <f>IF(OR($G837="",Sync!$AD833=""),"",Sync!$AD833)</f>
        <v/>
      </c>
      <c r="Q837" t="str">
        <f>IF($G837="","",IF(Sync!$U833="","0000",IF(AND(ISNUMBER(Sync!$U833),Sync!$U833&gt;=0,Sync!$U833&lt;1),RIGHT("00"&amp;HOUR(Sync!$U833),2)&amp;RIGHT("00"&amp;MINUTE(Sync!$U833),2),IFERROR(RIGHT("00"&amp;VALUE(LEFT(Sync!$U833,FIND(":",Sync!$U833)-1)),2)&amp;RIGHT("00"&amp;VALUE(MID(Sync!$U833,FIND(":",Sync!$U833)+1,2)),2),"0000"))))</f>
        <v/>
      </c>
    </row>
    <row r="838" spans="1:17" x14ac:dyDescent="0.2">
      <c r="A838" t="str">
        <f>IF(Sync!$T834="","",Sync!$T834)</f>
        <v/>
      </c>
      <c r="B838" t="str">
        <f t="shared" si="72"/>
        <v/>
      </c>
      <c r="C838" t="str">
        <f t="shared" si="73"/>
        <v/>
      </c>
      <c r="D838" t="str">
        <f t="shared" si="74"/>
        <v/>
      </c>
      <c r="E838" t="str">
        <f t="shared" si="75"/>
        <v/>
      </c>
      <c r="F838" t="str">
        <f t="shared" si="76"/>
        <v/>
      </c>
      <c r="G838" t="str">
        <f>IF(OR($E838="",$E838="نامعتبر",Sync!$X834=""),"",IF(AND(LEFT(UPPER(TRIM(Sync!$X834)),2)="SL",IFERROR(VLOOKUP(Sync!$W834,OpTbl,3,0),"")="فروش"),UPPER(TRIM(Sync!$X834)),""))</f>
        <v/>
      </c>
      <c r="H838" t="str">
        <f>IF($G838="","",IF(Sync!$W834="","",Sync!$W834))</f>
        <v/>
      </c>
      <c r="I838" t="str">
        <f>IF(OR($G838="",Sync!$Y834=""),"",Sync!$Y834)</f>
        <v/>
      </c>
      <c r="J838" t="str">
        <f>IF(OR($G838="",Sync!$Z834=""),"",Sync!$Z834)</f>
        <v/>
      </c>
      <c r="K838">
        <f>IF($G838="",0,IF(Sync!$AA834="",0,Sync!$AA834))</f>
        <v>0</v>
      </c>
      <c r="L838">
        <f>IF($G838="",0,IF(Sync!$AB834="",0,Sync!$AB834))</f>
        <v>0</v>
      </c>
      <c r="M838" t="str">
        <f t="shared" si="77"/>
        <v/>
      </c>
      <c r="N838">
        <f>IF($G838="",0,IF($H838="مرجوعی فروش",-1,1)*IF(Sync!$AC834="",0,Sync!$AC834))</f>
        <v>0</v>
      </c>
      <c r="O838" t="str">
        <f>IF(OR($G838="",Sync!$V834=""),"",Sync!$V834)</f>
        <v/>
      </c>
      <c r="P838" t="str">
        <f>IF(OR($G838="",Sync!$AD834=""),"",Sync!$AD834)</f>
        <v/>
      </c>
      <c r="Q838" t="str">
        <f>IF($G838="","",IF(Sync!$U834="","0000",IF(AND(ISNUMBER(Sync!$U834),Sync!$U834&gt;=0,Sync!$U834&lt;1),RIGHT("00"&amp;HOUR(Sync!$U834),2)&amp;RIGHT("00"&amp;MINUTE(Sync!$U834),2),IFERROR(RIGHT("00"&amp;VALUE(LEFT(Sync!$U834,FIND(":",Sync!$U834)-1)),2)&amp;RIGHT("00"&amp;VALUE(MID(Sync!$U834,FIND(":",Sync!$U834)+1,2)),2),"0000"))))</f>
        <v/>
      </c>
    </row>
    <row r="839" spans="1:17" x14ac:dyDescent="0.2">
      <c r="A839" t="str">
        <f>IF(Sync!$T835="","",Sync!$T835)</f>
        <v/>
      </c>
      <c r="B839" t="str">
        <f t="shared" si="72"/>
        <v/>
      </c>
      <c r="C839" t="str">
        <f t="shared" si="73"/>
        <v/>
      </c>
      <c r="D839" t="str">
        <f t="shared" si="74"/>
        <v/>
      </c>
      <c r="E839" t="str">
        <f t="shared" si="75"/>
        <v/>
      </c>
      <c r="F839" t="str">
        <f t="shared" si="76"/>
        <v/>
      </c>
      <c r="G839" t="str">
        <f>IF(OR($E839="",$E839="نامعتبر",Sync!$X835=""),"",IF(AND(LEFT(UPPER(TRIM(Sync!$X835)),2)="SL",IFERROR(VLOOKUP(Sync!$W835,OpTbl,3,0),"")="فروش"),UPPER(TRIM(Sync!$X835)),""))</f>
        <v/>
      </c>
      <c r="H839" t="str">
        <f>IF($G839="","",IF(Sync!$W835="","",Sync!$W835))</f>
        <v/>
      </c>
      <c r="I839" t="str">
        <f>IF(OR($G839="",Sync!$Y835=""),"",Sync!$Y835)</f>
        <v/>
      </c>
      <c r="J839" t="str">
        <f>IF(OR($G839="",Sync!$Z835=""),"",Sync!$Z835)</f>
        <v/>
      </c>
      <c r="K839">
        <f>IF($G839="",0,IF(Sync!$AA835="",0,Sync!$AA835))</f>
        <v>0</v>
      </c>
      <c r="L839">
        <f>IF($G839="",0,IF(Sync!$AB835="",0,Sync!$AB835))</f>
        <v>0</v>
      </c>
      <c r="M839" t="str">
        <f t="shared" si="77"/>
        <v/>
      </c>
      <c r="N839">
        <f>IF($G839="",0,IF($H839="مرجوعی فروش",-1,1)*IF(Sync!$AC835="",0,Sync!$AC835))</f>
        <v>0</v>
      </c>
      <c r="O839" t="str">
        <f>IF(OR($G839="",Sync!$V835=""),"",Sync!$V835)</f>
        <v/>
      </c>
      <c r="P839" t="str">
        <f>IF(OR($G839="",Sync!$AD835=""),"",Sync!$AD835)</f>
        <v/>
      </c>
      <c r="Q839" t="str">
        <f>IF($G839="","",IF(Sync!$U835="","0000",IF(AND(ISNUMBER(Sync!$U835),Sync!$U835&gt;=0,Sync!$U835&lt;1),RIGHT("00"&amp;HOUR(Sync!$U835),2)&amp;RIGHT("00"&amp;MINUTE(Sync!$U835),2),IFERROR(RIGHT("00"&amp;VALUE(LEFT(Sync!$U835,FIND(":",Sync!$U835)-1)),2)&amp;RIGHT("00"&amp;VALUE(MID(Sync!$U835,FIND(":",Sync!$U835)+1,2)),2),"0000"))))</f>
        <v/>
      </c>
    </row>
    <row r="840" spans="1:17" x14ac:dyDescent="0.2">
      <c r="A840" t="str">
        <f>IF(Sync!$T836="","",Sync!$T836)</f>
        <v/>
      </c>
      <c r="B840" t="str">
        <f t="shared" si="72"/>
        <v/>
      </c>
      <c r="C840" t="str">
        <f t="shared" si="73"/>
        <v/>
      </c>
      <c r="D840" t="str">
        <f t="shared" si="74"/>
        <v/>
      </c>
      <c r="E840" t="str">
        <f t="shared" si="75"/>
        <v/>
      </c>
      <c r="F840" t="str">
        <f t="shared" si="76"/>
        <v/>
      </c>
      <c r="G840" t="str">
        <f>IF(OR($E840="",$E840="نامعتبر",Sync!$X836=""),"",IF(AND(LEFT(UPPER(TRIM(Sync!$X836)),2)="SL",IFERROR(VLOOKUP(Sync!$W836,OpTbl,3,0),"")="فروش"),UPPER(TRIM(Sync!$X836)),""))</f>
        <v/>
      </c>
      <c r="H840" t="str">
        <f>IF($G840="","",IF(Sync!$W836="","",Sync!$W836))</f>
        <v/>
      </c>
      <c r="I840" t="str">
        <f>IF(OR($G840="",Sync!$Y836=""),"",Sync!$Y836)</f>
        <v/>
      </c>
      <c r="J840" t="str">
        <f>IF(OR($G840="",Sync!$Z836=""),"",Sync!$Z836)</f>
        <v/>
      </c>
      <c r="K840">
        <f>IF($G840="",0,IF(Sync!$AA836="",0,Sync!$AA836))</f>
        <v>0</v>
      </c>
      <c r="L840">
        <f>IF($G840="",0,IF(Sync!$AB836="",0,Sync!$AB836))</f>
        <v>0</v>
      </c>
      <c r="M840" t="str">
        <f t="shared" si="77"/>
        <v/>
      </c>
      <c r="N840">
        <f>IF($G840="",0,IF($H840="مرجوعی فروش",-1,1)*IF(Sync!$AC836="",0,Sync!$AC836))</f>
        <v>0</v>
      </c>
      <c r="O840" t="str">
        <f>IF(OR($G840="",Sync!$V836=""),"",Sync!$V836)</f>
        <v/>
      </c>
      <c r="P840" t="str">
        <f>IF(OR($G840="",Sync!$AD836=""),"",Sync!$AD836)</f>
        <v/>
      </c>
      <c r="Q840" t="str">
        <f>IF($G840="","",IF(Sync!$U836="","0000",IF(AND(ISNUMBER(Sync!$U836),Sync!$U836&gt;=0,Sync!$U836&lt;1),RIGHT("00"&amp;HOUR(Sync!$U836),2)&amp;RIGHT("00"&amp;MINUTE(Sync!$U836),2),IFERROR(RIGHT("00"&amp;VALUE(LEFT(Sync!$U836,FIND(":",Sync!$U836)-1)),2)&amp;RIGHT("00"&amp;VALUE(MID(Sync!$U836,FIND(":",Sync!$U836)+1,2)),2),"0000"))))</f>
        <v/>
      </c>
    </row>
    <row r="841" spans="1:17" x14ac:dyDescent="0.2">
      <c r="A841" t="str">
        <f>IF(Sync!$T837="","",Sync!$T837)</f>
        <v/>
      </c>
      <c r="B841" t="str">
        <f t="shared" si="72"/>
        <v/>
      </c>
      <c r="C841" t="str">
        <f t="shared" si="73"/>
        <v/>
      </c>
      <c r="D841" t="str">
        <f t="shared" si="74"/>
        <v/>
      </c>
      <c r="E841" t="str">
        <f t="shared" si="75"/>
        <v/>
      </c>
      <c r="F841" t="str">
        <f t="shared" si="76"/>
        <v/>
      </c>
      <c r="G841" t="str">
        <f>IF(OR($E841="",$E841="نامعتبر",Sync!$X837=""),"",IF(AND(LEFT(UPPER(TRIM(Sync!$X837)),2)="SL",IFERROR(VLOOKUP(Sync!$W837,OpTbl,3,0),"")="فروش"),UPPER(TRIM(Sync!$X837)),""))</f>
        <v/>
      </c>
      <c r="H841" t="str">
        <f>IF($G841="","",IF(Sync!$W837="","",Sync!$W837))</f>
        <v/>
      </c>
      <c r="I841" t="str">
        <f>IF(OR($G841="",Sync!$Y837=""),"",Sync!$Y837)</f>
        <v/>
      </c>
      <c r="J841" t="str">
        <f>IF(OR($G841="",Sync!$Z837=""),"",Sync!$Z837)</f>
        <v/>
      </c>
      <c r="K841">
        <f>IF($G841="",0,IF(Sync!$AA837="",0,Sync!$AA837))</f>
        <v>0</v>
      </c>
      <c r="L841">
        <f>IF($G841="",0,IF(Sync!$AB837="",0,Sync!$AB837))</f>
        <v>0</v>
      </c>
      <c r="M841" t="str">
        <f t="shared" si="77"/>
        <v/>
      </c>
      <c r="N841">
        <f>IF($G841="",0,IF($H841="مرجوعی فروش",-1,1)*IF(Sync!$AC837="",0,Sync!$AC837))</f>
        <v>0</v>
      </c>
      <c r="O841" t="str">
        <f>IF(OR($G841="",Sync!$V837=""),"",Sync!$V837)</f>
        <v/>
      </c>
      <c r="P841" t="str">
        <f>IF(OR($G841="",Sync!$AD837=""),"",Sync!$AD837)</f>
        <v/>
      </c>
      <c r="Q841" t="str">
        <f>IF($G841="","",IF(Sync!$U837="","0000",IF(AND(ISNUMBER(Sync!$U837),Sync!$U837&gt;=0,Sync!$U837&lt;1),RIGHT("00"&amp;HOUR(Sync!$U837),2)&amp;RIGHT("00"&amp;MINUTE(Sync!$U837),2),IFERROR(RIGHT("00"&amp;VALUE(LEFT(Sync!$U837,FIND(":",Sync!$U837)-1)),2)&amp;RIGHT("00"&amp;VALUE(MID(Sync!$U837,FIND(":",Sync!$U837)+1,2)),2),"0000"))))</f>
        <v/>
      </c>
    </row>
    <row r="842" spans="1:17" x14ac:dyDescent="0.2">
      <c r="A842" t="str">
        <f>IF(Sync!$T838="","",Sync!$T838)</f>
        <v/>
      </c>
      <c r="B842" t="str">
        <f t="shared" ref="B842:B905" si="78">IF($A842="","",IF(ISNUMBER($A842),IF(AND($A842&gt;=10000101,$A842&lt;=99991231),INT($A842/10000),""),IFERROR(VALUE(TRIM(LEFT($A842,FIND("/",$A842)-1))),"")))</f>
        <v/>
      </c>
      <c r="C842" t="str">
        <f t="shared" ref="C842:C905" si="79">IF(OR($A842="",$B842=""),"",IF(ISNUMBER($A842),INT(MOD($A842,10000)/100),IFERROR(VALUE(TRIM(LEFT(MID($A842,FIND("/",$A842)+1,20),FIND("/",MID($A842,FIND("/",$A842)+1,20))-1))),"")))</f>
        <v/>
      </c>
      <c r="D842" t="str">
        <f t="shared" ref="D842:D905" si="80">IF(OR($A842="",$B842=""),"",IF(ISNUMBER($A842),MOD($A842,100),IFERROR(VALUE(TRIM(MID(MID($A842,FIND("/",$A842)+1,20),FIND("/",MID($A842,FIND("/",$A842)+1,20))+1,20))),"")))</f>
        <v/>
      </c>
      <c r="E842" t="str">
        <f t="shared" ref="E842:E905" si="81">IF($A842="","",IF(OR($B842="",$C842="",$D842="",$B842&lt;1300,$B842&gt;1500,$C842&lt;1,$C842&gt;12,$D842&lt;1,$D842&gt;31),"نامعتبر",RIGHT("0000"&amp;$B842,4)&amp;"/"&amp;RIGHT("00"&amp;$C842,2)&amp;"/"&amp;RIGHT("00"&amp;$D842,2)))</f>
        <v/>
      </c>
      <c r="F842" t="str">
        <f t="shared" ref="F842:F905" si="82">IF(OR($E842="",$E842="نامعتبر"),"",LEFT($E842,4)&amp;"/"&amp;MID($E842,6,2))</f>
        <v/>
      </c>
      <c r="G842" t="str">
        <f>IF(OR($E842="",$E842="نامعتبر",Sync!$X838=""),"",IF(AND(LEFT(UPPER(TRIM(Sync!$X838)),2)="SL",IFERROR(VLOOKUP(Sync!$W838,OpTbl,3,0),"")="فروش"),UPPER(TRIM(Sync!$X838)),""))</f>
        <v/>
      </c>
      <c r="H842" t="str">
        <f>IF($G842="","",IF(Sync!$W838="","",Sync!$W838))</f>
        <v/>
      </c>
      <c r="I842" t="str">
        <f>IF(OR($G842="",Sync!$Y838=""),"",Sync!$Y838)</f>
        <v/>
      </c>
      <c r="J842" t="str">
        <f>IF(OR($G842="",Sync!$Z838=""),"",Sync!$Z838)</f>
        <v/>
      </c>
      <c r="K842">
        <f>IF($G842="",0,IF(Sync!$AA838="",0,Sync!$AA838))</f>
        <v>0</v>
      </c>
      <c r="L842">
        <f>IF($G842="",0,IF(Sync!$AB838="",0,Sync!$AB838))</f>
        <v>0</v>
      </c>
      <c r="M842" t="str">
        <f t="shared" ref="M842:M905" si="83">IF($G842="","",IF($H842="مرجوعی فروش",-1,1)*($K842-$L842*IFERROR(VLOOKUP("P01",ParamTbl,3,0),1.5)))</f>
        <v/>
      </c>
      <c r="N842">
        <f>IF($G842="",0,IF($H842="مرجوعی فروش",-1,1)*IF(Sync!$AC838="",0,Sync!$AC838))</f>
        <v>0</v>
      </c>
      <c r="O842" t="str">
        <f>IF(OR($G842="",Sync!$V838=""),"",Sync!$V838)</f>
        <v/>
      </c>
      <c r="P842" t="str">
        <f>IF(OR($G842="",Sync!$AD838=""),"",Sync!$AD838)</f>
        <v/>
      </c>
      <c r="Q842" t="str">
        <f>IF($G842="","",IF(Sync!$U838="","0000",IF(AND(ISNUMBER(Sync!$U838),Sync!$U838&gt;=0,Sync!$U838&lt;1),RIGHT("00"&amp;HOUR(Sync!$U838),2)&amp;RIGHT("00"&amp;MINUTE(Sync!$U838),2),IFERROR(RIGHT("00"&amp;VALUE(LEFT(Sync!$U838,FIND(":",Sync!$U838)-1)),2)&amp;RIGHT("00"&amp;VALUE(MID(Sync!$U838,FIND(":",Sync!$U838)+1,2)),2),"0000"))))</f>
        <v/>
      </c>
    </row>
    <row r="843" spans="1:17" x14ac:dyDescent="0.2">
      <c r="A843" t="str">
        <f>IF(Sync!$T839="","",Sync!$T839)</f>
        <v/>
      </c>
      <c r="B843" t="str">
        <f t="shared" si="78"/>
        <v/>
      </c>
      <c r="C843" t="str">
        <f t="shared" si="79"/>
        <v/>
      </c>
      <c r="D843" t="str">
        <f t="shared" si="80"/>
        <v/>
      </c>
      <c r="E843" t="str">
        <f t="shared" si="81"/>
        <v/>
      </c>
      <c r="F843" t="str">
        <f t="shared" si="82"/>
        <v/>
      </c>
      <c r="G843" t="str">
        <f>IF(OR($E843="",$E843="نامعتبر",Sync!$X839=""),"",IF(AND(LEFT(UPPER(TRIM(Sync!$X839)),2)="SL",IFERROR(VLOOKUP(Sync!$W839,OpTbl,3,0),"")="فروش"),UPPER(TRIM(Sync!$X839)),""))</f>
        <v/>
      </c>
      <c r="H843" t="str">
        <f>IF($G843="","",IF(Sync!$W839="","",Sync!$W839))</f>
        <v/>
      </c>
      <c r="I843" t="str">
        <f>IF(OR($G843="",Sync!$Y839=""),"",Sync!$Y839)</f>
        <v/>
      </c>
      <c r="J843" t="str">
        <f>IF(OR($G843="",Sync!$Z839=""),"",Sync!$Z839)</f>
        <v/>
      </c>
      <c r="K843">
        <f>IF($G843="",0,IF(Sync!$AA839="",0,Sync!$AA839))</f>
        <v>0</v>
      </c>
      <c r="L843">
        <f>IF($G843="",0,IF(Sync!$AB839="",0,Sync!$AB839))</f>
        <v>0</v>
      </c>
      <c r="M843" t="str">
        <f t="shared" si="83"/>
        <v/>
      </c>
      <c r="N843">
        <f>IF($G843="",0,IF($H843="مرجوعی فروش",-1,1)*IF(Sync!$AC839="",0,Sync!$AC839))</f>
        <v>0</v>
      </c>
      <c r="O843" t="str">
        <f>IF(OR($G843="",Sync!$V839=""),"",Sync!$V839)</f>
        <v/>
      </c>
      <c r="P843" t="str">
        <f>IF(OR($G843="",Sync!$AD839=""),"",Sync!$AD839)</f>
        <v/>
      </c>
      <c r="Q843" t="str">
        <f>IF($G843="","",IF(Sync!$U839="","0000",IF(AND(ISNUMBER(Sync!$U839),Sync!$U839&gt;=0,Sync!$U839&lt;1),RIGHT("00"&amp;HOUR(Sync!$U839),2)&amp;RIGHT("00"&amp;MINUTE(Sync!$U839),2),IFERROR(RIGHT("00"&amp;VALUE(LEFT(Sync!$U839,FIND(":",Sync!$U839)-1)),2)&amp;RIGHT("00"&amp;VALUE(MID(Sync!$U839,FIND(":",Sync!$U839)+1,2)),2),"0000"))))</f>
        <v/>
      </c>
    </row>
    <row r="844" spans="1:17" x14ac:dyDescent="0.2">
      <c r="A844" t="str">
        <f>IF(Sync!$T840="","",Sync!$T840)</f>
        <v/>
      </c>
      <c r="B844" t="str">
        <f t="shared" si="78"/>
        <v/>
      </c>
      <c r="C844" t="str">
        <f t="shared" si="79"/>
        <v/>
      </c>
      <c r="D844" t="str">
        <f t="shared" si="80"/>
        <v/>
      </c>
      <c r="E844" t="str">
        <f t="shared" si="81"/>
        <v/>
      </c>
      <c r="F844" t="str">
        <f t="shared" si="82"/>
        <v/>
      </c>
      <c r="G844" t="str">
        <f>IF(OR($E844="",$E844="نامعتبر",Sync!$X840=""),"",IF(AND(LEFT(UPPER(TRIM(Sync!$X840)),2)="SL",IFERROR(VLOOKUP(Sync!$W840,OpTbl,3,0),"")="فروش"),UPPER(TRIM(Sync!$X840)),""))</f>
        <v/>
      </c>
      <c r="H844" t="str">
        <f>IF($G844="","",IF(Sync!$W840="","",Sync!$W840))</f>
        <v/>
      </c>
      <c r="I844" t="str">
        <f>IF(OR($G844="",Sync!$Y840=""),"",Sync!$Y840)</f>
        <v/>
      </c>
      <c r="J844" t="str">
        <f>IF(OR($G844="",Sync!$Z840=""),"",Sync!$Z840)</f>
        <v/>
      </c>
      <c r="K844">
        <f>IF($G844="",0,IF(Sync!$AA840="",0,Sync!$AA840))</f>
        <v>0</v>
      </c>
      <c r="L844">
        <f>IF($G844="",0,IF(Sync!$AB840="",0,Sync!$AB840))</f>
        <v>0</v>
      </c>
      <c r="M844" t="str">
        <f t="shared" si="83"/>
        <v/>
      </c>
      <c r="N844">
        <f>IF($G844="",0,IF($H844="مرجوعی فروش",-1,1)*IF(Sync!$AC840="",0,Sync!$AC840))</f>
        <v>0</v>
      </c>
      <c r="O844" t="str">
        <f>IF(OR($G844="",Sync!$V840=""),"",Sync!$V840)</f>
        <v/>
      </c>
      <c r="P844" t="str">
        <f>IF(OR($G844="",Sync!$AD840=""),"",Sync!$AD840)</f>
        <v/>
      </c>
      <c r="Q844" t="str">
        <f>IF($G844="","",IF(Sync!$U840="","0000",IF(AND(ISNUMBER(Sync!$U840),Sync!$U840&gt;=0,Sync!$U840&lt;1),RIGHT("00"&amp;HOUR(Sync!$U840),2)&amp;RIGHT("00"&amp;MINUTE(Sync!$U840),2),IFERROR(RIGHT("00"&amp;VALUE(LEFT(Sync!$U840,FIND(":",Sync!$U840)-1)),2)&amp;RIGHT("00"&amp;VALUE(MID(Sync!$U840,FIND(":",Sync!$U840)+1,2)),2),"0000"))))</f>
        <v/>
      </c>
    </row>
    <row r="845" spans="1:17" x14ac:dyDescent="0.2">
      <c r="A845" t="str">
        <f>IF(Sync!$T841="","",Sync!$T841)</f>
        <v/>
      </c>
      <c r="B845" t="str">
        <f t="shared" si="78"/>
        <v/>
      </c>
      <c r="C845" t="str">
        <f t="shared" si="79"/>
        <v/>
      </c>
      <c r="D845" t="str">
        <f t="shared" si="80"/>
        <v/>
      </c>
      <c r="E845" t="str">
        <f t="shared" si="81"/>
        <v/>
      </c>
      <c r="F845" t="str">
        <f t="shared" si="82"/>
        <v/>
      </c>
      <c r="G845" t="str">
        <f>IF(OR($E845="",$E845="نامعتبر",Sync!$X841=""),"",IF(AND(LEFT(UPPER(TRIM(Sync!$X841)),2)="SL",IFERROR(VLOOKUP(Sync!$W841,OpTbl,3,0),"")="فروش"),UPPER(TRIM(Sync!$X841)),""))</f>
        <v/>
      </c>
      <c r="H845" t="str">
        <f>IF($G845="","",IF(Sync!$W841="","",Sync!$W841))</f>
        <v/>
      </c>
      <c r="I845" t="str">
        <f>IF(OR($G845="",Sync!$Y841=""),"",Sync!$Y841)</f>
        <v/>
      </c>
      <c r="J845" t="str">
        <f>IF(OR($G845="",Sync!$Z841=""),"",Sync!$Z841)</f>
        <v/>
      </c>
      <c r="K845">
        <f>IF($G845="",0,IF(Sync!$AA841="",0,Sync!$AA841))</f>
        <v>0</v>
      </c>
      <c r="L845">
        <f>IF($G845="",0,IF(Sync!$AB841="",0,Sync!$AB841))</f>
        <v>0</v>
      </c>
      <c r="M845" t="str">
        <f t="shared" si="83"/>
        <v/>
      </c>
      <c r="N845">
        <f>IF($G845="",0,IF($H845="مرجوعی فروش",-1,1)*IF(Sync!$AC841="",0,Sync!$AC841))</f>
        <v>0</v>
      </c>
      <c r="O845" t="str">
        <f>IF(OR($G845="",Sync!$V841=""),"",Sync!$V841)</f>
        <v/>
      </c>
      <c r="P845" t="str">
        <f>IF(OR($G845="",Sync!$AD841=""),"",Sync!$AD841)</f>
        <v/>
      </c>
      <c r="Q845" t="str">
        <f>IF($G845="","",IF(Sync!$U841="","0000",IF(AND(ISNUMBER(Sync!$U841),Sync!$U841&gt;=0,Sync!$U841&lt;1),RIGHT("00"&amp;HOUR(Sync!$U841),2)&amp;RIGHT("00"&amp;MINUTE(Sync!$U841),2),IFERROR(RIGHT("00"&amp;VALUE(LEFT(Sync!$U841,FIND(":",Sync!$U841)-1)),2)&amp;RIGHT("00"&amp;VALUE(MID(Sync!$U841,FIND(":",Sync!$U841)+1,2)),2),"0000"))))</f>
        <v/>
      </c>
    </row>
    <row r="846" spans="1:17" x14ac:dyDescent="0.2">
      <c r="A846" t="str">
        <f>IF(Sync!$T842="","",Sync!$T842)</f>
        <v/>
      </c>
      <c r="B846" t="str">
        <f t="shared" si="78"/>
        <v/>
      </c>
      <c r="C846" t="str">
        <f t="shared" si="79"/>
        <v/>
      </c>
      <c r="D846" t="str">
        <f t="shared" si="80"/>
        <v/>
      </c>
      <c r="E846" t="str">
        <f t="shared" si="81"/>
        <v/>
      </c>
      <c r="F846" t="str">
        <f t="shared" si="82"/>
        <v/>
      </c>
      <c r="G846" t="str">
        <f>IF(OR($E846="",$E846="نامعتبر",Sync!$X842=""),"",IF(AND(LEFT(UPPER(TRIM(Sync!$X842)),2)="SL",IFERROR(VLOOKUP(Sync!$W842,OpTbl,3,0),"")="فروش"),UPPER(TRIM(Sync!$X842)),""))</f>
        <v/>
      </c>
      <c r="H846" t="str">
        <f>IF($G846="","",IF(Sync!$W842="","",Sync!$W842))</f>
        <v/>
      </c>
      <c r="I846" t="str">
        <f>IF(OR($G846="",Sync!$Y842=""),"",Sync!$Y842)</f>
        <v/>
      </c>
      <c r="J846" t="str">
        <f>IF(OR($G846="",Sync!$Z842=""),"",Sync!$Z842)</f>
        <v/>
      </c>
      <c r="K846">
        <f>IF($G846="",0,IF(Sync!$AA842="",0,Sync!$AA842))</f>
        <v>0</v>
      </c>
      <c r="L846">
        <f>IF($G846="",0,IF(Sync!$AB842="",0,Sync!$AB842))</f>
        <v>0</v>
      </c>
      <c r="M846" t="str">
        <f t="shared" si="83"/>
        <v/>
      </c>
      <c r="N846">
        <f>IF($G846="",0,IF($H846="مرجوعی فروش",-1,1)*IF(Sync!$AC842="",0,Sync!$AC842))</f>
        <v>0</v>
      </c>
      <c r="O846" t="str">
        <f>IF(OR($G846="",Sync!$V842=""),"",Sync!$V842)</f>
        <v/>
      </c>
      <c r="P846" t="str">
        <f>IF(OR($G846="",Sync!$AD842=""),"",Sync!$AD842)</f>
        <v/>
      </c>
      <c r="Q846" t="str">
        <f>IF($G846="","",IF(Sync!$U842="","0000",IF(AND(ISNUMBER(Sync!$U842),Sync!$U842&gt;=0,Sync!$U842&lt;1),RIGHT("00"&amp;HOUR(Sync!$U842),2)&amp;RIGHT("00"&amp;MINUTE(Sync!$U842),2),IFERROR(RIGHT("00"&amp;VALUE(LEFT(Sync!$U842,FIND(":",Sync!$U842)-1)),2)&amp;RIGHT("00"&amp;VALUE(MID(Sync!$U842,FIND(":",Sync!$U842)+1,2)),2),"0000"))))</f>
        <v/>
      </c>
    </row>
    <row r="847" spans="1:17" x14ac:dyDescent="0.2">
      <c r="A847" t="str">
        <f>IF(Sync!$T843="","",Sync!$T843)</f>
        <v/>
      </c>
      <c r="B847" t="str">
        <f t="shared" si="78"/>
        <v/>
      </c>
      <c r="C847" t="str">
        <f t="shared" si="79"/>
        <v/>
      </c>
      <c r="D847" t="str">
        <f t="shared" si="80"/>
        <v/>
      </c>
      <c r="E847" t="str">
        <f t="shared" si="81"/>
        <v/>
      </c>
      <c r="F847" t="str">
        <f t="shared" si="82"/>
        <v/>
      </c>
      <c r="G847" t="str">
        <f>IF(OR($E847="",$E847="نامعتبر",Sync!$X843=""),"",IF(AND(LEFT(UPPER(TRIM(Sync!$X843)),2)="SL",IFERROR(VLOOKUP(Sync!$W843,OpTbl,3,0),"")="فروش"),UPPER(TRIM(Sync!$X843)),""))</f>
        <v/>
      </c>
      <c r="H847" t="str">
        <f>IF($G847="","",IF(Sync!$W843="","",Sync!$W843))</f>
        <v/>
      </c>
      <c r="I847" t="str">
        <f>IF(OR($G847="",Sync!$Y843=""),"",Sync!$Y843)</f>
        <v/>
      </c>
      <c r="J847" t="str">
        <f>IF(OR($G847="",Sync!$Z843=""),"",Sync!$Z843)</f>
        <v/>
      </c>
      <c r="K847">
        <f>IF($G847="",0,IF(Sync!$AA843="",0,Sync!$AA843))</f>
        <v>0</v>
      </c>
      <c r="L847">
        <f>IF($G847="",0,IF(Sync!$AB843="",0,Sync!$AB843))</f>
        <v>0</v>
      </c>
      <c r="M847" t="str">
        <f t="shared" si="83"/>
        <v/>
      </c>
      <c r="N847">
        <f>IF($G847="",0,IF($H847="مرجوعی فروش",-1,1)*IF(Sync!$AC843="",0,Sync!$AC843))</f>
        <v>0</v>
      </c>
      <c r="O847" t="str">
        <f>IF(OR($G847="",Sync!$V843=""),"",Sync!$V843)</f>
        <v/>
      </c>
      <c r="P847" t="str">
        <f>IF(OR($G847="",Sync!$AD843=""),"",Sync!$AD843)</f>
        <v/>
      </c>
      <c r="Q847" t="str">
        <f>IF($G847="","",IF(Sync!$U843="","0000",IF(AND(ISNUMBER(Sync!$U843),Sync!$U843&gt;=0,Sync!$U843&lt;1),RIGHT("00"&amp;HOUR(Sync!$U843),2)&amp;RIGHT("00"&amp;MINUTE(Sync!$U843),2),IFERROR(RIGHT("00"&amp;VALUE(LEFT(Sync!$U843,FIND(":",Sync!$U843)-1)),2)&amp;RIGHT("00"&amp;VALUE(MID(Sync!$U843,FIND(":",Sync!$U843)+1,2)),2),"0000"))))</f>
        <v/>
      </c>
    </row>
    <row r="848" spans="1:17" x14ac:dyDescent="0.2">
      <c r="A848" t="str">
        <f>IF(Sync!$T844="","",Sync!$T844)</f>
        <v/>
      </c>
      <c r="B848" t="str">
        <f t="shared" si="78"/>
        <v/>
      </c>
      <c r="C848" t="str">
        <f t="shared" si="79"/>
        <v/>
      </c>
      <c r="D848" t="str">
        <f t="shared" si="80"/>
        <v/>
      </c>
      <c r="E848" t="str">
        <f t="shared" si="81"/>
        <v/>
      </c>
      <c r="F848" t="str">
        <f t="shared" si="82"/>
        <v/>
      </c>
      <c r="G848" t="str">
        <f>IF(OR($E848="",$E848="نامعتبر",Sync!$X844=""),"",IF(AND(LEFT(UPPER(TRIM(Sync!$X844)),2)="SL",IFERROR(VLOOKUP(Sync!$W844,OpTbl,3,0),"")="فروش"),UPPER(TRIM(Sync!$X844)),""))</f>
        <v/>
      </c>
      <c r="H848" t="str">
        <f>IF($G848="","",IF(Sync!$W844="","",Sync!$W844))</f>
        <v/>
      </c>
      <c r="I848" t="str">
        <f>IF(OR($G848="",Sync!$Y844=""),"",Sync!$Y844)</f>
        <v/>
      </c>
      <c r="J848" t="str">
        <f>IF(OR($G848="",Sync!$Z844=""),"",Sync!$Z844)</f>
        <v/>
      </c>
      <c r="K848">
        <f>IF($G848="",0,IF(Sync!$AA844="",0,Sync!$AA844))</f>
        <v>0</v>
      </c>
      <c r="L848">
        <f>IF($G848="",0,IF(Sync!$AB844="",0,Sync!$AB844))</f>
        <v>0</v>
      </c>
      <c r="M848" t="str">
        <f t="shared" si="83"/>
        <v/>
      </c>
      <c r="N848">
        <f>IF($G848="",0,IF($H848="مرجوعی فروش",-1,1)*IF(Sync!$AC844="",0,Sync!$AC844))</f>
        <v>0</v>
      </c>
      <c r="O848" t="str">
        <f>IF(OR($G848="",Sync!$V844=""),"",Sync!$V844)</f>
        <v/>
      </c>
      <c r="P848" t="str">
        <f>IF(OR($G848="",Sync!$AD844=""),"",Sync!$AD844)</f>
        <v/>
      </c>
      <c r="Q848" t="str">
        <f>IF($G848="","",IF(Sync!$U844="","0000",IF(AND(ISNUMBER(Sync!$U844),Sync!$U844&gt;=0,Sync!$U844&lt;1),RIGHT("00"&amp;HOUR(Sync!$U844),2)&amp;RIGHT("00"&amp;MINUTE(Sync!$U844),2),IFERROR(RIGHT("00"&amp;VALUE(LEFT(Sync!$U844,FIND(":",Sync!$U844)-1)),2)&amp;RIGHT("00"&amp;VALUE(MID(Sync!$U844,FIND(":",Sync!$U844)+1,2)),2),"0000"))))</f>
        <v/>
      </c>
    </row>
    <row r="849" spans="1:17" x14ac:dyDescent="0.2">
      <c r="A849" t="str">
        <f>IF(Sync!$T845="","",Sync!$T845)</f>
        <v/>
      </c>
      <c r="B849" t="str">
        <f t="shared" si="78"/>
        <v/>
      </c>
      <c r="C849" t="str">
        <f t="shared" si="79"/>
        <v/>
      </c>
      <c r="D849" t="str">
        <f t="shared" si="80"/>
        <v/>
      </c>
      <c r="E849" t="str">
        <f t="shared" si="81"/>
        <v/>
      </c>
      <c r="F849" t="str">
        <f t="shared" si="82"/>
        <v/>
      </c>
      <c r="G849" t="str">
        <f>IF(OR($E849="",$E849="نامعتبر",Sync!$X845=""),"",IF(AND(LEFT(UPPER(TRIM(Sync!$X845)),2)="SL",IFERROR(VLOOKUP(Sync!$W845,OpTbl,3,0),"")="فروش"),UPPER(TRIM(Sync!$X845)),""))</f>
        <v/>
      </c>
      <c r="H849" t="str">
        <f>IF($G849="","",IF(Sync!$W845="","",Sync!$W845))</f>
        <v/>
      </c>
      <c r="I849" t="str">
        <f>IF(OR($G849="",Sync!$Y845=""),"",Sync!$Y845)</f>
        <v/>
      </c>
      <c r="J849" t="str">
        <f>IF(OR($G849="",Sync!$Z845=""),"",Sync!$Z845)</f>
        <v/>
      </c>
      <c r="K849">
        <f>IF($G849="",0,IF(Sync!$AA845="",0,Sync!$AA845))</f>
        <v>0</v>
      </c>
      <c r="L849">
        <f>IF($G849="",0,IF(Sync!$AB845="",0,Sync!$AB845))</f>
        <v>0</v>
      </c>
      <c r="M849" t="str">
        <f t="shared" si="83"/>
        <v/>
      </c>
      <c r="N849">
        <f>IF($G849="",0,IF($H849="مرجوعی فروش",-1,1)*IF(Sync!$AC845="",0,Sync!$AC845))</f>
        <v>0</v>
      </c>
      <c r="O849" t="str">
        <f>IF(OR($G849="",Sync!$V845=""),"",Sync!$V845)</f>
        <v/>
      </c>
      <c r="P849" t="str">
        <f>IF(OR($G849="",Sync!$AD845=""),"",Sync!$AD845)</f>
        <v/>
      </c>
      <c r="Q849" t="str">
        <f>IF($G849="","",IF(Sync!$U845="","0000",IF(AND(ISNUMBER(Sync!$U845),Sync!$U845&gt;=0,Sync!$U845&lt;1),RIGHT("00"&amp;HOUR(Sync!$U845),2)&amp;RIGHT("00"&amp;MINUTE(Sync!$U845),2),IFERROR(RIGHT("00"&amp;VALUE(LEFT(Sync!$U845,FIND(":",Sync!$U845)-1)),2)&amp;RIGHT("00"&amp;VALUE(MID(Sync!$U845,FIND(":",Sync!$U845)+1,2)),2),"0000"))))</f>
        <v/>
      </c>
    </row>
    <row r="850" spans="1:17" x14ac:dyDescent="0.2">
      <c r="A850" t="str">
        <f>IF(Sync!$T846="","",Sync!$T846)</f>
        <v/>
      </c>
      <c r="B850" t="str">
        <f t="shared" si="78"/>
        <v/>
      </c>
      <c r="C850" t="str">
        <f t="shared" si="79"/>
        <v/>
      </c>
      <c r="D850" t="str">
        <f t="shared" si="80"/>
        <v/>
      </c>
      <c r="E850" t="str">
        <f t="shared" si="81"/>
        <v/>
      </c>
      <c r="F850" t="str">
        <f t="shared" si="82"/>
        <v/>
      </c>
      <c r="G850" t="str">
        <f>IF(OR($E850="",$E850="نامعتبر",Sync!$X846=""),"",IF(AND(LEFT(UPPER(TRIM(Sync!$X846)),2)="SL",IFERROR(VLOOKUP(Sync!$W846,OpTbl,3,0),"")="فروش"),UPPER(TRIM(Sync!$X846)),""))</f>
        <v/>
      </c>
      <c r="H850" t="str">
        <f>IF($G850="","",IF(Sync!$W846="","",Sync!$W846))</f>
        <v/>
      </c>
      <c r="I850" t="str">
        <f>IF(OR($G850="",Sync!$Y846=""),"",Sync!$Y846)</f>
        <v/>
      </c>
      <c r="J850" t="str">
        <f>IF(OR($G850="",Sync!$Z846=""),"",Sync!$Z846)</f>
        <v/>
      </c>
      <c r="K850">
        <f>IF($G850="",0,IF(Sync!$AA846="",0,Sync!$AA846))</f>
        <v>0</v>
      </c>
      <c r="L850">
        <f>IF($G850="",0,IF(Sync!$AB846="",0,Sync!$AB846))</f>
        <v>0</v>
      </c>
      <c r="M850" t="str">
        <f t="shared" si="83"/>
        <v/>
      </c>
      <c r="N850">
        <f>IF($G850="",0,IF($H850="مرجوعی فروش",-1,1)*IF(Sync!$AC846="",0,Sync!$AC846))</f>
        <v>0</v>
      </c>
      <c r="O850" t="str">
        <f>IF(OR($G850="",Sync!$V846=""),"",Sync!$V846)</f>
        <v/>
      </c>
      <c r="P850" t="str">
        <f>IF(OR($G850="",Sync!$AD846=""),"",Sync!$AD846)</f>
        <v/>
      </c>
      <c r="Q850" t="str">
        <f>IF($G850="","",IF(Sync!$U846="","0000",IF(AND(ISNUMBER(Sync!$U846),Sync!$U846&gt;=0,Sync!$U846&lt;1),RIGHT("00"&amp;HOUR(Sync!$U846),2)&amp;RIGHT("00"&amp;MINUTE(Sync!$U846),2),IFERROR(RIGHT("00"&amp;VALUE(LEFT(Sync!$U846,FIND(":",Sync!$U846)-1)),2)&amp;RIGHT("00"&amp;VALUE(MID(Sync!$U846,FIND(":",Sync!$U846)+1,2)),2),"0000"))))</f>
        <v/>
      </c>
    </row>
    <row r="851" spans="1:17" x14ac:dyDescent="0.2">
      <c r="A851" t="str">
        <f>IF(Sync!$T847="","",Sync!$T847)</f>
        <v/>
      </c>
      <c r="B851" t="str">
        <f t="shared" si="78"/>
        <v/>
      </c>
      <c r="C851" t="str">
        <f t="shared" si="79"/>
        <v/>
      </c>
      <c r="D851" t="str">
        <f t="shared" si="80"/>
        <v/>
      </c>
      <c r="E851" t="str">
        <f t="shared" si="81"/>
        <v/>
      </c>
      <c r="F851" t="str">
        <f t="shared" si="82"/>
        <v/>
      </c>
      <c r="G851" t="str">
        <f>IF(OR($E851="",$E851="نامعتبر",Sync!$X847=""),"",IF(AND(LEFT(UPPER(TRIM(Sync!$X847)),2)="SL",IFERROR(VLOOKUP(Sync!$W847,OpTbl,3,0),"")="فروش"),UPPER(TRIM(Sync!$X847)),""))</f>
        <v/>
      </c>
      <c r="H851" t="str">
        <f>IF($G851="","",IF(Sync!$W847="","",Sync!$W847))</f>
        <v/>
      </c>
      <c r="I851" t="str">
        <f>IF(OR($G851="",Sync!$Y847=""),"",Sync!$Y847)</f>
        <v/>
      </c>
      <c r="J851" t="str">
        <f>IF(OR($G851="",Sync!$Z847=""),"",Sync!$Z847)</f>
        <v/>
      </c>
      <c r="K851">
        <f>IF($G851="",0,IF(Sync!$AA847="",0,Sync!$AA847))</f>
        <v>0</v>
      </c>
      <c r="L851">
        <f>IF($G851="",0,IF(Sync!$AB847="",0,Sync!$AB847))</f>
        <v>0</v>
      </c>
      <c r="M851" t="str">
        <f t="shared" si="83"/>
        <v/>
      </c>
      <c r="N851">
        <f>IF($G851="",0,IF($H851="مرجوعی فروش",-1,1)*IF(Sync!$AC847="",0,Sync!$AC847))</f>
        <v>0</v>
      </c>
      <c r="O851" t="str">
        <f>IF(OR($G851="",Sync!$V847=""),"",Sync!$V847)</f>
        <v/>
      </c>
      <c r="P851" t="str">
        <f>IF(OR($G851="",Sync!$AD847=""),"",Sync!$AD847)</f>
        <v/>
      </c>
      <c r="Q851" t="str">
        <f>IF($G851="","",IF(Sync!$U847="","0000",IF(AND(ISNUMBER(Sync!$U847),Sync!$U847&gt;=0,Sync!$U847&lt;1),RIGHT("00"&amp;HOUR(Sync!$U847),2)&amp;RIGHT("00"&amp;MINUTE(Sync!$U847),2),IFERROR(RIGHT("00"&amp;VALUE(LEFT(Sync!$U847,FIND(":",Sync!$U847)-1)),2)&amp;RIGHT("00"&amp;VALUE(MID(Sync!$U847,FIND(":",Sync!$U847)+1,2)),2),"0000"))))</f>
        <v/>
      </c>
    </row>
    <row r="852" spans="1:17" x14ac:dyDescent="0.2">
      <c r="A852" t="str">
        <f>IF(Sync!$T848="","",Sync!$T848)</f>
        <v/>
      </c>
      <c r="B852" t="str">
        <f t="shared" si="78"/>
        <v/>
      </c>
      <c r="C852" t="str">
        <f t="shared" si="79"/>
        <v/>
      </c>
      <c r="D852" t="str">
        <f t="shared" si="80"/>
        <v/>
      </c>
      <c r="E852" t="str">
        <f t="shared" si="81"/>
        <v/>
      </c>
      <c r="F852" t="str">
        <f t="shared" si="82"/>
        <v/>
      </c>
      <c r="G852" t="str">
        <f>IF(OR($E852="",$E852="نامعتبر",Sync!$X848=""),"",IF(AND(LEFT(UPPER(TRIM(Sync!$X848)),2)="SL",IFERROR(VLOOKUP(Sync!$W848,OpTbl,3,0),"")="فروش"),UPPER(TRIM(Sync!$X848)),""))</f>
        <v/>
      </c>
      <c r="H852" t="str">
        <f>IF($G852="","",IF(Sync!$W848="","",Sync!$W848))</f>
        <v/>
      </c>
      <c r="I852" t="str">
        <f>IF(OR($G852="",Sync!$Y848=""),"",Sync!$Y848)</f>
        <v/>
      </c>
      <c r="J852" t="str">
        <f>IF(OR($G852="",Sync!$Z848=""),"",Sync!$Z848)</f>
        <v/>
      </c>
      <c r="K852">
        <f>IF($G852="",0,IF(Sync!$AA848="",0,Sync!$AA848))</f>
        <v>0</v>
      </c>
      <c r="L852">
        <f>IF($G852="",0,IF(Sync!$AB848="",0,Sync!$AB848))</f>
        <v>0</v>
      </c>
      <c r="M852" t="str">
        <f t="shared" si="83"/>
        <v/>
      </c>
      <c r="N852">
        <f>IF($G852="",0,IF($H852="مرجوعی فروش",-1,1)*IF(Sync!$AC848="",0,Sync!$AC848))</f>
        <v>0</v>
      </c>
      <c r="O852" t="str">
        <f>IF(OR($G852="",Sync!$V848=""),"",Sync!$V848)</f>
        <v/>
      </c>
      <c r="P852" t="str">
        <f>IF(OR($G852="",Sync!$AD848=""),"",Sync!$AD848)</f>
        <v/>
      </c>
      <c r="Q852" t="str">
        <f>IF($G852="","",IF(Sync!$U848="","0000",IF(AND(ISNUMBER(Sync!$U848),Sync!$U848&gt;=0,Sync!$U848&lt;1),RIGHT("00"&amp;HOUR(Sync!$U848),2)&amp;RIGHT("00"&amp;MINUTE(Sync!$U848),2),IFERROR(RIGHT("00"&amp;VALUE(LEFT(Sync!$U848,FIND(":",Sync!$U848)-1)),2)&amp;RIGHT("00"&amp;VALUE(MID(Sync!$U848,FIND(":",Sync!$U848)+1,2)),2),"0000"))))</f>
        <v/>
      </c>
    </row>
    <row r="853" spans="1:17" x14ac:dyDescent="0.2">
      <c r="A853" t="str">
        <f>IF(Sync!$T849="","",Sync!$T849)</f>
        <v/>
      </c>
      <c r="B853" t="str">
        <f t="shared" si="78"/>
        <v/>
      </c>
      <c r="C853" t="str">
        <f t="shared" si="79"/>
        <v/>
      </c>
      <c r="D853" t="str">
        <f t="shared" si="80"/>
        <v/>
      </c>
      <c r="E853" t="str">
        <f t="shared" si="81"/>
        <v/>
      </c>
      <c r="F853" t="str">
        <f t="shared" si="82"/>
        <v/>
      </c>
      <c r="G853" t="str">
        <f>IF(OR($E853="",$E853="نامعتبر",Sync!$X849=""),"",IF(AND(LEFT(UPPER(TRIM(Sync!$X849)),2)="SL",IFERROR(VLOOKUP(Sync!$W849,OpTbl,3,0),"")="فروش"),UPPER(TRIM(Sync!$X849)),""))</f>
        <v/>
      </c>
      <c r="H853" t="str">
        <f>IF($G853="","",IF(Sync!$W849="","",Sync!$W849))</f>
        <v/>
      </c>
      <c r="I853" t="str">
        <f>IF(OR($G853="",Sync!$Y849=""),"",Sync!$Y849)</f>
        <v/>
      </c>
      <c r="J853" t="str">
        <f>IF(OR($G853="",Sync!$Z849=""),"",Sync!$Z849)</f>
        <v/>
      </c>
      <c r="K853">
        <f>IF($G853="",0,IF(Sync!$AA849="",0,Sync!$AA849))</f>
        <v>0</v>
      </c>
      <c r="L853">
        <f>IF($G853="",0,IF(Sync!$AB849="",0,Sync!$AB849))</f>
        <v>0</v>
      </c>
      <c r="M853" t="str">
        <f t="shared" si="83"/>
        <v/>
      </c>
      <c r="N853">
        <f>IF($G853="",0,IF($H853="مرجوعی فروش",-1,1)*IF(Sync!$AC849="",0,Sync!$AC849))</f>
        <v>0</v>
      </c>
      <c r="O853" t="str">
        <f>IF(OR($G853="",Sync!$V849=""),"",Sync!$V849)</f>
        <v/>
      </c>
      <c r="P853" t="str">
        <f>IF(OR($G853="",Sync!$AD849=""),"",Sync!$AD849)</f>
        <v/>
      </c>
      <c r="Q853" t="str">
        <f>IF($G853="","",IF(Sync!$U849="","0000",IF(AND(ISNUMBER(Sync!$U849),Sync!$U849&gt;=0,Sync!$U849&lt;1),RIGHT("00"&amp;HOUR(Sync!$U849),2)&amp;RIGHT("00"&amp;MINUTE(Sync!$U849),2),IFERROR(RIGHT("00"&amp;VALUE(LEFT(Sync!$U849,FIND(":",Sync!$U849)-1)),2)&amp;RIGHT("00"&amp;VALUE(MID(Sync!$U849,FIND(":",Sync!$U849)+1,2)),2),"0000"))))</f>
        <v/>
      </c>
    </row>
    <row r="854" spans="1:17" x14ac:dyDescent="0.2">
      <c r="A854" t="str">
        <f>IF(Sync!$T850="","",Sync!$T850)</f>
        <v/>
      </c>
      <c r="B854" t="str">
        <f t="shared" si="78"/>
        <v/>
      </c>
      <c r="C854" t="str">
        <f t="shared" si="79"/>
        <v/>
      </c>
      <c r="D854" t="str">
        <f t="shared" si="80"/>
        <v/>
      </c>
      <c r="E854" t="str">
        <f t="shared" si="81"/>
        <v/>
      </c>
      <c r="F854" t="str">
        <f t="shared" si="82"/>
        <v/>
      </c>
      <c r="G854" t="str">
        <f>IF(OR($E854="",$E854="نامعتبر",Sync!$X850=""),"",IF(AND(LEFT(UPPER(TRIM(Sync!$X850)),2)="SL",IFERROR(VLOOKUP(Sync!$W850,OpTbl,3,0),"")="فروش"),UPPER(TRIM(Sync!$X850)),""))</f>
        <v/>
      </c>
      <c r="H854" t="str">
        <f>IF($G854="","",IF(Sync!$W850="","",Sync!$W850))</f>
        <v/>
      </c>
      <c r="I854" t="str">
        <f>IF(OR($G854="",Sync!$Y850=""),"",Sync!$Y850)</f>
        <v/>
      </c>
      <c r="J854" t="str">
        <f>IF(OR($G854="",Sync!$Z850=""),"",Sync!$Z850)</f>
        <v/>
      </c>
      <c r="K854">
        <f>IF($G854="",0,IF(Sync!$AA850="",0,Sync!$AA850))</f>
        <v>0</v>
      </c>
      <c r="L854">
        <f>IF($G854="",0,IF(Sync!$AB850="",0,Sync!$AB850))</f>
        <v>0</v>
      </c>
      <c r="M854" t="str">
        <f t="shared" si="83"/>
        <v/>
      </c>
      <c r="N854">
        <f>IF($G854="",0,IF($H854="مرجوعی فروش",-1,1)*IF(Sync!$AC850="",0,Sync!$AC850))</f>
        <v>0</v>
      </c>
      <c r="O854" t="str">
        <f>IF(OR($G854="",Sync!$V850=""),"",Sync!$V850)</f>
        <v/>
      </c>
      <c r="P854" t="str">
        <f>IF(OR($G854="",Sync!$AD850=""),"",Sync!$AD850)</f>
        <v/>
      </c>
      <c r="Q854" t="str">
        <f>IF($G854="","",IF(Sync!$U850="","0000",IF(AND(ISNUMBER(Sync!$U850),Sync!$U850&gt;=0,Sync!$U850&lt;1),RIGHT("00"&amp;HOUR(Sync!$U850),2)&amp;RIGHT("00"&amp;MINUTE(Sync!$U850),2),IFERROR(RIGHT("00"&amp;VALUE(LEFT(Sync!$U850,FIND(":",Sync!$U850)-1)),2)&amp;RIGHT("00"&amp;VALUE(MID(Sync!$U850,FIND(":",Sync!$U850)+1,2)),2),"0000"))))</f>
        <v/>
      </c>
    </row>
    <row r="855" spans="1:17" x14ac:dyDescent="0.2">
      <c r="A855" t="str">
        <f>IF(Sync!$T851="","",Sync!$T851)</f>
        <v/>
      </c>
      <c r="B855" t="str">
        <f t="shared" si="78"/>
        <v/>
      </c>
      <c r="C855" t="str">
        <f t="shared" si="79"/>
        <v/>
      </c>
      <c r="D855" t="str">
        <f t="shared" si="80"/>
        <v/>
      </c>
      <c r="E855" t="str">
        <f t="shared" si="81"/>
        <v/>
      </c>
      <c r="F855" t="str">
        <f t="shared" si="82"/>
        <v/>
      </c>
      <c r="G855" t="str">
        <f>IF(OR($E855="",$E855="نامعتبر",Sync!$X851=""),"",IF(AND(LEFT(UPPER(TRIM(Sync!$X851)),2)="SL",IFERROR(VLOOKUP(Sync!$W851,OpTbl,3,0),"")="فروش"),UPPER(TRIM(Sync!$X851)),""))</f>
        <v/>
      </c>
      <c r="H855" t="str">
        <f>IF($G855="","",IF(Sync!$W851="","",Sync!$W851))</f>
        <v/>
      </c>
      <c r="I855" t="str">
        <f>IF(OR($G855="",Sync!$Y851=""),"",Sync!$Y851)</f>
        <v/>
      </c>
      <c r="J855" t="str">
        <f>IF(OR($G855="",Sync!$Z851=""),"",Sync!$Z851)</f>
        <v/>
      </c>
      <c r="K855">
        <f>IF($G855="",0,IF(Sync!$AA851="",0,Sync!$AA851))</f>
        <v>0</v>
      </c>
      <c r="L855">
        <f>IF($G855="",0,IF(Sync!$AB851="",0,Sync!$AB851))</f>
        <v>0</v>
      </c>
      <c r="M855" t="str">
        <f t="shared" si="83"/>
        <v/>
      </c>
      <c r="N855">
        <f>IF($G855="",0,IF($H855="مرجوعی فروش",-1,1)*IF(Sync!$AC851="",0,Sync!$AC851))</f>
        <v>0</v>
      </c>
      <c r="O855" t="str">
        <f>IF(OR($G855="",Sync!$V851=""),"",Sync!$V851)</f>
        <v/>
      </c>
      <c r="P855" t="str">
        <f>IF(OR($G855="",Sync!$AD851=""),"",Sync!$AD851)</f>
        <v/>
      </c>
      <c r="Q855" t="str">
        <f>IF($G855="","",IF(Sync!$U851="","0000",IF(AND(ISNUMBER(Sync!$U851),Sync!$U851&gt;=0,Sync!$U851&lt;1),RIGHT("00"&amp;HOUR(Sync!$U851),2)&amp;RIGHT("00"&amp;MINUTE(Sync!$U851),2),IFERROR(RIGHT("00"&amp;VALUE(LEFT(Sync!$U851,FIND(":",Sync!$U851)-1)),2)&amp;RIGHT("00"&amp;VALUE(MID(Sync!$U851,FIND(":",Sync!$U851)+1,2)),2),"0000"))))</f>
        <v/>
      </c>
    </row>
    <row r="856" spans="1:17" x14ac:dyDescent="0.2">
      <c r="A856" t="str">
        <f>IF(Sync!$T852="","",Sync!$T852)</f>
        <v/>
      </c>
      <c r="B856" t="str">
        <f t="shared" si="78"/>
        <v/>
      </c>
      <c r="C856" t="str">
        <f t="shared" si="79"/>
        <v/>
      </c>
      <c r="D856" t="str">
        <f t="shared" si="80"/>
        <v/>
      </c>
      <c r="E856" t="str">
        <f t="shared" si="81"/>
        <v/>
      </c>
      <c r="F856" t="str">
        <f t="shared" si="82"/>
        <v/>
      </c>
      <c r="G856" t="str">
        <f>IF(OR($E856="",$E856="نامعتبر",Sync!$X852=""),"",IF(AND(LEFT(UPPER(TRIM(Sync!$X852)),2)="SL",IFERROR(VLOOKUP(Sync!$W852,OpTbl,3,0),"")="فروش"),UPPER(TRIM(Sync!$X852)),""))</f>
        <v/>
      </c>
      <c r="H856" t="str">
        <f>IF($G856="","",IF(Sync!$W852="","",Sync!$W852))</f>
        <v/>
      </c>
      <c r="I856" t="str">
        <f>IF(OR($G856="",Sync!$Y852=""),"",Sync!$Y852)</f>
        <v/>
      </c>
      <c r="J856" t="str">
        <f>IF(OR($G856="",Sync!$Z852=""),"",Sync!$Z852)</f>
        <v/>
      </c>
      <c r="K856">
        <f>IF($G856="",0,IF(Sync!$AA852="",0,Sync!$AA852))</f>
        <v>0</v>
      </c>
      <c r="L856">
        <f>IF($G856="",0,IF(Sync!$AB852="",0,Sync!$AB852))</f>
        <v>0</v>
      </c>
      <c r="M856" t="str">
        <f t="shared" si="83"/>
        <v/>
      </c>
      <c r="N856">
        <f>IF($G856="",0,IF($H856="مرجوعی فروش",-1,1)*IF(Sync!$AC852="",0,Sync!$AC852))</f>
        <v>0</v>
      </c>
      <c r="O856" t="str">
        <f>IF(OR($G856="",Sync!$V852=""),"",Sync!$V852)</f>
        <v/>
      </c>
      <c r="P856" t="str">
        <f>IF(OR($G856="",Sync!$AD852=""),"",Sync!$AD852)</f>
        <v/>
      </c>
      <c r="Q856" t="str">
        <f>IF($G856="","",IF(Sync!$U852="","0000",IF(AND(ISNUMBER(Sync!$U852),Sync!$U852&gt;=0,Sync!$U852&lt;1),RIGHT("00"&amp;HOUR(Sync!$U852),2)&amp;RIGHT("00"&amp;MINUTE(Sync!$U852),2),IFERROR(RIGHT("00"&amp;VALUE(LEFT(Sync!$U852,FIND(":",Sync!$U852)-1)),2)&amp;RIGHT("00"&amp;VALUE(MID(Sync!$U852,FIND(":",Sync!$U852)+1,2)),2),"0000"))))</f>
        <v/>
      </c>
    </row>
    <row r="857" spans="1:17" x14ac:dyDescent="0.2">
      <c r="A857" t="str">
        <f>IF(Sync!$T853="","",Sync!$T853)</f>
        <v/>
      </c>
      <c r="B857" t="str">
        <f t="shared" si="78"/>
        <v/>
      </c>
      <c r="C857" t="str">
        <f t="shared" si="79"/>
        <v/>
      </c>
      <c r="D857" t="str">
        <f t="shared" si="80"/>
        <v/>
      </c>
      <c r="E857" t="str">
        <f t="shared" si="81"/>
        <v/>
      </c>
      <c r="F857" t="str">
        <f t="shared" si="82"/>
        <v/>
      </c>
      <c r="G857" t="str">
        <f>IF(OR($E857="",$E857="نامعتبر",Sync!$X853=""),"",IF(AND(LEFT(UPPER(TRIM(Sync!$X853)),2)="SL",IFERROR(VLOOKUP(Sync!$W853,OpTbl,3,0),"")="فروش"),UPPER(TRIM(Sync!$X853)),""))</f>
        <v/>
      </c>
      <c r="H857" t="str">
        <f>IF($G857="","",IF(Sync!$W853="","",Sync!$W853))</f>
        <v/>
      </c>
      <c r="I857" t="str">
        <f>IF(OR($G857="",Sync!$Y853=""),"",Sync!$Y853)</f>
        <v/>
      </c>
      <c r="J857" t="str">
        <f>IF(OR($G857="",Sync!$Z853=""),"",Sync!$Z853)</f>
        <v/>
      </c>
      <c r="K857">
        <f>IF($G857="",0,IF(Sync!$AA853="",0,Sync!$AA853))</f>
        <v>0</v>
      </c>
      <c r="L857">
        <f>IF($G857="",0,IF(Sync!$AB853="",0,Sync!$AB853))</f>
        <v>0</v>
      </c>
      <c r="M857" t="str">
        <f t="shared" si="83"/>
        <v/>
      </c>
      <c r="N857">
        <f>IF($G857="",0,IF($H857="مرجوعی فروش",-1,1)*IF(Sync!$AC853="",0,Sync!$AC853))</f>
        <v>0</v>
      </c>
      <c r="O857" t="str">
        <f>IF(OR($G857="",Sync!$V853=""),"",Sync!$V853)</f>
        <v/>
      </c>
      <c r="P857" t="str">
        <f>IF(OR($G857="",Sync!$AD853=""),"",Sync!$AD853)</f>
        <v/>
      </c>
      <c r="Q857" t="str">
        <f>IF($G857="","",IF(Sync!$U853="","0000",IF(AND(ISNUMBER(Sync!$U853),Sync!$U853&gt;=0,Sync!$U853&lt;1),RIGHT("00"&amp;HOUR(Sync!$U853),2)&amp;RIGHT("00"&amp;MINUTE(Sync!$U853),2),IFERROR(RIGHT("00"&amp;VALUE(LEFT(Sync!$U853,FIND(":",Sync!$U853)-1)),2)&amp;RIGHT("00"&amp;VALUE(MID(Sync!$U853,FIND(":",Sync!$U853)+1,2)),2),"0000"))))</f>
        <v/>
      </c>
    </row>
    <row r="858" spans="1:17" x14ac:dyDescent="0.2">
      <c r="A858" t="str">
        <f>IF(Sync!$T854="","",Sync!$T854)</f>
        <v/>
      </c>
      <c r="B858" t="str">
        <f t="shared" si="78"/>
        <v/>
      </c>
      <c r="C858" t="str">
        <f t="shared" si="79"/>
        <v/>
      </c>
      <c r="D858" t="str">
        <f t="shared" si="80"/>
        <v/>
      </c>
      <c r="E858" t="str">
        <f t="shared" si="81"/>
        <v/>
      </c>
      <c r="F858" t="str">
        <f t="shared" si="82"/>
        <v/>
      </c>
      <c r="G858" t="str">
        <f>IF(OR($E858="",$E858="نامعتبر",Sync!$X854=""),"",IF(AND(LEFT(UPPER(TRIM(Sync!$X854)),2)="SL",IFERROR(VLOOKUP(Sync!$W854,OpTbl,3,0),"")="فروش"),UPPER(TRIM(Sync!$X854)),""))</f>
        <v/>
      </c>
      <c r="H858" t="str">
        <f>IF($G858="","",IF(Sync!$W854="","",Sync!$W854))</f>
        <v/>
      </c>
      <c r="I858" t="str">
        <f>IF(OR($G858="",Sync!$Y854=""),"",Sync!$Y854)</f>
        <v/>
      </c>
      <c r="J858" t="str">
        <f>IF(OR($G858="",Sync!$Z854=""),"",Sync!$Z854)</f>
        <v/>
      </c>
      <c r="K858">
        <f>IF($G858="",0,IF(Sync!$AA854="",0,Sync!$AA854))</f>
        <v>0</v>
      </c>
      <c r="L858">
        <f>IF($G858="",0,IF(Sync!$AB854="",0,Sync!$AB854))</f>
        <v>0</v>
      </c>
      <c r="M858" t="str">
        <f t="shared" si="83"/>
        <v/>
      </c>
      <c r="N858">
        <f>IF($G858="",0,IF($H858="مرجوعی فروش",-1,1)*IF(Sync!$AC854="",0,Sync!$AC854))</f>
        <v>0</v>
      </c>
      <c r="O858" t="str">
        <f>IF(OR($G858="",Sync!$V854=""),"",Sync!$V854)</f>
        <v/>
      </c>
      <c r="P858" t="str">
        <f>IF(OR($G858="",Sync!$AD854=""),"",Sync!$AD854)</f>
        <v/>
      </c>
      <c r="Q858" t="str">
        <f>IF($G858="","",IF(Sync!$U854="","0000",IF(AND(ISNUMBER(Sync!$U854),Sync!$U854&gt;=0,Sync!$U854&lt;1),RIGHT("00"&amp;HOUR(Sync!$U854),2)&amp;RIGHT("00"&amp;MINUTE(Sync!$U854),2),IFERROR(RIGHT("00"&amp;VALUE(LEFT(Sync!$U854,FIND(":",Sync!$U854)-1)),2)&amp;RIGHT("00"&amp;VALUE(MID(Sync!$U854,FIND(":",Sync!$U854)+1,2)),2),"0000"))))</f>
        <v/>
      </c>
    </row>
    <row r="859" spans="1:17" x14ac:dyDescent="0.2">
      <c r="A859" t="str">
        <f>IF(Sync!$T855="","",Sync!$T855)</f>
        <v/>
      </c>
      <c r="B859" t="str">
        <f t="shared" si="78"/>
        <v/>
      </c>
      <c r="C859" t="str">
        <f t="shared" si="79"/>
        <v/>
      </c>
      <c r="D859" t="str">
        <f t="shared" si="80"/>
        <v/>
      </c>
      <c r="E859" t="str">
        <f t="shared" si="81"/>
        <v/>
      </c>
      <c r="F859" t="str">
        <f t="shared" si="82"/>
        <v/>
      </c>
      <c r="G859" t="str">
        <f>IF(OR($E859="",$E859="نامعتبر",Sync!$X855=""),"",IF(AND(LEFT(UPPER(TRIM(Sync!$X855)),2)="SL",IFERROR(VLOOKUP(Sync!$W855,OpTbl,3,0),"")="فروش"),UPPER(TRIM(Sync!$X855)),""))</f>
        <v/>
      </c>
      <c r="H859" t="str">
        <f>IF($G859="","",IF(Sync!$W855="","",Sync!$W855))</f>
        <v/>
      </c>
      <c r="I859" t="str">
        <f>IF(OR($G859="",Sync!$Y855=""),"",Sync!$Y855)</f>
        <v/>
      </c>
      <c r="J859" t="str">
        <f>IF(OR($G859="",Sync!$Z855=""),"",Sync!$Z855)</f>
        <v/>
      </c>
      <c r="K859">
        <f>IF($G859="",0,IF(Sync!$AA855="",0,Sync!$AA855))</f>
        <v>0</v>
      </c>
      <c r="L859">
        <f>IF($G859="",0,IF(Sync!$AB855="",0,Sync!$AB855))</f>
        <v>0</v>
      </c>
      <c r="M859" t="str">
        <f t="shared" si="83"/>
        <v/>
      </c>
      <c r="N859">
        <f>IF($G859="",0,IF($H859="مرجوعی فروش",-1,1)*IF(Sync!$AC855="",0,Sync!$AC855))</f>
        <v>0</v>
      </c>
      <c r="O859" t="str">
        <f>IF(OR($G859="",Sync!$V855=""),"",Sync!$V855)</f>
        <v/>
      </c>
      <c r="P859" t="str">
        <f>IF(OR($G859="",Sync!$AD855=""),"",Sync!$AD855)</f>
        <v/>
      </c>
      <c r="Q859" t="str">
        <f>IF($G859="","",IF(Sync!$U855="","0000",IF(AND(ISNUMBER(Sync!$U855),Sync!$U855&gt;=0,Sync!$U855&lt;1),RIGHT("00"&amp;HOUR(Sync!$U855),2)&amp;RIGHT("00"&amp;MINUTE(Sync!$U855),2),IFERROR(RIGHT("00"&amp;VALUE(LEFT(Sync!$U855,FIND(":",Sync!$U855)-1)),2)&amp;RIGHT("00"&amp;VALUE(MID(Sync!$U855,FIND(":",Sync!$U855)+1,2)),2),"0000"))))</f>
        <v/>
      </c>
    </row>
    <row r="860" spans="1:17" x14ac:dyDescent="0.2">
      <c r="A860" t="str">
        <f>IF(Sync!$T856="","",Sync!$T856)</f>
        <v/>
      </c>
      <c r="B860" t="str">
        <f t="shared" si="78"/>
        <v/>
      </c>
      <c r="C860" t="str">
        <f t="shared" si="79"/>
        <v/>
      </c>
      <c r="D860" t="str">
        <f t="shared" si="80"/>
        <v/>
      </c>
      <c r="E860" t="str">
        <f t="shared" si="81"/>
        <v/>
      </c>
      <c r="F860" t="str">
        <f t="shared" si="82"/>
        <v/>
      </c>
      <c r="G860" t="str">
        <f>IF(OR($E860="",$E860="نامعتبر",Sync!$X856=""),"",IF(AND(LEFT(UPPER(TRIM(Sync!$X856)),2)="SL",IFERROR(VLOOKUP(Sync!$W856,OpTbl,3,0),"")="فروش"),UPPER(TRIM(Sync!$X856)),""))</f>
        <v/>
      </c>
      <c r="H860" t="str">
        <f>IF($G860="","",IF(Sync!$W856="","",Sync!$W856))</f>
        <v/>
      </c>
      <c r="I860" t="str">
        <f>IF(OR($G860="",Sync!$Y856=""),"",Sync!$Y856)</f>
        <v/>
      </c>
      <c r="J860" t="str">
        <f>IF(OR($G860="",Sync!$Z856=""),"",Sync!$Z856)</f>
        <v/>
      </c>
      <c r="K860">
        <f>IF($G860="",0,IF(Sync!$AA856="",0,Sync!$AA856))</f>
        <v>0</v>
      </c>
      <c r="L860">
        <f>IF($G860="",0,IF(Sync!$AB856="",0,Sync!$AB856))</f>
        <v>0</v>
      </c>
      <c r="M860" t="str">
        <f t="shared" si="83"/>
        <v/>
      </c>
      <c r="N860">
        <f>IF($G860="",0,IF($H860="مرجوعی فروش",-1,1)*IF(Sync!$AC856="",0,Sync!$AC856))</f>
        <v>0</v>
      </c>
      <c r="O860" t="str">
        <f>IF(OR($G860="",Sync!$V856=""),"",Sync!$V856)</f>
        <v/>
      </c>
      <c r="P860" t="str">
        <f>IF(OR($G860="",Sync!$AD856=""),"",Sync!$AD856)</f>
        <v/>
      </c>
      <c r="Q860" t="str">
        <f>IF($G860="","",IF(Sync!$U856="","0000",IF(AND(ISNUMBER(Sync!$U856),Sync!$U856&gt;=0,Sync!$U856&lt;1),RIGHT("00"&amp;HOUR(Sync!$U856),2)&amp;RIGHT("00"&amp;MINUTE(Sync!$U856),2),IFERROR(RIGHT("00"&amp;VALUE(LEFT(Sync!$U856,FIND(":",Sync!$U856)-1)),2)&amp;RIGHT("00"&amp;VALUE(MID(Sync!$U856,FIND(":",Sync!$U856)+1,2)),2),"0000"))))</f>
        <v/>
      </c>
    </row>
    <row r="861" spans="1:17" x14ac:dyDescent="0.2">
      <c r="A861" t="str">
        <f>IF(Sync!$T857="","",Sync!$T857)</f>
        <v/>
      </c>
      <c r="B861" t="str">
        <f t="shared" si="78"/>
        <v/>
      </c>
      <c r="C861" t="str">
        <f t="shared" si="79"/>
        <v/>
      </c>
      <c r="D861" t="str">
        <f t="shared" si="80"/>
        <v/>
      </c>
      <c r="E861" t="str">
        <f t="shared" si="81"/>
        <v/>
      </c>
      <c r="F861" t="str">
        <f t="shared" si="82"/>
        <v/>
      </c>
      <c r="G861" t="str">
        <f>IF(OR($E861="",$E861="نامعتبر",Sync!$X857=""),"",IF(AND(LEFT(UPPER(TRIM(Sync!$X857)),2)="SL",IFERROR(VLOOKUP(Sync!$W857,OpTbl,3,0),"")="فروش"),UPPER(TRIM(Sync!$X857)),""))</f>
        <v/>
      </c>
      <c r="H861" t="str">
        <f>IF($G861="","",IF(Sync!$W857="","",Sync!$W857))</f>
        <v/>
      </c>
      <c r="I861" t="str">
        <f>IF(OR($G861="",Sync!$Y857=""),"",Sync!$Y857)</f>
        <v/>
      </c>
      <c r="J861" t="str">
        <f>IF(OR($G861="",Sync!$Z857=""),"",Sync!$Z857)</f>
        <v/>
      </c>
      <c r="K861">
        <f>IF($G861="",0,IF(Sync!$AA857="",0,Sync!$AA857))</f>
        <v>0</v>
      </c>
      <c r="L861">
        <f>IF($G861="",0,IF(Sync!$AB857="",0,Sync!$AB857))</f>
        <v>0</v>
      </c>
      <c r="M861" t="str">
        <f t="shared" si="83"/>
        <v/>
      </c>
      <c r="N861">
        <f>IF($G861="",0,IF($H861="مرجوعی فروش",-1,1)*IF(Sync!$AC857="",0,Sync!$AC857))</f>
        <v>0</v>
      </c>
      <c r="O861" t="str">
        <f>IF(OR($G861="",Sync!$V857=""),"",Sync!$V857)</f>
        <v/>
      </c>
      <c r="P861" t="str">
        <f>IF(OR($G861="",Sync!$AD857=""),"",Sync!$AD857)</f>
        <v/>
      </c>
      <c r="Q861" t="str">
        <f>IF($G861="","",IF(Sync!$U857="","0000",IF(AND(ISNUMBER(Sync!$U857),Sync!$U857&gt;=0,Sync!$U857&lt;1),RIGHT("00"&amp;HOUR(Sync!$U857),2)&amp;RIGHT("00"&amp;MINUTE(Sync!$U857),2),IFERROR(RIGHT("00"&amp;VALUE(LEFT(Sync!$U857,FIND(":",Sync!$U857)-1)),2)&amp;RIGHT("00"&amp;VALUE(MID(Sync!$U857,FIND(":",Sync!$U857)+1,2)),2),"0000"))))</f>
        <v/>
      </c>
    </row>
    <row r="862" spans="1:17" x14ac:dyDescent="0.2">
      <c r="A862" t="str">
        <f>IF(Sync!$T858="","",Sync!$T858)</f>
        <v/>
      </c>
      <c r="B862" t="str">
        <f t="shared" si="78"/>
        <v/>
      </c>
      <c r="C862" t="str">
        <f t="shared" si="79"/>
        <v/>
      </c>
      <c r="D862" t="str">
        <f t="shared" si="80"/>
        <v/>
      </c>
      <c r="E862" t="str">
        <f t="shared" si="81"/>
        <v/>
      </c>
      <c r="F862" t="str">
        <f t="shared" si="82"/>
        <v/>
      </c>
      <c r="G862" t="str">
        <f>IF(OR($E862="",$E862="نامعتبر",Sync!$X858=""),"",IF(AND(LEFT(UPPER(TRIM(Sync!$X858)),2)="SL",IFERROR(VLOOKUP(Sync!$W858,OpTbl,3,0),"")="فروش"),UPPER(TRIM(Sync!$X858)),""))</f>
        <v/>
      </c>
      <c r="H862" t="str">
        <f>IF($G862="","",IF(Sync!$W858="","",Sync!$W858))</f>
        <v/>
      </c>
      <c r="I862" t="str">
        <f>IF(OR($G862="",Sync!$Y858=""),"",Sync!$Y858)</f>
        <v/>
      </c>
      <c r="J862" t="str">
        <f>IF(OR($G862="",Sync!$Z858=""),"",Sync!$Z858)</f>
        <v/>
      </c>
      <c r="K862">
        <f>IF($G862="",0,IF(Sync!$AA858="",0,Sync!$AA858))</f>
        <v>0</v>
      </c>
      <c r="L862">
        <f>IF($G862="",0,IF(Sync!$AB858="",0,Sync!$AB858))</f>
        <v>0</v>
      </c>
      <c r="M862" t="str">
        <f t="shared" si="83"/>
        <v/>
      </c>
      <c r="N862">
        <f>IF($G862="",0,IF($H862="مرجوعی فروش",-1,1)*IF(Sync!$AC858="",0,Sync!$AC858))</f>
        <v>0</v>
      </c>
      <c r="O862" t="str">
        <f>IF(OR($G862="",Sync!$V858=""),"",Sync!$V858)</f>
        <v/>
      </c>
      <c r="P862" t="str">
        <f>IF(OR($G862="",Sync!$AD858=""),"",Sync!$AD858)</f>
        <v/>
      </c>
      <c r="Q862" t="str">
        <f>IF($G862="","",IF(Sync!$U858="","0000",IF(AND(ISNUMBER(Sync!$U858),Sync!$U858&gt;=0,Sync!$U858&lt;1),RIGHT("00"&amp;HOUR(Sync!$U858),2)&amp;RIGHT("00"&amp;MINUTE(Sync!$U858),2),IFERROR(RIGHT("00"&amp;VALUE(LEFT(Sync!$U858,FIND(":",Sync!$U858)-1)),2)&amp;RIGHT("00"&amp;VALUE(MID(Sync!$U858,FIND(":",Sync!$U858)+1,2)),2),"0000"))))</f>
        <v/>
      </c>
    </row>
    <row r="863" spans="1:17" x14ac:dyDescent="0.2">
      <c r="A863" t="str">
        <f>IF(Sync!$T859="","",Sync!$T859)</f>
        <v/>
      </c>
      <c r="B863" t="str">
        <f t="shared" si="78"/>
        <v/>
      </c>
      <c r="C863" t="str">
        <f t="shared" si="79"/>
        <v/>
      </c>
      <c r="D863" t="str">
        <f t="shared" si="80"/>
        <v/>
      </c>
      <c r="E863" t="str">
        <f t="shared" si="81"/>
        <v/>
      </c>
      <c r="F863" t="str">
        <f t="shared" si="82"/>
        <v/>
      </c>
      <c r="G863" t="str">
        <f>IF(OR($E863="",$E863="نامعتبر",Sync!$X859=""),"",IF(AND(LEFT(UPPER(TRIM(Sync!$X859)),2)="SL",IFERROR(VLOOKUP(Sync!$W859,OpTbl,3,0),"")="فروش"),UPPER(TRIM(Sync!$X859)),""))</f>
        <v/>
      </c>
      <c r="H863" t="str">
        <f>IF($G863="","",IF(Sync!$W859="","",Sync!$W859))</f>
        <v/>
      </c>
      <c r="I863" t="str">
        <f>IF(OR($G863="",Sync!$Y859=""),"",Sync!$Y859)</f>
        <v/>
      </c>
      <c r="J863" t="str">
        <f>IF(OR($G863="",Sync!$Z859=""),"",Sync!$Z859)</f>
        <v/>
      </c>
      <c r="K863">
        <f>IF($G863="",0,IF(Sync!$AA859="",0,Sync!$AA859))</f>
        <v>0</v>
      </c>
      <c r="L863">
        <f>IF($G863="",0,IF(Sync!$AB859="",0,Sync!$AB859))</f>
        <v>0</v>
      </c>
      <c r="M863" t="str">
        <f t="shared" si="83"/>
        <v/>
      </c>
      <c r="N863">
        <f>IF($G863="",0,IF($H863="مرجوعی فروش",-1,1)*IF(Sync!$AC859="",0,Sync!$AC859))</f>
        <v>0</v>
      </c>
      <c r="O863" t="str">
        <f>IF(OR($G863="",Sync!$V859=""),"",Sync!$V859)</f>
        <v/>
      </c>
      <c r="P863" t="str">
        <f>IF(OR($G863="",Sync!$AD859=""),"",Sync!$AD859)</f>
        <v/>
      </c>
      <c r="Q863" t="str">
        <f>IF($G863="","",IF(Sync!$U859="","0000",IF(AND(ISNUMBER(Sync!$U859),Sync!$U859&gt;=0,Sync!$U859&lt;1),RIGHT("00"&amp;HOUR(Sync!$U859),2)&amp;RIGHT("00"&amp;MINUTE(Sync!$U859),2),IFERROR(RIGHT("00"&amp;VALUE(LEFT(Sync!$U859,FIND(":",Sync!$U859)-1)),2)&amp;RIGHT("00"&amp;VALUE(MID(Sync!$U859,FIND(":",Sync!$U859)+1,2)),2),"0000"))))</f>
        <v/>
      </c>
    </row>
    <row r="864" spans="1:17" x14ac:dyDescent="0.2">
      <c r="A864" t="str">
        <f>IF(Sync!$T860="","",Sync!$T860)</f>
        <v/>
      </c>
      <c r="B864" t="str">
        <f t="shared" si="78"/>
        <v/>
      </c>
      <c r="C864" t="str">
        <f t="shared" si="79"/>
        <v/>
      </c>
      <c r="D864" t="str">
        <f t="shared" si="80"/>
        <v/>
      </c>
      <c r="E864" t="str">
        <f t="shared" si="81"/>
        <v/>
      </c>
      <c r="F864" t="str">
        <f t="shared" si="82"/>
        <v/>
      </c>
      <c r="G864" t="str">
        <f>IF(OR($E864="",$E864="نامعتبر",Sync!$X860=""),"",IF(AND(LEFT(UPPER(TRIM(Sync!$X860)),2)="SL",IFERROR(VLOOKUP(Sync!$W860,OpTbl,3,0),"")="فروش"),UPPER(TRIM(Sync!$X860)),""))</f>
        <v/>
      </c>
      <c r="H864" t="str">
        <f>IF($G864="","",IF(Sync!$W860="","",Sync!$W860))</f>
        <v/>
      </c>
      <c r="I864" t="str">
        <f>IF(OR($G864="",Sync!$Y860=""),"",Sync!$Y860)</f>
        <v/>
      </c>
      <c r="J864" t="str">
        <f>IF(OR($G864="",Sync!$Z860=""),"",Sync!$Z860)</f>
        <v/>
      </c>
      <c r="K864">
        <f>IF($G864="",0,IF(Sync!$AA860="",0,Sync!$AA860))</f>
        <v>0</v>
      </c>
      <c r="L864">
        <f>IF($G864="",0,IF(Sync!$AB860="",0,Sync!$AB860))</f>
        <v>0</v>
      </c>
      <c r="M864" t="str">
        <f t="shared" si="83"/>
        <v/>
      </c>
      <c r="N864">
        <f>IF($G864="",0,IF($H864="مرجوعی فروش",-1,1)*IF(Sync!$AC860="",0,Sync!$AC860))</f>
        <v>0</v>
      </c>
      <c r="O864" t="str">
        <f>IF(OR($G864="",Sync!$V860=""),"",Sync!$V860)</f>
        <v/>
      </c>
      <c r="P864" t="str">
        <f>IF(OR($G864="",Sync!$AD860=""),"",Sync!$AD860)</f>
        <v/>
      </c>
      <c r="Q864" t="str">
        <f>IF($G864="","",IF(Sync!$U860="","0000",IF(AND(ISNUMBER(Sync!$U860),Sync!$U860&gt;=0,Sync!$U860&lt;1),RIGHT("00"&amp;HOUR(Sync!$U860),2)&amp;RIGHT("00"&amp;MINUTE(Sync!$U860),2),IFERROR(RIGHT("00"&amp;VALUE(LEFT(Sync!$U860,FIND(":",Sync!$U860)-1)),2)&amp;RIGHT("00"&amp;VALUE(MID(Sync!$U860,FIND(":",Sync!$U860)+1,2)),2),"0000"))))</f>
        <v/>
      </c>
    </row>
    <row r="865" spans="1:17" x14ac:dyDescent="0.2">
      <c r="A865" t="str">
        <f>IF(Sync!$T861="","",Sync!$T861)</f>
        <v/>
      </c>
      <c r="B865" t="str">
        <f t="shared" si="78"/>
        <v/>
      </c>
      <c r="C865" t="str">
        <f t="shared" si="79"/>
        <v/>
      </c>
      <c r="D865" t="str">
        <f t="shared" si="80"/>
        <v/>
      </c>
      <c r="E865" t="str">
        <f t="shared" si="81"/>
        <v/>
      </c>
      <c r="F865" t="str">
        <f t="shared" si="82"/>
        <v/>
      </c>
      <c r="G865" t="str">
        <f>IF(OR($E865="",$E865="نامعتبر",Sync!$X861=""),"",IF(AND(LEFT(UPPER(TRIM(Sync!$X861)),2)="SL",IFERROR(VLOOKUP(Sync!$W861,OpTbl,3,0),"")="فروش"),UPPER(TRIM(Sync!$X861)),""))</f>
        <v/>
      </c>
      <c r="H865" t="str">
        <f>IF($G865="","",IF(Sync!$W861="","",Sync!$W861))</f>
        <v/>
      </c>
      <c r="I865" t="str">
        <f>IF(OR($G865="",Sync!$Y861=""),"",Sync!$Y861)</f>
        <v/>
      </c>
      <c r="J865" t="str">
        <f>IF(OR($G865="",Sync!$Z861=""),"",Sync!$Z861)</f>
        <v/>
      </c>
      <c r="K865">
        <f>IF($G865="",0,IF(Sync!$AA861="",0,Sync!$AA861))</f>
        <v>0</v>
      </c>
      <c r="L865">
        <f>IF($G865="",0,IF(Sync!$AB861="",0,Sync!$AB861))</f>
        <v>0</v>
      </c>
      <c r="M865" t="str">
        <f t="shared" si="83"/>
        <v/>
      </c>
      <c r="N865">
        <f>IF($G865="",0,IF($H865="مرجوعی فروش",-1,1)*IF(Sync!$AC861="",0,Sync!$AC861))</f>
        <v>0</v>
      </c>
      <c r="O865" t="str">
        <f>IF(OR($G865="",Sync!$V861=""),"",Sync!$V861)</f>
        <v/>
      </c>
      <c r="P865" t="str">
        <f>IF(OR($G865="",Sync!$AD861=""),"",Sync!$AD861)</f>
        <v/>
      </c>
      <c r="Q865" t="str">
        <f>IF($G865="","",IF(Sync!$U861="","0000",IF(AND(ISNUMBER(Sync!$U861),Sync!$U861&gt;=0,Sync!$U861&lt;1),RIGHT("00"&amp;HOUR(Sync!$U861),2)&amp;RIGHT("00"&amp;MINUTE(Sync!$U861),2),IFERROR(RIGHT("00"&amp;VALUE(LEFT(Sync!$U861,FIND(":",Sync!$U861)-1)),2)&amp;RIGHT("00"&amp;VALUE(MID(Sync!$U861,FIND(":",Sync!$U861)+1,2)),2),"0000"))))</f>
        <v/>
      </c>
    </row>
    <row r="866" spans="1:17" x14ac:dyDescent="0.2">
      <c r="A866" t="str">
        <f>IF(Sync!$T862="","",Sync!$T862)</f>
        <v/>
      </c>
      <c r="B866" t="str">
        <f t="shared" si="78"/>
        <v/>
      </c>
      <c r="C866" t="str">
        <f t="shared" si="79"/>
        <v/>
      </c>
      <c r="D866" t="str">
        <f t="shared" si="80"/>
        <v/>
      </c>
      <c r="E866" t="str">
        <f t="shared" si="81"/>
        <v/>
      </c>
      <c r="F866" t="str">
        <f t="shared" si="82"/>
        <v/>
      </c>
      <c r="G866" t="str">
        <f>IF(OR($E866="",$E866="نامعتبر",Sync!$X862=""),"",IF(AND(LEFT(UPPER(TRIM(Sync!$X862)),2)="SL",IFERROR(VLOOKUP(Sync!$W862,OpTbl,3,0),"")="فروش"),UPPER(TRIM(Sync!$X862)),""))</f>
        <v/>
      </c>
      <c r="H866" t="str">
        <f>IF($G866="","",IF(Sync!$W862="","",Sync!$W862))</f>
        <v/>
      </c>
      <c r="I866" t="str">
        <f>IF(OR($G866="",Sync!$Y862=""),"",Sync!$Y862)</f>
        <v/>
      </c>
      <c r="J866" t="str">
        <f>IF(OR($G866="",Sync!$Z862=""),"",Sync!$Z862)</f>
        <v/>
      </c>
      <c r="K866">
        <f>IF($G866="",0,IF(Sync!$AA862="",0,Sync!$AA862))</f>
        <v>0</v>
      </c>
      <c r="L866">
        <f>IF($G866="",0,IF(Sync!$AB862="",0,Sync!$AB862))</f>
        <v>0</v>
      </c>
      <c r="M866" t="str">
        <f t="shared" si="83"/>
        <v/>
      </c>
      <c r="N866">
        <f>IF($G866="",0,IF($H866="مرجوعی فروش",-1,1)*IF(Sync!$AC862="",0,Sync!$AC862))</f>
        <v>0</v>
      </c>
      <c r="O866" t="str">
        <f>IF(OR($G866="",Sync!$V862=""),"",Sync!$V862)</f>
        <v/>
      </c>
      <c r="P866" t="str">
        <f>IF(OR($G866="",Sync!$AD862=""),"",Sync!$AD862)</f>
        <v/>
      </c>
      <c r="Q866" t="str">
        <f>IF($G866="","",IF(Sync!$U862="","0000",IF(AND(ISNUMBER(Sync!$U862),Sync!$U862&gt;=0,Sync!$U862&lt;1),RIGHT("00"&amp;HOUR(Sync!$U862),2)&amp;RIGHT("00"&amp;MINUTE(Sync!$U862),2),IFERROR(RIGHT("00"&amp;VALUE(LEFT(Sync!$U862,FIND(":",Sync!$U862)-1)),2)&amp;RIGHT("00"&amp;VALUE(MID(Sync!$U862,FIND(":",Sync!$U862)+1,2)),2),"0000"))))</f>
        <v/>
      </c>
    </row>
    <row r="867" spans="1:17" x14ac:dyDescent="0.2">
      <c r="A867" t="str">
        <f>IF(Sync!$T863="","",Sync!$T863)</f>
        <v/>
      </c>
      <c r="B867" t="str">
        <f t="shared" si="78"/>
        <v/>
      </c>
      <c r="C867" t="str">
        <f t="shared" si="79"/>
        <v/>
      </c>
      <c r="D867" t="str">
        <f t="shared" si="80"/>
        <v/>
      </c>
      <c r="E867" t="str">
        <f t="shared" si="81"/>
        <v/>
      </c>
      <c r="F867" t="str">
        <f t="shared" si="82"/>
        <v/>
      </c>
      <c r="G867" t="str">
        <f>IF(OR($E867="",$E867="نامعتبر",Sync!$X863=""),"",IF(AND(LEFT(UPPER(TRIM(Sync!$X863)),2)="SL",IFERROR(VLOOKUP(Sync!$W863,OpTbl,3,0),"")="فروش"),UPPER(TRIM(Sync!$X863)),""))</f>
        <v/>
      </c>
      <c r="H867" t="str">
        <f>IF($G867="","",IF(Sync!$W863="","",Sync!$W863))</f>
        <v/>
      </c>
      <c r="I867" t="str">
        <f>IF(OR($G867="",Sync!$Y863=""),"",Sync!$Y863)</f>
        <v/>
      </c>
      <c r="J867" t="str">
        <f>IF(OR($G867="",Sync!$Z863=""),"",Sync!$Z863)</f>
        <v/>
      </c>
      <c r="K867">
        <f>IF($G867="",0,IF(Sync!$AA863="",0,Sync!$AA863))</f>
        <v>0</v>
      </c>
      <c r="L867">
        <f>IF($G867="",0,IF(Sync!$AB863="",0,Sync!$AB863))</f>
        <v>0</v>
      </c>
      <c r="M867" t="str">
        <f t="shared" si="83"/>
        <v/>
      </c>
      <c r="N867">
        <f>IF($G867="",0,IF($H867="مرجوعی فروش",-1,1)*IF(Sync!$AC863="",0,Sync!$AC863))</f>
        <v>0</v>
      </c>
      <c r="O867" t="str">
        <f>IF(OR($G867="",Sync!$V863=""),"",Sync!$V863)</f>
        <v/>
      </c>
      <c r="P867" t="str">
        <f>IF(OR($G867="",Sync!$AD863=""),"",Sync!$AD863)</f>
        <v/>
      </c>
      <c r="Q867" t="str">
        <f>IF($G867="","",IF(Sync!$U863="","0000",IF(AND(ISNUMBER(Sync!$U863),Sync!$U863&gt;=0,Sync!$U863&lt;1),RIGHT("00"&amp;HOUR(Sync!$U863),2)&amp;RIGHT("00"&amp;MINUTE(Sync!$U863),2),IFERROR(RIGHT("00"&amp;VALUE(LEFT(Sync!$U863,FIND(":",Sync!$U863)-1)),2)&amp;RIGHT("00"&amp;VALUE(MID(Sync!$U863,FIND(":",Sync!$U863)+1,2)),2),"0000"))))</f>
        <v/>
      </c>
    </row>
    <row r="868" spans="1:17" x14ac:dyDescent="0.2">
      <c r="A868" t="str">
        <f>IF(Sync!$T864="","",Sync!$T864)</f>
        <v/>
      </c>
      <c r="B868" t="str">
        <f t="shared" si="78"/>
        <v/>
      </c>
      <c r="C868" t="str">
        <f t="shared" si="79"/>
        <v/>
      </c>
      <c r="D868" t="str">
        <f t="shared" si="80"/>
        <v/>
      </c>
      <c r="E868" t="str">
        <f t="shared" si="81"/>
        <v/>
      </c>
      <c r="F868" t="str">
        <f t="shared" si="82"/>
        <v/>
      </c>
      <c r="G868" t="str">
        <f>IF(OR($E868="",$E868="نامعتبر",Sync!$X864=""),"",IF(AND(LEFT(UPPER(TRIM(Sync!$X864)),2)="SL",IFERROR(VLOOKUP(Sync!$W864,OpTbl,3,0),"")="فروش"),UPPER(TRIM(Sync!$X864)),""))</f>
        <v/>
      </c>
      <c r="H868" t="str">
        <f>IF($G868="","",IF(Sync!$W864="","",Sync!$W864))</f>
        <v/>
      </c>
      <c r="I868" t="str">
        <f>IF(OR($G868="",Sync!$Y864=""),"",Sync!$Y864)</f>
        <v/>
      </c>
      <c r="J868" t="str">
        <f>IF(OR($G868="",Sync!$Z864=""),"",Sync!$Z864)</f>
        <v/>
      </c>
      <c r="K868">
        <f>IF($G868="",0,IF(Sync!$AA864="",0,Sync!$AA864))</f>
        <v>0</v>
      </c>
      <c r="L868">
        <f>IF($G868="",0,IF(Sync!$AB864="",0,Sync!$AB864))</f>
        <v>0</v>
      </c>
      <c r="M868" t="str">
        <f t="shared" si="83"/>
        <v/>
      </c>
      <c r="N868">
        <f>IF($G868="",0,IF($H868="مرجوعی فروش",-1,1)*IF(Sync!$AC864="",0,Sync!$AC864))</f>
        <v>0</v>
      </c>
      <c r="O868" t="str">
        <f>IF(OR($G868="",Sync!$V864=""),"",Sync!$V864)</f>
        <v/>
      </c>
      <c r="P868" t="str">
        <f>IF(OR($G868="",Sync!$AD864=""),"",Sync!$AD864)</f>
        <v/>
      </c>
      <c r="Q868" t="str">
        <f>IF($G868="","",IF(Sync!$U864="","0000",IF(AND(ISNUMBER(Sync!$U864),Sync!$U864&gt;=0,Sync!$U864&lt;1),RIGHT("00"&amp;HOUR(Sync!$U864),2)&amp;RIGHT("00"&amp;MINUTE(Sync!$U864),2),IFERROR(RIGHT("00"&amp;VALUE(LEFT(Sync!$U864,FIND(":",Sync!$U864)-1)),2)&amp;RIGHT("00"&amp;VALUE(MID(Sync!$U864,FIND(":",Sync!$U864)+1,2)),2),"0000"))))</f>
        <v/>
      </c>
    </row>
    <row r="869" spans="1:17" x14ac:dyDescent="0.2">
      <c r="A869" t="str">
        <f>IF(Sync!$T865="","",Sync!$T865)</f>
        <v/>
      </c>
      <c r="B869" t="str">
        <f t="shared" si="78"/>
        <v/>
      </c>
      <c r="C869" t="str">
        <f t="shared" si="79"/>
        <v/>
      </c>
      <c r="D869" t="str">
        <f t="shared" si="80"/>
        <v/>
      </c>
      <c r="E869" t="str">
        <f t="shared" si="81"/>
        <v/>
      </c>
      <c r="F869" t="str">
        <f t="shared" si="82"/>
        <v/>
      </c>
      <c r="G869" t="str">
        <f>IF(OR($E869="",$E869="نامعتبر",Sync!$X865=""),"",IF(AND(LEFT(UPPER(TRIM(Sync!$X865)),2)="SL",IFERROR(VLOOKUP(Sync!$W865,OpTbl,3,0),"")="فروش"),UPPER(TRIM(Sync!$X865)),""))</f>
        <v/>
      </c>
      <c r="H869" t="str">
        <f>IF($G869="","",IF(Sync!$W865="","",Sync!$W865))</f>
        <v/>
      </c>
      <c r="I869" t="str">
        <f>IF(OR($G869="",Sync!$Y865=""),"",Sync!$Y865)</f>
        <v/>
      </c>
      <c r="J869" t="str">
        <f>IF(OR($G869="",Sync!$Z865=""),"",Sync!$Z865)</f>
        <v/>
      </c>
      <c r="K869">
        <f>IF($G869="",0,IF(Sync!$AA865="",0,Sync!$AA865))</f>
        <v>0</v>
      </c>
      <c r="L869">
        <f>IF($G869="",0,IF(Sync!$AB865="",0,Sync!$AB865))</f>
        <v>0</v>
      </c>
      <c r="M869" t="str">
        <f t="shared" si="83"/>
        <v/>
      </c>
      <c r="N869">
        <f>IF($G869="",0,IF($H869="مرجوعی فروش",-1,1)*IF(Sync!$AC865="",0,Sync!$AC865))</f>
        <v>0</v>
      </c>
      <c r="O869" t="str">
        <f>IF(OR($G869="",Sync!$V865=""),"",Sync!$V865)</f>
        <v/>
      </c>
      <c r="P869" t="str">
        <f>IF(OR($G869="",Sync!$AD865=""),"",Sync!$AD865)</f>
        <v/>
      </c>
      <c r="Q869" t="str">
        <f>IF($G869="","",IF(Sync!$U865="","0000",IF(AND(ISNUMBER(Sync!$U865),Sync!$U865&gt;=0,Sync!$U865&lt;1),RIGHT("00"&amp;HOUR(Sync!$U865),2)&amp;RIGHT("00"&amp;MINUTE(Sync!$U865),2),IFERROR(RIGHT("00"&amp;VALUE(LEFT(Sync!$U865,FIND(":",Sync!$U865)-1)),2)&amp;RIGHT("00"&amp;VALUE(MID(Sync!$U865,FIND(":",Sync!$U865)+1,2)),2),"0000"))))</f>
        <v/>
      </c>
    </row>
    <row r="870" spans="1:17" x14ac:dyDescent="0.2">
      <c r="A870" t="str">
        <f>IF(Sync!$T866="","",Sync!$T866)</f>
        <v/>
      </c>
      <c r="B870" t="str">
        <f t="shared" si="78"/>
        <v/>
      </c>
      <c r="C870" t="str">
        <f t="shared" si="79"/>
        <v/>
      </c>
      <c r="D870" t="str">
        <f t="shared" si="80"/>
        <v/>
      </c>
      <c r="E870" t="str">
        <f t="shared" si="81"/>
        <v/>
      </c>
      <c r="F870" t="str">
        <f t="shared" si="82"/>
        <v/>
      </c>
      <c r="G870" t="str">
        <f>IF(OR($E870="",$E870="نامعتبر",Sync!$X866=""),"",IF(AND(LEFT(UPPER(TRIM(Sync!$X866)),2)="SL",IFERROR(VLOOKUP(Sync!$W866,OpTbl,3,0),"")="فروش"),UPPER(TRIM(Sync!$X866)),""))</f>
        <v/>
      </c>
      <c r="H870" t="str">
        <f>IF($G870="","",IF(Sync!$W866="","",Sync!$W866))</f>
        <v/>
      </c>
      <c r="I870" t="str">
        <f>IF(OR($G870="",Sync!$Y866=""),"",Sync!$Y866)</f>
        <v/>
      </c>
      <c r="J870" t="str">
        <f>IF(OR($G870="",Sync!$Z866=""),"",Sync!$Z866)</f>
        <v/>
      </c>
      <c r="K870">
        <f>IF($G870="",0,IF(Sync!$AA866="",0,Sync!$AA866))</f>
        <v>0</v>
      </c>
      <c r="L870">
        <f>IF($G870="",0,IF(Sync!$AB866="",0,Sync!$AB866))</f>
        <v>0</v>
      </c>
      <c r="M870" t="str">
        <f t="shared" si="83"/>
        <v/>
      </c>
      <c r="N870">
        <f>IF($G870="",0,IF($H870="مرجوعی فروش",-1,1)*IF(Sync!$AC866="",0,Sync!$AC866))</f>
        <v>0</v>
      </c>
      <c r="O870" t="str">
        <f>IF(OR($G870="",Sync!$V866=""),"",Sync!$V866)</f>
        <v/>
      </c>
      <c r="P870" t="str">
        <f>IF(OR($G870="",Sync!$AD866=""),"",Sync!$AD866)</f>
        <v/>
      </c>
      <c r="Q870" t="str">
        <f>IF($G870="","",IF(Sync!$U866="","0000",IF(AND(ISNUMBER(Sync!$U866),Sync!$U866&gt;=0,Sync!$U866&lt;1),RIGHT("00"&amp;HOUR(Sync!$U866),2)&amp;RIGHT("00"&amp;MINUTE(Sync!$U866),2),IFERROR(RIGHT("00"&amp;VALUE(LEFT(Sync!$U866,FIND(":",Sync!$U866)-1)),2)&amp;RIGHT("00"&amp;VALUE(MID(Sync!$U866,FIND(":",Sync!$U866)+1,2)),2),"0000"))))</f>
        <v/>
      </c>
    </row>
    <row r="871" spans="1:17" x14ac:dyDescent="0.2">
      <c r="A871" t="str">
        <f>IF(Sync!$T867="","",Sync!$T867)</f>
        <v/>
      </c>
      <c r="B871" t="str">
        <f t="shared" si="78"/>
        <v/>
      </c>
      <c r="C871" t="str">
        <f t="shared" si="79"/>
        <v/>
      </c>
      <c r="D871" t="str">
        <f t="shared" si="80"/>
        <v/>
      </c>
      <c r="E871" t="str">
        <f t="shared" si="81"/>
        <v/>
      </c>
      <c r="F871" t="str">
        <f t="shared" si="82"/>
        <v/>
      </c>
      <c r="G871" t="str">
        <f>IF(OR($E871="",$E871="نامعتبر",Sync!$X867=""),"",IF(AND(LEFT(UPPER(TRIM(Sync!$X867)),2)="SL",IFERROR(VLOOKUP(Sync!$W867,OpTbl,3,0),"")="فروش"),UPPER(TRIM(Sync!$X867)),""))</f>
        <v/>
      </c>
      <c r="H871" t="str">
        <f>IF($G871="","",IF(Sync!$W867="","",Sync!$W867))</f>
        <v/>
      </c>
      <c r="I871" t="str">
        <f>IF(OR($G871="",Sync!$Y867=""),"",Sync!$Y867)</f>
        <v/>
      </c>
      <c r="J871" t="str">
        <f>IF(OR($G871="",Sync!$Z867=""),"",Sync!$Z867)</f>
        <v/>
      </c>
      <c r="K871">
        <f>IF($G871="",0,IF(Sync!$AA867="",0,Sync!$AA867))</f>
        <v>0</v>
      </c>
      <c r="L871">
        <f>IF($G871="",0,IF(Sync!$AB867="",0,Sync!$AB867))</f>
        <v>0</v>
      </c>
      <c r="M871" t="str">
        <f t="shared" si="83"/>
        <v/>
      </c>
      <c r="N871">
        <f>IF($G871="",0,IF($H871="مرجوعی فروش",-1,1)*IF(Sync!$AC867="",0,Sync!$AC867))</f>
        <v>0</v>
      </c>
      <c r="O871" t="str">
        <f>IF(OR($G871="",Sync!$V867=""),"",Sync!$V867)</f>
        <v/>
      </c>
      <c r="P871" t="str">
        <f>IF(OR($G871="",Sync!$AD867=""),"",Sync!$AD867)</f>
        <v/>
      </c>
      <c r="Q871" t="str">
        <f>IF($G871="","",IF(Sync!$U867="","0000",IF(AND(ISNUMBER(Sync!$U867),Sync!$U867&gt;=0,Sync!$U867&lt;1),RIGHT("00"&amp;HOUR(Sync!$U867),2)&amp;RIGHT("00"&amp;MINUTE(Sync!$U867),2),IFERROR(RIGHT("00"&amp;VALUE(LEFT(Sync!$U867,FIND(":",Sync!$U867)-1)),2)&amp;RIGHT("00"&amp;VALUE(MID(Sync!$U867,FIND(":",Sync!$U867)+1,2)),2),"0000"))))</f>
        <v/>
      </c>
    </row>
    <row r="872" spans="1:17" x14ac:dyDescent="0.2">
      <c r="A872" t="str">
        <f>IF(Sync!$T868="","",Sync!$T868)</f>
        <v/>
      </c>
      <c r="B872" t="str">
        <f t="shared" si="78"/>
        <v/>
      </c>
      <c r="C872" t="str">
        <f t="shared" si="79"/>
        <v/>
      </c>
      <c r="D872" t="str">
        <f t="shared" si="80"/>
        <v/>
      </c>
      <c r="E872" t="str">
        <f t="shared" si="81"/>
        <v/>
      </c>
      <c r="F872" t="str">
        <f t="shared" si="82"/>
        <v/>
      </c>
      <c r="G872" t="str">
        <f>IF(OR($E872="",$E872="نامعتبر",Sync!$X868=""),"",IF(AND(LEFT(UPPER(TRIM(Sync!$X868)),2)="SL",IFERROR(VLOOKUP(Sync!$W868,OpTbl,3,0),"")="فروش"),UPPER(TRIM(Sync!$X868)),""))</f>
        <v/>
      </c>
      <c r="H872" t="str">
        <f>IF($G872="","",IF(Sync!$W868="","",Sync!$W868))</f>
        <v/>
      </c>
      <c r="I872" t="str">
        <f>IF(OR($G872="",Sync!$Y868=""),"",Sync!$Y868)</f>
        <v/>
      </c>
      <c r="J872" t="str">
        <f>IF(OR($G872="",Sync!$Z868=""),"",Sync!$Z868)</f>
        <v/>
      </c>
      <c r="K872">
        <f>IF($G872="",0,IF(Sync!$AA868="",0,Sync!$AA868))</f>
        <v>0</v>
      </c>
      <c r="L872">
        <f>IF($G872="",0,IF(Sync!$AB868="",0,Sync!$AB868))</f>
        <v>0</v>
      </c>
      <c r="M872" t="str">
        <f t="shared" si="83"/>
        <v/>
      </c>
      <c r="N872">
        <f>IF($G872="",0,IF($H872="مرجوعی فروش",-1,1)*IF(Sync!$AC868="",0,Sync!$AC868))</f>
        <v>0</v>
      </c>
      <c r="O872" t="str">
        <f>IF(OR($G872="",Sync!$V868=""),"",Sync!$V868)</f>
        <v/>
      </c>
      <c r="P872" t="str">
        <f>IF(OR($G872="",Sync!$AD868=""),"",Sync!$AD868)</f>
        <v/>
      </c>
      <c r="Q872" t="str">
        <f>IF($G872="","",IF(Sync!$U868="","0000",IF(AND(ISNUMBER(Sync!$U868),Sync!$U868&gt;=0,Sync!$U868&lt;1),RIGHT("00"&amp;HOUR(Sync!$U868),2)&amp;RIGHT("00"&amp;MINUTE(Sync!$U868),2),IFERROR(RIGHT("00"&amp;VALUE(LEFT(Sync!$U868,FIND(":",Sync!$U868)-1)),2)&amp;RIGHT("00"&amp;VALUE(MID(Sync!$U868,FIND(":",Sync!$U868)+1,2)),2),"0000"))))</f>
        <v/>
      </c>
    </row>
    <row r="873" spans="1:17" x14ac:dyDescent="0.2">
      <c r="A873" t="str">
        <f>IF(Sync!$T869="","",Sync!$T869)</f>
        <v/>
      </c>
      <c r="B873" t="str">
        <f t="shared" si="78"/>
        <v/>
      </c>
      <c r="C873" t="str">
        <f t="shared" si="79"/>
        <v/>
      </c>
      <c r="D873" t="str">
        <f t="shared" si="80"/>
        <v/>
      </c>
      <c r="E873" t="str">
        <f t="shared" si="81"/>
        <v/>
      </c>
      <c r="F873" t="str">
        <f t="shared" si="82"/>
        <v/>
      </c>
      <c r="G873" t="str">
        <f>IF(OR($E873="",$E873="نامعتبر",Sync!$X869=""),"",IF(AND(LEFT(UPPER(TRIM(Sync!$X869)),2)="SL",IFERROR(VLOOKUP(Sync!$W869,OpTbl,3,0),"")="فروش"),UPPER(TRIM(Sync!$X869)),""))</f>
        <v/>
      </c>
      <c r="H873" t="str">
        <f>IF($G873="","",IF(Sync!$W869="","",Sync!$W869))</f>
        <v/>
      </c>
      <c r="I873" t="str">
        <f>IF(OR($G873="",Sync!$Y869=""),"",Sync!$Y869)</f>
        <v/>
      </c>
      <c r="J873" t="str">
        <f>IF(OR($G873="",Sync!$Z869=""),"",Sync!$Z869)</f>
        <v/>
      </c>
      <c r="K873">
        <f>IF($G873="",0,IF(Sync!$AA869="",0,Sync!$AA869))</f>
        <v>0</v>
      </c>
      <c r="L873">
        <f>IF($G873="",0,IF(Sync!$AB869="",0,Sync!$AB869))</f>
        <v>0</v>
      </c>
      <c r="M873" t="str">
        <f t="shared" si="83"/>
        <v/>
      </c>
      <c r="N873">
        <f>IF($G873="",0,IF($H873="مرجوعی فروش",-1,1)*IF(Sync!$AC869="",0,Sync!$AC869))</f>
        <v>0</v>
      </c>
      <c r="O873" t="str">
        <f>IF(OR($G873="",Sync!$V869=""),"",Sync!$V869)</f>
        <v/>
      </c>
      <c r="P873" t="str">
        <f>IF(OR($G873="",Sync!$AD869=""),"",Sync!$AD869)</f>
        <v/>
      </c>
      <c r="Q873" t="str">
        <f>IF($G873="","",IF(Sync!$U869="","0000",IF(AND(ISNUMBER(Sync!$U869),Sync!$U869&gt;=0,Sync!$U869&lt;1),RIGHT("00"&amp;HOUR(Sync!$U869),2)&amp;RIGHT("00"&amp;MINUTE(Sync!$U869),2),IFERROR(RIGHT("00"&amp;VALUE(LEFT(Sync!$U869,FIND(":",Sync!$U869)-1)),2)&amp;RIGHT("00"&amp;VALUE(MID(Sync!$U869,FIND(":",Sync!$U869)+1,2)),2),"0000"))))</f>
        <v/>
      </c>
    </row>
    <row r="874" spans="1:17" x14ac:dyDescent="0.2">
      <c r="A874" t="str">
        <f>IF(Sync!$T870="","",Sync!$T870)</f>
        <v/>
      </c>
      <c r="B874" t="str">
        <f t="shared" si="78"/>
        <v/>
      </c>
      <c r="C874" t="str">
        <f t="shared" si="79"/>
        <v/>
      </c>
      <c r="D874" t="str">
        <f t="shared" si="80"/>
        <v/>
      </c>
      <c r="E874" t="str">
        <f t="shared" si="81"/>
        <v/>
      </c>
      <c r="F874" t="str">
        <f t="shared" si="82"/>
        <v/>
      </c>
      <c r="G874" t="str">
        <f>IF(OR($E874="",$E874="نامعتبر",Sync!$X870=""),"",IF(AND(LEFT(UPPER(TRIM(Sync!$X870)),2)="SL",IFERROR(VLOOKUP(Sync!$W870,OpTbl,3,0),"")="فروش"),UPPER(TRIM(Sync!$X870)),""))</f>
        <v/>
      </c>
      <c r="H874" t="str">
        <f>IF($G874="","",IF(Sync!$W870="","",Sync!$W870))</f>
        <v/>
      </c>
      <c r="I874" t="str">
        <f>IF(OR($G874="",Sync!$Y870=""),"",Sync!$Y870)</f>
        <v/>
      </c>
      <c r="J874" t="str">
        <f>IF(OR($G874="",Sync!$Z870=""),"",Sync!$Z870)</f>
        <v/>
      </c>
      <c r="K874">
        <f>IF($G874="",0,IF(Sync!$AA870="",0,Sync!$AA870))</f>
        <v>0</v>
      </c>
      <c r="L874">
        <f>IF($G874="",0,IF(Sync!$AB870="",0,Sync!$AB870))</f>
        <v>0</v>
      </c>
      <c r="M874" t="str">
        <f t="shared" si="83"/>
        <v/>
      </c>
      <c r="N874">
        <f>IF($G874="",0,IF($H874="مرجوعی فروش",-1,1)*IF(Sync!$AC870="",0,Sync!$AC870))</f>
        <v>0</v>
      </c>
      <c r="O874" t="str">
        <f>IF(OR($G874="",Sync!$V870=""),"",Sync!$V870)</f>
        <v/>
      </c>
      <c r="P874" t="str">
        <f>IF(OR($G874="",Sync!$AD870=""),"",Sync!$AD870)</f>
        <v/>
      </c>
      <c r="Q874" t="str">
        <f>IF($G874="","",IF(Sync!$U870="","0000",IF(AND(ISNUMBER(Sync!$U870),Sync!$U870&gt;=0,Sync!$U870&lt;1),RIGHT("00"&amp;HOUR(Sync!$U870),2)&amp;RIGHT("00"&amp;MINUTE(Sync!$U870),2),IFERROR(RIGHT("00"&amp;VALUE(LEFT(Sync!$U870,FIND(":",Sync!$U870)-1)),2)&amp;RIGHT("00"&amp;VALUE(MID(Sync!$U870,FIND(":",Sync!$U870)+1,2)),2),"0000"))))</f>
        <v/>
      </c>
    </row>
    <row r="875" spans="1:17" x14ac:dyDescent="0.2">
      <c r="A875" t="str">
        <f>IF(Sync!$T871="","",Sync!$T871)</f>
        <v/>
      </c>
      <c r="B875" t="str">
        <f t="shared" si="78"/>
        <v/>
      </c>
      <c r="C875" t="str">
        <f t="shared" si="79"/>
        <v/>
      </c>
      <c r="D875" t="str">
        <f t="shared" si="80"/>
        <v/>
      </c>
      <c r="E875" t="str">
        <f t="shared" si="81"/>
        <v/>
      </c>
      <c r="F875" t="str">
        <f t="shared" si="82"/>
        <v/>
      </c>
      <c r="G875" t="str">
        <f>IF(OR($E875="",$E875="نامعتبر",Sync!$X871=""),"",IF(AND(LEFT(UPPER(TRIM(Sync!$X871)),2)="SL",IFERROR(VLOOKUP(Sync!$W871,OpTbl,3,0),"")="فروش"),UPPER(TRIM(Sync!$X871)),""))</f>
        <v/>
      </c>
      <c r="H875" t="str">
        <f>IF($G875="","",IF(Sync!$W871="","",Sync!$W871))</f>
        <v/>
      </c>
      <c r="I875" t="str">
        <f>IF(OR($G875="",Sync!$Y871=""),"",Sync!$Y871)</f>
        <v/>
      </c>
      <c r="J875" t="str">
        <f>IF(OR($G875="",Sync!$Z871=""),"",Sync!$Z871)</f>
        <v/>
      </c>
      <c r="K875">
        <f>IF($G875="",0,IF(Sync!$AA871="",0,Sync!$AA871))</f>
        <v>0</v>
      </c>
      <c r="L875">
        <f>IF($G875="",0,IF(Sync!$AB871="",0,Sync!$AB871))</f>
        <v>0</v>
      </c>
      <c r="M875" t="str">
        <f t="shared" si="83"/>
        <v/>
      </c>
      <c r="N875">
        <f>IF($G875="",0,IF($H875="مرجوعی فروش",-1,1)*IF(Sync!$AC871="",0,Sync!$AC871))</f>
        <v>0</v>
      </c>
      <c r="O875" t="str">
        <f>IF(OR($G875="",Sync!$V871=""),"",Sync!$V871)</f>
        <v/>
      </c>
      <c r="P875" t="str">
        <f>IF(OR($G875="",Sync!$AD871=""),"",Sync!$AD871)</f>
        <v/>
      </c>
      <c r="Q875" t="str">
        <f>IF($G875="","",IF(Sync!$U871="","0000",IF(AND(ISNUMBER(Sync!$U871),Sync!$U871&gt;=0,Sync!$U871&lt;1),RIGHT("00"&amp;HOUR(Sync!$U871),2)&amp;RIGHT("00"&amp;MINUTE(Sync!$U871),2),IFERROR(RIGHT("00"&amp;VALUE(LEFT(Sync!$U871,FIND(":",Sync!$U871)-1)),2)&amp;RIGHT("00"&amp;VALUE(MID(Sync!$U871,FIND(":",Sync!$U871)+1,2)),2),"0000"))))</f>
        <v/>
      </c>
    </row>
    <row r="876" spans="1:17" x14ac:dyDescent="0.2">
      <c r="A876" t="str">
        <f>IF(Sync!$T872="","",Sync!$T872)</f>
        <v/>
      </c>
      <c r="B876" t="str">
        <f t="shared" si="78"/>
        <v/>
      </c>
      <c r="C876" t="str">
        <f t="shared" si="79"/>
        <v/>
      </c>
      <c r="D876" t="str">
        <f t="shared" si="80"/>
        <v/>
      </c>
      <c r="E876" t="str">
        <f t="shared" si="81"/>
        <v/>
      </c>
      <c r="F876" t="str">
        <f t="shared" si="82"/>
        <v/>
      </c>
      <c r="G876" t="str">
        <f>IF(OR($E876="",$E876="نامعتبر",Sync!$X872=""),"",IF(AND(LEFT(UPPER(TRIM(Sync!$X872)),2)="SL",IFERROR(VLOOKUP(Sync!$W872,OpTbl,3,0),"")="فروش"),UPPER(TRIM(Sync!$X872)),""))</f>
        <v/>
      </c>
      <c r="H876" t="str">
        <f>IF($G876="","",IF(Sync!$W872="","",Sync!$W872))</f>
        <v/>
      </c>
      <c r="I876" t="str">
        <f>IF(OR($G876="",Sync!$Y872=""),"",Sync!$Y872)</f>
        <v/>
      </c>
      <c r="J876" t="str">
        <f>IF(OR($G876="",Sync!$Z872=""),"",Sync!$Z872)</f>
        <v/>
      </c>
      <c r="K876">
        <f>IF($G876="",0,IF(Sync!$AA872="",0,Sync!$AA872))</f>
        <v>0</v>
      </c>
      <c r="L876">
        <f>IF($G876="",0,IF(Sync!$AB872="",0,Sync!$AB872))</f>
        <v>0</v>
      </c>
      <c r="M876" t="str">
        <f t="shared" si="83"/>
        <v/>
      </c>
      <c r="N876">
        <f>IF($G876="",0,IF($H876="مرجوعی فروش",-1,1)*IF(Sync!$AC872="",0,Sync!$AC872))</f>
        <v>0</v>
      </c>
      <c r="O876" t="str">
        <f>IF(OR($G876="",Sync!$V872=""),"",Sync!$V872)</f>
        <v/>
      </c>
      <c r="P876" t="str">
        <f>IF(OR($G876="",Sync!$AD872=""),"",Sync!$AD872)</f>
        <v/>
      </c>
      <c r="Q876" t="str">
        <f>IF($G876="","",IF(Sync!$U872="","0000",IF(AND(ISNUMBER(Sync!$U872),Sync!$U872&gt;=0,Sync!$U872&lt;1),RIGHT("00"&amp;HOUR(Sync!$U872),2)&amp;RIGHT("00"&amp;MINUTE(Sync!$U872),2),IFERROR(RIGHT("00"&amp;VALUE(LEFT(Sync!$U872,FIND(":",Sync!$U872)-1)),2)&amp;RIGHT("00"&amp;VALUE(MID(Sync!$U872,FIND(":",Sync!$U872)+1,2)),2),"0000"))))</f>
        <v/>
      </c>
    </row>
    <row r="877" spans="1:17" x14ac:dyDescent="0.2">
      <c r="A877" t="str">
        <f>IF(Sync!$T873="","",Sync!$T873)</f>
        <v/>
      </c>
      <c r="B877" t="str">
        <f t="shared" si="78"/>
        <v/>
      </c>
      <c r="C877" t="str">
        <f t="shared" si="79"/>
        <v/>
      </c>
      <c r="D877" t="str">
        <f t="shared" si="80"/>
        <v/>
      </c>
      <c r="E877" t="str">
        <f t="shared" si="81"/>
        <v/>
      </c>
      <c r="F877" t="str">
        <f t="shared" si="82"/>
        <v/>
      </c>
      <c r="G877" t="str">
        <f>IF(OR($E877="",$E877="نامعتبر",Sync!$X873=""),"",IF(AND(LEFT(UPPER(TRIM(Sync!$X873)),2)="SL",IFERROR(VLOOKUP(Sync!$W873,OpTbl,3,0),"")="فروش"),UPPER(TRIM(Sync!$X873)),""))</f>
        <v/>
      </c>
      <c r="H877" t="str">
        <f>IF($G877="","",IF(Sync!$W873="","",Sync!$W873))</f>
        <v/>
      </c>
      <c r="I877" t="str">
        <f>IF(OR($G877="",Sync!$Y873=""),"",Sync!$Y873)</f>
        <v/>
      </c>
      <c r="J877" t="str">
        <f>IF(OR($G877="",Sync!$Z873=""),"",Sync!$Z873)</f>
        <v/>
      </c>
      <c r="K877">
        <f>IF($G877="",0,IF(Sync!$AA873="",0,Sync!$AA873))</f>
        <v>0</v>
      </c>
      <c r="L877">
        <f>IF($G877="",0,IF(Sync!$AB873="",0,Sync!$AB873))</f>
        <v>0</v>
      </c>
      <c r="M877" t="str">
        <f t="shared" si="83"/>
        <v/>
      </c>
      <c r="N877">
        <f>IF($G877="",0,IF($H877="مرجوعی فروش",-1,1)*IF(Sync!$AC873="",0,Sync!$AC873))</f>
        <v>0</v>
      </c>
      <c r="O877" t="str">
        <f>IF(OR($G877="",Sync!$V873=""),"",Sync!$V873)</f>
        <v/>
      </c>
      <c r="P877" t="str">
        <f>IF(OR($G877="",Sync!$AD873=""),"",Sync!$AD873)</f>
        <v/>
      </c>
      <c r="Q877" t="str">
        <f>IF($G877="","",IF(Sync!$U873="","0000",IF(AND(ISNUMBER(Sync!$U873),Sync!$U873&gt;=0,Sync!$U873&lt;1),RIGHT("00"&amp;HOUR(Sync!$U873),2)&amp;RIGHT("00"&amp;MINUTE(Sync!$U873),2),IFERROR(RIGHT("00"&amp;VALUE(LEFT(Sync!$U873,FIND(":",Sync!$U873)-1)),2)&amp;RIGHT("00"&amp;VALUE(MID(Sync!$U873,FIND(":",Sync!$U873)+1,2)),2),"0000"))))</f>
        <v/>
      </c>
    </row>
    <row r="878" spans="1:17" x14ac:dyDescent="0.2">
      <c r="A878" t="str">
        <f>IF(Sync!$T874="","",Sync!$T874)</f>
        <v/>
      </c>
      <c r="B878" t="str">
        <f t="shared" si="78"/>
        <v/>
      </c>
      <c r="C878" t="str">
        <f t="shared" si="79"/>
        <v/>
      </c>
      <c r="D878" t="str">
        <f t="shared" si="80"/>
        <v/>
      </c>
      <c r="E878" t="str">
        <f t="shared" si="81"/>
        <v/>
      </c>
      <c r="F878" t="str">
        <f t="shared" si="82"/>
        <v/>
      </c>
      <c r="G878" t="str">
        <f>IF(OR($E878="",$E878="نامعتبر",Sync!$X874=""),"",IF(AND(LEFT(UPPER(TRIM(Sync!$X874)),2)="SL",IFERROR(VLOOKUP(Sync!$W874,OpTbl,3,0),"")="فروش"),UPPER(TRIM(Sync!$X874)),""))</f>
        <v/>
      </c>
      <c r="H878" t="str">
        <f>IF($G878="","",IF(Sync!$W874="","",Sync!$W874))</f>
        <v/>
      </c>
      <c r="I878" t="str">
        <f>IF(OR($G878="",Sync!$Y874=""),"",Sync!$Y874)</f>
        <v/>
      </c>
      <c r="J878" t="str">
        <f>IF(OR($G878="",Sync!$Z874=""),"",Sync!$Z874)</f>
        <v/>
      </c>
      <c r="K878">
        <f>IF($G878="",0,IF(Sync!$AA874="",0,Sync!$AA874))</f>
        <v>0</v>
      </c>
      <c r="L878">
        <f>IF($G878="",0,IF(Sync!$AB874="",0,Sync!$AB874))</f>
        <v>0</v>
      </c>
      <c r="M878" t="str">
        <f t="shared" si="83"/>
        <v/>
      </c>
      <c r="N878">
        <f>IF($G878="",0,IF($H878="مرجوعی فروش",-1,1)*IF(Sync!$AC874="",0,Sync!$AC874))</f>
        <v>0</v>
      </c>
      <c r="O878" t="str">
        <f>IF(OR($G878="",Sync!$V874=""),"",Sync!$V874)</f>
        <v/>
      </c>
      <c r="P878" t="str">
        <f>IF(OR($G878="",Sync!$AD874=""),"",Sync!$AD874)</f>
        <v/>
      </c>
      <c r="Q878" t="str">
        <f>IF($G878="","",IF(Sync!$U874="","0000",IF(AND(ISNUMBER(Sync!$U874),Sync!$U874&gt;=0,Sync!$U874&lt;1),RIGHT("00"&amp;HOUR(Sync!$U874),2)&amp;RIGHT("00"&amp;MINUTE(Sync!$U874),2),IFERROR(RIGHT("00"&amp;VALUE(LEFT(Sync!$U874,FIND(":",Sync!$U874)-1)),2)&amp;RIGHT("00"&amp;VALUE(MID(Sync!$U874,FIND(":",Sync!$U874)+1,2)),2),"0000"))))</f>
        <v/>
      </c>
    </row>
    <row r="879" spans="1:17" x14ac:dyDescent="0.2">
      <c r="A879" t="str">
        <f>IF(Sync!$T875="","",Sync!$T875)</f>
        <v/>
      </c>
      <c r="B879" t="str">
        <f t="shared" si="78"/>
        <v/>
      </c>
      <c r="C879" t="str">
        <f t="shared" si="79"/>
        <v/>
      </c>
      <c r="D879" t="str">
        <f t="shared" si="80"/>
        <v/>
      </c>
      <c r="E879" t="str">
        <f t="shared" si="81"/>
        <v/>
      </c>
      <c r="F879" t="str">
        <f t="shared" si="82"/>
        <v/>
      </c>
      <c r="G879" t="str">
        <f>IF(OR($E879="",$E879="نامعتبر",Sync!$X875=""),"",IF(AND(LEFT(UPPER(TRIM(Sync!$X875)),2)="SL",IFERROR(VLOOKUP(Sync!$W875,OpTbl,3,0),"")="فروش"),UPPER(TRIM(Sync!$X875)),""))</f>
        <v/>
      </c>
      <c r="H879" t="str">
        <f>IF($G879="","",IF(Sync!$W875="","",Sync!$W875))</f>
        <v/>
      </c>
      <c r="I879" t="str">
        <f>IF(OR($G879="",Sync!$Y875=""),"",Sync!$Y875)</f>
        <v/>
      </c>
      <c r="J879" t="str">
        <f>IF(OR($G879="",Sync!$Z875=""),"",Sync!$Z875)</f>
        <v/>
      </c>
      <c r="K879">
        <f>IF($G879="",0,IF(Sync!$AA875="",0,Sync!$AA875))</f>
        <v>0</v>
      </c>
      <c r="L879">
        <f>IF($G879="",0,IF(Sync!$AB875="",0,Sync!$AB875))</f>
        <v>0</v>
      </c>
      <c r="M879" t="str">
        <f t="shared" si="83"/>
        <v/>
      </c>
      <c r="N879">
        <f>IF($G879="",0,IF($H879="مرجوعی فروش",-1,1)*IF(Sync!$AC875="",0,Sync!$AC875))</f>
        <v>0</v>
      </c>
      <c r="O879" t="str">
        <f>IF(OR($G879="",Sync!$V875=""),"",Sync!$V875)</f>
        <v/>
      </c>
      <c r="P879" t="str">
        <f>IF(OR($G879="",Sync!$AD875=""),"",Sync!$AD875)</f>
        <v/>
      </c>
      <c r="Q879" t="str">
        <f>IF($G879="","",IF(Sync!$U875="","0000",IF(AND(ISNUMBER(Sync!$U875),Sync!$U875&gt;=0,Sync!$U875&lt;1),RIGHT("00"&amp;HOUR(Sync!$U875),2)&amp;RIGHT("00"&amp;MINUTE(Sync!$U875),2),IFERROR(RIGHT("00"&amp;VALUE(LEFT(Sync!$U875,FIND(":",Sync!$U875)-1)),2)&amp;RIGHT("00"&amp;VALUE(MID(Sync!$U875,FIND(":",Sync!$U875)+1,2)),2),"0000"))))</f>
        <v/>
      </c>
    </row>
    <row r="880" spans="1:17" x14ac:dyDescent="0.2">
      <c r="A880" t="str">
        <f>IF(Sync!$T876="","",Sync!$T876)</f>
        <v/>
      </c>
      <c r="B880" t="str">
        <f t="shared" si="78"/>
        <v/>
      </c>
      <c r="C880" t="str">
        <f t="shared" si="79"/>
        <v/>
      </c>
      <c r="D880" t="str">
        <f t="shared" si="80"/>
        <v/>
      </c>
      <c r="E880" t="str">
        <f t="shared" si="81"/>
        <v/>
      </c>
      <c r="F880" t="str">
        <f t="shared" si="82"/>
        <v/>
      </c>
      <c r="G880" t="str">
        <f>IF(OR($E880="",$E880="نامعتبر",Sync!$X876=""),"",IF(AND(LEFT(UPPER(TRIM(Sync!$X876)),2)="SL",IFERROR(VLOOKUP(Sync!$W876,OpTbl,3,0),"")="فروش"),UPPER(TRIM(Sync!$X876)),""))</f>
        <v/>
      </c>
      <c r="H880" t="str">
        <f>IF($G880="","",IF(Sync!$W876="","",Sync!$W876))</f>
        <v/>
      </c>
      <c r="I880" t="str">
        <f>IF(OR($G880="",Sync!$Y876=""),"",Sync!$Y876)</f>
        <v/>
      </c>
      <c r="J880" t="str">
        <f>IF(OR($G880="",Sync!$Z876=""),"",Sync!$Z876)</f>
        <v/>
      </c>
      <c r="K880">
        <f>IF($G880="",0,IF(Sync!$AA876="",0,Sync!$AA876))</f>
        <v>0</v>
      </c>
      <c r="L880">
        <f>IF($G880="",0,IF(Sync!$AB876="",0,Sync!$AB876))</f>
        <v>0</v>
      </c>
      <c r="M880" t="str">
        <f t="shared" si="83"/>
        <v/>
      </c>
      <c r="N880">
        <f>IF($G880="",0,IF($H880="مرجوعی فروش",-1,1)*IF(Sync!$AC876="",0,Sync!$AC876))</f>
        <v>0</v>
      </c>
      <c r="O880" t="str">
        <f>IF(OR($G880="",Sync!$V876=""),"",Sync!$V876)</f>
        <v/>
      </c>
      <c r="P880" t="str">
        <f>IF(OR($G880="",Sync!$AD876=""),"",Sync!$AD876)</f>
        <v/>
      </c>
      <c r="Q880" t="str">
        <f>IF($G880="","",IF(Sync!$U876="","0000",IF(AND(ISNUMBER(Sync!$U876),Sync!$U876&gt;=0,Sync!$U876&lt;1),RIGHT("00"&amp;HOUR(Sync!$U876),2)&amp;RIGHT("00"&amp;MINUTE(Sync!$U876),2),IFERROR(RIGHT("00"&amp;VALUE(LEFT(Sync!$U876,FIND(":",Sync!$U876)-1)),2)&amp;RIGHT("00"&amp;VALUE(MID(Sync!$U876,FIND(":",Sync!$U876)+1,2)),2),"0000"))))</f>
        <v/>
      </c>
    </row>
    <row r="881" spans="1:17" x14ac:dyDescent="0.2">
      <c r="A881" t="str">
        <f>IF(Sync!$T877="","",Sync!$T877)</f>
        <v/>
      </c>
      <c r="B881" t="str">
        <f t="shared" si="78"/>
        <v/>
      </c>
      <c r="C881" t="str">
        <f t="shared" si="79"/>
        <v/>
      </c>
      <c r="D881" t="str">
        <f t="shared" si="80"/>
        <v/>
      </c>
      <c r="E881" t="str">
        <f t="shared" si="81"/>
        <v/>
      </c>
      <c r="F881" t="str">
        <f t="shared" si="82"/>
        <v/>
      </c>
      <c r="G881" t="str">
        <f>IF(OR($E881="",$E881="نامعتبر",Sync!$X877=""),"",IF(AND(LEFT(UPPER(TRIM(Sync!$X877)),2)="SL",IFERROR(VLOOKUP(Sync!$W877,OpTbl,3,0),"")="فروش"),UPPER(TRIM(Sync!$X877)),""))</f>
        <v/>
      </c>
      <c r="H881" t="str">
        <f>IF($G881="","",IF(Sync!$W877="","",Sync!$W877))</f>
        <v/>
      </c>
      <c r="I881" t="str">
        <f>IF(OR($G881="",Sync!$Y877=""),"",Sync!$Y877)</f>
        <v/>
      </c>
      <c r="J881" t="str">
        <f>IF(OR($G881="",Sync!$Z877=""),"",Sync!$Z877)</f>
        <v/>
      </c>
      <c r="K881">
        <f>IF($G881="",0,IF(Sync!$AA877="",0,Sync!$AA877))</f>
        <v>0</v>
      </c>
      <c r="L881">
        <f>IF($G881="",0,IF(Sync!$AB877="",0,Sync!$AB877))</f>
        <v>0</v>
      </c>
      <c r="M881" t="str">
        <f t="shared" si="83"/>
        <v/>
      </c>
      <c r="N881">
        <f>IF($G881="",0,IF($H881="مرجوعی فروش",-1,1)*IF(Sync!$AC877="",0,Sync!$AC877))</f>
        <v>0</v>
      </c>
      <c r="O881" t="str">
        <f>IF(OR($G881="",Sync!$V877=""),"",Sync!$V877)</f>
        <v/>
      </c>
      <c r="P881" t="str">
        <f>IF(OR($G881="",Sync!$AD877=""),"",Sync!$AD877)</f>
        <v/>
      </c>
      <c r="Q881" t="str">
        <f>IF($G881="","",IF(Sync!$U877="","0000",IF(AND(ISNUMBER(Sync!$U877),Sync!$U877&gt;=0,Sync!$U877&lt;1),RIGHT("00"&amp;HOUR(Sync!$U877),2)&amp;RIGHT("00"&amp;MINUTE(Sync!$U877),2),IFERROR(RIGHT("00"&amp;VALUE(LEFT(Sync!$U877,FIND(":",Sync!$U877)-1)),2)&amp;RIGHT("00"&amp;VALUE(MID(Sync!$U877,FIND(":",Sync!$U877)+1,2)),2),"0000"))))</f>
        <v/>
      </c>
    </row>
    <row r="882" spans="1:17" x14ac:dyDescent="0.2">
      <c r="A882" t="str">
        <f>IF(Sync!$T878="","",Sync!$T878)</f>
        <v/>
      </c>
      <c r="B882" t="str">
        <f t="shared" si="78"/>
        <v/>
      </c>
      <c r="C882" t="str">
        <f t="shared" si="79"/>
        <v/>
      </c>
      <c r="D882" t="str">
        <f t="shared" si="80"/>
        <v/>
      </c>
      <c r="E882" t="str">
        <f t="shared" si="81"/>
        <v/>
      </c>
      <c r="F882" t="str">
        <f t="shared" si="82"/>
        <v/>
      </c>
      <c r="G882" t="str">
        <f>IF(OR($E882="",$E882="نامعتبر",Sync!$X878=""),"",IF(AND(LEFT(UPPER(TRIM(Sync!$X878)),2)="SL",IFERROR(VLOOKUP(Sync!$W878,OpTbl,3,0),"")="فروش"),UPPER(TRIM(Sync!$X878)),""))</f>
        <v/>
      </c>
      <c r="H882" t="str">
        <f>IF($G882="","",IF(Sync!$W878="","",Sync!$W878))</f>
        <v/>
      </c>
      <c r="I882" t="str">
        <f>IF(OR($G882="",Sync!$Y878=""),"",Sync!$Y878)</f>
        <v/>
      </c>
      <c r="J882" t="str">
        <f>IF(OR($G882="",Sync!$Z878=""),"",Sync!$Z878)</f>
        <v/>
      </c>
      <c r="K882">
        <f>IF($G882="",0,IF(Sync!$AA878="",0,Sync!$AA878))</f>
        <v>0</v>
      </c>
      <c r="L882">
        <f>IF($G882="",0,IF(Sync!$AB878="",0,Sync!$AB878))</f>
        <v>0</v>
      </c>
      <c r="M882" t="str">
        <f t="shared" si="83"/>
        <v/>
      </c>
      <c r="N882">
        <f>IF($G882="",0,IF($H882="مرجوعی فروش",-1,1)*IF(Sync!$AC878="",0,Sync!$AC878))</f>
        <v>0</v>
      </c>
      <c r="O882" t="str">
        <f>IF(OR($G882="",Sync!$V878=""),"",Sync!$V878)</f>
        <v/>
      </c>
      <c r="P882" t="str">
        <f>IF(OR($G882="",Sync!$AD878=""),"",Sync!$AD878)</f>
        <v/>
      </c>
      <c r="Q882" t="str">
        <f>IF($G882="","",IF(Sync!$U878="","0000",IF(AND(ISNUMBER(Sync!$U878),Sync!$U878&gt;=0,Sync!$U878&lt;1),RIGHT("00"&amp;HOUR(Sync!$U878),2)&amp;RIGHT("00"&amp;MINUTE(Sync!$U878),2),IFERROR(RIGHT("00"&amp;VALUE(LEFT(Sync!$U878,FIND(":",Sync!$U878)-1)),2)&amp;RIGHT("00"&amp;VALUE(MID(Sync!$U878,FIND(":",Sync!$U878)+1,2)),2),"0000"))))</f>
        <v/>
      </c>
    </row>
    <row r="883" spans="1:17" x14ac:dyDescent="0.2">
      <c r="A883" t="str">
        <f>IF(Sync!$T879="","",Sync!$T879)</f>
        <v/>
      </c>
      <c r="B883" t="str">
        <f t="shared" si="78"/>
        <v/>
      </c>
      <c r="C883" t="str">
        <f t="shared" si="79"/>
        <v/>
      </c>
      <c r="D883" t="str">
        <f t="shared" si="80"/>
        <v/>
      </c>
      <c r="E883" t="str">
        <f t="shared" si="81"/>
        <v/>
      </c>
      <c r="F883" t="str">
        <f t="shared" si="82"/>
        <v/>
      </c>
      <c r="G883" t="str">
        <f>IF(OR($E883="",$E883="نامعتبر",Sync!$X879=""),"",IF(AND(LEFT(UPPER(TRIM(Sync!$X879)),2)="SL",IFERROR(VLOOKUP(Sync!$W879,OpTbl,3,0),"")="فروش"),UPPER(TRIM(Sync!$X879)),""))</f>
        <v/>
      </c>
      <c r="H883" t="str">
        <f>IF($G883="","",IF(Sync!$W879="","",Sync!$W879))</f>
        <v/>
      </c>
      <c r="I883" t="str">
        <f>IF(OR($G883="",Sync!$Y879=""),"",Sync!$Y879)</f>
        <v/>
      </c>
      <c r="J883" t="str">
        <f>IF(OR($G883="",Sync!$Z879=""),"",Sync!$Z879)</f>
        <v/>
      </c>
      <c r="K883">
        <f>IF($G883="",0,IF(Sync!$AA879="",0,Sync!$AA879))</f>
        <v>0</v>
      </c>
      <c r="L883">
        <f>IF($G883="",0,IF(Sync!$AB879="",0,Sync!$AB879))</f>
        <v>0</v>
      </c>
      <c r="M883" t="str">
        <f t="shared" si="83"/>
        <v/>
      </c>
      <c r="N883">
        <f>IF($G883="",0,IF($H883="مرجوعی فروش",-1,1)*IF(Sync!$AC879="",0,Sync!$AC879))</f>
        <v>0</v>
      </c>
      <c r="O883" t="str">
        <f>IF(OR($G883="",Sync!$V879=""),"",Sync!$V879)</f>
        <v/>
      </c>
      <c r="P883" t="str">
        <f>IF(OR($G883="",Sync!$AD879=""),"",Sync!$AD879)</f>
        <v/>
      </c>
      <c r="Q883" t="str">
        <f>IF($G883="","",IF(Sync!$U879="","0000",IF(AND(ISNUMBER(Sync!$U879),Sync!$U879&gt;=0,Sync!$U879&lt;1),RIGHT("00"&amp;HOUR(Sync!$U879),2)&amp;RIGHT("00"&amp;MINUTE(Sync!$U879),2),IFERROR(RIGHT("00"&amp;VALUE(LEFT(Sync!$U879,FIND(":",Sync!$U879)-1)),2)&amp;RIGHT("00"&amp;VALUE(MID(Sync!$U879,FIND(":",Sync!$U879)+1,2)),2),"0000"))))</f>
        <v/>
      </c>
    </row>
    <row r="884" spans="1:17" x14ac:dyDescent="0.2">
      <c r="A884" t="str">
        <f>IF(Sync!$T880="","",Sync!$T880)</f>
        <v/>
      </c>
      <c r="B884" t="str">
        <f t="shared" si="78"/>
        <v/>
      </c>
      <c r="C884" t="str">
        <f t="shared" si="79"/>
        <v/>
      </c>
      <c r="D884" t="str">
        <f t="shared" si="80"/>
        <v/>
      </c>
      <c r="E884" t="str">
        <f t="shared" si="81"/>
        <v/>
      </c>
      <c r="F884" t="str">
        <f t="shared" si="82"/>
        <v/>
      </c>
      <c r="G884" t="str">
        <f>IF(OR($E884="",$E884="نامعتبر",Sync!$X880=""),"",IF(AND(LEFT(UPPER(TRIM(Sync!$X880)),2)="SL",IFERROR(VLOOKUP(Sync!$W880,OpTbl,3,0),"")="فروش"),UPPER(TRIM(Sync!$X880)),""))</f>
        <v/>
      </c>
      <c r="H884" t="str">
        <f>IF($G884="","",IF(Sync!$W880="","",Sync!$W880))</f>
        <v/>
      </c>
      <c r="I884" t="str">
        <f>IF(OR($G884="",Sync!$Y880=""),"",Sync!$Y880)</f>
        <v/>
      </c>
      <c r="J884" t="str">
        <f>IF(OR($G884="",Sync!$Z880=""),"",Sync!$Z880)</f>
        <v/>
      </c>
      <c r="K884">
        <f>IF($G884="",0,IF(Sync!$AA880="",0,Sync!$AA880))</f>
        <v>0</v>
      </c>
      <c r="L884">
        <f>IF($G884="",0,IF(Sync!$AB880="",0,Sync!$AB880))</f>
        <v>0</v>
      </c>
      <c r="M884" t="str">
        <f t="shared" si="83"/>
        <v/>
      </c>
      <c r="N884">
        <f>IF($G884="",0,IF($H884="مرجوعی فروش",-1,1)*IF(Sync!$AC880="",0,Sync!$AC880))</f>
        <v>0</v>
      </c>
      <c r="O884" t="str">
        <f>IF(OR($G884="",Sync!$V880=""),"",Sync!$V880)</f>
        <v/>
      </c>
      <c r="P884" t="str">
        <f>IF(OR($G884="",Sync!$AD880=""),"",Sync!$AD880)</f>
        <v/>
      </c>
      <c r="Q884" t="str">
        <f>IF($G884="","",IF(Sync!$U880="","0000",IF(AND(ISNUMBER(Sync!$U880),Sync!$U880&gt;=0,Sync!$U880&lt;1),RIGHT("00"&amp;HOUR(Sync!$U880),2)&amp;RIGHT("00"&amp;MINUTE(Sync!$U880),2),IFERROR(RIGHT("00"&amp;VALUE(LEFT(Sync!$U880,FIND(":",Sync!$U880)-1)),2)&amp;RIGHT("00"&amp;VALUE(MID(Sync!$U880,FIND(":",Sync!$U880)+1,2)),2),"0000"))))</f>
        <v/>
      </c>
    </row>
    <row r="885" spans="1:17" x14ac:dyDescent="0.2">
      <c r="A885" t="str">
        <f>IF(Sync!$T881="","",Sync!$T881)</f>
        <v/>
      </c>
      <c r="B885" t="str">
        <f t="shared" si="78"/>
        <v/>
      </c>
      <c r="C885" t="str">
        <f t="shared" si="79"/>
        <v/>
      </c>
      <c r="D885" t="str">
        <f t="shared" si="80"/>
        <v/>
      </c>
      <c r="E885" t="str">
        <f t="shared" si="81"/>
        <v/>
      </c>
      <c r="F885" t="str">
        <f t="shared" si="82"/>
        <v/>
      </c>
      <c r="G885" t="str">
        <f>IF(OR($E885="",$E885="نامعتبر",Sync!$X881=""),"",IF(AND(LEFT(UPPER(TRIM(Sync!$X881)),2)="SL",IFERROR(VLOOKUP(Sync!$W881,OpTbl,3,0),"")="فروش"),UPPER(TRIM(Sync!$X881)),""))</f>
        <v/>
      </c>
      <c r="H885" t="str">
        <f>IF($G885="","",IF(Sync!$W881="","",Sync!$W881))</f>
        <v/>
      </c>
      <c r="I885" t="str">
        <f>IF(OR($G885="",Sync!$Y881=""),"",Sync!$Y881)</f>
        <v/>
      </c>
      <c r="J885" t="str">
        <f>IF(OR($G885="",Sync!$Z881=""),"",Sync!$Z881)</f>
        <v/>
      </c>
      <c r="K885">
        <f>IF($G885="",0,IF(Sync!$AA881="",0,Sync!$AA881))</f>
        <v>0</v>
      </c>
      <c r="L885">
        <f>IF($G885="",0,IF(Sync!$AB881="",0,Sync!$AB881))</f>
        <v>0</v>
      </c>
      <c r="M885" t="str">
        <f t="shared" si="83"/>
        <v/>
      </c>
      <c r="N885">
        <f>IF($G885="",0,IF($H885="مرجوعی فروش",-1,1)*IF(Sync!$AC881="",0,Sync!$AC881))</f>
        <v>0</v>
      </c>
      <c r="O885" t="str">
        <f>IF(OR($G885="",Sync!$V881=""),"",Sync!$V881)</f>
        <v/>
      </c>
      <c r="P885" t="str">
        <f>IF(OR($G885="",Sync!$AD881=""),"",Sync!$AD881)</f>
        <v/>
      </c>
      <c r="Q885" t="str">
        <f>IF($G885="","",IF(Sync!$U881="","0000",IF(AND(ISNUMBER(Sync!$U881),Sync!$U881&gt;=0,Sync!$U881&lt;1),RIGHT("00"&amp;HOUR(Sync!$U881),2)&amp;RIGHT("00"&amp;MINUTE(Sync!$U881),2),IFERROR(RIGHT("00"&amp;VALUE(LEFT(Sync!$U881,FIND(":",Sync!$U881)-1)),2)&amp;RIGHT("00"&amp;VALUE(MID(Sync!$U881,FIND(":",Sync!$U881)+1,2)),2),"0000"))))</f>
        <v/>
      </c>
    </row>
    <row r="886" spans="1:17" x14ac:dyDescent="0.2">
      <c r="A886" t="str">
        <f>IF(Sync!$T882="","",Sync!$T882)</f>
        <v/>
      </c>
      <c r="B886" t="str">
        <f t="shared" si="78"/>
        <v/>
      </c>
      <c r="C886" t="str">
        <f t="shared" si="79"/>
        <v/>
      </c>
      <c r="D886" t="str">
        <f t="shared" si="80"/>
        <v/>
      </c>
      <c r="E886" t="str">
        <f t="shared" si="81"/>
        <v/>
      </c>
      <c r="F886" t="str">
        <f t="shared" si="82"/>
        <v/>
      </c>
      <c r="G886" t="str">
        <f>IF(OR($E886="",$E886="نامعتبر",Sync!$X882=""),"",IF(AND(LEFT(UPPER(TRIM(Sync!$X882)),2)="SL",IFERROR(VLOOKUP(Sync!$W882,OpTbl,3,0),"")="فروش"),UPPER(TRIM(Sync!$X882)),""))</f>
        <v/>
      </c>
      <c r="H886" t="str">
        <f>IF($G886="","",IF(Sync!$W882="","",Sync!$W882))</f>
        <v/>
      </c>
      <c r="I886" t="str">
        <f>IF(OR($G886="",Sync!$Y882=""),"",Sync!$Y882)</f>
        <v/>
      </c>
      <c r="J886" t="str">
        <f>IF(OR($G886="",Sync!$Z882=""),"",Sync!$Z882)</f>
        <v/>
      </c>
      <c r="K886">
        <f>IF($G886="",0,IF(Sync!$AA882="",0,Sync!$AA882))</f>
        <v>0</v>
      </c>
      <c r="L886">
        <f>IF($G886="",0,IF(Sync!$AB882="",0,Sync!$AB882))</f>
        <v>0</v>
      </c>
      <c r="M886" t="str">
        <f t="shared" si="83"/>
        <v/>
      </c>
      <c r="N886">
        <f>IF($G886="",0,IF($H886="مرجوعی فروش",-1,1)*IF(Sync!$AC882="",0,Sync!$AC882))</f>
        <v>0</v>
      </c>
      <c r="O886" t="str">
        <f>IF(OR($G886="",Sync!$V882=""),"",Sync!$V882)</f>
        <v/>
      </c>
      <c r="P886" t="str">
        <f>IF(OR($G886="",Sync!$AD882=""),"",Sync!$AD882)</f>
        <v/>
      </c>
      <c r="Q886" t="str">
        <f>IF($G886="","",IF(Sync!$U882="","0000",IF(AND(ISNUMBER(Sync!$U882),Sync!$U882&gt;=0,Sync!$U882&lt;1),RIGHT("00"&amp;HOUR(Sync!$U882),2)&amp;RIGHT("00"&amp;MINUTE(Sync!$U882),2),IFERROR(RIGHT("00"&amp;VALUE(LEFT(Sync!$U882,FIND(":",Sync!$U882)-1)),2)&amp;RIGHT("00"&amp;VALUE(MID(Sync!$U882,FIND(":",Sync!$U882)+1,2)),2),"0000"))))</f>
        <v/>
      </c>
    </row>
    <row r="887" spans="1:17" x14ac:dyDescent="0.2">
      <c r="A887" t="str">
        <f>IF(Sync!$T883="","",Sync!$T883)</f>
        <v/>
      </c>
      <c r="B887" t="str">
        <f t="shared" si="78"/>
        <v/>
      </c>
      <c r="C887" t="str">
        <f t="shared" si="79"/>
        <v/>
      </c>
      <c r="D887" t="str">
        <f t="shared" si="80"/>
        <v/>
      </c>
      <c r="E887" t="str">
        <f t="shared" si="81"/>
        <v/>
      </c>
      <c r="F887" t="str">
        <f t="shared" si="82"/>
        <v/>
      </c>
      <c r="G887" t="str">
        <f>IF(OR($E887="",$E887="نامعتبر",Sync!$X883=""),"",IF(AND(LEFT(UPPER(TRIM(Sync!$X883)),2)="SL",IFERROR(VLOOKUP(Sync!$W883,OpTbl,3,0),"")="فروش"),UPPER(TRIM(Sync!$X883)),""))</f>
        <v/>
      </c>
      <c r="H887" t="str">
        <f>IF($G887="","",IF(Sync!$W883="","",Sync!$W883))</f>
        <v/>
      </c>
      <c r="I887" t="str">
        <f>IF(OR($G887="",Sync!$Y883=""),"",Sync!$Y883)</f>
        <v/>
      </c>
      <c r="J887" t="str">
        <f>IF(OR($G887="",Sync!$Z883=""),"",Sync!$Z883)</f>
        <v/>
      </c>
      <c r="K887">
        <f>IF($G887="",0,IF(Sync!$AA883="",0,Sync!$AA883))</f>
        <v>0</v>
      </c>
      <c r="L887">
        <f>IF($G887="",0,IF(Sync!$AB883="",0,Sync!$AB883))</f>
        <v>0</v>
      </c>
      <c r="M887" t="str">
        <f t="shared" si="83"/>
        <v/>
      </c>
      <c r="N887">
        <f>IF($G887="",0,IF($H887="مرجوعی فروش",-1,1)*IF(Sync!$AC883="",0,Sync!$AC883))</f>
        <v>0</v>
      </c>
      <c r="O887" t="str">
        <f>IF(OR($G887="",Sync!$V883=""),"",Sync!$V883)</f>
        <v/>
      </c>
      <c r="P887" t="str">
        <f>IF(OR($G887="",Sync!$AD883=""),"",Sync!$AD883)</f>
        <v/>
      </c>
      <c r="Q887" t="str">
        <f>IF($G887="","",IF(Sync!$U883="","0000",IF(AND(ISNUMBER(Sync!$U883),Sync!$U883&gt;=0,Sync!$U883&lt;1),RIGHT("00"&amp;HOUR(Sync!$U883),2)&amp;RIGHT("00"&amp;MINUTE(Sync!$U883),2),IFERROR(RIGHT("00"&amp;VALUE(LEFT(Sync!$U883,FIND(":",Sync!$U883)-1)),2)&amp;RIGHT("00"&amp;VALUE(MID(Sync!$U883,FIND(":",Sync!$U883)+1,2)),2),"0000"))))</f>
        <v/>
      </c>
    </row>
    <row r="888" spans="1:17" x14ac:dyDescent="0.2">
      <c r="A888" t="str">
        <f>IF(Sync!$T884="","",Sync!$T884)</f>
        <v/>
      </c>
      <c r="B888" t="str">
        <f t="shared" si="78"/>
        <v/>
      </c>
      <c r="C888" t="str">
        <f t="shared" si="79"/>
        <v/>
      </c>
      <c r="D888" t="str">
        <f t="shared" si="80"/>
        <v/>
      </c>
      <c r="E888" t="str">
        <f t="shared" si="81"/>
        <v/>
      </c>
      <c r="F888" t="str">
        <f t="shared" si="82"/>
        <v/>
      </c>
      <c r="G888" t="str">
        <f>IF(OR($E888="",$E888="نامعتبر",Sync!$X884=""),"",IF(AND(LEFT(UPPER(TRIM(Sync!$X884)),2)="SL",IFERROR(VLOOKUP(Sync!$W884,OpTbl,3,0),"")="فروش"),UPPER(TRIM(Sync!$X884)),""))</f>
        <v/>
      </c>
      <c r="H888" t="str">
        <f>IF($G888="","",IF(Sync!$W884="","",Sync!$W884))</f>
        <v/>
      </c>
      <c r="I888" t="str">
        <f>IF(OR($G888="",Sync!$Y884=""),"",Sync!$Y884)</f>
        <v/>
      </c>
      <c r="J888" t="str">
        <f>IF(OR($G888="",Sync!$Z884=""),"",Sync!$Z884)</f>
        <v/>
      </c>
      <c r="K888">
        <f>IF($G888="",0,IF(Sync!$AA884="",0,Sync!$AA884))</f>
        <v>0</v>
      </c>
      <c r="L888">
        <f>IF($G888="",0,IF(Sync!$AB884="",0,Sync!$AB884))</f>
        <v>0</v>
      </c>
      <c r="M888" t="str">
        <f t="shared" si="83"/>
        <v/>
      </c>
      <c r="N888">
        <f>IF($G888="",0,IF($H888="مرجوعی فروش",-1,1)*IF(Sync!$AC884="",0,Sync!$AC884))</f>
        <v>0</v>
      </c>
      <c r="O888" t="str">
        <f>IF(OR($G888="",Sync!$V884=""),"",Sync!$V884)</f>
        <v/>
      </c>
      <c r="P888" t="str">
        <f>IF(OR($G888="",Sync!$AD884=""),"",Sync!$AD884)</f>
        <v/>
      </c>
      <c r="Q888" t="str">
        <f>IF($G888="","",IF(Sync!$U884="","0000",IF(AND(ISNUMBER(Sync!$U884),Sync!$U884&gt;=0,Sync!$U884&lt;1),RIGHT("00"&amp;HOUR(Sync!$U884),2)&amp;RIGHT("00"&amp;MINUTE(Sync!$U884),2),IFERROR(RIGHT("00"&amp;VALUE(LEFT(Sync!$U884,FIND(":",Sync!$U884)-1)),2)&amp;RIGHT("00"&amp;VALUE(MID(Sync!$U884,FIND(":",Sync!$U884)+1,2)),2),"0000"))))</f>
        <v/>
      </c>
    </row>
    <row r="889" spans="1:17" x14ac:dyDescent="0.2">
      <c r="A889" t="str">
        <f>IF(Sync!$T885="","",Sync!$T885)</f>
        <v/>
      </c>
      <c r="B889" t="str">
        <f t="shared" si="78"/>
        <v/>
      </c>
      <c r="C889" t="str">
        <f t="shared" si="79"/>
        <v/>
      </c>
      <c r="D889" t="str">
        <f t="shared" si="80"/>
        <v/>
      </c>
      <c r="E889" t="str">
        <f t="shared" si="81"/>
        <v/>
      </c>
      <c r="F889" t="str">
        <f t="shared" si="82"/>
        <v/>
      </c>
      <c r="G889" t="str">
        <f>IF(OR($E889="",$E889="نامعتبر",Sync!$X885=""),"",IF(AND(LEFT(UPPER(TRIM(Sync!$X885)),2)="SL",IFERROR(VLOOKUP(Sync!$W885,OpTbl,3,0),"")="فروش"),UPPER(TRIM(Sync!$X885)),""))</f>
        <v/>
      </c>
      <c r="H889" t="str">
        <f>IF($G889="","",IF(Sync!$W885="","",Sync!$W885))</f>
        <v/>
      </c>
      <c r="I889" t="str">
        <f>IF(OR($G889="",Sync!$Y885=""),"",Sync!$Y885)</f>
        <v/>
      </c>
      <c r="J889" t="str">
        <f>IF(OR($G889="",Sync!$Z885=""),"",Sync!$Z885)</f>
        <v/>
      </c>
      <c r="K889">
        <f>IF($G889="",0,IF(Sync!$AA885="",0,Sync!$AA885))</f>
        <v>0</v>
      </c>
      <c r="L889">
        <f>IF($G889="",0,IF(Sync!$AB885="",0,Sync!$AB885))</f>
        <v>0</v>
      </c>
      <c r="M889" t="str">
        <f t="shared" si="83"/>
        <v/>
      </c>
      <c r="N889">
        <f>IF($G889="",0,IF($H889="مرجوعی فروش",-1,1)*IF(Sync!$AC885="",0,Sync!$AC885))</f>
        <v>0</v>
      </c>
      <c r="O889" t="str">
        <f>IF(OR($G889="",Sync!$V885=""),"",Sync!$V885)</f>
        <v/>
      </c>
      <c r="P889" t="str">
        <f>IF(OR($G889="",Sync!$AD885=""),"",Sync!$AD885)</f>
        <v/>
      </c>
      <c r="Q889" t="str">
        <f>IF($G889="","",IF(Sync!$U885="","0000",IF(AND(ISNUMBER(Sync!$U885),Sync!$U885&gt;=0,Sync!$U885&lt;1),RIGHT("00"&amp;HOUR(Sync!$U885),2)&amp;RIGHT("00"&amp;MINUTE(Sync!$U885),2),IFERROR(RIGHT("00"&amp;VALUE(LEFT(Sync!$U885,FIND(":",Sync!$U885)-1)),2)&amp;RIGHT("00"&amp;VALUE(MID(Sync!$U885,FIND(":",Sync!$U885)+1,2)),2),"0000"))))</f>
        <v/>
      </c>
    </row>
    <row r="890" spans="1:17" x14ac:dyDescent="0.2">
      <c r="A890" t="str">
        <f>IF(Sync!$T886="","",Sync!$T886)</f>
        <v/>
      </c>
      <c r="B890" t="str">
        <f t="shared" si="78"/>
        <v/>
      </c>
      <c r="C890" t="str">
        <f t="shared" si="79"/>
        <v/>
      </c>
      <c r="D890" t="str">
        <f t="shared" si="80"/>
        <v/>
      </c>
      <c r="E890" t="str">
        <f t="shared" si="81"/>
        <v/>
      </c>
      <c r="F890" t="str">
        <f t="shared" si="82"/>
        <v/>
      </c>
      <c r="G890" t="str">
        <f>IF(OR($E890="",$E890="نامعتبر",Sync!$X886=""),"",IF(AND(LEFT(UPPER(TRIM(Sync!$X886)),2)="SL",IFERROR(VLOOKUP(Sync!$W886,OpTbl,3,0),"")="فروش"),UPPER(TRIM(Sync!$X886)),""))</f>
        <v/>
      </c>
      <c r="H890" t="str">
        <f>IF($G890="","",IF(Sync!$W886="","",Sync!$W886))</f>
        <v/>
      </c>
      <c r="I890" t="str">
        <f>IF(OR($G890="",Sync!$Y886=""),"",Sync!$Y886)</f>
        <v/>
      </c>
      <c r="J890" t="str">
        <f>IF(OR($G890="",Sync!$Z886=""),"",Sync!$Z886)</f>
        <v/>
      </c>
      <c r="K890">
        <f>IF($G890="",0,IF(Sync!$AA886="",0,Sync!$AA886))</f>
        <v>0</v>
      </c>
      <c r="L890">
        <f>IF($G890="",0,IF(Sync!$AB886="",0,Sync!$AB886))</f>
        <v>0</v>
      </c>
      <c r="M890" t="str">
        <f t="shared" si="83"/>
        <v/>
      </c>
      <c r="N890">
        <f>IF($G890="",0,IF($H890="مرجوعی فروش",-1,1)*IF(Sync!$AC886="",0,Sync!$AC886))</f>
        <v>0</v>
      </c>
      <c r="O890" t="str">
        <f>IF(OR($G890="",Sync!$V886=""),"",Sync!$V886)</f>
        <v/>
      </c>
      <c r="P890" t="str">
        <f>IF(OR($G890="",Sync!$AD886=""),"",Sync!$AD886)</f>
        <v/>
      </c>
      <c r="Q890" t="str">
        <f>IF($G890="","",IF(Sync!$U886="","0000",IF(AND(ISNUMBER(Sync!$U886),Sync!$U886&gt;=0,Sync!$U886&lt;1),RIGHT("00"&amp;HOUR(Sync!$U886),2)&amp;RIGHT("00"&amp;MINUTE(Sync!$U886),2),IFERROR(RIGHT("00"&amp;VALUE(LEFT(Sync!$U886,FIND(":",Sync!$U886)-1)),2)&amp;RIGHT("00"&amp;VALUE(MID(Sync!$U886,FIND(":",Sync!$U886)+1,2)),2),"0000"))))</f>
        <v/>
      </c>
    </row>
    <row r="891" spans="1:17" x14ac:dyDescent="0.2">
      <c r="A891" t="str">
        <f>IF(Sync!$T887="","",Sync!$T887)</f>
        <v/>
      </c>
      <c r="B891" t="str">
        <f t="shared" si="78"/>
        <v/>
      </c>
      <c r="C891" t="str">
        <f t="shared" si="79"/>
        <v/>
      </c>
      <c r="D891" t="str">
        <f t="shared" si="80"/>
        <v/>
      </c>
      <c r="E891" t="str">
        <f t="shared" si="81"/>
        <v/>
      </c>
      <c r="F891" t="str">
        <f t="shared" si="82"/>
        <v/>
      </c>
      <c r="G891" t="str">
        <f>IF(OR($E891="",$E891="نامعتبر",Sync!$X887=""),"",IF(AND(LEFT(UPPER(TRIM(Sync!$X887)),2)="SL",IFERROR(VLOOKUP(Sync!$W887,OpTbl,3,0),"")="فروش"),UPPER(TRIM(Sync!$X887)),""))</f>
        <v/>
      </c>
      <c r="H891" t="str">
        <f>IF($G891="","",IF(Sync!$W887="","",Sync!$W887))</f>
        <v/>
      </c>
      <c r="I891" t="str">
        <f>IF(OR($G891="",Sync!$Y887=""),"",Sync!$Y887)</f>
        <v/>
      </c>
      <c r="J891" t="str">
        <f>IF(OR($G891="",Sync!$Z887=""),"",Sync!$Z887)</f>
        <v/>
      </c>
      <c r="K891">
        <f>IF($G891="",0,IF(Sync!$AA887="",0,Sync!$AA887))</f>
        <v>0</v>
      </c>
      <c r="L891">
        <f>IF($G891="",0,IF(Sync!$AB887="",0,Sync!$AB887))</f>
        <v>0</v>
      </c>
      <c r="M891" t="str">
        <f t="shared" si="83"/>
        <v/>
      </c>
      <c r="N891">
        <f>IF($G891="",0,IF($H891="مرجوعی فروش",-1,1)*IF(Sync!$AC887="",0,Sync!$AC887))</f>
        <v>0</v>
      </c>
      <c r="O891" t="str">
        <f>IF(OR($G891="",Sync!$V887=""),"",Sync!$V887)</f>
        <v/>
      </c>
      <c r="P891" t="str">
        <f>IF(OR($G891="",Sync!$AD887=""),"",Sync!$AD887)</f>
        <v/>
      </c>
      <c r="Q891" t="str">
        <f>IF($G891="","",IF(Sync!$U887="","0000",IF(AND(ISNUMBER(Sync!$U887),Sync!$U887&gt;=0,Sync!$U887&lt;1),RIGHT("00"&amp;HOUR(Sync!$U887),2)&amp;RIGHT("00"&amp;MINUTE(Sync!$U887),2),IFERROR(RIGHT("00"&amp;VALUE(LEFT(Sync!$U887,FIND(":",Sync!$U887)-1)),2)&amp;RIGHT("00"&amp;VALUE(MID(Sync!$U887,FIND(":",Sync!$U887)+1,2)),2),"0000"))))</f>
        <v/>
      </c>
    </row>
    <row r="892" spans="1:17" x14ac:dyDescent="0.2">
      <c r="A892" t="str">
        <f>IF(Sync!$T888="","",Sync!$T888)</f>
        <v/>
      </c>
      <c r="B892" t="str">
        <f t="shared" si="78"/>
        <v/>
      </c>
      <c r="C892" t="str">
        <f t="shared" si="79"/>
        <v/>
      </c>
      <c r="D892" t="str">
        <f t="shared" si="80"/>
        <v/>
      </c>
      <c r="E892" t="str">
        <f t="shared" si="81"/>
        <v/>
      </c>
      <c r="F892" t="str">
        <f t="shared" si="82"/>
        <v/>
      </c>
      <c r="G892" t="str">
        <f>IF(OR($E892="",$E892="نامعتبر",Sync!$X888=""),"",IF(AND(LEFT(UPPER(TRIM(Sync!$X888)),2)="SL",IFERROR(VLOOKUP(Sync!$W888,OpTbl,3,0),"")="فروش"),UPPER(TRIM(Sync!$X888)),""))</f>
        <v/>
      </c>
      <c r="H892" t="str">
        <f>IF($G892="","",IF(Sync!$W888="","",Sync!$W888))</f>
        <v/>
      </c>
      <c r="I892" t="str">
        <f>IF(OR($G892="",Sync!$Y888=""),"",Sync!$Y888)</f>
        <v/>
      </c>
      <c r="J892" t="str">
        <f>IF(OR($G892="",Sync!$Z888=""),"",Sync!$Z888)</f>
        <v/>
      </c>
      <c r="K892">
        <f>IF($G892="",0,IF(Sync!$AA888="",0,Sync!$AA888))</f>
        <v>0</v>
      </c>
      <c r="L892">
        <f>IF($G892="",0,IF(Sync!$AB888="",0,Sync!$AB888))</f>
        <v>0</v>
      </c>
      <c r="M892" t="str">
        <f t="shared" si="83"/>
        <v/>
      </c>
      <c r="N892">
        <f>IF($G892="",0,IF($H892="مرجوعی فروش",-1,1)*IF(Sync!$AC888="",0,Sync!$AC888))</f>
        <v>0</v>
      </c>
      <c r="O892" t="str">
        <f>IF(OR($G892="",Sync!$V888=""),"",Sync!$V888)</f>
        <v/>
      </c>
      <c r="P892" t="str">
        <f>IF(OR($G892="",Sync!$AD888=""),"",Sync!$AD888)</f>
        <v/>
      </c>
      <c r="Q892" t="str">
        <f>IF($G892="","",IF(Sync!$U888="","0000",IF(AND(ISNUMBER(Sync!$U888),Sync!$U888&gt;=0,Sync!$U888&lt;1),RIGHT("00"&amp;HOUR(Sync!$U888),2)&amp;RIGHT("00"&amp;MINUTE(Sync!$U888),2),IFERROR(RIGHT("00"&amp;VALUE(LEFT(Sync!$U888,FIND(":",Sync!$U888)-1)),2)&amp;RIGHT("00"&amp;VALUE(MID(Sync!$U888,FIND(":",Sync!$U888)+1,2)),2),"0000"))))</f>
        <v/>
      </c>
    </row>
    <row r="893" spans="1:17" x14ac:dyDescent="0.2">
      <c r="A893" t="str">
        <f>IF(Sync!$T889="","",Sync!$T889)</f>
        <v/>
      </c>
      <c r="B893" t="str">
        <f t="shared" si="78"/>
        <v/>
      </c>
      <c r="C893" t="str">
        <f t="shared" si="79"/>
        <v/>
      </c>
      <c r="D893" t="str">
        <f t="shared" si="80"/>
        <v/>
      </c>
      <c r="E893" t="str">
        <f t="shared" si="81"/>
        <v/>
      </c>
      <c r="F893" t="str">
        <f t="shared" si="82"/>
        <v/>
      </c>
      <c r="G893" t="str">
        <f>IF(OR($E893="",$E893="نامعتبر",Sync!$X889=""),"",IF(AND(LEFT(UPPER(TRIM(Sync!$X889)),2)="SL",IFERROR(VLOOKUP(Sync!$W889,OpTbl,3,0),"")="فروش"),UPPER(TRIM(Sync!$X889)),""))</f>
        <v/>
      </c>
      <c r="H893" t="str">
        <f>IF($G893="","",IF(Sync!$W889="","",Sync!$W889))</f>
        <v/>
      </c>
      <c r="I893" t="str">
        <f>IF(OR($G893="",Sync!$Y889=""),"",Sync!$Y889)</f>
        <v/>
      </c>
      <c r="J893" t="str">
        <f>IF(OR($G893="",Sync!$Z889=""),"",Sync!$Z889)</f>
        <v/>
      </c>
      <c r="K893">
        <f>IF($G893="",0,IF(Sync!$AA889="",0,Sync!$AA889))</f>
        <v>0</v>
      </c>
      <c r="L893">
        <f>IF($G893="",0,IF(Sync!$AB889="",0,Sync!$AB889))</f>
        <v>0</v>
      </c>
      <c r="M893" t="str">
        <f t="shared" si="83"/>
        <v/>
      </c>
      <c r="N893">
        <f>IF($G893="",0,IF($H893="مرجوعی فروش",-1,1)*IF(Sync!$AC889="",0,Sync!$AC889))</f>
        <v>0</v>
      </c>
      <c r="O893" t="str">
        <f>IF(OR($G893="",Sync!$V889=""),"",Sync!$V889)</f>
        <v/>
      </c>
      <c r="P893" t="str">
        <f>IF(OR($G893="",Sync!$AD889=""),"",Sync!$AD889)</f>
        <v/>
      </c>
      <c r="Q893" t="str">
        <f>IF($G893="","",IF(Sync!$U889="","0000",IF(AND(ISNUMBER(Sync!$U889),Sync!$U889&gt;=0,Sync!$U889&lt;1),RIGHT("00"&amp;HOUR(Sync!$U889),2)&amp;RIGHT("00"&amp;MINUTE(Sync!$U889),2),IFERROR(RIGHT("00"&amp;VALUE(LEFT(Sync!$U889,FIND(":",Sync!$U889)-1)),2)&amp;RIGHT("00"&amp;VALUE(MID(Sync!$U889,FIND(":",Sync!$U889)+1,2)),2),"0000"))))</f>
        <v/>
      </c>
    </row>
    <row r="894" spans="1:17" x14ac:dyDescent="0.2">
      <c r="A894" t="str">
        <f>IF(Sync!$T890="","",Sync!$T890)</f>
        <v/>
      </c>
      <c r="B894" t="str">
        <f t="shared" si="78"/>
        <v/>
      </c>
      <c r="C894" t="str">
        <f t="shared" si="79"/>
        <v/>
      </c>
      <c r="D894" t="str">
        <f t="shared" si="80"/>
        <v/>
      </c>
      <c r="E894" t="str">
        <f t="shared" si="81"/>
        <v/>
      </c>
      <c r="F894" t="str">
        <f t="shared" si="82"/>
        <v/>
      </c>
      <c r="G894" t="str">
        <f>IF(OR($E894="",$E894="نامعتبر",Sync!$X890=""),"",IF(AND(LEFT(UPPER(TRIM(Sync!$X890)),2)="SL",IFERROR(VLOOKUP(Sync!$W890,OpTbl,3,0),"")="فروش"),UPPER(TRIM(Sync!$X890)),""))</f>
        <v/>
      </c>
      <c r="H894" t="str">
        <f>IF($G894="","",IF(Sync!$W890="","",Sync!$W890))</f>
        <v/>
      </c>
      <c r="I894" t="str">
        <f>IF(OR($G894="",Sync!$Y890=""),"",Sync!$Y890)</f>
        <v/>
      </c>
      <c r="J894" t="str">
        <f>IF(OR($G894="",Sync!$Z890=""),"",Sync!$Z890)</f>
        <v/>
      </c>
      <c r="K894">
        <f>IF($G894="",0,IF(Sync!$AA890="",0,Sync!$AA890))</f>
        <v>0</v>
      </c>
      <c r="L894">
        <f>IF($G894="",0,IF(Sync!$AB890="",0,Sync!$AB890))</f>
        <v>0</v>
      </c>
      <c r="M894" t="str">
        <f t="shared" si="83"/>
        <v/>
      </c>
      <c r="N894">
        <f>IF($G894="",0,IF($H894="مرجوعی فروش",-1,1)*IF(Sync!$AC890="",0,Sync!$AC890))</f>
        <v>0</v>
      </c>
      <c r="O894" t="str">
        <f>IF(OR($G894="",Sync!$V890=""),"",Sync!$V890)</f>
        <v/>
      </c>
      <c r="P894" t="str">
        <f>IF(OR($G894="",Sync!$AD890=""),"",Sync!$AD890)</f>
        <v/>
      </c>
      <c r="Q894" t="str">
        <f>IF($G894="","",IF(Sync!$U890="","0000",IF(AND(ISNUMBER(Sync!$U890),Sync!$U890&gt;=0,Sync!$U890&lt;1),RIGHT("00"&amp;HOUR(Sync!$U890),2)&amp;RIGHT("00"&amp;MINUTE(Sync!$U890),2),IFERROR(RIGHT("00"&amp;VALUE(LEFT(Sync!$U890,FIND(":",Sync!$U890)-1)),2)&amp;RIGHT("00"&amp;VALUE(MID(Sync!$U890,FIND(":",Sync!$U890)+1,2)),2),"0000"))))</f>
        <v/>
      </c>
    </row>
    <row r="895" spans="1:17" x14ac:dyDescent="0.2">
      <c r="A895" t="str">
        <f>IF(Sync!$T891="","",Sync!$T891)</f>
        <v/>
      </c>
      <c r="B895" t="str">
        <f t="shared" si="78"/>
        <v/>
      </c>
      <c r="C895" t="str">
        <f t="shared" si="79"/>
        <v/>
      </c>
      <c r="D895" t="str">
        <f t="shared" si="80"/>
        <v/>
      </c>
      <c r="E895" t="str">
        <f t="shared" si="81"/>
        <v/>
      </c>
      <c r="F895" t="str">
        <f t="shared" si="82"/>
        <v/>
      </c>
      <c r="G895" t="str">
        <f>IF(OR($E895="",$E895="نامعتبر",Sync!$X891=""),"",IF(AND(LEFT(UPPER(TRIM(Sync!$X891)),2)="SL",IFERROR(VLOOKUP(Sync!$W891,OpTbl,3,0),"")="فروش"),UPPER(TRIM(Sync!$X891)),""))</f>
        <v/>
      </c>
      <c r="H895" t="str">
        <f>IF($G895="","",IF(Sync!$W891="","",Sync!$W891))</f>
        <v/>
      </c>
      <c r="I895" t="str">
        <f>IF(OR($G895="",Sync!$Y891=""),"",Sync!$Y891)</f>
        <v/>
      </c>
      <c r="J895" t="str">
        <f>IF(OR($G895="",Sync!$Z891=""),"",Sync!$Z891)</f>
        <v/>
      </c>
      <c r="K895">
        <f>IF($G895="",0,IF(Sync!$AA891="",0,Sync!$AA891))</f>
        <v>0</v>
      </c>
      <c r="L895">
        <f>IF($G895="",0,IF(Sync!$AB891="",0,Sync!$AB891))</f>
        <v>0</v>
      </c>
      <c r="M895" t="str">
        <f t="shared" si="83"/>
        <v/>
      </c>
      <c r="N895">
        <f>IF($G895="",0,IF($H895="مرجوعی فروش",-1,1)*IF(Sync!$AC891="",0,Sync!$AC891))</f>
        <v>0</v>
      </c>
      <c r="O895" t="str">
        <f>IF(OR($G895="",Sync!$V891=""),"",Sync!$V891)</f>
        <v/>
      </c>
      <c r="P895" t="str">
        <f>IF(OR($G895="",Sync!$AD891=""),"",Sync!$AD891)</f>
        <v/>
      </c>
      <c r="Q895" t="str">
        <f>IF($G895="","",IF(Sync!$U891="","0000",IF(AND(ISNUMBER(Sync!$U891),Sync!$U891&gt;=0,Sync!$U891&lt;1),RIGHT("00"&amp;HOUR(Sync!$U891),2)&amp;RIGHT("00"&amp;MINUTE(Sync!$U891),2),IFERROR(RIGHT("00"&amp;VALUE(LEFT(Sync!$U891,FIND(":",Sync!$U891)-1)),2)&amp;RIGHT("00"&amp;VALUE(MID(Sync!$U891,FIND(":",Sync!$U891)+1,2)),2),"0000"))))</f>
        <v/>
      </c>
    </row>
    <row r="896" spans="1:17" x14ac:dyDescent="0.2">
      <c r="A896" t="str">
        <f>IF(Sync!$T892="","",Sync!$T892)</f>
        <v/>
      </c>
      <c r="B896" t="str">
        <f t="shared" si="78"/>
        <v/>
      </c>
      <c r="C896" t="str">
        <f t="shared" si="79"/>
        <v/>
      </c>
      <c r="D896" t="str">
        <f t="shared" si="80"/>
        <v/>
      </c>
      <c r="E896" t="str">
        <f t="shared" si="81"/>
        <v/>
      </c>
      <c r="F896" t="str">
        <f t="shared" si="82"/>
        <v/>
      </c>
      <c r="G896" t="str">
        <f>IF(OR($E896="",$E896="نامعتبر",Sync!$X892=""),"",IF(AND(LEFT(UPPER(TRIM(Sync!$X892)),2)="SL",IFERROR(VLOOKUP(Sync!$W892,OpTbl,3,0),"")="فروش"),UPPER(TRIM(Sync!$X892)),""))</f>
        <v/>
      </c>
      <c r="H896" t="str">
        <f>IF($G896="","",IF(Sync!$W892="","",Sync!$W892))</f>
        <v/>
      </c>
      <c r="I896" t="str">
        <f>IF(OR($G896="",Sync!$Y892=""),"",Sync!$Y892)</f>
        <v/>
      </c>
      <c r="J896" t="str">
        <f>IF(OR($G896="",Sync!$Z892=""),"",Sync!$Z892)</f>
        <v/>
      </c>
      <c r="K896">
        <f>IF($G896="",0,IF(Sync!$AA892="",0,Sync!$AA892))</f>
        <v>0</v>
      </c>
      <c r="L896">
        <f>IF($G896="",0,IF(Sync!$AB892="",0,Sync!$AB892))</f>
        <v>0</v>
      </c>
      <c r="M896" t="str">
        <f t="shared" si="83"/>
        <v/>
      </c>
      <c r="N896">
        <f>IF($G896="",0,IF($H896="مرجوعی فروش",-1,1)*IF(Sync!$AC892="",0,Sync!$AC892))</f>
        <v>0</v>
      </c>
      <c r="O896" t="str">
        <f>IF(OR($G896="",Sync!$V892=""),"",Sync!$V892)</f>
        <v/>
      </c>
      <c r="P896" t="str">
        <f>IF(OR($G896="",Sync!$AD892=""),"",Sync!$AD892)</f>
        <v/>
      </c>
      <c r="Q896" t="str">
        <f>IF($G896="","",IF(Sync!$U892="","0000",IF(AND(ISNUMBER(Sync!$U892),Sync!$U892&gt;=0,Sync!$U892&lt;1),RIGHT("00"&amp;HOUR(Sync!$U892),2)&amp;RIGHT("00"&amp;MINUTE(Sync!$U892),2),IFERROR(RIGHT("00"&amp;VALUE(LEFT(Sync!$U892,FIND(":",Sync!$U892)-1)),2)&amp;RIGHT("00"&amp;VALUE(MID(Sync!$U892,FIND(":",Sync!$U892)+1,2)),2),"0000"))))</f>
        <v/>
      </c>
    </row>
    <row r="897" spans="1:17" x14ac:dyDescent="0.2">
      <c r="A897" t="str">
        <f>IF(Sync!$T893="","",Sync!$T893)</f>
        <v/>
      </c>
      <c r="B897" t="str">
        <f t="shared" si="78"/>
        <v/>
      </c>
      <c r="C897" t="str">
        <f t="shared" si="79"/>
        <v/>
      </c>
      <c r="D897" t="str">
        <f t="shared" si="80"/>
        <v/>
      </c>
      <c r="E897" t="str">
        <f t="shared" si="81"/>
        <v/>
      </c>
      <c r="F897" t="str">
        <f t="shared" si="82"/>
        <v/>
      </c>
      <c r="G897" t="str">
        <f>IF(OR($E897="",$E897="نامعتبر",Sync!$X893=""),"",IF(AND(LEFT(UPPER(TRIM(Sync!$X893)),2)="SL",IFERROR(VLOOKUP(Sync!$W893,OpTbl,3,0),"")="فروش"),UPPER(TRIM(Sync!$X893)),""))</f>
        <v/>
      </c>
      <c r="H897" t="str">
        <f>IF($G897="","",IF(Sync!$W893="","",Sync!$W893))</f>
        <v/>
      </c>
      <c r="I897" t="str">
        <f>IF(OR($G897="",Sync!$Y893=""),"",Sync!$Y893)</f>
        <v/>
      </c>
      <c r="J897" t="str">
        <f>IF(OR($G897="",Sync!$Z893=""),"",Sync!$Z893)</f>
        <v/>
      </c>
      <c r="K897">
        <f>IF($G897="",0,IF(Sync!$AA893="",0,Sync!$AA893))</f>
        <v>0</v>
      </c>
      <c r="L897">
        <f>IF($G897="",0,IF(Sync!$AB893="",0,Sync!$AB893))</f>
        <v>0</v>
      </c>
      <c r="M897" t="str">
        <f t="shared" si="83"/>
        <v/>
      </c>
      <c r="N897">
        <f>IF($G897="",0,IF($H897="مرجوعی فروش",-1,1)*IF(Sync!$AC893="",0,Sync!$AC893))</f>
        <v>0</v>
      </c>
      <c r="O897" t="str">
        <f>IF(OR($G897="",Sync!$V893=""),"",Sync!$V893)</f>
        <v/>
      </c>
      <c r="P897" t="str">
        <f>IF(OR($G897="",Sync!$AD893=""),"",Sync!$AD893)</f>
        <v/>
      </c>
      <c r="Q897" t="str">
        <f>IF($G897="","",IF(Sync!$U893="","0000",IF(AND(ISNUMBER(Sync!$U893),Sync!$U893&gt;=0,Sync!$U893&lt;1),RIGHT("00"&amp;HOUR(Sync!$U893),2)&amp;RIGHT("00"&amp;MINUTE(Sync!$U893),2),IFERROR(RIGHT("00"&amp;VALUE(LEFT(Sync!$U893,FIND(":",Sync!$U893)-1)),2)&amp;RIGHT("00"&amp;VALUE(MID(Sync!$U893,FIND(":",Sync!$U893)+1,2)),2),"0000"))))</f>
        <v/>
      </c>
    </row>
    <row r="898" spans="1:17" x14ac:dyDescent="0.2">
      <c r="A898" t="str">
        <f>IF(Sync!$T894="","",Sync!$T894)</f>
        <v/>
      </c>
      <c r="B898" t="str">
        <f t="shared" si="78"/>
        <v/>
      </c>
      <c r="C898" t="str">
        <f t="shared" si="79"/>
        <v/>
      </c>
      <c r="D898" t="str">
        <f t="shared" si="80"/>
        <v/>
      </c>
      <c r="E898" t="str">
        <f t="shared" si="81"/>
        <v/>
      </c>
      <c r="F898" t="str">
        <f t="shared" si="82"/>
        <v/>
      </c>
      <c r="G898" t="str">
        <f>IF(OR($E898="",$E898="نامعتبر",Sync!$X894=""),"",IF(AND(LEFT(UPPER(TRIM(Sync!$X894)),2)="SL",IFERROR(VLOOKUP(Sync!$W894,OpTbl,3,0),"")="فروش"),UPPER(TRIM(Sync!$X894)),""))</f>
        <v/>
      </c>
      <c r="H898" t="str">
        <f>IF($G898="","",IF(Sync!$W894="","",Sync!$W894))</f>
        <v/>
      </c>
      <c r="I898" t="str">
        <f>IF(OR($G898="",Sync!$Y894=""),"",Sync!$Y894)</f>
        <v/>
      </c>
      <c r="J898" t="str">
        <f>IF(OR($G898="",Sync!$Z894=""),"",Sync!$Z894)</f>
        <v/>
      </c>
      <c r="K898">
        <f>IF($G898="",0,IF(Sync!$AA894="",0,Sync!$AA894))</f>
        <v>0</v>
      </c>
      <c r="L898">
        <f>IF($G898="",0,IF(Sync!$AB894="",0,Sync!$AB894))</f>
        <v>0</v>
      </c>
      <c r="M898" t="str">
        <f t="shared" si="83"/>
        <v/>
      </c>
      <c r="N898">
        <f>IF($G898="",0,IF($H898="مرجوعی فروش",-1,1)*IF(Sync!$AC894="",0,Sync!$AC894))</f>
        <v>0</v>
      </c>
      <c r="O898" t="str">
        <f>IF(OR($G898="",Sync!$V894=""),"",Sync!$V894)</f>
        <v/>
      </c>
      <c r="P898" t="str">
        <f>IF(OR($G898="",Sync!$AD894=""),"",Sync!$AD894)</f>
        <v/>
      </c>
      <c r="Q898" t="str">
        <f>IF($G898="","",IF(Sync!$U894="","0000",IF(AND(ISNUMBER(Sync!$U894),Sync!$U894&gt;=0,Sync!$U894&lt;1),RIGHT("00"&amp;HOUR(Sync!$U894),2)&amp;RIGHT("00"&amp;MINUTE(Sync!$U894),2),IFERROR(RIGHT("00"&amp;VALUE(LEFT(Sync!$U894,FIND(":",Sync!$U894)-1)),2)&amp;RIGHT("00"&amp;VALUE(MID(Sync!$U894,FIND(":",Sync!$U894)+1,2)),2),"0000"))))</f>
        <v/>
      </c>
    </row>
    <row r="899" spans="1:17" x14ac:dyDescent="0.2">
      <c r="A899" t="str">
        <f>IF(Sync!$T895="","",Sync!$T895)</f>
        <v/>
      </c>
      <c r="B899" t="str">
        <f t="shared" si="78"/>
        <v/>
      </c>
      <c r="C899" t="str">
        <f t="shared" si="79"/>
        <v/>
      </c>
      <c r="D899" t="str">
        <f t="shared" si="80"/>
        <v/>
      </c>
      <c r="E899" t="str">
        <f t="shared" si="81"/>
        <v/>
      </c>
      <c r="F899" t="str">
        <f t="shared" si="82"/>
        <v/>
      </c>
      <c r="G899" t="str">
        <f>IF(OR($E899="",$E899="نامعتبر",Sync!$X895=""),"",IF(AND(LEFT(UPPER(TRIM(Sync!$X895)),2)="SL",IFERROR(VLOOKUP(Sync!$W895,OpTbl,3,0),"")="فروش"),UPPER(TRIM(Sync!$X895)),""))</f>
        <v/>
      </c>
      <c r="H899" t="str">
        <f>IF($G899="","",IF(Sync!$W895="","",Sync!$W895))</f>
        <v/>
      </c>
      <c r="I899" t="str">
        <f>IF(OR($G899="",Sync!$Y895=""),"",Sync!$Y895)</f>
        <v/>
      </c>
      <c r="J899" t="str">
        <f>IF(OR($G899="",Sync!$Z895=""),"",Sync!$Z895)</f>
        <v/>
      </c>
      <c r="K899">
        <f>IF($G899="",0,IF(Sync!$AA895="",0,Sync!$AA895))</f>
        <v>0</v>
      </c>
      <c r="L899">
        <f>IF($G899="",0,IF(Sync!$AB895="",0,Sync!$AB895))</f>
        <v>0</v>
      </c>
      <c r="M899" t="str">
        <f t="shared" si="83"/>
        <v/>
      </c>
      <c r="N899">
        <f>IF($G899="",0,IF($H899="مرجوعی فروش",-1,1)*IF(Sync!$AC895="",0,Sync!$AC895))</f>
        <v>0</v>
      </c>
      <c r="O899" t="str">
        <f>IF(OR($G899="",Sync!$V895=""),"",Sync!$V895)</f>
        <v/>
      </c>
      <c r="P899" t="str">
        <f>IF(OR($G899="",Sync!$AD895=""),"",Sync!$AD895)</f>
        <v/>
      </c>
      <c r="Q899" t="str">
        <f>IF($G899="","",IF(Sync!$U895="","0000",IF(AND(ISNUMBER(Sync!$U895),Sync!$U895&gt;=0,Sync!$U895&lt;1),RIGHT("00"&amp;HOUR(Sync!$U895),2)&amp;RIGHT("00"&amp;MINUTE(Sync!$U895),2),IFERROR(RIGHT("00"&amp;VALUE(LEFT(Sync!$U895,FIND(":",Sync!$U895)-1)),2)&amp;RIGHT("00"&amp;VALUE(MID(Sync!$U895,FIND(":",Sync!$U895)+1,2)),2),"0000"))))</f>
        <v/>
      </c>
    </row>
    <row r="900" spans="1:17" x14ac:dyDescent="0.2">
      <c r="A900" t="str">
        <f>IF(Sync!$T896="","",Sync!$T896)</f>
        <v/>
      </c>
      <c r="B900" t="str">
        <f t="shared" si="78"/>
        <v/>
      </c>
      <c r="C900" t="str">
        <f t="shared" si="79"/>
        <v/>
      </c>
      <c r="D900" t="str">
        <f t="shared" si="80"/>
        <v/>
      </c>
      <c r="E900" t="str">
        <f t="shared" si="81"/>
        <v/>
      </c>
      <c r="F900" t="str">
        <f t="shared" si="82"/>
        <v/>
      </c>
      <c r="G900" t="str">
        <f>IF(OR($E900="",$E900="نامعتبر",Sync!$X896=""),"",IF(AND(LEFT(UPPER(TRIM(Sync!$X896)),2)="SL",IFERROR(VLOOKUP(Sync!$W896,OpTbl,3,0),"")="فروش"),UPPER(TRIM(Sync!$X896)),""))</f>
        <v/>
      </c>
      <c r="H900" t="str">
        <f>IF($G900="","",IF(Sync!$W896="","",Sync!$W896))</f>
        <v/>
      </c>
      <c r="I900" t="str">
        <f>IF(OR($G900="",Sync!$Y896=""),"",Sync!$Y896)</f>
        <v/>
      </c>
      <c r="J900" t="str">
        <f>IF(OR($G900="",Sync!$Z896=""),"",Sync!$Z896)</f>
        <v/>
      </c>
      <c r="K900">
        <f>IF($G900="",0,IF(Sync!$AA896="",0,Sync!$AA896))</f>
        <v>0</v>
      </c>
      <c r="L900">
        <f>IF($G900="",0,IF(Sync!$AB896="",0,Sync!$AB896))</f>
        <v>0</v>
      </c>
      <c r="M900" t="str">
        <f t="shared" si="83"/>
        <v/>
      </c>
      <c r="N900">
        <f>IF($G900="",0,IF($H900="مرجوعی فروش",-1,1)*IF(Sync!$AC896="",0,Sync!$AC896))</f>
        <v>0</v>
      </c>
      <c r="O900" t="str">
        <f>IF(OR($G900="",Sync!$V896=""),"",Sync!$V896)</f>
        <v/>
      </c>
      <c r="P900" t="str">
        <f>IF(OR($G900="",Sync!$AD896=""),"",Sync!$AD896)</f>
        <v/>
      </c>
      <c r="Q900" t="str">
        <f>IF($G900="","",IF(Sync!$U896="","0000",IF(AND(ISNUMBER(Sync!$U896),Sync!$U896&gt;=0,Sync!$U896&lt;1),RIGHT("00"&amp;HOUR(Sync!$U896),2)&amp;RIGHT("00"&amp;MINUTE(Sync!$U896),2),IFERROR(RIGHT("00"&amp;VALUE(LEFT(Sync!$U896,FIND(":",Sync!$U896)-1)),2)&amp;RIGHT("00"&amp;VALUE(MID(Sync!$U896,FIND(":",Sync!$U896)+1,2)),2),"0000"))))</f>
        <v/>
      </c>
    </row>
    <row r="901" spans="1:17" x14ac:dyDescent="0.2">
      <c r="A901" t="str">
        <f>IF(Sync!$T897="","",Sync!$T897)</f>
        <v/>
      </c>
      <c r="B901" t="str">
        <f t="shared" si="78"/>
        <v/>
      </c>
      <c r="C901" t="str">
        <f t="shared" si="79"/>
        <v/>
      </c>
      <c r="D901" t="str">
        <f t="shared" si="80"/>
        <v/>
      </c>
      <c r="E901" t="str">
        <f t="shared" si="81"/>
        <v/>
      </c>
      <c r="F901" t="str">
        <f t="shared" si="82"/>
        <v/>
      </c>
      <c r="G901" t="str">
        <f>IF(OR($E901="",$E901="نامعتبر",Sync!$X897=""),"",IF(AND(LEFT(UPPER(TRIM(Sync!$X897)),2)="SL",IFERROR(VLOOKUP(Sync!$W897,OpTbl,3,0),"")="فروش"),UPPER(TRIM(Sync!$X897)),""))</f>
        <v/>
      </c>
      <c r="H901" t="str">
        <f>IF($G901="","",IF(Sync!$W897="","",Sync!$W897))</f>
        <v/>
      </c>
      <c r="I901" t="str">
        <f>IF(OR($G901="",Sync!$Y897=""),"",Sync!$Y897)</f>
        <v/>
      </c>
      <c r="J901" t="str">
        <f>IF(OR($G901="",Sync!$Z897=""),"",Sync!$Z897)</f>
        <v/>
      </c>
      <c r="K901">
        <f>IF($G901="",0,IF(Sync!$AA897="",0,Sync!$AA897))</f>
        <v>0</v>
      </c>
      <c r="L901">
        <f>IF($G901="",0,IF(Sync!$AB897="",0,Sync!$AB897))</f>
        <v>0</v>
      </c>
      <c r="M901" t="str">
        <f t="shared" si="83"/>
        <v/>
      </c>
      <c r="N901">
        <f>IF($G901="",0,IF($H901="مرجوعی فروش",-1,1)*IF(Sync!$AC897="",0,Sync!$AC897))</f>
        <v>0</v>
      </c>
      <c r="O901" t="str">
        <f>IF(OR($G901="",Sync!$V897=""),"",Sync!$V897)</f>
        <v/>
      </c>
      <c r="P901" t="str">
        <f>IF(OR($G901="",Sync!$AD897=""),"",Sync!$AD897)</f>
        <v/>
      </c>
      <c r="Q901" t="str">
        <f>IF($G901="","",IF(Sync!$U897="","0000",IF(AND(ISNUMBER(Sync!$U897),Sync!$U897&gt;=0,Sync!$U897&lt;1),RIGHT("00"&amp;HOUR(Sync!$U897),2)&amp;RIGHT("00"&amp;MINUTE(Sync!$U897),2),IFERROR(RIGHT("00"&amp;VALUE(LEFT(Sync!$U897,FIND(":",Sync!$U897)-1)),2)&amp;RIGHT("00"&amp;VALUE(MID(Sync!$U897,FIND(":",Sync!$U897)+1,2)),2),"0000"))))</f>
        <v/>
      </c>
    </row>
    <row r="902" spans="1:17" x14ac:dyDescent="0.2">
      <c r="A902" t="str">
        <f>IF(Sync!$T898="","",Sync!$T898)</f>
        <v/>
      </c>
      <c r="B902" t="str">
        <f t="shared" si="78"/>
        <v/>
      </c>
      <c r="C902" t="str">
        <f t="shared" si="79"/>
        <v/>
      </c>
      <c r="D902" t="str">
        <f t="shared" si="80"/>
        <v/>
      </c>
      <c r="E902" t="str">
        <f t="shared" si="81"/>
        <v/>
      </c>
      <c r="F902" t="str">
        <f t="shared" si="82"/>
        <v/>
      </c>
      <c r="G902" t="str">
        <f>IF(OR($E902="",$E902="نامعتبر",Sync!$X898=""),"",IF(AND(LEFT(UPPER(TRIM(Sync!$X898)),2)="SL",IFERROR(VLOOKUP(Sync!$W898,OpTbl,3,0),"")="فروش"),UPPER(TRIM(Sync!$X898)),""))</f>
        <v/>
      </c>
      <c r="H902" t="str">
        <f>IF($G902="","",IF(Sync!$W898="","",Sync!$W898))</f>
        <v/>
      </c>
      <c r="I902" t="str">
        <f>IF(OR($G902="",Sync!$Y898=""),"",Sync!$Y898)</f>
        <v/>
      </c>
      <c r="J902" t="str">
        <f>IF(OR($G902="",Sync!$Z898=""),"",Sync!$Z898)</f>
        <v/>
      </c>
      <c r="K902">
        <f>IF($G902="",0,IF(Sync!$AA898="",0,Sync!$AA898))</f>
        <v>0</v>
      </c>
      <c r="L902">
        <f>IF($G902="",0,IF(Sync!$AB898="",0,Sync!$AB898))</f>
        <v>0</v>
      </c>
      <c r="M902" t="str">
        <f t="shared" si="83"/>
        <v/>
      </c>
      <c r="N902">
        <f>IF($G902="",0,IF($H902="مرجوعی فروش",-1,1)*IF(Sync!$AC898="",0,Sync!$AC898))</f>
        <v>0</v>
      </c>
      <c r="O902" t="str">
        <f>IF(OR($G902="",Sync!$V898=""),"",Sync!$V898)</f>
        <v/>
      </c>
      <c r="P902" t="str">
        <f>IF(OR($G902="",Sync!$AD898=""),"",Sync!$AD898)</f>
        <v/>
      </c>
      <c r="Q902" t="str">
        <f>IF($G902="","",IF(Sync!$U898="","0000",IF(AND(ISNUMBER(Sync!$U898),Sync!$U898&gt;=0,Sync!$U898&lt;1),RIGHT("00"&amp;HOUR(Sync!$U898),2)&amp;RIGHT("00"&amp;MINUTE(Sync!$U898),2),IFERROR(RIGHT("00"&amp;VALUE(LEFT(Sync!$U898,FIND(":",Sync!$U898)-1)),2)&amp;RIGHT("00"&amp;VALUE(MID(Sync!$U898,FIND(":",Sync!$U898)+1,2)),2),"0000"))))</f>
        <v/>
      </c>
    </row>
    <row r="903" spans="1:17" x14ac:dyDescent="0.2">
      <c r="A903" t="str">
        <f>IF(Sync!$T899="","",Sync!$T899)</f>
        <v/>
      </c>
      <c r="B903" t="str">
        <f t="shared" si="78"/>
        <v/>
      </c>
      <c r="C903" t="str">
        <f t="shared" si="79"/>
        <v/>
      </c>
      <c r="D903" t="str">
        <f t="shared" si="80"/>
        <v/>
      </c>
      <c r="E903" t="str">
        <f t="shared" si="81"/>
        <v/>
      </c>
      <c r="F903" t="str">
        <f t="shared" si="82"/>
        <v/>
      </c>
      <c r="G903" t="str">
        <f>IF(OR($E903="",$E903="نامعتبر",Sync!$X899=""),"",IF(AND(LEFT(UPPER(TRIM(Sync!$X899)),2)="SL",IFERROR(VLOOKUP(Sync!$W899,OpTbl,3,0),"")="فروش"),UPPER(TRIM(Sync!$X899)),""))</f>
        <v/>
      </c>
      <c r="H903" t="str">
        <f>IF($G903="","",IF(Sync!$W899="","",Sync!$W899))</f>
        <v/>
      </c>
      <c r="I903" t="str">
        <f>IF(OR($G903="",Sync!$Y899=""),"",Sync!$Y899)</f>
        <v/>
      </c>
      <c r="J903" t="str">
        <f>IF(OR($G903="",Sync!$Z899=""),"",Sync!$Z899)</f>
        <v/>
      </c>
      <c r="K903">
        <f>IF($G903="",0,IF(Sync!$AA899="",0,Sync!$AA899))</f>
        <v>0</v>
      </c>
      <c r="L903">
        <f>IF($G903="",0,IF(Sync!$AB899="",0,Sync!$AB899))</f>
        <v>0</v>
      </c>
      <c r="M903" t="str">
        <f t="shared" si="83"/>
        <v/>
      </c>
      <c r="N903">
        <f>IF($G903="",0,IF($H903="مرجوعی فروش",-1,1)*IF(Sync!$AC899="",0,Sync!$AC899))</f>
        <v>0</v>
      </c>
      <c r="O903" t="str">
        <f>IF(OR($G903="",Sync!$V899=""),"",Sync!$V899)</f>
        <v/>
      </c>
      <c r="P903" t="str">
        <f>IF(OR($G903="",Sync!$AD899=""),"",Sync!$AD899)</f>
        <v/>
      </c>
      <c r="Q903" t="str">
        <f>IF($G903="","",IF(Sync!$U899="","0000",IF(AND(ISNUMBER(Sync!$U899),Sync!$U899&gt;=0,Sync!$U899&lt;1),RIGHT("00"&amp;HOUR(Sync!$U899),2)&amp;RIGHT("00"&amp;MINUTE(Sync!$U899),2),IFERROR(RIGHT("00"&amp;VALUE(LEFT(Sync!$U899,FIND(":",Sync!$U899)-1)),2)&amp;RIGHT("00"&amp;VALUE(MID(Sync!$U899,FIND(":",Sync!$U899)+1,2)),2),"0000"))))</f>
        <v/>
      </c>
    </row>
    <row r="904" spans="1:17" x14ac:dyDescent="0.2">
      <c r="A904" t="str">
        <f>IF(Sync!$T900="","",Sync!$T900)</f>
        <v/>
      </c>
      <c r="B904" t="str">
        <f t="shared" si="78"/>
        <v/>
      </c>
      <c r="C904" t="str">
        <f t="shared" si="79"/>
        <v/>
      </c>
      <c r="D904" t="str">
        <f t="shared" si="80"/>
        <v/>
      </c>
      <c r="E904" t="str">
        <f t="shared" si="81"/>
        <v/>
      </c>
      <c r="F904" t="str">
        <f t="shared" si="82"/>
        <v/>
      </c>
      <c r="G904" t="str">
        <f>IF(OR($E904="",$E904="نامعتبر",Sync!$X900=""),"",IF(AND(LEFT(UPPER(TRIM(Sync!$X900)),2)="SL",IFERROR(VLOOKUP(Sync!$W900,OpTbl,3,0),"")="فروش"),UPPER(TRIM(Sync!$X900)),""))</f>
        <v/>
      </c>
      <c r="H904" t="str">
        <f>IF($G904="","",IF(Sync!$W900="","",Sync!$W900))</f>
        <v/>
      </c>
      <c r="I904" t="str">
        <f>IF(OR($G904="",Sync!$Y900=""),"",Sync!$Y900)</f>
        <v/>
      </c>
      <c r="J904" t="str">
        <f>IF(OR($G904="",Sync!$Z900=""),"",Sync!$Z900)</f>
        <v/>
      </c>
      <c r="K904">
        <f>IF($G904="",0,IF(Sync!$AA900="",0,Sync!$AA900))</f>
        <v>0</v>
      </c>
      <c r="L904">
        <f>IF($G904="",0,IF(Sync!$AB900="",0,Sync!$AB900))</f>
        <v>0</v>
      </c>
      <c r="M904" t="str">
        <f t="shared" si="83"/>
        <v/>
      </c>
      <c r="N904">
        <f>IF($G904="",0,IF($H904="مرجوعی فروش",-1,1)*IF(Sync!$AC900="",0,Sync!$AC900))</f>
        <v>0</v>
      </c>
      <c r="O904" t="str">
        <f>IF(OR($G904="",Sync!$V900=""),"",Sync!$V900)</f>
        <v/>
      </c>
      <c r="P904" t="str">
        <f>IF(OR($G904="",Sync!$AD900=""),"",Sync!$AD900)</f>
        <v/>
      </c>
      <c r="Q904" t="str">
        <f>IF($G904="","",IF(Sync!$U900="","0000",IF(AND(ISNUMBER(Sync!$U900),Sync!$U900&gt;=0,Sync!$U900&lt;1),RIGHT("00"&amp;HOUR(Sync!$U900),2)&amp;RIGHT("00"&amp;MINUTE(Sync!$U900),2),IFERROR(RIGHT("00"&amp;VALUE(LEFT(Sync!$U900,FIND(":",Sync!$U900)-1)),2)&amp;RIGHT("00"&amp;VALUE(MID(Sync!$U900,FIND(":",Sync!$U900)+1,2)),2),"0000"))))</f>
        <v/>
      </c>
    </row>
    <row r="905" spans="1:17" x14ac:dyDescent="0.2">
      <c r="A905" t="str">
        <f>IF(Sync!$T901="","",Sync!$T901)</f>
        <v/>
      </c>
      <c r="B905" t="str">
        <f t="shared" si="78"/>
        <v/>
      </c>
      <c r="C905" t="str">
        <f t="shared" si="79"/>
        <v/>
      </c>
      <c r="D905" t="str">
        <f t="shared" si="80"/>
        <v/>
      </c>
      <c r="E905" t="str">
        <f t="shared" si="81"/>
        <v/>
      </c>
      <c r="F905" t="str">
        <f t="shared" si="82"/>
        <v/>
      </c>
      <c r="G905" t="str">
        <f>IF(OR($E905="",$E905="نامعتبر",Sync!$X901=""),"",IF(AND(LEFT(UPPER(TRIM(Sync!$X901)),2)="SL",IFERROR(VLOOKUP(Sync!$W901,OpTbl,3,0),"")="فروش"),UPPER(TRIM(Sync!$X901)),""))</f>
        <v/>
      </c>
      <c r="H905" t="str">
        <f>IF($G905="","",IF(Sync!$W901="","",Sync!$W901))</f>
        <v/>
      </c>
      <c r="I905" t="str">
        <f>IF(OR($G905="",Sync!$Y901=""),"",Sync!$Y901)</f>
        <v/>
      </c>
      <c r="J905" t="str">
        <f>IF(OR($G905="",Sync!$Z901=""),"",Sync!$Z901)</f>
        <v/>
      </c>
      <c r="K905">
        <f>IF($G905="",0,IF(Sync!$AA901="",0,Sync!$AA901))</f>
        <v>0</v>
      </c>
      <c r="L905">
        <f>IF($G905="",0,IF(Sync!$AB901="",0,Sync!$AB901))</f>
        <v>0</v>
      </c>
      <c r="M905" t="str">
        <f t="shared" si="83"/>
        <v/>
      </c>
      <c r="N905">
        <f>IF($G905="",0,IF($H905="مرجوعی فروش",-1,1)*IF(Sync!$AC901="",0,Sync!$AC901))</f>
        <v>0</v>
      </c>
      <c r="O905" t="str">
        <f>IF(OR($G905="",Sync!$V901=""),"",Sync!$V901)</f>
        <v/>
      </c>
      <c r="P905" t="str">
        <f>IF(OR($G905="",Sync!$AD901=""),"",Sync!$AD901)</f>
        <v/>
      </c>
      <c r="Q905" t="str">
        <f>IF($G905="","",IF(Sync!$U901="","0000",IF(AND(ISNUMBER(Sync!$U901),Sync!$U901&gt;=0,Sync!$U901&lt;1),RIGHT("00"&amp;HOUR(Sync!$U901),2)&amp;RIGHT("00"&amp;MINUTE(Sync!$U901),2),IFERROR(RIGHT("00"&amp;VALUE(LEFT(Sync!$U901,FIND(":",Sync!$U901)-1)),2)&amp;RIGHT("00"&amp;VALUE(MID(Sync!$U901,FIND(":",Sync!$U901)+1,2)),2),"0000"))))</f>
        <v/>
      </c>
    </row>
    <row r="906" spans="1:17" x14ac:dyDescent="0.2">
      <c r="A906" t="str">
        <f>IF(Sync!$T902="","",Sync!$T902)</f>
        <v/>
      </c>
      <c r="B906" t="str">
        <f t="shared" ref="B906:B969" si="84">IF($A906="","",IF(ISNUMBER($A906),IF(AND($A906&gt;=10000101,$A906&lt;=99991231),INT($A906/10000),""),IFERROR(VALUE(TRIM(LEFT($A906,FIND("/",$A906)-1))),"")))</f>
        <v/>
      </c>
      <c r="C906" t="str">
        <f t="shared" ref="C906:C969" si="85">IF(OR($A906="",$B906=""),"",IF(ISNUMBER($A906),INT(MOD($A906,10000)/100),IFERROR(VALUE(TRIM(LEFT(MID($A906,FIND("/",$A906)+1,20),FIND("/",MID($A906,FIND("/",$A906)+1,20))-1))),"")))</f>
        <v/>
      </c>
      <c r="D906" t="str">
        <f t="shared" ref="D906:D969" si="86">IF(OR($A906="",$B906=""),"",IF(ISNUMBER($A906),MOD($A906,100),IFERROR(VALUE(TRIM(MID(MID($A906,FIND("/",$A906)+1,20),FIND("/",MID($A906,FIND("/",$A906)+1,20))+1,20))),"")))</f>
        <v/>
      </c>
      <c r="E906" t="str">
        <f t="shared" ref="E906:E969" si="87">IF($A906="","",IF(OR($B906="",$C906="",$D906="",$B906&lt;1300,$B906&gt;1500,$C906&lt;1,$C906&gt;12,$D906&lt;1,$D906&gt;31),"نامعتبر",RIGHT("0000"&amp;$B906,4)&amp;"/"&amp;RIGHT("00"&amp;$C906,2)&amp;"/"&amp;RIGHT("00"&amp;$D906,2)))</f>
        <v/>
      </c>
      <c r="F906" t="str">
        <f t="shared" ref="F906:F969" si="88">IF(OR($E906="",$E906="نامعتبر"),"",LEFT($E906,4)&amp;"/"&amp;MID($E906,6,2))</f>
        <v/>
      </c>
      <c r="G906" t="str">
        <f>IF(OR($E906="",$E906="نامعتبر",Sync!$X902=""),"",IF(AND(LEFT(UPPER(TRIM(Sync!$X902)),2)="SL",IFERROR(VLOOKUP(Sync!$W902,OpTbl,3,0),"")="فروش"),UPPER(TRIM(Sync!$X902)),""))</f>
        <v/>
      </c>
      <c r="H906" t="str">
        <f>IF($G906="","",IF(Sync!$W902="","",Sync!$W902))</f>
        <v/>
      </c>
      <c r="I906" t="str">
        <f>IF(OR($G906="",Sync!$Y902=""),"",Sync!$Y902)</f>
        <v/>
      </c>
      <c r="J906" t="str">
        <f>IF(OR($G906="",Sync!$Z902=""),"",Sync!$Z902)</f>
        <v/>
      </c>
      <c r="K906">
        <f>IF($G906="",0,IF(Sync!$AA902="",0,Sync!$AA902))</f>
        <v>0</v>
      </c>
      <c r="L906">
        <f>IF($G906="",0,IF(Sync!$AB902="",0,Sync!$AB902))</f>
        <v>0</v>
      </c>
      <c r="M906" t="str">
        <f t="shared" ref="M906:M969" si="89">IF($G906="","",IF($H906="مرجوعی فروش",-1,1)*($K906-$L906*IFERROR(VLOOKUP("P01",ParamTbl,3,0),1.5)))</f>
        <v/>
      </c>
      <c r="N906">
        <f>IF($G906="",0,IF($H906="مرجوعی فروش",-1,1)*IF(Sync!$AC902="",0,Sync!$AC902))</f>
        <v>0</v>
      </c>
      <c r="O906" t="str">
        <f>IF(OR($G906="",Sync!$V902=""),"",Sync!$V902)</f>
        <v/>
      </c>
      <c r="P906" t="str">
        <f>IF(OR($G906="",Sync!$AD902=""),"",Sync!$AD902)</f>
        <v/>
      </c>
      <c r="Q906" t="str">
        <f>IF($G906="","",IF(Sync!$U902="","0000",IF(AND(ISNUMBER(Sync!$U902),Sync!$U902&gt;=0,Sync!$U902&lt;1),RIGHT("00"&amp;HOUR(Sync!$U902),2)&amp;RIGHT("00"&amp;MINUTE(Sync!$U902),2),IFERROR(RIGHT("00"&amp;VALUE(LEFT(Sync!$U902,FIND(":",Sync!$U902)-1)),2)&amp;RIGHT("00"&amp;VALUE(MID(Sync!$U902,FIND(":",Sync!$U902)+1,2)),2),"0000"))))</f>
        <v/>
      </c>
    </row>
    <row r="907" spans="1:17" x14ac:dyDescent="0.2">
      <c r="A907" t="str">
        <f>IF(Sync!$T903="","",Sync!$T903)</f>
        <v/>
      </c>
      <c r="B907" t="str">
        <f t="shared" si="84"/>
        <v/>
      </c>
      <c r="C907" t="str">
        <f t="shared" si="85"/>
        <v/>
      </c>
      <c r="D907" t="str">
        <f t="shared" si="86"/>
        <v/>
      </c>
      <c r="E907" t="str">
        <f t="shared" si="87"/>
        <v/>
      </c>
      <c r="F907" t="str">
        <f t="shared" si="88"/>
        <v/>
      </c>
      <c r="G907" t="str">
        <f>IF(OR($E907="",$E907="نامعتبر",Sync!$X903=""),"",IF(AND(LEFT(UPPER(TRIM(Sync!$X903)),2)="SL",IFERROR(VLOOKUP(Sync!$W903,OpTbl,3,0),"")="فروش"),UPPER(TRIM(Sync!$X903)),""))</f>
        <v/>
      </c>
      <c r="H907" t="str">
        <f>IF($G907="","",IF(Sync!$W903="","",Sync!$W903))</f>
        <v/>
      </c>
      <c r="I907" t="str">
        <f>IF(OR($G907="",Sync!$Y903=""),"",Sync!$Y903)</f>
        <v/>
      </c>
      <c r="J907" t="str">
        <f>IF(OR($G907="",Sync!$Z903=""),"",Sync!$Z903)</f>
        <v/>
      </c>
      <c r="K907">
        <f>IF($G907="",0,IF(Sync!$AA903="",0,Sync!$AA903))</f>
        <v>0</v>
      </c>
      <c r="L907">
        <f>IF($G907="",0,IF(Sync!$AB903="",0,Sync!$AB903))</f>
        <v>0</v>
      </c>
      <c r="M907" t="str">
        <f t="shared" si="89"/>
        <v/>
      </c>
      <c r="N907">
        <f>IF($G907="",0,IF($H907="مرجوعی فروش",-1,1)*IF(Sync!$AC903="",0,Sync!$AC903))</f>
        <v>0</v>
      </c>
      <c r="O907" t="str">
        <f>IF(OR($G907="",Sync!$V903=""),"",Sync!$V903)</f>
        <v/>
      </c>
      <c r="P907" t="str">
        <f>IF(OR($G907="",Sync!$AD903=""),"",Sync!$AD903)</f>
        <v/>
      </c>
      <c r="Q907" t="str">
        <f>IF($G907="","",IF(Sync!$U903="","0000",IF(AND(ISNUMBER(Sync!$U903),Sync!$U903&gt;=0,Sync!$U903&lt;1),RIGHT("00"&amp;HOUR(Sync!$U903),2)&amp;RIGHT("00"&amp;MINUTE(Sync!$U903),2),IFERROR(RIGHT("00"&amp;VALUE(LEFT(Sync!$U903,FIND(":",Sync!$U903)-1)),2)&amp;RIGHT("00"&amp;VALUE(MID(Sync!$U903,FIND(":",Sync!$U903)+1,2)),2),"0000"))))</f>
        <v/>
      </c>
    </row>
    <row r="908" spans="1:17" x14ac:dyDescent="0.2">
      <c r="A908" t="str">
        <f>IF(Sync!$T904="","",Sync!$T904)</f>
        <v/>
      </c>
      <c r="B908" t="str">
        <f t="shared" si="84"/>
        <v/>
      </c>
      <c r="C908" t="str">
        <f t="shared" si="85"/>
        <v/>
      </c>
      <c r="D908" t="str">
        <f t="shared" si="86"/>
        <v/>
      </c>
      <c r="E908" t="str">
        <f t="shared" si="87"/>
        <v/>
      </c>
      <c r="F908" t="str">
        <f t="shared" si="88"/>
        <v/>
      </c>
      <c r="G908" t="str">
        <f>IF(OR($E908="",$E908="نامعتبر",Sync!$X904=""),"",IF(AND(LEFT(UPPER(TRIM(Sync!$X904)),2)="SL",IFERROR(VLOOKUP(Sync!$W904,OpTbl,3,0),"")="فروش"),UPPER(TRIM(Sync!$X904)),""))</f>
        <v/>
      </c>
      <c r="H908" t="str">
        <f>IF($G908="","",IF(Sync!$W904="","",Sync!$W904))</f>
        <v/>
      </c>
      <c r="I908" t="str">
        <f>IF(OR($G908="",Sync!$Y904=""),"",Sync!$Y904)</f>
        <v/>
      </c>
      <c r="J908" t="str">
        <f>IF(OR($G908="",Sync!$Z904=""),"",Sync!$Z904)</f>
        <v/>
      </c>
      <c r="K908">
        <f>IF($G908="",0,IF(Sync!$AA904="",0,Sync!$AA904))</f>
        <v>0</v>
      </c>
      <c r="L908">
        <f>IF($G908="",0,IF(Sync!$AB904="",0,Sync!$AB904))</f>
        <v>0</v>
      </c>
      <c r="M908" t="str">
        <f t="shared" si="89"/>
        <v/>
      </c>
      <c r="N908">
        <f>IF($G908="",0,IF($H908="مرجوعی فروش",-1,1)*IF(Sync!$AC904="",0,Sync!$AC904))</f>
        <v>0</v>
      </c>
      <c r="O908" t="str">
        <f>IF(OR($G908="",Sync!$V904=""),"",Sync!$V904)</f>
        <v/>
      </c>
      <c r="P908" t="str">
        <f>IF(OR($G908="",Sync!$AD904=""),"",Sync!$AD904)</f>
        <v/>
      </c>
      <c r="Q908" t="str">
        <f>IF($G908="","",IF(Sync!$U904="","0000",IF(AND(ISNUMBER(Sync!$U904),Sync!$U904&gt;=0,Sync!$U904&lt;1),RIGHT("00"&amp;HOUR(Sync!$U904),2)&amp;RIGHT("00"&amp;MINUTE(Sync!$U904),2),IFERROR(RIGHT("00"&amp;VALUE(LEFT(Sync!$U904,FIND(":",Sync!$U904)-1)),2)&amp;RIGHT("00"&amp;VALUE(MID(Sync!$U904,FIND(":",Sync!$U904)+1,2)),2),"0000"))))</f>
        <v/>
      </c>
    </row>
    <row r="909" spans="1:17" x14ac:dyDescent="0.2">
      <c r="A909" t="str">
        <f>IF(Sync!$T905="","",Sync!$T905)</f>
        <v/>
      </c>
      <c r="B909" t="str">
        <f t="shared" si="84"/>
        <v/>
      </c>
      <c r="C909" t="str">
        <f t="shared" si="85"/>
        <v/>
      </c>
      <c r="D909" t="str">
        <f t="shared" si="86"/>
        <v/>
      </c>
      <c r="E909" t="str">
        <f t="shared" si="87"/>
        <v/>
      </c>
      <c r="F909" t="str">
        <f t="shared" si="88"/>
        <v/>
      </c>
      <c r="G909" t="str">
        <f>IF(OR($E909="",$E909="نامعتبر",Sync!$X905=""),"",IF(AND(LEFT(UPPER(TRIM(Sync!$X905)),2)="SL",IFERROR(VLOOKUP(Sync!$W905,OpTbl,3,0),"")="فروش"),UPPER(TRIM(Sync!$X905)),""))</f>
        <v/>
      </c>
      <c r="H909" t="str">
        <f>IF($G909="","",IF(Sync!$W905="","",Sync!$W905))</f>
        <v/>
      </c>
      <c r="I909" t="str">
        <f>IF(OR($G909="",Sync!$Y905=""),"",Sync!$Y905)</f>
        <v/>
      </c>
      <c r="J909" t="str">
        <f>IF(OR($G909="",Sync!$Z905=""),"",Sync!$Z905)</f>
        <v/>
      </c>
      <c r="K909">
        <f>IF($G909="",0,IF(Sync!$AA905="",0,Sync!$AA905))</f>
        <v>0</v>
      </c>
      <c r="L909">
        <f>IF($G909="",0,IF(Sync!$AB905="",0,Sync!$AB905))</f>
        <v>0</v>
      </c>
      <c r="M909" t="str">
        <f t="shared" si="89"/>
        <v/>
      </c>
      <c r="N909">
        <f>IF($G909="",0,IF($H909="مرجوعی فروش",-1,1)*IF(Sync!$AC905="",0,Sync!$AC905))</f>
        <v>0</v>
      </c>
      <c r="O909" t="str">
        <f>IF(OR($G909="",Sync!$V905=""),"",Sync!$V905)</f>
        <v/>
      </c>
      <c r="P909" t="str">
        <f>IF(OR($G909="",Sync!$AD905=""),"",Sync!$AD905)</f>
        <v/>
      </c>
      <c r="Q909" t="str">
        <f>IF($G909="","",IF(Sync!$U905="","0000",IF(AND(ISNUMBER(Sync!$U905),Sync!$U905&gt;=0,Sync!$U905&lt;1),RIGHT("00"&amp;HOUR(Sync!$U905),2)&amp;RIGHT("00"&amp;MINUTE(Sync!$U905),2),IFERROR(RIGHT("00"&amp;VALUE(LEFT(Sync!$U905,FIND(":",Sync!$U905)-1)),2)&amp;RIGHT("00"&amp;VALUE(MID(Sync!$U905,FIND(":",Sync!$U905)+1,2)),2),"0000"))))</f>
        <v/>
      </c>
    </row>
    <row r="910" spans="1:17" x14ac:dyDescent="0.2">
      <c r="A910" t="str">
        <f>IF(Sync!$T906="","",Sync!$T906)</f>
        <v/>
      </c>
      <c r="B910" t="str">
        <f t="shared" si="84"/>
        <v/>
      </c>
      <c r="C910" t="str">
        <f t="shared" si="85"/>
        <v/>
      </c>
      <c r="D910" t="str">
        <f t="shared" si="86"/>
        <v/>
      </c>
      <c r="E910" t="str">
        <f t="shared" si="87"/>
        <v/>
      </c>
      <c r="F910" t="str">
        <f t="shared" si="88"/>
        <v/>
      </c>
      <c r="G910" t="str">
        <f>IF(OR($E910="",$E910="نامعتبر",Sync!$X906=""),"",IF(AND(LEFT(UPPER(TRIM(Sync!$X906)),2)="SL",IFERROR(VLOOKUP(Sync!$W906,OpTbl,3,0),"")="فروش"),UPPER(TRIM(Sync!$X906)),""))</f>
        <v/>
      </c>
      <c r="H910" t="str">
        <f>IF($G910="","",IF(Sync!$W906="","",Sync!$W906))</f>
        <v/>
      </c>
      <c r="I910" t="str">
        <f>IF(OR($G910="",Sync!$Y906=""),"",Sync!$Y906)</f>
        <v/>
      </c>
      <c r="J910" t="str">
        <f>IF(OR($G910="",Sync!$Z906=""),"",Sync!$Z906)</f>
        <v/>
      </c>
      <c r="K910">
        <f>IF($G910="",0,IF(Sync!$AA906="",0,Sync!$AA906))</f>
        <v>0</v>
      </c>
      <c r="L910">
        <f>IF($G910="",0,IF(Sync!$AB906="",0,Sync!$AB906))</f>
        <v>0</v>
      </c>
      <c r="M910" t="str">
        <f t="shared" si="89"/>
        <v/>
      </c>
      <c r="N910">
        <f>IF($G910="",0,IF($H910="مرجوعی فروش",-1,1)*IF(Sync!$AC906="",0,Sync!$AC906))</f>
        <v>0</v>
      </c>
      <c r="O910" t="str">
        <f>IF(OR($G910="",Sync!$V906=""),"",Sync!$V906)</f>
        <v/>
      </c>
      <c r="P910" t="str">
        <f>IF(OR($G910="",Sync!$AD906=""),"",Sync!$AD906)</f>
        <v/>
      </c>
      <c r="Q910" t="str">
        <f>IF($G910="","",IF(Sync!$U906="","0000",IF(AND(ISNUMBER(Sync!$U906),Sync!$U906&gt;=0,Sync!$U906&lt;1),RIGHT("00"&amp;HOUR(Sync!$U906),2)&amp;RIGHT("00"&amp;MINUTE(Sync!$U906),2),IFERROR(RIGHT("00"&amp;VALUE(LEFT(Sync!$U906,FIND(":",Sync!$U906)-1)),2)&amp;RIGHT("00"&amp;VALUE(MID(Sync!$U906,FIND(":",Sync!$U906)+1,2)),2),"0000"))))</f>
        <v/>
      </c>
    </row>
    <row r="911" spans="1:17" x14ac:dyDescent="0.2">
      <c r="A911" t="str">
        <f>IF(Sync!$T907="","",Sync!$T907)</f>
        <v/>
      </c>
      <c r="B911" t="str">
        <f t="shared" si="84"/>
        <v/>
      </c>
      <c r="C911" t="str">
        <f t="shared" si="85"/>
        <v/>
      </c>
      <c r="D911" t="str">
        <f t="shared" si="86"/>
        <v/>
      </c>
      <c r="E911" t="str">
        <f t="shared" si="87"/>
        <v/>
      </c>
      <c r="F911" t="str">
        <f t="shared" si="88"/>
        <v/>
      </c>
      <c r="G911" t="str">
        <f>IF(OR($E911="",$E911="نامعتبر",Sync!$X907=""),"",IF(AND(LEFT(UPPER(TRIM(Sync!$X907)),2)="SL",IFERROR(VLOOKUP(Sync!$W907,OpTbl,3,0),"")="فروش"),UPPER(TRIM(Sync!$X907)),""))</f>
        <v/>
      </c>
      <c r="H911" t="str">
        <f>IF($G911="","",IF(Sync!$W907="","",Sync!$W907))</f>
        <v/>
      </c>
      <c r="I911" t="str">
        <f>IF(OR($G911="",Sync!$Y907=""),"",Sync!$Y907)</f>
        <v/>
      </c>
      <c r="J911" t="str">
        <f>IF(OR($G911="",Sync!$Z907=""),"",Sync!$Z907)</f>
        <v/>
      </c>
      <c r="K911">
        <f>IF($G911="",0,IF(Sync!$AA907="",0,Sync!$AA907))</f>
        <v>0</v>
      </c>
      <c r="L911">
        <f>IF($G911="",0,IF(Sync!$AB907="",0,Sync!$AB907))</f>
        <v>0</v>
      </c>
      <c r="M911" t="str">
        <f t="shared" si="89"/>
        <v/>
      </c>
      <c r="N911">
        <f>IF($G911="",0,IF($H911="مرجوعی فروش",-1,1)*IF(Sync!$AC907="",0,Sync!$AC907))</f>
        <v>0</v>
      </c>
      <c r="O911" t="str">
        <f>IF(OR($G911="",Sync!$V907=""),"",Sync!$V907)</f>
        <v/>
      </c>
      <c r="P911" t="str">
        <f>IF(OR($G911="",Sync!$AD907=""),"",Sync!$AD907)</f>
        <v/>
      </c>
      <c r="Q911" t="str">
        <f>IF($G911="","",IF(Sync!$U907="","0000",IF(AND(ISNUMBER(Sync!$U907),Sync!$U907&gt;=0,Sync!$U907&lt;1),RIGHT("00"&amp;HOUR(Sync!$U907),2)&amp;RIGHT("00"&amp;MINUTE(Sync!$U907),2),IFERROR(RIGHT("00"&amp;VALUE(LEFT(Sync!$U907,FIND(":",Sync!$U907)-1)),2)&amp;RIGHT("00"&amp;VALUE(MID(Sync!$U907,FIND(":",Sync!$U907)+1,2)),2),"0000"))))</f>
        <v/>
      </c>
    </row>
    <row r="912" spans="1:17" x14ac:dyDescent="0.2">
      <c r="A912" t="str">
        <f>IF(Sync!$T908="","",Sync!$T908)</f>
        <v/>
      </c>
      <c r="B912" t="str">
        <f t="shared" si="84"/>
        <v/>
      </c>
      <c r="C912" t="str">
        <f t="shared" si="85"/>
        <v/>
      </c>
      <c r="D912" t="str">
        <f t="shared" si="86"/>
        <v/>
      </c>
      <c r="E912" t="str">
        <f t="shared" si="87"/>
        <v/>
      </c>
      <c r="F912" t="str">
        <f t="shared" si="88"/>
        <v/>
      </c>
      <c r="G912" t="str">
        <f>IF(OR($E912="",$E912="نامعتبر",Sync!$X908=""),"",IF(AND(LEFT(UPPER(TRIM(Sync!$X908)),2)="SL",IFERROR(VLOOKUP(Sync!$W908,OpTbl,3,0),"")="فروش"),UPPER(TRIM(Sync!$X908)),""))</f>
        <v/>
      </c>
      <c r="H912" t="str">
        <f>IF($G912="","",IF(Sync!$W908="","",Sync!$W908))</f>
        <v/>
      </c>
      <c r="I912" t="str">
        <f>IF(OR($G912="",Sync!$Y908=""),"",Sync!$Y908)</f>
        <v/>
      </c>
      <c r="J912" t="str">
        <f>IF(OR($G912="",Sync!$Z908=""),"",Sync!$Z908)</f>
        <v/>
      </c>
      <c r="K912">
        <f>IF($G912="",0,IF(Sync!$AA908="",0,Sync!$AA908))</f>
        <v>0</v>
      </c>
      <c r="L912">
        <f>IF($G912="",0,IF(Sync!$AB908="",0,Sync!$AB908))</f>
        <v>0</v>
      </c>
      <c r="M912" t="str">
        <f t="shared" si="89"/>
        <v/>
      </c>
      <c r="N912">
        <f>IF($G912="",0,IF($H912="مرجوعی فروش",-1,1)*IF(Sync!$AC908="",0,Sync!$AC908))</f>
        <v>0</v>
      </c>
      <c r="O912" t="str">
        <f>IF(OR($G912="",Sync!$V908=""),"",Sync!$V908)</f>
        <v/>
      </c>
      <c r="P912" t="str">
        <f>IF(OR($G912="",Sync!$AD908=""),"",Sync!$AD908)</f>
        <v/>
      </c>
      <c r="Q912" t="str">
        <f>IF($G912="","",IF(Sync!$U908="","0000",IF(AND(ISNUMBER(Sync!$U908),Sync!$U908&gt;=0,Sync!$U908&lt;1),RIGHT("00"&amp;HOUR(Sync!$U908),2)&amp;RIGHT("00"&amp;MINUTE(Sync!$U908),2),IFERROR(RIGHT("00"&amp;VALUE(LEFT(Sync!$U908,FIND(":",Sync!$U908)-1)),2)&amp;RIGHT("00"&amp;VALUE(MID(Sync!$U908,FIND(":",Sync!$U908)+1,2)),2),"0000"))))</f>
        <v/>
      </c>
    </row>
    <row r="913" spans="1:17" x14ac:dyDescent="0.2">
      <c r="A913" t="str">
        <f>IF(Sync!$T909="","",Sync!$T909)</f>
        <v/>
      </c>
      <c r="B913" t="str">
        <f t="shared" si="84"/>
        <v/>
      </c>
      <c r="C913" t="str">
        <f t="shared" si="85"/>
        <v/>
      </c>
      <c r="D913" t="str">
        <f t="shared" si="86"/>
        <v/>
      </c>
      <c r="E913" t="str">
        <f t="shared" si="87"/>
        <v/>
      </c>
      <c r="F913" t="str">
        <f t="shared" si="88"/>
        <v/>
      </c>
      <c r="G913" t="str">
        <f>IF(OR($E913="",$E913="نامعتبر",Sync!$X909=""),"",IF(AND(LEFT(UPPER(TRIM(Sync!$X909)),2)="SL",IFERROR(VLOOKUP(Sync!$W909,OpTbl,3,0),"")="فروش"),UPPER(TRIM(Sync!$X909)),""))</f>
        <v/>
      </c>
      <c r="H913" t="str">
        <f>IF($G913="","",IF(Sync!$W909="","",Sync!$W909))</f>
        <v/>
      </c>
      <c r="I913" t="str">
        <f>IF(OR($G913="",Sync!$Y909=""),"",Sync!$Y909)</f>
        <v/>
      </c>
      <c r="J913" t="str">
        <f>IF(OR($G913="",Sync!$Z909=""),"",Sync!$Z909)</f>
        <v/>
      </c>
      <c r="K913">
        <f>IF($G913="",0,IF(Sync!$AA909="",0,Sync!$AA909))</f>
        <v>0</v>
      </c>
      <c r="L913">
        <f>IF($G913="",0,IF(Sync!$AB909="",0,Sync!$AB909))</f>
        <v>0</v>
      </c>
      <c r="M913" t="str">
        <f t="shared" si="89"/>
        <v/>
      </c>
      <c r="N913">
        <f>IF($G913="",0,IF($H913="مرجوعی فروش",-1,1)*IF(Sync!$AC909="",0,Sync!$AC909))</f>
        <v>0</v>
      </c>
      <c r="O913" t="str">
        <f>IF(OR($G913="",Sync!$V909=""),"",Sync!$V909)</f>
        <v/>
      </c>
      <c r="P913" t="str">
        <f>IF(OR($G913="",Sync!$AD909=""),"",Sync!$AD909)</f>
        <v/>
      </c>
      <c r="Q913" t="str">
        <f>IF($G913="","",IF(Sync!$U909="","0000",IF(AND(ISNUMBER(Sync!$U909),Sync!$U909&gt;=0,Sync!$U909&lt;1),RIGHT("00"&amp;HOUR(Sync!$U909),2)&amp;RIGHT("00"&amp;MINUTE(Sync!$U909),2),IFERROR(RIGHT("00"&amp;VALUE(LEFT(Sync!$U909,FIND(":",Sync!$U909)-1)),2)&amp;RIGHT("00"&amp;VALUE(MID(Sync!$U909,FIND(":",Sync!$U909)+1,2)),2),"0000"))))</f>
        <v/>
      </c>
    </row>
    <row r="914" spans="1:17" x14ac:dyDescent="0.2">
      <c r="A914" t="str">
        <f>IF(Sync!$T910="","",Sync!$T910)</f>
        <v/>
      </c>
      <c r="B914" t="str">
        <f t="shared" si="84"/>
        <v/>
      </c>
      <c r="C914" t="str">
        <f t="shared" si="85"/>
        <v/>
      </c>
      <c r="D914" t="str">
        <f t="shared" si="86"/>
        <v/>
      </c>
      <c r="E914" t="str">
        <f t="shared" si="87"/>
        <v/>
      </c>
      <c r="F914" t="str">
        <f t="shared" si="88"/>
        <v/>
      </c>
      <c r="G914" t="str">
        <f>IF(OR($E914="",$E914="نامعتبر",Sync!$X910=""),"",IF(AND(LEFT(UPPER(TRIM(Sync!$X910)),2)="SL",IFERROR(VLOOKUP(Sync!$W910,OpTbl,3,0),"")="فروش"),UPPER(TRIM(Sync!$X910)),""))</f>
        <v/>
      </c>
      <c r="H914" t="str">
        <f>IF($G914="","",IF(Sync!$W910="","",Sync!$W910))</f>
        <v/>
      </c>
      <c r="I914" t="str">
        <f>IF(OR($G914="",Sync!$Y910=""),"",Sync!$Y910)</f>
        <v/>
      </c>
      <c r="J914" t="str">
        <f>IF(OR($G914="",Sync!$Z910=""),"",Sync!$Z910)</f>
        <v/>
      </c>
      <c r="K914">
        <f>IF($G914="",0,IF(Sync!$AA910="",0,Sync!$AA910))</f>
        <v>0</v>
      </c>
      <c r="L914">
        <f>IF($G914="",0,IF(Sync!$AB910="",0,Sync!$AB910))</f>
        <v>0</v>
      </c>
      <c r="M914" t="str">
        <f t="shared" si="89"/>
        <v/>
      </c>
      <c r="N914">
        <f>IF($G914="",0,IF($H914="مرجوعی فروش",-1,1)*IF(Sync!$AC910="",0,Sync!$AC910))</f>
        <v>0</v>
      </c>
      <c r="O914" t="str">
        <f>IF(OR($G914="",Sync!$V910=""),"",Sync!$V910)</f>
        <v/>
      </c>
      <c r="P914" t="str">
        <f>IF(OR($G914="",Sync!$AD910=""),"",Sync!$AD910)</f>
        <v/>
      </c>
      <c r="Q914" t="str">
        <f>IF($G914="","",IF(Sync!$U910="","0000",IF(AND(ISNUMBER(Sync!$U910),Sync!$U910&gt;=0,Sync!$U910&lt;1),RIGHT("00"&amp;HOUR(Sync!$U910),2)&amp;RIGHT("00"&amp;MINUTE(Sync!$U910),2),IFERROR(RIGHT("00"&amp;VALUE(LEFT(Sync!$U910,FIND(":",Sync!$U910)-1)),2)&amp;RIGHT("00"&amp;VALUE(MID(Sync!$U910,FIND(":",Sync!$U910)+1,2)),2),"0000"))))</f>
        <v/>
      </c>
    </row>
    <row r="915" spans="1:17" x14ac:dyDescent="0.2">
      <c r="A915" t="str">
        <f>IF(Sync!$T911="","",Sync!$T911)</f>
        <v/>
      </c>
      <c r="B915" t="str">
        <f t="shared" si="84"/>
        <v/>
      </c>
      <c r="C915" t="str">
        <f t="shared" si="85"/>
        <v/>
      </c>
      <c r="D915" t="str">
        <f t="shared" si="86"/>
        <v/>
      </c>
      <c r="E915" t="str">
        <f t="shared" si="87"/>
        <v/>
      </c>
      <c r="F915" t="str">
        <f t="shared" si="88"/>
        <v/>
      </c>
      <c r="G915" t="str">
        <f>IF(OR($E915="",$E915="نامعتبر",Sync!$X911=""),"",IF(AND(LEFT(UPPER(TRIM(Sync!$X911)),2)="SL",IFERROR(VLOOKUP(Sync!$W911,OpTbl,3,0),"")="فروش"),UPPER(TRIM(Sync!$X911)),""))</f>
        <v/>
      </c>
      <c r="H915" t="str">
        <f>IF($G915="","",IF(Sync!$W911="","",Sync!$W911))</f>
        <v/>
      </c>
      <c r="I915" t="str">
        <f>IF(OR($G915="",Sync!$Y911=""),"",Sync!$Y911)</f>
        <v/>
      </c>
      <c r="J915" t="str">
        <f>IF(OR($G915="",Sync!$Z911=""),"",Sync!$Z911)</f>
        <v/>
      </c>
      <c r="K915">
        <f>IF($G915="",0,IF(Sync!$AA911="",0,Sync!$AA911))</f>
        <v>0</v>
      </c>
      <c r="L915">
        <f>IF($G915="",0,IF(Sync!$AB911="",0,Sync!$AB911))</f>
        <v>0</v>
      </c>
      <c r="M915" t="str">
        <f t="shared" si="89"/>
        <v/>
      </c>
      <c r="N915">
        <f>IF($G915="",0,IF($H915="مرجوعی فروش",-1,1)*IF(Sync!$AC911="",0,Sync!$AC911))</f>
        <v>0</v>
      </c>
      <c r="O915" t="str">
        <f>IF(OR($G915="",Sync!$V911=""),"",Sync!$V911)</f>
        <v/>
      </c>
      <c r="P915" t="str">
        <f>IF(OR($G915="",Sync!$AD911=""),"",Sync!$AD911)</f>
        <v/>
      </c>
      <c r="Q915" t="str">
        <f>IF($G915="","",IF(Sync!$U911="","0000",IF(AND(ISNUMBER(Sync!$U911),Sync!$U911&gt;=0,Sync!$U911&lt;1),RIGHT("00"&amp;HOUR(Sync!$U911),2)&amp;RIGHT("00"&amp;MINUTE(Sync!$U911),2),IFERROR(RIGHT("00"&amp;VALUE(LEFT(Sync!$U911,FIND(":",Sync!$U911)-1)),2)&amp;RIGHT("00"&amp;VALUE(MID(Sync!$U911,FIND(":",Sync!$U911)+1,2)),2),"0000"))))</f>
        <v/>
      </c>
    </row>
    <row r="916" spans="1:17" x14ac:dyDescent="0.2">
      <c r="A916" t="str">
        <f>IF(Sync!$T912="","",Sync!$T912)</f>
        <v/>
      </c>
      <c r="B916" t="str">
        <f t="shared" si="84"/>
        <v/>
      </c>
      <c r="C916" t="str">
        <f t="shared" si="85"/>
        <v/>
      </c>
      <c r="D916" t="str">
        <f t="shared" si="86"/>
        <v/>
      </c>
      <c r="E916" t="str">
        <f t="shared" si="87"/>
        <v/>
      </c>
      <c r="F916" t="str">
        <f t="shared" si="88"/>
        <v/>
      </c>
      <c r="G916" t="str">
        <f>IF(OR($E916="",$E916="نامعتبر",Sync!$X912=""),"",IF(AND(LEFT(UPPER(TRIM(Sync!$X912)),2)="SL",IFERROR(VLOOKUP(Sync!$W912,OpTbl,3,0),"")="فروش"),UPPER(TRIM(Sync!$X912)),""))</f>
        <v/>
      </c>
      <c r="H916" t="str">
        <f>IF($G916="","",IF(Sync!$W912="","",Sync!$W912))</f>
        <v/>
      </c>
      <c r="I916" t="str">
        <f>IF(OR($G916="",Sync!$Y912=""),"",Sync!$Y912)</f>
        <v/>
      </c>
      <c r="J916" t="str">
        <f>IF(OR($G916="",Sync!$Z912=""),"",Sync!$Z912)</f>
        <v/>
      </c>
      <c r="K916">
        <f>IF($G916="",0,IF(Sync!$AA912="",0,Sync!$AA912))</f>
        <v>0</v>
      </c>
      <c r="L916">
        <f>IF($G916="",0,IF(Sync!$AB912="",0,Sync!$AB912))</f>
        <v>0</v>
      </c>
      <c r="M916" t="str">
        <f t="shared" si="89"/>
        <v/>
      </c>
      <c r="N916">
        <f>IF($G916="",0,IF($H916="مرجوعی فروش",-1,1)*IF(Sync!$AC912="",0,Sync!$AC912))</f>
        <v>0</v>
      </c>
      <c r="O916" t="str">
        <f>IF(OR($G916="",Sync!$V912=""),"",Sync!$V912)</f>
        <v/>
      </c>
      <c r="P916" t="str">
        <f>IF(OR($G916="",Sync!$AD912=""),"",Sync!$AD912)</f>
        <v/>
      </c>
      <c r="Q916" t="str">
        <f>IF($G916="","",IF(Sync!$U912="","0000",IF(AND(ISNUMBER(Sync!$U912),Sync!$U912&gt;=0,Sync!$U912&lt;1),RIGHT("00"&amp;HOUR(Sync!$U912),2)&amp;RIGHT("00"&amp;MINUTE(Sync!$U912),2),IFERROR(RIGHT("00"&amp;VALUE(LEFT(Sync!$U912,FIND(":",Sync!$U912)-1)),2)&amp;RIGHT("00"&amp;VALUE(MID(Sync!$U912,FIND(":",Sync!$U912)+1,2)),2),"0000"))))</f>
        <v/>
      </c>
    </row>
    <row r="917" spans="1:17" x14ac:dyDescent="0.2">
      <c r="A917" t="str">
        <f>IF(Sync!$T913="","",Sync!$T913)</f>
        <v/>
      </c>
      <c r="B917" t="str">
        <f t="shared" si="84"/>
        <v/>
      </c>
      <c r="C917" t="str">
        <f t="shared" si="85"/>
        <v/>
      </c>
      <c r="D917" t="str">
        <f t="shared" si="86"/>
        <v/>
      </c>
      <c r="E917" t="str">
        <f t="shared" si="87"/>
        <v/>
      </c>
      <c r="F917" t="str">
        <f t="shared" si="88"/>
        <v/>
      </c>
      <c r="G917" t="str">
        <f>IF(OR($E917="",$E917="نامعتبر",Sync!$X913=""),"",IF(AND(LEFT(UPPER(TRIM(Sync!$X913)),2)="SL",IFERROR(VLOOKUP(Sync!$W913,OpTbl,3,0),"")="فروش"),UPPER(TRIM(Sync!$X913)),""))</f>
        <v/>
      </c>
      <c r="H917" t="str">
        <f>IF($G917="","",IF(Sync!$W913="","",Sync!$W913))</f>
        <v/>
      </c>
      <c r="I917" t="str">
        <f>IF(OR($G917="",Sync!$Y913=""),"",Sync!$Y913)</f>
        <v/>
      </c>
      <c r="J917" t="str">
        <f>IF(OR($G917="",Sync!$Z913=""),"",Sync!$Z913)</f>
        <v/>
      </c>
      <c r="K917">
        <f>IF($G917="",0,IF(Sync!$AA913="",0,Sync!$AA913))</f>
        <v>0</v>
      </c>
      <c r="L917">
        <f>IF($G917="",0,IF(Sync!$AB913="",0,Sync!$AB913))</f>
        <v>0</v>
      </c>
      <c r="M917" t="str">
        <f t="shared" si="89"/>
        <v/>
      </c>
      <c r="N917">
        <f>IF($G917="",0,IF($H917="مرجوعی فروش",-1,1)*IF(Sync!$AC913="",0,Sync!$AC913))</f>
        <v>0</v>
      </c>
      <c r="O917" t="str">
        <f>IF(OR($G917="",Sync!$V913=""),"",Sync!$V913)</f>
        <v/>
      </c>
      <c r="P917" t="str">
        <f>IF(OR($G917="",Sync!$AD913=""),"",Sync!$AD913)</f>
        <v/>
      </c>
      <c r="Q917" t="str">
        <f>IF($G917="","",IF(Sync!$U913="","0000",IF(AND(ISNUMBER(Sync!$U913),Sync!$U913&gt;=0,Sync!$U913&lt;1),RIGHT("00"&amp;HOUR(Sync!$U913),2)&amp;RIGHT("00"&amp;MINUTE(Sync!$U913),2),IFERROR(RIGHT("00"&amp;VALUE(LEFT(Sync!$U913,FIND(":",Sync!$U913)-1)),2)&amp;RIGHT("00"&amp;VALUE(MID(Sync!$U913,FIND(":",Sync!$U913)+1,2)),2),"0000"))))</f>
        <v/>
      </c>
    </row>
    <row r="918" spans="1:17" x14ac:dyDescent="0.2">
      <c r="A918" t="str">
        <f>IF(Sync!$T914="","",Sync!$T914)</f>
        <v/>
      </c>
      <c r="B918" t="str">
        <f t="shared" si="84"/>
        <v/>
      </c>
      <c r="C918" t="str">
        <f t="shared" si="85"/>
        <v/>
      </c>
      <c r="D918" t="str">
        <f t="shared" si="86"/>
        <v/>
      </c>
      <c r="E918" t="str">
        <f t="shared" si="87"/>
        <v/>
      </c>
      <c r="F918" t="str">
        <f t="shared" si="88"/>
        <v/>
      </c>
      <c r="G918" t="str">
        <f>IF(OR($E918="",$E918="نامعتبر",Sync!$X914=""),"",IF(AND(LEFT(UPPER(TRIM(Sync!$X914)),2)="SL",IFERROR(VLOOKUP(Sync!$W914,OpTbl,3,0),"")="فروش"),UPPER(TRIM(Sync!$X914)),""))</f>
        <v/>
      </c>
      <c r="H918" t="str">
        <f>IF($G918="","",IF(Sync!$W914="","",Sync!$W914))</f>
        <v/>
      </c>
      <c r="I918" t="str">
        <f>IF(OR($G918="",Sync!$Y914=""),"",Sync!$Y914)</f>
        <v/>
      </c>
      <c r="J918" t="str">
        <f>IF(OR($G918="",Sync!$Z914=""),"",Sync!$Z914)</f>
        <v/>
      </c>
      <c r="K918">
        <f>IF($G918="",0,IF(Sync!$AA914="",0,Sync!$AA914))</f>
        <v>0</v>
      </c>
      <c r="L918">
        <f>IF($G918="",0,IF(Sync!$AB914="",0,Sync!$AB914))</f>
        <v>0</v>
      </c>
      <c r="M918" t="str">
        <f t="shared" si="89"/>
        <v/>
      </c>
      <c r="N918">
        <f>IF($G918="",0,IF($H918="مرجوعی فروش",-1,1)*IF(Sync!$AC914="",0,Sync!$AC914))</f>
        <v>0</v>
      </c>
      <c r="O918" t="str">
        <f>IF(OR($G918="",Sync!$V914=""),"",Sync!$V914)</f>
        <v/>
      </c>
      <c r="P918" t="str">
        <f>IF(OR($G918="",Sync!$AD914=""),"",Sync!$AD914)</f>
        <v/>
      </c>
      <c r="Q918" t="str">
        <f>IF($G918="","",IF(Sync!$U914="","0000",IF(AND(ISNUMBER(Sync!$U914),Sync!$U914&gt;=0,Sync!$U914&lt;1),RIGHT("00"&amp;HOUR(Sync!$U914),2)&amp;RIGHT("00"&amp;MINUTE(Sync!$U914),2),IFERROR(RIGHT("00"&amp;VALUE(LEFT(Sync!$U914,FIND(":",Sync!$U914)-1)),2)&amp;RIGHT("00"&amp;VALUE(MID(Sync!$U914,FIND(":",Sync!$U914)+1,2)),2),"0000"))))</f>
        <v/>
      </c>
    </row>
    <row r="919" spans="1:17" x14ac:dyDescent="0.2">
      <c r="A919" t="str">
        <f>IF(Sync!$T915="","",Sync!$T915)</f>
        <v/>
      </c>
      <c r="B919" t="str">
        <f t="shared" si="84"/>
        <v/>
      </c>
      <c r="C919" t="str">
        <f t="shared" si="85"/>
        <v/>
      </c>
      <c r="D919" t="str">
        <f t="shared" si="86"/>
        <v/>
      </c>
      <c r="E919" t="str">
        <f t="shared" si="87"/>
        <v/>
      </c>
      <c r="F919" t="str">
        <f t="shared" si="88"/>
        <v/>
      </c>
      <c r="G919" t="str">
        <f>IF(OR($E919="",$E919="نامعتبر",Sync!$X915=""),"",IF(AND(LEFT(UPPER(TRIM(Sync!$X915)),2)="SL",IFERROR(VLOOKUP(Sync!$W915,OpTbl,3,0),"")="فروش"),UPPER(TRIM(Sync!$X915)),""))</f>
        <v/>
      </c>
      <c r="H919" t="str">
        <f>IF($G919="","",IF(Sync!$W915="","",Sync!$W915))</f>
        <v/>
      </c>
      <c r="I919" t="str">
        <f>IF(OR($G919="",Sync!$Y915=""),"",Sync!$Y915)</f>
        <v/>
      </c>
      <c r="J919" t="str">
        <f>IF(OR($G919="",Sync!$Z915=""),"",Sync!$Z915)</f>
        <v/>
      </c>
      <c r="K919">
        <f>IF($G919="",0,IF(Sync!$AA915="",0,Sync!$AA915))</f>
        <v>0</v>
      </c>
      <c r="L919">
        <f>IF($G919="",0,IF(Sync!$AB915="",0,Sync!$AB915))</f>
        <v>0</v>
      </c>
      <c r="M919" t="str">
        <f t="shared" si="89"/>
        <v/>
      </c>
      <c r="N919">
        <f>IF($G919="",0,IF($H919="مرجوعی فروش",-1,1)*IF(Sync!$AC915="",0,Sync!$AC915))</f>
        <v>0</v>
      </c>
      <c r="O919" t="str">
        <f>IF(OR($G919="",Sync!$V915=""),"",Sync!$V915)</f>
        <v/>
      </c>
      <c r="P919" t="str">
        <f>IF(OR($G919="",Sync!$AD915=""),"",Sync!$AD915)</f>
        <v/>
      </c>
      <c r="Q919" t="str">
        <f>IF($G919="","",IF(Sync!$U915="","0000",IF(AND(ISNUMBER(Sync!$U915),Sync!$U915&gt;=0,Sync!$U915&lt;1),RIGHT("00"&amp;HOUR(Sync!$U915),2)&amp;RIGHT("00"&amp;MINUTE(Sync!$U915),2),IFERROR(RIGHT("00"&amp;VALUE(LEFT(Sync!$U915,FIND(":",Sync!$U915)-1)),2)&amp;RIGHT("00"&amp;VALUE(MID(Sync!$U915,FIND(":",Sync!$U915)+1,2)),2),"0000"))))</f>
        <v/>
      </c>
    </row>
    <row r="920" spans="1:17" x14ac:dyDescent="0.2">
      <c r="A920" t="str">
        <f>IF(Sync!$T916="","",Sync!$T916)</f>
        <v/>
      </c>
      <c r="B920" t="str">
        <f t="shared" si="84"/>
        <v/>
      </c>
      <c r="C920" t="str">
        <f t="shared" si="85"/>
        <v/>
      </c>
      <c r="D920" t="str">
        <f t="shared" si="86"/>
        <v/>
      </c>
      <c r="E920" t="str">
        <f t="shared" si="87"/>
        <v/>
      </c>
      <c r="F920" t="str">
        <f t="shared" si="88"/>
        <v/>
      </c>
      <c r="G920" t="str">
        <f>IF(OR($E920="",$E920="نامعتبر",Sync!$X916=""),"",IF(AND(LEFT(UPPER(TRIM(Sync!$X916)),2)="SL",IFERROR(VLOOKUP(Sync!$W916,OpTbl,3,0),"")="فروش"),UPPER(TRIM(Sync!$X916)),""))</f>
        <v/>
      </c>
      <c r="H920" t="str">
        <f>IF($G920="","",IF(Sync!$W916="","",Sync!$W916))</f>
        <v/>
      </c>
      <c r="I920" t="str">
        <f>IF(OR($G920="",Sync!$Y916=""),"",Sync!$Y916)</f>
        <v/>
      </c>
      <c r="J920" t="str">
        <f>IF(OR($G920="",Sync!$Z916=""),"",Sync!$Z916)</f>
        <v/>
      </c>
      <c r="K920">
        <f>IF($G920="",0,IF(Sync!$AA916="",0,Sync!$AA916))</f>
        <v>0</v>
      </c>
      <c r="L920">
        <f>IF($G920="",0,IF(Sync!$AB916="",0,Sync!$AB916))</f>
        <v>0</v>
      </c>
      <c r="M920" t="str">
        <f t="shared" si="89"/>
        <v/>
      </c>
      <c r="N920">
        <f>IF($G920="",0,IF($H920="مرجوعی فروش",-1,1)*IF(Sync!$AC916="",0,Sync!$AC916))</f>
        <v>0</v>
      </c>
      <c r="O920" t="str">
        <f>IF(OR($G920="",Sync!$V916=""),"",Sync!$V916)</f>
        <v/>
      </c>
      <c r="P920" t="str">
        <f>IF(OR($G920="",Sync!$AD916=""),"",Sync!$AD916)</f>
        <v/>
      </c>
      <c r="Q920" t="str">
        <f>IF($G920="","",IF(Sync!$U916="","0000",IF(AND(ISNUMBER(Sync!$U916),Sync!$U916&gt;=0,Sync!$U916&lt;1),RIGHT("00"&amp;HOUR(Sync!$U916),2)&amp;RIGHT("00"&amp;MINUTE(Sync!$U916),2),IFERROR(RIGHT("00"&amp;VALUE(LEFT(Sync!$U916,FIND(":",Sync!$U916)-1)),2)&amp;RIGHT("00"&amp;VALUE(MID(Sync!$U916,FIND(":",Sync!$U916)+1,2)),2),"0000"))))</f>
        <v/>
      </c>
    </row>
    <row r="921" spans="1:17" x14ac:dyDescent="0.2">
      <c r="A921" t="str">
        <f>IF(Sync!$T917="","",Sync!$T917)</f>
        <v/>
      </c>
      <c r="B921" t="str">
        <f t="shared" si="84"/>
        <v/>
      </c>
      <c r="C921" t="str">
        <f t="shared" si="85"/>
        <v/>
      </c>
      <c r="D921" t="str">
        <f t="shared" si="86"/>
        <v/>
      </c>
      <c r="E921" t="str">
        <f t="shared" si="87"/>
        <v/>
      </c>
      <c r="F921" t="str">
        <f t="shared" si="88"/>
        <v/>
      </c>
      <c r="G921" t="str">
        <f>IF(OR($E921="",$E921="نامعتبر",Sync!$X917=""),"",IF(AND(LEFT(UPPER(TRIM(Sync!$X917)),2)="SL",IFERROR(VLOOKUP(Sync!$W917,OpTbl,3,0),"")="فروش"),UPPER(TRIM(Sync!$X917)),""))</f>
        <v/>
      </c>
      <c r="H921" t="str">
        <f>IF($G921="","",IF(Sync!$W917="","",Sync!$W917))</f>
        <v/>
      </c>
      <c r="I921" t="str">
        <f>IF(OR($G921="",Sync!$Y917=""),"",Sync!$Y917)</f>
        <v/>
      </c>
      <c r="J921" t="str">
        <f>IF(OR($G921="",Sync!$Z917=""),"",Sync!$Z917)</f>
        <v/>
      </c>
      <c r="K921">
        <f>IF($G921="",0,IF(Sync!$AA917="",0,Sync!$AA917))</f>
        <v>0</v>
      </c>
      <c r="L921">
        <f>IF($G921="",0,IF(Sync!$AB917="",0,Sync!$AB917))</f>
        <v>0</v>
      </c>
      <c r="M921" t="str">
        <f t="shared" si="89"/>
        <v/>
      </c>
      <c r="N921">
        <f>IF($G921="",0,IF($H921="مرجوعی فروش",-1,1)*IF(Sync!$AC917="",0,Sync!$AC917))</f>
        <v>0</v>
      </c>
      <c r="O921" t="str">
        <f>IF(OR($G921="",Sync!$V917=""),"",Sync!$V917)</f>
        <v/>
      </c>
      <c r="P921" t="str">
        <f>IF(OR($G921="",Sync!$AD917=""),"",Sync!$AD917)</f>
        <v/>
      </c>
      <c r="Q921" t="str">
        <f>IF($G921="","",IF(Sync!$U917="","0000",IF(AND(ISNUMBER(Sync!$U917),Sync!$U917&gt;=0,Sync!$U917&lt;1),RIGHT("00"&amp;HOUR(Sync!$U917),2)&amp;RIGHT("00"&amp;MINUTE(Sync!$U917),2),IFERROR(RIGHT("00"&amp;VALUE(LEFT(Sync!$U917,FIND(":",Sync!$U917)-1)),2)&amp;RIGHT("00"&amp;VALUE(MID(Sync!$U917,FIND(":",Sync!$U917)+1,2)),2),"0000"))))</f>
        <v/>
      </c>
    </row>
    <row r="922" spans="1:17" x14ac:dyDescent="0.2">
      <c r="A922" t="str">
        <f>IF(Sync!$T918="","",Sync!$T918)</f>
        <v/>
      </c>
      <c r="B922" t="str">
        <f t="shared" si="84"/>
        <v/>
      </c>
      <c r="C922" t="str">
        <f t="shared" si="85"/>
        <v/>
      </c>
      <c r="D922" t="str">
        <f t="shared" si="86"/>
        <v/>
      </c>
      <c r="E922" t="str">
        <f t="shared" si="87"/>
        <v/>
      </c>
      <c r="F922" t="str">
        <f t="shared" si="88"/>
        <v/>
      </c>
      <c r="G922" t="str">
        <f>IF(OR($E922="",$E922="نامعتبر",Sync!$X918=""),"",IF(AND(LEFT(UPPER(TRIM(Sync!$X918)),2)="SL",IFERROR(VLOOKUP(Sync!$W918,OpTbl,3,0),"")="فروش"),UPPER(TRIM(Sync!$X918)),""))</f>
        <v/>
      </c>
      <c r="H922" t="str">
        <f>IF($G922="","",IF(Sync!$W918="","",Sync!$W918))</f>
        <v/>
      </c>
      <c r="I922" t="str">
        <f>IF(OR($G922="",Sync!$Y918=""),"",Sync!$Y918)</f>
        <v/>
      </c>
      <c r="J922" t="str">
        <f>IF(OR($G922="",Sync!$Z918=""),"",Sync!$Z918)</f>
        <v/>
      </c>
      <c r="K922">
        <f>IF($G922="",0,IF(Sync!$AA918="",0,Sync!$AA918))</f>
        <v>0</v>
      </c>
      <c r="L922">
        <f>IF($G922="",0,IF(Sync!$AB918="",0,Sync!$AB918))</f>
        <v>0</v>
      </c>
      <c r="M922" t="str">
        <f t="shared" si="89"/>
        <v/>
      </c>
      <c r="N922">
        <f>IF($G922="",0,IF($H922="مرجوعی فروش",-1,1)*IF(Sync!$AC918="",0,Sync!$AC918))</f>
        <v>0</v>
      </c>
      <c r="O922" t="str">
        <f>IF(OR($G922="",Sync!$V918=""),"",Sync!$V918)</f>
        <v/>
      </c>
      <c r="P922" t="str">
        <f>IF(OR($G922="",Sync!$AD918=""),"",Sync!$AD918)</f>
        <v/>
      </c>
      <c r="Q922" t="str">
        <f>IF($G922="","",IF(Sync!$U918="","0000",IF(AND(ISNUMBER(Sync!$U918),Sync!$U918&gt;=0,Sync!$U918&lt;1),RIGHT("00"&amp;HOUR(Sync!$U918),2)&amp;RIGHT("00"&amp;MINUTE(Sync!$U918),2),IFERROR(RIGHT("00"&amp;VALUE(LEFT(Sync!$U918,FIND(":",Sync!$U918)-1)),2)&amp;RIGHT("00"&amp;VALUE(MID(Sync!$U918,FIND(":",Sync!$U918)+1,2)),2),"0000"))))</f>
        <v/>
      </c>
    </row>
    <row r="923" spans="1:17" x14ac:dyDescent="0.2">
      <c r="A923" t="str">
        <f>IF(Sync!$T919="","",Sync!$T919)</f>
        <v/>
      </c>
      <c r="B923" t="str">
        <f t="shared" si="84"/>
        <v/>
      </c>
      <c r="C923" t="str">
        <f t="shared" si="85"/>
        <v/>
      </c>
      <c r="D923" t="str">
        <f t="shared" si="86"/>
        <v/>
      </c>
      <c r="E923" t="str">
        <f t="shared" si="87"/>
        <v/>
      </c>
      <c r="F923" t="str">
        <f t="shared" si="88"/>
        <v/>
      </c>
      <c r="G923" t="str">
        <f>IF(OR($E923="",$E923="نامعتبر",Sync!$X919=""),"",IF(AND(LEFT(UPPER(TRIM(Sync!$X919)),2)="SL",IFERROR(VLOOKUP(Sync!$W919,OpTbl,3,0),"")="فروش"),UPPER(TRIM(Sync!$X919)),""))</f>
        <v/>
      </c>
      <c r="H923" t="str">
        <f>IF($G923="","",IF(Sync!$W919="","",Sync!$W919))</f>
        <v/>
      </c>
      <c r="I923" t="str">
        <f>IF(OR($G923="",Sync!$Y919=""),"",Sync!$Y919)</f>
        <v/>
      </c>
      <c r="J923" t="str">
        <f>IF(OR($G923="",Sync!$Z919=""),"",Sync!$Z919)</f>
        <v/>
      </c>
      <c r="K923">
        <f>IF($G923="",0,IF(Sync!$AA919="",0,Sync!$AA919))</f>
        <v>0</v>
      </c>
      <c r="L923">
        <f>IF($G923="",0,IF(Sync!$AB919="",0,Sync!$AB919))</f>
        <v>0</v>
      </c>
      <c r="M923" t="str">
        <f t="shared" si="89"/>
        <v/>
      </c>
      <c r="N923">
        <f>IF($G923="",0,IF($H923="مرجوعی فروش",-1,1)*IF(Sync!$AC919="",0,Sync!$AC919))</f>
        <v>0</v>
      </c>
      <c r="O923" t="str">
        <f>IF(OR($G923="",Sync!$V919=""),"",Sync!$V919)</f>
        <v/>
      </c>
      <c r="P923" t="str">
        <f>IF(OR($G923="",Sync!$AD919=""),"",Sync!$AD919)</f>
        <v/>
      </c>
      <c r="Q923" t="str">
        <f>IF($G923="","",IF(Sync!$U919="","0000",IF(AND(ISNUMBER(Sync!$U919),Sync!$U919&gt;=0,Sync!$U919&lt;1),RIGHT("00"&amp;HOUR(Sync!$U919),2)&amp;RIGHT("00"&amp;MINUTE(Sync!$U919),2),IFERROR(RIGHT("00"&amp;VALUE(LEFT(Sync!$U919,FIND(":",Sync!$U919)-1)),2)&amp;RIGHT("00"&amp;VALUE(MID(Sync!$U919,FIND(":",Sync!$U919)+1,2)),2),"0000"))))</f>
        <v/>
      </c>
    </row>
    <row r="924" spans="1:17" x14ac:dyDescent="0.2">
      <c r="A924" t="str">
        <f>IF(Sync!$T920="","",Sync!$T920)</f>
        <v/>
      </c>
      <c r="B924" t="str">
        <f t="shared" si="84"/>
        <v/>
      </c>
      <c r="C924" t="str">
        <f t="shared" si="85"/>
        <v/>
      </c>
      <c r="D924" t="str">
        <f t="shared" si="86"/>
        <v/>
      </c>
      <c r="E924" t="str">
        <f t="shared" si="87"/>
        <v/>
      </c>
      <c r="F924" t="str">
        <f t="shared" si="88"/>
        <v/>
      </c>
      <c r="G924" t="str">
        <f>IF(OR($E924="",$E924="نامعتبر",Sync!$X920=""),"",IF(AND(LEFT(UPPER(TRIM(Sync!$X920)),2)="SL",IFERROR(VLOOKUP(Sync!$W920,OpTbl,3,0),"")="فروش"),UPPER(TRIM(Sync!$X920)),""))</f>
        <v/>
      </c>
      <c r="H924" t="str">
        <f>IF($G924="","",IF(Sync!$W920="","",Sync!$W920))</f>
        <v/>
      </c>
      <c r="I924" t="str">
        <f>IF(OR($G924="",Sync!$Y920=""),"",Sync!$Y920)</f>
        <v/>
      </c>
      <c r="J924" t="str">
        <f>IF(OR($G924="",Sync!$Z920=""),"",Sync!$Z920)</f>
        <v/>
      </c>
      <c r="K924">
        <f>IF($G924="",0,IF(Sync!$AA920="",0,Sync!$AA920))</f>
        <v>0</v>
      </c>
      <c r="L924">
        <f>IF($G924="",0,IF(Sync!$AB920="",0,Sync!$AB920))</f>
        <v>0</v>
      </c>
      <c r="M924" t="str">
        <f t="shared" si="89"/>
        <v/>
      </c>
      <c r="N924">
        <f>IF($G924="",0,IF($H924="مرجوعی فروش",-1,1)*IF(Sync!$AC920="",0,Sync!$AC920))</f>
        <v>0</v>
      </c>
      <c r="O924" t="str">
        <f>IF(OR($G924="",Sync!$V920=""),"",Sync!$V920)</f>
        <v/>
      </c>
      <c r="P924" t="str">
        <f>IF(OR($G924="",Sync!$AD920=""),"",Sync!$AD920)</f>
        <v/>
      </c>
      <c r="Q924" t="str">
        <f>IF($G924="","",IF(Sync!$U920="","0000",IF(AND(ISNUMBER(Sync!$U920),Sync!$U920&gt;=0,Sync!$U920&lt;1),RIGHT("00"&amp;HOUR(Sync!$U920),2)&amp;RIGHT("00"&amp;MINUTE(Sync!$U920),2),IFERROR(RIGHT("00"&amp;VALUE(LEFT(Sync!$U920,FIND(":",Sync!$U920)-1)),2)&amp;RIGHT("00"&amp;VALUE(MID(Sync!$U920,FIND(":",Sync!$U920)+1,2)),2),"0000"))))</f>
        <v/>
      </c>
    </row>
    <row r="925" spans="1:17" x14ac:dyDescent="0.2">
      <c r="A925" t="str">
        <f>IF(Sync!$T921="","",Sync!$T921)</f>
        <v/>
      </c>
      <c r="B925" t="str">
        <f t="shared" si="84"/>
        <v/>
      </c>
      <c r="C925" t="str">
        <f t="shared" si="85"/>
        <v/>
      </c>
      <c r="D925" t="str">
        <f t="shared" si="86"/>
        <v/>
      </c>
      <c r="E925" t="str">
        <f t="shared" si="87"/>
        <v/>
      </c>
      <c r="F925" t="str">
        <f t="shared" si="88"/>
        <v/>
      </c>
      <c r="G925" t="str">
        <f>IF(OR($E925="",$E925="نامعتبر",Sync!$X921=""),"",IF(AND(LEFT(UPPER(TRIM(Sync!$X921)),2)="SL",IFERROR(VLOOKUP(Sync!$W921,OpTbl,3,0),"")="فروش"),UPPER(TRIM(Sync!$X921)),""))</f>
        <v/>
      </c>
      <c r="H925" t="str">
        <f>IF($G925="","",IF(Sync!$W921="","",Sync!$W921))</f>
        <v/>
      </c>
      <c r="I925" t="str">
        <f>IF(OR($G925="",Sync!$Y921=""),"",Sync!$Y921)</f>
        <v/>
      </c>
      <c r="J925" t="str">
        <f>IF(OR($G925="",Sync!$Z921=""),"",Sync!$Z921)</f>
        <v/>
      </c>
      <c r="K925">
        <f>IF($G925="",0,IF(Sync!$AA921="",0,Sync!$AA921))</f>
        <v>0</v>
      </c>
      <c r="L925">
        <f>IF($G925="",0,IF(Sync!$AB921="",0,Sync!$AB921))</f>
        <v>0</v>
      </c>
      <c r="M925" t="str">
        <f t="shared" si="89"/>
        <v/>
      </c>
      <c r="N925">
        <f>IF($G925="",0,IF($H925="مرجوعی فروش",-1,1)*IF(Sync!$AC921="",0,Sync!$AC921))</f>
        <v>0</v>
      </c>
      <c r="O925" t="str">
        <f>IF(OR($G925="",Sync!$V921=""),"",Sync!$V921)</f>
        <v/>
      </c>
      <c r="P925" t="str">
        <f>IF(OR($G925="",Sync!$AD921=""),"",Sync!$AD921)</f>
        <v/>
      </c>
      <c r="Q925" t="str">
        <f>IF($G925="","",IF(Sync!$U921="","0000",IF(AND(ISNUMBER(Sync!$U921),Sync!$U921&gt;=0,Sync!$U921&lt;1),RIGHT("00"&amp;HOUR(Sync!$U921),2)&amp;RIGHT("00"&amp;MINUTE(Sync!$U921),2),IFERROR(RIGHT("00"&amp;VALUE(LEFT(Sync!$U921,FIND(":",Sync!$U921)-1)),2)&amp;RIGHT("00"&amp;VALUE(MID(Sync!$U921,FIND(":",Sync!$U921)+1,2)),2),"0000"))))</f>
        <v/>
      </c>
    </row>
    <row r="926" spans="1:17" x14ac:dyDescent="0.2">
      <c r="A926" t="str">
        <f>IF(Sync!$T922="","",Sync!$T922)</f>
        <v/>
      </c>
      <c r="B926" t="str">
        <f t="shared" si="84"/>
        <v/>
      </c>
      <c r="C926" t="str">
        <f t="shared" si="85"/>
        <v/>
      </c>
      <c r="D926" t="str">
        <f t="shared" si="86"/>
        <v/>
      </c>
      <c r="E926" t="str">
        <f t="shared" si="87"/>
        <v/>
      </c>
      <c r="F926" t="str">
        <f t="shared" si="88"/>
        <v/>
      </c>
      <c r="G926" t="str">
        <f>IF(OR($E926="",$E926="نامعتبر",Sync!$X922=""),"",IF(AND(LEFT(UPPER(TRIM(Sync!$X922)),2)="SL",IFERROR(VLOOKUP(Sync!$W922,OpTbl,3,0),"")="فروش"),UPPER(TRIM(Sync!$X922)),""))</f>
        <v/>
      </c>
      <c r="H926" t="str">
        <f>IF($G926="","",IF(Sync!$W922="","",Sync!$W922))</f>
        <v/>
      </c>
      <c r="I926" t="str">
        <f>IF(OR($G926="",Sync!$Y922=""),"",Sync!$Y922)</f>
        <v/>
      </c>
      <c r="J926" t="str">
        <f>IF(OR($G926="",Sync!$Z922=""),"",Sync!$Z922)</f>
        <v/>
      </c>
      <c r="K926">
        <f>IF($G926="",0,IF(Sync!$AA922="",0,Sync!$AA922))</f>
        <v>0</v>
      </c>
      <c r="L926">
        <f>IF($G926="",0,IF(Sync!$AB922="",0,Sync!$AB922))</f>
        <v>0</v>
      </c>
      <c r="M926" t="str">
        <f t="shared" si="89"/>
        <v/>
      </c>
      <c r="N926">
        <f>IF($G926="",0,IF($H926="مرجوعی فروش",-1,1)*IF(Sync!$AC922="",0,Sync!$AC922))</f>
        <v>0</v>
      </c>
      <c r="O926" t="str">
        <f>IF(OR($G926="",Sync!$V922=""),"",Sync!$V922)</f>
        <v/>
      </c>
      <c r="P926" t="str">
        <f>IF(OR($G926="",Sync!$AD922=""),"",Sync!$AD922)</f>
        <v/>
      </c>
      <c r="Q926" t="str">
        <f>IF($G926="","",IF(Sync!$U922="","0000",IF(AND(ISNUMBER(Sync!$U922),Sync!$U922&gt;=0,Sync!$U922&lt;1),RIGHT("00"&amp;HOUR(Sync!$U922),2)&amp;RIGHT("00"&amp;MINUTE(Sync!$U922),2),IFERROR(RIGHT("00"&amp;VALUE(LEFT(Sync!$U922,FIND(":",Sync!$U922)-1)),2)&amp;RIGHT("00"&amp;VALUE(MID(Sync!$U922,FIND(":",Sync!$U922)+1,2)),2),"0000"))))</f>
        <v/>
      </c>
    </row>
    <row r="927" spans="1:17" x14ac:dyDescent="0.2">
      <c r="A927" t="str">
        <f>IF(Sync!$T923="","",Sync!$T923)</f>
        <v/>
      </c>
      <c r="B927" t="str">
        <f t="shared" si="84"/>
        <v/>
      </c>
      <c r="C927" t="str">
        <f t="shared" si="85"/>
        <v/>
      </c>
      <c r="D927" t="str">
        <f t="shared" si="86"/>
        <v/>
      </c>
      <c r="E927" t="str">
        <f t="shared" si="87"/>
        <v/>
      </c>
      <c r="F927" t="str">
        <f t="shared" si="88"/>
        <v/>
      </c>
      <c r="G927" t="str">
        <f>IF(OR($E927="",$E927="نامعتبر",Sync!$X923=""),"",IF(AND(LEFT(UPPER(TRIM(Sync!$X923)),2)="SL",IFERROR(VLOOKUP(Sync!$W923,OpTbl,3,0),"")="فروش"),UPPER(TRIM(Sync!$X923)),""))</f>
        <v/>
      </c>
      <c r="H927" t="str">
        <f>IF($G927="","",IF(Sync!$W923="","",Sync!$W923))</f>
        <v/>
      </c>
      <c r="I927" t="str">
        <f>IF(OR($G927="",Sync!$Y923=""),"",Sync!$Y923)</f>
        <v/>
      </c>
      <c r="J927" t="str">
        <f>IF(OR($G927="",Sync!$Z923=""),"",Sync!$Z923)</f>
        <v/>
      </c>
      <c r="K927">
        <f>IF($G927="",0,IF(Sync!$AA923="",0,Sync!$AA923))</f>
        <v>0</v>
      </c>
      <c r="L927">
        <f>IF($G927="",0,IF(Sync!$AB923="",0,Sync!$AB923))</f>
        <v>0</v>
      </c>
      <c r="M927" t="str">
        <f t="shared" si="89"/>
        <v/>
      </c>
      <c r="N927">
        <f>IF($G927="",0,IF($H927="مرجوعی فروش",-1,1)*IF(Sync!$AC923="",0,Sync!$AC923))</f>
        <v>0</v>
      </c>
      <c r="O927" t="str">
        <f>IF(OR($G927="",Sync!$V923=""),"",Sync!$V923)</f>
        <v/>
      </c>
      <c r="P927" t="str">
        <f>IF(OR($G927="",Sync!$AD923=""),"",Sync!$AD923)</f>
        <v/>
      </c>
      <c r="Q927" t="str">
        <f>IF($G927="","",IF(Sync!$U923="","0000",IF(AND(ISNUMBER(Sync!$U923),Sync!$U923&gt;=0,Sync!$U923&lt;1),RIGHT("00"&amp;HOUR(Sync!$U923),2)&amp;RIGHT("00"&amp;MINUTE(Sync!$U923),2),IFERROR(RIGHT("00"&amp;VALUE(LEFT(Sync!$U923,FIND(":",Sync!$U923)-1)),2)&amp;RIGHT("00"&amp;VALUE(MID(Sync!$U923,FIND(":",Sync!$U923)+1,2)),2),"0000"))))</f>
        <v/>
      </c>
    </row>
    <row r="928" spans="1:17" x14ac:dyDescent="0.2">
      <c r="A928" t="str">
        <f>IF(Sync!$T924="","",Sync!$T924)</f>
        <v/>
      </c>
      <c r="B928" t="str">
        <f t="shared" si="84"/>
        <v/>
      </c>
      <c r="C928" t="str">
        <f t="shared" si="85"/>
        <v/>
      </c>
      <c r="D928" t="str">
        <f t="shared" si="86"/>
        <v/>
      </c>
      <c r="E928" t="str">
        <f t="shared" si="87"/>
        <v/>
      </c>
      <c r="F928" t="str">
        <f t="shared" si="88"/>
        <v/>
      </c>
      <c r="G928" t="str">
        <f>IF(OR($E928="",$E928="نامعتبر",Sync!$X924=""),"",IF(AND(LEFT(UPPER(TRIM(Sync!$X924)),2)="SL",IFERROR(VLOOKUP(Sync!$W924,OpTbl,3,0),"")="فروش"),UPPER(TRIM(Sync!$X924)),""))</f>
        <v/>
      </c>
      <c r="H928" t="str">
        <f>IF($G928="","",IF(Sync!$W924="","",Sync!$W924))</f>
        <v/>
      </c>
      <c r="I928" t="str">
        <f>IF(OR($G928="",Sync!$Y924=""),"",Sync!$Y924)</f>
        <v/>
      </c>
      <c r="J928" t="str">
        <f>IF(OR($G928="",Sync!$Z924=""),"",Sync!$Z924)</f>
        <v/>
      </c>
      <c r="K928">
        <f>IF($G928="",0,IF(Sync!$AA924="",0,Sync!$AA924))</f>
        <v>0</v>
      </c>
      <c r="L928">
        <f>IF($G928="",0,IF(Sync!$AB924="",0,Sync!$AB924))</f>
        <v>0</v>
      </c>
      <c r="M928" t="str">
        <f t="shared" si="89"/>
        <v/>
      </c>
      <c r="N928">
        <f>IF($G928="",0,IF($H928="مرجوعی فروش",-1,1)*IF(Sync!$AC924="",0,Sync!$AC924))</f>
        <v>0</v>
      </c>
      <c r="O928" t="str">
        <f>IF(OR($G928="",Sync!$V924=""),"",Sync!$V924)</f>
        <v/>
      </c>
      <c r="P928" t="str">
        <f>IF(OR($G928="",Sync!$AD924=""),"",Sync!$AD924)</f>
        <v/>
      </c>
      <c r="Q928" t="str">
        <f>IF($G928="","",IF(Sync!$U924="","0000",IF(AND(ISNUMBER(Sync!$U924),Sync!$U924&gt;=0,Sync!$U924&lt;1),RIGHT("00"&amp;HOUR(Sync!$U924),2)&amp;RIGHT("00"&amp;MINUTE(Sync!$U924),2),IFERROR(RIGHT("00"&amp;VALUE(LEFT(Sync!$U924,FIND(":",Sync!$U924)-1)),2)&amp;RIGHT("00"&amp;VALUE(MID(Sync!$U924,FIND(":",Sync!$U924)+1,2)),2),"0000"))))</f>
        <v/>
      </c>
    </row>
    <row r="929" spans="1:17" x14ac:dyDescent="0.2">
      <c r="A929" t="str">
        <f>IF(Sync!$T925="","",Sync!$T925)</f>
        <v/>
      </c>
      <c r="B929" t="str">
        <f t="shared" si="84"/>
        <v/>
      </c>
      <c r="C929" t="str">
        <f t="shared" si="85"/>
        <v/>
      </c>
      <c r="D929" t="str">
        <f t="shared" si="86"/>
        <v/>
      </c>
      <c r="E929" t="str">
        <f t="shared" si="87"/>
        <v/>
      </c>
      <c r="F929" t="str">
        <f t="shared" si="88"/>
        <v/>
      </c>
      <c r="G929" t="str">
        <f>IF(OR($E929="",$E929="نامعتبر",Sync!$X925=""),"",IF(AND(LEFT(UPPER(TRIM(Sync!$X925)),2)="SL",IFERROR(VLOOKUP(Sync!$W925,OpTbl,3,0),"")="فروش"),UPPER(TRIM(Sync!$X925)),""))</f>
        <v/>
      </c>
      <c r="H929" t="str">
        <f>IF($G929="","",IF(Sync!$W925="","",Sync!$W925))</f>
        <v/>
      </c>
      <c r="I929" t="str">
        <f>IF(OR($G929="",Sync!$Y925=""),"",Sync!$Y925)</f>
        <v/>
      </c>
      <c r="J929" t="str">
        <f>IF(OR($G929="",Sync!$Z925=""),"",Sync!$Z925)</f>
        <v/>
      </c>
      <c r="K929">
        <f>IF($G929="",0,IF(Sync!$AA925="",0,Sync!$AA925))</f>
        <v>0</v>
      </c>
      <c r="L929">
        <f>IF($G929="",0,IF(Sync!$AB925="",0,Sync!$AB925))</f>
        <v>0</v>
      </c>
      <c r="M929" t="str">
        <f t="shared" si="89"/>
        <v/>
      </c>
      <c r="N929">
        <f>IF($G929="",0,IF($H929="مرجوعی فروش",-1,1)*IF(Sync!$AC925="",0,Sync!$AC925))</f>
        <v>0</v>
      </c>
      <c r="O929" t="str">
        <f>IF(OR($G929="",Sync!$V925=""),"",Sync!$V925)</f>
        <v/>
      </c>
      <c r="P929" t="str">
        <f>IF(OR($G929="",Sync!$AD925=""),"",Sync!$AD925)</f>
        <v/>
      </c>
      <c r="Q929" t="str">
        <f>IF($G929="","",IF(Sync!$U925="","0000",IF(AND(ISNUMBER(Sync!$U925),Sync!$U925&gt;=0,Sync!$U925&lt;1),RIGHT("00"&amp;HOUR(Sync!$U925),2)&amp;RIGHT("00"&amp;MINUTE(Sync!$U925),2),IFERROR(RIGHT("00"&amp;VALUE(LEFT(Sync!$U925,FIND(":",Sync!$U925)-1)),2)&amp;RIGHT("00"&amp;VALUE(MID(Sync!$U925,FIND(":",Sync!$U925)+1,2)),2),"0000"))))</f>
        <v/>
      </c>
    </row>
    <row r="930" spans="1:17" x14ac:dyDescent="0.2">
      <c r="A930" t="str">
        <f>IF(Sync!$T926="","",Sync!$T926)</f>
        <v/>
      </c>
      <c r="B930" t="str">
        <f t="shared" si="84"/>
        <v/>
      </c>
      <c r="C930" t="str">
        <f t="shared" si="85"/>
        <v/>
      </c>
      <c r="D930" t="str">
        <f t="shared" si="86"/>
        <v/>
      </c>
      <c r="E930" t="str">
        <f t="shared" si="87"/>
        <v/>
      </c>
      <c r="F930" t="str">
        <f t="shared" si="88"/>
        <v/>
      </c>
      <c r="G930" t="str">
        <f>IF(OR($E930="",$E930="نامعتبر",Sync!$X926=""),"",IF(AND(LEFT(UPPER(TRIM(Sync!$X926)),2)="SL",IFERROR(VLOOKUP(Sync!$W926,OpTbl,3,0),"")="فروش"),UPPER(TRIM(Sync!$X926)),""))</f>
        <v/>
      </c>
      <c r="H930" t="str">
        <f>IF($G930="","",IF(Sync!$W926="","",Sync!$W926))</f>
        <v/>
      </c>
      <c r="I930" t="str">
        <f>IF(OR($G930="",Sync!$Y926=""),"",Sync!$Y926)</f>
        <v/>
      </c>
      <c r="J930" t="str">
        <f>IF(OR($G930="",Sync!$Z926=""),"",Sync!$Z926)</f>
        <v/>
      </c>
      <c r="K930">
        <f>IF($G930="",0,IF(Sync!$AA926="",0,Sync!$AA926))</f>
        <v>0</v>
      </c>
      <c r="L930">
        <f>IF($G930="",0,IF(Sync!$AB926="",0,Sync!$AB926))</f>
        <v>0</v>
      </c>
      <c r="M930" t="str">
        <f t="shared" si="89"/>
        <v/>
      </c>
      <c r="N930">
        <f>IF($G930="",0,IF($H930="مرجوعی فروش",-1,1)*IF(Sync!$AC926="",0,Sync!$AC926))</f>
        <v>0</v>
      </c>
      <c r="O930" t="str">
        <f>IF(OR($G930="",Sync!$V926=""),"",Sync!$V926)</f>
        <v/>
      </c>
      <c r="P930" t="str">
        <f>IF(OR($G930="",Sync!$AD926=""),"",Sync!$AD926)</f>
        <v/>
      </c>
      <c r="Q930" t="str">
        <f>IF($G930="","",IF(Sync!$U926="","0000",IF(AND(ISNUMBER(Sync!$U926),Sync!$U926&gt;=0,Sync!$U926&lt;1),RIGHT("00"&amp;HOUR(Sync!$U926),2)&amp;RIGHT("00"&amp;MINUTE(Sync!$U926),2),IFERROR(RIGHT("00"&amp;VALUE(LEFT(Sync!$U926,FIND(":",Sync!$U926)-1)),2)&amp;RIGHT("00"&amp;VALUE(MID(Sync!$U926,FIND(":",Sync!$U926)+1,2)),2),"0000"))))</f>
        <v/>
      </c>
    </row>
    <row r="931" spans="1:17" x14ac:dyDescent="0.2">
      <c r="A931" t="str">
        <f>IF(Sync!$T927="","",Sync!$T927)</f>
        <v/>
      </c>
      <c r="B931" t="str">
        <f t="shared" si="84"/>
        <v/>
      </c>
      <c r="C931" t="str">
        <f t="shared" si="85"/>
        <v/>
      </c>
      <c r="D931" t="str">
        <f t="shared" si="86"/>
        <v/>
      </c>
      <c r="E931" t="str">
        <f t="shared" si="87"/>
        <v/>
      </c>
      <c r="F931" t="str">
        <f t="shared" si="88"/>
        <v/>
      </c>
      <c r="G931" t="str">
        <f>IF(OR($E931="",$E931="نامعتبر",Sync!$X927=""),"",IF(AND(LEFT(UPPER(TRIM(Sync!$X927)),2)="SL",IFERROR(VLOOKUP(Sync!$W927,OpTbl,3,0),"")="فروش"),UPPER(TRIM(Sync!$X927)),""))</f>
        <v/>
      </c>
      <c r="H931" t="str">
        <f>IF($G931="","",IF(Sync!$W927="","",Sync!$W927))</f>
        <v/>
      </c>
      <c r="I931" t="str">
        <f>IF(OR($G931="",Sync!$Y927=""),"",Sync!$Y927)</f>
        <v/>
      </c>
      <c r="J931" t="str">
        <f>IF(OR($G931="",Sync!$Z927=""),"",Sync!$Z927)</f>
        <v/>
      </c>
      <c r="K931">
        <f>IF($G931="",0,IF(Sync!$AA927="",0,Sync!$AA927))</f>
        <v>0</v>
      </c>
      <c r="L931">
        <f>IF($G931="",0,IF(Sync!$AB927="",0,Sync!$AB927))</f>
        <v>0</v>
      </c>
      <c r="M931" t="str">
        <f t="shared" si="89"/>
        <v/>
      </c>
      <c r="N931">
        <f>IF($G931="",0,IF($H931="مرجوعی فروش",-1,1)*IF(Sync!$AC927="",0,Sync!$AC927))</f>
        <v>0</v>
      </c>
      <c r="O931" t="str">
        <f>IF(OR($G931="",Sync!$V927=""),"",Sync!$V927)</f>
        <v/>
      </c>
      <c r="P931" t="str">
        <f>IF(OR($G931="",Sync!$AD927=""),"",Sync!$AD927)</f>
        <v/>
      </c>
      <c r="Q931" t="str">
        <f>IF($G931="","",IF(Sync!$U927="","0000",IF(AND(ISNUMBER(Sync!$U927),Sync!$U927&gt;=0,Sync!$U927&lt;1),RIGHT("00"&amp;HOUR(Sync!$U927),2)&amp;RIGHT("00"&amp;MINUTE(Sync!$U927),2),IFERROR(RIGHT("00"&amp;VALUE(LEFT(Sync!$U927,FIND(":",Sync!$U927)-1)),2)&amp;RIGHT("00"&amp;VALUE(MID(Sync!$U927,FIND(":",Sync!$U927)+1,2)),2),"0000"))))</f>
        <v/>
      </c>
    </row>
    <row r="932" spans="1:17" x14ac:dyDescent="0.2">
      <c r="A932" t="str">
        <f>IF(Sync!$T928="","",Sync!$T928)</f>
        <v/>
      </c>
      <c r="B932" t="str">
        <f t="shared" si="84"/>
        <v/>
      </c>
      <c r="C932" t="str">
        <f t="shared" si="85"/>
        <v/>
      </c>
      <c r="D932" t="str">
        <f t="shared" si="86"/>
        <v/>
      </c>
      <c r="E932" t="str">
        <f t="shared" si="87"/>
        <v/>
      </c>
      <c r="F932" t="str">
        <f t="shared" si="88"/>
        <v/>
      </c>
      <c r="G932" t="str">
        <f>IF(OR($E932="",$E932="نامعتبر",Sync!$X928=""),"",IF(AND(LEFT(UPPER(TRIM(Sync!$X928)),2)="SL",IFERROR(VLOOKUP(Sync!$W928,OpTbl,3,0),"")="فروش"),UPPER(TRIM(Sync!$X928)),""))</f>
        <v/>
      </c>
      <c r="H932" t="str">
        <f>IF($G932="","",IF(Sync!$W928="","",Sync!$W928))</f>
        <v/>
      </c>
      <c r="I932" t="str">
        <f>IF(OR($G932="",Sync!$Y928=""),"",Sync!$Y928)</f>
        <v/>
      </c>
      <c r="J932" t="str">
        <f>IF(OR($G932="",Sync!$Z928=""),"",Sync!$Z928)</f>
        <v/>
      </c>
      <c r="K932">
        <f>IF($G932="",0,IF(Sync!$AA928="",0,Sync!$AA928))</f>
        <v>0</v>
      </c>
      <c r="L932">
        <f>IF($G932="",0,IF(Sync!$AB928="",0,Sync!$AB928))</f>
        <v>0</v>
      </c>
      <c r="M932" t="str">
        <f t="shared" si="89"/>
        <v/>
      </c>
      <c r="N932">
        <f>IF($G932="",0,IF($H932="مرجوعی فروش",-1,1)*IF(Sync!$AC928="",0,Sync!$AC928))</f>
        <v>0</v>
      </c>
      <c r="O932" t="str">
        <f>IF(OR($G932="",Sync!$V928=""),"",Sync!$V928)</f>
        <v/>
      </c>
      <c r="P932" t="str">
        <f>IF(OR($G932="",Sync!$AD928=""),"",Sync!$AD928)</f>
        <v/>
      </c>
      <c r="Q932" t="str">
        <f>IF($G932="","",IF(Sync!$U928="","0000",IF(AND(ISNUMBER(Sync!$U928),Sync!$U928&gt;=0,Sync!$U928&lt;1),RIGHT("00"&amp;HOUR(Sync!$U928),2)&amp;RIGHT("00"&amp;MINUTE(Sync!$U928),2),IFERROR(RIGHT("00"&amp;VALUE(LEFT(Sync!$U928,FIND(":",Sync!$U928)-1)),2)&amp;RIGHT("00"&amp;VALUE(MID(Sync!$U928,FIND(":",Sync!$U928)+1,2)),2),"0000"))))</f>
        <v/>
      </c>
    </row>
    <row r="933" spans="1:17" x14ac:dyDescent="0.2">
      <c r="A933" t="str">
        <f>IF(Sync!$T929="","",Sync!$T929)</f>
        <v/>
      </c>
      <c r="B933" t="str">
        <f t="shared" si="84"/>
        <v/>
      </c>
      <c r="C933" t="str">
        <f t="shared" si="85"/>
        <v/>
      </c>
      <c r="D933" t="str">
        <f t="shared" si="86"/>
        <v/>
      </c>
      <c r="E933" t="str">
        <f t="shared" si="87"/>
        <v/>
      </c>
      <c r="F933" t="str">
        <f t="shared" si="88"/>
        <v/>
      </c>
      <c r="G933" t="str">
        <f>IF(OR($E933="",$E933="نامعتبر",Sync!$X929=""),"",IF(AND(LEFT(UPPER(TRIM(Sync!$X929)),2)="SL",IFERROR(VLOOKUP(Sync!$W929,OpTbl,3,0),"")="فروش"),UPPER(TRIM(Sync!$X929)),""))</f>
        <v/>
      </c>
      <c r="H933" t="str">
        <f>IF($G933="","",IF(Sync!$W929="","",Sync!$W929))</f>
        <v/>
      </c>
      <c r="I933" t="str">
        <f>IF(OR($G933="",Sync!$Y929=""),"",Sync!$Y929)</f>
        <v/>
      </c>
      <c r="J933" t="str">
        <f>IF(OR($G933="",Sync!$Z929=""),"",Sync!$Z929)</f>
        <v/>
      </c>
      <c r="K933">
        <f>IF($G933="",0,IF(Sync!$AA929="",0,Sync!$AA929))</f>
        <v>0</v>
      </c>
      <c r="L933">
        <f>IF($G933="",0,IF(Sync!$AB929="",0,Sync!$AB929))</f>
        <v>0</v>
      </c>
      <c r="M933" t="str">
        <f t="shared" si="89"/>
        <v/>
      </c>
      <c r="N933">
        <f>IF($G933="",0,IF($H933="مرجوعی فروش",-1,1)*IF(Sync!$AC929="",0,Sync!$AC929))</f>
        <v>0</v>
      </c>
      <c r="O933" t="str">
        <f>IF(OR($G933="",Sync!$V929=""),"",Sync!$V929)</f>
        <v/>
      </c>
      <c r="P933" t="str">
        <f>IF(OR($G933="",Sync!$AD929=""),"",Sync!$AD929)</f>
        <v/>
      </c>
      <c r="Q933" t="str">
        <f>IF($G933="","",IF(Sync!$U929="","0000",IF(AND(ISNUMBER(Sync!$U929),Sync!$U929&gt;=0,Sync!$U929&lt;1),RIGHT("00"&amp;HOUR(Sync!$U929),2)&amp;RIGHT("00"&amp;MINUTE(Sync!$U929),2),IFERROR(RIGHT("00"&amp;VALUE(LEFT(Sync!$U929,FIND(":",Sync!$U929)-1)),2)&amp;RIGHT("00"&amp;VALUE(MID(Sync!$U929,FIND(":",Sync!$U929)+1,2)),2),"0000"))))</f>
        <v/>
      </c>
    </row>
    <row r="934" spans="1:17" x14ac:dyDescent="0.2">
      <c r="A934" t="str">
        <f>IF(Sync!$T930="","",Sync!$T930)</f>
        <v/>
      </c>
      <c r="B934" t="str">
        <f t="shared" si="84"/>
        <v/>
      </c>
      <c r="C934" t="str">
        <f t="shared" si="85"/>
        <v/>
      </c>
      <c r="D934" t="str">
        <f t="shared" si="86"/>
        <v/>
      </c>
      <c r="E934" t="str">
        <f t="shared" si="87"/>
        <v/>
      </c>
      <c r="F934" t="str">
        <f t="shared" si="88"/>
        <v/>
      </c>
      <c r="G934" t="str">
        <f>IF(OR($E934="",$E934="نامعتبر",Sync!$X930=""),"",IF(AND(LEFT(UPPER(TRIM(Sync!$X930)),2)="SL",IFERROR(VLOOKUP(Sync!$W930,OpTbl,3,0),"")="فروش"),UPPER(TRIM(Sync!$X930)),""))</f>
        <v/>
      </c>
      <c r="H934" t="str">
        <f>IF($G934="","",IF(Sync!$W930="","",Sync!$W930))</f>
        <v/>
      </c>
      <c r="I934" t="str">
        <f>IF(OR($G934="",Sync!$Y930=""),"",Sync!$Y930)</f>
        <v/>
      </c>
      <c r="J934" t="str">
        <f>IF(OR($G934="",Sync!$Z930=""),"",Sync!$Z930)</f>
        <v/>
      </c>
      <c r="K934">
        <f>IF($G934="",0,IF(Sync!$AA930="",0,Sync!$AA930))</f>
        <v>0</v>
      </c>
      <c r="L934">
        <f>IF($G934="",0,IF(Sync!$AB930="",0,Sync!$AB930))</f>
        <v>0</v>
      </c>
      <c r="M934" t="str">
        <f t="shared" si="89"/>
        <v/>
      </c>
      <c r="N934">
        <f>IF($G934="",0,IF($H934="مرجوعی فروش",-1,1)*IF(Sync!$AC930="",0,Sync!$AC930))</f>
        <v>0</v>
      </c>
      <c r="O934" t="str">
        <f>IF(OR($G934="",Sync!$V930=""),"",Sync!$V930)</f>
        <v/>
      </c>
      <c r="P934" t="str">
        <f>IF(OR($G934="",Sync!$AD930=""),"",Sync!$AD930)</f>
        <v/>
      </c>
      <c r="Q934" t="str">
        <f>IF($G934="","",IF(Sync!$U930="","0000",IF(AND(ISNUMBER(Sync!$U930),Sync!$U930&gt;=0,Sync!$U930&lt;1),RIGHT("00"&amp;HOUR(Sync!$U930),2)&amp;RIGHT("00"&amp;MINUTE(Sync!$U930),2),IFERROR(RIGHT("00"&amp;VALUE(LEFT(Sync!$U930,FIND(":",Sync!$U930)-1)),2)&amp;RIGHT("00"&amp;VALUE(MID(Sync!$U930,FIND(":",Sync!$U930)+1,2)),2),"0000"))))</f>
        <v/>
      </c>
    </row>
    <row r="935" spans="1:17" x14ac:dyDescent="0.2">
      <c r="A935" t="str">
        <f>IF(Sync!$T931="","",Sync!$T931)</f>
        <v/>
      </c>
      <c r="B935" t="str">
        <f t="shared" si="84"/>
        <v/>
      </c>
      <c r="C935" t="str">
        <f t="shared" si="85"/>
        <v/>
      </c>
      <c r="D935" t="str">
        <f t="shared" si="86"/>
        <v/>
      </c>
      <c r="E935" t="str">
        <f t="shared" si="87"/>
        <v/>
      </c>
      <c r="F935" t="str">
        <f t="shared" si="88"/>
        <v/>
      </c>
      <c r="G935" t="str">
        <f>IF(OR($E935="",$E935="نامعتبر",Sync!$X931=""),"",IF(AND(LEFT(UPPER(TRIM(Sync!$X931)),2)="SL",IFERROR(VLOOKUP(Sync!$W931,OpTbl,3,0),"")="فروش"),UPPER(TRIM(Sync!$X931)),""))</f>
        <v/>
      </c>
      <c r="H935" t="str">
        <f>IF($G935="","",IF(Sync!$W931="","",Sync!$W931))</f>
        <v/>
      </c>
      <c r="I935" t="str">
        <f>IF(OR($G935="",Sync!$Y931=""),"",Sync!$Y931)</f>
        <v/>
      </c>
      <c r="J935" t="str">
        <f>IF(OR($G935="",Sync!$Z931=""),"",Sync!$Z931)</f>
        <v/>
      </c>
      <c r="K935">
        <f>IF($G935="",0,IF(Sync!$AA931="",0,Sync!$AA931))</f>
        <v>0</v>
      </c>
      <c r="L935">
        <f>IF($G935="",0,IF(Sync!$AB931="",0,Sync!$AB931))</f>
        <v>0</v>
      </c>
      <c r="M935" t="str">
        <f t="shared" si="89"/>
        <v/>
      </c>
      <c r="N935">
        <f>IF($G935="",0,IF($H935="مرجوعی فروش",-1,1)*IF(Sync!$AC931="",0,Sync!$AC931))</f>
        <v>0</v>
      </c>
      <c r="O935" t="str">
        <f>IF(OR($G935="",Sync!$V931=""),"",Sync!$V931)</f>
        <v/>
      </c>
      <c r="P935" t="str">
        <f>IF(OR($G935="",Sync!$AD931=""),"",Sync!$AD931)</f>
        <v/>
      </c>
      <c r="Q935" t="str">
        <f>IF($G935="","",IF(Sync!$U931="","0000",IF(AND(ISNUMBER(Sync!$U931),Sync!$U931&gt;=0,Sync!$U931&lt;1),RIGHT("00"&amp;HOUR(Sync!$U931),2)&amp;RIGHT("00"&amp;MINUTE(Sync!$U931),2),IFERROR(RIGHT("00"&amp;VALUE(LEFT(Sync!$U931,FIND(":",Sync!$U931)-1)),2)&amp;RIGHT("00"&amp;VALUE(MID(Sync!$U931,FIND(":",Sync!$U931)+1,2)),2),"0000"))))</f>
        <v/>
      </c>
    </row>
    <row r="936" spans="1:17" x14ac:dyDescent="0.2">
      <c r="A936" t="str">
        <f>IF(Sync!$T932="","",Sync!$T932)</f>
        <v/>
      </c>
      <c r="B936" t="str">
        <f t="shared" si="84"/>
        <v/>
      </c>
      <c r="C936" t="str">
        <f t="shared" si="85"/>
        <v/>
      </c>
      <c r="D936" t="str">
        <f t="shared" si="86"/>
        <v/>
      </c>
      <c r="E936" t="str">
        <f t="shared" si="87"/>
        <v/>
      </c>
      <c r="F936" t="str">
        <f t="shared" si="88"/>
        <v/>
      </c>
      <c r="G936" t="str">
        <f>IF(OR($E936="",$E936="نامعتبر",Sync!$X932=""),"",IF(AND(LEFT(UPPER(TRIM(Sync!$X932)),2)="SL",IFERROR(VLOOKUP(Sync!$W932,OpTbl,3,0),"")="فروش"),UPPER(TRIM(Sync!$X932)),""))</f>
        <v/>
      </c>
      <c r="H936" t="str">
        <f>IF($G936="","",IF(Sync!$W932="","",Sync!$W932))</f>
        <v/>
      </c>
      <c r="I936" t="str">
        <f>IF(OR($G936="",Sync!$Y932=""),"",Sync!$Y932)</f>
        <v/>
      </c>
      <c r="J936" t="str">
        <f>IF(OR($G936="",Sync!$Z932=""),"",Sync!$Z932)</f>
        <v/>
      </c>
      <c r="K936">
        <f>IF($G936="",0,IF(Sync!$AA932="",0,Sync!$AA932))</f>
        <v>0</v>
      </c>
      <c r="L936">
        <f>IF($G936="",0,IF(Sync!$AB932="",0,Sync!$AB932))</f>
        <v>0</v>
      </c>
      <c r="M936" t="str">
        <f t="shared" si="89"/>
        <v/>
      </c>
      <c r="N936">
        <f>IF($G936="",0,IF($H936="مرجوعی فروش",-1,1)*IF(Sync!$AC932="",0,Sync!$AC932))</f>
        <v>0</v>
      </c>
      <c r="O936" t="str">
        <f>IF(OR($G936="",Sync!$V932=""),"",Sync!$V932)</f>
        <v/>
      </c>
      <c r="P936" t="str">
        <f>IF(OR($G936="",Sync!$AD932=""),"",Sync!$AD932)</f>
        <v/>
      </c>
      <c r="Q936" t="str">
        <f>IF($G936="","",IF(Sync!$U932="","0000",IF(AND(ISNUMBER(Sync!$U932),Sync!$U932&gt;=0,Sync!$U932&lt;1),RIGHT("00"&amp;HOUR(Sync!$U932),2)&amp;RIGHT("00"&amp;MINUTE(Sync!$U932),2),IFERROR(RIGHT("00"&amp;VALUE(LEFT(Sync!$U932,FIND(":",Sync!$U932)-1)),2)&amp;RIGHT("00"&amp;VALUE(MID(Sync!$U932,FIND(":",Sync!$U932)+1,2)),2),"0000"))))</f>
        <v/>
      </c>
    </row>
    <row r="937" spans="1:17" x14ac:dyDescent="0.2">
      <c r="A937" t="str">
        <f>IF(Sync!$T933="","",Sync!$T933)</f>
        <v/>
      </c>
      <c r="B937" t="str">
        <f t="shared" si="84"/>
        <v/>
      </c>
      <c r="C937" t="str">
        <f t="shared" si="85"/>
        <v/>
      </c>
      <c r="D937" t="str">
        <f t="shared" si="86"/>
        <v/>
      </c>
      <c r="E937" t="str">
        <f t="shared" si="87"/>
        <v/>
      </c>
      <c r="F937" t="str">
        <f t="shared" si="88"/>
        <v/>
      </c>
      <c r="G937" t="str">
        <f>IF(OR($E937="",$E937="نامعتبر",Sync!$X933=""),"",IF(AND(LEFT(UPPER(TRIM(Sync!$X933)),2)="SL",IFERROR(VLOOKUP(Sync!$W933,OpTbl,3,0),"")="فروش"),UPPER(TRIM(Sync!$X933)),""))</f>
        <v/>
      </c>
      <c r="H937" t="str">
        <f>IF($G937="","",IF(Sync!$W933="","",Sync!$W933))</f>
        <v/>
      </c>
      <c r="I937" t="str">
        <f>IF(OR($G937="",Sync!$Y933=""),"",Sync!$Y933)</f>
        <v/>
      </c>
      <c r="J937" t="str">
        <f>IF(OR($G937="",Sync!$Z933=""),"",Sync!$Z933)</f>
        <v/>
      </c>
      <c r="K937">
        <f>IF($G937="",0,IF(Sync!$AA933="",0,Sync!$AA933))</f>
        <v>0</v>
      </c>
      <c r="L937">
        <f>IF($G937="",0,IF(Sync!$AB933="",0,Sync!$AB933))</f>
        <v>0</v>
      </c>
      <c r="M937" t="str">
        <f t="shared" si="89"/>
        <v/>
      </c>
      <c r="N937">
        <f>IF($G937="",0,IF($H937="مرجوعی فروش",-1,1)*IF(Sync!$AC933="",0,Sync!$AC933))</f>
        <v>0</v>
      </c>
      <c r="O937" t="str">
        <f>IF(OR($G937="",Sync!$V933=""),"",Sync!$V933)</f>
        <v/>
      </c>
      <c r="P937" t="str">
        <f>IF(OR($G937="",Sync!$AD933=""),"",Sync!$AD933)</f>
        <v/>
      </c>
      <c r="Q937" t="str">
        <f>IF($G937="","",IF(Sync!$U933="","0000",IF(AND(ISNUMBER(Sync!$U933),Sync!$U933&gt;=0,Sync!$U933&lt;1),RIGHT("00"&amp;HOUR(Sync!$U933),2)&amp;RIGHT("00"&amp;MINUTE(Sync!$U933),2),IFERROR(RIGHT("00"&amp;VALUE(LEFT(Sync!$U933,FIND(":",Sync!$U933)-1)),2)&amp;RIGHT("00"&amp;VALUE(MID(Sync!$U933,FIND(":",Sync!$U933)+1,2)),2),"0000"))))</f>
        <v/>
      </c>
    </row>
    <row r="938" spans="1:17" x14ac:dyDescent="0.2">
      <c r="A938" t="str">
        <f>IF(Sync!$T934="","",Sync!$T934)</f>
        <v/>
      </c>
      <c r="B938" t="str">
        <f t="shared" si="84"/>
        <v/>
      </c>
      <c r="C938" t="str">
        <f t="shared" si="85"/>
        <v/>
      </c>
      <c r="D938" t="str">
        <f t="shared" si="86"/>
        <v/>
      </c>
      <c r="E938" t="str">
        <f t="shared" si="87"/>
        <v/>
      </c>
      <c r="F938" t="str">
        <f t="shared" si="88"/>
        <v/>
      </c>
      <c r="G938" t="str">
        <f>IF(OR($E938="",$E938="نامعتبر",Sync!$X934=""),"",IF(AND(LEFT(UPPER(TRIM(Sync!$X934)),2)="SL",IFERROR(VLOOKUP(Sync!$W934,OpTbl,3,0),"")="فروش"),UPPER(TRIM(Sync!$X934)),""))</f>
        <v/>
      </c>
      <c r="H938" t="str">
        <f>IF($G938="","",IF(Sync!$W934="","",Sync!$W934))</f>
        <v/>
      </c>
      <c r="I938" t="str">
        <f>IF(OR($G938="",Sync!$Y934=""),"",Sync!$Y934)</f>
        <v/>
      </c>
      <c r="J938" t="str">
        <f>IF(OR($G938="",Sync!$Z934=""),"",Sync!$Z934)</f>
        <v/>
      </c>
      <c r="K938">
        <f>IF($G938="",0,IF(Sync!$AA934="",0,Sync!$AA934))</f>
        <v>0</v>
      </c>
      <c r="L938">
        <f>IF($G938="",0,IF(Sync!$AB934="",0,Sync!$AB934))</f>
        <v>0</v>
      </c>
      <c r="M938" t="str">
        <f t="shared" si="89"/>
        <v/>
      </c>
      <c r="N938">
        <f>IF($G938="",0,IF($H938="مرجوعی فروش",-1,1)*IF(Sync!$AC934="",0,Sync!$AC934))</f>
        <v>0</v>
      </c>
      <c r="O938" t="str">
        <f>IF(OR($G938="",Sync!$V934=""),"",Sync!$V934)</f>
        <v/>
      </c>
      <c r="P938" t="str">
        <f>IF(OR($G938="",Sync!$AD934=""),"",Sync!$AD934)</f>
        <v/>
      </c>
      <c r="Q938" t="str">
        <f>IF($G938="","",IF(Sync!$U934="","0000",IF(AND(ISNUMBER(Sync!$U934),Sync!$U934&gt;=0,Sync!$U934&lt;1),RIGHT("00"&amp;HOUR(Sync!$U934),2)&amp;RIGHT("00"&amp;MINUTE(Sync!$U934),2),IFERROR(RIGHT("00"&amp;VALUE(LEFT(Sync!$U934,FIND(":",Sync!$U934)-1)),2)&amp;RIGHT("00"&amp;VALUE(MID(Sync!$U934,FIND(":",Sync!$U934)+1,2)),2),"0000"))))</f>
        <v/>
      </c>
    </row>
    <row r="939" spans="1:17" x14ac:dyDescent="0.2">
      <c r="A939" t="str">
        <f>IF(Sync!$T935="","",Sync!$T935)</f>
        <v/>
      </c>
      <c r="B939" t="str">
        <f t="shared" si="84"/>
        <v/>
      </c>
      <c r="C939" t="str">
        <f t="shared" si="85"/>
        <v/>
      </c>
      <c r="D939" t="str">
        <f t="shared" si="86"/>
        <v/>
      </c>
      <c r="E939" t="str">
        <f t="shared" si="87"/>
        <v/>
      </c>
      <c r="F939" t="str">
        <f t="shared" si="88"/>
        <v/>
      </c>
      <c r="G939" t="str">
        <f>IF(OR($E939="",$E939="نامعتبر",Sync!$X935=""),"",IF(AND(LEFT(UPPER(TRIM(Sync!$X935)),2)="SL",IFERROR(VLOOKUP(Sync!$W935,OpTbl,3,0),"")="فروش"),UPPER(TRIM(Sync!$X935)),""))</f>
        <v/>
      </c>
      <c r="H939" t="str">
        <f>IF($G939="","",IF(Sync!$W935="","",Sync!$W935))</f>
        <v/>
      </c>
      <c r="I939" t="str">
        <f>IF(OR($G939="",Sync!$Y935=""),"",Sync!$Y935)</f>
        <v/>
      </c>
      <c r="J939" t="str">
        <f>IF(OR($G939="",Sync!$Z935=""),"",Sync!$Z935)</f>
        <v/>
      </c>
      <c r="K939">
        <f>IF($G939="",0,IF(Sync!$AA935="",0,Sync!$AA935))</f>
        <v>0</v>
      </c>
      <c r="L939">
        <f>IF($G939="",0,IF(Sync!$AB935="",0,Sync!$AB935))</f>
        <v>0</v>
      </c>
      <c r="M939" t="str">
        <f t="shared" si="89"/>
        <v/>
      </c>
      <c r="N939">
        <f>IF($G939="",0,IF($H939="مرجوعی فروش",-1,1)*IF(Sync!$AC935="",0,Sync!$AC935))</f>
        <v>0</v>
      </c>
      <c r="O939" t="str">
        <f>IF(OR($G939="",Sync!$V935=""),"",Sync!$V935)</f>
        <v/>
      </c>
      <c r="P939" t="str">
        <f>IF(OR($G939="",Sync!$AD935=""),"",Sync!$AD935)</f>
        <v/>
      </c>
      <c r="Q939" t="str">
        <f>IF($G939="","",IF(Sync!$U935="","0000",IF(AND(ISNUMBER(Sync!$U935),Sync!$U935&gt;=0,Sync!$U935&lt;1),RIGHT("00"&amp;HOUR(Sync!$U935),2)&amp;RIGHT("00"&amp;MINUTE(Sync!$U935),2),IFERROR(RIGHT("00"&amp;VALUE(LEFT(Sync!$U935,FIND(":",Sync!$U935)-1)),2)&amp;RIGHT("00"&amp;VALUE(MID(Sync!$U935,FIND(":",Sync!$U935)+1,2)),2),"0000"))))</f>
        <v/>
      </c>
    </row>
    <row r="940" spans="1:17" x14ac:dyDescent="0.2">
      <c r="A940" t="str">
        <f>IF(Sync!$T936="","",Sync!$T936)</f>
        <v/>
      </c>
      <c r="B940" t="str">
        <f t="shared" si="84"/>
        <v/>
      </c>
      <c r="C940" t="str">
        <f t="shared" si="85"/>
        <v/>
      </c>
      <c r="D940" t="str">
        <f t="shared" si="86"/>
        <v/>
      </c>
      <c r="E940" t="str">
        <f t="shared" si="87"/>
        <v/>
      </c>
      <c r="F940" t="str">
        <f t="shared" si="88"/>
        <v/>
      </c>
      <c r="G940" t="str">
        <f>IF(OR($E940="",$E940="نامعتبر",Sync!$X936=""),"",IF(AND(LEFT(UPPER(TRIM(Sync!$X936)),2)="SL",IFERROR(VLOOKUP(Sync!$W936,OpTbl,3,0),"")="فروش"),UPPER(TRIM(Sync!$X936)),""))</f>
        <v/>
      </c>
      <c r="H940" t="str">
        <f>IF($G940="","",IF(Sync!$W936="","",Sync!$W936))</f>
        <v/>
      </c>
      <c r="I940" t="str">
        <f>IF(OR($G940="",Sync!$Y936=""),"",Sync!$Y936)</f>
        <v/>
      </c>
      <c r="J940" t="str">
        <f>IF(OR($G940="",Sync!$Z936=""),"",Sync!$Z936)</f>
        <v/>
      </c>
      <c r="K940">
        <f>IF($G940="",0,IF(Sync!$AA936="",0,Sync!$AA936))</f>
        <v>0</v>
      </c>
      <c r="L940">
        <f>IF($G940="",0,IF(Sync!$AB936="",0,Sync!$AB936))</f>
        <v>0</v>
      </c>
      <c r="M940" t="str">
        <f t="shared" si="89"/>
        <v/>
      </c>
      <c r="N940">
        <f>IF($G940="",0,IF($H940="مرجوعی فروش",-1,1)*IF(Sync!$AC936="",0,Sync!$AC936))</f>
        <v>0</v>
      </c>
      <c r="O940" t="str">
        <f>IF(OR($G940="",Sync!$V936=""),"",Sync!$V936)</f>
        <v/>
      </c>
      <c r="P940" t="str">
        <f>IF(OR($G940="",Sync!$AD936=""),"",Sync!$AD936)</f>
        <v/>
      </c>
      <c r="Q940" t="str">
        <f>IF($G940="","",IF(Sync!$U936="","0000",IF(AND(ISNUMBER(Sync!$U936),Sync!$U936&gt;=0,Sync!$U936&lt;1),RIGHT("00"&amp;HOUR(Sync!$U936),2)&amp;RIGHT("00"&amp;MINUTE(Sync!$U936),2),IFERROR(RIGHT("00"&amp;VALUE(LEFT(Sync!$U936,FIND(":",Sync!$U936)-1)),2)&amp;RIGHT("00"&amp;VALUE(MID(Sync!$U936,FIND(":",Sync!$U936)+1,2)),2),"0000"))))</f>
        <v/>
      </c>
    </row>
    <row r="941" spans="1:17" x14ac:dyDescent="0.2">
      <c r="A941" t="str">
        <f>IF(Sync!$T937="","",Sync!$T937)</f>
        <v/>
      </c>
      <c r="B941" t="str">
        <f t="shared" si="84"/>
        <v/>
      </c>
      <c r="C941" t="str">
        <f t="shared" si="85"/>
        <v/>
      </c>
      <c r="D941" t="str">
        <f t="shared" si="86"/>
        <v/>
      </c>
      <c r="E941" t="str">
        <f t="shared" si="87"/>
        <v/>
      </c>
      <c r="F941" t="str">
        <f t="shared" si="88"/>
        <v/>
      </c>
      <c r="G941" t="str">
        <f>IF(OR($E941="",$E941="نامعتبر",Sync!$X937=""),"",IF(AND(LEFT(UPPER(TRIM(Sync!$X937)),2)="SL",IFERROR(VLOOKUP(Sync!$W937,OpTbl,3,0),"")="فروش"),UPPER(TRIM(Sync!$X937)),""))</f>
        <v/>
      </c>
      <c r="H941" t="str">
        <f>IF($G941="","",IF(Sync!$W937="","",Sync!$W937))</f>
        <v/>
      </c>
      <c r="I941" t="str">
        <f>IF(OR($G941="",Sync!$Y937=""),"",Sync!$Y937)</f>
        <v/>
      </c>
      <c r="J941" t="str">
        <f>IF(OR($G941="",Sync!$Z937=""),"",Sync!$Z937)</f>
        <v/>
      </c>
      <c r="K941">
        <f>IF($G941="",0,IF(Sync!$AA937="",0,Sync!$AA937))</f>
        <v>0</v>
      </c>
      <c r="L941">
        <f>IF($G941="",0,IF(Sync!$AB937="",0,Sync!$AB937))</f>
        <v>0</v>
      </c>
      <c r="M941" t="str">
        <f t="shared" si="89"/>
        <v/>
      </c>
      <c r="N941">
        <f>IF($G941="",0,IF($H941="مرجوعی فروش",-1,1)*IF(Sync!$AC937="",0,Sync!$AC937))</f>
        <v>0</v>
      </c>
      <c r="O941" t="str">
        <f>IF(OR($G941="",Sync!$V937=""),"",Sync!$V937)</f>
        <v/>
      </c>
      <c r="P941" t="str">
        <f>IF(OR($G941="",Sync!$AD937=""),"",Sync!$AD937)</f>
        <v/>
      </c>
      <c r="Q941" t="str">
        <f>IF($G941="","",IF(Sync!$U937="","0000",IF(AND(ISNUMBER(Sync!$U937),Sync!$U937&gt;=0,Sync!$U937&lt;1),RIGHT("00"&amp;HOUR(Sync!$U937),2)&amp;RIGHT("00"&amp;MINUTE(Sync!$U937),2),IFERROR(RIGHT("00"&amp;VALUE(LEFT(Sync!$U937,FIND(":",Sync!$U937)-1)),2)&amp;RIGHT("00"&amp;VALUE(MID(Sync!$U937,FIND(":",Sync!$U937)+1,2)),2),"0000"))))</f>
        <v/>
      </c>
    </row>
    <row r="942" spans="1:17" x14ac:dyDescent="0.2">
      <c r="A942" t="str">
        <f>IF(Sync!$T938="","",Sync!$T938)</f>
        <v/>
      </c>
      <c r="B942" t="str">
        <f t="shared" si="84"/>
        <v/>
      </c>
      <c r="C942" t="str">
        <f t="shared" si="85"/>
        <v/>
      </c>
      <c r="D942" t="str">
        <f t="shared" si="86"/>
        <v/>
      </c>
      <c r="E942" t="str">
        <f t="shared" si="87"/>
        <v/>
      </c>
      <c r="F942" t="str">
        <f t="shared" si="88"/>
        <v/>
      </c>
      <c r="G942" t="str">
        <f>IF(OR($E942="",$E942="نامعتبر",Sync!$X938=""),"",IF(AND(LEFT(UPPER(TRIM(Sync!$X938)),2)="SL",IFERROR(VLOOKUP(Sync!$W938,OpTbl,3,0),"")="فروش"),UPPER(TRIM(Sync!$X938)),""))</f>
        <v/>
      </c>
      <c r="H942" t="str">
        <f>IF($G942="","",IF(Sync!$W938="","",Sync!$W938))</f>
        <v/>
      </c>
      <c r="I942" t="str">
        <f>IF(OR($G942="",Sync!$Y938=""),"",Sync!$Y938)</f>
        <v/>
      </c>
      <c r="J942" t="str">
        <f>IF(OR($G942="",Sync!$Z938=""),"",Sync!$Z938)</f>
        <v/>
      </c>
      <c r="K942">
        <f>IF($G942="",0,IF(Sync!$AA938="",0,Sync!$AA938))</f>
        <v>0</v>
      </c>
      <c r="L942">
        <f>IF($G942="",0,IF(Sync!$AB938="",0,Sync!$AB938))</f>
        <v>0</v>
      </c>
      <c r="M942" t="str">
        <f t="shared" si="89"/>
        <v/>
      </c>
      <c r="N942">
        <f>IF($G942="",0,IF($H942="مرجوعی فروش",-1,1)*IF(Sync!$AC938="",0,Sync!$AC938))</f>
        <v>0</v>
      </c>
      <c r="O942" t="str">
        <f>IF(OR($G942="",Sync!$V938=""),"",Sync!$V938)</f>
        <v/>
      </c>
      <c r="P942" t="str">
        <f>IF(OR($G942="",Sync!$AD938=""),"",Sync!$AD938)</f>
        <v/>
      </c>
      <c r="Q942" t="str">
        <f>IF($G942="","",IF(Sync!$U938="","0000",IF(AND(ISNUMBER(Sync!$U938),Sync!$U938&gt;=0,Sync!$U938&lt;1),RIGHT("00"&amp;HOUR(Sync!$U938),2)&amp;RIGHT("00"&amp;MINUTE(Sync!$U938),2),IFERROR(RIGHT("00"&amp;VALUE(LEFT(Sync!$U938,FIND(":",Sync!$U938)-1)),2)&amp;RIGHT("00"&amp;VALUE(MID(Sync!$U938,FIND(":",Sync!$U938)+1,2)),2),"0000"))))</f>
        <v/>
      </c>
    </row>
    <row r="943" spans="1:17" x14ac:dyDescent="0.2">
      <c r="A943" t="str">
        <f>IF(Sync!$T939="","",Sync!$T939)</f>
        <v/>
      </c>
      <c r="B943" t="str">
        <f t="shared" si="84"/>
        <v/>
      </c>
      <c r="C943" t="str">
        <f t="shared" si="85"/>
        <v/>
      </c>
      <c r="D943" t="str">
        <f t="shared" si="86"/>
        <v/>
      </c>
      <c r="E943" t="str">
        <f t="shared" si="87"/>
        <v/>
      </c>
      <c r="F943" t="str">
        <f t="shared" si="88"/>
        <v/>
      </c>
      <c r="G943" t="str">
        <f>IF(OR($E943="",$E943="نامعتبر",Sync!$X939=""),"",IF(AND(LEFT(UPPER(TRIM(Sync!$X939)),2)="SL",IFERROR(VLOOKUP(Sync!$W939,OpTbl,3,0),"")="فروش"),UPPER(TRIM(Sync!$X939)),""))</f>
        <v/>
      </c>
      <c r="H943" t="str">
        <f>IF($G943="","",IF(Sync!$W939="","",Sync!$W939))</f>
        <v/>
      </c>
      <c r="I943" t="str">
        <f>IF(OR($G943="",Sync!$Y939=""),"",Sync!$Y939)</f>
        <v/>
      </c>
      <c r="J943" t="str">
        <f>IF(OR($G943="",Sync!$Z939=""),"",Sync!$Z939)</f>
        <v/>
      </c>
      <c r="K943">
        <f>IF($G943="",0,IF(Sync!$AA939="",0,Sync!$AA939))</f>
        <v>0</v>
      </c>
      <c r="L943">
        <f>IF($G943="",0,IF(Sync!$AB939="",0,Sync!$AB939))</f>
        <v>0</v>
      </c>
      <c r="M943" t="str">
        <f t="shared" si="89"/>
        <v/>
      </c>
      <c r="N943">
        <f>IF($G943="",0,IF($H943="مرجوعی فروش",-1,1)*IF(Sync!$AC939="",0,Sync!$AC939))</f>
        <v>0</v>
      </c>
      <c r="O943" t="str">
        <f>IF(OR($G943="",Sync!$V939=""),"",Sync!$V939)</f>
        <v/>
      </c>
      <c r="P943" t="str">
        <f>IF(OR($G943="",Sync!$AD939=""),"",Sync!$AD939)</f>
        <v/>
      </c>
      <c r="Q943" t="str">
        <f>IF($G943="","",IF(Sync!$U939="","0000",IF(AND(ISNUMBER(Sync!$U939),Sync!$U939&gt;=0,Sync!$U939&lt;1),RIGHT("00"&amp;HOUR(Sync!$U939),2)&amp;RIGHT("00"&amp;MINUTE(Sync!$U939),2),IFERROR(RIGHT("00"&amp;VALUE(LEFT(Sync!$U939,FIND(":",Sync!$U939)-1)),2)&amp;RIGHT("00"&amp;VALUE(MID(Sync!$U939,FIND(":",Sync!$U939)+1,2)),2),"0000"))))</f>
        <v/>
      </c>
    </row>
    <row r="944" spans="1:17" x14ac:dyDescent="0.2">
      <c r="A944" t="str">
        <f>IF(Sync!$T940="","",Sync!$T940)</f>
        <v/>
      </c>
      <c r="B944" t="str">
        <f t="shared" si="84"/>
        <v/>
      </c>
      <c r="C944" t="str">
        <f t="shared" si="85"/>
        <v/>
      </c>
      <c r="D944" t="str">
        <f t="shared" si="86"/>
        <v/>
      </c>
      <c r="E944" t="str">
        <f t="shared" si="87"/>
        <v/>
      </c>
      <c r="F944" t="str">
        <f t="shared" si="88"/>
        <v/>
      </c>
      <c r="G944" t="str">
        <f>IF(OR($E944="",$E944="نامعتبر",Sync!$X940=""),"",IF(AND(LEFT(UPPER(TRIM(Sync!$X940)),2)="SL",IFERROR(VLOOKUP(Sync!$W940,OpTbl,3,0),"")="فروش"),UPPER(TRIM(Sync!$X940)),""))</f>
        <v/>
      </c>
      <c r="H944" t="str">
        <f>IF($G944="","",IF(Sync!$W940="","",Sync!$W940))</f>
        <v/>
      </c>
      <c r="I944" t="str">
        <f>IF(OR($G944="",Sync!$Y940=""),"",Sync!$Y940)</f>
        <v/>
      </c>
      <c r="J944" t="str">
        <f>IF(OR($G944="",Sync!$Z940=""),"",Sync!$Z940)</f>
        <v/>
      </c>
      <c r="K944">
        <f>IF($G944="",0,IF(Sync!$AA940="",0,Sync!$AA940))</f>
        <v>0</v>
      </c>
      <c r="L944">
        <f>IF($G944="",0,IF(Sync!$AB940="",0,Sync!$AB940))</f>
        <v>0</v>
      </c>
      <c r="M944" t="str">
        <f t="shared" si="89"/>
        <v/>
      </c>
      <c r="N944">
        <f>IF($G944="",0,IF($H944="مرجوعی فروش",-1,1)*IF(Sync!$AC940="",0,Sync!$AC940))</f>
        <v>0</v>
      </c>
      <c r="O944" t="str">
        <f>IF(OR($G944="",Sync!$V940=""),"",Sync!$V940)</f>
        <v/>
      </c>
      <c r="P944" t="str">
        <f>IF(OR($G944="",Sync!$AD940=""),"",Sync!$AD940)</f>
        <v/>
      </c>
      <c r="Q944" t="str">
        <f>IF($G944="","",IF(Sync!$U940="","0000",IF(AND(ISNUMBER(Sync!$U940),Sync!$U940&gt;=0,Sync!$U940&lt;1),RIGHT("00"&amp;HOUR(Sync!$U940),2)&amp;RIGHT("00"&amp;MINUTE(Sync!$U940),2),IFERROR(RIGHT("00"&amp;VALUE(LEFT(Sync!$U940,FIND(":",Sync!$U940)-1)),2)&amp;RIGHT("00"&amp;VALUE(MID(Sync!$U940,FIND(":",Sync!$U940)+1,2)),2),"0000"))))</f>
        <v/>
      </c>
    </row>
    <row r="945" spans="1:17" x14ac:dyDescent="0.2">
      <c r="A945" t="str">
        <f>IF(Sync!$T941="","",Sync!$T941)</f>
        <v/>
      </c>
      <c r="B945" t="str">
        <f t="shared" si="84"/>
        <v/>
      </c>
      <c r="C945" t="str">
        <f t="shared" si="85"/>
        <v/>
      </c>
      <c r="D945" t="str">
        <f t="shared" si="86"/>
        <v/>
      </c>
      <c r="E945" t="str">
        <f t="shared" si="87"/>
        <v/>
      </c>
      <c r="F945" t="str">
        <f t="shared" si="88"/>
        <v/>
      </c>
      <c r="G945" t="str">
        <f>IF(OR($E945="",$E945="نامعتبر",Sync!$X941=""),"",IF(AND(LEFT(UPPER(TRIM(Sync!$X941)),2)="SL",IFERROR(VLOOKUP(Sync!$W941,OpTbl,3,0),"")="فروش"),UPPER(TRIM(Sync!$X941)),""))</f>
        <v/>
      </c>
      <c r="H945" t="str">
        <f>IF($G945="","",IF(Sync!$W941="","",Sync!$W941))</f>
        <v/>
      </c>
      <c r="I945" t="str">
        <f>IF(OR($G945="",Sync!$Y941=""),"",Sync!$Y941)</f>
        <v/>
      </c>
      <c r="J945" t="str">
        <f>IF(OR($G945="",Sync!$Z941=""),"",Sync!$Z941)</f>
        <v/>
      </c>
      <c r="K945">
        <f>IF($G945="",0,IF(Sync!$AA941="",0,Sync!$AA941))</f>
        <v>0</v>
      </c>
      <c r="L945">
        <f>IF($G945="",0,IF(Sync!$AB941="",0,Sync!$AB941))</f>
        <v>0</v>
      </c>
      <c r="M945" t="str">
        <f t="shared" si="89"/>
        <v/>
      </c>
      <c r="N945">
        <f>IF($G945="",0,IF($H945="مرجوعی فروش",-1,1)*IF(Sync!$AC941="",0,Sync!$AC941))</f>
        <v>0</v>
      </c>
      <c r="O945" t="str">
        <f>IF(OR($G945="",Sync!$V941=""),"",Sync!$V941)</f>
        <v/>
      </c>
      <c r="P945" t="str">
        <f>IF(OR($G945="",Sync!$AD941=""),"",Sync!$AD941)</f>
        <v/>
      </c>
      <c r="Q945" t="str">
        <f>IF($G945="","",IF(Sync!$U941="","0000",IF(AND(ISNUMBER(Sync!$U941),Sync!$U941&gt;=0,Sync!$U941&lt;1),RIGHT("00"&amp;HOUR(Sync!$U941),2)&amp;RIGHT("00"&amp;MINUTE(Sync!$U941),2),IFERROR(RIGHT("00"&amp;VALUE(LEFT(Sync!$U941,FIND(":",Sync!$U941)-1)),2)&amp;RIGHT("00"&amp;VALUE(MID(Sync!$U941,FIND(":",Sync!$U941)+1,2)),2),"0000"))))</f>
        <v/>
      </c>
    </row>
    <row r="946" spans="1:17" x14ac:dyDescent="0.2">
      <c r="A946" t="str">
        <f>IF(Sync!$T942="","",Sync!$T942)</f>
        <v/>
      </c>
      <c r="B946" t="str">
        <f t="shared" si="84"/>
        <v/>
      </c>
      <c r="C946" t="str">
        <f t="shared" si="85"/>
        <v/>
      </c>
      <c r="D946" t="str">
        <f t="shared" si="86"/>
        <v/>
      </c>
      <c r="E946" t="str">
        <f t="shared" si="87"/>
        <v/>
      </c>
      <c r="F946" t="str">
        <f t="shared" si="88"/>
        <v/>
      </c>
      <c r="G946" t="str">
        <f>IF(OR($E946="",$E946="نامعتبر",Sync!$X942=""),"",IF(AND(LEFT(UPPER(TRIM(Sync!$X942)),2)="SL",IFERROR(VLOOKUP(Sync!$W942,OpTbl,3,0),"")="فروش"),UPPER(TRIM(Sync!$X942)),""))</f>
        <v/>
      </c>
      <c r="H946" t="str">
        <f>IF($G946="","",IF(Sync!$W942="","",Sync!$W942))</f>
        <v/>
      </c>
      <c r="I946" t="str">
        <f>IF(OR($G946="",Sync!$Y942=""),"",Sync!$Y942)</f>
        <v/>
      </c>
      <c r="J946" t="str">
        <f>IF(OR($G946="",Sync!$Z942=""),"",Sync!$Z942)</f>
        <v/>
      </c>
      <c r="K946">
        <f>IF($G946="",0,IF(Sync!$AA942="",0,Sync!$AA942))</f>
        <v>0</v>
      </c>
      <c r="L946">
        <f>IF($G946="",0,IF(Sync!$AB942="",0,Sync!$AB942))</f>
        <v>0</v>
      </c>
      <c r="M946" t="str">
        <f t="shared" si="89"/>
        <v/>
      </c>
      <c r="N946">
        <f>IF($G946="",0,IF($H946="مرجوعی فروش",-1,1)*IF(Sync!$AC942="",0,Sync!$AC942))</f>
        <v>0</v>
      </c>
      <c r="O946" t="str">
        <f>IF(OR($G946="",Sync!$V942=""),"",Sync!$V942)</f>
        <v/>
      </c>
      <c r="P946" t="str">
        <f>IF(OR($G946="",Sync!$AD942=""),"",Sync!$AD942)</f>
        <v/>
      </c>
      <c r="Q946" t="str">
        <f>IF($G946="","",IF(Sync!$U942="","0000",IF(AND(ISNUMBER(Sync!$U942),Sync!$U942&gt;=0,Sync!$U942&lt;1),RIGHT("00"&amp;HOUR(Sync!$U942),2)&amp;RIGHT("00"&amp;MINUTE(Sync!$U942),2),IFERROR(RIGHT("00"&amp;VALUE(LEFT(Sync!$U942,FIND(":",Sync!$U942)-1)),2)&amp;RIGHT("00"&amp;VALUE(MID(Sync!$U942,FIND(":",Sync!$U942)+1,2)),2),"0000"))))</f>
        <v/>
      </c>
    </row>
    <row r="947" spans="1:17" x14ac:dyDescent="0.2">
      <c r="A947" t="str">
        <f>IF(Sync!$T943="","",Sync!$T943)</f>
        <v/>
      </c>
      <c r="B947" t="str">
        <f t="shared" si="84"/>
        <v/>
      </c>
      <c r="C947" t="str">
        <f t="shared" si="85"/>
        <v/>
      </c>
      <c r="D947" t="str">
        <f t="shared" si="86"/>
        <v/>
      </c>
      <c r="E947" t="str">
        <f t="shared" si="87"/>
        <v/>
      </c>
      <c r="F947" t="str">
        <f t="shared" si="88"/>
        <v/>
      </c>
      <c r="G947" t="str">
        <f>IF(OR($E947="",$E947="نامعتبر",Sync!$X943=""),"",IF(AND(LEFT(UPPER(TRIM(Sync!$X943)),2)="SL",IFERROR(VLOOKUP(Sync!$W943,OpTbl,3,0),"")="فروش"),UPPER(TRIM(Sync!$X943)),""))</f>
        <v/>
      </c>
      <c r="H947" t="str">
        <f>IF($G947="","",IF(Sync!$W943="","",Sync!$W943))</f>
        <v/>
      </c>
      <c r="I947" t="str">
        <f>IF(OR($G947="",Sync!$Y943=""),"",Sync!$Y943)</f>
        <v/>
      </c>
      <c r="J947" t="str">
        <f>IF(OR($G947="",Sync!$Z943=""),"",Sync!$Z943)</f>
        <v/>
      </c>
      <c r="K947">
        <f>IF($G947="",0,IF(Sync!$AA943="",0,Sync!$AA943))</f>
        <v>0</v>
      </c>
      <c r="L947">
        <f>IF($G947="",0,IF(Sync!$AB943="",0,Sync!$AB943))</f>
        <v>0</v>
      </c>
      <c r="M947" t="str">
        <f t="shared" si="89"/>
        <v/>
      </c>
      <c r="N947">
        <f>IF($G947="",0,IF($H947="مرجوعی فروش",-1,1)*IF(Sync!$AC943="",0,Sync!$AC943))</f>
        <v>0</v>
      </c>
      <c r="O947" t="str">
        <f>IF(OR($G947="",Sync!$V943=""),"",Sync!$V943)</f>
        <v/>
      </c>
      <c r="P947" t="str">
        <f>IF(OR($G947="",Sync!$AD943=""),"",Sync!$AD943)</f>
        <v/>
      </c>
      <c r="Q947" t="str">
        <f>IF($G947="","",IF(Sync!$U943="","0000",IF(AND(ISNUMBER(Sync!$U943),Sync!$U943&gt;=0,Sync!$U943&lt;1),RIGHT("00"&amp;HOUR(Sync!$U943),2)&amp;RIGHT("00"&amp;MINUTE(Sync!$U943),2),IFERROR(RIGHT("00"&amp;VALUE(LEFT(Sync!$U943,FIND(":",Sync!$U943)-1)),2)&amp;RIGHT("00"&amp;VALUE(MID(Sync!$U943,FIND(":",Sync!$U943)+1,2)),2),"0000"))))</f>
        <v/>
      </c>
    </row>
    <row r="948" spans="1:17" x14ac:dyDescent="0.2">
      <c r="A948" t="str">
        <f>IF(Sync!$T944="","",Sync!$T944)</f>
        <v/>
      </c>
      <c r="B948" t="str">
        <f t="shared" si="84"/>
        <v/>
      </c>
      <c r="C948" t="str">
        <f t="shared" si="85"/>
        <v/>
      </c>
      <c r="D948" t="str">
        <f t="shared" si="86"/>
        <v/>
      </c>
      <c r="E948" t="str">
        <f t="shared" si="87"/>
        <v/>
      </c>
      <c r="F948" t="str">
        <f t="shared" si="88"/>
        <v/>
      </c>
      <c r="G948" t="str">
        <f>IF(OR($E948="",$E948="نامعتبر",Sync!$X944=""),"",IF(AND(LEFT(UPPER(TRIM(Sync!$X944)),2)="SL",IFERROR(VLOOKUP(Sync!$W944,OpTbl,3,0),"")="فروش"),UPPER(TRIM(Sync!$X944)),""))</f>
        <v/>
      </c>
      <c r="H948" t="str">
        <f>IF($G948="","",IF(Sync!$W944="","",Sync!$W944))</f>
        <v/>
      </c>
      <c r="I948" t="str">
        <f>IF(OR($G948="",Sync!$Y944=""),"",Sync!$Y944)</f>
        <v/>
      </c>
      <c r="J948" t="str">
        <f>IF(OR($G948="",Sync!$Z944=""),"",Sync!$Z944)</f>
        <v/>
      </c>
      <c r="K948">
        <f>IF($G948="",0,IF(Sync!$AA944="",0,Sync!$AA944))</f>
        <v>0</v>
      </c>
      <c r="L948">
        <f>IF($G948="",0,IF(Sync!$AB944="",0,Sync!$AB944))</f>
        <v>0</v>
      </c>
      <c r="M948" t="str">
        <f t="shared" si="89"/>
        <v/>
      </c>
      <c r="N948">
        <f>IF($G948="",0,IF($H948="مرجوعی فروش",-1,1)*IF(Sync!$AC944="",0,Sync!$AC944))</f>
        <v>0</v>
      </c>
      <c r="O948" t="str">
        <f>IF(OR($G948="",Sync!$V944=""),"",Sync!$V944)</f>
        <v/>
      </c>
      <c r="P948" t="str">
        <f>IF(OR($G948="",Sync!$AD944=""),"",Sync!$AD944)</f>
        <v/>
      </c>
      <c r="Q948" t="str">
        <f>IF($G948="","",IF(Sync!$U944="","0000",IF(AND(ISNUMBER(Sync!$U944),Sync!$U944&gt;=0,Sync!$U944&lt;1),RIGHT("00"&amp;HOUR(Sync!$U944),2)&amp;RIGHT("00"&amp;MINUTE(Sync!$U944),2),IFERROR(RIGHT("00"&amp;VALUE(LEFT(Sync!$U944,FIND(":",Sync!$U944)-1)),2)&amp;RIGHT("00"&amp;VALUE(MID(Sync!$U944,FIND(":",Sync!$U944)+1,2)),2),"0000"))))</f>
        <v/>
      </c>
    </row>
    <row r="949" spans="1:17" x14ac:dyDescent="0.2">
      <c r="A949" t="str">
        <f>IF(Sync!$T945="","",Sync!$T945)</f>
        <v/>
      </c>
      <c r="B949" t="str">
        <f t="shared" si="84"/>
        <v/>
      </c>
      <c r="C949" t="str">
        <f t="shared" si="85"/>
        <v/>
      </c>
      <c r="D949" t="str">
        <f t="shared" si="86"/>
        <v/>
      </c>
      <c r="E949" t="str">
        <f t="shared" si="87"/>
        <v/>
      </c>
      <c r="F949" t="str">
        <f t="shared" si="88"/>
        <v/>
      </c>
      <c r="G949" t="str">
        <f>IF(OR($E949="",$E949="نامعتبر",Sync!$X945=""),"",IF(AND(LEFT(UPPER(TRIM(Sync!$X945)),2)="SL",IFERROR(VLOOKUP(Sync!$W945,OpTbl,3,0),"")="فروش"),UPPER(TRIM(Sync!$X945)),""))</f>
        <v/>
      </c>
      <c r="H949" t="str">
        <f>IF($G949="","",IF(Sync!$W945="","",Sync!$W945))</f>
        <v/>
      </c>
      <c r="I949" t="str">
        <f>IF(OR($G949="",Sync!$Y945=""),"",Sync!$Y945)</f>
        <v/>
      </c>
      <c r="J949" t="str">
        <f>IF(OR($G949="",Sync!$Z945=""),"",Sync!$Z945)</f>
        <v/>
      </c>
      <c r="K949">
        <f>IF($G949="",0,IF(Sync!$AA945="",0,Sync!$AA945))</f>
        <v>0</v>
      </c>
      <c r="L949">
        <f>IF($G949="",0,IF(Sync!$AB945="",0,Sync!$AB945))</f>
        <v>0</v>
      </c>
      <c r="M949" t="str">
        <f t="shared" si="89"/>
        <v/>
      </c>
      <c r="N949">
        <f>IF($G949="",0,IF($H949="مرجوعی فروش",-1,1)*IF(Sync!$AC945="",0,Sync!$AC945))</f>
        <v>0</v>
      </c>
      <c r="O949" t="str">
        <f>IF(OR($G949="",Sync!$V945=""),"",Sync!$V945)</f>
        <v/>
      </c>
      <c r="P949" t="str">
        <f>IF(OR($G949="",Sync!$AD945=""),"",Sync!$AD945)</f>
        <v/>
      </c>
      <c r="Q949" t="str">
        <f>IF($G949="","",IF(Sync!$U945="","0000",IF(AND(ISNUMBER(Sync!$U945),Sync!$U945&gt;=0,Sync!$U945&lt;1),RIGHT("00"&amp;HOUR(Sync!$U945),2)&amp;RIGHT("00"&amp;MINUTE(Sync!$U945),2),IFERROR(RIGHT("00"&amp;VALUE(LEFT(Sync!$U945,FIND(":",Sync!$U945)-1)),2)&amp;RIGHT("00"&amp;VALUE(MID(Sync!$U945,FIND(":",Sync!$U945)+1,2)),2),"0000"))))</f>
        <v/>
      </c>
    </row>
    <row r="950" spans="1:17" x14ac:dyDescent="0.2">
      <c r="A950" t="str">
        <f>IF(Sync!$T946="","",Sync!$T946)</f>
        <v/>
      </c>
      <c r="B950" t="str">
        <f t="shared" si="84"/>
        <v/>
      </c>
      <c r="C950" t="str">
        <f t="shared" si="85"/>
        <v/>
      </c>
      <c r="D950" t="str">
        <f t="shared" si="86"/>
        <v/>
      </c>
      <c r="E950" t="str">
        <f t="shared" si="87"/>
        <v/>
      </c>
      <c r="F950" t="str">
        <f t="shared" si="88"/>
        <v/>
      </c>
      <c r="G950" t="str">
        <f>IF(OR($E950="",$E950="نامعتبر",Sync!$X946=""),"",IF(AND(LEFT(UPPER(TRIM(Sync!$X946)),2)="SL",IFERROR(VLOOKUP(Sync!$W946,OpTbl,3,0),"")="فروش"),UPPER(TRIM(Sync!$X946)),""))</f>
        <v/>
      </c>
      <c r="H950" t="str">
        <f>IF($G950="","",IF(Sync!$W946="","",Sync!$W946))</f>
        <v/>
      </c>
      <c r="I950" t="str">
        <f>IF(OR($G950="",Sync!$Y946=""),"",Sync!$Y946)</f>
        <v/>
      </c>
      <c r="J950" t="str">
        <f>IF(OR($G950="",Sync!$Z946=""),"",Sync!$Z946)</f>
        <v/>
      </c>
      <c r="K950">
        <f>IF($G950="",0,IF(Sync!$AA946="",0,Sync!$AA946))</f>
        <v>0</v>
      </c>
      <c r="L950">
        <f>IF($G950="",0,IF(Sync!$AB946="",0,Sync!$AB946))</f>
        <v>0</v>
      </c>
      <c r="M950" t="str">
        <f t="shared" si="89"/>
        <v/>
      </c>
      <c r="N950">
        <f>IF($G950="",0,IF($H950="مرجوعی فروش",-1,1)*IF(Sync!$AC946="",0,Sync!$AC946))</f>
        <v>0</v>
      </c>
      <c r="O950" t="str">
        <f>IF(OR($G950="",Sync!$V946=""),"",Sync!$V946)</f>
        <v/>
      </c>
      <c r="P950" t="str">
        <f>IF(OR($G950="",Sync!$AD946=""),"",Sync!$AD946)</f>
        <v/>
      </c>
      <c r="Q950" t="str">
        <f>IF($G950="","",IF(Sync!$U946="","0000",IF(AND(ISNUMBER(Sync!$U946),Sync!$U946&gt;=0,Sync!$U946&lt;1),RIGHT("00"&amp;HOUR(Sync!$U946),2)&amp;RIGHT("00"&amp;MINUTE(Sync!$U946),2),IFERROR(RIGHT("00"&amp;VALUE(LEFT(Sync!$U946,FIND(":",Sync!$U946)-1)),2)&amp;RIGHT("00"&amp;VALUE(MID(Sync!$U946,FIND(":",Sync!$U946)+1,2)),2),"0000"))))</f>
        <v/>
      </c>
    </row>
    <row r="951" spans="1:17" x14ac:dyDescent="0.2">
      <c r="A951" t="str">
        <f>IF(Sync!$T947="","",Sync!$T947)</f>
        <v/>
      </c>
      <c r="B951" t="str">
        <f t="shared" si="84"/>
        <v/>
      </c>
      <c r="C951" t="str">
        <f t="shared" si="85"/>
        <v/>
      </c>
      <c r="D951" t="str">
        <f t="shared" si="86"/>
        <v/>
      </c>
      <c r="E951" t="str">
        <f t="shared" si="87"/>
        <v/>
      </c>
      <c r="F951" t="str">
        <f t="shared" si="88"/>
        <v/>
      </c>
      <c r="G951" t="str">
        <f>IF(OR($E951="",$E951="نامعتبر",Sync!$X947=""),"",IF(AND(LEFT(UPPER(TRIM(Sync!$X947)),2)="SL",IFERROR(VLOOKUP(Sync!$W947,OpTbl,3,0),"")="فروش"),UPPER(TRIM(Sync!$X947)),""))</f>
        <v/>
      </c>
      <c r="H951" t="str">
        <f>IF($G951="","",IF(Sync!$W947="","",Sync!$W947))</f>
        <v/>
      </c>
      <c r="I951" t="str">
        <f>IF(OR($G951="",Sync!$Y947=""),"",Sync!$Y947)</f>
        <v/>
      </c>
      <c r="J951" t="str">
        <f>IF(OR($G951="",Sync!$Z947=""),"",Sync!$Z947)</f>
        <v/>
      </c>
      <c r="K951">
        <f>IF($G951="",0,IF(Sync!$AA947="",0,Sync!$AA947))</f>
        <v>0</v>
      </c>
      <c r="L951">
        <f>IF($G951="",0,IF(Sync!$AB947="",0,Sync!$AB947))</f>
        <v>0</v>
      </c>
      <c r="M951" t="str">
        <f t="shared" si="89"/>
        <v/>
      </c>
      <c r="N951">
        <f>IF($G951="",0,IF($H951="مرجوعی فروش",-1,1)*IF(Sync!$AC947="",0,Sync!$AC947))</f>
        <v>0</v>
      </c>
      <c r="O951" t="str">
        <f>IF(OR($G951="",Sync!$V947=""),"",Sync!$V947)</f>
        <v/>
      </c>
      <c r="P951" t="str">
        <f>IF(OR($G951="",Sync!$AD947=""),"",Sync!$AD947)</f>
        <v/>
      </c>
      <c r="Q951" t="str">
        <f>IF($G951="","",IF(Sync!$U947="","0000",IF(AND(ISNUMBER(Sync!$U947),Sync!$U947&gt;=0,Sync!$U947&lt;1),RIGHT("00"&amp;HOUR(Sync!$U947),2)&amp;RIGHT("00"&amp;MINUTE(Sync!$U947),2),IFERROR(RIGHT("00"&amp;VALUE(LEFT(Sync!$U947,FIND(":",Sync!$U947)-1)),2)&amp;RIGHT("00"&amp;VALUE(MID(Sync!$U947,FIND(":",Sync!$U947)+1,2)),2),"0000"))))</f>
        <v/>
      </c>
    </row>
    <row r="952" spans="1:17" x14ac:dyDescent="0.2">
      <c r="A952" t="str">
        <f>IF(Sync!$T948="","",Sync!$T948)</f>
        <v/>
      </c>
      <c r="B952" t="str">
        <f t="shared" si="84"/>
        <v/>
      </c>
      <c r="C952" t="str">
        <f t="shared" si="85"/>
        <v/>
      </c>
      <c r="D952" t="str">
        <f t="shared" si="86"/>
        <v/>
      </c>
      <c r="E952" t="str">
        <f t="shared" si="87"/>
        <v/>
      </c>
      <c r="F952" t="str">
        <f t="shared" si="88"/>
        <v/>
      </c>
      <c r="G952" t="str">
        <f>IF(OR($E952="",$E952="نامعتبر",Sync!$X948=""),"",IF(AND(LEFT(UPPER(TRIM(Sync!$X948)),2)="SL",IFERROR(VLOOKUP(Sync!$W948,OpTbl,3,0),"")="فروش"),UPPER(TRIM(Sync!$X948)),""))</f>
        <v/>
      </c>
      <c r="H952" t="str">
        <f>IF($G952="","",IF(Sync!$W948="","",Sync!$W948))</f>
        <v/>
      </c>
      <c r="I952" t="str">
        <f>IF(OR($G952="",Sync!$Y948=""),"",Sync!$Y948)</f>
        <v/>
      </c>
      <c r="J952" t="str">
        <f>IF(OR($G952="",Sync!$Z948=""),"",Sync!$Z948)</f>
        <v/>
      </c>
      <c r="K952">
        <f>IF($G952="",0,IF(Sync!$AA948="",0,Sync!$AA948))</f>
        <v>0</v>
      </c>
      <c r="L952">
        <f>IF($G952="",0,IF(Sync!$AB948="",0,Sync!$AB948))</f>
        <v>0</v>
      </c>
      <c r="M952" t="str">
        <f t="shared" si="89"/>
        <v/>
      </c>
      <c r="N952">
        <f>IF($G952="",0,IF($H952="مرجوعی فروش",-1,1)*IF(Sync!$AC948="",0,Sync!$AC948))</f>
        <v>0</v>
      </c>
      <c r="O952" t="str">
        <f>IF(OR($G952="",Sync!$V948=""),"",Sync!$V948)</f>
        <v/>
      </c>
      <c r="P952" t="str">
        <f>IF(OR($G952="",Sync!$AD948=""),"",Sync!$AD948)</f>
        <v/>
      </c>
      <c r="Q952" t="str">
        <f>IF($G952="","",IF(Sync!$U948="","0000",IF(AND(ISNUMBER(Sync!$U948),Sync!$U948&gt;=0,Sync!$U948&lt;1),RIGHT("00"&amp;HOUR(Sync!$U948),2)&amp;RIGHT("00"&amp;MINUTE(Sync!$U948),2),IFERROR(RIGHT("00"&amp;VALUE(LEFT(Sync!$U948,FIND(":",Sync!$U948)-1)),2)&amp;RIGHT("00"&amp;VALUE(MID(Sync!$U948,FIND(":",Sync!$U948)+1,2)),2),"0000"))))</f>
        <v/>
      </c>
    </row>
    <row r="953" spans="1:17" x14ac:dyDescent="0.2">
      <c r="A953" t="str">
        <f>IF(Sync!$T949="","",Sync!$T949)</f>
        <v/>
      </c>
      <c r="B953" t="str">
        <f t="shared" si="84"/>
        <v/>
      </c>
      <c r="C953" t="str">
        <f t="shared" si="85"/>
        <v/>
      </c>
      <c r="D953" t="str">
        <f t="shared" si="86"/>
        <v/>
      </c>
      <c r="E953" t="str">
        <f t="shared" si="87"/>
        <v/>
      </c>
      <c r="F953" t="str">
        <f t="shared" si="88"/>
        <v/>
      </c>
      <c r="G953" t="str">
        <f>IF(OR($E953="",$E953="نامعتبر",Sync!$X949=""),"",IF(AND(LEFT(UPPER(TRIM(Sync!$X949)),2)="SL",IFERROR(VLOOKUP(Sync!$W949,OpTbl,3,0),"")="فروش"),UPPER(TRIM(Sync!$X949)),""))</f>
        <v/>
      </c>
      <c r="H953" t="str">
        <f>IF($G953="","",IF(Sync!$W949="","",Sync!$W949))</f>
        <v/>
      </c>
      <c r="I953" t="str">
        <f>IF(OR($G953="",Sync!$Y949=""),"",Sync!$Y949)</f>
        <v/>
      </c>
      <c r="J953" t="str">
        <f>IF(OR($G953="",Sync!$Z949=""),"",Sync!$Z949)</f>
        <v/>
      </c>
      <c r="K953">
        <f>IF($G953="",0,IF(Sync!$AA949="",0,Sync!$AA949))</f>
        <v>0</v>
      </c>
      <c r="L953">
        <f>IF($G953="",0,IF(Sync!$AB949="",0,Sync!$AB949))</f>
        <v>0</v>
      </c>
      <c r="M953" t="str">
        <f t="shared" si="89"/>
        <v/>
      </c>
      <c r="N953">
        <f>IF($G953="",0,IF($H953="مرجوعی فروش",-1,1)*IF(Sync!$AC949="",0,Sync!$AC949))</f>
        <v>0</v>
      </c>
      <c r="O953" t="str">
        <f>IF(OR($G953="",Sync!$V949=""),"",Sync!$V949)</f>
        <v/>
      </c>
      <c r="P953" t="str">
        <f>IF(OR($G953="",Sync!$AD949=""),"",Sync!$AD949)</f>
        <v/>
      </c>
      <c r="Q953" t="str">
        <f>IF($G953="","",IF(Sync!$U949="","0000",IF(AND(ISNUMBER(Sync!$U949),Sync!$U949&gt;=0,Sync!$U949&lt;1),RIGHT("00"&amp;HOUR(Sync!$U949),2)&amp;RIGHT("00"&amp;MINUTE(Sync!$U949),2),IFERROR(RIGHT("00"&amp;VALUE(LEFT(Sync!$U949,FIND(":",Sync!$U949)-1)),2)&amp;RIGHT("00"&amp;VALUE(MID(Sync!$U949,FIND(":",Sync!$U949)+1,2)),2),"0000"))))</f>
        <v/>
      </c>
    </row>
    <row r="954" spans="1:17" x14ac:dyDescent="0.2">
      <c r="A954" t="str">
        <f>IF(Sync!$T950="","",Sync!$T950)</f>
        <v/>
      </c>
      <c r="B954" t="str">
        <f t="shared" si="84"/>
        <v/>
      </c>
      <c r="C954" t="str">
        <f t="shared" si="85"/>
        <v/>
      </c>
      <c r="D954" t="str">
        <f t="shared" si="86"/>
        <v/>
      </c>
      <c r="E954" t="str">
        <f t="shared" si="87"/>
        <v/>
      </c>
      <c r="F954" t="str">
        <f t="shared" si="88"/>
        <v/>
      </c>
      <c r="G954" t="str">
        <f>IF(OR($E954="",$E954="نامعتبر",Sync!$X950=""),"",IF(AND(LEFT(UPPER(TRIM(Sync!$X950)),2)="SL",IFERROR(VLOOKUP(Sync!$W950,OpTbl,3,0),"")="فروش"),UPPER(TRIM(Sync!$X950)),""))</f>
        <v/>
      </c>
      <c r="H954" t="str">
        <f>IF($G954="","",IF(Sync!$W950="","",Sync!$W950))</f>
        <v/>
      </c>
      <c r="I954" t="str">
        <f>IF(OR($G954="",Sync!$Y950=""),"",Sync!$Y950)</f>
        <v/>
      </c>
      <c r="J954" t="str">
        <f>IF(OR($G954="",Sync!$Z950=""),"",Sync!$Z950)</f>
        <v/>
      </c>
      <c r="K954">
        <f>IF($G954="",0,IF(Sync!$AA950="",0,Sync!$AA950))</f>
        <v>0</v>
      </c>
      <c r="L954">
        <f>IF($G954="",0,IF(Sync!$AB950="",0,Sync!$AB950))</f>
        <v>0</v>
      </c>
      <c r="M954" t="str">
        <f t="shared" si="89"/>
        <v/>
      </c>
      <c r="N954">
        <f>IF($G954="",0,IF($H954="مرجوعی فروش",-1,1)*IF(Sync!$AC950="",0,Sync!$AC950))</f>
        <v>0</v>
      </c>
      <c r="O954" t="str">
        <f>IF(OR($G954="",Sync!$V950=""),"",Sync!$V950)</f>
        <v/>
      </c>
      <c r="P954" t="str">
        <f>IF(OR($G954="",Sync!$AD950=""),"",Sync!$AD950)</f>
        <v/>
      </c>
      <c r="Q954" t="str">
        <f>IF($G954="","",IF(Sync!$U950="","0000",IF(AND(ISNUMBER(Sync!$U950),Sync!$U950&gt;=0,Sync!$U950&lt;1),RIGHT("00"&amp;HOUR(Sync!$U950),2)&amp;RIGHT("00"&amp;MINUTE(Sync!$U950),2),IFERROR(RIGHT("00"&amp;VALUE(LEFT(Sync!$U950,FIND(":",Sync!$U950)-1)),2)&amp;RIGHT("00"&amp;VALUE(MID(Sync!$U950,FIND(":",Sync!$U950)+1,2)),2),"0000"))))</f>
        <v/>
      </c>
    </row>
    <row r="955" spans="1:17" x14ac:dyDescent="0.2">
      <c r="A955" t="str">
        <f>IF(Sync!$T951="","",Sync!$T951)</f>
        <v/>
      </c>
      <c r="B955" t="str">
        <f t="shared" si="84"/>
        <v/>
      </c>
      <c r="C955" t="str">
        <f t="shared" si="85"/>
        <v/>
      </c>
      <c r="D955" t="str">
        <f t="shared" si="86"/>
        <v/>
      </c>
      <c r="E955" t="str">
        <f t="shared" si="87"/>
        <v/>
      </c>
      <c r="F955" t="str">
        <f t="shared" si="88"/>
        <v/>
      </c>
      <c r="G955" t="str">
        <f>IF(OR($E955="",$E955="نامعتبر",Sync!$X951=""),"",IF(AND(LEFT(UPPER(TRIM(Sync!$X951)),2)="SL",IFERROR(VLOOKUP(Sync!$W951,OpTbl,3,0),"")="فروش"),UPPER(TRIM(Sync!$X951)),""))</f>
        <v/>
      </c>
      <c r="H955" t="str">
        <f>IF($G955="","",IF(Sync!$W951="","",Sync!$W951))</f>
        <v/>
      </c>
      <c r="I955" t="str">
        <f>IF(OR($G955="",Sync!$Y951=""),"",Sync!$Y951)</f>
        <v/>
      </c>
      <c r="J955" t="str">
        <f>IF(OR($G955="",Sync!$Z951=""),"",Sync!$Z951)</f>
        <v/>
      </c>
      <c r="K955">
        <f>IF($G955="",0,IF(Sync!$AA951="",0,Sync!$AA951))</f>
        <v>0</v>
      </c>
      <c r="L955">
        <f>IF($G955="",0,IF(Sync!$AB951="",0,Sync!$AB951))</f>
        <v>0</v>
      </c>
      <c r="M955" t="str">
        <f t="shared" si="89"/>
        <v/>
      </c>
      <c r="N955">
        <f>IF($G955="",0,IF($H955="مرجوعی فروش",-1,1)*IF(Sync!$AC951="",0,Sync!$AC951))</f>
        <v>0</v>
      </c>
      <c r="O955" t="str">
        <f>IF(OR($G955="",Sync!$V951=""),"",Sync!$V951)</f>
        <v/>
      </c>
      <c r="P955" t="str">
        <f>IF(OR($G955="",Sync!$AD951=""),"",Sync!$AD951)</f>
        <v/>
      </c>
      <c r="Q955" t="str">
        <f>IF($G955="","",IF(Sync!$U951="","0000",IF(AND(ISNUMBER(Sync!$U951),Sync!$U951&gt;=0,Sync!$U951&lt;1),RIGHT("00"&amp;HOUR(Sync!$U951),2)&amp;RIGHT("00"&amp;MINUTE(Sync!$U951),2),IFERROR(RIGHT("00"&amp;VALUE(LEFT(Sync!$U951,FIND(":",Sync!$U951)-1)),2)&amp;RIGHT("00"&amp;VALUE(MID(Sync!$U951,FIND(":",Sync!$U951)+1,2)),2),"0000"))))</f>
        <v/>
      </c>
    </row>
    <row r="956" spans="1:17" x14ac:dyDescent="0.2">
      <c r="A956" t="str">
        <f>IF(Sync!$T952="","",Sync!$T952)</f>
        <v/>
      </c>
      <c r="B956" t="str">
        <f t="shared" si="84"/>
        <v/>
      </c>
      <c r="C956" t="str">
        <f t="shared" si="85"/>
        <v/>
      </c>
      <c r="D956" t="str">
        <f t="shared" si="86"/>
        <v/>
      </c>
      <c r="E956" t="str">
        <f t="shared" si="87"/>
        <v/>
      </c>
      <c r="F956" t="str">
        <f t="shared" si="88"/>
        <v/>
      </c>
      <c r="G956" t="str">
        <f>IF(OR($E956="",$E956="نامعتبر",Sync!$X952=""),"",IF(AND(LEFT(UPPER(TRIM(Sync!$X952)),2)="SL",IFERROR(VLOOKUP(Sync!$W952,OpTbl,3,0),"")="فروش"),UPPER(TRIM(Sync!$X952)),""))</f>
        <v/>
      </c>
      <c r="H956" t="str">
        <f>IF($G956="","",IF(Sync!$W952="","",Sync!$W952))</f>
        <v/>
      </c>
      <c r="I956" t="str">
        <f>IF(OR($G956="",Sync!$Y952=""),"",Sync!$Y952)</f>
        <v/>
      </c>
      <c r="J956" t="str">
        <f>IF(OR($G956="",Sync!$Z952=""),"",Sync!$Z952)</f>
        <v/>
      </c>
      <c r="K956">
        <f>IF($G956="",0,IF(Sync!$AA952="",0,Sync!$AA952))</f>
        <v>0</v>
      </c>
      <c r="L956">
        <f>IF($G956="",0,IF(Sync!$AB952="",0,Sync!$AB952))</f>
        <v>0</v>
      </c>
      <c r="M956" t="str">
        <f t="shared" si="89"/>
        <v/>
      </c>
      <c r="N956">
        <f>IF($G956="",0,IF($H956="مرجوعی فروش",-1,1)*IF(Sync!$AC952="",0,Sync!$AC952))</f>
        <v>0</v>
      </c>
      <c r="O956" t="str">
        <f>IF(OR($G956="",Sync!$V952=""),"",Sync!$V952)</f>
        <v/>
      </c>
      <c r="P956" t="str">
        <f>IF(OR($G956="",Sync!$AD952=""),"",Sync!$AD952)</f>
        <v/>
      </c>
      <c r="Q956" t="str">
        <f>IF($G956="","",IF(Sync!$U952="","0000",IF(AND(ISNUMBER(Sync!$U952),Sync!$U952&gt;=0,Sync!$U952&lt;1),RIGHT("00"&amp;HOUR(Sync!$U952),2)&amp;RIGHT("00"&amp;MINUTE(Sync!$U952),2),IFERROR(RIGHT("00"&amp;VALUE(LEFT(Sync!$U952,FIND(":",Sync!$U952)-1)),2)&amp;RIGHT("00"&amp;VALUE(MID(Sync!$U952,FIND(":",Sync!$U952)+1,2)),2),"0000"))))</f>
        <v/>
      </c>
    </row>
    <row r="957" spans="1:17" x14ac:dyDescent="0.2">
      <c r="A957" t="str">
        <f>IF(Sync!$T953="","",Sync!$T953)</f>
        <v/>
      </c>
      <c r="B957" t="str">
        <f t="shared" si="84"/>
        <v/>
      </c>
      <c r="C957" t="str">
        <f t="shared" si="85"/>
        <v/>
      </c>
      <c r="D957" t="str">
        <f t="shared" si="86"/>
        <v/>
      </c>
      <c r="E957" t="str">
        <f t="shared" si="87"/>
        <v/>
      </c>
      <c r="F957" t="str">
        <f t="shared" si="88"/>
        <v/>
      </c>
      <c r="G957" t="str">
        <f>IF(OR($E957="",$E957="نامعتبر",Sync!$X953=""),"",IF(AND(LEFT(UPPER(TRIM(Sync!$X953)),2)="SL",IFERROR(VLOOKUP(Sync!$W953,OpTbl,3,0),"")="فروش"),UPPER(TRIM(Sync!$X953)),""))</f>
        <v/>
      </c>
      <c r="H957" t="str">
        <f>IF($G957="","",IF(Sync!$W953="","",Sync!$W953))</f>
        <v/>
      </c>
      <c r="I957" t="str">
        <f>IF(OR($G957="",Sync!$Y953=""),"",Sync!$Y953)</f>
        <v/>
      </c>
      <c r="J957" t="str">
        <f>IF(OR($G957="",Sync!$Z953=""),"",Sync!$Z953)</f>
        <v/>
      </c>
      <c r="K957">
        <f>IF($G957="",0,IF(Sync!$AA953="",0,Sync!$AA953))</f>
        <v>0</v>
      </c>
      <c r="L957">
        <f>IF($G957="",0,IF(Sync!$AB953="",0,Sync!$AB953))</f>
        <v>0</v>
      </c>
      <c r="M957" t="str">
        <f t="shared" si="89"/>
        <v/>
      </c>
      <c r="N957">
        <f>IF($G957="",0,IF($H957="مرجوعی فروش",-1,1)*IF(Sync!$AC953="",0,Sync!$AC953))</f>
        <v>0</v>
      </c>
      <c r="O957" t="str">
        <f>IF(OR($G957="",Sync!$V953=""),"",Sync!$V953)</f>
        <v/>
      </c>
      <c r="P957" t="str">
        <f>IF(OR($G957="",Sync!$AD953=""),"",Sync!$AD953)</f>
        <v/>
      </c>
      <c r="Q957" t="str">
        <f>IF($G957="","",IF(Sync!$U953="","0000",IF(AND(ISNUMBER(Sync!$U953),Sync!$U953&gt;=0,Sync!$U953&lt;1),RIGHT("00"&amp;HOUR(Sync!$U953),2)&amp;RIGHT("00"&amp;MINUTE(Sync!$U953),2),IFERROR(RIGHT("00"&amp;VALUE(LEFT(Sync!$U953,FIND(":",Sync!$U953)-1)),2)&amp;RIGHT("00"&amp;VALUE(MID(Sync!$U953,FIND(":",Sync!$U953)+1,2)),2),"0000"))))</f>
        <v/>
      </c>
    </row>
    <row r="958" spans="1:17" x14ac:dyDescent="0.2">
      <c r="A958" t="str">
        <f>IF(Sync!$T954="","",Sync!$T954)</f>
        <v/>
      </c>
      <c r="B958" t="str">
        <f t="shared" si="84"/>
        <v/>
      </c>
      <c r="C958" t="str">
        <f t="shared" si="85"/>
        <v/>
      </c>
      <c r="D958" t="str">
        <f t="shared" si="86"/>
        <v/>
      </c>
      <c r="E958" t="str">
        <f t="shared" si="87"/>
        <v/>
      </c>
      <c r="F958" t="str">
        <f t="shared" si="88"/>
        <v/>
      </c>
      <c r="G958" t="str">
        <f>IF(OR($E958="",$E958="نامعتبر",Sync!$X954=""),"",IF(AND(LEFT(UPPER(TRIM(Sync!$X954)),2)="SL",IFERROR(VLOOKUP(Sync!$W954,OpTbl,3,0),"")="فروش"),UPPER(TRIM(Sync!$X954)),""))</f>
        <v/>
      </c>
      <c r="H958" t="str">
        <f>IF($G958="","",IF(Sync!$W954="","",Sync!$W954))</f>
        <v/>
      </c>
      <c r="I958" t="str">
        <f>IF(OR($G958="",Sync!$Y954=""),"",Sync!$Y954)</f>
        <v/>
      </c>
      <c r="J958" t="str">
        <f>IF(OR($G958="",Sync!$Z954=""),"",Sync!$Z954)</f>
        <v/>
      </c>
      <c r="K958">
        <f>IF($G958="",0,IF(Sync!$AA954="",0,Sync!$AA954))</f>
        <v>0</v>
      </c>
      <c r="L958">
        <f>IF($G958="",0,IF(Sync!$AB954="",0,Sync!$AB954))</f>
        <v>0</v>
      </c>
      <c r="M958" t="str">
        <f t="shared" si="89"/>
        <v/>
      </c>
      <c r="N958">
        <f>IF($G958="",0,IF($H958="مرجوعی فروش",-1,1)*IF(Sync!$AC954="",0,Sync!$AC954))</f>
        <v>0</v>
      </c>
      <c r="O958" t="str">
        <f>IF(OR($G958="",Sync!$V954=""),"",Sync!$V954)</f>
        <v/>
      </c>
      <c r="P958" t="str">
        <f>IF(OR($G958="",Sync!$AD954=""),"",Sync!$AD954)</f>
        <v/>
      </c>
      <c r="Q958" t="str">
        <f>IF($G958="","",IF(Sync!$U954="","0000",IF(AND(ISNUMBER(Sync!$U954),Sync!$U954&gt;=0,Sync!$U954&lt;1),RIGHT("00"&amp;HOUR(Sync!$U954),2)&amp;RIGHT("00"&amp;MINUTE(Sync!$U954),2),IFERROR(RIGHT("00"&amp;VALUE(LEFT(Sync!$U954,FIND(":",Sync!$U954)-1)),2)&amp;RIGHT("00"&amp;VALUE(MID(Sync!$U954,FIND(":",Sync!$U954)+1,2)),2),"0000"))))</f>
        <v/>
      </c>
    </row>
    <row r="959" spans="1:17" x14ac:dyDescent="0.2">
      <c r="A959" t="str">
        <f>IF(Sync!$T955="","",Sync!$T955)</f>
        <v/>
      </c>
      <c r="B959" t="str">
        <f t="shared" si="84"/>
        <v/>
      </c>
      <c r="C959" t="str">
        <f t="shared" si="85"/>
        <v/>
      </c>
      <c r="D959" t="str">
        <f t="shared" si="86"/>
        <v/>
      </c>
      <c r="E959" t="str">
        <f t="shared" si="87"/>
        <v/>
      </c>
      <c r="F959" t="str">
        <f t="shared" si="88"/>
        <v/>
      </c>
      <c r="G959" t="str">
        <f>IF(OR($E959="",$E959="نامعتبر",Sync!$X955=""),"",IF(AND(LEFT(UPPER(TRIM(Sync!$X955)),2)="SL",IFERROR(VLOOKUP(Sync!$W955,OpTbl,3,0),"")="فروش"),UPPER(TRIM(Sync!$X955)),""))</f>
        <v/>
      </c>
      <c r="H959" t="str">
        <f>IF($G959="","",IF(Sync!$W955="","",Sync!$W955))</f>
        <v/>
      </c>
      <c r="I959" t="str">
        <f>IF(OR($G959="",Sync!$Y955=""),"",Sync!$Y955)</f>
        <v/>
      </c>
      <c r="J959" t="str">
        <f>IF(OR($G959="",Sync!$Z955=""),"",Sync!$Z955)</f>
        <v/>
      </c>
      <c r="K959">
        <f>IF($G959="",0,IF(Sync!$AA955="",0,Sync!$AA955))</f>
        <v>0</v>
      </c>
      <c r="L959">
        <f>IF($G959="",0,IF(Sync!$AB955="",0,Sync!$AB955))</f>
        <v>0</v>
      </c>
      <c r="M959" t="str">
        <f t="shared" si="89"/>
        <v/>
      </c>
      <c r="N959">
        <f>IF($G959="",0,IF($H959="مرجوعی فروش",-1,1)*IF(Sync!$AC955="",0,Sync!$AC955))</f>
        <v>0</v>
      </c>
      <c r="O959" t="str">
        <f>IF(OR($G959="",Sync!$V955=""),"",Sync!$V955)</f>
        <v/>
      </c>
      <c r="P959" t="str">
        <f>IF(OR($G959="",Sync!$AD955=""),"",Sync!$AD955)</f>
        <v/>
      </c>
      <c r="Q959" t="str">
        <f>IF($G959="","",IF(Sync!$U955="","0000",IF(AND(ISNUMBER(Sync!$U955),Sync!$U955&gt;=0,Sync!$U955&lt;1),RIGHT("00"&amp;HOUR(Sync!$U955),2)&amp;RIGHT("00"&amp;MINUTE(Sync!$U955),2),IFERROR(RIGHT("00"&amp;VALUE(LEFT(Sync!$U955,FIND(":",Sync!$U955)-1)),2)&amp;RIGHT("00"&amp;VALUE(MID(Sync!$U955,FIND(":",Sync!$U955)+1,2)),2),"0000"))))</f>
        <v/>
      </c>
    </row>
    <row r="960" spans="1:17" x14ac:dyDescent="0.2">
      <c r="A960" t="str">
        <f>IF(Sync!$T956="","",Sync!$T956)</f>
        <v/>
      </c>
      <c r="B960" t="str">
        <f t="shared" si="84"/>
        <v/>
      </c>
      <c r="C960" t="str">
        <f t="shared" si="85"/>
        <v/>
      </c>
      <c r="D960" t="str">
        <f t="shared" si="86"/>
        <v/>
      </c>
      <c r="E960" t="str">
        <f t="shared" si="87"/>
        <v/>
      </c>
      <c r="F960" t="str">
        <f t="shared" si="88"/>
        <v/>
      </c>
      <c r="G960" t="str">
        <f>IF(OR($E960="",$E960="نامعتبر",Sync!$X956=""),"",IF(AND(LEFT(UPPER(TRIM(Sync!$X956)),2)="SL",IFERROR(VLOOKUP(Sync!$W956,OpTbl,3,0),"")="فروش"),UPPER(TRIM(Sync!$X956)),""))</f>
        <v/>
      </c>
      <c r="H960" t="str">
        <f>IF($G960="","",IF(Sync!$W956="","",Sync!$W956))</f>
        <v/>
      </c>
      <c r="I960" t="str">
        <f>IF(OR($G960="",Sync!$Y956=""),"",Sync!$Y956)</f>
        <v/>
      </c>
      <c r="J960" t="str">
        <f>IF(OR($G960="",Sync!$Z956=""),"",Sync!$Z956)</f>
        <v/>
      </c>
      <c r="K960">
        <f>IF($G960="",0,IF(Sync!$AA956="",0,Sync!$AA956))</f>
        <v>0</v>
      </c>
      <c r="L960">
        <f>IF($G960="",0,IF(Sync!$AB956="",0,Sync!$AB956))</f>
        <v>0</v>
      </c>
      <c r="M960" t="str">
        <f t="shared" si="89"/>
        <v/>
      </c>
      <c r="N960">
        <f>IF($G960="",0,IF($H960="مرجوعی فروش",-1,1)*IF(Sync!$AC956="",0,Sync!$AC956))</f>
        <v>0</v>
      </c>
      <c r="O960" t="str">
        <f>IF(OR($G960="",Sync!$V956=""),"",Sync!$V956)</f>
        <v/>
      </c>
      <c r="P960" t="str">
        <f>IF(OR($G960="",Sync!$AD956=""),"",Sync!$AD956)</f>
        <v/>
      </c>
      <c r="Q960" t="str">
        <f>IF($G960="","",IF(Sync!$U956="","0000",IF(AND(ISNUMBER(Sync!$U956),Sync!$U956&gt;=0,Sync!$U956&lt;1),RIGHT("00"&amp;HOUR(Sync!$U956),2)&amp;RIGHT("00"&amp;MINUTE(Sync!$U956),2),IFERROR(RIGHT("00"&amp;VALUE(LEFT(Sync!$U956,FIND(":",Sync!$U956)-1)),2)&amp;RIGHT("00"&amp;VALUE(MID(Sync!$U956,FIND(":",Sync!$U956)+1,2)),2),"0000"))))</f>
        <v/>
      </c>
    </row>
    <row r="961" spans="1:17" x14ac:dyDescent="0.2">
      <c r="A961" t="str">
        <f>IF(Sync!$T957="","",Sync!$T957)</f>
        <v/>
      </c>
      <c r="B961" t="str">
        <f t="shared" si="84"/>
        <v/>
      </c>
      <c r="C961" t="str">
        <f t="shared" si="85"/>
        <v/>
      </c>
      <c r="D961" t="str">
        <f t="shared" si="86"/>
        <v/>
      </c>
      <c r="E961" t="str">
        <f t="shared" si="87"/>
        <v/>
      </c>
      <c r="F961" t="str">
        <f t="shared" si="88"/>
        <v/>
      </c>
      <c r="G961" t="str">
        <f>IF(OR($E961="",$E961="نامعتبر",Sync!$X957=""),"",IF(AND(LEFT(UPPER(TRIM(Sync!$X957)),2)="SL",IFERROR(VLOOKUP(Sync!$W957,OpTbl,3,0),"")="فروش"),UPPER(TRIM(Sync!$X957)),""))</f>
        <v/>
      </c>
      <c r="H961" t="str">
        <f>IF($G961="","",IF(Sync!$W957="","",Sync!$W957))</f>
        <v/>
      </c>
      <c r="I961" t="str">
        <f>IF(OR($G961="",Sync!$Y957=""),"",Sync!$Y957)</f>
        <v/>
      </c>
      <c r="J961" t="str">
        <f>IF(OR($G961="",Sync!$Z957=""),"",Sync!$Z957)</f>
        <v/>
      </c>
      <c r="K961">
        <f>IF($G961="",0,IF(Sync!$AA957="",0,Sync!$AA957))</f>
        <v>0</v>
      </c>
      <c r="L961">
        <f>IF($G961="",0,IF(Sync!$AB957="",0,Sync!$AB957))</f>
        <v>0</v>
      </c>
      <c r="M961" t="str">
        <f t="shared" si="89"/>
        <v/>
      </c>
      <c r="N961">
        <f>IF($G961="",0,IF($H961="مرجوعی فروش",-1,1)*IF(Sync!$AC957="",0,Sync!$AC957))</f>
        <v>0</v>
      </c>
      <c r="O961" t="str">
        <f>IF(OR($G961="",Sync!$V957=""),"",Sync!$V957)</f>
        <v/>
      </c>
      <c r="P961" t="str">
        <f>IF(OR($G961="",Sync!$AD957=""),"",Sync!$AD957)</f>
        <v/>
      </c>
      <c r="Q961" t="str">
        <f>IF($G961="","",IF(Sync!$U957="","0000",IF(AND(ISNUMBER(Sync!$U957),Sync!$U957&gt;=0,Sync!$U957&lt;1),RIGHT("00"&amp;HOUR(Sync!$U957),2)&amp;RIGHT("00"&amp;MINUTE(Sync!$U957),2),IFERROR(RIGHT("00"&amp;VALUE(LEFT(Sync!$U957,FIND(":",Sync!$U957)-1)),2)&amp;RIGHT("00"&amp;VALUE(MID(Sync!$U957,FIND(":",Sync!$U957)+1,2)),2),"0000"))))</f>
        <v/>
      </c>
    </row>
    <row r="962" spans="1:17" x14ac:dyDescent="0.2">
      <c r="A962" t="str">
        <f>IF(Sync!$T958="","",Sync!$T958)</f>
        <v/>
      </c>
      <c r="B962" t="str">
        <f t="shared" si="84"/>
        <v/>
      </c>
      <c r="C962" t="str">
        <f t="shared" si="85"/>
        <v/>
      </c>
      <c r="D962" t="str">
        <f t="shared" si="86"/>
        <v/>
      </c>
      <c r="E962" t="str">
        <f t="shared" si="87"/>
        <v/>
      </c>
      <c r="F962" t="str">
        <f t="shared" si="88"/>
        <v/>
      </c>
      <c r="G962" t="str">
        <f>IF(OR($E962="",$E962="نامعتبر",Sync!$X958=""),"",IF(AND(LEFT(UPPER(TRIM(Sync!$X958)),2)="SL",IFERROR(VLOOKUP(Sync!$W958,OpTbl,3,0),"")="فروش"),UPPER(TRIM(Sync!$X958)),""))</f>
        <v/>
      </c>
      <c r="H962" t="str">
        <f>IF($G962="","",IF(Sync!$W958="","",Sync!$W958))</f>
        <v/>
      </c>
      <c r="I962" t="str">
        <f>IF(OR($G962="",Sync!$Y958=""),"",Sync!$Y958)</f>
        <v/>
      </c>
      <c r="J962" t="str">
        <f>IF(OR($G962="",Sync!$Z958=""),"",Sync!$Z958)</f>
        <v/>
      </c>
      <c r="K962">
        <f>IF($G962="",0,IF(Sync!$AA958="",0,Sync!$AA958))</f>
        <v>0</v>
      </c>
      <c r="L962">
        <f>IF($G962="",0,IF(Sync!$AB958="",0,Sync!$AB958))</f>
        <v>0</v>
      </c>
      <c r="M962" t="str">
        <f t="shared" si="89"/>
        <v/>
      </c>
      <c r="N962">
        <f>IF($G962="",0,IF($H962="مرجوعی فروش",-1,1)*IF(Sync!$AC958="",0,Sync!$AC958))</f>
        <v>0</v>
      </c>
      <c r="O962" t="str">
        <f>IF(OR($G962="",Sync!$V958=""),"",Sync!$V958)</f>
        <v/>
      </c>
      <c r="P962" t="str">
        <f>IF(OR($G962="",Sync!$AD958=""),"",Sync!$AD958)</f>
        <v/>
      </c>
      <c r="Q962" t="str">
        <f>IF($G962="","",IF(Sync!$U958="","0000",IF(AND(ISNUMBER(Sync!$U958),Sync!$U958&gt;=0,Sync!$U958&lt;1),RIGHT("00"&amp;HOUR(Sync!$U958),2)&amp;RIGHT("00"&amp;MINUTE(Sync!$U958),2),IFERROR(RIGHT("00"&amp;VALUE(LEFT(Sync!$U958,FIND(":",Sync!$U958)-1)),2)&amp;RIGHT("00"&amp;VALUE(MID(Sync!$U958,FIND(":",Sync!$U958)+1,2)),2),"0000"))))</f>
        <v/>
      </c>
    </row>
    <row r="963" spans="1:17" x14ac:dyDescent="0.2">
      <c r="A963" t="str">
        <f>IF(Sync!$T959="","",Sync!$T959)</f>
        <v/>
      </c>
      <c r="B963" t="str">
        <f t="shared" si="84"/>
        <v/>
      </c>
      <c r="C963" t="str">
        <f t="shared" si="85"/>
        <v/>
      </c>
      <c r="D963" t="str">
        <f t="shared" si="86"/>
        <v/>
      </c>
      <c r="E963" t="str">
        <f t="shared" si="87"/>
        <v/>
      </c>
      <c r="F963" t="str">
        <f t="shared" si="88"/>
        <v/>
      </c>
      <c r="G963" t="str">
        <f>IF(OR($E963="",$E963="نامعتبر",Sync!$X959=""),"",IF(AND(LEFT(UPPER(TRIM(Sync!$X959)),2)="SL",IFERROR(VLOOKUP(Sync!$W959,OpTbl,3,0),"")="فروش"),UPPER(TRIM(Sync!$X959)),""))</f>
        <v/>
      </c>
      <c r="H963" t="str">
        <f>IF($G963="","",IF(Sync!$W959="","",Sync!$W959))</f>
        <v/>
      </c>
      <c r="I963" t="str">
        <f>IF(OR($G963="",Sync!$Y959=""),"",Sync!$Y959)</f>
        <v/>
      </c>
      <c r="J963" t="str">
        <f>IF(OR($G963="",Sync!$Z959=""),"",Sync!$Z959)</f>
        <v/>
      </c>
      <c r="K963">
        <f>IF($G963="",0,IF(Sync!$AA959="",0,Sync!$AA959))</f>
        <v>0</v>
      </c>
      <c r="L963">
        <f>IF($G963="",0,IF(Sync!$AB959="",0,Sync!$AB959))</f>
        <v>0</v>
      </c>
      <c r="M963" t="str">
        <f t="shared" si="89"/>
        <v/>
      </c>
      <c r="N963">
        <f>IF($G963="",0,IF($H963="مرجوعی فروش",-1,1)*IF(Sync!$AC959="",0,Sync!$AC959))</f>
        <v>0</v>
      </c>
      <c r="O963" t="str">
        <f>IF(OR($G963="",Sync!$V959=""),"",Sync!$V959)</f>
        <v/>
      </c>
      <c r="P963" t="str">
        <f>IF(OR($G963="",Sync!$AD959=""),"",Sync!$AD959)</f>
        <v/>
      </c>
      <c r="Q963" t="str">
        <f>IF($G963="","",IF(Sync!$U959="","0000",IF(AND(ISNUMBER(Sync!$U959),Sync!$U959&gt;=0,Sync!$U959&lt;1),RIGHT("00"&amp;HOUR(Sync!$U959),2)&amp;RIGHT("00"&amp;MINUTE(Sync!$U959),2),IFERROR(RIGHT("00"&amp;VALUE(LEFT(Sync!$U959,FIND(":",Sync!$U959)-1)),2)&amp;RIGHT("00"&amp;VALUE(MID(Sync!$U959,FIND(":",Sync!$U959)+1,2)),2),"0000"))))</f>
        <v/>
      </c>
    </row>
    <row r="964" spans="1:17" x14ac:dyDescent="0.2">
      <c r="A964" t="str">
        <f>IF(Sync!$T960="","",Sync!$T960)</f>
        <v/>
      </c>
      <c r="B964" t="str">
        <f t="shared" si="84"/>
        <v/>
      </c>
      <c r="C964" t="str">
        <f t="shared" si="85"/>
        <v/>
      </c>
      <c r="D964" t="str">
        <f t="shared" si="86"/>
        <v/>
      </c>
      <c r="E964" t="str">
        <f t="shared" si="87"/>
        <v/>
      </c>
      <c r="F964" t="str">
        <f t="shared" si="88"/>
        <v/>
      </c>
      <c r="G964" t="str">
        <f>IF(OR($E964="",$E964="نامعتبر",Sync!$X960=""),"",IF(AND(LEFT(UPPER(TRIM(Sync!$X960)),2)="SL",IFERROR(VLOOKUP(Sync!$W960,OpTbl,3,0),"")="فروش"),UPPER(TRIM(Sync!$X960)),""))</f>
        <v/>
      </c>
      <c r="H964" t="str">
        <f>IF($G964="","",IF(Sync!$W960="","",Sync!$W960))</f>
        <v/>
      </c>
      <c r="I964" t="str">
        <f>IF(OR($G964="",Sync!$Y960=""),"",Sync!$Y960)</f>
        <v/>
      </c>
      <c r="J964" t="str">
        <f>IF(OR($G964="",Sync!$Z960=""),"",Sync!$Z960)</f>
        <v/>
      </c>
      <c r="K964">
        <f>IF($G964="",0,IF(Sync!$AA960="",0,Sync!$AA960))</f>
        <v>0</v>
      </c>
      <c r="L964">
        <f>IF($G964="",0,IF(Sync!$AB960="",0,Sync!$AB960))</f>
        <v>0</v>
      </c>
      <c r="M964" t="str">
        <f t="shared" si="89"/>
        <v/>
      </c>
      <c r="N964">
        <f>IF($G964="",0,IF($H964="مرجوعی فروش",-1,1)*IF(Sync!$AC960="",0,Sync!$AC960))</f>
        <v>0</v>
      </c>
      <c r="O964" t="str">
        <f>IF(OR($G964="",Sync!$V960=""),"",Sync!$V960)</f>
        <v/>
      </c>
      <c r="P964" t="str">
        <f>IF(OR($G964="",Sync!$AD960=""),"",Sync!$AD960)</f>
        <v/>
      </c>
      <c r="Q964" t="str">
        <f>IF($G964="","",IF(Sync!$U960="","0000",IF(AND(ISNUMBER(Sync!$U960),Sync!$U960&gt;=0,Sync!$U960&lt;1),RIGHT("00"&amp;HOUR(Sync!$U960),2)&amp;RIGHT("00"&amp;MINUTE(Sync!$U960),2),IFERROR(RIGHT("00"&amp;VALUE(LEFT(Sync!$U960,FIND(":",Sync!$U960)-1)),2)&amp;RIGHT("00"&amp;VALUE(MID(Sync!$U960,FIND(":",Sync!$U960)+1,2)),2),"0000"))))</f>
        <v/>
      </c>
    </row>
    <row r="965" spans="1:17" x14ac:dyDescent="0.2">
      <c r="A965" t="str">
        <f>IF(Sync!$T961="","",Sync!$T961)</f>
        <v/>
      </c>
      <c r="B965" t="str">
        <f t="shared" si="84"/>
        <v/>
      </c>
      <c r="C965" t="str">
        <f t="shared" si="85"/>
        <v/>
      </c>
      <c r="D965" t="str">
        <f t="shared" si="86"/>
        <v/>
      </c>
      <c r="E965" t="str">
        <f t="shared" si="87"/>
        <v/>
      </c>
      <c r="F965" t="str">
        <f t="shared" si="88"/>
        <v/>
      </c>
      <c r="G965" t="str">
        <f>IF(OR($E965="",$E965="نامعتبر",Sync!$X961=""),"",IF(AND(LEFT(UPPER(TRIM(Sync!$X961)),2)="SL",IFERROR(VLOOKUP(Sync!$W961,OpTbl,3,0),"")="فروش"),UPPER(TRIM(Sync!$X961)),""))</f>
        <v/>
      </c>
      <c r="H965" t="str">
        <f>IF($G965="","",IF(Sync!$W961="","",Sync!$W961))</f>
        <v/>
      </c>
      <c r="I965" t="str">
        <f>IF(OR($G965="",Sync!$Y961=""),"",Sync!$Y961)</f>
        <v/>
      </c>
      <c r="J965" t="str">
        <f>IF(OR($G965="",Sync!$Z961=""),"",Sync!$Z961)</f>
        <v/>
      </c>
      <c r="K965">
        <f>IF($G965="",0,IF(Sync!$AA961="",0,Sync!$AA961))</f>
        <v>0</v>
      </c>
      <c r="L965">
        <f>IF($G965="",0,IF(Sync!$AB961="",0,Sync!$AB961))</f>
        <v>0</v>
      </c>
      <c r="M965" t="str">
        <f t="shared" si="89"/>
        <v/>
      </c>
      <c r="N965">
        <f>IF($G965="",0,IF($H965="مرجوعی فروش",-1,1)*IF(Sync!$AC961="",0,Sync!$AC961))</f>
        <v>0</v>
      </c>
      <c r="O965" t="str">
        <f>IF(OR($G965="",Sync!$V961=""),"",Sync!$V961)</f>
        <v/>
      </c>
      <c r="P965" t="str">
        <f>IF(OR($G965="",Sync!$AD961=""),"",Sync!$AD961)</f>
        <v/>
      </c>
      <c r="Q965" t="str">
        <f>IF($G965="","",IF(Sync!$U961="","0000",IF(AND(ISNUMBER(Sync!$U961),Sync!$U961&gt;=0,Sync!$U961&lt;1),RIGHT("00"&amp;HOUR(Sync!$U961),2)&amp;RIGHT("00"&amp;MINUTE(Sync!$U961),2),IFERROR(RIGHT("00"&amp;VALUE(LEFT(Sync!$U961,FIND(":",Sync!$U961)-1)),2)&amp;RIGHT("00"&amp;VALUE(MID(Sync!$U961,FIND(":",Sync!$U961)+1,2)),2),"0000"))))</f>
        <v/>
      </c>
    </row>
    <row r="966" spans="1:17" x14ac:dyDescent="0.2">
      <c r="A966" t="str">
        <f>IF(Sync!$T962="","",Sync!$T962)</f>
        <v/>
      </c>
      <c r="B966" t="str">
        <f t="shared" si="84"/>
        <v/>
      </c>
      <c r="C966" t="str">
        <f t="shared" si="85"/>
        <v/>
      </c>
      <c r="D966" t="str">
        <f t="shared" si="86"/>
        <v/>
      </c>
      <c r="E966" t="str">
        <f t="shared" si="87"/>
        <v/>
      </c>
      <c r="F966" t="str">
        <f t="shared" si="88"/>
        <v/>
      </c>
      <c r="G966" t="str">
        <f>IF(OR($E966="",$E966="نامعتبر",Sync!$X962=""),"",IF(AND(LEFT(UPPER(TRIM(Sync!$X962)),2)="SL",IFERROR(VLOOKUP(Sync!$W962,OpTbl,3,0),"")="فروش"),UPPER(TRIM(Sync!$X962)),""))</f>
        <v/>
      </c>
      <c r="H966" t="str">
        <f>IF($G966="","",IF(Sync!$W962="","",Sync!$W962))</f>
        <v/>
      </c>
      <c r="I966" t="str">
        <f>IF(OR($G966="",Sync!$Y962=""),"",Sync!$Y962)</f>
        <v/>
      </c>
      <c r="J966" t="str">
        <f>IF(OR($G966="",Sync!$Z962=""),"",Sync!$Z962)</f>
        <v/>
      </c>
      <c r="K966">
        <f>IF($G966="",0,IF(Sync!$AA962="",0,Sync!$AA962))</f>
        <v>0</v>
      </c>
      <c r="L966">
        <f>IF($G966="",0,IF(Sync!$AB962="",0,Sync!$AB962))</f>
        <v>0</v>
      </c>
      <c r="M966" t="str">
        <f t="shared" si="89"/>
        <v/>
      </c>
      <c r="N966">
        <f>IF($G966="",0,IF($H966="مرجوعی فروش",-1,1)*IF(Sync!$AC962="",0,Sync!$AC962))</f>
        <v>0</v>
      </c>
      <c r="O966" t="str">
        <f>IF(OR($G966="",Sync!$V962=""),"",Sync!$V962)</f>
        <v/>
      </c>
      <c r="P966" t="str">
        <f>IF(OR($G966="",Sync!$AD962=""),"",Sync!$AD962)</f>
        <v/>
      </c>
      <c r="Q966" t="str">
        <f>IF($G966="","",IF(Sync!$U962="","0000",IF(AND(ISNUMBER(Sync!$U962),Sync!$U962&gt;=0,Sync!$U962&lt;1),RIGHT("00"&amp;HOUR(Sync!$U962),2)&amp;RIGHT("00"&amp;MINUTE(Sync!$U962),2),IFERROR(RIGHT("00"&amp;VALUE(LEFT(Sync!$U962,FIND(":",Sync!$U962)-1)),2)&amp;RIGHT("00"&amp;VALUE(MID(Sync!$U962,FIND(":",Sync!$U962)+1,2)),2),"0000"))))</f>
        <v/>
      </c>
    </row>
    <row r="967" spans="1:17" x14ac:dyDescent="0.2">
      <c r="A967" t="str">
        <f>IF(Sync!$T963="","",Sync!$T963)</f>
        <v/>
      </c>
      <c r="B967" t="str">
        <f t="shared" si="84"/>
        <v/>
      </c>
      <c r="C967" t="str">
        <f t="shared" si="85"/>
        <v/>
      </c>
      <c r="D967" t="str">
        <f t="shared" si="86"/>
        <v/>
      </c>
      <c r="E967" t="str">
        <f t="shared" si="87"/>
        <v/>
      </c>
      <c r="F967" t="str">
        <f t="shared" si="88"/>
        <v/>
      </c>
      <c r="G967" t="str">
        <f>IF(OR($E967="",$E967="نامعتبر",Sync!$X963=""),"",IF(AND(LEFT(UPPER(TRIM(Sync!$X963)),2)="SL",IFERROR(VLOOKUP(Sync!$W963,OpTbl,3,0),"")="فروش"),UPPER(TRIM(Sync!$X963)),""))</f>
        <v/>
      </c>
      <c r="H967" t="str">
        <f>IF($G967="","",IF(Sync!$W963="","",Sync!$W963))</f>
        <v/>
      </c>
      <c r="I967" t="str">
        <f>IF(OR($G967="",Sync!$Y963=""),"",Sync!$Y963)</f>
        <v/>
      </c>
      <c r="J967" t="str">
        <f>IF(OR($G967="",Sync!$Z963=""),"",Sync!$Z963)</f>
        <v/>
      </c>
      <c r="K967">
        <f>IF($G967="",0,IF(Sync!$AA963="",0,Sync!$AA963))</f>
        <v>0</v>
      </c>
      <c r="L967">
        <f>IF($G967="",0,IF(Sync!$AB963="",0,Sync!$AB963))</f>
        <v>0</v>
      </c>
      <c r="M967" t="str">
        <f t="shared" si="89"/>
        <v/>
      </c>
      <c r="N967">
        <f>IF($G967="",0,IF($H967="مرجوعی فروش",-1,1)*IF(Sync!$AC963="",0,Sync!$AC963))</f>
        <v>0</v>
      </c>
      <c r="O967" t="str">
        <f>IF(OR($G967="",Sync!$V963=""),"",Sync!$V963)</f>
        <v/>
      </c>
      <c r="P967" t="str">
        <f>IF(OR($G967="",Sync!$AD963=""),"",Sync!$AD963)</f>
        <v/>
      </c>
      <c r="Q967" t="str">
        <f>IF($G967="","",IF(Sync!$U963="","0000",IF(AND(ISNUMBER(Sync!$U963),Sync!$U963&gt;=0,Sync!$U963&lt;1),RIGHT("00"&amp;HOUR(Sync!$U963),2)&amp;RIGHT("00"&amp;MINUTE(Sync!$U963),2),IFERROR(RIGHT("00"&amp;VALUE(LEFT(Sync!$U963,FIND(":",Sync!$U963)-1)),2)&amp;RIGHT("00"&amp;VALUE(MID(Sync!$U963,FIND(":",Sync!$U963)+1,2)),2),"0000"))))</f>
        <v/>
      </c>
    </row>
    <row r="968" spans="1:17" x14ac:dyDescent="0.2">
      <c r="A968" t="str">
        <f>IF(Sync!$T964="","",Sync!$T964)</f>
        <v/>
      </c>
      <c r="B968" t="str">
        <f t="shared" si="84"/>
        <v/>
      </c>
      <c r="C968" t="str">
        <f t="shared" si="85"/>
        <v/>
      </c>
      <c r="D968" t="str">
        <f t="shared" si="86"/>
        <v/>
      </c>
      <c r="E968" t="str">
        <f t="shared" si="87"/>
        <v/>
      </c>
      <c r="F968" t="str">
        <f t="shared" si="88"/>
        <v/>
      </c>
      <c r="G968" t="str">
        <f>IF(OR($E968="",$E968="نامعتبر",Sync!$X964=""),"",IF(AND(LEFT(UPPER(TRIM(Sync!$X964)),2)="SL",IFERROR(VLOOKUP(Sync!$W964,OpTbl,3,0),"")="فروش"),UPPER(TRIM(Sync!$X964)),""))</f>
        <v/>
      </c>
      <c r="H968" t="str">
        <f>IF($G968="","",IF(Sync!$W964="","",Sync!$W964))</f>
        <v/>
      </c>
      <c r="I968" t="str">
        <f>IF(OR($G968="",Sync!$Y964=""),"",Sync!$Y964)</f>
        <v/>
      </c>
      <c r="J968" t="str">
        <f>IF(OR($G968="",Sync!$Z964=""),"",Sync!$Z964)</f>
        <v/>
      </c>
      <c r="K968">
        <f>IF($G968="",0,IF(Sync!$AA964="",0,Sync!$AA964))</f>
        <v>0</v>
      </c>
      <c r="L968">
        <f>IF($G968="",0,IF(Sync!$AB964="",0,Sync!$AB964))</f>
        <v>0</v>
      </c>
      <c r="M968" t="str">
        <f t="shared" si="89"/>
        <v/>
      </c>
      <c r="N968">
        <f>IF($G968="",0,IF($H968="مرجوعی فروش",-1,1)*IF(Sync!$AC964="",0,Sync!$AC964))</f>
        <v>0</v>
      </c>
      <c r="O968" t="str">
        <f>IF(OR($G968="",Sync!$V964=""),"",Sync!$V964)</f>
        <v/>
      </c>
      <c r="P968" t="str">
        <f>IF(OR($G968="",Sync!$AD964=""),"",Sync!$AD964)</f>
        <v/>
      </c>
      <c r="Q968" t="str">
        <f>IF($G968="","",IF(Sync!$U964="","0000",IF(AND(ISNUMBER(Sync!$U964),Sync!$U964&gt;=0,Sync!$U964&lt;1),RIGHT("00"&amp;HOUR(Sync!$U964),2)&amp;RIGHT("00"&amp;MINUTE(Sync!$U964),2),IFERROR(RIGHT("00"&amp;VALUE(LEFT(Sync!$U964,FIND(":",Sync!$U964)-1)),2)&amp;RIGHT("00"&amp;VALUE(MID(Sync!$U964,FIND(":",Sync!$U964)+1,2)),2),"0000"))))</f>
        <v/>
      </c>
    </row>
    <row r="969" spans="1:17" x14ac:dyDescent="0.2">
      <c r="A969" t="str">
        <f>IF(Sync!$T965="","",Sync!$T965)</f>
        <v/>
      </c>
      <c r="B969" t="str">
        <f t="shared" si="84"/>
        <v/>
      </c>
      <c r="C969" t="str">
        <f t="shared" si="85"/>
        <v/>
      </c>
      <c r="D969" t="str">
        <f t="shared" si="86"/>
        <v/>
      </c>
      <c r="E969" t="str">
        <f t="shared" si="87"/>
        <v/>
      </c>
      <c r="F969" t="str">
        <f t="shared" si="88"/>
        <v/>
      </c>
      <c r="G969" t="str">
        <f>IF(OR($E969="",$E969="نامعتبر",Sync!$X965=""),"",IF(AND(LEFT(UPPER(TRIM(Sync!$X965)),2)="SL",IFERROR(VLOOKUP(Sync!$W965,OpTbl,3,0),"")="فروش"),UPPER(TRIM(Sync!$X965)),""))</f>
        <v/>
      </c>
      <c r="H969" t="str">
        <f>IF($G969="","",IF(Sync!$W965="","",Sync!$W965))</f>
        <v/>
      </c>
      <c r="I969" t="str">
        <f>IF(OR($G969="",Sync!$Y965=""),"",Sync!$Y965)</f>
        <v/>
      </c>
      <c r="J969" t="str">
        <f>IF(OR($G969="",Sync!$Z965=""),"",Sync!$Z965)</f>
        <v/>
      </c>
      <c r="K969">
        <f>IF($G969="",0,IF(Sync!$AA965="",0,Sync!$AA965))</f>
        <v>0</v>
      </c>
      <c r="L969">
        <f>IF($G969="",0,IF(Sync!$AB965="",0,Sync!$AB965))</f>
        <v>0</v>
      </c>
      <c r="M969" t="str">
        <f t="shared" si="89"/>
        <v/>
      </c>
      <c r="N969">
        <f>IF($G969="",0,IF($H969="مرجوعی فروش",-1,1)*IF(Sync!$AC965="",0,Sync!$AC965))</f>
        <v>0</v>
      </c>
      <c r="O969" t="str">
        <f>IF(OR($G969="",Sync!$V965=""),"",Sync!$V965)</f>
        <v/>
      </c>
      <c r="P969" t="str">
        <f>IF(OR($G969="",Sync!$AD965=""),"",Sync!$AD965)</f>
        <v/>
      </c>
      <c r="Q969" t="str">
        <f>IF($G969="","",IF(Sync!$U965="","0000",IF(AND(ISNUMBER(Sync!$U965),Sync!$U965&gt;=0,Sync!$U965&lt;1),RIGHT("00"&amp;HOUR(Sync!$U965),2)&amp;RIGHT("00"&amp;MINUTE(Sync!$U965),2),IFERROR(RIGHT("00"&amp;VALUE(LEFT(Sync!$U965,FIND(":",Sync!$U965)-1)),2)&amp;RIGHT("00"&amp;VALUE(MID(Sync!$U965,FIND(":",Sync!$U965)+1,2)),2),"0000"))))</f>
        <v/>
      </c>
    </row>
    <row r="970" spans="1:17" x14ac:dyDescent="0.2">
      <c r="A970" t="str">
        <f>IF(Sync!$T966="","",Sync!$T966)</f>
        <v/>
      </c>
      <c r="B970" t="str">
        <f t="shared" ref="B970:B1033" si="90">IF($A970="","",IF(ISNUMBER($A970),IF(AND($A970&gt;=10000101,$A970&lt;=99991231),INT($A970/10000),""),IFERROR(VALUE(TRIM(LEFT($A970,FIND("/",$A970)-1))),"")))</f>
        <v/>
      </c>
      <c r="C970" t="str">
        <f t="shared" ref="C970:C1033" si="91">IF(OR($A970="",$B970=""),"",IF(ISNUMBER($A970),INT(MOD($A970,10000)/100),IFERROR(VALUE(TRIM(LEFT(MID($A970,FIND("/",$A970)+1,20),FIND("/",MID($A970,FIND("/",$A970)+1,20))-1))),"")))</f>
        <v/>
      </c>
      <c r="D970" t="str">
        <f t="shared" ref="D970:D1033" si="92">IF(OR($A970="",$B970=""),"",IF(ISNUMBER($A970),MOD($A970,100),IFERROR(VALUE(TRIM(MID(MID($A970,FIND("/",$A970)+1,20),FIND("/",MID($A970,FIND("/",$A970)+1,20))+1,20))),"")))</f>
        <v/>
      </c>
      <c r="E970" t="str">
        <f t="shared" ref="E970:E1033" si="93">IF($A970="","",IF(OR($B970="",$C970="",$D970="",$B970&lt;1300,$B970&gt;1500,$C970&lt;1,$C970&gt;12,$D970&lt;1,$D970&gt;31),"نامعتبر",RIGHT("0000"&amp;$B970,4)&amp;"/"&amp;RIGHT("00"&amp;$C970,2)&amp;"/"&amp;RIGHT("00"&amp;$D970,2)))</f>
        <v/>
      </c>
      <c r="F970" t="str">
        <f t="shared" ref="F970:F1033" si="94">IF(OR($E970="",$E970="نامعتبر"),"",LEFT($E970,4)&amp;"/"&amp;MID($E970,6,2))</f>
        <v/>
      </c>
      <c r="G970" t="str">
        <f>IF(OR($E970="",$E970="نامعتبر",Sync!$X966=""),"",IF(AND(LEFT(UPPER(TRIM(Sync!$X966)),2)="SL",IFERROR(VLOOKUP(Sync!$W966,OpTbl,3,0),"")="فروش"),UPPER(TRIM(Sync!$X966)),""))</f>
        <v/>
      </c>
      <c r="H970" t="str">
        <f>IF($G970="","",IF(Sync!$W966="","",Sync!$W966))</f>
        <v/>
      </c>
      <c r="I970" t="str">
        <f>IF(OR($G970="",Sync!$Y966=""),"",Sync!$Y966)</f>
        <v/>
      </c>
      <c r="J970" t="str">
        <f>IF(OR($G970="",Sync!$Z966=""),"",Sync!$Z966)</f>
        <v/>
      </c>
      <c r="K970">
        <f>IF($G970="",0,IF(Sync!$AA966="",0,Sync!$AA966))</f>
        <v>0</v>
      </c>
      <c r="L970">
        <f>IF($G970="",0,IF(Sync!$AB966="",0,Sync!$AB966))</f>
        <v>0</v>
      </c>
      <c r="M970" t="str">
        <f t="shared" ref="M970:M1033" si="95">IF($G970="","",IF($H970="مرجوعی فروش",-1,1)*($K970-$L970*IFERROR(VLOOKUP("P01",ParamTbl,3,0),1.5)))</f>
        <v/>
      </c>
      <c r="N970">
        <f>IF($G970="",0,IF($H970="مرجوعی فروش",-1,1)*IF(Sync!$AC966="",0,Sync!$AC966))</f>
        <v>0</v>
      </c>
      <c r="O970" t="str">
        <f>IF(OR($G970="",Sync!$V966=""),"",Sync!$V966)</f>
        <v/>
      </c>
      <c r="P970" t="str">
        <f>IF(OR($G970="",Sync!$AD966=""),"",Sync!$AD966)</f>
        <v/>
      </c>
      <c r="Q970" t="str">
        <f>IF($G970="","",IF(Sync!$U966="","0000",IF(AND(ISNUMBER(Sync!$U966),Sync!$U966&gt;=0,Sync!$U966&lt;1),RIGHT("00"&amp;HOUR(Sync!$U966),2)&amp;RIGHT("00"&amp;MINUTE(Sync!$U966),2),IFERROR(RIGHT("00"&amp;VALUE(LEFT(Sync!$U966,FIND(":",Sync!$U966)-1)),2)&amp;RIGHT("00"&amp;VALUE(MID(Sync!$U966,FIND(":",Sync!$U966)+1,2)),2),"0000"))))</f>
        <v/>
      </c>
    </row>
    <row r="971" spans="1:17" x14ac:dyDescent="0.2">
      <c r="A971" t="str">
        <f>IF(Sync!$T967="","",Sync!$T967)</f>
        <v/>
      </c>
      <c r="B971" t="str">
        <f t="shared" si="90"/>
        <v/>
      </c>
      <c r="C971" t="str">
        <f t="shared" si="91"/>
        <v/>
      </c>
      <c r="D971" t="str">
        <f t="shared" si="92"/>
        <v/>
      </c>
      <c r="E971" t="str">
        <f t="shared" si="93"/>
        <v/>
      </c>
      <c r="F971" t="str">
        <f t="shared" si="94"/>
        <v/>
      </c>
      <c r="G971" t="str">
        <f>IF(OR($E971="",$E971="نامعتبر",Sync!$X967=""),"",IF(AND(LEFT(UPPER(TRIM(Sync!$X967)),2)="SL",IFERROR(VLOOKUP(Sync!$W967,OpTbl,3,0),"")="فروش"),UPPER(TRIM(Sync!$X967)),""))</f>
        <v/>
      </c>
      <c r="H971" t="str">
        <f>IF($G971="","",IF(Sync!$W967="","",Sync!$W967))</f>
        <v/>
      </c>
      <c r="I971" t="str">
        <f>IF(OR($G971="",Sync!$Y967=""),"",Sync!$Y967)</f>
        <v/>
      </c>
      <c r="J971" t="str">
        <f>IF(OR($G971="",Sync!$Z967=""),"",Sync!$Z967)</f>
        <v/>
      </c>
      <c r="K971">
        <f>IF($G971="",0,IF(Sync!$AA967="",0,Sync!$AA967))</f>
        <v>0</v>
      </c>
      <c r="L971">
        <f>IF($G971="",0,IF(Sync!$AB967="",0,Sync!$AB967))</f>
        <v>0</v>
      </c>
      <c r="M971" t="str">
        <f t="shared" si="95"/>
        <v/>
      </c>
      <c r="N971">
        <f>IF($G971="",0,IF($H971="مرجوعی فروش",-1,1)*IF(Sync!$AC967="",0,Sync!$AC967))</f>
        <v>0</v>
      </c>
      <c r="O971" t="str">
        <f>IF(OR($G971="",Sync!$V967=""),"",Sync!$V967)</f>
        <v/>
      </c>
      <c r="P971" t="str">
        <f>IF(OR($G971="",Sync!$AD967=""),"",Sync!$AD967)</f>
        <v/>
      </c>
      <c r="Q971" t="str">
        <f>IF($G971="","",IF(Sync!$U967="","0000",IF(AND(ISNUMBER(Sync!$U967),Sync!$U967&gt;=0,Sync!$U967&lt;1),RIGHT("00"&amp;HOUR(Sync!$U967),2)&amp;RIGHT("00"&amp;MINUTE(Sync!$U967),2),IFERROR(RIGHT("00"&amp;VALUE(LEFT(Sync!$U967,FIND(":",Sync!$U967)-1)),2)&amp;RIGHT("00"&amp;VALUE(MID(Sync!$U967,FIND(":",Sync!$U967)+1,2)),2),"0000"))))</f>
        <v/>
      </c>
    </row>
    <row r="972" spans="1:17" x14ac:dyDescent="0.2">
      <c r="A972" t="str">
        <f>IF(Sync!$T968="","",Sync!$T968)</f>
        <v/>
      </c>
      <c r="B972" t="str">
        <f t="shared" si="90"/>
        <v/>
      </c>
      <c r="C972" t="str">
        <f t="shared" si="91"/>
        <v/>
      </c>
      <c r="D972" t="str">
        <f t="shared" si="92"/>
        <v/>
      </c>
      <c r="E972" t="str">
        <f t="shared" si="93"/>
        <v/>
      </c>
      <c r="F972" t="str">
        <f t="shared" si="94"/>
        <v/>
      </c>
      <c r="G972" t="str">
        <f>IF(OR($E972="",$E972="نامعتبر",Sync!$X968=""),"",IF(AND(LEFT(UPPER(TRIM(Sync!$X968)),2)="SL",IFERROR(VLOOKUP(Sync!$W968,OpTbl,3,0),"")="فروش"),UPPER(TRIM(Sync!$X968)),""))</f>
        <v/>
      </c>
      <c r="H972" t="str">
        <f>IF($G972="","",IF(Sync!$W968="","",Sync!$W968))</f>
        <v/>
      </c>
      <c r="I972" t="str">
        <f>IF(OR($G972="",Sync!$Y968=""),"",Sync!$Y968)</f>
        <v/>
      </c>
      <c r="J972" t="str">
        <f>IF(OR($G972="",Sync!$Z968=""),"",Sync!$Z968)</f>
        <v/>
      </c>
      <c r="K972">
        <f>IF($G972="",0,IF(Sync!$AA968="",0,Sync!$AA968))</f>
        <v>0</v>
      </c>
      <c r="L972">
        <f>IF($G972="",0,IF(Sync!$AB968="",0,Sync!$AB968))</f>
        <v>0</v>
      </c>
      <c r="M972" t="str">
        <f t="shared" si="95"/>
        <v/>
      </c>
      <c r="N972">
        <f>IF($G972="",0,IF($H972="مرجوعی فروش",-1,1)*IF(Sync!$AC968="",0,Sync!$AC968))</f>
        <v>0</v>
      </c>
      <c r="O972" t="str">
        <f>IF(OR($G972="",Sync!$V968=""),"",Sync!$V968)</f>
        <v/>
      </c>
      <c r="P972" t="str">
        <f>IF(OR($G972="",Sync!$AD968=""),"",Sync!$AD968)</f>
        <v/>
      </c>
      <c r="Q972" t="str">
        <f>IF($G972="","",IF(Sync!$U968="","0000",IF(AND(ISNUMBER(Sync!$U968),Sync!$U968&gt;=0,Sync!$U968&lt;1),RIGHT("00"&amp;HOUR(Sync!$U968),2)&amp;RIGHT("00"&amp;MINUTE(Sync!$U968),2),IFERROR(RIGHT("00"&amp;VALUE(LEFT(Sync!$U968,FIND(":",Sync!$U968)-1)),2)&amp;RIGHT("00"&amp;VALUE(MID(Sync!$U968,FIND(":",Sync!$U968)+1,2)),2),"0000"))))</f>
        <v/>
      </c>
    </row>
    <row r="973" spans="1:17" x14ac:dyDescent="0.2">
      <c r="A973" t="str">
        <f>IF(Sync!$T969="","",Sync!$T969)</f>
        <v/>
      </c>
      <c r="B973" t="str">
        <f t="shared" si="90"/>
        <v/>
      </c>
      <c r="C973" t="str">
        <f t="shared" si="91"/>
        <v/>
      </c>
      <c r="D973" t="str">
        <f t="shared" si="92"/>
        <v/>
      </c>
      <c r="E973" t="str">
        <f t="shared" si="93"/>
        <v/>
      </c>
      <c r="F973" t="str">
        <f t="shared" si="94"/>
        <v/>
      </c>
      <c r="G973" t="str">
        <f>IF(OR($E973="",$E973="نامعتبر",Sync!$X969=""),"",IF(AND(LEFT(UPPER(TRIM(Sync!$X969)),2)="SL",IFERROR(VLOOKUP(Sync!$W969,OpTbl,3,0),"")="فروش"),UPPER(TRIM(Sync!$X969)),""))</f>
        <v/>
      </c>
      <c r="H973" t="str">
        <f>IF($G973="","",IF(Sync!$W969="","",Sync!$W969))</f>
        <v/>
      </c>
      <c r="I973" t="str">
        <f>IF(OR($G973="",Sync!$Y969=""),"",Sync!$Y969)</f>
        <v/>
      </c>
      <c r="J973" t="str">
        <f>IF(OR($G973="",Sync!$Z969=""),"",Sync!$Z969)</f>
        <v/>
      </c>
      <c r="K973">
        <f>IF($G973="",0,IF(Sync!$AA969="",0,Sync!$AA969))</f>
        <v>0</v>
      </c>
      <c r="L973">
        <f>IF($G973="",0,IF(Sync!$AB969="",0,Sync!$AB969))</f>
        <v>0</v>
      </c>
      <c r="M973" t="str">
        <f t="shared" si="95"/>
        <v/>
      </c>
      <c r="N973">
        <f>IF($G973="",0,IF($H973="مرجوعی فروش",-1,1)*IF(Sync!$AC969="",0,Sync!$AC969))</f>
        <v>0</v>
      </c>
      <c r="O973" t="str">
        <f>IF(OR($G973="",Sync!$V969=""),"",Sync!$V969)</f>
        <v/>
      </c>
      <c r="P973" t="str">
        <f>IF(OR($G973="",Sync!$AD969=""),"",Sync!$AD969)</f>
        <v/>
      </c>
      <c r="Q973" t="str">
        <f>IF($G973="","",IF(Sync!$U969="","0000",IF(AND(ISNUMBER(Sync!$U969),Sync!$U969&gt;=0,Sync!$U969&lt;1),RIGHT("00"&amp;HOUR(Sync!$U969),2)&amp;RIGHT("00"&amp;MINUTE(Sync!$U969),2),IFERROR(RIGHT("00"&amp;VALUE(LEFT(Sync!$U969,FIND(":",Sync!$U969)-1)),2)&amp;RIGHT("00"&amp;VALUE(MID(Sync!$U969,FIND(":",Sync!$U969)+1,2)),2),"0000"))))</f>
        <v/>
      </c>
    </row>
    <row r="974" spans="1:17" x14ac:dyDescent="0.2">
      <c r="A974" t="str">
        <f>IF(Sync!$T970="","",Sync!$T970)</f>
        <v/>
      </c>
      <c r="B974" t="str">
        <f t="shared" si="90"/>
        <v/>
      </c>
      <c r="C974" t="str">
        <f t="shared" si="91"/>
        <v/>
      </c>
      <c r="D974" t="str">
        <f t="shared" si="92"/>
        <v/>
      </c>
      <c r="E974" t="str">
        <f t="shared" si="93"/>
        <v/>
      </c>
      <c r="F974" t="str">
        <f t="shared" si="94"/>
        <v/>
      </c>
      <c r="G974" t="str">
        <f>IF(OR($E974="",$E974="نامعتبر",Sync!$X970=""),"",IF(AND(LEFT(UPPER(TRIM(Sync!$X970)),2)="SL",IFERROR(VLOOKUP(Sync!$W970,OpTbl,3,0),"")="فروش"),UPPER(TRIM(Sync!$X970)),""))</f>
        <v/>
      </c>
      <c r="H974" t="str">
        <f>IF($G974="","",IF(Sync!$W970="","",Sync!$W970))</f>
        <v/>
      </c>
      <c r="I974" t="str">
        <f>IF(OR($G974="",Sync!$Y970=""),"",Sync!$Y970)</f>
        <v/>
      </c>
      <c r="J974" t="str">
        <f>IF(OR($G974="",Sync!$Z970=""),"",Sync!$Z970)</f>
        <v/>
      </c>
      <c r="K974">
        <f>IF($G974="",0,IF(Sync!$AA970="",0,Sync!$AA970))</f>
        <v>0</v>
      </c>
      <c r="L974">
        <f>IF($G974="",0,IF(Sync!$AB970="",0,Sync!$AB970))</f>
        <v>0</v>
      </c>
      <c r="M974" t="str">
        <f t="shared" si="95"/>
        <v/>
      </c>
      <c r="N974">
        <f>IF($G974="",0,IF($H974="مرجوعی فروش",-1,1)*IF(Sync!$AC970="",0,Sync!$AC970))</f>
        <v>0</v>
      </c>
      <c r="O974" t="str">
        <f>IF(OR($G974="",Sync!$V970=""),"",Sync!$V970)</f>
        <v/>
      </c>
      <c r="P974" t="str">
        <f>IF(OR($G974="",Sync!$AD970=""),"",Sync!$AD970)</f>
        <v/>
      </c>
      <c r="Q974" t="str">
        <f>IF($G974="","",IF(Sync!$U970="","0000",IF(AND(ISNUMBER(Sync!$U970),Sync!$U970&gt;=0,Sync!$U970&lt;1),RIGHT("00"&amp;HOUR(Sync!$U970),2)&amp;RIGHT("00"&amp;MINUTE(Sync!$U970),2),IFERROR(RIGHT("00"&amp;VALUE(LEFT(Sync!$U970,FIND(":",Sync!$U970)-1)),2)&amp;RIGHT("00"&amp;VALUE(MID(Sync!$U970,FIND(":",Sync!$U970)+1,2)),2),"0000"))))</f>
        <v/>
      </c>
    </row>
    <row r="975" spans="1:17" x14ac:dyDescent="0.2">
      <c r="A975" t="str">
        <f>IF(Sync!$T971="","",Sync!$T971)</f>
        <v/>
      </c>
      <c r="B975" t="str">
        <f t="shared" si="90"/>
        <v/>
      </c>
      <c r="C975" t="str">
        <f t="shared" si="91"/>
        <v/>
      </c>
      <c r="D975" t="str">
        <f t="shared" si="92"/>
        <v/>
      </c>
      <c r="E975" t="str">
        <f t="shared" si="93"/>
        <v/>
      </c>
      <c r="F975" t="str">
        <f t="shared" si="94"/>
        <v/>
      </c>
      <c r="G975" t="str">
        <f>IF(OR($E975="",$E975="نامعتبر",Sync!$X971=""),"",IF(AND(LEFT(UPPER(TRIM(Sync!$X971)),2)="SL",IFERROR(VLOOKUP(Sync!$W971,OpTbl,3,0),"")="فروش"),UPPER(TRIM(Sync!$X971)),""))</f>
        <v/>
      </c>
      <c r="H975" t="str">
        <f>IF($G975="","",IF(Sync!$W971="","",Sync!$W971))</f>
        <v/>
      </c>
      <c r="I975" t="str">
        <f>IF(OR($G975="",Sync!$Y971=""),"",Sync!$Y971)</f>
        <v/>
      </c>
      <c r="J975" t="str">
        <f>IF(OR($G975="",Sync!$Z971=""),"",Sync!$Z971)</f>
        <v/>
      </c>
      <c r="K975">
        <f>IF($G975="",0,IF(Sync!$AA971="",0,Sync!$AA971))</f>
        <v>0</v>
      </c>
      <c r="L975">
        <f>IF($G975="",0,IF(Sync!$AB971="",0,Sync!$AB971))</f>
        <v>0</v>
      </c>
      <c r="M975" t="str">
        <f t="shared" si="95"/>
        <v/>
      </c>
      <c r="N975">
        <f>IF($G975="",0,IF($H975="مرجوعی فروش",-1,1)*IF(Sync!$AC971="",0,Sync!$AC971))</f>
        <v>0</v>
      </c>
      <c r="O975" t="str">
        <f>IF(OR($G975="",Sync!$V971=""),"",Sync!$V971)</f>
        <v/>
      </c>
      <c r="P975" t="str">
        <f>IF(OR($G975="",Sync!$AD971=""),"",Sync!$AD971)</f>
        <v/>
      </c>
      <c r="Q975" t="str">
        <f>IF($G975="","",IF(Sync!$U971="","0000",IF(AND(ISNUMBER(Sync!$U971),Sync!$U971&gt;=0,Sync!$U971&lt;1),RIGHT("00"&amp;HOUR(Sync!$U971),2)&amp;RIGHT("00"&amp;MINUTE(Sync!$U971),2),IFERROR(RIGHT("00"&amp;VALUE(LEFT(Sync!$U971,FIND(":",Sync!$U971)-1)),2)&amp;RIGHT("00"&amp;VALUE(MID(Sync!$U971,FIND(":",Sync!$U971)+1,2)),2),"0000"))))</f>
        <v/>
      </c>
    </row>
    <row r="976" spans="1:17" x14ac:dyDescent="0.2">
      <c r="A976" t="str">
        <f>IF(Sync!$T972="","",Sync!$T972)</f>
        <v/>
      </c>
      <c r="B976" t="str">
        <f t="shared" si="90"/>
        <v/>
      </c>
      <c r="C976" t="str">
        <f t="shared" si="91"/>
        <v/>
      </c>
      <c r="D976" t="str">
        <f t="shared" si="92"/>
        <v/>
      </c>
      <c r="E976" t="str">
        <f t="shared" si="93"/>
        <v/>
      </c>
      <c r="F976" t="str">
        <f t="shared" si="94"/>
        <v/>
      </c>
      <c r="G976" t="str">
        <f>IF(OR($E976="",$E976="نامعتبر",Sync!$X972=""),"",IF(AND(LEFT(UPPER(TRIM(Sync!$X972)),2)="SL",IFERROR(VLOOKUP(Sync!$W972,OpTbl,3,0),"")="فروش"),UPPER(TRIM(Sync!$X972)),""))</f>
        <v/>
      </c>
      <c r="H976" t="str">
        <f>IF($G976="","",IF(Sync!$W972="","",Sync!$W972))</f>
        <v/>
      </c>
      <c r="I976" t="str">
        <f>IF(OR($G976="",Sync!$Y972=""),"",Sync!$Y972)</f>
        <v/>
      </c>
      <c r="J976" t="str">
        <f>IF(OR($G976="",Sync!$Z972=""),"",Sync!$Z972)</f>
        <v/>
      </c>
      <c r="K976">
        <f>IF($G976="",0,IF(Sync!$AA972="",0,Sync!$AA972))</f>
        <v>0</v>
      </c>
      <c r="L976">
        <f>IF($G976="",0,IF(Sync!$AB972="",0,Sync!$AB972))</f>
        <v>0</v>
      </c>
      <c r="M976" t="str">
        <f t="shared" si="95"/>
        <v/>
      </c>
      <c r="N976">
        <f>IF($G976="",0,IF($H976="مرجوعی فروش",-1,1)*IF(Sync!$AC972="",0,Sync!$AC972))</f>
        <v>0</v>
      </c>
      <c r="O976" t="str">
        <f>IF(OR($G976="",Sync!$V972=""),"",Sync!$V972)</f>
        <v/>
      </c>
      <c r="P976" t="str">
        <f>IF(OR($G976="",Sync!$AD972=""),"",Sync!$AD972)</f>
        <v/>
      </c>
      <c r="Q976" t="str">
        <f>IF($G976="","",IF(Sync!$U972="","0000",IF(AND(ISNUMBER(Sync!$U972),Sync!$U972&gt;=0,Sync!$U972&lt;1),RIGHT("00"&amp;HOUR(Sync!$U972),2)&amp;RIGHT("00"&amp;MINUTE(Sync!$U972),2),IFERROR(RIGHT("00"&amp;VALUE(LEFT(Sync!$U972,FIND(":",Sync!$U972)-1)),2)&amp;RIGHT("00"&amp;VALUE(MID(Sync!$U972,FIND(":",Sync!$U972)+1,2)),2),"0000"))))</f>
        <v/>
      </c>
    </row>
    <row r="977" spans="1:17" x14ac:dyDescent="0.2">
      <c r="A977" t="str">
        <f>IF(Sync!$T973="","",Sync!$T973)</f>
        <v/>
      </c>
      <c r="B977" t="str">
        <f t="shared" si="90"/>
        <v/>
      </c>
      <c r="C977" t="str">
        <f t="shared" si="91"/>
        <v/>
      </c>
      <c r="D977" t="str">
        <f t="shared" si="92"/>
        <v/>
      </c>
      <c r="E977" t="str">
        <f t="shared" si="93"/>
        <v/>
      </c>
      <c r="F977" t="str">
        <f t="shared" si="94"/>
        <v/>
      </c>
      <c r="G977" t="str">
        <f>IF(OR($E977="",$E977="نامعتبر",Sync!$X973=""),"",IF(AND(LEFT(UPPER(TRIM(Sync!$X973)),2)="SL",IFERROR(VLOOKUP(Sync!$W973,OpTbl,3,0),"")="فروش"),UPPER(TRIM(Sync!$X973)),""))</f>
        <v/>
      </c>
      <c r="H977" t="str">
        <f>IF($G977="","",IF(Sync!$W973="","",Sync!$W973))</f>
        <v/>
      </c>
      <c r="I977" t="str">
        <f>IF(OR($G977="",Sync!$Y973=""),"",Sync!$Y973)</f>
        <v/>
      </c>
      <c r="J977" t="str">
        <f>IF(OR($G977="",Sync!$Z973=""),"",Sync!$Z973)</f>
        <v/>
      </c>
      <c r="K977">
        <f>IF($G977="",0,IF(Sync!$AA973="",0,Sync!$AA973))</f>
        <v>0</v>
      </c>
      <c r="L977">
        <f>IF($G977="",0,IF(Sync!$AB973="",0,Sync!$AB973))</f>
        <v>0</v>
      </c>
      <c r="M977" t="str">
        <f t="shared" si="95"/>
        <v/>
      </c>
      <c r="N977">
        <f>IF($G977="",0,IF($H977="مرجوعی فروش",-1,1)*IF(Sync!$AC973="",0,Sync!$AC973))</f>
        <v>0</v>
      </c>
      <c r="O977" t="str">
        <f>IF(OR($G977="",Sync!$V973=""),"",Sync!$V973)</f>
        <v/>
      </c>
      <c r="P977" t="str">
        <f>IF(OR($G977="",Sync!$AD973=""),"",Sync!$AD973)</f>
        <v/>
      </c>
      <c r="Q977" t="str">
        <f>IF($G977="","",IF(Sync!$U973="","0000",IF(AND(ISNUMBER(Sync!$U973),Sync!$U973&gt;=0,Sync!$U973&lt;1),RIGHT("00"&amp;HOUR(Sync!$U973),2)&amp;RIGHT("00"&amp;MINUTE(Sync!$U973),2),IFERROR(RIGHT("00"&amp;VALUE(LEFT(Sync!$U973,FIND(":",Sync!$U973)-1)),2)&amp;RIGHT("00"&amp;VALUE(MID(Sync!$U973,FIND(":",Sync!$U973)+1,2)),2),"0000"))))</f>
        <v/>
      </c>
    </row>
    <row r="978" spans="1:17" x14ac:dyDescent="0.2">
      <c r="A978" t="str">
        <f>IF(Sync!$T974="","",Sync!$T974)</f>
        <v/>
      </c>
      <c r="B978" t="str">
        <f t="shared" si="90"/>
        <v/>
      </c>
      <c r="C978" t="str">
        <f t="shared" si="91"/>
        <v/>
      </c>
      <c r="D978" t="str">
        <f t="shared" si="92"/>
        <v/>
      </c>
      <c r="E978" t="str">
        <f t="shared" si="93"/>
        <v/>
      </c>
      <c r="F978" t="str">
        <f t="shared" si="94"/>
        <v/>
      </c>
      <c r="G978" t="str">
        <f>IF(OR($E978="",$E978="نامعتبر",Sync!$X974=""),"",IF(AND(LEFT(UPPER(TRIM(Sync!$X974)),2)="SL",IFERROR(VLOOKUP(Sync!$W974,OpTbl,3,0),"")="فروش"),UPPER(TRIM(Sync!$X974)),""))</f>
        <v/>
      </c>
      <c r="H978" t="str">
        <f>IF($G978="","",IF(Sync!$W974="","",Sync!$W974))</f>
        <v/>
      </c>
      <c r="I978" t="str">
        <f>IF(OR($G978="",Sync!$Y974=""),"",Sync!$Y974)</f>
        <v/>
      </c>
      <c r="J978" t="str">
        <f>IF(OR($G978="",Sync!$Z974=""),"",Sync!$Z974)</f>
        <v/>
      </c>
      <c r="K978">
        <f>IF($G978="",0,IF(Sync!$AA974="",0,Sync!$AA974))</f>
        <v>0</v>
      </c>
      <c r="L978">
        <f>IF($G978="",0,IF(Sync!$AB974="",0,Sync!$AB974))</f>
        <v>0</v>
      </c>
      <c r="M978" t="str">
        <f t="shared" si="95"/>
        <v/>
      </c>
      <c r="N978">
        <f>IF($G978="",0,IF($H978="مرجوعی فروش",-1,1)*IF(Sync!$AC974="",0,Sync!$AC974))</f>
        <v>0</v>
      </c>
      <c r="O978" t="str">
        <f>IF(OR($G978="",Sync!$V974=""),"",Sync!$V974)</f>
        <v/>
      </c>
      <c r="P978" t="str">
        <f>IF(OR($G978="",Sync!$AD974=""),"",Sync!$AD974)</f>
        <v/>
      </c>
      <c r="Q978" t="str">
        <f>IF($G978="","",IF(Sync!$U974="","0000",IF(AND(ISNUMBER(Sync!$U974),Sync!$U974&gt;=0,Sync!$U974&lt;1),RIGHT("00"&amp;HOUR(Sync!$U974),2)&amp;RIGHT("00"&amp;MINUTE(Sync!$U974),2),IFERROR(RIGHT("00"&amp;VALUE(LEFT(Sync!$U974,FIND(":",Sync!$U974)-1)),2)&amp;RIGHT("00"&amp;VALUE(MID(Sync!$U974,FIND(":",Sync!$U974)+1,2)),2),"0000"))))</f>
        <v/>
      </c>
    </row>
    <row r="979" spans="1:17" x14ac:dyDescent="0.2">
      <c r="A979" t="str">
        <f>IF(Sync!$T975="","",Sync!$T975)</f>
        <v/>
      </c>
      <c r="B979" t="str">
        <f t="shared" si="90"/>
        <v/>
      </c>
      <c r="C979" t="str">
        <f t="shared" si="91"/>
        <v/>
      </c>
      <c r="D979" t="str">
        <f t="shared" si="92"/>
        <v/>
      </c>
      <c r="E979" t="str">
        <f t="shared" si="93"/>
        <v/>
      </c>
      <c r="F979" t="str">
        <f t="shared" si="94"/>
        <v/>
      </c>
      <c r="G979" t="str">
        <f>IF(OR($E979="",$E979="نامعتبر",Sync!$X975=""),"",IF(AND(LEFT(UPPER(TRIM(Sync!$X975)),2)="SL",IFERROR(VLOOKUP(Sync!$W975,OpTbl,3,0),"")="فروش"),UPPER(TRIM(Sync!$X975)),""))</f>
        <v/>
      </c>
      <c r="H979" t="str">
        <f>IF($G979="","",IF(Sync!$W975="","",Sync!$W975))</f>
        <v/>
      </c>
      <c r="I979" t="str">
        <f>IF(OR($G979="",Sync!$Y975=""),"",Sync!$Y975)</f>
        <v/>
      </c>
      <c r="J979" t="str">
        <f>IF(OR($G979="",Sync!$Z975=""),"",Sync!$Z975)</f>
        <v/>
      </c>
      <c r="K979">
        <f>IF($G979="",0,IF(Sync!$AA975="",0,Sync!$AA975))</f>
        <v>0</v>
      </c>
      <c r="L979">
        <f>IF($G979="",0,IF(Sync!$AB975="",0,Sync!$AB975))</f>
        <v>0</v>
      </c>
      <c r="M979" t="str">
        <f t="shared" si="95"/>
        <v/>
      </c>
      <c r="N979">
        <f>IF($G979="",0,IF($H979="مرجوعی فروش",-1,1)*IF(Sync!$AC975="",0,Sync!$AC975))</f>
        <v>0</v>
      </c>
      <c r="O979" t="str">
        <f>IF(OR($G979="",Sync!$V975=""),"",Sync!$V975)</f>
        <v/>
      </c>
      <c r="P979" t="str">
        <f>IF(OR($G979="",Sync!$AD975=""),"",Sync!$AD975)</f>
        <v/>
      </c>
      <c r="Q979" t="str">
        <f>IF($G979="","",IF(Sync!$U975="","0000",IF(AND(ISNUMBER(Sync!$U975),Sync!$U975&gt;=0,Sync!$U975&lt;1),RIGHT("00"&amp;HOUR(Sync!$U975),2)&amp;RIGHT("00"&amp;MINUTE(Sync!$U975),2),IFERROR(RIGHT("00"&amp;VALUE(LEFT(Sync!$U975,FIND(":",Sync!$U975)-1)),2)&amp;RIGHT("00"&amp;VALUE(MID(Sync!$U975,FIND(":",Sync!$U975)+1,2)),2),"0000"))))</f>
        <v/>
      </c>
    </row>
    <row r="980" spans="1:17" x14ac:dyDescent="0.2">
      <c r="A980" t="str">
        <f>IF(Sync!$T976="","",Sync!$T976)</f>
        <v/>
      </c>
      <c r="B980" t="str">
        <f t="shared" si="90"/>
        <v/>
      </c>
      <c r="C980" t="str">
        <f t="shared" si="91"/>
        <v/>
      </c>
      <c r="D980" t="str">
        <f t="shared" si="92"/>
        <v/>
      </c>
      <c r="E980" t="str">
        <f t="shared" si="93"/>
        <v/>
      </c>
      <c r="F980" t="str">
        <f t="shared" si="94"/>
        <v/>
      </c>
      <c r="G980" t="str">
        <f>IF(OR($E980="",$E980="نامعتبر",Sync!$X976=""),"",IF(AND(LEFT(UPPER(TRIM(Sync!$X976)),2)="SL",IFERROR(VLOOKUP(Sync!$W976,OpTbl,3,0),"")="فروش"),UPPER(TRIM(Sync!$X976)),""))</f>
        <v/>
      </c>
      <c r="H980" t="str">
        <f>IF($G980="","",IF(Sync!$W976="","",Sync!$W976))</f>
        <v/>
      </c>
      <c r="I980" t="str">
        <f>IF(OR($G980="",Sync!$Y976=""),"",Sync!$Y976)</f>
        <v/>
      </c>
      <c r="J980" t="str">
        <f>IF(OR($G980="",Sync!$Z976=""),"",Sync!$Z976)</f>
        <v/>
      </c>
      <c r="K980">
        <f>IF($G980="",0,IF(Sync!$AA976="",0,Sync!$AA976))</f>
        <v>0</v>
      </c>
      <c r="L980">
        <f>IF($G980="",0,IF(Sync!$AB976="",0,Sync!$AB976))</f>
        <v>0</v>
      </c>
      <c r="M980" t="str">
        <f t="shared" si="95"/>
        <v/>
      </c>
      <c r="N980">
        <f>IF($G980="",0,IF($H980="مرجوعی فروش",-1,1)*IF(Sync!$AC976="",0,Sync!$AC976))</f>
        <v>0</v>
      </c>
      <c r="O980" t="str">
        <f>IF(OR($G980="",Sync!$V976=""),"",Sync!$V976)</f>
        <v/>
      </c>
      <c r="P980" t="str">
        <f>IF(OR($G980="",Sync!$AD976=""),"",Sync!$AD976)</f>
        <v/>
      </c>
      <c r="Q980" t="str">
        <f>IF($G980="","",IF(Sync!$U976="","0000",IF(AND(ISNUMBER(Sync!$U976),Sync!$U976&gt;=0,Sync!$U976&lt;1),RIGHT("00"&amp;HOUR(Sync!$U976),2)&amp;RIGHT("00"&amp;MINUTE(Sync!$U976),2),IFERROR(RIGHT("00"&amp;VALUE(LEFT(Sync!$U976,FIND(":",Sync!$U976)-1)),2)&amp;RIGHT("00"&amp;VALUE(MID(Sync!$U976,FIND(":",Sync!$U976)+1,2)),2),"0000"))))</f>
        <v/>
      </c>
    </row>
    <row r="981" spans="1:17" x14ac:dyDescent="0.2">
      <c r="A981" t="str">
        <f>IF(Sync!$T977="","",Sync!$T977)</f>
        <v/>
      </c>
      <c r="B981" t="str">
        <f t="shared" si="90"/>
        <v/>
      </c>
      <c r="C981" t="str">
        <f t="shared" si="91"/>
        <v/>
      </c>
      <c r="D981" t="str">
        <f t="shared" si="92"/>
        <v/>
      </c>
      <c r="E981" t="str">
        <f t="shared" si="93"/>
        <v/>
      </c>
      <c r="F981" t="str">
        <f t="shared" si="94"/>
        <v/>
      </c>
      <c r="G981" t="str">
        <f>IF(OR($E981="",$E981="نامعتبر",Sync!$X977=""),"",IF(AND(LEFT(UPPER(TRIM(Sync!$X977)),2)="SL",IFERROR(VLOOKUP(Sync!$W977,OpTbl,3,0),"")="فروش"),UPPER(TRIM(Sync!$X977)),""))</f>
        <v/>
      </c>
      <c r="H981" t="str">
        <f>IF($G981="","",IF(Sync!$W977="","",Sync!$W977))</f>
        <v/>
      </c>
      <c r="I981" t="str">
        <f>IF(OR($G981="",Sync!$Y977=""),"",Sync!$Y977)</f>
        <v/>
      </c>
      <c r="J981" t="str">
        <f>IF(OR($G981="",Sync!$Z977=""),"",Sync!$Z977)</f>
        <v/>
      </c>
      <c r="K981">
        <f>IF($G981="",0,IF(Sync!$AA977="",0,Sync!$AA977))</f>
        <v>0</v>
      </c>
      <c r="L981">
        <f>IF($G981="",0,IF(Sync!$AB977="",0,Sync!$AB977))</f>
        <v>0</v>
      </c>
      <c r="M981" t="str">
        <f t="shared" si="95"/>
        <v/>
      </c>
      <c r="N981">
        <f>IF($G981="",0,IF($H981="مرجوعی فروش",-1,1)*IF(Sync!$AC977="",0,Sync!$AC977))</f>
        <v>0</v>
      </c>
      <c r="O981" t="str">
        <f>IF(OR($G981="",Sync!$V977=""),"",Sync!$V977)</f>
        <v/>
      </c>
      <c r="P981" t="str">
        <f>IF(OR($G981="",Sync!$AD977=""),"",Sync!$AD977)</f>
        <v/>
      </c>
      <c r="Q981" t="str">
        <f>IF($G981="","",IF(Sync!$U977="","0000",IF(AND(ISNUMBER(Sync!$U977),Sync!$U977&gt;=0,Sync!$U977&lt;1),RIGHT("00"&amp;HOUR(Sync!$U977),2)&amp;RIGHT("00"&amp;MINUTE(Sync!$U977),2),IFERROR(RIGHT("00"&amp;VALUE(LEFT(Sync!$U977,FIND(":",Sync!$U977)-1)),2)&amp;RIGHT("00"&amp;VALUE(MID(Sync!$U977,FIND(":",Sync!$U977)+1,2)),2),"0000"))))</f>
        <v/>
      </c>
    </row>
    <row r="982" spans="1:17" x14ac:dyDescent="0.2">
      <c r="A982" t="str">
        <f>IF(Sync!$T978="","",Sync!$T978)</f>
        <v/>
      </c>
      <c r="B982" t="str">
        <f t="shared" si="90"/>
        <v/>
      </c>
      <c r="C982" t="str">
        <f t="shared" si="91"/>
        <v/>
      </c>
      <c r="D982" t="str">
        <f t="shared" si="92"/>
        <v/>
      </c>
      <c r="E982" t="str">
        <f t="shared" si="93"/>
        <v/>
      </c>
      <c r="F982" t="str">
        <f t="shared" si="94"/>
        <v/>
      </c>
      <c r="G982" t="str">
        <f>IF(OR($E982="",$E982="نامعتبر",Sync!$X978=""),"",IF(AND(LEFT(UPPER(TRIM(Sync!$X978)),2)="SL",IFERROR(VLOOKUP(Sync!$W978,OpTbl,3,0),"")="فروش"),UPPER(TRIM(Sync!$X978)),""))</f>
        <v/>
      </c>
      <c r="H982" t="str">
        <f>IF($G982="","",IF(Sync!$W978="","",Sync!$W978))</f>
        <v/>
      </c>
      <c r="I982" t="str">
        <f>IF(OR($G982="",Sync!$Y978=""),"",Sync!$Y978)</f>
        <v/>
      </c>
      <c r="J982" t="str">
        <f>IF(OR($G982="",Sync!$Z978=""),"",Sync!$Z978)</f>
        <v/>
      </c>
      <c r="K982">
        <f>IF($G982="",0,IF(Sync!$AA978="",0,Sync!$AA978))</f>
        <v>0</v>
      </c>
      <c r="L982">
        <f>IF($G982="",0,IF(Sync!$AB978="",0,Sync!$AB978))</f>
        <v>0</v>
      </c>
      <c r="M982" t="str">
        <f t="shared" si="95"/>
        <v/>
      </c>
      <c r="N982">
        <f>IF($G982="",0,IF($H982="مرجوعی فروش",-1,1)*IF(Sync!$AC978="",0,Sync!$AC978))</f>
        <v>0</v>
      </c>
      <c r="O982" t="str">
        <f>IF(OR($G982="",Sync!$V978=""),"",Sync!$V978)</f>
        <v/>
      </c>
      <c r="P982" t="str">
        <f>IF(OR($G982="",Sync!$AD978=""),"",Sync!$AD978)</f>
        <v/>
      </c>
      <c r="Q982" t="str">
        <f>IF($G982="","",IF(Sync!$U978="","0000",IF(AND(ISNUMBER(Sync!$U978),Sync!$U978&gt;=0,Sync!$U978&lt;1),RIGHT("00"&amp;HOUR(Sync!$U978),2)&amp;RIGHT("00"&amp;MINUTE(Sync!$U978),2),IFERROR(RIGHT("00"&amp;VALUE(LEFT(Sync!$U978,FIND(":",Sync!$U978)-1)),2)&amp;RIGHT("00"&amp;VALUE(MID(Sync!$U978,FIND(":",Sync!$U978)+1,2)),2),"0000"))))</f>
        <v/>
      </c>
    </row>
    <row r="983" spans="1:17" x14ac:dyDescent="0.2">
      <c r="A983" t="str">
        <f>IF(Sync!$T979="","",Sync!$T979)</f>
        <v/>
      </c>
      <c r="B983" t="str">
        <f t="shared" si="90"/>
        <v/>
      </c>
      <c r="C983" t="str">
        <f t="shared" si="91"/>
        <v/>
      </c>
      <c r="D983" t="str">
        <f t="shared" si="92"/>
        <v/>
      </c>
      <c r="E983" t="str">
        <f t="shared" si="93"/>
        <v/>
      </c>
      <c r="F983" t="str">
        <f t="shared" si="94"/>
        <v/>
      </c>
      <c r="G983" t="str">
        <f>IF(OR($E983="",$E983="نامعتبر",Sync!$X979=""),"",IF(AND(LEFT(UPPER(TRIM(Sync!$X979)),2)="SL",IFERROR(VLOOKUP(Sync!$W979,OpTbl,3,0),"")="فروش"),UPPER(TRIM(Sync!$X979)),""))</f>
        <v/>
      </c>
      <c r="H983" t="str">
        <f>IF($G983="","",IF(Sync!$W979="","",Sync!$W979))</f>
        <v/>
      </c>
      <c r="I983" t="str">
        <f>IF(OR($G983="",Sync!$Y979=""),"",Sync!$Y979)</f>
        <v/>
      </c>
      <c r="J983" t="str">
        <f>IF(OR($G983="",Sync!$Z979=""),"",Sync!$Z979)</f>
        <v/>
      </c>
      <c r="K983">
        <f>IF($G983="",0,IF(Sync!$AA979="",0,Sync!$AA979))</f>
        <v>0</v>
      </c>
      <c r="L983">
        <f>IF($G983="",0,IF(Sync!$AB979="",0,Sync!$AB979))</f>
        <v>0</v>
      </c>
      <c r="M983" t="str">
        <f t="shared" si="95"/>
        <v/>
      </c>
      <c r="N983">
        <f>IF($G983="",0,IF($H983="مرجوعی فروش",-1,1)*IF(Sync!$AC979="",0,Sync!$AC979))</f>
        <v>0</v>
      </c>
      <c r="O983" t="str">
        <f>IF(OR($G983="",Sync!$V979=""),"",Sync!$V979)</f>
        <v/>
      </c>
      <c r="P983" t="str">
        <f>IF(OR($G983="",Sync!$AD979=""),"",Sync!$AD979)</f>
        <v/>
      </c>
      <c r="Q983" t="str">
        <f>IF($G983="","",IF(Sync!$U979="","0000",IF(AND(ISNUMBER(Sync!$U979),Sync!$U979&gt;=0,Sync!$U979&lt;1),RIGHT("00"&amp;HOUR(Sync!$U979),2)&amp;RIGHT("00"&amp;MINUTE(Sync!$U979),2),IFERROR(RIGHT("00"&amp;VALUE(LEFT(Sync!$U979,FIND(":",Sync!$U979)-1)),2)&amp;RIGHT("00"&amp;VALUE(MID(Sync!$U979,FIND(":",Sync!$U979)+1,2)),2),"0000"))))</f>
        <v/>
      </c>
    </row>
    <row r="984" spans="1:17" x14ac:dyDescent="0.2">
      <c r="A984" t="str">
        <f>IF(Sync!$T980="","",Sync!$T980)</f>
        <v/>
      </c>
      <c r="B984" t="str">
        <f t="shared" si="90"/>
        <v/>
      </c>
      <c r="C984" t="str">
        <f t="shared" si="91"/>
        <v/>
      </c>
      <c r="D984" t="str">
        <f t="shared" si="92"/>
        <v/>
      </c>
      <c r="E984" t="str">
        <f t="shared" si="93"/>
        <v/>
      </c>
      <c r="F984" t="str">
        <f t="shared" si="94"/>
        <v/>
      </c>
      <c r="G984" t="str">
        <f>IF(OR($E984="",$E984="نامعتبر",Sync!$X980=""),"",IF(AND(LEFT(UPPER(TRIM(Sync!$X980)),2)="SL",IFERROR(VLOOKUP(Sync!$W980,OpTbl,3,0),"")="فروش"),UPPER(TRIM(Sync!$X980)),""))</f>
        <v/>
      </c>
      <c r="H984" t="str">
        <f>IF($G984="","",IF(Sync!$W980="","",Sync!$W980))</f>
        <v/>
      </c>
      <c r="I984" t="str">
        <f>IF(OR($G984="",Sync!$Y980=""),"",Sync!$Y980)</f>
        <v/>
      </c>
      <c r="J984" t="str">
        <f>IF(OR($G984="",Sync!$Z980=""),"",Sync!$Z980)</f>
        <v/>
      </c>
      <c r="K984">
        <f>IF($G984="",0,IF(Sync!$AA980="",0,Sync!$AA980))</f>
        <v>0</v>
      </c>
      <c r="L984">
        <f>IF($G984="",0,IF(Sync!$AB980="",0,Sync!$AB980))</f>
        <v>0</v>
      </c>
      <c r="M984" t="str">
        <f t="shared" si="95"/>
        <v/>
      </c>
      <c r="N984">
        <f>IF($G984="",0,IF($H984="مرجوعی فروش",-1,1)*IF(Sync!$AC980="",0,Sync!$AC980))</f>
        <v>0</v>
      </c>
      <c r="O984" t="str">
        <f>IF(OR($G984="",Sync!$V980=""),"",Sync!$V980)</f>
        <v/>
      </c>
      <c r="P984" t="str">
        <f>IF(OR($G984="",Sync!$AD980=""),"",Sync!$AD980)</f>
        <v/>
      </c>
      <c r="Q984" t="str">
        <f>IF($G984="","",IF(Sync!$U980="","0000",IF(AND(ISNUMBER(Sync!$U980),Sync!$U980&gt;=0,Sync!$U980&lt;1),RIGHT("00"&amp;HOUR(Sync!$U980),2)&amp;RIGHT("00"&amp;MINUTE(Sync!$U980),2),IFERROR(RIGHT("00"&amp;VALUE(LEFT(Sync!$U980,FIND(":",Sync!$U980)-1)),2)&amp;RIGHT("00"&amp;VALUE(MID(Sync!$U980,FIND(":",Sync!$U980)+1,2)),2),"0000"))))</f>
        <v/>
      </c>
    </row>
    <row r="985" spans="1:17" x14ac:dyDescent="0.2">
      <c r="A985" t="str">
        <f>IF(Sync!$T981="","",Sync!$T981)</f>
        <v/>
      </c>
      <c r="B985" t="str">
        <f t="shared" si="90"/>
        <v/>
      </c>
      <c r="C985" t="str">
        <f t="shared" si="91"/>
        <v/>
      </c>
      <c r="D985" t="str">
        <f t="shared" si="92"/>
        <v/>
      </c>
      <c r="E985" t="str">
        <f t="shared" si="93"/>
        <v/>
      </c>
      <c r="F985" t="str">
        <f t="shared" si="94"/>
        <v/>
      </c>
      <c r="G985" t="str">
        <f>IF(OR($E985="",$E985="نامعتبر",Sync!$X981=""),"",IF(AND(LEFT(UPPER(TRIM(Sync!$X981)),2)="SL",IFERROR(VLOOKUP(Sync!$W981,OpTbl,3,0),"")="فروش"),UPPER(TRIM(Sync!$X981)),""))</f>
        <v/>
      </c>
      <c r="H985" t="str">
        <f>IF($G985="","",IF(Sync!$W981="","",Sync!$W981))</f>
        <v/>
      </c>
      <c r="I985" t="str">
        <f>IF(OR($G985="",Sync!$Y981=""),"",Sync!$Y981)</f>
        <v/>
      </c>
      <c r="J985" t="str">
        <f>IF(OR($G985="",Sync!$Z981=""),"",Sync!$Z981)</f>
        <v/>
      </c>
      <c r="K985">
        <f>IF($G985="",0,IF(Sync!$AA981="",0,Sync!$AA981))</f>
        <v>0</v>
      </c>
      <c r="L985">
        <f>IF($G985="",0,IF(Sync!$AB981="",0,Sync!$AB981))</f>
        <v>0</v>
      </c>
      <c r="M985" t="str">
        <f t="shared" si="95"/>
        <v/>
      </c>
      <c r="N985">
        <f>IF($G985="",0,IF($H985="مرجوعی فروش",-1,1)*IF(Sync!$AC981="",0,Sync!$AC981))</f>
        <v>0</v>
      </c>
      <c r="O985" t="str">
        <f>IF(OR($G985="",Sync!$V981=""),"",Sync!$V981)</f>
        <v/>
      </c>
      <c r="P985" t="str">
        <f>IF(OR($G985="",Sync!$AD981=""),"",Sync!$AD981)</f>
        <v/>
      </c>
      <c r="Q985" t="str">
        <f>IF($G985="","",IF(Sync!$U981="","0000",IF(AND(ISNUMBER(Sync!$U981),Sync!$U981&gt;=0,Sync!$U981&lt;1),RIGHT("00"&amp;HOUR(Sync!$U981),2)&amp;RIGHT("00"&amp;MINUTE(Sync!$U981),2),IFERROR(RIGHT("00"&amp;VALUE(LEFT(Sync!$U981,FIND(":",Sync!$U981)-1)),2)&amp;RIGHT("00"&amp;VALUE(MID(Sync!$U981,FIND(":",Sync!$U981)+1,2)),2),"0000"))))</f>
        <v/>
      </c>
    </row>
    <row r="986" spans="1:17" x14ac:dyDescent="0.2">
      <c r="A986" t="str">
        <f>IF(Sync!$T982="","",Sync!$T982)</f>
        <v/>
      </c>
      <c r="B986" t="str">
        <f t="shared" si="90"/>
        <v/>
      </c>
      <c r="C986" t="str">
        <f t="shared" si="91"/>
        <v/>
      </c>
      <c r="D986" t="str">
        <f t="shared" si="92"/>
        <v/>
      </c>
      <c r="E986" t="str">
        <f t="shared" si="93"/>
        <v/>
      </c>
      <c r="F986" t="str">
        <f t="shared" si="94"/>
        <v/>
      </c>
      <c r="G986" t="str">
        <f>IF(OR($E986="",$E986="نامعتبر",Sync!$X982=""),"",IF(AND(LEFT(UPPER(TRIM(Sync!$X982)),2)="SL",IFERROR(VLOOKUP(Sync!$W982,OpTbl,3,0),"")="فروش"),UPPER(TRIM(Sync!$X982)),""))</f>
        <v/>
      </c>
      <c r="H986" t="str">
        <f>IF($G986="","",IF(Sync!$W982="","",Sync!$W982))</f>
        <v/>
      </c>
      <c r="I986" t="str">
        <f>IF(OR($G986="",Sync!$Y982=""),"",Sync!$Y982)</f>
        <v/>
      </c>
      <c r="J986" t="str">
        <f>IF(OR($G986="",Sync!$Z982=""),"",Sync!$Z982)</f>
        <v/>
      </c>
      <c r="K986">
        <f>IF($G986="",0,IF(Sync!$AA982="",0,Sync!$AA982))</f>
        <v>0</v>
      </c>
      <c r="L986">
        <f>IF($G986="",0,IF(Sync!$AB982="",0,Sync!$AB982))</f>
        <v>0</v>
      </c>
      <c r="M986" t="str">
        <f t="shared" si="95"/>
        <v/>
      </c>
      <c r="N986">
        <f>IF($G986="",0,IF($H986="مرجوعی فروش",-1,1)*IF(Sync!$AC982="",0,Sync!$AC982))</f>
        <v>0</v>
      </c>
      <c r="O986" t="str">
        <f>IF(OR($G986="",Sync!$V982=""),"",Sync!$V982)</f>
        <v/>
      </c>
      <c r="P986" t="str">
        <f>IF(OR($G986="",Sync!$AD982=""),"",Sync!$AD982)</f>
        <v/>
      </c>
      <c r="Q986" t="str">
        <f>IF($G986="","",IF(Sync!$U982="","0000",IF(AND(ISNUMBER(Sync!$U982),Sync!$U982&gt;=0,Sync!$U982&lt;1),RIGHT("00"&amp;HOUR(Sync!$U982),2)&amp;RIGHT("00"&amp;MINUTE(Sync!$U982),2),IFERROR(RIGHT("00"&amp;VALUE(LEFT(Sync!$U982,FIND(":",Sync!$U982)-1)),2)&amp;RIGHT("00"&amp;VALUE(MID(Sync!$U982,FIND(":",Sync!$U982)+1,2)),2),"0000"))))</f>
        <v/>
      </c>
    </row>
    <row r="987" spans="1:17" x14ac:dyDescent="0.2">
      <c r="A987" t="str">
        <f>IF(Sync!$T983="","",Sync!$T983)</f>
        <v/>
      </c>
      <c r="B987" t="str">
        <f t="shared" si="90"/>
        <v/>
      </c>
      <c r="C987" t="str">
        <f t="shared" si="91"/>
        <v/>
      </c>
      <c r="D987" t="str">
        <f t="shared" si="92"/>
        <v/>
      </c>
      <c r="E987" t="str">
        <f t="shared" si="93"/>
        <v/>
      </c>
      <c r="F987" t="str">
        <f t="shared" si="94"/>
        <v/>
      </c>
      <c r="G987" t="str">
        <f>IF(OR($E987="",$E987="نامعتبر",Sync!$X983=""),"",IF(AND(LEFT(UPPER(TRIM(Sync!$X983)),2)="SL",IFERROR(VLOOKUP(Sync!$W983,OpTbl,3,0),"")="فروش"),UPPER(TRIM(Sync!$X983)),""))</f>
        <v/>
      </c>
      <c r="H987" t="str">
        <f>IF($G987="","",IF(Sync!$W983="","",Sync!$W983))</f>
        <v/>
      </c>
      <c r="I987" t="str">
        <f>IF(OR($G987="",Sync!$Y983=""),"",Sync!$Y983)</f>
        <v/>
      </c>
      <c r="J987" t="str">
        <f>IF(OR($G987="",Sync!$Z983=""),"",Sync!$Z983)</f>
        <v/>
      </c>
      <c r="K987">
        <f>IF($G987="",0,IF(Sync!$AA983="",0,Sync!$AA983))</f>
        <v>0</v>
      </c>
      <c r="L987">
        <f>IF($G987="",0,IF(Sync!$AB983="",0,Sync!$AB983))</f>
        <v>0</v>
      </c>
      <c r="M987" t="str">
        <f t="shared" si="95"/>
        <v/>
      </c>
      <c r="N987">
        <f>IF($G987="",0,IF($H987="مرجوعی فروش",-1,1)*IF(Sync!$AC983="",0,Sync!$AC983))</f>
        <v>0</v>
      </c>
      <c r="O987" t="str">
        <f>IF(OR($G987="",Sync!$V983=""),"",Sync!$V983)</f>
        <v/>
      </c>
      <c r="P987" t="str">
        <f>IF(OR($G987="",Sync!$AD983=""),"",Sync!$AD983)</f>
        <v/>
      </c>
      <c r="Q987" t="str">
        <f>IF($G987="","",IF(Sync!$U983="","0000",IF(AND(ISNUMBER(Sync!$U983),Sync!$U983&gt;=0,Sync!$U983&lt;1),RIGHT("00"&amp;HOUR(Sync!$U983),2)&amp;RIGHT("00"&amp;MINUTE(Sync!$U983),2),IFERROR(RIGHT("00"&amp;VALUE(LEFT(Sync!$U983,FIND(":",Sync!$U983)-1)),2)&amp;RIGHT("00"&amp;VALUE(MID(Sync!$U983,FIND(":",Sync!$U983)+1,2)),2),"0000"))))</f>
        <v/>
      </c>
    </row>
    <row r="988" spans="1:17" x14ac:dyDescent="0.2">
      <c r="A988" t="str">
        <f>IF(Sync!$T984="","",Sync!$T984)</f>
        <v/>
      </c>
      <c r="B988" t="str">
        <f t="shared" si="90"/>
        <v/>
      </c>
      <c r="C988" t="str">
        <f t="shared" si="91"/>
        <v/>
      </c>
      <c r="D988" t="str">
        <f t="shared" si="92"/>
        <v/>
      </c>
      <c r="E988" t="str">
        <f t="shared" si="93"/>
        <v/>
      </c>
      <c r="F988" t="str">
        <f t="shared" si="94"/>
        <v/>
      </c>
      <c r="G988" t="str">
        <f>IF(OR($E988="",$E988="نامعتبر",Sync!$X984=""),"",IF(AND(LEFT(UPPER(TRIM(Sync!$X984)),2)="SL",IFERROR(VLOOKUP(Sync!$W984,OpTbl,3,0),"")="فروش"),UPPER(TRIM(Sync!$X984)),""))</f>
        <v/>
      </c>
      <c r="H988" t="str">
        <f>IF($G988="","",IF(Sync!$W984="","",Sync!$W984))</f>
        <v/>
      </c>
      <c r="I988" t="str">
        <f>IF(OR($G988="",Sync!$Y984=""),"",Sync!$Y984)</f>
        <v/>
      </c>
      <c r="J988" t="str">
        <f>IF(OR($G988="",Sync!$Z984=""),"",Sync!$Z984)</f>
        <v/>
      </c>
      <c r="K988">
        <f>IF($G988="",0,IF(Sync!$AA984="",0,Sync!$AA984))</f>
        <v>0</v>
      </c>
      <c r="L988">
        <f>IF($G988="",0,IF(Sync!$AB984="",0,Sync!$AB984))</f>
        <v>0</v>
      </c>
      <c r="M988" t="str">
        <f t="shared" si="95"/>
        <v/>
      </c>
      <c r="N988">
        <f>IF($G988="",0,IF($H988="مرجوعی فروش",-1,1)*IF(Sync!$AC984="",0,Sync!$AC984))</f>
        <v>0</v>
      </c>
      <c r="O988" t="str">
        <f>IF(OR($G988="",Sync!$V984=""),"",Sync!$V984)</f>
        <v/>
      </c>
      <c r="P988" t="str">
        <f>IF(OR($G988="",Sync!$AD984=""),"",Sync!$AD984)</f>
        <v/>
      </c>
      <c r="Q988" t="str">
        <f>IF($G988="","",IF(Sync!$U984="","0000",IF(AND(ISNUMBER(Sync!$U984),Sync!$U984&gt;=0,Sync!$U984&lt;1),RIGHT("00"&amp;HOUR(Sync!$U984),2)&amp;RIGHT("00"&amp;MINUTE(Sync!$U984),2),IFERROR(RIGHT("00"&amp;VALUE(LEFT(Sync!$U984,FIND(":",Sync!$U984)-1)),2)&amp;RIGHT("00"&amp;VALUE(MID(Sync!$U984,FIND(":",Sync!$U984)+1,2)),2),"0000"))))</f>
        <v/>
      </c>
    </row>
    <row r="989" spans="1:17" x14ac:dyDescent="0.2">
      <c r="A989" t="str">
        <f>IF(Sync!$T985="","",Sync!$T985)</f>
        <v/>
      </c>
      <c r="B989" t="str">
        <f t="shared" si="90"/>
        <v/>
      </c>
      <c r="C989" t="str">
        <f t="shared" si="91"/>
        <v/>
      </c>
      <c r="D989" t="str">
        <f t="shared" si="92"/>
        <v/>
      </c>
      <c r="E989" t="str">
        <f t="shared" si="93"/>
        <v/>
      </c>
      <c r="F989" t="str">
        <f t="shared" si="94"/>
        <v/>
      </c>
      <c r="G989" t="str">
        <f>IF(OR($E989="",$E989="نامعتبر",Sync!$X985=""),"",IF(AND(LEFT(UPPER(TRIM(Sync!$X985)),2)="SL",IFERROR(VLOOKUP(Sync!$W985,OpTbl,3,0),"")="فروش"),UPPER(TRIM(Sync!$X985)),""))</f>
        <v/>
      </c>
      <c r="H989" t="str">
        <f>IF($G989="","",IF(Sync!$W985="","",Sync!$W985))</f>
        <v/>
      </c>
      <c r="I989" t="str">
        <f>IF(OR($G989="",Sync!$Y985=""),"",Sync!$Y985)</f>
        <v/>
      </c>
      <c r="J989" t="str">
        <f>IF(OR($G989="",Sync!$Z985=""),"",Sync!$Z985)</f>
        <v/>
      </c>
      <c r="K989">
        <f>IF($G989="",0,IF(Sync!$AA985="",0,Sync!$AA985))</f>
        <v>0</v>
      </c>
      <c r="L989">
        <f>IF($G989="",0,IF(Sync!$AB985="",0,Sync!$AB985))</f>
        <v>0</v>
      </c>
      <c r="M989" t="str">
        <f t="shared" si="95"/>
        <v/>
      </c>
      <c r="N989">
        <f>IF($G989="",0,IF($H989="مرجوعی فروش",-1,1)*IF(Sync!$AC985="",0,Sync!$AC985))</f>
        <v>0</v>
      </c>
      <c r="O989" t="str">
        <f>IF(OR($G989="",Sync!$V985=""),"",Sync!$V985)</f>
        <v/>
      </c>
      <c r="P989" t="str">
        <f>IF(OR($G989="",Sync!$AD985=""),"",Sync!$AD985)</f>
        <v/>
      </c>
      <c r="Q989" t="str">
        <f>IF($G989="","",IF(Sync!$U985="","0000",IF(AND(ISNUMBER(Sync!$U985),Sync!$U985&gt;=0,Sync!$U985&lt;1),RIGHT("00"&amp;HOUR(Sync!$U985),2)&amp;RIGHT("00"&amp;MINUTE(Sync!$U985),2),IFERROR(RIGHT("00"&amp;VALUE(LEFT(Sync!$U985,FIND(":",Sync!$U985)-1)),2)&amp;RIGHT("00"&amp;VALUE(MID(Sync!$U985,FIND(":",Sync!$U985)+1,2)),2),"0000"))))</f>
        <v/>
      </c>
    </row>
    <row r="990" spans="1:17" x14ac:dyDescent="0.2">
      <c r="A990" t="str">
        <f>IF(Sync!$T986="","",Sync!$T986)</f>
        <v/>
      </c>
      <c r="B990" t="str">
        <f t="shared" si="90"/>
        <v/>
      </c>
      <c r="C990" t="str">
        <f t="shared" si="91"/>
        <v/>
      </c>
      <c r="D990" t="str">
        <f t="shared" si="92"/>
        <v/>
      </c>
      <c r="E990" t="str">
        <f t="shared" si="93"/>
        <v/>
      </c>
      <c r="F990" t="str">
        <f t="shared" si="94"/>
        <v/>
      </c>
      <c r="G990" t="str">
        <f>IF(OR($E990="",$E990="نامعتبر",Sync!$X986=""),"",IF(AND(LEFT(UPPER(TRIM(Sync!$X986)),2)="SL",IFERROR(VLOOKUP(Sync!$W986,OpTbl,3,0),"")="فروش"),UPPER(TRIM(Sync!$X986)),""))</f>
        <v/>
      </c>
      <c r="H990" t="str">
        <f>IF($G990="","",IF(Sync!$W986="","",Sync!$W986))</f>
        <v/>
      </c>
      <c r="I990" t="str">
        <f>IF(OR($G990="",Sync!$Y986=""),"",Sync!$Y986)</f>
        <v/>
      </c>
      <c r="J990" t="str">
        <f>IF(OR($G990="",Sync!$Z986=""),"",Sync!$Z986)</f>
        <v/>
      </c>
      <c r="K990">
        <f>IF($G990="",0,IF(Sync!$AA986="",0,Sync!$AA986))</f>
        <v>0</v>
      </c>
      <c r="L990">
        <f>IF($G990="",0,IF(Sync!$AB986="",0,Sync!$AB986))</f>
        <v>0</v>
      </c>
      <c r="M990" t="str">
        <f t="shared" si="95"/>
        <v/>
      </c>
      <c r="N990">
        <f>IF($G990="",0,IF($H990="مرجوعی فروش",-1,1)*IF(Sync!$AC986="",0,Sync!$AC986))</f>
        <v>0</v>
      </c>
      <c r="O990" t="str">
        <f>IF(OR($G990="",Sync!$V986=""),"",Sync!$V986)</f>
        <v/>
      </c>
      <c r="P990" t="str">
        <f>IF(OR($G990="",Sync!$AD986=""),"",Sync!$AD986)</f>
        <v/>
      </c>
      <c r="Q990" t="str">
        <f>IF($G990="","",IF(Sync!$U986="","0000",IF(AND(ISNUMBER(Sync!$U986),Sync!$U986&gt;=0,Sync!$U986&lt;1),RIGHT("00"&amp;HOUR(Sync!$U986),2)&amp;RIGHT("00"&amp;MINUTE(Sync!$U986),2),IFERROR(RIGHT("00"&amp;VALUE(LEFT(Sync!$U986,FIND(":",Sync!$U986)-1)),2)&amp;RIGHT("00"&amp;VALUE(MID(Sync!$U986,FIND(":",Sync!$U986)+1,2)),2),"0000"))))</f>
        <v/>
      </c>
    </row>
    <row r="991" spans="1:17" x14ac:dyDescent="0.2">
      <c r="A991" t="str">
        <f>IF(Sync!$T987="","",Sync!$T987)</f>
        <v/>
      </c>
      <c r="B991" t="str">
        <f t="shared" si="90"/>
        <v/>
      </c>
      <c r="C991" t="str">
        <f t="shared" si="91"/>
        <v/>
      </c>
      <c r="D991" t="str">
        <f t="shared" si="92"/>
        <v/>
      </c>
      <c r="E991" t="str">
        <f t="shared" si="93"/>
        <v/>
      </c>
      <c r="F991" t="str">
        <f t="shared" si="94"/>
        <v/>
      </c>
      <c r="G991" t="str">
        <f>IF(OR($E991="",$E991="نامعتبر",Sync!$X987=""),"",IF(AND(LEFT(UPPER(TRIM(Sync!$X987)),2)="SL",IFERROR(VLOOKUP(Sync!$W987,OpTbl,3,0),"")="فروش"),UPPER(TRIM(Sync!$X987)),""))</f>
        <v/>
      </c>
      <c r="H991" t="str">
        <f>IF($G991="","",IF(Sync!$W987="","",Sync!$W987))</f>
        <v/>
      </c>
      <c r="I991" t="str">
        <f>IF(OR($G991="",Sync!$Y987=""),"",Sync!$Y987)</f>
        <v/>
      </c>
      <c r="J991" t="str">
        <f>IF(OR($G991="",Sync!$Z987=""),"",Sync!$Z987)</f>
        <v/>
      </c>
      <c r="K991">
        <f>IF($G991="",0,IF(Sync!$AA987="",0,Sync!$AA987))</f>
        <v>0</v>
      </c>
      <c r="L991">
        <f>IF($G991="",0,IF(Sync!$AB987="",0,Sync!$AB987))</f>
        <v>0</v>
      </c>
      <c r="M991" t="str">
        <f t="shared" si="95"/>
        <v/>
      </c>
      <c r="N991">
        <f>IF($G991="",0,IF($H991="مرجوعی فروش",-1,1)*IF(Sync!$AC987="",0,Sync!$AC987))</f>
        <v>0</v>
      </c>
      <c r="O991" t="str">
        <f>IF(OR($G991="",Sync!$V987=""),"",Sync!$V987)</f>
        <v/>
      </c>
      <c r="P991" t="str">
        <f>IF(OR($G991="",Sync!$AD987=""),"",Sync!$AD987)</f>
        <v/>
      </c>
      <c r="Q991" t="str">
        <f>IF($G991="","",IF(Sync!$U987="","0000",IF(AND(ISNUMBER(Sync!$U987),Sync!$U987&gt;=0,Sync!$U987&lt;1),RIGHT("00"&amp;HOUR(Sync!$U987),2)&amp;RIGHT("00"&amp;MINUTE(Sync!$U987),2),IFERROR(RIGHT("00"&amp;VALUE(LEFT(Sync!$U987,FIND(":",Sync!$U987)-1)),2)&amp;RIGHT("00"&amp;VALUE(MID(Sync!$U987,FIND(":",Sync!$U987)+1,2)),2),"0000"))))</f>
        <v/>
      </c>
    </row>
    <row r="992" spans="1:17" x14ac:dyDescent="0.2">
      <c r="A992" t="str">
        <f>IF(Sync!$T988="","",Sync!$T988)</f>
        <v/>
      </c>
      <c r="B992" t="str">
        <f t="shared" si="90"/>
        <v/>
      </c>
      <c r="C992" t="str">
        <f t="shared" si="91"/>
        <v/>
      </c>
      <c r="D992" t="str">
        <f t="shared" si="92"/>
        <v/>
      </c>
      <c r="E992" t="str">
        <f t="shared" si="93"/>
        <v/>
      </c>
      <c r="F992" t="str">
        <f t="shared" si="94"/>
        <v/>
      </c>
      <c r="G992" t="str">
        <f>IF(OR($E992="",$E992="نامعتبر",Sync!$X988=""),"",IF(AND(LEFT(UPPER(TRIM(Sync!$X988)),2)="SL",IFERROR(VLOOKUP(Sync!$W988,OpTbl,3,0),"")="فروش"),UPPER(TRIM(Sync!$X988)),""))</f>
        <v/>
      </c>
      <c r="H992" t="str">
        <f>IF($G992="","",IF(Sync!$W988="","",Sync!$W988))</f>
        <v/>
      </c>
      <c r="I992" t="str">
        <f>IF(OR($G992="",Sync!$Y988=""),"",Sync!$Y988)</f>
        <v/>
      </c>
      <c r="J992" t="str">
        <f>IF(OR($G992="",Sync!$Z988=""),"",Sync!$Z988)</f>
        <v/>
      </c>
      <c r="K992">
        <f>IF($G992="",0,IF(Sync!$AA988="",0,Sync!$AA988))</f>
        <v>0</v>
      </c>
      <c r="L992">
        <f>IF($G992="",0,IF(Sync!$AB988="",0,Sync!$AB988))</f>
        <v>0</v>
      </c>
      <c r="M992" t="str">
        <f t="shared" si="95"/>
        <v/>
      </c>
      <c r="N992">
        <f>IF($G992="",0,IF($H992="مرجوعی فروش",-1,1)*IF(Sync!$AC988="",0,Sync!$AC988))</f>
        <v>0</v>
      </c>
      <c r="O992" t="str">
        <f>IF(OR($G992="",Sync!$V988=""),"",Sync!$V988)</f>
        <v/>
      </c>
      <c r="P992" t="str">
        <f>IF(OR($G992="",Sync!$AD988=""),"",Sync!$AD988)</f>
        <v/>
      </c>
      <c r="Q992" t="str">
        <f>IF($G992="","",IF(Sync!$U988="","0000",IF(AND(ISNUMBER(Sync!$U988),Sync!$U988&gt;=0,Sync!$U988&lt;1),RIGHT("00"&amp;HOUR(Sync!$U988),2)&amp;RIGHT("00"&amp;MINUTE(Sync!$U988),2),IFERROR(RIGHT("00"&amp;VALUE(LEFT(Sync!$U988,FIND(":",Sync!$U988)-1)),2)&amp;RIGHT("00"&amp;VALUE(MID(Sync!$U988,FIND(":",Sync!$U988)+1,2)),2),"0000"))))</f>
        <v/>
      </c>
    </row>
    <row r="993" spans="1:17" x14ac:dyDescent="0.2">
      <c r="A993" t="str">
        <f>IF(Sync!$T989="","",Sync!$T989)</f>
        <v/>
      </c>
      <c r="B993" t="str">
        <f t="shared" si="90"/>
        <v/>
      </c>
      <c r="C993" t="str">
        <f t="shared" si="91"/>
        <v/>
      </c>
      <c r="D993" t="str">
        <f t="shared" si="92"/>
        <v/>
      </c>
      <c r="E993" t="str">
        <f t="shared" si="93"/>
        <v/>
      </c>
      <c r="F993" t="str">
        <f t="shared" si="94"/>
        <v/>
      </c>
      <c r="G993" t="str">
        <f>IF(OR($E993="",$E993="نامعتبر",Sync!$X989=""),"",IF(AND(LEFT(UPPER(TRIM(Sync!$X989)),2)="SL",IFERROR(VLOOKUP(Sync!$W989,OpTbl,3,0),"")="فروش"),UPPER(TRIM(Sync!$X989)),""))</f>
        <v/>
      </c>
      <c r="H993" t="str">
        <f>IF($G993="","",IF(Sync!$W989="","",Sync!$W989))</f>
        <v/>
      </c>
      <c r="I993" t="str">
        <f>IF(OR($G993="",Sync!$Y989=""),"",Sync!$Y989)</f>
        <v/>
      </c>
      <c r="J993" t="str">
        <f>IF(OR($G993="",Sync!$Z989=""),"",Sync!$Z989)</f>
        <v/>
      </c>
      <c r="K993">
        <f>IF($G993="",0,IF(Sync!$AA989="",0,Sync!$AA989))</f>
        <v>0</v>
      </c>
      <c r="L993">
        <f>IF($G993="",0,IF(Sync!$AB989="",0,Sync!$AB989))</f>
        <v>0</v>
      </c>
      <c r="M993" t="str">
        <f t="shared" si="95"/>
        <v/>
      </c>
      <c r="N993">
        <f>IF($G993="",0,IF($H993="مرجوعی فروش",-1,1)*IF(Sync!$AC989="",0,Sync!$AC989))</f>
        <v>0</v>
      </c>
      <c r="O993" t="str">
        <f>IF(OR($G993="",Sync!$V989=""),"",Sync!$V989)</f>
        <v/>
      </c>
      <c r="P993" t="str">
        <f>IF(OR($G993="",Sync!$AD989=""),"",Sync!$AD989)</f>
        <v/>
      </c>
      <c r="Q993" t="str">
        <f>IF($G993="","",IF(Sync!$U989="","0000",IF(AND(ISNUMBER(Sync!$U989),Sync!$U989&gt;=0,Sync!$U989&lt;1),RIGHT("00"&amp;HOUR(Sync!$U989),2)&amp;RIGHT("00"&amp;MINUTE(Sync!$U989),2),IFERROR(RIGHT("00"&amp;VALUE(LEFT(Sync!$U989,FIND(":",Sync!$U989)-1)),2)&amp;RIGHT("00"&amp;VALUE(MID(Sync!$U989,FIND(":",Sync!$U989)+1,2)),2),"0000"))))</f>
        <v/>
      </c>
    </row>
    <row r="994" spans="1:17" x14ac:dyDescent="0.2">
      <c r="A994" t="str">
        <f>IF(Sync!$T990="","",Sync!$T990)</f>
        <v/>
      </c>
      <c r="B994" t="str">
        <f t="shared" si="90"/>
        <v/>
      </c>
      <c r="C994" t="str">
        <f t="shared" si="91"/>
        <v/>
      </c>
      <c r="D994" t="str">
        <f t="shared" si="92"/>
        <v/>
      </c>
      <c r="E994" t="str">
        <f t="shared" si="93"/>
        <v/>
      </c>
      <c r="F994" t="str">
        <f t="shared" si="94"/>
        <v/>
      </c>
      <c r="G994" t="str">
        <f>IF(OR($E994="",$E994="نامعتبر",Sync!$X990=""),"",IF(AND(LEFT(UPPER(TRIM(Sync!$X990)),2)="SL",IFERROR(VLOOKUP(Sync!$W990,OpTbl,3,0),"")="فروش"),UPPER(TRIM(Sync!$X990)),""))</f>
        <v/>
      </c>
      <c r="H994" t="str">
        <f>IF($G994="","",IF(Sync!$W990="","",Sync!$W990))</f>
        <v/>
      </c>
      <c r="I994" t="str">
        <f>IF(OR($G994="",Sync!$Y990=""),"",Sync!$Y990)</f>
        <v/>
      </c>
      <c r="J994" t="str">
        <f>IF(OR($G994="",Sync!$Z990=""),"",Sync!$Z990)</f>
        <v/>
      </c>
      <c r="K994">
        <f>IF($G994="",0,IF(Sync!$AA990="",0,Sync!$AA990))</f>
        <v>0</v>
      </c>
      <c r="L994">
        <f>IF($G994="",0,IF(Sync!$AB990="",0,Sync!$AB990))</f>
        <v>0</v>
      </c>
      <c r="M994" t="str">
        <f t="shared" si="95"/>
        <v/>
      </c>
      <c r="N994">
        <f>IF($G994="",0,IF($H994="مرجوعی فروش",-1,1)*IF(Sync!$AC990="",0,Sync!$AC990))</f>
        <v>0</v>
      </c>
      <c r="O994" t="str">
        <f>IF(OR($G994="",Sync!$V990=""),"",Sync!$V990)</f>
        <v/>
      </c>
      <c r="P994" t="str">
        <f>IF(OR($G994="",Sync!$AD990=""),"",Sync!$AD990)</f>
        <v/>
      </c>
      <c r="Q994" t="str">
        <f>IF($G994="","",IF(Sync!$U990="","0000",IF(AND(ISNUMBER(Sync!$U990),Sync!$U990&gt;=0,Sync!$U990&lt;1),RIGHT("00"&amp;HOUR(Sync!$U990),2)&amp;RIGHT("00"&amp;MINUTE(Sync!$U990),2),IFERROR(RIGHT("00"&amp;VALUE(LEFT(Sync!$U990,FIND(":",Sync!$U990)-1)),2)&amp;RIGHT("00"&amp;VALUE(MID(Sync!$U990,FIND(":",Sync!$U990)+1,2)),2),"0000"))))</f>
        <v/>
      </c>
    </row>
    <row r="995" spans="1:17" x14ac:dyDescent="0.2">
      <c r="A995" t="str">
        <f>IF(Sync!$T991="","",Sync!$T991)</f>
        <v/>
      </c>
      <c r="B995" t="str">
        <f t="shared" si="90"/>
        <v/>
      </c>
      <c r="C995" t="str">
        <f t="shared" si="91"/>
        <v/>
      </c>
      <c r="D995" t="str">
        <f t="shared" si="92"/>
        <v/>
      </c>
      <c r="E995" t="str">
        <f t="shared" si="93"/>
        <v/>
      </c>
      <c r="F995" t="str">
        <f t="shared" si="94"/>
        <v/>
      </c>
      <c r="G995" t="str">
        <f>IF(OR($E995="",$E995="نامعتبر",Sync!$X991=""),"",IF(AND(LEFT(UPPER(TRIM(Sync!$X991)),2)="SL",IFERROR(VLOOKUP(Sync!$W991,OpTbl,3,0),"")="فروش"),UPPER(TRIM(Sync!$X991)),""))</f>
        <v/>
      </c>
      <c r="H995" t="str">
        <f>IF($G995="","",IF(Sync!$W991="","",Sync!$W991))</f>
        <v/>
      </c>
      <c r="I995" t="str">
        <f>IF(OR($G995="",Sync!$Y991=""),"",Sync!$Y991)</f>
        <v/>
      </c>
      <c r="J995" t="str">
        <f>IF(OR($G995="",Sync!$Z991=""),"",Sync!$Z991)</f>
        <v/>
      </c>
      <c r="K995">
        <f>IF($G995="",0,IF(Sync!$AA991="",0,Sync!$AA991))</f>
        <v>0</v>
      </c>
      <c r="L995">
        <f>IF($G995="",0,IF(Sync!$AB991="",0,Sync!$AB991))</f>
        <v>0</v>
      </c>
      <c r="M995" t="str">
        <f t="shared" si="95"/>
        <v/>
      </c>
      <c r="N995">
        <f>IF($G995="",0,IF($H995="مرجوعی فروش",-1,1)*IF(Sync!$AC991="",0,Sync!$AC991))</f>
        <v>0</v>
      </c>
      <c r="O995" t="str">
        <f>IF(OR($G995="",Sync!$V991=""),"",Sync!$V991)</f>
        <v/>
      </c>
      <c r="P995" t="str">
        <f>IF(OR($G995="",Sync!$AD991=""),"",Sync!$AD991)</f>
        <v/>
      </c>
      <c r="Q995" t="str">
        <f>IF($G995="","",IF(Sync!$U991="","0000",IF(AND(ISNUMBER(Sync!$U991),Sync!$U991&gt;=0,Sync!$U991&lt;1),RIGHT("00"&amp;HOUR(Sync!$U991),2)&amp;RIGHT("00"&amp;MINUTE(Sync!$U991),2),IFERROR(RIGHT("00"&amp;VALUE(LEFT(Sync!$U991,FIND(":",Sync!$U991)-1)),2)&amp;RIGHT("00"&amp;VALUE(MID(Sync!$U991,FIND(":",Sync!$U991)+1,2)),2),"0000"))))</f>
        <v/>
      </c>
    </row>
    <row r="996" spans="1:17" x14ac:dyDescent="0.2">
      <c r="A996" t="str">
        <f>IF(Sync!$T992="","",Sync!$T992)</f>
        <v/>
      </c>
      <c r="B996" t="str">
        <f t="shared" si="90"/>
        <v/>
      </c>
      <c r="C996" t="str">
        <f t="shared" si="91"/>
        <v/>
      </c>
      <c r="D996" t="str">
        <f t="shared" si="92"/>
        <v/>
      </c>
      <c r="E996" t="str">
        <f t="shared" si="93"/>
        <v/>
      </c>
      <c r="F996" t="str">
        <f t="shared" si="94"/>
        <v/>
      </c>
      <c r="G996" t="str">
        <f>IF(OR($E996="",$E996="نامعتبر",Sync!$X992=""),"",IF(AND(LEFT(UPPER(TRIM(Sync!$X992)),2)="SL",IFERROR(VLOOKUP(Sync!$W992,OpTbl,3,0),"")="فروش"),UPPER(TRIM(Sync!$X992)),""))</f>
        <v/>
      </c>
      <c r="H996" t="str">
        <f>IF($G996="","",IF(Sync!$W992="","",Sync!$W992))</f>
        <v/>
      </c>
      <c r="I996" t="str">
        <f>IF(OR($G996="",Sync!$Y992=""),"",Sync!$Y992)</f>
        <v/>
      </c>
      <c r="J996" t="str">
        <f>IF(OR($G996="",Sync!$Z992=""),"",Sync!$Z992)</f>
        <v/>
      </c>
      <c r="K996">
        <f>IF($G996="",0,IF(Sync!$AA992="",0,Sync!$AA992))</f>
        <v>0</v>
      </c>
      <c r="L996">
        <f>IF($G996="",0,IF(Sync!$AB992="",0,Sync!$AB992))</f>
        <v>0</v>
      </c>
      <c r="M996" t="str">
        <f t="shared" si="95"/>
        <v/>
      </c>
      <c r="N996">
        <f>IF($G996="",0,IF($H996="مرجوعی فروش",-1,1)*IF(Sync!$AC992="",0,Sync!$AC992))</f>
        <v>0</v>
      </c>
      <c r="O996" t="str">
        <f>IF(OR($G996="",Sync!$V992=""),"",Sync!$V992)</f>
        <v/>
      </c>
      <c r="P996" t="str">
        <f>IF(OR($G996="",Sync!$AD992=""),"",Sync!$AD992)</f>
        <v/>
      </c>
      <c r="Q996" t="str">
        <f>IF($G996="","",IF(Sync!$U992="","0000",IF(AND(ISNUMBER(Sync!$U992),Sync!$U992&gt;=0,Sync!$U992&lt;1),RIGHT("00"&amp;HOUR(Sync!$U992),2)&amp;RIGHT("00"&amp;MINUTE(Sync!$U992),2),IFERROR(RIGHT("00"&amp;VALUE(LEFT(Sync!$U992,FIND(":",Sync!$U992)-1)),2)&amp;RIGHT("00"&amp;VALUE(MID(Sync!$U992,FIND(":",Sync!$U992)+1,2)),2),"0000"))))</f>
        <v/>
      </c>
    </row>
    <row r="997" spans="1:17" x14ac:dyDescent="0.2">
      <c r="A997" t="str">
        <f>IF(Sync!$T993="","",Sync!$T993)</f>
        <v/>
      </c>
      <c r="B997" t="str">
        <f t="shared" si="90"/>
        <v/>
      </c>
      <c r="C997" t="str">
        <f t="shared" si="91"/>
        <v/>
      </c>
      <c r="D997" t="str">
        <f t="shared" si="92"/>
        <v/>
      </c>
      <c r="E997" t="str">
        <f t="shared" si="93"/>
        <v/>
      </c>
      <c r="F997" t="str">
        <f t="shared" si="94"/>
        <v/>
      </c>
      <c r="G997" t="str">
        <f>IF(OR($E997="",$E997="نامعتبر",Sync!$X993=""),"",IF(AND(LEFT(UPPER(TRIM(Sync!$X993)),2)="SL",IFERROR(VLOOKUP(Sync!$W993,OpTbl,3,0),"")="فروش"),UPPER(TRIM(Sync!$X993)),""))</f>
        <v/>
      </c>
      <c r="H997" t="str">
        <f>IF($G997="","",IF(Sync!$W993="","",Sync!$W993))</f>
        <v/>
      </c>
      <c r="I997" t="str">
        <f>IF(OR($G997="",Sync!$Y993=""),"",Sync!$Y993)</f>
        <v/>
      </c>
      <c r="J997" t="str">
        <f>IF(OR($G997="",Sync!$Z993=""),"",Sync!$Z993)</f>
        <v/>
      </c>
      <c r="K997">
        <f>IF($G997="",0,IF(Sync!$AA993="",0,Sync!$AA993))</f>
        <v>0</v>
      </c>
      <c r="L997">
        <f>IF($G997="",0,IF(Sync!$AB993="",0,Sync!$AB993))</f>
        <v>0</v>
      </c>
      <c r="M997" t="str">
        <f t="shared" si="95"/>
        <v/>
      </c>
      <c r="N997">
        <f>IF($G997="",0,IF($H997="مرجوعی فروش",-1,1)*IF(Sync!$AC993="",0,Sync!$AC993))</f>
        <v>0</v>
      </c>
      <c r="O997" t="str">
        <f>IF(OR($G997="",Sync!$V993=""),"",Sync!$V993)</f>
        <v/>
      </c>
      <c r="P997" t="str">
        <f>IF(OR($G997="",Sync!$AD993=""),"",Sync!$AD993)</f>
        <v/>
      </c>
      <c r="Q997" t="str">
        <f>IF($G997="","",IF(Sync!$U993="","0000",IF(AND(ISNUMBER(Sync!$U993),Sync!$U993&gt;=0,Sync!$U993&lt;1),RIGHT("00"&amp;HOUR(Sync!$U993),2)&amp;RIGHT("00"&amp;MINUTE(Sync!$U993),2),IFERROR(RIGHT("00"&amp;VALUE(LEFT(Sync!$U993,FIND(":",Sync!$U993)-1)),2)&amp;RIGHT("00"&amp;VALUE(MID(Sync!$U993,FIND(":",Sync!$U993)+1,2)),2),"0000"))))</f>
        <v/>
      </c>
    </row>
    <row r="998" spans="1:17" x14ac:dyDescent="0.2">
      <c r="A998" t="str">
        <f>IF(Sync!$T994="","",Sync!$T994)</f>
        <v/>
      </c>
      <c r="B998" t="str">
        <f t="shared" si="90"/>
        <v/>
      </c>
      <c r="C998" t="str">
        <f t="shared" si="91"/>
        <v/>
      </c>
      <c r="D998" t="str">
        <f t="shared" si="92"/>
        <v/>
      </c>
      <c r="E998" t="str">
        <f t="shared" si="93"/>
        <v/>
      </c>
      <c r="F998" t="str">
        <f t="shared" si="94"/>
        <v/>
      </c>
      <c r="G998" t="str">
        <f>IF(OR($E998="",$E998="نامعتبر",Sync!$X994=""),"",IF(AND(LEFT(UPPER(TRIM(Sync!$X994)),2)="SL",IFERROR(VLOOKUP(Sync!$W994,OpTbl,3,0),"")="فروش"),UPPER(TRIM(Sync!$X994)),""))</f>
        <v/>
      </c>
      <c r="H998" t="str">
        <f>IF($G998="","",IF(Sync!$W994="","",Sync!$W994))</f>
        <v/>
      </c>
      <c r="I998" t="str">
        <f>IF(OR($G998="",Sync!$Y994=""),"",Sync!$Y994)</f>
        <v/>
      </c>
      <c r="J998" t="str">
        <f>IF(OR($G998="",Sync!$Z994=""),"",Sync!$Z994)</f>
        <v/>
      </c>
      <c r="K998">
        <f>IF($G998="",0,IF(Sync!$AA994="",0,Sync!$AA994))</f>
        <v>0</v>
      </c>
      <c r="L998">
        <f>IF($G998="",0,IF(Sync!$AB994="",0,Sync!$AB994))</f>
        <v>0</v>
      </c>
      <c r="M998" t="str">
        <f t="shared" si="95"/>
        <v/>
      </c>
      <c r="N998">
        <f>IF($G998="",0,IF($H998="مرجوعی فروش",-1,1)*IF(Sync!$AC994="",0,Sync!$AC994))</f>
        <v>0</v>
      </c>
      <c r="O998" t="str">
        <f>IF(OR($G998="",Sync!$V994=""),"",Sync!$V994)</f>
        <v/>
      </c>
      <c r="P998" t="str">
        <f>IF(OR($G998="",Sync!$AD994=""),"",Sync!$AD994)</f>
        <v/>
      </c>
      <c r="Q998" t="str">
        <f>IF($G998="","",IF(Sync!$U994="","0000",IF(AND(ISNUMBER(Sync!$U994),Sync!$U994&gt;=0,Sync!$U994&lt;1),RIGHT("00"&amp;HOUR(Sync!$U994),2)&amp;RIGHT("00"&amp;MINUTE(Sync!$U994),2),IFERROR(RIGHT("00"&amp;VALUE(LEFT(Sync!$U994,FIND(":",Sync!$U994)-1)),2)&amp;RIGHT("00"&amp;VALUE(MID(Sync!$U994,FIND(":",Sync!$U994)+1,2)),2),"0000"))))</f>
        <v/>
      </c>
    </row>
    <row r="999" spans="1:17" x14ac:dyDescent="0.2">
      <c r="A999" t="str">
        <f>IF(Sync!$T995="","",Sync!$T995)</f>
        <v/>
      </c>
      <c r="B999" t="str">
        <f t="shared" si="90"/>
        <v/>
      </c>
      <c r="C999" t="str">
        <f t="shared" si="91"/>
        <v/>
      </c>
      <c r="D999" t="str">
        <f t="shared" si="92"/>
        <v/>
      </c>
      <c r="E999" t="str">
        <f t="shared" si="93"/>
        <v/>
      </c>
      <c r="F999" t="str">
        <f t="shared" si="94"/>
        <v/>
      </c>
      <c r="G999" t="str">
        <f>IF(OR($E999="",$E999="نامعتبر",Sync!$X995=""),"",IF(AND(LEFT(UPPER(TRIM(Sync!$X995)),2)="SL",IFERROR(VLOOKUP(Sync!$W995,OpTbl,3,0),"")="فروش"),UPPER(TRIM(Sync!$X995)),""))</f>
        <v/>
      </c>
      <c r="H999" t="str">
        <f>IF($G999="","",IF(Sync!$W995="","",Sync!$W995))</f>
        <v/>
      </c>
      <c r="I999" t="str">
        <f>IF(OR($G999="",Sync!$Y995=""),"",Sync!$Y995)</f>
        <v/>
      </c>
      <c r="J999" t="str">
        <f>IF(OR($G999="",Sync!$Z995=""),"",Sync!$Z995)</f>
        <v/>
      </c>
      <c r="K999">
        <f>IF($G999="",0,IF(Sync!$AA995="",0,Sync!$AA995))</f>
        <v>0</v>
      </c>
      <c r="L999">
        <f>IF($G999="",0,IF(Sync!$AB995="",0,Sync!$AB995))</f>
        <v>0</v>
      </c>
      <c r="M999" t="str">
        <f t="shared" si="95"/>
        <v/>
      </c>
      <c r="N999">
        <f>IF($G999="",0,IF($H999="مرجوعی فروش",-1,1)*IF(Sync!$AC995="",0,Sync!$AC995))</f>
        <v>0</v>
      </c>
      <c r="O999" t="str">
        <f>IF(OR($G999="",Sync!$V995=""),"",Sync!$V995)</f>
        <v/>
      </c>
      <c r="P999" t="str">
        <f>IF(OR($G999="",Sync!$AD995=""),"",Sync!$AD995)</f>
        <v/>
      </c>
      <c r="Q999" t="str">
        <f>IF($G999="","",IF(Sync!$U995="","0000",IF(AND(ISNUMBER(Sync!$U995),Sync!$U995&gt;=0,Sync!$U995&lt;1),RIGHT("00"&amp;HOUR(Sync!$U995),2)&amp;RIGHT("00"&amp;MINUTE(Sync!$U995),2),IFERROR(RIGHT("00"&amp;VALUE(LEFT(Sync!$U995,FIND(":",Sync!$U995)-1)),2)&amp;RIGHT("00"&amp;VALUE(MID(Sync!$U995,FIND(":",Sync!$U995)+1,2)),2),"0000"))))</f>
        <v/>
      </c>
    </row>
    <row r="1000" spans="1:17" x14ac:dyDescent="0.2">
      <c r="A1000" t="str">
        <f>IF(Sync!$T996="","",Sync!$T996)</f>
        <v/>
      </c>
      <c r="B1000" t="str">
        <f t="shared" si="90"/>
        <v/>
      </c>
      <c r="C1000" t="str">
        <f t="shared" si="91"/>
        <v/>
      </c>
      <c r="D1000" t="str">
        <f t="shared" si="92"/>
        <v/>
      </c>
      <c r="E1000" t="str">
        <f t="shared" si="93"/>
        <v/>
      </c>
      <c r="F1000" t="str">
        <f t="shared" si="94"/>
        <v/>
      </c>
      <c r="G1000" t="str">
        <f>IF(OR($E1000="",$E1000="نامعتبر",Sync!$X996=""),"",IF(AND(LEFT(UPPER(TRIM(Sync!$X996)),2)="SL",IFERROR(VLOOKUP(Sync!$W996,OpTbl,3,0),"")="فروش"),UPPER(TRIM(Sync!$X996)),""))</f>
        <v/>
      </c>
      <c r="H1000" t="str">
        <f>IF($G1000="","",IF(Sync!$W996="","",Sync!$W996))</f>
        <v/>
      </c>
      <c r="I1000" t="str">
        <f>IF(OR($G1000="",Sync!$Y996=""),"",Sync!$Y996)</f>
        <v/>
      </c>
      <c r="J1000" t="str">
        <f>IF(OR($G1000="",Sync!$Z996=""),"",Sync!$Z996)</f>
        <v/>
      </c>
      <c r="K1000">
        <f>IF($G1000="",0,IF(Sync!$AA996="",0,Sync!$AA996))</f>
        <v>0</v>
      </c>
      <c r="L1000">
        <f>IF($G1000="",0,IF(Sync!$AB996="",0,Sync!$AB996))</f>
        <v>0</v>
      </c>
      <c r="M1000" t="str">
        <f t="shared" si="95"/>
        <v/>
      </c>
      <c r="N1000">
        <f>IF($G1000="",0,IF($H1000="مرجوعی فروش",-1,1)*IF(Sync!$AC996="",0,Sync!$AC996))</f>
        <v>0</v>
      </c>
      <c r="O1000" t="str">
        <f>IF(OR($G1000="",Sync!$V996=""),"",Sync!$V996)</f>
        <v/>
      </c>
      <c r="P1000" t="str">
        <f>IF(OR($G1000="",Sync!$AD996=""),"",Sync!$AD996)</f>
        <v/>
      </c>
      <c r="Q1000" t="str">
        <f>IF($G1000="","",IF(Sync!$U996="","0000",IF(AND(ISNUMBER(Sync!$U996),Sync!$U996&gt;=0,Sync!$U996&lt;1),RIGHT("00"&amp;HOUR(Sync!$U996),2)&amp;RIGHT("00"&amp;MINUTE(Sync!$U996),2),IFERROR(RIGHT("00"&amp;VALUE(LEFT(Sync!$U996,FIND(":",Sync!$U996)-1)),2)&amp;RIGHT("00"&amp;VALUE(MID(Sync!$U996,FIND(":",Sync!$U996)+1,2)),2),"0000"))))</f>
        <v/>
      </c>
    </row>
    <row r="1001" spans="1:17" x14ac:dyDescent="0.2">
      <c r="A1001" t="str">
        <f>IF(Sync!$T997="","",Sync!$T997)</f>
        <v/>
      </c>
      <c r="B1001" t="str">
        <f t="shared" si="90"/>
        <v/>
      </c>
      <c r="C1001" t="str">
        <f t="shared" si="91"/>
        <v/>
      </c>
      <c r="D1001" t="str">
        <f t="shared" si="92"/>
        <v/>
      </c>
      <c r="E1001" t="str">
        <f t="shared" si="93"/>
        <v/>
      </c>
      <c r="F1001" t="str">
        <f t="shared" si="94"/>
        <v/>
      </c>
      <c r="G1001" t="str">
        <f>IF(OR($E1001="",$E1001="نامعتبر",Sync!$X997=""),"",IF(AND(LEFT(UPPER(TRIM(Sync!$X997)),2)="SL",IFERROR(VLOOKUP(Sync!$W997,OpTbl,3,0),"")="فروش"),UPPER(TRIM(Sync!$X997)),""))</f>
        <v/>
      </c>
      <c r="H1001" t="str">
        <f>IF($G1001="","",IF(Sync!$W997="","",Sync!$W997))</f>
        <v/>
      </c>
      <c r="I1001" t="str">
        <f>IF(OR($G1001="",Sync!$Y997=""),"",Sync!$Y997)</f>
        <v/>
      </c>
      <c r="J1001" t="str">
        <f>IF(OR($G1001="",Sync!$Z997=""),"",Sync!$Z997)</f>
        <v/>
      </c>
      <c r="K1001">
        <f>IF($G1001="",0,IF(Sync!$AA997="",0,Sync!$AA997))</f>
        <v>0</v>
      </c>
      <c r="L1001">
        <f>IF($G1001="",0,IF(Sync!$AB997="",0,Sync!$AB997))</f>
        <v>0</v>
      </c>
      <c r="M1001" t="str">
        <f t="shared" si="95"/>
        <v/>
      </c>
      <c r="N1001">
        <f>IF($G1001="",0,IF($H1001="مرجوعی فروش",-1,1)*IF(Sync!$AC997="",0,Sync!$AC997))</f>
        <v>0</v>
      </c>
      <c r="O1001" t="str">
        <f>IF(OR($G1001="",Sync!$V997=""),"",Sync!$V997)</f>
        <v/>
      </c>
      <c r="P1001" t="str">
        <f>IF(OR($G1001="",Sync!$AD997=""),"",Sync!$AD997)</f>
        <v/>
      </c>
      <c r="Q1001" t="str">
        <f>IF($G1001="","",IF(Sync!$U997="","0000",IF(AND(ISNUMBER(Sync!$U997),Sync!$U997&gt;=0,Sync!$U997&lt;1),RIGHT("00"&amp;HOUR(Sync!$U997),2)&amp;RIGHT("00"&amp;MINUTE(Sync!$U997),2),IFERROR(RIGHT("00"&amp;VALUE(LEFT(Sync!$U997,FIND(":",Sync!$U997)-1)),2)&amp;RIGHT("00"&amp;VALUE(MID(Sync!$U997,FIND(":",Sync!$U997)+1,2)),2),"0000"))))</f>
        <v/>
      </c>
    </row>
    <row r="1002" spans="1:17" x14ac:dyDescent="0.2">
      <c r="A1002" t="str">
        <f>IF(Sync!$T998="","",Sync!$T998)</f>
        <v/>
      </c>
      <c r="B1002" t="str">
        <f t="shared" si="90"/>
        <v/>
      </c>
      <c r="C1002" t="str">
        <f t="shared" si="91"/>
        <v/>
      </c>
      <c r="D1002" t="str">
        <f t="shared" si="92"/>
        <v/>
      </c>
      <c r="E1002" t="str">
        <f t="shared" si="93"/>
        <v/>
      </c>
      <c r="F1002" t="str">
        <f t="shared" si="94"/>
        <v/>
      </c>
      <c r="G1002" t="str">
        <f>IF(OR($E1002="",$E1002="نامعتبر",Sync!$X998=""),"",IF(AND(LEFT(UPPER(TRIM(Sync!$X998)),2)="SL",IFERROR(VLOOKUP(Sync!$W998,OpTbl,3,0),"")="فروش"),UPPER(TRIM(Sync!$X998)),""))</f>
        <v/>
      </c>
      <c r="H1002" t="str">
        <f>IF($G1002="","",IF(Sync!$W998="","",Sync!$W998))</f>
        <v/>
      </c>
      <c r="I1002" t="str">
        <f>IF(OR($G1002="",Sync!$Y998=""),"",Sync!$Y998)</f>
        <v/>
      </c>
      <c r="J1002" t="str">
        <f>IF(OR($G1002="",Sync!$Z998=""),"",Sync!$Z998)</f>
        <v/>
      </c>
      <c r="K1002">
        <f>IF($G1002="",0,IF(Sync!$AA998="",0,Sync!$AA998))</f>
        <v>0</v>
      </c>
      <c r="L1002">
        <f>IF($G1002="",0,IF(Sync!$AB998="",0,Sync!$AB998))</f>
        <v>0</v>
      </c>
      <c r="M1002" t="str">
        <f t="shared" si="95"/>
        <v/>
      </c>
      <c r="N1002">
        <f>IF($G1002="",0,IF($H1002="مرجوعی فروش",-1,1)*IF(Sync!$AC998="",0,Sync!$AC998))</f>
        <v>0</v>
      </c>
      <c r="O1002" t="str">
        <f>IF(OR($G1002="",Sync!$V998=""),"",Sync!$V998)</f>
        <v/>
      </c>
      <c r="P1002" t="str">
        <f>IF(OR($G1002="",Sync!$AD998=""),"",Sync!$AD998)</f>
        <v/>
      </c>
      <c r="Q1002" t="str">
        <f>IF($G1002="","",IF(Sync!$U998="","0000",IF(AND(ISNUMBER(Sync!$U998),Sync!$U998&gt;=0,Sync!$U998&lt;1),RIGHT("00"&amp;HOUR(Sync!$U998),2)&amp;RIGHT("00"&amp;MINUTE(Sync!$U998),2),IFERROR(RIGHT("00"&amp;VALUE(LEFT(Sync!$U998,FIND(":",Sync!$U998)-1)),2)&amp;RIGHT("00"&amp;VALUE(MID(Sync!$U998,FIND(":",Sync!$U998)+1,2)),2),"0000"))))</f>
        <v/>
      </c>
    </row>
    <row r="1003" spans="1:17" x14ac:dyDescent="0.2">
      <c r="A1003" t="str">
        <f>IF(Sync!$T999="","",Sync!$T999)</f>
        <v/>
      </c>
      <c r="B1003" t="str">
        <f t="shared" si="90"/>
        <v/>
      </c>
      <c r="C1003" t="str">
        <f t="shared" si="91"/>
        <v/>
      </c>
      <c r="D1003" t="str">
        <f t="shared" si="92"/>
        <v/>
      </c>
      <c r="E1003" t="str">
        <f t="shared" si="93"/>
        <v/>
      </c>
      <c r="F1003" t="str">
        <f t="shared" si="94"/>
        <v/>
      </c>
      <c r="G1003" t="str">
        <f>IF(OR($E1003="",$E1003="نامعتبر",Sync!$X999=""),"",IF(AND(LEFT(UPPER(TRIM(Sync!$X999)),2)="SL",IFERROR(VLOOKUP(Sync!$W999,OpTbl,3,0),"")="فروش"),UPPER(TRIM(Sync!$X999)),""))</f>
        <v/>
      </c>
      <c r="H1003" t="str">
        <f>IF($G1003="","",IF(Sync!$W999="","",Sync!$W999))</f>
        <v/>
      </c>
      <c r="I1003" t="str">
        <f>IF(OR($G1003="",Sync!$Y999=""),"",Sync!$Y999)</f>
        <v/>
      </c>
      <c r="J1003" t="str">
        <f>IF(OR($G1003="",Sync!$Z999=""),"",Sync!$Z999)</f>
        <v/>
      </c>
      <c r="K1003">
        <f>IF($G1003="",0,IF(Sync!$AA999="",0,Sync!$AA999))</f>
        <v>0</v>
      </c>
      <c r="L1003">
        <f>IF($G1003="",0,IF(Sync!$AB999="",0,Sync!$AB999))</f>
        <v>0</v>
      </c>
      <c r="M1003" t="str">
        <f t="shared" si="95"/>
        <v/>
      </c>
      <c r="N1003">
        <f>IF($G1003="",0,IF($H1003="مرجوعی فروش",-1,1)*IF(Sync!$AC999="",0,Sync!$AC999))</f>
        <v>0</v>
      </c>
      <c r="O1003" t="str">
        <f>IF(OR($G1003="",Sync!$V999=""),"",Sync!$V999)</f>
        <v/>
      </c>
      <c r="P1003" t="str">
        <f>IF(OR($G1003="",Sync!$AD999=""),"",Sync!$AD999)</f>
        <v/>
      </c>
      <c r="Q1003" t="str">
        <f>IF($G1003="","",IF(Sync!$U999="","0000",IF(AND(ISNUMBER(Sync!$U999),Sync!$U999&gt;=0,Sync!$U999&lt;1),RIGHT("00"&amp;HOUR(Sync!$U999),2)&amp;RIGHT("00"&amp;MINUTE(Sync!$U999),2),IFERROR(RIGHT("00"&amp;VALUE(LEFT(Sync!$U999,FIND(":",Sync!$U999)-1)),2)&amp;RIGHT("00"&amp;VALUE(MID(Sync!$U999,FIND(":",Sync!$U999)+1,2)),2),"0000"))))</f>
        <v/>
      </c>
    </row>
    <row r="1004" spans="1:17" x14ac:dyDescent="0.2">
      <c r="A1004" t="str">
        <f>IF(Sync!$T1000="","",Sync!$T1000)</f>
        <v/>
      </c>
      <c r="B1004" t="str">
        <f t="shared" si="90"/>
        <v/>
      </c>
      <c r="C1004" t="str">
        <f t="shared" si="91"/>
        <v/>
      </c>
      <c r="D1004" t="str">
        <f t="shared" si="92"/>
        <v/>
      </c>
      <c r="E1004" t="str">
        <f t="shared" si="93"/>
        <v/>
      </c>
      <c r="F1004" t="str">
        <f t="shared" si="94"/>
        <v/>
      </c>
      <c r="G1004" t="str">
        <f>IF(OR($E1004="",$E1004="نامعتبر",Sync!$X1000=""),"",IF(AND(LEFT(UPPER(TRIM(Sync!$X1000)),2)="SL",IFERROR(VLOOKUP(Sync!$W1000,OpTbl,3,0),"")="فروش"),UPPER(TRIM(Sync!$X1000)),""))</f>
        <v/>
      </c>
      <c r="H1004" t="str">
        <f>IF($G1004="","",IF(Sync!$W1000="","",Sync!$W1000))</f>
        <v/>
      </c>
      <c r="I1004" t="str">
        <f>IF(OR($G1004="",Sync!$Y1000=""),"",Sync!$Y1000)</f>
        <v/>
      </c>
      <c r="J1004" t="str">
        <f>IF(OR($G1004="",Sync!$Z1000=""),"",Sync!$Z1000)</f>
        <v/>
      </c>
      <c r="K1004">
        <f>IF($G1004="",0,IF(Sync!$AA1000="",0,Sync!$AA1000))</f>
        <v>0</v>
      </c>
      <c r="L1004">
        <f>IF($G1004="",0,IF(Sync!$AB1000="",0,Sync!$AB1000))</f>
        <v>0</v>
      </c>
      <c r="M1004" t="str">
        <f t="shared" si="95"/>
        <v/>
      </c>
      <c r="N1004">
        <f>IF($G1004="",0,IF($H1004="مرجوعی فروش",-1,1)*IF(Sync!$AC1000="",0,Sync!$AC1000))</f>
        <v>0</v>
      </c>
      <c r="O1004" t="str">
        <f>IF(OR($G1004="",Sync!$V1000=""),"",Sync!$V1000)</f>
        <v/>
      </c>
      <c r="P1004" t="str">
        <f>IF(OR($G1004="",Sync!$AD1000=""),"",Sync!$AD1000)</f>
        <v/>
      </c>
      <c r="Q1004" t="str">
        <f>IF($G1004="","",IF(Sync!$U1000="","0000",IF(AND(ISNUMBER(Sync!$U1000),Sync!$U1000&gt;=0,Sync!$U1000&lt;1),RIGHT("00"&amp;HOUR(Sync!$U1000),2)&amp;RIGHT("00"&amp;MINUTE(Sync!$U1000),2),IFERROR(RIGHT("00"&amp;VALUE(LEFT(Sync!$U1000,FIND(":",Sync!$U1000)-1)),2)&amp;RIGHT("00"&amp;VALUE(MID(Sync!$U1000,FIND(":",Sync!$U1000)+1,2)),2),"0000"))))</f>
        <v/>
      </c>
    </row>
    <row r="1005" spans="1:17" x14ac:dyDescent="0.2">
      <c r="A1005" t="str">
        <f>IF(Sync!$T1001="","",Sync!$T1001)</f>
        <v/>
      </c>
      <c r="B1005" t="str">
        <f t="shared" si="90"/>
        <v/>
      </c>
      <c r="C1005" t="str">
        <f t="shared" si="91"/>
        <v/>
      </c>
      <c r="D1005" t="str">
        <f t="shared" si="92"/>
        <v/>
      </c>
      <c r="E1005" t="str">
        <f t="shared" si="93"/>
        <v/>
      </c>
      <c r="F1005" t="str">
        <f t="shared" si="94"/>
        <v/>
      </c>
      <c r="G1005" t="str">
        <f>IF(OR($E1005="",$E1005="نامعتبر",Sync!$X1001=""),"",IF(AND(LEFT(UPPER(TRIM(Sync!$X1001)),2)="SL",IFERROR(VLOOKUP(Sync!$W1001,OpTbl,3,0),"")="فروش"),UPPER(TRIM(Sync!$X1001)),""))</f>
        <v/>
      </c>
      <c r="H1005" t="str">
        <f>IF($G1005="","",IF(Sync!$W1001="","",Sync!$W1001))</f>
        <v/>
      </c>
      <c r="I1005" t="str">
        <f>IF(OR($G1005="",Sync!$Y1001=""),"",Sync!$Y1001)</f>
        <v/>
      </c>
      <c r="J1005" t="str">
        <f>IF(OR($G1005="",Sync!$Z1001=""),"",Sync!$Z1001)</f>
        <v/>
      </c>
      <c r="K1005">
        <f>IF($G1005="",0,IF(Sync!$AA1001="",0,Sync!$AA1001))</f>
        <v>0</v>
      </c>
      <c r="L1005">
        <f>IF($G1005="",0,IF(Sync!$AB1001="",0,Sync!$AB1001))</f>
        <v>0</v>
      </c>
      <c r="M1005" t="str">
        <f t="shared" si="95"/>
        <v/>
      </c>
      <c r="N1005">
        <f>IF($G1005="",0,IF($H1005="مرجوعی فروش",-1,1)*IF(Sync!$AC1001="",0,Sync!$AC1001))</f>
        <v>0</v>
      </c>
      <c r="O1005" t="str">
        <f>IF(OR($G1005="",Sync!$V1001=""),"",Sync!$V1001)</f>
        <v/>
      </c>
      <c r="P1005" t="str">
        <f>IF(OR($G1005="",Sync!$AD1001=""),"",Sync!$AD1001)</f>
        <v/>
      </c>
      <c r="Q1005" t="str">
        <f>IF($G1005="","",IF(Sync!$U1001="","0000",IF(AND(ISNUMBER(Sync!$U1001),Sync!$U1001&gt;=0,Sync!$U1001&lt;1),RIGHT("00"&amp;HOUR(Sync!$U1001),2)&amp;RIGHT("00"&amp;MINUTE(Sync!$U1001),2),IFERROR(RIGHT("00"&amp;VALUE(LEFT(Sync!$U1001,FIND(":",Sync!$U1001)-1)),2)&amp;RIGHT("00"&amp;VALUE(MID(Sync!$U1001,FIND(":",Sync!$U1001)+1,2)),2),"0000"))))</f>
        <v/>
      </c>
    </row>
    <row r="1006" spans="1:17" x14ac:dyDescent="0.2">
      <c r="A1006" t="str">
        <f>IF(Sync!$T1002="","",Sync!$T1002)</f>
        <v/>
      </c>
      <c r="B1006" t="str">
        <f t="shared" si="90"/>
        <v/>
      </c>
      <c r="C1006" t="str">
        <f t="shared" si="91"/>
        <v/>
      </c>
      <c r="D1006" t="str">
        <f t="shared" si="92"/>
        <v/>
      </c>
      <c r="E1006" t="str">
        <f t="shared" si="93"/>
        <v/>
      </c>
      <c r="F1006" t="str">
        <f t="shared" si="94"/>
        <v/>
      </c>
      <c r="G1006" t="str">
        <f>IF(OR($E1006="",$E1006="نامعتبر",Sync!$X1002=""),"",IF(AND(LEFT(UPPER(TRIM(Sync!$X1002)),2)="SL",IFERROR(VLOOKUP(Sync!$W1002,OpTbl,3,0),"")="فروش"),UPPER(TRIM(Sync!$X1002)),""))</f>
        <v/>
      </c>
      <c r="H1006" t="str">
        <f>IF($G1006="","",IF(Sync!$W1002="","",Sync!$W1002))</f>
        <v/>
      </c>
      <c r="I1006" t="str">
        <f>IF(OR($G1006="",Sync!$Y1002=""),"",Sync!$Y1002)</f>
        <v/>
      </c>
      <c r="J1006" t="str">
        <f>IF(OR($G1006="",Sync!$Z1002=""),"",Sync!$Z1002)</f>
        <v/>
      </c>
      <c r="K1006">
        <f>IF($G1006="",0,IF(Sync!$AA1002="",0,Sync!$AA1002))</f>
        <v>0</v>
      </c>
      <c r="L1006">
        <f>IF($G1006="",0,IF(Sync!$AB1002="",0,Sync!$AB1002))</f>
        <v>0</v>
      </c>
      <c r="M1006" t="str">
        <f t="shared" si="95"/>
        <v/>
      </c>
      <c r="N1006">
        <f>IF($G1006="",0,IF($H1006="مرجوعی فروش",-1,1)*IF(Sync!$AC1002="",0,Sync!$AC1002))</f>
        <v>0</v>
      </c>
      <c r="O1006" t="str">
        <f>IF(OR($G1006="",Sync!$V1002=""),"",Sync!$V1002)</f>
        <v/>
      </c>
      <c r="P1006" t="str">
        <f>IF(OR($G1006="",Sync!$AD1002=""),"",Sync!$AD1002)</f>
        <v/>
      </c>
      <c r="Q1006" t="str">
        <f>IF($G1006="","",IF(Sync!$U1002="","0000",IF(AND(ISNUMBER(Sync!$U1002),Sync!$U1002&gt;=0,Sync!$U1002&lt;1),RIGHT("00"&amp;HOUR(Sync!$U1002),2)&amp;RIGHT("00"&amp;MINUTE(Sync!$U1002),2),IFERROR(RIGHT("00"&amp;VALUE(LEFT(Sync!$U1002,FIND(":",Sync!$U1002)-1)),2)&amp;RIGHT("00"&amp;VALUE(MID(Sync!$U1002,FIND(":",Sync!$U1002)+1,2)),2),"0000"))))</f>
        <v/>
      </c>
    </row>
    <row r="1007" spans="1:17" x14ac:dyDescent="0.2">
      <c r="A1007" t="str">
        <f>IF(Sync!$T1003="","",Sync!$T1003)</f>
        <v/>
      </c>
      <c r="B1007" t="str">
        <f t="shared" si="90"/>
        <v/>
      </c>
      <c r="C1007" t="str">
        <f t="shared" si="91"/>
        <v/>
      </c>
      <c r="D1007" t="str">
        <f t="shared" si="92"/>
        <v/>
      </c>
      <c r="E1007" t="str">
        <f t="shared" si="93"/>
        <v/>
      </c>
      <c r="F1007" t="str">
        <f t="shared" si="94"/>
        <v/>
      </c>
      <c r="G1007" t="str">
        <f>IF(OR($E1007="",$E1007="نامعتبر",Sync!$X1003=""),"",IF(AND(LEFT(UPPER(TRIM(Sync!$X1003)),2)="SL",IFERROR(VLOOKUP(Sync!$W1003,OpTbl,3,0),"")="فروش"),UPPER(TRIM(Sync!$X1003)),""))</f>
        <v/>
      </c>
      <c r="H1007" t="str">
        <f>IF($G1007="","",IF(Sync!$W1003="","",Sync!$W1003))</f>
        <v/>
      </c>
      <c r="I1007" t="str">
        <f>IF(OR($G1007="",Sync!$Y1003=""),"",Sync!$Y1003)</f>
        <v/>
      </c>
      <c r="J1007" t="str">
        <f>IF(OR($G1007="",Sync!$Z1003=""),"",Sync!$Z1003)</f>
        <v/>
      </c>
      <c r="K1007">
        <f>IF($G1007="",0,IF(Sync!$AA1003="",0,Sync!$AA1003))</f>
        <v>0</v>
      </c>
      <c r="L1007">
        <f>IF($G1007="",0,IF(Sync!$AB1003="",0,Sync!$AB1003))</f>
        <v>0</v>
      </c>
      <c r="M1007" t="str">
        <f t="shared" si="95"/>
        <v/>
      </c>
      <c r="N1007">
        <f>IF($G1007="",0,IF($H1007="مرجوعی فروش",-1,1)*IF(Sync!$AC1003="",0,Sync!$AC1003))</f>
        <v>0</v>
      </c>
      <c r="O1007" t="str">
        <f>IF(OR($G1007="",Sync!$V1003=""),"",Sync!$V1003)</f>
        <v/>
      </c>
      <c r="P1007" t="str">
        <f>IF(OR($G1007="",Sync!$AD1003=""),"",Sync!$AD1003)</f>
        <v/>
      </c>
      <c r="Q1007" t="str">
        <f>IF($G1007="","",IF(Sync!$U1003="","0000",IF(AND(ISNUMBER(Sync!$U1003),Sync!$U1003&gt;=0,Sync!$U1003&lt;1),RIGHT("00"&amp;HOUR(Sync!$U1003),2)&amp;RIGHT("00"&amp;MINUTE(Sync!$U1003),2),IFERROR(RIGHT("00"&amp;VALUE(LEFT(Sync!$U1003,FIND(":",Sync!$U1003)-1)),2)&amp;RIGHT("00"&amp;VALUE(MID(Sync!$U1003,FIND(":",Sync!$U1003)+1,2)),2),"0000"))))</f>
        <v/>
      </c>
    </row>
    <row r="1008" spans="1:17" x14ac:dyDescent="0.2">
      <c r="A1008" t="str">
        <f>IF(Sync!$T1004="","",Sync!$T1004)</f>
        <v/>
      </c>
      <c r="B1008" t="str">
        <f t="shared" si="90"/>
        <v/>
      </c>
      <c r="C1008" t="str">
        <f t="shared" si="91"/>
        <v/>
      </c>
      <c r="D1008" t="str">
        <f t="shared" si="92"/>
        <v/>
      </c>
      <c r="E1008" t="str">
        <f t="shared" si="93"/>
        <v/>
      </c>
      <c r="F1008" t="str">
        <f t="shared" si="94"/>
        <v/>
      </c>
      <c r="G1008" t="str">
        <f>IF(OR($E1008="",$E1008="نامعتبر",Sync!$X1004=""),"",IF(AND(LEFT(UPPER(TRIM(Sync!$X1004)),2)="SL",IFERROR(VLOOKUP(Sync!$W1004,OpTbl,3,0),"")="فروش"),UPPER(TRIM(Sync!$X1004)),""))</f>
        <v/>
      </c>
      <c r="H1008" t="str">
        <f>IF($G1008="","",IF(Sync!$W1004="","",Sync!$W1004))</f>
        <v/>
      </c>
      <c r="I1008" t="str">
        <f>IF(OR($G1008="",Sync!$Y1004=""),"",Sync!$Y1004)</f>
        <v/>
      </c>
      <c r="J1008" t="str">
        <f>IF(OR($G1008="",Sync!$Z1004=""),"",Sync!$Z1004)</f>
        <v/>
      </c>
      <c r="K1008">
        <f>IF($G1008="",0,IF(Sync!$AA1004="",0,Sync!$AA1004))</f>
        <v>0</v>
      </c>
      <c r="L1008">
        <f>IF($G1008="",0,IF(Sync!$AB1004="",0,Sync!$AB1004))</f>
        <v>0</v>
      </c>
      <c r="M1008" t="str">
        <f t="shared" si="95"/>
        <v/>
      </c>
      <c r="N1008">
        <f>IF($G1008="",0,IF($H1008="مرجوعی فروش",-1,1)*IF(Sync!$AC1004="",0,Sync!$AC1004))</f>
        <v>0</v>
      </c>
      <c r="O1008" t="str">
        <f>IF(OR($G1008="",Sync!$V1004=""),"",Sync!$V1004)</f>
        <v/>
      </c>
      <c r="P1008" t="str">
        <f>IF(OR($G1008="",Sync!$AD1004=""),"",Sync!$AD1004)</f>
        <v/>
      </c>
      <c r="Q1008" t="str">
        <f>IF($G1008="","",IF(Sync!$U1004="","0000",IF(AND(ISNUMBER(Sync!$U1004),Sync!$U1004&gt;=0,Sync!$U1004&lt;1),RIGHT("00"&amp;HOUR(Sync!$U1004),2)&amp;RIGHT("00"&amp;MINUTE(Sync!$U1004),2),IFERROR(RIGHT("00"&amp;VALUE(LEFT(Sync!$U1004,FIND(":",Sync!$U1004)-1)),2)&amp;RIGHT("00"&amp;VALUE(MID(Sync!$U1004,FIND(":",Sync!$U1004)+1,2)),2),"0000"))))</f>
        <v/>
      </c>
    </row>
    <row r="1009" spans="1:17" x14ac:dyDescent="0.2">
      <c r="A1009" t="str">
        <f>IF(Sync!$T1005="","",Sync!$T1005)</f>
        <v/>
      </c>
      <c r="B1009" t="str">
        <f t="shared" si="90"/>
        <v/>
      </c>
      <c r="C1009" t="str">
        <f t="shared" si="91"/>
        <v/>
      </c>
      <c r="D1009" t="str">
        <f t="shared" si="92"/>
        <v/>
      </c>
      <c r="E1009" t="str">
        <f t="shared" si="93"/>
        <v/>
      </c>
      <c r="F1009" t="str">
        <f t="shared" si="94"/>
        <v/>
      </c>
      <c r="G1009" t="str">
        <f>IF(OR($E1009="",$E1009="نامعتبر",Sync!$X1005=""),"",IF(AND(LEFT(UPPER(TRIM(Sync!$X1005)),2)="SL",IFERROR(VLOOKUP(Sync!$W1005,OpTbl,3,0),"")="فروش"),UPPER(TRIM(Sync!$X1005)),""))</f>
        <v/>
      </c>
      <c r="H1009" t="str">
        <f>IF($G1009="","",IF(Sync!$W1005="","",Sync!$W1005))</f>
        <v/>
      </c>
      <c r="I1009" t="str">
        <f>IF(OR($G1009="",Sync!$Y1005=""),"",Sync!$Y1005)</f>
        <v/>
      </c>
      <c r="J1009" t="str">
        <f>IF(OR($G1009="",Sync!$Z1005=""),"",Sync!$Z1005)</f>
        <v/>
      </c>
      <c r="K1009">
        <f>IF($G1009="",0,IF(Sync!$AA1005="",0,Sync!$AA1005))</f>
        <v>0</v>
      </c>
      <c r="L1009">
        <f>IF($G1009="",0,IF(Sync!$AB1005="",0,Sync!$AB1005))</f>
        <v>0</v>
      </c>
      <c r="M1009" t="str">
        <f t="shared" si="95"/>
        <v/>
      </c>
      <c r="N1009">
        <f>IF($G1009="",0,IF($H1009="مرجوعی فروش",-1,1)*IF(Sync!$AC1005="",0,Sync!$AC1005))</f>
        <v>0</v>
      </c>
      <c r="O1009" t="str">
        <f>IF(OR($G1009="",Sync!$V1005=""),"",Sync!$V1005)</f>
        <v/>
      </c>
      <c r="P1009" t="str">
        <f>IF(OR($G1009="",Sync!$AD1005=""),"",Sync!$AD1005)</f>
        <v/>
      </c>
      <c r="Q1009" t="str">
        <f>IF($G1009="","",IF(Sync!$U1005="","0000",IF(AND(ISNUMBER(Sync!$U1005),Sync!$U1005&gt;=0,Sync!$U1005&lt;1),RIGHT("00"&amp;HOUR(Sync!$U1005),2)&amp;RIGHT("00"&amp;MINUTE(Sync!$U1005),2),IFERROR(RIGHT("00"&amp;VALUE(LEFT(Sync!$U1005,FIND(":",Sync!$U1005)-1)),2)&amp;RIGHT("00"&amp;VALUE(MID(Sync!$U1005,FIND(":",Sync!$U1005)+1,2)),2),"0000"))))</f>
        <v/>
      </c>
    </row>
    <row r="1010" spans="1:17" x14ac:dyDescent="0.2">
      <c r="A1010" t="str">
        <f>IF(Sync!$T1006="","",Sync!$T1006)</f>
        <v/>
      </c>
      <c r="B1010" t="str">
        <f t="shared" si="90"/>
        <v/>
      </c>
      <c r="C1010" t="str">
        <f t="shared" si="91"/>
        <v/>
      </c>
      <c r="D1010" t="str">
        <f t="shared" si="92"/>
        <v/>
      </c>
      <c r="E1010" t="str">
        <f t="shared" si="93"/>
        <v/>
      </c>
      <c r="F1010" t="str">
        <f t="shared" si="94"/>
        <v/>
      </c>
      <c r="G1010" t="str">
        <f>IF(OR($E1010="",$E1010="نامعتبر",Sync!$X1006=""),"",IF(AND(LEFT(UPPER(TRIM(Sync!$X1006)),2)="SL",IFERROR(VLOOKUP(Sync!$W1006,OpTbl,3,0),"")="فروش"),UPPER(TRIM(Sync!$X1006)),""))</f>
        <v/>
      </c>
      <c r="H1010" t="str">
        <f>IF($G1010="","",IF(Sync!$W1006="","",Sync!$W1006))</f>
        <v/>
      </c>
      <c r="I1010" t="str">
        <f>IF(OR($G1010="",Sync!$Y1006=""),"",Sync!$Y1006)</f>
        <v/>
      </c>
      <c r="J1010" t="str">
        <f>IF(OR($G1010="",Sync!$Z1006=""),"",Sync!$Z1006)</f>
        <v/>
      </c>
      <c r="K1010">
        <f>IF($G1010="",0,IF(Sync!$AA1006="",0,Sync!$AA1006))</f>
        <v>0</v>
      </c>
      <c r="L1010">
        <f>IF($G1010="",0,IF(Sync!$AB1006="",0,Sync!$AB1006))</f>
        <v>0</v>
      </c>
      <c r="M1010" t="str">
        <f t="shared" si="95"/>
        <v/>
      </c>
      <c r="N1010">
        <f>IF($G1010="",0,IF($H1010="مرجوعی فروش",-1,1)*IF(Sync!$AC1006="",0,Sync!$AC1006))</f>
        <v>0</v>
      </c>
      <c r="O1010" t="str">
        <f>IF(OR($G1010="",Sync!$V1006=""),"",Sync!$V1006)</f>
        <v/>
      </c>
      <c r="P1010" t="str">
        <f>IF(OR($G1010="",Sync!$AD1006=""),"",Sync!$AD1006)</f>
        <v/>
      </c>
      <c r="Q1010" t="str">
        <f>IF($G1010="","",IF(Sync!$U1006="","0000",IF(AND(ISNUMBER(Sync!$U1006),Sync!$U1006&gt;=0,Sync!$U1006&lt;1),RIGHT("00"&amp;HOUR(Sync!$U1006),2)&amp;RIGHT("00"&amp;MINUTE(Sync!$U1006),2),IFERROR(RIGHT("00"&amp;VALUE(LEFT(Sync!$U1006,FIND(":",Sync!$U1006)-1)),2)&amp;RIGHT("00"&amp;VALUE(MID(Sync!$U1006,FIND(":",Sync!$U1006)+1,2)),2),"0000"))))</f>
        <v/>
      </c>
    </row>
    <row r="1011" spans="1:17" x14ac:dyDescent="0.2">
      <c r="A1011" t="str">
        <f>IF(Sync!$T1007="","",Sync!$T1007)</f>
        <v/>
      </c>
      <c r="B1011" t="str">
        <f t="shared" si="90"/>
        <v/>
      </c>
      <c r="C1011" t="str">
        <f t="shared" si="91"/>
        <v/>
      </c>
      <c r="D1011" t="str">
        <f t="shared" si="92"/>
        <v/>
      </c>
      <c r="E1011" t="str">
        <f t="shared" si="93"/>
        <v/>
      </c>
      <c r="F1011" t="str">
        <f t="shared" si="94"/>
        <v/>
      </c>
      <c r="G1011" t="str">
        <f>IF(OR($E1011="",$E1011="نامعتبر",Sync!$X1007=""),"",IF(AND(LEFT(UPPER(TRIM(Sync!$X1007)),2)="SL",IFERROR(VLOOKUP(Sync!$W1007,OpTbl,3,0),"")="فروش"),UPPER(TRIM(Sync!$X1007)),""))</f>
        <v/>
      </c>
      <c r="H1011" t="str">
        <f>IF($G1011="","",IF(Sync!$W1007="","",Sync!$W1007))</f>
        <v/>
      </c>
      <c r="I1011" t="str">
        <f>IF(OR($G1011="",Sync!$Y1007=""),"",Sync!$Y1007)</f>
        <v/>
      </c>
      <c r="J1011" t="str">
        <f>IF(OR($G1011="",Sync!$Z1007=""),"",Sync!$Z1007)</f>
        <v/>
      </c>
      <c r="K1011">
        <f>IF($G1011="",0,IF(Sync!$AA1007="",0,Sync!$AA1007))</f>
        <v>0</v>
      </c>
      <c r="L1011">
        <f>IF($G1011="",0,IF(Sync!$AB1007="",0,Sync!$AB1007))</f>
        <v>0</v>
      </c>
      <c r="M1011" t="str">
        <f t="shared" si="95"/>
        <v/>
      </c>
      <c r="N1011">
        <f>IF($G1011="",0,IF($H1011="مرجوعی فروش",-1,1)*IF(Sync!$AC1007="",0,Sync!$AC1007))</f>
        <v>0</v>
      </c>
      <c r="O1011" t="str">
        <f>IF(OR($G1011="",Sync!$V1007=""),"",Sync!$V1007)</f>
        <v/>
      </c>
      <c r="P1011" t="str">
        <f>IF(OR($G1011="",Sync!$AD1007=""),"",Sync!$AD1007)</f>
        <v/>
      </c>
      <c r="Q1011" t="str">
        <f>IF($G1011="","",IF(Sync!$U1007="","0000",IF(AND(ISNUMBER(Sync!$U1007),Sync!$U1007&gt;=0,Sync!$U1007&lt;1),RIGHT("00"&amp;HOUR(Sync!$U1007),2)&amp;RIGHT("00"&amp;MINUTE(Sync!$U1007),2),IFERROR(RIGHT("00"&amp;VALUE(LEFT(Sync!$U1007,FIND(":",Sync!$U1007)-1)),2)&amp;RIGHT("00"&amp;VALUE(MID(Sync!$U1007,FIND(":",Sync!$U1007)+1,2)),2),"0000"))))</f>
        <v/>
      </c>
    </row>
    <row r="1012" spans="1:17" x14ac:dyDescent="0.2">
      <c r="A1012" t="str">
        <f>IF(Sync!$T1008="","",Sync!$T1008)</f>
        <v/>
      </c>
      <c r="B1012" t="str">
        <f t="shared" si="90"/>
        <v/>
      </c>
      <c r="C1012" t="str">
        <f t="shared" si="91"/>
        <v/>
      </c>
      <c r="D1012" t="str">
        <f t="shared" si="92"/>
        <v/>
      </c>
      <c r="E1012" t="str">
        <f t="shared" si="93"/>
        <v/>
      </c>
      <c r="F1012" t="str">
        <f t="shared" si="94"/>
        <v/>
      </c>
      <c r="G1012" t="str">
        <f>IF(OR($E1012="",$E1012="نامعتبر",Sync!$X1008=""),"",IF(AND(LEFT(UPPER(TRIM(Sync!$X1008)),2)="SL",IFERROR(VLOOKUP(Sync!$W1008,OpTbl,3,0),"")="فروش"),UPPER(TRIM(Sync!$X1008)),""))</f>
        <v/>
      </c>
      <c r="H1012" t="str">
        <f>IF($G1012="","",IF(Sync!$W1008="","",Sync!$W1008))</f>
        <v/>
      </c>
      <c r="I1012" t="str">
        <f>IF(OR($G1012="",Sync!$Y1008=""),"",Sync!$Y1008)</f>
        <v/>
      </c>
      <c r="J1012" t="str">
        <f>IF(OR($G1012="",Sync!$Z1008=""),"",Sync!$Z1008)</f>
        <v/>
      </c>
      <c r="K1012">
        <f>IF($G1012="",0,IF(Sync!$AA1008="",0,Sync!$AA1008))</f>
        <v>0</v>
      </c>
      <c r="L1012">
        <f>IF($G1012="",0,IF(Sync!$AB1008="",0,Sync!$AB1008))</f>
        <v>0</v>
      </c>
      <c r="M1012" t="str">
        <f t="shared" si="95"/>
        <v/>
      </c>
      <c r="N1012">
        <f>IF($G1012="",0,IF($H1012="مرجوعی فروش",-1,1)*IF(Sync!$AC1008="",0,Sync!$AC1008))</f>
        <v>0</v>
      </c>
      <c r="O1012" t="str">
        <f>IF(OR($G1012="",Sync!$V1008=""),"",Sync!$V1008)</f>
        <v/>
      </c>
      <c r="P1012" t="str">
        <f>IF(OR($G1012="",Sync!$AD1008=""),"",Sync!$AD1008)</f>
        <v/>
      </c>
      <c r="Q1012" t="str">
        <f>IF($G1012="","",IF(Sync!$U1008="","0000",IF(AND(ISNUMBER(Sync!$U1008),Sync!$U1008&gt;=0,Sync!$U1008&lt;1),RIGHT("00"&amp;HOUR(Sync!$U1008),2)&amp;RIGHT("00"&amp;MINUTE(Sync!$U1008),2),IFERROR(RIGHT("00"&amp;VALUE(LEFT(Sync!$U1008,FIND(":",Sync!$U1008)-1)),2)&amp;RIGHT("00"&amp;VALUE(MID(Sync!$U1008,FIND(":",Sync!$U1008)+1,2)),2),"0000"))))</f>
        <v/>
      </c>
    </row>
    <row r="1013" spans="1:17" x14ac:dyDescent="0.2">
      <c r="A1013" t="str">
        <f>IF(Sync!$T1009="","",Sync!$T1009)</f>
        <v/>
      </c>
      <c r="B1013" t="str">
        <f t="shared" si="90"/>
        <v/>
      </c>
      <c r="C1013" t="str">
        <f t="shared" si="91"/>
        <v/>
      </c>
      <c r="D1013" t="str">
        <f t="shared" si="92"/>
        <v/>
      </c>
      <c r="E1013" t="str">
        <f t="shared" si="93"/>
        <v/>
      </c>
      <c r="F1013" t="str">
        <f t="shared" si="94"/>
        <v/>
      </c>
      <c r="G1013" t="str">
        <f>IF(OR($E1013="",$E1013="نامعتبر",Sync!$X1009=""),"",IF(AND(LEFT(UPPER(TRIM(Sync!$X1009)),2)="SL",IFERROR(VLOOKUP(Sync!$W1009,OpTbl,3,0),"")="فروش"),UPPER(TRIM(Sync!$X1009)),""))</f>
        <v/>
      </c>
      <c r="H1013" t="str">
        <f>IF($G1013="","",IF(Sync!$W1009="","",Sync!$W1009))</f>
        <v/>
      </c>
      <c r="I1013" t="str">
        <f>IF(OR($G1013="",Sync!$Y1009=""),"",Sync!$Y1009)</f>
        <v/>
      </c>
      <c r="J1013" t="str">
        <f>IF(OR($G1013="",Sync!$Z1009=""),"",Sync!$Z1009)</f>
        <v/>
      </c>
      <c r="K1013">
        <f>IF($G1013="",0,IF(Sync!$AA1009="",0,Sync!$AA1009))</f>
        <v>0</v>
      </c>
      <c r="L1013">
        <f>IF($G1013="",0,IF(Sync!$AB1009="",0,Sync!$AB1009))</f>
        <v>0</v>
      </c>
      <c r="M1013" t="str">
        <f t="shared" si="95"/>
        <v/>
      </c>
      <c r="N1013">
        <f>IF($G1013="",0,IF($H1013="مرجوعی فروش",-1,1)*IF(Sync!$AC1009="",0,Sync!$AC1009))</f>
        <v>0</v>
      </c>
      <c r="O1013" t="str">
        <f>IF(OR($G1013="",Sync!$V1009=""),"",Sync!$V1009)</f>
        <v/>
      </c>
      <c r="P1013" t="str">
        <f>IF(OR($G1013="",Sync!$AD1009=""),"",Sync!$AD1009)</f>
        <v/>
      </c>
      <c r="Q1013" t="str">
        <f>IF($G1013="","",IF(Sync!$U1009="","0000",IF(AND(ISNUMBER(Sync!$U1009),Sync!$U1009&gt;=0,Sync!$U1009&lt;1),RIGHT("00"&amp;HOUR(Sync!$U1009),2)&amp;RIGHT("00"&amp;MINUTE(Sync!$U1009),2),IFERROR(RIGHT("00"&amp;VALUE(LEFT(Sync!$U1009,FIND(":",Sync!$U1009)-1)),2)&amp;RIGHT("00"&amp;VALUE(MID(Sync!$U1009,FIND(":",Sync!$U1009)+1,2)),2),"0000"))))</f>
        <v/>
      </c>
    </row>
    <row r="1014" spans="1:17" x14ac:dyDescent="0.2">
      <c r="A1014" t="str">
        <f>IF(Sync!$T1010="","",Sync!$T1010)</f>
        <v/>
      </c>
      <c r="B1014" t="str">
        <f t="shared" si="90"/>
        <v/>
      </c>
      <c r="C1014" t="str">
        <f t="shared" si="91"/>
        <v/>
      </c>
      <c r="D1014" t="str">
        <f t="shared" si="92"/>
        <v/>
      </c>
      <c r="E1014" t="str">
        <f t="shared" si="93"/>
        <v/>
      </c>
      <c r="F1014" t="str">
        <f t="shared" si="94"/>
        <v/>
      </c>
      <c r="G1014" t="str">
        <f>IF(OR($E1014="",$E1014="نامعتبر",Sync!$X1010=""),"",IF(AND(LEFT(UPPER(TRIM(Sync!$X1010)),2)="SL",IFERROR(VLOOKUP(Sync!$W1010,OpTbl,3,0),"")="فروش"),UPPER(TRIM(Sync!$X1010)),""))</f>
        <v/>
      </c>
      <c r="H1014" t="str">
        <f>IF($G1014="","",IF(Sync!$W1010="","",Sync!$W1010))</f>
        <v/>
      </c>
      <c r="I1014" t="str">
        <f>IF(OR($G1014="",Sync!$Y1010=""),"",Sync!$Y1010)</f>
        <v/>
      </c>
      <c r="J1014" t="str">
        <f>IF(OR($G1014="",Sync!$Z1010=""),"",Sync!$Z1010)</f>
        <v/>
      </c>
      <c r="K1014">
        <f>IF($G1014="",0,IF(Sync!$AA1010="",0,Sync!$AA1010))</f>
        <v>0</v>
      </c>
      <c r="L1014">
        <f>IF($G1014="",0,IF(Sync!$AB1010="",0,Sync!$AB1010))</f>
        <v>0</v>
      </c>
      <c r="M1014" t="str">
        <f t="shared" si="95"/>
        <v/>
      </c>
      <c r="N1014">
        <f>IF($G1014="",0,IF($H1014="مرجوعی فروش",-1,1)*IF(Sync!$AC1010="",0,Sync!$AC1010))</f>
        <v>0</v>
      </c>
      <c r="O1014" t="str">
        <f>IF(OR($G1014="",Sync!$V1010=""),"",Sync!$V1010)</f>
        <v/>
      </c>
      <c r="P1014" t="str">
        <f>IF(OR($G1014="",Sync!$AD1010=""),"",Sync!$AD1010)</f>
        <v/>
      </c>
      <c r="Q1014" t="str">
        <f>IF($G1014="","",IF(Sync!$U1010="","0000",IF(AND(ISNUMBER(Sync!$U1010),Sync!$U1010&gt;=0,Sync!$U1010&lt;1),RIGHT("00"&amp;HOUR(Sync!$U1010),2)&amp;RIGHT("00"&amp;MINUTE(Sync!$U1010),2),IFERROR(RIGHT("00"&amp;VALUE(LEFT(Sync!$U1010,FIND(":",Sync!$U1010)-1)),2)&amp;RIGHT("00"&amp;VALUE(MID(Sync!$U1010,FIND(":",Sync!$U1010)+1,2)),2),"0000"))))</f>
        <v/>
      </c>
    </row>
    <row r="1015" spans="1:17" x14ac:dyDescent="0.2">
      <c r="A1015" t="str">
        <f>IF(Sync!$T1011="","",Sync!$T1011)</f>
        <v/>
      </c>
      <c r="B1015" t="str">
        <f t="shared" si="90"/>
        <v/>
      </c>
      <c r="C1015" t="str">
        <f t="shared" si="91"/>
        <v/>
      </c>
      <c r="D1015" t="str">
        <f t="shared" si="92"/>
        <v/>
      </c>
      <c r="E1015" t="str">
        <f t="shared" si="93"/>
        <v/>
      </c>
      <c r="F1015" t="str">
        <f t="shared" si="94"/>
        <v/>
      </c>
      <c r="G1015" t="str">
        <f>IF(OR($E1015="",$E1015="نامعتبر",Sync!$X1011=""),"",IF(AND(LEFT(UPPER(TRIM(Sync!$X1011)),2)="SL",IFERROR(VLOOKUP(Sync!$W1011,OpTbl,3,0),"")="فروش"),UPPER(TRIM(Sync!$X1011)),""))</f>
        <v/>
      </c>
      <c r="H1015" t="str">
        <f>IF($G1015="","",IF(Sync!$W1011="","",Sync!$W1011))</f>
        <v/>
      </c>
      <c r="I1015" t="str">
        <f>IF(OR($G1015="",Sync!$Y1011=""),"",Sync!$Y1011)</f>
        <v/>
      </c>
      <c r="J1015" t="str">
        <f>IF(OR($G1015="",Sync!$Z1011=""),"",Sync!$Z1011)</f>
        <v/>
      </c>
      <c r="K1015">
        <f>IF($G1015="",0,IF(Sync!$AA1011="",0,Sync!$AA1011))</f>
        <v>0</v>
      </c>
      <c r="L1015">
        <f>IF($G1015="",0,IF(Sync!$AB1011="",0,Sync!$AB1011))</f>
        <v>0</v>
      </c>
      <c r="M1015" t="str">
        <f t="shared" si="95"/>
        <v/>
      </c>
      <c r="N1015">
        <f>IF($G1015="",0,IF($H1015="مرجوعی فروش",-1,1)*IF(Sync!$AC1011="",0,Sync!$AC1011))</f>
        <v>0</v>
      </c>
      <c r="O1015" t="str">
        <f>IF(OR($G1015="",Sync!$V1011=""),"",Sync!$V1011)</f>
        <v/>
      </c>
      <c r="P1015" t="str">
        <f>IF(OR($G1015="",Sync!$AD1011=""),"",Sync!$AD1011)</f>
        <v/>
      </c>
      <c r="Q1015" t="str">
        <f>IF($G1015="","",IF(Sync!$U1011="","0000",IF(AND(ISNUMBER(Sync!$U1011),Sync!$U1011&gt;=0,Sync!$U1011&lt;1),RIGHT("00"&amp;HOUR(Sync!$U1011),2)&amp;RIGHT("00"&amp;MINUTE(Sync!$U1011),2),IFERROR(RIGHT("00"&amp;VALUE(LEFT(Sync!$U1011,FIND(":",Sync!$U1011)-1)),2)&amp;RIGHT("00"&amp;VALUE(MID(Sync!$U1011,FIND(":",Sync!$U1011)+1,2)),2),"0000"))))</f>
        <v/>
      </c>
    </row>
    <row r="1016" spans="1:17" x14ac:dyDescent="0.2">
      <c r="A1016" t="str">
        <f>IF(Sync!$T1012="","",Sync!$T1012)</f>
        <v/>
      </c>
      <c r="B1016" t="str">
        <f t="shared" si="90"/>
        <v/>
      </c>
      <c r="C1016" t="str">
        <f t="shared" si="91"/>
        <v/>
      </c>
      <c r="D1016" t="str">
        <f t="shared" si="92"/>
        <v/>
      </c>
      <c r="E1016" t="str">
        <f t="shared" si="93"/>
        <v/>
      </c>
      <c r="F1016" t="str">
        <f t="shared" si="94"/>
        <v/>
      </c>
      <c r="G1016" t="str">
        <f>IF(OR($E1016="",$E1016="نامعتبر",Sync!$X1012=""),"",IF(AND(LEFT(UPPER(TRIM(Sync!$X1012)),2)="SL",IFERROR(VLOOKUP(Sync!$W1012,OpTbl,3,0),"")="فروش"),UPPER(TRIM(Sync!$X1012)),""))</f>
        <v/>
      </c>
      <c r="H1016" t="str">
        <f>IF($G1016="","",IF(Sync!$W1012="","",Sync!$W1012))</f>
        <v/>
      </c>
      <c r="I1016" t="str">
        <f>IF(OR($G1016="",Sync!$Y1012=""),"",Sync!$Y1012)</f>
        <v/>
      </c>
      <c r="J1016" t="str">
        <f>IF(OR($G1016="",Sync!$Z1012=""),"",Sync!$Z1012)</f>
        <v/>
      </c>
      <c r="K1016">
        <f>IF($G1016="",0,IF(Sync!$AA1012="",0,Sync!$AA1012))</f>
        <v>0</v>
      </c>
      <c r="L1016">
        <f>IF($G1016="",0,IF(Sync!$AB1012="",0,Sync!$AB1012))</f>
        <v>0</v>
      </c>
      <c r="M1016" t="str">
        <f t="shared" si="95"/>
        <v/>
      </c>
      <c r="N1016">
        <f>IF($G1016="",0,IF($H1016="مرجوعی فروش",-1,1)*IF(Sync!$AC1012="",0,Sync!$AC1012))</f>
        <v>0</v>
      </c>
      <c r="O1016" t="str">
        <f>IF(OR($G1016="",Sync!$V1012=""),"",Sync!$V1012)</f>
        <v/>
      </c>
      <c r="P1016" t="str">
        <f>IF(OR($G1016="",Sync!$AD1012=""),"",Sync!$AD1012)</f>
        <v/>
      </c>
      <c r="Q1016" t="str">
        <f>IF($G1016="","",IF(Sync!$U1012="","0000",IF(AND(ISNUMBER(Sync!$U1012),Sync!$U1012&gt;=0,Sync!$U1012&lt;1),RIGHT("00"&amp;HOUR(Sync!$U1012),2)&amp;RIGHT("00"&amp;MINUTE(Sync!$U1012),2),IFERROR(RIGHT("00"&amp;VALUE(LEFT(Sync!$U1012,FIND(":",Sync!$U1012)-1)),2)&amp;RIGHT("00"&amp;VALUE(MID(Sync!$U1012,FIND(":",Sync!$U1012)+1,2)),2),"0000"))))</f>
        <v/>
      </c>
    </row>
    <row r="1017" spans="1:17" x14ac:dyDescent="0.2">
      <c r="A1017" t="str">
        <f>IF(Sync!$T1013="","",Sync!$T1013)</f>
        <v/>
      </c>
      <c r="B1017" t="str">
        <f t="shared" si="90"/>
        <v/>
      </c>
      <c r="C1017" t="str">
        <f t="shared" si="91"/>
        <v/>
      </c>
      <c r="D1017" t="str">
        <f t="shared" si="92"/>
        <v/>
      </c>
      <c r="E1017" t="str">
        <f t="shared" si="93"/>
        <v/>
      </c>
      <c r="F1017" t="str">
        <f t="shared" si="94"/>
        <v/>
      </c>
      <c r="G1017" t="str">
        <f>IF(OR($E1017="",$E1017="نامعتبر",Sync!$X1013=""),"",IF(AND(LEFT(UPPER(TRIM(Sync!$X1013)),2)="SL",IFERROR(VLOOKUP(Sync!$W1013,OpTbl,3,0),"")="فروش"),UPPER(TRIM(Sync!$X1013)),""))</f>
        <v/>
      </c>
      <c r="H1017" t="str">
        <f>IF($G1017="","",IF(Sync!$W1013="","",Sync!$W1013))</f>
        <v/>
      </c>
      <c r="I1017" t="str">
        <f>IF(OR($G1017="",Sync!$Y1013=""),"",Sync!$Y1013)</f>
        <v/>
      </c>
      <c r="J1017" t="str">
        <f>IF(OR($G1017="",Sync!$Z1013=""),"",Sync!$Z1013)</f>
        <v/>
      </c>
      <c r="K1017">
        <f>IF($G1017="",0,IF(Sync!$AA1013="",0,Sync!$AA1013))</f>
        <v>0</v>
      </c>
      <c r="L1017">
        <f>IF($G1017="",0,IF(Sync!$AB1013="",0,Sync!$AB1013))</f>
        <v>0</v>
      </c>
      <c r="M1017" t="str">
        <f t="shared" si="95"/>
        <v/>
      </c>
      <c r="N1017">
        <f>IF($G1017="",0,IF($H1017="مرجوعی فروش",-1,1)*IF(Sync!$AC1013="",0,Sync!$AC1013))</f>
        <v>0</v>
      </c>
      <c r="O1017" t="str">
        <f>IF(OR($G1017="",Sync!$V1013=""),"",Sync!$V1013)</f>
        <v/>
      </c>
      <c r="P1017" t="str">
        <f>IF(OR($G1017="",Sync!$AD1013=""),"",Sync!$AD1013)</f>
        <v/>
      </c>
      <c r="Q1017" t="str">
        <f>IF($G1017="","",IF(Sync!$U1013="","0000",IF(AND(ISNUMBER(Sync!$U1013),Sync!$U1013&gt;=0,Sync!$U1013&lt;1),RIGHT("00"&amp;HOUR(Sync!$U1013),2)&amp;RIGHT("00"&amp;MINUTE(Sync!$U1013),2),IFERROR(RIGHT("00"&amp;VALUE(LEFT(Sync!$U1013,FIND(":",Sync!$U1013)-1)),2)&amp;RIGHT("00"&amp;VALUE(MID(Sync!$U1013,FIND(":",Sync!$U1013)+1,2)),2),"0000"))))</f>
        <v/>
      </c>
    </row>
    <row r="1018" spans="1:17" x14ac:dyDescent="0.2">
      <c r="A1018" t="str">
        <f>IF(Sync!$T1014="","",Sync!$T1014)</f>
        <v/>
      </c>
      <c r="B1018" t="str">
        <f t="shared" si="90"/>
        <v/>
      </c>
      <c r="C1018" t="str">
        <f t="shared" si="91"/>
        <v/>
      </c>
      <c r="D1018" t="str">
        <f t="shared" si="92"/>
        <v/>
      </c>
      <c r="E1018" t="str">
        <f t="shared" si="93"/>
        <v/>
      </c>
      <c r="F1018" t="str">
        <f t="shared" si="94"/>
        <v/>
      </c>
      <c r="G1018" t="str">
        <f>IF(OR($E1018="",$E1018="نامعتبر",Sync!$X1014=""),"",IF(AND(LEFT(UPPER(TRIM(Sync!$X1014)),2)="SL",IFERROR(VLOOKUP(Sync!$W1014,OpTbl,3,0),"")="فروش"),UPPER(TRIM(Sync!$X1014)),""))</f>
        <v/>
      </c>
      <c r="H1018" t="str">
        <f>IF($G1018="","",IF(Sync!$W1014="","",Sync!$W1014))</f>
        <v/>
      </c>
      <c r="I1018" t="str">
        <f>IF(OR($G1018="",Sync!$Y1014=""),"",Sync!$Y1014)</f>
        <v/>
      </c>
      <c r="J1018" t="str">
        <f>IF(OR($G1018="",Sync!$Z1014=""),"",Sync!$Z1014)</f>
        <v/>
      </c>
      <c r="K1018">
        <f>IF($G1018="",0,IF(Sync!$AA1014="",0,Sync!$AA1014))</f>
        <v>0</v>
      </c>
      <c r="L1018">
        <f>IF($G1018="",0,IF(Sync!$AB1014="",0,Sync!$AB1014))</f>
        <v>0</v>
      </c>
      <c r="M1018" t="str">
        <f t="shared" si="95"/>
        <v/>
      </c>
      <c r="N1018">
        <f>IF($G1018="",0,IF($H1018="مرجوعی فروش",-1,1)*IF(Sync!$AC1014="",0,Sync!$AC1014))</f>
        <v>0</v>
      </c>
      <c r="O1018" t="str">
        <f>IF(OR($G1018="",Sync!$V1014=""),"",Sync!$V1014)</f>
        <v/>
      </c>
      <c r="P1018" t="str">
        <f>IF(OR($G1018="",Sync!$AD1014=""),"",Sync!$AD1014)</f>
        <v/>
      </c>
      <c r="Q1018" t="str">
        <f>IF($G1018="","",IF(Sync!$U1014="","0000",IF(AND(ISNUMBER(Sync!$U1014),Sync!$U1014&gt;=0,Sync!$U1014&lt;1),RIGHT("00"&amp;HOUR(Sync!$U1014),2)&amp;RIGHT("00"&amp;MINUTE(Sync!$U1014),2),IFERROR(RIGHT("00"&amp;VALUE(LEFT(Sync!$U1014,FIND(":",Sync!$U1014)-1)),2)&amp;RIGHT("00"&amp;VALUE(MID(Sync!$U1014,FIND(":",Sync!$U1014)+1,2)),2),"0000"))))</f>
        <v/>
      </c>
    </row>
    <row r="1019" spans="1:17" x14ac:dyDescent="0.2">
      <c r="A1019" t="str">
        <f>IF(Sync!$T1015="","",Sync!$T1015)</f>
        <v/>
      </c>
      <c r="B1019" t="str">
        <f t="shared" si="90"/>
        <v/>
      </c>
      <c r="C1019" t="str">
        <f t="shared" si="91"/>
        <v/>
      </c>
      <c r="D1019" t="str">
        <f t="shared" si="92"/>
        <v/>
      </c>
      <c r="E1019" t="str">
        <f t="shared" si="93"/>
        <v/>
      </c>
      <c r="F1019" t="str">
        <f t="shared" si="94"/>
        <v/>
      </c>
      <c r="G1019" t="str">
        <f>IF(OR($E1019="",$E1019="نامعتبر",Sync!$X1015=""),"",IF(AND(LEFT(UPPER(TRIM(Sync!$X1015)),2)="SL",IFERROR(VLOOKUP(Sync!$W1015,OpTbl,3,0),"")="فروش"),UPPER(TRIM(Sync!$X1015)),""))</f>
        <v/>
      </c>
      <c r="H1019" t="str">
        <f>IF($G1019="","",IF(Sync!$W1015="","",Sync!$W1015))</f>
        <v/>
      </c>
      <c r="I1019" t="str">
        <f>IF(OR($G1019="",Sync!$Y1015=""),"",Sync!$Y1015)</f>
        <v/>
      </c>
      <c r="J1019" t="str">
        <f>IF(OR($G1019="",Sync!$Z1015=""),"",Sync!$Z1015)</f>
        <v/>
      </c>
      <c r="K1019">
        <f>IF($G1019="",0,IF(Sync!$AA1015="",0,Sync!$AA1015))</f>
        <v>0</v>
      </c>
      <c r="L1019">
        <f>IF($G1019="",0,IF(Sync!$AB1015="",0,Sync!$AB1015))</f>
        <v>0</v>
      </c>
      <c r="M1019" t="str">
        <f t="shared" si="95"/>
        <v/>
      </c>
      <c r="N1019">
        <f>IF($G1019="",0,IF($H1019="مرجوعی فروش",-1,1)*IF(Sync!$AC1015="",0,Sync!$AC1015))</f>
        <v>0</v>
      </c>
      <c r="O1019" t="str">
        <f>IF(OR($G1019="",Sync!$V1015=""),"",Sync!$V1015)</f>
        <v/>
      </c>
      <c r="P1019" t="str">
        <f>IF(OR($G1019="",Sync!$AD1015=""),"",Sync!$AD1015)</f>
        <v/>
      </c>
      <c r="Q1019" t="str">
        <f>IF($G1019="","",IF(Sync!$U1015="","0000",IF(AND(ISNUMBER(Sync!$U1015),Sync!$U1015&gt;=0,Sync!$U1015&lt;1),RIGHT("00"&amp;HOUR(Sync!$U1015),2)&amp;RIGHT("00"&amp;MINUTE(Sync!$U1015),2),IFERROR(RIGHT("00"&amp;VALUE(LEFT(Sync!$U1015,FIND(":",Sync!$U1015)-1)),2)&amp;RIGHT("00"&amp;VALUE(MID(Sync!$U1015,FIND(":",Sync!$U1015)+1,2)),2),"0000"))))</f>
        <v/>
      </c>
    </row>
    <row r="1020" spans="1:17" x14ac:dyDescent="0.2">
      <c r="A1020" t="str">
        <f>IF(Sync!$T1016="","",Sync!$T1016)</f>
        <v/>
      </c>
      <c r="B1020" t="str">
        <f t="shared" si="90"/>
        <v/>
      </c>
      <c r="C1020" t="str">
        <f t="shared" si="91"/>
        <v/>
      </c>
      <c r="D1020" t="str">
        <f t="shared" si="92"/>
        <v/>
      </c>
      <c r="E1020" t="str">
        <f t="shared" si="93"/>
        <v/>
      </c>
      <c r="F1020" t="str">
        <f t="shared" si="94"/>
        <v/>
      </c>
      <c r="G1020" t="str">
        <f>IF(OR($E1020="",$E1020="نامعتبر",Sync!$X1016=""),"",IF(AND(LEFT(UPPER(TRIM(Sync!$X1016)),2)="SL",IFERROR(VLOOKUP(Sync!$W1016,OpTbl,3,0),"")="فروش"),UPPER(TRIM(Sync!$X1016)),""))</f>
        <v/>
      </c>
      <c r="H1020" t="str">
        <f>IF($G1020="","",IF(Sync!$W1016="","",Sync!$W1016))</f>
        <v/>
      </c>
      <c r="I1020" t="str">
        <f>IF(OR($G1020="",Sync!$Y1016=""),"",Sync!$Y1016)</f>
        <v/>
      </c>
      <c r="J1020" t="str">
        <f>IF(OR($G1020="",Sync!$Z1016=""),"",Sync!$Z1016)</f>
        <v/>
      </c>
      <c r="K1020">
        <f>IF($G1020="",0,IF(Sync!$AA1016="",0,Sync!$AA1016))</f>
        <v>0</v>
      </c>
      <c r="L1020">
        <f>IF($G1020="",0,IF(Sync!$AB1016="",0,Sync!$AB1016))</f>
        <v>0</v>
      </c>
      <c r="M1020" t="str">
        <f t="shared" si="95"/>
        <v/>
      </c>
      <c r="N1020">
        <f>IF($G1020="",0,IF($H1020="مرجوعی فروش",-1,1)*IF(Sync!$AC1016="",0,Sync!$AC1016))</f>
        <v>0</v>
      </c>
      <c r="O1020" t="str">
        <f>IF(OR($G1020="",Sync!$V1016=""),"",Sync!$V1016)</f>
        <v/>
      </c>
      <c r="P1020" t="str">
        <f>IF(OR($G1020="",Sync!$AD1016=""),"",Sync!$AD1016)</f>
        <v/>
      </c>
      <c r="Q1020" t="str">
        <f>IF($G1020="","",IF(Sync!$U1016="","0000",IF(AND(ISNUMBER(Sync!$U1016),Sync!$U1016&gt;=0,Sync!$U1016&lt;1),RIGHT("00"&amp;HOUR(Sync!$U1016),2)&amp;RIGHT("00"&amp;MINUTE(Sync!$U1016),2),IFERROR(RIGHT("00"&amp;VALUE(LEFT(Sync!$U1016,FIND(":",Sync!$U1016)-1)),2)&amp;RIGHT("00"&amp;VALUE(MID(Sync!$U1016,FIND(":",Sync!$U1016)+1,2)),2),"0000"))))</f>
        <v/>
      </c>
    </row>
    <row r="1021" spans="1:17" x14ac:dyDescent="0.2">
      <c r="A1021" t="str">
        <f>IF(Sync!$T1017="","",Sync!$T1017)</f>
        <v/>
      </c>
      <c r="B1021" t="str">
        <f t="shared" si="90"/>
        <v/>
      </c>
      <c r="C1021" t="str">
        <f t="shared" si="91"/>
        <v/>
      </c>
      <c r="D1021" t="str">
        <f t="shared" si="92"/>
        <v/>
      </c>
      <c r="E1021" t="str">
        <f t="shared" si="93"/>
        <v/>
      </c>
      <c r="F1021" t="str">
        <f t="shared" si="94"/>
        <v/>
      </c>
      <c r="G1021" t="str">
        <f>IF(OR($E1021="",$E1021="نامعتبر",Sync!$X1017=""),"",IF(AND(LEFT(UPPER(TRIM(Sync!$X1017)),2)="SL",IFERROR(VLOOKUP(Sync!$W1017,OpTbl,3,0),"")="فروش"),UPPER(TRIM(Sync!$X1017)),""))</f>
        <v/>
      </c>
      <c r="H1021" t="str">
        <f>IF($G1021="","",IF(Sync!$W1017="","",Sync!$W1017))</f>
        <v/>
      </c>
      <c r="I1021" t="str">
        <f>IF(OR($G1021="",Sync!$Y1017=""),"",Sync!$Y1017)</f>
        <v/>
      </c>
      <c r="J1021" t="str">
        <f>IF(OR($G1021="",Sync!$Z1017=""),"",Sync!$Z1017)</f>
        <v/>
      </c>
      <c r="K1021">
        <f>IF($G1021="",0,IF(Sync!$AA1017="",0,Sync!$AA1017))</f>
        <v>0</v>
      </c>
      <c r="L1021">
        <f>IF($G1021="",0,IF(Sync!$AB1017="",0,Sync!$AB1017))</f>
        <v>0</v>
      </c>
      <c r="M1021" t="str">
        <f t="shared" si="95"/>
        <v/>
      </c>
      <c r="N1021">
        <f>IF($G1021="",0,IF($H1021="مرجوعی فروش",-1,1)*IF(Sync!$AC1017="",0,Sync!$AC1017))</f>
        <v>0</v>
      </c>
      <c r="O1021" t="str">
        <f>IF(OR($G1021="",Sync!$V1017=""),"",Sync!$V1017)</f>
        <v/>
      </c>
      <c r="P1021" t="str">
        <f>IF(OR($G1021="",Sync!$AD1017=""),"",Sync!$AD1017)</f>
        <v/>
      </c>
      <c r="Q1021" t="str">
        <f>IF($G1021="","",IF(Sync!$U1017="","0000",IF(AND(ISNUMBER(Sync!$U1017),Sync!$U1017&gt;=0,Sync!$U1017&lt;1),RIGHT("00"&amp;HOUR(Sync!$U1017),2)&amp;RIGHT("00"&amp;MINUTE(Sync!$U1017),2),IFERROR(RIGHT("00"&amp;VALUE(LEFT(Sync!$U1017,FIND(":",Sync!$U1017)-1)),2)&amp;RIGHT("00"&amp;VALUE(MID(Sync!$U1017,FIND(":",Sync!$U1017)+1,2)),2),"0000"))))</f>
        <v/>
      </c>
    </row>
    <row r="1022" spans="1:17" x14ac:dyDescent="0.2">
      <c r="A1022" t="str">
        <f>IF(Sync!$T1018="","",Sync!$T1018)</f>
        <v/>
      </c>
      <c r="B1022" t="str">
        <f t="shared" si="90"/>
        <v/>
      </c>
      <c r="C1022" t="str">
        <f t="shared" si="91"/>
        <v/>
      </c>
      <c r="D1022" t="str">
        <f t="shared" si="92"/>
        <v/>
      </c>
      <c r="E1022" t="str">
        <f t="shared" si="93"/>
        <v/>
      </c>
      <c r="F1022" t="str">
        <f t="shared" si="94"/>
        <v/>
      </c>
      <c r="G1022" t="str">
        <f>IF(OR($E1022="",$E1022="نامعتبر",Sync!$X1018=""),"",IF(AND(LEFT(UPPER(TRIM(Sync!$X1018)),2)="SL",IFERROR(VLOOKUP(Sync!$W1018,OpTbl,3,0),"")="فروش"),UPPER(TRIM(Sync!$X1018)),""))</f>
        <v/>
      </c>
      <c r="H1022" t="str">
        <f>IF($G1022="","",IF(Sync!$W1018="","",Sync!$W1018))</f>
        <v/>
      </c>
      <c r="I1022" t="str">
        <f>IF(OR($G1022="",Sync!$Y1018=""),"",Sync!$Y1018)</f>
        <v/>
      </c>
      <c r="J1022" t="str">
        <f>IF(OR($G1022="",Sync!$Z1018=""),"",Sync!$Z1018)</f>
        <v/>
      </c>
      <c r="K1022">
        <f>IF($G1022="",0,IF(Sync!$AA1018="",0,Sync!$AA1018))</f>
        <v>0</v>
      </c>
      <c r="L1022">
        <f>IF($G1022="",0,IF(Sync!$AB1018="",0,Sync!$AB1018))</f>
        <v>0</v>
      </c>
      <c r="M1022" t="str">
        <f t="shared" si="95"/>
        <v/>
      </c>
      <c r="N1022">
        <f>IF($G1022="",0,IF($H1022="مرجوعی فروش",-1,1)*IF(Sync!$AC1018="",0,Sync!$AC1018))</f>
        <v>0</v>
      </c>
      <c r="O1022" t="str">
        <f>IF(OR($G1022="",Sync!$V1018=""),"",Sync!$V1018)</f>
        <v/>
      </c>
      <c r="P1022" t="str">
        <f>IF(OR($G1022="",Sync!$AD1018=""),"",Sync!$AD1018)</f>
        <v/>
      </c>
      <c r="Q1022" t="str">
        <f>IF($G1022="","",IF(Sync!$U1018="","0000",IF(AND(ISNUMBER(Sync!$U1018),Sync!$U1018&gt;=0,Sync!$U1018&lt;1),RIGHT("00"&amp;HOUR(Sync!$U1018),2)&amp;RIGHT("00"&amp;MINUTE(Sync!$U1018),2),IFERROR(RIGHT("00"&amp;VALUE(LEFT(Sync!$U1018,FIND(":",Sync!$U1018)-1)),2)&amp;RIGHT("00"&amp;VALUE(MID(Sync!$U1018,FIND(":",Sync!$U1018)+1,2)),2),"0000"))))</f>
        <v/>
      </c>
    </row>
    <row r="1023" spans="1:17" x14ac:dyDescent="0.2">
      <c r="A1023" t="str">
        <f>IF(Sync!$T1019="","",Sync!$T1019)</f>
        <v/>
      </c>
      <c r="B1023" t="str">
        <f t="shared" si="90"/>
        <v/>
      </c>
      <c r="C1023" t="str">
        <f t="shared" si="91"/>
        <v/>
      </c>
      <c r="D1023" t="str">
        <f t="shared" si="92"/>
        <v/>
      </c>
      <c r="E1023" t="str">
        <f t="shared" si="93"/>
        <v/>
      </c>
      <c r="F1023" t="str">
        <f t="shared" si="94"/>
        <v/>
      </c>
      <c r="G1023" t="str">
        <f>IF(OR($E1023="",$E1023="نامعتبر",Sync!$X1019=""),"",IF(AND(LEFT(UPPER(TRIM(Sync!$X1019)),2)="SL",IFERROR(VLOOKUP(Sync!$W1019,OpTbl,3,0),"")="فروش"),UPPER(TRIM(Sync!$X1019)),""))</f>
        <v/>
      </c>
      <c r="H1023" t="str">
        <f>IF($G1023="","",IF(Sync!$W1019="","",Sync!$W1019))</f>
        <v/>
      </c>
      <c r="I1023" t="str">
        <f>IF(OR($G1023="",Sync!$Y1019=""),"",Sync!$Y1019)</f>
        <v/>
      </c>
      <c r="J1023" t="str">
        <f>IF(OR($G1023="",Sync!$Z1019=""),"",Sync!$Z1019)</f>
        <v/>
      </c>
      <c r="K1023">
        <f>IF($G1023="",0,IF(Sync!$AA1019="",0,Sync!$AA1019))</f>
        <v>0</v>
      </c>
      <c r="L1023">
        <f>IF($G1023="",0,IF(Sync!$AB1019="",0,Sync!$AB1019))</f>
        <v>0</v>
      </c>
      <c r="M1023" t="str">
        <f t="shared" si="95"/>
        <v/>
      </c>
      <c r="N1023">
        <f>IF($G1023="",0,IF($H1023="مرجوعی فروش",-1,1)*IF(Sync!$AC1019="",0,Sync!$AC1019))</f>
        <v>0</v>
      </c>
      <c r="O1023" t="str">
        <f>IF(OR($G1023="",Sync!$V1019=""),"",Sync!$V1019)</f>
        <v/>
      </c>
      <c r="P1023" t="str">
        <f>IF(OR($G1023="",Sync!$AD1019=""),"",Sync!$AD1019)</f>
        <v/>
      </c>
      <c r="Q1023" t="str">
        <f>IF($G1023="","",IF(Sync!$U1019="","0000",IF(AND(ISNUMBER(Sync!$U1019),Sync!$U1019&gt;=0,Sync!$U1019&lt;1),RIGHT("00"&amp;HOUR(Sync!$U1019),2)&amp;RIGHT("00"&amp;MINUTE(Sync!$U1019),2),IFERROR(RIGHT("00"&amp;VALUE(LEFT(Sync!$U1019,FIND(":",Sync!$U1019)-1)),2)&amp;RIGHT("00"&amp;VALUE(MID(Sync!$U1019,FIND(":",Sync!$U1019)+1,2)),2),"0000"))))</f>
        <v/>
      </c>
    </row>
    <row r="1024" spans="1:17" x14ac:dyDescent="0.2">
      <c r="A1024" t="str">
        <f>IF(Sync!$T1020="","",Sync!$T1020)</f>
        <v/>
      </c>
      <c r="B1024" t="str">
        <f t="shared" si="90"/>
        <v/>
      </c>
      <c r="C1024" t="str">
        <f t="shared" si="91"/>
        <v/>
      </c>
      <c r="D1024" t="str">
        <f t="shared" si="92"/>
        <v/>
      </c>
      <c r="E1024" t="str">
        <f t="shared" si="93"/>
        <v/>
      </c>
      <c r="F1024" t="str">
        <f t="shared" si="94"/>
        <v/>
      </c>
      <c r="G1024" t="str">
        <f>IF(OR($E1024="",$E1024="نامعتبر",Sync!$X1020=""),"",IF(AND(LEFT(UPPER(TRIM(Sync!$X1020)),2)="SL",IFERROR(VLOOKUP(Sync!$W1020,OpTbl,3,0),"")="فروش"),UPPER(TRIM(Sync!$X1020)),""))</f>
        <v/>
      </c>
      <c r="H1024" t="str">
        <f>IF($G1024="","",IF(Sync!$W1020="","",Sync!$W1020))</f>
        <v/>
      </c>
      <c r="I1024" t="str">
        <f>IF(OR($G1024="",Sync!$Y1020=""),"",Sync!$Y1020)</f>
        <v/>
      </c>
      <c r="J1024" t="str">
        <f>IF(OR($G1024="",Sync!$Z1020=""),"",Sync!$Z1020)</f>
        <v/>
      </c>
      <c r="K1024">
        <f>IF($G1024="",0,IF(Sync!$AA1020="",0,Sync!$AA1020))</f>
        <v>0</v>
      </c>
      <c r="L1024">
        <f>IF($G1024="",0,IF(Sync!$AB1020="",0,Sync!$AB1020))</f>
        <v>0</v>
      </c>
      <c r="M1024" t="str">
        <f t="shared" si="95"/>
        <v/>
      </c>
      <c r="N1024">
        <f>IF($G1024="",0,IF($H1024="مرجوعی فروش",-1,1)*IF(Sync!$AC1020="",0,Sync!$AC1020))</f>
        <v>0</v>
      </c>
      <c r="O1024" t="str">
        <f>IF(OR($G1024="",Sync!$V1020=""),"",Sync!$V1020)</f>
        <v/>
      </c>
      <c r="P1024" t="str">
        <f>IF(OR($G1024="",Sync!$AD1020=""),"",Sync!$AD1020)</f>
        <v/>
      </c>
      <c r="Q1024" t="str">
        <f>IF($G1024="","",IF(Sync!$U1020="","0000",IF(AND(ISNUMBER(Sync!$U1020),Sync!$U1020&gt;=0,Sync!$U1020&lt;1),RIGHT("00"&amp;HOUR(Sync!$U1020),2)&amp;RIGHT("00"&amp;MINUTE(Sync!$U1020),2),IFERROR(RIGHT("00"&amp;VALUE(LEFT(Sync!$U1020,FIND(":",Sync!$U1020)-1)),2)&amp;RIGHT("00"&amp;VALUE(MID(Sync!$U1020,FIND(":",Sync!$U1020)+1,2)),2),"0000"))))</f>
        <v/>
      </c>
    </row>
    <row r="1025" spans="1:17" x14ac:dyDescent="0.2">
      <c r="A1025" t="str">
        <f>IF(Sync!$T1021="","",Sync!$T1021)</f>
        <v/>
      </c>
      <c r="B1025" t="str">
        <f t="shared" si="90"/>
        <v/>
      </c>
      <c r="C1025" t="str">
        <f t="shared" si="91"/>
        <v/>
      </c>
      <c r="D1025" t="str">
        <f t="shared" si="92"/>
        <v/>
      </c>
      <c r="E1025" t="str">
        <f t="shared" si="93"/>
        <v/>
      </c>
      <c r="F1025" t="str">
        <f t="shared" si="94"/>
        <v/>
      </c>
      <c r="G1025" t="str">
        <f>IF(OR($E1025="",$E1025="نامعتبر",Sync!$X1021=""),"",IF(AND(LEFT(UPPER(TRIM(Sync!$X1021)),2)="SL",IFERROR(VLOOKUP(Sync!$W1021,OpTbl,3,0),"")="فروش"),UPPER(TRIM(Sync!$X1021)),""))</f>
        <v/>
      </c>
      <c r="H1025" t="str">
        <f>IF($G1025="","",IF(Sync!$W1021="","",Sync!$W1021))</f>
        <v/>
      </c>
      <c r="I1025" t="str">
        <f>IF(OR($G1025="",Sync!$Y1021=""),"",Sync!$Y1021)</f>
        <v/>
      </c>
      <c r="J1025" t="str">
        <f>IF(OR($G1025="",Sync!$Z1021=""),"",Sync!$Z1021)</f>
        <v/>
      </c>
      <c r="K1025">
        <f>IF($G1025="",0,IF(Sync!$AA1021="",0,Sync!$AA1021))</f>
        <v>0</v>
      </c>
      <c r="L1025">
        <f>IF($G1025="",0,IF(Sync!$AB1021="",0,Sync!$AB1021))</f>
        <v>0</v>
      </c>
      <c r="M1025" t="str">
        <f t="shared" si="95"/>
        <v/>
      </c>
      <c r="N1025">
        <f>IF($G1025="",0,IF($H1025="مرجوعی فروش",-1,1)*IF(Sync!$AC1021="",0,Sync!$AC1021))</f>
        <v>0</v>
      </c>
      <c r="O1025" t="str">
        <f>IF(OR($G1025="",Sync!$V1021=""),"",Sync!$V1021)</f>
        <v/>
      </c>
      <c r="P1025" t="str">
        <f>IF(OR($G1025="",Sync!$AD1021=""),"",Sync!$AD1021)</f>
        <v/>
      </c>
      <c r="Q1025" t="str">
        <f>IF($G1025="","",IF(Sync!$U1021="","0000",IF(AND(ISNUMBER(Sync!$U1021),Sync!$U1021&gt;=0,Sync!$U1021&lt;1),RIGHT("00"&amp;HOUR(Sync!$U1021),2)&amp;RIGHT("00"&amp;MINUTE(Sync!$U1021),2),IFERROR(RIGHT("00"&amp;VALUE(LEFT(Sync!$U1021,FIND(":",Sync!$U1021)-1)),2)&amp;RIGHT("00"&amp;VALUE(MID(Sync!$U1021,FIND(":",Sync!$U1021)+1,2)),2),"0000"))))</f>
        <v/>
      </c>
    </row>
    <row r="1026" spans="1:17" x14ac:dyDescent="0.2">
      <c r="A1026" t="str">
        <f>IF(Sync!$T1022="","",Sync!$T1022)</f>
        <v/>
      </c>
      <c r="B1026" t="str">
        <f t="shared" si="90"/>
        <v/>
      </c>
      <c r="C1026" t="str">
        <f t="shared" si="91"/>
        <v/>
      </c>
      <c r="D1026" t="str">
        <f t="shared" si="92"/>
        <v/>
      </c>
      <c r="E1026" t="str">
        <f t="shared" si="93"/>
        <v/>
      </c>
      <c r="F1026" t="str">
        <f t="shared" si="94"/>
        <v/>
      </c>
      <c r="G1026" t="str">
        <f>IF(OR($E1026="",$E1026="نامعتبر",Sync!$X1022=""),"",IF(AND(LEFT(UPPER(TRIM(Sync!$X1022)),2)="SL",IFERROR(VLOOKUP(Sync!$W1022,OpTbl,3,0),"")="فروش"),UPPER(TRIM(Sync!$X1022)),""))</f>
        <v/>
      </c>
      <c r="H1026" t="str">
        <f>IF($G1026="","",IF(Sync!$W1022="","",Sync!$W1022))</f>
        <v/>
      </c>
      <c r="I1026" t="str">
        <f>IF(OR($G1026="",Sync!$Y1022=""),"",Sync!$Y1022)</f>
        <v/>
      </c>
      <c r="J1026" t="str">
        <f>IF(OR($G1026="",Sync!$Z1022=""),"",Sync!$Z1022)</f>
        <v/>
      </c>
      <c r="K1026">
        <f>IF($G1026="",0,IF(Sync!$AA1022="",0,Sync!$AA1022))</f>
        <v>0</v>
      </c>
      <c r="L1026">
        <f>IF($G1026="",0,IF(Sync!$AB1022="",0,Sync!$AB1022))</f>
        <v>0</v>
      </c>
      <c r="M1026" t="str">
        <f t="shared" si="95"/>
        <v/>
      </c>
      <c r="N1026">
        <f>IF($G1026="",0,IF($H1026="مرجوعی فروش",-1,1)*IF(Sync!$AC1022="",0,Sync!$AC1022))</f>
        <v>0</v>
      </c>
      <c r="O1026" t="str">
        <f>IF(OR($G1026="",Sync!$V1022=""),"",Sync!$V1022)</f>
        <v/>
      </c>
      <c r="P1026" t="str">
        <f>IF(OR($G1026="",Sync!$AD1022=""),"",Sync!$AD1022)</f>
        <v/>
      </c>
      <c r="Q1026" t="str">
        <f>IF($G1026="","",IF(Sync!$U1022="","0000",IF(AND(ISNUMBER(Sync!$U1022),Sync!$U1022&gt;=0,Sync!$U1022&lt;1),RIGHT("00"&amp;HOUR(Sync!$U1022),2)&amp;RIGHT("00"&amp;MINUTE(Sync!$U1022),2),IFERROR(RIGHT("00"&amp;VALUE(LEFT(Sync!$U1022,FIND(":",Sync!$U1022)-1)),2)&amp;RIGHT("00"&amp;VALUE(MID(Sync!$U1022,FIND(":",Sync!$U1022)+1,2)),2),"0000"))))</f>
        <v/>
      </c>
    </row>
    <row r="1027" spans="1:17" x14ac:dyDescent="0.2">
      <c r="A1027" t="str">
        <f>IF(Sync!$T1023="","",Sync!$T1023)</f>
        <v/>
      </c>
      <c r="B1027" t="str">
        <f t="shared" si="90"/>
        <v/>
      </c>
      <c r="C1027" t="str">
        <f t="shared" si="91"/>
        <v/>
      </c>
      <c r="D1027" t="str">
        <f t="shared" si="92"/>
        <v/>
      </c>
      <c r="E1027" t="str">
        <f t="shared" si="93"/>
        <v/>
      </c>
      <c r="F1027" t="str">
        <f t="shared" si="94"/>
        <v/>
      </c>
      <c r="G1027" t="str">
        <f>IF(OR($E1027="",$E1027="نامعتبر",Sync!$X1023=""),"",IF(AND(LEFT(UPPER(TRIM(Sync!$X1023)),2)="SL",IFERROR(VLOOKUP(Sync!$W1023,OpTbl,3,0),"")="فروش"),UPPER(TRIM(Sync!$X1023)),""))</f>
        <v/>
      </c>
      <c r="H1027" t="str">
        <f>IF($G1027="","",IF(Sync!$W1023="","",Sync!$W1023))</f>
        <v/>
      </c>
      <c r="I1027" t="str">
        <f>IF(OR($G1027="",Sync!$Y1023=""),"",Sync!$Y1023)</f>
        <v/>
      </c>
      <c r="J1027" t="str">
        <f>IF(OR($G1027="",Sync!$Z1023=""),"",Sync!$Z1023)</f>
        <v/>
      </c>
      <c r="K1027">
        <f>IF($G1027="",0,IF(Sync!$AA1023="",0,Sync!$AA1023))</f>
        <v>0</v>
      </c>
      <c r="L1027">
        <f>IF($G1027="",0,IF(Sync!$AB1023="",0,Sync!$AB1023))</f>
        <v>0</v>
      </c>
      <c r="M1027" t="str">
        <f t="shared" si="95"/>
        <v/>
      </c>
      <c r="N1027">
        <f>IF($G1027="",0,IF($H1027="مرجوعی فروش",-1,1)*IF(Sync!$AC1023="",0,Sync!$AC1023))</f>
        <v>0</v>
      </c>
      <c r="O1027" t="str">
        <f>IF(OR($G1027="",Sync!$V1023=""),"",Sync!$V1023)</f>
        <v/>
      </c>
      <c r="P1027" t="str">
        <f>IF(OR($G1027="",Sync!$AD1023=""),"",Sync!$AD1023)</f>
        <v/>
      </c>
      <c r="Q1027" t="str">
        <f>IF($G1027="","",IF(Sync!$U1023="","0000",IF(AND(ISNUMBER(Sync!$U1023),Sync!$U1023&gt;=0,Sync!$U1023&lt;1),RIGHT("00"&amp;HOUR(Sync!$U1023),2)&amp;RIGHT("00"&amp;MINUTE(Sync!$U1023),2),IFERROR(RIGHT("00"&amp;VALUE(LEFT(Sync!$U1023,FIND(":",Sync!$U1023)-1)),2)&amp;RIGHT("00"&amp;VALUE(MID(Sync!$U1023,FIND(":",Sync!$U1023)+1,2)),2),"0000"))))</f>
        <v/>
      </c>
    </row>
    <row r="1028" spans="1:17" x14ac:dyDescent="0.2">
      <c r="A1028" t="str">
        <f>IF(Sync!$T1024="","",Sync!$T1024)</f>
        <v/>
      </c>
      <c r="B1028" t="str">
        <f t="shared" si="90"/>
        <v/>
      </c>
      <c r="C1028" t="str">
        <f t="shared" si="91"/>
        <v/>
      </c>
      <c r="D1028" t="str">
        <f t="shared" si="92"/>
        <v/>
      </c>
      <c r="E1028" t="str">
        <f t="shared" si="93"/>
        <v/>
      </c>
      <c r="F1028" t="str">
        <f t="shared" si="94"/>
        <v/>
      </c>
      <c r="G1028" t="str">
        <f>IF(OR($E1028="",$E1028="نامعتبر",Sync!$X1024=""),"",IF(AND(LEFT(UPPER(TRIM(Sync!$X1024)),2)="SL",IFERROR(VLOOKUP(Sync!$W1024,OpTbl,3,0),"")="فروش"),UPPER(TRIM(Sync!$X1024)),""))</f>
        <v/>
      </c>
      <c r="H1028" t="str">
        <f>IF($G1028="","",IF(Sync!$W1024="","",Sync!$W1024))</f>
        <v/>
      </c>
      <c r="I1028" t="str">
        <f>IF(OR($G1028="",Sync!$Y1024=""),"",Sync!$Y1024)</f>
        <v/>
      </c>
      <c r="J1028" t="str">
        <f>IF(OR($G1028="",Sync!$Z1024=""),"",Sync!$Z1024)</f>
        <v/>
      </c>
      <c r="K1028">
        <f>IF($G1028="",0,IF(Sync!$AA1024="",0,Sync!$AA1024))</f>
        <v>0</v>
      </c>
      <c r="L1028">
        <f>IF($G1028="",0,IF(Sync!$AB1024="",0,Sync!$AB1024))</f>
        <v>0</v>
      </c>
      <c r="M1028" t="str">
        <f t="shared" si="95"/>
        <v/>
      </c>
      <c r="N1028">
        <f>IF($G1028="",0,IF($H1028="مرجوعی فروش",-1,1)*IF(Sync!$AC1024="",0,Sync!$AC1024))</f>
        <v>0</v>
      </c>
      <c r="O1028" t="str">
        <f>IF(OR($G1028="",Sync!$V1024=""),"",Sync!$V1024)</f>
        <v/>
      </c>
      <c r="P1028" t="str">
        <f>IF(OR($G1028="",Sync!$AD1024=""),"",Sync!$AD1024)</f>
        <v/>
      </c>
      <c r="Q1028" t="str">
        <f>IF($G1028="","",IF(Sync!$U1024="","0000",IF(AND(ISNUMBER(Sync!$U1024),Sync!$U1024&gt;=0,Sync!$U1024&lt;1),RIGHT("00"&amp;HOUR(Sync!$U1024),2)&amp;RIGHT("00"&amp;MINUTE(Sync!$U1024),2),IFERROR(RIGHT("00"&amp;VALUE(LEFT(Sync!$U1024,FIND(":",Sync!$U1024)-1)),2)&amp;RIGHT("00"&amp;VALUE(MID(Sync!$U1024,FIND(":",Sync!$U1024)+1,2)),2),"0000"))))</f>
        <v/>
      </c>
    </row>
    <row r="1029" spans="1:17" x14ac:dyDescent="0.2">
      <c r="A1029" t="str">
        <f>IF(Sync!$T1025="","",Sync!$T1025)</f>
        <v/>
      </c>
      <c r="B1029" t="str">
        <f t="shared" si="90"/>
        <v/>
      </c>
      <c r="C1029" t="str">
        <f t="shared" si="91"/>
        <v/>
      </c>
      <c r="D1029" t="str">
        <f t="shared" si="92"/>
        <v/>
      </c>
      <c r="E1029" t="str">
        <f t="shared" si="93"/>
        <v/>
      </c>
      <c r="F1029" t="str">
        <f t="shared" si="94"/>
        <v/>
      </c>
      <c r="G1029" t="str">
        <f>IF(OR($E1029="",$E1029="نامعتبر",Sync!$X1025=""),"",IF(AND(LEFT(UPPER(TRIM(Sync!$X1025)),2)="SL",IFERROR(VLOOKUP(Sync!$W1025,OpTbl,3,0),"")="فروش"),UPPER(TRIM(Sync!$X1025)),""))</f>
        <v/>
      </c>
      <c r="H1029" t="str">
        <f>IF($G1029="","",IF(Sync!$W1025="","",Sync!$W1025))</f>
        <v/>
      </c>
      <c r="I1029" t="str">
        <f>IF(OR($G1029="",Sync!$Y1025=""),"",Sync!$Y1025)</f>
        <v/>
      </c>
      <c r="J1029" t="str">
        <f>IF(OR($G1029="",Sync!$Z1025=""),"",Sync!$Z1025)</f>
        <v/>
      </c>
      <c r="K1029">
        <f>IF($G1029="",0,IF(Sync!$AA1025="",0,Sync!$AA1025))</f>
        <v>0</v>
      </c>
      <c r="L1029">
        <f>IF($G1029="",0,IF(Sync!$AB1025="",0,Sync!$AB1025))</f>
        <v>0</v>
      </c>
      <c r="M1029" t="str">
        <f t="shared" si="95"/>
        <v/>
      </c>
      <c r="N1029">
        <f>IF($G1029="",0,IF($H1029="مرجوعی فروش",-1,1)*IF(Sync!$AC1025="",0,Sync!$AC1025))</f>
        <v>0</v>
      </c>
      <c r="O1029" t="str">
        <f>IF(OR($G1029="",Sync!$V1025=""),"",Sync!$V1025)</f>
        <v/>
      </c>
      <c r="P1029" t="str">
        <f>IF(OR($G1029="",Sync!$AD1025=""),"",Sync!$AD1025)</f>
        <v/>
      </c>
      <c r="Q1029" t="str">
        <f>IF($G1029="","",IF(Sync!$U1025="","0000",IF(AND(ISNUMBER(Sync!$U1025),Sync!$U1025&gt;=0,Sync!$U1025&lt;1),RIGHT("00"&amp;HOUR(Sync!$U1025),2)&amp;RIGHT("00"&amp;MINUTE(Sync!$U1025),2),IFERROR(RIGHT("00"&amp;VALUE(LEFT(Sync!$U1025,FIND(":",Sync!$U1025)-1)),2)&amp;RIGHT("00"&amp;VALUE(MID(Sync!$U1025,FIND(":",Sync!$U1025)+1,2)),2),"0000"))))</f>
        <v/>
      </c>
    </row>
    <row r="1030" spans="1:17" x14ac:dyDescent="0.2">
      <c r="A1030" t="str">
        <f>IF(Sync!$T1026="","",Sync!$T1026)</f>
        <v/>
      </c>
      <c r="B1030" t="str">
        <f t="shared" si="90"/>
        <v/>
      </c>
      <c r="C1030" t="str">
        <f t="shared" si="91"/>
        <v/>
      </c>
      <c r="D1030" t="str">
        <f t="shared" si="92"/>
        <v/>
      </c>
      <c r="E1030" t="str">
        <f t="shared" si="93"/>
        <v/>
      </c>
      <c r="F1030" t="str">
        <f t="shared" si="94"/>
        <v/>
      </c>
      <c r="G1030" t="str">
        <f>IF(OR($E1030="",$E1030="نامعتبر",Sync!$X1026=""),"",IF(AND(LEFT(UPPER(TRIM(Sync!$X1026)),2)="SL",IFERROR(VLOOKUP(Sync!$W1026,OpTbl,3,0),"")="فروش"),UPPER(TRIM(Sync!$X1026)),""))</f>
        <v/>
      </c>
      <c r="H1030" t="str">
        <f>IF($G1030="","",IF(Sync!$W1026="","",Sync!$W1026))</f>
        <v/>
      </c>
      <c r="I1030" t="str">
        <f>IF(OR($G1030="",Sync!$Y1026=""),"",Sync!$Y1026)</f>
        <v/>
      </c>
      <c r="J1030" t="str">
        <f>IF(OR($G1030="",Sync!$Z1026=""),"",Sync!$Z1026)</f>
        <v/>
      </c>
      <c r="K1030">
        <f>IF($G1030="",0,IF(Sync!$AA1026="",0,Sync!$AA1026))</f>
        <v>0</v>
      </c>
      <c r="L1030">
        <f>IF($G1030="",0,IF(Sync!$AB1026="",0,Sync!$AB1026))</f>
        <v>0</v>
      </c>
      <c r="M1030" t="str">
        <f t="shared" si="95"/>
        <v/>
      </c>
      <c r="N1030">
        <f>IF($G1030="",0,IF($H1030="مرجوعی فروش",-1,1)*IF(Sync!$AC1026="",0,Sync!$AC1026))</f>
        <v>0</v>
      </c>
      <c r="O1030" t="str">
        <f>IF(OR($G1030="",Sync!$V1026=""),"",Sync!$V1026)</f>
        <v/>
      </c>
      <c r="P1030" t="str">
        <f>IF(OR($G1030="",Sync!$AD1026=""),"",Sync!$AD1026)</f>
        <v/>
      </c>
      <c r="Q1030" t="str">
        <f>IF($G1030="","",IF(Sync!$U1026="","0000",IF(AND(ISNUMBER(Sync!$U1026),Sync!$U1026&gt;=0,Sync!$U1026&lt;1),RIGHT("00"&amp;HOUR(Sync!$U1026),2)&amp;RIGHT("00"&amp;MINUTE(Sync!$U1026),2),IFERROR(RIGHT("00"&amp;VALUE(LEFT(Sync!$U1026,FIND(":",Sync!$U1026)-1)),2)&amp;RIGHT("00"&amp;VALUE(MID(Sync!$U1026,FIND(":",Sync!$U1026)+1,2)),2),"0000"))))</f>
        <v/>
      </c>
    </row>
    <row r="1031" spans="1:17" x14ac:dyDescent="0.2">
      <c r="A1031" t="str">
        <f>IF(Sync!$T1027="","",Sync!$T1027)</f>
        <v/>
      </c>
      <c r="B1031" t="str">
        <f t="shared" si="90"/>
        <v/>
      </c>
      <c r="C1031" t="str">
        <f t="shared" si="91"/>
        <v/>
      </c>
      <c r="D1031" t="str">
        <f t="shared" si="92"/>
        <v/>
      </c>
      <c r="E1031" t="str">
        <f t="shared" si="93"/>
        <v/>
      </c>
      <c r="F1031" t="str">
        <f t="shared" si="94"/>
        <v/>
      </c>
      <c r="G1031" t="str">
        <f>IF(OR($E1031="",$E1031="نامعتبر",Sync!$X1027=""),"",IF(AND(LEFT(UPPER(TRIM(Sync!$X1027)),2)="SL",IFERROR(VLOOKUP(Sync!$W1027,OpTbl,3,0),"")="فروش"),UPPER(TRIM(Sync!$X1027)),""))</f>
        <v/>
      </c>
      <c r="H1031" t="str">
        <f>IF($G1031="","",IF(Sync!$W1027="","",Sync!$W1027))</f>
        <v/>
      </c>
      <c r="I1031" t="str">
        <f>IF(OR($G1031="",Sync!$Y1027=""),"",Sync!$Y1027)</f>
        <v/>
      </c>
      <c r="J1031" t="str">
        <f>IF(OR($G1031="",Sync!$Z1027=""),"",Sync!$Z1027)</f>
        <v/>
      </c>
      <c r="K1031">
        <f>IF($G1031="",0,IF(Sync!$AA1027="",0,Sync!$AA1027))</f>
        <v>0</v>
      </c>
      <c r="L1031">
        <f>IF($G1031="",0,IF(Sync!$AB1027="",0,Sync!$AB1027))</f>
        <v>0</v>
      </c>
      <c r="M1031" t="str">
        <f t="shared" si="95"/>
        <v/>
      </c>
      <c r="N1031">
        <f>IF($G1031="",0,IF($H1031="مرجوعی فروش",-1,1)*IF(Sync!$AC1027="",0,Sync!$AC1027))</f>
        <v>0</v>
      </c>
      <c r="O1031" t="str">
        <f>IF(OR($G1031="",Sync!$V1027=""),"",Sync!$V1027)</f>
        <v/>
      </c>
      <c r="P1031" t="str">
        <f>IF(OR($G1031="",Sync!$AD1027=""),"",Sync!$AD1027)</f>
        <v/>
      </c>
      <c r="Q1031" t="str">
        <f>IF($G1031="","",IF(Sync!$U1027="","0000",IF(AND(ISNUMBER(Sync!$U1027),Sync!$U1027&gt;=0,Sync!$U1027&lt;1),RIGHT("00"&amp;HOUR(Sync!$U1027),2)&amp;RIGHT("00"&amp;MINUTE(Sync!$U1027),2),IFERROR(RIGHT("00"&amp;VALUE(LEFT(Sync!$U1027,FIND(":",Sync!$U1027)-1)),2)&amp;RIGHT("00"&amp;VALUE(MID(Sync!$U1027,FIND(":",Sync!$U1027)+1,2)),2),"0000"))))</f>
        <v/>
      </c>
    </row>
    <row r="1032" spans="1:17" x14ac:dyDescent="0.2">
      <c r="A1032" t="str">
        <f>IF(Sync!$T1028="","",Sync!$T1028)</f>
        <v/>
      </c>
      <c r="B1032" t="str">
        <f t="shared" si="90"/>
        <v/>
      </c>
      <c r="C1032" t="str">
        <f t="shared" si="91"/>
        <v/>
      </c>
      <c r="D1032" t="str">
        <f t="shared" si="92"/>
        <v/>
      </c>
      <c r="E1032" t="str">
        <f t="shared" si="93"/>
        <v/>
      </c>
      <c r="F1032" t="str">
        <f t="shared" si="94"/>
        <v/>
      </c>
      <c r="G1032" t="str">
        <f>IF(OR($E1032="",$E1032="نامعتبر",Sync!$X1028=""),"",IF(AND(LEFT(UPPER(TRIM(Sync!$X1028)),2)="SL",IFERROR(VLOOKUP(Sync!$W1028,OpTbl,3,0),"")="فروش"),UPPER(TRIM(Sync!$X1028)),""))</f>
        <v/>
      </c>
      <c r="H1032" t="str">
        <f>IF($G1032="","",IF(Sync!$W1028="","",Sync!$W1028))</f>
        <v/>
      </c>
      <c r="I1032" t="str">
        <f>IF(OR($G1032="",Sync!$Y1028=""),"",Sync!$Y1028)</f>
        <v/>
      </c>
      <c r="J1032" t="str">
        <f>IF(OR($G1032="",Sync!$Z1028=""),"",Sync!$Z1028)</f>
        <v/>
      </c>
      <c r="K1032">
        <f>IF($G1032="",0,IF(Sync!$AA1028="",0,Sync!$AA1028))</f>
        <v>0</v>
      </c>
      <c r="L1032">
        <f>IF($G1032="",0,IF(Sync!$AB1028="",0,Sync!$AB1028))</f>
        <v>0</v>
      </c>
      <c r="M1032" t="str">
        <f t="shared" si="95"/>
        <v/>
      </c>
      <c r="N1032">
        <f>IF($G1032="",0,IF($H1032="مرجوعی فروش",-1,1)*IF(Sync!$AC1028="",0,Sync!$AC1028))</f>
        <v>0</v>
      </c>
      <c r="O1032" t="str">
        <f>IF(OR($G1032="",Sync!$V1028=""),"",Sync!$V1028)</f>
        <v/>
      </c>
      <c r="P1032" t="str">
        <f>IF(OR($G1032="",Sync!$AD1028=""),"",Sync!$AD1028)</f>
        <v/>
      </c>
      <c r="Q1032" t="str">
        <f>IF($G1032="","",IF(Sync!$U1028="","0000",IF(AND(ISNUMBER(Sync!$U1028),Sync!$U1028&gt;=0,Sync!$U1028&lt;1),RIGHT("00"&amp;HOUR(Sync!$U1028),2)&amp;RIGHT("00"&amp;MINUTE(Sync!$U1028),2),IFERROR(RIGHT("00"&amp;VALUE(LEFT(Sync!$U1028,FIND(":",Sync!$U1028)-1)),2)&amp;RIGHT("00"&amp;VALUE(MID(Sync!$U1028,FIND(":",Sync!$U1028)+1,2)),2),"0000"))))</f>
        <v/>
      </c>
    </row>
    <row r="1033" spans="1:17" x14ac:dyDescent="0.2">
      <c r="A1033" t="str">
        <f>IF(Sync!$T1029="","",Sync!$T1029)</f>
        <v/>
      </c>
      <c r="B1033" t="str">
        <f t="shared" si="90"/>
        <v/>
      </c>
      <c r="C1033" t="str">
        <f t="shared" si="91"/>
        <v/>
      </c>
      <c r="D1033" t="str">
        <f t="shared" si="92"/>
        <v/>
      </c>
      <c r="E1033" t="str">
        <f t="shared" si="93"/>
        <v/>
      </c>
      <c r="F1033" t="str">
        <f t="shared" si="94"/>
        <v/>
      </c>
      <c r="G1033" t="str">
        <f>IF(OR($E1033="",$E1033="نامعتبر",Sync!$X1029=""),"",IF(AND(LEFT(UPPER(TRIM(Sync!$X1029)),2)="SL",IFERROR(VLOOKUP(Sync!$W1029,OpTbl,3,0),"")="فروش"),UPPER(TRIM(Sync!$X1029)),""))</f>
        <v/>
      </c>
      <c r="H1033" t="str">
        <f>IF($G1033="","",IF(Sync!$W1029="","",Sync!$W1029))</f>
        <v/>
      </c>
      <c r="I1033" t="str">
        <f>IF(OR($G1033="",Sync!$Y1029=""),"",Sync!$Y1029)</f>
        <v/>
      </c>
      <c r="J1033" t="str">
        <f>IF(OR($G1033="",Sync!$Z1029=""),"",Sync!$Z1029)</f>
        <v/>
      </c>
      <c r="K1033">
        <f>IF($G1033="",0,IF(Sync!$AA1029="",0,Sync!$AA1029))</f>
        <v>0</v>
      </c>
      <c r="L1033">
        <f>IF($G1033="",0,IF(Sync!$AB1029="",0,Sync!$AB1029))</f>
        <v>0</v>
      </c>
      <c r="M1033" t="str">
        <f t="shared" si="95"/>
        <v/>
      </c>
      <c r="N1033">
        <f>IF($G1033="",0,IF($H1033="مرجوعی فروش",-1,1)*IF(Sync!$AC1029="",0,Sync!$AC1029))</f>
        <v>0</v>
      </c>
      <c r="O1033" t="str">
        <f>IF(OR($G1033="",Sync!$V1029=""),"",Sync!$V1029)</f>
        <v/>
      </c>
      <c r="P1033" t="str">
        <f>IF(OR($G1033="",Sync!$AD1029=""),"",Sync!$AD1029)</f>
        <v/>
      </c>
      <c r="Q1033" t="str">
        <f>IF($G1033="","",IF(Sync!$U1029="","0000",IF(AND(ISNUMBER(Sync!$U1029),Sync!$U1029&gt;=0,Sync!$U1029&lt;1),RIGHT("00"&amp;HOUR(Sync!$U1029),2)&amp;RIGHT("00"&amp;MINUTE(Sync!$U1029),2),IFERROR(RIGHT("00"&amp;VALUE(LEFT(Sync!$U1029,FIND(":",Sync!$U1029)-1)),2)&amp;RIGHT("00"&amp;VALUE(MID(Sync!$U1029,FIND(":",Sync!$U1029)+1,2)),2),"0000"))))</f>
        <v/>
      </c>
    </row>
    <row r="1034" spans="1:17" x14ac:dyDescent="0.2">
      <c r="A1034" t="str">
        <f>IF(Sync!$T1030="","",Sync!$T1030)</f>
        <v/>
      </c>
      <c r="B1034" t="str">
        <f t="shared" ref="B1034:B1097" si="96">IF($A1034="","",IF(ISNUMBER($A1034),IF(AND($A1034&gt;=10000101,$A1034&lt;=99991231),INT($A1034/10000),""),IFERROR(VALUE(TRIM(LEFT($A1034,FIND("/",$A1034)-1))),"")))</f>
        <v/>
      </c>
      <c r="C1034" t="str">
        <f t="shared" ref="C1034:C1097" si="97">IF(OR($A1034="",$B1034=""),"",IF(ISNUMBER($A1034),INT(MOD($A1034,10000)/100),IFERROR(VALUE(TRIM(LEFT(MID($A1034,FIND("/",$A1034)+1,20),FIND("/",MID($A1034,FIND("/",$A1034)+1,20))-1))),"")))</f>
        <v/>
      </c>
      <c r="D1034" t="str">
        <f t="shared" ref="D1034:D1097" si="98">IF(OR($A1034="",$B1034=""),"",IF(ISNUMBER($A1034),MOD($A1034,100),IFERROR(VALUE(TRIM(MID(MID($A1034,FIND("/",$A1034)+1,20),FIND("/",MID($A1034,FIND("/",$A1034)+1,20))+1,20))),"")))</f>
        <v/>
      </c>
      <c r="E1034" t="str">
        <f t="shared" ref="E1034:E1097" si="99">IF($A1034="","",IF(OR($B1034="",$C1034="",$D1034="",$B1034&lt;1300,$B1034&gt;1500,$C1034&lt;1,$C1034&gt;12,$D1034&lt;1,$D1034&gt;31),"نامعتبر",RIGHT("0000"&amp;$B1034,4)&amp;"/"&amp;RIGHT("00"&amp;$C1034,2)&amp;"/"&amp;RIGHT("00"&amp;$D1034,2)))</f>
        <v/>
      </c>
      <c r="F1034" t="str">
        <f t="shared" ref="F1034:F1097" si="100">IF(OR($E1034="",$E1034="نامعتبر"),"",LEFT($E1034,4)&amp;"/"&amp;MID($E1034,6,2))</f>
        <v/>
      </c>
      <c r="G1034" t="str">
        <f>IF(OR($E1034="",$E1034="نامعتبر",Sync!$X1030=""),"",IF(AND(LEFT(UPPER(TRIM(Sync!$X1030)),2)="SL",IFERROR(VLOOKUP(Sync!$W1030,OpTbl,3,0),"")="فروش"),UPPER(TRIM(Sync!$X1030)),""))</f>
        <v/>
      </c>
      <c r="H1034" t="str">
        <f>IF($G1034="","",IF(Sync!$W1030="","",Sync!$W1030))</f>
        <v/>
      </c>
      <c r="I1034" t="str">
        <f>IF(OR($G1034="",Sync!$Y1030=""),"",Sync!$Y1030)</f>
        <v/>
      </c>
      <c r="J1034" t="str">
        <f>IF(OR($G1034="",Sync!$Z1030=""),"",Sync!$Z1030)</f>
        <v/>
      </c>
      <c r="K1034">
        <f>IF($G1034="",0,IF(Sync!$AA1030="",0,Sync!$AA1030))</f>
        <v>0</v>
      </c>
      <c r="L1034">
        <f>IF($G1034="",0,IF(Sync!$AB1030="",0,Sync!$AB1030))</f>
        <v>0</v>
      </c>
      <c r="M1034" t="str">
        <f t="shared" ref="M1034:M1097" si="101">IF($G1034="","",IF($H1034="مرجوعی فروش",-1,1)*($K1034-$L1034*IFERROR(VLOOKUP("P01",ParamTbl,3,0),1.5)))</f>
        <v/>
      </c>
      <c r="N1034">
        <f>IF($G1034="",0,IF($H1034="مرجوعی فروش",-1,1)*IF(Sync!$AC1030="",0,Sync!$AC1030))</f>
        <v>0</v>
      </c>
      <c r="O1034" t="str">
        <f>IF(OR($G1034="",Sync!$V1030=""),"",Sync!$V1030)</f>
        <v/>
      </c>
      <c r="P1034" t="str">
        <f>IF(OR($G1034="",Sync!$AD1030=""),"",Sync!$AD1030)</f>
        <v/>
      </c>
      <c r="Q1034" t="str">
        <f>IF($G1034="","",IF(Sync!$U1030="","0000",IF(AND(ISNUMBER(Sync!$U1030),Sync!$U1030&gt;=0,Sync!$U1030&lt;1),RIGHT("00"&amp;HOUR(Sync!$U1030),2)&amp;RIGHT("00"&amp;MINUTE(Sync!$U1030),2),IFERROR(RIGHT("00"&amp;VALUE(LEFT(Sync!$U1030,FIND(":",Sync!$U1030)-1)),2)&amp;RIGHT("00"&amp;VALUE(MID(Sync!$U1030,FIND(":",Sync!$U1030)+1,2)),2),"0000"))))</f>
        <v/>
      </c>
    </row>
    <row r="1035" spans="1:17" x14ac:dyDescent="0.2">
      <c r="A1035" t="str">
        <f>IF(Sync!$T1031="","",Sync!$T1031)</f>
        <v/>
      </c>
      <c r="B1035" t="str">
        <f t="shared" si="96"/>
        <v/>
      </c>
      <c r="C1035" t="str">
        <f t="shared" si="97"/>
        <v/>
      </c>
      <c r="D1035" t="str">
        <f t="shared" si="98"/>
        <v/>
      </c>
      <c r="E1035" t="str">
        <f t="shared" si="99"/>
        <v/>
      </c>
      <c r="F1035" t="str">
        <f t="shared" si="100"/>
        <v/>
      </c>
      <c r="G1035" t="str">
        <f>IF(OR($E1035="",$E1035="نامعتبر",Sync!$X1031=""),"",IF(AND(LEFT(UPPER(TRIM(Sync!$X1031)),2)="SL",IFERROR(VLOOKUP(Sync!$W1031,OpTbl,3,0),"")="فروش"),UPPER(TRIM(Sync!$X1031)),""))</f>
        <v/>
      </c>
      <c r="H1035" t="str">
        <f>IF($G1035="","",IF(Sync!$W1031="","",Sync!$W1031))</f>
        <v/>
      </c>
      <c r="I1035" t="str">
        <f>IF(OR($G1035="",Sync!$Y1031=""),"",Sync!$Y1031)</f>
        <v/>
      </c>
      <c r="J1035" t="str">
        <f>IF(OR($G1035="",Sync!$Z1031=""),"",Sync!$Z1031)</f>
        <v/>
      </c>
      <c r="K1035">
        <f>IF($G1035="",0,IF(Sync!$AA1031="",0,Sync!$AA1031))</f>
        <v>0</v>
      </c>
      <c r="L1035">
        <f>IF($G1035="",0,IF(Sync!$AB1031="",0,Sync!$AB1031))</f>
        <v>0</v>
      </c>
      <c r="M1035" t="str">
        <f t="shared" si="101"/>
        <v/>
      </c>
      <c r="N1035">
        <f>IF($G1035="",0,IF($H1035="مرجوعی فروش",-1,1)*IF(Sync!$AC1031="",0,Sync!$AC1031))</f>
        <v>0</v>
      </c>
      <c r="O1035" t="str">
        <f>IF(OR($G1035="",Sync!$V1031=""),"",Sync!$V1031)</f>
        <v/>
      </c>
      <c r="P1035" t="str">
        <f>IF(OR($G1035="",Sync!$AD1031=""),"",Sync!$AD1031)</f>
        <v/>
      </c>
      <c r="Q1035" t="str">
        <f>IF($G1035="","",IF(Sync!$U1031="","0000",IF(AND(ISNUMBER(Sync!$U1031),Sync!$U1031&gt;=0,Sync!$U1031&lt;1),RIGHT("00"&amp;HOUR(Sync!$U1031),2)&amp;RIGHT("00"&amp;MINUTE(Sync!$U1031),2),IFERROR(RIGHT("00"&amp;VALUE(LEFT(Sync!$U1031,FIND(":",Sync!$U1031)-1)),2)&amp;RIGHT("00"&amp;VALUE(MID(Sync!$U1031,FIND(":",Sync!$U1031)+1,2)),2),"0000"))))</f>
        <v/>
      </c>
    </row>
    <row r="1036" spans="1:17" x14ac:dyDescent="0.2">
      <c r="A1036" t="str">
        <f>IF(Sync!$T1032="","",Sync!$T1032)</f>
        <v/>
      </c>
      <c r="B1036" t="str">
        <f t="shared" si="96"/>
        <v/>
      </c>
      <c r="C1036" t="str">
        <f t="shared" si="97"/>
        <v/>
      </c>
      <c r="D1036" t="str">
        <f t="shared" si="98"/>
        <v/>
      </c>
      <c r="E1036" t="str">
        <f t="shared" si="99"/>
        <v/>
      </c>
      <c r="F1036" t="str">
        <f t="shared" si="100"/>
        <v/>
      </c>
      <c r="G1036" t="str">
        <f>IF(OR($E1036="",$E1036="نامعتبر",Sync!$X1032=""),"",IF(AND(LEFT(UPPER(TRIM(Sync!$X1032)),2)="SL",IFERROR(VLOOKUP(Sync!$W1032,OpTbl,3,0),"")="فروش"),UPPER(TRIM(Sync!$X1032)),""))</f>
        <v/>
      </c>
      <c r="H1036" t="str">
        <f>IF($G1036="","",IF(Sync!$W1032="","",Sync!$W1032))</f>
        <v/>
      </c>
      <c r="I1036" t="str">
        <f>IF(OR($G1036="",Sync!$Y1032=""),"",Sync!$Y1032)</f>
        <v/>
      </c>
      <c r="J1036" t="str">
        <f>IF(OR($G1036="",Sync!$Z1032=""),"",Sync!$Z1032)</f>
        <v/>
      </c>
      <c r="K1036">
        <f>IF($G1036="",0,IF(Sync!$AA1032="",0,Sync!$AA1032))</f>
        <v>0</v>
      </c>
      <c r="L1036">
        <f>IF($G1036="",0,IF(Sync!$AB1032="",0,Sync!$AB1032))</f>
        <v>0</v>
      </c>
      <c r="M1036" t="str">
        <f t="shared" si="101"/>
        <v/>
      </c>
      <c r="N1036">
        <f>IF($G1036="",0,IF($H1036="مرجوعی فروش",-1,1)*IF(Sync!$AC1032="",0,Sync!$AC1032))</f>
        <v>0</v>
      </c>
      <c r="O1036" t="str">
        <f>IF(OR($G1036="",Sync!$V1032=""),"",Sync!$V1032)</f>
        <v/>
      </c>
      <c r="P1036" t="str">
        <f>IF(OR($G1036="",Sync!$AD1032=""),"",Sync!$AD1032)</f>
        <v/>
      </c>
      <c r="Q1036" t="str">
        <f>IF($G1036="","",IF(Sync!$U1032="","0000",IF(AND(ISNUMBER(Sync!$U1032),Sync!$U1032&gt;=0,Sync!$U1032&lt;1),RIGHT("00"&amp;HOUR(Sync!$U1032),2)&amp;RIGHT("00"&amp;MINUTE(Sync!$U1032),2),IFERROR(RIGHT("00"&amp;VALUE(LEFT(Sync!$U1032,FIND(":",Sync!$U1032)-1)),2)&amp;RIGHT("00"&amp;VALUE(MID(Sync!$U1032,FIND(":",Sync!$U1032)+1,2)),2),"0000"))))</f>
        <v/>
      </c>
    </row>
    <row r="1037" spans="1:17" x14ac:dyDescent="0.2">
      <c r="A1037" t="str">
        <f>IF(Sync!$T1033="","",Sync!$T1033)</f>
        <v/>
      </c>
      <c r="B1037" t="str">
        <f t="shared" si="96"/>
        <v/>
      </c>
      <c r="C1037" t="str">
        <f t="shared" si="97"/>
        <v/>
      </c>
      <c r="D1037" t="str">
        <f t="shared" si="98"/>
        <v/>
      </c>
      <c r="E1037" t="str">
        <f t="shared" si="99"/>
        <v/>
      </c>
      <c r="F1037" t="str">
        <f t="shared" si="100"/>
        <v/>
      </c>
      <c r="G1037" t="str">
        <f>IF(OR($E1037="",$E1037="نامعتبر",Sync!$X1033=""),"",IF(AND(LEFT(UPPER(TRIM(Sync!$X1033)),2)="SL",IFERROR(VLOOKUP(Sync!$W1033,OpTbl,3,0),"")="فروش"),UPPER(TRIM(Sync!$X1033)),""))</f>
        <v/>
      </c>
      <c r="H1037" t="str">
        <f>IF($G1037="","",IF(Sync!$W1033="","",Sync!$W1033))</f>
        <v/>
      </c>
      <c r="I1037" t="str">
        <f>IF(OR($G1037="",Sync!$Y1033=""),"",Sync!$Y1033)</f>
        <v/>
      </c>
      <c r="J1037" t="str">
        <f>IF(OR($G1037="",Sync!$Z1033=""),"",Sync!$Z1033)</f>
        <v/>
      </c>
      <c r="K1037">
        <f>IF($G1037="",0,IF(Sync!$AA1033="",0,Sync!$AA1033))</f>
        <v>0</v>
      </c>
      <c r="L1037">
        <f>IF($G1037="",0,IF(Sync!$AB1033="",0,Sync!$AB1033))</f>
        <v>0</v>
      </c>
      <c r="M1037" t="str">
        <f t="shared" si="101"/>
        <v/>
      </c>
      <c r="N1037">
        <f>IF($G1037="",0,IF($H1037="مرجوعی فروش",-1,1)*IF(Sync!$AC1033="",0,Sync!$AC1033))</f>
        <v>0</v>
      </c>
      <c r="O1037" t="str">
        <f>IF(OR($G1037="",Sync!$V1033=""),"",Sync!$V1033)</f>
        <v/>
      </c>
      <c r="P1037" t="str">
        <f>IF(OR($G1037="",Sync!$AD1033=""),"",Sync!$AD1033)</f>
        <v/>
      </c>
      <c r="Q1037" t="str">
        <f>IF($G1037="","",IF(Sync!$U1033="","0000",IF(AND(ISNUMBER(Sync!$U1033),Sync!$U1033&gt;=0,Sync!$U1033&lt;1),RIGHT("00"&amp;HOUR(Sync!$U1033),2)&amp;RIGHT("00"&amp;MINUTE(Sync!$U1033),2),IFERROR(RIGHT("00"&amp;VALUE(LEFT(Sync!$U1033,FIND(":",Sync!$U1033)-1)),2)&amp;RIGHT("00"&amp;VALUE(MID(Sync!$U1033,FIND(":",Sync!$U1033)+1,2)),2),"0000"))))</f>
        <v/>
      </c>
    </row>
    <row r="1038" spans="1:17" x14ac:dyDescent="0.2">
      <c r="A1038" t="str">
        <f>IF(Sync!$T1034="","",Sync!$T1034)</f>
        <v/>
      </c>
      <c r="B1038" t="str">
        <f t="shared" si="96"/>
        <v/>
      </c>
      <c r="C1038" t="str">
        <f t="shared" si="97"/>
        <v/>
      </c>
      <c r="D1038" t="str">
        <f t="shared" si="98"/>
        <v/>
      </c>
      <c r="E1038" t="str">
        <f t="shared" si="99"/>
        <v/>
      </c>
      <c r="F1038" t="str">
        <f t="shared" si="100"/>
        <v/>
      </c>
      <c r="G1038" t="str">
        <f>IF(OR($E1038="",$E1038="نامعتبر",Sync!$X1034=""),"",IF(AND(LEFT(UPPER(TRIM(Sync!$X1034)),2)="SL",IFERROR(VLOOKUP(Sync!$W1034,OpTbl,3,0),"")="فروش"),UPPER(TRIM(Sync!$X1034)),""))</f>
        <v/>
      </c>
      <c r="H1038" t="str">
        <f>IF($G1038="","",IF(Sync!$W1034="","",Sync!$W1034))</f>
        <v/>
      </c>
      <c r="I1038" t="str">
        <f>IF(OR($G1038="",Sync!$Y1034=""),"",Sync!$Y1034)</f>
        <v/>
      </c>
      <c r="J1038" t="str">
        <f>IF(OR($G1038="",Sync!$Z1034=""),"",Sync!$Z1034)</f>
        <v/>
      </c>
      <c r="K1038">
        <f>IF($G1038="",0,IF(Sync!$AA1034="",0,Sync!$AA1034))</f>
        <v>0</v>
      </c>
      <c r="L1038">
        <f>IF($G1038="",0,IF(Sync!$AB1034="",0,Sync!$AB1034))</f>
        <v>0</v>
      </c>
      <c r="M1038" t="str">
        <f t="shared" si="101"/>
        <v/>
      </c>
      <c r="N1038">
        <f>IF($G1038="",0,IF($H1038="مرجوعی فروش",-1,1)*IF(Sync!$AC1034="",0,Sync!$AC1034))</f>
        <v>0</v>
      </c>
      <c r="O1038" t="str">
        <f>IF(OR($G1038="",Sync!$V1034=""),"",Sync!$V1034)</f>
        <v/>
      </c>
      <c r="P1038" t="str">
        <f>IF(OR($G1038="",Sync!$AD1034=""),"",Sync!$AD1034)</f>
        <v/>
      </c>
      <c r="Q1038" t="str">
        <f>IF($G1038="","",IF(Sync!$U1034="","0000",IF(AND(ISNUMBER(Sync!$U1034),Sync!$U1034&gt;=0,Sync!$U1034&lt;1),RIGHT("00"&amp;HOUR(Sync!$U1034),2)&amp;RIGHT("00"&amp;MINUTE(Sync!$U1034),2),IFERROR(RIGHT("00"&amp;VALUE(LEFT(Sync!$U1034,FIND(":",Sync!$U1034)-1)),2)&amp;RIGHT("00"&amp;VALUE(MID(Sync!$U1034,FIND(":",Sync!$U1034)+1,2)),2),"0000"))))</f>
        <v/>
      </c>
    </row>
    <row r="1039" spans="1:17" x14ac:dyDescent="0.2">
      <c r="A1039" t="str">
        <f>IF(Sync!$T1035="","",Sync!$T1035)</f>
        <v/>
      </c>
      <c r="B1039" t="str">
        <f t="shared" si="96"/>
        <v/>
      </c>
      <c r="C1039" t="str">
        <f t="shared" si="97"/>
        <v/>
      </c>
      <c r="D1039" t="str">
        <f t="shared" si="98"/>
        <v/>
      </c>
      <c r="E1039" t="str">
        <f t="shared" si="99"/>
        <v/>
      </c>
      <c r="F1039" t="str">
        <f t="shared" si="100"/>
        <v/>
      </c>
      <c r="G1039" t="str">
        <f>IF(OR($E1039="",$E1039="نامعتبر",Sync!$X1035=""),"",IF(AND(LEFT(UPPER(TRIM(Sync!$X1035)),2)="SL",IFERROR(VLOOKUP(Sync!$W1035,OpTbl,3,0),"")="فروش"),UPPER(TRIM(Sync!$X1035)),""))</f>
        <v/>
      </c>
      <c r="H1039" t="str">
        <f>IF($G1039="","",IF(Sync!$W1035="","",Sync!$W1035))</f>
        <v/>
      </c>
      <c r="I1039" t="str">
        <f>IF(OR($G1039="",Sync!$Y1035=""),"",Sync!$Y1035)</f>
        <v/>
      </c>
      <c r="J1039" t="str">
        <f>IF(OR($G1039="",Sync!$Z1035=""),"",Sync!$Z1035)</f>
        <v/>
      </c>
      <c r="K1039">
        <f>IF($G1039="",0,IF(Sync!$AA1035="",0,Sync!$AA1035))</f>
        <v>0</v>
      </c>
      <c r="L1039">
        <f>IF($G1039="",0,IF(Sync!$AB1035="",0,Sync!$AB1035))</f>
        <v>0</v>
      </c>
      <c r="M1039" t="str">
        <f t="shared" si="101"/>
        <v/>
      </c>
      <c r="N1039">
        <f>IF($G1039="",0,IF($H1039="مرجوعی فروش",-1,1)*IF(Sync!$AC1035="",0,Sync!$AC1035))</f>
        <v>0</v>
      </c>
      <c r="O1039" t="str">
        <f>IF(OR($G1039="",Sync!$V1035=""),"",Sync!$V1035)</f>
        <v/>
      </c>
      <c r="P1039" t="str">
        <f>IF(OR($G1039="",Sync!$AD1035=""),"",Sync!$AD1035)</f>
        <v/>
      </c>
      <c r="Q1039" t="str">
        <f>IF($G1039="","",IF(Sync!$U1035="","0000",IF(AND(ISNUMBER(Sync!$U1035),Sync!$U1035&gt;=0,Sync!$U1035&lt;1),RIGHT("00"&amp;HOUR(Sync!$U1035),2)&amp;RIGHT("00"&amp;MINUTE(Sync!$U1035),2),IFERROR(RIGHT("00"&amp;VALUE(LEFT(Sync!$U1035,FIND(":",Sync!$U1035)-1)),2)&amp;RIGHT("00"&amp;VALUE(MID(Sync!$U1035,FIND(":",Sync!$U1035)+1,2)),2),"0000"))))</f>
        <v/>
      </c>
    </row>
    <row r="1040" spans="1:17" x14ac:dyDescent="0.2">
      <c r="A1040" t="str">
        <f>IF(Sync!$T1036="","",Sync!$T1036)</f>
        <v/>
      </c>
      <c r="B1040" t="str">
        <f t="shared" si="96"/>
        <v/>
      </c>
      <c r="C1040" t="str">
        <f t="shared" si="97"/>
        <v/>
      </c>
      <c r="D1040" t="str">
        <f t="shared" si="98"/>
        <v/>
      </c>
      <c r="E1040" t="str">
        <f t="shared" si="99"/>
        <v/>
      </c>
      <c r="F1040" t="str">
        <f t="shared" si="100"/>
        <v/>
      </c>
      <c r="G1040" t="str">
        <f>IF(OR($E1040="",$E1040="نامعتبر",Sync!$X1036=""),"",IF(AND(LEFT(UPPER(TRIM(Sync!$X1036)),2)="SL",IFERROR(VLOOKUP(Sync!$W1036,OpTbl,3,0),"")="فروش"),UPPER(TRIM(Sync!$X1036)),""))</f>
        <v/>
      </c>
      <c r="H1040" t="str">
        <f>IF($G1040="","",IF(Sync!$W1036="","",Sync!$W1036))</f>
        <v/>
      </c>
      <c r="I1040" t="str">
        <f>IF(OR($G1040="",Sync!$Y1036=""),"",Sync!$Y1036)</f>
        <v/>
      </c>
      <c r="J1040" t="str">
        <f>IF(OR($G1040="",Sync!$Z1036=""),"",Sync!$Z1036)</f>
        <v/>
      </c>
      <c r="K1040">
        <f>IF($G1040="",0,IF(Sync!$AA1036="",0,Sync!$AA1036))</f>
        <v>0</v>
      </c>
      <c r="L1040">
        <f>IF($G1040="",0,IF(Sync!$AB1036="",0,Sync!$AB1036))</f>
        <v>0</v>
      </c>
      <c r="M1040" t="str">
        <f t="shared" si="101"/>
        <v/>
      </c>
      <c r="N1040">
        <f>IF($G1040="",0,IF($H1040="مرجوعی فروش",-1,1)*IF(Sync!$AC1036="",0,Sync!$AC1036))</f>
        <v>0</v>
      </c>
      <c r="O1040" t="str">
        <f>IF(OR($G1040="",Sync!$V1036=""),"",Sync!$V1036)</f>
        <v/>
      </c>
      <c r="P1040" t="str">
        <f>IF(OR($G1040="",Sync!$AD1036=""),"",Sync!$AD1036)</f>
        <v/>
      </c>
      <c r="Q1040" t="str">
        <f>IF($G1040="","",IF(Sync!$U1036="","0000",IF(AND(ISNUMBER(Sync!$U1036),Sync!$U1036&gt;=0,Sync!$U1036&lt;1),RIGHT("00"&amp;HOUR(Sync!$U1036),2)&amp;RIGHT("00"&amp;MINUTE(Sync!$U1036),2),IFERROR(RIGHT("00"&amp;VALUE(LEFT(Sync!$U1036,FIND(":",Sync!$U1036)-1)),2)&amp;RIGHT("00"&amp;VALUE(MID(Sync!$U1036,FIND(":",Sync!$U1036)+1,2)),2),"0000"))))</f>
        <v/>
      </c>
    </row>
    <row r="1041" spans="1:17" x14ac:dyDescent="0.2">
      <c r="A1041" t="str">
        <f>IF(Sync!$T1037="","",Sync!$T1037)</f>
        <v/>
      </c>
      <c r="B1041" t="str">
        <f t="shared" si="96"/>
        <v/>
      </c>
      <c r="C1041" t="str">
        <f t="shared" si="97"/>
        <v/>
      </c>
      <c r="D1041" t="str">
        <f t="shared" si="98"/>
        <v/>
      </c>
      <c r="E1041" t="str">
        <f t="shared" si="99"/>
        <v/>
      </c>
      <c r="F1041" t="str">
        <f t="shared" si="100"/>
        <v/>
      </c>
      <c r="G1041" t="str">
        <f>IF(OR($E1041="",$E1041="نامعتبر",Sync!$X1037=""),"",IF(AND(LEFT(UPPER(TRIM(Sync!$X1037)),2)="SL",IFERROR(VLOOKUP(Sync!$W1037,OpTbl,3,0),"")="فروش"),UPPER(TRIM(Sync!$X1037)),""))</f>
        <v/>
      </c>
      <c r="H1041" t="str">
        <f>IF($G1041="","",IF(Sync!$W1037="","",Sync!$W1037))</f>
        <v/>
      </c>
      <c r="I1041" t="str">
        <f>IF(OR($G1041="",Sync!$Y1037=""),"",Sync!$Y1037)</f>
        <v/>
      </c>
      <c r="J1041" t="str">
        <f>IF(OR($G1041="",Sync!$Z1037=""),"",Sync!$Z1037)</f>
        <v/>
      </c>
      <c r="K1041">
        <f>IF($G1041="",0,IF(Sync!$AA1037="",0,Sync!$AA1037))</f>
        <v>0</v>
      </c>
      <c r="L1041">
        <f>IF($G1041="",0,IF(Sync!$AB1037="",0,Sync!$AB1037))</f>
        <v>0</v>
      </c>
      <c r="M1041" t="str">
        <f t="shared" si="101"/>
        <v/>
      </c>
      <c r="N1041">
        <f>IF($G1041="",0,IF($H1041="مرجوعی فروش",-1,1)*IF(Sync!$AC1037="",0,Sync!$AC1037))</f>
        <v>0</v>
      </c>
      <c r="O1041" t="str">
        <f>IF(OR($G1041="",Sync!$V1037=""),"",Sync!$V1037)</f>
        <v/>
      </c>
      <c r="P1041" t="str">
        <f>IF(OR($G1041="",Sync!$AD1037=""),"",Sync!$AD1037)</f>
        <v/>
      </c>
      <c r="Q1041" t="str">
        <f>IF($G1041="","",IF(Sync!$U1037="","0000",IF(AND(ISNUMBER(Sync!$U1037),Sync!$U1037&gt;=0,Sync!$U1037&lt;1),RIGHT("00"&amp;HOUR(Sync!$U1037),2)&amp;RIGHT("00"&amp;MINUTE(Sync!$U1037),2),IFERROR(RIGHT("00"&amp;VALUE(LEFT(Sync!$U1037,FIND(":",Sync!$U1037)-1)),2)&amp;RIGHT("00"&amp;VALUE(MID(Sync!$U1037,FIND(":",Sync!$U1037)+1,2)),2),"0000"))))</f>
        <v/>
      </c>
    </row>
    <row r="1042" spans="1:17" x14ac:dyDescent="0.2">
      <c r="A1042" t="str">
        <f>IF(Sync!$T1038="","",Sync!$T1038)</f>
        <v/>
      </c>
      <c r="B1042" t="str">
        <f t="shared" si="96"/>
        <v/>
      </c>
      <c r="C1042" t="str">
        <f t="shared" si="97"/>
        <v/>
      </c>
      <c r="D1042" t="str">
        <f t="shared" si="98"/>
        <v/>
      </c>
      <c r="E1042" t="str">
        <f t="shared" si="99"/>
        <v/>
      </c>
      <c r="F1042" t="str">
        <f t="shared" si="100"/>
        <v/>
      </c>
      <c r="G1042" t="str">
        <f>IF(OR($E1042="",$E1042="نامعتبر",Sync!$X1038=""),"",IF(AND(LEFT(UPPER(TRIM(Sync!$X1038)),2)="SL",IFERROR(VLOOKUP(Sync!$W1038,OpTbl,3,0),"")="فروش"),UPPER(TRIM(Sync!$X1038)),""))</f>
        <v/>
      </c>
      <c r="H1042" t="str">
        <f>IF($G1042="","",IF(Sync!$W1038="","",Sync!$W1038))</f>
        <v/>
      </c>
      <c r="I1042" t="str">
        <f>IF(OR($G1042="",Sync!$Y1038=""),"",Sync!$Y1038)</f>
        <v/>
      </c>
      <c r="J1042" t="str">
        <f>IF(OR($G1042="",Sync!$Z1038=""),"",Sync!$Z1038)</f>
        <v/>
      </c>
      <c r="K1042">
        <f>IF($G1042="",0,IF(Sync!$AA1038="",0,Sync!$AA1038))</f>
        <v>0</v>
      </c>
      <c r="L1042">
        <f>IF($G1042="",0,IF(Sync!$AB1038="",0,Sync!$AB1038))</f>
        <v>0</v>
      </c>
      <c r="M1042" t="str">
        <f t="shared" si="101"/>
        <v/>
      </c>
      <c r="N1042">
        <f>IF($G1042="",0,IF($H1042="مرجوعی فروش",-1,1)*IF(Sync!$AC1038="",0,Sync!$AC1038))</f>
        <v>0</v>
      </c>
      <c r="O1042" t="str">
        <f>IF(OR($G1042="",Sync!$V1038=""),"",Sync!$V1038)</f>
        <v/>
      </c>
      <c r="P1042" t="str">
        <f>IF(OR($G1042="",Sync!$AD1038=""),"",Sync!$AD1038)</f>
        <v/>
      </c>
      <c r="Q1042" t="str">
        <f>IF($G1042="","",IF(Sync!$U1038="","0000",IF(AND(ISNUMBER(Sync!$U1038),Sync!$U1038&gt;=0,Sync!$U1038&lt;1),RIGHT("00"&amp;HOUR(Sync!$U1038),2)&amp;RIGHT("00"&amp;MINUTE(Sync!$U1038),2),IFERROR(RIGHT("00"&amp;VALUE(LEFT(Sync!$U1038,FIND(":",Sync!$U1038)-1)),2)&amp;RIGHT("00"&amp;VALUE(MID(Sync!$U1038,FIND(":",Sync!$U1038)+1,2)),2),"0000"))))</f>
        <v/>
      </c>
    </row>
    <row r="1043" spans="1:17" x14ac:dyDescent="0.2">
      <c r="A1043" t="str">
        <f>IF(Sync!$T1039="","",Sync!$T1039)</f>
        <v/>
      </c>
      <c r="B1043" t="str">
        <f t="shared" si="96"/>
        <v/>
      </c>
      <c r="C1043" t="str">
        <f t="shared" si="97"/>
        <v/>
      </c>
      <c r="D1043" t="str">
        <f t="shared" si="98"/>
        <v/>
      </c>
      <c r="E1043" t="str">
        <f t="shared" si="99"/>
        <v/>
      </c>
      <c r="F1043" t="str">
        <f t="shared" si="100"/>
        <v/>
      </c>
      <c r="G1043" t="str">
        <f>IF(OR($E1043="",$E1043="نامعتبر",Sync!$X1039=""),"",IF(AND(LEFT(UPPER(TRIM(Sync!$X1039)),2)="SL",IFERROR(VLOOKUP(Sync!$W1039,OpTbl,3,0),"")="فروش"),UPPER(TRIM(Sync!$X1039)),""))</f>
        <v/>
      </c>
      <c r="H1043" t="str">
        <f>IF($G1043="","",IF(Sync!$W1039="","",Sync!$W1039))</f>
        <v/>
      </c>
      <c r="I1043" t="str">
        <f>IF(OR($G1043="",Sync!$Y1039=""),"",Sync!$Y1039)</f>
        <v/>
      </c>
      <c r="J1043" t="str">
        <f>IF(OR($G1043="",Sync!$Z1039=""),"",Sync!$Z1039)</f>
        <v/>
      </c>
      <c r="K1043">
        <f>IF($G1043="",0,IF(Sync!$AA1039="",0,Sync!$AA1039))</f>
        <v>0</v>
      </c>
      <c r="L1043">
        <f>IF($G1043="",0,IF(Sync!$AB1039="",0,Sync!$AB1039))</f>
        <v>0</v>
      </c>
      <c r="M1043" t="str">
        <f t="shared" si="101"/>
        <v/>
      </c>
      <c r="N1043">
        <f>IF($G1043="",0,IF($H1043="مرجوعی فروش",-1,1)*IF(Sync!$AC1039="",0,Sync!$AC1039))</f>
        <v>0</v>
      </c>
      <c r="O1043" t="str">
        <f>IF(OR($G1043="",Sync!$V1039=""),"",Sync!$V1039)</f>
        <v/>
      </c>
      <c r="P1043" t="str">
        <f>IF(OR($G1043="",Sync!$AD1039=""),"",Sync!$AD1039)</f>
        <v/>
      </c>
      <c r="Q1043" t="str">
        <f>IF($G1043="","",IF(Sync!$U1039="","0000",IF(AND(ISNUMBER(Sync!$U1039),Sync!$U1039&gt;=0,Sync!$U1039&lt;1),RIGHT("00"&amp;HOUR(Sync!$U1039),2)&amp;RIGHT("00"&amp;MINUTE(Sync!$U1039),2),IFERROR(RIGHT("00"&amp;VALUE(LEFT(Sync!$U1039,FIND(":",Sync!$U1039)-1)),2)&amp;RIGHT("00"&amp;VALUE(MID(Sync!$U1039,FIND(":",Sync!$U1039)+1,2)),2),"0000"))))</f>
        <v/>
      </c>
    </row>
    <row r="1044" spans="1:17" x14ac:dyDescent="0.2">
      <c r="A1044" t="str">
        <f>IF(Sync!$T1040="","",Sync!$T1040)</f>
        <v/>
      </c>
      <c r="B1044" t="str">
        <f t="shared" si="96"/>
        <v/>
      </c>
      <c r="C1044" t="str">
        <f t="shared" si="97"/>
        <v/>
      </c>
      <c r="D1044" t="str">
        <f t="shared" si="98"/>
        <v/>
      </c>
      <c r="E1044" t="str">
        <f t="shared" si="99"/>
        <v/>
      </c>
      <c r="F1044" t="str">
        <f t="shared" si="100"/>
        <v/>
      </c>
      <c r="G1044" t="str">
        <f>IF(OR($E1044="",$E1044="نامعتبر",Sync!$X1040=""),"",IF(AND(LEFT(UPPER(TRIM(Sync!$X1040)),2)="SL",IFERROR(VLOOKUP(Sync!$W1040,OpTbl,3,0),"")="فروش"),UPPER(TRIM(Sync!$X1040)),""))</f>
        <v/>
      </c>
      <c r="H1044" t="str">
        <f>IF($G1044="","",IF(Sync!$W1040="","",Sync!$W1040))</f>
        <v/>
      </c>
      <c r="I1044" t="str">
        <f>IF(OR($G1044="",Sync!$Y1040=""),"",Sync!$Y1040)</f>
        <v/>
      </c>
      <c r="J1044" t="str">
        <f>IF(OR($G1044="",Sync!$Z1040=""),"",Sync!$Z1040)</f>
        <v/>
      </c>
      <c r="K1044">
        <f>IF($G1044="",0,IF(Sync!$AA1040="",0,Sync!$AA1040))</f>
        <v>0</v>
      </c>
      <c r="L1044">
        <f>IF($G1044="",0,IF(Sync!$AB1040="",0,Sync!$AB1040))</f>
        <v>0</v>
      </c>
      <c r="M1044" t="str">
        <f t="shared" si="101"/>
        <v/>
      </c>
      <c r="N1044">
        <f>IF($G1044="",0,IF($H1044="مرجوعی فروش",-1,1)*IF(Sync!$AC1040="",0,Sync!$AC1040))</f>
        <v>0</v>
      </c>
      <c r="O1044" t="str">
        <f>IF(OR($G1044="",Sync!$V1040=""),"",Sync!$V1040)</f>
        <v/>
      </c>
      <c r="P1044" t="str">
        <f>IF(OR($G1044="",Sync!$AD1040=""),"",Sync!$AD1040)</f>
        <v/>
      </c>
      <c r="Q1044" t="str">
        <f>IF($G1044="","",IF(Sync!$U1040="","0000",IF(AND(ISNUMBER(Sync!$U1040),Sync!$U1040&gt;=0,Sync!$U1040&lt;1),RIGHT("00"&amp;HOUR(Sync!$U1040),2)&amp;RIGHT("00"&amp;MINUTE(Sync!$U1040),2),IFERROR(RIGHT("00"&amp;VALUE(LEFT(Sync!$U1040,FIND(":",Sync!$U1040)-1)),2)&amp;RIGHT("00"&amp;VALUE(MID(Sync!$U1040,FIND(":",Sync!$U1040)+1,2)),2),"0000"))))</f>
        <v/>
      </c>
    </row>
    <row r="1045" spans="1:17" x14ac:dyDescent="0.2">
      <c r="A1045" t="str">
        <f>IF(Sync!$T1041="","",Sync!$T1041)</f>
        <v/>
      </c>
      <c r="B1045" t="str">
        <f t="shared" si="96"/>
        <v/>
      </c>
      <c r="C1045" t="str">
        <f t="shared" si="97"/>
        <v/>
      </c>
      <c r="D1045" t="str">
        <f t="shared" si="98"/>
        <v/>
      </c>
      <c r="E1045" t="str">
        <f t="shared" si="99"/>
        <v/>
      </c>
      <c r="F1045" t="str">
        <f t="shared" si="100"/>
        <v/>
      </c>
      <c r="G1045" t="str">
        <f>IF(OR($E1045="",$E1045="نامعتبر",Sync!$X1041=""),"",IF(AND(LEFT(UPPER(TRIM(Sync!$X1041)),2)="SL",IFERROR(VLOOKUP(Sync!$W1041,OpTbl,3,0),"")="فروش"),UPPER(TRIM(Sync!$X1041)),""))</f>
        <v/>
      </c>
      <c r="H1045" t="str">
        <f>IF($G1045="","",IF(Sync!$W1041="","",Sync!$W1041))</f>
        <v/>
      </c>
      <c r="I1045" t="str">
        <f>IF(OR($G1045="",Sync!$Y1041=""),"",Sync!$Y1041)</f>
        <v/>
      </c>
      <c r="J1045" t="str">
        <f>IF(OR($G1045="",Sync!$Z1041=""),"",Sync!$Z1041)</f>
        <v/>
      </c>
      <c r="K1045">
        <f>IF($G1045="",0,IF(Sync!$AA1041="",0,Sync!$AA1041))</f>
        <v>0</v>
      </c>
      <c r="L1045">
        <f>IF($G1045="",0,IF(Sync!$AB1041="",0,Sync!$AB1041))</f>
        <v>0</v>
      </c>
      <c r="M1045" t="str">
        <f t="shared" si="101"/>
        <v/>
      </c>
      <c r="N1045">
        <f>IF($G1045="",0,IF($H1045="مرجوعی فروش",-1,1)*IF(Sync!$AC1041="",0,Sync!$AC1041))</f>
        <v>0</v>
      </c>
      <c r="O1045" t="str">
        <f>IF(OR($G1045="",Sync!$V1041=""),"",Sync!$V1041)</f>
        <v/>
      </c>
      <c r="P1045" t="str">
        <f>IF(OR($G1045="",Sync!$AD1041=""),"",Sync!$AD1041)</f>
        <v/>
      </c>
      <c r="Q1045" t="str">
        <f>IF($G1045="","",IF(Sync!$U1041="","0000",IF(AND(ISNUMBER(Sync!$U1041),Sync!$U1041&gt;=0,Sync!$U1041&lt;1),RIGHT("00"&amp;HOUR(Sync!$U1041),2)&amp;RIGHT("00"&amp;MINUTE(Sync!$U1041),2),IFERROR(RIGHT("00"&amp;VALUE(LEFT(Sync!$U1041,FIND(":",Sync!$U1041)-1)),2)&amp;RIGHT("00"&amp;VALUE(MID(Sync!$U1041,FIND(":",Sync!$U1041)+1,2)),2),"0000"))))</f>
        <v/>
      </c>
    </row>
    <row r="1046" spans="1:17" x14ac:dyDescent="0.2">
      <c r="A1046" t="str">
        <f>IF(Sync!$T1042="","",Sync!$T1042)</f>
        <v/>
      </c>
      <c r="B1046" t="str">
        <f t="shared" si="96"/>
        <v/>
      </c>
      <c r="C1046" t="str">
        <f t="shared" si="97"/>
        <v/>
      </c>
      <c r="D1046" t="str">
        <f t="shared" si="98"/>
        <v/>
      </c>
      <c r="E1046" t="str">
        <f t="shared" si="99"/>
        <v/>
      </c>
      <c r="F1046" t="str">
        <f t="shared" si="100"/>
        <v/>
      </c>
      <c r="G1046" t="str">
        <f>IF(OR($E1046="",$E1046="نامعتبر",Sync!$X1042=""),"",IF(AND(LEFT(UPPER(TRIM(Sync!$X1042)),2)="SL",IFERROR(VLOOKUP(Sync!$W1042,OpTbl,3,0),"")="فروش"),UPPER(TRIM(Sync!$X1042)),""))</f>
        <v/>
      </c>
      <c r="H1046" t="str">
        <f>IF($G1046="","",IF(Sync!$W1042="","",Sync!$W1042))</f>
        <v/>
      </c>
      <c r="I1046" t="str">
        <f>IF(OR($G1046="",Sync!$Y1042=""),"",Sync!$Y1042)</f>
        <v/>
      </c>
      <c r="J1046" t="str">
        <f>IF(OR($G1046="",Sync!$Z1042=""),"",Sync!$Z1042)</f>
        <v/>
      </c>
      <c r="K1046">
        <f>IF($G1046="",0,IF(Sync!$AA1042="",0,Sync!$AA1042))</f>
        <v>0</v>
      </c>
      <c r="L1046">
        <f>IF($G1046="",0,IF(Sync!$AB1042="",0,Sync!$AB1042))</f>
        <v>0</v>
      </c>
      <c r="M1046" t="str">
        <f t="shared" si="101"/>
        <v/>
      </c>
      <c r="N1046">
        <f>IF($G1046="",0,IF($H1046="مرجوعی فروش",-1,1)*IF(Sync!$AC1042="",0,Sync!$AC1042))</f>
        <v>0</v>
      </c>
      <c r="O1046" t="str">
        <f>IF(OR($G1046="",Sync!$V1042=""),"",Sync!$V1042)</f>
        <v/>
      </c>
      <c r="P1046" t="str">
        <f>IF(OR($G1046="",Sync!$AD1042=""),"",Sync!$AD1042)</f>
        <v/>
      </c>
      <c r="Q1046" t="str">
        <f>IF($G1046="","",IF(Sync!$U1042="","0000",IF(AND(ISNUMBER(Sync!$U1042),Sync!$U1042&gt;=0,Sync!$U1042&lt;1),RIGHT("00"&amp;HOUR(Sync!$U1042),2)&amp;RIGHT("00"&amp;MINUTE(Sync!$U1042),2),IFERROR(RIGHT("00"&amp;VALUE(LEFT(Sync!$U1042,FIND(":",Sync!$U1042)-1)),2)&amp;RIGHT("00"&amp;VALUE(MID(Sync!$U1042,FIND(":",Sync!$U1042)+1,2)),2),"0000"))))</f>
        <v/>
      </c>
    </row>
    <row r="1047" spans="1:17" x14ac:dyDescent="0.2">
      <c r="A1047" t="str">
        <f>IF(Sync!$T1043="","",Sync!$T1043)</f>
        <v/>
      </c>
      <c r="B1047" t="str">
        <f t="shared" si="96"/>
        <v/>
      </c>
      <c r="C1047" t="str">
        <f t="shared" si="97"/>
        <v/>
      </c>
      <c r="D1047" t="str">
        <f t="shared" si="98"/>
        <v/>
      </c>
      <c r="E1047" t="str">
        <f t="shared" si="99"/>
        <v/>
      </c>
      <c r="F1047" t="str">
        <f t="shared" si="100"/>
        <v/>
      </c>
      <c r="G1047" t="str">
        <f>IF(OR($E1047="",$E1047="نامعتبر",Sync!$X1043=""),"",IF(AND(LEFT(UPPER(TRIM(Sync!$X1043)),2)="SL",IFERROR(VLOOKUP(Sync!$W1043,OpTbl,3,0),"")="فروش"),UPPER(TRIM(Sync!$X1043)),""))</f>
        <v/>
      </c>
      <c r="H1047" t="str">
        <f>IF($G1047="","",IF(Sync!$W1043="","",Sync!$W1043))</f>
        <v/>
      </c>
      <c r="I1047" t="str">
        <f>IF(OR($G1047="",Sync!$Y1043=""),"",Sync!$Y1043)</f>
        <v/>
      </c>
      <c r="J1047" t="str">
        <f>IF(OR($G1047="",Sync!$Z1043=""),"",Sync!$Z1043)</f>
        <v/>
      </c>
      <c r="K1047">
        <f>IF($G1047="",0,IF(Sync!$AA1043="",0,Sync!$AA1043))</f>
        <v>0</v>
      </c>
      <c r="L1047">
        <f>IF($G1047="",0,IF(Sync!$AB1043="",0,Sync!$AB1043))</f>
        <v>0</v>
      </c>
      <c r="M1047" t="str">
        <f t="shared" si="101"/>
        <v/>
      </c>
      <c r="N1047">
        <f>IF($G1047="",0,IF($H1047="مرجوعی فروش",-1,1)*IF(Sync!$AC1043="",0,Sync!$AC1043))</f>
        <v>0</v>
      </c>
      <c r="O1047" t="str">
        <f>IF(OR($G1047="",Sync!$V1043=""),"",Sync!$V1043)</f>
        <v/>
      </c>
      <c r="P1047" t="str">
        <f>IF(OR($G1047="",Sync!$AD1043=""),"",Sync!$AD1043)</f>
        <v/>
      </c>
      <c r="Q1047" t="str">
        <f>IF($G1047="","",IF(Sync!$U1043="","0000",IF(AND(ISNUMBER(Sync!$U1043),Sync!$U1043&gt;=0,Sync!$U1043&lt;1),RIGHT("00"&amp;HOUR(Sync!$U1043),2)&amp;RIGHT("00"&amp;MINUTE(Sync!$U1043),2),IFERROR(RIGHT("00"&amp;VALUE(LEFT(Sync!$U1043,FIND(":",Sync!$U1043)-1)),2)&amp;RIGHT("00"&amp;VALUE(MID(Sync!$U1043,FIND(":",Sync!$U1043)+1,2)),2),"0000"))))</f>
        <v/>
      </c>
    </row>
    <row r="1048" spans="1:17" x14ac:dyDescent="0.2">
      <c r="A1048" t="str">
        <f>IF(Sync!$T1044="","",Sync!$T1044)</f>
        <v/>
      </c>
      <c r="B1048" t="str">
        <f t="shared" si="96"/>
        <v/>
      </c>
      <c r="C1048" t="str">
        <f t="shared" si="97"/>
        <v/>
      </c>
      <c r="D1048" t="str">
        <f t="shared" si="98"/>
        <v/>
      </c>
      <c r="E1048" t="str">
        <f t="shared" si="99"/>
        <v/>
      </c>
      <c r="F1048" t="str">
        <f t="shared" si="100"/>
        <v/>
      </c>
      <c r="G1048" t="str">
        <f>IF(OR($E1048="",$E1048="نامعتبر",Sync!$X1044=""),"",IF(AND(LEFT(UPPER(TRIM(Sync!$X1044)),2)="SL",IFERROR(VLOOKUP(Sync!$W1044,OpTbl,3,0),"")="فروش"),UPPER(TRIM(Sync!$X1044)),""))</f>
        <v/>
      </c>
      <c r="H1048" t="str">
        <f>IF($G1048="","",IF(Sync!$W1044="","",Sync!$W1044))</f>
        <v/>
      </c>
      <c r="I1048" t="str">
        <f>IF(OR($G1048="",Sync!$Y1044=""),"",Sync!$Y1044)</f>
        <v/>
      </c>
      <c r="J1048" t="str">
        <f>IF(OR($G1048="",Sync!$Z1044=""),"",Sync!$Z1044)</f>
        <v/>
      </c>
      <c r="K1048">
        <f>IF($G1048="",0,IF(Sync!$AA1044="",0,Sync!$AA1044))</f>
        <v>0</v>
      </c>
      <c r="L1048">
        <f>IF($G1048="",0,IF(Sync!$AB1044="",0,Sync!$AB1044))</f>
        <v>0</v>
      </c>
      <c r="M1048" t="str">
        <f t="shared" si="101"/>
        <v/>
      </c>
      <c r="N1048">
        <f>IF($G1048="",0,IF($H1048="مرجوعی فروش",-1,1)*IF(Sync!$AC1044="",0,Sync!$AC1044))</f>
        <v>0</v>
      </c>
      <c r="O1048" t="str">
        <f>IF(OR($G1048="",Sync!$V1044=""),"",Sync!$V1044)</f>
        <v/>
      </c>
      <c r="P1048" t="str">
        <f>IF(OR($G1048="",Sync!$AD1044=""),"",Sync!$AD1044)</f>
        <v/>
      </c>
      <c r="Q1048" t="str">
        <f>IF($G1048="","",IF(Sync!$U1044="","0000",IF(AND(ISNUMBER(Sync!$U1044),Sync!$U1044&gt;=0,Sync!$U1044&lt;1),RIGHT("00"&amp;HOUR(Sync!$U1044),2)&amp;RIGHT("00"&amp;MINUTE(Sync!$U1044),2),IFERROR(RIGHT("00"&amp;VALUE(LEFT(Sync!$U1044,FIND(":",Sync!$U1044)-1)),2)&amp;RIGHT("00"&amp;VALUE(MID(Sync!$U1044,FIND(":",Sync!$U1044)+1,2)),2),"0000"))))</f>
        <v/>
      </c>
    </row>
    <row r="1049" spans="1:17" x14ac:dyDescent="0.2">
      <c r="A1049" t="str">
        <f>IF(Sync!$T1045="","",Sync!$T1045)</f>
        <v/>
      </c>
      <c r="B1049" t="str">
        <f t="shared" si="96"/>
        <v/>
      </c>
      <c r="C1049" t="str">
        <f t="shared" si="97"/>
        <v/>
      </c>
      <c r="D1049" t="str">
        <f t="shared" si="98"/>
        <v/>
      </c>
      <c r="E1049" t="str">
        <f t="shared" si="99"/>
        <v/>
      </c>
      <c r="F1049" t="str">
        <f t="shared" si="100"/>
        <v/>
      </c>
      <c r="G1049" t="str">
        <f>IF(OR($E1049="",$E1049="نامعتبر",Sync!$X1045=""),"",IF(AND(LEFT(UPPER(TRIM(Sync!$X1045)),2)="SL",IFERROR(VLOOKUP(Sync!$W1045,OpTbl,3,0),"")="فروش"),UPPER(TRIM(Sync!$X1045)),""))</f>
        <v/>
      </c>
      <c r="H1049" t="str">
        <f>IF($G1049="","",IF(Sync!$W1045="","",Sync!$W1045))</f>
        <v/>
      </c>
      <c r="I1049" t="str">
        <f>IF(OR($G1049="",Sync!$Y1045=""),"",Sync!$Y1045)</f>
        <v/>
      </c>
      <c r="J1049" t="str">
        <f>IF(OR($G1049="",Sync!$Z1045=""),"",Sync!$Z1045)</f>
        <v/>
      </c>
      <c r="K1049">
        <f>IF($G1049="",0,IF(Sync!$AA1045="",0,Sync!$AA1045))</f>
        <v>0</v>
      </c>
      <c r="L1049">
        <f>IF($G1049="",0,IF(Sync!$AB1045="",0,Sync!$AB1045))</f>
        <v>0</v>
      </c>
      <c r="M1049" t="str">
        <f t="shared" si="101"/>
        <v/>
      </c>
      <c r="N1049">
        <f>IF($G1049="",0,IF($H1049="مرجوعی فروش",-1,1)*IF(Sync!$AC1045="",0,Sync!$AC1045))</f>
        <v>0</v>
      </c>
      <c r="O1049" t="str">
        <f>IF(OR($G1049="",Sync!$V1045=""),"",Sync!$V1045)</f>
        <v/>
      </c>
      <c r="P1049" t="str">
        <f>IF(OR($G1049="",Sync!$AD1045=""),"",Sync!$AD1045)</f>
        <v/>
      </c>
      <c r="Q1049" t="str">
        <f>IF($G1049="","",IF(Sync!$U1045="","0000",IF(AND(ISNUMBER(Sync!$U1045),Sync!$U1045&gt;=0,Sync!$U1045&lt;1),RIGHT("00"&amp;HOUR(Sync!$U1045),2)&amp;RIGHT("00"&amp;MINUTE(Sync!$U1045),2),IFERROR(RIGHT("00"&amp;VALUE(LEFT(Sync!$U1045,FIND(":",Sync!$U1045)-1)),2)&amp;RIGHT("00"&amp;VALUE(MID(Sync!$U1045,FIND(":",Sync!$U1045)+1,2)),2),"0000"))))</f>
        <v/>
      </c>
    </row>
    <row r="1050" spans="1:17" x14ac:dyDescent="0.2">
      <c r="A1050" t="str">
        <f>IF(Sync!$T1046="","",Sync!$T1046)</f>
        <v/>
      </c>
      <c r="B1050" t="str">
        <f t="shared" si="96"/>
        <v/>
      </c>
      <c r="C1050" t="str">
        <f t="shared" si="97"/>
        <v/>
      </c>
      <c r="D1050" t="str">
        <f t="shared" si="98"/>
        <v/>
      </c>
      <c r="E1050" t="str">
        <f t="shared" si="99"/>
        <v/>
      </c>
      <c r="F1050" t="str">
        <f t="shared" si="100"/>
        <v/>
      </c>
      <c r="G1050" t="str">
        <f>IF(OR($E1050="",$E1050="نامعتبر",Sync!$X1046=""),"",IF(AND(LEFT(UPPER(TRIM(Sync!$X1046)),2)="SL",IFERROR(VLOOKUP(Sync!$W1046,OpTbl,3,0),"")="فروش"),UPPER(TRIM(Sync!$X1046)),""))</f>
        <v/>
      </c>
      <c r="H1050" t="str">
        <f>IF($G1050="","",IF(Sync!$W1046="","",Sync!$W1046))</f>
        <v/>
      </c>
      <c r="I1050" t="str">
        <f>IF(OR($G1050="",Sync!$Y1046=""),"",Sync!$Y1046)</f>
        <v/>
      </c>
      <c r="J1050" t="str">
        <f>IF(OR($G1050="",Sync!$Z1046=""),"",Sync!$Z1046)</f>
        <v/>
      </c>
      <c r="K1050">
        <f>IF($G1050="",0,IF(Sync!$AA1046="",0,Sync!$AA1046))</f>
        <v>0</v>
      </c>
      <c r="L1050">
        <f>IF($G1050="",0,IF(Sync!$AB1046="",0,Sync!$AB1046))</f>
        <v>0</v>
      </c>
      <c r="M1050" t="str">
        <f t="shared" si="101"/>
        <v/>
      </c>
      <c r="N1050">
        <f>IF($G1050="",0,IF($H1050="مرجوعی فروش",-1,1)*IF(Sync!$AC1046="",0,Sync!$AC1046))</f>
        <v>0</v>
      </c>
      <c r="O1050" t="str">
        <f>IF(OR($G1050="",Sync!$V1046=""),"",Sync!$V1046)</f>
        <v/>
      </c>
      <c r="P1050" t="str">
        <f>IF(OR($G1050="",Sync!$AD1046=""),"",Sync!$AD1046)</f>
        <v/>
      </c>
      <c r="Q1050" t="str">
        <f>IF($G1050="","",IF(Sync!$U1046="","0000",IF(AND(ISNUMBER(Sync!$U1046),Sync!$U1046&gt;=0,Sync!$U1046&lt;1),RIGHT("00"&amp;HOUR(Sync!$U1046),2)&amp;RIGHT("00"&amp;MINUTE(Sync!$U1046),2),IFERROR(RIGHT("00"&amp;VALUE(LEFT(Sync!$U1046,FIND(":",Sync!$U1046)-1)),2)&amp;RIGHT("00"&amp;VALUE(MID(Sync!$U1046,FIND(":",Sync!$U1046)+1,2)),2),"0000"))))</f>
        <v/>
      </c>
    </row>
    <row r="1051" spans="1:17" x14ac:dyDescent="0.2">
      <c r="A1051" t="str">
        <f>IF(Sync!$T1047="","",Sync!$T1047)</f>
        <v/>
      </c>
      <c r="B1051" t="str">
        <f t="shared" si="96"/>
        <v/>
      </c>
      <c r="C1051" t="str">
        <f t="shared" si="97"/>
        <v/>
      </c>
      <c r="D1051" t="str">
        <f t="shared" si="98"/>
        <v/>
      </c>
      <c r="E1051" t="str">
        <f t="shared" si="99"/>
        <v/>
      </c>
      <c r="F1051" t="str">
        <f t="shared" si="100"/>
        <v/>
      </c>
      <c r="G1051" t="str">
        <f>IF(OR($E1051="",$E1051="نامعتبر",Sync!$X1047=""),"",IF(AND(LEFT(UPPER(TRIM(Sync!$X1047)),2)="SL",IFERROR(VLOOKUP(Sync!$W1047,OpTbl,3,0),"")="فروش"),UPPER(TRIM(Sync!$X1047)),""))</f>
        <v/>
      </c>
      <c r="H1051" t="str">
        <f>IF($G1051="","",IF(Sync!$W1047="","",Sync!$W1047))</f>
        <v/>
      </c>
      <c r="I1051" t="str">
        <f>IF(OR($G1051="",Sync!$Y1047=""),"",Sync!$Y1047)</f>
        <v/>
      </c>
      <c r="J1051" t="str">
        <f>IF(OR($G1051="",Sync!$Z1047=""),"",Sync!$Z1047)</f>
        <v/>
      </c>
      <c r="K1051">
        <f>IF($G1051="",0,IF(Sync!$AA1047="",0,Sync!$AA1047))</f>
        <v>0</v>
      </c>
      <c r="L1051">
        <f>IF($G1051="",0,IF(Sync!$AB1047="",0,Sync!$AB1047))</f>
        <v>0</v>
      </c>
      <c r="M1051" t="str">
        <f t="shared" si="101"/>
        <v/>
      </c>
      <c r="N1051">
        <f>IF($G1051="",0,IF($H1051="مرجوعی فروش",-1,1)*IF(Sync!$AC1047="",0,Sync!$AC1047))</f>
        <v>0</v>
      </c>
      <c r="O1051" t="str">
        <f>IF(OR($G1051="",Sync!$V1047=""),"",Sync!$V1047)</f>
        <v/>
      </c>
      <c r="P1051" t="str">
        <f>IF(OR($G1051="",Sync!$AD1047=""),"",Sync!$AD1047)</f>
        <v/>
      </c>
      <c r="Q1051" t="str">
        <f>IF($G1051="","",IF(Sync!$U1047="","0000",IF(AND(ISNUMBER(Sync!$U1047),Sync!$U1047&gt;=0,Sync!$U1047&lt;1),RIGHT("00"&amp;HOUR(Sync!$U1047),2)&amp;RIGHT("00"&amp;MINUTE(Sync!$U1047),2),IFERROR(RIGHT("00"&amp;VALUE(LEFT(Sync!$U1047,FIND(":",Sync!$U1047)-1)),2)&amp;RIGHT("00"&amp;VALUE(MID(Sync!$U1047,FIND(":",Sync!$U1047)+1,2)),2),"0000"))))</f>
        <v/>
      </c>
    </row>
    <row r="1052" spans="1:17" x14ac:dyDescent="0.2">
      <c r="A1052" t="str">
        <f>IF(Sync!$T1048="","",Sync!$T1048)</f>
        <v/>
      </c>
      <c r="B1052" t="str">
        <f t="shared" si="96"/>
        <v/>
      </c>
      <c r="C1052" t="str">
        <f t="shared" si="97"/>
        <v/>
      </c>
      <c r="D1052" t="str">
        <f t="shared" si="98"/>
        <v/>
      </c>
      <c r="E1052" t="str">
        <f t="shared" si="99"/>
        <v/>
      </c>
      <c r="F1052" t="str">
        <f t="shared" si="100"/>
        <v/>
      </c>
      <c r="G1052" t="str">
        <f>IF(OR($E1052="",$E1052="نامعتبر",Sync!$X1048=""),"",IF(AND(LEFT(UPPER(TRIM(Sync!$X1048)),2)="SL",IFERROR(VLOOKUP(Sync!$W1048,OpTbl,3,0),"")="فروش"),UPPER(TRIM(Sync!$X1048)),""))</f>
        <v/>
      </c>
      <c r="H1052" t="str">
        <f>IF($G1052="","",IF(Sync!$W1048="","",Sync!$W1048))</f>
        <v/>
      </c>
      <c r="I1052" t="str">
        <f>IF(OR($G1052="",Sync!$Y1048=""),"",Sync!$Y1048)</f>
        <v/>
      </c>
      <c r="J1052" t="str">
        <f>IF(OR($G1052="",Sync!$Z1048=""),"",Sync!$Z1048)</f>
        <v/>
      </c>
      <c r="K1052">
        <f>IF($G1052="",0,IF(Sync!$AA1048="",0,Sync!$AA1048))</f>
        <v>0</v>
      </c>
      <c r="L1052">
        <f>IF($G1052="",0,IF(Sync!$AB1048="",0,Sync!$AB1048))</f>
        <v>0</v>
      </c>
      <c r="M1052" t="str">
        <f t="shared" si="101"/>
        <v/>
      </c>
      <c r="N1052">
        <f>IF($G1052="",0,IF($H1052="مرجوعی فروش",-1,1)*IF(Sync!$AC1048="",0,Sync!$AC1048))</f>
        <v>0</v>
      </c>
      <c r="O1052" t="str">
        <f>IF(OR($G1052="",Sync!$V1048=""),"",Sync!$V1048)</f>
        <v/>
      </c>
      <c r="P1052" t="str">
        <f>IF(OR($G1052="",Sync!$AD1048=""),"",Sync!$AD1048)</f>
        <v/>
      </c>
      <c r="Q1052" t="str">
        <f>IF($G1052="","",IF(Sync!$U1048="","0000",IF(AND(ISNUMBER(Sync!$U1048),Sync!$U1048&gt;=0,Sync!$U1048&lt;1),RIGHT("00"&amp;HOUR(Sync!$U1048),2)&amp;RIGHT("00"&amp;MINUTE(Sync!$U1048),2),IFERROR(RIGHT("00"&amp;VALUE(LEFT(Sync!$U1048,FIND(":",Sync!$U1048)-1)),2)&amp;RIGHT("00"&amp;VALUE(MID(Sync!$U1048,FIND(":",Sync!$U1048)+1,2)),2),"0000"))))</f>
        <v/>
      </c>
    </row>
    <row r="1053" spans="1:17" x14ac:dyDescent="0.2">
      <c r="A1053" t="str">
        <f>IF(Sync!$T1049="","",Sync!$T1049)</f>
        <v/>
      </c>
      <c r="B1053" t="str">
        <f t="shared" si="96"/>
        <v/>
      </c>
      <c r="C1053" t="str">
        <f t="shared" si="97"/>
        <v/>
      </c>
      <c r="D1053" t="str">
        <f t="shared" si="98"/>
        <v/>
      </c>
      <c r="E1053" t="str">
        <f t="shared" si="99"/>
        <v/>
      </c>
      <c r="F1053" t="str">
        <f t="shared" si="100"/>
        <v/>
      </c>
      <c r="G1053" t="str">
        <f>IF(OR($E1053="",$E1053="نامعتبر",Sync!$X1049=""),"",IF(AND(LEFT(UPPER(TRIM(Sync!$X1049)),2)="SL",IFERROR(VLOOKUP(Sync!$W1049,OpTbl,3,0),"")="فروش"),UPPER(TRIM(Sync!$X1049)),""))</f>
        <v/>
      </c>
      <c r="H1053" t="str">
        <f>IF($G1053="","",IF(Sync!$W1049="","",Sync!$W1049))</f>
        <v/>
      </c>
      <c r="I1053" t="str">
        <f>IF(OR($G1053="",Sync!$Y1049=""),"",Sync!$Y1049)</f>
        <v/>
      </c>
      <c r="J1053" t="str">
        <f>IF(OR($G1053="",Sync!$Z1049=""),"",Sync!$Z1049)</f>
        <v/>
      </c>
      <c r="K1053">
        <f>IF($G1053="",0,IF(Sync!$AA1049="",0,Sync!$AA1049))</f>
        <v>0</v>
      </c>
      <c r="L1053">
        <f>IF($G1053="",0,IF(Sync!$AB1049="",0,Sync!$AB1049))</f>
        <v>0</v>
      </c>
      <c r="M1053" t="str">
        <f t="shared" si="101"/>
        <v/>
      </c>
      <c r="N1053">
        <f>IF($G1053="",0,IF($H1053="مرجوعی فروش",-1,1)*IF(Sync!$AC1049="",0,Sync!$AC1049))</f>
        <v>0</v>
      </c>
      <c r="O1053" t="str">
        <f>IF(OR($G1053="",Sync!$V1049=""),"",Sync!$V1049)</f>
        <v/>
      </c>
      <c r="P1053" t="str">
        <f>IF(OR($G1053="",Sync!$AD1049=""),"",Sync!$AD1049)</f>
        <v/>
      </c>
      <c r="Q1053" t="str">
        <f>IF($G1053="","",IF(Sync!$U1049="","0000",IF(AND(ISNUMBER(Sync!$U1049),Sync!$U1049&gt;=0,Sync!$U1049&lt;1),RIGHT("00"&amp;HOUR(Sync!$U1049),2)&amp;RIGHT("00"&amp;MINUTE(Sync!$U1049),2),IFERROR(RIGHT("00"&amp;VALUE(LEFT(Sync!$U1049,FIND(":",Sync!$U1049)-1)),2)&amp;RIGHT("00"&amp;VALUE(MID(Sync!$U1049,FIND(":",Sync!$U1049)+1,2)),2),"0000"))))</f>
        <v/>
      </c>
    </row>
    <row r="1054" spans="1:17" x14ac:dyDescent="0.2">
      <c r="A1054" t="str">
        <f>IF(Sync!$T1050="","",Sync!$T1050)</f>
        <v/>
      </c>
      <c r="B1054" t="str">
        <f t="shared" si="96"/>
        <v/>
      </c>
      <c r="C1054" t="str">
        <f t="shared" si="97"/>
        <v/>
      </c>
      <c r="D1054" t="str">
        <f t="shared" si="98"/>
        <v/>
      </c>
      <c r="E1054" t="str">
        <f t="shared" si="99"/>
        <v/>
      </c>
      <c r="F1054" t="str">
        <f t="shared" si="100"/>
        <v/>
      </c>
      <c r="G1054" t="str">
        <f>IF(OR($E1054="",$E1054="نامعتبر",Sync!$X1050=""),"",IF(AND(LEFT(UPPER(TRIM(Sync!$X1050)),2)="SL",IFERROR(VLOOKUP(Sync!$W1050,OpTbl,3,0),"")="فروش"),UPPER(TRIM(Sync!$X1050)),""))</f>
        <v/>
      </c>
      <c r="H1054" t="str">
        <f>IF($G1054="","",IF(Sync!$W1050="","",Sync!$W1050))</f>
        <v/>
      </c>
      <c r="I1054" t="str">
        <f>IF(OR($G1054="",Sync!$Y1050=""),"",Sync!$Y1050)</f>
        <v/>
      </c>
      <c r="J1054" t="str">
        <f>IF(OR($G1054="",Sync!$Z1050=""),"",Sync!$Z1050)</f>
        <v/>
      </c>
      <c r="K1054">
        <f>IF($G1054="",0,IF(Sync!$AA1050="",0,Sync!$AA1050))</f>
        <v>0</v>
      </c>
      <c r="L1054">
        <f>IF($G1054="",0,IF(Sync!$AB1050="",0,Sync!$AB1050))</f>
        <v>0</v>
      </c>
      <c r="M1054" t="str">
        <f t="shared" si="101"/>
        <v/>
      </c>
      <c r="N1054">
        <f>IF($G1054="",0,IF($H1054="مرجوعی فروش",-1,1)*IF(Sync!$AC1050="",0,Sync!$AC1050))</f>
        <v>0</v>
      </c>
      <c r="O1054" t="str">
        <f>IF(OR($G1054="",Sync!$V1050=""),"",Sync!$V1050)</f>
        <v/>
      </c>
      <c r="P1054" t="str">
        <f>IF(OR($G1054="",Sync!$AD1050=""),"",Sync!$AD1050)</f>
        <v/>
      </c>
      <c r="Q1054" t="str">
        <f>IF($G1054="","",IF(Sync!$U1050="","0000",IF(AND(ISNUMBER(Sync!$U1050),Sync!$U1050&gt;=0,Sync!$U1050&lt;1),RIGHT("00"&amp;HOUR(Sync!$U1050),2)&amp;RIGHT("00"&amp;MINUTE(Sync!$U1050),2),IFERROR(RIGHT("00"&amp;VALUE(LEFT(Sync!$U1050,FIND(":",Sync!$U1050)-1)),2)&amp;RIGHT("00"&amp;VALUE(MID(Sync!$U1050,FIND(":",Sync!$U1050)+1,2)),2),"0000"))))</f>
        <v/>
      </c>
    </row>
    <row r="1055" spans="1:17" x14ac:dyDescent="0.2">
      <c r="A1055" t="str">
        <f>IF(Sync!$T1051="","",Sync!$T1051)</f>
        <v/>
      </c>
      <c r="B1055" t="str">
        <f t="shared" si="96"/>
        <v/>
      </c>
      <c r="C1055" t="str">
        <f t="shared" si="97"/>
        <v/>
      </c>
      <c r="D1055" t="str">
        <f t="shared" si="98"/>
        <v/>
      </c>
      <c r="E1055" t="str">
        <f t="shared" si="99"/>
        <v/>
      </c>
      <c r="F1055" t="str">
        <f t="shared" si="100"/>
        <v/>
      </c>
      <c r="G1055" t="str">
        <f>IF(OR($E1055="",$E1055="نامعتبر",Sync!$X1051=""),"",IF(AND(LEFT(UPPER(TRIM(Sync!$X1051)),2)="SL",IFERROR(VLOOKUP(Sync!$W1051,OpTbl,3,0),"")="فروش"),UPPER(TRIM(Sync!$X1051)),""))</f>
        <v/>
      </c>
      <c r="H1055" t="str">
        <f>IF($G1055="","",IF(Sync!$W1051="","",Sync!$W1051))</f>
        <v/>
      </c>
      <c r="I1055" t="str">
        <f>IF(OR($G1055="",Sync!$Y1051=""),"",Sync!$Y1051)</f>
        <v/>
      </c>
      <c r="J1055" t="str">
        <f>IF(OR($G1055="",Sync!$Z1051=""),"",Sync!$Z1051)</f>
        <v/>
      </c>
      <c r="K1055">
        <f>IF($G1055="",0,IF(Sync!$AA1051="",0,Sync!$AA1051))</f>
        <v>0</v>
      </c>
      <c r="L1055">
        <f>IF($G1055="",0,IF(Sync!$AB1051="",0,Sync!$AB1051))</f>
        <v>0</v>
      </c>
      <c r="M1055" t="str">
        <f t="shared" si="101"/>
        <v/>
      </c>
      <c r="N1055">
        <f>IF($G1055="",0,IF($H1055="مرجوعی فروش",-1,1)*IF(Sync!$AC1051="",0,Sync!$AC1051))</f>
        <v>0</v>
      </c>
      <c r="O1055" t="str">
        <f>IF(OR($G1055="",Sync!$V1051=""),"",Sync!$V1051)</f>
        <v/>
      </c>
      <c r="P1055" t="str">
        <f>IF(OR($G1055="",Sync!$AD1051=""),"",Sync!$AD1051)</f>
        <v/>
      </c>
      <c r="Q1055" t="str">
        <f>IF($G1055="","",IF(Sync!$U1051="","0000",IF(AND(ISNUMBER(Sync!$U1051),Sync!$U1051&gt;=0,Sync!$U1051&lt;1),RIGHT("00"&amp;HOUR(Sync!$U1051),2)&amp;RIGHT("00"&amp;MINUTE(Sync!$U1051),2),IFERROR(RIGHT("00"&amp;VALUE(LEFT(Sync!$U1051,FIND(":",Sync!$U1051)-1)),2)&amp;RIGHT("00"&amp;VALUE(MID(Sync!$U1051,FIND(":",Sync!$U1051)+1,2)),2),"0000"))))</f>
        <v/>
      </c>
    </row>
    <row r="1056" spans="1:17" x14ac:dyDescent="0.2">
      <c r="A1056" t="str">
        <f>IF(Sync!$T1052="","",Sync!$T1052)</f>
        <v/>
      </c>
      <c r="B1056" t="str">
        <f t="shared" si="96"/>
        <v/>
      </c>
      <c r="C1056" t="str">
        <f t="shared" si="97"/>
        <v/>
      </c>
      <c r="D1056" t="str">
        <f t="shared" si="98"/>
        <v/>
      </c>
      <c r="E1056" t="str">
        <f t="shared" si="99"/>
        <v/>
      </c>
      <c r="F1056" t="str">
        <f t="shared" si="100"/>
        <v/>
      </c>
      <c r="G1056" t="str">
        <f>IF(OR($E1056="",$E1056="نامعتبر",Sync!$X1052=""),"",IF(AND(LEFT(UPPER(TRIM(Sync!$X1052)),2)="SL",IFERROR(VLOOKUP(Sync!$W1052,OpTbl,3,0),"")="فروش"),UPPER(TRIM(Sync!$X1052)),""))</f>
        <v/>
      </c>
      <c r="H1056" t="str">
        <f>IF($G1056="","",IF(Sync!$W1052="","",Sync!$W1052))</f>
        <v/>
      </c>
      <c r="I1056" t="str">
        <f>IF(OR($G1056="",Sync!$Y1052=""),"",Sync!$Y1052)</f>
        <v/>
      </c>
      <c r="J1056" t="str">
        <f>IF(OR($G1056="",Sync!$Z1052=""),"",Sync!$Z1052)</f>
        <v/>
      </c>
      <c r="K1056">
        <f>IF($G1056="",0,IF(Sync!$AA1052="",0,Sync!$AA1052))</f>
        <v>0</v>
      </c>
      <c r="L1056">
        <f>IF($G1056="",0,IF(Sync!$AB1052="",0,Sync!$AB1052))</f>
        <v>0</v>
      </c>
      <c r="M1056" t="str">
        <f t="shared" si="101"/>
        <v/>
      </c>
      <c r="N1056">
        <f>IF($G1056="",0,IF($H1056="مرجوعی فروش",-1,1)*IF(Sync!$AC1052="",0,Sync!$AC1052))</f>
        <v>0</v>
      </c>
      <c r="O1056" t="str">
        <f>IF(OR($G1056="",Sync!$V1052=""),"",Sync!$V1052)</f>
        <v/>
      </c>
      <c r="P1056" t="str">
        <f>IF(OR($G1056="",Sync!$AD1052=""),"",Sync!$AD1052)</f>
        <v/>
      </c>
      <c r="Q1056" t="str">
        <f>IF($G1056="","",IF(Sync!$U1052="","0000",IF(AND(ISNUMBER(Sync!$U1052),Sync!$U1052&gt;=0,Sync!$U1052&lt;1),RIGHT("00"&amp;HOUR(Sync!$U1052),2)&amp;RIGHT("00"&amp;MINUTE(Sync!$U1052),2),IFERROR(RIGHT("00"&amp;VALUE(LEFT(Sync!$U1052,FIND(":",Sync!$U1052)-1)),2)&amp;RIGHT("00"&amp;VALUE(MID(Sync!$U1052,FIND(":",Sync!$U1052)+1,2)),2),"0000"))))</f>
        <v/>
      </c>
    </row>
    <row r="1057" spans="1:17" x14ac:dyDescent="0.2">
      <c r="A1057" t="str">
        <f>IF(Sync!$T1053="","",Sync!$T1053)</f>
        <v/>
      </c>
      <c r="B1057" t="str">
        <f t="shared" si="96"/>
        <v/>
      </c>
      <c r="C1057" t="str">
        <f t="shared" si="97"/>
        <v/>
      </c>
      <c r="D1057" t="str">
        <f t="shared" si="98"/>
        <v/>
      </c>
      <c r="E1057" t="str">
        <f t="shared" si="99"/>
        <v/>
      </c>
      <c r="F1057" t="str">
        <f t="shared" si="100"/>
        <v/>
      </c>
      <c r="G1057" t="str">
        <f>IF(OR($E1057="",$E1057="نامعتبر",Sync!$X1053=""),"",IF(AND(LEFT(UPPER(TRIM(Sync!$X1053)),2)="SL",IFERROR(VLOOKUP(Sync!$W1053,OpTbl,3,0),"")="فروش"),UPPER(TRIM(Sync!$X1053)),""))</f>
        <v/>
      </c>
      <c r="H1057" t="str">
        <f>IF($G1057="","",IF(Sync!$W1053="","",Sync!$W1053))</f>
        <v/>
      </c>
      <c r="I1057" t="str">
        <f>IF(OR($G1057="",Sync!$Y1053=""),"",Sync!$Y1053)</f>
        <v/>
      </c>
      <c r="J1057" t="str">
        <f>IF(OR($G1057="",Sync!$Z1053=""),"",Sync!$Z1053)</f>
        <v/>
      </c>
      <c r="K1057">
        <f>IF($G1057="",0,IF(Sync!$AA1053="",0,Sync!$AA1053))</f>
        <v>0</v>
      </c>
      <c r="L1057">
        <f>IF($G1057="",0,IF(Sync!$AB1053="",0,Sync!$AB1053))</f>
        <v>0</v>
      </c>
      <c r="M1057" t="str">
        <f t="shared" si="101"/>
        <v/>
      </c>
      <c r="N1057">
        <f>IF($G1057="",0,IF($H1057="مرجوعی فروش",-1,1)*IF(Sync!$AC1053="",0,Sync!$AC1053))</f>
        <v>0</v>
      </c>
      <c r="O1057" t="str">
        <f>IF(OR($G1057="",Sync!$V1053=""),"",Sync!$V1053)</f>
        <v/>
      </c>
      <c r="P1057" t="str">
        <f>IF(OR($G1057="",Sync!$AD1053=""),"",Sync!$AD1053)</f>
        <v/>
      </c>
      <c r="Q1057" t="str">
        <f>IF($G1057="","",IF(Sync!$U1053="","0000",IF(AND(ISNUMBER(Sync!$U1053),Sync!$U1053&gt;=0,Sync!$U1053&lt;1),RIGHT("00"&amp;HOUR(Sync!$U1053),2)&amp;RIGHT("00"&amp;MINUTE(Sync!$U1053),2),IFERROR(RIGHT("00"&amp;VALUE(LEFT(Sync!$U1053,FIND(":",Sync!$U1053)-1)),2)&amp;RIGHT("00"&amp;VALUE(MID(Sync!$U1053,FIND(":",Sync!$U1053)+1,2)),2),"0000"))))</f>
        <v/>
      </c>
    </row>
    <row r="1058" spans="1:17" x14ac:dyDescent="0.2">
      <c r="A1058" t="str">
        <f>IF(Sync!$T1054="","",Sync!$T1054)</f>
        <v/>
      </c>
      <c r="B1058" t="str">
        <f t="shared" si="96"/>
        <v/>
      </c>
      <c r="C1058" t="str">
        <f t="shared" si="97"/>
        <v/>
      </c>
      <c r="D1058" t="str">
        <f t="shared" si="98"/>
        <v/>
      </c>
      <c r="E1058" t="str">
        <f t="shared" si="99"/>
        <v/>
      </c>
      <c r="F1058" t="str">
        <f t="shared" si="100"/>
        <v/>
      </c>
      <c r="G1058" t="str">
        <f>IF(OR($E1058="",$E1058="نامعتبر",Sync!$X1054=""),"",IF(AND(LEFT(UPPER(TRIM(Sync!$X1054)),2)="SL",IFERROR(VLOOKUP(Sync!$W1054,OpTbl,3,0),"")="فروش"),UPPER(TRIM(Sync!$X1054)),""))</f>
        <v/>
      </c>
      <c r="H1058" t="str">
        <f>IF($G1058="","",IF(Sync!$W1054="","",Sync!$W1054))</f>
        <v/>
      </c>
      <c r="I1058" t="str">
        <f>IF(OR($G1058="",Sync!$Y1054=""),"",Sync!$Y1054)</f>
        <v/>
      </c>
      <c r="J1058" t="str">
        <f>IF(OR($G1058="",Sync!$Z1054=""),"",Sync!$Z1054)</f>
        <v/>
      </c>
      <c r="K1058">
        <f>IF($G1058="",0,IF(Sync!$AA1054="",0,Sync!$AA1054))</f>
        <v>0</v>
      </c>
      <c r="L1058">
        <f>IF($G1058="",0,IF(Sync!$AB1054="",0,Sync!$AB1054))</f>
        <v>0</v>
      </c>
      <c r="M1058" t="str">
        <f t="shared" si="101"/>
        <v/>
      </c>
      <c r="N1058">
        <f>IF($G1058="",0,IF($H1058="مرجوعی فروش",-1,1)*IF(Sync!$AC1054="",0,Sync!$AC1054))</f>
        <v>0</v>
      </c>
      <c r="O1058" t="str">
        <f>IF(OR($G1058="",Sync!$V1054=""),"",Sync!$V1054)</f>
        <v/>
      </c>
      <c r="P1058" t="str">
        <f>IF(OR($G1058="",Sync!$AD1054=""),"",Sync!$AD1054)</f>
        <v/>
      </c>
      <c r="Q1058" t="str">
        <f>IF($G1058="","",IF(Sync!$U1054="","0000",IF(AND(ISNUMBER(Sync!$U1054),Sync!$U1054&gt;=0,Sync!$U1054&lt;1),RIGHT("00"&amp;HOUR(Sync!$U1054),2)&amp;RIGHT("00"&amp;MINUTE(Sync!$U1054),2),IFERROR(RIGHT("00"&amp;VALUE(LEFT(Sync!$U1054,FIND(":",Sync!$U1054)-1)),2)&amp;RIGHT("00"&amp;VALUE(MID(Sync!$U1054,FIND(":",Sync!$U1054)+1,2)),2),"0000"))))</f>
        <v/>
      </c>
    </row>
    <row r="1059" spans="1:17" x14ac:dyDescent="0.2">
      <c r="A1059" t="str">
        <f>IF(Sync!$T1055="","",Sync!$T1055)</f>
        <v/>
      </c>
      <c r="B1059" t="str">
        <f t="shared" si="96"/>
        <v/>
      </c>
      <c r="C1059" t="str">
        <f t="shared" si="97"/>
        <v/>
      </c>
      <c r="D1059" t="str">
        <f t="shared" si="98"/>
        <v/>
      </c>
      <c r="E1059" t="str">
        <f t="shared" si="99"/>
        <v/>
      </c>
      <c r="F1059" t="str">
        <f t="shared" si="100"/>
        <v/>
      </c>
      <c r="G1059" t="str">
        <f>IF(OR($E1059="",$E1059="نامعتبر",Sync!$X1055=""),"",IF(AND(LEFT(UPPER(TRIM(Sync!$X1055)),2)="SL",IFERROR(VLOOKUP(Sync!$W1055,OpTbl,3,0),"")="فروش"),UPPER(TRIM(Sync!$X1055)),""))</f>
        <v/>
      </c>
      <c r="H1059" t="str">
        <f>IF($G1059="","",IF(Sync!$W1055="","",Sync!$W1055))</f>
        <v/>
      </c>
      <c r="I1059" t="str">
        <f>IF(OR($G1059="",Sync!$Y1055=""),"",Sync!$Y1055)</f>
        <v/>
      </c>
      <c r="J1059" t="str">
        <f>IF(OR($G1059="",Sync!$Z1055=""),"",Sync!$Z1055)</f>
        <v/>
      </c>
      <c r="K1059">
        <f>IF($G1059="",0,IF(Sync!$AA1055="",0,Sync!$AA1055))</f>
        <v>0</v>
      </c>
      <c r="L1059">
        <f>IF($G1059="",0,IF(Sync!$AB1055="",0,Sync!$AB1055))</f>
        <v>0</v>
      </c>
      <c r="M1059" t="str">
        <f t="shared" si="101"/>
        <v/>
      </c>
      <c r="N1059">
        <f>IF($G1059="",0,IF($H1059="مرجوعی فروش",-1,1)*IF(Sync!$AC1055="",0,Sync!$AC1055))</f>
        <v>0</v>
      </c>
      <c r="O1059" t="str">
        <f>IF(OR($G1059="",Sync!$V1055=""),"",Sync!$V1055)</f>
        <v/>
      </c>
      <c r="P1059" t="str">
        <f>IF(OR($G1059="",Sync!$AD1055=""),"",Sync!$AD1055)</f>
        <v/>
      </c>
      <c r="Q1059" t="str">
        <f>IF($G1059="","",IF(Sync!$U1055="","0000",IF(AND(ISNUMBER(Sync!$U1055),Sync!$U1055&gt;=0,Sync!$U1055&lt;1),RIGHT("00"&amp;HOUR(Sync!$U1055),2)&amp;RIGHT("00"&amp;MINUTE(Sync!$U1055),2),IFERROR(RIGHT("00"&amp;VALUE(LEFT(Sync!$U1055,FIND(":",Sync!$U1055)-1)),2)&amp;RIGHT("00"&amp;VALUE(MID(Sync!$U1055,FIND(":",Sync!$U1055)+1,2)),2),"0000"))))</f>
        <v/>
      </c>
    </row>
    <row r="1060" spans="1:17" x14ac:dyDescent="0.2">
      <c r="A1060" t="str">
        <f>IF(Sync!$T1056="","",Sync!$T1056)</f>
        <v/>
      </c>
      <c r="B1060" t="str">
        <f t="shared" si="96"/>
        <v/>
      </c>
      <c r="C1060" t="str">
        <f t="shared" si="97"/>
        <v/>
      </c>
      <c r="D1060" t="str">
        <f t="shared" si="98"/>
        <v/>
      </c>
      <c r="E1060" t="str">
        <f t="shared" si="99"/>
        <v/>
      </c>
      <c r="F1060" t="str">
        <f t="shared" si="100"/>
        <v/>
      </c>
      <c r="G1060" t="str">
        <f>IF(OR($E1060="",$E1060="نامعتبر",Sync!$X1056=""),"",IF(AND(LEFT(UPPER(TRIM(Sync!$X1056)),2)="SL",IFERROR(VLOOKUP(Sync!$W1056,OpTbl,3,0),"")="فروش"),UPPER(TRIM(Sync!$X1056)),""))</f>
        <v/>
      </c>
      <c r="H1060" t="str">
        <f>IF($G1060="","",IF(Sync!$W1056="","",Sync!$W1056))</f>
        <v/>
      </c>
      <c r="I1060" t="str">
        <f>IF(OR($G1060="",Sync!$Y1056=""),"",Sync!$Y1056)</f>
        <v/>
      </c>
      <c r="J1060" t="str">
        <f>IF(OR($G1060="",Sync!$Z1056=""),"",Sync!$Z1056)</f>
        <v/>
      </c>
      <c r="K1060">
        <f>IF($G1060="",0,IF(Sync!$AA1056="",0,Sync!$AA1056))</f>
        <v>0</v>
      </c>
      <c r="L1060">
        <f>IF($G1060="",0,IF(Sync!$AB1056="",0,Sync!$AB1056))</f>
        <v>0</v>
      </c>
      <c r="M1060" t="str">
        <f t="shared" si="101"/>
        <v/>
      </c>
      <c r="N1060">
        <f>IF($G1060="",0,IF($H1060="مرجوعی فروش",-1,1)*IF(Sync!$AC1056="",0,Sync!$AC1056))</f>
        <v>0</v>
      </c>
      <c r="O1060" t="str">
        <f>IF(OR($G1060="",Sync!$V1056=""),"",Sync!$V1056)</f>
        <v/>
      </c>
      <c r="P1060" t="str">
        <f>IF(OR($G1060="",Sync!$AD1056=""),"",Sync!$AD1056)</f>
        <v/>
      </c>
      <c r="Q1060" t="str">
        <f>IF($G1060="","",IF(Sync!$U1056="","0000",IF(AND(ISNUMBER(Sync!$U1056),Sync!$U1056&gt;=0,Sync!$U1056&lt;1),RIGHT("00"&amp;HOUR(Sync!$U1056),2)&amp;RIGHT("00"&amp;MINUTE(Sync!$U1056),2),IFERROR(RIGHT("00"&amp;VALUE(LEFT(Sync!$U1056,FIND(":",Sync!$U1056)-1)),2)&amp;RIGHT("00"&amp;VALUE(MID(Sync!$U1056,FIND(":",Sync!$U1056)+1,2)),2),"0000"))))</f>
        <v/>
      </c>
    </row>
    <row r="1061" spans="1:17" x14ac:dyDescent="0.2">
      <c r="A1061" t="str">
        <f>IF(Sync!$T1057="","",Sync!$T1057)</f>
        <v/>
      </c>
      <c r="B1061" t="str">
        <f t="shared" si="96"/>
        <v/>
      </c>
      <c r="C1061" t="str">
        <f t="shared" si="97"/>
        <v/>
      </c>
      <c r="D1061" t="str">
        <f t="shared" si="98"/>
        <v/>
      </c>
      <c r="E1061" t="str">
        <f t="shared" si="99"/>
        <v/>
      </c>
      <c r="F1061" t="str">
        <f t="shared" si="100"/>
        <v/>
      </c>
      <c r="G1061" t="str">
        <f>IF(OR($E1061="",$E1061="نامعتبر",Sync!$X1057=""),"",IF(AND(LEFT(UPPER(TRIM(Sync!$X1057)),2)="SL",IFERROR(VLOOKUP(Sync!$W1057,OpTbl,3,0),"")="فروش"),UPPER(TRIM(Sync!$X1057)),""))</f>
        <v/>
      </c>
      <c r="H1061" t="str">
        <f>IF($G1061="","",IF(Sync!$W1057="","",Sync!$W1057))</f>
        <v/>
      </c>
      <c r="I1061" t="str">
        <f>IF(OR($G1061="",Sync!$Y1057=""),"",Sync!$Y1057)</f>
        <v/>
      </c>
      <c r="J1061" t="str">
        <f>IF(OR($G1061="",Sync!$Z1057=""),"",Sync!$Z1057)</f>
        <v/>
      </c>
      <c r="K1061">
        <f>IF($G1061="",0,IF(Sync!$AA1057="",0,Sync!$AA1057))</f>
        <v>0</v>
      </c>
      <c r="L1061">
        <f>IF($G1061="",0,IF(Sync!$AB1057="",0,Sync!$AB1057))</f>
        <v>0</v>
      </c>
      <c r="M1061" t="str">
        <f t="shared" si="101"/>
        <v/>
      </c>
      <c r="N1061">
        <f>IF($G1061="",0,IF($H1061="مرجوعی فروش",-1,1)*IF(Sync!$AC1057="",0,Sync!$AC1057))</f>
        <v>0</v>
      </c>
      <c r="O1061" t="str">
        <f>IF(OR($G1061="",Sync!$V1057=""),"",Sync!$V1057)</f>
        <v/>
      </c>
      <c r="P1061" t="str">
        <f>IF(OR($G1061="",Sync!$AD1057=""),"",Sync!$AD1057)</f>
        <v/>
      </c>
      <c r="Q1061" t="str">
        <f>IF($G1061="","",IF(Sync!$U1057="","0000",IF(AND(ISNUMBER(Sync!$U1057),Sync!$U1057&gt;=0,Sync!$U1057&lt;1),RIGHT("00"&amp;HOUR(Sync!$U1057),2)&amp;RIGHT("00"&amp;MINUTE(Sync!$U1057),2),IFERROR(RIGHT("00"&amp;VALUE(LEFT(Sync!$U1057,FIND(":",Sync!$U1057)-1)),2)&amp;RIGHT("00"&amp;VALUE(MID(Sync!$U1057,FIND(":",Sync!$U1057)+1,2)),2),"0000"))))</f>
        <v/>
      </c>
    </row>
    <row r="1062" spans="1:17" x14ac:dyDescent="0.2">
      <c r="A1062" t="str">
        <f>IF(Sync!$T1058="","",Sync!$T1058)</f>
        <v/>
      </c>
      <c r="B1062" t="str">
        <f t="shared" si="96"/>
        <v/>
      </c>
      <c r="C1062" t="str">
        <f t="shared" si="97"/>
        <v/>
      </c>
      <c r="D1062" t="str">
        <f t="shared" si="98"/>
        <v/>
      </c>
      <c r="E1062" t="str">
        <f t="shared" si="99"/>
        <v/>
      </c>
      <c r="F1062" t="str">
        <f t="shared" si="100"/>
        <v/>
      </c>
      <c r="G1062" t="str">
        <f>IF(OR($E1062="",$E1062="نامعتبر",Sync!$X1058=""),"",IF(AND(LEFT(UPPER(TRIM(Sync!$X1058)),2)="SL",IFERROR(VLOOKUP(Sync!$W1058,OpTbl,3,0),"")="فروش"),UPPER(TRIM(Sync!$X1058)),""))</f>
        <v/>
      </c>
      <c r="H1062" t="str">
        <f>IF($G1062="","",IF(Sync!$W1058="","",Sync!$W1058))</f>
        <v/>
      </c>
      <c r="I1062" t="str">
        <f>IF(OR($G1062="",Sync!$Y1058=""),"",Sync!$Y1058)</f>
        <v/>
      </c>
      <c r="J1062" t="str">
        <f>IF(OR($G1062="",Sync!$Z1058=""),"",Sync!$Z1058)</f>
        <v/>
      </c>
      <c r="K1062">
        <f>IF($G1062="",0,IF(Sync!$AA1058="",0,Sync!$AA1058))</f>
        <v>0</v>
      </c>
      <c r="L1062">
        <f>IF($G1062="",0,IF(Sync!$AB1058="",0,Sync!$AB1058))</f>
        <v>0</v>
      </c>
      <c r="M1062" t="str">
        <f t="shared" si="101"/>
        <v/>
      </c>
      <c r="N1062">
        <f>IF($G1062="",0,IF($H1062="مرجوعی فروش",-1,1)*IF(Sync!$AC1058="",0,Sync!$AC1058))</f>
        <v>0</v>
      </c>
      <c r="O1062" t="str">
        <f>IF(OR($G1062="",Sync!$V1058=""),"",Sync!$V1058)</f>
        <v/>
      </c>
      <c r="P1062" t="str">
        <f>IF(OR($G1062="",Sync!$AD1058=""),"",Sync!$AD1058)</f>
        <v/>
      </c>
      <c r="Q1062" t="str">
        <f>IF($G1062="","",IF(Sync!$U1058="","0000",IF(AND(ISNUMBER(Sync!$U1058),Sync!$U1058&gt;=0,Sync!$U1058&lt;1),RIGHT("00"&amp;HOUR(Sync!$U1058),2)&amp;RIGHT("00"&amp;MINUTE(Sync!$U1058),2),IFERROR(RIGHT("00"&amp;VALUE(LEFT(Sync!$U1058,FIND(":",Sync!$U1058)-1)),2)&amp;RIGHT("00"&amp;VALUE(MID(Sync!$U1058,FIND(":",Sync!$U1058)+1,2)),2),"0000"))))</f>
        <v/>
      </c>
    </row>
    <row r="1063" spans="1:17" x14ac:dyDescent="0.2">
      <c r="A1063" t="str">
        <f>IF(Sync!$T1059="","",Sync!$T1059)</f>
        <v/>
      </c>
      <c r="B1063" t="str">
        <f t="shared" si="96"/>
        <v/>
      </c>
      <c r="C1063" t="str">
        <f t="shared" si="97"/>
        <v/>
      </c>
      <c r="D1063" t="str">
        <f t="shared" si="98"/>
        <v/>
      </c>
      <c r="E1063" t="str">
        <f t="shared" si="99"/>
        <v/>
      </c>
      <c r="F1063" t="str">
        <f t="shared" si="100"/>
        <v/>
      </c>
      <c r="G1063" t="str">
        <f>IF(OR($E1063="",$E1063="نامعتبر",Sync!$X1059=""),"",IF(AND(LEFT(UPPER(TRIM(Sync!$X1059)),2)="SL",IFERROR(VLOOKUP(Sync!$W1059,OpTbl,3,0),"")="فروش"),UPPER(TRIM(Sync!$X1059)),""))</f>
        <v/>
      </c>
      <c r="H1063" t="str">
        <f>IF($G1063="","",IF(Sync!$W1059="","",Sync!$W1059))</f>
        <v/>
      </c>
      <c r="I1063" t="str">
        <f>IF(OR($G1063="",Sync!$Y1059=""),"",Sync!$Y1059)</f>
        <v/>
      </c>
      <c r="J1063" t="str">
        <f>IF(OR($G1063="",Sync!$Z1059=""),"",Sync!$Z1059)</f>
        <v/>
      </c>
      <c r="K1063">
        <f>IF($G1063="",0,IF(Sync!$AA1059="",0,Sync!$AA1059))</f>
        <v>0</v>
      </c>
      <c r="L1063">
        <f>IF($G1063="",0,IF(Sync!$AB1059="",0,Sync!$AB1059))</f>
        <v>0</v>
      </c>
      <c r="M1063" t="str">
        <f t="shared" si="101"/>
        <v/>
      </c>
      <c r="N1063">
        <f>IF($G1063="",0,IF($H1063="مرجوعی فروش",-1,1)*IF(Sync!$AC1059="",0,Sync!$AC1059))</f>
        <v>0</v>
      </c>
      <c r="O1063" t="str">
        <f>IF(OR($G1063="",Sync!$V1059=""),"",Sync!$V1059)</f>
        <v/>
      </c>
      <c r="P1063" t="str">
        <f>IF(OR($G1063="",Sync!$AD1059=""),"",Sync!$AD1059)</f>
        <v/>
      </c>
      <c r="Q1063" t="str">
        <f>IF($G1063="","",IF(Sync!$U1059="","0000",IF(AND(ISNUMBER(Sync!$U1059),Sync!$U1059&gt;=0,Sync!$U1059&lt;1),RIGHT("00"&amp;HOUR(Sync!$U1059),2)&amp;RIGHT("00"&amp;MINUTE(Sync!$U1059),2),IFERROR(RIGHT("00"&amp;VALUE(LEFT(Sync!$U1059,FIND(":",Sync!$U1059)-1)),2)&amp;RIGHT("00"&amp;VALUE(MID(Sync!$U1059,FIND(":",Sync!$U1059)+1,2)),2),"0000"))))</f>
        <v/>
      </c>
    </row>
    <row r="1064" spans="1:17" x14ac:dyDescent="0.2">
      <c r="A1064" t="str">
        <f>IF(Sync!$T1060="","",Sync!$T1060)</f>
        <v/>
      </c>
      <c r="B1064" t="str">
        <f t="shared" si="96"/>
        <v/>
      </c>
      <c r="C1064" t="str">
        <f t="shared" si="97"/>
        <v/>
      </c>
      <c r="D1064" t="str">
        <f t="shared" si="98"/>
        <v/>
      </c>
      <c r="E1064" t="str">
        <f t="shared" si="99"/>
        <v/>
      </c>
      <c r="F1064" t="str">
        <f t="shared" si="100"/>
        <v/>
      </c>
      <c r="G1064" t="str">
        <f>IF(OR($E1064="",$E1064="نامعتبر",Sync!$X1060=""),"",IF(AND(LEFT(UPPER(TRIM(Sync!$X1060)),2)="SL",IFERROR(VLOOKUP(Sync!$W1060,OpTbl,3,0),"")="فروش"),UPPER(TRIM(Sync!$X1060)),""))</f>
        <v/>
      </c>
      <c r="H1064" t="str">
        <f>IF($G1064="","",IF(Sync!$W1060="","",Sync!$W1060))</f>
        <v/>
      </c>
      <c r="I1064" t="str">
        <f>IF(OR($G1064="",Sync!$Y1060=""),"",Sync!$Y1060)</f>
        <v/>
      </c>
      <c r="J1064" t="str">
        <f>IF(OR($G1064="",Sync!$Z1060=""),"",Sync!$Z1060)</f>
        <v/>
      </c>
      <c r="K1064">
        <f>IF($G1064="",0,IF(Sync!$AA1060="",0,Sync!$AA1060))</f>
        <v>0</v>
      </c>
      <c r="L1064">
        <f>IF($G1064="",0,IF(Sync!$AB1060="",0,Sync!$AB1060))</f>
        <v>0</v>
      </c>
      <c r="M1064" t="str">
        <f t="shared" si="101"/>
        <v/>
      </c>
      <c r="N1064">
        <f>IF($G1064="",0,IF($H1064="مرجوعی فروش",-1,1)*IF(Sync!$AC1060="",0,Sync!$AC1060))</f>
        <v>0</v>
      </c>
      <c r="O1064" t="str">
        <f>IF(OR($G1064="",Sync!$V1060=""),"",Sync!$V1060)</f>
        <v/>
      </c>
      <c r="P1064" t="str">
        <f>IF(OR($G1064="",Sync!$AD1060=""),"",Sync!$AD1060)</f>
        <v/>
      </c>
      <c r="Q1064" t="str">
        <f>IF($G1064="","",IF(Sync!$U1060="","0000",IF(AND(ISNUMBER(Sync!$U1060),Sync!$U1060&gt;=0,Sync!$U1060&lt;1),RIGHT("00"&amp;HOUR(Sync!$U1060),2)&amp;RIGHT("00"&amp;MINUTE(Sync!$U1060),2),IFERROR(RIGHT("00"&amp;VALUE(LEFT(Sync!$U1060,FIND(":",Sync!$U1060)-1)),2)&amp;RIGHT("00"&amp;VALUE(MID(Sync!$U1060,FIND(":",Sync!$U1060)+1,2)),2),"0000"))))</f>
        <v/>
      </c>
    </row>
    <row r="1065" spans="1:17" x14ac:dyDescent="0.2">
      <c r="A1065" t="str">
        <f>IF(Sync!$T1061="","",Sync!$T1061)</f>
        <v/>
      </c>
      <c r="B1065" t="str">
        <f t="shared" si="96"/>
        <v/>
      </c>
      <c r="C1065" t="str">
        <f t="shared" si="97"/>
        <v/>
      </c>
      <c r="D1065" t="str">
        <f t="shared" si="98"/>
        <v/>
      </c>
      <c r="E1065" t="str">
        <f t="shared" si="99"/>
        <v/>
      </c>
      <c r="F1065" t="str">
        <f t="shared" si="100"/>
        <v/>
      </c>
      <c r="G1065" t="str">
        <f>IF(OR($E1065="",$E1065="نامعتبر",Sync!$X1061=""),"",IF(AND(LEFT(UPPER(TRIM(Sync!$X1061)),2)="SL",IFERROR(VLOOKUP(Sync!$W1061,OpTbl,3,0),"")="فروش"),UPPER(TRIM(Sync!$X1061)),""))</f>
        <v/>
      </c>
      <c r="H1065" t="str">
        <f>IF($G1065="","",IF(Sync!$W1061="","",Sync!$W1061))</f>
        <v/>
      </c>
      <c r="I1065" t="str">
        <f>IF(OR($G1065="",Sync!$Y1061=""),"",Sync!$Y1061)</f>
        <v/>
      </c>
      <c r="J1065" t="str">
        <f>IF(OR($G1065="",Sync!$Z1061=""),"",Sync!$Z1061)</f>
        <v/>
      </c>
      <c r="K1065">
        <f>IF($G1065="",0,IF(Sync!$AA1061="",0,Sync!$AA1061))</f>
        <v>0</v>
      </c>
      <c r="L1065">
        <f>IF($G1065="",0,IF(Sync!$AB1061="",0,Sync!$AB1061))</f>
        <v>0</v>
      </c>
      <c r="M1065" t="str">
        <f t="shared" si="101"/>
        <v/>
      </c>
      <c r="N1065">
        <f>IF($G1065="",0,IF($H1065="مرجوعی فروش",-1,1)*IF(Sync!$AC1061="",0,Sync!$AC1061))</f>
        <v>0</v>
      </c>
      <c r="O1065" t="str">
        <f>IF(OR($G1065="",Sync!$V1061=""),"",Sync!$V1061)</f>
        <v/>
      </c>
      <c r="P1065" t="str">
        <f>IF(OR($G1065="",Sync!$AD1061=""),"",Sync!$AD1061)</f>
        <v/>
      </c>
      <c r="Q1065" t="str">
        <f>IF($G1065="","",IF(Sync!$U1061="","0000",IF(AND(ISNUMBER(Sync!$U1061),Sync!$U1061&gt;=0,Sync!$U1061&lt;1),RIGHT("00"&amp;HOUR(Sync!$U1061),2)&amp;RIGHT("00"&amp;MINUTE(Sync!$U1061),2),IFERROR(RIGHT("00"&amp;VALUE(LEFT(Sync!$U1061,FIND(":",Sync!$U1061)-1)),2)&amp;RIGHT("00"&amp;VALUE(MID(Sync!$U1061,FIND(":",Sync!$U1061)+1,2)),2),"0000"))))</f>
        <v/>
      </c>
    </row>
    <row r="1066" spans="1:17" x14ac:dyDescent="0.2">
      <c r="A1066" t="str">
        <f>IF(Sync!$T1062="","",Sync!$T1062)</f>
        <v/>
      </c>
      <c r="B1066" t="str">
        <f t="shared" si="96"/>
        <v/>
      </c>
      <c r="C1066" t="str">
        <f t="shared" si="97"/>
        <v/>
      </c>
      <c r="D1066" t="str">
        <f t="shared" si="98"/>
        <v/>
      </c>
      <c r="E1066" t="str">
        <f t="shared" si="99"/>
        <v/>
      </c>
      <c r="F1066" t="str">
        <f t="shared" si="100"/>
        <v/>
      </c>
      <c r="G1066" t="str">
        <f>IF(OR($E1066="",$E1066="نامعتبر",Sync!$X1062=""),"",IF(AND(LEFT(UPPER(TRIM(Sync!$X1062)),2)="SL",IFERROR(VLOOKUP(Sync!$W1062,OpTbl,3,0),"")="فروش"),UPPER(TRIM(Sync!$X1062)),""))</f>
        <v/>
      </c>
      <c r="H1066" t="str">
        <f>IF($G1066="","",IF(Sync!$W1062="","",Sync!$W1062))</f>
        <v/>
      </c>
      <c r="I1066" t="str">
        <f>IF(OR($G1066="",Sync!$Y1062=""),"",Sync!$Y1062)</f>
        <v/>
      </c>
      <c r="J1066" t="str">
        <f>IF(OR($G1066="",Sync!$Z1062=""),"",Sync!$Z1062)</f>
        <v/>
      </c>
      <c r="K1066">
        <f>IF($G1066="",0,IF(Sync!$AA1062="",0,Sync!$AA1062))</f>
        <v>0</v>
      </c>
      <c r="L1066">
        <f>IF($G1066="",0,IF(Sync!$AB1062="",0,Sync!$AB1062))</f>
        <v>0</v>
      </c>
      <c r="M1066" t="str">
        <f t="shared" si="101"/>
        <v/>
      </c>
      <c r="N1066">
        <f>IF($G1066="",0,IF($H1066="مرجوعی فروش",-1,1)*IF(Sync!$AC1062="",0,Sync!$AC1062))</f>
        <v>0</v>
      </c>
      <c r="O1066" t="str">
        <f>IF(OR($G1066="",Sync!$V1062=""),"",Sync!$V1062)</f>
        <v/>
      </c>
      <c r="P1066" t="str">
        <f>IF(OR($G1066="",Sync!$AD1062=""),"",Sync!$AD1062)</f>
        <v/>
      </c>
      <c r="Q1066" t="str">
        <f>IF($G1066="","",IF(Sync!$U1062="","0000",IF(AND(ISNUMBER(Sync!$U1062),Sync!$U1062&gt;=0,Sync!$U1062&lt;1),RIGHT("00"&amp;HOUR(Sync!$U1062),2)&amp;RIGHT("00"&amp;MINUTE(Sync!$U1062),2),IFERROR(RIGHT("00"&amp;VALUE(LEFT(Sync!$U1062,FIND(":",Sync!$U1062)-1)),2)&amp;RIGHT("00"&amp;VALUE(MID(Sync!$U1062,FIND(":",Sync!$U1062)+1,2)),2),"0000"))))</f>
        <v/>
      </c>
    </row>
    <row r="1067" spans="1:17" x14ac:dyDescent="0.2">
      <c r="A1067" t="str">
        <f>IF(Sync!$T1063="","",Sync!$T1063)</f>
        <v/>
      </c>
      <c r="B1067" t="str">
        <f t="shared" si="96"/>
        <v/>
      </c>
      <c r="C1067" t="str">
        <f t="shared" si="97"/>
        <v/>
      </c>
      <c r="D1067" t="str">
        <f t="shared" si="98"/>
        <v/>
      </c>
      <c r="E1067" t="str">
        <f t="shared" si="99"/>
        <v/>
      </c>
      <c r="F1067" t="str">
        <f t="shared" si="100"/>
        <v/>
      </c>
      <c r="G1067" t="str">
        <f>IF(OR($E1067="",$E1067="نامعتبر",Sync!$X1063=""),"",IF(AND(LEFT(UPPER(TRIM(Sync!$X1063)),2)="SL",IFERROR(VLOOKUP(Sync!$W1063,OpTbl,3,0),"")="فروش"),UPPER(TRIM(Sync!$X1063)),""))</f>
        <v/>
      </c>
      <c r="H1067" t="str">
        <f>IF($G1067="","",IF(Sync!$W1063="","",Sync!$W1063))</f>
        <v/>
      </c>
      <c r="I1067" t="str">
        <f>IF(OR($G1067="",Sync!$Y1063=""),"",Sync!$Y1063)</f>
        <v/>
      </c>
      <c r="J1067" t="str">
        <f>IF(OR($G1067="",Sync!$Z1063=""),"",Sync!$Z1063)</f>
        <v/>
      </c>
      <c r="K1067">
        <f>IF($G1067="",0,IF(Sync!$AA1063="",0,Sync!$AA1063))</f>
        <v>0</v>
      </c>
      <c r="L1067">
        <f>IF($G1067="",0,IF(Sync!$AB1063="",0,Sync!$AB1063))</f>
        <v>0</v>
      </c>
      <c r="M1067" t="str">
        <f t="shared" si="101"/>
        <v/>
      </c>
      <c r="N1067">
        <f>IF($G1067="",0,IF($H1067="مرجوعی فروش",-1,1)*IF(Sync!$AC1063="",0,Sync!$AC1063))</f>
        <v>0</v>
      </c>
      <c r="O1067" t="str">
        <f>IF(OR($G1067="",Sync!$V1063=""),"",Sync!$V1063)</f>
        <v/>
      </c>
      <c r="P1067" t="str">
        <f>IF(OR($G1067="",Sync!$AD1063=""),"",Sync!$AD1063)</f>
        <v/>
      </c>
      <c r="Q1067" t="str">
        <f>IF($G1067="","",IF(Sync!$U1063="","0000",IF(AND(ISNUMBER(Sync!$U1063),Sync!$U1063&gt;=0,Sync!$U1063&lt;1),RIGHT("00"&amp;HOUR(Sync!$U1063),2)&amp;RIGHT("00"&amp;MINUTE(Sync!$U1063),2),IFERROR(RIGHT("00"&amp;VALUE(LEFT(Sync!$U1063,FIND(":",Sync!$U1063)-1)),2)&amp;RIGHT("00"&amp;VALUE(MID(Sync!$U1063,FIND(":",Sync!$U1063)+1,2)),2),"0000"))))</f>
        <v/>
      </c>
    </row>
    <row r="1068" spans="1:17" x14ac:dyDescent="0.2">
      <c r="A1068" t="str">
        <f>IF(Sync!$T1064="","",Sync!$T1064)</f>
        <v/>
      </c>
      <c r="B1068" t="str">
        <f t="shared" si="96"/>
        <v/>
      </c>
      <c r="C1068" t="str">
        <f t="shared" si="97"/>
        <v/>
      </c>
      <c r="D1068" t="str">
        <f t="shared" si="98"/>
        <v/>
      </c>
      <c r="E1068" t="str">
        <f t="shared" si="99"/>
        <v/>
      </c>
      <c r="F1068" t="str">
        <f t="shared" si="100"/>
        <v/>
      </c>
      <c r="G1068" t="str">
        <f>IF(OR($E1068="",$E1068="نامعتبر",Sync!$X1064=""),"",IF(AND(LEFT(UPPER(TRIM(Sync!$X1064)),2)="SL",IFERROR(VLOOKUP(Sync!$W1064,OpTbl,3,0),"")="فروش"),UPPER(TRIM(Sync!$X1064)),""))</f>
        <v/>
      </c>
      <c r="H1068" t="str">
        <f>IF($G1068="","",IF(Sync!$W1064="","",Sync!$W1064))</f>
        <v/>
      </c>
      <c r="I1068" t="str">
        <f>IF(OR($G1068="",Sync!$Y1064=""),"",Sync!$Y1064)</f>
        <v/>
      </c>
      <c r="J1068" t="str">
        <f>IF(OR($G1068="",Sync!$Z1064=""),"",Sync!$Z1064)</f>
        <v/>
      </c>
      <c r="K1068">
        <f>IF($G1068="",0,IF(Sync!$AA1064="",0,Sync!$AA1064))</f>
        <v>0</v>
      </c>
      <c r="L1068">
        <f>IF($G1068="",0,IF(Sync!$AB1064="",0,Sync!$AB1064))</f>
        <v>0</v>
      </c>
      <c r="M1068" t="str">
        <f t="shared" si="101"/>
        <v/>
      </c>
      <c r="N1068">
        <f>IF($G1068="",0,IF($H1068="مرجوعی فروش",-1,1)*IF(Sync!$AC1064="",0,Sync!$AC1064))</f>
        <v>0</v>
      </c>
      <c r="O1068" t="str">
        <f>IF(OR($G1068="",Sync!$V1064=""),"",Sync!$V1064)</f>
        <v/>
      </c>
      <c r="P1068" t="str">
        <f>IF(OR($G1068="",Sync!$AD1064=""),"",Sync!$AD1064)</f>
        <v/>
      </c>
      <c r="Q1068" t="str">
        <f>IF($G1068="","",IF(Sync!$U1064="","0000",IF(AND(ISNUMBER(Sync!$U1064),Sync!$U1064&gt;=0,Sync!$U1064&lt;1),RIGHT("00"&amp;HOUR(Sync!$U1064),2)&amp;RIGHT("00"&amp;MINUTE(Sync!$U1064),2),IFERROR(RIGHT("00"&amp;VALUE(LEFT(Sync!$U1064,FIND(":",Sync!$U1064)-1)),2)&amp;RIGHT("00"&amp;VALUE(MID(Sync!$U1064,FIND(":",Sync!$U1064)+1,2)),2),"0000"))))</f>
        <v/>
      </c>
    </row>
    <row r="1069" spans="1:17" x14ac:dyDescent="0.2">
      <c r="A1069" t="str">
        <f>IF(Sync!$T1065="","",Sync!$T1065)</f>
        <v/>
      </c>
      <c r="B1069" t="str">
        <f t="shared" si="96"/>
        <v/>
      </c>
      <c r="C1069" t="str">
        <f t="shared" si="97"/>
        <v/>
      </c>
      <c r="D1069" t="str">
        <f t="shared" si="98"/>
        <v/>
      </c>
      <c r="E1069" t="str">
        <f t="shared" si="99"/>
        <v/>
      </c>
      <c r="F1069" t="str">
        <f t="shared" si="100"/>
        <v/>
      </c>
      <c r="G1069" t="str">
        <f>IF(OR($E1069="",$E1069="نامعتبر",Sync!$X1065=""),"",IF(AND(LEFT(UPPER(TRIM(Sync!$X1065)),2)="SL",IFERROR(VLOOKUP(Sync!$W1065,OpTbl,3,0),"")="فروش"),UPPER(TRIM(Sync!$X1065)),""))</f>
        <v/>
      </c>
      <c r="H1069" t="str">
        <f>IF($G1069="","",IF(Sync!$W1065="","",Sync!$W1065))</f>
        <v/>
      </c>
      <c r="I1069" t="str">
        <f>IF(OR($G1069="",Sync!$Y1065=""),"",Sync!$Y1065)</f>
        <v/>
      </c>
      <c r="J1069" t="str">
        <f>IF(OR($G1069="",Sync!$Z1065=""),"",Sync!$Z1065)</f>
        <v/>
      </c>
      <c r="K1069">
        <f>IF($G1069="",0,IF(Sync!$AA1065="",0,Sync!$AA1065))</f>
        <v>0</v>
      </c>
      <c r="L1069">
        <f>IF($G1069="",0,IF(Sync!$AB1065="",0,Sync!$AB1065))</f>
        <v>0</v>
      </c>
      <c r="M1069" t="str">
        <f t="shared" si="101"/>
        <v/>
      </c>
      <c r="N1069">
        <f>IF($G1069="",0,IF($H1069="مرجوعی فروش",-1,1)*IF(Sync!$AC1065="",0,Sync!$AC1065))</f>
        <v>0</v>
      </c>
      <c r="O1069" t="str">
        <f>IF(OR($G1069="",Sync!$V1065=""),"",Sync!$V1065)</f>
        <v/>
      </c>
      <c r="P1069" t="str">
        <f>IF(OR($G1069="",Sync!$AD1065=""),"",Sync!$AD1065)</f>
        <v/>
      </c>
      <c r="Q1069" t="str">
        <f>IF($G1069="","",IF(Sync!$U1065="","0000",IF(AND(ISNUMBER(Sync!$U1065),Sync!$U1065&gt;=0,Sync!$U1065&lt;1),RIGHT("00"&amp;HOUR(Sync!$U1065),2)&amp;RIGHT("00"&amp;MINUTE(Sync!$U1065),2),IFERROR(RIGHT("00"&amp;VALUE(LEFT(Sync!$U1065,FIND(":",Sync!$U1065)-1)),2)&amp;RIGHT("00"&amp;VALUE(MID(Sync!$U1065,FIND(":",Sync!$U1065)+1,2)),2),"0000"))))</f>
        <v/>
      </c>
    </row>
    <row r="1070" spans="1:17" x14ac:dyDescent="0.2">
      <c r="A1070" t="str">
        <f>IF(Sync!$T1066="","",Sync!$T1066)</f>
        <v/>
      </c>
      <c r="B1070" t="str">
        <f t="shared" si="96"/>
        <v/>
      </c>
      <c r="C1070" t="str">
        <f t="shared" si="97"/>
        <v/>
      </c>
      <c r="D1070" t="str">
        <f t="shared" si="98"/>
        <v/>
      </c>
      <c r="E1070" t="str">
        <f t="shared" si="99"/>
        <v/>
      </c>
      <c r="F1070" t="str">
        <f t="shared" si="100"/>
        <v/>
      </c>
      <c r="G1070" t="str">
        <f>IF(OR($E1070="",$E1070="نامعتبر",Sync!$X1066=""),"",IF(AND(LEFT(UPPER(TRIM(Sync!$X1066)),2)="SL",IFERROR(VLOOKUP(Sync!$W1066,OpTbl,3,0),"")="فروش"),UPPER(TRIM(Sync!$X1066)),""))</f>
        <v/>
      </c>
      <c r="H1070" t="str">
        <f>IF($G1070="","",IF(Sync!$W1066="","",Sync!$W1066))</f>
        <v/>
      </c>
      <c r="I1070" t="str">
        <f>IF(OR($G1070="",Sync!$Y1066=""),"",Sync!$Y1066)</f>
        <v/>
      </c>
      <c r="J1070" t="str">
        <f>IF(OR($G1070="",Sync!$Z1066=""),"",Sync!$Z1066)</f>
        <v/>
      </c>
      <c r="K1070">
        <f>IF($G1070="",0,IF(Sync!$AA1066="",0,Sync!$AA1066))</f>
        <v>0</v>
      </c>
      <c r="L1070">
        <f>IF($G1070="",0,IF(Sync!$AB1066="",0,Sync!$AB1066))</f>
        <v>0</v>
      </c>
      <c r="M1070" t="str">
        <f t="shared" si="101"/>
        <v/>
      </c>
      <c r="N1070">
        <f>IF($G1070="",0,IF($H1070="مرجوعی فروش",-1,1)*IF(Sync!$AC1066="",0,Sync!$AC1066))</f>
        <v>0</v>
      </c>
      <c r="O1070" t="str">
        <f>IF(OR($G1070="",Sync!$V1066=""),"",Sync!$V1066)</f>
        <v/>
      </c>
      <c r="P1070" t="str">
        <f>IF(OR($G1070="",Sync!$AD1066=""),"",Sync!$AD1066)</f>
        <v/>
      </c>
      <c r="Q1070" t="str">
        <f>IF($G1070="","",IF(Sync!$U1066="","0000",IF(AND(ISNUMBER(Sync!$U1066),Sync!$U1066&gt;=0,Sync!$U1066&lt;1),RIGHT("00"&amp;HOUR(Sync!$U1066),2)&amp;RIGHT("00"&amp;MINUTE(Sync!$U1066),2),IFERROR(RIGHT("00"&amp;VALUE(LEFT(Sync!$U1066,FIND(":",Sync!$U1066)-1)),2)&amp;RIGHT("00"&amp;VALUE(MID(Sync!$U1066,FIND(":",Sync!$U1066)+1,2)),2),"0000"))))</f>
        <v/>
      </c>
    </row>
    <row r="1071" spans="1:17" x14ac:dyDescent="0.2">
      <c r="A1071" t="str">
        <f>IF(Sync!$T1067="","",Sync!$T1067)</f>
        <v/>
      </c>
      <c r="B1071" t="str">
        <f t="shared" si="96"/>
        <v/>
      </c>
      <c r="C1071" t="str">
        <f t="shared" si="97"/>
        <v/>
      </c>
      <c r="D1071" t="str">
        <f t="shared" si="98"/>
        <v/>
      </c>
      <c r="E1071" t="str">
        <f t="shared" si="99"/>
        <v/>
      </c>
      <c r="F1071" t="str">
        <f t="shared" si="100"/>
        <v/>
      </c>
      <c r="G1071" t="str">
        <f>IF(OR($E1071="",$E1071="نامعتبر",Sync!$X1067=""),"",IF(AND(LEFT(UPPER(TRIM(Sync!$X1067)),2)="SL",IFERROR(VLOOKUP(Sync!$W1067,OpTbl,3,0),"")="فروش"),UPPER(TRIM(Sync!$X1067)),""))</f>
        <v/>
      </c>
      <c r="H1071" t="str">
        <f>IF($G1071="","",IF(Sync!$W1067="","",Sync!$W1067))</f>
        <v/>
      </c>
      <c r="I1071" t="str">
        <f>IF(OR($G1071="",Sync!$Y1067=""),"",Sync!$Y1067)</f>
        <v/>
      </c>
      <c r="J1071" t="str">
        <f>IF(OR($G1071="",Sync!$Z1067=""),"",Sync!$Z1067)</f>
        <v/>
      </c>
      <c r="K1071">
        <f>IF($G1071="",0,IF(Sync!$AA1067="",0,Sync!$AA1067))</f>
        <v>0</v>
      </c>
      <c r="L1071">
        <f>IF($G1071="",0,IF(Sync!$AB1067="",0,Sync!$AB1067))</f>
        <v>0</v>
      </c>
      <c r="M1071" t="str">
        <f t="shared" si="101"/>
        <v/>
      </c>
      <c r="N1071">
        <f>IF($G1071="",0,IF($H1071="مرجوعی فروش",-1,1)*IF(Sync!$AC1067="",0,Sync!$AC1067))</f>
        <v>0</v>
      </c>
      <c r="O1071" t="str">
        <f>IF(OR($G1071="",Sync!$V1067=""),"",Sync!$V1067)</f>
        <v/>
      </c>
      <c r="P1071" t="str">
        <f>IF(OR($G1071="",Sync!$AD1067=""),"",Sync!$AD1067)</f>
        <v/>
      </c>
      <c r="Q1071" t="str">
        <f>IF($G1071="","",IF(Sync!$U1067="","0000",IF(AND(ISNUMBER(Sync!$U1067),Sync!$U1067&gt;=0,Sync!$U1067&lt;1),RIGHT("00"&amp;HOUR(Sync!$U1067),2)&amp;RIGHT("00"&amp;MINUTE(Sync!$U1067),2),IFERROR(RIGHT("00"&amp;VALUE(LEFT(Sync!$U1067,FIND(":",Sync!$U1067)-1)),2)&amp;RIGHT("00"&amp;VALUE(MID(Sync!$U1067,FIND(":",Sync!$U1067)+1,2)),2),"0000"))))</f>
        <v/>
      </c>
    </row>
    <row r="1072" spans="1:17" x14ac:dyDescent="0.2">
      <c r="A1072" t="str">
        <f>IF(Sync!$T1068="","",Sync!$T1068)</f>
        <v/>
      </c>
      <c r="B1072" t="str">
        <f t="shared" si="96"/>
        <v/>
      </c>
      <c r="C1072" t="str">
        <f t="shared" si="97"/>
        <v/>
      </c>
      <c r="D1072" t="str">
        <f t="shared" si="98"/>
        <v/>
      </c>
      <c r="E1072" t="str">
        <f t="shared" si="99"/>
        <v/>
      </c>
      <c r="F1072" t="str">
        <f t="shared" si="100"/>
        <v/>
      </c>
      <c r="G1072" t="str">
        <f>IF(OR($E1072="",$E1072="نامعتبر",Sync!$X1068=""),"",IF(AND(LEFT(UPPER(TRIM(Sync!$X1068)),2)="SL",IFERROR(VLOOKUP(Sync!$W1068,OpTbl,3,0),"")="فروش"),UPPER(TRIM(Sync!$X1068)),""))</f>
        <v/>
      </c>
      <c r="H1072" t="str">
        <f>IF($G1072="","",IF(Sync!$W1068="","",Sync!$W1068))</f>
        <v/>
      </c>
      <c r="I1072" t="str">
        <f>IF(OR($G1072="",Sync!$Y1068=""),"",Sync!$Y1068)</f>
        <v/>
      </c>
      <c r="J1072" t="str">
        <f>IF(OR($G1072="",Sync!$Z1068=""),"",Sync!$Z1068)</f>
        <v/>
      </c>
      <c r="K1072">
        <f>IF($G1072="",0,IF(Sync!$AA1068="",0,Sync!$AA1068))</f>
        <v>0</v>
      </c>
      <c r="L1072">
        <f>IF($G1072="",0,IF(Sync!$AB1068="",0,Sync!$AB1068))</f>
        <v>0</v>
      </c>
      <c r="M1072" t="str">
        <f t="shared" si="101"/>
        <v/>
      </c>
      <c r="N1072">
        <f>IF($G1072="",0,IF($H1072="مرجوعی فروش",-1,1)*IF(Sync!$AC1068="",0,Sync!$AC1068))</f>
        <v>0</v>
      </c>
      <c r="O1072" t="str">
        <f>IF(OR($G1072="",Sync!$V1068=""),"",Sync!$V1068)</f>
        <v/>
      </c>
      <c r="P1072" t="str">
        <f>IF(OR($G1072="",Sync!$AD1068=""),"",Sync!$AD1068)</f>
        <v/>
      </c>
      <c r="Q1072" t="str">
        <f>IF($G1072="","",IF(Sync!$U1068="","0000",IF(AND(ISNUMBER(Sync!$U1068),Sync!$U1068&gt;=0,Sync!$U1068&lt;1),RIGHT("00"&amp;HOUR(Sync!$U1068),2)&amp;RIGHT("00"&amp;MINUTE(Sync!$U1068),2),IFERROR(RIGHT("00"&amp;VALUE(LEFT(Sync!$U1068,FIND(":",Sync!$U1068)-1)),2)&amp;RIGHT("00"&amp;VALUE(MID(Sync!$U1068,FIND(":",Sync!$U1068)+1,2)),2),"0000"))))</f>
        <v/>
      </c>
    </row>
    <row r="1073" spans="1:17" x14ac:dyDescent="0.2">
      <c r="A1073" t="str">
        <f>IF(Sync!$T1069="","",Sync!$T1069)</f>
        <v/>
      </c>
      <c r="B1073" t="str">
        <f t="shared" si="96"/>
        <v/>
      </c>
      <c r="C1073" t="str">
        <f t="shared" si="97"/>
        <v/>
      </c>
      <c r="D1073" t="str">
        <f t="shared" si="98"/>
        <v/>
      </c>
      <c r="E1073" t="str">
        <f t="shared" si="99"/>
        <v/>
      </c>
      <c r="F1073" t="str">
        <f t="shared" si="100"/>
        <v/>
      </c>
      <c r="G1073" t="str">
        <f>IF(OR($E1073="",$E1073="نامعتبر",Sync!$X1069=""),"",IF(AND(LEFT(UPPER(TRIM(Sync!$X1069)),2)="SL",IFERROR(VLOOKUP(Sync!$W1069,OpTbl,3,0),"")="فروش"),UPPER(TRIM(Sync!$X1069)),""))</f>
        <v/>
      </c>
      <c r="H1073" t="str">
        <f>IF($G1073="","",IF(Sync!$W1069="","",Sync!$W1069))</f>
        <v/>
      </c>
      <c r="I1073" t="str">
        <f>IF(OR($G1073="",Sync!$Y1069=""),"",Sync!$Y1069)</f>
        <v/>
      </c>
      <c r="J1073" t="str">
        <f>IF(OR($G1073="",Sync!$Z1069=""),"",Sync!$Z1069)</f>
        <v/>
      </c>
      <c r="K1073">
        <f>IF($G1073="",0,IF(Sync!$AA1069="",0,Sync!$AA1069))</f>
        <v>0</v>
      </c>
      <c r="L1073">
        <f>IF($G1073="",0,IF(Sync!$AB1069="",0,Sync!$AB1069))</f>
        <v>0</v>
      </c>
      <c r="M1073" t="str">
        <f t="shared" si="101"/>
        <v/>
      </c>
      <c r="N1073">
        <f>IF($G1073="",0,IF($H1073="مرجوعی فروش",-1,1)*IF(Sync!$AC1069="",0,Sync!$AC1069))</f>
        <v>0</v>
      </c>
      <c r="O1073" t="str">
        <f>IF(OR($G1073="",Sync!$V1069=""),"",Sync!$V1069)</f>
        <v/>
      </c>
      <c r="P1073" t="str">
        <f>IF(OR($G1073="",Sync!$AD1069=""),"",Sync!$AD1069)</f>
        <v/>
      </c>
      <c r="Q1073" t="str">
        <f>IF($G1073="","",IF(Sync!$U1069="","0000",IF(AND(ISNUMBER(Sync!$U1069),Sync!$U1069&gt;=0,Sync!$U1069&lt;1),RIGHT("00"&amp;HOUR(Sync!$U1069),2)&amp;RIGHT("00"&amp;MINUTE(Sync!$U1069),2),IFERROR(RIGHT("00"&amp;VALUE(LEFT(Sync!$U1069,FIND(":",Sync!$U1069)-1)),2)&amp;RIGHT("00"&amp;VALUE(MID(Sync!$U1069,FIND(":",Sync!$U1069)+1,2)),2),"0000"))))</f>
        <v/>
      </c>
    </row>
    <row r="1074" spans="1:17" x14ac:dyDescent="0.2">
      <c r="A1074" t="str">
        <f>IF(Sync!$T1070="","",Sync!$T1070)</f>
        <v/>
      </c>
      <c r="B1074" t="str">
        <f t="shared" si="96"/>
        <v/>
      </c>
      <c r="C1074" t="str">
        <f t="shared" si="97"/>
        <v/>
      </c>
      <c r="D1074" t="str">
        <f t="shared" si="98"/>
        <v/>
      </c>
      <c r="E1074" t="str">
        <f t="shared" si="99"/>
        <v/>
      </c>
      <c r="F1074" t="str">
        <f t="shared" si="100"/>
        <v/>
      </c>
      <c r="G1074" t="str">
        <f>IF(OR($E1074="",$E1074="نامعتبر",Sync!$X1070=""),"",IF(AND(LEFT(UPPER(TRIM(Sync!$X1070)),2)="SL",IFERROR(VLOOKUP(Sync!$W1070,OpTbl,3,0),"")="فروش"),UPPER(TRIM(Sync!$X1070)),""))</f>
        <v/>
      </c>
      <c r="H1074" t="str">
        <f>IF($G1074="","",IF(Sync!$W1070="","",Sync!$W1070))</f>
        <v/>
      </c>
      <c r="I1074" t="str">
        <f>IF(OR($G1074="",Sync!$Y1070=""),"",Sync!$Y1070)</f>
        <v/>
      </c>
      <c r="J1074" t="str">
        <f>IF(OR($G1074="",Sync!$Z1070=""),"",Sync!$Z1070)</f>
        <v/>
      </c>
      <c r="K1074">
        <f>IF($G1074="",0,IF(Sync!$AA1070="",0,Sync!$AA1070))</f>
        <v>0</v>
      </c>
      <c r="L1074">
        <f>IF($G1074="",0,IF(Sync!$AB1070="",0,Sync!$AB1070))</f>
        <v>0</v>
      </c>
      <c r="M1074" t="str">
        <f t="shared" si="101"/>
        <v/>
      </c>
      <c r="N1074">
        <f>IF($G1074="",0,IF($H1074="مرجوعی فروش",-1,1)*IF(Sync!$AC1070="",0,Sync!$AC1070))</f>
        <v>0</v>
      </c>
      <c r="O1074" t="str">
        <f>IF(OR($G1074="",Sync!$V1070=""),"",Sync!$V1070)</f>
        <v/>
      </c>
      <c r="P1074" t="str">
        <f>IF(OR($G1074="",Sync!$AD1070=""),"",Sync!$AD1070)</f>
        <v/>
      </c>
      <c r="Q1074" t="str">
        <f>IF($G1074="","",IF(Sync!$U1070="","0000",IF(AND(ISNUMBER(Sync!$U1070),Sync!$U1070&gt;=0,Sync!$U1070&lt;1),RIGHT("00"&amp;HOUR(Sync!$U1070),2)&amp;RIGHT("00"&amp;MINUTE(Sync!$U1070),2),IFERROR(RIGHT("00"&amp;VALUE(LEFT(Sync!$U1070,FIND(":",Sync!$U1070)-1)),2)&amp;RIGHT("00"&amp;VALUE(MID(Sync!$U1070,FIND(":",Sync!$U1070)+1,2)),2),"0000"))))</f>
        <v/>
      </c>
    </row>
    <row r="1075" spans="1:17" x14ac:dyDescent="0.2">
      <c r="A1075" t="str">
        <f>IF(Sync!$T1071="","",Sync!$T1071)</f>
        <v/>
      </c>
      <c r="B1075" t="str">
        <f t="shared" si="96"/>
        <v/>
      </c>
      <c r="C1075" t="str">
        <f t="shared" si="97"/>
        <v/>
      </c>
      <c r="D1075" t="str">
        <f t="shared" si="98"/>
        <v/>
      </c>
      <c r="E1075" t="str">
        <f t="shared" si="99"/>
        <v/>
      </c>
      <c r="F1075" t="str">
        <f t="shared" si="100"/>
        <v/>
      </c>
      <c r="G1075" t="str">
        <f>IF(OR($E1075="",$E1075="نامعتبر",Sync!$X1071=""),"",IF(AND(LEFT(UPPER(TRIM(Sync!$X1071)),2)="SL",IFERROR(VLOOKUP(Sync!$W1071,OpTbl,3,0),"")="فروش"),UPPER(TRIM(Sync!$X1071)),""))</f>
        <v/>
      </c>
      <c r="H1075" t="str">
        <f>IF($G1075="","",IF(Sync!$W1071="","",Sync!$W1071))</f>
        <v/>
      </c>
      <c r="I1075" t="str">
        <f>IF(OR($G1075="",Sync!$Y1071=""),"",Sync!$Y1071)</f>
        <v/>
      </c>
      <c r="J1075" t="str">
        <f>IF(OR($G1075="",Sync!$Z1071=""),"",Sync!$Z1071)</f>
        <v/>
      </c>
      <c r="K1075">
        <f>IF($G1075="",0,IF(Sync!$AA1071="",0,Sync!$AA1071))</f>
        <v>0</v>
      </c>
      <c r="L1075">
        <f>IF($G1075="",0,IF(Sync!$AB1071="",0,Sync!$AB1071))</f>
        <v>0</v>
      </c>
      <c r="M1075" t="str">
        <f t="shared" si="101"/>
        <v/>
      </c>
      <c r="N1075">
        <f>IF($G1075="",0,IF($H1075="مرجوعی فروش",-1,1)*IF(Sync!$AC1071="",0,Sync!$AC1071))</f>
        <v>0</v>
      </c>
      <c r="O1075" t="str">
        <f>IF(OR($G1075="",Sync!$V1071=""),"",Sync!$V1071)</f>
        <v/>
      </c>
      <c r="P1075" t="str">
        <f>IF(OR($G1075="",Sync!$AD1071=""),"",Sync!$AD1071)</f>
        <v/>
      </c>
      <c r="Q1075" t="str">
        <f>IF($G1075="","",IF(Sync!$U1071="","0000",IF(AND(ISNUMBER(Sync!$U1071),Sync!$U1071&gt;=0,Sync!$U1071&lt;1),RIGHT("00"&amp;HOUR(Sync!$U1071),2)&amp;RIGHT("00"&amp;MINUTE(Sync!$U1071),2),IFERROR(RIGHT("00"&amp;VALUE(LEFT(Sync!$U1071,FIND(":",Sync!$U1071)-1)),2)&amp;RIGHT("00"&amp;VALUE(MID(Sync!$U1071,FIND(":",Sync!$U1071)+1,2)),2),"0000"))))</f>
        <v/>
      </c>
    </row>
    <row r="1076" spans="1:17" x14ac:dyDescent="0.2">
      <c r="A1076" t="str">
        <f>IF(Sync!$T1072="","",Sync!$T1072)</f>
        <v/>
      </c>
      <c r="B1076" t="str">
        <f t="shared" si="96"/>
        <v/>
      </c>
      <c r="C1076" t="str">
        <f t="shared" si="97"/>
        <v/>
      </c>
      <c r="D1076" t="str">
        <f t="shared" si="98"/>
        <v/>
      </c>
      <c r="E1076" t="str">
        <f t="shared" si="99"/>
        <v/>
      </c>
      <c r="F1076" t="str">
        <f t="shared" si="100"/>
        <v/>
      </c>
      <c r="G1076" t="str">
        <f>IF(OR($E1076="",$E1076="نامعتبر",Sync!$X1072=""),"",IF(AND(LEFT(UPPER(TRIM(Sync!$X1072)),2)="SL",IFERROR(VLOOKUP(Sync!$W1072,OpTbl,3,0),"")="فروش"),UPPER(TRIM(Sync!$X1072)),""))</f>
        <v/>
      </c>
      <c r="H1076" t="str">
        <f>IF($G1076="","",IF(Sync!$W1072="","",Sync!$W1072))</f>
        <v/>
      </c>
      <c r="I1076" t="str">
        <f>IF(OR($G1076="",Sync!$Y1072=""),"",Sync!$Y1072)</f>
        <v/>
      </c>
      <c r="J1076" t="str">
        <f>IF(OR($G1076="",Sync!$Z1072=""),"",Sync!$Z1072)</f>
        <v/>
      </c>
      <c r="K1076">
        <f>IF($G1076="",0,IF(Sync!$AA1072="",0,Sync!$AA1072))</f>
        <v>0</v>
      </c>
      <c r="L1076">
        <f>IF($G1076="",0,IF(Sync!$AB1072="",0,Sync!$AB1072))</f>
        <v>0</v>
      </c>
      <c r="M1076" t="str">
        <f t="shared" si="101"/>
        <v/>
      </c>
      <c r="N1076">
        <f>IF($G1076="",0,IF($H1076="مرجوعی فروش",-1,1)*IF(Sync!$AC1072="",0,Sync!$AC1072))</f>
        <v>0</v>
      </c>
      <c r="O1076" t="str">
        <f>IF(OR($G1076="",Sync!$V1072=""),"",Sync!$V1072)</f>
        <v/>
      </c>
      <c r="P1076" t="str">
        <f>IF(OR($G1076="",Sync!$AD1072=""),"",Sync!$AD1072)</f>
        <v/>
      </c>
      <c r="Q1076" t="str">
        <f>IF($G1076="","",IF(Sync!$U1072="","0000",IF(AND(ISNUMBER(Sync!$U1072),Sync!$U1072&gt;=0,Sync!$U1072&lt;1),RIGHT("00"&amp;HOUR(Sync!$U1072),2)&amp;RIGHT("00"&amp;MINUTE(Sync!$U1072),2),IFERROR(RIGHT("00"&amp;VALUE(LEFT(Sync!$U1072,FIND(":",Sync!$U1072)-1)),2)&amp;RIGHT("00"&amp;VALUE(MID(Sync!$U1072,FIND(":",Sync!$U1072)+1,2)),2),"0000"))))</f>
        <v/>
      </c>
    </row>
    <row r="1077" spans="1:17" x14ac:dyDescent="0.2">
      <c r="A1077" t="str">
        <f>IF(Sync!$T1073="","",Sync!$T1073)</f>
        <v/>
      </c>
      <c r="B1077" t="str">
        <f t="shared" si="96"/>
        <v/>
      </c>
      <c r="C1077" t="str">
        <f t="shared" si="97"/>
        <v/>
      </c>
      <c r="D1077" t="str">
        <f t="shared" si="98"/>
        <v/>
      </c>
      <c r="E1077" t="str">
        <f t="shared" si="99"/>
        <v/>
      </c>
      <c r="F1077" t="str">
        <f t="shared" si="100"/>
        <v/>
      </c>
      <c r="G1077" t="str">
        <f>IF(OR($E1077="",$E1077="نامعتبر",Sync!$X1073=""),"",IF(AND(LEFT(UPPER(TRIM(Sync!$X1073)),2)="SL",IFERROR(VLOOKUP(Sync!$W1073,OpTbl,3,0),"")="فروش"),UPPER(TRIM(Sync!$X1073)),""))</f>
        <v/>
      </c>
      <c r="H1077" t="str">
        <f>IF($G1077="","",IF(Sync!$W1073="","",Sync!$W1073))</f>
        <v/>
      </c>
      <c r="I1077" t="str">
        <f>IF(OR($G1077="",Sync!$Y1073=""),"",Sync!$Y1073)</f>
        <v/>
      </c>
      <c r="J1077" t="str">
        <f>IF(OR($G1077="",Sync!$Z1073=""),"",Sync!$Z1073)</f>
        <v/>
      </c>
      <c r="K1077">
        <f>IF($G1077="",0,IF(Sync!$AA1073="",0,Sync!$AA1073))</f>
        <v>0</v>
      </c>
      <c r="L1077">
        <f>IF($G1077="",0,IF(Sync!$AB1073="",0,Sync!$AB1073))</f>
        <v>0</v>
      </c>
      <c r="M1077" t="str">
        <f t="shared" si="101"/>
        <v/>
      </c>
      <c r="N1077">
        <f>IF($G1077="",0,IF($H1077="مرجوعی فروش",-1,1)*IF(Sync!$AC1073="",0,Sync!$AC1073))</f>
        <v>0</v>
      </c>
      <c r="O1077" t="str">
        <f>IF(OR($G1077="",Sync!$V1073=""),"",Sync!$V1073)</f>
        <v/>
      </c>
      <c r="P1077" t="str">
        <f>IF(OR($G1077="",Sync!$AD1073=""),"",Sync!$AD1073)</f>
        <v/>
      </c>
      <c r="Q1077" t="str">
        <f>IF($G1077="","",IF(Sync!$U1073="","0000",IF(AND(ISNUMBER(Sync!$U1073),Sync!$U1073&gt;=0,Sync!$U1073&lt;1),RIGHT("00"&amp;HOUR(Sync!$U1073),2)&amp;RIGHT("00"&amp;MINUTE(Sync!$U1073),2),IFERROR(RIGHT("00"&amp;VALUE(LEFT(Sync!$U1073,FIND(":",Sync!$U1073)-1)),2)&amp;RIGHT("00"&amp;VALUE(MID(Sync!$U1073,FIND(":",Sync!$U1073)+1,2)),2),"0000"))))</f>
        <v/>
      </c>
    </row>
    <row r="1078" spans="1:17" x14ac:dyDescent="0.2">
      <c r="A1078" t="str">
        <f>IF(Sync!$T1074="","",Sync!$T1074)</f>
        <v/>
      </c>
      <c r="B1078" t="str">
        <f t="shared" si="96"/>
        <v/>
      </c>
      <c r="C1078" t="str">
        <f t="shared" si="97"/>
        <v/>
      </c>
      <c r="D1078" t="str">
        <f t="shared" si="98"/>
        <v/>
      </c>
      <c r="E1078" t="str">
        <f t="shared" si="99"/>
        <v/>
      </c>
      <c r="F1078" t="str">
        <f t="shared" si="100"/>
        <v/>
      </c>
      <c r="G1078" t="str">
        <f>IF(OR($E1078="",$E1078="نامعتبر",Sync!$X1074=""),"",IF(AND(LEFT(UPPER(TRIM(Sync!$X1074)),2)="SL",IFERROR(VLOOKUP(Sync!$W1074,OpTbl,3,0),"")="فروش"),UPPER(TRIM(Sync!$X1074)),""))</f>
        <v/>
      </c>
      <c r="H1078" t="str">
        <f>IF($G1078="","",IF(Sync!$W1074="","",Sync!$W1074))</f>
        <v/>
      </c>
      <c r="I1078" t="str">
        <f>IF(OR($G1078="",Sync!$Y1074=""),"",Sync!$Y1074)</f>
        <v/>
      </c>
      <c r="J1078" t="str">
        <f>IF(OR($G1078="",Sync!$Z1074=""),"",Sync!$Z1074)</f>
        <v/>
      </c>
      <c r="K1078">
        <f>IF($G1078="",0,IF(Sync!$AA1074="",0,Sync!$AA1074))</f>
        <v>0</v>
      </c>
      <c r="L1078">
        <f>IF($G1078="",0,IF(Sync!$AB1074="",0,Sync!$AB1074))</f>
        <v>0</v>
      </c>
      <c r="M1078" t="str">
        <f t="shared" si="101"/>
        <v/>
      </c>
      <c r="N1078">
        <f>IF($G1078="",0,IF($H1078="مرجوعی فروش",-1,1)*IF(Sync!$AC1074="",0,Sync!$AC1074))</f>
        <v>0</v>
      </c>
      <c r="O1078" t="str">
        <f>IF(OR($G1078="",Sync!$V1074=""),"",Sync!$V1074)</f>
        <v/>
      </c>
      <c r="P1078" t="str">
        <f>IF(OR($G1078="",Sync!$AD1074=""),"",Sync!$AD1074)</f>
        <v/>
      </c>
      <c r="Q1078" t="str">
        <f>IF($G1078="","",IF(Sync!$U1074="","0000",IF(AND(ISNUMBER(Sync!$U1074),Sync!$U1074&gt;=0,Sync!$U1074&lt;1),RIGHT("00"&amp;HOUR(Sync!$U1074),2)&amp;RIGHT("00"&amp;MINUTE(Sync!$U1074),2),IFERROR(RIGHT("00"&amp;VALUE(LEFT(Sync!$U1074,FIND(":",Sync!$U1074)-1)),2)&amp;RIGHT("00"&amp;VALUE(MID(Sync!$U1074,FIND(":",Sync!$U1074)+1,2)),2),"0000"))))</f>
        <v/>
      </c>
    </row>
    <row r="1079" spans="1:17" x14ac:dyDescent="0.2">
      <c r="A1079" t="str">
        <f>IF(Sync!$T1075="","",Sync!$T1075)</f>
        <v/>
      </c>
      <c r="B1079" t="str">
        <f t="shared" si="96"/>
        <v/>
      </c>
      <c r="C1079" t="str">
        <f t="shared" si="97"/>
        <v/>
      </c>
      <c r="D1079" t="str">
        <f t="shared" si="98"/>
        <v/>
      </c>
      <c r="E1079" t="str">
        <f t="shared" si="99"/>
        <v/>
      </c>
      <c r="F1079" t="str">
        <f t="shared" si="100"/>
        <v/>
      </c>
      <c r="G1079" t="str">
        <f>IF(OR($E1079="",$E1079="نامعتبر",Sync!$X1075=""),"",IF(AND(LEFT(UPPER(TRIM(Sync!$X1075)),2)="SL",IFERROR(VLOOKUP(Sync!$W1075,OpTbl,3,0),"")="فروش"),UPPER(TRIM(Sync!$X1075)),""))</f>
        <v/>
      </c>
      <c r="H1079" t="str">
        <f>IF($G1079="","",IF(Sync!$W1075="","",Sync!$W1075))</f>
        <v/>
      </c>
      <c r="I1079" t="str">
        <f>IF(OR($G1079="",Sync!$Y1075=""),"",Sync!$Y1075)</f>
        <v/>
      </c>
      <c r="J1079" t="str">
        <f>IF(OR($G1079="",Sync!$Z1075=""),"",Sync!$Z1075)</f>
        <v/>
      </c>
      <c r="K1079">
        <f>IF($G1079="",0,IF(Sync!$AA1075="",0,Sync!$AA1075))</f>
        <v>0</v>
      </c>
      <c r="L1079">
        <f>IF($G1079="",0,IF(Sync!$AB1075="",0,Sync!$AB1075))</f>
        <v>0</v>
      </c>
      <c r="M1079" t="str">
        <f t="shared" si="101"/>
        <v/>
      </c>
      <c r="N1079">
        <f>IF($G1079="",0,IF($H1079="مرجوعی فروش",-1,1)*IF(Sync!$AC1075="",0,Sync!$AC1075))</f>
        <v>0</v>
      </c>
      <c r="O1079" t="str">
        <f>IF(OR($G1079="",Sync!$V1075=""),"",Sync!$V1075)</f>
        <v/>
      </c>
      <c r="P1079" t="str">
        <f>IF(OR($G1079="",Sync!$AD1075=""),"",Sync!$AD1075)</f>
        <v/>
      </c>
      <c r="Q1079" t="str">
        <f>IF($G1079="","",IF(Sync!$U1075="","0000",IF(AND(ISNUMBER(Sync!$U1075),Sync!$U1075&gt;=0,Sync!$U1075&lt;1),RIGHT("00"&amp;HOUR(Sync!$U1075),2)&amp;RIGHT("00"&amp;MINUTE(Sync!$U1075),2),IFERROR(RIGHT("00"&amp;VALUE(LEFT(Sync!$U1075,FIND(":",Sync!$U1075)-1)),2)&amp;RIGHT("00"&amp;VALUE(MID(Sync!$U1075,FIND(":",Sync!$U1075)+1,2)),2),"0000"))))</f>
        <v/>
      </c>
    </row>
    <row r="1080" spans="1:17" x14ac:dyDescent="0.2">
      <c r="A1080" t="str">
        <f>IF(Sync!$T1076="","",Sync!$T1076)</f>
        <v/>
      </c>
      <c r="B1080" t="str">
        <f t="shared" si="96"/>
        <v/>
      </c>
      <c r="C1080" t="str">
        <f t="shared" si="97"/>
        <v/>
      </c>
      <c r="D1080" t="str">
        <f t="shared" si="98"/>
        <v/>
      </c>
      <c r="E1080" t="str">
        <f t="shared" si="99"/>
        <v/>
      </c>
      <c r="F1080" t="str">
        <f t="shared" si="100"/>
        <v/>
      </c>
      <c r="G1080" t="str">
        <f>IF(OR($E1080="",$E1080="نامعتبر",Sync!$X1076=""),"",IF(AND(LEFT(UPPER(TRIM(Sync!$X1076)),2)="SL",IFERROR(VLOOKUP(Sync!$W1076,OpTbl,3,0),"")="فروش"),UPPER(TRIM(Sync!$X1076)),""))</f>
        <v/>
      </c>
      <c r="H1080" t="str">
        <f>IF($G1080="","",IF(Sync!$W1076="","",Sync!$W1076))</f>
        <v/>
      </c>
      <c r="I1080" t="str">
        <f>IF(OR($G1080="",Sync!$Y1076=""),"",Sync!$Y1076)</f>
        <v/>
      </c>
      <c r="J1080" t="str">
        <f>IF(OR($G1080="",Sync!$Z1076=""),"",Sync!$Z1076)</f>
        <v/>
      </c>
      <c r="K1080">
        <f>IF($G1080="",0,IF(Sync!$AA1076="",0,Sync!$AA1076))</f>
        <v>0</v>
      </c>
      <c r="L1080">
        <f>IF($G1080="",0,IF(Sync!$AB1076="",0,Sync!$AB1076))</f>
        <v>0</v>
      </c>
      <c r="M1080" t="str">
        <f t="shared" si="101"/>
        <v/>
      </c>
      <c r="N1080">
        <f>IF($G1080="",0,IF($H1080="مرجوعی فروش",-1,1)*IF(Sync!$AC1076="",0,Sync!$AC1076))</f>
        <v>0</v>
      </c>
      <c r="O1080" t="str">
        <f>IF(OR($G1080="",Sync!$V1076=""),"",Sync!$V1076)</f>
        <v/>
      </c>
      <c r="P1080" t="str">
        <f>IF(OR($G1080="",Sync!$AD1076=""),"",Sync!$AD1076)</f>
        <v/>
      </c>
      <c r="Q1080" t="str">
        <f>IF($G1080="","",IF(Sync!$U1076="","0000",IF(AND(ISNUMBER(Sync!$U1076),Sync!$U1076&gt;=0,Sync!$U1076&lt;1),RIGHT("00"&amp;HOUR(Sync!$U1076),2)&amp;RIGHT("00"&amp;MINUTE(Sync!$U1076),2),IFERROR(RIGHT("00"&amp;VALUE(LEFT(Sync!$U1076,FIND(":",Sync!$U1076)-1)),2)&amp;RIGHT("00"&amp;VALUE(MID(Sync!$U1076,FIND(":",Sync!$U1076)+1,2)),2),"0000"))))</f>
        <v/>
      </c>
    </row>
    <row r="1081" spans="1:17" x14ac:dyDescent="0.2">
      <c r="A1081" t="str">
        <f>IF(Sync!$T1077="","",Sync!$T1077)</f>
        <v/>
      </c>
      <c r="B1081" t="str">
        <f t="shared" si="96"/>
        <v/>
      </c>
      <c r="C1081" t="str">
        <f t="shared" si="97"/>
        <v/>
      </c>
      <c r="D1081" t="str">
        <f t="shared" si="98"/>
        <v/>
      </c>
      <c r="E1081" t="str">
        <f t="shared" si="99"/>
        <v/>
      </c>
      <c r="F1081" t="str">
        <f t="shared" si="100"/>
        <v/>
      </c>
      <c r="G1081" t="str">
        <f>IF(OR($E1081="",$E1081="نامعتبر",Sync!$X1077=""),"",IF(AND(LEFT(UPPER(TRIM(Sync!$X1077)),2)="SL",IFERROR(VLOOKUP(Sync!$W1077,OpTbl,3,0),"")="فروش"),UPPER(TRIM(Sync!$X1077)),""))</f>
        <v/>
      </c>
      <c r="H1081" t="str">
        <f>IF($G1081="","",IF(Sync!$W1077="","",Sync!$W1077))</f>
        <v/>
      </c>
      <c r="I1081" t="str">
        <f>IF(OR($G1081="",Sync!$Y1077=""),"",Sync!$Y1077)</f>
        <v/>
      </c>
      <c r="J1081" t="str">
        <f>IF(OR($G1081="",Sync!$Z1077=""),"",Sync!$Z1077)</f>
        <v/>
      </c>
      <c r="K1081">
        <f>IF($G1081="",0,IF(Sync!$AA1077="",0,Sync!$AA1077))</f>
        <v>0</v>
      </c>
      <c r="L1081">
        <f>IF($G1081="",0,IF(Sync!$AB1077="",0,Sync!$AB1077))</f>
        <v>0</v>
      </c>
      <c r="M1081" t="str">
        <f t="shared" si="101"/>
        <v/>
      </c>
      <c r="N1081">
        <f>IF($G1081="",0,IF($H1081="مرجوعی فروش",-1,1)*IF(Sync!$AC1077="",0,Sync!$AC1077))</f>
        <v>0</v>
      </c>
      <c r="O1081" t="str">
        <f>IF(OR($G1081="",Sync!$V1077=""),"",Sync!$V1077)</f>
        <v/>
      </c>
      <c r="P1081" t="str">
        <f>IF(OR($G1081="",Sync!$AD1077=""),"",Sync!$AD1077)</f>
        <v/>
      </c>
      <c r="Q1081" t="str">
        <f>IF($G1081="","",IF(Sync!$U1077="","0000",IF(AND(ISNUMBER(Sync!$U1077),Sync!$U1077&gt;=0,Sync!$U1077&lt;1),RIGHT("00"&amp;HOUR(Sync!$U1077),2)&amp;RIGHT("00"&amp;MINUTE(Sync!$U1077),2),IFERROR(RIGHT("00"&amp;VALUE(LEFT(Sync!$U1077,FIND(":",Sync!$U1077)-1)),2)&amp;RIGHT("00"&amp;VALUE(MID(Sync!$U1077,FIND(":",Sync!$U1077)+1,2)),2),"0000"))))</f>
        <v/>
      </c>
    </row>
    <row r="1082" spans="1:17" x14ac:dyDescent="0.2">
      <c r="A1082" t="str">
        <f>IF(Sync!$T1078="","",Sync!$T1078)</f>
        <v/>
      </c>
      <c r="B1082" t="str">
        <f t="shared" si="96"/>
        <v/>
      </c>
      <c r="C1082" t="str">
        <f t="shared" si="97"/>
        <v/>
      </c>
      <c r="D1082" t="str">
        <f t="shared" si="98"/>
        <v/>
      </c>
      <c r="E1082" t="str">
        <f t="shared" si="99"/>
        <v/>
      </c>
      <c r="F1082" t="str">
        <f t="shared" si="100"/>
        <v/>
      </c>
      <c r="G1082" t="str">
        <f>IF(OR($E1082="",$E1082="نامعتبر",Sync!$X1078=""),"",IF(AND(LEFT(UPPER(TRIM(Sync!$X1078)),2)="SL",IFERROR(VLOOKUP(Sync!$W1078,OpTbl,3,0),"")="فروش"),UPPER(TRIM(Sync!$X1078)),""))</f>
        <v/>
      </c>
      <c r="H1082" t="str">
        <f>IF($G1082="","",IF(Sync!$W1078="","",Sync!$W1078))</f>
        <v/>
      </c>
      <c r="I1082" t="str">
        <f>IF(OR($G1082="",Sync!$Y1078=""),"",Sync!$Y1078)</f>
        <v/>
      </c>
      <c r="J1082" t="str">
        <f>IF(OR($G1082="",Sync!$Z1078=""),"",Sync!$Z1078)</f>
        <v/>
      </c>
      <c r="K1082">
        <f>IF($G1082="",0,IF(Sync!$AA1078="",0,Sync!$AA1078))</f>
        <v>0</v>
      </c>
      <c r="L1082">
        <f>IF($G1082="",0,IF(Sync!$AB1078="",0,Sync!$AB1078))</f>
        <v>0</v>
      </c>
      <c r="M1082" t="str">
        <f t="shared" si="101"/>
        <v/>
      </c>
      <c r="N1082">
        <f>IF($G1082="",0,IF($H1082="مرجوعی فروش",-1,1)*IF(Sync!$AC1078="",0,Sync!$AC1078))</f>
        <v>0</v>
      </c>
      <c r="O1082" t="str">
        <f>IF(OR($G1082="",Sync!$V1078=""),"",Sync!$V1078)</f>
        <v/>
      </c>
      <c r="P1082" t="str">
        <f>IF(OR($G1082="",Sync!$AD1078=""),"",Sync!$AD1078)</f>
        <v/>
      </c>
      <c r="Q1082" t="str">
        <f>IF($G1082="","",IF(Sync!$U1078="","0000",IF(AND(ISNUMBER(Sync!$U1078),Sync!$U1078&gt;=0,Sync!$U1078&lt;1),RIGHT("00"&amp;HOUR(Sync!$U1078),2)&amp;RIGHT("00"&amp;MINUTE(Sync!$U1078),2),IFERROR(RIGHT("00"&amp;VALUE(LEFT(Sync!$U1078,FIND(":",Sync!$U1078)-1)),2)&amp;RIGHT("00"&amp;VALUE(MID(Sync!$U1078,FIND(":",Sync!$U1078)+1,2)),2),"0000"))))</f>
        <v/>
      </c>
    </row>
    <row r="1083" spans="1:17" x14ac:dyDescent="0.2">
      <c r="A1083" t="str">
        <f>IF(Sync!$T1079="","",Sync!$T1079)</f>
        <v/>
      </c>
      <c r="B1083" t="str">
        <f t="shared" si="96"/>
        <v/>
      </c>
      <c r="C1083" t="str">
        <f t="shared" si="97"/>
        <v/>
      </c>
      <c r="D1083" t="str">
        <f t="shared" si="98"/>
        <v/>
      </c>
      <c r="E1083" t="str">
        <f t="shared" si="99"/>
        <v/>
      </c>
      <c r="F1083" t="str">
        <f t="shared" si="100"/>
        <v/>
      </c>
      <c r="G1083" t="str">
        <f>IF(OR($E1083="",$E1083="نامعتبر",Sync!$X1079=""),"",IF(AND(LEFT(UPPER(TRIM(Sync!$X1079)),2)="SL",IFERROR(VLOOKUP(Sync!$W1079,OpTbl,3,0),"")="فروش"),UPPER(TRIM(Sync!$X1079)),""))</f>
        <v/>
      </c>
      <c r="H1083" t="str">
        <f>IF($G1083="","",IF(Sync!$W1079="","",Sync!$W1079))</f>
        <v/>
      </c>
      <c r="I1083" t="str">
        <f>IF(OR($G1083="",Sync!$Y1079=""),"",Sync!$Y1079)</f>
        <v/>
      </c>
      <c r="J1083" t="str">
        <f>IF(OR($G1083="",Sync!$Z1079=""),"",Sync!$Z1079)</f>
        <v/>
      </c>
      <c r="K1083">
        <f>IF($G1083="",0,IF(Sync!$AA1079="",0,Sync!$AA1079))</f>
        <v>0</v>
      </c>
      <c r="L1083">
        <f>IF($G1083="",0,IF(Sync!$AB1079="",0,Sync!$AB1079))</f>
        <v>0</v>
      </c>
      <c r="M1083" t="str">
        <f t="shared" si="101"/>
        <v/>
      </c>
      <c r="N1083">
        <f>IF($G1083="",0,IF($H1083="مرجوعی فروش",-1,1)*IF(Sync!$AC1079="",0,Sync!$AC1079))</f>
        <v>0</v>
      </c>
      <c r="O1083" t="str">
        <f>IF(OR($G1083="",Sync!$V1079=""),"",Sync!$V1079)</f>
        <v/>
      </c>
      <c r="P1083" t="str">
        <f>IF(OR($G1083="",Sync!$AD1079=""),"",Sync!$AD1079)</f>
        <v/>
      </c>
      <c r="Q1083" t="str">
        <f>IF($G1083="","",IF(Sync!$U1079="","0000",IF(AND(ISNUMBER(Sync!$U1079),Sync!$U1079&gt;=0,Sync!$U1079&lt;1),RIGHT("00"&amp;HOUR(Sync!$U1079),2)&amp;RIGHT("00"&amp;MINUTE(Sync!$U1079),2),IFERROR(RIGHT("00"&amp;VALUE(LEFT(Sync!$U1079,FIND(":",Sync!$U1079)-1)),2)&amp;RIGHT("00"&amp;VALUE(MID(Sync!$U1079,FIND(":",Sync!$U1079)+1,2)),2),"0000"))))</f>
        <v/>
      </c>
    </row>
    <row r="1084" spans="1:17" x14ac:dyDescent="0.2">
      <c r="A1084" t="str">
        <f>IF(Sync!$T1080="","",Sync!$T1080)</f>
        <v/>
      </c>
      <c r="B1084" t="str">
        <f t="shared" si="96"/>
        <v/>
      </c>
      <c r="C1084" t="str">
        <f t="shared" si="97"/>
        <v/>
      </c>
      <c r="D1084" t="str">
        <f t="shared" si="98"/>
        <v/>
      </c>
      <c r="E1084" t="str">
        <f t="shared" si="99"/>
        <v/>
      </c>
      <c r="F1084" t="str">
        <f t="shared" si="100"/>
        <v/>
      </c>
      <c r="G1084" t="str">
        <f>IF(OR($E1084="",$E1084="نامعتبر",Sync!$X1080=""),"",IF(AND(LEFT(UPPER(TRIM(Sync!$X1080)),2)="SL",IFERROR(VLOOKUP(Sync!$W1080,OpTbl,3,0),"")="فروش"),UPPER(TRIM(Sync!$X1080)),""))</f>
        <v/>
      </c>
      <c r="H1084" t="str">
        <f>IF($G1084="","",IF(Sync!$W1080="","",Sync!$W1080))</f>
        <v/>
      </c>
      <c r="I1084" t="str">
        <f>IF(OR($G1084="",Sync!$Y1080=""),"",Sync!$Y1080)</f>
        <v/>
      </c>
      <c r="J1084" t="str">
        <f>IF(OR($G1084="",Sync!$Z1080=""),"",Sync!$Z1080)</f>
        <v/>
      </c>
      <c r="K1084">
        <f>IF($G1084="",0,IF(Sync!$AA1080="",0,Sync!$AA1080))</f>
        <v>0</v>
      </c>
      <c r="L1084">
        <f>IF($G1084="",0,IF(Sync!$AB1080="",0,Sync!$AB1080))</f>
        <v>0</v>
      </c>
      <c r="M1084" t="str">
        <f t="shared" si="101"/>
        <v/>
      </c>
      <c r="N1084">
        <f>IF($G1084="",0,IF($H1084="مرجوعی فروش",-1,1)*IF(Sync!$AC1080="",0,Sync!$AC1080))</f>
        <v>0</v>
      </c>
      <c r="O1084" t="str">
        <f>IF(OR($G1084="",Sync!$V1080=""),"",Sync!$V1080)</f>
        <v/>
      </c>
      <c r="P1084" t="str">
        <f>IF(OR($G1084="",Sync!$AD1080=""),"",Sync!$AD1080)</f>
        <v/>
      </c>
      <c r="Q1084" t="str">
        <f>IF($G1084="","",IF(Sync!$U1080="","0000",IF(AND(ISNUMBER(Sync!$U1080),Sync!$U1080&gt;=0,Sync!$U1080&lt;1),RIGHT("00"&amp;HOUR(Sync!$U1080),2)&amp;RIGHT("00"&amp;MINUTE(Sync!$U1080),2),IFERROR(RIGHT("00"&amp;VALUE(LEFT(Sync!$U1080,FIND(":",Sync!$U1080)-1)),2)&amp;RIGHT("00"&amp;VALUE(MID(Sync!$U1080,FIND(":",Sync!$U1080)+1,2)),2),"0000"))))</f>
        <v/>
      </c>
    </row>
    <row r="1085" spans="1:17" x14ac:dyDescent="0.2">
      <c r="A1085" t="str">
        <f>IF(Sync!$T1081="","",Sync!$T1081)</f>
        <v/>
      </c>
      <c r="B1085" t="str">
        <f t="shared" si="96"/>
        <v/>
      </c>
      <c r="C1085" t="str">
        <f t="shared" si="97"/>
        <v/>
      </c>
      <c r="D1085" t="str">
        <f t="shared" si="98"/>
        <v/>
      </c>
      <c r="E1085" t="str">
        <f t="shared" si="99"/>
        <v/>
      </c>
      <c r="F1085" t="str">
        <f t="shared" si="100"/>
        <v/>
      </c>
      <c r="G1085" t="str">
        <f>IF(OR($E1085="",$E1085="نامعتبر",Sync!$X1081=""),"",IF(AND(LEFT(UPPER(TRIM(Sync!$X1081)),2)="SL",IFERROR(VLOOKUP(Sync!$W1081,OpTbl,3,0),"")="فروش"),UPPER(TRIM(Sync!$X1081)),""))</f>
        <v/>
      </c>
      <c r="H1085" t="str">
        <f>IF($G1085="","",IF(Sync!$W1081="","",Sync!$W1081))</f>
        <v/>
      </c>
      <c r="I1085" t="str">
        <f>IF(OR($G1085="",Sync!$Y1081=""),"",Sync!$Y1081)</f>
        <v/>
      </c>
      <c r="J1085" t="str">
        <f>IF(OR($G1085="",Sync!$Z1081=""),"",Sync!$Z1081)</f>
        <v/>
      </c>
      <c r="K1085">
        <f>IF($G1085="",0,IF(Sync!$AA1081="",0,Sync!$AA1081))</f>
        <v>0</v>
      </c>
      <c r="L1085">
        <f>IF($G1085="",0,IF(Sync!$AB1081="",0,Sync!$AB1081))</f>
        <v>0</v>
      </c>
      <c r="M1085" t="str">
        <f t="shared" si="101"/>
        <v/>
      </c>
      <c r="N1085">
        <f>IF($G1085="",0,IF($H1085="مرجوعی فروش",-1,1)*IF(Sync!$AC1081="",0,Sync!$AC1081))</f>
        <v>0</v>
      </c>
      <c r="O1085" t="str">
        <f>IF(OR($G1085="",Sync!$V1081=""),"",Sync!$V1081)</f>
        <v/>
      </c>
      <c r="P1085" t="str">
        <f>IF(OR($G1085="",Sync!$AD1081=""),"",Sync!$AD1081)</f>
        <v/>
      </c>
      <c r="Q1085" t="str">
        <f>IF($G1085="","",IF(Sync!$U1081="","0000",IF(AND(ISNUMBER(Sync!$U1081),Sync!$U1081&gt;=0,Sync!$U1081&lt;1),RIGHT("00"&amp;HOUR(Sync!$U1081),2)&amp;RIGHT("00"&amp;MINUTE(Sync!$U1081),2),IFERROR(RIGHT("00"&amp;VALUE(LEFT(Sync!$U1081,FIND(":",Sync!$U1081)-1)),2)&amp;RIGHT("00"&amp;VALUE(MID(Sync!$U1081,FIND(":",Sync!$U1081)+1,2)),2),"0000"))))</f>
        <v/>
      </c>
    </row>
    <row r="1086" spans="1:17" x14ac:dyDescent="0.2">
      <c r="A1086" t="str">
        <f>IF(Sync!$T1082="","",Sync!$T1082)</f>
        <v/>
      </c>
      <c r="B1086" t="str">
        <f t="shared" si="96"/>
        <v/>
      </c>
      <c r="C1086" t="str">
        <f t="shared" si="97"/>
        <v/>
      </c>
      <c r="D1086" t="str">
        <f t="shared" si="98"/>
        <v/>
      </c>
      <c r="E1086" t="str">
        <f t="shared" si="99"/>
        <v/>
      </c>
      <c r="F1086" t="str">
        <f t="shared" si="100"/>
        <v/>
      </c>
      <c r="G1086" t="str">
        <f>IF(OR($E1086="",$E1086="نامعتبر",Sync!$X1082=""),"",IF(AND(LEFT(UPPER(TRIM(Sync!$X1082)),2)="SL",IFERROR(VLOOKUP(Sync!$W1082,OpTbl,3,0),"")="فروش"),UPPER(TRIM(Sync!$X1082)),""))</f>
        <v/>
      </c>
      <c r="H1086" t="str">
        <f>IF($G1086="","",IF(Sync!$W1082="","",Sync!$W1082))</f>
        <v/>
      </c>
      <c r="I1086" t="str">
        <f>IF(OR($G1086="",Sync!$Y1082=""),"",Sync!$Y1082)</f>
        <v/>
      </c>
      <c r="J1086" t="str">
        <f>IF(OR($G1086="",Sync!$Z1082=""),"",Sync!$Z1082)</f>
        <v/>
      </c>
      <c r="K1086">
        <f>IF($G1086="",0,IF(Sync!$AA1082="",0,Sync!$AA1082))</f>
        <v>0</v>
      </c>
      <c r="L1086">
        <f>IF($G1086="",0,IF(Sync!$AB1082="",0,Sync!$AB1082))</f>
        <v>0</v>
      </c>
      <c r="M1086" t="str">
        <f t="shared" si="101"/>
        <v/>
      </c>
      <c r="N1086">
        <f>IF($G1086="",0,IF($H1086="مرجوعی فروش",-1,1)*IF(Sync!$AC1082="",0,Sync!$AC1082))</f>
        <v>0</v>
      </c>
      <c r="O1086" t="str">
        <f>IF(OR($G1086="",Sync!$V1082=""),"",Sync!$V1082)</f>
        <v/>
      </c>
      <c r="P1086" t="str">
        <f>IF(OR($G1086="",Sync!$AD1082=""),"",Sync!$AD1082)</f>
        <v/>
      </c>
      <c r="Q1086" t="str">
        <f>IF($G1086="","",IF(Sync!$U1082="","0000",IF(AND(ISNUMBER(Sync!$U1082),Sync!$U1082&gt;=0,Sync!$U1082&lt;1),RIGHT("00"&amp;HOUR(Sync!$U1082),2)&amp;RIGHT("00"&amp;MINUTE(Sync!$U1082),2),IFERROR(RIGHT("00"&amp;VALUE(LEFT(Sync!$U1082,FIND(":",Sync!$U1082)-1)),2)&amp;RIGHT("00"&amp;VALUE(MID(Sync!$U1082,FIND(":",Sync!$U1082)+1,2)),2),"0000"))))</f>
        <v/>
      </c>
    </row>
    <row r="1087" spans="1:17" x14ac:dyDescent="0.2">
      <c r="A1087" t="str">
        <f>IF(Sync!$T1083="","",Sync!$T1083)</f>
        <v/>
      </c>
      <c r="B1087" t="str">
        <f t="shared" si="96"/>
        <v/>
      </c>
      <c r="C1087" t="str">
        <f t="shared" si="97"/>
        <v/>
      </c>
      <c r="D1087" t="str">
        <f t="shared" si="98"/>
        <v/>
      </c>
      <c r="E1087" t="str">
        <f t="shared" si="99"/>
        <v/>
      </c>
      <c r="F1087" t="str">
        <f t="shared" si="100"/>
        <v/>
      </c>
      <c r="G1087" t="str">
        <f>IF(OR($E1087="",$E1087="نامعتبر",Sync!$X1083=""),"",IF(AND(LEFT(UPPER(TRIM(Sync!$X1083)),2)="SL",IFERROR(VLOOKUP(Sync!$W1083,OpTbl,3,0),"")="فروش"),UPPER(TRIM(Sync!$X1083)),""))</f>
        <v/>
      </c>
      <c r="H1087" t="str">
        <f>IF($G1087="","",IF(Sync!$W1083="","",Sync!$W1083))</f>
        <v/>
      </c>
      <c r="I1087" t="str">
        <f>IF(OR($G1087="",Sync!$Y1083=""),"",Sync!$Y1083)</f>
        <v/>
      </c>
      <c r="J1087" t="str">
        <f>IF(OR($G1087="",Sync!$Z1083=""),"",Sync!$Z1083)</f>
        <v/>
      </c>
      <c r="K1087">
        <f>IF($G1087="",0,IF(Sync!$AA1083="",0,Sync!$AA1083))</f>
        <v>0</v>
      </c>
      <c r="L1087">
        <f>IF($G1087="",0,IF(Sync!$AB1083="",0,Sync!$AB1083))</f>
        <v>0</v>
      </c>
      <c r="M1087" t="str">
        <f t="shared" si="101"/>
        <v/>
      </c>
      <c r="N1087">
        <f>IF($G1087="",0,IF($H1087="مرجوعی فروش",-1,1)*IF(Sync!$AC1083="",0,Sync!$AC1083))</f>
        <v>0</v>
      </c>
      <c r="O1087" t="str">
        <f>IF(OR($G1087="",Sync!$V1083=""),"",Sync!$V1083)</f>
        <v/>
      </c>
      <c r="P1087" t="str">
        <f>IF(OR($G1087="",Sync!$AD1083=""),"",Sync!$AD1083)</f>
        <v/>
      </c>
      <c r="Q1087" t="str">
        <f>IF($G1087="","",IF(Sync!$U1083="","0000",IF(AND(ISNUMBER(Sync!$U1083),Sync!$U1083&gt;=0,Sync!$U1083&lt;1),RIGHT("00"&amp;HOUR(Sync!$U1083),2)&amp;RIGHT("00"&amp;MINUTE(Sync!$U1083),2),IFERROR(RIGHT("00"&amp;VALUE(LEFT(Sync!$U1083,FIND(":",Sync!$U1083)-1)),2)&amp;RIGHT("00"&amp;VALUE(MID(Sync!$U1083,FIND(":",Sync!$U1083)+1,2)),2),"0000"))))</f>
        <v/>
      </c>
    </row>
    <row r="1088" spans="1:17" x14ac:dyDescent="0.2">
      <c r="A1088" t="str">
        <f>IF(Sync!$T1084="","",Sync!$T1084)</f>
        <v/>
      </c>
      <c r="B1088" t="str">
        <f t="shared" si="96"/>
        <v/>
      </c>
      <c r="C1088" t="str">
        <f t="shared" si="97"/>
        <v/>
      </c>
      <c r="D1088" t="str">
        <f t="shared" si="98"/>
        <v/>
      </c>
      <c r="E1088" t="str">
        <f t="shared" si="99"/>
        <v/>
      </c>
      <c r="F1088" t="str">
        <f t="shared" si="100"/>
        <v/>
      </c>
      <c r="G1088" t="str">
        <f>IF(OR($E1088="",$E1088="نامعتبر",Sync!$X1084=""),"",IF(AND(LEFT(UPPER(TRIM(Sync!$X1084)),2)="SL",IFERROR(VLOOKUP(Sync!$W1084,OpTbl,3,0),"")="فروش"),UPPER(TRIM(Sync!$X1084)),""))</f>
        <v/>
      </c>
      <c r="H1088" t="str">
        <f>IF($G1088="","",IF(Sync!$W1084="","",Sync!$W1084))</f>
        <v/>
      </c>
      <c r="I1088" t="str">
        <f>IF(OR($G1088="",Sync!$Y1084=""),"",Sync!$Y1084)</f>
        <v/>
      </c>
      <c r="J1088" t="str">
        <f>IF(OR($G1088="",Sync!$Z1084=""),"",Sync!$Z1084)</f>
        <v/>
      </c>
      <c r="K1088">
        <f>IF($G1088="",0,IF(Sync!$AA1084="",0,Sync!$AA1084))</f>
        <v>0</v>
      </c>
      <c r="L1088">
        <f>IF($G1088="",0,IF(Sync!$AB1084="",0,Sync!$AB1084))</f>
        <v>0</v>
      </c>
      <c r="M1088" t="str">
        <f t="shared" si="101"/>
        <v/>
      </c>
      <c r="N1088">
        <f>IF($G1088="",0,IF($H1088="مرجوعی فروش",-1,1)*IF(Sync!$AC1084="",0,Sync!$AC1084))</f>
        <v>0</v>
      </c>
      <c r="O1088" t="str">
        <f>IF(OR($G1088="",Sync!$V1084=""),"",Sync!$V1084)</f>
        <v/>
      </c>
      <c r="P1088" t="str">
        <f>IF(OR($G1088="",Sync!$AD1084=""),"",Sync!$AD1084)</f>
        <v/>
      </c>
      <c r="Q1088" t="str">
        <f>IF($G1088="","",IF(Sync!$U1084="","0000",IF(AND(ISNUMBER(Sync!$U1084),Sync!$U1084&gt;=0,Sync!$U1084&lt;1),RIGHT("00"&amp;HOUR(Sync!$U1084),2)&amp;RIGHT("00"&amp;MINUTE(Sync!$U1084),2),IFERROR(RIGHT("00"&amp;VALUE(LEFT(Sync!$U1084,FIND(":",Sync!$U1084)-1)),2)&amp;RIGHT("00"&amp;VALUE(MID(Sync!$U1084,FIND(":",Sync!$U1084)+1,2)),2),"0000"))))</f>
        <v/>
      </c>
    </row>
    <row r="1089" spans="1:17" x14ac:dyDescent="0.2">
      <c r="A1089" t="str">
        <f>IF(Sync!$T1085="","",Sync!$T1085)</f>
        <v/>
      </c>
      <c r="B1089" t="str">
        <f t="shared" si="96"/>
        <v/>
      </c>
      <c r="C1089" t="str">
        <f t="shared" si="97"/>
        <v/>
      </c>
      <c r="D1089" t="str">
        <f t="shared" si="98"/>
        <v/>
      </c>
      <c r="E1089" t="str">
        <f t="shared" si="99"/>
        <v/>
      </c>
      <c r="F1089" t="str">
        <f t="shared" si="100"/>
        <v/>
      </c>
      <c r="G1089" t="str">
        <f>IF(OR($E1089="",$E1089="نامعتبر",Sync!$X1085=""),"",IF(AND(LEFT(UPPER(TRIM(Sync!$X1085)),2)="SL",IFERROR(VLOOKUP(Sync!$W1085,OpTbl,3,0),"")="فروش"),UPPER(TRIM(Sync!$X1085)),""))</f>
        <v/>
      </c>
      <c r="H1089" t="str">
        <f>IF($G1089="","",IF(Sync!$W1085="","",Sync!$W1085))</f>
        <v/>
      </c>
      <c r="I1089" t="str">
        <f>IF(OR($G1089="",Sync!$Y1085=""),"",Sync!$Y1085)</f>
        <v/>
      </c>
      <c r="J1089" t="str">
        <f>IF(OR($G1089="",Sync!$Z1085=""),"",Sync!$Z1085)</f>
        <v/>
      </c>
      <c r="K1089">
        <f>IF($G1089="",0,IF(Sync!$AA1085="",0,Sync!$AA1085))</f>
        <v>0</v>
      </c>
      <c r="L1089">
        <f>IF($G1089="",0,IF(Sync!$AB1085="",0,Sync!$AB1085))</f>
        <v>0</v>
      </c>
      <c r="M1089" t="str">
        <f t="shared" si="101"/>
        <v/>
      </c>
      <c r="N1089">
        <f>IF($G1089="",0,IF($H1089="مرجوعی فروش",-1,1)*IF(Sync!$AC1085="",0,Sync!$AC1085))</f>
        <v>0</v>
      </c>
      <c r="O1089" t="str">
        <f>IF(OR($G1089="",Sync!$V1085=""),"",Sync!$V1085)</f>
        <v/>
      </c>
      <c r="P1089" t="str">
        <f>IF(OR($G1089="",Sync!$AD1085=""),"",Sync!$AD1085)</f>
        <v/>
      </c>
      <c r="Q1089" t="str">
        <f>IF($G1089="","",IF(Sync!$U1085="","0000",IF(AND(ISNUMBER(Sync!$U1085),Sync!$U1085&gt;=0,Sync!$U1085&lt;1),RIGHT("00"&amp;HOUR(Sync!$U1085),2)&amp;RIGHT("00"&amp;MINUTE(Sync!$U1085),2),IFERROR(RIGHT("00"&amp;VALUE(LEFT(Sync!$U1085,FIND(":",Sync!$U1085)-1)),2)&amp;RIGHT("00"&amp;VALUE(MID(Sync!$U1085,FIND(":",Sync!$U1085)+1,2)),2),"0000"))))</f>
        <v/>
      </c>
    </row>
    <row r="1090" spans="1:17" x14ac:dyDescent="0.2">
      <c r="A1090" t="str">
        <f>IF(Sync!$T1086="","",Sync!$T1086)</f>
        <v/>
      </c>
      <c r="B1090" t="str">
        <f t="shared" si="96"/>
        <v/>
      </c>
      <c r="C1090" t="str">
        <f t="shared" si="97"/>
        <v/>
      </c>
      <c r="D1090" t="str">
        <f t="shared" si="98"/>
        <v/>
      </c>
      <c r="E1090" t="str">
        <f t="shared" si="99"/>
        <v/>
      </c>
      <c r="F1090" t="str">
        <f t="shared" si="100"/>
        <v/>
      </c>
      <c r="G1090" t="str">
        <f>IF(OR($E1090="",$E1090="نامعتبر",Sync!$X1086=""),"",IF(AND(LEFT(UPPER(TRIM(Sync!$X1086)),2)="SL",IFERROR(VLOOKUP(Sync!$W1086,OpTbl,3,0),"")="فروش"),UPPER(TRIM(Sync!$X1086)),""))</f>
        <v/>
      </c>
      <c r="H1090" t="str">
        <f>IF($G1090="","",IF(Sync!$W1086="","",Sync!$W1086))</f>
        <v/>
      </c>
      <c r="I1090" t="str">
        <f>IF(OR($G1090="",Sync!$Y1086=""),"",Sync!$Y1086)</f>
        <v/>
      </c>
      <c r="J1090" t="str">
        <f>IF(OR($G1090="",Sync!$Z1086=""),"",Sync!$Z1086)</f>
        <v/>
      </c>
      <c r="K1090">
        <f>IF($G1090="",0,IF(Sync!$AA1086="",0,Sync!$AA1086))</f>
        <v>0</v>
      </c>
      <c r="L1090">
        <f>IF($G1090="",0,IF(Sync!$AB1086="",0,Sync!$AB1086))</f>
        <v>0</v>
      </c>
      <c r="M1090" t="str">
        <f t="shared" si="101"/>
        <v/>
      </c>
      <c r="N1090">
        <f>IF($G1090="",0,IF($H1090="مرجوعی فروش",-1,1)*IF(Sync!$AC1086="",0,Sync!$AC1086))</f>
        <v>0</v>
      </c>
      <c r="O1090" t="str">
        <f>IF(OR($G1090="",Sync!$V1086=""),"",Sync!$V1086)</f>
        <v/>
      </c>
      <c r="P1090" t="str">
        <f>IF(OR($G1090="",Sync!$AD1086=""),"",Sync!$AD1086)</f>
        <v/>
      </c>
      <c r="Q1090" t="str">
        <f>IF($G1090="","",IF(Sync!$U1086="","0000",IF(AND(ISNUMBER(Sync!$U1086),Sync!$U1086&gt;=0,Sync!$U1086&lt;1),RIGHT("00"&amp;HOUR(Sync!$U1086),2)&amp;RIGHT("00"&amp;MINUTE(Sync!$U1086),2),IFERROR(RIGHT("00"&amp;VALUE(LEFT(Sync!$U1086,FIND(":",Sync!$U1086)-1)),2)&amp;RIGHT("00"&amp;VALUE(MID(Sync!$U1086,FIND(":",Sync!$U1086)+1,2)),2),"0000"))))</f>
        <v/>
      </c>
    </row>
    <row r="1091" spans="1:17" x14ac:dyDescent="0.2">
      <c r="A1091" t="str">
        <f>IF(Sync!$T1087="","",Sync!$T1087)</f>
        <v/>
      </c>
      <c r="B1091" t="str">
        <f t="shared" si="96"/>
        <v/>
      </c>
      <c r="C1091" t="str">
        <f t="shared" si="97"/>
        <v/>
      </c>
      <c r="D1091" t="str">
        <f t="shared" si="98"/>
        <v/>
      </c>
      <c r="E1091" t="str">
        <f t="shared" si="99"/>
        <v/>
      </c>
      <c r="F1091" t="str">
        <f t="shared" si="100"/>
        <v/>
      </c>
      <c r="G1091" t="str">
        <f>IF(OR($E1091="",$E1091="نامعتبر",Sync!$X1087=""),"",IF(AND(LEFT(UPPER(TRIM(Sync!$X1087)),2)="SL",IFERROR(VLOOKUP(Sync!$W1087,OpTbl,3,0),"")="فروش"),UPPER(TRIM(Sync!$X1087)),""))</f>
        <v/>
      </c>
      <c r="H1091" t="str">
        <f>IF($G1091="","",IF(Sync!$W1087="","",Sync!$W1087))</f>
        <v/>
      </c>
      <c r="I1091" t="str">
        <f>IF(OR($G1091="",Sync!$Y1087=""),"",Sync!$Y1087)</f>
        <v/>
      </c>
      <c r="J1091" t="str">
        <f>IF(OR($G1091="",Sync!$Z1087=""),"",Sync!$Z1087)</f>
        <v/>
      </c>
      <c r="K1091">
        <f>IF($G1091="",0,IF(Sync!$AA1087="",0,Sync!$AA1087))</f>
        <v>0</v>
      </c>
      <c r="L1091">
        <f>IF($G1091="",0,IF(Sync!$AB1087="",0,Sync!$AB1087))</f>
        <v>0</v>
      </c>
      <c r="M1091" t="str">
        <f t="shared" si="101"/>
        <v/>
      </c>
      <c r="N1091">
        <f>IF($G1091="",0,IF($H1091="مرجوعی فروش",-1,1)*IF(Sync!$AC1087="",0,Sync!$AC1087))</f>
        <v>0</v>
      </c>
      <c r="O1091" t="str">
        <f>IF(OR($G1091="",Sync!$V1087=""),"",Sync!$V1087)</f>
        <v/>
      </c>
      <c r="P1091" t="str">
        <f>IF(OR($G1091="",Sync!$AD1087=""),"",Sync!$AD1087)</f>
        <v/>
      </c>
      <c r="Q1091" t="str">
        <f>IF($G1091="","",IF(Sync!$U1087="","0000",IF(AND(ISNUMBER(Sync!$U1087),Sync!$U1087&gt;=0,Sync!$U1087&lt;1),RIGHT("00"&amp;HOUR(Sync!$U1087),2)&amp;RIGHT("00"&amp;MINUTE(Sync!$U1087),2),IFERROR(RIGHT("00"&amp;VALUE(LEFT(Sync!$U1087,FIND(":",Sync!$U1087)-1)),2)&amp;RIGHT("00"&amp;VALUE(MID(Sync!$U1087,FIND(":",Sync!$U1087)+1,2)),2),"0000"))))</f>
        <v/>
      </c>
    </row>
    <row r="1092" spans="1:17" x14ac:dyDescent="0.2">
      <c r="A1092" t="str">
        <f>IF(Sync!$T1088="","",Sync!$T1088)</f>
        <v/>
      </c>
      <c r="B1092" t="str">
        <f t="shared" si="96"/>
        <v/>
      </c>
      <c r="C1092" t="str">
        <f t="shared" si="97"/>
        <v/>
      </c>
      <c r="D1092" t="str">
        <f t="shared" si="98"/>
        <v/>
      </c>
      <c r="E1092" t="str">
        <f t="shared" si="99"/>
        <v/>
      </c>
      <c r="F1092" t="str">
        <f t="shared" si="100"/>
        <v/>
      </c>
      <c r="G1092" t="str">
        <f>IF(OR($E1092="",$E1092="نامعتبر",Sync!$X1088=""),"",IF(AND(LEFT(UPPER(TRIM(Sync!$X1088)),2)="SL",IFERROR(VLOOKUP(Sync!$W1088,OpTbl,3,0),"")="فروش"),UPPER(TRIM(Sync!$X1088)),""))</f>
        <v/>
      </c>
      <c r="H1092" t="str">
        <f>IF($G1092="","",IF(Sync!$W1088="","",Sync!$W1088))</f>
        <v/>
      </c>
      <c r="I1092" t="str">
        <f>IF(OR($G1092="",Sync!$Y1088=""),"",Sync!$Y1088)</f>
        <v/>
      </c>
      <c r="J1092" t="str">
        <f>IF(OR($G1092="",Sync!$Z1088=""),"",Sync!$Z1088)</f>
        <v/>
      </c>
      <c r="K1092">
        <f>IF($G1092="",0,IF(Sync!$AA1088="",0,Sync!$AA1088))</f>
        <v>0</v>
      </c>
      <c r="L1092">
        <f>IF($G1092="",0,IF(Sync!$AB1088="",0,Sync!$AB1088))</f>
        <v>0</v>
      </c>
      <c r="M1092" t="str">
        <f t="shared" si="101"/>
        <v/>
      </c>
      <c r="N1092">
        <f>IF($G1092="",0,IF($H1092="مرجوعی فروش",-1,1)*IF(Sync!$AC1088="",0,Sync!$AC1088))</f>
        <v>0</v>
      </c>
      <c r="O1092" t="str">
        <f>IF(OR($G1092="",Sync!$V1088=""),"",Sync!$V1088)</f>
        <v/>
      </c>
      <c r="P1092" t="str">
        <f>IF(OR($G1092="",Sync!$AD1088=""),"",Sync!$AD1088)</f>
        <v/>
      </c>
      <c r="Q1092" t="str">
        <f>IF($G1092="","",IF(Sync!$U1088="","0000",IF(AND(ISNUMBER(Sync!$U1088),Sync!$U1088&gt;=0,Sync!$U1088&lt;1),RIGHT("00"&amp;HOUR(Sync!$U1088),2)&amp;RIGHT("00"&amp;MINUTE(Sync!$U1088),2),IFERROR(RIGHT("00"&amp;VALUE(LEFT(Sync!$U1088,FIND(":",Sync!$U1088)-1)),2)&amp;RIGHT("00"&amp;VALUE(MID(Sync!$U1088,FIND(":",Sync!$U1088)+1,2)),2),"0000"))))</f>
        <v/>
      </c>
    </row>
    <row r="1093" spans="1:17" x14ac:dyDescent="0.2">
      <c r="A1093" t="str">
        <f>IF(Sync!$T1089="","",Sync!$T1089)</f>
        <v/>
      </c>
      <c r="B1093" t="str">
        <f t="shared" si="96"/>
        <v/>
      </c>
      <c r="C1093" t="str">
        <f t="shared" si="97"/>
        <v/>
      </c>
      <c r="D1093" t="str">
        <f t="shared" si="98"/>
        <v/>
      </c>
      <c r="E1093" t="str">
        <f t="shared" si="99"/>
        <v/>
      </c>
      <c r="F1093" t="str">
        <f t="shared" si="100"/>
        <v/>
      </c>
      <c r="G1093" t="str">
        <f>IF(OR($E1093="",$E1093="نامعتبر",Sync!$X1089=""),"",IF(AND(LEFT(UPPER(TRIM(Sync!$X1089)),2)="SL",IFERROR(VLOOKUP(Sync!$W1089,OpTbl,3,0),"")="فروش"),UPPER(TRIM(Sync!$X1089)),""))</f>
        <v/>
      </c>
      <c r="H1093" t="str">
        <f>IF($G1093="","",IF(Sync!$W1089="","",Sync!$W1089))</f>
        <v/>
      </c>
      <c r="I1093" t="str">
        <f>IF(OR($G1093="",Sync!$Y1089=""),"",Sync!$Y1089)</f>
        <v/>
      </c>
      <c r="J1093" t="str">
        <f>IF(OR($G1093="",Sync!$Z1089=""),"",Sync!$Z1089)</f>
        <v/>
      </c>
      <c r="K1093">
        <f>IF($G1093="",0,IF(Sync!$AA1089="",0,Sync!$AA1089))</f>
        <v>0</v>
      </c>
      <c r="L1093">
        <f>IF($G1093="",0,IF(Sync!$AB1089="",0,Sync!$AB1089))</f>
        <v>0</v>
      </c>
      <c r="M1093" t="str">
        <f t="shared" si="101"/>
        <v/>
      </c>
      <c r="N1093">
        <f>IF($G1093="",0,IF($H1093="مرجوعی فروش",-1,1)*IF(Sync!$AC1089="",0,Sync!$AC1089))</f>
        <v>0</v>
      </c>
      <c r="O1093" t="str">
        <f>IF(OR($G1093="",Sync!$V1089=""),"",Sync!$V1089)</f>
        <v/>
      </c>
      <c r="P1093" t="str">
        <f>IF(OR($G1093="",Sync!$AD1089=""),"",Sync!$AD1089)</f>
        <v/>
      </c>
      <c r="Q1093" t="str">
        <f>IF($G1093="","",IF(Sync!$U1089="","0000",IF(AND(ISNUMBER(Sync!$U1089),Sync!$U1089&gt;=0,Sync!$U1089&lt;1),RIGHT("00"&amp;HOUR(Sync!$U1089),2)&amp;RIGHT("00"&amp;MINUTE(Sync!$U1089),2),IFERROR(RIGHT("00"&amp;VALUE(LEFT(Sync!$U1089,FIND(":",Sync!$U1089)-1)),2)&amp;RIGHT("00"&amp;VALUE(MID(Sync!$U1089,FIND(":",Sync!$U1089)+1,2)),2),"0000"))))</f>
        <v/>
      </c>
    </row>
    <row r="1094" spans="1:17" x14ac:dyDescent="0.2">
      <c r="A1094" t="str">
        <f>IF(Sync!$T1090="","",Sync!$T1090)</f>
        <v/>
      </c>
      <c r="B1094" t="str">
        <f t="shared" si="96"/>
        <v/>
      </c>
      <c r="C1094" t="str">
        <f t="shared" si="97"/>
        <v/>
      </c>
      <c r="D1094" t="str">
        <f t="shared" si="98"/>
        <v/>
      </c>
      <c r="E1094" t="str">
        <f t="shared" si="99"/>
        <v/>
      </c>
      <c r="F1094" t="str">
        <f t="shared" si="100"/>
        <v/>
      </c>
      <c r="G1094" t="str">
        <f>IF(OR($E1094="",$E1094="نامعتبر",Sync!$X1090=""),"",IF(AND(LEFT(UPPER(TRIM(Sync!$X1090)),2)="SL",IFERROR(VLOOKUP(Sync!$W1090,OpTbl,3,0),"")="فروش"),UPPER(TRIM(Sync!$X1090)),""))</f>
        <v/>
      </c>
      <c r="H1094" t="str">
        <f>IF($G1094="","",IF(Sync!$W1090="","",Sync!$W1090))</f>
        <v/>
      </c>
      <c r="I1094" t="str">
        <f>IF(OR($G1094="",Sync!$Y1090=""),"",Sync!$Y1090)</f>
        <v/>
      </c>
      <c r="J1094" t="str">
        <f>IF(OR($G1094="",Sync!$Z1090=""),"",Sync!$Z1090)</f>
        <v/>
      </c>
      <c r="K1094">
        <f>IF($G1094="",0,IF(Sync!$AA1090="",0,Sync!$AA1090))</f>
        <v>0</v>
      </c>
      <c r="L1094">
        <f>IF($G1094="",0,IF(Sync!$AB1090="",0,Sync!$AB1090))</f>
        <v>0</v>
      </c>
      <c r="M1094" t="str">
        <f t="shared" si="101"/>
        <v/>
      </c>
      <c r="N1094">
        <f>IF($G1094="",0,IF($H1094="مرجوعی فروش",-1,1)*IF(Sync!$AC1090="",0,Sync!$AC1090))</f>
        <v>0</v>
      </c>
      <c r="O1094" t="str">
        <f>IF(OR($G1094="",Sync!$V1090=""),"",Sync!$V1090)</f>
        <v/>
      </c>
      <c r="P1094" t="str">
        <f>IF(OR($G1094="",Sync!$AD1090=""),"",Sync!$AD1090)</f>
        <v/>
      </c>
      <c r="Q1094" t="str">
        <f>IF($G1094="","",IF(Sync!$U1090="","0000",IF(AND(ISNUMBER(Sync!$U1090),Sync!$U1090&gt;=0,Sync!$U1090&lt;1),RIGHT("00"&amp;HOUR(Sync!$U1090),2)&amp;RIGHT("00"&amp;MINUTE(Sync!$U1090),2),IFERROR(RIGHT("00"&amp;VALUE(LEFT(Sync!$U1090,FIND(":",Sync!$U1090)-1)),2)&amp;RIGHT("00"&amp;VALUE(MID(Sync!$U1090,FIND(":",Sync!$U1090)+1,2)),2),"0000"))))</f>
        <v/>
      </c>
    </row>
    <row r="1095" spans="1:17" x14ac:dyDescent="0.2">
      <c r="A1095" t="str">
        <f>IF(Sync!$T1091="","",Sync!$T1091)</f>
        <v/>
      </c>
      <c r="B1095" t="str">
        <f t="shared" si="96"/>
        <v/>
      </c>
      <c r="C1095" t="str">
        <f t="shared" si="97"/>
        <v/>
      </c>
      <c r="D1095" t="str">
        <f t="shared" si="98"/>
        <v/>
      </c>
      <c r="E1095" t="str">
        <f t="shared" si="99"/>
        <v/>
      </c>
      <c r="F1095" t="str">
        <f t="shared" si="100"/>
        <v/>
      </c>
      <c r="G1095" t="str">
        <f>IF(OR($E1095="",$E1095="نامعتبر",Sync!$X1091=""),"",IF(AND(LEFT(UPPER(TRIM(Sync!$X1091)),2)="SL",IFERROR(VLOOKUP(Sync!$W1091,OpTbl,3,0),"")="فروش"),UPPER(TRIM(Sync!$X1091)),""))</f>
        <v/>
      </c>
      <c r="H1095" t="str">
        <f>IF($G1095="","",IF(Sync!$W1091="","",Sync!$W1091))</f>
        <v/>
      </c>
      <c r="I1095" t="str">
        <f>IF(OR($G1095="",Sync!$Y1091=""),"",Sync!$Y1091)</f>
        <v/>
      </c>
      <c r="J1095" t="str">
        <f>IF(OR($G1095="",Sync!$Z1091=""),"",Sync!$Z1091)</f>
        <v/>
      </c>
      <c r="K1095">
        <f>IF($G1095="",0,IF(Sync!$AA1091="",0,Sync!$AA1091))</f>
        <v>0</v>
      </c>
      <c r="L1095">
        <f>IF($G1095="",0,IF(Sync!$AB1091="",0,Sync!$AB1091))</f>
        <v>0</v>
      </c>
      <c r="M1095" t="str">
        <f t="shared" si="101"/>
        <v/>
      </c>
      <c r="N1095">
        <f>IF($G1095="",0,IF($H1095="مرجوعی فروش",-1,1)*IF(Sync!$AC1091="",0,Sync!$AC1091))</f>
        <v>0</v>
      </c>
      <c r="O1095" t="str">
        <f>IF(OR($G1095="",Sync!$V1091=""),"",Sync!$V1091)</f>
        <v/>
      </c>
      <c r="P1095" t="str">
        <f>IF(OR($G1095="",Sync!$AD1091=""),"",Sync!$AD1091)</f>
        <v/>
      </c>
      <c r="Q1095" t="str">
        <f>IF($G1095="","",IF(Sync!$U1091="","0000",IF(AND(ISNUMBER(Sync!$U1091),Sync!$U1091&gt;=0,Sync!$U1091&lt;1),RIGHT("00"&amp;HOUR(Sync!$U1091),2)&amp;RIGHT("00"&amp;MINUTE(Sync!$U1091),2),IFERROR(RIGHT("00"&amp;VALUE(LEFT(Sync!$U1091,FIND(":",Sync!$U1091)-1)),2)&amp;RIGHT("00"&amp;VALUE(MID(Sync!$U1091,FIND(":",Sync!$U1091)+1,2)),2),"0000"))))</f>
        <v/>
      </c>
    </row>
    <row r="1096" spans="1:17" x14ac:dyDescent="0.2">
      <c r="A1096" t="str">
        <f>IF(Sync!$T1092="","",Sync!$T1092)</f>
        <v/>
      </c>
      <c r="B1096" t="str">
        <f t="shared" si="96"/>
        <v/>
      </c>
      <c r="C1096" t="str">
        <f t="shared" si="97"/>
        <v/>
      </c>
      <c r="D1096" t="str">
        <f t="shared" si="98"/>
        <v/>
      </c>
      <c r="E1096" t="str">
        <f t="shared" si="99"/>
        <v/>
      </c>
      <c r="F1096" t="str">
        <f t="shared" si="100"/>
        <v/>
      </c>
      <c r="G1096" t="str">
        <f>IF(OR($E1096="",$E1096="نامعتبر",Sync!$X1092=""),"",IF(AND(LEFT(UPPER(TRIM(Sync!$X1092)),2)="SL",IFERROR(VLOOKUP(Sync!$W1092,OpTbl,3,0),"")="فروش"),UPPER(TRIM(Sync!$X1092)),""))</f>
        <v/>
      </c>
      <c r="H1096" t="str">
        <f>IF($G1096="","",IF(Sync!$W1092="","",Sync!$W1092))</f>
        <v/>
      </c>
      <c r="I1096" t="str">
        <f>IF(OR($G1096="",Sync!$Y1092=""),"",Sync!$Y1092)</f>
        <v/>
      </c>
      <c r="J1096" t="str">
        <f>IF(OR($G1096="",Sync!$Z1092=""),"",Sync!$Z1092)</f>
        <v/>
      </c>
      <c r="K1096">
        <f>IF($G1096="",0,IF(Sync!$AA1092="",0,Sync!$AA1092))</f>
        <v>0</v>
      </c>
      <c r="L1096">
        <f>IF($G1096="",0,IF(Sync!$AB1092="",0,Sync!$AB1092))</f>
        <v>0</v>
      </c>
      <c r="M1096" t="str">
        <f t="shared" si="101"/>
        <v/>
      </c>
      <c r="N1096">
        <f>IF($G1096="",0,IF($H1096="مرجوعی فروش",-1,1)*IF(Sync!$AC1092="",0,Sync!$AC1092))</f>
        <v>0</v>
      </c>
      <c r="O1096" t="str">
        <f>IF(OR($G1096="",Sync!$V1092=""),"",Sync!$V1092)</f>
        <v/>
      </c>
      <c r="P1096" t="str">
        <f>IF(OR($G1096="",Sync!$AD1092=""),"",Sync!$AD1092)</f>
        <v/>
      </c>
      <c r="Q1096" t="str">
        <f>IF($G1096="","",IF(Sync!$U1092="","0000",IF(AND(ISNUMBER(Sync!$U1092),Sync!$U1092&gt;=0,Sync!$U1092&lt;1),RIGHT("00"&amp;HOUR(Sync!$U1092),2)&amp;RIGHT("00"&amp;MINUTE(Sync!$U1092),2),IFERROR(RIGHT("00"&amp;VALUE(LEFT(Sync!$U1092,FIND(":",Sync!$U1092)-1)),2)&amp;RIGHT("00"&amp;VALUE(MID(Sync!$U1092,FIND(":",Sync!$U1092)+1,2)),2),"0000"))))</f>
        <v/>
      </c>
    </row>
    <row r="1097" spans="1:17" x14ac:dyDescent="0.2">
      <c r="A1097" t="str">
        <f>IF(Sync!$T1093="","",Sync!$T1093)</f>
        <v/>
      </c>
      <c r="B1097" t="str">
        <f t="shared" si="96"/>
        <v/>
      </c>
      <c r="C1097" t="str">
        <f t="shared" si="97"/>
        <v/>
      </c>
      <c r="D1097" t="str">
        <f t="shared" si="98"/>
        <v/>
      </c>
      <c r="E1097" t="str">
        <f t="shared" si="99"/>
        <v/>
      </c>
      <c r="F1097" t="str">
        <f t="shared" si="100"/>
        <v/>
      </c>
      <c r="G1097" t="str">
        <f>IF(OR($E1097="",$E1097="نامعتبر",Sync!$X1093=""),"",IF(AND(LEFT(UPPER(TRIM(Sync!$X1093)),2)="SL",IFERROR(VLOOKUP(Sync!$W1093,OpTbl,3,0),"")="فروش"),UPPER(TRIM(Sync!$X1093)),""))</f>
        <v/>
      </c>
      <c r="H1097" t="str">
        <f>IF($G1097="","",IF(Sync!$W1093="","",Sync!$W1093))</f>
        <v/>
      </c>
      <c r="I1097" t="str">
        <f>IF(OR($G1097="",Sync!$Y1093=""),"",Sync!$Y1093)</f>
        <v/>
      </c>
      <c r="J1097" t="str">
        <f>IF(OR($G1097="",Sync!$Z1093=""),"",Sync!$Z1093)</f>
        <v/>
      </c>
      <c r="K1097">
        <f>IF($G1097="",0,IF(Sync!$AA1093="",0,Sync!$AA1093))</f>
        <v>0</v>
      </c>
      <c r="L1097">
        <f>IF($G1097="",0,IF(Sync!$AB1093="",0,Sync!$AB1093))</f>
        <v>0</v>
      </c>
      <c r="M1097" t="str">
        <f t="shared" si="101"/>
        <v/>
      </c>
      <c r="N1097">
        <f>IF($G1097="",0,IF($H1097="مرجوعی فروش",-1,1)*IF(Sync!$AC1093="",0,Sync!$AC1093))</f>
        <v>0</v>
      </c>
      <c r="O1097" t="str">
        <f>IF(OR($G1097="",Sync!$V1093=""),"",Sync!$V1093)</f>
        <v/>
      </c>
      <c r="P1097" t="str">
        <f>IF(OR($G1097="",Sync!$AD1093=""),"",Sync!$AD1093)</f>
        <v/>
      </c>
      <c r="Q1097" t="str">
        <f>IF($G1097="","",IF(Sync!$U1093="","0000",IF(AND(ISNUMBER(Sync!$U1093),Sync!$U1093&gt;=0,Sync!$U1093&lt;1),RIGHT("00"&amp;HOUR(Sync!$U1093),2)&amp;RIGHT("00"&amp;MINUTE(Sync!$U1093),2),IFERROR(RIGHT("00"&amp;VALUE(LEFT(Sync!$U1093,FIND(":",Sync!$U1093)-1)),2)&amp;RIGHT("00"&amp;VALUE(MID(Sync!$U1093,FIND(":",Sync!$U1093)+1,2)),2),"0000"))))</f>
        <v/>
      </c>
    </row>
    <row r="1098" spans="1:17" x14ac:dyDescent="0.2">
      <c r="A1098" t="str">
        <f>IF(Sync!$T1094="","",Sync!$T1094)</f>
        <v/>
      </c>
      <c r="B1098" t="str">
        <f t="shared" ref="B1098:B1161" si="102">IF($A1098="","",IF(ISNUMBER($A1098),IF(AND($A1098&gt;=10000101,$A1098&lt;=99991231),INT($A1098/10000),""),IFERROR(VALUE(TRIM(LEFT($A1098,FIND("/",$A1098)-1))),"")))</f>
        <v/>
      </c>
      <c r="C1098" t="str">
        <f t="shared" ref="C1098:C1161" si="103">IF(OR($A1098="",$B1098=""),"",IF(ISNUMBER($A1098),INT(MOD($A1098,10000)/100),IFERROR(VALUE(TRIM(LEFT(MID($A1098,FIND("/",$A1098)+1,20),FIND("/",MID($A1098,FIND("/",$A1098)+1,20))-1))),"")))</f>
        <v/>
      </c>
      <c r="D1098" t="str">
        <f t="shared" ref="D1098:D1161" si="104">IF(OR($A1098="",$B1098=""),"",IF(ISNUMBER($A1098),MOD($A1098,100),IFERROR(VALUE(TRIM(MID(MID($A1098,FIND("/",$A1098)+1,20),FIND("/",MID($A1098,FIND("/",$A1098)+1,20))+1,20))),"")))</f>
        <v/>
      </c>
      <c r="E1098" t="str">
        <f t="shared" ref="E1098:E1161" si="105">IF($A1098="","",IF(OR($B1098="",$C1098="",$D1098="",$B1098&lt;1300,$B1098&gt;1500,$C1098&lt;1,$C1098&gt;12,$D1098&lt;1,$D1098&gt;31),"نامعتبر",RIGHT("0000"&amp;$B1098,4)&amp;"/"&amp;RIGHT("00"&amp;$C1098,2)&amp;"/"&amp;RIGHT("00"&amp;$D1098,2)))</f>
        <v/>
      </c>
      <c r="F1098" t="str">
        <f t="shared" ref="F1098:F1161" si="106">IF(OR($E1098="",$E1098="نامعتبر"),"",LEFT($E1098,4)&amp;"/"&amp;MID($E1098,6,2))</f>
        <v/>
      </c>
      <c r="G1098" t="str">
        <f>IF(OR($E1098="",$E1098="نامعتبر",Sync!$X1094=""),"",IF(AND(LEFT(UPPER(TRIM(Sync!$X1094)),2)="SL",IFERROR(VLOOKUP(Sync!$W1094,OpTbl,3,0),"")="فروش"),UPPER(TRIM(Sync!$X1094)),""))</f>
        <v/>
      </c>
      <c r="H1098" t="str">
        <f>IF($G1098="","",IF(Sync!$W1094="","",Sync!$W1094))</f>
        <v/>
      </c>
      <c r="I1098" t="str">
        <f>IF(OR($G1098="",Sync!$Y1094=""),"",Sync!$Y1094)</f>
        <v/>
      </c>
      <c r="J1098" t="str">
        <f>IF(OR($G1098="",Sync!$Z1094=""),"",Sync!$Z1094)</f>
        <v/>
      </c>
      <c r="K1098">
        <f>IF($G1098="",0,IF(Sync!$AA1094="",0,Sync!$AA1094))</f>
        <v>0</v>
      </c>
      <c r="L1098">
        <f>IF($G1098="",0,IF(Sync!$AB1094="",0,Sync!$AB1094))</f>
        <v>0</v>
      </c>
      <c r="M1098" t="str">
        <f t="shared" ref="M1098:M1161" si="107">IF($G1098="","",IF($H1098="مرجوعی فروش",-1,1)*($K1098-$L1098*IFERROR(VLOOKUP("P01",ParamTbl,3,0),1.5)))</f>
        <v/>
      </c>
      <c r="N1098">
        <f>IF($G1098="",0,IF($H1098="مرجوعی فروش",-1,1)*IF(Sync!$AC1094="",0,Sync!$AC1094))</f>
        <v>0</v>
      </c>
      <c r="O1098" t="str">
        <f>IF(OR($G1098="",Sync!$V1094=""),"",Sync!$V1094)</f>
        <v/>
      </c>
      <c r="P1098" t="str">
        <f>IF(OR($G1098="",Sync!$AD1094=""),"",Sync!$AD1094)</f>
        <v/>
      </c>
      <c r="Q1098" t="str">
        <f>IF($G1098="","",IF(Sync!$U1094="","0000",IF(AND(ISNUMBER(Sync!$U1094),Sync!$U1094&gt;=0,Sync!$U1094&lt;1),RIGHT("00"&amp;HOUR(Sync!$U1094),2)&amp;RIGHT("00"&amp;MINUTE(Sync!$U1094),2),IFERROR(RIGHT("00"&amp;VALUE(LEFT(Sync!$U1094,FIND(":",Sync!$U1094)-1)),2)&amp;RIGHT("00"&amp;VALUE(MID(Sync!$U1094,FIND(":",Sync!$U1094)+1,2)),2),"0000"))))</f>
        <v/>
      </c>
    </row>
    <row r="1099" spans="1:17" x14ac:dyDescent="0.2">
      <c r="A1099" t="str">
        <f>IF(Sync!$T1095="","",Sync!$T1095)</f>
        <v/>
      </c>
      <c r="B1099" t="str">
        <f t="shared" si="102"/>
        <v/>
      </c>
      <c r="C1099" t="str">
        <f t="shared" si="103"/>
        <v/>
      </c>
      <c r="D1099" t="str">
        <f t="shared" si="104"/>
        <v/>
      </c>
      <c r="E1099" t="str">
        <f t="shared" si="105"/>
        <v/>
      </c>
      <c r="F1099" t="str">
        <f t="shared" si="106"/>
        <v/>
      </c>
      <c r="G1099" t="str">
        <f>IF(OR($E1099="",$E1099="نامعتبر",Sync!$X1095=""),"",IF(AND(LEFT(UPPER(TRIM(Sync!$X1095)),2)="SL",IFERROR(VLOOKUP(Sync!$W1095,OpTbl,3,0),"")="فروش"),UPPER(TRIM(Sync!$X1095)),""))</f>
        <v/>
      </c>
      <c r="H1099" t="str">
        <f>IF($G1099="","",IF(Sync!$W1095="","",Sync!$W1095))</f>
        <v/>
      </c>
      <c r="I1099" t="str">
        <f>IF(OR($G1099="",Sync!$Y1095=""),"",Sync!$Y1095)</f>
        <v/>
      </c>
      <c r="J1099" t="str">
        <f>IF(OR($G1099="",Sync!$Z1095=""),"",Sync!$Z1095)</f>
        <v/>
      </c>
      <c r="K1099">
        <f>IF($G1099="",0,IF(Sync!$AA1095="",0,Sync!$AA1095))</f>
        <v>0</v>
      </c>
      <c r="L1099">
        <f>IF($G1099="",0,IF(Sync!$AB1095="",0,Sync!$AB1095))</f>
        <v>0</v>
      </c>
      <c r="M1099" t="str">
        <f t="shared" si="107"/>
        <v/>
      </c>
      <c r="N1099">
        <f>IF($G1099="",0,IF($H1099="مرجوعی فروش",-1,1)*IF(Sync!$AC1095="",0,Sync!$AC1095))</f>
        <v>0</v>
      </c>
      <c r="O1099" t="str">
        <f>IF(OR($G1099="",Sync!$V1095=""),"",Sync!$V1095)</f>
        <v/>
      </c>
      <c r="P1099" t="str">
        <f>IF(OR($G1099="",Sync!$AD1095=""),"",Sync!$AD1095)</f>
        <v/>
      </c>
      <c r="Q1099" t="str">
        <f>IF($G1099="","",IF(Sync!$U1095="","0000",IF(AND(ISNUMBER(Sync!$U1095),Sync!$U1095&gt;=0,Sync!$U1095&lt;1),RIGHT("00"&amp;HOUR(Sync!$U1095),2)&amp;RIGHT("00"&amp;MINUTE(Sync!$U1095),2),IFERROR(RIGHT("00"&amp;VALUE(LEFT(Sync!$U1095,FIND(":",Sync!$U1095)-1)),2)&amp;RIGHT("00"&amp;VALUE(MID(Sync!$U1095,FIND(":",Sync!$U1095)+1,2)),2),"0000"))))</f>
        <v/>
      </c>
    </row>
    <row r="1100" spans="1:17" x14ac:dyDescent="0.2">
      <c r="A1100" t="str">
        <f>IF(Sync!$T1096="","",Sync!$T1096)</f>
        <v/>
      </c>
      <c r="B1100" t="str">
        <f t="shared" si="102"/>
        <v/>
      </c>
      <c r="C1100" t="str">
        <f t="shared" si="103"/>
        <v/>
      </c>
      <c r="D1100" t="str">
        <f t="shared" si="104"/>
        <v/>
      </c>
      <c r="E1100" t="str">
        <f t="shared" si="105"/>
        <v/>
      </c>
      <c r="F1100" t="str">
        <f t="shared" si="106"/>
        <v/>
      </c>
      <c r="G1100" t="str">
        <f>IF(OR($E1100="",$E1100="نامعتبر",Sync!$X1096=""),"",IF(AND(LEFT(UPPER(TRIM(Sync!$X1096)),2)="SL",IFERROR(VLOOKUP(Sync!$W1096,OpTbl,3,0),"")="فروش"),UPPER(TRIM(Sync!$X1096)),""))</f>
        <v/>
      </c>
      <c r="H1100" t="str">
        <f>IF($G1100="","",IF(Sync!$W1096="","",Sync!$W1096))</f>
        <v/>
      </c>
      <c r="I1100" t="str">
        <f>IF(OR($G1100="",Sync!$Y1096=""),"",Sync!$Y1096)</f>
        <v/>
      </c>
      <c r="J1100" t="str">
        <f>IF(OR($G1100="",Sync!$Z1096=""),"",Sync!$Z1096)</f>
        <v/>
      </c>
      <c r="K1100">
        <f>IF($G1100="",0,IF(Sync!$AA1096="",0,Sync!$AA1096))</f>
        <v>0</v>
      </c>
      <c r="L1100">
        <f>IF($G1100="",0,IF(Sync!$AB1096="",0,Sync!$AB1096))</f>
        <v>0</v>
      </c>
      <c r="M1100" t="str">
        <f t="shared" si="107"/>
        <v/>
      </c>
      <c r="N1100">
        <f>IF($G1100="",0,IF($H1100="مرجوعی فروش",-1,1)*IF(Sync!$AC1096="",0,Sync!$AC1096))</f>
        <v>0</v>
      </c>
      <c r="O1100" t="str">
        <f>IF(OR($G1100="",Sync!$V1096=""),"",Sync!$V1096)</f>
        <v/>
      </c>
      <c r="P1100" t="str">
        <f>IF(OR($G1100="",Sync!$AD1096=""),"",Sync!$AD1096)</f>
        <v/>
      </c>
      <c r="Q1100" t="str">
        <f>IF($G1100="","",IF(Sync!$U1096="","0000",IF(AND(ISNUMBER(Sync!$U1096),Sync!$U1096&gt;=0,Sync!$U1096&lt;1),RIGHT("00"&amp;HOUR(Sync!$U1096),2)&amp;RIGHT("00"&amp;MINUTE(Sync!$U1096),2),IFERROR(RIGHT("00"&amp;VALUE(LEFT(Sync!$U1096,FIND(":",Sync!$U1096)-1)),2)&amp;RIGHT("00"&amp;VALUE(MID(Sync!$U1096,FIND(":",Sync!$U1096)+1,2)),2),"0000"))))</f>
        <v/>
      </c>
    </row>
    <row r="1101" spans="1:17" x14ac:dyDescent="0.2">
      <c r="A1101" t="str">
        <f>IF(Sync!$T1097="","",Sync!$T1097)</f>
        <v/>
      </c>
      <c r="B1101" t="str">
        <f t="shared" si="102"/>
        <v/>
      </c>
      <c r="C1101" t="str">
        <f t="shared" si="103"/>
        <v/>
      </c>
      <c r="D1101" t="str">
        <f t="shared" si="104"/>
        <v/>
      </c>
      <c r="E1101" t="str">
        <f t="shared" si="105"/>
        <v/>
      </c>
      <c r="F1101" t="str">
        <f t="shared" si="106"/>
        <v/>
      </c>
      <c r="G1101" t="str">
        <f>IF(OR($E1101="",$E1101="نامعتبر",Sync!$X1097=""),"",IF(AND(LEFT(UPPER(TRIM(Sync!$X1097)),2)="SL",IFERROR(VLOOKUP(Sync!$W1097,OpTbl,3,0),"")="فروش"),UPPER(TRIM(Sync!$X1097)),""))</f>
        <v/>
      </c>
      <c r="H1101" t="str">
        <f>IF($G1101="","",IF(Sync!$W1097="","",Sync!$W1097))</f>
        <v/>
      </c>
      <c r="I1101" t="str">
        <f>IF(OR($G1101="",Sync!$Y1097=""),"",Sync!$Y1097)</f>
        <v/>
      </c>
      <c r="J1101" t="str">
        <f>IF(OR($G1101="",Sync!$Z1097=""),"",Sync!$Z1097)</f>
        <v/>
      </c>
      <c r="K1101">
        <f>IF($G1101="",0,IF(Sync!$AA1097="",0,Sync!$AA1097))</f>
        <v>0</v>
      </c>
      <c r="L1101">
        <f>IF($G1101="",0,IF(Sync!$AB1097="",0,Sync!$AB1097))</f>
        <v>0</v>
      </c>
      <c r="M1101" t="str">
        <f t="shared" si="107"/>
        <v/>
      </c>
      <c r="N1101">
        <f>IF($G1101="",0,IF($H1101="مرجوعی فروش",-1,1)*IF(Sync!$AC1097="",0,Sync!$AC1097))</f>
        <v>0</v>
      </c>
      <c r="O1101" t="str">
        <f>IF(OR($G1101="",Sync!$V1097=""),"",Sync!$V1097)</f>
        <v/>
      </c>
      <c r="P1101" t="str">
        <f>IF(OR($G1101="",Sync!$AD1097=""),"",Sync!$AD1097)</f>
        <v/>
      </c>
      <c r="Q1101" t="str">
        <f>IF($G1101="","",IF(Sync!$U1097="","0000",IF(AND(ISNUMBER(Sync!$U1097),Sync!$U1097&gt;=0,Sync!$U1097&lt;1),RIGHT("00"&amp;HOUR(Sync!$U1097),2)&amp;RIGHT("00"&amp;MINUTE(Sync!$U1097),2),IFERROR(RIGHT("00"&amp;VALUE(LEFT(Sync!$U1097,FIND(":",Sync!$U1097)-1)),2)&amp;RIGHT("00"&amp;VALUE(MID(Sync!$U1097,FIND(":",Sync!$U1097)+1,2)),2),"0000"))))</f>
        <v/>
      </c>
    </row>
    <row r="1102" spans="1:17" x14ac:dyDescent="0.2">
      <c r="A1102" t="str">
        <f>IF(Sync!$T1098="","",Sync!$T1098)</f>
        <v/>
      </c>
      <c r="B1102" t="str">
        <f t="shared" si="102"/>
        <v/>
      </c>
      <c r="C1102" t="str">
        <f t="shared" si="103"/>
        <v/>
      </c>
      <c r="D1102" t="str">
        <f t="shared" si="104"/>
        <v/>
      </c>
      <c r="E1102" t="str">
        <f t="shared" si="105"/>
        <v/>
      </c>
      <c r="F1102" t="str">
        <f t="shared" si="106"/>
        <v/>
      </c>
      <c r="G1102" t="str">
        <f>IF(OR($E1102="",$E1102="نامعتبر",Sync!$X1098=""),"",IF(AND(LEFT(UPPER(TRIM(Sync!$X1098)),2)="SL",IFERROR(VLOOKUP(Sync!$W1098,OpTbl,3,0),"")="فروش"),UPPER(TRIM(Sync!$X1098)),""))</f>
        <v/>
      </c>
      <c r="H1102" t="str">
        <f>IF($G1102="","",IF(Sync!$W1098="","",Sync!$W1098))</f>
        <v/>
      </c>
      <c r="I1102" t="str">
        <f>IF(OR($G1102="",Sync!$Y1098=""),"",Sync!$Y1098)</f>
        <v/>
      </c>
      <c r="J1102" t="str">
        <f>IF(OR($G1102="",Sync!$Z1098=""),"",Sync!$Z1098)</f>
        <v/>
      </c>
      <c r="K1102">
        <f>IF($G1102="",0,IF(Sync!$AA1098="",0,Sync!$AA1098))</f>
        <v>0</v>
      </c>
      <c r="L1102">
        <f>IF($G1102="",0,IF(Sync!$AB1098="",0,Sync!$AB1098))</f>
        <v>0</v>
      </c>
      <c r="M1102" t="str">
        <f t="shared" si="107"/>
        <v/>
      </c>
      <c r="N1102">
        <f>IF($G1102="",0,IF($H1102="مرجوعی فروش",-1,1)*IF(Sync!$AC1098="",0,Sync!$AC1098))</f>
        <v>0</v>
      </c>
      <c r="O1102" t="str">
        <f>IF(OR($G1102="",Sync!$V1098=""),"",Sync!$V1098)</f>
        <v/>
      </c>
      <c r="P1102" t="str">
        <f>IF(OR($G1102="",Sync!$AD1098=""),"",Sync!$AD1098)</f>
        <v/>
      </c>
      <c r="Q1102" t="str">
        <f>IF($G1102="","",IF(Sync!$U1098="","0000",IF(AND(ISNUMBER(Sync!$U1098),Sync!$U1098&gt;=0,Sync!$U1098&lt;1),RIGHT("00"&amp;HOUR(Sync!$U1098),2)&amp;RIGHT("00"&amp;MINUTE(Sync!$U1098),2),IFERROR(RIGHT("00"&amp;VALUE(LEFT(Sync!$U1098,FIND(":",Sync!$U1098)-1)),2)&amp;RIGHT("00"&amp;VALUE(MID(Sync!$U1098,FIND(":",Sync!$U1098)+1,2)),2),"0000"))))</f>
        <v/>
      </c>
    </row>
    <row r="1103" spans="1:17" x14ac:dyDescent="0.2">
      <c r="A1103" t="str">
        <f>IF(Sync!$T1099="","",Sync!$T1099)</f>
        <v/>
      </c>
      <c r="B1103" t="str">
        <f t="shared" si="102"/>
        <v/>
      </c>
      <c r="C1103" t="str">
        <f t="shared" si="103"/>
        <v/>
      </c>
      <c r="D1103" t="str">
        <f t="shared" si="104"/>
        <v/>
      </c>
      <c r="E1103" t="str">
        <f t="shared" si="105"/>
        <v/>
      </c>
      <c r="F1103" t="str">
        <f t="shared" si="106"/>
        <v/>
      </c>
      <c r="G1103" t="str">
        <f>IF(OR($E1103="",$E1103="نامعتبر",Sync!$X1099=""),"",IF(AND(LEFT(UPPER(TRIM(Sync!$X1099)),2)="SL",IFERROR(VLOOKUP(Sync!$W1099,OpTbl,3,0),"")="فروش"),UPPER(TRIM(Sync!$X1099)),""))</f>
        <v/>
      </c>
      <c r="H1103" t="str">
        <f>IF($G1103="","",IF(Sync!$W1099="","",Sync!$W1099))</f>
        <v/>
      </c>
      <c r="I1103" t="str">
        <f>IF(OR($G1103="",Sync!$Y1099=""),"",Sync!$Y1099)</f>
        <v/>
      </c>
      <c r="J1103" t="str">
        <f>IF(OR($G1103="",Sync!$Z1099=""),"",Sync!$Z1099)</f>
        <v/>
      </c>
      <c r="K1103">
        <f>IF($G1103="",0,IF(Sync!$AA1099="",0,Sync!$AA1099))</f>
        <v>0</v>
      </c>
      <c r="L1103">
        <f>IF($G1103="",0,IF(Sync!$AB1099="",0,Sync!$AB1099))</f>
        <v>0</v>
      </c>
      <c r="M1103" t="str">
        <f t="shared" si="107"/>
        <v/>
      </c>
      <c r="N1103">
        <f>IF($G1103="",0,IF($H1103="مرجوعی فروش",-1,1)*IF(Sync!$AC1099="",0,Sync!$AC1099))</f>
        <v>0</v>
      </c>
      <c r="O1103" t="str">
        <f>IF(OR($G1103="",Sync!$V1099=""),"",Sync!$V1099)</f>
        <v/>
      </c>
      <c r="P1103" t="str">
        <f>IF(OR($G1103="",Sync!$AD1099=""),"",Sync!$AD1099)</f>
        <v/>
      </c>
      <c r="Q1103" t="str">
        <f>IF($G1103="","",IF(Sync!$U1099="","0000",IF(AND(ISNUMBER(Sync!$U1099),Sync!$U1099&gt;=0,Sync!$U1099&lt;1),RIGHT("00"&amp;HOUR(Sync!$U1099),2)&amp;RIGHT("00"&amp;MINUTE(Sync!$U1099),2),IFERROR(RIGHT("00"&amp;VALUE(LEFT(Sync!$U1099,FIND(":",Sync!$U1099)-1)),2)&amp;RIGHT("00"&amp;VALUE(MID(Sync!$U1099,FIND(":",Sync!$U1099)+1,2)),2),"0000"))))</f>
        <v/>
      </c>
    </row>
    <row r="1104" spans="1:17" x14ac:dyDescent="0.2">
      <c r="A1104" t="str">
        <f>IF(Sync!$T1100="","",Sync!$T1100)</f>
        <v/>
      </c>
      <c r="B1104" t="str">
        <f t="shared" si="102"/>
        <v/>
      </c>
      <c r="C1104" t="str">
        <f t="shared" si="103"/>
        <v/>
      </c>
      <c r="D1104" t="str">
        <f t="shared" si="104"/>
        <v/>
      </c>
      <c r="E1104" t="str">
        <f t="shared" si="105"/>
        <v/>
      </c>
      <c r="F1104" t="str">
        <f t="shared" si="106"/>
        <v/>
      </c>
      <c r="G1104" t="str">
        <f>IF(OR($E1104="",$E1104="نامعتبر",Sync!$X1100=""),"",IF(AND(LEFT(UPPER(TRIM(Sync!$X1100)),2)="SL",IFERROR(VLOOKUP(Sync!$W1100,OpTbl,3,0),"")="فروش"),UPPER(TRIM(Sync!$X1100)),""))</f>
        <v/>
      </c>
      <c r="H1104" t="str">
        <f>IF($G1104="","",IF(Sync!$W1100="","",Sync!$W1100))</f>
        <v/>
      </c>
      <c r="I1104" t="str">
        <f>IF(OR($G1104="",Sync!$Y1100=""),"",Sync!$Y1100)</f>
        <v/>
      </c>
      <c r="J1104" t="str">
        <f>IF(OR($G1104="",Sync!$Z1100=""),"",Sync!$Z1100)</f>
        <v/>
      </c>
      <c r="K1104">
        <f>IF($G1104="",0,IF(Sync!$AA1100="",0,Sync!$AA1100))</f>
        <v>0</v>
      </c>
      <c r="L1104">
        <f>IF($G1104="",0,IF(Sync!$AB1100="",0,Sync!$AB1100))</f>
        <v>0</v>
      </c>
      <c r="M1104" t="str">
        <f t="shared" si="107"/>
        <v/>
      </c>
      <c r="N1104">
        <f>IF($G1104="",0,IF($H1104="مرجوعی فروش",-1,1)*IF(Sync!$AC1100="",0,Sync!$AC1100))</f>
        <v>0</v>
      </c>
      <c r="O1104" t="str">
        <f>IF(OR($G1104="",Sync!$V1100=""),"",Sync!$V1100)</f>
        <v/>
      </c>
      <c r="P1104" t="str">
        <f>IF(OR($G1104="",Sync!$AD1100=""),"",Sync!$AD1100)</f>
        <v/>
      </c>
      <c r="Q1104" t="str">
        <f>IF($G1104="","",IF(Sync!$U1100="","0000",IF(AND(ISNUMBER(Sync!$U1100),Sync!$U1100&gt;=0,Sync!$U1100&lt;1),RIGHT("00"&amp;HOUR(Sync!$U1100),2)&amp;RIGHT("00"&amp;MINUTE(Sync!$U1100),2),IFERROR(RIGHT("00"&amp;VALUE(LEFT(Sync!$U1100,FIND(":",Sync!$U1100)-1)),2)&amp;RIGHT("00"&amp;VALUE(MID(Sync!$U1100,FIND(":",Sync!$U1100)+1,2)),2),"0000"))))</f>
        <v/>
      </c>
    </row>
    <row r="1105" spans="1:17" x14ac:dyDescent="0.2">
      <c r="A1105" t="str">
        <f>IF(Sync!$T1101="","",Sync!$T1101)</f>
        <v/>
      </c>
      <c r="B1105" t="str">
        <f t="shared" si="102"/>
        <v/>
      </c>
      <c r="C1105" t="str">
        <f t="shared" si="103"/>
        <v/>
      </c>
      <c r="D1105" t="str">
        <f t="shared" si="104"/>
        <v/>
      </c>
      <c r="E1105" t="str">
        <f t="shared" si="105"/>
        <v/>
      </c>
      <c r="F1105" t="str">
        <f t="shared" si="106"/>
        <v/>
      </c>
      <c r="G1105" t="str">
        <f>IF(OR($E1105="",$E1105="نامعتبر",Sync!$X1101=""),"",IF(AND(LEFT(UPPER(TRIM(Sync!$X1101)),2)="SL",IFERROR(VLOOKUP(Sync!$W1101,OpTbl,3,0),"")="فروش"),UPPER(TRIM(Sync!$X1101)),""))</f>
        <v/>
      </c>
      <c r="H1105" t="str">
        <f>IF($G1105="","",IF(Sync!$W1101="","",Sync!$W1101))</f>
        <v/>
      </c>
      <c r="I1105" t="str">
        <f>IF(OR($G1105="",Sync!$Y1101=""),"",Sync!$Y1101)</f>
        <v/>
      </c>
      <c r="J1105" t="str">
        <f>IF(OR($G1105="",Sync!$Z1101=""),"",Sync!$Z1101)</f>
        <v/>
      </c>
      <c r="K1105">
        <f>IF($G1105="",0,IF(Sync!$AA1101="",0,Sync!$AA1101))</f>
        <v>0</v>
      </c>
      <c r="L1105">
        <f>IF($G1105="",0,IF(Sync!$AB1101="",0,Sync!$AB1101))</f>
        <v>0</v>
      </c>
      <c r="M1105" t="str">
        <f t="shared" si="107"/>
        <v/>
      </c>
      <c r="N1105">
        <f>IF($G1105="",0,IF($H1105="مرجوعی فروش",-1,1)*IF(Sync!$AC1101="",0,Sync!$AC1101))</f>
        <v>0</v>
      </c>
      <c r="O1105" t="str">
        <f>IF(OR($G1105="",Sync!$V1101=""),"",Sync!$V1101)</f>
        <v/>
      </c>
      <c r="P1105" t="str">
        <f>IF(OR($G1105="",Sync!$AD1101=""),"",Sync!$AD1101)</f>
        <v/>
      </c>
      <c r="Q1105" t="str">
        <f>IF($G1105="","",IF(Sync!$U1101="","0000",IF(AND(ISNUMBER(Sync!$U1101),Sync!$U1101&gt;=0,Sync!$U1101&lt;1),RIGHT("00"&amp;HOUR(Sync!$U1101),2)&amp;RIGHT("00"&amp;MINUTE(Sync!$U1101),2),IFERROR(RIGHT("00"&amp;VALUE(LEFT(Sync!$U1101,FIND(":",Sync!$U1101)-1)),2)&amp;RIGHT("00"&amp;VALUE(MID(Sync!$U1101,FIND(":",Sync!$U1101)+1,2)),2),"0000"))))</f>
        <v/>
      </c>
    </row>
    <row r="1106" spans="1:17" x14ac:dyDescent="0.2">
      <c r="A1106" t="str">
        <f>IF(Sync!$T1102="","",Sync!$T1102)</f>
        <v/>
      </c>
      <c r="B1106" t="str">
        <f t="shared" si="102"/>
        <v/>
      </c>
      <c r="C1106" t="str">
        <f t="shared" si="103"/>
        <v/>
      </c>
      <c r="D1106" t="str">
        <f t="shared" si="104"/>
        <v/>
      </c>
      <c r="E1106" t="str">
        <f t="shared" si="105"/>
        <v/>
      </c>
      <c r="F1106" t="str">
        <f t="shared" si="106"/>
        <v/>
      </c>
      <c r="G1106" t="str">
        <f>IF(OR($E1106="",$E1106="نامعتبر",Sync!$X1102=""),"",IF(AND(LEFT(UPPER(TRIM(Sync!$X1102)),2)="SL",IFERROR(VLOOKUP(Sync!$W1102,OpTbl,3,0),"")="فروش"),UPPER(TRIM(Sync!$X1102)),""))</f>
        <v/>
      </c>
      <c r="H1106" t="str">
        <f>IF($G1106="","",IF(Sync!$W1102="","",Sync!$W1102))</f>
        <v/>
      </c>
      <c r="I1106" t="str">
        <f>IF(OR($G1106="",Sync!$Y1102=""),"",Sync!$Y1102)</f>
        <v/>
      </c>
      <c r="J1106" t="str">
        <f>IF(OR($G1106="",Sync!$Z1102=""),"",Sync!$Z1102)</f>
        <v/>
      </c>
      <c r="K1106">
        <f>IF($G1106="",0,IF(Sync!$AA1102="",0,Sync!$AA1102))</f>
        <v>0</v>
      </c>
      <c r="L1106">
        <f>IF($G1106="",0,IF(Sync!$AB1102="",0,Sync!$AB1102))</f>
        <v>0</v>
      </c>
      <c r="M1106" t="str">
        <f t="shared" si="107"/>
        <v/>
      </c>
      <c r="N1106">
        <f>IF($G1106="",0,IF($H1106="مرجوعی فروش",-1,1)*IF(Sync!$AC1102="",0,Sync!$AC1102))</f>
        <v>0</v>
      </c>
      <c r="O1106" t="str">
        <f>IF(OR($G1106="",Sync!$V1102=""),"",Sync!$V1102)</f>
        <v/>
      </c>
      <c r="P1106" t="str">
        <f>IF(OR($G1106="",Sync!$AD1102=""),"",Sync!$AD1102)</f>
        <v/>
      </c>
      <c r="Q1106" t="str">
        <f>IF($G1106="","",IF(Sync!$U1102="","0000",IF(AND(ISNUMBER(Sync!$U1102),Sync!$U1102&gt;=0,Sync!$U1102&lt;1),RIGHT("00"&amp;HOUR(Sync!$U1102),2)&amp;RIGHT("00"&amp;MINUTE(Sync!$U1102),2),IFERROR(RIGHT("00"&amp;VALUE(LEFT(Sync!$U1102,FIND(":",Sync!$U1102)-1)),2)&amp;RIGHT("00"&amp;VALUE(MID(Sync!$U1102,FIND(":",Sync!$U1102)+1,2)),2),"0000"))))</f>
        <v/>
      </c>
    </row>
    <row r="1107" spans="1:17" x14ac:dyDescent="0.2">
      <c r="A1107" t="str">
        <f>IF(Sync!$T1103="","",Sync!$T1103)</f>
        <v/>
      </c>
      <c r="B1107" t="str">
        <f t="shared" si="102"/>
        <v/>
      </c>
      <c r="C1107" t="str">
        <f t="shared" si="103"/>
        <v/>
      </c>
      <c r="D1107" t="str">
        <f t="shared" si="104"/>
        <v/>
      </c>
      <c r="E1107" t="str">
        <f t="shared" si="105"/>
        <v/>
      </c>
      <c r="F1107" t="str">
        <f t="shared" si="106"/>
        <v/>
      </c>
      <c r="G1107" t="str">
        <f>IF(OR($E1107="",$E1107="نامعتبر",Sync!$X1103=""),"",IF(AND(LEFT(UPPER(TRIM(Sync!$X1103)),2)="SL",IFERROR(VLOOKUP(Sync!$W1103,OpTbl,3,0),"")="فروش"),UPPER(TRIM(Sync!$X1103)),""))</f>
        <v/>
      </c>
      <c r="H1107" t="str">
        <f>IF($G1107="","",IF(Sync!$W1103="","",Sync!$W1103))</f>
        <v/>
      </c>
      <c r="I1107" t="str">
        <f>IF(OR($G1107="",Sync!$Y1103=""),"",Sync!$Y1103)</f>
        <v/>
      </c>
      <c r="J1107" t="str">
        <f>IF(OR($G1107="",Sync!$Z1103=""),"",Sync!$Z1103)</f>
        <v/>
      </c>
      <c r="K1107">
        <f>IF($G1107="",0,IF(Sync!$AA1103="",0,Sync!$AA1103))</f>
        <v>0</v>
      </c>
      <c r="L1107">
        <f>IF($G1107="",0,IF(Sync!$AB1103="",0,Sync!$AB1103))</f>
        <v>0</v>
      </c>
      <c r="M1107" t="str">
        <f t="shared" si="107"/>
        <v/>
      </c>
      <c r="N1107">
        <f>IF($G1107="",0,IF($H1107="مرجوعی فروش",-1,1)*IF(Sync!$AC1103="",0,Sync!$AC1103))</f>
        <v>0</v>
      </c>
      <c r="O1107" t="str">
        <f>IF(OR($G1107="",Sync!$V1103=""),"",Sync!$V1103)</f>
        <v/>
      </c>
      <c r="P1107" t="str">
        <f>IF(OR($G1107="",Sync!$AD1103=""),"",Sync!$AD1103)</f>
        <v/>
      </c>
      <c r="Q1107" t="str">
        <f>IF($G1107="","",IF(Sync!$U1103="","0000",IF(AND(ISNUMBER(Sync!$U1103),Sync!$U1103&gt;=0,Sync!$U1103&lt;1),RIGHT("00"&amp;HOUR(Sync!$U1103),2)&amp;RIGHT("00"&amp;MINUTE(Sync!$U1103),2),IFERROR(RIGHT("00"&amp;VALUE(LEFT(Sync!$U1103,FIND(":",Sync!$U1103)-1)),2)&amp;RIGHT("00"&amp;VALUE(MID(Sync!$U1103,FIND(":",Sync!$U1103)+1,2)),2),"0000"))))</f>
        <v/>
      </c>
    </row>
    <row r="1108" spans="1:17" x14ac:dyDescent="0.2">
      <c r="A1108" t="str">
        <f>IF(Sync!$T1104="","",Sync!$T1104)</f>
        <v/>
      </c>
      <c r="B1108" t="str">
        <f t="shared" si="102"/>
        <v/>
      </c>
      <c r="C1108" t="str">
        <f t="shared" si="103"/>
        <v/>
      </c>
      <c r="D1108" t="str">
        <f t="shared" si="104"/>
        <v/>
      </c>
      <c r="E1108" t="str">
        <f t="shared" si="105"/>
        <v/>
      </c>
      <c r="F1108" t="str">
        <f t="shared" si="106"/>
        <v/>
      </c>
      <c r="G1108" t="str">
        <f>IF(OR($E1108="",$E1108="نامعتبر",Sync!$X1104=""),"",IF(AND(LEFT(UPPER(TRIM(Sync!$X1104)),2)="SL",IFERROR(VLOOKUP(Sync!$W1104,OpTbl,3,0),"")="فروش"),UPPER(TRIM(Sync!$X1104)),""))</f>
        <v/>
      </c>
      <c r="H1108" t="str">
        <f>IF($G1108="","",IF(Sync!$W1104="","",Sync!$W1104))</f>
        <v/>
      </c>
      <c r="I1108" t="str">
        <f>IF(OR($G1108="",Sync!$Y1104=""),"",Sync!$Y1104)</f>
        <v/>
      </c>
      <c r="J1108" t="str">
        <f>IF(OR($G1108="",Sync!$Z1104=""),"",Sync!$Z1104)</f>
        <v/>
      </c>
      <c r="K1108">
        <f>IF($G1108="",0,IF(Sync!$AA1104="",0,Sync!$AA1104))</f>
        <v>0</v>
      </c>
      <c r="L1108">
        <f>IF($G1108="",0,IF(Sync!$AB1104="",0,Sync!$AB1104))</f>
        <v>0</v>
      </c>
      <c r="M1108" t="str">
        <f t="shared" si="107"/>
        <v/>
      </c>
      <c r="N1108">
        <f>IF($G1108="",0,IF($H1108="مرجوعی فروش",-1,1)*IF(Sync!$AC1104="",0,Sync!$AC1104))</f>
        <v>0</v>
      </c>
      <c r="O1108" t="str">
        <f>IF(OR($G1108="",Sync!$V1104=""),"",Sync!$V1104)</f>
        <v/>
      </c>
      <c r="P1108" t="str">
        <f>IF(OR($G1108="",Sync!$AD1104=""),"",Sync!$AD1104)</f>
        <v/>
      </c>
      <c r="Q1108" t="str">
        <f>IF($G1108="","",IF(Sync!$U1104="","0000",IF(AND(ISNUMBER(Sync!$U1104),Sync!$U1104&gt;=0,Sync!$U1104&lt;1),RIGHT("00"&amp;HOUR(Sync!$U1104),2)&amp;RIGHT("00"&amp;MINUTE(Sync!$U1104),2),IFERROR(RIGHT("00"&amp;VALUE(LEFT(Sync!$U1104,FIND(":",Sync!$U1104)-1)),2)&amp;RIGHT("00"&amp;VALUE(MID(Sync!$U1104,FIND(":",Sync!$U1104)+1,2)),2),"0000"))))</f>
        <v/>
      </c>
    </row>
    <row r="1109" spans="1:17" x14ac:dyDescent="0.2">
      <c r="A1109" t="str">
        <f>IF(Sync!$T1105="","",Sync!$T1105)</f>
        <v/>
      </c>
      <c r="B1109" t="str">
        <f t="shared" si="102"/>
        <v/>
      </c>
      <c r="C1109" t="str">
        <f t="shared" si="103"/>
        <v/>
      </c>
      <c r="D1109" t="str">
        <f t="shared" si="104"/>
        <v/>
      </c>
      <c r="E1109" t="str">
        <f t="shared" si="105"/>
        <v/>
      </c>
      <c r="F1109" t="str">
        <f t="shared" si="106"/>
        <v/>
      </c>
      <c r="G1109" t="str">
        <f>IF(OR($E1109="",$E1109="نامعتبر",Sync!$X1105=""),"",IF(AND(LEFT(UPPER(TRIM(Sync!$X1105)),2)="SL",IFERROR(VLOOKUP(Sync!$W1105,OpTbl,3,0),"")="فروش"),UPPER(TRIM(Sync!$X1105)),""))</f>
        <v/>
      </c>
      <c r="H1109" t="str">
        <f>IF($G1109="","",IF(Sync!$W1105="","",Sync!$W1105))</f>
        <v/>
      </c>
      <c r="I1109" t="str">
        <f>IF(OR($G1109="",Sync!$Y1105=""),"",Sync!$Y1105)</f>
        <v/>
      </c>
      <c r="J1109" t="str">
        <f>IF(OR($G1109="",Sync!$Z1105=""),"",Sync!$Z1105)</f>
        <v/>
      </c>
      <c r="K1109">
        <f>IF($G1109="",0,IF(Sync!$AA1105="",0,Sync!$AA1105))</f>
        <v>0</v>
      </c>
      <c r="L1109">
        <f>IF($G1109="",0,IF(Sync!$AB1105="",0,Sync!$AB1105))</f>
        <v>0</v>
      </c>
      <c r="M1109" t="str">
        <f t="shared" si="107"/>
        <v/>
      </c>
      <c r="N1109">
        <f>IF($G1109="",0,IF($H1109="مرجوعی فروش",-1,1)*IF(Sync!$AC1105="",0,Sync!$AC1105))</f>
        <v>0</v>
      </c>
      <c r="O1109" t="str">
        <f>IF(OR($G1109="",Sync!$V1105=""),"",Sync!$V1105)</f>
        <v/>
      </c>
      <c r="P1109" t="str">
        <f>IF(OR($G1109="",Sync!$AD1105=""),"",Sync!$AD1105)</f>
        <v/>
      </c>
      <c r="Q1109" t="str">
        <f>IF($G1109="","",IF(Sync!$U1105="","0000",IF(AND(ISNUMBER(Sync!$U1105),Sync!$U1105&gt;=0,Sync!$U1105&lt;1),RIGHT("00"&amp;HOUR(Sync!$U1105),2)&amp;RIGHT("00"&amp;MINUTE(Sync!$U1105),2),IFERROR(RIGHT("00"&amp;VALUE(LEFT(Sync!$U1105,FIND(":",Sync!$U1105)-1)),2)&amp;RIGHT("00"&amp;VALUE(MID(Sync!$U1105,FIND(":",Sync!$U1105)+1,2)),2),"0000"))))</f>
        <v/>
      </c>
    </row>
    <row r="1110" spans="1:17" x14ac:dyDescent="0.2">
      <c r="A1110" t="str">
        <f>IF(Sync!$T1106="","",Sync!$T1106)</f>
        <v/>
      </c>
      <c r="B1110" t="str">
        <f t="shared" si="102"/>
        <v/>
      </c>
      <c r="C1110" t="str">
        <f t="shared" si="103"/>
        <v/>
      </c>
      <c r="D1110" t="str">
        <f t="shared" si="104"/>
        <v/>
      </c>
      <c r="E1110" t="str">
        <f t="shared" si="105"/>
        <v/>
      </c>
      <c r="F1110" t="str">
        <f t="shared" si="106"/>
        <v/>
      </c>
      <c r="G1110" t="str">
        <f>IF(OR($E1110="",$E1110="نامعتبر",Sync!$X1106=""),"",IF(AND(LEFT(UPPER(TRIM(Sync!$X1106)),2)="SL",IFERROR(VLOOKUP(Sync!$W1106,OpTbl,3,0),"")="فروش"),UPPER(TRIM(Sync!$X1106)),""))</f>
        <v/>
      </c>
      <c r="H1110" t="str">
        <f>IF($G1110="","",IF(Sync!$W1106="","",Sync!$W1106))</f>
        <v/>
      </c>
      <c r="I1110" t="str">
        <f>IF(OR($G1110="",Sync!$Y1106=""),"",Sync!$Y1106)</f>
        <v/>
      </c>
      <c r="J1110" t="str">
        <f>IF(OR($G1110="",Sync!$Z1106=""),"",Sync!$Z1106)</f>
        <v/>
      </c>
      <c r="K1110">
        <f>IF($G1110="",0,IF(Sync!$AA1106="",0,Sync!$AA1106))</f>
        <v>0</v>
      </c>
      <c r="L1110">
        <f>IF($G1110="",0,IF(Sync!$AB1106="",0,Sync!$AB1106))</f>
        <v>0</v>
      </c>
      <c r="M1110" t="str">
        <f t="shared" si="107"/>
        <v/>
      </c>
      <c r="N1110">
        <f>IF($G1110="",0,IF($H1110="مرجوعی فروش",-1,1)*IF(Sync!$AC1106="",0,Sync!$AC1106))</f>
        <v>0</v>
      </c>
      <c r="O1110" t="str">
        <f>IF(OR($G1110="",Sync!$V1106=""),"",Sync!$V1106)</f>
        <v/>
      </c>
      <c r="P1110" t="str">
        <f>IF(OR($G1110="",Sync!$AD1106=""),"",Sync!$AD1106)</f>
        <v/>
      </c>
      <c r="Q1110" t="str">
        <f>IF($G1110="","",IF(Sync!$U1106="","0000",IF(AND(ISNUMBER(Sync!$U1106),Sync!$U1106&gt;=0,Sync!$U1106&lt;1),RIGHT("00"&amp;HOUR(Sync!$U1106),2)&amp;RIGHT("00"&amp;MINUTE(Sync!$U1106),2),IFERROR(RIGHT("00"&amp;VALUE(LEFT(Sync!$U1106,FIND(":",Sync!$U1106)-1)),2)&amp;RIGHT("00"&amp;VALUE(MID(Sync!$U1106,FIND(":",Sync!$U1106)+1,2)),2),"0000"))))</f>
        <v/>
      </c>
    </row>
    <row r="1111" spans="1:17" x14ac:dyDescent="0.2">
      <c r="A1111" t="str">
        <f>IF(Sync!$T1107="","",Sync!$T1107)</f>
        <v/>
      </c>
      <c r="B1111" t="str">
        <f t="shared" si="102"/>
        <v/>
      </c>
      <c r="C1111" t="str">
        <f t="shared" si="103"/>
        <v/>
      </c>
      <c r="D1111" t="str">
        <f t="shared" si="104"/>
        <v/>
      </c>
      <c r="E1111" t="str">
        <f t="shared" si="105"/>
        <v/>
      </c>
      <c r="F1111" t="str">
        <f t="shared" si="106"/>
        <v/>
      </c>
      <c r="G1111" t="str">
        <f>IF(OR($E1111="",$E1111="نامعتبر",Sync!$X1107=""),"",IF(AND(LEFT(UPPER(TRIM(Sync!$X1107)),2)="SL",IFERROR(VLOOKUP(Sync!$W1107,OpTbl,3,0),"")="فروش"),UPPER(TRIM(Sync!$X1107)),""))</f>
        <v/>
      </c>
      <c r="H1111" t="str">
        <f>IF($G1111="","",IF(Sync!$W1107="","",Sync!$W1107))</f>
        <v/>
      </c>
      <c r="I1111" t="str">
        <f>IF(OR($G1111="",Sync!$Y1107=""),"",Sync!$Y1107)</f>
        <v/>
      </c>
      <c r="J1111" t="str">
        <f>IF(OR($G1111="",Sync!$Z1107=""),"",Sync!$Z1107)</f>
        <v/>
      </c>
      <c r="K1111">
        <f>IF($G1111="",0,IF(Sync!$AA1107="",0,Sync!$AA1107))</f>
        <v>0</v>
      </c>
      <c r="L1111">
        <f>IF($G1111="",0,IF(Sync!$AB1107="",0,Sync!$AB1107))</f>
        <v>0</v>
      </c>
      <c r="M1111" t="str">
        <f t="shared" si="107"/>
        <v/>
      </c>
      <c r="N1111">
        <f>IF($G1111="",0,IF($H1111="مرجوعی فروش",-1,1)*IF(Sync!$AC1107="",0,Sync!$AC1107))</f>
        <v>0</v>
      </c>
      <c r="O1111" t="str">
        <f>IF(OR($G1111="",Sync!$V1107=""),"",Sync!$V1107)</f>
        <v/>
      </c>
      <c r="P1111" t="str">
        <f>IF(OR($G1111="",Sync!$AD1107=""),"",Sync!$AD1107)</f>
        <v/>
      </c>
      <c r="Q1111" t="str">
        <f>IF($G1111="","",IF(Sync!$U1107="","0000",IF(AND(ISNUMBER(Sync!$U1107),Sync!$U1107&gt;=0,Sync!$U1107&lt;1),RIGHT("00"&amp;HOUR(Sync!$U1107),2)&amp;RIGHT("00"&amp;MINUTE(Sync!$U1107),2),IFERROR(RIGHT("00"&amp;VALUE(LEFT(Sync!$U1107,FIND(":",Sync!$U1107)-1)),2)&amp;RIGHT("00"&amp;VALUE(MID(Sync!$U1107,FIND(":",Sync!$U1107)+1,2)),2),"0000"))))</f>
        <v/>
      </c>
    </row>
    <row r="1112" spans="1:17" x14ac:dyDescent="0.2">
      <c r="A1112" t="str">
        <f>IF(Sync!$T1108="","",Sync!$T1108)</f>
        <v/>
      </c>
      <c r="B1112" t="str">
        <f t="shared" si="102"/>
        <v/>
      </c>
      <c r="C1112" t="str">
        <f t="shared" si="103"/>
        <v/>
      </c>
      <c r="D1112" t="str">
        <f t="shared" si="104"/>
        <v/>
      </c>
      <c r="E1112" t="str">
        <f t="shared" si="105"/>
        <v/>
      </c>
      <c r="F1112" t="str">
        <f t="shared" si="106"/>
        <v/>
      </c>
      <c r="G1112" t="str">
        <f>IF(OR($E1112="",$E1112="نامعتبر",Sync!$X1108=""),"",IF(AND(LEFT(UPPER(TRIM(Sync!$X1108)),2)="SL",IFERROR(VLOOKUP(Sync!$W1108,OpTbl,3,0),"")="فروش"),UPPER(TRIM(Sync!$X1108)),""))</f>
        <v/>
      </c>
      <c r="H1112" t="str">
        <f>IF($G1112="","",IF(Sync!$W1108="","",Sync!$W1108))</f>
        <v/>
      </c>
      <c r="I1112" t="str">
        <f>IF(OR($G1112="",Sync!$Y1108=""),"",Sync!$Y1108)</f>
        <v/>
      </c>
      <c r="J1112" t="str">
        <f>IF(OR($G1112="",Sync!$Z1108=""),"",Sync!$Z1108)</f>
        <v/>
      </c>
      <c r="K1112">
        <f>IF($G1112="",0,IF(Sync!$AA1108="",0,Sync!$AA1108))</f>
        <v>0</v>
      </c>
      <c r="L1112">
        <f>IF($G1112="",0,IF(Sync!$AB1108="",0,Sync!$AB1108))</f>
        <v>0</v>
      </c>
      <c r="M1112" t="str">
        <f t="shared" si="107"/>
        <v/>
      </c>
      <c r="N1112">
        <f>IF($G1112="",0,IF($H1112="مرجوعی فروش",-1,1)*IF(Sync!$AC1108="",0,Sync!$AC1108))</f>
        <v>0</v>
      </c>
      <c r="O1112" t="str">
        <f>IF(OR($G1112="",Sync!$V1108=""),"",Sync!$V1108)</f>
        <v/>
      </c>
      <c r="P1112" t="str">
        <f>IF(OR($G1112="",Sync!$AD1108=""),"",Sync!$AD1108)</f>
        <v/>
      </c>
      <c r="Q1112" t="str">
        <f>IF($G1112="","",IF(Sync!$U1108="","0000",IF(AND(ISNUMBER(Sync!$U1108),Sync!$U1108&gt;=0,Sync!$U1108&lt;1),RIGHT("00"&amp;HOUR(Sync!$U1108),2)&amp;RIGHT("00"&amp;MINUTE(Sync!$U1108),2),IFERROR(RIGHT("00"&amp;VALUE(LEFT(Sync!$U1108,FIND(":",Sync!$U1108)-1)),2)&amp;RIGHT("00"&amp;VALUE(MID(Sync!$U1108,FIND(":",Sync!$U1108)+1,2)),2),"0000"))))</f>
        <v/>
      </c>
    </row>
    <row r="1113" spans="1:17" x14ac:dyDescent="0.2">
      <c r="A1113" t="str">
        <f>IF(Sync!$T1109="","",Sync!$T1109)</f>
        <v/>
      </c>
      <c r="B1113" t="str">
        <f t="shared" si="102"/>
        <v/>
      </c>
      <c r="C1113" t="str">
        <f t="shared" si="103"/>
        <v/>
      </c>
      <c r="D1113" t="str">
        <f t="shared" si="104"/>
        <v/>
      </c>
      <c r="E1113" t="str">
        <f t="shared" si="105"/>
        <v/>
      </c>
      <c r="F1113" t="str">
        <f t="shared" si="106"/>
        <v/>
      </c>
      <c r="G1113" t="str">
        <f>IF(OR($E1113="",$E1113="نامعتبر",Sync!$X1109=""),"",IF(AND(LEFT(UPPER(TRIM(Sync!$X1109)),2)="SL",IFERROR(VLOOKUP(Sync!$W1109,OpTbl,3,0),"")="فروش"),UPPER(TRIM(Sync!$X1109)),""))</f>
        <v/>
      </c>
      <c r="H1113" t="str">
        <f>IF($G1113="","",IF(Sync!$W1109="","",Sync!$W1109))</f>
        <v/>
      </c>
      <c r="I1113" t="str">
        <f>IF(OR($G1113="",Sync!$Y1109=""),"",Sync!$Y1109)</f>
        <v/>
      </c>
      <c r="J1113" t="str">
        <f>IF(OR($G1113="",Sync!$Z1109=""),"",Sync!$Z1109)</f>
        <v/>
      </c>
      <c r="K1113">
        <f>IF($G1113="",0,IF(Sync!$AA1109="",0,Sync!$AA1109))</f>
        <v>0</v>
      </c>
      <c r="L1113">
        <f>IF($G1113="",0,IF(Sync!$AB1109="",0,Sync!$AB1109))</f>
        <v>0</v>
      </c>
      <c r="M1113" t="str">
        <f t="shared" si="107"/>
        <v/>
      </c>
      <c r="N1113">
        <f>IF($G1113="",0,IF($H1113="مرجوعی فروش",-1,1)*IF(Sync!$AC1109="",0,Sync!$AC1109))</f>
        <v>0</v>
      </c>
      <c r="O1113" t="str">
        <f>IF(OR($G1113="",Sync!$V1109=""),"",Sync!$V1109)</f>
        <v/>
      </c>
      <c r="P1113" t="str">
        <f>IF(OR($G1113="",Sync!$AD1109=""),"",Sync!$AD1109)</f>
        <v/>
      </c>
      <c r="Q1113" t="str">
        <f>IF($G1113="","",IF(Sync!$U1109="","0000",IF(AND(ISNUMBER(Sync!$U1109),Sync!$U1109&gt;=0,Sync!$U1109&lt;1),RIGHT("00"&amp;HOUR(Sync!$U1109),2)&amp;RIGHT("00"&amp;MINUTE(Sync!$U1109),2),IFERROR(RIGHT("00"&amp;VALUE(LEFT(Sync!$U1109,FIND(":",Sync!$U1109)-1)),2)&amp;RIGHT("00"&amp;VALUE(MID(Sync!$U1109,FIND(":",Sync!$U1109)+1,2)),2),"0000"))))</f>
        <v/>
      </c>
    </row>
    <row r="1114" spans="1:17" x14ac:dyDescent="0.2">
      <c r="A1114" t="str">
        <f>IF(Sync!$T1110="","",Sync!$T1110)</f>
        <v/>
      </c>
      <c r="B1114" t="str">
        <f t="shared" si="102"/>
        <v/>
      </c>
      <c r="C1114" t="str">
        <f t="shared" si="103"/>
        <v/>
      </c>
      <c r="D1114" t="str">
        <f t="shared" si="104"/>
        <v/>
      </c>
      <c r="E1114" t="str">
        <f t="shared" si="105"/>
        <v/>
      </c>
      <c r="F1114" t="str">
        <f t="shared" si="106"/>
        <v/>
      </c>
      <c r="G1114" t="str">
        <f>IF(OR($E1114="",$E1114="نامعتبر",Sync!$X1110=""),"",IF(AND(LEFT(UPPER(TRIM(Sync!$X1110)),2)="SL",IFERROR(VLOOKUP(Sync!$W1110,OpTbl,3,0),"")="فروش"),UPPER(TRIM(Sync!$X1110)),""))</f>
        <v/>
      </c>
      <c r="H1114" t="str">
        <f>IF($G1114="","",IF(Sync!$W1110="","",Sync!$W1110))</f>
        <v/>
      </c>
      <c r="I1114" t="str">
        <f>IF(OR($G1114="",Sync!$Y1110=""),"",Sync!$Y1110)</f>
        <v/>
      </c>
      <c r="J1114" t="str">
        <f>IF(OR($G1114="",Sync!$Z1110=""),"",Sync!$Z1110)</f>
        <v/>
      </c>
      <c r="K1114">
        <f>IF($G1114="",0,IF(Sync!$AA1110="",0,Sync!$AA1110))</f>
        <v>0</v>
      </c>
      <c r="L1114">
        <f>IF($G1114="",0,IF(Sync!$AB1110="",0,Sync!$AB1110))</f>
        <v>0</v>
      </c>
      <c r="M1114" t="str">
        <f t="shared" si="107"/>
        <v/>
      </c>
      <c r="N1114">
        <f>IF($G1114="",0,IF($H1114="مرجوعی فروش",-1,1)*IF(Sync!$AC1110="",0,Sync!$AC1110))</f>
        <v>0</v>
      </c>
      <c r="O1114" t="str">
        <f>IF(OR($G1114="",Sync!$V1110=""),"",Sync!$V1110)</f>
        <v/>
      </c>
      <c r="P1114" t="str">
        <f>IF(OR($G1114="",Sync!$AD1110=""),"",Sync!$AD1110)</f>
        <v/>
      </c>
      <c r="Q1114" t="str">
        <f>IF($G1114="","",IF(Sync!$U1110="","0000",IF(AND(ISNUMBER(Sync!$U1110),Sync!$U1110&gt;=0,Sync!$U1110&lt;1),RIGHT("00"&amp;HOUR(Sync!$U1110),2)&amp;RIGHT("00"&amp;MINUTE(Sync!$U1110),2),IFERROR(RIGHT("00"&amp;VALUE(LEFT(Sync!$U1110,FIND(":",Sync!$U1110)-1)),2)&amp;RIGHT("00"&amp;VALUE(MID(Sync!$U1110,FIND(":",Sync!$U1110)+1,2)),2),"0000"))))</f>
        <v/>
      </c>
    </row>
    <row r="1115" spans="1:17" x14ac:dyDescent="0.2">
      <c r="A1115" t="str">
        <f>IF(Sync!$T1111="","",Sync!$T1111)</f>
        <v/>
      </c>
      <c r="B1115" t="str">
        <f t="shared" si="102"/>
        <v/>
      </c>
      <c r="C1115" t="str">
        <f t="shared" si="103"/>
        <v/>
      </c>
      <c r="D1115" t="str">
        <f t="shared" si="104"/>
        <v/>
      </c>
      <c r="E1115" t="str">
        <f t="shared" si="105"/>
        <v/>
      </c>
      <c r="F1115" t="str">
        <f t="shared" si="106"/>
        <v/>
      </c>
      <c r="G1115" t="str">
        <f>IF(OR($E1115="",$E1115="نامعتبر",Sync!$X1111=""),"",IF(AND(LEFT(UPPER(TRIM(Sync!$X1111)),2)="SL",IFERROR(VLOOKUP(Sync!$W1111,OpTbl,3,0),"")="فروش"),UPPER(TRIM(Sync!$X1111)),""))</f>
        <v/>
      </c>
      <c r="H1115" t="str">
        <f>IF($G1115="","",IF(Sync!$W1111="","",Sync!$W1111))</f>
        <v/>
      </c>
      <c r="I1115" t="str">
        <f>IF(OR($G1115="",Sync!$Y1111=""),"",Sync!$Y1111)</f>
        <v/>
      </c>
      <c r="J1115" t="str">
        <f>IF(OR($G1115="",Sync!$Z1111=""),"",Sync!$Z1111)</f>
        <v/>
      </c>
      <c r="K1115">
        <f>IF($G1115="",0,IF(Sync!$AA1111="",0,Sync!$AA1111))</f>
        <v>0</v>
      </c>
      <c r="L1115">
        <f>IF($G1115="",0,IF(Sync!$AB1111="",0,Sync!$AB1111))</f>
        <v>0</v>
      </c>
      <c r="M1115" t="str">
        <f t="shared" si="107"/>
        <v/>
      </c>
      <c r="N1115">
        <f>IF($G1115="",0,IF($H1115="مرجوعی فروش",-1,1)*IF(Sync!$AC1111="",0,Sync!$AC1111))</f>
        <v>0</v>
      </c>
      <c r="O1115" t="str">
        <f>IF(OR($G1115="",Sync!$V1111=""),"",Sync!$V1111)</f>
        <v/>
      </c>
      <c r="P1115" t="str">
        <f>IF(OR($G1115="",Sync!$AD1111=""),"",Sync!$AD1111)</f>
        <v/>
      </c>
      <c r="Q1115" t="str">
        <f>IF($G1115="","",IF(Sync!$U1111="","0000",IF(AND(ISNUMBER(Sync!$U1111),Sync!$U1111&gt;=0,Sync!$U1111&lt;1),RIGHT("00"&amp;HOUR(Sync!$U1111),2)&amp;RIGHT("00"&amp;MINUTE(Sync!$U1111),2),IFERROR(RIGHT("00"&amp;VALUE(LEFT(Sync!$U1111,FIND(":",Sync!$U1111)-1)),2)&amp;RIGHT("00"&amp;VALUE(MID(Sync!$U1111,FIND(":",Sync!$U1111)+1,2)),2),"0000"))))</f>
        <v/>
      </c>
    </row>
    <row r="1116" spans="1:17" x14ac:dyDescent="0.2">
      <c r="A1116" t="str">
        <f>IF(Sync!$T1112="","",Sync!$T1112)</f>
        <v/>
      </c>
      <c r="B1116" t="str">
        <f t="shared" si="102"/>
        <v/>
      </c>
      <c r="C1116" t="str">
        <f t="shared" si="103"/>
        <v/>
      </c>
      <c r="D1116" t="str">
        <f t="shared" si="104"/>
        <v/>
      </c>
      <c r="E1116" t="str">
        <f t="shared" si="105"/>
        <v/>
      </c>
      <c r="F1116" t="str">
        <f t="shared" si="106"/>
        <v/>
      </c>
      <c r="G1116" t="str">
        <f>IF(OR($E1116="",$E1116="نامعتبر",Sync!$X1112=""),"",IF(AND(LEFT(UPPER(TRIM(Sync!$X1112)),2)="SL",IFERROR(VLOOKUP(Sync!$W1112,OpTbl,3,0),"")="فروش"),UPPER(TRIM(Sync!$X1112)),""))</f>
        <v/>
      </c>
      <c r="H1116" t="str">
        <f>IF($G1116="","",IF(Sync!$W1112="","",Sync!$W1112))</f>
        <v/>
      </c>
      <c r="I1116" t="str">
        <f>IF(OR($G1116="",Sync!$Y1112=""),"",Sync!$Y1112)</f>
        <v/>
      </c>
      <c r="J1116" t="str">
        <f>IF(OR($G1116="",Sync!$Z1112=""),"",Sync!$Z1112)</f>
        <v/>
      </c>
      <c r="K1116">
        <f>IF($G1116="",0,IF(Sync!$AA1112="",0,Sync!$AA1112))</f>
        <v>0</v>
      </c>
      <c r="L1116">
        <f>IF($G1116="",0,IF(Sync!$AB1112="",0,Sync!$AB1112))</f>
        <v>0</v>
      </c>
      <c r="M1116" t="str">
        <f t="shared" si="107"/>
        <v/>
      </c>
      <c r="N1116">
        <f>IF($G1116="",0,IF($H1116="مرجوعی فروش",-1,1)*IF(Sync!$AC1112="",0,Sync!$AC1112))</f>
        <v>0</v>
      </c>
      <c r="O1116" t="str">
        <f>IF(OR($G1116="",Sync!$V1112=""),"",Sync!$V1112)</f>
        <v/>
      </c>
      <c r="P1116" t="str">
        <f>IF(OR($G1116="",Sync!$AD1112=""),"",Sync!$AD1112)</f>
        <v/>
      </c>
      <c r="Q1116" t="str">
        <f>IF($G1116="","",IF(Sync!$U1112="","0000",IF(AND(ISNUMBER(Sync!$U1112),Sync!$U1112&gt;=0,Sync!$U1112&lt;1),RIGHT("00"&amp;HOUR(Sync!$U1112),2)&amp;RIGHT("00"&amp;MINUTE(Sync!$U1112),2),IFERROR(RIGHT("00"&amp;VALUE(LEFT(Sync!$U1112,FIND(":",Sync!$U1112)-1)),2)&amp;RIGHT("00"&amp;VALUE(MID(Sync!$U1112,FIND(":",Sync!$U1112)+1,2)),2),"0000"))))</f>
        <v/>
      </c>
    </row>
    <row r="1117" spans="1:17" x14ac:dyDescent="0.2">
      <c r="A1117" t="str">
        <f>IF(Sync!$T1113="","",Sync!$T1113)</f>
        <v/>
      </c>
      <c r="B1117" t="str">
        <f t="shared" si="102"/>
        <v/>
      </c>
      <c r="C1117" t="str">
        <f t="shared" si="103"/>
        <v/>
      </c>
      <c r="D1117" t="str">
        <f t="shared" si="104"/>
        <v/>
      </c>
      <c r="E1117" t="str">
        <f t="shared" si="105"/>
        <v/>
      </c>
      <c r="F1117" t="str">
        <f t="shared" si="106"/>
        <v/>
      </c>
      <c r="G1117" t="str">
        <f>IF(OR($E1117="",$E1117="نامعتبر",Sync!$X1113=""),"",IF(AND(LEFT(UPPER(TRIM(Sync!$X1113)),2)="SL",IFERROR(VLOOKUP(Sync!$W1113,OpTbl,3,0),"")="فروش"),UPPER(TRIM(Sync!$X1113)),""))</f>
        <v/>
      </c>
      <c r="H1117" t="str">
        <f>IF($G1117="","",IF(Sync!$W1113="","",Sync!$W1113))</f>
        <v/>
      </c>
      <c r="I1117" t="str">
        <f>IF(OR($G1117="",Sync!$Y1113=""),"",Sync!$Y1113)</f>
        <v/>
      </c>
      <c r="J1117" t="str">
        <f>IF(OR($G1117="",Sync!$Z1113=""),"",Sync!$Z1113)</f>
        <v/>
      </c>
      <c r="K1117">
        <f>IF($G1117="",0,IF(Sync!$AA1113="",0,Sync!$AA1113))</f>
        <v>0</v>
      </c>
      <c r="L1117">
        <f>IF($G1117="",0,IF(Sync!$AB1113="",0,Sync!$AB1113))</f>
        <v>0</v>
      </c>
      <c r="M1117" t="str">
        <f t="shared" si="107"/>
        <v/>
      </c>
      <c r="N1117">
        <f>IF($G1117="",0,IF($H1117="مرجوعی فروش",-1,1)*IF(Sync!$AC1113="",0,Sync!$AC1113))</f>
        <v>0</v>
      </c>
      <c r="O1117" t="str">
        <f>IF(OR($G1117="",Sync!$V1113=""),"",Sync!$V1113)</f>
        <v/>
      </c>
      <c r="P1117" t="str">
        <f>IF(OR($G1117="",Sync!$AD1113=""),"",Sync!$AD1113)</f>
        <v/>
      </c>
      <c r="Q1117" t="str">
        <f>IF($G1117="","",IF(Sync!$U1113="","0000",IF(AND(ISNUMBER(Sync!$U1113),Sync!$U1113&gt;=0,Sync!$U1113&lt;1),RIGHT("00"&amp;HOUR(Sync!$U1113),2)&amp;RIGHT("00"&amp;MINUTE(Sync!$U1113),2),IFERROR(RIGHT("00"&amp;VALUE(LEFT(Sync!$U1113,FIND(":",Sync!$U1113)-1)),2)&amp;RIGHT("00"&amp;VALUE(MID(Sync!$U1113,FIND(":",Sync!$U1113)+1,2)),2),"0000"))))</f>
        <v/>
      </c>
    </row>
    <row r="1118" spans="1:17" x14ac:dyDescent="0.2">
      <c r="A1118" t="str">
        <f>IF(Sync!$T1114="","",Sync!$T1114)</f>
        <v/>
      </c>
      <c r="B1118" t="str">
        <f t="shared" si="102"/>
        <v/>
      </c>
      <c r="C1118" t="str">
        <f t="shared" si="103"/>
        <v/>
      </c>
      <c r="D1118" t="str">
        <f t="shared" si="104"/>
        <v/>
      </c>
      <c r="E1118" t="str">
        <f t="shared" si="105"/>
        <v/>
      </c>
      <c r="F1118" t="str">
        <f t="shared" si="106"/>
        <v/>
      </c>
      <c r="G1118" t="str">
        <f>IF(OR($E1118="",$E1118="نامعتبر",Sync!$X1114=""),"",IF(AND(LEFT(UPPER(TRIM(Sync!$X1114)),2)="SL",IFERROR(VLOOKUP(Sync!$W1114,OpTbl,3,0),"")="فروش"),UPPER(TRIM(Sync!$X1114)),""))</f>
        <v/>
      </c>
      <c r="H1118" t="str">
        <f>IF($G1118="","",IF(Sync!$W1114="","",Sync!$W1114))</f>
        <v/>
      </c>
      <c r="I1118" t="str">
        <f>IF(OR($G1118="",Sync!$Y1114=""),"",Sync!$Y1114)</f>
        <v/>
      </c>
      <c r="J1118" t="str">
        <f>IF(OR($G1118="",Sync!$Z1114=""),"",Sync!$Z1114)</f>
        <v/>
      </c>
      <c r="K1118">
        <f>IF($G1118="",0,IF(Sync!$AA1114="",0,Sync!$AA1114))</f>
        <v>0</v>
      </c>
      <c r="L1118">
        <f>IF($G1118="",0,IF(Sync!$AB1114="",0,Sync!$AB1114))</f>
        <v>0</v>
      </c>
      <c r="M1118" t="str">
        <f t="shared" si="107"/>
        <v/>
      </c>
      <c r="N1118">
        <f>IF($G1118="",0,IF($H1118="مرجوعی فروش",-1,1)*IF(Sync!$AC1114="",0,Sync!$AC1114))</f>
        <v>0</v>
      </c>
      <c r="O1118" t="str">
        <f>IF(OR($G1118="",Sync!$V1114=""),"",Sync!$V1114)</f>
        <v/>
      </c>
      <c r="P1118" t="str">
        <f>IF(OR($G1118="",Sync!$AD1114=""),"",Sync!$AD1114)</f>
        <v/>
      </c>
      <c r="Q1118" t="str">
        <f>IF($G1118="","",IF(Sync!$U1114="","0000",IF(AND(ISNUMBER(Sync!$U1114),Sync!$U1114&gt;=0,Sync!$U1114&lt;1),RIGHT("00"&amp;HOUR(Sync!$U1114),2)&amp;RIGHT("00"&amp;MINUTE(Sync!$U1114),2),IFERROR(RIGHT("00"&amp;VALUE(LEFT(Sync!$U1114,FIND(":",Sync!$U1114)-1)),2)&amp;RIGHT("00"&amp;VALUE(MID(Sync!$U1114,FIND(":",Sync!$U1114)+1,2)),2),"0000"))))</f>
        <v/>
      </c>
    </row>
    <row r="1119" spans="1:17" x14ac:dyDescent="0.2">
      <c r="A1119" t="str">
        <f>IF(Sync!$T1115="","",Sync!$T1115)</f>
        <v/>
      </c>
      <c r="B1119" t="str">
        <f t="shared" si="102"/>
        <v/>
      </c>
      <c r="C1119" t="str">
        <f t="shared" si="103"/>
        <v/>
      </c>
      <c r="D1119" t="str">
        <f t="shared" si="104"/>
        <v/>
      </c>
      <c r="E1119" t="str">
        <f t="shared" si="105"/>
        <v/>
      </c>
      <c r="F1119" t="str">
        <f t="shared" si="106"/>
        <v/>
      </c>
      <c r="G1119" t="str">
        <f>IF(OR($E1119="",$E1119="نامعتبر",Sync!$X1115=""),"",IF(AND(LEFT(UPPER(TRIM(Sync!$X1115)),2)="SL",IFERROR(VLOOKUP(Sync!$W1115,OpTbl,3,0),"")="فروش"),UPPER(TRIM(Sync!$X1115)),""))</f>
        <v/>
      </c>
      <c r="H1119" t="str">
        <f>IF($G1119="","",IF(Sync!$W1115="","",Sync!$W1115))</f>
        <v/>
      </c>
      <c r="I1119" t="str">
        <f>IF(OR($G1119="",Sync!$Y1115=""),"",Sync!$Y1115)</f>
        <v/>
      </c>
      <c r="J1119" t="str">
        <f>IF(OR($G1119="",Sync!$Z1115=""),"",Sync!$Z1115)</f>
        <v/>
      </c>
      <c r="K1119">
        <f>IF($G1119="",0,IF(Sync!$AA1115="",0,Sync!$AA1115))</f>
        <v>0</v>
      </c>
      <c r="L1119">
        <f>IF($G1119="",0,IF(Sync!$AB1115="",0,Sync!$AB1115))</f>
        <v>0</v>
      </c>
      <c r="M1119" t="str">
        <f t="shared" si="107"/>
        <v/>
      </c>
      <c r="N1119">
        <f>IF($G1119="",0,IF($H1119="مرجوعی فروش",-1,1)*IF(Sync!$AC1115="",0,Sync!$AC1115))</f>
        <v>0</v>
      </c>
      <c r="O1119" t="str">
        <f>IF(OR($G1119="",Sync!$V1115=""),"",Sync!$V1115)</f>
        <v/>
      </c>
      <c r="P1119" t="str">
        <f>IF(OR($G1119="",Sync!$AD1115=""),"",Sync!$AD1115)</f>
        <v/>
      </c>
      <c r="Q1119" t="str">
        <f>IF($G1119="","",IF(Sync!$U1115="","0000",IF(AND(ISNUMBER(Sync!$U1115),Sync!$U1115&gt;=0,Sync!$U1115&lt;1),RIGHT("00"&amp;HOUR(Sync!$U1115),2)&amp;RIGHT("00"&amp;MINUTE(Sync!$U1115),2),IFERROR(RIGHT("00"&amp;VALUE(LEFT(Sync!$U1115,FIND(":",Sync!$U1115)-1)),2)&amp;RIGHT("00"&amp;VALUE(MID(Sync!$U1115,FIND(":",Sync!$U1115)+1,2)),2),"0000"))))</f>
        <v/>
      </c>
    </row>
    <row r="1120" spans="1:17" x14ac:dyDescent="0.2">
      <c r="A1120" t="str">
        <f>IF(Sync!$T1116="","",Sync!$T1116)</f>
        <v/>
      </c>
      <c r="B1120" t="str">
        <f t="shared" si="102"/>
        <v/>
      </c>
      <c r="C1120" t="str">
        <f t="shared" si="103"/>
        <v/>
      </c>
      <c r="D1120" t="str">
        <f t="shared" si="104"/>
        <v/>
      </c>
      <c r="E1120" t="str">
        <f t="shared" si="105"/>
        <v/>
      </c>
      <c r="F1120" t="str">
        <f t="shared" si="106"/>
        <v/>
      </c>
      <c r="G1120" t="str">
        <f>IF(OR($E1120="",$E1120="نامعتبر",Sync!$X1116=""),"",IF(AND(LEFT(UPPER(TRIM(Sync!$X1116)),2)="SL",IFERROR(VLOOKUP(Sync!$W1116,OpTbl,3,0),"")="فروش"),UPPER(TRIM(Sync!$X1116)),""))</f>
        <v/>
      </c>
      <c r="H1120" t="str">
        <f>IF($G1120="","",IF(Sync!$W1116="","",Sync!$W1116))</f>
        <v/>
      </c>
      <c r="I1120" t="str">
        <f>IF(OR($G1120="",Sync!$Y1116=""),"",Sync!$Y1116)</f>
        <v/>
      </c>
      <c r="J1120" t="str">
        <f>IF(OR($G1120="",Sync!$Z1116=""),"",Sync!$Z1116)</f>
        <v/>
      </c>
      <c r="K1120">
        <f>IF($G1120="",0,IF(Sync!$AA1116="",0,Sync!$AA1116))</f>
        <v>0</v>
      </c>
      <c r="L1120">
        <f>IF($G1120="",0,IF(Sync!$AB1116="",0,Sync!$AB1116))</f>
        <v>0</v>
      </c>
      <c r="M1120" t="str">
        <f t="shared" si="107"/>
        <v/>
      </c>
      <c r="N1120">
        <f>IF($G1120="",0,IF($H1120="مرجوعی فروش",-1,1)*IF(Sync!$AC1116="",0,Sync!$AC1116))</f>
        <v>0</v>
      </c>
      <c r="O1120" t="str">
        <f>IF(OR($G1120="",Sync!$V1116=""),"",Sync!$V1116)</f>
        <v/>
      </c>
      <c r="P1120" t="str">
        <f>IF(OR($G1120="",Sync!$AD1116=""),"",Sync!$AD1116)</f>
        <v/>
      </c>
      <c r="Q1120" t="str">
        <f>IF($G1120="","",IF(Sync!$U1116="","0000",IF(AND(ISNUMBER(Sync!$U1116),Sync!$U1116&gt;=0,Sync!$U1116&lt;1),RIGHT("00"&amp;HOUR(Sync!$U1116),2)&amp;RIGHT("00"&amp;MINUTE(Sync!$U1116),2),IFERROR(RIGHT("00"&amp;VALUE(LEFT(Sync!$U1116,FIND(":",Sync!$U1116)-1)),2)&amp;RIGHT("00"&amp;VALUE(MID(Sync!$U1116,FIND(":",Sync!$U1116)+1,2)),2),"0000"))))</f>
        <v/>
      </c>
    </row>
    <row r="1121" spans="1:17" x14ac:dyDescent="0.2">
      <c r="A1121" t="str">
        <f>IF(Sync!$T1117="","",Sync!$T1117)</f>
        <v/>
      </c>
      <c r="B1121" t="str">
        <f t="shared" si="102"/>
        <v/>
      </c>
      <c r="C1121" t="str">
        <f t="shared" si="103"/>
        <v/>
      </c>
      <c r="D1121" t="str">
        <f t="shared" si="104"/>
        <v/>
      </c>
      <c r="E1121" t="str">
        <f t="shared" si="105"/>
        <v/>
      </c>
      <c r="F1121" t="str">
        <f t="shared" si="106"/>
        <v/>
      </c>
      <c r="G1121" t="str">
        <f>IF(OR($E1121="",$E1121="نامعتبر",Sync!$X1117=""),"",IF(AND(LEFT(UPPER(TRIM(Sync!$X1117)),2)="SL",IFERROR(VLOOKUP(Sync!$W1117,OpTbl,3,0),"")="فروش"),UPPER(TRIM(Sync!$X1117)),""))</f>
        <v/>
      </c>
      <c r="H1121" t="str">
        <f>IF($G1121="","",IF(Sync!$W1117="","",Sync!$W1117))</f>
        <v/>
      </c>
      <c r="I1121" t="str">
        <f>IF(OR($G1121="",Sync!$Y1117=""),"",Sync!$Y1117)</f>
        <v/>
      </c>
      <c r="J1121" t="str">
        <f>IF(OR($G1121="",Sync!$Z1117=""),"",Sync!$Z1117)</f>
        <v/>
      </c>
      <c r="K1121">
        <f>IF($G1121="",0,IF(Sync!$AA1117="",0,Sync!$AA1117))</f>
        <v>0</v>
      </c>
      <c r="L1121">
        <f>IF($G1121="",0,IF(Sync!$AB1117="",0,Sync!$AB1117))</f>
        <v>0</v>
      </c>
      <c r="M1121" t="str">
        <f t="shared" si="107"/>
        <v/>
      </c>
      <c r="N1121">
        <f>IF($G1121="",0,IF($H1121="مرجوعی فروش",-1,1)*IF(Sync!$AC1117="",0,Sync!$AC1117))</f>
        <v>0</v>
      </c>
      <c r="O1121" t="str">
        <f>IF(OR($G1121="",Sync!$V1117=""),"",Sync!$V1117)</f>
        <v/>
      </c>
      <c r="P1121" t="str">
        <f>IF(OR($G1121="",Sync!$AD1117=""),"",Sync!$AD1117)</f>
        <v/>
      </c>
      <c r="Q1121" t="str">
        <f>IF($G1121="","",IF(Sync!$U1117="","0000",IF(AND(ISNUMBER(Sync!$U1117),Sync!$U1117&gt;=0,Sync!$U1117&lt;1),RIGHT("00"&amp;HOUR(Sync!$U1117),2)&amp;RIGHT("00"&amp;MINUTE(Sync!$U1117),2),IFERROR(RIGHT("00"&amp;VALUE(LEFT(Sync!$U1117,FIND(":",Sync!$U1117)-1)),2)&amp;RIGHT("00"&amp;VALUE(MID(Sync!$U1117,FIND(":",Sync!$U1117)+1,2)),2),"0000"))))</f>
        <v/>
      </c>
    </row>
    <row r="1122" spans="1:17" x14ac:dyDescent="0.2">
      <c r="A1122" t="str">
        <f>IF(Sync!$T1118="","",Sync!$T1118)</f>
        <v/>
      </c>
      <c r="B1122" t="str">
        <f t="shared" si="102"/>
        <v/>
      </c>
      <c r="C1122" t="str">
        <f t="shared" si="103"/>
        <v/>
      </c>
      <c r="D1122" t="str">
        <f t="shared" si="104"/>
        <v/>
      </c>
      <c r="E1122" t="str">
        <f t="shared" si="105"/>
        <v/>
      </c>
      <c r="F1122" t="str">
        <f t="shared" si="106"/>
        <v/>
      </c>
      <c r="G1122" t="str">
        <f>IF(OR($E1122="",$E1122="نامعتبر",Sync!$X1118=""),"",IF(AND(LEFT(UPPER(TRIM(Sync!$X1118)),2)="SL",IFERROR(VLOOKUP(Sync!$W1118,OpTbl,3,0),"")="فروش"),UPPER(TRIM(Sync!$X1118)),""))</f>
        <v/>
      </c>
      <c r="H1122" t="str">
        <f>IF($G1122="","",IF(Sync!$W1118="","",Sync!$W1118))</f>
        <v/>
      </c>
      <c r="I1122" t="str">
        <f>IF(OR($G1122="",Sync!$Y1118=""),"",Sync!$Y1118)</f>
        <v/>
      </c>
      <c r="J1122" t="str">
        <f>IF(OR($G1122="",Sync!$Z1118=""),"",Sync!$Z1118)</f>
        <v/>
      </c>
      <c r="K1122">
        <f>IF($G1122="",0,IF(Sync!$AA1118="",0,Sync!$AA1118))</f>
        <v>0</v>
      </c>
      <c r="L1122">
        <f>IF($G1122="",0,IF(Sync!$AB1118="",0,Sync!$AB1118))</f>
        <v>0</v>
      </c>
      <c r="M1122" t="str">
        <f t="shared" si="107"/>
        <v/>
      </c>
      <c r="N1122">
        <f>IF($G1122="",0,IF($H1122="مرجوعی فروش",-1,1)*IF(Sync!$AC1118="",0,Sync!$AC1118))</f>
        <v>0</v>
      </c>
      <c r="O1122" t="str">
        <f>IF(OR($G1122="",Sync!$V1118=""),"",Sync!$V1118)</f>
        <v/>
      </c>
      <c r="P1122" t="str">
        <f>IF(OR($G1122="",Sync!$AD1118=""),"",Sync!$AD1118)</f>
        <v/>
      </c>
      <c r="Q1122" t="str">
        <f>IF($G1122="","",IF(Sync!$U1118="","0000",IF(AND(ISNUMBER(Sync!$U1118),Sync!$U1118&gt;=0,Sync!$U1118&lt;1),RIGHT("00"&amp;HOUR(Sync!$U1118),2)&amp;RIGHT("00"&amp;MINUTE(Sync!$U1118),2),IFERROR(RIGHT("00"&amp;VALUE(LEFT(Sync!$U1118,FIND(":",Sync!$U1118)-1)),2)&amp;RIGHT("00"&amp;VALUE(MID(Sync!$U1118,FIND(":",Sync!$U1118)+1,2)),2),"0000"))))</f>
        <v/>
      </c>
    </row>
    <row r="1123" spans="1:17" x14ac:dyDescent="0.2">
      <c r="A1123" t="str">
        <f>IF(Sync!$T1119="","",Sync!$T1119)</f>
        <v/>
      </c>
      <c r="B1123" t="str">
        <f t="shared" si="102"/>
        <v/>
      </c>
      <c r="C1123" t="str">
        <f t="shared" si="103"/>
        <v/>
      </c>
      <c r="D1123" t="str">
        <f t="shared" si="104"/>
        <v/>
      </c>
      <c r="E1123" t="str">
        <f t="shared" si="105"/>
        <v/>
      </c>
      <c r="F1123" t="str">
        <f t="shared" si="106"/>
        <v/>
      </c>
      <c r="G1123" t="str">
        <f>IF(OR($E1123="",$E1123="نامعتبر",Sync!$X1119=""),"",IF(AND(LEFT(UPPER(TRIM(Sync!$X1119)),2)="SL",IFERROR(VLOOKUP(Sync!$W1119,OpTbl,3,0),"")="فروش"),UPPER(TRIM(Sync!$X1119)),""))</f>
        <v/>
      </c>
      <c r="H1123" t="str">
        <f>IF($G1123="","",IF(Sync!$W1119="","",Sync!$W1119))</f>
        <v/>
      </c>
      <c r="I1123" t="str">
        <f>IF(OR($G1123="",Sync!$Y1119=""),"",Sync!$Y1119)</f>
        <v/>
      </c>
      <c r="J1123" t="str">
        <f>IF(OR($G1123="",Sync!$Z1119=""),"",Sync!$Z1119)</f>
        <v/>
      </c>
      <c r="K1123">
        <f>IF($G1123="",0,IF(Sync!$AA1119="",0,Sync!$AA1119))</f>
        <v>0</v>
      </c>
      <c r="L1123">
        <f>IF($G1123="",0,IF(Sync!$AB1119="",0,Sync!$AB1119))</f>
        <v>0</v>
      </c>
      <c r="M1123" t="str">
        <f t="shared" si="107"/>
        <v/>
      </c>
      <c r="N1123">
        <f>IF($G1123="",0,IF($H1123="مرجوعی فروش",-1,1)*IF(Sync!$AC1119="",0,Sync!$AC1119))</f>
        <v>0</v>
      </c>
      <c r="O1123" t="str">
        <f>IF(OR($G1123="",Sync!$V1119=""),"",Sync!$V1119)</f>
        <v/>
      </c>
      <c r="P1123" t="str">
        <f>IF(OR($G1123="",Sync!$AD1119=""),"",Sync!$AD1119)</f>
        <v/>
      </c>
      <c r="Q1123" t="str">
        <f>IF($G1123="","",IF(Sync!$U1119="","0000",IF(AND(ISNUMBER(Sync!$U1119),Sync!$U1119&gt;=0,Sync!$U1119&lt;1),RIGHT("00"&amp;HOUR(Sync!$U1119),2)&amp;RIGHT("00"&amp;MINUTE(Sync!$U1119),2),IFERROR(RIGHT("00"&amp;VALUE(LEFT(Sync!$U1119,FIND(":",Sync!$U1119)-1)),2)&amp;RIGHT("00"&amp;VALUE(MID(Sync!$U1119,FIND(":",Sync!$U1119)+1,2)),2),"0000"))))</f>
        <v/>
      </c>
    </row>
    <row r="1124" spans="1:17" x14ac:dyDescent="0.2">
      <c r="A1124" t="str">
        <f>IF(Sync!$T1120="","",Sync!$T1120)</f>
        <v/>
      </c>
      <c r="B1124" t="str">
        <f t="shared" si="102"/>
        <v/>
      </c>
      <c r="C1124" t="str">
        <f t="shared" si="103"/>
        <v/>
      </c>
      <c r="D1124" t="str">
        <f t="shared" si="104"/>
        <v/>
      </c>
      <c r="E1124" t="str">
        <f t="shared" si="105"/>
        <v/>
      </c>
      <c r="F1124" t="str">
        <f t="shared" si="106"/>
        <v/>
      </c>
      <c r="G1124" t="str">
        <f>IF(OR($E1124="",$E1124="نامعتبر",Sync!$X1120=""),"",IF(AND(LEFT(UPPER(TRIM(Sync!$X1120)),2)="SL",IFERROR(VLOOKUP(Sync!$W1120,OpTbl,3,0),"")="فروش"),UPPER(TRIM(Sync!$X1120)),""))</f>
        <v/>
      </c>
      <c r="H1124" t="str">
        <f>IF($G1124="","",IF(Sync!$W1120="","",Sync!$W1120))</f>
        <v/>
      </c>
      <c r="I1124" t="str">
        <f>IF(OR($G1124="",Sync!$Y1120=""),"",Sync!$Y1120)</f>
        <v/>
      </c>
      <c r="J1124" t="str">
        <f>IF(OR($G1124="",Sync!$Z1120=""),"",Sync!$Z1120)</f>
        <v/>
      </c>
      <c r="K1124">
        <f>IF($G1124="",0,IF(Sync!$AA1120="",0,Sync!$AA1120))</f>
        <v>0</v>
      </c>
      <c r="L1124">
        <f>IF($G1124="",0,IF(Sync!$AB1120="",0,Sync!$AB1120))</f>
        <v>0</v>
      </c>
      <c r="M1124" t="str">
        <f t="shared" si="107"/>
        <v/>
      </c>
      <c r="N1124">
        <f>IF($G1124="",0,IF($H1124="مرجوعی فروش",-1,1)*IF(Sync!$AC1120="",0,Sync!$AC1120))</f>
        <v>0</v>
      </c>
      <c r="O1124" t="str">
        <f>IF(OR($G1124="",Sync!$V1120=""),"",Sync!$V1120)</f>
        <v/>
      </c>
      <c r="P1124" t="str">
        <f>IF(OR($G1124="",Sync!$AD1120=""),"",Sync!$AD1120)</f>
        <v/>
      </c>
      <c r="Q1124" t="str">
        <f>IF($G1124="","",IF(Sync!$U1120="","0000",IF(AND(ISNUMBER(Sync!$U1120),Sync!$U1120&gt;=0,Sync!$U1120&lt;1),RIGHT("00"&amp;HOUR(Sync!$U1120),2)&amp;RIGHT("00"&amp;MINUTE(Sync!$U1120),2),IFERROR(RIGHT("00"&amp;VALUE(LEFT(Sync!$U1120,FIND(":",Sync!$U1120)-1)),2)&amp;RIGHT("00"&amp;VALUE(MID(Sync!$U1120,FIND(":",Sync!$U1120)+1,2)),2),"0000"))))</f>
        <v/>
      </c>
    </row>
    <row r="1125" spans="1:17" x14ac:dyDescent="0.2">
      <c r="A1125" t="str">
        <f>IF(Sync!$T1121="","",Sync!$T1121)</f>
        <v/>
      </c>
      <c r="B1125" t="str">
        <f t="shared" si="102"/>
        <v/>
      </c>
      <c r="C1125" t="str">
        <f t="shared" si="103"/>
        <v/>
      </c>
      <c r="D1125" t="str">
        <f t="shared" si="104"/>
        <v/>
      </c>
      <c r="E1125" t="str">
        <f t="shared" si="105"/>
        <v/>
      </c>
      <c r="F1125" t="str">
        <f t="shared" si="106"/>
        <v/>
      </c>
      <c r="G1125" t="str">
        <f>IF(OR($E1125="",$E1125="نامعتبر",Sync!$X1121=""),"",IF(AND(LEFT(UPPER(TRIM(Sync!$X1121)),2)="SL",IFERROR(VLOOKUP(Sync!$W1121,OpTbl,3,0),"")="فروش"),UPPER(TRIM(Sync!$X1121)),""))</f>
        <v/>
      </c>
      <c r="H1125" t="str">
        <f>IF($G1125="","",IF(Sync!$W1121="","",Sync!$W1121))</f>
        <v/>
      </c>
      <c r="I1125" t="str">
        <f>IF(OR($G1125="",Sync!$Y1121=""),"",Sync!$Y1121)</f>
        <v/>
      </c>
      <c r="J1125" t="str">
        <f>IF(OR($G1125="",Sync!$Z1121=""),"",Sync!$Z1121)</f>
        <v/>
      </c>
      <c r="K1125">
        <f>IF($G1125="",0,IF(Sync!$AA1121="",0,Sync!$AA1121))</f>
        <v>0</v>
      </c>
      <c r="L1125">
        <f>IF($G1125="",0,IF(Sync!$AB1121="",0,Sync!$AB1121))</f>
        <v>0</v>
      </c>
      <c r="M1125" t="str">
        <f t="shared" si="107"/>
        <v/>
      </c>
      <c r="N1125">
        <f>IF($G1125="",0,IF($H1125="مرجوعی فروش",-1,1)*IF(Sync!$AC1121="",0,Sync!$AC1121))</f>
        <v>0</v>
      </c>
      <c r="O1125" t="str">
        <f>IF(OR($G1125="",Sync!$V1121=""),"",Sync!$V1121)</f>
        <v/>
      </c>
      <c r="P1125" t="str">
        <f>IF(OR($G1125="",Sync!$AD1121=""),"",Sync!$AD1121)</f>
        <v/>
      </c>
      <c r="Q1125" t="str">
        <f>IF($G1125="","",IF(Sync!$U1121="","0000",IF(AND(ISNUMBER(Sync!$U1121),Sync!$U1121&gt;=0,Sync!$U1121&lt;1),RIGHT("00"&amp;HOUR(Sync!$U1121),2)&amp;RIGHT("00"&amp;MINUTE(Sync!$U1121),2),IFERROR(RIGHT("00"&amp;VALUE(LEFT(Sync!$U1121,FIND(":",Sync!$U1121)-1)),2)&amp;RIGHT("00"&amp;VALUE(MID(Sync!$U1121,FIND(":",Sync!$U1121)+1,2)),2),"0000"))))</f>
        <v/>
      </c>
    </row>
    <row r="1126" spans="1:17" x14ac:dyDescent="0.2">
      <c r="A1126" t="str">
        <f>IF(Sync!$T1122="","",Sync!$T1122)</f>
        <v/>
      </c>
      <c r="B1126" t="str">
        <f t="shared" si="102"/>
        <v/>
      </c>
      <c r="C1126" t="str">
        <f t="shared" si="103"/>
        <v/>
      </c>
      <c r="D1126" t="str">
        <f t="shared" si="104"/>
        <v/>
      </c>
      <c r="E1126" t="str">
        <f t="shared" si="105"/>
        <v/>
      </c>
      <c r="F1126" t="str">
        <f t="shared" si="106"/>
        <v/>
      </c>
      <c r="G1126" t="str">
        <f>IF(OR($E1126="",$E1126="نامعتبر",Sync!$X1122=""),"",IF(AND(LEFT(UPPER(TRIM(Sync!$X1122)),2)="SL",IFERROR(VLOOKUP(Sync!$W1122,OpTbl,3,0),"")="فروش"),UPPER(TRIM(Sync!$X1122)),""))</f>
        <v/>
      </c>
      <c r="H1126" t="str">
        <f>IF($G1126="","",IF(Sync!$W1122="","",Sync!$W1122))</f>
        <v/>
      </c>
      <c r="I1126" t="str">
        <f>IF(OR($G1126="",Sync!$Y1122=""),"",Sync!$Y1122)</f>
        <v/>
      </c>
      <c r="J1126" t="str">
        <f>IF(OR($G1126="",Sync!$Z1122=""),"",Sync!$Z1122)</f>
        <v/>
      </c>
      <c r="K1126">
        <f>IF($G1126="",0,IF(Sync!$AA1122="",0,Sync!$AA1122))</f>
        <v>0</v>
      </c>
      <c r="L1126">
        <f>IF($G1126="",0,IF(Sync!$AB1122="",0,Sync!$AB1122))</f>
        <v>0</v>
      </c>
      <c r="M1126" t="str">
        <f t="shared" si="107"/>
        <v/>
      </c>
      <c r="N1126">
        <f>IF($G1126="",0,IF($H1126="مرجوعی فروش",-1,1)*IF(Sync!$AC1122="",0,Sync!$AC1122))</f>
        <v>0</v>
      </c>
      <c r="O1126" t="str">
        <f>IF(OR($G1126="",Sync!$V1122=""),"",Sync!$V1122)</f>
        <v/>
      </c>
      <c r="P1126" t="str">
        <f>IF(OR($G1126="",Sync!$AD1122=""),"",Sync!$AD1122)</f>
        <v/>
      </c>
      <c r="Q1126" t="str">
        <f>IF($G1126="","",IF(Sync!$U1122="","0000",IF(AND(ISNUMBER(Sync!$U1122),Sync!$U1122&gt;=0,Sync!$U1122&lt;1),RIGHT("00"&amp;HOUR(Sync!$U1122),2)&amp;RIGHT("00"&amp;MINUTE(Sync!$U1122),2),IFERROR(RIGHT("00"&amp;VALUE(LEFT(Sync!$U1122,FIND(":",Sync!$U1122)-1)),2)&amp;RIGHT("00"&amp;VALUE(MID(Sync!$U1122,FIND(":",Sync!$U1122)+1,2)),2),"0000"))))</f>
        <v/>
      </c>
    </row>
    <row r="1127" spans="1:17" x14ac:dyDescent="0.2">
      <c r="A1127" t="str">
        <f>IF(Sync!$T1123="","",Sync!$T1123)</f>
        <v/>
      </c>
      <c r="B1127" t="str">
        <f t="shared" si="102"/>
        <v/>
      </c>
      <c r="C1127" t="str">
        <f t="shared" si="103"/>
        <v/>
      </c>
      <c r="D1127" t="str">
        <f t="shared" si="104"/>
        <v/>
      </c>
      <c r="E1127" t="str">
        <f t="shared" si="105"/>
        <v/>
      </c>
      <c r="F1127" t="str">
        <f t="shared" si="106"/>
        <v/>
      </c>
      <c r="G1127" t="str">
        <f>IF(OR($E1127="",$E1127="نامعتبر",Sync!$X1123=""),"",IF(AND(LEFT(UPPER(TRIM(Sync!$X1123)),2)="SL",IFERROR(VLOOKUP(Sync!$W1123,OpTbl,3,0),"")="فروش"),UPPER(TRIM(Sync!$X1123)),""))</f>
        <v/>
      </c>
      <c r="H1127" t="str">
        <f>IF($G1127="","",IF(Sync!$W1123="","",Sync!$W1123))</f>
        <v/>
      </c>
      <c r="I1127" t="str">
        <f>IF(OR($G1127="",Sync!$Y1123=""),"",Sync!$Y1123)</f>
        <v/>
      </c>
      <c r="J1127" t="str">
        <f>IF(OR($G1127="",Sync!$Z1123=""),"",Sync!$Z1123)</f>
        <v/>
      </c>
      <c r="K1127">
        <f>IF($G1127="",0,IF(Sync!$AA1123="",0,Sync!$AA1123))</f>
        <v>0</v>
      </c>
      <c r="L1127">
        <f>IF($G1127="",0,IF(Sync!$AB1123="",0,Sync!$AB1123))</f>
        <v>0</v>
      </c>
      <c r="M1127" t="str">
        <f t="shared" si="107"/>
        <v/>
      </c>
      <c r="N1127">
        <f>IF($G1127="",0,IF($H1127="مرجوعی فروش",-1,1)*IF(Sync!$AC1123="",0,Sync!$AC1123))</f>
        <v>0</v>
      </c>
      <c r="O1127" t="str">
        <f>IF(OR($G1127="",Sync!$V1123=""),"",Sync!$V1123)</f>
        <v/>
      </c>
      <c r="P1127" t="str">
        <f>IF(OR($G1127="",Sync!$AD1123=""),"",Sync!$AD1123)</f>
        <v/>
      </c>
      <c r="Q1127" t="str">
        <f>IF($G1127="","",IF(Sync!$U1123="","0000",IF(AND(ISNUMBER(Sync!$U1123),Sync!$U1123&gt;=0,Sync!$U1123&lt;1),RIGHT("00"&amp;HOUR(Sync!$U1123),2)&amp;RIGHT("00"&amp;MINUTE(Sync!$U1123),2),IFERROR(RIGHT("00"&amp;VALUE(LEFT(Sync!$U1123,FIND(":",Sync!$U1123)-1)),2)&amp;RIGHT("00"&amp;VALUE(MID(Sync!$U1123,FIND(":",Sync!$U1123)+1,2)),2),"0000"))))</f>
        <v/>
      </c>
    </row>
    <row r="1128" spans="1:17" x14ac:dyDescent="0.2">
      <c r="A1128" t="str">
        <f>IF(Sync!$T1124="","",Sync!$T1124)</f>
        <v/>
      </c>
      <c r="B1128" t="str">
        <f t="shared" si="102"/>
        <v/>
      </c>
      <c r="C1128" t="str">
        <f t="shared" si="103"/>
        <v/>
      </c>
      <c r="D1128" t="str">
        <f t="shared" si="104"/>
        <v/>
      </c>
      <c r="E1128" t="str">
        <f t="shared" si="105"/>
        <v/>
      </c>
      <c r="F1128" t="str">
        <f t="shared" si="106"/>
        <v/>
      </c>
      <c r="G1128" t="str">
        <f>IF(OR($E1128="",$E1128="نامعتبر",Sync!$X1124=""),"",IF(AND(LEFT(UPPER(TRIM(Sync!$X1124)),2)="SL",IFERROR(VLOOKUP(Sync!$W1124,OpTbl,3,0),"")="فروش"),UPPER(TRIM(Sync!$X1124)),""))</f>
        <v/>
      </c>
      <c r="H1128" t="str">
        <f>IF($G1128="","",IF(Sync!$W1124="","",Sync!$W1124))</f>
        <v/>
      </c>
      <c r="I1128" t="str">
        <f>IF(OR($G1128="",Sync!$Y1124=""),"",Sync!$Y1124)</f>
        <v/>
      </c>
      <c r="J1128" t="str">
        <f>IF(OR($G1128="",Sync!$Z1124=""),"",Sync!$Z1124)</f>
        <v/>
      </c>
      <c r="K1128">
        <f>IF($G1128="",0,IF(Sync!$AA1124="",0,Sync!$AA1124))</f>
        <v>0</v>
      </c>
      <c r="L1128">
        <f>IF($G1128="",0,IF(Sync!$AB1124="",0,Sync!$AB1124))</f>
        <v>0</v>
      </c>
      <c r="M1128" t="str">
        <f t="shared" si="107"/>
        <v/>
      </c>
      <c r="N1128">
        <f>IF($G1128="",0,IF($H1128="مرجوعی فروش",-1,1)*IF(Sync!$AC1124="",0,Sync!$AC1124))</f>
        <v>0</v>
      </c>
      <c r="O1128" t="str">
        <f>IF(OR($G1128="",Sync!$V1124=""),"",Sync!$V1124)</f>
        <v/>
      </c>
      <c r="P1128" t="str">
        <f>IF(OR($G1128="",Sync!$AD1124=""),"",Sync!$AD1124)</f>
        <v/>
      </c>
      <c r="Q1128" t="str">
        <f>IF($G1128="","",IF(Sync!$U1124="","0000",IF(AND(ISNUMBER(Sync!$U1124),Sync!$U1124&gt;=0,Sync!$U1124&lt;1),RIGHT("00"&amp;HOUR(Sync!$U1124),2)&amp;RIGHT("00"&amp;MINUTE(Sync!$U1124),2),IFERROR(RIGHT("00"&amp;VALUE(LEFT(Sync!$U1124,FIND(":",Sync!$U1124)-1)),2)&amp;RIGHT("00"&amp;VALUE(MID(Sync!$U1124,FIND(":",Sync!$U1124)+1,2)),2),"0000"))))</f>
        <v/>
      </c>
    </row>
    <row r="1129" spans="1:17" x14ac:dyDescent="0.2">
      <c r="A1129" t="str">
        <f>IF(Sync!$T1125="","",Sync!$T1125)</f>
        <v/>
      </c>
      <c r="B1129" t="str">
        <f t="shared" si="102"/>
        <v/>
      </c>
      <c r="C1129" t="str">
        <f t="shared" si="103"/>
        <v/>
      </c>
      <c r="D1129" t="str">
        <f t="shared" si="104"/>
        <v/>
      </c>
      <c r="E1129" t="str">
        <f t="shared" si="105"/>
        <v/>
      </c>
      <c r="F1129" t="str">
        <f t="shared" si="106"/>
        <v/>
      </c>
      <c r="G1129" t="str">
        <f>IF(OR($E1129="",$E1129="نامعتبر",Sync!$X1125=""),"",IF(AND(LEFT(UPPER(TRIM(Sync!$X1125)),2)="SL",IFERROR(VLOOKUP(Sync!$W1125,OpTbl,3,0),"")="فروش"),UPPER(TRIM(Sync!$X1125)),""))</f>
        <v/>
      </c>
      <c r="H1129" t="str">
        <f>IF($G1129="","",IF(Sync!$W1125="","",Sync!$W1125))</f>
        <v/>
      </c>
      <c r="I1129" t="str">
        <f>IF(OR($G1129="",Sync!$Y1125=""),"",Sync!$Y1125)</f>
        <v/>
      </c>
      <c r="J1129" t="str">
        <f>IF(OR($G1129="",Sync!$Z1125=""),"",Sync!$Z1125)</f>
        <v/>
      </c>
      <c r="K1129">
        <f>IF($G1129="",0,IF(Sync!$AA1125="",0,Sync!$AA1125))</f>
        <v>0</v>
      </c>
      <c r="L1129">
        <f>IF($G1129="",0,IF(Sync!$AB1125="",0,Sync!$AB1125))</f>
        <v>0</v>
      </c>
      <c r="M1129" t="str">
        <f t="shared" si="107"/>
        <v/>
      </c>
      <c r="N1129">
        <f>IF($G1129="",0,IF($H1129="مرجوعی فروش",-1,1)*IF(Sync!$AC1125="",0,Sync!$AC1125))</f>
        <v>0</v>
      </c>
      <c r="O1129" t="str">
        <f>IF(OR($G1129="",Sync!$V1125=""),"",Sync!$V1125)</f>
        <v/>
      </c>
      <c r="P1129" t="str">
        <f>IF(OR($G1129="",Sync!$AD1125=""),"",Sync!$AD1125)</f>
        <v/>
      </c>
      <c r="Q1129" t="str">
        <f>IF($G1129="","",IF(Sync!$U1125="","0000",IF(AND(ISNUMBER(Sync!$U1125),Sync!$U1125&gt;=0,Sync!$U1125&lt;1),RIGHT("00"&amp;HOUR(Sync!$U1125),2)&amp;RIGHT("00"&amp;MINUTE(Sync!$U1125),2),IFERROR(RIGHT("00"&amp;VALUE(LEFT(Sync!$U1125,FIND(":",Sync!$U1125)-1)),2)&amp;RIGHT("00"&amp;VALUE(MID(Sync!$U1125,FIND(":",Sync!$U1125)+1,2)),2),"0000"))))</f>
        <v/>
      </c>
    </row>
    <row r="1130" spans="1:17" x14ac:dyDescent="0.2">
      <c r="A1130" t="str">
        <f>IF(Sync!$T1126="","",Sync!$T1126)</f>
        <v/>
      </c>
      <c r="B1130" t="str">
        <f t="shared" si="102"/>
        <v/>
      </c>
      <c r="C1130" t="str">
        <f t="shared" si="103"/>
        <v/>
      </c>
      <c r="D1130" t="str">
        <f t="shared" si="104"/>
        <v/>
      </c>
      <c r="E1130" t="str">
        <f t="shared" si="105"/>
        <v/>
      </c>
      <c r="F1130" t="str">
        <f t="shared" si="106"/>
        <v/>
      </c>
      <c r="G1130" t="str">
        <f>IF(OR($E1130="",$E1130="نامعتبر",Sync!$X1126=""),"",IF(AND(LEFT(UPPER(TRIM(Sync!$X1126)),2)="SL",IFERROR(VLOOKUP(Sync!$W1126,OpTbl,3,0),"")="فروش"),UPPER(TRIM(Sync!$X1126)),""))</f>
        <v/>
      </c>
      <c r="H1130" t="str">
        <f>IF($G1130="","",IF(Sync!$W1126="","",Sync!$W1126))</f>
        <v/>
      </c>
      <c r="I1130" t="str">
        <f>IF(OR($G1130="",Sync!$Y1126=""),"",Sync!$Y1126)</f>
        <v/>
      </c>
      <c r="J1130" t="str">
        <f>IF(OR($G1130="",Sync!$Z1126=""),"",Sync!$Z1126)</f>
        <v/>
      </c>
      <c r="K1130">
        <f>IF($G1130="",0,IF(Sync!$AA1126="",0,Sync!$AA1126))</f>
        <v>0</v>
      </c>
      <c r="L1130">
        <f>IF($G1130="",0,IF(Sync!$AB1126="",0,Sync!$AB1126))</f>
        <v>0</v>
      </c>
      <c r="M1130" t="str">
        <f t="shared" si="107"/>
        <v/>
      </c>
      <c r="N1130">
        <f>IF($G1130="",0,IF($H1130="مرجوعی فروش",-1,1)*IF(Sync!$AC1126="",0,Sync!$AC1126))</f>
        <v>0</v>
      </c>
      <c r="O1130" t="str">
        <f>IF(OR($G1130="",Sync!$V1126=""),"",Sync!$V1126)</f>
        <v/>
      </c>
      <c r="P1130" t="str">
        <f>IF(OR($G1130="",Sync!$AD1126=""),"",Sync!$AD1126)</f>
        <v/>
      </c>
      <c r="Q1130" t="str">
        <f>IF($G1130="","",IF(Sync!$U1126="","0000",IF(AND(ISNUMBER(Sync!$U1126),Sync!$U1126&gt;=0,Sync!$U1126&lt;1),RIGHT("00"&amp;HOUR(Sync!$U1126),2)&amp;RIGHT("00"&amp;MINUTE(Sync!$U1126),2),IFERROR(RIGHT("00"&amp;VALUE(LEFT(Sync!$U1126,FIND(":",Sync!$U1126)-1)),2)&amp;RIGHT("00"&amp;VALUE(MID(Sync!$U1126,FIND(":",Sync!$U1126)+1,2)),2),"0000"))))</f>
        <v/>
      </c>
    </row>
    <row r="1131" spans="1:17" x14ac:dyDescent="0.2">
      <c r="A1131" t="str">
        <f>IF(Sync!$T1127="","",Sync!$T1127)</f>
        <v/>
      </c>
      <c r="B1131" t="str">
        <f t="shared" si="102"/>
        <v/>
      </c>
      <c r="C1131" t="str">
        <f t="shared" si="103"/>
        <v/>
      </c>
      <c r="D1131" t="str">
        <f t="shared" si="104"/>
        <v/>
      </c>
      <c r="E1131" t="str">
        <f t="shared" si="105"/>
        <v/>
      </c>
      <c r="F1131" t="str">
        <f t="shared" si="106"/>
        <v/>
      </c>
      <c r="G1131" t="str">
        <f>IF(OR($E1131="",$E1131="نامعتبر",Sync!$X1127=""),"",IF(AND(LEFT(UPPER(TRIM(Sync!$X1127)),2)="SL",IFERROR(VLOOKUP(Sync!$W1127,OpTbl,3,0),"")="فروش"),UPPER(TRIM(Sync!$X1127)),""))</f>
        <v/>
      </c>
      <c r="H1131" t="str">
        <f>IF($G1131="","",IF(Sync!$W1127="","",Sync!$W1127))</f>
        <v/>
      </c>
      <c r="I1131" t="str">
        <f>IF(OR($G1131="",Sync!$Y1127=""),"",Sync!$Y1127)</f>
        <v/>
      </c>
      <c r="J1131" t="str">
        <f>IF(OR($G1131="",Sync!$Z1127=""),"",Sync!$Z1127)</f>
        <v/>
      </c>
      <c r="K1131">
        <f>IF($G1131="",0,IF(Sync!$AA1127="",0,Sync!$AA1127))</f>
        <v>0</v>
      </c>
      <c r="L1131">
        <f>IF($G1131="",0,IF(Sync!$AB1127="",0,Sync!$AB1127))</f>
        <v>0</v>
      </c>
      <c r="M1131" t="str">
        <f t="shared" si="107"/>
        <v/>
      </c>
      <c r="N1131">
        <f>IF($G1131="",0,IF($H1131="مرجوعی فروش",-1,1)*IF(Sync!$AC1127="",0,Sync!$AC1127))</f>
        <v>0</v>
      </c>
      <c r="O1131" t="str">
        <f>IF(OR($G1131="",Sync!$V1127=""),"",Sync!$V1127)</f>
        <v/>
      </c>
      <c r="P1131" t="str">
        <f>IF(OR($G1131="",Sync!$AD1127=""),"",Sync!$AD1127)</f>
        <v/>
      </c>
      <c r="Q1131" t="str">
        <f>IF($G1131="","",IF(Sync!$U1127="","0000",IF(AND(ISNUMBER(Sync!$U1127),Sync!$U1127&gt;=0,Sync!$U1127&lt;1),RIGHT("00"&amp;HOUR(Sync!$U1127),2)&amp;RIGHT("00"&amp;MINUTE(Sync!$U1127),2),IFERROR(RIGHT("00"&amp;VALUE(LEFT(Sync!$U1127,FIND(":",Sync!$U1127)-1)),2)&amp;RIGHT("00"&amp;VALUE(MID(Sync!$U1127,FIND(":",Sync!$U1127)+1,2)),2),"0000"))))</f>
        <v/>
      </c>
    </row>
    <row r="1132" spans="1:17" x14ac:dyDescent="0.2">
      <c r="A1132" t="str">
        <f>IF(Sync!$T1128="","",Sync!$T1128)</f>
        <v/>
      </c>
      <c r="B1132" t="str">
        <f t="shared" si="102"/>
        <v/>
      </c>
      <c r="C1132" t="str">
        <f t="shared" si="103"/>
        <v/>
      </c>
      <c r="D1132" t="str">
        <f t="shared" si="104"/>
        <v/>
      </c>
      <c r="E1132" t="str">
        <f t="shared" si="105"/>
        <v/>
      </c>
      <c r="F1132" t="str">
        <f t="shared" si="106"/>
        <v/>
      </c>
      <c r="G1132" t="str">
        <f>IF(OR($E1132="",$E1132="نامعتبر",Sync!$X1128=""),"",IF(AND(LEFT(UPPER(TRIM(Sync!$X1128)),2)="SL",IFERROR(VLOOKUP(Sync!$W1128,OpTbl,3,0),"")="فروش"),UPPER(TRIM(Sync!$X1128)),""))</f>
        <v/>
      </c>
      <c r="H1132" t="str">
        <f>IF($G1132="","",IF(Sync!$W1128="","",Sync!$W1128))</f>
        <v/>
      </c>
      <c r="I1132" t="str">
        <f>IF(OR($G1132="",Sync!$Y1128=""),"",Sync!$Y1128)</f>
        <v/>
      </c>
      <c r="J1132" t="str">
        <f>IF(OR($G1132="",Sync!$Z1128=""),"",Sync!$Z1128)</f>
        <v/>
      </c>
      <c r="K1132">
        <f>IF($G1132="",0,IF(Sync!$AA1128="",0,Sync!$AA1128))</f>
        <v>0</v>
      </c>
      <c r="L1132">
        <f>IF($G1132="",0,IF(Sync!$AB1128="",0,Sync!$AB1128))</f>
        <v>0</v>
      </c>
      <c r="M1132" t="str">
        <f t="shared" si="107"/>
        <v/>
      </c>
      <c r="N1132">
        <f>IF($G1132="",0,IF($H1132="مرجوعی فروش",-1,1)*IF(Sync!$AC1128="",0,Sync!$AC1128))</f>
        <v>0</v>
      </c>
      <c r="O1132" t="str">
        <f>IF(OR($G1132="",Sync!$V1128=""),"",Sync!$V1128)</f>
        <v/>
      </c>
      <c r="P1132" t="str">
        <f>IF(OR($G1132="",Sync!$AD1128=""),"",Sync!$AD1128)</f>
        <v/>
      </c>
      <c r="Q1132" t="str">
        <f>IF($G1132="","",IF(Sync!$U1128="","0000",IF(AND(ISNUMBER(Sync!$U1128),Sync!$U1128&gt;=0,Sync!$U1128&lt;1),RIGHT("00"&amp;HOUR(Sync!$U1128),2)&amp;RIGHT("00"&amp;MINUTE(Sync!$U1128),2),IFERROR(RIGHT("00"&amp;VALUE(LEFT(Sync!$U1128,FIND(":",Sync!$U1128)-1)),2)&amp;RIGHT("00"&amp;VALUE(MID(Sync!$U1128,FIND(":",Sync!$U1128)+1,2)),2),"0000"))))</f>
        <v/>
      </c>
    </row>
    <row r="1133" spans="1:17" x14ac:dyDescent="0.2">
      <c r="A1133" t="str">
        <f>IF(Sync!$T1129="","",Sync!$T1129)</f>
        <v/>
      </c>
      <c r="B1133" t="str">
        <f t="shared" si="102"/>
        <v/>
      </c>
      <c r="C1133" t="str">
        <f t="shared" si="103"/>
        <v/>
      </c>
      <c r="D1133" t="str">
        <f t="shared" si="104"/>
        <v/>
      </c>
      <c r="E1133" t="str">
        <f t="shared" si="105"/>
        <v/>
      </c>
      <c r="F1133" t="str">
        <f t="shared" si="106"/>
        <v/>
      </c>
      <c r="G1133" t="str">
        <f>IF(OR($E1133="",$E1133="نامعتبر",Sync!$X1129=""),"",IF(AND(LEFT(UPPER(TRIM(Sync!$X1129)),2)="SL",IFERROR(VLOOKUP(Sync!$W1129,OpTbl,3,0),"")="فروش"),UPPER(TRIM(Sync!$X1129)),""))</f>
        <v/>
      </c>
      <c r="H1133" t="str">
        <f>IF($G1133="","",IF(Sync!$W1129="","",Sync!$W1129))</f>
        <v/>
      </c>
      <c r="I1133" t="str">
        <f>IF(OR($G1133="",Sync!$Y1129=""),"",Sync!$Y1129)</f>
        <v/>
      </c>
      <c r="J1133" t="str">
        <f>IF(OR($G1133="",Sync!$Z1129=""),"",Sync!$Z1129)</f>
        <v/>
      </c>
      <c r="K1133">
        <f>IF($G1133="",0,IF(Sync!$AA1129="",0,Sync!$AA1129))</f>
        <v>0</v>
      </c>
      <c r="L1133">
        <f>IF($G1133="",0,IF(Sync!$AB1129="",0,Sync!$AB1129))</f>
        <v>0</v>
      </c>
      <c r="M1133" t="str">
        <f t="shared" si="107"/>
        <v/>
      </c>
      <c r="N1133">
        <f>IF($G1133="",0,IF($H1133="مرجوعی فروش",-1,1)*IF(Sync!$AC1129="",0,Sync!$AC1129))</f>
        <v>0</v>
      </c>
      <c r="O1133" t="str">
        <f>IF(OR($G1133="",Sync!$V1129=""),"",Sync!$V1129)</f>
        <v/>
      </c>
      <c r="P1133" t="str">
        <f>IF(OR($G1133="",Sync!$AD1129=""),"",Sync!$AD1129)</f>
        <v/>
      </c>
      <c r="Q1133" t="str">
        <f>IF($G1133="","",IF(Sync!$U1129="","0000",IF(AND(ISNUMBER(Sync!$U1129),Sync!$U1129&gt;=0,Sync!$U1129&lt;1),RIGHT("00"&amp;HOUR(Sync!$U1129),2)&amp;RIGHT("00"&amp;MINUTE(Sync!$U1129),2),IFERROR(RIGHT("00"&amp;VALUE(LEFT(Sync!$U1129,FIND(":",Sync!$U1129)-1)),2)&amp;RIGHT("00"&amp;VALUE(MID(Sync!$U1129,FIND(":",Sync!$U1129)+1,2)),2),"0000"))))</f>
        <v/>
      </c>
    </row>
    <row r="1134" spans="1:17" x14ac:dyDescent="0.2">
      <c r="A1134" t="str">
        <f>IF(Sync!$T1130="","",Sync!$T1130)</f>
        <v/>
      </c>
      <c r="B1134" t="str">
        <f t="shared" si="102"/>
        <v/>
      </c>
      <c r="C1134" t="str">
        <f t="shared" si="103"/>
        <v/>
      </c>
      <c r="D1134" t="str">
        <f t="shared" si="104"/>
        <v/>
      </c>
      <c r="E1134" t="str">
        <f t="shared" si="105"/>
        <v/>
      </c>
      <c r="F1134" t="str">
        <f t="shared" si="106"/>
        <v/>
      </c>
      <c r="G1134" t="str">
        <f>IF(OR($E1134="",$E1134="نامعتبر",Sync!$X1130=""),"",IF(AND(LEFT(UPPER(TRIM(Sync!$X1130)),2)="SL",IFERROR(VLOOKUP(Sync!$W1130,OpTbl,3,0),"")="فروش"),UPPER(TRIM(Sync!$X1130)),""))</f>
        <v/>
      </c>
      <c r="H1134" t="str">
        <f>IF($G1134="","",IF(Sync!$W1130="","",Sync!$W1130))</f>
        <v/>
      </c>
      <c r="I1134" t="str">
        <f>IF(OR($G1134="",Sync!$Y1130=""),"",Sync!$Y1130)</f>
        <v/>
      </c>
      <c r="J1134" t="str">
        <f>IF(OR($G1134="",Sync!$Z1130=""),"",Sync!$Z1130)</f>
        <v/>
      </c>
      <c r="K1134">
        <f>IF($G1134="",0,IF(Sync!$AA1130="",0,Sync!$AA1130))</f>
        <v>0</v>
      </c>
      <c r="L1134">
        <f>IF($G1134="",0,IF(Sync!$AB1130="",0,Sync!$AB1130))</f>
        <v>0</v>
      </c>
      <c r="M1134" t="str">
        <f t="shared" si="107"/>
        <v/>
      </c>
      <c r="N1134">
        <f>IF($G1134="",0,IF($H1134="مرجوعی فروش",-1,1)*IF(Sync!$AC1130="",0,Sync!$AC1130))</f>
        <v>0</v>
      </c>
      <c r="O1134" t="str">
        <f>IF(OR($G1134="",Sync!$V1130=""),"",Sync!$V1130)</f>
        <v/>
      </c>
      <c r="P1134" t="str">
        <f>IF(OR($G1134="",Sync!$AD1130=""),"",Sync!$AD1130)</f>
        <v/>
      </c>
      <c r="Q1134" t="str">
        <f>IF($G1134="","",IF(Sync!$U1130="","0000",IF(AND(ISNUMBER(Sync!$U1130),Sync!$U1130&gt;=0,Sync!$U1130&lt;1),RIGHT("00"&amp;HOUR(Sync!$U1130),2)&amp;RIGHT("00"&amp;MINUTE(Sync!$U1130),2),IFERROR(RIGHT("00"&amp;VALUE(LEFT(Sync!$U1130,FIND(":",Sync!$U1130)-1)),2)&amp;RIGHT("00"&amp;VALUE(MID(Sync!$U1130,FIND(":",Sync!$U1130)+1,2)),2),"0000"))))</f>
        <v/>
      </c>
    </row>
    <row r="1135" spans="1:17" x14ac:dyDescent="0.2">
      <c r="A1135" t="str">
        <f>IF(Sync!$T1131="","",Sync!$T1131)</f>
        <v/>
      </c>
      <c r="B1135" t="str">
        <f t="shared" si="102"/>
        <v/>
      </c>
      <c r="C1135" t="str">
        <f t="shared" si="103"/>
        <v/>
      </c>
      <c r="D1135" t="str">
        <f t="shared" si="104"/>
        <v/>
      </c>
      <c r="E1135" t="str">
        <f t="shared" si="105"/>
        <v/>
      </c>
      <c r="F1135" t="str">
        <f t="shared" si="106"/>
        <v/>
      </c>
      <c r="G1135" t="str">
        <f>IF(OR($E1135="",$E1135="نامعتبر",Sync!$X1131=""),"",IF(AND(LEFT(UPPER(TRIM(Sync!$X1131)),2)="SL",IFERROR(VLOOKUP(Sync!$W1131,OpTbl,3,0),"")="فروش"),UPPER(TRIM(Sync!$X1131)),""))</f>
        <v/>
      </c>
      <c r="H1135" t="str">
        <f>IF($G1135="","",IF(Sync!$W1131="","",Sync!$W1131))</f>
        <v/>
      </c>
      <c r="I1135" t="str">
        <f>IF(OR($G1135="",Sync!$Y1131=""),"",Sync!$Y1131)</f>
        <v/>
      </c>
      <c r="J1135" t="str">
        <f>IF(OR($G1135="",Sync!$Z1131=""),"",Sync!$Z1131)</f>
        <v/>
      </c>
      <c r="K1135">
        <f>IF($G1135="",0,IF(Sync!$AA1131="",0,Sync!$AA1131))</f>
        <v>0</v>
      </c>
      <c r="L1135">
        <f>IF($G1135="",0,IF(Sync!$AB1131="",0,Sync!$AB1131))</f>
        <v>0</v>
      </c>
      <c r="M1135" t="str">
        <f t="shared" si="107"/>
        <v/>
      </c>
      <c r="N1135">
        <f>IF($G1135="",0,IF($H1135="مرجوعی فروش",-1,1)*IF(Sync!$AC1131="",0,Sync!$AC1131))</f>
        <v>0</v>
      </c>
      <c r="O1135" t="str">
        <f>IF(OR($G1135="",Sync!$V1131=""),"",Sync!$V1131)</f>
        <v/>
      </c>
      <c r="P1135" t="str">
        <f>IF(OR($G1135="",Sync!$AD1131=""),"",Sync!$AD1131)</f>
        <v/>
      </c>
      <c r="Q1135" t="str">
        <f>IF($G1135="","",IF(Sync!$U1131="","0000",IF(AND(ISNUMBER(Sync!$U1131),Sync!$U1131&gt;=0,Sync!$U1131&lt;1),RIGHT("00"&amp;HOUR(Sync!$U1131),2)&amp;RIGHT("00"&amp;MINUTE(Sync!$U1131),2),IFERROR(RIGHT("00"&amp;VALUE(LEFT(Sync!$U1131,FIND(":",Sync!$U1131)-1)),2)&amp;RIGHT("00"&amp;VALUE(MID(Sync!$U1131,FIND(":",Sync!$U1131)+1,2)),2),"0000"))))</f>
        <v/>
      </c>
    </row>
    <row r="1136" spans="1:17" x14ac:dyDescent="0.2">
      <c r="A1136" t="str">
        <f>IF(Sync!$T1132="","",Sync!$T1132)</f>
        <v/>
      </c>
      <c r="B1136" t="str">
        <f t="shared" si="102"/>
        <v/>
      </c>
      <c r="C1136" t="str">
        <f t="shared" si="103"/>
        <v/>
      </c>
      <c r="D1136" t="str">
        <f t="shared" si="104"/>
        <v/>
      </c>
      <c r="E1136" t="str">
        <f t="shared" si="105"/>
        <v/>
      </c>
      <c r="F1136" t="str">
        <f t="shared" si="106"/>
        <v/>
      </c>
      <c r="G1136" t="str">
        <f>IF(OR($E1136="",$E1136="نامعتبر",Sync!$X1132=""),"",IF(AND(LEFT(UPPER(TRIM(Sync!$X1132)),2)="SL",IFERROR(VLOOKUP(Sync!$W1132,OpTbl,3,0),"")="فروش"),UPPER(TRIM(Sync!$X1132)),""))</f>
        <v/>
      </c>
      <c r="H1136" t="str">
        <f>IF($G1136="","",IF(Sync!$W1132="","",Sync!$W1132))</f>
        <v/>
      </c>
      <c r="I1136" t="str">
        <f>IF(OR($G1136="",Sync!$Y1132=""),"",Sync!$Y1132)</f>
        <v/>
      </c>
      <c r="J1136" t="str">
        <f>IF(OR($G1136="",Sync!$Z1132=""),"",Sync!$Z1132)</f>
        <v/>
      </c>
      <c r="K1136">
        <f>IF($G1136="",0,IF(Sync!$AA1132="",0,Sync!$AA1132))</f>
        <v>0</v>
      </c>
      <c r="L1136">
        <f>IF($G1136="",0,IF(Sync!$AB1132="",0,Sync!$AB1132))</f>
        <v>0</v>
      </c>
      <c r="M1136" t="str">
        <f t="shared" si="107"/>
        <v/>
      </c>
      <c r="N1136">
        <f>IF($G1136="",0,IF($H1136="مرجوعی فروش",-1,1)*IF(Sync!$AC1132="",0,Sync!$AC1132))</f>
        <v>0</v>
      </c>
      <c r="O1136" t="str">
        <f>IF(OR($G1136="",Sync!$V1132=""),"",Sync!$V1132)</f>
        <v/>
      </c>
      <c r="P1136" t="str">
        <f>IF(OR($G1136="",Sync!$AD1132=""),"",Sync!$AD1132)</f>
        <v/>
      </c>
      <c r="Q1136" t="str">
        <f>IF($G1136="","",IF(Sync!$U1132="","0000",IF(AND(ISNUMBER(Sync!$U1132),Sync!$U1132&gt;=0,Sync!$U1132&lt;1),RIGHT("00"&amp;HOUR(Sync!$U1132),2)&amp;RIGHT("00"&amp;MINUTE(Sync!$U1132),2),IFERROR(RIGHT("00"&amp;VALUE(LEFT(Sync!$U1132,FIND(":",Sync!$U1132)-1)),2)&amp;RIGHT("00"&amp;VALUE(MID(Sync!$U1132,FIND(":",Sync!$U1132)+1,2)),2),"0000"))))</f>
        <v/>
      </c>
    </row>
    <row r="1137" spans="1:17" x14ac:dyDescent="0.2">
      <c r="A1137" t="str">
        <f>IF(Sync!$T1133="","",Sync!$T1133)</f>
        <v/>
      </c>
      <c r="B1137" t="str">
        <f t="shared" si="102"/>
        <v/>
      </c>
      <c r="C1137" t="str">
        <f t="shared" si="103"/>
        <v/>
      </c>
      <c r="D1137" t="str">
        <f t="shared" si="104"/>
        <v/>
      </c>
      <c r="E1137" t="str">
        <f t="shared" si="105"/>
        <v/>
      </c>
      <c r="F1137" t="str">
        <f t="shared" si="106"/>
        <v/>
      </c>
      <c r="G1137" t="str">
        <f>IF(OR($E1137="",$E1137="نامعتبر",Sync!$X1133=""),"",IF(AND(LEFT(UPPER(TRIM(Sync!$X1133)),2)="SL",IFERROR(VLOOKUP(Sync!$W1133,OpTbl,3,0),"")="فروش"),UPPER(TRIM(Sync!$X1133)),""))</f>
        <v/>
      </c>
      <c r="H1137" t="str">
        <f>IF($G1137="","",IF(Sync!$W1133="","",Sync!$W1133))</f>
        <v/>
      </c>
      <c r="I1137" t="str">
        <f>IF(OR($G1137="",Sync!$Y1133=""),"",Sync!$Y1133)</f>
        <v/>
      </c>
      <c r="J1137" t="str">
        <f>IF(OR($G1137="",Sync!$Z1133=""),"",Sync!$Z1133)</f>
        <v/>
      </c>
      <c r="K1137">
        <f>IF($G1137="",0,IF(Sync!$AA1133="",0,Sync!$AA1133))</f>
        <v>0</v>
      </c>
      <c r="L1137">
        <f>IF($G1137="",0,IF(Sync!$AB1133="",0,Sync!$AB1133))</f>
        <v>0</v>
      </c>
      <c r="M1137" t="str">
        <f t="shared" si="107"/>
        <v/>
      </c>
      <c r="N1137">
        <f>IF($G1137="",0,IF($H1137="مرجوعی فروش",-1,1)*IF(Sync!$AC1133="",0,Sync!$AC1133))</f>
        <v>0</v>
      </c>
      <c r="O1137" t="str">
        <f>IF(OR($G1137="",Sync!$V1133=""),"",Sync!$V1133)</f>
        <v/>
      </c>
      <c r="P1137" t="str">
        <f>IF(OR($G1137="",Sync!$AD1133=""),"",Sync!$AD1133)</f>
        <v/>
      </c>
      <c r="Q1137" t="str">
        <f>IF($G1137="","",IF(Sync!$U1133="","0000",IF(AND(ISNUMBER(Sync!$U1133),Sync!$U1133&gt;=0,Sync!$U1133&lt;1),RIGHT("00"&amp;HOUR(Sync!$U1133),2)&amp;RIGHT("00"&amp;MINUTE(Sync!$U1133),2),IFERROR(RIGHT("00"&amp;VALUE(LEFT(Sync!$U1133,FIND(":",Sync!$U1133)-1)),2)&amp;RIGHT("00"&amp;VALUE(MID(Sync!$U1133,FIND(":",Sync!$U1133)+1,2)),2),"0000"))))</f>
        <v/>
      </c>
    </row>
    <row r="1138" spans="1:17" x14ac:dyDescent="0.2">
      <c r="A1138" t="str">
        <f>IF(Sync!$T1134="","",Sync!$T1134)</f>
        <v/>
      </c>
      <c r="B1138" t="str">
        <f t="shared" si="102"/>
        <v/>
      </c>
      <c r="C1138" t="str">
        <f t="shared" si="103"/>
        <v/>
      </c>
      <c r="D1138" t="str">
        <f t="shared" si="104"/>
        <v/>
      </c>
      <c r="E1138" t="str">
        <f t="shared" si="105"/>
        <v/>
      </c>
      <c r="F1138" t="str">
        <f t="shared" si="106"/>
        <v/>
      </c>
      <c r="G1138" t="str">
        <f>IF(OR($E1138="",$E1138="نامعتبر",Sync!$X1134=""),"",IF(AND(LEFT(UPPER(TRIM(Sync!$X1134)),2)="SL",IFERROR(VLOOKUP(Sync!$W1134,OpTbl,3,0),"")="فروش"),UPPER(TRIM(Sync!$X1134)),""))</f>
        <v/>
      </c>
      <c r="H1138" t="str">
        <f>IF($G1138="","",IF(Sync!$W1134="","",Sync!$W1134))</f>
        <v/>
      </c>
      <c r="I1138" t="str">
        <f>IF(OR($G1138="",Sync!$Y1134=""),"",Sync!$Y1134)</f>
        <v/>
      </c>
      <c r="J1138" t="str">
        <f>IF(OR($G1138="",Sync!$Z1134=""),"",Sync!$Z1134)</f>
        <v/>
      </c>
      <c r="K1138">
        <f>IF($G1138="",0,IF(Sync!$AA1134="",0,Sync!$AA1134))</f>
        <v>0</v>
      </c>
      <c r="L1138">
        <f>IF($G1138="",0,IF(Sync!$AB1134="",0,Sync!$AB1134))</f>
        <v>0</v>
      </c>
      <c r="M1138" t="str">
        <f t="shared" si="107"/>
        <v/>
      </c>
      <c r="N1138">
        <f>IF($G1138="",0,IF($H1138="مرجوعی فروش",-1,1)*IF(Sync!$AC1134="",0,Sync!$AC1134))</f>
        <v>0</v>
      </c>
      <c r="O1138" t="str">
        <f>IF(OR($G1138="",Sync!$V1134=""),"",Sync!$V1134)</f>
        <v/>
      </c>
      <c r="P1138" t="str">
        <f>IF(OR($G1138="",Sync!$AD1134=""),"",Sync!$AD1134)</f>
        <v/>
      </c>
      <c r="Q1138" t="str">
        <f>IF($G1138="","",IF(Sync!$U1134="","0000",IF(AND(ISNUMBER(Sync!$U1134),Sync!$U1134&gt;=0,Sync!$U1134&lt;1),RIGHT("00"&amp;HOUR(Sync!$U1134),2)&amp;RIGHT("00"&amp;MINUTE(Sync!$U1134),2),IFERROR(RIGHT("00"&amp;VALUE(LEFT(Sync!$U1134,FIND(":",Sync!$U1134)-1)),2)&amp;RIGHT("00"&amp;VALUE(MID(Sync!$U1134,FIND(":",Sync!$U1134)+1,2)),2),"0000"))))</f>
        <v/>
      </c>
    </row>
    <row r="1139" spans="1:17" x14ac:dyDescent="0.2">
      <c r="A1139" t="str">
        <f>IF(Sync!$T1135="","",Sync!$T1135)</f>
        <v/>
      </c>
      <c r="B1139" t="str">
        <f t="shared" si="102"/>
        <v/>
      </c>
      <c r="C1139" t="str">
        <f t="shared" si="103"/>
        <v/>
      </c>
      <c r="D1139" t="str">
        <f t="shared" si="104"/>
        <v/>
      </c>
      <c r="E1139" t="str">
        <f t="shared" si="105"/>
        <v/>
      </c>
      <c r="F1139" t="str">
        <f t="shared" si="106"/>
        <v/>
      </c>
      <c r="G1139" t="str">
        <f>IF(OR($E1139="",$E1139="نامعتبر",Sync!$X1135=""),"",IF(AND(LEFT(UPPER(TRIM(Sync!$X1135)),2)="SL",IFERROR(VLOOKUP(Sync!$W1135,OpTbl,3,0),"")="فروش"),UPPER(TRIM(Sync!$X1135)),""))</f>
        <v/>
      </c>
      <c r="H1139" t="str">
        <f>IF($G1139="","",IF(Sync!$W1135="","",Sync!$W1135))</f>
        <v/>
      </c>
      <c r="I1139" t="str">
        <f>IF(OR($G1139="",Sync!$Y1135=""),"",Sync!$Y1135)</f>
        <v/>
      </c>
      <c r="J1139" t="str">
        <f>IF(OR($G1139="",Sync!$Z1135=""),"",Sync!$Z1135)</f>
        <v/>
      </c>
      <c r="K1139">
        <f>IF($G1139="",0,IF(Sync!$AA1135="",0,Sync!$AA1135))</f>
        <v>0</v>
      </c>
      <c r="L1139">
        <f>IF($G1139="",0,IF(Sync!$AB1135="",0,Sync!$AB1135))</f>
        <v>0</v>
      </c>
      <c r="M1139" t="str">
        <f t="shared" si="107"/>
        <v/>
      </c>
      <c r="N1139">
        <f>IF($G1139="",0,IF($H1139="مرجوعی فروش",-1,1)*IF(Sync!$AC1135="",0,Sync!$AC1135))</f>
        <v>0</v>
      </c>
      <c r="O1139" t="str">
        <f>IF(OR($G1139="",Sync!$V1135=""),"",Sync!$V1135)</f>
        <v/>
      </c>
      <c r="P1139" t="str">
        <f>IF(OR($G1139="",Sync!$AD1135=""),"",Sync!$AD1135)</f>
        <v/>
      </c>
      <c r="Q1139" t="str">
        <f>IF($G1139="","",IF(Sync!$U1135="","0000",IF(AND(ISNUMBER(Sync!$U1135),Sync!$U1135&gt;=0,Sync!$U1135&lt;1),RIGHT("00"&amp;HOUR(Sync!$U1135),2)&amp;RIGHT("00"&amp;MINUTE(Sync!$U1135),2),IFERROR(RIGHT("00"&amp;VALUE(LEFT(Sync!$U1135,FIND(":",Sync!$U1135)-1)),2)&amp;RIGHT("00"&amp;VALUE(MID(Sync!$U1135,FIND(":",Sync!$U1135)+1,2)),2),"0000"))))</f>
        <v/>
      </c>
    </row>
    <row r="1140" spans="1:17" x14ac:dyDescent="0.2">
      <c r="A1140" t="str">
        <f>IF(Sync!$T1136="","",Sync!$T1136)</f>
        <v/>
      </c>
      <c r="B1140" t="str">
        <f t="shared" si="102"/>
        <v/>
      </c>
      <c r="C1140" t="str">
        <f t="shared" si="103"/>
        <v/>
      </c>
      <c r="D1140" t="str">
        <f t="shared" si="104"/>
        <v/>
      </c>
      <c r="E1140" t="str">
        <f t="shared" si="105"/>
        <v/>
      </c>
      <c r="F1140" t="str">
        <f t="shared" si="106"/>
        <v/>
      </c>
      <c r="G1140" t="str">
        <f>IF(OR($E1140="",$E1140="نامعتبر",Sync!$X1136=""),"",IF(AND(LEFT(UPPER(TRIM(Sync!$X1136)),2)="SL",IFERROR(VLOOKUP(Sync!$W1136,OpTbl,3,0),"")="فروش"),UPPER(TRIM(Sync!$X1136)),""))</f>
        <v/>
      </c>
      <c r="H1140" t="str">
        <f>IF($G1140="","",IF(Sync!$W1136="","",Sync!$W1136))</f>
        <v/>
      </c>
      <c r="I1140" t="str">
        <f>IF(OR($G1140="",Sync!$Y1136=""),"",Sync!$Y1136)</f>
        <v/>
      </c>
      <c r="J1140" t="str">
        <f>IF(OR($G1140="",Sync!$Z1136=""),"",Sync!$Z1136)</f>
        <v/>
      </c>
      <c r="K1140">
        <f>IF($G1140="",0,IF(Sync!$AA1136="",0,Sync!$AA1136))</f>
        <v>0</v>
      </c>
      <c r="L1140">
        <f>IF($G1140="",0,IF(Sync!$AB1136="",0,Sync!$AB1136))</f>
        <v>0</v>
      </c>
      <c r="M1140" t="str">
        <f t="shared" si="107"/>
        <v/>
      </c>
      <c r="N1140">
        <f>IF($G1140="",0,IF($H1140="مرجوعی فروش",-1,1)*IF(Sync!$AC1136="",0,Sync!$AC1136))</f>
        <v>0</v>
      </c>
      <c r="O1140" t="str">
        <f>IF(OR($G1140="",Sync!$V1136=""),"",Sync!$V1136)</f>
        <v/>
      </c>
      <c r="P1140" t="str">
        <f>IF(OR($G1140="",Sync!$AD1136=""),"",Sync!$AD1136)</f>
        <v/>
      </c>
      <c r="Q1140" t="str">
        <f>IF($G1140="","",IF(Sync!$U1136="","0000",IF(AND(ISNUMBER(Sync!$U1136),Sync!$U1136&gt;=0,Sync!$U1136&lt;1),RIGHT("00"&amp;HOUR(Sync!$U1136),2)&amp;RIGHT("00"&amp;MINUTE(Sync!$U1136),2),IFERROR(RIGHT("00"&amp;VALUE(LEFT(Sync!$U1136,FIND(":",Sync!$U1136)-1)),2)&amp;RIGHT("00"&amp;VALUE(MID(Sync!$U1136,FIND(":",Sync!$U1136)+1,2)),2),"0000"))))</f>
        <v/>
      </c>
    </row>
    <row r="1141" spans="1:17" x14ac:dyDescent="0.2">
      <c r="A1141" t="str">
        <f>IF(Sync!$T1137="","",Sync!$T1137)</f>
        <v/>
      </c>
      <c r="B1141" t="str">
        <f t="shared" si="102"/>
        <v/>
      </c>
      <c r="C1141" t="str">
        <f t="shared" si="103"/>
        <v/>
      </c>
      <c r="D1141" t="str">
        <f t="shared" si="104"/>
        <v/>
      </c>
      <c r="E1141" t="str">
        <f t="shared" si="105"/>
        <v/>
      </c>
      <c r="F1141" t="str">
        <f t="shared" si="106"/>
        <v/>
      </c>
      <c r="G1141" t="str">
        <f>IF(OR($E1141="",$E1141="نامعتبر",Sync!$X1137=""),"",IF(AND(LEFT(UPPER(TRIM(Sync!$X1137)),2)="SL",IFERROR(VLOOKUP(Sync!$W1137,OpTbl,3,0),"")="فروش"),UPPER(TRIM(Sync!$X1137)),""))</f>
        <v/>
      </c>
      <c r="H1141" t="str">
        <f>IF($G1141="","",IF(Sync!$W1137="","",Sync!$W1137))</f>
        <v/>
      </c>
      <c r="I1141" t="str">
        <f>IF(OR($G1141="",Sync!$Y1137=""),"",Sync!$Y1137)</f>
        <v/>
      </c>
      <c r="J1141" t="str">
        <f>IF(OR($G1141="",Sync!$Z1137=""),"",Sync!$Z1137)</f>
        <v/>
      </c>
      <c r="K1141">
        <f>IF($G1141="",0,IF(Sync!$AA1137="",0,Sync!$AA1137))</f>
        <v>0</v>
      </c>
      <c r="L1141">
        <f>IF($G1141="",0,IF(Sync!$AB1137="",0,Sync!$AB1137))</f>
        <v>0</v>
      </c>
      <c r="M1141" t="str">
        <f t="shared" si="107"/>
        <v/>
      </c>
      <c r="N1141">
        <f>IF($G1141="",0,IF($H1141="مرجوعی فروش",-1,1)*IF(Sync!$AC1137="",0,Sync!$AC1137))</f>
        <v>0</v>
      </c>
      <c r="O1141" t="str">
        <f>IF(OR($G1141="",Sync!$V1137=""),"",Sync!$V1137)</f>
        <v/>
      </c>
      <c r="P1141" t="str">
        <f>IF(OR($G1141="",Sync!$AD1137=""),"",Sync!$AD1137)</f>
        <v/>
      </c>
      <c r="Q1141" t="str">
        <f>IF($G1141="","",IF(Sync!$U1137="","0000",IF(AND(ISNUMBER(Sync!$U1137),Sync!$U1137&gt;=0,Sync!$U1137&lt;1),RIGHT("00"&amp;HOUR(Sync!$U1137),2)&amp;RIGHT("00"&amp;MINUTE(Sync!$U1137),2),IFERROR(RIGHT("00"&amp;VALUE(LEFT(Sync!$U1137,FIND(":",Sync!$U1137)-1)),2)&amp;RIGHT("00"&amp;VALUE(MID(Sync!$U1137,FIND(":",Sync!$U1137)+1,2)),2),"0000"))))</f>
        <v/>
      </c>
    </row>
    <row r="1142" spans="1:17" x14ac:dyDescent="0.2">
      <c r="A1142" t="str">
        <f>IF(Sync!$T1138="","",Sync!$T1138)</f>
        <v/>
      </c>
      <c r="B1142" t="str">
        <f t="shared" si="102"/>
        <v/>
      </c>
      <c r="C1142" t="str">
        <f t="shared" si="103"/>
        <v/>
      </c>
      <c r="D1142" t="str">
        <f t="shared" si="104"/>
        <v/>
      </c>
      <c r="E1142" t="str">
        <f t="shared" si="105"/>
        <v/>
      </c>
      <c r="F1142" t="str">
        <f t="shared" si="106"/>
        <v/>
      </c>
      <c r="G1142" t="str">
        <f>IF(OR($E1142="",$E1142="نامعتبر",Sync!$X1138=""),"",IF(AND(LEFT(UPPER(TRIM(Sync!$X1138)),2)="SL",IFERROR(VLOOKUP(Sync!$W1138,OpTbl,3,0),"")="فروش"),UPPER(TRIM(Sync!$X1138)),""))</f>
        <v/>
      </c>
      <c r="H1142" t="str">
        <f>IF($G1142="","",IF(Sync!$W1138="","",Sync!$W1138))</f>
        <v/>
      </c>
      <c r="I1142" t="str">
        <f>IF(OR($G1142="",Sync!$Y1138=""),"",Sync!$Y1138)</f>
        <v/>
      </c>
      <c r="J1142" t="str">
        <f>IF(OR($G1142="",Sync!$Z1138=""),"",Sync!$Z1138)</f>
        <v/>
      </c>
      <c r="K1142">
        <f>IF($G1142="",0,IF(Sync!$AA1138="",0,Sync!$AA1138))</f>
        <v>0</v>
      </c>
      <c r="L1142">
        <f>IF($G1142="",0,IF(Sync!$AB1138="",0,Sync!$AB1138))</f>
        <v>0</v>
      </c>
      <c r="M1142" t="str">
        <f t="shared" si="107"/>
        <v/>
      </c>
      <c r="N1142">
        <f>IF($G1142="",0,IF($H1142="مرجوعی فروش",-1,1)*IF(Sync!$AC1138="",0,Sync!$AC1138))</f>
        <v>0</v>
      </c>
      <c r="O1142" t="str">
        <f>IF(OR($G1142="",Sync!$V1138=""),"",Sync!$V1138)</f>
        <v/>
      </c>
      <c r="P1142" t="str">
        <f>IF(OR($G1142="",Sync!$AD1138=""),"",Sync!$AD1138)</f>
        <v/>
      </c>
      <c r="Q1142" t="str">
        <f>IF($G1142="","",IF(Sync!$U1138="","0000",IF(AND(ISNUMBER(Sync!$U1138),Sync!$U1138&gt;=0,Sync!$U1138&lt;1),RIGHT("00"&amp;HOUR(Sync!$U1138),2)&amp;RIGHT("00"&amp;MINUTE(Sync!$U1138),2),IFERROR(RIGHT("00"&amp;VALUE(LEFT(Sync!$U1138,FIND(":",Sync!$U1138)-1)),2)&amp;RIGHT("00"&amp;VALUE(MID(Sync!$U1138,FIND(":",Sync!$U1138)+1,2)),2),"0000"))))</f>
        <v/>
      </c>
    </row>
    <row r="1143" spans="1:17" x14ac:dyDescent="0.2">
      <c r="A1143" t="str">
        <f>IF(Sync!$T1139="","",Sync!$T1139)</f>
        <v/>
      </c>
      <c r="B1143" t="str">
        <f t="shared" si="102"/>
        <v/>
      </c>
      <c r="C1143" t="str">
        <f t="shared" si="103"/>
        <v/>
      </c>
      <c r="D1143" t="str">
        <f t="shared" si="104"/>
        <v/>
      </c>
      <c r="E1143" t="str">
        <f t="shared" si="105"/>
        <v/>
      </c>
      <c r="F1143" t="str">
        <f t="shared" si="106"/>
        <v/>
      </c>
      <c r="G1143" t="str">
        <f>IF(OR($E1143="",$E1143="نامعتبر",Sync!$X1139=""),"",IF(AND(LEFT(UPPER(TRIM(Sync!$X1139)),2)="SL",IFERROR(VLOOKUP(Sync!$W1139,OpTbl,3,0),"")="فروش"),UPPER(TRIM(Sync!$X1139)),""))</f>
        <v/>
      </c>
      <c r="H1143" t="str">
        <f>IF($G1143="","",IF(Sync!$W1139="","",Sync!$W1139))</f>
        <v/>
      </c>
      <c r="I1143" t="str">
        <f>IF(OR($G1143="",Sync!$Y1139=""),"",Sync!$Y1139)</f>
        <v/>
      </c>
      <c r="J1143" t="str">
        <f>IF(OR($G1143="",Sync!$Z1139=""),"",Sync!$Z1139)</f>
        <v/>
      </c>
      <c r="K1143">
        <f>IF($G1143="",0,IF(Sync!$AA1139="",0,Sync!$AA1139))</f>
        <v>0</v>
      </c>
      <c r="L1143">
        <f>IF($G1143="",0,IF(Sync!$AB1139="",0,Sync!$AB1139))</f>
        <v>0</v>
      </c>
      <c r="M1143" t="str">
        <f t="shared" si="107"/>
        <v/>
      </c>
      <c r="N1143">
        <f>IF($G1143="",0,IF($H1143="مرجوعی فروش",-1,1)*IF(Sync!$AC1139="",0,Sync!$AC1139))</f>
        <v>0</v>
      </c>
      <c r="O1143" t="str">
        <f>IF(OR($G1143="",Sync!$V1139=""),"",Sync!$V1139)</f>
        <v/>
      </c>
      <c r="P1143" t="str">
        <f>IF(OR($G1143="",Sync!$AD1139=""),"",Sync!$AD1139)</f>
        <v/>
      </c>
      <c r="Q1143" t="str">
        <f>IF($G1143="","",IF(Sync!$U1139="","0000",IF(AND(ISNUMBER(Sync!$U1139),Sync!$U1139&gt;=0,Sync!$U1139&lt;1),RIGHT("00"&amp;HOUR(Sync!$U1139),2)&amp;RIGHT("00"&amp;MINUTE(Sync!$U1139),2),IFERROR(RIGHT("00"&amp;VALUE(LEFT(Sync!$U1139,FIND(":",Sync!$U1139)-1)),2)&amp;RIGHT("00"&amp;VALUE(MID(Sync!$U1139,FIND(":",Sync!$U1139)+1,2)),2),"0000"))))</f>
        <v/>
      </c>
    </row>
    <row r="1144" spans="1:17" x14ac:dyDescent="0.2">
      <c r="A1144" t="str">
        <f>IF(Sync!$T1140="","",Sync!$T1140)</f>
        <v/>
      </c>
      <c r="B1144" t="str">
        <f t="shared" si="102"/>
        <v/>
      </c>
      <c r="C1144" t="str">
        <f t="shared" si="103"/>
        <v/>
      </c>
      <c r="D1144" t="str">
        <f t="shared" si="104"/>
        <v/>
      </c>
      <c r="E1144" t="str">
        <f t="shared" si="105"/>
        <v/>
      </c>
      <c r="F1144" t="str">
        <f t="shared" si="106"/>
        <v/>
      </c>
      <c r="G1144" t="str">
        <f>IF(OR($E1144="",$E1144="نامعتبر",Sync!$X1140=""),"",IF(AND(LEFT(UPPER(TRIM(Sync!$X1140)),2)="SL",IFERROR(VLOOKUP(Sync!$W1140,OpTbl,3,0),"")="فروش"),UPPER(TRIM(Sync!$X1140)),""))</f>
        <v/>
      </c>
      <c r="H1144" t="str">
        <f>IF($G1144="","",IF(Sync!$W1140="","",Sync!$W1140))</f>
        <v/>
      </c>
      <c r="I1144" t="str">
        <f>IF(OR($G1144="",Sync!$Y1140=""),"",Sync!$Y1140)</f>
        <v/>
      </c>
      <c r="J1144" t="str">
        <f>IF(OR($G1144="",Sync!$Z1140=""),"",Sync!$Z1140)</f>
        <v/>
      </c>
      <c r="K1144">
        <f>IF($G1144="",0,IF(Sync!$AA1140="",0,Sync!$AA1140))</f>
        <v>0</v>
      </c>
      <c r="L1144">
        <f>IF($G1144="",0,IF(Sync!$AB1140="",0,Sync!$AB1140))</f>
        <v>0</v>
      </c>
      <c r="M1144" t="str">
        <f t="shared" si="107"/>
        <v/>
      </c>
      <c r="N1144">
        <f>IF($G1144="",0,IF($H1144="مرجوعی فروش",-1,1)*IF(Sync!$AC1140="",0,Sync!$AC1140))</f>
        <v>0</v>
      </c>
      <c r="O1144" t="str">
        <f>IF(OR($G1144="",Sync!$V1140=""),"",Sync!$V1140)</f>
        <v/>
      </c>
      <c r="P1144" t="str">
        <f>IF(OR($G1144="",Sync!$AD1140=""),"",Sync!$AD1140)</f>
        <v/>
      </c>
      <c r="Q1144" t="str">
        <f>IF($G1144="","",IF(Sync!$U1140="","0000",IF(AND(ISNUMBER(Sync!$U1140),Sync!$U1140&gt;=0,Sync!$U1140&lt;1),RIGHT("00"&amp;HOUR(Sync!$U1140),2)&amp;RIGHT("00"&amp;MINUTE(Sync!$U1140),2),IFERROR(RIGHT("00"&amp;VALUE(LEFT(Sync!$U1140,FIND(":",Sync!$U1140)-1)),2)&amp;RIGHT("00"&amp;VALUE(MID(Sync!$U1140,FIND(":",Sync!$U1140)+1,2)),2),"0000"))))</f>
        <v/>
      </c>
    </row>
    <row r="1145" spans="1:17" x14ac:dyDescent="0.2">
      <c r="A1145" t="str">
        <f>IF(Sync!$T1141="","",Sync!$T1141)</f>
        <v/>
      </c>
      <c r="B1145" t="str">
        <f t="shared" si="102"/>
        <v/>
      </c>
      <c r="C1145" t="str">
        <f t="shared" si="103"/>
        <v/>
      </c>
      <c r="D1145" t="str">
        <f t="shared" si="104"/>
        <v/>
      </c>
      <c r="E1145" t="str">
        <f t="shared" si="105"/>
        <v/>
      </c>
      <c r="F1145" t="str">
        <f t="shared" si="106"/>
        <v/>
      </c>
      <c r="G1145" t="str">
        <f>IF(OR($E1145="",$E1145="نامعتبر",Sync!$X1141=""),"",IF(AND(LEFT(UPPER(TRIM(Sync!$X1141)),2)="SL",IFERROR(VLOOKUP(Sync!$W1141,OpTbl,3,0),"")="فروش"),UPPER(TRIM(Sync!$X1141)),""))</f>
        <v/>
      </c>
      <c r="H1145" t="str">
        <f>IF($G1145="","",IF(Sync!$W1141="","",Sync!$W1141))</f>
        <v/>
      </c>
      <c r="I1145" t="str">
        <f>IF(OR($G1145="",Sync!$Y1141=""),"",Sync!$Y1141)</f>
        <v/>
      </c>
      <c r="J1145" t="str">
        <f>IF(OR($G1145="",Sync!$Z1141=""),"",Sync!$Z1141)</f>
        <v/>
      </c>
      <c r="K1145">
        <f>IF($G1145="",0,IF(Sync!$AA1141="",0,Sync!$AA1141))</f>
        <v>0</v>
      </c>
      <c r="L1145">
        <f>IF($G1145="",0,IF(Sync!$AB1141="",0,Sync!$AB1141))</f>
        <v>0</v>
      </c>
      <c r="M1145" t="str">
        <f t="shared" si="107"/>
        <v/>
      </c>
      <c r="N1145">
        <f>IF($G1145="",0,IF($H1145="مرجوعی فروش",-1,1)*IF(Sync!$AC1141="",0,Sync!$AC1141))</f>
        <v>0</v>
      </c>
      <c r="O1145" t="str">
        <f>IF(OR($G1145="",Sync!$V1141=""),"",Sync!$V1141)</f>
        <v/>
      </c>
      <c r="P1145" t="str">
        <f>IF(OR($G1145="",Sync!$AD1141=""),"",Sync!$AD1141)</f>
        <v/>
      </c>
      <c r="Q1145" t="str">
        <f>IF($G1145="","",IF(Sync!$U1141="","0000",IF(AND(ISNUMBER(Sync!$U1141),Sync!$U1141&gt;=0,Sync!$U1141&lt;1),RIGHT("00"&amp;HOUR(Sync!$U1141),2)&amp;RIGHT("00"&amp;MINUTE(Sync!$U1141),2),IFERROR(RIGHT("00"&amp;VALUE(LEFT(Sync!$U1141,FIND(":",Sync!$U1141)-1)),2)&amp;RIGHT("00"&amp;VALUE(MID(Sync!$U1141,FIND(":",Sync!$U1141)+1,2)),2),"0000"))))</f>
        <v/>
      </c>
    </row>
    <row r="1146" spans="1:17" x14ac:dyDescent="0.2">
      <c r="A1146" t="str">
        <f>IF(Sync!$T1142="","",Sync!$T1142)</f>
        <v/>
      </c>
      <c r="B1146" t="str">
        <f t="shared" si="102"/>
        <v/>
      </c>
      <c r="C1146" t="str">
        <f t="shared" si="103"/>
        <v/>
      </c>
      <c r="D1146" t="str">
        <f t="shared" si="104"/>
        <v/>
      </c>
      <c r="E1146" t="str">
        <f t="shared" si="105"/>
        <v/>
      </c>
      <c r="F1146" t="str">
        <f t="shared" si="106"/>
        <v/>
      </c>
      <c r="G1146" t="str">
        <f>IF(OR($E1146="",$E1146="نامعتبر",Sync!$X1142=""),"",IF(AND(LEFT(UPPER(TRIM(Sync!$X1142)),2)="SL",IFERROR(VLOOKUP(Sync!$W1142,OpTbl,3,0),"")="فروش"),UPPER(TRIM(Sync!$X1142)),""))</f>
        <v/>
      </c>
      <c r="H1146" t="str">
        <f>IF($G1146="","",IF(Sync!$W1142="","",Sync!$W1142))</f>
        <v/>
      </c>
      <c r="I1146" t="str">
        <f>IF(OR($G1146="",Sync!$Y1142=""),"",Sync!$Y1142)</f>
        <v/>
      </c>
      <c r="J1146" t="str">
        <f>IF(OR($G1146="",Sync!$Z1142=""),"",Sync!$Z1142)</f>
        <v/>
      </c>
      <c r="K1146">
        <f>IF($G1146="",0,IF(Sync!$AA1142="",0,Sync!$AA1142))</f>
        <v>0</v>
      </c>
      <c r="L1146">
        <f>IF($G1146="",0,IF(Sync!$AB1142="",0,Sync!$AB1142))</f>
        <v>0</v>
      </c>
      <c r="M1146" t="str">
        <f t="shared" si="107"/>
        <v/>
      </c>
      <c r="N1146">
        <f>IF($G1146="",0,IF($H1146="مرجوعی فروش",-1,1)*IF(Sync!$AC1142="",0,Sync!$AC1142))</f>
        <v>0</v>
      </c>
      <c r="O1146" t="str">
        <f>IF(OR($G1146="",Sync!$V1142=""),"",Sync!$V1142)</f>
        <v/>
      </c>
      <c r="P1146" t="str">
        <f>IF(OR($G1146="",Sync!$AD1142=""),"",Sync!$AD1142)</f>
        <v/>
      </c>
      <c r="Q1146" t="str">
        <f>IF($G1146="","",IF(Sync!$U1142="","0000",IF(AND(ISNUMBER(Sync!$U1142),Sync!$U1142&gt;=0,Sync!$U1142&lt;1),RIGHT("00"&amp;HOUR(Sync!$U1142),2)&amp;RIGHT("00"&amp;MINUTE(Sync!$U1142),2),IFERROR(RIGHT("00"&amp;VALUE(LEFT(Sync!$U1142,FIND(":",Sync!$U1142)-1)),2)&amp;RIGHT("00"&amp;VALUE(MID(Sync!$U1142,FIND(":",Sync!$U1142)+1,2)),2),"0000"))))</f>
        <v/>
      </c>
    </row>
    <row r="1147" spans="1:17" x14ac:dyDescent="0.2">
      <c r="A1147" t="str">
        <f>IF(Sync!$T1143="","",Sync!$T1143)</f>
        <v/>
      </c>
      <c r="B1147" t="str">
        <f t="shared" si="102"/>
        <v/>
      </c>
      <c r="C1147" t="str">
        <f t="shared" si="103"/>
        <v/>
      </c>
      <c r="D1147" t="str">
        <f t="shared" si="104"/>
        <v/>
      </c>
      <c r="E1147" t="str">
        <f t="shared" si="105"/>
        <v/>
      </c>
      <c r="F1147" t="str">
        <f t="shared" si="106"/>
        <v/>
      </c>
      <c r="G1147" t="str">
        <f>IF(OR($E1147="",$E1147="نامعتبر",Sync!$X1143=""),"",IF(AND(LEFT(UPPER(TRIM(Sync!$X1143)),2)="SL",IFERROR(VLOOKUP(Sync!$W1143,OpTbl,3,0),"")="فروش"),UPPER(TRIM(Sync!$X1143)),""))</f>
        <v/>
      </c>
      <c r="H1147" t="str">
        <f>IF($G1147="","",IF(Sync!$W1143="","",Sync!$W1143))</f>
        <v/>
      </c>
      <c r="I1147" t="str">
        <f>IF(OR($G1147="",Sync!$Y1143=""),"",Sync!$Y1143)</f>
        <v/>
      </c>
      <c r="J1147" t="str">
        <f>IF(OR($G1147="",Sync!$Z1143=""),"",Sync!$Z1143)</f>
        <v/>
      </c>
      <c r="K1147">
        <f>IF($G1147="",0,IF(Sync!$AA1143="",0,Sync!$AA1143))</f>
        <v>0</v>
      </c>
      <c r="L1147">
        <f>IF($G1147="",0,IF(Sync!$AB1143="",0,Sync!$AB1143))</f>
        <v>0</v>
      </c>
      <c r="M1147" t="str">
        <f t="shared" si="107"/>
        <v/>
      </c>
      <c r="N1147">
        <f>IF($G1147="",0,IF($H1147="مرجوعی فروش",-1,1)*IF(Sync!$AC1143="",0,Sync!$AC1143))</f>
        <v>0</v>
      </c>
      <c r="O1147" t="str">
        <f>IF(OR($G1147="",Sync!$V1143=""),"",Sync!$V1143)</f>
        <v/>
      </c>
      <c r="P1147" t="str">
        <f>IF(OR($G1147="",Sync!$AD1143=""),"",Sync!$AD1143)</f>
        <v/>
      </c>
      <c r="Q1147" t="str">
        <f>IF($G1147="","",IF(Sync!$U1143="","0000",IF(AND(ISNUMBER(Sync!$U1143),Sync!$U1143&gt;=0,Sync!$U1143&lt;1),RIGHT("00"&amp;HOUR(Sync!$U1143),2)&amp;RIGHT("00"&amp;MINUTE(Sync!$U1143),2),IFERROR(RIGHT("00"&amp;VALUE(LEFT(Sync!$U1143,FIND(":",Sync!$U1143)-1)),2)&amp;RIGHT("00"&amp;VALUE(MID(Sync!$U1143,FIND(":",Sync!$U1143)+1,2)),2),"0000"))))</f>
        <v/>
      </c>
    </row>
    <row r="1148" spans="1:17" x14ac:dyDescent="0.2">
      <c r="A1148" t="str">
        <f>IF(Sync!$T1144="","",Sync!$T1144)</f>
        <v/>
      </c>
      <c r="B1148" t="str">
        <f t="shared" si="102"/>
        <v/>
      </c>
      <c r="C1148" t="str">
        <f t="shared" si="103"/>
        <v/>
      </c>
      <c r="D1148" t="str">
        <f t="shared" si="104"/>
        <v/>
      </c>
      <c r="E1148" t="str">
        <f t="shared" si="105"/>
        <v/>
      </c>
      <c r="F1148" t="str">
        <f t="shared" si="106"/>
        <v/>
      </c>
      <c r="G1148" t="str">
        <f>IF(OR($E1148="",$E1148="نامعتبر",Sync!$X1144=""),"",IF(AND(LEFT(UPPER(TRIM(Sync!$X1144)),2)="SL",IFERROR(VLOOKUP(Sync!$W1144,OpTbl,3,0),"")="فروش"),UPPER(TRIM(Sync!$X1144)),""))</f>
        <v/>
      </c>
      <c r="H1148" t="str">
        <f>IF($G1148="","",IF(Sync!$W1144="","",Sync!$W1144))</f>
        <v/>
      </c>
      <c r="I1148" t="str">
        <f>IF(OR($G1148="",Sync!$Y1144=""),"",Sync!$Y1144)</f>
        <v/>
      </c>
      <c r="J1148" t="str">
        <f>IF(OR($G1148="",Sync!$Z1144=""),"",Sync!$Z1144)</f>
        <v/>
      </c>
      <c r="K1148">
        <f>IF($G1148="",0,IF(Sync!$AA1144="",0,Sync!$AA1144))</f>
        <v>0</v>
      </c>
      <c r="L1148">
        <f>IF($G1148="",0,IF(Sync!$AB1144="",0,Sync!$AB1144))</f>
        <v>0</v>
      </c>
      <c r="M1148" t="str">
        <f t="shared" si="107"/>
        <v/>
      </c>
      <c r="N1148">
        <f>IF($G1148="",0,IF($H1148="مرجوعی فروش",-1,1)*IF(Sync!$AC1144="",0,Sync!$AC1144))</f>
        <v>0</v>
      </c>
      <c r="O1148" t="str">
        <f>IF(OR($G1148="",Sync!$V1144=""),"",Sync!$V1144)</f>
        <v/>
      </c>
      <c r="P1148" t="str">
        <f>IF(OR($G1148="",Sync!$AD1144=""),"",Sync!$AD1144)</f>
        <v/>
      </c>
      <c r="Q1148" t="str">
        <f>IF($G1148="","",IF(Sync!$U1144="","0000",IF(AND(ISNUMBER(Sync!$U1144),Sync!$U1144&gt;=0,Sync!$U1144&lt;1),RIGHT("00"&amp;HOUR(Sync!$U1144),2)&amp;RIGHT("00"&amp;MINUTE(Sync!$U1144),2),IFERROR(RIGHT("00"&amp;VALUE(LEFT(Sync!$U1144,FIND(":",Sync!$U1144)-1)),2)&amp;RIGHT("00"&amp;VALUE(MID(Sync!$U1144,FIND(":",Sync!$U1144)+1,2)),2),"0000"))))</f>
        <v/>
      </c>
    </row>
    <row r="1149" spans="1:17" x14ac:dyDescent="0.2">
      <c r="A1149" t="str">
        <f>IF(Sync!$T1145="","",Sync!$T1145)</f>
        <v/>
      </c>
      <c r="B1149" t="str">
        <f t="shared" si="102"/>
        <v/>
      </c>
      <c r="C1149" t="str">
        <f t="shared" si="103"/>
        <v/>
      </c>
      <c r="D1149" t="str">
        <f t="shared" si="104"/>
        <v/>
      </c>
      <c r="E1149" t="str">
        <f t="shared" si="105"/>
        <v/>
      </c>
      <c r="F1149" t="str">
        <f t="shared" si="106"/>
        <v/>
      </c>
      <c r="G1149" t="str">
        <f>IF(OR($E1149="",$E1149="نامعتبر",Sync!$X1145=""),"",IF(AND(LEFT(UPPER(TRIM(Sync!$X1145)),2)="SL",IFERROR(VLOOKUP(Sync!$W1145,OpTbl,3,0),"")="فروش"),UPPER(TRIM(Sync!$X1145)),""))</f>
        <v/>
      </c>
      <c r="H1149" t="str">
        <f>IF($G1149="","",IF(Sync!$W1145="","",Sync!$W1145))</f>
        <v/>
      </c>
      <c r="I1149" t="str">
        <f>IF(OR($G1149="",Sync!$Y1145=""),"",Sync!$Y1145)</f>
        <v/>
      </c>
      <c r="J1149" t="str">
        <f>IF(OR($G1149="",Sync!$Z1145=""),"",Sync!$Z1145)</f>
        <v/>
      </c>
      <c r="K1149">
        <f>IF($G1149="",0,IF(Sync!$AA1145="",0,Sync!$AA1145))</f>
        <v>0</v>
      </c>
      <c r="L1149">
        <f>IF($G1149="",0,IF(Sync!$AB1145="",0,Sync!$AB1145))</f>
        <v>0</v>
      </c>
      <c r="M1149" t="str">
        <f t="shared" si="107"/>
        <v/>
      </c>
      <c r="N1149">
        <f>IF($G1149="",0,IF($H1149="مرجوعی فروش",-1,1)*IF(Sync!$AC1145="",0,Sync!$AC1145))</f>
        <v>0</v>
      </c>
      <c r="O1149" t="str">
        <f>IF(OR($G1149="",Sync!$V1145=""),"",Sync!$V1145)</f>
        <v/>
      </c>
      <c r="P1149" t="str">
        <f>IF(OR($G1149="",Sync!$AD1145=""),"",Sync!$AD1145)</f>
        <v/>
      </c>
      <c r="Q1149" t="str">
        <f>IF($G1149="","",IF(Sync!$U1145="","0000",IF(AND(ISNUMBER(Sync!$U1145),Sync!$U1145&gt;=0,Sync!$U1145&lt;1),RIGHT("00"&amp;HOUR(Sync!$U1145),2)&amp;RIGHT("00"&amp;MINUTE(Sync!$U1145),2),IFERROR(RIGHT("00"&amp;VALUE(LEFT(Sync!$U1145,FIND(":",Sync!$U1145)-1)),2)&amp;RIGHT("00"&amp;VALUE(MID(Sync!$U1145,FIND(":",Sync!$U1145)+1,2)),2),"0000"))))</f>
        <v/>
      </c>
    </row>
    <row r="1150" spans="1:17" x14ac:dyDescent="0.2">
      <c r="A1150" t="str">
        <f>IF(Sync!$T1146="","",Sync!$T1146)</f>
        <v/>
      </c>
      <c r="B1150" t="str">
        <f t="shared" si="102"/>
        <v/>
      </c>
      <c r="C1150" t="str">
        <f t="shared" si="103"/>
        <v/>
      </c>
      <c r="D1150" t="str">
        <f t="shared" si="104"/>
        <v/>
      </c>
      <c r="E1150" t="str">
        <f t="shared" si="105"/>
        <v/>
      </c>
      <c r="F1150" t="str">
        <f t="shared" si="106"/>
        <v/>
      </c>
      <c r="G1150" t="str">
        <f>IF(OR($E1150="",$E1150="نامعتبر",Sync!$X1146=""),"",IF(AND(LEFT(UPPER(TRIM(Sync!$X1146)),2)="SL",IFERROR(VLOOKUP(Sync!$W1146,OpTbl,3,0),"")="فروش"),UPPER(TRIM(Sync!$X1146)),""))</f>
        <v/>
      </c>
      <c r="H1150" t="str">
        <f>IF($G1150="","",IF(Sync!$W1146="","",Sync!$W1146))</f>
        <v/>
      </c>
      <c r="I1150" t="str">
        <f>IF(OR($G1150="",Sync!$Y1146=""),"",Sync!$Y1146)</f>
        <v/>
      </c>
      <c r="J1150" t="str">
        <f>IF(OR($G1150="",Sync!$Z1146=""),"",Sync!$Z1146)</f>
        <v/>
      </c>
      <c r="K1150">
        <f>IF($G1150="",0,IF(Sync!$AA1146="",0,Sync!$AA1146))</f>
        <v>0</v>
      </c>
      <c r="L1150">
        <f>IF($G1150="",0,IF(Sync!$AB1146="",0,Sync!$AB1146))</f>
        <v>0</v>
      </c>
      <c r="M1150" t="str">
        <f t="shared" si="107"/>
        <v/>
      </c>
      <c r="N1150">
        <f>IF($G1150="",0,IF($H1150="مرجوعی فروش",-1,1)*IF(Sync!$AC1146="",0,Sync!$AC1146))</f>
        <v>0</v>
      </c>
      <c r="O1150" t="str">
        <f>IF(OR($G1150="",Sync!$V1146=""),"",Sync!$V1146)</f>
        <v/>
      </c>
      <c r="P1150" t="str">
        <f>IF(OR($G1150="",Sync!$AD1146=""),"",Sync!$AD1146)</f>
        <v/>
      </c>
      <c r="Q1150" t="str">
        <f>IF($G1150="","",IF(Sync!$U1146="","0000",IF(AND(ISNUMBER(Sync!$U1146),Sync!$U1146&gt;=0,Sync!$U1146&lt;1),RIGHT("00"&amp;HOUR(Sync!$U1146),2)&amp;RIGHT("00"&amp;MINUTE(Sync!$U1146),2),IFERROR(RIGHT("00"&amp;VALUE(LEFT(Sync!$U1146,FIND(":",Sync!$U1146)-1)),2)&amp;RIGHT("00"&amp;VALUE(MID(Sync!$U1146,FIND(":",Sync!$U1146)+1,2)),2),"0000"))))</f>
        <v/>
      </c>
    </row>
    <row r="1151" spans="1:17" x14ac:dyDescent="0.2">
      <c r="A1151" t="str">
        <f>IF(Sync!$T1147="","",Sync!$T1147)</f>
        <v/>
      </c>
      <c r="B1151" t="str">
        <f t="shared" si="102"/>
        <v/>
      </c>
      <c r="C1151" t="str">
        <f t="shared" si="103"/>
        <v/>
      </c>
      <c r="D1151" t="str">
        <f t="shared" si="104"/>
        <v/>
      </c>
      <c r="E1151" t="str">
        <f t="shared" si="105"/>
        <v/>
      </c>
      <c r="F1151" t="str">
        <f t="shared" si="106"/>
        <v/>
      </c>
      <c r="G1151" t="str">
        <f>IF(OR($E1151="",$E1151="نامعتبر",Sync!$X1147=""),"",IF(AND(LEFT(UPPER(TRIM(Sync!$X1147)),2)="SL",IFERROR(VLOOKUP(Sync!$W1147,OpTbl,3,0),"")="فروش"),UPPER(TRIM(Sync!$X1147)),""))</f>
        <v/>
      </c>
      <c r="H1151" t="str">
        <f>IF($G1151="","",IF(Sync!$W1147="","",Sync!$W1147))</f>
        <v/>
      </c>
      <c r="I1151" t="str">
        <f>IF(OR($G1151="",Sync!$Y1147=""),"",Sync!$Y1147)</f>
        <v/>
      </c>
      <c r="J1151" t="str">
        <f>IF(OR($G1151="",Sync!$Z1147=""),"",Sync!$Z1147)</f>
        <v/>
      </c>
      <c r="K1151">
        <f>IF($G1151="",0,IF(Sync!$AA1147="",0,Sync!$AA1147))</f>
        <v>0</v>
      </c>
      <c r="L1151">
        <f>IF($G1151="",0,IF(Sync!$AB1147="",0,Sync!$AB1147))</f>
        <v>0</v>
      </c>
      <c r="M1151" t="str">
        <f t="shared" si="107"/>
        <v/>
      </c>
      <c r="N1151">
        <f>IF($G1151="",0,IF($H1151="مرجوعی فروش",-1,1)*IF(Sync!$AC1147="",0,Sync!$AC1147))</f>
        <v>0</v>
      </c>
      <c r="O1151" t="str">
        <f>IF(OR($G1151="",Sync!$V1147=""),"",Sync!$V1147)</f>
        <v/>
      </c>
      <c r="P1151" t="str">
        <f>IF(OR($G1151="",Sync!$AD1147=""),"",Sync!$AD1147)</f>
        <v/>
      </c>
      <c r="Q1151" t="str">
        <f>IF($G1151="","",IF(Sync!$U1147="","0000",IF(AND(ISNUMBER(Sync!$U1147),Sync!$U1147&gt;=0,Sync!$U1147&lt;1),RIGHT("00"&amp;HOUR(Sync!$U1147),2)&amp;RIGHT("00"&amp;MINUTE(Sync!$U1147),2),IFERROR(RIGHT("00"&amp;VALUE(LEFT(Sync!$U1147,FIND(":",Sync!$U1147)-1)),2)&amp;RIGHT("00"&amp;VALUE(MID(Sync!$U1147,FIND(":",Sync!$U1147)+1,2)),2),"0000"))))</f>
        <v/>
      </c>
    </row>
    <row r="1152" spans="1:17" x14ac:dyDescent="0.2">
      <c r="A1152" t="str">
        <f>IF(Sync!$T1148="","",Sync!$T1148)</f>
        <v/>
      </c>
      <c r="B1152" t="str">
        <f t="shared" si="102"/>
        <v/>
      </c>
      <c r="C1152" t="str">
        <f t="shared" si="103"/>
        <v/>
      </c>
      <c r="D1152" t="str">
        <f t="shared" si="104"/>
        <v/>
      </c>
      <c r="E1152" t="str">
        <f t="shared" si="105"/>
        <v/>
      </c>
      <c r="F1152" t="str">
        <f t="shared" si="106"/>
        <v/>
      </c>
      <c r="G1152" t="str">
        <f>IF(OR($E1152="",$E1152="نامعتبر",Sync!$X1148=""),"",IF(AND(LEFT(UPPER(TRIM(Sync!$X1148)),2)="SL",IFERROR(VLOOKUP(Sync!$W1148,OpTbl,3,0),"")="فروش"),UPPER(TRIM(Sync!$X1148)),""))</f>
        <v/>
      </c>
      <c r="H1152" t="str">
        <f>IF($G1152="","",IF(Sync!$W1148="","",Sync!$W1148))</f>
        <v/>
      </c>
      <c r="I1152" t="str">
        <f>IF(OR($G1152="",Sync!$Y1148=""),"",Sync!$Y1148)</f>
        <v/>
      </c>
      <c r="J1152" t="str">
        <f>IF(OR($G1152="",Sync!$Z1148=""),"",Sync!$Z1148)</f>
        <v/>
      </c>
      <c r="K1152">
        <f>IF($G1152="",0,IF(Sync!$AA1148="",0,Sync!$AA1148))</f>
        <v>0</v>
      </c>
      <c r="L1152">
        <f>IF($G1152="",0,IF(Sync!$AB1148="",0,Sync!$AB1148))</f>
        <v>0</v>
      </c>
      <c r="M1152" t="str">
        <f t="shared" si="107"/>
        <v/>
      </c>
      <c r="N1152">
        <f>IF($G1152="",0,IF($H1152="مرجوعی فروش",-1,1)*IF(Sync!$AC1148="",0,Sync!$AC1148))</f>
        <v>0</v>
      </c>
      <c r="O1152" t="str">
        <f>IF(OR($G1152="",Sync!$V1148=""),"",Sync!$V1148)</f>
        <v/>
      </c>
      <c r="P1152" t="str">
        <f>IF(OR($G1152="",Sync!$AD1148=""),"",Sync!$AD1148)</f>
        <v/>
      </c>
      <c r="Q1152" t="str">
        <f>IF($G1152="","",IF(Sync!$U1148="","0000",IF(AND(ISNUMBER(Sync!$U1148),Sync!$U1148&gt;=0,Sync!$U1148&lt;1),RIGHT("00"&amp;HOUR(Sync!$U1148),2)&amp;RIGHT("00"&amp;MINUTE(Sync!$U1148),2),IFERROR(RIGHT("00"&amp;VALUE(LEFT(Sync!$U1148,FIND(":",Sync!$U1148)-1)),2)&amp;RIGHT("00"&amp;VALUE(MID(Sync!$U1148,FIND(":",Sync!$U1148)+1,2)),2),"0000"))))</f>
        <v/>
      </c>
    </row>
    <row r="1153" spans="1:17" x14ac:dyDescent="0.2">
      <c r="A1153" t="str">
        <f>IF(Sync!$T1149="","",Sync!$T1149)</f>
        <v/>
      </c>
      <c r="B1153" t="str">
        <f t="shared" si="102"/>
        <v/>
      </c>
      <c r="C1153" t="str">
        <f t="shared" si="103"/>
        <v/>
      </c>
      <c r="D1153" t="str">
        <f t="shared" si="104"/>
        <v/>
      </c>
      <c r="E1153" t="str">
        <f t="shared" si="105"/>
        <v/>
      </c>
      <c r="F1153" t="str">
        <f t="shared" si="106"/>
        <v/>
      </c>
      <c r="G1153" t="str">
        <f>IF(OR($E1153="",$E1153="نامعتبر",Sync!$X1149=""),"",IF(AND(LEFT(UPPER(TRIM(Sync!$X1149)),2)="SL",IFERROR(VLOOKUP(Sync!$W1149,OpTbl,3,0),"")="فروش"),UPPER(TRIM(Sync!$X1149)),""))</f>
        <v/>
      </c>
      <c r="H1153" t="str">
        <f>IF($G1153="","",IF(Sync!$W1149="","",Sync!$W1149))</f>
        <v/>
      </c>
      <c r="I1153" t="str">
        <f>IF(OR($G1153="",Sync!$Y1149=""),"",Sync!$Y1149)</f>
        <v/>
      </c>
      <c r="J1153" t="str">
        <f>IF(OR($G1153="",Sync!$Z1149=""),"",Sync!$Z1149)</f>
        <v/>
      </c>
      <c r="K1153">
        <f>IF($G1153="",0,IF(Sync!$AA1149="",0,Sync!$AA1149))</f>
        <v>0</v>
      </c>
      <c r="L1153">
        <f>IF($G1153="",0,IF(Sync!$AB1149="",0,Sync!$AB1149))</f>
        <v>0</v>
      </c>
      <c r="M1153" t="str">
        <f t="shared" si="107"/>
        <v/>
      </c>
      <c r="N1153">
        <f>IF($G1153="",0,IF($H1153="مرجوعی فروش",-1,1)*IF(Sync!$AC1149="",0,Sync!$AC1149))</f>
        <v>0</v>
      </c>
      <c r="O1153" t="str">
        <f>IF(OR($G1153="",Sync!$V1149=""),"",Sync!$V1149)</f>
        <v/>
      </c>
      <c r="P1153" t="str">
        <f>IF(OR($G1153="",Sync!$AD1149=""),"",Sync!$AD1149)</f>
        <v/>
      </c>
      <c r="Q1153" t="str">
        <f>IF($G1153="","",IF(Sync!$U1149="","0000",IF(AND(ISNUMBER(Sync!$U1149),Sync!$U1149&gt;=0,Sync!$U1149&lt;1),RIGHT("00"&amp;HOUR(Sync!$U1149),2)&amp;RIGHT("00"&amp;MINUTE(Sync!$U1149),2),IFERROR(RIGHT("00"&amp;VALUE(LEFT(Sync!$U1149,FIND(":",Sync!$U1149)-1)),2)&amp;RIGHT("00"&amp;VALUE(MID(Sync!$U1149,FIND(":",Sync!$U1149)+1,2)),2),"0000"))))</f>
        <v/>
      </c>
    </row>
    <row r="1154" spans="1:17" x14ac:dyDescent="0.2">
      <c r="A1154" t="str">
        <f>IF(Sync!$T1150="","",Sync!$T1150)</f>
        <v/>
      </c>
      <c r="B1154" t="str">
        <f t="shared" si="102"/>
        <v/>
      </c>
      <c r="C1154" t="str">
        <f t="shared" si="103"/>
        <v/>
      </c>
      <c r="D1154" t="str">
        <f t="shared" si="104"/>
        <v/>
      </c>
      <c r="E1154" t="str">
        <f t="shared" si="105"/>
        <v/>
      </c>
      <c r="F1154" t="str">
        <f t="shared" si="106"/>
        <v/>
      </c>
      <c r="G1154" t="str">
        <f>IF(OR($E1154="",$E1154="نامعتبر",Sync!$X1150=""),"",IF(AND(LEFT(UPPER(TRIM(Sync!$X1150)),2)="SL",IFERROR(VLOOKUP(Sync!$W1150,OpTbl,3,0),"")="فروش"),UPPER(TRIM(Sync!$X1150)),""))</f>
        <v/>
      </c>
      <c r="H1154" t="str">
        <f>IF($G1154="","",IF(Sync!$W1150="","",Sync!$W1150))</f>
        <v/>
      </c>
      <c r="I1154" t="str">
        <f>IF(OR($G1154="",Sync!$Y1150=""),"",Sync!$Y1150)</f>
        <v/>
      </c>
      <c r="J1154" t="str">
        <f>IF(OR($G1154="",Sync!$Z1150=""),"",Sync!$Z1150)</f>
        <v/>
      </c>
      <c r="K1154">
        <f>IF($G1154="",0,IF(Sync!$AA1150="",0,Sync!$AA1150))</f>
        <v>0</v>
      </c>
      <c r="L1154">
        <f>IF($G1154="",0,IF(Sync!$AB1150="",0,Sync!$AB1150))</f>
        <v>0</v>
      </c>
      <c r="M1154" t="str">
        <f t="shared" si="107"/>
        <v/>
      </c>
      <c r="N1154">
        <f>IF($G1154="",0,IF($H1154="مرجوعی فروش",-1,1)*IF(Sync!$AC1150="",0,Sync!$AC1150))</f>
        <v>0</v>
      </c>
      <c r="O1154" t="str">
        <f>IF(OR($G1154="",Sync!$V1150=""),"",Sync!$V1150)</f>
        <v/>
      </c>
      <c r="P1154" t="str">
        <f>IF(OR($G1154="",Sync!$AD1150=""),"",Sync!$AD1150)</f>
        <v/>
      </c>
      <c r="Q1154" t="str">
        <f>IF($G1154="","",IF(Sync!$U1150="","0000",IF(AND(ISNUMBER(Sync!$U1150),Sync!$U1150&gt;=0,Sync!$U1150&lt;1),RIGHT("00"&amp;HOUR(Sync!$U1150),2)&amp;RIGHT("00"&amp;MINUTE(Sync!$U1150),2),IFERROR(RIGHT("00"&amp;VALUE(LEFT(Sync!$U1150,FIND(":",Sync!$U1150)-1)),2)&amp;RIGHT("00"&amp;VALUE(MID(Sync!$U1150,FIND(":",Sync!$U1150)+1,2)),2),"0000"))))</f>
        <v/>
      </c>
    </row>
    <row r="1155" spans="1:17" x14ac:dyDescent="0.2">
      <c r="A1155" t="str">
        <f>IF(Sync!$T1151="","",Sync!$T1151)</f>
        <v/>
      </c>
      <c r="B1155" t="str">
        <f t="shared" si="102"/>
        <v/>
      </c>
      <c r="C1155" t="str">
        <f t="shared" si="103"/>
        <v/>
      </c>
      <c r="D1155" t="str">
        <f t="shared" si="104"/>
        <v/>
      </c>
      <c r="E1155" t="str">
        <f t="shared" si="105"/>
        <v/>
      </c>
      <c r="F1155" t="str">
        <f t="shared" si="106"/>
        <v/>
      </c>
      <c r="G1155" t="str">
        <f>IF(OR($E1155="",$E1155="نامعتبر",Sync!$X1151=""),"",IF(AND(LEFT(UPPER(TRIM(Sync!$X1151)),2)="SL",IFERROR(VLOOKUP(Sync!$W1151,OpTbl,3,0),"")="فروش"),UPPER(TRIM(Sync!$X1151)),""))</f>
        <v/>
      </c>
      <c r="H1155" t="str">
        <f>IF($G1155="","",IF(Sync!$W1151="","",Sync!$W1151))</f>
        <v/>
      </c>
      <c r="I1155" t="str">
        <f>IF(OR($G1155="",Sync!$Y1151=""),"",Sync!$Y1151)</f>
        <v/>
      </c>
      <c r="J1155" t="str">
        <f>IF(OR($G1155="",Sync!$Z1151=""),"",Sync!$Z1151)</f>
        <v/>
      </c>
      <c r="K1155">
        <f>IF($G1155="",0,IF(Sync!$AA1151="",0,Sync!$AA1151))</f>
        <v>0</v>
      </c>
      <c r="L1155">
        <f>IF($G1155="",0,IF(Sync!$AB1151="",0,Sync!$AB1151))</f>
        <v>0</v>
      </c>
      <c r="M1155" t="str">
        <f t="shared" si="107"/>
        <v/>
      </c>
      <c r="N1155">
        <f>IF($G1155="",0,IF($H1155="مرجوعی فروش",-1,1)*IF(Sync!$AC1151="",0,Sync!$AC1151))</f>
        <v>0</v>
      </c>
      <c r="O1155" t="str">
        <f>IF(OR($G1155="",Sync!$V1151=""),"",Sync!$V1151)</f>
        <v/>
      </c>
      <c r="P1155" t="str">
        <f>IF(OR($G1155="",Sync!$AD1151=""),"",Sync!$AD1151)</f>
        <v/>
      </c>
      <c r="Q1155" t="str">
        <f>IF($G1155="","",IF(Sync!$U1151="","0000",IF(AND(ISNUMBER(Sync!$U1151),Sync!$U1151&gt;=0,Sync!$U1151&lt;1),RIGHT("00"&amp;HOUR(Sync!$U1151),2)&amp;RIGHT("00"&amp;MINUTE(Sync!$U1151),2),IFERROR(RIGHT("00"&amp;VALUE(LEFT(Sync!$U1151,FIND(":",Sync!$U1151)-1)),2)&amp;RIGHT("00"&amp;VALUE(MID(Sync!$U1151,FIND(":",Sync!$U1151)+1,2)),2),"0000"))))</f>
        <v/>
      </c>
    </row>
    <row r="1156" spans="1:17" x14ac:dyDescent="0.2">
      <c r="A1156" t="str">
        <f>IF(Sync!$T1152="","",Sync!$T1152)</f>
        <v/>
      </c>
      <c r="B1156" t="str">
        <f t="shared" si="102"/>
        <v/>
      </c>
      <c r="C1156" t="str">
        <f t="shared" si="103"/>
        <v/>
      </c>
      <c r="D1156" t="str">
        <f t="shared" si="104"/>
        <v/>
      </c>
      <c r="E1156" t="str">
        <f t="shared" si="105"/>
        <v/>
      </c>
      <c r="F1156" t="str">
        <f t="shared" si="106"/>
        <v/>
      </c>
      <c r="G1156" t="str">
        <f>IF(OR($E1156="",$E1156="نامعتبر",Sync!$X1152=""),"",IF(AND(LEFT(UPPER(TRIM(Sync!$X1152)),2)="SL",IFERROR(VLOOKUP(Sync!$W1152,OpTbl,3,0),"")="فروش"),UPPER(TRIM(Sync!$X1152)),""))</f>
        <v/>
      </c>
      <c r="H1156" t="str">
        <f>IF($G1156="","",IF(Sync!$W1152="","",Sync!$W1152))</f>
        <v/>
      </c>
      <c r="I1156" t="str">
        <f>IF(OR($G1156="",Sync!$Y1152=""),"",Sync!$Y1152)</f>
        <v/>
      </c>
      <c r="J1156" t="str">
        <f>IF(OR($G1156="",Sync!$Z1152=""),"",Sync!$Z1152)</f>
        <v/>
      </c>
      <c r="K1156">
        <f>IF($G1156="",0,IF(Sync!$AA1152="",0,Sync!$AA1152))</f>
        <v>0</v>
      </c>
      <c r="L1156">
        <f>IF($G1156="",0,IF(Sync!$AB1152="",0,Sync!$AB1152))</f>
        <v>0</v>
      </c>
      <c r="M1156" t="str">
        <f t="shared" si="107"/>
        <v/>
      </c>
      <c r="N1156">
        <f>IF($G1156="",0,IF($H1156="مرجوعی فروش",-1,1)*IF(Sync!$AC1152="",0,Sync!$AC1152))</f>
        <v>0</v>
      </c>
      <c r="O1156" t="str">
        <f>IF(OR($G1156="",Sync!$V1152=""),"",Sync!$V1152)</f>
        <v/>
      </c>
      <c r="P1156" t="str">
        <f>IF(OR($G1156="",Sync!$AD1152=""),"",Sync!$AD1152)</f>
        <v/>
      </c>
      <c r="Q1156" t="str">
        <f>IF($G1156="","",IF(Sync!$U1152="","0000",IF(AND(ISNUMBER(Sync!$U1152),Sync!$U1152&gt;=0,Sync!$U1152&lt;1),RIGHT("00"&amp;HOUR(Sync!$U1152),2)&amp;RIGHT("00"&amp;MINUTE(Sync!$U1152),2),IFERROR(RIGHT("00"&amp;VALUE(LEFT(Sync!$U1152,FIND(":",Sync!$U1152)-1)),2)&amp;RIGHT("00"&amp;VALUE(MID(Sync!$U1152,FIND(":",Sync!$U1152)+1,2)),2),"0000"))))</f>
        <v/>
      </c>
    </row>
    <row r="1157" spans="1:17" x14ac:dyDescent="0.2">
      <c r="A1157" t="str">
        <f>IF(Sync!$T1153="","",Sync!$T1153)</f>
        <v/>
      </c>
      <c r="B1157" t="str">
        <f t="shared" si="102"/>
        <v/>
      </c>
      <c r="C1157" t="str">
        <f t="shared" si="103"/>
        <v/>
      </c>
      <c r="D1157" t="str">
        <f t="shared" si="104"/>
        <v/>
      </c>
      <c r="E1157" t="str">
        <f t="shared" si="105"/>
        <v/>
      </c>
      <c r="F1157" t="str">
        <f t="shared" si="106"/>
        <v/>
      </c>
      <c r="G1157" t="str">
        <f>IF(OR($E1157="",$E1157="نامعتبر",Sync!$X1153=""),"",IF(AND(LEFT(UPPER(TRIM(Sync!$X1153)),2)="SL",IFERROR(VLOOKUP(Sync!$W1153,OpTbl,3,0),"")="فروش"),UPPER(TRIM(Sync!$X1153)),""))</f>
        <v/>
      </c>
      <c r="H1157" t="str">
        <f>IF($G1157="","",IF(Sync!$W1153="","",Sync!$W1153))</f>
        <v/>
      </c>
      <c r="I1157" t="str">
        <f>IF(OR($G1157="",Sync!$Y1153=""),"",Sync!$Y1153)</f>
        <v/>
      </c>
      <c r="J1157" t="str">
        <f>IF(OR($G1157="",Sync!$Z1153=""),"",Sync!$Z1153)</f>
        <v/>
      </c>
      <c r="K1157">
        <f>IF($G1157="",0,IF(Sync!$AA1153="",0,Sync!$AA1153))</f>
        <v>0</v>
      </c>
      <c r="L1157">
        <f>IF($G1157="",0,IF(Sync!$AB1153="",0,Sync!$AB1153))</f>
        <v>0</v>
      </c>
      <c r="M1157" t="str">
        <f t="shared" si="107"/>
        <v/>
      </c>
      <c r="N1157">
        <f>IF($G1157="",0,IF($H1157="مرجوعی فروش",-1,1)*IF(Sync!$AC1153="",0,Sync!$AC1153))</f>
        <v>0</v>
      </c>
      <c r="O1157" t="str">
        <f>IF(OR($G1157="",Sync!$V1153=""),"",Sync!$V1153)</f>
        <v/>
      </c>
      <c r="P1157" t="str">
        <f>IF(OR($G1157="",Sync!$AD1153=""),"",Sync!$AD1153)</f>
        <v/>
      </c>
      <c r="Q1157" t="str">
        <f>IF($G1157="","",IF(Sync!$U1153="","0000",IF(AND(ISNUMBER(Sync!$U1153),Sync!$U1153&gt;=0,Sync!$U1153&lt;1),RIGHT("00"&amp;HOUR(Sync!$U1153),2)&amp;RIGHT("00"&amp;MINUTE(Sync!$U1153),2),IFERROR(RIGHT("00"&amp;VALUE(LEFT(Sync!$U1153,FIND(":",Sync!$U1153)-1)),2)&amp;RIGHT("00"&amp;VALUE(MID(Sync!$U1153,FIND(":",Sync!$U1153)+1,2)),2),"0000"))))</f>
        <v/>
      </c>
    </row>
    <row r="1158" spans="1:17" x14ac:dyDescent="0.2">
      <c r="A1158" t="str">
        <f>IF(Sync!$T1154="","",Sync!$T1154)</f>
        <v/>
      </c>
      <c r="B1158" t="str">
        <f t="shared" si="102"/>
        <v/>
      </c>
      <c r="C1158" t="str">
        <f t="shared" si="103"/>
        <v/>
      </c>
      <c r="D1158" t="str">
        <f t="shared" si="104"/>
        <v/>
      </c>
      <c r="E1158" t="str">
        <f t="shared" si="105"/>
        <v/>
      </c>
      <c r="F1158" t="str">
        <f t="shared" si="106"/>
        <v/>
      </c>
      <c r="G1158" t="str">
        <f>IF(OR($E1158="",$E1158="نامعتبر",Sync!$X1154=""),"",IF(AND(LEFT(UPPER(TRIM(Sync!$X1154)),2)="SL",IFERROR(VLOOKUP(Sync!$W1154,OpTbl,3,0),"")="فروش"),UPPER(TRIM(Sync!$X1154)),""))</f>
        <v/>
      </c>
      <c r="H1158" t="str">
        <f>IF($G1158="","",IF(Sync!$W1154="","",Sync!$W1154))</f>
        <v/>
      </c>
      <c r="I1158" t="str">
        <f>IF(OR($G1158="",Sync!$Y1154=""),"",Sync!$Y1154)</f>
        <v/>
      </c>
      <c r="J1158" t="str">
        <f>IF(OR($G1158="",Sync!$Z1154=""),"",Sync!$Z1154)</f>
        <v/>
      </c>
      <c r="K1158">
        <f>IF($G1158="",0,IF(Sync!$AA1154="",0,Sync!$AA1154))</f>
        <v>0</v>
      </c>
      <c r="L1158">
        <f>IF($G1158="",0,IF(Sync!$AB1154="",0,Sync!$AB1154))</f>
        <v>0</v>
      </c>
      <c r="M1158" t="str">
        <f t="shared" si="107"/>
        <v/>
      </c>
      <c r="N1158">
        <f>IF($G1158="",0,IF($H1158="مرجوعی فروش",-1,1)*IF(Sync!$AC1154="",0,Sync!$AC1154))</f>
        <v>0</v>
      </c>
      <c r="O1158" t="str">
        <f>IF(OR($G1158="",Sync!$V1154=""),"",Sync!$V1154)</f>
        <v/>
      </c>
      <c r="P1158" t="str">
        <f>IF(OR($G1158="",Sync!$AD1154=""),"",Sync!$AD1154)</f>
        <v/>
      </c>
      <c r="Q1158" t="str">
        <f>IF($G1158="","",IF(Sync!$U1154="","0000",IF(AND(ISNUMBER(Sync!$U1154),Sync!$U1154&gt;=0,Sync!$U1154&lt;1),RIGHT("00"&amp;HOUR(Sync!$U1154),2)&amp;RIGHT("00"&amp;MINUTE(Sync!$U1154),2),IFERROR(RIGHT("00"&amp;VALUE(LEFT(Sync!$U1154,FIND(":",Sync!$U1154)-1)),2)&amp;RIGHT("00"&amp;VALUE(MID(Sync!$U1154,FIND(":",Sync!$U1154)+1,2)),2),"0000"))))</f>
        <v/>
      </c>
    </row>
    <row r="1159" spans="1:17" x14ac:dyDescent="0.2">
      <c r="A1159" t="str">
        <f>IF(Sync!$T1155="","",Sync!$T1155)</f>
        <v/>
      </c>
      <c r="B1159" t="str">
        <f t="shared" si="102"/>
        <v/>
      </c>
      <c r="C1159" t="str">
        <f t="shared" si="103"/>
        <v/>
      </c>
      <c r="D1159" t="str">
        <f t="shared" si="104"/>
        <v/>
      </c>
      <c r="E1159" t="str">
        <f t="shared" si="105"/>
        <v/>
      </c>
      <c r="F1159" t="str">
        <f t="shared" si="106"/>
        <v/>
      </c>
      <c r="G1159" t="str">
        <f>IF(OR($E1159="",$E1159="نامعتبر",Sync!$X1155=""),"",IF(AND(LEFT(UPPER(TRIM(Sync!$X1155)),2)="SL",IFERROR(VLOOKUP(Sync!$W1155,OpTbl,3,0),"")="فروش"),UPPER(TRIM(Sync!$X1155)),""))</f>
        <v/>
      </c>
      <c r="H1159" t="str">
        <f>IF($G1159="","",IF(Sync!$W1155="","",Sync!$W1155))</f>
        <v/>
      </c>
      <c r="I1159" t="str">
        <f>IF(OR($G1159="",Sync!$Y1155=""),"",Sync!$Y1155)</f>
        <v/>
      </c>
      <c r="J1159" t="str">
        <f>IF(OR($G1159="",Sync!$Z1155=""),"",Sync!$Z1155)</f>
        <v/>
      </c>
      <c r="K1159">
        <f>IF($G1159="",0,IF(Sync!$AA1155="",0,Sync!$AA1155))</f>
        <v>0</v>
      </c>
      <c r="L1159">
        <f>IF($G1159="",0,IF(Sync!$AB1155="",0,Sync!$AB1155))</f>
        <v>0</v>
      </c>
      <c r="M1159" t="str">
        <f t="shared" si="107"/>
        <v/>
      </c>
      <c r="N1159">
        <f>IF($G1159="",0,IF($H1159="مرجوعی فروش",-1,1)*IF(Sync!$AC1155="",0,Sync!$AC1155))</f>
        <v>0</v>
      </c>
      <c r="O1159" t="str">
        <f>IF(OR($G1159="",Sync!$V1155=""),"",Sync!$V1155)</f>
        <v/>
      </c>
      <c r="P1159" t="str">
        <f>IF(OR($G1159="",Sync!$AD1155=""),"",Sync!$AD1155)</f>
        <v/>
      </c>
      <c r="Q1159" t="str">
        <f>IF($G1159="","",IF(Sync!$U1155="","0000",IF(AND(ISNUMBER(Sync!$U1155),Sync!$U1155&gt;=0,Sync!$U1155&lt;1),RIGHT("00"&amp;HOUR(Sync!$U1155),2)&amp;RIGHT("00"&amp;MINUTE(Sync!$U1155),2),IFERROR(RIGHT("00"&amp;VALUE(LEFT(Sync!$U1155,FIND(":",Sync!$U1155)-1)),2)&amp;RIGHT("00"&amp;VALUE(MID(Sync!$U1155,FIND(":",Sync!$U1155)+1,2)),2),"0000"))))</f>
        <v/>
      </c>
    </row>
    <row r="1160" spans="1:17" x14ac:dyDescent="0.2">
      <c r="A1160" t="str">
        <f>IF(Sync!$T1156="","",Sync!$T1156)</f>
        <v/>
      </c>
      <c r="B1160" t="str">
        <f t="shared" si="102"/>
        <v/>
      </c>
      <c r="C1160" t="str">
        <f t="shared" si="103"/>
        <v/>
      </c>
      <c r="D1160" t="str">
        <f t="shared" si="104"/>
        <v/>
      </c>
      <c r="E1160" t="str">
        <f t="shared" si="105"/>
        <v/>
      </c>
      <c r="F1160" t="str">
        <f t="shared" si="106"/>
        <v/>
      </c>
      <c r="G1160" t="str">
        <f>IF(OR($E1160="",$E1160="نامعتبر",Sync!$X1156=""),"",IF(AND(LEFT(UPPER(TRIM(Sync!$X1156)),2)="SL",IFERROR(VLOOKUP(Sync!$W1156,OpTbl,3,0),"")="فروش"),UPPER(TRIM(Sync!$X1156)),""))</f>
        <v/>
      </c>
      <c r="H1160" t="str">
        <f>IF($G1160="","",IF(Sync!$W1156="","",Sync!$W1156))</f>
        <v/>
      </c>
      <c r="I1160" t="str">
        <f>IF(OR($G1160="",Sync!$Y1156=""),"",Sync!$Y1156)</f>
        <v/>
      </c>
      <c r="J1160" t="str">
        <f>IF(OR($G1160="",Sync!$Z1156=""),"",Sync!$Z1156)</f>
        <v/>
      </c>
      <c r="K1160">
        <f>IF($G1160="",0,IF(Sync!$AA1156="",0,Sync!$AA1156))</f>
        <v>0</v>
      </c>
      <c r="L1160">
        <f>IF($G1160="",0,IF(Sync!$AB1156="",0,Sync!$AB1156))</f>
        <v>0</v>
      </c>
      <c r="M1160" t="str">
        <f t="shared" si="107"/>
        <v/>
      </c>
      <c r="N1160">
        <f>IF($G1160="",0,IF($H1160="مرجوعی فروش",-1,1)*IF(Sync!$AC1156="",0,Sync!$AC1156))</f>
        <v>0</v>
      </c>
      <c r="O1160" t="str">
        <f>IF(OR($G1160="",Sync!$V1156=""),"",Sync!$V1156)</f>
        <v/>
      </c>
      <c r="P1160" t="str">
        <f>IF(OR($G1160="",Sync!$AD1156=""),"",Sync!$AD1156)</f>
        <v/>
      </c>
      <c r="Q1160" t="str">
        <f>IF($G1160="","",IF(Sync!$U1156="","0000",IF(AND(ISNUMBER(Sync!$U1156),Sync!$U1156&gt;=0,Sync!$U1156&lt;1),RIGHT("00"&amp;HOUR(Sync!$U1156),2)&amp;RIGHT("00"&amp;MINUTE(Sync!$U1156),2),IFERROR(RIGHT("00"&amp;VALUE(LEFT(Sync!$U1156,FIND(":",Sync!$U1156)-1)),2)&amp;RIGHT("00"&amp;VALUE(MID(Sync!$U1156,FIND(":",Sync!$U1156)+1,2)),2),"0000"))))</f>
        <v/>
      </c>
    </row>
    <row r="1161" spans="1:17" x14ac:dyDescent="0.2">
      <c r="A1161" t="str">
        <f>IF(Sync!$T1157="","",Sync!$T1157)</f>
        <v/>
      </c>
      <c r="B1161" t="str">
        <f t="shared" si="102"/>
        <v/>
      </c>
      <c r="C1161" t="str">
        <f t="shared" si="103"/>
        <v/>
      </c>
      <c r="D1161" t="str">
        <f t="shared" si="104"/>
        <v/>
      </c>
      <c r="E1161" t="str">
        <f t="shared" si="105"/>
        <v/>
      </c>
      <c r="F1161" t="str">
        <f t="shared" si="106"/>
        <v/>
      </c>
      <c r="G1161" t="str">
        <f>IF(OR($E1161="",$E1161="نامعتبر",Sync!$X1157=""),"",IF(AND(LEFT(UPPER(TRIM(Sync!$X1157)),2)="SL",IFERROR(VLOOKUP(Sync!$W1157,OpTbl,3,0),"")="فروش"),UPPER(TRIM(Sync!$X1157)),""))</f>
        <v/>
      </c>
      <c r="H1161" t="str">
        <f>IF($G1161="","",IF(Sync!$W1157="","",Sync!$W1157))</f>
        <v/>
      </c>
      <c r="I1161" t="str">
        <f>IF(OR($G1161="",Sync!$Y1157=""),"",Sync!$Y1157)</f>
        <v/>
      </c>
      <c r="J1161" t="str">
        <f>IF(OR($G1161="",Sync!$Z1157=""),"",Sync!$Z1157)</f>
        <v/>
      </c>
      <c r="K1161">
        <f>IF($G1161="",0,IF(Sync!$AA1157="",0,Sync!$AA1157))</f>
        <v>0</v>
      </c>
      <c r="L1161">
        <f>IF($G1161="",0,IF(Sync!$AB1157="",0,Sync!$AB1157))</f>
        <v>0</v>
      </c>
      <c r="M1161" t="str">
        <f t="shared" si="107"/>
        <v/>
      </c>
      <c r="N1161">
        <f>IF($G1161="",0,IF($H1161="مرجوعی فروش",-1,1)*IF(Sync!$AC1157="",0,Sync!$AC1157))</f>
        <v>0</v>
      </c>
      <c r="O1161" t="str">
        <f>IF(OR($G1161="",Sync!$V1157=""),"",Sync!$V1157)</f>
        <v/>
      </c>
      <c r="P1161" t="str">
        <f>IF(OR($G1161="",Sync!$AD1157=""),"",Sync!$AD1157)</f>
        <v/>
      </c>
      <c r="Q1161" t="str">
        <f>IF($G1161="","",IF(Sync!$U1157="","0000",IF(AND(ISNUMBER(Sync!$U1157),Sync!$U1157&gt;=0,Sync!$U1157&lt;1),RIGHT("00"&amp;HOUR(Sync!$U1157),2)&amp;RIGHT("00"&amp;MINUTE(Sync!$U1157),2),IFERROR(RIGHT("00"&amp;VALUE(LEFT(Sync!$U1157,FIND(":",Sync!$U1157)-1)),2)&amp;RIGHT("00"&amp;VALUE(MID(Sync!$U1157,FIND(":",Sync!$U1157)+1,2)),2),"0000"))))</f>
        <v/>
      </c>
    </row>
    <row r="1162" spans="1:17" x14ac:dyDescent="0.2">
      <c r="A1162" t="str">
        <f>IF(Sync!$T1158="","",Sync!$T1158)</f>
        <v/>
      </c>
      <c r="B1162" t="str">
        <f t="shared" ref="B1162:B1225" si="108">IF($A1162="","",IF(ISNUMBER($A1162),IF(AND($A1162&gt;=10000101,$A1162&lt;=99991231),INT($A1162/10000),""),IFERROR(VALUE(TRIM(LEFT($A1162,FIND("/",$A1162)-1))),"")))</f>
        <v/>
      </c>
      <c r="C1162" t="str">
        <f t="shared" ref="C1162:C1225" si="109">IF(OR($A1162="",$B1162=""),"",IF(ISNUMBER($A1162),INT(MOD($A1162,10000)/100),IFERROR(VALUE(TRIM(LEFT(MID($A1162,FIND("/",$A1162)+1,20),FIND("/",MID($A1162,FIND("/",$A1162)+1,20))-1))),"")))</f>
        <v/>
      </c>
      <c r="D1162" t="str">
        <f t="shared" ref="D1162:D1225" si="110">IF(OR($A1162="",$B1162=""),"",IF(ISNUMBER($A1162),MOD($A1162,100),IFERROR(VALUE(TRIM(MID(MID($A1162,FIND("/",$A1162)+1,20),FIND("/",MID($A1162,FIND("/",$A1162)+1,20))+1,20))),"")))</f>
        <v/>
      </c>
      <c r="E1162" t="str">
        <f t="shared" ref="E1162:E1225" si="111">IF($A1162="","",IF(OR($B1162="",$C1162="",$D1162="",$B1162&lt;1300,$B1162&gt;1500,$C1162&lt;1,$C1162&gt;12,$D1162&lt;1,$D1162&gt;31),"نامعتبر",RIGHT("0000"&amp;$B1162,4)&amp;"/"&amp;RIGHT("00"&amp;$C1162,2)&amp;"/"&amp;RIGHT("00"&amp;$D1162,2)))</f>
        <v/>
      </c>
      <c r="F1162" t="str">
        <f t="shared" ref="F1162:F1225" si="112">IF(OR($E1162="",$E1162="نامعتبر"),"",LEFT($E1162,4)&amp;"/"&amp;MID($E1162,6,2))</f>
        <v/>
      </c>
      <c r="G1162" t="str">
        <f>IF(OR($E1162="",$E1162="نامعتبر",Sync!$X1158=""),"",IF(AND(LEFT(UPPER(TRIM(Sync!$X1158)),2)="SL",IFERROR(VLOOKUP(Sync!$W1158,OpTbl,3,0),"")="فروش"),UPPER(TRIM(Sync!$X1158)),""))</f>
        <v/>
      </c>
      <c r="H1162" t="str">
        <f>IF($G1162="","",IF(Sync!$W1158="","",Sync!$W1158))</f>
        <v/>
      </c>
      <c r="I1162" t="str">
        <f>IF(OR($G1162="",Sync!$Y1158=""),"",Sync!$Y1158)</f>
        <v/>
      </c>
      <c r="J1162" t="str">
        <f>IF(OR($G1162="",Sync!$Z1158=""),"",Sync!$Z1158)</f>
        <v/>
      </c>
      <c r="K1162">
        <f>IF($G1162="",0,IF(Sync!$AA1158="",0,Sync!$AA1158))</f>
        <v>0</v>
      </c>
      <c r="L1162">
        <f>IF($G1162="",0,IF(Sync!$AB1158="",0,Sync!$AB1158))</f>
        <v>0</v>
      </c>
      <c r="M1162" t="str">
        <f t="shared" ref="M1162:M1225" si="113">IF($G1162="","",IF($H1162="مرجوعی فروش",-1,1)*($K1162-$L1162*IFERROR(VLOOKUP("P01",ParamTbl,3,0),1.5)))</f>
        <v/>
      </c>
      <c r="N1162">
        <f>IF($G1162="",0,IF($H1162="مرجوعی فروش",-1,1)*IF(Sync!$AC1158="",0,Sync!$AC1158))</f>
        <v>0</v>
      </c>
      <c r="O1162" t="str">
        <f>IF(OR($G1162="",Sync!$V1158=""),"",Sync!$V1158)</f>
        <v/>
      </c>
      <c r="P1162" t="str">
        <f>IF(OR($G1162="",Sync!$AD1158=""),"",Sync!$AD1158)</f>
        <v/>
      </c>
      <c r="Q1162" t="str">
        <f>IF($G1162="","",IF(Sync!$U1158="","0000",IF(AND(ISNUMBER(Sync!$U1158),Sync!$U1158&gt;=0,Sync!$U1158&lt;1),RIGHT("00"&amp;HOUR(Sync!$U1158),2)&amp;RIGHT("00"&amp;MINUTE(Sync!$U1158),2),IFERROR(RIGHT("00"&amp;VALUE(LEFT(Sync!$U1158,FIND(":",Sync!$U1158)-1)),2)&amp;RIGHT("00"&amp;VALUE(MID(Sync!$U1158,FIND(":",Sync!$U1158)+1,2)),2),"0000"))))</f>
        <v/>
      </c>
    </row>
    <row r="1163" spans="1:17" x14ac:dyDescent="0.2">
      <c r="A1163" t="str">
        <f>IF(Sync!$T1159="","",Sync!$T1159)</f>
        <v/>
      </c>
      <c r="B1163" t="str">
        <f t="shared" si="108"/>
        <v/>
      </c>
      <c r="C1163" t="str">
        <f t="shared" si="109"/>
        <v/>
      </c>
      <c r="D1163" t="str">
        <f t="shared" si="110"/>
        <v/>
      </c>
      <c r="E1163" t="str">
        <f t="shared" si="111"/>
        <v/>
      </c>
      <c r="F1163" t="str">
        <f t="shared" si="112"/>
        <v/>
      </c>
      <c r="G1163" t="str">
        <f>IF(OR($E1163="",$E1163="نامعتبر",Sync!$X1159=""),"",IF(AND(LEFT(UPPER(TRIM(Sync!$X1159)),2)="SL",IFERROR(VLOOKUP(Sync!$W1159,OpTbl,3,0),"")="فروش"),UPPER(TRIM(Sync!$X1159)),""))</f>
        <v/>
      </c>
      <c r="H1163" t="str">
        <f>IF($G1163="","",IF(Sync!$W1159="","",Sync!$W1159))</f>
        <v/>
      </c>
      <c r="I1163" t="str">
        <f>IF(OR($G1163="",Sync!$Y1159=""),"",Sync!$Y1159)</f>
        <v/>
      </c>
      <c r="J1163" t="str">
        <f>IF(OR($G1163="",Sync!$Z1159=""),"",Sync!$Z1159)</f>
        <v/>
      </c>
      <c r="K1163">
        <f>IF($G1163="",0,IF(Sync!$AA1159="",0,Sync!$AA1159))</f>
        <v>0</v>
      </c>
      <c r="L1163">
        <f>IF($G1163="",0,IF(Sync!$AB1159="",0,Sync!$AB1159))</f>
        <v>0</v>
      </c>
      <c r="M1163" t="str">
        <f t="shared" si="113"/>
        <v/>
      </c>
      <c r="N1163">
        <f>IF($G1163="",0,IF($H1163="مرجوعی فروش",-1,1)*IF(Sync!$AC1159="",0,Sync!$AC1159))</f>
        <v>0</v>
      </c>
      <c r="O1163" t="str">
        <f>IF(OR($G1163="",Sync!$V1159=""),"",Sync!$V1159)</f>
        <v/>
      </c>
      <c r="P1163" t="str">
        <f>IF(OR($G1163="",Sync!$AD1159=""),"",Sync!$AD1159)</f>
        <v/>
      </c>
      <c r="Q1163" t="str">
        <f>IF($G1163="","",IF(Sync!$U1159="","0000",IF(AND(ISNUMBER(Sync!$U1159),Sync!$U1159&gt;=0,Sync!$U1159&lt;1),RIGHT("00"&amp;HOUR(Sync!$U1159),2)&amp;RIGHT("00"&amp;MINUTE(Sync!$U1159),2),IFERROR(RIGHT("00"&amp;VALUE(LEFT(Sync!$U1159,FIND(":",Sync!$U1159)-1)),2)&amp;RIGHT("00"&amp;VALUE(MID(Sync!$U1159,FIND(":",Sync!$U1159)+1,2)),2),"0000"))))</f>
        <v/>
      </c>
    </row>
    <row r="1164" spans="1:17" x14ac:dyDescent="0.2">
      <c r="A1164" t="str">
        <f>IF(Sync!$T1160="","",Sync!$T1160)</f>
        <v/>
      </c>
      <c r="B1164" t="str">
        <f t="shared" si="108"/>
        <v/>
      </c>
      <c r="C1164" t="str">
        <f t="shared" si="109"/>
        <v/>
      </c>
      <c r="D1164" t="str">
        <f t="shared" si="110"/>
        <v/>
      </c>
      <c r="E1164" t="str">
        <f t="shared" si="111"/>
        <v/>
      </c>
      <c r="F1164" t="str">
        <f t="shared" si="112"/>
        <v/>
      </c>
      <c r="G1164" t="str">
        <f>IF(OR($E1164="",$E1164="نامعتبر",Sync!$X1160=""),"",IF(AND(LEFT(UPPER(TRIM(Sync!$X1160)),2)="SL",IFERROR(VLOOKUP(Sync!$W1160,OpTbl,3,0),"")="فروش"),UPPER(TRIM(Sync!$X1160)),""))</f>
        <v/>
      </c>
      <c r="H1164" t="str">
        <f>IF($G1164="","",IF(Sync!$W1160="","",Sync!$W1160))</f>
        <v/>
      </c>
      <c r="I1164" t="str">
        <f>IF(OR($G1164="",Sync!$Y1160=""),"",Sync!$Y1160)</f>
        <v/>
      </c>
      <c r="J1164" t="str">
        <f>IF(OR($G1164="",Sync!$Z1160=""),"",Sync!$Z1160)</f>
        <v/>
      </c>
      <c r="K1164">
        <f>IF($G1164="",0,IF(Sync!$AA1160="",0,Sync!$AA1160))</f>
        <v>0</v>
      </c>
      <c r="L1164">
        <f>IF($G1164="",0,IF(Sync!$AB1160="",0,Sync!$AB1160))</f>
        <v>0</v>
      </c>
      <c r="M1164" t="str">
        <f t="shared" si="113"/>
        <v/>
      </c>
      <c r="N1164">
        <f>IF($G1164="",0,IF($H1164="مرجوعی فروش",-1,1)*IF(Sync!$AC1160="",0,Sync!$AC1160))</f>
        <v>0</v>
      </c>
      <c r="O1164" t="str">
        <f>IF(OR($G1164="",Sync!$V1160=""),"",Sync!$V1160)</f>
        <v/>
      </c>
      <c r="P1164" t="str">
        <f>IF(OR($G1164="",Sync!$AD1160=""),"",Sync!$AD1160)</f>
        <v/>
      </c>
      <c r="Q1164" t="str">
        <f>IF($G1164="","",IF(Sync!$U1160="","0000",IF(AND(ISNUMBER(Sync!$U1160),Sync!$U1160&gt;=0,Sync!$U1160&lt;1),RIGHT("00"&amp;HOUR(Sync!$U1160),2)&amp;RIGHT("00"&amp;MINUTE(Sync!$U1160),2),IFERROR(RIGHT("00"&amp;VALUE(LEFT(Sync!$U1160,FIND(":",Sync!$U1160)-1)),2)&amp;RIGHT("00"&amp;VALUE(MID(Sync!$U1160,FIND(":",Sync!$U1160)+1,2)),2),"0000"))))</f>
        <v/>
      </c>
    </row>
    <row r="1165" spans="1:17" x14ac:dyDescent="0.2">
      <c r="A1165" t="str">
        <f>IF(Sync!$T1161="","",Sync!$T1161)</f>
        <v/>
      </c>
      <c r="B1165" t="str">
        <f t="shared" si="108"/>
        <v/>
      </c>
      <c r="C1165" t="str">
        <f t="shared" si="109"/>
        <v/>
      </c>
      <c r="D1165" t="str">
        <f t="shared" si="110"/>
        <v/>
      </c>
      <c r="E1165" t="str">
        <f t="shared" si="111"/>
        <v/>
      </c>
      <c r="F1165" t="str">
        <f t="shared" si="112"/>
        <v/>
      </c>
      <c r="G1165" t="str">
        <f>IF(OR($E1165="",$E1165="نامعتبر",Sync!$X1161=""),"",IF(AND(LEFT(UPPER(TRIM(Sync!$X1161)),2)="SL",IFERROR(VLOOKUP(Sync!$W1161,OpTbl,3,0),"")="فروش"),UPPER(TRIM(Sync!$X1161)),""))</f>
        <v/>
      </c>
      <c r="H1165" t="str">
        <f>IF($G1165="","",IF(Sync!$W1161="","",Sync!$W1161))</f>
        <v/>
      </c>
      <c r="I1165" t="str">
        <f>IF(OR($G1165="",Sync!$Y1161=""),"",Sync!$Y1161)</f>
        <v/>
      </c>
      <c r="J1165" t="str">
        <f>IF(OR($G1165="",Sync!$Z1161=""),"",Sync!$Z1161)</f>
        <v/>
      </c>
      <c r="K1165">
        <f>IF($G1165="",0,IF(Sync!$AA1161="",0,Sync!$AA1161))</f>
        <v>0</v>
      </c>
      <c r="L1165">
        <f>IF($G1165="",0,IF(Sync!$AB1161="",0,Sync!$AB1161))</f>
        <v>0</v>
      </c>
      <c r="M1165" t="str">
        <f t="shared" si="113"/>
        <v/>
      </c>
      <c r="N1165">
        <f>IF($G1165="",0,IF($H1165="مرجوعی فروش",-1,1)*IF(Sync!$AC1161="",0,Sync!$AC1161))</f>
        <v>0</v>
      </c>
      <c r="O1165" t="str">
        <f>IF(OR($G1165="",Sync!$V1161=""),"",Sync!$V1161)</f>
        <v/>
      </c>
      <c r="P1165" t="str">
        <f>IF(OR($G1165="",Sync!$AD1161=""),"",Sync!$AD1161)</f>
        <v/>
      </c>
      <c r="Q1165" t="str">
        <f>IF($G1165="","",IF(Sync!$U1161="","0000",IF(AND(ISNUMBER(Sync!$U1161),Sync!$U1161&gt;=0,Sync!$U1161&lt;1),RIGHT("00"&amp;HOUR(Sync!$U1161),2)&amp;RIGHT("00"&amp;MINUTE(Sync!$U1161),2),IFERROR(RIGHT("00"&amp;VALUE(LEFT(Sync!$U1161,FIND(":",Sync!$U1161)-1)),2)&amp;RIGHT("00"&amp;VALUE(MID(Sync!$U1161,FIND(":",Sync!$U1161)+1,2)),2),"0000"))))</f>
        <v/>
      </c>
    </row>
    <row r="1166" spans="1:17" x14ac:dyDescent="0.2">
      <c r="A1166" t="str">
        <f>IF(Sync!$T1162="","",Sync!$T1162)</f>
        <v/>
      </c>
      <c r="B1166" t="str">
        <f t="shared" si="108"/>
        <v/>
      </c>
      <c r="C1166" t="str">
        <f t="shared" si="109"/>
        <v/>
      </c>
      <c r="D1166" t="str">
        <f t="shared" si="110"/>
        <v/>
      </c>
      <c r="E1166" t="str">
        <f t="shared" si="111"/>
        <v/>
      </c>
      <c r="F1166" t="str">
        <f t="shared" si="112"/>
        <v/>
      </c>
      <c r="G1166" t="str">
        <f>IF(OR($E1166="",$E1166="نامعتبر",Sync!$X1162=""),"",IF(AND(LEFT(UPPER(TRIM(Sync!$X1162)),2)="SL",IFERROR(VLOOKUP(Sync!$W1162,OpTbl,3,0),"")="فروش"),UPPER(TRIM(Sync!$X1162)),""))</f>
        <v/>
      </c>
      <c r="H1166" t="str">
        <f>IF($G1166="","",IF(Sync!$W1162="","",Sync!$W1162))</f>
        <v/>
      </c>
      <c r="I1166" t="str">
        <f>IF(OR($G1166="",Sync!$Y1162=""),"",Sync!$Y1162)</f>
        <v/>
      </c>
      <c r="J1166" t="str">
        <f>IF(OR($G1166="",Sync!$Z1162=""),"",Sync!$Z1162)</f>
        <v/>
      </c>
      <c r="K1166">
        <f>IF($G1166="",0,IF(Sync!$AA1162="",0,Sync!$AA1162))</f>
        <v>0</v>
      </c>
      <c r="L1166">
        <f>IF($G1166="",0,IF(Sync!$AB1162="",0,Sync!$AB1162))</f>
        <v>0</v>
      </c>
      <c r="M1166" t="str">
        <f t="shared" si="113"/>
        <v/>
      </c>
      <c r="N1166">
        <f>IF($G1166="",0,IF($H1166="مرجوعی فروش",-1,1)*IF(Sync!$AC1162="",0,Sync!$AC1162))</f>
        <v>0</v>
      </c>
      <c r="O1166" t="str">
        <f>IF(OR($G1166="",Sync!$V1162=""),"",Sync!$V1162)</f>
        <v/>
      </c>
      <c r="P1166" t="str">
        <f>IF(OR($G1166="",Sync!$AD1162=""),"",Sync!$AD1162)</f>
        <v/>
      </c>
      <c r="Q1166" t="str">
        <f>IF($G1166="","",IF(Sync!$U1162="","0000",IF(AND(ISNUMBER(Sync!$U1162),Sync!$U1162&gt;=0,Sync!$U1162&lt;1),RIGHT("00"&amp;HOUR(Sync!$U1162),2)&amp;RIGHT("00"&amp;MINUTE(Sync!$U1162),2),IFERROR(RIGHT("00"&amp;VALUE(LEFT(Sync!$U1162,FIND(":",Sync!$U1162)-1)),2)&amp;RIGHT("00"&amp;VALUE(MID(Sync!$U1162,FIND(":",Sync!$U1162)+1,2)),2),"0000"))))</f>
        <v/>
      </c>
    </row>
    <row r="1167" spans="1:17" x14ac:dyDescent="0.2">
      <c r="A1167" t="str">
        <f>IF(Sync!$T1163="","",Sync!$T1163)</f>
        <v/>
      </c>
      <c r="B1167" t="str">
        <f t="shared" si="108"/>
        <v/>
      </c>
      <c r="C1167" t="str">
        <f t="shared" si="109"/>
        <v/>
      </c>
      <c r="D1167" t="str">
        <f t="shared" si="110"/>
        <v/>
      </c>
      <c r="E1167" t="str">
        <f t="shared" si="111"/>
        <v/>
      </c>
      <c r="F1167" t="str">
        <f t="shared" si="112"/>
        <v/>
      </c>
      <c r="G1167" t="str">
        <f>IF(OR($E1167="",$E1167="نامعتبر",Sync!$X1163=""),"",IF(AND(LEFT(UPPER(TRIM(Sync!$X1163)),2)="SL",IFERROR(VLOOKUP(Sync!$W1163,OpTbl,3,0),"")="فروش"),UPPER(TRIM(Sync!$X1163)),""))</f>
        <v/>
      </c>
      <c r="H1167" t="str">
        <f>IF($G1167="","",IF(Sync!$W1163="","",Sync!$W1163))</f>
        <v/>
      </c>
      <c r="I1167" t="str">
        <f>IF(OR($G1167="",Sync!$Y1163=""),"",Sync!$Y1163)</f>
        <v/>
      </c>
      <c r="J1167" t="str">
        <f>IF(OR($G1167="",Sync!$Z1163=""),"",Sync!$Z1163)</f>
        <v/>
      </c>
      <c r="K1167">
        <f>IF($G1167="",0,IF(Sync!$AA1163="",0,Sync!$AA1163))</f>
        <v>0</v>
      </c>
      <c r="L1167">
        <f>IF($G1167="",0,IF(Sync!$AB1163="",0,Sync!$AB1163))</f>
        <v>0</v>
      </c>
      <c r="M1167" t="str">
        <f t="shared" si="113"/>
        <v/>
      </c>
      <c r="N1167">
        <f>IF($G1167="",0,IF($H1167="مرجوعی فروش",-1,1)*IF(Sync!$AC1163="",0,Sync!$AC1163))</f>
        <v>0</v>
      </c>
      <c r="O1167" t="str">
        <f>IF(OR($G1167="",Sync!$V1163=""),"",Sync!$V1163)</f>
        <v/>
      </c>
      <c r="P1167" t="str">
        <f>IF(OR($G1167="",Sync!$AD1163=""),"",Sync!$AD1163)</f>
        <v/>
      </c>
      <c r="Q1167" t="str">
        <f>IF($G1167="","",IF(Sync!$U1163="","0000",IF(AND(ISNUMBER(Sync!$U1163),Sync!$U1163&gt;=0,Sync!$U1163&lt;1),RIGHT("00"&amp;HOUR(Sync!$U1163),2)&amp;RIGHT("00"&amp;MINUTE(Sync!$U1163),2),IFERROR(RIGHT("00"&amp;VALUE(LEFT(Sync!$U1163,FIND(":",Sync!$U1163)-1)),2)&amp;RIGHT("00"&amp;VALUE(MID(Sync!$U1163,FIND(":",Sync!$U1163)+1,2)),2),"0000"))))</f>
        <v/>
      </c>
    </row>
    <row r="1168" spans="1:17" x14ac:dyDescent="0.2">
      <c r="A1168" t="str">
        <f>IF(Sync!$T1164="","",Sync!$T1164)</f>
        <v/>
      </c>
      <c r="B1168" t="str">
        <f t="shared" si="108"/>
        <v/>
      </c>
      <c r="C1168" t="str">
        <f t="shared" si="109"/>
        <v/>
      </c>
      <c r="D1168" t="str">
        <f t="shared" si="110"/>
        <v/>
      </c>
      <c r="E1168" t="str">
        <f t="shared" si="111"/>
        <v/>
      </c>
      <c r="F1168" t="str">
        <f t="shared" si="112"/>
        <v/>
      </c>
      <c r="G1168" t="str">
        <f>IF(OR($E1168="",$E1168="نامعتبر",Sync!$X1164=""),"",IF(AND(LEFT(UPPER(TRIM(Sync!$X1164)),2)="SL",IFERROR(VLOOKUP(Sync!$W1164,OpTbl,3,0),"")="فروش"),UPPER(TRIM(Sync!$X1164)),""))</f>
        <v/>
      </c>
      <c r="H1168" t="str">
        <f>IF($G1168="","",IF(Sync!$W1164="","",Sync!$W1164))</f>
        <v/>
      </c>
      <c r="I1168" t="str">
        <f>IF(OR($G1168="",Sync!$Y1164=""),"",Sync!$Y1164)</f>
        <v/>
      </c>
      <c r="J1168" t="str">
        <f>IF(OR($G1168="",Sync!$Z1164=""),"",Sync!$Z1164)</f>
        <v/>
      </c>
      <c r="K1168">
        <f>IF($G1168="",0,IF(Sync!$AA1164="",0,Sync!$AA1164))</f>
        <v>0</v>
      </c>
      <c r="L1168">
        <f>IF($G1168="",0,IF(Sync!$AB1164="",0,Sync!$AB1164))</f>
        <v>0</v>
      </c>
      <c r="M1168" t="str">
        <f t="shared" si="113"/>
        <v/>
      </c>
      <c r="N1168">
        <f>IF($G1168="",0,IF($H1168="مرجوعی فروش",-1,1)*IF(Sync!$AC1164="",0,Sync!$AC1164))</f>
        <v>0</v>
      </c>
      <c r="O1168" t="str">
        <f>IF(OR($G1168="",Sync!$V1164=""),"",Sync!$V1164)</f>
        <v/>
      </c>
      <c r="P1168" t="str">
        <f>IF(OR($G1168="",Sync!$AD1164=""),"",Sync!$AD1164)</f>
        <v/>
      </c>
      <c r="Q1168" t="str">
        <f>IF($G1168="","",IF(Sync!$U1164="","0000",IF(AND(ISNUMBER(Sync!$U1164),Sync!$U1164&gt;=0,Sync!$U1164&lt;1),RIGHT("00"&amp;HOUR(Sync!$U1164),2)&amp;RIGHT("00"&amp;MINUTE(Sync!$U1164),2),IFERROR(RIGHT("00"&amp;VALUE(LEFT(Sync!$U1164,FIND(":",Sync!$U1164)-1)),2)&amp;RIGHT("00"&amp;VALUE(MID(Sync!$U1164,FIND(":",Sync!$U1164)+1,2)),2),"0000"))))</f>
        <v/>
      </c>
    </row>
    <row r="1169" spans="1:17" x14ac:dyDescent="0.2">
      <c r="A1169" t="str">
        <f>IF(Sync!$T1165="","",Sync!$T1165)</f>
        <v/>
      </c>
      <c r="B1169" t="str">
        <f t="shared" si="108"/>
        <v/>
      </c>
      <c r="C1169" t="str">
        <f t="shared" si="109"/>
        <v/>
      </c>
      <c r="D1169" t="str">
        <f t="shared" si="110"/>
        <v/>
      </c>
      <c r="E1169" t="str">
        <f t="shared" si="111"/>
        <v/>
      </c>
      <c r="F1169" t="str">
        <f t="shared" si="112"/>
        <v/>
      </c>
      <c r="G1169" t="str">
        <f>IF(OR($E1169="",$E1169="نامعتبر",Sync!$X1165=""),"",IF(AND(LEFT(UPPER(TRIM(Sync!$X1165)),2)="SL",IFERROR(VLOOKUP(Sync!$W1165,OpTbl,3,0),"")="فروش"),UPPER(TRIM(Sync!$X1165)),""))</f>
        <v/>
      </c>
      <c r="H1169" t="str">
        <f>IF($G1169="","",IF(Sync!$W1165="","",Sync!$W1165))</f>
        <v/>
      </c>
      <c r="I1169" t="str">
        <f>IF(OR($G1169="",Sync!$Y1165=""),"",Sync!$Y1165)</f>
        <v/>
      </c>
      <c r="J1169" t="str">
        <f>IF(OR($G1169="",Sync!$Z1165=""),"",Sync!$Z1165)</f>
        <v/>
      </c>
      <c r="K1169">
        <f>IF($G1169="",0,IF(Sync!$AA1165="",0,Sync!$AA1165))</f>
        <v>0</v>
      </c>
      <c r="L1169">
        <f>IF($G1169="",0,IF(Sync!$AB1165="",0,Sync!$AB1165))</f>
        <v>0</v>
      </c>
      <c r="M1169" t="str">
        <f t="shared" si="113"/>
        <v/>
      </c>
      <c r="N1169">
        <f>IF($G1169="",0,IF($H1169="مرجوعی فروش",-1,1)*IF(Sync!$AC1165="",0,Sync!$AC1165))</f>
        <v>0</v>
      </c>
      <c r="O1169" t="str">
        <f>IF(OR($G1169="",Sync!$V1165=""),"",Sync!$V1165)</f>
        <v/>
      </c>
      <c r="P1169" t="str">
        <f>IF(OR($G1169="",Sync!$AD1165=""),"",Sync!$AD1165)</f>
        <v/>
      </c>
      <c r="Q1169" t="str">
        <f>IF($G1169="","",IF(Sync!$U1165="","0000",IF(AND(ISNUMBER(Sync!$U1165),Sync!$U1165&gt;=0,Sync!$U1165&lt;1),RIGHT("00"&amp;HOUR(Sync!$U1165),2)&amp;RIGHT("00"&amp;MINUTE(Sync!$U1165),2),IFERROR(RIGHT("00"&amp;VALUE(LEFT(Sync!$U1165,FIND(":",Sync!$U1165)-1)),2)&amp;RIGHT("00"&amp;VALUE(MID(Sync!$U1165,FIND(":",Sync!$U1165)+1,2)),2),"0000"))))</f>
        <v/>
      </c>
    </row>
    <row r="1170" spans="1:17" x14ac:dyDescent="0.2">
      <c r="A1170" t="str">
        <f>IF(Sync!$T1166="","",Sync!$T1166)</f>
        <v/>
      </c>
      <c r="B1170" t="str">
        <f t="shared" si="108"/>
        <v/>
      </c>
      <c r="C1170" t="str">
        <f t="shared" si="109"/>
        <v/>
      </c>
      <c r="D1170" t="str">
        <f t="shared" si="110"/>
        <v/>
      </c>
      <c r="E1170" t="str">
        <f t="shared" si="111"/>
        <v/>
      </c>
      <c r="F1170" t="str">
        <f t="shared" si="112"/>
        <v/>
      </c>
      <c r="G1170" t="str">
        <f>IF(OR($E1170="",$E1170="نامعتبر",Sync!$X1166=""),"",IF(AND(LEFT(UPPER(TRIM(Sync!$X1166)),2)="SL",IFERROR(VLOOKUP(Sync!$W1166,OpTbl,3,0),"")="فروش"),UPPER(TRIM(Sync!$X1166)),""))</f>
        <v/>
      </c>
      <c r="H1170" t="str">
        <f>IF($G1170="","",IF(Sync!$W1166="","",Sync!$W1166))</f>
        <v/>
      </c>
      <c r="I1170" t="str">
        <f>IF(OR($G1170="",Sync!$Y1166=""),"",Sync!$Y1166)</f>
        <v/>
      </c>
      <c r="J1170" t="str">
        <f>IF(OR($G1170="",Sync!$Z1166=""),"",Sync!$Z1166)</f>
        <v/>
      </c>
      <c r="K1170">
        <f>IF($G1170="",0,IF(Sync!$AA1166="",0,Sync!$AA1166))</f>
        <v>0</v>
      </c>
      <c r="L1170">
        <f>IF($G1170="",0,IF(Sync!$AB1166="",0,Sync!$AB1166))</f>
        <v>0</v>
      </c>
      <c r="M1170" t="str">
        <f t="shared" si="113"/>
        <v/>
      </c>
      <c r="N1170">
        <f>IF($G1170="",0,IF($H1170="مرجوعی فروش",-1,1)*IF(Sync!$AC1166="",0,Sync!$AC1166))</f>
        <v>0</v>
      </c>
      <c r="O1170" t="str">
        <f>IF(OR($G1170="",Sync!$V1166=""),"",Sync!$V1166)</f>
        <v/>
      </c>
      <c r="P1170" t="str">
        <f>IF(OR($G1170="",Sync!$AD1166=""),"",Sync!$AD1166)</f>
        <v/>
      </c>
      <c r="Q1170" t="str">
        <f>IF($G1170="","",IF(Sync!$U1166="","0000",IF(AND(ISNUMBER(Sync!$U1166),Sync!$U1166&gt;=0,Sync!$U1166&lt;1),RIGHT("00"&amp;HOUR(Sync!$U1166),2)&amp;RIGHT("00"&amp;MINUTE(Sync!$U1166),2),IFERROR(RIGHT("00"&amp;VALUE(LEFT(Sync!$U1166,FIND(":",Sync!$U1166)-1)),2)&amp;RIGHT("00"&amp;VALUE(MID(Sync!$U1166,FIND(":",Sync!$U1166)+1,2)),2),"0000"))))</f>
        <v/>
      </c>
    </row>
    <row r="1171" spans="1:17" x14ac:dyDescent="0.2">
      <c r="A1171" t="str">
        <f>IF(Sync!$T1167="","",Sync!$T1167)</f>
        <v/>
      </c>
      <c r="B1171" t="str">
        <f t="shared" si="108"/>
        <v/>
      </c>
      <c r="C1171" t="str">
        <f t="shared" si="109"/>
        <v/>
      </c>
      <c r="D1171" t="str">
        <f t="shared" si="110"/>
        <v/>
      </c>
      <c r="E1171" t="str">
        <f t="shared" si="111"/>
        <v/>
      </c>
      <c r="F1171" t="str">
        <f t="shared" si="112"/>
        <v/>
      </c>
      <c r="G1171" t="str">
        <f>IF(OR($E1171="",$E1171="نامعتبر",Sync!$X1167=""),"",IF(AND(LEFT(UPPER(TRIM(Sync!$X1167)),2)="SL",IFERROR(VLOOKUP(Sync!$W1167,OpTbl,3,0),"")="فروش"),UPPER(TRIM(Sync!$X1167)),""))</f>
        <v/>
      </c>
      <c r="H1171" t="str">
        <f>IF($G1171="","",IF(Sync!$W1167="","",Sync!$W1167))</f>
        <v/>
      </c>
      <c r="I1171" t="str">
        <f>IF(OR($G1171="",Sync!$Y1167=""),"",Sync!$Y1167)</f>
        <v/>
      </c>
      <c r="J1171" t="str">
        <f>IF(OR($G1171="",Sync!$Z1167=""),"",Sync!$Z1167)</f>
        <v/>
      </c>
      <c r="K1171">
        <f>IF($G1171="",0,IF(Sync!$AA1167="",0,Sync!$AA1167))</f>
        <v>0</v>
      </c>
      <c r="L1171">
        <f>IF($G1171="",0,IF(Sync!$AB1167="",0,Sync!$AB1167))</f>
        <v>0</v>
      </c>
      <c r="M1171" t="str">
        <f t="shared" si="113"/>
        <v/>
      </c>
      <c r="N1171">
        <f>IF($G1171="",0,IF($H1171="مرجوعی فروش",-1,1)*IF(Sync!$AC1167="",0,Sync!$AC1167))</f>
        <v>0</v>
      </c>
      <c r="O1171" t="str">
        <f>IF(OR($G1171="",Sync!$V1167=""),"",Sync!$V1167)</f>
        <v/>
      </c>
      <c r="P1171" t="str">
        <f>IF(OR($G1171="",Sync!$AD1167=""),"",Sync!$AD1167)</f>
        <v/>
      </c>
      <c r="Q1171" t="str">
        <f>IF($G1171="","",IF(Sync!$U1167="","0000",IF(AND(ISNUMBER(Sync!$U1167),Sync!$U1167&gt;=0,Sync!$U1167&lt;1),RIGHT("00"&amp;HOUR(Sync!$U1167),2)&amp;RIGHT("00"&amp;MINUTE(Sync!$U1167),2),IFERROR(RIGHT("00"&amp;VALUE(LEFT(Sync!$U1167,FIND(":",Sync!$U1167)-1)),2)&amp;RIGHT("00"&amp;VALUE(MID(Sync!$U1167,FIND(":",Sync!$U1167)+1,2)),2),"0000"))))</f>
        <v/>
      </c>
    </row>
    <row r="1172" spans="1:17" x14ac:dyDescent="0.2">
      <c r="A1172" t="str">
        <f>IF(Sync!$T1168="","",Sync!$T1168)</f>
        <v/>
      </c>
      <c r="B1172" t="str">
        <f t="shared" si="108"/>
        <v/>
      </c>
      <c r="C1172" t="str">
        <f t="shared" si="109"/>
        <v/>
      </c>
      <c r="D1172" t="str">
        <f t="shared" si="110"/>
        <v/>
      </c>
      <c r="E1172" t="str">
        <f t="shared" si="111"/>
        <v/>
      </c>
      <c r="F1172" t="str">
        <f t="shared" si="112"/>
        <v/>
      </c>
      <c r="G1172" t="str">
        <f>IF(OR($E1172="",$E1172="نامعتبر",Sync!$X1168=""),"",IF(AND(LEFT(UPPER(TRIM(Sync!$X1168)),2)="SL",IFERROR(VLOOKUP(Sync!$W1168,OpTbl,3,0),"")="فروش"),UPPER(TRIM(Sync!$X1168)),""))</f>
        <v/>
      </c>
      <c r="H1172" t="str">
        <f>IF($G1172="","",IF(Sync!$W1168="","",Sync!$W1168))</f>
        <v/>
      </c>
      <c r="I1172" t="str">
        <f>IF(OR($G1172="",Sync!$Y1168=""),"",Sync!$Y1168)</f>
        <v/>
      </c>
      <c r="J1172" t="str">
        <f>IF(OR($G1172="",Sync!$Z1168=""),"",Sync!$Z1168)</f>
        <v/>
      </c>
      <c r="K1172">
        <f>IF($G1172="",0,IF(Sync!$AA1168="",0,Sync!$AA1168))</f>
        <v>0</v>
      </c>
      <c r="L1172">
        <f>IF($G1172="",0,IF(Sync!$AB1168="",0,Sync!$AB1168))</f>
        <v>0</v>
      </c>
      <c r="M1172" t="str">
        <f t="shared" si="113"/>
        <v/>
      </c>
      <c r="N1172">
        <f>IF($G1172="",0,IF($H1172="مرجوعی فروش",-1,1)*IF(Sync!$AC1168="",0,Sync!$AC1168))</f>
        <v>0</v>
      </c>
      <c r="O1172" t="str">
        <f>IF(OR($G1172="",Sync!$V1168=""),"",Sync!$V1168)</f>
        <v/>
      </c>
      <c r="P1172" t="str">
        <f>IF(OR($G1172="",Sync!$AD1168=""),"",Sync!$AD1168)</f>
        <v/>
      </c>
      <c r="Q1172" t="str">
        <f>IF($G1172="","",IF(Sync!$U1168="","0000",IF(AND(ISNUMBER(Sync!$U1168),Sync!$U1168&gt;=0,Sync!$U1168&lt;1),RIGHT("00"&amp;HOUR(Sync!$U1168),2)&amp;RIGHT("00"&amp;MINUTE(Sync!$U1168),2),IFERROR(RIGHT("00"&amp;VALUE(LEFT(Sync!$U1168,FIND(":",Sync!$U1168)-1)),2)&amp;RIGHT("00"&amp;VALUE(MID(Sync!$U1168,FIND(":",Sync!$U1168)+1,2)),2),"0000"))))</f>
        <v/>
      </c>
    </row>
    <row r="1173" spans="1:17" x14ac:dyDescent="0.2">
      <c r="A1173" t="str">
        <f>IF(Sync!$T1169="","",Sync!$T1169)</f>
        <v/>
      </c>
      <c r="B1173" t="str">
        <f t="shared" si="108"/>
        <v/>
      </c>
      <c r="C1173" t="str">
        <f t="shared" si="109"/>
        <v/>
      </c>
      <c r="D1173" t="str">
        <f t="shared" si="110"/>
        <v/>
      </c>
      <c r="E1173" t="str">
        <f t="shared" si="111"/>
        <v/>
      </c>
      <c r="F1173" t="str">
        <f t="shared" si="112"/>
        <v/>
      </c>
      <c r="G1173" t="str">
        <f>IF(OR($E1173="",$E1173="نامعتبر",Sync!$X1169=""),"",IF(AND(LEFT(UPPER(TRIM(Sync!$X1169)),2)="SL",IFERROR(VLOOKUP(Sync!$W1169,OpTbl,3,0),"")="فروش"),UPPER(TRIM(Sync!$X1169)),""))</f>
        <v/>
      </c>
      <c r="H1173" t="str">
        <f>IF($G1173="","",IF(Sync!$W1169="","",Sync!$W1169))</f>
        <v/>
      </c>
      <c r="I1173" t="str">
        <f>IF(OR($G1173="",Sync!$Y1169=""),"",Sync!$Y1169)</f>
        <v/>
      </c>
      <c r="J1173" t="str">
        <f>IF(OR($G1173="",Sync!$Z1169=""),"",Sync!$Z1169)</f>
        <v/>
      </c>
      <c r="K1173">
        <f>IF($G1173="",0,IF(Sync!$AA1169="",0,Sync!$AA1169))</f>
        <v>0</v>
      </c>
      <c r="L1173">
        <f>IF($G1173="",0,IF(Sync!$AB1169="",0,Sync!$AB1169))</f>
        <v>0</v>
      </c>
      <c r="M1173" t="str">
        <f t="shared" si="113"/>
        <v/>
      </c>
      <c r="N1173">
        <f>IF($G1173="",0,IF($H1173="مرجوعی فروش",-1,1)*IF(Sync!$AC1169="",0,Sync!$AC1169))</f>
        <v>0</v>
      </c>
      <c r="O1173" t="str">
        <f>IF(OR($G1173="",Sync!$V1169=""),"",Sync!$V1169)</f>
        <v/>
      </c>
      <c r="P1173" t="str">
        <f>IF(OR($G1173="",Sync!$AD1169=""),"",Sync!$AD1169)</f>
        <v/>
      </c>
      <c r="Q1173" t="str">
        <f>IF($G1173="","",IF(Sync!$U1169="","0000",IF(AND(ISNUMBER(Sync!$U1169),Sync!$U1169&gt;=0,Sync!$U1169&lt;1),RIGHT("00"&amp;HOUR(Sync!$U1169),2)&amp;RIGHT("00"&amp;MINUTE(Sync!$U1169),2),IFERROR(RIGHT("00"&amp;VALUE(LEFT(Sync!$U1169,FIND(":",Sync!$U1169)-1)),2)&amp;RIGHT("00"&amp;VALUE(MID(Sync!$U1169,FIND(":",Sync!$U1169)+1,2)),2),"0000"))))</f>
        <v/>
      </c>
    </row>
    <row r="1174" spans="1:17" x14ac:dyDescent="0.2">
      <c r="A1174" t="str">
        <f>IF(Sync!$T1170="","",Sync!$T1170)</f>
        <v/>
      </c>
      <c r="B1174" t="str">
        <f t="shared" si="108"/>
        <v/>
      </c>
      <c r="C1174" t="str">
        <f t="shared" si="109"/>
        <v/>
      </c>
      <c r="D1174" t="str">
        <f t="shared" si="110"/>
        <v/>
      </c>
      <c r="E1174" t="str">
        <f t="shared" si="111"/>
        <v/>
      </c>
      <c r="F1174" t="str">
        <f t="shared" si="112"/>
        <v/>
      </c>
      <c r="G1174" t="str">
        <f>IF(OR($E1174="",$E1174="نامعتبر",Sync!$X1170=""),"",IF(AND(LEFT(UPPER(TRIM(Sync!$X1170)),2)="SL",IFERROR(VLOOKUP(Sync!$W1170,OpTbl,3,0),"")="فروش"),UPPER(TRIM(Sync!$X1170)),""))</f>
        <v/>
      </c>
      <c r="H1174" t="str">
        <f>IF($G1174="","",IF(Sync!$W1170="","",Sync!$W1170))</f>
        <v/>
      </c>
      <c r="I1174" t="str">
        <f>IF(OR($G1174="",Sync!$Y1170=""),"",Sync!$Y1170)</f>
        <v/>
      </c>
      <c r="J1174" t="str">
        <f>IF(OR($G1174="",Sync!$Z1170=""),"",Sync!$Z1170)</f>
        <v/>
      </c>
      <c r="K1174">
        <f>IF($G1174="",0,IF(Sync!$AA1170="",0,Sync!$AA1170))</f>
        <v>0</v>
      </c>
      <c r="L1174">
        <f>IF($G1174="",0,IF(Sync!$AB1170="",0,Sync!$AB1170))</f>
        <v>0</v>
      </c>
      <c r="M1174" t="str">
        <f t="shared" si="113"/>
        <v/>
      </c>
      <c r="N1174">
        <f>IF($G1174="",0,IF($H1174="مرجوعی فروش",-1,1)*IF(Sync!$AC1170="",0,Sync!$AC1170))</f>
        <v>0</v>
      </c>
      <c r="O1174" t="str">
        <f>IF(OR($G1174="",Sync!$V1170=""),"",Sync!$V1170)</f>
        <v/>
      </c>
      <c r="P1174" t="str">
        <f>IF(OR($G1174="",Sync!$AD1170=""),"",Sync!$AD1170)</f>
        <v/>
      </c>
      <c r="Q1174" t="str">
        <f>IF($G1174="","",IF(Sync!$U1170="","0000",IF(AND(ISNUMBER(Sync!$U1170),Sync!$U1170&gt;=0,Sync!$U1170&lt;1),RIGHT("00"&amp;HOUR(Sync!$U1170),2)&amp;RIGHT("00"&amp;MINUTE(Sync!$U1170),2),IFERROR(RIGHT("00"&amp;VALUE(LEFT(Sync!$U1170,FIND(":",Sync!$U1170)-1)),2)&amp;RIGHT("00"&amp;VALUE(MID(Sync!$U1170,FIND(":",Sync!$U1170)+1,2)),2),"0000"))))</f>
        <v/>
      </c>
    </row>
    <row r="1175" spans="1:17" x14ac:dyDescent="0.2">
      <c r="A1175" t="str">
        <f>IF(Sync!$T1171="","",Sync!$T1171)</f>
        <v/>
      </c>
      <c r="B1175" t="str">
        <f t="shared" si="108"/>
        <v/>
      </c>
      <c r="C1175" t="str">
        <f t="shared" si="109"/>
        <v/>
      </c>
      <c r="D1175" t="str">
        <f t="shared" si="110"/>
        <v/>
      </c>
      <c r="E1175" t="str">
        <f t="shared" si="111"/>
        <v/>
      </c>
      <c r="F1175" t="str">
        <f t="shared" si="112"/>
        <v/>
      </c>
      <c r="G1175" t="str">
        <f>IF(OR($E1175="",$E1175="نامعتبر",Sync!$X1171=""),"",IF(AND(LEFT(UPPER(TRIM(Sync!$X1171)),2)="SL",IFERROR(VLOOKUP(Sync!$W1171,OpTbl,3,0),"")="فروش"),UPPER(TRIM(Sync!$X1171)),""))</f>
        <v/>
      </c>
      <c r="H1175" t="str">
        <f>IF($G1175="","",IF(Sync!$W1171="","",Sync!$W1171))</f>
        <v/>
      </c>
      <c r="I1175" t="str">
        <f>IF(OR($G1175="",Sync!$Y1171=""),"",Sync!$Y1171)</f>
        <v/>
      </c>
      <c r="J1175" t="str">
        <f>IF(OR($G1175="",Sync!$Z1171=""),"",Sync!$Z1171)</f>
        <v/>
      </c>
      <c r="K1175">
        <f>IF($G1175="",0,IF(Sync!$AA1171="",0,Sync!$AA1171))</f>
        <v>0</v>
      </c>
      <c r="L1175">
        <f>IF($G1175="",0,IF(Sync!$AB1171="",0,Sync!$AB1171))</f>
        <v>0</v>
      </c>
      <c r="M1175" t="str">
        <f t="shared" si="113"/>
        <v/>
      </c>
      <c r="N1175">
        <f>IF($G1175="",0,IF($H1175="مرجوعی فروش",-1,1)*IF(Sync!$AC1171="",0,Sync!$AC1171))</f>
        <v>0</v>
      </c>
      <c r="O1175" t="str">
        <f>IF(OR($G1175="",Sync!$V1171=""),"",Sync!$V1171)</f>
        <v/>
      </c>
      <c r="P1175" t="str">
        <f>IF(OR($G1175="",Sync!$AD1171=""),"",Sync!$AD1171)</f>
        <v/>
      </c>
      <c r="Q1175" t="str">
        <f>IF($G1175="","",IF(Sync!$U1171="","0000",IF(AND(ISNUMBER(Sync!$U1171),Sync!$U1171&gt;=0,Sync!$U1171&lt;1),RIGHT("00"&amp;HOUR(Sync!$U1171),2)&amp;RIGHT("00"&amp;MINUTE(Sync!$U1171),2),IFERROR(RIGHT("00"&amp;VALUE(LEFT(Sync!$U1171,FIND(":",Sync!$U1171)-1)),2)&amp;RIGHT("00"&amp;VALUE(MID(Sync!$U1171,FIND(":",Sync!$U1171)+1,2)),2),"0000"))))</f>
        <v/>
      </c>
    </row>
    <row r="1176" spans="1:17" x14ac:dyDescent="0.2">
      <c r="A1176" t="str">
        <f>IF(Sync!$T1172="","",Sync!$T1172)</f>
        <v/>
      </c>
      <c r="B1176" t="str">
        <f t="shared" si="108"/>
        <v/>
      </c>
      <c r="C1176" t="str">
        <f t="shared" si="109"/>
        <v/>
      </c>
      <c r="D1176" t="str">
        <f t="shared" si="110"/>
        <v/>
      </c>
      <c r="E1176" t="str">
        <f t="shared" si="111"/>
        <v/>
      </c>
      <c r="F1176" t="str">
        <f t="shared" si="112"/>
        <v/>
      </c>
      <c r="G1176" t="str">
        <f>IF(OR($E1176="",$E1176="نامعتبر",Sync!$X1172=""),"",IF(AND(LEFT(UPPER(TRIM(Sync!$X1172)),2)="SL",IFERROR(VLOOKUP(Sync!$W1172,OpTbl,3,0),"")="فروش"),UPPER(TRIM(Sync!$X1172)),""))</f>
        <v/>
      </c>
      <c r="H1176" t="str">
        <f>IF($G1176="","",IF(Sync!$W1172="","",Sync!$W1172))</f>
        <v/>
      </c>
      <c r="I1176" t="str">
        <f>IF(OR($G1176="",Sync!$Y1172=""),"",Sync!$Y1172)</f>
        <v/>
      </c>
      <c r="J1176" t="str">
        <f>IF(OR($G1176="",Sync!$Z1172=""),"",Sync!$Z1172)</f>
        <v/>
      </c>
      <c r="K1176">
        <f>IF($G1176="",0,IF(Sync!$AA1172="",0,Sync!$AA1172))</f>
        <v>0</v>
      </c>
      <c r="L1176">
        <f>IF($G1176="",0,IF(Sync!$AB1172="",0,Sync!$AB1172))</f>
        <v>0</v>
      </c>
      <c r="M1176" t="str">
        <f t="shared" si="113"/>
        <v/>
      </c>
      <c r="N1176">
        <f>IF($G1176="",0,IF($H1176="مرجوعی فروش",-1,1)*IF(Sync!$AC1172="",0,Sync!$AC1172))</f>
        <v>0</v>
      </c>
      <c r="O1176" t="str">
        <f>IF(OR($G1176="",Sync!$V1172=""),"",Sync!$V1172)</f>
        <v/>
      </c>
      <c r="P1176" t="str">
        <f>IF(OR($G1176="",Sync!$AD1172=""),"",Sync!$AD1172)</f>
        <v/>
      </c>
      <c r="Q1176" t="str">
        <f>IF($G1176="","",IF(Sync!$U1172="","0000",IF(AND(ISNUMBER(Sync!$U1172),Sync!$U1172&gt;=0,Sync!$U1172&lt;1),RIGHT("00"&amp;HOUR(Sync!$U1172),2)&amp;RIGHT("00"&amp;MINUTE(Sync!$U1172),2),IFERROR(RIGHT("00"&amp;VALUE(LEFT(Sync!$U1172,FIND(":",Sync!$U1172)-1)),2)&amp;RIGHT("00"&amp;VALUE(MID(Sync!$U1172,FIND(":",Sync!$U1172)+1,2)),2),"0000"))))</f>
        <v/>
      </c>
    </row>
    <row r="1177" spans="1:17" x14ac:dyDescent="0.2">
      <c r="A1177" t="str">
        <f>IF(Sync!$T1173="","",Sync!$T1173)</f>
        <v/>
      </c>
      <c r="B1177" t="str">
        <f t="shared" si="108"/>
        <v/>
      </c>
      <c r="C1177" t="str">
        <f t="shared" si="109"/>
        <v/>
      </c>
      <c r="D1177" t="str">
        <f t="shared" si="110"/>
        <v/>
      </c>
      <c r="E1177" t="str">
        <f t="shared" si="111"/>
        <v/>
      </c>
      <c r="F1177" t="str">
        <f t="shared" si="112"/>
        <v/>
      </c>
      <c r="G1177" t="str">
        <f>IF(OR($E1177="",$E1177="نامعتبر",Sync!$X1173=""),"",IF(AND(LEFT(UPPER(TRIM(Sync!$X1173)),2)="SL",IFERROR(VLOOKUP(Sync!$W1173,OpTbl,3,0),"")="فروش"),UPPER(TRIM(Sync!$X1173)),""))</f>
        <v/>
      </c>
      <c r="H1177" t="str">
        <f>IF($G1177="","",IF(Sync!$W1173="","",Sync!$W1173))</f>
        <v/>
      </c>
      <c r="I1177" t="str">
        <f>IF(OR($G1177="",Sync!$Y1173=""),"",Sync!$Y1173)</f>
        <v/>
      </c>
      <c r="J1177" t="str">
        <f>IF(OR($G1177="",Sync!$Z1173=""),"",Sync!$Z1173)</f>
        <v/>
      </c>
      <c r="K1177">
        <f>IF($G1177="",0,IF(Sync!$AA1173="",0,Sync!$AA1173))</f>
        <v>0</v>
      </c>
      <c r="L1177">
        <f>IF($G1177="",0,IF(Sync!$AB1173="",0,Sync!$AB1173))</f>
        <v>0</v>
      </c>
      <c r="M1177" t="str">
        <f t="shared" si="113"/>
        <v/>
      </c>
      <c r="N1177">
        <f>IF($G1177="",0,IF($H1177="مرجوعی فروش",-1,1)*IF(Sync!$AC1173="",0,Sync!$AC1173))</f>
        <v>0</v>
      </c>
      <c r="O1177" t="str">
        <f>IF(OR($G1177="",Sync!$V1173=""),"",Sync!$V1173)</f>
        <v/>
      </c>
      <c r="P1177" t="str">
        <f>IF(OR($G1177="",Sync!$AD1173=""),"",Sync!$AD1173)</f>
        <v/>
      </c>
      <c r="Q1177" t="str">
        <f>IF($G1177="","",IF(Sync!$U1173="","0000",IF(AND(ISNUMBER(Sync!$U1173),Sync!$U1173&gt;=0,Sync!$U1173&lt;1),RIGHT("00"&amp;HOUR(Sync!$U1173),2)&amp;RIGHT("00"&amp;MINUTE(Sync!$U1173),2),IFERROR(RIGHT("00"&amp;VALUE(LEFT(Sync!$U1173,FIND(":",Sync!$U1173)-1)),2)&amp;RIGHT("00"&amp;VALUE(MID(Sync!$U1173,FIND(":",Sync!$U1173)+1,2)),2),"0000"))))</f>
        <v/>
      </c>
    </row>
    <row r="1178" spans="1:17" x14ac:dyDescent="0.2">
      <c r="A1178" t="str">
        <f>IF(Sync!$T1174="","",Sync!$T1174)</f>
        <v/>
      </c>
      <c r="B1178" t="str">
        <f t="shared" si="108"/>
        <v/>
      </c>
      <c r="C1178" t="str">
        <f t="shared" si="109"/>
        <v/>
      </c>
      <c r="D1178" t="str">
        <f t="shared" si="110"/>
        <v/>
      </c>
      <c r="E1178" t="str">
        <f t="shared" si="111"/>
        <v/>
      </c>
      <c r="F1178" t="str">
        <f t="shared" si="112"/>
        <v/>
      </c>
      <c r="G1178" t="str">
        <f>IF(OR($E1178="",$E1178="نامعتبر",Sync!$X1174=""),"",IF(AND(LEFT(UPPER(TRIM(Sync!$X1174)),2)="SL",IFERROR(VLOOKUP(Sync!$W1174,OpTbl,3,0),"")="فروش"),UPPER(TRIM(Sync!$X1174)),""))</f>
        <v/>
      </c>
      <c r="H1178" t="str">
        <f>IF($G1178="","",IF(Sync!$W1174="","",Sync!$W1174))</f>
        <v/>
      </c>
      <c r="I1178" t="str">
        <f>IF(OR($G1178="",Sync!$Y1174=""),"",Sync!$Y1174)</f>
        <v/>
      </c>
      <c r="J1178" t="str">
        <f>IF(OR($G1178="",Sync!$Z1174=""),"",Sync!$Z1174)</f>
        <v/>
      </c>
      <c r="K1178">
        <f>IF($G1178="",0,IF(Sync!$AA1174="",0,Sync!$AA1174))</f>
        <v>0</v>
      </c>
      <c r="L1178">
        <f>IF($G1178="",0,IF(Sync!$AB1174="",0,Sync!$AB1174))</f>
        <v>0</v>
      </c>
      <c r="M1178" t="str">
        <f t="shared" si="113"/>
        <v/>
      </c>
      <c r="N1178">
        <f>IF($G1178="",0,IF($H1178="مرجوعی فروش",-1,1)*IF(Sync!$AC1174="",0,Sync!$AC1174))</f>
        <v>0</v>
      </c>
      <c r="O1178" t="str">
        <f>IF(OR($G1178="",Sync!$V1174=""),"",Sync!$V1174)</f>
        <v/>
      </c>
      <c r="P1178" t="str">
        <f>IF(OR($G1178="",Sync!$AD1174=""),"",Sync!$AD1174)</f>
        <v/>
      </c>
      <c r="Q1178" t="str">
        <f>IF($G1178="","",IF(Sync!$U1174="","0000",IF(AND(ISNUMBER(Sync!$U1174),Sync!$U1174&gt;=0,Sync!$U1174&lt;1),RIGHT("00"&amp;HOUR(Sync!$U1174),2)&amp;RIGHT("00"&amp;MINUTE(Sync!$U1174),2),IFERROR(RIGHT("00"&amp;VALUE(LEFT(Sync!$U1174,FIND(":",Sync!$U1174)-1)),2)&amp;RIGHT("00"&amp;VALUE(MID(Sync!$U1174,FIND(":",Sync!$U1174)+1,2)),2),"0000"))))</f>
        <v/>
      </c>
    </row>
    <row r="1179" spans="1:17" x14ac:dyDescent="0.2">
      <c r="A1179" t="str">
        <f>IF(Sync!$T1175="","",Sync!$T1175)</f>
        <v/>
      </c>
      <c r="B1179" t="str">
        <f t="shared" si="108"/>
        <v/>
      </c>
      <c r="C1179" t="str">
        <f t="shared" si="109"/>
        <v/>
      </c>
      <c r="D1179" t="str">
        <f t="shared" si="110"/>
        <v/>
      </c>
      <c r="E1179" t="str">
        <f t="shared" si="111"/>
        <v/>
      </c>
      <c r="F1179" t="str">
        <f t="shared" si="112"/>
        <v/>
      </c>
      <c r="G1179" t="str">
        <f>IF(OR($E1179="",$E1179="نامعتبر",Sync!$X1175=""),"",IF(AND(LEFT(UPPER(TRIM(Sync!$X1175)),2)="SL",IFERROR(VLOOKUP(Sync!$W1175,OpTbl,3,0),"")="فروش"),UPPER(TRIM(Sync!$X1175)),""))</f>
        <v/>
      </c>
      <c r="H1179" t="str">
        <f>IF($G1179="","",IF(Sync!$W1175="","",Sync!$W1175))</f>
        <v/>
      </c>
      <c r="I1179" t="str">
        <f>IF(OR($G1179="",Sync!$Y1175=""),"",Sync!$Y1175)</f>
        <v/>
      </c>
      <c r="J1179" t="str">
        <f>IF(OR($G1179="",Sync!$Z1175=""),"",Sync!$Z1175)</f>
        <v/>
      </c>
      <c r="K1179">
        <f>IF($G1179="",0,IF(Sync!$AA1175="",0,Sync!$AA1175))</f>
        <v>0</v>
      </c>
      <c r="L1179">
        <f>IF($G1179="",0,IF(Sync!$AB1175="",0,Sync!$AB1175))</f>
        <v>0</v>
      </c>
      <c r="M1179" t="str">
        <f t="shared" si="113"/>
        <v/>
      </c>
      <c r="N1179">
        <f>IF($G1179="",0,IF($H1179="مرجوعی فروش",-1,1)*IF(Sync!$AC1175="",0,Sync!$AC1175))</f>
        <v>0</v>
      </c>
      <c r="O1179" t="str">
        <f>IF(OR($G1179="",Sync!$V1175=""),"",Sync!$V1175)</f>
        <v/>
      </c>
      <c r="P1179" t="str">
        <f>IF(OR($G1179="",Sync!$AD1175=""),"",Sync!$AD1175)</f>
        <v/>
      </c>
      <c r="Q1179" t="str">
        <f>IF($G1179="","",IF(Sync!$U1175="","0000",IF(AND(ISNUMBER(Sync!$U1175),Sync!$U1175&gt;=0,Sync!$U1175&lt;1),RIGHT("00"&amp;HOUR(Sync!$U1175),2)&amp;RIGHT("00"&amp;MINUTE(Sync!$U1175),2),IFERROR(RIGHT("00"&amp;VALUE(LEFT(Sync!$U1175,FIND(":",Sync!$U1175)-1)),2)&amp;RIGHT("00"&amp;VALUE(MID(Sync!$U1175,FIND(":",Sync!$U1175)+1,2)),2),"0000"))))</f>
        <v/>
      </c>
    </row>
    <row r="1180" spans="1:17" x14ac:dyDescent="0.2">
      <c r="A1180" t="str">
        <f>IF(Sync!$T1176="","",Sync!$T1176)</f>
        <v/>
      </c>
      <c r="B1180" t="str">
        <f t="shared" si="108"/>
        <v/>
      </c>
      <c r="C1180" t="str">
        <f t="shared" si="109"/>
        <v/>
      </c>
      <c r="D1180" t="str">
        <f t="shared" si="110"/>
        <v/>
      </c>
      <c r="E1180" t="str">
        <f t="shared" si="111"/>
        <v/>
      </c>
      <c r="F1180" t="str">
        <f t="shared" si="112"/>
        <v/>
      </c>
      <c r="G1180" t="str">
        <f>IF(OR($E1180="",$E1180="نامعتبر",Sync!$X1176=""),"",IF(AND(LEFT(UPPER(TRIM(Sync!$X1176)),2)="SL",IFERROR(VLOOKUP(Sync!$W1176,OpTbl,3,0),"")="فروش"),UPPER(TRIM(Sync!$X1176)),""))</f>
        <v/>
      </c>
      <c r="H1180" t="str">
        <f>IF($G1180="","",IF(Sync!$W1176="","",Sync!$W1176))</f>
        <v/>
      </c>
      <c r="I1180" t="str">
        <f>IF(OR($G1180="",Sync!$Y1176=""),"",Sync!$Y1176)</f>
        <v/>
      </c>
      <c r="J1180" t="str">
        <f>IF(OR($G1180="",Sync!$Z1176=""),"",Sync!$Z1176)</f>
        <v/>
      </c>
      <c r="K1180">
        <f>IF($G1180="",0,IF(Sync!$AA1176="",0,Sync!$AA1176))</f>
        <v>0</v>
      </c>
      <c r="L1180">
        <f>IF($G1180="",0,IF(Sync!$AB1176="",0,Sync!$AB1176))</f>
        <v>0</v>
      </c>
      <c r="M1180" t="str">
        <f t="shared" si="113"/>
        <v/>
      </c>
      <c r="N1180">
        <f>IF($G1180="",0,IF($H1180="مرجوعی فروش",-1,1)*IF(Sync!$AC1176="",0,Sync!$AC1176))</f>
        <v>0</v>
      </c>
      <c r="O1180" t="str">
        <f>IF(OR($G1180="",Sync!$V1176=""),"",Sync!$V1176)</f>
        <v/>
      </c>
      <c r="P1180" t="str">
        <f>IF(OR($G1180="",Sync!$AD1176=""),"",Sync!$AD1176)</f>
        <v/>
      </c>
      <c r="Q1180" t="str">
        <f>IF($G1180="","",IF(Sync!$U1176="","0000",IF(AND(ISNUMBER(Sync!$U1176),Sync!$U1176&gt;=0,Sync!$U1176&lt;1),RIGHT("00"&amp;HOUR(Sync!$U1176),2)&amp;RIGHT("00"&amp;MINUTE(Sync!$U1176),2),IFERROR(RIGHT("00"&amp;VALUE(LEFT(Sync!$U1176,FIND(":",Sync!$U1176)-1)),2)&amp;RIGHT("00"&amp;VALUE(MID(Sync!$U1176,FIND(":",Sync!$U1176)+1,2)),2),"0000"))))</f>
        <v/>
      </c>
    </row>
    <row r="1181" spans="1:17" x14ac:dyDescent="0.2">
      <c r="A1181" t="str">
        <f>IF(Sync!$T1177="","",Sync!$T1177)</f>
        <v/>
      </c>
      <c r="B1181" t="str">
        <f t="shared" si="108"/>
        <v/>
      </c>
      <c r="C1181" t="str">
        <f t="shared" si="109"/>
        <v/>
      </c>
      <c r="D1181" t="str">
        <f t="shared" si="110"/>
        <v/>
      </c>
      <c r="E1181" t="str">
        <f t="shared" si="111"/>
        <v/>
      </c>
      <c r="F1181" t="str">
        <f t="shared" si="112"/>
        <v/>
      </c>
      <c r="G1181" t="str">
        <f>IF(OR($E1181="",$E1181="نامعتبر",Sync!$X1177=""),"",IF(AND(LEFT(UPPER(TRIM(Sync!$X1177)),2)="SL",IFERROR(VLOOKUP(Sync!$W1177,OpTbl,3,0),"")="فروش"),UPPER(TRIM(Sync!$X1177)),""))</f>
        <v/>
      </c>
      <c r="H1181" t="str">
        <f>IF($G1181="","",IF(Sync!$W1177="","",Sync!$W1177))</f>
        <v/>
      </c>
      <c r="I1181" t="str">
        <f>IF(OR($G1181="",Sync!$Y1177=""),"",Sync!$Y1177)</f>
        <v/>
      </c>
      <c r="J1181" t="str">
        <f>IF(OR($G1181="",Sync!$Z1177=""),"",Sync!$Z1177)</f>
        <v/>
      </c>
      <c r="K1181">
        <f>IF($G1181="",0,IF(Sync!$AA1177="",0,Sync!$AA1177))</f>
        <v>0</v>
      </c>
      <c r="L1181">
        <f>IF($G1181="",0,IF(Sync!$AB1177="",0,Sync!$AB1177))</f>
        <v>0</v>
      </c>
      <c r="M1181" t="str">
        <f t="shared" si="113"/>
        <v/>
      </c>
      <c r="N1181">
        <f>IF($G1181="",0,IF($H1181="مرجوعی فروش",-1,1)*IF(Sync!$AC1177="",0,Sync!$AC1177))</f>
        <v>0</v>
      </c>
      <c r="O1181" t="str">
        <f>IF(OR($G1181="",Sync!$V1177=""),"",Sync!$V1177)</f>
        <v/>
      </c>
      <c r="P1181" t="str">
        <f>IF(OR($G1181="",Sync!$AD1177=""),"",Sync!$AD1177)</f>
        <v/>
      </c>
      <c r="Q1181" t="str">
        <f>IF($G1181="","",IF(Sync!$U1177="","0000",IF(AND(ISNUMBER(Sync!$U1177),Sync!$U1177&gt;=0,Sync!$U1177&lt;1),RIGHT("00"&amp;HOUR(Sync!$U1177),2)&amp;RIGHT("00"&amp;MINUTE(Sync!$U1177),2),IFERROR(RIGHT("00"&amp;VALUE(LEFT(Sync!$U1177,FIND(":",Sync!$U1177)-1)),2)&amp;RIGHT("00"&amp;VALUE(MID(Sync!$U1177,FIND(":",Sync!$U1177)+1,2)),2),"0000"))))</f>
        <v/>
      </c>
    </row>
    <row r="1182" spans="1:17" x14ac:dyDescent="0.2">
      <c r="A1182" t="str">
        <f>IF(Sync!$T1178="","",Sync!$T1178)</f>
        <v/>
      </c>
      <c r="B1182" t="str">
        <f t="shared" si="108"/>
        <v/>
      </c>
      <c r="C1182" t="str">
        <f t="shared" si="109"/>
        <v/>
      </c>
      <c r="D1182" t="str">
        <f t="shared" si="110"/>
        <v/>
      </c>
      <c r="E1182" t="str">
        <f t="shared" si="111"/>
        <v/>
      </c>
      <c r="F1182" t="str">
        <f t="shared" si="112"/>
        <v/>
      </c>
      <c r="G1182" t="str">
        <f>IF(OR($E1182="",$E1182="نامعتبر",Sync!$X1178=""),"",IF(AND(LEFT(UPPER(TRIM(Sync!$X1178)),2)="SL",IFERROR(VLOOKUP(Sync!$W1178,OpTbl,3,0),"")="فروش"),UPPER(TRIM(Sync!$X1178)),""))</f>
        <v/>
      </c>
      <c r="H1182" t="str">
        <f>IF($G1182="","",IF(Sync!$W1178="","",Sync!$W1178))</f>
        <v/>
      </c>
      <c r="I1182" t="str">
        <f>IF(OR($G1182="",Sync!$Y1178=""),"",Sync!$Y1178)</f>
        <v/>
      </c>
      <c r="J1182" t="str">
        <f>IF(OR($G1182="",Sync!$Z1178=""),"",Sync!$Z1178)</f>
        <v/>
      </c>
      <c r="K1182">
        <f>IF($G1182="",0,IF(Sync!$AA1178="",0,Sync!$AA1178))</f>
        <v>0</v>
      </c>
      <c r="L1182">
        <f>IF($G1182="",0,IF(Sync!$AB1178="",0,Sync!$AB1178))</f>
        <v>0</v>
      </c>
      <c r="M1182" t="str">
        <f t="shared" si="113"/>
        <v/>
      </c>
      <c r="N1182">
        <f>IF($G1182="",0,IF($H1182="مرجوعی فروش",-1,1)*IF(Sync!$AC1178="",0,Sync!$AC1178))</f>
        <v>0</v>
      </c>
      <c r="O1182" t="str">
        <f>IF(OR($G1182="",Sync!$V1178=""),"",Sync!$V1178)</f>
        <v/>
      </c>
      <c r="P1182" t="str">
        <f>IF(OR($G1182="",Sync!$AD1178=""),"",Sync!$AD1178)</f>
        <v/>
      </c>
      <c r="Q1182" t="str">
        <f>IF($G1182="","",IF(Sync!$U1178="","0000",IF(AND(ISNUMBER(Sync!$U1178),Sync!$U1178&gt;=0,Sync!$U1178&lt;1),RIGHT("00"&amp;HOUR(Sync!$U1178),2)&amp;RIGHT("00"&amp;MINUTE(Sync!$U1178),2),IFERROR(RIGHT("00"&amp;VALUE(LEFT(Sync!$U1178,FIND(":",Sync!$U1178)-1)),2)&amp;RIGHT("00"&amp;VALUE(MID(Sync!$U1178,FIND(":",Sync!$U1178)+1,2)),2),"0000"))))</f>
        <v/>
      </c>
    </row>
    <row r="1183" spans="1:17" x14ac:dyDescent="0.2">
      <c r="A1183" t="str">
        <f>IF(Sync!$T1179="","",Sync!$T1179)</f>
        <v/>
      </c>
      <c r="B1183" t="str">
        <f t="shared" si="108"/>
        <v/>
      </c>
      <c r="C1183" t="str">
        <f t="shared" si="109"/>
        <v/>
      </c>
      <c r="D1183" t="str">
        <f t="shared" si="110"/>
        <v/>
      </c>
      <c r="E1183" t="str">
        <f t="shared" si="111"/>
        <v/>
      </c>
      <c r="F1183" t="str">
        <f t="shared" si="112"/>
        <v/>
      </c>
      <c r="G1183" t="str">
        <f>IF(OR($E1183="",$E1183="نامعتبر",Sync!$X1179=""),"",IF(AND(LEFT(UPPER(TRIM(Sync!$X1179)),2)="SL",IFERROR(VLOOKUP(Sync!$W1179,OpTbl,3,0),"")="فروش"),UPPER(TRIM(Sync!$X1179)),""))</f>
        <v/>
      </c>
      <c r="H1183" t="str">
        <f>IF($G1183="","",IF(Sync!$W1179="","",Sync!$W1179))</f>
        <v/>
      </c>
      <c r="I1183" t="str">
        <f>IF(OR($G1183="",Sync!$Y1179=""),"",Sync!$Y1179)</f>
        <v/>
      </c>
      <c r="J1183" t="str">
        <f>IF(OR($G1183="",Sync!$Z1179=""),"",Sync!$Z1179)</f>
        <v/>
      </c>
      <c r="K1183">
        <f>IF($G1183="",0,IF(Sync!$AA1179="",0,Sync!$AA1179))</f>
        <v>0</v>
      </c>
      <c r="L1183">
        <f>IF($G1183="",0,IF(Sync!$AB1179="",0,Sync!$AB1179))</f>
        <v>0</v>
      </c>
      <c r="M1183" t="str">
        <f t="shared" si="113"/>
        <v/>
      </c>
      <c r="N1183">
        <f>IF($G1183="",0,IF($H1183="مرجوعی فروش",-1,1)*IF(Sync!$AC1179="",0,Sync!$AC1179))</f>
        <v>0</v>
      </c>
      <c r="O1183" t="str">
        <f>IF(OR($G1183="",Sync!$V1179=""),"",Sync!$V1179)</f>
        <v/>
      </c>
      <c r="P1183" t="str">
        <f>IF(OR($G1183="",Sync!$AD1179=""),"",Sync!$AD1179)</f>
        <v/>
      </c>
      <c r="Q1183" t="str">
        <f>IF($G1183="","",IF(Sync!$U1179="","0000",IF(AND(ISNUMBER(Sync!$U1179),Sync!$U1179&gt;=0,Sync!$U1179&lt;1),RIGHT("00"&amp;HOUR(Sync!$U1179),2)&amp;RIGHT("00"&amp;MINUTE(Sync!$U1179),2),IFERROR(RIGHT("00"&amp;VALUE(LEFT(Sync!$U1179,FIND(":",Sync!$U1179)-1)),2)&amp;RIGHT("00"&amp;VALUE(MID(Sync!$U1179,FIND(":",Sync!$U1179)+1,2)),2),"0000"))))</f>
        <v/>
      </c>
    </row>
    <row r="1184" spans="1:17" x14ac:dyDescent="0.2">
      <c r="A1184" t="str">
        <f>IF(Sync!$T1180="","",Sync!$T1180)</f>
        <v/>
      </c>
      <c r="B1184" t="str">
        <f t="shared" si="108"/>
        <v/>
      </c>
      <c r="C1184" t="str">
        <f t="shared" si="109"/>
        <v/>
      </c>
      <c r="D1184" t="str">
        <f t="shared" si="110"/>
        <v/>
      </c>
      <c r="E1184" t="str">
        <f t="shared" si="111"/>
        <v/>
      </c>
      <c r="F1184" t="str">
        <f t="shared" si="112"/>
        <v/>
      </c>
      <c r="G1184" t="str">
        <f>IF(OR($E1184="",$E1184="نامعتبر",Sync!$X1180=""),"",IF(AND(LEFT(UPPER(TRIM(Sync!$X1180)),2)="SL",IFERROR(VLOOKUP(Sync!$W1180,OpTbl,3,0),"")="فروش"),UPPER(TRIM(Sync!$X1180)),""))</f>
        <v/>
      </c>
      <c r="H1184" t="str">
        <f>IF($G1184="","",IF(Sync!$W1180="","",Sync!$W1180))</f>
        <v/>
      </c>
      <c r="I1184" t="str">
        <f>IF(OR($G1184="",Sync!$Y1180=""),"",Sync!$Y1180)</f>
        <v/>
      </c>
      <c r="J1184" t="str">
        <f>IF(OR($G1184="",Sync!$Z1180=""),"",Sync!$Z1180)</f>
        <v/>
      </c>
      <c r="K1184">
        <f>IF($G1184="",0,IF(Sync!$AA1180="",0,Sync!$AA1180))</f>
        <v>0</v>
      </c>
      <c r="L1184">
        <f>IF($G1184="",0,IF(Sync!$AB1180="",0,Sync!$AB1180))</f>
        <v>0</v>
      </c>
      <c r="M1184" t="str">
        <f t="shared" si="113"/>
        <v/>
      </c>
      <c r="N1184">
        <f>IF($G1184="",0,IF($H1184="مرجوعی فروش",-1,1)*IF(Sync!$AC1180="",0,Sync!$AC1180))</f>
        <v>0</v>
      </c>
      <c r="O1184" t="str">
        <f>IF(OR($G1184="",Sync!$V1180=""),"",Sync!$V1180)</f>
        <v/>
      </c>
      <c r="P1184" t="str">
        <f>IF(OR($G1184="",Sync!$AD1180=""),"",Sync!$AD1180)</f>
        <v/>
      </c>
      <c r="Q1184" t="str">
        <f>IF($G1184="","",IF(Sync!$U1180="","0000",IF(AND(ISNUMBER(Sync!$U1180),Sync!$U1180&gt;=0,Sync!$U1180&lt;1),RIGHT("00"&amp;HOUR(Sync!$U1180),2)&amp;RIGHT("00"&amp;MINUTE(Sync!$U1180),2),IFERROR(RIGHT("00"&amp;VALUE(LEFT(Sync!$U1180,FIND(":",Sync!$U1180)-1)),2)&amp;RIGHT("00"&amp;VALUE(MID(Sync!$U1180,FIND(":",Sync!$U1180)+1,2)),2),"0000"))))</f>
        <v/>
      </c>
    </row>
    <row r="1185" spans="1:17" x14ac:dyDescent="0.2">
      <c r="A1185" t="str">
        <f>IF(Sync!$T1181="","",Sync!$T1181)</f>
        <v/>
      </c>
      <c r="B1185" t="str">
        <f t="shared" si="108"/>
        <v/>
      </c>
      <c r="C1185" t="str">
        <f t="shared" si="109"/>
        <v/>
      </c>
      <c r="D1185" t="str">
        <f t="shared" si="110"/>
        <v/>
      </c>
      <c r="E1185" t="str">
        <f t="shared" si="111"/>
        <v/>
      </c>
      <c r="F1185" t="str">
        <f t="shared" si="112"/>
        <v/>
      </c>
      <c r="G1185" t="str">
        <f>IF(OR($E1185="",$E1185="نامعتبر",Sync!$X1181=""),"",IF(AND(LEFT(UPPER(TRIM(Sync!$X1181)),2)="SL",IFERROR(VLOOKUP(Sync!$W1181,OpTbl,3,0),"")="فروش"),UPPER(TRIM(Sync!$X1181)),""))</f>
        <v/>
      </c>
      <c r="H1185" t="str">
        <f>IF($G1185="","",IF(Sync!$W1181="","",Sync!$W1181))</f>
        <v/>
      </c>
      <c r="I1185" t="str">
        <f>IF(OR($G1185="",Sync!$Y1181=""),"",Sync!$Y1181)</f>
        <v/>
      </c>
      <c r="J1185" t="str">
        <f>IF(OR($G1185="",Sync!$Z1181=""),"",Sync!$Z1181)</f>
        <v/>
      </c>
      <c r="K1185">
        <f>IF($G1185="",0,IF(Sync!$AA1181="",0,Sync!$AA1181))</f>
        <v>0</v>
      </c>
      <c r="L1185">
        <f>IF($G1185="",0,IF(Sync!$AB1181="",0,Sync!$AB1181))</f>
        <v>0</v>
      </c>
      <c r="M1185" t="str">
        <f t="shared" si="113"/>
        <v/>
      </c>
      <c r="N1185">
        <f>IF($G1185="",0,IF($H1185="مرجوعی فروش",-1,1)*IF(Sync!$AC1181="",0,Sync!$AC1181))</f>
        <v>0</v>
      </c>
      <c r="O1185" t="str">
        <f>IF(OR($G1185="",Sync!$V1181=""),"",Sync!$V1181)</f>
        <v/>
      </c>
      <c r="P1185" t="str">
        <f>IF(OR($G1185="",Sync!$AD1181=""),"",Sync!$AD1181)</f>
        <v/>
      </c>
      <c r="Q1185" t="str">
        <f>IF($G1185="","",IF(Sync!$U1181="","0000",IF(AND(ISNUMBER(Sync!$U1181),Sync!$U1181&gt;=0,Sync!$U1181&lt;1),RIGHT("00"&amp;HOUR(Sync!$U1181),2)&amp;RIGHT("00"&amp;MINUTE(Sync!$U1181),2),IFERROR(RIGHT("00"&amp;VALUE(LEFT(Sync!$U1181,FIND(":",Sync!$U1181)-1)),2)&amp;RIGHT("00"&amp;VALUE(MID(Sync!$U1181,FIND(":",Sync!$U1181)+1,2)),2),"0000"))))</f>
        <v/>
      </c>
    </row>
    <row r="1186" spans="1:17" x14ac:dyDescent="0.2">
      <c r="A1186" t="str">
        <f>IF(Sync!$T1182="","",Sync!$T1182)</f>
        <v/>
      </c>
      <c r="B1186" t="str">
        <f t="shared" si="108"/>
        <v/>
      </c>
      <c r="C1186" t="str">
        <f t="shared" si="109"/>
        <v/>
      </c>
      <c r="D1186" t="str">
        <f t="shared" si="110"/>
        <v/>
      </c>
      <c r="E1186" t="str">
        <f t="shared" si="111"/>
        <v/>
      </c>
      <c r="F1186" t="str">
        <f t="shared" si="112"/>
        <v/>
      </c>
      <c r="G1186" t="str">
        <f>IF(OR($E1186="",$E1186="نامعتبر",Sync!$X1182=""),"",IF(AND(LEFT(UPPER(TRIM(Sync!$X1182)),2)="SL",IFERROR(VLOOKUP(Sync!$W1182,OpTbl,3,0),"")="فروش"),UPPER(TRIM(Sync!$X1182)),""))</f>
        <v/>
      </c>
      <c r="H1186" t="str">
        <f>IF($G1186="","",IF(Sync!$W1182="","",Sync!$W1182))</f>
        <v/>
      </c>
      <c r="I1186" t="str">
        <f>IF(OR($G1186="",Sync!$Y1182=""),"",Sync!$Y1182)</f>
        <v/>
      </c>
      <c r="J1186" t="str">
        <f>IF(OR($G1186="",Sync!$Z1182=""),"",Sync!$Z1182)</f>
        <v/>
      </c>
      <c r="K1186">
        <f>IF($G1186="",0,IF(Sync!$AA1182="",0,Sync!$AA1182))</f>
        <v>0</v>
      </c>
      <c r="L1186">
        <f>IF($G1186="",0,IF(Sync!$AB1182="",0,Sync!$AB1182))</f>
        <v>0</v>
      </c>
      <c r="M1186" t="str">
        <f t="shared" si="113"/>
        <v/>
      </c>
      <c r="N1186">
        <f>IF($G1186="",0,IF($H1186="مرجوعی فروش",-1,1)*IF(Sync!$AC1182="",0,Sync!$AC1182))</f>
        <v>0</v>
      </c>
      <c r="O1186" t="str">
        <f>IF(OR($G1186="",Sync!$V1182=""),"",Sync!$V1182)</f>
        <v/>
      </c>
      <c r="P1186" t="str">
        <f>IF(OR($G1186="",Sync!$AD1182=""),"",Sync!$AD1182)</f>
        <v/>
      </c>
      <c r="Q1186" t="str">
        <f>IF($G1186="","",IF(Sync!$U1182="","0000",IF(AND(ISNUMBER(Sync!$U1182),Sync!$U1182&gt;=0,Sync!$U1182&lt;1),RIGHT("00"&amp;HOUR(Sync!$U1182),2)&amp;RIGHT("00"&amp;MINUTE(Sync!$U1182),2),IFERROR(RIGHT("00"&amp;VALUE(LEFT(Sync!$U1182,FIND(":",Sync!$U1182)-1)),2)&amp;RIGHT("00"&amp;VALUE(MID(Sync!$U1182,FIND(":",Sync!$U1182)+1,2)),2),"0000"))))</f>
        <v/>
      </c>
    </row>
    <row r="1187" spans="1:17" x14ac:dyDescent="0.2">
      <c r="A1187" t="str">
        <f>IF(Sync!$T1183="","",Sync!$T1183)</f>
        <v/>
      </c>
      <c r="B1187" t="str">
        <f t="shared" si="108"/>
        <v/>
      </c>
      <c r="C1187" t="str">
        <f t="shared" si="109"/>
        <v/>
      </c>
      <c r="D1187" t="str">
        <f t="shared" si="110"/>
        <v/>
      </c>
      <c r="E1187" t="str">
        <f t="shared" si="111"/>
        <v/>
      </c>
      <c r="F1187" t="str">
        <f t="shared" si="112"/>
        <v/>
      </c>
      <c r="G1187" t="str">
        <f>IF(OR($E1187="",$E1187="نامعتبر",Sync!$X1183=""),"",IF(AND(LEFT(UPPER(TRIM(Sync!$X1183)),2)="SL",IFERROR(VLOOKUP(Sync!$W1183,OpTbl,3,0),"")="فروش"),UPPER(TRIM(Sync!$X1183)),""))</f>
        <v/>
      </c>
      <c r="H1187" t="str">
        <f>IF($G1187="","",IF(Sync!$W1183="","",Sync!$W1183))</f>
        <v/>
      </c>
      <c r="I1187" t="str">
        <f>IF(OR($G1187="",Sync!$Y1183=""),"",Sync!$Y1183)</f>
        <v/>
      </c>
      <c r="J1187" t="str">
        <f>IF(OR($G1187="",Sync!$Z1183=""),"",Sync!$Z1183)</f>
        <v/>
      </c>
      <c r="K1187">
        <f>IF($G1187="",0,IF(Sync!$AA1183="",0,Sync!$AA1183))</f>
        <v>0</v>
      </c>
      <c r="L1187">
        <f>IF($G1187="",0,IF(Sync!$AB1183="",0,Sync!$AB1183))</f>
        <v>0</v>
      </c>
      <c r="M1187" t="str">
        <f t="shared" si="113"/>
        <v/>
      </c>
      <c r="N1187">
        <f>IF($G1187="",0,IF($H1187="مرجوعی فروش",-1,1)*IF(Sync!$AC1183="",0,Sync!$AC1183))</f>
        <v>0</v>
      </c>
      <c r="O1187" t="str">
        <f>IF(OR($G1187="",Sync!$V1183=""),"",Sync!$V1183)</f>
        <v/>
      </c>
      <c r="P1187" t="str">
        <f>IF(OR($G1187="",Sync!$AD1183=""),"",Sync!$AD1183)</f>
        <v/>
      </c>
      <c r="Q1187" t="str">
        <f>IF($G1187="","",IF(Sync!$U1183="","0000",IF(AND(ISNUMBER(Sync!$U1183),Sync!$U1183&gt;=0,Sync!$U1183&lt;1),RIGHT("00"&amp;HOUR(Sync!$U1183),2)&amp;RIGHT("00"&amp;MINUTE(Sync!$U1183),2),IFERROR(RIGHT("00"&amp;VALUE(LEFT(Sync!$U1183,FIND(":",Sync!$U1183)-1)),2)&amp;RIGHT("00"&amp;VALUE(MID(Sync!$U1183,FIND(":",Sync!$U1183)+1,2)),2),"0000"))))</f>
        <v/>
      </c>
    </row>
    <row r="1188" spans="1:17" x14ac:dyDescent="0.2">
      <c r="A1188" t="str">
        <f>IF(Sync!$T1184="","",Sync!$T1184)</f>
        <v/>
      </c>
      <c r="B1188" t="str">
        <f t="shared" si="108"/>
        <v/>
      </c>
      <c r="C1188" t="str">
        <f t="shared" si="109"/>
        <v/>
      </c>
      <c r="D1188" t="str">
        <f t="shared" si="110"/>
        <v/>
      </c>
      <c r="E1188" t="str">
        <f t="shared" si="111"/>
        <v/>
      </c>
      <c r="F1188" t="str">
        <f t="shared" si="112"/>
        <v/>
      </c>
      <c r="G1188" t="str">
        <f>IF(OR($E1188="",$E1188="نامعتبر",Sync!$X1184=""),"",IF(AND(LEFT(UPPER(TRIM(Sync!$X1184)),2)="SL",IFERROR(VLOOKUP(Sync!$W1184,OpTbl,3,0),"")="فروش"),UPPER(TRIM(Sync!$X1184)),""))</f>
        <v/>
      </c>
      <c r="H1188" t="str">
        <f>IF($G1188="","",IF(Sync!$W1184="","",Sync!$W1184))</f>
        <v/>
      </c>
      <c r="I1188" t="str">
        <f>IF(OR($G1188="",Sync!$Y1184=""),"",Sync!$Y1184)</f>
        <v/>
      </c>
      <c r="J1188" t="str">
        <f>IF(OR($G1188="",Sync!$Z1184=""),"",Sync!$Z1184)</f>
        <v/>
      </c>
      <c r="K1188">
        <f>IF($G1188="",0,IF(Sync!$AA1184="",0,Sync!$AA1184))</f>
        <v>0</v>
      </c>
      <c r="L1188">
        <f>IF($G1188="",0,IF(Sync!$AB1184="",0,Sync!$AB1184))</f>
        <v>0</v>
      </c>
      <c r="M1188" t="str">
        <f t="shared" si="113"/>
        <v/>
      </c>
      <c r="N1188">
        <f>IF($G1188="",0,IF($H1188="مرجوعی فروش",-1,1)*IF(Sync!$AC1184="",0,Sync!$AC1184))</f>
        <v>0</v>
      </c>
      <c r="O1188" t="str">
        <f>IF(OR($G1188="",Sync!$V1184=""),"",Sync!$V1184)</f>
        <v/>
      </c>
      <c r="P1188" t="str">
        <f>IF(OR($G1188="",Sync!$AD1184=""),"",Sync!$AD1184)</f>
        <v/>
      </c>
      <c r="Q1188" t="str">
        <f>IF($G1188="","",IF(Sync!$U1184="","0000",IF(AND(ISNUMBER(Sync!$U1184),Sync!$U1184&gt;=0,Sync!$U1184&lt;1),RIGHT("00"&amp;HOUR(Sync!$U1184),2)&amp;RIGHT("00"&amp;MINUTE(Sync!$U1184),2),IFERROR(RIGHT("00"&amp;VALUE(LEFT(Sync!$U1184,FIND(":",Sync!$U1184)-1)),2)&amp;RIGHT("00"&amp;VALUE(MID(Sync!$U1184,FIND(":",Sync!$U1184)+1,2)),2),"0000"))))</f>
        <v/>
      </c>
    </row>
    <row r="1189" spans="1:17" x14ac:dyDescent="0.2">
      <c r="A1189" t="str">
        <f>IF(Sync!$T1185="","",Sync!$T1185)</f>
        <v/>
      </c>
      <c r="B1189" t="str">
        <f t="shared" si="108"/>
        <v/>
      </c>
      <c r="C1189" t="str">
        <f t="shared" si="109"/>
        <v/>
      </c>
      <c r="D1189" t="str">
        <f t="shared" si="110"/>
        <v/>
      </c>
      <c r="E1189" t="str">
        <f t="shared" si="111"/>
        <v/>
      </c>
      <c r="F1189" t="str">
        <f t="shared" si="112"/>
        <v/>
      </c>
      <c r="G1189" t="str">
        <f>IF(OR($E1189="",$E1189="نامعتبر",Sync!$X1185=""),"",IF(AND(LEFT(UPPER(TRIM(Sync!$X1185)),2)="SL",IFERROR(VLOOKUP(Sync!$W1185,OpTbl,3,0),"")="فروش"),UPPER(TRIM(Sync!$X1185)),""))</f>
        <v/>
      </c>
      <c r="H1189" t="str">
        <f>IF($G1189="","",IF(Sync!$W1185="","",Sync!$W1185))</f>
        <v/>
      </c>
      <c r="I1189" t="str">
        <f>IF(OR($G1189="",Sync!$Y1185=""),"",Sync!$Y1185)</f>
        <v/>
      </c>
      <c r="J1189" t="str">
        <f>IF(OR($G1189="",Sync!$Z1185=""),"",Sync!$Z1185)</f>
        <v/>
      </c>
      <c r="K1189">
        <f>IF($G1189="",0,IF(Sync!$AA1185="",0,Sync!$AA1185))</f>
        <v>0</v>
      </c>
      <c r="L1189">
        <f>IF($G1189="",0,IF(Sync!$AB1185="",0,Sync!$AB1185))</f>
        <v>0</v>
      </c>
      <c r="M1189" t="str">
        <f t="shared" si="113"/>
        <v/>
      </c>
      <c r="N1189">
        <f>IF($G1189="",0,IF($H1189="مرجوعی فروش",-1,1)*IF(Sync!$AC1185="",0,Sync!$AC1185))</f>
        <v>0</v>
      </c>
      <c r="O1189" t="str">
        <f>IF(OR($G1189="",Sync!$V1185=""),"",Sync!$V1185)</f>
        <v/>
      </c>
      <c r="P1189" t="str">
        <f>IF(OR($G1189="",Sync!$AD1185=""),"",Sync!$AD1185)</f>
        <v/>
      </c>
      <c r="Q1189" t="str">
        <f>IF($G1189="","",IF(Sync!$U1185="","0000",IF(AND(ISNUMBER(Sync!$U1185),Sync!$U1185&gt;=0,Sync!$U1185&lt;1),RIGHT("00"&amp;HOUR(Sync!$U1185),2)&amp;RIGHT("00"&amp;MINUTE(Sync!$U1185),2),IFERROR(RIGHT("00"&amp;VALUE(LEFT(Sync!$U1185,FIND(":",Sync!$U1185)-1)),2)&amp;RIGHT("00"&amp;VALUE(MID(Sync!$U1185,FIND(":",Sync!$U1185)+1,2)),2),"0000"))))</f>
        <v/>
      </c>
    </row>
    <row r="1190" spans="1:17" x14ac:dyDescent="0.2">
      <c r="A1190" t="str">
        <f>IF(Sync!$T1186="","",Sync!$T1186)</f>
        <v/>
      </c>
      <c r="B1190" t="str">
        <f t="shared" si="108"/>
        <v/>
      </c>
      <c r="C1190" t="str">
        <f t="shared" si="109"/>
        <v/>
      </c>
      <c r="D1190" t="str">
        <f t="shared" si="110"/>
        <v/>
      </c>
      <c r="E1190" t="str">
        <f t="shared" si="111"/>
        <v/>
      </c>
      <c r="F1190" t="str">
        <f t="shared" si="112"/>
        <v/>
      </c>
      <c r="G1190" t="str">
        <f>IF(OR($E1190="",$E1190="نامعتبر",Sync!$X1186=""),"",IF(AND(LEFT(UPPER(TRIM(Sync!$X1186)),2)="SL",IFERROR(VLOOKUP(Sync!$W1186,OpTbl,3,0),"")="فروش"),UPPER(TRIM(Sync!$X1186)),""))</f>
        <v/>
      </c>
      <c r="H1190" t="str">
        <f>IF($G1190="","",IF(Sync!$W1186="","",Sync!$W1186))</f>
        <v/>
      </c>
      <c r="I1190" t="str">
        <f>IF(OR($G1190="",Sync!$Y1186=""),"",Sync!$Y1186)</f>
        <v/>
      </c>
      <c r="J1190" t="str">
        <f>IF(OR($G1190="",Sync!$Z1186=""),"",Sync!$Z1186)</f>
        <v/>
      </c>
      <c r="K1190">
        <f>IF($G1190="",0,IF(Sync!$AA1186="",0,Sync!$AA1186))</f>
        <v>0</v>
      </c>
      <c r="L1190">
        <f>IF($G1190="",0,IF(Sync!$AB1186="",0,Sync!$AB1186))</f>
        <v>0</v>
      </c>
      <c r="M1190" t="str">
        <f t="shared" si="113"/>
        <v/>
      </c>
      <c r="N1190">
        <f>IF($G1190="",0,IF($H1190="مرجوعی فروش",-1,1)*IF(Sync!$AC1186="",0,Sync!$AC1186))</f>
        <v>0</v>
      </c>
      <c r="O1190" t="str">
        <f>IF(OR($G1190="",Sync!$V1186=""),"",Sync!$V1186)</f>
        <v/>
      </c>
      <c r="P1190" t="str">
        <f>IF(OR($G1190="",Sync!$AD1186=""),"",Sync!$AD1186)</f>
        <v/>
      </c>
      <c r="Q1190" t="str">
        <f>IF($G1190="","",IF(Sync!$U1186="","0000",IF(AND(ISNUMBER(Sync!$U1186),Sync!$U1186&gt;=0,Sync!$U1186&lt;1),RIGHT("00"&amp;HOUR(Sync!$U1186),2)&amp;RIGHT("00"&amp;MINUTE(Sync!$U1186),2),IFERROR(RIGHT("00"&amp;VALUE(LEFT(Sync!$U1186,FIND(":",Sync!$U1186)-1)),2)&amp;RIGHT("00"&amp;VALUE(MID(Sync!$U1186,FIND(":",Sync!$U1186)+1,2)),2),"0000"))))</f>
        <v/>
      </c>
    </row>
    <row r="1191" spans="1:17" x14ac:dyDescent="0.2">
      <c r="A1191" t="str">
        <f>IF(Sync!$T1187="","",Sync!$T1187)</f>
        <v/>
      </c>
      <c r="B1191" t="str">
        <f t="shared" si="108"/>
        <v/>
      </c>
      <c r="C1191" t="str">
        <f t="shared" si="109"/>
        <v/>
      </c>
      <c r="D1191" t="str">
        <f t="shared" si="110"/>
        <v/>
      </c>
      <c r="E1191" t="str">
        <f t="shared" si="111"/>
        <v/>
      </c>
      <c r="F1191" t="str">
        <f t="shared" si="112"/>
        <v/>
      </c>
      <c r="G1191" t="str">
        <f>IF(OR($E1191="",$E1191="نامعتبر",Sync!$X1187=""),"",IF(AND(LEFT(UPPER(TRIM(Sync!$X1187)),2)="SL",IFERROR(VLOOKUP(Sync!$W1187,OpTbl,3,0),"")="فروش"),UPPER(TRIM(Sync!$X1187)),""))</f>
        <v/>
      </c>
      <c r="H1191" t="str">
        <f>IF($G1191="","",IF(Sync!$W1187="","",Sync!$W1187))</f>
        <v/>
      </c>
      <c r="I1191" t="str">
        <f>IF(OR($G1191="",Sync!$Y1187=""),"",Sync!$Y1187)</f>
        <v/>
      </c>
      <c r="J1191" t="str">
        <f>IF(OR($G1191="",Sync!$Z1187=""),"",Sync!$Z1187)</f>
        <v/>
      </c>
      <c r="K1191">
        <f>IF($G1191="",0,IF(Sync!$AA1187="",0,Sync!$AA1187))</f>
        <v>0</v>
      </c>
      <c r="L1191">
        <f>IF($G1191="",0,IF(Sync!$AB1187="",0,Sync!$AB1187))</f>
        <v>0</v>
      </c>
      <c r="M1191" t="str">
        <f t="shared" si="113"/>
        <v/>
      </c>
      <c r="N1191">
        <f>IF($G1191="",0,IF($H1191="مرجوعی فروش",-1,1)*IF(Sync!$AC1187="",0,Sync!$AC1187))</f>
        <v>0</v>
      </c>
      <c r="O1191" t="str">
        <f>IF(OR($G1191="",Sync!$V1187=""),"",Sync!$V1187)</f>
        <v/>
      </c>
      <c r="P1191" t="str">
        <f>IF(OR($G1191="",Sync!$AD1187=""),"",Sync!$AD1187)</f>
        <v/>
      </c>
      <c r="Q1191" t="str">
        <f>IF($G1191="","",IF(Sync!$U1187="","0000",IF(AND(ISNUMBER(Sync!$U1187),Sync!$U1187&gt;=0,Sync!$U1187&lt;1),RIGHT("00"&amp;HOUR(Sync!$U1187),2)&amp;RIGHT("00"&amp;MINUTE(Sync!$U1187),2),IFERROR(RIGHT("00"&amp;VALUE(LEFT(Sync!$U1187,FIND(":",Sync!$U1187)-1)),2)&amp;RIGHT("00"&amp;VALUE(MID(Sync!$U1187,FIND(":",Sync!$U1187)+1,2)),2),"0000"))))</f>
        <v/>
      </c>
    </row>
    <row r="1192" spans="1:17" x14ac:dyDescent="0.2">
      <c r="A1192" t="str">
        <f>IF(Sync!$T1188="","",Sync!$T1188)</f>
        <v/>
      </c>
      <c r="B1192" t="str">
        <f t="shared" si="108"/>
        <v/>
      </c>
      <c r="C1192" t="str">
        <f t="shared" si="109"/>
        <v/>
      </c>
      <c r="D1192" t="str">
        <f t="shared" si="110"/>
        <v/>
      </c>
      <c r="E1192" t="str">
        <f t="shared" si="111"/>
        <v/>
      </c>
      <c r="F1192" t="str">
        <f t="shared" si="112"/>
        <v/>
      </c>
      <c r="G1192" t="str">
        <f>IF(OR($E1192="",$E1192="نامعتبر",Sync!$X1188=""),"",IF(AND(LEFT(UPPER(TRIM(Sync!$X1188)),2)="SL",IFERROR(VLOOKUP(Sync!$W1188,OpTbl,3,0),"")="فروش"),UPPER(TRIM(Sync!$X1188)),""))</f>
        <v/>
      </c>
      <c r="H1192" t="str">
        <f>IF($G1192="","",IF(Sync!$W1188="","",Sync!$W1188))</f>
        <v/>
      </c>
      <c r="I1192" t="str">
        <f>IF(OR($G1192="",Sync!$Y1188=""),"",Sync!$Y1188)</f>
        <v/>
      </c>
      <c r="J1192" t="str">
        <f>IF(OR($G1192="",Sync!$Z1188=""),"",Sync!$Z1188)</f>
        <v/>
      </c>
      <c r="K1192">
        <f>IF($G1192="",0,IF(Sync!$AA1188="",0,Sync!$AA1188))</f>
        <v>0</v>
      </c>
      <c r="L1192">
        <f>IF($G1192="",0,IF(Sync!$AB1188="",0,Sync!$AB1188))</f>
        <v>0</v>
      </c>
      <c r="M1192" t="str">
        <f t="shared" si="113"/>
        <v/>
      </c>
      <c r="N1192">
        <f>IF($G1192="",0,IF($H1192="مرجوعی فروش",-1,1)*IF(Sync!$AC1188="",0,Sync!$AC1188))</f>
        <v>0</v>
      </c>
      <c r="O1192" t="str">
        <f>IF(OR($G1192="",Sync!$V1188=""),"",Sync!$V1188)</f>
        <v/>
      </c>
      <c r="P1192" t="str">
        <f>IF(OR($G1192="",Sync!$AD1188=""),"",Sync!$AD1188)</f>
        <v/>
      </c>
      <c r="Q1192" t="str">
        <f>IF($G1192="","",IF(Sync!$U1188="","0000",IF(AND(ISNUMBER(Sync!$U1188),Sync!$U1188&gt;=0,Sync!$U1188&lt;1),RIGHT("00"&amp;HOUR(Sync!$U1188),2)&amp;RIGHT("00"&amp;MINUTE(Sync!$U1188),2),IFERROR(RIGHT("00"&amp;VALUE(LEFT(Sync!$U1188,FIND(":",Sync!$U1188)-1)),2)&amp;RIGHT("00"&amp;VALUE(MID(Sync!$U1188,FIND(":",Sync!$U1188)+1,2)),2),"0000"))))</f>
        <v/>
      </c>
    </row>
    <row r="1193" spans="1:17" x14ac:dyDescent="0.2">
      <c r="A1193" t="str">
        <f>IF(Sync!$T1189="","",Sync!$T1189)</f>
        <v/>
      </c>
      <c r="B1193" t="str">
        <f t="shared" si="108"/>
        <v/>
      </c>
      <c r="C1193" t="str">
        <f t="shared" si="109"/>
        <v/>
      </c>
      <c r="D1193" t="str">
        <f t="shared" si="110"/>
        <v/>
      </c>
      <c r="E1193" t="str">
        <f t="shared" si="111"/>
        <v/>
      </c>
      <c r="F1193" t="str">
        <f t="shared" si="112"/>
        <v/>
      </c>
      <c r="G1193" t="str">
        <f>IF(OR($E1193="",$E1193="نامعتبر",Sync!$X1189=""),"",IF(AND(LEFT(UPPER(TRIM(Sync!$X1189)),2)="SL",IFERROR(VLOOKUP(Sync!$W1189,OpTbl,3,0),"")="فروش"),UPPER(TRIM(Sync!$X1189)),""))</f>
        <v/>
      </c>
      <c r="H1193" t="str">
        <f>IF($G1193="","",IF(Sync!$W1189="","",Sync!$W1189))</f>
        <v/>
      </c>
      <c r="I1193" t="str">
        <f>IF(OR($G1193="",Sync!$Y1189=""),"",Sync!$Y1189)</f>
        <v/>
      </c>
      <c r="J1193" t="str">
        <f>IF(OR($G1193="",Sync!$Z1189=""),"",Sync!$Z1189)</f>
        <v/>
      </c>
      <c r="K1193">
        <f>IF($G1193="",0,IF(Sync!$AA1189="",0,Sync!$AA1189))</f>
        <v>0</v>
      </c>
      <c r="L1193">
        <f>IF($G1193="",0,IF(Sync!$AB1189="",0,Sync!$AB1189))</f>
        <v>0</v>
      </c>
      <c r="M1193" t="str">
        <f t="shared" si="113"/>
        <v/>
      </c>
      <c r="N1193">
        <f>IF($G1193="",0,IF($H1193="مرجوعی فروش",-1,1)*IF(Sync!$AC1189="",0,Sync!$AC1189))</f>
        <v>0</v>
      </c>
      <c r="O1193" t="str">
        <f>IF(OR($G1193="",Sync!$V1189=""),"",Sync!$V1189)</f>
        <v/>
      </c>
      <c r="P1193" t="str">
        <f>IF(OR($G1193="",Sync!$AD1189=""),"",Sync!$AD1189)</f>
        <v/>
      </c>
      <c r="Q1193" t="str">
        <f>IF($G1193="","",IF(Sync!$U1189="","0000",IF(AND(ISNUMBER(Sync!$U1189),Sync!$U1189&gt;=0,Sync!$U1189&lt;1),RIGHT("00"&amp;HOUR(Sync!$U1189),2)&amp;RIGHT("00"&amp;MINUTE(Sync!$U1189),2),IFERROR(RIGHT("00"&amp;VALUE(LEFT(Sync!$U1189,FIND(":",Sync!$U1189)-1)),2)&amp;RIGHT("00"&amp;VALUE(MID(Sync!$U1189,FIND(":",Sync!$U1189)+1,2)),2),"0000"))))</f>
        <v/>
      </c>
    </row>
    <row r="1194" spans="1:17" x14ac:dyDescent="0.2">
      <c r="A1194" t="str">
        <f>IF(Sync!$T1190="","",Sync!$T1190)</f>
        <v/>
      </c>
      <c r="B1194" t="str">
        <f t="shared" si="108"/>
        <v/>
      </c>
      <c r="C1194" t="str">
        <f t="shared" si="109"/>
        <v/>
      </c>
      <c r="D1194" t="str">
        <f t="shared" si="110"/>
        <v/>
      </c>
      <c r="E1194" t="str">
        <f t="shared" si="111"/>
        <v/>
      </c>
      <c r="F1194" t="str">
        <f t="shared" si="112"/>
        <v/>
      </c>
      <c r="G1194" t="str">
        <f>IF(OR($E1194="",$E1194="نامعتبر",Sync!$X1190=""),"",IF(AND(LEFT(UPPER(TRIM(Sync!$X1190)),2)="SL",IFERROR(VLOOKUP(Sync!$W1190,OpTbl,3,0),"")="فروش"),UPPER(TRIM(Sync!$X1190)),""))</f>
        <v/>
      </c>
      <c r="H1194" t="str">
        <f>IF($G1194="","",IF(Sync!$W1190="","",Sync!$W1190))</f>
        <v/>
      </c>
      <c r="I1194" t="str">
        <f>IF(OR($G1194="",Sync!$Y1190=""),"",Sync!$Y1190)</f>
        <v/>
      </c>
      <c r="J1194" t="str">
        <f>IF(OR($G1194="",Sync!$Z1190=""),"",Sync!$Z1190)</f>
        <v/>
      </c>
      <c r="K1194">
        <f>IF($G1194="",0,IF(Sync!$AA1190="",0,Sync!$AA1190))</f>
        <v>0</v>
      </c>
      <c r="L1194">
        <f>IF($G1194="",0,IF(Sync!$AB1190="",0,Sync!$AB1190))</f>
        <v>0</v>
      </c>
      <c r="M1194" t="str">
        <f t="shared" si="113"/>
        <v/>
      </c>
      <c r="N1194">
        <f>IF($G1194="",0,IF($H1194="مرجوعی فروش",-1,1)*IF(Sync!$AC1190="",0,Sync!$AC1190))</f>
        <v>0</v>
      </c>
      <c r="O1194" t="str">
        <f>IF(OR($G1194="",Sync!$V1190=""),"",Sync!$V1190)</f>
        <v/>
      </c>
      <c r="P1194" t="str">
        <f>IF(OR($G1194="",Sync!$AD1190=""),"",Sync!$AD1190)</f>
        <v/>
      </c>
      <c r="Q1194" t="str">
        <f>IF($G1194="","",IF(Sync!$U1190="","0000",IF(AND(ISNUMBER(Sync!$U1190),Sync!$U1190&gt;=0,Sync!$U1190&lt;1),RIGHT("00"&amp;HOUR(Sync!$U1190),2)&amp;RIGHT("00"&amp;MINUTE(Sync!$U1190),2),IFERROR(RIGHT("00"&amp;VALUE(LEFT(Sync!$U1190,FIND(":",Sync!$U1190)-1)),2)&amp;RIGHT("00"&amp;VALUE(MID(Sync!$U1190,FIND(":",Sync!$U1190)+1,2)),2),"0000"))))</f>
        <v/>
      </c>
    </row>
    <row r="1195" spans="1:17" x14ac:dyDescent="0.2">
      <c r="A1195" t="str">
        <f>IF(Sync!$T1191="","",Sync!$T1191)</f>
        <v/>
      </c>
      <c r="B1195" t="str">
        <f t="shared" si="108"/>
        <v/>
      </c>
      <c r="C1195" t="str">
        <f t="shared" si="109"/>
        <v/>
      </c>
      <c r="D1195" t="str">
        <f t="shared" si="110"/>
        <v/>
      </c>
      <c r="E1195" t="str">
        <f t="shared" si="111"/>
        <v/>
      </c>
      <c r="F1195" t="str">
        <f t="shared" si="112"/>
        <v/>
      </c>
      <c r="G1195" t="str">
        <f>IF(OR($E1195="",$E1195="نامعتبر",Sync!$X1191=""),"",IF(AND(LEFT(UPPER(TRIM(Sync!$X1191)),2)="SL",IFERROR(VLOOKUP(Sync!$W1191,OpTbl,3,0),"")="فروش"),UPPER(TRIM(Sync!$X1191)),""))</f>
        <v/>
      </c>
      <c r="H1195" t="str">
        <f>IF($G1195="","",IF(Sync!$W1191="","",Sync!$W1191))</f>
        <v/>
      </c>
      <c r="I1195" t="str">
        <f>IF(OR($G1195="",Sync!$Y1191=""),"",Sync!$Y1191)</f>
        <v/>
      </c>
      <c r="J1195" t="str">
        <f>IF(OR($G1195="",Sync!$Z1191=""),"",Sync!$Z1191)</f>
        <v/>
      </c>
      <c r="K1195">
        <f>IF($G1195="",0,IF(Sync!$AA1191="",0,Sync!$AA1191))</f>
        <v>0</v>
      </c>
      <c r="L1195">
        <f>IF($G1195="",0,IF(Sync!$AB1191="",0,Sync!$AB1191))</f>
        <v>0</v>
      </c>
      <c r="M1195" t="str">
        <f t="shared" si="113"/>
        <v/>
      </c>
      <c r="N1195">
        <f>IF($G1195="",0,IF($H1195="مرجوعی فروش",-1,1)*IF(Sync!$AC1191="",0,Sync!$AC1191))</f>
        <v>0</v>
      </c>
      <c r="O1195" t="str">
        <f>IF(OR($G1195="",Sync!$V1191=""),"",Sync!$V1191)</f>
        <v/>
      </c>
      <c r="P1195" t="str">
        <f>IF(OR($G1195="",Sync!$AD1191=""),"",Sync!$AD1191)</f>
        <v/>
      </c>
      <c r="Q1195" t="str">
        <f>IF($G1195="","",IF(Sync!$U1191="","0000",IF(AND(ISNUMBER(Sync!$U1191),Sync!$U1191&gt;=0,Sync!$U1191&lt;1),RIGHT("00"&amp;HOUR(Sync!$U1191),2)&amp;RIGHT("00"&amp;MINUTE(Sync!$U1191),2),IFERROR(RIGHT("00"&amp;VALUE(LEFT(Sync!$U1191,FIND(":",Sync!$U1191)-1)),2)&amp;RIGHT("00"&amp;VALUE(MID(Sync!$U1191,FIND(":",Sync!$U1191)+1,2)),2),"0000"))))</f>
        <v/>
      </c>
    </row>
    <row r="1196" spans="1:17" x14ac:dyDescent="0.2">
      <c r="A1196" t="str">
        <f>IF(Sync!$T1192="","",Sync!$T1192)</f>
        <v/>
      </c>
      <c r="B1196" t="str">
        <f t="shared" si="108"/>
        <v/>
      </c>
      <c r="C1196" t="str">
        <f t="shared" si="109"/>
        <v/>
      </c>
      <c r="D1196" t="str">
        <f t="shared" si="110"/>
        <v/>
      </c>
      <c r="E1196" t="str">
        <f t="shared" si="111"/>
        <v/>
      </c>
      <c r="F1196" t="str">
        <f t="shared" si="112"/>
        <v/>
      </c>
      <c r="G1196" t="str">
        <f>IF(OR($E1196="",$E1196="نامعتبر",Sync!$X1192=""),"",IF(AND(LEFT(UPPER(TRIM(Sync!$X1192)),2)="SL",IFERROR(VLOOKUP(Sync!$W1192,OpTbl,3,0),"")="فروش"),UPPER(TRIM(Sync!$X1192)),""))</f>
        <v/>
      </c>
      <c r="H1196" t="str">
        <f>IF($G1196="","",IF(Sync!$W1192="","",Sync!$W1192))</f>
        <v/>
      </c>
      <c r="I1196" t="str">
        <f>IF(OR($G1196="",Sync!$Y1192=""),"",Sync!$Y1192)</f>
        <v/>
      </c>
      <c r="J1196" t="str">
        <f>IF(OR($G1196="",Sync!$Z1192=""),"",Sync!$Z1192)</f>
        <v/>
      </c>
      <c r="K1196">
        <f>IF($G1196="",0,IF(Sync!$AA1192="",0,Sync!$AA1192))</f>
        <v>0</v>
      </c>
      <c r="L1196">
        <f>IF($G1196="",0,IF(Sync!$AB1192="",0,Sync!$AB1192))</f>
        <v>0</v>
      </c>
      <c r="M1196" t="str">
        <f t="shared" si="113"/>
        <v/>
      </c>
      <c r="N1196">
        <f>IF($G1196="",0,IF($H1196="مرجوعی فروش",-1,1)*IF(Sync!$AC1192="",0,Sync!$AC1192))</f>
        <v>0</v>
      </c>
      <c r="O1196" t="str">
        <f>IF(OR($G1196="",Sync!$V1192=""),"",Sync!$V1192)</f>
        <v/>
      </c>
      <c r="P1196" t="str">
        <f>IF(OR($G1196="",Sync!$AD1192=""),"",Sync!$AD1192)</f>
        <v/>
      </c>
      <c r="Q1196" t="str">
        <f>IF($G1196="","",IF(Sync!$U1192="","0000",IF(AND(ISNUMBER(Sync!$U1192),Sync!$U1192&gt;=0,Sync!$U1192&lt;1),RIGHT("00"&amp;HOUR(Sync!$U1192),2)&amp;RIGHT("00"&amp;MINUTE(Sync!$U1192),2),IFERROR(RIGHT("00"&amp;VALUE(LEFT(Sync!$U1192,FIND(":",Sync!$U1192)-1)),2)&amp;RIGHT("00"&amp;VALUE(MID(Sync!$U1192,FIND(":",Sync!$U1192)+1,2)),2),"0000"))))</f>
        <v/>
      </c>
    </row>
    <row r="1197" spans="1:17" x14ac:dyDescent="0.2">
      <c r="A1197" t="str">
        <f>IF(Sync!$T1193="","",Sync!$T1193)</f>
        <v/>
      </c>
      <c r="B1197" t="str">
        <f t="shared" si="108"/>
        <v/>
      </c>
      <c r="C1197" t="str">
        <f t="shared" si="109"/>
        <v/>
      </c>
      <c r="D1197" t="str">
        <f t="shared" si="110"/>
        <v/>
      </c>
      <c r="E1197" t="str">
        <f t="shared" si="111"/>
        <v/>
      </c>
      <c r="F1197" t="str">
        <f t="shared" si="112"/>
        <v/>
      </c>
      <c r="G1197" t="str">
        <f>IF(OR($E1197="",$E1197="نامعتبر",Sync!$X1193=""),"",IF(AND(LEFT(UPPER(TRIM(Sync!$X1193)),2)="SL",IFERROR(VLOOKUP(Sync!$W1193,OpTbl,3,0),"")="فروش"),UPPER(TRIM(Sync!$X1193)),""))</f>
        <v/>
      </c>
      <c r="H1197" t="str">
        <f>IF($G1197="","",IF(Sync!$W1193="","",Sync!$W1193))</f>
        <v/>
      </c>
      <c r="I1197" t="str">
        <f>IF(OR($G1197="",Sync!$Y1193=""),"",Sync!$Y1193)</f>
        <v/>
      </c>
      <c r="J1197" t="str">
        <f>IF(OR($G1197="",Sync!$Z1193=""),"",Sync!$Z1193)</f>
        <v/>
      </c>
      <c r="K1197">
        <f>IF($G1197="",0,IF(Sync!$AA1193="",0,Sync!$AA1193))</f>
        <v>0</v>
      </c>
      <c r="L1197">
        <f>IF($G1197="",0,IF(Sync!$AB1193="",0,Sync!$AB1193))</f>
        <v>0</v>
      </c>
      <c r="M1197" t="str">
        <f t="shared" si="113"/>
        <v/>
      </c>
      <c r="N1197">
        <f>IF($G1197="",0,IF($H1197="مرجوعی فروش",-1,1)*IF(Sync!$AC1193="",0,Sync!$AC1193))</f>
        <v>0</v>
      </c>
      <c r="O1197" t="str">
        <f>IF(OR($G1197="",Sync!$V1193=""),"",Sync!$V1193)</f>
        <v/>
      </c>
      <c r="P1197" t="str">
        <f>IF(OR($G1197="",Sync!$AD1193=""),"",Sync!$AD1193)</f>
        <v/>
      </c>
      <c r="Q1197" t="str">
        <f>IF($G1197="","",IF(Sync!$U1193="","0000",IF(AND(ISNUMBER(Sync!$U1193),Sync!$U1193&gt;=0,Sync!$U1193&lt;1),RIGHT("00"&amp;HOUR(Sync!$U1193),2)&amp;RIGHT("00"&amp;MINUTE(Sync!$U1193),2),IFERROR(RIGHT("00"&amp;VALUE(LEFT(Sync!$U1193,FIND(":",Sync!$U1193)-1)),2)&amp;RIGHT("00"&amp;VALUE(MID(Sync!$U1193,FIND(":",Sync!$U1193)+1,2)),2),"0000"))))</f>
        <v/>
      </c>
    </row>
    <row r="1198" spans="1:17" x14ac:dyDescent="0.2">
      <c r="A1198" t="str">
        <f>IF(Sync!$T1194="","",Sync!$T1194)</f>
        <v/>
      </c>
      <c r="B1198" t="str">
        <f t="shared" si="108"/>
        <v/>
      </c>
      <c r="C1198" t="str">
        <f t="shared" si="109"/>
        <v/>
      </c>
      <c r="D1198" t="str">
        <f t="shared" si="110"/>
        <v/>
      </c>
      <c r="E1198" t="str">
        <f t="shared" si="111"/>
        <v/>
      </c>
      <c r="F1198" t="str">
        <f t="shared" si="112"/>
        <v/>
      </c>
      <c r="G1198" t="str">
        <f>IF(OR($E1198="",$E1198="نامعتبر",Sync!$X1194=""),"",IF(AND(LEFT(UPPER(TRIM(Sync!$X1194)),2)="SL",IFERROR(VLOOKUP(Sync!$W1194,OpTbl,3,0),"")="فروش"),UPPER(TRIM(Sync!$X1194)),""))</f>
        <v/>
      </c>
      <c r="H1198" t="str">
        <f>IF($G1198="","",IF(Sync!$W1194="","",Sync!$W1194))</f>
        <v/>
      </c>
      <c r="I1198" t="str">
        <f>IF(OR($G1198="",Sync!$Y1194=""),"",Sync!$Y1194)</f>
        <v/>
      </c>
      <c r="J1198" t="str">
        <f>IF(OR($G1198="",Sync!$Z1194=""),"",Sync!$Z1194)</f>
        <v/>
      </c>
      <c r="K1198">
        <f>IF($G1198="",0,IF(Sync!$AA1194="",0,Sync!$AA1194))</f>
        <v>0</v>
      </c>
      <c r="L1198">
        <f>IF($G1198="",0,IF(Sync!$AB1194="",0,Sync!$AB1194))</f>
        <v>0</v>
      </c>
      <c r="M1198" t="str">
        <f t="shared" si="113"/>
        <v/>
      </c>
      <c r="N1198">
        <f>IF($G1198="",0,IF($H1198="مرجوعی فروش",-1,1)*IF(Sync!$AC1194="",0,Sync!$AC1194))</f>
        <v>0</v>
      </c>
      <c r="O1198" t="str">
        <f>IF(OR($G1198="",Sync!$V1194=""),"",Sync!$V1194)</f>
        <v/>
      </c>
      <c r="P1198" t="str">
        <f>IF(OR($G1198="",Sync!$AD1194=""),"",Sync!$AD1194)</f>
        <v/>
      </c>
      <c r="Q1198" t="str">
        <f>IF($G1198="","",IF(Sync!$U1194="","0000",IF(AND(ISNUMBER(Sync!$U1194),Sync!$U1194&gt;=0,Sync!$U1194&lt;1),RIGHT("00"&amp;HOUR(Sync!$U1194),2)&amp;RIGHT("00"&amp;MINUTE(Sync!$U1194),2),IFERROR(RIGHT("00"&amp;VALUE(LEFT(Sync!$U1194,FIND(":",Sync!$U1194)-1)),2)&amp;RIGHT("00"&amp;VALUE(MID(Sync!$U1194,FIND(":",Sync!$U1194)+1,2)),2),"0000"))))</f>
        <v/>
      </c>
    </row>
    <row r="1199" spans="1:17" x14ac:dyDescent="0.2">
      <c r="A1199" t="str">
        <f>IF(Sync!$T1195="","",Sync!$T1195)</f>
        <v/>
      </c>
      <c r="B1199" t="str">
        <f t="shared" si="108"/>
        <v/>
      </c>
      <c r="C1199" t="str">
        <f t="shared" si="109"/>
        <v/>
      </c>
      <c r="D1199" t="str">
        <f t="shared" si="110"/>
        <v/>
      </c>
      <c r="E1199" t="str">
        <f t="shared" si="111"/>
        <v/>
      </c>
      <c r="F1199" t="str">
        <f t="shared" si="112"/>
        <v/>
      </c>
      <c r="G1199" t="str">
        <f>IF(OR($E1199="",$E1199="نامعتبر",Sync!$X1195=""),"",IF(AND(LEFT(UPPER(TRIM(Sync!$X1195)),2)="SL",IFERROR(VLOOKUP(Sync!$W1195,OpTbl,3,0),"")="فروش"),UPPER(TRIM(Sync!$X1195)),""))</f>
        <v/>
      </c>
      <c r="H1199" t="str">
        <f>IF($G1199="","",IF(Sync!$W1195="","",Sync!$W1195))</f>
        <v/>
      </c>
      <c r="I1199" t="str">
        <f>IF(OR($G1199="",Sync!$Y1195=""),"",Sync!$Y1195)</f>
        <v/>
      </c>
      <c r="J1199" t="str">
        <f>IF(OR($G1199="",Sync!$Z1195=""),"",Sync!$Z1195)</f>
        <v/>
      </c>
      <c r="K1199">
        <f>IF($G1199="",0,IF(Sync!$AA1195="",0,Sync!$AA1195))</f>
        <v>0</v>
      </c>
      <c r="L1199">
        <f>IF($G1199="",0,IF(Sync!$AB1195="",0,Sync!$AB1195))</f>
        <v>0</v>
      </c>
      <c r="M1199" t="str">
        <f t="shared" si="113"/>
        <v/>
      </c>
      <c r="N1199">
        <f>IF($G1199="",0,IF($H1199="مرجوعی فروش",-1,1)*IF(Sync!$AC1195="",0,Sync!$AC1195))</f>
        <v>0</v>
      </c>
      <c r="O1199" t="str">
        <f>IF(OR($G1199="",Sync!$V1195=""),"",Sync!$V1195)</f>
        <v/>
      </c>
      <c r="P1199" t="str">
        <f>IF(OR($G1199="",Sync!$AD1195=""),"",Sync!$AD1195)</f>
        <v/>
      </c>
      <c r="Q1199" t="str">
        <f>IF($G1199="","",IF(Sync!$U1195="","0000",IF(AND(ISNUMBER(Sync!$U1195),Sync!$U1195&gt;=0,Sync!$U1195&lt;1),RIGHT("00"&amp;HOUR(Sync!$U1195),2)&amp;RIGHT("00"&amp;MINUTE(Sync!$U1195),2),IFERROR(RIGHT("00"&amp;VALUE(LEFT(Sync!$U1195,FIND(":",Sync!$U1195)-1)),2)&amp;RIGHT("00"&amp;VALUE(MID(Sync!$U1195,FIND(":",Sync!$U1195)+1,2)),2),"0000"))))</f>
        <v/>
      </c>
    </row>
    <row r="1200" spans="1:17" x14ac:dyDescent="0.2">
      <c r="A1200" t="str">
        <f>IF(Sync!$T1196="","",Sync!$T1196)</f>
        <v/>
      </c>
      <c r="B1200" t="str">
        <f t="shared" si="108"/>
        <v/>
      </c>
      <c r="C1200" t="str">
        <f t="shared" si="109"/>
        <v/>
      </c>
      <c r="D1200" t="str">
        <f t="shared" si="110"/>
        <v/>
      </c>
      <c r="E1200" t="str">
        <f t="shared" si="111"/>
        <v/>
      </c>
      <c r="F1200" t="str">
        <f t="shared" si="112"/>
        <v/>
      </c>
      <c r="G1200" t="str">
        <f>IF(OR($E1200="",$E1200="نامعتبر",Sync!$X1196=""),"",IF(AND(LEFT(UPPER(TRIM(Sync!$X1196)),2)="SL",IFERROR(VLOOKUP(Sync!$W1196,OpTbl,3,0),"")="فروش"),UPPER(TRIM(Sync!$X1196)),""))</f>
        <v/>
      </c>
      <c r="H1200" t="str">
        <f>IF($G1200="","",IF(Sync!$W1196="","",Sync!$W1196))</f>
        <v/>
      </c>
      <c r="I1200" t="str">
        <f>IF(OR($G1200="",Sync!$Y1196=""),"",Sync!$Y1196)</f>
        <v/>
      </c>
      <c r="J1200" t="str">
        <f>IF(OR($G1200="",Sync!$Z1196=""),"",Sync!$Z1196)</f>
        <v/>
      </c>
      <c r="K1200">
        <f>IF($G1200="",0,IF(Sync!$AA1196="",0,Sync!$AA1196))</f>
        <v>0</v>
      </c>
      <c r="L1200">
        <f>IF($G1200="",0,IF(Sync!$AB1196="",0,Sync!$AB1196))</f>
        <v>0</v>
      </c>
      <c r="M1200" t="str">
        <f t="shared" si="113"/>
        <v/>
      </c>
      <c r="N1200">
        <f>IF($G1200="",0,IF($H1200="مرجوعی فروش",-1,1)*IF(Sync!$AC1196="",0,Sync!$AC1196))</f>
        <v>0</v>
      </c>
      <c r="O1200" t="str">
        <f>IF(OR($G1200="",Sync!$V1196=""),"",Sync!$V1196)</f>
        <v/>
      </c>
      <c r="P1200" t="str">
        <f>IF(OR($G1200="",Sync!$AD1196=""),"",Sync!$AD1196)</f>
        <v/>
      </c>
      <c r="Q1200" t="str">
        <f>IF($G1200="","",IF(Sync!$U1196="","0000",IF(AND(ISNUMBER(Sync!$U1196),Sync!$U1196&gt;=0,Sync!$U1196&lt;1),RIGHT("00"&amp;HOUR(Sync!$U1196),2)&amp;RIGHT("00"&amp;MINUTE(Sync!$U1196),2),IFERROR(RIGHT("00"&amp;VALUE(LEFT(Sync!$U1196,FIND(":",Sync!$U1196)-1)),2)&amp;RIGHT("00"&amp;VALUE(MID(Sync!$U1196,FIND(":",Sync!$U1196)+1,2)),2),"0000"))))</f>
        <v/>
      </c>
    </row>
    <row r="1201" spans="1:17" x14ac:dyDescent="0.2">
      <c r="A1201" t="str">
        <f>IF(Sync!$T1197="","",Sync!$T1197)</f>
        <v/>
      </c>
      <c r="B1201" t="str">
        <f t="shared" si="108"/>
        <v/>
      </c>
      <c r="C1201" t="str">
        <f t="shared" si="109"/>
        <v/>
      </c>
      <c r="D1201" t="str">
        <f t="shared" si="110"/>
        <v/>
      </c>
      <c r="E1201" t="str">
        <f t="shared" si="111"/>
        <v/>
      </c>
      <c r="F1201" t="str">
        <f t="shared" si="112"/>
        <v/>
      </c>
      <c r="G1201" t="str">
        <f>IF(OR($E1201="",$E1201="نامعتبر",Sync!$X1197=""),"",IF(AND(LEFT(UPPER(TRIM(Sync!$X1197)),2)="SL",IFERROR(VLOOKUP(Sync!$W1197,OpTbl,3,0),"")="فروش"),UPPER(TRIM(Sync!$X1197)),""))</f>
        <v/>
      </c>
      <c r="H1201" t="str">
        <f>IF($G1201="","",IF(Sync!$W1197="","",Sync!$W1197))</f>
        <v/>
      </c>
      <c r="I1201" t="str">
        <f>IF(OR($G1201="",Sync!$Y1197=""),"",Sync!$Y1197)</f>
        <v/>
      </c>
      <c r="J1201" t="str">
        <f>IF(OR($G1201="",Sync!$Z1197=""),"",Sync!$Z1197)</f>
        <v/>
      </c>
      <c r="K1201">
        <f>IF($G1201="",0,IF(Sync!$AA1197="",0,Sync!$AA1197))</f>
        <v>0</v>
      </c>
      <c r="L1201">
        <f>IF($G1201="",0,IF(Sync!$AB1197="",0,Sync!$AB1197))</f>
        <v>0</v>
      </c>
      <c r="M1201" t="str">
        <f t="shared" si="113"/>
        <v/>
      </c>
      <c r="N1201">
        <f>IF($G1201="",0,IF($H1201="مرجوعی فروش",-1,1)*IF(Sync!$AC1197="",0,Sync!$AC1197))</f>
        <v>0</v>
      </c>
      <c r="O1201" t="str">
        <f>IF(OR($G1201="",Sync!$V1197=""),"",Sync!$V1197)</f>
        <v/>
      </c>
      <c r="P1201" t="str">
        <f>IF(OR($G1201="",Sync!$AD1197=""),"",Sync!$AD1197)</f>
        <v/>
      </c>
      <c r="Q1201" t="str">
        <f>IF($G1201="","",IF(Sync!$U1197="","0000",IF(AND(ISNUMBER(Sync!$U1197),Sync!$U1197&gt;=0,Sync!$U1197&lt;1),RIGHT("00"&amp;HOUR(Sync!$U1197),2)&amp;RIGHT("00"&amp;MINUTE(Sync!$U1197),2),IFERROR(RIGHT("00"&amp;VALUE(LEFT(Sync!$U1197,FIND(":",Sync!$U1197)-1)),2)&amp;RIGHT("00"&amp;VALUE(MID(Sync!$U1197,FIND(":",Sync!$U1197)+1,2)),2),"0000"))))</f>
        <v/>
      </c>
    </row>
    <row r="1202" spans="1:17" x14ac:dyDescent="0.2">
      <c r="A1202" t="str">
        <f>IF(Sync!$T1198="","",Sync!$T1198)</f>
        <v/>
      </c>
      <c r="B1202" t="str">
        <f t="shared" si="108"/>
        <v/>
      </c>
      <c r="C1202" t="str">
        <f t="shared" si="109"/>
        <v/>
      </c>
      <c r="D1202" t="str">
        <f t="shared" si="110"/>
        <v/>
      </c>
      <c r="E1202" t="str">
        <f t="shared" si="111"/>
        <v/>
      </c>
      <c r="F1202" t="str">
        <f t="shared" si="112"/>
        <v/>
      </c>
      <c r="G1202" t="str">
        <f>IF(OR($E1202="",$E1202="نامعتبر",Sync!$X1198=""),"",IF(AND(LEFT(UPPER(TRIM(Sync!$X1198)),2)="SL",IFERROR(VLOOKUP(Sync!$W1198,OpTbl,3,0),"")="فروش"),UPPER(TRIM(Sync!$X1198)),""))</f>
        <v/>
      </c>
      <c r="H1202" t="str">
        <f>IF($G1202="","",IF(Sync!$W1198="","",Sync!$W1198))</f>
        <v/>
      </c>
      <c r="I1202" t="str">
        <f>IF(OR($G1202="",Sync!$Y1198=""),"",Sync!$Y1198)</f>
        <v/>
      </c>
      <c r="J1202" t="str">
        <f>IF(OR($G1202="",Sync!$Z1198=""),"",Sync!$Z1198)</f>
        <v/>
      </c>
      <c r="K1202">
        <f>IF($G1202="",0,IF(Sync!$AA1198="",0,Sync!$AA1198))</f>
        <v>0</v>
      </c>
      <c r="L1202">
        <f>IF($G1202="",0,IF(Sync!$AB1198="",0,Sync!$AB1198))</f>
        <v>0</v>
      </c>
      <c r="M1202" t="str">
        <f t="shared" si="113"/>
        <v/>
      </c>
      <c r="N1202">
        <f>IF($G1202="",0,IF($H1202="مرجوعی فروش",-1,1)*IF(Sync!$AC1198="",0,Sync!$AC1198))</f>
        <v>0</v>
      </c>
      <c r="O1202" t="str">
        <f>IF(OR($G1202="",Sync!$V1198=""),"",Sync!$V1198)</f>
        <v/>
      </c>
      <c r="P1202" t="str">
        <f>IF(OR($G1202="",Sync!$AD1198=""),"",Sync!$AD1198)</f>
        <v/>
      </c>
      <c r="Q1202" t="str">
        <f>IF($G1202="","",IF(Sync!$U1198="","0000",IF(AND(ISNUMBER(Sync!$U1198),Sync!$U1198&gt;=0,Sync!$U1198&lt;1),RIGHT("00"&amp;HOUR(Sync!$U1198),2)&amp;RIGHT("00"&amp;MINUTE(Sync!$U1198),2),IFERROR(RIGHT("00"&amp;VALUE(LEFT(Sync!$U1198,FIND(":",Sync!$U1198)-1)),2)&amp;RIGHT("00"&amp;VALUE(MID(Sync!$U1198,FIND(":",Sync!$U1198)+1,2)),2),"0000"))))</f>
        <v/>
      </c>
    </row>
    <row r="1203" spans="1:17" x14ac:dyDescent="0.2">
      <c r="A1203" t="str">
        <f>IF(Sync!$T1199="","",Sync!$T1199)</f>
        <v/>
      </c>
      <c r="B1203" t="str">
        <f t="shared" si="108"/>
        <v/>
      </c>
      <c r="C1203" t="str">
        <f t="shared" si="109"/>
        <v/>
      </c>
      <c r="D1203" t="str">
        <f t="shared" si="110"/>
        <v/>
      </c>
      <c r="E1203" t="str">
        <f t="shared" si="111"/>
        <v/>
      </c>
      <c r="F1203" t="str">
        <f t="shared" si="112"/>
        <v/>
      </c>
      <c r="G1203" t="str">
        <f>IF(OR($E1203="",$E1203="نامعتبر",Sync!$X1199=""),"",IF(AND(LEFT(UPPER(TRIM(Sync!$X1199)),2)="SL",IFERROR(VLOOKUP(Sync!$W1199,OpTbl,3,0),"")="فروش"),UPPER(TRIM(Sync!$X1199)),""))</f>
        <v/>
      </c>
      <c r="H1203" t="str">
        <f>IF($G1203="","",IF(Sync!$W1199="","",Sync!$W1199))</f>
        <v/>
      </c>
      <c r="I1203" t="str">
        <f>IF(OR($G1203="",Sync!$Y1199=""),"",Sync!$Y1199)</f>
        <v/>
      </c>
      <c r="J1203" t="str">
        <f>IF(OR($G1203="",Sync!$Z1199=""),"",Sync!$Z1199)</f>
        <v/>
      </c>
      <c r="K1203">
        <f>IF($G1203="",0,IF(Sync!$AA1199="",0,Sync!$AA1199))</f>
        <v>0</v>
      </c>
      <c r="L1203">
        <f>IF($G1203="",0,IF(Sync!$AB1199="",0,Sync!$AB1199))</f>
        <v>0</v>
      </c>
      <c r="M1203" t="str">
        <f t="shared" si="113"/>
        <v/>
      </c>
      <c r="N1203">
        <f>IF($G1203="",0,IF($H1203="مرجوعی فروش",-1,1)*IF(Sync!$AC1199="",0,Sync!$AC1199))</f>
        <v>0</v>
      </c>
      <c r="O1203" t="str">
        <f>IF(OR($G1203="",Sync!$V1199=""),"",Sync!$V1199)</f>
        <v/>
      </c>
      <c r="P1203" t="str">
        <f>IF(OR($G1203="",Sync!$AD1199=""),"",Sync!$AD1199)</f>
        <v/>
      </c>
      <c r="Q1203" t="str">
        <f>IF($G1203="","",IF(Sync!$U1199="","0000",IF(AND(ISNUMBER(Sync!$U1199),Sync!$U1199&gt;=0,Sync!$U1199&lt;1),RIGHT("00"&amp;HOUR(Sync!$U1199),2)&amp;RIGHT("00"&amp;MINUTE(Sync!$U1199),2),IFERROR(RIGHT("00"&amp;VALUE(LEFT(Sync!$U1199,FIND(":",Sync!$U1199)-1)),2)&amp;RIGHT("00"&amp;VALUE(MID(Sync!$U1199,FIND(":",Sync!$U1199)+1,2)),2),"0000"))))</f>
        <v/>
      </c>
    </row>
    <row r="1204" spans="1:17" x14ac:dyDescent="0.2">
      <c r="A1204" t="str">
        <f>IF(Sync!$T1200="","",Sync!$T1200)</f>
        <v/>
      </c>
      <c r="B1204" t="str">
        <f t="shared" si="108"/>
        <v/>
      </c>
      <c r="C1204" t="str">
        <f t="shared" si="109"/>
        <v/>
      </c>
      <c r="D1204" t="str">
        <f t="shared" si="110"/>
        <v/>
      </c>
      <c r="E1204" t="str">
        <f t="shared" si="111"/>
        <v/>
      </c>
      <c r="F1204" t="str">
        <f t="shared" si="112"/>
        <v/>
      </c>
      <c r="G1204" t="str">
        <f>IF(OR($E1204="",$E1204="نامعتبر",Sync!$X1200=""),"",IF(AND(LEFT(UPPER(TRIM(Sync!$X1200)),2)="SL",IFERROR(VLOOKUP(Sync!$W1200,OpTbl,3,0),"")="فروش"),UPPER(TRIM(Sync!$X1200)),""))</f>
        <v/>
      </c>
      <c r="H1204" t="str">
        <f>IF($G1204="","",IF(Sync!$W1200="","",Sync!$W1200))</f>
        <v/>
      </c>
      <c r="I1204" t="str">
        <f>IF(OR($G1204="",Sync!$Y1200=""),"",Sync!$Y1200)</f>
        <v/>
      </c>
      <c r="J1204" t="str">
        <f>IF(OR($G1204="",Sync!$Z1200=""),"",Sync!$Z1200)</f>
        <v/>
      </c>
      <c r="K1204">
        <f>IF($G1204="",0,IF(Sync!$AA1200="",0,Sync!$AA1200))</f>
        <v>0</v>
      </c>
      <c r="L1204">
        <f>IF($G1204="",0,IF(Sync!$AB1200="",0,Sync!$AB1200))</f>
        <v>0</v>
      </c>
      <c r="M1204" t="str">
        <f t="shared" si="113"/>
        <v/>
      </c>
      <c r="N1204">
        <f>IF($G1204="",0,IF($H1204="مرجوعی فروش",-1,1)*IF(Sync!$AC1200="",0,Sync!$AC1200))</f>
        <v>0</v>
      </c>
      <c r="O1204" t="str">
        <f>IF(OR($G1204="",Sync!$V1200=""),"",Sync!$V1200)</f>
        <v/>
      </c>
      <c r="P1204" t="str">
        <f>IF(OR($G1204="",Sync!$AD1200=""),"",Sync!$AD1200)</f>
        <v/>
      </c>
      <c r="Q1204" t="str">
        <f>IF($G1204="","",IF(Sync!$U1200="","0000",IF(AND(ISNUMBER(Sync!$U1200),Sync!$U1200&gt;=0,Sync!$U1200&lt;1),RIGHT("00"&amp;HOUR(Sync!$U1200),2)&amp;RIGHT("00"&amp;MINUTE(Sync!$U1200),2),IFERROR(RIGHT("00"&amp;VALUE(LEFT(Sync!$U1200,FIND(":",Sync!$U1200)-1)),2)&amp;RIGHT("00"&amp;VALUE(MID(Sync!$U1200,FIND(":",Sync!$U1200)+1,2)),2),"0000"))))</f>
        <v/>
      </c>
    </row>
    <row r="1205" spans="1:17" x14ac:dyDescent="0.2">
      <c r="A1205" t="str">
        <f>IF(Sync!$T1201="","",Sync!$T1201)</f>
        <v/>
      </c>
      <c r="B1205" t="str">
        <f t="shared" si="108"/>
        <v/>
      </c>
      <c r="C1205" t="str">
        <f t="shared" si="109"/>
        <v/>
      </c>
      <c r="D1205" t="str">
        <f t="shared" si="110"/>
        <v/>
      </c>
      <c r="E1205" t="str">
        <f t="shared" si="111"/>
        <v/>
      </c>
      <c r="F1205" t="str">
        <f t="shared" si="112"/>
        <v/>
      </c>
      <c r="G1205" t="str">
        <f>IF(OR($E1205="",$E1205="نامعتبر",Sync!$X1201=""),"",IF(AND(LEFT(UPPER(TRIM(Sync!$X1201)),2)="SL",IFERROR(VLOOKUP(Sync!$W1201,OpTbl,3,0),"")="فروش"),UPPER(TRIM(Sync!$X1201)),""))</f>
        <v/>
      </c>
      <c r="H1205" t="str">
        <f>IF($G1205="","",IF(Sync!$W1201="","",Sync!$W1201))</f>
        <v/>
      </c>
      <c r="I1205" t="str">
        <f>IF(OR($G1205="",Sync!$Y1201=""),"",Sync!$Y1201)</f>
        <v/>
      </c>
      <c r="J1205" t="str">
        <f>IF(OR($G1205="",Sync!$Z1201=""),"",Sync!$Z1201)</f>
        <v/>
      </c>
      <c r="K1205">
        <f>IF($G1205="",0,IF(Sync!$AA1201="",0,Sync!$AA1201))</f>
        <v>0</v>
      </c>
      <c r="L1205">
        <f>IF($G1205="",0,IF(Sync!$AB1201="",0,Sync!$AB1201))</f>
        <v>0</v>
      </c>
      <c r="M1205" t="str">
        <f t="shared" si="113"/>
        <v/>
      </c>
      <c r="N1205">
        <f>IF($G1205="",0,IF($H1205="مرجوعی فروش",-1,1)*IF(Sync!$AC1201="",0,Sync!$AC1201))</f>
        <v>0</v>
      </c>
      <c r="O1205" t="str">
        <f>IF(OR($G1205="",Sync!$V1201=""),"",Sync!$V1201)</f>
        <v/>
      </c>
      <c r="P1205" t="str">
        <f>IF(OR($G1205="",Sync!$AD1201=""),"",Sync!$AD1201)</f>
        <v/>
      </c>
      <c r="Q1205" t="str">
        <f>IF($G1205="","",IF(Sync!$U1201="","0000",IF(AND(ISNUMBER(Sync!$U1201),Sync!$U1201&gt;=0,Sync!$U1201&lt;1),RIGHT("00"&amp;HOUR(Sync!$U1201),2)&amp;RIGHT("00"&amp;MINUTE(Sync!$U1201),2),IFERROR(RIGHT("00"&amp;VALUE(LEFT(Sync!$U1201,FIND(":",Sync!$U1201)-1)),2)&amp;RIGHT("00"&amp;VALUE(MID(Sync!$U1201,FIND(":",Sync!$U1201)+1,2)),2),"0000"))))</f>
        <v/>
      </c>
    </row>
    <row r="1206" spans="1:17" x14ac:dyDescent="0.2">
      <c r="A1206" t="str">
        <f>IF(Sync!$T1202="","",Sync!$T1202)</f>
        <v/>
      </c>
      <c r="B1206" t="str">
        <f t="shared" si="108"/>
        <v/>
      </c>
      <c r="C1206" t="str">
        <f t="shared" si="109"/>
        <v/>
      </c>
      <c r="D1206" t="str">
        <f t="shared" si="110"/>
        <v/>
      </c>
      <c r="E1206" t="str">
        <f t="shared" si="111"/>
        <v/>
      </c>
      <c r="F1206" t="str">
        <f t="shared" si="112"/>
        <v/>
      </c>
      <c r="G1206" t="str">
        <f>IF(OR($E1206="",$E1206="نامعتبر",Sync!$X1202=""),"",IF(AND(LEFT(UPPER(TRIM(Sync!$X1202)),2)="SL",IFERROR(VLOOKUP(Sync!$W1202,OpTbl,3,0),"")="فروش"),UPPER(TRIM(Sync!$X1202)),""))</f>
        <v/>
      </c>
      <c r="H1206" t="str">
        <f>IF($G1206="","",IF(Sync!$W1202="","",Sync!$W1202))</f>
        <v/>
      </c>
      <c r="I1206" t="str">
        <f>IF(OR($G1206="",Sync!$Y1202=""),"",Sync!$Y1202)</f>
        <v/>
      </c>
      <c r="J1206" t="str">
        <f>IF(OR($G1206="",Sync!$Z1202=""),"",Sync!$Z1202)</f>
        <v/>
      </c>
      <c r="K1206">
        <f>IF($G1206="",0,IF(Sync!$AA1202="",0,Sync!$AA1202))</f>
        <v>0</v>
      </c>
      <c r="L1206">
        <f>IF($G1206="",0,IF(Sync!$AB1202="",0,Sync!$AB1202))</f>
        <v>0</v>
      </c>
      <c r="M1206" t="str">
        <f t="shared" si="113"/>
        <v/>
      </c>
      <c r="N1206">
        <f>IF($G1206="",0,IF($H1206="مرجوعی فروش",-1,1)*IF(Sync!$AC1202="",0,Sync!$AC1202))</f>
        <v>0</v>
      </c>
      <c r="O1206" t="str">
        <f>IF(OR($G1206="",Sync!$V1202=""),"",Sync!$V1202)</f>
        <v/>
      </c>
      <c r="P1206" t="str">
        <f>IF(OR($G1206="",Sync!$AD1202=""),"",Sync!$AD1202)</f>
        <v/>
      </c>
      <c r="Q1206" t="str">
        <f>IF($G1206="","",IF(Sync!$U1202="","0000",IF(AND(ISNUMBER(Sync!$U1202),Sync!$U1202&gt;=0,Sync!$U1202&lt;1),RIGHT("00"&amp;HOUR(Sync!$U1202),2)&amp;RIGHT("00"&amp;MINUTE(Sync!$U1202),2),IFERROR(RIGHT("00"&amp;VALUE(LEFT(Sync!$U1202,FIND(":",Sync!$U1202)-1)),2)&amp;RIGHT("00"&amp;VALUE(MID(Sync!$U1202,FIND(":",Sync!$U1202)+1,2)),2),"0000"))))</f>
        <v/>
      </c>
    </row>
    <row r="1207" spans="1:17" x14ac:dyDescent="0.2">
      <c r="A1207" t="str">
        <f>IF(Sync!$T1203="","",Sync!$T1203)</f>
        <v/>
      </c>
      <c r="B1207" t="str">
        <f t="shared" si="108"/>
        <v/>
      </c>
      <c r="C1207" t="str">
        <f t="shared" si="109"/>
        <v/>
      </c>
      <c r="D1207" t="str">
        <f t="shared" si="110"/>
        <v/>
      </c>
      <c r="E1207" t="str">
        <f t="shared" si="111"/>
        <v/>
      </c>
      <c r="F1207" t="str">
        <f t="shared" si="112"/>
        <v/>
      </c>
      <c r="G1207" t="str">
        <f>IF(OR($E1207="",$E1207="نامعتبر",Sync!$X1203=""),"",IF(AND(LEFT(UPPER(TRIM(Sync!$X1203)),2)="SL",IFERROR(VLOOKUP(Sync!$W1203,OpTbl,3,0),"")="فروش"),UPPER(TRIM(Sync!$X1203)),""))</f>
        <v/>
      </c>
      <c r="H1207" t="str">
        <f>IF($G1207="","",IF(Sync!$W1203="","",Sync!$W1203))</f>
        <v/>
      </c>
      <c r="I1207" t="str">
        <f>IF(OR($G1207="",Sync!$Y1203=""),"",Sync!$Y1203)</f>
        <v/>
      </c>
      <c r="J1207" t="str">
        <f>IF(OR($G1207="",Sync!$Z1203=""),"",Sync!$Z1203)</f>
        <v/>
      </c>
      <c r="K1207">
        <f>IF($G1207="",0,IF(Sync!$AA1203="",0,Sync!$AA1203))</f>
        <v>0</v>
      </c>
      <c r="L1207">
        <f>IF($G1207="",0,IF(Sync!$AB1203="",0,Sync!$AB1203))</f>
        <v>0</v>
      </c>
      <c r="M1207" t="str">
        <f t="shared" si="113"/>
        <v/>
      </c>
      <c r="N1207">
        <f>IF($G1207="",0,IF($H1207="مرجوعی فروش",-1,1)*IF(Sync!$AC1203="",0,Sync!$AC1203))</f>
        <v>0</v>
      </c>
      <c r="O1207" t="str">
        <f>IF(OR($G1207="",Sync!$V1203=""),"",Sync!$V1203)</f>
        <v/>
      </c>
      <c r="P1207" t="str">
        <f>IF(OR($G1207="",Sync!$AD1203=""),"",Sync!$AD1203)</f>
        <v/>
      </c>
      <c r="Q1207" t="str">
        <f>IF($G1207="","",IF(Sync!$U1203="","0000",IF(AND(ISNUMBER(Sync!$U1203),Sync!$U1203&gt;=0,Sync!$U1203&lt;1),RIGHT("00"&amp;HOUR(Sync!$U1203),2)&amp;RIGHT("00"&amp;MINUTE(Sync!$U1203),2),IFERROR(RIGHT("00"&amp;VALUE(LEFT(Sync!$U1203,FIND(":",Sync!$U1203)-1)),2)&amp;RIGHT("00"&amp;VALUE(MID(Sync!$U1203,FIND(":",Sync!$U1203)+1,2)),2),"0000"))))</f>
        <v/>
      </c>
    </row>
    <row r="1208" spans="1:17" x14ac:dyDescent="0.2">
      <c r="A1208" t="str">
        <f>IF(Sync!$T1204="","",Sync!$T1204)</f>
        <v/>
      </c>
      <c r="B1208" t="str">
        <f t="shared" si="108"/>
        <v/>
      </c>
      <c r="C1208" t="str">
        <f t="shared" si="109"/>
        <v/>
      </c>
      <c r="D1208" t="str">
        <f t="shared" si="110"/>
        <v/>
      </c>
      <c r="E1208" t="str">
        <f t="shared" si="111"/>
        <v/>
      </c>
      <c r="F1208" t="str">
        <f t="shared" si="112"/>
        <v/>
      </c>
      <c r="G1208" t="str">
        <f>IF(OR($E1208="",$E1208="نامعتبر",Sync!$X1204=""),"",IF(AND(LEFT(UPPER(TRIM(Sync!$X1204)),2)="SL",IFERROR(VLOOKUP(Sync!$W1204,OpTbl,3,0),"")="فروش"),UPPER(TRIM(Sync!$X1204)),""))</f>
        <v/>
      </c>
      <c r="H1208" t="str">
        <f>IF($G1208="","",IF(Sync!$W1204="","",Sync!$W1204))</f>
        <v/>
      </c>
      <c r="I1208" t="str">
        <f>IF(OR($G1208="",Sync!$Y1204=""),"",Sync!$Y1204)</f>
        <v/>
      </c>
      <c r="J1208" t="str">
        <f>IF(OR($G1208="",Sync!$Z1204=""),"",Sync!$Z1204)</f>
        <v/>
      </c>
      <c r="K1208">
        <f>IF($G1208="",0,IF(Sync!$AA1204="",0,Sync!$AA1204))</f>
        <v>0</v>
      </c>
      <c r="L1208">
        <f>IF($G1208="",0,IF(Sync!$AB1204="",0,Sync!$AB1204))</f>
        <v>0</v>
      </c>
      <c r="M1208" t="str">
        <f t="shared" si="113"/>
        <v/>
      </c>
      <c r="N1208">
        <f>IF($G1208="",0,IF($H1208="مرجوعی فروش",-1,1)*IF(Sync!$AC1204="",0,Sync!$AC1204))</f>
        <v>0</v>
      </c>
      <c r="O1208" t="str">
        <f>IF(OR($G1208="",Sync!$V1204=""),"",Sync!$V1204)</f>
        <v/>
      </c>
      <c r="P1208" t="str">
        <f>IF(OR($G1208="",Sync!$AD1204=""),"",Sync!$AD1204)</f>
        <v/>
      </c>
      <c r="Q1208" t="str">
        <f>IF($G1208="","",IF(Sync!$U1204="","0000",IF(AND(ISNUMBER(Sync!$U1204),Sync!$U1204&gt;=0,Sync!$U1204&lt;1),RIGHT("00"&amp;HOUR(Sync!$U1204),2)&amp;RIGHT("00"&amp;MINUTE(Sync!$U1204),2),IFERROR(RIGHT("00"&amp;VALUE(LEFT(Sync!$U1204,FIND(":",Sync!$U1204)-1)),2)&amp;RIGHT("00"&amp;VALUE(MID(Sync!$U1204,FIND(":",Sync!$U1204)+1,2)),2),"0000"))))</f>
        <v/>
      </c>
    </row>
    <row r="1209" spans="1:17" x14ac:dyDescent="0.2">
      <c r="A1209" t="str">
        <f>IF(Sync!$T1205="","",Sync!$T1205)</f>
        <v/>
      </c>
      <c r="B1209" t="str">
        <f t="shared" si="108"/>
        <v/>
      </c>
      <c r="C1209" t="str">
        <f t="shared" si="109"/>
        <v/>
      </c>
      <c r="D1209" t="str">
        <f t="shared" si="110"/>
        <v/>
      </c>
      <c r="E1209" t="str">
        <f t="shared" si="111"/>
        <v/>
      </c>
      <c r="F1209" t="str">
        <f t="shared" si="112"/>
        <v/>
      </c>
      <c r="G1209" t="str">
        <f>IF(OR($E1209="",$E1209="نامعتبر",Sync!$X1205=""),"",IF(AND(LEFT(UPPER(TRIM(Sync!$X1205)),2)="SL",IFERROR(VLOOKUP(Sync!$W1205,OpTbl,3,0),"")="فروش"),UPPER(TRIM(Sync!$X1205)),""))</f>
        <v/>
      </c>
      <c r="H1209" t="str">
        <f>IF($G1209="","",IF(Sync!$W1205="","",Sync!$W1205))</f>
        <v/>
      </c>
      <c r="I1209" t="str">
        <f>IF(OR($G1209="",Sync!$Y1205=""),"",Sync!$Y1205)</f>
        <v/>
      </c>
      <c r="J1209" t="str">
        <f>IF(OR($G1209="",Sync!$Z1205=""),"",Sync!$Z1205)</f>
        <v/>
      </c>
      <c r="K1209">
        <f>IF($G1209="",0,IF(Sync!$AA1205="",0,Sync!$AA1205))</f>
        <v>0</v>
      </c>
      <c r="L1209">
        <f>IF($G1209="",0,IF(Sync!$AB1205="",0,Sync!$AB1205))</f>
        <v>0</v>
      </c>
      <c r="M1209" t="str">
        <f t="shared" si="113"/>
        <v/>
      </c>
      <c r="N1209">
        <f>IF($G1209="",0,IF($H1209="مرجوعی فروش",-1,1)*IF(Sync!$AC1205="",0,Sync!$AC1205))</f>
        <v>0</v>
      </c>
      <c r="O1209" t="str">
        <f>IF(OR($G1209="",Sync!$V1205=""),"",Sync!$V1205)</f>
        <v/>
      </c>
      <c r="P1209" t="str">
        <f>IF(OR($G1209="",Sync!$AD1205=""),"",Sync!$AD1205)</f>
        <v/>
      </c>
      <c r="Q1209" t="str">
        <f>IF($G1209="","",IF(Sync!$U1205="","0000",IF(AND(ISNUMBER(Sync!$U1205),Sync!$U1205&gt;=0,Sync!$U1205&lt;1),RIGHT("00"&amp;HOUR(Sync!$U1205),2)&amp;RIGHT("00"&amp;MINUTE(Sync!$U1205),2),IFERROR(RIGHT("00"&amp;VALUE(LEFT(Sync!$U1205,FIND(":",Sync!$U1205)-1)),2)&amp;RIGHT("00"&amp;VALUE(MID(Sync!$U1205,FIND(":",Sync!$U1205)+1,2)),2),"0000"))))</f>
        <v/>
      </c>
    </row>
    <row r="1210" spans="1:17" x14ac:dyDescent="0.2">
      <c r="A1210" t="str">
        <f>IF(Sync!$T1206="","",Sync!$T1206)</f>
        <v/>
      </c>
      <c r="B1210" t="str">
        <f t="shared" si="108"/>
        <v/>
      </c>
      <c r="C1210" t="str">
        <f t="shared" si="109"/>
        <v/>
      </c>
      <c r="D1210" t="str">
        <f t="shared" si="110"/>
        <v/>
      </c>
      <c r="E1210" t="str">
        <f t="shared" si="111"/>
        <v/>
      </c>
      <c r="F1210" t="str">
        <f t="shared" si="112"/>
        <v/>
      </c>
      <c r="G1210" t="str">
        <f>IF(OR($E1210="",$E1210="نامعتبر",Sync!$X1206=""),"",IF(AND(LEFT(UPPER(TRIM(Sync!$X1206)),2)="SL",IFERROR(VLOOKUP(Sync!$W1206,OpTbl,3,0),"")="فروش"),UPPER(TRIM(Sync!$X1206)),""))</f>
        <v/>
      </c>
      <c r="H1210" t="str">
        <f>IF($G1210="","",IF(Sync!$W1206="","",Sync!$W1206))</f>
        <v/>
      </c>
      <c r="I1210" t="str">
        <f>IF(OR($G1210="",Sync!$Y1206=""),"",Sync!$Y1206)</f>
        <v/>
      </c>
      <c r="J1210" t="str">
        <f>IF(OR($G1210="",Sync!$Z1206=""),"",Sync!$Z1206)</f>
        <v/>
      </c>
      <c r="K1210">
        <f>IF($G1210="",0,IF(Sync!$AA1206="",0,Sync!$AA1206))</f>
        <v>0</v>
      </c>
      <c r="L1210">
        <f>IF($G1210="",0,IF(Sync!$AB1206="",0,Sync!$AB1206))</f>
        <v>0</v>
      </c>
      <c r="M1210" t="str">
        <f t="shared" si="113"/>
        <v/>
      </c>
      <c r="N1210">
        <f>IF($G1210="",0,IF($H1210="مرجوعی فروش",-1,1)*IF(Sync!$AC1206="",0,Sync!$AC1206))</f>
        <v>0</v>
      </c>
      <c r="O1210" t="str">
        <f>IF(OR($G1210="",Sync!$V1206=""),"",Sync!$V1206)</f>
        <v/>
      </c>
      <c r="P1210" t="str">
        <f>IF(OR($G1210="",Sync!$AD1206=""),"",Sync!$AD1206)</f>
        <v/>
      </c>
      <c r="Q1210" t="str">
        <f>IF($G1210="","",IF(Sync!$U1206="","0000",IF(AND(ISNUMBER(Sync!$U1206),Sync!$U1206&gt;=0,Sync!$U1206&lt;1),RIGHT("00"&amp;HOUR(Sync!$U1206),2)&amp;RIGHT("00"&amp;MINUTE(Sync!$U1206),2),IFERROR(RIGHT("00"&amp;VALUE(LEFT(Sync!$U1206,FIND(":",Sync!$U1206)-1)),2)&amp;RIGHT("00"&amp;VALUE(MID(Sync!$U1206,FIND(":",Sync!$U1206)+1,2)),2),"0000"))))</f>
        <v/>
      </c>
    </row>
    <row r="1211" spans="1:17" x14ac:dyDescent="0.2">
      <c r="A1211" t="str">
        <f>IF(Sync!$T1207="","",Sync!$T1207)</f>
        <v/>
      </c>
      <c r="B1211" t="str">
        <f t="shared" si="108"/>
        <v/>
      </c>
      <c r="C1211" t="str">
        <f t="shared" si="109"/>
        <v/>
      </c>
      <c r="D1211" t="str">
        <f t="shared" si="110"/>
        <v/>
      </c>
      <c r="E1211" t="str">
        <f t="shared" si="111"/>
        <v/>
      </c>
      <c r="F1211" t="str">
        <f t="shared" si="112"/>
        <v/>
      </c>
      <c r="G1211" t="str">
        <f>IF(OR($E1211="",$E1211="نامعتبر",Sync!$X1207=""),"",IF(AND(LEFT(UPPER(TRIM(Sync!$X1207)),2)="SL",IFERROR(VLOOKUP(Sync!$W1207,OpTbl,3,0),"")="فروش"),UPPER(TRIM(Sync!$X1207)),""))</f>
        <v/>
      </c>
      <c r="H1211" t="str">
        <f>IF($G1211="","",IF(Sync!$W1207="","",Sync!$W1207))</f>
        <v/>
      </c>
      <c r="I1211" t="str">
        <f>IF(OR($G1211="",Sync!$Y1207=""),"",Sync!$Y1207)</f>
        <v/>
      </c>
      <c r="J1211" t="str">
        <f>IF(OR($G1211="",Sync!$Z1207=""),"",Sync!$Z1207)</f>
        <v/>
      </c>
      <c r="K1211">
        <f>IF($G1211="",0,IF(Sync!$AA1207="",0,Sync!$AA1207))</f>
        <v>0</v>
      </c>
      <c r="L1211">
        <f>IF($G1211="",0,IF(Sync!$AB1207="",0,Sync!$AB1207))</f>
        <v>0</v>
      </c>
      <c r="M1211" t="str">
        <f t="shared" si="113"/>
        <v/>
      </c>
      <c r="N1211">
        <f>IF($G1211="",0,IF($H1211="مرجوعی فروش",-1,1)*IF(Sync!$AC1207="",0,Sync!$AC1207))</f>
        <v>0</v>
      </c>
      <c r="O1211" t="str">
        <f>IF(OR($G1211="",Sync!$V1207=""),"",Sync!$V1207)</f>
        <v/>
      </c>
      <c r="P1211" t="str">
        <f>IF(OR($G1211="",Sync!$AD1207=""),"",Sync!$AD1207)</f>
        <v/>
      </c>
      <c r="Q1211" t="str">
        <f>IF($G1211="","",IF(Sync!$U1207="","0000",IF(AND(ISNUMBER(Sync!$U1207),Sync!$U1207&gt;=0,Sync!$U1207&lt;1),RIGHT("00"&amp;HOUR(Sync!$U1207),2)&amp;RIGHT("00"&amp;MINUTE(Sync!$U1207),2),IFERROR(RIGHT("00"&amp;VALUE(LEFT(Sync!$U1207,FIND(":",Sync!$U1207)-1)),2)&amp;RIGHT("00"&amp;VALUE(MID(Sync!$U1207,FIND(":",Sync!$U1207)+1,2)),2),"0000"))))</f>
        <v/>
      </c>
    </row>
    <row r="1212" spans="1:17" x14ac:dyDescent="0.2">
      <c r="A1212" t="str">
        <f>IF(Sync!$T1208="","",Sync!$T1208)</f>
        <v/>
      </c>
      <c r="B1212" t="str">
        <f t="shared" si="108"/>
        <v/>
      </c>
      <c r="C1212" t="str">
        <f t="shared" si="109"/>
        <v/>
      </c>
      <c r="D1212" t="str">
        <f t="shared" si="110"/>
        <v/>
      </c>
      <c r="E1212" t="str">
        <f t="shared" si="111"/>
        <v/>
      </c>
      <c r="F1212" t="str">
        <f t="shared" si="112"/>
        <v/>
      </c>
      <c r="G1212" t="str">
        <f>IF(OR($E1212="",$E1212="نامعتبر",Sync!$X1208=""),"",IF(AND(LEFT(UPPER(TRIM(Sync!$X1208)),2)="SL",IFERROR(VLOOKUP(Sync!$W1208,OpTbl,3,0),"")="فروش"),UPPER(TRIM(Sync!$X1208)),""))</f>
        <v/>
      </c>
      <c r="H1212" t="str">
        <f>IF($G1212="","",IF(Sync!$W1208="","",Sync!$W1208))</f>
        <v/>
      </c>
      <c r="I1212" t="str">
        <f>IF(OR($G1212="",Sync!$Y1208=""),"",Sync!$Y1208)</f>
        <v/>
      </c>
      <c r="J1212" t="str">
        <f>IF(OR($G1212="",Sync!$Z1208=""),"",Sync!$Z1208)</f>
        <v/>
      </c>
      <c r="K1212">
        <f>IF($G1212="",0,IF(Sync!$AA1208="",0,Sync!$AA1208))</f>
        <v>0</v>
      </c>
      <c r="L1212">
        <f>IF($G1212="",0,IF(Sync!$AB1208="",0,Sync!$AB1208))</f>
        <v>0</v>
      </c>
      <c r="M1212" t="str">
        <f t="shared" si="113"/>
        <v/>
      </c>
      <c r="N1212">
        <f>IF($G1212="",0,IF($H1212="مرجوعی فروش",-1,1)*IF(Sync!$AC1208="",0,Sync!$AC1208))</f>
        <v>0</v>
      </c>
      <c r="O1212" t="str">
        <f>IF(OR($G1212="",Sync!$V1208=""),"",Sync!$V1208)</f>
        <v/>
      </c>
      <c r="P1212" t="str">
        <f>IF(OR($G1212="",Sync!$AD1208=""),"",Sync!$AD1208)</f>
        <v/>
      </c>
      <c r="Q1212" t="str">
        <f>IF($G1212="","",IF(Sync!$U1208="","0000",IF(AND(ISNUMBER(Sync!$U1208),Sync!$U1208&gt;=0,Sync!$U1208&lt;1),RIGHT("00"&amp;HOUR(Sync!$U1208),2)&amp;RIGHT("00"&amp;MINUTE(Sync!$U1208),2),IFERROR(RIGHT("00"&amp;VALUE(LEFT(Sync!$U1208,FIND(":",Sync!$U1208)-1)),2)&amp;RIGHT("00"&amp;VALUE(MID(Sync!$U1208,FIND(":",Sync!$U1208)+1,2)),2),"0000"))))</f>
        <v/>
      </c>
    </row>
    <row r="1213" spans="1:17" x14ac:dyDescent="0.2">
      <c r="A1213" t="str">
        <f>IF(Sync!$T1209="","",Sync!$T1209)</f>
        <v/>
      </c>
      <c r="B1213" t="str">
        <f t="shared" si="108"/>
        <v/>
      </c>
      <c r="C1213" t="str">
        <f t="shared" si="109"/>
        <v/>
      </c>
      <c r="D1213" t="str">
        <f t="shared" si="110"/>
        <v/>
      </c>
      <c r="E1213" t="str">
        <f t="shared" si="111"/>
        <v/>
      </c>
      <c r="F1213" t="str">
        <f t="shared" si="112"/>
        <v/>
      </c>
      <c r="G1213" t="str">
        <f>IF(OR($E1213="",$E1213="نامعتبر",Sync!$X1209=""),"",IF(AND(LEFT(UPPER(TRIM(Sync!$X1209)),2)="SL",IFERROR(VLOOKUP(Sync!$W1209,OpTbl,3,0),"")="فروش"),UPPER(TRIM(Sync!$X1209)),""))</f>
        <v/>
      </c>
      <c r="H1213" t="str">
        <f>IF($G1213="","",IF(Sync!$W1209="","",Sync!$W1209))</f>
        <v/>
      </c>
      <c r="I1213" t="str">
        <f>IF(OR($G1213="",Sync!$Y1209=""),"",Sync!$Y1209)</f>
        <v/>
      </c>
      <c r="J1213" t="str">
        <f>IF(OR($G1213="",Sync!$Z1209=""),"",Sync!$Z1209)</f>
        <v/>
      </c>
      <c r="K1213">
        <f>IF($G1213="",0,IF(Sync!$AA1209="",0,Sync!$AA1209))</f>
        <v>0</v>
      </c>
      <c r="L1213">
        <f>IF($G1213="",0,IF(Sync!$AB1209="",0,Sync!$AB1209))</f>
        <v>0</v>
      </c>
      <c r="M1213" t="str">
        <f t="shared" si="113"/>
        <v/>
      </c>
      <c r="N1213">
        <f>IF($G1213="",0,IF($H1213="مرجوعی فروش",-1,1)*IF(Sync!$AC1209="",0,Sync!$AC1209))</f>
        <v>0</v>
      </c>
      <c r="O1213" t="str">
        <f>IF(OR($G1213="",Sync!$V1209=""),"",Sync!$V1209)</f>
        <v/>
      </c>
      <c r="P1213" t="str">
        <f>IF(OR($G1213="",Sync!$AD1209=""),"",Sync!$AD1209)</f>
        <v/>
      </c>
      <c r="Q1213" t="str">
        <f>IF($G1213="","",IF(Sync!$U1209="","0000",IF(AND(ISNUMBER(Sync!$U1209),Sync!$U1209&gt;=0,Sync!$U1209&lt;1),RIGHT("00"&amp;HOUR(Sync!$U1209),2)&amp;RIGHT("00"&amp;MINUTE(Sync!$U1209),2),IFERROR(RIGHT("00"&amp;VALUE(LEFT(Sync!$U1209,FIND(":",Sync!$U1209)-1)),2)&amp;RIGHT("00"&amp;VALUE(MID(Sync!$U1209,FIND(":",Sync!$U1209)+1,2)),2),"0000"))))</f>
        <v/>
      </c>
    </row>
    <row r="1214" spans="1:17" x14ac:dyDescent="0.2">
      <c r="A1214" t="str">
        <f>IF(Sync!$T1210="","",Sync!$T1210)</f>
        <v/>
      </c>
      <c r="B1214" t="str">
        <f t="shared" si="108"/>
        <v/>
      </c>
      <c r="C1214" t="str">
        <f t="shared" si="109"/>
        <v/>
      </c>
      <c r="D1214" t="str">
        <f t="shared" si="110"/>
        <v/>
      </c>
      <c r="E1214" t="str">
        <f t="shared" si="111"/>
        <v/>
      </c>
      <c r="F1214" t="str">
        <f t="shared" si="112"/>
        <v/>
      </c>
      <c r="G1214" t="str">
        <f>IF(OR($E1214="",$E1214="نامعتبر",Sync!$X1210=""),"",IF(AND(LEFT(UPPER(TRIM(Sync!$X1210)),2)="SL",IFERROR(VLOOKUP(Sync!$W1210,OpTbl,3,0),"")="فروش"),UPPER(TRIM(Sync!$X1210)),""))</f>
        <v/>
      </c>
      <c r="H1214" t="str">
        <f>IF($G1214="","",IF(Sync!$W1210="","",Sync!$W1210))</f>
        <v/>
      </c>
      <c r="I1214" t="str">
        <f>IF(OR($G1214="",Sync!$Y1210=""),"",Sync!$Y1210)</f>
        <v/>
      </c>
      <c r="J1214" t="str">
        <f>IF(OR($G1214="",Sync!$Z1210=""),"",Sync!$Z1210)</f>
        <v/>
      </c>
      <c r="K1214">
        <f>IF($G1214="",0,IF(Sync!$AA1210="",0,Sync!$AA1210))</f>
        <v>0</v>
      </c>
      <c r="L1214">
        <f>IF($G1214="",0,IF(Sync!$AB1210="",0,Sync!$AB1210))</f>
        <v>0</v>
      </c>
      <c r="M1214" t="str">
        <f t="shared" si="113"/>
        <v/>
      </c>
      <c r="N1214">
        <f>IF($G1214="",0,IF($H1214="مرجوعی فروش",-1,1)*IF(Sync!$AC1210="",0,Sync!$AC1210))</f>
        <v>0</v>
      </c>
      <c r="O1214" t="str">
        <f>IF(OR($G1214="",Sync!$V1210=""),"",Sync!$V1210)</f>
        <v/>
      </c>
      <c r="P1214" t="str">
        <f>IF(OR($G1214="",Sync!$AD1210=""),"",Sync!$AD1210)</f>
        <v/>
      </c>
      <c r="Q1214" t="str">
        <f>IF($G1214="","",IF(Sync!$U1210="","0000",IF(AND(ISNUMBER(Sync!$U1210),Sync!$U1210&gt;=0,Sync!$U1210&lt;1),RIGHT("00"&amp;HOUR(Sync!$U1210),2)&amp;RIGHT("00"&amp;MINUTE(Sync!$U1210),2),IFERROR(RIGHT("00"&amp;VALUE(LEFT(Sync!$U1210,FIND(":",Sync!$U1210)-1)),2)&amp;RIGHT("00"&amp;VALUE(MID(Sync!$U1210,FIND(":",Sync!$U1210)+1,2)),2),"0000"))))</f>
        <v/>
      </c>
    </row>
    <row r="1215" spans="1:17" x14ac:dyDescent="0.2">
      <c r="A1215" t="str">
        <f>IF(Sync!$T1211="","",Sync!$T1211)</f>
        <v/>
      </c>
      <c r="B1215" t="str">
        <f t="shared" si="108"/>
        <v/>
      </c>
      <c r="C1215" t="str">
        <f t="shared" si="109"/>
        <v/>
      </c>
      <c r="D1215" t="str">
        <f t="shared" si="110"/>
        <v/>
      </c>
      <c r="E1215" t="str">
        <f t="shared" si="111"/>
        <v/>
      </c>
      <c r="F1215" t="str">
        <f t="shared" si="112"/>
        <v/>
      </c>
      <c r="G1215" t="str">
        <f>IF(OR($E1215="",$E1215="نامعتبر",Sync!$X1211=""),"",IF(AND(LEFT(UPPER(TRIM(Sync!$X1211)),2)="SL",IFERROR(VLOOKUP(Sync!$W1211,OpTbl,3,0),"")="فروش"),UPPER(TRIM(Sync!$X1211)),""))</f>
        <v/>
      </c>
      <c r="H1215" t="str">
        <f>IF($G1215="","",IF(Sync!$W1211="","",Sync!$W1211))</f>
        <v/>
      </c>
      <c r="I1215" t="str">
        <f>IF(OR($G1215="",Sync!$Y1211=""),"",Sync!$Y1211)</f>
        <v/>
      </c>
      <c r="J1215" t="str">
        <f>IF(OR($G1215="",Sync!$Z1211=""),"",Sync!$Z1211)</f>
        <v/>
      </c>
      <c r="K1215">
        <f>IF($G1215="",0,IF(Sync!$AA1211="",0,Sync!$AA1211))</f>
        <v>0</v>
      </c>
      <c r="L1215">
        <f>IF($G1215="",0,IF(Sync!$AB1211="",0,Sync!$AB1211))</f>
        <v>0</v>
      </c>
      <c r="M1215" t="str">
        <f t="shared" si="113"/>
        <v/>
      </c>
      <c r="N1215">
        <f>IF($G1215="",0,IF($H1215="مرجوعی فروش",-1,1)*IF(Sync!$AC1211="",0,Sync!$AC1211))</f>
        <v>0</v>
      </c>
      <c r="O1215" t="str">
        <f>IF(OR($G1215="",Sync!$V1211=""),"",Sync!$V1211)</f>
        <v/>
      </c>
      <c r="P1215" t="str">
        <f>IF(OR($G1215="",Sync!$AD1211=""),"",Sync!$AD1211)</f>
        <v/>
      </c>
      <c r="Q1215" t="str">
        <f>IF($G1215="","",IF(Sync!$U1211="","0000",IF(AND(ISNUMBER(Sync!$U1211),Sync!$U1211&gt;=0,Sync!$U1211&lt;1),RIGHT("00"&amp;HOUR(Sync!$U1211),2)&amp;RIGHT("00"&amp;MINUTE(Sync!$U1211),2),IFERROR(RIGHT("00"&amp;VALUE(LEFT(Sync!$U1211,FIND(":",Sync!$U1211)-1)),2)&amp;RIGHT("00"&amp;VALUE(MID(Sync!$U1211,FIND(":",Sync!$U1211)+1,2)),2),"0000"))))</f>
        <v/>
      </c>
    </row>
    <row r="1216" spans="1:17" x14ac:dyDescent="0.2">
      <c r="A1216" t="str">
        <f>IF(Sync!$T1212="","",Sync!$T1212)</f>
        <v/>
      </c>
      <c r="B1216" t="str">
        <f t="shared" si="108"/>
        <v/>
      </c>
      <c r="C1216" t="str">
        <f t="shared" si="109"/>
        <v/>
      </c>
      <c r="D1216" t="str">
        <f t="shared" si="110"/>
        <v/>
      </c>
      <c r="E1216" t="str">
        <f t="shared" si="111"/>
        <v/>
      </c>
      <c r="F1216" t="str">
        <f t="shared" si="112"/>
        <v/>
      </c>
      <c r="G1216" t="str">
        <f>IF(OR($E1216="",$E1216="نامعتبر",Sync!$X1212=""),"",IF(AND(LEFT(UPPER(TRIM(Sync!$X1212)),2)="SL",IFERROR(VLOOKUP(Sync!$W1212,OpTbl,3,0),"")="فروش"),UPPER(TRIM(Sync!$X1212)),""))</f>
        <v/>
      </c>
      <c r="H1216" t="str">
        <f>IF($G1216="","",IF(Sync!$W1212="","",Sync!$W1212))</f>
        <v/>
      </c>
      <c r="I1216" t="str">
        <f>IF(OR($G1216="",Sync!$Y1212=""),"",Sync!$Y1212)</f>
        <v/>
      </c>
      <c r="J1216" t="str">
        <f>IF(OR($G1216="",Sync!$Z1212=""),"",Sync!$Z1212)</f>
        <v/>
      </c>
      <c r="K1216">
        <f>IF($G1216="",0,IF(Sync!$AA1212="",0,Sync!$AA1212))</f>
        <v>0</v>
      </c>
      <c r="L1216">
        <f>IF($G1216="",0,IF(Sync!$AB1212="",0,Sync!$AB1212))</f>
        <v>0</v>
      </c>
      <c r="M1216" t="str">
        <f t="shared" si="113"/>
        <v/>
      </c>
      <c r="N1216">
        <f>IF($G1216="",0,IF($H1216="مرجوعی فروش",-1,1)*IF(Sync!$AC1212="",0,Sync!$AC1212))</f>
        <v>0</v>
      </c>
      <c r="O1216" t="str">
        <f>IF(OR($G1216="",Sync!$V1212=""),"",Sync!$V1212)</f>
        <v/>
      </c>
      <c r="P1216" t="str">
        <f>IF(OR($G1216="",Sync!$AD1212=""),"",Sync!$AD1212)</f>
        <v/>
      </c>
      <c r="Q1216" t="str">
        <f>IF($G1216="","",IF(Sync!$U1212="","0000",IF(AND(ISNUMBER(Sync!$U1212),Sync!$U1212&gt;=0,Sync!$U1212&lt;1),RIGHT("00"&amp;HOUR(Sync!$U1212),2)&amp;RIGHT("00"&amp;MINUTE(Sync!$U1212),2),IFERROR(RIGHT("00"&amp;VALUE(LEFT(Sync!$U1212,FIND(":",Sync!$U1212)-1)),2)&amp;RIGHT("00"&amp;VALUE(MID(Sync!$U1212,FIND(":",Sync!$U1212)+1,2)),2),"0000"))))</f>
        <v/>
      </c>
    </row>
    <row r="1217" spans="1:17" x14ac:dyDescent="0.2">
      <c r="A1217" t="str">
        <f>IF(Sync!$T1213="","",Sync!$T1213)</f>
        <v/>
      </c>
      <c r="B1217" t="str">
        <f t="shared" si="108"/>
        <v/>
      </c>
      <c r="C1217" t="str">
        <f t="shared" si="109"/>
        <v/>
      </c>
      <c r="D1217" t="str">
        <f t="shared" si="110"/>
        <v/>
      </c>
      <c r="E1217" t="str">
        <f t="shared" si="111"/>
        <v/>
      </c>
      <c r="F1217" t="str">
        <f t="shared" si="112"/>
        <v/>
      </c>
      <c r="G1217" t="str">
        <f>IF(OR($E1217="",$E1217="نامعتبر",Sync!$X1213=""),"",IF(AND(LEFT(UPPER(TRIM(Sync!$X1213)),2)="SL",IFERROR(VLOOKUP(Sync!$W1213,OpTbl,3,0),"")="فروش"),UPPER(TRIM(Sync!$X1213)),""))</f>
        <v/>
      </c>
      <c r="H1217" t="str">
        <f>IF($G1217="","",IF(Sync!$W1213="","",Sync!$W1213))</f>
        <v/>
      </c>
      <c r="I1217" t="str">
        <f>IF(OR($G1217="",Sync!$Y1213=""),"",Sync!$Y1213)</f>
        <v/>
      </c>
      <c r="J1217" t="str">
        <f>IF(OR($G1217="",Sync!$Z1213=""),"",Sync!$Z1213)</f>
        <v/>
      </c>
      <c r="K1217">
        <f>IF($G1217="",0,IF(Sync!$AA1213="",0,Sync!$AA1213))</f>
        <v>0</v>
      </c>
      <c r="L1217">
        <f>IF($G1217="",0,IF(Sync!$AB1213="",0,Sync!$AB1213))</f>
        <v>0</v>
      </c>
      <c r="M1217" t="str">
        <f t="shared" si="113"/>
        <v/>
      </c>
      <c r="N1217">
        <f>IF($G1217="",0,IF($H1217="مرجوعی فروش",-1,1)*IF(Sync!$AC1213="",0,Sync!$AC1213))</f>
        <v>0</v>
      </c>
      <c r="O1217" t="str">
        <f>IF(OR($G1217="",Sync!$V1213=""),"",Sync!$V1213)</f>
        <v/>
      </c>
      <c r="P1217" t="str">
        <f>IF(OR($G1217="",Sync!$AD1213=""),"",Sync!$AD1213)</f>
        <v/>
      </c>
      <c r="Q1217" t="str">
        <f>IF($G1217="","",IF(Sync!$U1213="","0000",IF(AND(ISNUMBER(Sync!$U1213),Sync!$U1213&gt;=0,Sync!$U1213&lt;1),RIGHT("00"&amp;HOUR(Sync!$U1213),2)&amp;RIGHT("00"&amp;MINUTE(Sync!$U1213),2),IFERROR(RIGHT("00"&amp;VALUE(LEFT(Sync!$U1213,FIND(":",Sync!$U1213)-1)),2)&amp;RIGHT("00"&amp;VALUE(MID(Sync!$U1213,FIND(":",Sync!$U1213)+1,2)),2),"0000"))))</f>
        <v/>
      </c>
    </row>
    <row r="1218" spans="1:17" x14ac:dyDescent="0.2">
      <c r="A1218" t="str">
        <f>IF(Sync!$T1214="","",Sync!$T1214)</f>
        <v/>
      </c>
      <c r="B1218" t="str">
        <f t="shared" si="108"/>
        <v/>
      </c>
      <c r="C1218" t="str">
        <f t="shared" si="109"/>
        <v/>
      </c>
      <c r="D1218" t="str">
        <f t="shared" si="110"/>
        <v/>
      </c>
      <c r="E1218" t="str">
        <f t="shared" si="111"/>
        <v/>
      </c>
      <c r="F1218" t="str">
        <f t="shared" si="112"/>
        <v/>
      </c>
      <c r="G1218" t="str">
        <f>IF(OR($E1218="",$E1218="نامعتبر",Sync!$X1214=""),"",IF(AND(LEFT(UPPER(TRIM(Sync!$X1214)),2)="SL",IFERROR(VLOOKUP(Sync!$W1214,OpTbl,3,0),"")="فروش"),UPPER(TRIM(Sync!$X1214)),""))</f>
        <v/>
      </c>
      <c r="H1218" t="str">
        <f>IF($G1218="","",IF(Sync!$W1214="","",Sync!$W1214))</f>
        <v/>
      </c>
      <c r="I1218" t="str">
        <f>IF(OR($G1218="",Sync!$Y1214=""),"",Sync!$Y1214)</f>
        <v/>
      </c>
      <c r="J1218" t="str">
        <f>IF(OR($G1218="",Sync!$Z1214=""),"",Sync!$Z1214)</f>
        <v/>
      </c>
      <c r="K1218">
        <f>IF($G1218="",0,IF(Sync!$AA1214="",0,Sync!$AA1214))</f>
        <v>0</v>
      </c>
      <c r="L1218">
        <f>IF($G1218="",0,IF(Sync!$AB1214="",0,Sync!$AB1214))</f>
        <v>0</v>
      </c>
      <c r="M1218" t="str">
        <f t="shared" si="113"/>
        <v/>
      </c>
      <c r="N1218">
        <f>IF($G1218="",0,IF($H1218="مرجوعی فروش",-1,1)*IF(Sync!$AC1214="",0,Sync!$AC1214))</f>
        <v>0</v>
      </c>
      <c r="O1218" t="str">
        <f>IF(OR($G1218="",Sync!$V1214=""),"",Sync!$V1214)</f>
        <v/>
      </c>
      <c r="P1218" t="str">
        <f>IF(OR($G1218="",Sync!$AD1214=""),"",Sync!$AD1214)</f>
        <v/>
      </c>
      <c r="Q1218" t="str">
        <f>IF($G1218="","",IF(Sync!$U1214="","0000",IF(AND(ISNUMBER(Sync!$U1214),Sync!$U1214&gt;=0,Sync!$U1214&lt;1),RIGHT("00"&amp;HOUR(Sync!$U1214),2)&amp;RIGHT("00"&amp;MINUTE(Sync!$U1214),2),IFERROR(RIGHT("00"&amp;VALUE(LEFT(Sync!$U1214,FIND(":",Sync!$U1214)-1)),2)&amp;RIGHT("00"&amp;VALUE(MID(Sync!$U1214,FIND(":",Sync!$U1214)+1,2)),2),"0000"))))</f>
        <v/>
      </c>
    </row>
    <row r="1219" spans="1:17" x14ac:dyDescent="0.2">
      <c r="A1219" t="str">
        <f>IF(Sync!$T1215="","",Sync!$T1215)</f>
        <v/>
      </c>
      <c r="B1219" t="str">
        <f t="shared" si="108"/>
        <v/>
      </c>
      <c r="C1219" t="str">
        <f t="shared" si="109"/>
        <v/>
      </c>
      <c r="D1219" t="str">
        <f t="shared" si="110"/>
        <v/>
      </c>
      <c r="E1219" t="str">
        <f t="shared" si="111"/>
        <v/>
      </c>
      <c r="F1219" t="str">
        <f t="shared" si="112"/>
        <v/>
      </c>
      <c r="G1219" t="str">
        <f>IF(OR($E1219="",$E1219="نامعتبر",Sync!$X1215=""),"",IF(AND(LEFT(UPPER(TRIM(Sync!$X1215)),2)="SL",IFERROR(VLOOKUP(Sync!$W1215,OpTbl,3,0),"")="فروش"),UPPER(TRIM(Sync!$X1215)),""))</f>
        <v/>
      </c>
      <c r="H1219" t="str">
        <f>IF($G1219="","",IF(Sync!$W1215="","",Sync!$W1215))</f>
        <v/>
      </c>
      <c r="I1219" t="str">
        <f>IF(OR($G1219="",Sync!$Y1215=""),"",Sync!$Y1215)</f>
        <v/>
      </c>
      <c r="J1219" t="str">
        <f>IF(OR($G1219="",Sync!$Z1215=""),"",Sync!$Z1215)</f>
        <v/>
      </c>
      <c r="K1219">
        <f>IF($G1219="",0,IF(Sync!$AA1215="",0,Sync!$AA1215))</f>
        <v>0</v>
      </c>
      <c r="L1219">
        <f>IF($G1219="",0,IF(Sync!$AB1215="",0,Sync!$AB1215))</f>
        <v>0</v>
      </c>
      <c r="M1219" t="str">
        <f t="shared" si="113"/>
        <v/>
      </c>
      <c r="N1219">
        <f>IF($G1219="",0,IF($H1219="مرجوعی فروش",-1,1)*IF(Sync!$AC1215="",0,Sync!$AC1215))</f>
        <v>0</v>
      </c>
      <c r="O1219" t="str">
        <f>IF(OR($G1219="",Sync!$V1215=""),"",Sync!$V1215)</f>
        <v/>
      </c>
      <c r="P1219" t="str">
        <f>IF(OR($G1219="",Sync!$AD1215=""),"",Sync!$AD1215)</f>
        <v/>
      </c>
      <c r="Q1219" t="str">
        <f>IF($G1219="","",IF(Sync!$U1215="","0000",IF(AND(ISNUMBER(Sync!$U1215),Sync!$U1215&gt;=0,Sync!$U1215&lt;1),RIGHT("00"&amp;HOUR(Sync!$U1215),2)&amp;RIGHT("00"&amp;MINUTE(Sync!$U1215),2),IFERROR(RIGHT("00"&amp;VALUE(LEFT(Sync!$U1215,FIND(":",Sync!$U1215)-1)),2)&amp;RIGHT("00"&amp;VALUE(MID(Sync!$U1215,FIND(":",Sync!$U1215)+1,2)),2),"0000"))))</f>
        <v/>
      </c>
    </row>
    <row r="1220" spans="1:17" x14ac:dyDescent="0.2">
      <c r="A1220" t="str">
        <f>IF(Sync!$T1216="","",Sync!$T1216)</f>
        <v/>
      </c>
      <c r="B1220" t="str">
        <f t="shared" si="108"/>
        <v/>
      </c>
      <c r="C1220" t="str">
        <f t="shared" si="109"/>
        <v/>
      </c>
      <c r="D1220" t="str">
        <f t="shared" si="110"/>
        <v/>
      </c>
      <c r="E1220" t="str">
        <f t="shared" si="111"/>
        <v/>
      </c>
      <c r="F1220" t="str">
        <f t="shared" si="112"/>
        <v/>
      </c>
      <c r="G1220" t="str">
        <f>IF(OR($E1220="",$E1220="نامعتبر",Sync!$X1216=""),"",IF(AND(LEFT(UPPER(TRIM(Sync!$X1216)),2)="SL",IFERROR(VLOOKUP(Sync!$W1216,OpTbl,3,0),"")="فروش"),UPPER(TRIM(Sync!$X1216)),""))</f>
        <v/>
      </c>
      <c r="H1220" t="str">
        <f>IF($G1220="","",IF(Sync!$W1216="","",Sync!$W1216))</f>
        <v/>
      </c>
      <c r="I1220" t="str">
        <f>IF(OR($G1220="",Sync!$Y1216=""),"",Sync!$Y1216)</f>
        <v/>
      </c>
      <c r="J1220" t="str">
        <f>IF(OR($G1220="",Sync!$Z1216=""),"",Sync!$Z1216)</f>
        <v/>
      </c>
      <c r="K1220">
        <f>IF($G1220="",0,IF(Sync!$AA1216="",0,Sync!$AA1216))</f>
        <v>0</v>
      </c>
      <c r="L1220">
        <f>IF($G1220="",0,IF(Sync!$AB1216="",0,Sync!$AB1216))</f>
        <v>0</v>
      </c>
      <c r="M1220" t="str">
        <f t="shared" si="113"/>
        <v/>
      </c>
      <c r="N1220">
        <f>IF($G1220="",0,IF($H1220="مرجوعی فروش",-1,1)*IF(Sync!$AC1216="",0,Sync!$AC1216))</f>
        <v>0</v>
      </c>
      <c r="O1220" t="str">
        <f>IF(OR($G1220="",Sync!$V1216=""),"",Sync!$V1216)</f>
        <v/>
      </c>
      <c r="P1220" t="str">
        <f>IF(OR($G1220="",Sync!$AD1216=""),"",Sync!$AD1216)</f>
        <v/>
      </c>
      <c r="Q1220" t="str">
        <f>IF($G1220="","",IF(Sync!$U1216="","0000",IF(AND(ISNUMBER(Sync!$U1216),Sync!$U1216&gt;=0,Sync!$U1216&lt;1),RIGHT("00"&amp;HOUR(Sync!$U1216),2)&amp;RIGHT("00"&amp;MINUTE(Sync!$U1216),2),IFERROR(RIGHT("00"&amp;VALUE(LEFT(Sync!$U1216,FIND(":",Sync!$U1216)-1)),2)&amp;RIGHT("00"&amp;VALUE(MID(Sync!$U1216,FIND(":",Sync!$U1216)+1,2)),2),"0000"))))</f>
        <v/>
      </c>
    </row>
    <row r="1221" spans="1:17" x14ac:dyDescent="0.2">
      <c r="A1221" t="str">
        <f>IF(Sync!$T1217="","",Sync!$T1217)</f>
        <v/>
      </c>
      <c r="B1221" t="str">
        <f t="shared" si="108"/>
        <v/>
      </c>
      <c r="C1221" t="str">
        <f t="shared" si="109"/>
        <v/>
      </c>
      <c r="D1221" t="str">
        <f t="shared" si="110"/>
        <v/>
      </c>
      <c r="E1221" t="str">
        <f t="shared" si="111"/>
        <v/>
      </c>
      <c r="F1221" t="str">
        <f t="shared" si="112"/>
        <v/>
      </c>
      <c r="G1221" t="str">
        <f>IF(OR($E1221="",$E1221="نامعتبر",Sync!$X1217=""),"",IF(AND(LEFT(UPPER(TRIM(Sync!$X1217)),2)="SL",IFERROR(VLOOKUP(Sync!$W1217,OpTbl,3,0),"")="فروش"),UPPER(TRIM(Sync!$X1217)),""))</f>
        <v/>
      </c>
      <c r="H1221" t="str">
        <f>IF($G1221="","",IF(Sync!$W1217="","",Sync!$W1217))</f>
        <v/>
      </c>
      <c r="I1221" t="str">
        <f>IF(OR($G1221="",Sync!$Y1217=""),"",Sync!$Y1217)</f>
        <v/>
      </c>
      <c r="J1221" t="str">
        <f>IF(OR($G1221="",Sync!$Z1217=""),"",Sync!$Z1217)</f>
        <v/>
      </c>
      <c r="K1221">
        <f>IF($G1221="",0,IF(Sync!$AA1217="",0,Sync!$AA1217))</f>
        <v>0</v>
      </c>
      <c r="L1221">
        <f>IF($G1221="",0,IF(Sync!$AB1217="",0,Sync!$AB1217))</f>
        <v>0</v>
      </c>
      <c r="M1221" t="str">
        <f t="shared" si="113"/>
        <v/>
      </c>
      <c r="N1221">
        <f>IF($G1221="",0,IF($H1221="مرجوعی فروش",-1,1)*IF(Sync!$AC1217="",0,Sync!$AC1217))</f>
        <v>0</v>
      </c>
      <c r="O1221" t="str">
        <f>IF(OR($G1221="",Sync!$V1217=""),"",Sync!$V1217)</f>
        <v/>
      </c>
      <c r="P1221" t="str">
        <f>IF(OR($G1221="",Sync!$AD1217=""),"",Sync!$AD1217)</f>
        <v/>
      </c>
      <c r="Q1221" t="str">
        <f>IF($G1221="","",IF(Sync!$U1217="","0000",IF(AND(ISNUMBER(Sync!$U1217),Sync!$U1217&gt;=0,Sync!$U1217&lt;1),RIGHT("00"&amp;HOUR(Sync!$U1217),2)&amp;RIGHT("00"&amp;MINUTE(Sync!$U1217),2),IFERROR(RIGHT("00"&amp;VALUE(LEFT(Sync!$U1217,FIND(":",Sync!$U1217)-1)),2)&amp;RIGHT("00"&amp;VALUE(MID(Sync!$U1217,FIND(":",Sync!$U1217)+1,2)),2),"0000"))))</f>
        <v/>
      </c>
    </row>
    <row r="1222" spans="1:17" x14ac:dyDescent="0.2">
      <c r="A1222" t="str">
        <f>IF(Sync!$T1218="","",Sync!$T1218)</f>
        <v/>
      </c>
      <c r="B1222" t="str">
        <f t="shared" si="108"/>
        <v/>
      </c>
      <c r="C1222" t="str">
        <f t="shared" si="109"/>
        <v/>
      </c>
      <c r="D1222" t="str">
        <f t="shared" si="110"/>
        <v/>
      </c>
      <c r="E1222" t="str">
        <f t="shared" si="111"/>
        <v/>
      </c>
      <c r="F1222" t="str">
        <f t="shared" si="112"/>
        <v/>
      </c>
      <c r="G1222" t="str">
        <f>IF(OR($E1222="",$E1222="نامعتبر",Sync!$X1218=""),"",IF(AND(LEFT(UPPER(TRIM(Sync!$X1218)),2)="SL",IFERROR(VLOOKUP(Sync!$W1218,OpTbl,3,0),"")="فروش"),UPPER(TRIM(Sync!$X1218)),""))</f>
        <v/>
      </c>
      <c r="H1222" t="str">
        <f>IF($G1222="","",IF(Sync!$W1218="","",Sync!$W1218))</f>
        <v/>
      </c>
      <c r="I1222" t="str">
        <f>IF(OR($G1222="",Sync!$Y1218=""),"",Sync!$Y1218)</f>
        <v/>
      </c>
      <c r="J1222" t="str">
        <f>IF(OR($G1222="",Sync!$Z1218=""),"",Sync!$Z1218)</f>
        <v/>
      </c>
      <c r="K1222">
        <f>IF($G1222="",0,IF(Sync!$AA1218="",0,Sync!$AA1218))</f>
        <v>0</v>
      </c>
      <c r="L1222">
        <f>IF($G1222="",0,IF(Sync!$AB1218="",0,Sync!$AB1218))</f>
        <v>0</v>
      </c>
      <c r="M1222" t="str">
        <f t="shared" si="113"/>
        <v/>
      </c>
      <c r="N1222">
        <f>IF($G1222="",0,IF($H1222="مرجوعی فروش",-1,1)*IF(Sync!$AC1218="",0,Sync!$AC1218))</f>
        <v>0</v>
      </c>
      <c r="O1222" t="str">
        <f>IF(OR($G1222="",Sync!$V1218=""),"",Sync!$V1218)</f>
        <v/>
      </c>
      <c r="P1222" t="str">
        <f>IF(OR($G1222="",Sync!$AD1218=""),"",Sync!$AD1218)</f>
        <v/>
      </c>
      <c r="Q1222" t="str">
        <f>IF($G1222="","",IF(Sync!$U1218="","0000",IF(AND(ISNUMBER(Sync!$U1218),Sync!$U1218&gt;=0,Sync!$U1218&lt;1),RIGHT("00"&amp;HOUR(Sync!$U1218),2)&amp;RIGHT("00"&amp;MINUTE(Sync!$U1218),2),IFERROR(RIGHT("00"&amp;VALUE(LEFT(Sync!$U1218,FIND(":",Sync!$U1218)-1)),2)&amp;RIGHT("00"&amp;VALUE(MID(Sync!$U1218,FIND(":",Sync!$U1218)+1,2)),2),"0000"))))</f>
        <v/>
      </c>
    </row>
    <row r="1223" spans="1:17" x14ac:dyDescent="0.2">
      <c r="A1223" t="str">
        <f>IF(Sync!$T1219="","",Sync!$T1219)</f>
        <v/>
      </c>
      <c r="B1223" t="str">
        <f t="shared" si="108"/>
        <v/>
      </c>
      <c r="C1223" t="str">
        <f t="shared" si="109"/>
        <v/>
      </c>
      <c r="D1223" t="str">
        <f t="shared" si="110"/>
        <v/>
      </c>
      <c r="E1223" t="str">
        <f t="shared" si="111"/>
        <v/>
      </c>
      <c r="F1223" t="str">
        <f t="shared" si="112"/>
        <v/>
      </c>
      <c r="G1223" t="str">
        <f>IF(OR($E1223="",$E1223="نامعتبر",Sync!$X1219=""),"",IF(AND(LEFT(UPPER(TRIM(Sync!$X1219)),2)="SL",IFERROR(VLOOKUP(Sync!$W1219,OpTbl,3,0),"")="فروش"),UPPER(TRIM(Sync!$X1219)),""))</f>
        <v/>
      </c>
      <c r="H1223" t="str">
        <f>IF($G1223="","",IF(Sync!$W1219="","",Sync!$W1219))</f>
        <v/>
      </c>
      <c r="I1223" t="str">
        <f>IF(OR($G1223="",Sync!$Y1219=""),"",Sync!$Y1219)</f>
        <v/>
      </c>
      <c r="J1223" t="str">
        <f>IF(OR($G1223="",Sync!$Z1219=""),"",Sync!$Z1219)</f>
        <v/>
      </c>
      <c r="K1223">
        <f>IF($G1223="",0,IF(Sync!$AA1219="",0,Sync!$AA1219))</f>
        <v>0</v>
      </c>
      <c r="L1223">
        <f>IF($G1223="",0,IF(Sync!$AB1219="",0,Sync!$AB1219))</f>
        <v>0</v>
      </c>
      <c r="M1223" t="str">
        <f t="shared" si="113"/>
        <v/>
      </c>
      <c r="N1223">
        <f>IF($G1223="",0,IF($H1223="مرجوعی فروش",-1,1)*IF(Sync!$AC1219="",0,Sync!$AC1219))</f>
        <v>0</v>
      </c>
      <c r="O1223" t="str">
        <f>IF(OR($G1223="",Sync!$V1219=""),"",Sync!$V1219)</f>
        <v/>
      </c>
      <c r="P1223" t="str">
        <f>IF(OR($G1223="",Sync!$AD1219=""),"",Sync!$AD1219)</f>
        <v/>
      </c>
      <c r="Q1223" t="str">
        <f>IF($G1223="","",IF(Sync!$U1219="","0000",IF(AND(ISNUMBER(Sync!$U1219),Sync!$U1219&gt;=0,Sync!$U1219&lt;1),RIGHT("00"&amp;HOUR(Sync!$U1219),2)&amp;RIGHT("00"&amp;MINUTE(Sync!$U1219),2),IFERROR(RIGHT("00"&amp;VALUE(LEFT(Sync!$U1219,FIND(":",Sync!$U1219)-1)),2)&amp;RIGHT("00"&amp;VALUE(MID(Sync!$U1219,FIND(":",Sync!$U1219)+1,2)),2),"0000"))))</f>
        <v/>
      </c>
    </row>
    <row r="1224" spans="1:17" x14ac:dyDescent="0.2">
      <c r="A1224" t="str">
        <f>IF(Sync!$T1220="","",Sync!$T1220)</f>
        <v/>
      </c>
      <c r="B1224" t="str">
        <f t="shared" si="108"/>
        <v/>
      </c>
      <c r="C1224" t="str">
        <f t="shared" si="109"/>
        <v/>
      </c>
      <c r="D1224" t="str">
        <f t="shared" si="110"/>
        <v/>
      </c>
      <c r="E1224" t="str">
        <f t="shared" si="111"/>
        <v/>
      </c>
      <c r="F1224" t="str">
        <f t="shared" si="112"/>
        <v/>
      </c>
      <c r="G1224" t="str">
        <f>IF(OR($E1224="",$E1224="نامعتبر",Sync!$X1220=""),"",IF(AND(LEFT(UPPER(TRIM(Sync!$X1220)),2)="SL",IFERROR(VLOOKUP(Sync!$W1220,OpTbl,3,0),"")="فروش"),UPPER(TRIM(Sync!$X1220)),""))</f>
        <v/>
      </c>
      <c r="H1224" t="str">
        <f>IF($G1224="","",IF(Sync!$W1220="","",Sync!$W1220))</f>
        <v/>
      </c>
      <c r="I1224" t="str">
        <f>IF(OR($G1224="",Sync!$Y1220=""),"",Sync!$Y1220)</f>
        <v/>
      </c>
      <c r="J1224" t="str">
        <f>IF(OR($G1224="",Sync!$Z1220=""),"",Sync!$Z1220)</f>
        <v/>
      </c>
      <c r="K1224">
        <f>IF($G1224="",0,IF(Sync!$AA1220="",0,Sync!$AA1220))</f>
        <v>0</v>
      </c>
      <c r="L1224">
        <f>IF($G1224="",0,IF(Sync!$AB1220="",0,Sync!$AB1220))</f>
        <v>0</v>
      </c>
      <c r="M1224" t="str">
        <f t="shared" si="113"/>
        <v/>
      </c>
      <c r="N1224">
        <f>IF($G1224="",0,IF($H1224="مرجوعی فروش",-1,1)*IF(Sync!$AC1220="",0,Sync!$AC1220))</f>
        <v>0</v>
      </c>
      <c r="O1224" t="str">
        <f>IF(OR($G1224="",Sync!$V1220=""),"",Sync!$V1220)</f>
        <v/>
      </c>
      <c r="P1224" t="str">
        <f>IF(OR($G1224="",Sync!$AD1220=""),"",Sync!$AD1220)</f>
        <v/>
      </c>
      <c r="Q1224" t="str">
        <f>IF($G1224="","",IF(Sync!$U1220="","0000",IF(AND(ISNUMBER(Sync!$U1220),Sync!$U1220&gt;=0,Sync!$U1220&lt;1),RIGHT("00"&amp;HOUR(Sync!$U1220),2)&amp;RIGHT("00"&amp;MINUTE(Sync!$U1220),2),IFERROR(RIGHT("00"&amp;VALUE(LEFT(Sync!$U1220,FIND(":",Sync!$U1220)-1)),2)&amp;RIGHT("00"&amp;VALUE(MID(Sync!$U1220,FIND(":",Sync!$U1220)+1,2)),2),"0000"))))</f>
        <v/>
      </c>
    </row>
    <row r="1225" spans="1:17" x14ac:dyDescent="0.2">
      <c r="A1225" t="str">
        <f>IF(Sync!$T1221="","",Sync!$T1221)</f>
        <v/>
      </c>
      <c r="B1225" t="str">
        <f t="shared" si="108"/>
        <v/>
      </c>
      <c r="C1225" t="str">
        <f t="shared" si="109"/>
        <v/>
      </c>
      <c r="D1225" t="str">
        <f t="shared" si="110"/>
        <v/>
      </c>
      <c r="E1225" t="str">
        <f t="shared" si="111"/>
        <v/>
      </c>
      <c r="F1225" t="str">
        <f t="shared" si="112"/>
        <v/>
      </c>
      <c r="G1225" t="str">
        <f>IF(OR($E1225="",$E1225="نامعتبر",Sync!$X1221=""),"",IF(AND(LEFT(UPPER(TRIM(Sync!$X1221)),2)="SL",IFERROR(VLOOKUP(Sync!$W1221,OpTbl,3,0),"")="فروش"),UPPER(TRIM(Sync!$X1221)),""))</f>
        <v/>
      </c>
      <c r="H1225" t="str">
        <f>IF($G1225="","",IF(Sync!$W1221="","",Sync!$W1221))</f>
        <v/>
      </c>
      <c r="I1225" t="str">
        <f>IF(OR($G1225="",Sync!$Y1221=""),"",Sync!$Y1221)</f>
        <v/>
      </c>
      <c r="J1225" t="str">
        <f>IF(OR($G1225="",Sync!$Z1221=""),"",Sync!$Z1221)</f>
        <v/>
      </c>
      <c r="K1225">
        <f>IF($G1225="",0,IF(Sync!$AA1221="",0,Sync!$AA1221))</f>
        <v>0</v>
      </c>
      <c r="L1225">
        <f>IF($G1225="",0,IF(Sync!$AB1221="",0,Sync!$AB1221))</f>
        <v>0</v>
      </c>
      <c r="M1225" t="str">
        <f t="shared" si="113"/>
        <v/>
      </c>
      <c r="N1225">
        <f>IF($G1225="",0,IF($H1225="مرجوعی فروش",-1,1)*IF(Sync!$AC1221="",0,Sync!$AC1221))</f>
        <v>0</v>
      </c>
      <c r="O1225" t="str">
        <f>IF(OR($G1225="",Sync!$V1221=""),"",Sync!$V1221)</f>
        <v/>
      </c>
      <c r="P1225" t="str">
        <f>IF(OR($G1225="",Sync!$AD1221=""),"",Sync!$AD1221)</f>
        <v/>
      </c>
      <c r="Q1225" t="str">
        <f>IF($G1225="","",IF(Sync!$U1221="","0000",IF(AND(ISNUMBER(Sync!$U1221),Sync!$U1221&gt;=0,Sync!$U1221&lt;1),RIGHT("00"&amp;HOUR(Sync!$U1221),2)&amp;RIGHT("00"&amp;MINUTE(Sync!$U1221),2),IFERROR(RIGHT("00"&amp;VALUE(LEFT(Sync!$U1221,FIND(":",Sync!$U1221)-1)),2)&amp;RIGHT("00"&amp;VALUE(MID(Sync!$U1221,FIND(":",Sync!$U1221)+1,2)),2),"0000"))))</f>
        <v/>
      </c>
    </row>
    <row r="1226" spans="1:17" x14ac:dyDescent="0.2">
      <c r="A1226" t="str">
        <f>IF(Sync!$T1222="","",Sync!$T1222)</f>
        <v/>
      </c>
      <c r="B1226" t="str">
        <f t="shared" ref="B1226:B1289" si="114">IF($A1226="","",IF(ISNUMBER($A1226),IF(AND($A1226&gt;=10000101,$A1226&lt;=99991231),INT($A1226/10000),""),IFERROR(VALUE(TRIM(LEFT($A1226,FIND("/",$A1226)-1))),"")))</f>
        <v/>
      </c>
      <c r="C1226" t="str">
        <f t="shared" ref="C1226:C1289" si="115">IF(OR($A1226="",$B1226=""),"",IF(ISNUMBER($A1226),INT(MOD($A1226,10000)/100),IFERROR(VALUE(TRIM(LEFT(MID($A1226,FIND("/",$A1226)+1,20),FIND("/",MID($A1226,FIND("/",$A1226)+1,20))-1))),"")))</f>
        <v/>
      </c>
      <c r="D1226" t="str">
        <f t="shared" ref="D1226:D1289" si="116">IF(OR($A1226="",$B1226=""),"",IF(ISNUMBER($A1226),MOD($A1226,100),IFERROR(VALUE(TRIM(MID(MID($A1226,FIND("/",$A1226)+1,20),FIND("/",MID($A1226,FIND("/",$A1226)+1,20))+1,20))),"")))</f>
        <v/>
      </c>
      <c r="E1226" t="str">
        <f t="shared" ref="E1226:E1289" si="117">IF($A1226="","",IF(OR($B1226="",$C1226="",$D1226="",$B1226&lt;1300,$B1226&gt;1500,$C1226&lt;1,$C1226&gt;12,$D1226&lt;1,$D1226&gt;31),"نامعتبر",RIGHT("0000"&amp;$B1226,4)&amp;"/"&amp;RIGHT("00"&amp;$C1226,2)&amp;"/"&amp;RIGHT("00"&amp;$D1226,2)))</f>
        <v/>
      </c>
      <c r="F1226" t="str">
        <f t="shared" ref="F1226:F1289" si="118">IF(OR($E1226="",$E1226="نامعتبر"),"",LEFT($E1226,4)&amp;"/"&amp;MID($E1226,6,2))</f>
        <v/>
      </c>
      <c r="G1226" t="str">
        <f>IF(OR($E1226="",$E1226="نامعتبر",Sync!$X1222=""),"",IF(AND(LEFT(UPPER(TRIM(Sync!$X1222)),2)="SL",IFERROR(VLOOKUP(Sync!$W1222,OpTbl,3,0),"")="فروش"),UPPER(TRIM(Sync!$X1222)),""))</f>
        <v/>
      </c>
      <c r="H1226" t="str">
        <f>IF($G1226="","",IF(Sync!$W1222="","",Sync!$W1222))</f>
        <v/>
      </c>
      <c r="I1226" t="str">
        <f>IF(OR($G1226="",Sync!$Y1222=""),"",Sync!$Y1222)</f>
        <v/>
      </c>
      <c r="J1226" t="str">
        <f>IF(OR($G1226="",Sync!$Z1222=""),"",Sync!$Z1222)</f>
        <v/>
      </c>
      <c r="K1226">
        <f>IF($G1226="",0,IF(Sync!$AA1222="",0,Sync!$AA1222))</f>
        <v>0</v>
      </c>
      <c r="L1226">
        <f>IF($G1226="",0,IF(Sync!$AB1222="",0,Sync!$AB1222))</f>
        <v>0</v>
      </c>
      <c r="M1226" t="str">
        <f t="shared" ref="M1226:M1289" si="119">IF($G1226="","",IF($H1226="مرجوعی فروش",-1,1)*($K1226-$L1226*IFERROR(VLOOKUP("P01",ParamTbl,3,0),1.5)))</f>
        <v/>
      </c>
      <c r="N1226">
        <f>IF($G1226="",0,IF($H1226="مرجوعی فروش",-1,1)*IF(Sync!$AC1222="",0,Sync!$AC1222))</f>
        <v>0</v>
      </c>
      <c r="O1226" t="str">
        <f>IF(OR($G1226="",Sync!$V1222=""),"",Sync!$V1222)</f>
        <v/>
      </c>
      <c r="P1226" t="str">
        <f>IF(OR($G1226="",Sync!$AD1222=""),"",Sync!$AD1222)</f>
        <v/>
      </c>
      <c r="Q1226" t="str">
        <f>IF($G1226="","",IF(Sync!$U1222="","0000",IF(AND(ISNUMBER(Sync!$U1222),Sync!$U1222&gt;=0,Sync!$U1222&lt;1),RIGHT("00"&amp;HOUR(Sync!$U1222),2)&amp;RIGHT("00"&amp;MINUTE(Sync!$U1222),2),IFERROR(RIGHT("00"&amp;VALUE(LEFT(Sync!$U1222,FIND(":",Sync!$U1222)-1)),2)&amp;RIGHT("00"&amp;VALUE(MID(Sync!$U1222,FIND(":",Sync!$U1222)+1,2)),2),"0000"))))</f>
        <v/>
      </c>
    </row>
    <row r="1227" spans="1:17" x14ac:dyDescent="0.2">
      <c r="A1227" t="str">
        <f>IF(Sync!$T1223="","",Sync!$T1223)</f>
        <v/>
      </c>
      <c r="B1227" t="str">
        <f t="shared" si="114"/>
        <v/>
      </c>
      <c r="C1227" t="str">
        <f t="shared" si="115"/>
        <v/>
      </c>
      <c r="D1227" t="str">
        <f t="shared" si="116"/>
        <v/>
      </c>
      <c r="E1227" t="str">
        <f t="shared" si="117"/>
        <v/>
      </c>
      <c r="F1227" t="str">
        <f t="shared" si="118"/>
        <v/>
      </c>
      <c r="G1227" t="str">
        <f>IF(OR($E1227="",$E1227="نامعتبر",Sync!$X1223=""),"",IF(AND(LEFT(UPPER(TRIM(Sync!$X1223)),2)="SL",IFERROR(VLOOKUP(Sync!$W1223,OpTbl,3,0),"")="فروش"),UPPER(TRIM(Sync!$X1223)),""))</f>
        <v/>
      </c>
      <c r="H1227" t="str">
        <f>IF($G1227="","",IF(Sync!$W1223="","",Sync!$W1223))</f>
        <v/>
      </c>
      <c r="I1227" t="str">
        <f>IF(OR($G1227="",Sync!$Y1223=""),"",Sync!$Y1223)</f>
        <v/>
      </c>
      <c r="J1227" t="str">
        <f>IF(OR($G1227="",Sync!$Z1223=""),"",Sync!$Z1223)</f>
        <v/>
      </c>
      <c r="K1227">
        <f>IF($G1227="",0,IF(Sync!$AA1223="",0,Sync!$AA1223))</f>
        <v>0</v>
      </c>
      <c r="L1227">
        <f>IF($G1227="",0,IF(Sync!$AB1223="",0,Sync!$AB1223))</f>
        <v>0</v>
      </c>
      <c r="M1227" t="str">
        <f t="shared" si="119"/>
        <v/>
      </c>
      <c r="N1227">
        <f>IF($G1227="",0,IF($H1227="مرجوعی فروش",-1,1)*IF(Sync!$AC1223="",0,Sync!$AC1223))</f>
        <v>0</v>
      </c>
      <c r="O1227" t="str">
        <f>IF(OR($G1227="",Sync!$V1223=""),"",Sync!$V1223)</f>
        <v/>
      </c>
      <c r="P1227" t="str">
        <f>IF(OR($G1227="",Sync!$AD1223=""),"",Sync!$AD1223)</f>
        <v/>
      </c>
      <c r="Q1227" t="str">
        <f>IF($G1227="","",IF(Sync!$U1223="","0000",IF(AND(ISNUMBER(Sync!$U1223),Sync!$U1223&gt;=0,Sync!$U1223&lt;1),RIGHT("00"&amp;HOUR(Sync!$U1223),2)&amp;RIGHT("00"&amp;MINUTE(Sync!$U1223),2),IFERROR(RIGHT("00"&amp;VALUE(LEFT(Sync!$U1223,FIND(":",Sync!$U1223)-1)),2)&amp;RIGHT("00"&amp;VALUE(MID(Sync!$U1223,FIND(":",Sync!$U1223)+1,2)),2),"0000"))))</f>
        <v/>
      </c>
    </row>
    <row r="1228" spans="1:17" x14ac:dyDescent="0.2">
      <c r="A1228" t="str">
        <f>IF(Sync!$T1224="","",Sync!$T1224)</f>
        <v/>
      </c>
      <c r="B1228" t="str">
        <f t="shared" si="114"/>
        <v/>
      </c>
      <c r="C1228" t="str">
        <f t="shared" si="115"/>
        <v/>
      </c>
      <c r="D1228" t="str">
        <f t="shared" si="116"/>
        <v/>
      </c>
      <c r="E1228" t="str">
        <f t="shared" si="117"/>
        <v/>
      </c>
      <c r="F1228" t="str">
        <f t="shared" si="118"/>
        <v/>
      </c>
      <c r="G1228" t="str">
        <f>IF(OR($E1228="",$E1228="نامعتبر",Sync!$X1224=""),"",IF(AND(LEFT(UPPER(TRIM(Sync!$X1224)),2)="SL",IFERROR(VLOOKUP(Sync!$W1224,OpTbl,3,0),"")="فروش"),UPPER(TRIM(Sync!$X1224)),""))</f>
        <v/>
      </c>
      <c r="H1228" t="str">
        <f>IF($G1228="","",IF(Sync!$W1224="","",Sync!$W1224))</f>
        <v/>
      </c>
      <c r="I1228" t="str">
        <f>IF(OR($G1228="",Sync!$Y1224=""),"",Sync!$Y1224)</f>
        <v/>
      </c>
      <c r="J1228" t="str">
        <f>IF(OR($G1228="",Sync!$Z1224=""),"",Sync!$Z1224)</f>
        <v/>
      </c>
      <c r="K1228">
        <f>IF($G1228="",0,IF(Sync!$AA1224="",0,Sync!$AA1224))</f>
        <v>0</v>
      </c>
      <c r="L1228">
        <f>IF($G1228="",0,IF(Sync!$AB1224="",0,Sync!$AB1224))</f>
        <v>0</v>
      </c>
      <c r="M1228" t="str">
        <f t="shared" si="119"/>
        <v/>
      </c>
      <c r="N1228">
        <f>IF($G1228="",0,IF($H1228="مرجوعی فروش",-1,1)*IF(Sync!$AC1224="",0,Sync!$AC1224))</f>
        <v>0</v>
      </c>
      <c r="O1228" t="str">
        <f>IF(OR($G1228="",Sync!$V1224=""),"",Sync!$V1224)</f>
        <v/>
      </c>
      <c r="P1228" t="str">
        <f>IF(OR($G1228="",Sync!$AD1224=""),"",Sync!$AD1224)</f>
        <v/>
      </c>
      <c r="Q1228" t="str">
        <f>IF($G1228="","",IF(Sync!$U1224="","0000",IF(AND(ISNUMBER(Sync!$U1224),Sync!$U1224&gt;=0,Sync!$U1224&lt;1),RIGHT("00"&amp;HOUR(Sync!$U1224),2)&amp;RIGHT("00"&amp;MINUTE(Sync!$U1224),2),IFERROR(RIGHT("00"&amp;VALUE(LEFT(Sync!$U1224,FIND(":",Sync!$U1224)-1)),2)&amp;RIGHT("00"&amp;VALUE(MID(Sync!$U1224,FIND(":",Sync!$U1224)+1,2)),2),"0000"))))</f>
        <v/>
      </c>
    </row>
    <row r="1229" spans="1:17" x14ac:dyDescent="0.2">
      <c r="A1229" t="str">
        <f>IF(Sync!$T1225="","",Sync!$T1225)</f>
        <v/>
      </c>
      <c r="B1229" t="str">
        <f t="shared" si="114"/>
        <v/>
      </c>
      <c r="C1229" t="str">
        <f t="shared" si="115"/>
        <v/>
      </c>
      <c r="D1229" t="str">
        <f t="shared" si="116"/>
        <v/>
      </c>
      <c r="E1229" t="str">
        <f t="shared" si="117"/>
        <v/>
      </c>
      <c r="F1229" t="str">
        <f t="shared" si="118"/>
        <v/>
      </c>
      <c r="G1229" t="str">
        <f>IF(OR($E1229="",$E1229="نامعتبر",Sync!$X1225=""),"",IF(AND(LEFT(UPPER(TRIM(Sync!$X1225)),2)="SL",IFERROR(VLOOKUP(Sync!$W1225,OpTbl,3,0),"")="فروش"),UPPER(TRIM(Sync!$X1225)),""))</f>
        <v/>
      </c>
      <c r="H1229" t="str">
        <f>IF($G1229="","",IF(Sync!$W1225="","",Sync!$W1225))</f>
        <v/>
      </c>
      <c r="I1229" t="str">
        <f>IF(OR($G1229="",Sync!$Y1225=""),"",Sync!$Y1225)</f>
        <v/>
      </c>
      <c r="J1229" t="str">
        <f>IF(OR($G1229="",Sync!$Z1225=""),"",Sync!$Z1225)</f>
        <v/>
      </c>
      <c r="K1229">
        <f>IF($G1229="",0,IF(Sync!$AA1225="",0,Sync!$AA1225))</f>
        <v>0</v>
      </c>
      <c r="L1229">
        <f>IF($G1229="",0,IF(Sync!$AB1225="",0,Sync!$AB1225))</f>
        <v>0</v>
      </c>
      <c r="M1229" t="str">
        <f t="shared" si="119"/>
        <v/>
      </c>
      <c r="N1229">
        <f>IF($G1229="",0,IF($H1229="مرجوعی فروش",-1,1)*IF(Sync!$AC1225="",0,Sync!$AC1225))</f>
        <v>0</v>
      </c>
      <c r="O1229" t="str">
        <f>IF(OR($G1229="",Sync!$V1225=""),"",Sync!$V1225)</f>
        <v/>
      </c>
      <c r="P1229" t="str">
        <f>IF(OR($G1229="",Sync!$AD1225=""),"",Sync!$AD1225)</f>
        <v/>
      </c>
      <c r="Q1229" t="str">
        <f>IF($G1229="","",IF(Sync!$U1225="","0000",IF(AND(ISNUMBER(Sync!$U1225),Sync!$U1225&gt;=0,Sync!$U1225&lt;1),RIGHT("00"&amp;HOUR(Sync!$U1225),2)&amp;RIGHT("00"&amp;MINUTE(Sync!$U1225),2),IFERROR(RIGHT("00"&amp;VALUE(LEFT(Sync!$U1225,FIND(":",Sync!$U1225)-1)),2)&amp;RIGHT("00"&amp;VALUE(MID(Sync!$U1225,FIND(":",Sync!$U1225)+1,2)),2),"0000"))))</f>
        <v/>
      </c>
    </row>
    <row r="1230" spans="1:17" x14ac:dyDescent="0.2">
      <c r="A1230" t="str">
        <f>IF(Sync!$T1226="","",Sync!$T1226)</f>
        <v/>
      </c>
      <c r="B1230" t="str">
        <f t="shared" si="114"/>
        <v/>
      </c>
      <c r="C1230" t="str">
        <f t="shared" si="115"/>
        <v/>
      </c>
      <c r="D1230" t="str">
        <f t="shared" si="116"/>
        <v/>
      </c>
      <c r="E1230" t="str">
        <f t="shared" si="117"/>
        <v/>
      </c>
      <c r="F1230" t="str">
        <f t="shared" si="118"/>
        <v/>
      </c>
      <c r="G1230" t="str">
        <f>IF(OR($E1230="",$E1230="نامعتبر",Sync!$X1226=""),"",IF(AND(LEFT(UPPER(TRIM(Sync!$X1226)),2)="SL",IFERROR(VLOOKUP(Sync!$W1226,OpTbl,3,0),"")="فروش"),UPPER(TRIM(Sync!$X1226)),""))</f>
        <v/>
      </c>
      <c r="H1230" t="str">
        <f>IF($G1230="","",IF(Sync!$W1226="","",Sync!$W1226))</f>
        <v/>
      </c>
      <c r="I1230" t="str">
        <f>IF(OR($G1230="",Sync!$Y1226=""),"",Sync!$Y1226)</f>
        <v/>
      </c>
      <c r="J1230" t="str">
        <f>IF(OR($G1230="",Sync!$Z1226=""),"",Sync!$Z1226)</f>
        <v/>
      </c>
      <c r="K1230">
        <f>IF($G1230="",0,IF(Sync!$AA1226="",0,Sync!$AA1226))</f>
        <v>0</v>
      </c>
      <c r="L1230">
        <f>IF($G1230="",0,IF(Sync!$AB1226="",0,Sync!$AB1226))</f>
        <v>0</v>
      </c>
      <c r="M1230" t="str">
        <f t="shared" si="119"/>
        <v/>
      </c>
      <c r="N1230">
        <f>IF($G1230="",0,IF($H1230="مرجوعی فروش",-1,1)*IF(Sync!$AC1226="",0,Sync!$AC1226))</f>
        <v>0</v>
      </c>
      <c r="O1230" t="str">
        <f>IF(OR($G1230="",Sync!$V1226=""),"",Sync!$V1226)</f>
        <v/>
      </c>
      <c r="P1230" t="str">
        <f>IF(OR($G1230="",Sync!$AD1226=""),"",Sync!$AD1226)</f>
        <v/>
      </c>
      <c r="Q1230" t="str">
        <f>IF($G1230="","",IF(Sync!$U1226="","0000",IF(AND(ISNUMBER(Sync!$U1226),Sync!$U1226&gt;=0,Sync!$U1226&lt;1),RIGHT("00"&amp;HOUR(Sync!$U1226),2)&amp;RIGHT("00"&amp;MINUTE(Sync!$U1226),2),IFERROR(RIGHT("00"&amp;VALUE(LEFT(Sync!$U1226,FIND(":",Sync!$U1226)-1)),2)&amp;RIGHT("00"&amp;VALUE(MID(Sync!$U1226,FIND(":",Sync!$U1226)+1,2)),2),"0000"))))</f>
        <v/>
      </c>
    </row>
    <row r="1231" spans="1:17" x14ac:dyDescent="0.2">
      <c r="A1231" t="str">
        <f>IF(Sync!$T1227="","",Sync!$T1227)</f>
        <v/>
      </c>
      <c r="B1231" t="str">
        <f t="shared" si="114"/>
        <v/>
      </c>
      <c r="C1231" t="str">
        <f t="shared" si="115"/>
        <v/>
      </c>
      <c r="D1231" t="str">
        <f t="shared" si="116"/>
        <v/>
      </c>
      <c r="E1231" t="str">
        <f t="shared" si="117"/>
        <v/>
      </c>
      <c r="F1231" t="str">
        <f t="shared" si="118"/>
        <v/>
      </c>
      <c r="G1231" t="str">
        <f>IF(OR($E1231="",$E1231="نامعتبر",Sync!$X1227=""),"",IF(AND(LEFT(UPPER(TRIM(Sync!$X1227)),2)="SL",IFERROR(VLOOKUP(Sync!$W1227,OpTbl,3,0),"")="فروش"),UPPER(TRIM(Sync!$X1227)),""))</f>
        <v/>
      </c>
      <c r="H1231" t="str">
        <f>IF($G1231="","",IF(Sync!$W1227="","",Sync!$W1227))</f>
        <v/>
      </c>
      <c r="I1231" t="str">
        <f>IF(OR($G1231="",Sync!$Y1227=""),"",Sync!$Y1227)</f>
        <v/>
      </c>
      <c r="J1231" t="str">
        <f>IF(OR($G1231="",Sync!$Z1227=""),"",Sync!$Z1227)</f>
        <v/>
      </c>
      <c r="K1231">
        <f>IF($G1231="",0,IF(Sync!$AA1227="",0,Sync!$AA1227))</f>
        <v>0</v>
      </c>
      <c r="L1231">
        <f>IF($G1231="",0,IF(Sync!$AB1227="",0,Sync!$AB1227))</f>
        <v>0</v>
      </c>
      <c r="M1231" t="str">
        <f t="shared" si="119"/>
        <v/>
      </c>
      <c r="N1231">
        <f>IF($G1231="",0,IF($H1231="مرجوعی فروش",-1,1)*IF(Sync!$AC1227="",0,Sync!$AC1227))</f>
        <v>0</v>
      </c>
      <c r="O1231" t="str">
        <f>IF(OR($G1231="",Sync!$V1227=""),"",Sync!$V1227)</f>
        <v/>
      </c>
      <c r="P1231" t="str">
        <f>IF(OR($G1231="",Sync!$AD1227=""),"",Sync!$AD1227)</f>
        <v/>
      </c>
      <c r="Q1231" t="str">
        <f>IF($G1231="","",IF(Sync!$U1227="","0000",IF(AND(ISNUMBER(Sync!$U1227),Sync!$U1227&gt;=0,Sync!$U1227&lt;1),RIGHT("00"&amp;HOUR(Sync!$U1227),2)&amp;RIGHT("00"&amp;MINUTE(Sync!$U1227),2),IFERROR(RIGHT("00"&amp;VALUE(LEFT(Sync!$U1227,FIND(":",Sync!$U1227)-1)),2)&amp;RIGHT("00"&amp;VALUE(MID(Sync!$U1227,FIND(":",Sync!$U1227)+1,2)),2),"0000"))))</f>
        <v/>
      </c>
    </row>
    <row r="1232" spans="1:17" x14ac:dyDescent="0.2">
      <c r="A1232" t="str">
        <f>IF(Sync!$T1228="","",Sync!$T1228)</f>
        <v/>
      </c>
      <c r="B1232" t="str">
        <f t="shared" si="114"/>
        <v/>
      </c>
      <c r="C1232" t="str">
        <f t="shared" si="115"/>
        <v/>
      </c>
      <c r="D1232" t="str">
        <f t="shared" si="116"/>
        <v/>
      </c>
      <c r="E1232" t="str">
        <f t="shared" si="117"/>
        <v/>
      </c>
      <c r="F1232" t="str">
        <f t="shared" si="118"/>
        <v/>
      </c>
      <c r="G1232" t="str">
        <f>IF(OR($E1232="",$E1232="نامعتبر",Sync!$X1228=""),"",IF(AND(LEFT(UPPER(TRIM(Sync!$X1228)),2)="SL",IFERROR(VLOOKUP(Sync!$W1228,OpTbl,3,0),"")="فروش"),UPPER(TRIM(Sync!$X1228)),""))</f>
        <v/>
      </c>
      <c r="H1232" t="str">
        <f>IF($G1232="","",IF(Sync!$W1228="","",Sync!$W1228))</f>
        <v/>
      </c>
      <c r="I1232" t="str">
        <f>IF(OR($G1232="",Sync!$Y1228=""),"",Sync!$Y1228)</f>
        <v/>
      </c>
      <c r="J1232" t="str">
        <f>IF(OR($G1232="",Sync!$Z1228=""),"",Sync!$Z1228)</f>
        <v/>
      </c>
      <c r="K1232">
        <f>IF($G1232="",0,IF(Sync!$AA1228="",0,Sync!$AA1228))</f>
        <v>0</v>
      </c>
      <c r="L1232">
        <f>IF($G1232="",0,IF(Sync!$AB1228="",0,Sync!$AB1228))</f>
        <v>0</v>
      </c>
      <c r="M1232" t="str">
        <f t="shared" si="119"/>
        <v/>
      </c>
      <c r="N1232">
        <f>IF($G1232="",0,IF($H1232="مرجوعی فروش",-1,1)*IF(Sync!$AC1228="",0,Sync!$AC1228))</f>
        <v>0</v>
      </c>
      <c r="O1232" t="str">
        <f>IF(OR($G1232="",Sync!$V1228=""),"",Sync!$V1228)</f>
        <v/>
      </c>
      <c r="P1232" t="str">
        <f>IF(OR($G1232="",Sync!$AD1228=""),"",Sync!$AD1228)</f>
        <v/>
      </c>
      <c r="Q1232" t="str">
        <f>IF($G1232="","",IF(Sync!$U1228="","0000",IF(AND(ISNUMBER(Sync!$U1228),Sync!$U1228&gt;=0,Sync!$U1228&lt;1),RIGHT("00"&amp;HOUR(Sync!$U1228),2)&amp;RIGHT("00"&amp;MINUTE(Sync!$U1228),2),IFERROR(RIGHT("00"&amp;VALUE(LEFT(Sync!$U1228,FIND(":",Sync!$U1228)-1)),2)&amp;RIGHT("00"&amp;VALUE(MID(Sync!$U1228,FIND(":",Sync!$U1228)+1,2)),2),"0000"))))</f>
        <v/>
      </c>
    </row>
    <row r="1233" spans="1:17" x14ac:dyDescent="0.2">
      <c r="A1233" t="str">
        <f>IF(Sync!$T1229="","",Sync!$T1229)</f>
        <v/>
      </c>
      <c r="B1233" t="str">
        <f t="shared" si="114"/>
        <v/>
      </c>
      <c r="C1233" t="str">
        <f t="shared" si="115"/>
        <v/>
      </c>
      <c r="D1233" t="str">
        <f t="shared" si="116"/>
        <v/>
      </c>
      <c r="E1233" t="str">
        <f t="shared" si="117"/>
        <v/>
      </c>
      <c r="F1233" t="str">
        <f t="shared" si="118"/>
        <v/>
      </c>
      <c r="G1233" t="str">
        <f>IF(OR($E1233="",$E1233="نامعتبر",Sync!$X1229=""),"",IF(AND(LEFT(UPPER(TRIM(Sync!$X1229)),2)="SL",IFERROR(VLOOKUP(Sync!$W1229,OpTbl,3,0),"")="فروش"),UPPER(TRIM(Sync!$X1229)),""))</f>
        <v/>
      </c>
      <c r="H1233" t="str">
        <f>IF($G1233="","",IF(Sync!$W1229="","",Sync!$W1229))</f>
        <v/>
      </c>
      <c r="I1233" t="str">
        <f>IF(OR($G1233="",Sync!$Y1229=""),"",Sync!$Y1229)</f>
        <v/>
      </c>
      <c r="J1233" t="str">
        <f>IF(OR($G1233="",Sync!$Z1229=""),"",Sync!$Z1229)</f>
        <v/>
      </c>
      <c r="K1233">
        <f>IF($G1233="",0,IF(Sync!$AA1229="",0,Sync!$AA1229))</f>
        <v>0</v>
      </c>
      <c r="L1233">
        <f>IF($G1233="",0,IF(Sync!$AB1229="",0,Sync!$AB1229))</f>
        <v>0</v>
      </c>
      <c r="M1233" t="str">
        <f t="shared" si="119"/>
        <v/>
      </c>
      <c r="N1233">
        <f>IF($G1233="",0,IF($H1233="مرجوعی فروش",-1,1)*IF(Sync!$AC1229="",0,Sync!$AC1229))</f>
        <v>0</v>
      </c>
      <c r="O1233" t="str">
        <f>IF(OR($G1233="",Sync!$V1229=""),"",Sync!$V1229)</f>
        <v/>
      </c>
      <c r="P1233" t="str">
        <f>IF(OR($G1233="",Sync!$AD1229=""),"",Sync!$AD1229)</f>
        <v/>
      </c>
      <c r="Q1233" t="str">
        <f>IF($G1233="","",IF(Sync!$U1229="","0000",IF(AND(ISNUMBER(Sync!$U1229),Sync!$U1229&gt;=0,Sync!$U1229&lt;1),RIGHT("00"&amp;HOUR(Sync!$U1229),2)&amp;RIGHT("00"&amp;MINUTE(Sync!$U1229),2),IFERROR(RIGHT("00"&amp;VALUE(LEFT(Sync!$U1229,FIND(":",Sync!$U1229)-1)),2)&amp;RIGHT("00"&amp;VALUE(MID(Sync!$U1229,FIND(":",Sync!$U1229)+1,2)),2),"0000"))))</f>
        <v/>
      </c>
    </row>
    <row r="1234" spans="1:17" x14ac:dyDescent="0.2">
      <c r="A1234" t="str">
        <f>IF(Sync!$T1230="","",Sync!$T1230)</f>
        <v/>
      </c>
      <c r="B1234" t="str">
        <f t="shared" si="114"/>
        <v/>
      </c>
      <c r="C1234" t="str">
        <f t="shared" si="115"/>
        <v/>
      </c>
      <c r="D1234" t="str">
        <f t="shared" si="116"/>
        <v/>
      </c>
      <c r="E1234" t="str">
        <f t="shared" si="117"/>
        <v/>
      </c>
      <c r="F1234" t="str">
        <f t="shared" si="118"/>
        <v/>
      </c>
      <c r="G1234" t="str">
        <f>IF(OR($E1234="",$E1234="نامعتبر",Sync!$X1230=""),"",IF(AND(LEFT(UPPER(TRIM(Sync!$X1230)),2)="SL",IFERROR(VLOOKUP(Sync!$W1230,OpTbl,3,0),"")="فروش"),UPPER(TRIM(Sync!$X1230)),""))</f>
        <v/>
      </c>
      <c r="H1234" t="str">
        <f>IF($G1234="","",IF(Sync!$W1230="","",Sync!$W1230))</f>
        <v/>
      </c>
      <c r="I1234" t="str">
        <f>IF(OR($G1234="",Sync!$Y1230=""),"",Sync!$Y1230)</f>
        <v/>
      </c>
      <c r="J1234" t="str">
        <f>IF(OR($G1234="",Sync!$Z1230=""),"",Sync!$Z1230)</f>
        <v/>
      </c>
      <c r="K1234">
        <f>IF($G1234="",0,IF(Sync!$AA1230="",0,Sync!$AA1230))</f>
        <v>0</v>
      </c>
      <c r="L1234">
        <f>IF($G1234="",0,IF(Sync!$AB1230="",0,Sync!$AB1230))</f>
        <v>0</v>
      </c>
      <c r="M1234" t="str">
        <f t="shared" si="119"/>
        <v/>
      </c>
      <c r="N1234">
        <f>IF($G1234="",0,IF($H1234="مرجوعی فروش",-1,1)*IF(Sync!$AC1230="",0,Sync!$AC1230))</f>
        <v>0</v>
      </c>
      <c r="O1234" t="str">
        <f>IF(OR($G1234="",Sync!$V1230=""),"",Sync!$V1230)</f>
        <v/>
      </c>
      <c r="P1234" t="str">
        <f>IF(OR($G1234="",Sync!$AD1230=""),"",Sync!$AD1230)</f>
        <v/>
      </c>
      <c r="Q1234" t="str">
        <f>IF($G1234="","",IF(Sync!$U1230="","0000",IF(AND(ISNUMBER(Sync!$U1230),Sync!$U1230&gt;=0,Sync!$U1230&lt;1),RIGHT("00"&amp;HOUR(Sync!$U1230),2)&amp;RIGHT("00"&amp;MINUTE(Sync!$U1230),2),IFERROR(RIGHT("00"&amp;VALUE(LEFT(Sync!$U1230,FIND(":",Sync!$U1230)-1)),2)&amp;RIGHT("00"&amp;VALUE(MID(Sync!$U1230,FIND(":",Sync!$U1230)+1,2)),2),"0000"))))</f>
        <v/>
      </c>
    </row>
    <row r="1235" spans="1:17" x14ac:dyDescent="0.2">
      <c r="A1235" t="str">
        <f>IF(Sync!$T1231="","",Sync!$T1231)</f>
        <v/>
      </c>
      <c r="B1235" t="str">
        <f t="shared" si="114"/>
        <v/>
      </c>
      <c r="C1235" t="str">
        <f t="shared" si="115"/>
        <v/>
      </c>
      <c r="D1235" t="str">
        <f t="shared" si="116"/>
        <v/>
      </c>
      <c r="E1235" t="str">
        <f t="shared" si="117"/>
        <v/>
      </c>
      <c r="F1235" t="str">
        <f t="shared" si="118"/>
        <v/>
      </c>
      <c r="G1235" t="str">
        <f>IF(OR($E1235="",$E1235="نامعتبر",Sync!$X1231=""),"",IF(AND(LEFT(UPPER(TRIM(Sync!$X1231)),2)="SL",IFERROR(VLOOKUP(Sync!$W1231,OpTbl,3,0),"")="فروش"),UPPER(TRIM(Sync!$X1231)),""))</f>
        <v/>
      </c>
      <c r="H1235" t="str">
        <f>IF($G1235="","",IF(Sync!$W1231="","",Sync!$W1231))</f>
        <v/>
      </c>
      <c r="I1235" t="str">
        <f>IF(OR($G1235="",Sync!$Y1231=""),"",Sync!$Y1231)</f>
        <v/>
      </c>
      <c r="J1235" t="str">
        <f>IF(OR($G1235="",Sync!$Z1231=""),"",Sync!$Z1231)</f>
        <v/>
      </c>
      <c r="K1235">
        <f>IF($G1235="",0,IF(Sync!$AA1231="",0,Sync!$AA1231))</f>
        <v>0</v>
      </c>
      <c r="L1235">
        <f>IF($G1235="",0,IF(Sync!$AB1231="",0,Sync!$AB1231))</f>
        <v>0</v>
      </c>
      <c r="M1235" t="str">
        <f t="shared" si="119"/>
        <v/>
      </c>
      <c r="N1235">
        <f>IF($G1235="",0,IF($H1235="مرجوعی فروش",-1,1)*IF(Sync!$AC1231="",0,Sync!$AC1231))</f>
        <v>0</v>
      </c>
      <c r="O1235" t="str">
        <f>IF(OR($G1235="",Sync!$V1231=""),"",Sync!$V1231)</f>
        <v/>
      </c>
      <c r="P1235" t="str">
        <f>IF(OR($G1235="",Sync!$AD1231=""),"",Sync!$AD1231)</f>
        <v/>
      </c>
      <c r="Q1235" t="str">
        <f>IF($G1235="","",IF(Sync!$U1231="","0000",IF(AND(ISNUMBER(Sync!$U1231),Sync!$U1231&gt;=0,Sync!$U1231&lt;1),RIGHT("00"&amp;HOUR(Sync!$U1231),2)&amp;RIGHT("00"&amp;MINUTE(Sync!$U1231),2),IFERROR(RIGHT("00"&amp;VALUE(LEFT(Sync!$U1231,FIND(":",Sync!$U1231)-1)),2)&amp;RIGHT("00"&amp;VALUE(MID(Sync!$U1231,FIND(":",Sync!$U1231)+1,2)),2),"0000"))))</f>
        <v/>
      </c>
    </row>
    <row r="1236" spans="1:17" x14ac:dyDescent="0.2">
      <c r="A1236" t="str">
        <f>IF(Sync!$T1232="","",Sync!$T1232)</f>
        <v/>
      </c>
      <c r="B1236" t="str">
        <f t="shared" si="114"/>
        <v/>
      </c>
      <c r="C1236" t="str">
        <f t="shared" si="115"/>
        <v/>
      </c>
      <c r="D1236" t="str">
        <f t="shared" si="116"/>
        <v/>
      </c>
      <c r="E1236" t="str">
        <f t="shared" si="117"/>
        <v/>
      </c>
      <c r="F1236" t="str">
        <f t="shared" si="118"/>
        <v/>
      </c>
      <c r="G1236" t="str">
        <f>IF(OR($E1236="",$E1236="نامعتبر",Sync!$X1232=""),"",IF(AND(LEFT(UPPER(TRIM(Sync!$X1232)),2)="SL",IFERROR(VLOOKUP(Sync!$W1232,OpTbl,3,0),"")="فروش"),UPPER(TRIM(Sync!$X1232)),""))</f>
        <v/>
      </c>
      <c r="H1236" t="str">
        <f>IF($G1236="","",IF(Sync!$W1232="","",Sync!$W1232))</f>
        <v/>
      </c>
      <c r="I1236" t="str">
        <f>IF(OR($G1236="",Sync!$Y1232=""),"",Sync!$Y1232)</f>
        <v/>
      </c>
      <c r="J1236" t="str">
        <f>IF(OR($G1236="",Sync!$Z1232=""),"",Sync!$Z1232)</f>
        <v/>
      </c>
      <c r="K1236">
        <f>IF($G1236="",0,IF(Sync!$AA1232="",0,Sync!$AA1232))</f>
        <v>0</v>
      </c>
      <c r="L1236">
        <f>IF($G1236="",0,IF(Sync!$AB1232="",0,Sync!$AB1232))</f>
        <v>0</v>
      </c>
      <c r="M1236" t="str">
        <f t="shared" si="119"/>
        <v/>
      </c>
      <c r="N1236">
        <f>IF($G1236="",0,IF($H1236="مرجوعی فروش",-1,1)*IF(Sync!$AC1232="",0,Sync!$AC1232))</f>
        <v>0</v>
      </c>
      <c r="O1236" t="str">
        <f>IF(OR($G1236="",Sync!$V1232=""),"",Sync!$V1232)</f>
        <v/>
      </c>
      <c r="P1236" t="str">
        <f>IF(OR($G1236="",Sync!$AD1232=""),"",Sync!$AD1232)</f>
        <v/>
      </c>
      <c r="Q1236" t="str">
        <f>IF($G1236="","",IF(Sync!$U1232="","0000",IF(AND(ISNUMBER(Sync!$U1232),Sync!$U1232&gt;=0,Sync!$U1232&lt;1),RIGHT("00"&amp;HOUR(Sync!$U1232),2)&amp;RIGHT("00"&amp;MINUTE(Sync!$U1232),2),IFERROR(RIGHT("00"&amp;VALUE(LEFT(Sync!$U1232,FIND(":",Sync!$U1232)-1)),2)&amp;RIGHT("00"&amp;VALUE(MID(Sync!$U1232,FIND(":",Sync!$U1232)+1,2)),2),"0000"))))</f>
        <v/>
      </c>
    </row>
    <row r="1237" spans="1:17" x14ac:dyDescent="0.2">
      <c r="A1237" t="str">
        <f>IF(Sync!$T1233="","",Sync!$T1233)</f>
        <v/>
      </c>
      <c r="B1237" t="str">
        <f t="shared" si="114"/>
        <v/>
      </c>
      <c r="C1237" t="str">
        <f t="shared" si="115"/>
        <v/>
      </c>
      <c r="D1237" t="str">
        <f t="shared" si="116"/>
        <v/>
      </c>
      <c r="E1237" t="str">
        <f t="shared" si="117"/>
        <v/>
      </c>
      <c r="F1237" t="str">
        <f t="shared" si="118"/>
        <v/>
      </c>
      <c r="G1237" t="str">
        <f>IF(OR($E1237="",$E1237="نامعتبر",Sync!$X1233=""),"",IF(AND(LEFT(UPPER(TRIM(Sync!$X1233)),2)="SL",IFERROR(VLOOKUP(Sync!$W1233,OpTbl,3,0),"")="فروش"),UPPER(TRIM(Sync!$X1233)),""))</f>
        <v/>
      </c>
      <c r="H1237" t="str">
        <f>IF($G1237="","",IF(Sync!$W1233="","",Sync!$W1233))</f>
        <v/>
      </c>
      <c r="I1237" t="str">
        <f>IF(OR($G1237="",Sync!$Y1233=""),"",Sync!$Y1233)</f>
        <v/>
      </c>
      <c r="J1237" t="str">
        <f>IF(OR($G1237="",Sync!$Z1233=""),"",Sync!$Z1233)</f>
        <v/>
      </c>
      <c r="K1237">
        <f>IF($G1237="",0,IF(Sync!$AA1233="",0,Sync!$AA1233))</f>
        <v>0</v>
      </c>
      <c r="L1237">
        <f>IF($G1237="",0,IF(Sync!$AB1233="",0,Sync!$AB1233))</f>
        <v>0</v>
      </c>
      <c r="M1237" t="str">
        <f t="shared" si="119"/>
        <v/>
      </c>
      <c r="N1237">
        <f>IF($G1237="",0,IF($H1237="مرجوعی فروش",-1,1)*IF(Sync!$AC1233="",0,Sync!$AC1233))</f>
        <v>0</v>
      </c>
      <c r="O1237" t="str">
        <f>IF(OR($G1237="",Sync!$V1233=""),"",Sync!$V1233)</f>
        <v/>
      </c>
      <c r="P1237" t="str">
        <f>IF(OR($G1237="",Sync!$AD1233=""),"",Sync!$AD1233)</f>
        <v/>
      </c>
      <c r="Q1237" t="str">
        <f>IF($G1237="","",IF(Sync!$U1233="","0000",IF(AND(ISNUMBER(Sync!$U1233),Sync!$U1233&gt;=0,Sync!$U1233&lt;1),RIGHT("00"&amp;HOUR(Sync!$U1233),2)&amp;RIGHT("00"&amp;MINUTE(Sync!$U1233),2),IFERROR(RIGHT("00"&amp;VALUE(LEFT(Sync!$U1233,FIND(":",Sync!$U1233)-1)),2)&amp;RIGHT("00"&amp;VALUE(MID(Sync!$U1233,FIND(":",Sync!$U1233)+1,2)),2),"0000"))))</f>
        <v/>
      </c>
    </row>
    <row r="1238" spans="1:17" x14ac:dyDescent="0.2">
      <c r="A1238" t="str">
        <f>IF(Sync!$T1234="","",Sync!$T1234)</f>
        <v/>
      </c>
      <c r="B1238" t="str">
        <f t="shared" si="114"/>
        <v/>
      </c>
      <c r="C1238" t="str">
        <f t="shared" si="115"/>
        <v/>
      </c>
      <c r="D1238" t="str">
        <f t="shared" si="116"/>
        <v/>
      </c>
      <c r="E1238" t="str">
        <f t="shared" si="117"/>
        <v/>
      </c>
      <c r="F1238" t="str">
        <f t="shared" si="118"/>
        <v/>
      </c>
      <c r="G1238" t="str">
        <f>IF(OR($E1238="",$E1238="نامعتبر",Sync!$X1234=""),"",IF(AND(LEFT(UPPER(TRIM(Sync!$X1234)),2)="SL",IFERROR(VLOOKUP(Sync!$W1234,OpTbl,3,0),"")="فروش"),UPPER(TRIM(Sync!$X1234)),""))</f>
        <v/>
      </c>
      <c r="H1238" t="str">
        <f>IF($G1238="","",IF(Sync!$W1234="","",Sync!$W1234))</f>
        <v/>
      </c>
      <c r="I1238" t="str">
        <f>IF(OR($G1238="",Sync!$Y1234=""),"",Sync!$Y1234)</f>
        <v/>
      </c>
      <c r="J1238" t="str">
        <f>IF(OR($G1238="",Sync!$Z1234=""),"",Sync!$Z1234)</f>
        <v/>
      </c>
      <c r="K1238">
        <f>IF($G1238="",0,IF(Sync!$AA1234="",0,Sync!$AA1234))</f>
        <v>0</v>
      </c>
      <c r="L1238">
        <f>IF($G1238="",0,IF(Sync!$AB1234="",0,Sync!$AB1234))</f>
        <v>0</v>
      </c>
      <c r="M1238" t="str">
        <f t="shared" si="119"/>
        <v/>
      </c>
      <c r="N1238">
        <f>IF($G1238="",0,IF($H1238="مرجوعی فروش",-1,1)*IF(Sync!$AC1234="",0,Sync!$AC1234))</f>
        <v>0</v>
      </c>
      <c r="O1238" t="str">
        <f>IF(OR($G1238="",Sync!$V1234=""),"",Sync!$V1234)</f>
        <v/>
      </c>
      <c r="P1238" t="str">
        <f>IF(OR($G1238="",Sync!$AD1234=""),"",Sync!$AD1234)</f>
        <v/>
      </c>
      <c r="Q1238" t="str">
        <f>IF($G1238="","",IF(Sync!$U1234="","0000",IF(AND(ISNUMBER(Sync!$U1234),Sync!$U1234&gt;=0,Sync!$U1234&lt;1),RIGHT("00"&amp;HOUR(Sync!$U1234),2)&amp;RIGHT("00"&amp;MINUTE(Sync!$U1234),2),IFERROR(RIGHT("00"&amp;VALUE(LEFT(Sync!$U1234,FIND(":",Sync!$U1234)-1)),2)&amp;RIGHT("00"&amp;VALUE(MID(Sync!$U1234,FIND(":",Sync!$U1234)+1,2)),2),"0000"))))</f>
        <v/>
      </c>
    </row>
    <row r="1239" spans="1:17" x14ac:dyDescent="0.2">
      <c r="A1239" t="str">
        <f>IF(Sync!$T1235="","",Sync!$T1235)</f>
        <v/>
      </c>
      <c r="B1239" t="str">
        <f t="shared" si="114"/>
        <v/>
      </c>
      <c r="C1239" t="str">
        <f t="shared" si="115"/>
        <v/>
      </c>
      <c r="D1239" t="str">
        <f t="shared" si="116"/>
        <v/>
      </c>
      <c r="E1239" t="str">
        <f t="shared" si="117"/>
        <v/>
      </c>
      <c r="F1239" t="str">
        <f t="shared" si="118"/>
        <v/>
      </c>
      <c r="G1239" t="str">
        <f>IF(OR($E1239="",$E1239="نامعتبر",Sync!$X1235=""),"",IF(AND(LEFT(UPPER(TRIM(Sync!$X1235)),2)="SL",IFERROR(VLOOKUP(Sync!$W1235,OpTbl,3,0),"")="فروش"),UPPER(TRIM(Sync!$X1235)),""))</f>
        <v/>
      </c>
      <c r="H1239" t="str">
        <f>IF($G1239="","",IF(Sync!$W1235="","",Sync!$W1235))</f>
        <v/>
      </c>
      <c r="I1239" t="str">
        <f>IF(OR($G1239="",Sync!$Y1235=""),"",Sync!$Y1235)</f>
        <v/>
      </c>
      <c r="J1239" t="str">
        <f>IF(OR($G1239="",Sync!$Z1235=""),"",Sync!$Z1235)</f>
        <v/>
      </c>
      <c r="K1239">
        <f>IF($G1239="",0,IF(Sync!$AA1235="",0,Sync!$AA1235))</f>
        <v>0</v>
      </c>
      <c r="L1239">
        <f>IF($G1239="",0,IF(Sync!$AB1235="",0,Sync!$AB1235))</f>
        <v>0</v>
      </c>
      <c r="M1239" t="str">
        <f t="shared" si="119"/>
        <v/>
      </c>
      <c r="N1239">
        <f>IF($G1239="",0,IF($H1239="مرجوعی فروش",-1,1)*IF(Sync!$AC1235="",0,Sync!$AC1235))</f>
        <v>0</v>
      </c>
      <c r="O1239" t="str">
        <f>IF(OR($G1239="",Sync!$V1235=""),"",Sync!$V1235)</f>
        <v/>
      </c>
      <c r="P1239" t="str">
        <f>IF(OR($G1239="",Sync!$AD1235=""),"",Sync!$AD1235)</f>
        <v/>
      </c>
      <c r="Q1239" t="str">
        <f>IF($G1239="","",IF(Sync!$U1235="","0000",IF(AND(ISNUMBER(Sync!$U1235),Sync!$U1235&gt;=0,Sync!$U1235&lt;1),RIGHT("00"&amp;HOUR(Sync!$U1235),2)&amp;RIGHT("00"&amp;MINUTE(Sync!$U1235),2),IFERROR(RIGHT("00"&amp;VALUE(LEFT(Sync!$U1235,FIND(":",Sync!$U1235)-1)),2)&amp;RIGHT("00"&amp;VALUE(MID(Sync!$U1235,FIND(":",Sync!$U1235)+1,2)),2),"0000"))))</f>
        <v/>
      </c>
    </row>
    <row r="1240" spans="1:17" x14ac:dyDescent="0.2">
      <c r="A1240" t="str">
        <f>IF(Sync!$T1236="","",Sync!$T1236)</f>
        <v/>
      </c>
      <c r="B1240" t="str">
        <f t="shared" si="114"/>
        <v/>
      </c>
      <c r="C1240" t="str">
        <f t="shared" si="115"/>
        <v/>
      </c>
      <c r="D1240" t="str">
        <f t="shared" si="116"/>
        <v/>
      </c>
      <c r="E1240" t="str">
        <f t="shared" si="117"/>
        <v/>
      </c>
      <c r="F1240" t="str">
        <f t="shared" si="118"/>
        <v/>
      </c>
      <c r="G1240" t="str">
        <f>IF(OR($E1240="",$E1240="نامعتبر",Sync!$X1236=""),"",IF(AND(LEFT(UPPER(TRIM(Sync!$X1236)),2)="SL",IFERROR(VLOOKUP(Sync!$W1236,OpTbl,3,0),"")="فروش"),UPPER(TRIM(Sync!$X1236)),""))</f>
        <v/>
      </c>
      <c r="H1240" t="str">
        <f>IF($G1240="","",IF(Sync!$W1236="","",Sync!$W1236))</f>
        <v/>
      </c>
      <c r="I1240" t="str">
        <f>IF(OR($G1240="",Sync!$Y1236=""),"",Sync!$Y1236)</f>
        <v/>
      </c>
      <c r="J1240" t="str">
        <f>IF(OR($G1240="",Sync!$Z1236=""),"",Sync!$Z1236)</f>
        <v/>
      </c>
      <c r="K1240">
        <f>IF($G1240="",0,IF(Sync!$AA1236="",0,Sync!$AA1236))</f>
        <v>0</v>
      </c>
      <c r="L1240">
        <f>IF($G1240="",0,IF(Sync!$AB1236="",0,Sync!$AB1236))</f>
        <v>0</v>
      </c>
      <c r="M1240" t="str">
        <f t="shared" si="119"/>
        <v/>
      </c>
      <c r="N1240">
        <f>IF($G1240="",0,IF($H1240="مرجوعی فروش",-1,1)*IF(Sync!$AC1236="",0,Sync!$AC1236))</f>
        <v>0</v>
      </c>
      <c r="O1240" t="str">
        <f>IF(OR($G1240="",Sync!$V1236=""),"",Sync!$V1236)</f>
        <v/>
      </c>
      <c r="P1240" t="str">
        <f>IF(OR($G1240="",Sync!$AD1236=""),"",Sync!$AD1236)</f>
        <v/>
      </c>
      <c r="Q1240" t="str">
        <f>IF($G1240="","",IF(Sync!$U1236="","0000",IF(AND(ISNUMBER(Sync!$U1236),Sync!$U1236&gt;=0,Sync!$U1236&lt;1),RIGHT("00"&amp;HOUR(Sync!$U1236),2)&amp;RIGHT("00"&amp;MINUTE(Sync!$U1236),2),IFERROR(RIGHT("00"&amp;VALUE(LEFT(Sync!$U1236,FIND(":",Sync!$U1236)-1)),2)&amp;RIGHT("00"&amp;VALUE(MID(Sync!$U1236,FIND(":",Sync!$U1236)+1,2)),2),"0000"))))</f>
        <v/>
      </c>
    </row>
    <row r="1241" spans="1:17" x14ac:dyDescent="0.2">
      <c r="A1241" t="str">
        <f>IF(Sync!$T1237="","",Sync!$T1237)</f>
        <v/>
      </c>
      <c r="B1241" t="str">
        <f t="shared" si="114"/>
        <v/>
      </c>
      <c r="C1241" t="str">
        <f t="shared" si="115"/>
        <v/>
      </c>
      <c r="D1241" t="str">
        <f t="shared" si="116"/>
        <v/>
      </c>
      <c r="E1241" t="str">
        <f t="shared" si="117"/>
        <v/>
      </c>
      <c r="F1241" t="str">
        <f t="shared" si="118"/>
        <v/>
      </c>
      <c r="G1241" t="str">
        <f>IF(OR($E1241="",$E1241="نامعتبر",Sync!$X1237=""),"",IF(AND(LEFT(UPPER(TRIM(Sync!$X1237)),2)="SL",IFERROR(VLOOKUP(Sync!$W1237,OpTbl,3,0),"")="فروش"),UPPER(TRIM(Sync!$X1237)),""))</f>
        <v/>
      </c>
      <c r="H1241" t="str">
        <f>IF($G1241="","",IF(Sync!$W1237="","",Sync!$W1237))</f>
        <v/>
      </c>
      <c r="I1241" t="str">
        <f>IF(OR($G1241="",Sync!$Y1237=""),"",Sync!$Y1237)</f>
        <v/>
      </c>
      <c r="J1241" t="str">
        <f>IF(OR($G1241="",Sync!$Z1237=""),"",Sync!$Z1237)</f>
        <v/>
      </c>
      <c r="K1241">
        <f>IF($G1241="",0,IF(Sync!$AA1237="",0,Sync!$AA1237))</f>
        <v>0</v>
      </c>
      <c r="L1241">
        <f>IF($G1241="",0,IF(Sync!$AB1237="",0,Sync!$AB1237))</f>
        <v>0</v>
      </c>
      <c r="M1241" t="str">
        <f t="shared" si="119"/>
        <v/>
      </c>
      <c r="N1241">
        <f>IF($G1241="",0,IF($H1241="مرجوعی فروش",-1,1)*IF(Sync!$AC1237="",0,Sync!$AC1237))</f>
        <v>0</v>
      </c>
      <c r="O1241" t="str">
        <f>IF(OR($G1241="",Sync!$V1237=""),"",Sync!$V1237)</f>
        <v/>
      </c>
      <c r="P1241" t="str">
        <f>IF(OR($G1241="",Sync!$AD1237=""),"",Sync!$AD1237)</f>
        <v/>
      </c>
      <c r="Q1241" t="str">
        <f>IF($G1241="","",IF(Sync!$U1237="","0000",IF(AND(ISNUMBER(Sync!$U1237),Sync!$U1237&gt;=0,Sync!$U1237&lt;1),RIGHT("00"&amp;HOUR(Sync!$U1237),2)&amp;RIGHT("00"&amp;MINUTE(Sync!$U1237),2),IFERROR(RIGHT("00"&amp;VALUE(LEFT(Sync!$U1237,FIND(":",Sync!$U1237)-1)),2)&amp;RIGHT("00"&amp;VALUE(MID(Sync!$U1237,FIND(":",Sync!$U1237)+1,2)),2),"0000"))))</f>
        <v/>
      </c>
    </row>
    <row r="1242" spans="1:17" x14ac:dyDescent="0.2">
      <c r="A1242" t="str">
        <f>IF(Sync!$T1238="","",Sync!$T1238)</f>
        <v/>
      </c>
      <c r="B1242" t="str">
        <f t="shared" si="114"/>
        <v/>
      </c>
      <c r="C1242" t="str">
        <f t="shared" si="115"/>
        <v/>
      </c>
      <c r="D1242" t="str">
        <f t="shared" si="116"/>
        <v/>
      </c>
      <c r="E1242" t="str">
        <f t="shared" si="117"/>
        <v/>
      </c>
      <c r="F1242" t="str">
        <f t="shared" si="118"/>
        <v/>
      </c>
      <c r="G1242" t="str">
        <f>IF(OR($E1242="",$E1242="نامعتبر",Sync!$X1238=""),"",IF(AND(LEFT(UPPER(TRIM(Sync!$X1238)),2)="SL",IFERROR(VLOOKUP(Sync!$W1238,OpTbl,3,0),"")="فروش"),UPPER(TRIM(Sync!$X1238)),""))</f>
        <v/>
      </c>
      <c r="H1242" t="str">
        <f>IF($G1242="","",IF(Sync!$W1238="","",Sync!$W1238))</f>
        <v/>
      </c>
      <c r="I1242" t="str">
        <f>IF(OR($G1242="",Sync!$Y1238=""),"",Sync!$Y1238)</f>
        <v/>
      </c>
      <c r="J1242" t="str">
        <f>IF(OR($G1242="",Sync!$Z1238=""),"",Sync!$Z1238)</f>
        <v/>
      </c>
      <c r="K1242">
        <f>IF($G1242="",0,IF(Sync!$AA1238="",0,Sync!$AA1238))</f>
        <v>0</v>
      </c>
      <c r="L1242">
        <f>IF($G1242="",0,IF(Sync!$AB1238="",0,Sync!$AB1238))</f>
        <v>0</v>
      </c>
      <c r="M1242" t="str">
        <f t="shared" si="119"/>
        <v/>
      </c>
      <c r="N1242">
        <f>IF($G1242="",0,IF($H1242="مرجوعی فروش",-1,1)*IF(Sync!$AC1238="",0,Sync!$AC1238))</f>
        <v>0</v>
      </c>
      <c r="O1242" t="str">
        <f>IF(OR($G1242="",Sync!$V1238=""),"",Sync!$V1238)</f>
        <v/>
      </c>
      <c r="P1242" t="str">
        <f>IF(OR($G1242="",Sync!$AD1238=""),"",Sync!$AD1238)</f>
        <v/>
      </c>
      <c r="Q1242" t="str">
        <f>IF($G1242="","",IF(Sync!$U1238="","0000",IF(AND(ISNUMBER(Sync!$U1238),Sync!$U1238&gt;=0,Sync!$U1238&lt;1),RIGHT("00"&amp;HOUR(Sync!$U1238),2)&amp;RIGHT("00"&amp;MINUTE(Sync!$U1238),2),IFERROR(RIGHT("00"&amp;VALUE(LEFT(Sync!$U1238,FIND(":",Sync!$U1238)-1)),2)&amp;RIGHT("00"&amp;VALUE(MID(Sync!$U1238,FIND(":",Sync!$U1238)+1,2)),2),"0000"))))</f>
        <v/>
      </c>
    </row>
    <row r="1243" spans="1:17" x14ac:dyDescent="0.2">
      <c r="A1243" t="str">
        <f>IF(Sync!$T1239="","",Sync!$T1239)</f>
        <v/>
      </c>
      <c r="B1243" t="str">
        <f t="shared" si="114"/>
        <v/>
      </c>
      <c r="C1243" t="str">
        <f t="shared" si="115"/>
        <v/>
      </c>
      <c r="D1243" t="str">
        <f t="shared" si="116"/>
        <v/>
      </c>
      <c r="E1243" t="str">
        <f t="shared" si="117"/>
        <v/>
      </c>
      <c r="F1243" t="str">
        <f t="shared" si="118"/>
        <v/>
      </c>
      <c r="G1243" t="str">
        <f>IF(OR($E1243="",$E1243="نامعتبر",Sync!$X1239=""),"",IF(AND(LEFT(UPPER(TRIM(Sync!$X1239)),2)="SL",IFERROR(VLOOKUP(Sync!$W1239,OpTbl,3,0),"")="فروش"),UPPER(TRIM(Sync!$X1239)),""))</f>
        <v/>
      </c>
      <c r="H1243" t="str">
        <f>IF($G1243="","",IF(Sync!$W1239="","",Sync!$W1239))</f>
        <v/>
      </c>
      <c r="I1243" t="str">
        <f>IF(OR($G1243="",Sync!$Y1239=""),"",Sync!$Y1239)</f>
        <v/>
      </c>
      <c r="J1243" t="str">
        <f>IF(OR($G1243="",Sync!$Z1239=""),"",Sync!$Z1239)</f>
        <v/>
      </c>
      <c r="K1243">
        <f>IF($G1243="",0,IF(Sync!$AA1239="",0,Sync!$AA1239))</f>
        <v>0</v>
      </c>
      <c r="L1243">
        <f>IF($G1243="",0,IF(Sync!$AB1239="",0,Sync!$AB1239))</f>
        <v>0</v>
      </c>
      <c r="M1243" t="str">
        <f t="shared" si="119"/>
        <v/>
      </c>
      <c r="N1243">
        <f>IF($G1243="",0,IF($H1243="مرجوعی فروش",-1,1)*IF(Sync!$AC1239="",0,Sync!$AC1239))</f>
        <v>0</v>
      </c>
      <c r="O1243" t="str">
        <f>IF(OR($G1243="",Sync!$V1239=""),"",Sync!$V1239)</f>
        <v/>
      </c>
      <c r="P1243" t="str">
        <f>IF(OR($G1243="",Sync!$AD1239=""),"",Sync!$AD1239)</f>
        <v/>
      </c>
      <c r="Q1243" t="str">
        <f>IF($G1243="","",IF(Sync!$U1239="","0000",IF(AND(ISNUMBER(Sync!$U1239),Sync!$U1239&gt;=0,Sync!$U1239&lt;1),RIGHT("00"&amp;HOUR(Sync!$U1239),2)&amp;RIGHT("00"&amp;MINUTE(Sync!$U1239),2),IFERROR(RIGHT("00"&amp;VALUE(LEFT(Sync!$U1239,FIND(":",Sync!$U1239)-1)),2)&amp;RIGHT("00"&amp;VALUE(MID(Sync!$U1239,FIND(":",Sync!$U1239)+1,2)),2),"0000"))))</f>
        <v/>
      </c>
    </row>
    <row r="1244" spans="1:17" x14ac:dyDescent="0.2">
      <c r="A1244" t="str">
        <f>IF(Sync!$T1240="","",Sync!$T1240)</f>
        <v/>
      </c>
      <c r="B1244" t="str">
        <f t="shared" si="114"/>
        <v/>
      </c>
      <c r="C1244" t="str">
        <f t="shared" si="115"/>
        <v/>
      </c>
      <c r="D1244" t="str">
        <f t="shared" si="116"/>
        <v/>
      </c>
      <c r="E1244" t="str">
        <f t="shared" si="117"/>
        <v/>
      </c>
      <c r="F1244" t="str">
        <f t="shared" si="118"/>
        <v/>
      </c>
      <c r="G1244" t="str">
        <f>IF(OR($E1244="",$E1244="نامعتبر",Sync!$X1240=""),"",IF(AND(LEFT(UPPER(TRIM(Sync!$X1240)),2)="SL",IFERROR(VLOOKUP(Sync!$W1240,OpTbl,3,0),"")="فروش"),UPPER(TRIM(Sync!$X1240)),""))</f>
        <v/>
      </c>
      <c r="H1244" t="str">
        <f>IF($G1244="","",IF(Sync!$W1240="","",Sync!$W1240))</f>
        <v/>
      </c>
      <c r="I1244" t="str">
        <f>IF(OR($G1244="",Sync!$Y1240=""),"",Sync!$Y1240)</f>
        <v/>
      </c>
      <c r="J1244" t="str">
        <f>IF(OR($G1244="",Sync!$Z1240=""),"",Sync!$Z1240)</f>
        <v/>
      </c>
      <c r="K1244">
        <f>IF($G1244="",0,IF(Sync!$AA1240="",0,Sync!$AA1240))</f>
        <v>0</v>
      </c>
      <c r="L1244">
        <f>IF($G1244="",0,IF(Sync!$AB1240="",0,Sync!$AB1240))</f>
        <v>0</v>
      </c>
      <c r="M1244" t="str">
        <f t="shared" si="119"/>
        <v/>
      </c>
      <c r="N1244">
        <f>IF($G1244="",0,IF($H1244="مرجوعی فروش",-1,1)*IF(Sync!$AC1240="",0,Sync!$AC1240))</f>
        <v>0</v>
      </c>
      <c r="O1244" t="str">
        <f>IF(OR($G1244="",Sync!$V1240=""),"",Sync!$V1240)</f>
        <v/>
      </c>
      <c r="P1244" t="str">
        <f>IF(OR($G1244="",Sync!$AD1240=""),"",Sync!$AD1240)</f>
        <v/>
      </c>
      <c r="Q1244" t="str">
        <f>IF($G1244="","",IF(Sync!$U1240="","0000",IF(AND(ISNUMBER(Sync!$U1240),Sync!$U1240&gt;=0,Sync!$U1240&lt;1),RIGHT("00"&amp;HOUR(Sync!$U1240),2)&amp;RIGHT("00"&amp;MINUTE(Sync!$U1240),2),IFERROR(RIGHT("00"&amp;VALUE(LEFT(Sync!$U1240,FIND(":",Sync!$U1240)-1)),2)&amp;RIGHT("00"&amp;VALUE(MID(Sync!$U1240,FIND(":",Sync!$U1240)+1,2)),2),"0000"))))</f>
        <v/>
      </c>
    </row>
    <row r="1245" spans="1:17" x14ac:dyDescent="0.2">
      <c r="A1245" t="str">
        <f>IF(Sync!$T1241="","",Sync!$T1241)</f>
        <v/>
      </c>
      <c r="B1245" t="str">
        <f t="shared" si="114"/>
        <v/>
      </c>
      <c r="C1245" t="str">
        <f t="shared" si="115"/>
        <v/>
      </c>
      <c r="D1245" t="str">
        <f t="shared" si="116"/>
        <v/>
      </c>
      <c r="E1245" t="str">
        <f t="shared" si="117"/>
        <v/>
      </c>
      <c r="F1245" t="str">
        <f t="shared" si="118"/>
        <v/>
      </c>
      <c r="G1245" t="str">
        <f>IF(OR($E1245="",$E1245="نامعتبر",Sync!$X1241=""),"",IF(AND(LEFT(UPPER(TRIM(Sync!$X1241)),2)="SL",IFERROR(VLOOKUP(Sync!$W1241,OpTbl,3,0),"")="فروش"),UPPER(TRIM(Sync!$X1241)),""))</f>
        <v/>
      </c>
      <c r="H1245" t="str">
        <f>IF($G1245="","",IF(Sync!$W1241="","",Sync!$W1241))</f>
        <v/>
      </c>
      <c r="I1245" t="str">
        <f>IF(OR($G1245="",Sync!$Y1241=""),"",Sync!$Y1241)</f>
        <v/>
      </c>
      <c r="J1245" t="str">
        <f>IF(OR($G1245="",Sync!$Z1241=""),"",Sync!$Z1241)</f>
        <v/>
      </c>
      <c r="K1245">
        <f>IF($G1245="",0,IF(Sync!$AA1241="",0,Sync!$AA1241))</f>
        <v>0</v>
      </c>
      <c r="L1245">
        <f>IF($G1245="",0,IF(Sync!$AB1241="",0,Sync!$AB1241))</f>
        <v>0</v>
      </c>
      <c r="M1245" t="str">
        <f t="shared" si="119"/>
        <v/>
      </c>
      <c r="N1245">
        <f>IF($G1245="",0,IF($H1245="مرجوعی فروش",-1,1)*IF(Sync!$AC1241="",0,Sync!$AC1241))</f>
        <v>0</v>
      </c>
      <c r="O1245" t="str">
        <f>IF(OR($G1245="",Sync!$V1241=""),"",Sync!$V1241)</f>
        <v/>
      </c>
      <c r="P1245" t="str">
        <f>IF(OR($G1245="",Sync!$AD1241=""),"",Sync!$AD1241)</f>
        <v/>
      </c>
      <c r="Q1245" t="str">
        <f>IF($G1245="","",IF(Sync!$U1241="","0000",IF(AND(ISNUMBER(Sync!$U1241),Sync!$U1241&gt;=0,Sync!$U1241&lt;1),RIGHT("00"&amp;HOUR(Sync!$U1241),2)&amp;RIGHT("00"&amp;MINUTE(Sync!$U1241),2),IFERROR(RIGHT("00"&amp;VALUE(LEFT(Sync!$U1241,FIND(":",Sync!$U1241)-1)),2)&amp;RIGHT("00"&amp;VALUE(MID(Sync!$U1241,FIND(":",Sync!$U1241)+1,2)),2),"0000"))))</f>
        <v/>
      </c>
    </row>
    <row r="1246" spans="1:17" x14ac:dyDescent="0.2">
      <c r="A1246" t="str">
        <f>IF(Sync!$T1242="","",Sync!$T1242)</f>
        <v/>
      </c>
      <c r="B1246" t="str">
        <f t="shared" si="114"/>
        <v/>
      </c>
      <c r="C1246" t="str">
        <f t="shared" si="115"/>
        <v/>
      </c>
      <c r="D1246" t="str">
        <f t="shared" si="116"/>
        <v/>
      </c>
      <c r="E1246" t="str">
        <f t="shared" si="117"/>
        <v/>
      </c>
      <c r="F1246" t="str">
        <f t="shared" si="118"/>
        <v/>
      </c>
      <c r="G1246" t="str">
        <f>IF(OR($E1246="",$E1246="نامعتبر",Sync!$X1242=""),"",IF(AND(LEFT(UPPER(TRIM(Sync!$X1242)),2)="SL",IFERROR(VLOOKUP(Sync!$W1242,OpTbl,3,0),"")="فروش"),UPPER(TRIM(Sync!$X1242)),""))</f>
        <v/>
      </c>
      <c r="H1246" t="str">
        <f>IF($G1246="","",IF(Sync!$W1242="","",Sync!$W1242))</f>
        <v/>
      </c>
      <c r="I1246" t="str">
        <f>IF(OR($G1246="",Sync!$Y1242=""),"",Sync!$Y1242)</f>
        <v/>
      </c>
      <c r="J1246" t="str">
        <f>IF(OR($G1246="",Sync!$Z1242=""),"",Sync!$Z1242)</f>
        <v/>
      </c>
      <c r="K1246">
        <f>IF($G1246="",0,IF(Sync!$AA1242="",0,Sync!$AA1242))</f>
        <v>0</v>
      </c>
      <c r="L1246">
        <f>IF($G1246="",0,IF(Sync!$AB1242="",0,Sync!$AB1242))</f>
        <v>0</v>
      </c>
      <c r="M1246" t="str">
        <f t="shared" si="119"/>
        <v/>
      </c>
      <c r="N1246">
        <f>IF($G1246="",0,IF($H1246="مرجوعی فروش",-1,1)*IF(Sync!$AC1242="",0,Sync!$AC1242))</f>
        <v>0</v>
      </c>
      <c r="O1246" t="str">
        <f>IF(OR($G1246="",Sync!$V1242=""),"",Sync!$V1242)</f>
        <v/>
      </c>
      <c r="P1246" t="str">
        <f>IF(OR($G1246="",Sync!$AD1242=""),"",Sync!$AD1242)</f>
        <v/>
      </c>
      <c r="Q1246" t="str">
        <f>IF($G1246="","",IF(Sync!$U1242="","0000",IF(AND(ISNUMBER(Sync!$U1242),Sync!$U1242&gt;=0,Sync!$U1242&lt;1),RIGHT("00"&amp;HOUR(Sync!$U1242),2)&amp;RIGHT("00"&amp;MINUTE(Sync!$U1242),2),IFERROR(RIGHT("00"&amp;VALUE(LEFT(Sync!$U1242,FIND(":",Sync!$U1242)-1)),2)&amp;RIGHT("00"&amp;VALUE(MID(Sync!$U1242,FIND(":",Sync!$U1242)+1,2)),2),"0000"))))</f>
        <v/>
      </c>
    </row>
    <row r="1247" spans="1:17" x14ac:dyDescent="0.2">
      <c r="A1247" t="str">
        <f>IF(Sync!$T1243="","",Sync!$T1243)</f>
        <v/>
      </c>
      <c r="B1247" t="str">
        <f t="shared" si="114"/>
        <v/>
      </c>
      <c r="C1247" t="str">
        <f t="shared" si="115"/>
        <v/>
      </c>
      <c r="D1247" t="str">
        <f t="shared" si="116"/>
        <v/>
      </c>
      <c r="E1247" t="str">
        <f t="shared" si="117"/>
        <v/>
      </c>
      <c r="F1247" t="str">
        <f t="shared" si="118"/>
        <v/>
      </c>
      <c r="G1247" t="str">
        <f>IF(OR($E1247="",$E1247="نامعتبر",Sync!$X1243=""),"",IF(AND(LEFT(UPPER(TRIM(Sync!$X1243)),2)="SL",IFERROR(VLOOKUP(Sync!$W1243,OpTbl,3,0),"")="فروش"),UPPER(TRIM(Sync!$X1243)),""))</f>
        <v/>
      </c>
      <c r="H1247" t="str">
        <f>IF($G1247="","",IF(Sync!$W1243="","",Sync!$W1243))</f>
        <v/>
      </c>
      <c r="I1247" t="str">
        <f>IF(OR($G1247="",Sync!$Y1243=""),"",Sync!$Y1243)</f>
        <v/>
      </c>
      <c r="J1247" t="str">
        <f>IF(OR($G1247="",Sync!$Z1243=""),"",Sync!$Z1243)</f>
        <v/>
      </c>
      <c r="K1247">
        <f>IF($G1247="",0,IF(Sync!$AA1243="",0,Sync!$AA1243))</f>
        <v>0</v>
      </c>
      <c r="L1247">
        <f>IF($G1247="",0,IF(Sync!$AB1243="",0,Sync!$AB1243))</f>
        <v>0</v>
      </c>
      <c r="M1247" t="str">
        <f t="shared" si="119"/>
        <v/>
      </c>
      <c r="N1247">
        <f>IF($G1247="",0,IF($H1247="مرجوعی فروش",-1,1)*IF(Sync!$AC1243="",0,Sync!$AC1243))</f>
        <v>0</v>
      </c>
      <c r="O1247" t="str">
        <f>IF(OR($G1247="",Sync!$V1243=""),"",Sync!$V1243)</f>
        <v/>
      </c>
      <c r="P1247" t="str">
        <f>IF(OR($G1247="",Sync!$AD1243=""),"",Sync!$AD1243)</f>
        <v/>
      </c>
      <c r="Q1247" t="str">
        <f>IF($G1247="","",IF(Sync!$U1243="","0000",IF(AND(ISNUMBER(Sync!$U1243),Sync!$U1243&gt;=0,Sync!$U1243&lt;1),RIGHT("00"&amp;HOUR(Sync!$U1243),2)&amp;RIGHT("00"&amp;MINUTE(Sync!$U1243),2),IFERROR(RIGHT("00"&amp;VALUE(LEFT(Sync!$U1243,FIND(":",Sync!$U1243)-1)),2)&amp;RIGHT("00"&amp;VALUE(MID(Sync!$U1243,FIND(":",Sync!$U1243)+1,2)),2),"0000"))))</f>
        <v/>
      </c>
    </row>
    <row r="1248" spans="1:17" x14ac:dyDescent="0.2">
      <c r="A1248" t="str">
        <f>IF(Sync!$T1244="","",Sync!$T1244)</f>
        <v/>
      </c>
      <c r="B1248" t="str">
        <f t="shared" si="114"/>
        <v/>
      </c>
      <c r="C1248" t="str">
        <f t="shared" si="115"/>
        <v/>
      </c>
      <c r="D1248" t="str">
        <f t="shared" si="116"/>
        <v/>
      </c>
      <c r="E1248" t="str">
        <f t="shared" si="117"/>
        <v/>
      </c>
      <c r="F1248" t="str">
        <f t="shared" si="118"/>
        <v/>
      </c>
      <c r="G1248" t="str">
        <f>IF(OR($E1248="",$E1248="نامعتبر",Sync!$X1244=""),"",IF(AND(LEFT(UPPER(TRIM(Sync!$X1244)),2)="SL",IFERROR(VLOOKUP(Sync!$W1244,OpTbl,3,0),"")="فروش"),UPPER(TRIM(Sync!$X1244)),""))</f>
        <v/>
      </c>
      <c r="H1248" t="str">
        <f>IF($G1248="","",IF(Sync!$W1244="","",Sync!$W1244))</f>
        <v/>
      </c>
      <c r="I1248" t="str">
        <f>IF(OR($G1248="",Sync!$Y1244=""),"",Sync!$Y1244)</f>
        <v/>
      </c>
      <c r="J1248" t="str">
        <f>IF(OR($G1248="",Sync!$Z1244=""),"",Sync!$Z1244)</f>
        <v/>
      </c>
      <c r="K1248">
        <f>IF($G1248="",0,IF(Sync!$AA1244="",0,Sync!$AA1244))</f>
        <v>0</v>
      </c>
      <c r="L1248">
        <f>IF($G1248="",0,IF(Sync!$AB1244="",0,Sync!$AB1244))</f>
        <v>0</v>
      </c>
      <c r="M1248" t="str">
        <f t="shared" si="119"/>
        <v/>
      </c>
      <c r="N1248">
        <f>IF($G1248="",0,IF($H1248="مرجوعی فروش",-1,1)*IF(Sync!$AC1244="",0,Sync!$AC1244))</f>
        <v>0</v>
      </c>
      <c r="O1248" t="str">
        <f>IF(OR($G1248="",Sync!$V1244=""),"",Sync!$V1244)</f>
        <v/>
      </c>
      <c r="P1248" t="str">
        <f>IF(OR($G1248="",Sync!$AD1244=""),"",Sync!$AD1244)</f>
        <v/>
      </c>
      <c r="Q1248" t="str">
        <f>IF($G1248="","",IF(Sync!$U1244="","0000",IF(AND(ISNUMBER(Sync!$U1244),Sync!$U1244&gt;=0,Sync!$U1244&lt;1),RIGHT("00"&amp;HOUR(Sync!$U1244),2)&amp;RIGHT("00"&amp;MINUTE(Sync!$U1244),2),IFERROR(RIGHT("00"&amp;VALUE(LEFT(Sync!$U1244,FIND(":",Sync!$U1244)-1)),2)&amp;RIGHT("00"&amp;VALUE(MID(Sync!$U1244,FIND(":",Sync!$U1244)+1,2)),2),"0000"))))</f>
        <v/>
      </c>
    </row>
    <row r="1249" spans="1:17" x14ac:dyDescent="0.2">
      <c r="A1249" t="str">
        <f>IF(Sync!$T1245="","",Sync!$T1245)</f>
        <v/>
      </c>
      <c r="B1249" t="str">
        <f t="shared" si="114"/>
        <v/>
      </c>
      <c r="C1249" t="str">
        <f t="shared" si="115"/>
        <v/>
      </c>
      <c r="D1249" t="str">
        <f t="shared" si="116"/>
        <v/>
      </c>
      <c r="E1249" t="str">
        <f t="shared" si="117"/>
        <v/>
      </c>
      <c r="F1249" t="str">
        <f t="shared" si="118"/>
        <v/>
      </c>
      <c r="G1249" t="str">
        <f>IF(OR($E1249="",$E1249="نامعتبر",Sync!$X1245=""),"",IF(AND(LEFT(UPPER(TRIM(Sync!$X1245)),2)="SL",IFERROR(VLOOKUP(Sync!$W1245,OpTbl,3,0),"")="فروش"),UPPER(TRIM(Sync!$X1245)),""))</f>
        <v/>
      </c>
      <c r="H1249" t="str">
        <f>IF($G1249="","",IF(Sync!$W1245="","",Sync!$W1245))</f>
        <v/>
      </c>
      <c r="I1249" t="str">
        <f>IF(OR($G1249="",Sync!$Y1245=""),"",Sync!$Y1245)</f>
        <v/>
      </c>
      <c r="J1249" t="str">
        <f>IF(OR($G1249="",Sync!$Z1245=""),"",Sync!$Z1245)</f>
        <v/>
      </c>
      <c r="K1249">
        <f>IF($G1249="",0,IF(Sync!$AA1245="",0,Sync!$AA1245))</f>
        <v>0</v>
      </c>
      <c r="L1249">
        <f>IF($G1249="",0,IF(Sync!$AB1245="",0,Sync!$AB1245))</f>
        <v>0</v>
      </c>
      <c r="M1249" t="str">
        <f t="shared" si="119"/>
        <v/>
      </c>
      <c r="N1249">
        <f>IF($G1249="",0,IF($H1249="مرجوعی فروش",-1,1)*IF(Sync!$AC1245="",0,Sync!$AC1245))</f>
        <v>0</v>
      </c>
      <c r="O1249" t="str">
        <f>IF(OR($G1249="",Sync!$V1245=""),"",Sync!$V1245)</f>
        <v/>
      </c>
      <c r="P1249" t="str">
        <f>IF(OR($G1249="",Sync!$AD1245=""),"",Sync!$AD1245)</f>
        <v/>
      </c>
      <c r="Q1249" t="str">
        <f>IF($G1249="","",IF(Sync!$U1245="","0000",IF(AND(ISNUMBER(Sync!$U1245),Sync!$U1245&gt;=0,Sync!$U1245&lt;1),RIGHT("00"&amp;HOUR(Sync!$U1245),2)&amp;RIGHT("00"&amp;MINUTE(Sync!$U1245),2),IFERROR(RIGHT("00"&amp;VALUE(LEFT(Sync!$U1245,FIND(":",Sync!$U1245)-1)),2)&amp;RIGHT("00"&amp;VALUE(MID(Sync!$U1245,FIND(":",Sync!$U1245)+1,2)),2),"0000"))))</f>
        <v/>
      </c>
    </row>
    <row r="1250" spans="1:17" x14ac:dyDescent="0.2">
      <c r="A1250" t="str">
        <f>IF(Sync!$T1246="","",Sync!$T1246)</f>
        <v/>
      </c>
      <c r="B1250" t="str">
        <f t="shared" si="114"/>
        <v/>
      </c>
      <c r="C1250" t="str">
        <f t="shared" si="115"/>
        <v/>
      </c>
      <c r="D1250" t="str">
        <f t="shared" si="116"/>
        <v/>
      </c>
      <c r="E1250" t="str">
        <f t="shared" si="117"/>
        <v/>
      </c>
      <c r="F1250" t="str">
        <f t="shared" si="118"/>
        <v/>
      </c>
      <c r="G1250" t="str">
        <f>IF(OR($E1250="",$E1250="نامعتبر",Sync!$X1246=""),"",IF(AND(LEFT(UPPER(TRIM(Sync!$X1246)),2)="SL",IFERROR(VLOOKUP(Sync!$W1246,OpTbl,3,0),"")="فروش"),UPPER(TRIM(Sync!$X1246)),""))</f>
        <v/>
      </c>
      <c r="H1250" t="str">
        <f>IF($G1250="","",IF(Sync!$W1246="","",Sync!$W1246))</f>
        <v/>
      </c>
      <c r="I1250" t="str">
        <f>IF(OR($G1250="",Sync!$Y1246=""),"",Sync!$Y1246)</f>
        <v/>
      </c>
      <c r="J1250" t="str">
        <f>IF(OR($G1250="",Sync!$Z1246=""),"",Sync!$Z1246)</f>
        <v/>
      </c>
      <c r="K1250">
        <f>IF($G1250="",0,IF(Sync!$AA1246="",0,Sync!$AA1246))</f>
        <v>0</v>
      </c>
      <c r="L1250">
        <f>IF($G1250="",0,IF(Sync!$AB1246="",0,Sync!$AB1246))</f>
        <v>0</v>
      </c>
      <c r="M1250" t="str">
        <f t="shared" si="119"/>
        <v/>
      </c>
      <c r="N1250">
        <f>IF($G1250="",0,IF($H1250="مرجوعی فروش",-1,1)*IF(Sync!$AC1246="",0,Sync!$AC1246))</f>
        <v>0</v>
      </c>
      <c r="O1250" t="str">
        <f>IF(OR($G1250="",Sync!$V1246=""),"",Sync!$V1246)</f>
        <v/>
      </c>
      <c r="P1250" t="str">
        <f>IF(OR($G1250="",Sync!$AD1246=""),"",Sync!$AD1246)</f>
        <v/>
      </c>
      <c r="Q1250" t="str">
        <f>IF($G1250="","",IF(Sync!$U1246="","0000",IF(AND(ISNUMBER(Sync!$U1246),Sync!$U1246&gt;=0,Sync!$U1246&lt;1),RIGHT("00"&amp;HOUR(Sync!$U1246),2)&amp;RIGHT("00"&amp;MINUTE(Sync!$U1246),2),IFERROR(RIGHT("00"&amp;VALUE(LEFT(Sync!$U1246,FIND(":",Sync!$U1246)-1)),2)&amp;RIGHT("00"&amp;VALUE(MID(Sync!$U1246,FIND(":",Sync!$U1246)+1,2)),2),"0000"))))</f>
        <v/>
      </c>
    </row>
    <row r="1251" spans="1:17" x14ac:dyDescent="0.2">
      <c r="A1251" t="str">
        <f>IF(Sync!$T1247="","",Sync!$T1247)</f>
        <v/>
      </c>
      <c r="B1251" t="str">
        <f t="shared" si="114"/>
        <v/>
      </c>
      <c r="C1251" t="str">
        <f t="shared" si="115"/>
        <v/>
      </c>
      <c r="D1251" t="str">
        <f t="shared" si="116"/>
        <v/>
      </c>
      <c r="E1251" t="str">
        <f t="shared" si="117"/>
        <v/>
      </c>
      <c r="F1251" t="str">
        <f t="shared" si="118"/>
        <v/>
      </c>
      <c r="G1251" t="str">
        <f>IF(OR($E1251="",$E1251="نامعتبر",Sync!$X1247=""),"",IF(AND(LEFT(UPPER(TRIM(Sync!$X1247)),2)="SL",IFERROR(VLOOKUP(Sync!$W1247,OpTbl,3,0),"")="فروش"),UPPER(TRIM(Sync!$X1247)),""))</f>
        <v/>
      </c>
      <c r="H1251" t="str">
        <f>IF($G1251="","",IF(Sync!$W1247="","",Sync!$W1247))</f>
        <v/>
      </c>
      <c r="I1251" t="str">
        <f>IF(OR($G1251="",Sync!$Y1247=""),"",Sync!$Y1247)</f>
        <v/>
      </c>
      <c r="J1251" t="str">
        <f>IF(OR($G1251="",Sync!$Z1247=""),"",Sync!$Z1247)</f>
        <v/>
      </c>
      <c r="K1251">
        <f>IF($G1251="",0,IF(Sync!$AA1247="",0,Sync!$AA1247))</f>
        <v>0</v>
      </c>
      <c r="L1251">
        <f>IF($G1251="",0,IF(Sync!$AB1247="",0,Sync!$AB1247))</f>
        <v>0</v>
      </c>
      <c r="M1251" t="str">
        <f t="shared" si="119"/>
        <v/>
      </c>
      <c r="N1251">
        <f>IF($G1251="",0,IF($H1251="مرجوعی فروش",-1,1)*IF(Sync!$AC1247="",0,Sync!$AC1247))</f>
        <v>0</v>
      </c>
      <c r="O1251" t="str">
        <f>IF(OR($G1251="",Sync!$V1247=""),"",Sync!$V1247)</f>
        <v/>
      </c>
      <c r="P1251" t="str">
        <f>IF(OR($G1251="",Sync!$AD1247=""),"",Sync!$AD1247)</f>
        <v/>
      </c>
      <c r="Q1251" t="str">
        <f>IF($G1251="","",IF(Sync!$U1247="","0000",IF(AND(ISNUMBER(Sync!$U1247),Sync!$U1247&gt;=0,Sync!$U1247&lt;1),RIGHT("00"&amp;HOUR(Sync!$U1247),2)&amp;RIGHT("00"&amp;MINUTE(Sync!$U1247),2),IFERROR(RIGHT("00"&amp;VALUE(LEFT(Sync!$U1247,FIND(":",Sync!$U1247)-1)),2)&amp;RIGHT("00"&amp;VALUE(MID(Sync!$U1247,FIND(":",Sync!$U1247)+1,2)),2),"0000"))))</f>
        <v/>
      </c>
    </row>
    <row r="1252" spans="1:17" x14ac:dyDescent="0.2">
      <c r="A1252" t="str">
        <f>IF(Sync!$T1248="","",Sync!$T1248)</f>
        <v/>
      </c>
      <c r="B1252" t="str">
        <f t="shared" si="114"/>
        <v/>
      </c>
      <c r="C1252" t="str">
        <f t="shared" si="115"/>
        <v/>
      </c>
      <c r="D1252" t="str">
        <f t="shared" si="116"/>
        <v/>
      </c>
      <c r="E1252" t="str">
        <f t="shared" si="117"/>
        <v/>
      </c>
      <c r="F1252" t="str">
        <f t="shared" si="118"/>
        <v/>
      </c>
      <c r="G1252" t="str">
        <f>IF(OR($E1252="",$E1252="نامعتبر",Sync!$X1248=""),"",IF(AND(LEFT(UPPER(TRIM(Sync!$X1248)),2)="SL",IFERROR(VLOOKUP(Sync!$W1248,OpTbl,3,0),"")="فروش"),UPPER(TRIM(Sync!$X1248)),""))</f>
        <v/>
      </c>
      <c r="H1252" t="str">
        <f>IF($G1252="","",IF(Sync!$W1248="","",Sync!$W1248))</f>
        <v/>
      </c>
      <c r="I1252" t="str">
        <f>IF(OR($G1252="",Sync!$Y1248=""),"",Sync!$Y1248)</f>
        <v/>
      </c>
      <c r="J1252" t="str">
        <f>IF(OR($G1252="",Sync!$Z1248=""),"",Sync!$Z1248)</f>
        <v/>
      </c>
      <c r="K1252">
        <f>IF($G1252="",0,IF(Sync!$AA1248="",0,Sync!$AA1248))</f>
        <v>0</v>
      </c>
      <c r="L1252">
        <f>IF($G1252="",0,IF(Sync!$AB1248="",0,Sync!$AB1248))</f>
        <v>0</v>
      </c>
      <c r="M1252" t="str">
        <f t="shared" si="119"/>
        <v/>
      </c>
      <c r="N1252">
        <f>IF($G1252="",0,IF($H1252="مرجوعی فروش",-1,1)*IF(Sync!$AC1248="",0,Sync!$AC1248))</f>
        <v>0</v>
      </c>
      <c r="O1252" t="str">
        <f>IF(OR($G1252="",Sync!$V1248=""),"",Sync!$V1248)</f>
        <v/>
      </c>
      <c r="P1252" t="str">
        <f>IF(OR($G1252="",Sync!$AD1248=""),"",Sync!$AD1248)</f>
        <v/>
      </c>
      <c r="Q1252" t="str">
        <f>IF($G1252="","",IF(Sync!$U1248="","0000",IF(AND(ISNUMBER(Sync!$U1248),Sync!$U1248&gt;=0,Sync!$U1248&lt;1),RIGHT("00"&amp;HOUR(Sync!$U1248),2)&amp;RIGHT("00"&amp;MINUTE(Sync!$U1248),2),IFERROR(RIGHT("00"&amp;VALUE(LEFT(Sync!$U1248,FIND(":",Sync!$U1248)-1)),2)&amp;RIGHT("00"&amp;VALUE(MID(Sync!$U1248,FIND(":",Sync!$U1248)+1,2)),2),"0000"))))</f>
        <v/>
      </c>
    </row>
    <row r="1253" spans="1:17" x14ac:dyDescent="0.2">
      <c r="A1253" t="str">
        <f>IF(Sync!$T1249="","",Sync!$T1249)</f>
        <v/>
      </c>
      <c r="B1253" t="str">
        <f t="shared" si="114"/>
        <v/>
      </c>
      <c r="C1253" t="str">
        <f t="shared" si="115"/>
        <v/>
      </c>
      <c r="D1253" t="str">
        <f t="shared" si="116"/>
        <v/>
      </c>
      <c r="E1253" t="str">
        <f t="shared" si="117"/>
        <v/>
      </c>
      <c r="F1253" t="str">
        <f t="shared" si="118"/>
        <v/>
      </c>
      <c r="G1253" t="str">
        <f>IF(OR($E1253="",$E1253="نامعتبر",Sync!$X1249=""),"",IF(AND(LEFT(UPPER(TRIM(Sync!$X1249)),2)="SL",IFERROR(VLOOKUP(Sync!$W1249,OpTbl,3,0),"")="فروش"),UPPER(TRIM(Sync!$X1249)),""))</f>
        <v/>
      </c>
      <c r="H1253" t="str">
        <f>IF($G1253="","",IF(Sync!$W1249="","",Sync!$W1249))</f>
        <v/>
      </c>
      <c r="I1253" t="str">
        <f>IF(OR($G1253="",Sync!$Y1249=""),"",Sync!$Y1249)</f>
        <v/>
      </c>
      <c r="J1253" t="str">
        <f>IF(OR($G1253="",Sync!$Z1249=""),"",Sync!$Z1249)</f>
        <v/>
      </c>
      <c r="K1253">
        <f>IF($G1253="",0,IF(Sync!$AA1249="",0,Sync!$AA1249))</f>
        <v>0</v>
      </c>
      <c r="L1253">
        <f>IF($G1253="",0,IF(Sync!$AB1249="",0,Sync!$AB1249))</f>
        <v>0</v>
      </c>
      <c r="M1253" t="str">
        <f t="shared" si="119"/>
        <v/>
      </c>
      <c r="N1253">
        <f>IF($G1253="",0,IF($H1253="مرجوعی فروش",-1,1)*IF(Sync!$AC1249="",0,Sync!$AC1249))</f>
        <v>0</v>
      </c>
      <c r="O1253" t="str">
        <f>IF(OR($G1253="",Sync!$V1249=""),"",Sync!$V1249)</f>
        <v/>
      </c>
      <c r="P1253" t="str">
        <f>IF(OR($G1253="",Sync!$AD1249=""),"",Sync!$AD1249)</f>
        <v/>
      </c>
      <c r="Q1253" t="str">
        <f>IF($G1253="","",IF(Sync!$U1249="","0000",IF(AND(ISNUMBER(Sync!$U1249),Sync!$U1249&gt;=0,Sync!$U1249&lt;1),RIGHT("00"&amp;HOUR(Sync!$U1249),2)&amp;RIGHT("00"&amp;MINUTE(Sync!$U1249),2),IFERROR(RIGHT("00"&amp;VALUE(LEFT(Sync!$U1249,FIND(":",Sync!$U1249)-1)),2)&amp;RIGHT("00"&amp;VALUE(MID(Sync!$U1249,FIND(":",Sync!$U1249)+1,2)),2),"0000"))))</f>
        <v/>
      </c>
    </row>
    <row r="1254" spans="1:17" x14ac:dyDescent="0.2">
      <c r="A1254" t="str">
        <f>IF(Sync!$T1250="","",Sync!$T1250)</f>
        <v/>
      </c>
      <c r="B1254" t="str">
        <f t="shared" si="114"/>
        <v/>
      </c>
      <c r="C1254" t="str">
        <f t="shared" si="115"/>
        <v/>
      </c>
      <c r="D1254" t="str">
        <f t="shared" si="116"/>
        <v/>
      </c>
      <c r="E1254" t="str">
        <f t="shared" si="117"/>
        <v/>
      </c>
      <c r="F1254" t="str">
        <f t="shared" si="118"/>
        <v/>
      </c>
      <c r="G1254" t="str">
        <f>IF(OR($E1254="",$E1254="نامعتبر",Sync!$X1250=""),"",IF(AND(LEFT(UPPER(TRIM(Sync!$X1250)),2)="SL",IFERROR(VLOOKUP(Sync!$W1250,OpTbl,3,0),"")="فروش"),UPPER(TRIM(Sync!$X1250)),""))</f>
        <v/>
      </c>
      <c r="H1254" t="str">
        <f>IF($G1254="","",IF(Sync!$W1250="","",Sync!$W1250))</f>
        <v/>
      </c>
      <c r="I1254" t="str">
        <f>IF(OR($G1254="",Sync!$Y1250=""),"",Sync!$Y1250)</f>
        <v/>
      </c>
      <c r="J1254" t="str">
        <f>IF(OR($G1254="",Sync!$Z1250=""),"",Sync!$Z1250)</f>
        <v/>
      </c>
      <c r="K1254">
        <f>IF($G1254="",0,IF(Sync!$AA1250="",0,Sync!$AA1250))</f>
        <v>0</v>
      </c>
      <c r="L1254">
        <f>IF($G1254="",0,IF(Sync!$AB1250="",0,Sync!$AB1250))</f>
        <v>0</v>
      </c>
      <c r="M1254" t="str">
        <f t="shared" si="119"/>
        <v/>
      </c>
      <c r="N1254">
        <f>IF($G1254="",0,IF($H1254="مرجوعی فروش",-1,1)*IF(Sync!$AC1250="",0,Sync!$AC1250))</f>
        <v>0</v>
      </c>
      <c r="O1254" t="str">
        <f>IF(OR($G1254="",Sync!$V1250=""),"",Sync!$V1250)</f>
        <v/>
      </c>
      <c r="P1254" t="str">
        <f>IF(OR($G1254="",Sync!$AD1250=""),"",Sync!$AD1250)</f>
        <v/>
      </c>
      <c r="Q1254" t="str">
        <f>IF($G1254="","",IF(Sync!$U1250="","0000",IF(AND(ISNUMBER(Sync!$U1250),Sync!$U1250&gt;=0,Sync!$U1250&lt;1),RIGHT("00"&amp;HOUR(Sync!$U1250),2)&amp;RIGHT("00"&amp;MINUTE(Sync!$U1250),2),IFERROR(RIGHT("00"&amp;VALUE(LEFT(Sync!$U1250,FIND(":",Sync!$U1250)-1)),2)&amp;RIGHT("00"&amp;VALUE(MID(Sync!$U1250,FIND(":",Sync!$U1250)+1,2)),2),"0000"))))</f>
        <v/>
      </c>
    </row>
    <row r="1255" spans="1:17" x14ac:dyDescent="0.2">
      <c r="A1255" t="str">
        <f>IF(Sync!$T1251="","",Sync!$T1251)</f>
        <v/>
      </c>
      <c r="B1255" t="str">
        <f t="shared" si="114"/>
        <v/>
      </c>
      <c r="C1255" t="str">
        <f t="shared" si="115"/>
        <v/>
      </c>
      <c r="D1255" t="str">
        <f t="shared" si="116"/>
        <v/>
      </c>
      <c r="E1255" t="str">
        <f t="shared" si="117"/>
        <v/>
      </c>
      <c r="F1255" t="str">
        <f t="shared" si="118"/>
        <v/>
      </c>
      <c r="G1255" t="str">
        <f>IF(OR($E1255="",$E1255="نامعتبر",Sync!$X1251=""),"",IF(AND(LEFT(UPPER(TRIM(Sync!$X1251)),2)="SL",IFERROR(VLOOKUP(Sync!$W1251,OpTbl,3,0),"")="فروش"),UPPER(TRIM(Sync!$X1251)),""))</f>
        <v/>
      </c>
      <c r="H1255" t="str">
        <f>IF($G1255="","",IF(Sync!$W1251="","",Sync!$W1251))</f>
        <v/>
      </c>
      <c r="I1255" t="str">
        <f>IF(OR($G1255="",Sync!$Y1251=""),"",Sync!$Y1251)</f>
        <v/>
      </c>
      <c r="J1255" t="str">
        <f>IF(OR($G1255="",Sync!$Z1251=""),"",Sync!$Z1251)</f>
        <v/>
      </c>
      <c r="K1255">
        <f>IF($G1255="",0,IF(Sync!$AA1251="",0,Sync!$AA1251))</f>
        <v>0</v>
      </c>
      <c r="L1255">
        <f>IF($G1255="",0,IF(Sync!$AB1251="",0,Sync!$AB1251))</f>
        <v>0</v>
      </c>
      <c r="M1255" t="str">
        <f t="shared" si="119"/>
        <v/>
      </c>
      <c r="N1255">
        <f>IF($G1255="",0,IF($H1255="مرجوعی فروش",-1,1)*IF(Sync!$AC1251="",0,Sync!$AC1251))</f>
        <v>0</v>
      </c>
      <c r="O1255" t="str">
        <f>IF(OR($G1255="",Sync!$V1251=""),"",Sync!$V1251)</f>
        <v/>
      </c>
      <c r="P1255" t="str">
        <f>IF(OR($G1255="",Sync!$AD1251=""),"",Sync!$AD1251)</f>
        <v/>
      </c>
      <c r="Q1255" t="str">
        <f>IF($G1255="","",IF(Sync!$U1251="","0000",IF(AND(ISNUMBER(Sync!$U1251),Sync!$U1251&gt;=0,Sync!$U1251&lt;1),RIGHT("00"&amp;HOUR(Sync!$U1251),2)&amp;RIGHT("00"&amp;MINUTE(Sync!$U1251),2),IFERROR(RIGHT("00"&amp;VALUE(LEFT(Sync!$U1251,FIND(":",Sync!$U1251)-1)),2)&amp;RIGHT("00"&amp;VALUE(MID(Sync!$U1251,FIND(":",Sync!$U1251)+1,2)),2),"0000"))))</f>
        <v/>
      </c>
    </row>
    <row r="1256" spans="1:17" x14ac:dyDescent="0.2">
      <c r="A1256" t="str">
        <f>IF(Sync!$T1252="","",Sync!$T1252)</f>
        <v/>
      </c>
      <c r="B1256" t="str">
        <f t="shared" si="114"/>
        <v/>
      </c>
      <c r="C1256" t="str">
        <f t="shared" si="115"/>
        <v/>
      </c>
      <c r="D1256" t="str">
        <f t="shared" si="116"/>
        <v/>
      </c>
      <c r="E1256" t="str">
        <f t="shared" si="117"/>
        <v/>
      </c>
      <c r="F1256" t="str">
        <f t="shared" si="118"/>
        <v/>
      </c>
      <c r="G1256" t="str">
        <f>IF(OR($E1256="",$E1256="نامعتبر",Sync!$X1252=""),"",IF(AND(LEFT(UPPER(TRIM(Sync!$X1252)),2)="SL",IFERROR(VLOOKUP(Sync!$W1252,OpTbl,3,0),"")="فروش"),UPPER(TRIM(Sync!$X1252)),""))</f>
        <v/>
      </c>
      <c r="H1256" t="str">
        <f>IF($G1256="","",IF(Sync!$W1252="","",Sync!$W1252))</f>
        <v/>
      </c>
      <c r="I1256" t="str">
        <f>IF(OR($G1256="",Sync!$Y1252=""),"",Sync!$Y1252)</f>
        <v/>
      </c>
      <c r="J1256" t="str">
        <f>IF(OR($G1256="",Sync!$Z1252=""),"",Sync!$Z1252)</f>
        <v/>
      </c>
      <c r="K1256">
        <f>IF($G1256="",0,IF(Sync!$AA1252="",0,Sync!$AA1252))</f>
        <v>0</v>
      </c>
      <c r="L1256">
        <f>IF($G1256="",0,IF(Sync!$AB1252="",0,Sync!$AB1252))</f>
        <v>0</v>
      </c>
      <c r="M1256" t="str">
        <f t="shared" si="119"/>
        <v/>
      </c>
      <c r="N1256">
        <f>IF($G1256="",0,IF($H1256="مرجوعی فروش",-1,1)*IF(Sync!$AC1252="",0,Sync!$AC1252))</f>
        <v>0</v>
      </c>
      <c r="O1256" t="str">
        <f>IF(OR($G1256="",Sync!$V1252=""),"",Sync!$V1252)</f>
        <v/>
      </c>
      <c r="P1256" t="str">
        <f>IF(OR($G1256="",Sync!$AD1252=""),"",Sync!$AD1252)</f>
        <v/>
      </c>
      <c r="Q1256" t="str">
        <f>IF($G1256="","",IF(Sync!$U1252="","0000",IF(AND(ISNUMBER(Sync!$U1252),Sync!$U1252&gt;=0,Sync!$U1252&lt;1),RIGHT("00"&amp;HOUR(Sync!$U1252),2)&amp;RIGHT("00"&amp;MINUTE(Sync!$U1252),2),IFERROR(RIGHT("00"&amp;VALUE(LEFT(Sync!$U1252,FIND(":",Sync!$U1252)-1)),2)&amp;RIGHT("00"&amp;VALUE(MID(Sync!$U1252,FIND(":",Sync!$U1252)+1,2)),2),"0000"))))</f>
        <v/>
      </c>
    </row>
    <row r="1257" spans="1:17" x14ac:dyDescent="0.2">
      <c r="A1257" t="str">
        <f>IF(Sync!$T1253="","",Sync!$T1253)</f>
        <v/>
      </c>
      <c r="B1257" t="str">
        <f t="shared" si="114"/>
        <v/>
      </c>
      <c r="C1257" t="str">
        <f t="shared" si="115"/>
        <v/>
      </c>
      <c r="D1257" t="str">
        <f t="shared" si="116"/>
        <v/>
      </c>
      <c r="E1257" t="str">
        <f t="shared" si="117"/>
        <v/>
      </c>
      <c r="F1257" t="str">
        <f t="shared" si="118"/>
        <v/>
      </c>
      <c r="G1257" t="str">
        <f>IF(OR($E1257="",$E1257="نامعتبر",Sync!$X1253=""),"",IF(AND(LEFT(UPPER(TRIM(Sync!$X1253)),2)="SL",IFERROR(VLOOKUP(Sync!$W1253,OpTbl,3,0),"")="فروش"),UPPER(TRIM(Sync!$X1253)),""))</f>
        <v/>
      </c>
      <c r="H1257" t="str">
        <f>IF($G1257="","",IF(Sync!$W1253="","",Sync!$W1253))</f>
        <v/>
      </c>
      <c r="I1257" t="str">
        <f>IF(OR($G1257="",Sync!$Y1253=""),"",Sync!$Y1253)</f>
        <v/>
      </c>
      <c r="J1257" t="str">
        <f>IF(OR($G1257="",Sync!$Z1253=""),"",Sync!$Z1253)</f>
        <v/>
      </c>
      <c r="K1257">
        <f>IF($G1257="",0,IF(Sync!$AA1253="",0,Sync!$AA1253))</f>
        <v>0</v>
      </c>
      <c r="L1257">
        <f>IF($G1257="",0,IF(Sync!$AB1253="",0,Sync!$AB1253))</f>
        <v>0</v>
      </c>
      <c r="M1257" t="str">
        <f t="shared" si="119"/>
        <v/>
      </c>
      <c r="N1257">
        <f>IF($G1257="",0,IF($H1257="مرجوعی فروش",-1,1)*IF(Sync!$AC1253="",0,Sync!$AC1253))</f>
        <v>0</v>
      </c>
      <c r="O1257" t="str">
        <f>IF(OR($G1257="",Sync!$V1253=""),"",Sync!$V1253)</f>
        <v/>
      </c>
      <c r="P1257" t="str">
        <f>IF(OR($G1257="",Sync!$AD1253=""),"",Sync!$AD1253)</f>
        <v/>
      </c>
      <c r="Q1257" t="str">
        <f>IF($G1257="","",IF(Sync!$U1253="","0000",IF(AND(ISNUMBER(Sync!$U1253),Sync!$U1253&gt;=0,Sync!$U1253&lt;1),RIGHT("00"&amp;HOUR(Sync!$U1253),2)&amp;RIGHT("00"&amp;MINUTE(Sync!$U1253),2),IFERROR(RIGHT("00"&amp;VALUE(LEFT(Sync!$U1253,FIND(":",Sync!$U1253)-1)),2)&amp;RIGHT("00"&amp;VALUE(MID(Sync!$U1253,FIND(":",Sync!$U1253)+1,2)),2),"0000"))))</f>
        <v/>
      </c>
    </row>
    <row r="1258" spans="1:17" x14ac:dyDescent="0.2">
      <c r="A1258" t="str">
        <f>IF(Sync!$T1254="","",Sync!$T1254)</f>
        <v/>
      </c>
      <c r="B1258" t="str">
        <f t="shared" si="114"/>
        <v/>
      </c>
      <c r="C1258" t="str">
        <f t="shared" si="115"/>
        <v/>
      </c>
      <c r="D1258" t="str">
        <f t="shared" si="116"/>
        <v/>
      </c>
      <c r="E1258" t="str">
        <f t="shared" si="117"/>
        <v/>
      </c>
      <c r="F1258" t="str">
        <f t="shared" si="118"/>
        <v/>
      </c>
      <c r="G1258" t="str">
        <f>IF(OR($E1258="",$E1258="نامعتبر",Sync!$X1254=""),"",IF(AND(LEFT(UPPER(TRIM(Sync!$X1254)),2)="SL",IFERROR(VLOOKUP(Sync!$W1254,OpTbl,3,0),"")="فروش"),UPPER(TRIM(Sync!$X1254)),""))</f>
        <v/>
      </c>
      <c r="H1258" t="str">
        <f>IF($G1258="","",IF(Sync!$W1254="","",Sync!$W1254))</f>
        <v/>
      </c>
      <c r="I1258" t="str">
        <f>IF(OR($G1258="",Sync!$Y1254=""),"",Sync!$Y1254)</f>
        <v/>
      </c>
      <c r="J1258" t="str">
        <f>IF(OR($G1258="",Sync!$Z1254=""),"",Sync!$Z1254)</f>
        <v/>
      </c>
      <c r="K1258">
        <f>IF($G1258="",0,IF(Sync!$AA1254="",0,Sync!$AA1254))</f>
        <v>0</v>
      </c>
      <c r="L1258">
        <f>IF($G1258="",0,IF(Sync!$AB1254="",0,Sync!$AB1254))</f>
        <v>0</v>
      </c>
      <c r="M1258" t="str">
        <f t="shared" si="119"/>
        <v/>
      </c>
      <c r="N1258">
        <f>IF($G1258="",0,IF($H1258="مرجوعی فروش",-1,1)*IF(Sync!$AC1254="",0,Sync!$AC1254))</f>
        <v>0</v>
      </c>
      <c r="O1258" t="str">
        <f>IF(OR($G1258="",Sync!$V1254=""),"",Sync!$V1254)</f>
        <v/>
      </c>
      <c r="P1258" t="str">
        <f>IF(OR($G1258="",Sync!$AD1254=""),"",Sync!$AD1254)</f>
        <v/>
      </c>
      <c r="Q1258" t="str">
        <f>IF($G1258="","",IF(Sync!$U1254="","0000",IF(AND(ISNUMBER(Sync!$U1254),Sync!$U1254&gt;=0,Sync!$U1254&lt;1),RIGHT("00"&amp;HOUR(Sync!$U1254),2)&amp;RIGHT("00"&amp;MINUTE(Sync!$U1254),2),IFERROR(RIGHT("00"&amp;VALUE(LEFT(Sync!$U1254,FIND(":",Sync!$U1254)-1)),2)&amp;RIGHT("00"&amp;VALUE(MID(Sync!$U1254,FIND(":",Sync!$U1254)+1,2)),2),"0000"))))</f>
        <v/>
      </c>
    </row>
    <row r="1259" spans="1:17" x14ac:dyDescent="0.2">
      <c r="A1259" t="str">
        <f>IF(Sync!$T1255="","",Sync!$T1255)</f>
        <v/>
      </c>
      <c r="B1259" t="str">
        <f t="shared" si="114"/>
        <v/>
      </c>
      <c r="C1259" t="str">
        <f t="shared" si="115"/>
        <v/>
      </c>
      <c r="D1259" t="str">
        <f t="shared" si="116"/>
        <v/>
      </c>
      <c r="E1259" t="str">
        <f t="shared" si="117"/>
        <v/>
      </c>
      <c r="F1259" t="str">
        <f t="shared" si="118"/>
        <v/>
      </c>
      <c r="G1259" t="str">
        <f>IF(OR($E1259="",$E1259="نامعتبر",Sync!$X1255=""),"",IF(AND(LEFT(UPPER(TRIM(Sync!$X1255)),2)="SL",IFERROR(VLOOKUP(Sync!$W1255,OpTbl,3,0),"")="فروش"),UPPER(TRIM(Sync!$X1255)),""))</f>
        <v/>
      </c>
      <c r="H1259" t="str">
        <f>IF($G1259="","",IF(Sync!$W1255="","",Sync!$W1255))</f>
        <v/>
      </c>
      <c r="I1259" t="str">
        <f>IF(OR($G1259="",Sync!$Y1255=""),"",Sync!$Y1255)</f>
        <v/>
      </c>
      <c r="J1259" t="str">
        <f>IF(OR($G1259="",Sync!$Z1255=""),"",Sync!$Z1255)</f>
        <v/>
      </c>
      <c r="K1259">
        <f>IF($G1259="",0,IF(Sync!$AA1255="",0,Sync!$AA1255))</f>
        <v>0</v>
      </c>
      <c r="L1259">
        <f>IF($G1259="",0,IF(Sync!$AB1255="",0,Sync!$AB1255))</f>
        <v>0</v>
      </c>
      <c r="M1259" t="str">
        <f t="shared" si="119"/>
        <v/>
      </c>
      <c r="N1259">
        <f>IF($G1259="",0,IF($H1259="مرجوعی فروش",-1,1)*IF(Sync!$AC1255="",0,Sync!$AC1255))</f>
        <v>0</v>
      </c>
      <c r="O1259" t="str">
        <f>IF(OR($G1259="",Sync!$V1255=""),"",Sync!$V1255)</f>
        <v/>
      </c>
      <c r="P1259" t="str">
        <f>IF(OR($G1259="",Sync!$AD1255=""),"",Sync!$AD1255)</f>
        <v/>
      </c>
      <c r="Q1259" t="str">
        <f>IF($G1259="","",IF(Sync!$U1255="","0000",IF(AND(ISNUMBER(Sync!$U1255),Sync!$U1255&gt;=0,Sync!$U1255&lt;1),RIGHT("00"&amp;HOUR(Sync!$U1255),2)&amp;RIGHT("00"&amp;MINUTE(Sync!$U1255),2),IFERROR(RIGHT("00"&amp;VALUE(LEFT(Sync!$U1255,FIND(":",Sync!$U1255)-1)),2)&amp;RIGHT("00"&amp;VALUE(MID(Sync!$U1255,FIND(":",Sync!$U1255)+1,2)),2),"0000"))))</f>
        <v/>
      </c>
    </row>
    <row r="1260" spans="1:17" x14ac:dyDescent="0.2">
      <c r="A1260" t="str">
        <f>IF(Sync!$T1256="","",Sync!$T1256)</f>
        <v/>
      </c>
      <c r="B1260" t="str">
        <f t="shared" si="114"/>
        <v/>
      </c>
      <c r="C1260" t="str">
        <f t="shared" si="115"/>
        <v/>
      </c>
      <c r="D1260" t="str">
        <f t="shared" si="116"/>
        <v/>
      </c>
      <c r="E1260" t="str">
        <f t="shared" si="117"/>
        <v/>
      </c>
      <c r="F1260" t="str">
        <f t="shared" si="118"/>
        <v/>
      </c>
      <c r="G1260" t="str">
        <f>IF(OR($E1260="",$E1260="نامعتبر",Sync!$X1256=""),"",IF(AND(LEFT(UPPER(TRIM(Sync!$X1256)),2)="SL",IFERROR(VLOOKUP(Sync!$W1256,OpTbl,3,0),"")="فروش"),UPPER(TRIM(Sync!$X1256)),""))</f>
        <v/>
      </c>
      <c r="H1260" t="str">
        <f>IF($G1260="","",IF(Sync!$W1256="","",Sync!$W1256))</f>
        <v/>
      </c>
      <c r="I1260" t="str">
        <f>IF(OR($G1260="",Sync!$Y1256=""),"",Sync!$Y1256)</f>
        <v/>
      </c>
      <c r="J1260" t="str">
        <f>IF(OR($G1260="",Sync!$Z1256=""),"",Sync!$Z1256)</f>
        <v/>
      </c>
      <c r="K1260">
        <f>IF($G1260="",0,IF(Sync!$AA1256="",0,Sync!$AA1256))</f>
        <v>0</v>
      </c>
      <c r="L1260">
        <f>IF($G1260="",0,IF(Sync!$AB1256="",0,Sync!$AB1256))</f>
        <v>0</v>
      </c>
      <c r="M1260" t="str">
        <f t="shared" si="119"/>
        <v/>
      </c>
      <c r="N1260">
        <f>IF($G1260="",0,IF($H1260="مرجوعی فروش",-1,1)*IF(Sync!$AC1256="",0,Sync!$AC1256))</f>
        <v>0</v>
      </c>
      <c r="O1260" t="str">
        <f>IF(OR($G1260="",Sync!$V1256=""),"",Sync!$V1256)</f>
        <v/>
      </c>
      <c r="P1260" t="str">
        <f>IF(OR($G1260="",Sync!$AD1256=""),"",Sync!$AD1256)</f>
        <v/>
      </c>
      <c r="Q1260" t="str">
        <f>IF($G1260="","",IF(Sync!$U1256="","0000",IF(AND(ISNUMBER(Sync!$U1256),Sync!$U1256&gt;=0,Sync!$U1256&lt;1),RIGHT("00"&amp;HOUR(Sync!$U1256),2)&amp;RIGHT("00"&amp;MINUTE(Sync!$U1256),2),IFERROR(RIGHT("00"&amp;VALUE(LEFT(Sync!$U1256,FIND(":",Sync!$U1256)-1)),2)&amp;RIGHT("00"&amp;VALUE(MID(Sync!$U1256,FIND(":",Sync!$U1256)+1,2)),2),"0000"))))</f>
        <v/>
      </c>
    </row>
    <row r="1261" spans="1:17" x14ac:dyDescent="0.2">
      <c r="A1261" t="str">
        <f>IF(Sync!$T1257="","",Sync!$T1257)</f>
        <v/>
      </c>
      <c r="B1261" t="str">
        <f t="shared" si="114"/>
        <v/>
      </c>
      <c r="C1261" t="str">
        <f t="shared" si="115"/>
        <v/>
      </c>
      <c r="D1261" t="str">
        <f t="shared" si="116"/>
        <v/>
      </c>
      <c r="E1261" t="str">
        <f t="shared" si="117"/>
        <v/>
      </c>
      <c r="F1261" t="str">
        <f t="shared" si="118"/>
        <v/>
      </c>
      <c r="G1261" t="str">
        <f>IF(OR($E1261="",$E1261="نامعتبر",Sync!$X1257=""),"",IF(AND(LEFT(UPPER(TRIM(Sync!$X1257)),2)="SL",IFERROR(VLOOKUP(Sync!$W1257,OpTbl,3,0),"")="فروش"),UPPER(TRIM(Sync!$X1257)),""))</f>
        <v/>
      </c>
      <c r="H1261" t="str">
        <f>IF($G1261="","",IF(Sync!$W1257="","",Sync!$W1257))</f>
        <v/>
      </c>
      <c r="I1261" t="str">
        <f>IF(OR($G1261="",Sync!$Y1257=""),"",Sync!$Y1257)</f>
        <v/>
      </c>
      <c r="J1261" t="str">
        <f>IF(OR($G1261="",Sync!$Z1257=""),"",Sync!$Z1257)</f>
        <v/>
      </c>
      <c r="K1261">
        <f>IF($G1261="",0,IF(Sync!$AA1257="",0,Sync!$AA1257))</f>
        <v>0</v>
      </c>
      <c r="L1261">
        <f>IF($G1261="",0,IF(Sync!$AB1257="",0,Sync!$AB1257))</f>
        <v>0</v>
      </c>
      <c r="M1261" t="str">
        <f t="shared" si="119"/>
        <v/>
      </c>
      <c r="N1261">
        <f>IF($G1261="",0,IF($H1261="مرجوعی فروش",-1,1)*IF(Sync!$AC1257="",0,Sync!$AC1257))</f>
        <v>0</v>
      </c>
      <c r="O1261" t="str">
        <f>IF(OR($G1261="",Sync!$V1257=""),"",Sync!$V1257)</f>
        <v/>
      </c>
      <c r="P1261" t="str">
        <f>IF(OR($G1261="",Sync!$AD1257=""),"",Sync!$AD1257)</f>
        <v/>
      </c>
      <c r="Q1261" t="str">
        <f>IF($G1261="","",IF(Sync!$U1257="","0000",IF(AND(ISNUMBER(Sync!$U1257),Sync!$U1257&gt;=0,Sync!$U1257&lt;1),RIGHT("00"&amp;HOUR(Sync!$U1257),2)&amp;RIGHT("00"&amp;MINUTE(Sync!$U1257),2),IFERROR(RIGHT("00"&amp;VALUE(LEFT(Sync!$U1257,FIND(":",Sync!$U1257)-1)),2)&amp;RIGHT("00"&amp;VALUE(MID(Sync!$U1257,FIND(":",Sync!$U1257)+1,2)),2),"0000"))))</f>
        <v/>
      </c>
    </row>
    <row r="1262" spans="1:17" x14ac:dyDescent="0.2">
      <c r="A1262" t="str">
        <f>IF(Sync!$T1258="","",Sync!$T1258)</f>
        <v/>
      </c>
      <c r="B1262" t="str">
        <f t="shared" si="114"/>
        <v/>
      </c>
      <c r="C1262" t="str">
        <f t="shared" si="115"/>
        <v/>
      </c>
      <c r="D1262" t="str">
        <f t="shared" si="116"/>
        <v/>
      </c>
      <c r="E1262" t="str">
        <f t="shared" si="117"/>
        <v/>
      </c>
      <c r="F1262" t="str">
        <f t="shared" si="118"/>
        <v/>
      </c>
      <c r="G1262" t="str">
        <f>IF(OR($E1262="",$E1262="نامعتبر",Sync!$X1258=""),"",IF(AND(LEFT(UPPER(TRIM(Sync!$X1258)),2)="SL",IFERROR(VLOOKUP(Sync!$W1258,OpTbl,3,0),"")="فروش"),UPPER(TRIM(Sync!$X1258)),""))</f>
        <v/>
      </c>
      <c r="H1262" t="str">
        <f>IF($G1262="","",IF(Sync!$W1258="","",Sync!$W1258))</f>
        <v/>
      </c>
      <c r="I1262" t="str">
        <f>IF(OR($G1262="",Sync!$Y1258=""),"",Sync!$Y1258)</f>
        <v/>
      </c>
      <c r="J1262" t="str">
        <f>IF(OR($G1262="",Sync!$Z1258=""),"",Sync!$Z1258)</f>
        <v/>
      </c>
      <c r="K1262">
        <f>IF($G1262="",0,IF(Sync!$AA1258="",0,Sync!$AA1258))</f>
        <v>0</v>
      </c>
      <c r="L1262">
        <f>IF($G1262="",0,IF(Sync!$AB1258="",0,Sync!$AB1258))</f>
        <v>0</v>
      </c>
      <c r="M1262" t="str">
        <f t="shared" si="119"/>
        <v/>
      </c>
      <c r="N1262">
        <f>IF($G1262="",0,IF($H1262="مرجوعی فروش",-1,1)*IF(Sync!$AC1258="",0,Sync!$AC1258))</f>
        <v>0</v>
      </c>
      <c r="O1262" t="str">
        <f>IF(OR($G1262="",Sync!$V1258=""),"",Sync!$V1258)</f>
        <v/>
      </c>
      <c r="P1262" t="str">
        <f>IF(OR($G1262="",Sync!$AD1258=""),"",Sync!$AD1258)</f>
        <v/>
      </c>
      <c r="Q1262" t="str">
        <f>IF($G1262="","",IF(Sync!$U1258="","0000",IF(AND(ISNUMBER(Sync!$U1258),Sync!$U1258&gt;=0,Sync!$U1258&lt;1),RIGHT("00"&amp;HOUR(Sync!$U1258),2)&amp;RIGHT("00"&amp;MINUTE(Sync!$U1258),2),IFERROR(RIGHT("00"&amp;VALUE(LEFT(Sync!$U1258,FIND(":",Sync!$U1258)-1)),2)&amp;RIGHT("00"&amp;VALUE(MID(Sync!$U1258,FIND(":",Sync!$U1258)+1,2)),2),"0000"))))</f>
        <v/>
      </c>
    </row>
    <row r="1263" spans="1:17" x14ac:dyDescent="0.2">
      <c r="A1263" t="str">
        <f>IF(Sync!$T1259="","",Sync!$T1259)</f>
        <v/>
      </c>
      <c r="B1263" t="str">
        <f t="shared" si="114"/>
        <v/>
      </c>
      <c r="C1263" t="str">
        <f t="shared" si="115"/>
        <v/>
      </c>
      <c r="D1263" t="str">
        <f t="shared" si="116"/>
        <v/>
      </c>
      <c r="E1263" t="str">
        <f t="shared" si="117"/>
        <v/>
      </c>
      <c r="F1263" t="str">
        <f t="shared" si="118"/>
        <v/>
      </c>
      <c r="G1263" t="str">
        <f>IF(OR($E1263="",$E1263="نامعتبر",Sync!$X1259=""),"",IF(AND(LEFT(UPPER(TRIM(Sync!$X1259)),2)="SL",IFERROR(VLOOKUP(Sync!$W1259,OpTbl,3,0),"")="فروش"),UPPER(TRIM(Sync!$X1259)),""))</f>
        <v/>
      </c>
      <c r="H1263" t="str">
        <f>IF($G1263="","",IF(Sync!$W1259="","",Sync!$W1259))</f>
        <v/>
      </c>
      <c r="I1263" t="str">
        <f>IF(OR($G1263="",Sync!$Y1259=""),"",Sync!$Y1259)</f>
        <v/>
      </c>
      <c r="J1263" t="str">
        <f>IF(OR($G1263="",Sync!$Z1259=""),"",Sync!$Z1259)</f>
        <v/>
      </c>
      <c r="K1263">
        <f>IF($G1263="",0,IF(Sync!$AA1259="",0,Sync!$AA1259))</f>
        <v>0</v>
      </c>
      <c r="L1263">
        <f>IF($G1263="",0,IF(Sync!$AB1259="",0,Sync!$AB1259))</f>
        <v>0</v>
      </c>
      <c r="M1263" t="str">
        <f t="shared" si="119"/>
        <v/>
      </c>
      <c r="N1263">
        <f>IF($G1263="",0,IF($H1263="مرجوعی فروش",-1,1)*IF(Sync!$AC1259="",0,Sync!$AC1259))</f>
        <v>0</v>
      </c>
      <c r="O1263" t="str">
        <f>IF(OR($G1263="",Sync!$V1259=""),"",Sync!$V1259)</f>
        <v/>
      </c>
      <c r="P1263" t="str">
        <f>IF(OR($G1263="",Sync!$AD1259=""),"",Sync!$AD1259)</f>
        <v/>
      </c>
      <c r="Q1263" t="str">
        <f>IF($G1263="","",IF(Sync!$U1259="","0000",IF(AND(ISNUMBER(Sync!$U1259),Sync!$U1259&gt;=0,Sync!$U1259&lt;1),RIGHT("00"&amp;HOUR(Sync!$U1259),2)&amp;RIGHT("00"&amp;MINUTE(Sync!$U1259),2),IFERROR(RIGHT("00"&amp;VALUE(LEFT(Sync!$U1259,FIND(":",Sync!$U1259)-1)),2)&amp;RIGHT("00"&amp;VALUE(MID(Sync!$U1259,FIND(":",Sync!$U1259)+1,2)),2),"0000"))))</f>
        <v/>
      </c>
    </row>
    <row r="1264" spans="1:17" x14ac:dyDescent="0.2">
      <c r="A1264" t="str">
        <f>IF(Sync!$T1260="","",Sync!$T1260)</f>
        <v/>
      </c>
      <c r="B1264" t="str">
        <f t="shared" si="114"/>
        <v/>
      </c>
      <c r="C1264" t="str">
        <f t="shared" si="115"/>
        <v/>
      </c>
      <c r="D1264" t="str">
        <f t="shared" si="116"/>
        <v/>
      </c>
      <c r="E1264" t="str">
        <f t="shared" si="117"/>
        <v/>
      </c>
      <c r="F1264" t="str">
        <f t="shared" si="118"/>
        <v/>
      </c>
      <c r="G1264" t="str">
        <f>IF(OR($E1264="",$E1264="نامعتبر",Sync!$X1260=""),"",IF(AND(LEFT(UPPER(TRIM(Sync!$X1260)),2)="SL",IFERROR(VLOOKUP(Sync!$W1260,OpTbl,3,0),"")="فروش"),UPPER(TRIM(Sync!$X1260)),""))</f>
        <v/>
      </c>
      <c r="H1264" t="str">
        <f>IF($G1264="","",IF(Sync!$W1260="","",Sync!$W1260))</f>
        <v/>
      </c>
      <c r="I1264" t="str">
        <f>IF(OR($G1264="",Sync!$Y1260=""),"",Sync!$Y1260)</f>
        <v/>
      </c>
      <c r="J1264" t="str">
        <f>IF(OR($G1264="",Sync!$Z1260=""),"",Sync!$Z1260)</f>
        <v/>
      </c>
      <c r="K1264">
        <f>IF($G1264="",0,IF(Sync!$AA1260="",0,Sync!$AA1260))</f>
        <v>0</v>
      </c>
      <c r="L1264">
        <f>IF($G1264="",0,IF(Sync!$AB1260="",0,Sync!$AB1260))</f>
        <v>0</v>
      </c>
      <c r="M1264" t="str">
        <f t="shared" si="119"/>
        <v/>
      </c>
      <c r="N1264">
        <f>IF($G1264="",0,IF($H1264="مرجوعی فروش",-1,1)*IF(Sync!$AC1260="",0,Sync!$AC1260))</f>
        <v>0</v>
      </c>
      <c r="O1264" t="str">
        <f>IF(OR($G1264="",Sync!$V1260=""),"",Sync!$V1260)</f>
        <v/>
      </c>
      <c r="P1264" t="str">
        <f>IF(OR($G1264="",Sync!$AD1260=""),"",Sync!$AD1260)</f>
        <v/>
      </c>
      <c r="Q1264" t="str">
        <f>IF($G1264="","",IF(Sync!$U1260="","0000",IF(AND(ISNUMBER(Sync!$U1260),Sync!$U1260&gt;=0,Sync!$U1260&lt;1),RIGHT("00"&amp;HOUR(Sync!$U1260),2)&amp;RIGHT("00"&amp;MINUTE(Sync!$U1260),2),IFERROR(RIGHT("00"&amp;VALUE(LEFT(Sync!$U1260,FIND(":",Sync!$U1260)-1)),2)&amp;RIGHT("00"&amp;VALUE(MID(Sync!$U1260,FIND(":",Sync!$U1260)+1,2)),2),"0000"))))</f>
        <v/>
      </c>
    </row>
    <row r="1265" spans="1:17" x14ac:dyDescent="0.2">
      <c r="A1265" t="str">
        <f>IF(Sync!$T1261="","",Sync!$T1261)</f>
        <v/>
      </c>
      <c r="B1265" t="str">
        <f t="shared" si="114"/>
        <v/>
      </c>
      <c r="C1265" t="str">
        <f t="shared" si="115"/>
        <v/>
      </c>
      <c r="D1265" t="str">
        <f t="shared" si="116"/>
        <v/>
      </c>
      <c r="E1265" t="str">
        <f t="shared" si="117"/>
        <v/>
      </c>
      <c r="F1265" t="str">
        <f t="shared" si="118"/>
        <v/>
      </c>
      <c r="G1265" t="str">
        <f>IF(OR($E1265="",$E1265="نامعتبر",Sync!$X1261=""),"",IF(AND(LEFT(UPPER(TRIM(Sync!$X1261)),2)="SL",IFERROR(VLOOKUP(Sync!$W1261,OpTbl,3,0),"")="فروش"),UPPER(TRIM(Sync!$X1261)),""))</f>
        <v/>
      </c>
      <c r="H1265" t="str">
        <f>IF($G1265="","",IF(Sync!$W1261="","",Sync!$W1261))</f>
        <v/>
      </c>
      <c r="I1265" t="str">
        <f>IF(OR($G1265="",Sync!$Y1261=""),"",Sync!$Y1261)</f>
        <v/>
      </c>
      <c r="J1265" t="str">
        <f>IF(OR($G1265="",Sync!$Z1261=""),"",Sync!$Z1261)</f>
        <v/>
      </c>
      <c r="K1265">
        <f>IF($G1265="",0,IF(Sync!$AA1261="",0,Sync!$AA1261))</f>
        <v>0</v>
      </c>
      <c r="L1265">
        <f>IF($G1265="",0,IF(Sync!$AB1261="",0,Sync!$AB1261))</f>
        <v>0</v>
      </c>
      <c r="M1265" t="str">
        <f t="shared" si="119"/>
        <v/>
      </c>
      <c r="N1265">
        <f>IF($G1265="",0,IF($H1265="مرجوعی فروش",-1,1)*IF(Sync!$AC1261="",0,Sync!$AC1261))</f>
        <v>0</v>
      </c>
      <c r="O1265" t="str">
        <f>IF(OR($G1265="",Sync!$V1261=""),"",Sync!$V1261)</f>
        <v/>
      </c>
      <c r="P1265" t="str">
        <f>IF(OR($G1265="",Sync!$AD1261=""),"",Sync!$AD1261)</f>
        <v/>
      </c>
      <c r="Q1265" t="str">
        <f>IF($G1265="","",IF(Sync!$U1261="","0000",IF(AND(ISNUMBER(Sync!$U1261),Sync!$U1261&gt;=0,Sync!$U1261&lt;1),RIGHT("00"&amp;HOUR(Sync!$U1261),2)&amp;RIGHT("00"&amp;MINUTE(Sync!$U1261),2),IFERROR(RIGHT("00"&amp;VALUE(LEFT(Sync!$U1261,FIND(":",Sync!$U1261)-1)),2)&amp;RIGHT("00"&amp;VALUE(MID(Sync!$U1261,FIND(":",Sync!$U1261)+1,2)),2),"0000"))))</f>
        <v/>
      </c>
    </row>
    <row r="1266" spans="1:17" x14ac:dyDescent="0.2">
      <c r="A1266" t="str">
        <f>IF(Sync!$T1262="","",Sync!$T1262)</f>
        <v/>
      </c>
      <c r="B1266" t="str">
        <f t="shared" si="114"/>
        <v/>
      </c>
      <c r="C1266" t="str">
        <f t="shared" si="115"/>
        <v/>
      </c>
      <c r="D1266" t="str">
        <f t="shared" si="116"/>
        <v/>
      </c>
      <c r="E1266" t="str">
        <f t="shared" si="117"/>
        <v/>
      </c>
      <c r="F1266" t="str">
        <f t="shared" si="118"/>
        <v/>
      </c>
      <c r="G1266" t="str">
        <f>IF(OR($E1266="",$E1266="نامعتبر",Sync!$X1262=""),"",IF(AND(LEFT(UPPER(TRIM(Sync!$X1262)),2)="SL",IFERROR(VLOOKUP(Sync!$W1262,OpTbl,3,0),"")="فروش"),UPPER(TRIM(Sync!$X1262)),""))</f>
        <v/>
      </c>
      <c r="H1266" t="str">
        <f>IF($G1266="","",IF(Sync!$W1262="","",Sync!$W1262))</f>
        <v/>
      </c>
      <c r="I1266" t="str">
        <f>IF(OR($G1266="",Sync!$Y1262=""),"",Sync!$Y1262)</f>
        <v/>
      </c>
      <c r="J1266" t="str">
        <f>IF(OR($G1266="",Sync!$Z1262=""),"",Sync!$Z1262)</f>
        <v/>
      </c>
      <c r="K1266">
        <f>IF($G1266="",0,IF(Sync!$AA1262="",0,Sync!$AA1262))</f>
        <v>0</v>
      </c>
      <c r="L1266">
        <f>IF($G1266="",0,IF(Sync!$AB1262="",0,Sync!$AB1262))</f>
        <v>0</v>
      </c>
      <c r="M1266" t="str">
        <f t="shared" si="119"/>
        <v/>
      </c>
      <c r="N1266">
        <f>IF($G1266="",0,IF($H1266="مرجوعی فروش",-1,1)*IF(Sync!$AC1262="",0,Sync!$AC1262))</f>
        <v>0</v>
      </c>
      <c r="O1266" t="str">
        <f>IF(OR($G1266="",Sync!$V1262=""),"",Sync!$V1262)</f>
        <v/>
      </c>
      <c r="P1266" t="str">
        <f>IF(OR($G1266="",Sync!$AD1262=""),"",Sync!$AD1262)</f>
        <v/>
      </c>
      <c r="Q1266" t="str">
        <f>IF($G1266="","",IF(Sync!$U1262="","0000",IF(AND(ISNUMBER(Sync!$U1262),Sync!$U1262&gt;=0,Sync!$U1262&lt;1),RIGHT("00"&amp;HOUR(Sync!$U1262),2)&amp;RIGHT("00"&amp;MINUTE(Sync!$U1262),2),IFERROR(RIGHT("00"&amp;VALUE(LEFT(Sync!$U1262,FIND(":",Sync!$U1262)-1)),2)&amp;RIGHT("00"&amp;VALUE(MID(Sync!$U1262,FIND(":",Sync!$U1262)+1,2)),2),"0000"))))</f>
        <v/>
      </c>
    </row>
    <row r="1267" spans="1:17" x14ac:dyDescent="0.2">
      <c r="A1267" t="str">
        <f>IF(Sync!$T1263="","",Sync!$T1263)</f>
        <v/>
      </c>
      <c r="B1267" t="str">
        <f t="shared" si="114"/>
        <v/>
      </c>
      <c r="C1267" t="str">
        <f t="shared" si="115"/>
        <v/>
      </c>
      <c r="D1267" t="str">
        <f t="shared" si="116"/>
        <v/>
      </c>
      <c r="E1267" t="str">
        <f t="shared" si="117"/>
        <v/>
      </c>
      <c r="F1267" t="str">
        <f t="shared" si="118"/>
        <v/>
      </c>
      <c r="G1267" t="str">
        <f>IF(OR($E1267="",$E1267="نامعتبر",Sync!$X1263=""),"",IF(AND(LEFT(UPPER(TRIM(Sync!$X1263)),2)="SL",IFERROR(VLOOKUP(Sync!$W1263,OpTbl,3,0),"")="فروش"),UPPER(TRIM(Sync!$X1263)),""))</f>
        <v/>
      </c>
      <c r="H1267" t="str">
        <f>IF($G1267="","",IF(Sync!$W1263="","",Sync!$W1263))</f>
        <v/>
      </c>
      <c r="I1267" t="str">
        <f>IF(OR($G1267="",Sync!$Y1263=""),"",Sync!$Y1263)</f>
        <v/>
      </c>
      <c r="J1267" t="str">
        <f>IF(OR($G1267="",Sync!$Z1263=""),"",Sync!$Z1263)</f>
        <v/>
      </c>
      <c r="K1267">
        <f>IF($G1267="",0,IF(Sync!$AA1263="",0,Sync!$AA1263))</f>
        <v>0</v>
      </c>
      <c r="L1267">
        <f>IF($G1267="",0,IF(Sync!$AB1263="",0,Sync!$AB1263))</f>
        <v>0</v>
      </c>
      <c r="M1267" t="str">
        <f t="shared" si="119"/>
        <v/>
      </c>
      <c r="N1267">
        <f>IF($G1267="",0,IF($H1267="مرجوعی فروش",-1,1)*IF(Sync!$AC1263="",0,Sync!$AC1263))</f>
        <v>0</v>
      </c>
      <c r="O1267" t="str">
        <f>IF(OR($G1267="",Sync!$V1263=""),"",Sync!$V1263)</f>
        <v/>
      </c>
      <c r="P1267" t="str">
        <f>IF(OR($G1267="",Sync!$AD1263=""),"",Sync!$AD1263)</f>
        <v/>
      </c>
      <c r="Q1267" t="str">
        <f>IF($G1267="","",IF(Sync!$U1263="","0000",IF(AND(ISNUMBER(Sync!$U1263),Sync!$U1263&gt;=0,Sync!$U1263&lt;1),RIGHT("00"&amp;HOUR(Sync!$U1263),2)&amp;RIGHT("00"&amp;MINUTE(Sync!$U1263),2),IFERROR(RIGHT("00"&amp;VALUE(LEFT(Sync!$U1263,FIND(":",Sync!$U1263)-1)),2)&amp;RIGHT("00"&amp;VALUE(MID(Sync!$U1263,FIND(":",Sync!$U1263)+1,2)),2),"0000"))))</f>
        <v/>
      </c>
    </row>
    <row r="1268" spans="1:17" x14ac:dyDescent="0.2">
      <c r="A1268" t="str">
        <f>IF(Sync!$T1264="","",Sync!$T1264)</f>
        <v/>
      </c>
      <c r="B1268" t="str">
        <f t="shared" si="114"/>
        <v/>
      </c>
      <c r="C1268" t="str">
        <f t="shared" si="115"/>
        <v/>
      </c>
      <c r="D1268" t="str">
        <f t="shared" si="116"/>
        <v/>
      </c>
      <c r="E1268" t="str">
        <f t="shared" si="117"/>
        <v/>
      </c>
      <c r="F1268" t="str">
        <f t="shared" si="118"/>
        <v/>
      </c>
      <c r="G1268" t="str">
        <f>IF(OR($E1268="",$E1268="نامعتبر",Sync!$X1264=""),"",IF(AND(LEFT(UPPER(TRIM(Sync!$X1264)),2)="SL",IFERROR(VLOOKUP(Sync!$W1264,OpTbl,3,0),"")="فروش"),UPPER(TRIM(Sync!$X1264)),""))</f>
        <v/>
      </c>
      <c r="H1268" t="str">
        <f>IF($G1268="","",IF(Sync!$W1264="","",Sync!$W1264))</f>
        <v/>
      </c>
      <c r="I1268" t="str">
        <f>IF(OR($G1268="",Sync!$Y1264=""),"",Sync!$Y1264)</f>
        <v/>
      </c>
      <c r="J1268" t="str">
        <f>IF(OR($G1268="",Sync!$Z1264=""),"",Sync!$Z1264)</f>
        <v/>
      </c>
      <c r="K1268">
        <f>IF($G1268="",0,IF(Sync!$AA1264="",0,Sync!$AA1264))</f>
        <v>0</v>
      </c>
      <c r="L1268">
        <f>IF($G1268="",0,IF(Sync!$AB1264="",0,Sync!$AB1264))</f>
        <v>0</v>
      </c>
      <c r="M1268" t="str">
        <f t="shared" si="119"/>
        <v/>
      </c>
      <c r="N1268">
        <f>IF($G1268="",0,IF($H1268="مرجوعی فروش",-1,1)*IF(Sync!$AC1264="",0,Sync!$AC1264))</f>
        <v>0</v>
      </c>
      <c r="O1268" t="str">
        <f>IF(OR($G1268="",Sync!$V1264=""),"",Sync!$V1264)</f>
        <v/>
      </c>
      <c r="P1268" t="str">
        <f>IF(OR($G1268="",Sync!$AD1264=""),"",Sync!$AD1264)</f>
        <v/>
      </c>
      <c r="Q1268" t="str">
        <f>IF($G1268="","",IF(Sync!$U1264="","0000",IF(AND(ISNUMBER(Sync!$U1264),Sync!$U1264&gt;=0,Sync!$U1264&lt;1),RIGHT("00"&amp;HOUR(Sync!$U1264),2)&amp;RIGHT("00"&amp;MINUTE(Sync!$U1264),2),IFERROR(RIGHT("00"&amp;VALUE(LEFT(Sync!$U1264,FIND(":",Sync!$U1264)-1)),2)&amp;RIGHT("00"&amp;VALUE(MID(Sync!$U1264,FIND(":",Sync!$U1264)+1,2)),2),"0000"))))</f>
        <v/>
      </c>
    </row>
    <row r="1269" spans="1:17" x14ac:dyDescent="0.2">
      <c r="A1269" t="str">
        <f>IF(Sync!$T1265="","",Sync!$T1265)</f>
        <v/>
      </c>
      <c r="B1269" t="str">
        <f t="shared" si="114"/>
        <v/>
      </c>
      <c r="C1269" t="str">
        <f t="shared" si="115"/>
        <v/>
      </c>
      <c r="D1269" t="str">
        <f t="shared" si="116"/>
        <v/>
      </c>
      <c r="E1269" t="str">
        <f t="shared" si="117"/>
        <v/>
      </c>
      <c r="F1269" t="str">
        <f t="shared" si="118"/>
        <v/>
      </c>
      <c r="G1269" t="str">
        <f>IF(OR($E1269="",$E1269="نامعتبر",Sync!$X1265=""),"",IF(AND(LEFT(UPPER(TRIM(Sync!$X1265)),2)="SL",IFERROR(VLOOKUP(Sync!$W1265,OpTbl,3,0),"")="فروش"),UPPER(TRIM(Sync!$X1265)),""))</f>
        <v/>
      </c>
      <c r="H1269" t="str">
        <f>IF($G1269="","",IF(Sync!$W1265="","",Sync!$W1265))</f>
        <v/>
      </c>
      <c r="I1269" t="str">
        <f>IF(OR($G1269="",Sync!$Y1265=""),"",Sync!$Y1265)</f>
        <v/>
      </c>
      <c r="J1269" t="str">
        <f>IF(OR($G1269="",Sync!$Z1265=""),"",Sync!$Z1265)</f>
        <v/>
      </c>
      <c r="K1269">
        <f>IF($G1269="",0,IF(Sync!$AA1265="",0,Sync!$AA1265))</f>
        <v>0</v>
      </c>
      <c r="L1269">
        <f>IF($G1269="",0,IF(Sync!$AB1265="",0,Sync!$AB1265))</f>
        <v>0</v>
      </c>
      <c r="M1269" t="str">
        <f t="shared" si="119"/>
        <v/>
      </c>
      <c r="N1269">
        <f>IF($G1269="",0,IF($H1269="مرجوعی فروش",-1,1)*IF(Sync!$AC1265="",0,Sync!$AC1265))</f>
        <v>0</v>
      </c>
      <c r="O1269" t="str">
        <f>IF(OR($G1269="",Sync!$V1265=""),"",Sync!$V1265)</f>
        <v/>
      </c>
      <c r="P1269" t="str">
        <f>IF(OR($G1269="",Sync!$AD1265=""),"",Sync!$AD1265)</f>
        <v/>
      </c>
      <c r="Q1269" t="str">
        <f>IF($G1269="","",IF(Sync!$U1265="","0000",IF(AND(ISNUMBER(Sync!$U1265),Sync!$U1265&gt;=0,Sync!$U1265&lt;1),RIGHT("00"&amp;HOUR(Sync!$U1265),2)&amp;RIGHT("00"&amp;MINUTE(Sync!$U1265),2),IFERROR(RIGHT("00"&amp;VALUE(LEFT(Sync!$U1265,FIND(":",Sync!$U1265)-1)),2)&amp;RIGHT("00"&amp;VALUE(MID(Sync!$U1265,FIND(":",Sync!$U1265)+1,2)),2),"0000"))))</f>
        <v/>
      </c>
    </row>
    <row r="1270" spans="1:17" x14ac:dyDescent="0.2">
      <c r="A1270" t="str">
        <f>IF(Sync!$T1266="","",Sync!$T1266)</f>
        <v/>
      </c>
      <c r="B1270" t="str">
        <f t="shared" si="114"/>
        <v/>
      </c>
      <c r="C1270" t="str">
        <f t="shared" si="115"/>
        <v/>
      </c>
      <c r="D1270" t="str">
        <f t="shared" si="116"/>
        <v/>
      </c>
      <c r="E1270" t="str">
        <f t="shared" si="117"/>
        <v/>
      </c>
      <c r="F1270" t="str">
        <f t="shared" si="118"/>
        <v/>
      </c>
      <c r="G1270" t="str">
        <f>IF(OR($E1270="",$E1270="نامعتبر",Sync!$X1266=""),"",IF(AND(LEFT(UPPER(TRIM(Sync!$X1266)),2)="SL",IFERROR(VLOOKUP(Sync!$W1266,OpTbl,3,0),"")="فروش"),UPPER(TRIM(Sync!$X1266)),""))</f>
        <v/>
      </c>
      <c r="H1270" t="str">
        <f>IF($G1270="","",IF(Sync!$W1266="","",Sync!$W1266))</f>
        <v/>
      </c>
      <c r="I1270" t="str">
        <f>IF(OR($G1270="",Sync!$Y1266=""),"",Sync!$Y1266)</f>
        <v/>
      </c>
      <c r="J1270" t="str">
        <f>IF(OR($G1270="",Sync!$Z1266=""),"",Sync!$Z1266)</f>
        <v/>
      </c>
      <c r="K1270">
        <f>IF($G1270="",0,IF(Sync!$AA1266="",0,Sync!$AA1266))</f>
        <v>0</v>
      </c>
      <c r="L1270">
        <f>IF($G1270="",0,IF(Sync!$AB1266="",0,Sync!$AB1266))</f>
        <v>0</v>
      </c>
      <c r="M1270" t="str">
        <f t="shared" si="119"/>
        <v/>
      </c>
      <c r="N1270">
        <f>IF($G1270="",0,IF($H1270="مرجوعی فروش",-1,1)*IF(Sync!$AC1266="",0,Sync!$AC1266))</f>
        <v>0</v>
      </c>
      <c r="O1270" t="str">
        <f>IF(OR($G1270="",Sync!$V1266=""),"",Sync!$V1266)</f>
        <v/>
      </c>
      <c r="P1270" t="str">
        <f>IF(OR($G1270="",Sync!$AD1266=""),"",Sync!$AD1266)</f>
        <v/>
      </c>
      <c r="Q1270" t="str">
        <f>IF($G1270="","",IF(Sync!$U1266="","0000",IF(AND(ISNUMBER(Sync!$U1266),Sync!$U1266&gt;=0,Sync!$U1266&lt;1),RIGHT("00"&amp;HOUR(Sync!$U1266),2)&amp;RIGHT("00"&amp;MINUTE(Sync!$U1266),2),IFERROR(RIGHT("00"&amp;VALUE(LEFT(Sync!$U1266,FIND(":",Sync!$U1266)-1)),2)&amp;RIGHT("00"&amp;VALUE(MID(Sync!$U1266,FIND(":",Sync!$U1266)+1,2)),2),"0000"))))</f>
        <v/>
      </c>
    </row>
    <row r="1271" spans="1:17" x14ac:dyDescent="0.2">
      <c r="A1271" t="str">
        <f>IF(Sync!$T1267="","",Sync!$T1267)</f>
        <v/>
      </c>
      <c r="B1271" t="str">
        <f t="shared" si="114"/>
        <v/>
      </c>
      <c r="C1271" t="str">
        <f t="shared" si="115"/>
        <v/>
      </c>
      <c r="D1271" t="str">
        <f t="shared" si="116"/>
        <v/>
      </c>
      <c r="E1271" t="str">
        <f t="shared" si="117"/>
        <v/>
      </c>
      <c r="F1271" t="str">
        <f t="shared" si="118"/>
        <v/>
      </c>
      <c r="G1271" t="str">
        <f>IF(OR($E1271="",$E1271="نامعتبر",Sync!$X1267=""),"",IF(AND(LEFT(UPPER(TRIM(Sync!$X1267)),2)="SL",IFERROR(VLOOKUP(Sync!$W1267,OpTbl,3,0),"")="فروش"),UPPER(TRIM(Sync!$X1267)),""))</f>
        <v/>
      </c>
      <c r="H1271" t="str">
        <f>IF($G1271="","",IF(Sync!$W1267="","",Sync!$W1267))</f>
        <v/>
      </c>
      <c r="I1271" t="str">
        <f>IF(OR($G1271="",Sync!$Y1267=""),"",Sync!$Y1267)</f>
        <v/>
      </c>
      <c r="J1271" t="str">
        <f>IF(OR($G1271="",Sync!$Z1267=""),"",Sync!$Z1267)</f>
        <v/>
      </c>
      <c r="K1271">
        <f>IF($G1271="",0,IF(Sync!$AA1267="",0,Sync!$AA1267))</f>
        <v>0</v>
      </c>
      <c r="L1271">
        <f>IF($G1271="",0,IF(Sync!$AB1267="",0,Sync!$AB1267))</f>
        <v>0</v>
      </c>
      <c r="M1271" t="str">
        <f t="shared" si="119"/>
        <v/>
      </c>
      <c r="N1271">
        <f>IF($G1271="",0,IF($H1271="مرجوعی فروش",-1,1)*IF(Sync!$AC1267="",0,Sync!$AC1267))</f>
        <v>0</v>
      </c>
      <c r="O1271" t="str">
        <f>IF(OR($G1271="",Sync!$V1267=""),"",Sync!$V1267)</f>
        <v/>
      </c>
      <c r="P1271" t="str">
        <f>IF(OR($G1271="",Sync!$AD1267=""),"",Sync!$AD1267)</f>
        <v/>
      </c>
      <c r="Q1271" t="str">
        <f>IF($G1271="","",IF(Sync!$U1267="","0000",IF(AND(ISNUMBER(Sync!$U1267),Sync!$U1267&gt;=0,Sync!$U1267&lt;1),RIGHT("00"&amp;HOUR(Sync!$U1267),2)&amp;RIGHT("00"&amp;MINUTE(Sync!$U1267),2),IFERROR(RIGHT("00"&amp;VALUE(LEFT(Sync!$U1267,FIND(":",Sync!$U1267)-1)),2)&amp;RIGHT("00"&amp;VALUE(MID(Sync!$U1267,FIND(":",Sync!$U1267)+1,2)),2),"0000"))))</f>
        <v/>
      </c>
    </row>
    <row r="1272" spans="1:17" x14ac:dyDescent="0.2">
      <c r="A1272" t="str">
        <f>IF(Sync!$T1268="","",Sync!$T1268)</f>
        <v/>
      </c>
      <c r="B1272" t="str">
        <f t="shared" si="114"/>
        <v/>
      </c>
      <c r="C1272" t="str">
        <f t="shared" si="115"/>
        <v/>
      </c>
      <c r="D1272" t="str">
        <f t="shared" si="116"/>
        <v/>
      </c>
      <c r="E1272" t="str">
        <f t="shared" si="117"/>
        <v/>
      </c>
      <c r="F1272" t="str">
        <f t="shared" si="118"/>
        <v/>
      </c>
      <c r="G1272" t="str">
        <f>IF(OR($E1272="",$E1272="نامعتبر",Sync!$X1268=""),"",IF(AND(LEFT(UPPER(TRIM(Sync!$X1268)),2)="SL",IFERROR(VLOOKUP(Sync!$W1268,OpTbl,3,0),"")="فروش"),UPPER(TRIM(Sync!$X1268)),""))</f>
        <v/>
      </c>
      <c r="H1272" t="str">
        <f>IF($G1272="","",IF(Sync!$W1268="","",Sync!$W1268))</f>
        <v/>
      </c>
      <c r="I1272" t="str">
        <f>IF(OR($G1272="",Sync!$Y1268=""),"",Sync!$Y1268)</f>
        <v/>
      </c>
      <c r="J1272" t="str">
        <f>IF(OR($G1272="",Sync!$Z1268=""),"",Sync!$Z1268)</f>
        <v/>
      </c>
      <c r="K1272">
        <f>IF($G1272="",0,IF(Sync!$AA1268="",0,Sync!$AA1268))</f>
        <v>0</v>
      </c>
      <c r="L1272">
        <f>IF($G1272="",0,IF(Sync!$AB1268="",0,Sync!$AB1268))</f>
        <v>0</v>
      </c>
      <c r="M1272" t="str">
        <f t="shared" si="119"/>
        <v/>
      </c>
      <c r="N1272">
        <f>IF($G1272="",0,IF($H1272="مرجوعی فروش",-1,1)*IF(Sync!$AC1268="",0,Sync!$AC1268))</f>
        <v>0</v>
      </c>
      <c r="O1272" t="str">
        <f>IF(OR($G1272="",Sync!$V1268=""),"",Sync!$V1268)</f>
        <v/>
      </c>
      <c r="P1272" t="str">
        <f>IF(OR($G1272="",Sync!$AD1268=""),"",Sync!$AD1268)</f>
        <v/>
      </c>
      <c r="Q1272" t="str">
        <f>IF($G1272="","",IF(Sync!$U1268="","0000",IF(AND(ISNUMBER(Sync!$U1268),Sync!$U1268&gt;=0,Sync!$U1268&lt;1),RIGHT("00"&amp;HOUR(Sync!$U1268),2)&amp;RIGHT("00"&amp;MINUTE(Sync!$U1268),2),IFERROR(RIGHT("00"&amp;VALUE(LEFT(Sync!$U1268,FIND(":",Sync!$U1268)-1)),2)&amp;RIGHT("00"&amp;VALUE(MID(Sync!$U1268,FIND(":",Sync!$U1268)+1,2)),2),"0000"))))</f>
        <v/>
      </c>
    </row>
    <row r="1273" spans="1:17" x14ac:dyDescent="0.2">
      <c r="A1273" t="str">
        <f>IF(Sync!$T1269="","",Sync!$T1269)</f>
        <v/>
      </c>
      <c r="B1273" t="str">
        <f t="shared" si="114"/>
        <v/>
      </c>
      <c r="C1273" t="str">
        <f t="shared" si="115"/>
        <v/>
      </c>
      <c r="D1273" t="str">
        <f t="shared" si="116"/>
        <v/>
      </c>
      <c r="E1273" t="str">
        <f t="shared" si="117"/>
        <v/>
      </c>
      <c r="F1273" t="str">
        <f t="shared" si="118"/>
        <v/>
      </c>
      <c r="G1273" t="str">
        <f>IF(OR($E1273="",$E1273="نامعتبر",Sync!$X1269=""),"",IF(AND(LEFT(UPPER(TRIM(Sync!$X1269)),2)="SL",IFERROR(VLOOKUP(Sync!$W1269,OpTbl,3,0),"")="فروش"),UPPER(TRIM(Sync!$X1269)),""))</f>
        <v/>
      </c>
      <c r="H1273" t="str">
        <f>IF($G1273="","",IF(Sync!$W1269="","",Sync!$W1269))</f>
        <v/>
      </c>
      <c r="I1273" t="str">
        <f>IF(OR($G1273="",Sync!$Y1269=""),"",Sync!$Y1269)</f>
        <v/>
      </c>
      <c r="J1273" t="str">
        <f>IF(OR($G1273="",Sync!$Z1269=""),"",Sync!$Z1269)</f>
        <v/>
      </c>
      <c r="K1273">
        <f>IF($G1273="",0,IF(Sync!$AA1269="",0,Sync!$AA1269))</f>
        <v>0</v>
      </c>
      <c r="L1273">
        <f>IF($G1273="",0,IF(Sync!$AB1269="",0,Sync!$AB1269))</f>
        <v>0</v>
      </c>
      <c r="M1273" t="str">
        <f t="shared" si="119"/>
        <v/>
      </c>
      <c r="N1273">
        <f>IF($G1273="",0,IF($H1273="مرجوعی فروش",-1,1)*IF(Sync!$AC1269="",0,Sync!$AC1269))</f>
        <v>0</v>
      </c>
      <c r="O1273" t="str">
        <f>IF(OR($G1273="",Sync!$V1269=""),"",Sync!$V1269)</f>
        <v/>
      </c>
      <c r="P1273" t="str">
        <f>IF(OR($G1273="",Sync!$AD1269=""),"",Sync!$AD1269)</f>
        <v/>
      </c>
      <c r="Q1273" t="str">
        <f>IF($G1273="","",IF(Sync!$U1269="","0000",IF(AND(ISNUMBER(Sync!$U1269),Sync!$U1269&gt;=0,Sync!$U1269&lt;1),RIGHT("00"&amp;HOUR(Sync!$U1269),2)&amp;RIGHT("00"&amp;MINUTE(Sync!$U1269),2),IFERROR(RIGHT("00"&amp;VALUE(LEFT(Sync!$U1269,FIND(":",Sync!$U1269)-1)),2)&amp;RIGHT("00"&amp;VALUE(MID(Sync!$U1269,FIND(":",Sync!$U1269)+1,2)),2),"0000"))))</f>
        <v/>
      </c>
    </row>
    <row r="1274" spans="1:17" x14ac:dyDescent="0.2">
      <c r="A1274" t="str">
        <f>IF(Sync!$T1270="","",Sync!$T1270)</f>
        <v/>
      </c>
      <c r="B1274" t="str">
        <f t="shared" si="114"/>
        <v/>
      </c>
      <c r="C1274" t="str">
        <f t="shared" si="115"/>
        <v/>
      </c>
      <c r="D1274" t="str">
        <f t="shared" si="116"/>
        <v/>
      </c>
      <c r="E1274" t="str">
        <f t="shared" si="117"/>
        <v/>
      </c>
      <c r="F1274" t="str">
        <f t="shared" si="118"/>
        <v/>
      </c>
      <c r="G1274" t="str">
        <f>IF(OR($E1274="",$E1274="نامعتبر",Sync!$X1270=""),"",IF(AND(LEFT(UPPER(TRIM(Sync!$X1270)),2)="SL",IFERROR(VLOOKUP(Sync!$W1270,OpTbl,3,0),"")="فروش"),UPPER(TRIM(Sync!$X1270)),""))</f>
        <v/>
      </c>
      <c r="H1274" t="str">
        <f>IF($G1274="","",IF(Sync!$W1270="","",Sync!$W1270))</f>
        <v/>
      </c>
      <c r="I1274" t="str">
        <f>IF(OR($G1274="",Sync!$Y1270=""),"",Sync!$Y1270)</f>
        <v/>
      </c>
      <c r="J1274" t="str">
        <f>IF(OR($G1274="",Sync!$Z1270=""),"",Sync!$Z1270)</f>
        <v/>
      </c>
      <c r="K1274">
        <f>IF($G1274="",0,IF(Sync!$AA1270="",0,Sync!$AA1270))</f>
        <v>0</v>
      </c>
      <c r="L1274">
        <f>IF($G1274="",0,IF(Sync!$AB1270="",0,Sync!$AB1270))</f>
        <v>0</v>
      </c>
      <c r="M1274" t="str">
        <f t="shared" si="119"/>
        <v/>
      </c>
      <c r="N1274">
        <f>IF($G1274="",0,IF($H1274="مرجوعی فروش",-1,1)*IF(Sync!$AC1270="",0,Sync!$AC1270))</f>
        <v>0</v>
      </c>
      <c r="O1274" t="str">
        <f>IF(OR($G1274="",Sync!$V1270=""),"",Sync!$V1270)</f>
        <v/>
      </c>
      <c r="P1274" t="str">
        <f>IF(OR($G1274="",Sync!$AD1270=""),"",Sync!$AD1270)</f>
        <v/>
      </c>
      <c r="Q1274" t="str">
        <f>IF($G1274="","",IF(Sync!$U1270="","0000",IF(AND(ISNUMBER(Sync!$U1270),Sync!$U1270&gt;=0,Sync!$U1270&lt;1),RIGHT("00"&amp;HOUR(Sync!$U1270),2)&amp;RIGHT("00"&amp;MINUTE(Sync!$U1270),2),IFERROR(RIGHT("00"&amp;VALUE(LEFT(Sync!$U1270,FIND(":",Sync!$U1270)-1)),2)&amp;RIGHT("00"&amp;VALUE(MID(Sync!$U1270,FIND(":",Sync!$U1270)+1,2)),2),"0000"))))</f>
        <v/>
      </c>
    </row>
    <row r="1275" spans="1:17" x14ac:dyDescent="0.2">
      <c r="A1275" t="str">
        <f>IF(Sync!$T1271="","",Sync!$T1271)</f>
        <v/>
      </c>
      <c r="B1275" t="str">
        <f t="shared" si="114"/>
        <v/>
      </c>
      <c r="C1275" t="str">
        <f t="shared" si="115"/>
        <v/>
      </c>
      <c r="D1275" t="str">
        <f t="shared" si="116"/>
        <v/>
      </c>
      <c r="E1275" t="str">
        <f t="shared" si="117"/>
        <v/>
      </c>
      <c r="F1275" t="str">
        <f t="shared" si="118"/>
        <v/>
      </c>
      <c r="G1275" t="str">
        <f>IF(OR($E1275="",$E1275="نامعتبر",Sync!$X1271=""),"",IF(AND(LEFT(UPPER(TRIM(Sync!$X1271)),2)="SL",IFERROR(VLOOKUP(Sync!$W1271,OpTbl,3,0),"")="فروش"),UPPER(TRIM(Sync!$X1271)),""))</f>
        <v/>
      </c>
      <c r="H1275" t="str">
        <f>IF($G1275="","",IF(Sync!$W1271="","",Sync!$W1271))</f>
        <v/>
      </c>
      <c r="I1275" t="str">
        <f>IF(OR($G1275="",Sync!$Y1271=""),"",Sync!$Y1271)</f>
        <v/>
      </c>
      <c r="J1275" t="str">
        <f>IF(OR($G1275="",Sync!$Z1271=""),"",Sync!$Z1271)</f>
        <v/>
      </c>
      <c r="K1275">
        <f>IF($G1275="",0,IF(Sync!$AA1271="",0,Sync!$AA1271))</f>
        <v>0</v>
      </c>
      <c r="L1275">
        <f>IF($G1275="",0,IF(Sync!$AB1271="",0,Sync!$AB1271))</f>
        <v>0</v>
      </c>
      <c r="M1275" t="str">
        <f t="shared" si="119"/>
        <v/>
      </c>
      <c r="N1275">
        <f>IF($G1275="",0,IF($H1275="مرجوعی فروش",-1,1)*IF(Sync!$AC1271="",0,Sync!$AC1271))</f>
        <v>0</v>
      </c>
      <c r="O1275" t="str">
        <f>IF(OR($G1275="",Sync!$V1271=""),"",Sync!$V1271)</f>
        <v/>
      </c>
      <c r="P1275" t="str">
        <f>IF(OR($G1275="",Sync!$AD1271=""),"",Sync!$AD1271)</f>
        <v/>
      </c>
      <c r="Q1275" t="str">
        <f>IF($G1275="","",IF(Sync!$U1271="","0000",IF(AND(ISNUMBER(Sync!$U1271),Sync!$U1271&gt;=0,Sync!$U1271&lt;1),RIGHT("00"&amp;HOUR(Sync!$U1271),2)&amp;RIGHT("00"&amp;MINUTE(Sync!$U1271),2),IFERROR(RIGHT("00"&amp;VALUE(LEFT(Sync!$U1271,FIND(":",Sync!$U1271)-1)),2)&amp;RIGHT("00"&amp;VALUE(MID(Sync!$U1271,FIND(":",Sync!$U1271)+1,2)),2),"0000"))))</f>
        <v/>
      </c>
    </row>
    <row r="1276" spans="1:17" x14ac:dyDescent="0.2">
      <c r="A1276" t="str">
        <f>IF(Sync!$T1272="","",Sync!$T1272)</f>
        <v/>
      </c>
      <c r="B1276" t="str">
        <f t="shared" si="114"/>
        <v/>
      </c>
      <c r="C1276" t="str">
        <f t="shared" si="115"/>
        <v/>
      </c>
      <c r="D1276" t="str">
        <f t="shared" si="116"/>
        <v/>
      </c>
      <c r="E1276" t="str">
        <f t="shared" si="117"/>
        <v/>
      </c>
      <c r="F1276" t="str">
        <f t="shared" si="118"/>
        <v/>
      </c>
      <c r="G1276" t="str">
        <f>IF(OR($E1276="",$E1276="نامعتبر",Sync!$X1272=""),"",IF(AND(LEFT(UPPER(TRIM(Sync!$X1272)),2)="SL",IFERROR(VLOOKUP(Sync!$W1272,OpTbl,3,0),"")="فروش"),UPPER(TRIM(Sync!$X1272)),""))</f>
        <v/>
      </c>
      <c r="H1276" t="str">
        <f>IF($G1276="","",IF(Sync!$W1272="","",Sync!$W1272))</f>
        <v/>
      </c>
      <c r="I1276" t="str">
        <f>IF(OR($G1276="",Sync!$Y1272=""),"",Sync!$Y1272)</f>
        <v/>
      </c>
      <c r="J1276" t="str">
        <f>IF(OR($G1276="",Sync!$Z1272=""),"",Sync!$Z1272)</f>
        <v/>
      </c>
      <c r="K1276">
        <f>IF($G1276="",0,IF(Sync!$AA1272="",0,Sync!$AA1272))</f>
        <v>0</v>
      </c>
      <c r="L1276">
        <f>IF($G1276="",0,IF(Sync!$AB1272="",0,Sync!$AB1272))</f>
        <v>0</v>
      </c>
      <c r="M1276" t="str">
        <f t="shared" si="119"/>
        <v/>
      </c>
      <c r="N1276">
        <f>IF($G1276="",0,IF($H1276="مرجوعی فروش",-1,1)*IF(Sync!$AC1272="",0,Sync!$AC1272))</f>
        <v>0</v>
      </c>
      <c r="O1276" t="str">
        <f>IF(OR($G1276="",Sync!$V1272=""),"",Sync!$V1272)</f>
        <v/>
      </c>
      <c r="P1276" t="str">
        <f>IF(OR($G1276="",Sync!$AD1272=""),"",Sync!$AD1272)</f>
        <v/>
      </c>
      <c r="Q1276" t="str">
        <f>IF($G1276="","",IF(Sync!$U1272="","0000",IF(AND(ISNUMBER(Sync!$U1272),Sync!$U1272&gt;=0,Sync!$U1272&lt;1),RIGHT("00"&amp;HOUR(Sync!$U1272),2)&amp;RIGHT("00"&amp;MINUTE(Sync!$U1272),2),IFERROR(RIGHT("00"&amp;VALUE(LEFT(Sync!$U1272,FIND(":",Sync!$U1272)-1)),2)&amp;RIGHT("00"&amp;VALUE(MID(Sync!$U1272,FIND(":",Sync!$U1272)+1,2)),2),"0000"))))</f>
        <v/>
      </c>
    </row>
    <row r="1277" spans="1:17" x14ac:dyDescent="0.2">
      <c r="A1277" t="str">
        <f>IF(Sync!$T1273="","",Sync!$T1273)</f>
        <v/>
      </c>
      <c r="B1277" t="str">
        <f t="shared" si="114"/>
        <v/>
      </c>
      <c r="C1277" t="str">
        <f t="shared" si="115"/>
        <v/>
      </c>
      <c r="D1277" t="str">
        <f t="shared" si="116"/>
        <v/>
      </c>
      <c r="E1277" t="str">
        <f t="shared" si="117"/>
        <v/>
      </c>
      <c r="F1277" t="str">
        <f t="shared" si="118"/>
        <v/>
      </c>
      <c r="G1277" t="str">
        <f>IF(OR($E1277="",$E1277="نامعتبر",Sync!$X1273=""),"",IF(AND(LEFT(UPPER(TRIM(Sync!$X1273)),2)="SL",IFERROR(VLOOKUP(Sync!$W1273,OpTbl,3,0),"")="فروش"),UPPER(TRIM(Sync!$X1273)),""))</f>
        <v/>
      </c>
      <c r="H1277" t="str">
        <f>IF($G1277="","",IF(Sync!$W1273="","",Sync!$W1273))</f>
        <v/>
      </c>
      <c r="I1277" t="str">
        <f>IF(OR($G1277="",Sync!$Y1273=""),"",Sync!$Y1273)</f>
        <v/>
      </c>
      <c r="J1277" t="str">
        <f>IF(OR($G1277="",Sync!$Z1273=""),"",Sync!$Z1273)</f>
        <v/>
      </c>
      <c r="K1277">
        <f>IF($G1277="",0,IF(Sync!$AA1273="",0,Sync!$AA1273))</f>
        <v>0</v>
      </c>
      <c r="L1277">
        <f>IF($G1277="",0,IF(Sync!$AB1273="",0,Sync!$AB1273))</f>
        <v>0</v>
      </c>
      <c r="M1277" t="str">
        <f t="shared" si="119"/>
        <v/>
      </c>
      <c r="N1277">
        <f>IF($G1277="",0,IF($H1277="مرجوعی فروش",-1,1)*IF(Sync!$AC1273="",0,Sync!$AC1273))</f>
        <v>0</v>
      </c>
      <c r="O1277" t="str">
        <f>IF(OR($G1277="",Sync!$V1273=""),"",Sync!$V1273)</f>
        <v/>
      </c>
      <c r="P1277" t="str">
        <f>IF(OR($G1277="",Sync!$AD1273=""),"",Sync!$AD1273)</f>
        <v/>
      </c>
      <c r="Q1277" t="str">
        <f>IF($G1277="","",IF(Sync!$U1273="","0000",IF(AND(ISNUMBER(Sync!$U1273),Sync!$U1273&gt;=0,Sync!$U1273&lt;1),RIGHT("00"&amp;HOUR(Sync!$U1273),2)&amp;RIGHT("00"&amp;MINUTE(Sync!$U1273),2),IFERROR(RIGHT("00"&amp;VALUE(LEFT(Sync!$U1273,FIND(":",Sync!$U1273)-1)),2)&amp;RIGHT("00"&amp;VALUE(MID(Sync!$U1273,FIND(":",Sync!$U1273)+1,2)),2),"0000"))))</f>
        <v/>
      </c>
    </row>
    <row r="1278" spans="1:17" x14ac:dyDescent="0.2">
      <c r="A1278" t="str">
        <f>IF(Sync!$T1274="","",Sync!$T1274)</f>
        <v/>
      </c>
      <c r="B1278" t="str">
        <f t="shared" si="114"/>
        <v/>
      </c>
      <c r="C1278" t="str">
        <f t="shared" si="115"/>
        <v/>
      </c>
      <c r="D1278" t="str">
        <f t="shared" si="116"/>
        <v/>
      </c>
      <c r="E1278" t="str">
        <f t="shared" si="117"/>
        <v/>
      </c>
      <c r="F1278" t="str">
        <f t="shared" si="118"/>
        <v/>
      </c>
      <c r="G1278" t="str">
        <f>IF(OR($E1278="",$E1278="نامعتبر",Sync!$X1274=""),"",IF(AND(LEFT(UPPER(TRIM(Sync!$X1274)),2)="SL",IFERROR(VLOOKUP(Sync!$W1274,OpTbl,3,0),"")="فروش"),UPPER(TRIM(Sync!$X1274)),""))</f>
        <v/>
      </c>
      <c r="H1278" t="str">
        <f>IF($G1278="","",IF(Sync!$W1274="","",Sync!$W1274))</f>
        <v/>
      </c>
      <c r="I1278" t="str">
        <f>IF(OR($G1278="",Sync!$Y1274=""),"",Sync!$Y1274)</f>
        <v/>
      </c>
      <c r="J1278" t="str">
        <f>IF(OR($G1278="",Sync!$Z1274=""),"",Sync!$Z1274)</f>
        <v/>
      </c>
      <c r="K1278">
        <f>IF($G1278="",0,IF(Sync!$AA1274="",0,Sync!$AA1274))</f>
        <v>0</v>
      </c>
      <c r="L1278">
        <f>IF($G1278="",0,IF(Sync!$AB1274="",0,Sync!$AB1274))</f>
        <v>0</v>
      </c>
      <c r="M1278" t="str">
        <f t="shared" si="119"/>
        <v/>
      </c>
      <c r="N1278">
        <f>IF($G1278="",0,IF($H1278="مرجوعی فروش",-1,1)*IF(Sync!$AC1274="",0,Sync!$AC1274))</f>
        <v>0</v>
      </c>
      <c r="O1278" t="str">
        <f>IF(OR($G1278="",Sync!$V1274=""),"",Sync!$V1274)</f>
        <v/>
      </c>
      <c r="P1278" t="str">
        <f>IF(OR($G1278="",Sync!$AD1274=""),"",Sync!$AD1274)</f>
        <v/>
      </c>
      <c r="Q1278" t="str">
        <f>IF($G1278="","",IF(Sync!$U1274="","0000",IF(AND(ISNUMBER(Sync!$U1274),Sync!$U1274&gt;=0,Sync!$U1274&lt;1),RIGHT("00"&amp;HOUR(Sync!$U1274),2)&amp;RIGHT("00"&amp;MINUTE(Sync!$U1274),2),IFERROR(RIGHT("00"&amp;VALUE(LEFT(Sync!$U1274,FIND(":",Sync!$U1274)-1)),2)&amp;RIGHT("00"&amp;VALUE(MID(Sync!$U1274,FIND(":",Sync!$U1274)+1,2)),2),"0000"))))</f>
        <v/>
      </c>
    </row>
    <row r="1279" spans="1:17" x14ac:dyDescent="0.2">
      <c r="A1279" t="str">
        <f>IF(Sync!$T1275="","",Sync!$T1275)</f>
        <v/>
      </c>
      <c r="B1279" t="str">
        <f t="shared" si="114"/>
        <v/>
      </c>
      <c r="C1279" t="str">
        <f t="shared" si="115"/>
        <v/>
      </c>
      <c r="D1279" t="str">
        <f t="shared" si="116"/>
        <v/>
      </c>
      <c r="E1279" t="str">
        <f t="shared" si="117"/>
        <v/>
      </c>
      <c r="F1279" t="str">
        <f t="shared" si="118"/>
        <v/>
      </c>
      <c r="G1279" t="str">
        <f>IF(OR($E1279="",$E1279="نامعتبر",Sync!$X1275=""),"",IF(AND(LEFT(UPPER(TRIM(Sync!$X1275)),2)="SL",IFERROR(VLOOKUP(Sync!$W1275,OpTbl,3,0),"")="فروش"),UPPER(TRIM(Sync!$X1275)),""))</f>
        <v/>
      </c>
      <c r="H1279" t="str">
        <f>IF($G1279="","",IF(Sync!$W1275="","",Sync!$W1275))</f>
        <v/>
      </c>
      <c r="I1279" t="str">
        <f>IF(OR($G1279="",Sync!$Y1275=""),"",Sync!$Y1275)</f>
        <v/>
      </c>
      <c r="J1279" t="str">
        <f>IF(OR($G1279="",Sync!$Z1275=""),"",Sync!$Z1275)</f>
        <v/>
      </c>
      <c r="K1279">
        <f>IF($G1279="",0,IF(Sync!$AA1275="",0,Sync!$AA1275))</f>
        <v>0</v>
      </c>
      <c r="L1279">
        <f>IF($G1279="",0,IF(Sync!$AB1275="",0,Sync!$AB1275))</f>
        <v>0</v>
      </c>
      <c r="M1279" t="str">
        <f t="shared" si="119"/>
        <v/>
      </c>
      <c r="N1279">
        <f>IF($G1279="",0,IF($H1279="مرجوعی فروش",-1,1)*IF(Sync!$AC1275="",0,Sync!$AC1275))</f>
        <v>0</v>
      </c>
      <c r="O1279" t="str">
        <f>IF(OR($G1279="",Sync!$V1275=""),"",Sync!$V1275)</f>
        <v/>
      </c>
      <c r="P1279" t="str">
        <f>IF(OR($G1279="",Sync!$AD1275=""),"",Sync!$AD1275)</f>
        <v/>
      </c>
      <c r="Q1279" t="str">
        <f>IF($G1279="","",IF(Sync!$U1275="","0000",IF(AND(ISNUMBER(Sync!$U1275),Sync!$U1275&gt;=0,Sync!$U1275&lt;1),RIGHT("00"&amp;HOUR(Sync!$U1275),2)&amp;RIGHT("00"&amp;MINUTE(Sync!$U1275),2),IFERROR(RIGHT("00"&amp;VALUE(LEFT(Sync!$U1275,FIND(":",Sync!$U1275)-1)),2)&amp;RIGHT("00"&amp;VALUE(MID(Sync!$U1275,FIND(":",Sync!$U1275)+1,2)),2),"0000"))))</f>
        <v/>
      </c>
    </row>
    <row r="1280" spans="1:17" x14ac:dyDescent="0.2">
      <c r="A1280" t="str">
        <f>IF(Sync!$T1276="","",Sync!$T1276)</f>
        <v/>
      </c>
      <c r="B1280" t="str">
        <f t="shared" si="114"/>
        <v/>
      </c>
      <c r="C1280" t="str">
        <f t="shared" si="115"/>
        <v/>
      </c>
      <c r="D1280" t="str">
        <f t="shared" si="116"/>
        <v/>
      </c>
      <c r="E1280" t="str">
        <f t="shared" si="117"/>
        <v/>
      </c>
      <c r="F1280" t="str">
        <f t="shared" si="118"/>
        <v/>
      </c>
      <c r="G1280" t="str">
        <f>IF(OR($E1280="",$E1280="نامعتبر",Sync!$X1276=""),"",IF(AND(LEFT(UPPER(TRIM(Sync!$X1276)),2)="SL",IFERROR(VLOOKUP(Sync!$W1276,OpTbl,3,0),"")="فروش"),UPPER(TRIM(Sync!$X1276)),""))</f>
        <v/>
      </c>
      <c r="H1280" t="str">
        <f>IF($G1280="","",IF(Sync!$W1276="","",Sync!$W1276))</f>
        <v/>
      </c>
      <c r="I1280" t="str">
        <f>IF(OR($G1280="",Sync!$Y1276=""),"",Sync!$Y1276)</f>
        <v/>
      </c>
      <c r="J1280" t="str">
        <f>IF(OR($G1280="",Sync!$Z1276=""),"",Sync!$Z1276)</f>
        <v/>
      </c>
      <c r="K1280">
        <f>IF($G1280="",0,IF(Sync!$AA1276="",0,Sync!$AA1276))</f>
        <v>0</v>
      </c>
      <c r="L1280">
        <f>IF($G1280="",0,IF(Sync!$AB1276="",0,Sync!$AB1276))</f>
        <v>0</v>
      </c>
      <c r="M1280" t="str">
        <f t="shared" si="119"/>
        <v/>
      </c>
      <c r="N1280">
        <f>IF($G1280="",0,IF($H1280="مرجوعی فروش",-1,1)*IF(Sync!$AC1276="",0,Sync!$AC1276))</f>
        <v>0</v>
      </c>
      <c r="O1280" t="str">
        <f>IF(OR($G1280="",Sync!$V1276=""),"",Sync!$V1276)</f>
        <v/>
      </c>
      <c r="P1280" t="str">
        <f>IF(OR($G1280="",Sync!$AD1276=""),"",Sync!$AD1276)</f>
        <v/>
      </c>
      <c r="Q1280" t="str">
        <f>IF($G1280="","",IF(Sync!$U1276="","0000",IF(AND(ISNUMBER(Sync!$U1276),Sync!$U1276&gt;=0,Sync!$U1276&lt;1),RIGHT("00"&amp;HOUR(Sync!$U1276),2)&amp;RIGHT("00"&amp;MINUTE(Sync!$U1276),2),IFERROR(RIGHT("00"&amp;VALUE(LEFT(Sync!$U1276,FIND(":",Sync!$U1276)-1)),2)&amp;RIGHT("00"&amp;VALUE(MID(Sync!$U1276,FIND(":",Sync!$U1276)+1,2)),2),"0000"))))</f>
        <v/>
      </c>
    </row>
    <row r="1281" spans="1:17" x14ac:dyDescent="0.2">
      <c r="A1281" t="str">
        <f>IF(Sync!$T1277="","",Sync!$T1277)</f>
        <v/>
      </c>
      <c r="B1281" t="str">
        <f t="shared" si="114"/>
        <v/>
      </c>
      <c r="C1281" t="str">
        <f t="shared" si="115"/>
        <v/>
      </c>
      <c r="D1281" t="str">
        <f t="shared" si="116"/>
        <v/>
      </c>
      <c r="E1281" t="str">
        <f t="shared" si="117"/>
        <v/>
      </c>
      <c r="F1281" t="str">
        <f t="shared" si="118"/>
        <v/>
      </c>
      <c r="G1281" t="str">
        <f>IF(OR($E1281="",$E1281="نامعتبر",Sync!$X1277=""),"",IF(AND(LEFT(UPPER(TRIM(Sync!$X1277)),2)="SL",IFERROR(VLOOKUP(Sync!$W1277,OpTbl,3,0),"")="فروش"),UPPER(TRIM(Sync!$X1277)),""))</f>
        <v/>
      </c>
      <c r="H1281" t="str">
        <f>IF($G1281="","",IF(Sync!$W1277="","",Sync!$W1277))</f>
        <v/>
      </c>
      <c r="I1281" t="str">
        <f>IF(OR($G1281="",Sync!$Y1277=""),"",Sync!$Y1277)</f>
        <v/>
      </c>
      <c r="J1281" t="str">
        <f>IF(OR($G1281="",Sync!$Z1277=""),"",Sync!$Z1277)</f>
        <v/>
      </c>
      <c r="K1281">
        <f>IF($G1281="",0,IF(Sync!$AA1277="",0,Sync!$AA1277))</f>
        <v>0</v>
      </c>
      <c r="L1281">
        <f>IF($G1281="",0,IF(Sync!$AB1277="",0,Sync!$AB1277))</f>
        <v>0</v>
      </c>
      <c r="M1281" t="str">
        <f t="shared" si="119"/>
        <v/>
      </c>
      <c r="N1281">
        <f>IF($G1281="",0,IF($H1281="مرجوعی فروش",-1,1)*IF(Sync!$AC1277="",0,Sync!$AC1277))</f>
        <v>0</v>
      </c>
      <c r="O1281" t="str">
        <f>IF(OR($G1281="",Sync!$V1277=""),"",Sync!$V1277)</f>
        <v/>
      </c>
      <c r="P1281" t="str">
        <f>IF(OR($G1281="",Sync!$AD1277=""),"",Sync!$AD1277)</f>
        <v/>
      </c>
      <c r="Q1281" t="str">
        <f>IF($G1281="","",IF(Sync!$U1277="","0000",IF(AND(ISNUMBER(Sync!$U1277),Sync!$U1277&gt;=0,Sync!$U1277&lt;1),RIGHT("00"&amp;HOUR(Sync!$U1277),2)&amp;RIGHT("00"&amp;MINUTE(Sync!$U1277),2),IFERROR(RIGHT("00"&amp;VALUE(LEFT(Sync!$U1277,FIND(":",Sync!$U1277)-1)),2)&amp;RIGHT("00"&amp;VALUE(MID(Sync!$U1277,FIND(":",Sync!$U1277)+1,2)),2),"0000"))))</f>
        <v/>
      </c>
    </row>
    <row r="1282" spans="1:17" x14ac:dyDescent="0.2">
      <c r="A1282" t="str">
        <f>IF(Sync!$T1278="","",Sync!$T1278)</f>
        <v/>
      </c>
      <c r="B1282" t="str">
        <f t="shared" si="114"/>
        <v/>
      </c>
      <c r="C1282" t="str">
        <f t="shared" si="115"/>
        <v/>
      </c>
      <c r="D1282" t="str">
        <f t="shared" si="116"/>
        <v/>
      </c>
      <c r="E1282" t="str">
        <f t="shared" si="117"/>
        <v/>
      </c>
      <c r="F1282" t="str">
        <f t="shared" si="118"/>
        <v/>
      </c>
      <c r="G1282" t="str">
        <f>IF(OR($E1282="",$E1282="نامعتبر",Sync!$X1278=""),"",IF(AND(LEFT(UPPER(TRIM(Sync!$X1278)),2)="SL",IFERROR(VLOOKUP(Sync!$W1278,OpTbl,3,0),"")="فروش"),UPPER(TRIM(Sync!$X1278)),""))</f>
        <v/>
      </c>
      <c r="H1282" t="str">
        <f>IF($G1282="","",IF(Sync!$W1278="","",Sync!$W1278))</f>
        <v/>
      </c>
      <c r="I1282" t="str">
        <f>IF(OR($G1282="",Sync!$Y1278=""),"",Sync!$Y1278)</f>
        <v/>
      </c>
      <c r="J1282" t="str">
        <f>IF(OR($G1282="",Sync!$Z1278=""),"",Sync!$Z1278)</f>
        <v/>
      </c>
      <c r="K1282">
        <f>IF($G1282="",0,IF(Sync!$AA1278="",0,Sync!$AA1278))</f>
        <v>0</v>
      </c>
      <c r="L1282">
        <f>IF($G1282="",0,IF(Sync!$AB1278="",0,Sync!$AB1278))</f>
        <v>0</v>
      </c>
      <c r="M1282" t="str">
        <f t="shared" si="119"/>
        <v/>
      </c>
      <c r="N1282">
        <f>IF($G1282="",0,IF($H1282="مرجوعی فروش",-1,1)*IF(Sync!$AC1278="",0,Sync!$AC1278))</f>
        <v>0</v>
      </c>
      <c r="O1282" t="str">
        <f>IF(OR($G1282="",Sync!$V1278=""),"",Sync!$V1278)</f>
        <v/>
      </c>
      <c r="P1282" t="str">
        <f>IF(OR($G1282="",Sync!$AD1278=""),"",Sync!$AD1278)</f>
        <v/>
      </c>
      <c r="Q1282" t="str">
        <f>IF($G1282="","",IF(Sync!$U1278="","0000",IF(AND(ISNUMBER(Sync!$U1278),Sync!$U1278&gt;=0,Sync!$U1278&lt;1),RIGHT("00"&amp;HOUR(Sync!$U1278),2)&amp;RIGHT("00"&amp;MINUTE(Sync!$U1278),2),IFERROR(RIGHT("00"&amp;VALUE(LEFT(Sync!$U1278,FIND(":",Sync!$U1278)-1)),2)&amp;RIGHT("00"&amp;VALUE(MID(Sync!$U1278,FIND(":",Sync!$U1278)+1,2)),2),"0000"))))</f>
        <v/>
      </c>
    </row>
    <row r="1283" spans="1:17" x14ac:dyDescent="0.2">
      <c r="A1283" t="str">
        <f>IF(Sync!$T1279="","",Sync!$T1279)</f>
        <v/>
      </c>
      <c r="B1283" t="str">
        <f t="shared" si="114"/>
        <v/>
      </c>
      <c r="C1283" t="str">
        <f t="shared" si="115"/>
        <v/>
      </c>
      <c r="D1283" t="str">
        <f t="shared" si="116"/>
        <v/>
      </c>
      <c r="E1283" t="str">
        <f t="shared" si="117"/>
        <v/>
      </c>
      <c r="F1283" t="str">
        <f t="shared" si="118"/>
        <v/>
      </c>
      <c r="G1283" t="str">
        <f>IF(OR($E1283="",$E1283="نامعتبر",Sync!$X1279=""),"",IF(AND(LEFT(UPPER(TRIM(Sync!$X1279)),2)="SL",IFERROR(VLOOKUP(Sync!$W1279,OpTbl,3,0),"")="فروش"),UPPER(TRIM(Sync!$X1279)),""))</f>
        <v/>
      </c>
      <c r="H1283" t="str">
        <f>IF($G1283="","",IF(Sync!$W1279="","",Sync!$W1279))</f>
        <v/>
      </c>
      <c r="I1283" t="str">
        <f>IF(OR($G1283="",Sync!$Y1279=""),"",Sync!$Y1279)</f>
        <v/>
      </c>
      <c r="J1283" t="str">
        <f>IF(OR($G1283="",Sync!$Z1279=""),"",Sync!$Z1279)</f>
        <v/>
      </c>
      <c r="K1283">
        <f>IF($G1283="",0,IF(Sync!$AA1279="",0,Sync!$AA1279))</f>
        <v>0</v>
      </c>
      <c r="L1283">
        <f>IF($G1283="",0,IF(Sync!$AB1279="",0,Sync!$AB1279))</f>
        <v>0</v>
      </c>
      <c r="M1283" t="str">
        <f t="shared" si="119"/>
        <v/>
      </c>
      <c r="N1283">
        <f>IF($G1283="",0,IF($H1283="مرجوعی فروش",-1,1)*IF(Sync!$AC1279="",0,Sync!$AC1279))</f>
        <v>0</v>
      </c>
      <c r="O1283" t="str">
        <f>IF(OR($G1283="",Sync!$V1279=""),"",Sync!$V1279)</f>
        <v/>
      </c>
      <c r="P1283" t="str">
        <f>IF(OR($G1283="",Sync!$AD1279=""),"",Sync!$AD1279)</f>
        <v/>
      </c>
      <c r="Q1283" t="str">
        <f>IF($G1283="","",IF(Sync!$U1279="","0000",IF(AND(ISNUMBER(Sync!$U1279),Sync!$U1279&gt;=0,Sync!$U1279&lt;1),RIGHT("00"&amp;HOUR(Sync!$U1279),2)&amp;RIGHT("00"&amp;MINUTE(Sync!$U1279),2),IFERROR(RIGHT("00"&amp;VALUE(LEFT(Sync!$U1279,FIND(":",Sync!$U1279)-1)),2)&amp;RIGHT("00"&amp;VALUE(MID(Sync!$U1279,FIND(":",Sync!$U1279)+1,2)),2),"0000"))))</f>
        <v/>
      </c>
    </row>
    <row r="1284" spans="1:17" x14ac:dyDescent="0.2">
      <c r="A1284" t="str">
        <f>IF(Sync!$T1280="","",Sync!$T1280)</f>
        <v/>
      </c>
      <c r="B1284" t="str">
        <f t="shared" si="114"/>
        <v/>
      </c>
      <c r="C1284" t="str">
        <f t="shared" si="115"/>
        <v/>
      </c>
      <c r="D1284" t="str">
        <f t="shared" si="116"/>
        <v/>
      </c>
      <c r="E1284" t="str">
        <f t="shared" si="117"/>
        <v/>
      </c>
      <c r="F1284" t="str">
        <f t="shared" si="118"/>
        <v/>
      </c>
      <c r="G1284" t="str">
        <f>IF(OR($E1284="",$E1284="نامعتبر",Sync!$X1280=""),"",IF(AND(LEFT(UPPER(TRIM(Sync!$X1280)),2)="SL",IFERROR(VLOOKUP(Sync!$W1280,OpTbl,3,0),"")="فروش"),UPPER(TRIM(Sync!$X1280)),""))</f>
        <v/>
      </c>
      <c r="H1284" t="str">
        <f>IF($G1284="","",IF(Sync!$W1280="","",Sync!$W1280))</f>
        <v/>
      </c>
      <c r="I1284" t="str">
        <f>IF(OR($G1284="",Sync!$Y1280=""),"",Sync!$Y1280)</f>
        <v/>
      </c>
      <c r="J1284" t="str">
        <f>IF(OR($G1284="",Sync!$Z1280=""),"",Sync!$Z1280)</f>
        <v/>
      </c>
      <c r="K1284">
        <f>IF($G1284="",0,IF(Sync!$AA1280="",0,Sync!$AA1280))</f>
        <v>0</v>
      </c>
      <c r="L1284">
        <f>IF($G1284="",0,IF(Sync!$AB1280="",0,Sync!$AB1280))</f>
        <v>0</v>
      </c>
      <c r="M1284" t="str">
        <f t="shared" si="119"/>
        <v/>
      </c>
      <c r="N1284">
        <f>IF($G1284="",0,IF($H1284="مرجوعی فروش",-1,1)*IF(Sync!$AC1280="",0,Sync!$AC1280))</f>
        <v>0</v>
      </c>
      <c r="O1284" t="str">
        <f>IF(OR($G1284="",Sync!$V1280=""),"",Sync!$V1280)</f>
        <v/>
      </c>
      <c r="P1284" t="str">
        <f>IF(OR($G1284="",Sync!$AD1280=""),"",Sync!$AD1280)</f>
        <v/>
      </c>
      <c r="Q1284" t="str">
        <f>IF($G1284="","",IF(Sync!$U1280="","0000",IF(AND(ISNUMBER(Sync!$U1280),Sync!$U1280&gt;=0,Sync!$U1280&lt;1),RIGHT("00"&amp;HOUR(Sync!$U1280),2)&amp;RIGHT("00"&amp;MINUTE(Sync!$U1280),2),IFERROR(RIGHT("00"&amp;VALUE(LEFT(Sync!$U1280,FIND(":",Sync!$U1280)-1)),2)&amp;RIGHT("00"&amp;VALUE(MID(Sync!$U1280,FIND(":",Sync!$U1280)+1,2)),2),"0000"))))</f>
        <v/>
      </c>
    </row>
    <row r="1285" spans="1:17" x14ac:dyDescent="0.2">
      <c r="A1285" t="str">
        <f>IF(Sync!$T1281="","",Sync!$T1281)</f>
        <v/>
      </c>
      <c r="B1285" t="str">
        <f t="shared" si="114"/>
        <v/>
      </c>
      <c r="C1285" t="str">
        <f t="shared" si="115"/>
        <v/>
      </c>
      <c r="D1285" t="str">
        <f t="shared" si="116"/>
        <v/>
      </c>
      <c r="E1285" t="str">
        <f t="shared" si="117"/>
        <v/>
      </c>
      <c r="F1285" t="str">
        <f t="shared" si="118"/>
        <v/>
      </c>
      <c r="G1285" t="str">
        <f>IF(OR($E1285="",$E1285="نامعتبر",Sync!$X1281=""),"",IF(AND(LEFT(UPPER(TRIM(Sync!$X1281)),2)="SL",IFERROR(VLOOKUP(Sync!$W1281,OpTbl,3,0),"")="فروش"),UPPER(TRIM(Sync!$X1281)),""))</f>
        <v/>
      </c>
      <c r="H1285" t="str">
        <f>IF($G1285="","",IF(Sync!$W1281="","",Sync!$W1281))</f>
        <v/>
      </c>
      <c r="I1285" t="str">
        <f>IF(OR($G1285="",Sync!$Y1281=""),"",Sync!$Y1281)</f>
        <v/>
      </c>
      <c r="J1285" t="str">
        <f>IF(OR($G1285="",Sync!$Z1281=""),"",Sync!$Z1281)</f>
        <v/>
      </c>
      <c r="K1285">
        <f>IF($G1285="",0,IF(Sync!$AA1281="",0,Sync!$AA1281))</f>
        <v>0</v>
      </c>
      <c r="L1285">
        <f>IF($G1285="",0,IF(Sync!$AB1281="",0,Sync!$AB1281))</f>
        <v>0</v>
      </c>
      <c r="M1285" t="str">
        <f t="shared" si="119"/>
        <v/>
      </c>
      <c r="N1285">
        <f>IF($G1285="",0,IF($H1285="مرجوعی فروش",-1,1)*IF(Sync!$AC1281="",0,Sync!$AC1281))</f>
        <v>0</v>
      </c>
      <c r="O1285" t="str">
        <f>IF(OR($G1285="",Sync!$V1281=""),"",Sync!$V1281)</f>
        <v/>
      </c>
      <c r="P1285" t="str">
        <f>IF(OR($G1285="",Sync!$AD1281=""),"",Sync!$AD1281)</f>
        <v/>
      </c>
      <c r="Q1285" t="str">
        <f>IF($G1285="","",IF(Sync!$U1281="","0000",IF(AND(ISNUMBER(Sync!$U1281),Sync!$U1281&gt;=0,Sync!$U1281&lt;1),RIGHT("00"&amp;HOUR(Sync!$U1281),2)&amp;RIGHT("00"&amp;MINUTE(Sync!$U1281),2),IFERROR(RIGHT("00"&amp;VALUE(LEFT(Sync!$U1281,FIND(":",Sync!$U1281)-1)),2)&amp;RIGHT("00"&amp;VALUE(MID(Sync!$U1281,FIND(":",Sync!$U1281)+1,2)),2),"0000"))))</f>
        <v/>
      </c>
    </row>
    <row r="1286" spans="1:17" x14ac:dyDescent="0.2">
      <c r="A1286" t="str">
        <f>IF(Sync!$T1282="","",Sync!$T1282)</f>
        <v/>
      </c>
      <c r="B1286" t="str">
        <f t="shared" si="114"/>
        <v/>
      </c>
      <c r="C1286" t="str">
        <f t="shared" si="115"/>
        <v/>
      </c>
      <c r="D1286" t="str">
        <f t="shared" si="116"/>
        <v/>
      </c>
      <c r="E1286" t="str">
        <f t="shared" si="117"/>
        <v/>
      </c>
      <c r="F1286" t="str">
        <f t="shared" si="118"/>
        <v/>
      </c>
      <c r="G1286" t="str">
        <f>IF(OR($E1286="",$E1286="نامعتبر",Sync!$X1282=""),"",IF(AND(LEFT(UPPER(TRIM(Sync!$X1282)),2)="SL",IFERROR(VLOOKUP(Sync!$W1282,OpTbl,3,0),"")="فروش"),UPPER(TRIM(Sync!$X1282)),""))</f>
        <v/>
      </c>
      <c r="H1286" t="str">
        <f>IF($G1286="","",IF(Sync!$W1282="","",Sync!$W1282))</f>
        <v/>
      </c>
      <c r="I1286" t="str">
        <f>IF(OR($G1286="",Sync!$Y1282=""),"",Sync!$Y1282)</f>
        <v/>
      </c>
      <c r="J1286" t="str">
        <f>IF(OR($G1286="",Sync!$Z1282=""),"",Sync!$Z1282)</f>
        <v/>
      </c>
      <c r="K1286">
        <f>IF($G1286="",0,IF(Sync!$AA1282="",0,Sync!$AA1282))</f>
        <v>0</v>
      </c>
      <c r="L1286">
        <f>IF($G1286="",0,IF(Sync!$AB1282="",0,Sync!$AB1282))</f>
        <v>0</v>
      </c>
      <c r="M1286" t="str">
        <f t="shared" si="119"/>
        <v/>
      </c>
      <c r="N1286">
        <f>IF($G1286="",0,IF($H1286="مرجوعی فروش",-1,1)*IF(Sync!$AC1282="",0,Sync!$AC1282))</f>
        <v>0</v>
      </c>
      <c r="O1286" t="str">
        <f>IF(OR($G1286="",Sync!$V1282=""),"",Sync!$V1282)</f>
        <v/>
      </c>
      <c r="P1286" t="str">
        <f>IF(OR($G1286="",Sync!$AD1282=""),"",Sync!$AD1282)</f>
        <v/>
      </c>
      <c r="Q1286" t="str">
        <f>IF($G1286="","",IF(Sync!$U1282="","0000",IF(AND(ISNUMBER(Sync!$U1282),Sync!$U1282&gt;=0,Sync!$U1282&lt;1),RIGHT("00"&amp;HOUR(Sync!$U1282),2)&amp;RIGHT("00"&amp;MINUTE(Sync!$U1282),2),IFERROR(RIGHT("00"&amp;VALUE(LEFT(Sync!$U1282,FIND(":",Sync!$U1282)-1)),2)&amp;RIGHT("00"&amp;VALUE(MID(Sync!$U1282,FIND(":",Sync!$U1282)+1,2)),2),"0000"))))</f>
        <v/>
      </c>
    </row>
    <row r="1287" spans="1:17" x14ac:dyDescent="0.2">
      <c r="A1287" t="str">
        <f>IF(Sync!$T1283="","",Sync!$T1283)</f>
        <v/>
      </c>
      <c r="B1287" t="str">
        <f t="shared" si="114"/>
        <v/>
      </c>
      <c r="C1287" t="str">
        <f t="shared" si="115"/>
        <v/>
      </c>
      <c r="D1287" t="str">
        <f t="shared" si="116"/>
        <v/>
      </c>
      <c r="E1287" t="str">
        <f t="shared" si="117"/>
        <v/>
      </c>
      <c r="F1287" t="str">
        <f t="shared" si="118"/>
        <v/>
      </c>
      <c r="G1287" t="str">
        <f>IF(OR($E1287="",$E1287="نامعتبر",Sync!$X1283=""),"",IF(AND(LEFT(UPPER(TRIM(Sync!$X1283)),2)="SL",IFERROR(VLOOKUP(Sync!$W1283,OpTbl,3,0),"")="فروش"),UPPER(TRIM(Sync!$X1283)),""))</f>
        <v/>
      </c>
      <c r="H1287" t="str">
        <f>IF($G1287="","",IF(Sync!$W1283="","",Sync!$W1283))</f>
        <v/>
      </c>
      <c r="I1287" t="str">
        <f>IF(OR($G1287="",Sync!$Y1283=""),"",Sync!$Y1283)</f>
        <v/>
      </c>
      <c r="J1287" t="str">
        <f>IF(OR($G1287="",Sync!$Z1283=""),"",Sync!$Z1283)</f>
        <v/>
      </c>
      <c r="K1287">
        <f>IF($G1287="",0,IF(Sync!$AA1283="",0,Sync!$AA1283))</f>
        <v>0</v>
      </c>
      <c r="L1287">
        <f>IF($G1287="",0,IF(Sync!$AB1283="",0,Sync!$AB1283))</f>
        <v>0</v>
      </c>
      <c r="M1287" t="str">
        <f t="shared" si="119"/>
        <v/>
      </c>
      <c r="N1287">
        <f>IF($G1287="",0,IF($H1287="مرجوعی فروش",-1,1)*IF(Sync!$AC1283="",0,Sync!$AC1283))</f>
        <v>0</v>
      </c>
      <c r="O1287" t="str">
        <f>IF(OR($G1287="",Sync!$V1283=""),"",Sync!$V1283)</f>
        <v/>
      </c>
      <c r="P1287" t="str">
        <f>IF(OR($G1287="",Sync!$AD1283=""),"",Sync!$AD1283)</f>
        <v/>
      </c>
      <c r="Q1287" t="str">
        <f>IF($G1287="","",IF(Sync!$U1283="","0000",IF(AND(ISNUMBER(Sync!$U1283),Sync!$U1283&gt;=0,Sync!$U1283&lt;1),RIGHT("00"&amp;HOUR(Sync!$U1283),2)&amp;RIGHT("00"&amp;MINUTE(Sync!$U1283),2),IFERROR(RIGHT("00"&amp;VALUE(LEFT(Sync!$U1283,FIND(":",Sync!$U1283)-1)),2)&amp;RIGHT("00"&amp;VALUE(MID(Sync!$U1283,FIND(":",Sync!$U1283)+1,2)),2),"0000"))))</f>
        <v/>
      </c>
    </row>
    <row r="1288" spans="1:17" x14ac:dyDescent="0.2">
      <c r="A1288" t="str">
        <f>IF(Sync!$T1284="","",Sync!$T1284)</f>
        <v/>
      </c>
      <c r="B1288" t="str">
        <f t="shared" si="114"/>
        <v/>
      </c>
      <c r="C1288" t="str">
        <f t="shared" si="115"/>
        <v/>
      </c>
      <c r="D1288" t="str">
        <f t="shared" si="116"/>
        <v/>
      </c>
      <c r="E1288" t="str">
        <f t="shared" si="117"/>
        <v/>
      </c>
      <c r="F1288" t="str">
        <f t="shared" si="118"/>
        <v/>
      </c>
      <c r="G1288" t="str">
        <f>IF(OR($E1288="",$E1288="نامعتبر",Sync!$X1284=""),"",IF(AND(LEFT(UPPER(TRIM(Sync!$X1284)),2)="SL",IFERROR(VLOOKUP(Sync!$W1284,OpTbl,3,0),"")="فروش"),UPPER(TRIM(Sync!$X1284)),""))</f>
        <v/>
      </c>
      <c r="H1288" t="str">
        <f>IF($G1288="","",IF(Sync!$W1284="","",Sync!$W1284))</f>
        <v/>
      </c>
      <c r="I1288" t="str">
        <f>IF(OR($G1288="",Sync!$Y1284=""),"",Sync!$Y1284)</f>
        <v/>
      </c>
      <c r="J1288" t="str">
        <f>IF(OR($G1288="",Sync!$Z1284=""),"",Sync!$Z1284)</f>
        <v/>
      </c>
      <c r="K1288">
        <f>IF($G1288="",0,IF(Sync!$AA1284="",0,Sync!$AA1284))</f>
        <v>0</v>
      </c>
      <c r="L1288">
        <f>IF($G1288="",0,IF(Sync!$AB1284="",0,Sync!$AB1284))</f>
        <v>0</v>
      </c>
      <c r="M1288" t="str">
        <f t="shared" si="119"/>
        <v/>
      </c>
      <c r="N1288">
        <f>IF($G1288="",0,IF($H1288="مرجوعی فروش",-1,1)*IF(Sync!$AC1284="",0,Sync!$AC1284))</f>
        <v>0</v>
      </c>
      <c r="O1288" t="str">
        <f>IF(OR($G1288="",Sync!$V1284=""),"",Sync!$V1284)</f>
        <v/>
      </c>
      <c r="P1288" t="str">
        <f>IF(OR($G1288="",Sync!$AD1284=""),"",Sync!$AD1284)</f>
        <v/>
      </c>
      <c r="Q1288" t="str">
        <f>IF($G1288="","",IF(Sync!$U1284="","0000",IF(AND(ISNUMBER(Sync!$U1284),Sync!$U1284&gt;=0,Sync!$U1284&lt;1),RIGHT("00"&amp;HOUR(Sync!$U1284),2)&amp;RIGHT("00"&amp;MINUTE(Sync!$U1284),2),IFERROR(RIGHT("00"&amp;VALUE(LEFT(Sync!$U1284,FIND(":",Sync!$U1284)-1)),2)&amp;RIGHT("00"&amp;VALUE(MID(Sync!$U1284,FIND(":",Sync!$U1284)+1,2)),2),"0000"))))</f>
        <v/>
      </c>
    </row>
    <row r="1289" spans="1:17" x14ac:dyDescent="0.2">
      <c r="A1289" t="str">
        <f>IF(Sync!$T1285="","",Sync!$T1285)</f>
        <v/>
      </c>
      <c r="B1289" t="str">
        <f t="shared" si="114"/>
        <v/>
      </c>
      <c r="C1289" t="str">
        <f t="shared" si="115"/>
        <v/>
      </c>
      <c r="D1289" t="str">
        <f t="shared" si="116"/>
        <v/>
      </c>
      <c r="E1289" t="str">
        <f t="shared" si="117"/>
        <v/>
      </c>
      <c r="F1289" t="str">
        <f t="shared" si="118"/>
        <v/>
      </c>
      <c r="G1289" t="str">
        <f>IF(OR($E1289="",$E1289="نامعتبر",Sync!$X1285=""),"",IF(AND(LEFT(UPPER(TRIM(Sync!$X1285)),2)="SL",IFERROR(VLOOKUP(Sync!$W1285,OpTbl,3,0),"")="فروش"),UPPER(TRIM(Sync!$X1285)),""))</f>
        <v/>
      </c>
      <c r="H1289" t="str">
        <f>IF($G1289="","",IF(Sync!$W1285="","",Sync!$W1285))</f>
        <v/>
      </c>
      <c r="I1289" t="str">
        <f>IF(OR($G1289="",Sync!$Y1285=""),"",Sync!$Y1285)</f>
        <v/>
      </c>
      <c r="J1289" t="str">
        <f>IF(OR($G1289="",Sync!$Z1285=""),"",Sync!$Z1285)</f>
        <v/>
      </c>
      <c r="K1289">
        <f>IF($G1289="",0,IF(Sync!$AA1285="",0,Sync!$AA1285))</f>
        <v>0</v>
      </c>
      <c r="L1289">
        <f>IF($G1289="",0,IF(Sync!$AB1285="",0,Sync!$AB1285))</f>
        <v>0</v>
      </c>
      <c r="M1289" t="str">
        <f t="shared" si="119"/>
        <v/>
      </c>
      <c r="N1289">
        <f>IF($G1289="",0,IF($H1289="مرجوعی فروش",-1,1)*IF(Sync!$AC1285="",0,Sync!$AC1285))</f>
        <v>0</v>
      </c>
      <c r="O1289" t="str">
        <f>IF(OR($G1289="",Sync!$V1285=""),"",Sync!$V1285)</f>
        <v/>
      </c>
      <c r="P1289" t="str">
        <f>IF(OR($G1289="",Sync!$AD1285=""),"",Sync!$AD1285)</f>
        <v/>
      </c>
      <c r="Q1289" t="str">
        <f>IF($G1289="","",IF(Sync!$U1285="","0000",IF(AND(ISNUMBER(Sync!$U1285),Sync!$U1285&gt;=0,Sync!$U1285&lt;1),RIGHT("00"&amp;HOUR(Sync!$U1285),2)&amp;RIGHT("00"&amp;MINUTE(Sync!$U1285),2),IFERROR(RIGHT("00"&amp;VALUE(LEFT(Sync!$U1285,FIND(":",Sync!$U1285)-1)),2)&amp;RIGHT("00"&amp;VALUE(MID(Sync!$U1285,FIND(":",Sync!$U1285)+1,2)),2),"0000"))))</f>
        <v/>
      </c>
    </row>
    <row r="1290" spans="1:17" x14ac:dyDescent="0.2">
      <c r="A1290" t="str">
        <f>IF(Sync!$T1286="","",Sync!$T1286)</f>
        <v/>
      </c>
      <c r="B1290" t="str">
        <f t="shared" ref="B1290:B1353" si="120">IF($A1290="","",IF(ISNUMBER($A1290),IF(AND($A1290&gt;=10000101,$A1290&lt;=99991231),INT($A1290/10000),""),IFERROR(VALUE(TRIM(LEFT($A1290,FIND("/",$A1290)-1))),"")))</f>
        <v/>
      </c>
      <c r="C1290" t="str">
        <f t="shared" ref="C1290:C1353" si="121">IF(OR($A1290="",$B1290=""),"",IF(ISNUMBER($A1290),INT(MOD($A1290,10000)/100),IFERROR(VALUE(TRIM(LEFT(MID($A1290,FIND("/",$A1290)+1,20),FIND("/",MID($A1290,FIND("/",$A1290)+1,20))-1))),"")))</f>
        <v/>
      </c>
      <c r="D1290" t="str">
        <f t="shared" ref="D1290:D1353" si="122">IF(OR($A1290="",$B1290=""),"",IF(ISNUMBER($A1290),MOD($A1290,100),IFERROR(VALUE(TRIM(MID(MID($A1290,FIND("/",$A1290)+1,20),FIND("/",MID($A1290,FIND("/",$A1290)+1,20))+1,20))),"")))</f>
        <v/>
      </c>
      <c r="E1290" t="str">
        <f t="shared" ref="E1290:E1353" si="123">IF($A1290="","",IF(OR($B1290="",$C1290="",$D1290="",$B1290&lt;1300,$B1290&gt;1500,$C1290&lt;1,$C1290&gt;12,$D1290&lt;1,$D1290&gt;31),"نامعتبر",RIGHT("0000"&amp;$B1290,4)&amp;"/"&amp;RIGHT("00"&amp;$C1290,2)&amp;"/"&amp;RIGHT("00"&amp;$D1290,2)))</f>
        <v/>
      </c>
      <c r="F1290" t="str">
        <f t="shared" ref="F1290:F1353" si="124">IF(OR($E1290="",$E1290="نامعتبر"),"",LEFT($E1290,4)&amp;"/"&amp;MID($E1290,6,2))</f>
        <v/>
      </c>
      <c r="G1290" t="str">
        <f>IF(OR($E1290="",$E1290="نامعتبر",Sync!$X1286=""),"",IF(AND(LEFT(UPPER(TRIM(Sync!$X1286)),2)="SL",IFERROR(VLOOKUP(Sync!$W1286,OpTbl,3,0),"")="فروش"),UPPER(TRIM(Sync!$X1286)),""))</f>
        <v/>
      </c>
      <c r="H1290" t="str">
        <f>IF($G1290="","",IF(Sync!$W1286="","",Sync!$W1286))</f>
        <v/>
      </c>
      <c r="I1290" t="str">
        <f>IF(OR($G1290="",Sync!$Y1286=""),"",Sync!$Y1286)</f>
        <v/>
      </c>
      <c r="J1290" t="str">
        <f>IF(OR($G1290="",Sync!$Z1286=""),"",Sync!$Z1286)</f>
        <v/>
      </c>
      <c r="K1290">
        <f>IF($G1290="",0,IF(Sync!$AA1286="",0,Sync!$AA1286))</f>
        <v>0</v>
      </c>
      <c r="L1290">
        <f>IF($G1290="",0,IF(Sync!$AB1286="",0,Sync!$AB1286))</f>
        <v>0</v>
      </c>
      <c r="M1290" t="str">
        <f t="shared" ref="M1290:M1353" si="125">IF($G1290="","",IF($H1290="مرجوعی فروش",-1,1)*($K1290-$L1290*IFERROR(VLOOKUP("P01",ParamTbl,3,0),1.5)))</f>
        <v/>
      </c>
      <c r="N1290">
        <f>IF($G1290="",0,IF($H1290="مرجوعی فروش",-1,1)*IF(Sync!$AC1286="",0,Sync!$AC1286))</f>
        <v>0</v>
      </c>
      <c r="O1290" t="str">
        <f>IF(OR($G1290="",Sync!$V1286=""),"",Sync!$V1286)</f>
        <v/>
      </c>
      <c r="P1290" t="str">
        <f>IF(OR($G1290="",Sync!$AD1286=""),"",Sync!$AD1286)</f>
        <v/>
      </c>
      <c r="Q1290" t="str">
        <f>IF($G1290="","",IF(Sync!$U1286="","0000",IF(AND(ISNUMBER(Sync!$U1286),Sync!$U1286&gt;=0,Sync!$U1286&lt;1),RIGHT("00"&amp;HOUR(Sync!$U1286),2)&amp;RIGHT("00"&amp;MINUTE(Sync!$U1286),2),IFERROR(RIGHT("00"&amp;VALUE(LEFT(Sync!$U1286,FIND(":",Sync!$U1286)-1)),2)&amp;RIGHT("00"&amp;VALUE(MID(Sync!$U1286,FIND(":",Sync!$U1286)+1,2)),2),"0000"))))</f>
        <v/>
      </c>
    </row>
    <row r="1291" spans="1:17" x14ac:dyDescent="0.2">
      <c r="A1291" t="str">
        <f>IF(Sync!$T1287="","",Sync!$T1287)</f>
        <v/>
      </c>
      <c r="B1291" t="str">
        <f t="shared" si="120"/>
        <v/>
      </c>
      <c r="C1291" t="str">
        <f t="shared" si="121"/>
        <v/>
      </c>
      <c r="D1291" t="str">
        <f t="shared" si="122"/>
        <v/>
      </c>
      <c r="E1291" t="str">
        <f t="shared" si="123"/>
        <v/>
      </c>
      <c r="F1291" t="str">
        <f t="shared" si="124"/>
        <v/>
      </c>
      <c r="G1291" t="str">
        <f>IF(OR($E1291="",$E1291="نامعتبر",Sync!$X1287=""),"",IF(AND(LEFT(UPPER(TRIM(Sync!$X1287)),2)="SL",IFERROR(VLOOKUP(Sync!$W1287,OpTbl,3,0),"")="فروش"),UPPER(TRIM(Sync!$X1287)),""))</f>
        <v/>
      </c>
      <c r="H1291" t="str">
        <f>IF($G1291="","",IF(Sync!$W1287="","",Sync!$W1287))</f>
        <v/>
      </c>
      <c r="I1291" t="str">
        <f>IF(OR($G1291="",Sync!$Y1287=""),"",Sync!$Y1287)</f>
        <v/>
      </c>
      <c r="J1291" t="str">
        <f>IF(OR($G1291="",Sync!$Z1287=""),"",Sync!$Z1287)</f>
        <v/>
      </c>
      <c r="K1291">
        <f>IF($G1291="",0,IF(Sync!$AA1287="",0,Sync!$AA1287))</f>
        <v>0</v>
      </c>
      <c r="L1291">
        <f>IF($G1291="",0,IF(Sync!$AB1287="",0,Sync!$AB1287))</f>
        <v>0</v>
      </c>
      <c r="M1291" t="str">
        <f t="shared" si="125"/>
        <v/>
      </c>
      <c r="N1291">
        <f>IF($G1291="",0,IF($H1291="مرجوعی فروش",-1,1)*IF(Sync!$AC1287="",0,Sync!$AC1287))</f>
        <v>0</v>
      </c>
      <c r="O1291" t="str">
        <f>IF(OR($G1291="",Sync!$V1287=""),"",Sync!$V1287)</f>
        <v/>
      </c>
      <c r="P1291" t="str">
        <f>IF(OR($G1291="",Sync!$AD1287=""),"",Sync!$AD1287)</f>
        <v/>
      </c>
      <c r="Q1291" t="str">
        <f>IF($G1291="","",IF(Sync!$U1287="","0000",IF(AND(ISNUMBER(Sync!$U1287),Sync!$U1287&gt;=0,Sync!$U1287&lt;1),RIGHT("00"&amp;HOUR(Sync!$U1287),2)&amp;RIGHT("00"&amp;MINUTE(Sync!$U1287),2),IFERROR(RIGHT("00"&amp;VALUE(LEFT(Sync!$U1287,FIND(":",Sync!$U1287)-1)),2)&amp;RIGHT("00"&amp;VALUE(MID(Sync!$U1287,FIND(":",Sync!$U1287)+1,2)),2),"0000"))))</f>
        <v/>
      </c>
    </row>
    <row r="1292" spans="1:17" x14ac:dyDescent="0.2">
      <c r="A1292" t="str">
        <f>IF(Sync!$T1288="","",Sync!$T1288)</f>
        <v/>
      </c>
      <c r="B1292" t="str">
        <f t="shared" si="120"/>
        <v/>
      </c>
      <c r="C1292" t="str">
        <f t="shared" si="121"/>
        <v/>
      </c>
      <c r="D1292" t="str">
        <f t="shared" si="122"/>
        <v/>
      </c>
      <c r="E1292" t="str">
        <f t="shared" si="123"/>
        <v/>
      </c>
      <c r="F1292" t="str">
        <f t="shared" si="124"/>
        <v/>
      </c>
      <c r="G1292" t="str">
        <f>IF(OR($E1292="",$E1292="نامعتبر",Sync!$X1288=""),"",IF(AND(LEFT(UPPER(TRIM(Sync!$X1288)),2)="SL",IFERROR(VLOOKUP(Sync!$W1288,OpTbl,3,0),"")="فروش"),UPPER(TRIM(Sync!$X1288)),""))</f>
        <v/>
      </c>
      <c r="H1292" t="str">
        <f>IF($G1292="","",IF(Sync!$W1288="","",Sync!$W1288))</f>
        <v/>
      </c>
      <c r="I1292" t="str">
        <f>IF(OR($G1292="",Sync!$Y1288=""),"",Sync!$Y1288)</f>
        <v/>
      </c>
      <c r="J1292" t="str">
        <f>IF(OR($G1292="",Sync!$Z1288=""),"",Sync!$Z1288)</f>
        <v/>
      </c>
      <c r="K1292">
        <f>IF($G1292="",0,IF(Sync!$AA1288="",0,Sync!$AA1288))</f>
        <v>0</v>
      </c>
      <c r="L1292">
        <f>IF($G1292="",0,IF(Sync!$AB1288="",0,Sync!$AB1288))</f>
        <v>0</v>
      </c>
      <c r="M1292" t="str">
        <f t="shared" si="125"/>
        <v/>
      </c>
      <c r="N1292">
        <f>IF($G1292="",0,IF($H1292="مرجوعی فروش",-1,1)*IF(Sync!$AC1288="",0,Sync!$AC1288))</f>
        <v>0</v>
      </c>
      <c r="O1292" t="str">
        <f>IF(OR($G1292="",Sync!$V1288=""),"",Sync!$V1288)</f>
        <v/>
      </c>
      <c r="P1292" t="str">
        <f>IF(OR($G1292="",Sync!$AD1288=""),"",Sync!$AD1288)</f>
        <v/>
      </c>
      <c r="Q1292" t="str">
        <f>IF($G1292="","",IF(Sync!$U1288="","0000",IF(AND(ISNUMBER(Sync!$U1288),Sync!$U1288&gt;=0,Sync!$U1288&lt;1),RIGHT("00"&amp;HOUR(Sync!$U1288),2)&amp;RIGHT("00"&amp;MINUTE(Sync!$U1288),2),IFERROR(RIGHT("00"&amp;VALUE(LEFT(Sync!$U1288,FIND(":",Sync!$U1288)-1)),2)&amp;RIGHT("00"&amp;VALUE(MID(Sync!$U1288,FIND(":",Sync!$U1288)+1,2)),2),"0000"))))</f>
        <v/>
      </c>
    </row>
    <row r="1293" spans="1:17" x14ac:dyDescent="0.2">
      <c r="A1293" t="str">
        <f>IF(Sync!$T1289="","",Sync!$T1289)</f>
        <v/>
      </c>
      <c r="B1293" t="str">
        <f t="shared" si="120"/>
        <v/>
      </c>
      <c r="C1293" t="str">
        <f t="shared" si="121"/>
        <v/>
      </c>
      <c r="D1293" t="str">
        <f t="shared" si="122"/>
        <v/>
      </c>
      <c r="E1293" t="str">
        <f t="shared" si="123"/>
        <v/>
      </c>
      <c r="F1293" t="str">
        <f t="shared" si="124"/>
        <v/>
      </c>
      <c r="G1293" t="str">
        <f>IF(OR($E1293="",$E1293="نامعتبر",Sync!$X1289=""),"",IF(AND(LEFT(UPPER(TRIM(Sync!$X1289)),2)="SL",IFERROR(VLOOKUP(Sync!$W1289,OpTbl,3,0),"")="فروش"),UPPER(TRIM(Sync!$X1289)),""))</f>
        <v/>
      </c>
      <c r="H1293" t="str">
        <f>IF($G1293="","",IF(Sync!$W1289="","",Sync!$W1289))</f>
        <v/>
      </c>
      <c r="I1293" t="str">
        <f>IF(OR($G1293="",Sync!$Y1289=""),"",Sync!$Y1289)</f>
        <v/>
      </c>
      <c r="J1293" t="str">
        <f>IF(OR($G1293="",Sync!$Z1289=""),"",Sync!$Z1289)</f>
        <v/>
      </c>
      <c r="K1293">
        <f>IF($G1293="",0,IF(Sync!$AA1289="",0,Sync!$AA1289))</f>
        <v>0</v>
      </c>
      <c r="L1293">
        <f>IF($G1293="",0,IF(Sync!$AB1289="",0,Sync!$AB1289))</f>
        <v>0</v>
      </c>
      <c r="M1293" t="str">
        <f t="shared" si="125"/>
        <v/>
      </c>
      <c r="N1293">
        <f>IF($G1293="",0,IF($H1293="مرجوعی فروش",-1,1)*IF(Sync!$AC1289="",0,Sync!$AC1289))</f>
        <v>0</v>
      </c>
      <c r="O1293" t="str">
        <f>IF(OR($G1293="",Sync!$V1289=""),"",Sync!$V1289)</f>
        <v/>
      </c>
      <c r="P1293" t="str">
        <f>IF(OR($G1293="",Sync!$AD1289=""),"",Sync!$AD1289)</f>
        <v/>
      </c>
      <c r="Q1293" t="str">
        <f>IF($G1293="","",IF(Sync!$U1289="","0000",IF(AND(ISNUMBER(Sync!$U1289),Sync!$U1289&gt;=0,Sync!$U1289&lt;1),RIGHT("00"&amp;HOUR(Sync!$U1289),2)&amp;RIGHT("00"&amp;MINUTE(Sync!$U1289),2),IFERROR(RIGHT("00"&amp;VALUE(LEFT(Sync!$U1289,FIND(":",Sync!$U1289)-1)),2)&amp;RIGHT("00"&amp;VALUE(MID(Sync!$U1289,FIND(":",Sync!$U1289)+1,2)),2),"0000"))))</f>
        <v/>
      </c>
    </row>
    <row r="1294" spans="1:17" x14ac:dyDescent="0.2">
      <c r="A1294" t="str">
        <f>IF(Sync!$T1290="","",Sync!$T1290)</f>
        <v/>
      </c>
      <c r="B1294" t="str">
        <f t="shared" si="120"/>
        <v/>
      </c>
      <c r="C1294" t="str">
        <f t="shared" si="121"/>
        <v/>
      </c>
      <c r="D1294" t="str">
        <f t="shared" si="122"/>
        <v/>
      </c>
      <c r="E1294" t="str">
        <f t="shared" si="123"/>
        <v/>
      </c>
      <c r="F1294" t="str">
        <f t="shared" si="124"/>
        <v/>
      </c>
      <c r="G1294" t="str">
        <f>IF(OR($E1294="",$E1294="نامعتبر",Sync!$X1290=""),"",IF(AND(LEFT(UPPER(TRIM(Sync!$X1290)),2)="SL",IFERROR(VLOOKUP(Sync!$W1290,OpTbl,3,0),"")="فروش"),UPPER(TRIM(Sync!$X1290)),""))</f>
        <v/>
      </c>
      <c r="H1294" t="str">
        <f>IF($G1294="","",IF(Sync!$W1290="","",Sync!$W1290))</f>
        <v/>
      </c>
      <c r="I1294" t="str">
        <f>IF(OR($G1294="",Sync!$Y1290=""),"",Sync!$Y1290)</f>
        <v/>
      </c>
      <c r="J1294" t="str">
        <f>IF(OR($G1294="",Sync!$Z1290=""),"",Sync!$Z1290)</f>
        <v/>
      </c>
      <c r="K1294">
        <f>IF($G1294="",0,IF(Sync!$AA1290="",0,Sync!$AA1290))</f>
        <v>0</v>
      </c>
      <c r="L1294">
        <f>IF($G1294="",0,IF(Sync!$AB1290="",0,Sync!$AB1290))</f>
        <v>0</v>
      </c>
      <c r="M1294" t="str">
        <f t="shared" si="125"/>
        <v/>
      </c>
      <c r="N1294">
        <f>IF($G1294="",0,IF($H1294="مرجوعی فروش",-1,1)*IF(Sync!$AC1290="",0,Sync!$AC1290))</f>
        <v>0</v>
      </c>
      <c r="O1294" t="str">
        <f>IF(OR($G1294="",Sync!$V1290=""),"",Sync!$V1290)</f>
        <v/>
      </c>
      <c r="P1294" t="str">
        <f>IF(OR($G1294="",Sync!$AD1290=""),"",Sync!$AD1290)</f>
        <v/>
      </c>
      <c r="Q1294" t="str">
        <f>IF($G1294="","",IF(Sync!$U1290="","0000",IF(AND(ISNUMBER(Sync!$U1290),Sync!$U1290&gt;=0,Sync!$U1290&lt;1),RIGHT("00"&amp;HOUR(Sync!$U1290),2)&amp;RIGHT("00"&amp;MINUTE(Sync!$U1290),2),IFERROR(RIGHT("00"&amp;VALUE(LEFT(Sync!$U1290,FIND(":",Sync!$U1290)-1)),2)&amp;RIGHT("00"&amp;VALUE(MID(Sync!$U1290,FIND(":",Sync!$U1290)+1,2)),2),"0000"))))</f>
        <v/>
      </c>
    </row>
    <row r="1295" spans="1:17" x14ac:dyDescent="0.2">
      <c r="A1295" t="str">
        <f>IF(Sync!$T1291="","",Sync!$T1291)</f>
        <v/>
      </c>
      <c r="B1295" t="str">
        <f t="shared" si="120"/>
        <v/>
      </c>
      <c r="C1295" t="str">
        <f t="shared" si="121"/>
        <v/>
      </c>
      <c r="D1295" t="str">
        <f t="shared" si="122"/>
        <v/>
      </c>
      <c r="E1295" t="str">
        <f t="shared" si="123"/>
        <v/>
      </c>
      <c r="F1295" t="str">
        <f t="shared" si="124"/>
        <v/>
      </c>
      <c r="G1295" t="str">
        <f>IF(OR($E1295="",$E1295="نامعتبر",Sync!$X1291=""),"",IF(AND(LEFT(UPPER(TRIM(Sync!$X1291)),2)="SL",IFERROR(VLOOKUP(Sync!$W1291,OpTbl,3,0),"")="فروش"),UPPER(TRIM(Sync!$X1291)),""))</f>
        <v/>
      </c>
      <c r="H1295" t="str">
        <f>IF($G1295="","",IF(Sync!$W1291="","",Sync!$W1291))</f>
        <v/>
      </c>
      <c r="I1295" t="str">
        <f>IF(OR($G1295="",Sync!$Y1291=""),"",Sync!$Y1291)</f>
        <v/>
      </c>
      <c r="J1295" t="str">
        <f>IF(OR($G1295="",Sync!$Z1291=""),"",Sync!$Z1291)</f>
        <v/>
      </c>
      <c r="K1295">
        <f>IF($G1295="",0,IF(Sync!$AA1291="",0,Sync!$AA1291))</f>
        <v>0</v>
      </c>
      <c r="L1295">
        <f>IF($G1295="",0,IF(Sync!$AB1291="",0,Sync!$AB1291))</f>
        <v>0</v>
      </c>
      <c r="M1295" t="str">
        <f t="shared" si="125"/>
        <v/>
      </c>
      <c r="N1295">
        <f>IF($G1295="",0,IF($H1295="مرجوعی فروش",-1,1)*IF(Sync!$AC1291="",0,Sync!$AC1291))</f>
        <v>0</v>
      </c>
      <c r="O1295" t="str">
        <f>IF(OR($G1295="",Sync!$V1291=""),"",Sync!$V1291)</f>
        <v/>
      </c>
      <c r="P1295" t="str">
        <f>IF(OR($G1295="",Sync!$AD1291=""),"",Sync!$AD1291)</f>
        <v/>
      </c>
      <c r="Q1295" t="str">
        <f>IF($G1295="","",IF(Sync!$U1291="","0000",IF(AND(ISNUMBER(Sync!$U1291),Sync!$U1291&gt;=0,Sync!$U1291&lt;1),RIGHT("00"&amp;HOUR(Sync!$U1291),2)&amp;RIGHT("00"&amp;MINUTE(Sync!$U1291),2),IFERROR(RIGHT("00"&amp;VALUE(LEFT(Sync!$U1291,FIND(":",Sync!$U1291)-1)),2)&amp;RIGHT("00"&amp;VALUE(MID(Sync!$U1291,FIND(":",Sync!$U1291)+1,2)),2),"0000"))))</f>
        <v/>
      </c>
    </row>
    <row r="1296" spans="1:17" x14ac:dyDescent="0.2">
      <c r="A1296" t="str">
        <f>IF(Sync!$T1292="","",Sync!$T1292)</f>
        <v/>
      </c>
      <c r="B1296" t="str">
        <f t="shared" si="120"/>
        <v/>
      </c>
      <c r="C1296" t="str">
        <f t="shared" si="121"/>
        <v/>
      </c>
      <c r="D1296" t="str">
        <f t="shared" si="122"/>
        <v/>
      </c>
      <c r="E1296" t="str">
        <f t="shared" si="123"/>
        <v/>
      </c>
      <c r="F1296" t="str">
        <f t="shared" si="124"/>
        <v/>
      </c>
      <c r="G1296" t="str">
        <f>IF(OR($E1296="",$E1296="نامعتبر",Sync!$X1292=""),"",IF(AND(LEFT(UPPER(TRIM(Sync!$X1292)),2)="SL",IFERROR(VLOOKUP(Sync!$W1292,OpTbl,3,0),"")="فروش"),UPPER(TRIM(Sync!$X1292)),""))</f>
        <v/>
      </c>
      <c r="H1296" t="str">
        <f>IF($G1296="","",IF(Sync!$W1292="","",Sync!$W1292))</f>
        <v/>
      </c>
      <c r="I1296" t="str">
        <f>IF(OR($G1296="",Sync!$Y1292=""),"",Sync!$Y1292)</f>
        <v/>
      </c>
      <c r="J1296" t="str">
        <f>IF(OR($G1296="",Sync!$Z1292=""),"",Sync!$Z1292)</f>
        <v/>
      </c>
      <c r="K1296">
        <f>IF($G1296="",0,IF(Sync!$AA1292="",0,Sync!$AA1292))</f>
        <v>0</v>
      </c>
      <c r="L1296">
        <f>IF($G1296="",0,IF(Sync!$AB1292="",0,Sync!$AB1292))</f>
        <v>0</v>
      </c>
      <c r="M1296" t="str">
        <f t="shared" si="125"/>
        <v/>
      </c>
      <c r="N1296">
        <f>IF($G1296="",0,IF($H1296="مرجوعی فروش",-1,1)*IF(Sync!$AC1292="",0,Sync!$AC1292))</f>
        <v>0</v>
      </c>
      <c r="O1296" t="str">
        <f>IF(OR($G1296="",Sync!$V1292=""),"",Sync!$V1292)</f>
        <v/>
      </c>
      <c r="P1296" t="str">
        <f>IF(OR($G1296="",Sync!$AD1292=""),"",Sync!$AD1292)</f>
        <v/>
      </c>
      <c r="Q1296" t="str">
        <f>IF($G1296="","",IF(Sync!$U1292="","0000",IF(AND(ISNUMBER(Sync!$U1292),Sync!$U1292&gt;=0,Sync!$U1292&lt;1),RIGHT("00"&amp;HOUR(Sync!$U1292),2)&amp;RIGHT("00"&amp;MINUTE(Sync!$U1292),2),IFERROR(RIGHT("00"&amp;VALUE(LEFT(Sync!$U1292,FIND(":",Sync!$U1292)-1)),2)&amp;RIGHT("00"&amp;VALUE(MID(Sync!$U1292,FIND(":",Sync!$U1292)+1,2)),2),"0000"))))</f>
        <v/>
      </c>
    </row>
    <row r="1297" spans="1:17" x14ac:dyDescent="0.2">
      <c r="A1297" t="str">
        <f>IF(Sync!$T1293="","",Sync!$T1293)</f>
        <v/>
      </c>
      <c r="B1297" t="str">
        <f t="shared" si="120"/>
        <v/>
      </c>
      <c r="C1297" t="str">
        <f t="shared" si="121"/>
        <v/>
      </c>
      <c r="D1297" t="str">
        <f t="shared" si="122"/>
        <v/>
      </c>
      <c r="E1297" t="str">
        <f t="shared" si="123"/>
        <v/>
      </c>
      <c r="F1297" t="str">
        <f t="shared" si="124"/>
        <v/>
      </c>
      <c r="G1297" t="str">
        <f>IF(OR($E1297="",$E1297="نامعتبر",Sync!$X1293=""),"",IF(AND(LEFT(UPPER(TRIM(Sync!$X1293)),2)="SL",IFERROR(VLOOKUP(Sync!$W1293,OpTbl,3,0),"")="فروش"),UPPER(TRIM(Sync!$X1293)),""))</f>
        <v/>
      </c>
      <c r="H1297" t="str">
        <f>IF($G1297="","",IF(Sync!$W1293="","",Sync!$W1293))</f>
        <v/>
      </c>
      <c r="I1297" t="str">
        <f>IF(OR($G1297="",Sync!$Y1293=""),"",Sync!$Y1293)</f>
        <v/>
      </c>
      <c r="J1297" t="str">
        <f>IF(OR($G1297="",Sync!$Z1293=""),"",Sync!$Z1293)</f>
        <v/>
      </c>
      <c r="K1297">
        <f>IF($G1297="",0,IF(Sync!$AA1293="",0,Sync!$AA1293))</f>
        <v>0</v>
      </c>
      <c r="L1297">
        <f>IF($G1297="",0,IF(Sync!$AB1293="",0,Sync!$AB1293))</f>
        <v>0</v>
      </c>
      <c r="M1297" t="str">
        <f t="shared" si="125"/>
        <v/>
      </c>
      <c r="N1297">
        <f>IF($G1297="",0,IF($H1297="مرجوعی فروش",-1,1)*IF(Sync!$AC1293="",0,Sync!$AC1293))</f>
        <v>0</v>
      </c>
      <c r="O1297" t="str">
        <f>IF(OR($G1297="",Sync!$V1293=""),"",Sync!$V1293)</f>
        <v/>
      </c>
      <c r="P1297" t="str">
        <f>IF(OR($G1297="",Sync!$AD1293=""),"",Sync!$AD1293)</f>
        <v/>
      </c>
      <c r="Q1297" t="str">
        <f>IF($G1297="","",IF(Sync!$U1293="","0000",IF(AND(ISNUMBER(Sync!$U1293),Sync!$U1293&gt;=0,Sync!$U1293&lt;1),RIGHT("00"&amp;HOUR(Sync!$U1293),2)&amp;RIGHT("00"&amp;MINUTE(Sync!$U1293),2),IFERROR(RIGHT("00"&amp;VALUE(LEFT(Sync!$U1293,FIND(":",Sync!$U1293)-1)),2)&amp;RIGHT("00"&amp;VALUE(MID(Sync!$U1293,FIND(":",Sync!$U1293)+1,2)),2),"0000"))))</f>
        <v/>
      </c>
    </row>
    <row r="1298" spans="1:17" x14ac:dyDescent="0.2">
      <c r="A1298" t="str">
        <f>IF(Sync!$T1294="","",Sync!$T1294)</f>
        <v/>
      </c>
      <c r="B1298" t="str">
        <f t="shared" si="120"/>
        <v/>
      </c>
      <c r="C1298" t="str">
        <f t="shared" si="121"/>
        <v/>
      </c>
      <c r="D1298" t="str">
        <f t="shared" si="122"/>
        <v/>
      </c>
      <c r="E1298" t="str">
        <f t="shared" si="123"/>
        <v/>
      </c>
      <c r="F1298" t="str">
        <f t="shared" si="124"/>
        <v/>
      </c>
      <c r="G1298" t="str">
        <f>IF(OR($E1298="",$E1298="نامعتبر",Sync!$X1294=""),"",IF(AND(LEFT(UPPER(TRIM(Sync!$X1294)),2)="SL",IFERROR(VLOOKUP(Sync!$W1294,OpTbl,3,0),"")="فروش"),UPPER(TRIM(Sync!$X1294)),""))</f>
        <v/>
      </c>
      <c r="H1298" t="str">
        <f>IF($G1298="","",IF(Sync!$W1294="","",Sync!$W1294))</f>
        <v/>
      </c>
      <c r="I1298" t="str">
        <f>IF(OR($G1298="",Sync!$Y1294=""),"",Sync!$Y1294)</f>
        <v/>
      </c>
      <c r="J1298" t="str">
        <f>IF(OR($G1298="",Sync!$Z1294=""),"",Sync!$Z1294)</f>
        <v/>
      </c>
      <c r="K1298">
        <f>IF($G1298="",0,IF(Sync!$AA1294="",0,Sync!$AA1294))</f>
        <v>0</v>
      </c>
      <c r="L1298">
        <f>IF($G1298="",0,IF(Sync!$AB1294="",0,Sync!$AB1294))</f>
        <v>0</v>
      </c>
      <c r="M1298" t="str">
        <f t="shared" si="125"/>
        <v/>
      </c>
      <c r="N1298">
        <f>IF($G1298="",0,IF($H1298="مرجوعی فروش",-1,1)*IF(Sync!$AC1294="",0,Sync!$AC1294))</f>
        <v>0</v>
      </c>
      <c r="O1298" t="str">
        <f>IF(OR($G1298="",Sync!$V1294=""),"",Sync!$V1294)</f>
        <v/>
      </c>
      <c r="P1298" t="str">
        <f>IF(OR($G1298="",Sync!$AD1294=""),"",Sync!$AD1294)</f>
        <v/>
      </c>
      <c r="Q1298" t="str">
        <f>IF($G1298="","",IF(Sync!$U1294="","0000",IF(AND(ISNUMBER(Sync!$U1294),Sync!$U1294&gt;=0,Sync!$U1294&lt;1),RIGHT("00"&amp;HOUR(Sync!$U1294),2)&amp;RIGHT("00"&amp;MINUTE(Sync!$U1294),2),IFERROR(RIGHT("00"&amp;VALUE(LEFT(Sync!$U1294,FIND(":",Sync!$U1294)-1)),2)&amp;RIGHT("00"&amp;VALUE(MID(Sync!$U1294,FIND(":",Sync!$U1294)+1,2)),2),"0000"))))</f>
        <v/>
      </c>
    </row>
    <row r="1299" spans="1:17" x14ac:dyDescent="0.2">
      <c r="A1299" t="str">
        <f>IF(Sync!$T1295="","",Sync!$T1295)</f>
        <v/>
      </c>
      <c r="B1299" t="str">
        <f t="shared" si="120"/>
        <v/>
      </c>
      <c r="C1299" t="str">
        <f t="shared" si="121"/>
        <v/>
      </c>
      <c r="D1299" t="str">
        <f t="shared" si="122"/>
        <v/>
      </c>
      <c r="E1299" t="str">
        <f t="shared" si="123"/>
        <v/>
      </c>
      <c r="F1299" t="str">
        <f t="shared" si="124"/>
        <v/>
      </c>
      <c r="G1299" t="str">
        <f>IF(OR($E1299="",$E1299="نامعتبر",Sync!$X1295=""),"",IF(AND(LEFT(UPPER(TRIM(Sync!$X1295)),2)="SL",IFERROR(VLOOKUP(Sync!$W1295,OpTbl,3,0),"")="فروش"),UPPER(TRIM(Sync!$X1295)),""))</f>
        <v/>
      </c>
      <c r="H1299" t="str">
        <f>IF($G1299="","",IF(Sync!$W1295="","",Sync!$W1295))</f>
        <v/>
      </c>
      <c r="I1299" t="str">
        <f>IF(OR($G1299="",Sync!$Y1295=""),"",Sync!$Y1295)</f>
        <v/>
      </c>
      <c r="J1299" t="str">
        <f>IF(OR($G1299="",Sync!$Z1295=""),"",Sync!$Z1295)</f>
        <v/>
      </c>
      <c r="K1299">
        <f>IF($G1299="",0,IF(Sync!$AA1295="",0,Sync!$AA1295))</f>
        <v>0</v>
      </c>
      <c r="L1299">
        <f>IF($G1299="",0,IF(Sync!$AB1295="",0,Sync!$AB1295))</f>
        <v>0</v>
      </c>
      <c r="M1299" t="str">
        <f t="shared" si="125"/>
        <v/>
      </c>
      <c r="N1299">
        <f>IF($G1299="",0,IF($H1299="مرجوعی فروش",-1,1)*IF(Sync!$AC1295="",0,Sync!$AC1295))</f>
        <v>0</v>
      </c>
      <c r="O1299" t="str">
        <f>IF(OR($G1299="",Sync!$V1295=""),"",Sync!$V1295)</f>
        <v/>
      </c>
      <c r="P1299" t="str">
        <f>IF(OR($G1299="",Sync!$AD1295=""),"",Sync!$AD1295)</f>
        <v/>
      </c>
      <c r="Q1299" t="str">
        <f>IF($G1299="","",IF(Sync!$U1295="","0000",IF(AND(ISNUMBER(Sync!$U1295),Sync!$U1295&gt;=0,Sync!$U1295&lt;1),RIGHT("00"&amp;HOUR(Sync!$U1295),2)&amp;RIGHT("00"&amp;MINUTE(Sync!$U1295),2),IFERROR(RIGHT("00"&amp;VALUE(LEFT(Sync!$U1295,FIND(":",Sync!$U1295)-1)),2)&amp;RIGHT("00"&amp;VALUE(MID(Sync!$U1295,FIND(":",Sync!$U1295)+1,2)),2),"0000"))))</f>
        <v/>
      </c>
    </row>
    <row r="1300" spans="1:17" x14ac:dyDescent="0.2">
      <c r="A1300" t="str">
        <f>IF(Sync!$T1296="","",Sync!$T1296)</f>
        <v/>
      </c>
      <c r="B1300" t="str">
        <f t="shared" si="120"/>
        <v/>
      </c>
      <c r="C1300" t="str">
        <f t="shared" si="121"/>
        <v/>
      </c>
      <c r="D1300" t="str">
        <f t="shared" si="122"/>
        <v/>
      </c>
      <c r="E1300" t="str">
        <f t="shared" si="123"/>
        <v/>
      </c>
      <c r="F1300" t="str">
        <f t="shared" si="124"/>
        <v/>
      </c>
      <c r="G1300" t="str">
        <f>IF(OR($E1300="",$E1300="نامعتبر",Sync!$X1296=""),"",IF(AND(LEFT(UPPER(TRIM(Sync!$X1296)),2)="SL",IFERROR(VLOOKUP(Sync!$W1296,OpTbl,3,0),"")="فروش"),UPPER(TRIM(Sync!$X1296)),""))</f>
        <v/>
      </c>
      <c r="H1300" t="str">
        <f>IF($G1300="","",IF(Sync!$W1296="","",Sync!$W1296))</f>
        <v/>
      </c>
      <c r="I1300" t="str">
        <f>IF(OR($G1300="",Sync!$Y1296=""),"",Sync!$Y1296)</f>
        <v/>
      </c>
      <c r="J1300" t="str">
        <f>IF(OR($G1300="",Sync!$Z1296=""),"",Sync!$Z1296)</f>
        <v/>
      </c>
      <c r="K1300">
        <f>IF($G1300="",0,IF(Sync!$AA1296="",0,Sync!$AA1296))</f>
        <v>0</v>
      </c>
      <c r="L1300">
        <f>IF($G1300="",0,IF(Sync!$AB1296="",0,Sync!$AB1296))</f>
        <v>0</v>
      </c>
      <c r="M1300" t="str">
        <f t="shared" si="125"/>
        <v/>
      </c>
      <c r="N1300">
        <f>IF($G1300="",0,IF($H1300="مرجوعی فروش",-1,1)*IF(Sync!$AC1296="",0,Sync!$AC1296))</f>
        <v>0</v>
      </c>
      <c r="O1300" t="str">
        <f>IF(OR($G1300="",Sync!$V1296=""),"",Sync!$V1296)</f>
        <v/>
      </c>
      <c r="P1300" t="str">
        <f>IF(OR($G1300="",Sync!$AD1296=""),"",Sync!$AD1296)</f>
        <v/>
      </c>
      <c r="Q1300" t="str">
        <f>IF($G1300="","",IF(Sync!$U1296="","0000",IF(AND(ISNUMBER(Sync!$U1296),Sync!$U1296&gt;=0,Sync!$U1296&lt;1),RIGHT("00"&amp;HOUR(Sync!$U1296),2)&amp;RIGHT("00"&amp;MINUTE(Sync!$U1296),2),IFERROR(RIGHT("00"&amp;VALUE(LEFT(Sync!$U1296,FIND(":",Sync!$U1296)-1)),2)&amp;RIGHT("00"&amp;VALUE(MID(Sync!$U1296,FIND(":",Sync!$U1296)+1,2)),2),"0000"))))</f>
        <v/>
      </c>
    </row>
    <row r="1301" spans="1:17" x14ac:dyDescent="0.2">
      <c r="A1301" t="str">
        <f>IF(Sync!$T1297="","",Sync!$T1297)</f>
        <v/>
      </c>
      <c r="B1301" t="str">
        <f t="shared" si="120"/>
        <v/>
      </c>
      <c r="C1301" t="str">
        <f t="shared" si="121"/>
        <v/>
      </c>
      <c r="D1301" t="str">
        <f t="shared" si="122"/>
        <v/>
      </c>
      <c r="E1301" t="str">
        <f t="shared" si="123"/>
        <v/>
      </c>
      <c r="F1301" t="str">
        <f t="shared" si="124"/>
        <v/>
      </c>
      <c r="G1301" t="str">
        <f>IF(OR($E1301="",$E1301="نامعتبر",Sync!$X1297=""),"",IF(AND(LEFT(UPPER(TRIM(Sync!$X1297)),2)="SL",IFERROR(VLOOKUP(Sync!$W1297,OpTbl,3,0),"")="فروش"),UPPER(TRIM(Sync!$X1297)),""))</f>
        <v/>
      </c>
      <c r="H1301" t="str">
        <f>IF($G1301="","",IF(Sync!$W1297="","",Sync!$W1297))</f>
        <v/>
      </c>
      <c r="I1301" t="str">
        <f>IF(OR($G1301="",Sync!$Y1297=""),"",Sync!$Y1297)</f>
        <v/>
      </c>
      <c r="J1301" t="str">
        <f>IF(OR($G1301="",Sync!$Z1297=""),"",Sync!$Z1297)</f>
        <v/>
      </c>
      <c r="K1301">
        <f>IF($G1301="",0,IF(Sync!$AA1297="",0,Sync!$AA1297))</f>
        <v>0</v>
      </c>
      <c r="L1301">
        <f>IF($G1301="",0,IF(Sync!$AB1297="",0,Sync!$AB1297))</f>
        <v>0</v>
      </c>
      <c r="M1301" t="str">
        <f t="shared" si="125"/>
        <v/>
      </c>
      <c r="N1301">
        <f>IF($G1301="",0,IF($H1301="مرجوعی فروش",-1,1)*IF(Sync!$AC1297="",0,Sync!$AC1297))</f>
        <v>0</v>
      </c>
      <c r="O1301" t="str">
        <f>IF(OR($G1301="",Sync!$V1297=""),"",Sync!$V1297)</f>
        <v/>
      </c>
      <c r="P1301" t="str">
        <f>IF(OR($G1301="",Sync!$AD1297=""),"",Sync!$AD1297)</f>
        <v/>
      </c>
      <c r="Q1301" t="str">
        <f>IF($G1301="","",IF(Sync!$U1297="","0000",IF(AND(ISNUMBER(Sync!$U1297),Sync!$U1297&gt;=0,Sync!$U1297&lt;1),RIGHT("00"&amp;HOUR(Sync!$U1297),2)&amp;RIGHT("00"&amp;MINUTE(Sync!$U1297),2),IFERROR(RIGHT("00"&amp;VALUE(LEFT(Sync!$U1297,FIND(":",Sync!$U1297)-1)),2)&amp;RIGHT("00"&amp;VALUE(MID(Sync!$U1297,FIND(":",Sync!$U1297)+1,2)),2),"0000"))))</f>
        <v/>
      </c>
    </row>
    <row r="1302" spans="1:17" x14ac:dyDescent="0.2">
      <c r="A1302" t="str">
        <f>IF(Sync!$T1298="","",Sync!$T1298)</f>
        <v/>
      </c>
      <c r="B1302" t="str">
        <f t="shared" si="120"/>
        <v/>
      </c>
      <c r="C1302" t="str">
        <f t="shared" si="121"/>
        <v/>
      </c>
      <c r="D1302" t="str">
        <f t="shared" si="122"/>
        <v/>
      </c>
      <c r="E1302" t="str">
        <f t="shared" si="123"/>
        <v/>
      </c>
      <c r="F1302" t="str">
        <f t="shared" si="124"/>
        <v/>
      </c>
      <c r="G1302" t="str">
        <f>IF(OR($E1302="",$E1302="نامعتبر",Sync!$X1298=""),"",IF(AND(LEFT(UPPER(TRIM(Sync!$X1298)),2)="SL",IFERROR(VLOOKUP(Sync!$W1298,OpTbl,3,0),"")="فروش"),UPPER(TRIM(Sync!$X1298)),""))</f>
        <v/>
      </c>
      <c r="H1302" t="str">
        <f>IF($G1302="","",IF(Sync!$W1298="","",Sync!$W1298))</f>
        <v/>
      </c>
      <c r="I1302" t="str">
        <f>IF(OR($G1302="",Sync!$Y1298=""),"",Sync!$Y1298)</f>
        <v/>
      </c>
      <c r="J1302" t="str">
        <f>IF(OR($G1302="",Sync!$Z1298=""),"",Sync!$Z1298)</f>
        <v/>
      </c>
      <c r="K1302">
        <f>IF($G1302="",0,IF(Sync!$AA1298="",0,Sync!$AA1298))</f>
        <v>0</v>
      </c>
      <c r="L1302">
        <f>IF($G1302="",0,IF(Sync!$AB1298="",0,Sync!$AB1298))</f>
        <v>0</v>
      </c>
      <c r="M1302" t="str">
        <f t="shared" si="125"/>
        <v/>
      </c>
      <c r="N1302">
        <f>IF($G1302="",0,IF($H1302="مرجوعی فروش",-1,1)*IF(Sync!$AC1298="",0,Sync!$AC1298))</f>
        <v>0</v>
      </c>
      <c r="O1302" t="str">
        <f>IF(OR($G1302="",Sync!$V1298=""),"",Sync!$V1298)</f>
        <v/>
      </c>
      <c r="P1302" t="str">
        <f>IF(OR($G1302="",Sync!$AD1298=""),"",Sync!$AD1298)</f>
        <v/>
      </c>
      <c r="Q1302" t="str">
        <f>IF($G1302="","",IF(Sync!$U1298="","0000",IF(AND(ISNUMBER(Sync!$U1298),Sync!$U1298&gt;=0,Sync!$U1298&lt;1),RIGHT("00"&amp;HOUR(Sync!$U1298),2)&amp;RIGHT("00"&amp;MINUTE(Sync!$U1298),2),IFERROR(RIGHT("00"&amp;VALUE(LEFT(Sync!$U1298,FIND(":",Sync!$U1298)-1)),2)&amp;RIGHT("00"&amp;VALUE(MID(Sync!$U1298,FIND(":",Sync!$U1298)+1,2)),2),"0000"))))</f>
        <v/>
      </c>
    </row>
    <row r="1303" spans="1:17" x14ac:dyDescent="0.2">
      <c r="A1303" t="str">
        <f>IF(Sync!$T1299="","",Sync!$T1299)</f>
        <v/>
      </c>
      <c r="B1303" t="str">
        <f t="shared" si="120"/>
        <v/>
      </c>
      <c r="C1303" t="str">
        <f t="shared" si="121"/>
        <v/>
      </c>
      <c r="D1303" t="str">
        <f t="shared" si="122"/>
        <v/>
      </c>
      <c r="E1303" t="str">
        <f t="shared" si="123"/>
        <v/>
      </c>
      <c r="F1303" t="str">
        <f t="shared" si="124"/>
        <v/>
      </c>
      <c r="G1303" t="str">
        <f>IF(OR($E1303="",$E1303="نامعتبر",Sync!$X1299=""),"",IF(AND(LEFT(UPPER(TRIM(Sync!$X1299)),2)="SL",IFERROR(VLOOKUP(Sync!$W1299,OpTbl,3,0),"")="فروش"),UPPER(TRIM(Sync!$X1299)),""))</f>
        <v/>
      </c>
      <c r="H1303" t="str">
        <f>IF($G1303="","",IF(Sync!$W1299="","",Sync!$W1299))</f>
        <v/>
      </c>
      <c r="I1303" t="str">
        <f>IF(OR($G1303="",Sync!$Y1299=""),"",Sync!$Y1299)</f>
        <v/>
      </c>
      <c r="J1303" t="str">
        <f>IF(OR($G1303="",Sync!$Z1299=""),"",Sync!$Z1299)</f>
        <v/>
      </c>
      <c r="K1303">
        <f>IF($G1303="",0,IF(Sync!$AA1299="",0,Sync!$AA1299))</f>
        <v>0</v>
      </c>
      <c r="L1303">
        <f>IF($G1303="",0,IF(Sync!$AB1299="",0,Sync!$AB1299))</f>
        <v>0</v>
      </c>
      <c r="M1303" t="str">
        <f t="shared" si="125"/>
        <v/>
      </c>
      <c r="N1303">
        <f>IF($G1303="",0,IF($H1303="مرجوعی فروش",-1,1)*IF(Sync!$AC1299="",0,Sync!$AC1299))</f>
        <v>0</v>
      </c>
      <c r="O1303" t="str">
        <f>IF(OR($G1303="",Sync!$V1299=""),"",Sync!$V1299)</f>
        <v/>
      </c>
      <c r="P1303" t="str">
        <f>IF(OR($G1303="",Sync!$AD1299=""),"",Sync!$AD1299)</f>
        <v/>
      </c>
      <c r="Q1303" t="str">
        <f>IF($G1303="","",IF(Sync!$U1299="","0000",IF(AND(ISNUMBER(Sync!$U1299),Sync!$U1299&gt;=0,Sync!$U1299&lt;1),RIGHT("00"&amp;HOUR(Sync!$U1299),2)&amp;RIGHT("00"&amp;MINUTE(Sync!$U1299),2),IFERROR(RIGHT("00"&amp;VALUE(LEFT(Sync!$U1299,FIND(":",Sync!$U1299)-1)),2)&amp;RIGHT("00"&amp;VALUE(MID(Sync!$U1299,FIND(":",Sync!$U1299)+1,2)),2),"0000"))))</f>
        <v/>
      </c>
    </row>
    <row r="1304" spans="1:17" x14ac:dyDescent="0.2">
      <c r="A1304" t="str">
        <f>IF(Sync!$T1300="","",Sync!$T1300)</f>
        <v/>
      </c>
      <c r="B1304" t="str">
        <f t="shared" si="120"/>
        <v/>
      </c>
      <c r="C1304" t="str">
        <f t="shared" si="121"/>
        <v/>
      </c>
      <c r="D1304" t="str">
        <f t="shared" si="122"/>
        <v/>
      </c>
      <c r="E1304" t="str">
        <f t="shared" si="123"/>
        <v/>
      </c>
      <c r="F1304" t="str">
        <f t="shared" si="124"/>
        <v/>
      </c>
      <c r="G1304" t="str">
        <f>IF(OR($E1304="",$E1304="نامعتبر",Sync!$X1300=""),"",IF(AND(LEFT(UPPER(TRIM(Sync!$X1300)),2)="SL",IFERROR(VLOOKUP(Sync!$W1300,OpTbl,3,0),"")="فروش"),UPPER(TRIM(Sync!$X1300)),""))</f>
        <v/>
      </c>
      <c r="H1304" t="str">
        <f>IF($G1304="","",IF(Sync!$W1300="","",Sync!$W1300))</f>
        <v/>
      </c>
      <c r="I1304" t="str">
        <f>IF(OR($G1304="",Sync!$Y1300=""),"",Sync!$Y1300)</f>
        <v/>
      </c>
      <c r="J1304" t="str">
        <f>IF(OR($G1304="",Sync!$Z1300=""),"",Sync!$Z1300)</f>
        <v/>
      </c>
      <c r="K1304">
        <f>IF($G1304="",0,IF(Sync!$AA1300="",0,Sync!$AA1300))</f>
        <v>0</v>
      </c>
      <c r="L1304">
        <f>IF($G1304="",0,IF(Sync!$AB1300="",0,Sync!$AB1300))</f>
        <v>0</v>
      </c>
      <c r="M1304" t="str">
        <f t="shared" si="125"/>
        <v/>
      </c>
      <c r="N1304">
        <f>IF($G1304="",0,IF($H1304="مرجوعی فروش",-1,1)*IF(Sync!$AC1300="",0,Sync!$AC1300))</f>
        <v>0</v>
      </c>
      <c r="O1304" t="str">
        <f>IF(OR($G1304="",Sync!$V1300=""),"",Sync!$V1300)</f>
        <v/>
      </c>
      <c r="P1304" t="str">
        <f>IF(OR($G1304="",Sync!$AD1300=""),"",Sync!$AD1300)</f>
        <v/>
      </c>
      <c r="Q1304" t="str">
        <f>IF($G1304="","",IF(Sync!$U1300="","0000",IF(AND(ISNUMBER(Sync!$U1300),Sync!$U1300&gt;=0,Sync!$U1300&lt;1),RIGHT("00"&amp;HOUR(Sync!$U1300),2)&amp;RIGHT("00"&amp;MINUTE(Sync!$U1300),2),IFERROR(RIGHT("00"&amp;VALUE(LEFT(Sync!$U1300,FIND(":",Sync!$U1300)-1)),2)&amp;RIGHT("00"&amp;VALUE(MID(Sync!$U1300,FIND(":",Sync!$U1300)+1,2)),2),"0000"))))</f>
        <v/>
      </c>
    </row>
    <row r="1305" spans="1:17" x14ac:dyDescent="0.2">
      <c r="A1305" t="str">
        <f>IF(Sync!$T1301="","",Sync!$T1301)</f>
        <v/>
      </c>
      <c r="B1305" t="str">
        <f t="shared" si="120"/>
        <v/>
      </c>
      <c r="C1305" t="str">
        <f t="shared" si="121"/>
        <v/>
      </c>
      <c r="D1305" t="str">
        <f t="shared" si="122"/>
        <v/>
      </c>
      <c r="E1305" t="str">
        <f t="shared" si="123"/>
        <v/>
      </c>
      <c r="F1305" t="str">
        <f t="shared" si="124"/>
        <v/>
      </c>
      <c r="G1305" t="str">
        <f>IF(OR($E1305="",$E1305="نامعتبر",Sync!$X1301=""),"",IF(AND(LEFT(UPPER(TRIM(Sync!$X1301)),2)="SL",IFERROR(VLOOKUP(Sync!$W1301,OpTbl,3,0),"")="فروش"),UPPER(TRIM(Sync!$X1301)),""))</f>
        <v/>
      </c>
      <c r="H1305" t="str">
        <f>IF($G1305="","",IF(Sync!$W1301="","",Sync!$W1301))</f>
        <v/>
      </c>
      <c r="I1305" t="str">
        <f>IF(OR($G1305="",Sync!$Y1301=""),"",Sync!$Y1301)</f>
        <v/>
      </c>
      <c r="J1305" t="str">
        <f>IF(OR($G1305="",Sync!$Z1301=""),"",Sync!$Z1301)</f>
        <v/>
      </c>
      <c r="K1305">
        <f>IF($G1305="",0,IF(Sync!$AA1301="",0,Sync!$AA1301))</f>
        <v>0</v>
      </c>
      <c r="L1305">
        <f>IF($G1305="",0,IF(Sync!$AB1301="",0,Sync!$AB1301))</f>
        <v>0</v>
      </c>
      <c r="M1305" t="str">
        <f t="shared" si="125"/>
        <v/>
      </c>
      <c r="N1305">
        <f>IF($G1305="",0,IF($H1305="مرجوعی فروش",-1,1)*IF(Sync!$AC1301="",0,Sync!$AC1301))</f>
        <v>0</v>
      </c>
      <c r="O1305" t="str">
        <f>IF(OR($G1305="",Sync!$V1301=""),"",Sync!$V1301)</f>
        <v/>
      </c>
      <c r="P1305" t="str">
        <f>IF(OR($G1305="",Sync!$AD1301=""),"",Sync!$AD1301)</f>
        <v/>
      </c>
      <c r="Q1305" t="str">
        <f>IF($G1305="","",IF(Sync!$U1301="","0000",IF(AND(ISNUMBER(Sync!$U1301),Sync!$U1301&gt;=0,Sync!$U1301&lt;1),RIGHT("00"&amp;HOUR(Sync!$U1301),2)&amp;RIGHT("00"&amp;MINUTE(Sync!$U1301),2),IFERROR(RIGHT("00"&amp;VALUE(LEFT(Sync!$U1301,FIND(":",Sync!$U1301)-1)),2)&amp;RIGHT("00"&amp;VALUE(MID(Sync!$U1301,FIND(":",Sync!$U1301)+1,2)),2),"0000"))))</f>
        <v/>
      </c>
    </row>
    <row r="1306" spans="1:17" x14ac:dyDescent="0.2">
      <c r="A1306" t="str">
        <f>IF(Sync!$T1302="","",Sync!$T1302)</f>
        <v/>
      </c>
      <c r="B1306" t="str">
        <f t="shared" si="120"/>
        <v/>
      </c>
      <c r="C1306" t="str">
        <f t="shared" si="121"/>
        <v/>
      </c>
      <c r="D1306" t="str">
        <f t="shared" si="122"/>
        <v/>
      </c>
      <c r="E1306" t="str">
        <f t="shared" si="123"/>
        <v/>
      </c>
      <c r="F1306" t="str">
        <f t="shared" si="124"/>
        <v/>
      </c>
      <c r="G1306" t="str">
        <f>IF(OR($E1306="",$E1306="نامعتبر",Sync!$X1302=""),"",IF(AND(LEFT(UPPER(TRIM(Sync!$X1302)),2)="SL",IFERROR(VLOOKUP(Sync!$W1302,OpTbl,3,0),"")="فروش"),UPPER(TRIM(Sync!$X1302)),""))</f>
        <v/>
      </c>
      <c r="H1306" t="str">
        <f>IF($G1306="","",IF(Sync!$W1302="","",Sync!$W1302))</f>
        <v/>
      </c>
      <c r="I1306" t="str">
        <f>IF(OR($G1306="",Sync!$Y1302=""),"",Sync!$Y1302)</f>
        <v/>
      </c>
      <c r="J1306" t="str">
        <f>IF(OR($G1306="",Sync!$Z1302=""),"",Sync!$Z1302)</f>
        <v/>
      </c>
      <c r="K1306">
        <f>IF($G1306="",0,IF(Sync!$AA1302="",0,Sync!$AA1302))</f>
        <v>0</v>
      </c>
      <c r="L1306">
        <f>IF($G1306="",0,IF(Sync!$AB1302="",0,Sync!$AB1302))</f>
        <v>0</v>
      </c>
      <c r="M1306" t="str">
        <f t="shared" si="125"/>
        <v/>
      </c>
      <c r="N1306">
        <f>IF($G1306="",0,IF($H1306="مرجوعی فروش",-1,1)*IF(Sync!$AC1302="",0,Sync!$AC1302))</f>
        <v>0</v>
      </c>
      <c r="O1306" t="str">
        <f>IF(OR($G1306="",Sync!$V1302=""),"",Sync!$V1302)</f>
        <v/>
      </c>
      <c r="P1306" t="str">
        <f>IF(OR($G1306="",Sync!$AD1302=""),"",Sync!$AD1302)</f>
        <v/>
      </c>
      <c r="Q1306" t="str">
        <f>IF($G1306="","",IF(Sync!$U1302="","0000",IF(AND(ISNUMBER(Sync!$U1302),Sync!$U1302&gt;=0,Sync!$U1302&lt;1),RIGHT("00"&amp;HOUR(Sync!$U1302),2)&amp;RIGHT("00"&amp;MINUTE(Sync!$U1302),2),IFERROR(RIGHT("00"&amp;VALUE(LEFT(Sync!$U1302,FIND(":",Sync!$U1302)-1)),2)&amp;RIGHT("00"&amp;VALUE(MID(Sync!$U1302,FIND(":",Sync!$U1302)+1,2)),2),"0000"))))</f>
        <v/>
      </c>
    </row>
    <row r="1307" spans="1:17" x14ac:dyDescent="0.2">
      <c r="A1307" t="str">
        <f>IF(Sync!$T1303="","",Sync!$T1303)</f>
        <v/>
      </c>
      <c r="B1307" t="str">
        <f t="shared" si="120"/>
        <v/>
      </c>
      <c r="C1307" t="str">
        <f t="shared" si="121"/>
        <v/>
      </c>
      <c r="D1307" t="str">
        <f t="shared" si="122"/>
        <v/>
      </c>
      <c r="E1307" t="str">
        <f t="shared" si="123"/>
        <v/>
      </c>
      <c r="F1307" t="str">
        <f t="shared" si="124"/>
        <v/>
      </c>
      <c r="G1307" t="str">
        <f>IF(OR($E1307="",$E1307="نامعتبر",Sync!$X1303=""),"",IF(AND(LEFT(UPPER(TRIM(Sync!$X1303)),2)="SL",IFERROR(VLOOKUP(Sync!$W1303,OpTbl,3,0),"")="فروش"),UPPER(TRIM(Sync!$X1303)),""))</f>
        <v/>
      </c>
      <c r="H1307" t="str">
        <f>IF($G1307="","",IF(Sync!$W1303="","",Sync!$W1303))</f>
        <v/>
      </c>
      <c r="I1307" t="str">
        <f>IF(OR($G1307="",Sync!$Y1303=""),"",Sync!$Y1303)</f>
        <v/>
      </c>
      <c r="J1307" t="str">
        <f>IF(OR($G1307="",Sync!$Z1303=""),"",Sync!$Z1303)</f>
        <v/>
      </c>
      <c r="K1307">
        <f>IF($G1307="",0,IF(Sync!$AA1303="",0,Sync!$AA1303))</f>
        <v>0</v>
      </c>
      <c r="L1307">
        <f>IF($G1307="",0,IF(Sync!$AB1303="",0,Sync!$AB1303))</f>
        <v>0</v>
      </c>
      <c r="M1307" t="str">
        <f t="shared" si="125"/>
        <v/>
      </c>
      <c r="N1307">
        <f>IF($G1307="",0,IF($H1307="مرجوعی فروش",-1,1)*IF(Sync!$AC1303="",0,Sync!$AC1303))</f>
        <v>0</v>
      </c>
      <c r="O1307" t="str">
        <f>IF(OR($G1307="",Sync!$V1303=""),"",Sync!$V1303)</f>
        <v/>
      </c>
      <c r="P1307" t="str">
        <f>IF(OR($G1307="",Sync!$AD1303=""),"",Sync!$AD1303)</f>
        <v/>
      </c>
      <c r="Q1307" t="str">
        <f>IF($G1307="","",IF(Sync!$U1303="","0000",IF(AND(ISNUMBER(Sync!$U1303),Sync!$U1303&gt;=0,Sync!$U1303&lt;1),RIGHT("00"&amp;HOUR(Sync!$U1303),2)&amp;RIGHT("00"&amp;MINUTE(Sync!$U1303),2),IFERROR(RIGHT("00"&amp;VALUE(LEFT(Sync!$U1303,FIND(":",Sync!$U1303)-1)),2)&amp;RIGHT("00"&amp;VALUE(MID(Sync!$U1303,FIND(":",Sync!$U1303)+1,2)),2),"0000"))))</f>
        <v/>
      </c>
    </row>
    <row r="1308" spans="1:17" x14ac:dyDescent="0.2">
      <c r="A1308" t="str">
        <f>IF(Sync!$T1304="","",Sync!$T1304)</f>
        <v/>
      </c>
      <c r="B1308" t="str">
        <f t="shared" si="120"/>
        <v/>
      </c>
      <c r="C1308" t="str">
        <f t="shared" si="121"/>
        <v/>
      </c>
      <c r="D1308" t="str">
        <f t="shared" si="122"/>
        <v/>
      </c>
      <c r="E1308" t="str">
        <f t="shared" si="123"/>
        <v/>
      </c>
      <c r="F1308" t="str">
        <f t="shared" si="124"/>
        <v/>
      </c>
      <c r="G1308" t="str">
        <f>IF(OR($E1308="",$E1308="نامعتبر",Sync!$X1304=""),"",IF(AND(LEFT(UPPER(TRIM(Sync!$X1304)),2)="SL",IFERROR(VLOOKUP(Sync!$W1304,OpTbl,3,0),"")="فروش"),UPPER(TRIM(Sync!$X1304)),""))</f>
        <v/>
      </c>
      <c r="H1308" t="str">
        <f>IF($G1308="","",IF(Sync!$W1304="","",Sync!$W1304))</f>
        <v/>
      </c>
      <c r="I1308" t="str">
        <f>IF(OR($G1308="",Sync!$Y1304=""),"",Sync!$Y1304)</f>
        <v/>
      </c>
      <c r="J1308" t="str">
        <f>IF(OR($G1308="",Sync!$Z1304=""),"",Sync!$Z1304)</f>
        <v/>
      </c>
      <c r="K1308">
        <f>IF($G1308="",0,IF(Sync!$AA1304="",0,Sync!$AA1304))</f>
        <v>0</v>
      </c>
      <c r="L1308">
        <f>IF($G1308="",0,IF(Sync!$AB1304="",0,Sync!$AB1304))</f>
        <v>0</v>
      </c>
      <c r="M1308" t="str">
        <f t="shared" si="125"/>
        <v/>
      </c>
      <c r="N1308">
        <f>IF($G1308="",0,IF($H1308="مرجوعی فروش",-1,1)*IF(Sync!$AC1304="",0,Sync!$AC1304))</f>
        <v>0</v>
      </c>
      <c r="O1308" t="str">
        <f>IF(OR($G1308="",Sync!$V1304=""),"",Sync!$V1304)</f>
        <v/>
      </c>
      <c r="P1308" t="str">
        <f>IF(OR($G1308="",Sync!$AD1304=""),"",Sync!$AD1304)</f>
        <v/>
      </c>
      <c r="Q1308" t="str">
        <f>IF($G1308="","",IF(Sync!$U1304="","0000",IF(AND(ISNUMBER(Sync!$U1304),Sync!$U1304&gt;=0,Sync!$U1304&lt;1),RIGHT("00"&amp;HOUR(Sync!$U1304),2)&amp;RIGHT("00"&amp;MINUTE(Sync!$U1304),2),IFERROR(RIGHT("00"&amp;VALUE(LEFT(Sync!$U1304,FIND(":",Sync!$U1304)-1)),2)&amp;RIGHT("00"&amp;VALUE(MID(Sync!$U1304,FIND(":",Sync!$U1304)+1,2)),2),"0000"))))</f>
        <v/>
      </c>
    </row>
    <row r="1309" spans="1:17" x14ac:dyDescent="0.2">
      <c r="A1309" t="str">
        <f>IF(Sync!$T1305="","",Sync!$T1305)</f>
        <v/>
      </c>
      <c r="B1309" t="str">
        <f t="shared" si="120"/>
        <v/>
      </c>
      <c r="C1309" t="str">
        <f t="shared" si="121"/>
        <v/>
      </c>
      <c r="D1309" t="str">
        <f t="shared" si="122"/>
        <v/>
      </c>
      <c r="E1309" t="str">
        <f t="shared" si="123"/>
        <v/>
      </c>
      <c r="F1309" t="str">
        <f t="shared" si="124"/>
        <v/>
      </c>
      <c r="G1309" t="str">
        <f>IF(OR($E1309="",$E1309="نامعتبر",Sync!$X1305=""),"",IF(AND(LEFT(UPPER(TRIM(Sync!$X1305)),2)="SL",IFERROR(VLOOKUP(Sync!$W1305,OpTbl,3,0),"")="فروش"),UPPER(TRIM(Sync!$X1305)),""))</f>
        <v/>
      </c>
      <c r="H1309" t="str">
        <f>IF($G1309="","",IF(Sync!$W1305="","",Sync!$W1305))</f>
        <v/>
      </c>
      <c r="I1309" t="str">
        <f>IF(OR($G1309="",Sync!$Y1305=""),"",Sync!$Y1305)</f>
        <v/>
      </c>
      <c r="J1309" t="str">
        <f>IF(OR($G1309="",Sync!$Z1305=""),"",Sync!$Z1305)</f>
        <v/>
      </c>
      <c r="K1309">
        <f>IF($G1309="",0,IF(Sync!$AA1305="",0,Sync!$AA1305))</f>
        <v>0</v>
      </c>
      <c r="L1309">
        <f>IF($G1309="",0,IF(Sync!$AB1305="",0,Sync!$AB1305))</f>
        <v>0</v>
      </c>
      <c r="M1309" t="str">
        <f t="shared" si="125"/>
        <v/>
      </c>
      <c r="N1309">
        <f>IF($G1309="",0,IF($H1309="مرجوعی فروش",-1,1)*IF(Sync!$AC1305="",0,Sync!$AC1305))</f>
        <v>0</v>
      </c>
      <c r="O1309" t="str">
        <f>IF(OR($G1309="",Sync!$V1305=""),"",Sync!$V1305)</f>
        <v/>
      </c>
      <c r="P1309" t="str">
        <f>IF(OR($G1309="",Sync!$AD1305=""),"",Sync!$AD1305)</f>
        <v/>
      </c>
      <c r="Q1309" t="str">
        <f>IF($G1309="","",IF(Sync!$U1305="","0000",IF(AND(ISNUMBER(Sync!$U1305),Sync!$U1305&gt;=0,Sync!$U1305&lt;1),RIGHT("00"&amp;HOUR(Sync!$U1305),2)&amp;RIGHT("00"&amp;MINUTE(Sync!$U1305),2),IFERROR(RIGHT("00"&amp;VALUE(LEFT(Sync!$U1305,FIND(":",Sync!$U1305)-1)),2)&amp;RIGHT("00"&amp;VALUE(MID(Sync!$U1305,FIND(":",Sync!$U1305)+1,2)),2),"0000"))))</f>
        <v/>
      </c>
    </row>
    <row r="1310" spans="1:17" x14ac:dyDescent="0.2">
      <c r="A1310" t="str">
        <f>IF(Sync!$T1306="","",Sync!$T1306)</f>
        <v/>
      </c>
      <c r="B1310" t="str">
        <f t="shared" si="120"/>
        <v/>
      </c>
      <c r="C1310" t="str">
        <f t="shared" si="121"/>
        <v/>
      </c>
      <c r="D1310" t="str">
        <f t="shared" si="122"/>
        <v/>
      </c>
      <c r="E1310" t="str">
        <f t="shared" si="123"/>
        <v/>
      </c>
      <c r="F1310" t="str">
        <f t="shared" si="124"/>
        <v/>
      </c>
      <c r="G1310" t="str">
        <f>IF(OR($E1310="",$E1310="نامعتبر",Sync!$X1306=""),"",IF(AND(LEFT(UPPER(TRIM(Sync!$X1306)),2)="SL",IFERROR(VLOOKUP(Sync!$W1306,OpTbl,3,0),"")="فروش"),UPPER(TRIM(Sync!$X1306)),""))</f>
        <v/>
      </c>
      <c r="H1310" t="str">
        <f>IF($G1310="","",IF(Sync!$W1306="","",Sync!$W1306))</f>
        <v/>
      </c>
      <c r="I1310" t="str">
        <f>IF(OR($G1310="",Sync!$Y1306=""),"",Sync!$Y1306)</f>
        <v/>
      </c>
      <c r="J1310" t="str">
        <f>IF(OR($G1310="",Sync!$Z1306=""),"",Sync!$Z1306)</f>
        <v/>
      </c>
      <c r="K1310">
        <f>IF($G1310="",0,IF(Sync!$AA1306="",0,Sync!$AA1306))</f>
        <v>0</v>
      </c>
      <c r="L1310">
        <f>IF($G1310="",0,IF(Sync!$AB1306="",0,Sync!$AB1306))</f>
        <v>0</v>
      </c>
      <c r="M1310" t="str">
        <f t="shared" si="125"/>
        <v/>
      </c>
      <c r="N1310">
        <f>IF($G1310="",0,IF($H1310="مرجوعی فروش",-1,1)*IF(Sync!$AC1306="",0,Sync!$AC1306))</f>
        <v>0</v>
      </c>
      <c r="O1310" t="str">
        <f>IF(OR($G1310="",Sync!$V1306=""),"",Sync!$V1306)</f>
        <v/>
      </c>
      <c r="P1310" t="str">
        <f>IF(OR($G1310="",Sync!$AD1306=""),"",Sync!$AD1306)</f>
        <v/>
      </c>
      <c r="Q1310" t="str">
        <f>IF($G1310="","",IF(Sync!$U1306="","0000",IF(AND(ISNUMBER(Sync!$U1306),Sync!$U1306&gt;=0,Sync!$U1306&lt;1),RIGHT("00"&amp;HOUR(Sync!$U1306),2)&amp;RIGHT("00"&amp;MINUTE(Sync!$U1306),2),IFERROR(RIGHT("00"&amp;VALUE(LEFT(Sync!$U1306,FIND(":",Sync!$U1306)-1)),2)&amp;RIGHT("00"&amp;VALUE(MID(Sync!$U1306,FIND(":",Sync!$U1306)+1,2)),2),"0000"))))</f>
        <v/>
      </c>
    </row>
    <row r="1311" spans="1:17" x14ac:dyDescent="0.2">
      <c r="A1311" t="str">
        <f>IF(Sync!$T1307="","",Sync!$T1307)</f>
        <v/>
      </c>
      <c r="B1311" t="str">
        <f t="shared" si="120"/>
        <v/>
      </c>
      <c r="C1311" t="str">
        <f t="shared" si="121"/>
        <v/>
      </c>
      <c r="D1311" t="str">
        <f t="shared" si="122"/>
        <v/>
      </c>
      <c r="E1311" t="str">
        <f t="shared" si="123"/>
        <v/>
      </c>
      <c r="F1311" t="str">
        <f t="shared" si="124"/>
        <v/>
      </c>
      <c r="G1311" t="str">
        <f>IF(OR($E1311="",$E1311="نامعتبر",Sync!$X1307=""),"",IF(AND(LEFT(UPPER(TRIM(Sync!$X1307)),2)="SL",IFERROR(VLOOKUP(Sync!$W1307,OpTbl,3,0),"")="فروش"),UPPER(TRIM(Sync!$X1307)),""))</f>
        <v/>
      </c>
      <c r="H1311" t="str">
        <f>IF($G1311="","",IF(Sync!$W1307="","",Sync!$W1307))</f>
        <v/>
      </c>
      <c r="I1311" t="str">
        <f>IF(OR($G1311="",Sync!$Y1307=""),"",Sync!$Y1307)</f>
        <v/>
      </c>
      <c r="J1311" t="str">
        <f>IF(OR($G1311="",Sync!$Z1307=""),"",Sync!$Z1307)</f>
        <v/>
      </c>
      <c r="K1311">
        <f>IF($G1311="",0,IF(Sync!$AA1307="",0,Sync!$AA1307))</f>
        <v>0</v>
      </c>
      <c r="L1311">
        <f>IF($G1311="",0,IF(Sync!$AB1307="",0,Sync!$AB1307))</f>
        <v>0</v>
      </c>
      <c r="M1311" t="str">
        <f t="shared" si="125"/>
        <v/>
      </c>
      <c r="N1311">
        <f>IF($G1311="",0,IF($H1311="مرجوعی فروش",-1,1)*IF(Sync!$AC1307="",0,Sync!$AC1307))</f>
        <v>0</v>
      </c>
      <c r="O1311" t="str">
        <f>IF(OR($G1311="",Sync!$V1307=""),"",Sync!$V1307)</f>
        <v/>
      </c>
      <c r="P1311" t="str">
        <f>IF(OR($G1311="",Sync!$AD1307=""),"",Sync!$AD1307)</f>
        <v/>
      </c>
      <c r="Q1311" t="str">
        <f>IF($G1311="","",IF(Sync!$U1307="","0000",IF(AND(ISNUMBER(Sync!$U1307),Sync!$U1307&gt;=0,Sync!$U1307&lt;1),RIGHT("00"&amp;HOUR(Sync!$U1307),2)&amp;RIGHT("00"&amp;MINUTE(Sync!$U1307),2),IFERROR(RIGHT("00"&amp;VALUE(LEFT(Sync!$U1307,FIND(":",Sync!$U1307)-1)),2)&amp;RIGHT("00"&amp;VALUE(MID(Sync!$U1307,FIND(":",Sync!$U1307)+1,2)),2),"0000"))))</f>
        <v/>
      </c>
    </row>
    <row r="1312" spans="1:17" x14ac:dyDescent="0.2">
      <c r="A1312" t="str">
        <f>IF(Sync!$T1308="","",Sync!$T1308)</f>
        <v/>
      </c>
      <c r="B1312" t="str">
        <f t="shared" si="120"/>
        <v/>
      </c>
      <c r="C1312" t="str">
        <f t="shared" si="121"/>
        <v/>
      </c>
      <c r="D1312" t="str">
        <f t="shared" si="122"/>
        <v/>
      </c>
      <c r="E1312" t="str">
        <f t="shared" si="123"/>
        <v/>
      </c>
      <c r="F1312" t="str">
        <f t="shared" si="124"/>
        <v/>
      </c>
      <c r="G1312" t="str">
        <f>IF(OR($E1312="",$E1312="نامعتبر",Sync!$X1308=""),"",IF(AND(LEFT(UPPER(TRIM(Sync!$X1308)),2)="SL",IFERROR(VLOOKUP(Sync!$W1308,OpTbl,3,0),"")="فروش"),UPPER(TRIM(Sync!$X1308)),""))</f>
        <v/>
      </c>
      <c r="H1312" t="str">
        <f>IF($G1312="","",IF(Sync!$W1308="","",Sync!$W1308))</f>
        <v/>
      </c>
      <c r="I1312" t="str">
        <f>IF(OR($G1312="",Sync!$Y1308=""),"",Sync!$Y1308)</f>
        <v/>
      </c>
      <c r="J1312" t="str">
        <f>IF(OR($G1312="",Sync!$Z1308=""),"",Sync!$Z1308)</f>
        <v/>
      </c>
      <c r="K1312">
        <f>IF($G1312="",0,IF(Sync!$AA1308="",0,Sync!$AA1308))</f>
        <v>0</v>
      </c>
      <c r="L1312">
        <f>IF($G1312="",0,IF(Sync!$AB1308="",0,Sync!$AB1308))</f>
        <v>0</v>
      </c>
      <c r="M1312" t="str">
        <f t="shared" si="125"/>
        <v/>
      </c>
      <c r="N1312">
        <f>IF($G1312="",0,IF($H1312="مرجوعی فروش",-1,1)*IF(Sync!$AC1308="",0,Sync!$AC1308))</f>
        <v>0</v>
      </c>
      <c r="O1312" t="str">
        <f>IF(OR($G1312="",Sync!$V1308=""),"",Sync!$V1308)</f>
        <v/>
      </c>
      <c r="P1312" t="str">
        <f>IF(OR($G1312="",Sync!$AD1308=""),"",Sync!$AD1308)</f>
        <v/>
      </c>
      <c r="Q1312" t="str">
        <f>IF($G1312="","",IF(Sync!$U1308="","0000",IF(AND(ISNUMBER(Sync!$U1308),Sync!$U1308&gt;=0,Sync!$U1308&lt;1),RIGHT("00"&amp;HOUR(Sync!$U1308),2)&amp;RIGHT("00"&amp;MINUTE(Sync!$U1308),2),IFERROR(RIGHT("00"&amp;VALUE(LEFT(Sync!$U1308,FIND(":",Sync!$U1308)-1)),2)&amp;RIGHT("00"&amp;VALUE(MID(Sync!$U1308,FIND(":",Sync!$U1308)+1,2)),2),"0000"))))</f>
        <v/>
      </c>
    </row>
    <row r="1313" spans="1:17" x14ac:dyDescent="0.2">
      <c r="A1313" t="str">
        <f>IF(Sync!$T1309="","",Sync!$T1309)</f>
        <v/>
      </c>
      <c r="B1313" t="str">
        <f t="shared" si="120"/>
        <v/>
      </c>
      <c r="C1313" t="str">
        <f t="shared" si="121"/>
        <v/>
      </c>
      <c r="D1313" t="str">
        <f t="shared" si="122"/>
        <v/>
      </c>
      <c r="E1313" t="str">
        <f t="shared" si="123"/>
        <v/>
      </c>
      <c r="F1313" t="str">
        <f t="shared" si="124"/>
        <v/>
      </c>
      <c r="G1313" t="str">
        <f>IF(OR($E1313="",$E1313="نامعتبر",Sync!$X1309=""),"",IF(AND(LEFT(UPPER(TRIM(Sync!$X1309)),2)="SL",IFERROR(VLOOKUP(Sync!$W1309,OpTbl,3,0),"")="فروش"),UPPER(TRIM(Sync!$X1309)),""))</f>
        <v/>
      </c>
      <c r="H1313" t="str">
        <f>IF($G1313="","",IF(Sync!$W1309="","",Sync!$W1309))</f>
        <v/>
      </c>
      <c r="I1313" t="str">
        <f>IF(OR($G1313="",Sync!$Y1309=""),"",Sync!$Y1309)</f>
        <v/>
      </c>
      <c r="J1313" t="str">
        <f>IF(OR($G1313="",Sync!$Z1309=""),"",Sync!$Z1309)</f>
        <v/>
      </c>
      <c r="K1313">
        <f>IF($G1313="",0,IF(Sync!$AA1309="",0,Sync!$AA1309))</f>
        <v>0</v>
      </c>
      <c r="L1313">
        <f>IF($G1313="",0,IF(Sync!$AB1309="",0,Sync!$AB1309))</f>
        <v>0</v>
      </c>
      <c r="M1313" t="str">
        <f t="shared" si="125"/>
        <v/>
      </c>
      <c r="N1313">
        <f>IF($G1313="",0,IF($H1313="مرجوعی فروش",-1,1)*IF(Sync!$AC1309="",0,Sync!$AC1309))</f>
        <v>0</v>
      </c>
      <c r="O1313" t="str">
        <f>IF(OR($G1313="",Sync!$V1309=""),"",Sync!$V1309)</f>
        <v/>
      </c>
      <c r="P1313" t="str">
        <f>IF(OR($G1313="",Sync!$AD1309=""),"",Sync!$AD1309)</f>
        <v/>
      </c>
      <c r="Q1313" t="str">
        <f>IF($G1313="","",IF(Sync!$U1309="","0000",IF(AND(ISNUMBER(Sync!$U1309),Sync!$U1309&gt;=0,Sync!$U1309&lt;1),RIGHT("00"&amp;HOUR(Sync!$U1309),2)&amp;RIGHT("00"&amp;MINUTE(Sync!$U1309),2),IFERROR(RIGHT("00"&amp;VALUE(LEFT(Sync!$U1309,FIND(":",Sync!$U1309)-1)),2)&amp;RIGHT("00"&amp;VALUE(MID(Sync!$U1309,FIND(":",Sync!$U1309)+1,2)),2),"0000"))))</f>
        <v/>
      </c>
    </row>
    <row r="1314" spans="1:17" x14ac:dyDescent="0.2">
      <c r="A1314" t="str">
        <f>IF(Sync!$T1310="","",Sync!$T1310)</f>
        <v/>
      </c>
      <c r="B1314" t="str">
        <f t="shared" si="120"/>
        <v/>
      </c>
      <c r="C1314" t="str">
        <f t="shared" si="121"/>
        <v/>
      </c>
      <c r="D1314" t="str">
        <f t="shared" si="122"/>
        <v/>
      </c>
      <c r="E1314" t="str">
        <f t="shared" si="123"/>
        <v/>
      </c>
      <c r="F1314" t="str">
        <f t="shared" si="124"/>
        <v/>
      </c>
      <c r="G1314" t="str">
        <f>IF(OR($E1314="",$E1314="نامعتبر",Sync!$X1310=""),"",IF(AND(LEFT(UPPER(TRIM(Sync!$X1310)),2)="SL",IFERROR(VLOOKUP(Sync!$W1310,OpTbl,3,0),"")="فروش"),UPPER(TRIM(Sync!$X1310)),""))</f>
        <v/>
      </c>
      <c r="H1314" t="str">
        <f>IF($G1314="","",IF(Sync!$W1310="","",Sync!$W1310))</f>
        <v/>
      </c>
      <c r="I1314" t="str">
        <f>IF(OR($G1314="",Sync!$Y1310=""),"",Sync!$Y1310)</f>
        <v/>
      </c>
      <c r="J1314" t="str">
        <f>IF(OR($G1314="",Sync!$Z1310=""),"",Sync!$Z1310)</f>
        <v/>
      </c>
      <c r="K1314">
        <f>IF($G1314="",0,IF(Sync!$AA1310="",0,Sync!$AA1310))</f>
        <v>0</v>
      </c>
      <c r="L1314">
        <f>IF($G1314="",0,IF(Sync!$AB1310="",0,Sync!$AB1310))</f>
        <v>0</v>
      </c>
      <c r="M1314" t="str">
        <f t="shared" si="125"/>
        <v/>
      </c>
      <c r="N1314">
        <f>IF($G1314="",0,IF($H1314="مرجوعی فروش",-1,1)*IF(Sync!$AC1310="",0,Sync!$AC1310))</f>
        <v>0</v>
      </c>
      <c r="O1314" t="str">
        <f>IF(OR($G1314="",Sync!$V1310=""),"",Sync!$V1310)</f>
        <v/>
      </c>
      <c r="P1314" t="str">
        <f>IF(OR($G1314="",Sync!$AD1310=""),"",Sync!$AD1310)</f>
        <v/>
      </c>
      <c r="Q1314" t="str">
        <f>IF($G1314="","",IF(Sync!$U1310="","0000",IF(AND(ISNUMBER(Sync!$U1310),Sync!$U1310&gt;=0,Sync!$U1310&lt;1),RIGHT("00"&amp;HOUR(Sync!$U1310),2)&amp;RIGHT("00"&amp;MINUTE(Sync!$U1310),2),IFERROR(RIGHT("00"&amp;VALUE(LEFT(Sync!$U1310,FIND(":",Sync!$U1310)-1)),2)&amp;RIGHT("00"&amp;VALUE(MID(Sync!$U1310,FIND(":",Sync!$U1310)+1,2)),2),"0000"))))</f>
        <v/>
      </c>
    </row>
    <row r="1315" spans="1:17" x14ac:dyDescent="0.2">
      <c r="A1315" t="str">
        <f>IF(Sync!$T1311="","",Sync!$T1311)</f>
        <v/>
      </c>
      <c r="B1315" t="str">
        <f t="shared" si="120"/>
        <v/>
      </c>
      <c r="C1315" t="str">
        <f t="shared" si="121"/>
        <v/>
      </c>
      <c r="D1315" t="str">
        <f t="shared" si="122"/>
        <v/>
      </c>
      <c r="E1315" t="str">
        <f t="shared" si="123"/>
        <v/>
      </c>
      <c r="F1315" t="str">
        <f t="shared" si="124"/>
        <v/>
      </c>
      <c r="G1315" t="str">
        <f>IF(OR($E1315="",$E1315="نامعتبر",Sync!$X1311=""),"",IF(AND(LEFT(UPPER(TRIM(Sync!$X1311)),2)="SL",IFERROR(VLOOKUP(Sync!$W1311,OpTbl,3,0),"")="فروش"),UPPER(TRIM(Sync!$X1311)),""))</f>
        <v/>
      </c>
      <c r="H1315" t="str">
        <f>IF($G1315="","",IF(Sync!$W1311="","",Sync!$W1311))</f>
        <v/>
      </c>
      <c r="I1315" t="str">
        <f>IF(OR($G1315="",Sync!$Y1311=""),"",Sync!$Y1311)</f>
        <v/>
      </c>
      <c r="J1315" t="str">
        <f>IF(OR($G1315="",Sync!$Z1311=""),"",Sync!$Z1311)</f>
        <v/>
      </c>
      <c r="K1315">
        <f>IF($G1315="",0,IF(Sync!$AA1311="",0,Sync!$AA1311))</f>
        <v>0</v>
      </c>
      <c r="L1315">
        <f>IF($G1315="",0,IF(Sync!$AB1311="",0,Sync!$AB1311))</f>
        <v>0</v>
      </c>
      <c r="M1315" t="str">
        <f t="shared" si="125"/>
        <v/>
      </c>
      <c r="N1315">
        <f>IF($G1315="",0,IF($H1315="مرجوعی فروش",-1,1)*IF(Sync!$AC1311="",0,Sync!$AC1311))</f>
        <v>0</v>
      </c>
      <c r="O1315" t="str">
        <f>IF(OR($G1315="",Sync!$V1311=""),"",Sync!$V1311)</f>
        <v/>
      </c>
      <c r="P1315" t="str">
        <f>IF(OR($G1315="",Sync!$AD1311=""),"",Sync!$AD1311)</f>
        <v/>
      </c>
      <c r="Q1315" t="str">
        <f>IF($G1315="","",IF(Sync!$U1311="","0000",IF(AND(ISNUMBER(Sync!$U1311),Sync!$U1311&gt;=0,Sync!$U1311&lt;1),RIGHT("00"&amp;HOUR(Sync!$U1311),2)&amp;RIGHT("00"&amp;MINUTE(Sync!$U1311),2),IFERROR(RIGHT("00"&amp;VALUE(LEFT(Sync!$U1311,FIND(":",Sync!$U1311)-1)),2)&amp;RIGHT("00"&amp;VALUE(MID(Sync!$U1311,FIND(":",Sync!$U1311)+1,2)),2),"0000"))))</f>
        <v/>
      </c>
    </row>
    <row r="1316" spans="1:17" x14ac:dyDescent="0.2">
      <c r="A1316" t="str">
        <f>IF(Sync!$T1312="","",Sync!$T1312)</f>
        <v/>
      </c>
      <c r="B1316" t="str">
        <f t="shared" si="120"/>
        <v/>
      </c>
      <c r="C1316" t="str">
        <f t="shared" si="121"/>
        <v/>
      </c>
      <c r="D1316" t="str">
        <f t="shared" si="122"/>
        <v/>
      </c>
      <c r="E1316" t="str">
        <f t="shared" si="123"/>
        <v/>
      </c>
      <c r="F1316" t="str">
        <f t="shared" si="124"/>
        <v/>
      </c>
      <c r="G1316" t="str">
        <f>IF(OR($E1316="",$E1316="نامعتبر",Sync!$X1312=""),"",IF(AND(LEFT(UPPER(TRIM(Sync!$X1312)),2)="SL",IFERROR(VLOOKUP(Sync!$W1312,OpTbl,3,0),"")="فروش"),UPPER(TRIM(Sync!$X1312)),""))</f>
        <v/>
      </c>
      <c r="H1316" t="str">
        <f>IF($G1316="","",IF(Sync!$W1312="","",Sync!$W1312))</f>
        <v/>
      </c>
      <c r="I1316" t="str">
        <f>IF(OR($G1316="",Sync!$Y1312=""),"",Sync!$Y1312)</f>
        <v/>
      </c>
      <c r="J1316" t="str">
        <f>IF(OR($G1316="",Sync!$Z1312=""),"",Sync!$Z1312)</f>
        <v/>
      </c>
      <c r="K1316">
        <f>IF($G1316="",0,IF(Sync!$AA1312="",0,Sync!$AA1312))</f>
        <v>0</v>
      </c>
      <c r="L1316">
        <f>IF($G1316="",0,IF(Sync!$AB1312="",0,Sync!$AB1312))</f>
        <v>0</v>
      </c>
      <c r="M1316" t="str">
        <f t="shared" si="125"/>
        <v/>
      </c>
      <c r="N1316">
        <f>IF($G1316="",0,IF($H1316="مرجوعی فروش",-1,1)*IF(Sync!$AC1312="",0,Sync!$AC1312))</f>
        <v>0</v>
      </c>
      <c r="O1316" t="str">
        <f>IF(OR($G1316="",Sync!$V1312=""),"",Sync!$V1312)</f>
        <v/>
      </c>
      <c r="P1316" t="str">
        <f>IF(OR($G1316="",Sync!$AD1312=""),"",Sync!$AD1312)</f>
        <v/>
      </c>
      <c r="Q1316" t="str">
        <f>IF($G1316="","",IF(Sync!$U1312="","0000",IF(AND(ISNUMBER(Sync!$U1312),Sync!$U1312&gt;=0,Sync!$U1312&lt;1),RIGHT("00"&amp;HOUR(Sync!$U1312),2)&amp;RIGHT("00"&amp;MINUTE(Sync!$U1312),2),IFERROR(RIGHT("00"&amp;VALUE(LEFT(Sync!$U1312,FIND(":",Sync!$U1312)-1)),2)&amp;RIGHT("00"&amp;VALUE(MID(Sync!$U1312,FIND(":",Sync!$U1312)+1,2)),2),"0000"))))</f>
        <v/>
      </c>
    </row>
    <row r="1317" spans="1:17" x14ac:dyDescent="0.2">
      <c r="A1317" t="str">
        <f>IF(Sync!$T1313="","",Sync!$T1313)</f>
        <v/>
      </c>
      <c r="B1317" t="str">
        <f t="shared" si="120"/>
        <v/>
      </c>
      <c r="C1317" t="str">
        <f t="shared" si="121"/>
        <v/>
      </c>
      <c r="D1317" t="str">
        <f t="shared" si="122"/>
        <v/>
      </c>
      <c r="E1317" t="str">
        <f t="shared" si="123"/>
        <v/>
      </c>
      <c r="F1317" t="str">
        <f t="shared" si="124"/>
        <v/>
      </c>
      <c r="G1317" t="str">
        <f>IF(OR($E1317="",$E1317="نامعتبر",Sync!$X1313=""),"",IF(AND(LEFT(UPPER(TRIM(Sync!$X1313)),2)="SL",IFERROR(VLOOKUP(Sync!$W1313,OpTbl,3,0),"")="فروش"),UPPER(TRIM(Sync!$X1313)),""))</f>
        <v/>
      </c>
      <c r="H1317" t="str">
        <f>IF($G1317="","",IF(Sync!$W1313="","",Sync!$W1313))</f>
        <v/>
      </c>
      <c r="I1317" t="str">
        <f>IF(OR($G1317="",Sync!$Y1313=""),"",Sync!$Y1313)</f>
        <v/>
      </c>
      <c r="J1317" t="str">
        <f>IF(OR($G1317="",Sync!$Z1313=""),"",Sync!$Z1313)</f>
        <v/>
      </c>
      <c r="K1317">
        <f>IF($G1317="",0,IF(Sync!$AA1313="",0,Sync!$AA1313))</f>
        <v>0</v>
      </c>
      <c r="L1317">
        <f>IF($G1317="",0,IF(Sync!$AB1313="",0,Sync!$AB1313))</f>
        <v>0</v>
      </c>
      <c r="M1317" t="str">
        <f t="shared" si="125"/>
        <v/>
      </c>
      <c r="N1317">
        <f>IF($G1317="",0,IF($H1317="مرجوعی فروش",-1,1)*IF(Sync!$AC1313="",0,Sync!$AC1313))</f>
        <v>0</v>
      </c>
      <c r="O1317" t="str">
        <f>IF(OR($G1317="",Sync!$V1313=""),"",Sync!$V1313)</f>
        <v/>
      </c>
      <c r="P1317" t="str">
        <f>IF(OR($G1317="",Sync!$AD1313=""),"",Sync!$AD1313)</f>
        <v/>
      </c>
      <c r="Q1317" t="str">
        <f>IF($G1317="","",IF(Sync!$U1313="","0000",IF(AND(ISNUMBER(Sync!$U1313),Sync!$U1313&gt;=0,Sync!$U1313&lt;1),RIGHT("00"&amp;HOUR(Sync!$U1313),2)&amp;RIGHT("00"&amp;MINUTE(Sync!$U1313),2),IFERROR(RIGHT("00"&amp;VALUE(LEFT(Sync!$U1313,FIND(":",Sync!$U1313)-1)),2)&amp;RIGHT("00"&amp;VALUE(MID(Sync!$U1313,FIND(":",Sync!$U1313)+1,2)),2),"0000"))))</f>
        <v/>
      </c>
    </row>
    <row r="1318" spans="1:17" x14ac:dyDescent="0.2">
      <c r="A1318" t="str">
        <f>IF(Sync!$T1314="","",Sync!$T1314)</f>
        <v/>
      </c>
      <c r="B1318" t="str">
        <f t="shared" si="120"/>
        <v/>
      </c>
      <c r="C1318" t="str">
        <f t="shared" si="121"/>
        <v/>
      </c>
      <c r="D1318" t="str">
        <f t="shared" si="122"/>
        <v/>
      </c>
      <c r="E1318" t="str">
        <f t="shared" si="123"/>
        <v/>
      </c>
      <c r="F1318" t="str">
        <f t="shared" si="124"/>
        <v/>
      </c>
      <c r="G1318" t="str">
        <f>IF(OR($E1318="",$E1318="نامعتبر",Sync!$X1314=""),"",IF(AND(LEFT(UPPER(TRIM(Sync!$X1314)),2)="SL",IFERROR(VLOOKUP(Sync!$W1314,OpTbl,3,0),"")="فروش"),UPPER(TRIM(Sync!$X1314)),""))</f>
        <v/>
      </c>
      <c r="H1318" t="str">
        <f>IF($G1318="","",IF(Sync!$W1314="","",Sync!$W1314))</f>
        <v/>
      </c>
      <c r="I1318" t="str">
        <f>IF(OR($G1318="",Sync!$Y1314=""),"",Sync!$Y1314)</f>
        <v/>
      </c>
      <c r="J1318" t="str">
        <f>IF(OR($G1318="",Sync!$Z1314=""),"",Sync!$Z1314)</f>
        <v/>
      </c>
      <c r="K1318">
        <f>IF($G1318="",0,IF(Sync!$AA1314="",0,Sync!$AA1314))</f>
        <v>0</v>
      </c>
      <c r="L1318">
        <f>IF($G1318="",0,IF(Sync!$AB1314="",0,Sync!$AB1314))</f>
        <v>0</v>
      </c>
      <c r="M1318" t="str">
        <f t="shared" si="125"/>
        <v/>
      </c>
      <c r="N1318">
        <f>IF($G1318="",0,IF($H1318="مرجوعی فروش",-1,1)*IF(Sync!$AC1314="",0,Sync!$AC1314))</f>
        <v>0</v>
      </c>
      <c r="O1318" t="str">
        <f>IF(OR($G1318="",Sync!$V1314=""),"",Sync!$V1314)</f>
        <v/>
      </c>
      <c r="P1318" t="str">
        <f>IF(OR($G1318="",Sync!$AD1314=""),"",Sync!$AD1314)</f>
        <v/>
      </c>
      <c r="Q1318" t="str">
        <f>IF($G1318="","",IF(Sync!$U1314="","0000",IF(AND(ISNUMBER(Sync!$U1314),Sync!$U1314&gt;=0,Sync!$U1314&lt;1),RIGHT("00"&amp;HOUR(Sync!$U1314),2)&amp;RIGHT("00"&amp;MINUTE(Sync!$U1314),2),IFERROR(RIGHT("00"&amp;VALUE(LEFT(Sync!$U1314,FIND(":",Sync!$U1314)-1)),2)&amp;RIGHT("00"&amp;VALUE(MID(Sync!$U1314,FIND(":",Sync!$U1314)+1,2)),2),"0000"))))</f>
        <v/>
      </c>
    </row>
    <row r="1319" spans="1:17" x14ac:dyDescent="0.2">
      <c r="A1319" t="str">
        <f>IF(Sync!$T1315="","",Sync!$T1315)</f>
        <v/>
      </c>
      <c r="B1319" t="str">
        <f t="shared" si="120"/>
        <v/>
      </c>
      <c r="C1319" t="str">
        <f t="shared" si="121"/>
        <v/>
      </c>
      <c r="D1319" t="str">
        <f t="shared" si="122"/>
        <v/>
      </c>
      <c r="E1319" t="str">
        <f t="shared" si="123"/>
        <v/>
      </c>
      <c r="F1319" t="str">
        <f t="shared" si="124"/>
        <v/>
      </c>
      <c r="G1319" t="str">
        <f>IF(OR($E1319="",$E1319="نامعتبر",Sync!$X1315=""),"",IF(AND(LEFT(UPPER(TRIM(Sync!$X1315)),2)="SL",IFERROR(VLOOKUP(Sync!$W1315,OpTbl,3,0),"")="فروش"),UPPER(TRIM(Sync!$X1315)),""))</f>
        <v/>
      </c>
      <c r="H1319" t="str">
        <f>IF($G1319="","",IF(Sync!$W1315="","",Sync!$W1315))</f>
        <v/>
      </c>
      <c r="I1319" t="str">
        <f>IF(OR($G1319="",Sync!$Y1315=""),"",Sync!$Y1315)</f>
        <v/>
      </c>
      <c r="J1319" t="str">
        <f>IF(OR($G1319="",Sync!$Z1315=""),"",Sync!$Z1315)</f>
        <v/>
      </c>
      <c r="K1319">
        <f>IF($G1319="",0,IF(Sync!$AA1315="",0,Sync!$AA1315))</f>
        <v>0</v>
      </c>
      <c r="L1319">
        <f>IF($G1319="",0,IF(Sync!$AB1315="",0,Sync!$AB1315))</f>
        <v>0</v>
      </c>
      <c r="M1319" t="str">
        <f t="shared" si="125"/>
        <v/>
      </c>
      <c r="N1319">
        <f>IF($G1319="",0,IF($H1319="مرجوعی فروش",-1,1)*IF(Sync!$AC1315="",0,Sync!$AC1315))</f>
        <v>0</v>
      </c>
      <c r="O1319" t="str">
        <f>IF(OR($G1319="",Sync!$V1315=""),"",Sync!$V1315)</f>
        <v/>
      </c>
      <c r="P1319" t="str">
        <f>IF(OR($G1319="",Sync!$AD1315=""),"",Sync!$AD1315)</f>
        <v/>
      </c>
      <c r="Q1319" t="str">
        <f>IF($G1319="","",IF(Sync!$U1315="","0000",IF(AND(ISNUMBER(Sync!$U1315),Sync!$U1315&gt;=0,Sync!$U1315&lt;1),RIGHT("00"&amp;HOUR(Sync!$U1315),2)&amp;RIGHT("00"&amp;MINUTE(Sync!$U1315),2),IFERROR(RIGHT("00"&amp;VALUE(LEFT(Sync!$U1315,FIND(":",Sync!$U1315)-1)),2)&amp;RIGHT("00"&amp;VALUE(MID(Sync!$U1315,FIND(":",Sync!$U1315)+1,2)),2),"0000"))))</f>
        <v/>
      </c>
    </row>
    <row r="1320" spans="1:17" x14ac:dyDescent="0.2">
      <c r="A1320" t="str">
        <f>IF(Sync!$T1316="","",Sync!$T1316)</f>
        <v/>
      </c>
      <c r="B1320" t="str">
        <f t="shared" si="120"/>
        <v/>
      </c>
      <c r="C1320" t="str">
        <f t="shared" si="121"/>
        <v/>
      </c>
      <c r="D1320" t="str">
        <f t="shared" si="122"/>
        <v/>
      </c>
      <c r="E1320" t="str">
        <f t="shared" si="123"/>
        <v/>
      </c>
      <c r="F1320" t="str">
        <f t="shared" si="124"/>
        <v/>
      </c>
      <c r="G1320" t="str">
        <f>IF(OR($E1320="",$E1320="نامعتبر",Sync!$X1316=""),"",IF(AND(LEFT(UPPER(TRIM(Sync!$X1316)),2)="SL",IFERROR(VLOOKUP(Sync!$W1316,OpTbl,3,0),"")="فروش"),UPPER(TRIM(Sync!$X1316)),""))</f>
        <v/>
      </c>
      <c r="H1320" t="str">
        <f>IF($G1320="","",IF(Sync!$W1316="","",Sync!$W1316))</f>
        <v/>
      </c>
      <c r="I1320" t="str">
        <f>IF(OR($G1320="",Sync!$Y1316=""),"",Sync!$Y1316)</f>
        <v/>
      </c>
      <c r="J1320" t="str">
        <f>IF(OR($G1320="",Sync!$Z1316=""),"",Sync!$Z1316)</f>
        <v/>
      </c>
      <c r="K1320">
        <f>IF($G1320="",0,IF(Sync!$AA1316="",0,Sync!$AA1316))</f>
        <v>0</v>
      </c>
      <c r="L1320">
        <f>IF($G1320="",0,IF(Sync!$AB1316="",0,Sync!$AB1316))</f>
        <v>0</v>
      </c>
      <c r="M1320" t="str">
        <f t="shared" si="125"/>
        <v/>
      </c>
      <c r="N1320">
        <f>IF($G1320="",0,IF($H1320="مرجوعی فروش",-1,1)*IF(Sync!$AC1316="",0,Sync!$AC1316))</f>
        <v>0</v>
      </c>
      <c r="O1320" t="str">
        <f>IF(OR($G1320="",Sync!$V1316=""),"",Sync!$V1316)</f>
        <v/>
      </c>
      <c r="P1320" t="str">
        <f>IF(OR($G1320="",Sync!$AD1316=""),"",Sync!$AD1316)</f>
        <v/>
      </c>
      <c r="Q1320" t="str">
        <f>IF($G1320="","",IF(Sync!$U1316="","0000",IF(AND(ISNUMBER(Sync!$U1316),Sync!$U1316&gt;=0,Sync!$U1316&lt;1),RIGHT("00"&amp;HOUR(Sync!$U1316),2)&amp;RIGHT("00"&amp;MINUTE(Sync!$U1316),2),IFERROR(RIGHT("00"&amp;VALUE(LEFT(Sync!$U1316,FIND(":",Sync!$U1316)-1)),2)&amp;RIGHT("00"&amp;VALUE(MID(Sync!$U1316,FIND(":",Sync!$U1316)+1,2)),2),"0000"))))</f>
        <v/>
      </c>
    </row>
    <row r="1321" spans="1:17" x14ac:dyDescent="0.2">
      <c r="A1321" t="str">
        <f>IF(Sync!$T1317="","",Sync!$T1317)</f>
        <v/>
      </c>
      <c r="B1321" t="str">
        <f t="shared" si="120"/>
        <v/>
      </c>
      <c r="C1321" t="str">
        <f t="shared" si="121"/>
        <v/>
      </c>
      <c r="D1321" t="str">
        <f t="shared" si="122"/>
        <v/>
      </c>
      <c r="E1321" t="str">
        <f t="shared" si="123"/>
        <v/>
      </c>
      <c r="F1321" t="str">
        <f t="shared" si="124"/>
        <v/>
      </c>
      <c r="G1321" t="str">
        <f>IF(OR($E1321="",$E1321="نامعتبر",Sync!$X1317=""),"",IF(AND(LEFT(UPPER(TRIM(Sync!$X1317)),2)="SL",IFERROR(VLOOKUP(Sync!$W1317,OpTbl,3,0),"")="فروش"),UPPER(TRIM(Sync!$X1317)),""))</f>
        <v/>
      </c>
      <c r="H1321" t="str">
        <f>IF($G1321="","",IF(Sync!$W1317="","",Sync!$W1317))</f>
        <v/>
      </c>
      <c r="I1321" t="str">
        <f>IF(OR($G1321="",Sync!$Y1317=""),"",Sync!$Y1317)</f>
        <v/>
      </c>
      <c r="J1321" t="str">
        <f>IF(OR($G1321="",Sync!$Z1317=""),"",Sync!$Z1317)</f>
        <v/>
      </c>
      <c r="K1321">
        <f>IF($G1321="",0,IF(Sync!$AA1317="",0,Sync!$AA1317))</f>
        <v>0</v>
      </c>
      <c r="L1321">
        <f>IF($G1321="",0,IF(Sync!$AB1317="",0,Sync!$AB1317))</f>
        <v>0</v>
      </c>
      <c r="M1321" t="str">
        <f t="shared" si="125"/>
        <v/>
      </c>
      <c r="N1321">
        <f>IF($G1321="",0,IF($H1321="مرجوعی فروش",-1,1)*IF(Sync!$AC1317="",0,Sync!$AC1317))</f>
        <v>0</v>
      </c>
      <c r="O1321" t="str">
        <f>IF(OR($G1321="",Sync!$V1317=""),"",Sync!$V1317)</f>
        <v/>
      </c>
      <c r="P1321" t="str">
        <f>IF(OR($G1321="",Sync!$AD1317=""),"",Sync!$AD1317)</f>
        <v/>
      </c>
      <c r="Q1321" t="str">
        <f>IF($G1321="","",IF(Sync!$U1317="","0000",IF(AND(ISNUMBER(Sync!$U1317),Sync!$U1317&gt;=0,Sync!$U1317&lt;1),RIGHT("00"&amp;HOUR(Sync!$U1317),2)&amp;RIGHT("00"&amp;MINUTE(Sync!$U1317),2),IFERROR(RIGHT("00"&amp;VALUE(LEFT(Sync!$U1317,FIND(":",Sync!$U1317)-1)),2)&amp;RIGHT("00"&amp;VALUE(MID(Sync!$U1317,FIND(":",Sync!$U1317)+1,2)),2),"0000"))))</f>
        <v/>
      </c>
    </row>
    <row r="1322" spans="1:17" x14ac:dyDescent="0.2">
      <c r="A1322" t="str">
        <f>IF(Sync!$T1318="","",Sync!$T1318)</f>
        <v/>
      </c>
      <c r="B1322" t="str">
        <f t="shared" si="120"/>
        <v/>
      </c>
      <c r="C1322" t="str">
        <f t="shared" si="121"/>
        <v/>
      </c>
      <c r="D1322" t="str">
        <f t="shared" si="122"/>
        <v/>
      </c>
      <c r="E1322" t="str">
        <f t="shared" si="123"/>
        <v/>
      </c>
      <c r="F1322" t="str">
        <f t="shared" si="124"/>
        <v/>
      </c>
      <c r="G1322" t="str">
        <f>IF(OR($E1322="",$E1322="نامعتبر",Sync!$X1318=""),"",IF(AND(LEFT(UPPER(TRIM(Sync!$X1318)),2)="SL",IFERROR(VLOOKUP(Sync!$W1318,OpTbl,3,0),"")="فروش"),UPPER(TRIM(Sync!$X1318)),""))</f>
        <v/>
      </c>
      <c r="H1322" t="str">
        <f>IF($G1322="","",IF(Sync!$W1318="","",Sync!$W1318))</f>
        <v/>
      </c>
      <c r="I1322" t="str">
        <f>IF(OR($G1322="",Sync!$Y1318=""),"",Sync!$Y1318)</f>
        <v/>
      </c>
      <c r="J1322" t="str">
        <f>IF(OR($G1322="",Sync!$Z1318=""),"",Sync!$Z1318)</f>
        <v/>
      </c>
      <c r="K1322">
        <f>IF($G1322="",0,IF(Sync!$AA1318="",0,Sync!$AA1318))</f>
        <v>0</v>
      </c>
      <c r="L1322">
        <f>IF($G1322="",0,IF(Sync!$AB1318="",0,Sync!$AB1318))</f>
        <v>0</v>
      </c>
      <c r="M1322" t="str">
        <f t="shared" si="125"/>
        <v/>
      </c>
      <c r="N1322">
        <f>IF($G1322="",0,IF($H1322="مرجوعی فروش",-1,1)*IF(Sync!$AC1318="",0,Sync!$AC1318))</f>
        <v>0</v>
      </c>
      <c r="O1322" t="str">
        <f>IF(OR($G1322="",Sync!$V1318=""),"",Sync!$V1318)</f>
        <v/>
      </c>
      <c r="P1322" t="str">
        <f>IF(OR($G1322="",Sync!$AD1318=""),"",Sync!$AD1318)</f>
        <v/>
      </c>
      <c r="Q1322" t="str">
        <f>IF($G1322="","",IF(Sync!$U1318="","0000",IF(AND(ISNUMBER(Sync!$U1318),Sync!$U1318&gt;=0,Sync!$U1318&lt;1),RIGHT("00"&amp;HOUR(Sync!$U1318),2)&amp;RIGHT("00"&amp;MINUTE(Sync!$U1318),2),IFERROR(RIGHT("00"&amp;VALUE(LEFT(Sync!$U1318,FIND(":",Sync!$U1318)-1)),2)&amp;RIGHT("00"&amp;VALUE(MID(Sync!$U1318,FIND(":",Sync!$U1318)+1,2)),2),"0000"))))</f>
        <v/>
      </c>
    </row>
    <row r="1323" spans="1:17" x14ac:dyDescent="0.2">
      <c r="A1323" t="str">
        <f>IF(Sync!$T1319="","",Sync!$T1319)</f>
        <v/>
      </c>
      <c r="B1323" t="str">
        <f t="shared" si="120"/>
        <v/>
      </c>
      <c r="C1323" t="str">
        <f t="shared" si="121"/>
        <v/>
      </c>
      <c r="D1323" t="str">
        <f t="shared" si="122"/>
        <v/>
      </c>
      <c r="E1323" t="str">
        <f t="shared" si="123"/>
        <v/>
      </c>
      <c r="F1323" t="str">
        <f t="shared" si="124"/>
        <v/>
      </c>
      <c r="G1323" t="str">
        <f>IF(OR($E1323="",$E1323="نامعتبر",Sync!$X1319=""),"",IF(AND(LEFT(UPPER(TRIM(Sync!$X1319)),2)="SL",IFERROR(VLOOKUP(Sync!$W1319,OpTbl,3,0),"")="فروش"),UPPER(TRIM(Sync!$X1319)),""))</f>
        <v/>
      </c>
      <c r="H1323" t="str">
        <f>IF($G1323="","",IF(Sync!$W1319="","",Sync!$W1319))</f>
        <v/>
      </c>
      <c r="I1323" t="str">
        <f>IF(OR($G1323="",Sync!$Y1319=""),"",Sync!$Y1319)</f>
        <v/>
      </c>
      <c r="J1323" t="str">
        <f>IF(OR($G1323="",Sync!$Z1319=""),"",Sync!$Z1319)</f>
        <v/>
      </c>
      <c r="K1323">
        <f>IF($G1323="",0,IF(Sync!$AA1319="",0,Sync!$AA1319))</f>
        <v>0</v>
      </c>
      <c r="L1323">
        <f>IF($G1323="",0,IF(Sync!$AB1319="",0,Sync!$AB1319))</f>
        <v>0</v>
      </c>
      <c r="M1323" t="str">
        <f t="shared" si="125"/>
        <v/>
      </c>
      <c r="N1323">
        <f>IF($G1323="",0,IF($H1323="مرجوعی فروش",-1,1)*IF(Sync!$AC1319="",0,Sync!$AC1319))</f>
        <v>0</v>
      </c>
      <c r="O1323" t="str">
        <f>IF(OR($G1323="",Sync!$V1319=""),"",Sync!$V1319)</f>
        <v/>
      </c>
      <c r="P1323" t="str">
        <f>IF(OR($G1323="",Sync!$AD1319=""),"",Sync!$AD1319)</f>
        <v/>
      </c>
      <c r="Q1323" t="str">
        <f>IF($G1323="","",IF(Sync!$U1319="","0000",IF(AND(ISNUMBER(Sync!$U1319),Sync!$U1319&gt;=0,Sync!$U1319&lt;1),RIGHT("00"&amp;HOUR(Sync!$U1319),2)&amp;RIGHT("00"&amp;MINUTE(Sync!$U1319),2),IFERROR(RIGHT("00"&amp;VALUE(LEFT(Sync!$U1319,FIND(":",Sync!$U1319)-1)),2)&amp;RIGHT("00"&amp;VALUE(MID(Sync!$U1319,FIND(":",Sync!$U1319)+1,2)),2),"0000"))))</f>
        <v/>
      </c>
    </row>
    <row r="1324" spans="1:17" x14ac:dyDescent="0.2">
      <c r="A1324" t="str">
        <f>IF(Sync!$T1320="","",Sync!$T1320)</f>
        <v/>
      </c>
      <c r="B1324" t="str">
        <f t="shared" si="120"/>
        <v/>
      </c>
      <c r="C1324" t="str">
        <f t="shared" si="121"/>
        <v/>
      </c>
      <c r="D1324" t="str">
        <f t="shared" si="122"/>
        <v/>
      </c>
      <c r="E1324" t="str">
        <f t="shared" si="123"/>
        <v/>
      </c>
      <c r="F1324" t="str">
        <f t="shared" si="124"/>
        <v/>
      </c>
      <c r="G1324" t="str">
        <f>IF(OR($E1324="",$E1324="نامعتبر",Sync!$X1320=""),"",IF(AND(LEFT(UPPER(TRIM(Sync!$X1320)),2)="SL",IFERROR(VLOOKUP(Sync!$W1320,OpTbl,3,0),"")="فروش"),UPPER(TRIM(Sync!$X1320)),""))</f>
        <v/>
      </c>
      <c r="H1324" t="str">
        <f>IF($G1324="","",IF(Sync!$W1320="","",Sync!$W1320))</f>
        <v/>
      </c>
      <c r="I1324" t="str">
        <f>IF(OR($G1324="",Sync!$Y1320=""),"",Sync!$Y1320)</f>
        <v/>
      </c>
      <c r="J1324" t="str">
        <f>IF(OR($G1324="",Sync!$Z1320=""),"",Sync!$Z1320)</f>
        <v/>
      </c>
      <c r="K1324">
        <f>IF($G1324="",0,IF(Sync!$AA1320="",0,Sync!$AA1320))</f>
        <v>0</v>
      </c>
      <c r="L1324">
        <f>IF($G1324="",0,IF(Sync!$AB1320="",0,Sync!$AB1320))</f>
        <v>0</v>
      </c>
      <c r="M1324" t="str">
        <f t="shared" si="125"/>
        <v/>
      </c>
      <c r="N1324">
        <f>IF($G1324="",0,IF($H1324="مرجوعی فروش",-1,1)*IF(Sync!$AC1320="",0,Sync!$AC1320))</f>
        <v>0</v>
      </c>
      <c r="O1324" t="str">
        <f>IF(OR($G1324="",Sync!$V1320=""),"",Sync!$V1320)</f>
        <v/>
      </c>
      <c r="P1324" t="str">
        <f>IF(OR($G1324="",Sync!$AD1320=""),"",Sync!$AD1320)</f>
        <v/>
      </c>
      <c r="Q1324" t="str">
        <f>IF($G1324="","",IF(Sync!$U1320="","0000",IF(AND(ISNUMBER(Sync!$U1320),Sync!$U1320&gt;=0,Sync!$U1320&lt;1),RIGHT("00"&amp;HOUR(Sync!$U1320),2)&amp;RIGHT("00"&amp;MINUTE(Sync!$U1320),2),IFERROR(RIGHT("00"&amp;VALUE(LEFT(Sync!$U1320,FIND(":",Sync!$U1320)-1)),2)&amp;RIGHT("00"&amp;VALUE(MID(Sync!$U1320,FIND(":",Sync!$U1320)+1,2)),2),"0000"))))</f>
        <v/>
      </c>
    </row>
    <row r="1325" spans="1:17" x14ac:dyDescent="0.2">
      <c r="A1325" t="str">
        <f>IF(Sync!$T1321="","",Sync!$T1321)</f>
        <v/>
      </c>
      <c r="B1325" t="str">
        <f t="shared" si="120"/>
        <v/>
      </c>
      <c r="C1325" t="str">
        <f t="shared" si="121"/>
        <v/>
      </c>
      <c r="D1325" t="str">
        <f t="shared" si="122"/>
        <v/>
      </c>
      <c r="E1325" t="str">
        <f t="shared" si="123"/>
        <v/>
      </c>
      <c r="F1325" t="str">
        <f t="shared" si="124"/>
        <v/>
      </c>
      <c r="G1325" t="str">
        <f>IF(OR($E1325="",$E1325="نامعتبر",Sync!$X1321=""),"",IF(AND(LEFT(UPPER(TRIM(Sync!$X1321)),2)="SL",IFERROR(VLOOKUP(Sync!$W1321,OpTbl,3,0),"")="فروش"),UPPER(TRIM(Sync!$X1321)),""))</f>
        <v/>
      </c>
      <c r="H1325" t="str">
        <f>IF($G1325="","",IF(Sync!$W1321="","",Sync!$W1321))</f>
        <v/>
      </c>
      <c r="I1325" t="str">
        <f>IF(OR($G1325="",Sync!$Y1321=""),"",Sync!$Y1321)</f>
        <v/>
      </c>
      <c r="J1325" t="str">
        <f>IF(OR($G1325="",Sync!$Z1321=""),"",Sync!$Z1321)</f>
        <v/>
      </c>
      <c r="K1325">
        <f>IF($G1325="",0,IF(Sync!$AA1321="",0,Sync!$AA1321))</f>
        <v>0</v>
      </c>
      <c r="L1325">
        <f>IF($G1325="",0,IF(Sync!$AB1321="",0,Sync!$AB1321))</f>
        <v>0</v>
      </c>
      <c r="M1325" t="str">
        <f t="shared" si="125"/>
        <v/>
      </c>
      <c r="N1325">
        <f>IF($G1325="",0,IF($H1325="مرجوعی فروش",-1,1)*IF(Sync!$AC1321="",0,Sync!$AC1321))</f>
        <v>0</v>
      </c>
      <c r="O1325" t="str">
        <f>IF(OR($G1325="",Sync!$V1321=""),"",Sync!$V1321)</f>
        <v/>
      </c>
      <c r="P1325" t="str">
        <f>IF(OR($G1325="",Sync!$AD1321=""),"",Sync!$AD1321)</f>
        <v/>
      </c>
      <c r="Q1325" t="str">
        <f>IF($G1325="","",IF(Sync!$U1321="","0000",IF(AND(ISNUMBER(Sync!$U1321),Sync!$U1321&gt;=0,Sync!$U1321&lt;1),RIGHT("00"&amp;HOUR(Sync!$U1321),2)&amp;RIGHT("00"&amp;MINUTE(Sync!$U1321),2),IFERROR(RIGHT("00"&amp;VALUE(LEFT(Sync!$U1321,FIND(":",Sync!$U1321)-1)),2)&amp;RIGHT("00"&amp;VALUE(MID(Sync!$U1321,FIND(":",Sync!$U1321)+1,2)),2),"0000"))))</f>
        <v/>
      </c>
    </row>
    <row r="1326" spans="1:17" x14ac:dyDescent="0.2">
      <c r="A1326" t="str">
        <f>IF(Sync!$T1322="","",Sync!$T1322)</f>
        <v/>
      </c>
      <c r="B1326" t="str">
        <f t="shared" si="120"/>
        <v/>
      </c>
      <c r="C1326" t="str">
        <f t="shared" si="121"/>
        <v/>
      </c>
      <c r="D1326" t="str">
        <f t="shared" si="122"/>
        <v/>
      </c>
      <c r="E1326" t="str">
        <f t="shared" si="123"/>
        <v/>
      </c>
      <c r="F1326" t="str">
        <f t="shared" si="124"/>
        <v/>
      </c>
      <c r="G1326" t="str">
        <f>IF(OR($E1326="",$E1326="نامعتبر",Sync!$X1322=""),"",IF(AND(LEFT(UPPER(TRIM(Sync!$X1322)),2)="SL",IFERROR(VLOOKUP(Sync!$W1322,OpTbl,3,0),"")="فروش"),UPPER(TRIM(Sync!$X1322)),""))</f>
        <v/>
      </c>
      <c r="H1326" t="str">
        <f>IF($G1326="","",IF(Sync!$W1322="","",Sync!$W1322))</f>
        <v/>
      </c>
      <c r="I1326" t="str">
        <f>IF(OR($G1326="",Sync!$Y1322=""),"",Sync!$Y1322)</f>
        <v/>
      </c>
      <c r="J1326" t="str">
        <f>IF(OR($G1326="",Sync!$Z1322=""),"",Sync!$Z1322)</f>
        <v/>
      </c>
      <c r="K1326">
        <f>IF($G1326="",0,IF(Sync!$AA1322="",0,Sync!$AA1322))</f>
        <v>0</v>
      </c>
      <c r="L1326">
        <f>IF($G1326="",0,IF(Sync!$AB1322="",0,Sync!$AB1322))</f>
        <v>0</v>
      </c>
      <c r="M1326" t="str">
        <f t="shared" si="125"/>
        <v/>
      </c>
      <c r="N1326">
        <f>IF($G1326="",0,IF($H1326="مرجوعی فروش",-1,1)*IF(Sync!$AC1322="",0,Sync!$AC1322))</f>
        <v>0</v>
      </c>
      <c r="O1326" t="str">
        <f>IF(OR($G1326="",Sync!$V1322=""),"",Sync!$V1322)</f>
        <v/>
      </c>
      <c r="P1326" t="str">
        <f>IF(OR($G1326="",Sync!$AD1322=""),"",Sync!$AD1322)</f>
        <v/>
      </c>
      <c r="Q1326" t="str">
        <f>IF($G1326="","",IF(Sync!$U1322="","0000",IF(AND(ISNUMBER(Sync!$U1322),Sync!$U1322&gt;=0,Sync!$U1322&lt;1),RIGHT("00"&amp;HOUR(Sync!$U1322),2)&amp;RIGHT("00"&amp;MINUTE(Sync!$U1322),2),IFERROR(RIGHT("00"&amp;VALUE(LEFT(Sync!$U1322,FIND(":",Sync!$U1322)-1)),2)&amp;RIGHT("00"&amp;VALUE(MID(Sync!$U1322,FIND(":",Sync!$U1322)+1,2)),2),"0000"))))</f>
        <v/>
      </c>
    </row>
    <row r="1327" spans="1:17" x14ac:dyDescent="0.2">
      <c r="A1327" t="str">
        <f>IF(Sync!$T1323="","",Sync!$T1323)</f>
        <v/>
      </c>
      <c r="B1327" t="str">
        <f t="shared" si="120"/>
        <v/>
      </c>
      <c r="C1327" t="str">
        <f t="shared" si="121"/>
        <v/>
      </c>
      <c r="D1327" t="str">
        <f t="shared" si="122"/>
        <v/>
      </c>
      <c r="E1327" t="str">
        <f t="shared" si="123"/>
        <v/>
      </c>
      <c r="F1327" t="str">
        <f t="shared" si="124"/>
        <v/>
      </c>
      <c r="G1327" t="str">
        <f>IF(OR($E1327="",$E1327="نامعتبر",Sync!$X1323=""),"",IF(AND(LEFT(UPPER(TRIM(Sync!$X1323)),2)="SL",IFERROR(VLOOKUP(Sync!$W1323,OpTbl,3,0),"")="فروش"),UPPER(TRIM(Sync!$X1323)),""))</f>
        <v/>
      </c>
      <c r="H1327" t="str">
        <f>IF($G1327="","",IF(Sync!$W1323="","",Sync!$W1323))</f>
        <v/>
      </c>
      <c r="I1327" t="str">
        <f>IF(OR($G1327="",Sync!$Y1323=""),"",Sync!$Y1323)</f>
        <v/>
      </c>
      <c r="J1327" t="str">
        <f>IF(OR($G1327="",Sync!$Z1323=""),"",Sync!$Z1323)</f>
        <v/>
      </c>
      <c r="K1327">
        <f>IF($G1327="",0,IF(Sync!$AA1323="",0,Sync!$AA1323))</f>
        <v>0</v>
      </c>
      <c r="L1327">
        <f>IF($G1327="",0,IF(Sync!$AB1323="",0,Sync!$AB1323))</f>
        <v>0</v>
      </c>
      <c r="M1327" t="str">
        <f t="shared" si="125"/>
        <v/>
      </c>
      <c r="N1327">
        <f>IF($G1327="",0,IF($H1327="مرجوعی فروش",-1,1)*IF(Sync!$AC1323="",0,Sync!$AC1323))</f>
        <v>0</v>
      </c>
      <c r="O1327" t="str">
        <f>IF(OR($G1327="",Sync!$V1323=""),"",Sync!$V1323)</f>
        <v/>
      </c>
      <c r="P1327" t="str">
        <f>IF(OR($G1327="",Sync!$AD1323=""),"",Sync!$AD1323)</f>
        <v/>
      </c>
      <c r="Q1327" t="str">
        <f>IF($G1327="","",IF(Sync!$U1323="","0000",IF(AND(ISNUMBER(Sync!$U1323),Sync!$U1323&gt;=0,Sync!$U1323&lt;1),RIGHT("00"&amp;HOUR(Sync!$U1323),2)&amp;RIGHT("00"&amp;MINUTE(Sync!$U1323),2),IFERROR(RIGHT("00"&amp;VALUE(LEFT(Sync!$U1323,FIND(":",Sync!$U1323)-1)),2)&amp;RIGHT("00"&amp;VALUE(MID(Sync!$U1323,FIND(":",Sync!$U1323)+1,2)),2),"0000"))))</f>
        <v/>
      </c>
    </row>
    <row r="1328" spans="1:17" x14ac:dyDescent="0.2">
      <c r="A1328" t="str">
        <f>IF(Sync!$T1324="","",Sync!$T1324)</f>
        <v/>
      </c>
      <c r="B1328" t="str">
        <f t="shared" si="120"/>
        <v/>
      </c>
      <c r="C1328" t="str">
        <f t="shared" si="121"/>
        <v/>
      </c>
      <c r="D1328" t="str">
        <f t="shared" si="122"/>
        <v/>
      </c>
      <c r="E1328" t="str">
        <f t="shared" si="123"/>
        <v/>
      </c>
      <c r="F1328" t="str">
        <f t="shared" si="124"/>
        <v/>
      </c>
      <c r="G1328" t="str">
        <f>IF(OR($E1328="",$E1328="نامعتبر",Sync!$X1324=""),"",IF(AND(LEFT(UPPER(TRIM(Sync!$X1324)),2)="SL",IFERROR(VLOOKUP(Sync!$W1324,OpTbl,3,0),"")="فروش"),UPPER(TRIM(Sync!$X1324)),""))</f>
        <v/>
      </c>
      <c r="H1328" t="str">
        <f>IF($G1328="","",IF(Sync!$W1324="","",Sync!$W1324))</f>
        <v/>
      </c>
      <c r="I1328" t="str">
        <f>IF(OR($G1328="",Sync!$Y1324=""),"",Sync!$Y1324)</f>
        <v/>
      </c>
      <c r="J1328" t="str">
        <f>IF(OR($G1328="",Sync!$Z1324=""),"",Sync!$Z1324)</f>
        <v/>
      </c>
      <c r="K1328">
        <f>IF($G1328="",0,IF(Sync!$AA1324="",0,Sync!$AA1324))</f>
        <v>0</v>
      </c>
      <c r="L1328">
        <f>IF($G1328="",0,IF(Sync!$AB1324="",0,Sync!$AB1324))</f>
        <v>0</v>
      </c>
      <c r="M1328" t="str">
        <f t="shared" si="125"/>
        <v/>
      </c>
      <c r="N1328">
        <f>IF($G1328="",0,IF($H1328="مرجوعی فروش",-1,1)*IF(Sync!$AC1324="",0,Sync!$AC1324))</f>
        <v>0</v>
      </c>
      <c r="O1328" t="str">
        <f>IF(OR($G1328="",Sync!$V1324=""),"",Sync!$V1324)</f>
        <v/>
      </c>
      <c r="P1328" t="str">
        <f>IF(OR($G1328="",Sync!$AD1324=""),"",Sync!$AD1324)</f>
        <v/>
      </c>
      <c r="Q1328" t="str">
        <f>IF($G1328="","",IF(Sync!$U1324="","0000",IF(AND(ISNUMBER(Sync!$U1324),Sync!$U1324&gt;=0,Sync!$U1324&lt;1),RIGHT("00"&amp;HOUR(Sync!$U1324),2)&amp;RIGHT("00"&amp;MINUTE(Sync!$U1324),2),IFERROR(RIGHT("00"&amp;VALUE(LEFT(Sync!$U1324,FIND(":",Sync!$U1324)-1)),2)&amp;RIGHT("00"&amp;VALUE(MID(Sync!$U1324,FIND(":",Sync!$U1324)+1,2)),2),"0000"))))</f>
        <v/>
      </c>
    </row>
    <row r="1329" spans="1:17" x14ac:dyDescent="0.2">
      <c r="A1329" t="str">
        <f>IF(Sync!$T1325="","",Sync!$T1325)</f>
        <v/>
      </c>
      <c r="B1329" t="str">
        <f t="shared" si="120"/>
        <v/>
      </c>
      <c r="C1329" t="str">
        <f t="shared" si="121"/>
        <v/>
      </c>
      <c r="D1329" t="str">
        <f t="shared" si="122"/>
        <v/>
      </c>
      <c r="E1329" t="str">
        <f t="shared" si="123"/>
        <v/>
      </c>
      <c r="F1329" t="str">
        <f t="shared" si="124"/>
        <v/>
      </c>
      <c r="G1329" t="str">
        <f>IF(OR($E1329="",$E1329="نامعتبر",Sync!$X1325=""),"",IF(AND(LEFT(UPPER(TRIM(Sync!$X1325)),2)="SL",IFERROR(VLOOKUP(Sync!$W1325,OpTbl,3,0),"")="فروش"),UPPER(TRIM(Sync!$X1325)),""))</f>
        <v/>
      </c>
      <c r="H1329" t="str">
        <f>IF($G1329="","",IF(Sync!$W1325="","",Sync!$W1325))</f>
        <v/>
      </c>
      <c r="I1329" t="str">
        <f>IF(OR($G1329="",Sync!$Y1325=""),"",Sync!$Y1325)</f>
        <v/>
      </c>
      <c r="J1329" t="str">
        <f>IF(OR($G1329="",Sync!$Z1325=""),"",Sync!$Z1325)</f>
        <v/>
      </c>
      <c r="K1329">
        <f>IF($G1329="",0,IF(Sync!$AA1325="",0,Sync!$AA1325))</f>
        <v>0</v>
      </c>
      <c r="L1329">
        <f>IF($G1329="",0,IF(Sync!$AB1325="",0,Sync!$AB1325))</f>
        <v>0</v>
      </c>
      <c r="M1329" t="str">
        <f t="shared" si="125"/>
        <v/>
      </c>
      <c r="N1329">
        <f>IF($G1329="",0,IF($H1329="مرجوعی فروش",-1,1)*IF(Sync!$AC1325="",0,Sync!$AC1325))</f>
        <v>0</v>
      </c>
      <c r="O1329" t="str">
        <f>IF(OR($G1329="",Sync!$V1325=""),"",Sync!$V1325)</f>
        <v/>
      </c>
      <c r="P1329" t="str">
        <f>IF(OR($G1329="",Sync!$AD1325=""),"",Sync!$AD1325)</f>
        <v/>
      </c>
      <c r="Q1329" t="str">
        <f>IF($G1329="","",IF(Sync!$U1325="","0000",IF(AND(ISNUMBER(Sync!$U1325),Sync!$U1325&gt;=0,Sync!$U1325&lt;1),RIGHT("00"&amp;HOUR(Sync!$U1325),2)&amp;RIGHT("00"&amp;MINUTE(Sync!$U1325),2),IFERROR(RIGHT("00"&amp;VALUE(LEFT(Sync!$U1325,FIND(":",Sync!$U1325)-1)),2)&amp;RIGHT("00"&amp;VALUE(MID(Sync!$U1325,FIND(":",Sync!$U1325)+1,2)),2),"0000"))))</f>
        <v/>
      </c>
    </row>
    <row r="1330" spans="1:17" x14ac:dyDescent="0.2">
      <c r="A1330" t="str">
        <f>IF(Sync!$T1326="","",Sync!$T1326)</f>
        <v/>
      </c>
      <c r="B1330" t="str">
        <f t="shared" si="120"/>
        <v/>
      </c>
      <c r="C1330" t="str">
        <f t="shared" si="121"/>
        <v/>
      </c>
      <c r="D1330" t="str">
        <f t="shared" si="122"/>
        <v/>
      </c>
      <c r="E1330" t="str">
        <f t="shared" si="123"/>
        <v/>
      </c>
      <c r="F1330" t="str">
        <f t="shared" si="124"/>
        <v/>
      </c>
      <c r="G1330" t="str">
        <f>IF(OR($E1330="",$E1330="نامعتبر",Sync!$X1326=""),"",IF(AND(LEFT(UPPER(TRIM(Sync!$X1326)),2)="SL",IFERROR(VLOOKUP(Sync!$W1326,OpTbl,3,0),"")="فروش"),UPPER(TRIM(Sync!$X1326)),""))</f>
        <v/>
      </c>
      <c r="H1330" t="str">
        <f>IF($G1330="","",IF(Sync!$W1326="","",Sync!$W1326))</f>
        <v/>
      </c>
      <c r="I1330" t="str">
        <f>IF(OR($G1330="",Sync!$Y1326=""),"",Sync!$Y1326)</f>
        <v/>
      </c>
      <c r="J1330" t="str">
        <f>IF(OR($G1330="",Sync!$Z1326=""),"",Sync!$Z1326)</f>
        <v/>
      </c>
      <c r="K1330">
        <f>IF($G1330="",0,IF(Sync!$AA1326="",0,Sync!$AA1326))</f>
        <v>0</v>
      </c>
      <c r="L1330">
        <f>IF($G1330="",0,IF(Sync!$AB1326="",0,Sync!$AB1326))</f>
        <v>0</v>
      </c>
      <c r="M1330" t="str">
        <f t="shared" si="125"/>
        <v/>
      </c>
      <c r="N1330">
        <f>IF($G1330="",0,IF($H1330="مرجوعی فروش",-1,1)*IF(Sync!$AC1326="",0,Sync!$AC1326))</f>
        <v>0</v>
      </c>
      <c r="O1330" t="str">
        <f>IF(OR($G1330="",Sync!$V1326=""),"",Sync!$V1326)</f>
        <v/>
      </c>
      <c r="P1330" t="str">
        <f>IF(OR($G1330="",Sync!$AD1326=""),"",Sync!$AD1326)</f>
        <v/>
      </c>
      <c r="Q1330" t="str">
        <f>IF($G1330="","",IF(Sync!$U1326="","0000",IF(AND(ISNUMBER(Sync!$U1326),Sync!$U1326&gt;=0,Sync!$U1326&lt;1),RIGHT("00"&amp;HOUR(Sync!$U1326),2)&amp;RIGHT("00"&amp;MINUTE(Sync!$U1326),2),IFERROR(RIGHT("00"&amp;VALUE(LEFT(Sync!$U1326,FIND(":",Sync!$U1326)-1)),2)&amp;RIGHT("00"&amp;VALUE(MID(Sync!$U1326,FIND(":",Sync!$U1326)+1,2)),2),"0000"))))</f>
        <v/>
      </c>
    </row>
    <row r="1331" spans="1:17" x14ac:dyDescent="0.2">
      <c r="A1331" t="str">
        <f>IF(Sync!$T1327="","",Sync!$T1327)</f>
        <v/>
      </c>
      <c r="B1331" t="str">
        <f t="shared" si="120"/>
        <v/>
      </c>
      <c r="C1331" t="str">
        <f t="shared" si="121"/>
        <v/>
      </c>
      <c r="D1331" t="str">
        <f t="shared" si="122"/>
        <v/>
      </c>
      <c r="E1331" t="str">
        <f t="shared" si="123"/>
        <v/>
      </c>
      <c r="F1331" t="str">
        <f t="shared" si="124"/>
        <v/>
      </c>
      <c r="G1331" t="str">
        <f>IF(OR($E1331="",$E1331="نامعتبر",Sync!$X1327=""),"",IF(AND(LEFT(UPPER(TRIM(Sync!$X1327)),2)="SL",IFERROR(VLOOKUP(Sync!$W1327,OpTbl,3,0),"")="فروش"),UPPER(TRIM(Sync!$X1327)),""))</f>
        <v/>
      </c>
      <c r="H1331" t="str">
        <f>IF($G1331="","",IF(Sync!$W1327="","",Sync!$W1327))</f>
        <v/>
      </c>
      <c r="I1331" t="str">
        <f>IF(OR($G1331="",Sync!$Y1327=""),"",Sync!$Y1327)</f>
        <v/>
      </c>
      <c r="J1331" t="str">
        <f>IF(OR($G1331="",Sync!$Z1327=""),"",Sync!$Z1327)</f>
        <v/>
      </c>
      <c r="K1331">
        <f>IF($G1331="",0,IF(Sync!$AA1327="",0,Sync!$AA1327))</f>
        <v>0</v>
      </c>
      <c r="L1331">
        <f>IF($G1331="",0,IF(Sync!$AB1327="",0,Sync!$AB1327))</f>
        <v>0</v>
      </c>
      <c r="M1331" t="str">
        <f t="shared" si="125"/>
        <v/>
      </c>
      <c r="N1331">
        <f>IF($G1331="",0,IF($H1331="مرجوعی فروش",-1,1)*IF(Sync!$AC1327="",0,Sync!$AC1327))</f>
        <v>0</v>
      </c>
      <c r="O1331" t="str">
        <f>IF(OR($G1331="",Sync!$V1327=""),"",Sync!$V1327)</f>
        <v/>
      </c>
      <c r="P1331" t="str">
        <f>IF(OR($G1331="",Sync!$AD1327=""),"",Sync!$AD1327)</f>
        <v/>
      </c>
      <c r="Q1331" t="str">
        <f>IF($G1331="","",IF(Sync!$U1327="","0000",IF(AND(ISNUMBER(Sync!$U1327),Sync!$U1327&gt;=0,Sync!$U1327&lt;1),RIGHT("00"&amp;HOUR(Sync!$U1327),2)&amp;RIGHT("00"&amp;MINUTE(Sync!$U1327),2),IFERROR(RIGHT("00"&amp;VALUE(LEFT(Sync!$U1327,FIND(":",Sync!$U1327)-1)),2)&amp;RIGHT("00"&amp;VALUE(MID(Sync!$U1327,FIND(":",Sync!$U1327)+1,2)),2),"0000"))))</f>
        <v/>
      </c>
    </row>
    <row r="1332" spans="1:17" x14ac:dyDescent="0.2">
      <c r="A1332" t="str">
        <f>IF(Sync!$T1328="","",Sync!$T1328)</f>
        <v/>
      </c>
      <c r="B1332" t="str">
        <f t="shared" si="120"/>
        <v/>
      </c>
      <c r="C1332" t="str">
        <f t="shared" si="121"/>
        <v/>
      </c>
      <c r="D1332" t="str">
        <f t="shared" si="122"/>
        <v/>
      </c>
      <c r="E1332" t="str">
        <f t="shared" si="123"/>
        <v/>
      </c>
      <c r="F1332" t="str">
        <f t="shared" si="124"/>
        <v/>
      </c>
      <c r="G1332" t="str">
        <f>IF(OR($E1332="",$E1332="نامعتبر",Sync!$X1328=""),"",IF(AND(LEFT(UPPER(TRIM(Sync!$X1328)),2)="SL",IFERROR(VLOOKUP(Sync!$W1328,OpTbl,3,0),"")="فروش"),UPPER(TRIM(Sync!$X1328)),""))</f>
        <v/>
      </c>
      <c r="H1332" t="str">
        <f>IF($G1332="","",IF(Sync!$W1328="","",Sync!$W1328))</f>
        <v/>
      </c>
      <c r="I1332" t="str">
        <f>IF(OR($G1332="",Sync!$Y1328=""),"",Sync!$Y1328)</f>
        <v/>
      </c>
      <c r="J1332" t="str">
        <f>IF(OR($G1332="",Sync!$Z1328=""),"",Sync!$Z1328)</f>
        <v/>
      </c>
      <c r="K1332">
        <f>IF($G1332="",0,IF(Sync!$AA1328="",0,Sync!$AA1328))</f>
        <v>0</v>
      </c>
      <c r="L1332">
        <f>IF($G1332="",0,IF(Sync!$AB1328="",0,Sync!$AB1328))</f>
        <v>0</v>
      </c>
      <c r="M1332" t="str">
        <f t="shared" si="125"/>
        <v/>
      </c>
      <c r="N1332">
        <f>IF($G1332="",0,IF($H1332="مرجوعی فروش",-1,1)*IF(Sync!$AC1328="",0,Sync!$AC1328))</f>
        <v>0</v>
      </c>
      <c r="O1332" t="str">
        <f>IF(OR($G1332="",Sync!$V1328=""),"",Sync!$V1328)</f>
        <v/>
      </c>
      <c r="P1332" t="str">
        <f>IF(OR($G1332="",Sync!$AD1328=""),"",Sync!$AD1328)</f>
        <v/>
      </c>
      <c r="Q1332" t="str">
        <f>IF($G1332="","",IF(Sync!$U1328="","0000",IF(AND(ISNUMBER(Sync!$U1328),Sync!$U1328&gt;=0,Sync!$U1328&lt;1),RIGHT("00"&amp;HOUR(Sync!$U1328),2)&amp;RIGHT("00"&amp;MINUTE(Sync!$U1328),2),IFERROR(RIGHT("00"&amp;VALUE(LEFT(Sync!$U1328,FIND(":",Sync!$U1328)-1)),2)&amp;RIGHT("00"&amp;VALUE(MID(Sync!$U1328,FIND(":",Sync!$U1328)+1,2)),2),"0000"))))</f>
        <v/>
      </c>
    </row>
    <row r="1333" spans="1:17" x14ac:dyDescent="0.2">
      <c r="A1333" t="str">
        <f>IF(Sync!$T1329="","",Sync!$T1329)</f>
        <v/>
      </c>
      <c r="B1333" t="str">
        <f t="shared" si="120"/>
        <v/>
      </c>
      <c r="C1333" t="str">
        <f t="shared" si="121"/>
        <v/>
      </c>
      <c r="D1333" t="str">
        <f t="shared" si="122"/>
        <v/>
      </c>
      <c r="E1333" t="str">
        <f t="shared" si="123"/>
        <v/>
      </c>
      <c r="F1333" t="str">
        <f t="shared" si="124"/>
        <v/>
      </c>
      <c r="G1333" t="str">
        <f>IF(OR($E1333="",$E1333="نامعتبر",Sync!$X1329=""),"",IF(AND(LEFT(UPPER(TRIM(Sync!$X1329)),2)="SL",IFERROR(VLOOKUP(Sync!$W1329,OpTbl,3,0),"")="فروش"),UPPER(TRIM(Sync!$X1329)),""))</f>
        <v/>
      </c>
      <c r="H1333" t="str">
        <f>IF($G1333="","",IF(Sync!$W1329="","",Sync!$W1329))</f>
        <v/>
      </c>
      <c r="I1333" t="str">
        <f>IF(OR($G1333="",Sync!$Y1329=""),"",Sync!$Y1329)</f>
        <v/>
      </c>
      <c r="J1333" t="str">
        <f>IF(OR($G1333="",Sync!$Z1329=""),"",Sync!$Z1329)</f>
        <v/>
      </c>
      <c r="K1333">
        <f>IF($G1333="",0,IF(Sync!$AA1329="",0,Sync!$AA1329))</f>
        <v>0</v>
      </c>
      <c r="L1333">
        <f>IF($G1333="",0,IF(Sync!$AB1329="",0,Sync!$AB1329))</f>
        <v>0</v>
      </c>
      <c r="M1333" t="str">
        <f t="shared" si="125"/>
        <v/>
      </c>
      <c r="N1333">
        <f>IF($G1333="",0,IF($H1333="مرجوعی فروش",-1,1)*IF(Sync!$AC1329="",0,Sync!$AC1329))</f>
        <v>0</v>
      </c>
      <c r="O1333" t="str">
        <f>IF(OR($G1333="",Sync!$V1329=""),"",Sync!$V1329)</f>
        <v/>
      </c>
      <c r="P1333" t="str">
        <f>IF(OR($G1333="",Sync!$AD1329=""),"",Sync!$AD1329)</f>
        <v/>
      </c>
      <c r="Q1333" t="str">
        <f>IF($G1333="","",IF(Sync!$U1329="","0000",IF(AND(ISNUMBER(Sync!$U1329),Sync!$U1329&gt;=0,Sync!$U1329&lt;1),RIGHT("00"&amp;HOUR(Sync!$U1329),2)&amp;RIGHT("00"&amp;MINUTE(Sync!$U1329),2),IFERROR(RIGHT("00"&amp;VALUE(LEFT(Sync!$U1329,FIND(":",Sync!$U1329)-1)),2)&amp;RIGHT("00"&amp;VALUE(MID(Sync!$U1329,FIND(":",Sync!$U1329)+1,2)),2),"0000"))))</f>
        <v/>
      </c>
    </row>
    <row r="1334" spans="1:17" x14ac:dyDescent="0.2">
      <c r="A1334" t="str">
        <f>IF(Sync!$T1330="","",Sync!$T1330)</f>
        <v/>
      </c>
      <c r="B1334" t="str">
        <f t="shared" si="120"/>
        <v/>
      </c>
      <c r="C1334" t="str">
        <f t="shared" si="121"/>
        <v/>
      </c>
      <c r="D1334" t="str">
        <f t="shared" si="122"/>
        <v/>
      </c>
      <c r="E1334" t="str">
        <f t="shared" si="123"/>
        <v/>
      </c>
      <c r="F1334" t="str">
        <f t="shared" si="124"/>
        <v/>
      </c>
      <c r="G1334" t="str">
        <f>IF(OR($E1334="",$E1334="نامعتبر",Sync!$X1330=""),"",IF(AND(LEFT(UPPER(TRIM(Sync!$X1330)),2)="SL",IFERROR(VLOOKUP(Sync!$W1330,OpTbl,3,0),"")="فروش"),UPPER(TRIM(Sync!$X1330)),""))</f>
        <v/>
      </c>
      <c r="H1334" t="str">
        <f>IF($G1334="","",IF(Sync!$W1330="","",Sync!$W1330))</f>
        <v/>
      </c>
      <c r="I1334" t="str">
        <f>IF(OR($G1334="",Sync!$Y1330=""),"",Sync!$Y1330)</f>
        <v/>
      </c>
      <c r="J1334" t="str">
        <f>IF(OR($G1334="",Sync!$Z1330=""),"",Sync!$Z1330)</f>
        <v/>
      </c>
      <c r="K1334">
        <f>IF($G1334="",0,IF(Sync!$AA1330="",0,Sync!$AA1330))</f>
        <v>0</v>
      </c>
      <c r="L1334">
        <f>IF($G1334="",0,IF(Sync!$AB1330="",0,Sync!$AB1330))</f>
        <v>0</v>
      </c>
      <c r="M1334" t="str">
        <f t="shared" si="125"/>
        <v/>
      </c>
      <c r="N1334">
        <f>IF($G1334="",0,IF($H1334="مرجوعی فروش",-1,1)*IF(Sync!$AC1330="",0,Sync!$AC1330))</f>
        <v>0</v>
      </c>
      <c r="O1334" t="str">
        <f>IF(OR($G1334="",Sync!$V1330=""),"",Sync!$V1330)</f>
        <v/>
      </c>
      <c r="P1334" t="str">
        <f>IF(OR($G1334="",Sync!$AD1330=""),"",Sync!$AD1330)</f>
        <v/>
      </c>
      <c r="Q1334" t="str">
        <f>IF($G1334="","",IF(Sync!$U1330="","0000",IF(AND(ISNUMBER(Sync!$U1330),Sync!$U1330&gt;=0,Sync!$U1330&lt;1),RIGHT("00"&amp;HOUR(Sync!$U1330),2)&amp;RIGHT("00"&amp;MINUTE(Sync!$U1330),2),IFERROR(RIGHT("00"&amp;VALUE(LEFT(Sync!$U1330,FIND(":",Sync!$U1330)-1)),2)&amp;RIGHT("00"&amp;VALUE(MID(Sync!$U1330,FIND(":",Sync!$U1330)+1,2)),2),"0000"))))</f>
        <v/>
      </c>
    </row>
    <row r="1335" spans="1:17" x14ac:dyDescent="0.2">
      <c r="A1335" t="str">
        <f>IF(Sync!$T1331="","",Sync!$T1331)</f>
        <v/>
      </c>
      <c r="B1335" t="str">
        <f t="shared" si="120"/>
        <v/>
      </c>
      <c r="C1335" t="str">
        <f t="shared" si="121"/>
        <v/>
      </c>
      <c r="D1335" t="str">
        <f t="shared" si="122"/>
        <v/>
      </c>
      <c r="E1335" t="str">
        <f t="shared" si="123"/>
        <v/>
      </c>
      <c r="F1335" t="str">
        <f t="shared" si="124"/>
        <v/>
      </c>
      <c r="G1335" t="str">
        <f>IF(OR($E1335="",$E1335="نامعتبر",Sync!$X1331=""),"",IF(AND(LEFT(UPPER(TRIM(Sync!$X1331)),2)="SL",IFERROR(VLOOKUP(Sync!$W1331,OpTbl,3,0),"")="فروش"),UPPER(TRIM(Sync!$X1331)),""))</f>
        <v/>
      </c>
      <c r="H1335" t="str">
        <f>IF($G1335="","",IF(Sync!$W1331="","",Sync!$W1331))</f>
        <v/>
      </c>
      <c r="I1335" t="str">
        <f>IF(OR($G1335="",Sync!$Y1331=""),"",Sync!$Y1331)</f>
        <v/>
      </c>
      <c r="J1335" t="str">
        <f>IF(OR($G1335="",Sync!$Z1331=""),"",Sync!$Z1331)</f>
        <v/>
      </c>
      <c r="K1335">
        <f>IF($G1335="",0,IF(Sync!$AA1331="",0,Sync!$AA1331))</f>
        <v>0</v>
      </c>
      <c r="L1335">
        <f>IF($G1335="",0,IF(Sync!$AB1331="",0,Sync!$AB1331))</f>
        <v>0</v>
      </c>
      <c r="M1335" t="str">
        <f t="shared" si="125"/>
        <v/>
      </c>
      <c r="N1335">
        <f>IF($G1335="",0,IF($H1335="مرجوعی فروش",-1,1)*IF(Sync!$AC1331="",0,Sync!$AC1331))</f>
        <v>0</v>
      </c>
      <c r="O1335" t="str">
        <f>IF(OR($G1335="",Sync!$V1331=""),"",Sync!$V1331)</f>
        <v/>
      </c>
      <c r="P1335" t="str">
        <f>IF(OR($G1335="",Sync!$AD1331=""),"",Sync!$AD1331)</f>
        <v/>
      </c>
      <c r="Q1335" t="str">
        <f>IF($G1335="","",IF(Sync!$U1331="","0000",IF(AND(ISNUMBER(Sync!$U1331),Sync!$U1331&gt;=0,Sync!$U1331&lt;1),RIGHT("00"&amp;HOUR(Sync!$U1331),2)&amp;RIGHT("00"&amp;MINUTE(Sync!$U1331),2),IFERROR(RIGHT("00"&amp;VALUE(LEFT(Sync!$U1331,FIND(":",Sync!$U1331)-1)),2)&amp;RIGHT("00"&amp;VALUE(MID(Sync!$U1331,FIND(":",Sync!$U1331)+1,2)),2),"0000"))))</f>
        <v/>
      </c>
    </row>
    <row r="1336" spans="1:17" x14ac:dyDescent="0.2">
      <c r="A1336" t="str">
        <f>IF(Sync!$T1332="","",Sync!$T1332)</f>
        <v/>
      </c>
      <c r="B1336" t="str">
        <f t="shared" si="120"/>
        <v/>
      </c>
      <c r="C1336" t="str">
        <f t="shared" si="121"/>
        <v/>
      </c>
      <c r="D1336" t="str">
        <f t="shared" si="122"/>
        <v/>
      </c>
      <c r="E1336" t="str">
        <f t="shared" si="123"/>
        <v/>
      </c>
      <c r="F1336" t="str">
        <f t="shared" si="124"/>
        <v/>
      </c>
      <c r="G1336" t="str">
        <f>IF(OR($E1336="",$E1336="نامعتبر",Sync!$X1332=""),"",IF(AND(LEFT(UPPER(TRIM(Sync!$X1332)),2)="SL",IFERROR(VLOOKUP(Sync!$W1332,OpTbl,3,0),"")="فروش"),UPPER(TRIM(Sync!$X1332)),""))</f>
        <v/>
      </c>
      <c r="H1336" t="str">
        <f>IF($G1336="","",IF(Sync!$W1332="","",Sync!$W1332))</f>
        <v/>
      </c>
      <c r="I1336" t="str">
        <f>IF(OR($G1336="",Sync!$Y1332=""),"",Sync!$Y1332)</f>
        <v/>
      </c>
      <c r="J1336" t="str">
        <f>IF(OR($G1336="",Sync!$Z1332=""),"",Sync!$Z1332)</f>
        <v/>
      </c>
      <c r="K1336">
        <f>IF($G1336="",0,IF(Sync!$AA1332="",0,Sync!$AA1332))</f>
        <v>0</v>
      </c>
      <c r="L1336">
        <f>IF($G1336="",0,IF(Sync!$AB1332="",0,Sync!$AB1332))</f>
        <v>0</v>
      </c>
      <c r="M1336" t="str">
        <f t="shared" si="125"/>
        <v/>
      </c>
      <c r="N1336">
        <f>IF($G1336="",0,IF($H1336="مرجوعی فروش",-1,1)*IF(Sync!$AC1332="",0,Sync!$AC1332))</f>
        <v>0</v>
      </c>
      <c r="O1336" t="str">
        <f>IF(OR($G1336="",Sync!$V1332=""),"",Sync!$V1332)</f>
        <v/>
      </c>
      <c r="P1336" t="str">
        <f>IF(OR($G1336="",Sync!$AD1332=""),"",Sync!$AD1332)</f>
        <v/>
      </c>
      <c r="Q1336" t="str">
        <f>IF($G1336="","",IF(Sync!$U1332="","0000",IF(AND(ISNUMBER(Sync!$U1332),Sync!$U1332&gt;=0,Sync!$U1332&lt;1),RIGHT("00"&amp;HOUR(Sync!$U1332),2)&amp;RIGHT("00"&amp;MINUTE(Sync!$U1332),2),IFERROR(RIGHT("00"&amp;VALUE(LEFT(Sync!$U1332,FIND(":",Sync!$U1332)-1)),2)&amp;RIGHT("00"&amp;VALUE(MID(Sync!$U1332,FIND(":",Sync!$U1332)+1,2)),2),"0000"))))</f>
        <v/>
      </c>
    </row>
    <row r="1337" spans="1:17" x14ac:dyDescent="0.2">
      <c r="A1337" t="str">
        <f>IF(Sync!$T1333="","",Sync!$T1333)</f>
        <v/>
      </c>
      <c r="B1337" t="str">
        <f t="shared" si="120"/>
        <v/>
      </c>
      <c r="C1337" t="str">
        <f t="shared" si="121"/>
        <v/>
      </c>
      <c r="D1337" t="str">
        <f t="shared" si="122"/>
        <v/>
      </c>
      <c r="E1337" t="str">
        <f t="shared" si="123"/>
        <v/>
      </c>
      <c r="F1337" t="str">
        <f t="shared" si="124"/>
        <v/>
      </c>
      <c r="G1337" t="str">
        <f>IF(OR($E1337="",$E1337="نامعتبر",Sync!$X1333=""),"",IF(AND(LEFT(UPPER(TRIM(Sync!$X1333)),2)="SL",IFERROR(VLOOKUP(Sync!$W1333,OpTbl,3,0),"")="فروش"),UPPER(TRIM(Sync!$X1333)),""))</f>
        <v/>
      </c>
      <c r="H1337" t="str">
        <f>IF($G1337="","",IF(Sync!$W1333="","",Sync!$W1333))</f>
        <v/>
      </c>
      <c r="I1337" t="str">
        <f>IF(OR($G1337="",Sync!$Y1333=""),"",Sync!$Y1333)</f>
        <v/>
      </c>
      <c r="J1337" t="str">
        <f>IF(OR($G1337="",Sync!$Z1333=""),"",Sync!$Z1333)</f>
        <v/>
      </c>
      <c r="K1337">
        <f>IF($G1337="",0,IF(Sync!$AA1333="",0,Sync!$AA1333))</f>
        <v>0</v>
      </c>
      <c r="L1337">
        <f>IF($G1337="",0,IF(Sync!$AB1333="",0,Sync!$AB1333))</f>
        <v>0</v>
      </c>
      <c r="M1337" t="str">
        <f t="shared" si="125"/>
        <v/>
      </c>
      <c r="N1337">
        <f>IF($G1337="",0,IF($H1337="مرجوعی فروش",-1,1)*IF(Sync!$AC1333="",0,Sync!$AC1333))</f>
        <v>0</v>
      </c>
      <c r="O1337" t="str">
        <f>IF(OR($G1337="",Sync!$V1333=""),"",Sync!$V1333)</f>
        <v/>
      </c>
      <c r="P1337" t="str">
        <f>IF(OR($G1337="",Sync!$AD1333=""),"",Sync!$AD1333)</f>
        <v/>
      </c>
      <c r="Q1337" t="str">
        <f>IF($G1337="","",IF(Sync!$U1333="","0000",IF(AND(ISNUMBER(Sync!$U1333),Sync!$U1333&gt;=0,Sync!$U1333&lt;1),RIGHT("00"&amp;HOUR(Sync!$U1333),2)&amp;RIGHT("00"&amp;MINUTE(Sync!$U1333),2),IFERROR(RIGHT("00"&amp;VALUE(LEFT(Sync!$U1333,FIND(":",Sync!$U1333)-1)),2)&amp;RIGHT("00"&amp;VALUE(MID(Sync!$U1333,FIND(":",Sync!$U1333)+1,2)),2),"0000"))))</f>
        <v/>
      </c>
    </row>
    <row r="1338" spans="1:17" x14ac:dyDescent="0.2">
      <c r="A1338" t="str">
        <f>IF(Sync!$T1334="","",Sync!$T1334)</f>
        <v/>
      </c>
      <c r="B1338" t="str">
        <f t="shared" si="120"/>
        <v/>
      </c>
      <c r="C1338" t="str">
        <f t="shared" si="121"/>
        <v/>
      </c>
      <c r="D1338" t="str">
        <f t="shared" si="122"/>
        <v/>
      </c>
      <c r="E1338" t="str">
        <f t="shared" si="123"/>
        <v/>
      </c>
      <c r="F1338" t="str">
        <f t="shared" si="124"/>
        <v/>
      </c>
      <c r="G1338" t="str">
        <f>IF(OR($E1338="",$E1338="نامعتبر",Sync!$X1334=""),"",IF(AND(LEFT(UPPER(TRIM(Sync!$X1334)),2)="SL",IFERROR(VLOOKUP(Sync!$W1334,OpTbl,3,0),"")="فروش"),UPPER(TRIM(Sync!$X1334)),""))</f>
        <v/>
      </c>
      <c r="H1338" t="str">
        <f>IF($G1338="","",IF(Sync!$W1334="","",Sync!$W1334))</f>
        <v/>
      </c>
      <c r="I1338" t="str">
        <f>IF(OR($G1338="",Sync!$Y1334=""),"",Sync!$Y1334)</f>
        <v/>
      </c>
      <c r="J1338" t="str">
        <f>IF(OR($G1338="",Sync!$Z1334=""),"",Sync!$Z1334)</f>
        <v/>
      </c>
      <c r="K1338">
        <f>IF($G1338="",0,IF(Sync!$AA1334="",0,Sync!$AA1334))</f>
        <v>0</v>
      </c>
      <c r="L1338">
        <f>IF($G1338="",0,IF(Sync!$AB1334="",0,Sync!$AB1334))</f>
        <v>0</v>
      </c>
      <c r="M1338" t="str">
        <f t="shared" si="125"/>
        <v/>
      </c>
      <c r="N1338">
        <f>IF($G1338="",0,IF($H1338="مرجوعی فروش",-1,1)*IF(Sync!$AC1334="",0,Sync!$AC1334))</f>
        <v>0</v>
      </c>
      <c r="O1338" t="str">
        <f>IF(OR($G1338="",Sync!$V1334=""),"",Sync!$V1334)</f>
        <v/>
      </c>
      <c r="P1338" t="str">
        <f>IF(OR($G1338="",Sync!$AD1334=""),"",Sync!$AD1334)</f>
        <v/>
      </c>
      <c r="Q1338" t="str">
        <f>IF($G1338="","",IF(Sync!$U1334="","0000",IF(AND(ISNUMBER(Sync!$U1334),Sync!$U1334&gt;=0,Sync!$U1334&lt;1),RIGHT("00"&amp;HOUR(Sync!$U1334),2)&amp;RIGHT("00"&amp;MINUTE(Sync!$U1334),2),IFERROR(RIGHT("00"&amp;VALUE(LEFT(Sync!$U1334,FIND(":",Sync!$U1334)-1)),2)&amp;RIGHT("00"&amp;VALUE(MID(Sync!$U1334,FIND(":",Sync!$U1334)+1,2)),2),"0000"))))</f>
        <v/>
      </c>
    </row>
    <row r="1339" spans="1:17" x14ac:dyDescent="0.2">
      <c r="A1339" t="str">
        <f>IF(Sync!$T1335="","",Sync!$T1335)</f>
        <v/>
      </c>
      <c r="B1339" t="str">
        <f t="shared" si="120"/>
        <v/>
      </c>
      <c r="C1339" t="str">
        <f t="shared" si="121"/>
        <v/>
      </c>
      <c r="D1339" t="str">
        <f t="shared" si="122"/>
        <v/>
      </c>
      <c r="E1339" t="str">
        <f t="shared" si="123"/>
        <v/>
      </c>
      <c r="F1339" t="str">
        <f t="shared" si="124"/>
        <v/>
      </c>
      <c r="G1339" t="str">
        <f>IF(OR($E1339="",$E1339="نامعتبر",Sync!$X1335=""),"",IF(AND(LEFT(UPPER(TRIM(Sync!$X1335)),2)="SL",IFERROR(VLOOKUP(Sync!$W1335,OpTbl,3,0),"")="فروش"),UPPER(TRIM(Sync!$X1335)),""))</f>
        <v/>
      </c>
      <c r="H1339" t="str">
        <f>IF($G1339="","",IF(Sync!$W1335="","",Sync!$W1335))</f>
        <v/>
      </c>
      <c r="I1339" t="str">
        <f>IF(OR($G1339="",Sync!$Y1335=""),"",Sync!$Y1335)</f>
        <v/>
      </c>
      <c r="J1339" t="str">
        <f>IF(OR($G1339="",Sync!$Z1335=""),"",Sync!$Z1335)</f>
        <v/>
      </c>
      <c r="K1339">
        <f>IF($G1339="",0,IF(Sync!$AA1335="",0,Sync!$AA1335))</f>
        <v>0</v>
      </c>
      <c r="L1339">
        <f>IF($G1339="",0,IF(Sync!$AB1335="",0,Sync!$AB1335))</f>
        <v>0</v>
      </c>
      <c r="M1339" t="str">
        <f t="shared" si="125"/>
        <v/>
      </c>
      <c r="N1339">
        <f>IF($G1339="",0,IF($H1339="مرجوعی فروش",-1,1)*IF(Sync!$AC1335="",0,Sync!$AC1335))</f>
        <v>0</v>
      </c>
      <c r="O1339" t="str">
        <f>IF(OR($G1339="",Sync!$V1335=""),"",Sync!$V1335)</f>
        <v/>
      </c>
      <c r="P1339" t="str">
        <f>IF(OR($G1339="",Sync!$AD1335=""),"",Sync!$AD1335)</f>
        <v/>
      </c>
      <c r="Q1339" t="str">
        <f>IF($G1339="","",IF(Sync!$U1335="","0000",IF(AND(ISNUMBER(Sync!$U1335),Sync!$U1335&gt;=0,Sync!$U1335&lt;1),RIGHT("00"&amp;HOUR(Sync!$U1335),2)&amp;RIGHT("00"&amp;MINUTE(Sync!$U1335),2),IFERROR(RIGHT("00"&amp;VALUE(LEFT(Sync!$U1335,FIND(":",Sync!$U1335)-1)),2)&amp;RIGHT("00"&amp;VALUE(MID(Sync!$U1335,FIND(":",Sync!$U1335)+1,2)),2),"0000"))))</f>
        <v/>
      </c>
    </row>
    <row r="1340" spans="1:17" x14ac:dyDescent="0.2">
      <c r="A1340" t="str">
        <f>IF(Sync!$T1336="","",Sync!$T1336)</f>
        <v/>
      </c>
      <c r="B1340" t="str">
        <f t="shared" si="120"/>
        <v/>
      </c>
      <c r="C1340" t="str">
        <f t="shared" si="121"/>
        <v/>
      </c>
      <c r="D1340" t="str">
        <f t="shared" si="122"/>
        <v/>
      </c>
      <c r="E1340" t="str">
        <f t="shared" si="123"/>
        <v/>
      </c>
      <c r="F1340" t="str">
        <f t="shared" si="124"/>
        <v/>
      </c>
      <c r="G1340" t="str">
        <f>IF(OR($E1340="",$E1340="نامعتبر",Sync!$X1336=""),"",IF(AND(LEFT(UPPER(TRIM(Sync!$X1336)),2)="SL",IFERROR(VLOOKUP(Sync!$W1336,OpTbl,3,0),"")="فروش"),UPPER(TRIM(Sync!$X1336)),""))</f>
        <v/>
      </c>
      <c r="H1340" t="str">
        <f>IF($G1340="","",IF(Sync!$W1336="","",Sync!$W1336))</f>
        <v/>
      </c>
      <c r="I1340" t="str">
        <f>IF(OR($G1340="",Sync!$Y1336=""),"",Sync!$Y1336)</f>
        <v/>
      </c>
      <c r="J1340" t="str">
        <f>IF(OR($G1340="",Sync!$Z1336=""),"",Sync!$Z1336)</f>
        <v/>
      </c>
      <c r="K1340">
        <f>IF($G1340="",0,IF(Sync!$AA1336="",0,Sync!$AA1336))</f>
        <v>0</v>
      </c>
      <c r="L1340">
        <f>IF($G1340="",0,IF(Sync!$AB1336="",0,Sync!$AB1336))</f>
        <v>0</v>
      </c>
      <c r="M1340" t="str">
        <f t="shared" si="125"/>
        <v/>
      </c>
      <c r="N1340">
        <f>IF($G1340="",0,IF($H1340="مرجوعی فروش",-1,1)*IF(Sync!$AC1336="",0,Sync!$AC1336))</f>
        <v>0</v>
      </c>
      <c r="O1340" t="str">
        <f>IF(OR($G1340="",Sync!$V1336=""),"",Sync!$V1336)</f>
        <v/>
      </c>
      <c r="P1340" t="str">
        <f>IF(OR($G1340="",Sync!$AD1336=""),"",Sync!$AD1336)</f>
        <v/>
      </c>
      <c r="Q1340" t="str">
        <f>IF($G1340="","",IF(Sync!$U1336="","0000",IF(AND(ISNUMBER(Sync!$U1336),Sync!$U1336&gt;=0,Sync!$U1336&lt;1),RIGHT("00"&amp;HOUR(Sync!$U1336),2)&amp;RIGHT("00"&amp;MINUTE(Sync!$U1336),2),IFERROR(RIGHT("00"&amp;VALUE(LEFT(Sync!$U1336,FIND(":",Sync!$U1336)-1)),2)&amp;RIGHT("00"&amp;VALUE(MID(Sync!$U1336,FIND(":",Sync!$U1336)+1,2)),2),"0000"))))</f>
        <v/>
      </c>
    </row>
    <row r="1341" spans="1:17" x14ac:dyDescent="0.2">
      <c r="A1341" t="str">
        <f>IF(Sync!$T1337="","",Sync!$T1337)</f>
        <v/>
      </c>
      <c r="B1341" t="str">
        <f t="shared" si="120"/>
        <v/>
      </c>
      <c r="C1341" t="str">
        <f t="shared" si="121"/>
        <v/>
      </c>
      <c r="D1341" t="str">
        <f t="shared" si="122"/>
        <v/>
      </c>
      <c r="E1341" t="str">
        <f t="shared" si="123"/>
        <v/>
      </c>
      <c r="F1341" t="str">
        <f t="shared" si="124"/>
        <v/>
      </c>
      <c r="G1341" t="str">
        <f>IF(OR($E1341="",$E1341="نامعتبر",Sync!$X1337=""),"",IF(AND(LEFT(UPPER(TRIM(Sync!$X1337)),2)="SL",IFERROR(VLOOKUP(Sync!$W1337,OpTbl,3,0),"")="فروش"),UPPER(TRIM(Sync!$X1337)),""))</f>
        <v/>
      </c>
      <c r="H1341" t="str">
        <f>IF($G1341="","",IF(Sync!$W1337="","",Sync!$W1337))</f>
        <v/>
      </c>
      <c r="I1341" t="str">
        <f>IF(OR($G1341="",Sync!$Y1337=""),"",Sync!$Y1337)</f>
        <v/>
      </c>
      <c r="J1341" t="str">
        <f>IF(OR($G1341="",Sync!$Z1337=""),"",Sync!$Z1337)</f>
        <v/>
      </c>
      <c r="K1341">
        <f>IF($G1341="",0,IF(Sync!$AA1337="",0,Sync!$AA1337))</f>
        <v>0</v>
      </c>
      <c r="L1341">
        <f>IF($G1341="",0,IF(Sync!$AB1337="",0,Sync!$AB1337))</f>
        <v>0</v>
      </c>
      <c r="M1341" t="str">
        <f t="shared" si="125"/>
        <v/>
      </c>
      <c r="N1341">
        <f>IF($G1341="",0,IF($H1341="مرجوعی فروش",-1,1)*IF(Sync!$AC1337="",0,Sync!$AC1337))</f>
        <v>0</v>
      </c>
      <c r="O1341" t="str">
        <f>IF(OR($G1341="",Sync!$V1337=""),"",Sync!$V1337)</f>
        <v/>
      </c>
      <c r="P1341" t="str">
        <f>IF(OR($G1341="",Sync!$AD1337=""),"",Sync!$AD1337)</f>
        <v/>
      </c>
      <c r="Q1341" t="str">
        <f>IF($G1341="","",IF(Sync!$U1337="","0000",IF(AND(ISNUMBER(Sync!$U1337),Sync!$U1337&gt;=0,Sync!$U1337&lt;1),RIGHT("00"&amp;HOUR(Sync!$U1337),2)&amp;RIGHT("00"&amp;MINUTE(Sync!$U1337),2),IFERROR(RIGHT("00"&amp;VALUE(LEFT(Sync!$U1337,FIND(":",Sync!$U1337)-1)),2)&amp;RIGHT("00"&amp;VALUE(MID(Sync!$U1337,FIND(":",Sync!$U1337)+1,2)),2),"0000"))))</f>
        <v/>
      </c>
    </row>
    <row r="1342" spans="1:17" x14ac:dyDescent="0.2">
      <c r="A1342" t="str">
        <f>IF(Sync!$T1338="","",Sync!$T1338)</f>
        <v/>
      </c>
      <c r="B1342" t="str">
        <f t="shared" si="120"/>
        <v/>
      </c>
      <c r="C1342" t="str">
        <f t="shared" si="121"/>
        <v/>
      </c>
      <c r="D1342" t="str">
        <f t="shared" si="122"/>
        <v/>
      </c>
      <c r="E1342" t="str">
        <f t="shared" si="123"/>
        <v/>
      </c>
      <c r="F1342" t="str">
        <f t="shared" si="124"/>
        <v/>
      </c>
      <c r="G1342" t="str">
        <f>IF(OR($E1342="",$E1342="نامعتبر",Sync!$X1338=""),"",IF(AND(LEFT(UPPER(TRIM(Sync!$X1338)),2)="SL",IFERROR(VLOOKUP(Sync!$W1338,OpTbl,3,0),"")="فروش"),UPPER(TRIM(Sync!$X1338)),""))</f>
        <v/>
      </c>
      <c r="H1342" t="str">
        <f>IF($G1342="","",IF(Sync!$W1338="","",Sync!$W1338))</f>
        <v/>
      </c>
      <c r="I1342" t="str">
        <f>IF(OR($G1342="",Sync!$Y1338=""),"",Sync!$Y1338)</f>
        <v/>
      </c>
      <c r="J1342" t="str">
        <f>IF(OR($G1342="",Sync!$Z1338=""),"",Sync!$Z1338)</f>
        <v/>
      </c>
      <c r="K1342">
        <f>IF($G1342="",0,IF(Sync!$AA1338="",0,Sync!$AA1338))</f>
        <v>0</v>
      </c>
      <c r="L1342">
        <f>IF($G1342="",0,IF(Sync!$AB1338="",0,Sync!$AB1338))</f>
        <v>0</v>
      </c>
      <c r="M1342" t="str">
        <f t="shared" si="125"/>
        <v/>
      </c>
      <c r="N1342">
        <f>IF($G1342="",0,IF($H1342="مرجوعی فروش",-1,1)*IF(Sync!$AC1338="",0,Sync!$AC1338))</f>
        <v>0</v>
      </c>
      <c r="O1342" t="str">
        <f>IF(OR($G1342="",Sync!$V1338=""),"",Sync!$V1338)</f>
        <v/>
      </c>
      <c r="P1342" t="str">
        <f>IF(OR($G1342="",Sync!$AD1338=""),"",Sync!$AD1338)</f>
        <v/>
      </c>
      <c r="Q1342" t="str">
        <f>IF($G1342="","",IF(Sync!$U1338="","0000",IF(AND(ISNUMBER(Sync!$U1338),Sync!$U1338&gt;=0,Sync!$U1338&lt;1),RIGHT("00"&amp;HOUR(Sync!$U1338),2)&amp;RIGHT("00"&amp;MINUTE(Sync!$U1338),2),IFERROR(RIGHT("00"&amp;VALUE(LEFT(Sync!$U1338,FIND(":",Sync!$U1338)-1)),2)&amp;RIGHT("00"&amp;VALUE(MID(Sync!$U1338,FIND(":",Sync!$U1338)+1,2)),2),"0000"))))</f>
        <v/>
      </c>
    </row>
    <row r="1343" spans="1:17" x14ac:dyDescent="0.2">
      <c r="A1343" t="str">
        <f>IF(Sync!$T1339="","",Sync!$T1339)</f>
        <v/>
      </c>
      <c r="B1343" t="str">
        <f t="shared" si="120"/>
        <v/>
      </c>
      <c r="C1343" t="str">
        <f t="shared" si="121"/>
        <v/>
      </c>
      <c r="D1343" t="str">
        <f t="shared" si="122"/>
        <v/>
      </c>
      <c r="E1343" t="str">
        <f t="shared" si="123"/>
        <v/>
      </c>
      <c r="F1343" t="str">
        <f t="shared" si="124"/>
        <v/>
      </c>
      <c r="G1343" t="str">
        <f>IF(OR($E1343="",$E1343="نامعتبر",Sync!$X1339=""),"",IF(AND(LEFT(UPPER(TRIM(Sync!$X1339)),2)="SL",IFERROR(VLOOKUP(Sync!$W1339,OpTbl,3,0),"")="فروش"),UPPER(TRIM(Sync!$X1339)),""))</f>
        <v/>
      </c>
      <c r="H1343" t="str">
        <f>IF($G1343="","",IF(Sync!$W1339="","",Sync!$W1339))</f>
        <v/>
      </c>
      <c r="I1343" t="str">
        <f>IF(OR($G1343="",Sync!$Y1339=""),"",Sync!$Y1339)</f>
        <v/>
      </c>
      <c r="J1343" t="str">
        <f>IF(OR($G1343="",Sync!$Z1339=""),"",Sync!$Z1339)</f>
        <v/>
      </c>
      <c r="K1343">
        <f>IF($G1343="",0,IF(Sync!$AA1339="",0,Sync!$AA1339))</f>
        <v>0</v>
      </c>
      <c r="L1343">
        <f>IF($G1343="",0,IF(Sync!$AB1339="",0,Sync!$AB1339))</f>
        <v>0</v>
      </c>
      <c r="M1343" t="str">
        <f t="shared" si="125"/>
        <v/>
      </c>
      <c r="N1343">
        <f>IF($G1343="",0,IF($H1343="مرجوعی فروش",-1,1)*IF(Sync!$AC1339="",0,Sync!$AC1339))</f>
        <v>0</v>
      </c>
      <c r="O1343" t="str">
        <f>IF(OR($G1343="",Sync!$V1339=""),"",Sync!$V1339)</f>
        <v/>
      </c>
      <c r="P1343" t="str">
        <f>IF(OR($G1343="",Sync!$AD1339=""),"",Sync!$AD1339)</f>
        <v/>
      </c>
      <c r="Q1343" t="str">
        <f>IF($G1343="","",IF(Sync!$U1339="","0000",IF(AND(ISNUMBER(Sync!$U1339),Sync!$U1339&gt;=0,Sync!$U1339&lt;1),RIGHT("00"&amp;HOUR(Sync!$U1339),2)&amp;RIGHT("00"&amp;MINUTE(Sync!$U1339),2),IFERROR(RIGHT("00"&amp;VALUE(LEFT(Sync!$U1339,FIND(":",Sync!$U1339)-1)),2)&amp;RIGHT("00"&amp;VALUE(MID(Sync!$U1339,FIND(":",Sync!$U1339)+1,2)),2),"0000"))))</f>
        <v/>
      </c>
    </row>
    <row r="1344" spans="1:17" x14ac:dyDescent="0.2">
      <c r="A1344" t="str">
        <f>IF(Sync!$T1340="","",Sync!$T1340)</f>
        <v/>
      </c>
      <c r="B1344" t="str">
        <f t="shared" si="120"/>
        <v/>
      </c>
      <c r="C1344" t="str">
        <f t="shared" si="121"/>
        <v/>
      </c>
      <c r="D1344" t="str">
        <f t="shared" si="122"/>
        <v/>
      </c>
      <c r="E1344" t="str">
        <f t="shared" si="123"/>
        <v/>
      </c>
      <c r="F1344" t="str">
        <f t="shared" si="124"/>
        <v/>
      </c>
      <c r="G1344" t="str">
        <f>IF(OR($E1344="",$E1344="نامعتبر",Sync!$X1340=""),"",IF(AND(LEFT(UPPER(TRIM(Sync!$X1340)),2)="SL",IFERROR(VLOOKUP(Sync!$W1340,OpTbl,3,0),"")="فروش"),UPPER(TRIM(Sync!$X1340)),""))</f>
        <v/>
      </c>
      <c r="H1344" t="str">
        <f>IF($G1344="","",IF(Sync!$W1340="","",Sync!$W1340))</f>
        <v/>
      </c>
      <c r="I1344" t="str">
        <f>IF(OR($G1344="",Sync!$Y1340=""),"",Sync!$Y1340)</f>
        <v/>
      </c>
      <c r="J1344" t="str">
        <f>IF(OR($G1344="",Sync!$Z1340=""),"",Sync!$Z1340)</f>
        <v/>
      </c>
      <c r="K1344">
        <f>IF($G1344="",0,IF(Sync!$AA1340="",0,Sync!$AA1340))</f>
        <v>0</v>
      </c>
      <c r="L1344">
        <f>IF($G1344="",0,IF(Sync!$AB1340="",0,Sync!$AB1340))</f>
        <v>0</v>
      </c>
      <c r="M1344" t="str">
        <f t="shared" si="125"/>
        <v/>
      </c>
      <c r="N1344">
        <f>IF($G1344="",0,IF($H1344="مرجوعی فروش",-1,1)*IF(Sync!$AC1340="",0,Sync!$AC1340))</f>
        <v>0</v>
      </c>
      <c r="O1344" t="str">
        <f>IF(OR($G1344="",Sync!$V1340=""),"",Sync!$V1340)</f>
        <v/>
      </c>
      <c r="P1344" t="str">
        <f>IF(OR($G1344="",Sync!$AD1340=""),"",Sync!$AD1340)</f>
        <v/>
      </c>
      <c r="Q1344" t="str">
        <f>IF($G1344="","",IF(Sync!$U1340="","0000",IF(AND(ISNUMBER(Sync!$U1340),Sync!$U1340&gt;=0,Sync!$U1340&lt;1),RIGHT("00"&amp;HOUR(Sync!$U1340),2)&amp;RIGHT("00"&amp;MINUTE(Sync!$U1340),2),IFERROR(RIGHT("00"&amp;VALUE(LEFT(Sync!$U1340,FIND(":",Sync!$U1340)-1)),2)&amp;RIGHT("00"&amp;VALUE(MID(Sync!$U1340,FIND(":",Sync!$U1340)+1,2)),2),"0000"))))</f>
        <v/>
      </c>
    </row>
    <row r="1345" spans="1:17" x14ac:dyDescent="0.2">
      <c r="A1345" t="str">
        <f>IF(Sync!$T1341="","",Sync!$T1341)</f>
        <v/>
      </c>
      <c r="B1345" t="str">
        <f t="shared" si="120"/>
        <v/>
      </c>
      <c r="C1345" t="str">
        <f t="shared" si="121"/>
        <v/>
      </c>
      <c r="D1345" t="str">
        <f t="shared" si="122"/>
        <v/>
      </c>
      <c r="E1345" t="str">
        <f t="shared" si="123"/>
        <v/>
      </c>
      <c r="F1345" t="str">
        <f t="shared" si="124"/>
        <v/>
      </c>
      <c r="G1345" t="str">
        <f>IF(OR($E1345="",$E1345="نامعتبر",Sync!$X1341=""),"",IF(AND(LEFT(UPPER(TRIM(Sync!$X1341)),2)="SL",IFERROR(VLOOKUP(Sync!$W1341,OpTbl,3,0),"")="فروش"),UPPER(TRIM(Sync!$X1341)),""))</f>
        <v/>
      </c>
      <c r="H1345" t="str">
        <f>IF($G1345="","",IF(Sync!$W1341="","",Sync!$W1341))</f>
        <v/>
      </c>
      <c r="I1345" t="str">
        <f>IF(OR($G1345="",Sync!$Y1341=""),"",Sync!$Y1341)</f>
        <v/>
      </c>
      <c r="J1345" t="str">
        <f>IF(OR($G1345="",Sync!$Z1341=""),"",Sync!$Z1341)</f>
        <v/>
      </c>
      <c r="K1345">
        <f>IF($G1345="",0,IF(Sync!$AA1341="",0,Sync!$AA1341))</f>
        <v>0</v>
      </c>
      <c r="L1345">
        <f>IF($G1345="",0,IF(Sync!$AB1341="",0,Sync!$AB1341))</f>
        <v>0</v>
      </c>
      <c r="M1345" t="str">
        <f t="shared" si="125"/>
        <v/>
      </c>
      <c r="N1345">
        <f>IF($G1345="",0,IF($H1345="مرجوعی فروش",-1,1)*IF(Sync!$AC1341="",0,Sync!$AC1341))</f>
        <v>0</v>
      </c>
      <c r="O1345" t="str">
        <f>IF(OR($G1345="",Sync!$V1341=""),"",Sync!$V1341)</f>
        <v/>
      </c>
      <c r="P1345" t="str">
        <f>IF(OR($G1345="",Sync!$AD1341=""),"",Sync!$AD1341)</f>
        <v/>
      </c>
      <c r="Q1345" t="str">
        <f>IF($G1345="","",IF(Sync!$U1341="","0000",IF(AND(ISNUMBER(Sync!$U1341),Sync!$U1341&gt;=0,Sync!$U1341&lt;1),RIGHT("00"&amp;HOUR(Sync!$U1341),2)&amp;RIGHT("00"&amp;MINUTE(Sync!$U1341),2),IFERROR(RIGHT("00"&amp;VALUE(LEFT(Sync!$U1341,FIND(":",Sync!$U1341)-1)),2)&amp;RIGHT("00"&amp;VALUE(MID(Sync!$U1341,FIND(":",Sync!$U1341)+1,2)),2),"0000"))))</f>
        <v/>
      </c>
    </row>
    <row r="1346" spans="1:17" x14ac:dyDescent="0.2">
      <c r="A1346" t="str">
        <f>IF(Sync!$T1342="","",Sync!$T1342)</f>
        <v/>
      </c>
      <c r="B1346" t="str">
        <f t="shared" si="120"/>
        <v/>
      </c>
      <c r="C1346" t="str">
        <f t="shared" si="121"/>
        <v/>
      </c>
      <c r="D1346" t="str">
        <f t="shared" si="122"/>
        <v/>
      </c>
      <c r="E1346" t="str">
        <f t="shared" si="123"/>
        <v/>
      </c>
      <c r="F1346" t="str">
        <f t="shared" si="124"/>
        <v/>
      </c>
      <c r="G1346" t="str">
        <f>IF(OR($E1346="",$E1346="نامعتبر",Sync!$X1342=""),"",IF(AND(LEFT(UPPER(TRIM(Sync!$X1342)),2)="SL",IFERROR(VLOOKUP(Sync!$W1342,OpTbl,3,0),"")="فروش"),UPPER(TRIM(Sync!$X1342)),""))</f>
        <v/>
      </c>
      <c r="H1346" t="str">
        <f>IF($G1346="","",IF(Sync!$W1342="","",Sync!$W1342))</f>
        <v/>
      </c>
      <c r="I1346" t="str">
        <f>IF(OR($G1346="",Sync!$Y1342=""),"",Sync!$Y1342)</f>
        <v/>
      </c>
      <c r="J1346" t="str">
        <f>IF(OR($G1346="",Sync!$Z1342=""),"",Sync!$Z1342)</f>
        <v/>
      </c>
      <c r="K1346">
        <f>IF($G1346="",0,IF(Sync!$AA1342="",0,Sync!$AA1342))</f>
        <v>0</v>
      </c>
      <c r="L1346">
        <f>IF($G1346="",0,IF(Sync!$AB1342="",0,Sync!$AB1342))</f>
        <v>0</v>
      </c>
      <c r="M1346" t="str">
        <f t="shared" si="125"/>
        <v/>
      </c>
      <c r="N1346">
        <f>IF($G1346="",0,IF($H1346="مرجوعی فروش",-1,1)*IF(Sync!$AC1342="",0,Sync!$AC1342))</f>
        <v>0</v>
      </c>
      <c r="O1346" t="str">
        <f>IF(OR($G1346="",Sync!$V1342=""),"",Sync!$V1342)</f>
        <v/>
      </c>
      <c r="P1346" t="str">
        <f>IF(OR($G1346="",Sync!$AD1342=""),"",Sync!$AD1342)</f>
        <v/>
      </c>
      <c r="Q1346" t="str">
        <f>IF($G1346="","",IF(Sync!$U1342="","0000",IF(AND(ISNUMBER(Sync!$U1342),Sync!$U1342&gt;=0,Sync!$U1342&lt;1),RIGHT("00"&amp;HOUR(Sync!$U1342),2)&amp;RIGHT("00"&amp;MINUTE(Sync!$U1342),2),IFERROR(RIGHT("00"&amp;VALUE(LEFT(Sync!$U1342,FIND(":",Sync!$U1342)-1)),2)&amp;RIGHT("00"&amp;VALUE(MID(Sync!$U1342,FIND(":",Sync!$U1342)+1,2)),2),"0000"))))</f>
        <v/>
      </c>
    </row>
    <row r="1347" spans="1:17" x14ac:dyDescent="0.2">
      <c r="A1347" t="str">
        <f>IF(Sync!$T1343="","",Sync!$T1343)</f>
        <v/>
      </c>
      <c r="B1347" t="str">
        <f t="shared" si="120"/>
        <v/>
      </c>
      <c r="C1347" t="str">
        <f t="shared" si="121"/>
        <v/>
      </c>
      <c r="D1347" t="str">
        <f t="shared" si="122"/>
        <v/>
      </c>
      <c r="E1347" t="str">
        <f t="shared" si="123"/>
        <v/>
      </c>
      <c r="F1347" t="str">
        <f t="shared" si="124"/>
        <v/>
      </c>
      <c r="G1347" t="str">
        <f>IF(OR($E1347="",$E1347="نامعتبر",Sync!$X1343=""),"",IF(AND(LEFT(UPPER(TRIM(Sync!$X1343)),2)="SL",IFERROR(VLOOKUP(Sync!$W1343,OpTbl,3,0),"")="فروش"),UPPER(TRIM(Sync!$X1343)),""))</f>
        <v/>
      </c>
      <c r="H1347" t="str">
        <f>IF($G1347="","",IF(Sync!$W1343="","",Sync!$W1343))</f>
        <v/>
      </c>
      <c r="I1347" t="str">
        <f>IF(OR($G1347="",Sync!$Y1343=""),"",Sync!$Y1343)</f>
        <v/>
      </c>
      <c r="J1347" t="str">
        <f>IF(OR($G1347="",Sync!$Z1343=""),"",Sync!$Z1343)</f>
        <v/>
      </c>
      <c r="K1347">
        <f>IF($G1347="",0,IF(Sync!$AA1343="",0,Sync!$AA1343))</f>
        <v>0</v>
      </c>
      <c r="L1347">
        <f>IF($G1347="",0,IF(Sync!$AB1343="",0,Sync!$AB1343))</f>
        <v>0</v>
      </c>
      <c r="M1347" t="str">
        <f t="shared" si="125"/>
        <v/>
      </c>
      <c r="N1347">
        <f>IF($G1347="",0,IF($H1347="مرجوعی فروش",-1,1)*IF(Sync!$AC1343="",0,Sync!$AC1343))</f>
        <v>0</v>
      </c>
      <c r="O1347" t="str">
        <f>IF(OR($G1347="",Sync!$V1343=""),"",Sync!$V1343)</f>
        <v/>
      </c>
      <c r="P1347" t="str">
        <f>IF(OR($G1347="",Sync!$AD1343=""),"",Sync!$AD1343)</f>
        <v/>
      </c>
      <c r="Q1347" t="str">
        <f>IF($G1347="","",IF(Sync!$U1343="","0000",IF(AND(ISNUMBER(Sync!$U1343),Sync!$U1343&gt;=0,Sync!$U1343&lt;1),RIGHT("00"&amp;HOUR(Sync!$U1343),2)&amp;RIGHT("00"&amp;MINUTE(Sync!$U1343),2),IFERROR(RIGHT("00"&amp;VALUE(LEFT(Sync!$U1343,FIND(":",Sync!$U1343)-1)),2)&amp;RIGHT("00"&amp;VALUE(MID(Sync!$U1343,FIND(":",Sync!$U1343)+1,2)),2),"0000"))))</f>
        <v/>
      </c>
    </row>
    <row r="1348" spans="1:17" x14ac:dyDescent="0.2">
      <c r="A1348" t="str">
        <f>IF(Sync!$T1344="","",Sync!$T1344)</f>
        <v/>
      </c>
      <c r="B1348" t="str">
        <f t="shared" si="120"/>
        <v/>
      </c>
      <c r="C1348" t="str">
        <f t="shared" si="121"/>
        <v/>
      </c>
      <c r="D1348" t="str">
        <f t="shared" si="122"/>
        <v/>
      </c>
      <c r="E1348" t="str">
        <f t="shared" si="123"/>
        <v/>
      </c>
      <c r="F1348" t="str">
        <f t="shared" si="124"/>
        <v/>
      </c>
      <c r="G1348" t="str">
        <f>IF(OR($E1348="",$E1348="نامعتبر",Sync!$X1344=""),"",IF(AND(LEFT(UPPER(TRIM(Sync!$X1344)),2)="SL",IFERROR(VLOOKUP(Sync!$W1344,OpTbl,3,0),"")="فروش"),UPPER(TRIM(Sync!$X1344)),""))</f>
        <v/>
      </c>
      <c r="H1348" t="str">
        <f>IF($G1348="","",IF(Sync!$W1344="","",Sync!$W1344))</f>
        <v/>
      </c>
      <c r="I1348" t="str">
        <f>IF(OR($G1348="",Sync!$Y1344=""),"",Sync!$Y1344)</f>
        <v/>
      </c>
      <c r="J1348" t="str">
        <f>IF(OR($G1348="",Sync!$Z1344=""),"",Sync!$Z1344)</f>
        <v/>
      </c>
      <c r="K1348">
        <f>IF($G1348="",0,IF(Sync!$AA1344="",0,Sync!$AA1344))</f>
        <v>0</v>
      </c>
      <c r="L1348">
        <f>IF($G1348="",0,IF(Sync!$AB1344="",0,Sync!$AB1344))</f>
        <v>0</v>
      </c>
      <c r="M1348" t="str">
        <f t="shared" si="125"/>
        <v/>
      </c>
      <c r="N1348">
        <f>IF($G1348="",0,IF($H1348="مرجوعی فروش",-1,1)*IF(Sync!$AC1344="",0,Sync!$AC1344))</f>
        <v>0</v>
      </c>
      <c r="O1348" t="str">
        <f>IF(OR($G1348="",Sync!$V1344=""),"",Sync!$V1344)</f>
        <v/>
      </c>
      <c r="P1348" t="str">
        <f>IF(OR($G1348="",Sync!$AD1344=""),"",Sync!$AD1344)</f>
        <v/>
      </c>
      <c r="Q1348" t="str">
        <f>IF($G1348="","",IF(Sync!$U1344="","0000",IF(AND(ISNUMBER(Sync!$U1344),Sync!$U1344&gt;=0,Sync!$U1344&lt;1),RIGHT("00"&amp;HOUR(Sync!$U1344),2)&amp;RIGHT("00"&amp;MINUTE(Sync!$U1344),2),IFERROR(RIGHT("00"&amp;VALUE(LEFT(Sync!$U1344,FIND(":",Sync!$U1344)-1)),2)&amp;RIGHT("00"&amp;VALUE(MID(Sync!$U1344,FIND(":",Sync!$U1344)+1,2)),2),"0000"))))</f>
        <v/>
      </c>
    </row>
    <row r="1349" spans="1:17" x14ac:dyDescent="0.2">
      <c r="A1349" t="str">
        <f>IF(Sync!$T1345="","",Sync!$T1345)</f>
        <v/>
      </c>
      <c r="B1349" t="str">
        <f t="shared" si="120"/>
        <v/>
      </c>
      <c r="C1349" t="str">
        <f t="shared" si="121"/>
        <v/>
      </c>
      <c r="D1349" t="str">
        <f t="shared" si="122"/>
        <v/>
      </c>
      <c r="E1349" t="str">
        <f t="shared" si="123"/>
        <v/>
      </c>
      <c r="F1349" t="str">
        <f t="shared" si="124"/>
        <v/>
      </c>
      <c r="G1349" t="str">
        <f>IF(OR($E1349="",$E1349="نامعتبر",Sync!$X1345=""),"",IF(AND(LEFT(UPPER(TRIM(Sync!$X1345)),2)="SL",IFERROR(VLOOKUP(Sync!$W1345,OpTbl,3,0),"")="فروش"),UPPER(TRIM(Sync!$X1345)),""))</f>
        <v/>
      </c>
      <c r="H1349" t="str">
        <f>IF($G1349="","",IF(Sync!$W1345="","",Sync!$W1345))</f>
        <v/>
      </c>
      <c r="I1349" t="str">
        <f>IF(OR($G1349="",Sync!$Y1345=""),"",Sync!$Y1345)</f>
        <v/>
      </c>
      <c r="J1349" t="str">
        <f>IF(OR($G1349="",Sync!$Z1345=""),"",Sync!$Z1345)</f>
        <v/>
      </c>
      <c r="K1349">
        <f>IF($G1349="",0,IF(Sync!$AA1345="",0,Sync!$AA1345))</f>
        <v>0</v>
      </c>
      <c r="L1349">
        <f>IF($G1349="",0,IF(Sync!$AB1345="",0,Sync!$AB1345))</f>
        <v>0</v>
      </c>
      <c r="M1349" t="str">
        <f t="shared" si="125"/>
        <v/>
      </c>
      <c r="N1349">
        <f>IF($G1349="",0,IF($H1349="مرجوعی فروش",-1,1)*IF(Sync!$AC1345="",0,Sync!$AC1345))</f>
        <v>0</v>
      </c>
      <c r="O1349" t="str">
        <f>IF(OR($G1349="",Sync!$V1345=""),"",Sync!$V1345)</f>
        <v/>
      </c>
      <c r="P1349" t="str">
        <f>IF(OR($G1349="",Sync!$AD1345=""),"",Sync!$AD1345)</f>
        <v/>
      </c>
      <c r="Q1349" t="str">
        <f>IF($G1349="","",IF(Sync!$U1345="","0000",IF(AND(ISNUMBER(Sync!$U1345),Sync!$U1345&gt;=0,Sync!$U1345&lt;1),RIGHT("00"&amp;HOUR(Sync!$U1345),2)&amp;RIGHT("00"&amp;MINUTE(Sync!$U1345),2),IFERROR(RIGHT("00"&amp;VALUE(LEFT(Sync!$U1345,FIND(":",Sync!$U1345)-1)),2)&amp;RIGHT("00"&amp;VALUE(MID(Sync!$U1345,FIND(":",Sync!$U1345)+1,2)),2),"0000"))))</f>
        <v/>
      </c>
    </row>
    <row r="1350" spans="1:17" x14ac:dyDescent="0.2">
      <c r="A1350" t="str">
        <f>IF(Sync!$T1346="","",Sync!$T1346)</f>
        <v/>
      </c>
      <c r="B1350" t="str">
        <f t="shared" si="120"/>
        <v/>
      </c>
      <c r="C1350" t="str">
        <f t="shared" si="121"/>
        <v/>
      </c>
      <c r="D1350" t="str">
        <f t="shared" si="122"/>
        <v/>
      </c>
      <c r="E1350" t="str">
        <f t="shared" si="123"/>
        <v/>
      </c>
      <c r="F1350" t="str">
        <f t="shared" si="124"/>
        <v/>
      </c>
      <c r="G1350" t="str">
        <f>IF(OR($E1350="",$E1350="نامعتبر",Sync!$X1346=""),"",IF(AND(LEFT(UPPER(TRIM(Sync!$X1346)),2)="SL",IFERROR(VLOOKUP(Sync!$W1346,OpTbl,3,0),"")="فروش"),UPPER(TRIM(Sync!$X1346)),""))</f>
        <v/>
      </c>
      <c r="H1350" t="str">
        <f>IF($G1350="","",IF(Sync!$W1346="","",Sync!$W1346))</f>
        <v/>
      </c>
      <c r="I1350" t="str">
        <f>IF(OR($G1350="",Sync!$Y1346=""),"",Sync!$Y1346)</f>
        <v/>
      </c>
      <c r="J1350" t="str">
        <f>IF(OR($G1350="",Sync!$Z1346=""),"",Sync!$Z1346)</f>
        <v/>
      </c>
      <c r="K1350">
        <f>IF($G1350="",0,IF(Sync!$AA1346="",0,Sync!$AA1346))</f>
        <v>0</v>
      </c>
      <c r="L1350">
        <f>IF($G1350="",0,IF(Sync!$AB1346="",0,Sync!$AB1346))</f>
        <v>0</v>
      </c>
      <c r="M1350" t="str">
        <f t="shared" si="125"/>
        <v/>
      </c>
      <c r="N1350">
        <f>IF($G1350="",0,IF($H1350="مرجوعی فروش",-1,1)*IF(Sync!$AC1346="",0,Sync!$AC1346))</f>
        <v>0</v>
      </c>
      <c r="O1350" t="str">
        <f>IF(OR($G1350="",Sync!$V1346=""),"",Sync!$V1346)</f>
        <v/>
      </c>
      <c r="P1350" t="str">
        <f>IF(OR($G1350="",Sync!$AD1346=""),"",Sync!$AD1346)</f>
        <v/>
      </c>
      <c r="Q1350" t="str">
        <f>IF($G1350="","",IF(Sync!$U1346="","0000",IF(AND(ISNUMBER(Sync!$U1346),Sync!$U1346&gt;=0,Sync!$U1346&lt;1),RIGHT("00"&amp;HOUR(Sync!$U1346),2)&amp;RIGHT("00"&amp;MINUTE(Sync!$U1346),2),IFERROR(RIGHT("00"&amp;VALUE(LEFT(Sync!$U1346,FIND(":",Sync!$U1346)-1)),2)&amp;RIGHT("00"&amp;VALUE(MID(Sync!$U1346,FIND(":",Sync!$U1346)+1,2)),2),"0000"))))</f>
        <v/>
      </c>
    </row>
    <row r="1351" spans="1:17" x14ac:dyDescent="0.2">
      <c r="A1351" t="str">
        <f>IF(Sync!$T1347="","",Sync!$T1347)</f>
        <v/>
      </c>
      <c r="B1351" t="str">
        <f t="shared" si="120"/>
        <v/>
      </c>
      <c r="C1351" t="str">
        <f t="shared" si="121"/>
        <v/>
      </c>
      <c r="D1351" t="str">
        <f t="shared" si="122"/>
        <v/>
      </c>
      <c r="E1351" t="str">
        <f t="shared" si="123"/>
        <v/>
      </c>
      <c r="F1351" t="str">
        <f t="shared" si="124"/>
        <v/>
      </c>
      <c r="G1351" t="str">
        <f>IF(OR($E1351="",$E1351="نامعتبر",Sync!$X1347=""),"",IF(AND(LEFT(UPPER(TRIM(Sync!$X1347)),2)="SL",IFERROR(VLOOKUP(Sync!$W1347,OpTbl,3,0),"")="فروش"),UPPER(TRIM(Sync!$X1347)),""))</f>
        <v/>
      </c>
      <c r="H1351" t="str">
        <f>IF($G1351="","",IF(Sync!$W1347="","",Sync!$W1347))</f>
        <v/>
      </c>
      <c r="I1351" t="str">
        <f>IF(OR($G1351="",Sync!$Y1347=""),"",Sync!$Y1347)</f>
        <v/>
      </c>
      <c r="J1351" t="str">
        <f>IF(OR($G1351="",Sync!$Z1347=""),"",Sync!$Z1347)</f>
        <v/>
      </c>
      <c r="K1351">
        <f>IF($G1351="",0,IF(Sync!$AA1347="",0,Sync!$AA1347))</f>
        <v>0</v>
      </c>
      <c r="L1351">
        <f>IF($G1351="",0,IF(Sync!$AB1347="",0,Sync!$AB1347))</f>
        <v>0</v>
      </c>
      <c r="M1351" t="str">
        <f t="shared" si="125"/>
        <v/>
      </c>
      <c r="N1351">
        <f>IF($G1351="",0,IF($H1351="مرجوعی فروش",-1,1)*IF(Sync!$AC1347="",0,Sync!$AC1347))</f>
        <v>0</v>
      </c>
      <c r="O1351" t="str">
        <f>IF(OR($G1351="",Sync!$V1347=""),"",Sync!$V1347)</f>
        <v/>
      </c>
      <c r="P1351" t="str">
        <f>IF(OR($G1351="",Sync!$AD1347=""),"",Sync!$AD1347)</f>
        <v/>
      </c>
      <c r="Q1351" t="str">
        <f>IF($G1351="","",IF(Sync!$U1347="","0000",IF(AND(ISNUMBER(Sync!$U1347),Sync!$U1347&gt;=0,Sync!$U1347&lt;1),RIGHT("00"&amp;HOUR(Sync!$U1347),2)&amp;RIGHT("00"&amp;MINUTE(Sync!$U1347),2),IFERROR(RIGHT("00"&amp;VALUE(LEFT(Sync!$U1347,FIND(":",Sync!$U1347)-1)),2)&amp;RIGHT("00"&amp;VALUE(MID(Sync!$U1347,FIND(":",Sync!$U1347)+1,2)),2),"0000"))))</f>
        <v/>
      </c>
    </row>
    <row r="1352" spans="1:17" x14ac:dyDescent="0.2">
      <c r="A1352" t="str">
        <f>IF(Sync!$T1348="","",Sync!$T1348)</f>
        <v/>
      </c>
      <c r="B1352" t="str">
        <f t="shared" si="120"/>
        <v/>
      </c>
      <c r="C1352" t="str">
        <f t="shared" si="121"/>
        <v/>
      </c>
      <c r="D1352" t="str">
        <f t="shared" si="122"/>
        <v/>
      </c>
      <c r="E1352" t="str">
        <f t="shared" si="123"/>
        <v/>
      </c>
      <c r="F1352" t="str">
        <f t="shared" si="124"/>
        <v/>
      </c>
      <c r="G1352" t="str">
        <f>IF(OR($E1352="",$E1352="نامعتبر",Sync!$X1348=""),"",IF(AND(LEFT(UPPER(TRIM(Sync!$X1348)),2)="SL",IFERROR(VLOOKUP(Sync!$W1348,OpTbl,3,0),"")="فروش"),UPPER(TRIM(Sync!$X1348)),""))</f>
        <v/>
      </c>
      <c r="H1352" t="str">
        <f>IF($G1352="","",IF(Sync!$W1348="","",Sync!$W1348))</f>
        <v/>
      </c>
      <c r="I1352" t="str">
        <f>IF(OR($G1352="",Sync!$Y1348=""),"",Sync!$Y1348)</f>
        <v/>
      </c>
      <c r="J1352" t="str">
        <f>IF(OR($G1352="",Sync!$Z1348=""),"",Sync!$Z1348)</f>
        <v/>
      </c>
      <c r="K1352">
        <f>IF($G1352="",0,IF(Sync!$AA1348="",0,Sync!$AA1348))</f>
        <v>0</v>
      </c>
      <c r="L1352">
        <f>IF($G1352="",0,IF(Sync!$AB1348="",0,Sync!$AB1348))</f>
        <v>0</v>
      </c>
      <c r="M1352" t="str">
        <f t="shared" si="125"/>
        <v/>
      </c>
      <c r="N1352">
        <f>IF($G1352="",0,IF($H1352="مرجوعی فروش",-1,1)*IF(Sync!$AC1348="",0,Sync!$AC1348))</f>
        <v>0</v>
      </c>
      <c r="O1352" t="str">
        <f>IF(OR($G1352="",Sync!$V1348=""),"",Sync!$V1348)</f>
        <v/>
      </c>
      <c r="P1352" t="str">
        <f>IF(OR($G1352="",Sync!$AD1348=""),"",Sync!$AD1348)</f>
        <v/>
      </c>
      <c r="Q1352" t="str">
        <f>IF($G1352="","",IF(Sync!$U1348="","0000",IF(AND(ISNUMBER(Sync!$U1348),Sync!$U1348&gt;=0,Sync!$U1348&lt;1),RIGHT("00"&amp;HOUR(Sync!$U1348),2)&amp;RIGHT("00"&amp;MINUTE(Sync!$U1348),2),IFERROR(RIGHT("00"&amp;VALUE(LEFT(Sync!$U1348,FIND(":",Sync!$U1348)-1)),2)&amp;RIGHT("00"&amp;VALUE(MID(Sync!$U1348,FIND(":",Sync!$U1348)+1,2)),2),"0000"))))</f>
        <v/>
      </c>
    </row>
    <row r="1353" spans="1:17" x14ac:dyDescent="0.2">
      <c r="A1353" t="str">
        <f>IF(Sync!$T1349="","",Sync!$T1349)</f>
        <v/>
      </c>
      <c r="B1353" t="str">
        <f t="shared" si="120"/>
        <v/>
      </c>
      <c r="C1353" t="str">
        <f t="shared" si="121"/>
        <v/>
      </c>
      <c r="D1353" t="str">
        <f t="shared" si="122"/>
        <v/>
      </c>
      <c r="E1353" t="str">
        <f t="shared" si="123"/>
        <v/>
      </c>
      <c r="F1353" t="str">
        <f t="shared" si="124"/>
        <v/>
      </c>
      <c r="G1353" t="str">
        <f>IF(OR($E1353="",$E1353="نامعتبر",Sync!$X1349=""),"",IF(AND(LEFT(UPPER(TRIM(Sync!$X1349)),2)="SL",IFERROR(VLOOKUP(Sync!$W1349,OpTbl,3,0),"")="فروش"),UPPER(TRIM(Sync!$X1349)),""))</f>
        <v/>
      </c>
      <c r="H1353" t="str">
        <f>IF($G1353="","",IF(Sync!$W1349="","",Sync!$W1349))</f>
        <v/>
      </c>
      <c r="I1353" t="str">
        <f>IF(OR($G1353="",Sync!$Y1349=""),"",Sync!$Y1349)</f>
        <v/>
      </c>
      <c r="J1353" t="str">
        <f>IF(OR($G1353="",Sync!$Z1349=""),"",Sync!$Z1349)</f>
        <v/>
      </c>
      <c r="K1353">
        <f>IF($G1353="",0,IF(Sync!$AA1349="",0,Sync!$AA1349))</f>
        <v>0</v>
      </c>
      <c r="L1353">
        <f>IF($G1353="",0,IF(Sync!$AB1349="",0,Sync!$AB1349))</f>
        <v>0</v>
      </c>
      <c r="M1353" t="str">
        <f t="shared" si="125"/>
        <v/>
      </c>
      <c r="N1353">
        <f>IF($G1353="",0,IF($H1353="مرجوعی فروش",-1,1)*IF(Sync!$AC1349="",0,Sync!$AC1349))</f>
        <v>0</v>
      </c>
      <c r="O1353" t="str">
        <f>IF(OR($G1353="",Sync!$V1349=""),"",Sync!$V1349)</f>
        <v/>
      </c>
      <c r="P1353" t="str">
        <f>IF(OR($G1353="",Sync!$AD1349=""),"",Sync!$AD1349)</f>
        <v/>
      </c>
      <c r="Q1353" t="str">
        <f>IF($G1353="","",IF(Sync!$U1349="","0000",IF(AND(ISNUMBER(Sync!$U1349),Sync!$U1349&gt;=0,Sync!$U1349&lt;1),RIGHT("00"&amp;HOUR(Sync!$U1349),2)&amp;RIGHT("00"&amp;MINUTE(Sync!$U1349),2),IFERROR(RIGHT("00"&amp;VALUE(LEFT(Sync!$U1349,FIND(":",Sync!$U1349)-1)),2)&amp;RIGHT("00"&amp;VALUE(MID(Sync!$U1349,FIND(":",Sync!$U1349)+1,2)),2),"0000"))))</f>
        <v/>
      </c>
    </row>
    <row r="1354" spans="1:17" x14ac:dyDescent="0.2">
      <c r="A1354" t="str">
        <f>IF(Sync!$T1350="","",Sync!$T1350)</f>
        <v/>
      </c>
      <c r="B1354" t="str">
        <f t="shared" ref="B1354:B1417" si="126">IF($A1354="","",IF(ISNUMBER($A1354),IF(AND($A1354&gt;=10000101,$A1354&lt;=99991231),INT($A1354/10000),""),IFERROR(VALUE(TRIM(LEFT($A1354,FIND("/",$A1354)-1))),"")))</f>
        <v/>
      </c>
      <c r="C1354" t="str">
        <f t="shared" ref="C1354:C1417" si="127">IF(OR($A1354="",$B1354=""),"",IF(ISNUMBER($A1354),INT(MOD($A1354,10000)/100),IFERROR(VALUE(TRIM(LEFT(MID($A1354,FIND("/",$A1354)+1,20),FIND("/",MID($A1354,FIND("/",$A1354)+1,20))-1))),"")))</f>
        <v/>
      </c>
      <c r="D1354" t="str">
        <f t="shared" ref="D1354:D1417" si="128">IF(OR($A1354="",$B1354=""),"",IF(ISNUMBER($A1354),MOD($A1354,100),IFERROR(VALUE(TRIM(MID(MID($A1354,FIND("/",$A1354)+1,20),FIND("/",MID($A1354,FIND("/",$A1354)+1,20))+1,20))),"")))</f>
        <v/>
      </c>
      <c r="E1354" t="str">
        <f t="shared" ref="E1354:E1417" si="129">IF($A1354="","",IF(OR($B1354="",$C1354="",$D1354="",$B1354&lt;1300,$B1354&gt;1500,$C1354&lt;1,$C1354&gt;12,$D1354&lt;1,$D1354&gt;31),"نامعتبر",RIGHT("0000"&amp;$B1354,4)&amp;"/"&amp;RIGHT("00"&amp;$C1354,2)&amp;"/"&amp;RIGHT("00"&amp;$D1354,2)))</f>
        <v/>
      </c>
      <c r="F1354" t="str">
        <f t="shared" ref="F1354:F1417" si="130">IF(OR($E1354="",$E1354="نامعتبر"),"",LEFT($E1354,4)&amp;"/"&amp;MID($E1354,6,2))</f>
        <v/>
      </c>
      <c r="G1354" t="str">
        <f>IF(OR($E1354="",$E1354="نامعتبر",Sync!$X1350=""),"",IF(AND(LEFT(UPPER(TRIM(Sync!$X1350)),2)="SL",IFERROR(VLOOKUP(Sync!$W1350,OpTbl,3,0),"")="فروش"),UPPER(TRIM(Sync!$X1350)),""))</f>
        <v/>
      </c>
      <c r="H1354" t="str">
        <f>IF($G1354="","",IF(Sync!$W1350="","",Sync!$W1350))</f>
        <v/>
      </c>
      <c r="I1354" t="str">
        <f>IF(OR($G1354="",Sync!$Y1350=""),"",Sync!$Y1350)</f>
        <v/>
      </c>
      <c r="J1354" t="str">
        <f>IF(OR($G1354="",Sync!$Z1350=""),"",Sync!$Z1350)</f>
        <v/>
      </c>
      <c r="K1354">
        <f>IF($G1354="",0,IF(Sync!$AA1350="",0,Sync!$AA1350))</f>
        <v>0</v>
      </c>
      <c r="L1354">
        <f>IF($G1354="",0,IF(Sync!$AB1350="",0,Sync!$AB1350))</f>
        <v>0</v>
      </c>
      <c r="M1354" t="str">
        <f t="shared" ref="M1354:M1417" si="131">IF($G1354="","",IF($H1354="مرجوعی فروش",-1,1)*($K1354-$L1354*IFERROR(VLOOKUP("P01",ParamTbl,3,0),1.5)))</f>
        <v/>
      </c>
      <c r="N1354">
        <f>IF($G1354="",0,IF($H1354="مرجوعی فروش",-1,1)*IF(Sync!$AC1350="",0,Sync!$AC1350))</f>
        <v>0</v>
      </c>
      <c r="O1354" t="str">
        <f>IF(OR($G1354="",Sync!$V1350=""),"",Sync!$V1350)</f>
        <v/>
      </c>
      <c r="P1354" t="str">
        <f>IF(OR($G1354="",Sync!$AD1350=""),"",Sync!$AD1350)</f>
        <v/>
      </c>
      <c r="Q1354" t="str">
        <f>IF($G1354="","",IF(Sync!$U1350="","0000",IF(AND(ISNUMBER(Sync!$U1350),Sync!$U1350&gt;=0,Sync!$U1350&lt;1),RIGHT("00"&amp;HOUR(Sync!$U1350),2)&amp;RIGHT("00"&amp;MINUTE(Sync!$U1350),2),IFERROR(RIGHT("00"&amp;VALUE(LEFT(Sync!$U1350,FIND(":",Sync!$U1350)-1)),2)&amp;RIGHT("00"&amp;VALUE(MID(Sync!$U1350,FIND(":",Sync!$U1350)+1,2)),2),"0000"))))</f>
        <v/>
      </c>
    </row>
    <row r="1355" spans="1:17" x14ac:dyDescent="0.2">
      <c r="A1355" t="str">
        <f>IF(Sync!$T1351="","",Sync!$T1351)</f>
        <v/>
      </c>
      <c r="B1355" t="str">
        <f t="shared" si="126"/>
        <v/>
      </c>
      <c r="C1355" t="str">
        <f t="shared" si="127"/>
        <v/>
      </c>
      <c r="D1355" t="str">
        <f t="shared" si="128"/>
        <v/>
      </c>
      <c r="E1355" t="str">
        <f t="shared" si="129"/>
        <v/>
      </c>
      <c r="F1355" t="str">
        <f t="shared" si="130"/>
        <v/>
      </c>
      <c r="G1355" t="str">
        <f>IF(OR($E1355="",$E1355="نامعتبر",Sync!$X1351=""),"",IF(AND(LEFT(UPPER(TRIM(Sync!$X1351)),2)="SL",IFERROR(VLOOKUP(Sync!$W1351,OpTbl,3,0),"")="فروش"),UPPER(TRIM(Sync!$X1351)),""))</f>
        <v/>
      </c>
      <c r="H1355" t="str">
        <f>IF($G1355="","",IF(Sync!$W1351="","",Sync!$W1351))</f>
        <v/>
      </c>
      <c r="I1355" t="str">
        <f>IF(OR($G1355="",Sync!$Y1351=""),"",Sync!$Y1351)</f>
        <v/>
      </c>
      <c r="J1355" t="str">
        <f>IF(OR($G1355="",Sync!$Z1351=""),"",Sync!$Z1351)</f>
        <v/>
      </c>
      <c r="K1355">
        <f>IF($G1355="",0,IF(Sync!$AA1351="",0,Sync!$AA1351))</f>
        <v>0</v>
      </c>
      <c r="L1355">
        <f>IF($G1355="",0,IF(Sync!$AB1351="",0,Sync!$AB1351))</f>
        <v>0</v>
      </c>
      <c r="M1355" t="str">
        <f t="shared" si="131"/>
        <v/>
      </c>
      <c r="N1355">
        <f>IF($G1355="",0,IF($H1355="مرجوعی فروش",-1,1)*IF(Sync!$AC1351="",0,Sync!$AC1351))</f>
        <v>0</v>
      </c>
      <c r="O1355" t="str">
        <f>IF(OR($G1355="",Sync!$V1351=""),"",Sync!$V1351)</f>
        <v/>
      </c>
      <c r="P1355" t="str">
        <f>IF(OR($G1355="",Sync!$AD1351=""),"",Sync!$AD1351)</f>
        <v/>
      </c>
      <c r="Q1355" t="str">
        <f>IF($G1355="","",IF(Sync!$U1351="","0000",IF(AND(ISNUMBER(Sync!$U1351),Sync!$U1351&gt;=0,Sync!$U1351&lt;1),RIGHT("00"&amp;HOUR(Sync!$U1351),2)&amp;RIGHT("00"&amp;MINUTE(Sync!$U1351),2),IFERROR(RIGHT("00"&amp;VALUE(LEFT(Sync!$U1351,FIND(":",Sync!$U1351)-1)),2)&amp;RIGHT("00"&amp;VALUE(MID(Sync!$U1351,FIND(":",Sync!$U1351)+1,2)),2),"0000"))))</f>
        <v/>
      </c>
    </row>
    <row r="1356" spans="1:17" x14ac:dyDescent="0.2">
      <c r="A1356" t="str">
        <f>IF(Sync!$T1352="","",Sync!$T1352)</f>
        <v/>
      </c>
      <c r="B1356" t="str">
        <f t="shared" si="126"/>
        <v/>
      </c>
      <c r="C1356" t="str">
        <f t="shared" si="127"/>
        <v/>
      </c>
      <c r="D1356" t="str">
        <f t="shared" si="128"/>
        <v/>
      </c>
      <c r="E1356" t="str">
        <f t="shared" si="129"/>
        <v/>
      </c>
      <c r="F1356" t="str">
        <f t="shared" si="130"/>
        <v/>
      </c>
      <c r="G1356" t="str">
        <f>IF(OR($E1356="",$E1356="نامعتبر",Sync!$X1352=""),"",IF(AND(LEFT(UPPER(TRIM(Sync!$X1352)),2)="SL",IFERROR(VLOOKUP(Sync!$W1352,OpTbl,3,0),"")="فروش"),UPPER(TRIM(Sync!$X1352)),""))</f>
        <v/>
      </c>
      <c r="H1356" t="str">
        <f>IF($G1356="","",IF(Sync!$W1352="","",Sync!$W1352))</f>
        <v/>
      </c>
      <c r="I1356" t="str">
        <f>IF(OR($G1356="",Sync!$Y1352=""),"",Sync!$Y1352)</f>
        <v/>
      </c>
      <c r="J1356" t="str">
        <f>IF(OR($G1356="",Sync!$Z1352=""),"",Sync!$Z1352)</f>
        <v/>
      </c>
      <c r="K1356">
        <f>IF($G1356="",0,IF(Sync!$AA1352="",0,Sync!$AA1352))</f>
        <v>0</v>
      </c>
      <c r="L1356">
        <f>IF($G1356="",0,IF(Sync!$AB1352="",0,Sync!$AB1352))</f>
        <v>0</v>
      </c>
      <c r="M1356" t="str">
        <f t="shared" si="131"/>
        <v/>
      </c>
      <c r="N1356">
        <f>IF($G1356="",0,IF($H1356="مرجوعی فروش",-1,1)*IF(Sync!$AC1352="",0,Sync!$AC1352))</f>
        <v>0</v>
      </c>
      <c r="O1356" t="str">
        <f>IF(OR($G1356="",Sync!$V1352=""),"",Sync!$V1352)</f>
        <v/>
      </c>
      <c r="P1356" t="str">
        <f>IF(OR($G1356="",Sync!$AD1352=""),"",Sync!$AD1352)</f>
        <v/>
      </c>
      <c r="Q1356" t="str">
        <f>IF($G1356="","",IF(Sync!$U1352="","0000",IF(AND(ISNUMBER(Sync!$U1352),Sync!$U1352&gt;=0,Sync!$U1352&lt;1),RIGHT("00"&amp;HOUR(Sync!$U1352),2)&amp;RIGHT("00"&amp;MINUTE(Sync!$U1352),2),IFERROR(RIGHT("00"&amp;VALUE(LEFT(Sync!$U1352,FIND(":",Sync!$U1352)-1)),2)&amp;RIGHT("00"&amp;VALUE(MID(Sync!$U1352,FIND(":",Sync!$U1352)+1,2)),2),"0000"))))</f>
        <v/>
      </c>
    </row>
    <row r="1357" spans="1:17" x14ac:dyDescent="0.2">
      <c r="A1357" t="str">
        <f>IF(Sync!$T1353="","",Sync!$T1353)</f>
        <v/>
      </c>
      <c r="B1357" t="str">
        <f t="shared" si="126"/>
        <v/>
      </c>
      <c r="C1357" t="str">
        <f t="shared" si="127"/>
        <v/>
      </c>
      <c r="D1357" t="str">
        <f t="shared" si="128"/>
        <v/>
      </c>
      <c r="E1357" t="str">
        <f t="shared" si="129"/>
        <v/>
      </c>
      <c r="F1357" t="str">
        <f t="shared" si="130"/>
        <v/>
      </c>
      <c r="G1357" t="str">
        <f>IF(OR($E1357="",$E1357="نامعتبر",Sync!$X1353=""),"",IF(AND(LEFT(UPPER(TRIM(Sync!$X1353)),2)="SL",IFERROR(VLOOKUP(Sync!$W1353,OpTbl,3,0),"")="فروش"),UPPER(TRIM(Sync!$X1353)),""))</f>
        <v/>
      </c>
      <c r="H1357" t="str">
        <f>IF($G1357="","",IF(Sync!$W1353="","",Sync!$W1353))</f>
        <v/>
      </c>
      <c r="I1357" t="str">
        <f>IF(OR($G1357="",Sync!$Y1353=""),"",Sync!$Y1353)</f>
        <v/>
      </c>
      <c r="J1357" t="str">
        <f>IF(OR($G1357="",Sync!$Z1353=""),"",Sync!$Z1353)</f>
        <v/>
      </c>
      <c r="K1357">
        <f>IF($G1357="",0,IF(Sync!$AA1353="",0,Sync!$AA1353))</f>
        <v>0</v>
      </c>
      <c r="L1357">
        <f>IF($G1357="",0,IF(Sync!$AB1353="",0,Sync!$AB1353))</f>
        <v>0</v>
      </c>
      <c r="M1357" t="str">
        <f t="shared" si="131"/>
        <v/>
      </c>
      <c r="N1357">
        <f>IF($G1357="",0,IF($H1357="مرجوعی فروش",-1,1)*IF(Sync!$AC1353="",0,Sync!$AC1353))</f>
        <v>0</v>
      </c>
      <c r="O1357" t="str">
        <f>IF(OR($G1357="",Sync!$V1353=""),"",Sync!$V1353)</f>
        <v/>
      </c>
      <c r="P1357" t="str">
        <f>IF(OR($G1357="",Sync!$AD1353=""),"",Sync!$AD1353)</f>
        <v/>
      </c>
      <c r="Q1357" t="str">
        <f>IF($G1357="","",IF(Sync!$U1353="","0000",IF(AND(ISNUMBER(Sync!$U1353),Sync!$U1353&gt;=0,Sync!$U1353&lt;1),RIGHT("00"&amp;HOUR(Sync!$U1353),2)&amp;RIGHT("00"&amp;MINUTE(Sync!$U1353),2),IFERROR(RIGHT("00"&amp;VALUE(LEFT(Sync!$U1353,FIND(":",Sync!$U1353)-1)),2)&amp;RIGHT("00"&amp;VALUE(MID(Sync!$U1353,FIND(":",Sync!$U1353)+1,2)),2),"0000"))))</f>
        <v/>
      </c>
    </row>
    <row r="1358" spans="1:17" x14ac:dyDescent="0.2">
      <c r="A1358" t="str">
        <f>IF(Sync!$T1354="","",Sync!$T1354)</f>
        <v/>
      </c>
      <c r="B1358" t="str">
        <f t="shared" si="126"/>
        <v/>
      </c>
      <c r="C1358" t="str">
        <f t="shared" si="127"/>
        <v/>
      </c>
      <c r="D1358" t="str">
        <f t="shared" si="128"/>
        <v/>
      </c>
      <c r="E1358" t="str">
        <f t="shared" si="129"/>
        <v/>
      </c>
      <c r="F1358" t="str">
        <f t="shared" si="130"/>
        <v/>
      </c>
      <c r="G1358" t="str">
        <f>IF(OR($E1358="",$E1358="نامعتبر",Sync!$X1354=""),"",IF(AND(LEFT(UPPER(TRIM(Sync!$X1354)),2)="SL",IFERROR(VLOOKUP(Sync!$W1354,OpTbl,3,0),"")="فروش"),UPPER(TRIM(Sync!$X1354)),""))</f>
        <v/>
      </c>
      <c r="H1358" t="str">
        <f>IF($G1358="","",IF(Sync!$W1354="","",Sync!$W1354))</f>
        <v/>
      </c>
      <c r="I1358" t="str">
        <f>IF(OR($G1358="",Sync!$Y1354=""),"",Sync!$Y1354)</f>
        <v/>
      </c>
      <c r="J1358" t="str">
        <f>IF(OR($G1358="",Sync!$Z1354=""),"",Sync!$Z1354)</f>
        <v/>
      </c>
      <c r="K1358">
        <f>IF($G1358="",0,IF(Sync!$AA1354="",0,Sync!$AA1354))</f>
        <v>0</v>
      </c>
      <c r="L1358">
        <f>IF($G1358="",0,IF(Sync!$AB1354="",0,Sync!$AB1354))</f>
        <v>0</v>
      </c>
      <c r="M1358" t="str">
        <f t="shared" si="131"/>
        <v/>
      </c>
      <c r="N1358">
        <f>IF($G1358="",0,IF($H1358="مرجوعی فروش",-1,1)*IF(Sync!$AC1354="",0,Sync!$AC1354))</f>
        <v>0</v>
      </c>
      <c r="O1358" t="str">
        <f>IF(OR($G1358="",Sync!$V1354=""),"",Sync!$V1354)</f>
        <v/>
      </c>
      <c r="P1358" t="str">
        <f>IF(OR($G1358="",Sync!$AD1354=""),"",Sync!$AD1354)</f>
        <v/>
      </c>
      <c r="Q1358" t="str">
        <f>IF($G1358="","",IF(Sync!$U1354="","0000",IF(AND(ISNUMBER(Sync!$U1354),Sync!$U1354&gt;=0,Sync!$U1354&lt;1),RIGHT("00"&amp;HOUR(Sync!$U1354),2)&amp;RIGHT("00"&amp;MINUTE(Sync!$U1354),2),IFERROR(RIGHT("00"&amp;VALUE(LEFT(Sync!$U1354,FIND(":",Sync!$U1354)-1)),2)&amp;RIGHT("00"&amp;VALUE(MID(Sync!$U1354,FIND(":",Sync!$U1354)+1,2)),2),"0000"))))</f>
        <v/>
      </c>
    </row>
    <row r="1359" spans="1:17" x14ac:dyDescent="0.2">
      <c r="A1359" t="str">
        <f>IF(Sync!$T1355="","",Sync!$T1355)</f>
        <v/>
      </c>
      <c r="B1359" t="str">
        <f t="shared" si="126"/>
        <v/>
      </c>
      <c r="C1359" t="str">
        <f t="shared" si="127"/>
        <v/>
      </c>
      <c r="D1359" t="str">
        <f t="shared" si="128"/>
        <v/>
      </c>
      <c r="E1359" t="str">
        <f t="shared" si="129"/>
        <v/>
      </c>
      <c r="F1359" t="str">
        <f t="shared" si="130"/>
        <v/>
      </c>
      <c r="G1359" t="str">
        <f>IF(OR($E1359="",$E1359="نامعتبر",Sync!$X1355=""),"",IF(AND(LEFT(UPPER(TRIM(Sync!$X1355)),2)="SL",IFERROR(VLOOKUP(Sync!$W1355,OpTbl,3,0),"")="فروش"),UPPER(TRIM(Sync!$X1355)),""))</f>
        <v/>
      </c>
      <c r="H1359" t="str">
        <f>IF($G1359="","",IF(Sync!$W1355="","",Sync!$W1355))</f>
        <v/>
      </c>
      <c r="I1359" t="str">
        <f>IF(OR($G1359="",Sync!$Y1355=""),"",Sync!$Y1355)</f>
        <v/>
      </c>
      <c r="J1359" t="str">
        <f>IF(OR($G1359="",Sync!$Z1355=""),"",Sync!$Z1355)</f>
        <v/>
      </c>
      <c r="K1359">
        <f>IF($G1359="",0,IF(Sync!$AA1355="",0,Sync!$AA1355))</f>
        <v>0</v>
      </c>
      <c r="L1359">
        <f>IF($G1359="",0,IF(Sync!$AB1355="",0,Sync!$AB1355))</f>
        <v>0</v>
      </c>
      <c r="M1359" t="str">
        <f t="shared" si="131"/>
        <v/>
      </c>
      <c r="N1359">
        <f>IF($G1359="",0,IF($H1359="مرجوعی فروش",-1,1)*IF(Sync!$AC1355="",0,Sync!$AC1355))</f>
        <v>0</v>
      </c>
      <c r="O1359" t="str">
        <f>IF(OR($G1359="",Sync!$V1355=""),"",Sync!$V1355)</f>
        <v/>
      </c>
      <c r="P1359" t="str">
        <f>IF(OR($G1359="",Sync!$AD1355=""),"",Sync!$AD1355)</f>
        <v/>
      </c>
      <c r="Q1359" t="str">
        <f>IF($G1359="","",IF(Sync!$U1355="","0000",IF(AND(ISNUMBER(Sync!$U1355),Sync!$U1355&gt;=0,Sync!$U1355&lt;1),RIGHT("00"&amp;HOUR(Sync!$U1355),2)&amp;RIGHT("00"&amp;MINUTE(Sync!$U1355),2),IFERROR(RIGHT("00"&amp;VALUE(LEFT(Sync!$U1355,FIND(":",Sync!$U1355)-1)),2)&amp;RIGHT("00"&amp;VALUE(MID(Sync!$U1355,FIND(":",Sync!$U1355)+1,2)),2),"0000"))))</f>
        <v/>
      </c>
    </row>
    <row r="1360" spans="1:17" x14ac:dyDescent="0.2">
      <c r="A1360" t="str">
        <f>IF(Sync!$T1356="","",Sync!$T1356)</f>
        <v/>
      </c>
      <c r="B1360" t="str">
        <f t="shared" si="126"/>
        <v/>
      </c>
      <c r="C1360" t="str">
        <f t="shared" si="127"/>
        <v/>
      </c>
      <c r="D1360" t="str">
        <f t="shared" si="128"/>
        <v/>
      </c>
      <c r="E1360" t="str">
        <f t="shared" si="129"/>
        <v/>
      </c>
      <c r="F1360" t="str">
        <f t="shared" si="130"/>
        <v/>
      </c>
      <c r="G1360" t="str">
        <f>IF(OR($E1360="",$E1360="نامعتبر",Sync!$X1356=""),"",IF(AND(LEFT(UPPER(TRIM(Sync!$X1356)),2)="SL",IFERROR(VLOOKUP(Sync!$W1356,OpTbl,3,0),"")="فروش"),UPPER(TRIM(Sync!$X1356)),""))</f>
        <v/>
      </c>
      <c r="H1360" t="str">
        <f>IF($G1360="","",IF(Sync!$W1356="","",Sync!$W1356))</f>
        <v/>
      </c>
      <c r="I1360" t="str">
        <f>IF(OR($G1360="",Sync!$Y1356=""),"",Sync!$Y1356)</f>
        <v/>
      </c>
      <c r="J1360" t="str">
        <f>IF(OR($G1360="",Sync!$Z1356=""),"",Sync!$Z1356)</f>
        <v/>
      </c>
      <c r="K1360">
        <f>IF($G1360="",0,IF(Sync!$AA1356="",0,Sync!$AA1356))</f>
        <v>0</v>
      </c>
      <c r="L1360">
        <f>IF($G1360="",0,IF(Sync!$AB1356="",0,Sync!$AB1356))</f>
        <v>0</v>
      </c>
      <c r="M1360" t="str">
        <f t="shared" si="131"/>
        <v/>
      </c>
      <c r="N1360">
        <f>IF($G1360="",0,IF($H1360="مرجوعی فروش",-1,1)*IF(Sync!$AC1356="",0,Sync!$AC1356))</f>
        <v>0</v>
      </c>
      <c r="O1360" t="str">
        <f>IF(OR($G1360="",Sync!$V1356=""),"",Sync!$V1356)</f>
        <v/>
      </c>
      <c r="P1360" t="str">
        <f>IF(OR($G1360="",Sync!$AD1356=""),"",Sync!$AD1356)</f>
        <v/>
      </c>
      <c r="Q1360" t="str">
        <f>IF($G1360="","",IF(Sync!$U1356="","0000",IF(AND(ISNUMBER(Sync!$U1356),Sync!$U1356&gt;=0,Sync!$U1356&lt;1),RIGHT("00"&amp;HOUR(Sync!$U1356),2)&amp;RIGHT("00"&amp;MINUTE(Sync!$U1356),2),IFERROR(RIGHT("00"&amp;VALUE(LEFT(Sync!$U1356,FIND(":",Sync!$U1356)-1)),2)&amp;RIGHT("00"&amp;VALUE(MID(Sync!$U1356,FIND(":",Sync!$U1356)+1,2)),2),"0000"))))</f>
        <v/>
      </c>
    </row>
    <row r="1361" spans="1:17" x14ac:dyDescent="0.2">
      <c r="A1361" t="str">
        <f>IF(Sync!$T1357="","",Sync!$T1357)</f>
        <v/>
      </c>
      <c r="B1361" t="str">
        <f t="shared" si="126"/>
        <v/>
      </c>
      <c r="C1361" t="str">
        <f t="shared" si="127"/>
        <v/>
      </c>
      <c r="D1361" t="str">
        <f t="shared" si="128"/>
        <v/>
      </c>
      <c r="E1361" t="str">
        <f t="shared" si="129"/>
        <v/>
      </c>
      <c r="F1361" t="str">
        <f t="shared" si="130"/>
        <v/>
      </c>
      <c r="G1361" t="str">
        <f>IF(OR($E1361="",$E1361="نامعتبر",Sync!$X1357=""),"",IF(AND(LEFT(UPPER(TRIM(Sync!$X1357)),2)="SL",IFERROR(VLOOKUP(Sync!$W1357,OpTbl,3,0),"")="فروش"),UPPER(TRIM(Sync!$X1357)),""))</f>
        <v/>
      </c>
      <c r="H1361" t="str">
        <f>IF($G1361="","",IF(Sync!$W1357="","",Sync!$W1357))</f>
        <v/>
      </c>
      <c r="I1361" t="str">
        <f>IF(OR($G1361="",Sync!$Y1357=""),"",Sync!$Y1357)</f>
        <v/>
      </c>
      <c r="J1361" t="str">
        <f>IF(OR($G1361="",Sync!$Z1357=""),"",Sync!$Z1357)</f>
        <v/>
      </c>
      <c r="K1361">
        <f>IF($G1361="",0,IF(Sync!$AA1357="",0,Sync!$AA1357))</f>
        <v>0</v>
      </c>
      <c r="L1361">
        <f>IF($G1361="",0,IF(Sync!$AB1357="",0,Sync!$AB1357))</f>
        <v>0</v>
      </c>
      <c r="M1361" t="str">
        <f t="shared" si="131"/>
        <v/>
      </c>
      <c r="N1361">
        <f>IF($G1361="",0,IF($H1361="مرجوعی فروش",-1,1)*IF(Sync!$AC1357="",0,Sync!$AC1357))</f>
        <v>0</v>
      </c>
      <c r="O1361" t="str">
        <f>IF(OR($G1361="",Sync!$V1357=""),"",Sync!$V1357)</f>
        <v/>
      </c>
      <c r="P1361" t="str">
        <f>IF(OR($G1361="",Sync!$AD1357=""),"",Sync!$AD1357)</f>
        <v/>
      </c>
      <c r="Q1361" t="str">
        <f>IF($G1361="","",IF(Sync!$U1357="","0000",IF(AND(ISNUMBER(Sync!$U1357),Sync!$U1357&gt;=0,Sync!$U1357&lt;1),RIGHT("00"&amp;HOUR(Sync!$U1357),2)&amp;RIGHT("00"&amp;MINUTE(Sync!$U1357),2),IFERROR(RIGHT("00"&amp;VALUE(LEFT(Sync!$U1357,FIND(":",Sync!$U1357)-1)),2)&amp;RIGHT("00"&amp;VALUE(MID(Sync!$U1357,FIND(":",Sync!$U1357)+1,2)),2),"0000"))))</f>
        <v/>
      </c>
    </row>
    <row r="1362" spans="1:17" x14ac:dyDescent="0.2">
      <c r="A1362" t="str">
        <f>IF(Sync!$T1358="","",Sync!$T1358)</f>
        <v/>
      </c>
      <c r="B1362" t="str">
        <f t="shared" si="126"/>
        <v/>
      </c>
      <c r="C1362" t="str">
        <f t="shared" si="127"/>
        <v/>
      </c>
      <c r="D1362" t="str">
        <f t="shared" si="128"/>
        <v/>
      </c>
      <c r="E1362" t="str">
        <f t="shared" si="129"/>
        <v/>
      </c>
      <c r="F1362" t="str">
        <f t="shared" si="130"/>
        <v/>
      </c>
      <c r="G1362" t="str">
        <f>IF(OR($E1362="",$E1362="نامعتبر",Sync!$X1358=""),"",IF(AND(LEFT(UPPER(TRIM(Sync!$X1358)),2)="SL",IFERROR(VLOOKUP(Sync!$W1358,OpTbl,3,0),"")="فروش"),UPPER(TRIM(Sync!$X1358)),""))</f>
        <v/>
      </c>
      <c r="H1362" t="str">
        <f>IF($G1362="","",IF(Sync!$W1358="","",Sync!$W1358))</f>
        <v/>
      </c>
      <c r="I1362" t="str">
        <f>IF(OR($G1362="",Sync!$Y1358=""),"",Sync!$Y1358)</f>
        <v/>
      </c>
      <c r="J1362" t="str">
        <f>IF(OR($G1362="",Sync!$Z1358=""),"",Sync!$Z1358)</f>
        <v/>
      </c>
      <c r="K1362">
        <f>IF($G1362="",0,IF(Sync!$AA1358="",0,Sync!$AA1358))</f>
        <v>0</v>
      </c>
      <c r="L1362">
        <f>IF($G1362="",0,IF(Sync!$AB1358="",0,Sync!$AB1358))</f>
        <v>0</v>
      </c>
      <c r="M1362" t="str">
        <f t="shared" si="131"/>
        <v/>
      </c>
      <c r="N1362">
        <f>IF($G1362="",0,IF($H1362="مرجوعی فروش",-1,1)*IF(Sync!$AC1358="",0,Sync!$AC1358))</f>
        <v>0</v>
      </c>
      <c r="O1362" t="str">
        <f>IF(OR($G1362="",Sync!$V1358=""),"",Sync!$V1358)</f>
        <v/>
      </c>
      <c r="P1362" t="str">
        <f>IF(OR($G1362="",Sync!$AD1358=""),"",Sync!$AD1358)</f>
        <v/>
      </c>
      <c r="Q1362" t="str">
        <f>IF($G1362="","",IF(Sync!$U1358="","0000",IF(AND(ISNUMBER(Sync!$U1358),Sync!$U1358&gt;=0,Sync!$U1358&lt;1),RIGHT("00"&amp;HOUR(Sync!$U1358),2)&amp;RIGHT("00"&amp;MINUTE(Sync!$U1358),2),IFERROR(RIGHT("00"&amp;VALUE(LEFT(Sync!$U1358,FIND(":",Sync!$U1358)-1)),2)&amp;RIGHT("00"&amp;VALUE(MID(Sync!$U1358,FIND(":",Sync!$U1358)+1,2)),2),"0000"))))</f>
        <v/>
      </c>
    </row>
    <row r="1363" spans="1:17" x14ac:dyDescent="0.2">
      <c r="A1363" t="str">
        <f>IF(Sync!$T1359="","",Sync!$T1359)</f>
        <v/>
      </c>
      <c r="B1363" t="str">
        <f t="shared" si="126"/>
        <v/>
      </c>
      <c r="C1363" t="str">
        <f t="shared" si="127"/>
        <v/>
      </c>
      <c r="D1363" t="str">
        <f t="shared" si="128"/>
        <v/>
      </c>
      <c r="E1363" t="str">
        <f t="shared" si="129"/>
        <v/>
      </c>
      <c r="F1363" t="str">
        <f t="shared" si="130"/>
        <v/>
      </c>
      <c r="G1363" t="str">
        <f>IF(OR($E1363="",$E1363="نامعتبر",Sync!$X1359=""),"",IF(AND(LEFT(UPPER(TRIM(Sync!$X1359)),2)="SL",IFERROR(VLOOKUP(Sync!$W1359,OpTbl,3,0),"")="فروش"),UPPER(TRIM(Sync!$X1359)),""))</f>
        <v/>
      </c>
      <c r="H1363" t="str">
        <f>IF($G1363="","",IF(Sync!$W1359="","",Sync!$W1359))</f>
        <v/>
      </c>
      <c r="I1363" t="str">
        <f>IF(OR($G1363="",Sync!$Y1359=""),"",Sync!$Y1359)</f>
        <v/>
      </c>
      <c r="J1363" t="str">
        <f>IF(OR($G1363="",Sync!$Z1359=""),"",Sync!$Z1359)</f>
        <v/>
      </c>
      <c r="K1363">
        <f>IF($G1363="",0,IF(Sync!$AA1359="",0,Sync!$AA1359))</f>
        <v>0</v>
      </c>
      <c r="L1363">
        <f>IF($G1363="",0,IF(Sync!$AB1359="",0,Sync!$AB1359))</f>
        <v>0</v>
      </c>
      <c r="M1363" t="str">
        <f t="shared" si="131"/>
        <v/>
      </c>
      <c r="N1363">
        <f>IF($G1363="",0,IF($H1363="مرجوعی فروش",-1,1)*IF(Sync!$AC1359="",0,Sync!$AC1359))</f>
        <v>0</v>
      </c>
      <c r="O1363" t="str">
        <f>IF(OR($G1363="",Sync!$V1359=""),"",Sync!$V1359)</f>
        <v/>
      </c>
      <c r="P1363" t="str">
        <f>IF(OR($G1363="",Sync!$AD1359=""),"",Sync!$AD1359)</f>
        <v/>
      </c>
      <c r="Q1363" t="str">
        <f>IF($G1363="","",IF(Sync!$U1359="","0000",IF(AND(ISNUMBER(Sync!$U1359),Sync!$U1359&gt;=0,Sync!$U1359&lt;1),RIGHT("00"&amp;HOUR(Sync!$U1359),2)&amp;RIGHT("00"&amp;MINUTE(Sync!$U1359),2),IFERROR(RIGHT("00"&amp;VALUE(LEFT(Sync!$U1359,FIND(":",Sync!$U1359)-1)),2)&amp;RIGHT("00"&amp;VALUE(MID(Sync!$U1359,FIND(":",Sync!$U1359)+1,2)),2),"0000"))))</f>
        <v/>
      </c>
    </row>
    <row r="1364" spans="1:17" x14ac:dyDescent="0.2">
      <c r="A1364" t="str">
        <f>IF(Sync!$T1360="","",Sync!$T1360)</f>
        <v/>
      </c>
      <c r="B1364" t="str">
        <f t="shared" si="126"/>
        <v/>
      </c>
      <c r="C1364" t="str">
        <f t="shared" si="127"/>
        <v/>
      </c>
      <c r="D1364" t="str">
        <f t="shared" si="128"/>
        <v/>
      </c>
      <c r="E1364" t="str">
        <f t="shared" si="129"/>
        <v/>
      </c>
      <c r="F1364" t="str">
        <f t="shared" si="130"/>
        <v/>
      </c>
      <c r="G1364" t="str">
        <f>IF(OR($E1364="",$E1364="نامعتبر",Sync!$X1360=""),"",IF(AND(LEFT(UPPER(TRIM(Sync!$X1360)),2)="SL",IFERROR(VLOOKUP(Sync!$W1360,OpTbl,3,0),"")="فروش"),UPPER(TRIM(Sync!$X1360)),""))</f>
        <v/>
      </c>
      <c r="H1364" t="str">
        <f>IF($G1364="","",IF(Sync!$W1360="","",Sync!$W1360))</f>
        <v/>
      </c>
      <c r="I1364" t="str">
        <f>IF(OR($G1364="",Sync!$Y1360=""),"",Sync!$Y1360)</f>
        <v/>
      </c>
      <c r="J1364" t="str">
        <f>IF(OR($G1364="",Sync!$Z1360=""),"",Sync!$Z1360)</f>
        <v/>
      </c>
      <c r="K1364">
        <f>IF($G1364="",0,IF(Sync!$AA1360="",0,Sync!$AA1360))</f>
        <v>0</v>
      </c>
      <c r="L1364">
        <f>IF($G1364="",0,IF(Sync!$AB1360="",0,Sync!$AB1360))</f>
        <v>0</v>
      </c>
      <c r="M1364" t="str">
        <f t="shared" si="131"/>
        <v/>
      </c>
      <c r="N1364">
        <f>IF($G1364="",0,IF($H1364="مرجوعی فروش",-1,1)*IF(Sync!$AC1360="",0,Sync!$AC1360))</f>
        <v>0</v>
      </c>
      <c r="O1364" t="str">
        <f>IF(OR($G1364="",Sync!$V1360=""),"",Sync!$V1360)</f>
        <v/>
      </c>
      <c r="P1364" t="str">
        <f>IF(OR($G1364="",Sync!$AD1360=""),"",Sync!$AD1360)</f>
        <v/>
      </c>
      <c r="Q1364" t="str">
        <f>IF($G1364="","",IF(Sync!$U1360="","0000",IF(AND(ISNUMBER(Sync!$U1360),Sync!$U1360&gt;=0,Sync!$U1360&lt;1),RIGHT("00"&amp;HOUR(Sync!$U1360),2)&amp;RIGHT("00"&amp;MINUTE(Sync!$U1360),2),IFERROR(RIGHT("00"&amp;VALUE(LEFT(Sync!$U1360,FIND(":",Sync!$U1360)-1)),2)&amp;RIGHT("00"&amp;VALUE(MID(Sync!$U1360,FIND(":",Sync!$U1360)+1,2)),2),"0000"))))</f>
        <v/>
      </c>
    </row>
    <row r="1365" spans="1:17" x14ac:dyDescent="0.2">
      <c r="A1365" t="str">
        <f>IF(Sync!$T1361="","",Sync!$T1361)</f>
        <v/>
      </c>
      <c r="B1365" t="str">
        <f t="shared" si="126"/>
        <v/>
      </c>
      <c r="C1365" t="str">
        <f t="shared" si="127"/>
        <v/>
      </c>
      <c r="D1365" t="str">
        <f t="shared" si="128"/>
        <v/>
      </c>
      <c r="E1365" t="str">
        <f t="shared" si="129"/>
        <v/>
      </c>
      <c r="F1365" t="str">
        <f t="shared" si="130"/>
        <v/>
      </c>
      <c r="G1365" t="str">
        <f>IF(OR($E1365="",$E1365="نامعتبر",Sync!$X1361=""),"",IF(AND(LEFT(UPPER(TRIM(Sync!$X1361)),2)="SL",IFERROR(VLOOKUP(Sync!$W1361,OpTbl,3,0),"")="فروش"),UPPER(TRIM(Sync!$X1361)),""))</f>
        <v/>
      </c>
      <c r="H1365" t="str">
        <f>IF($G1365="","",IF(Sync!$W1361="","",Sync!$W1361))</f>
        <v/>
      </c>
      <c r="I1365" t="str">
        <f>IF(OR($G1365="",Sync!$Y1361=""),"",Sync!$Y1361)</f>
        <v/>
      </c>
      <c r="J1365" t="str">
        <f>IF(OR($G1365="",Sync!$Z1361=""),"",Sync!$Z1361)</f>
        <v/>
      </c>
      <c r="K1365">
        <f>IF($G1365="",0,IF(Sync!$AA1361="",0,Sync!$AA1361))</f>
        <v>0</v>
      </c>
      <c r="L1365">
        <f>IF($G1365="",0,IF(Sync!$AB1361="",0,Sync!$AB1361))</f>
        <v>0</v>
      </c>
      <c r="M1365" t="str">
        <f t="shared" si="131"/>
        <v/>
      </c>
      <c r="N1365">
        <f>IF($G1365="",0,IF($H1365="مرجوعی فروش",-1,1)*IF(Sync!$AC1361="",0,Sync!$AC1361))</f>
        <v>0</v>
      </c>
      <c r="O1365" t="str">
        <f>IF(OR($G1365="",Sync!$V1361=""),"",Sync!$V1361)</f>
        <v/>
      </c>
      <c r="P1365" t="str">
        <f>IF(OR($G1365="",Sync!$AD1361=""),"",Sync!$AD1361)</f>
        <v/>
      </c>
      <c r="Q1365" t="str">
        <f>IF($G1365="","",IF(Sync!$U1361="","0000",IF(AND(ISNUMBER(Sync!$U1361),Sync!$U1361&gt;=0,Sync!$U1361&lt;1),RIGHT("00"&amp;HOUR(Sync!$U1361),2)&amp;RIGHT("00"&amp;MINUTE(Sync!$U1361),2),IFERROR(RIGHT("00"&amp;VALUE(LEFT(Sync!$U1361,FIND(":",Sync!$U1361)-1)),2)&amp;RIGHT("00"&amp;VALUE(MID(Sync!$U1361,FIND(":",Sync!$U1361)+1,2)),2),"0000"))))</f>
        <v/>
      </c>
    </row>
    <row r="1366" spans="1:17" x14ac:dyDescent="0.2">
      <c r="A1366" t="str">
        <f>IF(Sync!$T1362="","",Sync!$T1362)</f>
        <v/>
      </c>
      <c r="B1366" t="str">
        <f t="shared" si="126"/>
        <v/>
      </c>
      <c r="C1366" t="str">
        <f t="shared" si="127"/>
        <v/>
      </c>
      <c r="D1366" t="str">
        <f t="shared" si="128"/>
        <v/>
      </c>
      <c r="E1366" t="str">
        <f t="shared" si="129"/>
        <v/>
      </c>
      <c r="F1366" t="str">
        <f t="shared" si="130"/>
        <v/>
      </c>
      <c r="G1366" t="str">
        <f>IF(OR($E1366="",$E1366="نامعتبر",Sync!$X1362=""),"",IF(AND(LEFT(UPPER(TRIM(Sync!$X1362)),2)="SL",IFERROR(VLOOKUP(Sync!$W1362,OpTbl,3,0),"")="فروش"),UPPER(TRIM(Sync!$X1362)),""))</f>
        <v/>
      </c>
      <c r="H1366" t="str">
        <f>IF($G1366="","",IF(Sync!$W1362="","",Sync!$W1362))</f>
        <v/>
      </c>
      <c r="I1366" t="str">
        <f>IF(OR($G1366="",Sync!$Y1362=""),"",Sync!$Y1362)</f>
        <v/>
      </c>
      <c r="J1366" t="str">
        <f>IF(OR($G1366="",Sync!$Z1362=""),"",Sync!$Z1362)</f>
        <v/>
      </c>
      <c r="K1366">
        <f>IF($G1366="",0,IF(Sync!$AA1362="",0,Sync!$AA1362))</f>
        <v>0</v>
      </c>
      <c r="L1366">
        <f>IF($G1366="",0,IF(Sync!$AB1362="",0,Sync!$AB1362))</f>
        <v>0</v>
      </c>
      <c r="M1366" t="str">
        <f t="shared" si="131"/>
        <v/>
      </c>
      <c r="N1366">
        <f>IF($G1366="",0,IF($H1366="مرجوعی فروش",-1,1)*IF(Sync!$AC1362="",0,Sync!$AC1362))</f>
        <v>0</v>
      </c>
      <c r="O1366" t="str">
        <f>IF(OR($G1366="",Sync!$V1362=""),"",Sync!$V1362)</f>
        <v/>
      </c>
      <c r="P1366" t="str">
        <f>IF(OR($G1366="",Sync!$AD1362=""),"",Sync!$AD1362)</f>
        <v/>
      </c>
      <c r="Q1366" t="str">
        <f>IF($G1366="","",IF(Sync!$U1362="","0000",IF(AND(ISNUMBER(Sync!$U1362),Sync!$U1362&gt;=0,Sync!$U1362&lt;1),RIGHT("00"&amp;HOUR(Sync!$U1362),2)&amp;RIGHT("00"&amp;MINUTE(Sync!$U1362),2),IFERROR(RIGHT("00"&amp;VALUE(LEFT(Sync!$U1362,FIND(":",Sync!$U1362)-1)),2)&amp;RIGHT("00"&amp;VALUE(MID(Sync!$U1362,FIND(":",Sync!$U1362)+1,2)),2),"0000"))))</f>
        <v/>
      </c>
    </row>
    <row r="1367" spans="1:17" x14ac:dyDescent="0.2">
      <c r="A1367" t="str">
        <f>IF(Sync!$T1363="","",Sync!$T1363)</f>
        <v/>
      </c>
      <c r="B1367" t="str">
        <f t="shared" si="126"/>
        <v/>
      </c>
      <c r="C1367" t="str">
        <f t="shared" si="127"/>
        <v/>
      </c>
      <c r="D1367" t="str">
        <f t="shared" si="128"/>
        <v/>
      </c>
      <c r="E1367" t="str">
        <f t="shared" si="129"/>
        <v/>
      </c>
      <c r="F1367" t="str">
        <f t="shared" si="130"/>
        <v/>
      </c>
      <c r="G1367" t="str">
        <f>IF(OR($E1367="",$E1367="نامعتبر",Sync!$X1363=""),"",IF(AND(LEFT(UPPER(TRIM(Sync!$X1363)),2)="SL",IFERROR(VLOOKUP(Sync!$W1363,OpTbl,3,0),"")="فروش"),UPPER(TRIM(Sync!$X1363)),""))</f>
        <v/>
      </c>
      <c r="H1367" t="str">
        <f>IF($G1367="","",IF(Sync!$W1363="","",Sync!$W1363))</f>
        <v/>
      </c>
      <c r="I1367" t="str">
        <f>IF(OR($G1367="",Sync!$Y1363=""),"",Sync!$Y1363)</f>
        <v/>
      </c>
      <c r="J1367" t="str">
        <f>IF(OR($G1367="",Sync!$Z1363=""),"",Sync!$Z1363)</f>
        <v/>
      </c>
      <c r="K1367">
        <f>IF($G1367="",0,IF(Sync!$AA1363="",0,Sync!$AA1363))</f>
        <v>0</v>
      </c>
      <c r="L1367">
        <f>IF($G1367="",0,IF(Sync!$AB1363="",0,Sync!$AB1363))</f>
        <v>0</v>
      </c>
      <c r="M1367" t="str">
        <f t="shared" si="131"/>
        <v/>
      </c>
      <c r="N1367">
        <f>IF($G1367="",0,IF($H1367="مرجوعی فروش",-1,1)*IF(Sync!$AC1363="",0,Sync!$AC1363))</f>
        <v>0</v>
      </c>
      <c r="O1367" t="str">
        <f>IF(OR($G1367="",Sync!$V1363=""),"",Sync!$V1363)</f>
        <v/>
      </c>
      <c r="P1367" t="str">
        <f>IF(OR($G1367="",Sync!$AD1363=""),"",Sync!$AD1363)</f>
        <v/>
      </c>
      <c r="Q1367" t="str">
        <f>IF($G1367="","",IF(Sync!$U1363="","0000",IF(AND(ISNUMBER(Sync!$U1363),Sync!$U1363&gt;=0,Sync!$U1363&lt;1),RIGHT("00"&amp;HOUR(Sync!$U1363),2)&amp;RIGHT("00"&amp;MINUTE(Sync!$U1363),2),IFERROR(RIGHT("00"&amp;VALUE(LEFT(Sync!$U1363,FIND(":",Sync!$U1363)-1)),2)&amp;RIGHT("00"&amp;VALUE(MID(Sync!$U1363,FIND(":",Sync!$U1363)+1,2)),2),"0000"))))</f>
        <v/>
      </c>
    </row>
    <row r="1368" spans="1:17" x14ac:dyDescent="0.2">
      <c r="A1368" t="str">
        <f>IF(Sync!$T1364="","",Sync!$T1364)</f>
        <v/>
      </c>
      <c r="B1368" t="str">
        <f t="shared" si="126"/>
        <v/>
      </c>
      <c r="C1368" t="str">
        <f t="shared" si="127"/>
        <v/>
      </c>
      <c r="D1368" t="str">
        <f t="shared" si="128"/>
        <v/>
      </c>
      <c r="E1368" t="str">
        <f t="shared" si="129"/>
        <v/>
      </c>
      <c r="F1368" t="str">
        <f t="shared" si="130"/>
        <v/>
      </c>
      <c r="G1368" t="str">
        <f>IF(OR($E1368="",$E1368="نامعتبر",Sync!$X1364=""),"",IF(AND(LEFT(UPPER(TRIM(Sync!$X1364)),2)="SL",IFERROR(VLOOKUP(Sync!$W1364,OpTbl,3,0),"")="فروش"),UPPER(TRIM(Sync!$X1364)),""))</f>
        <v/>
      </c>
      <c r="H1368" t="str">
        <f>IF($G1368="","",IF(Sync!$W1364="","",Sync!$W1364))</f>
        <v/>
      </c>
      <c r="I1368" t="str">
        <f>IF(OR($G1368="",Sync!$Y1364=""),"",Sync!$Y1364)</f>
        <v/>
      </c>
      <c r="J1368" t="str">
        <f>IF(OR($G1368="",Sync!$Z1364=""),"",Sync!$Z1364)</f>
        <v/>
      </c>
      <c r="K1368">
        <f>IF($G1368="",0,IF(Sync!$AA1364="",0,Sync!$AA1364))</f>
        <v>0</v>
      </c>
      <c r="L1368">
        <f>IF($G1368="",0,IF(Sync!$AB1364="",0,Sync!$AB1364))</f>
        <v>0</v>
      </c>
      <c r="M1368" t="str">
        <f t="shared" si="131"/>
        <v/>
      </c>
      <c r="N1368">
        <f>IF($G1368="",0,IF($H1368="مرجوعی فروش",-1,1)*IF(Sync!$AC1364="",0,Sync!$AC1364))</f>
        <v>0</v>
      </c>
      <c r="O1368" t="str">
        <f>IF(OR($G1368="",Sync!$V1364=""),"",Sync!$V1364)</f>
        <v/>
      </c>
      <c r="P1368" t="str">
        <f>IF(OR($G1368="",Sync!$AD1364=""),"",Sync!$AD1364)</f>
        <v/>
      </c>
      <c r="Q1368" t="str">
        <f>IF($G1368="","",IF(Sync!$U1364="","0000",IF(AND(ISNUMBER(Sync!$U1364),Sync!$U1364&gt;=0,Sync!$U1364&lt;1),RIGHT("00"&amp;HOUR(Sync!$U1364),2)&amp;RIGHT("00"&amp;MINUTE(Sync!$U1364),2),IFERROR(RIGHT("00"&amp;VALUE(LEFT(Sync!$U1364,FIND(":",Sync!$U1364)-1)),2)&amp;RIGHT("00"&amp;VALUE(MID(Sync!$U1364,FIND(":",Sync!$U1364)+1,2)),2),"0000"))))</f>
        <v/>
      </c>
    </row>
    <row r="1369" spans="1:17" x14ac:dyDescent="0.2">
      <c r="A1369" t="str">
        <f>IF(Sync!$T1365="","",Sync!$T1365)</f>
        <v/>
      </c>
      <c r="B1369" t="str">
        <f t="shared" si="126"/>
        <v/>
      </c>
      <c r="C1369" t="str">
        <f t="shared" si="127"/>
        <v/>
      </c>
      <c r="D1369" t="str">
        <f t="shared" si="128"/>
        <v/>
      </c>
      <c r="E1369" t="str">
        <f t="shared" si="129"/>
        <v/>
      </c>
      <c r="F1369" t="str">
        <f t="shared" si="130"/>
        <v/>
      </c>
      <c r="G1369" t="str">
        <f>IF(OR($E1369="",$E1369="نامعتبر",Sync!$X1365=""),"",IF(AND(LEFT(UPPER(TRIM(Sync!$X1365)),2)="SL",IFERROR(VLOOKUP(Sync!$W1365,OpTbl,3,0),"")="فروش"),UPPER(TRIM(Sync!$X1365)),""))</f>
        <v/>
      </c>
      <c r="H1369" t="str">
        <f>IF($G1369="","",IF(Sync!$W1365="","",Sync!$W1365))</f>
        <v/>
      </c>
      <c r="I1369" t="str">
        <f>IF(OR($G1369="",Sync!$Y1365=""),"",Sync!$Y1365)</f>
        <v/>
      </c>
      <c r="J1369" t="str">
        <f>IF(OR($G1369="",Sync!$Z1365=""),"",Sync!$Z1365)</f>
        <v/>
      </c>
      <c r="K1369">
        <f>IF($G1369="",0,IF(Sync!$AA1365="",0,Sync!$AA1365))</f>
        <v>0</v>
      </c>
      <c r="L1369">
        <f>IF($G1369="",0,IF(Sync!$AB1365="",0,Sync!$AB1365))</f>
        <v>0</v>
      </c>
      <c r="M1369" t="str">
        <f t="shared" si="131"/>
        <v/>
      </c>
      <c r="N1369">
        <f>IF($G1369="",0,IF($H1369="مرجوعی فروش",-1,1)*IF(Sync!$AC1365="",0,Sync!$AC1365))</f>
        <v>0</v>
      </c>
      <c r="O1369" t="str">
        <f>IF(OR($G1369="",Sync!$V1365=""),"",Sync!$V1365)</f>
        <v/>
      </c>
      <c r="P1369" t="str">
        <f>IF(OR($G1369="",Sync!$AD1365=""),"",Sync!$AD1365)</f>
        <v/>
      </c>
      <c r="Q1369" t="str">
        <f>IF($G1369="","",IF(Sync!$U1365="","0000",IF(AND(ISNUMBER(Sync!$U1365),Sync!$U1365&gt;=0,Sync!$U1365&lt;1),RIGHT("00"&amp;HOUR(Sync!$U1365),2)&amp;RIGHT("00"&amp;MINUTE(Sync!$U1365),2),IFERROR(RIGHT("00"&amp;VALUE(LEFT(Sync!$U1365,FIND(":",Sync!$U1365)-1)),2)&amp;RIGHT("00"&amp;VALUE(MID(Sync!$U1365,FIND(":",Sync!$U1365)+1,2)),2),"0000"))))</f>
        <v/>
      </c>
    </row>
    <row r="1370" spans="1:17" x14ac:dyDescent="0.2">
      <c r="A1370" t="str">
        <f>IF(Sync!$T1366="","",Sync!$T1366)</f>
        <v/>
      </c>
      <c r="B1370" t="str">
        <f t="shared" si="126"/>
        <v/>
      </c>
      <c r="C1370" t="str">
        <f t="shared" si="127"/>
        <v/>
      </c>
      <c r="D1370" t="str">
        <f t="shared" si="128"/>
        <v/>
      </c>
      <c r="E1370" t="str">
        <f t="shared" si="129"/>
        <v/>
      </c>
      <c r="F1370" t="str">
        <f t="shared" si="130"/>
        <v/>
      </c>
      <c r="G1370" t="str">
        <f>IF(OR($E1370="",$E1370="نامعتبر",Sync!$X1366=""),"",IF(AND(LEFT(UPPER(TRIM(Sync!$X1366)),2)="SL",IFERROR(VLOOKUP(Sync!$W1366,OpTbl,3,0),"")="فروش"),UPPER(TRIM(Sync!$X1366)),""))</f>
        <v/>
      </c>
      <c r="H1370" t="str">
        <f>IF($G1370="","",IF(Sync!$W1366="","",Sync!$W1366))</f>
        <v/>
      </c>
      <c r="I1370" t="str">
        <f>IF(OR($G1370="",Sync!$Y1366=""),"",Sync!$Y1366)</f>
        <v/>
      </c>
      <c r="J1370" t="str">
        <f>IF(OR($G1370="",Sync!$Z1366=""),"",Sync!$Z1366)</f>
        <v/>
      </c>
      <c r="K1370">
        <f>IF($G1370="",0,IF(Sync!$AA1366="",0,Sync!$AA1366))</f>
        <v>0</v>
      </c>
      <c r="L1370">
        <f>IF($G1370="",0,IF(Sync!$AB1366="",0,Sync!$AB1366))</f>
        <v>0</v>
      </c>
      <c r="M1370" t="str">
        <f t="shared" si="131"/>
        <v/>
      </c>
      <c r="N1370">
        <f>IF($G1370="",0,IF($H1370="مرجوعی فروش",-1,1)*IF(Sync!$AC1366="",0,Sync!$AC1366))</f>
        <v>0</v>
      </c>
      <c r="O1370" t="str">
        <f>IF(OR($G1370="",Sync!$V1366=""),"",Sync!$V1366)</f>
        <v/>
      </c>
      <c r="P1370" t="str">
        <f>IF(OR($G1370="",Sync!$AD1366=""),"",Sync!$AD1366)</f>
        <v/>
      </c>
      <c r="Q1370" t="str">
        <f>IF($G1370="","",IF(Sync!$U1366="","0000",IF(AND(ISNUMBER(Sync!$U1366),Sync!$U1366&gt;=0,Sync!$U1366&lt;1),RIGHT("00"&amp;HOUR(Sync!$U1366),2)&amp;RIGHT("00"&amp;MINUTE(Sync!$U1366),2),IFERROR(RIGHT("00"&amp;VALUE(LEFT(Sync!$U1366,FIND(":",Sync!$U1366)-1)),2)&amp;RIGHT("00"&amp;VALUE(MID(Sync!$U1366,FIND(":",Sync!$U1366)+1,2)),2),"0000"))))</f>
        <v/>
      </c>
    </row>
    <row r="1371" spans="1:17" x14ac:dyDescent="0.2">
      <c r="A1371" t="str">
        <f>IF(Sync!$T1367="","",Sync!$T1367)</f>
        <v/>
      </c>
      <c r="B1371" t="str">
        <f t="shared" si="126"/>
        <v/>
      </c>
      <c r="C1371" t="str">
        <f t="shared" si="127"/>
        <v/>
      </c>
      <c r="D1371" t="str">
        <f t="shared" si="128"/>
        <v/>
      </c>
      <c r="E1371" t="str">
        <f t="shared" si="129"/>
        <v/>
      </c>
      <c r="F1371" t="str">
        <f t="shared" si="130"/>
        <v/>
      </c>
      <c r="G1371" t="str">
        <f>IF(OR($E1371="",$E1371="نامعتبر",Sync!$X1367=""),"",IF(AND(LEFT(UPPER(TRIM(Sync!$X1367)),2)="SL",IFERROR(VLOOKUP(Sync!$W1367,OpTbl,3,0),"")="فروش"),UPPER(TRIM(Sync!$X1367)),""))</f>
        <v/>
      </c>
      <c r="H1371" t="str">
        <f>IF($G1371="","",IF(Sync!$W1367="","",Sync!$W1367))</f>
        <v/>
      </c>
      <c r="I1371" t="str">
        <f>IF(OR($G1371="",Sync!$Y1367=""),"",Sync!$Y1367)</f>
        <v/>
      </c>
      <c r="J1371" t="str">
        <f>IF(OR($G1371="",Sync!$Z1367=""),"",Sync!$Z1367)</f>
        <v/>
      </c>
      <c r="K1371">
        <f>IF($G1371="",0,IF(Sync!$AA1367="",0,Sync!$AA1367))</f>
        <v>0</v>
      </c>
      <c r="L1371">
        <f>IF($G1371="",0,IF(Sync!$AB1367="",0,Sync!$AB1367))</f>
        <v>0</v>
      </c>
      <c r="M1371" t="str">
        <f t="shared" si="131"/>
        <v/>
      </c>
      <c r="N1371">
        <f>IF($G1371="",0,IF($H1371="مرجوعی فروش",-1,1)*IF(Sync!$AC1367="",0,Sync!$AC1367))</f>
        <v>0</v>
      </c>
      <c r="O1371" t="str">
        <f>IF(OR($G1371="",Sync!$V1367=""),"",Sync!$V1367)</f>
        <v/>
      </c>
      <c r="P1371" t="str">
        <f>IF(OR($G1371="",Sync!$AD1367=""),"",Sync!$AD1367)</f>
        <v/>
      </c>
      <c r="Q1371" t="str">
        <f>IF($G1371="","",IF(Sync!$U1367="","0000",IF(AND(ISNUMBER(Sync!$U1367),Sync!$U1367&gt;=0,Sync!$U1367&lt;1),RIGHT("00"&amp;HOUR(Sync!$U1367),2)&amp;RIGHT("00"&amp;MINUTE(Sync!$U1367),2),IFERROR(RIGHT("00"&amp;VALUE(LEFT(Sync!$U1367,FIND(":",Sync!$U1367)-1)),2)&amp;RIGHT("00"&amp;VALUE(MID(Sync!$U1367,FIND(":",Sync!$U1367)+1,2)),2),"0000"))))</f>
        <v/>
      </c>
    </row>
    <row r="1372" spans="1:17" x14ac:dyDescent="0.2">
      <c r="A1372" t="str">
        <f>IF(Sync!$T1368="","",Sync!$T1368)</f>
        <v/>
      </c>
      <c r="B1372" t="str">
        <f t="shared" si="126"/>
        <v/>
      </c>
      <c r="C1372" t="str">
        <f t="shared" si="127"/>
        <v/>
      </c>
      <c r="D1372" t="str">
        <f t="shared" si="128"/>
        <v/>
      </c>
      <c r="E1372" t="str">
        <f t="shared" si="129"/>
        <v/>
      </c>
      <c r="F1372" t="str">
        <f t="shared" si="130"/>
        <v/>
      </c>
      <c r="G1372" t="str">
        <f>IF(OR($E1372="",$E1372="نامعتبر",Sync!$X1368=""),"",IF(AND(LEFT(UPPER(TRIM(Sync!$X1368)),2)="SL",IFERROR(VLOOKUP(Sync!$W1368,OpTbl,3,0),"")="فروش"),UPPER(TRIM(Sync!$X1368)),""))</f>
        <v/>
      </c>
      <c r="H1372" t="str">
        <f>IF($G1372="","",IF(Sync!$W1368="","",Sync!$W1368))</f>
        <v/>
      </c>
      <c r="I1372" t="str">
        <f>IF(OR($G1372="",Sync!$Y1368=""),"",Sync!$Y1368)</f>
        <v/>
      </c>
      <c r="J1372" t="str">
        <f>IF(OR($G1372="",Sync!$Z1368=""),"",Sync!$Z1368)</f>
        <v/>
      </c>
      <c r="K1372">
        <f>IF($G1372="",0,IF(Sync!$AA1368="",0,Sync!$AA1368))</f>
        <v>0</v>
      </c>
      <c r="L1372">
        <f>IF($G1372="",0,IF(Sync!$AB1368="",0,Sync!$AB1368))</f>
        <v>0</v>
      </c>
      <c r="M1372" t="str">
        <f t="shared" si="131"/>
        <v/>
      </c>
      <c r="N1372">
        <f>IF($G1372="",0,IF($H1372="مرجوعی فروش",-1,1)*IF(Sync!$AC1368="",0,Sync!$AC1368))</f>
        <v>0</v>
      </c>
      <c r="O1372" t="str">
        <f>IF(OR($G1372="",Sync!$V1368=""),"",Sync!$V1368)</f>
        <v/>
      </c>
      <c r="P1372" t="str">
        <f>IF(OR($G1372="",Sync!$AD1368=""),"",Sync!$AD1368)</f>
        <v/>
      </c>
      <c r="Q1372" t="str">
        <f>IF($G1372="","",IF(Sync!$U1368="","0000",IF(AND(ISNUMBER(Sync!$U1368),Sync!$U1368&gt;=0,Sync!$U1368&lt;1),RIGHT("00"&amp;HOUR(Sync!$U1368),2)&amp;RIGHT("00"&amp;MINUTE(Sync!$U1368),2),IFERROR(RIGHT("00"&amp;VALUE(LEFT(Sync!$U1368,FIND(":",Sync!$U1368)-1)),2)&amp;RIGHT("00"&amp;VALUE(MID(Sync!$U1368,FIND(":",Sync!$U1368)+1,2)),2),"0000"))))</f>
        <v/>
      </c>
    </row>
    <row r="1373" spans="1:17" x14ac:dyDescent="0.2">
      <c r="A1373" t="str">
        <f>IF(Sync!$T1369="","",Sync!$T1369)</f>
        <v/>
      </c>
      <c r="B1373" t="str">
        <f t="shared" si="126"/>
        <v/>
      </c>
      <c r="C1373" t="str">
        <f t="shared" si="127"/>
        <v/>
      </c>
      <c r="D1373" t="str">
        <f t="shared" si="128"/>
        <v/>
      </c>
      <c r="E1373" t="str">
        <f t="shared" si="129"/>
        <v/>
      </c>
      <c r="F1373" t="str">
        <f t="shared" si="130"/>
        <v/>
      </c>
      <c r="G1373" t="str">
        <f>IF(OR($E1373="",$E1373="نامعتبر",Sync!$X1369=""),"",IF(AND(LEFT(UPPER(TRIM(Sync!$X1369)),2)="SL",IFERROR(VLOOKUP(Sync!$W1369,OpTbl,3,0),"")="فروش"),UPPER(TRIM(Sync!$X1369)),""))</f>
        <v/>
      </c>
      <c r="H1373" t="str">
        <f>IF($G1373="","",IF(Sync!$W1369="","",Sync!$W1369))</f>
        <v/>
      </c>
      <c r="I1373" t="str">
        <f>IF(OR($G1373="",Sync!$Y1369=""),"",Sync!$Y1369)</f>
        <v/>
      </c>
      <c r="J1373" t="str">
        <f>IF(OR($G1373="",Sync!$Z1369=""),"",Sync!$Z1369)</f>
        <v/>
      </c>
      <c r="K1373">
        <f>IF($G1373="",0,IF(Sync!$AA1369="",0,Sync!$AA1369))</f>
        <v>0</v>
      </c>
      <c r="L1373">
        <f>IF($G1373="",0,IF(Sync!$AB1369="",0,Sync!$AB1369))</f>
        <v>0</v>
      </c>
      <c r="M1373" t="str">
        <f t="shared" si="131"/>
        <v/>
      </c>
      <c r="N1373">
        <f>IF($G1373="",0,IF($H1373="مرجوعی فروش",-1,1)*IF(Sync!$AC1369="",0,Sync!$AC1369))</f>
        <v>0</v>
      </c>
      <c r="O1373" t="str">
        <f>IF(OR($G1373="",Sync!$V1369=""),"",Sync!$V1369)</f>
        <v/>
      </c>
      <c r="P1373" t="str">
        <f>IF(OR($G1373="",Sync!$AD1369=""),"",Sync!$AD1369)</f>
        <v/>
      </c>
      <c r="Q1373" t="str">
        <f>IF($G1373="","",IF(Sync!$U1369="","0000",IF(AND(ISNUMBER(Sync!$U1369),Sync!$U1369&gt;=0,Sync!$U1369&lt;1),RIGHT("00"&amp;HOUR(Sync!$U1369),2)&amp;RIGHT("00"&amp;MINUTE(Sync!$U1369),2),IFERROR(RIGHT("00"&amp;VALUE(LEFT(Sync!$U1369,FIND(":",Sync!$U1369)-1)),2)&amp;RIGHT("00"&amp;VALUE(MID(Sync!$U1369,FIND(":",Sync!$U1369)+1,2)),2),"0000"))))</f>
        <v/>
      </c>
    </row>
    <row r="1374" spans="1:17" x14ac:dyDescent="0.2">
      <c r="A1374" t="str">
        <f>IF(Sync!$T1370="","",Sync!$T1370)</f>
        <v/>
      </c>
      <c r="B1374" t="str">
        <f t="shared" si="126"/>
        <v/>
      </c>
      <c r="C1374" t="str">
        <f t="shared" si="127"/>
        <v/>
      </c>
      <c r="D1374" t="str">
        <f t="shared" si="128"/>
        <v/>
      </c>
      <c r="E1374" t="str">
        <f t="shared" si="129"/>
        <v/>
      </c>
      <c r="F1374" t="str">
        <f t="shared" si="130"/>
        <v/>
      </c>
      <c r="G1374" t="str">
        <f>IF(OR($E1374="",$E1374="نامعتبر",Sync!$X1370=""),"",IF(AND(LEFT(UPPER(TRIM(Sync!$X1370)),2)="SL",IFERROR(VLOOKUP(Sync!$W1370,OpTbl,3,0),"")="فروش"),UPPER(TRIM(Sync!$X1370)),""))</f>
        <v/>
      </c>
      <c r="H1374" t="str">
        <f>IF($G1374="","",IF(Sync!$W1370="","",Sync!$W1370))</f>
        <v/>
      </c>
      <c r="I1374" t="str">
        <f>IF(OR($G1374="",Sync!$Y1370=""),"",Sync!$Y1370)</f>
        <v/>
      </c>
      <c r="J1374" t="str">
        <f>IF(OR($G1374="",Sync!$Z1370=""),"",Sync!$Z1370)</f>
        <v/>
      </c>
      <c r="K1374">
        <f>IF($G1374="",0,IF(Sync!$AA1370="",0,Sync!$AA1370))</f>
        <v>0</v>
      </c>
      <c r="L1374">
        <f>IF($G1374="",0,IF(Sync!$AB1370="",0,Sync!$AB1370))</f>
        <v>0</v>
      </c>
      <c r="M1374" t="str">
        <f t="shared" si="131"/>
        <v/>
      </c>
      <c r="N1374">
        <f>IF($G1374="",0,IF($H1374="مرجوعی فروش",-1,1)*IF(Sync!$AC1370="",0,Sync!$AC1370))</f>
        <v>0</v>
      </c>
      <c r="O1374" t="str">
        <f>IF(OR($G1374="",Sync!$V1370=""),"",Sync!$V1370)</f>
        <v/>
      </c>
      <c r="P1374" t="str">
        <f>IF(OR($G1374="",Sync!$AD1370=""),"",Sync!$AD1370)</f>
        <v/>
      </c>
      <c r="Q1374" t="str">
        <f>IF($G1374="","",IF(Sync!$U1370="","0000",IF(AND(ISNUMBER(Sync!$U1370),Sync!$U1370&gt;=0,Sync!$U1370&lt;1),RIGHT("00"&amp;HOUR(Sync!$U1370),2)&amp;RIGHT("00"&amp;MINUTE(Sync!$U1370),2),IFERROR(RIGHT("00"&amp;VALUE(LEFT(Sync!$U1370,FIND(":",Sync!$U1370)-1)),2)&amp;RIGHT("00"&amp;VALUE(MID(Sync!$U1370,FIND(":",Sync!$U1370)+1,2)),2),"0000"))))</f>
        <v/>
      </c>
    </row>
    <row r="1375" spans="1:17" x14ac:dyDescent="0.2">
      <c r="A1375" t="str">
        <f>IF(Sync!$T1371="","",Sync!$T1371)</f>
        <v/>
      </c>
      <c r="B1375" t="str">
        <f t="shared" si="126"/>
        <v/>
      </c>
      <c r="C1375" t="str">
        <f t="shared" si="127"/>
        <v/>
      </c>
      <c r="D1375" t="str">
        <f t="shared" si="128"/>
        <v/>
      </c>
      <c r="E1375" t="str">
        <f t="shared" si="129"/>
        <v/>
      </c>
      <c r="F1375" t="str">
        <f t="shared" si="130"/>
        <v/>
      </c>
      <c r="G1375" t="str">
        <f>IF(OR($E1375="",$E1375="نامعتبر",Sync!$X1371=""),"",IF(AND(LEFT(UPPER(TRIM(Sync!$X1371)),2)="SL",IFERROR(VLOOKUP(Sync!$W1371,OpTbl,3,0),"")="فروش"),UPPER(TRIM(Sync!$X1371)),""))</f>
        <v/>
      </c>
      <c r="H1375" t="str">
        <f>IF($G1375="","",IF(Sync!$W1371="","",Sync!$W1371))</f>
        <v/>
      </c>
      <c r="I1375" t="str">
        <f>IF(OR($G1375="",Sync!$Y1371=""),"",Sync!$Y1371)</f>
        <v/>
      </c>
      <c r="J1375" t="str">
        <f>IF(OR($G1375="",Sync!$Z1371=""),"",Sync!$Z1371)</f>
        <v/>
      </c>
      <c r="K1375">
        <f>IF($G1375="",0,IF(Sync!$AA1371="",0,Sync!$AA1371))</f>
        <v>0</v>
      </c>
      <c r="L1375">
        <f>IF($G1375="",0,IF(Sync!$AB1371="",0,Sync!$AB1371))</f>
        <v>0</v>
      </c>
      <c r="M1375" t="str">
        <f t="shared" si="131"/>
        <v/>
      </c>
      <c r="N1375">
        <f>IF($G1375="",0,IF($H1375="مرجوعی فروش",-1,1)*IF(Sync!$AC1371="",0,Sync!$AC1371))</f>
        <v>0</v>
      </c>
      <c r="O1375" t="str">
        <f>IF(OR($G1375="",Sync!$V1371=""),"",Sync!$V1371)</f>
        <v/>
      </c>
      <c r="P1375" t="str">
        <f>IF(OR($G1375="",Sync!$AD1371=""),"",Sync!$AD1371)</f>
        <v/>
      </c>
      <c r="Q1375" t="str">
        <f>IF($G1375="","",IF(Sync!$U1371="","0000",IF(AND(ISNUMBER(Sync!$U1371),Sync!$U1371&gt;=0,Sync!$U1371&lt;1),RIGHT("00"&amp;HOUR(Sync!$U1371),2)&amp;RIGHT("00"&amp;MINUTE(Sync!$U1371),2),IFERROR(RIGHT("00"&amp;VALUE(LEFT(Sync!$U1371,FIND(":",Sync!$U1371)-1)),2)&amp;RIGHT("00"&amp;VALUE(MID(Sync!$U1371,FIND(":",Sync!$U1371)+1,2)),2),"0000"))))</f>
        <v/>
      </c>
    </row>
    <row r="1376" spans="1:17" x14ac:dyDescent="0.2">
      <c r="A1376" t="str">
        <f>IF(Sync!$T1372="","",Sync!$T1372)</f>
        <v/>
      </c>
      <c r="B1376" t="str">
        <f t="shared" si="126"/>
        <v/>
      </c>
      <c r="C1376" t="str">
        <f t="shared" si="127"/>
        <v/>
      </c>
      <c r="D1376" t="str">
        <f t="shared" si="128"/>
        <v/>
      </c>
      <c r="E1376" t="str">
        <f t="shared" si="129"/>
        <v/>
      </c>
      <c r="F1376" t="str">
        <f t="shared" si="130"/>
        <v/>
      </c>
      <c r="G1376" t="str">
        <f>IF(OR($E1376="",$E1376="نامعتبر",Sync!$X1372=""),"",IF(AND(LEFT(UPPER(TRIM(Sync!$X1372)),2)="SL",IFERROR(VLOOKUP(Sync!$W1372,OpTbl,3,0),"")="فروش"),UPPER(TRIM(Sync!$X1372)),""))</f>
        <v/>
      </c>
      <c r="H1376" t="str">
        <f>IF($G1376="","",IF(Sync!$W1372="","",Sync!$W1372))</f>
        <v/>
      </c>
      <c r="I1376" t="str">
        <f>IF(OR($G1376="",Sync!$Y1372=""),"",Sync!$Y1372)</f>
        <v/>
      </c>
      <c r="J1376" t="str">
        <f>IF(OR($G1376="",Sync!$Z1372=""),"",Sync!$Z1372)</f>
        <v/>
      </c>
      <c r="K1376">
        <f>IF($G1376="",0,IF(Sync!$AA1372="",0,Sync!$AA1372))</f>
        <v>0</v>
      </c>
      <c r="L1376">
        <f>IF($G1376="",0,IF(Sync!$AB1372="",0,Sync!$AB1372))</f>
        <v>0</v>
      </c>
      <c r="M1376" t="str">
        <f t="shared" si="131"/>
        <v/>
      </c>
      <c r="N1376">
        <f>IF($G1376="",0,IF($H1376="مرجوعی فروش",-1,1)*IF(Sync!$AC1372="",0,Sync!$AC1372))</f>
        <v>0</v>
      </c>
      <c r="O1376" t="str">
        <f>IF(OR($G1376="",Sync!$V1372=""),"",Sync!$V1372)</f>
        <v/>
      </c>
      <c r="P1376" t="str">
        <f>IF(OR($G1376="",Sync!$AD1372=""),"",Sync!$AD1372)</f>
        <v/>
      </c>
      <c r="Q1376" t="str">
        <f>IF($G1376="","",IF(Sync!$U1372="","0000",IF(AND(ISNUMBER(Sync!$U1372),Sync!$U1372&gt;=0,Sync!$U1372&lt;1),RIGHT("00"&amp;HOUR(Sync!$U1372),2)&amp;RIGHT("00"&amp;MINUTE(Sync!$U1372),2),IFERROR(RIGHT("00"&amp;VALUE(LEFT(Sync!$U1372,FIND(":",Sync!$U1372)-1)),2)&amp;RIGHT("00"&amp;VALUE(MID(Sync!$U1372,FIND(":",Sync!$U1372)+1,2)),2),"0000"))))</f>
        <v/>
      </c>
    </row>
    <row r="1377" spans="1:17" x14ac:dyDescent="0.2">
      <c r="A1377" t="str">
        <f>IF(Sync!$T1373="","",Sync!$T1373)</f>
        <v/>
      </c>
      <c r="B1377" t="str">
        <f t="shared" si="126"/>
        <v/>
      </c>
      <c r="C1377" t="str">
        <f t="shared" si="127"/>
        <v/>
      </c>
      <c r="D1377" t="str">
        <f t="shared" si="128"/>
        <v/>
      </c>
      <c r="E1377" t="str">
        <f t="shared" si="129"/>
        <v/>
      </c>
      <c r="F1377" t="str">
        <f t="shared" si="130"/>
        <v/>
      </c>
      <c r="G1377" t="str">
        <f>IF(OR($E1377="",$E1377="نامعتبر",Sync!$X1373=""),"",IF(AND(LEFT(UPPER(TRIM(Sync!$X1373)),2)="SL",IFERROR(VLOOKUP(Sync!$W1373,OpTbl,3,0),"")="فروش"),UPPER(TRIM(Sync!$X1373)),""))</f>
        <v/>
      </c>
      <c r="H1377" t="str">
        <f>IF($G1377="","",IF(Sync!$W1373="","",Sync!$W1373))</f>
        <v/>
      </c>
      <c r="I1377" t="str">
        <f>IF(OR($G1377="",Sync!$Y1373=""),"",Sync!$Y1373)</f>
        <v/>
      </c>
      <c r="J1377" t="str">
        <f>IF(OR($G1377="",Sync!$Z1373=""),"",Sync!$Z1373)</f>
        <v/>
      </c>
      <c r="K1377">
        <f>IF($G1377="",0,IF(Sync!$AA1373="",0,Sync!$AA1373))</f>
        <v>0</v>
      </c>
      <c r="L1377">
        <f>IF($G1377="",0,IF(Sync!$AB1373="",0,Sync!$AB1373))</f>
        <v>0</v>
      </c>
      <c r="M1377" t="str">
        <f t="shared" si="131"/>
        <v/>
      </c>
      <c r="N1377">
        <f>IF($G1377="",0,IF($H1377="مرجوعی فروش",-1,1)*IF(Sync!$AC1373="",0,Sync!$AC1373))</f>
        <v>0</v>
      </c>
      <c r="O1377" t="str">
        <f>IF(OR($G1377="",Sync!$V1373=""),"",Sync!$V1373)</f>
        <v/>
      </c>
      <c r="P1377" t="str">
        <f>IF(OR($G1377="",Sync!$AD1373=""),"",Sync!$AD1373)</f>
        <v/>
      </c>
      <c r="Q1377" t="str">
        <f>IF($G1377="","",IF(Sync!$U1373="","0000",IF(AND(ISNUMBER(Sync!$U1373),Sync!$U1373&gt;=0,Sync!$U1373&lt;1),RIGHT("00"&amp;HOUR(Sync!$U1373),2)&amp;RIGHT("00"&amp;MINUTE(Sync!$U1373),2),IFERROR(RIGHT("00"&amp;VALUE(LEFT(Sync!$U1373,FIND(":",Sync!$U1373)-1)),2)&amp;RIGHT("00"&amp;VALUE(MID(Sync!$U1373,FIND(":",Sync!$U1373)+1,2)),2),"0000"))))</f>
        <v/>
      </c>
    </row>
    <row r="1378" spans="1:17" x14ac:dyDescent="0.2">
      <c r="A1378" t="str">
        <f>IF(Sync!$T1374="","",Sync!$T1374)</f>
        <v/>
      </c>
      <c r="B1378" t="str">
        <f t="shared" si="126"/>
        <v/>
      </c>
      <c r="C1378" t="str">
        <f t="shared" si="127"/>
        <v/>
      </c>
      <c r="D1378" t="str">
        <f t="shared" si="128"/>
        <v/>
      </c>
      <c r="E1378" t="str">
        <f t="shared" si="129"/>
        <v/>
      </c>
      <c r="F1378" t="str">
        <f t="shared" si="130"/>
        <v/>
      </c>
      <c r="G1378" t="str">
        <f>IF(OR($E1378="",$E1378="نامعتبر",Sync!$X1374=""),"",IF(AND(LEFT(UPPER(TRIM(Sync!$X1374)),2)="SL",IFERROR(VLOOKUP(Sync!$W1374,OpTbl,3,0),"")="فروش"),UPPER(TRIM(Sync!$X1374)),""))</f>
        <v/>
      </c>
      <c r="H1378" t="str">
        <f>IF($G1378="","",IF(Sync!$W1374="","",Sync!$W1374))</f>
        <v/>
      </c>
      <c r="I1378" t="str">
        <f>IF(OR($G1378="",Sync!$Y1374=""),"",Sync!$Y1374)</f>
        <v/>
      </c>
      <c r="J1378" t="str">
        <f>IF(OR($G1378="",Sync!$Z1374=""),"",Sync!$Z1374)</f>
        <v/>
      </c>
      <c r="K1378">
        <f>IF($G1378="",0,IF(Sync!$AA1374="",0,Sync!$AA1374))</f>
        <v>0</v>
      </c>
      <c r="L1378">
        <f>IF($G1378="",0,IF(Sync!$AB1374="",0,Sync!$AB1374))</f>
        <v>0</v>
      </c>
      <c r="M1378" t="str">
        <f t="shared" si="131"/>
        <v/>
      </c>
      <c r="N1378">
        <f>IF($G1378="",0,IF($H1378="مرجوعی فروش",-1,1)*IF(Sync!$AC1374="",0,Sync!$AC1374))</f>
        <v>0</v>
      </c>
      <c r="O1378" t="str">
        <f>IF(OR($G1378="",Sync!$V1374=""),"",Sync!$V1374)</f>
        <v/>
      </c>
      <c r="P1378" t="str">
        <f>IF(OR($G1378="",Sync!$AD1374=""),"",Sync!$AD1374)</f>
        <v/>
      </c>
      <c r="Q1378" t="str">
        <f>IF($G1378="","",IF(Sync!$U1374="","0000",IF(AND(ISNUMBER(Sync!$U1374),Sync!$U1374&gt;=0,Sync!$U1374&lt;1),RIGHT("00"&amp;HOUR(Sync!$U1374),2)&amp;RIGHT("00"&amp;MINUTE(Sync!$U1374),2),IFERROR(RIGHT("00"&amp;VALUE(LEFT(Sync!$U1374,FIND(":",Sync!$U1374)-1)),2)&amp;RIGHT("00"&amp;VALUE(MID(Sync!$U1374,FIND(":",Sync!$U1374)+1,2)),2),"0000"))))</f>
        <v/>
      </c>
    </row>
    <row r="1379" spans="1:17" x14ac:dyDescent="0.2">
      <c r="A1379" t="str">
        <f>IF(Sync!$T1375="","",Sync!$T1375)</f>
        <v/>
      </c>
      <c r="B1379" t="str">
        <f t="shared" si="126"/>
        <v/>
      </c>
      <c r="C1379" t="str">
        <f t="shared" si="127"/>
        <v/>
      </c>
      <c r="D1379" t="str">
        <f t="shared" si="128"/>
        <v/>
      </c>
      <c r="E1379" t="str">
        <f t="shared" si="129"/>
        <v/>
      </c>
      <c r="F1379" t="str">
        <f t="shared" si="130"/>
        <v/>
      </c>
      <c r="G1379" t="str">
        <f>IF(OR($E1379="",$E1379="نامعتبر",Sync!$X1375=""),"",IF(AND(LEFT(UPPER(TRIM(Sync!$X1375)),2)="SL",IFERROR(VLOOKUP(Sync!$W1375,OpTbl,3,0),"")="فروش"),UPPER(TRIM(Sync!$X1375)),""))</f>
        <v/>
      </c>
      <c r="H1379" t="str">
        <f>IF($G1379="","",IF(Sync!$W1375="","",Sync!$W1375))</f>
        <v/>
      </c>
      <c r="I1379" t="str">
        <f>IF(OR($G1379="",Sync!$Y1375=""),"",Sync!$Y1375)</f>
        <v/>
      </c>
      <c r="J1379" t="str">
        <f>IF(OR($G1379="",Sync!$Z1375=""),"",Sync!$Z1375)</f>
        <v/>
      </c>
      <c r="K1379">
        <f>IF($G1379="",0,IF(Sync!$AA1375="",0,Sync!$AA1375))</f>
        <v>0</v>
      </c>
      <c r="L1379">
        <f>IF($G1379="",0,IF(Sync!$AB1375="",0,Sync!$AB1375))</f>
        <v>0</v>
      </c>
      <c r="M1379" t="str">
        <f t="shared" si="131"/>
        <v/>
      </c>
      <c r="N1379">
        <f>IF($G1379="",0,IF($H1379="مرجوعی فروش",-1,1)*IF(Sync!$AC1375="",0,Sync!$AC1375))</f>
        <v>0</v>
      </c>
      <c r="O1379" t="str">
        <f>IF(OR($G1379="",Sync!$V1375=""),"",Sync!$V1375)</f>
        <v/>
      </c>
      <c r="P1379" t="str">
        <f>IF(OR($G1379="",Sync!$AD1375=""),"",Sync!$AD1375)</f>
        <v/>
      </c>
      <c r="Q1379" t="str">
        <f>IF($G1379="","",IF(Sync!$U1375="","0000",IF(AND(ISNUMBER(Sync!$U1375),Sync!$U1375&gt;=0,Sync!$U1375&lt;1),RIGHT("00"&amp;HOUR(Sync!$U1375),2)&amp;RIGHT("00"&amp;MINUTE(Sync!$U1375),2),IFERROR(RIGHT("00"&amp;VALUE(LEFT(Sync!$U1375,FIND(":",Sync!$U1375)-1)),2)&amp;RIGHT("00"&amp;VALUE(MID(Sync!$U1375,FIND(":",Sync!$U1375)+1,2)),2),"0000"))))</f>
        <v/>
      </c>
    </row>
    <row r="1380" spans="1:17" x14ac:dyDescent="0.2">
      <c r="A1380" t="str">
        <f>IF(Sync!$T1376="","",Sync!$T1376)</f>
        <v/>
      </c>
      <c r="B1380" t="str">
        <f t="shared" si="126"/>
        <v/>
      </c>
      <c r="C1380" t="str">
        <f t="shared" si="127"/>
        <v/>
      </c>
      <c r="D1380" t="str">
        <f t="shared" si="128"/>
        <v/>
      </c>
      <c r="E1380" t="str">
        <f t="shared" si="129"/>
        <v/>
      </c>
      <c r="F1380" t="str">
        <f t="shared" si="130"/>
        <v/>
      </c>
      <c r="G1380" t="str">
        <f>IF(OR($E1380="",$E1380="نامعتبر",Sync!$X1376=""),"",IF(AND(LEFT(UPPER(TRIM(Sync!$X1376)),2)="SL",IFERROR(VLOOKUP(Sync!$W1376,OpTbl,3,0),"")="فروش"),UPPER(TRIM(Sync!$X1376)),""))</f>
        <v/>
      </c>
      <c r="H1380" t="str">
        <f>IF($G1380="","",IF(Sync!$W1376="","",Sync!$W1376))</f>
        <v/>
      </c>
      <c r="I1380" t="str">
        <f>IF(OR($G1380="",Sync!$Y1376=""),"",Sync!$Y1376)</f>
        <v/>
      </c>
      <c r="J1380" t="str">
        <f>IF(OR($G1380="",Sync!$Z1376=""),"",Sync!$Z1376)</f>
        <v/>
      </c>
      <c r="K1380">
        <f>IF($G1380="",0,IF(Sync!$AA1376="",0,Sync!$AA1376))</f>
        <v>0</v>
      </c>
      <c r="L1380">
        <f>IF($G1380="",0,IF(Sync!$AB1376="",0,Sync!$AB1376))</f>
        <v>0</v>
      </c>
      <c r="M1380" t="str">
        <f t="shared" si="131"/>
        <v/>
      </c>
      <c r="N1380">
        <f>IF($G1380="",0,IF($H1380="مرجوعی فروش",-1,1)*IF(Sync!$AC1376="",0,Sync!$AC1376))</f>
        <v>0</v>
      </c>
      <c r="O1380" t="str">
        <f>IF(OR($G1380="",Sync!$V1376=""),"",Sync!$V1376)</f>
        <v/>
      </c>
      <c r="P1380" t="str">
        <f>IF(OR($G1380="",Sync!$AD1376=""),"",Sync!$AD1376)</f>
        <v/>
      </c>
      <c r="Q1380" t="str">
        <f>IF($G1380="","",IF(Sync!$U1376="","0000",IF(AND(ISNUMBER(Sync!$U1376),Sync!$U1376&gt;=0,Sync!$U1376&lt;1),RIGHT("00"&amp;HOUR(Sync!$U1376),2)&amp;RIGHT("00"&amp;MINUTE(Sync!$U1376),2),IFERROR(RIGHT("00"&amp;VALUE(LEFT(Sync!$U1376,FIND(":",Sync!$U1376)-1)),2)&amp;RIGHT("00"&amp;VALUE(MID(Sync!$U1376,FIND(":",Sync!$U1376)+1,2)),2),"0000"))))</f>
        <v/>
      </c>
    </row>
    <row r="1381" spans="1:17" x14ac:dyDescent="0.2">
      <c r="A1381" t="str">
        <f>IF(Sync!$T1377="","",Sync!$T1377)</f>
        <v/>
      </c>
      <c r="B1381" t="str">
        <f t="shared" si="126"/>
        <v/>
      </c>
      <c r="C1381" t="str">
        <f t="shared" si="127"/>
        <v/>
      </c>
      <c r="D1381" t="str">
        <f t="shared" si="128"/>
        <v/>
      </c>
      <c r="E1381" t="str">
        <f t="shared" si="129"/>
        <v/>
      </c>
      <c r="F1381" t="str">
        <f t="shared" si="130"/>
        <v/>
      </c>
      <c r="G1381" t="str">
        <f>IF(OR($E1381="",$E1381="نامعتبر",Sync!$X1377=""),"",IF(AND(LEFT(UPPER(TRIM(Sync!$X1377)),2)="SL",IFERROR(VLOOKUP(Sync!$W1377,OpTbl,3,0),"")="فروش"),UPPER(TRIM(Sync!$X1377)),""))</f>
        <v/>
      </c>
      <c r="H1381" t="str">
        <f>IF($G1381="","",IF(Sync!$W1377="","",Sync!$W1377))</f>
        <v/>
      </c>
      <c r="I1381" t="str">
        <f>IF(OR($G1381="",Sync!$Y1377=""),"",Sync!$Y1377)</f>
        <v/>
      </c>
      <c r="J1381" t="str">
        <f>IF(OR($G1381="",Sync!$Z1377=""),"",Sync!$Z1377)</f>
        <v/>
      </c>
      <c r="K1381">
        <f>IF($G1381="",0,IF(Sync!$AA1377="",0,Sync!$AA1377))</f>
        <v>0</v>
      </c>
      <c r="L1381">
        <f>IF($G1381="",0,IF(Sync!$AB1377="",0,Sync!$AB1377))</f>
        <v>0</v>
      </c>
      <c r="M1381" t="str">
        <f t="shared" si="131"/>
        <v/>
      </c>
      <c r="N1381">
        <f>IF($G1381="",0,IF($H1381="مرجوعی فروش",-1,1)*IF(Sync!$AC1377="",0,Sync!$AC1377))</f>
        <v>0</v>
      </c>
      <c r="O1381" t="str">
        <f>IF(OR($G1381="",Sync!$V1377=""),"",Sync!$V1377)</f>
        <v/>
      </c>
      <c r="P1381" t="str">
        <f>IF(OR($G1381="",Sync!$AD1377=""),"",Sync!$AD1377)</f>
        <v/>
      </c>
      <c r="Q1381" t="str">
        <f>IF($G1381="","",IF(Sync!$U1377="","0000",IF(AND(ISNUMBER(Sync!$U1377),Sync!$U1377&gt;=0,Sync!$U1377&lt;1),RIGHT("00"&amp;HOUR(Sync!$U1377),2)&amp;RIGHT("00"&amp;MINUTE(Sync!$U1377),2),IFERROR(RIGHT("00"&amp;VALUE(LEFT(Sync!$U1377,FIND(":",Sync!$U1377)-1)),2)&amp;RIGHT("00"&amp;VALUE(MID(Sync!$U1377,FIND(":",Sync!$U1377)+1,2)),2),"0000"))))</f>
        <v/>
      </c>
    </row>
    <row r="1382" spans="1:17" x14ac:dyDescent="0.2">
      <c r="A1382" t="str">
        <f>IF(Sync!$T1378="","",Sync!$T1378)</f>
        <v/>
      </c>
      <c r="B1382" t="str">
        <f t="shared" si="126"/>
        <v/>
      </c>
      <c r="C1382" t="str">
        <f t="shared" si="127"/>
        <v/>
      </c>
      <c r="D1382" t="str">
        <f t="shared" si="128"/>
        <v/>
      </c>
      <c r="E1382" t="str">
        <f t="shared" si="129"/>
        <v/>
      </c>
      <c r="F1382" t="str">
        <f t="shared" si="130"/>
        <v/>
      </c>
      <c r="G1382" t="str">
        <f>IF(OR($E1382="",$E1382="نامعتبر",Sync!$X1378=""),"",IF(AND(LEFT(UPPER(TRIM(Sync!$X1378)),2)="SL",IFERROR(VLOOKUP(Sync!$W1378,OpTbl,3,0),"")="فروش"),UPPER(TRIM(Sync!$X1378)),""))</f>
        <v/>
      </c>
      <c r="H1382" t="str">
        <f>IF($G1382="","",IF(Sync!$W1378="","",Sync!$W1378))</f>
        <v/>
      </c>
      <c r="I1382" t="str">
        <f>IF(OR($G1382="",Sync!$Y1378=""),"",Sync!$Y1378)</f>
        <v/>
      </c>
      <c r="J1382" t="str">
        <f>IF(OR($G1382="",Sync!$Z1378=""),"",Sync!$Z1378)</f>
        <v/>
      </c>
      <c r="K1382">
        <f>IF($G1382="",0,IF(Sync!$AA1378="",0,Sync!$AA1378))</f>
        <v>0</v>
      </c>
      <c r="L1382">
        <f>IF($G1382="",0,IF(Sync!$AB1378="",0,Sync!$AB1378))</f>
        <v>0</v>
      </c>
      <c r="M1382" t="str">
        <f t="shared" si="131"/>
        <v/>
      </c>
      <c r="N1382">
        <f>IF($G1382="",0,IF($H1382="مرجوعی فروش",-1,1)*IF(Sync!$AC1378="",0,Sync!$AC1378))</f>
        <v>0</v>
      </c>
      <c r="O1382" t="str">
        <f>IF(OR($G1382="",Sync!$V1378=""),"",Sync!$V1378)</f>
        <v/>
      </c>
      <c r="P1382" t="str">
        <f>IF(OR($G1382="",Sync!$AD1378=""),"",Sync!$AD1378)</f>
        <v/>
      </c>
      <c r="Q1382" t="str">
        <f>IF($G1382="","",IF(Sync!$U1378="","0000",IF(AND(ISNUMBER(Sync!$U1378),Sync!$U1378&gt;=0,Sync!$U1378&lt;1),RIGHT("00"&amp;HOUR(Sync!$U1378),2)&amp;RIGHT("00"&amp;MINUTE(Sync!$U1378),2),IFERROR(RIGHT("00"&amp;VALUE(LEFT(Sync!$U1378,FIND(":",Sync!$U1378)-1)),2)&amp;RIGHT("00"&amp;VALUE(MID(Sync!$U1378,FIND(":",Sync!$U1378)+1,2)),2),"0000"))))</f>
        <v/>
      </c>
    </row>
    <row r="1383" spans="1:17" x14ac:dyDescent="0.2">
      <c r="A1383" t="str">
        <f>IF(Sync!$T1379="","",Sync!$T1379)</f>
        <v/>
      </c>
      <c r="B1383" t="str">
        <f t="shared" si="126"/>
        <v/>
      </c>
      <c r="C1383" t="str">
        <f t="shared" si="127"/>
        <v/>
      </c>
      <c r="D1383" t="str">
        <f t="shared" si="128"/>
        <v/>
      </c>
      <c r="E1383" t="str">
        <f t="shared" si="129"/>
        <v/>
      </c>
      <c r="F1383" t="str">
        <f t="shared" si="130"/>
        <v/>
      </c>
      <c r="G1383" t="str">
        <f>IF(OR($E1383="",$E1383="نامعتبر",Sync!$X1379=""),"",IF(AND(LEFT(UPPER(TRIM(Sync!$X1379)),2)="SL",IFERROR(VLOOKUP(Sync!$W1379,OpTbl,3,0),"")="فروش"),UPPER(TRIM(Sync!$X1379)),""))</f>
        <v/>
      </c>
      <c r="H1383" t="str">
        <f>IF($G1383="","",IF(Sync!$W1379="","",Sync!$W1379))</f>
        <v/>
      </c>
      <c r="I1383" t="str">
        <f>IF(OR($G1383="",Sync!$Y1379=""),"",Sync!$Y1379)</f>
        <v/>
      </c>
      <c r="J1383" t="str">
        <f>IF(OR($G1383="",Sync!$Z1379=""),"",Sync!$Z1379)</f>
        <v/>
      </c>
      <c r="K1383">
        <f>IF($G1383="",0,IF(Sync!$AA1379="",0,Sync!$AA1379))</f>
        <v>0</v>
      </c>
      <c r="L1383">
        <f>IF($G1383="",0,IF(Sync!$AB1379="",0,Sync!$AB1379))</f>
        <v>0</v>
      </c>
      <c r="M1383" t="str">
        <f t="shared" si="131"/>
        <v/>
      </c>
      <c r="N1383">
        <f>IF($G1383="",0,IF($H1383="مرجوعی فروش",-1,1)*IF(Sync!$AC1379="",0,Sync!$AC1379))</f>
        <v>0</v>
      </c>
      <c r="O1383" t="str">
        <f>IF(OR($G1383="",Sync!$V1379=""),"",Sync!$V1379)</f>
        <v/>
      </c>
      <c r="P1383" t="str">
        <f>IF(OR($G1383="",Sync!$AD1379=""),"",Sync!$AD1379)</f>
        <v/>
      </c>
      <c r="Q1383" t="str">
        <f>IF($G1383="","",IF(Sync!$U1379="","0000",IF(AND(ISNUMBER(Sync!$U1379),Sync!$U1379&gt;=0,Sync!$U1379&lt;1),RIGHT("00"&amp;HOUR(Sync!$U1379),2)&amp;RIGHT("00"&amp;MINUTE(Sync!$U1379),2),IFERROR(RIGHT("00"&amp;VALUE(LEFT(Sync!$U1379,FIND(":",Sync!$U1379)-1)),2)&amp;RIGHT("00"&amp;VALUE(MID(Sync!$U1379,FIND(":",Sync!$U1379)+1,2)),2),"0000"))))</f>
        <v/>
      </c>
    </row>
    <row r="1384" spans="1:17" x14ac:dyDescent="0.2">
      <c r="A1384" t="str">
        <f>IF(Sync!$T1380="","",Sync!$T1380)</f>
        <v/>
      </c>
      <c r="B1384" t="str">
        <f t="shared" si="126"/>
        <v/>
      </c>
      <c r="C1384" t="str">
        <f t="shared" si="127"/>
        <v/>
      </c>
      <c r="D1384" t="str">
        <f t="shared" si="128"/>
        <v/>
      </c>
      <c r="E1384" t="str">
        <f t="shared" si="129"/>
        <v/>
      </c>
      <c r="F1384" t="str">
        <f t="shared" si="130"/>
        <v/>
      </c>
      <c r="G1384" t="str">
        <f>IF(OR($E1384="",$E1384="نامعتبر",Sync!$X1380=""),"",IF(AND(LEFT(UPPER(TRIM(Sync!$X1380)),2)="SL",IFERROR(VLOOKUP(Sync!$W1380,OpTbl,3,0),"")="فروش"),UPPER(TRIM(Sync!$X1380)),""))</f>
        <v/>
      </c>
      <c r="H1384" t="str">
        <f>IF($G1384="","",IF(Sync!$W1380="","",Sync!$W1380))</f>
        <v/>
      </c>
      <c r="I1384" t="str">
        <f>IF(OR($G1384="",Sync!$Y1380=""),"",Sync!$Y1380)</f>
        <v/>
      </c>
      <c r="J1384" t="str">
        <f>IF(OR($G1384="",Sync!$Z1380=""),"",Sync!$Z1380)</f>
        <v/>
      </c>
      <c r="K1384">
        <f>IF($G1384="",0,IF(Sync!$AA1380="",0,Sync!$AA1380))</f>
        <v>0</v>
      </c>
      <c r="L1384">
        <f>IF($G1384="",0,IF(Sync!$AB1380="",0,Sync!$AB1380))</f>
        <v>0</v>
      </c>
      <c r="M1384" t="str">
        <f t="shared" si="131"/>
        <v/>
      </c>
      <c r="N1384">
        <f>IF($G1384="",0,IF($H1384="مرجوعی فروش",-1,1)*IF(Sync!$AC1380="",0,Sync!$AC1380))</f>
        <v>0</v>
      </c>
      <c r="O1384" t="str">
        <f>IF(OR($G1384="",Sync!$V1380=""),"",Sync!$V1380)</f>
        <v/>
      </c>
      <c r="P1384" t="str">
        <f>IF(OR($G1384="",Sync!$AD1380=""),"",Sync!$AD1380)</f>
        <v/>
      </c>
      <c r="Q1384" t="str">
        <f>IF($G1384="","",IF(Sync!$U1380="","0000",IF(AND(ISNUMBER(Sync!$U1380),Sync!$U1380&gt;=0,Sync!$U1380&lt;1),RIGHT("00"&amp;HOUR(Sync!$U1380),2)&amp;RIGHT("00"&amp;MINUTE(Sync!$U1380),2),IFERROR(RIGHT("00"&amp;VALUE(LEFT(Sync!$U1380,FIND(":",Sync!$U1380)-1)),2)&amp;RIGHT("00"&amp;VALUE(MID(Sync!$U1380,FIND(":",Sync!$U1380)+1,2)),2),"0000"))))</f>
        <v/>
      </c>
    </row>
    <row r="1385" spans="1:17" x14ac:dyDescent="0.2">
      <c r="A1385" t="str">
        <f>IF(Sync!$T1381="","",Sync!$T1381)</f>
        <v/>
      </c>
      <c r="B1385" t="str">
        <f t="shared" si="126"/>
        <v/>
      </c>
      <c r="C1385" t="str">
        <f t="shared" si="127"/>
        <v/>
      </c>
      <c r="D1385" t="str">
        <f t="shared" si="128"/>
        <v/>
      </c>
      <c r="E1385" t="str">
        <f t="shared" si="129"/>
        <v/>
      </c>
      <c r="F1385" t="str">
        <f t="shared" si="130"/>
        <v/>
      </c>
      <c r="G1385" t="str">
        <f>IF(OR($E1385="",$E1385="نامعتبر",Sync!$X1381=""),"",IF(AND(LEFT(UPPER(TRIM(Sync!$X1381)),2)="SL",IFERROR(VLOOKUP(Sync!$W1381,OpTbl,3,0),"")="فروش"),UPPER(TRIM(Sync!$X1381)),""))</f>
        <v/>
      </c>
      <c r="H1385" t="str">
        <f>IF($G1385="","",IF(Sync!$W1381="","",Sync!$W1381))</f>
        <v/>
      </c>
      <c r="I1385" t="str">
        <f>IF(OR($G1385="",Sync!$Y1381=""),"",Sync!$Y1381)</f>
        <v/>
      </c>
      <c r="J1385" t="str">
        <f>IF(OR($G1385="",Sync!$Z1381=""),"",Sync!$Z1381)</f>
        <v/>
      </c>
      <c r="K1385">
        <f>IF($G1385="",0,IF(Sync!$AA1381="",0,Sync!$AA1381))</f>
        <v>0</v>
      </c>
      <c r="L1385">
        <f>IF($G1385="",0,IF(Sync!$AB1381="",0,Sync!$AB1381))</f>
        <v>0</v>
      </c>
      <c r="M1385" t="str">
        <f t="shared" si="131"/>
        <v/>
      </c>
      <c r="N1385">
        <f>IF($G1385="",0,IF($H1385="مرجوعی فروش",-1,1)*IF(Sync!$AC1381="",0,Sync!$AC1381))</f>
        <v>0</v>
      </c>
      <c r="O1385" t="str">
        <f>IF(OR($G1385="",Sync!$V1381=""),"",Sync!$V1381)</f>
        <v/>
      </c>
      <c r="P1385" t="str">
        <f>IF(OR($G1385="",Sync!$AD1381=""),"",Sync!$AD1381)</f>
        <v/>
      </c>
      <c r="Q1385" t="str">
        <f>IF($G1385="","",IF(Sync!$U1381="","0000",IF(AND(ISNUMBER(Sync!$U1381),Sync!$U1381&gt;=0,Sync!$U1381&lt;1),RIGHT("00"&amp;HOUR(Sync!$U1381),2)&amp;RIGHT("00"&amp;MINUTE(Sync!$U1381),2),IFERROR(RIGHT("00"&amp;VALUE(LEFT(Sync!$U1381,FIND(":",Sync!$U1381)-1)),2)&amp;RIGHT("00"&amp;VALUE(MID(Sync!$U1381,FIND(":",Sync!$U1381)+1,2)),2),"0000"))))</f>
        <v/>
      </c>
    </row>
    <row r="1386" spans="1:17" x14ac:dyDescent="0.2">
      <c r="A1386" t="str">
        <f>IF(Sync!$T1382="","",Sync!$T1382)</f>
        <v/>
      </c>
      <c r="B1386" t="str">
        <f t="shared" si="126"/>
        <v/>
      </c>
      <c r="C1386" t="str">
        <f t="shared" si="127"/>
        <v/>
      </c>
      <c r="D1386" t="str">
        <f t="shared" si="128"/>
        <v/>
      </c>
      <c r="E1386" t="str">
        <f t="shared" si="129"/>
        <v/>
      </c>
      <c r="F1386" t="str">
        <f t="shared" si="130"/>
        <v/>
      </c>
      <c r="G1386" t="str">
        <f>IF(OR($E1386="",$E1386="نامعتبر",Sync!$X1382=""),"",IF(AND(LEFT(UPPER(TRIM(Sync!$X1382)),2)="SL",IFERROR(VLOOKUP(Sync!$W1382,OpTbl,3,0),"")="فروش"),UPPER(TRIM(Sync!$X1382)),""))</f>
        <v/>
      </c>
      <c r="H1386" t="str">
        <f>IF($G1386="","",IF(Sync!$W1382="","",Sync!$W1382))</f>
        <v/>
      </c>
      <c r="I1386" t="str">
        <f>IF(OR($G1386="",Sync!$Y1382=""),"",Sync!$Y1382)</f>
        <v/>
      </c>
      <c r="J1386" t="str">
        <f>IF(OR($G1386="",Sync!$Z1382=""),"",Sync!$Z1382)</f>
        <v/>
      </c>
      <c r="K1386">
        <f>IF($G1386="",0,IF(Sync!$AA1382="",0,Sync!$AA1382))</f>
        <v>0</v>
      </c>
      <c r="L1386">
        <f>IF($G1386="",0,IF(Sync!$AB1382="",0,Sync!$AB1382))</f>
        <v>0</v>
      </c>
      <c r="M1386" t="str">
        <f t="shared" si="131"/>
        <v/>
      </c>
      <c r="N1386">
        <f>IF($G1386="",0,IF($H1386="مرجوعی فروش",-1,1)*IF(Sync!$AC1382="",0,Sync!$AC1382))</f>
        <v>0</v>
      </c>
      <c r="O1386" t="str">
        <f>IF(OR($G1386="",Sync!$V1382=""),"",Sync!$V1382)</f>
        <v/>
      </c>
      <c r="P1386" t="str">
        <f>IF(OR($G1386="",Sync!$AD1382=""),"",Sync!$AD1382)</f>
        <v/>
      </c>
      <c r="Q1386" t="str">
        <f>IF($G1386="","",IF(Sync!$U1382="","0000",IF(AND(ISNUMBER(Sync!$U1382),Sync!$U1382&gt;=0,Sync!$U1382&lt;1),RIGHT("00"&amp;HOUR(Sync!$U1382),2)&amp;RIGHT("00"&amp;MINUTE(Sync!$U1382),2),IFERROR(RIGHT("00"&amp;VALUE(LEFT(Sync!$U1382,FIND(":",Sync!$U1382)-1)),2)&amp;RIGHT("00"&amp;VALUE(MID(Sync!$U1382,FIND(":",Sync!$U1382)+1,2)),2),"0000"))))</f>
        <v/>
      </c>
    </row>
    <row r="1387" spans="1:17" x14ac:dyDescent="0.2">
      <c r="A1387" t="str">
        <f>IF(Sync!$T1383="","",Sync!$T1383)</f>
        <v/>
      </c>
      <c r="B1387" t="str">
        <f t="shared" si="126"/>
        <v/>
      </c>
      <c r="C1387" t="str">
        <f t="shared" si="127"/>
        <v/>
      </c>
      <c r="D1387" t="str">
        <f t="shared" si="128"/>
        <v/>
      </c>
      <c r="E1387" t="str">
        <f t="shared" si="129"/>
        <v/>
      </c>
      <c r="F1387" t="str">
        <f t="shared" si="130"/>
        <v/>
      </c>
      <c r="G1387" t="str">
        <f>IF(OR($E1387="",$E1387="نامعتبر",Sync!$X1383=""),"",IF(AND(LEFT(UPPER(TRIM(Sync!$X1383)),2)="SL",IFERROR(VLOOKUP(Sync!$W1383,OpTbl,3,0),"")="فروش"),UPPER(TRIM(Sync!$X1383)),""))</f>
        <v/>
      </c>
      <c r="H1387" t="str">
        <f>IF($G1387="","",IF(Sync!$W1383="","",Sync!$W1383))</f>
        <v/>
      </c>
      <c r="I1387" t="str">
        <f>IF(OR($G1387="",Sync!$Y1383=""),"",Sync!$Y1383)</f>
        <v/>
      </c>
      <c r="J1387" t="str">
        <f>IF(OR($G1387="",Sync!$Z1383=""),"",Sync!$Z1383)</f>
        <v/>
      </c>
      <c r="K1387">
        <f>IF($G1387="",0,IF(Sync!$AA1383="",0,Sync!$AA1383))</f>
        <v>0</v>
      </c>
      <c r="L1387">
        <f>IF($G1387="",0,IF(Sync!$AB1383="",0,Sync!$AB1383))</f>
        <v>0</v>
      </c>
      <c r="M1387" t="str">
        <f t="shared" si="131"/>
        <v/>
      </c>
      <c r="N1387">
        <f>IF($G1387="",0,IF($H1387="مرجوعی فروش",-1,1)*IF(Sync!$AC1383="",0,Sync!$AC1383))</f>
        <v>0</v>
      </c>
      <c r="O1387" t="str">
        <f>IF(OR($G1387="",Sync!$V1383=""),"",Sync!$V1383)</f>
        <v/>
      </c>
      <c r="P1387" t="str">
        <f>IF(OR($G1387="",Sync!$AD1383=""),"",Sync!$AD1383)</f>
        <v/>
      </c>
      <c r="Q1387" t="str">
        <f>IF($G1387="","",IF(Sync!$U1383="","0000",IF(AND(ISNUMBER(Sync!$U1383),Sync!$U1383&gt;=0,Sync!$U1383&lt;1),RIGHT("00"&amp;HOUR(Sync!$U1383),2)&amp;RIGHT("00"&amp;MINUTE(Sync!$U1383),2),IFERROR(RIGHT("00"&amp;VALUE(LEFT(Sync!$U1383,FIND(":",Sync!$U1383)-1)),2)&amp;RIGHT("00"&amp;VALUE(MID(Sync!$U1383,FIND(":",Sync!$U1383)+1,2)),2),"0000"))))</f>
        <v/>
      </c>
    </row>
    <row r="1388" spans="1:17" x14ac:dyDescent="0.2">
      <c r="A1388" t="str">
        <f>IF(Sync!$T1384="","",Sync!$T1384)</f>
        <v/>
      </c>
      <c r="B1388" t="str">
        <f t="shared" si="126"/>
        <v/>
      </c>
      <c r="C1388" t="str">
        <f t="shared" si="127"/>
        <v/>
      </c>
      <c r="D1388" t="str">
        <f t="shared" si="128"/>
        <v/>
      </c>
      <c r="E1388" t="str">
        <f t="shared" si="129"/>
        <v/>
      </c>
      <c r="F1388" t="str">
        <f t="shared" si="130"/>
        <v/>
      </c>
      <c r="G1388" t="str">
        <f>IF(OR($E1388="",$E1388="نامعتبر",Sync!$X1384=""),"",IF(AND(LEFT(UPPER(TRIM(Sync!$X1384)),2)="SL",IFERROR(VLOOKUP(Sync!$W1384,OpTbl,3,0),"")="فروش"),UPPER(TRIM(Sync!$X1384)),""))</f>
        <v/>
      </c>
      <c r="H1388" t="str">
        <f>IF($G1388="","",IF(Sync!$W1384="","",Sync!$W1384))</f>
        <v/>
      </c>
      <c r="I1388" t="str">
        <f>IF(OR($G1388="",Sync!$Y1384=""),"",Sync!$Y1384)</f>
        <v/>
      </c>
      <c r="J1388" t="str">
        <f>IF(OR($G1388="",Sync!$Z1384=""),"",Sync!$Z1384)</f>
        <v/>
      </c>
      <c r="K1388">
        <f>IF($G1388="",0,IF(Sync!$AA1384="",0,Sync!$AA1384))</f>
        <v>0</v>
      </c>
      <c r="L1388">
        <f>IF($G1388="",0,IF(Sync!$AB1384="",0,Sync!$AB1384))</f>
        <v>0</v>
      </c>
      <c r="M1388" t="str">
        <f t="shared" si="131"/>
        <v/>
      </c>
      <c r="N1388">
        <f>IF($G1388="",0,IF($H1388="مرجوعی فروش",-1,1)*IF(Sync!$AC1384="",0,Sync!$AC1384))</f>
        <v>0</v>
      </c>
      <c r="O1388" t="str">
        <f>IF(OR($G1388="",Sync!$V1384=""),"",Sync!$V1384)</f>
        <v/>
      </c>
      <c r="P1388" t="str">
        <f>IF(OR($G1388="",Sync!$AD1384=""),"",Sync!$AD1384)</f>
        <v/>
      </c>
      <c r="Q1388" t="str">
        <f>IF($G1388="","",IF(Sync!$U1384="","0000",IF(AND(ISNUMBER(Sync!$U1384),Sync!$U1384&gt;=0,Sync!$U1384&lt;1),RIGHT("00"&amp;HOUR(Sync!$U1384),2)&amp;RIGHT("00"&amp;MINUTE(Sync!$U1384),2),IFERROR(RIGHT("00"&amp;VALUE(LEFT(Sync!$U1384,FIND(":",Sync!$U1384)-1)),2)&amp;RIGHT("00"&amp;VALUE(MID(Sync!$U1384,FIND(":",Sync!$U1384)+1,2)),2),"0000"))))</f>
        <v/>
      </c>
    </row>
    <row r="1389" spans="1:17" x14ac:dyDescent="0.2">
      <c r="A1389" t="str">
        <f>IF(Sync!$T1385="","",Sync!$T1385)</f>
        <v/>
      </c>
      <c r="B1389" t="str">
        <f t="shared" si="126"/>
        <v/>
      </c>
      <c r="C1389" t="str">
        <f t="shared" si="127"/>
        <v/>
      </c>
      <c r="D1389" t="str">
        <f t="shared" si="128"/>
        <v/>
      </c>
      <c r="E1389" t="str">
        <f t="shared" si="129"/>
        <v/>
      </c>
      <c r="F1389" t="str">
        <f t="shared" si="130"/>
        <v/>
      </c>
      <c r="G1389" t="str">
        <f>IF(OR($E1389="",$E1389="نامعتبر",Sync!$X1385=""),"",IF(AND(LEFT(UPPER(TRIM(Sync!$X1385)),2)="SL",IFERROR(VLOOKUP(Sync!$W1385,OpTbl,3,0),"")="فروش"),UPPER(TRIM(Sync!$X1385)),""))</f>
        <v/>
      </c>
      <c r="H1389" t="str">
        <f>IF($G1389="","",IF(Sync!$W1385="","",Sync!$W1385))</f>
        <v/>
      </c>
      <c r="I1389" t="str">
        <f>IF(OR($G1389="",Sync!$Y1385=""),"",Sync!$Y1385)</f>
        <v/>
      </c>
      <c r="J1389" t="str">
        <f>IF(OR($G1389="",Sync!$Z1385=""),"",Sync!$Z1385)</f>
        <v/>
      </c>
      <c r="K1389">
        <f>IF($G1389="",0,IF(Sync!$AA1385="",0,Sync!$AA1385))</f>
        <v>0</v>
      </c>
      <c r="L1389">
        <f>IF($G1389="",0,IF(Sync!$AB1385="",0,Sync!$AB1385))</f>
        <v>0</v>
      </c>
      <c r="M1389" t="str">
        <f t="shared" si="131"/>
        <v/>
      </c>
      <c r="N1389">
        <f>IF($G1389="",0,IF($H1389="مرجوعی فروش",-1,1)*IF(Sync!$AC1385="",0,Sync!$AC1385))</f>
        <v>0</v>
      </c>
      <c r="O1389" t="str">
        <f>IF(OR($G1389="",Sync!$V1385=""),"",Sync!$V1385)</f>
        <v/>
      </c>
      <c r="P1389" t="str">
        <f>IF(OR($G1389="",Sync!$AD1385=""),"",Sync!$AD1385)</f>
        <v/>
      </c>
      <c r="Q1389" t="str">
        <f>IF($G1389="","",IF(Sync!$U1385="","0000",IF(AND(ISNUMBER(Sync!$U1385),Sync!$U1385&gt;=0,Sync!$U1385&lt;1),RIGHT("00"&amp;HOUR(Sync!$U1385),2)&amp;RIGHT("00"&amp;MINUTE(Sync!$U1385),2),IFERROR(RIGHT("00"&amp;VALUE(LEFT(Sync!$U1385,FIND(":",Sync!$U1385)-1)),2)&amp;RIGHT("00"&amp;VALUE(MID(Sync!$U1385,FIND(":",Sync!$U1385)+1,2)),2),"0000"))))</f>
        <v/>
      </c>
    </row>
    <row r="1390" spans="1:17" x14ac:dyDescent="0.2">
      <c r="A1390" t="str">
        <f>IF(Sync!$T1386="","",Sync!$T1386)</f>
        <v/>
      </c>
      <c r="B1390" t="str">
        <f t="shared" si="126"/>
        <v/>
      </c>
      <c r="C1390" t="str">
        <f t="shared" si="127"/>
        <v/>
      </c>
      <c r="D1390" t="str">
        <f t="shared" si="128"/>
        <v/>
      </c>
      <c r="E1390" t="str">
        <f t="shared" si="129"/>
        <v/>
      </c>
      <c r="F1390" t="str">
        <f t="shared" si="130"/>
        <v/>
      </c>
      <c r="G1390" t="str">
        <f>IF(OR($E1390="",$E1390="نامعتبر",Sync!$X1386=""),"",IF(AND(LEFT(UPPER(TRIM(Sync!$X1386)),2)="SL",IFERROR(VLOOKUP(Sync!$W1386,OpTbl,3,0),"")="فروش"),UPPER(TRIM(Sync!$X1386)),""))</f>
        <v/>
      </c>
      <c r="H1390" t="str">
        <f>IF($G1390="","",IF(Sync!$W1386="","",Sync!$W1386))</f>
        <v/>
      </c>
      <c r="I1390" t="str">
        <f>IF(OR($G1390="",Sync!$Y1386=""),"",Sync!$Y1386)</f>
        <v/>
      </c>
      <c r="J1390" t="str">
        <f>IF(OR($G1390="",Sync!$Z1386=""),"",Sync!$Z1386)</f>
        <v/>
      </c>
      <c r="K1390">
        <f>IF($G1390="",0,IF(Sync!$AA1386="",0,Sync!$AA1386))</f>
        <v>0</v>
      </c>
      <c r="L1390">
        <f>IF($G1390="",0,IF(Sync!$AB1386="",0,Sync!$AB1386))</f>
        <v>0</v>
      </c>
      <c r="M1390" t="str">
        <f t="shared" si="131"/>
        <v/>
      </c>
      <c r="N1390">
        <f>IF($G1390="",0,IF($H1390="مرجوعی فروش",-1,1)*IF(Sync!$AC1386="",0,Sync!$AC1386))</f>
        <v>0</v>
      </c>
      <c r="O1390" t="str">
        <f>IF(OR($G1390="",Sync!$V1386=""),"",Sync!$V1386)</f>
        <v/>
      </c>
      <c r="P1390" t="str">
        <f>IF(OR($G1390="",Sync!$AD1386=""),"",Sync!$AD1386)</f>
        <v/>
      </c>
      <c r="Q1390" t="str">
        <f>IF($G1390="","",IF(Sync!$U1386="","0000",IF(AND(ISNUMBER(Sync!$U1386),Sync!$U1386&gt;=0,Sync!$U1386&lt;1),RIGHT("00"&amp;HOUR(Sync!$U1386),2)&amp;RIGHT("00"&amp;MINUTE(Sync!$U1386),2),IFERROR(RIGHT("00"&amp;VALUE(LEFT(Sync!$U1386,FIND(":",Sync!$U1386)-1)),2)&amp;RIGHT("00"&amp;VALUE(MID(Sync!$U1386,FIND(":",Sync!$U1386)+1,2)),2),"0000"))))</f>
        <v/>
      </c>
    </row>
    <row r="1391" spans="1:17" x14ac:dyDescent="0.2">
      <c r="A1391" t="str">
        <f>IF(Sync!$T1387="","",Sync!$T1387)</f>
        <v/>
      </c>
      <c r="B1391" t="str">
        <f t="shared" si="126"/>
        <v/>
      </c>
      <c r="C1391" t="str">
        <f t="shared" si="127"/>
        <v/>
      </c>
      <c r="D1391" t="str">
        <f t="shared" si="128"/>
        <v/>
      </c>
      <c r="E1391" t="str">
        <f t="shared" si="129"/>
        <v/>
      </c>
      <c r="F1391" t="str">
        <f t="shared" si="130"/>
        <v/>
      </c>
      <c r="G1391" t="str">
        <f>IF(OR($E1391="",$E1391="نامعتبر",Sync!$X1387=""),"",IF(AND(LEFT(UPPER(TRIM(Sync!$X1387)),2)="SL",IFERROR(VLOOKUP(Sync!$W1387,OpTbl,3,0),"")="فروش"),UPPER(TRIM(Sync!$X1387)),""))</f>
        <v/>
      </c>
      <c r="H1391" t="str">
        <f>IF($G1391="","",IF(Sync!$W1387="","",Sync!$W1387))</f>
        <v/>
      </c>
      <c r="I1391" t="str">
        <f>IF(OR($G1391="",Sync!$Y1387=""),"",Sync!$Y1387)</f>
        <v/>
      </c>
      <c r="J1391" t="str">
        <f>IF(OR($G1391="",Sync!$Z1387=""),"",Sync!$Z1387)</f>
        <v/>
      </c>
      <c r="K1391">
        <f>IF($G1391="",0,IF(Sync!$AA1387="",0,Sync!$AA1387))</f>
        <v>0</v>
      </c>
      <c r="L1391">
        <f>IF($G1391="",0,IF(Sync!$AB1387="",0,Sync!$AB1387))</f>
        <v>0</v>
      </c>
      <c r="M1391" t="str">
        <f t="shared" si="131"/>
        <v/>
      </c>
      <c r="N1391">
        <f>IF($G1391="",0,IF($H1391="مرجوعی فروش",-1,1)*IF(Sync!$AC1387="",0,Sync!$AC1387))</f>
        <v>0</v>
      </c>
      <c r="O1391" t="str">
        <f>IF(OR($G1391="",Sync!$V1387=""),"",Sync!$V1387)</f>
        <v/>
      </c>
      <c r="P1391" t="str">
        <f>IF(OR($G1391="",Sync!$AD1387=""),"",Sync!$AD1387)</f>
        <v/>
      </c>
      <c r="Q1391" t="str">
        <f>IF($G1391="","",IF(Sync!$U1387="","0000",IF(AND(ISNUMBER(Sync!$U1387),Sync!$U1387&gt;=0,Sync!$U1387&lt;1),RIGHT("00"&amp;HOUR(Sync!$U1387),2)&amp;RIGHT("00"&amp;MINUTE(Sync!$U1387),2),IFERROR(RIGHT("00"&amp;VALUE(LEFT(Sync!$U1387,FIND(":",Sync!$U1387)-1)),2)&amp;RIGHT("00"&amp;VALUE(MID(Sync!$U1387,FIND(":",Sync!$U1387)+1,2)),2),"0000"))))</f>
        <v/>
      </c>
    </row>
    <row r="1392" spans="1:17" x14ac:dyDescent="0.2">
      <c r="A1392" t="str">
        <f>IF(Sync!$T1388="","",Sync!$T1388)</f>
        <v/>
      </c>
      <c r="B1392" t="str">
        <f t="shared" si="126"/>
        <v/>
      </c>
      <c r="C1392" t="str">
        <f t="shared" si="127"/>
        <v/>
      </c>
      <c r="D1392" t="str">
        <f t="shared" si="128"/>
        <v/>
      </c>
      <c r="E1392" t="str">
        <f t="shared" si="129"/>
        <v/>
      </c>
      <c r="F1392" t="str">
        <f t="shared" si="130"/>
        <v/>
      </c>
      <c r="G1392" t="str">
        <f>IF(OR($E1392="",$E1392="نامعتبر",Sync!$X1388=""),"",IF(AND(LEFT(UPPER(TRIM(Sync!$X1388)),2)="SL",IFERROR(VLOOKUP(Sync!$W1388,OpTbl,3,0),"")="فروش"),UPPER(TRIM(Sync!$X1388)),""))</f>
        <v/>
      </c>
      <c r="H1392" t="str">
        <f>IF($G1392="","",IF(Sync!$W1388="","",Sync!$W1388))</f>
        <v/>
      </c>
      <c r="I1392" t="str">
        <f>IF(OR($G1392="",Sync!$Y1388=""),"",Sync!$Y1388)</f>
        <v/>
      </c>
      <c r="J1392" t="str">
        <f>IF(OR($G1392="",Sync!$Z1388=""),"",Sync!$Z1388)</f>
        <v/>
      </c>
      <c r="K1392">
        <f>IF($G1392="",0,IF(Sync!$AA1388="",0,Sync!$AA1388))</f>
        <v>0</v>
      </c>
      <c r="L1392">
        <f>IF($G1392="",0,IF(Sync!$AB1388="",0,Sync!$AB1388))</f>
        <v>0</v>
      </c>
      <c r="M1392" t="str">
        <f t="shared" si="131"/>
        <v/>
      </c>
      <c r="N1392">
        <f>IF($G1392="",0,IF($H1392="مرجوعی فروش",-1,1)*IF(Sync!$AC1388="",0,Sync!$AC1388))</f>
        <v>0</v>
      </c>
      <c r="O1392" t="str">
        <f>IF(OR($G1392="",Sync!$V1388=""),"",Sync!$V1388)</f>
        <v/>
      </c>
      <c r="P1392" t="str">
        <f>IF(OR($G1392="",Sync!$AD1388=""),"",Sync!$AD1388)</f>
        <v/>
      </c>
      <c r="Q1392" t="str">
        <f>IF($G1392="","",IF(Sync!$U1388="","0000",IF(AND(ISNUMBER(Sync!$U1388),Sync!$U1388&gt;=0,Sync!$U1388&lt;1),RIGHT("00"&amp;HOUR(Sync!$U1388),2)&amp;RIGHT("00"&amp;MINUTE(Sync!$U1388),2),IFERROR(RIGHT("00"&amp;VALUE(LEFT(Sync!$U1388,FIND(":",Sync!$U1388)-1)),2)&amp;RIGHT("00"&amp;VALUE(MID(Sync!$U1388,FIND(":",Sync!$U1388)+1,2)),2),"0000"))))</f>
        <v/>
      </c>
    </row>
    <row r="1393" spans="1:17" x14ac:dyDescent="0.2">
      <c r="A1393" t="str">
        <f>IF(Sync!$T1389="","",Sync!$T1389)</f>
        <v/>
      </c>
      <c r="B1393" t="str">
        <f t="shared" si="126"/>
        <v/>
      </c>
      <c r="C1393" t="str">
        <f t="shared" si="127"/>
        <v/>
      </c>
      <c r="D1393" t="str">
        <f t="shared" si="128"/>
        <v/>
      </c>
      <c r="E1393" t="str">
        <f t="shared" si="129"/>
        <v/>
      </c>
      <c r="F1393" t="str">
        <f t="shared" si="130"/>
        <v/>
      </c>
      <c r="G1393" t="str">
        <f>IF(OR($E1393="",$E1393="نامعتبر",Sync!$X1389=""),"",IF(AND(LEFT(UPPER(TRIM(Sync!$X1389)),2)="SL",IFERROR(VLOOKUP(Sync!$W1389,OpTbl,3,0),"")="فروش"),UPPER(TRIM(Sync!$X1389)),""))</f>
        <v/>
      </c>
      <c r="H1393" t="str">
        <f>IF($G1393="","",IF(Sync!$W1389="","",Sync!$W1389))</f>
        <v/>
      </c>
      <c r="I1393" t="str">
        <f>IF(OR($G1393="",Sync!$Y1389=""),"",Sync!$Y1389)</f>
        <v/>
      </c>
      <c r="J1393" t="str">
        <f>IF(OR($G1393="",Sync!$Z1389=""),"",Sync!$Z1389)</f>
        <v/>
      </c>
      <c r="K1393">
        <f>IF($G1393="",0,IF(Sync!$AA1389="",0,Sync!$AA1389))</f>
        <v>0</v>
      </c>
      <c r="L1393">
        <f>IF($G1393="",0,IF(Sync!$AB1389="",0,Sync!$AB1389))</f>
        <v>0</v>
      </c>
      <c r="M1393" t="str">
        <f t="shared" si="131"/>
        <v/>
      </c>
      <c r="N1393">
        <f>IF($G1393="",0,IF($H1393="مرجوعی فروش",-1,1)*IF(Sync!$AC1389="",0,Sync!$AC1389))</f>
        <v>0</v>
      </c>
      <c r="O1393" t="str">
        <f>IF(OR($G1393="",Sync!$V1389=""),"",Sync!$V1389)</f>
        <v/>
      </c>
      <c r="P1393" t="str">
        <f>IF(OR($G1393="",Sync!$AD1389=""),"",Sync!$AD1389)</f>
        <v/>
      </c>
      <c r="Q1393" t="str">
        <f>IF($G1393="","",IF(Sync!$U1389="","0000",IF(AND(ISNUMBER(Sync!$U1389),Sync!$U1389&gt;=0,Sync!$U1389&lt;1),RIGHT("00"&amp;HOUR(Sync!$U1389),2)&amp;RIGHT("00"&amp;MINUTE(Sync!$U1389),2),IFERROR(RIGHT("00"&amp;VALUE(LEFT(Sync!$U1389,FIND(":",Sync!$U1389)-1)),2)&amp;RIGHT("00"&amp;VALUE(MID(Sync!$U1389,FIND(":",Sync!$U1389)+1,2)),2),"0000"))))</f>
        <v/>
      </c>
    </row>
    <row r="1394" spans="1:17" x14ac:dyDescent="0.2">
      <c r="A1394" t="str">
        <f>IF(Sync!$T1390="","",Sync!$T1390)</f>
        <v/>
      </c>
      <c r="B1394" t="str">
        <f t="shared" si="126"/>
        <v/>
      </c>
      <c r="C1394" t="str">
        <f t="shared" si="127"/>
        <v/>
      </c>
      <c r="D1394" t="str">
        <f t="shared" si="128"/>
        <v/>
      </c>
      <c r="E1394" t="str">
        <f t="shared" si="129"/>
        <v/>
      </c>
      <c r="F1394" t="str">
        <f t="shared" si="130"/>
        <v/>
      </c>
      <c r="G1394" t="str">
        <f>IF(OR($E1394="",$E1394="نامعتبر",Sync!$X1390=""),"",IF(AND(LEFT(UPPER(TRIM(Sync!$X1390)),2)="SL",IFERROR(VLOOKUP(Sync!$W1390,OpTbl,3,0),"")="فروش"),UPPER(TRIM(Sync!$X1390)),""))</f>
        <v/>
      </c>
      <c r="H1394" t="str">
        <f>IF($G1394="","",IF(Sync!$W1390="","",Sync!$W1390))</f>
        <v/>
      </c>
      <c r="I1394" t="str">
        <f>IF(OR($G1394="",Sync!$Y1390=""),"",Sync!$Y1390)</f>
        <v/>
      </c>
      <c r="J1394" t="str">
        <f>IF(OR($G1394="",Sync!$Z1390=""),"",Sync!$Z1390)</f>
        <v/>
      </c>
      <c r="K1394">
        <f>IF($G1394="",0,IF(Sync!$AA1390="",0,Sync!$AA1390))</f>
        <v>0</v>
      </c>
      <c r="L1394">
        <f>IF($G1394="",0,IF(Sync!$AB1390="",0,Sync!$AB1390))</f>
        <v>0</v>
      </c>
      <c r="M1394" t="str">
        <f t="shared" si="131"/>
        <v/>
      </c>
      <c r="N1394">
        <f>IF($G1394="",0,IF($H1394="مرجوعی فروش",-1,1)*IF(Sync!$AC1390="",0,Sync!$AC1390))</f>
        <v>0</v>
      </c>
      <c r="O1394" t="str">
        <f>IF(OR($G1394="",Sync!$V1390=""),"",Sync!$V1390)</f>
        <v/>
      </c>
      <c r="P1394" t="str">
        <f>IF(OR($G1394="",Sync!$AD1390=""),"",Sync!$AD1390)</f>
        <v/>
      </c>
      <c r="Q1394" t="str">
        <f>IF($G1394="","",IF(Sync!$U1390="","0000",IF(AND(ISNUMBER(Sync!$U1390),Sync!$U1390&gt;=0,Sync!$U1390&lt;1),RIGHT("00"&amp;HOUR(Sync!$U1390),2)&amp;RIGHT("00"&amp;MINUTE(Sync!$U1390),2),IFERROR(RIGHT("00"&amp;VALUE(LEFT(Sync!$U1390,FIND(":",Sync!$U1390)-1)),2)&amp;RIGHT("00"&amp;VALUE(MID(Sync!$U1390,FIND(":",Sync!$U1390)+1,2)),2),"0000"))))</f>
        <v/>
      </c>
    </row>
    <row r="1395" spans="1:17" x14ac:dyDescent="0.2">
      <c r="A1395" t="str">
        <f>IF(Sync!$T1391="","",Sync!$T1391)</f>
        <v/>
      </c>
      <c r="B1395" t="str">
        <f t="shared" si="126"/>
        <v/>
      </c>
      <c r="C1395" t="str">
        <f t="shared" si="127"/>
        <v/>
      </c>
      <c r="D1395" t="str">
        <f t="shared" si="128"/>
        <v/>
      </c>
      <c r="E1395" t="str">
        <f t="shared" si="129"/>
        <v/>
      </c>
      <c r="F1395" t="str">
        <f t="shared" si="130"/>
        <v/>
      </c>
      <c r="G1395" t="str">
        <f>IF(OR($E1395="",$E1395="نامعتبر",Sync!$X1391=""),"",IF(AND(LEFT(UPPER(TRIM(Sync!$X1391)),2)="SL",IFERROR(VLOOKUP(Sync!$W1391,OpTbl,3,0),"")="فروش"),UPPER(TRIM(Sync!$X1391)),""))</f>
        <v/>
      </c>
      <c r="H1395" t="str">
        <f>IF($G1395="","",IF(Sync!$W1391="","",Sync!$W1391))</f>
        <v/>
      </c>
      <c r="I1395" t="str">
        <f>IF(OR($G1395="",Sync!$Y1391=""),"",Sync!$Y1391)</f>
        <v/>
      </c>
      <c r="J1395" t="str">
        <f>IF(OR($G1395="",Sync!$Z1391=""),"",Sync!$Z1391)</f>
        <v/>
      </c>
      <c r="K1395">
        <f>IF($G1395="",0,IF(Sync!$AA1391="",0,Sync!$AA1391))</f>
        <v>0</v>
      </c>
      <c r="L1395">
        <f>IF($G1395="",0,IF(Sync!$AB1391="",0,Sync!$AB1391))</f>
        <v>0</v>
      </c>
      <c r="M1395" t="str">
        <f t="shared" si="131"/>
        <v/>
      </c>
      <c r="N1395">
        <f>IF($G1395="",0,IF($H1395="مرجوعی فروش",-1,1)*IF(Sync!$AC1391="",0,Sync!$AC1391))</f>
        <v>0</v>
      </c>
      <c r="O1395" t="str">
        <f>IF(OR($G1395="",Sync!$V1391=""),"",Sync!$V1391)</f>
        <v/>
      </c>
      <c r="P1395" t="str">
        <f>IF(OR($G1395="",Sync!$AD1391=""),"",Sync!$AD1391)</f>
        <v/>
      </c>
      <c r="Q1395" t="str">
        <f>IF($G1395="","",IF(Sync!$U1391="","0000",IF(AND(ISNUMBER(Sync!$U1391),Sync!$U1391&gt;=0,Sync!$U1391&lt;1),RIGHT("00"&amp;HOUR(Sync!$U1391),2)&amp;RIGHT("00"&amp;MINUTE(Sync!$U1391),2),IFERROR(RIGHT("00"&amp;VALUE(LEFT(Sync!$U1391,FIND(":",Sync!$U1391)-1)),2)&amp;RIGHT("00"&amp;VALUE(MID(Sync!$U1391,FIND(":",Sync!$U1391)+1,2)),2),"0000"))))</f>
        <v/>
      </c>
    </row>
    <row r="1396" spans="1:17" x14ac:dyDescent="0.2">
      <c r="A1396" t="str">
        <f>IF(Sync!$T1392="","",Sync!$T1392)</f>
        <v/>
      </c>
      <c r="B1396" t="str">
        <f t="shared" si="126"/>
        <v/>
      </c>
      <c r="C1396" t="str">
        <f t="shared" si="127"/>
        <v/>
      </c>
      <c r="D1396" t="str">
        <f t="shared" si="128"/>
        <v/>
      </c>
      <c r="E1396" t="str">
        <f t="shared" si="129"/>
        <v/>
      </c>
      <c r="F1396" t="str">
        <f t="shared" si="130"/>
        <v/>
      </c>
      <c r="G1396" t="str">
        <f>IF(OR($E1396="",$E1396="نامعتبر",Sync!$X1392=""),"",IF(AND(LEFT(UPPER(TRIM(Sync!$X1392)),2)="SL",IFERROR(VLOOKUP(Sync!$W1392,OpTbl,3,0),"")="فروش"),UPPER(TRIM(Sync!$X1392)),""))</f>
        <v/>
      </c>
      <c r="H1396" t="str">
        <f>IF($G1396="","",IF(Sync!$W1392="","",Sync!$W1392))</f>
        <v/>
      </c>
      <c r="I1396" t="str">
        <f>IF(OR($G1396="",Sync!$Y1392=""),"",Sync!$Y1392)</f>
        <v/>
      </c>
      <c r="J1396" t="str">
        <f>IF(OR($G1396="",Sync!$Z1392=""),"",Sync!$Z1392)</f>
        <v/>
      </c>
      <c r="K1396">
        <f>IF($G1396="",0,IF(Sync!$AA1392="",0,Sync!$AA1392))</f>
        <v>0</v>
      </c>
      <c r="L1396">
        <f>IF($G1396="",0,IF(Sync!$AB1392="",0,Sync!$AB1392))</f>
        <v>0</v>
      </c>
      <c r="M1396" t="str">
        <f t="shared" si="131"/>
        <v/>
      </c>
      <c r="N1396">
        <f>IF($G1396="",0,IF($H1396="مرجوعی فروش",-1,1)*IF(Sync!$AC1392="",0,Sync!$AC1392))</f>
        <v>0</v>
      </c>
      <c r="O1396" t="str">
        <f>IF(OR($G1396="",Sync!$V1392=""),"",Sync!$V1392)</f>
        <v/>
      </c>
      <c r="P1396" t="str">
        <f>IF(OR($G1396="",Sync!$AD1392=""),"",Sync!$AD1392)</f>
        <v/>
      </c>
      <c r="Q1396" t="str">
        <f>IF($G1396="","",IF(Sync!$U1392="","0000",IF(AND(ISNUMBER(Sync!$U1392),Sync!$U1392&gt;=0,Sync!$U1392&lt;1),RIGHT("00"&amp;HOUR(Sync!$U1392),2)&amp;RIGHT("00"&amp;MINUTE(Sync!$U1392),2),IFERROR(RIGHT("00"&amp;VALUE(LEFT(Sync!$U1392,FIND(":",Sync!$U1392)-1)),2)&amp;RIGHT("00"&amp;VALUE(MID(Sync!$U1392,FIND(":",Sync!$U1392)+1,2)),2),"0000"))))</f>
        <v/>
      </c>
    </row>
    <row r="1397" spans="1:17" x14ac:dyDescent="0.2">
      <c r="A1397" t="str">
        <f>IF(Sync!$T1393="","",Sync!$T1393)</f>
        <v/>
      </c>
      <c r="B1397" t="str">
        <f t="shared" si="126"/>
        <v/>
      </c>
      <c r="C1397" t="str">
        <f t="shared" si="127"/>
        <v/>
      </c>
      <c r="D1397" t="str">
        <f t="shared" si="128"/>
        <v/>
      </c>
      <c r="E1397" t="str">
        <f t="shared" si="129"/>
        <v/>
      </c>
      <c r="F1397" t="str">
        <f t="shared" si="130"/>
        <v/>
      </c>
      <c r="G1397" t="str">
        <f>IF(OR($E1397="",$E1397="نامعتبر",Sync!$X1393=""),"",IF(AND(LEFT(UPPER(TRIM(Sync!$X1393)),2)="SL",IFERROR(VLOOKUP(Sync!$W1393,OpTbl,3,0),"")="فروش"),UPPER(TRIM(Sync!$X1393)),""))</f>
        <v/>
      </c>
      <c r="H1397" t="str">
        <f>IF($G1397="","",IF(Sync!$W1393="","",Sync!$W1393))</f>
        <v/>
      </c>
      <c r="I1397" t="str">
        <f>IF(OR($G1397="",Sync!$Y1393=""),"",Sync!$Y1393)</f>
        <v/>
      </c>
      <c r="J1397" t="str">
        <f>IF(OR($G1397="",Sync!$Z1393=""),"",Sync!$Z1393)</f>
        <v/>
      </c>
      <c r="K1397">
        <f>IF($G1397="",0,IF(Sync!$AA1393="",0,Sync!$AA1393))</f>
        <v>0</v>
      </c>
      <c r="L1397">
        <f>IF($G1397="",0,IF(Sync!$AB1393="",0,Sync!$AB1393))</f>
        <v>0</v>
      </c>
      <c r="M1397" t="str">
        <f t="shared" si="131"/>
        <v/>
      </c>
      <c r="N1397">
        <f>IF($G1397="",0,IF($H1397="مرجوعی فروش",-1,1)*IF(Sync!$AC1393="",0,Sync!$AC1393))</f>
        <v>0</v>
      </c>
      <c r="O1397" t="str">
        <f>IF(OR($G1397="",Sync!$V1393=""),"",Sync!$V1393)</f>
        <v/>
      </c>
      <c r="P1397" t="str">
        <f>IF(OR($G1397="",Sync!$AD1393=""),"",Sync!$AD1393)</f>
        <v/>
      </c>
      <c r="Q1397" t="str">
        <f>IF($G1397="","",IF(Sync!$U1393="","0000",IF(AND(ISNUMBER(Sync!$U1393),Sync!$U1393&gt;=0,Sync!$U1393&lt;1),RIGHT("00"&amp;HOUR(Sync!$U1393),2)&amp;RIGHT("00"&amp;MINUTE(Sync!$U1393),2),IFERROR(RIGHT("00"&amp;VALUE(LEFT(Sync!$U1393,FIND(":",Sync!$U1393)-1)),2)&amp;RIGHT("00"&amp;VALUE(MID(Sync!$U1393,FIND(":",Sync!$U1393)+1,2)),2),"0000"))))</f>
        <v/>
      </c>
    </row>
    <row r="1398" spans="1:17" x14ac:dyDescent="0.2">
      <c r="A1398" t="str">
        <f>IF(Sync!$T1394="","",Sync!$T1394)</f>
        <v/>
      </c>
      <c r="B1398" t="str">
        <f t="shared" si="126"/>
        <v/>
      </c>
      <c r="C1398" t="str">
        <f t="shared" si="127"/>
        <v/>
      </c>
      <c r="D1398" t="str">
        <f t="shared" si="128"/>
        <v/>
      </c>
      <c r="E1398" t="str">
        <f t="shared" si="129"/>
        <v/>
      </c>
      <c r="F1398" t="str">
        <f t="shared" si="130"/>
        <v/>
      </c>
      <c r="G1398" t="str">
        <f>IF(OR($E1398="",$E1398="نامعتبر",Sync!$X1394=""),"",IF(AND(LEFT(UPPER(TRIM(Sync!$X1394)),2)="SL",IFERROR(VLOOKUP(Sync!$W1394,OpTbl,3,0),"")="فروش"),UPPER(TRIM(Sync!$X1394)),""))</f>
        <v/>
      </c>
      <c r="H1398" t="str">
        <f>IF($G1398="","",IF(Sync!$W1394="","",Sync!$W1394))</f>
        <v/>
      </c>
      <c r="I1398" t="str">
        <f>IF(OR($G1398="",Sync!$Y1394=""),"",Sync!$Y1394)</f>
        <v/>
      </c>
      <c r="J1398" t="str">
        <f>IF(OR($G1398="",Sync!$Z1394=""),"",Sync!$Z1394)</f>
        <v/>
      </c>
      <c r="K1398">
        <f>IF($G1398="",0,IF(Sync!$AA1394="",0,Sync!$AA1394))</f>
        <v>0</v>
      </c>
      <c r="L1398">
        <f>IF($G1398="",0,IF(Sync!$AB1394="",0,Sync!$AB1394))</f>
        <v>0</v>
      </c>
      <c r="M1398" t="str">
        <f t="shared" si="131"/>
        <v/>
      </c>
      <c r="N1398">
        <f>IF($G1398="",0,IF($H1398="مرجوعی فروش",-1,1)*IF(Sync!$AC1394="",0,Sync!$AC1394))</f>
        <v>0</v>
      </c>
      <c r="O1398" t="str">
        <f>IF(OR($G1398="",Sync!$V1394=""),"",Sync!$V1394)</f>
        <v/>
      </c>
      <c r="P1398" t="str">
        <f>IF(OR($G1398="",Sync!$AD1394=""),"",Sync!$AD1394)</f>
        <v/>
      </c>
      <c r="Q1398" t="str">
        <f>IF($G1398="","",IF(Sync!$U1394="","0000",IF(AND(ISNUMBER(Sync!$U1394),Sync!$U1394&gt;=0,Sync!$U1394&lt;1),RIGHT("00"&amp;HOUR(Sync!$U1394),2)&amp;RIGHT("00"&amp;MINUTE(Sync!$U1394),2),IFERROR(RIGHT("00"&amp;VALUE(LEFT(Sync!$U1394,FIND(":",Sync!$U1394)-1)),2)&amp;RIGHT("00"&amp;VALUE(MID(Sync!$U1394,FIND(":",Sync!$U1394)+1,2)),2),"0000"))))</f>
        <v/>
      </c>
    </row>
    <row r="1399" spans="1:17" x14ac:dyDescent="0.2">
      <c r="A1399" t="str">
        <f>IF(Sync!$T1395="","",Sync!$T1395)</f>
        <v/>
      </c>
      <c r="B1399" t="str">
        <f t="shared" si="126"/>
        <v/>
      </c>
      <c r="C1399" t="str">
        <f t="shared" si="127"/>
        <v/>
      </c>
      <c r="D1399" t="str">
        <f t="shared" si="128"/>
        <v/>
      </c>
      <c r="E1399" t="str">
        <f t="shared" si="129"/>
        <v/>
      </c>
      <c r="F1399" t="str">
        <f t="shared" si="130"/>
        <v/>
      </c>
      <c r="G1399" t="str">
        <f>IF(OR($E1399="",$E1399="نامعتبر",Sync!$X1395=""),"",IF(AND(LEFT(UPPER(TRIM(Sync!$X1395)),2)="SL",IFERROR(VLOOKUP(Sync!$W1395,OpTbl,3,0),"")="فروش"),UPPER(TRIM(Sync!$X1395)),""))</f>
        <v/>
      </c>
      <c r="H1399" t="str">
        <f>IF($G1399="","",IF(Sync!$W1395="","",Sync!$W1395))</f>
        <v/>
      </c>
      <c r="I1399" t="str">
        <f>IF(OR($G1399="",Sync!$Y1395=""),"",Sync!$Y1395)</f>
        <v/>
      </c>
      <c r="J1399" t="str">
        <f>IF(OR($G1399="",Sync!$Z1395=""),"",Sync!$Z1395)</f>
        <v/>
      </c>
      <c r="K1399">
        <f>IF($G1399="",0,IF(Sync!$AA1395="",0,Sync!$AA1395))</f>
        <v>0</v>
      </c>
      <c r="L1399">
        <f>IF($G1399="",0,IF(Sync!$AB1395="",0,Sync!$AB1395))</f>
        <v>0</v>
      </c>
      <c r="M1399" t="str">
        <f t="shared" si="131"/>
        <v/>
      </c>
      <c r="N1399">
        <f>IF($G1399="",0,IF($H1399="مرجوعی فروش",-1,1)*IF(Sync!$AC1395="",0,Sync!$AC1395))</f>
        <v>0</v>
      </c>
      <c r="O1399" t="str">
        <f>IF(OR($G1399="",Sync!$V1395=""),"",Sync!$V1395)</f>
        <v/>
      </c>
      <c r="P1399" t="str">
        <f>IF(OR($G1399="",Sync!$AD1395=""),"",Sync!$AD1395)</f>
        <v/>
      </c>
      <c r="Q1399" t="str">
        <f>IF($G1399="","",IF(Sync!$U1395="","0000",IF(AND(ISNUMBER(Sync!$U1395),Sync!$U1395&gt;=0,Sync!$U1395&lt;1),RIGHT("00"&amp;HOUR(Sync!$U1395),2)&amp;RIGHT("00"&amp;MINUTE(Sync!$U1395),2),IFERROR(RIGHT("00"&amp;VALUE(LEFT(Sync!$U1395,FIND(":",Sync!$U1395)-1)),2)&amp;RIGHT("00"&amp;VALUE(MID(Sync!$U1395,FIND(":",Sync!$U1395)+1,2)),2),"0000"))))</f>
        <v/>
      </c>
    </row>
    <row r="1400" spans="1:17" x14ac:dyDescent="0.2">
      <c r="A1400" t="str">
        <f>IF(Sync!$T1396="","",Sync!$T1396)</f>
        <v/>
      </c>
      <c r="B1400" t="str">
        <f t="shared" si="126"/>
        <v/>
      </c>
      <c r="C1400" t="str">
        <f t="shared" si="127"/>
        <v/>
      </c>
      <c r="D1400" t="str">
        <f t="shared" si="128"/>
        <v/>
      </c>
      <c r="E1400" t="str">
        <f t="shared" si="129"/>
        <v/>
      </c>
      <c r="F1400" t="str">
        <f t="shared" si="130"/>
        <v/>
      </c>
      <c r="G1400" t="str">
        <f>IF(OR($E1400="",$E1400="نامعتبر",Sync!$X1396=""),"",IF(AND(LEFT(UPPER(TRIM(Sync!$X1396)),2)="SL",IFERROR(VLOOKUP(Sync!$W1396,OpTbl,3,0),"")="فروش"),UPPER(TRIM(Sync!$X1396)),""))</f>
        <v/>
      </c>
      <c r="H1400" t="str">
        <f>IF($G1400="","",IF(Sync!$W1396="","",Sync!$W1396))</f>
        <v/>
      </c>
      <c r="I1400" t="str">
        <f>IF(OR($G1400="",Sync!$Y1396=""),"",Sync!$Y1396)</f>
        <v/>
      </c>
      <c r="J1400" t="str">
        <f>IF(OR($G1400="",Sync!$Z1396=""),"",Sync!$Z1396)</f>
        <v/>
      </c>
      <c r="K1400">
        <f>IF($G1400="",0,IF(Sync!$AA1396="",0,Sync!$AA1396))</f>
        <v>0</v>
      </c>
      <c r="L1400">
        <f>IF($G1400="",0,IF(Sync!$AB1396="",0,Sync!$AB1396))</f>
        <v>0</v>
      </c>
      <c r="M1400" t="str">
        <f t="shared" si="131"/>
        <v/>
      </c>
      <c r="N1400">
        <f>IF($G1400="",0,IF($H1400="مرجوعی فروش",-1,1)*IF(Sync!$AC1396="",0,Sync!$AC1396))</f>
        <v>0</v>
      </c>
      <c r="O1400" t="str">
        <f>IF(OR($G1400="",Sync!$V1396=""),"",Sync!$V1396)</f>
        <v/>
      </c>
      <c r="P1400" t="str">
        <f>IF(OR($G1400="",Sync!$AD1396=""),"",Sync!$AD1396)</f>
        <v/>
      </c>
      <c r="Q1400" t="str">
        <f>IF($G1400="","",IF(Sync!$U1396="","0000",IF(AND(ISNUMBER(Sync!$U1396),Sync!$U1396&gt;=0,Sync!$U1396&lt;1),RIGHT("00"&amp;HOUR(Sync!$U1396),2)&amp;RIGHT("00"&amp;MINUTE(Sync!$U1396),2),IFERROR(RIGHT("00"&amp;VALUE(LEFT(Sync!$U1396,FIND(":",Sync!$U1396)-1)),2)&amp;RIGHT("00"&amp;VALUE(MID(Sync!$U1396,FIND(":",Sync!$U1396)+1,2)),2),"0000"))))</f>
        <v/>
      </c>
    </row>
    <row r="1401" spans="1:17" x14ac:dyDescent="0.2">
      <c r="A1401" t="str">
        <f>IF(Sync!$T1397="","",Sync!$T1397)</f>
        <v/>
      </c>
      <c r="B1401" t="str">
        <f t="shared" si="126"/>
        <v/>
      </c>
      <c r="C1401" t="str">
        <f t="shared" si="127"/>
        <v/>
      </c>
      <c r="D1401" t="str">
        <f t="shared" si="128"/>
        <v/>
      </c>
      <c r="E1401" t="str">
        <f t="shared" si="129"/>
        <v/>
      </c>
      <c r="F1401" t="str">
        <f t="shared" si="130"/>
        <v/>
      </c>
      <c r="G1401" t="str">
        <f>IF(OR($E1401="",$E1401="نامعتبر",Sync!$X1397=""),"",IF(AND(LEFT(UPPER(TRIM(Sync!$X1397)),2)="SL",IFERROR(VLOOKUP(Sync!$W1397,OpTbl,3,0),"")="فروش"),UPPER(TRIM(Sync!$X1397)),""))</f>
        <v/>
      </c>
      <c r="H1401" t="str">
        <f>IF($G1401="","",IF(Sync!$W1397="","",Sync!$W1397))</f>
        <v/>
      </c>
      <c r="I1401" t="str">
        <f>IF(OR($G1401="",Sync!$Y1397=""),"",Sync!$Y1397)</f>
        <v/>
      </c>
      <c r="J1401" t="str">
        <f>IF(OR($G1401="",Sync!$Z1397=""),"",Sync!$Z1397)</f>
        <v/>
      </c>
      <c r="K1401">
        <f>IF($G1401="",0,IF(Sync!$AA1397="",0,Sync!$AA1397))</f>
        <v>0</v>
      </c>
      <c r="L1401">
        <f>IF($G1401="",0,IF(Sync!$AB1397="",0,Sync!$AB1397))</f>
        <v>0</v>
      </c>
      <c r="M1401" t="str">
        <f t="shared" si="131"/>
        <v/>
      </c>
      <c r="N1401">
        <f>IF($G1401="",0,IF($H1401="مرجوعی فروش",-1,1)*IF(Sync!$AC1397="",0,Sync!$AC1397))</f>
        <v>0</v>
      </c>
      <c r="O1401" t="str">
        <f>IF(OR($G1401="",Sync!$V1397=""),"",Sync!$V1397)</f>
        <v/>
      </c>
      <c r="P1401" t="str">
        <f>IF(OR($G1401="",Sync!$AD1397=""),"",Sync!$AD1397)</f>
        <v/>
      </c>
      <c r="Q1401" t="str">
        <f>IF($G1401="","",IF(Sync!$U1397="","0000",IF(AND(ISNUMBER(Sync!$U1397),Sync!$U1397&gt;=0,Sync!$U1397&lt;1),RIGHT("00"&amp;HOUR(Sync!$U1397),2)&amp;RIGHT("00"&amp;MINUTE(Sync!$U1397),2),IFERROR(RIGHT("00"&amp;VALUE(LEFT(Sync!$U1397,FIND(":",Sync!$U1397)-1)),2)&amp;RIGHT("00"&amp;VALUE(MID(Sync!$U1397,FIND(":",Sync!$U1397)+1,2)),2),"0000"))))</f>
        <v/>
      </c>
    </row>
    <row r="1402" spans="1:17" x14ac:dyDescent="0.2">
      <c r="A1402" t="str">
        <f>IF(Sync!$T1398="","",Sync!$T1398)</f>
        <v/>
      </c>
      <c r="B1402" t="str">
        <f t="shared" si="126"/>
        <v/>
      </c>
      <c r="C1402" t="str">
        <f t="shared" si="127"/>
        <v/>
      </c>
      <c r="D1402" t="str">
        <f t="shared" si="128"/>
        <v/>
      </c>
      <c r="E1402" t="str">
        <f t="shared" si="129"/>
        <v/>
      </c>
      <c r="F1402" t="str">
        <f t="shared" si="130"/>
        <v/>
      </c>
      <c r="G1402" t="str">
        <f>IF(OR($E1402="",$E1402="نامعتبر",Sync!$X1398=""),"",IF(AND(LEFT(UPPER(TRIM(Sync!$X1398)),2)="SL",IFERROR(VLOOKUP(Sync!$W1398,OpTbl,3,0),"")="فروش"),UPPER(TRIM(Sync!$X1398)),""))</f>
        <v/>
      </c>
      <c r="H1402" t="str">
        <f>IF($G1402="","",IF(Sync!$W1398="","",Sync!$W1398))</f>
        <v/>
      </c>
      <c r="I1402" t="str">
        <f>IF(OR($G1402="",Sync!$Y1398=""),"",Sync!$Y1398)</f>
        <v/>
      </c>
      <c r="J1402" t="str">
        <f>IF(OR($G1402="",Sync!$Z1398=""),"",Sync!$Z1398)</f>
        <v/>
      </c>
      <c r="K1402">
        <f>IF($G1402="",0,IF(Sync!$AA1398="",0,Sync!$AA1398))</f>
        <v>0</v>
      </c>
      <c r="L1402">
        <f>IF($G1402="",0,IF(Sync!$AB1398="",0,Sync!$AB1398))</f>
        <v>0</v>
      </c>
      <c r="M1402" t="str">
        <f t="shared" si="131"/>
        <v/>
      </c>
      <c r="N1402">
        <f>IF($G1402="",0,IF($H1402="مرجوعی فروش",-1,1)*IF(Sync!$AC1398="",0,Sync!$AC1398))</f>
        <v>0</v>
      </c>
      <c r="O1402" t="str">
        <f>IF(OR($G1402="",Sync!$V1398=""),"",Sync!$V1398)</f>
        <v/>
      </c>
      <c r="P1402" t="str">
        <f>IF(OR($G1402="",Sync!$AD1398=""),"",Sync!$AD1398)</f>
        <v/>
      </c>
      <c r="Q1402" t="str">
        <f>IF($G1402="","",IF(Sync!$U1398="","0000",IF(AND(ISNUMBER(Sync!$U1398),Sync!$U1398&gt;=0,Sync!$U1398&lt;1),RIGHT("00"&amp;HOUR(Sync!$U1398),2)&amp;RIGHT("00"&amp;MINUTE(Sync!$U1398),2),IFERROR(RIGHT("00"&amp;VALUE(LEFT(Sync!$U1398,FIND(":",Sync!$U1398)-1)),2)&amp;RIGHT("00"&amp;VALUE(MID(Sync!$U1398,FIND(":",Sync!$U1398)+1,2)),2),"0000"))))</f>
        <v/>
      </c>
    </row>
    <row r="1403" spans="1:17" x14ac:dyDescent="0.2">
      <c r="A1403" t="str">
        <f>IF(Sync!$T1399="","",Sync!$T1399)</f>
        <v/>
      </c>
      <c r="B1403" t="str">
        <f t="shared" si="126"/>
        <v/>
      </c>
      <c r="C1403" t="str">
        <f t="shared" si="127"/>
        <v/>
      </c>
      <c r="D1403" t="str">
        <f t="shared" si="128"/>
        <v/>
      </c>
      <c r="E1403" t="str">
        <f t="shared" si="129"/>
        <v/>
      </c>
      <c r="F1403" t="str">
        <f t="shared" si="130"/>
        <v/>
      </c>
      <c r="G1403" t="str">
        <f>IF(OR($E1403="",$E1403="نامعتبر",Sync!$X1399=""),"",IF(AND(LEFT(UPPER(TRIM(Sync!$X1399)),2)="SL",IFERROR(VLOOKUP(Sync!$W1399,OpTbl,3,0),"")="فروش"),UPPER(TRIM(Sync!$X1399)),""))</f>
        <v/>
      </c>
      <c r="H1403" t="str">
        <f>IF($G1403="","",IF(Sync!$W1399="","",Sync!$W1399))</f>
        <v/>
      </c>
      <c r="I1403" t="str">
        <f>IF(OR($G1403="",Sync!$Y1399=""),"",Sync!$Y1399)</f>
        <v/>
      </c>
      <c r="J1403" t="str">
        <f>IF(OR($G1403="",Sync!$Z1399=""),"",Sync!$Z1399)</f>
        <v/>
      </c>
      <c r="K1403">
        <f>IF($G1403="",0,IF(Sync!$AA1399="",0,Sync!$AA1399))</f>
        <v>0</v>
      </c>
      <c r="L1403">
        <f>IF($G1403="",0,IF(Sync!$AB1399="",0,Sync!$AB1399))</f>
        <v>0</v>
      </c>
      <c r="M1403" t="str">
        <f t="shared" si="131"/>
        <v/>
      </c>
      <c r="N1403">
        <f>IF($G1403="",0,IF($H1403="مرجوعی فروش",-1,1)*IF(Sync!$AC1399="",0,Sync!$AC1399))</f>
        <v>0</v>
      </c>
      <c r="O1403" t="str">
        <f>IF(OR($G1403="",Sync!$V1399=""),"",Sync!$V1399)</f>
        <v/>
      </c>
      <c r="P1403" t="str">
        <f>IF(OR($G1403="",Sync!$AD1399=""),"",Sync!$AD1399)</f>
        <v/>
      </c>
      <c r="Q1403" t="str">
        <f>IF($G1403="","",IF(Sync!$U1399="","0000",IF(AND(ISNUMBER(Sync!$U1399),Sync!$U1399&gt;=0,Sync!$U1399&lt;1),RIGHT("00"&amp;HOUR(Sync!$U1399),2)&amp;RIGHT("00"&amp;MINUTE(Sync!$U1399),2),IFERROR(RIGHT("00"&amp;VALUE(LEFT(Sync!$U1399,FIND(":",Sync!$U1399)-1)),2)&amp;RIGHT("00"&amp;VALUE(MID(Sync!$U1399,FIND(":",Sync!$U1399)+1,2)),2),"0000"))))</f>
        <v/>
      </c>
    </row>
    <row r="1404" spans="1:17" x14ac:dyDescent="0.2">
      <c r="A1404" t="str">
        <f>IF(Sync!$T1400="","",Sync!$T1400)</f>
        <v/>
      </c>
      <c r="B1404" t="str">
        <f t="shared" si="126"/>
        <v/>
      </c>
      <c r="C1404" t="str">
        <f t="shared" si="127"/>
        <v/>
      </c>
      <c r="D1404" t="str">
        <f t="shared" si="128"/>
        <v/>
      </c>
      <c r="E1404" t="str">
        <f t="shared" si="129"/>
        <v/>
      </c>
      <c r="F1404" t="str">
        <f t="shared" si="130"/>
        <v/>
      </c>
      <c r="G1404" t="str">
        <f>IF(OR($E1404="",$E1404="نامعتبر",Sync!$X1400=""),"",IF(AND(LEFT(UPPER(TRIM(Sync!$X1400)),2)="SL",IFERROR(VLOOKUP(Sync!$W1400,OpTbl,3,0),"")="فروش"),UPPER(TRIM(Sync!$X1400)),""))</f>
        <v/>
      </c>
      <c r="H1404" t="str">
        <f>IF($G1404="","",IF(Sync!$W1400="","",Sync!$W1400))</f>
        <v/>
      </c>
      <c r="I1404" t="str">
        <f>IF(OR($G1404="",Sync!$Y1400=""),"",Sync!$Y1400)</f>
        <v/>
      </c>
      <c r="J1404" t="str">
        <f>IF(OR($G1404="",Sync!$Z1400=""),"",Sync!$Z1400)</f>
        <v/>
      </c>
      <c r="K1404">
        <f>IF($G1404="",0,IF(Sync!$AA1400="",0,Sync!$AA1400))</f>
        <v>0</v>
      </c>
      <c r="L1404">
        <f>IF($G1404="",0,IF(Sync!$AB1400="",0,Sync!$AB1400))</f>
        <v>0</v>
      </c>
      <c r="M1404" t="str">
        <f t="shared" si="131"/>
        <v/>
      </c>
      <c r="N1404">
        <f>IF($G1404="",0,IF($H1404="مرجوعی فروش",-1,1)*IF(Sync!$AC1400="",0,Sync!$AC1400))</f>
        <v>0</v>
      </c>
      <c r="O1404" t="str">
        <f>IF(OR($G1404="",Sync!$V1400=""),"",Sync!$V1400)</f>
        <v/>
      </c>
      <c r="P1404" t="str">
        <f>IF(OR($G1404="",Sync!$AD1400=""),"",Sync!$AD1400)</f>
        <v/>
      </c>
      <c r="Q1404" t="str">
        <f>IF($G1404="","",IF(Sync!$U1400="","0000",IF(AND(ISNUMBER(Sync!$U1400),Sync!$U1400&gt;=0,Sync!$U1400&lt;1),RIGHT("00"&amp;HOUR(Sync!$U1400),2)&amp;RIGHT("00"&amp;MINUTE(Sync!$U1400),2),IFERROR(RIGHT("00"&amp;VALUE(LEFT(Sync!$U1400,FIND(":",Sync!$U1400)-1)),2)&amp;RIGHT("00"&amp;VALUE(MID(Sync!$U1400,FIND(":",Sync!$U1400)+1,2)),2),"0000"))))</f>
        <v/>
      </c>
    </row>
    <row r="1405" spans="1:17" x14ac:dyDescent="0.2">
      <c r="A1405" t="str">
        <f>IF(Sync!$T1401="","",Sync!$T1401)</f>
        <v/>
      </c>
      <c r="B1405" t="str">
        <f t="shared" si="126"/>
        <v/>
      </c>
      <c r="C1405" t="str">
        <f t="shared" si="127"/>
        <v/>
      </c>
      <c r="D1405" t="str">
        <f t="shared" si="128"/>
        <v/>
      </c>
      <c r="E1405" t="str">
        <f t="shared" si="129"/>
        <v/>
      </c>
      <c r="F1405" t="str">
        <f t="shared" si="130"/>
        <v/>
      </c>
      <c r="G1405" t="str">
        <f>IF(OR($E1405="",$E1405="نامعتبر",Sync!$X1401=""),"",IF(AND(LEFT(UPPER(TRIM(Sync!$X1401)),2)="SL",IFERROR(VLOOKUP(Sync!$W1401,OpTbl,3,0),"")="فروش"),UPPER(TRIM(Sync!$X1401)),""))</f>
        <v/>
      </c>
      <c r="H1405" t="str">
        <f>IF($G1405="","",IF(Sync!$W1401="","",Sync!$W1401))</f>
        <v/>
      </c>
      <c r="I1405" t="str">
        <f>IF(OR($G1405="",Sync!$Y1401=""),"",Sync!$Y1401)</f>
        <v/>
      </c>
      <c r="J1405" t="str">
        <f>IF(OR($G1405="",Sync!$Z1401=""),"",Sync!$Z1401)</f>
        <v/>
      </c>
      <c r="K1405">
        <f>IF($G1405="",0,IF(Sync!$AA1401="",0,Sync!$AA1401))</f>
        <v>0</v>
      </c>
      <c r="L1405">
        <f>IF($G1405="",0,IF(Sync!$AB1401="",0,Sync!$AB1401))</f>
        <v>0</v>
      </c>
      <c r="M1405" t="str">
        <f t="shared" si="131"/>
        <v/>
      </c>
      <c r="N1405">
        <f>IF($G1405="",0,IF($H1405="مرجوعی فروش",-1,1)*IF(Sync!$AC1401="",0,Sync!$AC1401))</f>
        <v>0</v>
      </c>
      <c r="O1405" t="str">
        <f>IF(OR($G1405="",Sync!$V1401=""),"",Sync!$V1401)</f>
        <v/>
      </c>
      <c r="P1405" t="str">
        <f>IF(OR($G1405="",Sync!$AD1401=""),"",Sync!$AD1401)</f>
        <v/>
      </c>
      <c r="Q1405" t="str">
        <f>IF($G1405="","",IF(Sync!$U1401="","0000",IF(AND(ISNUMBER(Sync!$U1401),Sync!$U1401&gt;=0,Sync!$U1401&lt;1),RIGHT("00"&amp;HOUR(Sync!$U1401),2)&amp;RIGHT("00"&amp;MINUTE(Sync!$U1401),2),IFERROR(RIGHT("00"&amp;VALUE(LEFT(Sync!$U1401,FIND(":",Sync!$U1401)-1)),2)&amp;RIGHT("00"&amp;VALUE(MID(Sync!$U1401,FIND(":",Sync!$U1401)+1,2)),2),"0000"))))</f>
        <v/>
      </c>
    </row>
    <row r="1406" spans="1:17" x14ac:dyDescent="0.2">
      <c r="A1406" t="str">
        <f>IF(Sync!$T1402="","",Sync!$T1402)</f>
        <v/>
      </c>
      <c r="B1406" t="str">
        <f t="shared" si="126"/>
        <v/>
      </c>
      <c r="C1406" t="str">
        <f t="shared" si="127"/>
        <v/>
      </c>
      <c r="D1406" t="str">
        <f t="shared" si="128"/>
        <v/>
      </c>
      <c r="E1406" t="str">
        <f t="shared" si="129"/>
        <v/>
      </c>
      <c r="F1406" t="str">
        <f t="shared" si="130"/>
        <v/>
      </c>
      <c r="G1406" t="str">
        <f>IF(OR($E1406="",$E1406="نامعتبر",Sync!$X1402=""),"",IF(AND(LEFT(UPPER(TRIM(Sync!$X1402)),2)="SL",IFERROR(VLOOKUP(Sync!$W1402,OpTbl,3,0),"")="فروش"),UPPER(TRIM(Sync!$X1402)),""))</f>
        <v/>
      </c>
      <c r="H1406" t="str">
        <f>IF($G1406="","",IF(Sync!$W1402="","",Sync!$W1402))</f>
        <v/>
      </c>
      <c r="I1406" t="str">
        <f>IF(OR($G1406="",Sync!$Y1402=""),"",Sync!$Y1402)</f>
        <v/>
      </c>
      <c r="J1406" t="str">
        <f>IF(OR($G1406="",Sync!$Z1402=""),"",Sync!$Z1402)</f>
        <v/>
      </c>
      <c r="K1406">
        <f>IF($G1406="",0,IF(Sync!$AA1402="",0,Sync!$AA1402))</f>
        <v>0</v>
      </c>
      <c r="L1406">
        <f>IF($G1406="",0,IF(Sync!$AB1402="",0,Sync!$AB1402))</f>
        <v>0</v>
      </c>
      <c r="M1406" t="str">
        <f t="shared" si="131"/>
        <v/>
      </c>
      <c r="N1406">
        <f>IF($G1406="",0,IF($H1406="مرجوعی فروش",-1,1)*IF(Sync!$AC1402="",0,Sync!$AC1402))</f>
        <v>0</v>
      </c>
      <c r="O1406" t="str">
        <f>IF(OR($G1406="",Sync!$V1402=""),"",Sync!$V1402)</f>
        <v/>
      </c>
      <c r="P1406" t="str">
        <f>IF(OR($G1406="",Sync!$AD1402=""),"",Sync!$AD1402)</f>
        <v/>
      </c>
      <c r="Q1406" t="str">
        <f>IF($G1406="","",IF(Sync!$U1402="","0000",IF(AND(ISNUMBER(Sync!$U1402),Sync!$U1402&gt;=0,Sync!$U1402&lt;1),RIGHT("00"&amp;HOUR(Sync!$U1402),2)&amp;RIGHT("00"&amp;MINUTE(Sync!$U1402),2),IFERROR(RIGHT("00"&amp;VALUE(LEFT(Sync!$U1402,FIND(":",Sync!$U1402)-1)),2)&amp;RIGHT("00"&amp;VALUE(MID(Sync!$U1402,FIND(":",Sync!$U1402)+1,2)),2),"0000"))))</f>
        <v/>
      </c>
    </row>
    <row r="1407" spans="1:17" x14ac:dyDescent="0.2">
      <c r="A1407" t="str">
        <f>IF(Sync!$T1403="","",Sync!$T1403)</f>
        <v/>
      </c>
      <c r="B1407" t="str">
        <f t="shared" si="126"/>
        <v/>
      </c>
      <c r="C1407" t="str">
        <f t="shared" si="127"/>
        <v/>
      </c>
      <c r="D1407" t="str">
        <f t="shared" si="128"/>
        <v/>
      </c>
      <c r="E1407" t="str">
        <f t="shared" si="129"/>
        <v/>
      </c>
      <c r="F1407" t="str">
        <f t="shared" si="130"/>
        <v/>
      </c>
      <c r="G1407" t="str">
        <f>IF(OR($E1407="",$E1407="نامعتبر",Sync!$X1403=""),"",IF(AND(LEFT(UPPER(TRIM(Sync!$X1403)),2)="SL",IFERROR(VLOOKUP(Sync!$W1403,OpTbl,3,0),"")="فروش"),UPPER(TRIM(Sync!$X1403)),""))</f>
        <v/>
      </c>
      <c r="H1407" t="str">
        <f>IF($G1407="","",IF(Sync!$W1403="","",Sync!$W1403))</f>
        <v/>
      </c>
      <c r="I1407" t="str">
        <f>IF(OR($G1407="",Sync!$Y1403=""),"",Sync!$Y1403)</f>
        <v/>
      </c>
      <c r="J1407" t="str">
        <f>IF(OR($G1407="",Sync!$Z1403=""),"",Sync!$Z1403)</f>
        <v/>
      </c>
      <c r="K1407">
        <f>IF($G1407="",0,IF(Sync!$AA1403="",0,Sync!$AA1403))</f>
        <v>0</v>
      </c>
      <c r="L1407">
        <f>IF($G1407="",0,IF(Sync!$AB1403="",0,Sync!$AB1403))</f>
        <v>0</v>
      </c>
      <c r="M1407" t="str">
        <f t="shared" si="131"/>
        <v/>
      </c>
      <c r="N1407">
        <f>IF($G1407="",0,IF($H1407="مرجوعی فروش",-1,1)*IF(Sync!$AC1403="",0,Sync!$AC1403))</f>
        <v>0</v>
      </c>
      <c r="O1407" t="str">
        <f>IF(OR($G1407="",Sync!$V1403=""),"",Sync!$V1403)</f>
        <v/>
      </c>
      <c r="P1407" t="str">
        <f>IF(OR($G1407="",Sync!$AD1403=""),"",Sync!$AD1403)</f>
        <v/>
      </c>
      <c r="Q1407" t="str">
        <f>IF($G1407="","",IF(Sync!$U1403="","0000",IF(AND(ISNUMBER(Sync!$U1403),Sync!$U1403&gt;=0,Sync!$U1403&lt;1),RIGHT("00"&amp;HOUR(Sync!$U1403),2)&amp;RIGHT("00"&amp;MINUTE(Sync!$U1403),2),IFERROR(RIGHT("00"&amp;VALUE(LEFT(Sync!$U1403,FIND(":",Sync!$U1403)-1)),2)&amp;RIGHT("00"&amp;VALUE(MID(Sync!$U1403,FIND(":",Sync!$U1403)+1,2)),2),"0000"))))</f>
        <v/>
      </c>
    </row>
    <row r="1408" spans="1:17" x14ac:dyDescent="0.2">
      <c r="A1408" t="str">
        <f>IF(Sync!$T1404="","",Sync!$T1404)</f>
        <v/>
      </c>
      <c r="B1408" t="str">
        <f t="shared" si="126"/>
        <v/>
      </c>
      <c r="C1408" t="str">
        <f t="shared" si="127"/>
        <v/>
      </c>
      <c r="D1408" t="str">
        <f t="shared" si="128"/>
        <v/>
      </c>
      <c r="E1408" t="str">
        <f t="shared" si="129"/>
        <v/>
      </c>
      <c r="F1408" t="str">
        <f t="shared" si="130"/>
        <v/>
      </c>
      <c r="G1408" t="str">
        <f>IF(OR($E1408="",$E1408="نامعتبر",Sync!$X1404=""),"",IF(AND(LEFT(UPPER(TRIM(Sync!$X1404)),2)="SL",IFERROR(VLOOKUP(Sync!$W1404,OpTbl,3,0),"")="فروش"),UPPER(TRIM(Sync!$X1404)),""))</f>
        <v/>
      </c>
      <c r="H1408" t="str">
        <f>IF($G1408="","",IF(Sync!$W1404="","",Sync!$W1404))</f>
        <v/>
      </c>
      <c r="I1408" t="str">
        <f>IF(OR($G1408="",Sync!$Y1404=""),"",Sync!$Y1404)</f>
        <v/>
      </c>
      <c r="J1408" t="str">
        <f>IF(OR($G1408="",Sync!$Z1404=""),"",Sync!$Z1404)</f>
        <v/>
      </c>
      <c r="K1408">
        <f>IF($G1408="",0,IF(Sync!$AA1404="",0,Sync!$AA1404))</f>
        <v>0</v>
      </c>
      <c r="L1408">
        <f>IF($G1408="",0,IF(Sync!$AB1404="",0,Sync!$AB1404))</f>
        <v>0</v>
      </c>
      <c r="M1408" t="str">
        <f t="shared" si="131"/>
        <v/>
      </c>
      <c r="N1408">
        <f>IF($G1408="",0,IF($H1408="مرجوعی فروش",-1,1)*IF(Sync!$AC1404="",0,Sync!$AC1404))</f>
        <v>0</v>
      </c>
      <c r="O1408" t="str">
        <f>IF(OR($G1408="",Sync!$V1404=""),"",Sync!$V1404)</f>
        <v/>
      </c>
      <c r="P1408" t="str">
        <f>IF(OR($G1408="",Sync!$AD1404=""),"",Sync!$AD1404)</f>
        <v/>
      </c>
      <c r="Q1408" t="str">
        <f>IF($G1408="","",IF(Sync!$U1404="","0000",IF(AND(ISNUMBER(Sync!$U1404),Sync!$U1404&gt;=0,Sync!$U1404&lt;1),RIGHT("00"&amp;HOUR(Sync!$U1404),2)&amp;RIGHT("00"&amp;MINUTE(Sync!$U1404),2),IFERROR(RIGHT("00"&amp;VALUE(LEFT(Sync!$U1404,FIND(":",Sync!$U1404)-1)),2)&amp;RIGHT("00"&amp;VALUE(MID(Sync!$U1404,FIND(":",Sync!$U1404)+1,2)),2),"0000"))))</f>
        <v/>
      </c>
    </row>
    <row r="1409" spans="1:17" x14ac:dyDescent="0.2">
      <c r="A1409" t="str">
        <f>IF(Sync!$T1405="","",Sync!$T1405)</f>
        <v/>
      </c>
      <c r="B1409" t="str">
        <f t="shared" si="126"/>
        <v/>
      </c>
      <c r="C1409" t="str">
        <f t="shared" si="127"/>
        <v/>
      </c>
      <c r="D1409" t="str">
        <f t="shared" si="128"/>
        <v/>
      </c>
      <c r="E1409" t="str">
        <f t="shared" si="129"/>
        <v/>
      </c>
      <c r="F1409" t="str">
        <f t="shared" si="130"/>
        <v/>
      </c>
      <c r="G1409" t="str">
        <f>IF(OR($E1409="",$E1409="نامعتبر",Sync!$X1405=""),"",IF(AND(LEFT(UPPER(TRIM(Sync!$X1405)),2)="SL",IFERROR(VLOOKUP(Sync!$W1405,OpTbl,3,0),"")="فروش"),UPPER(TRIM(Sync!$X1405)),""))</f>
        <v/>
      </c>
      <c r="H1409" t="str">
        <f>IF($G1409="","",IF(Sync!$W1405="","",Sync!$W1405))</f>
        <v/>
      </c>
      <c r="I1409" t="str">
        <f>IF(OR($G1409="",Sync!$Y1405=""),"",Sync!$Y1405)</f>
        <v/>
      </c>
      <c r="J1409" t="str">
        <f>IF(OR($G1409="",Sync!$Z1405=""),"",Sync!$Z1405)</f>
        <v/>
      </c>
      <c r="K1409">
        <f>IF($G1409="",0,IF(Sync!$AA1405="",0,Sync!$AA1405))</f>
        <v>0</v>
      </c>
      <c r="L1409">
        <f>IF($G1409="",0,IF(Sync!$AB1405="",0,Sync!$AB1405))</f>
        <v>0</v>
      </c>
      <c r="M1409" t="str">
        <f t="shared" si="131"/>
        <v/>
      </c>
      <c r="N1409">
        <f>IF($G1409="",0,IF($H1409="مرجوعی فروش",-1,1)*IF(Sync!$AC1405="",0,Sync!$AC1405))</f>
        <v>0</v>
      </c>
      <c r="O1409" t="str">
        <f>IF(OR($G1409="",Sync!$V1405=""),"",Sync!$V1405)</f>
        <v/>
      </c>
      <c r="P1409" t="str">
        <f>IF(OR($G1409="",Sync!$AD1405=""),"",Sync!$AD1405)</f>
        <v/>
      </c>
      <c r="Q1409" t="str">
        <f>IF($G1409="","",IF(Sync!$U1405="","0000",IF(AND(ISNUMBER(Sync!$U1405),Sync!$U1405&gt;=0,Sync!$U1405&lt;1),RIGHT("00"&amp;HOUR(Sync!$U1405),2)&amp;RIGHT("00"&amp;MINUTE(Sync!$U1405),2),IFERROR(RIGHT("00"&amp;VALUE(LEFT(Sync!$U1405,FIND(":",Sync!$U1405)-1)),2)&amp;RIGHT("00"&amp;VALUE(MID(Sync!$U1405,FIND(":",Sync!$U1405)+1,2)),2),"0000"))))</f>
        <v/>
      </c>
    </row>
    <row r="1410" spans="1:17" x14ac:dyDescent="0.2">
      <c r="A1410" t="str">
        <f>IF(Sync!$T1406="","",Sync!$T1406)</f>
        <v/>
      </c>
      <c r="B1410" t="str">
        <f t="shared" si="126"/>
        <v/>
      </c>
      <c r="C1410" t="str">
        <f t="shared" si="127"/>
        <v/>
      </c>
      <c r="D1410" t="str">
        <f t="shared" si="128"/>
        <v/>
      </c>
      <c r="E1410" t="str">
        <f t="shared" si="129"/>
        <v/>
      </c>
      <c r="F1410" t="str">
        <f t="shared" si="130"/>
        <v/>
      </c>
      <c r="G1410" t="str">
        <f>IF(OR($E1410="",$E1410="نامعتبر",Sync!$X1406=""),"",IF(AND(LEFT(UPPER(TRIM(Sync!$X1406)),2)="SL",IFERROR(VLOOKUP(Sync!$W1406,OpTbl,3,0),"")="فروش"),UPPER(TRIM(Sync!$X1406)),""))</f>
        <v/>
      </c>
      <c r="H1410" t="str">
        <f>IF($G1410="","",IF(Sync!$W1406="","",Sync!$W1406))</f>
        <v/>
      </c>
      <c r="I1410" t="str">
        <f>IF(OR($G1410="",Sync!$Y1406=""),"",Sync!$Y1406)</f>
        <v/>
      </c>
      <c r="J1410" t="str">
        <f>IF(OR($G1410="",Sync!$Z1406=""),"",Sync!$Z1406)</f>
        <v/>
      </c>
      <c r="K1410">
        <f>IF($G1410="",0,IF(Sync!$AA1406="",0,Sync!$AA1406))</f>
        <v>0</v>
      </c>
      <c r="L1410">
        <f>IF($G1410="",0,IF(Sync!$AB1406="",0,Sync!$AB1406))</f>
        <v>0</v>
      </c>
      <c r="M1410" t="str">
        <f t="shared" si="131"/>
        <v/>
      </c>
      <c r="N1410">
        <f>IF($G1410="",0,IF($H1410="مرجوعی فروش",-1,1)*IF(Sync!$AC1406="",0,Sync!$AC1406))</f>
        <v>0</v>
      </c>
      <c r="O1410" t="str">
        <f>IF(OR($G1410="",Sync!$V1406=""),"",Sync!$V1406)</f>
        <v/>
      </c>
      <c r="P1410" t="str">
        <f>IF(OR($G1410="",Sync!$AD1406=""),"",Sync!$AD1406)</f>
        <v/>
      </c>
      <c r="Q1410" t="str">
        <f>IF($G1410="","",IF(Sync!$U1406="","0000",IF(AND(ISNUMBER(Sync!$U1406),Sync!$U1406&gt;=0,Sync!$U1406&lt;1),RIGHT("00"&amp;HOUR(Sync!$U1406),2)&amp;RIGHT("00"&amp;MINUTE(Sync!$U1406),2),IFERROR(RIGHT("00"&amp;VALUE(LEFT(Sync!$U1406,FIND(":",Sync!$U1406)-1)),2)&amp;RIGHT("00"&amp;VALUE(MID(Sync!$U1406,FIND(":",Sync!$U1406)+1,2)),2),"0000"))))</f>
        <v/>
      </c>
    </row>
    <row r="1411" spans="1:17" x14ac:dyDescent="0.2">
      <c r="A1411" t="str">
        <f>IF(Sync!$T1407="","",Sync!$T1407)</f>
        <v/>
      </c>
      <c r="B1411" t="str">
        <f t="shared" si="126"/>
        <v/>
      </c>
      <c r="C1411" t="str">
        <f t="shared" si="127"/>
        <v/>
      </c>
      <c r="D1411" t="str">
        <f t="shared" si="128"/>
        <v/>
      </c>
      <c r="E1411" t="str">
        <f t="shared" si="129"/>
        <v/>
      </c>
      <c r="F1411" t="str">
        <f t="shared" si="130"/>
        <v/>
      </c>
      <c r="G1411" t="str">
        <f>IF(OR($E1411="",$E1411="نامعتبر",Sync!$X1407=""),"",IF(AND(LEFT(UPPER(TRIM(Sync!$X1407)),2)="SL",IFERROR(VLOOKUP(Sync!$W1407,OpTbl,3,0),"")="فروش"),UPPER(TRIM(Sync!$X1407)),""))</f>
        <v/>
      </c>
      <c r="H1411" t="str">
        <f>IF($G1411="","",IF(Sync!$W1407="","",Sync!$W1407))</f>
        <v/>
      </c>
      <c r="I1411" t="str">
        <f>IF(OR($G1411="",Sync!$Y1407=""),"",Sync!$Y1407)</f>
        <v/>
      </c>
      <c r="J1411" t="str">
        <f>IF(OR($G1411="",Sync!$Z1407=""),"",Sync!$Z1407)</f>
        <v/>
      </c>
      <c r="K1411">
        <f>IF($G1411="",0,IF(Sync!$AA1407="",0,Sync!$AA1407))</f>
        <v>0</v>
      </c>
      <c r="L1411">
        <f>IF($G1411="",0,IF(Sync!$AB1407="",0,Sync!$AB1407))</f>
        <v>0</v>
      </c>
      <c r="M1411" t="str">
        <f t="shared" si="131"/>
        <v/>
      </c>
      <c r="N1411">
        <f>IF($G1411="",0,IF($H1411="مرجوعی فروش",-1,1)*IF(Sync!$AC1407="",0,Sync!$AC1407))</f>
        <v>0</v>
      </c>
      <c r="O1411" t="str">
        <f>IF(OR($G1411="",Sync!$V1407=""),"",Sync!$V1407)</f>
        <v/>
      </c>
      <c r="P1411" t="str">
        <f>IF(OR($G1411="",Sync!$AD1407=""),"",Sync!$AD1407)</f>
        <v/>
      </c>
      <c r="Q1411" t="str">
        <f>IF($G1411="","",IF(Sync!$U1407="","0000",IF(AND(ISNUMBER(Sync!$U1407),Sync!$U1407&gt;=0,Sync!$U1407&lt;1),RIGHT("00"&amp;HOUR(Sync!$U1407),2)&amp;RIGHT("00"&amp;MINUTE(Sync!$U1407),2),IFERROR(RIGHT("00"&amp;VALUE(LEFT(Sync!$U1407,FIND(":",Sync!$U1407)-1)),2)&amp;RIGHT("00"&amp;VALUE(MID(Sync!$U1407,FIND(":",Sync!$U1407)+1,2)),2),"0000"))))</f>
        <v/>
      </c>
    </row>
    <row r="1412" spans="1:17" x14ac:dyDescent="0.2">
      <c r="A1412" t="str">
        <f>IF(Sync!$T1408="","",Sync!$T1408)</f>
        <v/>
      </c>
      <c r="B1412" t="str">
        <f t="shared" si="126"/>
        <v/>
      </c>
      <c r="C1412" t="str">
        <f t="shared" si="127"/>
        <v/>
      </c>
      <c r="D1412" t="str">
        <f t="shared" si="128"/>
        <v/>
      </c>
      <c r="E1412" t="str">
        <f t="shared" si="129"/>
        <v/>
      </c>
      <c r="F1412" t="str">
        <f t="shared" si="130"/>
        <v/>
      </c>
      <c r="G1412" t="str">
        <f>IF(OR($E1412="",$E1412="نامعتبر",Sync!$X1408=""),"",IF(AND(LEFT(UPPER(TRIM(Sync!$X1408)),2)="SL",IFERROR(VLOOKUP(Sync!$W1408,OpTbl,3,0),"")="فروش"),UPPER(TRIM(Sync!$X1408)),""))</f>
        <v/>
      </c>
      <c r="H1412" t="str">
        <f>IF($G1412="","",IF(Sync!$W1408="","",Sync!$W1408))</f>
        <v/>
      </c>
      <c r="I1412" t="str">
        <f>IF(OR($G1412="",Sync!$Y1408=""),"",Sync!$Y1408)</f>
        <v/>
      </c>
      <c r="J1412" t="str">
        <f>IF(OR($G1412="",Sync!$Z1408=""),"",Sync!$Z1408)</f>
        <v/>
      </c>
      <c r="K1412">
        <f>IF($G1412="",0,IF(Sync!$AA1408="",0,Sync!$AA1408))</f>
        <v>0</v>
      </c>
      <c r="L1412">
        <f>IF($G1412="",0,IF(Sync!$AB1408="",0,Sync!$AB1408))</f>
        <v>0</v>
      </c>
      <c r="M1412" t="str">
        <f t="shared" si="131"/>
        <v/>
      </c>
      <c r="N1412">
        <f>IF($G1412="",0,IF($H1412="مرجوعی فروش",-1,1)*IF(Sync!$AC1408="",0,Sync!$AC1408))</f>
        <v>0</v>
      </c>
      <c r="O1412" t="str">
        <f>IF(OR($G1412="",Sync!$V1408=""),"",Sync!$V1408)</f>
        <v/>
      </c>
      <c r="P1412" t="str">
        <f>IF(OR($G1412="",Sync!$AD1408=""),"",Sync!$AD1408)</f>
        <v/>
      </c>
      <c r="Q1412" t="str">
        <f>IF($G1412="","",IF(Sync!$U1408="","0000",IF(AND(ISNUMBER(Sync!$U1408),Sync!$U1408&gt;=0,Sync!$U1408&lt;1),RIGHT("00"&amp;HOUR(Sync!$U1408),2)&amp;RIGHT("00"&amp;MINUTE(Sync!$U1408),2),IFERROR(RIGHT("00"&amp;VALUE(LEFT(Sync!$U1408,FIND(":",Sync!$U1408)-1)),2)&amp;RIGHT("00"&amp;VALUE(MID(Sync!$U1408,FIND(":",Sync!$U1408)+1,2)),2),"0000"))))</f>
        <v/>
      </c>
    </row>
    <row r="1413" spans="1:17" x14ac:dyDescent="0.2">
      <c r="A1413" t="str">
        <f>IF(Sync!$T1409="","",Sync!$T1409)</f>
        <v/>
      </c>
      <c r="B1413" t="str">
        <f t="shared" si="126"/>
        <v/>
      </c>
      <c r="C1413" t="str">
        <f t="shared" si="127"/>
        <v/>
      </c>
      <c r="D1413" t="str">
        <f t="shared" si="128"/>
        <v/>
      </c>
      <c r="E1413" t="str">
        <f t="shared" si="129"/>
        <v/>
      </c>
      <c r="F1413" t="str">
        <f t="shared" si="130"/>
        <v/>
      </c>
      <c r="G1413" t="str">
        <f>IF(OR($E1413="",$E1413="نامعتبر",Sync!$X1409=""),"",IF(AND(LEFT(UPPER(TRIM(Sync!$X1409)),2)="SL",IFERROR(VLOOKUP(Sync!$W1409,OpTbl,3,0),"")="فروش"),UPPER(TRIM(Sync!$X1409)),""))</f>
        <v/>
      </c>
      <c r="H1413" t="str">
        <f>IF($G1413="","",IF(Sync!$W1409="","",Sync!$W1409))</f>
        <v/>
      </c>
      <c r="I1413" t="str">
        <f>IF(OR($G1413="",Sync!$Y1409=""),"",Sync!$Y1409)</f>
        <v/>
      </c>
      <c r="J1413" t="str">
        <f>IF(OR($G1413="",Sync!$Z1409=""),"",Sync!$Z1409)</f>
        <v/>
      </c>
      <c r="K1413">
        <f>IF($G1413="",0,IF(Sync!$AA1409="",0,Sync!$AA1409))</f>
        <v>0</v>
      </c>
      <c r="L1413">
        <f>IF($G1413="",0,IF(Sync!$AB1409="",0,Sync!$AB1409))</f>
        <v>0</v>
      </c>
      <c r="M1413" t="str">
        <f t="shared" si="131"/>
        <v/>
      </c>
      <c r="N1413">
        <f>IF($G1413="",0,IF($H1413="مرجوعی فروش",-1,1)*IF(Sync!$AC1409="",0,Sync!$AC1409))</f>
        <v>0</v>
      </c>
      <c r="O1413" t="str">
        <f>IF(OR($G1413="",Sync!$V1409=""),"",Sync!$V1409)</f>
        <v/>
      </c>
      <c r="P1413" t="str">
        <f>IF(OR($G1413="",Sync!$AD1409=""),"",Sync!$AD1409)</f>
        <v/>
      </c>
      <c r="Q1413" t="str">
        <f>IF($G1413="","",IF(Sync!$U1409="","0000",IF(AND(ISNUMBER(Sync!$U1409),Sync!$U1409&gt;=0,Sync!$U1409&lt;1),RIGHT("00"&amp;HOUR(Sync!$U1409),2)&amp;RIGHT("00"&amp;MINUTE(Sync!$U1409),2),IFERROR(RIGHT("00"&amp;VALUE(LEFT(Sync!$U1409,FIND(":",Sync!$U1409)-1)),2)&amp;RIGHT("00"&amp;VALUE(MID(Sync!$U1409,FIND(":",Sync!$U1409)+1,2)),2),"0000"))))</f>
        <v/>
      </c>
    </row>
    <row r="1414" spans="1:17" x14ac:dyDescent="0.2">
      <c r="A1414" t="str">
        <f>IF(Sync!$T1410="","",Sync!$T1410)</f>
        <v/>
      </c>
      <c r="B1414" t="str">
        <f t="shared" si="126"/>
        <v/>
      </c>
      <c r="C1414" t="str">
        <f t="shared" si="127"/>
        <v/>
      </c>
      <c r="D1414" t="str">
        <f t="shared" si="128"/>
        <v/>
      </c>
      <c r="E1414" t="str">
        <f t="shared" si="129"/>
        <v/>
      </c>
      <c r="F1414" t="str">
        <f t="shared" si="130"/>
        <v/>
      </c>
      <c r="G1414" t="str">
        <f>IF(OR($E1414="",$E1414="نامعتبر",Sync!$X1410=""),"",IF(AND(LEFT(UPPER(TRIM(Sync!$X1410)),2)="SL",IFERROR(VLOOKUP(Sync!$W1410,OpTbl,3,0),"")="فروش"),UPPER(TRIM(Sync!$X1410)),""))</f>
        <v/>
      </c>
      <c r="H1414" t="str">
        <f>IF($G1414="","",IF(Sync!$W1410="","",Sync!$W1410))</f>
        <v/>
      </c>
      <c r="I1414" t="str">
        <f>IF(OR($G1414="",Sync!$Y1410=""),"",Sync!$Y1410)</f>
        <v/>
      </c>
      <c r="J1414" t="str">
        <f>IF(OR($G1414="",Sync!$Z1410=""),"",Sync!$Z1410)</f>
        <v/>
      </c>
      <c r="K1414">
        <f>IF($G1414="",0,IF(Sync!$AA1410="",0,Sync!$AA1410))</f>
        <v>0</v>
      </c>
      <c r="L1414">
        <f>IF($G1414="",0,IF(Sync!$AB1410="",0,Sync!$AB1410))</f>
        <v>0</v>
      </c>
      <c r="M1414" t="str">
        <f t="shared" si="131"/>
        <v/>
      </c>
      <c r="N1414">
        <f>IF($G1414="",0,IF($H1414="مرجوعی فروش",-1,1)*IF(Sync!$AC1410="",0,Sync!$AC1410))</f>
        <v>0</v>
      </c>
      <c r="O1414" t="str">
        <f>IF(OR($G1414="",Sync!$V1410=""),"",Sync!$V1410)</f>
        <v/>
      </c>
      <c r="P1414" t="str">
        <f>IF(OR($G1414="",Sync!$AD1410=""),"",Sync!$AD1410)</f>
        <v/>
      </c>
      <c r="Q1414" t="str">
        <f>IF($G1414="","",IF(Sync!$U1410="","0000",IF(AND(ISNUMBER(Sync!$U1410),Sync!$U1410&gt;=0,Sync!$U1410&lt;1),RIGHT("00"&amp;HOUR(Sync!$U1410),2)&amp;RIGHT("00"&amp;MINUTE(Sync!$U1410),2),IFERROR(RIGHT("00"&amp;VALUE(LEFT(Sync!$U1410,FIND(":",Sync!$U1410)-1)),2)&amp;RIGHT("00"&amp;VALUE(MID(Sync!$U1410,FIND(":",Sync!$U1410)+1,2)),2),"0000"))))</f>
        <v/>
      </c>
    </row>
    <row r="1415" spans="1:17" x14ac:dyDescent="0.2">
      <c r="A1415" t="str">
        <f>IF(Sync!$T1411="","",Sync!$T1411)</f>
        <v/>
      </c>
      <c r="B1415" t="str">
        <f t="shared" si="126"/>
        <v/>
      </c>
      <c r="C1415" t="str">
        <f t="shared" si="127"/>
        <v/>
      </c>
      <c r="D1415" t="str">
        <f t="shared" si="128"/>
        <v/>
      </c>
      <c r="E1415" t="str">
        <f t="shared" si="129"/>
        <v/>
      </c>
      <c r="F1415" t="str">
        <f t="shared" si="130"/>
        <v/>
      </c>
      <c r="G1415" t="str">
        <f>IF(OR($E1415="",$E1415="نامعتبر",Sync!$X1411=""),"",IF(AND(LEFT(UPPER(TRIM(Sync!$X1411)),2)="SL",IFERROR(VLOOKUP(Sync!$W1411,OpTbl,3,0),"")="فروش"),UPPER(TRIM(Sync!$X1411)),""))</f>
        <v/>
      </c>
      <c r="H1415" t="str">
        <f>IF($G1415="","",IF(Sync!$W1411="","",Sync!$W1411))</f>
        <v/>
      </c>
      <c r="I1415" t="str">
        <f>IF(OR($G1415="",Sync!$Y1411=""),"",Sync!$Y1411)</f>
        <v/>
      </c>
      <c r="J1415" t="str">
        <f>IF(OR($G1415="",Sync!$Z1411=""),"",Sync!$Z1411)</f>
        <v/>
      </c>
      <c r="K1415">
        <f>IF($G1415="",0,IF(Sync!$AA1411="",0,Sync!$AA1411))</f>
        <v>0</v>
      </c>
      <c r="L1415">
        <f>IF($G1415="",0,IF(Sync!$AB1411="",0,Sync!$AB1411))</f>
        <v>0</v>
      </c>
      <c r="M1415" t="str">
        <f t="shared" si="131"/>
        <v/>
      </c>
      <c r="N1415">
        <f>IF($G1415="",0,IF($H1415="مرجوعی فروش",-1,1)*IF(Sync!$AC1411="",0,Sync!$AC1411))</f>
        <v>0</v>
      </c>
      <c r="O1415" t="str">
        <f>IF(OR($G1415="",Sync!$V1411=""),"",Sync!$V1411)</f>
        <v/>
      </c>
      <c r="P1415" t="str">
        <f>IF(OR($G1415="",Sync!$AD1411=""),"",Sync!$AD1411)</f>
        <v/>
      </c>
      <c r="Q1415" t="str">
        <f>IF($G1415="","",IF(Sync!$U1411="","0000",IF(AND(ISNUMBER(Sync!$U1411),Sync!$U1411&gt;=0,Sync!$U1411&lt;1),RIGHT("00"&amp;HOUR(Sync!$U1411),2)&amp;RIGHT("00"&amp;MINUTE(Sync!$U1411),2),IFERROR(RIGHT("00"&amp;VALUE(LEFT(Sync!$U1411,FIND(":",Sync!$U1411)-1)),2)&amp;RIGHT("00"&amp;VALUE(MID(Sync!$U1411,FIND(":",Sync!$U1411)+1,2)),2),"0000"))))</f>
        <v/>
      </c>
    </row>
    <row r="1416" spans="1:17" x14ac:dyDescent="0.2">
      <c r="A1416" t="str">
        <f>IF(Sync!$T1412="","",Sync!$T1412)</f>
        <v/>
      </c>
      <c r="B1416" t="str">
        <f t="shared" si="126"/>
        <v/>
      </c>
      <c r="C1416" t="str">
        <f t="shared" si="127"/>
        <v/>
      </c>
      <c r="D1416" t="str">
        <f t="shared" si="128"/>
        <v/>
      </c>
      <c r="E1416" t="str">
        <f t="shared" si="129"/>
        <v/>
      </c>
      <c r="F1416" t="str">
        <f t="shared" si="130"/>
        <v/>
      </c>
      <c r="G1416" t="str">
        <f>IF(OR($E1416="",$E1416="نامعتبر",Sync!$X1412=""),"",IF(AND(LEFT(UPPER(TRIM(Sync!$X1412)),2)="SL",IFERROR(VLOOKUP(Sync!$W1412,OpTbl,3,0),"")="فروش"),UPPER(TRIM(Sync!$X1412)),""))</f>
        <v/>
      </c>
      <c r="H1416" t="str">
        <f>IF($G1416="","",IF(Sync!$W1412="","",Sync!$W1412))</f>
        <v/>
      </c>
      <c r="I1416" t="str">
        <f>IF(OR($G1416="",Sync!$Y1412=""),"",Sync!$Y1412)</f>
        <v/>
      </c>
      <c r="J1416" t="str">
        <f>IF(OR($G1416="",Sync!$Z1412=""),"",Sync!$Z1412)</f>
        <v/>
      </c>
      <c r="K1416">
        <f>IF($G1416="",0,IF(Sync!$AA1412="",0,Sync!$AA1412))</f>
        <v>0</v>
      </c>
      <c r="L1416">
        <f>IF($G1416="",0,IF(Sync!$AB1412="",0,Sync!$AB1412))</f>
        <v>0</v>
      </c>
      <c r="M1416" t="str">
        <f t="shared" si="131"/>
        <v/>
      </c>
      <c r="N1416">
        <f>IF($G1416="",0,IF($H1416="مرجوعی فروش",-1,1)*IF(Sync!$AC1412="",0,Sync!$AC1412))</f>
        <v>0</v>
      </c>
      <c r="O1416" t="str">
        <f>IF(OR($G1416="",Sync!$V1412=""),"",Sync!$V1412)</f>
        <v/>
      </c>
      <c r="P1416" t="str">
        <f>IF(OR($G1416="",Sync!$AD1412=""),"",Sync!$AD1412)</f>
        <v/>
      </c>
      <c r="Q1416" t="str">
        <f>IF($G1416="","",IF(Sync!$U1412="","0000",IF(AND(ISNUMBER(Sync!$U1412),Sync!$U1412&gt;=0,Sync!$U1412&lt;1),RIGHT("00"&amp;HOUR(Sync!$U1412),2)&amp;RIGHT("00"&amp;MINUTE(Sync!$U1412),2),IFERROR(RIGHT("00"&amp;VALUE(LEFT(Sync!$U1412,FIND(":",Sync!$U1412)-1)),2)&amp;RIGHT("00"&amp;VALUE(MID(Sync!$U1412,FIND(":",Sync!$U1412)+1,2)),2),"0000"))))</f>
        <v/>
      </c>
    </row>
    <row r="1417" spans="1:17" x14ac:dyDescent="0.2">
      <c r="A1417" t="str">
        <f>IF(Sync!$T1413="","",Sync!$T1413)</f>
        <v/>
      </c>
      <c r="B1417" t="str">
        <f t="shared" si="126"/>
        <v/>
      </c>
      <c r="C1417" t="str">
        <f t="shared" si="127"/>
        <v/>
      </c>
      <c r="D1417" t="str">
        <f t="shared" si="128"/>
        <v/>
      </c>
      <c r="E1417" t="str">
        <f t="shared" si="129"/>
        <v/>
      </c>
      <c r="F1417" t="str">
        <f t="shared" si="130"/>
        <v/>
      </c>
      <c r="G1417" t="str">
        <f>IF(OR($E1417="",$E1417="نامعتبر",Sync!$X1413=""),"",IF(AND(LEFT(UPPER(TRIM(Sync!$X1413)),2)="SL",IFERROR(VLOOKUP(Sync!$W1413,OpTbl,3,0),"")="فروش"),UPPER(TRIM(Sync!$X1413)),""))</f>
        <v/>
      </c>
      <c r="H1417" t="str">
        <f>IF($G1417="","",IF(Sync!$W1413="","",Sync!$W1413))</f>
        <v/>
      </c>
      <c r="I1417" t="str">
        <f>IF(OR($G1417="",Sync!$Y1413=""),"",Sync!$Y1413)</f>
        <v/>
      </c>
      <c r="J1417" t="str">
        <f>IF(OR($G1417="",Sync!$Z1413=""),"",Sync!$Z1413)</f>
        <v/>
      </c>
      <c r="K1417">
        <f>IF($G1417="",0,IF(Sync!$AA1413="",0,Sync!$AA1413))</f>
        <v>0</v>
      </c>
      <c r="L1417">
        <f>IF($G1417="",0,IF(Sync!$AB1413="",0,Sync!$AB1413))</f>
        <v>0</v>
      </c>
      <c r="M1417" t="str">
        <f t="shared" si="131"/>
        <v/>
      </c>
      <c r="N1417">
        <f>IF($G1417="",0,IF($H1417="مرجوعی فروش",-1,1)*IF(Sync!$AC1413="",0,Sync!$AC1413))</f>
        <v>0</v>
      </c>
      <c r="O1417" t="str">
        <f>IF(OR($G1417="",Sync!$V1413=""),"",Sync!$V1413)</f>
        <v/>
      </c>
      <c r="P1417" t="str">
        <f>IF(OR($G1417="",Sync!$AD1413=""),"",Sync!$AD1413)</f>
        <v/>
      </c>
      <c r="Q1417" t="str">
        <f>IF($G1417="","",IF(Sync!$U1413="","0000",IF(AND(ISNUMBER(Sync!$U1413),Sync!$U1413&gt;=0,Sync!$U1413&lt;1),RIGHT("00"&amp;HOUR(Sync!$U1413),2)&amp;RIGHT("00"&amp;MINUTE(Sync!$U1413),2),IFERROR(RIGHT("00"&amp;VALUE(LEFT(Sync!$U1413,FIND(":",Sync!$U1413)-1)),2)&amp;RIGHT("00"&amp;VALUE(MID(Sync!$U1413,FIND(":",Sync!$U1413)+1,2)),2),"0000"))))</f>
        <v/>
      </c>
    </row>
    <row r="1418" spans="1:17" x14ac:dyDescent="0.2">
      <c r="A1418" t="str">
        <f>IF(Sync!$T1414="","",Sync!$T1414)</f>
        <v/>
      </c>
      <c r="B1418" t="str">
        <f t="shared" ref="B1418:B1481" si="132">IF($A1418="","",IF(ISNUMBER($A1418),IF(AND($A1418&gt;=10000101,$A1418&lt;=99991231),INT($A1418/10000),""),IFERROR(VALUE(TRIM(LEFT($A1418,FIND("/",$A1418)-1))),"")))</f>
        <v/>
      </c>
      <c r="C1418" t="str">
        <f t="shared" ref="C1418:C1481" si="133">IF(OR($A1418="",$B1418=""),"",IF(ISNUMBER($A1418),INT(MOD($A1418,10000)/100),IFERROR(VALUE(TRIM(LEFT(MID($A1418,FIND("/",$A1418)+1,20),FIND("/",MID($A1418,FIND("/",$A1418)+1,20))-1))),"")))</f>
        <v/>
      </c>
      <c r="D1418" t="str">
        <f t="shared" ref="D1418:D1481" si="134">IF(OR($A1418="",$B1418=""),"",IF(ISNUMBER($A1418),MOD($A1418,100),IFERROR(VALUE(TRIM(MID(MID($A1418,FIND("/",$A1418)+1,20),FIND("/",MID($A1418,FIND("/",$A1418)+1,20))+1,20))),"")))</f>
        <v/>
      </c>
      <c r="E1418" t="str">
        <f t="shared" ref="E1418:E1481" si="135">IF($A1418="","",IF(OR($B1418="",$C1418="",$D1418="",$B1418&lt;1300,$B1418&gt;1500,$C1418&lt;1,$C1418&gt;12,$D1418&lt;1,$D1418&gt;31),"نامعتبر",RIGHT("0000"&amp;$B1418,4)&amp;"/"&amp;RIGHT("00"&amp;$C1418,2)&amp;"/"&amp;RIGHT("00"&amp;$D1418,2)))</f>
        <v/>
      </c>
      <c r="F1418" t="str">
        <f t="shared" ref="F1418:F1481" si="136">IF(OR($E1418="",$E1418="نامعتبر"),"",LEFT($E1418,4)&amp;"/"&amp;MID($E1418,6,2))</f>
        <v/>
      </c>
      <c r="G1418" t="str">
        <f>IF(OR($E1418="",$E1418="نامعتبر",Sync!$X1414=""),"",IF(AND(LEFT(UPPER(TRIM(Sync!$X1414)),2)="SL",IFERROR(VLOOKUP(Sync!$W1414,OpTbl,3,0),"")="فروش"),UPPER(TRIM(Sync!$X1414)),""))</f>
        <v/>
      </c>
      <c r="H1418" t="str">
        <f>IF($G1418="","",IF(Sync!$W1414="","",Sync!$W1414))</f>
        <v/>
      </c>
      <c r="I1418" t="str">
        <f>IF(OR($G1418="",Sync!$Y1414=""),"",Sync!$Y1414)</f>
        <v/>
      </c>
      <c r="J1418" t="str">
        <f>IF(OR($G1418="",Sync!$Z1414=""),"",Sync!$Z1414)</f>
        <v/>
      </c>
      <c r="K1418">
        <f>IF($G1418="",0,IF(Sync!$AA1414="",0,Sync!$AA1414))</f>
        <v>0</v>
      </c>
      <c r="L1418">
        <f>IF($G1418="",0,IF(Sync!$AB1414="",0,Sync!$AB1414))</f>
        <v>0</v>
      </c>
      <c r="M1418" t="str">
        <f t="shared" ref="M1418:M1481" si="137">IF($G1418="","",IF($H1418="مرجوعی فروش",-1,1)*($K1418-$L1418*IFERROR(VLOOKUP("P01",ParamTbl,3,0),1.5)))</f>
        <v/>
      </c>
      <c r="N1418">
        <f>IF($G1418="",0,IF($H1418="مرجوعی فروش",-1,1)*IF(Sync!$AC1414="",0,Sync!$AC1414))</f>
        <v>0</v>
      </c>
      <c r="O1418" t="str">
        <f>IF(OR($G1418="",Sync!$V1414=""),"",Sync!$V1414)</f>
        <v/>
      </c>
      <c r="P1418" t="str">
        <f>IF(OR($G1418="",Sync!$AD1414=""),"",Sync!$AD1414)</f>
        <v/>
      </c>
      <c r="Q1418" t="str">
        <f>IF($G1418="","",IF(Sync!$U1414="","0000",IF(AND(ISNUMBER(Sync!$U1414),Sync!$U1414&gt;=0,Sync!$U1414&lt;1),RIGHT("00"&amp;HOUR(Sync!$U1414),2)&amp;RIGHT("00"&amp;MINUTE(Sync!$U1414),2),IFERROR(RIGHT("00"&amp;VALUE(LEFT(Sync!$U1414,FIND(":",Sync!$U1414)-1)),2)&amp;RIGHT("00"&amp;VALUE(MID(Sync!$U1414,FIND(":",Sync!$U1414)+1,2)),2),"0000"))))</f>
        <v/>
      </c>
    </row>
    <row r="1419" spans="1:17" x14ac:dyDescent="0.2">
      <c r="A1419" t="str">
        <f>IF(Sync!$T1415="","",Sync!$T1415)</f>
        <v/>
      </c>
      <c r="B1419" t="str">
        <f t="shared" si="132"/>
        <v/>
      </c>
      <c r="C1419" t="str">
        <f t="shared" si="133"/>
        <v/>
      </c>
      <c r="D1419" t="str">
        <f t="shared" si="134"/>
        <v/>
      </c>
      <c r="E1419" t="str">
        <f t="shared" si="135"/>
        <v/>
      </c>
      <c r="F1419" t="str">
        <f t="shared" si="136"/>
        <v/>
      </c>
      <c r="G1419" t="str">
        <f>IF(OR($E1419="",$E1419="نامعتبر",Sync!$X1415=""),"",IF(AND(LEFT(UPPER(TRIM(Sync!$X1415)),2)="SL",IFERROR(VLOOKUP(Sync!$W1415,OpTbl,3,0),"")="فروش"),UPPER(TRIM(Sync!$X1415)),""))</f>
        <v/>
      </c>
      <c r="H1419" t="str">
        <f>IF($G1419="","",IF(Sync!$W1415="","",Sync!$W1415))</f>
        <v/>
      </c>
      <c r="I1419" t="str">
        <f>IF(OR($G1419="",Sync!$Y1415=""),"",Sync!$Y1415)</f>
        <v/>
      </c>
      <c r="J1419" t="str">
        <f>IF(OR($G1419="",Sync!$Z1415=""),"",Sync!$Z1415)</f>
        <v/>
      </c>
      <c r="K1419">
        <f>IF($G1419="",0,IF(Sync!$AA1415="",0,Sync!$AA1415))</f>
        <v>0</v>
      </c>
      <c r="L1419">
        <f>IF($G1419="",0,IF(Sync!$AB1415="",0,Sync!$AB1415))</f>
        <v>0</v>
      </c>
      <c r="M1419" t="str">
        <f t="shared" si="137"/>
        <v/>
      </c>
      <c r="N1419">
        <f>IF($G1419="",0,IF($H1419="مرجوعی فروش",-1,1)*IF(Sync!$AC1415="",0,Sync!$AC1415))</f>
        <v>0</v>
      </c>
      <c r="O1419" t="str">
        <f>IF(OR($G1419="",Sync!$V1415=""),"",Sync!$V1415)</f>
        <v/>
      </c>
      <c r="P1419" t="str">
        <f>IF(OR($G1419="",Sync!$AD1415=""),"",Sync!$AD1415)</f>
        <v/>
      </c>
      <c r="Q1419" t="str">
        <f>IF($G1419="","",IF(Sync!$U1415="","0000",IF(AND(ISNUMBER(Sync!$U1415),Sync!$U1415&gt;=0,Sync!$U1415&lt;1),RIGHT("00"&amp;HOUR(Sync!$U1415),2)&amp;RIGHT("00"&amp;MINUTE(Sync!$U1415),2),IFERROR(RIGHT("00"&amp;VALUE(LEFT(Sync!$U1415,FIND(":",Sync!$U1415)-1)),2)&amp;RIGHT("00"&amp;VALUE(MID(Sync!$U1415,FIND(":",Sync!$U1415)+1,2)),2),"0000"))))</f>
        <v/>
      </c>
    </row>
    <row r="1420" spans="1:17" x14ac:dyDescent="0.2">
      <c r="A1420" t="str">
        <f>IF(Sync!$T1416="","",Sync!$T1416)</f>
        <v/>
      </c>
      <c r="B1420" t="str">
        <f t="shared" si="132"/>
        <v/>
      </c>
      <c r="C1420" t="str">
        <f t="shared" si="133"/>
        <v/>
      </c>
      <c r="D1420" t="str">
        <f t="shared" si="134"/>
        <v/>
      </c>
      <c r="E1420" t="str">
        <f t="shared" si="135"/>
        <v/>
      </c>
      <c r="F1420" t="str">
        <f t="shared" si="136"/>
        <v/>
      </c>
      <c r="G1420" t="str">
        <f>IF(OR($E1420="",$E1420="نامعتبر",Sync!$X1416=""),"",IF(AND(LEFT(UPPER(TRIM(Sync!$X1416)),2)="SL",IFERROR(VLOOKUP(Sync!$W1416,OpTbl,3,0),"")="فروش"),UPPER(TRIM(Sync!$X1416)),""))</f>
        <v/>
      </c>
      <c r="H1420" t="str">
        <f>IF($G1420="","",IF(Sync!$W1416="","",Sync!$W1416))</f>
        <v/>
      </c>
      <c r="I1420" t="str">
        <f>IF(OR($G1420="",Sync!$Y1416=""),"",Sync!$Y1416)</f>
        <v/>
      </c>
      <c r="J1420" t="str">
        <f>IF(OR($G1420="",Sync!$Z1416=""),"",Sync!$Z1416)</f>
        <v/>
      </c>
      <c r="K1420">
        <f>IF($G1420="",0,IF(Sync!$AA1416="",0,Sync!$AA1416))</f>
        <v>0</v>
      </c>
      <c r="L1420">
        <f>IF($G1420="",0,IF(Sync!$AB1416="",0,Sync!$AB1416))</f>
        <v>0</v>
      </c>
      <c r="M1420" t="str">
        <f t="shared" si="137"/>
        <v/>
      </c>
      <c r="N1420">
        <f>IF($G1420="",0,IF($H1420="مرجوعی فروش",-1,1)*IF(Sync!$AC1416="",0,Sync!$AC1416))</f>
        <v>0</v>
      </c>
      <c r="O1420" t="str">
        <f>IF(OR($G1420="",Sync!$V1416=""),"",Sync!$V1416)</f>
        <v/>
      </c>
      <c r="P1420" t="str">
        <f>IF(OR($G1420="",Sync!$AD1416=""),"",Sync!$AD1416)</f>
        <v/>
      </c>
      <c r="Q1420" t="str">
        <f>IF($G1420="","",IF(Sync!$U1416="","0000",IF(AND(ISNUMBER(Sync!$U1416),Sync!$U1416&gt;=0,Sync!$U1416&lt;1),RIGHT("00"&amp;HOUR(Sync!$U1416),2)&amp;RIGHT("00"&amp;MINUTE(Sync!$U1416),2),IFERROR(RIGHT("00"&amp;VALUE(LEFT(Sync!$U1416,FIND(":",Sync!$U1416)-1)),2)&amp;RIGHT("00"&amp;VALUE(MID(Sync!$U1416,FIND(":",Sync!$U1416)+1,2)),2),"0000"))))</f>
        <v/>
      </c>
    </row>
    <row r="1421" spans="1:17" x14ac:dyDescent="0.2">
      <c r="A1421" t="str">
        <f>IF(Sync!$T1417="","",Sync!$T1417)</f>
        <v/>
      </c>
      <c r="B1421" t="str">
        <f t="shared" si="132"/>
        <v/>
      </c>
      <c r="C1421" t="str">
        <f t="shared" si="133"/>
        <v/>
      </c>
      <c r="D1421" t="str">
        <f t="shared" si="134"/>
        <v/>
      </c>
      <c r="E1421" t="str">
        <f t="shared" si="135"/>
        <v/>
      </c>
      <c r="F1421" t="str">
        <f t="shared" si="136"/>
        <v/>
      </c>
      <c r="G1421" t="str">
        <f>IF(OR($E1421="",$E1421="نامعتبر",Sync!$X1417=""),"",IF(AND(LEFT(UPPER(TRIM(Sync!$X1417)),2)="SL",IFERROR(VLOOKUP(Sync!$W1417,OpTbl,3,0),"")="فروش"),UPPER(TRIM(Sync!$X1417)),""))</f>
        <v/>
      </c>
      <c r="H1421" t="str">
        <f>IF($G1421="","",IF(Sync!$W1417="","",Sync!$W1417))</f>
        <v/>
      </c>
      <c r="I1421" t="str">
        <f>IF(OR($G1421="",Sync!$Y1417=""),"",Sync!$Y1417)</f>
        <v/>
      </c>
      <c r="J1421" t="str">
        <f>IF(OR($G1421="",Sync!$Z1417=""),"",Sync!$Z1417)</f>
        <v/>
      </c>
      <c r="K1421">
        <f>IF($G1421="",0,IF(Sync!$AA1417="",0,Sync!$AA1417))</f>
        <v>0</v>
      </c>
      <c r="L1421">
        <f>IF($G1421="",0,IF(Sync!$AB1417="",0,Sync!$AB1417))</f>
        <v>0</v>
      </c>
      <c r="M1421" t="str">
        <f t="shared" si="137"/>
        <v/>
      </c>
      <c r="N1421">
        <f>IF($G1421="",0,IF($H1421="مرجوعی فروش",-1,1)*IF(Sync!$AC1417="",0,Sync!$AC1417))</f>
        <v>0</v>
      </c>
      <c r="O1421" t="str">
        <f>IF(OR($G1421="",Sync!$V1417=""),"",Sync!$V1417)</f>
        <v/>
      </c>
      <c r="P1421" t="str">
        <f>IF(OR($G1421="",Sync!$AD1417=""),"",Sync!$AD1417)</f>
        <v/>
      </c>
      <c r="Q1421" t="str">
        <f>IF($G1421="","",IF(Sync!$U1417="","0000",IF(AND(ISNUMBER(Sync!$U1417),Sync!$U1417&gt;=0,Sync!$U1417&lt;1),RIGHT("00"&amp;HOUR(Sync!$U1417),2)&amp;RIGHT("00"&amp;MINUTE(Sync!$U1417),2),IFERROR(RIGHT("00"&amp;VALUE(LEFT(Sync!$U1417,FIND(":",Sync!$U1417)-1)),2)&amp;RIGHT("00"&amp;VALUE(MID(Sync!$U1417,FIND(":",Sync!$U1417)+1,2)),2),"0000"))))</f>
        <v/>
      </c>
    </row>
    <row r="1422" spans="1:17" x14ac:dyDescent="0.2">
      <c r="A1422" t="str">
        <f>IF(Sync!$T1418="","",Sync!$T1418)</f>
        <v/>
      </c>
      <c r="B1422" t="str">
        <f t="shared" si="132"/>
        <v/>
      </c>
      <c r="C1422" t="str">
        <f t="shared" si="133"/>
        <v/>
      </c>
      <c r="D1422" t="str">
        <f t="shared" si="134"/>
        <v/>
      </c>
      <c r="E1422" t="str">
        <f t="shared" si="135"/>
        <v/>
      </c>
      <c r="F1422" t="str">
        <f t="shared" si="136"/>
        <v/>
      </c>
      <c r="G1422" t="str">
        <f>IF(OR($E1422="",$E1422="نامعتبر",Sync!$X1418=""),"",IF(AND(LEFT(UPPER(TRIM(Sync!$X1418)),2)="SL",IFERROR(VLOOKUP(Sync!$W1418,OpTbl,3,0),"")="فروش"),UPPER(TRIM(Sync!$X1418)),""))</f>
        <v/>
      </c>
      <c r="H1422" t="str">
        <f>IF($G1422="","",IF(Sync!$W1418="","",Sync!$W1418))</f>
        <v/>
      </c>
      <c r="I1422" t="str">
        <f>IF(OR($G1422="",Sync!$Y1418=""),"",Sync!$Y1418)</f>
        <v/>
      </c>
      <c r="J1422" t="str">
        <f>IF(OR($G1422="",Sync!$Z1418=""),"",Sync!$Z1418)</f>
        <v/>
      </c>
      <c r="K1422">
        <f>IF($G1422="",0,IF(Sync!$AA1418="",0,Sync!$AA1418))</f>
        <v>0</v>
      </c>
      <c r="L1422">
        <f>IF($G1422="",0,IF(Sync!$AB1418="",0,Sync!$AB1418))</f>
        <v>0</v>
      </c>
      <c r="M1422" t="str">
        <f t="shared" si="137"/>
        <v/>
      </c>
      <c r="N1422">
        <f>IF($G1422="",0,IF($H1422="مرجوعی فروش",-1,1)*IF(Sync!$AC1418="",0,Sync!$AC1418))</f>
        <v>0</v>
      </c>
      <c r="O1422" t="str">
        <f>IF(OR($G1422="",Sync!$V1418=""),"",Sync!$V1418)</f>
        <v/>
      </c>
      <c r="P1422" t="str">
        <f>IF(OR($G1422="",Sync!$AD1418=""),"",Sync!$AD1418)</f>
        <v/>
      </c>
      <c r="Q1422" t="str">
        <f>IF($G1422="","",IF(Sync!$U1418="","0000",IF(AND(ISNUMBER(Sync!$U1418),Sync!$U1418&gt;=0,Sync!$U1418&lt;1),RIGHT("00"&amp;HOUR(Sync!$U1418),2)&amp;RIGHT("00"&amp;MINUTE(Sync!$U1418),2),IFERROR(RIGHT("00"&amp;VALUE(LEFT(Sync!$U1418,FIND(":",Sync!$U1418)-1)),2)&amp;RIGHT("00"&amp;VALUE(MID(Sync!$U1418,FIND(":",Sync!$U1418)+1,2)),2),"0000"))))</f>
        <v/>
      </c>
    </row>
    <row r="1423" spans="1:17" x14ac:dyDescent="0.2">
      <c r="A1423" t="str">
        <f>IF(Sync!$T1419="","",Sync!$T1419)</f>
        <v/>
      </c>
      <c r="B1423" t="str">
        <f t="shared" si="132"/>
        <v/>
      </c>
      <c r="C1423" t="str">
        <f t="shared" si="133"/>
        <v/>
      </c>
      <c r="D1423" t="str">
        <f t="shared" si="134"/>
        <v/>
      </c>
      <c r="E1423" t="str">
        <f t="shared" si="135"/>
        <v/>
      </c>
      <c r="F1423" t="str">
        <f t="shared" si="136"/>
        <v/>
      </c>
      <c r="G1423" t="str">
        <f>IF(OR($E1423="",$E1423="نامعتبر",Sync!$X1419=""),"",IF(AND(LEFT(UPPER(TRIM(Sync!$X1419)),2)="SL",IFERROR(VLOOKUP(Sync!$W1419,OpTbl,3,0),"")="فروش"),UPPER(TRIM(Sync!$X1419)),""))</f>
        <v/>
      </c>
      <c r="H1423" t="str">
        <f>IF($G1423="","",IF(Sync!$W1419="","",Sync!$W1419))</f>
        <v/>
      </c>
      <c r="I1423" t="str">
        <f>IF(OR($G1423="",Sync!$Y1419=""),"",Sync!$Y1419)</f>
        <v/>
      </c>
      <c r="J1423" t="str">
        <f>IF(OR($G1423="",Sync!$Z1419=""),"",Sync!$Z1419)</f>
        <v/>
      </c>
      <c r="K1423">
        <f>IF($G1423="",0,IF(Sync!$AA1419="",0,Sync!$AA1419))</f>
        <v>0</v>
      </c>
      <c r="L1423">
        <f>IF($G1423="",0,IF(Sync!$AB1419="",0,Sync!$AB1419))</f>
        <v>0</v>
      </c>
      <c r="M1423" t="str">
        <f t="shared" si="137"/>
        <v/>
      </c>
      <c r="N1423">
        <f>IF($G1423="",0,IF($H1423="مرجوعی فروش",-1,1)*IF(Sync!$AC1419="",0,Sync!$AC1419))</f>
        <v>0</v>
      </c>
      <c r="O1423" t="str">
        <f>IF(OR($G1423="",Sync!$V1419=""),"",Sync!$V1419)</f>
        <v/>
      </c>
      <c r="P1423" t="str">
        <f>IF(OR($G1423="",Sync!$AD1419=""),"",Sync!$AD1419)</f>
        <v/>
      </c>
      <c r="Q1423" t="str">
        <f>IF($G1423="","",IF(Sync!$U1419="","0000",IF(AND(ISNUMBER(Sync!$U1419),Sync!$U1419&gt;=0,Sync!$U1419&lt;1),RIGHT("00"&amp;HOUR(Sync!$U1419),2)&amp;RIGHT("00"&amp;MINUTE(Sync!$U1419),2),IFERROR(RIGHT("00"&amp;VALUE(LEFT(Sync!$U1419,FIND(":",Sync!$U1419)-1)),2)&amp;RIGHT("00"&amp;VALUE(MID(Sync!$U1419,FIND(":",Sync!$U1419)+1,2)),2),"0000"))))</f>
        <v/>
      </c>
    </row>
    <row r="1424" spans="1:17" x14ac:dyDescent="0.2">
      <c r="A1424" t="str">
        <f>IF(Sync!$T1420="","",Sync!$T1420)</f>
        <v/>
      </c>
      <c r="B1424" t="str">
        <f t="shared" si="132"/>
        <v/>
      </c>
      <c r="C1424" t="str">
        <f t="shared" si="133"/>
        <v/>
      </c>
      <c r="D1424" t="str">
        <f t="shared" si="134"/>
        <v/>
      </c>
      <c r="E1424" t="str">
        <f t="shared" si="135"/>
        <v/>
      </c>
      <c r="F1424" t="str">
        <f t="shared" si="136"/>
        <v/>
      </c>
      <c r="G1424" t="str">
        <f>IF(OR($E1424="",$E1424="نامعتبر",Sync!$X1420=""),"",IF(AND(LEFT(UPPER(TRIM(Sync!$X1420)),2)="SL",IFERROR(VLOOKUP(Sync!$W1420,OpTbl,3,0),"")="فروش"),UPPER(TRIM(Sync!$X1420)),""))</f>
        <v/>
      </c>
      <c r="H1424" t="str">
        <f>IF($G1424="","",IF(Sync!$W1420="","",Sync!$W1420))</f>
        <v/>
      </c>
      <c r="I1424" t="str">
        <f>IF(OR($G1424="",Sync!$Y1420=""),"",Sync!$Y1420)</f>
        <v/>
      </c>
      <c r="J1424" t="str">
        <f>IF(OR($G1424="",Sync!$Z1420=""),"",Sync!$Z1420)</f>
        <v/>
      </c>
      <c r="K1424">
        <f>IF($G1424="",0,IF(Sync!$AA1420="",0,Sync!$AA1420))</f>
        <v>0</v>
      </c>
      <c r="L1424">
        <f>IF($G1424="",0,IF(Sync!$AB1420="",0,Sync!$AB1420))</f>
        <v>0</v>
      </c>
      <c r="M1424" t="str">
        <f t="shared" si="137"/>
        <v/>
      </c>
      <c r="N1424">
        <f>IF($G1424="",0,IF($H1424="مرجوعی فروش",-1,1)*IF(Sync!$AC1420="",0,Sync!$AC1420))</f>
        <v>0</v>
      </c>
      <c r="O1424" t="str">
        <f>IF(OR($G1424="",Sync!$V1420=""),"",Sync!$V1420)</f>
        <v/>
      </c>
      <c r="P1424" t="str">
        <f>IF(OR($G1424="",Sync!$AD1420=""),"",Sync!$AD1420)</f>
        <v/>
      </c>
      <c r="Q1424" t="str">
        <f>IF($G1424="","",IF(Sync!$U1420="","0000",IF(AND(ISNUMBER(Sync!$U1420),Sync!$U1420&gt;=0,Sync!$U1420&lt;1),RIGHT("00"&amp;HOUR(Sync!$U1420),2)&amp;RIGHT("00"&amp;MINUTE(Sync!$U1420),2),IFERROR(RIGHT("00"&amp;VALUE(LEFT(Sync!$U1420,FIND(":",Sync!$U1420)-1)),2)&amp;RIGHT("00"&amp;VALUE(MID(Sync!$U1420,FIND(":",Sync!$U1420)+1,2)),2),"0000"))))</f>
        <v/>
      </c>
    </row>
    <row r="1425" spans="1:17" x14ac:dyDescent="0.2">
      <c r="A1425" t="str">
        <f>IF(Sync!$T1421="","",Sync!$T1421)</f>
        <v/>
      </c>
      <c r="B1425" t="str">
        <f t="shared" si="132"/>
        <v/>
      </c>
      <c r="C1425" t="str">
        <f t="shared" si="133"/>
        <v/>
      </c>
      <c r="D1425" t="str">
        <f t="shared" si="134"/>
        <v/>
      </c>
      <c r="E1425" t="str">
        <f t="shared" si="135"/>
        <v/>
      </c>
      <c r="F1425" t="str">
        <f t="shared" si="136"/>
        <v/>
      </c>
      <c r="G1425" t="str">
        <f>IF(OR($E1425="",$E1425="نامعتبر",Sync!$X1421=""),"",IF(AND(LEFT(UPPER(TRIM(Sync!$X1421)),2)="SL",IFERROR(VLOOKUP(Sync!$W1421,OpTbl,3,0),"")="فروش"),UPPER(TRIM(Sync!$X1421)),""))</f>
        <v/>
      </c>
      <c r="H1425" t="str">
        <f>IF($G1425="","",IF(Sync!$W1421="","",Sync!$W1421))</f>
        <v/>
      </c>
      <c r="I1425" t="str">
        <f>IF(OR($G1425="",Sync!$Y1421=""),"",Sync!$Y1421)</f>
        <v/>
      </c>
      <c r="J1425" t="str">
        <f>IF(OR($G1425="",Sync!$Z1421=""),"",Sync!$Z1421)</f>
        <v/>
      </c>
      <c r="K1425">
        <f>IF($G1425="",0,IF(Sync!$AA1421="",0,Sync!$AA1421))</f>
        <v>0</v>
      </c>
      <c r="L1425">
        <f>IF($G1425="",0,IF(Sync!$AB1421="",0,Sync!$AB1421))</f>
        <v>0</v>
      </c>
      <c r="M1425" t="str">
        <f t="shared" si="137"/>
        <v/>
      </c>
      <c r="N1425">
        <f>IF($G1425="",0,IF($H1425="مرجوعی فروش",-1,1)*IF(Sync!$AC1421="",0,Sync!$AC1421))</f>
        <v>0</v>
      </c>
      <c r="O1425" t="str">
        <f>IF(OR($G1425="",Sync!$V1421=""),"",Sync!$V1421)</f>
        <v/>
      </c>
      <c r="P1425" t="str">
        <f>IF(OR($G1425="",Sync!$AD1421=""),"",Sync!$AD1421)</f>
        <v/>
      </c>
      <c r="Q1425" t="str">
        <f>IF($G1425="","",IF(Sync!$U1421="","0000",IF(AND(ISNUMBER(Sync!$U1421),Sync!$U1421&gt;=0,Sync!$U1421&lt;1),RIGHT("00"&amp;HOUR(Sync!$U1421),2)&amp;RIGHT("00"&amp;MINUTE(Sync!$U1421),2),IFERROR(RIGHT("00"&amp;VALUE(LEFT(Sync!$U1421,FIND(":",Sync!$U1421)-1)),2)&amp;RIGHT("00"&amp;VALUE(MID(Sync!$U1421,FIND(":",Sync!$U1421)+1,2)),2),"0000"))))</f>
        <v/>
      </c>
    </row>
    <row r="1426" spans="1:17" x14ac:dyDescent="0.2">
      <c r="A1426" t="str">
        <f>IF(Sync!$T1422="","",Sync!$T1422)</f>
        <v/>
      </c>
      <c r="B1426" t="str">
        <f t="shared" si="132"/>
        <v/>
      </c>
      <c r="C1426" t="str">
        <f t="shared" si="133"/>
        <v/>
      </c>
      <c r="D1426" t="str">
        <f t="shared" si="134"/>
        <v/>
      </c>
      <c r="E1426" t="str">
        <f t="shared" si="135"/>
        <v/>
      </c>
      <c r="F1426" t="str">
        <f t="shared" si="136"/>
        <v/>
      </c>
      <c r="G1426" t="str">
        <f>IF(OR($E1426="",$E1426="نامعتبر",Sync!$X1422=""),"",IF(AND(LEFT(UPPER(TRIM(Sync!$X1422)),2)="SL",IFERROR(VLOOKUP(Sync!$W1422,OpTbl,3,0),"")="فروش"),UPPER(TRIM(Sync!$X1422)),""))</f>
        <v/>
      </c>
      <c r="H1426" t="str">
        <f>IF($G1426="","",IF(Sync!$W1422="","",Sync!$W1422))</f>
        <v/>
      </c>
      <c r="I1426" t="str">
        <f>IF(OR($G1426="",Sync!$Y1422=""),"",Sync!$Y1422)</f>
        <v/>
      </c>
      <c r="J1426" t="str">
        <f>IF(OR($G1426="",Sync!$Z1422=""),"",Sync!$Z1422)</f>
        <v/>
      </c>
      <c r="K1426">
        <f>IF($G1426="",0,IF(Sync!$AA1422="",0,Sync!$AA1422))</f>
        <v>0</v>
      </c>
      <c r="L1426">
        <f>IF($G1426="",0,IF(Sync!$AB1422="",0,Sync!$AB1422))</f>
        <v>0</v>
      </c>
      <c r="M1426" t="str">
        <f t="shared" si="137"/>
        <v/>
      </c>
      <c r="N1426">
        <f>IF($G1426="",0,IF($H1426="مرجوعی فروش",-1,1)*IF(Sync!$AC1422="",0,Sync!$AC1422))</f>
        <v>0</v>
      </c>
      <c r="O1426" t="str">
        <f>IF(OR($G1426="",Sync!$V1422=""),"",Sync!$V1422)</f>
        <v/>
      </c>
      <c r="P1426" t="str">
        <f>IF(OR($G1426="",Sync!$AD1422=""),"",Sync!$AD1422)</f>
        <v/>
      </c>
      <c r="Q1426" t="str">
        <f>IF($G1426="","",IF(Sync!$U1422="","0000",IF(AND(ISNUMBER(Sync!$U1422),Sync!$U1422&gt;=0,Sync!$U1422&lt;1),RIGHT("00"&amp;HOUR(Sync!$U1422),2)&amp;RIGHT("00"&amp;MINUTE(Sync!$U1422),2),IFERROR(RIGHT("00"&amp;VALUE(LEFT(Sync!$U1422,FIND(":",Sync!$U1422)-1)),2)&amp;RIGHT("00"&amp;VALUE(MID(Sync!$U1422,FIND(":",Sync!$U1422)+1,2)),2),"0000"))))</f>
        <v/>
      </c>
    </row>
    <row r="1427" spans="1:17" x14ac:dyDescent="0.2">
      <c r="A1427" t="str">
        <f>IF(Sync!$T1423="","",Sync!$T1423)</f>
        <v/>
      </c>
      <c r="B1427" t="str">
        <f t="shared" si="132"/>
        <v/>
      </c>
      <c r="C1427" t="str">
        <f t="shared" si="133"/>
        <v/>
      </c>
      <c r="D1427" t="str">
        <f t="shared" si="134"/>
        <v/>
      </c>
      <c r="E1427" t="str">
        <f t="shared" si="135"/>
        <v/>
      </c>
      <c r="F1427" t="str">
        <f t="shared" si="136"/>
        <v/>
      </c>
      <c r="G1427" t="str">
        <f>IF(OR($E1427="",$E1427="نامعتبر",Sync!$X1423=""),"",IF(AND(LEFT(UPPER(TRIM(Sync!$X1423)),2)="SL",IFERROR(VLOOKUP(Sync!$W1423,OpTbl,3,0),"")="فروش"),UPPER(TRIM(Sync!$X1423)),""))</f>
        <v/>
      </c>
      <c r="H1427" t="str">
        <f>IF($G1427="","",IF(Sync!$W1423="","",Sync!$W1423))</f>
        <v/>
      </c>
      <c r="I1427" t="str">
        <f>IF(OR($G1427="",Sync!$Y1423=""),"",Sync!$Y1423)</f>
        <v/>
      </c>
      <c r="J1427" t="str">
        <f>IF(OR($G1427="",Sync!$Z1423=""),"",Sync!$Z1423)</f>
        <v/>
      </c>
      <c r="K1427">
        <f>IF($G1427="",0,IF(Sync!$AA1423="",0,Sync!$AA1423))</f>
        <v>0</v>
      </c>
      <c r="L1427">
        <f>IF($G1427="",0,IF(Sync!$AB1423="",0,Sync!$AB1423))</f>
        <v>0</v>
      </c>
      <c r="M1427" t="str">
        <f t="shared" si="137"/>
        <v/>
      </c>
      <c r="N1427">
        <f>IF($G1427="",0,IF($H1427="مرجوعی فروش",-1,1)*IF(Sync!$AC1423="",0,Sync!$AC1423))</f>
        <v>0</v>
      </c>
      <c r="O1427" t="str">
        <f>IF(OR($G1427="",Sync!$V1423=""),"",Sync!$V1423)</f>
        <v/>
      </c>
      <c r="P1427" t="str">
        <f>IF(OR($G1427="",Sync!$AD1423=""),"",Sync!$AD1423)</f>
        <v/>
      </c>
      <c r="Q1427" t="str">
        <f>IF($G1427="","",IF(Sync!$U1423="","0000",IF(AND(ISNUMBER(Sync!$U1423),Sync!$U1423&gt;=0,Sync!$U1423&lt;1),RIGHT("00"&amp;HOUR(Sync!$U1423),2)&amp;RIGHT("00"&amp;MINUTE(Sync!$U1423),2),IFERROR(RIGHT("00"&amp;VALUE(LEFT(Sync!$U1423,FIND(":",Sync!$U1423)-1)),2)&amp;RIGHT("00"&amp;VALUE(MID(Sync!$U1423,FIND(":",Sync!$U1423)+1,2)),2),"0000"))))</f>
        <v/>
      </c>
    </row>
    <row r="1428" spans="1:17" x14ac:dyDescent="0.2">
      <c r="A1428" t="str">
        <f>IF(Sync!$T1424="","",Sync!$T1424)</f>
        <v/>
      </c>
      <c r="B1428" t="str">
        <f t="shared" si="132"/>
        <v/>
      </c>
      <c r="C1428" t="str">
        <f t="shared" si="133"/>
        <v/>
      </c>
      <c r="D1428" t="str">
        <f t="shared" si="134"/>
        <v/>
      </c>
      <c r="E1428" t="str">
        <f t="shared" si="135"/>
        <v/>
      </c>
      <c r="F1428" t="str">
        <f t="shared" si="136"/>
        <v/>
      </c>
      <c r="G1428" t="str">
        <f>IF(OR($E1428="",$E1428="نامعتبر",Sync!$X1424=""),"",IF(AND(LEFT(UPPER(TRIM(Sync!$X1424)),2)="SL",IFERROR(VLOOKUP(Sync!$W1424,OpTbl,3,0),"")="فروش"),UPPER(TRIM(Sync!$X1424)),""))</f>
        <v/>
      </c>
      <c r="H1428" t="str">
        <f>IF($G1428="","",IF(Sync!$W1424="","",Sync!$W1424))</f>
        <v/>
      </c>
      <c r="I1428" t="str">
        <f>IF(OR($G1428="",Sync!$Y1424=""),"",Sync!$Y1424)</f>
        <v/>
      </c>
      <c r="J1428" t="str">
        <f>IF(OR($G1428="",Sync!$Z1424=""),"",Sync!$Z1424)</f>
        <v/>
      </c>
      <c r="K1428">
        <f>IF($G1428="",0,IF(Sync!$AA1424="",0,Sync!$AA1424))</f>
        <v>0</v>
      </c>
      <c r="L1428">
        <f>IF($G1428="",0,IF(Sync!$AB1424="",0,Sync!$AB1424))</f>
        <v>0</v>
      </c>
      <c r="M1428" t="str">
        <f t="shared" si="137"/>
        <v/>
      </c>
      <c r="N1428">
        <f>IF($G1428="",0,IF($H1428="مرجوعی فروش",-1,1)*IF(Sync!$AC1424="",0,Sync!$AC1424))</f>
        <v>0</v>
      </c>
      <c r="O1428" t="str">
        <f>IF(OR($G1428="",Sync!$V1424=""),"",Sync!$V1424)</f>
        <v/>
      </c>
      <c r="P1428" t="str">
        <f>IF(OR($G1428="",Sync!$AD1424=""),"",Sync!$AD1424)</f>
        <v/>
      </c>
      <c r="Q1428" t="str">
        <f>IF($G1428="","",IF(Sync!$U1424="","0000",IF(AND(ISNUMBER(Sync!$U1424),Sync!$U1424&gt;=0,Sync!$U1424&lt;1),RIGHT("00"&amp;HOUR(Sync!$U1424),2)&amp;RIGHT("00"&amp;MINUTE(Sync!$U1424),2),IFERROR(RIGHT("00"&amp;VALUE(LEFT(Sync!$U1424,FIND(":",Sync!$U1424)-1)),2)&amp;RIGHT("00"&amp;VALUE(MID(Sync!$U1424,FIND(":",Sync!$U1424)+1,2)),2),"0000"))))</f>
        <v/>
      </c>
    </row>
    <row r="1429" spans="1:17" x14ac:dyDescent="0.2">
      <c r="A1429" t="str">
        <f>IF(Sync!$T1425="","",Sync!$T1425)</f>
        <v/>
      </c>
      <c r="B1429" t="str">
        <f t="shared" si="132"/>
        <v/>
      </c>
      <c r="C1429" t="str">
        <f t="shared" si="133"/>
        <v/>
      </c>
      <c r="D1429" t="str">
        <f t="shared" si="134"/>
        <v/>
      </c>
      <c r="E1429" t="str">
        <f t="shared" si="135"/>
        <v/>
      </c>
      <c r="F1429" t="str">
        <f t="shared" si="136"/>
        <v/>
      </c>
      <c r="G1429" t="str">
        <f>IF(OR($E1429="",$E1429="نامعتبر",Sync!$X1425=""),"",IF(AND(LEFT(UPPER(TRIM(Sync!$X1425)),2)="SL",IFERROR(VLOOKUP(Sync!$W1425,OpTbl,3,0),"")="فروش"),UPPER(TRIM(Sync!$X1425)),""))</f>
        <v/>
      </c>
      <c r="H1429" t="str">
        <f>IF($G1429="","",IF(Sync!$W1425="","",Sync!$W1425))</f>
        <v/>
      </c>
      <c r="I1429" t="str">
        <f>IF(OR($G1429="",Sync!$Y1425=""),"",Sync!$Y1425)</f>
        <v/>
      </c>
      <c r="J1429" t="str">
        <f>IF(OR($G1429="",Sync!$Z1425=""),"",Sync!$Z1425)</f>
        <v/>
      </c>
      <c r="K1429">
        <f>IF($G1429="",0,IF(Sync!$AA1425="",0,Sync!$AA1425))</f>
        <v>0</v>
      </c>
      <c r="L1429">
        <f>IF($G1429="",0,IF(Sync!$AB1425="",0,Sync!$AB1425))</f>
        <v>0</v>
      </c>
      <c r="M1429" t="str">
        <f t="shared" si="137"/>
        <v/>
      </c>
      <c r="N1429">
        <f>IF($G1429="",0,IF($H1429="مرجوعی فروش",-1,1)*IF(Sync!$AC1425="",0,Sync!$AC1425))</f>
        <v>0</v>
      </c>
      <c r="O1429" t="str">
        <f>IF(OR($G1429="",Sync!$V1425=""),"",Sync!$V1425)</f>
        <v/>
      </c>
      <c r="P1429" t="str">
        <f>IF(OR($G1429="",Sync!$AD1425=""),"",Sync!$AD1425)</f>
        <v/>
      </c>
      <c r="Q1429" t="str">
        <f>IF($G1429="","",IF(Sync!$U1425="","0000",IF(AND(ISNUMBER(Sync!$U1425),Sync!$U1425&gt;=0,Sync!$U1425&lt;1),RIGHT("00"&amp;HOUR(Sync!$U1425),2)&amp;RIGHT("00"&amp;MINUTE(Sync!$U1425),2),IFERROR(RIGHT("00"&amp;VALUE(LEFT(Sync!$U1425,FIND(":",Sync!$U1425)-1)),2)&amp;RIGHT("00"&amp;VALUE(MID(Sync!$U1425,FIND(":",Sync!$U1425)+1,2)),2),"0000"))))</f>
        <v/>
      </c>
    </row>
    <row r="1430" spans="1:17" x14ac:dyDescent="0.2">
      <c r="A1430" t="str">
        <f>IF(Sync!$T1426="","",Sync!$T1426)</f>
        <v/>
      </c>
      <c r="B1430" t="str">
        <f t="shared" si="132"/>
        <v/>
      </c>
      <c r="C1430" t="str">
        <f t="shared" si="133"/>
        <v/>
      </c>
      <c r="D1430" t="str">
        <f t="shared" si="134"/>
        <v/>
      </c>
      <c r="E1430" t="str">
        <f t="shared" si="135"/>
        <v/>
      </c>
      <c r="F1430" t="str">
        <f t="shared" si="136"/>
        <v/>
      </c>
      <c r="G1430" t="str">
        <f>IF(OR($E1430="",$E1430="نامعتبر",Sync!$X1426=""),"",IF(AND(LEFT(UPPER(TRIM(Sync!$X1426)),2)="SL",IFERROR(VLOOKUP(Sync!$W1426,OpTbl,3,0),"")="فروش"),UPPER(TRIM(Sync!$X1426)),""))</f>
        <v/>
      </c>
      <c r="H1430" t="str">
        <f>IF($G1430="","",IF(Sync!$W1426="","",Sync!$W1426))</f>
        <v/>
      </c>
      <c r="I1430" t="str">
        <f>IF(OR($G1430="",Sync!$Y1426=""),"",Sync!$Y1426)</f>
        <v/>
      </c>
      <c r="J1430" t="str">
        <f>IF(OR($G1430="",Sync!$Z1426=""),"",Sync!$Z1426)</f>
        <v/>
      </c>
      <c r="K1430">
        <f>IF($G1430="",0,IF(Sync!$AA1426="",0,Sync!$AA1426))</f>
        <v>0</v>
      </c>
      <c r="L1430">
        <f>IF($G1430="",0,IF(Sync!$AB1426="",0,Sync!$AB1426))</f>
        <v>0</v>
      </c>
      <c r="M1430" t="str">
        <f t="shared" si="137"/>
        <v/>
      </c>
      <c r="N1430">
        <f>IF($G1430="",0,IF($H1430="مرجوعی فروش",-1,1)*IF(Sync!$AC1426="",0,Sync!$AC1426))</f>
        <v>0</v>
      </c>
      <c r="O1430" t="str">
        <f>IF(OR($G1430="",Sync!$V1426=""),"",Sync!$V1426)</f>
        <v/>
      </c>
      <c r="P1430" t="str">
        <f>IF(OR($G1430="",Sync!$AD1426=""),"",Sync!$AD1426)</f>
        <v/>
      </c>
      <c r="Q1430" t="str">
        <f>IF($G1430="","",IF(Sync!$U1426="","0000",IF(AND(ISNUMBER(Sync!$U1426),Sync!$U1426&gt;=0,Sync!$U1426&lt;1),RIGHT("00"&amp;HOUR(Sync!$U1426),2)&amp;RIGHT("00"&amp;MINUTE(Sync!$U1426),2),IFERROR(RIGHT("00"&amp;VALUE(LEFT(Sync!$U1426,FIND(":",Sync!$U1426)-1)),2)&amp;RIGHT("00"&amp;VALUE(MID(Sync!$U1426,FIND(":",Sync!$U1426)+1,2)),2),"0000"))))</f>
        <v/>
      </c>
    </row>
    <row r="1431" spans="1:17" x14ac:dyDescent="0.2">
      <c r="A1431" t="str">
        <f>IF(Sync!$T1427="","",Sync!$T1427)</f>
        <v/>
      </c>
      <c r="B1431" t="str">
        <f t="shared" si="132"/>
        <v/>
      </c>
      <c r="C1431" t="str">
        <f t="shared" si="133"/>
        <v/>
      </c>
      <c r="D1431" t="str">
        <f t="shared" si="134"/>
        <v/>
      </c>
      <c r="E1431" t="str">
        <f t="shared" si="135"/>
        <v/>
      </c>
      <c r="F1431" t="str">
        <f t="shared" si="136"/>
        <v/>
      </c>
      <c r="G1431" t="str">
        <f>IF(OR($E1431="",$E1431="نامعتبر",Sync!$X1427=""),"",IF(AND(LEFT(UPPER(TRIM(Sync!$X1427)),2)="SL",IFERROR(VLOOKUP(Sync!$W1427,OpTbl,3,0),"")="فروش"),UPPER(TRIM(Sync!$X1427)),""))</f>
        <v/>
      </c>
      <c r="H1431" t="str">
        <f>IF($G1431="","",IF(Sync!$W1427="","",Sync!$W1427))</f>
        <v/>
      </c>
      <c r="I1431" t="str">
        <f>IF(OR($G1431="",Sync!$Y1427=""),"",Sync!$Y1427)</f>
        <v/>
      </c>
      <c r="J1431" t="str">
        <f>IF(OR($G1431="",Sync!$Z1427=""),"",Sync!$Z1427)</f>
        <v/>
      </c>
      <c r="K1431">
        <f>IF($G1431="",0,IF(Sync!$AA1427="",0,Sync!$AA1427))</f>
        <v>0</v>
      </c>
      <c r="L1431">
        <f>IF($G1431="",0,IF(Sync!$AB1427="",0,Sync!$AB1427))</f>
        <v>0</v>
      </c>
      <c r="M1431" t="str">
        <f t="shared" si="137"/>
        <v/>
      </c>
      <c r="N1431">
        <f>IF($G1431="",0,IF($H1431="مرجوعی فروش",-1,1)*IF(Sync!$AC1427="",0,Sync!$AC1427))</f>
        <v>0</v>
      </c>
      <c r="O1431" t="str">
        <f>IF(OR($G1431="",Sync!$V1427=""),"",Sync!$V1427)</f>
        <v/>
      </c>
      <c r="P1431" t="str">
        <f>IF(OR($G1431="",Sync!$AD1427=""),"",Sync!$AD1427)</f>
        <v/>
      </c>
      <c r="Q1431" t="str">
        <f>IF($G1431="","",IF(Sync!$U1427="","0000",IF(AND(ISNUMBER(Sync!$U1427),Sync!$U1427&gt;=0,Sync!$U1427&lt;1),RIGHT("00"&amp;HOUR(Sync!$U1427),2)&amp;RIGHT("00"&amp;MINUTE(Sync!$U1427),2),IFERROR(RIGHT("00"&amp;VALUE(LEFT(Sync!$U1427,FIND(":",Sync!$U1427)-1)),2)&amp;RIGHT("00"&amp;VALUE(MID(Sync!$U1427,FIND(":",Sync!$U1427)+1,2)),2),"0000"))))</f>
        <v/>
      </c>
    </row>
    <row r="1432" spans="1:17" x14ac:dyDescent="0.2">
      <c r="A1432" t="str">
        <f>IF(Sync!$T1428="","",Sync!$T1428)</f>
        <v/>
      </c>
      <c r="B1432" t="str">
        <f t="shared" si="132"/>
        <v/>
      </c>
      <c r="C1432" t="str">
        <f t="shared" si="133"/>
        <v/>
      </c>
      <c r="D1432" t="str">
        <f t="shared" si="134"/>
        <v/>
      </c>
      <c r="E1432" t="str">
        <f t="shared" si="135"/>
        <v/>
      </c>
      <c r="F1432" t="str">
        <f t="shared" si="136"/>
        <v/>
      </c>
      <c r="G1432" t="str">
        <f>IF(OR($E1432="",$E1432="نامعتبر",Sync!$X1428=""),"",IF(AND(LEFT(UPPER(TRIM(Sync!$X1428)),2)="SL",IFERROR(VLOOKUP(Sync!$W1428,OpTbl,3,0),"")="فروش"),UPPER(TRIM(Sync!$X1428)),""))</f>
        <v/>
      </c>
      <c r="H1432" t="str">
        <f>IF($G1432="","",IF(Sync!$W1428="","",Sync!$W1428))</f>
        <v/>
      </c>
      <c r="I1432" t="str">
        <f>IF(OR($G1432="",Sync!$Y1428=""),"",Sync!$Y1428)</f>
        <v/>
      </c>
      <c r="J1432" t="str">
        <f>IF(OR($G1432="",Sync!$Z1428=""),"",Sync!$Z1428)</f>
        <v/>
      </c>
      <c r="K1432">
        <f>IF($G1432="",0,IF(Sync!$AA1428="",0,Sync!$AA1428))</f>
        <v>0</v>
      </c>
      <c r="L1432">
        <f>IF($G1432="",0,IF(Sync!$AB1428="",0,Sync!$AB1428))</f>
        <v>0</v>
      </c>
      <c r="M1432" t="str">
        <f t="shared" si="137"/>
        <v/>
      </c>
      <c r="N1432">
        <f>IF($G1432="",0,IF($H1432="مرجوعی فروش",-1,1)*IF(Sync!$AC1428="",0,Sync!$AC1428))</f>
        <v>0</v>
      </c>
      <c r="O1432" t="str">
        <f>IF(OR($G1432="",Sync!$V1428=""),"",Sync!$V1428)</f>
        <v/>
      </c>
      <c r="P1432" t="str">
        <f>IF(OR($G1432="",Sync!$AD1428=""),"",Sync!$AD1428)</f>
        <v/>
      </c>
      <c r="Q1432" t="str">
        <f>IF($G1432="","",IF(Sync!$U1428="","0000",IF(AND(ISNUMBER(Sync!$U1428),Sync!$U1428&gt;=0,Sync!$U1428&lt;1),RIGHT("00"&amp;HOUR(Sync!$U1428),2)&amp;RIGHT("00"&amp;MINUTE(Sync!$U1428),2),IFERROR(RIGHT("00"&amp;VALUE(LEFT(Sync!$U1428,FIND(":",Sync!$U1428)-1)),2)&amp;RIGHT("00"&amp;VALUE(MID(Sync!$U1428,FIND(":",Sync!$U1428)+1,2)),2),"0000"))))</f>
        <v/>
      </c>
    </row>
    <row r="1433" spans="1:17" x14ac:dyDescent="0.2">
      <c r="A1433" t="str">
        <f>IF(Sync!$T1429="","",Sync!$T1429)</f>
        <v/>
      </c>
      <c r="B1433" t="str">
        <f t="shared" si="132"/>
        <v/>
      </c>
      <c r="C1433" t="str">
        <f t="shared" si="133"/>
        <v/>
      </c>
      <c r="D1433" t="str">
        <f t="shared" si="134"/>
        <v/>
      </c>
      <c r="E1433" t="str">
        <f t="shared" si="135"/>
        <v/>
      </c>
      <c r="F1433" t="str">
        <f t="shared" si="136"/>
        <v/>
      </c>
      <c r="G1433" t="str">
        <f>IF(OR($E1433="",$E1433="نامعتبر",Sync!$X1429=""),"",IF(AND(LEFT(UPPER(TRIM(Sync!$X1429)),2)="SL",IFERROR(VLOOKUP(Sync!$W1429,OpTbl,3,0),"")="فروش"),UPPER(TRIM(Sync!$X1429)),""))</f>
        <v/>
      </c>
      <c r="H1433" t="str">
        <f>IF($G1433="","",IF(Sync!$W1429="","",Sync!$W1429))</f>
        <v/>
      </c>
      <c r="I1433" t="str">
        <f>IF(OR($G1433="",Sync!$Y1429=""),"",Sync!$Y1429)</f>
        <v/>
      </c>
      <c r="J1433" t="str">
        <f>IF(OR($G1433="",Sync!$Z1429=""),"",Sync!$Z1429)</f>
        <v/>
      </c>
      <c r="K1433">
        <f>IF($G1433="",0,IF(Sync!$AA1429="",0,Sync!$AA1429))</f>
        <v>0</v>
      </c>
      <c r="L1433">
        <f>IF($G1433="",0,IF(Sync!$AB1429="",0,Sync!$AB1429))</f>
        <v>0</v>
      </c>
      <c r="M1433" t="str">
        <f t="shared" si="137"/>
        <v/>
      </c>
      <c r="N1433">
        <f>IF($G1433="",0,IF($H1433="مرجوعی فروش",-1,1)*IF(Sync!$AC1429="",0,Sync!$AC1429))</f>
        <v>0</v>
      </c>
      <c r="O1433" t="str">
        <f>IF(OR($G1433="",Sync!$V1429=""),"",Sync!$V1429)</f>
        <v/>
      </c>
      <c r="P1433" t="str">
        <f>IF(OR($G1433="",Sync!$AD1429=""),"",Sync!$AD1429)</f>
        <v/>
      </c>
      <c r="Q1433" t="str">
        <f>IF($G1433="","",IF(Sync!$U1429="","0000",IF(AND(ISNUMBER(Sync!$U1429),Sync!$U1429&gt;=0,Sync!$U1429&lt;1),RIGHT("00"&amp;HOUR(Sync!$U1429),2)&amp;RIGHT("00"&amp;MINUTE(Sync!$U1429),2),IFERROR(RIGHT("00"&amp;VALUE(LEFT(Sync!$U1429,FIND(":",Sync!$U1429)-1)),2)&amp;RIGHT("00"&amp;VALUE(MID(Sync!$U1429,FIND(":",Sync!$U1429)+1,2)),2),"0000"))))</f>
        <v/>
      </c>
    </row>
    <row r="1434" spans="1:17" x14ac:dyDescent="0.2">
      <c r="A1434" t="str">
        <f>IF(Sync!$T1430="","",Sync!$T1430)</f>
        <v/>
      </c>
      <c r="B1434" t="str">
        <f t="shared" si="132"/>
        <v/>
      </c>
      <c r="C1434" t="str">
        <f t="shared" si="133"/>
        <v/>
      </c>
      <c r="D1434" t="str">
        <f t="shared" si="134"/>
        <v/>
      </c>
      <c r="E1434" t="str">
        <f t="shared" si="135"/>
        <v/>
      </c>
      <c r="F1434" t="str">
        <f t="shared" si="136"/>
        <v/>
      </c>
      <c r="G1434" t="str">
        <f>IF(OR($E1434="",$E1434="نامعتبر",Sync!$X1430=""),"",IF(AND(LEFT(UPPER(TRIM(Sync!$X1430)),2)="SL",IFERROR(VLOOKUP(Sync!$W1430,OpTbl,3,0),"")="فروش"),UPPER(TRIM(Sync!$X1430)),""))</f>
        <v/>
      </c>
      <c r="H1434" t="str">
        <f>IF($G1434="","",IF(Sync!$W1430="","",Sync!$W1430))</f>
        <v/>
      </c>
      <c r="I1434" t="str">
        <f>IF(OR($G1434="",Sync!$Y1430=""),"",Sync!$Y1430)</f>
        <v/>
      </c>
      <c r="J1434" t="str">
        <f>IF(OR($G1434="",Sync!$Z1430=""),"",Sync!$Z1430)</f>
        <v/>
      </c>
      <c r="K1434">
        <f>IF($G1434="",0,IF(Sync!$AA1430="",0,Sync!$AA1430))</f>
        <v>0</v>
      </c>
      <c r="L1434">
        <f>IF($G1434="",0,IF(Sync!$AB1430="",0,Sync!$AB1430))</f>
        <v>0</v>
      </c>
      <c r="M1434" t="str">
        <f t="shared" si="137"/>
        <v/>
      </c>
      <c r="N1434">
        <f>IF($G1434="",0,IF($H1434="مرجوعی فروش",-1,1)*IF(Sync!$AC1430="",0,Sync!$AC1430))</f>
        <v>0</v>
      </c>
      <c r="O1434" t="str">
        <f>IF(OR($G1434="",Sync!$V1430=""),"",Sync!$V1430)</f>
        <v/>
      </c>
      <c r="P1434" t="str">
        <f>IF(OR($G1434="",Sync!$AD1430=""),"",Sync!$AD1430)</f>
        <v/>
      </c>
      <c r="Q1434" t="str">
        <f>IF($G1434="","",IF(Sync!$U1430="","0000",IF(AND(ISNUMBER(Sync!$U1430),Sync!$U1430&gt;=0,Sync!$U1430&lt;1),RIGHT("00"&amp;HOUR(Sync!$U1430),2)&amp;RIGHT("00"&amp;MINUTE(Sync!$U1430),2),IFERROR(RIGHT("00"&amp;VALUE(LEFT(Sync!$U1430,FIND(":",Sync!$U1430)-1)),2)&amp;RIGHT("00"&amp;VALUE(MID(Sync!$U1430,FIND(":",Sync!$U1430)+1,2)),2),"0000"))))</f>
        <v/>
      </c>
    </row>
    <row r="1435" spans="1:17" x14ac:dyDescent="0.2">
      <c r="A1435" t="str">
        <f>IF(Sync!$T1431="","",Sync!$T1431)</f>
        <v/>
      </c>
      <c r="B1435" t="str">
        <f t="shared" si="132"/>
        <v/>
      </c>
      <c r="C1435" t="str">
        <f t="shared" si="133"/>
        <v/>
      </c>
      <c r="D1435" t="str">
        <f t="shared" si="134"/>
        <v/>
      </c>
      <c r="E1435" t="str">
        <f t="shared" si="135"/>
        <v/>
      </c>
      <c r="F1435" t="str">
        <f t="shared" si="136"/>
        <v/>
      </c>
      <c r="G1435" t="str">
        <f>IF(OR($E1435="",$E1435="نامعتبر",Sync!$X1431=""),"",IF(AND(LEFT(UPPER(TRIM(Sync!$X1431)),2)="SL",IFERROR(VLOOKUP(Sync!$W1431,OpTbl,3,0),"")="فروش"),UPPER(TRIM(Sync!$X1431)),""))</f>
        <v/>
      </c>
      <c r="H1435" t="str">
        <f>IF($G1435="","",IF(Sync!$W1431="","",Sync!$W1431))</f>
        <v/>
      </c>
      <c r="I1435" t="str">
        <f>IF(OR($G1435="",Sync!$Y1431=""),"",Sync!$Y1431)</f>
        <v/>
      </c>
      <c r="J1435" t="str">
        <f>IF(OR($G1435="",Sync!$Z1431=""),"",Sync!$Z1431)</f>
        <v/>
      </c>
      <c r="K1435">
        <f>IF($G1435="",0,IF(Sync!$AA1431="",0,Sync!$AA1431))</f>
        <v>0</v>
      </c>
      <c r="L1435">
        <f>IF($G1435="",0,IF(Sync!$AB1431="",0,Sync!$AB1431))</f>
        <v>0</v>
      </c>
      <c r="M1435" t="str">
        <f t="shared" si="137"/>
        <v/>
      </c>
      <c r="N1435">
        <f>IF($G1435="",0,IF($H1435="مرجوعی فروش",-1,1)*IF(Sync!$AC1431="",0,Sync!$AC1431))</f>
        <v>0</v>
      </c>
      <c r="O1435" t="str">
        <f>IF(OR($G1435="",Sync!$V1431=""),"",Sync!$V1431)</f>
        <v/>
      </c>
      <c r="P1435" t="str">
        <f>IF(OR($G1435="",Sync!$AD1431=""),"",Sync!$AD1431)</f>
        <v/>
      </c>
      <c r="Q1435" t="str">
        <f>IF($G1435="","",IF(Sync!$U1431="","0000",IF(AND(ISNUMBER(Sync!$U1431),Sync!$U1431&gt;=0,Sync!$U1431&lt;1),RIGHT("00"&amp;HOUR(Sync!$U1431),2)&amp;RIGHT("00"&amp;MINUTE(Sync!$U1431),2),IFERROR(RIGHT("00"&amp;VALUE(LEFT(Sync!$U1431,FIND(":",Sync!$U1431)-1)),2)&amp;RIGHT("00"&amp;VALUE(MID(Sync!$U1431,FIND(":",Sync!$U1431)+1,2)),2),"0000"))))</f>
        <v/>
      </c>
    </row>
    <row r="1436" spans="1:17" x14ac:dyDescent="0.2">
      <c r="A1436" t="str">
        <f>IF(Sync!$T1432="","",Sync!$T1432)</f>
        <v/>
      </c>
      <c r="B1436" t="str">
        <f t="shared" si="132"/>
        <v/>
      </c>
      <c r="C1436" t="str">
        <f t="shared" si="133"/>
        <v/>
      </c>
      <c r="D1436" t="str">
        <f t="shared" si="134"/>
        <v/>
      </c>
      <c r="E1436" t="str">
        <f t="shared" si="135"/>
        <v/>
      </c>
      <c r="F1436" t="str">
        <f t="shared" si="136"/>
        <v/>
      </c>
      <c r="G1436" t="str">
        <f>IF(OR($E1436="",$E1436="نامعتبر",Sync!$X1432=""),"",IF(AND(LEFT(UPPER(TRIM(Sync!$X1432)),2)="SL",IFERROR(VLOOKUP(Sync!$W1432,OpTbl,3,0),"")="فروش"),UPPER(TRIM(Sync!$X1432)),""))</f>
        <v/>
      </c>
      <c r="H1436" t="str">
        <f>IF($G1436="","",IF(Sync!$W1432="","",Sync!$W1432))</f>
        <v/>
      </c>
      <c r="I1436" t="str">
        <f>IF(OR($G1436="",Sync!$Y1432=""),"",Sync!$Y1432)</f>
        <v/>
      </c>
      <c r="J1436" t="str">
        <f>IF(OR($G1436="",Sync!$Z1432=""),"",Sync!$Z1432)</f>
        <v/>
      </c>
      <c r="K1436">
        <f>IF($G1436="",0,IF(Sync!$AA1432="",0,Sync!$AA1432))</f>
        <v>0</v>
      </c>
      <c r="L1436">
        <f>IF($G1436="",0,IF(Sync!$AB1432="",0,Sync!$AB1432))</f>
        <v>0</v>
      </c>
      <c r="M1436" t="str">
        <f t="shared" si="137"/>
        <v/>
      </c>
      <c r="N1436">
        <f>IF($G1436="",0,IF($H1436="مرجوعی فروش",-1,1)*IF(Sync!$AC1432="",0,Sync!$AC1432))</f>
        <v>0</v>
      </c>
      <c r="O1436" t="str">
        <f>IF(OR($G1436="",Sync!$V1432=""),"",Sync!$V1432)</f>
        <v/>
      </c>
      <c r="P1436" t="str">
        <f>IF(OR($G1436="",Sync!$AD1432=""),"",Sync!$AD1432)</f>
        <v/>
      </c>
      <c r="Q1436" t="str">
        <f>IF($G1436="","",IF(Sync!$U1432="","0000",IF(AND(ISNUMBER(Sync!$U1432),Sync!$U1432&gt;=0,Sync!$U1432&lt;1),RIGHT("00"&amp;HOUR(Sync!$U1432),2)&amp;RIGHT("00"&amp;MINUTE(Sync!$U1432),2),IFERROR(RIGHT("00"&amp;VALUE(LEFT(Sync!$U1432,FIND(":",Sync!$U1432)-1)),2)&amp;RIGHT("00"&amp;VALUE(MID(Sync!$U1432,FIND(":",Sync!$U1432)+1,2)),2),"0000"))))</f>
        <v/>
      </c>
    </row>
    <row r="1437" spans="1:17" x14ac:dyDescent="0.2">
      <c r="A1437" t="str">
        <f>IF(Sync!$T1433="","",Sync!$T1433)</f>
        <v/>
      </c>
      <c r="B1437" t="str">
        <f t="shared" si="132"/>
        <v/>
      </c>
      <c r="C1437" t="str">
        <f t="shared" si="133"/>
        <v/>
      </c>
      <c r="D1437" t="str">
        <f t="shared" si="134"/>
        <v/>
      </c>
      <c r="E1437" t="str">
        <f t="shared" si="135"/>
        <v/>
      </c>
      <c r="F1437" t="str">
        <f t="shared" si="136"/>
        <v/>
      </c>
      <c r="G1437" t="str">
        <f>IF(OR($E1437="",$E1437="نامعتبر",Sync!$X1433=""),"",IF(AND(LEFT(UPPER(TRIM(Sync!$X1433)),2)="SL",IFERROR(VLOOKUP(Sync!$W1433,OpTbl,3,0),"")="فروش"),UPPER(TRIM(Sync!$X1433)),""))</f>
        <v/>
      </c>
      <c r="H1437" t="str">
        <f>IF($G1437="","",IF(Sync!$W1433="","",Sync!$W1433))</f>
        <v/>
      </c>
      <c r="I1437" t="str">
        <f>IF(OR($G1437="",Sync!$Y1433=""),"",Sync!$Y1433)</f>
        <v/>
      </c>
      <c r="J1437" t="str">
        <f>IF(OR($G1437="",Sync!$Z1433=""),"",Sync!$Z1433)</f>
        <v/>
      </c>
      <c r="K1437">
        <f>IF($G1437="",0,IF(Sync!$AA1433="",0,Sync!$AA1433))</f>
        <v>0</v>
      </c>
      <c r="L1437">
        <f>IF($G1437="",0,IF(Sync!$AB1433="",0,Sync!$AB1433))</f>
        <v>0</v>
      </c>
      <c r="M1437" t="str">
        <f t="shared" si="137"/>
        <v/>
      </c>
      <c r="N1437">
        <f>IF($G1437="",0,IF($H1437="مرجوعی فروش",-1,1)*IF(Sync!$AC1433="",0,Sync!$AC1433))</f>
        <v>0</v>
      </c>
      <c r="O1437" t="str">
        <f>IF(OR($G1437="",Sync!$V1433=""),"",Sync!$V1433)</f>
        <v/>
      </c>
      <c r="P1437" t="str">
        <f>IF(OR($G1437="",Sync!$AD1433=""),"",Sync!$AD1433)</f>
        <v/>
      </c>
      <c r="Q1437" t="str">
        <f>IF($G1437="","",IF(Sync!$U1433="","0000",IF(AND(ISNUMBER(Sync!$U1433),Sync!$U1433&gt;=0,Sync!$U1433&lt;1),RIGHT("00"&amp;HOUR(Sync!$U1433),2)&amp;RIGHT("00"&amp;MINUTE(Sync!$U1433),2),IFERROR(RIGHT("00"&amp;VALUE(LEFT(Sync!$U1433,FIND(":",Sync!$U1433)-1)),2)&amp;RIGHT("00"&amp;VALUE(MID(Sync!$U1433,FIND(":",Sync!$U1433)+1,2)),2),"0000"))))</f>
        <v/>
      </c>
    </row>
    <row r="1438" spans="1:17" x14ac:dyDescent="0.2">
      <c r="A1438" t="str">
        <f>IF(Sync!$T1434="","",Sync!$T1434)</f>
        <v/>
      </c>
      <c r="B1438" t="str">
        <f t="shared" si="132"/>
        <v/>
      </c>
      <c r="C1438" t="str">
        <f t="shared" si="133"/>
        <v/>
      </c>
      <c r="D1438" t="str">
        <f t="shared" si="134"/>
        <v/>
      </c>
      <c r="E1438" t="str">
        <f t="shared" si="135"/>
        <v/>
      </c>
      <c r="F1438" t="str">
        <f t="shared" si="136"/>
        <v/>
      </c>
      <c r="G1438" t="str">
        <f>IF(OR($E1438="",$E1438="نامعتبر",Sync!$X1434=""),"",IF(AND(LEFT(UPPER(TRIM(Sync!$X1434)),2)="SL",IFERROR(VLOOKUP(Sync!$W1434,OpTbl,3,0),"")="فروش"),UPPER(TRIM(Sync!$X1434)),""))</f>
        <v/>
      </c>
      <c r="H1438" t="str">
        <f>IF($G1438="","",IF(Sync!$W1434="","",Sync!$W1434))</f>
        <v/>
      </c>
      <c r="I1438" t="str">
        <f>IF(OR($G1438="",Sync!$Y1434=""),"",Sync!$Y1434)</f>
        <v/>
      </c>
      <c r="J1438" t="str">
        <f>IF(OR($G1438="",Sync!$Z1434=""),"",Sync!$Z1434)</f>
        <v/>
      </c>
      <c r="K1438">
        <f>IF($G1438="",0,IF(Sync!$AA1434="",0,Sync!$AA1434))</f>
        <v>0</v>
      </c>
      <c r="L1438">
        <f>IF($G1438="",0,IF(Sync!$AB1434="",0,Sync!$AB1434))</f>
        <v>0</v>
      </c>
      <c r="M1438" t="str">
        <f t="shared" si="137"/>
        <v/>
      </c>
      <c r="N1438">
        <f>IF($G1438="",0,IF($H1438="مرجوعی فروش",-1,1)*IF(Sync!$AC1434="",0,Sync!$AC1434))</f>
        <v>0</v>
      </c>
      <c r="O1438" t="str">
        <f>IF(OR($G1438="",Sync!$V1434=""),"",Sync!$V1434)</f>
        <v/>
      </c>
      <c r="P1438" t="str">
        <f>IF(OR($G1438="",Sync!$AD1434=""),"",Sync!$AD1434)</f>
        <v/>
      </c>
      <c r="Q1438" t="str">
        <f>IF($G1438="","",IF(Sync!$U1434="","0000",IF(AND(ISNUMBER(Sync!$U1434),Sync!$U1434&gt;=0,Sync!$U1434&lt;1),RIGHT("00"&amp;HOUR(Sync!$U1434),2)&amp;RIGHT("00"&amp;MINUTE(Sync!$U1434),2),IFERROR(RIGHT("00"&amp;VALUE(LEFT(Sync!$U1434,FIND(":",Sync!$U1434)-1)),2)&amp;RIGHT("00"&amp;VALUE(MID(Sync!$U1434,FIND(":",Sync!$U1434)+1,2)),2),"0000"))))</f>
        <v/>
      </c>
    </row>
    <row r="1439" spans="1:17" x14ac:dyDescent="0.2">
      <c r="A1439" t="str">
        <f>IF(Sync!$T1435="","",Sync!$T1435)</f>
        <v/>
      </c>
      <c r="B1439" t="str">
        <f t="shared" si="132"/>
        <v/>
      </c>
      <c r="C1439" t="str">
        <f t="shared" si="133"/>
        <v/>
      </c>
      <c r="D1439" t="str">
        <f t="shared" si="134"/>
        <v/>
      </c>
      <c r="E1439" t="str">
        <f t="shared" si="135"/>
        <v/>
      </c>
      <c r="F1439" t="str">
        <f t="shared" si="136"/>
        <v/>
      </c>
      <c r="G1439" t="str">
        <f>IF(OR($E1439="",$E1439="نامعتبر",Sync!$X1435=""),"",IF(AND(LEFT(UPPER(TRIM(Sync!$X1435)),2)="SL",IFERROR(VLOOKUP(Sync!$W1435,OpTbl,3,0),"")="فروش"),UPPER(TRIM(Sync!$X1435)),""))</f>
        <v/>
      </c>
      <c r="H1439" t="str">
        <f>IF($G1439="","",IF(Sync!$W1435="","",Sync!$W1435))</f>
        <v/>
      </c>
      <c r="I1439" t="str">
        <f>IF(OR($G1439="",Sync!$Y1435=""),"",Sync!$Y1435)</f>
        <v/>
      </c>
      <c r="J1439" t="str">
        <f>IF(OR($G1439="",Sync!$Z1435=""),"",Sync!$Z1435)</f>
        <v/>
      </c>
      <c r="K1439">
        <f>IF($G1439="",0,IF(Sync!$AA1435="",0,Sync!$AA1435))</f>
        <v>0</v>
      </c>
      <c r="L1439">
        <f>IF($G1439="",0,IF(Sync!$AB1435="",0,Sync!$AB1435))</f>
        <v>0</v>
      </c>
      <c r="M1439" t="str">
        <f t="shared" si="137"/>
        <v/>
      </c>
      <c r="N1439">
        <f>IF($G1439="",0,IF($H1439="مرجوعی فروش",-1,1)*IF(Sync!$AC1435="",0,Sync!$AC1435))</f>
        <v>0</v>
      </c>
      <c r="O1439" t="str">
        <f>IF(OR($G1439="",Sync!$V1435=""),"",Sync!$V1435)</f>
        <v/>
      </c>
      <c r="P1439" t="str">
        <f>IF(OR($G1439="",Sync!$AD1435=""),"",Sync!$AD1435)</f>
        <v/>
      </c>
      <c r="Q1439" t="str">
        <f>IF($G1439="","",IF(Sync!$U1435="","0000",IF(AND(ISNUMBER(Sync!$U1435),Sync!$U1435&gt;=0,Sync!$U1435&lt;1),RIGHT("00"&amp;HOUR(Sync!$U1435),2)&amp;RIGHT("00"&amp;MINUTE(Sync!$U1435),2),IFERROR(RIGHT("00"&amp;VALUE(LEFT(Sync!$U1435,FIND(":",Sync!$U1435)-1)),2)&amp;RIGHT("00"&amp;VALUE(MID(Sync!$U1435,FIND(":",Sync!$U1435)+1,2)),2),"0000"))))</f>
        <v/>
      </c>
    </row>
    <row r="1440" spans="1:17" x14ac:dyDescent="0.2">
      <c r="A1440" t="str">
        <f>IF(Sync!$T1436="","",Sync!$T1436)</f>
        <v/>
      </c>
      <c r="B1440" t="str">
        <f t="shared" si="132"/>
        <v/>
      </c>
      <c r="C1440" t="str">
        <f t="shared" si="133"/>
        <v/>
      </c>
      <c r="D1440" t="str">
        <f t="shared" si="134"/>
        <v/>
      </c>
      <c r="E1440" t="str">
        <f t="shared" si="135"/>
        <v/>
      </c>
      <c r="F1440" t="str">
        <f t="shared" si="136"/>
        <v/>
      </c>
      <c r="G1440" t="str">
        <f>IF(OR($E1440="",$E1440="نامعتبر",Sync!$X1436=""),"",IF(AND(LEFT(UPPER(TRIM(Sync!$X1436)),2)="SL",IFERROR(VLOOKUP(Sync!$W1436,OpTbl,3,0),"")="فروش"),UPPER(TRIM(Sync!$X1436)),""))</f>
        <v/>
      </c>
      <c r="H1440" t="str">
        <f>IF($G1440="","",IF(Sync!$W1436="","",Sync!$W1436))</f>
        <v/>
      </c>
      <c r="I1440" t="str">
        <f>IF(OR($G1440="",Sync!$Y1436=""),"",Sync!$Y1436)</f>
        <v/>
      </c>
      <c r="J1440" t="str">
        <f>IF(OR($G1440="",Sync!$Z1436=""),"",Sync!$Z1436)</f>
        <v/>
      </c>
      <c r="K1440">
        <f>IF($G1440="",0,IF(Sync!$AA1436="",0,Sync!$AA1436))</f>
        <v>0</v>
      </c>
      <c r="L1440">
        <f>IF($G1440="",0,IF(Sync!$AB1436="",0,Sync!$AB1436))</f>
        <v>0</v>
      </c>
      <c r="M1440" t="str">
        <f t="shared" si="137"/>
        <v/>
      </c>
      <c r="N1440">
        <f>IF($G1440="",0,IF($H1440="مرجوعی فروش",-1,1)*IF(Sync!$AC1436="",0,Sync!$AC1436))</f>
        <v>0</v>
      </c>
      <c r="O1440" t="str">
        <f>IF(OR($G1440="",Sync!$V1436=""),"",Sync!$V1436)</f>
        <v/>
      </c>
      <c r="P1440" t="str">
        <f>IF(OR($G1440="",Sync!$AD1436=""),"",Sync!$AD1436)</f>
        <v/>
      </c>
      <c r="Q1440" t="str">
        <f>IF($G1440="","",IF(Sync!$U1436="","0000",IF(AND(ISNUMBER(Sync!$U1436),Sync!$U1436&gt;=0,Sync!$U1436&lt;1),RIGHT("00"&amp;HOUR(Sync!$U1436),2)&amp;RIGHT("00"&amp;MINUTE(Sync!$U1436),2),IFERROR(RIGHT("00"&amp;VALUE(LEFT(Sync!$U1436,FIND(":",Sync!$U1436)-1)),2)&amp;RIGHT("00"&amp;VALUE(MID(Sync!$U1436,FIND(":",Sync!$U1436)+1,2)),2),"0000"))))</f>
        <v/>
      </c>
    </row>
    <row r="1441" spans="1:17" x14ac:dyDescent="0.2">
      <c r="A1441" t="str">
        <f>IF(Sync!$T1437="","",Sync!$T1437)</f>
        <v/>
      </c>
      <c r="B1441" t="str">
        <f t="shared" si="132"/>
        <v/>
      </c>
      <c r="C1441" t="str">
        <f t="shared" si="133"/>
        <v/>
      </c>
      <c r="D1441" t="str">
        <f t="shared" si="134"/>
        <v/>
      </c>
      <c r="E1441" t="str">
        <f t="shared" si="135"/>
        <v/>
      </c>
      <c r="F1441" t="str">
        <f t="shared" si="136"/>
        <v/>
      </c>
      <c r="G1441" t="str">
        <f>IF(OR($E1441="",$E1441="نامعتبر",Sync!$X1437=""),"",IF(AND(LEFT(UPPER(TRIM(Sync!$X1437)),2)="SL",IFERROR(VLOOKUP(Sync!$W1437,OpTbl,3,0),"")="فروش"),UPPER(TRIM(Sync!$X1437)),""))</f>
        <v/>
      </c>
      <c r="H1441" t="str">
        <f>IF($G1441="","",IF(Sync!$W1437="","",Sync!$W1437))</f>
        <v/>
      </c>
      <c r="I1441" t="str">
        <f>IF(OR($G1441="",Sync!$Y1437=""),"",Sync!$Y1437)</f>
        <v/>
      </c>
      <c r="J1441" t="str">
        <f>IF(OR($G1441="",Sync!$Z1437=""),"",Sync!$Z1437)</f>
        <v/>
      </c>
      <c r="K1441">
        <f>IF($G1441="",0,IF(Sync!$AA1437="",0,Sync!$AA1437))</f>
        <v>0</v>
      </c>
      <c r="L1441">
        <f>IF($G1441="",0,IF(Sync!$AB1437="",0,Sync!$AB1437))</f>
        <v>0</v>
      </c>
      <c r="M1441" t="str">
        <f t="shared" si="137"/>
        <v/>
      </c>
      <c r="N1441">
        <f>IF($G1441="",0,IF($H1441="مرجوعی فروش",-1,1)*IF(Sync!$AC1437="",0,Sync!$AC1437))</f>
        <v>0</v>
      </c>
      <c r="O1441" t="str">
        <f>IF(OR($G1441="",Sync!$V1437=""),"",Sync!$V1437)</f>
        <v/>
      </c>
      <c r="P1441" t="str">
        <f>IF(OR($G1441="",Sync!$AD1437=""),"",Sync!$AD1437)</f>
        <v/>
      </c>
      <c r="Q1441" t="str">
        <f>IF($G1441="","",IF(Sync!$U1437="","0000",IF(AND(ISNUMBER(Sync!$U1437),Sync!$U1437&gt;=0,Sync!$U1437&lt;1),RIGHT("00"&amp;HOUR(Sync!$U1437),2)&amp;RIGHT("00"&amp;MINUTE(Sync!$U1437),2),IFERROR(RIGHT("00"&amp;VALUE(LEFT(Sync!$U1437,FIND(":",Sync!$U1437)-1)),2)&amp;RIGHT("00"&amp;VALUE(MID(Sync!$U1437,FIND(":",Sync!$U1437)+1,2)),2),"0000"))))</f>
        <v/>
      </c>
    </row>
    <row r="1442" spans="1:17" x14ac:dyDescent="0.2">
      <c r="A1442" t="str">
        <f>IF(Sync!$T1438="","",Sync!$T1438)</f>
        <v/>
      </c>
      <c r="B1442" t="str">
        <f t="shared" si="132"/>
        <v/>
      </c>
      <c r="C1442" t="str">
        <f t="shared" si="133"/>
        <v/>
      </c>
      <c r="D1442" t="str">
        <f t="shared" si="134"/>
        <v/>
      </c>
      <c r="E1442" t="str">
        <f t="shared" si="135"/>
        <v/>
      </c>
      <c r="F1442" t="str">
        <f t="shared" si="136"/>
        <v/>
      </c>
      <c r="G1442" t="str">
        <f>IF(OR($E1442="",$E1442="نامعتبر",Sync!$X1438=""),"",IF(AND(LEFT(UPPER(TRIM(Sync!$X1438)),2)="SL",IFERROR(VLOOKUP(Sync!$W1438,OpTbl,3,0),"")="فروش"),UPPER(TRIM(Sync!$X1438)),""))</f>
        <v/>
      </c>
      <c r="H1442" t="str">
        <f>IF($G1442="","",IF(Sync!$W1438="","",Sync!$W1438))</f>
        <v/>
      </c>
      <c r="I1442" t="str">
        <f>IF(OR($G1442="",Sync!$Y1438=""),"",Sync!$Y1438)</f>
        <v/>
      </c>
      <c r="J1442" t="str">
        <f>IF(OR($G1442="",Sync!$Z1438=""),"",Sync!$Z1438)</f>
        <v/>
      </c>
      <c r="K1442">
        <f>IF($G1442="",0,IF(Sync!$AA1438="",0,Sync!$AA1438))</f>
        <v>0</v>
      </c>
      <c r="L1442">
        <f>IF($G1442="",0,IF(Sync!$AB1438="",0,Sync!$AB1438))</f>
        <v>0</v>
      </c>
      <c r="M1442" t="str">
        <f t="shared" si="137"/>
        <v/>
      </c>
      <c r="N1442">
        <f>IF($G1442="",0,IF($H1442="مرجوعی فروش",-1,1)*IF(Sync!$AC1438="",0,Sync!$AC1438))</f>
        <v>0</v>
      </c>
      <c r="O1442" t="str">
        <f>IF(OR($G1442="",Sync!$V1438=""),"",Sync!$V1438)</f>
        <v/>
      </c>
      <c r="P1442" t="str">
        <f>IF(OR($G1442="",Sync!$AD1438=""),"",Sync!$AD1438)</f>
        <v/>
      </c>
      <c r="Q1442" t="str">
        <f>IF($G1442="","",IF(Sync!$U1438="","0000",IF(AND(ISNUMBER(Sync!$U1438),Sync!$U1438&gt;=0,Sync!$U1438&lt;1),RIGHT("00"&amp;HOUR(Sync!$U1438),2)&amp;RIGHT("00"&amp;MINUTE(Sync!$U1438),2),IFERROR(RIGHT("00"&amp;VALUE(LEFT(Sync!$U1438,FIND(":",Sync!$U1438)-1)),2)&amp;RIGHT("00"&amp;VALUE(MID(Sync!$U1438,FIND(":",Sync!$U1438)+1,2)),2),"0000"))))</f>
        <v/>
      </c>
    </row>
    <row r="1443" spans="1:17" x14ac:dyDescent="0.2">
      <c r="A1443" t="str">
        <f>IF(Sync!$T1439="","",Sync!$T1439)</f>
        <v/>
      </c>
      <c r="B1443" t="str">
        <f t="shared" si="132"/>
        <v/>
      </c>
      <c r="C1443" t="str">
        <f t="shared" si="133"/>
        <v/>
      </c>
      <c r="D1443" t="str">
        <f t="shared" si="134"/>
        <v/>
      </c>
      <c r="E1443" t="str">
        <f t="shared" si="135"/>
        <v/>
      </c>
      <c r="F1443" t="str">
        <f t="shared" si="136"/>
        <v/>
      </c>
      <c r="G1443" t="str">
        <f>IF(OR($E1443="",$E1443="نامعتبر",Sync!$X1439=""),"",IF(AND(LEFT(UPPER(TRIM(Sync!$X1439)),2)="SL",IFERROR(VLOOKUP(Sync!$W1439,OpTbl,3,0),"")="فروش"),UPPER(TRIM(Sync!$X1439)),""))</f>
        <v/>
      </c>
      <c r="H1443" t="str">
        <f>IF($G1443="","",IF(Sync!$W1439="","",Sync!$W1439))</f>
        <v/>
      </c>
      <c r="I1443" t="str">
        <f>IF(OR($G1443="",Sync!$Y1439=""),"",Sync!$Y1439)</f>
        <v/>
      </c>
      <c r="J1443" t="str">
        <f>IF(OR($G1443="",Sync!$Z1439=""),"",Sync!$Z1439)</f>
        <v/>
      </c>
      <c r="K1443">
        <f>IF($G1443="",0,IF(Sync!$AA1439="",0,Sync!$AA1439))</f>
        <v>0</v>
      </c>
      <c r="L1443">
        <f>IF($G1443="",0,IF(Sync!$AB1439="",0,Sync!$AB1439))</f>
        <v>0</v>
      </c>
      <c r="M1443" t="str">
        <f t="shared" si="137"/>
        <v/>
      </c>
      <c r="N1443">
        <f>IF($G1443="",0,IF($H1443="مرجوعی فروش",-1,1)*IF(Sync!$AC1439="",0,Sync!$AC1439))</f>
        <v>0</v>
      </c>
      <c r="O1443" t="str">
        <f>IF(OR($G1443="",Sync!$V1439=""),"",Sync!$V1439)</f>
        <v/>
      </c>
      <c r="P1443" t="str">
        <f>IF(OR($G1443="",Sync!$AD1439=""),"",Sync!$AD1439)</f>
        <v/>
      </c>
      <c r="Q1443" t="str">
        <f>IF($G1443="","",IF(Sync!$U1439="","0000",IF(AND(ISNUMBER(Sync!$U1439),Sync!$U1439&gt;=0,Sync!$U1439&lt;1),RIGHT("00"&amp;HOUR(Sync!$U1439),2)&amp;RIGHT("00"&amp;MINUTE(Sync!$U1439),2),IFERROR(RIGHT("00"&amp;VALUE(LEFT(Sync!$U1439,FIND(":",Sync!$U1439)-1)),2)&amp;RIGHT("00"&amp;VALUE(MID(Sync!$U1439,FIND(":",Sync!$U1439)+1,2)),2),"0000"))))</f>
        <v/>
      </c>
    </row>
    <row r="1444" spans="1:17" x14ac:dyDescent="0.2">
      <c r="A1444" t="str">
        <f>IF(Sync!$T1440="","",Sync!$T1440)</f>
        <v/>
      </c>
      <c r="B1444" t="str">
        <f t="shared" si="132"/>
        <v/>
      </c>
      <c r="C1444" t="str">
        <f t="shared" si="133"/>
        <v/>
      </c>
      <c r="D1444" t="str">
        <f t="shared" si="134"/>
        <v/>
      </c>
      <c r="E1444" t="str">
        <f t="shared" si="135"/>
        <v/>
      </c>
      <c r="F1444" t="str">
        <f t="shared" si="136"/>
        <v/>
      </c>
      <c r="G1444" t="str">
        <f>IF(OR($E1444="",$E1444="نامعتبر",Sync!$X1440=""),"",IF(AND(LEFT(UPPER(TRIM(Sync!$X1440)),2)="SL",IFERROR(VLOOKUP(Sync!$W1440,OpTbl,3,0),"")="فروش"),UPPER(TRIM(Sync!$X1440)),""))</f>
        <v/>
      </c>
      <c r="H1444" t="str">
        <f>IF($G1444="","",IF(Sync!$W1440="","",Sync!$W1440))</f>
        <v/>
      </c>
      <c r="I1444" t="str">
        <f>IF(OR($G1444="",Sync!$Y1440=""),"",Sync!$Y1440)</f>
        <v/>
      </c>
      <c r="J1444" t="str">
        <f>IF(OR($G1444="",Sync!$Z1440=""),"",Sync!$Z1440)</f>
        <v/>
      </c>
      <c r="K1444">
        <f>IF($G1444="",0,IF(Sync!$AA1440="",0,Sync!$AA1440))</f>
        <v>0</v>
      </c>
      <c r="L1444">
        <f>IF($G1444="",0,IF(Sync!$AB1440="",0,Sync!$AB1440))</f>
        <v>0</v>
      </c>
      <c r="M1444" t="str">
        <f t="shared" si="137"/>
        <v/>
      </c>
      <c r="N1444">
        <f>IF($G1444="",0,IF($H1444="مرجوعی فروش",-1,1)*IF(Sync!$AC1440="",0,Sync!$AC1440))</f>
        <v>0</v>
      </c>
      <c r="O1444" t="str">
        <f>IF(OR($G1444="",Sync!$V1440=""),"",Sync!$V1440)</f>
        <v/>
      </c>
      <c r="P1444" t="str">
        <f>IF(OR($G1444="",Sync!$AD1440=""),"",Sync!$AD1440)</f>
        <v/>
      </c>
      <c r="Q1444" t="str">
        <f>IF($G1444="","",IF(Sync!$U1440="","0000",IF(AND(ISNUMBER(Sync!$U1440),Sync!$U1440&gt;=0,Sync!$U1440&lt;1),RIGHT("00"&amp;HOUR(Sync!$U1440),2)&amp;RIGHT("00"&amp;MINUTE(Sync!$U1440),2),IFERROR(RIGHT("00"&amp;VALUE(LEFT(Sync!$U1440,FIND(":",Sync!$U1440)-1)),2)&amp;RIGHT("00"&amp;VALUE(MID(Sync!$U1440,FIND(":",Sync!$U1440)+1,2)),2),"0000"))))</f>
        <v/>
      </c>
    </row>
    <row r="1445" spans="1:17" x14ac:dyDescent="0.2">
      <c r="A1445" t="str">
        <f>IF(Sync!$T1441="","",Sync!$T1441)</f>
        <v/>
      </c>
      <c r="B1445" t="str">
        <f t="shared" si="132"/>
        <v/>
      </c>
      <c r="C1445" t="str">
        <f t="shared" si="133"/>
        <v/>
      </c>
      <c r="D1445" t="str">
        <f t="shared" si="134"/>
        <v/>
      </c>
      <c r="E1445" t="str">
        <f t="shared" si="135"/>
        <v/>
      </c>
      <c r="F1445" t="str">
        <f t="shared" si="136"/>
        <v/>
      </c>
      <c r="G1445" t="str">
        <f>IF(OR($E1445="",$E1445="نامعتبر",Sync!$X1441=""),"",IF(AND(LEFT(UPPER(TRIM(Sync!$X1441)),2)="SL",IFERROR(VLOOKUP(Sync!$W1441,OpTbl,3,0),"")="فروش"),UPPER(TRIM(Sync!$X1441)),""))</f>
        <v/>
      </c>
      <c r="H1445" t="str">
        <f>IF($G1445="","",IF(Sync!$W1441="","",Sync!$W1441))</f>
        <v/>
      </c>
      <c r="I1445" t="str">
        <f>IF(OR($G1445="",Sync!$Y1441=""),"",Sync!$Y1441)</f>
        <v/>
      </c>
      <c r="J1445" t="str">
        <f>IF(OR($G1445="",Sync!$Z1441=""),"",Sync!$Z1441)</f>
        <v/>
      </c>
      <c r="K1445">
        <f>IF($G1445="",0,IF(Sync!$AA1441="",0,Sync!$AA1441))</f>
        <v>0</v>
      </c>
      <c r="L1445">
        <f>IF($G1445="",0,IF(Sync!$AB1441="",0,Sync!$AB1441))</f>
        <v>0</v>
      </c>
      <c r="M1445" t="str">
        <f t="shared" si="137"/>
        <v/>
      </c>
      <c r="N1445">
        <f>IF($G1445="",0,IF($H1445="مرجوعی فروش",-1,1)*IF(Sync!$AC1441="",0,Sync!$AC1441))</f>
        <v>0</v>
      </c>
      <c r="O1445" t="str">
        <f>IF(OR($G1445="",Sync!$V1441=""),"",Sync!$V1441)</f>
        <v/>
      </c>
      <c r="P1445" t="str">
        <f>IF(OR($G1445="",Sync!$AD1441=""),"",Sync!$AD1441)</f>
        <v/>
      </c>
      <c r="Q1445" t="str">
        <f>IF($G1445="","",IF(Sync!$U1441="","0000",IF(AND(ISNUMBER(Sync!$U1441),Sync!$U1441&gt;=0,Sync!$U1441&lt;1),RIGHT("00"&amp;HOUR(Sync!$U1441),2)&amp;RIGHT("00"&amp;MINUTE(Sync!$U1441),2),IFERROR(RIGHT("00"&amp;VALUE(LEFT(Sync!$U1441,FIND(":",Sync!$U1441)-1)),2)&amp;RIGHT("00"&amp;VALUE(MID(Sync!$U1441,FIND(":",Sync!$U1441)+1,2)),2),"0000"))))</f>
        <v/>
      </c>
    </row>
    <row r="1446" spans="1:17" x14ac:dyDescent="0.2">
      <c r="A1446" t="str">
        <f>IF(Sync!$T1442="","",Sync!$T1442)</f>
        <v/>
      </c>
      <c r="B1446" t="str">
        <f t="shared" si="132"/>
        <v/>
      </c>
      <c r="C1446" t="str">
        <f t="shared" si="133"/>
        <v/>
      </c>
      <c r="D1446" t="str">
        <f t="shared" si="134"/>
        <v/>
      </c>
      <c r="E1446" t="str">
        <f t="shared" si="135"/>
        <v/>
      </c>
      <c r="F1446" t="str">
        <f t="shared" si="136"/>
        <v/>
      </c>
      <c r="G1446" t="str">
        <f>IF(OR($E1446="",$E1446="نامعتبر",Sync!$X1442=""),"",IF(AND(LEFT(UPPER(TRIM(Sync!$X1442)),2)="SL",IFERROR(VLOOKUP(Sync!$W1442,OpTbl,3,0),"")="فروش"),UPPER(TRIM(Sync!$X1442)),""))</f>
        <v/>
      </c>
      <c r="H1446" t="str">
        <f>IF($G1446="","",IF(Sync!$W1442="","",Sync!$W1442))</f>
        <v/>
      </c>
      <c r="I1446" t="str">
        <f>IF(OR($G1446="",Sync!$Y1442=""),"",Sync!$Y1442)</f>
        <v/>
      </c>
      <c r="J1446" t="str">
        <f>IF(OR($G1446="",Sync!$Z1442=""),"",Sync!$Z1442)</f>
        <v/>
      </c>
      <c r="K1446">
        <f>IF($G1446="",0,IF(Sync!$AA1442="",0,Sync!$AA1442))</f>
        <v>0</v>
      </c>
      <c r="L1446">
        <f>IF($G1446="",0,IF(Sync!$AB1442="",0,Sync!$AB1442))</f>
        <v>0</v>
      </c>
      <c r="M1446" t="str">
        <f t="shared" si="137"/>
        <v/>
      </c>
      <c r="N1446">
        <f>IF($G1446="",0,IF($H1446="مرجوعی فروش",-1,1)*IF(Sync!$AC1442="",0,Sync!$AC1442))</f>
        <v>0</v>
      </c>
      <c r="O1446" t="str">
        <f>IF(OR($G1446="",Sync!$V1442=""),"",Sync!$V1442)</f>
        <v/>
      </c>
      <c r="P1446" t="str">
        <f>IF(OR($G1446="",Sync!$AD1442=""),"",Sync!$AD1442)</f>
        <v/>
      </c>
      <c r="Q1446" t="str">
        <f>IF($G1446="","",IF(Sync!$U1442="","0000",IF(AND(ISNUMBER(Sync!$U1442),Sync!$U1442&gt;=0,Sync!$U1442&lt;1),RIGHT("00"&amp;HOUR(Sync!$U1442),2)&amp;RIGHT("00"&amp;MINUTE(Sync!$U1442),2),IFERROR(RIGHT("00"&amp;VALUE(LEFT(Sync!$U1442,FIND(":",Sync!$U1442)-1)),2)&amp;RIGHT("00"&amp;VALUE(MID(Sync!$U1442,FIND(":",Sync!$U1442)+1,2)),2),"0000"))))</f>
        <v/>
      </c>
    </row>
    <row r="1447" spans="1:17" x14ac:dyDescent="0.2">
      <c r="A1447" t="str">
        <f>IF(Sync!$T1443="","",Sync!$T1443)</f>
        <v/>
      </c>
      <c r="B1447" t="str">
        <f t="shared" si="132"/>
        <v/>
      </c>
      <c r="C1447" t="str">
        <f t="shared" si="133"/>
        <v/>
      </c>
      <c r="D1447" t="str">
        <f t="shared" si="134"/>
        <v/>
      </c>
      <c r="E1447" t="str">
        <f t="shared" si="135"/>
        <v/>
      </c>
      <c r="F1447" t="str">
        <f t="shared" si="136"/>
        <v/>
      </c>
      <c r="G1447" t="str">
        <f>IF(OR($E1447="",$E1447="نامعتبر",Sync!$X1443=""),"",IF(AND(LEFT(UPPER(TRIM(Sync!$X1443)),2)="SL",IFERROR(VLOOKUP(Sync!$W1443,OpTbl,3,0),"")="فروش"),UPPER(TRIM(Sync!$X1443)),""))</f>
        <v/>
      </c>
      <c r="H1447" t="str">
        <f>IF($G1447="","",IF(Sync!$W1443="","",Sync!$W1443))</f>
        <v/>
      </c>
      <c r="I1447" t="str">
        <f>IF(OR($G1447="",Sync!$Y1443=""),"",Sync!$Y1443)</f>
        <v/>
      </c>
      <c r="J1447" t="str">
        <f>IF(OR($G1447="",Sync!$Z1443=""),"",Sync!$Z1443)</f>
        <v/>
      </c>
      <c r="K1447">
        <f>IF($G1447="",0,IF(Sync!$AA1443="",0,Sync!$AA1443))</f>
        <v>0</v>
      </c>
      <c r="L1447">
        <f>IF($G1447="",0,IF(Sync!$AB1443="",0,Sync!$AB1443))</f>
        <v>0</v>
      </c>
      <c r="M1447" t="str">
        <f t="shared" si="137"/>
        <v/>
      </c>
      <c r="N1447">
        <f>IF($G1447="",0,IF($H1447="مرجوعی فروش",-1,1)*IF(Sync!$AC1443="",0,Sync!$AC1443))</f>
        <v>0</v>
      </c>
      <c r="O1447" t="str">
        <f>IF(OR($G1447="",Sync!$V1443=""),"",Sync!$V1443)</f>
        <v/>
      </c>
      <c r="P1447" t="str">
        <f>IF(OR($G1447="",Sync!$AD1443=""),"",Sync!$AD1443)</f>
        <v/>
      </c>
      <c r="Q1447" t="str">
        <f>IF($G1447="","",IF(Sync!$U1443="","0000",IF(AND(ISNUMBER(Sync!$U1443),Sync!$U1443&gt;=0,Sync!$U1443&lt;1),RIGHT("00"&amp;HOUR(Sync!$U1443),2)&amp;RIGHT("00"&amp;MINUTE(Sync!$U1443),2),IFERROR(RIGHT("00"&amp;VALUE(LEFT(Sync!$U1443,FIND(":",Sync!$U1443)-1)),2)&amp;RIGHT("00"&amp;VALUE(MID(Sync!$U1443,FIND(":",Sync!$U1443)+1,2)),2),"0000"))))</f>
        <v/>
      </c>
    </row>
    <row r="1448" spans="1:17" x14ac:dyDescent="0.2">
      <c r="A1448" t="str">
        <f>IF(Sync!$T1444="","",Sync!$T1444)</f>
        <v/>
      </c>
      <c r="B1448" t="str">
        <f t="shared" si="132"/>
        <v/>
      </c>
      <c r="C1448" t="str">
        <f t="shared" si="133"/>
        <v/>
      </c>
      <c r="D1448" t="str">
        <f t="shared" si="134"/>
        <v/>
      </c>
      <c r="E1448" t="str">
        <f t="shared" si="135"/>
        <v/>
      </c>
      <c r="F1448" t="str">
        <f t="shared" si="136"/>
        <v/>
      </c>
      <c r="G1448" t="str">
        <f>IF(OR($E1448="",$E1448="نامعتبر",Sync!$X1444=""),"",IF(AND(LEFT(UPPER(TRIM(Sync!$X1444)),2)="SL",IFERROR(VLOOKUP(Sync!$W1444,OpTbl,3,0),"")="فروش"),UPPER(TRIM(Sync!$X1444)),""))</f>
        <v/>
      </c>
      <c r="H1448" t="str">
        <f>IF($G1448="","",IF(Sync!$W1444="","",Sync!$W1444))</f>
        <v/>
      </c>
      <c r="I1448" t="str">
        <f>IF(OR($G1448="",Sync!$Y1444=""),"",Sync!$Y1444)</f>
        <v/>
      </c>
      <c r="J1448" t="str">
        <f>IF(OR($G1448="",Sync!$Z1444=""),"",Sync!$Z1444)</f>
        <v/>
      </c>
      <c r="K1448">
        <f>IF($G1448="",0,IF(Sync!$AA1444="",0,Sync!$AA1444))</f>
        <v>0</v>
      </c>
      <c r="L1448">
        <f>IF($G1448="",0,IF(Sync!$AB1444="",0,Sync!$AB1444))</f>
        <v>0</v>
      </c>
      <c r="M1448" t="str">
        <f t="shared" si="137"/>
        <v/>
      </c>
      <c r="N1448">
        <f>IF($G1448="",0,IF($H1448="مرجوعی فروش",-1,1)*IF(Sync!$AC1444="",0,Sync!$AC1444))</f>
        <v>0</v>
      </c>
      <c r="O1448" t="str">
        <f>IF(OR($G1448="",Sync!$V1444=""),"",Sync!$V1444)</f>
        <v/>
      </c>
      <c r="P1448" t="str">
        <f>IF(OR($G1448="",Sync!$AD1444=""),"",Sync!$AD1444)</f>
        <v/>
      </c>
      <c r="Q1448" t="str">
        <f>IF($G1448="","",IF(Sync!$U1444="","0000",IF(AND(ISNUMBER(Sync!$U1444),Sync!$U1444&gt;=0,Sync!$U1444&lt;1),RIGHT("00"&amp;HOUR(Sync!$U1444),2)&amp;RIGHT("00"&amp;MINUTE(Sync!$U1444),2),IFERROR(RIGHT("00"&amp;VALUE(LEFT(Sync!$U1444,FIND(":",Sync!$U1444)-1)),2)&amp;RIGHT("00"&amp;VALUE(MID(Sync!$U1444,FIND(":",Sync!$U1444)+1,2)),2),"0000"))))</f>
        <v/>
      </c>
    </row>
    <row r="1449" spans="1:17" x14ac:dyDescent="0.2">
      <c r="A1449" t="str">
        <f>IF(Sync!$T1445="","",Sync!$T1445)</f>
        <v/>
      </c>
      <c r="B1449" t="str">
        <f t="shared" si="132"/>
        <v/>
      </c>
      <c r="C1449" t="str">
        <f t="shared" si="133"/>
        <v/>
      </c>
      <c r="D1449" t="str">
        <f t="shared" si="134"/>
        <v/>
      </c>
      <c r="E1449" t="str">
        <f t="shared" si="135"/>
        <v/>
      </c>
      <c r="F1449" t="str">
        <f t="shared" si="136"/>
        <v/>
      </c>
      <c r="G1449" t="str">
        <f>IF(OR($E1449="",$E1449="نامعتبر",Sync!$X1445=""),"",IF(AND(LEFT(UPPER(TRIM(Sync!$X1445)),2)="SL",IFERROR(VLOOKUP(Sync!$W1445,OpTbl,3,0),"")="فروش"),UPPER(TRIM(Sync!$X1445)),""))</f>
        <v/>
      </c>
      <c r="H1449" t="str">
        <f>IF($G1449="","",IF(Sync!$W1445="","",Sync!$W1445))</f>
        <v/>
      </c>
      <c r="I1449" t="str">
        <f>IF(OR($G1449="",Sync!$Y1445=""),"",Sync!$Y1445)</f>
        <v/>
      </c>
      <c r="J1449" t="str">
        <f>IF(OR($G1449="",Sync!$Z1445=""),"",Sync!$Z1445)</f>
        <v/>
      </c>
      <c r="K1449">
        <f>IF($G1449="",0,IF(Sync!$AA1445="",0,Sync!$AA1445))</f>
        <v>0</v>
      </c>
      <c r="L1449">
        <f>IF($G1449="",0,IF(Sync!$AB1445="",0,Sync!$AB1445))</f>
        <v>0</v>
      </c>
      <c r="M1449" t="str">
        <f t="shared" si="137"/>
        <v/>
      </c>
      <c r="N1449">
        <f>IF($G1449="",0,IF($H1449="مرجوعی فروش",-1,1)*IF(Sync!$AC1445="",0,Sync!$AC1445))</f>
        <v>0</v>
      </c>
      <c r="O1449" t="str">
        <f>IF(OR($G1449="",Sync!$V1445=""),"",Sync!$V1445)</f>
        <v/>
      </c>
      <c r="P1449" t="str">
        <f>IF(OR($G1449="",Sync!$AD1445=""),"",Sync!$AD1445)</f>
        <v/>
      </c>
      <c r="Q1449" t="str">
        <f>IF($G1449="","",IF(Sync!$U1445="","0000",IF(AND(ISNUMBER(Sync!$U1445),Sync!$U1445&gt;=0,Sync!$U1445&lt;1),RIGHT("00"&amp;HOUR(Sync!$U1445),2)&amp;RIGHT("00"&amp;MINUTE(Sync!$U1445),2),IFERROR(RIGHT("00"&amp;VALUE(LEFT(Sync!$U1445,FIND(":",Sync!$U1445)-1)),2)&amp;RIGHT("00"&amp;VALUE(MID(Sync!$U1445,FIND(":",Sync!$U1445)+1,2)),2),"0000"))))</f>
        <v/>
      </c>
    </row>
    <row r="1450" spans="1:17" x14ac:dyDescent="0.2">
      <c r="A1450" t="str">
        <f>IF(Sync!$T1446="","",Sync!$T1446)</f>
        <v/>
      </c>
      <c r="B1450" t="str">
        <f t="shared" si="132"/>
        <v/>
      </c>
      <c r="C1450" t="str">
        <f t="shared" si="133"/>
        <v/>
      </c>
      <c r="D1450" t="str">
        <f t="shared" si="134"/>
        <v/>
      </c>
      <c r="E1450" t="str">
        <f t="shared" si="135"/>
        <v/>
      </c>
      <c r="F1450" t="str">
        <f t="shared" si="136"/>
        <v/>
      </c>
      <c r="G1450" t="str">
        <f>IF(OR($E1450="",$E1450="نامعتبر",Sync!$X1446=""),"",IF(AND(LEFT(UPPER(TRIM(Sync!$X1446)),2)="SL",IFERROR(VLOOKUP(Sync!$W1446,OpTbl,3,0),"")="فروش"),UPPER(TRIM(Sync!$X1446)),""))</f>
        <v/>
      </c>
      <c r="H1450" t="str">
        <f>IF($G1450="","",IF(Sync!$W1446="","",Sync!$W1446))</f>
        <v/>
      </c>
      <c r="I1450" t="str">
        <f>IF(OR($G1450="",Sync!$Y1446=""),"",Sync!$Y1446)</f>
        <v/>
      </c>
      <c r="J1450" t="str">
        <f>IF(OR($G1450="",Sync!$Z1446=""),"",Sync!$Z1446)</f>
        <v/>
      </c>
      <c r="K1450">
        <f>IF($G1450="",0,IF(Sync!$AA1446="",0,Sync!$AA1446))</f>
        <v>0</v>
      </c>
      <c r="L1450">
        <f>IF($G1450="",0,IF(Sync!$AB1446="",0,Sync!$AB1446))</f>
        <v>0</v>
      </c>
      <c r="M1450" t="str">
        <f t="shared" si="137"/>
        <v/>
      </c>
      <c r="N1450">
        <f>IF($G1450="",0,IF($H1450="مرجوعی فروش",-1,1)*IF(Sync!$AC1446="",0,Sync!$AC1446))</f>
        <v>0</v>
      </c>
      <c r="O1450" t="str">
        <f>IF(OR($G1450="",Sync!$V1446=""),"",Sync!$V1446)</f>
        <v/>
      </c>
      <c r="P1450" t="str">
        <f>IF(OR($G1450="",Sync!$AD1446=""),"",Sync!$AD1446)</f>
        <v/>
      </c>
      <c r="Q1450" t="str">
        <f>IF($G1450="","",IF(Sync!$U1446="","0000",IF(AND(ISNUMBER(Sync!$U1446),Sync!$U1446&gt;=0,Sync!$U1446&lt;1),RIGHT("00"&amp;HOUR(Sync!$U1446),2)&amp;RIGHT("00"&amp;MINUTE(Sync!$U1446),2),IFERROR(RIGHT("00"&amp;VALUE(LEFT(Sync!$U1446,FIND(":",Sync!$U1446)-1)),2)&amp;RIGHT("00"&amp;VALUE(MID(Sync!$U1446,FIND(":",Sync!$U1446)+1,2)),2),"0000"))))</f>
        <v/>
      </c>
    </row>
    <row r="1451" spans="1:17" x14ac:dyDescent="0.2">
      <c r="A1451" t="str">
        <f>IF(Sync!$T1447="","",Sync!$T1447)</f>
        <v/>
      </c>
      <c r="B1451" t="str">
        <f t="shared" si="132"/>
        <v/>
      </c>
      <c r="C1451" t="str">
        <f t="shared" si="133"/>
        <v/>
      </c>
      <c r="D1451" t="str">
        <f t="shared" si="134"/>
        <v/>
      </c>
      <c r="E1451" t="str">
        <f t="shared" si="135"/>
        <v/>
      </c>
      <c r="F1451" t="str">
        <f t="shared" si="136"/>
        <v/>
      </c>
      <c r="G1451" t="str">
        <f>IF(OR($E1451="",$E1451="نامعتبر",Sync!$X1447=""),"",IF(AND(LEFT(UPPER(TRIM(Sync!$X1447)),2)="SL",IFERROR(VLOOKUP(Sync!$W1447,OpTbl,3,0),"")="فروش"),UPPER(TRIM(Sync!$X1447)),""))</f>
        <v/>
      </c>
      <c r="H1451" t="str">
        <f>IF($G1451="","",IF(Sync!$W1447="","",Sync!$W1447))</f>
        <v/>
      </c>
      <c r="I1451" t="str">
        <f>IF(OR($G1451="",Sync!$Y1447=""),"",Sync!$Y1447)</f>
        <v/>
      </c>
      <c r="J1451" t="str">
        <f>IF(OR($G1451="",Sync!$Z1447=""),"",Sync!$Z1447)</f>
        <v/>
      </c>
      <c r="K1451">
        <f>IF($G1451="",0,IF(Sync!$AA1447="",0,Sync!$AA1447))</f>
        <v>0</v>
      </c>
      <c r="L1451">
        <f>IF($G1451="",0,IF(Sync!$AB1447="",0,Sync!$AB1447))</f>
        <v>0</v>
      </c>
      <c r="M1451" t="str">
        <f t="shared" si="137"/>
        <v/>
      </c>
      <c r="N1451">
        <f>IF($G1451="",0,IF($H1451="مرجوعی فروش",-1,1)*IF(Sync!$AC1447="",0,Sync!$AC1447))</f>
        <v>0</v>
      </c>
      <c r="O1451" t="str">
        <f>IF(OR($G1451="",Sync!$V1447=""),"",Sync!$V1447)</f>
        <v/>
      </c>
      <c r="P1451" t="str">
        <f>IF(OR($G1451="",Sync!$AD1447=""),"",Sync!$AD1447)</f>
        <v/>
      </c>
      <c r="Q1451" t="str">
        <f>IF($G1451="","",IF(Sync!$U1447="","0000",IF(AND(ISNUMBER(Sync!$U1447),Sync!$U1447&gt;=0,Sync!$U1447&lt;1),RIGHT("00"&amp;HOUR(Sync!$U1447),2)&amp;RIGHT("00"&amp;MINUTE(Sync!$U1447),2),IFERROR(RIGHT("00"&amp;VALUE(LEFT(Sync!$U1447,FIND(":",Sync!$U1447)-1)),2)&amp;RIGHT("00"&amp;VALUE(MID(Sync!$U1447,FIND(":",Sync!$U1447)+1,2)),2),"0000"))))</f>
        <v/>
      </c>
    </row>
    <row r="1452" spans="1:17" x14ac:dyDescent="0.2">
      <c r="A1452" t="str">
        <f>IF(Sync!$T1448="","",Sync!$T1448)</f>
        <v/>
      </c>
      <c r="B1452" t="str">
        <f t="shared" si="132"/>
        <v/>
      </c>
      <c r="C1452" t="str">
        <f t="shared" si="133"/>
        <v/>
      </c>
      <c r="D1452" t="str">
        <f t="shared" si="134"/>
        <v/>
      </c>
      <c r="E1452" t="str">
        <f t="shared" si="135"/>
        <v/>
      </c>
      <c r="F1452" t="str">
        <f t="shared" si="136"/>
        <v/>
      </c>
      <c r="G1452" t="str">
        <f>IF(OR($E1452="",$E1452="نامعتبر",Sync!$X1448=""),"",IF(AND(LEFT(UPPER(TRIM(Sync!$X1448)),2)="SL",IFERROR(VLOOKUP(Sync!$W1448,OpTbl,3,0),"")="فروش"),UPPER(TRIM(Sync!$X1448)),""))</f>
        <v/>
      </c>
      <c r="H1452" t="str">
        <f>IF($G1452="","",IF(Sync!$W1448="","",Sync!$W1448))</f>
        <v/>
      </c>
      <c r="I1452" t="str">
        <f>IF(OR($G1452="",Sync!$Y1448=""),"",Sync!$Y1448)</f>
        <v/>
      </c>
      <c r="J1452" t="str">
        <f>IF(OR($G1452="",Sync!$Z1448=""),"",Sync!$Z1448)</f>
        <v/>
      </c>
      <c r="K1452">
        <f>IF($G1452="",0,IF(Sync!$AA1448="",0,Sync!$AA1448))</f>
        <v>0</v>
      </c>
      <c r="L1452">
        <f>IF($G1452="",0,IF(Sync!$AB1448="",0,Sync!$AB1448))</f>
        <v>0</v>
      </c>
      <c r="M1452" t="str">
        <f t="shared" si="137"/>
        <v/>
      </c>
      <c r="N1452">
        <f>IF($G1452="",0,IF($H1452="مرجوعی فروش",-1,1)*IF(Sync!$AC1448="",0,Sync!$AC1448))</f>
        <v>0</v>
      </c>
      <c r="O1452" t="str">
        <f>IF(OR($G1452="",Sync!$V1448=""),"",Sync!$V1448)</f>
        <v/>
      </c>
      <c r="P1452" t="str">
        <f>IF(OR($G1452="",Sync!$AD1448=""),"",Sync!$AD1448)</f>
        <v/>
      </c>
      <c r="Q1452" t="str">
        <f>IF($G1452="","",IF(Sync!$U1448="","0000",IF(AND(ISNUMBER(Sync!$U1448),Sync!$U1448&gt;=0,Sync!$U1448&lt;1),RIGHT("00"&amp;HOUR(Sync!$U1448),2)&amp;RIGHT("00"&amp;MINUTE(Sync!$U1448),2),IFERROR(RIGHT("00"&amp;VALUE(LEFT(Sync!$U1448,FIND(":",Sync!$U1448)-1)),2)&amp;RIGHT("00"&amp;VALUE(MID(Sync!$U1448,FIND(":",Sync!$U1448)+1,2)),2),"0000"))))</f>
        <v/>
      </c>
    </row>
    <row r="1453" spans="1:17" x14ac:dyDescent="0.2">
      <c r="A1453" t="str">
        <f>IF(Sync!$T1449="","",Sync!$T1449)</f>
        <v/>
      </c>
      <c r="B1453" t="str">
        <f t="shared" si="132"/>
        <v/>
      </c>
      <c r="C1453" t="str">
        <f t="shared" si="133"/>
        <v/>
      </c>
      <c r="D1453" t="str">
        <f t="shared" si="134"/>
        <v/>
      </c>
      <c r="E1453" t="str">
        <f t="shared" si="135"/>
        <v/>
      </c>
      <c r="F1453" t="str">
        <f t="shared" si="136"/>
        <v/>
      </c>
      <c r="G1453" t="str">
        <f>IF(OR($E1453="",$E1453="نامعتبر",Sync!$X1449=""),"",IF(AND(LEFT(UPPER(TRIM(Sync!$X1449)),2)="SL",IFERROR(VLOOKUP(Sync!$W1449,OpTbl,3,0),"")="فروش"),UPPER(TRIM(Sync!$X1449)),""))</f>
        <v/>
      </c>
      <c r="H1453" t="str">
        <f>IF($G1453="","",IF(Sync!$W1449="","",Sync!$W1449))</f>
        <v/>
      </c>
      <c r="I1453" t="str">
        <f>IF(OR($G1453="",Sync!$Y1449=""),"",Sync!$Y1449)</f>
        <v/>
      </c>
      <c r="J1453" t="str">
        <f>IF(OR($G1453="",Sync!$Z1449=""),"",Sync!$Z1449)</f>
        <v/>
      </c>
      <c r="K1453">
        <f>IF($G1453="",0,IF(Sync!$AA1449="",0,Sync!$AA1449))</f>
        <v>0</v>
      </c>
      <c r="L1453">
        <f>IF($G1453="",0,IF(Sync!$AB1449="",0,Sync!$AB1449))</f>
        <v>0</v>
      </c>
      <c r="M1453" t="str">
        <f t="shared" si="137"/>
        <v/>
      </c>
      <c r="N1453">
        <f>IF($G1453="",0,IF($H1453="مرجوعی فروش",-1,1)*IF(Sync!$AC1449="",0,Sync!$AC1449))</f>
        <v>0</v>
      </c>
      <c r="O1453" t="str">
        <f>IF(OR($G1453="",Sync!$V1449=""),"",Sync!$V1449)</f>
        <v/>
      </c>
      <c r="P1453" t="str">
        <f>IF(OR($G1453="",Sync!$AD1449=""),"",Sync!$AD1449)</f>
        <v/>
      </c>
      <c r="Q1453" t="str">
        <f>IF($G1453="","",IF(Sync!$U1449="","0000",IF(AND(ISNUMBER(Sync!$U1449),Sync!$U1449&gt;=0,Sync!$U1449&lt;1),RIGHT("00"&amp;HOUR(Sync!$U1449),2)&amp;RIGHT("00"&amp;MINUTE(Sync!$U1449),2),IFERROR(RIGHT("00"&amp;VALUE(LEFT(Sync!$U1449,FIND(":",Sync!$U1449)-1)),2)&amp;RIGHT("00"&amp;VALUE(MID(Sync!$U1449,FIND(":",Sync!$U1449)+1,2)),2),"0000"))))</f>
        <v/>
      </c>
    </row>
    <row r="1454" spans="1:17" x14ac:dyDescent="0.2">
      <c r="A1454" t="str">
        <f>IF(Sync!$T1450="","",Sync!$T1450)</f>
        <v/>
      </c>
      <c r="B1454" t="str">
        <f t="shared" si="132"/>
        <v/>
      </c>
      <c r="C1454" t="str">
        <f t="shared" si="133"/>
        <v/>
      </c>
      <c r="D1454" t="str">
        <f t="shared" si="134"/>
        <v/>
      </c>
      <c r="E1454" t="str">
        <f t="shared" si="135"/>
        <v/>
      </c>
      <c r="F1454" t="str">
        <f t="shared" si="136"/>
        <v/>
      </c>
      <c r="G1454" t="str">
        <f>IF(OR($E1454="",$E1454="نامعتبر",Sync!$X1450=""),"",IF(AND(LEFT(UPPER(TRIM(Sync!$X1450)),2)="SL",IFERROR(VLOOKUP(Sync!$W1450,OpTbl,3,0),"")="فروش"),UPPER(TRIM(Sync!$X1450)),""))</f>
        <v/>
      </c>
      <c r="H1454" t="str">
        <f>IF($G1454="","",IF(Sync!$W1450="","",Sync!$W1450))</f>
        <v/>
      </c>
      <c r="I1454" t="str">
        <f>IF(OR($G1454="",Sync!$Y1450=""),"",Sync!$Y1450)</f>
        <v/>
      </c>
      <c r="J1454" t="str">
        <f>IF(OR($G1454="",Sync!$Z1450=""),"",Sync!$Z1450)</f>
        <v/>
      </c>
      <c r="K1454">
        <f>IF($G1454="",0,IF(Sync!$AA1450="",0,Sync!$AA1450))</f>
        <v>0</v>
      </c>
      <c r="L1454">
        <f>IF($G1454="",0,IF(Sync!$AB1450="",0,Sync!$AB1450))</f>
        <v>0</v>
      </c>
      <c r="M1454" t="str">
        <f t="shared" si="137"/>
        <v/>
      </c>
      <c r="N1454">
        <f>IF($G1454="",0,IF($H1454="مرجوعی فروش",-1,1)*IF(Sync!$AC1450="",0,Sync!$AC1450))</f>
        <v>0</v>
      </c>
      <c r="O1454" t="str">
        <f>IF(OR($G1454="",Sync!$V1450=""),"",Sync!$V1450)</f>
        <v/>
      </c>
      <c r="P1454" t="str">
        <f>IF(OR($G1454="",Sync!$AD1450=""),"",Sync!$AD1450)</f>
        <v/>
      </c>
      <c r="Q1454" t="str">
        <f>IF($G1454="","",IF(Sync!$U1450="","0000",IF(AND(ISNUMBER(Sync!$U1450),Sync!$U1450&gt;=0,Sync!$U1450&lt;1),RIGHT("00"&amp;HOUR(Sync!$U1450),2)&amp;RIGHT("00"&amp;MINUTE(Sync!$U1450),2),IFERROR(RIGHT("00"&amp;VALUE(LEFT(Sync!$U1450,FIND(":",Sync!$U1450)-1)),2)&amp;RIGHT("00"&amp;VALUE(MID(Sync!$U1450,FIND(":",Sync!$U1450)+1,2)),2),"0000"))))</f>
        <v/>
      </c>
    </row>
    <row r="1455" spans="1:17" x14ac:dyDescent="0.2">
      <c r="A1455" t="str">
        <f>IF(Sync!$T1451="","",Sync!$T1451)</f>
        <v/>
      </c>
      <c r="B1455" t="str">
        <f t="shared" si="132"/>
        <v/>
      </c>
      <c r="C1455" t="str">
        <f t="shared" si="133"/>
        <v/>
      </c>
      <c r="D1455" t="str">
        <f t="shared" si="134"/>
        <v/>
      </c>
      <c r="E1455" t="str">
        <f t="shared" si="135"/>
        <v/>
      </c>
      <c r="F1455" t="str">
        <f t="shared" si="136"/>
        <v/>
      </c>
      <c r="G1455" t="str">
        <f>IF(OR($E1455="",$E1455="نامعتبر",Sync!$X1451=""),"",IF(AND(LEFT(UPPER(TRIM(Sync!$X1451)),2)="SL",IFERROR(VLOOKUP(Sync!$W1451,OpTbl,3,0),"")="فروش"),UPPER(TRIM(Sync!$X1451)),""))</f>
        <v/>
      </c>
      <c r="H1455" t="str">
        <f>IF($G1455="","",IF(Sync!$W1451="","",Sync!$W1451))</f>
        <v/>
      </c>
      <c r="I1455" t="str">
        <f>IF(OR($G1455="",Sync!$Y1451=""),"",Sync!$Y1451)</f>
        <v/>
      </c>
      <c r="J1455" t="str">
        <f>IF(OR($G1455="",Sync!$Z1451=""),"",Sync!$Z1451)</f>
        <v/>
      </c>
      <c r="K1455">
        <f>IF($G1455="",0,IF(Sync!$AA1451="",0,Sync!$AA1451))</f>
        <v>0</v>
      </c>
      <c r="L1455">
        <f>IF($G1455="",0,IF(Sync!$AB1451="",0,Sync!$AB1451))</f>
        <v>0</v>
      </c>
      <c r="M1455" t="str">
        <f t="shared" si="137"/>
        <v/>
      </c>
      <c r="N1455">
        <f>IF($G1455="",0,IF($H1455="مرجوعی فروش",-1,1)*IF(Sync!$AC1451="",0,Sync!$AC1451))</f>
        <v>0</v>
      </c>
      <c r="O1455" t="str">
        <f>IF(OR($G1455="",Sync!$V1451=""),"",Sync!$V1451)</f>
        <v/>
      </c>
      <c r="P1455" t="str">
        <f>IF(OR($G1455="",Sync!$AD1451=""),"",Sync!$AD1451)</f>
        <v/>
      </c>
      <c r="Q1455" t="str">
        <f>IF($G1455="","",IF(Sync!$U1451="","0000",IF(AND(ISNUMBER(Sync!$U1451),Sync!$U1451&gt;=0,Sync!$U1451&lt;1),RIGHT("00"&amp;HOUR(Sync!$U1451),2)&amp;RIGHT("00"&amp;MINUTE(Sync!$U1451),2),IFERROR(RIGHT("00"&amp;VALUE(LEFT(Sync!$U1451,FIND(":",Sync!$U1451)-1)),2)&amp;RIGHT("00"&amp;VALUE(MID(Sync!$U1451,FIND(":",Sync!$U1451)+1,2)),2),"0000"))))</f>
        <v/>
      </c>
    </row>
    <row r="1456" spans="1:17" x14ac:dyDescent="0.2">
      <c r="A1456" t="str">
        <f>IF(Sync!$T1452="","",Sync!$T1452)</f>
        <v/>
      </c>
      <c r="B1456" t="str">
        <f t="shared" si="132"/>
        <v/>
      </c>
      <c r="C1456" t="str">
        <f t="shared" si="133"/>
        <v/>
      </c>
      <c r="D1456" t="str">
        <f t="shared" si="134"/>
        <v/>
      </c>
      <c r="E1456" t="str">
        <f t="shared" si="135"/>
        <v/>
      </c>
      <c r="F1456" t="str">
        <f t="shared" si="136"/>
        <v/>
      </c>
      <c r="G1456" t="str">
        <f>IF(OR($E1456="",$E1456="نامعتبر",Sync!$X1452=""),"",IF(AND(LEFT(UPPER(TRIM(Sync!$X1452)),2)="SL",IFERROR(VLOOKUP(Sync!$W1452,OpTbl,3,0),"")="فروش"),UPPER(TRIM(Sync!$X1452)),""))</f>
        <v/>
      </c>
      <c r="H1456" t="str">
        <f>IF($G1456="","",IF(Sync!$W1452="","",Sync!$W1452))</f>
        <v/>
      </c>
      <c r="I1456" t="str">
        <f>IF(OR($G1456="",Sync!$Y1452=""),"",Sync!$Y1452)</f>
        <v/>
      </c>
      <c r="J1456" t="str">
        <f>IF(OR($G1456="",Sync!$Z1452=""),"",Sync!$Z1452)</f>
        <v/>
      </c>
      <c r="K1456">
        <f>IF($G1456="",0,IF(Sync!$AA1452="",0,Sync!$AA1452))</f>
        <v>0</v>
      </c>
      <c r="L1456">
        <f>IF($G1456="",0,IF(Sync!$AB1452="",0,Sync!$AB1452))</f>
        <v>0</v>
      </c>
      <c r="M1456" t="str">
        <f t="shared" si="137"/>
        <v/>
      </c>
      <c r="N1456">
        <f>IF($G1456="",0,IF($H1456="مرجوعی فروش",-1,1)*IF(Sync!$AC1452="",0,Sync!$AC1452))</f>
        <v>0</v>
      </c>
      <c r="O1456" t="str">
        <f>IF(OR($G1456="",Sync!$V1452=""),"",Sync!$V1452)</f>
        <v/>
      </c>
      <c r="P1456" t="str">
        <f>IF(OR($G1456="",Sync!$AD1452=""),"",Sync!$AD1452)</f>
        <v/>
      </c>
      <c r="Q1456" t="str">
        <f>IF($G1456="","",IF(Sync!$U1452="","0000",IF(AND(ISNUMBER(Sync!$U1452),Sync!$U1452&gt;=0,Sync!$U1452&lt;1),RIGHT("00"&amp;HOUR(Sync!$U1452),2)&amp;RIGHT("00"&amp;MINUTE(Sync!$U1452),2),IFERROR(RIGHT("00"&amp;VALUE(LEFT(Sync!$U1452,FIND(":",Sync!$U1452)-1)),2)&amp;RIGHT("00"&amp;VALUE(MID(Sync!$U1452,FIND(":",Sync!$U1452)+1,2)),2),"0000"))))</f>
        <v/>
      </c>
    </row>
    <row r="1457" spans="1:17" x14ac:dyDescent="0.2">
      <c r="A1457" t="str">
        <f>IF(Sync!$T1453="","",Sync!$T1453)</f>
        <v/>
      </c>
      <c r="B1457" t="str">
        <f t="shared" si="132"/>
        <v/>
      </c>
      <c r="C1457" t="str">
        <f t="shared" si="133"/>
        <v/>
      </c>
      <c r="D1457" t="str">
        <f t="shared" si="134"/>
        <v/>
      </c>
      <c r="E1457" t="str">
        <f t="shared" si="135"/>
        <v/>
      </c>
      <c r="F1457" t="str">
        <f t="shared" si="136"/>
        <v/>
      </c>
      <c r="G1457" t="str">
        <f>IF(OR($E1457="",$E1457="نامعتبر",Sync!$X1453=""),"",IF(AND(LEFT(UPPER(TRIM(Sync!$X1453)),2)="SL",IFERROR(VLOOKUP(Sync!$W1453,OpTbl,3,0),"")="فروش"),UPPER(TRIM(Sync!$X1453)),""))</f>
        <v/>
      </c>
      <c r="H1457" t="str">
        <f>IF($G1457="","",IF(Sync!$W1453="","",Sync!$W1453))</f>
        <v/>
      </c>
      <c r="I1457" t="str">
        <f>IF(OR($G1457="",Sync!$Y1453=""),"",Sync!$Y1453)</f>
        <v/>
      </c>
      <c r="J1457" t="str">
        <f>IF(OR($G1457="",Sync!$Z1453=""),"",Sync!$Z1453)</f>
        <v/>
      </c>
      <c r="K1457">
        <f>IF($G1457="",0,IF(Sync!$AA1453="",0,Sync!$AA1453))</f>
        <v>0</v>
      </c>
      <c r="L1457">
        <f>IF($G1457="",0,IF(Sync!$AB1453="",0,Sync!$AB1453))</f>
        <v>0</v>
      </c>
      <c r="M1457" t="str">
        <f t="shared" si="137"/>
        <v/>
      </c>
      <c r="N1457">
        <f>IF($G1457="",0,IF($H1457="مرجوعی فروش",-1,1)*IF(Sync!$AC1453="",0,Sync!$AC1453))</f>
        <v>0</v>
      </c>
      <c r="O1457" t="str">
        <f>IF(OR($G1457="",Sync!$V1453=""),"",Sync!$V1453)</f>
        <v/>
      </c>
      <c r="P1457" t="str">
        <f>IF(OR($G1457="",Sync!$AD1453=""),"",Sync!$AD1453)</f>
        <v/>
      </c>
      <c r="Q1457" t="str">
        <f>IF($G1457="","",IF(Sync!$U1453="","0000",IF(AND(ISNUMBER(Sync!$U1453),Sync!$U1453&gt;=0,Sync!$U1453&lt;1),RIGHT("00"&amp;HOUR(Sync!$U1453),2)&amp;RIGHT("00"&amp;MINUTE(Sync!$U1453),2),IFERROR(RIGHT("00"&amp;VALUE(LEFT(Sync!$U1453,FIND(":",Sync!$U1453)-1)),2)&amp;RIGHT("00"&amp;VALUE(MID(Sync!$U1453,FIND(":",Sync!$U1453)+1,2)),2),"0000"))))</f>
        <v/>
      </c>
    </row>
    <row r="1458" spans="1:17" x14ac:dyDescent="0.2">
      <c r="A1458" t="str">
        <f>IF(Sync!$T1454="","",Sync!$T1454)</f>
        <v/>
      </c>
      <c r="B1458" t="str">
        <f t="shared" si="132"/>
        <v/>
      </c>
      <c r="C1458" t="str">
        <f t="shared" si="133"/>
        <v/>
      </c>
      <c r="D1458" t="str">
        <f t="shared" si="134"/>
        <v/>
      </c>
      <c r="E1458" t="str">
        <f t="shared" si="135"/>
        <v/>
      </c>
      <c r="F1458" t="str">
        <f t="shared" si="136"/>
        <v/>
      </c>
      <c r="G1458" t="str">
        <f>IF(OR($E1458="",$E1458="نامعتبر",Sync!$X1454=""),"",IF(AND(LEFT(UPPER(TRIM(Sync!$X1454)),2)="SL",IFERROR(VLOOKUP(Sync!$W1454,OpTbl,3,0),"")="فروش"),UPPER(TRIM(Sync!$X1454)),""))</f>
        <v/>
      </c>
      <c r="H1458" t="str">
        <f>IF($G1458="","",IF(Sync!$W1454="","",Sync!$W1454))</f>
        <v/>
      </c>
      <c r="I1458" t="str">
        <f>IF(OR($G1458="",Sync!$Y1454=""),"",Sync!$Y1454)</f>
        <v/>
      </c>
      <c r="J1458" t="str">
        <f>IF(OR($G1458="",Sync!$Z1454=""),"",Sync!$Z1454)</f>
        <v/>
      </c>
      <c r="K1458">
        <f>IF($G1458="",0,IF(Sync!$AA1454="",0,Sync!$AA1454))</f>
        <v>0</v>
      </c>
      <c r="L1458">
        <f>IF($G1458="",0,IF(Sync!$AB1454="",0,Sync!$AB1454))</f>
        <v>0</v>
      </c>
      <c r="M1458" t="str">
        <f t="shared" si="137"/>
        <v/>
      </c>
      <c r="N1458">
        <f>IF($G1458="",0,IF($H1458="مرجوعی فروش",-1,1)*IF(Sync!$AC1454="",0,Sync!$AC1454))</f>
        <v>0</v>
      </c>
      <c r="O1458" t="str">
        <f>IF(OR($G1458="",Sync!$V1454=""),"",Sync!$V1454)</f>
        <v/>
      </c>
      <c r="P1458" t="str">
        <f>IF(OR($G1458="",Sync!$AD1454=""),"",Sync!$AD1454)</f>
        <v/>
      </c>
      <c r="Q1458" t="str">
        <f>IF($G1458="","",IF(Sync!$U1454="","0000",IF(AND(ISNUMBER(Sync!$U1454),Sync!$U1454&gt;=0,Sync!$U1454&lt;1),RIGHT("00"&amp;HOUR(Sync!$U1454),2)&amp;RIGHT("00"&amp;MINUTE(Sync!$U1454),2),IFERROR(RIGHT("00"&amp;VALUE(LEFT(Sync!$U1454,FIND(":",Sync!$U1454)-1)),2)&amp;RIGHT("00"&amp;VALUE(MID(Sync!$U1454,FIND(":",Sync!$U1454)+1,2)),2),"0000"))))</f>
        <v/>
      </c>
    </row>
    <row r="1459" spans="1:17" x14ac:dyDescent="0.2">
      <c r="A1459" t="str">
        <f>IF(Sync!$T1455="","",Sync!$T1455)</f>
        <v/>
      </c>
      <c r="B1459" t="str">
        <f t="shared" si="132"/>
        <v/>
      </c>
      <c r="C1459" t="str">
        <f t="shared" si="133"/>
        <v/>
      </c>
      <c r="D1459" t="str">
        <f t="shared" si="134"/>
        <v/>
      </c>
      <c r="E1459" t="str">
        <f t="shared" si="135"/>
        <v/>
      </c>
      <c r="F1459" t="str">
        <f t="shared" si="136"/>
        <v/>
      </c>
      <c r="G1459" t="str">
        <f>IF(OR($E1459="",$E1459="نامعتبر",Sync!$X1455=""),"",IF(AND(LEFT(UPPER(TRIM(Sync!$X1455)),2)="SL",IFERROR(VLOOKUP(Sync!$W1455,OpTbl,3,0),"")="فروش"),UPPER(TRIM(Sync!$X1455)),""))</f>
        <v/>
      </c>
      <c r="H1459" t="str">
        <f>IF($G1459="","",IF(Sync!$W1455="","",Sync!$W1455))</f>
        <v/>
      </c>
      <c r="I1459" t="str">
        <f>IF(OR($G1459="",Sync!$Y1455=""),"",Sync!$Y1455)</f>
        <v/>
      </c>
      <c r="J1459" t="str">
        <f>IF(OR($G1459="",Sync!$Z1455=""),"",Sync!$Z1455)</f>
        <v/>
      </c>
      <c r="K1459">
        <f>IF($G1459="",0,IF(Sync!$AA1455="",0,Sync!$AA1455))</f>
        <v>0</v>
      </c>
      <c r="L1459">
        <f>IF($G1459="",0,IF(Sync!$AB1455="",0,Sync!$AB1455))</f>
        <v>0</v>
      </c>
      <c r="M1459" t="str">
        <f t="shared" si="137"/>
        <v/>
      </c>
      <c r="N1459">
        <f>IF($G1459="",0,IF($H1459="مرجوعی فروش",-1,1)*IF(Sync!$AC1455="",0,Sync!$AC1455))</f>
        <v>0</v>
      </c>
      <c r="O1459" t="str">
        <f>IF(OR($G1459="",Sync!$V1455=""),"",Sync!$V1455)</f>
        <v/>
      </c>
      <c r="P1459" t="str">
        <f>IF(OR($G1459="",Sync!$AD1455=""),"",Sync!$AD1455)</f>
        <v/>
      </c>
      <c r="Q1459" t="str">
        <f>IF($G1459="","",IF(Sync!$U1455="","0000",IF(AND(ISNUMBER(Sync!$U1455),Sync!$U1455&gt;=0,Sync!$U1455&lt;1),RIGHT("00"&amp;HOUR(Sync!$U1455),2)&amp;RIGHT("00"&amp;MINUTE(Sync!$U1455),2),IFERROR(RIGHT("00"&amp;VALUE(LEFT(Sync!$U1455,FIND(":",Sync!$U1455)-1)),2)&amp;RIGHT("00"&amp;VALUE(MID(Sync!$U1455,FIND(":",Sync!$U1455)+1,2)),2),"0000"))))</f>
        <v/>
      </c>
    </row>
    <row r="1460" spans="1:17" x14ac:dyDescent="0.2">
      <c r="A1460" t="str">
        <f>IF(Sync!$T1456="","",Sync!$T1456)</f>
        <v/>
      </c>
      <c r="B1460" t="str">
        <f t="shared" si="132"/>
        <v/>
      </c>
      <c r="C1460" t="str">
        <f t="shared" si="133"/>
        <v/>
      </c>
      <c r="D1460" t="str">
        <f t="shared" si="134"/>
        <v/>
      </c>
      <c r="E1460" t="str">
        <f t="shared" si="135"/>
        <v/>
      </c>
      <c r="F1460" t="str">
        <f t="shared" si="136"/>
        <v/>
      </c>
      <c r="G1460" t="str">
        <f>IF(OR($E1460="",$E1460="نامعتبر",Sync!$X1456=""),"",IF(AND(LEFT(UPPER(TRIM(Sync!$X1456)),2)="SL",IFERROR(VLOOKUP(Sync!$W1456,OpTbl,3,0),"")="فروش"),UPPER(TRIM(Sync!$X1456)),""))</f>
        <v/>
      </c>
      <c r="H1460" t="str">
        <f>IF($G1460="","",IF(Sync!$W1456="","",Sync!$W1456))</f>
        <v/>
      </c>
      <c r="I1460" t="str">
        <f>IF(OR($G1460="",Sync!$Y1456=""),"",Sync!$Y1456)</f>
        <v/>
      </c>
      <c r="J1460" t="str">
        <f>IF(OR($G1460="",Sync!$Z1456=""),"",Sync!$Z1456)</f>
        <v/>
      </c>
      <c r="K1460">
        <f>IF($G1460="",0,IF(Sync!$AA1456="",0,Sync!$AA1456))</f>
        <v>0</v>
      </c>
      <c r="L1460">
        <f>IF($G1460="",0,IF(Sync!$AB1456="",0,Sync!$AB1456))</f>
        <v>0</v>
      </c>
      <c r="M1460" t="str">
        <f t="shared" si="137"/>
        <v/>
      </c>
      <c r="N1460">
        <f>IF($G1460="",0,IF($H1460="مرجوعی فروش",-1,1)*IF(Sync!$AC1456="",0,Sync!$AC1456))</f>
        <v>0</v>
      </c>
      <c r="O1460" t="str">
        <f>IF(OR($G1460="",Sync!$V1456=""),"",Sync!$V1456)</f>
        <v/>
      </c>
      <c r="P1460" t="str">
        <f>IF(OR($G1460="",Sync!$AD1456=""),"",Sync!$AD1456)</f>
        <v/>
      </c>
      <c r="Q1460" t="str">
        <f>IF($G1460="","",IF(Sync!$U1456="","0000",IF(AND(ISNUMBER(Sync!$U1456),Sync!$U1456&gt;=0,Sync!$U1456&lt;1),RIGHT("00"&amp;HOUR(Sync!$U1456),2)&amp;RIGHT("00"&amp;MINUTE(Sync!$U1456),2),IFERROR(RIGHT("00"&amp;VALUE(LEFT(Sync!$U1456,FIND(":",Sync!$U1456)-1)),2)&amp;RIGHT("00"&amp;VALUE(MID(Sync!$U1456,FIND(":",Sync!$U1456)+1,2)),2),"0000"))))</f>
        <v/>
      </c>
    </row>
    <row r="1461" spans="1:17" x14ac:dyDescent="0.2">
      <c r="A1461" t="str">
        <f>IF(Sync!$T1457="","",Sync!$T1457)</f>
        <v/>
      </c>
      <c r="B1461" t="str">
        <f t="shared" si="132"/>
        <v/>
      </c>
      <c r="C1461" t="str">
        <f t="shared" si="133"/>
        <v/>
      </c>
      <c r="D1461" t="str">
        <f t="shared" si="134"/>
        <v/>
      </c>
      <c r="E1461" t="str">
        <f t="shared" si="135"/>
        <v/>
      </c>
      <c r="F1461" t="str">
        <f t="shared" si="136"/>
        <v/>
      </c>
      <c r="G1461" t="str">
        <f>IF(OR($E1461="",$E1461="نامعتبر",Sync!$X1457=""),"",IF(AND(LEFT(UPPER(TRIM(Sync!$X1457)),2)="SL",IFERROR(VLOOKUP(Sync!$W1457,OpTbl,3,0),"")="فروش"),UPPER(TRIM(Sync!$X1457)),""))</f>
        <v/>
      </c>
      <c r="H1461" t="str">
        <f>IF($G1461="","",IF(Sync!$W1457="","",Sync!$W1457))</f>
        <v/>
      </c>
      <c r="I1461" t="str">
        <f>IF(OR($G1461="",Sync!$Y1457=""),"",Sync!$Y1457)</f>
        <v/>
      </c>
      <c r="J1461" t="str">
        <f>IF(OR($G1461="",Sync!$Z1457=""),"",Sync!$Z1457)</f>
        <v/>
      </c>
      <c r="K1461">
        <f>IF($G1461="",0,IF(Sync!$AA1457="",0,Sync!$AA1457))</f>
        <v>0</v>
      </c>
      <c r="L1461">
        <f>IF($G1461="",0,IF(Sync!$AB1457="",0,Sync!$AB1457))</f>
        <v>0</v>
      </c>
      <c r="M1461" t="str">
        <f t="shared" si="137"/>
        <v/>
      </c>
      <c r="N1461">
        <f>IF($G1461="",0,IF($H1461="مرجوعی فروش",-1,1)*IF(Sync!$AC1457="",0,Sync!$AC1457))</f>
        <v>0</v>
      </c>
      <c r="O1461" t="str">
        <f>IF(OR($G1461="",Sync!$V1457=""),"",Sync!$V1457)</f>
        <v/>
      </c>
      <c r="P1461" t="str">
        <f>IF(OR($G1461="",Sync!$AD1457=""),"",Sync!$AD1457)</f>
        <v/>
      </c>
      <c r="Q1461" t="str">
        <f>IF($G1461="","",IF(Sync!$U1457="","0000",IF(AND(ISNUMBER(Sync!$U1457),Sync!$U1457&gt;=0,Sync!$U1457&lt;1),RIGHT("00"&amp;HOUR(Sync!$U1457),2)&amp;RIGHT("00"&amp;MINUTE(Sync!$U1457),2),IFERROR(RIGHT("00"&amp;VALUE(LEFT(Sync!$U1457,FIND(":",Sync!$U1457)-1)),2)&amp;RIGHT("00"&amp;VALUE(MID(Sync!$U1457,FIND(":",Sync!$U1457)+1,2)),2),"0000"))))</f>
        <v/>
      </c>
    </row>
    <row r="1462" spans="1:17" x14ac:dyDescent="0.2">
      <c r="A1462" t="str">
        <f>IF(Sync!$T1458="","",Sync!$T1458)</f>
        <v/>
      </c>
      <c r="B1462" t="str">
        <f t="shared" si="132"/>
        <v/>
      </c>
      <c r="C1462" t="str">
        <f t="shared" si="133"/>
        <v/>
      </c>
      <c r="D1462" t="str">
        <f t="shared" si="134"/>
        <v/>
      </c>
      <c r="E1462" t="str">
        <f t="shared" si="135"/>
        <v/>
      </c>
      <c r="F1462" t="str">
        <f t="shared" si="136"/>
        <v/>
      </c>
      <c r="G1462" t="str">
        <f>IF(OR($E1462="",$E1462="نامعتبر",Sync!$X1458=""),"",IF(AND(LEFT(UPPER(TRIM(Sync!$X1458)),2)="SL",IFERROR(VLOOKUP(Sync!$W1458,OpTbl,3,0),"")="فروش"),UPPER(TRIM(Sync!$X1458)),""))</f>
        <v/>
      </c>
      <c r="H1462" t="str">
        <f>IF($G1462="","",IF(Sync!$W1458="","",Sync!$W1458))</f>
        <v/>
      </c>
      <c r="I1462" t="str">
        <f>IF(OR($G1462="",Sync!$Y1458=""),"",Sync!$Y1458)</f>
        <v/>
      </c>
      <c r="J1462" t="str">
        <f>IF(OR($G1462="",Sync!$Z1458=""),"",Sync!$Z1458)</f>
        <v/>
      </c>
      <c r="K1462">
        <f>IF($G1462="",0,IF(Sync!$AA1458="",0,Sync!$AA1458))</f>
        <v>0</v>
      </c>
      <c r="L1462">
        <f>IF($G1462="",0,IF(Sync!$AB1458="",0,Sync!$AB1458))</f>
        <v>0</v>
      </c>
      <c r="M1462" t="str">
        <f t="shared" si="137"/>
        <v/>
      </c>
      <c r="N1462">
        <f>IF($G1462="",0,IF($H1462="مرجوعی فروش",-1,1)*IF(Sync!$AC1458="",0,Sync!$AC1458))</f>
        <v>0</v>
      </c>
      <c r="O1462" t="str">
        <f>IF(OR($G1462="",Sync!$V1458=""),"",Sync!$V1458)</f>
        <v/>
      </c>
      <c r="P1462" t="str">
        <f>IF(OR($G1462="",Sync!$AD1458=""),"",Sync!$AD1458)</f>
        <v/>
      </c>
      <c r="Q1462" t="str">
        <f>IF($G1462="","",IF(Sync!$U1458="","0000",IF(AND(ISNUMBER(Sync!$U1458),Sync!$U1458&gt;=0,Sync!$U1458&lt;1),RIGHT("00"&amp;HOUR(Sync!$U1458),2)&amp;RIGHT("00"&amp;MINUTE(Sync!$U1458),2),IFERROR(RIGHT("00"&amp;VALUE(LEFT(Sync!$U1458,FIND(":",Sync!$U1458)-1)),2)&amp;RIGHT("00"&amp;VALUE(MID(Sync!$U1458,FIND(":",Sync!$U1458)+1,2)),2),"0000"))))</f>
        <v/>
      </c>
    </row>
    <row r="1463" spans="1:17" x14ac:dyDescent="0.2">
      <c r="A1463" t="str">
        <f>IF(Sync!$T1459="","",Sync!$T1459)</f>
        <v/>
      </c>
      <c r="B1463" t="str">
        <f t="shared" si="132"/>
        <v/>
      </c>
      <c r="C1463" t="str">
        <f t="shared" si="133"/>
        <v/>
      </c>
      <c r="D1463" t="str">
        <f t="shared" si="134"/>
        <v/>
      </c>
      <c r="E1463" t="str">
        <f t="shared" si="135"/>
        <v/>
      </c>
      <c r="F1463" t="str">
        <f t="shared" si="136"/>
        <v/>
      </c>
      <c r="G1463" t="str">
        <f>IF(OR($E1463="",$E1463="نامعتبر",Sync!$X1459=""),"",IF(AND(LEFT(UPPER(TRIM(Sync!$X1459)),2)="SL",IFERROR(VLOOKUP(Sync!$W1459,OpTbl,3,0),"")="فروش"),UPPER(TRIM(Sync!$X1459)),""))</f>
        <v/>
      </c>
      <c r="H1463" t="str">
        <f>IF($G1463="","",IF(Sync!$W1459="","",Sync!$W1459))</f>
        <v/>
      </c>
      <c r="I1463" t="str">
        <f>IF(OR($G1463="",Sync!$Y1459=""),"",Sync!$Y1459)</f>
        <v/>
      </c>
      <c r="J1463" t="str">
        <f>IF(OR($G1463="",Sync!$Z1459=""),"",Sync!$Z1459)</f>
        <v/>
      </c>
      <c r="K1463">
        <f>IF($G1463="",0,IF(Sync!$AA1459="",0,Sync!$AA1459))</f>
        <v>0</v>
      </c>
      <c r="L1463">
        <f>IF($G1463="",0,IF(Sync!$AB1459="",0,Sync!$AB1459))</f>
        <v>0</v>
      </c>
      <c r="M1463" t="str">
        <f t="shared" si="137"/>
        <v/>
      </c>
      <c r="N1463">
        <f>IF($G1463="",0,IF($H1463="مرجوعی فروش",-1,1)*IF(Sync!$AC1459="",0,Sync!$AC1459))</f>
        <v>0</v>
      </c>
      <c r="O1463" t="str">
        <f>IF(OR($G1463="",Sync!$V1459=""),"",Sync!$V1459)</f>
        <v/>
      </c>
      <c r="P1463" t="str">
        <f>IF(OR($G1463="",Sync!$AD1459=""),"",Sync!$AD1459)</f>
        <v/>
      </c>
      <c r="Q1463" t="str">
        <f>IF($G1463="","",IF(Sync!$U1459="","0000",IF(AND(ISNUMBER(Sync!$U1459),Sync!$U1459&gt;=0,Sync!$U1459&lt;1),RIGHT("00"&amp;HOUR(Sync!$U1459),2)&amp;RIGHT("00"&amp;MINUTE(Sync!$U1459),2),IFERROR(RIGHT("00"&amp;VALUE(LEFT(Sync!$U1459,FIND(":",Sync!$U1459)-1)),2)&amp;RIGHT("00"&amp;VALUE(MID(Sync!$U1459,FIND(":",Sync!$U1459)+1,2)),2),"0000"))))</f>
        <v/>
      </c>
    </row>
    <row r="1464" spans="1:17" x14ac:dyDescent="0.2">
      <c r="A1464" t="str">
        <f>IF(Sync!$T1460="","",Sync!$T1460)</f>
        <v/>
      </c>
      <c r="B1464" t="str">
        <f t="shared" si="132"/>
        <v/>
      </c>
      <c r="C1464" t="str">
        <f t="shared" si="133"/>
        <v/>
      </c>
      <c r="D1464" t="str">
        <f t="shared" si="134"/>
        <v/>
      </c>
      <c r="E1464" t="str">
        <f t="shared" si="135"/>
        <v/>
      </c>
      <c r="F1464" t="str">
        <f t="shared" si="136"/>
        <v/>
      </c>
      <c r="G1464" t="str">
        <f>IF(OR($E1464="",$E1464="نامعتبر",Sync!$X1460=""),"",IF(AND(LEFT(UPPER(TRIM(Sync!$X1460)),2)="SL",IFERROR(VLOOKUP(Sync!$W1460,OpTbl,3,0),"")="فروش"),UPPER(TRIM(Sync!$X1460)),""))</f>
        <v/>
      </c>
      <c r="H1464" t="str">
        <f>IF($G1464="","",IF(Sync!$W1460="","",Sync!$W1460))</f>
        <v/>
      </c>
      <c r="I1464" t="str">
        <f>IF(OR($G1464="",Sync!$Y1460=""),"",Sync!$Y1460)</f>
        <v/>
      </c>
      <c r="J1464" t="str">
        <f>IF(OR($G1464="",Sync!$Z1460=""),"",Sync!$Z1460)</f>
        <v/>
      </c>
      <c r="K1464">
        <f>IF($G1464="",0,IF(Sync!$AA1460="",0,Sync!$AA1460))</f>
        <v>0</v>
      </c>
      <c r="L1464">
        <f>IF($G1464="",0,IF(Sync!$AB1460="",0,Sync!$AB1460))</f>
        <v>0</v>
      </c>
      <c r="M1464" t="str">
        <f t="shared" si="137"/>
        <v/>
      </c>
      <c r="N1464">
        <f>IF($G1464="",0,IF($H1464="مرجوعی فروش",-1,1)*IF(Sync!$AC1460="",0,Sync!$AC1460))</f>
        <v>0</v>
      </c>
      <c r="O1464" t="str">
        <f>IF(OR($G1464="",Sync!$V1460=""),"",Sync!$V1460)</f>
        <v/>
      </c>
      <c r="P1464" t="str">
        <f>IF(OR($G1464="",Sync!$AD1460=""),"",Sync!$AD1460)</f>
        <v/>
      </c>
      <c r="Q1464" t="str">
        <f>IF($G1464="","",IF(Sync!$U1460="","0000",IF(AND(ISNUMBER(Sync!$U1460),Sync!$U1460&gt;=0,Sync!$U1460&lt;1),RIGHT("00"&amp;HOUR(Sync!$U1460),2)&amp;RIGHT("00"&amp;MINUTE(Sync!$U1460),2),IFERROR(RIGHT("00"&amp;VALUE(LEFT(Sync!$U1460,FIND(":",Sync!$U1460)-1)),2)&amp;RIGHT("00"&amp;VALUE(MID(Sync!$U1460,FIND(":",Sync!$U1460)+1,2)),2),"0000"))))</f>
        <v/>
      </c>
    </row>
    <row r="1465" spans="1:17" x14ac:dyDescent="0.2">
      <c r="A1465" t="str">
        <f>IF(Sync!$T1461="","",Sync!$T1461)</f>
        <v/>
      </c>
      <c r="B1465" t="str">
        <f t="shared" si="132"/>
        <v/>
      </c>
      <c r="C1465" t="str">
        <f t="shared" si="133"/>
        <v/>
      </c>
      <c r="D1465" t="str">
        <f t="shared" si="134"/>
        <v/>
      </c>
      <c r="E1465" t="str">
        <f t="shared" si="135"/>
        <v/>
      </c>
      <c r="F1465" t="str">
        <f t="shared" si="136"/>
        <v/>
      </c>
      <c r="G1465" t="str">
        <f>IF(OR($E1465="",$E1465="نامعتبر",Sync!$X1461=""),"",IF(AND(LEFT(UPPER(TRIM(Sync!$X1461)),2)="SL",IFERROR(VLOOKUP(Sync!$W1461,OpTbl,3,0),"")="فروش"),UPPER(TRIM(Sync!$X1461)),""))</f>
        <v/>
      </c>
      <c r="H1465" t="str">
        <f>IF($G1465="","",IF(Sync!$W1461="","",Sync!$W1461))</f>
        <v/>
      </c>
      <c r="I1465" t="str">
        <f>IF(OR($G1465="",Sync!$Y1461=""),"",Sync!$Y1461)</f>
        <v/>
      </c>
      <c r="J1465" t="str">
        <f>IF(OR($G1465="",Sync!$Z1461=""),"",Sync!$Z1461)</f>
        <v/>
      </c>
      <c r="K1465">
        <f>IF($G1465="",0,IF(Sync!$AA1461="",0,Sync!$AA1461))</f>
        <v>0</v>
      </c>
      <c r="L1465">
        <f>IF($G1465="",0,IF(Sync!$AB1461="",0,Sync!$AB1461))</f>
        <v>0</v>
      </c>
      <c r="M1465" t="str">
        <f t="shared" si="137"/>
        <v/>
      </c>
      <c r="N1465">
        <f>IF($G1465="",0,IF($H1465="مرجوعی فروش",-1,1)*IF(Sync!$AC1461="",0,Sync!$AC1461))</f>
        <v>0</v>
      </c>
      <c r="O1465" t="str">
        <f>IF(OR($G1465="",Sync!$V1461=""),"",Sync!$V1461)</f>
        <v/>
      </c>
      <c r="P1465" t="str">
        <f>IF(OR($G1465="",Sync!$AD1461=""),"",Sync!$AD1461)</f>
        <v/>
      </c>
      <c r="Q1465" t="str">
        <f>IF($G1465="","",IF(Sync!$U1461="","0000",IF(AND(ISNUMBER(Sync!$U1461),Sync!$U1461&gt;=0,Sync!$U1461&lt;1),RIGHT("00"&amp;HOUR(Sync!$U1461),2)&amp;RIGHT("00"&amp;MINUTE(Sync!$U1461),2),IFERROR(RIGHT("00"&amp;VALUE(LEFT(Sync!$U1461,FIND(":",Sync!$U1461)-1)),2)&amp;RIGHT("00"&amp;VALUE(MID(Sync!$U1461,FIND(":",Sync!$U1461)+1,2)),2),"0000"))))</f>
        <v/>
      </c>
    </row>
    <row r="1466" spans="1:17" x14ac:dyDescent="0.2">
      <c r="A1466" t="str">
        <f>IF(Sync!$T1462="","",Sync!$T1462)</f>
        <v/>
      </c>
      <c r="B1466" t="str">
        <f t="shared" si="132"/>
        <v/>
      </c>
      <c r="C1466" t="str">
        <f t="shared" si="133"/>
        <v/>
      </c>
      <c r="D1466" t="str">
        <f t="shared" si="134"/>
        <v/>
      </c>
      <c r="E1466" t="str">
        <f t="shared" si="135"/>
        <v/>
      </c>
      <c r="F1466" t="str">
        <f t="shared" si="136"/>
        <v/>
      </c>
      <c r="G1466" t="str">
        <f>IF(OR($E1466="",$E1466="نامعتبر",Sync!$X1462=""),"",IF(AND(LEFT(UPPER(TRIM(Sync!$X1462)),2)="SL",IFERROR(VLOOKUP(Sync!$W1462,OpTbl,3,0),"")="فروش"),UPPER(TRIM(Sync!$X1462)),""))</f>
        <v/>
      </c>
      <c r="H1466" t="str">
        <f>IF($G1466="","",IF(Sync!$W1462="","",Sync!$W1462))</f>
        <v/>
      </c>
      <c r="I1466" t="str">
        <f>IF(OR($G1466="",Sync!$Y1462=""),"",Sync!$Y1462)</f>
        <v/>
      </c>
      <c r="J1466" t="str">
        <f>IF(OR($G1466="",Sync!$Z1462=""),"",Sync!$Z1462)</f>
        <v/>
      </c>
      <c r="K1466">
        <f>IF($G1466="",0,IF(Sync!$AA1462="",0,Sync!$AA1462))</f>
        <v>0</v>
      </c>
      <c r="L1466">
        <f>IF($G1466="",0,IF(Sync!$AB1462="",0,Sync!$AB1462))</f>
        <v>0</v>
      </c>
      <c r="M1466" t="str">
        <f t="shared" si="137"/>
        <v/>
      </c>
      <c r="N1466">
        <f>IF($G1466="",0,IF($H1466="مرجوعی فروش",-1,1)*IF(Sync!$AC1462="",0,Sync!$AC1462))</f>
        <v>0</v>
      </c>
      <c r="O1466" t="str">
        <f>IF(OR($G1466="",Sync!$V1462=""),"",Sync!$V1462)</f>
        <v/>
      </c>
      <c r="P1466" t="str">
        <f>IF(OR($G1466="",Sync!$AD1462=""),"",Sync!$AD1462)</f>
        <v/>
      </c>
      <c r="Q1466" t="str">
        <f>IF($G1466="","",IF(Sync!$U1462="","0000",IF(AND(ISNUMBER(Sync!$U1462),Sync!$U1462&gt;=0,Sync!$U1462&lt;1),RIGHT("00"&amp;HOUR(Sync!$U1462),2)&amp;RIGHT("00"&amp;MINUTE(Sync!$U1462),2),IFERROR(RIGHT("00"&amp;VALUE(LEFT(Sync!$U1462,FIND(":",Sync!$U1462)-1)),2)&amp;RIGHT("00"&amp;VALUE(MID(Sync!$U1462,FIND(":",Sync!$U1462)+1,2)),2),"0000"))))</f>
        <v/>
      </c>
    </row>
    <row r="1467" spans="1:17" x14ac:dyDescent="0.2">
      <c r="A1467" t="str">
        <f>IF(Sync!$T1463="","",Sync!$T1463)</f>
        <v/>
      </c>
      <c r="B1467" t="str">
        <f t="shared" si="132"/>
        <v/>
      </c>
      <c r="C1467" t="str">
        <f t="shared" si="133"/>
        <v/>
      </c>
      <c r="D1467" t="str">
        <f t="shared" si="134"/>
        <v/>
      </c>
      <c r="E1467" t="str">
        <f t="shared" si="135"/>
        <v/>
      </c>
      <c r="F1467" t="str">
        <f t="shared" si="136"/>
        <v/>
      </c>
      <c r="G1467" t="str">
        <f>IF(OR($E1467="",$E1467="نامعتبر",Sync!$X1463=""),"",IF(AND(LEFT(UPPER(TRIM(Sync!$X1463)),2)="SL",IFERROR(VLOOKUP(Sync!$W1463,OpTbl,3,0),"")="فروش"),UPPER(TRIM(Sync!$X1463)),""))</f>
        <v/>
      </c>
      <c r="H1467" t="str">
        <f>IF($G1467="","",IF(Sync!$W1463="","",Sync!$W1463))</f>
        <v/>
      </c>
      <c r="I1467" t="str">
        <f>IF(OR($G1467="",Sync!$Y1463=""),"",Sync!$Y1463)</f>
        <v/>
      </c>
      <c r="J1467" t="str">
        <f>IF(OR($G1467="",Sync!$Z1463=""),"",Sync!$Z1463)</f>
        <v/>
      </c>
      <c r="K1467">
        <f>IF($G1467="",0,IF(Sync!$AA1463="",0,Sync!$AA1463))</f>
        <v>0</v>
      </c>
      <c r="L1467">
        <f>IF($G1467="",0,IF(Sync!$AB1463="",0,Sync!$AB1463))</f>
        <v>0</v>
      </c>
      <c r="M1467" t="str">
        <f t="shared" si="137"/>
        <v/>
      </c>
      <c r="N1467">
        <f>IF($G1467="",0,IF($H1467="مرجوعی فروش",-1,1)*IF(Sync!$AC1463="",0,Sync!$AC1463))</f>
        <v>0</v>
      </c>
      <c r="O1467" t="str">
        <f>IF(OR($G1467="",Sync!$V1463=""),"",Sync!$V1463)</f>
        <v/>
      </c>
      <c r="P1467" t="str">
        <f>IF(OR($G1467="",Sync!$AD1463=""),"",Sync!$AD1463)</f>
        <v/>
      </c>
      <c r="Q1467" t="str">
        <f>IF($G1467="","",IF(Sync!$U1463="","0000",IF(AND(ISNUMBER(Sync!$U1463),Sync!$U1463&gt;=0,Sync!$U1463&lt;1),RIGHT("00"&amp;HOUR(Sync!$U1463),2)&amp;RIGHT("00"&amp;MINUTE(Sync!$U1463),2),IFERROR(RIGHT("00"&amp;VALUE(LEFT(Sync!$U1463,FIND(":",Sync!$U1463)-1)),2)&amp;RIGHT("00"&amp;VALUE(MID(Sync!$U1463,FIND(":",Sync!$U1463)+1,2)),2),"0000"))))</f>
        <v/>
      </c>
    </row>
    <row r="1468" spans="1:17" x14ac:dyDescent="0.2">
      <c r="A1468" t="str">
        <f>IF(Sync!$T1464="","",Sync!$T1464)</f>
        <v/>
      </c>
      <c r="B1468" t="str">
        <f t="shared" si="132"/>
        <v/>
      </c>
      <c r="C1468" t="str">
        <f t="shared" si="133"/>
        <v/>
      </c>
      <c r="D1468" t="str">
        <f t="shared" si="134"/>
        <v/>
      </c>
      <c r="E1468" t="str">
        <f t="shared" si="135"/>
        <v/>
      </c>
      <c r="F1468" t="str">
        <f t="shared" si="136"/>
        <v/>
      </c>
      <c r="G1468" t="str">
        <f>IF(OR($E1468="",$E1468="نامعتبر",Sync!$X1464=""),"",IF(AND(LEFT(UPPER(TRIM(Sync!$X1464)),2)="SL",IFERROR(VLOOKUP(Sync!$W1464,OpTbl,3,0),"")="فروش"),UPPER(TRIM(Sync!$X1464)),""))</f>
        <v/>
      </c>
      <c r="H1468" t="str">
        <f>IF($G1468="","",IF(Sync!$W1464="","",Sync!$W1464))</f>
        <v/>
      </c>
      <c r="I1468" t="str">
        <f>IF(OR($G1468="",Sync!$Y1464=""),"",Sync!$Y1464)</f>
        <v/>
      </c>
      <c r="J1468" t="str">
        <f>IF(OR($G1468="",Sync!$Z1464=""),"",Sync!$Z1464)</f>
        <v/>
      </c>
      <c r="K1468">
        <f>IF($G1468="",0,IF(Sync!$AA1464="",0,Sync!$AA1464))</f>
        <v>0</v>
      </c>
      <c r="L1468">
        <f>IF($G1468="",0,IF(Sync!$AB1464="",0,Sync!$AB1464))</f>
        <v>0</v>
      </c>
      <c r="M1468" t="str">
        <f t="shared" si="137"/>
        <v/>
      </c>
      <c r="N1468">
        <f>IF($G1468="",0,IF($H1468="مرجوعی فروش",-1,1)*IF(Sync!$AC1464="",0,Sync!$AC1464))</f>
        <v>0</v>
      </c>
      <c r="O1468" t="str">
        <f>IF(OR($G1468="",Sync!$V1464=""),"",Sync!$V1464)</f>
        <v/>
      </c>
      <c r="P1468" t="str">
        <f>IF(OR($G1468="",Sync!$AD1464=""),"",Sync!$AD1464)</f>
        <v/>
      </c>
      <c r="Q1468" t="str">
        <f>IF($G1468="","",IF(Sync!$U1464="","0000",IF(AND(ISNUMBER(Sync!$U1464),Sync!$U1464&gt;=0,Sync!$U1464&lt;1),RIGHT("00"&amp;HOUR(Sync!$U1464),2)&amp;RIGHT("00"&amp;MINUTE(Sync!$U1464),2),IFERROR(RIGHT("00"&amp;VALUE(LEFT(Sync!$U1464,FIND(":",Sync!$U1464)-1)),2)&amp;RIGHT("00"&amp;VALUE(MID(Sync!$U1464,FIND(":",Sync!$U1464)+1,2)),2),"0000"))))</f>
        <v/>
      </c>
    </row>
    <row r="1469" spans="1:17" x14ac:dyDescent="0.2">
      <c r="A1469" t="str">
        <f>IF(Sync!$T1465="","",Sync!$T1465)</f>
        <v/>
      </c>
      <c r="B1469" t="str">
        <f t="shared" si="132"/>
        <v/>
      </c>
      <c r="C1469" t="str">
        <f t="shared" si="133"/>
        <v/>
      </c>
      <c r="D1469" t="str">
        <f t="shared" si="134"/>
        <v/>
      </c>
      <c r="E1469" t="str">
        <f t="shared" si="135"/>
        <v/>
      </c>
      <c r="F1469" t="str">
        <f t="shared" si="136"/>
        <v/>
      </c>
      <c r="G1469" t="str">
        <f>IF(OR($E1469="",$E1469="نامعتبر",Sync!$X1465=""),"",IF(AND(LEFT(UPPER(TRIM(Sync!$X1465)),2)="SL",IFERROR(VLOOKUP(Sync!$W1465,OpTbl,3,0),"")="فروش"),UPPER(TRIM(Sync!$X1465)),""))</f>
        <v/>
      </c>
      <c r="H1469" t="str">
        <f>IF($G1469="","",IF(Sync!$W1465="","",Sync!$W1465))</f>
        <v/>
      </c>
      <c r="I1469" t="str">
        <f>IF(OR($G1469="",Sync!$Y1465=""),"",Sync!$Y1465)</f>
        <v/>
      </c>
      <c r="J1469" t="str">
        <f>IF(OR($G1469="",Sync!$Z1465=""),"",Sync!$Z1465)</f>
        <v/>
      </c>
      <c r="K1469">
        <f>IF($G1469="",0,IF(Sync!$AA1465="",0,Sync!$AA1465))</f>
        <v>0</v>
      </c>
      <c r="L1469">
        <f>IF($G1469="",0,IF(Sync!$AB1465="",0,Sync!$AB1465))</f>
        <v>0</v>
      </c>
      <c r="M1469" t="str">
        <f t="shared" si="137"/>
        <v/>
      </c>
      <c r="N1469">
        <f>IF($G1469="",0,IF($H1469="مرجوعی فروش",-1,1)*IF(Sync!$AC1465="",0,Sync!$AC1465))</f>
        <v>0</v>
      </c>
      <c r="O1469" t="str">
        <f>IF(OR($G1469="",Sync!$V1465=""),"",Sync!$V1465)</f>
        <v/>
      </c>
      <c r="P1469" t="str">
        <f>IF(OR($G1469="",Sync!$AD1465=""),"",Sync!$AD1465)</f>
        <v/>
      </c>
      <c r="Q1469" t="str">
        <f>IF($G1469="","",IF(Sync!$U1465="","0000",IF(AND(ISNUMBER(Sync!$U1465),Sync!$U1465&gt;=0,Sync!$U1465&lt;1),RIGHT("00"&amp;HOUR(Sync!$U1465),2)&amp;RIGHT("00"&amp;MINUTE(Sync!$U1465),2),IFERROR(RIGHT("00"&amp;VALUE(LEFT(Sync!$U1465,FIND(":",Sync!$U1465)-1)),2)&amp;RIGHT("00"&amp;VALUE(MID(Sync!$U1465,FIND(":",Sync!$U1465)+1,2)),2),"0000"))))</f>
        <v/>
      </c>
    </row>
    <row r="1470" spans="1:17" x14ac:dyDescent="0.2">
      <c r="A1470" t="str">
        <f>IF(Sync!$T1466="","",Sync!$T1466)</f>
        <v/>
      </c>
      <c r="B1470" t="str">
        <f t="shared" si="132"/>
        <v/>
      </c>
      <c r="C1470" t="str">
        <f t="shared" si="133"/>
        <v/>
      </c>
      <c r="D1470" t="str">
        <f t="shared" si="134"/>
        <v/>
      </c>
      <c r="E1470" t="str">
        <f t="shared" si="135"/>
        <v/>
      </c>
      <c r="F1470" t="str">
        <f t="shared" si="136"/>
        <v/>
      </c>
      <c r="G1470" t="str">
        <f>IF(OR($E1470="",$E1470="نامعتبر",Sync!$X1466=""),"",IF(AND(LEFT(UPPER(TRIM(Sync!$X1466)),2)="SL",IFERROR(VLOOKUP(Sync!$W1466,OpTbl,3,0),"")="فروش"),UPPER(TRIM(Sync!$X1466)),""))</f>
        <v/>
      </c>
      <c r="H1470" t="str">
        <f>IF($G1470="","",IF(Sync!$W1466="","",Sync!$W1466))</f>
        <v/>
      </c>
      <c r="I1470" t="str">
        <f>IF(OR($G1470="",Sync!$Y1466=""),"",Sync!$Y1466)</f>
        <v/>
      </c>
      <c r="J1470" t="str">
        <f>IF(OR($G1470="",Sync!$Z1466=""),"",Sync!$Z1466)</f>
        <v/>
      </c>
      <c r="K1470">
        <f>IF($G1470="",0,IF(Sync!$AA1466="",0,Sync!$AA1466))</f>
        <v>0</v>
      </c>
      <c r="L1470">
        <f>IF($G1470="",0,IF(Sync!$AB1466="",0,Sync!$AB1466))</f>
        <v>0</v>
      </c>
      <c r="M1470" t="str">
        <f t="shared" si="137"/>
        <v/>
      </c>
      <c r="N1470">
        <f>IF($G1470="",0,IF($H1470="مرجوعی فروش",-1,1)*IF(Sync!$AC1466="",0,Sync!$AC1466))</f>
        <v>0</v>
      </c>
      <c r="O1470" t="str">
        <f>IF(OR($G1470="",Sync!$V1466=""),"",Sync!$V1466)</f>
        <v/>
      </c>
      <c r="P1470" t="str">
        <f>IF(OR($G1470="",Sync!$AD1466=""),"",Sync!$AD1466)</f>
        <v/>
      </c>
      <c r="Q1470" t="str">
        <f>IF($G1470="","",IF(Sync!$U1466="","0000",IF(AND(ISNUMBER(Sync!$U1466),Sync!$U1466&gt;=0,Sync!$U1466&lt;1),RIGHT("00"&amp;HOUR(Sync!$U1466),2)&amp;RIGHT("00"&amp;MINUTE(Sync!$U1466),2),IFERROR(RIGHT("00"&amp;VALUE(LEFT(Sync!$U1466,FIND(":",Sync!$U1466)-1)),2)&amp;RIGHT("00"&amp;VALUE(MID(Sync!$U1466,FIND(":",Sync!$U1466)+1,2)),2),"0000"))))</f>
        <v/>
      </c>
    </row>
    <row r="1471" spans="1:17" x14ac:dyDescent="0.2">
      <c r="A1471" t="str">
        <f>IF(Sync!$T1467="","",Sync!$T1467)</f>
        <v/>
      </c>
      <c r="B1471" t="str">
        <f t="shared" si="132"/>
        <v/>
      </c>
      <c r="C1471" t="str">
        <f t="shared" si="133"/>
        <v/>
      </c>
      <c r="D1471" t="str">
        <f t="shared" si="134"/>
        <v/>
      </c>
      <c r="E1471" t="str">
        <f t="shared" si="135"/>
        <v/>
      </c>
      <c r="F1471" t="str">
        <f t="shared" si="136"/>
        <v/>
      </c>
      <c r="G1471" t="str">
        <f>IF(OR($E1471="",$E1471="نامعتبر",Sync!$X1467=""),"",IF(AND(LEFT(UPPER(TRIM(Sync!$X1467)),2)="SL",IFERROR(VLOOKUP(Sync!$W1467,OpTbl,3,0),"")="فروش"),UPPER(TRIM(Sync!$X1467)),""))</f>
        <v/>
      </c>
      <c r="H1471" t="str">
        <f>IF($G1471="","",IF(Sync!$W1467="","",Sync!$W1467))</f>
        <v/>
      </c>
      <c r="I1471" t="str">
        <f>IF(OR($G1471="",Sync!$Y1467=""),"",Sync!$Y1467)</f>
        <v/>
      </c>
      <c r="J1471" t="str">
        <f>IF(OR($G1471="",Sync!$Z1467=""),"",Sync!$Z1467)</f>
        <v/>
      </c>
      <c r="K1471">
        <f>IF($G1471="",0,IF(Sync!$AA1467="",0,Sync!$AA1467))</f>
        <v>0</v>
      </c>
      <c r="L1471">
        <f>IF($G1471="",0,IF(Sync!$AB1467="",0,Sync!$AB1467))</f>
        <v>0</v>
      </c>
      <c r="M1471" t="str">
        <f t="shared" si="137"/>
        <v/>
      </c>
      <c r="N1471">
        <f>IF($G1471="",0,IF($H1471="مرجوعی فروش",-1,1)*IF(Sync!$AC1467="",0,Sync!$AC1467))</f>
        <v>0</v>
      </c>
      <c r="O1471" t="str">
        <f>IF(OR($G1471="",Sync!$V1467=""),"",Sync!$V1467)</f>
        <v/>
      </c>
      <c r="P1471" t="str">
        <f>IF(OR($G1471="",Sync!$AD1467=""),"",Sync!$AD1467)</f>
        <v/>
      </c>
      <c r="Q1471" t="str">
        <f>IF($G1471="","",IF(Sync!$U1467="","0000",IF(AND(ISNUMBER(Sync!$U1467),Sync!$U1467&gt;=0,Sync!$U1467&lt;1),RIGHT("00"&amp;HOUR(Sync!$U1467),2)&amp;RIGHT("00"&amp;MINUTE(Sync!$U1467),2),IFERROR(RIGHT("00"&amp;VALUE(LEFT(Sync!$U1467,FIND(":",Sync!$U1467)-1)),2)&amp;RIGHT("00"&amp;VALUE(MID(Sync!$U1467,FIND(":",Sync!$U1467)+1,2)),2),"0000"))))</f>
        <v/>
      </c>
    </row>
    <row r="1472" spans="1:17" x14ac:dyDescent="0.2">
      <c r="A1472" t="str">
        <f>IF(Sync!$T1468="","",Sync!$T1468)</f>
        <v/>
      </c>
      <c r="B1472" t="str">
        <f t="shared" si="132"/>
        <v/>
      </c>
      <c r="C1472" t="str">
        <f t="shared" si="133"/>
        <v/>
      </c>
      <c r="D1472" t="str">
        <f t="shared" si="134"/>
        <v/>
      </c>
      <c r="E1472" t="str">
        <f t="shared" si="135"/>
        <v/>
      </c>
      <c r="F1472" t="str">
        <f t="shared" si="136"/>
        <v/>
      </c>
      <c r="G1472" t="str">
        <f>IF(OR($E1472="",$E1472="نامعتبر",Sync!$X1468=""),"",IF(AND(LEFT(UPPER(TRIM(Sync!$X1468)),2)="SL",IFERROR(VLOOKUP(Sync!$W1468,OpTbl,3,0),"")="فروش"),UPPER(TRIM(Sync!$X1468)),""))</f>
        <v/>
      </c>
      <c r="H1472" t="str">
        <f>IF($G1472="","",IF(Sync!$W1468="","",Sync!$W1468))</f>
        <v/>
      </c>
      <c r="I1472" t="str">
        <f>IF(OR($G1472="",Sync!$Y1468=""),"",Sync!$Y1468)</f>
        <v/>
      </c>
      <c r="J1472" t="str">
        <f>IF(OR($G1472="",Sync!$Z1468=""),"",Sync!$Z1468)</f>
        <v/>
      </c>
      <c r="K1472">
        <f>IF($G1472="",0,IF(Sync!$AA1468="",0,Sync!$AA1468))</f>
        <v>0</v>
      </c>
      <c r="L1472">
        <f>IF($G1472="",0,IF(Sync!$AB1468="",0,Sync!$AB1468))</f>
        <v>0</v>
      </c>
      <c r="M1472" t="str">
        <f t="shared" si="137"/>
        <v/>
      </c>
      <c r="N1472">
        <f>IF($G1472="",0,IF($H1472="مرجوعی فروش",-1,1)*IF(Sync!$AC1468="",0,Sync!$AC1468))</f>
        <v>0</v>
      </c>
      <c r="O1472" t="str">
        <f>IF(OR($G1472="",Sync!$V1468=""),"",Sync!$V1468)</f>
        <v/>
      </c>
      <c r="P1472" t="str">
        <f>IF(OR($G1472="",Sync!$AD1468=""),"",Sync!$AD1468)</f>
        <v/>
      </c>
      <c r="Q1472" t="str">
        <f>IF($G1472="","",IF(Sync!$U1468="","0000",IF(AND(ISNUMBER(Sync!$U1468),Sync!$U1468&gt;=0,Sync!$U1468&lt;1),RIGHT("00"&amp;HOUR(Sync!$U1468),2)&amp;RIGHT("00"&amp;MINUTE(Sync!$U1468),2),IFERROR(RIGHT("00"&amp;VALUE(LEFT(Sync!$U1468,FIND(":",Sync!$U1468)-1)),2)&amp;RIGHT("00"&amp;VALUE(MID(Sync!$U1468,FIND(":",Sync!$U1468)+1,2)),2),"0000"))))</f>
        <v/>
      </c>
    </row>
    <row r="1473" spans="1:17" x14ac:dyDescent="0.2">
      <c r="A1473" t="str">
        <f>IF(Sync!$T1469="","",Sync!$T1469)</f>
        <v/>
      </c>
      <c r="B1473" t="str">
        <f t="shared" si="132"/>
        <v/>
      </c>
      <c r="C1473" t="str">
        <f t="shared" si="133"/>
        <v/>
      </c>
      <c r="D1473" t="str">
        <f t="shared" si="134"/>
        <v/>
      </c>
      <c r="E1473" t="str">
        <f t="shared" si="135"/>
        <v/>
      </c>
      <c r="F1473" t="str">
        <f t="shared" si="136"/>
        <v/>
      </c>
      <c r="G1473" t="str">
        <f>IF(OR($E1473="",$E1473="نامعتبر",Sync!$X1469=""),"",IF(AND(LEFT(UPPER(TRIM(Sync!$X1469)),2)="SL",IFERROR(VLOOKUP(Sync!$W1469,OpTbl,3,0),"")="فروش"),UPPER(TRIM(Sync!$X1469)),""))</f>
        <v/>
      </c>
      <c r="H1473" t="str">
        <f>IF($G1473="","",IF(Sync!$W1469="","",Sync!$W1469))</f>
        <v/>
      </c>
      <c r="I1473" t="str">
        <f>IF(OR($G1473="",Sync!$Y1469=""),"",Sync!$Y1469)</f>
        <v/>
      </c>
      <c r="J1473" t="str">
        <f>IF(OR($G1473="",Sync!$Z1469=""),"",Sync!$Z1469)</f>
        <v/>
      </c>
      <c r="K1473">
        <f>IF($G1473="",0,IF(Sync!$AA1469="",0,Sync!$AA1469))</f>
        <v>0</v>
      </c>
      <c r="L1473">
        <f>IF($G1473="",0,IF(Sync!$AB1469="",0,Sync!$AB1469))</f>
        <v>0</v>
      </c>
      <c r="M1473" t="str">
        <f t="shared" si="137"/>
        <v/>
      </c>
      <c r="N1473">
        <f>IF($G1473="",0,IF($H1473="مرجوعی فروش",-1,1)*IF(Sync!$AC1469="",0,Sync!$AC1469))</f>
        <v>0</v>
      </c>
      <c r="O1473" t="str">
        <f>IF(OR($G1473="",Sync!$V1469=""),"",Sync!$V1469)</f>
        <v/>
      </c>
      <c r="P1473" t="str">
        <f>IF(OR($G1473="",Sync!$AD1469=""),"",Sync!$AD1469)</f>
        <v/>
      </c>
      <c r="Q1473" t="str">
        <f>IF($G1473="","",IF(Sync!$U1469="","0000",IF(AND(ISNUMBER(Sync!$U1469),Sync!$U1469&gt;=0,Sync!$U1469&lt;1),RIGHT("00"&amp;HOUR(Sync!$U1469),2)&amp;RIGHT("00"&amp;MINUTE(Sync!$U1469),2),IFERROR(RIGHT("00"&amp;VALUE(LEFT(Sync!$U1469,FIND(":",Sync!$U1469)-1)),2)&amp;RIGHT("00"&amp;VALUE(MID(Sync!$U1469,FIND(":",Sync!$U1469)+1,2)),2),"0000"))))</f>
        <v/>
      </c>
    </row>
    <row r="1474" spans="1:17" x14ac:dyDescent="0.2">
      <c r="A1474" t="str">
        <f>IF(Sync!$T1470="","",Sync!$T1470)</f>
        <v/>
      </c>
      <c r="B1474" t="str">
        <f t="shared" si="132"/>
        <v/>
      </c>
      <c r="C1474" t="str">
        <f t="shared" si="133"/>
        <v/>
      </c>
      <c r="D1474" t="str">
        <f t="shared" si="134"/>
        <v/>
      </c>
      <c r="E1474" t="str">
        <f t="shared" si="135"/>
        <v/>
      </c>
      <c r="F1474" t="str">
        <f t="shared" si="136"/>
        <v/>
      </c>
      <c r="G1474" t="str">
        <f>IF(OR($E1474="",$E1474="نامعتبر",Sync!$X1470=""),"",IF(AND(LEFT(UPPER(TRIM(Sync!$X1470)),2)="SL",IFERROR(VLOOKUP(Sync!$W1470,OpTbl,3,0),"")="فروش"),UPPER(TRIM(Sync!$X1470)),""))</f>
        <v/>
      </c>
      <c r="H1474" t="str">
        <f>IF($G1474="","",IF(Sync!$W1470="","",Sync!$W1470))</f>
        <v/>
      </c>
      <c r="I1474" t="str">
        <f>IF(OR($G1474="",Sync!$Y1470=""),"",Sync!$Y1470)</f>
        <v/>
      </c>
      <c r="J1474" t="str">
        <f>IF(OR($G1474="",Sync!$Z1470=""),"",Sync!$Z1470)</f>
        <v/>
      </c>
      <c r="K1474">
        <f>IF($G1474="",0,IF(Sync!$AA1470="",0,Sync!$AA1470))</f>
        <v>0</v>
      </c>
      <c r="L1474">
        <f>IF($G1474="",0,IF(Sync!$AB1470="",0,Sync!$AB1470))</f>
        <v>0</v>
      </c>
      <c r="M1474" t="str">
        <f t="shared" si="137"/>
        <v/>
      </c>
      <c r="N1474">
        <f>IF($G1474="",0,IF($H1474="مرجوعی فروش",-1,1)*IF(Sync!$AC1470="",0,Sync!$AC1470))</f>
        <v>0</v>
      </c>
      <c r="O1474" t="str">
        <f>IF(OR($G1474="",Sync!$V1470=""),"",Sync!$V1470)</f>
        <v/>
      </c>
      <c r="P1474" t="str">
        <f>IF(OR($G1474="",Sync!$AD1470=""),"",Sync!$AD1470)</f>
        <v/>
      </c>
      <c r="Q1474" t="str">
        <f>IF($G1474="","",IF(Sync!$U1470="","0000",IF(AND(ISNUMBER(Sync!$U1470),Sync!$U1470&gt;=0,Sync!$U1470&lt;1),RIGHT("00"&amp;HOUR(Sync!$U1470),2)&amp;RIGHT("00"&amp;MINUTE(Sync!$U1470),2),IFERROR(RIGHT("00"&amp;VALUE(LEFT(Sync!$U1470,FIND(":",Sync!$U1470)-1)),2)&amp;RIGHT("00"&amp;VALUE(MID(Sync!$U1470,FIND(":",Sync!$U1470)+1,2)),2),"0000"))))</f>
        <v/>
      </c>
    </row>
    <row r="1475" spans="1:17" x14ac:dyDescent="0.2">
      <c r="A1475" t="str">
        <f>IF(Sync!$T1471="","",Sync!$T1471)</f>
        <v/>
      </c>
      <c r="B1475" t="str">
        <f t="shared" si="132"/>
        <v/>
      </c>
      <c r="C1475" t="str">
        <f t="shared" si="133"/>
        <v/>
      </c>
      <c r="D1475" t="str">
        <f t="shared" si="134"/>
        <v/>
      </c>
      <c r="E1475" t="str">
        <f t="shared" si="135"/>
        <v/>
      </c>
      <c r="F1475" t="str">
        <f t="shared" si="136"/>
        <v/>
      </c>
      <c r="G1475" t="str">
        <f>IF(OR($E1475="",$E1475="نامعتبر",Sync!$X1471=""),"",IF(AND(LEFT(UPPER(TRIM(Sync!$X1471)),2)="SL",IFERROR(VLOOKUP(Sync!$W1471,OpTbl,3,0),"")="فروش"),UPPER(TRIM(Sync!$X1471)),""))</f>
        <v/>
      </c>
      <c r="H1475" t="str">
        <f>IF($G1475="","",IF(Sync!$W1471="","",Sync!$W1471))</f>
        <v/>
      </c>
      <c r="I1475" t="str">
        <f>IF(OR($G1475="",Sync!$Y1471=""),"",Sync!$Y1471)</f>
        <v/>
      </c>
      <c r="J1475" t="str">
        <f>IF(OR($G1475="",Sync!$Z1471=""),"",Sync!$Z1471)</f>
        <v/>
      </c>
      <c r="K1475">
        <f>IF($G1475="",0,IF(Sync!$AA1471="",0,Sync!$AA1471))</f>
        <v>0</v>
      </c>
      <c r="L1475">
        <f>IF($G1475="",0,IF(Sync!$AB1471="",0,Sync!$AB1471))</f>
        <v>0</v>
      </c>
      <c r="M1475" t="str">
        <f t="shared" si="137"/>
        <v/>
      </c>
      <c r="N1475">
        <f>IF($G1475="",0,IF($H1475="مرجوعی فروش",-1,1)*IF(Sync!$AC1471="",0,Sync!$AC1471))</f>
        <v>0</v>
      </c>
      <c r="O1475" t="str">
        <f>IF(OR($G1475="",Sync!$V1471=""),"",Sync!$V1471)</f>
        <v/>
      </c>
      <c r="P1475" t="str">
        <f>IF(OR($G1475="",Sync!$AD1471=""),"",Sync!$AD1471)</f>
        <v/>
      </c>
      <c r="Q1475" t="str">
        <f>IF($G1475="","",IF(Sync!$U1471="","0000",IF(AND(ISNUMBER(Sync!$U1471),Sync!$U1471&gt;=0,Sync!$U1471&lt;1),RIGHT("00"&amp;HOUR(Sync!$U1471),2)&amp;RIGHT("00"&amp;MINUTE(Sync!$U1471),2),IFERROR(RIGHT("00"&amp;VALUE(LEFT(Sync!$U1471,FIND(":",Sync!$U1471)-1)),2)&amp;RIGHT("00"&amp;VALUE(MID(Sync!$U1471,FIND(":",Sync!$U1471)+1,2)),2),"0000"))))</f>
        <v/>
      </c>
    </row>
    <row r="1476" spans="1:17" x14ac:dyDescent="0.2">
      <c r="A1476" t="str">
        <f>IF(Sync!$T1472="","",Sync!$T1472)</f>
        <v/>
      </c>
      <c r="B1476" t="str">
        <f t="shared" si="132"/>
        <v/>
      </c>
      <c r="C1476" t="str">
        <f t="shared" si="133"/>
        <v/>
      </c>
      <c r="D1476" t="str">
        <f t="shared" si="134"/>
        <v/>
      </c>
      <c r="E1476" t="str">
        <f t="shared" si="135"/>
        <v/>
      </c>
      <c r="F1476" t="str">
        <f t="shared" si="136"/>
        <v/>
      </c>
      <c r="G1476" t="str">
        <f>IF(OR($E1476="",$E1476="نامعتبر",Sync!$X1472=""),"",IF(AND(LEFT(UPPER(TRIM(Sync!$X1472)),2)="SL",IFERROR(VLOOKUP(Sync!$W1472,OpTbl,3,0),"")="فروش"),UPPER(TRIM(Sync!$X1472)),""))</f>
        <v/>
      </c>
      <c r="H1476" t="str">
        <f>IF($G1476="","",IF(Sync!$W1472="","",Sync!$W1472))</f>
        <v/>
      </c>
      <c r="I1476" t="str">
        <f>IF(OR($G1476="",Sync!$Y1472=""),"",Sync!$Y1472)</f>
        <v/>
      </c>
      <c r="J1476" t="str">
        <f>IF(OR($G1476="",Sync!$Z1472=""),"",Sync!$Z1472)</f>
        <v/>
      </c>
      <c r="K1476">
        <f>IF($G1476="",0,IF(Sync!$AA1472="",0,Sync!$AA1472))</f>
        <v>0</v>
      </c>
      <c r="L1476">
        <f>IF($G1476="",0,IF(Sync!$AB1472="",0,Sync!$AB1472))</f>
        <v>0</v>
      </c>
      <c r="M1476" t="str">
        <f t="shared" si="137"/>
        <v/>
      </c>
      <c r="N1476">
        <f>IF($G1476="",0,IF($H1476="مرجوعی فروش",-1,1)*IF(Sync!$AC1472="",0,Sync!$AC1472))</f>
        <v>0</v>
      </c>
      <c r="O1476" t="str">
        <f>IF(OR($G1476="",Sync!$V1472=""),"",Sync!$V1472)</f>
        <v/>
      </c>
      <c r="P1476" t="str">
        <f>IF(OR($G1476="",Sync!$AD1472=""),"",Sync!$AD1472)</f>
        <v/>
      </c>
      <c r="Q1476" t="str">
        <f>IF($G1476="","",IF(Sync!$U1472="","0000",IF(AND(ISNUMBER(Sync!$U1472),Sync!$U1472&gt;=0,Sync!$U1472&lt;1),RIGHT("00"&amp;HOUR(Sync!$U1472),2)&amp;RIGHT("00"&amp;MINUTE(Sync!$U1472),2),IFERROR(RIGHT("00"&amp;VALUE(LEFT(Sync!$U1472,FIND(":",Sync!$U1472)-1)),2)&amp;RIGHT("00"&amp;VALUE(MID(Sync!$U1472,FIND(":",Sync!$U1472)+1,2)),2),"0000"))))</f>
        <v/>
      </c>
    </row>
    <row r="1477" spans="1:17" x14ac:dyDescent="0.2">
      <c r="A1477" t="str">
        <f>IF(Sync!$T1473="","",Sync!$T1473)</f>
        <v/>
      </c>
      <c r="B1477" t="str">
        <f t="shared" si="132"/>
        <v/>
      </c>
      <c r="C1477" t="str">
        <f t="shared" si="133"/>
        <v/>
      </c>
      <c r="D1477" t="str">
        <f t="shared" si="134"/>
        <v/>
      </c>
      <c r="E1477" t="str">
        <f t="shared" si="135"/>
        <v/>
      </c>
      <c r="F1477" t="str">
        <f t="shared" si="136"/>
        <v/>
      </c>
      <c r="G1477" t="str">
        <f>IF(OR($E1477="",$E1477="نامعتبر",Sync!$X1473=""),"",IF(AND(LEFT(UPPER(TRIM(Sync!$X1473)),2)="SL",IFERROR(VLOOKUP(Sync!$W1473,OpTbl,3,0),"")="فروش"),UPPER(TRIM(Sync!$X1473)),""))</f>
        <v/>
      </c>
      <c r="H1477" t="str">
        <f>IF($G1477="","",IF(Sync!$W1473="","",Sync!$W1473))</f>
        <v/>
      </c>
      <c r="I1477" t="str">
        <f>IF(OR($G1477="",Sync!$Y1473=""),"",Sync!$Y1473)</f>
        <v/>
      </c>
      <c r="J1477" t="str">
        <f>IF(OR($G1477="",Sync!$Z1473=""),"",Sync!$Z1473)</f>
        <v/>
      </c>
      <c r="K1477">
        <f>IF($G1477="",0,IF(Sync!$AA1473="",0,Sync!$AA1473))</f>
        <v>0</v>
      </c>
      <c r="L1477">
        <f>IF($G1477="",0,IF(Sync!$AB1473="",0,Sync!$AB1473))</f>
        <v>0</v>
      </c>
      <c r="M1477" t="str">
        <f t="shared" si="137"/>
        <v/>
      </c>
      <c r="N1477">
        <f>IF($G1477="",0,IF($H1477="مرجوعی فروش",-1,1)*IF(Sync!$AC1473="",0,Sync!$AC1473))</f>
        <v>0</v>
      </c>
      <c r="O1477" t="str">
        <f>IF(OR($G1477="",Sync!$V1473=""),"",Sync!$V1473)</f>
        <v/>
      </c>
      <c r="P1477" t="str">
        <f>IF(OR($G1477="",Sync!$AD1473=""),"",Sync!$AD1473)</f>
        <v/>
      </c>
      <c r="Q1477" t="str">
        <f>IF($G1477="","",IF(Sync!$U1473="","0000",IF(AND(ISNUMBER(Sync!$U1473),Sync!$U1473&gt;=0,Sync!$U1473&lt;1),RIGHT("00"&amp;HOUR(Sync!$U1473),2)&amp;RIGHT("00"&amp;MINUTE(Sync!$U1473),2),IFERROR(RIGHT("00"&amp;VALUE(LEFT(Sync!$U1473,FIND(":",Sync!$U1473)-1)),2)&amp;RIGHT("00"&amp;VALUE(MID(Sync!$U1473,FIND(":",Sync!$U1473)+1,2)),2),"0000"))))</f>
        <v/>
      </c>
    </row>
    <row r="1478" spans="1:17" x14ac:dyDescent="0.2">
      <c r="A1478" t="str">
        <f>IF(Sync!$T1474="","",Sync!$T1474)</f>
        <v/>
      </c>
      <c r="B1478" t="str">
        <f t="shared" si="132"/>
        <v/>
      </c>
      <c r="C1478" t="str">
        <f t="shared" si="133"/>
        <v/>
      </c>
      <c r="D1478" t="str">
        <f t="shared" si="134"/>
        <v/>
      </c>
      <c r="E1478" t="str">
        <f t="shared" si="135"/>
        <v/>
      </c>
      <c r="F1478" t="str">
        <f t="shared" si="136"/>
        <v/>
      </c>
      <c r="G1478" t="str">
        <f>IF(OR($E1478="",$E1478="نامعتبر",Sync!$X1474=""),"",IF(AND(LEFT(UPPER(TRIM(Sync!$X1474)),2)="SL",IFERROR(VLOOKUP(Sync!$W1474,OpTbl,3,0),"")="فروش"),UPPER(TRIM(Sync!$X1474)),""))</f>
        <v/>
      </c>
      <c r="H1478" t="str">
        <f>IF($G1478="","",IF(Sync!$W1474="","",Sync!$W1474))</f>
        <v/>
      </c>
      <c r="I1478" t="str">
        <f>IF(OR($G1478="",Sync!$Y1474=""),"",Sync!$Y1474)</f>
        <v/>
      </c>
      <c r="J1478" t="str">
        <f>IF(OR($G1478="",Sync!$Z1474=""),"",Sync!$Z1474)</f>
        <v/>
      </c>
      <c r="K1478">
        <f>IF($G1478="",0,IF(Sync!$AA1474="",0,Sync!$AA1474))</f>
        <v>0</v>
      </c>
      <c r="L1478">
        <f>IF($G1478="",0,IF(Sync!$AB1474="",0,Sync!$AB1474))</f>
        <v>0</v>
      </c>
      <c r="M1478" t="str">
        <f t="shared" si="137"/>
        <v/>
      </c>
      <c r="N1478">
        <f>IF($G1478="",0,IF($H1478="مرجوعی فروش",-1,1)*IF(Sync!$AC1474="",0,Sync!$AC1474))</f>
        <v>0</v>
      </c>
      <c r="O1478" t="str">
        <f>IF(OR($G1478="",Sync!$V1474=""),"",Sync!$V1474)</f>
        <v/>
      </c>
      <c r="P1478" t="str">
        <f>IF(OR($G1478="",Sync!$AD1474=""),"",Sync!$AD1474)</f>
        <v/>
      </c>
      <c r="Q1478" t="str">
        <f>IF($G1478="","",IF(Sync!$U1474="","0000",IF(AND(ISNUMBER(Sync!$U1474),Sync!$U1474&gt;=0,Sync!$U1474&lt;1),RIGHT("00"&amp;HOUR(Sync!$U1474),2)&amp;RIGHT("00"&amp;MINUTE(Sync!$U1474),2),IFERROR(RIGHT("00"&amp;VALUE(LEFT(Sync!$U1474,FIND(":",Sync!$U1474)-1)),2)&amp;RIGHT("00"&amp;VALUE(MID(Sync!$U1474,FIND(":",Sync!$U1474)+1,2)),2),"0000"))))</f>
        <v/>
      </c>
    </row>
    <row r="1479" spans="1:17" x14ac:dyDescent="0.2">
      <c r="A1479" t="str">
        <f>IF(Sync!$T1475="","",Sync!$T1475)</f>
        <v/>
      </c>
      <c r="B1479" t="str">
        <f t="shared" si="132"/>
        <v/>
      </c>
      <c r="C1479" t="str">
        <f t="shared" si="133"/>
        <v/>
      </c>
      <c r="D1479" t="str">
        <f t="shared" si="134"/>
        <v/>
      </c>
      <c r="E1479" t="str">
        <f t="shared" si="135"/>
        <v/>
      </c>
      <c r="F1479" t="str">
        <f t="shared" si="136"/>
        <v/>
      </c>
      <c r="G1479" t="str">
        <f>IF(OR($E1479="",$E1479="نامعتبر",Sync!$X1475=""),"",IF(AND(LEFT(UPPER(TRIM(Sync!$X1475)),2)="SL",IFERROR(VLOOKUP(Sync!$W1475,OpTbl,3,0),"")="فروش"),UPPER(TRIM(Sync!$X1475)),""))</f>
        <v/>
      </c>
      <c r="H1479" t="str">
        <f>IF($G1479="","",IF(Sync!$W1475="","",Sync!$W1475))</f>
        <v/>
      </c>
      <c r="I1479" t="str">
        <f>IF(OR($G1479="",Sync!$Y1475=""),"",Sync!$Y1475)</f>
        <v/>
      </c>
      <c r="J1479" t="str">
        <f>IF(OR($G1479="",Sync!$Z1475=""),"",Sync!$Z1475)</f>
        <v/>
      </c>
      <c r="K1479">
        <f>IF($G1479="",0,IF(Sync!$AA1475="",0,Sync!$AA1475))</f>
        <v>0</v>
      </c>
      <c r="L1479">
        <f>IF($G1479="",0,IF(Sync!$AB1475="",0,Sync!$AB1475))</f>
        <v>0</v>
      </c>
      <c r="M1479" t="str">
        <f t="shared" si="137"/>
        <v/>
      </c>
      <c r="N1479">
        <f>IF($G1479="",0,IF($H1479="مرجوعی فروش",-1,1)*IF(Sync!$AC1475="",0,Sync!$AC1475))</f>
        <v>0</v>
      </c>
      <c r="O1479" t="str">
        <f>IF(OR($G1479="",Sync!$V1475=""),"",Sync!$V1475)</f>
        <v/>
      </c>
      <c r="P1479" t="str">
        <f>IF(OR($G1479="",Sync!$AD1475=""),"",Sync!$AD1475)</f>
        <v/>
      </c>
      <c r="Q1479" t="str">
        <f>IF($G1479="","",IF(Sync!$U1475="","0000",IF(AND(ISNUMBER(Sync!$U1475),Sync!$U1475&gt;=0,Sync!$U1475&lt;1),RIGHT("00"&amp;HOUR(Sync!$U1475),2)&amp;RIGHT("00"&amp;MINUTE(Sync!$U1475),2),IFERROR(RIGHT("00"&amp;VALUE(LEFT(Sync!$U1475,FIND(":",Sync!$U1475)-1)),2)&amp;RIGHT("00"&amp;VALUE(MID(Sync!$U1475,FIND(":",Sync!$U1475)+1,2)),2),"0000"))))</f>
        <v/>
      </c>
    </row>
    <row r="1480" spans="1:17" x14ac:dyDescent="0.2">
      <c r="A1480" t="str">
        <f>IF(Sync!$T1476="","",Sync!$T1476)</f>
        <v/>
      </c>
      <c r="B1480" t="str">
        <f t="shared" si="132"/>
        <v/>
      </c>
      <c r="C1480" t="str">
        <f t="shared" si="133"/>
        <v/>
      </c>
      <c r="D1480" t="str">
        <f t="shared" si="134"/>
        <v/>
      </c>
      <c r="E1480" t="str">
        <f t="shared" si="135"/>
        <v/>
      </c>
      <c r="F1480" t="str">
        <f t="shared" si="136"/>
        <v/>
      </c>
      <c r="G1480" t="str">
        <f>IF(OR($E1480="",$E1480="نامعتبر",Sync!$X1476=""),"",IF(AND(LEFT(UPPER(TRIM(Sync!$X1476)),2)="SL",IFERROR(VLOOKUP(Sync!$W1476,OpTbl,3,0),"")="فروش"),UPPER(TRIM(Sync!$X1476)),""))</f>
        <v/>
      </c>
      <c r="H1480" t="str">
        <f>IF($G1480="","",IF(Sync!$W1476="","",Sync!$W1476))</f>
        <v/>
      </c>
      <c r="I1480" t="str">
        <f>IF(OR($G1480="",Sync!$Y1476=""),"",Sync!$Y1476)</f>
        <v/>
      </c>
      <c r="J1480" t="str">
        <f>IF(OR($G1480="",Sync!$Z1476=""),"",Sync!$Z1476)</f>
        <v/>
      </c>
      <c r="K1480">
        <f>IF($G1480="",0,IF(Sync!$AA1476="",0,Sync!$AA1476))</f>
        <v>0</v>
      </c>
      <c r="L1480">
        <f>IF($G1480="",0,IF(Sync!$AB1476="",0,Sync!$AB1476))</f>
        <v>0</v>
      </c>
      <c r="M1480" t="str">
        <f t="shared" si="137"/>
        <v/>
      </c>
      <c r="N1480">
        <f>IF($G1480="",0,IF($H1480="مرجوعی فروش",-1,1)*IF(Sync!$AC1476="",0,Sync!$AC1476))</f>
        <v>0</v>
      </c>
      <c r="O1480" t="str">
        <f>IF(OR($G1480="",Sync!$V1476=""),"",Sync!$V1476)</f>
        <v/>
      </c>
      <c r="P1480" t="str">
        <f>IF(OR($G1480="",Sync!$AD1476=""),"",Sync!$AD1476)</f>
        <v/>
      </c>
      <c r="Q1480" t="str">
        <f>IF($G1480="","",IF(Sync!$U1476="","0000",IF(AND(ISNUMBER(Sync!$U1476),Sync!$U1476&gt;=0,Sync!$U1476&lt;1),RIGHT("00"&amp;HOUR(Sync!$U1476),2)&amp;RIGHT("00"&amp;MINUTE(Sync!$U1476),2),IFERROR(RIGHT("00"&amp;VALUE(LEFT(Sync!$U1476,FIND(":",Sync!$U1476)-1)),2)&amp;RIGHT("00"&amp;VALUE(MID(Sync!$U1476,FIND(":",Sync!$U1476)+1,2)),2),"0000"))))</f>
        <v/>
      </c>
    </row>
    <row r="1481" spans="1:17" x14ac:dyDescent="0.2">
      <c r="A1481" t="str">
        <f>IF(Sync!$T1477="","",Sync!$T1477)</f>
        <v/>
      </c>
      <c r="B1481" t="str">
        <f t="shared" si="132"/>
        <v/>
      </c>
      <c r="C1481" t="str">
        <f t="shared" si="133"/>
        <v/>
      </c>
      <c r="D1481" t="str">
        <f t="shared" si="134"/>
        <v/>
      </c>
      <c r="E1481" t="str">
        <f t="shared" si="135"/>
        <v/>
      </c>
      <c r="F1481" t="str">
        <f t="shared" si="136"/>
        <v/>
      </c>
      <c r="G1481" t="str">
        <f>IF(OR($E1481="",$E1481="نامعتبر",Sync!$X1477=""),"",IF(AND(LEFT(UPPER(TRIM(Sync!$X1477)),2)="SL",IFERROR(VLOOKUP(Sync!$W1477,OpTbl,3,0),"")="فروش"),UPPER(TRIM(Sync!$X1477)),""))</f>
        <v/>
      </c>
      <c r="H1481" t="str">
        <f>IF($G1481="","",IF(Sync!$W1477="","",Sync!$W1477))</f>
        <v/>
      </c>
      <c r="I1481" t="str">
        <f>IF(OR($G1481="",Sync!$Y1477=""),"",Sync!$Y1477)</f>
        <v/>
      </c>
      <c r="J1481" t="str">
        <f>IF(OR($G1481="",Sync!$Z1477=""),"",Sync!$Z1477)</f>
        <v/>
      </c>
      <c r="K1481">
        <f>IF($G1481="",0,IF(Sync!$AA1477="",0,Sync!$AA1477))</f>
        <v>0</v>
      </c>
      <c r="L1481">
        <f>IF($G1481="",0,IF(Sync!$AB1477="",0,Sync!$AB1477))</f>
        <v>0</v>
      </c>
      <c r="M1481" t="str">
        <f t="shared" si="137"/>
        <v/>
      </c>
      <c r="N1481">
        <f>IF($G1481="",0,IF($H1481="مرجوعی فروش",-1,1)*IF(Sync!$AC1477="",0,Sync!$AC1477))</f>
        <v>0</v>
      </c>
      <c r="O1481" t="str">
        <f>IF(OR($G1481="",Sync!$V1477=""),"",Sync!$V1477)</f>
        <v/>
      </c>
      <c r="P1481" t="str">
        <f>IF(OR($G1481="",Sync!$AD1477=""),"",Sync!$AD1477)</f>
        <v/>
      </c>
      <c r="Q1481" t="str">
        <f>IF($G1481="","",IF(Sync!$U1477="","0000",IF(AND(ISNUMBER(Sync!$U1477),Sync!$U1477&gt;=0,Sync!$U1477&lt;1),RIGHT("00"&amp;HOUR(Sync!$U1477),2)&amp;RIGHT("00"&amp;MINUTE(Sync!$U1477),2),IFERROR(RIGHT("00"&amp;VALUE(LEFT(Sync!$U1477,FIND(":",Sync!$U1477)-1)),2)&amp;RIGHT("00"&amp;VALUE(MID(Sync!$U1477,FIND(":",Sync!$U1477)+1,2)),2),"0000"))))</f>
        <v/>
      </c>
    </row>
    <row r="1482" spans="1:17" x14ac:dyDescent="0.2">
      <c r="A1482" t="str">
        <f>IF(Sync!$T1478="","",Sync!$T1478)</f>
        <v/>
      </c>
      <c r="B1482" t="str">
        <f t="shared" ref="B1482:B1545" si="138">IF($A1482="","",IF(ISNUMBER($A1482),IF(AND($A1482&gt;=10000101,$A1482&lt;=99991231),INT($A1482/10000),""),IFERROR(VALUE(TRIM(LEFT($A1482,FIND("/",$A1482)-1))),"")))</f>
        <v/>
      </c>
      <c r="C1482" t="str">
        <f t="shared" ref="C1482:C1545" si="139">IF(OR($A1482="",$B1482=""),"",IF(ISNUMBER($A1482),INT(MOD($A1482,10000)/100),IFERROR(VALUE(TRIM(LEFT(MID($A1482,FIND("/",$A1482)+1,20),FIND("/",MID($A1482,FIND("/",$A1482)+1,20))-1))),"")))</f>
        <v/>
      </c>
      <c r="D1482" t="str">
        <f t="shared" ref="D1482:D1545" si="140">IF(OR($A1482="",$B1482=""),"",IF(ISNUMBER($A1482),MOD($A1482,100),IFERROR(VALUE(TRIM(MID(MID($A1482,FIND("/",$A1482)+1,20),FIND("/",MID($A1482,FIND("/",$A1482)+1,20))+1,20))),"")))</f>
        <v/>
      </c>
      <c r="E1482" t="str">
        <f t="shared" ref="E1482:E1545" si="141">IF($A1482="","",IF(OR($B1482="",$C1482="",$D1482="",$B1482&lt;1300,$B1482&gt;1500,$C1482&lt;1,$C1482&gt;12,$D1482&lt;1,$D1482&gt;31),"نامعتبر",RIGHT("0000"&amp;$B1482,4)&amp;"/"&amp;RIGHT("00"&amp;$C1482,2)&amp;"/"&amp;RIGHT("00"&amp;$D1482,2)))</f>
        <v/>
      </c>
      <c r="F1482" t="str">
        <f t="shared" ref="F1482:F1545" si="142">IF(OR($E1482="",$E1482="نامعتبر"),"",LEFT($E1482,4)&amp;"/"&amp;MID($E1482,6,2))</f>
        <v/>
      </c>
      <c r="G1482" t="str">
        <f>IF(OR($E1482="",$E1482="نامعتبر",Sync!$X1478=""),"",IF(AND(LEFT(UPPER(TRIM(Sync!$X1478)),2)="SL",IFERROR(VLOOKUP(Sync!$W1478,OpTbl,3,0),"")="فروش"),UPPER(TRIM(Sync!$X1478)),""))</f>
        <v/>
      </c>
      <c r="H1482" t="str">
        <f>IF($G1482="","",IF(Sync!$W1478="","",Sync!$W1478))</f>
        <v/>
      </c>
      <c r="I1482" t="str">
        <f>IF(OR($G1482="",Sync!$Y1478=""),"",Sync!$Y1478)</f>
        <v/>
      </c>
      <c r="J1482" t="str">
        <f>IF(OR($G1482="",Sync!$Z1478=""),"",Sync!$Z1478)</f>
        <v/>
      </c>
      <c r="K1482">
        <f>IF($G1482="",0,IF(Sync!$AA1478="",0,Sync!$AA1478))</f>
        <v>0</v>
      </c>
      <c r="L1482">
        <f>IF($G1482="",0,IF(Sync!$AB1478="",0,Sync!$AB1478))</f>
        <v>0</v>
      </c>
      <c r="M1482" t="str">
        <f t="shared" ref="M1482:M1545" si="143">IF($G1482="","",IF($H1482="مرجوعی فروش",-1,1)*($K1482-$L1482*IFERROR(VLOOKUP("P01",ParamTbl,3,0),1.5)))</f>
        <v/>
      </c>
      <c r="N1482">
        <f>IF($G1482="",0,IF($H1482="مرجوعی فروش",-1,1)*IF(Sync!$AC1478="",0,Sync!$AC1478))</f>
        <v>0</v>
      </c>
      <c r="O1482" t="str">
        <f>IF(OR($G1482="",Sync!$V1478=""),"",Sync!$V1478)</f>
        <v/>
      </c>
      <c r="P1482" t="str">
        <f>IF(OR($G1482="",Sync!$AD1478=""),"",Sync!$AD1478)</f>
        <v/>
      </c>
      <c r="Q1482" t="str">
        <f>IF($G1482="","",IF(Sync!$U1478="","0000",IF(AND(ISNUMBER(Sync!$U1478),Sync!$U1478&gt;=0,Sync!$U1478&lt;1),RIGHT("00"&amp;HOUR(Sync!$U1478),2)&amp;RIGHT("00"&amp;MINUTE(Sync!$U1478),2),IFERROR(RIGHT("00"&amp;VALUE(LEFT(Sync!$U1478,FIND(":",Sync!$U1478)-1)),2)&amp;RIGHT("00"&amp;VALUE(MID(Sync!$U1478,FIND(":",Sync!$U1478)+1,2)),2),"0000"))))</f>
        <v/>
      </c>
    </row>
    <row r="1483" spans="1:17" x14ac:dyDescent="0.2">
      <c r="A1483" t="str">
        <f>IF(Sync!$T1479="","",Sync!$T1479)</f>
        <v/>
      </c>
      <c r="B1483" t="str">
        <f t="shared" si="138"/>
        <v/>
      </c>
      <c r="C1483" t="str">
        <f t="shared" si="139"/>
        <v/>
      </c>
      <c r="D1483" t="str">
        <f t="shared" si="140"/>
        <v/>
      </c>
      <c r="E1483" t="str">
        <f t="shared" si="141"/>
        <v/>
      </c>
      <c r="F1483" t="str">
        <f t="shared" si="142"/>
        <v/>
      </c>
      <c r="G1483" t="str">
        <f>IF(OR($E1483="",$E1483="نامعتبر",Sync!$X1479=""),"",IF(AND(LEFT(UPPER(TRIM(Sync!$X1479)),2)="SL",IFERROR(VLOOKUP(Sync!$W1479,OpTbl,3,0),"")="فروش"),UPPER(TRIM(Sync!$X1479)),""))</f>
        <v/>
      </c>
      <c r="H1483" t="str">
        <f>IF($G1483="","",IF(Sync!$W1479="","",Sync!$W1479))</f>
        <v/>
      </c>
      <c r="I1483" t="str">
        <f>IF(OR($G1483="",Sync!$Y1479=""),"",Sync!$Y1479)</f>
        <v/>
      </c>
      <c r="J1483" t="str">
        <f>IF(OR($G1483="",Sync!$Z1479=""),"",Sync!$Z1479)</f>
        <v/>
      </c>
      <c r="K1483">
        <f>IF($G1483="",0,IF(Sync!$AA1479="",0,Sync!$AA1479))</f>
        <v>0</v>
      </c>
      <c r="L1483">
        <f>IF($G1483="",0,IF(Sync!$AB1479="",0,Sync!$AB1479))</f>
        <v>0</v>
      </c>
      <c r="M1483" t="str">
        <f t="shared" si="143"/>
        <v/>
      </c>
      <c r="N1483">
        <f>IF($G1483="",0,IF($H1483="مرجوعی فروش",-1,1)*IF(Sync!$AC1479="",0,Sync!$AC1479))</f>
        <v>0</v>
      </c>
      <c r="O1483" t="str">
        <f>IF(OR($G1483="",Sync!$V1479=""),"",Sync!$V1479)</f>
        <v/>
      </c>
      <c r="P1483" t="str">
        <f>IF(OR($G1483="",Sync!$AD1479=""),"",Sync!$AD1479)</f>
        <v/>
      </c>
      <c r="Q1483" t="str">
        <f>IF($G1483="","",IF(Sync!$U1479="","0000",IF(AND(ISNUMBER(Sync!$U1479),Sync!$U1479&gt;=0,Sync!$U1479&lt;1),RIGHT("00"&amp;HOUR(Sync!$U1479),2)&amp;RIGHT("00"&amp;MINUTE(Sync!$U1479),2),IFERROR(RIGHT("00"&amp;VALUE(LEFT(Sync!$U1479,FIND(":",Sync!$U1479)-1)),2)&amp;RIGHT("00"&amp;VALUE(MID(Sync!$U1479,FIND(":",Sync!$U1479)+1,2)),2),"0000"))))</f>
        <v/>
      </c>
    </row>
    <row r="1484" spans="1:17" x14ac:dyDescent="0.2">
      <c r="A1484" t="str">
        <f>IF(Sync!$T1480="","",Sync!$T1480)</f>
        <v/>
      </c>
      <c r="B1484" t="str">
        <f t="shared" si="138"/>
        <v/>
      </c>
      <c r="C1484" t="str">
        <f t="shared" si="139"/>
        <v/>
      </c>
      <c r="D1484" t="str">
        <f t="shared" si="140"/>
        <v/>
      </c>
      <c r="E1484" t="str">
        <f t="shared" si="141"/>
        <v/>
      </c>
      <c r="F1484" t="str">
        <f t="shared" si="142"/>
        <v/>
      </c>
      <c r="G1484" t="str">
        <f>IF(OR($E1484="",$E1484="نامعتبر",Sync!$X1480=""),"",IF(AND(LEFT(UPPER(TRIM(Sync!$X1480)),2)="SL",IFERROR(VLOOKUP(Sync!$W1480,OpTbl,3,0),"")="فروش"),UPPER(TRIM(Sync!$X1480)),""))</f>
        <v/>
      </c>
      <c r="H1484" t="str">
        <f>IF($G1484="","",IF(Sync!$W1480="","",Sync!$W1480))</f>
        <v/>
      </c>
      <c r="I1484" t="str">
        <f>IF(OR($G1484="",Sync!$Y1480=""),"",Sync!$Y1480)</f>
        <v/>
      </c>
      <c r="J1484" t="str">
        <f>IF(OR($G1484="",Sync!$Z1480=""),"",Sync!$Z1480)</f>
        <v/>
      </c>
      <c r="K1484">
        <f>IF($G1484="",0,IF(Sync!$AA1480="",0,Sync!$AA1480))</f>
        <v>0</v>
      </c>
      <c r="L1484">
        <f>IF($G1484="",0,IF(Sync!$AB1480="",0,Sync!$AB1480))</f>
        <v>0</v>
      </c>
      <c r="M1484" t="str">
        <f t="shared" si="143"/>
        <v/>
      </c>
      <c r="N1484">
        <f>IF($G1484="",0,IF($H1484="مرجوعی فروش",-1,1)*IF(Sync!$AC1480="",0,Sync!$AC1480))</f>
        <v>0</v>
      </c>
      <c r="O1484" t="str">
        <f>IF(OR($G1484="",Sync!$V1480=""),"",Sync!$V1480)</f>
        <v/>
      </c>
      <c r="P1484" t="str">
        <f>IF(OR($G1484="",Sync!$AD1480=""),"",Sync!$AD1480)</f>
        <v/>
      </c>
      <c r="Q1484" t="str">
        <f>IF($G1484="","",IF(Sync!$U1480="","0000",IF(AND(ISNUMBER(Sync!$U1480),Sync!$U1480&gt;=0,Sync!$U1480&lt;1),RIGHT("00"&amp;HOUR(Sync!$U1480),2)&amp;RIGHT("00"&amp;MINUTE(Sync!$U1480),2),IFERROR(RIGHT("00"&amp;VALUE(LEFT(Sync!$U1480,FIND(":",Sync!$U1480)-1)),2)&amp;RIGHT("00"&amp;VALUE(MID(Sync!$U1480,FIND(":",Sync!$U1480)+1,2)),2),"0000"))))</f>
        <v/>
      </c>
    </row>
    <row r="1485" spans="1:17" x14ac:dyDescent="0.2">
      <c r="A1485" t="str">
        <f>IF(Sync!$T1481="","",Sync!$T1481)</f>
        <v/>
      </c>
      <c r="B1485" t="str">
        <f t="shared" si="138"/>
        <v/>
      </c>
      <c r="C1485" t="str">
        <f t="shared" si="139"/>
        <v/>
      </c>
      <c r="D1485" t="str">
        <f t="shared" si="140"/>
        <v/>
      </c>
      <c r="E1485" t="str">
        <f t="shared" si="141"/>
        <v/>
      </c>
      <c r="F1485" t="str">
        <f t="shared" si="142"/>
        <v/>
      </c>
      <c r="G1485" t="str">
        <f>IF(OR($E1485="",$E1485="نامعتبر",Sync!$X1481=""),"",IF(AND(LEFT(UPPER(TRIM(Sync!$X1481)),2)="SL",IFERROR(VLOOKUP(Sync!$W1481,OpTbl,3,0),"")="فروش"),UPPER(TRIM(Sync!$X1481)),""))</f>
        <v/>
      </c>
      <c r="H1485" t="str">
        <f>IF($G1485="","",IF(Sync!$W1481="","",Sync!$W1481))</f>
        <v/>
      </c>
      <c r="I1485" t="str">
        <f>IF(OR($G1485="",Sync!$Y1481=""),"",Sync!$Y1481)</f>
        <v/>
      </c>
      <c r="J1485" t="str">
        <f>IF(OR($G1485="",Sync!$Z1481=""),"",Sync!$Z1481)</f>
        <v/>
      </c>
      <c r="K1485">
        <f>IF($G1485="",0,IF(Sync!$AA1481="",0,Sync!$AA1481))</f>
        <v>0</v>
      </c>
      <c r="L1485">
        <f>IF($G1485="",0,IF(Sync!$AB1481="",0,Sync!$AB1481))</f>
        <v>0</v>
      </c>
      <c r="M1485" t="str">
        <f t="shared" si="143"/>
        <v/>
      </c>
      <c r="N1485">
        <f>IF($G1485="",0,IF($H1485="مرجوعی فروش",-1,1)*IF(Sync!$AC1481="",0,Sync!$AC1481))</f>
        <v>0</v>
      </c>
      <c r="O1485" t="str">
        <f>IF(OR($G1485="",Sync!$V1481=""),"",Sync!$V1481)</f>
        <v/>
      </c>
      <c r="P1485" t="str">
        <f>IF(OR($G1485="",Sync!$AD1481=""),"",Sync!$AD1481)</f>
        <v/>
      </c>
      <c r="Q1485" t="str">
        <f>IF($G1485="","",IF(Sync!$U1481="","0000",IF(AND(ISNUMBER(Sync!$U1481),Sync!$U1481&gt;=0,Sync!$U1481&lt;1),RIGHT("00"&amp;HOUR(Sync!$U1481),2)&amp;RIGHT("00"&amp;MINUTE(Sync!$U1481),2),IFERROR(RIGHT("00"&amp;VALUE(LEFT(Sync!$U1481,FIND(":",Sync!$U1481)-1)),2)&amp;RIGHT("00"&amp;VALUE(MID(Sync!$U1481,FIND(":",Sync!$U1481)+1,2)),2),"0000"))))</f>
        <v/>
      </c>
    </row>
    <row r="1486" spans="1:17" x14ac:dyDescent="0.2">
      <c r="A1486" t="str">
        <f>IF(Sync!$T1482="","",Sync!$T1482)</f>
        <v/>
      </c>
      <c r="B1486" t="str">
        <f t="shared" si="138"/>
        <v/>
      </c>
      <c r="C1486" t="str">
        <f t="shared" si="139"/>
        <v/>
      </c>
      <c r="D1486" t="str">
        <f t="shared" si="140"/>
        <v/>
      </c>
      <c r="E1486" t="str">
        <f t="shared" si="141"/>
        <v/>
      </c>
      <c r="F1486" t="str">
        <f t="shared" si="142"/>
        <v/>
      </c>
      <c r="G1486" t="str">
        <f>IF(OR($E1486="",$E1486="نامعتبر",Sync!$X1482=""),"",IF(AND(LEFT(UPPER(TRIM(Sync!$X1482)),2)="SL",IFERROR(VLOOKUP(Sync!$W1482,OpTbl,3,0),"")="فروش"),UPPER(TRIM(Sync!$X1482)),""))</f>
        <v/>
      </c>
      <c r="H1486" t="str">
        <f>IF($G1486="","",IF(Sync!$W1482="","",Sync!$W1482))</f>
        <v/>
      </c>
      <c r="I1486" t="str">
        <f>IF(OR($G1486="",Sync!$Y1482=""),"",Sync!$Y1482)</f>
        <v/>
      </c>
      <c r="J1486" t="str">
        <f>IF(OR($G1486="",Sync!$Z1482=""),"",Sync!$Z1482)</f>
        <v/>
      </c>
      <c r="K1486">
        <f>IF($G1486="",0,IF(Sync!$AA1482="",0,Sync!$AA1482))</f>
        <v>0</v>
      </c>
      <c r="L1486">
        <f>IF($G1486="",0,IF(Sync!$AB1482="",0,Sync!$AB1482))</f>
        <v>0</v>
      </c>
      <c r="M1486" t="str">
        <f t="shared" si="143"/>
        <v/>
      </c>
      <c r="N1486">
        <f>IF($G1486="",0,IF($H1486="مرجوعی فروش",-1,1)*IF(Sync!$AC1482="",0,Sync!$AC1482))</f>
        <v>0</v>
      </c>
      <c r="O1486" t="str">
        <f>IF(OR($G1486="",Sync!$V1482=""),"",Sync!$V1482)</f>
        <v/>
      </c>
      <c r="P1486" t="str">
        <f>IF(OR($G1486="",Sync!$AD1482=""),"",Sync!$AD1482)</f>
        <v/>
      </c>
      <c r="Q1486" t="str">
        <f>IF($G1486="","",IF(Sync!$U1482="","0000",IF(AND(ISNUMBER(Sync!$U1482),Sync!$U1482&gt;=0,Sync!$U1482&lt;1),RIGHT("00"&amp;HOUR(Sync!$U1482),2)&amp;RIGHT("00"&amp;MINUTE(Sync!$U1482),2),IFERROR(RIGHT("00"&amp;VALUE(LEFT(Sync!$U1482,FIND(":",Sync!$U1482)-1)),2)&amp;RIGHT("00"&amp;VALUE(MID(Sync!$U1482,FIND(":",Sync!$U1482)+1,2)),2),"0000"))))</f>
        <v/>
      </c>
    </row>
    <row r="1487" spans="1:17" x14ac:dyDescent="0.2">
      <c r="A1487" t="str">
        <f>IF(Sync!$T1483="","",Sync!$T1483)</f>
        <v/>
      </c>
      <c r="B1487" t="str">
        <f t="shared" si="138"/>
        <v/>
      </c>
      <c r="C1487" t="str">
        <f t="shared" si="139"/>
        <v/>
      </c>
      <c r="D1487" t="str">
        <f t="shared" si="140"/>
        <v/>
      </c>
      <c r="E1487" t="str">
        <f t="shared" si="141"/>
        <v/>
      </c>
      <c r="F1487" t="str">
        <f t="shared" si="142"/>
        <v/>
      </c>
      <c r="G1487" t="str">
        <f>IF(OR($E1487="",$E1487="نامعتبر",Sync!$X1483=""),"",IF(AND(LEFT(UPPER(TRIM(Sync!$X1483)),2)="SL",IFERROR(VLOOKUP(Sync!$W1483,OpTbl,3,0),"")="فروش"),UPPER(TRIM(Sync!$X1483)),""))</f>
        <v/>
      </c>
      <c r="H1487" t="str">
        <f>IF($G1487="","",IF(Sync!$W1483="","",Sync!$W1483))</f>
        <v/>
      </c>
      <c r="I1487" t="str">
        <f>IF(OR($G1487="",Sync!$Y1483=""),"",Sync!$Y1483)</f>
        <v/>
      </c>
      <c r="J1487" t="str">
        <f>IF(OR($G1487="",Sync!$Z1483=""),"",Sync!$Z1483)</f>
        <v/>
      </c>
      <c r="K1487">
        <f>IF($G1487="",0,IF(Sync!$AA1483="",0,Sync!$AA1483))</f>
        <v>0</v>
      </c>
      <c r="L1487">
        <f>IF($G1487="",0,IF(Sync!$AB1483="",0,Sync!$AB1483))</f>
        <v>0</v>
      </c>
      <c r="M1487" t="str">
        <f t="shared" si="143"/>
        <v/>
      </c>
      <c r="N1487">
        <f>IF($G1487="",0,IF($H1487="مرجوعی فروش",-1,1)*IF(Sync!$AC1483="",0,Sync!$AC1483))</f>
        <v>0</v>
      </c>
      <c r="O1487" t="str">
        <f>IF(OR($G1487="",Sync!$V1483=""),"",Sync!$V1483)</f>
        <v/>
      </c>
      <c r="P1487" t="str">
        <f>IF(OR($G1487="",Sync!$AD1483=""),"",Sync!$AD1483)</f>
        <v/>
      </c>
      <c r="Q1487" t="str">
        <f>IF($G1487="","",IF(Sync!$U1483="","0000",IF(AND(ISNUMBER(Sync!$U1483),Sync!$U1483&gt;=0,Sync!$U1483&lt;1),RIGHT("00"&amp;HOUR(Sync!$U1483),2)&amp;RIGHT("00"&amp;MINUTE(Sync!$U1483),2),IFERROR(RIGHT("00"&amp;VALUE(LEFT(Sync!$U1483,FIND(":",Sync!$U1483)-1)),2)&amp;RIGHT("00"&amp;VALUE(MID(Sync!$U1483,FIND(":",Sync!$U1483)+1,2)),2),"0000"))))</f>
        <v/>
      </c>
    </row>
    <row r="1488" spans="1:17" x14ac:dyDescent="0.2">
      <c r="A1488" t="str">
        <f>IF(Sync!$T1484="","",Sync!$T1484)</f>
        <v/>
      </c>
      <c r="B1488" t="str">
        <f t="shared" si="138"/>
        <v/>
      </c>
      <c r="C1488" t="str">
        <f t="shared" si="139"/>
        <v/>
      </c>
      <c r="D1488" t="str">
        <f t="shared" si="140"/>
        <v/>
      </c>
      <c r="E1488" t="str">
        <f t="shared" si="141"/>
        <v/>
      </c>
      <c r="F1488" t="str">
        <f t="shared" si="142"/>
        <v/>
      </c>
      <c r="G1488" t="str">
        <f>IF(OR($E1488="",$E1488="نامعتبر",Sync!$X1484=""),"",IF(AND(LEFT(UPPER(TRIM(Sync!$X1484)),2)="SL",IFERROR(VLOOKUP(Sync!$W1484,OpTbl,3,0),"")="فروش"),UPPER(TRIM(Sync!$X1484)),""))</f>
        <v/>
      </c>
      <c r="H1488" t="str">
        <f>IF($G1488="","",IF(Sync!$W1484="","",Sync!$W1484))</f>
        <v/>
      </c>
      <c r="I1488" t="str">
        <f>IF(OR($G1488="",Sync!$Y1484=""),"",Sync!$Y1484)</f>
        <v/>
      </c>
      <c r="J1488" t="str">
        <f>IF(OR($G1488="",Sync!$Z1484=""),"",Sync!$Z1484)</f>
        <v/>
      </c>
      <c r="K1488">
        <f>IF($G1488="",0,IF(Sync!$AA1484="",0,Sync!$AA1484))</f>
        <v>0</v>
      </c>
      <c r="L1488">
        <f>IF($G1488="",0,IF(Sync!$AB1484="",0,Sync!$AB1484))</f>
        <v>0</v>
      </c>
      <c r="M1488" t="str">
        <f t="shared" si="143"/>
        <v/>
      </c>
      <c r="N1488">
        <f>IF($G1488="",0,IF($H1488="مرجوعی فروش",-1,1)*IF(Sync!$AC1484="",0,Sync!$AC1484))</f>
        <v>0</v>
      </c>
      <c r="O1488" t="str">
        <f>IF(OR($G1488="",Sync!$V1484=""),"",Sync!$V1484)</f>
        <v/>
      </c>
      <c r="P1488" t="str">
        <f>IF(OR($G1488="",Sync!$AD1484=""),"",Sync!$AD1484)</f>
        <v/>
      </c>
      <c r="Q1488" t="str">
        <f>IF($G1488="","",IF(Sync!$U1484="","0000",IF(AND(ISNUMBER(Sync!$U1484),Sync!$U1484&gt;=0,Sync!$U1484&lt;1),RIGHT("00"&amp;HOUR(Sync!$U1484),2)&amp;RIGHT("00"&amp;MINUTE(Sync!$U1484),2),IFERROR(RIGHT("00"&amp;VALUE(LEFT(Sync!$U1484,FIND(":",Sync!$U1484)-1)),2)&amp;RIGHT("00"&amp;VALUE(MID(Sync!$U1484,FIND(":",Sync!$U1484)+1,2)),2),"0000"))))</f>
        <v/>
      </c>
    </row>
    <row r="1489" spans="1:17" x14ac:dyDescent="0.2">
      <c r="A1489" t="str">
        <f>IF(Sync!$T1485="","",Sync!$T1485)</f>
        <v/>
      </c>
      <c r="B1489" t="str">
        <f t="shared" si="138"/>
        <v/>
      </c>
      <c r="C1489" t="str">
        <f t="shared" si="139"/>
        <v/>
      </c>
      <c r="D1489" t="str">
        <f t="shared" si="140"/>
        <v/>
      </c>
      <c r="E1489" t="str">
        <f t="shared" si="141"/>
        <v/>
      </c>
      <c r="F1489" t="str">
        <f t="shared" si="142"/>
        <v/>
      </c>
      <c r="G1489" t="str">
        <f>IF(OR($E1489="",$E1489="نامعتبر",Sync!$X1485=""),"",IF(AND(LEFT(UPPER(TRIM(Sync!$X1485)),2)="SL",IFERROR(VLOOKUP(Sync!$W1485,OpTbl,3,0),"")="فروش"),UPPER(TRIM(Sync!$X1485)),""))</f>
        <v/>
      </c>
      <c r="H1489" t="str">
        <f>IF($G1489="","",IF(Sync!$W1485="","",Sync!$W1485))</f>
        <v/>
      </c>
      <c r="I1489" t="str">
        <f>IF(OR($G1489="",Sync!$Y1485=""),"",Sync!$Y1485)</f>
        <v/>
      </c>
      <c r="J1489" t="str">
        <f>IF(OR($G1489="",Sync!$Z1485=""),"",Sync!$Z1485)</f>
        <v/>
      </c>
      <c r="K1489">
        <f>IF($G1489="",0,IF(Sync!$AA1485="",0,Sync!$AA1485))</f>
        <v>0</v>
      </c>
      <c r="L1489">
        <f>IF($G1489="",0,IF(Sync!$AB1485="",0,Sync!$AB1485))</f>
        <v>0</v>
      </c>
      <c r="M1489" t="str">
        <f t="shared" si="143"/>
        <v/>
      </c>
      <c r="N1489">
        <f>IF($G1489="",0,IF($H1489="مرجوعی فروش",-1,1)*IF(Sync!$AC1485="",0,Sync!$AC1485))</f>
        <v>0</v>
      </c>
      <c r="O1489" t="str">
        <f>IF(OR($G1489="",Sync!$V1485=""),"",Sync!$V1485)</f>
        <v/>
      </c>
      <c r="P1489" t="str">
        <f>IF(OR($G1489="",Sync!$AD1485=""),"",Sync!$AD1485)</f>
        <v/>
      </c>
      <c r="Q1489" t="str">
        <f>IF($G1489="","",IF(Sync!$U1485="","0000",IF(AND(ISNUMBER(Sync!$U1485),Sync!$U1485&gt;=0,Sync!$U1485&lt;1),RIGHT("00"&amp;HOUR(Sync!$U1485),2)&amp;RIGHT("00"&amp;MINUTE(Sync!$U1485),2),IFERROR(RIGHT("00"&amp;VALUE(LEFT(Sync!$U1485,FIND(":",Sync!$U1485)-1)),2)&amp;RIGHT("00"&amp;VALUE(MID(Sync!$U1485,FIND(":",Sync!$U1485)+1,2)),2),"0000"))))</f>
        <v/>
      </c>
    </row>
    <row r="1490" spans="1:17" x14ac:dyDescent="0.2">
      <c r="A1490" t="str">
        <f>IF(Sync!$T1486="","",Sync!$T1486)</f>
        <v/>
      </c>
      <c r="B1490" t="str">
        <f t="shared" si="138"/>
        <v/>
      </c>
      <c r="C1490" t="str">
        <f t="shared" si="139"/>
        <v/>
      </c>
      <c r="D1490" t="str">
        <f t="shared" si="140"/>
        <v/>
      </c>
      <c r="E1490" t="str">
        <f t="shared" si="141"/>
        <v/>
      </c>
      <c r="F1490" t="str">
        <f t="shared" si="142"/>
        <v/>
      </c>
      <c r="G1490" t="str">
        <f>IF(OR($E1490="",$E1490="نامعتبر",Sync!$X1486=""),"",IF(AND(LEFT(UPPER(TRIM(Sync!$X1486)),2)="SL",IFERROR(VLOOKUP(Sync!$W1486,OpTbl,3,0),"")="فروش"),UPPER(TRIM(Sync!$X1486)),""))</f>
        <v/>
      </c>
      <c r="H1490" t="str">
        <f>IF($G1490="","",IF(Sync!$W1486="","",Sync!$W1486))</f>
        <v/>
      </c>
      <c r="I1490" t="str">
        <f>IF(OR($G1490="",Sync!$Y1486=""),"",Sync!$Y1486)</f>
        <v/>
      </c>
      <c r="J1490" t="str">
        <f>IF(OR($G1490="",Sync!$Z1486=""),"",Sync!$Z1486)</f>
        <v/>
      </c>
      <c r="K1490">
        <f>IF($G1490="",0,IF(Sync!$AA1486="",0,Sync!$AA1486))</f>
        <v>0</v>
      </c>
      <c r="L1490">
        <f>IF($G1490="",0,IF(Sync!$AB1486="",0,Sync!$AB1486))</f>
        <v>0</v>
      </c>
      <c r="M1490" t="str">
        <f t="shared" si="143"/>
        <v/>
      </c>
      <c r="N1490">
        <f>IF($G1490="",0,IF($H1490="مرجوعی فروش",-1,1)*IF(Sync!$AC1486="",0,Sync!$AC1486))</f>
        <v>0</v>
      </c>
      <c r="O1490" t="str">
        <f>IF(OR($G1490="",Sync!$V1486=""),"",Sync!$V1486)</f>
        <v/>
      </c>
      <c r="P1490" t="str">
        <f>IF(OR($G1490="",Sync!$AD1486=""),"",Sync!$AD1486)</f>
        <v/>
      </c>
      <c r="Q1490" t="str">
        <f>IF($G1490="","",IF(Sync!$U1486="","0000",IF(AND(ISNUMBER(Sync!$U1486),Sync!$U1486&gt;=0,Sync!$U1486&lt;1),RIGHT("00"&amp;HOUR(Sync!$U1486),2)&amp;RIGHT("00"&amp;MINUTE(Sync!$U1486),2),IFERROR(RIGHT("00"&amp;VALUE(LEFT(Sync!$U1486,FIND(":",Sync!$U1486)-1)),2)&amp;RIGHT("00"&amp;VALUE(MID(Sync!$U1486,FIND(":",Sync!$U1486)+1,2)),2),"0000"))))</f>
        <v/>
      </c>
    </row>
    <row r="1491" spans="1:17" x14ac:dyDescent="0.2">
      <c r="A1491" t="str">
        <f>IF(Sync!$T1487="","",Sync!$T1487)</f>
        <v/>
      </c>
      <c r="B1491" t="str">
        <f t="shared" si="138"/>
        <v/>
      </c>
      <c r="C1491" t="str">
        <f t="shared" si="139"/>
        <v/>
      </c>
      <c r="D1491" t="str">
        <f t="shared" si="140"/>
        <v/>
      </c>
      <c r="E1491" t="str">
        <f t="shared" si="141"/>
        <v/>
      </c>
      <c r="F1491" t="str">
        <f t="shared" si="142"/>
        <v/>
      </c>
      <c r="G1491" t="str">
        <f>IF(OR($E1491="",$E1491="نامعتبر",Sync!$X1487=""),"",IF(AND(LEFT(UPPER(TRIM(Sync!$X1487)),2)="SL",IFERROR(VLOOKUP(Sync!$W1487,OpTbl,3,0),"")="فروش"),UPPER(TRIM(Sync!$X1487)),""))</f>
        <v/>
      </c>
      <c r="H1491" t="str">
        <f>IF($G1491="","",IF(Sync!$W1487="","",Sync!$W1487))</f>
        <v/>
      </c>
      <c r="I1491" t="str">
        <f>IF(OR($G1491="",Sync!$Y1487=""),"",Sync!$Y1487)</f>
        <v/>
      </c>
      <c r="J1491" t="str">
        <f>IF(OR($G1491="",Sync!$Z1487=""),"",Sync!$Z1487)</f>
        <v/>
      </c>
      <c r="K1491">
        <f>IF($G1491="",0,IF(Sync!$AA1487="",0,Sync!$AA1487))</f>
        <v>0</v>
      </c>
      <c r="L1491">
        <f>IF($G1491="",0,IF(Sync!$AB1487="",0,Sync!$AB1487))</f>
        <v>0</v>
      </c>
      <c r="M1491" t="str">
        <f t="shared" si="143"/>
        <v/>
      </c>
      <c r="N1491">
        <f>IF($G1491="",0,IF($H1491="مرجوعی فروش",-1,1)*IF(Sync!$AC1487="",0,Sync!$AC1487))</f>
        <v>0</v>
      </c>
      <c r="O1491" t="str">
        <f>IF(OR($G1491="",Sync!$V1487=""),"",Sync!$V1487)</f>
        <v/>
      </c>
      <c r="P1491" t="str">
        <f>IF(OR($G1491="",Sync!$AD1487=""),"",Sync!$AD1487)</f>
        <v/>
      </c>
      <c r="Q1491" t="str">
        <f>IF($G1491="","",IF(Sync!$U1487="","0000",IF(AND(ISNUMBER(Sync!$U1487),Sync!$U1487&gt;=0,Sync!$U1487&lt;1),RIGHT("00"&amp;HOUR(Sync!$U1487),2)&amp;RIGHT("00"&amp;MINUTE(Sync!$U1487),2),IFERROR(RIGHT("00"&amp;VALUE(LEFT(Sync!$U1487,FIND(":",Sync!$U1487)-1)),2)&amp;RIGHT("00"&amp;VALUE(MID(Sync!$U1487,FIND(":",Sync!$U1487)+1,2)),2),"0000"))))</f>
        <v/>
      </c>
    </row>
    <row r="1492" spans="1:17" x14ac:dyDescent="0.2">
      <c r="A1492" t="str">
        <f>IF(Sync!$T1488="","",Sync!$T1488)</f>
        <v/>
      </c>
      <c r="B1492" t="str">
        <f t="shared" si="138"/>
        <v/>
      </c>
      <c r="C1492" t="str">
        <f t="shared" si="139"/>
        <v/>
      </c>
      <c r="D1492" t="str">
        <f t="shared" si="140"/>
        <v/>
      </c>
      <c r="E1492" t="str">
        <f t="shared" si="141"/>
        <v/>
      </c>
      <c r="F1492" t="str">
        <f t="shared" si="142"/>
        <v/>
      </c>
      <c r="G1492" t="str">
        <f>IF(OR($E1492="",$E1492="نامعتبر",Sync!$X1488=""),"",IF(AND(LEFT(UPPER(TRIM(Sync!$X1488)),2)="SL",IFERROR(VLOOKUP(Sync!$W1488,OpTbl,3,0),"")="فروش"),UPPER(TRIM(Sync!$X1488)),""))</f>
        <v/>
      </c>
      <c r="H1492" t="str">
        <f>IF($G1492="","",IF(Sync!$W1488="","",Sync!$W1488))</f>
        <v/>
      </c>
      <c r="I1492" t="str">
        <f>IF(OR($G1492="",Sync!$Y1488=""),"",Sync!$Y1488)</f>
        <v/>
      </c>
      <c r="J1492" t="str">
        <f>IF(OR($G1492="",Sync!$Z1488=""),"",Sync!$Z1488)</f>
        <v/>
      </c>
      <c r="K1492">
        <f>IF($G1492="",0,IF(Sync!$AA1488="",0,Sync!$AA1488))</f>
        <v>0</v>
      </c>
      <c r="L1492">
        <f>IF($G1492="",0,IF(Sync!$AB1488="",0,Sync!$AB1488))</f>
        <v>0</v>
      </c>
      <c r="M1492" t="str">
        <f t="shared" si="143"/>
        <v/>
      </c>
      <c r="N1492">
        <f>IF($G1492="",0,IF($H1492="مرجوعی فروش",-1,1)*IF(Sync!$AC1488="",0,Sync!$AC1488))</f>
        <v>0</v>
      </c>
      <c r="O1492" t="str">
        <f>IF(OR($G1492="",Sync!$V1488=""),"",Sync!$V1488)</f>
        <v/>
      </c>
      <c r="P1492" t="str">
        <f>IF(OR($G1492="",Sync!$AD1488=""),"",Sync!$AD1488)</f>
        <v/>
      </c>
      <c r="Q1492" t="str">
        <f>IF($G1492="","",IF(Sync!$U1488="","0000",IF(AND(ISNUMBER(Sync!$U1488),Sync!$U1488&gt;=0,Sync!$U1488&lt;1),RIGHT("00"&amp;HOUR(Sync!$U1488),2)&amp;RIGHT("00"&amp;MINUTE(Sync!$U1488),2),IFERROR(RIGHT("00"&amp;VALUE(LEFT(Sync!$U1488,FIND(":",Sync!$U1488)-1)),2)&amp;RIGHT("00"&amp;VALUE(MID(Sync!$U1488,FIND(":",Sync!$U1488)+1,2)),2),"0000"))))</f>
        <v/>
      </c>
    </row>
    <row r="1493" spans="1:17" x14ac:dyDescent="0.2">
      <c r="A1493" t="str">
        <f>IF(Sync!$T1489="","",Sync!$T1489)</f>
        <v/>
      </c>
      <c r="B1493" t="str">
        <f t="shared" si="138"/>
        <v/>
      </c>
      <c r="C1493" t="str">
        <f t="shared" si="139"/>
        <v/>
      </c>
      <c r="D1493" t="str">
        <f t="shared" si="140"/>
        <v/>
      </c>
      <c r="E1493" t="str">
        <f t="shared" si="141"/>
        <v/>
      </c>
      <c r="F1493" t="str">
        <f t="shared" si="142"/>
        <v/>
      </c>
      <c r="G1493" t="str">
        <f>IF(OR($E1493="",$E1493="نامعتبر",Sync!$X1489=""),"",IF(AND(LEFT(UPPER(TRIM(Sync!$X1489)),2)="SL",IFERROR(VLOOKUP(Sync!$W1489,OpTbl,3,0),"")="فروش"),UPPER(TRIM(Sync!$X1489)),""))</f>
        <v/>
      </c>
      <c r="H1493" t="str">
        <f>IF($G1493="","",IF(Sync!$W1489="","",Sync!$W1489))</f>
        <v/>
      </c>
      <c r="I1493" t="str">
        <f>IF(OR($G1493="",Sync!$Y1489=""),"",Sync!$Y1489)</f>
        <v/>
      </c>
      <c r="J1493" t="str">
        <f>IF(OR($G1493="",Sync!$Z1489=""),"",Sync!$Z1489)</f>
        <v/>
      </c>
      <c r="K1493">
        <f>IF($G1493="",0,IF(Sync!$AA1489="",0,Sync!$AA1489))</f>
        <v>0</v>
      </c>
      <c r="L1493">
        <f>IF($G1493="",0,IF(Sync!$AB1489="",0,Sync!$AB1489))</f>
        <v>0</v>
      </c>
      <c r="M1493" t="str">
        <f t="shared" si="143"/>
        <v/>
      </c>
      <c r="N1493">
        <f>IF($G1493="",0,IF($H1493="مرجوعی فروش",-1,1)*IF(Sync!$AC1489="",0,Sync!$AC1489))</f>
        <v>0</v>
      </c>
      <c r="O1493" t="str">
        <f>IF(OR($G1493="",Sync!$V1489=""),"",Sync!$V1489)</f>
        <v/>
      </c>
      <c r="P1493" t="str">
        <f>IF(OR($G1493="",Sync!$AD1489=""),"",Sync!$AD1489)</f>
        <v/>
      </c>
      <c r="Q1493" t="str">
        <f>IF($G1493="","",IF(Sync!$U1489="","0000",IF(AND(ISNUMBER(Sync!$U1489),Sync!$U1489&gt;=0,Sync!$U1489&lt;1),RIGHT("00"&amp;HOUR(Sync!$U1489),2)&amp;RIGHT("00"&amp;MINUTE(Sync!$U1489),2),IFERROR(RIGHT("00"&amp;VALUE(LEFT(Sync!$U1489,FIND(":",Sync!$U1489)-1)),2)&amp;RIGHT("00"&amp;VALUE(MID(Sync!$U1489,FIND(":",Sync!$U1489)+1,2)),2),"0000"))))</f>
        <v/>
      </c>
    </row>
    <row r="1494" spans="1:17" x14ac:dyDescent="0.2">
      <c r="A1494" t="str">
        <f>IF(Sync!$T1490="","",Sync!$T1490)</f>
        <v/>
      </c>
      <c r="B1494" t="str">
        <f t="shared" si="138"/>
        <v/>
      </c>
      <c r="C1494" t="str">
        <f t="shared" si="139"/>
        <v/>
      </c>
      <c r="D1494" t="str">
        <f t="shared" si="140"/>
        <v/>
      </c>
      <c r="E1494" t="str">
        <f t="shared" si="141"/>
        <v/>
      </c>
      <c r="F1494" t="str">
        <f t="shared" si="142"/>
        <v/>
      </c>
      <c r="G1494" t="str">
        <f>IF(OR($E1494="",$E1494="نامعتبر",Sync!$X1490=""),"",IF(AND(LEFT(UPPER(TRIM(Sync!$X1490)),2)="SL",IFERROR(VLOOKUP(Sync!$W1490,OpTbl,3,0),"")="فروش"),UPPER(TRIM(Sync!$X1490)),""))</f>
        <v/>
      </c>
      <c r="H1494" t="str">
        <f>IF($G1494="","",IF(Sync!$W1490="","",Sync!$W1490))</f>
        <v/>
      </c>
      <c r="I1494" t="str">
        <f>IF(OR($G1494="",Sync!$Y1490=""),"",Sync!$Y1490)</f>
        <v/>
      </c>
      <c r="J1494" t="str">
        <f>IF(OR($G1494="",Sync!$Z1490=""),"",Sync!$Z1490)</f>
        <v/>
      </c>
      <c r="K1494">
        <f>IF($G1494="",0,IF(Sync!$AA1490="",0,Sync!$AA1490))</f>
        <v>0</v>
      </c>
      <c r="L1494">
        <f>IF($G1494="",0,IF(Sync!$AB1490="",0,Sync!$AB1490))</f>
        <v>0</v>
      </c>
      <c r="M1494" t="str">
        <f t="shared" si="143"/>
        <v/>
      </c>
      <c r="N1494">
        <f>IF($G1494="",0,IF($H1494="مرجوعی فروش",-1,1)*IF(Sync!$AC1490="",0,Sync!$AC1490))</f>
        <v>0</v>
      </c>
      <c r="O1494" t="str">
        <f>IF(OR($G1494="",Sync!$V1490=""),"",Sync!$V1490)</f>
        <v/>
      </c>
      <c r="P1494" t="str">
        <f>IF(OR($G1494="",Sync!$AD1490=""),"",Sync!$AD1490)</f>
        <v/>
      </c>
      <c r="Q1494" t="str">
        <f>IF($G1494="","",IF(Sync!$U1490="","0000",IF(AND(ISNUMBER(Sync!$U1490),Sync!$U1490&gt;=0,Sync!$U1490&lt;1),RIGHT("00"&amp;HOUR(Sync!$U1490),2)&amp;RIGHT("00"&amp;MINUTE(Sync!$U1490),2),IFERROR(RIGHT("00"&amp;VALUE(LEFT(Sync!$U1490,FIND(":",Sync!$U1490)-1)),2)&amp;RIGHT("00"&amp;VALUE(MID(Sync!$U1490,FIND(":",Sync!$U1490)+1,2)),2),"0000"))))</f>
        <v/>
      </c>
    </row>
    <row r="1495" spans="1:17" x14ac:dyDescent="0.2">
      <c r="A1495" t="str">
        <f>IF(Sync!$T1491="","",Sync!$T1491)</f>
        <v/>
      </c>
      <c r="B1495" t="str">
        <f t="shared" si="138"/>
        <v/>
      </c>
      <c r="C1495" t="str">
        <f t="shared" si="139"/>
        <v/>
      </c>
      <c r="D1495" t="str">
        <f t="shared" si="140"/>
        <v/>
      </c>
      <c r="E1495" t="str">
        <f t="shared" si="141"/>
        <v/>
      </c>
      <c r="F1495" t="str">
        <f t="shared" si="142"/>
        <v/>
      </c>
      <c r="G1495" t="str">
        <f>IF(OR($E1495="",$E1495="نامعتبر",Sync!$X1491=""),"",IF(AND(LEFT(UPPER(TRIM(Sync!$X1491)),2)="SL",IFERROR(VLOOKUP(Sync!$W1491,OpTbl,3,0),"")="فروش"),UPPER(TRIM(Sync!$X1491)),""))</f>
        <v/>
      </c>
      <c r="H1495" t="str">
        <f>IF($G1495="","",IF(Sync!$W1491="","",Sync!$W1491))</f>
        <v/>
      </c>
      <c r="I1495" t="str">
        <f>IF(OR($G1495="",Sync!$Y1491=""),"",Sync!$Y1491)</f>
        <v/>
      </c>
      <c r="J1495" t="str">
        <f>IF(OR($G1495="",Sync!$Z1491=""),"",Sync!$Z1491)</f>
        <v/>
      </c>
      <c r="K1495">
        <f>IF($G1495="",0,IF(Sync!$AA1491="",0,Sync!$AA1491))</f>
        <v>0</v>
      </c>
      <c r="L1495">
        <f>IF($G1495="",0,IF(Sync!$AB1491="",0,Sync!$AB1491))</f>
        <v>0</v>
      </c>
      <c r="M1495" t="str">
        <f t="shared" si="143"/>
        <v/>
      </c>
      <c r="N1495">
        <f>IF($G1495="",0,IF($H1495="مرجوعی فروش",-1,1)*IF(Sync!$AC1491="",0,Sync!$AC1491))</f>
        <v>0</v>
      </c>
      <c r="O1495" t="str">
        <f>IF(OR($G1495="",Sync!$V1491=""),"",Sync!$V1491)</f>
        <v/>
      </c>
      <c r="P1495" t="str">
        <f>IF(OR($G1495="",Sync!$AD1491=""),"",Sync!$AD1491)</f>
        <v/>
      </c>
      <c r="Q1495" t="str">
        <f>IF($G1495="","",IF(Sync!$U1491="","0000",IF(AND(ISNUMBER(Sync!$U1491),Sync!$U1491&gt;=0,Sync!$U1491&lt;1),RIGHT("00"&amp;HOUR(Sync!$U1491),2)&amp;RIGHT("00"&amp;MINUTE(Sync!$U1491),2),IFERROR(RIGHT("00"&amp;VALUE(LEFT(Sync!$U1491,FIND(":",Sync!$U1491)-1)),2)&amp;RIGHT("00"&amp;VALUE(MID(Sync!$U1491,FIND(":",Sync!$U1491)+1,2)),2),"0000"))))</f>
        <v/>
      </c>
    </row>
    <row r="1496" spans="1:17" x14ac:dyDescent="0.2">
      <c r="A1496" t="str">
        <f>IF(Sync!$T1492="","",Sync!$T1492)</f>
        <v/>
      </c>
      <c r="B1496" t="str">
        <f t="shared" si="138"/>
        <v/>
      </c>
      <c r="C1496" t="str">
        <f t="shared" si="139"/>
        <v/>
      </c>
      <c r="D1496" t="str">
        <f t="shared" si="140"/>
        <v/>
      </c>
      <c r="E1496" t="str">
        <f t="shared" si="141"/>
        <v/>
      </c>
      <c r="F1496" t="str">
        <f t="shared" si="142"/>
        <v/>
      </c>
      <c r="G1496" t="str">
        <f>IF(OR($E1496="",$E1496="نامعتبر",Sync!$X1492=""),"",IF(AND(LEFT(UPPER(TRIM(Sync!$X1492)),2)="SL",IFERROR(VLOOKUP(Sync!$W1492,OpTbl,3,0),"")="فروش"),UPPER(TRIM(Sync!$X1492)),""))</f>
        <v/>
      </c>
      <c r="H1496" t="str">
        <f>IF($G1496="","",IF(Sync!$W1492="","",Sync!$W1492))</f>
        <v/>
      </c>
      <c r="I1496" t="str">
        <f>IF(OR($G1496="",Sync!$Y1492=""),"",Sync!$Y1492)</f>
        <v/>
      </c>
      <c r="J1496" t="str">
        <f>IF(OR($G1496="",Sync!$Z1492=""),"",Sync!$Z1492)</f>
        <v/>
      </c>
      <c r="K1496">
        <f>IF($G1496="",0,IF(Sync!$AA1492="",0,Sync!$AA1492))</f>
        <v>0</v>
      </c>
      <c r="L1496">
        <f>IF($G1496="",0,IF(Sync!$AB1492="",0,Sync!$AB1492))</f>
        <v>0</v>
      </c>
      <c r="M1496" t="str">
        <f t="shared" si="143"/>
        <v/>
      </c>
      <c r="N1496">
        <f>IF($G1496="",0,IF($H1496="مرجوعی فروش",-1,1)*IF(Sync!$AC1492="",0,Sync!$AC1492))</f>
        <v>0</v>
      </c>
      <c r="O1496" t="str">
        <f>IF(OR($G1496="",Sync!$V1492=""),"",Sync!$V1492)</f>
        <v/>
      </c>
      <c r="P1496" t="str">
        <f>IF(OR($G1496="",Sync!$AD1492=""),"",Sync!$AD1492)</f>
        <v/>
      </c>
      <c r="Q1496" t="str">
        <f>IF($G1496="","",IF(Sync!$U1492="","0000",IF(AND(ISNUMBER(Sync!$U1492),Sync!$U1492&gt;=0,Sync!$U1492&lt;1),RIGHT("00"&amp;HOUR(Sync!$U1492),2)&amp;RIGHT("00"&amp;MINUTE(Sync!$U1492),2),IFERROR(RIGHT("00"&amp;VALUE(LEFT(Sync!$U1492,FIND(":",Sync!$U1492)-1)),2)&amp;RIGHT("00"&amp;VALUE(MID(Sync!$U1492,FIND(":",Sync!$U1492)+1,2)),2),"0000"))))</f>
        <v/>
      </c>
    </row>
    <row r="1497" spans="1:17" x14ac:dyDescent="0.2">
      <c r="A1497" t="str">
        <f>IF(Sync!$T1493="","",Sync!$T1493)</f>
        <v/>
      </c>
      <c r="B1497" t="str">
        <f t="shared" si="138"/>
        <v/>
      </c>
      <c r="C1497" t="str">
        <f t="shared" si="139"/>
        <v/>
      </c>
      <c r="D1497" t="str">
        <f t="shared" si="140"/>
        <v/>
      </c>
      <c r="E1497" t="str">
        <f t="shared" si="141"/>
        <v/>
      </c>
      <c r="F1497" t="str">
        <f t="shared" si="142"/>
        <v/>
      </c>
      <c r="G1497" t="str">
        <f>IF(OR($E1497="",$E1497="نامعتبر",Sync!$X1493=""),"",IF(AND(LEFT(UPPER(TRIM(Sync!$X1493)),2)="SL",IFERROR(VLOOKUP(Sync!$W1493,OpTbl,3,0),"")="فروش"),UPPER(TRIM(Sync!$X1493)),""))</f>
        <v/>
      </c>
      <c r="H1497" t="str">
        <f>IF($G1497="","",IF(Sync!$W1493="","",Sync!$W1493))</f>
        <v/>
      </c>
      <c r="I1497" t="str">
        <f>IF(OR($G1497="",Sync!$Y1493=""),"",Sync!$Y1493)</f>
        <v/>
      </c>
      <c r="J1497" t="str">
        <f>IF(OR($G1497="",Sync!$Z1493=""),"",Sync!$Z1493)</f>
        <v/>
      </c>
      <c r="K1497">
        <f>IF($G1497="",0,IF(Sync!$AA1493="",0,Sync!$AA1493))</f>
        <v>0</v>
      </c>
      <c r="L1497">
        <f>IF($G1497="",0,IF(Sync!$AB1493="",0,Sync!$AB1493))</f>
        <v>0</v>
      </c>
      <c r="M1497" t="str">
        <f t="shared" si="143"/>
        <v/>
      </c>
      <c r="N1497">
        <f>IF($G1497="",0,IF($H1497="مرجوعی فروش",-1,1)*IF(Sync!$AC1493="",0,Sync!$AC1493))</f>
        <v>0</v>
      </c>
      <c r="O1497" t="str">
        <f>IF(OR($G1497="",Sync!$V1493=""),"",Sync!$V1493)</f>
        <v/>
      </c>
      <c r="P1497" t="str">
        <f>IF(OR($G1497="",Sync!$AD1493=""),"",Sync!$AD1493)</f>
        <v/>
      </c>
      <c r="Q1497" t="str">
        <f>IF($G1497="","",IF(Sync!$U1493="","0000",IF(AND(ISNUMBER(Sync!$U1493),Sync!$U1493&gt;=0,Sync!$U1493&lt;1),RIGHT("00"&amp;HOUR(Sync!$U1493),2)&amp;RIGHT("00"&amp;MINUTE(Sync!$U1493),2),IFERROR(RIGHT("00"&amp;VALUE(LEFT(Sync!$U1493,FIND(":",Sync!$U1493)-1)),2)&amp;RIGHT("00"&amp;VALUE(MID(Sync!$U1493,FIND(":",Sync!$U1493)+1,2)),2),"0000"))))</f>
        <v/>
      </c>
    </row>
    <row r="1498" spans="1:17" x14ac:dyDescent="0.2">
      <c r="A1498" t="str">
        <f>IF(Sync!$T1494="","",Sync!$T1494)</f>
        <v/>
      </c>
      <c r="B1498" t="str">
        <f t="shared" si="138"/>
        <v/>
      </c>
      <c r="C1498" t="str">
        <f t="shared" si="139"/>
        <v/>
      </c>
      <c r="D1498" t="str">
        <f t="shared" si="140"/>
        <v/>
      </c>
      <c r="E1498" t="str">
        <f t="shared" si="141"/>
        <v/>
      </c>
      <c r="F1498" t="str">
        <f t="shared" si="142"/>
        <v/>
      </c>
      <c r="G1498" t="str">
        <f>IF(OR($E1498="",$E1498="نامعتبر",Sync!$X1494=""),"",IF(AND(LEFT(UPPER(TRIM(Sync!$X1494)),2)="SL",IFERROR(VLOOKUP(Sync!$W1494,OpTbl,3,0),"")="فروش"),UPPER(TRIM(Sync!$X1494)),""))</f>
        <v/>
      </c>
      <c r="H1498" t="str">
        <f>IF($G1498="","",IF(Sync!$W1494="","",Sync!$W1494))</f>
        <v/>
      </c>
      <c r="I1498" t="str">
        <f>IF(OR($G1498="",Sync!$Y1494=""),"",Sync!$Y1494)</f>
        <v/>
      </c>
      <c r="J1498" t="str">
        <f>IF(OR($G1498="",Sync!$Z1494=""),"",Sync!$Z1494)</f>
        <v/>
      </c>
      <c r="K1498">
        <f>IF($G1498="",0,IF(Sync!$AA1494="",0,Sync!$AA1494))</f>
        <v>0</v>
      </c>
      <c r="L1498">
        <f>IF($G1498="",0,IF(Sync!$AB1494="",0,Sync!$AB1494))</f>
        <v>0</v>
      </c>
      <c r="M1498" t="str">
        <f t="shared" si="143"/>
        <v/>
      </c>
      <c r="N1498">
        <f>IF($G1498="",0,IF($H1498="مرجوعی فروش",-1,1)*IF(Sync!$AC1494="",0,Sync!$AC1494))</f>
        <v>0</v>
      </c>
      <c r="O1498" t="str">
        <f>IF(OR($G1498="",Sync!$V1494=""),"",Sync!$V1494)</f>
        <v/>
      </c>
      <c r="P1498" t="str">
        <f>IF(OR($G1498="",Sync!$AD1494=""),"",Sync!$AD1494)</f>
        <v/>
      </c>
      <c r="Q1498" t="str">
        <f>IF($G1498="","",IF(Sync!$U1494="","0000",IF(AND(ISNUMBER(Sync!$U1494),Sync!$U1494&gt;=0,Sync!$U1494&lt;1),RIGHT("00"&amp;HOUR(Sync!$U1494),2)&amp;RIGHT("00"&amp;MINUTE(Sync!$U1494),2),IFERROR(RIGHT("00"&amp;VALUE(LEFT(Sync!$U1494,FIND(":",Sync!$U1494)-1)),2)&amp;RIGHT("00"&amp;VALUE(MID(Sync!$U1494,FIND(":",Sync!$U1494)+1,2)),2),"0000"))))</f>
        <v/>
      </c>
    </row>
    <row r="1499" spans="1:17" x14ac:dyDescent="0.2">
      <c r="A1499" t="str">
        <f>IF(Sync!$T1495="","",Sync!$T1495)</f>
        <v/>
      </c>
      <c r="B1499" t="str">
        <f t="shared" si="138"/>
        <v/>
      </c>
      <c r="C1499" t="str">
        <f t="shared" si="139"/>
        <v/>
      </c>
      <c r="D1499" t="str">
        <f t="shared" si="140"/>
        <v/>
      </c>
      <c r="E1499" t="str">
        <f t="shared" si="141"/>
        <v/>
      </c>
      <c r="F1499" t="str">
        <f t="shared" si="142"/>
        <v/>
      </c>
      <c r="G1499" t="str">
        <f>IF(OR($E1499="",$E1499="نامعتبر",Sync!$X1495=""),"",IF(AND(LEFT(UPPER(TRIM(Sync!$X1495)),2)="SL",IFERROR(VLOOKUP(Sync!$W1495,OpTbl,3,0),"")="فروش"),UPPER(TRIM(Sync!$X1495)),""))</f>
        <v/>
      </c>
      <c r="H1499" t="str">
        <f>IF($G1499="","",IF(Sync!$W1495="","",Sync!$W1495))</f>
        <v/>
      </c>
      <c r="I1499" t="str">
        <f>IF(OR($G1499="",Sync!$Y1495=""),"",Sync!$Y1495)</f>
        <v/>
      </c>
      <c r="J1499" t="str">
        <f>IF(OR($G1499="",Sync!$Z1495=""),"",Sync!$Z1495)</f>
        <v/>
      </c>
      <c r="K1499">
        <f>IF($G1499="",0,IF(Sync!$AA1495="",0,Sync!$AA1495))</f>
        <v>0</v>
      </c>
      <c r="L1499">
        <f>IF($G1499="",0,IF(Sync!$AB1495="",0,Sync!$AB1495))</f>
        <v>0</v>
      </c>
      <c r="M1499" t="str">
        <f t="shared" si="143"/>
        <v/>
      </c>
      <c r="N1499">
        <f>IF($G1499="",0,IF($H1499="مرجوعی فروش",-1,1)*IF(Sync!$AC1495="",0,Sync!$AC1495))</f>
        <v>0</v>
      </c>
      <c r="O1499" t="str">
        <f>IF(OR($G1499="",Sync!$V1495=""),"",Sync!$V1495)</f>
        <v/>
      </c>
      <c r="P1499" t="str">
        <f>IF(OR($G1499="",Sync!$AD1495=""),"",Sync!$AD1495)</f>
        <v/>
      </c>
      <c r="Q1499" t="str">
        <f>IF($G1499="","",IF(Sync!$U1495="","0000",IF(AND(ISNUMBER(Sync!$U1495),Sync!$U1495&gt;=0,Sync!$U1495&lt;1),RIGHT("00"&amp;HOUR(Sync!$U1495),2)&amp;RIGHT("00"&amp;MINUTE(Sync!$U1495),2),IFERROR(RIGHT("00"&amp;VALUE(LEFT(Sync!$U1495,FIND(":",Sync!$U1495)-1)),2)&amp;RIGHT("00"&amp;VALUE(MID(Sync!$U1495,FIND(":",Sync!$U1495)+1,2)),2),"0000"))))</f>
        <v/>
      </c>
    </row>
    <row r="1500" spans="1:17" x14ac:dyDescent="0.2">
      <c r="A1500" t="str">
        <f>IF(Sync!$T1496="","",Sync!$T1496)</f>
        <v/>
      </c>
      <c r="B1500" t="str">
        <f t="shared" si="138"/>
        <v/>
      </c>
      <c r="C1500" t="str">
        <f t="shared" si="139"/>
        <v/>
      </c>
      <c r="D1500" t="str">
        <f t="shared" si="140"/>
        <v/>
      </c>
      <c r="E1500" t="str">
        <f t="shared" si="141"/>
        <v/>
      </c>
      <c r="F1500" t="str">
        <f t="shared" si="142"/>
        <v/>
      </c>
      <c r="G1500" t="str">
        <f>IF(OR($E1500="",$E1500="نامعتبر",Sync!$X1496=""),"",IF(AND(LEFT(UPPER(TRIM(Sync!$X1496)),2)="SL",IFERROR(VLOOKUP(Sync!$W1496,OpTbl,3,0),"")="فروش"),UPPER(TRIM(Sync!$X1496)),""))</f>
        <v/>
      </c>
      <c r="H1500" t="str">
        <f>IF($G1500="","",IF(Sync!$W1496="","",Sync!$W1496))</f>
        <v/>
      </c>
      <c r="I1500" t="str">
        <f>IF(OR($G1500="",Sync!$Y1496=""),"",Sync!$Y1496)</f>
        <v/>
      </c>
      <c r="J1500" t="str">
        <f>IF(OR($G1500="",Sync!$Z1496=""),"",Sync!$Z1496)</f>
        <v/>
      </c>
      <c r="K1500">
        <f>IF($G1500="",0,IF(Sync!$AA1496="",0,Sync!$AA1496))</f>
        <v>0</v>
      </c>
      <c r="L1500">
        <f>IF($G1500="",0,IF(Sync!$AB1496="",0,Sync!$AB1496))</f>
        <v>0</v>
      </c>
      <c r="M1500" t="str">
        <f t="shared" si="143"/>
        <v/>
      </c>
      <c r="N1500">
        <f>IF($G1500="",0,IF($H1500="مرجوعی فروش",-1,1)*IF(Sync!$AC1496="",0,Sync!$AC1496))</f>
        <v>0</v>
      </c>
      <c r="O1500" t="str">
        <f>IF(OR($G1500="",Sync!$V1496=""),"",Sync!$V1496)</f>
        <v/>
      </c>
      <c r="P1500" t="str">
        <f>IF(OR($G1500="",Sync!$AD1496=""),"",Sync!$AD1496)</f>
        <v/>
      </c>
      <c r="Q1500" t="str">
        <f>IF($G1500="","",IF(Sync!$U1496="","0000",IF(AND(ISNUMBER(Sync!$U1496),Sync!$U1496&gt;=0,Sync!$U1496&lt;1),RIGHT("00"&amp;HOUR(Sync!$U1496),2)&amp;RIGHT("00"&amp;MINUTE(Sync!$U1496),2),IFERROR(RIGHT("00"&amp;VALUE(LEFT(Sync!$U1496,FIND(":",Sync!$U1496)-1)),2)&amp;RIGHT("00"&amp;VALUE(MID(Sync!$U1496,FIND(":",Sync!$U1496)+1,2)),2),"0000"))))</f>
        <v/>
      </c>
    </row>
    <row r="1501" spans="1:17" x14ac:dyDescent="0.2">
      <c r="A1501" t="str">
        <f>IF(Sync!$T1497="","",Sync!$T1497)</f>
        <v/>
      </c>
      <c r="B1501" t="str">
        <f t="shared" si="138"/>
        <v/>
      </c>
      <c r="C1501" t="str">
        <f t="shared" si="139"/>
        <v/>
      </c>
      <c r="D1501" t="str">
        <f t="shared" si="140"/>
        <v/>
      </c>
      <c r="E1501" t="str">
        <f t="shared" si="141"/>
        <v/>
      </c>
      <c r="F1501" t="str">
        <f t="shared" si="142"/>
        <v/>
      </c>
      <c r="G1501" t="str">
        <f>IF(OR($E1501="",$E1501="نامعتبر",Sync!$X1497=""),"",IF(AND(LEFT(UPPER(TRIM(Sync!$X1497)),2)="SL",IFERROR(VLOOKUP(Sync!$W1497,OpTbl,3,0),"")="فروش"),UPPER(TRIM(Sync!$X1497)),""))</f>
        <v/>
      </c>
      <c r="H1501" t="str">
        <f>IF($G1501="","",IF(Sync!$W1497="","",Sync!$W1497))</f>
        <v/>
      </c>
      <c r="I1501" t="str">
        <f>IF(OR($G1501="",Sync!$Y1497=""),"",Sync!$Y1497)</f>
        <v/>
      </c>
      <c r="J1501" t="str">
        <f>IF(OR($G1501="",Sync!$Z1497=""),"",Sync!$Z1497)</f>
        <v/>
      </c>
      <c r="K1501">
        <f>IF($G1501="",0,IF(Sync!$AA1497="",0,Sync!$AA1497))</f>
        <v>0</v>
      </c>
      <c r="L1501">
        <f>IF($G1501="",0,IF(Sync!$AB1497="",0,Sync!$AB1497))</f>
        <v>0</v>
      </c>
      <c r="M1501" t="str">
        <f t="shared" si="143"/>
        <v/>
      </c>
      <c r="N1501">
        <f>IF($G1501="",0,IF($H1501="مرجوعی فروش",-1,1)*IF(Sync!$AC1497="",0,Sync!$AC1497))</f>
        <v>0</v>
      </c>
      <c r="O1501" t="str">
        <f>IF(OR($G1501="",Sync!$V1497=""),"",Sync!$V1497)</f>
        <v/>
      </c>
      <c r="P1501" t="str">
        <f>IF(OR($G1501="",Sync!$AD1497=""),"",Sync!$AD1497)</f>
        <v/>
      </c>
      <c r="Q1501" t="str">
        <f>IF($G1501="","",IF(Sync!$U1497="","0000",IF(AND(ISNUMBER(Sync!$U1497),Sync!$U1497&gt;=0,Sync!$U1497&lt;1),RIGHT("00"&amp;HOUR(Sync!$U1497),2)&amp;RIGHT("00"&amp;MINUTE(Sync!$U1497),2),IFERROR(RIGHT("00"&amp;VALUE(LEFT(Sync!$U1497,FIND(":",Sync!$U1497)-1)),2)&amp;RIGHT("00"&amp;VALUE(MID(Sync!$U1497,FIND(":",Sync!$U1497)+1,2)),2),"0000"))))</f>
        <v/>
      </c>
    </row>
    <row r="1502" spans="1:17" x14ac:dyDescent="0.2">
      <c r="A1502" t="str">
        <f>IF(Sync!$T1498="","",Sync!$T1498)</f>
        <v/>
      </c>
      <c r="B1502" t="str">
        <f t="shared" si="138"/>
        <v/>
      </c>
      <c r="C1502" t="str">
        <f t="shared" si="139"/>
        <v/>
      </c>
      <c r="D1502" t="str">
        <f t="shared" si="140"/>
        <v/>
      </c>
      <c r="E1502" t="str">
        <f t="shared" si="141"/>
        <v/>
      </c>
      <c r="F1502" t="str">
        <f t="shared" si="142"/>
        <v/>
      </c>
      <c r="G1502" t="str">
        <f>IF(OR($E1502="",$E1502="نامعتبر",Sync!$X1498=""),"",IF(AND(LEFT(UPPER(TRIM(Sync!$X1498)),2)="SL",IFERROR(VLOOKUP(Sync!$W1498,OpTbl,3,0),"")="فروش"),UPPER(TRIM(Sync!$X1498)),""))</f>
        <v/>
      </c>
      <c r="H1502" t="str">
        <f>IF($G1502="","",IF(Sync!$W1498="","",Sync!$W1498))</f>
        <v/>
      </c>
      <c r="I1502" t="str">
        <f>IF(OR($G1502="",Sync!$Y1498=""),"",Sync!$Y1498)</f>
        <v/>
      </c>
      <c r="J1502" t="str">
        <f>IF(OR($G1502="",Sync!$Z1498=""),"",Sync!$Z1498)</f>
        <v/>
      </c>
      <c r="K1502">
        <f>IF($G1502="",0,IF(Sync!$AA1498="",0,Sync!$AA1498))</f>
        <v>0</v>
      </c>
      <c r="L1502">
        <f>IF($G1502="",0,IF(Sync!$AB1498="",0,Sync!$AB1498))</f>
        <v>0</v>
      </c>
      <c r="M1502" t="str">
        <f t="shared" si="143"/>
        <v/>
      </c>
      <c r="N1502">
        <f>IF($G1502="",0,IF($H1502="مرجوعی فروش",-1,1)*IF(Sync!$AC1498="",0,Sync!$AC1498))</f>
        <v>0</v>
      </c>
      <c r="O1502" t="str">
        <f>IF(OR($G1502="",Sync!$V1498=""),"",Sync!$V1498)</f>
        <v/>
      </c>
      <c r="P1502" t="str">
        <f>IF(OR($G1502="",Sync!$AD1498=""),"",Sync!$AD1498)</f>
        <v/>
      </c>
      <c r="Q1502" t="str">
        <f>IF($G1502="","",IF(Sync!$U1498="","0000",IF(AND(ISNUMBER(Sync!$U1498),Sync!$U1498&gt;=0,Sync!$U1498&lt;1),RIGHT("00"&amp;HOUR(Sync!$U1498),2)&amp;RIGHT("00"&amp;MINUTE(Sync!$U1498),2),IFERROR(RIGHT("00"&amp;VALUE(LEFT(Sync!$U1498,FIND(":",Sync!$U1498)-1)),2)&amp;RIGHT("00"&amp;VALUE(MID(Sync!$U1498,FIND(":",Sync!$U1498)+1,2)),2),"0000"))))</f>
        <v/>
      </c>
    </row>
    <row r="1503" spans="1:17" x14ac:dyDescent="0.2">
      <c r="A1503" t="str">
        <f>IF(Sync!$T1499="","",Sync!$T1499)</f>
        <v/>
      </c>
      <c r="B1503" t="str">
        <f t="shared" si="138"/>
        <v/>
      </c>
      <c r="C1503" t="str">
        <f t="shared" si="139"/>
        <v/>
      </c>
      <c r="D1503" t="str">
        <f t="shared" si="140"/>
        <v/>
      </c>
      <c r="E1503" t="str">
        <f t="shared" si="141"/>
        <v/>
      </c>
      <c r="F1503" t="str">
        <f t="shared" si="142"/>
        <v/>
      </c>
      <c r="G1503" t="str">
        <f>IF(OR($E1503="",$E1503="نامعتبر",Sync!$X1499=""),"",IF(AND(LEFT(UPPER(TRIM(Sync!$X1499)),2)="SL",IFERROR(VLOOKUP(Sync!$W1499,OpTbl,3,0),"")="فروش"),UPPER(TRIM(Sync!$X1499)),""))</f>
        <v/>
      </c>
      <c r="H1503" t="str">
        <f>IF($G1503="","",IF(Sync!$W1499="","",Sync!$W1499))</f>
        <v/>
      </c>
      <c r="I1503" t="str">
        <f>IF(OR($G1503="",Sync!$Y1499=""),"",Sync!$Y1499)</f>
        <v/>
      </c>
      <c r="J1503" t="str">
        <f>IF(OR($G1503="",Sync!$Z1499=""),"",Sync!$Z1499)</f>
        <v/>
      </c>
      <c r="K1503">
        <f>IF($G1503="",0,IF(Sync!$AA1499="",0,Sync!$AA1499))</f>
        <v>0</v>
      </c>
      <c r="L1503">
        <f>IF($G1503="",0,IF(Sync!$AB1499="",0,Sync!$AB1499))</f>
        <v>0</v>
      </c>
      <c r="M1503" t="str">
        <f t="shared" si="143"/>
        <v/>
      </c>
      <c r="N1503">
        <f>IF($G1503="",0,IF($H1503="مرجوعی فروش",-1,1)*IF(Sync!$AC1499="",0,Sync!$AC1499))</f>
        <v>0</v>
      </c>
      <c r="O1503" t="str">
        <f>IF(OR($G1503="",Sync!$V1499=""),"",Sync!$V1499)</f>
        <v/>
      </c>
      <c r="P1503" t="str">
        <f>IF(OR($G1503="",Sync!$AD1499=""),"",Sync!$AD1499)</f>
        <v/>
      </c>
      <c r="Q1503" t="str">
        <f>IF($G1503="","",IF(Sync!$U1499="","0000",IF(AND(ISNUMBER(Sync!$U1499),Sync!$U1499&gt;=0,Sync!$U1499&lt;1),RIGHT("00"&amp;HOUR(Sync!$U1499),2)&amp;RIGHT("00"&amp;MINUTE(Sync!$U1499),2),IFERROR(RIGHT("00"&amp;VALUE(LEFT(Sync!$U1499,FIND(":",Sync!$U1499)-1)),2)&amp;RIGHT("00"&amp;VALUE(MID(Sync!$U1499,FIND(":",Sync!$U1499)+1,2)),2),"0000"))))</f>
        <v/>
      </c>
    </row>
    <row r="1504" spans="1:17" x14ac:dyDescent="0.2">
      <c r="A1504" t="str">
        <f>IF(Sync!$T1500="","",Sync!$T1500)</f>
        <v/>
      </c>
      <c r="B1504" t="str">
        <f t="shared" si="138"/>
        <v/>
      </c>
      <c r="C1504" t="str">
        <f t="shared" si="139"/>
        <v/>
      </c>
      <c r="D1504" t="str">
        <f t="shared" si="140"/>
        <v/>
      </c>
      <c r="E1504" t="str">
        <f t="shared" si="141"/>
        <v/>
      </c>
      <c r="F1504" t="str">
        <f t="shared" si="142"/>
        <v/>
      </c>
      <c r="G1504" t="str">
        <f>IF(OR($E1504="",$E1504="نامعتبر",Sync!$X1500=""),"",IF(AND(LEFT(UPPER(TRIM(Sync!$X1500)),2)="SL",IFERROR(VLOOKUP(Sync!$W1500,OpTbl,3,0),"")="فروش"),UPPER(TRIM(Sync!$X1500)),""))</f>
        <v/>
      </c>
      <c r="H1504" t="str">
        <f>IF($G1504="","",IF(Sync!$W1500="","",Sync!$W1500))</f>
        <v/>
      </c>
      <c r="I1504" t="str">
        <f>IF(OR($G1504="",Sync!$Y1500=""),"",Sync!$Y1500)</f>
        <v/>
      </c>
      <c r="J1504" t="str">
        <f>IF(OR($G1504="",Sync!$Z1500=""),"",Sync!$Z1500)</f>
        <v/>
      </c>
      <c r="K1504">
        <f>IF($G1504="",0,IF(Sync!$AA1500="",0,Sync!$AA1500))</f>
        <v>0</v>
      </c>
      <c r="L1504">
        <f>IF($G1504="",0,IF(Sync!$AB1500="",0,Sync!$AB1500))</f>
        <v>0</v>
      </c>
      <c r="M1504" t="str">
        <f t="shared" si="143"/>
        <v/>
      </c>
      <c r="N1504">
        <f>IF($G1504="",0,IF($H1504="مرجوعی فروش",-1,1)*IF(Sync!$AC1500="",0,Sync!$AC1500))</f>
        <v>0</v>
      </c>
      <c r="O1504" t="str">
        <f>IF(OR($G1504="",Sync!$V1500=""),"",Sync!$V1500)</f>
        <v/>
      </c>
      <c r="P1504" t="str">
        <f>IF(OR($G1504="",Sync!$AD1500=""),"",Sync!$AD1500)</f>
        <v/>
      </c>
      <c r="Q1504" t="str">
        <f>IF($G1504="","",IF(Sync!$U1500="","0000",IF(AND(ISNUMBER(Sync!$U1500),Sync!$U1500&gt;=0,Sync!$U1500&lt;1),RIGHT("00"&amp;HOUR(Sync!$U1500),2)&amp;RIGHT("00"&amp;MINUTE(Sync!$U1500),2),IFERROR(RIGHT("00"&amp;VALUE(LEFT(Sync!$U1500,FIND(":",Sync!$U1500)-1)),2)&amp;RIGHT("00"&amp;VALUE(MID(Sync!$U1500,FIND(":",Sync!$U1500)+1,2)),2),"0000"))))</f>
        <v/>
      </c>
    </row>
    <row r="1505" spans="1:17" x14ac:dyDescent="0.2">
      <c r="A1505" t="str">
        <f>IF(Sync!$T1501="","",Sync!$T1501)</f>
        <v/>
      </c>
      <c r="B1505" t="str">
        <f t="shared" si="138"/>
        <v/>
      </c>
      <c r="C1505" t="str">
        <f t="shared" si="139"/>
        <v/>
      </c>
      <c r="D1505" t="str">
        <f t="shared" si="140"/>
        <v/>
      </c>
      <c r="E1505" t="str">
        <f t="shared" si="141"/>
        <v/>
      </c>
      <c r="F1505" t="str">
        <f t="shared" si="142"/>
        <v/>
      </c>
      <c r="G1505" t="str">
        <f>IF(OR($E1505="",$E1505="نامعتبر",Sync!$X1501=""),"",IF(AND(LEFT(UPPER(TRIM(Sync!$X1501)),2)="SL",IFERROR(VLOOKUP(Sync!$W1501,OpTbl,3,0),"")="فروش"),UPPER(TRIM(Sync!$X1501)),""))</f>
        <v/>
      </c>
      <c r="H1505" t="str">
        <f>IF($G1505="","",IF(Sync!$W1501="","",Sync!$W1501))</f>
        <v/>
      </c>
      <c r="I1505" t="str">
        <f>IF(OR($G1505="",Sync!$Y1501=""),"",Sync!$Y1501)</f>
        <v/>
      </c>
      <c r="J1505" t="str">
        <f>IF(OR($G1505="",Sync!$Z1501=""),"",Sync!$Z1501)</f>
        <v/>
      </c>
      <c r="K1505">
        <f>IF($G1505="",0,IF(Sync!$AA1501="",0,Sync!$AA1501))</f>
        <v>0</v>
      </c>
      <c r="L1505">
        <f>IF($G1505="",0,IF(Sync!$AB1501="",0,Sync!$AB1501))</f>
        <v>0</v>
      </c>
      <c r="M1505" t="str">
        <f t="shared" si="143"/>
        <v/>
      </c>
      <c r="N1505">
        <f>IF($G1505="",0,IF($H1505="مرجوعی فروش",-1,1)*IF(Sync!$AC1501="",0,Sync!$AC1501))</f>
        <v>0</v>
      </c>
      <c r="O1505" t="str">
        <f>IF(OR($G1505="",Sync!$V1501=""),"",Sync!$V1501)</f>
        <v/>
      </c>
      <c r="P1505" t="str">
        <f>IF(OR($G1505="",Sync!$AD1501=""),"",Sync!$AD1501)</f>
        <v/>
      </c>
      <c r="Q1505" t="str">
        <f>IF($G1505="","",IF(Sync!$U1501="","0000",IF(AND(ISNUMBER(Sync!$U1501),Sync!$U1501&gt;=0,Sync!$U1501&lt;1),RIGHT("00"&amp;HOUR(Sync!$U1501),2)&amp;RIGHT("00"&amp;MINUTE(Sync!$U1501),2),IFERROR(RIGHT("00"&amp;VALUE(LEFT(Sync!$U1501,FIND(":",Sync!$U1501)-1)),2)&amp;RIGHT("00"&amp;VALUE(MID(Sync!$U1501,FIND(":",Sync!$U1501)+1,2)),2),"0000"))))</f>
        <v/>
      </c>
    </row>
    <row r="1506" spans="1:17" x14ac:dyDescent="0.2">
      <c r="A1506" t="str">
        <f>IF(Sync!$T1502="","",Sync!$T1502)</f>
        <v/>
      </c>
      <c r="B1506" t="str">
        <f t="shared" si="138"/>
        <v/>
      </c>
      <c r="C1506" t="str">
        <f t="shared" si="139"/>
        <v/>
      </c>
      <c r="D1506" t="str">
        <f t="shared" si="140"/>
        <v/>
      </c>
      <c r="E1506" t="str">
        <f t="shared" si="141"/>
        <v/>
      </c>
      <c r="F1506" t="str">
        <f t="shared" si="142"/>
        <v/>
      </c>
      <c r="G1506" t="str">
        <f>IF(OR($E1506="",$E1506="نامعتبر",Sync!$X1502=""),"",IF(AND(LEFT(UPPER(TRIM(Sync!$X1502)),2)="SL",IFERROR(VLOOKUP(Sync!$W1502,OpTbl,3,0),"")="فروش"),UPPER(TRIM(Sync!$X1502)),""))</f>
        <v/>
      </c>
      <c r="H1506" t="str">
        <f>IF($G1506="","",IF(Sync!$W1502="","",Sync!$W1502))</f>
        <v/>
      </c>
      <c r="I1506" t="str">
        <f>IF(OR($G1506="",Sync!$Y1502=""),"",Sync!$Y1502)</f>
        <v/>
      </c>
      <c r="J1506" t="str">
        <f>IF(OR($G1506="",Sync!$Z1502=""),"",Sync!$Z1502)</f>
        <v/>
      </c>
      <c r="K1506">
        <f>IF($G1506="",0,IF(Sync!$AA1502="",0,Sync!$AA1502))</f>
        <v>0</v>
      </c>
      <c r="L1506">
        <f>IF($G1506="",0,IF(Sync!$AB1502="",0,Sync!$AB1502))</f>
        <v>0</v>
      </c>
      <c r="M1506" t="str">
        <f t="shared" si="143"/>
        <v/>
      </c>
      <c r="N1506">
        <f>IF($G1506="",0,IF($H1506="مرجوعی فروش",-1,1)*IF(Sync!$AC1502="",0,Sync!$AC1502))</f>
        <v>0</v>
      </c>
      <c r="O1506" t="str">
        <f>IF(OR($G1506="",Sync!$V1502=""),"",Sync!$V1502)</f>
        <v/>
      </c>
      <c r="P1506" t="str">
        <f>IF(OR($G1506="",Sync!$AD1502=""),"",Sync!$AD1502)</f>
        <v/>
      </c>
      <c r="Q1506" t="str">
        <f>IF($G1506="","",IF(Sync!$U1502="","0000",IF(AND(ISNUMBER(Sync!$U1502),Sync!$U1502&gt;=0,Sync!$U1502&lt;1),RIGHT("00"&amp;HOUR(Sync!$U1502),2)&amp;RIGHT("00"&amp;MINUTE(Sync!$U1502),2),IFERROR(RIGHT("00"&amp;VALUE(LEFT(Sync!$U1502,FIND(":",Sync!$U1502)-1)),2)&amp;RIGHT("00"&amp;VALUE(MID(Sync!$U1502,FIND(":",Sync!$U1502)+1,2)),2),"0000"))))</f>
        <v/>
      </c>
    </row>
    <row r="1507" spans="1:17" x14ac:dyDescent="0.2">
      <c r="A1507" t="str">
        <f>IF(Sync!$T1503="","",Sync!$T1503)</f>
        <v/>
      </c>
      <c r="B1507" t="str">
        <f t="shared" si="138"/>
        <v/>
      </c>
      <c r="C1507" t="str">
        <f t="shared" si="139"/>
        <v/>
      </c>
      <c r="D1507" t="str">
        <f t="shared" si="140"/>
        <v/>
      </c>
      <c r="E1507" t="str">
        <f t="shared" si="141"/>
        <v/>
      </c>
      <c r="F1507" t="str">
        <f t="shared" si="142"/>
        <v/>
      </c>
      <c r="G1507" t="str">
        <f>IF(OR($E1507="",$E1507="نامعتبر",Sync!$X1503=""),"",IF(AND(LEFT(UPPER(TRIM(Sync!$X1503)),2)="SL",IFERROR(VLOOKUP(Sync!$W1503,OpTbl,3,0),"")="فروش"),UPPER(TRIM(Sync!$X1503)),""))</f>
        <v/>
      </c>
      <c r="H1507" t="str">
        <f>IF($G1507="","",IF(Sync!$W1503="","",Sync!$W1503))</f>
        <v/>
      </c>
      <c r="I1507" t="str">
        <f>IF(OR($G1507="",Sync!$Y1503=""),"",Sync!$Y1503)</f>
        <v/>
      </c>
      <c r="J1507" t="str">
        <f>IF(OR($G1507="",Sync!$Z1503=""),"",Sync!$Z1503)</f>
        <v/>
      </c>
      <c r="K1507">
        <f>IF($G1507="",0,IF(Sync!$AA1503="",0,Sync!$AA1503))</f>
        <v>0</v>
      </c>
      <c r="L1507">
        <f>IF($G1507="",0,IF(Sync!$AB1503="",0,Sync!$AB1503))</f>
        <v>0</v>
      </c>
      <c r="M1507" t="str">
        <f t="shared" si="143"/>
        <v/>
      </c>
      <c r="N1507">
        <f>IF($G1507="",0,IF($H1507="مرجوعی فروش",-1,1)*IF(Sync!$AC1503="",0,Sync!$AC1503))</f>
        <v>0</v>
      </c>
      <c r="O1507" t="str">
        <f>IF(OR($G1507="",Sync!$V1503=""),"",Sync!$V1503)</f>
        <v/>
      </c>
      <c r="P1507" t="str">
        <f>IF(OR($G1507="",Sync!$AD1503=""),"",Sync!$AD1503)</f>
        <v/>
      </c>
      <c r="Q1507" t="str">
        <f>IF($G1507="","",IF(Sync!$U1503="","0000",IF(AND(ISNUMBER(Sync!$U1503),Sync!$U1503&gt;=0,Sync!$U1503&lt;1),RIGHT("00"&amp;HOUR(Sync!$U1503),2)&amp;RIGHT("00"&amp;MINUTE(Sync!$U1503),2),IFERROR(RIGHT("00"&amp;VALUE(LEFT(Sync!$U1503,FIND(":",Sync!$U1503)-1)),2)&amp;RIGHT("00"&amp;VALUE(MID(Sync!$U1503,FIND(":",Sync!$U1503)+1,2)),2),"0000"))))</f>
        <v/>
      </c>
    </row>
    <row r="1508" spans="1:17" x14ac:dyDescent="0.2">
      <c r="A1508" t="str">
        <f>IF(Sync!$T1504="","",Sync!$T1504)</f>
        <v/>
      </c>
      <c r="B1508" t="str">
        <f t="shared" si="138"/>
        <v/>
      </c>
      <c r="C1508" t="str">
        <f t="shared" si="139"/>
        <v/>
      </c>
      <c r="D1508" t="str">
        <f t="shared" si="140"/>
        <v/>
      </c>
      <c r="E1508" t="str">
        <f t="shared" si="141"/>
        <v/>
      </c>
      <c r="F1508" t="str">
        <f t="shared" si="142"/>
        <v/>
      </c>
      <c r="G1508" t="str">
        <f>IF(OR($E1508="",$E1508="نامعتبر",Sync!$X1504=""),"",IF(AND(LEFT(UPPER(TRIM(Sync!$X1504)),2)="SL",IFERROR(VLOOKUP(Sync!$W1504,OpTbl,3,0),"")="فروش"),UPPER(TRIM(Sync!$X1504)),""))</f>
        <v/>
      </c>
      <c r="H1508" t="str">
        <f>IF($G1508="","",IF(Sync!$W1504="","",Sync!$W1504))</f>
        <v/>
      </c>
      <c r="I1508" t="str">
        <f>IF(OR($G1508="",Sync!$Y1504=""),"",Sync!$Y1504)</f>
        <v/>
      </c>
      <c r="J1508" t="str">
        <f>IF(OR($G1508="",Sync!$Z1504=""),"",Sync!$Z1504)</f>
        <v/>
      </c>
      <c r="K1508">
        <f>IF($G1508="",0,IF(Sync!$AA1504="",0,Sync!$AA1504))</f>
        <v>0</v>
      </c>
      <c r="L1508">
        <f>IF($G1508="",0,IF(Sync!$AB1504="",0,Sync!$AB1504))</f>
        <v>0</v>
      </c>
      <c r="M1508" t="str">
        <f t="shared" si="143"/>
        <v/>
      </c>
      <c r="N1508">
        <f>IF($G1508="",0,IF($H1508="مرجوعی فروش",-1,1)*IF(Sync!$AC1504="",0,Sync!$AC1504))</f>
        <v>0</v>
      </c>
      <c r="O1508" t="str">
        <f>IF(OR($G1508="",Sync!$V1504=""),"",Sync!$V1504)</f>
        <v/>
      </c>
      <c r="P1508" t="str">
        <f>IF(OR($G1508="",Sync!$AD1504=""),"",Sync!$AD1504)</f>
        <v/>
      </c>
      <c r="Q1508" t="str">
        <f>IF($G1508="","",IF(Sync!$U1504="","0000",IF(AND(ISNUMBER(Sync!$U1504),Sync!$U1504&gt;=0,Sync!$U1504&lt;1),RIGHT("00"&amp;HOUR(Sync!$U1504),2)&amp;RIGHT("00"&amp;MINUTE(Sync!$U1504),2),IFERROR(RIGHT("00"&amp;VALUE(LEFT(Sync!$U1504,FIND(":",Sync!$U1504)-1)),2)&amp;RIGHT("00"&amp;VALUE(MID(Sync!$U1504,FIND(":",Sync!$U1504)+1,2)),2),"0000"))))</f>
        <v/>
      </c>
    </row>
    <row r="1509" spans="1:17" x14ac:dyDescent="0.2">
      <c r="A1509" t="str">
        <f>IF(Sync!$T1505="","",Sync!$T1505)</f>
        <v/>
      </c>
      <c r="B1509" t="str">
        <f t="shared" si="138"/>
        <v/>
      </c>
      <c r="C1509" t="str">
        <f t="shared" si="139"/>
        <v/>
      </c>
      <c r="D1509" t="str">
        <f t="shared" si="140"/>
        <v/>
      </c>
      <c r="E1509" t="str">
        <f t="shared" si="141"/>
        <v/>
      </c>
      <c r="F1509" t="str">
        <f t="shared" si="142"/>
        <v/>
      </c>
      <c r="G1509" t="str">
        <f>IF(OR($E1509="",$E1509="نامعتبر",Sync!$X1505=""),"",IF(AND(LEFT(UPPER(TRIM(Sync!$X1505)),2)="SL",IFERROR(VLOOKUP(Sync!$W1505,OpTbl,3,0),"")="فروش"),UPPER(TRIM(Sync!$X1505)),""))</f>
        <v/>
      </c>
      <c r="H1509" t="str">
        <f>IF($G1509="","",IF(Sync!$W1505="","",Sync!$W1505))</f>
        <v/>
      </c>
      <c r="I1509" t="str">
        <f>IF(OR($G1509="",Sync!$Y1505=""),"",Sync!$Y1505)</f>
        <v/>
      </c>
      <c r="J1509" t="str">
        <f>IF(OR($G1509="",Sync!$Z1505=""),"",Sync!$Z1505)</f>
        <v/>
      </c>
      <c r="K1509">
        <f>IF($G1509="",0,IF(Sync!$AA1505="",0,Sync!$AA1505))</f>
        <v>0</v>
      </c>
      <c r="L1509">
        <f>IF($G1509="",0,IF(Sync!$AB1505="",0,Sync!$AB1505))</f>
        <v>0</v>
      </c>
      <c r="M1509" t="str">
        <f t="shared" si="143"/>
        <v/>
      </c>
      <c r="N1509">
        <f>IF($G1509="",0,IF($H1509="مرجوعی فروش",-1,1)*IF(Sync!$AC1505="",0,Sync!$AC1505))</f>
        <v>0</v>
      </c>
      <c r="O1509" t="str">
        <f>IF(OR($G1509="",Sync!$V1505=""),"",Sync!$V1505)</f>
        <v/>
      </c>
      <c r="P1509" t="str">
        <f>IF(OR($G1509="",Sync!$AD1505=""),"",Sync!$AD1505)</f>
        <v/>
      </c>
      <c r="Q1509" t="str">
        <f>IF($G1509="","",IF(Sync!$U1505="","0000",IF(AND(ISNUMBER(Sync!$U1505),Sync!$U1505&gt;=0,Sync!$U1505&lt;1),RIGHT("00"&amp;HOUR(Sync!$U1505),2)&amp;RIGHT("00"&amp;MINUTE(Sync!$U1505),2),IFERROR(RIGHT("00"&amp;VALUE(LEFT(Sync!$U1505,FIND(":",Sync!$U1505)-1)),2)&amp;RIGHT("00"&amp;VALUE(MID(Sync!$U1505,FIND(":",Sync!$U1505)+1,2)),2),"0000"))))</f>
        <v/>
      </c>
    </row>
    <row r="1510" spans="1:17" x14ac:dyDescent="0.2">
      <c r="A1510" t="str">
        <f>IF(Sync!$T1506="","",Sync!$T1506)</f>
        <v/>
      </c>
      <c r="B1510" t="str">
        <f t="shared" si="138"/>
        <v/>
      </c>
      <c r="C1510" t="str">
        <f t="shared" si="139"/>
        <v/>
      </c>
      <c r="D1510" t="str">
        <f t="shared" si="140"/>
        <v/>
      </c>
      <c r="E1510" t="str">
        <f t="shared" si="141"/>
        <v/>
      </c>
      <c r="F1510" t="str">
        <f t="shared" si="142"/>
        <v/>
      </c>
      <c r="G1510" t="str">
        <f>IF(OR($E1510="",$E1510="نامعتبر",Sync!$X1506=""),"",IF(AND(LEFT(UPPER(TRIM(Sync!$X1506)),2)="SL",IFERROR(VLOOKUP(Sync!$W1506,OpTbl,3,0),"")="فروش"),UPPER(TRIM(Sync!$X1506)),""))</f>
        <v/>
      </c>
      <c r="H1510" t="str">
        <f>IF($G1510="","",IF(Sync!$W1506="","",Sync!$W1506))</f>
        <v/>
      </c>
      <c r="I1510" t="str">
        <f>IF(OR($G1510="",Sync!$Y1506=""),"",Sync!$Y1506)</f>
        <v/>
      </c>
      <c r="J1510" t="str">
        <f>IF(OR($G1510="",Sync!$Z1506=""),"",Sync!$Z1506)</f>
        <v/>
      </c>
      <c r="K1510">
        <f>IF($G1510="",0,IF(Sync!$AA1506="",0,Sync!$AA1506))</f>
        <v>0</v>
      </c>
      <c r="L1510">
        <f>IF($G1510="",0,IF(Sync!$AB1506="",0,Sync!$AB1506))</f>
        <v>0</v>
      </c>
      <c r="M1510" t="str">
        <f t="shared" si="143"/>
        <v/>
      </c>
      <c r="N1510">
        <f>IF($G1510="",0,IF($H1510="مرجوعی فروش",-1,1)*IF(Sync!$AC1506="",0,Sync!$AC1506))</f>
        <v>0</v>
      </c>
      <c r="O1510" t="str">
        <f>IF(OR($G1510="",Sync!$V1506=""),"",Sync!$V1506)</f>
        <v/>
      </c>
      <c r="P1510" t="str">
        <f>IF(OR($G1510="",Sync!$AD1506=""),"",Sync!$AD1506)</f>
        <v/>
      </c>
      <c r="Q1510" t="str">
        <f>IF($G1510="","",IF(Sync!$U1506="","0000",IF(AND(ISNUMBER(Sync!$U1506),Sync!$U1506&gt;=0,Sync!$U1506&lt;1),RIGHT("00"&amp;HOUR(Sync!$U1506),2)&amp;RIGHT("00"&amp;MINUTE(Sync!$U1506),2),IFERROR(RIGHT("00"&amp;VALUE(LEFT(Sync!$U1506,FIND(":",Sync!$U1506)-1)),2)&amp;RIGHT("00"&amp;VALUE(MID(Sync!$U1506,FIND(":",Sync!$U1506)+1,2)),2),"0000"))))</f>
        <v/>
      </c>
    </row>
    <row r="1511" spans="1:17" x14ac:dyDescent="0.2">
      <c r="A1511" t="str">
        <f>IF(Sync!$T1507="","",Sync!$T1507)</f>
        <v/>
      </c>
      <c r="B1511" t="str">
        <f t="shared" si="138"/>
        <v/>
      </c>
      <c r="C1511" t="str">
        <f t="shared" si="139"/>
        <v/>
      </c>
      <c r="D1511" t="str">
        <f t="shared" si="140"/>
        <v/>
      </c>
      <c r="E1511" t="str">
        <f t="shared" si="141"/>
        <v/>
      </c>
      <c r="F1511" t="str">
        <f t="shared" si="142"/>
        <v/>
      </c>
      <c r="G1511" t="str">
        <f>IF(OR($E1511="",$E1511="نامعتبر",Sync!$X1507=""),"",IF(AND(LEFT(UPPER(TRIM(Sync!$X1507)),2)="SL",IFERROR(VLOOKUP(Sync!$W1507,OpTbl,3,0),"")="فروش"),UPPER(TRIM(Sync!$X1507)),""))</f>
        <v/>
      </c>
      <c r="H1511" t="str">
        <f>IF($G1511="","",IF(Sync!$W1507="","",Sync!$W1507))</f>
        <v/>
      </c>
      <c r="I1511" t="str">
        <f>IF(OR($G1511="",Sync!$Y1507=""),"",Sync!$Y1507)</f>
        <v/>
      </c>
      <c r="J1511" t="str">
        <f>IF(OR($G1511="",Sync!$Z1507=""),"",Sync!$Z1507)</f>
        <v/>
      </c>
      <c r="K1511">
        <f>IF($G1511="",0,IF(Sync!$AA1507="",0,Sync!$AA1507))</f>
        <v>0</v>
      </c>
      <c r="L1511">
        <f>IF($G1511="",0,IF(Sync!$AB1507="",0,Sync!$AB1507))</f>
        <v>0</v>
      </c>
      <c r="M1511" t="str">
        <f t="shared" si="143"/>
        <v/>
      </c>
      <c r="N1511">
        <f>IF($G1511="",0,IF($H1511="مرجوعی فروش",-1,1)*IF(Sync!$AC1507="",0,Sync!$AC1507))</f>
        <v>0</v>
      </c>
      <c r="O1511" t="str">
        <f>IF(OR($G1511="",Sync!$V1507=""),"",Sync!$V1507)</f>
        <v/>
      </c>
      <c r="P1511" t="str">
        <f>IF(OR($G1511="",Sync!$AD1507=""),"",Sync!$AD1507)</f>
        <v/>
      </c>
      <c r="Q1511" t="str">
        <f>IF($G1511="","",IF(Sync!$U1507="","0000",IF(AND(ISNUMBER(Sync!$U1507),Sync!$U1507&gt;=0,Sync!$U1507&lt;1),RIGHT("00"&amp;HOUR(Sync!$U1507),2)&amp;RIGHT("00"&amp;MINUTE(Sync!$U1507),2),IFERROR(RIGHT("00"&amp;VALUE(LEFT(Sync!$U1507,FIND(":",Sync!$U1507)-1)),2)&amp;RIGHT("00"&amp;VALUE(MID(Sync!$U1507,FIND(":",Sync!$U1507)+1,2)),2),"0000"))))</f>
        <v/>
      </c>
    </row>
    <row r="1512" spans="1:17" x14ac:dyDescent="0.2">
      <c r="A1512" t="str">
        <f>IF(Sync!$T1508="","",Sync!$T1508)</f>
        <v/>
      </c>
      <c r="B1512" t="str">
        <f t="shared" si="138"/>
        <v/>
      </c>
      <c r="C1512" t="str">
        <f t="shared" si="139"/>
        <v/>
      </c>
      <c r="D1512" t="str">
        <f t="shared" si="140"/>
        <v/>
      </c>
      <c r="E1512" t="str">
        <f t="shared" si="141"/>
        <v/>
      </c>
      <c r="F1512" t="str">
        <f t="shared" si="142"/>
        <v/>
      </c>
      <c r="G1512" t="str">
        <f>IF(OR($E1512="",$E1512="نامعتبر",Sync!$X1508=""),"",IF(AND(LEFT(UPPER(TRIM(Sync!$X1508)),2)="SL",IFERROR(VLOOKUP(Sync!$W1508,OpTbl,3,0),"")="فروش"),UPPER(TRIM(Sync!$X1508)),""))</f>
        <v/>
      </c>
      <c r="H1512" t="str">
        <f>IF($G1512="","",IF(Sync!$W1508="","",Sync!$W1508))</f>
        <v/>
      </c>
      <c r="I1512" t="str">
        <f>IF(OR($G1512="",Sync!$Y1508=""),"",Sync!$Y1508)</f>
        <v/>
      </c>
      <c r="J1512" t="str">
        <f>IF(OR($G1512="",Sync!$Z1508=""),"",Sync!$Z1508)</f>
        <v/>
      </c>
      <c r="K1512">
        <f>IF($G1512="",0,IF(Sync!$AA1508="",0,Sync!$AA1508))</f>
        <v>0</v>
      </c>
      <c r="L1512">
        <f>IF($G1512="",0,IF(Sync!$AB1508="",0,Sync!$AB1508))</f>
        <v>0</v>
      </c>
      <c r="M1512" t="str">
        <f t="shared" si="143"/>
        <v/>
      </c>
      <c r="N1512">
        <f>IF($G1512="",0,IF($H1512="مرجوعی فروش",-1,1)*IF(Sync!$AC1508="",0,Sync!$AC1508))</f>
        <v>0</v>
      </c>
      <c r="O1512" t="str">
        <f>IF(OR($G1512="",Sync!$V1508=""),"",Sync!$V1508)</f>
        <v/>
      </c>
      <c r="P1512" t="str">
        <f>IF(OR($G1512="",Sync!$AD1508=""),"",Sync!$AD1508)</f>
        <v/>
      </c>
      <c r="Q1512" t="str">
        <f>IF($G1512="","",IF(Sync!$U1508="","0000",IF(AND(ISNUMBER(Sync!$U1508),Sync!$U1508&gt;=0,Sync!$U1508&lt;1),RIGHT("00"&amp;HOUR(Sync!$U1508),2)&amp;RIGHT("00"&amp;MINUTE(Sync!$U1508),2),IFERROR(RIGHT("00"&amp;VALUE(LEFT(Sync!$U1508,FIND(":",Sync!$U1508)-1)),2)&amp;RIGHT("00"&amp;VALUE(MID(Sync!$U1508,FIND(":",Sync!$U1508)+1,2)),2),"0000"))))</f>
        <v/>
      </c>
    </row>
    <row r="1513" spans="1:17" x14ac:dyDescent="0.2">
      <c r="A1513" t="str">
        <f>IF(Sync!$T1509="","",Sync!$T1509)</f>
        <v/>
      </c>
      <c r="B1513" t="str">
        <f t="shared" si="138"/>
        <v/>
      </c>
      <c r="C1513" t="str">
        <f t="shared" si="139"/>
        <v/>
      </c>
      <c r="D1513" t="str">
        <f t="shared" si="140"/>
        <v/>
      </c>
      <c r="E1513" t="str">
        <f t="shared" si="141"/>
        <v/>
      </c>
      <c r="F1513" t="str">
        <f t="shared" si="142"/>
        <v/>
      </c>
      <c r="G1513" t="str">
        <f>IF(OR($E1513="",$E1513="نامعتبر",Sync!$X1509=""),"",IF(AND(LEFT(UPPER(TRIM(Sync!$X1509)),2)="SL",IFERROR(VLOOKUP(Sync!$W1509,OpTbl,3,0),"")="فروش"),UPPER(TRIM(Sync!$X1509)),""))</f>
        <v/>
      </c>
      <c r="H1513" t="str">
        <f>IF($G1513="","",IF(Sync!$W1509="","",Sync!$W1509))</f>
        <v/>
      </c>
      <c r="I1513" t="str">
        <f>IF(OR($G1513="",Sync!$Y1509=""),"",Sync!$Y1509)</f>
        <v/>
      </c>
      <c r="J1513" t="str">
        <f>IF(OR($G1513="",Sync!$Z1509=""),"",Sync!$Z1509)</f>
        <v/>
      </c>
      <c r="K1513">
        <f>IF($G1513="",0,IF(Sync!$AA1509="",0,Sync!$AA1509))</f>
        <v>0</v>
      </c>
      <c r="L1513">
        <f>IF($G1513="",0,IF(Sync!$AB1509="",0,Sync!$AB1509))</f>
        <v>0</v>
      </c>
      <c r="M1513" t="str">
        <f t="shared" si="143"/>
        <v/>
      </c>
      <c r="N1513">
        <f>IF($G1513="",0,IF($H1513="مرجوعی فروش",-1,1)*IF(Sync!$AC1509="",0,Sync!$AC1509))</f>
        <v>0</v>
      </c>
      <c r="O1513" t="str">
        <f>IF(OR($G1513="",Sync!$V1509=""),"",Sync!$V1509)</f>
        <v/>
      </c>
      <c r="P1513" t="str">
        <f>IF(OR($G1513="",Sync!$AD1509=""),"",Sync!$AD1509)</f>
        <v/>
      </c>
      <c r="Q1513" t="str">
        <f>IF($G1513="","",IF(Sync!$U1509="","0000",IF(AND(ISNUMBER(Sync!$U1509),Sync!$U1509&gt;=0,Sync!$U1509&lt;1),RIGHT("00"&amp;HOUR(Sync!$U1509),2)&amp;RIGHT("00"&amp;MINUTE(Sync!$U1509),2),IFERROR(RIGHT("00"&amp;VALUE(LEFT(Sync!$U1509,FIND(":",Sync!$U1509)-1)),2)&amp;RIGHT("00"&amp;VALUE(MID(Sync!$U1509,FIND(":",Sync!$U1509)+1,2)),2),"0000"))))</f>
        <v/>
      </c>
    </row>
    <row r="1514" spans="1:17" x14ac:dyDescent="0.2">
      <c r="A1514" t="str">
        <f>IF(Sync!$T1510="","",Sync!$T1510)</f>
        <v/>
      </c>
      <c r="B1514" t="str">
        <f t="shared" si="138"/>
        <v/>
      </c>
      <c r="C1514" t="str">
        <f t="shared" si="139"/>
        <v/>
      </c>
      <c r="D1514" t="str">
        <f t="shared" si="140"/>
        <v/>
      </c>
      <c r="E1514" t="str">
        <f t="shared" si="141"/>
        <v/>
      </c>
      <c r="F1514" t="str">
        <f t="shared" si="142"/>
        <v/>
      </c>
      <c r="G1514" t="str">
        <f>IF(OR($E1514="",$E1514="نامعتبر",Sync!$X1510=""),"",IF(AND(LEFT(UPPER(TRIM(Sync!$X1510)),2)="SL",IFERROR(VLOOKUP(Sync!$W1510,OpTbl,3,0),"")="فروش"),UPPER(TRIM(Sync!$X1510)),""))</f>
        <v/>
      </c>
      <c r="H1514" t="str">
        <f>IF($G1514="","",IF(Sync!$W1510="","",Sync!$W1510))</f>
        <v/>
      </c>
      <c r="I1514" t="str">
        <f>IF(OR($G1514="",Sync!$Y1510=""),"",Sync!$Y1510)</f>
        <v/>
      </c>
      <c r="J1514" t="str">
        <f>IF(OR($G1514="",Sync!$Z1510=""),"",Sync!$Z1510)</f>
        <v/>
      </c>
      <c r="K1514">
        <f>IF($G1514="",0,IF(Sync!$AA1510="",0,Sync!$AA1510))</f>
        <v>0</v>
      </c>
      <c r="L1514">
        <f>IF($G1514="",0,IF(Sync!$AB1510="",0,Sync!$AB1510))</f>
        <v>0</v>
      </c>
      <c r="M1514" t="str">
        <f t="shared" si="143"/>
        <v/>
      </c>
      <c r="N1514">
        <f>IF($G1514="",0,IF($H1514="مرجوعی فروش",-1,1)*IF(Sync!$AC1510="",0,Sync!$AC1510))</f>
        <v>0</v>
      </c>
      <c r="O1514" t="str">
        <f>IF(OR($G1514="",Sync!$V1510=""),"",Sync!$V1510)</f>
        <v/>
      </c>
      <c r="P1514" t="str">
        <f>IF(OR($G1514="",Sync!$AD1510=""),"",Sync!$AD1510)</f>
        <v/>
      </c>
      <c r="Q1514" t="str">
        <f>IF($G1514="","",IF(Sync!$U1510="","0000",IF(AND(ISNUMBER(Sync!$U1510),Sync!$U1510&gt;=0,Sync!$U1510&lt;1),RIGHT("00"&amp;HOUR(Sync!$U1510),2)&amp;RIGHT("00"&amp;MINUTE(Sync!$U1510),2),IFERROR(RIGHT("00"&amp;VALUE(LEFT(Sync!$U1510,FIND(":",Sync!$U1510)-1)),2)&amp;RIGHT("00"&amp;VALUE(MID(Sync!$U1510,FIND(":",Sync!$U1510)+1,2)),2),"0000"))))</f>
        <v/>
      </c>
    </row>
    <row r="1515" spans="1:17" x14ac:dyDescent="0.2">
      <c r="A1515" t="str">
        <f>IF(Sync!$T1511="","",Sync!$T1511)</f>
        <v/>
      </c>
      <c r="B1515" t="str">
        <f t="shared" si="138"/>
        <v/>
      </c>
      <c r="C1515" t="str">
        <f t="shared" si="139"/>
        <v/>
      </c>
      <c r="D1515" t="str">
        <f t="shared" si="140"/>
        <v/>
      </c>
      <c r="E1515" t="str">
        <f t="shared" si="141"/>
        <v/>
      </c>
      <c r="F1515" t="str">
        <f t="shared" si="142"/>
        <v/>
      </c>
      <c r="G1515" t="str">
        <f>IF(OR($E1515="",$E1515="نامعتبر",Sync!$X1511=""),"",IF(AND(LEFT(UPPER(TRIM(Sync!$X1511)),2)="SL",IFERROR(VLOOKUP(Sync!$W1511,OpTbl,3,0),"")="فروش"),UPPER(TRIM(Sync!$X1511)),""))</f>
        <v/>
      </c>
      <c r="H1515" t="str">
        <f>IF($G1515="","",IF(Sync!$W1511="","",Sync!$W1511))</f>
        <v/>
      </c>
      <c r="I1515" t="str">
        <f>IF(OR($G1515="",Sync!$Y1511=""),"",Sync!$Y1511)</f>
        <v/>
      </c>
      <c r="J1515" t="str">
        <f>IF(OR($G1515="",Sync!$Z1511=""),"",Sync!$Z1511)</f>
        <v/>
      </c>
      <c r="K1515">
        <f>IF($G1515="",0,IF(Sync!$AA1511="",0,Sync!$AA1511))</f>
        <v>0</v>
      </c>
      <c r="L1515">
        <f>IF($G1515="",0,IF(Sync!$AB1511="",0,Sync!$AB1511))</f>
        <v>0</v>
      </c>
      <c r="M1515" t="str">
        <f t="shared" si="143"/>
        <v/>
      </c>
      <c r="N1515">
        <f>IF($G1515="",0,IF($H1515="مرجوعی فروش",-1,1)*IF(Sync!$AC1511="",0,Sync!$AC1511))</f>
        <v>0</v>
      </c>
      <c r="O1515" t="str">
        <f>IF(OR($G1515="",Sync!$V1511=""),"",Sync!$V1511)</f>
        <v/>
      </c>
      <c r="P1515" t="str">
        <f>IF(OR($G1515="",Sync!$AD1511=""),"",Sync!$AD1511)</f>
        <v/>
      </c>
      <c r="Q1515" t="str">
        <f>IF($G1515="","",IF(Sync!$U1511="","0000",IF(AND(ISNUMBER(Sync!$U1511),Sync!$U1511&gt;=0,Sync!$U1511&lt;1),RIGHT("00"&amp;HOUR(Sync!$U1511),2)&amp;RIGHT("00"&amp;MINUTE(Sync!$U1511),2),IFERROR(RIGHT("00"&amp;VALUE(LEFT(Sync!$U1511,FIND(":",Sync!$U1511)-1)),2)&amp;RIGHT("00"&amp;VALUE(MID(Sync!$U1511,FIND(":",Sync!$U1511)+1,2)),2),"0000"))))</f>
        <v/>
      </c>
    </row>
    <row r="1516" spans="1:17" x14ac:dyDescent="0.2">
      <c r="A1516" t="str">
        <f>IF(Sync!$T1512="","",Sync!$T1512)</f>
        <v/>
      </c>
      <c r="B1516" t="str">
        <f t="shared" si="138"/>
        <v/>
      </c>
      <c r="C1516" t="str">
        <f t="shared" si="139"/>
        <v/>
      </c>
      <c r="D1516" t="str">
        <f t="shared" si="140"/>
        <v/>
      </c>
      <c r="E1516" t="str">
        <f t="shared" si="141"/>
        <v/>
      </c>
      <c r="F1516" t="str">
        <f t="shared" si="142"/>
        <v/>
      </c>
      <c r="G1516" t="str">
        <f>IF(OR($E1516="",$E1516="نامعتبر",Sync!$X1512=""),"",IF(AND(LEFT(UPPER(TRIM(Sync!$X1512)),2)="SL",IFERROR(VLOOKUP(Sync!$W1512,OpTbl,3,0),"")="فروش"),UPPER(TRIM(Sync!$X1512)),""))</f>
        <v/>
      </c>
      <c r="H1516" t="str">
        <f>IF($G1516="","",IF(Sync!$W1512="","",Sync!$W1512))</f>
        <v/>
      </c>
      <c r="I1516" t="str">
        <f>IF(OR($G1516="",Sync!$Y1512=""),"",Sync!$Y1512)</f>
        <v/>
      </c>
      <c r="J1516" t="str">
        <f>IF(OR($G1516="",Sync!$Z1512=""),"",Sync!$Z1512)</f>
        <v/>
      </c>
      <c r="K1516">
        <f>IF($G1516="",0,IF(Sync!$AA1512="",0,Sync!$AA1512))</f>
        <v>0</v>
      </c>
      <c r="L1516">
        <f>IF($G1516="",0,IF(Sync!$AB1512="",0,Sync!$AB1512))</f>
        <v>0</v>
      </c>
      <c r="M1516" t="str">
        <f t="shared" si="143"/>
        <v/>
      </c>
      <c r="N1516">
        <f>IF($G1516="",0,IF($H1516="مرجوعی فروش",-1,1)*IF(Sync!$AC1512="",0,Sync!$AC1512))</f>
        <v>0</v>
      </c>
      <c r="O1516" t="str">
        <f>IF(OR($G1516="",Sync!$V1512=""),"",Sync!$V1512)</f>
        <v/>
      </c>
      <c r="P1516" t="str">
        <f>IF(OR($G1516="",Sync!$AD1512=""),"",Sync!$AD1512)</f>
        <v/>
      </c>
      <c r="Q1516" t="str">
        <f>IF($G1516="","",IF(Sync!$U1512="","0000",IF(AND(ISNUMBER(Sync!$U1512),Sync!$U1512&gt;=0,Sync!$U1512&lt;1),RIGHT("00"&amp;HOUR(Sync!$U1512),2)&amp;RIGHT("00"&amp;MINUTE(Sync!$U1512),2),IFERROR(RIGHT("00"&amp;VALUE(LEFT(Sync!$U1512,FIND(":",Sync!$U1512)-1)),2)&amp;RIGHT("00"&amp;VALUE(MID(Sync!$U1512,FIND(":",Sync!$U1512)+1,2)),2),"0000"))))</f>
        <v/>
      </c>
    </row>
    <row r="1517" spans="1:17" x14ac:dyDescent="0.2">
      <c r="A1517" t="str">
        <f>IF(Sync!$T1513="","",Sync!$T1513)</f>
        <v/>
      </c>
      <c r="B1517" t="str">
        <f t="shared" si="138"/>
        <v/>
      </c>
      <c r="C1517" t="str">
        <f t="shared" si="139"/>
        <v/>
      </c>
      <c r="D1517" t="str">
        <f t="shared" si="140"/>
        <v/>
      </c>
      <c r="E1517" t="str">
        <f t="shared" si="141"/>
        <v/>
      </c>
      <c r="F1517" t="str">
        <f t="shared" si="142"/>
        <v/>
      </c>
      <c r="G1517" t="str">
        <f>IF(OR($E1517="",$E1517="نامعتبر",Sync!$X1513=""),"",IF(AND(LEFT(UPPER(TRIM(Sync!$X1513)),2)="SL",IFERROR(VLOOKUP(Sync!$W1513,OpTbl,3,0),"")="فروش"),UPPER(TRIM(Sync!$X1513)),""))</f>
        <v/>
      </c>
      <c r="H1517" t="str">
        <f>IF($G1517="","",IF(Sync!$W1513="","",Sync!$W1513))</f>
        <v/>
      </c>
      <c r="I1517" t="str">
        <f>IF(OR($G1517="",Sync!$Y1513=""),"",Sync!$Y1513)</f>
        <v/>
      </c>
      <c r="J1517" t="str">
        <f>IF(OR($G1517="",Sync!$Z1513=""),"",Sync!$Z1513)</f>
        <v/>
      </c>
      <c r="K1517">
        <f>IF($G1517="",0,IF(Sync!$AA1513="",0,Sync!$AA1513))</f>
        <v>0</v>
      </c>
      <c r="L1517">
        <f>IF($G1517="",0,IF(Sync!$AB1513="",0,Sync!$AB1513))</f>
        <v>0</v>
      </c>
      <c r="M1517" t="str">
        <f t="shared" si="143"/>
        <v/>
      </c>
      <c r="N1517">
        <f>IF($G1517="",0,IF($H1517="مرجوعی فروش",-1,1)*IF(Sync!$AC1513="",0,Sync!$AC1513))</f>
        <v>0</v>
      </c>
      <c r="O1517" t="str">
        <f>IF(OR($G1517="",Sync!$V1513=""),"",Sync!$V1513)</f>
        <v/>
      </c>
      <c r="P1517" t="str">
        <f>IF(OR($G1517="",Sync!$AD1513=""),"",Sync!$AD1513)</f>
        <v/>
      </c>
      <c r="Q1517" t="str">
        <f>IF($G1517="","",IF(Sync!$U1513="","0000",IF(AND(ISNUMBER(Sync!$U1513),Sync!$U1513&gt;=0,Sync!$U1513&lt;1),RIGHT("00"&amp;HOUR(Sync!$U1513),2)&amp;RIGHT("00"&amp;MINUTE(Sync!$U1513),2),IFERROR(RIGHT("00"&amp;VALUE(LEFT(Sync!$U1513,FIND(":",Sync!$U1513)-1)),2)&amp;RIGHT("00"&amp;VALUE(MID(Sync!$U1513,FIND(":",Sync!$U1513)+1,2)),2),"0000"))))</f>
        <v/>
      </c>
    </row>
    <row r="1518" spans="1:17" x14ac:dyDescent="0.2">
      <c r="A1518" t="str">
        <f>IF(Sync!$T1514="","",Sync!$T1514)</f>
        <v/>
      </c>
      <c r="B1518" t="str">
        <f t="shared" si="138"/>
        <v/>
      </c>
      <c r="C1518" t="str">
        <f t="shared" si="139"/>
        <v/>
      </c>
      <c r="D1518" t="str">
        <f t="shared" si="140"/>
        <v/>
      </c>
      <c r="E1518" t="str">
        <f t="shared" si="141"/>
        <v/>
      </c>
      <c r="F1518" t="str">
        <f t="shared" si="142"/>
        <v/>
      </c>
      <c r="G1518" t="str">
        <f>IF(OR($E1518="",$E1518="نامعتبر",Sync!$X1514=""),"",IF(AND(LEFT(UPPER(TRIM(Sync!$X1514)),2)="SL",IFERROR(VLOOKUP(Sync!$W1514,OpTbl,3,0),"")="فروش"),UPPER(TRIM(Sync!$X1514)),""))</f>
        <v/>
      </c>
      <c r="H1518" t="str">
        <f>IF($G1518="","",IF(Sync!$W1514="","",Sync!$W1514))</f>
        <v/>
      </c>
      <c r="I1518" t="str">
        <f>IF(OR($G1518="",Sync!$Y1514=""),"",Sync!$Y1514)</f>
        <v/>
      </c>
      <c r="J1518" t="str">
        <f>IF(OR($G1518="",Sync!$Z1514=""),"",Sync!$Z1514)</f>
        <v/>
      </c>
      <c r="K1518">
        <f>IF($G1518="",0,IF(Sync!$AA1514="",0,Sync!$AA1514))</f>
        <v>0</v>
      </c>
      <c r="L1518">
        <f>IF($G1518="",0,IF(Sync!$AB1514="",0,Sync!$AB1514))</f>
        <v>0</v>
      </c>
      <c r="M1518" t="str">
        <f t="shared" si="143"/>
        <v/>
      </c>
      <c r="N1518">
        <f>IF($G1518="",0,IF($H1518="مرجوعی فروش",-1,1)*IF(Sync!$AC1514="",0,Sync!$AC1514))</f>
        <v>0</v>
      </c>
      <c r="O1518" t="str">
        <f>IF(OR($G1518="",Sync!$V1514=""),"",Sync!$V1514)</f>
        <v/>
      </c>
      <c r="P1518" t="str">
        <f>IF(OR($G1518="",Sync!$AD1514=""),"",Sync!$AD1514)</f>
        <v/>
      </c>
      <c r="Q1518" t="str">
        <f>IF($G1518="","",IF(Sync!$U1514="","0000",IF(AND(ISNUMBER(Sync!$U1514),Sync!$U1514&gt;=0,Sync!$U1514&lt;1),RIGHT("00"&amp;HOUR(Sync!$U1514),2)&amp;RIGHT("00"&amp;MINUTE(Sync!$U1514),2),IFERROR(RIGHT("00"&amp;VALUE(LEFT(Sync!$U1514,FIND(":",Sync!$U1514)-1)),2)&amp;RIGHT("00"&amp;VALUE(MID(Sync!$U1514,FIND(":",Sync!$U1514)+1,2)),2),"0000"))))</f>
        <v/>
      </c>
    </row>
    <row r="1519" spans="1:17" x14ac:dyDescent="0.2">
      <c r="A1519" t="str">
        <f>IF(Sync!$T1515="","",Sync!$T1515)</f>
        <v/>
      </c>
      <c r="B1519" t="str">
        <f t="shared" si="138"/>
        <v/>
      </c>
      <c r="C1519" t="str">
        <f t="shared" si="139"/>
        <v/>
      </c>
      <c r="D1519" t="str">
        <f t="shared" si="140"/>
        <v/>
      </c>
      <c r="E1519" t="str">
        <f t="shared" si="141"/>
        <v/>
      </c>
      <c r="F1519" t="str">
        <f t="shared" si="142"/>
        <v/>
      </c>
      <c r="G1519" t="str">
        <f>IF(OR($E1519="",$E1519="نامعتبر",Sync!$X1515=""),"",IF(AND(LEFT(UPPER(TRIM(Sync!$X1515)),2)="SL",IFERROR(VLOOKUP(Sync!$W1515,OpTbl,3,0),"")="فروش"),UPPER(TRIM(Sync!$X1515)),""))</f>
        <v/>
      </c>
      <c r="H1519" t="str">
        <f>IF($G1519="","",IF(Sync!$W1515="","",Sync!$W1515))</f>
        <v/>
      </c>
      <c r="I1519" t="str">
        <f>IF(OR($G1519="",Sync!$Y1515=""),"",Sync!$Y1515)</f>
        <v/>
      </c>
      <c r="J1519" t="str">
        <f>IF(OR($G1519="",Sync!$Z1515=""),"",Sync!$Z1515)</f>
        <v/>
      </c>
      <c r="K1519">
        <f>IF($G1519="",0,IF(Sync!$AA1515="",0,Sync!$AA1515))</f>
        <v>0</v>
      </c>
      <c r="L1519">
        <f>IF($G1519="",0,IF(Sync!$AB1515="",0,Sync!$AB1515))</f>
        <v>0</v>
      </c>
      <c r="M1519" t="str">
        <f t="shared" si="143"/>
        <v/>
      </c>
      <c r="N1519">
        <f>IF($G1519="",0,IF($H1519="مرجوعی فروش",-1,1)*IF(Sync!$AC1515="",0,Sync!$AC1515))</f>
        <v>0</v>
      </c>
      <c r="O1519" t="str">
        <f>IF(OR($G1519="",Sync!$V1515=""),"",Sync!$V1515)</f>
        <v/>
      </c>
      <c r="P1519" t="str">
        <f>IF(OR($G1519="",Sync!$AD1515=""),"",Sync!$AD1515)</f>
        <v/>
      </c>
      <c r="Q1519" t="str">
        <f>IF($G1519="","",IF(Sync!$U1515="","0000",IF(AND(ISNUMBER(Sync!$U1515),Sync!$U1515&gt;=0,Sync!$U1515&lt;1),RIGHT("00"&amp;HOUR(Sync!$U1515),2)&amp;RIGHT("00"&amp;MINUTE(Sync!$U1515),2),IFERROR(RIGHT("00"&amp;VALUE(LEFT(Sync!$U1515,FIND(":",Sync!$U1515)-1)),2)&amp;RIGHT("00"&amp;VALUE(MID(Sync!$U1515,FIND(":",Sync!$U1515)+1,2)),2),"0000"))))</f>
        <v/>
      </c>
    </row>
    <row r="1520" spans="1:17" x14ac:dyDescent="0.2">
      <c r="A1520" t="str">
        <f>IF(Sync!$T1516="","",Sync!$T1516)</f>
        <v/>
      </c>
      <c r="B1520" t="str">
        <f t="shared" si="138"/>
        <v/>
      </c>
      <c r="C1520" t="str">
        <f t="shared" si="139"/>
        <v/>
      </c>
      <c r="D1520" t="str">
        <f t="shared" si="140"/>
        <v/>
      </c>
      <c r="E1520" t="str">
        <f t="shared" si="141"/>
        <v/>
      </c>
      <c r="F1520" t="str">
        <f t="shared" si="142"/>
        <v/>
      </c>
      <c r="G1520" t="str">
        <f>IF(OR($E1520="",$E1520="نامعتبر",Sync!$X1516=""),"",IF(AND(LEFT(UPPER(TRIM(Sync!$X1516)),2)="SL",IFERROR(VLOOKUP(Sync!$W1516,OpTbl,3,0),"")="فروش"),UPPER(TRIM(Sync!$X1516)),""))</f>
        <v/>
      </c>
      <c r="H1520" t="str">
        <f>IF($G1520="","",IF(Sync!$W1516="","",Sync!$W1516))</f>
        <v/>
      </c>
      <c r="I1520" t="str">
        <f>IF(OR($G1520="",Sync!$Y1516=""),"",Sync!$Y1516)</f>
        <v/>
      </c>
      <c r="J1520" t="str">
        <f>IF(OR($G1520="",Sync!$Z1516=""),"",Sync!$Z1516)</f>
        <v/>
      </c>
      <c r="K1520">
        <f>IF($G1520="",0,IF(Sync!$AA1516="",0,Sync!$AA1516))</f>
        <v>0</v>
      </c>
      <c r="L1520">
        <f>IF($G1520="",0,IF(Sync!$AB1516="",0,Sync!$AB1516))</f>
        <v>0</v>
      </c>
      <c r="M1520" t="str">
        <f t="shared" si="143"/>
        <v/>
      </c>
      <c r="N1520">
        <f>IF($G1520="",0,IF($H1520="مرجوعی فروش",-1,1)*IF(Sync!$AC1516="",0,Sync!$AC1516))</f>
        <v>0</v>
      </c>
      <c r="O1520" t="str">
        <f>IF(OR($G1520="",Sync!$V1516=""),"",Sync!$V1516)</f>
        <v/>
      </c>
      <c r="P1520" t="str">
        <f>IF(OR($G1520="",Sync!$AD1516=""),"",Sync!$AD1516)</f>
        <v/>
      </c>
      <c r="Q1520" t="str">
        <f>IF($G1520="","",IF(Sync!$U1516="","0000",IF(AND(ISNUMBER(Sync!$U1516),Sync!$U1516&gt;=0,Sync!$U1516&lt;1),RIGHT("00"&amp;HOUR(Sync!$U1516),2)&amp;RIGHT("00"&amp;MINUTE(Sync!$U1516),2),IFERROR(RIGHT("00"&amp;VALUE(LEFT(Sync!$U1516,FIND(":",Sync!$U1516)-1)),2)&amp;RIGHT("00"&amp;VALUE(MID(Sync!$U1516,FIND(":",Sync!$U1516)+1,2)),2),"0000"))))</f>
        <v/>
      </c>
    </row>
    <row r="1521" spans="1:17" x14ac:dyDescent="0.2">
      <c r="A1521" t="str">
        <f>IF(Sync!$T1517="","",Sync!$T1517)</f>
        <v/>
      </c>
      <c r="B1521" t="str">
        <f t="shared" si="138"/>
        <v/>
      </c>
      <c r="C1521" t="str">
        <f t="shared" si="139"/>
        <v/>
      </c>
      <c r="D1521" t="str">
        <f t="shared" si="140"/>
        <v/>
      </c>
      <c r="E1521" t="str">
        <f t="shared" si="141"/>
        <v/>
      </c>
      <c r="F1521" t="str">
        <f t="shared" si="142"/>
        <v/>
      </c>
      <c r="G1521" t="str">
        <f>IF(OR($E1521="",$E1521="نامعتبر",Sync!$X1517=""),"",IF(AND(LEFT(UPPER(TRIM(Sync!$X1517)),2)="SL",IFERROR(VLOOKUP(Sync!$W1517,OpTbl,3,0),"")="فروش"),UPPER(TRIM(Sync!$X1517)),""))</f>
        <v/>
      </c>
      <c r="H1521" t="str">
        <f>IF($G1521="","",IF(Sync!$W1517="","",Sync!$W1517))</f>
        <v/>
      </c>
      <c r="I1521" t="str">
        <f>IF(OR($G1521="",Sync!$Y1517=""),"",Sync!$Y1517)</f>
        <v/>
      </c>
      <c r="J1521" t="str">
        <f>IF(OR($G1521="",Sync!$Z1517=""),"",Sync!$Z1517)</f>
        <v/>
      </c>
      <c r="K1521">
        <f>IF($G1521="",0,IF(Sync!$AA1517="",0,Sync!$AA1517))</f>
        <v>0</v>
      </c>
      <c r="L1521">
        <f>IF($G1521="",0,IF(Sync!$AB1517="",0,Sync!$AB1517))</f>
        <v>0</v>
      </c>
      <c r="M1521" t="str">
        <f t="shared" si="143"/>
        <v/>
      </c>
      <c r="N1521">
        <f>IF($G1521="",0,IF($H1521="مرجوعی فروش",-1,1)*IF(Sync!$AC1517="",0,Sync!$AC1517))</f>
        <v>0</v>
      </c>
      <c r="O1521" t="str">
        <f>IF(OR($G1521="",Sync!$V1517=""),"",Sync!$V1517)</f>
        <v/>
      </c>
      <c r="P1521" t="str">
        <f>IF(OR($G1521="",Sync!$AD1517=""),"",Sync!$AD1517)</f>
        <v/>
      </c>
      <c r="Q1521" t="str">
        <f>IF($G1521="","",IF(Sync!$U1517="","0000",IF(AND(ISNUMBER(Sync!$U1517),Sync!$U1517&gt;=0,Sync!$U1517&lt;1),RIGHT("00"&amp;HOUR(Sync!$U1517),2)&amp;RIGHT("00"&amp;MINUTE(Sync!$U1517),2),IFERROR(RIGHT("00"&amp;VALUE(LEFT(Sync!$U1517,FIND(":",Sync!$U1517)-1)),2)&amp;RIGHT("00"&amp;VALUE(MID(Sync!$U1517,FIND(":",Sync!$U1517)+1,2)),2),"0000"))))</f>
        <v/>
      </c>
    </row>
    <row r="1522" spans="1:17" x14ac:dyDescent="0.2">
      <c r="A1522" t="str">
        <f>IF(Sync!$T1518="","",Sync!$T1518)</f>
        <v/>
      </c>
      <c r="B1522" t="str">
        <f t="shared" si="138"/>
        <v/>
      </c>
      <c r="C1522" t="str">
        <f t="shared" si="139"/>
        <v/>
      </c>
      <c r="D1522" t="str">
        <f t="shared" si="140"/>
        <v/>
      </c>
      <c r="E1522" t="str">
        <f t="shared" si="141"/>
        <v/>
      </c>
      <c r="F1522" t="str">
        <f t="shared" si="142"/>
        <v/>
      </c>
      <c r="G1522" t="str">
        <f>IF(OR($E1522="",$E1522="نامعتبر",Sync!$X1518=""),"",IF(AND(LEFT(UPPER(TRIM(Sync!$X1518)),2)="SL",IFERROR(VLOOKUP(Sync!$W1518,OpTbl,3,0),"")="فروش"),UPPER(TRIM(Sync!$X1518)),""))</f>
        <v/>
      </c>
      <c r="H1522" t="str">
        <f>IF($G1522="","",IF(Sync!$W1518="","",Sync!$W1518))</f>
        <v/>
      </c>
      <c r="I1522" t="str">
        <f>IF(OR($G1522="",Sync!$Y1518=""),"",Sync!$Y1518)</f>
        <v/>
      </c>
      <c r="J1522" t="str">
        <f>IF(OR($G1522="",Sync!$Z1518=""),"",Sync!$Z1518)</f>
        <v/>
      </c>
      <c r="K1522">
        <f>IF($G1522="",0,IF(Sync!$AA1518="",0,Sync!$AA1518))</f>
        <v>0</v>
      </c>
      <c r="L1522">
        <f>IF($G1522="",0,IF(Sync!$AB1518="",0,Sync!$AB1518))</f>
        <v>0</v>
      </c>
      <c r="M1522" t="str">
        <f t="shared" si="143"/>
        <v/>
      </c>
      <c r="N1522">
        <f>IF($G1522="",0,IF($H1522="مرجوعی فروش",-1,1)*IF(Sync!$AC1518="",0,Sync!$AC1518))</f>
        <v>0</v>
      </c>
      <c r="O1522" t="str">
        <f>IF(OR($G1522="",Sync!$V1518=""),"",Sync!$V1518)</f>
        <v/>
      </c>
      <c r="P1522" t="str">
        <f>IF(OR($G1522="",Sync!$AD1518=""),"",Sync!$AD1518)</f>
        <v/>
      </c>
      <c r="Q1522" t="str">
        <f>IF($G1522="","",IF(Sync!$U1518="","0000",IF(AND(ISNUMBER(Sync!$U1518),Sync!$U1518&gt;=0,Sync!$U1518&lt;1),RIGHT("00"&amp;HOUR(Sync!$U1518),2)&amp;RIGHT("00"&amp;MINUTE(Sync!$U1518),2),IFERROR(RIGHT("00"&amp;VALUE(LEFT(Sync!$U1518,FIND(":",Sync!$U1518)-1)),2)&amp;RIGHT("00"&amp;VALUE(MID(Sync!$U1518,FIND(":",Sync!$U1518)+1,2)),2),"0000"))))</f>
        <v/>
      </c>
    </row>
    <row r="1523" spans="1:17" x14ac:dyDescent="0.2">
      <c r="A1523" t="str">
        <f>IF(Sync!$T1519="","",Sync!$T1519)</f>
        <v/>
      </c>
      <c r="B1523" t="str">
        <f t="shared" si="138"/>
        <v/>
      </c>
      <c r="C1523" t="str">
        <f t="shared" si="139"/>
        <v/>
      </c>
      <c r="D1523" t="str">
        <f t="shared" si="140"/>
        <v/>
      </c>
      <c r="E1523" t="str">
        <f t="shared" si="141"/>
        <v/>
      </c>
      <c r="F1523" t="str">
        <f t="shared" si="142"/>
        <v/>
      </c>
      <c r="G1523" t="str">
        <f>IF(OR($E1523="",$E1523="نامعتبر",Sync!$X1519=""),"",IF(AND(LEFT(UPPER(TRIM(Sync!$X1519)),2)="SL",IFERROR(VLOOKUP(Sync!$W1519,OpTbl,3,0),"")="فروش"),UPPER(TRIM(Sync!$X1519)),""))</f>
        <v/>
      </c>
      <c r="H1523" t="str">
        <f>IF($G1523="","",IF(Sync!$W1519="","",Sync!$W1519))</f>
        <v/>
      </c>
      <c r="I1523" t="str">
        <f>IF(OR($G1523="",Sync!$Y1519=""),"",Sync!$Y1519)</f>
        <v/>
      </c>
      <c r="J1523" t="str">
        <f>IF(OR($G1523="",Sync!$Z1519=""),"",Sync!$Z1519)</f>
        <v/>
      </c>
      <c r="K1523">
        <f>IF($G1523="",0,IF(Sync!$AA1519="",0,Sync!$AA1519))</f>
        <v>0</v>
      </c>
      <c r="L1523">
        <f>IF($G1523="",0,IF(Sync!$AB1519="",0,Sync!$AB1519))</f>
        <v>0</v>
      </c>
      <c r="M1523" t="str">
        <f t="shared" si="143"/>
        <v/>
      </c>
      <c r="N1523">
        <f>IF($G1523="",0,IF($H1523="مرجوعی فروش",-1,1)*IF(Sync!$AC1519="",0,Sync!$AC1519))</f>
        <v>0</v>
      </c>
      <c r="O1523" t="str">
        <f>IF(OR($G1523="",Sync!$V1519=""),"",Sync!$V1519)</f>
        <v/>
      </c>
      <c r="P1523" t="str">
        <f>IF(OR($G1523="",Sync!$AD1519=""),"",Sync!$AD1519)</f>
        <v/>
      </c>
      <c r="Q1523" t="str">
        <f>IF($G1523="","",IF(Sync!$U1519="","0000",IF(AND(ISNUMBER(Sync!$U1519),Sync!$U1519&gt;=0,Sync!$U1519&lt;1),RIGHT("00"&amp;HOUR(Sync!$U1519),2)&amp;RIGHT("00"&amp;MINUTE(Sync!$U1519),2),IFERROR(RIGHT("00"&amp;VALUE(LEFT(Sync!$U1519,FIND(":",Sync!$U1519)-1)),2)&amp;RIGHT("00"&amp;VALUE(MID(Sync!$U1519,FIND(":",Sync!$U1519)+1,2)),2),"0000"))))</f>
        <v/>
      </c>
    </row>
    <row r="1524" spans="1:17" x14ac:dyDescent="0.2">
      <c r="A1524" t="str">
        <f>IF(Sync!$T1520="","",Sync!$T1520)</f>
        <v/>
      </c>
      <c r="B1524" t="str">
        <f t="shared" si="138"/>
        <v/>
      </c>
      <c r="C1524" t="str">
        <f t="shared" si="139"/>
        <v/>
      </c>
      <c r="D1524" t="str">
        <f t="shared" si="140"/>
        <v/>
      </c>
      <c r="E1524" t="str">
        <f t="shared" si="141"/>
        <v/>
      </c>
      <c r="F1524" t="str">
        <f t="shared" si="142"/>
        <v/>
      </c>
      <c r="G1524" t="str">
        <f>IF(OR($E1524="",$E1524="نامعتبر",Sync!$X1520=""),"",IF(AND(LEFT(UPPER(TRIM(Sync!$X1520)),2)="SL",IFERROR(VLOOKUP(Sync!$W1520,OpTbl,3,0),"")="فروش"),UPPER(TRIM(Sync!$X1520)),""))</f>
        <v/>
      </c>
      <c r="H1524" t="str">
        <f>IF($G1524="","",IF(Sync!$W1520="","",Sync!$W1520))</f>
        <v/>
      </c>
      <c r="I1524" t="str">
        <f>IF(OR($G1524="",Sync!$Y1520=""),"",Sync!$Y1520)</f>
        <v/>
      </c>
      <c r="J1524" t="str">
        <f>IF(OR($G1524="",Sync!$Z1520=""),"",Sync!$Z1520)</f>
        <v/>
      </c>
      <c r="K1524">
        <f>IF($G1524="",0,IF(Sync!$AA1520="",0,Sync!$AA1520))</f>
        <v>0</v>
      </c>
      <c r="L1524">
        <f>IF($G1524="",0,IF(Sync!$AB1520="",0,Sync!$AB1520))</f>
        <v>0</v>
      </c>
      <c r="M1524" t="str">
        <f t="shared" si="143"/>
        <v/>
      </c>
      <c r="N1524">
        <f>IF($G1524="",0,IF($H1524="مرجوعی فروش",-1,1)*IF(Sync!$AC1520="",0,Sync!$AC1520))</f>
        <v>0</v>
      </c>
      <c r="O1524" t="str">
        <f>IF(OR($G1524="",Sync!$V1520=""),"",Sync!$V1520)</f>
        <v/>
      </c>
      <c r="P1524" t="str">
        <f>IF(OR($G1524="",Sync!$AD1520=""),"",Sync!$AD1520)</f>
        <v/>
      </c>
      <c r="Q1524" t="str">
        <f>IF($G1524="","",IF(Sync!$U1520="","0000",IF(AND(ISNUMBER(Sync!$U1520),Sync!$U1520&gt;=0,Sync!$U1520&lt;1),RIGHT("00"&amp;HOUR(Sync!$U1520),2)&amp;RIGHT("00"&amp;MINUTE(Sync!$U1520),2),IFERROR(RIGHT("00"&amp;VALUE(LEFT(Sync!$U1520,FIND(":",Sync!$U1520)-1)),2)&amp;RIGHT("00"&amp;VALUE(MID(Sync!$U1520,FIND(":",Sync!$U1520)+1,2)),2),"0000"))))</f>
        <v/>
      </c>
    </row>
    <row r="1525" spans="1:17" x14ac:dyDescent="0.2">
      <c r="A1525" t="str">
        <f>IF(Sync!$T1521="","",Sync!$T1521)</f>
        <v/>
      </c>
      <c r="B1525" t="str">
        <f t="shared" si="138"/>
        <v/>
      </c>
      <c r="C1525" t="str">
        <f t="shared" si="139"/>
        <v/>
      </c>
      <c r="D1525" t="str">
        <f t="shared" si="140"/>
        <v/>
      </c>
      <c r="E1525" t="str">
        <f t="shared" si="141"/>
        <v/>
      </c>
      <c r="F1525" t="str">
        <f t="shared" si="142"/>
        <v/>
      </c>
      <c r="G1525" t="str">
        <f>IF(OR($E1525="",$E1525="نامعتبر",Sync!$X1521=""),"",IF(AND(LEFT(UPPER(TRIM(Sync!$X1521)),2)="SL",IFERROR(VLOOKUP(Sync!$W1521,OpTbl,3,0),"")="فروش"),UPPER(TRIM(Sync!$X1521)),""))</f>
        <v/>
      </c>
      <c r="H1525" t="str">
        <f>IF($G1525="","",IF(Sync!$W1521="","",Sync!$W1521))</f>
        <v/>
      </c>
      <c r="I1525" t="str">
        <f>IF(OR($G1525="",Sync!$Y1521=""),"",Sync!$Y1521)</f>
        <v/>
      </c>
      <c r="J1525" t="str">
        <f>IF(OR($G1525="",Sync!$Z1521=""),"",Sync!$Z1521)</f>
        <v/>
      </c>
      <c r="K1525">
        <f>IF($G1525="",0,IF(Sync!$AA1521="",0,Sync!$AA1521))</f>
        <v>0</v>
      </c>
      <c r="L1525">
        <f>IF($G1525="",0,IF(Sync!$AB1521="",0,Sync!$AB1521))</f>
        <v>0</v>
      </c>
      <c r="M1525" t="str">
        <f t="shared" si="143"/>
        <v/>
      </c>
      <c r="N1525">
        <f>IF($G1525="",0,IF($H1525="مرجوعی فروش",-1,1)*IF(Sync!$AC1521="",0,Sync!$AC1521))</f>
        <v>0</v>
      </c>
      <c r="O1525" t="str">
        <f>IF(OR($G1525="",Sync!$V1521=""),"",Sync!$V1521)</f>
        <v/>
      </c>
      <c r="P1525" t="str">
        <f>IF(OR($G1525="",Sync!$AD1521=""),"",Sync!$AD1521)</f>
        <v/>
      </c>
      <c r="Q1525" t="str">
        <f>IF($G1525="","",IF(Sync!$U1521="","0000",IF(AND(ISNUMBER(Sync!$U1521),Sync!$U1521&gt;=0,Sync!$U1521&lt;1),RIGHT("00"&amp;HOUR(Sync!$U1521),2)&amp;RIGHT("00"&amp;MINUTE(Sync!$U1521),2),IFERROR(RIGHT("00"&amp;VALUE(LEFT(Sync!$U1521,FIND(":",Sync!$U1521)-1)),2)&amp;RIGHT("00"&amp;VALUE(MID(Sync!$U1521,FIND(":",Sync!$U1521)+1,2)),2),"0000"))))</f>
        <v/>
      </c>
    </row>
    <row r="1526" spans="1:17" x14ac:dyDescent="0.2">
      <c r="A1526" t="str">
        <f>IF(Sync!$T1522="","",Sync!$T1522)</f>
        <v/>
      </c>
      <c r="B1526" t="str">
        <f t="shared" si="138"/>
        <v/>
      </c>
      <c r="C1526" t="str">
        <f t="shared" si="139"/>
        <v/>
      </c>
      <c r="D1526" t="str">
        <f t="shared" si="140"/>
        <v/>
      </c>
      <c r="E1526" t="str">
        <f t="shared" si="141"/>
        <v/>
      </c>
      <c r="F1526" t="str">
        <f t="shared" si="142"/>
        <v/>
      </c>
      <c r="G1526" t="str">
        <f>IF(OR($E1526="",$E1526="نامعتبر",Sync!$X1522=""),"",IF(AND(LEFT(UPPER(TRIM(Sync!$X1522)),2)="SL",IFERROR(VLOOKUP(Sync!$W1522,OpTbl,3,0),"")="فروش"),UPPER(TRIM(Sync!$X1522)),""))</f>
        <v/>
      </c>
      <c r="H1526" t="str">
        <f>IF($G1526="","",IF(Sync!$W1522="","",Sync!$W1522))</f>
        <v/>
      </c>
      <c r="I1526" t="str">
        <f>IF(OR($G1526="",Sync!$Y1522=""),"",Sync!$Y1522)</f>
        <v/>
      </c>
      <c r="J1526" t="str">
        <f>IF(OR($G1526="",Sync!$Z1522=""),"",Sync!$Z1522)</f>
        <v/>
      </c>
      <c r="K1526">
        <f>IF($G1526="",0,IF(Sync!$AA1522="",0,Sync!$AA1522))</f>
        <v>0</v>
      </c>
      <c r="L1526">
        <f>IF($G1526="",0,IF(Sync!$AB1522="",0,Sync!$AB1522))</f>
        <v>0</v>
      </c>
      <c r="M1526" t="str">
        <f t="shared" si="143"/>
        <v/>
      </c>
      <c r="N1526">
        <f>IF($G1526="",0,IF($H1526="مرجوعی فروش",-1,1)*IF(Sync!$AC1522="",0,Sync!$AC1522))</f>
        <v>0</v>
      </c>
      <c r="O1526" t="str">
        <f>IF(OR($G1526="",Sync!$V1522=""),"",Sync!$V1522)</f>
        <v/>
      </c>
      <c r="P1526" t="str">
        <f>IF(OR($G1526="",Sync!$AD1522=""),"",Sync!$AD1522)</f>
        <v/>
      </c>
      <c r="Q1526" t="str">
        <f>IF($G1526="","",IF(Sync!$U1522="","0000",IF(AND(ISNUMBER(Sync!$U1522),Sync!$U1522&gt;=0,Sync!$U1522&lt;1),RIGHT("00"&amp;HOUR(Sync!$U1522),2)&amp;RIGHT("00"&amp;MINUTE(Sync!$U1522),2),IFERROR(RIGHT("00"&amp;VALUE(LEFT(Sync!$U1522,FIND(":",Sync!$U1522)-1)),2)&amp;RIGHT("00"&amp;VALUE(MID(Sync!$U1522,FIND(":",Sync!$U1522)+1,2)),2),"0000"))))</f>
        <v/>
      </c>
    </row>
    <row r="1527" spans="1:17" x14ac:dyDescent="0.2">
      <c r="A1527" t="str">
        <f>IF(Sync!$T1523="","",Sync!$T1523)</f>
        <v/>
      </c>
      <c r="B1527" t="str">
        <f t="shared" si="138"/>
        <v/>
      </c>
      <c r="C1527" t="str">
        <f t="shared" si="139"/>
        <v/>
      </c>
      <c r="D1527" t="str">
        <f t="shared" si="140"/>
        <v/>
      </c>
      <c r="E1527" t="str">
        <f t="shared" si="141"/>
        <v/>
      </c>
      <c r="F1527" t="str">
        <f t="shared" si="142"/>
        <v/>
      </c>
      <c r="G1527" t="str">
        <f>IF(OR($E1527="",$E1527="نامعتبر",Sync!$X1523=""),"",IF(AND(LEFT(UPPER(TRIM(Sync!$X1523)),2)="SL",IFERROR(VLOOKUP(Sync!$W1523,OpTbl,3,0),"")="فروش"),UPPER(TRIM(Sync!$X1523)),""))</f>
        <v/>
      </c>
      <c r="H1527" t="str">
        <f>IF($G1527="","",IF(Sync!$W1523="","",Sync!$W1523))</f>
        <v/>
      </c>
      <c r="I1527" t="str">
        <f>IF(OR($G1527="",Sync!$Y1523=""),"",Sync!$Y1523)</f>
        <v/>
      </c>
      <c r="J1527" t="str">
        <f>IF(OR($G1527="",Sync!$Z1523=""),"",Sync!$Z1523)</f>
        <v/>
      </c>
      <c r="K1527">
        <f>IF($G1527="",0,IF(Sync!$AA1523="",0,Sync!$AA1523))</f>
        <v>0</v>
      </c>
      <c r="L1527">
        <f>IF($G1527="",0,IF(Sync!$AB1523="",0,Sync!$AB1523))</f>
        <v>0</v>
      </c>
      <c r="M1527" t="str">
        <f t="shared" si="143"/>
        <v/>
      </c>
      <c r="N1527">
        <f>IF($G1527="",0,IF($H1527="مرجوعی فروش",-1,1)*IF(Sync!$AC1523="",0,Sync!$AC1523))</f>
        <v>0</v>
      </c>
      <c r="O1527" t="str">
        <f>IF(OR($G1527="",Sync!$V1523=""),"",Sync!$V1523)</f>
        <v/>
      </c>
      <c r="P1527" t="str">
        <f>IF(OR($G1527="",Sync!$AD1523=""),"",Sync!$AD1523)</f>
        <v/>
      </c>
      <c r="Q1527" t="str">
        <f>IF($G1527="","",IF(Sync!$U1523="","0000",IF(AND(ISNUMBER(Sync!$U1523),Sync!$U1523&gt;=0,Sync!$U1523&lt;1),RIGHT("00"&amp;HOUR(Sync!$U1523),2)&amp;RIGHT("00"&amp;MINUTE(Sync!$U1523),2),IFERROR(RIGHT("00"&amp;VALUE(LEFT(Sync!$U1523,FIND(":",Sync!$U1523)-1)),2)&amp;RIGHT("00"&amp;VALUE(MID(Sync!$U1523,FIND(":",Sync!$U1523)+1,2)),2),"0000"))))</f>
        <v/>
      </c>
    </row>
    <row r="1528" spans="1:17" x14ac:dyDescent="0.2">
      <c r="A1528" t="str">
        <f>IF(Sync!$T1524="","",Sync!$T1524)</f>
        <v/>
      </c>
      <c r="B1528" t="str">
        <f t="shared" si="138"/>
        <v/>
      </c>
      <c r="C1528" t="str">
        <f t="shared" si="139"/>
        <v/>
      </c>
      <c r="D1528" t="str">
        <f t="shared" si="140"/>
        <v/>
      </c>
      <c r="E1528" t="str">
        <f t="shared" si="141"/>
        <v/>
      </c>
      <c r="F1528" t="str">
        <f t="shared" si="142"/>
        <v/>
      </c>
      <c r="G1528" t="str">
        <f>IF(OR($E1528="",$E1528="نامعتبر",Sync!$X1524=""),"",IF(AND(LEFT(UPPER(TRIM(Sync!$X1524)),2)="SL",IFERROR(VLOOKUP(Sync!$W1524,OpTbl,3,0),"")="فروش"),UPPER(TRIM(Sync!$X1524)),""))</f>
        <v/>
      </c>
      <c r="H1528" t="str">
        <f>IF($G1528="","",IF(Sync!$W1524="","",Sync!$W1524))</f>
        <v/>
      </c>
      <c r="I1528" t="str">
        <f>IF(OR($G1528="",Sync!$Y1524=""),"",Sync!$Y1524)</f>
        <v/>
      </c>
      <c r="J1528" t="str">
        <f>IF(OR($G1528="",Sync!$Z1524=""),"",Sync!$Z1524)</f>
        <v/>
      </c>
      <c r="K1528">
        <f>IF($G1528="",0,IF(Sync!$AA1524="",0,Sync!$AA1524))</f>
        <v>0</v>
      </c>
      <c r="L1528">
        <f>IF($G1528="",0,IF(Sync!$AB1524="",0,Sync!$AB1524))</f>
        <v>0</v>
      </c>
      <c r="M1528" t="str">
        <f t="shared" si="143"/>
        <v/>
      </c>
      <c r="N1528">
        <f>IF($G1528="",0,IF($H1528="مرجوعی فروش",-1,1)*IF(Sync!$AC1524="",0,Sync!$AC1524))</f>
        <v>0</v>
      </c>
      <c r="O1528" t="str">
        <f>IF(OR($G1528="",Sync!$V1524=""),"",Sync!$V1524)</f>
        <v/>
      </c>
      <c r="P1528" t="str">
        <f>IF(OR($G1528="",Sync!$AD1524=""),"",Sync!$AD1524)</f>
        <v/>
      </c>
      <c r="Q1528" t="str">
        <f>IF($G1528="","",IF(Sync!$U1524="","0000",IF(AND(ISNUMBER(Sync!$U1524),Sync!$U1524&gt;=0,Sync!$U1524&lt;1),RIGHT("00"&amp;HOUR(Sync!$U1524),2)&amp;RIGHT("00"&amp;MINUTE(Sync!$U1524),2),IFERROR(RIGHT("00"&amp;VALUE(LEFT(Sync!$U1524,FIND(":",Sync!$U1524)-1)),2)&amp;RIGHT("00"&amp;VALUE(MID(Sync!$U1524,FIND(":",Sync!$U1524)+1,2)),2),"0000"))))</f>
        <v/>
      </c>
    </row>
    <row r="1529" spans="1:17" x14ac:dyDescent="0.2">
      <c r="A1529" t="str">
        <f>IF(Sync!$T1525="","",Sync!$T1525)</f>
        <v/>
      </c>
      <c r="B1529" t="str">
        <f t="shared" si="138"/>
        <v/>
      </c>
      <c r="C1529" t="str">
        <f t="shared" si="139"/>
        <v/>
      </c>
      <c r="D1529" t="str">
        <f t="shared" si="140"/>
        <v/>
      </c>
      <c r="E1529" t="str">
        <f t="shared" si="141"/>
        <v/>
      </c>
      <c r="F1529" t="str">
        <f t="shared" si="142"/>
        <v/>
      </c>
      <c r="G1529" t="str">
        <f>IF(OR($E1529="",$E1529="نامعتبر",Sync!$X1525=""),"",IF(AND(LEFT(UPPER(TRIM(Sync!$X1525)),2)="SL",IFERROR(VLOOKUP(Sync!$W1525,OpTbl,3,0),"")="فروش"),UPPER(TRIM(Sync!$X1525)),""))</f>
        <v/>
      </c>
      <c r="H1529" t="str">
        <f>IF($G1529="","",IF(Sync!$W1525="","",Sync!$W1525))</f>
        <v/>
      </c>
      <c r="I1529" t="str">
        <f>IF(OR($G1529="",Sync!$Y1525=""),"",Sync!$Y1525)</f>
        <v/>
      </c>
      <c r="J1529" t="str">
        <f>IF(OR($G1529="",Sync!$Z1525=""),"",Sync!$Z1525)</f>
        <v/>
      </c>
      <c r="K1529">
        <f>IF($G1529="",0,IF(Sync!$AA1525="",0,Sync!$AA1525))</f>
        <v>0</v>
      </c>
      <c r="L1529">
        <f>IF($G1529="",0,IF(Sync!$AB1525="",0,Sync!$AB1525))</f>
        <v>0</v>
      </c>
      <c r="M1529" t="str">
        <f t="shared" si="143"/>
        <v/>
      </c>
      <c r="N1529">
        <f>IF($G1529="",0,IF($H1529="مرجوعی فروش",-1,1)*IF(Sync!$AC1525="",0,Sync!$AC1525))</f>
        <v>0</v>
      </c>
      <c r="O1529" t="str">
        <f>IF(OR($G1529="",Sync!$V1525=""),"",Sync!$V1525)</f>
        <v/>
      </c>
      <c r="P1529" t="str">
        <f>IF(OR($G1529="",Sync!$AD1525=""),"",Sync!$AD1525)</f>
        <v/>
      </c>
      <c r="Q1529" t="str">
        <f>IF($G1529="","",IF(Sync!$U1525="","0000",IF(AND(ISNUMBER(Sync!$U1525),Sync!$U1525&gt;=0,Sync!$U1525&lt;1),RIGHT("00"&amp;HOUR(Sync!$U1525),2)&amp;RIGHT("00"&amp;MINUTE(Sync!$U1525),2),IFERROR(RIGHT("00"&amp;VALUE(LEFT(Sync!$U1525,FIND(":",Sync!$U1525)-1)),2)&amp;RIGHT("00"&amp;VALUE(MID(Sync!$U1525,FIND(":",Sync!$U1525)+1,2)),2),"0000"))))</f>
        <v/>
      </c>
    </row>
    <row r="1530" spans="1:17" x14ac:dyDescent="0.2">
      <c r="A1530" t="str">
        <f>IF(Sync!$T1526="","",Sync!$T1526)</f>
        <v/>
      </c>
      <c r="B1530" t="str">
        <f t="shared" si="138"/>
        <v/>
      </c>
      <c r="C1530" t="str">
        <f t="shared" si="139"/>
        <v/>
      </c>
      <c r="D1530" t="str">
        <f t="shared" si="140"/>
        <v/>
      </c>
      <c r="E1530" t="str">
        <f t="shared" si="141"/>
        <v/>
      </c>
      <c r="F1530" t="str">
        <f t="shared" si="142"/>
        <v/>
      </c>
      <c r="G1530" t="str">
        <f>IF(OR($E1530="",$E1530="نامعتبر",Sync!$X1526=""),"",IF(AND(LEFT(UPPER(TRIM(Sync!$X1526)),2)="SL",IFERROR(VLOOKUP(Sync!$W1526,OpTbl,3,0),"")="فروش"),UPPER(TRIM(Sync!$X1526)),""))</f>
        <v/>
      </c>
      <c r="H1530" t="str">
        <f>IF($G1530="","",IF(Sync!$W1526="","",Sync!$W1526))</f>
        <v/>
      </c>
      <c r="I1530" t="str">
        <f>IF(OR($G1530="",Sync!$Y1526=""),"",Sync!$Y1526)</f>
        <v/>
      </c>
      <c r="J1530" t="str">
        <f>IF(OR($G1530="",Sync!$Z1526=""),"",Sync!$Z1526)</f>
        <v/>
      </c>
      <c r="K1530">
        <f>IF($G1530="",0,IF(Sync!$AA1526="",0,Sync!$AA1526))</f>
        <v>0</v>
      </c>
      <c r="L1530">
        <f>IF($G1530="",0,IF(Sync!$AB1526="",0,Sync!$AB1526))</f>
        <v>0</v>
      </c>
      <c r="M1530" t="str">
        <f t="shared" si="143"/>
        <v/>
      </c>
      <c r="N1530">
        <f>IF($G1530="",0,IF($H1530="مرجوعی فروش",-1,1)*IF(Sync!$AC1526="",0,Sync!$AC1526))</f>
        <v>0</v>
      </c>
      <c r="O1530" t="str">
        <f>IF(OR($G1530="",Sync!$V1526=""),"",Sync!$V1526)</f>
        <v/>
      </c>
      <c r="P1530" t="str">
        <f>IF(OR($G1530="",Sync!$AD1526=""),"",Sync!$AD1526)</f>
        <v/>
      </c>
      <c r="Q1530" t="str">
        <f>IF($G1530="","",IF(Sync!$U1526="","0000",IF(AND(ISNUMBER(Sync!$U1526),Sync!$U1526&gt;=0,Sync!$U1526&lt;1),RIGHT("00"&amp;HOUR(Sync!$U1526),2)&amp;RIGHT("00"&amp;MINUTE(Sync!$U1526),2),IFERROR(RIGHT("00"&amp;VALUE(LEFT(Sync!$U1526,FIND(":",Sync!$U1526)-1)),2)&amp;RIGHT("00"&amp;VALUE(MID(Sync!$U1526,FIND(":",Sync!$U1526)+1,2)),2),"0000"))))</f>
        <v/>
      </c>
    </row>
    <row r="1531" spans="1:17" x14ac:dyDescent="0.2">
      <c r="A1531" t="str">
        <f>IF(Sync!$T1527="","",Sync!$T1527)</f>
        <v/>
      </c>
      <c r="B1531" t="str">
        <f t="shared" si="138"/>
        <v/>
      </c>
      <c r="C1531" t="str">
        <f t="shared" si="139"/>
        <v/>
      </c>
      <c r="D1531" t="str">
        <f t="shared" si="140"/>
        <v/>
      </c>
      <c r="E1531" t="str">
        <f t="shared" si="141"/>
        <v/>
      </c>
      <c r="F1531" t="str">
        <f t="shared" si="142"/>
        <v/>
      </c>
      <c r="G1531" t="str">
        <f>IF(OR($E1531="",$E1531="نامعتبر",Sync!$X1527=""),"",IF(AND(LEFT(UPPER(TRIM(Sync!$X1527)),2)="SL",IFERROR(VLOOKUP(Sync!$W1527,OpTbl,3,0),"")="فروش"),UPPER(TRIM(Sync!$X1527)),""))</f>
        <v/>
      </c>
      <c r="H1531" t="str">
        <f>IF($G1531="","",IF(Sync!$W1527="","",Sync!$W1527))</f>
        <v/>
      </c>
      <c r="I1531" t="str">
        <f>IF(OR($G1531="",Sync!$Y1527=""),"",Sync!$Y1527)</f>
        <v/>
      </c>
      <c r="J1531" t="str">
        <f>IF(OR($G1531="",Sync!$Z1527=""),"",Sync!$Z1527)</f>
        <v/>
      </c>
      <c r="K1531">
        <f>IF($G1531="",0,IF(Sync!$AA1527="",0,Sync!$AA1527))</f>
        <v>0</v>
      </c>
      <c r="L1531">
        <f>IF($G1531="",0,IF(Sync!$AB1527="",0,Sync!$AB1527))</f>
        <v>0</v>
      </c>
      <c r="M1531" t="str">
        <f t="shared" si="143"/>
        <v/>
      </c>
      <c r="N1531">
        <f>IF($G1531="",0,IF($H1531="مرجوعی فروش",-1,1)*IF(Sync!$AC1527="",0,Sync!$AC1527))</f>
        <v>0</v>
      </c>
      <c r="O1531" t="str">
        <f>IF(OR($G1531="",Sync!$V1527=""),"",Sync!$V1527)</f>
        <v/>
      </c>
      <c r="P1531" t="str">
        <f>IF(OR($G1531="",Sync!$AD1527=""),"",Sync!$AD1527)</f>
        <v/>
      </c>
      <c r="Q1531" t="str">
        <f>IF($G1531="","",IF(Sync!$U1527="","0000",IF(AND(ISNUMBER(Sync!$U1527),Sync!$U1527&gt;=0,Sync!$U1527&lt;1),RIGHT("00"&amp;HOUR(Sync!$U1527),2)&amp;RIGHT("00"&amp;MINUTE(Sync!$U1527),2),IFERROR(RIGHT("00"&amp;VALUE(LEFT(Sync!$U1527,FIND(":",Sync!$U1527)-1)),2)&amp;RIGHT("00"&amp;VALUE(MID(Sync!$U1527,FIND(":",Sync!$U1527)+1,2)),2),"0000"))))</f>
        <v/>
      </c>
    </row>
    <row r="1532" spans="1:17" x14ac:dyDescent="0.2">
      <c r="A1532" t="str">
        <f>IF(Sync!$T1528="","",Sync!$T1528)</f>
        <v/>
      </c>
      <c r="B1532" t="str">
        <f t="shared" si="138"/>
        <v/>
      </c>
      <c r="C1532" t="str">
        <f t="shared" si="139"/>
        <v/>
      </c>
      <c r="D1532" t="str">
        <f t="shared" si="140"/>
        <v/>
      </c>
      <c r="E1532" t="str">
        <f t="shared" si="141"/>
        <v/>
      </c>
      <c r="F1532" t="str">
        <f t="shared" si="142"/>
        <v/>
      </c>
      <c r="G1532" t="str">
        <f>IF(OR($E1532="",$E1532="نامعتبر",Sync!$X1528=""),"",IF(AND(LEFT(UPPER(TRIM(Sync!$X1528)),2)="SL",IFERROR(VLOOKUP(Sync!$W1528,OpTbl,3,0),"")="فروش"),UPPER(TRIM(Sync!$X1528)),""))</f>
        <v/>
      </c>
      <c r="H1532" t="str">
        <f>IF($G1532="","",IF(Sync!$W1528="","",Sync!$W1528))</f>
        <v/>
      </c>
      <c r="I1532" t="str">
        <f>IF(OR($G1532="",Sync!$Y1528=""),"",Sync!$Y1528)</f>
        <v/>
      </c>
      <c r="J1532" t="str">
        <f>IF(OR($G1532="",Sync!$Z1528=""),"",Sync!$Z1528)</f>
        <v/>
      </c>
      <c r="K1532">
        <f>IF($G1532="",0,IF(Sync!$AA1528="",0,Sync!$AA1528))</f>
        <v>0</v>
      </c>
      <c r="L1532">
        <f>IF($G1532="",0,IF(Sync!$AB1528="",0,Sync!$AB1528))</f>
        <v>0</v>
      </c>
      <c r="M1532" t="str">
        <f t="shared" si="143"/>
        <v/>
      </c>
      <c r="N1532">
        <f>IF($G1532="",0,IF($H1532="مرجوعی فروش",-1,1)*IF(Sync!$AC1528="",0,Sync!$AC1528))</f>
        <v>0</v>
      </c>
      <c r="O1532" t="str">
        <f>IF(OR($G1532="",Sync!$V1528=""),"",Sync!$V1528)</f>
        <v/>
      </c>
      <c r="P1532" t="str">
        <f>IF(OR($G1532="",Sync!$AD1528=""),"",Sync!$AD1528)</f>
        <v/>
      </c>
      <c r="Q1532" t="str">
        <f>IF($G1532="","",IF(Sync!$U1528="","0000",IF(AND(ISNUMBER(Sync!$U1528),Sync!$U1528&gt;=0,Sync!$U1528&lt;1),RIGHT("00"&amp;HOUR(Sync!$U1528),2)&amp;RIGHT("00"&amp;MINUTE(Sync!$U1528),2),IFERROR(RIGHT("00"&amp;VALUE(LEFT(Sync!$U1528,FIND(":",Sync!$U1528)-1)),2)&amp;RIGHT("00"&amp;VALUE(MID(Sync!$U1528,FIND(":",Sync!$U1528)+1,2)),2),"0000"))))</f>
        <v/>
      </c>
    </row>
    <row r="1533" spans="1:17" x14ac:dyDescent="0.2">
      <c r="A1533" t="str">
        <f>IF(Sync!$T1529="","",Sync!$T1529)</f>
        <v/>
      </c>
      <c r="B1533" t="str">
        <f t="shared" si="138"/>
        <v/>
      </c>
      <c r="C1533" t="str">
        <f t="shared" si="139"/>
        <v/>
      </c>
      <c r="D1533" t="str">
        <f t="shared" si="140"/>
        <v/>
      </c>
      <c r="E1533" t="str">
        <f t="shared" si="141"/>
        <v/>
      </c>
      <c r="F1533" t="str">
        <f t="shared" si="142"/>
        <v/>
      </c>
      <c r="G1533" t="str">
        <f>IF(OR($E1533="",$E1533="نامعتبر",Sync!$X1529=""),"",IF(AND(LEFT(UPPER(TRIM(Sync!$X1529)),2)="SL",IFERROR(VLOOKUP(Sync!$W1529,OpTbl,3,0),"")="فروش"),UPPER(TRIM(Sync!$X1529)),""))</f>
        <v/>
      </c>
      <c r="H1533" t="str">
        <f>IF($G1533="","",IF(Sync!$W1529="","",Sync!$W1529))</f>
        <v/>
      </c>
      <c r="I1533" t="str">
        <f>IF(OR($G1533="",Sync!$Y1529=""),"",Sync!$Y1529)</f>
        <v/>
      </c>
      <c r="J1533" t="str">
        <f>IF(OR($G1533="",Sync!$Z1529=""),"",Sync!$Z1529)</f>
        <v/>
      </c>
      <c r="K1533">
        <f>IF($G1533="",0,IF(Sync!$AA1529="",0,Sync!$AA1529))</f>
        <v>0</v>
      </c>
      <c r="L1533">
        <f>IF($G1533="",0,IF(Sync!$AB1529="",0,Sync!$AB1529))</f>
        <v>0</v>
      </c>
      <c r="M1533" t="str">
        <f t="shared" si="143"/>
        <v/>
      </c>
      <c r="N1533">
        <f>IF($G1533="",0,IF($H1533="مرجوعی فروش",-1,1)*IF(Sync!$AC1529="",0,Sync!$AC1529))</f>
        <v>0</v>
      </c>
      <c r="O1533" t="str">
        <f>IF(OR($G1533="",Sync!$V1529=""),"",Sync!$V1529)</f>
        <v/>
      </c>
      <c r="P1533" t="str">
        <f>IF(OR($G1533="",Sync!$AD1529=""),"",Sync!$AD1529)</f>
        <v/>
      </c>
      <c r="Q1533" t="str">
        <f>IF($G1533="","",IF(Sync!$U1529="","0000",IF(AND(ISNUMBER(Sync!$U1529),Sync!$U1529&gt;=0,Sync!$U1529&lt;1),RIGHT("00"&amp;HOUR(Sync!$U1529),2)&amp;RIGHT("00"&amp;MINUTE(Sync!$U1529),2),IFERROR(RIGHT("00"&amp;VALUE(LEFT(Sync!$U1529,FIND(":",Sync!$U1529)-1)),2)&amp;RIGHT("00"&amp;VALUE(MID(Sync!$U1529,FIND(":",Sync!$U1529)+1,2)),2),"0000"))))</f>
        <v/>
      </c>
    </row>
    <row r="1534" spans="1:17" x14ac:dyDescent="0.2">
      <c r="A1534" t="str">
        <f>IF(Sync!$T1530="","",Sync!$T1530)</f>
        <v/>
      </c>
      <c r="B1534" t="str">
        <f t="shared" si="138"/>
        <v/>
      </c>
      <c r="C1534" t="str">
        <f t="shared" si="139"/>
        <v/>
      </c>
      <c r="D1534" t="str">
        <f t="shared" si="140"/>
        <v/>
      </c>
      <c r="E1534" t="str">
        <f t="shared" si="141"/>
        <v/>
      </c>
      <c r="F1534" t="str">
        <f t="shared" si="142"/>
        <v/>
      </c>
      <c r="G1534" t="str">
        <f>IF(OR($E1534="",$E1534="نامعتبر",Sync!$X1530=""),"",IF(AND(LEFT(UPPER(TRIM(Sync!$X1530)),2)="SL",IFERROR(VLOOKUP(Sync!$W1530,OpTbl,3,0),"")="فروش"),UPPER(TRIM(Sync!$X1530)),""))</f>
        <v/>
      </c>
      <c r="H1534" t="str">
        <f>IF($G1534="","",IF(Sync!$W1530="","",Sync!$W1530))</f>
        <v/>
      </c>
      <c r="I1534" t="str">
        <f>IF(OR($G1534="",Sync!$Y1530=""),"",Sync!$Y1530)</f>
        <v/>
      </c>
      <c r="J1534" t="str">
        <f>IF(OR($G1534="",Sync!$Z1530=""),"",Sync!$Z1530)</f>
        <v/>
      </c>
      <c r="K1534">
        <f>IF($G1534="",0,IF(Sync!$AA1530="",0,Sync!$AA1530))</f>
        <v>0</v>
      </c>
      <c r="L1534">
        <f>IF($G1534="",0,IF(Sync!$AB1530="",0,Sync!$AB1530))</f>
        <v>0</v>
      </c>
      <c r="M1534" t="str">
        <f t="shared" si="143"/>
        <v/>
      </c>
      <c r="N1534">
        <f>IF($G1534="",0,IF($H1534="مرجوعی فروش",-1,1)*IF(Sync!$AC1530="",0,Sync!$AC1530))</f>
        <v>0</v>
      </c>
      <c r="O1534" t="str">
        <f>IF(OR($G1534="",Sync!$V1530=""),"",Sync!$V1530)</f>
        <v/>
      </c>
      <c r="P1534" t="str">
        <f>IF(OR($G1534="",Sync!$AD1530=""),"",Sync!$AD1530)</f>
        <v/>
      </c>
      <c r="Q1534" t="str">
        <f>IF($G1534="","",IF(Sync!$U1530="","0000",IF(AND(ISNUMBER(Sync!$U1530),Sync!$U1530&gt;=0,Sync!$U1530&lt;1),RIGHT("00"&amp;HOUR(Sync!$U1530),2)&amp;RIGHT("00"&amp;MINUTE(Sync!$U1530),2),IFERROR(RIGHT("00"&amp;VALUE(LEFT(Sync!$U1530,FIND(":",Sync!$U1530)-1)),2)&amp;RIGHT("00"&amp;VALUE(MID(Sync!$U1530,FIND(":",Sync!$U1530)+1,2)),2),"0000"))))</f>
        <v/>
      </c>
    </row>
    <row r="1535" spans="1:17" x14ac:dyDescent="0.2">
      <c r="A1535" t="str">
        <f>IF(Sync!$T1531="","",Sync!$T1531)</f>
        <v/>
      </c>
      <c r="B1535" t="str">
        <f t="shared" si="138"/>
        <v/>
      </c>
      <c r="C1535" t="str">
        <f t="shared" si="139"/>
        <v/>
      </c>
      <c r="D1535" t="str">
        <f t="shared" si="140"/>
        <v/>
      </c>
      <c r="E1535" t="str">
        <f t="shared" si="141"/>
        <v/>
      </c>
      <c r="F1535" t="str">
        <f t="shared" si="142"/>
        <v/>
      </c>
      <c r="G1535" t="str">
        <f>IF(OR($E1535="",$E1535="نامعتبر",Sync!$X1531=""),"",IF(AND(LEFT(UPPER(TRIM(Sync!$X1531)),2)="SL",IFERROR(VLOOKUP(Sync!$W1531,OpTbl,3,0),"")="فروش"),UPPER(TRIM(Sync!$X1531)),""))</f>
        <v/>
      </c>
      <c r="H1535" t="str">
        <f>IF($G1535="","",IF(Sync!$W1531="","",Sync!$W1531))</f>
        <v/>
      </c>
      <c r="I1535" t="str">
        <f>IF(OR($G1535="",Sync!$Y1531=""),"",Sync!$Y1531)</f>
        <v/>
      </c>
      <c r="J1535" t="str">
        <f>IF(OR($G1535="",Sync!$Z1531=""),"",Sync!$Z1531)</f>
        <v/>
      </c>
      <c r="K1535">
        <f>IF($G1535="",0,IF(Sync!$AA1531="",0,Sync!$AA1531))</f>
        <v>0</v>
      </c>
      <c r="L1535">
        <f>IF($G1535="",0,IF(Sync!$AB1531="",0,Sync!$AB1531))</f>
        <v>0</v>
      </c>
      <c r="M1535" t="str">
        <f t="shared" si="143"/>
        <v/>
      </c>
      <c r="N1535">
        <f>IF($G1535="",0,IF($H1535="مرجوعی فروش",-1,1)*IF(Sync!$AC1531="",0,Sync!$AC1531))</f>
        <v>0</v>
      </c>
      <c r="O1535" t="str">
        <f>IF(OR($G1535="",Sync!$V1531=""),"",Sync!$V1531)</f>
        <v/>
      </c>
      <c r="P1535" t="str">
        <f>IF(OR($G1535="",Sync!$AD1531=""),"",Sync!$AD1531)</f>
        <v/>
      </c>
      <c r="Q1535" t="str">
        <f>IF($G1535="","",IF(Sync!$U1531="","0000",IF(AND(ISNUMBER(Sync!$U1531),Sync!$U1531&gt;=0,Sync!$U1531&lt;1),RIGHT("00"&amp;HOUR(Sync!$U1531),2)&amp;RIGHT("00"&amp;MINUTE(Sync!$U1531),2),IFERROR(RIGHT("00"&amp;VALUE(LEFT(Sync!$U1531,FIND(":",Sync!$U1531)-1)),2)&amp;RIGHT("00"&amp;VALUE(MID(Sync!$U1531,FIND(":",Sync!$U1531)+1,2)),2),"0000"))))</f>
        <v/>
      </c>
    </row>
    <row r="1536" spans="1:17" x14ac:dyDescent="0.2">
      <c r="A1536" t="str">
        <f>IF(Sync!$T1532="","",Sync!$T1532)</f>
        <v/>
      </c>
      <c r="B1536" t="str">
        <f t="shared" si="138"/>
        <v/>
      </c>
      <c r="C1536" t="str">
        <f t="shared" si="139"/>
        <v/>
      </c>
      <c r="D1536" t="str">
        <f t="shared" si="140"/>
        <v/>
      </c>
      <c r="E1536" t="str">
        <f t="shared" si="141"/>
        <v/>
      </c>
      <c r="F1536" t="str">
        <f t="shared" si="142"/>
        <v/>
      </c>
      <c r="G1536" t="str">
        <f>IF(OR($E1536="",$E1536="نامعتبر",Sync!$X1532=""),"",IF(AND(LEFT(UPPER(TRIM(Sync!$X1532)),2)="SL",IFERROR(VLOOKUP(Sync!$W1532,OpTbl,3,0),"")="فروش"),UPPER(TRIM(Sync!$X1532)),""))</f>
        <v/>
      </c>
      <c r="H1536" t="str">
        <f>IF($G1536="","",IF(Sync!$W1532="","",Sync!$W1532))</f>
        <v/>
      </c>
      <c r="I1536" t="str">
        <f>IF(OR($G1536="",Sync!$Y1532=""),"",Sync!$Y1532)</f>
        <v/>
      </c>
      <c r="J1536" t="str">
        <f>IF(OR($G1536="",Sync!$Z1532=""),"",Sync!$Z1532)</f>
        <v/>
      </c>
      <c r="K1536">
        <f>IF($G1536="",0,IF(Sync!$AA1532="",0,Sync!$AA1532))</f>
        <v>0</v>
      </c>
      <c r="L1536">
        <f>IF($G1536="",0,IF(Sync!$AB1532="",0,Sync!$AB1532))</f>
        <v>0</v>
      </c>
      <c r="M1536" t="str">
        <f t="shared" si="143"/>
        <v/>
      </c>
      <c r="N1536">
        <f>IF($G1536="",0,IF($H1536="مرجوعی فروش",-1,1)*IF(Sync!$AC1532="",0,Sync!$AC1532))</f>
        <v>0</v>
      </c>
      <c r="O1536" t="str">
        <f>IF(OR($G1536="",Sync!$V1532=""),"",Sync!$V1532)</f>
        <v/>
      </c>
      <c r="P1536" t="str">
        <f>IF(OR($G1536="",Sync!$AD1532=""),"",Sync!$AD1532)</f>
        <v/>
      </c>
      <c r="Q1536" t="str">
        <f>IF($G1536="","",IF(Sync!$U1532="","0000",IF(AND(ISNUMBER(Sync!$U1532),Sync!$U1532&gt;=0,Sync!$U1532&lt;1),RIGHT("00"&amp;HOUR(Sync!$U1532),2)&amp;RIGHT("00"&amp;MINUTE(Sync!$U1532),2),IFERROR(RIGHT("00"&amp;VALUE(LEFT(Sync!$U1532,FIND(":",Sync!$U1532)-1)),2)&amp;RIGHT("00"&amp;VALUE(MID(Sync!$U1532,FIND(":",Sync!$U1532)+1,2)),2),"0000"))))</f>
        <v/>
      </c>
    </row>
    <row r="1537" spans="1:17" x14ac:dyDescent="0.2">
      <c r="A1537" t="str">
        <f>IF(Sync!$T1533="","",Sync!$T1533)</f>
        <v/>
      </c>
      <c r="B1537" t="str">
        <f t="shared" si="138"/>
        <v/>
      </c>
      <c r="C1537" t="str">
        <f t="shared" si="139"/>
        <v/>
      </c>
      <c r="D1537" t="str">
        <f t="shared" si="140"/>
        <v/>
      </c>
      <c r="E1537" t="str">
        <f t="shared" si="141"/>
        <v/>
      </c>
      <c r="F1537" t="str">
        <f t="shared" si="142"/>
        <v/>
      </c>
      <c r="G1537" t="str">
        <f>IF(OR($E1537="",$E1537="نامعتبر",Sync!$X1533=""),"",IF(AND(LEFT(UPPER(TRIM(Sync!$X1533)),2)="SL",IFERROR(VLOOKUP(Sync!$W1533,OpTbl,3,0),"")="فروش"),UPPER(TRIM(Sync!$X1533)),""))</f>
        <v/>
      </c>
      <c r="H1537" t="str">
        <f>IF($G1537="","",IF(Sync!$W1533="","",Sync!$W1533))</f>
        <v/>
      </c>
      <c r="I1537" t="str">
        <f>IF(OR($G1537="",Sync!$Y1533=""),"",Sync!$Y1533)</f>
        <v/>
      </c>
      <c r="J1537" t="str">
        <f>IF(OR($G1537="",Sync!$Z1533=""),"",Sync!$Z1533)</f>
        <v/>
      </c>
      <c r="K1537">
        <f>IF($G1537="",0,IF(Sync!$AA1533="",0,Sync!$AA1533))</f>
        <v>0</v>
      </c>
      <c r="L1537">
        <f>IF($G1537="",0,IF(Sync!$AB1533="",0,Sync!$AB1533))</f>
        <v>0</v>
      </c>
      <c r="M1537" t="str">
        <f t="shared" si="143"/>
        <v/>
      </c>
      <c r="N1537">
        <f>IF($G1537="",0,IF($H1537="مرجوعی فروش",-1,1)*IF(Sync!$AC1533="",0,Sync!$AC1533))</f>
        <v>0</v>
      </c>
      <c r="O1537" t="str">
        <f>IF(OR($G1537="",Sync!$V1533=""),"",Sync!$V1533)</f>
        <v/>
      </c>
      <c r="P1537" t="str">
        <f>IF(OR($G1537="",Sync!$AD1533=""),"",Sync!$AD1533)</f>
        <v/>
      </c>
      <c r="Q1537" t="str">
        <f>IF($G1537="","",IF(Sync!$U1533="","0000",IF(AND(ISNUMBER(Sync!$U1533),Sync!$U1533&gt;=0,Sync!$U1533&lt;1),RIGHT("00"&amp;HOUR(Sync!$U1533),2)&amp;RIGHT("00"&amp;MINUTE(Sync!$U1533),2),IFERROR(RIGHT("00"&amp;VALUE(LEFT(Sync!$U1533,FIND(":",Sync!$U1533)-1)),2)&amp;RIGHT("00"&amp;VALUE(MID(Sync!$U1533,FIND(":",Sync!$U1533)+1,2)),2),"0000"))))</f>
        <v/>
      </c>
    </row>
    <row r="1538" spans="1:17" x14ac:dyDescent="0.2">
      <c r="A1538" t="str">
        <f>IF(Sync!$T1534="","",Sync!$T1534)</f>
        <v/>
      </c>
      <c r="B1538" t="str">
        <f t="shared" si="138"/>
        <v/>
      </c>
      <c r="C1538" t="str">
        <f t="shared" si="139"/>
        <v/>
      </c>
      <c r="D1538" t="str">
        <f t="shared" si="140"/>
        <v/>
      </c>
      <c r="E1538" t="str">
        <f t="shared" si="141"/>
        <v/>
      </c>
      <c r="F1538" t="str">
        <f t="shared" si="142"/>
        <v/>
      </c>
      <c r="G1538" t="str">
        <f>IF(OR($E1538="",$E1538="نامعتبر",Sync!$X1534=""),"",IF(AND(LEFT(UPPER(TRIM(Sync!$X1534)),2)="SL",IFERROR(VLOOKUP(Sync!$W1534,OpTbl,3,0),"")="فروش"),UPPER(TRIM(Sync!$X1534)),""))</f>
        <v/>
      </c>
      <c r="H1538" t="str">
        <f>IF($G1538="","",IF(Sync!$W1534="","",Sync!$W1534))</f>
        <v/>
      </c>
      <c r="I1538" t="str">
        <f>IF(OR($G1538="",Sync!$Y1534=""),"",Sync!$Y1534)</f>
        <v/>
      </c>
      <c r="J1538" t="str">
        <f>IF(OR($G1538="",Sync!$Z1534=""),"",Sync!$Z1534)</f>
        <v/>
      </c>
      <c r="K1538">
        <f>IF($G1538="",0,IF(Sync!$AA1534="",0,Sync!$AA1534))</f>
        <v>0</v>
      </c>
      <c r="L1538">
        <f>IF($G1538="",0,IF(Sync!$AB1534="",0,Sync!$AB1534))</f>
        <v>0</v>
      </c>
      <c r="M1538" t="str">
        <f t="shared" si="143"/>
        <v/>
      </c>
      <c r="N1538">
        <f>IF($G1538="",0,IF($H1538="مرجوعی فروش",-1,1)*IF(Sync!$AC1534="",0,Sync!$AC1534))</f>
        <v>0</v>
      </c>
      <c r="O1538" t="str">
        <f>IF(OR($G1538="",Sync!$V1534=""),"",Sync!$V1534)</f>
        <v/>
      </c>
      <c r="P1538" t="str">
        <f>IF(OR($G1538="",Sync!$AD1534=""),"",Sync!$AD1534)</f>
        <v/>
      </c>
      <c r="Q1538" t="str">
        <f>IF($G1538="","",IF(Sync!$U1534="","0000",IF(AND(ISNUMBER(Sync!$U1534),Sync!$U1534&gt;=0,Sync!$U1534&lt;1),RIGHT("00"&amp;HOUR(Sync!$U1534),2)&amp;RIGHT("00"&amp;MINUTE(Sync!$U1534),2),IFERROR(RIGHT("00"&amp;VALUE(LEFT(Sync!$U1534,FIND(":",Sync!$U1534)-1)),2)&amp;RIGHT("00"&amp;VALUE(MID(Sync!$U1534,FIND(":",Sync!$U1534)+1,2)),2),"0000"))))</f>
        <v/>
      </c>
    </row>
    <row r="1539" spans="1:17" x14ac:dyDescent="0.2">
      <c r="A1539" t="str">
        <f>IF(Sync!$T1535="","",Sync!$T1535)</f>
        <v/>
      </c>
      <c r="B1539" t="str">
        <f t="shared" si="138"/>
        <v/>
      </c>
      <c r="C1539" t="str">
        <f t="shared" si="139"/>
        <v/>
      </c>
      <c r="D1539" t="str">
        <f t="shared" si="140"/>
        <v/>
      </c>
      <c r="E1539" t="str">
        <f t="shared" si="141"/>
        <v/>
      </c>
      <c r="F1539" t="str">
        <f t="shared" si="142"/>
        <v/>
      </c>
      <c r="G1539" t="str">
        <f>IF(OR($E1539="",$E1539="نامعتبر",Sync!$X1535=""),"",IF(AND(LEFT(UPPER(TRIM(Sync!$X1535)),2)="SL",IFERROR(VLOOKUP(Sync!$W1535,OpTbl,3,0),"")="فروش"),UPPER(TRIM(Sync!$X1535)),""))</f>
        <v/>
      </c>
      <c r="H1539" t="str">
        <f>IF($G1539="","",IF(Sync!$W1535="","",Sync!$W1535))</f>
        <v/>
      </c>
      <c r="I1539" t="str">
        <f>IF(OR($G1539="",Sync!$Y1535=""),"",Sync!$Y1535)</f>
        <v/>
      </c>
      <c r="J1539" t="str">
        <f>IF(OR($G1539="",Sync!$Z1535=""),"",Sync!$Z1535)</f>
        <v/>
      </c>
      <c r="K1539">
        <f>IF($G1539="",0,IF(Sync!$AA1535="",0,Sync!$AA1535))</f>
        <v>0</v>
      </c>
      <c r="L1539">
        <f>IF($G1539="",0,IF(Sync!$AB1535="",0,Sync!$AB1535))</f>
        <v>0</v>
      </c>
      <c r="M1539" t="str">
        <f t="shared" si="143"/>
        <v/>
      </c>
      <c r="N1539">
        <f>IF($G1539="",0,IF($H1539="مرجوعی فروش",-1,1)*IF(Sync!$AC1535="",0,Sync!$AC1535))</f>
        <v>0</v>
      </c>
      <c r="O1539" t="str">
        <f>IF(OR($G1539="",Sync!$V1535=""),"",Sync!$V1535)</f>
        <v/>
      </c>
      <c r="P1539" t="str">
        <f>IF(OR($G1539="",Sync!$AD1535=""),"",Sync!$AD1535)</f>
        <v/>
      </c>
      <c r="Q1539" t="str">
        <f>IF($G1539="","",IF(Sync!$U1535="","0000",IF(AND(ISNUMBER(Sync!$U1535),Sync!$U1535&gt;=0,Sync!$U1535&lt;1),RIGHT("00"&amp;HOUR(Sync!$U1535),2)&amp;RIGHT("00"&amp;MINUTE(Sync!$U1535),2),IFERROR(RIGHT("00"&amp;VALUE(LEFT(Sync!$U1535,FIND(":",Sync!$U1535)-1)),2)&amp;RIGHT("00"&amp;VALUE(MID(Sync!$U1535,FIND(":",Sync!$U1535)+1,2)),2),"0000"))))</f>
        <v/>
      </c>
    </row>
    <row r="1540" spans="1:17" x14ac:dyDescent="0.2">
      <c r="A1540" t="str">
        <f>IF(Sync!$T1536="","",Sync!$T1536)</f>
        <v/>
      </c>
      <c r="B1540" t="str">
        <f t="shared" si="138"/>
        <v/>
      </c>
      <c r="C1540" t="str">
        <f t="shared" si="139"/>
        <v/>
      </c>
      <c r="D1540" t="str">
        <f t="shared" si="140"/>
        <v/>
      </c>
      <c r="E1540" t="str">
        <f t="shared" si="141"/>
        <v/>
      </c>
      <c r="F1540" t="str">
        <f t="shared" si="142"/>
        <v/>
      </c>
      <c r="G1540" t="str">
        <f>IF(OR($E1540="",$E1540="نامعتبر",Sync!$X1536=""),"",IF(AND(LEFT(UPPER(TRIM(Sync!$X1536)),2)="SL",IFERROR(VLOOKUP(Sync!$W1536,OpTbl,3,0),"")="فروش"),UPPER(TRIM(Sync!$X1536)),""))</f>
        <v/>
      </c>
      <c r="H1540" t="str">
        <f>IF($G1540="","",IF(Sync!$W1536="","",Sync!$W1536))</f>
        <v/>
      </c>
      <c r="I1540" t="str">
        <f>IF(OR($G1540="",Sync!$Y1536=""),"",Sync!$Y1536)</f>
        <v/>
      </c>
      <c r="J1540" t="str">
        <f>IF(OR($G1540="",Sync!$Z1536=""),"",Sync!$Z1536)</f>
        <v/>
      </c>
      <c r="K1540">
        <f>IF($G1540="",0,IF(Sync!$AA1536="",0,Sync!$AA1536))</f>
        <v>0</v>
      </c>
      <c r="L1540">
        <f>IF($G1540="",0,IF(Sync!$AB1536="",0,Sync!$AB1536))</f>
        <v>0</v>
      </c>
      <c r="M1540" t="str">
        <f t="shared" si="143"/>
        <v/>
      </c>
      <c r="N1540">
        <f>IF($G1540="",0,IF($H1540="مرجوعی فروش",-1,1)*IF(Sync!$AC1536="",0,Sync!$AC1536))</f>
        <v>0</v>
      </c>
      <c r="O1540" t="str">
        <f>IF(OR($G1540="",Sync!$V1536=""),"",Sync!$V1536)</f>
        <v/>
      </c>
      <c r="P1540" t="str">
        <f>IF(OR($G1540="",Sync!$AD1536=""),"",Sync!$AD1536)</f>
        <v/>
      </c>
      <c r="Q1540" t="str">
        <f>IF($G1540="","",IF(Sync!$U1536="","0000",IF(AND(ISNUMBER(Sync!$U1536),Sync!$U1536&gt;=0,Sync!$U1536&lt;1),RIGHT("00"&amp;HOUR(Sync!$U1536),2)&amp;RIGHT("00"&amp;MINUTE(Sync!$U1536),2),IFERROR(RIGHT("00"&amp;VALUE(LEFT(Sync!$U1536,FIND(":",Sync!$U1536)-1)),2)&amp;RIGHT("00"&amp;VALUE(MID(Sync!$U1536,FIND(":",Sync!$U1536)+1,2)),2),"0000"))))</f>
        <v/>
      </c>
    </row>
    <row r="1541" spans="1:17" x14ac:dyDescent="0.2">
      <c r="A1541" t="str">
        <f>IF(Sync!$T1537="","",Sync!$T1537)</f>
        <v/>
      </c>
      <c r="B1541" t="str">
        <f t="shared" si="138"/>
        <v/>
      </c>
      <c r="C1541" t="str">
        <f t="shared" si="139"/>
        <v/>
      </c>
      <c r="D1541" t="str">
        <f t="shared" si="140"/>
        <v/>
      </c>
      <c r="E1541" t="str">
        <f t="shared" si="141"/>
        <v/>
      </c>
      <c r="F1541" t="str">
        <f t="shared" si="142"/>
        <v/>
      </c>
      <c r="G1541" t="str">
        <f>IF(OR($E1541="",$E1541="نامعتبر",Sync!$X1537=""),"",IF(AND(LEFT(UPPER(TRIM(Sync!$X1537)),2)="SL",IFERROR(VLOOKUP(Sync!$W1537,OpTbl,3,0),"")="فروش"),UPPER(TRIM(Sync!$X1537)),""))</f>
        <v/>
      </c>
      <c r="H1541" t="str">
        <f>IF($G1541="","",IF(Sync!$W1537="","",Sync!$W1537))</f>
        <v/>
      </c>
      <c r="I1541" t="str">
        <f>IF(OR($G1541="",Sync!$Y1537=""),"",Sync!$Y1537)</f>
        <v/>
      </c>
      <c r="J1541" t="str">
        <f>IF(OR($G1541="",Sync!$Z1537=""),"",Sync!$Z1537)</f>
        <v/>
      </c>
      <c r="K1541">
        <f>IF($G1541="",0,IF(Sync!$AA1537="",0,Sync!$AA1537))</f>
        <v>0</v>
      </c>
      <c r="L1541">
        <f>IF($G1541="",0,IF(Sync!$AB1537="",0,Sync!$AB1537))</f>
        <v>0</v>
      </c>
      <c r="M1541" t="str">
        <f t="shared" si="143"/>
        <v/>
      </c>
      <c r="N1541">
        <f>IF($G1541="",0,IF($H1541="مرجوعی فروش",-1,1)*IF(Sync!$AC1537="",0,Sync!$AC1537))</f>
        <v>0</v>
      </c>
      <c r="O1541" t="str">
        <f>IF(OR($G1541="",Sync!$V1537=""),"",Sync!$V1537)</f>
        <v/>
      </c>
      <c r="P1541" t="str">
        <f>IF(OR($G1541="",Sync!$AD1537=""),"",Sync!$AD1537)</f>
        <v/>
      </c>
      <c r="Q1541" t="str">
        <f>IF($G1541="","",IF(Sync!$U1537="","0000",IF(AND(ISNUMBER(Sync!$U1537),Sync!$U1537&gt;=0,Sync!$U1537&lt;1),RIGHT("00"&amp;HOUR(Sync!$U1537),2)&amp;RIGHT("00"&amp;MINUTE(Sync!$U1537),2),IFERROR(RIGHT("00"&amp;VALUE(LEFT(Sync!$U1537,FIND(":",Sync!$U1537)-1)),2)&amp;RIGHT("00"&amp;VALUE(MID(Sync!$U1537,FIND(":",Sync!$U1537)+1,2)),2),"0000"))))</f>
        <v/>
      </c>
    </row>
    <row r="1542" spans="1:17" x14ac:dyDescent="0.2">
      <c r="A1542" t="str">
        <f>IF(Sync!$T1538="","",Sync!$T1538)</f>
        <v/>
      </c>
      <c r="B1542" t="str">
        <f t="shared" si="138"/>
        <v/>
      </c>
      <c r="C1542" t="str">
        <f t="shared" si="139"/>
        <v/>
      </c>
      <c r="D1542" t="str">
        <f t="shared" si="140"/>
        <v/>
      </c>
      <c r="E1542" t="str">
        <f t="shared" si="141"/>
        <v/>
      </c>
      <c r="F1542" t="str">
        <f t="shared" si="142"/>
        <v/>
      </c>
      <c r="G1542" t="str">
        <f>IF(OR($E1542="",$E1542="نامعتبر",Sync!$X1538=""),"",IF(AND(LEFT(UPPER(TRIM(Sync!$X1538)),2)="SL",IFERROR(VLOOKUP(Sync!$W1538,OpTbl,3,0),"")="فروش"),UPPER(TRIM(Sync!$X1538)),""))</f>
        <v/>
      </c>
      <c r="H1542" t="str">
        <f>IF($G1542="","",IF(Sync!$W1538="","",Sync!$W1538))</f>
        <v/>
      </c>
      <c r="I1542" t="str">
        <f>IF(OR($G1542="",Sync!$Y1538=""),"",Sync!$Y1538)</f>
        <v/>
      </c>
      <c r="J1542" t="str">
        <f>IF(OR($G1542="",Sync!$Z1538=""),"",Sync!$Z1538)</f>
        <v/>
      </c>
      <c r="K1542">
        <f>IF($G1542="",0,IF(Sync!$AA1538="",0,Sync!$AA1538))</f>
        <v>0</v>
      </c>
      <c r="L1542">
        <f>IF($G1542="",0,IF(Sync!$AB1538="",0,Sync!$AB1538))</f>
        <v>0</v>
      </c>
      <c r="M1542" t="str">
        <f t="shared" si="143"/>
        <v/>
      </c>
      <c r="N1542">
        <f>IF($G1542="",0,IF($H1542="مرجوعی فروش",-1,1)*IF(Sync!$AC1538="",0,Sync!$AC1538))</f>
        <v>0</v>
      </c>
      <c r="O1542" t="str">
        <f>IF(OR($G1542="",Sync!$V1538=""),"",Sync!$V1538)</f>
        <v/>
      </c>
      <c r="P1542" t="str">
        <f>IF(OR($G1542="",Sync!$AD1538=""),"",Sync!$AD1538)</f>
        <v/>
      </c>
      <c r="Q1542" t="str">
        <f>IF($G1542="","",IF(Sync!$U1538="","0000",IF(AND(ISNUMBER(Sync!$U1538),Sync!$U1538&gt;=0,Sync!$U1538&lt;1),RIGHT("00"&amp;HOUR(Sync!$U1538),2)&amp;RIGHT("00"&amp;MINUTE(Sync!$U1538),2),IFERROR(RIGHT("00"&amp;VALUE(LEFT(Sync!$U1538,FIND(":",Sync!$U1538)-1)),2)&amp;RIGHT("00"&amp;VALUE(MID(Sync!$U1538,FIND(":",Sync!$U1538)+1,2)),2),"0000"))))</f>
        <v/>
      </c>
    </row>
    <row r="1543" spans="1:17" x14ac:dyDescent="0.2">
      <c r="A1543" t="str">
        <f>IF(Sync!$T1539="","",Sync!$T1539)</f>
        <v/>
      </c>
      <c r="B1543" t="str">
        <f t="shared" si="138"/>
        <v/>
      </c>
      <c r="C1543" t="str">
        <f t="shared" si="139"/>
        <v/>
      </c>
      <c r="D1543" t="str">
        <f t="shared" si="140"/>
        <v/>
      </c>
      <c r="E1543" t="str">
        <f t="shared" si="141"/>
        <v/>
      </c>
      <c r="F1543" t="str">
        <f t="shared" si="142"/>
        <v/>
      </c>
      <c r="G1543" t="str">
        <f>IF(OR($E1543="",$E1543="نامعتبر",Sync!$X1539=""),"",IF(AND(LEFT(UPPER(TRIM(Sync!$X1539)),2)="SL",IFERROR(VLOOKUP(Sync!$W1539,OpTbl,3,0),"")="فروش"),UPPER(TRIM(Sync!$X1539)),""))</f>
        <v/>
      </c>
      <c r="H1543" t="str">
        <f>IF($G1543="","",IF(Sync!$W1539="","",Sync!$W1539))</f>
        <v/>
      </c>
      <c r="I1543" t="str">
        <f>IF(OR($G1543="",Sync!$Y1539=""),"",Sync!$Y1539)</f>
        <v/>
      </c>
      <c r="J1543" t="str">
        <f>IF(OR($G1543="",Sync!$Z1539=""),"",Sync!$Z1539)</f>
        <v/>
      </c>
      <c r="K1543">
        <f>IF($G1543="",0,IF(Sync!$AA1539="",0,Sync!$AA1539))</f>
        <v>0</v>
      </c>
      <c r="L1543">
        <f>IF($G1543="",0,IF(Sync!$AB1539="",0,Sync!$AB1539))</f>
        <v>0</v>
      </c>
      <c r="M1543" t="str">
        <f t="shared" si="143"/>
        <v/>
      </c>
      <c r="N1543">
        <f>IF($G1543="",0,IF($H1543="مرجوعی فروش",-1,1)*IF(Sync!$AC1539="",0,Sync!$AC1539))</f>
        <v>0</v>
      </c>
      <c r="O1543" t="str">
        <f>IF(OR($G1543="",Sync!$V1539=""),"",Sync!$V1539)</f>
        <v/>
      </c>
      <c r="P1543" t="str">
        <f>IF(OR($G1543="",Sync!$AD1539=""),"",Sync!$AD1539)</f>
        <v/>
      </c>
      <c r="Q1543" t="str">
        <f>IF($G1543="","",IF(Sync!$U1539="","0000",IF(AND(ISNUMBER(Sync!$U1539),Sync!$U1539&gt;=0,Sync!$U1539&lt;1),RIGHT("00"&amp;HOUR(Sync!$U1539),2)&amp;RIGHT("00"&amp;MINUTE(Sync!$U1539),2),IFERROR(RIGHT("00"&amp;VALUE(LEFT(Sync!$U1539,FIND(":",Sync!$U1539)-1)),2)&amp;RIGHT("00"&amp;VALUE(MID(Sync!$U1539,FIND(":",Sync!$U1539)+1,2)),2),"0000"))))</f>
        <v/>
      </c>
    </row>
    <row r="1544" spans="1:17" x14ac:dyDescent="0.2">
      <c r="A1544" t="str">
        <f>IF(Sync!$T1540="","",Sync!$T1540)</f>
        <v/>
      </c>
      <c r="B1544" t="str">
        <f t="shared" si="138"/>
        <v/>
      </c>
      <c r="C1544" t="str">
        <f t="shared" si="139"/>
        <v/>
      </c>
      <c r="D1544" t="str">
        <f t="shared" si="140"/>
        <v/>
      </c>
      <c r="E1544" t="str">
        <f t="shared" si="141"/>
        <v/>
      </c>
      <c r="F1544" t="str">
        <f t="shared" si="142"/>
        <v/>
      </c>
      <c r="G1544" t="str">
        <f>IF(OR($E1544="",$E1544="نامعتبر",Sync!$X1540=""),"",IF(AND(LEFT(UPPER(TRIM(Sync!$X1540)),2)="SL",IFERROR(VLOOKUP(Sync!$W1540,OpTbl,3,0),"")="فروش"),UPPER(TRIM(Sync!$X1540)),""))</f>
        <v/>
      </c>
      <c r="H1544" t="str">
        <f>IF($G1544="","",IF(Sync!$W1540="","",Sync!$W1540))</f>
        <v/>
      </c>
      <c r="I1544" t="str">
        <f>IF(OR($G1544="",Sync!$Y1540=""),"",Sync!$Y1540)</f>
        <v/>
      </c>
      <c r="J1544" t="str">
        <f>IF(OR($G1544="",Sync!$Z1540=""),"",Sync!$Z1540)</f>
        <v/>
      </c>
      <c r="K1544">
        <f>IF($G1544="",0,IF(Sync!$AA1540="",0,Sync!$AA1540))</f>
        <v>0</v>
      </c>
      <c r="L1544">
        <f>IF($G1544="",0,IF(Sync!$AB1540="",0,Sync!$AB1540))</f>
        <v>0</v>
      </c>
      <c r="M1544" t="str">
        <f t="shared" si="143"/>
        <v/>
      </c>
      <c r="N1544">
        <f>IF($G1544="",0,IF($H1544="مرجوعی فروش",-1,1)*IF(Sync!$AC1540="",0,Sync!$AC1540))</f>
        <v>0</v>
      </c>
      <c r="O1544" t="str">
        <f>IF(OR($G1544="",Sync!$V1540=""),"",Sync!$V1540)</f>
        <v/>
      </c>
      <c r="P1544" t="str">
        <f>IF(OR($G1544="",Sync!$AD1540=""),"",Sync!$AD1540)</f>
        <v/>
      </c>
      <c r="Q1544" t="str">
        <f>IF($G1544="","",IF(Sync!$U1540="","0000",IF(AND(ISNUMBER(Sync!$U1540),Sync!$U1540&gt;=0,Sync!$U1540&lt;1),RIGHT("00"&amp;HOUR(Sync!$U1540),2)&amp;RIGHT("00"&amp;MINUTE(Sync!$U1540),2),IFERROR(RIGHT("00"&amp;VALUE(LEFT(Sync!$U1540,FIND(":",Sync!$U1540)-1)),2)&amp;RIGHT("00"&amp;VALUE(MID(Sync!$U1540,FIND(":",Sync!$U1540)+1,2)),2),"0000"))))</f>
        <v/>
      </c>
    </row>
    <row r="1545" spans="1:17" x14ac:dyDescent="0.2">
      <c r="A1545" t="str">
        <f>IF(Sync!$T1541="","",Sync!$T1541)</f>
        <v/>
      </c>
      <c r="B1545" t="str">
        <f t="shared" si="138"/>
        <v/>
      </c>
      <c r="C1545" t="str">
        <f t="shared" si="139"/>
        <v/>
      </c>
      <c r="D1545" t="str">
        <f t="shared" si="140"/>
        <v/>
      </c>
      <c r="E1545" t="str">
        <f t="shared" si="141"/>
        <v/>
      </c>
      <c r="F1545" t="str">
        <f t="shared" si="142"/>
        <v/>
      </c>
      <c r="G1545" t="str">
        <f>IF(OR($E1545="",$E1545="نامعتبر",Sync!$X1541=""),"",IF(AND(LEFT(UPPER(TRIM(Sync!$X1541)),2)="SL",IFERROR(VLOOKUP(Sync!$W1541,OpTbl,3,0),"")="فروش"),UPPER(TRIM(Sync!$X1541)),""))</f>
        <v/>
      </c>
      <c r="H1545" t="str">
        <f>IF($G1545="","",IF(Sync!$W1541="","",Sync!$W1541))</f>
        <v/>
      </c>
      <c r="I1545" t="str">
        <f>IF(OR($G1545="",Sync!$Y1541=""),"",Sync!$Y1541)</f>
        <v/>
      </c>
      <c r="J1545" t="str">
        <f>IF(OR($G1545="",Sync!$Z1541=""),"",Sync!$Z1541)</f>
        <v/>
      </c>
      <c r="K1545">
        <f>IF($G1545="",0,IF(Sync!$AA1541="",0,Sync!$AA1541))</f>
        <v>0</v>
      </c>
      <c r="L1545">
        <f>IF($G1545="",0,IF(Sync!$AB1541="",0,Sync!$AB1541))</f>
        <v>0</v>
      </c>
      <c r="M1545" t="str">
        <f t="shared" si="143"/>
        <v/>
      </c>
      <c r="N1545">
        <f>IF($G1545="",0,IF($H1545="مرجوعی فروش",-1,1)*IF(Sync!$AC1541="",0,Sync!$AC1541))</f>
        <v>0</v>
      </c>
      <c r="O1545" t="str">
        <f>IF(OR($G1545="",Sync!$V1541=""),"",Sync!$V1541)</f>
        <v/>
      </c>
      <c r="P1545" t="str">
        <f>IF(OR($G1545="",Sync!$AD1541=""),"",Sync!$AD1541)</f>
        <v/>
      </c>
      <c r="Q1545" t="str">
        <f>IF($G1545="","",IF(Sync!$U1541="","0000",IF(AND(ISNUMBER(Sync!$U1541),Sync!$U1541&gt;=0,Sync!$U1541&lt;1),RIGHT("00"&amp;HOUR(Sync!$U1541),2)&amp;RIGHT("00"&amp;MINUTE(Sync!$U1541),2),IFERROR(RIGHT("00"&amp;VALUE(LEFT(Sync!$U1541,FIND(":",Sync!$U1541)-1)),2)&amp;RIGHT("00"&amp;VALUE(MID(Sync!$U1541,FIND(":",Sync!$U1541)+1,2)),2),"0000"))))</f>
        <v/>
      </c>
    </row>
    <row r="1546" spans="1:17" x14ac:dyDescent="0.2">
      <c r="A1546" t="str">
        <f>IF(Sync!$T1542="","",Sync!$T1542)</f>
        <v/>
      </c>
      <c r="B1546" t="str">
        <f t="shared" ref="B1546:B1609" si="144">IF($A1546="","",IF(ISNUMBER($A1546),IF(AND($A1546&gt;=10000101,$A1546&lt;=99991231),INT($A1546/10000),""),IFERROR(VALUE(TRIM(LEFT($A1546,FIND("/",$A1546)-1))),"")))</f>
        <v/>
      </c>
      <c r="C1546" t="str">
        <f t="shared" ref="C1546:C1609" si="145">IF(OR($A1546="",$B1546=""),"",IF(ISNUMBER($A1546),INT(MOD($A1546,10000)/100),IFERROR(VALUE(TRIM(LEFT(MID($A1546,FIND("/",$A1546)+1,20),FIND("/",MID($A1546,FIND("/",$A1546)+1,20))-1))),"")))</f>
        <v/>
      </c>
      <c r="D1546" t="str">
        <f t="shared" ref="D1546:D1609" si="146">IF(OR($A1546="",$B1546=""),"",IF(ISNUMBER($A1546),MOD($A1546,100),IFERROR(VALUE(TRIM(MID(MID($A1546,FIND("/",$A1546)+1,20),FIND("/",MID($A1546,FIND("/",$A1546)+1,20))+1,20))),"")))</f>
        <v/>
      </c>
      <c r="E1546" t="str">
        <f t="shared" ref="E1546:E1609" si="147">IF($A1546="","",IF(OR($B1546="",$C1546="",$D1546="",$B1546&lt;1300,$B1546&gt;1500,$C1546&lt;1,$C1546&gt;12,$D1546&lt;1,$D1546&gt;31),"نامعتبر",RIGHT("0000"&amp;$B1546,4)&amp;"/"&amp;RIGHT("00"&amp;$C1546,2)&amp;"/"&amp;RIGHT("00"&amp;$D1546,2)))</f>
        <v/>
      </c>
      <c r="F1546" t="str">
        <f t="shared" ref="F1546:F1609" si="148">IF(OR($E1546="",$E1546="نامعتبر"),"",LEFT($E1546,4)&amp;"/"&amp;MID($E1546,6,2))</f>
        <v/>
      </c>
      <c r="G1546" t="str">
        <f>IF(OR($E1546="",$E1546="نامعتبر",Sync!$X1542=""),"",IF(AND(LEFT(UPPER(TRIM(Sync!$X1542)),2)="SL",IFERROR(VLOOKUP(Sync!$W1542,OpTbl,3,0),"")="فروش"),UPPER(TRIM(Sync!$X1542)),""))</f>
        <v/>
      </c>
      <c r="H1546" t="str">
        <f>IF($G1546="","",IF(Sync!$W1542="","",Sync!$W1542))</f>
        <v/>
      </c>
      <c r="I1546" t="str">
        <f>IF(OR($G1546="",Sync!$Y1542=""),"",Sync!$Y1542)</f>
        <v/>
      </c>
      <c r="J1546" t="str">
        <f>IF(OR($G1546="",Sync!$Z1542=""),"",Sync!$Z1542)</f>
        <v/>
      </c>
      <c r="K1546">
        <f>IF($G1546="",0,IF(Sync!$AA1542="",0,Sync!$AA1542))</f>
        <v>0</v>
      </c>
      <c r="L1546">
        <f>IF($G1546="",0,IF(Sync!$AB1542="",0,Sync!$AB1542))</f>
        <v>0</v>
      </c>
      <c r="M1546" t="str">
        <f t="shared" ref="M1546:M1609" si="149">IF($G1546="","",IF($H1546="مرجوعی فروش",-1,1)*($K1546-$L1546*IFERROR(VLOOKUP("P01",ParamTbl,3,0),1.5)))</f>
        <v/>
      </c>
      <c r="N1546">
        <f>IF($G1546="",0,IF($H1546="مرجوعی فروش",-1,1)*IF(Sync!$AC1542="",0,Sync!$AC1542))</f>
        <v>0</v>
      </c>
      <c r="O1546" t="str">
        <f>IF(OR($G1546="",Sync!$V1542=""),"",Sync!$V1542)</f>
        <v/>
      </c>
      <c r="P1546" t="str">
        <f>IF(OR($G1546="",Sync!$AD1542=""),"",Sync!$AD1542)</f>
        <v/>
      </c>
      <c r="Q1546" t="str">
        <f>IF($G1546="","",IF(Sync!$U1542="","0000",IF(AND(ISNUMBER(Sync!$U1542),Sync!$U1542&gt;=0,Sync!$U1542&lt;1),RIGHT("00"&amp;HOUR(Sync!$U1542),2)&amp;RIGHT("00"&amp;MINUTE(Sync!$U1542),2),IFERROR(RIGHT("00"&amp;VALUE(LEFT(Sync!$U1542,FIND(":",Sync!$U1542)-1)),2)&amp;RIGHT("00"&amp;VALUE(MID(Sync!$U1542,FIND(":",Sync!$U1542)+1,2)),2),"0000"))))</f>
        <v/>
      </c>
    </row>
    <row r="1547" spans="1:17" x14ac:dyDescent="0.2">
      <c r="A1547" t="str">
        <f>IF(Sync!$T1543="","",Sync!$T1543)</f>
        <v/>
      </c>
      <c r="B1547" t="str">
        <f t="shared" si="144"/>
        <v/>
      </c>
      <c r="C1547" t="str">
        <f t="shared" si="145"/>
        <v/>
      </c>
      <c r="D1547" t="str">
        <f t="shared" si="146"/>
        <v/>
      </c>
      <c r="E1547" t="str">
        <f t="shared" si="147"/>
        <v/>
      </c>
      <c r="F1547" t="str">
        <f t="shared" si="148"/>
        <v/>
      </c>
      <c r="G1547" t="str">
        <f>IF(OR($E1547="",$E1547="نامعتبر",Sync!$X1543=""),"",IF(AND(LEFT(UPPER(TRIM(Sync!$X1543)),2)="SL",IFERROR(VLOOKUP(Sync!$W1543,OpTbl,3,0),"")="فروش"),UPPER(TRIM(Sync!$X1543)),""))</f>
        <v/>
      </c>
      <c r="H1547" t="str">
        <f>IF($G1547="","",IF(Sync!$W1543="","",Sync!$W1543))</f>
        <v/>
      </c>
      <c r="I1547" t="str">
        <f>IF(OR($G1547="",Sync!$Y1543=""),"",Sync!$Y1543)</f>
        <v/>
      </c>
      <c r="J1547" t="str">
        <f>IF(OR($G1547="",Sync!$Z1543=""),"",Sync!$Z1543)</f>
        <v/>
      </c>
      <c r="K1547">
        <f>IF($G1547="",0,IF(Sync!$AA1543="",0,Sync!$AA1543))</f>
        <v>0</v>
      </c>
      <c r="L1547">
        <f>IF($G1547="",0,IF(Sync!$AB1543="",0,Sync!$AB1543))</f>
        <v>0</v>
      </c>
      <c r="M1547" t="str">
        <f t="shared" si="149"/>
        <v/>
      </c>
      <c r="N1547">
        <f>IF($G1547="",0,IF($H1547="مرجوعی فروش",-1,1)*IF(Sync!$AC1543="",0,Sync!$AC1543))</f>
        <v>0</v>
      </c>
      <c r="O1547" t="str">
        <f>IF(OR($G1547="",Sync!$V1543=""),"",Sync!$V1543)</f>
        <v/>
      </c>
      <c r="P1547" t="str">
        <f>IF(OR($G1547="",Sync!$AD1543=""),"",Sync!$AD1543)</f>
        <v/>
      </c>
      <c r="Q1547" t="str">
        <f>IF($G1547="","",IF(Sync!$U1543="","0000",IF(AND(ISNUMBER(Sync!$U1543),Sync!$U1543&gt;=0,Sync!$U1543&lt;1),RIGHT("00"&amp;HOUR(Sync!$U1543),2)&amp;RIGHT("00"&amp;MINUTE(Sync!$U1543),2),IFERROR(RIGHT("00"&amp;VALUE(LEFT(Sync!$U1543,FIND(":",Sync!$U1543)-1)),2)&amp;RIGHT("00"&amp;VALUE(MID(Sync!$U1543,FIND(":",Sync!$U1543)+1,2)),2),"0000"))))</f>
        <v/>
      </c>
    </row>
    <row r="1548" spans="1:17" x14ac:dyDescent="0.2">
      <c r="A1548" t="str">
        <f>IF(Sync!$T1544="","",Sync!$T1544)</f>
        <v/>
      </c>
      <c r="B1548" t="str">
        <f t="shared" si="144"/>
        <v/>
      </c>
      <c r="C1548" t="str">
        <f t="shared" si="145"/>
        <v/>
      </c>
      <c r="D1548" t="str">
        <f t="shared" si="146"/>
        <v/>
      </c>
      <c r="E1548" t="str">
        <f t="shared" si="147"/>
        <v/>
      </c>
      <c r="F1548" t="str">
        <f t="shared" si="148"/>
        <v/>
      </c>
      <c r="G1548" t="str">
        <f>IF(OR($E1548="",$E1548="نامعتبر",Sync!$X1544=""),"",IF(AND(LEFT(UPPER(TRIM(Sync!$X1544)),2)="SL",IFERROR(VLOOKUP(Sync!$W1544,OpTbl,3,0),"")="فروش"),UPPER(TRIM(Sync!$X1544)),""))</f>
        <v/>
      </c>
      <c r="H1548" t="str">
        <f>IF($G1548="","",IF(Sync!$W1544="","",Sync!$W1544))</f>
        <v/>
      </c>
      <c r="I1548" t="str">
        <f>IF(OR($G1548="",Sync!$Y1544=""),"",Sync!$Y1544)</f>
        <v/>
      </c>
      <c r="J1548" t="str">
        <f>IF(OR($G1548="",Sync!$Z1544=""),"",Sync!$Z1544)</f>
        <v/>
      </c>
      <c r="K1548">
        <f>IF($G1548="",0,IF(Sync!$AA1544="",0,Sync!$AA1544))</f>
        <v>0</v>
      </c>
      <c r="L1548">
        <f>IF($G1548="",0,IF(Sync!$AB1544="",0,Sync!$AB1544))</f>
        <v>0</v>
      </c>
      <c r="M1548" t="str">
        <f t="shared" si="149"/>
        <v/>
      </c>
      <c r="N1548">
        <f>IF($G1548="",0,IF($H1548="مرجوعی فروش",-1,1)*IF(Sync!$AC1544="",0,Sync!$AC1544))</f>
        <v>0</v>
      </c>
      <c r="O1548" t="str">
        <f>IF(OR($G1548="",Sync!$V1544=""),"",Sync!$V1544)</f>
        <v/>
      </c>
      <c r="P1548" t="str">
        <f>IF(OR($G1548="",Sync!$AD1544=""),"",Sync!$AD1544)</f>
        <v/>
      </c>
      <c r="Q1548" t="str">
        <f>IF($G1548="","",IF(Sync!$U1544="","0000",IF(AND(ISNUMBER(Sync!$U1544),Sync!$U1544&gt;=0,Sync!$U1544&lt;1),RIGHT("00"&amp;HOUR(Sync!$U1544),2)&amp;RIGHT("00"&amp;MINUTE(Sync!$U1544),2),IFERROR(RIGHT("00"&amp;VALUE(LEFT(Sync!$U1544,FIND(":",Sync!$U1544)-1)),2)&amp;RIGHT("00"&amp;VALUE(MID(Sync!$U1544,FIND(":",Sync!$U1544)+1,2)),2),"0000"))))</f>
        <v/>
      </c>
    </row>
    <row r="1549" spans="1:17" x14ac:dyDescent="0.2">
      <c r="A1549" t="str">
        <f>IF(Sync!$T1545="","",Sync!$T1545)</f>
        <v/>
      </c>
      <c r="B1549" t="str">
        <f t="shared" si="144"/>
        <v/>
      </c>
      <c r="C1549" t="str">
        <f t="shared" si="145"/>
        <v/>
      </c>
      <c r="D1549" t="str">
        <f t="shared" si="146"/>
        <v/>
      </c>
      <c r="E1549" t="str">
        <f t="shared" si="147"/>
        <v/>
      </c>
      <c r="F1549" t="str">
        <f t="shared" si="148"/>
        <v/>
      </c>
      <c r="G1549" t="str">
        <f>IF(OR($E1549="",$E1549="نامعتبر",Sync!$X1545=""),"",IF(AND(LEFT(UPPER(TRIM(Sync!$X1545)),2)="SL",IFERROR(VLOOKUP(Sync!$W1545,OpTbl,3,0),"")="فروش"),UPPER(TRIM(Sync!$X1545)),""))</f>
        <v/>
      </c>
      <c r="H1549" t="str">
        <f>IF($G1549="","",IF(Sync!$W1545="","",Sync!$W1545))</f>
        <v/>
      </c>
      <c r="I1549" t="str">
        <f>IF(OR($G1549="",Sync!$Y1545=""),"",Sync!$Y1545)</f>
        <v/>
      </c>
      <c r="J1549" t="str">
        <f>IF(OR($G1549="",Sync!$Z1545=""),"",Sync!$Z1545)</f>
        <v/>
      </c>
      <c r="K1549">
        <f>IF($G1549="",0,IF(Sync!$AA1545="",0,Sync!$AA1545))</f>
        <v>0</v>
      </c>
      <c r="L1549">
        <f>IF($G1549="",0,IF(Sync!$AB1545="",0,Sync!$AB1545))</f>
        <v>0</v>
      </c>
      <c r="M1549" t="str">
        <f t="shared" si="149"/>
        <v/>
      </c>
      <c r="N1549">
        <f>IF($G1549="",0,IF($H1549="مرجوعی فروش",-1,1)*IF(Sync!$AC1545="",0,Sync!$AC1545))</f>
        <v>0</v>
      </c>
      <c r="O1549" t="str">
        <f>IF(OR($G1549="",Sync!$V1545=""),"",Sync!$V1545)</f>
        <v/>
      </c>
      <c r="P1549" t="str">
        <f>IF(OR($G1549="",Sync!$AD1545=""),"",Sync!$AD1545)</f>
        <v/>
      </c>
      <c r="Q1549" t="str">
        <f>IF($G1549="","",IF(Sync!$U1545="","0000",IF(AND(ISNUMBER(Sync!$U1545),Sync!$U1545&gt;=0,Sync!$U1545&lt;1),RIGHT("00"&amp;HOUR(Sync!$U1545),2)&amp;RIGHT("00"&amp;MINUTE(Sync!$U1545),2),IFERROR(RIGHT("00"&amp;VALUE(LEFT(Sync!$U1545,FIND(":",Sync!$U1545)-1)),2)&amp;RIGHT("00"&amp;VALUE(MID(Sync!$U1545,FIND(":",Sync!$U1545)+1,2)),2),"0000"))))</f>
        <v/>
      </c>
    </row>
    <row r="1550" spans="1:17" x14ac:dyDescent="0.2">
      <c r="A1550" t="str">
        <f>IF(Sync!$T1546="","",Sync!$T1546)</f>
        <v/>
      </c>
      <c r="B1550" t="str">
        <f t="shared" si="144"/>
        <v/>
      </c>
      <c r="C1550" t="str">
        <f t="shared" si="145"/>
        <v/>
      </c>
      <c r="D1550" t="str">
        <f t="shared" si="146"/>
        <v/>
      </c>
      <c r="E1550" t="str">
        <f t="shared" si="147"/>
        <v/>
      </c>
      <c r="F1550" t="str">
        <f t="shared" si="148"/>
        <v/>
      </c>
      <c r="G1550" t="str">
        <f>IF(OR($E1550="",$E1550="نامعتبر",Sync!$X1546=""),"",IF(AND(LEFT(UPPER(TRIM(Sync!$X1546)),2)="SL",IFERROR(VLOOKUP(Sync!$W1546,OpTbl,3,0),"")="فروش"),UPPER(TRIM(Sync!$X1546)),""))</f>
        <v/>
      </c>
      <c r="H1550" t="str">
        <f>IF($G1550="","",IF(Sync!$W1546="","",Sync!$W1546))</f>
        <v/>
      </c>
      <c r="I1550" t="str">
        <f>IF(OR($G1550="",Sync!$Y1546=""),"",Sync!$Y1546)</f>
        <v/>
      </c>
      <c r="J1550" t="str">
        <f>IF(OR($G1550="",Sync!$Z1546=""),"",Sync!$Z1546)</f>
        <v/>
      </c>
      <c r="K1550">
        <f>IF($G1550="",0,IF(Sync!$AA1546="",0,Sync!$AA1546))</f>
        <v>0</v>
      </c>
      <c r="L1550">
        <f>IF($G1550="",0,IF(Sync!$AB1546="",0,Sync!$AB1546))</f>
        <v>0</v>
      </c>
      <c r="M1550" t="str">
        <f t="shared" si="149"/>
        <v/>
      </c>
      <c r="N1550">
        <f>IF($G1550="",0,IF($H1550="مرجوعی فروش",-1,1)*IF(Sync!$AC1546="",0,Sync!$AC1546))</f>
        <v>0</v>
      </c>
      <c r="O1550" t="str">
        <f>IF(OR($G1550="",Sync!$V1546=""),"",Sync!$V1546)</f>
        <v/>
      </c>
      <c r="P1550" t="str">
        <f>IF(OR($G1550="",Sync!$AD1546=""),"",Sync!$AD1546)</f>
        <v/>
      </c>
      <c r="Q1550" t="str">
        <f>IF($G1550="","",IF(Sync!$U1546="","0000",IF(AND(ISNUMBER(Sync!$U1546),Sync!$U1546&gt;=0,Sync!$U1546&lt;1),RIGHT("00"&amp;HOUR(Sync!$U1546),2)&amp;RIGHT("00"&amp;MINUTE(Sync!$U1546),2),IFERROR(RIGHT("00"&amp;VALUE(LEFT(Sync!$U1546,FIND(":",Sync!$U1546)-1)),2)&amp;RIGHT("00"&amp;VALUE(MID(Sync!$U1546,FIND(":",Sync!$U1546)+1,2)),2),"0000"))))</f>
        <v/>
      </c>
    </row>
    <row r="1551" spans="1:17" x14ac:dyDescent="0.2">
      <c r="A1551" t="str">
        <f>IF(Sync!$T1547="","",Sync!$T1547)</f>
        <v/>
      </c>
      <c r="B1551" t="str">
        <f t="shared" si="144"/>
        <v/>
      </c>
      <c r="C1551" t="str">
        <f t="shared" si="145"/>
        <v/>
      </c>
      <c r="D1551" t="str">
        <f t="shared" si="146"/>
        <v/>
      </c>
      <c r="E1551" t="str">
        <f t="shared" si="147"/>
        <v/>
      </c>
      <c r="F1551" t="str">
        <f t="shared" si="148"/>
        <v/>
      </c>
      <c r="G1551" t="str">
        <f>IF(OR($E1551="",$E1551="نامعتبر",Sync!$X1547=""),"",IF(AND(LEFT(UPPER(TRIM(Sync!$X1547)),2)="SL",IFERROR(VLOOKUP(Sync!$W1547,OpTbl,3,0),"")="فروش"),UPPER(TRIM(Sync!$X1547)),""))</f>
        <v/>
      </c>
      <c r="H1551" t="str">
        <f>IF($G1551="","",IF(Sync!$W1547="","",Sync!$W1547))</f>
        <v/>
      </c>
      <c r="I1551" t="str">
        <f>IF(OR($G1551="",Sync!$Y1547=""),"",Sync!$Y1547)</f>
        <v/>
      </c>
      <c r="J1551" t="str">
        <f>IF(OR($G1551="",Sync!$Z1547=""),"",Sync!$Z1547)</f>
        <v/>
      </c>
      <c r="K1551">
        <f>IF($G1551="",0,IF(Sync!$AA1547="",0,Sync!$AA1547))</f>
        <v>0</v>
      </c>
      <c r="L1551">
        <f>IF($G1551="",0,IF(Sync!$AB1547="",0,Sync!$AB1547))</f>
        <v>0</v>
      </c>
      <c r="M1551" t="str">
        <f t="shared" si="149"/>
        <v/>
      </c>
      <c r="N1551">
        <f>IF($G1551="",0,IF($H1551="مرجوعی فروش",-1,1)*IF(Sync!$AC1547="",0,Sync!$AC1547))</f>
        <v>0</v>
      </c>
      <c r="O1551" t="str">
        <f>IF(OR($G1551="",Sync!$V1547=""),"",Sync!$V1547)</f>
        <v/>
      </c>
      <c r="P1551" t="str">
        <f>IF(OR($G1551="",Sync!$AD1547=""),"",Sync!$AD1547)</f>
        <v/>
      </c>
      <c r="Q1551" t="str">
        <f>IF($G1551="","",IF(Sync!$U1547="","0000",IF(AND(ISNUMBER(Sync!$U1547),Sync!$U1547&gt;=0,Sync!$U1547&lt;1),RIGHT("00"&amp;HOUR(Sync!$U1547),2)&amp;RIGHT("00"&amp;MINUTE(Sync!$U1547),2),IFERROR(RIGHT("00"&amp;VALUE(LEFT(Sync!$U1547,FIND(":",Sync!$U1547)-1)),2)&amp;RIGHT("00"&amp;VALUE(MID(Sync!$U1547,FIND(":",Sync!$U1547)+1,2)),2),"0000"))))</f>
        <v/>
      </c>
    </row>
    <row r="1552" spans="1:17" x14ac:dyDescent="0.2">
      <c r="A1552" t="str">
        <f>IF(Sync!$T1548="","",Sync!$T1548)</f>
        <v/>
      </c>
      <c r="B1552" t="str">
        <f t="shared" si="144"/>
        <v/>
      </c>
      <c r="C1552" t="str">
        <f t="shared" si="145"/>
        <v/>
      </c>
      <c r="D1552" t="str">
        <f t="shared" si="146"/>
        <v/>
      </c>
      <c r="E1552" t="str">
        <f t="shared" si="147"/>
        <v/>
      </c>
      <c r="F1552" t="str">
        <f t="shared" si="148"/>
        <v/>
      </c>
      <c r="G1552" t="str">
        <f>IF(OR($E1552="",$E1552="نامعتبر",Sync!$X1548=""),"",IF(AND(LEFT(UPPER(TRIM(Sync!$X1548)),2)="SL",IFERROR(VLOOKUP(Sync!$W1548,OpTbl,3,0),"")="فروش"),UPPER(TRIM(Sync!$X1548)),""))</f>
        <v/>
      </c>
      <c r="H1552" t="str">
        <f>IF($G1552="","",IF(Sync!$W1548="","",Sync!$W1548))</f>
        <v/>
      </c>
      <c r="I1552" t="str">
        <f>IF(OR($G1552="",Sync!$Y1548=""),"",Sync!$Y1548)</f>
        <v/>
      </c>
      <c r="J1552" t="str">
        <f>IF(OR($G1552="",Sync!$Z1548=""),"",Sync!$Z1548)</f>
        <v/>
      </c>
      <c r="K1552">
        <f>IF($G1552="",0,IF(Sync!$AA1548="",0,Sync!$AA1548))</f>
        <v>0</v>
      </c>
      <c r="L1552">
        <f>IF($G1552="",0,IF(Sync!$AB1548="",0,Sync!$AB1548))</f>
        <v>0</v>
      </c>
      <c r="M1552" t="str">
        <f t="shared" si="149"/>
        <v/>
      </c>
      <c r="N1552">
        <f>IF($G1552="",0,IF($H1552="مرجوعی فروش",-1,1)*IF(Sync!$AC1548="",0,Sync!$AC1548))</f>
        <v>0</v>
      </c>
      <c r="O1552" t="str">
        <f>IF(OR($G1552="",Sync!$V1548=""),"",Sync!$V1548)</f>
        <v/>
      </c>
      <c r="P1552" t="str">
        <f>IF(OR($G1552="",Sync!$AD1548=""),"",Sync!$AD1548)</f>
        <v/>
      </c>
      <c r="Q1552" t="str">
        <f>IF($G1552="","",IF(Sync!$U1548="","0000",IF(AND(ISNUMBER(Sync!$U1548),Sync!$U1548&gt;=0,Sync!$U1548&lt;1),RIGHT("00"&amp;HOUR(Sync!$U1548),2)&amp;RIGHT("00"&amp;MINUTE(Sync!$U1548),2),IFERROR(RIGHT("00"&amp;VALUE(LEFT(Sync!$U1548,FIND(":",Sync!$U1548)-1)),2)&amp;RIGHT("00"&amp;VALUE(MID(Sync!$U1548,FIND(":",Sync!$U1548)+1,2)),2),"0000"))))</f>
        <v/>
      </c>
    </row>
    <row r="1553" spans="1:17" x14ac:dyDescent="0.2">
      <c r="A1553" t="str">
        <f>IF(Sync!$T1549="","",Sync!$T1549)</f>
        <v/>
      </c>
      <c r="B1553" t="str">
        <f t="shared" si="144"/>
        <v/>
      </c>
      <c r="C1553" t="str">
        <f t="shared" si="145"/>
        <v/>
      </c>
      <c r="D1553" t="str">
        <f t="shared" si="146"/>
        <v/>
      </c>
      <c r="E1553" t="str">
        <f t="shared" si="147"/>
        <v/>
      </c>
      <c r="F1553" t="str">
        <f t="shared" si="148"/>
        <v/>
      </c>
      <c r="G1553" t="str">
        <f>IF(OR($E1553="",$E1553="نامعتبر",Sync!$X1549=""),"",IF(AND(LEFT(UPPER(TRIM(Sync!$X1549)),2)="SL",IFERROR(VLOOKUP(Sync!$W1549,OpTbl,3,0),"")="فروش"),UPPER(TRIM(Sync!$X1549)),""))</f>
        <v/>
      </c>
      <c r="H1553" t="str">
        <f>IF($G1553="","",IF(Sync!$W1549="","",Sync!$W1549))</f>
        <v/>
      </c>
      <c r="I1553" t="str">
        <f>IF(OR($G1553="",Sync!$Y1549=""),"",Sync!$Y1549)</f>
        <v/>
      </c>
      <c r="J1553" t="str">
        <f>IF(OR($G1553="",Sync!$Z1549=""),"",Sync!$Z1549)</f>
        <v/>
      </c>
      <c r="K1553">
        <f>IF($G1553="",0,IF(Sync!$AA1549="",0,Sync!$AA1549))</f>
        <v>0</v>
      </c>
      <c r="L1553">
        <f>IF($G1553="",0,IF(Sync!$AB1549="",0,Sync!$AB1549))</f>
        <v>0</v>
      </c>
      <c r="M1553" t="str">
        <f t="shared" si="149"/>
        <v/>
      </c>
      <c r="N1553">
        <f>IF($G1553="",0,IF($H1553="مرجوعی فروش",-1,1)*IF(Sync!$AC1549="",0,Sync!$AC1549))</f>
        <v>0</v>
      </c>
      <c r="O1553" t="str">
        <f>IF(OR($G1553="",Sync!$V1549=""),"",Sync!$V1549)</f>
        <v/>
      </c>
      <c r="P1553" t="str">
        <f>IF(OR($G1553="",Sync!$AD1549=""),"",Sync!$AD1549)</f>
        <v/>
      </c>
      <c r="Q1553" t="str">
        <f>IF($G1553="","",IF(Sync!$U1549="","0000",IF(AND(ISNUMBER(Sync!$U1549),Sync!$U1549&gt;=0,Sync!$U1549&lt;1),RIGHT("00"&amp;HOUR(Sync!$U1549),2)&amp;RIGHT("00"&amp;MINUTE(Sync!$U1549),2),IFERROR(RIGHT("00"&amp;VALUE(LEFT(Sync!$U1549,FIND(":",Sync!$U1549)-1)),2)&amp;RIGHT("00"&amp;VALUE(MID(Sync!$U1549,FIND(":",Sync!$U1549)+1,2)),2),"0000"))))</f>
        <v/>
      </c>
    </row>
    <row r="1554" spans="1:17" x14ac:dyDescent="0.2">
      <c r="A1554" t="str">
        <f>IF(Sync!$T1550="","",Sync!$T1550)</f>
        <v/>
      </c>
      <c r="B1554" t="str">
        <f t="shared" si="144"/>
        <v/>
      </c>
      <c r="C1554" t="str">
        <f t="shared" si="145"/>
        <v/>
      </c>
      <c r="D1554" t="str">
        <f t="shared" si="146"/>
        <v/>
      </c>
      <c r="E1554" t="str">
        <f t="shared" si="147"/>
        <v/>
      </c>
      <c r="F1554" t="str">
        <f t="shared" si="148"/>
        <v/>
      </c>
      <c r="G1554" t="str">
        <f>IF(OR($E1554="",$E1554="نامعتبر",Sync!$X1550=""),"",IF(AND(LEFT(UPPER(TRIM(Sync!$X1550)),2)="SL",IFERROR(VLOOKUP(Sync!$W1550,OpTbl,3,0),"")="فروش"),UPPER(TRIM(Sync!$X1550)),""))</f>
        <v/>
      </c>
      <c r="H1554" t="str">
        <f>IF($G1554="","",IF(Sync!$W1550="","",Sync!$W1550))</f>
        <v/>
      </c>
      <c r="I1554" t="str">
        <f>IF(OR($G1554="",Sync!$Y1550=""),"",Sync!$Y1550)</f>
        <v/>
      </c>
      <c r="J1554" t="str">
        <f>IF(OR($G1554="",Sync!$Z1550=""),"",Sync!$Z1550)</f>
        <v/>
      </c>
      <c r="K1554">
        <f>IF($G1554="",0,IF(Sync!$AA1550="",0,Sync!$AA1550))</f>
        <v>0</v>
      </c>
      <c r="L1554">
        <f>IF($G1554="",0,IF(Sync!$AB1550="",0,Sync!$AB1550))</f>
        <v>0</v>
      </c>
      <c r="M1554" t="str">
        <f t="shared" si="149"/>
        <v/>
      </c>
      <c r="N1554">
        <f>IF($G1554="",0,IF($H1554="مرجوعی فروش",-1,1)*IF(Sync!$AC1550="",0,Sync!$AC1550))</f>
        <v>0</v>
      </c>
      <c r="O1554" t="str">
        <f>IF(OR($G1554="",Sync!$V1550=""),"",Sync!$V1550)</f>
        <v/>
      </c>
      <c r="P1554" t="str">
        <f>IF(OR($G1554="",Sync!$AD1550=""),"",Sync!$AD1550)</f>
        <v/>
      </c>
      <c r="Q1554" t="str">
        <f>IF($G1554="","",IF(Sync!$U1550="","0000",IF(AND(ISNUMBER(Sync!$U1550),Sync!$U1550&gt;=0,Sync!$U1550&lt;1),RIGHT("00"&amp;HOUR(Sync!$U1550),2)&amp;RIGHT("00"&amp;MINUTE(Sync!$U1550),2),IFERROR(RIGHT("00"&amp;VALUE(LEFT(Sync!$U1550,FIND(":",Sync!$U1550)-1)),2)&amp;RIGHT("00"&amp;VALUE(MID(Sync!$U1550,FIND(":",Sync!$U1550)+1,2)),2),"0000"))))</f>
        <v/>
      </c>
    </row>
    <row r="1555" spans="1:17" x14ac:dyDescent="0.2">
      <c r="A1555" t="str">
        <f>IF(Sync!$T1551="","",Sync!$T1551)</f>
        <v/>
      </c>
      <c r="B1555" t="str">
        <f t="shared" si="144"/>
        <v/>
      </c>
      <c r="C1555" t="str">
        <f t="shared" si="145"/>
        <v/>
      </c>
      <c r="D1555" t="str">
        <f t="shared" si="146"/>
        <v/>
      </c>
      <c r="E1555" t="str">
        <f t="shared" si="147"/>
        <v/>
      </c>
      <c r="F1555" t="str">
        <f t="shared" si="148"/>
        <v/>
      </c>
      <c r="G1555" t="str">
        <f>IF(OR($E1555="",$E1555="نامعتبر",Sync!$X1551=""),"",IF(AND(LEFT(UPPER(TRIM(Sync!$X1551)),2)="SL",IFERROR(VLOOKUP(Sync!$W1551,OpTbl,3,0),"")="فروش"),UPPER(TRIM(Sync!$X1551)),""))</f>
        <v/>
      </c>
      <c r="H1555" t="str">
        <f>IF($G1555="","",IF(Sync!$W1551="","",Sync!$W1551))</f>
        <v/>
      </c>
      <c r="I1555" t="str">
        <f>IF(OR($G1555="",Sync!$Y1551=""),"",Sync!$Y1551)</f>
        <v/>
      </c>
      <c r="J1555" t="str">
        <f>IF(OR($G1555="",Sync!$Z1551=""),"",Sync!$Z1551)</f>
        <v/>
      </c>
      <c r="K1555">
        <f>IF($G1555="",0,IF(Sync!$AA1551="",0,Sync!$AA1551))</f>
        <v>0</v>
      </c>
      <c r="L1555">
        <f>IF($G1555="",0,IF(Sync!$AB1551="",0,Sync!$AB1551))</f>
        <v>0</v>
      </c>
      <c r="M1555" t="str">
        <f t="shared" si="149"/>
        <v/>
      </c>
      <c r="N1555">
        <f>IF($G1555="",0,IF($H1555="مرجوعی فروش",-1,1)*IF(Sync!$AC1551="",0,Sync!$AC1551))</f>
        <v>0</v>
      </c>
      <c r="O1555" t="str">
        <f>IF(OR($G1555="",Sync!$V1551=""),"",Sync!$V1551)</f>
        <v/>
      </c>
      <c r="P1555" t="str">
        <f>IF(OR($G1555="",Sync!$AD1551=""),"",Sync!$AD1551)</f>
        <v/>
      </c>
      <c r="Q1555" t="str">
        <f>IF($G1555="","",IF(Sync!$U1551="","0000",IF(AND(ISNUMBER(Sync!$U1551),Sync!$U1551&gt;=0,Sync!$U1551&lt;1),RIGHT("00"&amp;HOUR(Sync!$U1551),2)&amp;RIGHT("00"&amp;MINUTE(Sync!$U1551),2),IFERROR(RIGHT("00"&amp;VALUE(LEFT(Sync!$U1551,FIND(":",Sync!$U1551)-1)),2)&amp;RIGHT("00"&amp;VALUE(MID(Sync!$U1551,FIND(":",Sync!$U1551)+1,2)),2),"0000"))))</f>
        <v/>
      </c>
    </row>
    <row r="1556" spans="1:17" x14ac:dyDescent="0.2">
      <c r="A1556" t="str">
        <f>IF(Sync!$T1552="","",Sync!$T1552)</f>
        <v/>
      </c>
      <c r="B1556" t="str">
        <f t="shared" si="144"/>
        <v/>
      </c>
      <c r="C1556" t="str">
        <f t="shared" si="145"/>
        <v/>
      </c>
      <c r="D1556" t="str">
        <f t="shared" si="146"/>
        <v/>
      </c>
      <c r="E1556" t="str">
        <f t="shared" si="147"/>
        <v/>
      </c>
      <c r="F1556" t="str">
        <f t="shared" si="148"/>
        <v/>
      </c>
      <c r="G1556" t="str">
        <f>IF(OR($E1556="",$E1556="نامعتبر",Sync!$X1552=""),"",IF(AND(LEFT(UPPER(TRIM(Sync!$X1552)),2)="SL",IFERROR(VLOOKUP(Sync!$W1552,OpTbl,3,0),"")="فروش"),UPPER(TRIM(Sync!$X1552)),""))</f>
        <v/>
      </c>
      <c r="H1556" t="str">
        <f>IF($G1556="","",IF(Sync!$W1552="","",Sync!$W1552))</f>
        <v/>
      </c>
      <c r="I1556" t="str">
        <f>IF(OR($G1556="",Sync!$Y1552=""),"",Sync!$Y1552)</f>
        <v/>
      </c>
      <c r="J1556" t="str">
        <f>IF(OR($G1556="",Sync!$Z1552=""),"",Sync!$Z1552)</f>
        <v/>
      </c>
      <c r="K1556">
        <f>IF($G1556="",0,IF(Sync!$AA1552="",0,Sync!$AA1552))</f>
        <v>0</v>
      </c>
      <c r="L1556">
        <f>IF($G1556="",0,IF(Sync!$AB1552="",0,Sync!$AB1552))</f>
        <v>0</v>
      </c>
      <c r="M1556" t="str">
        <f t="shared" si="149"/>
        <v/>
      </c>
      <c r="N1556">
        <f>IF($G1556="",0,IF($H1556="مرجوعی فروش",-1,1)*IF(Sync!$AC1552="",0,Sync!$AC1552))</f>
        <v>0</v>
      </c>
      <c r="O1556" t="str">
        <f>IF(OR($G1556="",Sync!$V1552=""),"",Sync!$V1552)</f>
        <v/>
      </c>
      <c r="P1556" t="str">
        <f>IF(OR($G1556="",Sync!$AD1552=""),"",Sync!$AD1552)</f>
        <v/>
      </c>
      <c r="Q1556" t="str">
        <f>IF($G1556="","",IF(Sync!$U1552="","0000",IF(AND(ISNUMBER(Sync!$U1552),Sync!$U1552&gt;=0,Sync!$U1552&lt;1),RIGHT("00"&amp;HOUR(Sync!$U1552),2)&amp;RIGHT("00"&amp;MINUTE(Sync!$U1552),2),IFERROR(RIGHT("00"&amp;VALUE(LEFT(Sync!$U1552,FIND(":",Sync!$U1552)-1)),2)&amp;RIGHT("00"&amp;VALUE(MID(Sync!$U1552,FIND(":",Sync!$U1552)+1,2)),2),"0000"))))</f>
        <v/>
      </c>
    </row>
    <row r="1557" spans="1:17" x14ac:dyDescent="0.2">
      <c r="A1557" t="str">
        <f>IF(Sync!$T1553="","",Sync!$T1553)</f>
        <v/>
      </c>
      <c r="B1557" t="str">
        <f t="shared" si="144"/>
        <v/>
      </c>
      <c r="C1557" t="str">
        <f t="shared" si="145"/>
        <v/>
      </c>
      <c r="D1557" t="str">
        <f t="shared" si="146"/>
        <v/>
      </c>
      <c r="E1557" t="str">
        <f t="shared" si="147"/>
        <v/>
      </c>
      <c r="F1557" t="str">
        <f t="shared" si="148"/>
        <v/>
      </c>
      <c r="G1557" t="str">
        <f>IF(OR($E1557="",$E1557="نامعتبر",Sync!$X1553=""),"",IF(AND(LEFT(UPPER(TRIM(Sync!$X1553)),2)="SL",IFERROR(VLOOKUP(Sync!$W1553,OpTbl,3,0),"")="فروش"),UPPER(TRIM(Sync!$X1553)),""))</f>
        <v/>
      </c>
      <c r="H1557" t="str">
        <f>IF($G1557="","",IF(Sync!$W1553="","",Sync!$W1553))</f>
        <v/>
      </c>
      <c r="I1557" t="str">
        <f>IF(OR($G1557="",Sync!$Y1553=""),"",Sync!$Y1553)</f>
        <v/>
      </c>
      <c r="J1557" t="str">
        <f>IF(OR($G1557="",Sync!$Z1553=""),"",Sync!$Z1553)</f>
        <v/>
      </c>
      <c r="K1557">
        <f>IF($G1557="",0,IF(Sync!$AA1553="",0,Sync!$AA1553))</f>
        <v>0</v>
      </c>
      <c r="L1557">
        <f>IF($G1557="",0,IF(Sync!$AB1553="",0,Sync!$AB1553))</f>
        <v>0</v>
      </c>
      <c r="M1557" t="str">
        <f t="shared" si="149"/>
        <v/>
      </c>
      <c r="N1557">
        <f>IF($G1557="",0,IF($H1557="مرجوعی فروش",-1,1)*IF(Sync!$AC1553="",0,Sync!$AC1553))</f>
        <v>0</v>
      </c>
      <c r="O1557" t="str">
        <f>IF(OR($G1557="",Sync!$V1553=""),"",Sync!$V1553)</f>
        <v/>
      </c>
      <c r="P1557" t="str">
        <f>IF(OR($G1557="",Sync!$AD1553=""),"",Sync!$AD1553)</f>
        <v/>
      </c>
      <c r="Q1557" t="str">
        <f>IF($G1557="","",IF(Sync!$U1553="","0000",IF(AND(ISNUMBER(Sync!$U1553),Sync!$U1553&gt;=0,Sync!$U1553&lt;1),RIGHT("00"&amp;HOUR(Sync!$U1553),2)&amp;RIGHT("00"&amp;MINUTE(Sync!$U1553),2),IFERROR(RIGHT("00"&amp;VALUE(LEFT(Sync!$U1553,FIND(":",Sync!$U1553)-1)),2)&amp;RIGHT("00"&amp;VALUE(MID(Sync!$U1553,FIND(":",Sync!$U1553)+1,2)),2),"0000"))))</f>
        <v/>
      </c>
    </row>
    <row r="1558" spans="1:17" x14ac:dyDescent="0.2">
      <c r="A1558" t="str">
        <f>IF(Sync!$T1554="","",Sync!$T1554)</f>
        <v/>
      </c>
      <c r="B1558" t="str">
        <f t="shared" si="144"/>
        <v/>
      </c>
      <c r="C1558" t="str">
        <f t="shared" si="145"/>
        <v/>
      </c>
      <c r="D1558" t="str">
        <f t="shared" si="146"/>
        <v/>
      </c>
      <c r="E1558" t="str">
        <f t="shared" si="147"/>
        <v/>
      </c>
      <c r="F1558" t="str">
        <f t="shared" si="148"/>
        <v/>
      </c>
      <c r="G1558" t="str">
        <f>IF(OR($E1558="",$E1558="نامعتبر",Sync!$X1554=""),"",IF(AND(LEFT(UPPER(TRIM(Sync!$X1554)),2)="SL",IFERROR(VLOOKUP(Sync!$W1554,OpTbl,3,0),"")="فروش"),UPPER(TRIM(Sync!$X1554)),""))</f>
        <v/>
      </c>
      <c r="H1558" t="str">
        <f>IF($G1558="","",IF(Sync!$W1554="","",Sync!$W1554))</f>
        <v/>
      </c>
      <c r="I1558" t="str">
        <f>IF(OR($G1558="",Sync!$Y1554=""),"",Sync!$Y1554)</f>
        <v/>
      </c>
      <c r="J1558" t="str">
        <f>IF(OR($G1558="",Sync!$Z1554=""),"",Sync!$Z1554)</f>
        <v/>
      </c>
      <c r="K1558">
        <f>IF($G1558="",0,IF(Sync!$AA1554="",0,Sync!$AA1554))</f>
        <v>0</v>
      </c>
      <c r="L1558">
        <f>IF($G1558="",0,IF(Sync!$AB1554="",0,Sync!$AB1554))</f>
        <v>0</v>
      </c>
      <c r="M1558" t="str">
        <f t="shared" si="149"/>
        <v/>
      </c>
      <c r="N1558">
        <f>IF($G1558="",0,IF($H1558="مرجوعی فروش",-1,1)*IF(Sync!$AC1554="",0,Sync!$AC1554))</f>
        <v>0</v>
      </c>
      <c r="O1558" t="str">
        <f>IF(OR($G1558="",Sync!$V1554=""),"",Sync!$V1554)</f>
        <v/>
      </c>
      <c r="P1558" t="str">
        <f>IF(OR($G1558="",Sync!$AD1554=""),"",Sync!$AD1554)</f>
        <v/>
      </c>
      <c r="Q1558" t="str">
        <f>IF($G1558="","",IF(Sync!$U1554="","0000",IF(AND(ISNUMBER(Sync!$U1554),Sync!$U1554&gt;=0,Sync!$U1554&lt;1),RIGHT("00"&amp;HOUR(Sync!$U1554),2)&amp;RIGHT("00"&amp;MINUTE(Sync!$U1554),2),IFERROR(RIGHT("00"&amp;VALUE(LEFT(Sync!$U1554,FIND(":",Sync!$U1554)-1)),2)&amp;RIGHT("00"&amp;VALUE(MID(Sync!$U1554,FIND(":",Sync!$U1554)+1,2)),2),"0000"))))</f>
        <v/>
      </c>
    </row>
    <row r="1559" spans="1:17" x14ac:dyDescent="0.2">
      <c r="A1559" t="str">
        <f>IF(Sync!$T1555="","",Sync!$T1555)</f>
        <v/>
      </c>
      <c r="B1559" t="str">
        <f t="shared" si="144"/>
        <v/>
      </c>
      <c r="C1559" t="str">
        <f t="shared" si="145"/>
        <v/>
      </c>
      <c r="D1559" t="str">
        <f t="shared" si="146"/>
        <v/>
      </c>
      <c r="E1559" t="str">
        <f t="shared" si="147"/>
        <v/>
      </c>
      <c r="F1559" t="str">
        <f t="shared" si="148"/>
        <v/>
      </c>
      <c r="G1559" t="str">
        <f>IF(OR($E1559="",$E1559="نامعتبر",Sync!$X1555=""),"",IF(AND(LEFT(UPPER(TRIM(Sync!$X1555)),2)="SL",IFERROR(VLOOKUP(Sync!$W1555,OpTbl,3,0),"")="فروش"),UPPER(TRIM(Sync!$X1555)),""))</f>
        <v/>
      </c>
      <c r="H1559" t="str">
        <f>IF($G1559="","",IF(Sync!$W1555="","",Sync!$W1555))</f>
        <v/>
      </c>
      <c r="I1559" t="str">
        <f>IF(OR($G1559="",Sync!$Y1555=""),"",Sync!$Y1555)</f>
        <v/>
      </c>
      <c r="J1559" t="str">
        <f>IF(OR($G1559="",Sync!$Z1555=""),"",Sync!$Z1555)</f>
        <v/>
      </c>
      <c r="K1559">
        <f>IF($G1559="",0,IF(Sync!$AA1555="",0,Sync!$AA1555))</f>
        <v>0</v>
      </c>
      <c r="L1559">
        <f>IF($G1559="",0,IF(Sync!$AB1555="",0,Sync!$AB1555))</f>
        <v>0</v>
      </c>
      <c r="M1559" t="str">
        <f t="shared" si="149"/>
        <v/>
      </c>
      <c r="N1559">
        <f>IF($G1559="",0,IF($H1559="مرجوعی فروش",-1,1)*IF(Sync!$AC1555="",0,Sync!$AC1555))</f>
        <v>0</v>
      </c>
      <c r="O1559" t="str">
        <f>IF(OR($G1559="",Sync!$V1555=""),"",Sync!$V1555)</f>
        <v/>
      </c>
      <c r="P1559" t="str">
        <f>IF(OR($G1559="",Sync!$AD1555=""),"",Sync!$AD1555)</f>
        <v/>
      </c>
      <c r="Q1559" t="str">
        <f>IF($G1559="","",IF(Sync!$U1555="","0000",IF(AND(ISNUMBER(Sync!$U1555),Sync!$U1555&gt;=0,Sync!$U1555&lt;1),RIGHT("00"&amp;HOUR(Sync!$U1555),2)&amp;RIGHT("00"&amp;MINUTE(Sync!$U1555),2),IFERROR(RIGHT("00"&amp;VALUE(LEFT(Sync!$U1555,FIND(":",Sync!$U1555)-1)),2)&amp;RIGHT("00"&amp;VALUE(MID(Sync!$U1555,FIND(":",Sync!$U1555)+1,2)),2),"0000"))))</f>
        <v/>
      </c>
    </row>
    <row r="1560" spans="1:17" x14ac:dyDescent="0.2">
      <c r="A1560" t="str">
        <f>IF(Sync!$T1556="","",Sync!$T1556)</f>
        <v/>
      </c>
      <c r="B1560" t="str">
        <f t="shared" si="144"/>
        <v/>
      </c>
      <c r="C1560" t="str">
        <f t="shared" si="145"/>
        <v/>
      </c>
      <c r="D1560" t="str">
        <f t="shared" si="146"/>
        <v/>
      </c>
      <c r="E1560" t="str">
        <f t="shared" si="147"/>
        <v/>
      </c>
      <c r="F1560" t="str">
        <f t="shared" si="148"/>
        <v/>
      </c>
      <c r="G1560" t="str">
        <f>IF(OR($E1560="",$E1560="نامعتبر",Sync!$X1556=""),"",IF(AND(LEFT(UPPER(TRIM(Sync!$X1556)),2)="SL",IFERROR(VLOOKUP(Sync!$W1556,OpTbl,3,0),"")="فروش"),UPPER(TRIM(Sync!$X1556)),""))</f>
        <v/>
      </c>
      <c r="H1560" t="str">
        <f>IF($G1560="","",IF(Sync!$W1556="","",Sync!$W1556))</f>
        <v/>
      </c>
      <c r="I1560" t="str">
        <f>IF(OR($G1560="",Sync!$Y1556=""),"",Sync!$Y1556)</f>
        <v/>
      </c>
      <c r="J1560" t="str">
        <f>IF(OR($G1560="",Sync!$Z1556=""),"",Sync!$Z1556)</f>
        <v/>
      </c>
      <c r="K1560">
        <f>IF($G1560="",0,IF(Sync!$AA1556="",0,Sync!$AA1556))</f>
        <v>0</v>
      </c>
      <c r="L1560">
        <f>IF($G1560="",0,IF(Sync!$AB1556="",0,Sync!$AB1556))</f>
        <v>0</v>
      </c>
      <c r="M1560" t="str">
        <f t="shared" si="149"/>
        <v/>
      </c>
      <c r="N1560">
        <f>IF($G1560="",0,IF($H1560="مرجوعی فروش",-1,1)*IF(Sync!$AC1556="",0,Sync!$AC1556))</f>
        <v>0</v>
      </c>
      <c r="O1560" t="str">
        <f>IF(OR($G1560="",Sync!$V1556=""),"",Sync!$V1556)</f>
        <v/>
      </c>
      <c r="P1560" t="str">
        <f>IF(OR($G1560="",Sync!$AD1556=""),"",Sync!$AD1556)</f>
        <v/>
      </c>
      <c r="Q1560" t="str">
        <f>IF($G1560="","",IF(Sync!$U1556="","0000",IF(AND(ISNUMBER(Sync!$U1556),Sync!$U1556&gt;=0,Sync!$U1556&lt;1),RIGHT("00"&amp;HOUR(Sync!$U1556),2)&amp;RIGHT("00"&amp;MINUTE(Sync!$U1556),2),IFERROR(RIGHT("00"&amp;VALUE(LEFT(Sync!$U1556,FIND(":",Sync!$U1556)-1)),2)&amp;RIGHT("00"&amp;VALUE(MID(Sync!$U1556,FIND(":",Sync!$U1556)+1,2)),2),"0000"))))</f>
        <v/>
      </c>
    </row>
    <row r="1561" spans="1:17" x14ac:dyDescent="0.2">
      <c r="A1561" t="str">
        <f>IF(Sync!$T1557="","",Sync!$T1557)</f>
        <v/>
      </c>
      <c r="B1561" t="str">
        <f t="shared" si="144"/>
        <v/>
      </c>
      <c r="C1561" t="str">
        <f t="shared" si="145"/>
        <v/>
      </c>
      <c r="D1561" t="str">
        <f t="shared" si="146"/>
        <v/>
      </c>
      <c r="E1561" t="str">
        <f t="shared" si="147"/>
        <v/>
      </c>
      <c r="F1561" t="str">
        <f t="shared" si="148"/>
        <v/>
      </c>
      <c r="G1561" t="str">
        <f>IF(OR($E1561="",$E1561="نامعتبر",Sync!$X1557=""),"",IF(AND(LEFT(UPPER(TRIM(Sync!$X1557)),2)="SL",IFERROR(VLOOKUP(Sync!$W1557,OpTbl,3,0),"")="فروش"),UPPER(TRIM(Sync!$X1557)),""))</f>
        <v/>
      </c>
      <c r="H1561" t="str">
        <f>IF($G1561="","",IF(Sync!$W1557="","",Sync!$W1557))</f>
        <v/>
      </c>
      <c r="I1561" t="str">
        <f>IF(OR($G1561="",Sync!$Y1557=""),"",Sync!$Y1557)</f>
        <v/>
      </c>
      <c r="J1561" t="str">
        <f>IF(OR($G1561="",Sync!$Z1557=""),"",Sync!$Z1557)</f>
        <v/>
      </c>
      <c r="K1561">
        <f>IF($G1561="",0,IF(Sync!$AA1557="",0,Sync!$AA1557))</f>
        <v>0</v>
      </c>
      <c r="L1561">
        <f>IF($G1561="",0,IF(Sync!$AB1557="",0,Sync!$AB1557))</f>
        <v>0</v>
      </c>
      <c r="M1561" t="str">
        <f t="shared" si="149"/>
        <v/>
      </c>
      <c r="N1561">
        <f>IF($G1561="",0,IF($H1561="مرجوعی فروش",-1,1)*IF(Sync!$AC1557="",0,Sync!$AC1557))</f>
        <v>0</v>
      </c>
      <c r="O1561" t="str">
        <f>IF(OR($G1561="",Sync!$V1557=""),"",Sync!$V1557)</f>
        <v/>
      </c>
      <c r="P1561" t="str">
        <f>IF(OR($G1561="",Sync!$AD1557=""),"",Sync!$AD1557)</f>
        <v/>
      </c>
      <c r="Q1561" t="str">
        <f>IF($G1561="","",IF(Sync!$U1557="","0000",IF(AND(ISNUMBER(Sync!$U1557),Sync!$U1557&gt;=0,Sync!$U1557&lt;1),RIGHT("00"&amp;HOUR(Sync!$U1557),2)&amp;RIGHT("00"&amp;MINUTE(Sync!$U1557),2),IFERROR(RIGHT("00"&amp;VALUE(LEFT(Sync!$U1557,FIND(":",Sync!$U1557)-1)),2)&amp;RIGHT("00"&amp;VALUE(MID(Sync!$U1557,FIND(":",Sync!$U1557)+1,2)),2),"0000"))))</f>
        <v/>
      </c>
    </row>
    <row r="1562" spans="1:17" x14ac:dyDescent="0.2">
      <c r="A1562" t="str">
        <f>IF(Sync!$T1558="","",Sync!$T1558)</f>
        <v/>
      </c>
      <c r="B1562" t="str">
        <f t="shared" si="144"/>
        <v/>
      </c>
      <c r="C1562" t="str">
        <f t="shared" si="145"/>
        <v/>
      </c>
      <c r="D1562" t="str">
        <f t="shared" si="146"/>
        <v/>
      </c>
      <c r="E1562" t="str">
        <f t="shared" si="147"/>
        <v/>
      </c>
      <c r="F1562" t="str">
        <f t="shared" si="148"/>
        <v/>
      </c>
      <c r="G1562" t="str">
        <f>IF(OR($E1562="",$E1562="نامعتبر",Sync!$X1558=""),"",IF(AND(LEFT(UPPER(TRIM(Sync!$X1558)),2)="SL",IFERROR(VLOOKUP(Sync!$W1558,OpTbl,3,0),"")="فروش"),UPPER(TRIM(Sync!$X1558)),""))</f>
        <v/>
      </c>
      <c r="H1562" t="str">
        <f>IF($G1562="","",IF(Sync!$W1558="","",Sync!$W1558))</f>
        <v/>
      </c>
      <c r="I1562" t="str">
        <f>IF(OR($G1562="",Sync!$Y1558=""),"",Sync!$Y1558)</f>
        <v/>
      </c>
      <c r="J1562" t="str">
        <f>IF(OR($G1562="",Sync!$Z1558=""),"",Sync!$Z1558)</f>
        <v/>
      </c>
      <c r="K1562">
        <f>IF($G1562="",0,IF(Sync!$AA1558="",0,Sync!$AA1558))</f>
        <v>0</v>
      </c>
      <c r="L1562">
        <f>IF($G1562="",0,IF(Sync!$AB1558="",0,Sync!$AB1558))</f>
        <v>0</v>
      </c>
      <c r="M1562" t="str">
        <f t="shared" si="149"/>
        <v/>
      </c>
      <c r="N1562">
        <f>IF($G1562="",0,IF($H1562="مرجوعی فروش",-1,1)*IF(Sync!$AC1558="",0,Sync!$AC1558))</f>
        <v>0</v>
      </c>
      <c r="O1562" t="str">
        <f>IF(OR($G1562="",Sync!$V1558=""),"",Sync!$V1558)</f>
        <v/>
      </c>
      <c r="P1562" t="str">
        <f>IF(OR($G1562="",Sync!$AD1558=""),"",Sync!$AD1558)</f>
        <v/>
      </c>
      <c r="Q1562" t="str">
        <f>IF($G1562="","",IF(Sync!$U1558="","0000",IF(AND(ISNUMBER(Sync!$U1558),Sync!$U1558&gt;=0,Sync!$U1558&lt;1),RIGHT("00"&amp;HOUR(Sync!$U1558),2)&amp;RIGHT("00"&amp;MINUTE(Sync!$U1558),2),IFERROR(RIGHT("00"&amp;VALUE(LEFT(Sync!$U1558,FIND(":",Sync!$U1558)-1)),2)&amp;RIGHT("00"&amp;VALUE(MID(Sync!$U1558,FIND(":",Sync!$U1558)+1,2)),2),"0000"))))</f>
        <v/>
      </c>
    </row>
    <row r="1563" spans="1:17" x14ac:dyDescent="0.2">
      <c r="A1563" t="str">
        <f>IF(Sync!$T1559="","",Sync!$T1559)</f>
        <v/>
      </c>
      <c r="B1563" t="str">
        <f t="shared" si="144"/>
        <v/>
      </c>
      <c r="C1563" t="str">
        <f t="shared" si="145"/>
        <v/>
      </c>
      <c r="D1563" t="str">
        <f t="shared" si="146"/>
        <v/>
      </c>
      <c r="E1563" t="str">
        <f t="shared" si="147"/>
        <v/>
      </c>
      <c r="F1563" t="str">
        <f t="shared" si="148"/>
        <v/>
      </c>
      <c r="G1563" t="str">
        <f>IF(OR($E1563="",$E1563="نامعتبر",Sync!$X1559=""),"",IF(AND(LEFT(UPPER(TRIM(Sync!$X1559)),2)="SL",IFERROR(VLOOKUP(Sync!$W1559,OpTbl,3,0),"")="فروش"),UPPER(TRIM(Sync!$X1559)),""))</f>
        <v/>
      </c>
      <c r="H1563" t="str">
        <f>IF($G1563="","",IF(Sync!$W1559="","",Sync!$W1559))</f>
        <v/>
      </c>
      <c r="I1563" t="str">
        <f>IF(OR($G1563="",Sync!$Y1559=""),"",Sync!$Y1559)</f>
        <v/>
      </c>
      <c r="J1563" t="str">
        <f>IF(OR($G1563="",Sync!$Z1559=""),"",Sync!$Z1559)</f>
        <v/>
      </c>
      <c r="K1563">
        <f>IF($G1563="",0,IF(Sync!$AA1559="",0,Sync!$AA1559))</f>
        <v>0</v>
      </c>
      <c r="L1563">
        <f>IF($G1563="",0,IF(Sync!$AB1559="",0,Sync!$AB1559))</f>
        <v>0</v>
      </c>
      <c r="M1563" t="str">
        <f t="shared" si="149"/>
        <v/>
      </c>
      <c r="N1563">
        <f>IF($G1563="",0,IF($H1563="مرجوعی فروش",-1,1)*IF(Sync!$AC1559="",0,Sync!$AC1559))</f>
        <v>0</v>
      </c>
      <c r="O1563" t="str">
        <f>IF(OR($G1563="",Sync!$V1559=""),"",Sync!$V1559)</f>
        <v/>
      </c>
      <c r="P1563" t="str">
        <f>IF(OR($G1563="",Sync!$AD1559=""),"",Sync!$AD1559)</f>
        <v/>
      </c>
      <c r="Q1563" t="str">
        <f>IF($G1563="","",IF(Sync!$U1559="","0000",IF(AND(ISNUMBER(Sync!$U1559),Sync!$U1559&gt;=0,Sync!$U1559&lt;1),RIGHT("00"&amp;HOUR(Sync!$U1559),2)&amp;RIGHT("00"&amp;MINUTE(Sync!$U1559),2),IFERROR(RIGHT("00"&amp;VALUE(LEFT(Sync!$U1559,FIND(":",Sync!$U1559)-1)),2)&amp;RIGHT("00"&amp;VALUE(MID(Sync!$U1559,FIND(":",Sync!$U1559)+1,2)),2),"0000"))))</f>
        <v/>
      </c>
    </row>
    <row r="1564" spans="1:17" x14ac:dyDescent="0.2">
      <c r="A1564" t="str">
        <f>IF(Sync!$T1560="","",Sync!$T1560)</f>
        <v/>
      </c>
      <c r="B1564" t="str">
        <f t="shared" si="144"/>
        <v/>
      </c>
      <c r="C1564" t="str">
        <f t="shared" si="145"/>
        <v/>
      </c>
      <c r="D1564" t="str">
        <f t="shared" si="146"/>
        <v/>
      </c>
      <c r="E1564" t="str">
        <f t="shared" si="147"/>
        <v/>
      </c>
      <c r="F1564" t="str">
        <f t="shared" si="148"/>
        <v/>
      </c>
      <c r="G1564" t="str">
        <f>IF(OR($E1564="",$E1564="نامعتبر",Sync!$X1560=""),"",IF(AND(LEFT(UPPER(TRIM(Sync!$X1560)),2)="SL",IFERROR(VLOOKUP(Sync!$W1560,OpTbl,3,0),"")="فروش"),UPPER(TRIM(Sync!$X1560)),""))</f>
        <v/>
      </c>
      <c r="H1564" t="str">
        <f>IF($G1564="","",IF(Sync!$W1560="","",Sync!$W1560))</f>
        <v/>
      </c>
      <c r="I1564" t="str">
        <f>IF(OR($G1564="",Sync!$Y1560=""),"",Sync!$Y1560)</f>
        <v/>
      </c>
      <c r="J1564" t="str">
        <f>IF(OR($G1564="",Sync!$Z1560=""),"",Sync!$Z1560)</f>
        <v/>
      </c>
      <c r="K1564">
        <f>IF($G1564="",0,IF(Sync!$AA1560="",0,Sync!$AA1560))</f>
        <v>0</v>
      </c>
      <c r="L1564">
        <f>IF($G1564="",0,IF(Sync!$AB1560="",0,Sync!$AB1560))</f>
        <v>0</v>
      </c>
      <c r="M1564" t="str">
        <f t="shared" si="149"/>
        <v/>
      </c>
      <c r="N1564">
        <f>IF($G1564="",0,IF($H1564="مرجوعی فروش",-1,1)*IF(Sync!$AC1560="",0,Sync!$AC1560))</f>
        <v>0</v>
      </c>
      <c r="O1564" t="str">
        <f>IF(OR($G1564="",Sync!$V1560=""),"",Sync!$V1560)</f>
        <v/>
      </c>
      <c r="P1564" t="str">
        <f>IF(OR($G1564="",Sync!$AD1560=""),"",Sync!$AD1560)</f>
        <v/>
      </c>
      <c r="Q1564" t="str">
        <f>IF($G1564="","",IF(Sync!$U1560="","0000",IF(AND(ISNUMBER(Sync!$U1560),Sync!$U1560&gt;=0,Sync!$U1560&lt;1),RIGHT("00"&amp;HOUR(Sync!$U1560),2)&amp;RIGHT("00"&amp;MINUTE(Sync!$U1560),2),IFERROR(RIGHT("00"&amp;VALUE(LEFT(Sync!$U1560,FIND(":",Sync!$U1560)-1)),2)&amp;RIGHT("00"&amp;VALUE(MID(Sync!$U1560,FIND(":",Sync!$U1560)+1,2)),2),"0000"))))</f>
        <v/>
      </c>
    </row>
    <row r="1565" spans="1:17" x14ac:dyDescent="0.2">
      <c r="A1565" t="str">
        <f>IF(Sync!$T1561="","",Sync!$T1561)</f>
        <v/>
      </c>
      <c r="B1565" t="str">
        <f t="shared" si="144"/>
        <v/>
      </c>
      <c r="C1565" t="str">
        <f t="shared" si="145"/>
        <v/>
      </c>
      <c r="D1565" t="str">
        <f t="shared" si="146"/>
        <v/>
      </c>
      <c r="E1565" t="str">
        <f t="shared" si="147"/>
        <v/>
      </c>
      <c r="F1565" t="str">
        <f t="shared" si="148"/>
        <v/>
      </c>
      <c r="G1565" t="str">
        <f>IF(OR($E1565="",$E1565="نامعتبر",Sync!$X1561=""),"",IF(AND(LEFT(UPPER(TRIM(Sync!$X1561)),2)="SL",IFERROR(VLOOKUP(Sync!$W1561,OpTbl,3,0),"")="فروش"),UPPER(TRIM(Sync!$X1561)),""))</f>
        <v/>
      </c>
      <c r="H1565" t="str">
        <f>IF($G1565="","",IF(Sync!$W1561="","",Sync!$W1561))</f>
        <v/>
      </c>
      <c r="I1565" t="str">
        <f>IF(OR($G1565="",Sync!$Y1561=""),"",Sync!$Y1561)</f>
        <v/>
      </c>
      <c r="J1565" t="str">
        <f>IF(OR($G1565="",Sync!$Z1561=""),"",Sync!$Z1561)</f>
        <v/>
      </c>
      <c r="K1565">
        <f>IF($G1565="",0,IF(Sync!$AA1561="",0,Sync!$AA1561))</f>
        <v>0</v>
      </c>
      <c r="L1565">
        <f>IF($G1565="",0,IF(Sync!$AB1561="",0,Sync!$AB1561))</f>
        <v>0</v>
      </c>
      <c r="M1565" t="str">
        <f t="shared" si="149"/>
        <v/>
      </c>
      <c r="N1565">
        <f>IF($G1565="",0,IF($H1565="مرجوعی فروش",-1,1)*IF(Sync!$AC1561="",0,Sync!$AC1561))</f>
        <v>0</v>
      </c>
      <c r="O1565" t="str">
        <f>IF(OR($G1565="",Sync!$V1561=""),"",Sync!$V1561)</f>
        <v/>
      </c>
      <c r="P1565" t="str">
        <f>IF(OR($G1565="",Sync!$AD1561=""),"",Sync!$AD1561)</f>
        <v/>
      </c>
      <c r="Q1565" t="str">
        <f>IF($G1565="","",IF(Sync!$U1561="","0000",IF(AND(ISNUMBER(Sync!$U1561),Sync!$U1561&gt;=0,Sync!$U1561&lt;1),RIGHT("00"&amp;HOUR(Sync!$U1561),2)&amp;RIGHT("00"&amp;MINUTE(Sync!$U1561),2),IFERROR(RIGHT("00"&amp;VALUE(LEFT(Sync!$U1561,FIND(":",Sync!$U1561)-1)),2)&amp;RIGHT("00"&amp;VALUE(MID(Sync!$U1561,FIND(":",Sync!$U1561)+1,2)),2),"0000"))))</f>
        <v/>
      </c>
    </row>
    <row r="1566" spans="1:17" x14ac:dyDescent="0.2">
      <c r="A1566" t="str">
        <f>IF(Sync!$T1562="","",Sync!$T1562)</f>
        <v/>
      </c>
      <c r="B1566" t="str">
        <f t="shared" si="144"/>
        <v/>
      </c>
      <c r="C1566" t="str">
        <f t="shared" si="145"/>
        <v/>
      </c>
      <c r="D1566" t="str">
        <f t="shared" si="146"/>
        <v/>
      </c>
      <c r="E1566" t="str">
        <f t="shared" si="147"/>
        <v/>
      </c>
      <c r="F1566" t="str">
        <f t="shared" si="148"/>
        <v/>
      </c>
      <c r="G1566" t="str">
        <f>IF(OR($E1566="",$E1566="نامعتبر",Sync!$X1562=""),"",IF(AND(LEFT(UPPER(TRIM(Sync!$X1562)),2)="SL",IFERROR(VLOOKUP(Sync!$W1562,OpTbl,3,0),"")="فروش"),UPPER(TRIM(Sync!$X1562)),""))</f>
        <v/>
      </c>
      <c r="H1566" t="str">
        <f>IF($G1566="","",IF(Sync!$W1562="","",Sync!$W1562))</f>
        <v/>
      </c>
      <c r="I1566" t="str">
        <f>IF(OR($G1566="",Sync!$Y1562=""),"",Sync!$Y1562)</f>
        <v/>
      </c>
      <c r="J1566" t="str">
        <f>IF(OR($G1566="",Sync!$Z1562=""),"",Sync!$Z1562)</f>
        <v/>
      </c>
      <c r="K1566">
        <f>IF($G1566="",0,IF(Sync!$AA1562="",0,Sync!$AA1562))</f>
        <v>0</v>
      </c>
      <c r="L1566">
        <f>IF($G1566="",0,IF(Sync!$AB1562="",0,Sync!$AB1562))</f>
        <v>0</v>
      </c>
      <c r="M1566" t="str">
        <f t="shared" si="149"/>
        <v/>
      </c>
      <c r="N1566">
        <f>IF($G1566="",0,IF($H1566="مرجوعی فروش",-1,1)*IF(Sync!$AC1562="",0,Sync!$AC1562))</f>
        <v>0</v>
      </c>
      <c r="O1566" t="str">
        <f>IF(OR($G1566="",Sync!$V1562=""),"",Sync!$V1562)</f>
        <v/>
      </c>
      <c r="P1566" t="str">
        <f>IF(OR($G1566="",Sync!$AD1562=""),"",Sync!$AD1562)</f>
        <v/>
      </c>
      <c r="Q1566" t="str">
        <f>IF($G1566="","",IF(Sync!$U1562="","0000",IF(AND(ISNUMBER(Sync!$U1562),Sync!$U1562&gt;=0,Sync!$U1562&lt;1),RIGHT("00"&amp;HOUR(Sync!$U1562),2)&amp;RIGHT("00"&amp;MINUTE(Sync!$U1562),2),IFERROR(RIGHT("00"&amp;VALUE(LEFT(Sync!$U1562,FIND(":",Sync!$U1562)-1)),2)&amp;RIGHT("00"&amp;VALUE(MID(Sync!$U1562,FIND(":",Sync!$U1562)+1,2)),2),"0000"))))</f>
        <v/>
      </c>
    </row>
    <row r="1567" spans="1:17" x14ac:dyDescent="0.2">
      <c r="A1567" t="str">
        <f>IF(Sync!$T1563="","",Sync!$T1563)</f>
        <v/>
      </c>
      <c r="B1567" t="str">
        <f t="shared" si="144"/>
        <v/>
      </c>
      <c r="C1567" t="str">
        <f t="shared" si="145"/>
        <v/>
      </c>
      <c r="D1567" t="str">
        <f t="shared" si="146"/>
        <v/>
      </c>
      <c r="E1567" t="str">
        <f t="shared" si="147"/>
        <v/>
      </c>
      <c r="F1567" t="str">
        <f t="shared" si="148"/>
        <v/>
      </c>
      <c r="G1567" t="str">
        <f>IF(OR($E1567="",$E1567="نامعتبر",Sync!$X1563=""),"",IF(AND(LEFT(UPPER(TRIM(Sync!$X1563)),2)="SL",IFERROR(VLOOKUP(Sync!$W1563,OpTbl,3,0),"")="فروش"),UPPER(TRIM(Sync!$X1563)),""))</f>
        <v/>
      </c>
      <c r="H1567" t="str">
        <f>IF($G1567="","",IF(Sync!$W1563="","",Sync!$W1563))</f>
        <v/>
      </c>
      <c r="I1567" t="str">
        <f>IF(OR($G1567="",Sync!$Y1563=""),"",Sync!$Y1563)</f>
        <v/>
      </c>
      <c r="J1567" t="str">
        <f>IF(OR($G1567="",Sync!$Z1563=""),"",Sync!$Z1563)</f>
        <v/>
      </c>
      <c r="K1567">
        <f>IF($G1567="",0,IF(Sync!$AA1563="",0,Sync!$AA1563))</f>
        <v>0</v>
      </c>
      <c r="L1567">
        <f>IF($G1567="",0,IF(Sync!$AB1563="",0,Sync!$AB1563))</f>
        <v>0</v>
      </c>
      <c r="M1567" t="str">
        <f t="shared" si="149"/>
        <v/>
      </c>
      <c r="N1567">
        <f>IF($G1567="",0,IF($H1567="مرجوعی فروش",-1,1)*IF(Sync!$AC1563="",0,Sync!$AC1563))</f>
        <v>0</v>
      </c>
      <c r="O1567" t="str">
        <f>IF(OR($G1567="",Sync!$V1563=""),"",Sync!$V1563)</f>
        <v/>
      </c>
      <c r="P1567" t="str">
        <f>IF(OR($G1567="",Sync!$AD1563=""),"",Sync!$AD1563)</f>
        <v/>
      </c>
      <c r="Q1567" t="str">
        <f>IF($G1567="","",IF(Sync!$U1563="","0000",IF(AND(ISNUMBER(Sync!$U1563),Sync!$U1563&gt;=0,Sync!$U1563&lt;1),RIGHT("00"&amp;HOUR(Sync!$U1563),2)&amp;RIGHT("00"&amp;MINUTE(Sync!$U1563),2),IFERROR(RIGHT("00"&amp;VALUE(LEFT(Sync!$U1563,FIND(":",Sync!$U1563)-1)),2)&amp;RIGHT("00"&amp;VALUE(MID(Sync!$U1563,FIND(":",Sync!$U1563)+1,2)),2),"0000"))))</f>
        <v/>
      </c>
    </row>
    <row r="1568" spans="1:17" x14ac:dyDescent="0.2">
      <c r="A1568" t="str">
        <f>IF(Sync!$T1564="","",Sync!$T1564)</f>
        <v/>
      </c>
      <c r="B1568" t="str">
        <f t="shared" si="144"/>
        <v/>
      </c>
      <c r="C1568" t="str">
        <f t="shared" si="145"/>
        <v/>
      </c>
      <c r="D1568" t="str">
        <f t="shared" si="146"/>
        <v/>
      </c>
      <c r="E1568" t="str">
        <f t="shared" si="147"/>
        <v/>
      </c>
      <c r="F1568" t="str">
        <f t="shared" si="148"/>
        <v/>
      </c>
      <c r="G1568" t="str">
        <f>IF(OR($E1568="",$E1568="نامعتبر",Sync!$X1564=""),"",IF(AND(LEFT(UPPER(TRIM(Sync!$X1564)),2)="SL",IFERROR(VLOOKUP(Sync!$W1564,OpTbl,3,0),"")="فروش"),UPPER(TRIM(Sync!$X1564)),""))</f>
        <v/>
      </c>
      <c r="H1568" t="str">
        <f>IF($G1568="","",IF(Sync!$W1564="","",Sync!$W1564))</f>
        <v/>
      </c>
      <c r="I1568" t="str">
        <f>IF(OR($G1568="",Sync!$Y1564=""),"",Sync!$Y1564)</f>
        <v/>
      </c>
      <c r="J1568" t="str">
        <f>IF(OR($G1568="",Sync!$Z1564=""),"",Sync!$Z1564)</f>
        <v/>
      </c>
      <c r="K1568">
        <f>IF($G1568="",0,IF(Sync!$AA1564="",0,Sync!$AA1564))</f>
        <v>0</v>
      </c>
      <c r="L1568">
        <f>IF($G1568="",0,IF(Sync!$AB1564="",0,Sync!$AB1564))</f>
        <v>0</v>
      </c>
      <c r="M1568" t="str">
        <f t="shared" si="149"/>
        <v/>
      </c>
      <c r="N1568">
        <f>IF($G1568="",0,IF($H1568="مرجوعی فروش",-1,1)*IF(Sync!$AC1564="",0,Sync!$AC1564))</f>
        <v>0</v>
      </c>
      <c r="O1568" t="str">
        <f>IF(OR($G1568="",Sync!$V1564=""),"",Sync!$V1564)</f>
        <v/>
      </c>
      <c r="P1568" t="str">
        <f>IF(OR($G1568="",Sync!$AD1564=""),"",Sync!$AD1564)</f>
        <v/>
      </c>
      <c r="Q1568" t="str">
        <f>IF($G1568="","",IF(Sync!$U1564="","0000",IF(AND(ISNUMBER(Sync!$U1564),Sync!$U1564&gt;=0,Sync!$U1564&lt;1),RIGHT("00"&amp;HOUR(Sync!$U1564),2)&amp;RIGHT("00"&amp;MINUTE(Sync!$U1564),2),IFERROR(RIGHT("00"&amp;VALUE(LEFT(Sync!$U1564,FIND(":",Sync!$U1564)-1)),2)&amp;RIGHT("00"&amp;VALUE(MID(Sync!$U1564,FIND(":",Sync!$U1564)+1,2)),2),"0000"))))</f>
        <v/>
      </c>
    </row>
    <row r="1569" spans="1:17" x14ac:dyDescent="0.2">
      <c r="A1569" t="str">
        <f>IF(Sync!$T1565="","",Sync!$T1565)</f>
        <v/>
      </c>
      <c r="B1569" t="str">
        <f t="shared" si="144"/>
        <v/>
      </c>
      <c r="C1569" t="str">
        <f t="shared" si="145"/>
        <v/>
      </c>
      <c r="D1569" t="str">
        <f t="shared" si="146"/>
        <v/>
      </c>
      <c r="E1569" t="str">
        <f t="shared" si="147"/>
        <v/>
      </c>
      <c r="F1569" t="str">
        <f t="shared" si="148"/>
        <v/>
      </c>
      <c r="G1569" t="str">
        <f>IF(OR($E1569="",$E1569="نامعتبر",Sync!$X1565=""),"",IF(AND(LEFT(UPPER(TRIM(Sync!$X1565)),2)="SL",IFERROR(VLOOKUP(Sync!$W1565,OpTbl,3,0),"")="فروش"),UPPER(TRIM(Sync!$X1565)),""))</f>
        <v/>
      </c>
      <c r="H1569" t="str">
        <f>IF($G1569="","",IF(Sync!$W1565="","",Sync!$W1565))</f>
        <v/>
      </c>
      <c r="I1569" t="str">
        <f>IF(OR($G1569="",Sync!$Y1565=""),"",Sync!$Y1565)</f>
        <v/>
      </c>
      <c r="J1569" t="str">
        <f>IF(OR($G1569="",Sync!$Z1565=""),"",Sync!$Z1565)</f>
        <v/>
      </c>
      <c r="K1569">
        <f>IF($G1569="",0,IF(Sync!$AA1565="",0,Sync!$AA1565))</f>
        <v>0</v>
      </c>
      <c r="L1569">
        <f>IF($G1569="",0,IF(Sync!$AB1565="",0,Sync!$AB1565))</f>
        <v>0</v>
      </c>
      <c r="M1569" t="str">
        <f t="shared" si="149"/>
        <v/>
      </c>
      <c r="N1569">
        <f>IF($G1569="",0,IF($H1569="مرجوعی فروش",-1,1)*IF(Sync!$AC1565="",0,Sync!$AC1565))</f>
        <v>0</v>
      </c>
      <c r="O1569" t="str">
        <f>IF(OR($G1569="",Sync!$V1565=""),"",Sync!$V1565)</f>
        <v/>
      </c>
      <c r="P1569" t="str">
        <f>IF(OR($G1569="",Sync!$AD1565=""),"",Sync!$AD1565)</f>
        <v/>
      </c>
      <c r="Q1569" t="str">
        <f>IF($G1569="","",IF(Sync!$U1565="","0000",IF(AND(ISNUMBER(Sync!$U1565),Sync!$U1565&gt;=0,Sync!$U1565&lt;1),RIGHT("00"&amp;HOUR(Sync!$U1565),2)&amp;RIGHT("00"&amp;MINUTE(Sync!$U1565),2),IFERROR(RIGHT("00"&amp;VALUE(LEFT(Sync!$U1565,FIND(":",Sync!$U1565)-1)),2)&amp;RIGHT("00"&amp;VALUE(MID(Sync!$U1565,FIND(":",Sync!$U1565)+1,2)),2),"0000"))))</f>
        <v/>
      </c>
    </row>
    <row r="1570" spans="1:17" x14ac:dyDescent="0.2">
      <c r="A1570" t="str">
        <f>IF(Sync!$T1566="","",Sync!$T1566)</f>
        <v/>
      </c>
      <c r="B1570" t="str">
        <f t="shared" si="144"/>
        <v/>
      </c>
      <c r="C1570" t="str">
        <f t="shared" si="145"/>
        <v/>
      </c>
      <c r="D1570" t="str">
        <f t="shared" si="146"/>
        <v/>
      </c>
      <c r="E1570" t="str">
        <f t="shared" si="147"/>
        <v/>
      </c>
      <c r="F1570" t="str">
        <f t="shared" si="148"/>
        <v/>
      </c>
      <c r="G1570" t="str">
        <f>IF(OR($E1570="",$E1570="نامعتبر",Sync!$X1566=""),"",IF(AND(LEFT(UPPER(TRIM(Sync!$X1566)),2)="SL",IFERROR(VLOOKUP(Sync!$W1566,OpTbl,3,0),"")="فروش"),UPPER(TRIM(Sync!$X1566)),""))</f>
        <v/>
      </c>
      <c r="H1570" t="str">
        <f>IF($G1570="","",IF(Sync!$W1566="","",Sync!$W1566))</f>
        <v/>
      </c>
      <c r="I1570" t="str">
        <f>IF(OR($G1570="",Sync!$Y1566=""),"",Sync!$Y1566)</f>
        <v/>
      </c>
      <c r="J1570" t="str">
        <f>IF(OR($G1570="",Sync!$Z1566=""),"",Sync!$Z1566)</f>
        <v/>
      </c>
      <c r="K1570">
        <f>IF($G1570="",0,IF(Sync!$AA1566="",0,Sync!$AA1566))</f>
        <v>0</v>
      </c>
      <c r="L1570">
        <f>IF($G1570="",0,IF(Sync!$AB1566="",0,Sync!$AB1566))</f>
        <v>0</v>
      </c>
      <c r="M1570" t="str">
        <f t="shared" si="149"/>
        <v/>
      </c>
      <c r="N1570">
        <f>IF($G1570="",0,IF($H1570="مرجوعی فروش",-1,1)*IF(Sync!$AC1566="",0,Sync!$AC1566))</f>
        <v>0</v>
      </c>
      <c r="O1570" t="str">
        <f>IF(OR($G1570="",Sync!$V1566=""),"",Sync!$V1566)</f>
        <v/>
      </c>
      <c r="P1570" t="str">
        <f>IF(OR($G1570="",Sync!$AD1566=""),"",Sync!$AD1566)</f>
        <v/>
      </c>
      <c r="Q1570" t="str">
        <f>IF($G1570="","",IF(Sync!$U1566="","0000",IF(AND(ISNUMBER(Sync!$U1566),Sync!$U1566&gt;=0,Sync!$U1566&lt;1),RIGHT("00"&amp;HOUR(Sync!$U1566),2)&amp;RIGHT("00"&amp;MINUTE(Sync!$U1566),2),IFERROR(RIGHT("00"&amp;VALUE(LEFT(Sync!$U1566,FIND(":",Sync!$U1566)-1)),2)&amp;RIGHT("00"&amp;VALUE(MID(Sync!$U1566,FIND(":",Sync!$U1566)+1,2)),2),"0000"))))</f>
        <v/>
      </c>
    </row>
    <row r="1571" spans="1:17" x14ac:dyDescent="0.2">
      <c r="A1571" t="str">
        <f>IF(Sync!$T1567="","",Sync!$T1567)</f>
        <v/>
      </c>
      <c r="B1571" t="str">
        <f t="shared" si="144"/>
        <v/>
      </c>
      <c r="C1571" t="str">
        <f t="shared" si="145"/>
        <v/>
      </c>
      <c r="D1571" t="str">
        <f t="shared" si="146"/>
        <v/>
      </c>
      <c r="E1571" t="str">
        <f t="shared" si="147"/>
        <v/>
      </c>
      <c r="F1571" t="str">
        <f t="shared" si="148"/>
        <v/>
      </c>
      <c r="G1571" t="str">
        <f>IF(OR($E1571="",$E1571="نامعتبر",Sync!$X1567=""),"",IF(AND(LEFT(UPPER(TRIM(Sync!$X1567)),2)="SL",IFERROR(VLOOKUP(Sync!$W1567,OpTbl,3,0),"")="فروش"),UPPER(TRIM(Sync!$X1567)),""))</f>
        <v/>
      </c>
      <c r="H1571" t="str">
        <f>IF($G1571="","",IF(Sync!$W1567="","",Sync!$W1567))</f>
        <v/>
      </c>
      <c r="I1571" t="str">
        <f>IF(OR($G1571="",Sync!$Y1567=""),"",Sync!$Y1567)</f>
        <v/>
      </c>
      <c r="J1571" t="str">
        <f>IF(OR($G1571="",Sync!$Z1567=""),"",Sync!$Z1567)</f>
        <v/>
      </c>
      <c r="K1571">
        <f>IF($G1571="",0,IF(Sync!$AA1567="",0,Sync!$AA1567))</f>
        <v>0</v>
      </c>
      <c r="L1571">
        <f>IF($G1571="",0,IF(Sync!$AB1567="",0,Sync!$AB1567))</f>
        <v>0</v>
      </c>
      <c r="M1571" t="str">
        <f t="shared" si="149"/>
        <v/>
      </c>
      <c r="N1571">
        <f>IF($G1571="",0,IF($H1571="مرجوعی فروش",-1,1)*IF(Sync!$AC1567="",0,Sync!$AC1567))</f>
        <v>0</v>
      </c>
      <c r="O1571" t="str">
        <f>IF(OR($G1571="",Sync!$V1567=""),"",Sync!$V1567)</f>
        <v/>
      </c>
      <c r="P1571" t="str">
        <f>IF(OR($G1571="",Sync!$AD1567=""),"",Sync!$AD1567)</f>
        <v/>
      </c>
      <c r="Q1571" t="str">
        <f>IF($G1571="","",IF(Sync!$U1567="","0000",IF(AND(ISNUMBER(Sync!$U1567),Sync!$U1567&gt;=0,Sync!$U1567&lt;1),RIGHT("00"&amp;HOUR(Sync!$U1567),2)&amp;RIGHT("00"&amp;MINUTE(Sync!$U1567),2),IFERROR(RIGHT("00"&amp;VALUE(LEFT(Sync!$U1567,FIND(":",Sync!$U1567)-1)),2)&amp;RIGHT("00"&amp;VALUE(MID(Sync!$U1567,FIND(":",Sync!$U1567)+1,2)),2),"0000"))))</f>
        <v/>
      </c>
    </row>
    <row r="1572" spans="1:17" x14ac:dyDescent="0.2">
      <c r="A1572" t="str">
        <f>IF(Sync!$T1568="","",Sync!$T1568)</f>
        <v/>
      </c>
      <c r="B1572" t="str">
        <f t="shared" si="144"/>
        <v/>
      </c>
      <c r="C1572" t="str">
        <f t="shared" si="145"/>
        <v/>
      </c>
      <c r="D1572" t="str">
        <f t="shared" si="146"/>
        <v/>
      </c>
      <c r="E1572" t="str">
        <f t="shared" si="147"/>
        <v/>
      </c>
      <c r="F1572" t="str">
        <f t="shared" si="148"/>
        <v/>
      </c>
      <c r="G1572" t="str">
        <f>IF(OR($E1572="",$E1572="نامعتبر",Sync!$X1568=""),"",IF(AND(LEFT(UPPER(TRIM(Sync!$X1568)),2)="SL",IFERROR(VLOOKUP(Sync!$W1568,OpTbl,3,0),"")="فروش"),UPPER(TRIM(Sync!$X1568)),""))</f>
        <v/>
      </c>
      <c r="H1572" t="str">
        <f>IF($G1572="","",IF(Sync!$W1568="","",Sync!$W1568))</f>
        <v/>
      </c>
      <c r="I1572" t="str">
        <f>IF(OR($G1572="",Sync!$Y1568=""),"",Sync!$Y1568)</f>
        <v/>
      </c>
      <c r="J1572" t="str">
        <f>IF(OR($G1572="",Sync!$Z1568=""),"",Sync!$Z1568)</f>
        <v/>
      </c>
      <c r="K1572">
        <f>IF($G1572="",0,IF(Sync!$AA1568="",0,Sync!$AA1568))</f>
        <v>0</v>
      </c>
      <c r="L1572">
        <f>IF($G1572="",0,IF(Sync!$AB1568="",0,Sync!$AB1568))</f>
        <v>0</v>
      </c>
      <c r="M1572" t="str">
        <f t="shared" si="149"/>
        <v/>
      </c>
      <c r="N1572">
        <f>IF($G1572="",0,IF($H1572="مرجوعی فروش",-1,1)*IF(Sync!$AC1568="",0,Sync!$AC1568))</f>
        <v>0</v>
      </c>
      <c r="O1572" t="str">
        <f>IF(OR($G1572="",Sync!$V1568=""),"",Sync!$V1568)</f>
        <v/>
      </c>
      <c r="P1572" t="str">
        <f>IF(OR($G1572="",Sync!$AD1568=""),"",Sync!$AD1568)</f>
        <v/>
      </c>
      <c r="Q1572" t="str">
        <f>IF($G1572="","",IF(Sync!$U1568="","0000",IF(AND(ISNUMBER(Sync!$U1568),Sync!$U1568&gt;=0,Sync!$U1568&lt;1),RIGHT("00"&amp;HOUR(Sync!$U1568),2)&amp;RIGHT("00"&amp;MINUTE(Sync!$U1568),2),IFERROR(RIGHT("00"&amp;VALUE(LEFT(Sync!$U1568,FIND(":",Sync!$U1568)-1)),2)&amp;RIGHT("00"&amp;VALUE(MID(Sync!$U1568,FIND(":",Sync!$U1568)+1,2)),2),"0000"))))</f>
        <v/>
      </c>
    </row>
    <row r="1573" spans="1:17" x14ac:dyDescent="0.2">
      <c r="A1573" t="str">
        <f>IF(Sync!$T1569="","",Sync!$T1569)</f>
        <v/>
      </c>
      <c r="B1573" t="str">
        <f t="shared" si="144"/>
        <v/>
      </c>
      <c r="C1573" t="str">
        <f t="shared" si="145"/>
        <v/>
      </c>
      <c r="D1573" t="str">
        <f t="shared" si="146"/>
        <v/>
      </c>
      <c r="E1573" t="str">
        <f t="shared" si="147"/>
        <v/>
      </c>
      <c r="F1573" t="str">
        <f t="shared" si="148"/>
        <v/>
      </c>
      <c r="G1573" t="str">
        <f>IF(OR($E1573="",$E1573="نامعتبر",Sync!$X1569=""),"",IF(AND(LEFT(UPPER(TRIM(Sync!$X1569)),2)="SL",IFERROR(VLOOKUP(Sync!$W1569,OpTbl,3,0),"")="فروش"),UPPER(TRIM(Sync!$X1569)),""))</f>
        <v/>
      </c>
      <c r="H1573" t="str">
        <f>IF($G1573="","",IF(Sync!$W1569="","",Sync!$W1569))</f>
        <v/>
      </c>
      <c r="I1573" t="str">
        <f>IF(OR($G1573="",Sync!$Y1569=""),"",Sync!$Y1569)</f>
        <v/>
      </c>
      <c r="J1573" t="str">
        <f>IF(OR($G1573="",Sync!$Z1569=""),"",Sync!$Z1569)</f>
        <v/>
      </c>
      <c r="K1573">
        <f>IF($G1573="",0,IF(Sync!$AA1569="",0,Sync!$AA1569))</f>
        <v>0</v>
      </c>
      <c r="L1573">
        <f>IF($G1573="",0,IF(Sync!$AB1569="",0,Sync!$AB1569))</f>
        <v>0</v>
      </c>
      <c r="M1573" t="str">
        <f t="shared" si="149"/>
        <v/>
      </c>
      <c r="N1573">
        <f>IF($G1573="",0,IF($H1573="مرجوعی فروش",-1,1)*IF(Sync!$AC1569="",0,Sync!$AC1569))</f>
        <v>0</v>
      </c>
      <c r="O1573" t="str">
        <f>IF(OR($G1573="",Sync!$V1569=""),"",Sync!$V1569)</f>
        <v/>
      </c>
      <c r="P1573" t="str">
        <f>IF(OR($G1573="",Sync!$AD1569=""),"",Sync!$AD1569)</f>
        <v/>
      </c>
      <c r="Q1573" t="str">
        <f>IF($G1573="","",IF(Sync!$U1569="","0000",IF(AND(ISNUMBER(Sync!$U1569),Sync!$U1569&gt;=0,Sync!$U1569&lt;1),RIGHT("00"&amp;HOUR(Sync!$U1569),2)&amp;RIGHT("00"&amp;MINUTE(Sync!$U1569),2),IFERROR(RIGHT("00"&amp;VALUE(LEFT(Sync!$U1569,FIND(":",Sync!$U1569)-1)),2)&amp;RIGHT("00"&amp;VALUE(MID(Sync!$U1569,FIND(":",Sync!$U1569)+1,2)),2),"0000"))))</f>
        <v/>
      </c>
    </row>
    <row r="1574" spans="1:17" x14ac:dyDescent="0.2">
      <c r="A1574" t="str">
        <f>IF(Sync!$T1570="","",Sync!$T1570)</f>
        <v/>
      </c>
      <c r="B1574" t="str">
        <f t="shared" si="144"/>
        <v/>
      </c>
      <c r="C1574" t="str">
        <f t="shared" si="145"/>
        <v/>
      </c>
      <c r="D1574" t="str">
        <f t="shared" si="146"/>
        <v/>
      </c>
      <c r="E1574" t="str">
        <f t="shared" si="147"/>
        <v/>
      </c>
      <c r="F1574" t="str">
        <f t="shared" si="148"/>
        <v/>
      </c>
      <c r="G1574" t="str">
        <f>IF(OR($E1574="",$E1574="نامعتبر",Sync!$X1570=""),"",IF(AND(LEFT(UPPER(TRIM(Sync!$X1570)),2)="SL",IFERROR(VLOOKUP(Sync!$W1570,OpTbl,3,0),"")="فروش"),UPPER(TRIM(Sync!$X1570)),""))</f>
        <v/>
      </c>
      <c r="H1574" t="str">
        <f>IF($G1574="","",IF(Sync!$W1570="","",Sync!$W1570))</f>
        <v/>
      </c>
      <c r="I1574" t="str">
        <f>IF(OR($G1574="",Sync!$Y1570=""),"",Sync!$Y1570)</f>
        <v/>
      </c>
      <c r="J1574" t="str">
        <f>IF(OR($G1574="",Sync!$Z1570=""),"",Sync!$Z1570)</f>
        <v/>
      </c>
      <c r="K1574">
        <f>IF($G1574="",0,IF(Sync!$AA1570="",0,Sync!$AA1570))</f>
        <v>0</v>
      </c>
      <c r="L1574">
        <f>IF($G1574="",0,IF(Sync!$AB1570="",0,Sync!$AB1570))</f>
        <v>0</v>
      </c>
      <c r="M1574" t="str">
        <f t="shared" si="149"/>
        <v/>
      </c>
      <c r="N1574">
        <f>IF($G1574="",0,IF($H1574="مرجوعی فروش",-1,1)*IF(Sync!$AC1570="",0,Sync!$AC1570))</f>
        <v>0</v>
      </c>
      <c r="O1574" t="str">
        <f>IF(OR($G1574="",Sync!$V1570=""),"",Sync!$V1570)</f>
        <v/>
      </c>
      <c r="P1574" t="str">
        <f>IF(OR($G1574="",Sync!$AD1570=""),"",Sync!$AD1570)</f>
        <v/>
      </c>
      <c r="Q1574" t="str">
        <f>IF($G1574="","",IF(Sync!$U1570="","0000",IF(AND(ISNUMBER(Sync!$U1570),Sync!$U1570&gt;=0,Sync!$U1570&lt;1),RIGHT("00"&amp;HOUR(Sync!$U1570),2)&amp;RIGHT("00"&amp;MINUTE(Sync!$U1570),2),IFERROR(RIGHT("00"&amp;VALUE(LEFT(Sync!$U1570,FIND(":",Sync!$U1570)-1)),2)&amp;RIGHT("00"&amp;VALUE(MID(Sync!$U1570,FIND(":",Sync!$U1570)+1,2)),2),"0000"))))</f>
        <v/>
      </c>
    </row>
    <row r="1575" spans="1:17" x14ac:dyDescent="0.2">
      <c r="A1575" t="str">
        <f>IF(Sync!$T1571="","",Sync!$T1571)</f>
        <v/>
      </c>
      <c r="B1575" t="str">
        <f t="shared" si="144"/>
        <v/>
      </c>
      <c r="C1575" t="str">
        <f t="shared" si="145"/>
        <v/>
      </c>
      <c r="D1575" t="str">
        <f t="shared" si="146"/>
        <v/>
      </c>
      <c r="E1575" t="str">
        <f t="shared" si="147"/>
        <v/>
      </c>
      <c r="F1575" t="str">
        <f t="shared" si="148"/>
        <v/>
      </c>
      <c r="G1575" t="str">
        <f>IF(OR($E1575="",$E1575="نامعتبر",Sync!$X1571=""),"",IF(AND(LEFT(UPPER(TRIM(Sync!$X1571)),2)="SL",IFERROR(VLOOKUP(Sync!$W1571,OpTbl,3,0),"")="فروش"),UPPER(TRIM(Sync!$X1571)),""))</f>
        <v/>
      </c>
      <c r="H1575" t="str">
        <f>IF($G1575="","",IF(Sync!$W1571="","",Sync!$W1571))</f>
        <v/>
      </c>
      <c r="I1575" t="str">
        <f>IF(OR($G1575="",Sync!$Y1571=""),"",Sync!$Y1571)</f>
        <v/>
      </c>
      <c r="J1575" t="str">
        <f>IF(OR($G1575="",Sync!$Z1571=""),"",Sync!$Z1571)</f>
        <v/>
      </c>
      <c r="K1575">
        <f>IF($G1575="",0,IF(Sync!$AA1571="",0,Sync!$AA1571))</f>
        <v>0</v>
      </c>
      <c r="L1575">
        <f>IF($G1575="",0,IF(Sync!$AB1571="",0,Sync!$AB1571))</f>
        <v>0</v>
      </c>
      <c r="M1575" t="str">
        <f t="shared" si="149"/>
        <v/>
      </c>
      <c r="N1575">
        <f>IF($G1575="",0,IF($H1575="مرجوعی فروش",-1,1)*IF(Sync!$AC1571="",0,Sync!$AC1571))</f>
        <v>0</v>
      </c>
      <c r="O1575" t="str">
        <f>IF(OR($G1575="",Sync!$V1571=""),"",Sync!$V1571)</f>
        <v/>
      </c>
      <c r="P1575" t="str">
        <f>IF(OR($G1575="",Sync!$AD1571=""),"",Sync!$AD1571)</f>
        <v/>
      </c>
      <c r="Q1575" t="str">
        <f>IF($G1575="","",IF(Sync!$U1571="","0000",IF(AND(ISNUMBER(Sync!$U1571),Sync!$U1571&gt;=0,Sync!$U1571&lt;1),RIGHT("00"&amp;HOUR(Sync!$U1571),2)&amp;RIGHT("00"&amp;MINUTE(Sync!$U1571),2),IFERROR(RIGHT("00"&amp;VALUE(LEFT(Sync!$U1571,FIND(":",Sync!$U1571)-1)),2)&amp;RIGHT("00"&amp;VALUE(MID(Sync!$U1571,FIND(":",Sync!$U1571)+1,2)),2),"0000"))))</f>
        <v/>
      </c>
    </row>
    <row r="1576" spans="1:17" x14ac:dyDescent="0.2">
      <c r="A1576" t="str">
        <f>IF(Sync!$T1572="","",Sync!$T1572)</f>
        <v/>
      </c>
      <c r="B1576" t="str">
        <f t="shared" si="144"/>
        <v/>
      </c>
      <c r="C1576" t="str">
        <f t="shared" si="145"/>
        <v/>
      </c>
      <c r="D1576" t="str">
        <f t="shared" si="146"/>
        <v/>
      </c>
      <c r="E1576" t="str">
        <f t="shared" si="147"/>
        <v/>
      </c>
      <c r="F1576" t="str">
        <f t="shared" si="148"/>
        <v/>
      </c>
      <c r="G1576" t="str">
        <f>IF(OR($E1576="",$E1576="نامعتبر",Sync!$X1572=""),"",IF(AND(LEFT(UPPER(TRIM(Sync!$X1572)),2)="SL",IFERROR(VLOOKUP(Sync!$W1572,OpTbl,3,0),"")="فروش"),UPPER(TRIM(Sync!$X1572)),""))</f>
        <v/>
      </c>
      <c r="H1576" t="str">
        <f>IF($G1576="","",IF(Sync!$W1572="","",Sync!$W1572))</f>
        <v/>
      </c>
      <c r="I1576" t="str">
        <f>IF(OR($G1576="",Sync!$Y1572=""),"",Sync!$Y1572)</f>
        <v/>
      </c>
      <c r="J1576" t="str">
        <f>IF(OR($G1576="",Sync!$Z1572=""),"",Sync!$Z1572)</f>
        <v/>
      </c>
      <c r="K1576">
        <f>IF($G1576="",0,IF(Sync!$AA1572="",0,Sync!$AA1572))</f>
        <v>0</v>
      </c>
      <c r="L1576">
        <f>IF($G1576="",0,IF(Sync!$AB1572="",0,Sync!$AB1572))</f>
        <v>0</v>
      </c>
      <c r="M1576" t="str">
        <f t="shared" si="149"/>
        <v/>
      </c>
      <c r="N1576">
        <f>IF($G1576="",0,IF($H1576="مرجوعی فروش",-1,1)*IF(Sync!$AC1572="",0,Sync!$AC1572))</f>
        <v>0</v>
      </c>
      <c r="O1576" t="str">
        <f>IF(OR($G1576="",Sync!$V1572=""),"",Sync!$V1572)</f>
        <v/>
      </c>
      <c r="P1576" t="str">
        <f>IF(OR($G1576="",Sync!$AD1572=""),"",Sync!$AD1572)</f>
        <v/>
      </c>
      <c r="Q1576" t="str">
        <f>IF($G1576="","",IF(Sync!$U1572="","0000",IF(AND(ISNUMBER(Sync!$U1572),Sync!$U1572&gt;=0,Sync!$U1572&lt;1),RIGHT("00"&amp;HOUR(Sync!$U1572),2)&amp;RIGHT("00"&amp;MINUTE(Sync!$U1572),2),IFERROR(RIGHT("00"&amp;VALUE(LEFT(Sync!$U1572,FIND(":",Sync!$U1572)-1)),2)&amp;RIGHT("00"&amp;VALUE(MID(Sync!$U1572,FIND(":",Sync!$U1572)+1,2)),2),"0000"))))</f>
        <v/>
      </c>
    </row>
    <row r="1577" spans="1:17" x14ac:dyDescent="0.2">
      <c r="A1577" t="str">
        <f>IF(Sync!$T1573="","",Sync!$T1573)</f>
        <v/>
      </c>
      <c r="B1577" t="str">
        <f t="shared" si="144"/>
        <v/>
      </c>
      <c r="C1577" t="str">
        <f t="shared" si="145"/>
        <v/>
      </c>
      <c r="D1577" t="str">
        <f t="shared" si="146"/>
        <v/>
      </c>
      <c r="E1577" t="str">
        <f t="shared" si="147"/>
        <v/>
      </c>
      <c r="F1577" t="str">
        <f t="shared" si="148"/>
        <v/>
      </c>
      <c r="G1577" t="str">
        <f>IF(OR($E1577="",$E1577="نامعتبر",Sync!$X1573=""),"",IF(AND(LEFT(UPPER(TRIM(Sync!$X1573)),2)="SL",IFERROR(VLOOKUP(Sync!$W1573,OpTbl,3,0),"")="فروش"),UPPER(TRIM(Sync!$X1573)),""))</f>
        <v/>
      </c>
      <c r="H1577" t="str">
        <f>IF($G1577="","",IF(Sync!$W1573="","",Sync!$W1573))</f>
        <v/>
      </c>
      <c r="I1577" t="str">
        <f>IF(OR($G1577="",Sync!$Y1573=""),"",Sync!$Y1573)</f>
        <v/>
      </c>
      <c r="J1577" t="str">
        <f>IF(OR($G1577="",Sync!$Z1573=""),"",Sync!$Z1573)</f>
        <v/>
      </c>
      <c r="K1577">
        <f>IF($G1577="",0,IF(Sync!$AA1573="",0,Sync!$AA1573))</f>
        <v>0</v>
      </c>
      <c r="L1577">
        <f>IF($G1577="",0,IF(Sync!$AB1573="",0,Sync!$AB1573))</f>
        <v>0</v>
      </c>
      <c r="M1577" t="str">
        <f t="shared" si="149"/>
        <v/>
      </c>
      <c r="N1577">
        <f>IF($G1577="",0,IF($H1577="مرجوعی فروش",-1,1)*IF(Sync!$AC1573="",0,Sync!$AC1573))</f>
        <v>0</v>
      </c>
      <c r="O1577" t="str">
        <f>IF(OR($G1577="",Sync!$V1573=""),"",Sync!$V1573)</f>
        <v/>
      </c>
      <c r="P1577" t="str">
        <f>IF(OR($G1577="",Sync!$AD1573=""),"",Sync!$AD1573)</f>
        <v/>
      </c>
      <c r="Q1577" t="str">
        <f>IF($G1577="","",IF(Sync!$U1573="","0000",IF(AND(ISNUMBER(Sync!$U1573),Sync!$U1573&gt;=0,Sync!$U1573&lt;1),RIGHT("00"&amp;HOUR(Sync!$U1573),2)&amp;RIGHT("00"&amp;MINUTE(Sync!$U1573),2),IFERROR(RIGHT("00"&amp;VALUE(LEFT(Sync!$U1573,FIND(":",Sync!$U1573)-1)),2)&amp;RIGHT("00"&amp;VALUE(MID(Sync!$U1573,FIND(":",Sync!$U1573)+1,2)),2),"0000"))))</f>
        <v/>
      </c>
    </row>
    <row r="1578" spans="1:17" x14ac:dyDescent="0.2">
      <c r="A1578" t="str">
        <f>IF(Sync!$T1574="","",Sync!$T1574)</f>
        <v/>
      </c>
      <c r="B1578" t="str">
        <f t="shared" si="144"/>
        <v/>
      </c>
      <c r="C1578" t="str">
        <f t="shared" si="145"/>
        <v/>
      </c>
      <c r="D1578" t="str">
        <f t="shared" si="146"/>
        <v/>
      </c>
      <c r="E1578" t="str">
        <f t="shared" si="147"/>
        <v/>
      </c>
      <c r="F1578" t="str">
        <f t="shared" si="148"/>
        <v/>
      </c>
      <c r="G1578" t="str">
        <f>IF(OR($E1578="",$E1578="نامعتبر",Sync!$X1574=""),"",IF(AND(LEFT(UPPER(TRIM(Sync!$X1574)),2)="SL",IFERROR(VLOOKUP(Sync!$W1574,OpTbl,3,0),"")="فروش"),UPPER(TRIM(Sync!$X1574)),""))</f>
        <v/>
      </c>
      <c r="H1578" t="str">
        <f>IF($G1578="","",IF(Sync!$W1574="","",Sync!$W1574))</f>
        <v/>
      </c>
      <c r="I1578" t="str">
        <f>IF(OR($G1578="",Sync!$Y1574=""),"",Sync!$Y1574)</f>
        <v/>
      </c>
      <c r="J1578" t="str">
        <f>IF(OR($G1578="",Sync!$Z1574=""),"",Sync!$Z1574)</f>
        <v/>
      </c>
      <c r="K1578">
        <f>IF($G1578="",0,IF(Sync!$AA1574="",0,Sync!$AA1574))</f>
        <v>0</v>
      </c>
      <c r="L1578">
        <f>IF($G1578="",0,IF(Sync!$AB1574="",0,Sync!$AB1574))</f>
        <v>0</v>
      </c>
      <c r="M1578" t="str">
        <f t="shared" si="149"/>
        <v/>
      </c>
      <c r="N1578">
        <f>IF($G1578="",0,IF($H1578="مرجوعی فروش",-1,1)*IF(Sync!$AC1574="",0,Sync!$AC1574))</f>
        <v>0</v>
      </c>
      <c r="O1578" t="str">
        <f>IF(OR($G1578="",Sync!$V1574=""),"",Sync!$V1574)</f>
        <v/>
      </c>
      <c r="P1578" t="str">
        <f>IF(OR($G1578="",Sync!$AD1574=""),"",Sync!$AD1574)</f>
        <v/>
      </c>
      <c r="Q1578" t="str">
        <f>IF($G1578="","",IF(Sync!$U1574="","0000",IF(AND(ISNUMBER(Sync!$U1574),Sync!$U1574&gt;=0,Sync!$U1574&lt;1),RIGHT("00"&amp;HOUR(Sync!$U1574),2)&amp;RIGHT("00"&amp;MINUTE(Sync!$U1574),2),IFERROR(RIGHT("00"&amp;VALUE(LEFT(Sync!$U1574,FIND(":",Sync!$U1574)-1)),2)&amp;RIGHT("00"&amp;VALUE(MID(Sync!$U1574,FIND(":",Sync!$U1574)+1,2)),2),"0000"))))</f>
        <v/>
      </c>
    </row>
    <row r="1579" spans="1:17" x14ac:dyDescent="0.2">
      <c r="A1579" t="str">
        <f>IF(Sync!$T1575="","",Sync!$T1575)</f>
        <v/>
      </c>
      <c r="B1579" t="str">
        <f t="shared" si="144"/>
        <v/>
      </c>
      <c r="C1579" t="str">
        <f t="shared" si="145"/>
        <v/>
      </c>
      <c r="D1579" t="str">
        <f t="shared" si="146"/>
        <v/>
      </c>
      <c r="E1579" t="str">
        <f t="shared" si="147"/>
        <v/>
      </c>
      <c r="F1579" t="str">
        <f t="shared" si="148"/>
        <v/>
      </c>
      <c r="G1579" t="str">
        <f>IF(OR($E1579="",$E1579="نامعتبر",Sync!$X1575=""),"",IF(AND(LEFT(UPPER(TRIM(Sync!$X1575)),2)="SL",IFERROR(VLOOKUP(Sync!$W1575,OpTbl,3,0),"")="فروش"),UPPER(TRIM(Sync!$X1575)),""))</f>
        <v/>
      </c>
      <c r="H1579" t="str">
        <f>IF($G1579="","",IF(Sync!$W1575="","",Sync!$W1575))</f>
        <v/>
      </c>
      <c r="I1579" t="str">
        <f>IF(OR($G1579="",Sync!$Y1575=""),"",Sync!$Y1575)</f>
        <v/>
      </c>
      <c r="J1579" t="str">
        <f>IF(OR($G1579="",Sync!$Z1575=""),"",Sync!$Z1575)</f>
        <v/>
      </c>
      <c r="K1579">
        <f>IF($G1579="",0,IF(Sync!$AA1575="",0,Sync!$AA1575))</f>
        <v>0</v>
      </c>
      <c r="L1579">
        <f>IF($G1579="",0,IF(Sync!$AB1575="",0,Sync!$AB1575))</f>
        <v>0</v>
      </c>
      <c r="M1579" t="str">
        <f t="shared" si="149"/>
        <v/>
      </c>
      <c r="N1579">
        <f>IF($G1579="",0,IF($H1579="مرجوعی فروش",-1,1)*IF(Sync!$AC1575="",0,Sync!$AC1575))</f>
        <v>0</v>
      </c>
      <c r="O1579" t="str">
        <f>IF(OR($G1579="",Sync!$V1575=""),"",Sync!$V1575)</f>
        <v/>
      </c>
      <c r="P1579" t="str">
        <f>IF(OR($G1579="",Sync!$AD1575=""),"",Sync!$AD1575)</f>
        <v/>
      </c>
      <c r="Q1579" t="str">
        <f>IF($G1579="","",IF(Sync!$U1575="","0000",IF(AND(ISNUMBER(Sync!$U1575),Sync!$U1575&gt;=0,Sync!$U1575&lt;1),RIGHT("00"&amp;HOUR(Sync!$U1575),2)&amp;RIGHT("00"&amp;MINUTE(Sync!$U1575),2),IFERROR(RIGHT("00"&amp;VALUE(LEFT(Sync!$U1575,FIND(":",Sync!$U1575)-1)),2)&amp;RIGHT("00"&amp;VALUE(MID(Sync!$U1575,FIND(":",Sync!$U1575)+1,2)),2),"0000"))))</f>
        <v/>
      </c>
    </row>
    <row r="1580" spans="1:17" x14ac:dyDescent="0.2">
      <c r="A1580" t="str">
        <f>IF(Sync!$T1576="","",Sync!$T1576)</f>
        <v/>
      </c>
      <c r="B1580" t="str">
        <f t="shared" si="144"/>
        <v/>
      </c>
      <c r="C1580" t="str">
        <f t="shared" si="145"/>
        <v/>
      </c>
      <c r="D1580" t="str">
        <f t="shared" si="146"/>
        <v/>
      </c>
      <c r="E1580" t="str">
        <f t="shared" si="147"/>
        <v/>
      </c>
      <c r="F1580" t="str">
        <f t="shared" si="148"/>
        <v/>
      </c>
      <c r="G1580" t="str">
        <f>IF(OR($E1580="",$E1580="نامعتبر",Sync!$X1576=""),"",IF(AND(LEFT(UPPER(TRIM(Sync!$X1576)),2)="SL",IFERROR(VLOOKUP(Sync!$W1576,OpTbl,3,0),"")="فروش"),UPPER(TRIM(Sync!$X1576)),""))</f>
        <v/>
      </c>
      <c r="H1580" t="str">
        <f>IF($G1580="","",IF(Sync!$W1576="","",Sync!$W1576))</f>
        <v/>
      </c>
      <c r="I1580" t="str">
        <f>IF(OR($G1580="",Sync!$Y1576=""),"",Sync!$Y1576)</f>
        <v/>
      </c>
      <c r="J1580" t="str">
        <f>IF(OR($G1580="",Sync!$Z1576=""),"",Sync!$Z1576)</f>
        <v/>
      </c>
      <c r="K1580">
        <f>IF($G1580="",0,IF(Sync!$AA1576="",0,Sync!$AA1576))</f>
        <v>0</v>
      </c>
      <c r="L1580">
        <f>IF($G1580="",0,IF(Sync!$AB1576="",0,Sync!$AB1576))</f>
        <v>0</v>
      </c>
      <c r="M1580" t="str">
        <f t="shared" si="149"/>
        <v/>
      </c>
      <c r="N1580">
        <f>IF($G1580="",0,IF($H1580="مرجوعی فروش",-1,1)*IF(Sync!$AC1576="",0,Sync!$AC1576))</f>
        <v>0</v>
      </c>
      <c r="O1580" t="str">
        <f>IF(OR($G1580="",Sync!$V1576=""),"",Sync!$V1576)</f>
        <v/>
      </c>
      <c r="P1580" t="str">
        <f>IF(OR($G1580="",Sync!$AD1576=""),"",Sync!$AD1576)</f>
        <v/>
      </c>
      <c r="Q1580" t="str">
        <f>IF($G1580="","",IF(Sync!$U1576="","0000",IF(AND(ISNUMBER(Sync!$U1576),Sync!$U1576&gt;=0,Sync!$U1576&lt;1),RIGHT("00"&amp;HOUR(Sync!$U1576),2)&amp;RIGHT("00"&amp;MINUTE(Sync!$U1576),2),IFERROR(RIGHT("00"&amp;VALUE(LEFT(Sync!$U1576,FIND(":",Sync!$U1576)-1)),2)&amp;RIGHT("00"&amp;VALUE(MID(Sync!$U1576,FIND(":",Sync!$U1576)+1,2)),2),"0000"))))</f>
        <v/>
      </c>
    </row>
    <row r="1581" spans="1:17" x14ac:dyDescent="0.2">
      <c r="A1581" t="str">
        <f>IF(Sync!$T1577="","",Sync!$T1577)</f>
        <v/>
      </c>
      <c r="B1581" t="str">
        <f t="shared" si="144"/>
        <v/>
      </c>
      <c r="C1581" t="str">
        <f t="shared" si="145"/>
        <v/>
      </c>
      <c r="D1581" t="str">
        <f t="shared" si="146"/>
        <v/>
      </c>
      <c r="E1581" t="str">
        <f t="shared" si="147"/>
        <v/>
      </c>
      <c r="F1581" t="str">
        <f t="shared" si="148"/>
        <v/>
      </c>
      <c r="G1581" t="str">
        <f>IF(OR($E1581="",$E1581="نامعتبر",Sync!$X1577=""),"",IF(AND(LEFT(UPPER(TRIM(Sync!$X1577)),2)="SL",IFERROR(VLOOKUP(Sync!$W1577,OpTbl,3,0),"")="فروش"),UPPER(TRIM(Sync!$X1577)),""))</f>
        <v/>
      </c>
      <c r="H1581" t="str">
        <f>IF($G1581="","",IF(Sync!$W1577="","",Sync!$W1577))</f>
        <v/>
      </c>
      <c r="I1581" t="str">
        <f>IF(OR($G1581="",Sync!$Y1577=""),"",Sync!$Y1577)</f>
        <v/>
      </c>
      <c r="J1581" t="str">
        <f>IF(OR($G1581="",Sync!$Z1577=""),"",Sync!$Z1577)</f>
        <v/>
      </c>
      <c r="K1581">
        <f>IF($G1581="",0,IF(Sync!$AA1577="",0,Sync!$AA1577))</f>
        <v>0</v>
      </c>
      <c r="L1581">
        <f>IF($G1581="",0,IF(Sync!$AB1577="",0,Sync!$AB1577))</f>
        <v>0</v>
      </c>
      <c r="M1581" t="str">
        <f t="shared" si="149"/>
        <v/>
      </c>
      <c r="N1581">
        <f>IF($G1581="",0,IF($H1581="مرجوعی فروش",-1,1)*IF(Sync!$AC1577="",0,Sync!$AC1577))</f>
        <v>0</v>
      </c>
      <c r="O1581" t="str">
        <f>IF(OR($G1581="",Sync!$V1577=""),"",Sync!$V1577)</f>
        <v/>
      </c>
      <c r="P1581" t="str">
        <f>IF(OR($G1581="",Sync!$AD1577=""),"",Sync!$AD1577)</f>
        <v/>
      </c>
      <c r="Q1581" t="str">
        <f>IF($G1581="","",IF(Sync!$U1577="","0000",IF(AND(ISNUMBER(Sync!$U1577),Sync!$U1577&gt;=0,Sync!$U1577&lt;1),RIGHT("00"&amp;HOUR(Sync!$U1577),2)&amp;RIGHT("00"&amp;MINUTE(Sync!$U1577),2),IFERROR(RIGHT("00"&amp;VALUE(LEFT(Sync!$U1577,FIND(":",Sync!$U1577)-1)),2)&amp;RIGHT("00"&amp;VALUE(MID(Sync!$U1577,FIND(":",Sync!$U1577)+1,2)),2),"0000"))))</f>
        <v/>
      </c>
    </row>
    <row r="1582" spans="1:17" x14ac:dyDescent="0.2">
      <c r="A1582" t="str">
        <f>IF(Sync!$T1578="","",Sync!$T1578)</f>
        <v/>
      </c>
      <c r="B1582" t="str">
        <f t="shared" si="144"/>
        <v/>
      </c>
      <c r="C1582" t="str">
        <f t="shared" si="145"/>
        <v/>
      </c>
      <c r="D1582" t="str">
        <f t="shared" si="146"/>
        <v/>
      </c>
      <c r="E1582" t="str">
        <f t="shared" si="147"/>
        <v/>
      </c>
      <c r="F1582" t="str">
        <f t="shared" si="148"/>
        <v/>
      </c>
      <c r="G1582" t="str">
        <f>IF(OR($E1582="",$E1582="نامعتبر",Sync!$X1578=""),"",IF(AND(LEFT(UPPER(TRIM(Sync!$X1578)),2)="SL",IFERROR(VLOOKUP(Sync!$W1578,OpTbl,3,0),"")="فروش"),UPPER(TRIM(Sync!$X1578)),""))</f>
        <v/>
      </c>
      <c r="H1582" t="str">
        <f>IF($G1582="","",IF(Sync!$W1578="","",Sync!$W1578))</f>
        <v/>
      </c>
      <c r="I1582" t="str">
        <f>IF(OR($G1582="",Sync!$Y1578=""),"",Sync!$Y1578)</f>
        <v/>
      </c>
      <c r="J1582" t="str">
        <f>IF(OR($G1582="",Sync!$Z1578=""),"",Sync!$Z1578)</f>
        <v/>
      </c>
      <c r="K1582">
        <f>IF($G1582="",0,IF(Sync!$AA1578="",0,Sync!$AA1578))</f>
        <v>0</v>
      </c>
      <c r="L1582">
        <f>IF($G1582="",0,IF(Sync!$AB1578="",0,Sync!$AB1578))</f>
        <v>0</v>
      </c>
      <c r="M1582" t="str">
        <f t="shared" si="149"/>
        <v/>
      </c>
      <c r="N1582">
        <f>IF($G1582="",0,IF($H1582="مرجوعی فروش",-1,1)*IF(Sync!$AC1578="",0,Sync!$AC1578))</f>
        <v>0</v>
      </c>
      <c r="O1582" t="str">
        <f>IF(OR($G1582="",Sync!$V1578=""),"",Sync!$V1578)</f>
        <v/>
      </c>
      <c r="P1582" t="str">
        <f>IF(OR($G1582="",Sync!$AD1578=""),"",Sync!$AD1578)</f>
        <v/>
      </c>
      <c r="Q1582" t="str">
        <f>IF($G1582="","",IF(Sync!$U1578="","0000",IF(AND(ISNUMBER(Sync!$U1578),Sync!$U1578&gt;=0,Sync!$U1578&lt;1),RIGHT("00"&amp;HOUR(Sync!$U1578),2)&amp;RIGHT("00"&amp;MINUTE(Sync!$U1578),2),IFERROR(RIGHT("00"&amp;VALUE(LEFT(Sync!$U1578,FIND(":",Sync!$U1578)-1)),2)&amp;RIGHT("00"&amp;VALUE(MID(Sync!$U1578,FIND(":",Sync!$U1578)+1,2)),2),"0000"))))</f>
        <v/>
      </c>
    </row>
    <row r="1583" spans="1:17" x14ac:dyDescent="0.2">
      <c r="A1583" t="str">
        <f>IF(Sync!$T1579="","",Sync!$T1579)</f>
        <v/>
      </c>
      <c r="B1583" t="str">
        <f t="shared" si="144"/>
        <v/>
      </c>
      <c r="C1583" t="str">
        <f t="shared" si="145"/>
        <v/>
      </c>
      <c r="D1583" t="str">
        <f t="shared" si="146"/>
        <v/>
      </c>
      <c r="E1583" t="str">
        <f t="shared" si="147"/>
        <v/>
      </c>
      <c r="F1583" t="str">
        <f t="shared" si="148"/>
        <v/>
      </c>
      <c r="G1583" t="str">
        <f>IF(OR($E1583="",$E1583="نامعتبر",Sync!$X1579=""),"",IF(AND(LEFT(UPPER(TRIM(Sync!$X1579)),2)="SL",IFERROR(VLOOKUP(Sync!$W1579,OpTbl,3,0),"")="فروش"),UPPER(TRIM(Sync!$X1579)),""))</f>
        <v/>
      </c>
      <c r="H1583" t="str">
        <f>IF($G1583="","",IF(Sync!$W1579="","",Sync!$W1579))</f>
        <v/>
      </c>
      <c r="I1583" t="str">
        <f>IF(OR($G1583="",Sync!$Y1579=""),"",Sync!$Y1579)</f>
        <v/>
      </c>
      <c r="J1583" t="str">
        <f>IF(OR($G1583="",Sync!$Z1579=""),"",Sync!$Z1579)</f>
        <v/>
      </c>
      <c r="K1583">
        <f>IF($G1583="",0,IF(Sync!$AA1579="",0,Sync!$AA1579))</f>
        <v>0</v>
      </c>
      <c r="L1583">
        <f>IF($G1583="",0,IF(Sync!$AB1579="",0,Sync!$AB1579))</f>
        <v>0</v>
      </c>
      <c r="M1583" t="str">
        <f t="shared" si="149"/>
        <v/>
      </c>
      <c r="N1583">
        <f>IF($G1583="",0,IF($H1583="مرجوعی فروش",-1,1)*IF(Sync!$AC1579="",0,Sync!$AC1579))</f>
        <v>0</v>
      </c>
      <c r="O1583" t="str">
        <f>IF(OR($G1583="",Sync!$V1579=""),"",Sync!$V1579)</f>
        <v/>
      </c>
      <c r="P1583" t="str">
        <f>IF(OR($G1583="",Sync!$AD1579=""),"",Sync!$AD1579)</f>
        <v/>
      </c>
      <c r="Q1583" t="str">
        <f>IF($G1583="","",IF(Sync!$U1579="","0000",IF(AND(ISNUMBER(Sync!$U1579),Sync!$U1579&gt;=0,Sync!$U1579&lt;1),RIGHT("00"&amp;HOUR(Sync!$U1579),2)&amp;RIGHT("00"&amp;MINUTE(Sync!$U1579),2),IFERROR(RIGHT("00"&amp;VALUE(LEFT(Sync!$U1579,FIND(":",Sync!$U1579)-1)),2)&amp;RIGHT("00"&amp;VALUE(MID(Sync!$U1579,FIND(":",Sync!$U1579)+1,2)),2),"0000"))))</f>
        <v/>
      </c>
    </row>
    <row r="1584" spans="1:17" x14ac:dyDescent="0.2">
      <c r="A1584" t="str">
        <f>IF(Sync!$T1580="","",Sync!$T1580)</f>
        <v/>
      </c>
      <c r="B1584" t="str">
        <f t="shared" si="144"/>
        <v/>
      </c>
      <c r="C1584" t="str">
        <f t="shared" si="145"/>
        <v/>
      </c>
      <c r="D1584" t="str">
        <f t="shared" si="146"/>
        <v/>
      </c>
      <c r="E1584" t="str">
        <f t="shared" si="147"/>
        <v/>
      </c>
      <c r="F1584" t="str">
        <f t="shared" si="148"/>
        <v/>
      </c>
      <c r="G1584" t="str">
        <f>IF(OR($E1584="",$E1584="نامعتبر",Sync!$X1580=""),"",IF(AND(LEFT(UPPER(TRIM(Sync!$X1580)),2)="SL",IFERROR(VLOOKUP(Sync!$W1580,OpTbl,3,0),"")="فروش"),UPPER(TRIM(Sync!$X1580)),""))</f>
        <v/>
      </c>
      <c r="H1584" t="str">
        <f>IF($G1584="","",IF(Sync!$W1580="","",Sync!$W1580))</f>
        <v/>
      </c>
      <c r="I1584" t="str">
        <f>IF(OR($G1584="",Sync!$Y1580=""),"",Sync!$Y1580)</f>
        <v/>
      </c>
      <c r="J1584" t="str">
        <f>IF(OR($G1584="",Sync!$Z1580=""),"",Sync!$Z1580)</f>
        <v/>
      </c>
      <c r="K1584">
        <f>IF($G1584="",0,IF(Sync!$AA1580="",0,Sync!$AA1580))</f>
        <v>0</v>
      </c>
      <c r="L1584">
        <f>IF($G1584="",0,IF(Sync!$AB1580="",0,Sync!$AB1580))</f>
        <v>0</v>
      </c>
      <c r="M1584" t="str">
        <f t="shared" si="149"/>
        <v/>
      </c>
      <c r="N1584">
        <f>IF($G1584="",0,IF($H1584="مرجوعی فروش",-1,1)*IF(Sync!$AC1580="",0,Sync!$AC1580))</f>
        <v>0</v>
      </c>
      <c r="O1584" t="str">
        <f>IF(OR($G1584="",Sync!$V1580=""),"",Sync!$V1580)</f>
        <v/>
      </c>
      <c r="P1584" t="str">
        <f>IF(OR($G1584="",Sync!$AD1580=""),"",Sync!$AD1580)</f>
        <v/>
      </c>
      <c r="Q1584" t="str">
        <f>IF($G1584="","",IF(Sync!$U1580="","0000",IF(AND(ISNUMBER(Sync!$U1580),Sync!$U1580&gt;=0,Sync!$U1580&lt;1),RIGHT("00"&amp;HOUR(Sync!$U1580),2)&amp;RIGHT("00"&amp;MINUTE(Sync!$U1580),2),IFERROR(RIGHT("00"&amp;VALUE(LEFT(Sync!$U1580,FIND(":",Sync!$U1580)-1)),2)&amp;RIGHT("00"&amp;VALUE(MID(Sync!$U1580,FIND(":",Sync!$U1580)+1,2)),2),"0000"))))</f>
        <v/>
      </c>
    </row>
    <row r="1585" spans="1:17" x14ac:dyDescent="0.2">
      <c r="A1585" t="str">
        <f>IF(Sync!$T1581="","",Sync!$T1581)</f>
        <v/>
      </c>
      <c r="B1585" t="str">
        <f t="shared" si="144"/>
        <v/>
      </c>
      <c r="C1585" t="str">
        <f t="shared" si="145"/>
        <v/>
      </c>
      <c r="D1585" t="str">
        <f t="shared" si="146"/>
        <v/>
      </c>
      <c r="E1585" t="str">
        <f t="shared" si="147"/>
        <v/>
      </c>
      <c r="F1585" t="str">
        <f t="shared" si="148"/>
        <v/>
      </c>
      <c r="G1585" t="str">
        <f>IF(OR($E1585="",$E1585="نامعتبر",Sync!$X1581=""),"",IF(AND(LEFT(UPPER(TRIM(Sync!$X1581)),2)="SL",IFERROR(VLOOKUP(Sync!$W1581,OpTbl,3,0),"")="فروش"),UPPER(TRIM(Sync!$X1581)),""))</f>
        <v/>
      </c>
      <c r="H1585" t="str">
        <f>IF($G1585="","",IF(Sync!$W1581="","",Sync!$W1581))</f>
        <v/>
      </c>
      <c r="I1585" t="str">
        <f>IF(OR($G1585="",Sync!$Y1581=""),"",Sync!$Y1581)</f>
        <v/>
      </c>
      <c r="J1585" t="str">
        <f>IF(OR($G1585="",Sync!$Z1581=""),"",Sync!$Z1581)</f>
        <v/>
      </c>
      <c r="K1585">
        <f>IF($G1585="",0,IF(Sync!$AA1581="",0,Sync!$AA1581))</f>
        <v>0</v>
      </c>
      <c r="L1585">
        <f>IF($G1585="",0,IF(Sync!$AB1581="",0,Sync!$AB1581))</f>
        <v>0</v>
      </c>
      <c r="M1585" t="str">
        <f t="shared" si="149"/>
        <v/>
      </c>
      <c r="N1585">
        <f>IF($G1585="",0,IF($H1585="مرجوعی فروش",-1,1)*IF(Sync!$AC1581="",0,Sync!$AC1581))</f>
        <v>0</v>
      </c>
      <c r="O1585" t="str">
        <f>IF(OR($G1585="",Sync!$V1581=""),"",Sync!$V1581)</f>
        <v/>
      </c>
      <c r="P1585" t="str">
        <f>IF(OR($G1585="",Sync!$AD1581=""),"",Sync!$AD1581)</f>
        <v/>
      </c>
      <c r="Q1585" t="str">
        <f>IF($G1585="","",IF(Sync!$U1581="","0000",IF(AND(ISNUMBER(Sync!$U1581),Sync!$U1581&gt;=0,Sync!$U1581&lt;1),RIGHT("00"&amp;HOUR(Sync!$U1581),2)&amp;RIGHT("00"&amp;MINUTE(Sync!$U1581),2),IFERROR(RIGHT("00"&amp;VALUE(LEFT(Sync!$U1581,FIND(":",Sync!$U1581)-1)),2)&amp;RIGHT("00"&amp;VALUE(MID(Sync!$U1581,FIND(":",Sync!$U1581)+1,2)),2),"0000"))))</f>
        <v/>
      </c>
    </row>
    <row r="1586" spans="1:17" x14ac:dyDescent="0.2">
      <c r="A1586" t="str">
        <f>IF(Sync!$T1582="","",Sync!$T1582)</f>
        <v/>
      </c>
      <c r="B1586" t="str">
        <f t="shared" si="144"/>
        <v/>
      </c>
      <c r="C1586" t="str">
        <f t="shared" si="145"/>
        <v/>
      </c>
      <c r="D1586" t="str">
        <f t="shared" si="146"/>
        <v/>
      </c>
      <c r="E1586" t="str">
        <f t="shared" si="147"/>
        <v/>
      </c>
      <c r="F1586" t="str">
        <f t="shared" si="148"/>
        <v/>
      </c>
      <c r="G1586" t="str">
        <f>IF(OR($E1586="",$E1586="نامعتبر",Sync!$X1582=""),"",IF(AND(LEFT(UPPER(TRIM(Sync!$X1582)),2)="SL",IFERROR(VLOOKUP(Sync!$W1582,OpTbl,3,0),"")="فروش"),UPPER(TRIM(Sync!$X1582)),""))</f>
        <v/>
      </c>
      <c r="H1586" t="str">
        <f>IF($G1586="","",IF(Sync!$W1582="","",Sync!$W1582))</f>
        <v/>
      </c>
      <c r="I1586" t="str">
        <f>IF(OR($G1586="",Sync!$Y1582=""),"",Sync!$Y1582)</f>
        <v/>
      </c>
      <c r="J1586" t="str">
        <f>IF(OR($G1586="",Sync!$Z1582=""),"",Sync!$Z1582)</f>
        <v/>
      </c>
      <c r="K1586">
        <f>IF($G1586="",0,IF(Sync!$AA1582="",0,Sync!$AA1582))</f>
        <v>0</v>
      </c>
      <c r="L1586">
        <f>IF($G1586="",0,IF(Sync!$AB1582="",0,Sync!$AB1582))</f>
        <v>0</v>
      </c>
      <c r="M1586" t="str">
        <f t="shared" si="149"/>
        <v/>
      </c>
      <c r="N1586">
        <f>IF($G1586="",0,IF($H1586="مرجوعی فروش",-1,1)*IF(Sync!$AC1582="",0,Sync!$AC1582))</f>
        <v>0</v>
      </c>
      <c r="O1586" t="str">
        <f>IF(OR($G1586="",Sync!$V1582=""),"",Sync!$V1582)</f>
        <v/>
      </c>
      <c r="P1586" t="str">
        <f>IF(OR($G1586="",Sync!$AD1582=""),"",Sync!$AD1582)</f>
        <v/>
      </c>
      <c r="Q1586" t="str">
        <f>IF($G1586="","",IF(Sync!$U1582="","0000",IF(AND(ISNUMBER(Sync!$U1582),Sync!$U1582&gt;=0,Sync!$U1582&lt;1),RIGHT("00"&amp;HOUR(Sync!$U1582),2)&amp;RIGHT("00"&amp;MINUTE(Sync!$U1582),2),IFERROR(RIGHT("00"&amp;VALUE(LEFT(Sync!$U1582,FIND(":",Sync!$U1582)-1)),2)&amp;RIGHT("00"&amp;VALUE(MID(Sync!$U1582,FIND(":",Sync!$U1582)+1,2)),2),"0000"))))</f>
        <v/>
      </c>
    </row>
    <row r="1587" spans="1:17" x14ac:dyDescent="0.2">
      <c r="A1587" t="str">
        <f>IF(Sync!$T1583="","",Sync!$T1583)</f>
        <v/>
      </c>
      <c r="B1587" t="str">
        <f t="shared" si="144"/>
        <v/>
      </c>
      <c r="C1587" t="str">
        <f t="shared" si="145"/>
        <v/>
      </c>
      <c r="D1587" t="str">
        <f t="shared" si="146"/>
        <v/>
      </c>
      <c r="E1587" t="str">
        <f t="shared" si="147"/>
        <v/>
      </c>
      <c r="F1587" t="str">
        <f t="shared" si="148"/>
        <v/>
      </c>
      <c r="G1587" t="str">
        <f>IF(OR($E1587="",$E1587="نامعتبر",Sync!$X1583=""),"",IF(AND(LEFT(UPPER(TRIM(Sync!$X1583)),2)="SL",IFERROR(VLOOKUP(Sync!$W1583,OpTbl,3,0),"")="فروش"),UPPER(TRIM(Sync!$X1583)),""))</f>
        <v/>
      </c>
      <c r="H1587" t="str">
        <f>IF($G1587="","",IF(Sync!$W1583="","",Sync!$W1583))</f>
        <v/>
      </c>
      <c r="I1587" t="str">
        <f>IF(OR($G1587="",Sync!$Y1583=""),"",Sync!$Y1583)</f>
        <v/>
      </c>
      <c r="J1587" t="str">
        <f>IF(OR($G1587="",Sync!$Z1583=""),"",Sync!$Z1583)</f>
        <v/>
      </c>
      <c r="K1587">
        <f>IF($G1587="",0,IF(Sync!$AA1583="",0,Sync!$AA1583))</f>
        <v>0</v>
      </c>
      <c r="L1587">
        <f>IF($G1587="",0,IF(Sync!$AB1583="",0,Sync!$AB1583))</f>
        <v>0</v>
      </c>
      <c r="M1587" t="str">
        <f t="shared" si="149"/>
        <v/>
      </c>
      <c r="N1587">
        <f>IF($G1587="",0,IF($H1587="مرجوعی فروش",-1,1)*IF(Sync!$AC1583="",0,Sync!$AC1583))</f>
        <v>0</v>
      </c>
      <c r="O1587" t="str">
        <f>IF(OR($G1587="",Sync!$V1583=""),"",Sync!$V1583)</f>
        <v/>
      </c>
      <c r="P1587" t="str">
        <f>IF(OR($G1587="",Sync!$AD1583=""),"",Sync!$AD1583)</f>
        <v/>
      </c>
      <c r="Q1587" t="str">
        <f>IF($G1587="","",IF(Sync!$U1583="","0000",IF(AND(ISNUMBER(Sync!$U1583),Sync!$U1583&gt;=0,Sync!$U1583&lt;1),RIGHT("00"&amp;HOUR(Sync!$U1583),2)&amp;RIGHT("00"&amp;MINUTE(Sync!$U1583),2),IFERROR(RIGHT("00"&amp;VALUE(LEFT(Sync!$U1583,FIND(":",Sync!$U1583)-1)),2)&amp;RIGHT("00"&amp;VALUE(MID(Sync!$U1583,FIND(":",Sync!$U1583)+1,2)),2),"0000"))))</f>
        <v/>
      </c>
    </row>
    <row r="1588" spans="1:17" x14ac:dyDescent="0.2">
      <c r="A1588" t="str">
        <f>IF(Sync!$T1584="","",Sync!$T1584)</f>
        <v/>
      </c>
      <c r="B1588" t="str">
        <f t="shared" si="144"/>
        <v/>
      </c>
      <c r="C1588" t="str">
        <f t="shared" si="145"/>
        <v/>
      </c>
      <c r="D1588" t="str">
        <f t="shared" si="146"/>
        <v/>
      </c>
      <c r="E1588" t="str">
        <f t="shared" si="147"/>
        <v/>
      </c>
      <c r="F1588" t="str">
        <f t="shared" si="148"/>
        <v/>
      </c>
      <c r="G1588" t="str">
        <f>IF(OR($E1588="",$E1588="نامعتبر",Sync!$X1584=""),"",IF(AND(LEFT(UPPER(TRIM(Sync!$X1584)),2)="SL",IFERROR(VLOOKUP(Sync!$W1584,OpTbl,3,0),"")="فروش"),UPPER(TRIM(Sync!$X1584)),""))</f>
        <v/>
      </c>
      <c r="H1588" t="str">
        <f>IF($G1588="","",IF(Sync!$W1584="","",Sync!$W1584))</f>
        <v/>
      </c>
      <c r="I1588" t="str">
        <f>IF(OR($G1588="",Sync!$Y1584=""),"",Sync!$Y1584)</f>
        <v/>
      </c>
      <c r="J1588" t="str">
        <f>IF(OR($G1588="",Sync!$Z1584=""),"",Sync!$Z1584)</f>
        <v/>
      </c>
      <c r="K1588">
        <f>IF($G1588="",0,IF(Sync!$AA1584="",0,Sync!$AA1584))</f>
        <v>0</v>
      </c>
      <c r="L1588">
        <f>IF($G1588="",0,IF(Sync!$AB1584="",0,Sync!$AB1584))</f>
        <v>0</v>
      </c>
      <c r="M1588" t="str">
        <f t="shared" si="149"/>
        <v/>
      </c>
      <c r="N1588">
        <f>IF($G1588="",0,IF($H1588="مرجوعی فروش",-1,1)*IF(Sync!$AC1584="",0,Sync!$AC1584))</f>
        <v>0</v>
      </c>
      <c r="O1588" t="str">
        <f>IF(OR($G1588="",Sync!$V1584=""),"",Sync!$V1584)</f>
        <v/>
      </c>
      <c r="P1588" t="str">
        <f>IF(OR($G1588="",Sync!$AD1584=""),"",Sync!$AD1584)</f>
        <v/>
      </c>
      <c r="Q1588" t="str">
        <f>IF($G1588="","",IF(Sync!$U1584="","0000",IF(AND(ISNUMBER(Sync!$U1584),Sync!$U1584&gt;=0,Sync!$U1584&lt;1),RIGHT("00"&amp;HOUR(Sync!$U1584),2)&amp;RIGHT("00"&amp;MINUTE(Sync!$U1584),2),IFERROR(RIGHT("00"&amp;VALUE(LEFT(Sync!$U1584,FIND(":",Sync!$U1584)-1)),2)&amp;RIGHT("00"&amp;VALUE(MID(Sync!$U1584,FIND(":",Sync!$U1584)+1,2)),2),"0000"))))</f>
        <v/>
      </c>
    </row>
    <row r="1589" spans="1:17" x14ac:dyDescent="0.2">
      <c r="A1589" t="str">
        <f>IF(Sync!$T1585="","",Sync!$T1585)</f>
        <v/>
      </c>
      <c r="B1589" t="str">
        <f t="shared" si="144"/>
        <v/>
      </c>
      <c r="C1589" t="str">
        <f t="shared" si="145"/>
        <v/>
      </c>
      <c r="D1589" t="str">
        <f t="shared" si="146"/>
        <v/>
      </c>
      <c r="E1589" t="str">
        <f t="shared" si="147"/>
        <v/>
      </c>
      <c r="F1589" t="str">
        <f t="shared" si="148"/>
        <v/>
      </c>
      <c r="G1589" t="str">
        <f>IF(OR($E1589="",$E1589="نامعتبر",Sync!$X1585=""),"",IF(AND(LEFT(UPPER(TRIM(Sync!$X1585)),2)="SL",IFERROR(VLOOKUP(Sync!$W1585,OpTbl,3,0),"")="فروش"),UPPER(TRIM(Sync!$X1585)),""))</f>
        <v/>
      </c>
      <c r="H1589" t="str">
        <f>IF($G1589="","",IF(Sync!$W1585="","",Sync!$W1585))</f>
        <v/>
      </c>
      <c r="I1589" t="str">
        <f>IF(OR($G1589="",Sync!$Y1585=""),"",Sync!$Y1585)</f>
        <v/>
      </c>
      <c r="J1589" t="str">
        <f>IF(OR($G1589="",Sync!$Z1585=""),"",Sync!$Z1585)</f>
        <v/>
      </c>
      <c r="K1589">
        <f>IF($G1589="",0,IF(Sync!$AA1585="",0,Sync!$AA1585))</f>
        <v>0</v>
      </c>
      <c r="L1589">
        <f>IF($G1589="",0,IF(Sync!$AB1585="",0,Sync!$AB1585))</f>
        <v>0</v>
      </c>
      <c r="M1589" t="str">
        <f t="shared" si="149"/>
        <v/>
      </c>
      <c r="N1589">
        <f>IF($G1589="",0,IF($H1589="مرجوعی فروش",-1,1)*IF(Sync!$AC1585="",0,Sync!$AC1585))</f>
        <v>0</v>
      </c>
      <c r="O1589" t="str">
        <f>IF(OR($G1589="",Sync!$V1585=""),"",Sync!$V1585)</f>
        <v/>
      </c>
      <c r="P1589" t="str">
        <f>IF(OR($G1589="",Sync!$AD1585=""),"",Sync!$AD1585)</f>
        <v/>
      </c>
      <c r="Q1589" t="str">
        <f>IF($G1589="","",IF(Sync!$U1585="","0000",IF(AND(ISNUMBER(Sync!$U1585),Sync!$U1585&gt;=0,Sync!$U1585&lt;1),RIGHT("00"&amp;HOUR(Sync!$U1585),2)&amp;RIGHT("00"&amp;MINUTE(Sync!$U1585),2),IFERROR(RIGHT("00"&amp;VALUE(LEFT(Sync!$U1585,FIND(":",Sync!$U1585)-1)),2)&amp;RIGHT("00"&amp;VALUE(MID(Sync!$U1585,FIND(":",Sync!$U1585)+1,2)),2),"0000"))))</f>
        <v/>
      </c>
    </row>
    <row r="1590" spans="1:17" x14ac:dyDescent="0.2">
      <c r="A1590" t="str">
        <f>IF(Sync!$T1586="","",Sync!$T1586)</f>
        <v/>
      </c>
      <c r="B1590" t="str">
        <f t="shared" si="144"/>
        <v/>
      </c>
      <c r="C1590" t="str">
        <f t="shared" si="145"/>
        <v/>
      </c>
      <c r="D1590" t="str">
        <f t="shared" si="146"/>
        <v/>
      </c>
      <c r="E1590" t="str">
        <f t="shared" si="147"/>
        <v/>
      </c>
      <c r="F1590" t="str">
        <f t="shared" si="148"/>
        <v/>
      </c>
      <c r="G1590" t="str">
        <f>IF(OR($E1590="",$E1590="نامعتبر",Sync!$X1586=""),"",IF(AND(LEFT(UPPER(TRIM(Sync!$X1586)),2)="SL",IFERROR(VLOOKUP(Sync!$W1586,OpTbl,3,0),"")="فروش"),UPPER(TRIM(Sync!$X1586)),""))</f>
        <v/>
      </c>
      <c r="H1590" t="str">
        <f>IF($G1590="","",IF(Sync!$W1586="","",Sync!$W1586))</f>
        <v/>
      </c>
      <c r="I1590" t="str">
        <f>IF(OR($G1590="",Sync!$Y1586=""),"",Sync!$Y1586)</f>
        <v/>
      </c>
      <c r="J1590" t="str">
        <f>IF(OR($G1590="",Sync!$Z1586=""),"",Sync!$Z1586)</f>
        <v/>
      </c>
      <c r="K1590">
        <f>IF($G1590="",0,IF(Sync!$AA1586="",0,Sync!$AA1586))</f>
        <v>0</v>
      </c>
      <c r="L1590">
        <f>IF($G1590="",0,IF(Sync!$AB1586="",0,Sync!$AB1586))</f>
        <v>0</v>
      </c>
      <c r="M1590" t="str">
        <f t="shared" si="149"/>
        <v/>
      </c>
      <c r="N1590">
        <f>IF($G1590="",0,IF($H1590="مرجوعی فروش",-1,1)*IF(Sync!$AC1586="",0,Sync!$AC1586))</f>
        <v>0</v>
      </c>
      <c r="O1590" t="str">
        <f>IF(OR($G1590="",Sync!$V1586=""),"",Sync!$V1586)</f>
        <v/>
      </c>
      <c r="P1590" t="str">
        <f>IF(OR($G1590="",Sync!$AD1586=""),"",Sync!$AD1586)</f>
        <v/>
      </c>
      <c r="Q1590" t="str">
        <f>IF($G1590="","",IF(Sync!$U1586="","0000",IF(AND(ISNUMBER(Sync!$U1586),Sync!$U1586&gt;=0,Sync!$U1586&lt;1),RIGHT("00"&amp;HOUR(Sync!$U1586),2)&amp;RIGHT("00"&amp;MINUTE(Sync!$U1586),2),IFERROR(RIGHT("00"&amp;VALUE(LEFT(Sync!$U1586,FIND(":",Sync!$U1586)-1)),2)&amp;RIGHT("00"&amp;VALUE(MID(Sync!$U1586,FIND(":",Sync!$U1586)+1,2)),2),"0000"))))</f>
        <v/>
      </c>
    </row>
    <row r="1591" spans="1:17" x14ac:dyDescent="0.2">
      <c r="A1591" t="str">
        <f>IF(Sync!$T1587="","",Sync!$T1587)</f>
        <v/>
      </c>
      <c r="B1591" t="str">
        <f t="shared" si="144"/>
        <v/>
      </c>
      <c r="C1591" t="str">
        <f t="shared" si="145"/>
        <v/>
      </c>
      <c r="D1591" t="str">
        <f t="shared" si="146"/>
        <v/>
      </c>
      <c r="E1591" t="str">
        <f t="shared" si="147"/>
        <v/>
      </c>
      <c r="F1591" t="str">
        <f t="shared" si="148"/>
        <v/>
      </c>
      <c r="G1591" t="str">
        <f>IF(OR($E1591="",$E1591="نامعتبر",Sync!$X1587=""),"",IF(AND(LEFT(UPPER(TRIM(Sync!$X1587)),2)="SL",IFERROR(VLOOKUP(Sync!$W1587,OpTbl,3,0),"")="فروش"),UPPER(TRIM(Sync!$X1587)),""))</f>
        <v/>
      </c>
      <c r="H1591" t="str">
        <f>IF($G1591="","",IF(Sync!$W1587="","",Sync!$W1587))</f>
        <v/>
      </c>
      <c r="I1591" t="str">
        <f>IF(OR($G1591="",Sync!$Y1587=""),"",Sync!$Y1587)</f>
        <v/>
      </c>
      <c r="J1591" t="str">
        <f>IF(OR($G1591="",Sync!$Z1587=""),"",Sync!$Z1587)</f>
        <v/>
      </c>
      <c r="K1591">
        <f>IF($G1591="",0,IF(Sync!$AA1587="",0,Sync!$AA1587))</f>
        <v>0</v>
      </c>
      <c r="L1591">
        <f>IF($G1591="",0,IF(Sync!$AB1587="",0,Sync!$AB1587))</f>
        <v>0</v>
      </c>
      <c r="M1591" t="str">
        <f t="shared" si="149"/>
        <v/>
      </c>
      <c r="N1591">
        <f>IF($G1591="",0,IF($H1591="مرجوعی فروش",-1,1)*IF(Sync!$AC1587="",0,Sync!$AC1587))</f>
        <v>0</v>
      </c>
      <c r="O1591" t="str">
        <f>IF(OR($G1591="",Sync!$V1587=""),"",Sync!$V1587)</f>
        <v/>
      </c>
      <c r="P1591" t="str">
        <f>IF(OR($G1591="",Sync!$AD1587=""),"",Sync!$AD1587)</f>
        <v/>
      </c>
      <c r="Q1591" t="str">
        <f>IF($G1591="","",IF(Sync!$U1587="","0000",IF(AND(ISNUMBER(Sync!$U1587),Sync!$U1587&gt;=0,Sync!$U1587&lt;1),RIGHT("00"&amp;HOUR(Sync!$U1587),2)&amp;RIGHT("00"&amp;MINUTE(Sync!$U1587),2),IFERROR(RIGHT("00"&amp;VALUE(LEFT(Sync!$U1587,FIND(":",Sync!$U1587)-1)),2)&amp;RIGHT("00"&amp;VALUE(MID(Sync!$U1587,FIND(":",Sync!$U1587)+1,2)),2),"0000"))))</f>
        <v/>
      </c>
    </row>
    <row r="1592" spans="1:17" x14ac:dyDescent="0.2">
      <c r="A1592" t="str">
        <f>IF(Sync!$T1588="","",Sync!$T1588)</f>
        <v/>
      </c>
      <c r="B1592" t="str">
        <f t="shared" si="144"/>
        <v/>
      </c>
      <c r="C1592" t="str">
        <f t="shared" si="145"/>
        <v/>
      </c>
      <c r="D1592" t="str">
        <f t="shared" si="146"/>
        <v/>
      </c>
      <c r="E1592" t="str">
        <f t="shared" si="147"/>
        <v/>
      </c>
      <c r="F1592" t="str">
        <f t="shared" si="148"/>
        <v/>
      </c>
      <c r="G1592" t="str">
        <f>IF(OR($E1592="",$E1592="نامعتبر",Sync!$X1588=""),"",IF(AND(LEFT(UPPER(TRIM(Sync!$X1588)),2)="SL",IFERROR(VLOOKUP(Sync!$W1588,OpTbl,3,0),"")="فروش"),UPPER(TRIM(Sync!$X1588)),""))</f>
        <v/>
      </c>
      <c r="H1592" t="str">
        <f>IF($G1592="","",IF(Sync!$W1588="","",Sync!$W1588))</f>
        <v/>
      </c>
      <c r="I1592" t="str">
        <f>IF(OR($G1592="",Sync!$Y1588=""),"",Sync!$Y1588)</f>
        <v/>
      </c>
      <c r="J1592" t="str">
        <f>IF(OR($G1592="",Sync!$Z1588=""),"",Sync!$Z1588)</f>
        <v/>
      </c>
      <c r="K1592">
        <f>IF($G1592="",0,IF(Sync!$AA1588="",0,Sync!$AA1588))</f>
        <v>0</v>
      </c>
      <c r="L1592">
        <f>IF($G1592="",0,IF(Sync!$AB1588="",0,Sync!$AB1588))</f>
        <v>0</v>
      </c>
      <c r="M1592" t="str">
        <f t="shared" si="149"/>
        <v/>
      </c>
      <c r="N1592">
        <f>IF($G1592="",0,IF($H1592="مرجوعی فروش",-1,1)*IF(Sync!$AC1588="",0,Sync!$AC1588))</f>
        <v>0</v>
      </c>
      <c r="O1592" t="str">
        <f>IF(OR($G1592="",Sync!$V1588=""),"",Sync!$V1588)</f>
        <v/>
      </c>
      <c r="P1592" t="str">
        <f>IF(OR($G1592="",Sync!$AD1588=""),"",Sync!$AD1588)</f>
        <v/>
      </c>
      <c r="Q1592" t="str">
        <f>IF($G1592="","",IF(Sync!$U1588="","0000",IF(AND(ISNUMBER(Sync!$U1588),Sync!$U1588&gt;=0,Sync!$U1588&lt;1),RIGHT("00"&amp;HOUR(Sync!$U1588),2)&amp;RIGHT("00"&amp;MINUTE(Sync!$U1588),2),IFERROR(RIGHT("00"&amp;VALUE(LEFT(Sync!$U1588,FIND(":",Sync!$U1588)-1)),2)&amp;RIGHT("00"&amp;VALUE(MID(Sync!$U1588,FIND(":",Sync!$U1588)+1,2)),2),"0000"))))</f>
        <v/>
      </c>
    </row>
    <row r="1593" spans="1:17" x14ac:dyDescent="0.2">
      <c r="A1593" t="str">
        <f>IF(Sync!$T1589="","",Sync!$T1589)</f>
        <v/>
      </c>
      <c r="B1593" t="str">
        <f t="shared" si="144"/>
        <v/>
      </c>
      <c r="C1593" t="str">
        <f t="shared" si="145"/>
        <v/>
      </c>
      <c r="D1593" t="str">
        <f t="shared" si="146"/>
        <v/>
      </c>
      <c r="E1593" t="str">
        <f t="shared" si="147"/>
        <v/>
      </c>
      <c r="F1593" t="str">
        <f t="shared" si="148"/>
        <v/>
      </c>
      <c r="G1593" t="str">
        <f>IF(OR($E1593="",$E1593="نامعتبر",Sync!$X1589=""),"",IF(AND(LEFT(UPPER(TRIM(Sync!$X1589)),2)="SL",IFERROR(VLOOKUP(Sync!$W1589,OpTbl,3,0),"")="فروش"),UPPER(TRIM(Sync!$X1589)),""))</f>
        <v/>
      </c>
      <c r="H1593" t="str">
        <f>IF($G1593="","",IF(Sync!$W1589="","",Sync!$W1589))</f>
        <v/>
      </c>
      <c r="I1593" t="str">
        <f>IF(OR($G1593="",Sync!$Y1589=""),"",Sync!$Y1589)</f>
        <v/>
      </c>
      <c r="J1593" t="str">
        <f>IF(OR($G1593="",Sync!$Z1589=""),"",Sync!$Z1589)</f>
        <v/>
      </c>
      <c r="K1593">
        <f>IF($G1593="",0,IF(Sync!$AA1589="",0,Sync!$AA1589))</f>
        <v>0</v>
      </c>
      <c r="L1593">
        <f>IF($G1593="",0,IF(Sync!$AB1589="",0,Sync!$AB1589))</f>
        <v>0</v>
      </c>
      <c r="M1593" t="str">
        <f t="shared" si="149"/>
        <v/>
      </c>
      <c r="N1593">
        <f>IF($G1593="",0,IF($H1593="مرجوعی فروش",-1,1)*IF(Sync!$AC1589="",0,Sync!$AC1589))</f>
        <v>0</v>
      </c>
      <c r="O1593" t="str">
        <f>IF(OR($G1593="",Sync!$V1589=""),"",Sync!$V1589)</f>
        <v/>
      </c>
      <c r="P1593" t="str">
        <f>IF(OR($G1593="",Sync!$AD1589=""),"",Sync!$AD1589)</f>
        <v/>
      </c>
      <c r="Q1593" t="str">
        <f>IF($G1593="","",IF(Sync!$U1589="","0000",IF(AND(ISNUMBER(Sync!$U1589),Sync!$U1589&gt;=0,Sync!$U1589&lt;1),RIGHT("00"&amp;HOUR(Sync!$U1589),2)&amp;RIGHT("00"&amp;MINUTE(Sync!$U1589),2),IFERROR(RIGHT("00"&amp;VALUE(LEFT(Sync!$U1589,FIND(":",Sync!$U1589)-1)),2)&amp;RIGHT("00"&amp;VALUE(MID(Sync!$U1589,FIND(":",Sync!$U1589)+1,2)),2),"0000"))))</f>
        <v/>
      </c>
    </row>
    <row r="1594" spans="1:17" x14ac:dyDescent="0.2">
      <c r="A1594" t="str">
        <f>IF(Sync!$T1590="","",Sync!$T1590)</f>
        <v/>
      </c>
      <c r="B1594" t="str">
        <f t="shared" si="144"/>
        <v/>
      </c>
      <c r="C1594" t="str">
        <f t="shared" si="145"/>
        <v/>
      </c>
      <c r="D1594" t="str">
        <f t="shared" si="146"/>
        <v/>
      </c>
      <c r="E1594" t="str">
        <f t="shared" si="147"/>
        <v/>
      </c>
      <c r="F1594" t="str">
        <f t="shared" si="148"/>
        <v/>
      </c>
      <c r="G1594" t="str">
        <f>IF(OR($E1594="",$E1594="نامعتبر",Sync!$X1590=""),"",IF(AND(LEFT(UPPER(TRIM(Sync!$X1590)),2)="SL",IFERROR(VLOOKUP(Sync!$W1590,OpTbl,3,0),"")="فروش"),UPPER(TRIM(Sync!$X1590)),""))</f>
        <v/>
      </c>
      <c r="H1594" t="str">
        <f>IF($G1594="","",IF(Sync!$W1590="","",Sync!$W1590))</f>
        <v/>
      </c>
      <c r="I1594" t="str">
        <f>IF(OR($G1594="",Sync!$Y1590=""),"",Sync!$Y1590)</f>
        <v/>
      </c>
      <c r="J1594" t="str">
        <f>IF(OR($G1594="",Sync!$Z1590=""),"",Sync!$Z1590)</f>
        <v/>
      </c>
      <c r="K1594">
        <f>IF($G1594="",0,IF(Sync!$AA1590="",0,Sync!$AA1590))</f>
        <v>0</v>
      </c>
      <c r="L1594">
        <f>IF($G1594="",0,IF(Sync!$AB1590="",0,Sync!$AB1590))</f>
        <v>0</v>
      </c>
      <c r="M1594" t="str">
        <f t="shared" si="149"/>
        <v/>
      </c>
      <c r="N1594">
        <f>IF($G1594="",0,IF($H1594="مرجوعی فروش",-1,1)*IF(Sync!$AC1590="",0,Sync!$AC1590))</f>
        <v>0</v>
      </c>
      <c r="O1594" t="str">
        <f>IF(OR($G1594="",Sync!$V1590=""),"",Sync!$V1590)</f>
        <v/>
      </c>
      <c r="P1594" t="str">
        <f>IF(OR($G1594="",Sync!$AD1590=""),"",Sync!$AD1590)</f>
        <v/>
      </c>
      <c r="Q1594" t="str">
        <f>IF($G1594="","",IF(Sync!$U1590="","0000",IF(AND(ISNUMBER(Sync!$U1590),Sync!$U1590&gt;=0,Sync!$U1590&lt;1),RIGHT("00"&amp;HOUR(Sync!$U1590),2)&amp;RIGHT("00"&amp;MINUTE(Sync!$U1590),2),IFERROR(RIGHT("00"&amp;VALUE(LEFT(Sync!$U1590,FIND(":",Sync!$U1590)-1)),2)&amp;RIGHT("00"&amp;VALUE(MID(Sync!$U1590,FIND(":",Sync!$U1590)+1,2)),2),"0000"))))</f>
        <v/>
      </c>
    </row>
    <row r="1595" spans="1:17" x14ac:dyDescent="0.2">
      <c r="A1595" t="str">
        <f>IF(Sync!$T1591="","",Sync!$T1591)</f>
        <v/>
      </c>
      <c r="B1595" t="str">
        <f t="shared" si="144"/>
        <v/>
      </c>
      <c r="C1595" t="str">
        <f t="shared" si="145"/>
        <v/>
      </c>
      <c r="D1595" t="str">
        <f t="shared" si="146"/>
        <v/>
      </c>
      <c r="E1595" t="str">
        <f t="shared" si="147"/>
        <v/>
      </c>
      <c r="F1595" t="str">
        <f t="shared" si="148"/>
        <v/>
      </c>
      <c r="G1595" t="str">
        <f>IF(OR($E1595="",$E1595="نامعتبر",Sync!$X1591=""),"",IF(AND(LEFT(UPPER(TRIM(Sync!$X1591)),2)="SL",IFERROR(VLOOKUP(Sync!$W1591,OpTbl,3,0),"")="فروش"),UPPER(TRIM(Sync!$X1591)),""))</f>
        <v/>
      </c>
      <c r="H1595" t="str">
        <f>IF($G1595="","",IF(Sync!$W1591="","",Sync!$W1591))</f>
        <v/>
      </c>
      <c r="I1595" t="str">
        <f>IF(OR($G1595="",Sync!$Y1591=""),"",Sync!$Y1591)</f>
        <v/>
      </c>
      <c r="J1595" t="str">
        <f>IF(OR($G1595="",Sync!$Z1591=""),"",Sync!$Z1591)</f>
        <v/>
      </c>
      <c r="K1595">
        <f>IF($G1595="",0,IF(Sync!$AA1591="",0,Sync!$AA1591))</f>
        <v>0</v>
      </c>
      <c r="L1595">
        <f>IF($G1595="",0,IF(Sync!$AB1591="",0,Sync!$AB1591))</f>
        <v>0</v>
      </c>
      <c r="M1595" t="str">
        <f t="shared" si="149"/>
        <v/>
      </c>
      <c r="N1595">
        <f>IF($G1595="",0,IF($H1595="مرجوعی فروش",-1,1)*IF(Sync!$AC1591="",0,Sync!$AC1591))</f>
        <v>0</v>
      </c>
      <c r="O1595" t="str">
        <f>IF(OR($G1595="",Sync!$V1591=""),"",Sync!$V1591)</f>
        <v/>
      </c>
      <c r="P1595" t="str">
        <f>IF(OR($G1595="",Sync!$AD1591=""),"",Sync!$AD1591)</f>
        <v/>
      </c>
      <c r="Q1595" t="str">
        <f>IF($G1595="","",IF(Sync!$U1591="","0000",IF(AND(ISNUMBER(Sync!$U1591),Sync!$U1591&gt;=0,Sync!$U1591&lt;1),RIGHT("00"&amp;HOUR(Sync!$U1591),2)&amp;RIGHT("00"&amp;MINUTE(Sync!$U1591),2),IFERROR(RIGHT("00"&amp;VALUE(LEFT(Sync!$U1591,FIND(":",Sync!$U1591)-1)),2)&amp;RIGHT("00"&amp;VALUE(MID(Sync!$U1591,FIND(":",Sync!$U1591)+1,2)),2),"0000"))))</f>
        <v/>
      </c>
    </row>
    <row r="1596" spans="1:17" x14ac:dyDescent="0.2">
      <c r="A1596" t="str">
        <f>IF(Sync!$T1592="","",Sync!$T1592)</f>
        <v/>
      </c>
      <c r="B1596" t="str">
        <f t="shared" si="144"/>
        <v/>
      </c>
      <c r="C1596" t="str">
        <f t="shared" si="145"/>
        <v/>
      </c>
      <c r="D1596" t="str">
        <f t="shared" si="146"/>
        <v/>
      </c>
      <c r="E1596" t="str">
        <f t="shared" si="147"/>
        <v/>
      </c>
      <c r="F1596" t="str">
        <f t="shared" si="148"/>
        <v/>
      </c>
      <c r="G1596" t="str">
        <f>IF(OR($E1596="",$E1596="نامعتبر",Sync!$X1592=""),"",IF(AND(LEFT(UPPER(TRIM(Sync!$X1592)),2)="SL",IFERROR(VLOOKUP(Sync!$W1592,OpTbl,3,0),"")="فروش"),UPPER(TRIM(Sync!$X1592)),""))</f>
        <v/>
      </c>
      <c r="H1596" t="str">
        <f>IF($G1596="","",IF(Sync!$W1592="","",Sync!$W1592))</f>
        <v/>
      </c>
      <c r="I1596" t="str">
        <f>IF(OR($G1596="",Sync!$Y1592=""),"",Sync!$Y1592)</f>
        <v/>
      </c>
      <c r="J1596" t="str">
        <f>IF(OR($G1596="",Sync!$Z1592=""),"",Sync!$Z1592)</f>
        <v/>
      </c>
      <c r="K1596">
        <f>IF($G1596="",0,IF(Sync!$AA1592="",0,Sync!$AA1592))</f>
        <v>0</v>
      </c>
      <c r="L1596">
        <f>IF($G1596="",0,IF(Sync!$AB1592="",0,Sync!$AB1592))</f>
        <v>0</v>
      </c>
      <c r="M1596" t="str">
        <f t="shared" si="149"/>
        <v/>
      </c>
      <c r="N1596">
        <f>IF($G1596="",0,IF($H1596="مرجوعی فروش",-1,1)*IF(Sync!$AC1592="",0,Sync!$AC1592))</f>
        <v>0</v>
      </c>
      <c r="O1596" t="str">
        <f>IF(OR($G1596="",Sync!$V1592=""),"",Sync!$V1592)</f>
        <v/>
      </c>
      <c r="P1596" t="str">
        <f>IF(OR($G1596="",Sync!$AD1592=""),"",Sync!$AD1592)</f>
        <v/>
      </c>
      <c r="Q1596" t="str">
        <f>IF($G1596="","",IF(Sync!$U1592="","0000",IF(AND(ISNUMBER(Sync!$U1592),Sync!$U1592&gt;=0,Sync!$U1592&lt;1),RIGHT("00"&amp;HOUR(Sync!$U1592),2)&amp;RIGHT("00"&amp;MINUTE(Sync!$U1592),2),IFERROR(RIGHT("00"&amp;VALUE(LEFT(Sync!$U1592,FIND(":",Sync!$U1592)-1)),2)&amp;RIGHT("00"&amp;VALUE(MID(Sync!$U1592,FIND(":",Sync!$U1592)+1,2)),2),"0000"))))</f>
        <v/>
      </c>
    </row>
    <row r="1597" spans="1:17" x14ac:dyDescent="0.2">
      <c r="A1597" t="str">
        <f>IF(Sync!$T1593="","",Sync!$T1593)</f>
        <v/>
      </c>
      <c r="B1597" t="str">
        <f t="shared" si="144"/>
        <v/>
      </c>
      <c r="C1597" t="str">
        <f t="shared" si="145"/>
        <v/>
      </c>
      <c r="D1597" t="str">
        <f t="shared" si="146"/>
        <v/>
      </c>
      <c r="E1597" t="str">
        <f t="shared" si="147"/>
        <v/>
      </c>
      <c r="F1597" t="str">
        <f t="shared" si="148"/>
        <v/>
      </c>
      <c r="G1597" t="str">
        <f>IF(OR($E1597="",$E1597="نامعتبر",Sync!$X1593=""),"",IF(AND(LEFT(UPPER(TRIM(Sync!$X1593)),2)="SL",IFERROR(VLOOKUP(Sync!$W1593,OpTbl,3,0),"")="فروش"),UPPER(TRIM(Sync!$X1593)),""))</f>
        <v/>
      </c>
      <c r="H1597" t="str">
        <f>IF($G1597="","",IF(Sync!$W1593="","",Sync!$W1593))</f>
        <v/>
      </c>
      <c r="I1597" t="str">
        <f>IF(OR($G1597="",Sync!$Y1593=""),"",Sync!$Y1593)</f>
        <v/>
      </c>
      <c r="J1597" t="str">
        <f>IF(OR($G1597="",Sync!$Z1593=""),"",Sync!$Z1593)</f>
        <v/>
      </c>
      <c r="K1597">
        <f>IF($G1597="",0,IF(Sync!$AA1593="",0,Sync!$AA1593))</f>
        <v>0</v>
      </c>
      <c r="L1597">
        <f>IF($G1597="",0,IF(Sync!$AB1593="",0,Sync!$AB1593))</f>
        <v>0</v>
      </c>
      <c r="M1597" t="str">
        <f t="shared" si="149"/>
        <v/>
      </c>
      <c r="N1597">
        <f>IF($G1597="",0,IF($H1597="مرجوعی فروش",-1,1)*IF(Sync!$AC1593="",0,Sync!$AC1593))</f>
        <v>0</v>
      </c>
      <c r="O1597" t="str">
        <f>IF(OR($G1597="",Sync!$V1593=""),"",Sync!$V1593)</f>
        <v/>
      </c>
      <c r="P1597" t="str">
        <f>IF(OR($G1597="",Sync!$AD1593=""),"",Sync!$AD1593)</f>
        <v/>
      </c>
      <c r="Q1597" t="str">
        <f>IF($G1597="","",IF(Sync!$U1593="","0000",IF(AND(ISNUMBER(Sync!$U1593),Sync!$U1593&gt;=0,Sync!$U1593&lt;1),RIGHT("00"&amp;HOUR(Sync!$U1593),2)&amp;RIGHT("00"&amp;MINUTE(Sync!$U1593),2),IFERROR(RIGHT("00"&amp;VALUE(LEFT(Sync!$U1593,FIND(":",Sync!$U1593)-1)),2)&amp;RIGHT("00"&amp;VALUE(MID(Sync!$U1593,FIND(":",Sync!$U1593)+1,2)),2),"0000"))))</f>
        <v/>
      </c>
    </row>
    <row r="1598" spans="1:17" x14ac:dyDescent="0.2">
      <c r="A1598" t="str">
        <f>IF(Sync!$T1594="","",Sync!$T1594)</f>
        <v/>
      </c>
      <c r="B1598" t="str">
        <f t="shared" si="144"/>
        <v/>
      </c>
      <c r="C1598" t="str">
        <f t="shared" si="145"/>
        <v/>
      </c>
      <c r="D1598" t="str">
        <f t="shared" si="146"/>
        <v/>
      </c>
      <c r="E1598" t="str">
        <f t="shared" si="147"/>
        <v/>
      </c>
      <c r="F1598" t="str">
        <f t="shared" si="148"/>
        <v/>
      </c>
      <c r="G1598" t="str">
        <f>IF(OR($E1598="",$E1598="نامعتبر",Sync!$X1594=""),"",IF(AND(LEFT(UPPER(TRIM(Sync!$X1594)),2)="SL",IFERROR(VLOOKUP(Sync!$W1594,OpTbl,3,0),"")="فروش"),UPPER(TRIM(Sync!$X1594)),""))</f>
        <v/>
      </c>
      <c r="H1598" t="str">
        <f>IF($G1598="","",IF(Sync!$W1594="","",Sync!$W1594))</f>
        <v/>
      </c>
      <c r="I1598" t="str">
        <f>IF(OR($G1598="",Sync!$Y1594=""),"",Sync!$Y1594)</f>
        <v/>
      </c>
      <c r="J1598" t="str">
        <f>IF(OR($G1598="",Sync!$Z1594=""),"",Sync!$Z1594)</f>
        <v/>
      </c>
      <c r="K1598">
        <f>IF($G1598="",0,IF(Sync!$AA1594="",0,Sync!$AA1594))</f>
        <v>0</v>
      </c>
      <c r="L1598">
        <f>IF($G1598="",0,IF(Sync!$AB1594="",0,Sync!$AB1594))</f>
        <v>0</v>
      </c>
      <c r="M1598" t="str">
        <f t="shared" si="149"/>
        <v/>
      </c>
      <c r="N1598">
        <f>IF($G1598="",0,IF($H1598="مرجوعی فروش",-1,1)*IF(Sync!$AC1594="",0,Sync!$AC1594))</f>
        <v>0</v>
      </c>
      <c r="O1598" t="str">
        <f>IF(OR($G1598="",Sync!$V1594=""),"",Sync!$V1594)</f>
        <v/>
      </c>
      <c r="P1598" t="str">
        <f>IF(OR($G1598="",Sync!$AD1594=""),"",Sync!$AD1594)</f>
        <v/>
      </c>
      <c r="Q1598" t="str">
        <f>IF($G1598="","",IF(Sync!$U1594="","0000",IF(AND(ISNUMBER(Sync!$U1594),Sync!$U1594&gt;=0,Sync!$U1594&lt;1),RIGHT("00"&amp;HOUR(Sync!$U1594),2)&amp;RIGHT("00"&amp;MINUTE(Sync!$U1594),2),IFERROR(RIGHT("00"&amp;VALUE(LEFT(Sync!$U1594,FIND(":",Sync!$U1594)-1)),2)&amp;RIGHT("00"&amp;VALUE(MID(Sync!$U1594,FIND(":",Sync!$U1594)+1,2)),2),"0000"))))</f>
        <v/>
      </c>
    </row>
    <row r="1599" spans="1:17" x14ac:dyDescent="0.2">
      <c r="A1599" t="str">
        <f>IF(Sync!$T1595="","",Sync!$T1595)</f>
        <v/>
      </c>
      <c r="B1599" t="str">
        <f t="shared" si="144"/>
        <v/>
      </c>
      <c r="C1599" t="str">
        <f t="shared" si="145"/>
        <v/>
      </c>
      <c r="D1599" t="str">
        <f t="shared" si="146"/>
        <v/>
      </c>
      <c r="E1599" t="str">
        <f t="shared" si="147"/>
        <v/>
      </c>
      <c r="F1599" t="str">
        <f t="shared" si="148"/>
        <v/>
      </c>
      <c r="G1599" t="str">
        <f>IF(OR($E1599="",$E1599="نامعتبر",Sync!$X1595=""),"",IF(AND(LEFT(UPPER(TRIM(Sync!$X1595)),2)="SL",IFERROR(VLOOKUP(Sync!$W1595,OpTbl,3,0),"")="فروش"),UPPER(TRIM(Sync!$X1595)),""))</f>
        <v/>
      </c>
      <c r="H1599" t="str">
        <f>IF($G1599="","",IF(Sync!$W1595="","",Sync!$W1595))</f>
        <v/>
      </c>
      <c r="I1599" t="str">
        <f>IF(OR($G1599="",Sync!$Y1595=""),"",Sync!$Y1595)</f>
        <v/>
      </c>
      <c r="J1599" t="str">
        <f>IF(OR($G1599="",Sync!$Z1595=""),"",Sync!$Z1595)</f>
        <v/>
      </c>
      <c r="K1599">
        <f>IF($G1599="",0,IF(Sync!$AA1595="",0,Sync!$AA1595))</f>
        <v>0</v>
      </c>
      <c r="L1599">
        <f>IF($G1599="",0,IF(Sync!$AB1595="",0,Sync!$AB1595))</f>
        <v>0</v>
      </c>
      <c r="M1599" t="str">
        <f t="shared" si="149"/>
        <v/>
      </c>
      <c r="N1599">
        <f>IF($G1599="",0,IF($H1599="مرجوعی فروش",-1,1)*IF(Sync!$AC1595="",0,Sync!$AC1595))</f>
        <v>0</v>
      </c>
      <c r="O1599" t="str">
        <f>IF(OR($G1599="",Sync!$V1595=""),"",Sync!$V1595)</f>
        <v/>
      </c>
      <c r="P1599" t="str">
        <f>IF(OR($G1599="",Sync!$AD1595=""),"",Sync!$AD1595)</f>
        <v/>
      </c>
      <c r="Q1599" t="str">
        <f>IF($G1599="","",IF(Sync!$U1595="","0000",IF(AND(ISNUMBER(Sync!$U1595),Sync!$U1595&gt;=0,Sync!$U1595&lt;1),RIGHT("00"&amp;HOUR(Sync!$U1595),2)&amp;RIGHT("00"&amp;MINUTE(Sync!$U1595),2),IFERROR(RIGHT("00"&amp;VALUE(LEFT(Sync!$U1595,FIND(":",Sync!$U1595)-1)),2)&amp;RIGHT("00"&amp;VALUE(MID(Sync!$U1595,FIND(":",Sync!$U1595)+1,2)),2),"0000"))))</f>
        <v/>
      </c>
    </row>
    <row r="1600" spans="1:17" x14ac:dyDescent="0.2">
      <c r="A1600" t="str">
        <f>IF(Sync!$T1596="","",Sync!$T1596)</f>
        <v/>
      </c>
      <c r="B1600" t="str">
        <f t="shared" si="144"/>
        <v/>
      </c>
      <c r="C1600" t="str">
        <f t="shared" si="145"/>
        <v/>
      </c>
      <c r="D1600" t="str">
        <f t="shared" si="146"/>
        <v/>
      </c>
      <c r="E1600" t="str">
        <f t="shared" si="147"/>
        <v/>
      </c>
      <c r="F1600" t="str">
        <f t="shared" si="148"/>
        <v/>
      </c>
      <c r="G1600" t="str">
        <f>IF(OR($E1600="",$E1600="نامعتبر",Sync!$X1596=""),"",IF(AND(LEFT(UPPER(TRIM(Sync!$X1596)),2)="SL",IFERROR(VLOOKUP(Sync!$W1596,OpTbl,3,0),"")="فروش"),UPPER(TRIM(Sync!$X1596)),""))</f>
        <v/>
      </c>
      <c r="H1600" t="str">
        <f>IF($G1600="","",IF(Sync!$W1596="","",Sync!$W1596))</f>
        <v/>
      </c>
      <c r="I1600" t="str">
        <f>IF(OR($G1600="",Sync!$Y1596=""),"",Sync!$Y1596)</f>
        <v/>
      </c>
      <c r="J1600" t="str">
        <f>IF(OR($G1600="",Sync!$Z1596=""),"",Sync!$Z1596)</f>
        <v/>
      </c>
      <c r="K1600">
        <f>IF($G1600="",0,IF(Sync!$AA1596="",0,Sync!$AA1596))</f>
        <v>0</v>
      </c>
      <c r="L1600">
        <f>IF($G1600="",0,IF(Sync!$AB1596="",0,Sync!$AB1596))</f>
        <v>0</v>
      </c>
      <c r="M1600" t="str">
        <f t="shared" si="149"/>
        <v/>
      </c>
      <c r="N1600">
        <f>IF($G1600="",0,IF($H1600="مرجوعی فروش",-1,1)*IF(Sync!$AC1596="",0,Sync!$AC1596))</f>
        <v>0</v>
      </c>
      <c r="O1600" t="str">
        <f>IF(OR($G1600="",Sync!$V1596=""),"",Sync!$V1596)</f>
        <v/>
      </c>
      <c r="P1600" t="str">
        <f>IF(OR($G1600="",Sync!$AD1596=""),"",Sync!$AD1596)</f>
        <v/>
      </c>
      <c r="Q1600" t="str">
        <f>IF($G1600="","",IF(Sync!$U1596="","0000",IF(AND(ISNUMBER(Sync!$U1596),Sync!$U1596&gt;=0,Sync!$U1596&lt;1),RIGHT("00"&amp;HOUR(Sync!$U1596),2)&amp;RIGHT("00"&amp;MINUTE(Sync!$U1596),2),IFERROR(RIGHT("00"&amp;VALUE(LEFT(Sync!$U1596,FIND(":",Sync!$U1596)-1)),2)&amp;RIGHT("00"&amp;VALUE(MID(Sync!$U1596,FIND(":",Sync!$U1596)+1,2)),2),"0000"))))</f>
        <v/>
      </c>
    </row>
    <row r="1601" spans="1:17" x14ac:dyDescent="0.2">
      <c r="A1601" t="str">
        <f>IF(Sync!$T1597="","",Sync!$T1597)</f>
        <v/>
      </c>
      <c r="B1601" t="str">
        <f t="shared" si="144"/>
        <v/>
      </c>
      <c r="C1601" t="str">
        <f t="shared" si="145"/>
        <v/>
      </c>
      <c r="D1601" t="str">
        <f t="shared" si="146"/>
        <v/>
      </c>
      <c r="E1601" t="str">
        <f t="shared" si="147"/>
        <v/>
      </c>
      <c r="F1601" t="str">
        <f t="shared" si="148"/>
        <v/>
      </c>
      <c r="G1601" t="str">
        <f>IF(OR($E1601="",$E1601="نامعتبر",Sync!$X1597=""),"",IF(AND(LEFT(UPPER(TRIM(Sync!$X1597)),2)="SL",IFERROR(VLOOKUP(Sync!$W1597,OpTbl,3,0),"")="فروش"),UPPER(TRIM(Sync!$X1597)),""))</f>
        <v/>
      </c>
      <c r="H1601" t="str">
        <f>IF($G1601="","",IF(Sync!$W1597="","",Sync!$W1597))</f>
        <v/>
      </c>
      <c r="I1601" t="str">
        <f>IF(OR($G1601="",Sync!$Y1597=""),"",Sync!$Y1597)</f>
        <v/>
      </c>
      <c r="J1601" t="str">
        <f>IF(OR($G1601="",Sync!$Z1597=""),"",Sync!$Z1597)</f>
        <v/>
      </c>
      <c r="K1601">
        <f>IF($G1601="",0,IF(Sync!$AA1597="",0,Sync!$AA1597))</f>
        <v>0</v>
      </c>
      <c r="L1601">
        <f>IF($G1601="",0,IF(Sync!$AB1597="",0,Sync!$AB1597))</f>
        <v>0</v>
      </c>
      <c r="M1601" t="str">
        <f t="shared" si="149"/>
        <v/>
      </c>
      <c r="N1601">
        <f>IF($G1601="",0,IF($H1601="مرجوعی فروش",-1,1)*IF(Sync!$AC1597="",0,Sync!$AC1597))</f>
        <v>0</v>
      </c>
      <c r="O1601" t="str">
        <f>IF(OR($G1601="",Sync!$V1597=""),"",Sync!$V1597)</f>
        <v/>
      </c>
      <c r="P1601" t="str">
        <f>IF(OR($G1601="",Sync!$AD1597=""),"",Sync!$AD1597)</f>
        <v/>
      </c>
      <c r="Q1601" t="str">
        <f>IF($G1601="","",IF(Sync!$U1597="","0000",IF(AND(ISNUMBER(Sync!$U1597),Sync!$U1597&gt;=0,Sync!$U1597&lt;1),RIGHT("00"&amp;HOUR(Sync!$U1597),2)&amp;RIGHT("00"&amp;MINUTE(Sync!$U1597),2),IFERROR(RIGHT("00"&amp;VALUE(LEFT(Sync!$U1597,FIND(":",Sync!$U1597)-1)),2)&amp;RIGHT("00"&amp;VALUE(MID(Sync!$U1597,FIND(":",Sync!$U1597)+1,2)),2),"0000"))))</f>
        <v/>
      </c>
    </row>
    <row r="1602" spans="1:17" x14ac:dyDescent="0.2">
      <c r="A1602" t="str">
        <f>IF(Sync!$T1598="","",Sync!$T1598)</f>
        <v/>
      </c>
      <c r="B1602" t="str">
        <f t="shared" si="144"/>
        <v/>
      </c>
      <c r="C1602" t="str">
        <f t="shared" si="145"/>
        <v/>
      </c>
      <c r="D1602" t="str">
        <f t="shared" si="146"/>
        <v/>
      </c>
      <c r="E1602" t="str">
        <f t="shared" si="147"/>
        <v/>
      </c>
      <c r="F1602" t="str">
        <f t="shared" si="148"/>
        <v/>
      </c>
      <c r="G1602" t="str">
        <f>IF(OR($E1602="",$E1602="نامعتبر",Sync!$X1598=""),"",IF(AND(LEFT(UPPER(TRIM(Sync!$X1598)),2)="SL",IFERROR(VLOOKUP(Sync!$W1598,OpTbl,3,0),"")="فروش"),UPPER(TRIM(Sync!$X1598)),""))</f>
        <v/>
      </c>
      <c r="H1602" t="str">
        <f>IF($G1602="","",IF(Sync!$W1598="","",Sync!$W1598))</f>
        <v/>
      </c>
      <c r="I1602" t="str">
        <f>IF(OR($G1602="",Sync!$Y1598=""),"",Sync!$Y1598)</f>
        <v/>
      </c>
      <c r="J1602" t="str">
        <f>IF(OR($G1602="",Sync!$Z1598=""),"",Sync!$Z1598)</f>
        <v/>
      </c>
      <c r="K1602">
        <f>IF($G1602="",0,IF(Sync!$AA1598="",0,Sync!$AA1598))</f>
        <v>0</v>
      </c>
      <c r="L1602">
        <f>IF($G1602="",0,IF(Sync!$AB1598="",0,Sync!$AB1598))</f>
        <v>0</v>
      </c>
      <c r="M1602" t="str">
        <f t="shared" si="149"/>
        <v/>
      </c>
      <c r="N1602">
        <f>IF($G1602="",0,IF($H1602="مرجوعی فروش",-1,1)*IF(Sync!$AC1598="",0,Sync!$AC1598))</f>
        <v>0</v>
      </c>
      <c r="O1602" t="str">
        <f>IF(OR($G1602="",Sync!$V1598=""),"",Sync!$V1598)</f>
        <v/>
      </c>
      <c r="P1602" t="str">
        <f>IF(OR($G1602="",Sync!$AD1598=""),"",Sync!$AD1598)</f>
        <v/>
      </c>
      <c r="Q1602" t="str">
        <f>IF($G1602="","",IF(Sync!$U1598="","0000",IF(AND(ISNUMBER(Sync!$U1598),Sync!$U1598&gt;=0,Sync!$U1598&lt;1),RIGHT("00"&amp;HOUR(Sync!$U1598),2)&amp;RIGHT("00"&amp;MINUTE(Sync!$U1598),2),IFERROR(RIGHT("00"&amp;VALUE(LEFT(Sync!$U1598,FIND(":",Sync!$U1598)-1)),2)&amp;RIGHT("00"&amp;VALUE(MID(Sync!$U1598,FIND(":",Sync!$U1598)+1,2)),2),"0000"))))</f>
        <v/>
      </c>
    </row>
    <row r="1603" spans="1:17" x14ac:dyDescent="0.2">
      <c r="A1603" t="str">
        <f>IF(Sync!$T1599="","",Sync!$T1599)</f>
        <v/>
      </c>
      <c r="B1603" t="str">
        <f t="shared" si="144"/>
        <v/>
      </c>
      <c r="C1603" t="str">
        <f t="shared" si="145"/>
        <v/>
      </c>
      <c r="D1603" t="str">
        <f t="shared" si="146"/>
        <v/>
      </c>
      <c r="E1603" t="str">
        <f t="shared" si="147"/>
        <v/>
      </c>
      <c r="F1603" t="str">
        <f t="shared" si="148"/>
        <v/>
      </c>
      <c r="G1603" t="str">
        <f>IF(OR($E1603="",$E1603="نامعتبر",Sync!$X1599=""),"",IF(AND(LEFT(UPPER(TRIM(Sync!$X1599)),2)="SL",IFERROR(VLOOKUP(Sync!$W1599,OpTbl,3,0),"")="فروش"),UPPER(TRIM(Sync!$X1599)),""))</f>
        <v/>
      </c>
      <c r="H1603" t="str">
        <f>IF($G1603="","",IF(Sync!$W1599="","",Sync!$W1599))</f>
        <v/>
      </c>
      <c r="I1603" t="str">
        <f>IF(OR($G1603="",Sync!$Y1599=""),"",Sync!$Y1599)</f>
        <v/>
      </c>
      <c r="J1603" t="str">
        <f>IF(OR($G1603="",Sync!$Z1599=""),"",Sync!$Z1599)</f>
        <v/>
      </c>
      <c r="K1603">
        <f>IF($G1603="",0,IF(Sync!$AA1599="",0,Sync!$AA1599))</f>
        <v>0</v>
      </c>
      <c r="L1603">
        <f>IF($G1603="",0,IF(Sync!$AB1599="",0,Sync!$AB1599))</f>
        <v>0</v>
      </c>
      <c r="M1603" t="str">
        <f t="shared" si="149"/>
        <v/>
      </c>
      <c r="N1603">
        <f>IF($G1603="",0,IF($H1603="مرجوعی فروش",-1,1)*IF(Sync!$AC1599="",0,Sync!$AC1599))</f>
        <v>0</v>
      </c>
      <c r="O1603" t="str">
        <f>IF(OR($G1603="",Sync!$V1599=""),"",Sync!$V1599)</f>
        <v/>
      </c>
      <c r="P1603" t="str">
        <f>IF(OR($G1603="",Sync!$AD1599=""),"",Sync!$AD1599)</f>
        <v/>
      </c>
      <c r="Q1603" t="str">
        <f>IF($G1603="","",IF(Sync!$U1599="","0000",IF(AND(ISNUMBER(Sync!$U1599),Sync!$U1599&gt;=0,Sync!$U1599&lt;1),RIGHT("00"&amp;HOUR(Sync!$U1599),2)&amp;RIGHT("00"&amp;MINUTE(Sync!$U1599),2),IFERROR(RIGHT("00"&amp;VALUE(LEFT(Sync!$U1599,FIND(":",Sync!$U1599)-1)),2)&amp;RIGHT("00"&amp;VALUE(MID(Sync!$U1599,FIND(":",Sync!$U1599)+1,2)),2),"0000"))))</f>
        <v/>
      </c>
    </row>
    <row r="1604" spans="1:17" x14ac:dyDescent="0.2">
      <c r="A1604" t="str">
        <f>IF(Sync!$T1600="","",Sync!$T1600)</f>
        <v/>
      </c>
      <c r="B1604" t="str">
        <f t="shared" si="144"/>
        <v/>
      </c>
      <c r="C1604" t="str">
        <f t="shared" si="145"/>
        <v/>
      </c>
      <c r="D1604" t="str">
        <f t="shared" si="146"/>
        <v/>
      </c>
      <c r="E1604" t="str">
        <f t="shared" si="147"/>
        <v/>
      </c>
      <c r="F1604" t="str">
        <f t="shared" si="148"/>
        <v/>
      </c>
      <c r="G1604" t="str">
        <f>IF(OR($E1604="",$E1604="نامعتبر",Sync!$X1600=""),"",IF(AND(LEFT(UPPER(TRIM(Sync!$X1600)),2)="SL",IFERROR(VLOOKUP(Sync!$W1600,OpTbl,3,0),"")="فروش"),UPPER(TRIM(Sync!$X1600)),""))</f>
        <v/>
      </c>
      <c r="H1604" t="str">
        <f>IF($G1604="","",IF(Sync!$W1600="","",Sync!$W1600))</f>
        <v/>
      </c>
      <c r="I1604" t="str">
        <f>IF(OR($G1604="",Sync!$Y1600=""),"",Sync!$Y1600)</f>
        <v/>
      </c>
      <c r="J1604" t="str">
        <f>IF(OR($G1604="",Sync!$Z1600=""),"",Sync!$Z1600)</f>
        <v/>
      </c>
      <c r="K1604">
        <f>IF($G1604="",0,IF(Sync!$AA1600="",0,Sync!$AA1600))</f>
        <v>0</v>
      </c>
      <c r="L1604">
        <f>IF($G1604="",0,IF(Sync!$AB1600="",0,Sync!$AB1600))</f>
        <v>0</v>
      </c>
      <c r="M1604" t="str">
        <f t="shared" si="149"/>
        <v/>
      </c>
      <c r="N1604">
        <f>IF($G1604="",0,IF($H1604="مرجوعی فروش",-1,1)*IF(Sync!$AC1600="",0,Sync!$AC1600))</f>
        <v>0</v>
      </c>
      <c r="O1604" t="str">
        <f>IF(OR($G1604="",Sync!$V1600=""),"",Sync!$V1600)</f>
        <v/>
      </c>
      <c r="P1604" t="str">
        <f>IF(OR($G1604="",Sync!$AD1600=""),"",Sync!$AD1600)</f>
        <v/>
      </c>
      <c r="Q1604" t="str">
        <f>IF($G1604="","",IF(Sync!$U1600="","0000",IF(AND(ISNUMBER(Sync!$U1600),Sync!$U1600&gt;=0,Sync!$U1600&lt;1),RIGHT("00"&amp;HOUR(Sync!$U1600),2)&amp;RIGHT("00"&amp;MINUTE(Sync!$U1600),2),IFERROR(RIGHT("00"&amp;VALUE(LEFT(Sync!$U1600,FIND(":",Sync!$U1600)-1)),2)&amp;RIGHT("00"&amp;VALUE(MID(Sync!$U1600,FIND(":",Sync!$U1600)+1,2)),2),"0000"))))</f>
        <v/>
      </c>
    </row>
    <row r="1605" spans="1:17" x14ac:dyDescent="0.2">
      <c r="A1605" t="str">
        <f>IF(Sync!$T1601="","",Sync!$T1601)</f>
        <v/>
      </c>
      <c r="B1605" t="str">
        <f t="shared" si="144"/>
        <v/>
      </c>
      <c r="C1605" t="str">
        <f t="shared" si="145"/>
        <v/>
      </c>
      <c r="D1605" t="str">
        <f t="shared" si="146"/>
        <v/>
      </c>
      <c r="E1605" t="str">
        <f t="shared" si="147"/>
        <v/>
      </c>
      <c r="F1605" t="str">
        <f t="shared" si="148"/>
        <v/>
      </c>
      <c r="G1605" t="str">
        <f>IF(OR($E1605="",$E1605="نامعتبر",Sync!$X1601=""),"",IF(AND(LEFT(UPPER(TRIM(Sync!$X1601)),2)="SL",IFERROR(VLOOKUP(Sync!$W1601,OpTbl,3,0),"")="فروش"),UPPER(TRIM(Sync!$X1601)),""))</f>
        <v/>
      </c>
      <c r="H1605" t="str">
        <f>IF($G1605="","",IF(Sync!$W1601="","",Sync!$W1601))</f>
        <v/>
      </c>
      <c r="I1605" t="str">
        <f>IF(OR($G1605="",Sync!$Y1601=""),"",Sync!$Y1601)</f>
        <v/>
      </c>
      <c r="J1605" t="str">
        <f>IF(OR($G1605="",Sync!$Z1601=""),"",Sync!$Z1601)</f>
        <v/>
      </c>
      <c r="K1605">
        <f>IF($G1605="",0,IF(Sync!$AA1601="",0,Sync!$AA1601))</f>
        <v>0</v>
      </c>
      <c r="L1605">
        <f>IF($G1605="",0,IF(Sync!$AB1601="",0,Sync!$AB1601))</f>
        <v>0</v>
      </c>
      <c r="M1605" t="str">
        <f t="shared" si="149"/>
        <v/>
      </c>
      <c r="N1605">
        <f>IF($G1605="",0,IF($H1605="مرجوعی فروش",-1,1)*IF(Sync!$AC1601="",0,Sync!$AC1601))</f>
        <v>0</v>
      </c>
      <c r="O1605" t="str">
        <f>IF(OR($G1605="",Sync!$V1601=""),"",Sync!$V1601)</f>
        <v/>
      </c>
      <c r="P1605" t="str">
        <f>IF(OR($G1605="",Sync!$AD1601=""),"",Sync!$AD1601)</f>
        <v/>
      </c>
      <c r="Q1605" t="str">
        <f>IF($G1605="","",IF(Sync!$U1601="","0000",IF(AND(ISNUMBER(Sync!$U1601),Sync!$U1601&gt;=0,Sync!$U1601&lt;1),RIGHT("00"&amp;HOUR(Sync!$U1601),2)&amp;RIGHT("00"&amp;MINUTE(Sync!$U1601),2),IFERROR(RIGHT("00"&amp;VALUE(LEFT(Sync!$U1601,FIND(":",Sync!$U1601)-1)),2)&amp;RIGHT("00"&amp;VALUE(MID(Sync!$U1601,FIND(":",Sync!$U1601)+1,2)),2),"0000"))))</f>
        <v/>
      </c>
    </row>
    <row r="1606" spans="1:17" x14ac:dyDescent="0.2">
      <c r="A1606" t="str">
        <f>IF(Sync!$T1602="","",Sync!$T1602)</f>
        <v/>
      </c>
      <c r="B1606" t="str">
        <f t="shared" si="144"/>
        <v/>
      </c>
      <c r="C1606" t="str">
        <f t="shared" si="145"/>
        <v/>
      </c>
      <c r="D1606" t="str">
        <f t="shared" si="146"/>
        <v/>
      </c>
      <c r="E1606" t="str">
        <f t="shared" si="147"/>
        <v/>
      </c>
      <c r="F1606" t="str">
        <f t="shared" si="148"/>
        <v/>
      </c>
      <c r="G1606" t="str">
        <f>IF(OR($E1606="",$E1606="نامعتبر",Sync!$X1602=""),"",IF(AND(LEFT(UPPER(TRIM(Sync!$X1602)),2)="SL",IFERROR(VLOOKUP(Sync!$W1602,OpTbl,3,0),"")="فروش"),UPPER(TRIM(Sync!$X1602)),""))</f>
        <v/>
      </c>
      <c r="H1606" t="str">
        <f>IF($G1606="","",IF(Sync!$W1602="","",Sync!$W1602))</f>
        <v/>
      </c>
      <c r="I1606" t="str">
        <f>IF(OR($G1606="",Sync!$Y1602=""),"",Sync!$Y1602)</f>
        <v/>
      </c>
      <c r="J1606" t="str">
        <f>IF(OR($G1606="",Sync!$Z1602=""),"",Sync!$Z1602)</f>
        <v/>
      </c>
      <c r="K1606">
        <f>IF($G1606="",0,IF(Sync!$AA1602="",0,Sync!$AA1602))</f>
        <v>0</v>
      </c>
      <c r="L1606">
        <f>IF($G1606="",0,IF(Sync!$AB1602="",0,Sync!$AB1602))</f>
        <v>0</v>
      </c>
      <c r="M1606" t="str">
        <f t="shared" si="149"/>
        <v/>
      </c>
      <c r="N1606">
        <f>IF($G1606="",0,IF($H1606="مرجوعی فروش",-1,1)*IF(Sync!$AC1602="",0,Sync!$AC1602))</f>
        <v>0</v>
      </c>
      <c r="O1606" t="str">
        <f>IF(OR($G1606="",Sync!$V1602=""),"",Sync!$V1602)</f>
        <v/>
      </c>
      <c r="P1606" t="str">
        <f>IF(OR($G1606="",Sync!$AD1602=""),"",Sync!$AD1602)</f>
        <v/>
      </c>
      <c r="Q1606" t="str">
        <f>IF($G1606="","",IF(Sync!$U1602="","0000",IF(AND(ISNUMBER(Sync!$U1602),Sync!$U1602&gt;=0,Sync!$U1602&lt;1),RIGHT("00"&amp;HOUR(Sync!$U1602),2)&amp;RIGHT("00"&amp;MINUTE(Sync!$U1602),2),IFERROR(RIGHT("00"&amp;VALUE(LEFT(Sync!$U1602,FIND(":",Sync!$U1602)-1)),2)&amp;RIGHT("00"&amp;VALUE(MID(Sync!$U1602,FIND(":",Sync!$U1602)+1,2)),2),"0000"))))</f>
        <v/>
      </c>
    </row>
    <row r="1607" spans="1:17" x14ac:dyDescent="0.2">
      <c r="A1607" t="str">
        <f>IF(Sync!$T1603="","",Sync!$T1603)</f>
        <v/>
      </c>
      <c r="B1607" t="str">
        <f t="shared" si="144"/>
        <v/>
      </c>
      <c r="C1607" t="str">
        <f t="shared" si="145"/>
        <v/>
      </c>
      <c r="D1607" t="str">
        <f t="shared" si="146"/>
        <v/>
      </c>
      <c r="E1607" t="str">
        <f t="shared" si="147"/>
        <v/>
      </c>
      <c r="F1607" t="str">
        <f t="shared" si="148"/>
        <v/>
      </c>
      <c r="G1607" t="str">
        <f>IF(OR($E1607="",$E1607="نامعتبر",Sync!$X1603=""),"",IF(AND(LEFT(UPPER(TRIM(Sync!$X1603)),2)="SL",IFERROR(VLOOKUP(Sync!$W1603,OpTbl,3,0),"")="فروش"),UPPER(TRIM(Sync!$X1603)),""))</f>
        <v/>
      </c>
      <c r="H1607" t="str">
        <f>IF($G1607="","",IF(Sync!$W1603="","",Sync!$W1603))</f>
        <v/>
      </c>
      <c r="I1607" t="str">
        <f>IF(OR($G1607="",Sync!$Y1603=""),"",Sync!$Y1603)</f>
        <v/>
      </c>
      <c r="J1607" t="str">
        <f>IF(OR($G1607="",Sync!$Z1603=""),"",Sync!$Z1603)</f>
        <v/>
      </c>
      <c r="K1607">
        <f>IF($G1607="",0,IF(Sync!$AA1603="",0,Sync!$AA1603))</f>
        <v>0</v>
      </c>
      <c r="L1607">
        <f>IF($G1607="",0,IF(Sync!$AB1603="",0,Sync!$AB1603))</f>
        <v>0</v>
      </c>
      <c r="M1607" t="str">
        <f t="shared" si="149"/>
        <v/>
      </c>
      <c r="N1607">
        <f>IF($G1607="",0,IF($H1607="مرجوعی فروش",-1,1)*IF(Sync!$AC1603="",0,Sync!$AC1603))</f>
        <v>0</v>
      </c>
      <c r="O1607" t="str">
        <f>IF(OR($G1607="",Sync!$V1603=""),"",Sync!$V1603)</f>
        <v/>
      </c>
      <c r="P1607" t="str">
        <f>IF(OR($G1607="",Sync!$AD1603=""),"",Sync!$AD1603)</f>
        <v/>
      </c>
      <c r="Q1607" t="str">
        <f>IF($G1607="","",IF(Sync!$U1603="","0000",IF(AND(ISNUMBER(Sync!$U1603),Sync!$U1603&gt;=0,Sync!$U1603&lt;1),RIGHT("00"&amp;HOUR(Sync!$U1603),2)&amp;RIGHT("00"&amp;MINUTE(Sync!$U1603),2),IFERROR(RIGHT("00"&amp;VALUE(LEFT(Sync!$U1603,FIND(":",Sync!$U1603)-1)),2)&amp;RIGHT("00"&amp;VALUE(MID(Sync!$U1603,FIND(":",Sync!$U1603)+1,2)),2),"0000"))))</f>
        <v/>
      </c>
    </row>
    <row r="1608" spans="1:17" x14ac:dyDescent="0.2">
      <c r="A1608" t="str">
        <f>IF(Sync!$T1604="","",Sync!$T1604)</f>
        <v/>
      </c>
      <c r="B1608" t="str">
        <f t="shared" si="144"/>
        <v/>
      </c>
      <c r="C1608" t="str">
        <f t="shared" si="145"/>
        <v/>
      </c>
      <c r="D1608" t="str">
        <f t="shared" si="146"/>
        <v/>
      </c>
      <c r="E1608" t="str">
        <f t="shared" si="147"/>
        <v/>
      </c>
      <c r="F1608" t="str">
        <f t="shared" si="148"/>
        <v/>
      </c>
      <c r="G1608" t="str">
        <f>IF(OR($E1608="",$E1608="نامعتبر",Sync!$X1604=""),"",IF(AND(LEFT(UPPER(TRIM(Sync!$X1604)),2)="SL",IFERROR(VLOOKUP(Sync!$W1604,OpTbl,3,0),"")="فروش"),UPPER(TRIM(Sync!$X1604)),""))</f>
        <v/>
      </c>
      <c r="H1608" t="str">
        <f>IF($G1608="","",IF(Sync!$W1604="","",Sync!$W1604))</f>
        <v/>
      </c>
      <c r="I1608" t="str">
        <f>IF(OR($G1608="",Sync!$Y1604=""),"",Sync!$Y1604)</f>
        <v/>
      </c>
      <c r="J1608" t="str">
        <f>IF(OR($G1608="",Sync!$Z1604=""),"",Sync!$Z1604)</f>
        <v/>
      </c>
      <c r="K1608">
        <f>IF($G1608="",0,IF(Sync!$AA1604="",0,Sync!$AA1604))</f>
        <v>0</v>
      </c>
      <c r="L1608">
        <f>IF($G1608="",0,IF(Sync!$AB1604="",0,Sync!$AB1604))</f>
        <v>0</v>
      </c>
      <c r="M1608" t="str">
        <f t="shared" si="149"/>
        <v/>
      </c>
      <c r="N1608">
        <f>IF($G1608="",0,IF($H1608="مرجوعی فروش",-1,1)*IF(Sync!$AC1604="",0,Sync!$AC1604))</f>
        <v>0</v>
      </c>
      <c r="O1608" t="str">
        <f>IF(OR($G1608="",Sync!$V1604=""),"",Sync!$V1604)</f>
        <v/>
      </c>
      <c r="P1608" t="str">
        <f>IF(OR($G1608="",Sync!$AD1604=""),"",Sync!$AD1604)</f>
        <v/>
      </c>
      <c r="Q1608" t="str">
        <f>IF($G1608="","",IF(Sync!$U1604="","0000",IF(AND(ISNUMBER(Sync!$U1604),Sync!$U1604&gt;=0,Sync!$U1604&lt;1),RIGHT("00"&amp;HOUR(Sync!$U1604),2)&amp;RIGHT("00"&amp;MINUTE(Sync!$U1604),2),IFERROR(RIGHT("00"&amp;VALUE(LEFT(Sync!$U1604,FIND(":",Sync!$U1604)-1)),2)&amp;RIGHT("00"&amp;VALUE(MID(Sync!$U1604,FIND(":",Sync!$U1604)+1,2)),2),"0000"))))</f>
        <v/>
      </c>
    </row>
    <row r="1609" spans="1:17" x14ac:dyDescent="0.2">
      <c r="A1609" t="str">
        <f>IF(Sync!$T1605="","",Sync!$T1605)</f>
        <v/>
      </c>
      <c r="B1609" t="str">
        <f t="shared" si="144"/>
        <v/>
      </c>
      <c r="C1609" t="str">
        <f t="shared" si="145"/>
        <v/>
      </c>
      <c r="D1609" t="str">
        <f t="shared" si="146"/>
        <v/>
      </c>
      <c r="E1609" t="str">
        <f t="shared" si="147"/>
        <v/>
      </c>
      <c r="F1609" t="str">
        <f t="shared" si="148"/>
        <v/>
      </c>
      <c r="G1609" t="str">
        <f>IF(OR($E1609="",$E1609="نامعتبر",Sync!$X1605=""),"",IF(AND(LEFT(UPPER(TRIM(Sync!$X1605)),2)="SL",IFERROR(VLOOKUP(Sync!$W1605,OpTbl,3,0),"")="فروش"),UPPER(TRIM(Sync!$X1605)),""))</f>
        <v/>
      </c>
      <c r="H1609" t="str">
        <f>IF($G1609="","",IF(Sync!$W1605="","",Sync!$W1605))</f>
        <v/>
      </c>
      <c r="I1609" t="str">
        <f>IF(OR($G1609="",Sync!$Y1605=""),"",Sync!$Y1605)</f>
        <v/>
      </c>
      <c r="J1609" t="str">
        <f>IF(OR($G1609="",Sync!$Z1605=""),"",Sync!$Z1605)</f>
        <v/>
      </c>
      <c r="K1609">
        <f>IF($G1609="",0,IF(Sync!$AA1605="",0,Sync!$AA1605))</f>
        <v>0</v>
      </c>
      <c r="L1609">
        <f>IF($G1609="",0,IF(Sync!$AB1605="",0,Sync!$AB1605))</f>
        <v>0</v>
      </c>
      <c r="M1609" t="str">
        <f t="shared" si="149"/>
        <v/>
      </c>
      <c r="N1609">
        <f>IF($G1609="",0,IF($H1609="مرجوعی فروش",-1,1)*IF(Sync!$AC1605="",0,Sync!$AC1605))</f>
        <v>0</v>
      </c>
      <c r="O1609" t="str">
        <f>IF(OR($G1609="",Sync!$V1605=""),"",Sync!$V1605)</f>
        <v/>
      </c>
      <c r="P1609" t="str">
        <f>IF(OR($G1609="",Sync!$AD1605=""),"",Sync!$AD1605)</f>
        <v/>
      </c>
      <c r="Q1609" t="str">
        <f>IF($G1609="","",IF(Sync!$U1605="","0000",IF(AND(ISNUMBER(Sync!$U1605),Sync!$U1605&gt;=0,Sync!$U1605&lt;1),RIGHT("00"&amp;HOUR(Sync!$U1605),2)&amp;RIGHT("00"&amp;MINUTE(Sync!$U1605),2),IFERROR(RIGHT("00"&amp;VALUE(LEFT(Sync!$U1605,FIND(":",Sync!$U1605)-1)),2)&amp;RIGHT("00"&amp;VALUE(MID(Sync!$U1605,FIND(":",Sync!$U1605)+1,2)),2),"0000"))))</f>
        <v/>
      </c>
    </row>
    <row r="1610" spans="1:17" x14ac:dyDescent="0.2">
      <c r="A1610" t="str">
        <f>IF(Sync!$T1606="","",Sync!$T1606)</f>
        <v/>
      </c>
      <c r="B1610" t="str">
        <f t="shared" ref="B1610:B1673" si="150">IF($A1610="","",IF(ISNUMBER($A1610),IF(AND($A1610&gt;=10000101,$A1610&lt;=99991231),INT($A1610/10000),""),IFERROR(VALUE(TRIM(LEFT($A1610,FIND("/",$A1610)-1))),"")))</f>
        <v/>
      </c>
      <c r="C1610" t="str">
        <f t="shared" ref="C1610:C1673" si="151">IF(OR($A1610="",$B1610=""),"",IF(ISNUMBER($A1610),INT(MOD($A1610,10000)/100),IFERROR(VALUE(TRIM(LEFT(MID($A1610,FIND("/",$A1610)+1,20),FIND("/",MID($A1610,FIND("/",$A1610)+1,20))-1))),"")))</f>
        <v/>
      </c>
      <c r="D1610" t="str">
        <f t="shared" ref="D1610:D1673" si="152">IF(OR($A1610="",$B1610=""),"",IF(ISNUMBER($A1610),MOD($A1610,100),IFERROR(VALUE(TRIM(MID(MID($A1610,FIND("/",$A1610)+1,20),FIND("/",MID($A1610,FIND("/",$A1610)+1,20))+1,20))),"")))</f>
        <v/>
      </c>
      <c r="E1610" t="str">
        <f t="shared" ref="E1610:E1673" si="153">IF($A1610="","",IF(OR($B1610="",$C1610="",$D1610="",$B1610&lt;1300,$B1610&gt;1500,$C1610&lt;1,$C1610&gt;12,$D1610&lt;1,$D1610&gt;31),"نامعتبر",RIGHT("0000"&amp;$B1610,4)&amp;"/"&amp;RIGHT("00"&amp;$C1610,2)&amp;"/"&amp;RIGHT("00"&amp;$D1610,2)))</f>
        <v/>
      </c>
      <c r="F1610" t="str">
        <f t="shared" ref="F1610:F1673" si="154">IF(OR($E1610="",$E1610="نامعتبر"),"",LEFT($E1610,4)&amp;"/"&amp;MID($E1610,6,2))</f>
        <v/>
      </c>
      <c r="G1610" t="str">
        <f>IF(OR($E1610="",$E1610="نامعتبر",Sync!$X1606=""),"",IF(AND(LEFT(UPPER(TRIM(Sync!$X1606)),2)="SL",IFERROR(VLOOKUP(Sync!$W1606,OpTbl,3,0),"")="فروش"),UPPER(TRIM(Sync!$X1606)),""))</f>
        <v/>
      </c>
      <c r="H1610" t="str">
        <f>IF($G1610="","",IF(Sync!$W1606="","",Sync!$W1606))</f>
        <v/>
      </c>
      <c r="I1610" t="str">
        <f>IF(OR($G1610="",Sync!$Y1606=""),"",Sync!$Y1606)</f>
        <v/>
      </c>
      <c r="J1610" t="str">
        <f>IF(OR($G1610="",Sync!$Z1606=""),"",Sync!$Z1606)</f>
        <v/>
      </c>
      <c r="K1610">
        <f>IF($G1610="",0,IF(Sync!$AA1606="",0,Sync!$AA1606))</f>
        <v>0</v>
      </c>
      <c r="L1610">
        <f>IF($G1610="",0,IF(Sync!$AB1606="",0,Sync!$AB1606))</f>
        <v>0</v>
      </c>
      <c r="M1610" t="str">
        <f t="shared" ref="M1610:M1673" si="155">IF($G1610="","",IF($H1610="مرجوعی فروش",-1,1)*($K1610-$L1610*IFERROR(VLOOKUP("P01",ParamTbl,3,0),1.5)))</f>
        <v/>
      </c>
      <c r="N1610">
        <f>IF($G1610="",0,IF($H1610="مرجوعی فروش",-1,1)*IF(Sync!$AC1606="",0,Sync!$AC1606))</f>
        <v>0</v>
      </c>
      <c r="O1610" t="str">
        <f>IF(OR($G1610="",Sync!$V1606=""),"",Sync!$V1606)</f>
        <v/>
      </c>
      <c r="P1610" t="str">
        <f>IF(OR($G1610="",Sync!$AD1606=""),"",Sync!$AD1606)</f>
        <v/>
      </c>
      <c r="Q1610" t="str">
        <f>IF($G1610="","",IF(Sync!$U1606="","0000",IF(AND(ISNUMBER(Sync!$U1606),Sync!$U1606&gt;=0,Sync!$U1606&lt;1),RIGHT("00"&amp;HOUR(Sync!$U1606),2)&amp;RIGHT("00"&amp;MINUTE(Sync!$U1606),2),IFERROR(RIGHT("00"&amp;VALUE(LEFT(Sync!$U1606,FIND(":",Sync!$U1606)-1)),2)&amp;RIGHT("00"&amp;VALUE(MID(Sync!$U1606,FIND(":",Sync!$U1606)+1,2)),2),"0000"))))</f>
        <v/>
      </c>
    </row>
    <row r="1611" spans="1:17" x14ac:dyDescent="0.2">
      <c r="A1611" t="str">
        <f>IF(Sync!$T1607="","",Sync!$T1607)</f>
        <v/>
      </c>
      <c r="B1611" t="str">
        <f t="shared" si="150"/>
        <v/>
      </c>
      <c r="C1611" t="str">
        <f t="shared" si="151"/>
        <v/>
      </c>
      <c r="D1611" t="str">
        <f t="shared" si="152"/>
        <v/>
      </c>
      <c r="E1611" t="str">
        <f t="shared" si="153"/>
        <v/>
      </c>
      <c r="F1611" t="str">
        <f t="shared" si="154"/>
        <v/>
      </c>
      <c r="G1611" t="str">
        <f>IF(OR($E1611="",$E1611="نامعتبر",Sync!$X1607=""),"",IF(AND(LEFT(UPPER(TRIM(Sync!$X1607)),2)="SL",IFERROR(VLOOKUP(Sync!$W1607,OpTbl,3,0),"")="فروش"),UPPER(TRIM(Sync!$X1607)),""))</f>
        <v/>
      </c>
      <c r="H1611" t="str">
        <f>IF($G1611="","",IF(Sync!$W1607="","",Sync!$W1607))</f>
        <v/>
      </c>
      <c r="I1611" t="str">
        <f>IF(OR($G1611="",Sync!$Y1607=""),"",Sync!$Y1607)</f>
        <v/>
      </c>
      <c r="J1611" t="str">
        <f>IF(OR($G1611="",Sync!$Z1607=""),"",Sync!$Z1607)</f>
        <v/>
      </c>
      <c r="K1611">
        <f>IF($G1611="",0,IF(Sync!$AA1607="",0,Sync!$AA1607))</f>
        <v>0</v>
      </c>
      <c r="L1611">
        <f>IF($G1611="",0,IF(Sync!$AB1607="",0,Sync!$AB1607))</f>
        <v>0</v>
      </c>
      <c r="M1611" t="str">
        <f t="shared" si="155"/>
        <v/>
      </c>
      <c r="N1611">
        <f>IF($G1611="",0,IF($H1611="مرجوعی فروش",-1,1)*IF(Sync!$AC1607="",0,Sync!$AC1607))</f>
        <v>0</v>
      </c>
      <c r="O1611" t="str">
        <f>IF(OR($G1611="",Sync!$V1607=""),"",Sync!$V1607)</f>
        <v/>
      </c>
      <c r="P1611" t="str">
        <f>IF(OR($G1611="",Sync!$AD1607=""),"",Sync!$AD1607)</f>
        <v/>
      </c>
      <c r="Q1611" t="str">
        <f>IF($G1611="","",IF(Sync!$U1607="","0000",IF(AND(ISNUMBER(Sync!$U1607),Sync!$U1607&gt;=0,Sync!$U1607&lt;1),RIGHT("00"&amp;HOUR(Sync!$U1607),2)&amp;RIGHT("00"&amp;MINUTE(Sync!$U1607),2),IFERROR(RIGHT("00"&amp;VALUE(LEFT(Sync!$U1607,FIND(":",Sync!$U1607)-1)),2)&amp;RIGHT("00"&amp;VALUE(MID(Sync!$U1607,FIND(":",Sync!$U1607)+1,2)),2),"0000"))))</f>
        <v/>
      </c>
    </row>
    <row r="1612" spans="1:17" x14ac:dyDescent="0.2">
      <c r="A1612" t="str">
        <f>IF(Sync!$T1608="","",Sync!$T1608)</f>
        <v/>
      </c>
      <c r="B1612" t="str">
        <f t="shared" si="150"/>
        <v/>
      </c>
      <c r="C1612" t="str">
        <f t="shared" si="151"/>
        <v/>
      </c>
      <c r="D1612" t="str">
        <f t="shared" si="152"/>
        <v/>
      </c>
      <c r="E1612" t="str">
        <f t="shared" si="153"/>
        <v/>
      </c>
      <c r="F1612" t="str">
        <f t="shared" si="154"/>
        <v/>
      </c>
      <c r="G1612" t="str">
        <f>IF(OR($E1612="",$E1612="نامعتبر",Sync!$X1608=""),"",IF(AND(LEFT(UPPER(TRIM(Sync!$X1608)),2)="SL",IFERROR(VLOOKUP(Sync!$W1608,OpTbl,3,0),"")="فروش"),UPPER(TRIM(Sync!$X1608)),""))</f>
        <v/>
      </c>
      <c r="H1612" t="str">
        <f>IF($G1612="","",IF(Sync!$W1608="","",Sync!$W1608))</f>
        <v/>
      </c>
      <c r="I1612" t="str">
        <f>IF(OR($G1612="",Sync!$Y1608=""),"",Sync!$Y1608)</f>
        <v/>
      </c>
      <c r="J1612" t="str">
        <f>IF(OR($G1612="",Sync!$Z1608=""),"",Sync!$Z1608)</f>
        <v/>
      </c>
      <c r="K1612">
        <f>IF($G1612="",0,IF(Sync!$AA1608="",0,Sync!$AA1608))</f>
        <v>0</v>
      </c>
      <c r="L1612">
        <f>IF($G1612="",0,IF(Sync!$AB1608="",0,Sync!$AB1608))</f>
        <v>0</v>
      </c>
      <c r="M1612" t="str">
        <f t="shared" si="155"/>
        <v/>
      </c>
      <c r="N1612">
        <f>IF($G1612="",0,IF($H1612="مرجوعی فروش",-1,1)*IF(Sync!$AC1608="",0,Sync!$AC1608))</f>
        <v>0</v>
      </c>
      <c r="O1612" t="str">
        <f>IF(OR($G1612="",Sync!$V1608=""),"",Sync!$V1608)</f>
        <v/>
      </c>
      <c r="P1612" t="str">
        <f>IF(OR($G1612="",Sync!$AD1608=""),"",Sync!$AD1608)</f>
        <v/>
      </c>
      <c r="Q1612" t="str">
        <f>IF($G1612="","",IF(Sync!$U1608="","0000",IF(AND(ISNUMBER(Sync!$U1608),Sync!$U1608&gt;=0,Sync!$U1608&lt;1),RIGHT("00"&amp;HOUR(Sync!$U1608),2)&amp;RIGHT("00"&amp;MINUTE(Sync!$U1608),2),IFERROR(RIGHT("00"&amp;VALUE(LEFT(Sync!$U1608,FIND(":",Sync!$U1608)-1)),2)&amp;RIGHT("00"&amp;VALUE(MID(Sync!$U1608,FIND(":",Sync!$U1608)+1,2)),2),"0000"))))</f>
        <v/>
      </c>
    </row>
    <row r="1613" spans="1:17" x14ac:dyDescent="0.2">
      <c r="A1613" t="str">
        <f>IF(Sync!$T1609="","",Sync!$T1609)</f>
        <v/>
      </c>
      <c r="B1613" t="str">
        <f t="shared" si="150"/>
        <v/>
      </c>
      <c r="C1613" t="str">
        <f t="shared" si="151"/>
        <v/>
      </c>
      <c r="D1613" t="str">
        <f t="shared" si="152"/>
        <v/>
      </c>
      <c r="E1613" t="str">
        <f t="shared" si="153"/>
        <v/>
      </c>
      <c r="F1613" t="str">
        <f t="shared" si="154"/>
        <v/>
      </c>
      <c r="G1613" t="str">
        <f>IF(OR($E1613="",$E1613="نامعتبر",Sync!$X1609=""),"",IF(AND(LEFT(UPPER(TRIM(Sync!$X1609)),2)="SL",IFERROR(VLOOKUP(Sync!$W1609,OpTbl,3,0),"")="فروش"),UPPER(TRIM(Sync!$X1609)),""))</f>
        <v/>
      </c>
      <c r="H1613" t="str">
        <f>IF($G1613="","",IF(Sync!$W1609="","",Sync!$W1609))</f>
        <v/>
      </c>
      <c r="I1613" t="str">
        <f>IF(OR($G1613="",Sync!$Y1609=""),"",Sync!$Y1609)</f>
        <v/>
      </c>
      <c r="J1613" t="str">
        <f>IF(OR($G1613="",Sync!$Z1609=""),"",Sync!$Z1609)</f>
        <v/>
      </c>
      <c r="K1613">
        <f>IF($G1613="",0,IF(Sync!$AA1609="",0,Sync!$AA1609))</f>
        <v>0</v>
      </c>
      <c r="L1613">
        <f>IF($G1613="",0,IF(Sync!$AB1609="",0,Sync!$AB1609))</f>
        <v>0</v>
      </c>
      <c r="M1613" t="str">
        <f t="shared" si="155"/>
        <v/>
      </c>
      <c r="N1613">
        <f>IF($G1613="",0,IF($H1613="مرجوعی فروش",-1,1)*IF(Sync!$AC1609="",0,Sync!$AC1609))</f>
        <v>0</v>
      </c>
      <c r="O1613" t="str">
        <f>IF(OR($G1613="",Sync!$V1609=""),"",Sync!$V1609)</f>
        <v/>
      </c>
      <c r="P1613" t="str">
        <f>IF(OR($G1613="",Sync!$AD1609=""),"",Sync!$AD1609)</f>
        <v/>
      </c>
      <c r="Q1613" t="str">
        <f>IF($G1613="","",IF(Sync!$U1609="","0000",IF(AND(ISNUMBER(Sync!$U1609),Sync!$U1609&gt;=0,Sync!$U1609&lt;1),RIGHT("00"&amp;HOUR(Sync!$U1609),2)&amp;RIGHT("00"&amp;MINUTE(Sync!$U1609),2),IFERROR(RIGHT("00"&amp;VALUE(LEFT(Sync!$U1609,FIND(":",Sync!$U1609)-1)),2)&amp;RIGHT("00"&amp;VALUE(MID(Sync!$U1609,FIND(":",Sync!$U1609)+1,2)),2),"0000"))))</f>
        <v/>
      </c>
    </row>
    <row r="1614" spans="1:17" x14ac:dyDescent="0.2">
      <c r="A1614" t="str">
        <f>IF(Sync!$T1610="","",Sync!$T1610)</f>
        <v/>
      </c>
      <c r="B1614" t="str">
        <f t="shared" si="150"/>
        <v/>
      </c>
      <c r="C1614" t="str">
        <f t="shared" si="151"/>
        <v/>
      </c>
      <c r="D1614" t="str">
        <f t="shared" si="152"/>
        <v/>
      </c>
      <c r="E1614" t="str">
        <f t="shared" si="153"/>
        <v/>
      </c>
      <c r="F1614" t="str">
        <f t="shared" si="154"/>
        <v/>
      </c>
      <c r="G1614" t="str">
        <f>IF(OR($E1614="",$E1614="نامعتبر",Sync!$X1610=""),"",IF(AND(LEFT(UPPER(TRIM(Sync!$X1610)),2)="SL",IFERROR(VLOOKUP(Sync!$W1610,OpTbl,3,0),"")="فروش"),UPPER(TRIM(Sync!$X1610)),""))</f>
        <v/>
      </c>
      <c r="H1614" t="str">
        <f>IF($G1614="","",IF(Sync!$W1610="","",Sync!$W1610))</f>
        <v/>
      </c>
      <c r="I1614" t="str">
        <f>IF(OR($G1614="",Sync!$Y1610=""),"",Sync!$Y1610)</f>
        <v/>
      </c>
      <c r="J1614" t="str">
        <f>IF(OR($G1614="",Sync!$Z1610=""),"",Sync!$Z1610)</f>
        <v/>
      </c>
      <c r="K1614">
        <f>IF($G1614="",0,IF(Sync!$AA1610="",0,Sync!$AA1610))</f>
        <v>0</v>
      </c>
      <c r="L1614">
        <f>IF($G1614="",0,IF(Sync!$AB1610="",0,Sync!$AB1610))</f>
        <v>0</v>
      </c>
      <c r="M1614" t="str">
        <f t="shared" si="155"/>
        <v/>
      </c>
      <c r="N1614">
        <f>IF($G1614="",0,IF($H1614="مرجوعی فروش",-1,1)*IF(Sync!$AC1610="",0,Sync!$AC1610))</f>
        <v>0</v>
      </c>
      <c r="O1614" t="str">
        <f>IF(OR($G1614="",Sync!$V1610=""),"",Sync!$V1610)</f>
        <v/>
      </c>
      <c r="P1614" t="str">
        <f>IF(OR($G1614="",Sync!$AD1610=""),"",Sync!$AD1610)</f>
        <v/>
      </c>
      <c r="Q1614" t="str">
        <f>IF($G1614="","",IF(Sync!$U1610="","0000",IF(AND(ISNUMBER(Sync!$U1610),Sync!$U1610&gt;=0,Sync!$U1610&lt;1),RIGHT("00"&amp;HOUR(Sync!$U1610),2)&amp;RIGHT("00"&amp;MINUTE(Sync!$U1610),2),IFERROR(RIGHT("00"&amp;VALUE(LEFT(Sync!$U1610,FIND(":",Sync!$U1610)-1)),2)&amp;RIGHT("00"&amp;VALUE(MID(Sync!$U1610,FIND(":",Sync!$U1610)+1,2)),2),"0000"))))</f>
        <v/>
      </c>
    </row>
    <row r="1615" spans="1:17" x14ac:dyDescent="0.2">
      <c r="A1615" t="str">
        <f>IF(Sync!$T1611="","",Sync!$T1611)</f>
        <v/>
      </c>
      <c r="B1615" t="str">
        <f t="shared" si="150"/>
        <v/>
      </c>
      <c r="C1615" t="str">
        <f t="shared" si="151"/>
        <v/>
      </c>
      <c r="D1615" t="str">
        <f t="shared" si="152"/>
        <v/>
      </c>
      <c r="E1615" t="str">
        <f t="shared" si="153"/>
        <v/>
      </c>
      <c r="F1615" t="str">
        <f t="shared" si="154"/>
        <v/>
      </c>
      <c r="G1615" t="str">
        <f>IF(OR($E1615="",$E1615="نامعتبر",Sync!$X1611=""),"",IF(AND(LEFT(UPPER(TRIM(Sync!$X1611)),2)="SL",IFERROR(VLOOKUP(Sync!$W1611,OpTbl,3,0),"")="فروش"),UPPER(TRIM(Sync!$X1611)),""))</f>
        <v/>
      </c>
      <c r="H1615" t="str">
        <f>IF($G1615="","",IF(Sync!$W1611="","",Sync!$W1611))</f>
        <v/>
      </c>
      <c r="I1615" t="str">
        <f>IF(OR($G1615="",Sync!$Y1611=""),"",Sync!$Y1611)</f>
        <v/>
      </c>
      <c r="J1615" t="str">
        <f>IF(OR($G1615="",Sync!$Z1611=""),"",Sync!$Z1611)</f>
        <v/>
      </c>
      <c r="K1615">
        <f>IF($G1615="",0,IF(Sync!$AA1611="",0,Sync!$AA1611))</f>
        <v>0</v>
      </c>
      <c r="L1615">
        <f>IF($G1615="",0,IF(Sync!$AB1611="",0,Sync!$AB1611))</f>
        <v>0</v>
      </c>
      <c r="M1615" t="str">
        <f t="shared" si="155"/>
        <v/>
      </c>
      <c r="N1615">
        <f>IF($G1615="",0,IF($H1615="مرجوعی فروش",-1,1)*IF(Sync!$AC1611="",0,Sync!$AC1611))</f>
        <v>0</v>
      </c>
      <c r="O1615" t="str">
        <f>IF(OR($G1615="",Sync!$V1611=""),"",Sync!$V1611)</f>
        <v/>
      </c>
      <c r="P1615" t="str">
        <f>IF(OR($G1615="",Sync!$AD1611=""),"",Sync!$AD1611)</f>
        <v/>
      </c>
      <c r="Q1615" t="str">
        <f>IF($G1615="","",IF(Sync!$U1611="","0000",IF(AND(ISNUMBER(Sync!$U1611),Sync!$U1611&gt;=0,Sync!$U1611&lt;1),RIGHT("00"&amp;HOUR(Sync!$U1611),2)&amp;RIGHT("00"&amp;MINUTE(Sync!$U1611),2),IFERROR(RIGHT("00"&amp;VALUE(LEFT(Sync!$U1611,FIND(":",Sync!$U1611)-1)),2)&amp;RIGHT("00"&amp;VALUE(MID(Sync!$U1611,FIND(":",Sync!$U1611)+1,2)),2),"0000"))))</f>
        <v/>
      </c>
    </row>
    <row r="1616" spans="1:17" x14ac:dyDescent="0.2">
      <c r="A1616" t="str">
        <f>IF(Sync!$T1612="","",Sync!$T1612)</f>
        <v/>
      </c>
      <c r="B1616" t="str">
        <f t="shared" si="150"/>
        <v/>
      </c>
      <c r="C1616" t="str">
        <f t="shared" si="151"/>
        <v/>
      </c>
      <c r="D1616" t="str">
        <f t="shared" si="152"/>
        <v/>
      </c>
      <c r="E1616" t="str">
        <f t="shared" si="153"/>
        <v/>
      </c>
      <c r="F1616" t="str">
        <f t="shared" si="154"/>
        <v/>
      </c>
      <c r="G1616" t="str">
        <f>IF(OR($E1616="",$E1616="نامعتبر",Sync!$X1612=""),"",IF(AND(LEFT(UPPER(TRIM(Sync!$X1612)),2)="SL",IFERROR(VLOOKUP(Sync!$W1612,OpTbl,3,0),"")="فروش"),UPPER(TRIM(Sync!$X1612)),""))</f>
        <v/>
      </c>
      <c r="H1616" t="str">
        <f>IF($G1616="","",IF(Sync!$W1612="","",Sync!$W1612))</f>
        <v/>
      </c>
      <c r="I1616" t="str">
        <f>IF(OR($G1616="",Sync!$Y1612=""),"",Sync!$Y1612)</f>
        <v/>
      </c>
      <c r="J1616" t="str">
        <f>IF(OR($G1616="",Sync!$Z1612=""),"",Sync!$Z1612)</f>
        <v/>
      </c>
      <c r="K1616">
        <f>IF($G1616="",0,IF(Sync!$AA1612="",0,Sync!$AA1612))</f>
        <v>0</v>
      </c>
      <c r="L1616">
        <f>IF($G1616="",0,IF(Sync!$AB1612="",0,Sync!$AB1612))</f>
        <v>0</v>
      </c>
      <c r="M1616" t="str">
        <f t="shared" si="155"/>
        <v/>
      </c>
      <c r="N1616">
        <f>IF($G1616="",0,IF($H1616="مرجوعی فروش",-1,1)*IF(Sync!$AC1612="",0,Sync!$AC1612))</f>
        <v>0</v>
      </c>
      <c r="O1616" t="str">
        <f>IF(OR($G1616="",Sync!$V1612=""),"",Sync!$V1612)</f>
        <v/>
      </c>
      <c r="P1616" t="str">
        <f>IF(OR($G1616="",Sync!$AD1612=""),"",Sync!$AD1612)</f>
        <v/>
      </c>
      <c r="Q1616" t="str">
        <f>IF($G1616="","",IF(Sync!$U1612="","0000",IF(AND(ISNUMBER(Sync!$U1612),Sync!$U1612&gt;=0,Sync!$U1612&lt;1),RIGHT("00"&amp;HOUR(Sync!$U1612),2)&amp;RIGHT("00"&amp;MINUTE(Sync!$U1612),2),IFERROR(RIGHT("00"&amp;VALUE(LEFT(Sync!$U1612,FIND(":",Sync!$U1612)-1)),2)&amp;RIGHT("00"&amp;VALUE(MID(Sync!$U1612,FIND(":",Sync!$U1612)+1,2)),2),"0000"))))</f>
        <v/>
      </c>
    </row>
    <row r="1617" spans="1:17" x14ac:dyDescent="0.2">
      <c r="A1617" t="str">
        <f>IF(Sync!$T1613="","",Sync!$T1613)</f>
        <v/>
      </c>
      <c r="B1617" t="str">
        <f t="shared" si="150"/>
        <v/>
      </c>
      <c r="C1617" t="str">
        <f t="shared" si="151"/>
        <v/>
      </c>
      <c r="D1617" t="str">
        <f t="shared" si="152"/>
        <v/>
      </c>
      <c r="E1617" t="str">
        <f t="shared" si="153"/>
        <v/>
      </c>
      <c r="F1617" t="str">
        <f t="shared" si="154"/>
        <v/>
      </c>
      <c r="G1617" t="str">
        <f>IF(OR($E1617="",$E1617="نامعتبر",Sync!$X1613=""),"",IF(AND(LEFT(UPPER(TRIM(Sync!$X1613)),2)="SL",IFERROR(VLOOKUP(Sync!$W1613,OpTbl,3,0),"")="فروش"),UPPER(TRIM(Sync!$X1613)),""))</f>
        <v/>
      </c>
      <c r="H1617" t="str">
        <f>IF($G1617="","",IF(Sync!$W1613="","",Sync!$W1613))</f>
        <v/>
      </c>
      <c r="I1617" t="str">
        <f>IF(OR($G1617="",Sync!$Y1613=""),"",Sync!$Y1613)</f>
        <v/>
      </c>
      <c r="J1617" t="str">
        <f>IF(OR($G1617="",Sync!$Z1613=""),"",Sync!$Z1613)</f>
        <v/>
      </c>
      <c r="K1617">
        <f>IF($G1617="",0,IF(Sync!$AA1613="",0,Sync!$AA1613))</f>
        <v>0</v>
      </c>
      <c r="L1617">
        <f>IF($G1617="",0,IF(Sync!$AB1613="",0,Sync!$AB1613))</f>
        <v>0</v>
      </c>
      <c r="M1617" t="str">
        <f t="shared" si="155"/>
        <v/>
      </c>
      <c r="N1617">
        <f>IF($G1617="",0,IF($H1617="مرجوعی فروش",-1,1)*IF(Sync!$AC1613="",0,Sync!$AC1613))</f>
        <v>0</v>
      </c>
      <c r="O1617" t="str">
        <f>IF(OR($G1617="",Sync!$V1613=""),"",Sync!$V1613)</f>
        <v/>
      </c>
      <c r="P1617" t="str">
        <f>IF(OR($G1617="",Sync!$AD1613=""),"",Sync!$AD1613)</f>
        <v/>
      </c>
      <c r="Q1617" t="str">
        <f>IF($G1617="","",IF(Sync!$U1613="","0000",IF(AND(ISNUMBER(Sync!$U1613),Sync!$U1613&gt;=0,Sync!$U1613&lt;1),RIGHT("00"&amp;HOUR(Sync!$U1613),2)&amp;RIGHT("00"&amp;MINUTE(Sync!$U1613),2),IFERROR(RIGHT("00"&amp;VALUE(LEFT(Sync!$U1613,FIND(":",Sync!$U1613)-1)),2)&amp;RIGHT("00"&amp;VALUE(MID(Sync!$U1613,FIND(":",Sync!$U1613)+1,2)),2),"0000"))))</f>
        <v/>
      </c>
    </row>
    <row r="1618" spans="1:17" x14ac:dyDescent="0.2">
      <c r="A1618" t="str">
        <f>IF(Sync!$T1614="","",Sync!$T1614)</f>
        <v/>
      </c>
      <c r="B1618" t="str">
        <f t="shared" si="150"/>
        <v/>
      </c>
      <c r="C1618" t="str">
        <f t="shared" si="151"/>
        <v/>
      </c>
      <c r="D1618" t="str">
        <f t="shared" si="152"/>
        <v/>
      </c>
      <c r="E1618" t="str">
        <f t="shared" si="153"/>
        <v/>
      </c>
      <c r="F1618" t="str">
        <f t="shared" si="154"/>
        <v/>
      </c>
      <c r="G1618" t="str">
        <f>IF(OR($E1618="",$E1618="نامعتبر",Sync!$X1614=""),"",IF(AND(LEFT(UPPER(TRIM(Sync!$X1614)),2)="SL",IFERROR(VLOOKUP(Sync!$W1614,OpTbl,3,0),"")="فروش"),UPPER(TRIM(Sync!$X1614)),""))</f>
        <v/>
      </c>
      <c r="H1618" t="str">
        <f>IF($G1618="","",IF(Sync!$W1614="","",Sync!$W1614))</f>
        <v/>
      </c>
      <c r="I1618" t="str">
        <f>IF(OR($G1618="",Sync!$Y1614=""),"",Sync!$Y1614)</f>
        <v/>
      </c>
      <c r="J1618" t="str">
        <f>IF(OR($G1618="",Sync!$Z1614=""),"",Sync!$Z1614)</f>
        <v/>
      </c>
      <c r="K1618">
        <f>IF($G1618="",0,IF(Sync!$AA1614="",0,Sync!$AA1614))</f>
        <v>0</v>
      </c>
      <c r="L1618">
        <f>IF($G1618="",0,IF(Sync!$AB1614="",0,Sync!$AB1614))</f>
        <v>0</v>
      </c>
      <c r="M1618" t="str">
        <f t="shared" si="155"/>
        <v/>
      </c>
      <c r="N1618">
        <f>IF($G1618="",0,IF($H1618="مرجوعی فروش",-1,1)*IF(Sync!$AC1614="",0,Sync!$AC1614))</f>
        <v>0</v>
      </c>
      <c r="O1618" t="str">
        <f>IF(OR($G1618="",Sync!$V1614=""),"",Sync!$V1614)</f>
        <v/>
      </c>
      <c r="P1618" t="str">
        <f>IF(OR($G1618="",Sync!$AD1614=""),"",Sync!$AD1614)</f>
        <v/>
      </c>
      <c r="Q1618" t="str">
        <f>IF($G1618="","",IF(Sync!$U1614="","0000",IF(AND(ISNUMBER(Sync!$U1614),Sync!$U1614&gt;=0,Sync!$U1614&lt;1),RIGHT("00"&amp;HOUR(Sync!$U1614),2)&amp;RIGHT("00"&amp;MINUTE(Sync!$U1614),2),IFERROR(RIGHT("00"&amp;VALUE(LEFT(Sync!$U1614,FIND(":",Sync!$U1614)-1)),2)&amp;RIGHT("00"&amp;VALUE(MID(Sync!$U1614,FIND(":",Sync!$U1614)+1,2)),2),"0000"))))</f>
        <v/>
      </c>
    </row>
    <row r="1619" spans="1:17" x14ac:dyDescent="0.2">
      <c r="A1619" t="str">
        <f>IF(Sync!$T1615="","",Sync!$T1615)</f>
        <v/>
      </c>
      <c r="B1619" t="str">
        <f t="shared" si="150"/>
        <v/>
      </c>
      <c r="C1619" t="str">
        <f t="shared" si="151"/>
        <v/>
      </c>
      <c r="D1619" t="str">
        <f t="shared" si="152"/>
        <v/>
      </c>
      <c r="E1619" t="str">
        <f t="shared" si="153"/>
        <v/>
      </c>
      <c r="F1619" t="str">
        <f t="shared" si="154"/>
        <v/>
      </c>
      <c r="G1619" t="str">
        <f>IF(OR($E1619="",$E1619="نامعتبر",Sync!$X1615=""),"",IF(AND(LEFT(UPPER(TRIM(Sync!$X1615)),2)="SL",IFERROR(VLOOKUP(Sync!$W1615,OpTbl,3,0),"")="فروش"),UPPER(TRIM(Sync!$X1615)),""))</f>
        <v/>
      </c>
      <c r="H1619" t="str">
        <f>IF($G1619="","",IF(Sync!$W1615="","",Sync!$W1615))</f>
        <v/>
      </c>
      <c r="I1619" t="str">
        <f>IF(OR($G1619="",Sync!$Y1615=""),"",Sync!$Y1615)</f>
        <v/>
      </c>
      <c r="J1619" t="str">
        <f>IF(OR($G1619="",Sync!$Z1615=""),"",Sync!$Z1615)</f>
        <v/>
      </c>
      <c r="K1619">
        <f>IF($G1619="",0,IF(Sync!$AA1615="",0,Sync!$AA1615))</f>
        <v>0</v>
      </c>
      <c r="L1619">
        <f>IF($G1619="",0,IF(Sync!$AB1615="",0,Sync!$AB1615))</f>
        <v>0</v>
      </c>
      <c r="M1619" t="str">
        <f t="shared" si="155"/>
        <v/>
      </c>
      <c r="N1619">
        <f>IF($G1619="",0,IF($H1619="مرجوعی فروش",-1,1)*IF(Sync!$AC1615="",0,Sync!$AC1615))</f>
        <v>0</v>
      </c>
      <c r="O1619" t="str">
        <f>IF(OR($G1619="",Sync!$V1615=""),"",Sync!$V1615)</f>
        <v/>
      </c>
      <c r="P1619" t="str">
        <f>IF(OR($G1619="",Sync!$AD1615=""),"",Sync!$AD1615)</f>
        <v/>
      </c>
      <c r="Q1619" t="str">
        <f>IF($G1619="","",IF(Sync!$U1615="","0000",IF(AND(ISNUMBER(Sync!$U1615),Sync!$U1615&gt;=0,Sync!$U1615&lt;1),RIGHT("00"&amp;HOUR(Sync!$U1615),2)&amp;RIGHT("00"&amp;MINUTE(Sync!$U1615),2),IFERROR(RIGHT("00"&amp;VALUE(LEFT(Sync!$U1615,FIND(":",Sync!$U1615)-1)),2)&amp;RIGHT("00"&amp;VALUE(MID(Sync!$U1615,FIND(":",Sync!$U1615)+1,2)),2),"0000"))))</f>
        <v/>
      </c>
    </row>
    <row r="1620" spans="1:17" x14ac:dyDescent="0.2">
      <c r="A1620" t="str">
        <f>IF(Sync!$T1616="","",Sync!$T1616)</f>
        <v/>
      </c>
      <c r="B1620" t="str">
        <f t="shared" si="150"/>
        <v/>
      </c>
      <c r="C1620" t="str">
        <f t="shared" si="151"/>
        <v/>
      </c>
      <c r="D1620" t="str">
        <f t="shared" si="152"/>
        <v/>
      </c>
      <c r="E1620" t="str">
        <f t="shared" si="153"/>
        <v/>
      </c>
      <c r="F1620" t="str">
        <f t="shared" si="154"/>
        <v/>
      </c>
      <c r="G1620" t="str">
        <f>IF(OR($E1620="",$E1620="نامعتبر",Sync!$X1616=""),"",IF(AND(LEFT(UPPER(TRIM(Sync!$X1616)),2)="SL",IFERROR(VLOOKUP(Sync!$W1616,OpTbl,3,0),"")="فروش"),UPPER(TRIM(Sync!$X1616)),""))</f>
        <v/>
      </c>
      <c r="H1620" t="str">
        <f>IF($G1620="","",IF(Sync!$W1616="","",Sync!$W1616))</f>
        <v/>
      </c>
      <c r="I1620" t="str">
        <f>IF(OR($G1620="",Sync!$Y1616=""),"",Sync!$Y1616)</f>
        <v/>
      </c>
      <c r="J1620" t="str">
        <f>IF(OR($G1620="",Sync!$Z1616=""),"",Sync!$Z1616)</f>
        <v/>
      </c>
      <c r="K1620">
        <f>IF($G1620="",0,IF(Sync!$AA1616="",0,Sync!$AA1616))</f>
        <v>0</v>
      </c>
      <c r="L1620">
        <f>IF($G1620="",0,IF(Sync!$AB1616="",0,Sync!$AB1616))</f>
        <v>0</v>
      </c>
      <c r="M1620" t="str">
        <f t="shared" si="155"/>
        <v/>
      </c>
      <c r="N1620">
        <f>IF($G1620="",0,IF($H1620="مرجوعی فروش",-1,1)*IF(Sync!$AC1616="",0,Sync!$AC1616))</f>
        <v>0</v>
      </c>
      <c r="O1620" t="str">
        <f>IF(OR($G1620="",Sync!$V1616=""),"",Sync!$V1616)</f>
        <v/>
      </c>
      <c r="P1620" t="str">
        <f>IF(OR($G1620="",Sync!$AD1616=""),"",Sync!$AD1616)</f>
        <v/>
      </c>
      <c r="Q1620" t="str">
        <f>IF($G1620="","",IF(Sync!$U1616="","0000",IF(AND(ISNUMBER(Sync!$U1616),Sync!$U1616&gt;=0,Sync!$U1616&lt;1),RIGHT("00"&amp;HOUR(Sync!$U1616),2)&amp;RIGHT("00"&amp;MINUTE(Sync!$U1616),2),IFERROR(RIGHT("00"&amp;VALUE(LEFT(Sync!$U1616,FIND(":",Sync!$U1616)-1)),2)&amp;RIGHT("00"&amp;VALUE(MID(Sync!$U1616,FIND(":",Sync!$U1616)+1,2)),2),"0000"))))</f>
        <v/>
      </c>
    </row>
    <row r="1621" spans="1:17" x14ac:dyDescent="0.2">
      <c r="A1621" t="str">
        <f>IF(Sync!$T1617="","",Sync!$T1617)</f>
        <v/>
      </c>
      <c r="B1621" t="str">
        <f t="shared" si="150"/>
        <v/>
      </c>
      <c r="C1621" t="str">
        <f t="shared" si="151"/>
        <v/>
      </c>
      <c r="D1621" t="str">
        <f t="shared" si="152"/>
        <v/>
      </c>
      <c r="E1621" t="str">
        <f t="shared" si="153"/>
        <v/>
      </c>
      <c r="F1621" t="str">
        <f t="shared" si="154"/>
        <v/>
      </c>
      <c r="G1621" t="str">
        <f>IF(OR($E1621="",$E1621="نامعتبر",Sync!$X1617=""),"",IF(AND(LEFT(UPPER(TRIM(Sync!$X1617)),2)="SL",IFERROR(VLOOKUP(Sync!$W1617,OpTbl,3,0),"")="فروش"),UPPER(TRIM(Sync!$X1617)),""))</f>
        <v/>
      </c>
      <c r="H1621" t="str">
        <f>IF($G1621="","",IF(Sync!$W1617="","",Sync!$W1617))</f>
        <v/>
      </c>
      <c r="I1621" t="str">
        <f>IF(OR($G1621="",Sync!$Y1617=""),"",Sync!$Y1617)</f>
        <v/>
      </c>
      <c r="J1621" t="str">
        <f>IF(OR($G1621="",Sync!$Z1617=""),"",Sync!$Z1617)</f>
        <v/>
      </c>
      <c r="K1621">
        <f>IF($G1621="",0,IF(Sync!$AA1617="",0,Sync!$AA1617))</f>
        <v>0</v>
      </c>
      <c r="L1621">
        <f>IF($G1621="",0,IF(Sync!$AB1617="",0,Sync!$AB1617))</f>
        <v>0</v>
      </c>
      <c r="M1621" t="str">
        <f t="shared" si="155"/>
        <v/>
      </c>
      <c r="N1621">
        <f>IF($G1621="",0,IF($H1621="مرجوعی فروش",-1,1)*IF(Sync!$AC1617="",0,Sync!$AC1617))</f>
        <v>0</v>
      </c>
      <c r="O1621" t="str">
        <f>IF(OR($G1621="",Sync!$V1617=""),"",Sync!$V1617)</f>
        <v/>
      </c>
      <c r="P1621" t="str">
        <f>IF(OR($G1621="",Sync!$AD1617=""),"",Sync!$AD1617)</f>
        <v/>
      </c>
      <c r="Q1621" t="str">
        <f>IF($G1621="","",IF(Sync!$U1617="","0000",IF(AND(ISNUMBER(Sync!$U1617),Sync!$U1617&gt;=0,Sync!$U1617&lt;1),RIGHT("00"&amp;HOUR(Sync!$U1617),2)&amp;RIGHT("00"&amp;MINUTE(Sync!$U1617),2),IFERROR(RIGHT("00"&amp;VALUE(LEFT(Sync!$U1617,FIND(":",Sync!$U1617)-1)),2)&amp;RIGHT("00"&amp;VALUE(MID(Sync!$U1617,FIND(":",Sync!$U1617)+1,2)),2),"0000"))))</f>
        <v/>
      </c>
    </row>
    <row r="1622" spans="1:17" x14ac:dyDescent="0.2">
      <c r="A1622" t="str">
        <f>IF(Sync!$T1618="","",Sync!$T1618)</f>
        <v/>
      </c>
      <c r="B1622" t="str">
        <f t="shared" si="150"/>
        <v/>
      </c>
      <c r="C1622" t="str">
        <f t="shared" si="151"/>
        <v/>
      </c>
      <c r="D1622" t="str">
        <f t="shared" si="152"/>
        <v/>
      </c>
      <c r="E1622" t="str">
        <f t="shared" si="153"/>
        <v/>
      </c>
      <c r="F1622" t="str">
        <f t="shared" si="154"/>
        <v/>
      </c>
      <c r="G1622" t="str">
        <f>IF(OR($E1622="",$E1622="نامعتبر",Sync!$X1618=""),"",IF(AND(LEFT(UPPER(TRIM(Sync!$X1618)),2)="SL",IFERROR(VLOOKUP(Sync!$W1618,OpTbl,3,0),"")="فروش"),UPPER(TRIM(Sync!$X1618)),""))</f>
        <v/>
      </c>
      <c r="H1622" t="str">
        <f>IF($G1622="","",IF(Sync!$W1618="","",Sync!$W1618))</f>
        <v/>
      </c>
      <c r="I1622" t="str">
        <f>IF(OR($G1622="",Sync!$Y1618=""),"",Sync!$Y1618)</f>
        <v/>
      </c>
      <c r="J1622" t="str">
        <f>IF(OR($G1622="",Sync!$Z1618=""),"",Sync!$Z1618)</f>
        <v/>
      </c>
      <c r="K1622">
        <f>IF($G1622="",0,IF(Sync!$AA1618="",0,Sync!$AA1618))</f>
        <v>0</v>
      </c>
      <c r="L1622">
        <f>IF($G1622="",0,IF(Sync!$AB1618="",0,Sync!$AB1618))</f>
        <v>0</v>
      </c>
      <c r="M1622" t="str">
        <f t="shared" si="155"/>
        <v/>
      </c>
      <c r="N1622">
        <f>IF($G1622="",0,IF($H1622="مرجوعی فروش",-1,1)*IF(Sync!$AC1618="",0,Sync!$AC1618))</f>
        <v>0</v>
      </c>
      <c r="O1622" t="str">
        <f>IF(OR($G1622="",Sync!$V1618=""),"",Sync!$V1618)</f>
        <v/>
      </c>
      <c r="P1622" t="str">
        <f>IF(OR($G1622="",Sync!$AD1618=""),"",Sync!$AD1618)</f>
        <v/>
      </c>
      <c r="Q1622" t="str">
        <f>IF($G1622="","",IF(Sync!$U1618="","0000",IF(AND(ISNUMBER(Sync!$U1618),Sync!$U1618&gt;=0,Sync!$U1618&lt;1),RIGHT("00"&amp;HOUR(Sync!$U1618),2)&amp;RIGHT("00"&amp;MINUTE(Sync!$U1618),2),IFERROR(RIGHT("00"&amp;VALUE(LEFT(Sync!$U1618,FIND(":",Sync!$U1618)-1)),2)&amp;RIGHT("00"&amp;VALUE(MID(Sync!$U1618,FIND(":",Sync!$U1618)+1,2)),2),"0000"))))</f>
        <v/>
      </c>
    </row>
    <row r="1623" spans="1:17" x14ac:dyDescent="0.2">
      <c r="A1623" t="str">
        <f>IF(Sync!$T1619="","",Sync!$T1619)</f>
        <v/>
      </c>
      <c r="B1623" t="str">
        <f t="shared" si="150"/>
        <v/>
      </c>
      <c r="C1623" t="str">
        <f t="shared" si="151"/>
        <v/>
      </c>
      <c r="D1623" t="str">
        <f t="shared" si="152"/>
        <v/>
      </c>
      <c r="E1623" t="str">
        <f t="shared" si="153"/>
        <v/>
      </c>
      <c r="F1623" t="str">
        <f t="shared" si="154"/>
        <v/>
      </c>
      <c r="G1623" t="str">
        <f>IF(OR($E1623="",$E1623="نامعتبر",Sync!$X1619=""),"",IF(AND(LEFT(UPPER(TRIM(Sync!$X1619)),2)="SL",IFERROR(VLOOKUP(Sync!$W1619,OpTbl,3,0),"")="فروش"),UPPER(TRIM(Sync!$X1619)),""))</f>
        <v/>
      </c>
      <c r="H1623" t="str">
        <f>IF($G1623="","",IF(Sync!$W1619="","",Sync!$W1619))</f>
        <v/>
      </c>
      <c r="I1623" t="str">
        <f>IF(OR($G1623="",Sync!$Y1619=""),"",Sync!$Y1619)</f>
        <v/>
      </c>
      <c r="J1623" t="str">
        <f>IF(OR($G1623="",Sync!$Z1619=""),"",Sync!$Z1619)</f>
        <v/>
      </c>
      <c r="K1623">
        <f>IF($G1623="",0,IF(Sync!$AA1619="",0,Sync!$AA1619))</f>
        <v>0</v>
      </c>
      <c r="L1623">
        <f>IF($G1623="",0,IF(Sync!$AB1619="",0,Sync!$AB1619))</f>
        <v>0</v>
      </c>
      <c r="M1623" t="str">
        <f t="shared" si="155"/>
        <v/>
      </c>
      <c r="N1623">
        <f>IF($G1623="",0,IF($H1623="مرجوعی فروش",-1,1)*IF(Sync!$AC1619="",0,Sync!$AC1619))</f>
        <v>0</v>
      </c>
      <c r="O1623" t="str">
        <f>IF(OR($G1623="",Sync!$V1619=""),"",Sync!$V1619)</f>
        <v/>
      </c>
      <c r="P1623" t="str">
        <f>IF(OR($G1623="",Sync!$AD1619=""),"",Sync!$AD1619)</f>
        <v/>
      </c>
      <c r="Q1623" t="str">
        <f>IF($G1623="","",IF(Sync!$U1619="","0000",IF(AND(ISNUMBER(Sync!$U1619),Sync!$U1619&gt;=0,Sync!$U1619&lt;1),RIGHT("00"&amp;HOUR(Sync!$U1619),2)&amp;RIGHT("00"&amp;MINUTE(Sync!$U1619),2),IFERROR(RIGHT("00"&amp;VALUE(LEFT(Sync!$U1619,FIND(":",Sync!$U1619)-1)),2)&amp;RIGHT("00"&amp;VALUE(MID(Sync!$U1619,FIND(":",Sync!$U1619)+1,2)),2),"0000"))))</f>
        <v/>
      </c>
    </row>
    <row r="1624" spans="1:17" x14ac:dyDescent="0.2">
      <c r="A1624" t="str">
        <f>IF(Sync!$T1620="","",Sync!$T1620)</f>
        <v/>
      </c>
      <c r="B1624" t="str">
        <f t="shared" si="150"/>
        <v/>
      </c>
      <c r="C1624" t="str">
        <f t="shared" si="151"/>
        <v/>
      </c>
      <c r="D1624" t="str">
        <f t="shared" si="152"/>
        <v/>
      </c>
      <c r="E1624" t="str">
        <f t="shared" si="153"/>
        <v/>
      </c>
      <c r="F1624" t="str">
        <f t="shared" si="154"/>
        <v/>
      </c>
      <c r="G1624" t="str">
        <f>IF(OR($E1624="",$E1624="نامعتبر",Sync!$X1620=""),"",IF(AND(LEFT(UPPER(TRIM(Sync!$X1620)),2)="SL",IFERROR(VLOOKUP(Sync!$W1620,OpTbl,3,0),"")="فروش"),UPPER(TRIM(Sync!$X1620)),""))</f>
        <v/>
      </c>
      <c r="H1624" t="str">
        <f>IF($G1624="","",IF(Sync!$W1620="","",Sync!$W1620))</f>
        <v/>
      </c>
      <c r="I1624" t="str">
        <f>IF(OR($G1624="",Sync!$Y1620=""),"",Sync!$Y1620)</f>
        <v/>
      </c>
      <c r="J1624" t="str">
        <f>IF(OR($G1624="",Sync!$Z1620=""),"",Sync!$Z1620)</f>
        <v/>
      </c>
      <c r="K1624">
        <f>IF($G1624="",0,IF(Sync!$AA1620="",0,Sync!$AA1620))</f>
        <v>0</v>
      </c>
      <c r="L1624">
        <f>IF($G1624="",0,IF(Sync!$AB1620="",0,Sync!$AB1620))</f>
        <v>0</v>
      </c>
      <c r="M1624" t="str">
        <f t="shared" si="155"/>
        <v/>
      </c>
      <c r="N1624">
        <f>IF($G1624="",0,IF($H1624="مرجوعی فروش",-1,1)*IF(Sync!$AC1620="",0,Sync!$AC1620))</f>
        <v>0</v>
      </c>
      <c r="O1624" t="str">
        <f>IF(OR($G1624="",Sync!$V1620=""),"",Sync!$V1620)</f>
        <v/>
      </c>
      <c r="P1624" t="str">
        <f>IF(OR($G1624="",Sync!$AD1620=""),"",Sync!$AD1620)</f>
        <v/>
      </c>
      <c r="Q1624" t="str">
        <f>IF($G1624="","",IF(Sync!$U1620="","0000",IF(AND(ISNUMBER(Sync!$U1620),Sync!$U1620&gt;=0,Sync!$U1620&lt;1),RIGHT("00"&amp;HOUR(Sync!$U1620),2)&amp;RIGHT("00"&amp;MINUTE(Sync!$U1620),2),IFERROR(RIGHT("00"&amp;VALUE(LEFT(Sync!$U1620,FIND(":",Sync!$U1620)-1)),2)&amp;RIGHT("00"&amp;VALUE(MID(Sync!$U1620,FIND(":",Sync!$U1620)+1,2)),2),"0000"))))</f>
        <v/>
      </c>
    </row>
    <row r="1625" spans="1:17" x14ac:dyDescent="0.2">
      <c r="A1625" t="str">
        <f>IF(Sync!$T1621="","",Sync!$T1621)</f>
        <v/>
      </c>
      <c r="B1625" t="str">
        <f t="shared" si="150"/>
        <v/>
      </c>
      <c r="C1625" t="str">
        <f t="shared" si="151"/>
        <v/>
      </c>
      <c r="D1625" t="str">
        <f t="shared" si="152"/>
        <v/>
      </c>
      <c r="E1625" t="str">
        <f t="shared" si="153"/>
        <v/>
      </c>
      <c r="F1625" t="str">
        <f t="shared" si="154"/>
        <v/>
      </c>
      <c r="G1625" t="str">
        <f>IF(OR($E1625="",$E1625="نامعتبر",Sync!$X1621=""),"",IF(AND(LEFT(UPPER(TRIM(Sync!$X1621)),2)="SL",IFERROR(VLOOKUP(Sync!$W1621,OpTbl,3,0),"")="فروش"),UPPER(TRIM(Sync!$X1621)),""))</f>
        <v/>
      </c>
      <c r="H1625" t="str">
        <f>IF($G1625="","",IF(Sync!$W1621="","",Sync!$W1621))</f>
        <v/>
      </c>
      <c r="I1625" t="str">
        <f>IF(OR($G1625="",Sync!$Y1621=""),"",Sync!$Y1621)</f>
        <v/>
      </c>
      <c r="J1625" t="str">
        <f>IF(OR($G1625="",Sync!$Z1621=""),"",Sync!$Z1621)</f>
        <v/>
      </c>
      <c r="K1625">
        <f>IF($G1625="",0,IF(Sync!$AA1621="",0,Sync!$AA1621))</f>
        <v>0</v>
      </c>
      <c r="L1625">
        <f>IF($G1625="",0,IF(Sync!$AB1621="",0,Sync!$AB1621))</f>
        <v>0</v>
      </c>
      <c r="M1625" t="str">
        <f t="shared" si="155"/>
        <v/>
      </c>
      <c r="N1625">
        <f>IF($G1625="",0,IF($H1625="مرجوعی فروش",-1,1)*IF(Sync!$AC1621="",0,Sync!$AC1621))</f>
        <v>0</v>
      </c>
      <c r="O1625" t="str">
        <f>IF(OR($G1625="",Sync!$V1621=""),"",Sync!$V1621)</f>
        <v/>
      </c>
      <c r="P1625" t="str">
        <f>IF(OR($G1625="",Sync!$AD1621=""),"",Sync!$AD1621)</f>
        <v/>
      </c>
      <c r="Q1625" t="str">
        <f>IF($G1625="","",IF(Sync!$U1621="","0000",IF(AND(ISNUMBER(Sync!$U1621),Sync!$U1621&gt;=0,Sync!$U1621&lt;1),RIGHT("00"&amp;HOUR(Sync!$U1621),2)&amp;RIGHT("00"&amp;MINUTE(Sync!$U1621),2),IFERROR(RIGHT("00"&amp;VALUE(LEFT(Sync!$U1621,FIND(":",Sync!$U1621)-1)),2)&amp;RIGHT("00"&amp;VALUE(MID(Sync!$U1621,FIND(":",Sync!$U1621)+1,2)),2),"0000"))))</f>
        <v/>
      </c>
    </row>
    <row r="1626" spans="1:17" x14ac:dyDescent="0.2">
      <c r="A1626" t="str">
        <f>IF(Sync!$T1622="","",Sync!$T1622)</f>
        <v/>
      </c>
      <c r="B1626" t="str">
        <f t="shared" si="150"/>
        <v/>
      </c>
      <c r="C1626" t="str">
        <f t="shared" si="151"/>
        <v/>
      </c>
      <c r="D1626" t="str">
        <f t="shared" si="152"/>
        <v/>
      </c>
      <c r="E1626" t="str">
        <f t="shared" si="153"/>
        <v/>
      </c>
      <c r="F1626" t="str">
        <f t="shared" si="154"/>
        <v/>
      </c>
      <c r="G1626" t="str">
        <f>IF(OR($E1626="",$E1626="نامعتبر",Sync!$X1622=""),"",IF(AND(LEFT(UPPER(TRIM(Sync!$X1622)),2)="SL",IFERROR(VLOOKUP(Sync!$W1622,OpTbl,3,0),"")="فروش"),UPPER(TRIM(Sync!$X1622)),""))</f>
        <v/>
      </c>
      <c r="H1626" t="str">
        <f>IF($G1626="","",IF(Sync!$W1622="","",Sync!$W1622))</f>
        <v/>
      </c>
      <c r="I1626" t="str">
        <f>IF(OR($G1626="",Sync!$Y1622=""),"",Sync!$Y1622)</f>
        <v/>
      </c>
      <c r="J1626" t="str">
        <f>IF(OR($G1626="",Sync!$Z1622=""),"",Sync!$Z1622)</f>
        <v/>
      </c>
      <c r="K1626">
        <f>IF($G1626="",0,IF(Sync!$AA1622="",0,Sync!$AA1622))</f>
        <v>0</v>
      </c>
      <c r="L1626">
        <f>IF($G1626="",0,IF(Sync!$AB1622="",0,Sync!$AB1622))</f>
        <v>0</v>
      </c>
      <c r="M1626" t="str">
        <f t="shared" si="155"/>
        <v/>
      </c>
      <c r="N1626">
        <f>IF($G1626="",0,IF($H1626="مرجوعی فروش",-1,1)*IF(Sync!$AC1622="",0,Sync!$AC1622))</f>
        <v>0</v>
      </c>
      <c r="O1626" t="str">
        <f>IF(OR($G1626="",Sync!$V1622=""),"",Sync!$V1622)</f>
        <v/>
      </c>
      <c r="P1626" t="str">
        <f>IF(OR($G1626="",Sync!$AD1622=""),"",Sync!$AD1622)</f>
        <v/>
      </c>
      <c r="Q1626" t="str">
        <f>IF($G1626="","",IF(Sync!$U1622="","0000",IF(AND(ISNUMBER(Sync!$U1622),Sync!$U1622&gt;=0,Sync!$U1622&lt;1),RIGHT("00"&amp;HOUR(Sync!$U1622),2)&amp;RIGHT("00"&amp;MINUTE(Sync!$U1622),2),IFERROR(RIGHT("00"&amp;VALUE(LEFT(Sync!$U1622,FIND(":",Sync!$U1622)-1)),2)&amp;RIGHT("00"&amp;VALUE(MID(Sync!$U1622,FIND(":",Sync!$U1622)+1,2)),2),"0000"))))</f>
        <v/>
      </c>
    </row>
    <row r="1627" spans="1:17" x14ac:dyDescent="0.2">
      <c r="A1627" t="str">
        <f>IF(Sync!$T1623="","",Sync!$T1623)</f>
        <v/>
      </c>
      <c r="B1627" t="str">
        <f t="shared" si="150"/>
        <v/>
      </c>
      <c r="C1627" t="str">
        <f t="shared" si="151"/>
        <v/>
      </c>
      <c r="D1627" t="str">
        <f t="shared" si="152"/>
        <v/>
      </c>
      <c r="E1627" t="str">
        <f t="shared" si="153"/>
        <v/>
      </c>
      <c r="F1627" t="str">
        <f t="shared" si="154"/>
        <v/>
      </c>
      <c r="G1627" t="str">
        <f>IF(OR($E1627="",$E1627="نامعتبر",Sync!$X1623=""),"",IF(AND(LEFT(UPPER(TRIM(Sync!$X1623)),2)="SL",IFERROR(VLOOKUP(Sync!$W1623,OpTbl,3,0),"")="فروش"),UPPER(TRIM(Sync!$X1623)),""))</f>
        <v/>
      </c>
      <c r="H1627" t="str">
        <f>IF($G1627="","",IF(Sync!$W1623="","",Sync!$W1623))</f>
        <v/>
      </c>
      <c r="I1627" t="str">
        <f>IF(OR($G1627="",Sync!$Y1623=""),"",Sync!$Y1623)</f>
        <v/>
      </c>
      <c r="J1627" t="str">
        <f>IF(OR($G1627="",Sync!$Z1623=""),"",Sync!$Z1623)</f>
        <v/>
      </c>
      <c r="K1627">
        <f>IF($G1627="",0,IF(Sync!$AA1623="",0,Sync!$AA1623))</f>
        <v>0</v>
      </c>
      <c r="L1627">
        <f>IF($G1627="",0,IF(Sync!$AB1623="",0,Sync!$AB1623))</f>
        <v>0</v>
      </c>
      <c r="M1627" t="str">
        <f t="shared" si="155"/>
        <v/>
      </c>
      <c r="N1627">
        <f>IF($G1627="",0,IF($H1627="مرجوعی فروش",-1,1)*IF(Sync!$AC1623="",0,Sync!$AC1623))</f>
        <v>0</v>
      </c>
      <c r="O1627" t="str">
        <f>IF(OR($G1627="",Sync!$V1623=""),"",Sync!$V1623)</f>
        <v/>
      </c>
      <c r="P1627" t="str">
        <f>IF(OR($G1627="",Sync!$AD1623=""),"",Sync!$AD1623)</f>
        <v/>
      </c>
      <c r="Q1627" t="str">
        <f>IF($G1627="","",IF(Sync!$U1623="","0000",IF(AND(ISNUMBER(Sync!$U1623),Sync!$U1623&gt;=0,Sync!$U1623&lt;1),RIGHT("00"&amp;HOUR(Sync!$U1623),2)&amp;RIGHT("00"&amp;MINUTE(Sync!$U1623),2),IFERROR(RIGHT("00"&amp;VALUE(LEFT(Sync!$U1623,FIND(":",Sync!$U1623)-1)),2)&amp;RIGHT("00"&amp;VALUE(MID(Sync!$U1623,FIND(":",Sync!$U1623)+1,2)),2),"0000"))))</f>
        <v/>
      </c>
    </row>
    <row r="1628" spans="1:17" x14ac:dyDescent="0.2">
      <c r="A1628" t="str">
        <f>IF(Sync!$T1624="","",Sync!$T1624)</f>
        <v/>
      </c>
      <c r="B1628" t="str">
        <f t="shared" si="150"/>
        <v/>
      </c>
      <c r="C1628" t="str">
        <f t="shared" si="151"/>
        <v/>
      </c>
      <c r="D1628" t="str">
        <f t="shared" si="152"/>
        <v/>
      </c>
      <c r="E1628" t="str">
        <f t="shared" si="153"/>
        <v/>
      </c>
      <c r="F1628" t="str">
        <f t="shared" si="154"/>
        <v/>
      </c>
      <c r="G1628" t="str">
        <f>IF(OR($E1628="",$E1628="نامعتبر",Sync!$X1624=""),"",IF(AND(LEFT(UPPER(TRIM(Sync!$X1624)),2)="SL",IFERROR(VLOOKUP(Sync!$W1624,OpTbl,3,0),"")="فروش"),UPPER(TRIM(Sync!$X1624)),""))</f>
        <v/>
      </c>
      <c r="H1628" t="str">
        <f>IF($G1628="","",IF(Sync!$W1624="","",Sync!$W1624))</f>
        <v/>
      </c>
      <c r="I1628" t="str">
        <f>IF(OR($G1628="",Sync!$Y1624=""),"",Sync!$Y1624)</f>
        <v/>
      </c>
      <c r="J1628" t="str">
        <f>IF(OR($G1628="",Sync!$Z1624=""),"",Sync!$Z1624)</f>
        <v/>
      </c>
      <c r="K1628">
        <f>IF($G1628="",0,IF(Sync!$AA1624="",0,Sync!$AA1624))</f>
        <v>0</v>
      </c>
      <c r="L1628">
        <f>IF($G1628="",0,IF(Sync!$AB1624="",0,Sync!$AB1624))</f>
        <v>0</v>
      </c>
      <c r="M1628" t="str">
        <f t="shared" si="155"/>
        <v/>
      </c>
      <c r="N1628">
        <f>IF($G1628="",0,IF($H1628="مرجوعی فروش",-1,1)*IF(Sync!$AC1624="",0,Sync!$AC1624))</f>
        <v>0</v>
      </c>
      <c r="O1628" t="str">
        <f>IF(OR($G1628="",Sync!$V1624=""),"",Sync!$V1624)</f>
        <v/>
      </c>
      <c r="P1628" t="str">
        <f>IF(OR($G1628="",Sync!$AD1624=""),"",Sync!$AD1624)</f>
        <v/>
      </c>
      <c r="Q1628" t="str">
        <f>IF($G1628="","",IF(Sync!$U1624="","0000",IF(AND(ISNUMBER(Sync!$U1624),Sync!$U1624&gt;=0,Sync!$U1624&lt;1),RIGHT("00"&amp;HOUR(Sync!$U1624),2)&amp;RIGHT("00"&amp;MINUTE(Sync!$U1624),2),IFERROR(RIGHT("00"&amp;VALUE(LEFT(Sync!$U1624,FIND(":",Sync!$U1624)-1)),2)&amp;RIGHT("00"&amp;VALUE(MID(Sync!$U1624,FIND(":",Sync!$U1624)+1,2)),2),"0000"))))</f>
        <v/>
      </c>
    </row>
    <row r="1629" spans="1:17" x14ac:dyDescent="0.2">
      <c r="A1629" t="str">
        <f>IF(Sync!$T1625="","",Sync!$T1625)</f>
        <v/>
      </c>
      <c r="B1629" t="str">
        <f t="shared" si="150"/>
        <v/>
      </c>
      <c r="C1629" t="str">
        <f t="shared" si="151"/>
        <v/>
      </c>
      <c r="D1629" t="str">
        <f t="shared" si="152"/>
        <v/>
      </c>
      <c r="E1629" t="str">
        <f t="shared" si="153"/>
        <v/>
      </c>
      <c r="F1629" t="str">
        <f t="shared" si="154"/>
        <v/>
      </c>
      <c r="G1629" t="str">
        <f>IF(OR($E1629="",$E1629="نامعتبر",Sync!$X1625=""),"",IF(AND(LEFT(UPPER(TRIM(Sync!$X1625)),2)="SL",IFERROR(VLOOKUP(Sync!$W1625,OpTbl,3,0),"")="فروش"),UPPER(TRIM(Sync!$X1625)),""))</f>
        <v/>
      </c>
      <c r="H1629" t="str">
        <f>IF($G1629="","",IF(Sync!$W1625="","",Sync!$W1625))</f>
        <v/>
      </c>
      <c r="I1629" t="str">
        <f>IF(OR($G1629="",Sync!$Y1625=""),"",Sync!$Y1625)</f>
        <v/>
      </c>
      <c r="J1629" t="str">
        <f>IF(OR($G1629="",Sync!$Z1625=""),"",Sync!$Z1625)</f>
        <v/>
      </c>
      <c r="K1629">
        <f>IF($G1629="",0,IF(Sync!$AA1625="",0,Sync!$AA1625))</f>
        <v>0</v>
      </c>
      <c r="L1629">
        <f>IF($G1629="",0,IF(Sync!$AB1625="",0,Sync!$AB1625))</f>
        <v>0</v>
      </c>
      <c r="M1629" t="str">
        <f t="shared" si="155"/>
        <v/>
      </c>
      <c r="N1629">
        <f>IF($G1629="",0,IF($H1629="مرجوعی فروش",-1,1)*IF(Sync!$AC1625="",0,Sync!$AC1625))</f>
        <v>0</v>
      </c>
      <c r="O1629" t="str">
        <f>IF(OR($G1629="",Sync!$V1625=""),"",Sync!$V1625)</f>
        <v/>
      </c>
      <c r="P1629" t="str">
        <f>IF(OR($G1629="",Sync!$AD1625=""),"",Sync!$AD1625)</f>
        <v/>
      </c>
      <c r="Q1629" t="str">
        <f>IF($G1629="","",IF(Sync!$U1625="","0000",IF(AND(ISNUMBER(Sync!$U1625),Sync!$U1625&gt;=0,Sync!$U1625&lt;1),RIGHT("00"&amp;HOUR(Sync!$U1625),2)&amp;RIGHT("00"&amp;MINUTE(Sync!$U1625),2),IFERROR(RIGHT("00"&amp;VALUE(LEFT(Sync!$U1625,FIND(":",Sync!$U1625)-1)),2)&amp;RIGHT("00"&amp;VALUE(MID(Sync!$U1625,FIND(":",Sync!$U1625)+1,2)),2),"0000"))))</f>
        <v/>
      </c>
    </row>
    <row r="1630" spans="1:17" x14ac:dyDescent="0.2">
      <c r="A1630" t="str">
        <f>IF(Sync!$T1626="","",Sync!$T1626)</f>
        <v/>
      </c>
      <c r="B1630" t="str">
        <f t="shared" si="150"/>
        <v/>
      </c>
      <c r="C1630" t="str">
        <f t="shared" si="151"/>
        <v/>
      </c>
      <c r="D1630" t="str">
        <f t="shared" si="152"/>
        <v/>
      </c>
      <c r="E1630" t="str">
        <f t="shared" si="153"/>
        <v/>
      </c>
      <c r="F1630" t="str">
        <f t="shared" si="154"/>
        <v/>
      </c>
      <c r="G1630" t="str">
        <f>IF(OR($E1630="",$E1630="نامعتبر",Sync!$X1626=""),"",IF(AND(LEFT(UPPER(TRIM(Sync!$X1626)),2)="SL",IFERROR(VLOOKUP(Sync!$W1626,OpTbl,3,0),"")="فروش"),UPPER(TRIM(Sync!$X1626)),""))</f>
        <v/>
      </c>
      <c r="H1630" t="str">
        <f>IF($G1630="","",IF(Sync!$W1626="","",Sync!$W1626))</f>
        <v/>
      </c>
      <c r="I1630" t="str">
        <f>IF(OR($G1630="",Sync!$Y1626=""),"",Sync!$Y1626)</f>
        <v/>
      </c>
      <c r="J1630" t="str">
        <f>IF(OR($G1630="",Sync!$Z1626=""),"",Sync!$Z1626)</f>
        <v/>
      </c>
      <c r="K1630">
        <f>IF($G1630="",0,IF(Sync!$AA1626="",0,Sync!$AA1626))</f>
        <v>0</v>
      </c>
      <c r="L1630">
        <f>IF($G1630="",0,IF(Sync!$AB1626="",0,Sync!$AB1626))</f>
        <v>0</v>
      </c>
      <c r="M1630" t="str">
        <f t="shared" si="155"/>
        <v/>
      </c>
      <c r="N1630">
        <f>IF($G1630="",0,IF($H1630="مرجوعی فروش",-1,1)*IF(Sync!$AC1626="",0,Sync!$AC1626))</f>
        <v>0</v>
      </c>
      <c r="O1630" t="str">
        <f>IF(OR($G1630="",Sync!$V1626=""),"",Sync!$V1626)</f>
        <v/>
      </c>
      <c r="P1630" t="str">
        <f>IF(OR($G1630="",Sync!$AD1626=""),"",Sync!$AD1626)</f>
        <v/>
      </c>
      <c r="Q1630" t="str">
        <f>IF($G1630="","",IF(Sync!$U1626="","0000",IF(AND(ISNUMBER(Sync!$U1626),Sync!$U1626&gt;=0,Sync!$U1626&lt;1),RIGHT("00"&amp;HOUR(Sync!$U1626),2)&amp;RIGHT("00"&amp;MINUTE(Sync!$U1626),2),IFERROR(RIGHT("00"&amp;VALUE(LEFT(Sync!$U1626,FIND(":",Sync!$U1626)-1)),2)&amp;RIGHT("00"&amp;VALUE(MID(Sync!$U1626,FIND(":",Sync!$U1626)+1,2)),2),"0000"))))</f>
        <v/>
      </c>
    </row>
    <row r="1631" spans="1:17" x14ac:dyDescent="0.2">
      <c r="A1631" t="str">
        <f>IF(Sync!$T1627="","",Sync!$T1627)</f>
        <v/>
      </c>
      <c r="B1631" t="str">
        <f t="shared" si="150"/>
        <v/>
      </c>
      <c r="C1631" t="str">
        <f t="shared" si="151"/>
        <v/>
      </c>
      <c r="D1631" t="str">
        <f t="shared" si="152"/>
        <v/>
      </c>
      <c r="E1631" t="str">
        <f t="shared" si="153"/>
        <v/>
      </c>
      <c r="F1631" t="str">
        <f t="shared" si="154"/>
        <v/>
      </c>
      <c r="G1631" t="str">
        <f>IF(OR($E1631="",$E1631="نامعتبر",Sync!$X1627=""),"",IF(AND(LEFT(UPPER(TRIM(Sync!$X1627)),2)="SL",IFERROR(VLOOKUP(Sync!$W1627,OpTbl,3,0),"")="فروش"),UPPER(TRIM(Sync!$X1627)),""))</f>
        <v/>
      </c>
      <c r="H1631" t="str">
        <f>IF($G1631="","",IF(Sync!$W1627="","",Sync!$W1627))</f>
        <v/>
      </c>
      <c r="I1631" t="str">
        <f>IF(OR($G1631="",Sync!$Y1627=""),"",Sync!$Y1627)</f>
        <v/>
      </c>
      <c r="J1631" t="str">
        <f>IF(OR($G1631="",Sync!$Z1627=""),"",Sync!$Z1627)</f>
        <v/>
      </c>
      <c r="K1631">
        <f>IF($G1631="",0,IF(Sync!$AA1627="",0,Sync!$AA1627))</f>
        <v>0</v>
      </c>
      <c r="L1631">
        <f>IF($G1631="",0,IF(Sync!$AB1627="",0,Sync!$AB1627))</f>
        <v>0</v>
      </c>
      <c r="M1631" t="str">
        <f t="shared" si="155"/>
        <v/>
      </c>
      <c r="N1631">
        <f>IF($G1631="",0,IF($H1631="مرجوعی فروش",-1,1)*IF(Sync!$AC1627="",0,Sync!$AC1627))</f>
        <v>0</v>
      </c>
      <c r="O1631" t="str">
        <f>IF(OR($G1631="",Sync!$V1627=""),"",Sync!$V1627)</f>
        <v/>
      </c>
      <c r="P1631" t="str">
        <f>IF(OR($G1631="",Sync!$AD1627=""),"",Sync!$AD1627)</f>
        <v/>
      </c>
      <c r="Q1631" t="str">
        <f>IF($G1631="","",IF(Sync!$U1627="","0000",IF(AND(ISNUMBER(Sync!$U1627),Sync!$U1627&gt;=0,Sync!$U1627&lt;1),RIGHT("00"&amp;HOUR(Sync!$U1627),2)&amp;RIGHT("00"&amp;MINUTE(Sync!$U1627),2),IFERROR(RIGHT("00"&amp;VALUE(LEFT(Sync!$U1627,FIND(":",Sync!$U1627)-1)),2)&amp;RIGHT("00"&amp;VALUE(MID(Sync!$U1627,FIND(":",Sync!$U1627)+1,2)),2),"0000"))))</f>
        <v/>
      </c>
    </row>
    <row r="1632" spans="1:17" x14ac:dyDescent="0.2">
      <c r="A1632" t="str">
        <f>IF(Sync!$T1628="","",Sync!$T1628)</f>
        <v/>
      </c>
      <c r="B1632" t="str">
        <f t="shared" si="150"/>
        <v/>
      </c>
      <c r="C1632" t="str">
        <f t="shared" si="151"/>
        <v/>
      </c>
      <c r="D1632" t="str">
        <f t="shared" si="152"/>
        <v/>
      </c>
      <c r="E1632" t="str">
        <f t="shared" si="153"/>
        <v/>
      </c>
      <c r="F1632" t="str">
        <f t="shared" si="154"/>
        <v/>
      </c>
      <c r="G1632" t="str">
        <f>IF(OR($E1632="",$E1632="نامعتبر",Sync!$X1628=""),"",IF(AND(LEFT(UPPER(TRIM(Sync!$X1628)),2)="SL",IFERROR(VLOOKUP(Sync!$W1628,OpTbl,3,0),"")="فروش"),UPPER(TRIM(Sync!$X1628)),""))</f>
        <v/>
      </c>
      <c r="H1632" t="str">
        <f>IF($G1632="","",IF(Sync!$W1628="","",Sync!$W1628))</f>
        <v/>
      </c>
      <c r="I1632" t="str">
        <f>IF(OR($G1632="",Sync!$Y1628=""),"",Sync!$Y1628)</f>
        <v/>
      </c>
      <c r="J1632" t="str">
        <f>IF(OR($G1632="",Sync!$Z1628=""),"",Sync!$Z1628)</f>
        <v/>
      </c>
      <c r="K1632">
        <f>IF($G1632="",0,IF(Sync!$AA1628="",0,Sync!$AA1628))</f>
        <v>0</v>
      </c>
      <c r="L1632">
        <f>IF($G1632="",0,IF(Sync!$AB1628="",0,Sync!$AB1628))</f>
        <v>0</v>
      </c>
      <c r="M1632" t="str">
        <f t="shared" si="155"/>
        <v/>
      </c>
      <c r="N1632">
        <f>IF($G1632="",0,IF($H1632="مرجوعی فروش",-1,1)*IF(Sync!$AC1628="",0,Sync!$AC1628))</f>
        <v>0</v>
      </c>
      <c r="O1632" t="str">
        <f>IF(OR($G1632="",Sync!$V1628=""),"",Sync!$V1628)</f>
        <v/>
      </c>
      <c r="P1632" t="str">
        <f>IF(OR($G1632="",Sync!$AD1628=""),"",Sync!$AD1628)</f>
        <v/>
      </c>
      <c r="Q1632" t="str">
        <f>IF($G1632="","",IF(Sync!$U1628="","0000",IF(AND(ISNUMBER(Sync!$U1628),Sync!$U1628&gt;=0,Sync!$U1628&lt;1),RIGHT("00"&amp;HOUR(Sync!$U1628),2)&amp;RIGHT("00"&amp;MINUTE(Sync!$U1628),2),IFERROR(RIGHT("00"&amp;VALUE(LEFT(Sync!$U1628,FIND(":",Sync!$U1628)-1)),2)&amp;RIGHT("00"&amp;VALUE(MID(Sync!$U1628,FIND(":",Sync!$U1628)+1,2)),2),"0000"))))</f>
        <v/>
      </c>
    </row>
    <row r="1633" spans="1:17" x14ac:dyDescent="0.2">
      <c r="A1633" t="str">
        <f>IF(Sync!$T1629="","",Sync!$T1629)</f>
        <v/>
      </c>
      <c r="B1633" t="str">
        <f t="shared" si="150"/>
        <v/>
      </c>
      <c r="C1633" t="str">
        <f t="shared" si="151"/>
        <v/>
      </c>
      <c r="D1633" t="str">
        <f t="shared" si="152"/>
        <v/>
      </c>
      <c r="E1633" t="str">
        <f t="shared" si="153"/>
        <v/>
      </c>
      <c r="F1633" t="str">
        <f t="shared" si="154"/>
        <v/>
      </c>
      <c r="G1633" t="str">
        <f>IF(OR($E1633="",$E1633="نامعتبر",Sync!$X1629=""),"",IF(AND(LEFT(UPPER(TRIM(Sync!$X1629)),2)="SL",IFERROR(VLOOKUP(Sync!$W1629,OpTbl,3,0),"")="فروش"),UPPER(TRIM(Sync!$X1629)),""))</f>
        <v/>
      </c>
      <c r="H1633" t="str">
        <f>IF($G1633="","",IF(Sync!$W1629="","",Sync!$W1629))</f>
        <v/>
      </c>
      <c r="I1633" t="str">
        <f>IF(OR($G1633="",Sync!$Y1629=""),"",Sync!$Y1629)</f>
        <v/>
      </c>
      <c r="J1633" t="str">
        <f>IF(OR($G1633="",Sync!$Z1629=""),"",Sync!$Z1629)</f>
        <v/>
      </c>
      <c r="K1633">
        <f>IF($G1633="",0,IF(Sync!$AA1629="",0,Sync!$AA1629))</f>
        <v>0</v>
      </c>
      <c r="L1633">
        <f>IF($G1633="",0,IF(Sync!$AB1629="",0,Sync!$AB1629))</f>
        <v>0</v>
      </c>
      <c r="M1633" t="str">
        <f t="shared" si="155"/>
        <v/>
      </c>
      <c r="N1633">
        <f>IF($G1633="",0,IF($H1633="مرجوعی فروش",-1,1)*IF(Sync!$AC1629="",0,Sync!$AC1629))</f>
        <v>0</v>
      </c>
      <c r="O1633" t="str">
        <f>IF(OR($G1633="",Sync!$V1629=""),"",Sync!$V1629)</f>
        <v/>
      </c>
      <c r="P1633" t="str">
        <f>IF(OR($G1633="",Sync!$AD1629=""),"",Sync!$AD1629)</f>
        <v/>
      </c>
      <c r="Q1633" t="str">
        <f>IF($G1633="","",IF(Sync!$U1629="","0000",IF(AND(ISNUMBER(Sync!$U1629),Sync!$U1629&gt;=0,Sync!$U1629&lt;1),RIGHT("00"&amp;HOUR(Sync!$U1629),2)&amp;RIGHT("00"&amp;MINUTE(Sync!$U1629),2),IFERROR(RIGHT("00"&amp;VALUE(LEFT(Sync!$U1629,FIND(":",Sync!$U1629)-1)),2)&amp;RIGHT("00"&amp;VALUE(MID(Sync!$U1629,FIND(":",Sync!$U1629)+1,2)),2),"0000"))))</f>
        <v/>
      </c>
    </row>
    <row r="1634" spans="1:17" x14ac:dyDescent="0.2">
      <c r="A1634" t="str">
        <f>IF(Sync!$T1630="","",Sync!$T1630)</f>
        <v/>
      </c>
      <c r="B1634" t="str">
        <f t="shared" si="150"/>
        <v/>
      </c>
      <c r="C1634" t="str">
        <f t="shared" si="151"/>
        <v/>
      </c>
      <c r="D1634" t="str">
        <f t="shared" si="152"/>
        <v/>
      </c>
      <c r="E1634" t="str">
        <f t="shared" si="153"/>
        <v/>
      </c>
      <c r="F1634" t="str">
        <f t="shared" si="154"/>
        <v/>
      </c>
      <c r="G1634" t="str">
        <f>IF(OR($E1634="",$E1634="نامعتبر",Sync!$X1630=""),"",IF(AND(LEFT(UPPER(TRIM(Sync!$X1630)),2)="SL",IFERROR(VLOOKUP(Sync!$W1630,OpTbl,3,0),"")="فروش"),UPPER(TRIM(Sync!$X1630)),""))</f>
        <v/>
      </c>
      <c r="H1634" t="str">
        <f>IF($G1634="","",IF(Sync!$W1630="","",Sync!$W1630))</f>
        <v/>
      </c>
      <c r="I1634" t="str">
        <f>IF(OR($G1634="",Sync!$Y1630=""),"",Sync!$Y1630)</f>
        <v/>
      </c>
      <c r="J1634" t="str">
        <f>IF(OR($G1634="",Sync!$Z1630=""),"",Sync!$Z1630)</f>
        <v/>
      </c>
      <c r="K1634">
        <f>IF($G1634="",0,IF(Sync!$AA1630="",0,Sync!$AA1630))</f>
        <v>0</v>
      </c>
      <c r="L1634">
        <f>IF($G1634="",0,IF(Sync!$AB1630="",0,Sync!$AB1630))</f>
        <v>0</v>
      </c>
      <c r="M1634" t="str">
        <f t="shared" si="155"/>
        <v/>
      </c>
      <c r="N1634">
        <f>IF($G1634="",0,IF($H1634="مرجوعی فروش",-1,1)*IF(Sync!$AC1630="",0,Sync!$AC1630))</f>
        <v>0</v>
      </c>
      <c r="O1634" t="str">
        <f>IF(OR($G1634="",Sync!$V1630=""),"",Sync!$V1630)</f>
        <v/>
      </c>
      <c r="P1634" t="str">
        <f>IF(OR($G1634="",Sync!$AD1630=""),"",Sync!$AD1630)</f>
        <v/>
      </c>
      <c r="Q1634" t="str">
        <f>IF($G1634="","",IF(Sync!$U1630="","0000",IF(AND(ISNUMBER(Sync!$U1630),Sync!$U1630&gt;=0,Sync!$U1630&lt;1),RIGHT("00"&amp;HOUR(Sync!$U1630),2)&amp;RIGHT("00"&amp;MINUTE(Sync!$U1630),2),IFERROR(RIGHT("00"&amp;VALUE(LEFT(Sync!$U1630,FIND(":",Sync!$U1630)-1)),2)&amp;RIGHT("00"&amp;VALUE(MID(Sync!$U1630,FIND(":",Sync!$U1630)+1,2)),2),"0000"))))</f>
        <v/>
      </c>
    </row>
    <row r="1635" spans="1:17" x14ac:dyDescent="0.2">
      <c r="A1635" t="str">
        <f>IF(Sync!$T1631="","",Sync!$T1631)</f>
        <v/>
      </c>
      <c r="B1635" t="str">
        <f t="shared" si="150"/>
        <v/>
      </c>
      <c r="C1635" t="str">
        <f t="shared" si="151"/>
        <v/>
      </c>
      <c r="D1635" t="str">
        <f t="shared" si="152"/>
        <v/>
      </c>
      <c r="E1635" t="str">
        <f t="shared" si="153"/>
        <v/>
      </c>
      <c r="F1635" t="str">
        <f t="shared" si="154"/>
        <v/>
      </c>
      <c r="G1635" t="str">
        <f>IF(OR($E1635="",$E1635="نامعتبر",Sync!$X1631=""),"",IF(AND(LEFT(UPPER(TRIM(Sync!$X1631)),2)="SL",IFERROR(VLOOKUP(Sync!$W1631,OpTbl,3,0),"")="فروش"),UPPER(TRIM(Sync!$X1631)),""))</f>
        <v/>
      </c>
      <c r="H1635" t="str">
        <f>IF($G1635="","",IF(Sync!$W1631="","",Sync!$W1631))</f>
        <v/>
      </c>
      <c r="I1635" t="str">
        <f>IF(OR($G1635="",Sync!$Y1631=""),"",Sync!$Y1631)</f>
        <v/>
      </c>
      <c r="J1635" t="str">
        <f>IF(OR($G1635="",Sync!$Z1631=""),"",Sync!$Z1631)</f>
        <v/>
      </c>
      <c r="K1635">
        <f>IF($G1635="",0,IF(Sync!$AA1631="",0,Sync!$AA1631))</f>
        <v>0</v>
      </c>
      <c r="L1635">
        <f>IF($G1635="",0,IF(Sync!$AB1631="",0,Sync!$AB1631))</f>
        <v>0</v>
      </c>
      <c r="M1635" t="str">
        <f t="shared" si="155"/>
        <v/>
      </c>
      <c r="N1635">
        <f>IF($G1635="",0,IF($H1635="مرجوعی فروش",-1,1)*IF(Sync!$AC1631="",0,Sync!$AC1631))</f>
        <v>0</v>
      </c>
      <c r="O1635" t="str">
        <f>IF(OR($G1635="",Sync!$V1631=""),"",Sync!$V1631)</f>
        <v/>
      </c>
      <c r="P1635" t="str">
        <f>IF(OR($G1635="",Sync!$AD1631=""),"",Sync!$AD1631)</f>
        <v/>
      </c>
      <c r="Q1635" t="str">
        <f>IF($G1635="","",IF(Sync!$U1631="","0000",IF(AND(ISNUMBER(Sync!$U1631),Sync!$U1631&gt;=0,Sync!$U1631&lt;1),RIGHT("00"&amp;HOUR(Sync!$U1631),2)&amp;RIGHT("00"&amp;MINUTE(Sync!$U1631),2),IFERROR(RIGHT("00"&amp;VALUE(LEFT(Sync!$U1631,FIND(":",Sync!$U1631)-1)),2)&amp;RIGHT("00"&amp;VALUE(MID(Sync!$U1631,FIND(":",Sync!$U1631)+1,2)),2),"0000"))))</f>
        <v/>
      </c>
    </row>
    <row r="1636" spans="1:17" x14ac:dyDescent="0.2">
      <c r="A1636" t="str">
        <f>IF(Sync!$T1632="","",Sync!$T1632)</f>
        <v/>
      </c>
      <c r="B1636" t="str">
        <f t="shared" si="150"/>
        <v/>
      </c>
      <c r="C1636" t="str">
        <f t="shared" si="151"/>
        <v/>
      </c>
      <c r="D1636" t="str">
        <f t="shared" si="152"/>
        <v/>
      </c>
      <c r="E1636" t="str">
        <f t="shared" si="153"/>
        <v/>
      </c>
      <c r="F1636" t="str">
        <f t="shared" si="154"/>
        <v/>
      </c>
      <c r="G1636" t="str">
        <f>IF(OR($E1636="",$E1636="نامعتبر",Sync!$X1632=""),"",IF(AND(LEFT(UPPER(TRIM(Sync!$X1632)),2)="SL",IFERROR(VLOOKUP(Sync!$W1632,OpTbl,3,0),"")="فروش"),UPPER(TRIM(Sync!$X1632)),""))</f>
        <v/>
      </c>
      <c r="H1636" t="str">
        <f>IF($G1636="","",IF(Sync!$W1632="","",Sync!$W1632))</f>
        <v/>
      </c>
      <c r="I1636" t="str">
        <f>IF(OR($G1636="",Sync!$Y1632=""),"",Sync!$Y1632)</f>
        <v/>
      </c>
      <c r="J1636" t="str">
        <f>IF(OR($G1636="",Sync!$Z1632=""),"",Sync!$Z1632)</f>
        <v/>
      </c>
      <c r="K1636">
        <f>IF($G1636="",0,IF(Sync!$AA1632="",0,Sync!$AA1632))</f>
        <v>0</v>
      </c>
      <c r="L1636">
        <f>IF($G1636="",0,IF(Sync!$AB1632="",0,Sync!$AB1632))</f>
        <v>0</v>
      </c>
      <c r="M1636" t="str">
        <f t="shared" si="155"/>
        <v/>
      </c>
      <c r="N1636">
        <f>IF($G1636="",0,IF($H1636="مرجوعی فروش",-1,1)*IF(Sync!$AC1632="",0,Sync!$AC1632))</f>
        <v>0</v>
      </c>
      <c r="O1636" t="str">
        <f>IF(OR($G1636="",Sync!$V1632=""),"",Sync!$V1632)</f>
        <v/>
      </c>
      <c r="P1636" t="str">
        <f>IF(OR($G1636="",Sync!$AD1632=""),"",Sync!$AD1632)</f>
        <v/>
      </c>
      <c r="Q1636" t="str">
        <f>IF($G1636="","",IF(Sync!$U1632="","0000",IF(AND(ISNUMBER(Sync!$U1632),Sync!$U1632&gt;=0,Sync!$U1632&lt;1),RIGHT("00"&amp;HOUR(Sync!$U1632),2)&amp;RIGHT("00"&amp;MINUTE(Sync!$U1632),2),IFERROR(RIGHT("00"&amp;VALUE(LEFT(Sync!$U1632,FIND(":",Sync!$U1632)-1)),2)&amp;RIGHT("00"&amp;VALUE(MID(Sync!$U1632,FIND(":",Sync!$U1632)+1,2)),2),"0000"))))</f>
        <v/>
      </c>
    </row>
    <row r="1637" spans="1:17" x14ac:dyDescent="0.2">
      <c r="A1637" t="str">
        <f>IF(Sync!$T1633="","",Sync!$T1633)</f>
        <v/>
      </c>
      <c r="B1637" t="str">
        <f t="shared" si="150"/>
        <v/>
      </c>
      <c r="C1637" t="str">
        <f t="shared" si="151"/>
        <v/>
      </c>
      <c r="D1637" t="str">
        <f t="shared" si="152"/>
        <v/>
      </c>
      <c r="E1637" t="str">
        <f t="shared" si="153"/>
        <v/>
      </c>
      <c r="F1637" t="str">
        <f t="shared" si="154"/>
        <v/>
      </c>
      <c r="G1637" t="str">
        <f>IF(OR($E1637="",$E1637="نامعتبر",Sync!$X1633=""),"",IF(AND(LEFT(UPPER(TRIM(Sync!$X1633)),2)="SL",IFERROR(VLOOKUP(Sync!$W1633,OpTbl,3,0),"")="فروش"),UPPER(TRIM(Sync!$X1633)),""))</f>
        <v/>
      </c>
      <c r="H1637" t="str">
        <f>IF($G1637="","",IF(Sync!$W1633="","",Sync!$W1633))</f>
        <v/>
      </c>
      <c r="I1637" t="str">
        <f>IF(OR($G1637="",Sync!$Y1633=""),"",Sync!$Y1633)</f>
        <v/>
      </c>
      <c r="J1637" t="str">
        <f>IF(OR($G1637="",Sync!$Z1633=""),"",Sync!$Z1633)</f>
        <v/>
      </c>
      <c r="K1637">
        <f>IF($G1637="",0,IF(Sync!$AA1633="",0,Sync!$AA1633))</f>
        <v>0</v>
      </c>
      <c r="L1637">
        <f>IF($G1637="",0,IF(Sync!$AB1633="",0,Sync!$AB1633))</f>
        <v>0</v>
      </c>
      <c r="M1637" t="str">
        <f t="shared" si="155"/>
        <v/>
      </c>
      <c r="N1637">
        <f>IF($G1637="",0,IF($H1637="مرجوعی فروش",-1,1)*IF(Sync!$AC1633="",0,Sync!$AC1633))</f>
        <v>0</v>
      </c>
      <c r="O1637" t="str">
        <f>IF(OR($G1637="",Sync!$V1633=""),"",Sync!$V1633)</f>
        <v/>
      </c>
      <c r="P1637" t="str">
        <f>IF(OR($G1637="",Sync!$AD1633=""),"",Sync!$AD1633)</f>
        <v/>
      </c>
      <c r="Q1637" t="str">
        <f>IF($G1637="","",IF(Sync!$U1633="","0000",IF(AND(ISNUMBER(Sync!$U1633),Sync!$U1633&gt;=0,Sync!$U1633&lt;1),RIGHT("00"&amp;HOUR(Sync!$U1633),2)&amp;RIGHT("00"&amp;MINUTE(Sync!$U1633),2),IFERROR(RIGHT("00"&amp;VALUE(LEFT(Sync!$U1633,FIND(":",Sync!$U1633)-1)),2)&amp;RIGHT("00"&amp;VALUE(MID(Sync!$U1633,FIND(":",Sync!$U1633)+1,2)),2),"0000"))))</f>
        <v/>
      </c>
    </row>
    <row r="1638" spans="1:17" x14ac:dyDescent="0.2">
      <c r="A1638" t="str">
        <f>IF(Sync!$T1634="","",Sync!$T1634)</f>
        <v/>
      </c>
      <c r="B1638" t="str">
        <f t="shared" si="150"/>
        <v/>
      </c>
      <c r="C1638" t="str">
        <f t="shared" si="151"/>
        <v/>
      </c>
      <c r="D1638" t="str">
        <f t="shared" si="152"/>
        <v/>
      </c>
      <c r="E1638" t="str">
        <f t="shared" si="153"/>
        <v/>
      </c>
      <c r="F1638" t="str">
        <f t="shared" si="154"/>
        <v/>
      </c>
      <c r="G1638" t="str">
        <f>IF(OR($E1638="",$E1638="نامعتبر",Sync!$X1634=""),"",IF(AND(LEFT(UPPER(TRIM(Sync!$X1634)),2)="SL",IFERROR(VLOOKUP(Sync!$W1634,OpTbl,3,0),"")="فروش"),UPPER(TRIM(Sync!$X1634)),""))</f>
        <v/>
      </c>
      <c r="H1638" t="str">
        <f>IF($G1638="","",IF(Sync!$W1634="","",Sync!$W1634))</f>
        <v/>
      </c>
      <c r="I1638" t="str">
        <f>IF(OR($G1638="",Sync!$Y1634=""),"",Sync!$Y1634)</f>
        <v/>
      </c>
      <c r="J1638" t="str">
        <f>IF(OR($G1638="",Sync!$Z1634=""),"",Sync!$Z1634)</f>
        <v/>
      </c>
      <c r="K1638">
        <f>IF($G1638="",0,IF(Sync!$AA1634="",0,Sync!$AA1634))</f>
        <v>0</v>
      </c>
      <c r="L1638">
        <f>IF($G1638="",0,IF(Sync!$AB1634="",0,Sync!$AB1634))</f>
        <v>0</v>
      </c>
      <c r="M1638" t="str">
        <f t="shared" si="155"/>
        <v/>
      </c>
      <c r="N1638">
        <f>IF($G1638="",0,IF($H1638="مرجوعی فروش",-1,1)*IF(Sync!$AC1634="",0,Sync!$AC1634))</f>
        <v>0</v>
      </c>
      <c r="O1638" t="str">
        <f>IF(OR($G1638="",Sync!$V1634=""),"",Sync!$V1634)</f>
        <v/>
      </c>
      <c r="P1638" t="str">
        <f>IF(OR($G1638="",Sync!$AD1634=""),"",Sync!$AD1634)</f>
        <v/>
      </c>
      <c r="Q1638" t="str">
        <f>IF($G1638="","",IF(Sync!$U1634="","0000",IF(AND(ISNUMBER(Sync!$U1634),Sync!$U1634&gt;=0,Sync!$U1634&lt;1),RIGHT("00"&amp;HOUR(Sync!$U1634),2)&amp;RIGHT("00"&amp;MINUTE(Sync!$U1634),2),IFERROR(RIGHT("00"&amp;VALUE(LEFT(Sync!$U1634,FIND(":",Sync!$U1634)-1)),2)&amp;RIGHT("00"&amp;VALUE(MID(Sync!$U1634,FIND(":",Sync!$U1634)+1,2)),2),"0000"))))</f>
        <v/>
      </c>
    </row>
    <row r="1639" spans="1:17" x14ac:dyDescent="0.2">
      <c r="A1639" t="str">
        <f>IF(Sync!$T1635="","",Sync!$T1635)</f>
        <v/>
      </c>
      <c r="B1639" t="str">
        <f t="shared" si="150"/>
        <v/>
      </c>
      <c r="C1639" t="str">
        <f t="shared" si="151"/>
        <v/>
      </c>
      <c r="D1639" t="str">
        <f t="shared" si="152"/>
        <v/>
      </c>
      <c r="E1639" t="str">
        <f t="shared" si="153"/>
        <v/>
      </c>
      <c r="F1639" t="str">
        <f t="shared" si="154"/>
        <v/>
      </c>
      <c r="G1639" t="str">
        <f>IF(OR($E1639="",$E1639="نامعتبر",Sync!$X1635=""),"",IF(AND(LEFT(UPPER(TRIM(Sync!$X1635)),2)="SL",IFERROR(VLOOKUP(Sync!$W1635,OpTbl,3,0),"")="فروش"),UPPER(TRIM(Sync!$X1635)),""))</f>
        <v/>
      </c>
      <c r="H1639" t="str">
        <f>IF($G1639="","",IF(Sync!$W1635="","",Sync!$W1635))</f>
        <v/>
      </c>
      <c r="I1639" t="str">
        <f>IF(OR($G1639="",Sync!$Y1635=""),"",Sync!$Y1635)</f>
        <v/>
      </c>
      <c r="J1639" t="str">
        <f>IF(OR($G1639="",Sync!$Z1635=""),"",Sync!$Z1635)</f>
        <v/>
      </c>
      <c r="K1639">
        <f>IF($G1639="",0,IF(Sync!$AA1635="",0,Sync!$AA1635))</f>
        <v>0</v>
      </c>
      <c r="L1639">
        <f>IF($G1639="",0,IF(Sync!$AB1635="",0,Sync!$AB1635))</f>
        <v>0</v>
      </c>
      <c r="M1639" t="str">
        <f t="shared" si="155"/>
        <v/>
      </c>
      <c r="N1639">
        <f>IF($G1639="",0,IF($H1639="مرجوعی فروش",-1,1)*IF(Sync!$AC1635="",0,Sync!$AC1635))</f>
        <v>0</v>
      </c>
      <c r="O1639" t="str">
        <f>IF(OR($G1639="",Sync!$V1635=""),"",Sync!$V1635)</f>
        <v/>
      </c>
      <c r="P1639" t="str">
        <f>IF(OR($G1639="",Sync!$AD1635=""),"",Sync!$AD1635)</f>
        <v/>
      </c>
      <c r="Q1639" t="str">
        <f>IF($G1639="","",IF(Sync!$U1635="","0000",IF(AND(ISNUMBER(Sync!$U1635),Sync!$U1635&gt;=0,Sync!$U1635&lt;1),RIGHT("00"&amp;HOUR(Sync!$U1635),2)&amp;RIGHT("00"&amp;MINUTE(Sync!$U1635),2),IFERROR(RIGHT("00"&amp;VALUE(LEFT(Sync!$U1635,FIND(":",Sync!$U1635)-1)),2)&amp;RIGHT("00"&amp;VALUE(MID(Sync!$U1635,FIND(":",Sync!$U1635)+1,2)),2),"0000"))))</f>
        <v/>
      </c>
    </row>
    <row r="1640" spans="1:17" x14ac:dyDescent="0.2">
      <c r="A1640" t="str">
        <f>IF(Sync!$T1636="","",Sync!$T1636)</f>
        <v/>
      </c>
      <c r="B1640" t="str">
        <f t="shared" si="150"/>
        <v/>
      </c>
      <c r="C1640" t="str">
        <f t="shared" si="151"/>
        <v/>
      </c>
      <c r="D1640" t="str">
        <f t="shared" si="152"/>
        <v/>
      </c>
      <c r="E1640" t="str">
        <f t="shared" si="153"/>
        <v/>
      </c>
      <c r="F1640" t="str">
        <f t="shared" si="154"/>
        <v/>
      </c>
      <c r="G1640" t="str">
        <f>IF(OR($E1640="",$E1640="نامعتبر",Sync!$X1636=""),"",IF(AND(LEFT(UPPER(TRIM(Sync!$X1636)),2)="SL",IFERROR(VLOOKUP(Sync!$W1636,OpTbl,3,0),"")="فروش"),UPPER(TRIM(Sync!$X1636)),""))</f>
        <v/>
      </c>
      <c r="H1640" t="str">
        <f>IF($G1640="","",IF(Sync!$W1636="","",Sync!$W1636))</f>
        <v/>
      </c>
      <c r="I1640" t="str">
        <f>IF(OR($G1640="",Sync!$Y1636=""),"",Sync!$Y1636)</f>
        <v/>
      </c>
      <c r="J1640" t="str">
        <f>IF(OR($G1640="",Sync!$Z1636=""),"",Sync!$Z1636)</f>
        <v/>
      </c>
      <c r="K1640">
        <f>IF($G1640="",0,IF(Sync!$AA1636="",0,Sync!$AA1636))</f>
        <v>0</v>
      </c>
      <c r="L1640">
        <f>IF($G1640="",0,IF(Sync!$AB1636="",0,Sync!$AB1636))</f>
        <v>0</v>
      </c>
      <c r="M1640" t="str">
        <f t="shared" si="155"/>
        <v/>
      </c>
      <c r="N1640">
        <f>IF($G1640="",0,IF($H1640="مرجوعی فروش",-1,1)*IF(Sync!$AC1636="",0,Sync!$AC1636))</f>
        <v>0</v>
      </c>
      <c r="O1640" t="str">
        <f>IF(OR($G1640="",Sync!$V1636=""),"",Sync!$V1636)</f>
        <v/>
      </c>
      <c r="P1640" t="str">
        <f>IF(OR($G1640="",Sync!$AD1636=""),"",Sync!$AD1636)</f>
        <v/>
      </c>
      <c r="Q1640" t="str">
        <f>IF($G1640="","",IF(Sync!$U1636="","0000",IF(AND(ISNUMBER(Sync!$U1636),Sync!$U1636&gt;=0,Sync!$U1636&lt;1),RIGHT("00"&amp;HOUR(Sync!$U1636),2)&amp;RIGHT("00"&amp;MINUTE(Sync!$U1636),2),IFERROR(RIGHT("00"&amp;VALUE(LEFT(Sync!$U1636,FIND(":",Sync!$U1636)-1)),2)&amp;RIGHT("00"&amp;VALUE(MID(Sync!$U1636,FIND(":",Sync!$U1636)+1,2)),2),"0000"))))</f>
        <v/>
      </c>
    </row>
    <row r="1641" spans="1:17" x14ac:dyDescent="0.2">
      <c r="A1641" t="str">
        <f>IF(Sync!$T1637="","",Sync!$T1637)</f>
        <v/>
      </c>
      <c r="B1641" t="str">
        <f t="shared" si="150"/>
        <v/>
      </c>
      <c r="C1641" t="str">
        <f t="shared" si="151"/>
        <v/>
      </c>
      <c r="D1641" t="str">
        <f t="shared" si="152"/>
        <v/>
      </c>
      <c r="E1641" t="str">
        <f t="shared" si="153"/>
        <v/>
      </c>
      <c r="F1641" t="str">
        <f t="shared" si="154"/>
        <v/>
      </c>
      <c r="G1641" t="str">
        <f>IF(OR($E1641="",$E1641="نامعتبر",Sync!$X1637=""),"",IF(AND(LEFT(UPPER(TRIM(Sync!$X1637)),2)="SL",IFERROR(VLOOKUP(Sync!$W1637,OpTbl,3,0),"")="فروش"),UPPER(TRIM(Sync!$X1637)),""))</f>
        <v/>
      </c>
      <c r="H1641" t="str">
        <f>IF($G1641="","",IF(Sync!$W1637="","",Sync!$W1637))</f>
        <v/>
      </c>
      <c r="I1641" t="str">
        <f>IF(OR($G1641="",Sync!$Y1637=""),"",Sync!$Y1637)</f>
        <v/>
      </c>
      <c r="J1641" t="str">
        <f>IF(OR($G1641="",Sync!$Z1637=""),"",Sync!$Z1637)</f>
        <v/>
      </c>
      <c r="K1641">
        <f>IF($G1641="",0,IF(Sync!$AA1637="",0,Sync!$AA1637))</f>
        <v>0</v>
      </c>
      <c r="L1641">
        <f>IF($G1641="",0,IF(Sync!$AB1637="",0,Sync!$AB1637))</f>
        <v>0</v>
      </c>
      <c r="M1641" t="str">
        <f t="shared" si="155"/>
        <v/>
      </c>
      <c r="N1641">
        <f>IF($G1641="",0,IF($H1641="مرجوعی فروش",-1,1)*IF(Sync!$AC1637="",0,Sync!$AC1637))</f>
        <v>0</v>
      </c>
      <c r="O1641" t="str">
        <f>IF(OR($G1641="",Sync!$V1637=""),"",Sync!$V1637)</f>
        <v/>
      </c>
      <c r="P1641" t="str">
        <f>IF(OR($G1641="",Sync!$AD1637=""),"",Sync!$AD1637)</f>
        <v/>
      </c>
      <c r="Q1641" t="str">
        <f>IF($G1641="","",IF(Sync!$U1637="","0000",IF(AND(ISNUMBER(Sync!$U1637),Sync!$U1637&gt;=0,Sync!$U1637&lt;1),RIGHT("00"&amp;HOUR(Sync!$U1637),2)&amp;RIGHT("00"&amp;MINUTE(Sync!$U1637),2),IFERROR(RIGHT("00"&amp;VALUE(LEFT(Sync!$U1637,FIND(":",Sync!$U1637)-1)),2)&amp;RIGHT("00"&amp;VALUE(MID(Sync!$U1637,FIND(":",Sync!$U1637)+1,2)),2),"0000"))))</f>
        <v/>
      </c>
    </row>
    <row r="1642" spans="1:17" x14ac:dyDescent="0.2">
      <c r="A1642" t="str">
        <f>IF(Sync!$T1638="","",Sync!$T1638)</f>
        <v/>
      </c>
      <c r="B1642" t="str">
        <f t="shared" si="150"/>
        <v/>
      </c>
      <c r="C1642" t="str">
        <f t="shared" si="151"/>
        <v/>
      </c>
      <c r="D1642" t="str">
        <f t="shared" si="152"/>
        <v/>
      </c>
      <c r="E1642" t="str">
        <f t="shared" si="153"/>
        <v/>
      </c>
      <c r="F1642" t="str">
        <f t="shared" si="154"/>
        <v/>
      </c>
      <c r="G1642" t="str">
        <f>IF(OR($E1642="",$E1642="نامعتبر",Sync!$X1638=""),"",IF(AND(LEFT(UPPER(TRIM(Sync!$X1638)),2)="SL",IFERROR(VLOOKUP(Sync!$W1638,OpTbl,3,0),"")="فروش"),UPPER(TRIM(Sync!$X1638)),""))</f>
        <v/>
      </c>
      <c r="H1642" t="str">
        <f>IF($G1642="","",IF(Sync!$W1638="","",Sync!$W1638))</f>
        <v/>
      </c>
      <c r="I1642" t="str">
        <f>IF(OR($G1642="",Sync!$Y1638=""),"",Sync!$Y1638)</f>
        <v/>
      </c>
      <c r="J1642" t="str">
        <f>IF(OR($G1642="",Sync!$Z1638=""),"",Sync!$Z1638)</f>
        <v/>
      </c>
      <c r="K1642">
        <f>IF($G1642="",0,IF(Sync!$AA1638="",0,Sync!$AA1638))</f>
        <v>0</v>
      </c>
      <c r="L1642">
        <f>IF($G1642="",0,IF(Sync!$AB1638="",0,Sync!$AB1638))</f>
        <v>0</v>
      </c>
      <c r="M1642" t="str">
        <f t="shared" si="155"/>
        <v/>
      </c>
      <c r="N1642">
        <f>IF($G1642="",0,IF($H1642="مرجوعی فروش",-1,1)*IF(Sync!$AC1638="",0,Sync!$AC1638))</f>
        <v>0</v>
      </c>
      <c r="O1642" t="str">
        <f>IF(OR($G1642="",Sync!$V1638=""),"",Sync!$V1638)</f>
        <v/>
      </c>
      <c r="P1642" t="str">
        <f>IF(OR($G1642="",Sync!$AD1638=""),"",Sync!$AD1638)</f>
        <v/>
      </c>
      <c r="Q1642" t="str">
        <f>IF($G1642="","",IF(Sync!$U1638="","0000",IF(AND(ISNUMBER(Sync!$U1638),Sync!$U1638&gt;=0,Sync!$U1638&lt;1),RIGHT("00"&amp;HOUR(Sync!$U1638),2)&amp;RIGHT("00"&amp;MINUTE(Sync!$U1638),2),IFERROR(RIGHT("00"&amp;VALUE(LEFT(Sync!$U1638,FIND(":",Sync!$U1638)-1)),2)&amp;RIGHT("00"&amp;VALUE(MID(Sync!$U1638,FIND(":",Sync!$U1638)+1,2)),2),"0000"))))</f>
        <v/>
      </c>
    </row>
    <row r="1643" spans="1:17" x14ac:dyDescent="0.2">
      <c r="A1643" t="str">
        <f>IF(Sync!$T1639="","",Sync!$T1639)</f>
        <v/>
      </c>
      <c r="B1643" t="str">
        <f t="shared" si="150"/>
        <v/>
      </c>
      <c r="C1643" t="str">
        <f t="shared" si="151"/>
        <v/>
      </c>
      <c r="D1643" t="str">
        <f t="shared" si="152"/>
        <v/>
      </c>
      <c r="E1643" t="str">
        <f t="shared" si="153"/>
        <v/>
      </c>
      <c r="F1643" t="str">
        <f t="shared" si="154"/>
        <v/>
      </c>
      <c r="G1643" t="str">
        <f>IF(OR($E1643="",$E1643="نامعتبر",Sync!$X1639=""),"",IF(AND(LEFT(UPPER(TRIM(Sync!$X1639)),2)="SL",IFERROR(VLOOKUP(Sync!$W1639,OpTbl,3,0),"")="فروش"),UPPER(TRIM(Sync!$X1639)),""))</f>
        <v/>
      </c>
      <c r="H1643" t="str">
        <f>IF($G1643="","",IF(Sync!$W1639="","",Sync!$W1639))</f>
        <v/>
      </c>
      <c r="I1643" t="str">
        <f>IF(OR($G1643="",Sync!$Y1639=""),"",Sync!$Y1639)</f>
        <v/>
      </c>
      <c r="J1643" t="str">
        <f>IF(OR($G1643="",Sync!$Z1639=""),"",Sync!$Z1639)</f>
        <v/>
      </c>
      <c r="K1643">
        <f>IF($G1643="",0,IF(Sync!$AA1639="",0,Sync!$AA1639))</f>
        <v>0</v>
      </c>
      <c r="L1643">
        <f>IF($G1643="",0,IF(Sync!$AB1639="",0,Sync!$AB1639))</f>
        <v>0</v>
      </c>
      <c r="M1643" t="str">
        <f t="shared" si="155"/>
        <v/>
      </c>
      <c r="N1643">
        <f>IF($G1643="",0,IF($H1643="مرجوعی فروش",-1,1)*IF(Sync!$AC1639="",0,Sync!$AC1639))</f>
        <v>0</v>
      </c>
      <c r="O1643" t="str">
        <f>IF(OR($G1643="",Sync!$V1639=""),"",Sync!$V1639)</f>
        <v/>
      </c>
      <c r="P1643" t="str">
        <f>IF(OR($G1643="",Sync!$AD1639=""),"",Sync!$AD1639)</f>
        <v/>
      </c>
      <c r="Q1643" t="str">
        <f>IF($G1643="","",IF(Sync!$U1639="","0000",IF(AND(ISNUMBER(Sync!$U1639),Sync!$U1639&gt;=0,Sync!$U1639&lt;1),RIGHT("00"&amp;HOUR(Sync!$U1639),2)&amp;RIGHT("00"&amp;MINUTE(Sync!$U1639),2),IFERROR(RIGHT("00"&amp;VALUE(LEFT(Sync!$U1639,FIND(":",Sync!$U1639)-1)),2)&amp;RIGHT("00"&amp;VALUE(MID(Sync!$U1639,FIND(":",Sync!$U1639)+1,2)),2),"0000"))))</f>
        <v/>
      </c>
    </row>
    <row r="1644" spans="1:17" x14ac:dyDescent="0.2">
      <c r="A1644" t="str">
        <f>IF(Sync!$T1640="","",Sync!$T1640)</f>
        <v/>
      </c>
      <c r="B1644" t="str">
        <f t="shared" si="150"/>
        <v/>
      </c>
      <c r="C1644" t="str">
        <f t="shared" si="151"/>
        <v/>
      </c>
      <c r="D1644" t="str">
        <f t="shared" si="152"/>
        <v/>
      </c>
      <c r="E1644" t="str">
        <f t="shared" si="153"/>
        <v/>
      </c>
      <c r="F1644" t="str">
        <f t="shared" si="154"/>
        <v/>
      </c>
      <c r="G1644" t="str">
        <f>IF(OR($E1644="",$E1644="نامعتبر",Sync!$X1640=""),"",IF(AND(LEFT(UPPER(TRIM(Sync!$X1640)),2)="SL",IFERROR(VLOOKUP(Sync!$W1640,OpTbl,3,0),"")="فروش"),UPPER(TRIM(Sync!$X1640)),""))</f>
        <v/>
      </c>
      <c r="H1644" t="str">
        <f>IF($G1644="","",IF(Sync!$W1640="","",Sync!$W1640))</f>
        <v/>
      </c>
      <c r="I1644" t="str">
        <f>IF(OR($G1644="",Sync!$Y1640=""),"",Sync!$Y1640)</f>
        <v/>
      </c>
      <c r="J1644" t="str">
        <f>IF(OR($G1644="",Sync!$Z1640=""),"",Sync!$Z1640)</f>
        <v/>
      </c>
      <c r="K1644">
        <f>IF($G1644="",0,IF(Sync!$AA1640="",0,Sync!$AA1640))</f>
        <v>0</v>
      </c>
      <c r="L1644">
        <f>IF($G1644="",0,IF(Sync!$AB1640="",0,Sync!$AB1640))</f>
        <v>0</v>
      </c>
      <c r="M1644" t="str">
        <f t="shared" si="155"/>
        <v/>
      </c>
      <c r="N1644">
        <f>IF($G1644="",0,IF($H1644="مرجوعی فروش",-1,1)*IF(Sync!$AC1640="",0,Sync!$AC1640))</f>
        <v>0</v>
      </c>
      <c r="O1644" t="str">
        <f>IF(OR($G1644="",Sync!$V1640=""),"",Sync!$V1640)</f>
        <v/>
      </c>
      <c r="P1644" t="str">
        <f>IF(OR($G1644="",Sync!$AD1640=""),"",Sync!$AD1640)</f>
        <v/>
      </c>
      <c r="Q1644" t="str">
        <f>IF($G1644="","",IF(Sync!$U1640="","0000",IF(AND(ISNUMBER(Sync!$U1640),Sync!$U1640&gt;=0,Sync!$U1640&lt;1),RIGHT("00"&amp;HOUR(Sync!$U1640),2)&amp;RIGHT("00"&amp;MINUTE(Sync!$U1640),2),IFERROR(RIGHT("00"&amp;VALUE(LEFT(Sync!$U1640,FIND(":",Sync!$U1640)-1)),2)&amp;RIGHT("00"&amp;VALUE(MID(Sync!$U1640,FIND(":",Sync!$U1640)+1,2)),2),"0000"))))</f>
        <v/>
      </c>
    </row>
    <row r="1645" spans="1:17" x14ac:dyDescent="0.2">
      <c r="A1645" t="str">
        <f>IF(Sync!$T1641="","",Sync!$T1641)</f>
        <v/>
      </c>
      <c r="B1645" t="str">
        <f t="shared" si="150"/>
        <v/>
      </c>
      <c r="C1645" t="str">
        <f t="shared" si="151"/>
        <v/>
      </c>
      <c r="D1645" t="str">
        <f t="shared" si="152"/>
        <v/>
      </c>
      <c r="E1645" t="str">
        <f t="shared" si="153"/>
        <v/>
      </c>
      <c r="F1645" t="str">
        <f t="shared" si="154"/>
        <v/>
      </c>
      <c r="G1645" t="str">
        <f>IF(OR($E1645="",$E1645="نامعتبر",Sync!$X1641=""),"",IF(AND(LEFT(UPPER(TRIM(Sync!$X1641)),2)="SL",IFERROR(VLOOKUP(Sync!$W1641,OpTbl,3,0),"")="فروش"),UPPER(TRIM(Sync!$X1641)),""))</f>
        <v/>
      </c>
      <c r="H1645" t="str">
        <f>IF($G1645="","",IF(Sync!$W1641="","",Sync!$W1641))</f>
        <v/>
      </c>
      <c r="I1645" t="str">
        <f>IF(OR($G1645="",Sync!$Y1641=""),"",Sync!$Y1641)</f>
        <v/>
      </c>
      <c r="J1645" t="str">
        <f>IF(OR($G1645="",Sync!$Z1641=""),"",Sync!$Z1641)</f>
        <v/>
      </c>
      <c r="K1645">
        <f>IF($G1645="",0,IF(Sync!$AA1641="",0,Sync!$AA1641))</f>
        <v>0</v>
      </c>
      <c r="L1645">
        <f>IF($G1645="",0,IF(Sync!$AB1641="",0,Sync!$AB1641))</f>
        <v>0</v>
      </c>
      <c r="M1645" t="str">
        <f t="shared" si="155"/>
        <v/>
      </c>
      <c r="N1645">
        <f>IF($G1645="",0,IF($H1645="مرجوعی فروش",-1,1)*IF(Sync!$AC1641="",0,Sync!$AC1641))</f>
        <v>0</v>
      </c>
      <c r="O1645" t="str">
        <f>IF(OR($G1645="",Sync!$V1641=""),"",Sync!$V1641)</f>
        <v/>
      </c>
      <c r="P1645" t="str">
        <f>IF(OR($G1645="",Sync!$AD1641=""),"",Sync!$AD1641)</f>
        <v/>
      </c>
      <c r="Q1645" t="str">
        <f>IF($G1645="","",IF(Sync!$U1641="","0000",IF(AND(ISNUMBER(Sync!$U1641),Sync!$U1641&gt;=0,Sync!$U1641&lt;1),RIGHT("00"&amp;HOUR(Sync!$U1641),2)&amp;RIGHT("00"&amp;MINUTE(Sync!$U1641),2),IFERROR(RIGHT("00"&amp;VALUE(LEFT(Sync!$U1641,FIND(":",Sync!$U1641)-1)),2)&amp;RIGHT("00"&amp;VALUE(MID(Sync!$U1641,FIND(":",Sync!$U1641)+1,2)),2),"0000"))))</f>
        <v/>
      </c>
    </row>
    <row r="1646" spans="1:17" x14ac:dyDescent="0.2">
      <c r="A1646" t="str">
        <f>IF(Sync!$T1642="","",Sync!$T1642)</f>
        <v/>
      </c>
      <c r="B1646" t="str">
        <f t="shared" si="150"/>
        <v/>
      </c>
      <c r="C1646" t="str">
        <f t="shared" si="151"/>
        <v/>
      </c>
      <c r="D1646" t="str">
        <f t="shared" si="152"/>
        <v/>
      </c>
      <c r="E1646" t="str">
        <f t="shared" si="153"/>
        <v/>
      </c>
      <c r="F1646" t="str">
        <f t="shared" si="154"/>
        <v/>
      </c>
      <c r="G1646" t="str">
        <f>IF(OR($E1646="",$E1646="نامعتبر",Sync!$X1642=""),"",IF(AND(LEFT(UPPER(TRIM(Sync!$X1642)),2)="SL",IFERROR(VLOOKUP(Sync!$W1642,OpTbl,3,0),"")="فروش"),UPPER(TRIM(Sync!$X1642)),""))</f>
        <v/>
      </c>
      <c r="H1646" t="str">
        <f>IF($G1646="","",IF(Sync!$W1642="","",Sync!$W1642))</f>
        <v/>
      </c>
      <c r="I1646" t="str">
        <f>IF(OR($G1646="",Sync!$Y1642=""),"",Sync!$Y1642)</f>
        <v/>
      </c>
      <c r="J1646" t="str">
        <f>IF(OR($G1646="",Sync!$Z1642=""),"",Sync!$Z1642)</f>
        <v/>
      </c>
      <c r="K1646">
        <f>IF($G1646="",0,IF(Sync!$AA1642="",0,Sync!$AA1642))</f>
        <v>0</v>
      </c>
      <c r="L1646">
        <f>IF($G1646="",0,IF(Sync!$AB1642="",0,Sync!$AB1642))</f>
        <v>0</v>
      </c>
      <c r="M1646" t="str">
        <f t="shared" si="155"/>
        <v/>
      </c>
      <c r="N1646">
        <f>IF($G1646="",0,IF($H1646="مرجوعی فروش",-1,1)*IF(Sync!$AC1642="",0,Sync!$AC1642))</f>
        <v>0</v>
      </c>
      <c r="O1646" t="str">
        <f>IF(OR($G1646="",Sync!$V1642=""),"",Sync!$V1642)</f>
        <v/>
      </c>
      <c r="P1646" t="str">
        <f>IF(OR($G1646="",Sync!$AD1642=""),"",Sync!$AD1642)</f>
        <v/>
      </c>
      <c r="Q1646" t="str">
        <f>IF($G1646="","",IF(Sync!$U1642="","0000",IF(AND(ISNUMBER(Sync!$U1642),Sync!$U1642&gt;=0,Sync!$U1642&lt;1),RIGHT("00"&amp;HOUR(Sync!$U1642),2)&amp;RIGHT("00"&amp;MINUTE(Sync!$U1642),2),IFERROR(RIGHT("00"&amp;VALUE(LEFT(Sync!$U1642,FIND(":",Sync!$U1642)-1)),2)&amp;RIGHT("00"&amp;VALUE(MID(Sync!$U1642,FIND(":",Sync!$U1642)+1,2)),2),"0000"))))</f>
        <v/>
      </c>
    </row>
    <row r="1647" spans="1:17" x14ac:dyDescent="0.2">
      <c r="A1647" t="str">
        <f>IF(Sync!$T1643="","",Sync!$T1643)</f>
        <v/>
      </c>
      <c r="B1647" t="str">
        <f t="shared" si="150"/>
        <v/>
      </c>
      <c r="C1647" t="str">
        <f t="shared" si="151"/>
        <v/>
      </c>
      <c r="D1647" t="str">
        <f t="shared" si="152"/>
        <v/>
      </c>
      <c r="E1647" t="str">
        <f t="shared" si="153"/>
        <v/>
      </c>
      <c r="F1647" t="str">
        <f t="shared" si="154"/>
        <v/>
      </c>
      <c r="G1647" t="str">
        <f>IF(OR($E1647="",$E1647="نامعتبر",Sync!$X1643=""),"",IF(AND(LEFT(UPPER(TRIM(Sync!$X1643)),2)="SL",IFERROR(VLOOKUP(Sync!$W1643,OpTbl,3,0),"")="فروش"),UPPER(TRIM(Sync!$X1643)),""))</f>
        <v/>
      </c>
      <c r="H1647" t="str">
        <f>IF($G1647="","",IF(Sync!$W1643="","",Sync!$W1643))</f>
        <v/>
      </c>
      <c r="I1647" t="str">
        <f>IF(OR($G1647="",Sync!$Y1643=""),"",Sync!$Y1643)</f>
        <v/>
      </c>
      <c r="J1647" t="str">
        <f>IF(OR($G1647="",Sync!$Z1643=""),"",Sync!$Z1643)</f>
        <v/>
      </c>
      <c r="K1647">
        <f>IF($G1647="",0,IF(Sync!$AA1643="",0,Sync!$AA1643))</f>
        <v>0</v>
      </c>
      <c r="L1647">
        <f>IF($G1647="",0,IF(Sync!$AB1643="",0,Sync!$AB1643))</f>
        <v>0</v>
      </c>
      <c r="M1647" t="str">
        <f t="shared" si="155"/>
        <v/>
      </c>
      <c r="N1647">
        <f>IF($G1647="",0,IF($H1647="مرجوعی فروش",-1,1)*IF(Sync!$AC1643="",0,Sync!$AC1643))</f>
        <v>0</v>
      </c>
      <c r="O1647" t="str">
        <f>IF(OR($G1647="",Sync!$V1643=""),"",Sync!$V1643)</f>
        <v/>
      </c>
      <c r="P1647" t="str">
        <f>IF(OR($G1647="",Sync!$AD1643=""),"",Sync!$AD1643)</f>
        <v/>
      </c>
      <c r="Q1647" t="str">
        <f>IF($G1647="","",IF(Sync!$U1643="","0000",IF(AND(ISNUMBER(Sync!$U1643),Sync!$U1643&gt;=0,Sync!$U1643&lt;1),RIGHT("00"&amp;HOUR(Sync!$U1643),2)&amp;RIGHT("00"&amp;MINUTE(Sync!$U1643),2),IFERROR(RIGHT("00"&amp;VALUE(LEFT(Sync!$U1643,FIND(":",Sync!$U1643)-1)),2)&amp;RIGHT("00"&amp;VALUE(MID(Sync!$U1643,FIND(":",Sync!$U1643)+1,2)),2),"0000"))))</f>
        <v/>
      </c>
    </row>
    <row r="1648" spans="1:17" x14ac:dyDescent="0.2">
      <c r="A1648" t="str">
        <f>IF(Sync!$T1644="","",Sync!$T1644)</f>
        <v/>
      </c>
      <c r="B1648" t="str">
        <f t="shared" si="150"/>
        <v/>
      </c>
      <c r="C1648" t="str">
        <f t="shared" si="151"/>
        <v/>
      </c>
      <c r="D1648" t="str">
        <f t="shared" si="152"/>
        <v/>
      </c>
      <c r="E1648" t="str">
        <f t="shared" si="153"/>
        <v/>
      </c>
      <c r="F1648" t="str">
        <f t="shared" si="154"/>
        <v/>
      </c>
      <c r="G1648" t="str">
        <f>IF(OR($E1648="",$E1648="نامعتبر",Sync!$X1644=""),"",IF(AND(LEFT(UPPER(TRIM(Sync!$X1644)),2)="SL",IFERROR(VLOOKUP(Sync!$W1644,OpTbl,3,0),"")="فروش"),UPPER(TRIM(Sync!$X1644)),""))</f>
        <v/>
      </c>
      <c r="H1648" t="str">
        <f>IF($G1648="","",IF(Sync!$W1644="","",Sync!$W1644))</f>
        <v/>
      </c>
      <c r="I1648" t="str">
        <f>IF(OR($G1648="",Sync!$Y1644=""),"",Sync!$Y1644)</f>
        <v/>
      </c>
      <c r="J1648" t="str">
        <f>IF(OR($G1648="",Sync!$Z1644=""),"",Sync!$Z1644)</f>
        <v/>
      </c>
      <c r="K1648">
        <f>IF($G1648="",0,IF(Sync!$AA1644="",0,Sync!$AA1644))</f>
        <v>0</v>
      </c>
      <c r="L1648">
        <f>IF($G1648="",0,IF(Sync!$AB1644="",0,Sync!$AB1644))</f>
        <v>0</v>
      </c>
      <c r="M1648" t="str">
        <f t="shared" si="155"/>
        <v/>
      </c>
      <c r="N1648">
        <f>IF($G1648="",0,IF($H1648="مرجوعی فروش",-1,1)*IF(Sync!$AC1644="",0,Sync!$AC1644))</f>
        <v>0</v>
      </c>
      <c r="O1648" t="str">
        <f>IF(OR($G1648="",Sync!$V1644=""),"",Sync!$V1644)</f>
        <v/>
      </c>
      <c r="P1648" t="str">
        <f>IF(OR($G1648="",Sync!$AD1644=""),"",Sync!$AD1644)</f>
        <v/>
      </c>
      <c r="Q1648" t="str">
        <f>IF($G1648="","",IF(Sync!$U1644="","0000",IF(AND(ISNUMBER(Sync!$U1644),Sync!$U1644&gt;=0,Sync!$U1644&lt;1),RIGHT("00"&amp;HOUR(Sync!$U1644),2)&amp;RIGHT("00"&amp;MINUTE(Sync!$U1644),2),IFERROR(RIGHT("00"&amp;VALUE(LEFT(Sync!$U1644,FIND(":",Sync!$U1644)-1)),2)&amp;RIGHT("00"&amp;VALUE(MID(Sync!$U1644,FIND(":",Sync!$U1644)+1,2)),2),"0000"))))</f>
        <v/>
      </c>
    </row>
    <row r="1649" spans="1:17" x14ac:dyDescent="0.2">
      <c r="A1649" t="str">
        <f>IF(Sync!$T1645="","",Sync!$T1645)</f>
        <v/>
      </c>
      <c r="B1649" t="str">
        <f t="shared" si="150"/>
        <v/>
      </c>
      <c r="C1649" t="str">
        <f t="shared" si="151"/>
        <v/>
      </c>
      <c r="D1649" t="str">
        <f t="shared" si="152"/>
        <v/>
      </c>
      <c r="E1649" t="str">
        <f t="shared" si="153"/>
        <v/>
      </c>
      <c r="F1649" t="str">
        <f t="shared" si="154"/>
        <v/>
      </c>
      <c r="G1649" t="str">
        <f>IF(OR($E1649="",$E1649="نامعتبر",Sync!$X1645=""),"",IF(AND(LEFT(UPPER(TRIM(Sync!$X1645)),2)="SL",IFERROR(VLOOKUP(Sync!$W1645,OpTbl,3,0),"")="فروش"),UPPER(TRIM(Sync!$X1645)),""))</f>
        <v/>
      </c>
      <c r="H1649" t="str">
        <f>IF($G1649="","",IF(Sync!$W1645="","",Sync!$W1645))</f>
        <v/>
      </c>
      <c r="I1649" t="str">
        <f>IF(OR($G1649="",Sync!$Y1645=""),"",Sync!$Y1645)</f>
        <v/>
      </c>
      <c r="J1649" t="str">
        <f>IF(OR($G1649="",Sync!$Z1645=""),"",Sync!$Z1645)</f>
        <v/>
      </c>
      <c r="K1649">
        <f>IF($G1649="",0,IF(Sync!$AA1645="",0,Sync!$AA1645))</f>
        <v>0</v>
      </c>
      <c r="L1649">
        <f>IF($G1649="",0,IF(Sync!$AB1645="",0,Sync!$AB1645))</f>
        <v>0</v>
      </c>
      <c r="M1649" t="str">
        <f t="shared" si="155"/>
        <v/>
      </c>
      <c r="N1649">
        <f>IF($G1649="",0,IF($H1649="مرجوعی فروش",-1,1)*IF(Sync!$AC1645="",0,Sync!$AC1645))</f>
        <v>0</v>
      </c>
      <c r="O1649" t="str">
        <f>IF(OR($G1649="",Sync!$V1645=""),"",Sync!$V1645)</f>
        <v/>
      </c>
      <c r="P1649" t="str">
        <f>IF(OR($G1649="",Sync!$AD1645=""),"",Sync!$AD1645)</f>
        <v/>
      </c>
      <c r="Q1649" t="str">
        <f>IF($G1649="","",IF(Sync!$U1645="","0000",IF(AND(ISNUMBER(Sync!$U1645),Sync!$U1645&gt;=0,Sync!$U1645&lt;1),RIGHT("00"&amp;HOUR(Sync!$U1645),2)&amp;RIGHT("00"&amp;MINUTE(Sync!$U1645),2),IFERROR(RIGHT("00"&amp;VALUE(LEFT(Sync!$U1645,FIND(":",Sync!$U1645)-1)),2)&amp;RIGHT("00"&amp;VALUE(MID(Sync!$U1645,FIND(":",Sync!$U1645)+1,2)),2),"0000"))))</f>
        <v/>
      </c>
    </row>
    <row r="1650" spans="1:17" x14ac:dyDescent="0.2">
      <c r="A1650" t="str">
        <f>IF(Sync!$T1646="","",Sync!$T1646)</f>
        <v/>
      </c>
      <c r="B1650" t="str">
        <f t="shared" si="150"/>
        <v/>
      </c>
      <c r="C1650" t="str">
        <f t="shared" si="151"/>
        <v/>
      </c>
      <c r="D1650" t="str">
        <f t="shared" si="152"/>
        <v/>
      </c>
      <c r="E1650" t="str">
        <f t="shared" si="153"/>
        <v/>
      </c>
      <c r="F1650" t="str">
        <f t="shared" si="154"/>
        <v/>
      </c>
      <c r="G1650" t="str">
        <f>IF(OR($E1650="",$E1650="نامعتبر",Sync!$X1646=""),"",IF(AND(LEFT(UPPER(TRIM(Sync!$X1646)),2)="SL",IFERROR(VLOOKUP(Sync!$W1646,OpTbl,3,0),"")="فروش"),UPPER(TRIM(Sync!$X1646)),""))</f>
        <v/>
      </c>
      <c r="H1650" t="str">
        <f>IF($G1650="","",IF(Sync!$W1646="","",Sync!$W1646))</f>
        <v/>
      </c>
      <c r="I1650" t="str">
        <f>IF(OR($G1650="",Sync!$Y1646=""),"",Sync!$Y1646)</f>
        <v/>
      </c>
      <c r="J1650" t="str">
        <f>IF(OR($G1650="",Sync!$Z1646=""),"",Sync!$Z1646)</f>
        <v/>
      </c>
      <c r="K1650">
        <f>IF($G1650="",0,IF(Sync!$AA1646="",0,Sync!$AA1646))</f>
        <v>0</v>
      </c>
      <c r="L1650">
        <f>IF($G1650="",0,IF(Sync!$AB1646="",0,Sync!$AB1646))</f>
        <v>0</v>
      </c>
      <c r="M1650" t="str">
        <f t="shared" si="155"/>
        <v/>
      </c>
      <c r="N1650">
        <f>IF($G1650="",0,IF($H1650="مرجوعی فروش",-1,1)*IF(Sync!$AC1646="",0,Sync!$AC1646))</f>
        <v>0</v>
      </c>
      <c r="O1650" t="str">
        <f>IF(OR($G1650="",Sync!$V1646=""),"",Sync!$V1646)</f>
        <v/>
      </c>
      <c r="P1650" t="str">
        <f>IF(OR($G1650="",Sync!$AD1646=""),"",Sync!$AD1646)</f>
        <v/>
      </c>
      <c r="Q1650" t="str">
        <f>IF($G1650="","",IF(Sync!$U1646="","0000",IF(AND(ISNUMBER(Sync!$U1646),Sync!$U1646&gt;=0,Sync!$U1646&lt;1),RIGHT("00"&amp;HOUR(Sync!$U1646),2)&amp;RIGHT("00"&amp;MINUTE(Sync!$U1646),2),IFERROR(RIGHT("00"&amp;VALUE(LEFT(Sync!$U1646,FIND(":",Sync!$U1646)-1)),2)&amp;RIGHT("00"&amp;VALUE(MID(Sync!$U1646,FIND(":",Sync!$U1646)+1,2)),2),"0000"))))</f>
        <v/>
      </c>
    </row>
    <row r="1651" spans="1:17" x14ac:dyDescent="0.2">
      <c r="A1651" t="str">
        <f>IF(Sync!$T1647="","",Sync!$T1647)</f>
        <v/>
      </c>
      <c r="B1651" t="str">
        <f t="shared" si="150"/>
        <v/>
      </c>
      <c r="C1651" t="str">
        <f t="shared" si="151"/>
        <v/>
      </c>
      <c r="D1651" t="str">
        <f t="shared" si="152"/>
        <v/>
      </c>
      <c r="E1651" t="str">
        <f t="shared" si="153"/>
        <v/>
      </c>
      <c r="F1651" t="str">
        <f t="shared" si="154"/>
        <v/>
      </c>
      <c r="G1651" t="str">
        <f>IF(OR($E1651="",$E1651="نامعتبر",Sync!$X1647=""),"",IF(AND(LEFT(UPPER(TRIM(Sync!$X1647)),2)="SL",IFERROR(VLOOKUP(Sync!$W1647,OpTbl,3,0),"")="فروش"),UPPER(TRIM(Sync!$X1647)),""))</f>
        <v/>
      </c>
      <c r="H1651" t="str">
        <f>IF($G1651="","",IF(Sync!$W1647="","",Sync!$W1647))</f>
        <v/>
      </c>
      <c r="I1651" t="str">
        <f>IF(OR($G1651="",Sync!$Y1647=""),"",Sync!$Y1647)</f>
        <v/>
      </c>
      <c r="J1651" t="str">
        <f>IF(OR($G1651="",Sync!$Z1647=""),"",Sync!$Z1647)</f>
        <v/>
      </c>
      <c r="K1651">
        <f>IF($G1651="",0,IF(Sync!$AA1647="",0,Sync!$AA1647))</f>
        <v>0</v>
      </c>
      <c r="L1651">
        <f>IF($G1651="",0,IF(Sync!$AB1647="",0,Sync!$AB1647))</f>
        <v>0</v>
      </c>
      <c r="M1651" t="str">
        <f t="shared" si="155"/>
        <v/>
      </c>
      <c r="N1651">
        <f>IF($G1651="",0,IF($H1651="مرجوعی فروش",-1,1)*IF(Sync!$AC1647="",0,Sync!$AC1647))</f>
        <v>0</v>
      </c>
      <c r="O1651" t="str">
        <f>IF(OR($G1651="",Sync!$V1647=""),"",Sync!$V1647)</f>
        <v/>
      </c>
      <c r="P1651" t="str">
        <f>IF(OR($G1651="",Sync!$AD1647=""),"",Sync!$AD1647)</f>
        <v/>
      </c>
      <c r="Q1651" t="str">
        <f>IF($G1651="","",IF(Sync!$U1647="","0000",IF(AND(ISNUMBER(Sync!$U1647),Sync!$U1647&gt;=0,Sync!$U1647&lt;1),RIGHT("00"&amp;HOUR(Sync!$U1647),2)&amp;RIGHT("00"&amp;MINUTE(Sync!$U1647),2),IFERROR(RIGHT("00"&amp;VALUE(LEFT(Sync!$U1647,FIND(":",Sync!$U1647)-1)),2)&amp;RIGHT("00"&amp;VALUE(MID(Sync!$U1647,FIND(":",Sync!$U1647)+1,2)),2),"0000"))))</f>
        <v/>
      </c>
    </row>
    <row r="1652" spans="1:17" x14ac:dyDescent="0.2">
      <c r="A1652" t="str">
        <f>IF(Sync!$T1648="","",Sync!$T1648)</f>
        <v/>
      </c>
      <c r="B1652" t="str">
        <f t="shared" si="150"/>
        <v/>
      </c>
      <c r="C1652" t="str">
        <f t="shared" si="151"/>
        <v/>
      </c>
      <c r="D1652" t="str">
        <f t="shared" si="152"/>
        <v/>
      </c>
      <c r="E1652" t="str">
        <f t="shared" si="153"/>
        <v/>
      </c>
      <c r="F1652" t="str">
        <f t="shared" si="154"/>
        <v/>
      </c>
      <c r="G1652" t="str">
        <f>IF(OR($E1652="",$E1652="نامعتبر",Sync!$X1648=""),"",IF(AND(LEFT(UPPER(TRIM(Sync!$X1648)),2)="SL",IFERROR(VLOOKUP(Sync!$W1648,OpTbl,3,0),"")="فروش"),UPPER(TRIM(Sync!$X1648)),""))</f>
        <v/>
      </c>
      <c r="H1652" t="str">
        <f>IF($G1652="","",IF(Sync!$W1648="","",Sync!$W1648))</f>
        <v/>
      </c>
      <c r="I1652" t="str">
        <f>IF(OR($G1652="",Sync!$Y1648=""),"",Sync!$Y1648)</f>
        <v/>
      </c>
      <c r="J1652" t="str">
        <f>IF(OR($G1652="",Sync!$Z1648=""),"",Sync!$Z1648)</f>
        <v/>
      </c>
      <c r="K1652">
        <f>IF($G1652="",0,IF(Sync!$AA1648="",0,Sync!$AA1648))</f>
        <v>0</v>
      </c>
      <c r="L1652">
        <f>IF($G1652="",0,IF(Sync!$AB1648="",0,Sync!$AB1648))</f>
        <v>0</v>
      </c>
      <c r="M1652" t="str">
        <f t="shared" si="155"/>
        <v/>
      </c>
      <c r="N1652">
        <f>IF($G1652="",0,IF($H1652="مرجوعی فروش",-1,1)*IF(Sync!$AC1648="",0,Sync!$AC1648))</f>
        <v>0</v>
      </c>
      <c r="O1652" t="str">
        <f>IF(OR($G1652="",Sync!$V1648=""),"",Sync!$V1648)</f>
        <v/>
      </c>
      <c r="P1652" t="str">
        <f>IF(OR($G1652="",Sync!$AD1648=""),"",Sync!$AD1648)</f>
        <v/>
      </c>
      <c r="Q1652" t="str">
        <f>IF($G1652="","",IF(Sync!$U1648="","0000",IF(AND(ISNUMBER(Sync!$U1648),Sync!$U1648&gt;=0,Sync!$U1648&lt;1),RIGHT("00"&amp;HOUR(Sync!$U1648),2)&amp;RIGHT("00"&amp;MINUTE(Sync!$U1648),2),IFERROR(RIGHT("00"&amp;VALUE(LEFT(Sync!$U1648,FIND(":",Sync!$U1648)-1)),2)&amp;RIGHT("00"&amp;VALUE(MID(Sync!$U1648,FIND(":",Sync!$U1648)+1,2)),2),"0000"))))</f>
        <v/>
      </c>
    </row>
    <row r="1653" spans="1:17" x14ac:dyDescent="0.2">
      <c r="A1653" t="str">
        <f>IF(Sync!$T1649="","",Sync!$T1649)</f>
        <v/>
      </c>
      <c r="B1653" t="str">
        <f t="shared" si="150"/>
        <v/>
      </c>
      <c r="C1653" t="str">
        <f t="shared" si="151"/>
        <v/>
      </c>
      <c r="D1653" t="str">
        <f t="shared" si="152"/>
        <v/>
      </c>
      <c r="E1653" t="str">
        <f t="shared" si="153"/>
        <v/>
      </c>
      <c r="F1653" t="str">
        <f t="shared" si="154"/>
        <v/>
      </c>
      <c r="G1653" t="str">
        <f>IF(OR($E1653="",$E1653="نامعتبر",Sync!$X1649=""),"",IF(AND(LEFT(UPPER(TRIM(Sync!$X1649)),2)="SL",IFERROR(VLOOKUP(Sync!$W1649,OpTbl,3,0),"")="فروش"),UPPER(TRIM(Sync!$X1649)),""))</f>
        <v/>
      </c>
      <c r="H1653" t="str">
        <f>IF($G1653="","",IF(Sync!$W1649="","",Sync!$W1649))</f>
        <v/>
      </c>
      <c r="I1653" t="str">
        <f>IF(OR($G1653="",Sync!$Y1649=""),"",Sync!$Y1649)</f>
        <v/>
      </c>
      <c r="J1653" t="str">
        <f>IF(OR($G1653="",Sync!$Z1649=""),"",Sync!$Z1649)</f>
        <v/>
      </c>
      <c r="K1653">
        <f>IF($G1653="",0,IF(Sync!$AA1649="",0,Sync!$AA1649))</f>
        <v>0</v>
      </c>
      <c r="L1653">
        <f>IF($G1653="",0,IF(Sync!$AB1649="",0,Sync!$AB1649))</f>
        <v>0</v>
      </c>
      <c r="M1653" t="str">
        <f t="shared" si="155"/>
        <v/>
      </c>
      <c r="N1653">
        <f>IF($G1653="",0,IF($H1653="مرجوعی فروش",-1,1)*IF(Sync!$AC1649="",0,Sync!$AC1649))</f>
        <v>0</v>
      </c>
      <c r="O1653" t="str">
        <f>IF(OR($G1653="",Sync!$V1649=""),"",Sync!$V1649)</f>
        <v/>
      </c>
      <c r="P1653" t="str">
        <f>IF(OR($G1653="",Sync!$AD1649=""),"",Sync!$AD1649)</f>
        <v/>
      </c>
      <c r="Q1653" t="str">
        <f>IF($G1653="","",IF(Sync!$U1649="","0000",IF(AND(ISNUMBER(Sync!$U1649),Sync!$U1649&gt;=0,Sync!$U1649&lt;1),RIGHT("00"&amp;HOUR(Sync!$U1649),2)&amp;RIGHT("00"&amp;MINUTE(Sync!$U1649),2),IFERROR(RIGHT("00"&amp;VALUE(LEFT(Sync!$U1649,FIND(":",Sync!$U1649)-1)),2)&amp;RIGHT("00"&amp;VALUE(MID(Sync!$U1649,FIND(":",Sync!$U1649)+1,2)),2),"0000"))))</f>
        <v/>
      </c>
    </row>
    <row r="1654" spans="1:17" x14ac:dyDescent="0.2">
      <c r="A1654" t="str">
        <f>IF(Sync!$T1650="","",Sync!$T1650)</f>
        <v/>
      </c>
      <c r="B1654" t="str">
        <f t="shared" si="150"/>
        <v/>
      </c>
      <c r="C1654" t="str">
        <f t="shared" si="151"/>
        <v/>
      </c>
      <c r="D1654" t="str">
        <f t="shared" si="152"/>
        <v/>
      </c>
      <c r="E1654" t="str">
        <f t="shared" si="153"/>
        <v/>
      </c>
      <c r="F1654" t="str">
        <f t="shared" si="154"/>
        <v/>
      </c>
      <c r="G1654" t="str">
        <f>IF(OR($E1654="",$E1654="نامعتبر",Sync!$X1650=""),"",IF(AND(LEFT(UPPER(TRIM(Sync!$X1650)),2)="SL",IFERROR(VLOOKUP(Sync!$W1650,OpTbl,3,0),"")="فروش"),UPPER(TRIM(Sync!$X1650)),""))</f>
        <v/>
      </c>
      <c r="H1654" t="str">
        <f>IF($G1654="","",IF(Sync!$W1650="","",Sync!$W1650))</f>
        <v/>
      </c>
      <c r="I1654" t="str">
        <f>IF(OR($G1654="",Sync!$Y1650=""),"",Sync!$Y1650)</f>
        <v/>
      </c>
      <c r="J1654" t="str">
        <f>IF(OR($G1654="",Sync!$Z1650=""),"",Sync!$Z1650)</f>
        <v/>
      </c>
      <c r="K1654">
        <f>IF($G1654="",0,IF(Sync!$AA1650="",0,Sync!$AA1650))</f>
        <v>0</v>
      </c>
      <c r="L1654">
        <f>IF($G1654="",0,IF(Sync!$AB1650="",0,Sync!$AB1650))</f>
        <v>0</v>
      </c>
      <c r="M1654" t="str">
        <f t="shared" si="155"/>
        <v/>
      </c>
      <c r="N1654">
        <f>IF($G1654="",0,IF($H1654="مرجوعی فروش",-1,1)*IF(Sync!$AC1650="",0,Sync!$AC1650))</f>
        <v>0</v>
      </c>
      <c r="O1654" t="str">
        <f>IF(OR($G1654="",Sync!$V1650=""),"",Sync!$V1650)</f>
        <v/>
      </c>
      <c r="P1654" t="str">
        <f>IF(OR($G1654="",Sync!$AD1650=""),"",Sync!$AD1650)</f>
        <v/>
      </c>
      <c r="Q1654" t="str">
        <f>IF($G1654="","",IF(Sync!$U1650="","0000",IF(AND(ISNUMBER(Sync!$U1650),Sync!$U1650&gt;=0,Sync!$U1650&lt;1),RIGHT("00"&amp;HOUR(Sync!$U1650),2)&amp;RIGHT("00"&amp;MINUTE(Sync!$U1650),2),IFERROR(RIGHT("00"&amp;VALUE(LEFT(Sync!$U1650,FIND(":",Sync!$U1650)-1)),2)&amp;RIGHT("00"&amp;VALUE(MID(Sync!$U1650,FIND(":",Sync!$U1650)+1,2)),2),"0000"))))</f>
        <v/>
      </c>
    </row>
    <row r="1655" spans="1:17" x14ac:dyDescent="0.2">
      <c r="A1655" t="str">
        <f>IF(Sync!$T1651="","",Sync!$T1651)</f>
        <v/>
      </c>
      <c r="B1655" t="str">
        <f t="shared" si="150"/>
        <v/>
      </c>
      <c r="C1655" t="str">
        <f t="shared" si="151"/>
        <v/>
      </c>
      <c r="D1655" t="str">
        <f t="shared" si="152"/>
        <v/>
      </c>
      <c r="E1655" t="str">
        <f t="shared" si="153"/>
        <v/>
      </c>
      <c r="F1655" t="str">
        <f t="shared" si="154"/>
        <v/>
      </c>
      <c r="G1655" t="str">
        <f>IF(OR($E1655="",$E1655="نامعتبر",Sync!$X1651=""),"",IF(AND(LEFT(UPPER(TRIM(Sync!$X1651)),2)="SL",IFERROR(VLOOKUP(Sync!$W1651,OpTbl,3,0),"")="فروش"),UPPER(TRIM(Sync!$X1651)),""))</f>
        <v/>
      </c>
      <c r="H1655" t="str">
        <f>IF($G1655="","",IF(Sync!$W1651="","",Sync!$W1651))</f>
        <v/>
      </c>
      <c r="I1655" t="str">
        <f>IF(OR($G1655="",Sync!$Y1651=""),"",Sync!$Y1651)</f>
        <v/>
      </c>
      <c r="J1655" t="str">
        <f>IF(OR($G1655="",Sync!$Z1651=""),"",Sync!$Z1651)</f>
        <v/>
      </c>
      <c r="K1655">
        <f>IF($G1655="",0,IF(Sync!$AA1651="",0,Sync!$AA1651))</f>
        <v>0</v>
      </c>
      <c r="L1655">
        <f>IF($G1655="",0,IF(Sync!$AB1651="",0,Sync!$AB1651))</f>
        <v>0</v>
      </c>
      <c r="M1655" t="str">
        <f t="shared" si="155"/>
        <v/>
      </c>
      <c r="N1655">
        <f>IF($G1655="",0,IF($H1655="مرجوعی فروش",-1,1)*IF(Sync!$AC1651="",0,Sync!$AC1651))</f>
        <v>0</v>
      </c>
      <c r="O1655" t="str">
        <f>IF(OR($G1655="",Sync!$V1651=""),"",Sync!$V1651)</f>
        <v/>
      </c>
      <c r="P1655" t="str">
        <f>IF(OR($G1655="",Sync!$AD1651=""),"",Sync!$AD1651)</f>
        <v/>
      </c>
      <c r="Q1655" t="str">
        <f>IF($G1655="","",IF(Sync!$U1651="","0000",IF(AND(ISNUMBER(Sync!$U1651),Sync!$U1651&gt;=0,Sync!$U1651&lt;1),RIGHT("00"&amp;HOUR(Sync!$U1651),2)&amp;RIGHT("00"&amp;MINUTE(Sync!$U1651),2),IFERROR(RIGHT("00"&amp;VALUE(LEFT(Sync!$U1651,FIND(":",Sync!$U1651)-1)),2)&amp;RIGHT("00"&amp;VALUE(MID(Sync!$U1651,FIND(":",Sync!$U1651)+1,2)),2),"0000"))))</f>
        <v/>
      </c>
    </row>
    <row r="1656" spans="1:17" x14ac:dyDescent="0.2">
      <c r="A1656" t="str">
        <f>IF(Sync!$T1652="","",Sync!$T1652)</f>
        <v/>
      </c>
      <c r="B1656" t="str">
        <f t="shared" si="150"/>
        <v/>
      </c>
      <c r="C1656" t="str">
        <f t="shared" si="151"/>
        <v/>
      </c>
      <c r="D1656" t="str">
        <f t="shared" si="152"/>
        <v/>
      </c>
      <c r="E1656" t="str">
        <f t="shared" si="153"/>
        <v/>
      </c>
      <c r="F1656" t="str">
        <f t="shared" si="154"/>
        <v/>
      </c>
      <c r="G1656" t="str">
        <f>IF(OR($E1656="",$E1656="نامعتبر",Sync!$X1652=""),"",IF(AND(LEFT(UPPER(TRIM(Sync!$X1652)),2)="SL",IFERROR(VLOOKUP(Sync!$W1652,OpTbl,3,0),"")="فروش"),UPPER(TRIM(Sync!$X1652)),""))</f>
        <v/>
      </c>
      <c r="H1656" t="str">
        <f>IF($G1656="","",IF(Sync!$W1652="","",Sync!$W1652))</f>
        <v/>
      </c>
      <c r="I1656" t="str">
        <f>IF(OR($G1656="",Sync!$Y1652=""),"",Sync!$Y1652)</f>
        <v/>
      </c>
      <c r="J1656" t="str">
        <f>IF(OR($G1656="",Sync!$Z1652=""),"",Sync!$Z1652)</f>
        <v/>
      </c>
      <c r="K1656">
        <f>IF($G1656="",0,IF(Sync!$AA1652="",0,Sync!$AA1652))</f>
        <v>0</v>
      </c>
      <c r="L1656">
        <f>IF($G1656="",0,IF(Sync!$AB1652="",0,Sync!$AB1652))</f>
        <v>0</v>
      </c>
      <c r="M1656" t="str">
        <f t="shared" si="155"/>
        <v/>
      </c>
      <c r="N1656">
        <f>IF($G1656="",0,IF($H1656="مرجوعی فروش",-1,1)*IF(Sync!$AC1652="",0,Sync!$AC1652))</f>
        <v>0</v>
      </c>
      <c r="O1656" t="str">
        <f>IF(OR($G1656="",Sync!$V1652=""),"",Sync!$V1652)</f>
        <v/>
      </c>
      <c r="P1656" t="str">
        <f>IF(OR($G1656="",Sync!$AD1652=""),"",Sync!$AD1652)</f>
        <v/>
      </c>
      <c r="Q1656" t="str">
        <f>IF($G1656="","",IF(Sync!$U1652="","0000",IF(AND(ISNUMBER(Sync!$U1652),Sync!$U1652&gt;=0,Sync!$U1652&lt;1),RIGHT("00"&amp;HOUR(Sync!$U1652),2)&amp;RIGHT("00"&amp;MINUTE(Sync!$U1652),2),IFERROR(RIGHT("00"&amp;VALUE(LEFT(Sync!$U1652,FIND(":",Sync!$U1652)-1)),2)&amp;RIGHT("00"&amp;VALUE(MID(Sync!$U1652,FIND(":",Sync!$U1652)+1,2)),2),"0000"))))</f>
        <v/>
      </c>
    </row>
    <row r="1657" spans="1:17" x14ac:dyDescent="0.2">
      <c r="A1657" t="str">
        <f>IF(Sync!$T1653="","",Sync!$T1653)</f>
        <v/>
      </c>
      <c r="B1657" t="str">
        <f t="shared" si="150"/>
        <v/>
      </c>
      <c r="C1657" t="str">
        <f t="shared" si="151"/>
        <v/>
      </c>
      <c r="D1657" t="str">
        <f t="shared" si="152"/>
        <v/>
      </c>
      <c r="E1657" t="str">
        <f t="shared" si="153"/>
        <v/>
      </c>
      <c r="F1657" t="str">
        <f t="shared" si="154"/>
        <v/>
      </c>
      <c r="G1657" t="str">
        <f>IF(OR($E1657="",$E1657="نامعتبر",Sync!$X1653=""),"",IF(AND(LEFT(UPPER(TRIM(Sync!$X1653)),2)="SL",IFERROR(VLOOKUP(Sync!$W1653,OpTbl,3,0),"")="فروش"),UPPER(TRIM(Sync!$X1653)),""))</f>
        <v/>
      </c>
      <c r="H1657" t="str">
        <f>IF($G1657="","",IF(Sync!$W1653="","",Sync!$W1653))</f>
        <v/>
      </c>
      <c r="I1657" t="str">
        <f>IF(OR($G1657="",Sync!$Y1653=""),"",Sync!$Y1653)</f>
        <v/>
      </c>
      <c r="J1657" t="str">
        <f>IF(OR($G1657="",Sync!$Z1653=""),"",Sync!$Z1653)</f>
        <v/>
      </c>
      <c r="K1657">
        <f>IF($G1657="",0,IF(Sync!$AA1653="",0,Sync!$AA1653))</f>
        <v>0</v>
      </c>
      <c r="L1657">
        <f>IF($G1657="",0,IF(Sync!$AB1653="",0,Sync!$AB1653))</f>
        <v>0</v>
      </c>
      <c r="M1657" t="str">
        <f t="shared" si="155"/>
        <v/>
      </c>
      <c r="N1657">
        <f>IF($G1657="",0,IF($H1657="مرجوعی فروش",-1,1)*IF(Sync!$AC1653="",0,Sync!$AC1653))</f>
        <v>0</v>
      </c>
      <c r="O1657" t="str">
        <f>IF(OR($G1657="",Sync!$V1653=""),"",Sync!$V1653)</f>
        <v/>
      </c>
      <c r="P1657" t="str">
        <f>IF(OR($G1657="",Sync!$AD1653=""),"",Sync!$AD1653)</f>
        <v/>
      </c>
      <c r="Q1657" t="str">
        <f>IF($G1657="","",IF(Sync!$U1653="","0000",IF(AND(ISNUMBER(Sync!$U1653),Sync!$U1653&gt;=0,Sync!$U1653&lt;1),RIGHT("00"&amp;HOUR(Sync!$U1653),2)&amp;RIGHT("00"&amp;MINUTE(Sync!$U1653),2),IFERROR(RIGHT("00"&amp;VALUE(LEFT(Sync!$U1653,FIND(":",Sync!$U1653)-1)),2)&amp;RIGHT("00"&amp;VALUE(MID(Sync!$U1653,FIND(":",Sync!$U1653)+1,2)),2),"0000"))))</f>
        <v/>
      </c>
    </row>
    <row r="1658" spans="1:17" x14ac:dyDescent="0.2">
      <c r="A1658" t="str">
        <f>IF(Sync!$T1654="","",Sync!$T1654)</f>
        <v/>
      </c>
      <c r="B1658" t="str">
        <f t="shared" si="150"/>
        <v/>
      </c>
      <c r="C1658" t="str">
        <f t="shared" si="151"/>
        <v/>
      </c>
      <c r="D1658" t="str">
        <f t="shared" si="152"/>
        <v/>
      </c>
      <c r="E1658" t="str">
        <f t="shared" si="153"/>
        <v/>
      </c>
      <c r="F1658" t="str">
        <f t="shared" si="154"/>
        <v/>
      </c>
      <c r="G1658" t="str">
        <f>IF(OR($E1658="",$E1658="نامعتبر",Sync!$X1654=""),"",IF(AND(LEFT(UPPER(TRIM(Sync!$X1654)),2)="SL",IFERROR(VLOOKUP(Sync!$W1654,OpTbl,3,0),"")="فروش"),UPPER(TRIM(Sync!$X1654)),""))</f>
        <v/>
      </c>
      <c r="H1658" t="str">
        <f>IF($G1658="","",IF(Sync!$W1654="","",Sync!$W1654))</f>
        <v/>
      </c>
      <c r="I1658" t="str">
        <f>IF(OR($G1658="",Sync!$Y1654=""),"",Sync!$Y1654)</f>
        <v/>
      </c>
      <c r="J1658" t="str">
        <f>IF(OR($G1658="",Sync!$Z1654=""),"",Sync!$Z1654)</f>
        <v/>
      </c>
      <c r="K1658">
        <f>IF($G1658="",0,IF(Sync!$AA1654="",0,Sync!$AA1654))</f>
        <v>0</v>
      </c>
      <c r="L1658">
        <f>IF($G1658="",0,IF(Sync!$AB1654="",0,Sync!$AB1654))</f>
        <v>0</v>
      </c>
      <c r="M1658" t="str">
        <f t="shared" si="155"/>
        <v/>
      </c>
      <c r="N1658">
        <f>IF($G1658="",0,IF($H1658="مرجوعی فروش",-1,1)*IF(Sync!$AC1654="",0,Sync!$AC1654))</f>
        <v>0</v>
      </c>
      <c r="O1658" t="str">
        <f>IF(OR($G1658="",Sync!$V1654=""),"",Sync!$V1654)</f>
        <v/>
      </c>
      <c r="P1658" t="str">
        <f>IF(OR($G1658="",Sync!$AD1654=""),"",Sync!$AD1654)</f>
        <v/>
      </c>
      <c r="Q1658" t="str">
        <f>IF($G1658="","",IF(Sync!$U1654="","0000",IF(AND(ISNUMBER(Sync!$U1654),Sync!$U1654&gt;=0,Sync!$U1654&lt;1),RIGHT("00"&amp;HOUR(Sync!$U1654),2)&amp;RIGHT("00"&amp;MINUTE(Sync!$U1654),2),IFERROR(RIGHT("00"&amp;VALUE(LEFT(Sync!$U1654,FIND(":",Sync!$U1654)-1)),2)&amp;RIGHT("00"&amp;VALUE(MID(Sync!$U1654,FIND(":",Sync!$U1654)+1,2)),2),"0000"))))</f>
        <v/>
      </c>
    </row>
    <row r="1659" spans="1:17" x14ac:dyDescent="0.2">
      <c r="A1659" t="str">
        <f>IF(Sync!$T1655="","",Sync!$T1655)</f>
        <v/>
      </c>
      <c r="B1659" t="str">
        <f t="shared" si="150"/>
        <v/>
      </c>
      <c r="C1659" t="str">
        <f t="shared" si="151"/>
        <v/>
      </c>
      <c r="D1659" t="str">
        <f t="shared" si="152"/>
        <v/>
      </c>
      <c r="E1659" t="str">
        <f t="shared" si="153"/>
        <v/>
      </c>
      <c r="F1659" t="str">
        <f t="shared" si="154"/>
        <v/>
      </c>
      <c r="G1659" t="str">
        <f>IF(OR($E1659="",$E1659="نامعتبر",Sync!$X1655=""),"",IF(AND(LEFT(UPPER(TRIM(Sync!$X1655)),2)="SL",IFERROR(VLOOKUP(Sync!$W1655,OpTbl,3,0),"")="فروش"),UPPER(TRIM(Sync!$X1655)),""))</f>
        <v/>
      </c>
      <c r="H1659" t="str">
        <f>IF($G1659="","",IF(Sync!$W1655="","",Sync!$W1655))</f>
        <v/>
      </c>
      <c r="I1659" t="str">
        <f>IF(OR($G1659="",Sync!$Y1655=""),"",Sync!$Y1655)</f>
        <v/>
      </c>
      <c r="J1659" t="str">
        <f>IF(OR($G1659="",Sync!$Z1655=""),"",Sync!$Z1655)</f>
        <v/>
      </c>
      <c r="K1659">
        <f>IF($G1659="",0,IF(Sync!$AA1655="",0,Sync!$AA1655))</f>
        <v>0</v>
      </c>
      <c r="L1659">
        <f>IF($G1659="",0,IF(Sync!$AB1655="",0,Sync!$AB1655))</f>
        <v>0</v>
      </c>
      <c r="M1659" t="str">
        <f t="shared" si="155"/>
        <v/>
      </c>
      <c r="N1659">
        <f>IF($G1659="",0,IF($H1659="مرجوعی فروش",-1,1)*IF(Sync!$AC1655="",0,Sync!$AC1655))</f>
        <v>0</v>
      </c>
      <c r="O1659" t="str">
        <f>IF(OR($G1659="",Sync!$V1655=""),"",Sync!$V1655)</f>
        <v/>
      </c>
      <c r="P1659" t="str">
        <f>IF(OR($G1659="",Sync!$AD1655=""),"",Sync!$AD1655)</f>
        <v/>
      </c>
      <c r="Q1659" t="str">
        <f>IF($G1659="","",IF(Sync!$U1655="","0000",IF(AND(ISNUMBER(Sync!$U1655),Sync!$U1655&gt;=0,Sync!$U1655&lt;1),RIGHT("00"&amp;HOUR(Sync!$U1655),2)&amp;RIGHT("00"&amp;MINUTE(Sync!$U1655),2),IFERROR(RIGHT("00"&amp;VALUE(LEFT(Sync!$U1655,FIND(":",Sync!$U1655)-1)),2)&amp;RIGHT("00"&amp;VALUE(MID(Sync!$U1655,FIND(":",Sync!$U1655)+1,2)),2),"0000"))))</f>
        <v/>
      </c>
    </row>
    <row r="1660" spans="1:17" x14ac:dyDescent="0.2">
      <c r="A1660" t="str">
        <f>IF(Sync!$T1656="","",Sync!$T1656)</f>
        <v/>
      </c>
      <c r="B1660" t="str">
        <f t="shared" si="150"/>
        <v/>
      </c>
      <c r="C1660" t="str">
        <f t="shared" si="151"/>
        <v/>
      </c>
      <c r="D1660" t="str">
        <f t="shared" si="152"/>
        <v/>
      </c>
      <c r="E1660" t="str">
        <f t="shared" si="153"/>
        <v/>
      </c>
      <c r="F1660" t="str">
        <f t="shared" si="154"/>
        <v/>
      </c>
      <c r="G1660" t="str">
        <f>IF(OR($E1660="",$E1660="نامعتبر",Sync!$X1656=""),"",IF(AND(LEFT(UPPER(TRIM(Sync!$X1656)),2)="SL",IFERROR(VLOOKUP(Sync!$W1656,OpTbl,3,0),"")="فروش"),UPPER(TRIM(Sync!$X1656)),""))</f>
        <v/>
      </c>
      <c r="H1660" t="str">
        <f>IF($G1660="","",IF(Sync!$W1656="","",Sync!$W1656))</f>
        <v/>
      </c>
      <c r="I1660" t="str">
        <f>IF(OR($G1660="",Sync!$Y1656=""),"",Sync!$Y1656)</f>
        <v/>
      </c>
      <c r="J1660" t="str">
        <f>IF(OR($G1660="",Sync!$Z1656=""),"",Sync!$Z1656)</f>
        <v/>
      </c>
      <c r="K1660">
        <f>IF($G1660="",0,IF(Sync!$AA1656="",0,Sync!$AA1656))</f>
        <v>0</v>
      </c>
      <c r="L1660">
        <f>IF($G1660="",0,IF(Sync!$AB1656="",0,Sync!$AB1656))</f>
        <v>0</v>
      </c>
      <c r="M1660" t="str">
        <f t="shared" si="155"/>
        <v/>
      </c>
      <c r="N1660">
        <f>IF($G1660="",0,IF($H1660="مرجوعی فروش",-1,1)*IF(Sync!$AC1656="",0,Sync!$AC1656))</f>
        <v>0</v>
      </c>
      <c r="O1660" t="str">
        <f>IF(OR($G1660="",Sync!$V1656=""),"",Sync!$V1656)</f>
        <v/>
      </c>
      <c r="P1660" t="str">
        <f>IF(OR($G1660="",Sync!$AD1656=""),"",Sync!$AD1656)</f>
        <v/>
      </c>
      <c r="Q1660" t="str">
        <f>IF($G1660="","",IF(Sync!$U1656="","0000",IF(AND(ISNUMBER(Sync!$U1656),Sync!$U1656&gt;=0,Sync!$U1656&lt;1),RIGHT("00"&amp;HOUR(Sync!$U1656),2)&amp;RIGHT("00"&amp;MINUTE(Sync!$U1656),2),IFERROR(RIGHT("00"&amp;VALUE(LEFT(Sync!$U1656,FIND(":",Sync!$U1656)-1)),2)&amp;RIGHT("00"&amp;VALUE(MID(Sync!$U1656,FIND(":",Sync!$U1656)+1,2)),2),"0000"))))</f>
        <v/>
      </c>
    </row>
    <row r="1661" spans="1:17" x14ac:dyDescent="0.2">
      <c r="A1661" t="str">
        <f>IF(Sync!$T1657="","",Sync!$T1657)</f>
        <v/>
      </c>
      <c r="B1661" t="str">
        <f t="shared" si="150"/>
        <v/>
      </c>
      <c r="C1661" t="str">
        <f t="shared" si="151"/>
        <v/>
      </c>
      <c r="D1661" t="str">
        <f t="shared" si="152"/>
        <v/>
      </c>
      <c r="E1661" t="str">
        <f t="shared" si="153"/>
        <v/>
      </c>
      <c r="F1661" t="str">
        <f t="shared" si="154"/>
        <v/>
      </c>
      <c r="G1661" t="str">
        <f>IF(OR($E1661="",$E1661="نامعتبر",Sync!$X1657=""),"",IF(AND(LEFT(UPPER(TRIM(Sync!$X1657)),2)="SL",IFERROR(VLOOKUP(Sync!$W1657,OpTbl,3,0),"")="فروش"),UPPER(TRIM(Sync!$X1657)),""))</f>
        <v/>
      </c>
      <c r="H1661" t="str">
        <f>IF($G1661="","",IF(Sync!$W1657="","",Sync!$W1657))</f>
        <v/>
      </c>
      <c r="I1661" t="str">
        <f>IF(OR($G1661="",Sync!$Y1657=""),"",Sync!$Y1657)</f>
        <v/>
      </c>
      <c r="J1661" t="str">
        <f>IF(OR($G1661="",Sync!$Z1657=""),"",Sync!$Z1657)</f>
        <v/>
      </c>
      <c r="K1661">
        <f>IF($G1661="",0,IF(Sync!$AA1657="",0,Sync!$AA1657))</f>
        <v>0</v>
      </c>
      <c r="L1661">
        <f>IF($G1661="",0,IF(Sync!$AB1657="",0,Sync!$AB1657))</f>
        <v>0</v>
      </c>
      <c r="M1661" t="str">
        <f t="shared" si="155"/>
        <v/>
      </c>
      <c r="N1661">
        <f>IF($G1661="",0,IF($H1661="مرجوعی فروش",-1,1)*IF(Sync!$AC1657="",0,Sync!$AC1657))</f>
        <v>0</v>
      </c>
      <c r="O1661" t="str">
        <f>IF(OR($G1661="",Sync!$V1657=""),"",Sync!$V1657)</f>
        <v/>
      </c>
      <c r="P1661" t="str">
        <f>IF(OR($G1661="",Sync!$AD1657=""),"",Sync!$AD1657)</f>
        <v/>
      </c>
      <c r="Q1661" t="str">
        <f>IF($G1661="","",IF(Sync!$U1657="","0000",IF(AND(ISNUMBER(Sync!$U1657),Sync!$U1657&gt;=0,Sync!$U1657&lt;1),RIGHT("00"&amp;HOUR(Sync!$U1657),2)&amp;RIGHT("00"&amp;MINUTE(Sync!$U1657),2),IFERROR(RIGHT("00"&amp;VALUE(LEFT(Sync!$U1657,FIND(":",Sync!$U1657)-1)),2)&amp;RIGHT("00"&amp;VALUE(MID(Sync!$U1657,FIND(":",Sync!$U1657)+1,2)),2),"0000"))))</f>
        <v/>
      </c>
    </row>
    <row r="1662" spans="1:17" x14ac:dyDescent="0.2">
      <c r="A1662" t="str">
        <f>IF(Sync!$T1658="","",Sync!$T1658)</f>
        <v/>
      </c>
      <c r="B1662" t="str">
        <f t="shared" si="150"/>
        <v/>
      </c>
      <c r="C1662" t="str">
        <f t="shared" si="151"/>
        <v/>
      </c>
      <c r="D1662" t="str">
        <f t="shared" si="152"/>
        <v/>
      </c>
      <c r="E1662" t="str">
        <f t="shared" si="153"/>
        <v/>
      </c>
      <c r="F1662" t="str">
        <f t="shared" si="154"/>
        <v/>
      </c>
      <c r="G1662" t="str">
        <f>IF(OR($E1662="",$E1662="نامعتبر",Sync!$X1658=""),"",IF(AND(LEFT(UPPER(TRIM(Sync!$X1658)),2)="SL",IFERROR(VLOOKUP(Sync!$W1658,OpTbl,3,0),"")="فروش"),UPPER(TRIM(Sync!$X1658)),""))</f>
        <v/>
      </c>
      <c r="H1662" t="str">
        <f>IF($G1662="","",IF(Sync!$W1658="","",Sync!$W1658))</f>
        <v/>
      </c>
      <c r="I1662" t="str">
        <f>IF(OR($G1662="",Sync!$Y1658=""),"",Sync!$Y1658)</f>
        <v/>
      </c>
      <c r="J1662" t="str">
        <f>IF(OR($G1662="",Sync!$Z1658=""),"",Sync!$Z1658)</f>
        <v/>
      </c>
      <c r="K1662">
        <f>IF($G1662="",0,IF(Sync!$AA1658="",0,Sync!$AA1658))</f>
        <v>0</v>
      </c>
      <c r="L1662">
        <f>IF($G1662="",0,IF(Sync!$AB1658="",0,Sync!$AB1658))</f>
        <v>0</v>
      </c>
      <c r="M1662" t="str">
        <f t="shared" si="155"/>
        <v/>
      </c>
      <c r="N1662">
        <f>IF($G1662="",0,IF($H1662="مرجوعی فروش",-1,1)*IF(Sync!$AC1658="",0,Sync!$AC1658))</f>
        <v>0</v>
      </c>
      <c r="O1662" t="str">
        <f>IF(OR($G1662="",Sync!$V1658=""),"",Sync!$V1658)</f>
        <v/>
      </c>
      <c r="P1662" t="str">
        <f>IF(OR($G1662="",Sync!$AD1658=""),"",Sync!$AD1658)</f>
        <v/>
      </c>
      <c r="Q1662" t="str">
        <f>IF($G1662="","",IF(Sync!$U1658="","0000",IF(AND(ISNUMBER(Sync!$U1658),Sync!$U1658&gt;=0,Sync!$U1658&lt;1),RIGHT("00"&amp;HOUR(Sync!$U1658),2)&amp;RIGHT("00"&amp;MINUTE(Sync!$U1658),2),IFERROR(RIGHT("00"&amp;VALUE(LEFT(Sync!$U1658,FIND(":",Sync!$U1658)-1)),2)&amp;RIGHT("00"&amp;VALUE(MID(Sync!$U1658,FIND(":",Sync!$U1658)+1,2)),2),"0000"))))</f>
        <v/>
      </c>
    </row>
    <row r="1663" spans="1:17" x14ac:dyDescent="0.2">
      <c r="A1663" t="str">
        <f>IF(Sync!$T1659="","",Sync!$T1659)</f>
        <v/>
      </c>
      <c r="B1663" t="str">
        <f t="shared" si="150"/>
        <v/>
      </c>
      <c r="C1663" t="str">
        <f t="shared" si="151"/>
        <v/>
      </c>
      <c r="D1663" t="str">
        <f t="shared" si="152"/>
        <v/>
      </c>
      <c r="E1663" t="str">
        <f t="shared" si="153"/>
        <v/>
      </c>
      <c r="F1663" t="str">
        <f t="shared" si="154"/>
        <v/>
      </c>
      <c r="G1663" t="str">
        <f>IF(OR($E1663="",$E1663="نامعتبر",Sync!$X1659=""),"",IF(AND(LEFT(UPPER(TRIM(Sync!$X1659)),2)="SL",IFERROR(VLOOKUP(Sync!$W1659,OpTbl,3,0),"")="فروش"),UPPER(TRIM(Sync!$X1659)),""))</f>
        <v/>
      </c>
      <c r="H1663" t="str">
        <f>IF($G1663="","",IF(Sync!$W1659="","",Sync!$W1659))</f>
        <v/>
      </c>
      <c r="I1663" t="str">
        <f>IF(OR($G1663="",Sync!$Y1659=""),"",Sync!$Y1659)</f>
        <v/>
      </c>
      <c r="J1663" t="str">
        <f>IF(OR($G1663="",Sync!$Z1659=""),"",Sync!$Z1659)</f>
        <v/>
      </c>
      <c r="K1663">
        <f>IF($G1663="",0,IF(Sync!$AA1659="",0,Sync!$AA1659))</f>
        <v>0</v>
      </c>
      <c r="L1663">
        <f>IF($G1663="",0,IF(Sync!$AB1659="",0,Sync!$AB1659))</f>
        <v>0</v>
      </c>
      <c r="M1663" t="str">
        <f t="shared" si="155"/>
        <v/>
      </c>
      <c r="N1663">
        <f>IF($G1663="",0,IF($H1663="مرجوعی فروش",-1,1)*IF(Sync!$AC1659="",0,Sync!$AC1659))</f>
        <v>0</v>
      </c>
      <c r="O1663" t="str">
        <f>IF(OR($G1663="",Sync!$V1659=""),"",Sync!$V1659)</f>
        <v/>
      </c>
      <c r="P1663" t="str">
        <f>IF(OR($G1663="",Sync!$AD1659=""),"",Sync!$AD1659)</f>
        <v/>
      </c>
      <c r="Q1663" t="str">
        <f>IF($G1663="","",IF(Sync!$U1659="","0000",IF(AND(ISNUMBER(Sync!$U1659),Sync!$U1659&gt;=0,Sync!$U1659&lt;1),RIGHT("00"&amp;HOUR(Sync!$U1659),2)&amp;RIGHT("00"&amp;MINUTE(Sync!$U1659),2),IFERROR(RIGHT("00"&amp;VALUE(LEFT(Sync!$U1659,FIND(":",Sync!$U1659)-1)),2)&amp;RIGHT("00"&amp;VALUE(MID(Sync!$U1659,FIND(":",Sync!$U1659)+1,2)),2),"0000"))))</f>
        <v/>
      </c>
    </row>
    <row r="1664" spans="1:17" x14ac:dyDescent="0.2">
      <c r="A1664" t="str">
        <f>IF(Sync!$T1660="","",Sync!$T1660)</f>
        <v/>
      </c>
      <c r="B1664" t="str">
        <f t="shared" si="150"/>
        <v/>
      </c>
      <c r="C1664" t="str">
        <f t="shared" si="151"/>
        <v/>
      </c>
      <c r="D1664" t="str">
        <f t="shared" si="152"/>
        <v/>
      </c>
      <c r="E1664" t="str">
        <f t="shared" si="153"/>
        <v/>
      </c>
      <c r="F1664" t="str">
        <f t="shared" si="154"/>
        <v/>
      </c>
      <c r="G1664" t="str">
        <f>IF(OR($E1664="",$E1664="نامعتبر",Sync!$X1660=""),"",IF(AND(LEFT(UPPER(TRIM(Sync!$X1660)),2)="SL",IFERROR(VLOOKUP(Sync!$W1660,OpTbl,3,0),"")="فروش"),UPPER(TRIM(Sync!$X1660)),""))</f>
        <v/>
      </c>
      <c r="H1664" t="str">
        <f>IF($G1664="","",IF(Sync!$W1660="","",Sync!$W1660))</f>
        <v/>
      </c>
      <c r="I1664" t="str">
        <f>IF(OR($G1664="",Sync!$Y1660=""),"",Sync!$Y1660)</f>
        <v/>
      </c>
      <c r="J1664" t="str">
        <f>IF(OR($G1664="",Sync!$Z1660=""),"",Sync!$Z1660)</f>
        <v/>
      </c>
      <c r="K1664">
        <f>IF($G1664="",0,IF(Sync!$AA1660="",0,Sync!$AA1660))</f>
        <v>0</v>
      </c>
      <c r="L1664">
        <f>IF($G1664="",0,IF(Sync!$AB1660="",0,Sync!$AB1660))</f>
        <v>0</v>
      </c>
      <c r="M1664" t="str">
        <f t="shared" si="155"/>
        <v/>
      </c>
      <c r="N1664">
        <f>IF($G1664="",0,IF($H1664="مرجوعی فروش",-1,1)*IF(Sync!$AC1660="",0,Sync!$AC1660))</f>
        <v>0</v>
      </c>
      <c r="O1664" t="str">
        <f>IF(OR($G1664="",Sync!$V1660=""),"",Sync!$V1660)</f>
        <v/>
      </c>
      <c r="P1664" t="str">
        <f>IF(OR($G1664="",Sync!$AD1660=""),"",Sync!$AD1660)</f>
        <v/>
      </c>
      <c r="Q1664" t="str">
        <f>IF($G1664="","",IF(Sync!$U1660="","0000",IF(AND(ISNUMBER(Sync!$U1660),Sync!$U1660&gt;=0,Sync!$U1660&lt;1),RIGHT("00"&amp;HOUR(Sync!$U1660),2)&amp;RIGHT("00"&amp;MINUTE(Sync!$U1660),2),IFERROR(RIGHT("00"&amp;VALUE(LEFT(Sync!$U1660,FIND(":",Sync!$U1660)-1)),2)&amp;RIGHT("00"&amp;VALUE(MID(Sync!$U1660,FIND(":",Sync!$U1660)+1,2)),2),"0000"))))</f>
        <v/>
      </c>
    </row>
    <row r="1665" spans="1:17" x14ac:dyDescent="0.2">
      <c r="A1665" t="str">
        <f>IF(Sync!$T1661="","",Sync!$T1661)</f>
        <v/>
      </c>
      <c r="B1665" t="str">
        <f t="shared" si="150"/>
        <v/>
      </c>
      <c r="C1665" t="str">
        <f t="shared" si="151"/>
        <v/>
      </c>
      <c r="D1665" t="str">
        <f t="shared" si="152"/>
        <v/>
      </c>
      <c r="E1665" t="str">
        <f t="shared" si="153"/>
        <v/>
      </c>
      <c r="F1665" t="str">
        <f t="shared" si="154"/>
        <v/>
      </c>
      <c r="G1665" t="str">
        <f>IF(OR($E1665="",$E1665="نامعتبر",Sync!$X1661=""),"",IF(AND(LEFT(UPPER(TRIM(Sync!$X1661)),2)="SL",IFERROR(VLOOKUP(Sync!$W1661,OpTbl,3,0),"")="فروش"),UPPER(TRIM(Sync!$X1661)),""))</f>
        <v/>
      </c>
      <c r="H1665" t="str">
        <f>IF($G1665="","",IF(Sync!$W1661="","",Sync!$W1661))</f>
        <v/>
      </c>
      <c r="I1665" t="str">
        <f>IF(OR($G1665="",Sync!$Y1661=""),"",Sync!$Y1661)</f>
        <v/>
      </c>
      <c r="J1665" t="str">
        <f>IF(OR($G1665="",Sync!$Z1661=""),"",Sync!$Z1661)</f>
        <v/>
      </c>
      <c r="K1665">
        <f>IF($G1665="",0,IF(Sync!$AA1661="",0,Sync!$AA1661))</f>
        <v>0</v>
      </c>
      <c r="L1665">
        <f>IF($G1665="",0,IF(Sync!$AB1661="",0,Sync!$AB1661))</f>
        <v>0</v>
      </c>
      <c r="M1665" t="str">
        <f t="shared" si="155"/>
        <v/>
      </c>
      <c r="N1665">
        <f>IF($G1665="",0,IF($H1665="مرجوعی فروش",-1,1)*IF(Sync!$AC1661="",0,Sync!$AC1661))</f>
        <v>0</v>
      </c>
      <c r="O1665" t="str">
        <f>IF(OR($G1665="",Sync!$V1661=""),"",Sync!$V1661)</f>
        <v/>
      </c>
      <c r="P1665" t="str">
        <f>IF(OR($G1665="",Sync!$AD1661=""),"",Sync!$AD1661)</f>
        <v/>
      </c>
      <c r="Q1665" t="str">
        <f>IF($G1665="","",IF(Sync!$U1661="","0000",IF(AND(ISNUMBER(Sync!$U1661),Sync!$U1661&gt;=0,Sync!$U1661&lt;1),RIGHT("00"&amp;HOUR(Sync!$U1661),2)&amp;RIGHT("00"&amp;MINUTE(Sync!$U1661),2),IFERROR(RIGHT("00"&amp;VALUE(LEFT(Sync!$U1661,FIND(":",Sync!$U1661)-1)),2)&amp;RIGHT("00"&amp;VALUE(MID(Sync!$U1661,FIND(":",Sync!$U1661)+1,2)),2),"0000"))))</f>
        <v/>
      </c>
    </row>
    <row r="1666" spans="1:17" x14ac:dyDescent="0.2">
      <c r="A1666" t="str">
        <f>IF(Sync!$T1662="","",Sync!$T1662)</f>
        <v/>
      </c>
      <c r="B1666" t="str">
        <f t="shared" si="150"/>
        <v/>
      </c>
      <c r="C1666" t="str">
        <f t="shared" si="151"/>
        <v/>
      </c>
      <c r="D1666" t="str">
        <f t="shared" si="152"/>
        <v/>
      </c>
      <c r="E1666" t="str">
        <f t="shared" si="153"/>
        <v/>
      </c>
      <c r="F1666" t="str">
        <f t="shared" si="154"/>
        <v/>
      </c>
      <c r="G1666" t="str">
        <f>IF(OR($E1666="",$E1666="نامعتبر",Sync!$X1662=""),"",IF(AND(LEFT(UPPER(TRIM(Sync!$X1662)),2)="SL",IFERROR(VLOOKUP(Sync!$W1662,OpTbl,3,0),"")="فروش"),UPPER(TRIM(Sync!$X1662)),""))</f>
        <v/>
      </c>
      <c r="H1666" t="str">
        <f>IF($G1666="","",IF(Sync!$W1662="","",Sync!$W1662))</f>
        <v/>
      </c>
      <c r="I1666" t="str">
        <f>IF(OR($G1666="",Sync!$Y1662=""),"",Sync!$Y1662)</f>
        <v/>
      </c>
      <c r="J1666" t="str">
        <f>IF(OR($G1666="",Sync!$Z1662=""),"",Sync!$Z1662)</f>
        <v/>
      </c>
      <c r="K1666">
        <f>IF($G1666="",0,IF(Sync!$AA1662="",0,Sync!$AA1662))</f>
        <v>0</v>
      </c>
      <c r="L1666">
        <f>IF($G1666="",0,IF(Sync!$AB1662="",0,Sync!$AB1662))</f>
        <v>0</v>
      </c>
      <c r="M1666" t="str">
        <f t="shared" si="155"/>
        <v/>
      </c>
      <c r="N1666">
        <f>IF($G1666="",0,IF($H1666="مرجوعی فروش",-1,1)*IF(Sync!$AC1662="",0,Sync!$AC1662))</f>
        <v>0</v>
      </c>
      <c r="O1666" t="str">
        <f>IF(OR($G1666="",Sync!$V1662=""),"",Sync!$V1662)</f>
        <v/>
      </c>
      <c r="P1666" t="str">
        <f>IF(OR($G1666="",Sync!$AD1662=""),"",Sync!$AD1662)</f>
        <v/>
      </c>
      <c r="Q1666" t="str">
        <f>IF($G1666="","",IF(Sync!$U1662="","0000",IF(AND(ISNUMBER(Sync!$U1662),Sync!$U1662&gt;=0,Sync!$U1662&lt;1),RIGHT("00"&amp;HOUR(Sync!$U1662),2)&amp;RIGHT("00"&amp;MINUTE(Sync!$U1662),2),IFERROR(RIGHT("00"&amp;VALUE(LEFT(Sync!$U1662,FIND(":",Sync!$U1662)-1)),2)&amp;RIGHT("00"&amp;VALUE(MID(Sync!$U1662,FIND(":",Sync!$U1662)+1,2)),2),"0000"))))</f>
        <v/>
      </c>
    </row>
    <row r="1667" spans="1:17" x14ac:dyDescent="0.2">
      <c r="A1667" t="str">
        <f>IF(Sync!$T1663="","",Sync!$T1663)</f>
        <v/>
      </c>
      <c r="B1667" t="str">
        <f t="shared" si="150"/>
        <v/>
      </c>
      <c r="C1667" t="str">
        <f t="shared" si="151"/>
        <v/>
      </c>
      <c r="D1667" t="str">
        <f t="shared" si="152"/>
        <v/>
      </c>
      <c r="E1667" t="str">
        <f t="shared" si="153"/>
        <v/>
      </c>
      <c r="F1667" t="str">
        <f t="shared" si="154"/>
        <v/>
      </c>
      <c r="G1667" t="str">
        <f>IF(OR($E1667="",$E1667="نامعتبر",Sync!$X1663=""),"",IF(AND(LEFT(UPPER(TRIM(Sync!$X1663)),2)="SL",IFERROR(VLOOKUP(Sync!$W1663,OpTbl,3,0),"")="فروش"),UPPER(TRIM(Sync!$X1663)),""))</f>
        <v/>
      </c>
      <c r="H1667" t="str">
        <f>IF($G1667="","",IF(Sync!$W1663="","",Sync!$W1663))</f>
        <v/>
      </c>
      <c r="I1667" t="str">
        <f>IF(OR($G1667="",Sync!$Y1663=""),"",Sync!$Y1663)</f>
        <v/>
      </c>
      <c r="J1667" t="str">
        <f>IF(OR($G1667="",Sync!$Z1663=""),"",Sync!$Z1663)</f>
        <v/>
      </c>
      <c r="K1667">
        <f>IF($G1667="",0,IF(Sync!$AA1663="",0,Sync!$AA1663))</f>
        <v>0</v>
      </c>
      <c r="L1667">
        <f>IF($G1667="",0,IF(Sync!$AB1663="",0,Sync!$AB1663))</f>
        <v>0</v>
      </c>
      <c r="M1667" t="str">
        <f t="shared" si="155"/>
        <v/>
      </c>
      <c r="N1667">
        <f>IF($G1667="",0,IF($H1667="مرجوعی فروش",-1,1)*IF(Sync!$AC1663="",0,Sync!$AC1663))</f>
        <v>0</v>
      </c>
      <c r="O1667" t="str">
        <f>IF(OR($G1667="",Sync!$V1663=""),"",Sync!$V1663)</f>
        <v/>
      </c>
      <c r="P1667" t="str">
        <f>IF(OR($G1667="",Sync!$AD1663=""),"",Sync!$AD1663)</f>
        <v/>
      </c>
      <c r="Q1667" t="str">
        <f>IF($G1667="","",IF(Sync!$U1663="","0000",IF(AND(ISNUMBER(Sync!$U1663),Sync!$U1663&gt;=0,Sync!$U1663&lt;1),RIGHT("00"&amp;HOUR(Sync!$U1663),2)&amp;RIGHT("00"&amp;MINUTE(Sync!$U1663),2),IFERROR(RIGHT("00"&amp;VALUE(LEFT(Sync!$U1663,FIND(":",Sync!$U1663)-1)),2)&amp;RIGHT("00"&amp;VALUE(MID(Sync!$U1663,FIND(":",Sync!$U1663)+1,2)),2),"0000"))))</f>
        <v/>
      </c>
    </row>
    <row r="1668" spans="1:17" x14ac:dyDescent="0.2">
      <c r="A1668" t="str">
        <f>IF(Sync!$T1664="","",Sync!$T1664)</f>
        <v/>
      </c>
      <c r="B1668" t="str">
        <f t="shared" si="150"/>
        <v/>
      </c>
      <c r="C1668" t="str">
        <f t="shared" si="151"/>
        <v/>
      </c>
      <c r="D1668" t="str">
        <f t="shared" si="152"/>
        <v/>
      </c>
      <c r="E1668" t="str">
        <f t="shared" si="153"/>
        <v/>
      </c>
      <c r="F1668" t="str">
        <f t="shared" si="154"/>
        <v/>
      </c>
      <c r="G1668" t="str">
        <f>IF(OR($E1668="",$E1668="نامعتبر",Sync!$X1664=""),"",IF(AND(LEFT(UPPER(TRIM(Sync!$X1664)),2)="SL",IFERROR(VLOOKUP(Sync!$W1664,OpTbl,3,0),"")="فروش"),UPPER(TRIM(Sync!$X1664)),""))</f>
        <v/>
      </c>
      <c r="H1668" t="str">
        <f>IF($G1668="","",IF(Sync!$W1664="","",Sync!$W1664))</f>
        <v/>
      </c>
      <c r="I1668" t="str">
        <f>IF(OR($G1668="",Sync!$Y1664=""),"",Sync!$Y1664)</f>
        <v/>
      </c>
      <c r="J1668" t="str">
        <f>IF(OR($G1668="",Sync!$Z1664=""),"",Sync!$Z1664)</f>
        <v/>
      </c>
      <c r="K1668">
        <f>IF($G1668="",0,IF(Sync!$AA1664="",0,Sync!$AA1664))</f>
        <v>0</v>
      </c>
      <c r="L1668">
        <f>IF($G1668="",0,IF(Sync!$AB1664="",0,Sync!$AB1664))</f>
        <v>0</v>
      </c>
      <c r="M1668" t="str">
        <f t="shared" si="155"/>
        <v/>
      </c>
      <c r="N1668">
        <f>IF($G1668="",0,IF($H1668="مرجوعی فروش",-1,1)*IF(Sync!$AC1664="",0,Sync!$AC1664))</f>
        <v>0</v>
      </c>
      <c r="O1668" t="str">
        <f>IF(OR($G1668="",Sync!$V1664=""),"",Sync!$V1664)</f>
        <v/>
      </c>
      <c r="P1668" t="str">
        <f>IF(OR($G1668="",Sync!$AD1664=""),"",Sync!$AD1664)</f>
        <v/>
      </c>
      <c r="Q1668" t="str">
        <f>IF($G1668="","",IF(Sync!$U1664="","0000",IF(AND(ISNUMBER(Sync!$U1664),Sync!$U1664&gt;=0,Sync!$U1664&lt;1),RIGHT("00"&amp;HOUR(Sync!$U1664),2)&amp;RIGHT("00"&amp;MINUTE(Sync!$U1664),2),IFERROR(RIGHT("00"&amp;VALUE(LEFT(Sync!$U1664,FIND(":",Sync!$U1664)-1)),2)&amp;RIGHT("00"&amp;VALUE(MID(Sync!$U1664,FIND(":",Sync!$U1664)+1,2)),2),"0000"))))</f>
        <v/>
      </c>
    </row>
    <row r="1669" spans="1:17" x14ac:dyDescent="0.2">
      <c r="A1669" t="str">
        <f>IF(Sync!$T1665="","",Sync!$T1665)</f>
        <v/>
      </c>
      <c r="B1669" t="str">
        <f t="shared" si="150"/>
        <v/>
      </c>
      <c r="C1669" t="str">
        <f t="shared" si="151"/>
        <v/>
      </c>
      <c r="D1669" t="str">
        <f t="shared" si="152"/>
        <v/>
      </c>
      <c r="E1669" t="str">
        <f t="shared" si="153"/>
        <v/>
      </c>
      <c r="F1669" t="str">
        <f t="shared" si="154"/>
        <v/>
      </c>
      <c r="G1669" t="str">
        <f>IF(OR($E1669="",$E1669="نامعتبر",Sync!$X1665=""),"",IF(AND(LEFT(UPPER(TRIM(Sync!$X1665)),2)="SL",IFERROR(VLOOKUP(Sync!$W1665,OpTbl,3,0),"")="فروش"),UPPER(TRIM(Sync!$X1665)),""))</f>
        <v/>
      </c>
      <c r="H1669" t="str">
        <f>IF($G1669="","",IF(Sync!$W1665="","",Sync!$W1665))</f>
        <v/>
      </c>
      <c r="I1669" t="str">
        <f>IF(OR($G1669="",Sync!$Y1665=""),"",Sync!$Y1665)</f>
        <v/>
      </c>
      <c r="J1669" t="str">
        <f>IF(OR($G1669="",Sync!$Z1665=""),"",Sync!$Z1665)</f>
        <v/>
      </c>
      <c r="K1669">
        <f>IF($G1669="",0,IF(Sync!$AA1665="",0,Sync!$AA1665))</f>
        <v>0</v>
      </c>
      <c r="L1669">
        <f>IF($G1669="",0,IF(Sync!$AB1665="",0,Sync!$AB1665))</f>
        <v>0</v>
      </c>
      <c r="M1669" t="str">
        <f t="shared" si="155"/>
        <v/>
      </c>
      <c r="N1669">
        <f>IF($G1669="",0,IF($H1669="مرجوعی فروش",-1,1)*IF(Sync!$AC1665="",0,Sync!$AC1665))</f>
        <v>0</v>
      </c>
      <c r="O1669" t="str">
        <f>IF(OR($G1669="",Sync!$V1665=""),"",Sync!$V1665)</f>
        <v/>
      </c>
      <c r="P1669" t="str">
        <f>IF(OR($G1669="",Sync!$AD1665=""),"",Sync!$AD1665)</f>
        <v/>
      </c>
      <c r="Q1669" t="str">
        <f>IF($G1669="","",IF(Sync!$U1665="","0000",IF(AND(ISNUMBER(Sync!$U1665),Sync!$U1665&gt;=0,Sync!$U1665&lt;1),RIGHT("00"&amp;HOUR(Sync!$U1665),2)&amp;RIGHT("00"&amp;MINUTE(Sync!$U1665),2),IFERROR(RIGHT("00"&amp;VALUE(LEFT(Sync!$U1665,FIND(":",Sync!$U1665)-1)),2)&amp;RIGHT("00"&amp;VALUE(MID(Sync!$U1665,FIND(":",Sync!$U1665)+1,2)),2),"0000"))))</f>
        <v/>
      </c>
    </row>
    <row r="1670" spans="1:17" x14ac:dyDescent="0.2">
      <c r="A1670" t="str">
        <f>IF(Sync!$T1666="","",Sync!$T1666)</f>
        <v/>
      </c>
      <c r="B1670" t="str">
        <f t="shared" si="150"/>
        <v/>
      </c>
      <c r="C1670" t="str">
        <f t="shared" si="151"/>
        <v/>
      </c>
      <c r="D1670" t="str">
        <f t="shared" si="152"/>
        <v/>
      </c>
      <c r="E1670" t="str">
        <f t="shared" si="153"/>
        <v/>
      </c>
      <c r="F1670" t="str">
        <f t="shared" si="154"/>
        <v/>
      </c>
      <c r="G1670" t="str">
        <f>IF(OR($E1670="",$E1670="نامعتبر",Sync!$X1666=""),"",IF(AND(LEFT(UPPER(TRIM(Sync!$X1666)),2)="SL",IFERROR(VLOOKUP(Sync!$W1666,OpTbl,3,0),"")="فروش"),UPPER(TRIM(Sync!$X1666)),""))</f>
        <v/>
      </c>
      <c r="H1670" t="str">
        <f>IF($G1670="","",IF(Sync!$W1666="","",Sync!$W1666))</f>
        <v/>
      </c>
      <c r="I1670" t="str">
        <f>IF(OR($G1670="",Sync!$Y1666=""),"",Sync!$Y1666)</f>
        <v/>
      </c>
      <c r="J1670" t="str">
        <f>IF(OR($G1670="",Sync!$Z1666=""),"",Sync!$Z1666)</f>
        <v/>
      </c>
      <c r="K1670">
        <f>IF($G1670="",0,IF(Sync!$AA1666="",0,Sync!$AA1666))</f>
        <v>0</v>
      </c>
      <c r="L1670">
        <f>IF($G1670="",0,IF(Sync!$AB1666="",0,Sync!$AB1666))</f>
        <v>0</v>
      </c>
      <c r="M1670" t="str">
        <f t="shared" si="155"/>
        <v/>
      </c>
      <c r="N1670">
        <f>IF($G1670="",0,IF($H1670="مرجوعی فروش",-1,1)*IF(Sync!$AC1666="",0,Sync!$AC1666))</f>
        <v>0</v>
      </c>
      <c r="O1670" t="str">
        <f>IF(OR($G1670="",Sync!$V1666=""),"",Sync!$V1666)</f>
        <v/>
      </c>
      <c r="P1670" t="str">
        <f>IF(OR($G1670="",Sync!$AD1666=""),"",Sync!$AD1666)</f>
        <v/>
      </c>
      <c r="Q1670" t="str">
        <f>IF($G1670="","",IF(Sync!$U1666="","0000",IF(AND(ISNUMBER(Sync!$U1666),Sync!$U1666&gt;=0,Sync!$U1666&lt;1),RIGHT("00"&amp;HOUR(Sync!$U1666),2)&amp;RIGHT("00"&amp;MINUTE(Sync!$U1666),2),IFERROR(RIGHT("00"&amp;VALUE(LEFT(Sync!$U1666,FIND(":",Sync!$U1666)-1)),2)&amp;RIGHT("00"&amp;VALUE(MID(Sync!$U1666,FIND(":",Sync!$U1666)+1,2)),2),"0000"))))</f>
        <v/>
      </c>
    </row>
    <row r="1671" spans="1:17" x14ac:dyDescent="0.2">
      <c r="A1671" t="str">
        <f>IF(Sync!$T1667="","",Sync!$T1667)</f>
        <v/>
      </c>
      <c r="B1671" t="str">
        <f t="shared" si="150"/>
        <v/>
      </c>
      <c r="C1671" t="str">
        <f t="shared" si="151"/>
        <v/>
      </c>
      <c r="D1671" t="str">
        <f t="shared" si="152"/>
        <v/>
      </c>
      <c r="E1671" t="str">
        <f t="shared" si="153"/>
        <v/>
      </c>
      <c r="F1671" t="str">
        <f t="shared" si="154"/>
        <v/>
      </c>
      <c r="G1671" t="str">
        <f>IF(OR($E1671="",$E1671="نامعتبر",Sync!$X1667=""),"",IF(AND(LEFT(UPPER(TRIM(Sync!$X1667)),2)="SL",IFERROR(VLOOKUP(Sync!$W1667,OpTbl,3,0),"")="فروش"),UPPER(TRIM(Sync!$X1667)),""))</f>
        <v/>
      </c>
      <c r="H1671" t="str">
        <f>IF($G1671="","",IF(Sync!$W1667="","",Sync!$W1667))</f>
        <v/>
      </c>
      <c r="I1671" t="str">
        <f>IF(OR($G1671="",Sync!$Y1667=""),"",Sync!$Y1667)</f>
        <v/>
      </c>
      <c r="J1671" t="str">
        <f>IF(OR($G1671="",Sync!$Z1667=""),"",Sync!$Z1667)</f>
        <v/>
      </c>
      <c r="K1671">
        <f>IF($G1671="",0,IF(Sync!$AA1667="",0,Sync!$AA1667))</f>
        <v>0</v>
      </c>
      <c r="L1671">
        <f>IF($G1671="",0,IF(Sync!$AB1667="",0,Sync!$AB1667))</f>
        <v>0</v>
      </c>
      <c r="M1671" t="str">
        <f t="shared" si="155"/>
        <v/>
      </c>
      <c r="N1671">
        <f>IF($G1671="",0,IF($H1671="مرجوعی فروش",-1,1)*IF(Sync!$AC1667="",0,Sync!$AC1667))</f>
        <v>0</v>
      </c>
      <c r="O1671" t="str">
        <f>IF(OR($G1671="",Sync!$V1667=""),"",Sync!$V1667)</f>
        <v/>
      </c>
      <c r="P1671" t="str">
        <f>IF(OR($G1671="",Sync!$AD1667=""),"",Sync!$AD1667)</f>
        <v/>
      </c>
      <c r="Q1671" t="str">
        <f>IF($G1671="","",IF(Sync!$U1667="","0000",IF(AND(ISNUMBER(Sync!$U1667),Sync!$U1667&gt;=0,Sync!$U1667&lt;1),RIGHT("00"&amp;HOUR(Sync!$U1667),2)&amp;RIGHT("00"&amp;MINUTE(Sync!$U1667),2),IFERROR(RIGHT("00"&amp;VALUE(LEFT(Sync!$U1667,FIND(":",Sync!$U1667)-1)),2)&amp;RIGHT("00"&amp;VALUE(MID(Sync!$U1667,FIND(":",Sync!$U1667)+1,2)),2),"0000"))))</f>
        <v/>
      </c>
    </row>
    <row r="1672" spans="1:17" x14ac:dyDescent="0.2">
      <c r="A1672" t="str">
        <f>IF(Sync!$T1668="","",Sync!$T1668)</f>
        <v/>
      </c>
      <c r="B1672" t="str">
        <f t="shared" si="150"/>
        <v/>
      </c>
      <c r="C1672" t="str">
        <f t="shared" si="151"/>
        <v/>
      </c>
      <c r="D1672" t="str">
        <f t="shared" si="152"/>
        <v/>
      </c>
      <c r="E1672" t="str">
        <f t="shared" si="153"/>
        <v/>
      </c>
      <c r="F1672" t="str">
        <f t="shared" si="154"/>
        <v/>
      </c>
      <c r="G1672" t="str">
        <f>IF(OR($E1672="",$E1672="نامعتبر",Sync!$X1668=""),"",IF(AND(LEFT(UPPER(TRIM(Sync!$X1668)),2)="SL",IFERROR(VLOOKUP(Sync!$W1668,OpTbl,3,0),"")="فروش"),UPPER(TRIM(Sync!$X1668)),""))</f>
        <v/>
      </c>
      <c r="H1672" t="str">
        <f>IF($G1672="","",IF(Sync!$W1668="","",Sync!$W1668))</f>
        <v/>
      </c>
      <c r="I1672" t="str">
        <f>IF(OR($G1672="",Sync!$Y1668=""),"",Sync!$Y1668)</f>
        <v/>
      </c>
      <c r="J1672" t="str">
        <f>IF(OR($G1672="",Sync!$Z1668=""),"",Sync!$Z1668)</f>
        <v/>
      </c>
      <c r="K1672">
        <f>IF($G1672="",0,IF(Sync!$AA1668="",0,Sync!$AA1668))</f>
        <v>0</v>
      </c>
      <c r="L1672">
        <f>IF($G1672="",0,IF(Sync!$AB1668="",0,Sync!$AB1668))</f>
        <v>0</v>
      </c>
      <c r="M1672" t="str">
        <f t="shared" si="155"/>
        <v/>
      </c>
      <c r="N1672">
        <f>IF($G1672="",0,IF($H1672="مرجوعی فروش",-1,1)*IF(Sync!$AC1668="",0,Sync!$AC1668))</f>
        <v>0</v>
      </c>
      <c r="O1672" t="str">
        <f>IF(OR($G1672="",Sync!$V1668=""),"",Sync!$V1668)</f>
        <v/>
      </c>
      <c r="P1672" t="str">
        <f>IF(OR($G1672="",Sync!$AD1668=""),"",Sync!$AD1668)</f>
        <v/>
      </c>
      <c r="Q1672" t="str">
        <f>IF($G1672="","",IF(Sync!$U1668="","0000",IF(AND(ISNUMBER(Sync!$U1668),Sync!$U1668&gt;=0,Sync!$U1668&lt;1),RIGHT("00"&amp;HOUR(Sync!$U1668),2)&amp;RIGHT("00"&amp;MINUTE(Sync!$U1668),2),IFERROR(RIGHT("00"&amp;VALUE(LEFT(Sync!$U1668,FIND(":",Sync!$U1668)-1)),2)&amp;RIGHT("00"&amp;VALUE(MID(Sync!$U1668,FIND(":",Sync!$U1668)+1,2)),2),"0000"))))</f>
        <v/>
      </c>
    </row>
    <row r="1673" spans="1:17" x14ac:dyDescent="0.2">
      <c r="A1673" t="str">
        <f>IF(Sync!$T1669="","",Sync!$T1669)</f>
        <v/>
      </c>
      <c r="B1673" t="str">
        <f t="shared" si="150"/>
        <v/>
      </c>
      <c r="C1673" t="str">
        <f t="shared" si="151"/>
        <v/>
      </c>
      <c r="D1673" t="str">
        <f t="shared" si="152"/>
        <v/>
      </c>
      <c r="E1673" t="str">
        <f t="shared" si="153"/>
        <v/>
      </c>
      <c r="F1673" t="str">
        <f t="shared" si="154"/>
        <v/>
      </c>
      <c r="G1673" t="str">
        <f>IF(OR($E1673="",$E1673="نامعتبر",Sync!$X1669=""),"",IF(AND(LEFT(UPPER(TRIM(Sync!$X1669)),2)="SL",IFERROR(VLOOKUP(Sync!$W1669,OpTbl,3,0),"")="فروش"),UPPER(TRIM(Sync!$X1669)),""))</f>
        <v/>
      </c>
      <c r="H1673" t="str">
        <f>IF($G1673="","",IF(Sync!$W1669="","",Sync!$W1669))</f>
        <v/>
      </c>
      <c r="I1673" t="str">
        <f>IF(OR($G1673="",Sync!$Y1669=""),"",Sync!$Y1669)</f>
        <v/>
      </c>
      <c r="J1673" t="str">
        <f>IF(OR($G1673="",Sync!$Z1669=""),"",Sync!$Z1669)</f>
        <v/>
      </c>
      <c r="K1673">
        <f>IF($G1673="",0,IF(Sync!$AA1669="",0,Sync!$AA1669))</f>
        <v>0</v>
      </c>
      <c r="L1673">
        <f>IF($G1673="",0,IF(Sync!$AB1669="",0,Sync!$AB1669))</f>
        <v>0</v>
      </c>
      <c r="M1673" t="str">
        <f t="shared" si="155"/>
        <v/>
      </c>
      <c r="N1673">
        <f>IF($G1673="",0,IF($H1673="مرجوعی فروش",-1,1)*IF(Sync!$AC1669="",0,Sync!$AC1669))</f>
        <v>0</v>
      </c>
      <c r="O1673" t="str">
        <f>IF(OR($G1673="",Sync!$V1669=""),"",Sync!$V1669)</f>
        <v/>
      </c>
      <c r="P1673" t="str">
        <f>IF(OR($G1673="",Sync!$AD1669=""),"",Sync!$AD1669)</f>
        <v/>
      </c>
      <c r="Q1673" t="str">
        <f>IF($G1673="","",IF(Sync!$U1669="","0000",IF(AND(ISNUMBER(Sync!$U1669),Sync!$U1669&gt;=0,Sync!$U1669&lt;1),RIGHT("00"&amp;HOUR(Sync!$U1669),2)&amp;RIGHT("00"&amp;MINUTE(Sync!$U1669),2),IFERROR(RIGHT("00"&amp;VALUE(LEFT(Sync!$U1669,FIND(":",Sync!$U1669)-1)),2)&amp;RIGHT("00"&amp;VALUE(MID(Sync!$U1669,FIND(":",Sync!$U1669)+1,2)),2),"0000"))))</f>
        <v/>
      </c>
    </row>
    <row r="1674" spans="1:17" x14ac:dyDescent="0.2">
      <c r="A1674" t="str">
        <f>IF(Sync!$T1670="","",Sync!$T1670)</f>
        <v/>
      </c>
      <c r="B1674" t="str">
        <f t="shared" ref="B1674:B1737" si="156">IF($A1674="","",IF(ISNUMBER($A1674),IF(AND($A1674&gt;=10000101,$A1674&lt;=99991231),INT($A1674/10000),""),IFERROR(VALUE(TRIM(LEFT($A1674,FIND("/",$A1674)-1))),"")))</f>
        <v/>
      </c>
      <c r="C1674" t="str">
        <f t="shared" ref="C1674:C1737" si="157">IF(OR($A1674="",$B1674=""),"",IF(ISNUMBER($A1674),INT(MOD($A1674,10000)/100),IFERROR(VALUE(TRIM(LEFT(MID($A1674,FIND("/",$A1674)+1,20),FIND("/",MID($A1674,FIND("/",$A1674)+1,20))-1))),"")))</f>
        <v/>
      </c>
      <c r="D1674" t="str">
        <f t="shared" ref="D1674:D1737" si="158">IF(OR($A1674="",$B1674=""),"",IF(ISNUMBER($A1674),MOD($A1674,100),IFERROR(VALUE(TRIM(MID(MID($A1674,FIND("/",$A1674)+1,20),FIND("/",MID($A1674,FIND("/",$A1674)+1,20))+1,20))),"")))</f>
        <v/>
      </c>
      <c r="E1674" t="str">
        <f t="shared" ref="E1674:E1737" si="159">IF($A1674="","",IF(OR($B1674="",$C1674="",$D1674="",$B1674&lt;1300,$B1674&gt;1500,$C1674&lt;1,$C1674&gt;12,$D1674&lt;1,$D1674&gt;31),"نامعتبر",RIGHT("0000"&amp;$B1674,4)&amp;"/"&amp;RIGHT("00"&amp;$C1674,2)&amp;"/"&amp;RIGHT("00"&amp;$D1674,2)))</f>
        <v/>
      </c>
      <c r="F1674" t="str">
        <f t="shared" ref="F1674:F1737" si="160">IF(OR($E1674="",$E1674="نامعتبر"),"",LEFT($E1674,4)&amp;"/"&amp;MID($E1674,6,2))</f>
        <v/>
      </c>
      <c r="G1674" t="str">
        <f>IF(OR($E1674="",$E1674="نامعتبر",Sync!$X1670=""),"",IF(AND(LEFT(UPPER(TRIM(Sync!$X1670)),2)="SL",IFERROR(VLOOKUP(Sync!$W1670,OpTbl,3,0),"")="فروش"),UPPER(TRIM(Sync!$X1670)),""))</f>
        <v/>
      </c>
      <c r="H1674" t="str">
        <f>IF($G1674="","",IF(Sync!$W1670="","",Sync!$W1670))</f>
        <v/>
      </c>
      <c r="I1674" t="str">
        <f>IF(OR($G1674="",Sync!$Y1670=""),"",Sync!$Y1670)</f>
        <v/>
      </c>
      <c r="J1674" t="str">
        <f>IF(OR($G1674="",Sync!$Z1670=""),"",Sync!$Z1670)</f>
        <v/>
      </c>
      <c r="K1674">
        <f>IF($G1674="",0,IF(Sync!$AA1670="",0,Sync!$AA1670))</f>
        <v>0</v>
      </c>
      <c r="L1674">
        <f>IF($G1674="",0,IF(Sync!$AB1670="",0,Sync!$AB1670))</f>
        <v>0</v>
      </c>
      <c r="M1674" t="str">
        <f t="shared" ref="M1674:M1737" si="161">IF($G1674="","",IF($H1674="مرجوعی فروش",-1,1)*($K1674-$L1674*IFERROR(VLOOKUP("P01",ParamTbl,3,0),1.5)))</f>
        <v/>
      </c>
      <c r="N1674">
        <f>IF($G1674="",0,IF($H1674="مرجوعی فروش",-1,1)*IF(Sync!$AC1670="",0,Sync!$AC1670))</f>
        <v>0</v>
      </c>
      <c r="O1674" t="str">
        <f>IF(OR($G1674="",Sync!$V1670=""),"",Sync!$V1670)</f>
        <v/>
      </c>
      <c r="P1674" t="str">
        <f>IF(OR($G1674="",Sync!$AD1670=""),"",Sync!$AD1670)</f>
        <v/>
      </c>
      <c r="Q1674" t="str">
        <f>IF($G1674="","",IF(Sync!$U1670="","0000",IF(AND(ISNUMBER(Sync!$U1670),Sync!$U1670&gt;=0,Sync!$U1670&lt;1),RIGHT("00"&amp;HOUR(Sync!$U1670),2)&amp;RIGHT("00"&amp;MINUTE(Sync!$U1670),2),IFERROR(RIGHT("00"&amp;VALUE(LEFT(Sync!$U1670,FIND(":",Sync!$U1670)-1)),2)&amp;RIGHT("00"&amp;VALUE(MID(Sync!$U1670,FIND(":",Sync!$U1670)+1,2)),2),"0000"))))</f>
        <v/>
      </c>
    </row>
    <row r="1675" spans="1:17" x14ac:dyDescent="0.2">
      <c r="A1675" t="str">
        <f>IF(Sync!$T1671="","",Sync!$T1671)</f>
        <v/>
      </c>
      <c r="B1675" t="str">
        <f t="shared" si="156"/>
        <v/>
      </c>
      <c r="C1675" t="str">
        <f t="shared" si="157"/>
        <v/>
      </c>
      <c r="D1675" t="str">
        <f t="shared" si="158"/>
        <v/>
      </c>
      <c r="E1675" t="str">
        <f t="shared" si="159"/>
        <v/>
      </c>
      <c r="F1675" t="str">
        <f t="shared" si="160"/>
        <v/>
      </c>
      <c r="G1675" t="str">
        <f>IF(OR($E1675="",$E1675="نامعتبر",Sync!$X1671=""),"",IF(AND(LEFT(UPPER(TRIM(Sync!$X1671)),2)="SL",IFERROR(VLOOKUP(Sync!$W1671,OpTbl,3,0),"")="فروش"),UPPER(TRIM(Sync!$X1671)),""))</f>
        <v/>
      </c>
      <c r="H1675" t="str">
        <f>IF($G1675="","",IF(Sync!$W1671="","",Sync!$W1671))</f>
        <v/>
      </c>
      <c r="I1675" t="str">
        <f>IF(OR($G1675="",Sync!$Y1671=""),"",Sync!$Y1671)</f>
        <v/>
      </c>
      <c r="J1675" t="str">
        <f>IF(OR($G1675="",Sync!$Z1671=""),"",Sync!$Z1671)</f>
        <v/>
      </c>
      <c r="K1675">
        <f>IF($G1675="",0,IF(Sync!$AA1671="",0,Sync!$AA1671))</f>
        <v>0</v>
      </c>
      <c r="L1675">
        <f>IF($G1675="",0,IF(Sync!$AB1671="",0,Sync!$AB1671))</f>
        <v>0</v>
      </c>
      <c r="M1675" t="str">
        <f t="shared" si="161"/>
        <v/>
      </c>
      <c r="N1675">
        <f>IF($G1675="",0,IF($H1675="مرجوعی فروش",-1,1)*IF(Sync!$AC1671="",0,Sync!$AC1671))</f>
        <v>0</v>
      </c>
      <c r="O1675" t="str">
        <f>IF(OR($G1675="",Sync!$V1671=""),"",Sync!$V1671)</f>
        <v/>
      </c>
      <c r="P1675" t="str">
        <f>IF(OR($G1675="",Sync!$AD1671=""),"",Sync!$AD1671)</f>
        <v/>
      </c>
      <c r="Q1675" t="str">
        <f>IF($G1675="","",IF(Sync!$U1671="","0000",IF(AND(ISNUMBER(Sync!$U1671),Sync!$U1671&gt;=0,Sync!$U1671&lt;1),RIGHT("00"&amp;HOUR(Sync!$U1671),2)&amp;RIGHT("00"&amp;MINUTE(Sync!$U1671),2),IFERROR(RIGHT("00"&amp;VALUE(LEFT(Sync!$U1671,FIND(":",Sync!$U1671)-1)),2)&amp;RIGHT("00"&amp;VALUE(MID(Sync!$U1671,FIND(":",Sync!$U1671)+1,2)),2),"0000"))))</f>
        <v/>
      </c>
    </row>
    <row r="1676" spans="1:17" x14ac:dyDescent="0.2">
      <c r="A1676" t="str">
        <f>IF(Sync!$T1672="","",Sync!$T1672)</f>
        <v/>
      </c>
      <c r="B1676" t="str">
        <f t="shared" si="156"/>
        <v/>
      </c>
      <c r="C1676" t="str">
        <f t="shared" si="157"/>
        <v/>
      </c>
      <c r="D1676" t="str">
        <f t="shared" si="158"/>
        <v/>
      </c>
      <c r="E1676" t="str">
        <f t="shared" si="159"/>
        <v/>
      </c>
      <c r="F1676" t="str">
        <f t="shared" si="160"/>
        <v/>
      </c>
      <c r="G1676" t="str">
        <f>IF(OR($E1676="",$E1676="نامعتبر",Sync!$X1672=""),"",IF(AND(LEFT(UPPER(TRIM(Sync!$X1672)),2)="SL",IFERROR(VLOOKUP(Sync!$W1672,OpTbl,3,0),"")="فروش"),UPPER(TRIM(Sync!$X1672)),""))</f>
        <v/>
      </c>
      <c r="H1676" t="str">
        <f>IF($G1676="","",IF(Sync!$W1672="","",Sync!$W1672))</f>
        <v/>
      </c>
      <c r="I1676" t="str">
        <f>IF(OR($G1676="",Sync!$Y1672=""),"",Sync!$Y1672)</f>
        <v/>
      </c>
      <c r="J1676" t="str">
        <f>IF(OR($G1676="",Sync!$Z1672=""),"",Sync!$Z1672)</f>
        <v/>
      </c>
      <c r="K1676">
        <f>IF($G1676="",0,IF(Sync!$AA1672="",0,Sync!$AA1672))</f>
        <v>0</v>
      </c>
      <c r="L1676">
        <f>IF($G1676="",0,IF(Sync!$AB1672="",0,Sync!$AB1672))</f>
        <v>0</v>
      </c>
      <c r="M1676" t="str">
        <f t="shared" si="161"/>
        <v/>
      </c>
      <c r="N1676">
        <f>IF($G1676="",0,IF($H1676="مرجوعی فروش",-1,1)*IF(Sync!$AC1672="",0,Sync!$AC1672))</f>
        <v>0</v>
      </c>
      <c r="O1676" t="str">
        <f>IF(OR($G1676="",Sync!$V1672=""),"",Sync!$V1672)</f>
        <v/>
      </c>
      <c r="P1676" t="str">
        <f>IF(OR($G1676="",Sync!$AD1672=""),"",Sync!$AD1672)</f>
        <v/>
      </c>
      <c r="Q1676" t="str">
        <f>IF($G1676="","",IF(Sync!$U1672="","0000",IF(AND(ISNUMBER(Sync!$U1672),Sync!$U1672&gt;=0,Sync!$U1672&lt;1),RIGHT("00"&amp;HOUR(Sync!$U1672),2)&amp;RIGHT("00"&amp;MINUTE(Sync!$U1672),2),IFERROR(RIGHT("00"&amp;VALUE(LEFT(Sync!$U1672,FIND(":",Sync!$U1672)-1)),2)&amp;RIGHT("00"&amp;VALUE(MID(Sync!$U1672,FIND(":",Sync!$U1672)+1,2)),2),"0000"))))</f>
        <v/>
      </c>
    </row>
    <row r="1677" spans="1:17" x14ac:dyDescent="0.2">
      <c r="A1677" t="str">
        <f>IF(Sync!$T1673="","",Sync!$T1673)</f>
        <v/>
      </c>
      <c r="B1677" t="str">
        <f t="shared" si="156"/>
        <v/>
      </c>
      <c r="C1677" t="str">
        <f t="shared" si="157"/>
        <v/>
      </c>
      <c r="D1677" t="str">
        <f t="shared" si="158"/>
        <v/>
      </c>
      <c r="E1677" t="str">
        <f t="shared" si="159"/>
        <v/>
      </c>
      <c r="F1677" t="str">
        <f t="shared" si="160"/>
        <v/>
      </c>
      <c r="G1677" t="str">
        <f>IF(OR($E1677="",$E1677="نامعتبر",Sync!$X1673=""),"",IF(AND(LEFT(UPPER(TRIM(Sync!$X1673)),2)="SL",IFERROR(VLOOKUP(Sync!$W1673,OpTbl,3,0),"")="فروش"),UPPER(TRIM(Sync!$X1673)),""))</f>
        <v/>
      </c>
      <c r="H1677" t="str">
        <f>IF($G1677="","",IF(Sync!$W1673="","",Sync!$W1673))</f>
        <v/>
      </c>
      <c r="I1677" t="str">
        <f>IF(OR($G1677="",Sync!$Y1673=""),"",Sync!$Y1673)</f>
        <v/>
      </c>
      <c r="J1677" t="str">
        <f>IF(OR($G1677="",Sync!$Z1673=""),"",Sync!$Z1673)</f>
        <v/>
      </c>
      <c r="K1677">
        <f>IF($G1677="",0,IF(Sync!$AA1673="",0,Sync!$AA1673))</f>
        <v>0</v>
      </c>
      <c r="L1677">
        <f>IF($G1677="",0,IF(Sync!$AB1673="",0,Sync!$AB1673))</f>
        <v>0</v>
      </c>
      <c r="M1677" t="str">
        <f t="shared" si="161"/>
        <v/>
      </c>
      <c r="N1677">
        <f>IF($G1677="",0,IF($H1677="مرجوعی فروش",-1,1)*IF(Sync!$AC1673="",0,Sync!$AC1673))</f>
        <v>0</v>
      </c>
      <c r="O1677" t="str">
        <f>IF(OR($G1677="",Sync!$V1673=""),"",Sync!$V1673)</f>
        <v/>
      </c>
      <c r="P1677" t="str">
        <f>IF(OR($G1677="",Sync!$AD1673=""),"",Sync!$AD1673)</f>
        <v/>
      </c>
      <c r="Q1677" t="str">
        <f>IF($G1677="","",IF(Sync!$U1673="","0000",IF(AND(ISNUMBER(Sync!$U1673),Sync!$U1673&gt;=0,Sync!$U1673&lt;1),RIGHT("00"&amp;HOUR(Sync!$U1673),2)&amp;RIGHT("00"&amp;MINUTE(Sync!$U1673),2),IFERROR(RIGHT("00"&amp;VALUE(LEFT(Sync!$U1673,FIND(":",Sync!$U1673)-1)),2)&amp;RIGHT("00"&amp;VALUE(MID(Sync!$U1673,FIND(":",Sync!$U1673)+1,2)),2),"0000"))))</f>
        <v/>
      </c>
    </row>
    <row r="1678" spans="1:17" x14ac:dyDescent="0.2">
      <c r="A1678" t="str">
        <f>IF(Sync!$T1674="","",Sync!$T1674)</f>
        <v/>
      </c>
      <c r="B1678" t="str">
        <f t="shared" si="156"/>
        <v/>
      </c>
      <c r="C1678" t="str">
        <f t="shared" si="157"/>
        <v/>
      </c>
      <c r="D1678" t="str">
        <f t="shared" si="158"/>
        <v/>
      </c>
      <c r="E1678" t="str">
        <f t="shared" si="159"/>
        <v/>
      </c>
      <c r="F1678" t="str">
        <f t="shared" si="160"/>
        <v/>
      </c>
      <c r="G1678" t="str">
        <f>IF(OR($E1678="",$E1678="نامعتبر",Sync!$X1674=""),"",IF(AND(LEFT(UPPER(TRIM(Sync!$X1674)),2)="SL",IFERROR(VLOOKUP(Sync!$W1674,OpTbl,3,0),"")="فروش"),UPPER(TRIM(Sync!$X1674)),""))</f>
        <v/>
      </c>
      <c r="H1678" t="str">
        <f>IF($G1678="","",IF(Sync!$W1674="","",Sync!$W1674))</f>
        <v/>
      </c>
      <c r="I1678" t="str">
        <f>IF(OR($G1678="",Sync!$Y1674=""),"",Sync!$Y1674)</f>
        <v/>
      </c>
      <c r="J1678" t="str">
        <f>IF(OR($G1678="",Sync!$Z1674=""),"",Sync!$Z1674)</f>
        <v/>
      </c>
      <c r="K1678">
        <f>IF($G1678="",0,IF(Sync!$AA1674="",0,Sync!$AA1674))</f>
        <v>0</v>
      </c>
      <c r="L1678">
        <f>IF($G1678="",0,IF(Sync!$AB1674="",0,Sync!$AB1674))</f>
        <v>0</v>
      </c>
      <c r="M1678" t="str">
        <f t="shared" si="161"/>
        <v/>
      </c>
      <c r="N1678">
        <f>IF($G1678="",0,IF($H1678="مرجوعی فروش",-1,1)*IF(Sync!$AC1674="",0,Sync!$AC1674))</f>
        <v>0</v>
      </c>
      <c r="O1678" t="str">
        <f>IF(OR($G1678="",Sync!$V1674=""),"",Sync!$V1674)</f>
        <v/>
      </c>
      <c r="P1678" t="str">
        <f>IF(OR($G1678="",Sync!$AD1674=""),"",Sync!$AD1674)</f>
        <v/>
      </c>
      <c r="Q1678" t="str">
        <f>IF($G1678="","",IF(Sync!$U1674="","0000",IF(AND(ISNUMBER(Sync!$U1674),Sync!$U1674&gt;=0,Sync!$U1674&lt;1),RIGHT("00"&amp;HOUR(Sync!$U1674),2)&amp;RIGHT("00"&amp;MINUTE(Sync!$U1674),2),IFERROR(RIGHT("00"&amp;VALUE(LEFT(Sync!$U1674,FIND(":",Sync!$U1674)-1)),2)&amp;RIGHT("00"&amp;VALUE(MID(Sync!$U1674,FIND(":",Sync!$U1674)+1,2)),2),"0000"))))</f>
        <v/>
      </c>
    </row>
    <row r="1679" spans="1:17" x14ac:dyDescent="0.2">
      <c r="A1679" t="str">
        <f>IF(Sync!$T1675="","",Sync!$T1675)</f>
        <v/>
      </c>
      <c r="B1679" t="str">
        <f t="shared" si="156"/>
        <v/>
      </c>
      <c r="C1679" t="str">
        <f t="shared" si="157"/>
        <v/>
      </c>
      <c r="D1679" t="str">
        <f t="shared" si="158"/>
        <v/>
      </c>
      <c r="E1679" t="str">
        <f t="shared" si="159"/>
        <v/>
      </c>
      <c r="F1679" t="str">
        <f t="shared" si="160"/>
        <v/>
      </c>
      <c r="G1679" t="str">
        <f>IF(OR($E1679="",$E1679="نامعتبر",Sync!$X1675=""),"",IF(AND(LEFT(UPPER(TRIM(Sync!$X1675)),2)="SL",IFERROR(VLOOKUP(Sync!$W1675,OpTbl,3,0),"")="فروش"),UPPER(TRIM(Sync!$X1675)),""))</f>
        <v/>
      </c>
      <c r="H1679" t="str">
        <f>IF($G1679="","",IF(Sync!$W1675="","",Sync!$W1675))</f>
        <v/>
      </c>
      <c r="I1679" t="str">
        <f>IF(OR($G1679="",Sync!$Y1675=""),"",Sync!$Y1675)</f>
        <v/>
      </c>
      <c r="J1679" t="str">
        <f>IF(OR($G1679="",Sync!$Z1675=""),"",Sync!$Z1675)</f>
        <v/>
      </c>
      <c r="K1679">
        <f>IF($G1679="",0,IF(Sync!$AA1675="",0,Sync!$AA1675))</f>
        <v>0</v>
      </c>
      <c r="L1679">
        <f>IF($G1679="",0,IF(Sync!$AB1675="",0,Sync!$AB1675))</f>
        <v>0</v>
      </c>
      <c r="M1679" t="str">
        <f t="shared" si="161"/>
        <v/>
      </c>
      <c r="N1679">
        <f>IF($G1679="",0,IF($H1679="مرجوعی فروش",-1,1)*IF(Sync!$AC1675="",0,Sync!$AC1675))</f>
        <v>0</v>
      </c>
      <c r="O1679" t="str">
        <f>IF(OR($G1679="",Sync!$V1675=""),"",Sync!$V1675)</f>
        <v/>
      </c>
      <c r="P1679" t="str">
        <f>IF(OR($G1679="",Sync!$AD1675=""),"",Sync!$AD1675)</f>
        <v/>
      </c>
      <c r="Q1679" t="str">
        <f>IF($G1679="","",IF(Sync!$U1675="","0000",IF(AND(ISNUMBER(Sync!$U1675),Sync!$U1675&gt;=0,Sync!$U1675&lt;1),RIGHT("00"&amp;HOUR(Sync!$U1675),2)&amp;RIGHT("00"&amp;MINUTE(Sync!$U1675),2),IFERROR(RIGHT("00"&amp;VALUE(LEFT(Sync!$U1675,FIND(":",Sync!$U1675)-1)),2)&amp;RIGHT("00"&amp;VALUE(MID(Sync!$U1675,FIND(":",Sync!$U1675)+1,2)),2),"0000"))))</f>
        <v/>
      </c>
    </row>
    <row r="1680" spans="1:17" x14ac:dyDescent="0.2">
      <c r="A1680" t="str">
        <f>IF(Sync!$T1676="","",Sync!$T1676)</f>
        <v/>
      </c>
      <c r="B1680" t="str">
        <f t="shared" si="156"/>
        <v/>
      </c>
      <c r="C1680" t="str">
        <f t="shared" si="157"/>
        <v/>
      </c>
      <c r="D1680" t="str">
        <f t="shared" si="158"/>
        <v/>
      </c>
      <c r="E1680" t="str">
        <f t="shared" si="159"/>
        <v/>
      </c>
      <c r="F1680" t="str">
        <f t="shared" si="160"/>
        <v/>
      </c>
      <c r="G1680" t="str">
        <f>IF(OR($E1680="",$E1680="نامعتبر",Sync!$X1676=""),"",IF(AND(LEFT(UPPER(TRIM(Sync!$X1676)),2)="SL",IFERROR(VLOOKUP(Sync!$W1676,OpTbl,3,0),"")="فروش"),UPPER(TRIM(Sync!$X1676)),""))</f>
        <v/>
      </c>
      <c r="H1680" t="str">
        <f>IF($G1680="","",IF(Sync!$W1676="","",Sync!$W1676))</f>
        <v/>
      </c>
      <c r="I1680" t="str">
        <f>IF(OR($G1680="",Sync!$Y1676=""),"",Sync!$Y1676)</f>
        <v/>
      </c>
      <c r="J1680" t="str">
        <f>IF(OR($G1680="",Sync!$Z1676=""),"",Sync!$Z1676)</f>
        <v/>
      </c>
      <c r="K1680">
        <f>IF($G1680="",0,IF(Sync!$AA1676="",0,Sync!$AA1676))</f>
        <v>0</v>
      </c>
      <c r="L1680">
        <f>IF($G1680="",0,IF(Sync!$AB1676="",0,Sync!$AB1676))</f>
        <v>0</v>
      </c>
      <c r="M1680" t="str">
        <f t="shared" si="161"/>
        <v/>
      </c>
      <c r="N1680">
        <f>IF($G1680="",0,IF($H1680="مرجوعی فروش",-1,1)*IF(Sync!$AC1676="",0,Sync!$AC1676))</f>
        <v>0</v>
      </c>
      <c r="O1680" t="str">
        <f>IF(OR($G1680="",Sync!$V1676=""),"",Sync!$V1676)</f>
        <v/>
      </c>
      <c r="P1680" t="str">
        <f>IF(OR($G1680="",Sync!$AD1676=""),"",Sync!$AD1676)</f>
        <v/>
      </c>
      <c r="Q1680" t="str">
        <f>IF($G1680="","",IF(Sync!$U1676="","0000",IF(AND(ISNUMBER(Sync!$U1676),Sync!$U1676&gt;=0,Sync!$U1676&lt;1),RIGHT("00"&amp;HOUR(Sync!$U1676),2)&amp;RIGHT("00"&amp;MINUTE(Sync!$U1676),2),IFERROR(RIGHT("00"&amp;VALUE(LEFT(Sync!$U1676,FIND(":",Sync!$U1676)-1)),2)&amp;RIGHT("00"&amp;VALUE(MID(Sync!$U1676,FIND(":",Sync!$U1676)+1,2)),2),"0000"))))</f>
        <v/>
      </c>
    </row>
    <row r="1681" spans="1:17" x14ac:dyDescent="0.2">
      <c r="A1681" t="str">
        <f>IF(Sync!$T1677="","",Sync!$T1677)</f>
        <v/>
      </c>
      <c r="B1681" t="str">
        <f t="shared" si="156"/>
        <v/>
      </c>
      <c r="C1681" t="str">
        <f t="shared" si="157"/>
        <v/>
      </c>
      <c r="D1681" t="str">
        <f t="shared" si="158"/>
        <v/>
      </c>
      <c r="E1681" t="str">
        <f t="shared" si="159"/>
        <v/>
      </c>
      <c r="F1681" t="str">
        <f t="shared" si="160"/>
        <v/>
      </c>
      <c r="G1681" t="str">
        <f>IF(OR($E1681="",$E1681="نامعتبر",Sync!$X1677=""),"",IF(AND(LEFT(UPPER(TRIM(Sync!$X1677)),2)="SL",IFERROR(VLOOKUP(Sync!$W1677,OpTbl,3,0),"")="فروش"),UPPER(TRIM(Sync!$X1677)),""))</f>
        <v/>
      </c>
      <c r="H1681" t="str">
        <f>IF($G1681="","",IF(Sync!$W1677="","",Sync!$W1677))</f>
        <v/>
      </c>
      <c r="I1681" t="str">
        <f>IF(OR($G1681="",Sync!$Y1677=""),"",Sync!$Y1677)</f>
        <v/>
      </c>
      <c r="J1681" t="str">
        <f>IF(OR($G1681="",Sync!$Z1677=""),"",Sync!$Z1677)</f>
        <v/>
      </c>
      <c r="K1681">
        <f>IF($G1681="",0,IF(Sync!$AA1677="",0,Sync!$AA1677))</f>
        <v>0</v>
      </c>
      <c r="L1681">
        <f>IF($G1681="",0,IF(Sync!$AB1677="",0,Sync!$AB1677))</f>
        <v>0</v>
      </c>
      <c r="M1681" t="str">
        <f t="shared" si="161"/>
        <v/>
      </c>
      <c r="N1681">
        <f>IF($G1681="",0,IF($H1681="مرجوعی فروش",-1,1)*IF(Sync!$AC1677="",0,Sync!$AC1677))</f>
        <v>0</v>
      </c>
      <c r="O1681" t="str">
        <f>IF(OR($G1681="",Sync!$V1677=""),"",Sync!$V1677)</f>
        <v/>
      </c>
      <c r="P1681" t="str">
        <f>IF(OR($G1681="",Sync!$AD1677=""),"",Sync!$AD1677)</f>
        <v/>
      </c>
      <c r="Q1681" t="str">
        <f>IF($G1681="","",IF(Sync!$U1677="","0000",IF(AND(ISNUMBER(Sync!$U1677),Sync!$U1677&gt;=0,Sync!$U1677&lt;1),RIGHT("00"&amp;HOUR(Sync!$U1677),2)&amp;RIGHT("00"&amp;MINUTE(Sync!$U1677),2),IFERROR(RIGHT("00"&amp;VALUE(LEFT(Sync!$U1677,FIND(":",Sync!$U1677)-1)),2)&amp;RIGHT("00"&amp;VALUE(MID(Sync!$U1677,FIND(":",Sync!$U1677)+1,2)),2),"0000"))))</f>
        <v/>
      </c>
    </row>
    <row r="1682" spans="1:17" x14ac:dyDescent="0.2">
      <c r="A1682" t="str">
        <f>IF(Sync!$T1678="","",Sync!$T1678)</f>
        <v/>
      </c>
      <c r="B1682" t="str">
        <f t="shared" si="156"/>
        <v/>
      </c>
      <c r="C1682" t="str">
        <f t="shared" si="157"/>
        <v/>
      </c>
      <c r="D1682" t="str">
        <f t="shared" si="158"/>
        <v/>
      </c>
      <c r="E1682" t="str">
        <f t="shared" si="159"/>
        <v/>
      </c>
      <c r="F1682" t="str">
        <f t="shared" si="160"/>
        <v/>
      </c>
      <c r="G1682" t="str">
        <f>IF(OR($E1682="",$E1682="نامعتبر",Sync!$X1678=""),"",IF(AND(LEFT(UPPER(TRIM(Sync!$X1678)),2)="SL",IFERROR(VLOOKUP(Sync!$W1678,OpTbl,3,0),"")="فروش"),UPPER(TRIM(Sync!$X1678)),""))</f>
        <v/>
      </c>
      <c r="H1682" t="str">
        <f>IF($G1682="","",IF(Sync!$W1678="","",Sync!$W1678))</f>
        <v/>
      </c>
      <c r="I1682" t="str">
        <f>IF(OR($G1682="",Sync!$Y1678=""),"",Sync!$Y1678)</f>
        <v/>
      </c>
      <c r="J1682" t="str">
        <f>IF(OR($G1682="",Sync!$Z1678=""),"",Sync!$Z1678)</f>
        <v/>
      </c>
      <c r="K1682">
        <f>IF($G1682="",0,IF(Sync!$AA1678="",0,Sync!$AA1678))</f>
        <v>0</v>
      </c>
      <c r="L1682">
        <f>IF($G1682="",0,IF(Sync!$AB1678="",0,Sync!$AB1678))</f>
        <v>0</v>
      </c>
      <c r="M1682" t="str">
        <f t="shared" si="161"/>
        <v/>
      </c>
      <c r="N1682">
        <f>IF($G1682="",0,IF($H1682="مرجوعی فروش",-1,1)*IF(Sync!$AC1678="",0,Sync!$AC1678))</f>
        <v>0</v>
      </c>
      <c r="O1682" t="str">
        <f>IF(OR($G1682="",Sync!$V1678=""),"",Sync!$V1678)</f>
        <v/>
      </c>
      <c r="P1682" t="str">
        <f>IF(OR($G1682="",Sync!$AD1678=""),"",Sync!$AD1678)</f>
        <v/>
      </c>
      <c r="Q1682" t="str">
        <f>IF($G1682="","",IF(Sync!$U1678="","0000",IF(AND(ISNUMBER(Sync!$U1678),Sync!$U1678&gt;=0,Sync!$U1678&lt;1),RIGHT("00"&amp;HOUR(Sync!$U1678),2)&amp;RIGHT("00"&amp;MINUTE(Sync!$U1678),2),IFERROR(RIGHT("00"&amp;VALUE(LEFT(Sync!$U1678,FIND(":",Sync!$U1678)-1)),2)&amp;RIGHT("00"&amp;VALUE(MID(Sync!$U1678,FIND(":",Sync!$U1678)+1,2)),2),"0000"))))</f>
        <v/>
      </c>
    </row>
    <row r="1683" spans="1:17" x14ac:dyDescent="0.2">
      <c r="A1683" t="str">
        <f>IF(Sync!$T1679="","",Sync!$T1679)</f>
        <v/>
      </c>
      <c r="B1683" t="str">
        <f t="shared" si="156"/>
        <v/>
      </c>
      <c r="C1683" t="str">
        <f t="shared" si="157"/>
        <v/>
      </c>
      <c r="D1683" t="str">
        <f t="shared" si="158"/>
        <v/>
      </c>
      <c r="E1683" t="str">
        <f t="shared" si="159"/>
        <v/>
      </c>
      <c r="F1683" t="str">
        <f t="shared" si="160"/>
        <v/>
      </c>
      <c r="G1683" t="str">
        <f>IF(OR($E1683="",$E1683="نامعتبر",Sync!$X1679=""),"",IF(AND(LEFT(UPPER(TRIM(Sync!$X1679)),2)="SL",IFERROR(VLOOKUP(Sync!$W1679,OpTbl,3,0),"")="فروش"),UPPER(TRIM(Sync!$X1679)),""))</f>
        <v/>
      </c>
      <c r="H1683" t="str">
        <f>IF($G1683="","",IF(Sync!$W1679="","",Sync!$W1679))</f>
        <v/>
      </c>
      <c r="I1683" t="str">
        <f>IF(OR($G1683="",Sync!$Y1679=""),"",Sync!$Y1679)</f>
        <v/>
      </c>
      <c r="J1683" t="str">
        <f>IF(OR($G1683="",Sync!$Z1679=""),"",Sync!$Z1679)</f>
        <v/>
      </c>
      <c r="K1683">
        <f>IF($G1683="",0,IF(Sync!$AA1679="",0,Sync!$AA1679))</f>
        <v>0</v>
      </c>
      <c r="L1683">
        <f>IF($G1683="",0,IF(Sync!$AB1679="",0,Sync!$AB1679))</f>
        <v>0</v>
      </c>
      <c r="M1683" t="str">
        <f t="shared" si="161"/>
        <v/>
      </c>
      <c r="N1683">
        <f>IF($G1683="",0,IF($H1683="مرجوعی فروش",-1,1)*IF(Sync!$AC1679="",0,Sync!$AC1679))</f>
        <v>0</v>
      </c>
      <c r="O1683" t="str">
        <f>IF(OR($G1683="",Sync!$V1679=""),"",Sync!$V1679)</f>
        <v/>
      </c>
      <c r="P1683" t="str">
        <f>IF(OR($G1683="",Sync!$AD1679=""),"",Sync!$AD1679)</f>
        <v/>
      </c>
      <c r="Q1683" t="str">
        <f>IF($G1683="","",IF(Sync!$U1679="","0000",IF(AND(ISNUMBER(Sync!$U1679),Sync!$U1679&gt;=0,Sync!$U1679&lt;1),RIGHT("00"&amp;HOUR(Sync!$U1679),2)&amp;RIGHT("00"&amp;MINUTE(Sync!$U1679),2),IFERROR(RIGHT("00"&amp;VALUE(LEFT(Sync!$U1679,FIND(":",Sync!$U1679)-1)),2)&amp;RIGHT("00"&amp;VALUE(MID(Sync!$U1679,FIND(":",Sync!$U1679)+1,2)),2),"0000"))))</f>
        <v/>
      </c>
    </row>
    <row r="1684" spans="1:17" x14ac:dyDescent="0.2">
      <c r="A1684" t="str">
        <f>IF(Sync!$T1680="","",Sync!$T1680)</f>
        <v/>
      </c>
      <c r="B1684" t="str">
        <f t="shared" si="156"/>
        <v/>
      </c>
      <c r="C1684" t="str">
        <f t="shared" si="157"/>
        <v/>
      </c>
      <c r="D1684" t="str">
        <f t="shared" si="158"/>
        <v/>
      </c>
      <c r="E1684" t="str">
        <f t="shared" si="159"/>
        <v/>
      </c>
      <c r="F1684" t="str">
        <f t="shared" si="160"/>
        <v/>
      </c>
      <c r="G1684" t="str">
        <f>IF(OR($E1684="",$E1684="نامعتبر",Sync!$X1680=""),"",IF(AND(LEFT(UPPER(TRIM(Sync!$X1680)),2)="SL",IFERROR(VLOOKUP(Sync!$W1680,OpTbl,3,0),"")="فروش"),UPPER(TRIM(Sync!$X1680)),""))</f>
        <v/>
      </c>
      <c r="H1684" t="str">
        <f>IF($G1684="","",IF(Sync!$W1680="","",Sync!$W1680))</f>
        <v/>
      </c>
      <c r="I1684" t="str">
        <f>IF(OR($G1684="",Sync!$Y1680=""),"",Sync!$Y1680)</f>
        <v/>
      </c>
      <c r="J1684" t="str">
        <f>IF(OR($G1684="",Sync!$Z1680=""),"",Sync!$Z1680)</f>
        <v/>
      </c>
      <c r="K1684">
        <f>IF($G1684="",0,IF(Sync!$AA1680="",0,Sync!$AA1680))</f>
        <v>0</v>
      </c>
      <c r="L1684">
        <f>IF($G1684="",0,IF(Sync!$AB1680="",0,Sync!$AB1680))</f>
        <v>0</v>
      </c>
      <c r="M1684" t="str">
        <f t="shared" si="161"/>
        <v/>
      </c>
      <c r="N1684">
        <f>IF($G1684="",0,IF($H1684="مرجوعی فروش",-1,1)*IF(Sync!$AC1680="",0,Sync!$AC1680))</f>
        <v>0</v>
      </c>
      <c r="O1684" t="str">
        <f>IF(OR($G1684="",Sync!$V1680=""),"",Sync!$V1680)</f>
        <v/>
      </c>
      <c r="P1684" t="str">
        <f>IF(OR($G1684="",Sync!$AD1680=""),"",Sync!$AD1680)</f>
        <v/>
      </c>
      <c r="Q1684" t="str">
        <f>IF($G1684="","",IF(Sync!$U1680="","0000",IF(AND(ISNUMBER(Sync!$U1680),Sync!$U1680&gt;=0,Sync!$U1680&lt;1),RIGHT("00"&amp;HOUR(Sync!$U1680),2)&amp;RIGHT("00"&amp;MINUTE(Sync!$U1680),2),IFERROR(RIGHT("00"&amp;VALUE(LEFT(Sync!$U1680,FIND(":",Sync!$U1680)-1)),2)&amp;RIGHT("00"&amp;VALUE(MID(Sync!$U1680,FIND(":",Sync!$U1680)+1,2)),2),"0000"))))</f>
        <v/>
      </c>
    </row>
    <row r="1685" spans="1:17" x14ac:dyDescent="0.2">
      <c r="A1685" t="str">
        <f>IF(Sync!$T1681="","",Sync!$T1681)</f>
        <v/>
      </c>
      <c r="B1685" t="str">
        <f t="shared" si="156"/>
        <v/>
      </c>
      <c r="C1685" t="str">
        <f t="shared" si="157"/>
        <v/>
      </c>
      <c r="D1685" t="str">
        <f t="shared" si="158"/>
        <v/>
      </c>
      <c r="E1685" t="str">
        <f t="shared" si="159"/>
        <v/>
      </c>
      <c r="F1685" t="str">
        <f t="shared" si="160"/>
        <v/>
      </c>
      <c r="G1685" t="str">
        <f>IF(OR($E1685="",$E1685="نامعتبر",Sync!$X1681=""),"",IF(AND(LEFT(UPPER(TRIM(Sync!$X1681)),2)="SL",IFERROR(VLOOKUP(Sync!$W1681,OpTbl,3,0),"")="فروش"),UPPER(TRIM(Sync!$X1681)),""))</f>
        <v/>
      </c>
      <c r="H1685" t="str">
        <f>IF($G1685="","",IF(Sync!$W1681="","",Sync!$W1681))</f>
        <v/>
      </c>
      <c r="I1685" t="str">
        <f>IF(OR($G1685="",Sync!$Y1681=""),"",Sync!$Y1681)</f>
        <v/>
      </c>
      <c r="J1685" t="str">
        <f>IF(OR($G1685="",Sync!$Z1681=""),"",Sync!$Z1681)</f>
        <v/>
      </c>
      <c r="K1685">
        <f>IF($G1685="",0,IF(Sync!$AA1681="",0,Sync!$AA1681))</f>
        <v>0</v>
      </c>
      <c r="L1685">
        <f>IF($G1685="",0,IF(Sync!$AB1681="",0,Sync!$AB1681))</f>
        <v>0</v>
      </c>
      <c r="M1685" t="str">
        <f t="shared" si="161"/>
        <v/>
      </c>
      <c r="N1685">
        <f>IF($G1685="",0,IF($H1685="مرجوعی فروش",-1,1)*IF(Sync!$AC1681="",0,Sync!$AC1681))</f>
        <v>0</v>
      </c>
      <c r="O1685" t="str">
        <f>IF(OR($G1685="",Sync!$V1681=""),"",Sync!$V1681)</f>
        <v/>
      </c>
      <c r="P1685" t="str">
        <f>IF(OR($G1685="",Sync!$AD1681=""),"",Sync!$AD1681)</f>
        <v/>
      </c>
      <c r="Q1685" t="str">
        <f>IF($G1685="","",IF(Sync!$U1681="","0000",IF(AND(ISNUMBER(Sync!$U1681),Sync!$U1681&gt;=0,Sync!$U1681&lt;1),RIGHT("00"&amp;HOUR(Sync!$U1681),2)&amp;RIGHT("00"&amp;MINUTE(Sync!$U1681),2),IFERROR(RIGHT("00"&amp;VALUE(LEFT(Sync!$U1681,FIND(":",Sync!$U1681)-1)),2)&amp;RIGHT("00"&amp;VALUE(MID(Sync!$U1681,FIND(":",Sync!$U1681)+1,2)),2),"0000"))))</f>
        <v/>
      </c>
    </row>
    <row r="1686" spans="1:17" x14ac:dyDescent="0.2">
      <c r="A1686" t="str">
        <f>IF(Sync!$T1682="","",Sync!$T1682)</f>
        <v/>
      </c>
      <c r="B1686" t="str">
        <f t="shared" si="156"/>
        <v/>
      </c>
      <c r="C1686" t="str">
        <f t="shared" si="157"/>
        <v/>
      </c>
      <c r="D1686" t="str">
        <f t="shared" si="158"/>
        <v/>
      </c>
      <c r="E1686" t="str">
        <f t="shared" si="159"/>
        <v/>
      </c>
      <c r="F1686" t="str">
        <f t="shared" si="160"/>
        <v/>
      </c>
      <c r="G1686" t="str">
        <f>IF(OR($E1686="",$E1686="نامعتبر",Sync!$X1682=""),"",IF(AND(LEFT(UPPER(TRIM(Sync!$X1682)),2)="SL",IFERROR(VLOOKUP(Sync!$W1682,OpTbl,3,0),"")="فروش"),UPPER(TRIM(Sync!$X1682)),""))</f>
        <v/>
      </c>
      <c r="H1686" t="str">
        <f>IF($G1686="","",IF(Sync!$W1682="","",Sync!$W1682))</f>
        <v/>
      </c>
      <c r="I1686" t="str">
        <f>IF(OR($G1686="",Sync!$Y1682=""),"",Sync!$Y1682)</f>
        <v/>
      </c>
      <c r="J1686" t="str">
        <f>IF(OR($G1686="",Sync!$Z1682=""),"",Sync!$Z1682)</f>
        <v/>
      </c>
      <c r="K1686">
        <f>IF($G1686="",0,IF(Sync!$AA1682="",0,Sync!$AA1682))</f>
        <v>0</v>
      </c>
      <c r="L1686">
        <f>IF($G1686="",0,IF(Sync!$AB1682="",0,Sync!$AB1682))</f>
        <v>0</v>
      </c>
      <c r="M1686" t="str">
        <f t="shared" si="161"/>
        <v/>
      </c>
      <c r="N1686">
        <f>IF($G1686="",0,IF($H1686="مرجوعی فروش",-1,1)*IF(Sync!$AC1682="",0,Sync!$AC1682))</f>
        <v>0</v>
      </c>
      <c r="O1686" t="str">
        <f>IF(OR($G1686="",Sync!$V1682=""),"",Sync!$V1682)</f>
        <v/>
      </c>
      <c r="P1686" t="str">
        <f>IF(OR($G1686="",Sync!$AD1682=""),"",Sync!$AD1682)</f>
        <v/>
      </c>
      <c r="Q1686" t="str">
        <f>IF($G1686="","",IF(Sync!$U1682="","0000",IF(AND(ISNUMBER(Sync!$U1682),Sync!$U1682&gt;=0,Sync!$U1682&lt;1),RIGHT("00"&amp;HOUR(Sync!$U1682),2)&amp;RIGHT("00"&amp;MINUTE(Sync!$U1682),2),IFERROR(RIGHT("00"&amp;VALUE(LEFT(Sync!$U1682,FIND(":",Sync!$U1682)-1)),2)&amp;RIGHT("00"&amp;VALUE(MID(Sync!$U1682,FIND(":",Sync!$U1682)+1,2)),2),"0000"))))</f>
        <v/>
      </c>
    </row>
    <row r="1687" spans="1:17" x14ac:dyDescent="0.2">
      <c r="A1687" t="str">
        <f>IF(Sync!$T1683="","",Sync!$T1683)</f>
        <v/>
      </c>
      <c r="B1687" t="str">
        <f t="shared" si="156"/>
        <v/>
      </c>
      <c r="C1687" t="str">
        <f t="shared" si="157"/>
        <v/>
      </c>
      <c r="D1687" t="str">
        <f t="shared" si="158"/>
        <v/>
      </c>
      <c r="E1687" t="str">
        <f t="shared" si="159"/>
        <v/>
      </c>
      <c r="F1687" t="str">
        <f t="shared" si="160"/>
        <v/>
      </c>
      <c r="G1687" t="str">
        <f>IF(OR($E1687="",$E1687="نامعتبر",Sync!$X1683=""),"",IF(AND(LEFT(UPPER(TRIM(Sync!$X1683)),2)="SL",IFERROR(VLOOKUP(Sync!$W1683,OpTbl,3,0),"")="فروش"),UPPER(TRIM(Sync!$X1683)),""))</f>
        <v/>
      </c>
      <c r="H1687" t="str">
        <f>IF($G1687="","",IF(Sync!$W1683="","",Sync!$W1683))</f>
        <v/>
      </c>
      <c r="I1687" t="str">
        <f>IF(OR($G1687="",Sync!$Y1683=""),"",Sync!$Y1683)</f>
        <v/>
      </c>
      <c r="J1687" t="str">
        <f>IF(OR($G1687="",Sync!$Z1683=""),"",Sync!$Z1683)</f>
        <v/>
      </c>
      <c r="K1687">
        <f>IF($G1687="",0,IF(Sync!$AA1683="",0,Sync!$AA1683))</f>
        <v>0</v>
      </c>
      <c r="L1687">
        <f>IF($G1687="",0,IF(Sync!$AB1683="",0,Sync!$AB1683))</f>
        <v>0</v>
      </c>
      <c r="M1687" t="str">
        <f t="shared" si="161"/>
        <v/>
      </c>
      <c r="N1687">
        <f>IF($G1687="",0,IF($H1687="مرجوعی فروش",-1,1)*IF(Sync!$AC1683="",0,Sync!$AC1683))</f>
        <v>0</v>
      </c>
      <c r="O1687" t="str">
        <f>IF(OR($G1687="",Sync!$V1683=""),"",Sync!$V1683)</f>
        <v/>
      </c>
      <c r="P1687" t="str">
        <f>IF(OR($G1687="",Sync!$AD1683=""),"",Sync!$AD1683)</f>
        <v/>
      </c>
      <c r="Q1687" t="str">
        <f>IF($G1687="","",IF(Sync!$U1683="","0000",IF(AND(ISNUMBER(Sync!$U1683),Sync!$U1683&gt;=0,Sync!$U1683&lt;1),RIGHT("00"&amp;HOUR(Sync!$U1683),2)&amp;RIGHT("00"&amp;MINUTE(Sync!$U1683),2),IFERROR(RIGHT("00"&amp;VALUE(LEFT(Sync!$U1683,FIND(":",Sync!$U1683)-1)),2)&amp;RIGHT("00"&amp;VALUE(MID(Sync!$U1683,FIND(":",Sync!$U1683)+1,2)),2),"0000"))))</f>
        <v/>
      </c>
    </row>
    <row r="1688" spans="1:17" x14ac:dyDescent="0.2">
      <c r="A1688" t="str">
        <f>IF(Sync!$T1684="","",Sync!$T1684)</f>
        <v/>
      </c>
      <c r="B1688" t="str">
        <f t="shared" si="156"/>
        <v/>
      </c>
      <c r="C1688" t="str">
        <f t="shared" si="157"/>
        <v/>
      </c>
      <c r="D1688" t="str">
        <f t="shared" si="158"/>
        <v/>
      </c>
      <c r="E1688" t="str">
        <f t="shared" si="159"/>
        <v/>
      </c>
      <c r="F1688" t="str">
        <f t="shared" si="160"/>
        <v/>
      </c>
      <c r="G1688" t="str">
        <f>IF(OR($E1688="",$E1688="نامعتبر",Sync!$X1684=""),"",IF(AND(LEFT(UPPER(TRIM(Sync!$X1684)),2)="SL",IFERROR(VLOOKUP(Sync!$W1684,OpTbl,3,0),"")="فروش"),UPPER(TRIM(Sync!$X1684)),""))</f>
        <v/>
      </c>
      <c r="H1688" t="str">
        <f>IF($G1688="","",IF(Sync!$W1684="","",Sync!$W1684))</f>
        <v/>
      </c>
      <c r="I1688" t="str">
        <f>IF(OR($G1688="",Sync!$Y1684=""),"",Sync!$Y1684)</f>
        <v/>
      </c>
      <c r="J1688" t="str">
        <f>IF(OR($G1688="",Sync!$Z1684=""),"",Sync!$Z1684)</f>
        <v/>
      </c>
      <c r="K1688">
        <f>IF($G1688="",0,IF(Sync!$AA1684="",0,Sync!$AA1684))</f>
        <v>0</v>
      </c>
      <c r="L1688">
        <f>IF($G1688="",0,IF(Sync!$AB1684="",0,Sync!$AB1684))</f>
        <v>0</v>
      </c>
      <c r="M1688" t="str">
        <f t="shared" si="161"/>
        <v/>
      </c>
      <c r="N1688">
        <f>IF($G1688="",0,IF($H1688="مرجوعی فروش",-1,1)*IF(Sync!$AC1684="",0,Sync!$AC1684))</f>
        <v>0</v>
      </c>
      <c r="O1688" t="str">
        <f>IF(OR($G1688="",Sync!$V1684=""),"",Sync!$V1684)</f>
        <v/>
      </c>
      <c r="P1688" t="str">
        <f>IF(OR($G1688="",Sync!$AD1684=""),"",Sync!$AD1684)</f>
        <v/>
      </c>
      <c r="Q1688" t="str">
        <f>IF($G1688="","",IF(Sync!$U1684="","0000",IF(AND(ISNUMBER(Sync!$U1684),Sync!$U1684&gt;=0,Sync!$U1684&lt;1),RIGHT("00"&amp;HOUR(Sync!$U1684),2)&amp;RIGHT("00"&amp;MINUTE(Sync!$U1684),2),IFERROR(RIGHT("00"&amp;VALUE(LEFT(Sync!$U1684,FIND(":",Sync!$U1684)-1)),2)&amp;RIGHT("00"&amp;VALUE(MID(Sync!$U1684,FIND(":",Sync!$U1684)+1,2)),2),"0000"))))</f>
        <v/>
      </c>
    </row>
    <row r="1689" spans="1:17" x14ac:dyDescent="0.2">
      <c r="A1689" t="str">
        <f>IF(Sync!$T1685="","",Sync!$T1685)</f>
        <v/>
      </c>
      <c r="B1689" t="str">
        <f t="shared" si="156"/>
        <v/>
      </c>
      <c r="C1689" t="str">
        <f t="shared" si="157"/>
        <v/>
      </c>
      <c r="D1689" t="str">
        <f t="shared" si="158"/>
        <v/>
      </c>
      <c r="E1689" t="str">
        <f t="shared" si="159"/>
        <v/>
      </c>
      <c r="F1689" t="str">
        <f t="shared" si="160"/>
        <v/>
      </c>
      <c r="G1689" t="str">
        <f>IF(OR($E1689="",$E1689="نامعتبر",Sync!$X1685=""),"",IF(AND(LEFT(UPPER(TRIM(Sync!$X1685)),2)="SL",IFERROR(VLOOKUP(Sync!$W1685,OpTbl,3,0),"")="فروش"),UPPER(TRIM(Sync!$X1685)),""))</f>
        <v/>
      </c>
      <c r="H1689" t="str">
        <f>IF($G1689="","",IF(Sync!$W1685="","",Sync!$W1685))</f>
        <v/>
      </c>
      <c r="I1689" t="str">
        <f>IF(OR($G1689="",Sync!$Y1685=""),"",Sync!$Y1685)</f>
        <v/>
      </c>
      <c r="J1689" t="str">
        <f>IF(OR($G1689="",Sync!$Z1685=""),"",Sync!$Z1685)</f>
        <v/>
      </c>
      <c r="K1689">
        <f>IF($G1689="",0,IF(Sync!$AA1685="",0,Sync!$AA1685))</f>
        <v>0</v>
      </c>
      <c r="L1689">
        <f>IF($G1689="",0,IF(Sync!$AB1685="",0,Sync!$AB1685))</f>
        <v>0</v>
      </c>
      <c r="M1689" t="str">
        <f t="shared" si="161"/>
        <v/>
      </c>
      <c r="N1689">
        <f>IF($G1689="",0,IF($H1689="مرجوعی فروش",-1,1)*IF(Sync!$AC1685="",0,Sync!$AC1685))</f>
        <v>0</v>
      </c>
      <c r="O1689" t="str">
        <f>IF(OR($G1689="",Sync!$V1685=""),"",Sync!$V1685)</f>
        <v/>
      </c>
      <c r="P1689" t="str">
        <f>IF(OR($G1689="",Sync!$AD1685=""),"",Sync!$AD1685)</f>
        <v/>
      </c>
      <c r="Q1689" t="str">
        <f>IF($G1689="","",IF(Sync!$U1685="","0000",IF(AND(ISNUMBER(Sync!$U1685),Sync!$U1685&gt;=0,Sync!$U1685&lt;1),RIGHT("00"&amp;HOUR(Sync!$U1685),2)&amp;RIGHT("00"&amp;MINUTE(Sync!$U1685),2),IFERROR(RIGHT("00"&amp;VALUE(LEFT(Sync!$U1685,FIND(":",Sync!$U1685)-1)),2)&amp;RIGHT("00"&amp;VALUE(MID(Sync!$U1685,FIND(":",Sync!$U1685)+1,2)),2),"0000"))))</f>
        <v/>
      </c>
    </row>
    <row r="1690" spans="1:17" x14ac:dyDescent="0.2">
      <c r="A1690" t="str">
        <f>IF(Sync!$T1686="","",Sync!$T1686)</f>
        <v/>
      </c>
      <c r="B1690" t="str">
        <f t="shared" si="156"/>
        <v/>
      </c>
      <c r="C1690" t="str">
        <f t="shared" si="157"/>
        <v/>
      </c>
      <c r="D1690" t="str">
        <f t="shared" si="158"/>
        <v/>
      </c>
      <c r="E1690" t="str">
        <f t="shared" si="159"/>
        <v/>
      </c>
      <c r="F1690" t="str">
        <f t="shared" si="160"/>
        <v/>
      </c>
      <c r="G1690" t="str">
        <f>IF(OR($E1690="",$E1690="نامعتبر",Sync!$X1686=""),"",IF(AND(LEFT(UPPER(TRIM(Sync!$X1686)),2)="SL",IFERROR(VLOOKUP(Sync!$W1686,OpTbl,3,0),"")="فروش"),UPPER(TRIM(Sync!$X1686)),""))</f>
        <v/>
      </c>
      <c r="H1690" t="str">
        <f>IF($G1690="","",IF(Sync!$W1686="","",Sync!$W1686))</f>
        <v/>
      </c>
      <c r="I1690" t="str">
        <f>IF(OR($G1690="",Sync!$Y1686=""),"",Sync!$Y1686)</f>
        <v/>
      </c>
      <c r="J1690" t="str">
        <f>IF(OR($G1690="",Sync!$Z1686=""),"",Sync!$Z1686)</f>
        <v/>
      </c>
      <c r="K1690">
        <f>IF($G1690="",0,IF(Sync!$AA1686="",0,Sync!$AA1686))</f>
        <v>0</v>
      </c>
      <c r="L1690">
        <f>IF($G1690="",0,IF(Sync!$AB1686="",0,Sync!$AB1686))</f>
        <v>0</v>
      </c>
      <c r="M1690" t="str">
        <f t="shared" si="161"/>
        <v/>
      </c>
      <c r="N1690">
        <f>IF($G1690="",0,IF($H1690="مرجوعی فروش",-1,1)*IF(Sync!$AC1686="",0,Sync!$AC1686))</f>
        <v>0</v>
      </c>
      <c r="O1690" t="str">
        <f>IF(OR($G1690="",Sync!$V1686=""),"",Sync!$V1686)</f>
        <v/>
      </c>
      <c r="P1690" t="str">
        <f>IF(OR($G1690="",Sync!$AD1686=""),"",Sync!$AD1686)</f>
        <v/>
      </c>
      <c r="Q1690" t="str">
        <f>IF($G1690="","",IF(Sync!$U1686="","0000",IF(AND(ISNUMBER(Sync!$U1686),Sync!$U1686&gt;=0,Sync!$U1686&lt;1),RIGHT("00"&amp;HOUR(Sync!$U1686),2)&amp;RIGHT("00"&amp;MINUTE(Sync!$U1686),2),IFERROR(RIGHT("00"&amp;VALUE(LEFT(Sync!$U1686,FIND(":",Sync!$U1686)-1)),2)&amp;RIGHT("00"&amp;VALUE(MID(Sync!$U1686,FIND(":",Sync!$U1686)+1,2)),2),"0000"))))</f>
        <v/>
      </c>
    </row>
    <row r="1691" spans="1:17" x14ac:dyDescent="0.2">
      <c r="A1691" t="str">
        <f>IF(Sync!$T1687="","",Sync!$T1687)</f>
        <v/>
      </c>
      <c r="B1691" t="str">
        <f t="shared" si="156"/>
        <v/>
      </c>
      <c r="C1691" t="str">
        <f t="shared" si="157"/>
        <v/>
      </c>
      <c r="D1691" t="str">
        <f t="shared" si="158"/>
        <v/>
      </c>
      <c r="E1691" t="str">
        <f t="shared" si="159"/>
        <v/>
      </c>
      <c r="F1691" t="str">
        <f t="shared" si="160"/>
        <v/>
      </c>
      <c r="G1691" t="str">
        <f>IF(OR($E1691="",$E1691="نامعتبر",Sync!$X1687=""),"",IF(AND(LEFT(UPPER(TRIM(Sync!$X1687)),2)="SL",IFERROR(VLOOKUP(Sync!$W1687,OpTbl,3,0),"")="فروش"),UPPER(TRIM(Sync!$X1687)),""))</f>
        <v/>
      </c>
      <c r="H1691" t="str">
        <f>IF($G1691="","",IF(Sync!$W1687="","",Sync!$W1687))</f>
        <v/>
      </c>
      <c r="I1691" t="str">
        <f>IF(OR($G1691="",Sync!$Y1687=""),"",Sync!$Y1687)</f>
        <v/>
      </c>
      <c r="J1691" t="str">
        <f>IF(OR($G1691="",Sync!$Z1687=""),"",Sync!$Z1687)</f>
        <v/>
      </c>
      <c r="K1691">
        <f>IF($G1691="",0,IF(Sync!$AA1687="",0,Sync!$AA1687))</f>
        <v>0</v>
      </c>
      <c r="L1691">
        <f>IF($G1691="",0,IF(Sync!$AB1687="",0,Sync!$AB1687))</f>
        <v>0</v>
      </c>
      <c r="M1691" t="str">
        <f t="shared" si="161"/>
        <v/>
      </c>
      <c r="N1691">
        <f>IF($G1691="",0,IF($H1691="مرجوعی فروش",-1,1)*IF(Sync!$AC1687="",0,Sync!$AC1687))</f>
        <v>0</v>
      </c>
      <c r="O1691" t="str">
        <f>IF(OR($G1691="",Sync!$V1687=""),"",Sync!$V1687)</f>
        <v/>
      </c>
      <c r="P1691" t="str">
        <f>IF(OR($G1691="",Sync!$AD1687=""),"",Sync!$AD1687)</f>
        <v/>
      </c>
      <c r="Q1691" t="str">
        <f>IF($G1691="","",IF(Sync!$U1687="","0000",IF(AND(ISNUMBER(Sync!$U1687),Sync!$U1687&gt;=0,Sync!$U1687&lt;1),RIGHT("00"&amp;HOUR(Sync!$U1687),2)&amp;RIGHT("00"&amp;MINUTE(Sync!$U1687),2),IFERROR(RIGHT("00"&amp;VALUE(LEFT(Sync!$U1687,FIND(":",Sync!$U1687)-1)),2)&amp;RIGHT("00"&amp;VALUE(MID(Sync!$U1687,FIND(":",Sync!$U1687)+1,2)),2),"0000"))))</f>
        <v/>
      </c>
    </row>
    <row r="1692" spans="1:17" x14ac:dyDescent="0.2">
      <c r="A1692" t="str">
        <f>IF(Sync!$T1688="","",Sync!$T1688)</f>
        <v/>
      </c>
      <c r="B1692" t="str">
        <f t="shared" si="156"/>
        <v/>
      </c>
      <c r="C1692" t="str">
        <f t="shared" si="157"/>
        <v/>
      </c>
      <c r="D1692" t="str">
        <f t="shared" si="158"/>
        <v/>
      </c>
      <c r="E1692" t="str">
        <f t="shared" si="159"/>
        <v/>
      </c>
      <c r="F1692" t="str">
        <f t="shared" si="160"/>
        <v/>
      </c>
      <c r="G1692" t="str">
        <f>IF(OR($E1692="",$E1692="نامعتبر",Sync!$X1688=""),"",IF(AND(LEFT(UPPER(TRIM(Sync!$X1688)),2)="SL",IFERROR(VLOOKUP(Sync!$W1688,OpTbl,3,0),"")="فروش"),UPPER(TRIM(Sync!$X1688)),""))</f>
        <v/>
      </c>
      <c r="H1692" t="str">
        <f>IF($G1692="","",IF(Sync!$W1688="","",Sync!$W1688))</f>
        <v/>
      </c>
      <c r="I1692" t="str">
        <f>IF(OR($G1692="",Sync!$Y1688=""),"",Sync!$Y1688)</f>
        <v/>
      </c>
      <c r="J1692" t="str">
        <f>IF(OR($G1692="",Sync!$Z1688=""),"",Sync!$Z1688)</f>
        <v/>
      </c>
      <c r="K1692">
        <f>IF($G1692="",0,IF(Sync!$AA1688="",0,Sync!$AA1688))</f>
        <v>0</v>
      </c>
      <c r="L1692">
        <f>IF($G1692="",0,IF(Sync!$AB1688="",0,Sync!$AB1688))</f>
        <v>0</v>
      </c>
      <c r="M1692" t="str">
        <f t="shared" si="161"/>
        <v/>
      </c>
      <c r="N1692">
        <f>IF($G1692="",0,IF($H1692="مرجوعی فروش",-1,1)*IF(Sync!$AC1688="",0,Sync!$AC1688))</f>
        <v>0</v>
      </c>
      <c r="O1692" t="str">
        <f>IF(OR($G1692="",Sync!$V1688=""),"",Sync!$V1688)</f>
        <v/>
      </c>
      <c r="P1692" t="str">
        <f>IF(OR($G1692="",Sync!$AD1688=""),"",Sync!$AD1688)</f>
        <v/>
      </c>
      <c r="Q1692" t="str">
        <f>IF($G1692="","",IF(Sync!$U1688="","0000",IF(AND(ISNUMBER(Sync!$U1688),Sync!$U1688&gt;=0,Sync!$U1688&lt;1),RIGHT("00"&amp;HOUR(Sync!$U1688),2)&amp;RIGHT("00"&amp;MINUTE(Sync!$U1688),2),IFERROR(RIGHT("00"&amp;VALUE(LEFT(Sync!$U1688,FIND(":",Sync!$U1688)-1)),2)&amp;RIGHT("00"&amp;VALUE(MID(Sync!$U1688,FIND(":",Sync!$U1688)+1,2)),2),"0000"))))</f>
        <v/>
      </c>
    </row>
    <row r="1693" spans="1:17" x14ac:dyDescent="0.2">
      <c r="A1693" t="str">
        <f>IF(Sync!$T1689="","",Sync!$T1689)</f>
        <v/>
      </c>
      <c r="B1693" t="str">
        <f t="shared" si="156"/>
        <v/>
      </c>
      <c r="C1693" t="str">
        <f t="shared" si="157"/>
        <v/>
      </c>
      <c r="D1693" t="str">
        <f t="shared" si="158"/>
        <v/>
      </c>
      <c r="E1693" t="str">
        <f t="shared" si="159"/>
        <v/>
      </c>
      <c r="F1693" t="str">
        <f t="shared" si="160"/>
        <v/>
      </c>
      <c r="G1693" t="str">
        <f>IF(OR($E1693="",$E1693="نامعتبر",Sync!$X1689=""),"",IF(AND(LEFT(UPPER(TRIM(Sync!$X1689)),2)="SL",IFERROR(VLOOKUP(Sync!$W1689,OpTbl,3,0),"")="فروش"),UPPER(TRIM(Sync!$X1689)),""))</f>
        <v/>
      </c>
      <c r="H1693" t="str">
        <f>IF($G1693="","",IF(Sync!$W1689="","",Sync!$W1689))</f>
        <v/>
      </c>
      <c r="I1693" t="str">
        <f>IF(OR($G1693="",Sync!$Y1689=""),"",Sync!$Y1689)</f>
        <v/>
      </c>
      <c r="J1693" t="str">
        <f>IF(OR($G1693="",Sync!$Z1689=""),"",Sync!$Z1689)</f>
        <v/>
      </c>
      <c r="K1693">
        <f>IF($G1693="",0,IF(Sync!$AA1689="",0,Sync!$AA1689))</f>
        <v>0</v>
      </c>
      <c r="L1693">
        <f>IF($G1693="",0,IF(Sync!$AB1689="",0,Sync!$AB1689))</f>
        <v>0</v>
      </c>
      <c r="M1693" t="str">
        <f t="shared" si="161"/>
        <v/>
      </c>
      <c r="N1693">
        <f>IF($G1693="",0,IF($H1693="مرجوعی فروش",-1,1)*IF(Sync!$AC1689="",0,Sync!$AC1689))</f>
        <v>0</v>
      </c>
      <c r="O1693" t="str">
        <f>IF(OR($G1693="",Sync!$V1689=""),"",Sync!$V1689)</f>
        <v/>
      </c>
      <c r="P1693" t="str">
        <f>IF(OR($G1693="",Sync!$AD1689=""),"",Sync!$AD1689)</f>
        <v/>
      </c>
      <c r="Q1693" t="str">
        <f>IF($G1693="","",IF(Sync!$U1689="","0000",IF(AND(ISNUMBER(Sync!$U1689),Sync!$U1689&gt;=0,Sync!$U1689&lt;1),RIGHT("00"&amp;HOUR(Sync!$U1689),2)&amp;RIGHT("00"&amp;MINUTE(Sync!$U1689),2),IFERROR(RIGHT("00"&amp;VALUE(LEFT(Sync!$U1689,FIND(":",Sync!$U1689)-1)),2)&amp;RIGHT("00"&amp;VALUE(MID(Sync!$U1689,FIND(":",Sync!$U1689)+1,2)),2),"0000"))))</f>
        <v/>
      </c>
    </row>
    <row r="1694" spans="1:17" x14ac:dyDescent="0.2">
      <c r="A1694" t="str">
        <f>IF(Sync!$T1690="","",Sync!$T1690)</f>
        <v/>
      </c>
      <c r="B1694" t="str">
        <f t="shared" si="156"/>
        <v/>
      </c>
      <c r="C1694" t="str">
        <f t="shared" si="157"/>
        <v/>
      </c>
      <c r="D1694" t="str">
        <f t="shared" si="158"/>
        <v/>
      </c>
      <c r="E1694" t="str">
        <f t="shared" si="159"/>
        <v/>
      </c>
      <c r="F1694" t="str">
        <f t="shared" si="160"/>
        <v/>
      </c>
      <c r="G1694" t="str">
        <f>IF(OR($E1694="",$E1694="نامعتبر",Sync!$X1690=""),"",IF(AND(LEFT(UPPER(TRIM(Sync!$X1690)),2)="SL",IFERROR(VLOOKUP(Sync!$W1690,OpTbl,3,0),"")="فروش"),UPPER(TRIM(Sync!$X1690)),""))</f>
        <v/>
      </c>
      <c r="H1694" t="str">
        <f>IF($G1694="","",IF(Sync!$W1690="","",Sync!$W1690))</f>
        <v/>
      </c>
      <c r="I1694" t="str">
        <f>IF(OR($G1694="",Sync!$Y1690=""),"",Sync!$Y1690)</f>
        <v/>
      </c>
      <c r="J1694" t="str">
        <f>IF(OR($G1694="",Sync!$Z1690=""),"",Sync!$Z1690)</f>
        <v/>
      </c>
      <c r="K1694">
        <f>IF($G1694="",0,IF(Sync!$AA1690="",0,Sync!$AA1690))</f>
        <v>0</v>
      </c>
      <c r="L1694">
        <f>IF($G1694="",0,IF(Sync!$AB1690="",0,Sync!$AB1690))</f>
        <v>0</v>
      </c>
      <c r="M1694" t="str">
        <f t="shared" si="161"/>
        <v/>
      </c>
      <c r="N1694">
        <f>IF($G1694="",0,IF($H1694="مرجوعی فروش",-1,1)*IF(Sync!$AC1690="",0,Sync!$AC1690))</f>
        <v>0</v>
      </c>
      <c r="O1694" t="str">
        <f>IF(OR($G1694="",Sync!$V1690=""),"",Sync!$V1690)</f>
        <v/>
      </c>
      <c r="P1694" t="str">
        <f>IF(OR($G1694="",Sync!$AD1690=""),"",Sync!$AD1690)</f>
        <v/>
      </c>
      <c r="Q1694" t="str">
        <f>IF($G1694="","",IF(Sync!$U1690="","0000",IF(AND(ISNUMBER(Sync!$U1690),Sync!$U1690&gt;=0,Sync!$U1690&lt;1),RIGHT("00"&amp;HOUR(Sync!$U1690),2)&amp;RIGHT("00"&amp;MINUTE(Sync!$U1690),2),IFERROR(RIGHT("00"&amp;VALUE(LEFT(Sync!$U1690,FIND(":",Sync!$U1690)-1)),2)&amp;RIGHT("00"&amp;VALUE(MID(Sync!$U1690,FIND(":",Sync!$U1690)+1,2)),2),"0000"))))</f>
        <v/>
      </c>
    </row>
    <row r="1695" spans="1:17" x14ac:dyDescent="0.2">
      <c r="A1695" t="str">
        <f>IF(Sync!$T1691="","",Sync!$T1691)</f>
        <v/>
      </c>
      <c r="B1695" t="str">
        <f t="shared" si="156"/>
        <v/>
      </c>
      <c r="C1695" t="str">
        <f t="shared" si="157"/>
        <v/>
      </c>
      <c r="D1695" t="str">
        <f t="shared" si="158"/>
        <v/>
      </c>
      <c r="E1695" t="str">
        <f t="shared" si="159"/>
        <v/>
      </c>
      <c r="F1695" t="str">
        <f t="shared" si="160"/>
        <v/>
      </c>
      <c r="G1695" t="str">
        <f>IF(OR($E1695="",$E1695="نامعتبر",Sync!$X1691=""),"",IF(AND(LEFT(UPPER(TRIM(Sync!$X1691)),2)="SL",IFERROR(VLOOKUP(Sync!$W1691,OpTbl,3,0),"")="فروش"),UPPER(TRIM(Sync!$X1691)),""))</f>
        <v/>
      </c>
      <c r="H1695" t="str">
        <f>IF($G1695="","",IF(Sync!$W1691="","",Sync!$W1691))</f>
        <v/>
      </c>
      <c r="I1695" t="str">
        <f>IF(OR($G1695="",Sync!$Y1691=""),"",Sync!$Y1691)</f>
        <v/>
      </c>
      <c r="J1695" t="str">
        <f>IF(OR($G1695="",Sync!$Z1691=""),"",Sync!$Z1691)</f>
        <v/>
      </c>
      <c r="K1695">
        <f>IF($G1695="",0,IF(Sync!$AA1691="",0,Sync!$AA1691))</f>
        <v>0</v>
      </c>
      <c r="L1695">
        <f>IF($G1695="",0,IF(Sync!$AB1691="",0,Sync!$AB1691))</f>
        <v>0</v>
      </c>
      <c r="M1695" t="str">
        <f t="shared" si="161"/>
        <v/>
      </c>
      <c r="N1695">
        <f>IF($G1695="",0,IF($H1695="مرجوعی فروش",-1,1)*IF(Sync!$AC1691="",0,Sync!$AC1691))</f>
        <v>0</v>
      </c>
      <c r="O1695" t="str">
        <f>IF(OR($G1695="",Sync!$V1691=""),"",Sync!$V1691)</f>
        <v/>
      </c>
      <c r="P1695" t="str">
        <f>IF(OR($G1695="",Sync!$AD1691=""),"",Sync!$AD1691)</f>
        <v/>
      </c>
      <c r="Q1695" t="str">
        <f>IF($G1695="","",IF(Sync!$U1691="","0000",IF(AND(ISNUMBER(Sync!$U1691),Sync!$U1691&gt;=0,Sync!$U1691&lt;1),RIGHT("00"&amp;HOUR(Sync!$U1691),2)&amp;RIGHT("00"&amp;MINUTE(Sync!$U1691),2),IFERROR(RIGHT("00"&amp;VALUE(LEFT(Sync!$U1691,FIND(":",Sync!$U1691)-1)),2)&amp;RIGHT("00"&amp;VALUE(MID(Sync!$U1691,FIND(":",Sync!$U1691)+1,2)),2),"0000"))))</f>
        <v/>
      </c>
    </row>
    <row r="1696" spans="1:17" x14ac:dyDescent="0.2">
      <c r="A1696" t="str">
        <f>IF(Sync!$T1692="","",Sync!$T1692)</f>
        <v/>
      </c>
      <c r="B1696" t="str">
        <f t="shared" si="156"/>
        <v/>
      </c>
      <c r="C1696" t="str">
        <f t="shared" si="157"/>
        <v/>
      </c>
      <c r="D1696" t="str">
        <f t="shared" si="158"/>
        <v/>
      </c>
      <c r="E1696" t="str">
        <f t="shared" si="159"/>
        <v/>
      </c>
      <c r="F1696" t="str">
        <f t="shared" si="160"/>
        <v/>
      </c>
      <c r="G1696" t="str">
        <f>IF(OR($E1696="",$E1696="نامعتبر",Sync!$X1692=""),"",IF(AND(LEFT(UPPER(TRIM(Sync!$X1692)),2)="SL",IFERROR(VLOOKUP(Sync!$W1692,OpTbl,3,0),"")="فروش"),UPPER(TRIM(Sync!$X1692)),""))</f>
        <v/>
      </c>
      <c r="H1696" t="str">
        <f>IF($G1696="","",IF(Sync!$W1692="","",Sync!$W1692))</f>
        <v/>
      </c>
      <c r="I1696" t="str">
        <f>IF(OR($G1696="",Sync!$Y1692=""),"",Sync!$Y1692)</f>
        <v/>
      </c>
      <c r="J1696" t="str">
        <f>IF(OR($G1696="",Sync!$Z1692=""),"",Sync!$Z1692)</f>
        <v/>
      </c>
      <c r="K1696">
        <f>IF($G1696="",0,IF(Sync!$AA1692="",0,Sync!$AA1692))</f>
        <v>0</v>
      </c>
      <c r="L1696">
        <f>IF($G1696="",0,IF(Sync!$AB1692="",0,Sync!$AB1692))</f>
        <v>0</v>
      </c>
      <c r="M1696" t="str">
        <f t="shared" si="161"/>
        <v/>
      </c>
      <c r="N1696">
        <f>IF($G1696="",0,IF($H1696="مرجوعی فروش",-1,1)*IF(Sync!$AC1692="",0,Sync!$AC1692))</f>
        <v>0</v>
      </c>
      <c r="O1696" t="str">
        <f>IF(OR($G1696="",Sync!$V1692=""),"",Sync!$V1692)</f>
        <v/>
      </c>
      <c r="P1696" t="str">
        <f>IF(OR($G1696="",Sync!$AD1692=""),"",Sync!$AD1692)</f>
        <v/>
      </c>
      <c r="Q1696" t="str">
        <f>IF($G1696="","",IF(Sync!$U1692="","0000",IF(AND(ISNUMBER(Sync!$U1692),Sync!$U1692&gt;=0,Sync!$U1692&lt;1),RIGHT("00"&amp;HOUR(Sync!$U1692),2)&amp;RIGHT("00"&amp;MINUTE(Sync!$U1692),2),IFERROR(RIGHT("00"&amp;VALUE(LEFT(Sync!$U1692,FIND(":",Sync!$U1692)-1)),2)&amp;RIGHT("00"&amp;VALUE(MID(Sync!$U1692,FIND(":",Sync!$U1692)+1,2)),2),"0000"))))</f>
        <v/>
      </c>
    </row>
    <row r="1697" spans="1:17" x14ac:dyDescent="0.2">
      <c r="A1697" t="str">
        <f>IF(Sync!$T1693="","",Sync!$T1693)</f>
        <v/>
      </c>
      <c r="B1697" t="str">
        <f t="shared" si="156"/>
        <v/>
      </c>
      <c r="C1697" t="str">
        <f t="shared" si="157"/>
        <v/>
      </c>
      <c r="D1697" t="str">
        <f t="shared" si="158"/>
        <v/>
      </c>
      <c r="E1697" t="str">
        <f t="shared" si="159"/>
        <v/>
      </c>
      <c r="F1697" t="str">
        <f t="shared" si="160"/>
        <v/>
      </c>
      <c r="G1697" t="str">
        <f>IF(OR($E1697="",$E1697="نامعتبر",Sync!$X1693=""),"",IF(AND(LEFT(UPPER(TRIM(Sync!$X1693)),2)="SL",IFERROR(VLOOKUP(Sync!$W1693,OpTbl,3,0),"")="فروش"),UPPER(TRIM(Sync!$X1693)),""))</f>
        <v/>
      </c>
      <c r="H1697" t="str">
        <f>IF($G1697="","",IF(Sync!$W1693="","",Sync!$W1693))</f>
        <v/>
      </c>
      <c r="I1697" t="str">
        <f>IF(OR($G1697="",Sync!$Y1693=""),"",Sync!$Y1693)</f>
        <v/>
      </c>
      <c r="J1697" t="str">
        <f>IF(OR($G1697="",Sync!$Z1693=""),"",Sync!$Z1693)</f>
        <v/>
      </c>
      <c r="K1697">
        <f>IF($G1697="",0,IF(Sync!$AA1693="",0,Sync!$AA1693))</f>
        <v>0</v>
      </c>
      <c r="L1697">
        <f>IF($G1697="",0,IF(Sync!$AB1693="",0,Sync!$AB1693))</f>
        <v>0</v>
      </c>
      <c r="M1697" t="str">
        <f t="shared" si="161"/>
        <v/>
      </c>
      <c r="N1697">
        <f>IF($G1697="",0,IF($H1697="مرجوعی فروش",-1,1)*IF(Sync!$AC1693="",0,Sync!$AC1693))</f>
        <v>0</v>
      </c>
      <c r="O1697" t="str">
        <f>IF(OR($G1697="",Sync!$V1693=""),"",Sync!$V1693)</f>
        <v/>
      </c>
      <c r="P1697" t="str">
        <f>IF(OR($G1697="",Sync!$AD1693=""),"",Sync!$AD1693)</f>
        <v/>
      </c>
      <c r="Q1697" t="str">
        <f>IF($G1697="","",IF(Sync!$U1693="","0000",IF(AND(ISNUMBER(Sync!$U1693),Sync!$U1693&gt;=0,Sync!$U1693&lt;1),RIGHT("00"&amp;HOUR(Sync!$U1693),2)&amp;RIGHT("00"&amp;MINUTE(Sync!$U1693),2),IFERROR(RIGHT("00"&amp;VALUE(LEFT(Sync!$U1693,FIND(":",Sync!$U1693)-1)),2)&amp;RIGHT("00"&amp;VALUE(MID(Sync!$U1693,FIND(":",Sync!$U1693)+1,2)),2),"0000"))))</f>
        <v/>
      </c>
    </row>
    <row r="1698" spans="1:17" x14ac:dyDescent="0.2">
      <c r="A1698" t="str">
        <f>IF(Sync!$T1694="","",Sync!$T1694)</f>
        <v/>
      </c>
      <c r="B1698" t="str">
        <f t="shared" si="156"/>
        <v/>
      </c>
      <c r="C1698" t="str">
        <f t="shared" si="157"/>
        <v/>
      </c>
      <c r="D1698" t="str">
        <f t="shared" si="158"/>
        <v/>
      </c>
      <c r="E1698" t="str">
        <f t="shared" si="159"/>
        <v/>
      </c>
      <c r="F1698" t="str">
        <f t="shared" si="160"/>
        <v/>
      </c>
      <c r="G1698" t="str">
        <f>IF(OR($E1698="",$E1698="نامعتبر",Sync!$X1694=""),"",IF(AND(LEFT(UPPER(TRIM(Sync!$X1694)),2)="SL",IFERROR(VLOOKUP(Sync!$W1694,OpTbl,3,0),"")="فروش"),UPPER(TRIM(Sync!$X1694)),""))</f>
        <v/>
      </c>
      <c r="H1698" t="str">
        <f>IF($G1698="","",IF(Sync!$W1694="","",Sync!$W1694))</f>
        <v/>
      </c>
      <c r="I1698" t="str">
        <f>IF(OR($G1698="",Sync!$Y1694=""),"",Sync!$Y1694)</f>
        <v/>
      </c>
      <c r="J1698" t="str">
        <f>IF(OR($G1698="",Sync!$Z1694=""),"",Sync!$Z1694)</f>
        <v/>
      </c>
      <c r="K1698">
        <f>IF($G1698="",0,IF(Sync!$AA1694="",0,Sync!$AA1694))</f>
        <v>0</v>
      </c>
      <c r="L1698">
        <f>IF($G1698="",0,IF(Sync!$AB1694="",0,Sync!$AB1694))</f>
        <v>0</v>
      </c>
      <c r="M1698" t="str">
        <f t="shared" si="161"/>
        <v/>
      </c>
      <c r="N1698">
        <f>IF($G1698="",0,IF($H1698="مرجوعی فروش",-1,1)*IF(Sync!$AC1694="",0,Sync!$AC1694))</f>
        <v>0</v>
      </c>
      <c r="O1698" t="str">
        <f>IF(OR($G1698="",Sync!$V1694=""),"",Sync!$V1694)</f>
        <v/>
      </c>
      <c r="P1698" t="str">
        <f>IF(OR($G1698="",Sync!$AD1694=""),"",Sync!$AD1694)</f>
        <v/>
      </c>
      <c r="Q1698" t="str">
        <f>IF($G1698="","",IF(Sync!$U1694="","0000",IF(AND(ISNUMBER(Sync!$U1694),Sync!$U1694&gt;=0,Sync!$U1694&lt;1),RIGHT("00"&amp;HOUR(Sync!$U1694),2)&amp;RIGHT("00"&amp;MINUTE(Sync!$U1694),2),IFERROR(RIGHT("00"&amp;VALUE(LEFT(Sync!$U1694,FIND(":",Sync!$U1694)-1)),2)&amp;RIGHT("00"&amp;VALUE(MID(Sync!$U1694,FIND(":",Sync!$U1694)+1,2)),2),"0000"))))</f>
        <v/>
      </c>
    </row>
    <row r="1699" spans="1:17" x14ac:dyDescent="0.2">
      <c r="A1699" t="str">
        <f>IF(Sync!$T1695="","",Sync!$T1695)</f>
        <v/>
      </c>
      <c r="B1699" t="str">
        <f t="shared" si="156"/>
        <v/>
      </c>
      <c r="C1699" t="str">
        <f t="shared" si="157"/>
        <v/>
      </c>
      <c r="D1699" t="str">
        <f t="shared" si="158"/>
        <v/>
      </c>
      <c r="E1699" t="str">
        <f t="shared" si="159"/>
        <v/>
      </c>
      <c r="F1699" t="str">
        <f t="shared" si="160"/>
        <v/>
      </c>
      <c r="G1699" t="str">
        <f>IF(OR($E1699="",$E1699="نامعتبر",Sync!$X1695=""),"",IF(AND(LEFT(UPPER(TRIM(Sync!$X1695)),2)="SL",IFERROR(VLOOKUP(Sync!$W1695,OpTbl,3,0),"")="فروش"),UPPER(TRIM(Sync!$X1695)),""))</f>
        <v/>
      </c>
      <c r="H1699" t="str">
        <f>IF($G1699="","",IF(Sync!$W1695="","",Sync!$W1695))</f>
        <v/>
      </c>
      <c r="I1699" t="str">
        <f>IF(OR($G1699="",Sync!$Y1695=""),"",Sync!$Y1695)</f>
        <v/>
      </c>
      <c r="J1699" t="str">
        <f>IF(OR($G1699="",Sync!$Z1695=""),"",Sync!$Z1695)</f>
        <v/>
      </c>
      <c r="K1699">
        <f>IF($G1699="",0,IF(Sync!$AA1695="",0,Sync!$AA1695))</f>
        <v>0</v>
      </c>
      <c r="L1699">
        <f>IF($G1699="",0,IF(Sync!$AB1695="",0,Sync!$AB1695))</f>
        <v>0</v>
      </c>
      <c r="M1699" t="str">
        <f t="shared" si="161"/>
        <v/>
      </c>
      <c r="N1699">
        <f>IF($G1699="",0,IF($H1699="مرجوعی فروش",-1,1)*IF(Sync!$AC1695="",0,Sync!$AC1695))</f>
        <v>0</v>
      </c>
      <c r="O1699" t="str">
        <f>IF(OR($G1699="",Sync!$V1695=""),"",Sync!$V1695)</f>
        <v/>
      </c>
      <c r="P1699" t="str">
        <f>IF(OR($G1699="",Sync!$AD1695=""),"",Sync!$AD1695)</f>
        <v/>
      </c>
      <c r="Q1699" t="str">
        <f>IF($G1699="","",IF(Sync!$U1695="","0000",IF(AND(ISNUMBER(Sync!$U1695),Sync!$U1695&gt;=0,Sync!$U1695&lt;1),RIGHT("00"&amp;HOUR(Sync!$U1695),2)&amp;RIGHT("00"&amp;MINUTE(Sync!$U1695),2),IFERROR(RIGHT("00"&amp;VALUE(LEFT(Sync!$U1695,FIND(":",Sync!$U1695)-1)),2)&amp;RIGHT("00"&amp;VALUE(MID(Sync!$U1695,FIND(":",Sync!$U1695)+1,2)),2),"0000"))))</f>
        <v/>
      </c>
    </row>
    <row r="1700" spans="1:17" x14ac:dyDescent="0.2">
      <c r="A1700" t="str">
        <f>IF(Sync!$T1696="","",Sync!$T1696)</f>
        <v/>
      </c>
      <c r="B1700" t="str">
        <f t="shared" si="156"/>
        <v/>
      </c>
      <c r="C1700" t="str">
        <f t="shared" si="157"/>
        <v/>
      </c>
      <c r="D1700" t="str">
        <f t="shared" si="158"/>
        <v/>
      </c>
      <c r="E1700" t="str">
        <f t="shared" si="159"/>
        <v/>
      </c>
      <c r="F1700" t="str">
        <f t="shared" si="160"/>
        <v/>
      </c>
      <c r="G1700" t="str">
        <f>IF(OR($E1700="",$E1700="نامعتبر",Sync!$X1696=""),"",IF(AND(LEFT(UPPER(TRIM(Sync!$X1696)),2)="SL",IFERROR(VLOOKUP(Sync!$W1696,OpTbl,3,0),"")="فروش"),UPPER(TRIM(Sync!$X1696)),""))</f>
        <v/>
      </c>
      <c r="H1700" t="str">
        <f>IF($G1700="","",IF(Sync!$W1696="","",Sync!$W1696))</f>
        <v/>
      </c>
      <c r="I1700" t="str">
        <f>IF(OR($G1700="",Sync!$Y1696=""),"",Sync!$Y1696)</f>
        <v/>
      </c>
      <c r="J1700" t="str">
        <f>IF(OR($G1700="",Sync!$Z1696=""),"",Sync!$Z1696)</f>
        <v/>
      </c>
      <c r="K1700">
        <f>IF($G1700="",0,IF(Sync!$AA1696="",0,Sync!$AA1696))</f>
        <v>0</v>
      </c>
      <c r="L1700">
        <f>IF($G1700="",0,IF(Sync!$AB1696="",0,Sync!$AB1696))</f>
        <v>0</v>
      </c>
      <c r="M1700" t="str">
        <f t="shared" si="161"/>
        <v/>
      </c>
      <c r="N1700">
        <f>IF($G1700="",0,IF($H1700="مرجوعی فروش",-1,1)*IF(Sync!$AC1696="",0,Sync!$AC1696))</f>
        <v>0</v>
      </c>
      <c r="O1700" t="str">
        <f>IF(OR($G1700="",Sync!$V1696=""),"",Sync!$V1696)</f>
        <v/>
      </c>
      <c r="P1700" t="str">
        <f>IF(OR($G1700="",Sync!$AD1696=""),"",Sync!$AD1696)</f>
        <v/>
      </c>
      <c r="Q1700" t="str">
        <f>IF($G1700="","",IF(Sync!$U1696="","0000",IF(AND(ISNUMBER(Sync!$U1696),Sync!$U1696&gt;=0,Sync!$U1696&lt;1),RIGHT("00"&amp;HOUR(Sync!$U1696),2)&amp;RIGHT("00"&amp;MINUTE(Sync!$U1696),2),IFERROR(RIGHT("00"&amp;VALUE(LEFT(Sync!$U1696,FIND(":",Sync!$U1696)-1)),2)&amp;RIGHT("00"&amp;VALUE(MID(Sync!$U1696,FIND(":",Sync!$U1696)+1,2)),2),"0000"))))</f>
        <v/>
      </c>
    </row>
    <row r="1701" spans="1:17" x14ac:dyDescent="0.2">
      <c r="A1701" t="str">
        <f>IF(Sync!$T1697="","",Sync!$T1697)</f>
        <v/>
      </c>
      <c r="B1701" t="str">
        <f t="shared" si="156"/>
        <v/>
      </c>
      <c r="C1701" t="str">
        <f t="shared" si="157"/>
        <v/>
      </c>
      <c r="D1701" t="str">
        <f t="shared" si="158"/>
        <v/>
      </c>
      <c r="E1701" t="str">
        <f t="shared" si="159"/>
        <v/>
      </c>
      <c r="F1701" t="str">
        <f t="shared" si="160"/>
        <v/>
      </c>
      <c r="G1701" t="str">
        <f>IF(OR($E1701="",$E1701="نامعتبر",Sync!$X1697=""),"",IF(AND(LEFT(UPPER(TRIM(Sync!$X1697)),2)="SL",IFERROR(VLOOKUP(Sync!$W1697,OpTbl,3,0),"")="فروش"),UPPER(TRIM(Sync!$X1697)),""))</f>
        <v/>
      </c>
      <c r="H1701" t="str">
        <f>IF($G1701="","",IF(Sync!$W1697="","",Sync!$W1697))</f>
        <v/>
      </c>
      <c r="I1701" t="str">
        <f>IF(OR($G1701="",Sync!$Y1697=""),"",Sync!$Y1697)</f>
        <v/>
      </c>
      <c r="J1701" t="str">
        <f>IF(OR($G1701="",Sync!$Z1697=""),"",Sync!$Z1697)</f>
        <v/>
      </c>
      <c r="K1701">
        <f>IF($G1701="",0,IF(Sync!$AA1697="",0,Sync!$AA1697))</f>
        <v>0</v>
      </c>
      <c r="L1701">
        <f>IF($G1701="",0,IF(Sync!$AB1697="",0,Sync!$AB1697))</f>
        <v>0</v>
      </c>
      <c r="M1701" t="str">
        <f t="shared" si="161"/>
        <v/>
      </c>
      <c r="N1701">
        <f>IF($G1701="",0,IF($H1701="مرجوعی فروش",-1,1)*IF(Sync!$AC1697="",0,Sync!$AC1697))</f>
        <v>0</v>
      </c>
      <c r="O1701" t="str">
        <f>IF(OR($G1701="",Sync!$V1697=""),"",Sync!$V1697)</f>
        <v/>
      </c>
      <c r="P1701" t="str">
        <f>IF(OR($G1701="",Sync!$AD1697=""),"",Sync!$AD1697)</f>
        <v/>
      </c>
      <c r="Q1701" t="str">
        <f>IF($G1701="","",IF(Sync!$U1697="","0000",IF(AND(ISNUMBER(Sync!$U1697),Sync!$U1697&gt;=0,Sync!$U1697&lt;1),RIGHT("00"&amp;HOUR(Sync!$U1697),2)&amp;RIGHT("00"&amp;MINUTE(Sync!$U1697),2),IFERROR(RIGHT("00"&amp;VALUE(LEFT(Sync!$U1697,FIND(":",Sync!$U1697)-1)),2)&amp;RIGHT("00"&amp;VALUE(MID(Sync!$U1697,FIND(":",Sync!$U1697)+1,2)),2),"0000"))))</f>
        <v/>
      </c>
    </row>
    <row r="1702" spans="1:17" x14ac:dyDescent="0.2">
      <c r="A1702" t="str">
        <f>IF(Sync!$T1698="","",Sync!$T1698)</f>
        <v/>
      </c>
      <c r="B1702" t="str">
        <f t="shared" si="156"/>
        <v/>
      </c>
      <c r="C1702" t="str">
        <f t="shared" si="157"/>
        <v/>
      </c>
      <c r="D1702" t="str">
        <f t="shared" si="158"/>
        <v/>
      </c>
      <c r="E1702" t="str">
        <f t="shared" si="159"/>
        <v/>
      </c>
      <c r="F1702" t="str">
        <f t="shared" si="160"/>
        <v/>
      </c>
      <c r="G1702" t="str">
        <f>IF(OR($E1702="",$E1702="نامعتبر",Sync!$X1698=""),"",IF(AND(LEFT(UPPER(TRIM(Sync!$X1698)),2)="SL",IFERROR(VLOOKUP(Sync!$W1698,OpTbl,3,0),"")="فروش"),UPPER(TRIM(Sync!$X1698)),""))</f>
        <v/>
      </c>
      <c r="H1702" t="str">
        <f>IF($G1702="","",IF(Sync!$W1698="","",Sync!$W1698))</f>
        <v/>
      </c>
      <c r="I1702" t="str">
        <f>IF(OR($G1702="",Sync!$Y1698=""),"",Sync!$Y1698)</f>
        <v/>
      </c>
      <c r="J1702" t="str">
        <f>IF(OR($G1702="",Sync!$Z1698=""),"",Sync!$Z1698)</f>
        <v/>
      </c>
      <c r="K1702">
        <f>IF($G1702="",0,IF(Sync!$AA1698="",0,Sync!$AA1698))</f>
        <v>0</v>
      </c>
      <c r="L1702">
        <f>IF($G1702="",0,IF(Sync!$AB1698="",0,Sync!$AB1698))</f>
        <v>0</v>
      </c>
      <c r="M1702" t="str">
        <f t="shared" si="161"/>
        <v/>
      </c>
      <c r="N1702">
        <f>IF($G1702="",0,IF($H1702="مرجوعی فروش",-1,1)*IF(Sync!$AC1698="",0,Sync!$AC1698))</f>
        <v>0</v>
      </c>
      <c r="O1702" t="str">
        <f>IF(OR($G1702="",Sync!$V1698=""),"",Sync!$V1698)</f>
        <v/>
      </c>
      <c r="P1702" t="str">
        <f>IF(OR($G1702="",Sync!$AD1698=""),"",Sync!$AD1698)</f>
        <v/>
      </c>
      <c r="Q1702" t="str">
        <f>IF($G1702="","",IF(Sync!$U1698="","0000",IF(AND(ISNUMBER(Sync!$U1698),Sync!$U1698&gt;=0,Sync!$U1698&lt;1),RIGHT("00"&amp;HOUR(Sync!$U1698),2)&amp;RIGHT("00"&amp;MINUTE(Sync!$U1698),2),IFERROR(RIGHT("00"&amp;VALUE(LEFT(Sync!$U1698,FIND(":",Sync!$U1698)-1)),2)&amp;RIGHT("00"&amp;VALUE(MID(Sync!$U1698,FIND(":",Sync!$U1698)+1,2)),2),"0000"))))</f>
        <v/>
      </c>
    </row>
    <row r="1703" spans="1:17" x14ac:dyDescent="0.2">
      <c r="A1703" t="str">
        <f>IF(Sync!$T1699="","",Sync!$T1699)</f>
        <v/>
      </c>
      <c r="B1703" t="str">
        <f t="shared" si="156"/>
        <v/>
      </c>
      <c r="C1703" t="str">
        <f t="shared" si="157"/>
        <v/>
      </c>
      <c r="D1703" t="str">
        <f t="shared" si="158"/>
        <v/>
      </c>
      <c r="E1703" t="str">
        <f t="shared" si="159"/>
        <v/>
      </c>
      <c r="F1703" t="str">
        <f t="shared" si="160"/>
        <v/>
      </c>
      <c r="G1703" t="str">
        <f>IF(OR($E1703="",$E1703="نامعتبر",Sync!$X1699=""),"",IF(AND(LEFT(UPPER(TRIM(Sync!$X1699)),2)="SL",IFERROR(VLOOKUP(Sync!$W1699,OpTbl,3,0),"")="فروش"),UPPER(TRIM(Sync!$X1699)),""))</f>
        <v/>
      </c>
      <c r="H1703" t="str">
        <f>IF($G1703="","",IF(Sync!$W1699="","",Sync!$W1699))</f>
        <v/>
      </c>
      <c r="I1703" t="str">
        <f>IF(OR($G1703="",Sync!$Y1699=""),"",Sync!$Y1699)</f>
        <v/>
      </c>
      <c r="J1703" t="str">
        <f>IF(OR($G1703="",Sync!$Z1699=""),"",Sync!$Z1699)</f>
        <v/>
      </c>
      <c r="K1703">
        <f>IF($G1703="",0,IF(Sync!$AA1699="",0,Sync!$AA1699))</f>
        <v>0</v>
      </c>
      <c r="L1703">
        <f>IF($G1703="",0,IF(Sync!$AB1699="",0,Sync!$AB1699))</f>
        <v>0</v>
      </c>
      <c r="M1703" t="str">
        <f t="shared" si="161"/>
        <v/>
      </c>
      <c r="N1703">
        <f>IF($G1703="",0,IF($H1703="مرجوعی فروش",-1,1)*IF(Sync!$AC1699="",0,Sync!$AC1699))</f>
        <v>0</v>
      </c>
      <c r="O1703" t="str">
        <f>IF(OR($G1703="",Sync!$V1699=""),"",Sync!$V1699)</f>
        <v/>
      </c>
      <c r="P1703" t="str">
        <f>IF(OR($G1703="",Sync!$AD1699=""),"",Sync!$AD1699)</f>
        <v/>
      </c>
      <c r="Q1703" t="str">
        <f>IF($G1703="","",IF(Sync!$U1699="","0000",IF(AND(ISNUMBER(Sync!$U1699),Sync!$U1699&gt;=0,Sync!$U1699&lt;1),RIGHT("00"&amp;HOUR(Sync!$U1699),2)&amp;RIGHT("00"&amp;MINUTE(Sync!$U1699),2),IFERROR(RIGHT("00"&amp;VALUE(LEFT(Sync!$U1699,FIND(":",Sync!$U1699)-1)),2)&amp;RIGHT("00"&amp;VALUE(MID(Sync!$U1699,FIND(":",Sync!$U1699)+1,2)),2),"0000"))))</f>
        <v/>
      </c>
    </row>
    <row r="1704" spans="1:17" x14ac:dyDescent="0.2">
      <c r="A1704" t="str">
        <f>IF(Sync!$T1700="","",Sync!$T1700)</f>
        <v/>
      </c>
      <c r="B1704" t="str">
        <f t="shared" si="156"/>
        <v/>
      </c>
      <c r="C1704" t="str">
        <f t="shared" si="157"/>
        <v/>
      </c>
      <c r="D1704" t="str">
        <f t="shared" si="158"/>
        <v/>
      </c>
      <c r="E1704" t="str">
        <f t="shared" si="159"/>
        <v/>
      </c>
      <c r="F1704" t="str">
        <f t="shared" si="160"/>
        <v/>
      </c>
      <c r="G1704" t="str">
        <f>IF(OR($E1704="",$E1704="نامعتبر",Sync!$X1700=""),"",IF(AND(LEFT(UPPER(TRIM(Sync!$X1700)),2)="SL",IFERROR(VLOOKUP(Sync!$W1700,OpTbl,3,0),"")="فروش"),UPPER(TRIM(Sync!$X1700)),""))</f>
        <v/>
      </c>
      <c r="H1704" t="str">
        <f>IF($G1704="","",IF(Sync!$W1700="","",Sync!$W1700))</f>
        <v/>
      </c>
      <c r="I1704" t="str">
        <f>IF(OR($G1704="",Sync!$Y1700=""),"",Sync!$Y1700)</f>
        <v/>
      </c>
      <c r="J1704" t="str">
        <f>IF(OR($G1704="",Sync!$Z1700=""),"",Sync!$Z1700)</f>
        <v/>
      </c>
      <c r="K1704">
        <f>IF($G1704="",0,IF(Sync!$AA1700="",0,Sync!$AA1700))</f>
        <v>0</v>
      </c>
      <c r="L1704">
        <f>IF($G1704="",0,IF(Sync!$AB1700="",0,Sync!$AB1700))</f>
        <v>0</v>
      </c>
      <c r="M1704" t="str">
        <f t="shared" si="161"/>
        <v/>
      </c>
      <c r="N1704">
        <f>IF($G1704="",0,IF($H1704="مرجوعی فروش",-1,1)*IF(Sync!$AC1700="",0,Sync!$AC1700))</f>
        <v>0</v>
      </c>
      <c r="O1704" t="str">
        <f>IF(OR($G1704="",Sync!$V1700=""),"",Sync!$V1700)</f>
        <v/>
      </c>
      <c r="P1704" t="str">
        <f>IF(OR($G1704="",Sync!$AD1700=""),"",Sync!$AD1700)</f>
        <v/>
      </c>
      <c r="Q1704" t="str">
        <f>IF($G1704="","",IF(Sync!$U1700="","0000",IF(AND(ISNUMBER(Sync!$U1700),Sync!$U1700&gt;=0,Sync!$U1700&lt;1),RIGHT("00"&amp;HOUR(Sync!$U1700),2)&amp;RIGHT("00"&amp;MINUTE(Sync!$U1700),2),IFERROR(RIGHT("00"&amp;VALUE(LEFT(Sync!$U1700,FIND(":",Sync!$U1700)-1)),2)&amp;RIGHT("00"&amp;VALUE(MID(Sync!$U1700,FIND(":",Sync!$U1700)+1,2)),2),"0000"))))</f>
        <v/>
      </c>
    </row>
    <row r="1705" spans="1:17" x14ac:dyDescent="0.2">
      <c r="A1705" t="str">
        <f>IF(Sync!$T1701="","",Sync!$T1701)</f>
        <v/>
      </c>
      <c r="B1705" t="str">
        <f t="shared" si="156"/>
        <v/>
      </c>
      <c r="C1705" t="str">
        <f t="shared" si="157"/>
        <v/>
      </c>
      <c r="D1705" t="str">
        <f t="shared" si="158"/>
        <v/>
      </c>
      <c r="E1705" t="str">
        <f t="shared" si="159"/>
        <v/>
      </c>
      <c r="F1705" t="str">
        <f t="shared" si="160"/>
        <v/>
      </c>
      <c r="G1705" t="str">
        <f>IF(OR($E1705="",$E1705="نامعتبر",Sync!$X1701=""),"",IF(AND(LEFT(UPPER(TRIM(Sync!$X1701)),2)="SL",IFERROR(VLOOKUP(Sync!$W1701,OpTbl,3,0),"")="فروش"),UPPER(TRIM(Sync!$X1701)),""))</f>
        <v/>
      </c>
      <c r="H1705" t="str">
        <f>IF($G1705="","",IF(Sync!$W1701="","",Sync!$W1701))</f>
        <v/>
      </c>
      <c r="I1705" t="str">
        <f>IF(OR($G1705="",Sync!$Y1701=""),"",Sync!$Y1701)</f>
        <v/>
      </c>
      <c r="J1705" t="str">
        <f>IF(OR($G1705="",Sync!$Z1701=""),"",Sync!$Z1701)</f>
        <v/>
      </c>
      <c r="K1705">
        <f>IF($G1705="",0,IF(Sync!$AA1701="",0,Sync!$AA1701))</f>
        <v>0</v>
      </c>
      <c r="L1705">
        <f>IF($G1705="",0,IF(Sync!$AB1701="",0,Sync!$AB1701))</f>
        <v>0</v>
      </c>
      <c r="M1705" t="str">
        <f t="shared" si="161"/>
        <v/>
      </c>
      <c r="N1705">
        <f>IF($G1705="",0,IF($H1705="مرجوعی فروش",-1,1)*IF(Sync!$AC1701="",0,Sync!$AC1701))</f>
        <v>0</v>
      </c>
      <c r="O1705" t="str">
        <f>IF(OR($G1705="",Sync!$V1701=""),"",Sync!$V1701)</f>
        <v/>
      </c>
      <c r="P1705" t="str">
        <f>IF(OR($G1705="",Sync!$AD1701=""),"",Sync!$AD1701)</f>
        <v/>
      </c>
      <c r="Q1705" t="str">
        <f>IF($G1705="","",IF(Sync!$U1701="","0000",IF(AND(ISNUMBER(Sync!$U1701),Sync!$U1701&gt;=0,Sync!$U1701&lt;1),RIGHT("00"&amp;HOUR(Sync!$U1701),2)&amp;RIGHT("00"&amp;MINUTE(Sync!$U1701),2),IFERROR(RIGHT("00"&amp;VALUE(LEFT(Sync!$U1701,FIND(":",Sync!$U1701)-1)),2)&amp;RIGHT("00"&amp;VALUE(MID(Sync!$U1701,FIND(":",Sync!$U1701)+1,2)),2),"0000"))))</f>
        <v/>
      </c>
    </row>
    <row r="1706" spans="1:17" x14ac:dyDescent="0.2">
      <c r="A1706" t="str">
        <f>IF(Sync!$T1702="","",Sync!$T1702)</f>
        <v/>
      </c>
      <c r="B1706" t="str">
        <f t="shared" si="156"/>
        <v/>
      </c>
      <c r="C1706" t="str">
        <f t="shared" si="157"/>
        <v/>
      </c>
      <c r="D1706" t="str">
        <f t="shared" si="158"/>
        <v/>
      </c>
      <c r="E1706" t="str">
        <f t="shared" si="159"/>
        <v/>
      </c>
      <c r="F1706" t="str">
        <f t="shared" si="160"/>
        <v/>
      </c>
      <c r="G1706" t="str">
        <f>IF(OR($E1706="",$E1706="نامعتبر",Sync!$X1702=""),"",IF(AND(LEFT(UPPER(TRIM(Sync!$X1702)),2)="SL",IFERROR(VLOOKUP(Sync!$W1702,OpTbl,3,0),"")="فروش"),UPPER(TRIM(Sync!$X1702)),""))</f>
        <v/>
      </c>
      <c r="H1706" t="str">
        <f>IF($G1706="","",IF(Sync!$W1702="","",Sync!$W1702))</f>
        <v/>
      </c>
      <c r="I1706" t="str">
        <f>IF(OR($G1706="",Sync!$Y1702=""),"",Sync!$Y1702)</f>
        <v/>
      </c>
      <c r="J1706" t="str">
        <f>IF(OR($G1706="",Sync!$Z1702=""),"",Sync!$Z1702)</f>
        <v/>
      </c>
      <c r="K1706">
        <f>IF($G1706="",0,IF(Sync!$AA1702="",0,Sync!$AA1702))</f>
        <v>0</v>
      </c>
      <c r="L1706">
        <f>IF($G1706="",0,IF(Sync!$AB1702="",0,Sync!$AB1702))</f>
        <v>0</v>
      </c>
      <c r="M1706" t="str">
        <f t="shared" si="161"/>
        <v/>
      </c>
      <c r="N1706">
        <f>IF($G1706="",0,IF($H1706="مرجوعی فروش",-1,1)*IF(Sync!$AC1702="",0,Sync!$AC1702))</f>
        <v>0</v>
      </c>
      <c r="O1706" t="str">
        <f>IF(OR($G1706="",Sync!$V1702=""),"",Sync!$V1702)</f>
        <v/>
      </c>
      <c r="P1706" t="str">
        <f>IF(OR($G1706="",Sync!$AD1702=""),"",Sync!$AD1702)</f>
        <v/>
      </c>
      <c r="Q1706" t="str">
        <f>IF($G1706="","",IF(Sync!$U1702="","0000",IF(AND(ISNUMBER(Sync!$U1702),Sync!$U1702&gt;=0,Sync!$U1702&lt;1),RIGHT("00"&amp;HOUR(Sync!$U1702),2)&amp;RIGHT("00"&amp;MINUTE(Sync!$U1702),2),IFERROR(RIGHT("00"&amp;VALUE(LEFT(Sync!$U1702,FIND(":",Sync!$U1702)-1)),2)&amp;RIGHT("00"&amp;VALUE(MID(Sync!$U1702,FIND(":",Sync!$U1702)+1,2)),2),"0000"))))</f>
        <v/>
      </c>
    </row>
    <row r="1707" spans="1:17" x14ac:dyDescent="0.2">
      <c r="A1707" t="str">
        <f>IF(Sync!$T1703="","",Sync!$T1703)</f>
        <v/>
      </c>
      <c r="B1707" t="str">
        <f t="shared" si="156"/>
        <v/>
      </c>
      <c r="C1707" t="str">
        <f t="shared" si="157"/>
        <v/>
      </c>
      <c r="D1707" t="str">
        <f t="shared" si="158"/>
        <v/>
      </c>
      <c r="E1707" t="str">
        <f t="shared" si="159"/>
        <v/>
      </c>
      <c r="F1707" t="str">
        <f t="shared" si="160"/>
        <v/>
      </c>
      <c r="G1707" t="str">
        <f>IF(OR($E1707="",$E1707="نامعتبر",Sync!$X1703=""),"",IF(AND(LEFT(UPPER(TRIM(Sync!$X1703)),2)="SL",IFERROR(VLOOKUP(Sync!$W1703,OpTbl,3,0),"")="فروش"),UPPER(TRIM(Sync!$X1703)),""))</f>
        <v/>
      </c>
      <c r="H1707" t="str">
        <f>IF($G1707="","",IF(Sync!$W1703="","",Sync!$W1703))</f>
        <v/>
      </c>
      <c r="I1707" t="str">
        <f>IF(OR($G1707="",Sync!$Y1703=""),"",Sync!$Y1703)</f>
        <v/>
      </c>
      <c r="J1707" t="str">
        <f>IF(OR($G1707="",Sync!$Z1703=""),"",Sync!$Z1703)</f>
        <v/>
      </c>
      <c r="K1707">
        <f>IF($G1707="",0,IF(Sync!$AA1703="",0,Sync!$AA1703))</f>
        <v>0</v>
      </c>
      <c r="L1707">
        <f>IF($G1707="",0,IF(Sync!$AB1703="",0,Sync!$AB1703))</f>
        <v>0</v>
      </c>
      <c r="M1707" t="str">
        <f t="shared" si="161"/>
        <v/>
      </c>
      <c r="N1707">
        <f>IF($G1707="",0,IF($H1707="مرجوعی فروش",-1,1)*IF(Sync!$AC1703="",0,Sync!$AC1703))</f>
        <v>0</v>
      </c>
      <c r="O1707" t="str">
        <f>IF(OR($G1707="",Sync!$V1703=""),"",Sync!$V1703)</f>
        <v/>
      </c>
      <c r="P1707" t="str">
        <f>IF(OR($G1707="",Sync!$AD1703=""),"",Sync!$AD1703)</f>
        <v/>
      </c>
      <c r="Q1707" t="str">
        <f>IF($G1707="","",IF(Sync!$U1703="","0000",IF(AND(ISNUMBER(Sync!$U1703),Sync!$U1703&gt;=0,Sync!$U1703&lt;1),RIGHT("00"&amp;HOUR(Sync!$U1703),2)&amp;RIGHT("00"&amp;MINUTE(Sync!$U1703),2),IFERROR(RIGHT("00"&amp;VALUE(LEFT(Sync!$U1703,FIND(":",Sync!$U1703)-1)),2)&amp;RIGHT("00"&amp;VALUE(MID(Sync!$U1703,FIND(":",Sync!$U1703)+1,2)),2),"0000"))))</f>
        <v/>
      </c>
    </row>
    <row r="1708" spans="1:17" x14ac:dyDescent="0.2">
      <c r="A1708" t="str">
        <f>IF(Sync!$T1704="","",Sync!$T1704)</f>
        <v/>
      </c>
      <c r="B1708" t="str">
        <f t="shared" si="156"/>
        <v/>
      </c>
      <c r="C1708" t="str">
        <f t="shared" si="157"/>
        <v/>
      </c>
      <c r="D1708" t="str">
        <f t="shared" si="158"/>
        <v/>
      </c>
      <c r="E1708" t="str">
        <f t="shared" si="159"/>
        <v/>
      </c>
      <c r="F1708" t="str">
        <f t="shared" si="160"/>
        <v/>
      </c>
      <c r="G1708" t="str">
        <f>IF(OR($E1708="",$E1708="نامعتبر",Sync!$X1704=""),"",IF(AND(LEFT(UPPER(TRIM(Sync!$X1704)),2)="SL",IFERROR(VLOOKUP(Sync!$W1704,OpTbl,3,0),"")="فروش"),UPPER(TRIM(Sync!$X1704)),""))</f>
        <v/>
      </c>
      <c r="H1708" t="str">
        <f>IF($G1708="","",IF(Sync!$W1704="","",Sync!$W1704))</f>
        <v/>
      </c>
      <c r="I1708" t="str">
        <f>IF(OR($G1708="",Sync!$Y1704=""),"",Sync!$Y1704)</f>
        <v/>
      </c>
      <c r="J1708" t="str">
        <f>IF(OR($G1708="",Sync!$Z1704=""),"",Sync!$Z1704)</f>
        <v/>
      </c>
      <c r="K1708">
        <f>IF($G1708="",0,IF(Sync!$AA1704="",0,Sync!$AA1704))</f>
        <v>0</v>
      </c>
      <c r="L1708">
        <f>IF($G1708="",0,IF(Sync!$AB1704="",0,Sync!$AB1704))</f>
        <v>0</v>
      </c>
      <c r="M1708" t="str">
        <f t="shared" si="161"/>
        <v/>
      </c>
      <c r="N1708">
        <f>IF($G1708="",0,IF($H1708="مرجوعی فروش",-1,1)*IF(Sync!$AC1704="",0,Sync!$AC1704))</f>
        <v>0</v>
      </c>
      <c r="O1708" t="str">
        <f>IF(OR($G1708="",Sync!$V1704=""),"",Sync!$V1704)</f>
        <v/>
      </c>
      <c r="P1708" t="str">
        <f>IF(OR($G1708="",Sync!$AD1704=""),"",Sync!$AD1704)</f>
        <v/>
      </c>
      <c r="Q1708" t="str">
        <f>IF($G1708="","",IF(Sync!$U1704="","0000",IF(AND(ISNUMBER(Sync!$U1704),Sync!$U1704&gt;=0,Sync!$U1704&lt;1),RIGHT("00"&amp;HOUR(Sync!$U1704),2)&amp;RIGHT("00"&amp;MINUTE(Sync!$U1704),2),IFERROR(RIGHT("00"&amp;VALUE(LEFT(Sync!$U1704,FIND(":",Sync!$U1704)-1)),2)&amp;RIGHT("00"&amp;VALUE(MID(Sync!$U1704,FIND(":",Sync!$U1704)+1,2)),2),"0000"))))</f>
        <v/>
      </c>
    </row>
    <row r="1709" spans="1:17" x14ac:dyDescent="0.2">
      <c r="A1709" t="str">
        <f>IF(Sync!$T1705="","",Sync!$T1705)</f>
        <v/>
      </c>
      <c r="B1709" t="str">
        <f t="shared" si="156"/>
        <v/>
      </c>
      <c r="C1709" t="str">
        <f t="shared" si="157"/>
        <v/>
      </c>
      <c r="D1709" t="str">
        <f t="shared" si="158"/>
        <v/>
      </c>
      <c r="E1709" t="str">
        <f t="shared" si="159"/>
        <v/>
      </c>
      <c r="F1709" t="str">
        <f t="shared" si="160"/>
        <v/>
      </c>
      <c r="G1709" t="str">
        <f>IF(OR($E1709="",$E1709="نامعتبر",Sync!$X1705=""),"",IF(AND(LEFT(UPPER(TRIM(Sync!$X1705)),2)="SL",IFERROR(VLOOKUP(Sync!$W1705,OpTbl,3,0),"")="فروش"),UPPER(TRIM(Sync!$X1705)),""))</f>
        <v/>
      </c>
      <c r="H1709" t="str">
        <f>IF($G1709="","",IF(Sync!$W1705="","",Sync!$W1705))</f>
        <v/>
      </c>
      <c r="I1709" t="str">
        <f>IF(OR($G1709="",Sync!$Y1705=""),"",Sync!$Y1705)</f>
        <v/>
      </c>
      <c r="J1709" t="str">
        <f>IF(OR($G1709="",Sync!$Z1705=""),"",Sync!$Z1705)</f>
        <v/>
      </c>
      <c r="K1709">
        <f>IF($G1709="",0,IF(Sync!$AA1705="",0,Sync!$AA1705))</f>
        <v>0</v>
      </c>
      <c r="L1709">
        <f>IF($G1709="",0,IF(Sync!$AB1705="",0,Sync!$AB1705))</f>
        <v>0</v>
      </c>
      <c r="M1709" t="str">
        <f t="shared" si="161"/>
        <v/>
      </c>
      <c r="N1709">
        <f>IF($G1709="",0,IF($H1709="مرجوعی فروش",-1,1)*IF(Sync!$AC1705="",0,Sync!$AC1705))</f>
        <v>0</v>
      </c>
      <c r="O1709" t="str">
        <f>IF(OR($G1709="",Sync!$V1705=""),"",Sync!$V1705)</f>
        <v/>
      </c>
      <c r="P1709" t="str">
        <f>IF(OR($G1709="",Sync!$AD1705=""),"",Sync!$AD1705)</f>
        <v/>
      </c>
      <c r="Q1709" t="str">
        <f>IF($G1709="","",IF(Sync!$U1705="","0000",IF(AND(ISNUMBER(Sync!$U1705),Sync!$U1705&gt;=0,Sync!$U1705&lt;1),RIGHT("00"&amp;HOUR(Sync!$U1705),2)&amp;RIGHT("00"&amp;MINUTE(Sync!$U1705),2),IFERROR(RIGHT("00"&amp;VALUE(LEFT(Sync!$U1705,FIND(":",Sync!$U1705)-1)),2)&amp;RIGHT("00"&amp;VALUE(MID(Sync!$U1705,FIND(":",Sync!$U1705)+1,2)),2),"0000"))))</f>
        <v/>
      </c>
    </row>
    <row r="1710" spans="1:17" x14ac:dyDescent="0.2">
      <c r="A1710" t="str">
        <f>IF(Sync!$T1706="","",Sync!$T1706)</f>
        <v/>
      </c>
      <c r="B1710" t="str">
        <f t="shared" si="156"/>
        <v/>
      </c>
      <c r="C1710" t="str">
        <f t="shared" si="157"/>
        <v/>
      </c>
      <c r="D1710" t="str">
        <f t="shared" si="158"/>
        <v/>
      </c>
      <c r="E1710" t="str">
        <f t="shared" si="159"/>
        <v/>
      </c>
      <c r="F1710" t="str">
        <f t="shared" si="160"/>
        <v/>
      </c>
      <c r="G1710" t="str">
        <f>IF(OR($E1710="",$E1710="نامعتبر",Sync!$X1706=""),"",IF(AND(LEFT(UPPER(TRIM(Sync!$X1706)),2)="SL",IFERROR(VLOOKUP(Sync!$W1706,OpTbl,3,0),"")="فروش"),UPPER(TRIM(Sync!$X1706)),""))</f>
        <v/>
      </c>
      <c r="H1710" t="str">
        <f>IF($G1710="","",IF(Sync!$W1706="","",Sync!$W1706))</f>
        <v/>
      </c>
      <c r="I1710" t="str">
        <f>IF(OR($G1710="",Sync!$Y1706=""),"",Sync!$Y1706)</f>
        <v/>
      </c>
      <c r="J1710" t="str">
        <f>IF(OR($G1710="",Sync!$Z1706=""),"",Sync!$Z1706)</f>
        <v/>
      </c>
      <c r="K1710">
        <f>IF($G1710="",0,IF(Sync!$AA1706="",0,Sync!$AA1706))</f>
        <v>0</v>
      </c>
      <c r="L1710">
        <f>IF($G1710="",0,IF(Sync!$AB1706="",0,Sync!$AB1706))</f>
        <v>0</v>
      </c>
      <c r="M1710" t="str">
        <f t="shared" si="161"/>
        <v/>
      </c>
      <c r="N1710">
        <f>IF($G1710="",0,IF($H1710="مرجوعی فروش",-1,1)*IF(Sync!$AC1706="",0,Sync!$AC1706))</f>
        <v>0</v>
      </c>
      <c r="O1710" t="str">
        <f>IF(OR($G1710="",Sync!$V1706=""),"",Sync!$V1706)</f>
        <v/>
      </c>
      <c r="P1710" t="str">
        <f>IF(OR($G1710="",Sync!$AD1706=""),"",Sync!$AD1706)</f>
        <v/>
      </c>
      <c r="Q1710" t="str">
        <f>IF($G1710="","",IF(Sync!$U1706="","0000",IF(AND(ISNUMBER(Sync!$U1706),Sync!$U1706&gt;=0,Sync!$U1706&lt;1),RIGHT("00"&amp;HOUR(Sync!$U1706),2)&amp;RIGHT("00"&amp;MINUTE(Sync!$U1706),2),IFERROR(RIGHT("00"&amp;VALUE(LEFT(Sync!$U1706,FIND(":",Sync!$U1706)-1)),2)&amp;RIGHT("00"&amp;VALUE(MID(Sync!$U1706,FIND(":",Sync!$U1706)+1,2)),2),"0000"))))</f>
        <v/>
      </c>
    </row>
    <row r="1711" spans="1:17" x14ac:dyDescent="0.2">
      <c r="A1711" t="str">
        <f>IF(Sync!$T1707="","",Sync!$T1707)</f>
        <v/>
      </c>
      <c r="B1711" t="str">
        <f t="shared" si="156"/>
        <v/>
      </c>
      <c r="C1711" t="str">
        <f t="shared" si="157"/>
        <v/>
      </c>
      <c r="D1711" t="str">
        <f t="shared" si="158"/>
        <v/>
      </c>
      <c r="E1711" t="str">
        <f t="shared" si="159"/>
        <v/>
      </c>
      <c r="F1711" t="str">
        <f t="shared" si="160"/>
        <v/>
      </c>
      <c r="G1711" t="str">
        <f>IF(OR($E1711="",$E1711="نامعتبر",Sync!$X1707=""),"",IF(AND(LEFT(UPPER(TRIM(Sync!$X1707)),2)="SL",IFERROR(VLOOKUP(Sync!$W1707,OpTbl,3,0),"")="فروش"),UPPER(TRIM(Sync!$X1707)),""))</f>
        <v/>
      </c>
      <c r="H1711" t="str">
        <f>IF($G1711="","",IF(Sync!$W1707="","",Sync!$W1707))</f>
        <v/>
      </c>
      <c r="I1711" t="str">
        <f>IF(OR($G1711="",Sync!$Y1707=""),"",Sync!$Y1707)</f>
        <v/>
      </c>
      <c r="J1711" t="str">
        <f>IF(OR($G1711="",Sync!$Z1707=""),"",Sync!$Z1707)</f>
        <v/>
      </c>
      <c r="K1711">
        <f>IF($G1711="",0,IF(Sync!$AA1707="",0,Sync!$AA1707))</f>
        <v>0</v>
      </c>
      <c r="L1711">
        <f>IF($G1711="",0,IF(Sync!$AB1707="",0,Sync!$AB1707))</f>
        <v>0</v>
      </c>
      <c r="M1711" t="str">
        <f t="shared" si="161"/>
        <v/>
      </c>
      <c r="N1711">
        <f>IF($G1711="",0,IF($H1711="مرجوعی فروش",-1,1)*IF(Sync!$AC1707="",0,Sync!$AC1707))</f>
        <v>0</v>
      </c>
      <c r="O1711" t="str">
        <f>IF(OR($G1711="",Sync!$V1707=""),"",Sync!$V1707)</f>
        <v/>
      </c>
      <c r="P1711" t="str">
        <f>IF(OR($G1711="",Sync!$AD1707=""),"",Sync!$AD1707)</f>
        <v/>
      </c>
      <c r="Q1711" t="str">
        <f>IF($G1711="","",IF(Sync!$U1707="","0000",IF(AND(ISNUMBER(Sync!$U1707),Sync!$U1707&gt;=0,Sync!$U1707&lt;1),RIGHT("00"&amp;HOUR(Sync!$U1707),2)&amp;RIGHT("00"&amp;MINUTE(Sync!$U1707),2),IFERROR(RIGHT("00"&amp;VALUE(LEFT(Sync!$U1707,FIND(":",Sync!$U1707)-1)),2)&amp;RIGHT("00"&amp;VALUE(MID(Sync!$U1707,FIND(":",Sync!$U1707)+1,2)),2),"0000"))))</f>
        <v/>
      </c>
    </row>
    <row r="1712" spans="1:17" x14ac:dyDescent="0.2">
      <c r="A1712" t="str">
        <f>IF(Sync!$T1708="","",Sync!$T1708)</f>
        <v/>
      </c>
      <c r="B1712" t="str">
        <f t="shared" si="156"/>
        <v/>
      </c>
      <c r="C1712" t="str">
        <f t="shared" si="157"/>
        <v/>
      </c>
      <c r="D1712" t="str">
        <f t="shared" si="158"/>
        <v/>
      </c>
      <c r="E1712" t="str">
        <f t="shared" si="159"/>
        <v/>
      </c>
      <c r="F1712" t="str">
        <f t="shared" si="160"/>
        <v/>
      </c>
      <c r="G1712" t="str">
        <f>IF(OR($E1712="",$E1712="نامعتبر",Sync!$X1708=""),"",IF(AND(LEFT(UPPER(TRIM(Sync!$X1708)),2)="SL",IFERROR(VLOOKUP(Sync!$W1708,OpTbl,3,0),"")="فروش"),UPPER(TRIM(Sync!$X1708)),""))</f>
        <v/>
      </c>
      <c r="H1712" t="str">
        <f>IF($G1712="","",IF(Sync!$W1708="","",Sync!$W1708))</f>
        <v/>
      </c>
      <c r="I1712" t="str">
        <f>IF(OR($G1712="",Sync!$Y1708=""),"",Sync!$Y1708)</f>
        <v/>
      </c>
      <c r="J1712" t="str">
        <f>IF(OR($G1712="",Sync!$Z1708=""),"",Sync!$Z1708)</f>
        <v/>
      </c>
      <c r="K1712">
        <f>IF($G1712="",0,IF(Sync!$AA1708="",0,Sync!$AA1708))</f>
        <v>0</v>
      </c>
      <c r="L1712">
        <f>IF($G1712="",0,IF(Sync!$AB1708="",0,Sync!$AB1708))</f>
        <v>0</v>
      </c>
      <c r="M1712" t="str">
        <f t="shared" si="161"/>
        <v/>
      </c>
      <c r="N1712">
        <f>IF($G1712="",0,IF($H1712="مرجوعی فروش",-1,1)*IF(Sync!$AC1708="",0,Sync!$AC1708))</f>
        <v>0</v>
      </c>
      <c r="O1712" t="str">
        <f>IF(OR($G1712="",Sync!$V1708=""),"",Sync!$V1708)</f>
        <v/>
      </c>
      <c r="P1712" t="str">
        <f>IF(OR($G1712="",Sync!$AD1708=""),"",Sync!$AD1708)</f>
        <v/>
      </c>
      <c r="Q1712" t="str">
        <f>IF($G1712="","",IF(Sync!$U1708="","0000",IF(AND(ISNUMBER(Sync!$U1708),Sync!$U1708&gt;=0,Sync!$U1708&lt;1),RIGHT("00"&amp;HOUR(Sync!$U1708),2)&amp;RIGHT("00"&amp;MINUTE(Sync!$U1708),2),IFERROR(RIGHT("00"&amp;VALUE(LEFT(Sync!$U1708,FIND(":",Sync!$U1708)-1)),2)&amp;RIGHT("00"&amp;VALUE(MID(Sync!$U1708,FIND(":",Sync!$U1708)+1,2)),2),"0000"))))</f>
        <v/>
      </c>
    </row>
    <row r="1713" spans="1:17" x14ac:dyDescent="0.2">
      <c r="A1713" t="str">
        <f>IF(Sync!$T1709="","",Sync!$T1709)</f>
        <v/>
      </c>
      <c r="B1713" t="str">
        <f t="shared" si="156"/>
        <v/>
      </c>
      <c r="C1713" t="str">
        <f t="shared" si="157"/>
        <v/>
      </c>
      <c r="D1713" t="str">
        <f t="shared" si="158"/>
        <v/>
      </c>
      <c r="E1713" t="str">
        <f t="shared" si="159"/>
        <v/>
      </c>
      <c r="F1713" t="str">
        <f t="shared" si="160"/>
        <v/>
      </c>
      <c r="G1713" t="str">
        <f>IF(OR($E1713="",$E1713="نامعتبر",Sync!$X1709=""),"",IF(AND(LEFT(UPPER(TRIM(Sync!$X1709)),2)="SL",IFERROR(VLOOKUP(Sync!$W1709,OpTbl,3,0),"")="فروش"),UPPER(TRIM(Sync!$X1709)),""))</f>
        <v/>
      </c>
      <c r="H1713" t="str">
        <f>IF($G1713="","",IF(Sync!$W1709="","",Sync!$W1709))</f>
        <v/>
      </c>
      <c r="I1713" t="str">
        <f>IF(OR($G1713="",Sync!$Y1709=""),"",Sync!$Y1709)</f>
        <v/>
      </c>
      <c r="J1713" t="str">
        <f>IF(OR($G1713="",Sync!$Z1709=""),"",Sync!$Z1709)</f>
        <v/>
      </c>
      <c r="K1713">
        <f>IF($G1713="",0,IF(Sync!$AA1709="",0,Sync!$AA1709))</f>
        <v>0</v>
      </c>
      <c r="L1713">
        <f>IF($G1713="",0,IF(Sync!$AB1709="",0,Sync!$AB1709))</f>
        <v>0</v>
      </c>
      <c r="M1713" t="str">
        <f t="shared" si="161"/>
        <v/>
      </c>
      <c r="N1713">
        <f>IF($G1713="",0,IF($H1713="مرجوعی فروش",-1,1)*IF(Sync!$AC1709="",0,Sync!$AC1709))</f>
        <v>0</v>
      </c>
      <c r="O1713" t="str">
        <f>IF(OR($G1713="",Sync!$V1709=""),"",Sync!$V1709)</f>
        <v/>
      </c>
      <c r="P1713" t="str">
        <f>IF(OR($G1713="",Sync!$AD1709=""),"",Sync!$AD1709)</f>
        <v/>
      </c>
      <c r="Q1713" t="str">
        <f>IF($G1713="","",IF(Sync!$U1709="","0000",IF(AND(ISNUMBER(Sync!$U1709),Sync!$U1709&gt;=0,Sync!$U1709&lt;1),RIGHT("00"&amp;HOUR(Sync!$U1709),2)&amp;RIGHT("00"&amp;MINUTE(Sync!$U1709),2),IFERROR(RIGHT("00"&amp;VALUE(LEFT(Sync!$U1709,FIND(":",Sync!$U1709)-1)),2)&amp;RIGHT("00"&amp;VALUE(MID(Sync!$U1709,FIND(":",Sync!$U1709)+1,2)),2),"0000"))))</f>
        <v/>
      </c>
    </row>
    <row r="1714" spans="1:17" x14ac:dyDescent="0.2">
      <c r="A1714" t="str">
        <f>IF(Sync!$T1710="","",Sync!$T1710)</f>
        <v/>
      </c>
      <c r="B1714" t="str">
        <f t="shared" si="156"/>
        <v/>
      </c>
      <c r="C1714" t="str">
        <f t="shared" si="157"/>
        <v/>
      </c>
      <c r="D1714" t="str">
        <f t="shared" si="158"/>
        <v/>
      </c>
      <c r="E1714" t="str">
        <f t="shared" si="159"/>
        <v/>
      </c>
      <c r="F1714" t="str">
        <f t="shared" si="160"/>
        <v/>
      </c>
      <c r="G1714" t="str">
        <f>IF(OR($E1714="",$E1714="نامعتبر",Sync!$X1710=""),"",IF(AND(LEFT(UPPER(TRIM(Sync!$X1710)),2)="SL",IFERROR(VLOOKUP(Sync!$W1710,OpTbl,3,0),"")="فروش"),UPPER(TRIM(Sync!$X1710)),""))</f>
        <v/>
      </c>
      <c r="H1714" t="str">
        <f>IF($G1714="","",IF(Sync!$W1710="","",Sync!$W1710))</f>
        <v/>
      </c>
      <c r="I1714" t="str">
        <f>IF(OR($G1714="",Sync!$Y1710=""),"",Sync!$Y1710)</f>
        <v/>
      </c>
      <c r="J1714" t="str">
        <f>IF(OR($G1714="",Sync!$Z1710=""),"",Sync!$Z1710)</f>
        <v/>
      </c>
      <c r="K1714">
        <f>IF($G1714="",0,IF(Sync!$AA1710="",0,Sync!$AA1710))</f>
        <v>0</v>
      </c>
      <c r="L1714">
        <f>IF($G1714="",0,IF(Sync!$AB1710="",0,Sync!$AB1710))</f>
        <v>0</v>
      </c>
      <c r="M1714" t="str">
        <f t="shared" si="161"/>
        <v/>
      </c>
      <c r="N1714">
        <f>IF($G1714="",0,IF($H1714="مرجوعی فروش",-1,1)*IF(Sync!$AC1710="",0,Sync!$AC1710))</f>
        <v>0</v>
      </c>
      <c r="O1714" t="str">
        <f>IF(OR($G1714="",Sync!$V1710=""),"",Sync!$V1710)</f>
        <v/>
      </c>
      <c r="P1714" t="str">
        <f>IF(OR($G1714="",Sync!$AD1710=""),"",Sync!$AD1710)</f>
        <v/>
      </c>
      <c r="Q1714" t="str">
        <f>IF($G1714="","",IF(Sync!$U1710="","0000",IF(AND(ISNUMBER(Sync!$U1710),Sync!$U1710&gt;=0,Sync!$U1710&lt;1),RIGHT("00"&amp;HOUR(Sync!$U1710),2)&amp;RIGHT("00"&amp;MINUTE(Sync!$U1710),2),IFERROR(RIGHT("00"&amp;VALUE(LEFT(Sync!$U1710,FIND(":",Sync!$U1710)-1)),2)&amp;RIGHT("00"&amp;VALUE(MID(Sync!$U1710,FIND(":",Sync!$U1710)+1,2)),2),"0000"))))</f>
        <v/>
      </c>
    </row>
    <row r="1715" spans="1:17" x14ac:dyDescent="0.2">
      <c r="A1715" t="str">
        <f>IF(Sync!$T1711="","",Sync!$T1711)</f>
        <v/>
      </c>
      <c r="B1715" t="str">
        <f t="shared" si="156"/>
        <v/>
      </c>
      <c r="C1715" t="str">
        <f t="shared" si="157"/>
        <v/>
      </c>
      <c r="D1715" t="str">
        <f t="shared" si="158"/>
        <v/>
      </c>
      <c r="E1715" t="str">
        <f t="shared" si="159"/>
        <v/>
      </c>
      <c r="F1715" t="str">
        <f t="shared" si="160"/>
        <v/>
      </c>
      <c r="G1715" t="str">
        <f>IF(OR($E1715="",$E1715="نامعتبر",Sync!$X1711=""),"",IF(AND(LEFT(UPPER(TRIM(Sync!$X1711)),2)="SL",IFERROR(VLOOKUP(Sync!$W1711,OpTbl,3,0),"")="فروش"),UPPER(TRIM(Sync!$X1711)),""))</f>
        <v/>
      </c>
      <c r="H1715" t="str">
        <f>IF($G1715="","",IF(Sync!$W1711="","",Sync!$W1711))</f>
        <v/>
      </c>
      <c r="I1715" t="str">
        <f>IF(OR($G1715="",Sync!$Y1711=""),"",Sync!$Y1711)</f>
        <v/>
      </c>
      <c r="J1715" t="str">
        <f>IF(OR($G1715="",Sync!$Z1711=""),"",Sync!$Z1711)</f>
        <v/>
      </c>
      <c r="K1715">
        <f>IF($G1715="",0,IF(Sync!$AA1711="",0,Sync!$AA1711))</f>
        <v>0</v>
      </c>
      <c r="L1715">
        <f>IF($G1715="",0,IF(Sync!$AB1711="",0,Sync!$AB1711))</f>
        <v>0</v>
      </c>
      <c r="M1715" t="str">
        <f t="shared" si="161"/>
        <v/>
      </c>
      <c r="N1715">
        <f>IF($G1715="",0,IF($H1715="مرجوعی فروش",-1,1)*IF(Sync!$AC1711="",0,Sync!$AC1711))</f>
        <v>0</v>
      </c>
      <c r="O1715" t="str">
        <f>IF(OR($G1715="",Sync!$V1711=""),"",Sync!$V1711)</f>
        <v/>
      </c>
      <c r="P1715" t="str">
        <f>IF(OR($G1715="",Sync!$AD1711=""),"",Sync!$AD1711)</f>
        <v/>
      </c>
      <c r="Q1715" t="str">
        <f>IF($G1715="","",IF(Sync!$U1711="","0000",IF(AND(ISNUMBER(Sync!$U1711),Sync!$U1711&gt;=0,Sync!$U1711&lt;1),RIGHT("00"&amp;HOUR(Sync!$U1711),2)&amp;RIGHT("00"&amp;MINUTE(Sync!$U1711),2),IFERROR(RIGHT("00"&amp;VALUE(LEFT(Sync!$U1711,FIND(":",Sync!$U1711)-1)),2)&amp;RIGHT("00"&amp;VALUE(MID(Sync!$U1711,FIND(":",Sync!$U1711)+1,2)),2),"0000"))))</f>
        <v/>
      </c>
    </row>
    <row r="1716" spans="1:17" x14ac:dyDescent="0.2">
      <c r="A1716" t="str">
        <f>IF(Sync!$T1712="","",Sync!$T1712)</f>
        <v/>
      </c>
      <c r="B1716" t="str">
        <f t="shared" si="156"/>
        <v/>
      </c>
      <c r="C1716" t="str">
        <f t="shared" si="157"/>
        <v/>
      </c>
      <c r="D1716" t="str">
        <f t="shared" si="158"/>
        <v/>
      </c>
      <c r="E1716" t="str">
        <f t="shared" si="159"/>
        <v/>
      </c>
      <c r="F1716" t="str">
        <f t="shared" si="160"/>
        <v/>
      </c>
      <c r="G1716" t="str">
        <f>IF(OR($E1716="",$E1716="نامعتبر",Sync!$X1712=""),"",IF(AND(LEFT(UPPER(TRIM(Sync!$X1712)),2)="SL",IFERROR(VLOOKUP(Sync!$W1712,OpTbl,3,0),"")="فروش"),UPPER(TRIM(Sync!$X1712)),""))</f>
        <v/>
      </c>
      <c r="H1716" t="str">
        <f>IF($G1716="","",IF(Sync!$W1712="","",Sync!$W1712))</f>
        <v/>
      </c>
      <c r="I1716" t="str">
        <f>IF(OR($G1716="",Sync!$Y1712=""),"",Sync!$Y1712)</f>
        <v/>
      </c>
      <c r="J1716" t="str">
        <f>IF(OR($G1716="",Sync!$Z1712=""),"",Sync!$Z1712)</f>
        <v/>
      </c>
      <c r="K1716">
        <f>IF($G1716="",0,IF(Sync!$AA1712="",0,Sync!$AA1712))</f>
        <v>0</v>
      </c>
      <c r="L1716">
        <f>IF($G1716="",0,IF(Sync!$AB1712="",0,Sync!$AB1712))</f>
        <v>0</v>
      </c>
      <c r="M1716" t="str">
        <f t="shared" si="161"/>
        <v/>
      </c>
      <c r="N1716">
        <f>IF($G1716="",0,IF($H1716="مرجوعی فروش",-1,1)*IF(Sync!$AC1712="",0,Sync!$AC1712))</f>
        <v>0</v>
      </c>
      <c r="O1716" t="str">
        <f>IF(OR($G1716="",Sync!$V1712=""),"",Sync!$V1712)</f>
        <v/>
      </c>
      <c r="P1716" t="str">
        <f>IF(OR($G1716="",Sync!$AD1712=""),"",Sync!$AD1712)</f>
        <v/>
      </c>
      <c r="Q1716" t="str">
        <f>IF($G1716="","",IF(Sync!$U1712="","0000",IF(AND(ISNUMBER(Sync!$U1712),Sync!$U1712&gt;=0,Sync!$U1712&lt;1),RIGHT("00"&amp;HOUR(Sync!$U1712),2)&amp;RIGHT("00"&amp;MINUTE(Sync!$U1712),2),IFERROR(RIGHT("00"&amp;VALUE(LEFT(Sync!$U1712,FIND(":",Sync!$U1712)-1)),2)&amp;RIGHT("00"&amp;VALUE(MID(Sync!$U1712,FIND(":",Sync!$U1712)+1,2)),2),"0000"))))</f>
        <v/>
      </c>
    </row>
    <row r="1717" spans="1:17" x14ac:dyDescent="0.2">
      <c r="A1717" t="str">
        <f>IF(Sync!$T1713="","",Sync!$T1713)</f>
        <v/>
      </c>
      <c r="B1717" t="str">
        <f t="shared" si="156"/>
        <v/>
      </c>
      <c r="C1717" t="str">
        <f t="shared" si="157"/>
        <v/>
      </c>
      <c r="D1717" t="str">
        <f t="shared" si="158"/>
        <v/>
      </c>
      <c r="E1717" t="str">
        <f t="shared" si="159"/>
        <v/>
      </c>
      <c r="F1717" t="str">
        <f t="shared" si="160"/>
        <v/>
      </c>
      <c r="G1717" t="str">
        <f>IF(OR($E1717="",$E1717="نامعتبر",Sync!$X1713=""),"",IF(AND(LEFT(UPPER(TRIM(Sync!$X1713)),2)="SL",IFERROR(VLOOKUP(Sync!$W1713,OpTbl,3,0),"")="فروش"),UPPER(TRIM(Sync!$X1713)),""))</f>
        <v/>
      </c>
      <c r="H1717" t="str">
        <f>IF($G1717="","",IF(Sync!$W1713="","",Sync!$W1713))</f>
        <v/>
      </c>
      <c r="I1717" t="str">
        <f>IF(OR($G1717="",Sync!$Y1713=""),"",Sync!$Y1713)</f>
        <v/>
      </c>
      <c r="J1717" t="str">
        <f>IF(OR($G1717="",Sync!$Z1713=""),"",Sync!$Z1713)</f>
        <v/>
      </c>
      <c r="K1717">
        <f>IF($G1717="",0,IF(Sync!$AA1713="",0,Sync!$AA1713))</f>
        <v>0</v>
      </c>
      <c r="L1717">
        <f>IF($G1717="",0,IF(Sync!$AB1713="",0,Sync!$AB1713))</f>
        <v>0</v>
      </c>
      <c r="M1717" t="str">
        <f t="shared" si="161"/>
        <v/>
      </c>
      <c r="N1717">
        <f>IF($G1717="",0,IF($H1717="مرجوعی فروش",-1,1)*IF(Sync!$AC1713="",0,Sync!$AC1713))</f>
        <v>0</v>
      </c>
      <c r="O1717" t="str">
        <f>IF(OR($G1717="",Sync!$V1713=""),"",Sync!$V1713)</f>
        <v/>
      </c>
      <c r="P1717" t="str">
        <f>IF(OR($G1717="",Sync!$AD1713=""),"",Sync!$AD1713)</f>
        <v/>
      </c>
      <c r="Q1717" t="str">
        <f>IF($G1717="","",IF(Sync!$U1713="","0000",IF(AND(ISNUMBER(Sync!$U1713),Sync!$U1713&gt;=0,Sync!$U1713&lt;1),RIGHT("00"&amp;HOUR(Sync!$U1713),2)&amp;RIGHT("00"&amp;MINUTE(Sync!$U1713),2),IFERROR(RIGHT("00"&amp;VALUE(LEFT(Sync!$U1713,FIND(":",Sync!$U1713)-1)),2)&amp;RIGHT("00"&amp;VALUE(MID(Sync!$U1713,FIND(":",Sync!$U1713)+1,2)),2),"0000"))))</f>
        <v/>
      </c>
    </row>
    <row r="1718" spans="1:17" x14ac:dyDescent="0.2">
      <c r="A1718" t="str">
        <f>IF(Sync!$T1714="","",Sync!$T1714)</f>
        <v/>
      </c>
      <c r="B1718" t="str">
        <f t="shared" si="156"/>
        <v/>
      </c>
      <c r="C1718" t="str">
        <f t="shared" si="157"/>
        <v/>
      </c>
      <c r="D1718" t="str">
        <f t="shared" si="158"/>
        <v/>
      </c>
      <c r="E1718" t="str">
        <f t="shared" si="159"/>
        <v/>
      </c>
      <c r="F1718" t="str">
        <f t="shared" si="160"/>
        <v/>
      </c>
      <c r="G1718" t="str">
        <f>IF(OR($E1718="",$E1718="نامعتبر",Sync!$X1714=""),"",IF(AND(LEFT(UPPER(TRIM(Sync!$X1714)),2)="SL",IFERROR(VLOOKUP(Sync!$W1714,OpTbl,3,0),"")="فروش"),UPPER(TRIM(Sync!$X1714)),""))</f>
        <v/>
      </c>
      <c r="H1718" t="str">
        <f>IF($G1718="","",IF(Sync!$W1714="","",Sync!$W1714))</f>
        <v/>
      </c>
      <c r="I1718" t="str">
        <f>IF(OR($G1718="",Sync!$Y1714=""),"",Sync!$Y1714)</f>
        <v/>
      </c>
      <c r="J1718" t="str">
        <f>IF(OR($G1718="",Sync!$Z1714=""),"",Sync!$Z1714)</f>
        <v/>
      </c>
      <c r="K1718">
        <f>IF($G1718="",0,IF(Sync!$AA1714="",0,Sync!$AA1714))</f>
        <v>0</v>
      </c>
      <c r="L1718">
        <f>IF($G1718="",0,IF(Sync!$AB1714="",0,Sync!$AB1714))</f>
        <v>0</v>
      </c>
      <c r="M1718" t="str">
        <f t="shared" si="161"/>
        <v/>
      </c>
      <c r="N1718">
        <f>IF($G1718="",0,IF($H1718="مرجوعی فروش",-1,1)*IF(Sync!$AC1714="",0,Sync!$AC1714))</f>
        <v>0</v>
      </c>
      <c r="O1718" t="str">
        <f>IF(OR($G1718="",Sync!$V1714=""),"",Sync!$V1714)</f>
        <v/>
      </c>
      <c r="P1718" t="str">
        <f>IF(OR($G1718="",Sync!$AD1714=""),"",Sync!$AD1714)</f>
        <v/>
      </c>
      <c r="Q1718" t="str">
        <f>IF($G1718="","",IF(Sync!$U1714="","0000",IF(AND(ISNUMBER(Sync!$U1714),Sync!$U1714&gt;=0,Sync!$U1714&lt;1),RIGHT("00"&amp;HOUR(Sync!$U1714),2)&amp;RIGHT("00"&amp;MINUTE(Sync!$U1714),2),IFERROR(RIGHT("00"&amp;VALUE(LEFT(Sync!$U1714,FIND(":",Sync!$U1714)-1)),2)&amp;RIGHT("00"&amp;VALUE(MID(Sync!$U1714,FIND(":",Sync!$U1714)+1,2)),2),"0000"))))</f>
        <v/>
      </c>
    </row>
    <row r="1719" spans="1:17" x14ac:dyDescent="0.2">
      <c r="A1719" t="str">
        <f>IF(Sync!$T1715="","",Sync!$T1715)</f>
        <v/>
      </c>
      <c r="B1719" t="str">
        <f t="shared" si="156"/>
        <v/>
      </c>
      <c r="C1719" t="str">
        <f t="shared" si="157"/>
        <v/>
      </c>
      <c r="D1719" t="str">
        <f t="shared" si="158"/>
        <v/>
      </c>
      <c r="E1719" t="str">
        <f t="shared" si="159"/>
        <v/>
      </c>
      <c r="F1719" t="str">
        <f t="shared" si="160"/>
        <v/>
      </c>
      <c r="G1719" t="str">
        <f>IF(OR($E1719="",$E1719="نامعتبر",Sync!$X1715=""),"",IF(AND(LEFT(UPPER(TRIM(Sync!$X1715)),2)="SL",IFERROR(VLOOKUP(Sync!$W1715,OpTbl,3,0),"")="فروش"),UPPER(TRIM(Sync!$X1715)),""))</f>
        <v/>
      </c>
      <c r="H1719" t="str">
        <f>IF($G1719="","",IF(Sync!$W1715="","",Sync!$W1715))</f>
        <v/>
      </c>
      <c r="I1719" t="str">
        <f>IF(OR($G1719="",Sync!$Y1715=""),"",Sync!$Y1715)</f>
        <v/>
      </c>
      <c r="J1719" t="str">
        <f>IF(OR($G1719="",Sync!$Z1715=""),"",Sync!$Z1715)</f>
        <v/>
      </c>
      <c r="K1719">
        <f>IF($G1719="",0,IF(Sync!$AA1715="",0,Sync!$AA1715))</f>
        <v>0</v>
      </c>
      <c r="L1719">
        <f>IF($G1719="",0,IF(Sync!$AB1715="",0,Sync!$AB1715))</f>
        <v>0</v>
      </c>
      <c r="M1719" t="str">
        <f t="shared" si="161"/>
        <v/>
      </c>
      <c r="N1719">
        <f>IF($G1719="",0,IF($H1719="مرجوعی فروش",-1,1)*IF(Sync!$AC1715="",0,Sync!$AC1715))</f>
        <v>0</v>
      </c>
      <c r="O1719" t="str">
        <f>IF(OR($G1719="",Sync!$V1715=""),"",Sync!$V1715)</f>
        <v/>
      </c>
      <c r="P1719" t="str">
        <f>IF(OR($G1719="",Sync!$AD1715=""),"",Sync!$AD1715)</f>
        <v/>
      </c>
      <c r="Q1719" t="str">
        <f>IF($G1719="","",IF(Sync!$U1715="","0000",IF(AND(ISNUMBER(Sync!$U1715),Sync!$U1715&gt;=0,Sync!$U1715&lt;1),RIGHT("00"&amp;HOUR(Sync!$U1715),2)&amp;RIGHT("00"&amp;MINUTE(Sync!$U1715),2),IFERROR(RIGHT("00"&amp;VALUE(LEFT(Sync!$U1715,FIND(":",Sync!$U1715)-1)),2)&amp;RIGHT("00"&amp;VALUE(MID(Sync!$U1715,FIND(":",Sync!$U1715)+1,2)),2),"0000"))))</f>
        <v/>
      </c>
    </row>
    <row r="1720" spans="1:17" x14ac:dyDescent="0.2">
      <c r="A1720" t="str">
        <f>IF(Sync!$T1716="","",Sync!$T1716)</f>
        <v/>
      </c>
      <c r="B1720" t="str">
        <f t="shared" si="156"/>
        <v/>
      </c>
      <c r="C1720" t="str">
        <f t="shared" si="157"/>
        <v/>
      </c>
      <c r="D1720" t="str">
        <f t="shared" si="158"/>
        <v/>
      </c>
      <c r="E1720" t="str">
        <f t="shared" si="159"/>
        <v/>
      </c>
      <c r="F1720" t="str">
        <f t="shared" si="160"/>
        <v/>
      </c>
      <c r="G1720" t="str">
        <f>IF(OR($E1720="",$E1720="نامعتبر",Sync!$X1716=""),"",IF(AND(LEFT(UPPER(TRIM(Sync!$X1716)),2)="SL",IFERROR(VLOOKUP(Sync!$W1716,OpTbl,3,0),"")="فروش"),UPPER(TRIM(Sync!$X1716)),""))</f>
        <v/>
      </c>
      <c r="H1720" t="str">
        <f>IF($G1720="","",IF(Sync!$W1716="","",Sync!$W1716))</f>
        <v/>
      </c>
      <c r="I1720" t="str">
        <f>IF(OR($G1720="",Sync!$Y1716=""),"",Sync!$Y1716)</f>
        <v/>
      </c>
      <c r="J1720" t="str">
        <f>IF(OR($G1720="",Sync!$Z1716=""),"",Sync!$Z1716)</f>
        <v/>
      </c>
      <c r="K1720">
        <f>IF($G1720="",0,IF(Sync!$AA1716="",0,Sync!$AA1716))</f>
        <v>0</v>
      </c>
      <c r="L1720">
        <f>IF($G1720="",0,IF(Sync!$AB1716="",0,Sync!$AB1716))</f>
        <v>0</v>
      </c>
      <c r="M1720" t="str">
        <f t="shared" si="161"/>
        <v/>
      </c>
      <c r="N1720">
        <f>IF($G1720="",0,IF($H1720="مرجوعی فروش",-1,1)*IF(Sync!$AC1716="",0,Sync!$AC1716))</f>
        <v>0</v>
      </c>
      <c r="O1720" t="str">
        <f>IF(OR($G1720="",Sync!$V1716=""),"",Sync!$V1716)</f>
        <v/>
      </c>
      <c r="P1720" t="str">
        <f>IF(OR($G1720="",Sync!$AD1716=""),"",Sync!$AD1716)</f>
        <v/>
      </c>
      <c r="Q1720" t="str">
        <f>IF($G1720="","",IF(Sync!$U1716="","0000",IF(AND(ISNUMBER(Sync!$U1716),Sync!$U1716&gt;=0,Sync!$U1716&lt;1),RIGHT("00"&amp;HOUR(Sync!$U1716),2)&amp;RIGHT("00"&amp;MINUTE(Sync!$U1716),2),IFERROR(RIGHT("00"&amp;VALUE(LEFT(Sync!$U1716,FIND(":",Sync!$U1716)-1)),2)&amp;RIGHT("00"&amp;VALUE(MID(Sync!$U1716,FIND(":",Sync!$U1716)+1,2)),2),"0000"))))</f>
        <v/>
      </c>
    </row>
    <row r="1721" spans="1:17" x14ac:dyDescent="0.2">
      <c r="A1721" t="str">
        <f>IF(Sync!$T1717="","",Sync!$T1717)</f>
        <v/>
      </c>
      <c r="B1721" t="str">
        <f t="shared" si="156"/>
        <v/>
      </c>
      <c r="C1721" t="str">
        <f t="shared" si="157"/>
        <v/>
      </c>
      <c r="D1721" t="str">
        <f t="shared" si="158"/>
        <v/>
      </c>
      <c r="E1721" t="str">
        <f t="shared" si="159"/>
        <v/>
      </c>
      <c r="F1721" t="str">
        <f t="shared" si="160"/>
        <v/>
      </c>
      <c r="G1721" t="str">
        <f>IF(OR($E1721="",$E1721="نامعتبر",Sync!$X1717=""),"",IF(AND(LEFT(UPPER(TRIM(Sync!$X1717)),2)="SL",IFERROR(VLOOKUP(Sync!$W1717,OpTbl,3,0),"")="فروش"),UPPER(TRIM(Sync!$X1717)),""))</f>
        <v/>
      </c>
      <c r="H1721" t="str">
        <f>IF($G1721="","",IF(Sync!$W1717="","",Sync!$W1717))</f>
        <v/>
      </c>
      <c r="I1721" t="str">
        <f>IF(OR($G1721="",Sync!$Y1717=""),"",Sync!$Y1717)</f>
        <v/>
      </c>
      <c r="J1721" t="str">
        <f>IF(OR($G1721="",Sync!$Z1717=""),"",Sync!$Z1717)</f>
        <v/>
      </c>
      <c r="K1721">
        <f>IF($G1721="",0,IF(Sync!$AA1717="",0,Sync!$AA1717))</f>
        <v>0</v>
      </c>
      <c r="L1721">
        <f>IF($G1721="",0,IF(Sync!$AB1717="",0,Sync!$AB1717))</f>
        <v>0</v>
      </c>
      <c r="M1721" t="str">
        <f t="shared" si="161"/>
        <v/>
      </c>
      <c r="N1721">
        <f>IF($G1721="",0,IF($H1721="مرجوعی فروش",-1,1)*IF(Sync!$AC1717="",0,Sync!$AC1717))</f>
        <v>0</v>
      </c>
      <c r="O1721" t="str">
        <f>IF(OR($G1721="",Sync!$V1717=""),"",Sync!$V1717)</f>
        <v/>
      </c>
      <c r="P1721" t="str">
        <f>IF(OR($G1721="",Sync!$AD1717=""),"",Sync!$AD1717)</f>
        <v/>
      </c>
      <c r="Q1721" t="str">
        <f>IF($G1721="","",IF(Sync!$U1717="","0000",IF(AND(ISNUMBER(Sync!$U1717),Sync!$U1717&gt;=0,Sync!$U1717&lt;1),RIGHT("00"&amp;HOUR(Sync!$U1717),2)&amp;RIGHT("00"&amp;MINUTE(Sync!$U1717),2),IFERROR(RIGHT("00"&amp;VALUE(LEFT(Sync!$U1717,FIND(":",Sync!$U1717)-1)),2)&amp;RIGHT("00"&amp;VALUE(MID(Sync!$U1717,FIND(":",Sync!$U1717)+1,2)),2),"0000"))))</f>
        <v/>
      </c>
    </row>
    <row r="1722" spans="1:17" x14ac:dyDescent="0.2">
      <c r="A1722" t="str">
        <f>IF(Sync!$T1718="","",Sync!$T1718)</f>
        <v/>
      </c>
      <c r="B1722" t="str">
        <f t="shared" si="156"/>
        <v/>
      </c>
      <c r="C1722" t="str">
        <f t="shared" si="157"/>
        <v/>
      </c>
      <c r="D1722" t="str">
        <f t="shared" si="158"/>
        <v/>
      </c>
      <c r="E1722" t="str">
        <f t="shared" si="159"/>
        <v/>
      </c>
      <c r="F1722" t="str">
        <f t="shared" si="160"/>
        <v/>
      </c>
      <c r="G1722" t="str">
        <f>IF(OR($E1722="",$E1722="نامعتبر",Sync!$X1718=""),"",IF(AND(LEFT(UPPER(TRIM(Sync!$X1718)),2)="SL",IFERROR(VLOOKUP(Sync!$W1718,OpTbl,3,0),"")="فروش"),UPPER(TRIM(Sync!$X1718)),""))</f>
        <v/>
      </c>
      <c r="H1722" t="str">
        <f>IF($G1722="","",IF(Sync!$W1718="","",Sync!$W1718))</f>
        <v/>
      </c>
      <c r="I1722" t="str">
        <f>IF(OR($G1722="",Sync!$Y1718=""),"",Sync!$Y1718)</f>
        <v/>
      </c>
      <c r="J1722" t="str">
        <f>IF(OR($G1722="",Sync!$Z1718=""),"",Sync!$Z1718)</f>
        <v/>
      </c>
      <c r="K1722">
        <f>IF($G1722="",0,IF(Sync!$AA1718="",0,Sync!$AA1718))</f>
        <v>0</v>
      </c>
      <c r="L1722">
        <f>IF($G1722="",0,IF(Sync!$AB1718="",0,Sync!$AB1718))</f>
        <v>0</v>
      </c>
      <c r="M1722" t="str">
        <f t="shared" si="161"/>
        <v/>
      </c>
      <c r="N1722">
        <f>IF($G1722="",0,IF($H1722="مرجوعی فروش",-1,1)*IF(Sync!$AC1718="",0,Sync!$AC1718))</f>
        <v>0</v>
      </c>
      <c r="O1722" t="str">
        <f>IF(OR($G1722="",Sync!$V1718=""),"",Sync!$V1718)</f>
        <v/>
      </c>
      <c r="P1722" t="str">
        <f>IF(OR($G1722="",Sync!$AD1718=""),"",Sync!$AD1718)</f>
        <v/>
      </c>
      <c r="Q1722" t="str">
        <f>IF($G1722="","",IF(Sync!$U1718="","0000",IF(AND(ISNUMBER(Sync!$U1718),Sync!$U1718&gt;=0,Sync!$U1718&lt;1),RIGHT("00"&amp;HOUR(Sync!$U1718),2)&amp;RIGHT("00"&amp;MINUTE(Sync!$U1718),2),IFERROR(RIGHT("00"&amp;VALUE(LEFT(Sync!$U1718,FIND(":",Sync!$U1718)-1)),2)&amp;RIGHT("00"&amp;VALUE(MID(Sync!$U1718,FIND(":",Sync!$U1718)+1,2)),2),"0000"))))</f>
        <v/>
      </c>
    </row>
    <row r="1723" spans="1:17" x14ac:dyDescent="0.2">
      <c r="A1723" t="str">
        <f>IF(Sync!$T1719="","",Sync!$T1719)</f>
        <v/>
      </c>
      <c r="B1723" t="str">
        <f t="shared" si="156"/>
        <v/>
      </c>
      <c r="C1723" t="str">
        <f t="shared" si="157"/>
        <v/>
      </c>
      <c r="D1723" t="str">
        <f t="shared" si="158"/>
        <v/>
      </c>
      <c r="E1723" t="str">
        <f t="shared" si="159"/>
        <v/>
      </c>
      <c r="F1723" t="str">
        <f t="shared" si="160"/>
        <v/>
      </c>
      <c r="G1723" t="str">
        <f>IF(OR($E1723="",$E1723="نامعتبر",Sync!$X1719=""),"",IF(AND(LEFT(UPPER(TRIM(Sync!$X1719)),2)="SL",IFERROR(VLOOKUP(Sync!$W1719,OpTbl,3,0),"")="فروش"),UPPER(TRIM(Sync!$X1719)),""))</f>
        <v/>
      </c>
      <c r="H1723" t="str">
        <f>IF($G1723="","",IF(Sync!$W1719="","",Sync!$W1719))</f>
        <v/>
      </c>
      <c r="I1723" t="str">
        <f>IF(OR($G1723="",Sync!$Y1719=""),"",Sync!$Y1719)</f>
        <v/>
      </c>
      <c r="J1723" t="str">
        <f>IF(OR($G1723="",Sync!$Z1719=""),"",Sync!$Z1719)</f>
        <v/>
      </c>
      <c r="K1723">
        <f>IF($G1723="",0,IF(Sync!$AA1719="",0,Sync!$AA1719))</f>
        <v>0</v>
      </c>
      <c r="L1723">
        <f>IF($G1723="",0,IF(Sync!$AB1719="",0,Sync!$AB1719))</f>
        <v>0</v>
      </c>
      <c r="M1723" t="str">
        <f t="shared" si="161"/>
        <v/>
      </c>
      <c r="N1723">
        <f>IF($G1723="",0,IF($H1723="مرجوعی فروش",-1,1)*IF(Sync!$AC1719="",0,Sync!$AC1719))</f>
        <v>0</v>
      </c>
      <c r="O1723" t="str">
        <f>IF(OR($G1723="",Sync!$V1719=""),"",Sync!$V1719)</f>
        <v/>
      </c>
      <c r="P1723" t="str">
        <f>IF(OR($G1723="",Sync!$AD1719=""),"",Sync!$AD1719)</f>
        <v/>
      </c>
      <c r="Q1723" t="str">
        <f>IF($G1723="","",IF(Sync!$U1719="","0000",IF(AND(ISNUMBER(Sync!$U1719),Sync!$U1719&gt;=0,Sync!$U1719&lt;1),RIGHT("00"&amp;HOUR(Sync!$U1719),2)&amp;RIGHT("00"&amp;MINUTE(Sync!$U1719),2),IFERROR(RIGHT("00"&amp;VALUE(LEFT(Sync!$U1719,FIND(":",Sync!$U1719)-1)),2)&amp;RIGHT("00"&amp;VALUE(MID(Sync!$U1719,FIND(":",Sync!$U1719)+1,2)),2),"0000"))))</f>
        <v/>
      </c>
    </row>
    <row r="1724" spans="1:17" x14ac:dyDescent="0.2">
      <c r="A1724" t="str">
        <f>IF(Sync!$T1720="","",Sync!$T1720)</f>
        <v/>
      </c>
      <c r="B1724" t="str">
        <f t="shared" si="156"/>
        <v/>
      </c>
      <c r="C1724" t="str">
        <f t="shared" si="157"/>
        <v/>
      </c>
      <c r="D1724" t="str">
        <f t="shared" si="158"/>
        <v/>
      </c>
      <c r="E1724" t="str">
        <f t="shared" si="159"/>
        <v/>
      </c>
      <c r="F1724" t="str">
        <f t="shared" si="160"/>
        <v/>
      </c>
      <c r="G1724" t="str">
        <f>IF(OR($E1724="",$E1724="نامعتبر",Sync!$X1720=""),"",IF(AND(LEFT(UPPER(TRIM(Sync!$X1720)),2)="SL",IFERROR(VLOOKUP(Sync!$W1720,OpTbl,3,0),"")="فروش"),UPPER(TRIM(Sync!$X1720)),""))</f>
        <v/>
      </c>
      <c r="H1724" t="str">
        <f>IF($G1724="","",IF(Sync!$W1720="","",Sync!$W1720))</f>
        <v/>
      </c>
      <c r="I1724" t="str">
        <f>IF(OR($G1724="",Sync!$Y1720=""),"",Sync!$Y1720)</f>
        <v/>
      </c>
      <c r="J1724" t="str">
        <f>IF(OR($G1724="",Sync!$Z1720=""),"",Sync!$Z1720)</f>
        <v/>
      </c>
      <c r="K1724">
        <f>IF($G1724="",0,IF(Sync!$AA1720="",0,Sync!$AA1720))</f>
        <v>0</v>
      </c>
      <c r="L1724">
        <f>IF($G1724="",0,IF(Sync!$AB1720="",0,Sync!$AB1720))</f>
        <v>0</v>
      </c>
      <c r="M1724" t="str">
        <f t="shared" si="161"/>
        <v/>
      </c>
      <c r="N1724">
        <f>IF($G1724="",0,IF($H1724="مرجوعی فروش",-1,1)*IF(Sync!$AC1720="",0,Sync!$AC1720))</f>
        <v>0</v>
      </c>
      <c r="O1724" t="str">
        <f>IF(OR($G1724="",Sync!$V1720=""),"",Sync!$V1720)</f>
        <v/>
      </c>
      <c r="P1724" t="str">
        <f>IF(OR($G1724="",Sync!$AD1720=""),"",Sync!$AD1720)</f>
        <v/>
      </c>
      <c r="Q1724" t="str">
        <f>IF($G1724="","",IF(Sync!$U1720="","0000",IF(AND(ISNUMBER(Sync!$U1720),Sync!$U1720&gt;=0,Sync!$U1720&lt;1),RIGHT("00"&amp;HOUR(Sync!$U1720),2)&amp;RIGHT("00"&amp;MINUTE(Sync!$U1720),2),IFERROR(RIGHT("00"&amp;VALUE(LEFT(Sync!$U1720,FIND(":",Sync!$U1720)-1)),2)&amp;RIGHT("00"&amp;VALUE(MID(Sync!$U1720,FIND(":",Sync!$U1720)+1,2)),2),"0000"))))</f>
        <v/>
      </c>
    </row>
    <row r="1725" spans="1:17" x14ac:dyDescent="0.2">
      <c r="A1725" t="str">
        <f>IF(Sync!$T1721="","",Sync!$T1721)</f>
        <v/>
      </c>
      <c r="B1725" t="str">
        <f t="shared" si="156"/>
        <v/>
      </c>
      <c r="C1725" t="str">
        <f t="shared" si="157"/>
        <v/>
      </c>
      <c r="D1725" t="str">
        <f t="shared" si="158"/>
        <v/>
      </c>
      <c r="E1725" t="str">
        <f t="shared" si="159"/>
        <v/>
      </c>
      <c r="F1725" t="str">
        <f t="shared" si="160"/>
        <v/>
      </c>
      <c r="G1725" t="str">
        <f>IF(OR($E1725="",$E1725="نامعتبر",Sync!$X1721=""),"",IF(AND(LEFT(UPPER(TRIM(Sync!$X1721)),2)="SL",IFERROR(VLOOKUP(Sync!$W1721,OpTbl,3,0),"")="فروش"),UPPER(TRIM(Sync!$X1721)),""))</f>
        <v/>
      </c>
      <c r="H1725" t="str">
        <f>IF($G1725="","",IF(Sync!$W1721="","",Sync!$W1721))</f>
        <v/>
      </c>
      <c r="I1725" t="str">
        <f>IF(OR($G1725="",Sync!$Y1721=""),"",Sync!$Y1721)</f>
        <v/>
      </c>
      <c r="J1725" t="str">
        <f>IF(OR($G1725="",Sync!$Z1721=""),"",Sync!$Z1721)</f>
        <v/>
      </c>
      <c r="K1725">
        <f>IF($G1725="",0,IF(Sync!$AA1721="",0,Sync!$AA1721))</f>
        <v>0</v>
      </c>
      <c r="L1725">
        <f>IF($G1725="",0,IF(Sync!$AB1721="",0,Sync!$AB1721))</f>
        <v>0</v>
      </c>
      <c r="M1725" t="str">
        <f t="shared" si="161"/>
        <v/>
      </c>
      <c r="N1725">
        <f>IF($G1725="",0,IF($H1725="مرجوعی فروش",-1,1)*IF(Sync!$AC1721="",0,Sync!$AC1721))</f>
        <v>0</v>
      </c>
      <c r="O1725" t="str">
        <f>IF(OR($G1725="",Sync!$V1721=""),"",Sync!$V1721)</f>
        <v/>
      </c>
      <c r="P1725" t="str">
        <f>IF(OR($G1725="",Sync!$AD1721=""),"",Sync!$AD1721)</f>
        <v/>
      </c>
      <c r="Q1725" t="str">
        <f>IF($G1725="","",IF(Sync!$U1721="","0000",IF(AND(ISNUMBER(Sync!$U1721),Sync!$U1721&gt;=0,Sync!$U1721&lt;1),RIGHT("00"&amp;HOUR(Sync!$U1721),2)&amp;RIGHT("00"&amp;MINUTE(Sync!$U1721),2),IFERROR(RIGHT("00"&amp;VALUE(LEFT(Sync!$U1721,FIND(":",Sync!$U1721)-1)),2)&amp;RIGHT("00"&amp;VALUE(MID(Sync!$U1721,FIND(":",Sync!$U1721)+1,2)),2),"0000"))))</f>
        <v/>
      </c>
    </row>
    <row r="1726" spans="1:17" x14ac:dyDescent="0.2">
      <c r="A1726" t="str">
        <f>IF(Sync!$T1722="","",Sync!$T1722)</f>
        <v/>
      </c>
      <c r="B1726" t="str">
        <f t="shared" si="156"/>
        <v/>
      </c>
      <c r="C1726" t="str">
        <f t="shared" si="157"/>
        <v/>
      </c>
      <c r="D1726" t="str">
        <f t="shared" si="158"/>
        <v/>
      </c>
      <c r="E1726" t="str">
        <f t="shared" si="159"/>
        <v/>
      </c>
      <c r="F1726" t="str">
        <f t="shared" si="160"/>
        <v/>
      </c>
      <c r="G1726" t="str">
        <f>IF(OR($E1726="",$E1726="نامعتبر",Sync!$X1722=""),"",IF(AND(LEFT(UPPER(TRIM(Sync!$X1722)),2)="SL",IFERROR(VLOOKUP(Sync!$W1722,OpTbl,3,0),"")="فروش"),UPPER(TRIM(Sync!$X1722)),""))</f>
        <v/>
      </c>
      <c r="H1726" t="str">
        <f>IF($G1726="","",IF(Sync!$W1722="","",Sync!$W1722))</f>
        <v/>
      </c>
      <c r="I1726" t="str">
        <f>IF(OR($G1726="",Sync!$Y1722=""),"",Sync!$Y1722)</f>
        <v/>
      </c>
      <c r="J1726" t="str">
        <f>IF(OR($G1726="",Sync!$Z1722=""),"",Sync!$Z1722)</f>
        <v/>
      </c>
      <c r="K1726">
        <f>IF($G1726="",0,IF(Sync!$AA1722="",0,Sync!$AA1722))</f>
        <v>0</v>
      </c>
      <c r="L1726">
        <f>IF($G1726="",0,IF(Sync!$AB1722="",0,Sync!$AB1722))</f>
        <v>0</v>
      </c>
      <c r="M1726" t="str">
        <f t="shared" si="161"/>
        <v/>
      </c>
      <c r="N1726">
        <f>IF($G1726="",0,IF($H1726="مرجوعی فروش",-1,1)*IF(Sync!$AC1722="",0,Sync!$AC1722))</f>
        <v>0</v>
      </c>
      <c r="O1726" t="str">
        <f>IF(OR($G1726="",Sync!$V1722=""),"",Sync!$V1722)</f>
        <v/>
      </c>
      <c r="P1726" t="str">
        <f>IF(OR($G1726="",Sync!$AD1722=""),"",Sync!$AD1722)</f>
        <v/>
      </c>
      <c r="Q1726" t="str">
        <f>IF($G1726="","",IF(Sync!$U1722="","0000",IF(AND(ISNUMBER(Sync!$U1722),Sync!$U1722&gt;=0,Sync!$U1722&lt;1),RIGHT("00"&amp;HOUR(Sync!$U1722),2)&amp;RIGHT("00"&amp;MINUTE(Sync!$U1722),2),IFERROR(RIGHT("00"&amp;VALUE(LEFT(Sync!$U1722,FIND(":",Sync!$U1722)-1)),2)&amp;RIGHT("00"&amp;VALUE(MID(Sync!$U1722,FIND(":",Sync!$U1722)+1,2)),2),"0000"))))</f>
        <v/>
      </c>
    </row>
    <row r="1727" spans="1:17" x14ac:dyDescent="0.2">
      <c r="A1727" t="str">
        <f>IF(Sync!$T1723="","",Sync!$T1723)</f>
        <v/>
      </c>
      <c r="B1727" t="str">
        <f t="shared" si="156"/>
        <v/>
      </c>
      <c r="C1727" t="str">
        <f t="shared" si="157"/>
        <v/>
      </c>
      <c r="D1727" t="str">
        <f t="shared" si="158"/>
        <v/>
      </c>
      <c r="E1727" t="str">
        <f t="shared" si="159"/>
        <v/>
      </c>
      <c r="F1727" t="str">
        <f t="shared" si="160"/>
        <v/>
      </c>
      <c r="G1727" t="str">
        <f>IF(OR($E1727="",$E1727="نامعتبر",Sync!$X1723=""),"",IF(AND(LEFT(UPPER(TRIM(Sync!$X1723)),2)="SL",IFERROR(VLOOKUP(Sync!$W1723,OpTbl,3,0),"")="فروش"),UPPER(TRIM(Sync!$X1723)),""))</f>
        <v/>
      </c>
      <c r="H1727" t="str">
        <f>IF($G1727="","",IF(Sync!$W1723="","",Sync!$W1723))</f>
        <v/>
      </c>
      <c r="I1727" t="str">
        <f>IF(OR($G1727="",Sync!$Y1723=""),"",Sync!$Y1723)</f>
        <v/>
      </c>
      <c r="J1727" t="str">
        <f>IF(OR($G1727="",Sync!$Z1723=""),"",Sync!$Z1723)</f>
        <v/>
      </c>
      <c r="K1727">
        <f>IF($G1727="",0,IF(Sync!$AA1723="",0,Sync!$AA1723))</f>
        <v>0</v>
      </c>
      <c r="L1727">
        <f>IF($G1727="",0,IF(Sync!$AB1723="",0,Sync!$AB1723))</f>
        <v>0</v>
      </c>
      <c r="M1727" t="str">
        <f t="shared" si="161"/>
        <v/>
      </c>
      <c r="N1727">
        <f>IF($G1727="",0,IF($H1727="مرجوعی فروش",-1,1)*IF(Sync!$AC1723="",0,Sync!$AC1723))</f>
        <v>0</v>
      </c>
      <c r="O1727" t="str">
        <f>IF(OR($G1727="",Sync!$V1723=""),"",Sync!$V1723)</f>
        <v/>
      </c>
      <c r="P1727" t="str">
        <f>IF(OR($G1727="",Sync!$AD1723=""),"",Sync!$AD1723)</f>
        <v/>
      </c>
      <c r="Q1727" t="str">
        <f>IF($G1727="","",IF(Sync!$U1723="","0000",IF(AND(ISNUMBER(Sync!$U1723),Sync!$U1723&gt;=0,Sync!$U1723&lt;1),RIGHT("00"&amp;HOUR(Sync!$U1723),2)&amp;RIGHT("00"&amp;MINUTE(Sync!$U1723),2),IFERROR(RIGHT("00"&amp;VALUE(LEFT(Sync!$U1723,FIND(":",Sync!$U1723)-1)),2)&amp;RIGHT("00"&amp;VALUE(MID(Sync!$U1723,FIND(":",Sync!$U1723)+1,2)),2),"0000"))))</f>
        <v/>
      </c>
    </row>
    <row r="1728" spans="1:17" x14ac:dyDescent="0.2">
      <c r="A1728" t="str">
        <f>IF(Sync!$T1724="","",Sync!$T1724)</f>
        <v/>
      </c>
      <c r="B1728" t="str">
        <f t="shared" si="156"/>
        <v/>
      </c>
      <c r="C1728" t="str">
        <f t="shared" si="157"/>
        <v/>
      </c>
      <c r="D1728" t="str">
        <f t="shared" si="158"/>
        <v/>
      </c>
      <c r="E1728" t="str">
        <f t="shared" si="159"/>
        <v/>
      </c>
      <c r="F1728" t="str">
        <f t="shared" si="160"/>
        <v/>
      </c>
      <c r="G1728" t="str">
        <f>IF(OR($E1728="",$E1728="نامعتبر",Sync!$X1724=""),"",IF(AND(LEFT(UPPER(TRIM(Sync!$X1724)),2)="SL",IFERROR(VLOOKUP(Sync!$W1724,OpTbl,3,0),"")="فروش"),UPPER(TRIM(Sync!$X1724)),""))</f>
        <v/>
      </c>
      <c r="H1728" t="str">
        <f>IF($G1728="","",IF(Sync!$W1724="","",Sync!$W1724))</f>
        <v/>
      </c>
      <c r="I1728" t="str">
        <f>IF(OR($G1728="",Sync!$Y1724=""),"",Sync!$Y1724)</f>
        <v/>
      </c>
      <c r="J1728" t="str">
        <f>IF(OR($G1728="",Sync!$Z1724=""),"",Sync!$Z1724)</f>
        <v/>
      </c>
      <c r="K1728">
        <f>IF($G1728="",0,IF(Sync!$AA1724="",0,Sync!$AA1724))</f>
        <v>0</v>
      </c>
      <c r="L1728">
        <f>IF($G1728="",0,IF(Sync!$AB1724="",0,Sync!$AB1724))</f>
        <v>0</v>
      </c>
      <c r="M1728" t="str">
        <f t="shared" si="161"/>
        <v/>
      </c>
      <c r="N1728">
        <f>IF($G1728="",0,IF($H1728="مرجوعی فروش",-1,1)*IF(Sync!$AC1724="",0,Sync!$AC1724))</f>
        <v>0</v>
      </c>
      <c r="O1728" t="str">
        <f>IF(OR($G1728="",Sync!$V1724=""),"",Sync!$V1724)</f>
        <v/>
      </c>
      <c r="P1728" t="str">
        <f>IF(OR($G1728="",Sync!$AD1724=""),"",Sync!$AD1724)</f>
        <v/>
      </c>
      <c r="Q1728" t="str">
        <f>IF($G1728="","",IF(Sync!$U1724="","0000",IF(AND(ISNUMBER(Sync!$U1724),Sync!$U1724&gt;=0,Sync!$U1724&lt;1),RIGHT("00"&amp;HOUR(Sync!$U1724),2)&amp;RIGHT("00"&amp;MINUTE(Sync!$U1724),2),IFERROR(RIGHT("00"&amp;VALUE(LEFT(Sync!$U1724,FIND(":",Sync!$U1724)-1)),2)&amp;RIGHT("00"&amp;VALUE(MID(Sync!$U1724,FIND(":",Sync!$U1724)+1,2)),2),"0000"))))</f>
        <v/>
      </c>
    </row>
    <row r="1729" spans="1:17" x14ac:dyDescent="0.2">
      <c r="A1729" t="str">
        <f>IF(Sync!$T1725="","",Sync!$T1725)</f>
        <v/>
      </c>
      <c r="B1729" t="str">
        <f t="shared" si="156"/>
        <v/>
      </c>
      <c r="C1729" t="str">
        <f t="shared" si="157"/>
        <v/>
      </c>
      <c r="D1729" t="str">
        <f t="shared" si="158"/>
        <v/>
      </c>
      <c r="E1729" t="str">
        <f t="shared" si="159"/>
        <v/>
      </c>
      <c r="F1729" t="str">
        <f t="shared" si="160"/>
        <v/>
      </c>
      <c r="G1729" t="str">
        <f>IF(OR($E1729="",$E1729="نامعتبر",Sync!$X1725=""),"",IF(AND(LEFT(UPPER(TRIM(Sync!$X1725)),2)="SL",IFERROR(VLOOKUP(Sync!$W1725,OpTbl,3,0),"")="فروش"),UPPER(TRIM(Sync!$X1725)),""))</f>
        <v/>
      </c>
      <c r="H1729" t="str">
        <f>IF($G1729="","",IF(Sync!$W1725="","",Sync!$W1725))</f>
        <v/>
      </c>
      <c r="I1729" t="str">
        <f>IF(OR($G1729="",Sync!$Y1725=""),"",Sync!$Y1725)</f>
        <v/>
      </c>
      <c r="J1729" t="str">
        <f>IF(OR($G1729="",Sync!$Z1725=""),"",Sync!$Z1725)</f>
        <v/>
      </c>
      <c r="K1729">
        <f>IF($G1729="",0,IF(Sync!$AA1725="",0,Sync!$AA1725))</f>
        <v>0</v>
      </c>
      <c r="L1729">
        <f>IF($G1729="",0,IF(Sync!$AB1725="",0,Sync!$AB1725))</f>
        <v>0</v>
      </c>
      <c r="M1729" t="str">
        <f t="shared" si="161"/>
        <v/>
      </c>
      <c r="N1729">
        <f>IF($G1729="",0,IF($H1729="مرجوعی فروش",-1,1)*IF(Sync!$AC1725="",0,Sync!$AC1725))</f>
        <v>0</v>
      </c>
      <c r="O1729" t="str">
        <f>IF(OR($G1729="",Sync!$V1725=""),"",Sync!$V1725)</f>
        <v/>
      </c>
      <c r="P1729" t="str">
        <f>IF(OR($G1729="",Sync!$AD1725=""),"",Sync!$AD1725)</f>
        <v/>
      </c>
      <c r="Q1729" t="str">
        <f>IF($G1729="","",IF(Sync!$U1725="","0000",IF(AND(ISNUMBER(Sync!$U1725),Sync!$U1725&gt;=0,Sync!$U1725&lt;1),RIGHT("00"&amp;HOUR(Sync!$U1725),2)&amp;RIGHT("00"&amp;MINUTE(Sync!$U1725),2),IFERROR(RIGHT("00"&amp;VALUE(LEFT(Sync!$U1725,FIND(":",Sync!$U1725)-1)),2)&amp;RIGHT("00"&amp;VALUE(MID(Sync!$U1725,FIND(":",Sync!$U1725)+1,2)),2),"0000"))))</f>
        <v/>
      </c>
    </row>
    <row r="1730" spans="1:17" x14ac:dyDescent="0.2">
      <c r="A1730" t="str">
        <f>IF(Sync!$T1726="","",Sync!$T1726)</f>
        <v/>
      </c>
      <c r="B1730" t="str">
        <f t="shared" si="156"/>
        <v/>
      </c>
      <c r="C1730" t="str">
        <f t="shared" si="157"/>
        <v/>
      </c>
      <c r="D1730" t="str">
        <f t="shared" si="158"/>
        <v/>
      </c>
      <c r="E1730" t="str">
        <f t="shared" si="159"/>
        <v/>
      </c>
      <c r="F1730" t="str">
        <f t="shared" si="160"/>
        <v/>
      </c>
      <c r="G1730" t="str">
        <f>IF(OR($E1730="",$E1730="نامعتبر",Sync!$X1726=""),"",IF(AND(LEFT(UPPER(TRIM(Sync!$X1726)),2)="SL",IFERROR(VLOOKUP(Sync!$W1726,OpTbl,3,0),"")="فروش"),UPPER(TRIM(Sync!$X1726)),""))</f>
        <v/>
      </c>
      <c r="H1730" t="str">
        <f>IF($G1730="","",IF(Sync!$W1726="","",Sync!$W1726))</f>
        <v/>
      </c>
      <c r="I1730" t="str">
        <f>IF(OR($G1730="",Sync!$Y1726=""),"",Sync!$Y1726)</f>
        <v/>
      </c>
      <c r="J1730" t="str">
        <f>IF(OR($G1730="",Sync!$Z1726=""),"",Sync!$Z1726)</f>
        <v/>
      </c>
      <c r="K1730">
        <f>IF($G1730="",0,IF(Sync!$AA1726="",0,Sync!$AA1726))</f>
        <v>0</v>
      </c>
      <c r="L1730">
        <f>IF($G1730="",0,IF(Sync!$AB1726="",0,Sync!$AB1726))</f>
        <v>0</v>
      </c>
      <c r="M1730" t="str">
        <f t="shared" si="161"/>
        <v/>
      </c>
      <c r="N1730">
        <f>IF($G1730="",0,IF($H1730="مرجوعی فروش",-1,1)*IF(Sync!$AC1726="",0,Sync!$AC1726))</f>
        <v>0</v>
      </c>
      <c r="O1730" t="str">
        <f>IF(OR($G1730="",Sync!$V1726=""),"",Sync!$V1726)</f>
        <v/>
      </c>
      <c r="P1730" t="str">
        <f>IF(OR($G1730="",Sync!$AD1726=""),"",Sync!$AD1726)</f>
        <v/>
      </c>
      <c r="Q1730" t="str">
        <f>IF($G1730="","",IF(Sync!$U1726="","0000",IF(AND(ISNUMBER(Sync!$U1726),Sync!$U1726&gt;=0,Sync!$U1726&lt;1),RIGHT("00"&amp;HOUR(Sync!$U1726),2)&amp;RIGHT("00"&amp;MINUTE(Sync!$U1726),2),IFERROR(RIGHT("00"&amp;VALUE(LEFT(Sync!$U1726,FIND(":",Sync!$U1726)-1)),2)&amp;RIGHT("00"&amp;VALUE(MID(Sync!$U1726,FIND(":",Sync!$U1726)+1,2)),2),"0000"))))</f>
        <v/>
      </c>
    </row>
    <row r="1731" spans="1:17" x14ac:dyDescent="0.2">
      <c r="A1731" t="str">
        <f>IF(Sync!$T1727="","",Sync!$T1727)</f>
        <v/>
      </c>
      <c r="B1731" t="str">
        <f t="shared" si="156"/>
        <v/>
      </c>
      <c r="C1731" t="str">
        <f t="shared" si="157"/>
        <v/>
      </c>
      <c r="D1731" t="str">
        <f t="shared" si="158"/>
        <v/>
      </c>
      <c r="E1731" t="str">
        <f t="shared" si="159"/>
        <v/>
      </c>
      <c r="F1731" t="str">
        <f t="shared" si="160"/>
        <v/>
      </c>
      <c r="G1731" t="str">
        <f>IF(OR($E1731="",$E1731="نامعتبر",Sync!$X1727=""),"",IF(AND(LEFT(UPPER(TRIM(Sync!$X1727)),2)="SL",IFERROR(VLOOKUP(Sync!$W1727,OpTbl,3,0),"")="فروش"),UPPER(TRIM(Sync!$X1727)),""))</f>
        <v/>
      </c>
      <c r="H1731" t="str">
        <f>IF($G1731="","",IF(Sync!$W1727="","",Sync!$W1727))</f>
        <v/>
      </c>
      <c r="I1731" t="str">
        <f>IF(OR($G1731="",Sync!$Y1727=""),"",Sync!$Y1727)</f>
        <v/>
      </c>
      <c r="J1731" t="str">
        <f>IF(OR($G1731="",Sync!$Z1727=""),"",Sync!$Z1727)</f>
        <v/>
      </c>
      <c r="K1731">
        <f>IF($G1731="",0,IF(Sync!$AA1727="",0,Sync!$AA1727))</f>
        <v>0</v>
      </c>
      <c r="L1731">
        <f>IF($G1731="",0,IF(Sync!$AB1727="",0,Sync!$AB1727))</f>
        <v>0</v>
      </c>
      <c r="M1731" t="str">
        <f t="shared" si="161"/>
        <v/>
      </c>
      <c r="N1731">
        <f>IF($G1731="",0,IF($H1731="مرجوعی فروش",-1,1)*IF(Sync!$AC1727="",0,Sync!$AC1727))</f>
        <v>0</v>
      </c>
      <c r="O1731" t="str">
        <f>IF(OR($G1731="",Sync!$V1727=""),"",Sync!$V1727)</f>
        <v/>
      </c>
      <c r="P1731" t="str">
        <f>IF(OR($G1731="",Sync!$AD1727=""),"",Sync!$AD1727)</f>
        <v/>
      </c>
      <c r="Q1731" t="str">
        <f>IF($G1731="","",IF(Sync!$U1727="","0000",IF(AND(ISNUMBER(Sync!$U1727),Sync!$U1727&gt;=0,Sync!$U1727&lt;1),RIGHT("00"&amp;HOUR(Sync!$U1727),2)&amp;RIGHT("00"&amp;MINUTE(Sync!$U1727),2),IFERROR(RIGHT("00"&amp;VALUE(LEFT(Sync!$U1727,FIND(":",Sync!$U1727)-1)),2)&amp;RIGHT("00"&amp;VALUE(MID(Sync!$U1727,FIND(":",Sync!$U1727)+1,2)),2),"0000"))))</f>
        <v/>
      </c>
    </row>
    <row r="1732" spans="1:17" x14ac:dyDescent="0.2">
      <c r="A1732" t="str">
        <f>IF(Sync!$T1728="","",Sync!$T1728)</f>
        <v/>
      </c>
      <c r="B1732" t="str">
        <f t="shared" si="156"/>
        <v/>
      </c>
      <c r="C1732" t="str">
        <f t="shared" si="157"/>
        <v/>
      </c>
      <c r="D1732" t="str">
        <f t="shared" si="158"/>
        <v/>
      </c>
      <c r="E1732" t="str">
        <f t="shared" si="159"/>
        <v/>
      </c>
      <c r="F1732" t="str">
        <f t="shared" si="160"/>
        <v/>
      </c>
      <c r="G1732" t="str">
        <f>IF(OR($E1732="",$E1732="نامعتبر",Sync!$X1728=""),"",IF(AND(LEFT(UPPER(TRIM(Sync!$X1728)),2)="SL",IFERROR(VLOOKUP(Sync!$W1728,OpTbl,3,0),"")="فروش"),UPPER(TRIM(Sync!$X1728)),""))</f>
        <v/>
      </c>
      <c r="H1732" t="str">
        <f>IF($G1732="","",IF(Sync!$W1728="","",Sync!$W1728))</f>
        <v/>
      </c>
      <c r="I1732" t="str">
        <f>IF(OR($G1732="",Sync!$Y1728=""),"",Sync!$Y1728)</f>
        <v/>
      </c>
      <c r="J1732" t="str">
        <f>IF(OR($G1732="",Sync!$Z1728=""),"",Sync!$Z1728)</f>
        <v/>
      </c>
      <c r="K1732">
        <f>IF($G1732="",0,IF(Sync!$AA1728="",0,Sync!$AA1728))</f>
        <v>0</v>
      </c>
      <c r="L1732">
        <f>IF($G1732="",0,IF(Sync!$AB1728="",0,Sync!$AB1728))</f>
        <v>0</v>
      </c>
      <c r="M1732" t="str">
        <f t="shared" si="161"/>
        <v/>
      </c>
      <c r="N1732">
        <f>IF($G1732="",0,IF($H1732="مرجوعی فروش",-1,1)*IF(Sync!$AC1728="",0,Sync!$AC1728))</f>
        <v>0</v>
      </c>
      <c r="O1732" t="str">
        <f>IF(OR($G1732="",Sync!$V1728=""),"",Sync!$V1728)</f>
        <v/>
      </c>
      <c r="P1732" t="str">
        <f>IF(OR($G1732="",Sync!$AD1728=""),"",Sync!$AD1728)</f>
        <v/>
      </c>
      <c r="Q1732" t="str">
        <f>IF($G1732="","",IF(Sync!$U1728="","0000",IF(AND(ISNUMBER(Sync!$U1728),Sync!$U1728&gt;=0,Sync!$U1728&lt;1),RIGHT("00"&amp;HOUR(Sync!$U1728),2)&amp;RIGHT("00"&amp;MINUTE(Sync!$U1728),2),IFERROR(RIGHT("00"&amp;VALUE(LEFT(Sync!$U1728,FIND(":",Sync!$U1728)-1)),2)&amp;RIGHT("00"&amp;VALUE(MID(Sync!$U1728,FIND(":",Sync!$U1728)+1,2)),2),"0000"))))</f>
        <v/>
      </c>
    </row>
    <row r="1733" spans="1:17" x14ac:dyDescent="0.2">
      <c r="A1733" t="str">
        <f>IF(Sync!$T1729="","",Sync!$T1729)</f>
        <v/>
      </c>
      <c r="B1733" t="str">
        <f t="shared" si="156"/>
        <v/>
      </c>
      <c r="C1733" t="str">
        <f t="shared" si="157"/>
        <v/>
      </c>
      <c r="D1733" t="str">
        <f t="shared" si="158"/>
        <v/>
      </c>
      <c r="E1733" t="str">
        <f t="shared" si="159"/>
        <v/>
      </c>
      <c r="F1733" t="str">
        <f t="shared" si="160"/>
        <v/>
      </c>
      <c r="G1733" t="str">
        <f>IF(OR($E1733="",$E1733="نامعتبر",Sync!$X1729=""),"",IF(AND(LEFT(UPPER(TRIM(Sync!$X1729)),2)="SL",IFERROR(VLOOKUP(Sync!$W1729,OpTbl,3,0),"")="فروش"),UPPER(TRIM(Sync!$X1729)),""))</f>
        <v/>
      </c>
      <c r="H1733" t="str">
        <f>IF($G1733="","",IF(Sync!$W1729="","",Sync!$W1729))</f>
        <v/>
      </c>
      <c r="I1733" t="str">
        <f>IF(OR($G1733="",Sync!$Y1729=""),"",Sync!$Y1729)</f>
        <v/>
      </c>
      <c r="J1733" t="str">
        <f>IF(OR($G1733="",Sync!$Z1729=""),"",Sync!$Z1729)</f>
        <v/>
      </c>
      <c r="K1733">
        <f>IF($G1733="",0,IF(Sync!$AA1729="",0,Sync!$AA1729))</f>
        <v>0</v>
      </c>
      <c r="L1733">
        <f>IF($G1733="",0,IF(Sync!$AB1729="",0,Sync!$AB1729))</f>
        <v>0</v>
      </c>
      <c r="M1733" t="str">
        <f t="shared" si="161"/>
        <v/>
      </c>
      <c r="N1733">
        <f>IF($G1733="",0,IF($H1733="مرجوعی فروش",-1,1)*IF(Sync!$AC1729="",0,Sync!$AC1729))</f>
        <v>0</v>
      </c>
      <c r="O1733" t="str">
        <f>IF(OR($G1733="",Sync!$V1729=""),"",Sync!$V1729)</f>
        <v/>
      </c>
      <c r="P1733" t="str">
        <f>IF(OR($G1733="",Sync!$AD1729=""),"",Sync!$AD1729)</f>
        <v/>
      </c>
      <c r="Q1733" t="str">
        <f>IF($G1733="","",IF(Sync!$U1729="","0000",IF(AND(ISNUMBER(Sync!$U1729),Sync!$U1729&gt;=0,Sync!$U1729&lt;1),RIGHT("00"&amp;HOUR(Sync!$U1729),2)&amp;RIGHT("00"&amp;MINUTE(Sync!$U1729),2),IFERROR(RIGHT("00"&amp;VALUE(LEFT(Sync!$U1729,FIND(":",Sync!$U1729)-1)),2)&amp;RIGHT("00"&amp;VALUE(MID(Sync!$U1729,FIND(":",Sync!$U1729)+1,2)),2),"0000"))))</f>
        <v/>
      </c>
    </row>
    <row r="1734" spans="1:17" x14ac:dyDescent="0.2">
      <c r="A1734" t="str">
        <f>IF(Sync!$T1730="","",Sync!$T1730)</f>
        <v/>
      </c>
      <c r="B1734" t="str">
        <f t="shared" si="156"/>
        <v/>
      </c>
      <c r="C1734" t="str">
        <f t="shared" si="157"/>
        <v/>
      </c>
      <c r="D1734" t="str">
        <f t="shared" si="158"/>
        <v/>
      </c>
      <c r="E1734" t="str">
        <f t="shared" si="159"/>
        <v/>
      </c>
      <c r="F1734" t="str">
        <f t="shared" si="160"/>
        <v/>
      </c>
      <c r="G1734" t="str">
        <f>IF(OR($E1734="",$E1734="نامعتبر",Sync!$X1730=""),"",IF(AND(LEFT(UPPER(TRIM(Sync!$X1730)),2)="SL",IFERROR(VLOOKUP(Sync!$W1730,OpTbl,3,0),"")="فروش"),UPPER(TRIM(Sync!$X1730)),""))</f>
        <v/>
      </c>
      <c r="H1734" t="str">
        <f>IF($G1734="","",IF(Sync!$W1730="","",Sync!$W1730))</f>
        <v/>
      </c>
      <c r="I1734" t="str">
        <f>IF(OR($G1734="",Sync!$Y1730=""),"",Sync!$Y1730)</f>
        <v/>
      </c>
      <c r="J1734" t="str">
        <f>IF(OR($G1734="",Sync!$Z1730=""),"",Sync!$Z1730)</f>
        <v/>
      </c>
      <c r="K1734">
        <f>IF($G1734="",0,IF(Sync!$AA1730="",0,Sync!$AA1730))</f>
        <v>0</v>
      </c>
      <c r="L1734">
        <f>IF($G1734="",0,IF(Sync!$AB1730="",0,Sync!$AB1730))</f>
        <v>0</v>
      </c>
      <c r="M1734" t="str">
        <f t="shared" si="161"/>
        <v/>
      </c>
      <c r="N1734">
        <f>IF($G1734="",0,IF($H1734="مرجوعی فروش",-1,1)*IF(Sync!$AC1730="",0,Sync!$AC1730))</f>
        <v>0</v>
      </c>
      <c r="O1734" t="str">
        <f>IF(OR($G1734="",Sync!$V1730=""),"",Sync!$V1730)</f>
        <v/>
      </c>
      <c r="P1734" t="str">
        <f>IF(OR($G1734="",Sync!$AD1730=""),"",Sync!$AD1730)</f>
        <v/>
      </c>
      <c r="Q1734" t="str">
        <f>IF($G1734="","",IF(Sync!$U1730="","0000",IF(AND(ISNUMBER(Sync!$U1730),Sync!$U1730&gt;=0,Sync!$U1730&lt;1),RIGHT("00"&amp;HOUR(Sync!$U1730),2)&amp;RIGHT("00"&amp;MINUTE(Sync!$U1730),2),IFERROR(RIGHT("00"&amp;VALUE(LEFT(Sync!$U1730,FIND(":",Sync!$U1730)-1)),2)&amp;RIGHT("00"&amp;VALUE(MID(Sync!$U1730,FIND(":",Sync!$U1730)+1,2)),2),"0000"))))</f>
        <v/>
      </c>
    </row>
    <row r="1735" spans="1:17" x14ac:dyDescent="0.2">
      <c r="A1735" t="str">
        <f>IF(Sync!$T1731="","",Sync!$T1731)</f>
        <v/>
      </c>
      <c r="B1735" t="str">
        <f t="shared" si="156"/>
        <v/>
      </c>
      <c r="C1735" t="str">
        <f t="shared" si="157"/>
        <v/>
      </c>
      <c r="D1735" t="str">
        <f t="shared" si="158"/>
        <v/>
      </c>
      <c r="E1735" t="str">
        <f t="shared" si="159"/>
        <v/>
      </c>
      <c r="F1735" t="str">
        <f t="shared" si="160"/>
        <v/>
      </c>
      <c r="G1735" t="str">
        <f>IF(OR($E1735="",$E1735="نامعتبر",Sync!$X1731=""),"",IF(AND(LEFT(UPPER(TRIM(Sync!$X1731)),2)="SL",IFERROR(VLOOKUP(Sync!$W1731,OpTbl,3,0),"")="فروش"),UPPER(TRIM(Sync!$X1731)),""))</f>
        <v/>
      </c>
      <c r="H1735" t="str">
        <f>IF($G1735="","",IF(Sync!$W1731="","",Sync!$W1731))</f>
        <v/>
      </c>
      <c r="I1735" t="str">
        <f>IF(OR($G1735="",Sync!$Y1731=""),"",Sync!$Y1731)</f>
        <v/>
      </c>
      <c r="J1735" t="str">
        <f>IF(OR($G1735="",Sync!$Z1731=""),"",Sync!$Z1731)</f>
        <v/>
      </c>
      <c r="K1735">
        <f>IF($G1735="",0,IF(Sync!$AA1731="",0,Sync!$AA1731))</f>
        <v>0</v>
      </c>
      <c r="L1735">
        <f>IF($G1735="",0,IF(Sync!$AB1731="",0,Sync!$AB1731))</f>
        <v>0</v>
      </c>
      <c r="M1735" t="str">
        <f t="shared" si="161"/>
        <v/>
      </c>
      <c r="N1735">
        <f>IF($G1735="",0,IF($H1735="مرجوعی فروش",-1,1)*IF(Sync!$AC1731="",0,Sync!$AC1731))</f>
        <v>0</v>
      </c>
      <c r="O1735" t="str">
        <f>IF(OR($G1735="",Sync!$V1731=""),"",Sync!$V1731)</f>
        <v/>
      </c>
      <c r="P1735" t="str">
        <f>IF(OR($G1735="",Sync!$AD1731=""),"",Sync!$AD1731)</f>
        <v/>
      </c>
      <c r="Q1735" t="str">
        <f>IF($G1735="","",IF(Sync!$U1731="","0000",IF(AND(ISNUMBER(Sync!$U1731),Sync!$U1731&gt;=0,Sync!$U1731&lt;1),RIGHT("00"&amp;HOUR(Sync!$U1731),2)&amp;RIGHT("00"&amp;MINUTE(Sync!$U1731),2),IFERROR(RIGHT("00"&amp;VALUE(LEFT(Sync!$U1731,FIND(":",Sync!$U1731)-1)),2)&amp;RIGHT("00"&amp;VALUE(MID(Sync!$U1731,FIND(":",Sync!$U1731)+1,2)),2),"0000"))))</f>
        <v/>
      </c>
    </row>
    <row r="1736" spans="1:17" x14ac:dyDescent="0.2">
      <c r="A1736" t="str">
        <f>IF(Sync!$T1732="","",Sync!$T1732)</f>
        <v/>
      </c>
      <c r="B1736" t="str">
        <f t="shared" si="156"/>
        <v/>
      </c>
      <c r="C1736" t="str">
        <f t="shared" si="157"/>
        <v/>
      </c>
      <c r="D1736" t="str">
        <f t="shared" si="158"/>
        <v/>
      </c>
      <c r="E1736" t="str">
        <f t="shared" si="159"/>
        <v/>
      </c>
      <c r="F1736" t="str">
        <f t="shared" si="160"/>
        <v/>
      </c>
      <c r="G1736" t="str">
        <f>IF(OR($E1736="",$E1736="نامعتبر",Sync!$X1732=""),"",IF(AND(LEFT(UPPER(TRIM(Sync!$X1732)),2)="SL",IFERROR(VLOOKUP(Sync!$W1732,OpTbl,3,0),"")="فروش"),UPPER(TRIM(Sync!$X1732)),""))</f>
        <v/>
      </c>
      <c r="H1736" t="str">
        <f>IF($G1736="","",IF(Sync!$W1732="","",Sync!$W1732))</f>
        <v/>
      </c>
      <c r="I1736" t="str">
        <f>IF(OR($G1736="",Sync!$Y1732=""),"",Sync!$Y1732)</f>
        <v/>
      </c>
      <c r="J1736" t="str">
        <f>IF(OR($G1736="",Sync!$Z1732=""),"",Sync!$Z1732)</f>
        <v/>
      </c>
      <c r="K1736">
        <f>IF($G1736="",0,IF(Sync!$AA1732="",0,Sync!$AA1732))</f>
        <v>0</v>
      </c>
      <c r="L1736">
        <f>IF($G1736="",0,IF(Sync!$AB1732="",0,Sync!$AB1732))</f>
        <v>0</v>
      </c>
      <c r="M1736" t="str">
        <f t="shared" si="161"/>
        <v/>
      </c>
      <c r="N1736">
        <f>IF($G1736="",0,IF($H1736="مرجوعی فروش",-1,1)*IF(Sync!$AC1732="",0,Sync!$AC1732))</f>
        <v>0</v>
      </c>
      <c r="O1736" t="str">
        <f>IF(OR($G1736="",Sync!$V1732=""),"",Sync!$V1732)</f>
        <v/>
      </c>
      <c r="P1736" t="str">
        <f>IF(OR($G1736="",Sync!$AD1732=""),"",Sync!$AD1732)</f>
        <v/>
      </c>
      <c r="Q1736" t="str">
        <f>IF($G1736="","",IF(Sync!$U1732="","0000",IF(AND(ISNUMBER(Sync!$U1732),Sync!$U1732&gt;=0,Sync!$U1732&lt;1),RIGHT("00"&amp;HOUR(Sync!$U1732),2)&amp;RIGHT("00"&amp;MINUTE(Sync!$U1732),2),IFERROR(RIGHT("00"&amp;VALUE(LEFT(Sync!$U1732,FIND(":",Sync!$U1732)-1)),2)&amp;RIGHT("00"&amp;VALUE(MID(Sync!$U1732,FIND(":",Sync!$U1732)+1,2)),2),"0000"))))</f>
        <v/>
      </c>
    </row>
    <row r="1737" spans="1:17" x14ac:dyDescent="0.2">
      <c r="A1737" t="str">
        <f>IF(Sync!$T1733="","",Sync!$T1733)</f>
        <v/>
      </c>
      <c r="B1737" t="str">
        <f t="shared" si="156"/>
        <v/>
      </c>
      <c r="C1737" t="str">
        <f t="shared" si="157"/>
        <v/>
      </c>
      <c r="D1737" t="str">
        <f t="shared" si="158"/>
        <v/>
      </c>
      <c r="E1737" t="str">
        <f t="shared" si="159"/>
        <v/>
      </c>
      <c r="F1737" t="str">
        <f t="shared" si="160"/>
        <v/>
      </c>
      <c r="G1737" t="str">
        <f>IF(OR($E1737="",$E1737="نامعتبر",Sync!$X1733=""),"",IF(AND(LEFT(UPPER(TRIM(Sync!$X1733)),2)="SL",IFERROR(VLOOKUP(Sync!$W1733,OpTbl,3,0),"")="فروش"),UPPER(TRIM(Sync!$X1733)),""))</f>
        <v/>
      </c>
      <c r="H1737" t="str">
        <f>IF($G1737="","",IF(Sync!$W1733="","",Sync!$W1733))</f>
        <v/>
      </c>
      <c r="I1737" t="str">
        <f>IF(OR($G1737="",Sync!$Y1733=""),"",Sync!$Y1733)</f>
        <v/>
      </c>
      <c r="J1737" t="str">
        <f>IF(OR($G1737="",Sync!$Z1733=""),"",Sync!$Z1733)</f>
        <v/>
      </c>
      <c r="K1737">
        <f>IF($G1737="",0,IF(Sync!$AA1733="",0,Sync!$AA1733))</f>
        <v>0</v>
      </c>
      <c r="L1737">
        <f>IF($G1737="",0,IF(Sync!$AB1733="",0,Sync!$AB1733))</f>
        <v>0</v>
      </c>
      <c r="M1737" t="str">
        <f t="shared" si="161"/>
        <v/>
      </c>
      <c r="N1737">
        <f>IF($G1737="",0,IF($H1737="مرجوعی فروش",-1,1)*IF(Sync!$AC1733="",0,Sync!$AC1733))</f>
        <v>0</v>
      </c>
      <c r="O1737" t="str">
        <f>IF(OR($G1737="",Sync!$V1733=""),"",Sync!$V1733)</f>
        <v/>
      </c>
      <c r="P1737" t="str">
        <f>IF(OR($G1737="",Sync!$AD1733=""),"",Sync!$AD1733)</f>
        <v/>
      </c>
      <c r="Q1737" t="str">
        <f>IF($G1737="","",IF(Sync!$U1733="","0000",IF(AND(ISNUMBER(Sync!$U1733),Sync!$U1733&gt;=0,Sync!$U1733&lt;1),RIGHT("00"&amp;HOUR(Sync!$U1733),2)&amp;RIGHT("00"&amp;MINUTE(Sync!$U1733),2),IFERROR(RIGHT("00"&amp;VALUE(LEFT(Sync!$U1733,FIND(":",Sync!$U1733)-1)),2)&amp;RIGHT("00"&amp;VALUE(MID(Sync!$U1733,FIND(":",Sync!$U1733)+1,2)),2),"0000"))))</f>
        <v/>
      </c>
    </row>
    <row r="1738" spans="1:17" x14ac:dyDescent="0.2">
      <c r="A1738" t="str">
        <f>IF(Sync!$T1734="","",Sync!$T1734)</f>
        <v/>
      </c>
      <c r="B1738" t="str">
        <f t="shared" ref="B1738:B1801" si="162">IF($A1738="","",IF(ISNUMBER($A1738),IF(AND($A1738&gt;=10000101,$A1738&lt;=99991231),INT($A1738/10000),""),IFERROR(VALUE(TRIM(LEFT($A1738,FIND("/",$A1738)-1))),"")))</f>
        <v/>
      </c>
      <c r="C1738" t="str">
        <f t="shared" ref="C1738:C1801" si="163">IF(OR($A1738="",$B1738=""),"",IF(ISNUMBER($A1738),INT(MOD($A1738,10000)/100),IFERROR(VALUE(TRIM(LEFT(MID($A1738,FIND("/",$A1738)+1,20),FIND("/",MID($A1738,FIND("/",$A1738)+1,20))-1))),"")))</f>
        <v/>
      </c>
      <c r="D1738" t="str">
        <f t="shared" ref="D1738:D1801" si="164">IF(OR($A1738="",$B1738=""),"",IF(ISNUMBER($A1738),MOD($A1738,100),IFERROR(VALUE(TRIM(MID(MID($A1738,FIND("/",$A1738)+1,20),FIND("/",MID($A1738,FIND("/",$A1738)+1,20))+1,20))),"")))</f>
        <v/>
      </c>
      <c r="E1738" t="str">
        <f t="shared" ref="E1738:E1801" si="165">IF($A1738="","",IF(OR($B1738="",$C1738="",$D1738="",$B1738&lt;1300,$B1738&gt;1500,$C1738&lt;1,$C1738&gt;12,$D1738&lt;1,$D1738&gt;31),"نامعتبر",RIGHT("0000"&amp;$B1738,4)&amp;"/"&amp;RIGHT("00"&amp;$C1738,2)&amp;"/"&amp;RIGHT("00"&amp;$D1738,2)))</f>
        <v/>
      </c>
      <c r="F1738" t="str">
        <f t="shared" ref="F1738:F1801" si="166">IF(OR($E1738="",$E1738="نامعتبر"),"",LEFT($E1738,4)&amp;"/"&amp;MID($E1738,6,2))</f>
        <v/>
      </c>
      <c r="G1738" t="str">
        <f>IF(OR($E1738="",$E1738="نامعتبر",Sync!$X1734=""),"",IF(AND(LEFT(UPPER(TRIM(Sync!$X1734)),2)="SL",IFERROR(VLOOKUP(Sync!$W1734,OpTbl,3,0),"")="فروش"),UPPER(TRIM(Sync!$X1734)),""))</f>
        <v/>
      </c>
      <c r="H1738" t="str">
        <f>IF($G1738="","",IF(Sync!$W1734="","",Sync!$W1734))</f>
        <v/>
      </c>
      <c r="I1738" t="str">
        <f>IF(OR($G1738="",Sync!$Y1734=""),"",Sync!$Y1734)</f>
        <v/>
      </c>
      <c r="J1738" t="str">
        <f>IF(OR($G1738="",Sync!$Z1734=""),"",Sync!$Z1734)</f>
        <v/>
      </c>
      <c r="K1738">
        <f>IF($G1738="",0,IF(Sync!$AA1734="",0,Sync!$AA1734))</f>
        <v>0</v>
      </c>
      <c r="L1738">
        <f>IF($G1738="",0,IF(Sync!$AB1734="",0,Sync!$AB1734))</f>
        <v>0</v>
      </c>
      <c r="M1738" t="str">
        <f t="shared" ref="M1738:M1801" si="167">IF($G1738="","",IF($H1738="مرجوعی فروش",-1,1)*($K1738-$L1738*IFERROR(VLOOKUP("P01",ParamTbl,3,0),1.5)))</f>
        <v/>
      </c>
      <c r="N1738">
        <f>IF($G1738="",0,IF($H1738="مرجوعی فروش",-1,1)*IF(Sync!$AC1734="",0,Sync!$AC1734))</f>
        <v>0</v>
      </c>
      <c r="O1738" t="str">
        <f>IF(OR($G1738="",Sync!$V1734=""),"",Sync!$V1734)</f>
        <v/>
      </c>
      <c r="P1738" t="str">
        <f>IF(OR($G1738="",Sync!$AD1734=""),"",Sync!$AD1734)</f>
        <v/>
      </c>
      <c r="Q1738" t="str">
        <f>IF($G1738="","",IF(Sync!$U1734="","0000",IF(AND(ISNUMBER(Sync!$U1734),Sync!$U1734&gt;=0,Sync!$U1734&lt;1),RIGHT("00"&amp;HOUR(Sync!$U1734),2)&amp;RIGHT("00"&amp;MINUTE(Sync!$U1734),2),IFERROR(RIGHT("00"&amp;VALUE(LEFT(Sync!$U1734,FIND(":",Sync!$U1734)-1)),2)&amp;RIGHT("00"&amp;VALUE(MID(Sync!$U1734,FIND(":",Sync!$U1734)+1,2)),2),"0000"))))</f>
        <v/>
      </c>
    </row>
    <row r="1739" spans="1:17" x14ac:dyDescent="0.2">
      <c r="A1739" t="str">
        <f>IF(Sync!$T1735="","",Sync!$T1735)</f>
        <v/>
      </c>
      <c r="B1739" t="str">
        <f t="shared" si="162"/>
        <v/>
      </c>
      <c r="C1739" t="str">
        <f t="shared" si="163"/>
        <v/>
      </c>
      <c r="D1739" t="str">
        <f t="shared" si="164"/>
        <v/>
      </c>
      <c r="E1739" t="str">
        <f t="shared" si="165"/>
        <v/>
      </c>
      <c r="F1739" t="str">
        <f t="shared" si="166"/>
        <v/>
      </c>
      <c r="G1739" t="str">
        <f>IF(OR($E1739="",$E1739="نامعتبر",Sync!$X1735=""),"",IF(AND(LEFT(UPPER(TRIM(Sync!$X1735)),2)="SL",IFERROR(VLOOKUP(Sync!$W1735,OpTbl,3,0),"")="فروش"),UPPER(TRIM(Sync!$X1735)),""))</f>
        <v/>
      </c>
      <c r="H1739" t="str">
        <f>IF($G1739="","",IF(Sync!$W1735="","",Sync!$W1735))</f>
        <v/>
      </c>
      <c r="I1739" t="str">
        <f>IF(OR($G1739="",Sync!$Y1735=""),"",Sync!$Y1735)</f>
        <v/>
      </c>
      <c r="J1739" t="str">
        <f>IF(OR($G1739="",Sync!$Z1735=""),"",Sync!$Z1735)</f>
        <v/>
      </c>
      <c r="K1739">
        <f>IF($G1739="",0,IF(Sync!$AA1735="",0,Sync!$AA1735))</f>
        <v>0</v>
      </c>
      <c r="L1739">
        <f>IF($G1739="",0,IF(Sync!$AB1735="",0,Sync!$AB1735))</f>
        <v>0</v>
      </c>
      <c r="M1739" t="str">
        <f t="shared" si="167"/>
        <v/>
      </c>
      <c r="N1739">
        <f>IF($G1739="",0,IF($H1739="مرجوعی فروش",-1,1)*IF(Sync!$AC1735="",0,Sync!$AC1735))</f>
        <v>0</v>
      </c>
      <c r="O1739" t="str">
        <f>IF(OR($G1739="",Sync!$V1735=""),"",Sync!$V1735)</f>
        <v/>
      </c>
      <c r="P1739" t="str">
        <f>IF(OR($G1739="",Sync!$AD1735=""),"",Sync!$AD1735)</f>
        <v/>
      </c>
      <c r="Q1739" t="str">
        <f>IF($G1739="","",IF(Sync!$U1735="","0000",IF(AND(ISNUMBER(Sync!$U1735),Sync!$U1735&gt;=0,Sync!$U1735&lt;1),RIGHT("00"&amp;HOUR(Sync!$U1735),2)&amp;RIGHT("00"&amp;MINUTE(Sync!$U1735),2),IFERROR(RIGHT("00"&amp;VALUE(LEFT(Sync!$U1735,FIND(":",Sync!$U1735)-1)),2)&amp;RIGHT("00"&amp;VALUE(MID(Sync!$U1735,FIND(":",Sync!$U1735)+1,2)),2),"0000"))))</f>
        <v/>
      </c>
    </row>
    <row r="1740" spans="1:17" x14ac:dyDescent="0.2">
      <c r="A1740" t="str">
        <f>IF(Sync!$T1736="","",Sync!$T1736)</f>
        <v/>
      </c>
      <c r="B1740" t="str">
        <f t="shared" si="162"/>
        <v/>
      </c>
      <c r="C1740" t="str">
        <f t="shared" si="163"/>
        <v/>
      </c>
      <c r="D1740" t="str">
        <f t="shared" si="164"/>
        <v/>
      </c>
      <c r="E1740" t="str">
        <f t="shared" si="165"/>
        <v/>
      </c>
      <c r="F1740" t="str">
        <f t="shared" si="166"/>
        <v/>
      </c>
      <c r="G1740" t="str">
        <f>IF(OR($E1740="",$E1740="نامعتبر",Sync!$X1736=""),"",IF(AND(LEFT(UPPER(TRIM(Sync!$X1736)),2)="SL",IFERROR(VLOOKUP(Sync!$W1736,OpTbl,3,0),"")="فروش"),UPPER(TRIM(Sync!$X1736)),""))</f>
        <v/>
      </c>
      <c r="H1740" t="str">
        <f>IF($G1740="","",IF(Sync!$W1736="","",Sync!$W1736))</f>
        <v/>
      </c>
      <c r="I1740" t="str">
        <f>IF(OR($G1740="",Sync!$Y1736=""),"",Sync!$Y1736)</f>
        <v/>
      </c>
      <c r="J1740" t="str">
        <f>IF(OR($G1740="",Sync!$Z1736=""),"",Sync!$Z1736)</f>
        <v/>
      </c>
      <c r="K1740">
        <f>IF($G1740="",0,IF(Sync!$AA1736="",0,Sync!$AA1736))</f>
        <v>0</v>
      </c>
      <c r="L1740">
        <f>IF($G1740="",0,IF(Sync!$AB1736="",0,Sync!$AB1736))</f>
        <v>0</v>
      </c>
      <c r="M1740" t="str">
        <f t="shared" si="167"/>
        <v/>
      </c>
      <c r="N1740">
        <f>IF($G1740="",0,IF($H1740="مرجوعی فروش",-1,1)*IF(Sync!$AC1736="",0,Sync!$AC1736))</f>
        <v>0</v>
      </c>
      <c r="O1740" t="str">
        <f>IF(OR($G1740="",Sync!$V1736=""),"",Sync!$V1736)</f>
        <v/>
      </c>
      <c r="P1740" t="str">
        <f>IF(OR($G1740="",Sync!$AD1736=""),"",Sync!$AD1736)</f>
        <v/>
      </c>
      <c r="Q1740" t="str">
        <f>IF($G1740="","",IF(Sync!$U1736="","0000",IF(AND(ISNUMBER(Sync!$U1736),Sync!$U1736&gt;=0,Sync!$U1736&lt;1),RIGHT("00"&amp;HOUR(Sync!$U1736),2)&amp;RIGHT("00"&amp;MINUTE(Sync!$U1736),2),IFERROR(RIGHT("00"&amp;VALUE(LEFT(Sync!$U1736,FIND(":",Sync!$U1736)-1)),2)&amp;RIGHT("00"&amp;VALUE(MID(Sync!$U1736,FIND(":",Sync!$U1736)+1,2)),2),"0000"))))</f>
        <v/>
      </c>
    </row>
    <row r="1741" spans="1:17" x14ac:dyDescent="0.2">
      <c r="A1741" t="str">
        <f>IF(Sync!$T1737="","",Sync!$T1737)</f>
        <v/>
      </c>
      <c r="B1741" t="str">
        <f t="shared" si="162"/>
        <v/>
      </c>
      <c r="C1741" t="str">
        <f t="shared" si="163"/>
        <v/>
      </c>
      <c r="D1741" t="str">
        <f t="shared" si="164"/>
        <v/>
      </c>
      <c r="E1741" t="str">
        <f t="shared" si="165"/>
        <v/>
      </c>
      <c r="F1741" t="str">
        <f t="shared" si="166"/>
        <v/>
      </c>
      <c r="G1741" t="str">
        <f>IF(OR($E1741="",$E1741="نامعتبر",Sync!$X1737=""),"",IF(AND(LEFT(UPPER(TRIM(Sync!$X1737)),2)="SL",IFERROR(VLOOKUP(Sync!$W1737,OpTbl,3,0),"")="فروش"),UPPER(TRIM(Sync!$X1737)),""))</f>
        <v/>
      </c>
      <c r="H1741" t="str">
        <f>IF($G1741="","",IF(Sync!$W1737="","",Sync!$W1737))</f>
        <v/>
      </c>
      <c r="I1741" t="str">
        <f>IF(OR($G1741="",Sync!$Y1737=""),"",Sync!$Y1737)</f>
        <v/>
      </c>
      <c r="J1741" t="str">
        <f>IF(OR($G1741="",Sync!$Z1737=""),"",Sync!$Z1737)</f>
        <v/>
      </c>
      <c r="K1741">
        <f>IF($G1741="",0,IF(Sync!$AA1737="",0,Sync!$AA1737))</f>
        <v>0</v>
      </c>
      <c r="L1741">
        <f>IF($G1741="",0,IF(Sync!$AB1737="",0,Sync!$AB1737))</f>
        <v>0</v>
      </c>
      <c r="M1741" t="str">
        <f t="shared" si="167"/>
        <v/>
      </c>
      <c r="N1741">
        <f>IF($G1741="",0,IF($H1741="مرجوعی فروش",-1,1)*IF(Sync!$AC1737="",0,Sync!$AC1737))</f>
        <v>0</v>
      </c>
      <c r="O1741" t="str">
        <f>IF(OR($G1741="",Sync!$V1737=""),"",Sync!$V1737)</f>
        <v/>
      </c>
      <c r="P1741" t="str">
        <f>IF(OR($G1741="",Sync!$AD1737=""),"",Sync!$AD1737)</f>
        <v/>
      </c>
      <c r="Q1741" t="str">
        <f>IF($G1741="","",IF(Sync!$U1737="","0000",IF(AND(ISNUMBER(Sync!$U1737),Sync!$U1737&gt;=0,Sync!$U1737&lt;1),RIGHT("00"&amp;HOUR(Sync!$U1737),2)&amp;RIGHT("00"&amp;MINUTE(Sync!$U1737),2),IFERROR(RIGHT("00"&amp;VALUE(LEFT(Sync!$U1737,FIND(":",Sync!$U1737)-1)),2)&amp;RIGHT("00"&amp;VALUE(MID(Sync!$U1737,FIND(":",Sync!$U1737)+1,2)),2),"0000"))))</f>
        <v/>
      </c>
    </row>
    <row r="1742" spans="1:17" x14ac:dyDescent="0.2">
      <c r="A1742" t="str">
        <f>IF(Sync!$T1738="","",Sync!$T1738)</f>
        <v/>
      </c>
      <c r="B1742" t="str">
        <f t="shared" si="162"/>
        <v/>
      </c>
      <c r="C1742" t="str">
        <f t="shared" si="163"/>
        <v/>
      </c>
      <c r="D1742" t="str">
        <f t="shared" si="164"/>
        <v/>
      </c>
      <c r="E1742" t="str">
        <f t="shared" si="165"/>
        <v/>
      </c>
      <c r="F1742" t="str">
        <f t="shared" si="166"/>
        <v/>
      </c>
      <c r="G1742" t="str">
        <f>IF(OR($E1742="",$E1742="نامعتبر",Sync!$X1738=""),"",IF(AND(LEFT(UPPER(TRIM(Sync!$X1738)),2)="SL",IFERROR(VLOOKUP(Sync!$W1738,OpTbl,3,0),"")="فروش"),UPPER(TRIM(Sync!$X1738)),""))</f>
        <v/>
      </c>
      <c r="H1742" t="str">
        <f>IF($G1742="","",IF(Sync!$W1738="","",Sync!$W1738))</f>
        <v/>
      </c>
      <c r="I1742" t="str">
        <f>IF(OR($G1742="",Sync!$Y1738=""),"",Sync!$Y1738)</f>
        <v/>
      </c>
      <c r="J1742" t="str">
        <f>IF(OR($G1742="",Sync!$Z1738=""),"",Sync!$Z1738)</f>
        <v/>
      </c>
      <c r="K1742">
        <f>IF($G1742="",0,IF(Sync!$AA1738="",0,Sync!$AA1738))</f>
        <v>0</v>
      </c>
      <c r="L1742">
        <f>IF($G1742="",0,IF(Sync!$AB1738="",0,Sync!$AB1738))</f>
        <v>0</v>
      </c>
      <c r="M1742" t="str">
        <f t="shared" si="167"/>
        <v/>
      </c>
      <c r="N1742">
        <f>IF($G1742="",0,IF($H1742="مرجوعی فروش",-1,1)*IF(Sync!$AC1738="",0,Sync!$AC1738))</f>
        <v>0</v>
      </c>
      <c r="O1742" t="str">
        <f>IF(OR($G1742="",Sync!$V1738=""),"",Sync!$V1738)</f>
        <v/>
      </c>
      <c r="P1742" t="str">
        <f>IF(OR($G1742="",Sync!$AD1738=""),"",Sync!$AD1738)</f>
        <v/>
      </c>
      <c r="Q1742" t="str">
        <f>IF($G1742="","",IF(Sync!$U1738="","0000",IF(AND(ISNUMBER(Sync!$U1738),Sync!$U1738&gt;=0,Sync!$U1738&lt;1),RIGHT("00"&amp;HOUR(Sync!$U1738),2)&amp;RIGHT("00"&amp;MINUTE(Sync!$U1738),2),IFERROR(RIGHT("00"&amp;VALUE(LEFT(Sync!$U1738,FIND(":",Sync!$U1738)-1)),2)&amp;RIGHT("00"&amp;VALUE(MID(Sync!$U1738,FIND(":",Sync!$U1738)+1,2)),2),"0000"))))</f>
        <v/>
      </c>
    </row>
    <row r="1743" spans="1:17" x14ac:dyDescent="0.2">
      <c r="A1743" t="str">
        <f>IF(Sync!$T1739="","",Sync!$T1739)</f>
        <v/>
      </c>
      <c r="B1743" t="str">
        <f t="shared" si="162"/>
        <v/>
      </c>
      <c r="C1743" t="str">
        <f t="shared" si="163"/>
        <v/>
      </c>
      <c r="D1743" t="str">
        <f t="shared" si="164"/>
        <v/>
      </c>
      <c r="E1743" t="str">
        <f t="shared" si="165"/>
        <v/>
      </c>
      <c r="F1743" t="str">
        <f t="shared" si="166"/>
        <v/>
      </c>
      <c r="G1743" t="str">
        <f>IF(OR($E1743="",$E1743="نامعتبر",Sync!$X1739=""),"",IF(AND(LEFT(UPPER(TRIM(Sync!$X1739)),2)="SL",IFERROR(VLOOKUP(Sync!$W1739,OpTbl,3,0),"")="فروش"),UPPER(TRIM(Sync!$X1739)),""))</f>
        <v/>
      </c>
      <c r="H1743" t="str">
        <f>IF($G1743="","",IF(Sync!$W1739="","",Sync!$W1739))</f>
        <v/>
      </c>
      <c r="I1743" t="str">
        <f>IF(OR($G1743="",Sync!$Y1739=""),"",Sync!$Y1739)</f>
        <v/>
      </c>
      <c r="J1743" t="str">
        <f>IF(OR($G1743="",Sync!$Z1739=""),"",Sync!$Z1739)</f>
        <v/>
      </c>
      <c r="K1743">
        <f>IF($G1743="",0,IF(Sync!$AA1739="",0,Sync!$AA1739))</f>
        <v>0</v>
      </c>
      <c r="L1743">
        <f>IF($G1743="",0,IF(Sync!$AB1739="",0,Sync!$AB1739))</f>
        <v>0</v>
      </c>
      <c r="M1743" t="str">
        <f t="shared" si="167"/>
        <v/>
      </c>
      <c r="N1743">
        <f>IF($G1743="",0,IF($H1743="مرجوعی فروش",-1,1)*IF(Sync!$AC1739="",0,Sync!$AC1739))</f>
        <v>0</v>
      </c>
      <c r="O1743" t="str">
        <f>IF(OR($G1743="",Sync!$V1739=""),"",Sync!$V1739)</f>
        <v/>
      </c>
      <c r="P1743" t="str">
        <f>IF(OR($G1743="",Sync!$AD1739=""),"",Sync!$AD1739)</f>
        <v/>
      </c>
      <c r="Q1743" t="str">
        <f>IF($G1743="","",IF(Sync!$U1739="","0000",IF(AND(ISNUMBER(Sync!$U1739),Sync!$U1739&gt;=0,Sync!$U1739&lt;1),RIGHT("00"&amp;HOUR(Sync!$U1739),2)&amp;RIGHT("00"&amp;MINUTE(Sync!$U1739),2),IFERROR(RIGHT("00"&amp;VALUE(LEFT(Sync!$U1739,FIND(":",Sync!$U1739)-1)),2)&amp;RIGHT("00"&amp;VALUE(MID(Sync!$U1739,FIND(":",Sync!$U1739)+1,2)),2),"0000"))))</f>
        <v/>
      </c>
    </row>
    <row r="1744" spans="1:17" x14ac:dyDescent="0.2">
      <c r="A1744" t="str">
        <f>IF(Sync!$T1740="","",Sync!$T1740)</f>
        <v/>
      </c>
      <c r="B1744" t="str">
        <f t="shared" si="162"/>
        <v/>
      </c>
      <c r="C1744" t="str">
        <f t="shared" si="163"/>
        <v/>
      </c>
      <c r="D1744" t="str">
        <f t="shared" si="164"/>
        <v/>
      </c>
      <c r="E1744" t="str">
        <f t="shared" si="165"/>
        <v/>
      </c>
      <c r="F1744" t="str">
        <f t="shared" si="166"/>
        <v/>
      </c>
      <c r="G1744" t="str">
        <f>IF(OR($E1744="",$E1744="نامعتبر",Sync!$X1740=""),"",IF(AND(LEFT(UPPER(TRIM(Sync!$X1740)),2)="SL",IFERROR(VLOOKUP(Sync!$W1740,OpTbl,3,0),"")="فروش"),UPPER(TRIM(Sync!$X1740)),""))</f>
        <v/>
      </c>
      <c r="H1744" t="str">
        <f>IF($G1744="","",IF(Sync!$W1740="","",Sync!$W1740))</f>
        <v/>
      </c>
      <c r="I1744" t="str">
        <f>IF(OR($G1744="",Sync!$Y1740=""),"",Sync!$Y1740)</f>
        <v/>
      </c>
      <c r="J1744" t="str">
        <f>IF(OR($G1744="",Sync!$Z1740=""),"",Sync!$Z1740)</f>
        <v/>
      </c>
      <c r="K1744">
        <f>IF($G1744="",0,IF(Sync!$AA1740="",0,Sync!$AA1740))</f>
        <v>0</v>
      </c>
      <c r="L1744">
        <f>IF($G1744="",0,IF(Sync!$AB1740="",0,Sync!$AB1740))</f>
        <v>0</v>
      </c>
      <c r="M1744" t="str">
        <f t="shared" si="167"/>
        <v/>
      </c>
      <c r="N1744">
        <f>IF($G1744="",0,IF($H1744="مرجوعی فروش",-1,1)*IF(Sync!$AC1740="",0,Sync!$AC1740))</f>
        <v>0</v>
      </c>
      <c r="O1744" t="str">
        <f>IF(OR($G1744="",Sync!$V1740=""),"",Sync!$V1740)</f>
        <v/>
      </c>
      <c r="P1744" t="str">
        <f>IF(OR($G1744="",Sync!$AD1740=""),"",Sync!$AD1740)</f>
        <v/>
      </c>
      <c r="Q1744" t="str">
        <f>IF($G1744="","",IF(Sync!$U1740="","0000",IF(AND(ISNUMBER(Sync!$U1740),Sync!$U1740&gt;=0,Sync!$U1740&lt;1),RIGHT("00"&amp;HOUR(Sync!$U1740),2)&amp;RIGHT("00"&amp;MINUTE(Sync!$U1740),2),IFERROR(RIGHT("00"&amp;VALUE(LEFT(Sync!$U1740,FIND(":",Sync!$U1740)-1)),2)&amp;RIGHT("00"&amp;VALUE(MID(Sync!$U1740,FIND(":",Sync!$U1740)+1,2)),2),"0000"))))</f>
        <v/>
      </c>
    </row>
    <row r="1745" spans="1:17" x14ac:dyDescent="0.2">
      <c r="A1745" t="str">
        <f>IF(Sync!$T1741="","",Sync!$T1741)</f>
        <v/>
      </c>
      <c r="B1745" t="str">
        <f t="shared" si="162"/>
        <v/>
      </c>
      <c r="C1745" t="str">
        <f t="shared" si="163"/>
        <v/>
      </c>
      <c r="D1745" t="str">
        <f t="shared" si="164"/>
        <v/>
      </c>
      <c r="E1745" t="str">
        <f t="shared" si="165"/>
        <v/>
      </c>
      <c r="F1745" t="str">
        <f t="shared" si="166"/>
        <v/>
      </c>
      <c r="G1745" t="str">
        <f>IF(OR($E1745="",$E1745="نامعتبر",Sync!$X1741=""),"",IF(AND(LEFT(UPPER(TRIM(Sync!$X1741)),2)="SL",IFERROR(VLOOKUP(Sync!$W1741,OpTbl,3,0),"")="فروش"),UPPER(TRIM(Sync!$X1741)),""))</f>
        <v/>
      </c>
      <c r="H1745" t="str">
        <f>IF($G1745="","",IF(Sync!$W1741="","",Sync!$W1741))</f>
        <v/>
      </c>
      <c r="I1745" t="str">
        <f>IF(OR($G1745="",Sync!$Y1741=""),"",Sync!$Y1741)</f>
        <v/>
      </c>
      <c r="J1745" t="str">
        <f>IF(OR($G1745="",Sync!$Z1741=""),"",Sync!$Z1741)</f>
        <v/>
      </c>
      <c r="K1745">
        <f>IF($G1745="",0,IF(Sync!$AA1741="",0,Sync!$AA1741))</f>
        <v>0</v>
      </c>
      <c r="L1745">
        <f>IF($G1745="",0,IF(Sync!$AB1741="",0,Sync!$AB1741))</f>
        <v>0</v>
      </c>
      <c r="M1745" t="str">
        <f t="shared" si="167"/>
        <v/>
      </c>
      <c r="N1745">
        <f>IF($G1745="",0,IF($H1745="مرجوعی فروش",-1,1)*IF(Sync!$AC1741="",0,Sync!$AC1741))</f>
        <v>0</v>
      </c>
      <c r="O1745" t="str">
        <f>IF(OR($G1745="",Sync!$V1741=""),"",Sync!$V1741)</f>
        <v/>
      </c>
      <c r="P1745" t="str">
        <f>IF(OR($G1745="",Sync!$AD1741=""),"",Sync!$AD1741)</f>
        <v/>
      </c>
      <c r="Q1745" t="str">
        <f>IF($G1745="","",IF(Sync!$U1741="","0000",IF(AND(ISNUMBER(Sync!$U1741),Sync!$U1741&gt;=0,Sync!$U1741&lt;1),RIGHT("00"&amp;HOUR(Sync!$U1741),2)&amp;RIGHT("00"&amp;MINUTE(Sync!$U1741),2),IFERROR(RIGHT("00"&amp;VALUE(LEFT(Sync!$U1741,FIND(":",Sync!$U1741)-1)),2)&amp;RIGHT("00"&amp;VALUE(MID(Sync!$U1741,FIND(":",Sync!$U1741)+1,2)),2),"0000"))))</f>
        <v/>
      </c>
    </row>
    <row r="1746" spans="1:17" x14ac:dyDescent="0.2">
      <c r="A1746" t="str">
        <f>IF(Sync!$T1742="","",Sync!$T1742)</f>
        <v/>
      </c>
      <c r="B1746" t="str">
        <f t="shared" si="162"/>
        <v/>
      </c>
      <c r="C1746" t="str">
        <f t="shared" si="163"/>
        <v/>
      </c>
      <c r="D1746" t="str">
        <f t="shared" si="164"/>
        <v/>
      </c>
      <c r="E1746" t="str">
        <f t="shared" si="165"/>
        <v/>
      </c>
      <c r="F1746" t="str">
        <f t="shared" si="166"/>
        <v/>
      </c>
      <c r="G1746" t="str">
        <f>IF(OR($E1746="",$E1746="نامعتبر",Sync!$X1742=""),"",IF(AND(LEFT(UPPER(TRIM(Sync!$X1742)),2)="SL",IFERROR(VLOOKUP(Sync!$W1742,OpTbl,3,0),"")="فروش"),UPPER(TRIM(Sync!$X1742)),""))</f>
        <v/>
      </c>
      <c r="H1746" t="str">
        <f>IF($G1746="","",IF(Sync!$W1742="","",Sync!$W1742))</f>
        <v/>
      </c>
      <c r="I1746" t="str">
        <f>IF(OR($G1746="",Sync!$Y1742=""),"",Sync!$Y1742)</f>
        <v/>
      </c>
      <c r="J1746" t="str">
        <f>IF(OR($G1746="",Sync!$Z1742=""),"",Sync!$Z1742)</f>
        <v/>
      </c>
      <c r="K1746">
        <f>IF($G1746="",0,IF(Sync!$AA1742="",0,Sync!$AA1742))</f>
        <v>0</v>
      </c>
      <c r="L1746">
        <f>IF($G1746="",0,IF(Sync!$AB1742="",0,Sync!$AB1742))</f>
        <v>0</v>
      </c>
      <c r="M1746" t="str">
        <f t="shared" si="167"/>
        <v/>
      </c>
      <c r="N1746">
        <f>IF($G1746="",0,IF($H1746="مرجوعی فروش",-1,1)*IF(Sync!$AC1742="",0,Sync!$AC1742))</f>
        <v>0</v>
      </c>
      <c r="O1746" t="str">
        <f>IF(OR($G1746="",Sync!$V1742=""),"",Sync!$V1742)</f>
        <v/>
      </c>
      <c r="P1746" t="str">
        <f>IF(OR($G1746="",Sync!$AD1742=""),"",Sync!$AD1742)</f>
        <v/>
      </c>
      <c r="Q1746" t="str">
        <f>IF($G1746="","",IF(Sync!$U1742="","0000",IF(AND(ISNUMBER(Sync!$U1742),Sync!$U1742&gt;=0,Sync!$U1742&lt;1),RIGHT("00"&amp;HOUR(Sync!$U1742),2)&amp;RIGHT("00"&amp;MINUTE(Sync!$U1742),2),IFERROR(RIGHT("00"&amp;VALUE(LEFT(Sync!$U1742,FIND(":",Sync!$U1742)-1)),2)&amp;RIGHT("00"&amp;VALUE(MID(Sync!$U1742,FIND(":",Sync!$U1742)+1,2)),2),"0000"))))</f>
        <v/>
      </c>
    </row>
    <row r="1747" spans="1:17" x14ac:dyDescent="0.2">
      <c r="A1747" t="str">
        <f>IF(Sync!$T1743="","",Sync!$T1743)</f>
        <v/>
      </c>
      <c r="B1747" t="str">
        <f t="shared" si="162"/>
        <v/>
      </c>
      <c r="C1747" t="str">
        <f t="shared" si="163"/>
        <v/>
      </c>
      <c r="D1747" t="str">
        <f t="shared" si="164"/>
        <v/>
      </c>
      <c r="E1747" t="str">
        <f t="shared" si="165"/>
        <v/>
      </c>
      <c r="F1747" t="str">
        <f t="shared" si="166"/>
        <v/>
      </c>
      <c r="G1747" t="str">
        <f>IF(OR($E1747="",$E1747="نامعتبر",Sync!$X1743=""),"",IF(AND(LEFT(UPPER(TRIM(Sync!$X1743)),2)="SL",IFERROR(VLOOKUP(Sync!$W1743,OpTbl,3,0),"")="فروش"),UPPER(TRIM(Sync!$X1743)),""))</f>
        <v/>
      </c>
      <c r="H1747" t="str">
        <f>IF($G1747="","",IF(Sync!$W1743="","",Sync!$W1743))</f>
        <v/>
      </c>
      <c r="I1747" t="str">
        <f>IF(OR($G1747="",Sync!$Y1743=""),"",Sync!$Y1743)</f>
        <v/>
      </c>
      <c r="J1747" t="str">
        <f>IF(OR($G1747="",Sync!$Z1743=""),"",Sync!$Z1743)</f>
        <v/>
      </c>
      <c r="K1747">
        <f>IF($G1747="",0,IF(Sync!$AA1743="",0,Sync!$AA1743))</f>
        <v>0</v>
      </c>
      <c r="L1747">
        <f>IF($G1747="",0,IF(Sync!$AB1743="",0,Sync!$AB1743))</f>
        <v>0</v>
      </c>
      <c r="M1747" t="str">
        <f t="shared" si="167"/>
        <v/>
      </c>
      <c r="N1747">
        <f>IF($G1747="",0,IF($H1747="مرجوعی فروش",-1,1)*IF(Sync!$AC1743="",0,Sync!$AC1743))</f>
        <v>0</v>
      </c>
      <c r="O1747" t="str">
        <f>IF(OR($G1747="",Sync!$V1743=""),"",Sync!$V1743)</f>
        <v/>
      </c>
      <c r="P1747" t="str">
        <f>IF(OR($G1747="",Sync!$AD1743=""),"",Sync!$AD1743)</f>
        <v/>
      </c>
      <c r="Q1747" t="str">
        <f>IF($G1747="","",IF(Sync!$U1743="","0000",IF(AND(ISNUMBER(Sync!$U1743),Sync!$U1743&gt;=0,Sync!$U1743&lt;1),RIGHT("00"&amp;HOUR(Sync!$U1743),2)&amp;RIGHT("00"&amp;MINUTE(Sync!$U1743),2),IFERROR(RIGHT("00"&amp;VALUE(LEFT(Sync!$U1743,FIND(":",Sync!$U1743)-1)),2)&amp;RIGHT("00"&amp;VALUE(MID(Sync!$U1743,FIND(":",Sync!$U1743)+1,2)),2),"0000"))))</f>
        <v/>
      </c>
    </row>
    <row r="1748" spans="1:17" x14ac:dyDescent="0.2">
      <c r="A1748" t="str">
        <f>IF(Sync!$T1744="","",Sync!$T1744)</f>
        <v/>
      </c>
      <c r="B1748" t="str">
        <f t="shared" si="162"/>
        <v/>
      </c>
      <c r="C1748" t="str">
        <f t="shared" si="163"/>
        <v/>
      </c>
      <c r="D1748" t="str">
        <f t="shared" si="164"/>
        <v/>
      </c>
      <c r="E1748" t="str">
        <f t="shared" si="165"/>
        <v/>
      </c>
      <c r="F1748" t="str">
        <f t="shared" si="166"/>
        <v/>
      </c>
      <c r="G1748" t="str">
        <f>IF(OR($E1748="",$E1748="نامعتبر",Sync!$X1744=""),"",IF(AND(LEFT(UPPER(TRIM(Sync!$X1744)),2)="SL",IFERROR(VLOOKUP(Sync!$W1744,OpTbl,3,0),"")="فروش"),UPPER(TRIM(Sync!$X1744)),""))</f>
        <v/>
      </c>
      <c r="H1748" t="str">
        <f>IF($G1748="","",IF(Sync!$W1744="","",Sync!$W1744))</f>
        <v/>
      </c>
      <c r="I1748" t="str">
        <f>IF(OR($G1748="",Sync!$Y1744=""),"",Sync!$Y1744)</f>
        <v/>
      </c>
      <c r="J1748" t="str">
        <f>IF(OR($G1748="",Sync!$Z1744=""),"",Sync!$Z1744)</f>
        <v/>
      </c>
      <c r="K1748">
        <f>IF($G1748="",0,IF(Sync!$AA1744="",0,Sync!$AA1744))</f>
        <v>0</v>
      </c>
      <c r="L1748">
        <f>IF($G1748="",0,IF(Sync!$AB1744="",0,Sync!$AB1744))</f>
        <v>0</v>
      </c>
      <c r="M1748" t="str">
        <f t="shared" si="167"/>
        <v/>
      </c>
      <c r="N1748">
        <f>IF($G1748="",0,IF($H1748="مرجوعی فروش",-1,1)*IF(Sync!$AC1744="",0,Sync!$AC1744))</f>
        <v>0</v>
      </c>
      <c r="O1748" t="str">
        <f>IF(OR($G1748="",Sync!$V1744=""),"",Sync!$V1744)</f>
        <v/>
      </c>
      <c r="P1748" t="str">
        <f>IF(OR($G1748="",Sync!$AD1744=""),"",Sync!$AD1744)</f>
        <v/>
      </c>
      <c r="Q1748" t="str">
        <f>IF($G1748="","",IF(Sync!$U1744="","0000",IF(AND(ISNUMBER(Sync!$U1744),Sync!$U1744&gt;=0,Sync!$U1744&lt;1),RIGHT("00"&amp;HOUR(Sync!$U1744),2)&amp;RIGHT("00"&amp;MINUTE(Sync!$U1744),2),IFERROR(RIGHT("00"&amp;VALUE(LEFT(Sync!$U1744,FIND(":",Sync!$U1744)-1)),2)&amp;RIGHT("00"&amp;VALUE(MID(Sync!$U1744,FIND(":",Sync!$U1744)+1,2)),2),"0000"))))</f>
        <v/>
      </c>
    </row>
    <row r="1749" spans="1:17" x14ac:dyDescent="0.2">
      <c r="A1749" t="str">
        <f>IF(Sync!$T1745="","",Sync!$T1745)</f>
        <v/>
      </c>
      <c r="B1749" t="str">
        <f t="shared" si="162"/>
        <v/>
      </c>
      <c r="C1749" t="str">
        <f t="shared" si="163"/>
        <v/>
      </c>
      <c r="D1749" t="str">
        <f t="shared" si="164"/>
        <v/>
      </c>
      <c r="E1749" t="str">
        <f t="shared" si="165"/>
        <v/>
      </c>
      <c r="F1749" t="str">
        <f t="shared" si="166"/>
        <v/>
      </c>
      <c r="G1749" t="str">
        <f>IF(OR($E1749="",$E1749="نامعتبر",Sync!$X1745=""),"",IF(AND(LEFT(UPPER(TRIM(Sync!$X1745)),2)="SL",IFERROR(VLOOKUP(Sync!$W1745,OpTbl,3,0),"")="فروش"),UPPER(TRIM(Sync!$X1745)),""))</f>
        <v/>
      </c>
      <c r="H1749" t="str">
        <f>IF($G1749="","",IF(Sync!$W1745="","",Sync!$W1745))</f>
        <v/>
      </c>
      <c r="I1749" t="str">
        <f>IF(OR($G1749="",Sync!$Y1745=""),"",Sync!$Y1745)</f>
        <v/>
      </c>
      <c r="J1749" t="str">
        <f>IF(OR($G1749="",Sync!$Z1745=""),"",Sync!$Z1745)</f>
        <v/>
      </c>
      <c r="K1749">
        <f>IF($G1749="",0,IF(Sync!$AA1745="",0,Sync!$AA1745))</f>
        <v>0</v>
      </c>
      <c r="L1749">
        <f>IF($G1749="",0,IF(Sync!$AB1745="",0,Sync!$AB1745))</f>
        <v>0</v>
      </c>
      <c r="M1749" t="str">
        <f t="shared" si="167"/>
        <v/>
      </c>
      <c r="N1749">
        <f>IF($G1749="",0,IF($H1749="مرجوعی فروش",-1,1)*IF(Sync!$AC1745="",0,Sync!$AC1745))</f>
        <v>0</v>
      </c>
      <c r="O1749" t="str">
        <f>IF(OR($G1749="",Sync!$V1745=""),"",Sync!$V1745)</f>
        <v/>
      </c>
      <c r="P1749" t="str">
        <f>IF(OR($G1749="",Sync!$AD1745=""),"",Sync!$AD1745)</f>
        <v/>
      </c>
      <c r="Q1749" t="str">
        <f>IF($G1749="","",IF(Sync!$U1745="","0000",IF(AND(ISNUMBER(Sync!$U1745),Sync!$U1745&gt;=0,Sync!$U1745&lt;1),RIGHT("00"&amp;HOUR(Sync!$U1745),2)&amp;RIGHT("00"&amp;MINUTE(Sync!$U1745),2),IFERROR(RIGHT("00"&amp;VALUE(LEFT(Sync!$U1745,FIND(":",Sync!$U1745)-1)),2)&amp;RIGHT("00"&amp;VALUE(MID(Sync!$U1745,FIND(":",Sync!$U1745)+1,2)),2),"0000"))))</f>
        <v/>
      </c>
    </row>
    <row r="1750" spans="1:17" x14ac:dyDescent="0.2">
      <c r="A1750" t="str">
        <f>IF(Sync!$T1746="","",Sync!$T1746)</f>
        <v/>
      </c>
      <c r="B1750" t="str">
        <f t="shared" si="162"/>
        <v/>
      </c>
      <c r="C1750" t="str">
        <f t="shared" si="163"/>
        <v/>
      </c>
      <c r="D1750" t="str">
        <f t="shared" si="164"/>
        <v/>
      </c>
      <c r="E1750" t="str">
        <f t="shared" si="165"/>
        <v/>
      </c>
      <c r="F1750" t="str">
        <f t="shared" si="166"/>
        <v/>
      </c>
      <c r="G1750" t="str">
        <f>IF(OR($E1750="",$E1750="نامعتبر",Sync!$X1746=""),"",IF(AND(LEFT(UPPER(TRIM(Sync!$X1746)),2)="SL",IFERROR(VLOOKUP(Sync!$W1746,OpTbl,3,0),"")="فروش"),UPPER(TRIM(Sync!$X1746)),""))</f>
        <v/>
      </c>
      <c r="H1750" t="str">
        <f>IF($G1750="","",IF(Sync!$W1746="","",Sync!$W1746))</f>
        <v/>
      </c>
      <c r="I1750" t="str">
        <f>IF(OR($G1750="",Sync!$Y1746=""),"",Sync!$Y1746)</f>
        <v/>
      </c>
      <c r="J1750" t="str">
        <f>IF(OR($G1750="",Sync!$Z1746=""),"",Sync!$Z1746)</f>
        <v/>
      </c>
      <c r="K1750">
        <f>IF($G1750="",0,IF(Sync!$AA1746="",0,Sync!$AA1746))</f>
        <v>0</v>
      </c>
      <c r="L1750">
        <f>IF($G1750="",0,IF(Sync!$AB1746="",0,Sync!$AB1746))</f>
        <v>0</v>
      </c>
      <c r="M1750" t="str">
        <f t="shared" si="167"/>
        <v/>
      </c>
      <c r="N1750">
        <f>IF($G1750="",0,IF($H1750="مرجوعی فروش",-1,1)*IF(Sync!$AC1746="",0,Sync!$AC1746))</f>
        <v>0</v>
      </c>
      <c r="O1750" t="str">
        <f>IF(OR($G1750="",Sync!$V1746=""),"",Sync!$V1746)</f>
        <v/>
      </c>
      <c r="P1750" t="str">
        <f>IF(OR($G1750="",Sync!$AD1746=""),"",Sync!$AD1746)</f>
        <v/>
      </c>
      <c r="Q1750" t="str">
        <f>IF($G1750="","",IF(Sync!$U1746="","0000",IF(AND(ISNUMBER(Sync!$U1746),Sync!$U1746&gt;=0,Sync!$U1746&lt;1),RIGHT("00"&amp;HOUR(Sync!$U1746),2)&amp;RIGHT("00"&amp;MINUTE(Sync!$U1746),2),IFERROR(RIGHT("00"&amp;VALUE(LEFT(Sync!$U1746,FIND(":",Sync!$U1746)-1)),2)&amp;RIGHT("00"&amp;VALUE(MID(Sync!$U1746,FIND(":",Sync!$U1746)+1,2)),2),"0000"))))</f>
        <v/>
      </c>
    </row>
    <row r="1751" spans="1:17" x14ac:dyDescent="0.2">
      <c r="A1751" t="str">
        <f>IF(Sync!$T1747="","",Sync!$T1747)</f>
        <v/>
      </c>
      <c r="B1751" t="str">
        <f t="shared" si="162"/>
        <v/>
      </c>
      <c r="C1751" t="str">
        <f t="shared" si="163"/>
        <v/>
      </c>
      <c r="D1751" t="str">
        <f t="shared" si="164"/>
        <v/>
      </c>
      <c r="E1751" t="str">
        <f t="shared" si="165"/>
        <v/>
      </c>
      <c r="F1751" t="str">
        <f t="shared" si="166"/>
        <v/>
      </c>
      <c r="G1751" t="str">
        <f>IF(OR($E1751="",$E1751="نامعتبر",Sync!$X1747=""),"",IF(AND(LEFT(UPPER(TRIM(Sync!$X1747)),2)="SL",IFERROR(VLOOKUP(Sync!$W1747,OpTbl,3,0),"")="فروش"),UPPER(TRIM(Sync!$X1747)),""))</f>
        <v/>
      </c>
      <c r="H1751" t="str">
        <f>IF($G1751="","",IF(Sync!$W1747="","",Sync!$W1747))</f>
        <v/>
      </c>
      <c r="I1751" t="str">
        <f>IF(OR($G1751="",Sync!$Y1747=""),"",Sync!$Y1747)</f>
        <v/>
      </c>
      <c r="J1751" t="str">
        <f>IF(OR($G1751="",Sync!$Z1747=""),"",Sync!$Z1747)</f>
        <v/>
      </c>
      <c r="K1751">
        <f>IF($G1751="",0,IF(Sync!$AA1747="",0,Sync!$AA1747))</f>
        <v>0</v>
      </c>
      <c r="L1751">
        <f>IF($G1751="",0,IF(Sync!$AB1747="",0,Sync!$AB1747))</f>
        <v>0</v>
      </c>
      <c r="M1751" t="str">
        <f t="shared" si="167"/>
        <v/>
      </c>
      <c r="N1751">
        <f>IF($G1751="",0,IF($H1751="مرجوعی فروش",-1,1)*IF(Sync!$AC1747="",0,Sync!$AC1747))</f>
        <v>0</v>
      </c>
      <c r="O1751" t="str">
        <f>IF(OR($G1751="",Sync!$V1747=""),"",Sync!$V1747)</f>
        <v/>
      </c>
      <c r="P1751" t="str">
        <f>IF(OR($G1751="",Sync!$AD1747=""),"",Sync!$AD1747)</f>
        <v/>
      </c>
      <c r="Q1751" t="str">
        <f>IF($G1751="","",IF(Sync!$U1747="","0000",IF(AND(ISNUMBER(Sync!$U1747),Sync!$U1747&gt;=0,Sync!$U1747&lt;1),RIGHT("00"&amp;HOUR(Sync!$U1747),2)&amp;RIGHT("00"&amp;MINUTE(Sync!$U1747),2),IFERROR(RIGHT("00"&amp;VALUE(LEFT(Sync!$U1747,FIND(":",Sync!$U1747)-1)),2)&amp;RIGHT("00"&amp;VALUE(MID(Sync!$U1747,FIND(":",Sync!$U1747)+1,2)),2),"0000"))))</f>
        <v/>
      </c>
    </row>
    <row r="1752" spans="1:17" x14ac:dyDescent="0.2">
      <c r="A1752" t="str">
        <f>IF(Sync!$T1748="","",Sync!$T1748)</f>
        <v/>
      </c>
      <c r="B1752" t="str">
        <f t="shared" si="162"/>
        <v/>
      </c>
      <c r="C1752" t="str">
        <f t="shared" si="163"/>
        <v/>
      </c>
      <c r="D1752" t="str">
        <f t="shared" si="164"/>
        <v/>
      </c>
      <c r="E1752" t="str">
        <f t="shared" si="165"/>
        <v/>
      </c>
      <c r="F1752" t="str">
        <f t="shared" si="166"/>
        <v/>
      </c>
      <c r="G1752" t="str">
        <f>IF(OR($E1752="",$E1752="نامعتبر",Sync!$X1748=""),"",IF(AND(LEFT(UPPER(TRIM(Sync!$X1748)),2)="SL",IFERROR(VLOOKUP(Sync!$W1748,OpTbl,3,0),"")="فروش"),UPPER(TRIM(Sync!$X1748)),""))</f>
        <v/>
      </c>
      <c r="H1752" t="str">
        <f>IF($G1752="","",IF(Sync!$W1748="","",Sync!$W1748))</f>
        <v/>
      </c>
      <c r="I1752" t="str">
        <f>IF(OR($G1752="",Sync!$Y1748=""),"",Sync!$Y1748)</f>
        <v/>
      </c>
      <c r="J1752" t="str">
        <f>IF(OR($G1752="",Sync!$Z1748=""),"",Sync!$Z1748)</f>
        <v/>
      </c>
      <c r="K1752">
        <f>IF($G1752="",0,IF(Sync!$AA1748="",0,Sync!$AA1748))</f>
        <v>0</v>
      </c>
      <c r="L1752">
        <f>IF($G1752="",0,IF(Sync!$AB1748="",0,Sync!$AB1748))</f>
        <v>0</v>
      </c>
      <c r="M1752" t="str">
        <f t="shared" si="167"/>
        <v/>
      </c>
      <c r="N1752">
        <f>IF($G1752="",0,IF($H1752="مرجوعی فروش",-1,1)*IF(Sync!$AC1748="",0,Sync!$AC1748))</f>
        <v>0</v>
      </c>
      <c r="O1752" t="str">
        <f>IF(OR($G1752="",Sync!$V1748=""),"",Sync!$V1748)</f>
        <v/>
      </c>
      <c r="P1752" t="str">
        <f>IF(OR($G1752="",Sync!$AD1748=""),"",Sync!$AD1748)</f>
        <v/>
      </c>
      <c r="Q1752" t="str">
        <f>IF($G1752="","",IF(Sync!$U1748="","0000",IF(AND(ISNUMBER(Sync!$U1748),Sync!$U1748&gt;=0,Sync!$U1748&lt;1),RIGHT("00"&amp;HOUR(Sync!$U1748),2)&amp;RIGHT("00"&amp;MINUTE(Sync!$U1748),2),IFERROR(RIGHT("00"&amp;VALUE(LEFT(Sync!$U1748,FIND(":",Sync!$U1748)-1)),2)&amp;RIGHT("00"&amp;VALUE(MID(Sync!$U1748,FIND(":",Sync!$U1748)+1,2)),2),"0000"))))</f>
        <v/>
      </c>
    </row>
    <row r="1753" spans="1:17" x14ac:dyDescent="0.2">
      <c r="A1753" t="str">
        <f>IF(Sync!$T1749="","",Sync!$T1749)</f>
        <v/>
      </c>
      <c r="B1753" t="str">
        <f t="shared" si="162"/>
        <v/>
      </c>
      <c r="C1753" t="str">
        <f t="shared" si="163"/>
        <v/>
      </c>
      <c r="D1753" t="str">
        <f t="shared" si="164"/>
        <v/>
      </c>
      <c r="E1753" t="str">
        <f t="shared" si="165"/>
        <v/>
      </c>
      <c r="F1753" t="str">
        <f t="shared" si="166"/>
        <v/>
      </c>
      <c r="G1753" t="str">
        <f>IF(OR($E1753="",$E1753="نامعتبر",Sync!$X1749=""),"",IF(AND(LEFT(UPPER(TRIM(Sync!$X1749)),2)="SL",IFERROR(VLOOKUP(Sync!$W1749,OpTbl,3,0),"")="فروش"),UPPER(TRIM(Sync!$X1749)),""))</f>
        <v/>
      </c>
      <c r="H1753" t="str">
        <f>IF($G1753="","",IF(Sync!$W1749="","",Sync!$W1749))</f>
        <v/>
      </c>
      <c r="I1753" t="str">
        <f>IF(OR($G1753="",Sync!$Y1749=""),"",Sync!$Y1749)</f>
        <v/>
      </c>
      <c r="J1753" t="str">
        <f>IF(OR($G1753="",Sync!$Z1749=""),"",Sync!$Z1749)</f>
        <v/>
      </c>
      <c r="K1753">
        <f>IF($G1753="",0,IF(Sync!$AA1749="",0,Sync!$AA1749))</f>
        <v>0</v>
      </c>
      <c r="L1753">
        <f>IF($G1753="",0,IF(Sync!$AB1749="",0,Sync!$AB1749))</f>
        <v>0</v>
      </c>
      <c r="M1753" t="str">
        <f t="shared" si="167"/>
        <v/>
      </c>
      <c r="N1753">
        <f>IF($G1753="",0,IF($H1753="مرجوعی فروش",-1,1)*IF(Sync!$AC1749="",0,Sync!$AC1749))</f>
        <v>0</v>
      </c>
      <c r="O1753" t="str">
        <f>IF(OR($G1753="",Sync!$V1749=""),"",Sync!$V1749)</f>
        <v/>
      </c>
      <c r="P1753" t="str">
        <f>IF(OR($G1753="",Sync!$AD1749=""),"",Sync!$AD1749)</f>
        <v/>
      </c>
      <c r="Q1753" t="str">
        <f>IF($G1753="","",IF(Sync!$U1749="","0000",IF(AND(ISNUMBER(Sync!$U1749),Sync!$U1749&gt;=0,Sync!$U1749&lt;1),RIGHT("00"&amp;HOUR(Sync!$U1749),2)&amp;RIGHT("00"&amp;MINUTE(Sync!$U1749),2),IFERROR(RIGHT("00"&amp;VALUE(LEFT(Sync!$U1749,FIND(":",Sync!$U1749)-1)),2)&amp;RIGHT("00"&amp;VALUE(MID(Sync!$U1749,FIND(":",Sync!$U1749)+1,2)),2),"0000"))))</f>
        <v/>
      </c>
    </row>
    <row r="1754" spans="1:17" x14ac:dyDescent="0.2">
      <c r="A1754" t="str">
        <f>IF(Sync!$T1750="","",Sync!$T1750)</f>
        <v/>
      </c>
      <c r="B1754" t="str">
        <f t="shared" si="162"/>
        <v/>
      </c>
      <c r="C1754" t="str">
        <f t="shared" si="163"/>
        <v/>
      </c>
      <c r="D1754" t="str">
        <f t="shared" si="164"/>
        <v/>
      </c>
      <c r="E1754" t="str">
        <f t="shared" si="165"/>
        <v/>
      </c>
      <c r="F1754" t="str">
        <f t="shared" si="166"/>
        <v/>
      </c>
      <c r="G1754" t="str">
        <f>IF(OR($E1754="",$E1754="نامعتبر",Sync!$X1750=""),"",IF(AND(LEFT(UPPER(TRIM(Sync!$X1750)),2)="SL",IFERROR(VLOOKUP(Sync!$W1750,OpTbl,3,0),"")="فروش"),UPPER(TRIM(Sync!$X1750)),""))</f>
        <v/>
      </c>
      <c r="H1754" t="str">
        <f>IF($G1754="","",IF(Sync!$W1750="","",Sync!$W1750))</f>
        <v/>
      </c>
      <c r="I1754" t="str">
        <f>IF(OR($G1754="",Sync!$Y1750=""),"",Sync!$Y1750)</f>
        <v/>
      </c>
      <c r="J1754" t="str">
        <f>IF(OR($G1754="",Sync!$Z1750=""),"",Sync!$Z1750)</f>
        <v/>
      </c>
      <c r="K1754">
        <f>IF($G1754="",0,IF(Sync!$AA1750="",0,Sync!$AA1750))</f>
        <v>0</v>
      </c>
      <c r="L1754">
        <f>IF($G1754="",0,IF(Sync!$AB1750="",0,Sync!$AB1750))</f>
        <v>0</v>
      </c>
      <c r="M1754" t="str">
        <f t="shared" si="167"/>
        <v/>
      </c>
      <c r="N1754">
        <f>IF($G1754="",0,IF($H1754="مرجوعی فروش",-1,1)*IF(Sync!$AC1750="",0,Sync!$AC1750))</f>
        <v>0</v>
      </c>
      <c r="O1754" t="str">
        <f>IF(OR($G1754="",Sync!$V1750=""),"",Sync!$V1750)</f>
        <v/>
      </c>
      <c r="P1754" t="str">
        <f>IF(OR($G1754="",Sync!$AD1750=""),"",Sync!$AD1750)</f>
        <v/>
      </c>
      <c r="Q1754" t="str">
        <f>IF($G1754="","",IF(Sync!$U1750="","0000",IF(AND(ISNUMBER(Sync!$U1750),Sync!$U1750&gt;=0,Sync!$U1750&lt;1),RIGHT("00"&amp;HOUR(Sync!$U1750),2)&amp;RIGHT("00"&amp;MINUTE(Sync!$U1750),2),IFERROR(RIGHT("00"&amp;VALUE(LEFT(Sync!$U1750,FIND(":",Sync!$U1750)-1)),2)&amp;RIGHT("00"&amp;VALUE(MID(Sync!$U1750,FIND(":",Sync!$U1750)+1,2)),2),"0000"))))</f>
        <v/>
      </c>
    </row>
    <row r="1755" spans="1:17" x14ac:dyDescent="0.2">
      <c r="A1755" t="str">
        <f>IF(Sync!$T1751="","",Sync!$T1751)</f>
        <v/>
      </c>
      <c r="B1755" t="str">
        <f t="shared" si="162"/>
        <v/>
      </c>
      <c r="C1755" t="str">
        <f t="shared" si="163"/>
        <v/>
      </c>
      <c r="D1755" t="str">
        <f t="shared" si="164"/>
        <v/>
      </c>
      <c r="E1755" t="str">
        <f t="shared" si="165"/>
        <v/>
      </c>
      <c r="F1755" t="str">
        <f t="shared" si="166"/>
        <v/>
      </c>
      <c r="G1755" t="str">
        <f>IF(OR($E1755="",$E1755="نامعتبر",Sync!$X1751=""),"",IF(AND(LEFT(UPPER(TRIM(Sync!$X1751)),2)="SL",IFERROR(VLOOKUP(Sync!$W1751,OpTbl,3,0),"")="فروش"),UPPER(TRIM(Sync!$X1751)),""))</f>
        <v/>
      </c>
      <c r="H1755" t="str">
        <f>IF($G1755="","",IF(Sync!$W1751="","",Sync!$W1751))</f>
        <v/>
      </c>
      <c r="I1755" t="str">
        <f>IF(OR($G1755="",Sync!$Y1751=""),"",Sync!$Y1751)</f>
        <v/>
      </c>
      <c r="J1755" t="str">
        <f>IF(OR($G1755="",Sync!$Z1751=""),"",Sync!$Z1751)</f>
        <v/>
      </c>
      <c r="K1755">
        <f>IF($G1755="",0,IF(Sync!$AA1751="",0,Sync!$AA1751))</f>
        <v>0</v>
      </c>
      <c r="L1755">
        <f>IF($G1755="",0,IF(Sync!$AB1751="",0,Sync!$AB1751))</f>
        <v>0</v>
      </c>
      <c r="M1755" t="str">
        <f t="shared" si="167"/>
        <v/>
      </c>
      <c r="N1755">
        <f>IF($G1755="",0,IF($H1755="مرجوعی فروش",-1,1)*IF(Sync!$AC1751="",0,Sync!$AC1751))</f>
        <v>0</v>
      </c>
      <c r="O1755" t="str">
        <f>IF(OR($G1755="",Sync!$V1751=""),"",Sync!$V1751)</f>
        <v/>
      </c>
      <c r="P1755" t="str">
        <f>IF(OR($G1755="",Sync!$AD1751=""),"",Sync!$AD1751)</f>
        <v/>
      </c>
      <c r="Q1755" t="str">
        <f>IF($G1755="","",IF(Sync!$U1751="","0000",IF(AND(ISNUMBER(Sync!$U1751),Sync!$U1751&gt;=0,Sync!$U1751&lt;1),RIGHT("00"&amp;HOUR(Sync!$U1751),2)&amp;RIGHT("00"&amp;MINUTE(Sync!$U1751),2),IFERROR(RIGHT("00"&amp;VALUE(LEFT(Sync!$U1751,FIND(":",Sync!$U1751)-1)),2)&amp;RIGHT("00"&amp;VALUE(MID(Sync!$U1751,FIND(":",Sync!$U1751)+1,2)),2),"0000"))))</f>
        <v/>
      </c>
    </row>
    <row r="1756" spans="1:17" x14ac:dyDescent="0.2">
      <c r="A1756" t="str">
        <f>IF(Sync!$T1752="","",Sync!$T1752)</f>
        <v/>
      </c>
      <c r="B1756" t="str">
        <f t="shared" si="162"/>
        <v/>
      </c>
      <c r="C1756" t="str">
        <f t="shared" si="163"/>
        <v/>
      </c>
      <c r="D1756" t="str">
        <f t="shared" si="164"/>
        <v/>
      </c>
      <c r="E1756" t="str">
        <f t="shared" si="165"/>
        <v/>
      </c>
      <c r="F1756" t="str">
        <f t="shared" si="166"/>
        <v/>
      </c>
      <c r="G1756" t="str">
        <f>IF(OR($E1756="",$E1756="نامعتبر",Sync!$X1752=""),"",IF(AND(LEFT(UPPER(TRIM(Sync!$X1752)),2)="SL",IFERROR(VLOOKUP(Sync!$W1752,OpTbl,3,0),"")="فروش"),UPPER(TRIM(Sync!$X1752)),""))</f>
        <v/>
      </c>
      <c r="H1756" t="str">
        <f>IF($G1756="","",IF(Sync!$W1752="","",Sync!$W1752))</f>
        <v/>
      </c>
      <c r="I1756" t="str">
        <f>IF(OR($G1756="",Sync!$Y1752=""),"",Sync!$Y1752)</f>
        <v/>
      </c>
      <c r="J1756" t="str">
        <f>IF(OR($G1756="",Sync!$Z1752=""),"",Sync!$Z1752)</f>
        <v/>
      </c>
      <c r="K1756">
        <f>IF($G1756="",0,IF(Sync!$AA1752="",0,Sync!$AA1752))</f>
        <v>0</v>
      </c>
      <c r="L1756">
        <f>IF($G1756="",0,IF(Sync!$AB1752="",0,Sync!$AB1752))</f>
        <v>0</v>
      </c>
      <c r="M1756" t="str">
        <f t="shared" si="167"/>
        <v/>
      </c>
      <c r="N1756">
        <f>IF($G1756="",0,IF($H1756="مرجوعی فروش",-1,1)*IF(Sync!$AC1752="",0,Sync!$AC1752))</f>
        <v>0</v>
      </c>
      <c r="O1756" t="str">
        <f>IF(OR($G1756="",Sync!$V1752=""),"",Sync!$V1752)</f>
        <v/>
      </c>
      <c r="P1756" t="str">
        <f>IF(OR($G1756="",Sync!$AD1752=""),"",Sync!$AD1752)</f>
        <v/>
      </c>
      <c r="Q1756" t="str">
        <f>IF($G1756="","",IF(Sync!$U1752="","0000",IF(AND(ISNUMBER(Sync!$U1752),Sync!$U1752&gt;=0,Sync!$U1752&lt;1),RIGHT("00"&amp;HOUR(Sync!$U1752),2)&amp;RIGHT("00"&amp;MINUTE(Sync!$U1752),2),IFERROR(RIGHT("00"&amp;VALUE(LEFT(Sync!$U1752,FIND(":",Sync!$U1752)-1)),2)&amp;RIGHT("00"&amp;VALUE(MID(Sync!$U1752,FIND(":",Sync!$U1752)+1,2)),2),"0000"))))</f>
        <v/>
      </c>
    </row>
    <row r="1757" spans="1:17" x14ac:dyDescent="0.2">
      <c r="A1757" t="str">
        <f>IF(Sync!$T1753="","",Sync!$T1753)</f>
        <v/>
      </c>
      <c r="B1757" t="str">
        <f t="shared" si="162"/>
        <v/>
      </c>
      <c r="C1757" t="str">
        <f t="shared" si="163"/>
        <v/>
      </c>
      <c r="D1757" t="str">
        <f t="shared" si="164"/>
        <v/>
      </c>
      <c r="E1757" t="str">
        <f t="shared" si="165"/>
        <v/>
      </c>
      <c r="F1757" t="str">
        <f t="shared" si="166"/>
        <v/>
      </c>
      <c r="G1757" t="str">
        <f>IF(OR($E1757="",$E1757="نامعتبر",Sync!$X1753=""),"",IF(AND(LEFT(UPPER(TRIM(Sync!$X1753)),2)="SL",IFERROR(VLOOKUP(Sync!$W1753,OpTbl,3,0),"")="فروش"),UPPER(TRIM(Sync!$X1753)),""))</f>
        <v/>
      </c>
      <c r="H1757" t="str">
        <f>IF($G1757="","",IF(Sync!$W1753="","",Sync!$W1753))</f>
        <v/>
      </c>
      <c r="I1757" t="str">
        <f>IF(OR($G1757="",Sync!$Y1753=""),"",Sync!$Y1753)</f>
        <v/>
      </c>
      <c r="J1757" t="str">
        <f>IF(OR($G1757="",Sync!$Z1753=""),"",Sync!$Z1753)</f>
        <v/>
      </c>
      <c r="K1757">
        <f>IF($G1757="",0,IF(Sync!$AA1753="",0,Sync!$AA1753))</f>
        <v>0</v>
      </c>
      <c r="L1757">
        <f>IF($G1757="",0,IF(Sync!$AB1753="",0,Sync!$AB1753))</f>
        <v>0</v>
      </c>
      <c r="M1757" t="str">
        <f t="shared" si="167"/>
        <v/>
      </c>
      <c r="N1757">
        <f>IF($G1757="",0,IF($H1757="مرجوعی فروش",-1,1)*IF(Sync!$AC1753="",0,Sync!$AC1753))</f>
        <v>0</v>
      </c>
      <c r="O1757" t="str">
        <f>IF(OR($G1757="",Sync!$V1753=""),"",Sync!$V1753)</f>
        <v/>
      </c>
      <c r="P1757" t="str">
        <f>IF(OR($G1757="",Sync!$AD1753=""),"",Sync!$AD1753)</f>
        <v/>
      </c>
      <c r="Q1757" t="str">
        <f>IF($G1757="","",IF(Sync!$U1753="","0000",IF(AND(ISNUMBER(Sync!$U1753),Sync!$U1753&gt;=0,Sync!$U1753&lt;1),RIGHT("00"&amp;HOUR(Sync!$U1753),2)&amp;RIGHT("00"&amp;MINUTE(Sync!$U1753),2),IFERROR(RIGHT("00"&amp;VALUE(LEFT(Sync!$U1753,FIND(":",Sync!$U1753)-1)),2)&amp;RIGHT("00"&amp;VALUE(MID(Sync!$U1753,FIND(":",Sync!$U1753)+1,2)),2),"0000"))))</f>
        <v/>
      </c>
    </row>
    <row r="1758" spans="1:17" x14ac:dyDescent="0.2">
      <c r="A1758" t="str">
        <f>IF(Sync!$T1754="","",Sync!$T1754)</f>
        <v/>
      </c>
      <c r="B1758" t="str">
        <f t="shared" si="162"/>
        <v/>
      </c>
      <c r="C1758" t="str">
        <f t="shared" si="163"/>
        <v/>
      </c>
      <c r="D1758" t="str">
        <f t="shared" si="164"/>
        <v/>
      </c>
      <c r="E1758" t="str">
        <f t="shared" si="165"/>
        <v/>
      </c>
      <c r="F1758" t="str">
        <f t="shared" si="166"/>
        <v/>
      </c>
      <c r="G1758" t="str">
        <f>IF(OR($E1758="",$E1758="نامعتبر",Sync!$X1754=""),"",IF(AND(LEFT(UPPER(TRIM(Sync!$X1754)),2)="SL",IFERROR(VLOOKUP(Sync!$W1754,OpTbl,3,0),"")="فروش"),UPPER(TRIM(Sync!$X1754)),""))</f>
        <v/>
      </c>
      <c r="H1758" t="str">
        <f>IF($G1758="","",IF(Sync!$W1754="","",Sync!$W1754))</f>
        <v/>
      </c>
      <c r="I1758" t="str">
        <f>IF(OR($G1758="",Sync!$Y1754=""),"",Sync!$Y1754)</f>
        <v/>
      </c>
      <c r="J1758" t="str">
        <f>IF(OR($G1758="",Sync!$Z1754=""),"",Sync!$Z1754)</f>
        <v/>
      </c>
      <c r="K1758">
        <f>IF($G1758="",0,IF(Sync!$AA1754="",0,Sync!$AA1754))</f>
        <v>0</v>
      </c>
      <c r="L1758">
        <f>IF($G1758="",0,IF(Sync!$AB1754="",0,Sync!$AB1754))</f>
        <v>0</v>
      </c>
      <c r="M1758" t="str">
        <f t="shared" si="167"/>
        <v/>
      </c>
      <c r="N1758">
        <f>IF($G1758="",0,IF($H1758="مرجوعی فروش",-1,1)*IF(Sync!$AC1754="",0,Sync!$AC1754))</f>
        <v>0</v>
      </c>
      <c r="O1758" t="str">
        <f>IF(OR($G1758="",Sync!$V1754=""),"",Sync!$V1754)</f>
        <v/>
      </c>
      <c r="P1758" t="str">
        <f>IF(OR($G1758="",Sync!$AD1754=""),"",Sync!$AD1754)</f>
        <v/>
      </c>
      <c r="Q1758" t="str">
        <f>IF($G1758="","",IF(Sync!$U1754="","0000",IF(AND(ISNUMBER(Sync!$U1754),Sync!$U1754&gt;=0,Sync!$U1754&lt;1),RIGHT("00"&amp;HOUR(Sync!$U1754),2)&amp;RIGHT("00"&amp;MINUTE(Sync!$U1754),2),IFERROR(RIGHT("00"&amp;VALUE(LEFT(Sync!$U1754,FIND(":",Sync!$U1754)-1)),2)&amp;RIGHT("00"&amp;VALUE(MID(Sync!$U1754,FIND(":",Sync!$U1754)+1,2)),2),"0000"))))</f>
        <v/>
      </c>
    </row>
    <row r="1759" spans="1:17" x14ac:dyDescent="0.2">
      <c r="A1759" t="str">
        <f>IF(Sync!$T1755="","",Sync!$T1755)</f>
        <v/>
      </c>
      <c r="B1759" t="str">
        <f t="shared" si="162"/>
        <v/>
      </c>
      <c r="C1759" t="str">
        <f t="shared" si="163"/>
        <v/>
      </c>
      <c r="D1759" t="str">
        <f t="shared" si="164"/>
        <v/>
      </c>
      <c r="E1759" t="str">
        <f t="shared" si="165"/>
        <v/>
      </c>
      <c r="F1759" t="str">
        <f t="shared" si="166"/>
        <v/>
      </c>
      <c r="G1759" t="str">
        <f>IF(OR($E1759="",$E1759="نامعتبر",Sync!$X1755=""),"",IF(AND(LEFT(UPPER(TRIM(Sync!$X1755)),2)="SL",IFERROR(VLOOKUP(Sync!$W1755,OpTbl,3,0),"")="فروش"),UPPER(TRIM(Sync!$X1755)),""))</f>
        <v/>
      </c>
      <c r="H1759" t="str">
        <f>IF($G1759="","",IF(Sync!$W1755="","",Sync!$W1755))</f>
        <v/>
      </c>
      <c r="I1759" t="str">
        <f>IF(OR($G1759="",Sync!$Y1755=""),"",Sync!$Y1755)</f>
        <v/>
      </c>
      <c r="J1759" t="str">
        <f>IF(OR($G1759="",Sync!$Z1755=""),"",Sync!$Z1755)</f>
        <v/>
      </c>
      <c r="K1759">
        <f>IF($G1759="",0,IF(Sync!$AA1755="",0,Sync!$AA1755))</f>
        <v>0</v>
      </c>
      <c r="L1759">
        <f>IF($G1759="",0,IF(Sync!$AB1755="",0,Sync!$AB1755))</f>
        <v>0</v>
      </c>
      <c r="M1759" t="str">
        <f t="shared" si="167"/>
        <v/>
      </c>
      <c r="N1759">
        <f>IF($G1759="",0,IF($H1759="مرجوعی فروش",-1,1)*IF(Sync!$AC1755="",0,Sync!$AC1755))</f>
        <v>0</v>
      </c>
      <c r="O1759" t="str">
        <f>IF(OR($G1759="",Sync!$V1755=""),"",Sync!$V1755)</f>
        <v/>
      </c>
      <c r="P1759" t="str">
        <f>IF(OR($G1759="",Sync!$AD1755=""),"",Sync!$AD1755)</f>
        <v/>
      </c>
      <c r="Q1759" t="str">
        <f>IF($G1759="","",IF(Sync!$U1755="","0000",IF(AND(ISNUMBER(Sync!$U1755),Sync!$U1755&gt;=0,Sync!$U1755&lt;1),RIGHT("00"&amp;HOUR(Sync!$U1755),2)&amp;RIGHT("00"&amp;MINUTE(Sync!$U1755),2),IFERROR(RIGHT("00"&amp;VALUE(LEFT(Sync!$U1755,FIND(":",Sync!$U1755)-1)),2)&amp;RIGHT("00"&amp;VALUE(MID(Sync!$U1755,FIND(":",Sync!$U1755)+1,2)),2),"0000"))))</f>
        <v/>
      </c>
    </row>
    <row r="1760" spans="1:17" x14ac:dyDescent="0.2">
      <c r="A1760" t="str">
        <f>IF(Sync!$T1756="","",Sync!$T1756)</f>
        <v/>
      </c>
      <c r="B1760" t="str">
        <f t="shared" si="162"/>
        <v/>
      </c>
      <c r="C1760" t="str">
        <f t="shared" si="163"/>
        <v/>
      </c>
      <c r="D1760" t="str">
        <f t="shared" si="164"/>
        <v/>
      </c>
      <c r="E1760" t="str">
        <f t="shared" si="165"/>
        <v/>
      </c>
      <c r="F1760" t="str">
        <f t="shared" si="166"/>
        <v/>
      </c>
      <c r="G1760" t="str">
        <f>IF(OR($E1760="",$E1760="نامعتبر",Sync!$X1756=""),"",IF(AND(LEFT(UPPER(TRIM(Sync!$X1756)),2)="SL",IFERROR(VLOOKUP(Sync!$W1756,OpTbl,3,0),"")="فروش"),UPPER(TRIM(Sync!$X1756)),""))</f>
        <v/>
      </c>
      <c r="H1760" t="str">
        <f>IF($G1760="","",IF(Sync!$W1756="","",Sync!$W1756))</f>
        <v/>
      </c>
      <c r="I1760" t="str">
        <f>IF(OR($G1760="",Sync!$Y1756=""),"",Sync!$Y1756)</f>
        <v/>
      </c>
      <c r="J1760" t="str">
        <f>IF(OR($G1760="",Sync!$Z1756=""),"",Sync!$Z1756)</f>
        <v/>
      </c>
      <c r="K1760">
        <f>IF($G1760="",0,IF(Sync!$AA1756="",0,Sync!$AA1756))</f>
        <v>0</v>
      </c>
      <c r="L1760">
        <f>IF($G1760="",0,IF(Sync!$AB1756="",0,Sync!$AB1756))</f>
        <v>0</v>
      </c>
      <c r="M1760" t="str">
        <f t="shared" si="167"/>
        <v/>
      </c>
      <c r="N1760">
        <f>IF($G1760="",0,IF($H1760="مرجوعی فروش",-1,1)*IF(Sync!$AC1756="",0,Sync!$AC1756))</f>
        <v>0</v>
      </c>
      <c r="O1760" t="str">
        <f>IF(OR($G1760="",Sync!$V1756=""),"",Sync!$V1756)</f>
        <v/>
      </c>
      <c r="P1760" t="str">
        <f>IF(OR($G1760="",Sync!$AD1756=""),"",Sync!$AD1756)</f>
        <v/>
      </c>
      <c r="Q1760" t="str">
        <f>IF($G1760="","",IF(Sync!$U1756="","0000",IF(AND(ISNUMBER(Sync!$U1756),Sync!$U1756&gt;=0,Sync!$U1756&lt;1),RIGHT("00"&amp;HOUR(Sync!$U1756),2)&amp;RIGHT("00"&amp;MINUTE(Sync!$U1756),2),IFERROR(RIGHT("00"&amp;VALUE(LEFT(Sync!$U1756,FIND(":",Sync!$U1756)-1)),2)&amp;RIGHT("00"&amp;VALUE(MID(Sync!$U1756,FIND(":",Sync!$U1756)+1,2)),2),"0000"))))</f>
        <v/>
      </c>
    </row>
    <row r="1761" spans="1:17" x14ac:dyDescent="0.2">
      <c r="A1761" t="str">
        <f>IF(Sync!$T1757="","",Sync!$T1757)</f>
        <v/>
      </c>
      <c r="B1761" t="str">
        <f t="shared" si="162"/>
        <v/>
      </c>
      <c r="C1761" t="str">
        <f t="shared" si="163"/>
        <v/>
      </c>
      <c r="D1761" t="str">
        <f t="shared" si="164"/>
        <v/>
      </c>
      <c r="E1761" t="str">
        <f t="shared" si="165"/>
        <v/>
      </c>
      <c r="F1761" t="str">
        <f t="shared" si="166"/>
        <v/>
      </c>
      <c r="G1761" t="str">
        <f>IF(OR($E1761="",$E1761="نامعتبر",Sync!$X1757=""),"",IF(AND(LEFT(UPPER(TRIM(Sync!$X1757)),2)="SL",IFERROR(VLOOKUP(Sync!$W1757,OpTbl,3,0),"")="فروش"),UPPER(TRIM(Sync!$X1757)),""))</f>
        <v/>
      </c>
      <c r="H1761" t="str">
        <f>IF($G1761="","",IF(Sync!$W1757="","",Sync!$W1757))</f>
        <v/>
      </c>
      <c r="I1761" t="str">
        <f>IF(OR($G1761="",Sync!$Y1757=""),"",Sync!$Y1757)</f>
        <v/>
      </c>
      <c r="J1761" t="str">
        <f>IF(OR($G1761="",Sync!$Z1757=""),"",Sync!$Z1757)</f>
        <v/>
      </c>
      <c r="K1761">
        <f>IF($G1761="",0,IF(Sync!$AA1757="",0,Sync!$AA1757))</f>
        <v>0</v>
      </c>
      <c r="L1761">
        <f>IF($G1761="",0,IF(Sync!$AB1757="",0,Sync!$AB1757))</f>
        <v>0</v>
      </c>
      <c r="M1761" t="str">
        <f t="shared" si="167"/>
        <v/>
      </c>
      <c r="N1761">
        <f>IF($G1761="",0,IF($H1761="مرجوعی فروش",-1,1)*IF(Sync!$AC1757="",0,Sync!$AC1757))</f>
        <v>0</v>
      </c>
      <c r="O1761" t="str">
        <f>IF(OR($G1761="",Sync!$V1757=""),"",Sync!$V1757)</f>
        <v/>
      </c>
      <c r="P1761" t="str">
        <f>IF(OR($G1761="",Sync!$AD1757=""),"",Sync!$AD1757)</f>
        <v/>
      </c>
      <c r="Q1761" t="str">
        <f>IF($G1761="","",IF(Sync!$U1757="","0000",IF(AND(ISNUMBER(Sync!$U1757),Sync!$U1757&gt;=0,Sync!$U1757&lt;1),RIGHT("00"&amp;HOUR(Sync!$U1757),2)&amp;RIGHT("00"&amp;MINUTE(Sync!$U1757),2),IFERROR(RIGHT("00"&amp;VALUE(LEFT(Sync!$U1757,FIND(":",Sync!$U1757)-1)),2)&amp;RIGHT("00"&amp;VALUE(MID(Sync!$U1757,FIND(":",Sync!$U1757)+1,2)),2),"0000"))))</f>
        <v/>
      </c>
    </row>
    <row r="1762" spans="1:17" x14ac:dyDescent="0.2">
      <c r="A1762" t="str">
        <f>IF(Sync!$T1758="","",Sync!$T1758)</f>
        <v/>
      </c>
      <c r="B1762" t="str">
        <f t="shared" si="162"/>
        <v/>
      </c>
      <c r="C1762" t="str">
        <f t="shared" si="163"/>
        <v/>
      </c>
      <c r="D1762" t="str">
        <f t="shared" si="164"/>
        <v/>
      </c>
      <c r="E1762" t="str">
        <f t="shared" si="165"/>
        <v/>
      </c>
      <c r="F1762" t="str">
        <f t="shared" si="166"/>
        <v/>
      </c>
      <c r="G1762" t="str">
        <f>IF(OR($E1762="",$E1762="نامعتبر",Sync!$X1758=""),"",IF(AND(LEFT(UPPER(TRIM(Sync!$X1758)),2)="SL",IFERROR(VLOOKUP(Sync!$W1758,OpTbl,3,0),"")="فروش"),UPPER(TRIM(Sync!$X1758)),""))</f>
        <v/>
      </c>
      <c r="H1762" t="str">
        <f>IF($G1762="","",IF(Sync!$W1758="","",Sync!$W1758))</f>
        <v/>
      </c>
      <c r="I1762" t="str">
        <f>IF(OR($G1762="",Sync!$Y1758=""),"",Sync!$Y1758)</f>
        <v/>
      </c>
      <c r="J1762" t="str">
        <f>IF(OR($G1762="",Sync!$Z1758=""),"",Sync!$Z1758)</f>
        <v/>
      </c>
      <c r="K1762">
        <f>IF($G1762="",0,IF(Sync!$AA1758="",0,Sync!$AA1758))</f>
        <v>0</v>
      </c>
      <c r="L1762">
        <f>IF($G1762="",0,IF(Sync!$AB1758="",0,Sync!$AB1758))</f>
        <v>0</v>
      </c>
      <c r="M1762" t="str">
        <f t="shared" si="167"/>
        <v/>
      </c>
      <c r="N1762">
        <f>IF($G1762="",0,IF($H1762="مرجوعی فروش",-1,1)*IF(Sync!$AC1758="",0,Sync!$AC1758))</f>
        <v>0</v>
      </c>
      <c r="O1762" t="str">
        <f>IF(OR($G1762="",Sync!$V1758=""),"",Sync!$V1758)</f>
        <v/>
      </c>
      <c r="P1762" t="str">
        <f>IF(OR($G1762="",Sync!$AD1758=""),"",Sync!$AD1758)</f>
        <v/>
      </c>
      <c r="Q1762" t="str">
        <f>IF($G1762="","",IF(Sync!$U1758="","0000",IF(AND(ISNUMBER(Sync!$U1758),Sync!$U1758&gt;=0,Sync!$U1758&lt;1),RIGHT("00"&amp;HOUR(Sync!$U1758),2)&amp;RIGHT("00"&amp;MINUTE(Sync!$U1758),2),IFERROR(RIGHT("00"&amp;VALUE(LEFT(Sync!$U1758,FIND(":",Sync!$U1758)-1)),2)&amp;RIGHT("00"&amp;VALUE(MID(Sync!$U1758,FIND(":",Sync!$U1758)+1,2)),2),"0000"))))</f>
        <v/>
      </c>
    </row>
    <row r="1763" spans="1:17" x14ac:dyDescent="0.2">
      <c r="A1763" t="str">
        <f>IF(Sync!$T1759="","",Sync!$T1759)</f>
        <v/>
      </c>
      <c r="B1763" t="str">
        <f t="shared" si="162"/>
        <v/>
      </c>
      <c r="C1763" t="str">
        <f t="shared" si="163"/>
        <v/>
      </c>
      <c r="D1763" t="str">
        <f t="shared" si="164"/>
        <v/>
      </c>
      <c r="E1763" t="str">
        <f t="shared" si="165"/>
        <v/>
      </c>
      <c r="F1763" t="str">
        <f t="shared" si="166"/>
        <v/>
      </c>
      <c r="G1763" t="str">
        <f>IF(OR($E1763="",$E1763="نامعتبر",Sync!$X1759=""),"",IF(AND(LEFT(UPPER(TRIM(Sync!$X1759)),2)="SL",IFERROR(VLOOKUP(Sync!$W1759,OpTbl,3,0),"")="فروش"),UPPER(TRIM(Sync!$X1759)),""))</f>
        <v/>
      </c>
      <c r="H1763" t="str">
        <f>IF($G1763="","",IF(Sync!$W1759="","",Sync!$W1759))</f>
        <v/>
      </c>
      <c r="I1763" t="str">
        <f>IF(OR($G1763="",Sync!$Y1759=""),"",Sync!$Y1759)</f>
        <v/>
      </c>
      <c r="J1763" t="str">
        <f>IF(OR($G1763="",Sync!$Z1759=""),"",Sync!$Z1759)</f>
        <v/>
      </c>
      <c r="K1763">
        <f>IF($G1763="",0,IF(Sync!$AA1759="",0,Sync!$AA1759))</f>
        <v>0</v>
      </c>
      <c r="L1763">
        <f>IF($G1763="",0,IF(Sync!$AB1759="",0,Sync!$AB1759))</f>
        <v>0</v>
      </c>
      <c r="M1763" t="str">
        <f t="shared" si="167"/>
        <v/>
      </c>
      <c r="N1763">
        <f>IF($G1763="",0,IF($H1763="مرجوعی فروش",-1,1)*IF(Sync!$AC1759="",0,Sync!$AC1759))</f>
        <v>0</v>
      </c>
      <c r="O1763" t="str">
        <f>IF(OR($G1763="",Sync!$V1759=""),"",Sync!$V1759)</f>
        <v/>
      </c>
      <c r="P1763" t="str">
        <f>IF(OR($G1763="",Sync!$AD1759=""),"",Sync!$AD1759)</f>
        <v/>
      </c>
      <c r="Q1763" t="str">
        <f>IF($G1763="","",IF(Sync!$U1759="","0000",IF(AND(ISNUMBER(Sync!$U1759),Sync!$U1759&gt;=0,Sync!$U1759&lt;1),RIGHT("00"&amp;HOUR(Sync!$U1759),2)&amp;RIGHT("00"&amp;MINUTE(Sync!$U1759),2),IFERROR(RIGHT("00"&amp;VALUE(LEFT(Sync!$U1759,FIND(":",Sync!$U1759)-1)),2)&amp;RIGHT("00"&amp;VALUE(MID(Sync!$U1759,FIND(":",Sync!$U1759)+1,2)),2),"0000"))))</f>
        <v/>
      </c>
    </row>
    <row r="1764" spans="1:17" x14ac:dyDescent="0.2">
      <c r="A1764" t="str">
        <f>IF(Sync!$T1760="","",Sync!$T1760)</f>
        <v/>
      </c>
      <c r="B1764" t="str">
        <f t="shared" si="162"/>
        <v/>
      </c>
      <c r="C1764" t="str">
        <f t="shared" si="163"/>
        <v/>
      </c>
      <c r="D1764" t="str">
        <f t="shared" si="164"/>
        <v/>
      </c>
      <c r="E1764" t="str">
        <f t="shared" si="165"/>
        <v/>
      </c>
      <c r="F1764" t="str">
        <f t="shared" si="166"/>
        <v/>
      </c>
      <c r="G1764" t="str">
        <f>IF(OR($E1764="",$E1764="نامعتبر",Sync!$X1760=""),"",IF(AND(LEFT(UPPER(TRIM(Sync!$X1760)),2)="SL",IFERROR(VLOOKUP(Sync!$W1760,OpTbl,3,0),"")="فروش"),UPPER(TRIM(Sync!$X1760)),""))</f>
        <v/>
      </c>
      <c r="H1764" t="str">
        <f>IF($G1764="","",IF(Sync!$W1760="","",Sync!$W1760))</f>
        <v/>
      </c>
      <c r="I1764" t="str">
        <f>IF(OR($G1764="",Sync!$Y1760=""),"",Sync!$Y1760)</f>
        <v/>
      </c>
      <c r="J1764" t="str">
        <f>IF(OR($G1764="",Sync!$Z1760=""),"",Sync!$Z1760)</f>
        <v/>
      </c>
      <c r="K1764">
        <f>IF($G1764="",0,IF(Sync!$AA1760="",0,Sync!$AA1760))</f>
        <v>0</v>
      </c>
      <c r="L1764">
        <f>IF($G1764="",0,IF(Sync!$AB1760="",0,Sync!$AB1760))</f>
        <v>0</v>
      </c>
      <c r="M1764" t="str">
        <f t="shared" si="167"/>
        <v/>
      </c>
      <c r="N1764">
        <f>IF($G1764="",0,IF($H1764="مرجوعی فروش",-1,1)*IF(Sync!$AC1760="",0,Sync!$AC1760))</f>
        <v>0</v>
      </c>
      <c r="O1764" t="str">
        <f>IF(OR($G1764="",Sync!$V1760=""),"",Sync!$V1760)</f>
        <v/>
      </c>
      <c r="P1764" t="str">
        <f>IF(OR($G1764="",Sync!$AD1760=""),"",Sync!$AD1760)</f>
        <v/>
      </c>
      <c r="Q1764" t="str">
        <f>IF($G1764="","",IF(Sync!$U1760="","0000",IF(AND(ISNUMBER(Sync!$U1760),Sync!$U1760&gt;=0,Sync!$U1760&lt;1),RIGHT("00"&amp;HOUR(Sync!$U1760),2)&amp;RIGHT("00"&amp;MINUTE(Sync!$U1760),2),IFERROR(RIGHT("00"&amp;VALUE(LEFT(Sync!$U1760,FIND(":",Sync!$U1760)-1)),2)&amp;RIGHT("00"&amp;VALUE(MID(Sync!$U1760,FIND(":",Sync!$U1760)+1,2)),2),"0000"))))</f>
        <v/>
      </c>
    </row>
    <row r="1765" spans="1:17" x14ac:dyDescent="0.2">
      <c r="A1765" t="str">
        <f>IF(Sync!$T1761="","",Sync!$T1761)</f>
        <v/>
      </c>
      <c r="B1765" t="str">
        <f t="shared" si="162"/>
        <v/>
      </c>
      <c r="C1765" t="str">
        <f t="shared" si="163"/>
        <v/>
      </c>
      <c r="D1765" t="str">
        <f t="shared" si="164"/>
        <v/>
      </c>
      <c r="E1765" t="str">
        <f t="shared" si="165"/>
        <v/>
      </c>
      <c r="F1765" t="str">
        <f t="shared" si="166"/>
        <v/>
      </c>
      <c r="G1765" t="str">
        <f>IF(OR($E1765="",$E1765="نامعتبر",Sync!$X1761=""),"",IF(AND(LEFT(UPPER(TRIM(Sync!$X1761)),2)="SL",IFERROR(VLOOKUP(Sync!$W1761,OpTbl,3,0),"")="فروش"),UPPER(TRIM(Sync!$X1761)),""))</f>
        <v/>
      </c>
      <c r="H1765" t="str">
        <f>IF($G1765="","",IF(Sync!$W1761="","",Sync!$W1761))</f>
        <v/>
      </c>
      <c r="I1765" t="str">
        <f>IF(OR($G1765="",Sync!$Y1761=""),"",Sync!$Y1761)</f>
        <v/>
      </c>
      <c r="J1765" t="str">
        <f>IF(OR($G1765="",Sync!$Z1761=""),"",Sync!$Z1761)</f>
        <v/>
      </c>
      <c r="K1765">
        <f>IF($G1765="",0,IF(Sync!$AA1761="",0,Sync!$AA1761))</f>
        <v>0</v>
      </c>
      <c r="L1765">
        <f>IF($G1765="",0,IF(Sync!$AB1761="",0,Sync!$AB1761))</f>
        <v>0</v>
      </c>
      <c r="M1765" t="str">
        <f t="shared" si="167"/>
        <v/>
      </c>
      <c r="N1765">
        <f>IF($G1765="",0,IF($H1765="مرجوعی فروش",-1,1)*IF(Sync!$AC1761="",0,Sync!$AC1761))</f>
        <v>0</v>
      </c>
      <c r="O1765" t="str">
        <f>IF(OR($G1765="",Sync!$V1761=""),"",Sync!$V1761)</f>
        <v/>
      </c>
      <c r="P1765" t="str">
        <f>IF(OR($G1765="",Sync!$AD1761=""),"",Sync!$AD1761)</f>
        <v/>
      </c>
      <c r="Q1765" t="str">
        <f>IF($G1765="","",IF(Sync!$U1761="","0000",IF(AND(ISNUMBER(Sync!$U1761),Sync!$U1761&gt;=0,Sync!$U1761&lt;1),RIGHT("00"&amp;HOUR(Sync!$U1761),2)&amp;RIGHT("00"&amp;MINUTE(Sync!$U1761),2),IFERROR(RIGHT("00"&amp;VALUE(LEFT(Sync!$U1761,FIND(":",Sync!$U1761)-1)),2)&amp;RIGHT("00"&amp;VALUE(MID(Sync!$U1761,FIND(":",Sync!$U1761)+1,2)),2),"0000"))))</f>
        <v/>
      </c>
    </row>
    <row r="1766" spans="1:17" x14ac:dyDescent="0.2">
      <c r="A1766" t="str">
        <f>IF(Sync!$T1762="","",Sync!$T1762)</f>
        <v/>
      </c>
      <c r="B1766" t="str">
        <f t="shared" si="162"/>
        <v/>
      </c>
      <c r="C1766" t="str">
        <f t="shared" si="163"/>
        <v/>
      </c>
      <c r="D1766" t="str">
        <f t="shared" si="164"/>
        <v/>
      </c>
      <c r="E1766" t="str">
        <f t="shared" si="165"/>
        <v/>
      </c>
      <c r="F1766" t="str">
        <f t="shared" si="166"/>
        <v/>
      </c>
      <c r="G1766" t="str">
        <f>IF(OR($E1766="",$E1766="نامعتبر",Sync!$X1762=""),"",IF(AND(LEFT(UPPER(TRIM(Sync!$X1762)),2)="SL",IFERROR(VLOOKUP(Sync!$W1762,OpTbl,3,0),"")="فروش"),UPPER(TRIM(Sync!$X1762)),""))</f>
        <v/>
      </c>
      <c r="H1766" t="str">
        <f>IF($G1766="","",IF(Sync!$W1762="","",Sync!$W1762))</f>
        <v/>
      </c>
      <c r="I1766" t="str">
        <f>IF(OR($G1766="",Sync!$Y1762=""),"",Sync!$Y1762)</f>
        <v/>
      </c>
      <c r="J1766" t="str">
        <f>IF(OR($G1766="",Sync!$Z1762=""),"",Sync!$Z1762)</f>
        <v/>
      </c>
      <c r="K1766">
        <f>IF($G1766="",0,IF(Sync!$AA1762="",0,Sync!$AA1762))</f>
        <v>0</v>
      </c>
      <c r="L1766">
        <f>IF($G1766="",0,IF(Sync!$AB1762="",0,Sync!$AB1762))</f>
        <v>0</v>
      </c>
      <c r="M1766" t="str">
        <f t="shared" si="167"/>
        <v/>
      </c>
      <c r="N1766">
        <f>IF($G1766="",0,IF($H1766="مرجوعی فروش",-1,1)*IF(Sync!$AC1762="",0,Sync!$AC1762))</f>
        <v>0</v>
      </c>
      <c r="O1766" t="str">
        <f>IF(OR($G1766="",Sync!$V1762=""),"",Sync!$V1762)</f>
        <v/>
      </c>
      <c r="P1766" t="str">
        <f>IF(OR($G1766="",Sync!$AD1762=""),"",Sync!$AD1762)</f>
        <v/>
      </c>
      <c r="Q1766" t="str">
        <f>IF($G1766="","",IF(Sync!$U1762="","0000",IF(AND(ISNUMBER(Sync!$U1762),Sync!$U1762&gt;=0,Sync!$U1762&lt;1),RIGHT("00"&amp;HOUR(Sync!$U1762),2)&amp;RIGHT("00"&amp;MINUTE(Sync!$U1762),2),IFERROR(RIGHT("00"&amp;VALUE(LEFT(Sync!$U1762,FIND(":",Sync!$U1762)-1)),2)&amp;RIGHT("00"&amp;VALUE(MID(Sync!$U1762,FIND(":",Sync!$U1762)+1,2)),2),"0000"))))</f>
        <v/>
      </c>
    </row>
    <row r="1767" spans="1:17" x14ac:dyDescent="0.2">
      <c r="A1767" t="str">
        <f>IF(Sync!$T1763="","",Sync!$T1763)</f>
        <v/>
      </c>
      <c r="B1767" t="str">
        <f t="shared" si="162"/>
        <v/>
      </c>
      <c r="C1767" t="str">
        <f t="shared" si="163"/>
        <v/>
      </c>
      <c r="D1767" t="str">
        <f t="shared" si="164"/>
        <v/>
      </c>
      <c r="E1767" t="str">
        <f t="shared" si="165"/>
        <v/>
      </c>
      <c r="F1767" t="str">
        <f t="shared" si="166"/>
        <v/>
      </c>
      <c r="G1767" t="str">
        <f>IF(OR($E1767="",$E1767="نامعتبر",Sync!$X1763=""),"",IF(AND(LEFT(UPPER(TRIM(Sync!$X1763)),2)="SL",IFERROR(VLOOKUP(Sync!$W1763,OpTbl,3,0),"")="فروش"),UPPER(TRIM(Sync!$X1763)),""))</f>
        <v/>
      </c>
      <c r="H1767" t="str">
        <f>IF($G1767="","",IF(Sync!$W1763="","",Sync!$W1763))</f>
        <v/>
      </c>
      <c r="I1767" t="str">
        <f>IF(OR($G1767="",Sync!$Y1763=""),"",Sync!$Y1763)</f>
        <v/>
      </c>
      <c r="J1767" t="str">
        <f>IF(OR($G1767="",Sync!$Z1763=""),"",Sync!$Z1763)</f>
        <v/>
      </c>
      <c r="K1767">
        <f>IF($G1767="",0,IF(Sync!$AA1763="",0,Sync!$AA1763))</f>
        <v>0</v>
      </c>
      <c r="L1767">
        <f>IF($G1767="",0,IF(Sync!$AB1763="",0,Sync!$AB1763))</f>
        <v>0</v>
      </c>
      <c r="M1767" t="str">
        <f t="shared" si="167"/>
        <v/>
      </c>
      <c r="N1767">
        <f>IF($G1767="",0,IF($H1767="مرجوعی فروش",-1,1)*IF(Sync!$AC1763="",0,Sync!$AC1763))</f>
        <v>0</v>
      </c>
      <c r="O1767" t="str">
        <f>IF(OR($G1767="",Sync!$V1763=""),"",Sync!$V1763)</f>
        <v/>
      </c>
      <c r="P1767" t="str">
        <f>IF(OR($G1767="",Sync!$AD1763=""),"",Sync!$AD1763)</f>
        <v/>
      </c>
      <c r="Q1767" t="str">
        <f>IF($G1767="","",IF(Sync!$U1763="","0000",IF(AND(ISNUMBER(Sync!$U1763),Sync!$U1763&gt;=0,Sync!$U1763&lt;1),RIGHT("00"&amp;HOUR(Sync!$U1763),2)&amp;RIGHT("00"&amp;MINUTE(Sync!$U1763),2),IFERROR(RIGHT("00"&amp;VALUE(LEFT(Sync!$U1763,FIND(":",Sync!$U1763)-1)),2)&amp;RIGHT("00"&amp;VALUE(MID(Sync!$U1763,FIND(":",Sync!$U1763)+1,2)),2),"0000"))))</f>
        <v/>
      </c>
    </row>
    <row r="1768" spans="1:17" x14ac:dyDescent="0.2">
      <c r="A1768" t="str">
        <f>IF(Sync!$T1764="","",Sync!$T1764)</f>
        <v/>
      </c>
      <c r="B1768" t="str">
        <f t="shared" si="162"/>
        <v/>
      </c>
      <c r="C1768" t="str">
        <f t="shared" si="163"/>
        <v/>
      </c>
      <c r="D1768" t="str">
        <f t="shared" si="164"/>
        <v/>
      </c>
      <c r="E1768" t="str">
        <f t="shared" si="165"/>
        <v/>
      </c>
      <c r="F1768" t="str">
        <f t="shared" si="166"/>
        <v/>
      </c>
      <c r="G1768" t="str">
        <f>IF(OR($E1768="",$E1768="نامعتبر",Sync!$X1764=""),"",IF(AND(LEFT(UPPER(TRIM(Sync!$X1764)),2)="SL",IFERROR(VLOOKUP(Sync!$W1764,OpTbl,3,0),"")="فروش"),UPPER(TRIM(Sync!$X1764)),""))</f>
        <v/>
      </c>
      <c r="H1768" t="str">
        <f>IF($G1768="","",IF(Sync!$W1764="","",Sync!$W1764))</f>
        <v/>
      </c>
      <c r="I1768" t="str">
        <f>IF(OR($G1768="",Sync!$Y1764=""),"",Sync!$Y1764)</f>
        <v/>
      </c>
      <c r="J1768" t="str">
        <f>IF(OR($G1768="",Sync!$Z1764=""),"",Sync!$Z1764)</f>
        <v/>
      </c>
      <c r="K1768">
        <f>IF($G1768="",0,IF(Sync!$AA1764="",0,Sync!$AA1764))</f>
        <v>0</v>
      </c>
      <c r="L1768">
        <f>IF($G1768="",0,IF(Sync!$AB1764="",0,Sync!$AB1764))</f>
        <v>0</v>
      </c>
      <c r="M1768" t="str">
        <f t="shared" si="167"/>
        <v/>
      </c>
      <c r="N1768">
        <f>IF($G1768="",0,IF($H1768="مرجوعی فروش",-1,1)*IF(Sync!$AC1764="",0,Sync!$AC1764))</f>
        <v>0</v>
      </c>
      <c r="O1768" t="str">
        <f>IF(OR($G1768="",Sync!$V1764=""),"",Sync!$V1764)</f>
        <v/>
      </c>
      <c r="P1768" t="str">
        <f>IF(OR($G1768="",Sync!$AD1764=""),"",Sync!$AD1764)</f>
        <v/>
      </c>
      <c r="Q1768" t="str">
        <f>IF($G1768="","",IF(Sync!$U1764="","0000",IF(AND(ISNUMBER(Sync!$U1764),Sync!$U1764&gt;=0,Sync!$U1764&lt;1),RIGHT("00"&amp;HOUR(Sync!$U1764),2)&amp;RIGHT("00"&amp;MINUTE(Sync!$U1764),2),IFERROR(RIGHT("00"&amp;VALUE(LEFT(Sync!$U1764,FIND(":",Sync!$U1764)-1)),2)&amp;RIGHT("00"&amp;VALUE(MID(Sync!$U1764,FIND(":",Sync!$U1764)+1,2)),2),"0000"))))</f>
        <v/>
      </c>
    </row>
    <row r="1769" spans="1:17" x14ac:dyDescent="0.2">
      <c r="A1769" t="str">
        <f>IF(Sync!$T1765="","",Sync!$T1765)</f>
        <v/>
      </c>
      <c r="B1769" t="str">
        <f t="shared" si="162"/>
        <v/>
      </c>
      <c r="C1769" t="str">
        <f t="shared" si="163"/>
        <v/>
      </c>
      <c r="D1769" t="str">
        <f t="shared" si="164"/>
        <v/>
      </c>
      <c r="E1769" t="str">
        <f t="shared" si="165"/>
        <v/>
      </c>
      <c r="F1769" t="str">
        <f t="shared" si="166"/>
        <v/>
      </c>
      <c r="G1769" t="str">
        <f>IF(OR($E1769="",$E1769="نامعتبر",Sync!$X1765=""),"",IF(AND(LEFT(UPPER(TRIM(Sync!$X1765)),2)="SL",IFERROR(VLOOKUP(Sync!$W1765,OpTbl,3,0),"")="فروش"),UPPER(TRIM(Sync!$X1765)),""))</f>
        <v/>
      </c>
      <c r="H1769" t="str">
        <f>IF($G1769="","",IF(Sync!$W1765="","",Sync!$W1765))</f>
        <v/>
      </c>
      <c r="I1769" t="str">
        <f>IF(OR($G1769="",Sync!$Y1765=""),"",Sync!$Y1765)</f>
        <v/>
      </c>
      <c r="J1769" t="str">
        <f>IF(OR($G1769="",Sync!$Z1765=""),"",Sync!$Z1765)</f>
        <v/>
      </c>
      <c r="K1769">
        <f>IF($G1769="",0,IF(Sync!$AA1765="",0,Sync!$AA1765))</f>
        <v>0</v>
      </c>
      <c r="L1769">
        <f>IF($G1769="",0,IF(Sync!$AB1765="",0,Sync!$AB1765))</f>
        <v>0</v>
      </c>
      <c r="M1769" t="str">
        <f t="shared" si="167"/>
        <v/>
      </c>
      <c r="N1769">
        <f>IF($G1769="",0,IF($H1769="مرجوعی فروش",-1,1)*IF(Sync!$AC1765="",0,Sync!$AC1765))</f>
        <v>0</v>
      </c>
      <c r="O1769" t="str">
        <f>IF(OR($G1769="",Sync!$V1765=""),"",Sync!$V1765)</f>
        <v/>
      </c>
      <c r="P1769" t="str">
        <f>IF(OR($G1769="",Sync!$AD1765=""),"",Sync!$AD1765)</f>
        <v/>
      </c>
      <c r="Q1769" t="str">
        <f>IF($G1769="","",IF(Sync!$U1765="","0000",IF(AND(ISNUMBER(Sync!$U1765),Sync!$U1765&gt;=0,Sync!$U1765&lt;1),RIGHT("00"&amp;HOUR(Sync!$U1765),2)&amp;RIGHT("00"&amp;MINUTE(Sync!$U1765),2),IFERROR(RIGHT("00"&amp;VALUE(LEFT(Sync!$U1765,FIND(":",Sync!$U1765)-1)),2)&amp;RIGHT("00"&amp;VALUE(MID(Sync!$U1765,FIND(":",Sync!$U1765)+1,2)),2),"0000"))))</f>
        <v/>
      </c>
    </row>
    <row r="1770" spans="1:17" x14ac:dyDescent="0.2">
      <c r="A1770" t="str">
        <f>IF(Sync!$T1766="","",Sync!$T1766)</f>
        <v/>
      </c>
      <c r="B1770" t="str">
        <f t="shared" si="162"/>
        <v/>
      </c>
      <c r="C1770" t="str">
        <f t="shared" si="163"/>
        <v/>
      </c>
      <c r="D1770" t="str">
        <f t="shared" si="164"/>
        <v/>
      </c>
      <c r="E1770" t="str">
        <f t="shared" si="165"/>
        <v/>
      </c>
      <c r="F1770" t="str">
        <f t="shared" si="166"/>
        <v/>
      </c>
      <c r="G1770" t="str">
        <f>IF(OR($E1770="",$E1770="نامعتبر",Sync!$X1766=""),"",IF(AND(LEFT(UPPER(TRIM(Sync!$X1766)),2)="SL",IFERROR(VLOOKUP(Sync!$W1766,OpTbl,3,0),"")="فروش"),UPPER(TRIM(Sync!$X1766)),""))</f>
        <v/>
      </c>
      <c r="H1770" t="str">
        <f>IF($G1770="","",IF(Sync!$W1766="","",Sync!$W1766))</f>
        <v/>
      </c>
      <c r="I1770" t="str">
        <f>IF(OR($G1770="",Sync!$Y1766=""),"",Sync!$Y1766)</f>
        <v/>
      </c>
      <c r="J1770" t="str">
        <f>IF(OR($G1770="",Sync!$Z1766=""),"",Sync!$Z1766)</f>
        <v/>
      </c>
      <c r="K1770">
        <f>IF($G1770="",0,IF(Sync!$AA1766="",0,Sync!$AA1766))</f>
        <v>0</v>
      </c>
      <c r="L1770">
        <f>IF($G1770="",0,IF(Sync!$AB1766="",0,Sync!$AB1766))</f>
        <v>0</v>
      </c>
      <c r="M1770" t="str">
        <f t="shared" si="167"/>
        <v/>
      </c>
      <c r="N1770">
        <f>IF($G1770="",0,IF($H1770="مرجوعی فروش",-1,1)*IF(Sync!$AC1766="",0,Sync!$AC1766))</f>
        <v>0</v>
      </c>
      <c r="O1770" t="str">
        <f>IF(OR($G1770="",Sync!$V1766=""),"",Sync!$V1766)</f>
        <v/>
      </c>
      <c r="P1770" t="str">
        <f>IF(OR($G1770="",Sync!$AD1766=""),"",Sync!$AD1766)</f>
        <v/>
      </c>
      <c r="Q1770" t="str">
        <f>IF($G1770="","",IF(Sync!$U1766="","0000",IF(AND(ISNUMBER(Sync!$U1766),Sync!$U1766&gt;=0,Sync!$U1766&lt;1),RIGHT("00"&amp;HOUR(Sync!$U1766),2)&amp;RIGHT("00"&amp;MINUTE(Sync!$U1766),2),IFERROR(RIGHT("00"&amp;VALUE(LEFT(Sync!$U1766,FIND(":",Sync!$U1766)-1)),2)&amp;RIGHT("00"&amp;VALUE(MID(Sync!$U1766,FIND(":",Sync!$U1766)+1,2)),2),"0000"))))</f>
        <v/>
      </c>
    </row>
    <row r="1771" spans="1:17" x14ac:dyDescent="0.2">
      <c r="A1771" t="str">
        <f>IF(Sync!$T1767="","",Sync!$T1767)</f>
        <v/>
      </c>
      <c r="B1771" t="str">
        <f t="shared" si="162"/>
        <v/>
      </c>
      <c r="C1771" t="str">
        <f t="shared" si="163"/>
        <v/>
      </c>
      <c r="D1771" t="str">
        <f t="shared" si="164"/>
        <v/>
      </c>
      <c r="E1771" t="str">
        <f t="shared" si="165"/>
        <v/>
      </c>
      <c r="F1771" t="str">
        <f t="shared" si="166"/>
        <v/>
      </c>
      <c r="G1771" t="str">
        <f>IF(OR($E1771="",$E1771="نامعتبر",Sync!$X1767=""),"",IF(AND(LEFT(UPPER(TRIM(Sync!$X1767)),2)="SL",IFERROR(VLOOKUP(Sync!$W1767,OpTbl,3,0),"")="فروش"),UPPER(TRIM(Sync!$X1767)),""))</f>
        <v/>
      </c>
      <c r="H1771" t="str">
        <f>IF($G1771="","",IF(Sync!$W1767="","",Sync!$W1767))</f>
        <v/>
      </c>
      <c r="I1771" t="str">
        <f>IF(OR($G1771="",Sync!$Y1767=""),"",Sync!$Y1767)</f>
        <v/>
      </c>
      <c r="J1771" t="str">
        <f>IF(OR($G1771="",Sync!$Z1767=""),"",Sync!$Z1767)</f>
        <v/>
      </c>
      <c r="K1771">
        <f>IF($G1771="",0,IF(Sync!$AA1767="",0,Sync!$AA1767))</f>
        <v>0</v>
      </c>
      <c r="L1771">
        <f>IF($G1771="",0,IF(Sync!$AB1767="",0,Sync!$AB1767))</f>
        <v>0</v>
      </c>
      <c r="M1771" t="str">
        <f t="shared" si="167"/>
        <v/>
      </c>
      <c r="N1771">
        <f>IF($G1771="",0,IF($H1771="مرجوعی فروش",-1,1)*IF(Sync!$AC1767="",0,Sync!$AC1767))</f>
        <v>0</v>
      </c>
      <c r="O1771" t="str">
        <f>IF(OR($G1771="",Sync!$V1767=""),"",Sync!$V1767)</f>
        <v/>
      </c>
      <c r="P1771" t="str">
        <f>IF(OR($G1771="",Sync!$AD1767=""),"",Sync!$AD1767)</f>
        <v/>
      </c>
      <c r="Q1771" t="str">
        <f>IF($G1771="","",IF(Sync!$U1767="","0000",IF(AND(ISNUMBER(Sync!$U1767),Sync!$U1767&gt;=0,Sync!$U1767&lt;1),RIGHT("00"&amp;HOUR(Sync!$U1767),2)&amp;RIGHT("00"&amp;MINUTE(Sync!$U1767),2),IFERROR(RIGHT("00"&amp;VALUE(LEFT(Sync!$U1767,FIND(":",Sync!$U1767)-1)),2)&amp;RIGHT("00"&amp;VALUE(MID(Sync!$U1767,FIND(":",Sync!$U1767)+1,2)),2),"0000"))))</f>
        <v/>
      </c>
    </row>
    <row r="1772" spans="1:17" x14ac:dyDescent="0.2">
      <c r="A1772" t="str">
        <f>IF(Sync!$T1768="","",Sync!$T1768)</f>
        <v/>
      </c>
      <c r="B1772" t="str">
        <f t="shared" si="162"/>
        <v/>
      </c>
      <c r="C1772" t="str">
        <f t="shared" si="163"/>
        <v/>
      </c>
      <c r="D1772" t="str">
        <f t="shared" si="164"/>
        <v/>
      </c>
      <c r="E1772" t="str">
        <f t="shared" si="165"/>
        <v/>
      </c>
      <c r="F1772" t="str">
        <f t="shared" si="166"/>
        <v/>
      </c>
      <c r="G1772" t="str">
        <f>IF(OR($E1772="",$E1772="نامعتبر",Sync!$X1768=""),"",IF(AND(LEFT(UPPER(TRIM(Sync!$X1768)),2)="SL",IFERROR(VLOOKUP(Sync!$W1768,OpTbl,3,0),"")="فروش"),UPPER(TRIM(Sync!$X1768)),""))</f>
        <v/>
      </c>
      <c r="H1772" t="str">
        <f>IF($G1772="","",IF(Sync!$W1768="","",Sync!$W1768))</f>
        <v/>
      </c>
      <c r="I1772" t="str">
        <f>IF(OR($G1772="",Sync!$Y1768=""),"",Sync!$Y1768)</f>
        <v/>
      </c>
      <c r="J1772" t="str">
        <f>IF(OR($G1772="",Sync!$Z1768=""),"",Sync!$Z1768)</f>
        <v/>
      </c>
      <c r="K1772">
        <f>IF($G1772="",0,IF(Sync!$AA1768="",0,Sync!$AA1768))</f>
        <v>0</v>
      </c>
      <c r="L1772">
        <f>IF($G1772="",0,IF(Sync!$AB1768="",0,Sync!$AB1768))</f>
        <v>0</v>
      </c>
      <c r="M1772" t="str">
        <f t="shared" si="167"/>
        <v/>
      </c>
      <c r="N1772">
        <f>IF($G1772="",0,IF($H1772="مرجوعی فروش",-1,1)*IF(Sync!$AC1768="",0,Sync!$AC1768))</f>
        <v>0</v>
      </c>
      <c r="O1772" t="str">
        <f>IF(OR($G1772="",Sync!$V1768=""),"",Sync!$V1768)</f>
        <v/>
      </c>
      <c r="P1772" t="str">
        <f>IF(OR($G1772="",Sync!$AD1768=""),"",Sync!$AD1768)</f>
        <v/>
      </c>
      <c r="Q1772" t="str">
        <f>IF($G1772="","",IF(Sync!$U1768="","0000",IF(AND(ISNUMBER(Sync!$U1768),Sync!$U1768&gt;=0,Sync!$U1768&lt;1),RIGHT("00"&amp;HOUR(Sync!$U1768),2)&amp;RIGHT("00"&amp;MINUTE(Sync!$U1768),2),IFERROR(RIGHT("00"&amp;VALUE(LEFT(Sync!$U1768,FIND(":",Sync!$U1768)-1)),2)&amp;RIGHT("00"&amp;VALUE(MID(Sync!$U1768,FIND(":",Sync!$U1768)+1,2)),2),"0000"))))</f>
        <v/>
      </c>
    </row>
    <row r="1773" spans="1:17" x14ac:dyDescent="0.2">
      <c r="A1773" t="str">
        <f>IF(Sync!$T1769="","",Sync!$T1769)</f>
        <v/>
      </c>
      <c r="B1773" t="str">
        <f t="shared" si="162"/>
        <v/>
      </c>
      <c r="C1773" t="str">
        <f t="shared" si="163"/>
        <v/>
      </c>
      <c r="D1773" t="str">
        <f t="shared" si="164"/>
        <v/>
      </c>
      <c r="E1773" t="str">
        <f t="shared" si="165"/>
        <v/>
      </c>
      <c r="F1773" t="str">
        <f t="shared" si="166"/>
        <v/>
      </c>
      <c r="G1773" t="str">
        <f>IF(OR($E1773="",$E1773="نامعتبر",Sync!$X1769=""),"",IF(AND(LEFT(UPPER(TRIM(Sync!$X1769)),2)="SL",IFERROR(VLOOKUP(Sync!$W1769,OpTbl,3,0),"")="فروش"),UPPER(TRIM(Sync!$X1769)),""))</f>
        <v/>
      </c>
      <c r="H1773" t="str">
        <f>IF($G1773="","",IF(Sync!$W1769="","",Sync!$W1769))</f>
        <v/>
      </c>
      <c r="I1773" t="str">
        <f>IF(OR($G1773="",Sync!$Y1769=""),"",Sync!$Y1769)</f>
        <v/>
      </c>
      <c r="J1773" t="str">
        <f>IF(OR($G1773="",Sync!$Z1769=""),"",Sync!$Z1769)</f>
        <v/>
      </c>
      <c r="K1773">
        <f>IF($G1773="",0,IF(Sync!$AA1769="",0,Sync!$AA1769))</f>
        <v>0</v>
      </c>
      <c r="L1773">
        <f>IF($G1773="",0,IF(Sync!$AB1769="",0,Sync!$AB1769))</f>
        <v>0</v>
      </c>
      <c r="M1773" t="str">
        <f t="shared" si="167"/>
        <v/>
      </c>
      <c r="N1773">
        <f>IF($G1773="",0,IF($H1773="مرجوعی فروش",-1,1)*IF(Sync!$AC1769="",0,Sync!$AC1769))</f>
        <v>0</v>
      </c>
      <c r="O1773" t="str">
        <f>IF(OR($G1773="",Sync!$V1769=""),"",Sync!$V1769)</f>
        <v/>
      </c>
      <c r="P1773" t="str">
        <f>IF(OR($G1773="",Sync!$AD1769=""),"",Sync!$AD1769)</f>
        <v/>
      </c>
      <c r="Q1773" t="str">
        <f>IF($G1773="","",IF(Sync!$U1769="","0000",IF(AND(ISNUMBER(Sync!$U1769),Sync!$U1769&gt;=0,Sync!$U1769&lt;1),RIGHT("00"&amp;HOUR(Sync!$U1769),2)&amp;RIGHT("00"&amp;MINUTE(Sync!$U1769),2),IFERROR(RIGHT("00"&amp;VALUE(LEFT(Sync!$U1769,FIND(":",Sync!$U1769)-1)),2)&amp;RIGHT("00"&amp;VALUE(MID(Sync!$U1769,FIND(":",Sync!$U1769)+1,2)),2),"0000"))))</f>
        <v/>
      </c>
    </row>
    <row r="1774" spans="1:17" x14ac:dyDescent="0.2">
      <c r="A1774" t="str">
        <f>IF(Sync!$T1770="","",Sync!$T1770)</f>
        <v/>
      </c>
      <c r="B1774" t="str">
        <f t="shared" si="162"/>
        <v/>
      </c>
      <c r="C1774" t="str">
        <f t="shared" si="163"/>
        <v/>
      </c>
      <c r="D1774" t="str">
        <f t="shared" si="164"/>
        <v/>
      </c>
      <c r="E1774" t="str">
        <f t="shared" si="165"/>
        <v/>
      </c>
      <c r="F1774" t="str">
        <f t="shared" si="166"/>
        <v/>
      </c>
      <c r="G1774" t="str">
        <f>IF(OR($E1774="",$E1774="نامعتبر",Sync!$X1770=""),"",IF(AND(LEFT(UPPER(TRIM(Sync!$X1770)),2)="SL",IFERROR(VLOOKUP(Sync!$W1770,OpTbl,3,0),"")="فروش"),UPPER(TRIM(Sync!$X1770)),""))</f>
        <v/>
      </c>
      <c r="H1774" t="str">
        <f>IF($G1774="","",IF(Sync!$W1770="","",Sync!$W1770))</f>
        <v/>
      </c>
      <c r="I1774" t="str">
        <f>IF(OR($G1774="",Sync!$Y1770=""),"",Sync!$Y1770)</f>
        <v/>
      </c>
      <c r="J1774" t="str">
        <f>IF(OR($G1774="",Sync!$Z1770=""),"",Sync!$Z1770)</f>
        <v/>
      </c>
      <c r="K1774">
        <f>IF($G1774="",0,IF(Sync!$AA1770="",0,Sync!$AA1770))</f>
        <v>0</v>
      </c>
      <c r="L1774">
        <f>IF($G1774="",0,IF(Sync!$AB1770="",0,Sync!$AB1770))</f>
        <v>0</v>
      </c>
      <c r="M1774" t="str">
        <f t="shared" si="167"/>
        <v/>
      </c>
      <c r="N1774">
        <f>IF($G1774="",0,IF($H1774="مرجوعی فروش",-1,1)*IF(Sync!$AC1770="",0,Sync!$AC1770))</f>
        <v>0</v>
      </c>
      <c r="O1774" t="str">
        <f>IF(OR($G1774="",Sync!$V1770=""),"",Sync!$V1770)</f>
        <v/>
      </c>
      <c r="P1774" t="str">
        <f>IF(OR($G1774="",Sync!$AD1770=""),"",Sync!$AD1770)</f>
        <v/>
      </c>
      <c r="Q1774" t="str">
        <f>IF($G1774="","",IF(Sync!$U1770="","0000",IF(AND(ISNUMBER(Sync!$U1770),Sync!$U1770&gt;=0,Sync!$U1770&lt;1),RIGHT("00"&amp;HOUR(Sync!$U1770),2)&amp;RIGHT("00"&amp;MINUTE(Sync!$U1770),2),IFERROR(RIGHT("00"&amp;VALUE(LEFT(Sync!$U1770,FIND(":",Sync!$U1770)-1)),2)&amp;RIGHT("00"&amp;VALUE(MID(Sync!$U1770,FIND(":",Sync!$U1770)+1,2)),2),"0000"))))</f>
        <v/>
      </c>
    </row>
    <row r="1775" spans="1:17" x14ac:dyDescent="0.2">
      <c r="A1775" t="str">
        <f>IF(Sync!$T1771="","",Sync!$T1771)</f>
        <v/>
      </c>
      <c r="B1775" t="str">
        <f t="shared" si="162"/>
        <v/>
      </c>
      <c r="C1775" t="str">
        <f t="shared" si="163"/>
        <v/>
      </c>
      <c r="D1775" t="str">
        <f t="shared" si="164"/>
        <v/>
      </c>
      <c r="E1775" t="str">
        <f t="shared" si="165"/>
        <v/>
      </c>
      <c r="F1775" t="str">
        <f t="shared" si="166"/>
        <v/>
      </c>
      <c r="G1775" t="str">
        <f>IF(OR($E1775="",$E1775="نامعتبر",Sync!$X1771=""),"",IF(AND(LEFT(UPPER(TRIM(Sync!$X1771)),2)="SL",IFERROR(VLOOKUP(Sync!$W1771,OpTbl,3,0),"")="فروش"),UPPER(TRIM(Sync!$X1771)),""))</f>
        <v/>
      </c>
      <c r="H1775" t="str">
        <f>IF($G1775="","",IF(Sync!$W1771="","",Sync!$W1771))</f>
        <v/>
      </c>
      <c r="I1775" t="str">
        <f>IF(OR($G1775="",Sync!$Y1771=""),"",Sync!$Y1771)</f>
        <v/>
      </c>
      <c r="J1775" t="str">
        <f>IF(OR($G1775="",Sync!$Z1771=""),"",Sync!$Z1771)</f>
        <v/>
      </c>
      <c r="K1775">
        <f>IF($G1775="",0,IF(Sync!$AA1771="",0,Sync!$AA1771))</f>
        <v>0</v>
      </c>
      <c r="L1775">
        <f>IF($G1775="",0,IF(Sync!$AB1771="",0,Sync!$AB1771))</f>
        <v>0</v>
      </c>
      <c r="M1775" t="str">
        <f t="shared" si="167"/>
        <v/>
      </c>
      <c r="N1775">
        <f>IF($G1775="",0,IF($H1775="مرجوعی فروش",-1,1)*IF(Sync!$AC1771="",0,Sync!$AC1771))</f>
        <v>0</v>
      </c>
      <c r="O1775" t="str">
        <f>IF(OR($G1775="",Sync!$V1771=""),"",Sync!$V1771)</f>
        <v/>
      </c>
      <c r="P1775" t="str">
        <f>IF(OR($G1775="",Sync!$AD1771=""),"",Sync!$AD1771)</f>
        <v/>
      </c>
      <c r="Q1775" t="str">
        <f>IF($G1775="","",IF(Sync!$U1771="","0000",IF(AND(ISNUMBER(Sync!$U1771),Sync!$U1771&gt;=0,Sync!$U1771&lt;1),RIGHT("00"&amp;HOUR(Sync!$U1771),2)&amp;RIGHT("00"&amp;MINUTE(Sync!$U1771),2),IFERROR(RIGHT("00"&amp;VALUE(LEFT(Sync!$U1771,FIND(":",Sync!$U1771)-1)),2)&amp;RIGHT("00"&amp;VALUE(MID(Sync!$U1771,FIND(":",Sync!$U1771)+1,2)),2),"0000"))))</f>
        <v/>
      </c>
    </row>
    <row r="1776" spans="1:17" x14ac:dyDescent="0.2">
      <c r="A1776" t="str">
        <f>IF(Sync!$T1772="","",Sync!$T1772)</f>
        <v/>
      </c>
      <c r="B1776" t="str">
        <f t="shared" si="162"/>
        <v/>
      </c>
      <c r="C1776" t="str">
        <f t="shared" si="163"/>
        <v/>
      </c>
      <c r="D1776" t="str">
        <f t="shared" si="164"/>
        <v/>
      </c>
      <c r="E1776" t="str">
        <f t="shared" si="165"/>
        <v/>
      </c>
      <c r="F1776" t="str">
        <f t="shared" si="166"/>
        <v/>
      </c>
      <c r="G1776" t="str">
        <f>IF(OR($E1776="",$E1776="نامعتبر",Sync!$X1772=""),"",IF(AND(LEFT(UPPER(TRIM(Sync!$X1772)),2)="SL",IFERROR(VLOOKUP(Sync!$W1772,OpTbl,3,0),"")="فروش"),UPPER(TRIM(Sync!$X1772)),""))</f>
        <v/>
      </c>
      <c r="H1776" t="str">
        <f>IF($G1776="","",IF(Sync!$W1772="","",Sync!$W1772))</f>
        <v/>
      </c>
      <c r="I1776" t="str">
        <f>IF(OR($G1776="",Sync!$Y1772=""),"",Sync!$Y1772)</f>
        <v/>
      </c>
      <c r="J1776" t="str">
        <f>IF(OR($G1776="",Sync!$Z1772=""),"",Sync!$Z1772)</f>
        <v/>
      </c>
      <c r="K1776">
        <f>IF($G1776="",0,IF(Sync!$AA1772="",0,Sync!$AA1772))</f>
        <v>0</v>
      </c>
      <c r="L1776">
        <f>IF($G1776="",0,IF(Sync!$AB1772="",0,Sync!$AB1772))</f>
        <v>0</v>
      </c>
      <c r="M1776" t="str">
        <f t="shared" si="167"/>
        <v/>
      </c>
      <c r="N1776">
        <f>IF($G1776="",0,IF($H1776="مرجوعی فروش",-1,1)*IF(Sync!$AC1772="",0,Sync!$AC1772))</f>
        <v>0</v>
      </c>
      <c r="O1776" t="str">
        <f>IF(OR($G1776="",Sync!$V1772=""),"",Sync!$V1772)</f>
        <v/>
      </c>
      <c r="P1776" t="str">
        <f>IF(OR($G1776="",Sync!$AD1772=""),"",Sync!$AD1772)</f>
        <v/>
      </c>
      <c r="Q1776" t="str">
        <f>IF($G1776="","",IF(Sync!$U1772="","0000",IF(AND(ISNUMBER(Sync!$U1772),Sync!$U1772&gt;=0,Sync!$U1772&lt;1),RIGHT("00"&amp;HOUR(Sync!$U1772),2)&amp;RIGHT("00"&amp;MINUTE(Sync!$U1772),2),IFERROR(RIGHT("00"&amp;VALUE(LEFT(Sync!$U1772,FIND(":",Sync!$U1772)-1)),2)&amp;RIGHT("00"&amp;VALUE(MID(Sync!$U1772,FIND(":",Sync!$U1772)+1,2)),2),"0000"))))</f>
        <v/>
      </c>
    </row>
    <row r="1777" spans="1:17" x14ac:dyDescent="0.2">
      <c r="A1777" t="str">
        <f>IF(Sync!$T1773="","",Sync!$T1773)</f>
        <v/>
      </c>
      <c r="B1777" t="str">
        <f t="shared" si="162"/>
        <v/>
      </c>
      <c r="C1777" t="str">
        <f t="shared" si="163"/>
        <v/>
      </c>
      <c r="D1777" t="str">
        <f t="shared" si="164"/>
        <v/>
      </c>
      <c r="E1777" t="str">
        <f t="shared" si="165"/>
        <v/>
      </c>
      <c r="F1777" t="str">
        <f t="shared" si="166"/>
        <v/>
      </c>
      <c r="G1777" t="str">
        <f>IF(OR($E1777="",$E1777="نامعتبر",Sync!$X1773=""),"",IF(AND(LEFT(UPPER(TRIM(Sync!$X1773)),2)="SL",IFERROR(VLOOKUP(Sync!$W1773,OpTbl,3,0),"")="فروش"),UPPER(TRIM(Sync!$X1773)),""))</f>
        <v/>
      </c>
      <c r="H1777" t="str">
        <f>IF($G1777="","",IF(Sync!$W1773="","",Sync!$W1773))</f>
        <v/>
      </c>
      <c r="I1777" t="str">
        <f>IF(OR($G1777="",Sync!$Y1773=""),"",Sync!$Y1773)</f>
        <v/>
      </c>
      <c r="J1777" t="str">
        <f>IF(OR($G1777="",Sync!$Z1773=""),"",Sync!$Z1773)</f>
        <v/>
      </c>
      <c r="K1777">
        <f>IF($G1777="",0,IF(Sync!$AA1773="",0,Sync!$AA1773))</f>
        <v>0</v>
      </c>
      <c r="L1777">
        <f>IF($G1777="",0,IF(Sync!$AB1773="",0,Sync!$AB1773))</f>
        <v>0</v>
      </c>
      <c r="M1777" t="str">
        <f t="shared" si="167"/>
        <v/>
      </c>
      <c r="N1777">
        <f>IF($G1777="",0,IF($H1777="مرجوعی فروش",-1,1)*IF(Sync!$AC1773="",0,Sync!$AC1773))</f>
        <v>0</v>
      </c>
      <c r="O1777" t="str">
        <f>IF(OR($G1777="",Sync!$V1773=""),"",Sync!$V1773)</f>
        <v/>
      </c>
      <c r="P1777" t="str">
        <f>IF(OR($G1777="",Sync!$AD1773=""),"",Sync!$AD1773)</f>
        <v/>
      </c>
      <c r="Q1777" t="str">
        <f>IF($G1777="","",IF(Sync!$U1773="","0000",IF(AND(ISNUMBER(Sync!$U1773),Sync!$U1773&gt;=0,Sync!$U1773&lt;1),RIGHT("00"&amp;HOUR(Sync!$U1773),2)&amp;RIGHT("00"&amp;MINUTE(Sync!$U1773),2),IFERROR(RIGHT("00"&amp;VALUE(LEFT(Sync!$U1773,FIND(":",Sync!$U1773)-1)),2)&amp;RIGHT("00"&amp;VALUE(MID(Sync!$U1773,FIND(":",Sync!$U1773)+1,2)),2),"0000"))))</f>
        <v/>
      </c>
    </row>
    <row r="1778" spans="1:17" x14ac:dyDescent="0.2">
      <c r="A1778" t="str">
        <f>IF(Sync!$T1774="","",Sync!$T1774)</f>
        <v/>
      </c>
      <c r="B1778" t="str">
        <f t="shared" si="162"/>
        <v/>
      </c>
      <c r="C1778" t="str">
        <f t="shared" si="163"/>
        <v/>
      </c>
      <c r="D1778" t="str">
        <f t="shared" si="164"/>
        <v/>
      </c>
      <c r="E1778" t="str">
        <f t="shared" si="165"/>
        <v/>
      </c>
      <c r="F1778" t="str">
        <f t="shared" si="166"/>
        <v/>
      </c>
      <c r="G1778" t="str">
        <f>IF(OR($E1778="",$E1778="نامعتبر",Sync!$X1774=""),"",IF(AND(LEFT(UPPER(TRIM(Sync!$X1774)),2)="SL",IFERROR(VLOOKUP(Sync!$W1774,OpTbl,3,0),"")="فروش"),UPPER(TRIM(Sync!$X1774)),""))</f>
        <v/>
      </c>
      <c r="H1778" t="str">
        <f>IF($G1778="","",IF(Sync!$W1774="","",Sync!$W1774))</f>
        <v/>
      </c>
      <c r="I1778" t="str">
        <f>IF(OR($G1778="",Sync!$Y1774=""),"",Sync!$Y1774)</f>
        <v/>
      </c>
      <c r="J1778" t="str">
        <f>IF(OR($G1778="",Sync!$Z1774=""),"",Sync!$Z1774)</f>
        <v/>
      </c>
      <c r="K1778">
        <f>IF($G1778="",0,IF(Sync!$AA1774="",0,Sync!$AA1774))</f>
        <v>0</v>
      </c>
      <c r="L1778">
        <f>IF($G1778="",0,IF(Sync!$AB1774="",0,Sync!$AB1774))</f>
        <v>0</v>
      </c>
      <c r="M1778" t="str">
        <f t="shared" si="167"/>
        <v/>
      </c>
      <c r="N1778">
        <f>IF($G1778="",0,IF($H1778="مرجوعی فروش",-1,1)*IF(Sync!$AC1774="",0,Sync!$AC1774))</f>
        <v>0</v>
      </c>
      <c r="O1778" t="str">
        <f>IF(OR($G1778="",Sync!$V1774=""),"",Sync!$V1774)</f>
        <v/>
      </c>
      <c r="P1778" t="str">
        <f>IF(OR($G1778="",Sync!$AD1774=""),"",Sync!$AD1774)</f>
        <v/>
      </c>
      <c r="Q1778" t="str">
        <f>IF($G1778="","",IF(Sync!$U1774="","0000",IF(AND(ISNUMBER(Sync!$U1774),Sync!$U1774&gt;=0,Sync!$U1774&lt;1),RIGHT("00"&amp;HOUR(Sync!$U1774),2)&amp;RIGHT("00"&amp;MINUTE(Sync!$U1774),2),IFERROR(RIGHT("00"&amp;VALUE(LEFT(Sync!$U1774,FIND(":",Sync!$U1774)-1)),2)&amp;RIGHT("00"&amp;VALUE(MID(Sync!$U1774,FIND(":",Sync!$U1774)+1,2)),2),"0000"))))</f>
        <v/>
      </c>
    </row>
    <row r="1779" spans="1:17" x14ac:dyDescent="0.2">
      <c r="A1779" t="str">
        <f>IF(Sync!$T1775="","",Sync!$T1775)</f>
        <v/>
      </c>
      <c r="B1779" t="str">
        <f t="shared" si="162"/>
        <v/>
      </c>
      <c r="C1779" t="str">
        <f t="shared" si="163"/>
        <v/>
      </c>
      <c r="D1779" t="str">
        <f t="shared" si="164"/>
        <v/>
      </c>
      <c r="E1779" t="str">
        <f t="shared" si="165"/>
        <v/>
      </c>
      <c r="F1779" t="str">
        <f t="shared" si="166"/>
        <v/>
      </c>
      <c r="G1779" t="str">
        <f>IF(OR($E1779="",$E1779="نامعتبر",Sync!$X1775=""),"",IF(AND(LEFT(UPPER(TRIM(Sync!$X1775)),2)="SL",IFERROR(VLOOKUP(Sync!$W1775,OpTbl,3,0),"")="فروش"),UPPER(TRIM(Sync!$X1775)),""))</f>
        <v/>
      </c>
      <c r="H1779" t="str">
        <f>IF($G1779="","",IF(Sync!$W1775="","",Sync!$W1775))</f>
        <v/>
      </c>
      <c r="I1779" t="str">
        <f>IF(OR($G1779="",Sync!$Y1775=""),"",Sync!$Y1775)</f>
        <v/>
      </c>
      <c r="J1779" t="str">
        <f>IF(OR($G1779="",Sync!$Z1775=""),"",Sync!$Z1775)</f>
        <v/>
      </c>
      <c r="K1779">
        <f>IF($G1779="",0,IF(Sync!$AA1775="",0,Sync!$AA1775))</f>
        <v>0</v>
      </c>
      <c r="L1779">
        <f>IF($G1779="",0,IF(Sync!$AB1775="",0,Sync!$AB1775))</f>
        <v>0</v>
      </c>
      <c r="M1779" t="str">
        <f t="shared" si="167"/>
        <v/>
      </c>
      <c r="N1779">
        <f>IF($G1779="",0,IF($H1779="مرجوعی فروش",-1,1)*IF(Sync!$AC1775="",0,Sync!$AC1775))</f>
        <v>0</v>
      </c>
      <c r="O1779" t="str">
        <f>IF(OR($G1779="",Sync!$V1775=""),"",Sync!$V1775)</f>
        <v/>
      </c>
      <c r="P1779" t="str">
        <f>IF(OR($G1779="",Sync!$AD1775=""),"",Sync!$AD1775)</f>
        <v/>
      </c>
      <c r="Q1779" t="str">
        <f>IF($G1779="","",IF(Sync!$U1775="","0000",IF(AND(ISNUMBER(Sync!$U1775),Sync!$U1775&gt;=0,Sync!$U1775&lt;1),RIGHT("00"&amp;HOUR(Sync!$U1775),2)&amp;RIGHT("00"&amp;MINUTE(Sync!$U1775),2),IFERROR(RIGHT("00"&amp;VALUE(LEFT(Sync!$U1775,FIND(":",Sync!$U1775)-1)),2)&amp;RIGHT("00"&amp;VALUE(MID(Sync!$U1775,FIND(":",Sync!$U1775)+1,2)),2),"0000"))))</f>
        <v/>
      </c>
    </row>
    <row r="1780" spans="1:17" x14ac:dyDescent="0.2">
      <c r="A1780" t="str">
        <f>IF(Sync!$T1776="","",Sync!$T1776)</f>
        <v/>
      </c>
      <c r="B1780" t="str">
        <f t="shared" si="162"/>
        <v/>
      </c>
      <c r="C1780" t="str">
        <f t="shared" si="163"/>
        <v/>
      </c>
      <c r="D1780" t="str">
        <f t="shared" si="164"/>
        <v/>
      </c>
      <c r="E1780" t="str">
        <f t="shared" si="165"/>
        <v/>
      </c>
      <c r="F1780" t="str">
        <f t="shared" si="166"/>
        <v/>
      </c>
      <c r="G1780" t="str">
        <f>IF(OR($E1780="",$E1780="نامعتبر",Sync!$X1776=""),"",IF(AND(LEFT(UPPER(TRIM(Sync!$X1776)),2)="SL",IFERROR(VLOOKUP(Sync!$W1776,OpTbl,3,0),"")="فروش"),UPPER(TRIM(Sync!$X1776)),""))</f>
        <v/>
      </c>
      <c r="H1780" t="str">
        <f>IF($G1780="","",IF(Sync!$W1776="","",Sync!$W1776))</f>
        <v/>
      </c>
      <c r="I1780" t="str">
        <f>IF(OR($G1780="",Sync!$Y1776=""),"",Sync!$Y1776)</f>
        <v/>
      </c>
      <c r="J1780" t="str">
        <f>IF(OR($G1780="",Sync!$Z1776=""),"",Sync!$Z1776)</f>
        <v/>
      </c>
      <c r="K1780">
        <f>IF($G1780="",0,IF(Sync!$AA1776="",0,Sync!$AA1776))</f>
        <v>0</v>
      </c>
      <c r="L1780">
        <f>IF($G1780="",0,IF(Sync!$AB1776="",0,Sync!$AB1776))</f>
        <v>0</v>
      </c>
      <c r="M1780" t="str">
        <f t="shared" si="167"/>
        <v/>
      </c>
      <c r="N1780">
        <f>IF($G1780="",0,IF($H1780="مرجوعی فروش",-1,1)*IF(Sync!$AC1776="",0,Sync!$AC1776))</f>
        <v>0</v>
      </c>
      <c r="O1780" t="str">
        <f>IF(OR($G1780="",Sync!$V1776=""),"",Sync!$V1776)</f>
        <v/>
      </c>
      <c r="P1780" t="str">
        <f>IF(OR($G1780="",Sync!$AD1776=""),"",Sync!$AD1776)</f>
        <v/>
      </c>
      <c r="Q1780" t="str">
        <f>IF($G1780="","",IF(Sync!$U1776="","0000",IF(AND(ISNUMBER(Sync!$U1776),Sync!$U1776&gt;=0,Sync!$U1776&lt;1),RIGHT("00"&amp;HOUR(Sync!$U1776),2)&amp;RIGHT("00"&amp;MINUTE(Sync!$U1776),2),IFERROR(RIGHT("00"&amp;VALUE(LEFT(Sync!$U1776,FIND(":",Sync!$U1776)-1)),2)&amp;RIGHT("00"&amp;VALUE(MID(Sync!$U1776,FIND(":",Sync!$U1776)+1,2)),2),"0000"))))</f>
        <v/>
      </c>
    </row>
    <row r="1781" spans="1:17" x14ac:dyDescent="0.2">
      <c r="A1781" t="str">
        <f>IF(Sync!$T1777="","",Sync!$T1777)</f>
        <v/>
      </c>
      <c r="B1781" t="str">
        <f t="shared" si="162"/>
        <v/>
      </c>
      <c r="C1781" t="str">
        <f t="shared" si="163"/>
        <v/>
      </c>
      <c r="D1781" t="str">
        <f t="shared" si="164"/>
        <v/>
      </c>
      <c r="E1781" t="str">
        <f t="shared" si="165"/>
        <v/>
      </c>
      <c r="F1781" t="str">
        <f t="shared" si="166"/>
        <v/>
      </c>
      <c r="G1781" t="str">
        <f>IF(OR($E1781="",$E1781="نامعتبر",Sync!$X1777=""),"",IF(AND(LEFT(UPPER(TRIM(Sync!$X1777)),2)="SL",IFERROR(VLOOKUP(Sync!$W1777,OpTbl,3,0),"")="فروش"),UPPER(TRIM(Sync!$X1777)),""))</f>
        <v/>
      </c>
      <c r="H1781" t="str">
        <f>IF($G1781="","",IF(Sync!$W1777="","",Sync!$W1777))</f>
        <v/>
      </c>
      <c r="I1781" t="str">
        <f>IF(OR($G1781="",Sync!$Y1777=""),"",Sync!$Y1777)</f>
        <v/>
      </c>
      <c r="J1781" t="str">
        <f>IF(OR($G1781="",Sync!$Z1777=""),"",Sync!$Z1777)</f>
        <v/>
      </c>
      <c r="K1781">
        <f>IF($G1781="",0,IF(Sync!$AA1777="",0,Sync!$AA1777))</f>
        <v>0</v>
      </c>
      <c r="L1781">
        <f>IF($G1781="",0,IF(Sync!$AB1777="",0,Sync!$AB1777))</f>
        <v>0</v>
      </c>
      <c r="M1781" t="str">
        <f t="shared" si="167"/>
        <v/>
      </c>
      <c r="N1781">
        <f>IF($G1781="",0,IF($H1781="مرجوعی فروش",-1,1)*IF(Sync!$AC1777="",0,Sync!$AC1777))</f>
        <v>0</v>
      </c>
      <c r="O1781" t="str">
        <f>IF(OR($G1781="",Sync!$V1777=""),"",Sync!$V1777)</f>
        <v/>
      </c>
      <c r="P1781" t="str">
        <f>IF(OR($G1781="",Sync!$AD1777=""),"",Sync!$AD1777)</f>
        <v/>
      </c>
      <c r="Q1781" t="str">
        <f>IF($G1781="","",IF(Sync!$U1777="","0000",IF(AND(ISNUMBER(Sync!$U1777),Sync!$U1777&gt;=0,Sync!$U1777&lt;1),RIGHT("00"&amp;HOUR(Sync!$U1777),2)&amp;RIGHT("00"&amp;MINUTE(Sync!$U1777),2),IFERROR(RIGHT("00"&amp;VALUE(LEFT(Sync!$U1777,FIND(":",Sync!$U1777)-1)),2)&amp;RIGHT("00"&amp;VALUE(MID(Sync!$U1777,FIND(":",Sync!$U1777)+1,2)),2),"0000"))))</f>
        <v/>
      </c>
    </row>
    <row r="1782" spans="1:17" x14ac:dyDescent="0.2">
      <c r="A1782" t="str">
        <f>IF(Sync!$T1778="","",Sync!$T1778)</f>
        <v/>
      </c>
      <c r="B1782" t="str">
        <f t="shared" si="162"/>
        <v/>
      </c>
      <c r="C1782" t="str">
        <f t="shared" si="163"/>
        <v/>
      </c>
      <c r="D1782" t="str">
        <f t="shared" si="164"/>
        <v/>
      </c>
      <c r="E1782" t="str">
        <f t="shared" si="165"/>
        <v/>
      </c>
      <c r="F1782" t="str">
        <f t="shared" si="166"/>
        <v/>
      </c>
      <c r="G1782" t="str">
        <f>IF(OR($E1782="",$E1782="نامعتبر",Sync!$X1778=""),"",IF(AND(LEFT(UPPER(TRIM(Sync!$X1778)),2)="SL",IFERROR(VLOOKUP(Sync!$W1778,OpTbl,3,0),"")="فروش"),UPPER(TRIM(Sync!$X1778)),""))</f>
        <v/>
      </c>
      <c r="H1782" t="str">
        <f>IF($G1782="","",IF(Sync!$W1778="","",Sync!$W1778))</f>
        <v/>
      </c>
      <c r="I1782" t="str">
        <f>IF(OR($G1782="",Sync!$Y1778=""),"",Sync!$Y1778)</f>
        <v/>
      </c>
      <c r="J1782" t="str">
        <f>IF(OR($G1782="",Sync!$Z1778=""),"",Sync!$Z1778)</f>
        <v/>
      </c>
      <c r="K1782">
        <f>IF($G1782="",0,IF(Sync!$AA1778="",0,Sync!$AA1778))</f>
        <v>0</v>
      </c>
      <c r="L1782">
        <f>IF($G1782="",0,IF(Sync!$AB1778="",0,Sync!$AB1778))</f>
        <v>0</v>
      </c>
      <c r="M1782" t="str">
        <f t="shared" si="167"/>
        <v/>
      </c>
      <c r="N1782">
        <f>IF($G1782="",0,IF($H1782="مرجوعی فروش",-1,1)*IF(Sync!$AC1778="",0,Sync!$AC1778))</f>
        <v>0</v>
      </c>
      <c r="O1782" t="str">
        <f>IF(OR($G1782="",Sync!$V1778=""),"",Sync!$V1778)</f>
        <v/>
      </c>
      <c r="P1782" t="str">
        <f>IF(OR($G1782="",Sync!$AD1778=""),"",Sync!$AD1778)</f>
        <v/>
      </c>
      <c r="Q1782" t="str">
        <f>IF($G1782="","",IF(Sync!$U1778="","0000",IF(AND(ISNUMBER(Sync!$U1778),Sync!$U1778&gt;=0,Sync!$U1778&lt;1),RIGHT("00"&amp;HOUR(Sync!$U1778),2)&amp;RIGHT("00"&amp;MINUTE(Sync!$U1778),2),IFERROR(RIGHT("00"&amp;VALUE(LEFT(Sync!$U1778,FIND(":",Sync!$U1778)-1)),2)&amp;RIGHT("00"&amp;VALUE(MID(Sync!$U1778,FIND(":",Sync!$U1778)+1,2)),2),"0000"))))</f>
        <v/>
      </c>
    </row>
    <row r="1783" spans="1:17" x14ac:dyDescent="0.2">
      <c r="A1783" t="str">
        <f>IF(Sync!$T1779="","",Sync!$T1779)</f>
        <v/>
      </c>
      <c r="B1783" t="str">
        <f t="shared" si="162"/>
        <v/>
      </c>
      <c r="C1783" t="str">
        <f t="shared" si="163"/>
        <v/>
      </c>
      <c r="D1783" t="str">
        <f t="shared" si="164"/>
        <v/>
      </c>
      <c r="E1783" t="str">
        <f t="shared" si="165"/>
        <v/>
      </c>
      <c r="F1783" t="str">
        <f t="shared" si="166"/>
        <v/>
      </c>
      <c r="G1783" t="str">
        <f>IF(OR($E1783="",$E1783="نامعتبر",Sync!$X1779=""),"",IF(AND(LEFT(UPPER(TRIM(Sync!$X1779)),2)="SL",IFERROR(VLOOKUP(Sync!$W1779,OpTbl,3,0),"")="فروش"),UPPER(TRIM(Sync!$X1779)),""))</f>
        <v/>
      </c>
      <c r="H1783" t="str">
        <f>IF($G1783="","",IF(Sync!$W1779="","",Sync!$W1779))</f>
        <v/>
      </c>
      <c r="I1783" t="str">
        <f>IF(OR($G1783="",Sync!$Y1779=""),"",Sync!$Y1779)</f>
        <v/>
      </c>
      <c r="J1783" t="str">
        <f>IF(OR($G1783="",Sync!$Z1779=""),"",Sync!$Z1779)</f>
        <v/>
      </c>
      <c r="K1783">
        <f>IF($G1783="",0,IF(Sync!$AA1779="",0,Sync!$AA1779))</f>
        <v>0</v>
      </c>
      <c r="L1783">
        <f>IF($G1783="",0,IF(Sync!$AB1779="",0,Sync!$AB1779))</f>
        <v>0</v>
      </c>
      <c r="M1783" t="str">
        <f t="shared" si="167"/>
        <v/>
      </c>
      <c r="N1783">
        <f>IF($G1783="",0,IF($H1783="مرجوعی فروش",-1,1)*IF(Sync!$AC1779="",0,Sync!$AC1779))</f>
        <v>0</v>
      </c>
      <c r="O1783" t="str">
        <f>IF(OR($G1783="",Sync!$V1779=""),"",Sync!$V1779)</f>
        <v/>
      </c>
      <c r="P1783" t="str">
        <f>IF(OR($G1783="",Sync!$AD1779=""),"",Sync!$AD1779)</f>
        <v/>
      </c>
      <c r="Q1783" t="str">
        <f>IF($G1783="","",IF(Sync!$U1779="","0000",IF(AND(ISNUMBER(Sync!$U1779),Sync!$U1779&gt;=0,Sync!$U1779&lt;1),RIGHT("00"&amp;HOUR(Sync!$U1779),2)&amp;RIGHT("00"&amp;MINUTE(Sync!$U1779),2),IFERROR(RIGHT("00"&amp;VALUE(LEFT(Sync!$U1779,FIND(":",Sync!$U1779)-1)),2)&amp;RIGHT("00"&amp;VALUE(MID(Sync!$U1779,FIND(":",Sync!$U1779)+1,2)),2),"0000"))))</f>
        <v/>
      </c>
    </row>
    <row r="1784" spans="1:17" x14ac:dyDescent="0.2">
      <c r="A1784" t="str">
        <f>IF(Sync!$T1780="","",Sync!$T1780)</f>
        <v/>
      </c>
      <c r="B1784" t="str">
        <f t="shared" si="162"/>
        <v/>
      </c>
      <c r="C1784" t="str">
        <f t="shared" si="163"/>
        <v/>
      </c>
      <c r="D1784" t="str">
        <f t="shared" si="164"/>
        <v/>
      </c>
      <c r="E1784" t="str">
        <f t="shared" si="165"/>
        <v/>
      </c>
      <c r="F1784" t="str">
        <f t="shared" si="166"/>
        <v/>
      </c>
      <c r="G1784" t="str">
        <f>IF(OR($E1784="",$E1784="نامعتبر",Sync!$X1780=""),"",IF(AND(LEFT(UPPER(TRIM(Sync!$X1780)),2)="SL",IFERROR(VLOOKUP(Sync!$W1780,OpTbl,3,0),"")="فروش"),UPPER(TRIM(Sync!$X1780)),""))</f>
        <v/>
      </c>
      <c r="H1784" t="str">
        <f>IF($G1784="","",IF(Sync!$W1780="","",Sync!$W1780))</f>
        <v/>
      </c>
      <c r="I1784" t="str">
        <f>IF(OR($G1784="",Sync!$Y1780=""),"",Sync!$Y1780)</f>
        <v/>
      </c>
      <c r="J1784" t="str">
        <f>IF(OR($G1784="",Sync!$Z1780=""),"",Sync!$Z1780)</f>
        <v/>
      </c>
      <c r="K1784">
        <f>IF($G1784="",0,IF(Sync!$AA1780="",0,Sync!$AA1780))</f>
        <v>0</v>
      </c>
      <c r="L1784">
        <f>IF($G1784="",0,IF(Sync!$AB1780="",0,Sync!$AB1780))</f>
        <v>0</v>
      </c>
      <c r="M1784" t="str">
        <f t="shared" si="167"/>
        <v/>
      </c>
      <c r="N1784">
        <f>IF($G1784="",0,IF($H1784="مرجوعی فروش",-1,1)*IF(Sync!$AC1780="",0,Sync!$AC1780))</f>
        <v>0</v>
      </c>
      <c r="O1784" t="str">
        <f>IF(OR($G1784="",Sync!$V1780=""),"",Sync!$V1780)</f>
        <v/>
      </c>
      <c r="P1784" t="str">
        <f>IF(OR($G1784="",Sync!$AD1780=""),"",Sync!$AD1780)</f>
        <v/>
      </c>
      <c r="Q1784" t="str">
        <f>IF($G1784="","",IF(Sync!$U1780="","0000",IF(AND(ISNUMBER(Sync!$U1780),Sync!$U1780&gt;=0,Sync!$U1780&lt;1),RIGHT("00"&amp;HOUR(Sync!$U1780),2)&amp;RIGHT("00"&amp;MINUTE(Sync!$U1780),2),IFERROR(RIGHT("00"&amp;VALUE(LEFT(Sync!$U1780,FIND(":",Sync!$U1780)-1)),2)&amp;RIGHT("00"&amp;VALUE(MID(Sync!$U1780,FIND(":",Sync!$U1780)+1,2)),2),"0000"))))</f>
        <v/>
      </c>
    </row>
    <row r="1785" spans="1:17" x14ac:dyDescent="0.2">
      <c r="A1785" t="str">
        <f>IF(Sync!$T1781="","",Sync!$T1781)</f>
        <v/>
      </c>
      <c r="B1785" t="str">
        <f t="shared" si="162"/>
        <v/>
      </c>
      <c r="C1785" t="str">
        <f t="shared" si="163"/>
        <v/>
      </c>
      <c r="D1785" t="str">
        <f t="shared" si="164"/>
        <v/>
      </c>
      <c r="E1785" t="str">
        <f t="shared" si="165"/>
        <v/>
      </c>
      <c r="F1785" t="str">
        <f t="shared" si="166"/>
        <v/>
      </c>
      <c r="G1785" t="str">
        <f>IF(OR($E1785="",$E1785="نامعتبر",Sync!$X1781=""),"",IF(AND(LEFT(UPPER(TRIM(Sync!$X1781)),2)="SL",IFERROR(VLOOKUP(Sync!$W1781,OpTbl,3,0),"")="فروش"),UPPER(TRIM(Sync!$X1781)),""))</f>
        <v/>
      </c>
      <c r="H1785" t="str">
        <f>IF($G1785="","",IF(Sync!$W1781="","",Sync!$W1781))</f>
        <v/>
      </c>
      <c r="I1785" t="str">
        <f>IF(OR($G1785="",Sync!$Y1781=""),"",Sync!$Y1781)</f>
        <v/>
      </c>
      <c r="J1785" t="str">
        <f>IF(OR($G1785="",Sync!$Z1781=""),"",Sync!$Z1781)</f>
        <v/>
      </c>
      <c r="K1785">
        <f>IF($G1785="",0,IF(Sync!$AA1781="",0,Sync!$AA1781))</f>
        <v>0</v>
      </c>
      <c r="L1785">
        <f>IF($G1785="",0,IF(Sync!$AB1781="",0,Sync!$AB1781))</f>
        <v>0</v>
      </c>
      <c r="M1785" t="str">
        <f t="shared" si="167"/>
        <v/>
      </c>
      <c r="N1785">
        <f>IF($G1785="",0,IF($H1785="مرجوعی فروش",-1,1)*IF(Sync!$AC1781="",0,Sync!$AC1781))</f>
        <v>0</v>
      </c>
      <c r="O1785" t="str">
        <f>IF(OR($G1785="",Sync!$V1781=""),"",Sync!$V1781)</f>
        <v/>
      </c>
      <c r="P1785" t="str">
        <f>IF(OR($G1785="",Sync!$AD1781=""),"",Sync!$AD1781)</f>
        <v/>
      </c>
      <c r="Q1785" t="str">
        <f>IF($G1785="","",IF(Sync!$U1781="","0000",IF(AND(ISNUMBER(Sync!$U1781),Sync!$U1781&gt;=0,Sync!$U1781&lt;1),RIGHT("00"&amp;HOUR(Sync!$U1781),2)&amp;RIGHT("00"&amp;MINUTE(Sync!$U1781),2),IFERROR(RIGHT("00"&amp;VALUE(LEFT(Sync!$U1781,FIND(":",Sync!$U1781)-1)),2)&amp;RIGHT("00"&amp;VALUE(MID(Sync!$U1781,FIND(":",Sync!$U1781)+1,2)),2),"0000"))))</f>
        <v/>
      </c>
    </row>
    <row r="1786" spans="1:17" x14ac:dyDescent="0.2">
      <c r="A1786" t="str">
        <f>IF(Sync!$T1782="","",Sync!$T1782)</f>
        <v/>
      </c>
      <c r="B1786" t="str">
        <f t="shared" si="162"/>
        <v/>
      </c>
      <c r="C1786" t="str">
        <f t="shared" si="163"/>
        <v/>
      </c>
      <c r="D1786" t="str">
        <f t="shared" si="164"/>
        <v/>
      </c>
      <c r="E1786" t="str">
        <f t="shared" si="165"/>
        <v/>
      </c>
      <c r="F1786" t="str">
        <f t="shared" si="166"/>
        <v/>
      </c>
      <c r="G1786" t="str">
        <f>IF(OR($E1786="",$E1786="نامعتبر",Sync!$X1782=""),"",IF(AND(LEFT(UPPER(TRIM(Sync!$X1782)),2)="SL",IFERROR(VLOOKUP(Sync!$W1782,OpTbl,3,0),"")="فروش"),UPPER(TRIM(Sync!$X1782)),""))</f>
        <v/>
      </c>
      <c r="H1786" t="str">
        <f>IF($G1786="","",IF(Sync!$W1782="","",Sync!$W1782))</f>
        <v/>
      </c>
      <c r="I1786" t="str">
        <f>IF(OR($G1786="",Sync!$Y1782=""),"",Sync!$Y1782)</f>
        <v/>
      </c>
      <c r="J1786" t="str">
        <f>IF(OR($G1786="",Sync!$Z1782=""),"",Sync!$Z1782)</f>
        <v/>
      </c>
      <c r="K1786">
        <f>IF($G1786="",0,IF(Sync!$AA1782="",0,Sync!$AA1782))</f>
        <v>0</v>
      </c>
      <c r="L1786">
        <f>IF($G1786="",0,IF(Sync!$AB1782="",0,Sync!$AB1782))</f>
        <v>0</v>
      </c>
      <c r="M1786" t="str">
        <f t="shared" si="167"/>
        <v/>
      </c>
      <c r="N1786">
        <f>IF($G1786="",0,IF($H1786="مرجوعی فروش",-1,1)*IF(Sync!$AC1782="",0,Sync!$AC1782))</f>
        <v>0</v>
      </c>
      <c r="O1786" t="str">
        <f>IF(OR($G1786="",Sync!$V1782=""),"",Sync!$V1782)</f>
        <v/>
      </c>
      <c r="P1786" t="str">
        <f>IF(OR($G1786="",Sync!$AD1782=""),"",Sync!$AD1782)</f>
        <v/>
      </c>
      <c r="Q1786" t="str">
        <f>IF($G1786="","",IF(Sync!$U1782="","0000",IF(AND(ISNUMBER(Sync!$U1782),Sync!$U1782&gt;=0,Sync!$U1782&lt;1),RIGHT("00"&amp;HOUR(Sync!$U1782),2)&amp;RIGHT("00"&amp;MINUTE(Sync!$U1782),2),IFERROR(RIGHT("00"&amp;VALUE(LEFT(Sync!$U1782,FIND(":",Sync!$U1782)-1)),2)&amp;RIGHT("00"&amp;VALUE(MID(Sync!$U1782,FIND(":",Sync!$U1782)+1,2)),2),"0000"))))</f>
        <v/>
      </c>
    </row>
    <row r="1787" spans="1:17" x14ac:dyDescent="0.2">
      <c r="A1787" t="str">
        <f>IF(Sync!$T1783="","",Sync!$T1783)</f>
        <v/>
      </c>
      <c r="B1787" t="str">
        <f t="shared" si="162"/>
        <v/>
      </c>
      <c r="C1787" t="str">
        <f t="shared" si="163"/>
        <v/>
      </c>
      <c r="D1787" t="str">
        <f t="shared" si="164"/>
        <v/>
      </c>
      <c r="E1787" t="str">
        <f t="shared" si="165"/>
        <v/>
      </c>
      <c r="F1787" t="str">
        <f t="shared" si="166"/>
        <v/>
      </c>
      <c r="G1787" t="str">
        <f>IF(OR($E1787="",$E1787="نامعتبر",Sync!$X1783=""),"",IF(AND(LEFT(UPPER(TRIM(Sync!$X1783)),2)="SL",IFERROR(VLOOKUP(Sync!$W1783,OpTbl,3,0),"")="فروش"),UPPER(TRIM(Sync!$X1783)),""))</f>
        <v/>
      </c>
      <c r="H1787" t="str">
        <f>IF($G1787="","",IF(Sync!$W1783="","",Sync!$W1783))</f>
        <v/>
      </c>
      <c r="I1787" t="str">
        <f>IF(OR($G1787="",Sync!$Y1783=""),"",Sync!$Y1783)</f>
        <v/>
      </c>
      <c r="J1787" t="str">
        <f>IF(OR($G1787="",Sync!$Z1783=""),"",Sync!$Z1783)</f>
        <v/>
      </c>
      <c r="K1787">
        <f>IF($G1787="",0,IF(Sync!$AA1783="",0,Sync!$AA1783))</f>
        <v>0</v>
      </c>
      <c r="L1787">
        <f>IF($G1787="",0,IF(Sync!$AB1783="",0,Sync!$AB1783))</f>
        <v>0</v>
      </c>
      <c r="M1787" t="str">
        <f t="shared" si="167"/>
        <v/>
      </c>
      <c r="N1787">
        <f>IF($G1787="",0,IF($H1787="مرجوعی فروش",-1,1)*IF(Sync!$AC1783="",0,Sync!$AC1783))</f>
        <v>0</v>
      </c>
      <c r="O1787" t="str">
        <f>IF(OR($G1787="",Sync!$V1783=""),"",Sync!$V1783)</f>
        <v/>
      </c>
      <c r="P1787" t="str">
        <f>IF(OR($G1787="",Sync!$AD1783=""),"",Sync!$AD1783)</f>
        <v/>
      </c>
      <c r="Q1787" t="str">
        <f>IF($G1787="","",IF(Sync!$U1783="","0000",IF(AND(ISNUMBER(Sync!$U1783),Sync!$U1783&gt;=0,Sync!$U1783&lt;1),RIGHT("00"&amp;HOUR(Sync!$U1783),2)&amp;RIGHT("00"&amp;MINUTE(Sync!$U1783),2),IFERROR(RIGHT("00"&amp;VALUE(LEFT(Sync!$U1783,FIND(":",Sync!$U1783)-1)),2)&amp;RIGHT("00"&amp;VALUE(MID(Sync!$U1783,FIND(":",Sync!$U1783)+1,2)),2),"0000"))))</f>
        <v/>
      </c>
    </row>
    <row r="1788" spans="1:17" x14ac:dyDescent="0.2">
      <c r="A1788" t="str">
        <f>IF(Sync!$T1784="","",Sync!$T1784)</f>
        <v/>
      </c>
      <c r="B1788" t="str">
        <f t="shared" si="162"/>
        <v/>
      </c>
      <c r="C1788" t="str">
        <f t="shared" si="163"/>
        <v/>
      </c>
      <c r="D1788" t="str">
        <f t="shared" si="164"/>
        <v/>
      </c>
      <c r="E1788" t="str">
        <f t="shared" si="165"/>
        <v/>
      </c>
      <c r="F1788" t="str">
        <f t="shared" si="166"/>
        <v/>
      </c>
      <c r="G1788" t="str">
        <f>IF(OR($E1788="",$E1788="نامعتبر",Sync!$X1784=""),"",IF(AND(LEFT(UPPER(TRIM(Sync!$X1784)),2)="SL",IFERROR(VLOOKUP(Sync!$W1784,OpTbl,3,0),"")="فروش"),UPPER(TRIM(Sync!$X1784)),""))</f>
        <v/>
      </c>
      <c r="H1788" t="str">
        <f>IF($G1788="","",IF(Sync!$W1784="","",Sync!$W1784))</f>
        <v/>
      </c>
      <c r="I1788" t="str">
        <f>IF(OR($G1788="",Sync!$Y1784=""),"",Sync!$Y1784)</f>
        <v/>
      </c>
      <c r="J1788" t="str">
        <f>IF(OR($G1788="",Sync!$Z1784=""),"",Sync!$Z1784)</f>
        <v/>
      </c>
      <c r="K1788">
        <f>IF($G1788="",0,IF(Sync!$AA1784="",0,Sync!$AA1784))</f>
        <v>0</v>
      </c>
      <c r="L1788">
        <f>IF($G1788="",0,IF(Sync!$AB1784="",0,Sync!$AB1784))</f>
        <v>0</v>
      </c>
      <c r="M1788" t="str">
        <f t="shared" si="167"/>
        <v/>
      </c>
      <c r="N1788">
        <f>IF($G1788="",0,IF($H1788="مرجوعی فروش",-1,1)*IF(Sync!$AC1784="",0,Sync!$AC1784))</f>
        <v>0</v>
      </c>
      <c r="O1788" t="str">
        <f>IF(OR($G1788="",Sync!$V1784=""),"",Sync!$V1784)</f>
        <v/>
      </c>
      <c r="P1788" t="str">
        <f>IF(OR($G1788="",Sync!$AD1784=""),"",Sync!$AD1784)</f>
        <v/>
      </c>
      <c r="Q1788" t="str">
        <f>IF($G1788="","",IF(Sync!$U1784="","0000",IF(AND(ISNUMBER(Sync!$U1784),Sync!$U1784&gt;=0,Sync!$U1784&lt;1),RIGHT("00"&amp;HOUR(Sync!$U1784),2)&amp;RIGHT("00"&amp;MINUTE(Sync!$U1784),2),IFERROR(RIGHT("00"&amp;VALUE(LEFT(Sync!$U1784,FIND(":",Sync!$U1784)-1)),2)&amp;RIGHT("00"&amp;VALUE(MID(Sync!$U1784,FIND(":",Sync!$U1784)+1,2)),2),"0000"))))</f>
        <v/>
      </c>
    </row>
    <row r="1789" spans="1:17" x14ac:dyDescent="0.2">
      <c r="A1789" t="str">
        <f>IF(Sync!$T1785="","",Sync!$T1785)</f>
        <v/>
      </c>
      <c r="B1789" t="str">
        <f t="shared" si="162"/>
        <v/>
      </c>
      <c r="C1789" t="str">
        <f t="shared" si="163"/>
        <v/>
      </c>
      <c r="D1789" t="str">
        <f t="shared" si="164"/>
        <v/>
      </c>
      <c r="E1789" t="str">
        <f t="shared" si="165"/>
        <v/>
      </c>
      <c r="F1789" t="str">
        <f t="shared" si="166"/>
        <v/>
      </c>
      <c r="G1789" t="str">
        <f>IF(OR($E1789="",$E1789="نامعتبر",Sync!$X1785=""),"",IF(AND(LEFT(UPPER(TRIM(Sync!$X1785)),2)="SL",IFERROR(VLOOKUP(Sync!$W1785,OpTbl,3,0),"")="فروش"),UPPER(TRIM(Sync!$X1785)),""))</f>
        <v/>
      </c>
      <c r="H1789" t="str">
        <f>IF($G1789="","",IF(Sync!$W1785="","",Sync!$W1785))</f>
        <v/>
      </c>
      <c r="I1789" t="str">
        <f>IF(OR($G1789="",Sync!$Y1785=""),"",Sync!$Y1785)</f>
        <v/>
      </c>
      <c r="J1789" t="str">
        <f>IF(OR($G1789="",Sync!$Z1785=""),"",Sync!$Z1785)</f>
        <v/>
      </c>
      <c r="K1789">
        <f>IF($G1789="",0,IF(Sync!$AA1785="",0,Sync!$AA1785))</f>
        <v>0</v>
      </c>
      <c r="L1789">
        <f>IF($G1789="",0,IF(Sync!$AB1785="",0,Sync!$AB1785))</f>
        <v>0</v>
      </c>
      <c r="M1789" t="str">
        <f t="shared" si="167"/>
        <v/>
      </c>
      <c r="N1789">
        <f>IF($G1789="",0,IF($H1789="مرجوعی فروش",-1,1)*IF(Sync!$AC1785="",0,Sync!$AC1785))</f>
        <v>0</v>
      </c>
      <c r="O1789" t="str">
        <f>IF(OR($G1789="",Sync!$V1785=""),"",Sync!$V1785)</f>
        <v/>
      </c>
      <c r="P1789" t="str">
        <f>IF(OR($G1789="",Sync!$AD1785=""),"",Sync!$AD1785)</f>
        <v/>
      </c>
      <c r="Q1789" t="str">
        <f>IF($G1789="","",IF(Sync!$U1785="","0000",IF(AND(ISNUMBER(Sync!$U1785),Sync!$U1785&gt;=0,Sync!$U1785&lt;1),RIGHT("00"&amp;HOUR(Sync!$U1785),2)&amp;RIGHT("00"&amp;MINUTE(Sync!$U1785),2),IFERROR(RIGHT("00"&amp;VALUE(LEFT(Sync!$U1785,FIND(":",Sync!$U1785)-1)),2)&amp;RIGHT("00"&amp;VALUE(MID(Sync!$U1785,FIND(":",Sync!$U1785)+1,2)),2),"0000"))))</f>
        <v/>
      </c>
    </row>
    <row r="1790" spans="1:17" x14ac:dyDescent="0.2">
      <c r="A1790" t="str">
        <f>IF(Sync!$T1786="","",Sync!$T1786)</f>
        <v/>
      </c>
      <c r="B1790" t="str">
        <f t="shared" si="162"/>
        <v/>
      </c>
      <c r="C1790" t="str">
        <f t="shared" si="163"/>
        <v/>
      </c>
      <c r="D1790" t="str">
        <f t="shared" si="164"/>
        <v/>
      </c>
      <c r="E1790" t="str">
        <f t="shared" si="165"/>
        <v/>
      </c>
      <c r="F1790" t="str">
        <f t="shared" si="166"/>
        <v/>
      </c>
      <c r="G1790" t="str">
        <f>IF(OR($E1790="",$E1790="نامعتبر",Sync!$X1786=""),"",IF(AND(LEFT(UPPER(TRIM(Sync!$X1786)),2)="SL",IFERROR(VLOOKUP(Sync!$W1786,OpTbl,3,0),"")="فروش"),UPPER(TRIM(Sync!$X1786)),""))</f>
        <v/>
      </c>
      <c r="H1790" t="str">
        <f>IF($G1790="","",IF(Sync!$W1786="","",Sync!$W1786))</f>
        <v/>
      </c>
      <c r="I1790" t="str">
        <f>IF(OR($G1790="",Sync!$Y1786=""),"",Sync!$Y1786)</f>
        <v/>
      </c>
      <c r="J1790" t="str">
        <f>IF(OR($G1790="",Sync!$Z1786=""),"",Sync!$Z1786)</f>
        <v/>
      </c>
      <c r="K1790">
        <f>IF($G1790="",0,IF(Sync!$AA1786="",0,Sync!$AA1786))</f>
        <v>0</v>
      </c>
      <c r="L1790">
        <f>IF($G1790="",0,IF(Sync!$AB1786="",0,Sync!$AB1786))</f>
        <v>0</v>
      </c>
      <c r="M1790" t="str">
        <f t="shared" si="167"/>
        <v/>
      </c>
      <c r="N1790">
        <f>IF($G1790="",0,IF($H1790="مرجوعی فروش",-1,1)*IF(Sync!$AC1786="",0,Sync!$AC1786))</f>
        <v>0</v>
      </c>
      <c r="O1790" t="str">
        <f>IF(OR($G1790="",Sync!$V1786=""),"",Sync!$V1786)</f>
        <v/>
      </c>
      <c r="P1790" t="str">
        <f>IF(OR($G1790="",Sync!$AD1786=""),"",Sync!$AD1786)</f>
        <v/>
      </c>
      <c r="Q1790" t="str">
        <f>IF($G1790="","",IF(Sync!$U1786="","0000",IF(AND(ISNUMBER(Sync!$U1786),Sync!$U1786&gt;=0,Sync!$U1786&lt;1),RIGHT("00"&amp;HOUR(Sync!$U1786),2)&amp;RIGHT("00"&amp;MINUTE(Sync!$U1786),2),IFERROR(RIGHT("00"&amp;VALUE(LEFT(Sync!$U1786,FIND(":",Sync!$U1786)-1)),2)&amp;RIGHT("00"&amp;VALUE(MID(Sync!$U1786,FIND(":",Sync!$U1786)+1,2)),2),"0000"))))</f>
        <v/>
      </c>
    </row>
    <row r="1791" spans="1:17" x14ac:dyDescent="0.2">
      <c r="A1791" t="str">
        <f>IF(Sync!$T1787="","",Sync!$T1787)</f>
        <v/>
      </c>
      <c r="B1791" t="str">
        <f t="shared" si="162"/>
        <v/>
      </c>
      <c r="C1791" t="str">
        <f t="shared" si="163"/>
        <v/>
      </c>
      <c r="D1791" t="str">
        <f t="shared" si="164"/>
        <v/>
      </c>
      <c r="E1791" t="str">
        <f t="shared" si="165"/>
        <v/>
      </c>
      <c r="F1791" t="str">
        <f t="shared" si="166"/>
        <v/>
      </c>
      <c r="G1791" t="str">
        <f>IF(OR($E1791="",$E1791="نامعتبر",Sync!$X1787=""),"",IF(AND(LEFT(UPPER(TRIM(Sync!$X1787)),2)="SL",IFERROR(VLOOKUP(Sync!$W1787,OpTbl,3,0),"")="فروش"),UPPER(TRIM(Sync!$X1787)),""))</f>
        <v/>
      </c>
      <c r="H1791" t="str">
        <f>IF($G1791="","",IF(Sync!$W1787="","",Sync!$W1787))</f>
        <v/>
      </c>
      <c r="I1791" t="str">
        <f>IF(OR($G1791="",Sync!$Y1787=""),"",Sync!$Y1787)</f>
        <v/>
      </c>
      <c r="J1791" t="str">
        <f>IF(OR($G1791="",Sync!$Z1787=""),"",Sync!$Z1787)</f>
        <v/>
      </c>
      <c r="K1791">
        <f>IF($G1791="",0,IF(Sync!$AA1787="",0,Sync!$AA1787))</f>
        <v>0</v>
      </c>
      <c r="L1791">
        <f>IF($G1791="",0,IF(Sync!$AB1787="",0,Sync!$AB1787))</f>
        <v>0</v>
      </c>
      <c r="M1791" t="str">
        <f t="shared" si="167"/>
        <v/>
      </c>
      <c r="N1791">
        <f>IF($G1791="",0,IF($H1791="مرجوعی فروش",-1,1)*IF(Sync!$AC1787="",0,Sync!$AC1787))</f>
        <v>0</v>
      </c>
      <c r="O1791" t="str">
        <f>IF(OR($G1791="",Sync!$V1787=""),"",Sync!$V1787)</f>
        <v/>
      </c>
      <c r="P1791" t="str">
        <f>IF(OR($G1791="",Sync!$AD1787=""),"",Sync!$AD1787)</f>
        <v/>
      </c>
      <c r="Q1791" t="str">
        <f>IF($G1791="","",IF(Sync!$U1787="","0000",IF(AND(ISNUMBER(Sync!$U1787),Sync!$U1787&gt;=0,Sync!$U1787&lt;1),RIGHT("00"&amp;HOUR(Sync!$U1787),2)&amp;RIGHT("00"&amp;MINUTE(Sync!$U1787),2),IFERROR(RIGHT("00"&amp;VALUE(LEFT(Sync!$U1787,FIND(":",Sync!$U1787)-1)),2)&amp;RIGHT("00"&amp;VALUE(MID(Sync!$U1787,FIND(":",Sync!$U1787)+1,2)),2),"0000"))))</f>
        <v/>
      </c>
    </row>
    <row r="1792" spans="1:17" x14ac:dyDescent="0.2">
      <c r="A1792" t="str">
        <f>IF(Sync!$T1788="","",Sync!$T1788)</f>
        <v/>
      </c>
      <c r="B1792" t="str">
        <f t="shared" si="162"/>
        <v/>
      </c>
      <c r="C1792" t="str">
        <f t="shared" si="163"/>
        <v/>
      </c>
      <c r="D1792" t="str">
        <f t="shared" si="164"/>
        <v/>
      </c>
      <c r="E1792" t="str">
        <f t="shared" si="165"/>
        <v/>
      </c>
      <c r="F1792" t="str">
        <f t="shared" si="166"/>
        <v/>
      </c>
      <c r="G1792" t="str">
        <f>IF(OR($E1792="",$E1792="نامعتبر",Sync!$X1788=""),"",IF(AND(LEFT(UPPER(TRIM(Sync!$X1788)),2)="SL",IFERROR(VLOOKUP(Sync!$W1788,OpTbl,3,0),"")="فروش"),UPPER(TRIM(Sync!$X1788)),""))</f>
        <v/>
      </c>
      <c r="H1792" t="str">
        <f>IF($G1792="","",IF(Sync!$W1788="","",Sync!$W1788))</f>
        <v/>
      </c>
      <c r="I1792" t="str">
        <f>IF(OR($G1792="",Sync!$Y1788=""),"",Sync!$Y1788)</f>
        <v/>
      </c>
      <c r="J1792" t="str">
        <f>IF(OR($G1792="",Sync!$Z1788=""),"",Sync!$Z1788)</f>
        <v/>
      </c>
      <c r="K1792">
        <f>IF($G1792="",0,IF(Sync!$AA1788="",0,Sync!$AA1788))</f>
        <v>0</v>
      </c>
      <c r="L1792">
        <f>IF($G1792="",0,IF(Sync!$AB1788="",0,Sync!$AB1788))</f>
        <v>0</v>
      </c>
      <c r="M1792" t="str">
        <f t="shared" si="167"/>
        <v/>
      </c>
      <c r="N1792">
        <f>IF($G1792="",0,IF($H1792="مرجوعی فروش",-1,1)*IF(Sync!$AC1788="",0,Sync!$AC1788))</f>
        <v>0</v>
      </c>
      <c r="O1792" t="str">
        <f>IF(OR($G1792="",Sync!$V1788=""),"",Sync!$V1788)</f>
        <v/>
      </c>
      <c r="P1792" t="str">
        <f>IF(OR($G1792="",Sync!$AD1788=""),"",Sync!$AD1788)</f>
        <v/>
      </c>
      <c r="Q1792" t="str">
        <f>IF($G1792="","",IF(Sync!$U1788="","0000",IF(AND(ISNUMBER(Sync!$U1788),Sync!$U1788&gt;=0,Sync!$U1788&lt;1),RIGHT("00"&amp;HOUR(Sync!$U1788),2)&amp;RIGHT("00"&amp;MINUTE(Sync!$U1788),2),IFERROR(RIGHT("00"&amp;VALUE(LEFT(Sync!$U1788,FIND(":",Sync!$U1788)-1)),2)&amp;RIGHT("00"&amp;VALUE(MID(Sync!$U1788,FIND(":",Sync!$U1788)+1,2)),2),"0000"))))</f>
        <v/>
      </c>
    </row>
    <row r="1793" spans="1:17" x14ac:dyDescent="0.2">
      <c r="A1793" t="str">
        <f>IF(Sync!$T1789="","",Sync!$T1789)</f>
        <v/>
      </c>
      <c r="B1793" t="str">
        <f t="shared" si="162"/>
        <v/>
      </c>
      <c r="C1793" t="str">
        <f t="shared" si="163"/>
        <v/>
      </c>
      <c r="D1793" t="str">
        <f t="shared" si="164"/>
        <v/>
      </c>
      <c r="E1793" t="str">
        <f t="shared" si="165"/>
        <v/>
      </c>
      <c r="F1793" t="str">
        <f t="shared" si="166"/>
        <v/>
      </c>
      <c r="G1793" t="str">
        <f>IF(OR($E1793="",$E1793="نامعتبر",Sync!$X1789=""),"",IF(AND(LEFT(UPPER(TRIM(Sync!$X1789)),2)="SL",IFERROR(VLOOKUP(Sync!$W1789,OpTbl,3,0),"")="فروش"),UPPER(TRIM(Sync!$X1789)),""))</f>
        <v/>
      </c>
      <c r="H1793" t="str">
        <f>IF($G1793="","",IF(Sync!$W1789="","",Sync!$W1789))</f>
        <v/>
      </c>
      <c r="I1793" t="str">
        <f>IF(OR($G1793="",Sync!$Y1789=""),"",Sync!$Y1789)</f>
        <v/>
      </c>
      <c r="J1793" t="str">
        <f>IF(OR($G1793="",Sync!$Z1789=""),"",Sync!$Z1789)</f>
        <v/>
      </c>
      <c r="K1793">
        <f>IF($G1793="",0,IF(Sync!$AA1789="",0,Sync!$AA1789))</f>
        <v>0</v>
      </c>
      <c r="L1793">
        <f>IF($G1793="",0,IF(Sync!$AB1789="",0,Sync!$AB1789))</f>
        <v>0</v>
      </c>
      <c r="M1793" t="str">
        <f t="shared" si="167"/>
        <v/>
      </c>
      <c r="N1793">
        <f>IF($G1793="",0,IF($H1793="مرجوعی فروش",-1,1)*IF(Sync!$AC1789="",0,Sync!$AC1789))</f>
        <v>0</v>
      </c>
      <c r="O1793" t="str">
        <f>IF(OR($G1793="",Sync!$V1789=""),"",Sync!$V1789)</f>
        <v/>
      </c>
      <c r="P1793" t="str">
        <f>IF(OR($G1793="",Sync!$AD1789=""),"",Sync!$AD1789)</f>
        <v/>
      </c>
      <c r="Q1793" t="str">
        <f>IF($G1793="","",IF(Sync!$U1789="","0000",IF(AND(ISNUMBER(Sync!$U1789),Sync!$U1789&gt;=0,Sync!$U1789&lt;1),RIGHT("00"&amp;HOUR(Sync!$U1789),2)&amp;RIGHT("00"&amp;MINUTE(Sync!$U1789),2),IFERROR(RIGHT("00"&amp;VALUE(LEFT(Sync!$U1789,FIND(":",Sync!$U1789)-1)),2)&amp;RIGHT("00"&amp;VALUE(MID(Sync!$U1789,FIND(":",Sync!$U1789)+1,2)),2),"0000"))))</f>
        <v/>
      </c>
    </row>
    <row r="1794" spans="1:17" x14ac:dyDescent="0.2">
      <c r="A1794" t="str">
        <f>IF(Sync!$T1790="","",Sync!$T1790)</f>
        <v/>
      </c>
      <c r="B1794" t="str">
        <f t="shared" si="162"/>
        <v/>
      </c>
      <c r="C1794" t="str">
        <f t="shared" si="163"/>
        <v/>
      </c>
      <c r="D1794" t="str">
        <f t="shared" si="164"/>
        <v/>
      </c>
      <c r="E1794" t="str">
        <f t="shared" si="165"/>
        <v/>
      </c>
      <c r="F1794" t="str">
        <f t="shared" si="166"/>
        <v/>
      </c>
      <c r="G1794" t="str">
        <f>IF(OR($E1794="",$E1794="نامعتبر",Sync!$X1790=""),"",IF(AND(LEFT(UPPER(TRIM(Sync!$X1790)),2)="SL",IFERROR(VLOOKUP(Sync!$W1790,OpTbl,3,0),"")="فروش"),UPPER(TRIM(Sync!$X1790)),""))</f>
        <v/>
      </c>
      <c r="H1794" t="str">
        <f>IF($G1794="","",IF(Sync!$W1790="","",Sync!$W1790))</f>
        <v/>
      </c>
      <c r="I1794" t="str">
        <f>IF(OR($G1794="",Sync!$Y1790=""),"",Sync!$Y1790)</f>
        <v/>
      </c>
      <c r="J1794" t="str">
        <f>IF(OR($G1794="",Sync!$Z1790=""),"",Sync!$Z1790)</f>
        <v/>
      </c>
      <c r="K1794">
        <f>IF($G1794="",0,IF(Sync!$AA1790="",0,Sync!$AA1790))</f>
        <v>0</v>
      </c>
      <c r="L1794">
        <f>IF($G1794="",0,IF(Sync!$AB1790="",0,Sync!$AB1790))</f>
        <v>0</v>
      </c>
      <c r="M1794" t="str">
        <f t="shared" si="167"/>
        <v/>
      </c>
      <c r="N1794">
        <f>IF($G1794="",0,IF($H1794="مرجوعی فروش",-1,1)*IF(Sync!$AC1790="",0,Sync!$AC1790))</f>
        <v>0</v>
      </c>
      <c r="O1794" t="str">
        <f>IF(OR($G1794="",Sync!$V1790=""),"",Sync!$V1790)</f>
        <v/>
      </c>
      <c r="P1794" t="str">
        <f>IF(OR($G1794="",Sync!$AD1790=""),"",Sync!$AD1790)</f>
        <v/>
      </c>
      <c r="Q1794" t="str">
        <f>IF($G1794="","",IF(Sync!$U1790="","0000",IF(AND(ISNUMBER(Sync!$U1790),Sync!$U1790&gt;=0,Sync!$U1790&lt;1),RIGHT("00"&amp;HOUR(Sync!$U1790),2)&amp;RIGHT("00"&amp;MINUTE(Sync!$U1790),2),IFERROR(RIGHT("00"&amp;VALUE(LEFT(Sync!$U1790,FIND(":",Sync!$U1790)-1)),2)&amp;RIGHT("00"&amp;VALUE(MID(Sync!$U1790,FIND(":",Sync!$U1790)+1,2)),2),"0000"))))</f>
        <v/>
      </c>
    </row>
    <row r="1795" spans="1:17" x14ac:dyDescent="0.2">
      <c r="A1795" t="str">
        <f>IF(Sync!$T1791="","",Sync!$T1791)</f>
        <v/>
      </c>
      <c r="B1795" t="str">
        <f t="shared" si="162"/>
        <v/>
      </c>
      <c r="C1795" t="str">
        <f t="shared" si="163"/>
        <v/>
      </c>
      <c r="D1795" t="str">
        <f t="shared" si="164"/>
        <v/>
      </c>
      <c r="E1795" t="str">
        <f t="shared" si="165"/>
        <v/>
      </c>
      <c r="F1795" t="str">
        <f t="shared" si="166"/>
        <v/>
      </c>
      <c r="G1795" t="str">
        <f>IF(OR($E1795="",$E1795="نامعتبر",Sync!$X1791=""),"",IF(AND(LEFT(UPPER(TRIM(Sync!$X1791)),2)="SL",IFERROR(VLOOKUP(Sync!$W1791,OpTbl,3,0),"")="فروش"),UPPER(TRIM(Sync!$X1791)),""))</f>
        <v/>
      </c>
      <c r="H1795" t="str">
        <f>IF($G1795="","",IF(Sync!$W1791="","",Sync!$W1791))</f>
        <v/>
      </c>
      <c r="I1795" t="str">
        <f>IF(OR($G1795="",Sync!$Y1791=""),"",Sync!$Y1791)</f>
        <v/>
      </c>
      <c r="J1795" t="str">
        <f>IF(OR($G1795="",Sync!$Z1791=""),"",Sync!$Z1791)</f>
        <v/>
      </c>
      <c r="K1795">
        <f>IF($G1795="",0,IF(Sync!$AA1791="",0,Sync!$AA1791))</f>
        <v>0</v>
      </c>
      <c r="L1795">
        <f>IF($G1795="",0,IF(Sync!$AB1791="",0,Sync!$AB1791))</f>
        <v>0</v>
      </c>
      <c r="M1795" t="str">
        <f t="shared" si="167"/>
        <v/>
      </c>
      <c r="N1795">
        <f>IF($G1795="",0,IF($H1795="مرجوعی فروش",-1,1)*IF(Sync!$AC1791="",0,Sync!$AC1791))</f>
        <v>0</v>
      </c>
      <c r="O1795" t="str">
        <f>IF(OR($G1795="",Sync!$V1791=""),"",Sync!$V1791)</f>
        <v/>
      </c>
      <c r="P1795" t="str">
        <f>IF(OR($G1795="",Sync!$AD1791=""),"",Sync!$AD1791)</f>
        <v/>
      </c>
      <c r="Q1795" t="str">
        <f>IF($G1795="","",IF(Sync!$U1791="","0000",IF(AND(ISNUMBER(Sync!$U1791),Sync!$U1791&gt;=0,Sync!$U1791&lt;1),RIGHT("00"&amp;HOUR(Sync!$U1791),2)&amp;RIGHT("00"&amp;MINUTE(Sync!$U1791),2),IFERROR(RIGHT("00"&amp;VALUE(LEFT(Sync!$U1791,FIND(":",Sync!$U1791)-1)),2)&amp;RIGHT("00"&amp;VALUE(MID(Sync!$U1791,FIND(":",Sync!$U1791)+1,2)),2),"0000"))))</f>
        <v/>
      </c>
    </row>
    <row r="1796" spans="1:17" x14ac:dyDescent="0.2">
      <c r="A1796" t="str">
        <f>IF(Sync!$T1792="","",Sync!$T1792)</f>
        <v/>
      </c>
      <c r="B1796" t="str">
        <f t="shared" si="162"/>
        <v/>
      </c>
      <c r="C1796" t="str">
        <f t="shared" si="163"/>
        <v/>
      </c>
      <c r="D1796" t="str">
        <f t="shared" si="164"/>
        <v/>
      </c>
      <c r="E1796" t="str">
        <f t="shared" si="165"/>
        <v/>
      </c>
      <c r="F1796" t="str">
        <f t="shared" si="166"/>
        <v/>
      </c>
      <c r="G1796" t="str">
        <f>IF(OR($E1796="",$E1796="نامعتبر",Sync!$X1792=""),"",IF(AND(LEFT(UPPER(TRIM(Sync!$X1792)),2)="SL",IFERROR(VLOOKUP(Sync!$W1792,OpTbl,3,0),"")="فروش"),UPPER(TRIM(Sync!$X1792)),""))</f>
        <v/>
      </c>
      <c r="H1796" t="str">
        <f>IF($G1796="","",IF(Sync!$W1792="","",Sync!$W1792))</f>
        <v/>
      </c>
      <c r="I1796" t="str">
        <f>IF(OR($G1796="",Sync!$Y1792=""),"",Sync!$Y1792)</f>
        <v/>
      </c>
      <c r="J1796" t="str">
        <f>IF(OR($G1796="",Sync!$Z1792=""),"",Sync!$Z1792)</f>
        <v/>
      </c>
      <c r="K1796">
        <f>IF($G1796="",0,IF(Sync!$AA1792="",0,Sync!$AA1792))</f>
        <v>0</v>
      </c>
      <c r="L1796">
        <f>IF($G1796="",0,IF(Sync!$AB1792="",0,Sync!$AB1792))</f>
        <v>0</v>
      </c>
      <c r="M1796" t="str">
        <f t="shared" si="167"/>
        <v/>
      </c>
      <c r="N1796">
        <f>IF($G1796="",0,IF($H1796="مرجوعی فروش",-1,1)*IF(Sync!$AC1792="",0,Sync!$AC1792))</f>
        <v>0</v>
      </c>
      <c r="O1796" t="str">
        <f>IF(OR($G1796="",Sync!$V1792=""),"",Sync!$V1792)</f>
        <v/>
      </c>
      <c r="P1796" t="str">
        <f>IF(OR($G1796="",Sync!$AD1792=""),"",Sync!$AD1792)</f>
        <v/>
      </c>
      <c r="Q1796" t="str">
        <f>IF($G1796="","",IF(Sync!$U1792="","0000",IF(AND(ISNUMBER(Sync!$U1792),Sync!$U1792&gt;=0,Sync!$U1792&lt;1),RIGHT("00"&amp;HOUR(Sync!$U1792),2)&amp;RIGHT("00"&amp;MINUTE(Sync!$U1792),2),IFERROR(RIGHT("00"&amp;VALUE(LEFT(Sync!$U1792,FIND(":",Sync!$U1792)-1)),2)&amp;RIGHT("00"&amp;VALUE(MID(Sync!$U1792,FIND(":",Sync!$U1792)+1,2)),2),"0000"))))</f>
        <v/>
      </c>
    </row>
    <row r="1797" spans="1:17" x14ac:dyDescent="0.2">
      <c r="A1797" t="str">
        <f>IF(Sync!$T1793="","",Sync!$T1793)</f>
        <v/>
      </c>
      <c r="B1797" t="str">
        <f t="shared" si="162"/>
        <v/>
      </c>
      <c r="C1797" t="str">
        <f t="shared" si="163"/>
        <v/>
      </c>
      <c r="D1797" t="str">
        <f t="shared" si="164"/>
        <v/>
      </c>
      <c r="E1797" t="str">
        <f t="shared" si="165"/>
        <v/>
      </c>
      <c r="F1797" t="str">
        <f t="shared" si="166"/>
        <v/>
      </c>
      <c r="G1797" t="str">
        <f>IF(OR($E1797="",$E1797="نامعتبر",Sync!$X1793=""),"",IF(AND(LEFT(UPPER(TRIM(Sync!$X1793)),2)="SL",IFERROR(VLOOKUP(Sync!$W1793,OpTbl,3,0),"")="فروش"),UPPER(TRIM(Sync!$X1793)),""))</f>
        <v/>
      </c>
      <c r="H1797" t="str">
        <f>IF($G1797="","",IF(Sync!$W1793="","",Sync!$W1793))</f>
        <v/>
      </c>
      <c r="I1797" t="str">
        <f>IF(OR($G1797="",Sync!$Y1793=""),"",Sync!$Y1793)</f>
        <v/>
      </c>
      <c r="J1797" t="str">
        <f>IF(OR($G1797="",Sync!$Z1793=""),"",Sync!$Z1793)</f>
        <v/>
      </c>
      <c r="K1797">
        <f>IF($G1797="",0,IF(Sync!$AA1793="",0,Sync!$AA1793))</f>
        <v>0</v>
      </c>
      <c r="L1797">
        <f>IF($G1797="",0,IF(Sync!$AB1793="",0,Sync!$AB1793))</f>
        <v>0</v>
      </c>
      <c r="M1797" t="str">
        <f t="shared" si="167"/>
        <v/>
      </c>
      <c r="N1797">
        <f>IF($G1797="",0,IF($H1797="مرجوعی فروش",-1,1)*IF(Sync!$AC1793="",0,Sync!$AC1793))</f>
        <v>0</v>
      </c>
      <c r="O1797" t="str">
        <f>IF(OR($G1797="",Sync!$V1793=""),"",Sync!$V1793)</f>
        <v/>
      </c>
      <c r="P1797" t="str">
        <f>IF(OR($G1797="",Sync!$AD1793=""),"",Sync!$AD1793)</f>
        <v/>
      </c>
      <c r="Q1797" t="str">
        <f>IF($G1797="","",IF(Sync!$U1793="","0000",IF(AND(ISNUMBER(Sync!$U1793),Sync!$U1793&gt;=0,Sync!$U1793&lt;1),RIGHT("00"&amp;HOUR(Sync!$U1793),2)&amp;RIGHT("00"&amp;MINUTE(Sync!$U1793),2),IFERROR(RIGHT("00"&amp;VALUE(LEFT(Sync!$U1793,FIND(":",Sync!$U1793)-1)),2)&amp;RIGHT("00"&amp;VALUE(MID(Sync!$U1793,FIND(":",Sync!$U1793)+1,2)),2),"0000"))))</f>
        <v/>
      </c>
    </row>
    <row r="1798" spans="1:17" x14ac:dyDescent="0.2">
      <c r="A1798" t="str">
        <f>IF(Sync!$T1794="","",Sync!$T1794)</f>
        <v/>
      </c>
      <c r="B1798" t="str">
        <f t="shared" si="162"/>
        <v/>
      </c>
      <c r="C1798" t="str">
        <f t="shared" si="163"/>
        <v/>
      </c>
      <c r="D1798" t="str">
        <f t="shared" si="164"/>
        <v/>
      </c>
      <c r="E1798" t="str">
        <f t="shared" si="165"/>
        <v/>
      </c>
      <c r="F1798" t="str">
        <f t="shared" si="166"/>
        <v/>
      </c>
      <c r="G1798" t="str">
        <f>IF(OR($E1798="",$E1798="نامعتبر",Sync!$X1794=""),"",IF(AND(LEFT(UPPER(TRIM(Sync!$X1794)),2)="SL",IFERROR(VLOOKUP(Sync!$W1794,OpTbl,3,0),"")="فروش"),UPPER(TRIM(Sync!$X1794)),""))</f>
        <v/>
      </c>
      <c r="H1798" t="str">
        <f>IF($G1798="","",IF(Sync!$W1794="","",Sync!$W1794))</f>
        <v/>
      </c>
      <c r="I1798" t="str">
        <f>IF(OR($G1798="",Sync!$Y1794=""),"",Sync!$Y1794)</f>
        <v/>
      </c>
      <c r="J1798" t="str">
        <f>IF(OR($G1798="",Sync!$Z1794=""),"",Sync!$Z1794)</f>
        <v/>
      </c>
      <c r="K1798">
        <f>IF($G1798="",0,IF(Sync!$AA1794="",0,Sync!$AA1794))</f>
        <v>0</v>
      </c>
      <c r="L1798">
        <f>IF($G1798="",0,IF(Sync!$AB1794="",0,Sync!$AB1794))</f>
        <v>0</v>
      </c>
      <c r="M1798" t="str">
        <f t="shared" si="167"/>
        <v/>
      </c>
      <c r="N1798">
        <f>IF($G1798="",0,IF($H1798="مرجوعی فروش",-1,1)*IF(Sync!$AC1794="",0,Sync!$AC1794))</f>
        <v>0</v>
      </c>
      <c r="O1798" t="str">
        <f>IF(OR($G1798="",Sync!$V1794=""),"",Sync!$V1794)</f>
        <v/>
      </c>
      <c r="P1798" t="str">
        <f>IF(OR($G1798="",Sync!$AD1794=""),"",Sync!$AD1794)</f>
        <v/>
      </c>
      <c r="Q1798" t="str">
        <f>IF($G1798="","",IF(Sync!$U1794="","0000",IF(AND(ISNUMBER(Sync!$U1794),Sync!$U1794&gt;=0,Sync!$U1794&lt;1),RIGHT("00"&amp;HOUR(Sync!$U1794),2)&amp;RIGHT("00"&amp;MINUTE(Sync!$U1794),2),IFERROR(RIGHT("00"&amp;VALUE(LEFT(Sync!$U1794,FIND(":",Sync!$U1794)-1)),2)&amp;RIGHT("00"&amp;VALUE(MID(Sync!$U1794,FIND(":",Sync!$U1794)+1,2)),2),"0000"))))</f>
        <v/>
      </c>
    </row>
    <row r="1799" spans="1:17" x14ac:dyDescent="0.2">
      <c r="A1799" t="str">
        <f>IF(Sync!$T1795="","",Sync!$T1795)</f>
        <v/>
      </c>
      <c r="B1799" t="str">
        <f t="shared" si="162"/>
        <v/>
      </c>
      <c r="C1799" t="str">
        <f t="shared" si="163"/>
        <v/>
      </c>
      <c r="D1799" t="str">
        <f t="shared" si="164"/>
        <v/>
      </c>
      <c r="E1799" t="str">
        <f t="shared" si="165"/>
        <v/>
      </c>
      <c r="F1799" t="str">
        <f t="shared" si="166"/>
        <v/>
      </c>
      <c r="G1799" t="str">
        <f>IF(OR($E1799="",$E1799="نامعتبر",Sync!$X1795=""),"",IF(AND(LEFT(UPPER(TRIM(Sync!$X1795)),2)="SL",IFERROR(VLOOKUP(Sync!$W1795,OpTbl,3,0),"")="فروش"),UPPER(TRIM(Sync!$X1795)),""))</f>
        <v/>
      </c>
      <c r="H1799" t="str">
        <f>IF($G1799="","",IF(Sync!$W1795="","",Sync!$W1795))</f>
        <v/>
      </c>
      <c r="I1799" t="str">
        <f>IF(OR($G1799="",Sync!$Y1795=""),"",Sync!$Y1795)</f>
        <v/>
      </c>
      <c r="J1799" t="str">
        <f>IF(OR($G1799="",Sync!$Z1795=""),"",Sync!$Z1795)</f>
        <v/>
      </c>
      <c r="K1799">
        <f>IF($G1799="",0,IF(Sync!$AA1795="",0,Sync!$AA1795))</f>
        <v>0</v>
      </c>
      <c r="L1799">
        <f>IF($G1799="",0,IF(Sync!$AB1795="",0,Sync!$AB1795))</f>
        <v>0</v>
      </c>
      <c r="M1799" t="str">
        <f t="shared" si="167"/>
        <v/>
      </c>
      <c r="N1799">
        <f>IF($G1799="",0,IF($H1799="مرجوعی فروش",-1,1)*IF(Sync!$AC1795="",0,Sync!$AC1795))</f>
        <v>0</v>
      </c>
      <c r="O1799" t="str">
        <f>IF(OR($G1799="",Sync!$V1795=""),"",Sync!$V1795)</f>
        <v/>
      </c>
      <c r="P1799" t="str">
        <f>IF(OR($G1799="",Sync!$AD1795=""),"",Sync!$AD1795)</f>
        <v/>
      </c>
      <c r="Q1799" t="str">
        <f>IF($G1799="","",IF(Sync!$U1795="","0000",IF(AND(ISNUMBER(Sync!$U1795),Sync!$U1795&gt;=0,Sync!$U1795&lt;1),RIGHT("00"&amp;HOUR(Sync!$U1795),2)&amp;RIGHT("00"&amp;MINUTE(Sync!$U1795),2),IFERROR(RIGHT("00"&amp;VALUE(LEFT(Sync!$U1795,FIND(":",Sync!$U1795)-1)),2)&amp;RIGHT("00"&amp;VALUE(MID(Sync!$U1795,FIND(":",Sync!$U1795)+1,2)),2),"0000"))))</f>
        <v/>
      </c>
    </row>
    <row r="1800" spans="1:17" x14ac:dyDescent="0.2">
      <c r="A1800" t="str">
        <f>IF(Sync!$T1796="","",Sync!$T1796)</f>
        <v/>
      </c>
      <c r="B1800" t="str">
        <f t="shared" si="162"/>
        <v/>
      </c>
      <c r="C1800" t="str">
        <f t="shared" si="163"/>
        <v/>
      </c>
      <c r="D1800" t="str">
        <f t="shared" si="164"/>
        <v/>
      </c>
      <c r="E1800" t="str">
        <f t="shared" si="165"/>
        <v/>
      </c>
      <c r="F1800" t="str">
        <f t="shared" si="166"/>
        <v/>
      </c>
      <c r="G1800" t="str">
        <f>IF(OR($E1800="",$E1800="نامعتبر",Sync!$X1796=""),"",IF(AND(LEFT(UPPER(TRIM(Sync!$X1796)),2)="SL",IFERROR(VLOOKUP(Sync!$W1796,OpTbl,3,0),"")="فروش"),UPPER(TRIM(Sync!$X1796)),""))</f>
        <v/>
      </c>
      <c r="H1800" t="str">
        <f>IF($G1800="","",IF(Sync!$W1796="","",Sync!$W1796))</f>
        <v/>
      </c>
      <c r="I1800" t="str">
        <f>IF(OR($G1800="",Sync!$Y1796=""),"",Sync!$Y1796)</f>
        <v/>
      </c>
      <c r="J1800" t="str">
        <f>IF(OR($G1800="",Sync!$Z1796=""),"",Sync!$Z1796)</f>
        <v/>
      </c>
      <c r="K1800">
        <f>IF($G1800="",0,IF(Sync!$AA1796="",0,Sync!$AA1796))</f>
        <v>0</v>
      </c>
      <c r="L1800">
        <f>IF($G1800="",0,IF(Sync!$AB1796="",0,Sync!$AB1796))</f>
        <v>0</v>
      </c>
      <c r="M1800" t="str">
        <f t="shared" si="167"/>
        <v/>
      </c>
      <c r="N1800">
        <f>IF($G1800="",0,IF($H1800="مرجوعی فروش",-1,1)*IF(Sync!$AC1796="",0,Sync!$AC1796))</f>
        <v>0</v>
      </c>
      <c r="O1800" t="str">
        <f>IF(OR($G1800="",Sync!$V1796=""),"",Sync!$V1796)</f>
        <v/>
      </c>
      <c r="P1800" t="str">
        <f>IF(OR($G1800="",Sync!$AD1796=""),"",Sync!$AD1796)</f>
        <v/>
      </c>
      <c r="Q1800" t="str">
        <f>IF($G1800="","",IF(Sync!$U1796="","0000",IF(AND(ISNUMBER(Sync!$U1796),Sync!$U1796&gt;=0,Sync!$U1796&lt;1),RIGHT("00"&amp;HOUR(Sync!$U1796),2)&amp;RIGHT("00"&amp;MINUTE(Sync!$U1796),2),IFERROR(RIGHT("00"&amp;VALUE(LEFT(Sync!$U1796,FIND(":",Sync!$U1796)-1)),2)&amp;RIGHT("00"&amp;VALUE(MID(Sync!$U1796,FIND(":",Sync!$U1796)+1,2)),2),"0000"))))</f>
        <v/>
      </c>
    </row>
    <row r="1801" spans="1:17" x14ac:dyDescent="0.2">
      <c r="A1801" t="str">
        <f>IF(Sync!$T1797="","",Sync!$T1797)</f>
        <v/>
      </c>
      <c r="B1801" t="str">
        <f t="shared" si="162"/>
        <v/>
      </c>
      <c r="C1801" t="str">
        <f t="shared" si="163"/>
        <v/>
      </c>
      <c r="D1801" t="str">
        <f t="shared" si="164"/>
        <v/>
      </c>
      <c r="E1801" t="str">
        <f t="shared" si="165"/>
        <v/>
      </c>
      <c r="F1801" t="str">
        <f t="shared" si="166"/>
        <v/>
      </c>
      <c r="G1801" t="str">
        <f>IF(OR($E1801="",$E1801="نامعتبر",Sync!$X1797=""),"",IF(AND(LEFT(UPPER(TRIM(Sync!$X1797)),2)="SL",IFERROR(VLOOKUP(Sync!$W1797,OpTbl,3,0),"")="فروش"),UPPER(TRIM(Sync!$X1797)),""))</f>
        <v/>
      </c>
      <c r="H1801" t="str">
        <f>IF($G1801="","",IF(Sync!$W1797="","",Sync!$W1797))</f>
        <v/>
      </c>
      <c r="I1801" t="str">
        <f>IF(OR($G1801="",Sync!$Y1797=""),"",Sync!$Y1797)</f>
        <v/>
      </c>
      <c r="J1801" t="str">
        <f>IF(OR($G1801="",Sync!$Z1797=""),"",Sync!$Z1797)</f>
        <v/>
      </c>
      <c r="K1801">
        <f>IF($G1801="",0,IF(Sync!$AA1797="",0,Sync!$AA1797))</f>
        <v>0</v>
      </c>
      <c r="L1801">
        <f>IF($G1801="",0,IF(Sync!$AB1797="",0,Sync!$AB1797))</f>
        <v>0</v>
      </c>
      <c r="M1801" t="str">
        <f t="shared" si="167"/>
        <v/>
      </c>
      <c r="N1801">
        <f>IF($G1801="",0,IF($H1801="مرجوعی فروش",-1,1)*IF(Sync!$AC1797="",0,Sync!$AC1797))</f>
        <v>0</v>
      </c>
      <c r="O1801" t="str">
        <f>IF(OR($G1801="",Sync!$V1797=""),"",Sync!$V1797)</f>
        <v/>
      </c>
      <c r="P1801" t="str">
        <f>IF(OR($G1801="",Sync!$AD1797=""),"",Sync!$AD1797)</f>
        <v/>
      </c>
      <c r="Q1801" t="str">
        <f>IF($G1801="","",IF(Sync!$U1797="","0000",IF(AND(ISNUMBER(Sync!$U1797),Sync!$U1797&gt;=0,Sync!$U1797&lt;1),RIGHT("00"&amp;HOUR(Sync!$U1797),2)&amp;RIGHT("00"&amp;MINUTE(Sync!$U1797),2),IFERROR(RIGHT("00"&amp;VALUE(LEFT(Sync!$U1797,FIND(":",Sync!$U1797)-1)),2)&amp;RIGHT("00"&amp;VALUE(MID(Sync!$U1797,FIND(":",Sync!$U1797)+1,2)),2),"0000"))))</f>
        <v/>
      </c>
    </row>
    <row r="1802" spans="1:17" x14ac:dyDescent="0.2">
      <c r="A1802" t="str">
        <f>IF(Sync!$T1798="","",Sync!$T1798)</f>
        <v/>
      </c>
      <c r="B1802" t="str">
        <f t="shared" ref="B1802:B1865" si="168">IF($A1802="","",IF(ISNUMBER($A1802),IF(AND($A1802&gt;=10000101,$A1802&lt;=99991231),INT($A1802/10000),""),IFERROR(VALUE(TRIM(LEFT($A1802,FIND("/",$A1802)-1))),"")))</f>
        <v/>
      </c>
      <c r="C1802" t="str">
        <f t="shared" ref="C1802:C1865" si="169">IF(OR($A1802="",$B1802=""),"",IF(ISNUMBER($A1802),INT(MOD($A1802,10000)/100),IFERROR(VALUE(TRIM(LEFT(MID($A1802,FIND("/",$A1802)+1,20),FIND("/",MID($A1802,FIND("/",$A1802)+1,20))-1))),"")))</f>
        <v/>
      </c>
      <c r="D1802" t="str">
        <f t="shared" ref="D1802:D1865" si="170">IF(OR($A1802="",$B1802=""),"",IF(ISNUMBER($A1802),MOD($A1802,100),IFERROR(VALUE(TRIM(MID(MID($A1802,FIND("/",$A1802)+1,20),FIND("/",MID($A1802,FIND("/",$A1802)+1,20))+1,20))),"")))</f>
        <v/>
      </c>
      <c r="E1802" t="str">
        <f t="shared" ref="E1802:E1865" si="171">IF($A1802="","",IF(OR($B1802="",$C1802="",$D1802="",$B1802&lt;1300,$B1802&gt;1500,$C1802&lt;1,$C1802&gt;12,$D1802&lt;1,$D1802&gt;31),"نامعتبر",RIGHT("0000"&amp;$B1802,4)&amp;"/"&amp;RIGHT("00"&amp;$C1802,2)&amp;"/"&amp;RIGHT("00"&amp;$D1802,2)))</f>
        <v/>
      </c>
      <c r="F1802" t="str">
        <f t="shared" ref="F1802:F1865" si="172">IF(OR($E1802="",$E1802="نامعتبر"),"",LEFT($E1802,4)&amp;"/"&amp;MID($E1802,6,2))</f>
        <v/>
      </c>
      <c r="G1802" t="str">
        <f>IF(OR($E1802="",$E1802="نامعتبر",Sync!$X1798=""),"",IF(AND(LEFT(UPPER(TRIM(Sync!$X1798)),2)="SL",IFERROR(VLOOKUP(Sync!$W1798,OpTbl,3,0),"")="فروش"),UPPER(TRIM(Sync!$X1798)),""))</f>
        <v/>
      </c>
      <c r="H1802" t="str">
        <f>IF($G1802="","",IF(Sync!$W1798="","",Sync!$W1798))</f>
        <v/>
      </c>
      <c r="I1802" t="str">
        <f>IF(OR($G1802="",Sync!$Y1798=""),"",Sync!$Y1798)</f>
        <v/>
      </c>
      <c r="J1802" t="str">
        <f>IF(OR($G1802="",Sync!$Z1798=""),"",Sync!$Z1798)</f>
        <v/>
      </c>
      <c r="K1802">
        <f>IF($G1802="",0,IF(Sync!$AA1798="",0,Sync!$AA1798))</f>
        <v>0</v>
      </c>
      <c r="L1802">
        <f>IF($G1802="",0,IF(Sync!$AB1798="",0,Sync!$AB1798))</f>
        <v>0</v>
      </c>
      <c r="M1802" t="str">
        <f t="shared" ref="M1802:M1865" si="173">IF($G1802="","",IF($H1802="مرجوعی فروش",-1,1)*($K1802-$L1802*IFERROR(VLOOKUP("P01",ParamTbl,3,0),1.5)))</f>
        <v/>
      </c>
      <c r="N1802">
        <f>IF($G1802="",0,IF($H1802="مرجوعی فروش",-1,1)*IF(Sync!$AC1798="",0,Sync!$AC1798))</f>
        <v>0</v>
      </c>
      <c r="O1802" t="str">
        <f>IF(OR($G1802="",Sync!$V1798=""),"",Sync!$V1798)</f>
        <v/>
      </c>
      <c r="P1802" t="str">
        <f>IF(OR($G1802="",Sync!$AD1798=""),"",Sync!$AD1798)</f>
        <v/>
      </c>
      <c r="Q1802" t="str">
        <f>IF($G1802="","",IF(Sync!$U1798="","0000",IF(AND(ISNUMBER(Sync!$U1798),Sync!$U1798&gt;=0,Sync!$U1798&lt;1),RIGHT("00"&amp;HOUR(Sync!$U1798),2)&amp;RIGHT("00"&amp;MINUTE(Sync!$U1798),2),IFERROR(RIGHT("00"&amp;VALUE(LEFT(Sync!$U1798,FIND(":",Sync!$U1798)-1)),2)&amp;RIGHT("00"&amp;VALUE(MID(Sync!$U1798,FIND(":",Sync!$U1798)+1,2)),2),"0000"))))</f>
        <v/>
      </c>
    </row>
    <row r="1803" spans="1:17" x14ac:dyDescent="0.2">
      <c r="A1803" t="str">
        <f>IF(Sync!$T1799="","",Sync!$T1799)</f>
        <v/>
      </c>
      <c r="B1803" t="str">
        <f t="shared" si="168"/>
        <v/>
      </c>
      <c r="C1803" t="str">
        <f t="shared" si="169"/>
        <v/>
      </c>
      <c r="D1803" t="str">
        <f t="shared" si="170"/>
        <v/>
      </c>
      <c r="E1803" t="str">
        <f t="shared" si="171"/>
        <v/>
      </c>
      <c r="F1803" t="str">
        <f t="shared" si="172"/>
        <v/>
      </c>
      <c r="G1803" t="str">
        <f>IF(OR($E1803="",$E1803="نامعتبر",Sync!$X1799=""),"",IF(AND(LEFT(UPPER(TRIM(Sync!$X1799)),2)="SL",IFERROR(VLOOKUP(Sync!$W1799,OpTbl,3,0),"")="فروش"),UPPER(TRIM(Sync!$X1799)),""))</f>
        <v/>
      </c>
      <c r="H1803" t="str">
        <f>IF($G1803="","",IF(Sync!$W1799="","",Sync!$W1799))</f>
        <v/>
      </c>
      <c r="I1803" t="str">
        <f>IF(OR($G1803="",Sync!$Y1799=""),"",Sync!$Y1799)</f>
        <v/>
      </c>
      <c r="J1803" t="str">
        <f>IF(OR($G1803="",Sync!$Z1799=""),"",Sync!$Z1799)</f>
        <v/>
      </c>
      <c r="K1803">
        <f>IF($G1803="",0,IF(Sync!$AA1799="",0,Sync!$AA1799))</f>
        <v>0</v>
      </c>
      <c r="L1803">
        <f>IF($G1803="",0,IF(Sync!$AB1799="",0,Sync!$AB1799))</f>
        <v>0</v>
      </c>
      <c r="M1803" t="str">
        <f t="shared" si="173"/>
        <v/>
      </c>
      <c r="N1803">
        <f>IF($G1803="",0,IF($H1803="مرجوعی فروش",-1,1)*IF(Sync!$AC1799="",0,Sync!$AC1799))</f>
        <v>0</v>
      </c>
      <c r="O1803" t="str">
        <f>IF(OR($G1803="",Sync!$V1799=""),"",Sync!$V1799)</f>
        <v/>
      </c>
      <c r="P1803" t="str">
        <f>IF(OR($G1803="",Sync!$AD1799=""),"",Sync!$AD1799)</f>
        <v/>
      </c>
      <c r="Q1803" t="str">
        <f>IF($G1803="","",IF(Sync!$U1799="","0000",IF(AND(ISNUMBER(Sync!$U1799),Sync!$U1799&gt;=0,Sync!$U1799&lt;1),RIGHT("00"&amp;HOUR(Sync!$U1799),2)&amp;RIGHT("00"&amp;MINUTE(Sync!$U1799),2),IFERROR(RIGHT("00"&amp;VALUE(LEFT(Sync!$U1799,FIND(":",Sync!$U1799)-1)),2)&amp;RIGHT("00"&amp;VALUE(MID(Sync!$U1799,FIND(":",Sync!$U1799)+1,2)),2),"0000"))))</f>
        <v/>
      </c>
    </row>
    <row r="1804" spans="1:17" x14ac:dyDescent="0.2">
      <c r="A1804" t="str">
        <f>IF(Sync!$T1800="","",Sync!$T1800)</f>
        <v/>
      </c>
      <c r="B1804" t="str">
        <f t="shared" si="168"/>
        <v/>
      </c>
      <c r="C1804" t="str">
        <f t="shared" si="169"/>
        <v/>
      </c>
      <c r="D1804" t="str">
        <f t="shared" si="170"/>
        <v/>
      </c>
      <c r="E1804" t="str">
        <f t="shared" si="171"/>
        <v/>
      </c>
      <c r="F1804" t="str">
        <f t="shared" si="172"/>
        <v/>
      </c>
      <c r="G1804" t="str">
        <f>IF(OR($E1804="",$E1804="نامعتبر",Sync!$X1800=""),"",IF(AND(LEFT(UPPER(TRIM(Sync!$X1800)),2)="SL",IFERROR(VLOOKUP(Sync!$W1800,OpTbl,3,0),"")="فروش"),UPPER(TRIM(Sync!$X1800)),""))</f>
        <v/>
      </c>
      <c r="H1804" t="str">
        <f>IF($G1804="","",IF(Sync!$W1800="","",Sync!$W1800))</f>
        <v/>
      </c>
      <c r="I1804" t="str">
        <f>IF(OR($G1804="",Sync!$Y1800=""),"",Sync!$Y1800)</f>
        <v/>
      </c>
      <c r="J1804" t="str">
        <f>IF(OR($G1804="",Sync!$Z1800=""),"",Sync!$Z1800)</f>
        <v/>
      </c>
      <c r="K1804">
        <f>IF($G1804="",0,IF(Sync!$AA1800="",0,Sync!$AA1800))</f>
        <v>0</v>
      </c>
      <c r="L1804">
        <f>IF($G1804="",0,IF(Sync!$AB1800="",0,Sync!$AB1800))</f>
        <v>0</v>
      </c>
      <c r="M1804" t="str">
        <f t="shared" si="173"/>
        <v/>
      </c>
      <c r="N1804">
        <f>IF($G1804="",0,IF($H1804="مرجوعی فروش",-1,1)*IF(Sync!$AC1800="",0,Sync!$AC1800))</f>
        <v>0</v>
      </c>
      <c r="O1804" t="str">
        <f>IF(OR($G1804="",Sync!$V1800=""),"",Sync!$V1800)</f>
        <v/>
      </c>
      <c r="P1804" t="str">
        <f>IF(OR($G1804="",Sync!$AD1800=""),"",Sync!$AD1800)</f>
        <v/>
      </c>
      <c r="Q1804" t="str">
        <f>IF($G1804="","",IF(Sync!$U1800="","0000",IF(AND(ISNUMBER(Sync!$U1800),Sync!$U1800&gt;=0,Sync!$U1800&lt;1),RIGHT("00"&amp;HOUR(Sync!$U1800),2)&amp;RIGHT("00"&amp;MINUTE(Sync!$U1800),2),IFERROR(RIGHT("00"&amp;VALUE(LEFT(Sync!$U1800,FIND(":",Sync!$U1800)-1)),2)&amp;RIGHT("00"&amp;VALUE(MID(Sync!$U1800,FIND(":",Sync!$U1800)+1,2)),2),"0000"))))</f>
        <v/>
      </c>
    </row>
    <row r="1805" spans="1:17" x14ac:dyDescent="0.2">
      <c r="A1805" t="str">
        <f>IF(Sync!$T1801="","",Sync!$T1801)</f>
        <v/>
      </c>
      <c r="B1805" t="str">
        <f t="shared" si="168"/>
        <v/>
      </c>
      <c r="C1805" t="str">
        <f t="shared" si="169"/>
        <v/>
      </c>
      <c r="D1805" t="str">
        <f t="shared" si="170"/>
        <v/>
      </c>
      <c r="E1805" t="str">
        <f t="shared" si="171"/>
        <v/>
      </c>
      <c r="F1805" t="str">
        <f t="shared" si="172"/>
        <v/>
      </c>
      <c r="G1805" t="str">
        <f>IF(OR($E1805="",$E1805="نامعتبر",Sync!$X1801=""),"",IF(AND(LEFT(UPPER(TRIM(Sync!$X1801)),2)="SL",IFERROR(VLOOKUP(Sync!$W1801,OpTbl,3,0),"")="فروش"),UPPER(TRIM(Sync!$X1801)),""))</f>
        <v/>
      </c>
      <c r="H1805" t="str">
        <f>IF($G1805="","",IF(Sync!$W1801="","",Sync!$W1801))</f>
        <v/>
      </c>
      <c r="I1805" t="str">
        <f>IF(OR($G1805="",Sync!$Y1801=""),"",Sync!$Y1801)</f>
        <v/>
      </c>
      <c r="J1805" t="str">
        <f>IF(OR($G1805="",Sync!$Z1801=""),"",Sync!$Z1801)</f>
        <v/>
      </c>
      <c r="K1805">
        <f>IF($G1805="",0,IF(Sync!$AA1801="",0,Sync!$AA1801))</f>
        <v>0</v>
      </c>
      <c r="L1805">
        <f>IF($G1805="",0,IF(Sync!$AB1801="",0,Sync!$AB1801))</f>
        <v>0</v>
      </c>
      <c r="M1805" t="str">
        <f t="shared" si="173"/>
        <v/>
      </c>
      <c r="N1805">
        <f>IF($G1805="",0,IF($H1805="مرجوعی فروش",-1,1)*IF(Sync!$AC1801="",0,Sync!$AC1801))</f>
        <v>0</v>
      </c>
      <c r="O1805" t="str">
        <f>IF(OR($G1805="",Sync!$V1801=""),"",Sync!$V1801)</f>
        <v/>
      </c>
      <c r="P1805" t="str">
        <f>IF(OR($G1805="",Sync!$AD1801=""),"",Sync!$AD1801)</f>
        <v/>
      </c>
      <c r="Q1805" t="str">
        <f>IF($G1805="","",IF(Sync!$U1801="","0000",IF(AND(ISNUMBER(Sync!$U1801),Sync!$U1801&gt;=0,Sync!$U1801&lt;1),RIGHT("00"&amp;HOUR(Sync!$U1801),2)&amp;RIGHT("00"&amp;MINUTE(Sync!$U1801),2),IFERROR(RIGHT("00"&amp;VALUE(LEFT(Sync!$U1801,FIND(":",Sync!$U1801)-1)),2)&amp;RIGHT("00"&amp;VALUE(MID(Sync!$U1801,FIND(":",Sync!$U1801)+1,2)),2),"0000"))))</f>
        <v/>
      </c>
    </row>
    <row r="1806" spans="1:17" x14ac:dyDescent="0.2">
      <c r="A1806" t="str">
        <f>IF(Sync!$T1802="","",Sync!$T1802)</f>
        <v/>
      </c>
      <c r="B1806" t="str">
        <f t="shared" si="168"/>
        <v/>
      </c>
      <c r="C1806" t="str">
        <f t="shared" si="169"/>
        <v/>
      </c>
      <c r="D1806" t="str">
        <f t="shared" si="170"/>
        <v/>
      </c>
      <c r="E1806" t="str">
        <f t="shared" si="171"/>
        <v/>
      </c>
      <c r="F1806" t="str">
        <f t="shared" si="172"/>
        <v/>
      </c>
      <c r="G1806" t="str">
        <f>IF(OR($E1806="",$E1806="نامعتبر",Sync!$X1802=""),"",IF(AND(LEFT(UPPER(TRIM(Sync!$X1802)),2)="SL",IFERROR(VLOOKUP(Sync!$W1802,OpTbl,3,0),"")="فروش"),UPPER(TRIM(Sync!$X1802)),""))</f>
        <v/>
      </c>
      <c r="H1806" t="str">
        <f>IF($G1806="","",IF(Sync!$W1802="","",Sync!$W1802))</f>
        <v/>
      </c>
      <c r="I1806" t="str">
        <f>IF(OR($G1806="",Sync!$Y1802=""),"",Sync!$Y1802)</f>
        <v/>
      </c>
      <c r="J1806" t="str">
        <f>IF(OR($G1806="",Sync!$Z1802=""),"",Sync!$Z1802)</f>
        <v/>
      </c>
      <c r="K1806">
        <f>IF($G1806="",0,IF(Sync!$AA1802="",0,Sync!$AA1802))</f>
        <v>0</v>
      </c>
      <c r="L1806">
        <f>IF($G1806="",0,IF(Sync!$AB1802="",0,Sync!$AB1802))</f>
        <v>0</v>
      </c>
      <c r="M1806" t="str">
        <f t="shared" si="173"/>
        <v/>
      </c>
      <c r="N1806">
        <f>IF($G1806="",0,IF($H1806="مرجوعی فروش",-1,1)*IF(Sync!$AC1802="",0,Sync!$AC1802))</f>
        <v>0</v>
      </c>
      <c r="O1806" t="str">
        <f>IF(OR($G1806="",Sync!$V1802=""),"",Sync!$V1802)</f>
        <v/>
      </c>
      <c r="P1806" t="str">
        <f>IF(OR($G1806="",Sync!$AD1802=""),"",Sync!$AD1802)</f>
        <v/>
      </c>
      <c r="Q1806" t="str">
        <f>IF($G1806="","",IF(Sync!$U1802="","0000",IF(AND(ISNUMBER(Sync!$U1802),Sync!$U1802&gt;=0,Sync!$U1802&lt;1),RIGHT("00"&amp;HOUR(Sync!$U1802),2)&amp;RIGHT("00"&amp;MINUTE(Sync!$U1802),2),IFERROR(RIGHT("00"&amp;VALUE(LEFT(Sync!$U1802,FIND(":",Sync!$U1802)-1)),2)&amp;RIGHT("00"&amp;VALUE(MID(Sync!$U1802,FIND(":",Sync!$U1802)+1,2)),2),"0000"))))</f>
        <v/>
      </c>
    </row>
    <row r="1807" spans="1:17" x14ac:dyDescent="0.2">
      <c r="A1807" t="str">
        <f>IF(Sync!$T1803="","",Sync!$T1803)</f>
        <v/>
      </c>
      <c r="B1807" t="str">
        <f t="shared" si="168"/>
        <v/>
      </c>
      <c r="C1807" t="str">
        <f t="shared" si="169"/>
        <v/>
      </c>
      <c r="D1807" t="str">
        <f t="shared" si="170"/>
        <v/>
      </c>
      <c r="E1807" t="str">
        <f t="shared" si="171"/>
        <v/>
      </c>
      <c r="F1807" t="str">
        <f t="shared" si="172"/>
        <v/>
      </c>
      <c r="G1807" t="str">
        <f>IF(OR($E1807="",$E1807="نامعتبر",Sync!$X1803=""),"",IF(AND(LEFT(UPPER(TRIM(Sync!$X1803)),2)="SL",IFERROR(VLOOKUP(Sync!$W1803,OpTbl,3,0),"")="فروش"),UPPER(TRIM(Sync!$X1803)),""))</f>
        <v/>
      </c>
      <c r="H1807" t="str">
        <f>IF($G1807="","",IF(Sync!$W1803="","",Sync!$W1803))</f>
        <v/>
      </c>
      <c r="I1807" t="str">
        <f>IF(OR($G1807="",Sync!$Y1803=""),"",Sync!$Y1803)</f>
        <v/>
      </c>
      <c r="J1807" t="str">
        <f>IF(OR($G1807="",Sync!$Z1803=""),"",Sync!$Z1803)</f>
        <v/>
      </c>
      <c r="K1807">
        <f>IF($G1807="",0,IF(Sync!$AA1803="",0,Sync!$AA1803))</f>
        <v>0</v>
      </c>
      <c r="L1807">
        <f>IF($G1807="",0,IF(Sync!$AB1803="",0,Sync!$AB1803))</f>
        <v>0</v>
      </c>
      <c r="M1807" t="str">
        <f t="shared" si="173"/>
        <v/>
      </c>
      <c r="N1807">
        <f>IF($G1807="",0,IF($H1807="مرجوعی فروش",-1,1)*IF(Sync!$AC1803="",0,Sync!$AC1803))</f>
        <v>0</v>
      </c>
      <c r="O1807" t="str">
        <f>IF(OR($G1807="",Sync!$V1803=""),"",Sync!$V1803)</f>
        <v/>
      </c>
      <c r="P1807" t="str">
        <f>IF(OR($G1807="",Sync!$AD1803=""),"",Sync!$AD1803)</f>
        <v/>
      </c>
      <c r="Q1807" t="str">
        <f>IF($G1807="","",IF(Sync!$U1803="","0000",IF(AND(ISNUMBER(Sync!$U1803),Sync!$U1803&gt;=0,Sync!$U1803&lt;1),RIGHT("00"&amp;HOUR(Sync!$U1803),2)&amp;RIGHT("00"&amp;MINUTE(Sync!$U1803),2),IFERROR(RIGHT("00"&amp;VALUE(LEFT(Sync!$U1803,FIND(":",Sync!$U1803)-1)),2)&amp;RIGHT("00"&amp;VALUE(MID(Sync!$U1803,FIND(":",Sync!$U1803)+1,2)),2),"0000"))))</f>
        <v/>
      </c>
    </row>
    <row r="1808" spans="1:17" x14ac:dyDescent="0.2">
      <c r="A1808" t="str">
        <f>IF(Sync!$T1804="","",Sync!$T1804)</f>
        <v/>
      </c>
      <c r="B1808" t="str">
        <f t="shared" si="168"/>
        <v/>
      </c>
      <c r="C1808" t="str">
        <f t="shared" si="169"/>
        <v/>
      </c>
      <c r="D1808" t="str">
        <f t="shared" si="170"/>
        <v/>
      </c>
      <c r="E1808" t="str">
        <f t="shared" si="171"/>
        <v/>
      </c>
      <c r="F1808" t="str">
        <f t="shared" si="172"/>
        <v/>
      </c>
      <c r="G1808" t="str">
        <f>IF(OR($E1808="",$E1808="نامعتبر",Sync!$X1804=""),"",IF(AND(LEFT(UPPER(TRIM(Sync!$X1804)),2)="SL",IFERROR(VLOOKUP(Sync!$W1804,OpTbl,3,0),"")="فروش"),UPPER(TRIM(Sync!$X1804)),""))</f>
        <v/>
      </c>
      <c r="H1808" t="str">
        <f>IF($G1808="","",IF(Sync!$W1804="","",Sync!$W1804))</f>
        <v/>
      </c>
      <c r="I1808" t="str">
        <f>IF(OR($G1808="",Sync!$Y1804=""),"",Sync!$Y1804)</f>
        <v/>
      </c>
      <c r="J1808" t="str">
        <f>IF(OR($G1808="",Sync!$Z1804=""),"",Sync!$Z1804)</f>
        <v/>
      </c>
      <c r="K1808">
        <f>IF($G1808="",0,IF(Sync!$AA1804="",0,Sync!$AA1804))</f>
        <v>0</v>
      </c>
      <c r="L1808">
        <f>IF($G1808="",0,IF(Sync!$AB1804="",0,Sync!$AB1804))</f>
        <v>0</v>
      </c>
      <c r="M1808" t="str">
        <f t="shared" si="173"/>
        <v/>
      </c>
      <c r="N1808">
        <f>IF($G1808="",0,IF($H1808="مرجوعی فروش",-1,1)*IF(Sync!$AC1804="",0,Sync!$AC1804))</f>
        <v>0</v>
      </c>
      <c r="O1808" t="str">
        <f>IF(OR($G1808="",Sync!$V1804=""),"",Sync!$V1804)</f>
        <v/>
      </c>
      <c r="P1808" t="str">
        <f>IF(OR($G1808="",Sync!$AD1804=""),"",Sync!$AD1804)</f>
        <v/>
      </c>
      <c r="Q1808" t="str">
        <f>IF($G1808="","",IF(Sync!$U1804="","0000",IF(AND(ISNUMBER(Sync!$U1804),Sync!$U1804&gt;=0,Sync!$U1804&lt;1),RIGHT("00"&amp;HOUR(Sync!$U1804),2)&amp;RIGHT("00"&amp;MINUTE(Sync!$U1804),2),IFERROR(RIGHT("00"&amp;VALUE(LEFT(Sync!$U1804,FIND(":",Sync!$U1804)-1)),2)&amp;RIGHT("00"&amp;VALUE(MID(Sync!$U1804,FIND(":",Sync!$U1804)+1,2)),2),"0000"))))</f>
        <v/>
      </c>
    </row>
    <row r="1809" spans="1:17" x14ac:dyDescent="0.2">
      <c r="A1809" t="str">
        <f>IF(Sync!$T1805="","",Sync!$T1805)</f>
        <v/>
      </c>
      <c r="B1809" t="str">
        <f t="shared" si="168"/>
        <v/>
      </c>
      <c r="C1809" t="str">
        <f t="shared" si="169"/>
        <v/>
      </c>
      <c r="D1809" t="str">
        <f t="shared" si="170"/>
        <v/>
      </c>
      <c r="E1809" t="str">
        <f t="shared" si="171"/>
        <v/>
      </c>
      <c r="F1809" t="str">
        <f t="shared" si="172"/>
        <v/>
      </c>
      <c r="G1809" t="str">
        <f>IF(OR($E1809="",$E1809="نامعتبر",Sync!$X1805=""),"",IF(AND(LEFT(UPPER(TRIM(Sync!$X1805)),2)="SL",IFERROR(VLOOKUP(Sync!$W1805,OpTbl,3,0),"")="فروش"),UPPER(TRIM(Sync!$X1805)),""))</f>
        <v/>
      </c>
      <c r="H1809" t="str">
        <f>IF($G1809="","",IF(Sync!$W1805="","",Sync!$W1805))</f>
        <v/>
      </c>
      <c r="I1809" t="str">
        <f>IF(OR($G1809="",Sync!$Y1805=""),"",Sync!$Y1805)</f>
        <v/>
      </c>
      <c r="J1809" t="str">
        <f>IF(OR($G1809="",Sync!$Z1805=""),"",Sync!$Z1805)</f>
        <v/>
      </c>
      <c r="K1809">
        <f>IF($G1809="",0,IF(Sync!$AA1805="",0,Sync!$AA1805))</f>
        <v>0</v>
      </c>
      <c r="L1809">
        <f>IF($G1809="",0,IF(Sync!$AB1805="",0,Sync!$AB1805))</f>
        <v>0</v>
      </c>
      <c r="M1809" t="str">
        <f t="shared" si="173"/>
        <v/>
      </c>
      <c r="N1809">
        <f>IF($G1809="",0,IF($H1809="مرجوعی فروش",-1,1)*IF(Sync!$AC1805="",0,Sync!$AC1805))</f>
        <v>0</v>
      </c>
      <c r="O1809" t="str">
        <f>IF(OR($G1809="",Sync!$V1805=""),"",Sync!$V1805)</f>
        <v/>
      </c>
      <c r="P1809" t="str">
        <f>IF(OR($G1809="",Sync!$AD1805=""),"",Sync!$AD1805)</f>
        <v/>
      </c>
      <c r="Q1809" t="str">
        <f>IF($G1809="","",IF(Sync!$U1805="","0000",IF(AND(ISNUMBER(Sync!$U1805),Sync!$U1805&gt;=0,Sync!$U1805&lt;1),RIGHT("00"&amp;HOUR(Sync!$U1805),2)&amp;RIGHT("00"&amp;MINUTE(Sync!$U1805),2),IFERROR(RIGHT("00"&amp;VALUE(LEFT(Sync!$U1805,FIND(":",Sync!$U1805)-1)),2)&amp;RIGHT("00"&amp;VALUE(MID(Sync!$U1805,FIND(":",Sync!$U1805)+1,2)),2),"0000"))))</f>
        <v/>
      </c>
    </row>
    <row r="1810" spans="1:17" x14ac:dyDescent="0.2">
      <c r="A1810" t="str">
        <f>IF(Sync!$T1806="","",Sync!$T1806)</f>
        <v/>
      </c>
      <c r="B1810" t="str">
        <f t="shared" si="168"/>
        <v/>
      </c>
      <c r="C1810" t="str">
        <f t="shared" si="169"/>
        <v/>
      </c>
      <c r="D1810" t="str">
        <f t="shared" si="170"/>
        <v/>
      </c>
      <c r="E1810" t="str">
        <f t="shared" si="171"/>
        <v/>
      </c>
      <c r="F1810" t="str">
        <f t="shared" si="172"/>
        <v/>
      </c>
      <c r="G1810" t="str">
        <f>IF(OR($E1810="",$E1810="نامعتبر",Sync!$X1806=""),"",IF(AND(LEFT(UPPER(TRIM(Sync!$X1806)),2)="SL",IFERROR(VLOOKUP(Sync!$W1806,OpTbl,3,0),"")="فروش"),UPPER(TRIM(Sync!$X1806)),""))</f>
        <v/>
      </c>
      <c r="H1810" t="str">
        <f>IF($G1810="","",IF(Sync!$W1806="","",Sync!$W1806))</f>
        <v/>
      </c>
      <c r="I1810" t="str">
        <f>IF(OR($G1810="",Sync!$Y1806=""),"",Sync!$Y1806)</f>
        <v/>
      </c>
      <c r="J1810" t="str">
        <f>IF(OR($G1810="",Sync!$Z1806=""),"",Sync!$Z1806)</f>
        <v/>
      </c>
      <c r="K1810">
        <f>IF($G1810="",0,IF(Sync!$AA1806="",0,Sync!$AA1806))</f>
        <v>0</v>
      </c>
      <c r="L1810">
        <f>IF($G1810="",0,IF(Sync!$AB1806="",0,Sync!$AB1806))</f>
        <v>0</v>
      </c>
      <c r="M1810" t="str">
        <f t="shared" si="173"/>
        <v/>
      </c>
      <c r="N1810">
        <f>IF($G1810="",0,IF($H1810="مرجوعی فروش",-1,1)*IF(Sync!$AC1806="",0,Sync!$AC1806))</f>
        <v>0</v>
      </c>
      <c r="O1810" t="str">
        <f>IF(OR($G1810="",Sync!$V1806=""),"",Sync!$V1806)</f>
        <v/>
      </c>
      <c r="P1810" t="str">
        <f>IF(OR($G1810="",Sync!$AD1806=""),"",Sync!$AD1806)</f>
        <v/>
      </c>
      <c r="Q1810" t="str">
        <f>IF($G1810="","",IF(Sync!$U1806="","0000",IF(AND(ISNUMBER(Sync!$U1806),Sync!$U1806&gt;=0,Sync!$U1806&lt;1),RIGHT("00"&amp;HOUR(Sync!$U1806),2)&amp;RIGHT("00"&amp;MINUTE(Sync!$U1806),2),IFERROR(RIGHT("00"&amp;VALUE(LEFT(Sync!$U1806,FIND(":",Sync!$U1806)-1)),2)&amp;RIGHT("00"&amp;VALUE(MID(Sync!$U1806,FIND(":",Sync!$U1806)+1,2)),2),"0000"))))</f>
        <v/>
      </c>
    </row>
    <row r="1811" spans="1:17" x14ac:dyDescent="0.2">
      <c r="A1811" t="str">
        <f>IF(Sync!$T1807="","",Sync!$T1807)</f>
        <v/>
      </c>
      <c r="B1811" t="str">
        <f t="shared" si="168"/>
        <v/>
      </c>
      <c r="C1811" t="str">
        <f t="shared" si="169"/>
        <v/>
      </c>
      <c r="D1811" t="str">
        <f t="shared" si="170"/>
        <v/>
      </c>
      <c r="E1811" t="str">
        <f t="shared" si="171"/>
        <v/>
      </c>
      <c r="F1811" t="str">
        <f t="shared" si="172"/>
        <v/>
      </c>
      <c r="G1811" t="str">
        <f>IF(OR($E1811="",$E1811="نامعتبر",Sync!$X1807=""),"",IF(AND(LEFT(UPPER(TRIM(Sync!$X1807)),2)="SL",IFERROR(VLOOKUP(Sync!$W1807,OpTbl,3,0),"")="فروش"),UPPER(TRIM(Sync!$X1807)),""))</f>
        <v/>
      </c>
      <c r="H1811" t="str">
        <f>IF($G1811="","",IF(Sync!$W1807="","",Sync!$W1807))</f>
        <v/>
      </c>
      <c r="I1811" t="str">
        <f>IF(OR($G1811="",Sync!$Y1807=""),"",Sync!$Y1807)</f>
        <v/>
      </c>
      <c r="J1811" t="str">
        <f>IF(OR($G1811="",Sync!$Z1807=""),"",Sync!$Z1807)</f>
        <v/>
      </c>
      <c r="K1811">
        <f>IF($G1811="",0,IF(Sync!$AA1807="",0,Sync!$AA1807))</f>
        <v>0</v>
      </c>
      <c r="L1811">
        <f>IF($G1811="",0,IF(Sync!$AB1807="",0,Sync!$AB1807))</f>
        <v>0</v>
      </c>
      <c r="M1811" t="str">
        <f t="shared" si="173"/>
        <v/>
      </c>
      <c r="N1811">
        <f>IF($G1811="",0,IF($H1811="مرجوعی فروش",-1,1)*IF(Sync!$AC1807="",0,Sync!$AC1807))</f>
        <v>0</v>
      </c>
      <c r="O1811" t="str">
        <f>IF(OR($G1811="",Sync!$V1807=""),"",Sync!$V1807)</f>
        <v/>
      </c>
      <c r="P1811" t="str">
        <f>IF(OR($G1811="",Sync!$AD1807=""),"",Sync!$AD1807)</f>
        <v/>
      </c>
      <c r="Q1811" t="str">
        <f>IF($G1811="","",IF(Sync!$U1807="","0000",IF(AND(ISNUMBER(Sync!$U1807),Sync!$U1807&gt;=0,Sync!$U1807&lt;1),RIGHT("00"&amp;HOUR(Sync!$U1807),2)&amp;RIGHT("00"&amp;MINUTE(Sync!$U1807),2),IFERROR(RIGHT("00"&amp;VALUE(LEFT(Sync!$U1807,FIND(":",Sync!$U1807)-1)),2)&amp;RIGHT("00"&amp;VALUE(MID(Sync!$U1807,FIND(":",Sync!$U1807)+1,2)),2),"0000"))))</f>
        <v/>
      </c>
    </row>
    <row r="1812" spans="1:17" x14ac:dyDescent="0.2">
      <c r="A1812" t="str">
        <f>IF(Sync!$T1808="","",Sync!$T1808)</f>
        <v/>
      </c>
      <c r="B1812" t="str">
        <f t="shared" si="168"/>
        <v/>
      </c>
      <c r="C1812" t="str">
        <f t="shared" si="169"/>
        <v/>
      </c>
      <c r="D1812" t="str">
        <f t="shared" si="170"/>
        <v/>
      </c>
      <c r="E1812" t="str">
        <f t="shared" si="171"/>
        <v/>
      </c>
      <c r="F1812" t="str">
        <f t="shared" si="172"/>
        <v/>
      </c>
      <c r="G1812" t="str">
        <f>IF(OR($E1812="",$E1812="نامعتبر",Sync!$X1808=""),"",IF(AND(LEFT(UPPER(TRIM(Sync!$X1808)),2)="SL",IFERROR(VLOOKUP(Sync!$W1808,OpTbl,3,0),"")="فروش"),UPPER(TRIM(Sync!$X1808)),""))</f>
        <v/>
      </c>
      <c r="H1812" t="str">
        <f>IF($G1812="","",IF(Sync!$W1808="","",Sync!$W1808))</f>
        <v/>
      </c>
      <c r="I1812" t="str">
        <f>IF(OR($G1812="",Sync!$Y1808=""),"",Sync!$Y1808)</f>
        <v/>
      </c>
      <c r="J1812" t="str">
        <f>IF(OR($G1812="",Sync!$Z1808=""),"",Sync!$Z1808)</f>
        <v/>
      </c>
      <c r="K1812">
        <f>IF($G1812="",0,IF(Sync!$AA1808="",0,Sync!$AA1808))</f>
        <v>0</v>
      </c>
      <c r="L1812">
        <f>IF($G1812="",0,IF(Sync!$AB1808="",0,Sync!$AB1808))</f>
        <v>0</v>
      </c>
      <c r="M1812" t="str">
        <f t="shared" si="173"/>
        <v/>
      </c>
      <c r="N1812">
        <f>IF($G1812="",0,IF($H1812="مرجوعی فروش",-1,1)*IF(Sync!$AC1808="",0,Sync!$AC1808))</f>
        <v>0</v>
      </c>
      <c r="O1812" t="str">
        <f>IF(OR($G1812="",Sync!$V1808=""),"",Sync!$V1808)</f>
        <v/>
      </c>
      <c r="P1812" t="str">
        <f>IF(OR($G1812="",Sync!$AD1808=""),"",Sync!$AD1808)</f>
        <v/>
      </c>
      <c r="Q1812" t="str">
        <f>IF($G1812="","",IF(Sync!$U1808="","0000",IF(AND(ISNUMBER(Sync!$U1808),Sync!$U1808&gt;=0,Sync!$U1808&lt;1),RIGHT("00"&amp;HOUR(Sync!$U1808),2)&amp;RIGHT("00"&amp;MINUTE(Sync!$U1808),2),IFERROR(RIGHT("00"&amp;VALUE(LEFT(Sync!$U1808,FIND(":",Sync!$U1808)-1)),2)&amp;RIGHT("00"&amp;VALUE(MID(Sync!$U1808,FIND(":",Sync!$U1808)+1,2)),2),"0000"))))</f>
        <v/>
      </c>
    </row>
    <row r="1813" spans="1:17" x14ac:dyDescent="0.2">
      <c r="A1813" t="str">
        <f>IF(Sync!$T1809="","",Sync!$T1809)</f>
        <v/>
      </c>
      <c r="B1813" t="str">
        <f t="shared" si="168"/>
        <v/>
      </c>
      <c r="C1813" t="str">
        <f t="shared" si="169"/>
        <v/>
      </c>
      <c r="D1813" t="str">
        <f t="shared" si="170"/>
        <v/>
      </c>
      <c r="E1813" t="str">
        <f t="shared" si="171"/>
        <v/>
      </c>
      <c r="F1813" t="str">
        <f t="shared" si="172"/>
        <v/>
      </c>
      <c r="G1813" t="str">
        <f>IF(OR($E1813="",$E1813="نامعتبر",Sync!$X1809=""),"",IF(AND(LEFT(UPPER(TRIM(Sync!$X1809)),2)="SL",IFERROR(VLOOKUP(Sync!$W1809,OpTbl,3,0),"")="فروش"),UPPER(TRIM(Sync!$X1809)),""))</f>
        <v/>
      </c>
      <c r="H1813" t="str">
        <f>IF($G1813="","",IF(Sync!$W1809="","",Sync!$W1809))</f>
        <v/>
      </c>
      <c r="I1813" t="str">
        <f>IF(OR($G1813="",Sync!$Y1809=""),"",Sync!$Y1809)</f>
        <v/>
      </c>
      <c r="J1813" t="str">
        <f>IF(OR($G1813="",Sync!$Z1809=""),"",Sync!$Z1809)</f>
        <v/>
      </c>
      <c r="K1813">
        <f>IF($G1813="",0,IF(Sync!$AA1809="",0,Sync!$AA1809))</f>
        <v>0</v>
      </c>
      <c r="L1813">
        <f>IF($G1813="",0,IF(Sync!$AB1809="",0,Sync!$AB1809))</f>
        <v>0</v>
      </c>
      <c r="M1813" t="str">
        <f t="shared" si="173"/>
        <v/>
      </c>
      <c r="N1813">
        <f>IF($G1813="",0,IF($H1813="مرجوعی فروش",-1,1)*IF(Sync!$AC1809="",0,Sync!$AC1809))</f>
        <v>0</v>
      </c>
      <c r="O1813" t="str">
        <f>IF(OR($G1813="",Sync!$V1809=""),"",Sync!$V1809)</f>
        <v/>
      </c>
      <c r="P1813" t="str">
        <f>IF(OR($G1813="",Sync!$AD1809=""),"",Sync!$AD1809)</f>
        <v/>
      </c>
      <c r="Q1813" t="str">
        <f>IF($G1813="","",IF(Sync!$U1809="","0000",IF(AND(ISNUMBER(Sync!$U1809),Sync!$U1809&gt;=0,Sync!$U1809&lt;1),RIGHT("00"&amp;HOUR(Sync!$U1809),2)&amp;RIGHT("00"&amp;MINUTE(Sync!$U1809),2),IFERROR(RIGHT("00"&amp;VALUE(LEFT(Sync!$U1809,FIND(":",Sync!$U1809)-1)),2)&amp;RIGHT("00"&amp;VALUE(MID(Sync!$U1809,FIND(":",Sync!$U1809)+1,2)),2),"0000"))))</f>
        <v/>
      </c>
    </row>
    <row r="1814" spans="1:17" x14ac:dyDescent="0.2">
      <c r="A1814" t="str">
        <f>IF(Sync!$T1810="","",Sync!$T1810)</f>
        <v/>
      </c>
      <c r="B1814" t="str">
        <f t="shared" si="168"/>
        <v/>
      </c>
      <c r="C1814" t="str">
        <f t="shared" si="169"/>
        <v/>
      </c>
      <c r="D1814" t="str">
        <f t="shared" si="170"/>
        <v/>
      </c>
      <c r="E1814" t="str">
        <f t="shared" si="171"/>
        <v/>
      </c>
      <c r="F1814" t="str">
        <f t="shared" si="172"/>
        <v/>
      </c>
      <c r="G1814" t="str">
        <f>IF(OR($E1814="",$E1814="نامعتبر",Sync!$X1810=""),"",IF(AND(LEFT(UPPER(TRIM(Sync!$X1810)),2)="SL",IFERROR(VLOOKUP(Sync!$W1810,OpTbl,3,0),"")="فروش"),UPPER(TRIM(Sync!$X1810)),""))</f>
        <v/>
      </c>
      <c r="H1814" t="str">
        <f>IF($G1814="","",IF(Sync!$W1810="","",Sync!$W1810))</f>
        <v/>
      </c>
      <c r="I1814" t="str">
        <f>IF(OR($G1814="",Sync!$Y1810=""),"",Sync!$Y1810)</f>
        <v/>
      </c>
      <c r="J1814" t="str">
        <f>IF(OR($G1814="",Sync!$Z1810=""),"",Sync!$Z1810)</f>
        <v/>
      </c>
      <c r="K1814">
        <f>IF($G1814="",0,IF(Sync!$AA1810="",0,Sync!$AA1810))</f>
        <v>0</v>
      </c>
      <c r="L1814">
        <f>IF($G1814="",0,IF(Sync!$AB1810="",0,Sync!$AB1810))</f>
        <v>0</v>
      </c>
      <c r="M1814" t="str">
        <f t="shared" si="173"/>
        <v/>
      </c>
      <c r="N1814">
        <f>IF($G1814="",0,IF($H1814="مرجوعی فروش",-1,1)*IF(Sync!$AC1810="",0,Sync!$AC1810))</f>
        <v>0</v>
      </c>
      <c r="O1814" t="str">
        <f>IF(OR($G1814="",Sync!$V1810=""),"",Sync!$V1810)</f>
        <v/>
      </c>
      <c r="P1814" t="str">
        <f>IF(OR($G1814="",Sync!$AD1810=""),"",Sync!$AD1810)</f>
        <v/>
      </c>
      <c r="Q1814" t="str">
        <f>IF($G1814="","",IF(Sync!$U1810="","0000",IF(AND(ISNUMBER(Sync!$U1810),Sync!$U1810&gt;=0,Sync!$U1810&lt;1),RIGHT("00"&amp;HOUR(Sync!$U1810),2)&amp;RIGHT("00"&amp;MINUTE(Sync!$U1810),2),IFERROR(RIGHT("00"&amp;VALUE(LEFT(Sync!$U1810,FIND(":",Sync!$U1810)-1)),2)&amp;RIGHT("00"&amp;VALUE(MID(Sync!$U1810,FIND(":",Sync!$U1810)+1,2)),2),"0000"))))</f>
        <v/>
      </c>
    </row>
    <row r="1815" spans="1:17" x14ac:dyDescent="0.2">
      <c r="A1815" t="str">
        <f>IF(Sync!$T1811="","",Sync!$T1811)</f>
        <v/>
      </c>
      <c r="B1815" t="str">
        <f t="shared" si="168"/>
        <v/>
      </c>
      <c r="C1815" t="str">
        <f t="shared" si="169"/>
        <v/>
      </c>
      <c r="D1815" t="str">
        <f t="shared" si="170"/>
        <v/>
      </c>
      <c r="E1815" t="str">
        <f t="shared" si="171"/>
        <v/>
      </c>
      <c r="F1815" t="str">
        <f t="shared" si="172"/>
        <v/>
      </c>
      <c r="G1815" t="str">
        <f>IF(OR($E1815="",$E1815="نامعتبر",Sync!$X1811=""),"",IF(AND(LEFT(UPPER(TRIM(Sync!$X1811)),2)="SL",IFERROR(VLOOKUP(Sync!$W1811,OpTbl,3,0),"")="فروش"),UPPER(TRIM(Sync!$X1811)),""))</f>
        <v/>
      </c>
      <c r="H1815" t="str">
        <f>IF($G1815="","",IF(Sync!$W1811="","",Sync!$W1811))</f>
        <v/>
      </c>
      <c r="I1815" t="str">
        <f>IF(OR($G1815="",Sync!$Y1811=""),"",Sync!$Y1811)</f>
        <v/>
      </c>
      <c r="J1815" t="str">
        <f>IF(OR($G1815="",Sync!$Z1811=""),"",Sync!$Z1811)</f>
        <v/>
      </c>
      <c r="K1815">
        <f>IF($G1815="",0,IF(Sync!$AA1811="",0,Sync!$AA1811))</f>
        <v>0</v>
      </c>
      <c r="L1815">
        <f>IF($G1815="",0,IF(Sync!$AB1811="",0,Sync!$AB1811))</f>
        <v>0</v>
      </c>
      <c r="M1815" t="str">
        <f t="shared" si="173"/>
        <v/>
      </c>
      <c r="N1815">
        <f>IF($G1815="",0,IF($H1815="مرجوعی فروش",-1,1)*IF(Sync!$AC1811="",0,Sync!$AC1811))</f>
        <v>0</v>
      </c>
      <c r="O1815" t="str">
        <f>IF(OR($G1815="",Sync!$V1811=""),"",Sync!$V1811)</f>
        <v/>
      </c>
      <c r="P1815" t="str">
        <f>IF(OR($G1815="",Sync!$AD1811=""),"",Sync!$AD1811)</f>
        <v/>
      </c>
      <c r="Q1815" t="str">
        <f>IF($G1815="","",IF(Sync!$U1811="","0000",IF(AND(ISNUMBER(Sync!$U1811),Sync!$U1811&gt;=0,Sync!$U1811&lt;1),RIGHT("00"&amp;HOUR(Sync!$U1811),2)&amp;RIGHT("00"&amp;MINUTE(Sync!$U1811),2),IFERROR(RIGHT("00"&amp;VALUE(LEFT(Sync!$U1811,FIND(":",Sync!$U1811)-1)),2)&amp;RIGHT("00"&amp;VALUE(MID(Sync!$U1811,FIND(":",Sync!$U1811)+1,2)),2),"0000"))))</f>
        <v/>
      </c>
    </row>
    <row r="1816" spans="1:17" x14ac:dyDescent="0.2">
      <c r="A1816" t="str">
        <f>IF(Sync!$T1812="","",Sync!$T1812)</f>
        <v/>
      </c>
      <c r="B1816" t="str">
        <f t="shared" si="168"/>
        <v/>
      </c>
      <c r="C1816" t="str">
        <f t="shared" si="169"/>
        <v/>
      </c>
      <c r="D1816" t="str">
        <f t="shared" si="170"/>
        <v/>
      </c>
      <c r="E1816" t="str">
        <f t="shared" si="171"/>
        <v/>
      </c>
      <c r="F1816" t="str">
        <f t="shared" si="172"/>
        <v/>
      </c>
      <c r="G1816" t="str">
        <f>IF(OR($E1816="",$E1816="نامعتبر",Sync!$X1812=""),"",IF(AND(LEFT(UPPER(TRIM(Sync!$X1812)),2)="SL",IFERROR(VLOOKUP(Sync!$W1812,OpTbl,3,0),"")="فروش"),UPPER(TRIM(Sync!$X1812)),""))</f>
        <v/>
      </c>
      <c r="H1816" t="str">
        <f>IF($G1816="","",IF(Sync!$W1812="","",Sync!$W1812))</f>
        <v/>
      </c>
      <c r="I1816" t="str">
        <f>IF(OR($G1816="",Sync!$Y1812=""),"",Sync!$Y1812)</f>
        <v/>
      </c>
      <c r="J1816" t="str">
        <f>IF(OR($G1816="",Sync!$Z1812=""),"",Sync!$Z1812)</f>
        <v/>
      </c>
      <c r="K1816">
        <f>IF($G1816="",0,IF(Sync!$AA1812="",0,Sync!$AA1812))</f>
        <v>0</v>
      </c>
      <c r="L1816">
        <f>IF($G1816="",0,IF(Sync!$AB1812="",0,Sync!$AB1812))</f>
        <v>0</v>
      </c>
      <c r="M1816" t="str">
        <f t="shared" si="173"/>
        <v/>
      </c>
      <c r="N1816">
        <f>IF($G1816="",0,IF($H1816="مرجوعی فروش",-1,1)*IF(Sync!$AC1812="",0,Sync!$AC1812))</f>
        <v>0</v>
      </c>
      <c r="O1816" t="str">
        <f>IF(OR($G1816="",Sync!$V1812=""),"",Sync!$V1812)</f>
        <v/>
      </c>
      <c r="P1816" t="str">
        <f>IF(OR($G1816="",Sync!$AD1812=""),"",Sync!$AD1812)</f>
        <v/>
      </c>
      <c r="Q1816" t="str">
        <f>IF($G1816="","",IF(Sync!$U1812="","0000",IF(AND(ISNUMBER(Sync!$U1812),Sync!$U1812&gt;=0,Sync!$U1812&lt;1),RIGHT("00"&amp;HOUR(Sync!$U1812),2)&amp;RIGHT("00"&amp;MINUTE(Sync!$U1812),2),IFERROR(RIGHT("00"&amp;VALUE(LEFT(Sync!$U1812,FIND(":",Sync!$U1812)-1)),2)&amp;RIGHT("00"&amp;VALUE(MID(Sync!$U1812,FIND(":",Sync!$U1812)+1,2)),2),"0000"))))</f>
        <v/>
      </c>
    </row>
    <row r="1817" spans="1:17" x14ac:dyDescent="0.2">
      <c r="A1817" t="str">
        <f>IF(Sync!$T1813="","",Sync!$T1813)</f>
        <v/>
      </c>
      <c r="B1817" t="str">
        <f t="shared" si="168"/>
        <v/>
      </c>
      <c r="C1817" t="str">
        <f t="shared" si="169"/>
        <v/>
      </c>
      <c r="D1817" t="str">
        <f t="shared" si="170"/>
        <v/>
      </c>
      <c r="E1817" t="str">
        <f t="shared" si="171"/>
        <v/>
      </c>
      <c r="F1817" t="str">
        <f t="shared" si="172"/>
        <v/>
      </c>
      <c r="G1817" t="str">
        <f>IF(OR($E1817="",$E1817="نامعتبر",Sync!$X1813=""),"",IF(AND(LEFT(UPPER(TRIM(Sync!$X1813)),2)="SL",IFERROR(VLOOKUP(Sync!$W1813,OpTbl,3,0),"")="فروش"),UPPER(TRIM(Sync!$X1813)),""))</f>
        <v/>
      </c>
      <c r="H1817" t="str">
        <f>IF($G1817="","",IF(Sync!$W1813="","",Sync!$W1813))</f>
        <v/>
      </c>
      <c r="I1817" t="str">
        <f>IF(OR($G1817="",Sync!$Y1813=""),"",Sync!$Y1813)</f>
        <v/>
      </c>
      <c r="J1817" t="str">
        <f>IF(OR($G1817="",Sync!$Z1813=""),"",Sync!$Z1813)</f>
        <v/>
      </c>
      <c r="K1817">
        <f>IF($G1817="",0,IF(Sync!$AA1813="",0,Sync!$AA1813))</f>
        <v>0</v>
      </c>
      <c r="L1817">
        <f>IF($G1817="",0,IF(Sync!$AB1813="",0,Sync!$AB1813))</f>
        <v>0</v>
      </c>
      <c r="M1817" t="str">
        <f t="shared" si="173"/>
        <v/>
      </c>
      <c r="N1817">
        <f>IF($G1817="",0,IF($H1817="مرجوعی فروش",-1,1)*IF(Sync!$AC1813="",0,Sync!$AC1813))</f>
        <v>0</v>
      </c>
      <c r="O1817" t="str">
        <f>IF(OR($G1817="",Sync!$V1813=""),"",Sync!$V1813)</f>
        <v/>
      </c>
      <c r="P1817" t="str">
        <f>IF(OR($G1817="",Sync!$AD1813=""),"",Sync!$AD1813)</f>
        <v/>
      </c>
      <c r="Q1817" t="str">
        <f>IF($G1817="","",IF(Sync!$U1813="","0000",IF(AND(ISNUMBER(Sync!$U1813),Sync!$U1813&gt;=0,Sync!$U1813&lt;1),RIGHT("00"&amp;HOUR(Sync!$U1813),2)&amp;RIGHT("00"&amp;MINUTE(Sync!$U1813),2),IFERROR(RIGHT("00"&amp;VALUE(LEFT(Sync!$U1813,FIND(":",Sync!$U1813)-1)),2)&amp;RIGHT("00"&amp;VALUE(MID(Sync!$U1813,FIND(":",Sync!$U1813)+1,2)),2),"0000"))))</f>
        <v/>
      </c>
    </row>
    <row r="1818" spans="1:17" x14ac:dyDescent="0.2">
      <c r="A1818" t="str">
        <f>IF(Sync!$T1814="","",Sync!$T1814)</f>
        <v/>
      </c>
      <c r="B1818" t="str">
        <f t="shared" si="168"/>
        <v/>
      </c>
      <c r="C1818" t="str">
        <f t="shared" si="169"/>
        <v/>
      </c>
      <c r="D1818" t="str">
        <f t="shared" si="170"/>
        <v/>
      </c>
      <c r="E1818" t="str">
        <f t="shared" si="171"/>
        <v/>
      </c>
      <c r="F1818" t="str">
        <f t="shared" si="172"/>
        <v/>
      </c>
      <c r="G1818" t="str">
        <f>IF(OR($E1818="",$E1818="نامعتبر",Sync!$X1814=""),"",IF(AND(LEFT(UPPER(TRIM(Sync!$X1814)),2)="SL",IFERROR(VLOOKUP(Sync!$W1814,OpTbl,3,0),"")="فروش"),UPPER(TRIM(Sync!$X1814)),""))</f>
        <v/>
      </c>
      <c r="H1818" t="str">
        <f>IF($G1818="","",IF(Sync!$W1814="","",Sync!$W1814))</f>
        <v/>
      </c>
      <c r="I1818" t="str">
        <f>IF(OR($G1818="",Sync!$Y1814=""),"",Sync!$Y1814)</f>
        <v/>
      </c>
      <c r="J1818" t="str">
        <f>IF(OR($G1818="",Sync!$Z1814=""),"",Sync!$Z1814)</f>
        <v/>
      </c>
      <c r="K1818">
        <f>IF($G1818="",0,IF(Sync!$AA1814="",0,Sync!$AA1814))</f>
        <v>0</v>
      </c>
      <c r="L1818">
        <f>IF($G1818="",0,IF(Sync!$AB1814="",0,Sync!$AB1814))</f>
        <v>0</v>
      </c>
      <c r="M1818" t="str">
        <f t="shared" si="173"/>
        <v/>
      </c>
      <c r="N1818">
        <f>IF($G1818="",0,IF($H1818="مرجوعی فروش",-1,1)*IF(Sync!$AC1814="",0,Sync!$AC1814))</f>
        <v>0</v>
      </c>
      <c r="O1818" t="str">
        <f>IF(OR($G1818="",Sync!$V1814=""),"",Sync!$V1814)</f>
        <v/>
      </c>
      <c r="P1818" t="str">
        <f>IF(OR($G1818="",Sync!$AD1814=""),"",Sync!$AD1814)</f>
        <v/>
      </c>
      <c r="Q1818" t="str">
        <f>IF($G1818="","",IF(Sync!$U1814="","0000",IF(AND(ISNUMBER(Sync!$U1814),Sync!$U1814&gt;=0,Sync!$U1814&lt;1),RIGHT("00"&amp;HOUR(Sync!$U1814),2)&amp;RIGHT("00"&amp;MINUTE(Sync!$U1814),2),IFERROR(RIGHT("00"&amp;VALUE(LEFT(Sync!$U1814,FIND(":",Sync!$U1814)-1)),2)&amp;RIGHT("00"&amp;VALUE(MID(Sync!$U1814,FIND(":",Sync!$U1814)+1,2)),2),"0000"))))</f>
        <v/>
      </c>
    </row>
    <row r="1819" spans="1:17" x14ac:dyDescent="0.2">
      <c r="A1819" t="str">
        <f>IF(Sync!$T1815="","",Sync!$T1815)</f>
        <v/>
      </c>
      <c r="B1819" t="str">
        <f t="shared" si="168"/>
        <v/>
      </c>
      <c r="C1819" t="str">
        <f t="shared" si="169"/>
        <v/>
      </c>
      <c r="D1819" t="str">
        <f t="shared" si="170"/>
        <v/>
      </c>
      <c r="E1819" t="str">
        <f t="shared" si="171"/>
        <v/>
      </c>
      <c r="F1819" t="str">
        <f t="shared" si="172"/>
        <v/>
      </c>
      <c r="G1819" t="str">
        <f>IF(OR($E1819="",$E1819="نامعتبر",Sync!$X1815=""),"",IF(AND(LEFT(UPPER(TRIM(Sync!$X1815)),2)="SL",IFERROR(VLOOKUP(Sync!$W1815,OpTbl,3,0),"")="فروش"),UPPER(TRIM(Sync!$X1815)),""))</f>
        <v/>
      </c>
      <c r="H1819" t="str">
        <f>IF($G1819="","",IF(Sync!$W1815="","",Sync!$W1815))</f>
        <v/>
      </c>
      <c r="I1819" t="str">
        <f>IF(OR($G1819="",Sync!$Y1815=""),"",Sync!$Y1815)</f>
        <v/>
      </c>
      <c r="J1819" t="str">
        <f>IF(OR($G1819="",Sync!$Z1815=""),"",Sync!$Z1815)</f>
        <v/>
      </c>
      <c r="K1819">
        <f>IF($G1819="",0,IF(Sync!$AA1815="",0,Sync!$AA1815))</f>
        <v>0</v>
      </c>
      <c r="L1819">
        <f>IF($G1819="",0,IF(Sync!$AB1815="",0,Sync!$AB1815))</f>
        <v>0</v>
      </c>
      <c r="M1819" t="str">
        <f t="shared" si="173"/>
        <v/>
      </c>
      <c r="N1819">
        <f>IF($G1819="",0,IF($H1819="مرجوعی فروش",-1,1)*IF(Sync!$AC1815="",0,Sync!$AC1815))</f>
        <v>0</v>
      </c>
      <c r="O1819" t="str">
        <f>IF(OR($G1819="",Sync!$V1815=""),"",Sync!$V1815)</f>
        <v/>
      </c>
      <c r="P1819" t="str">
        <f>IF(OR($G1819="",Sync!$AD1815=""),"",Sync!$AD1815)</f>
        <v/>
      </c>
      <c r="Q1819" t="str">
        <f>IF($G1819="","",IF(Sync!$U1815="","0000",IF(AND(ISNUMBER(Sync!$U1815),Sync!$U1815&gt;=0,Sync!$U1815&lt;1),RIGHT("00"&amp;HOUR(Sync!$U1815),2)&amp;RIGHT("00"&amp;MINUTE(Sync!$U1815),2),IFERROR(RIGHT("00"&amp;VALUE(LEFT(Sync!$U1815,FIND(":",Sync!$U1815)-1)),2)&amp;RIGHT("00"&amp;VALUE(MID(Sync!$U1815,FIND(":",Sync!$U1815)+1,2)),2),"0000"))))</f>
        <v/>
      </c>
    </row>
    <row r="1820" spans="1:17" x14ac:dyDescent="0.2">
      <c r="A1820" t="str">
        <f>IF(Sync!$T1816="","",Sync!$T1816)</f>
        <v/>
      </c>
      <c r="B1820" t="str">
        <f t="shared" si="168"/>
        <v/>
      </c>
      <c r="C1820" t="str">
        <f t="shared" si="169"/>
        <v/>
      </c>
      <c r="D1820" t="str">
        <f t="shared" si="170"/>
        <v/>
      </c>
      <c r="E1820" t="str">
        <f t="shared" si="171"/>
        <v/>
      </c>
      <c r="F1820" t="str">
        <f t="shared" si="172"/>
        <v/>
      </c>
      <c r="G1820" t="str">
        <f>IF(OR($E1820="",$E1820="نامعتبر",Sync!$X1816=""),"",IF(AND(LEFT(UPPER(TRIM(Sync!$X1816)),2)="SL",IFERROR(VLOOKUP(Sync!$W1816,OpTbl,3,0),"")="فروش"),UPPER(TRIM(Sync!$X1816)),""))</f>
        <v/>
      </c>
      <c r="H1820" t="str">
        <f>IF($G1820="","",IF(Sync!$W1816="","",Sync!$W1816))</f>
        <v/>
      </c>
      <c r="I1820" t="str">
        <f>IF(OR($G1820="",Sync!$Y1816=""),"",Sync!$Y1816)</f>
        <v/>
      </c>
      <c r="J1820" t="str">
        <f>IF(OR($G1820="",Sync!$Z1816=""),"",Sync!$Z1816)</f>
        <v/>
      </c>
      <c r="K1820">
        <f>IF($G1820="",0,IF(Sync!$AA1816="",0,Sync!$AA1816))</f>
        <v>0</v>
      </c>
      <c r="L1820">
        <f>IF($G1820="",0,IF(Sync!$AB1816="",0,Sync!$AB1816))</f>
        <v>0</v>
      </c>
      <c r="M1820" t="str">
        <f t="shared" si="173"/>
        <v/>
      </c>
      <c r="N1820">
        <f>IF($G1820="",0,IF($H1820="مرجوعی فروش",-1,1)*IF(Sync!$AC1816="",0,Sync!$AC1816))</f>
        <v>0</v>
      </c>
      <c r="O1820" t="str">
        <f>IF(OR($G1820="",Sync!$V1816=""),"",Sync!$V1816)</f>
        <v/>
      </c>
      <c r="P1820" t="str">
        <f>IF(OR($G1820="",Sync!$AD1816=""),"",Sync!$AD1816)</f>
        <v/>
      </c>
      <c r="Q1820" t="str">
        <f>IF($G1820="","",IF(Sync!$U1816="","0000",IF(AND(ISNUMBER(Sync!$U1816),Sync!$U1816&gt;=0,Sync!$U1816&lt;1),RIGHT("00"&amp;HOUR(Sync!$U1816),2)&amp;RIGHT("00"&amp;MINUTE(Sync!$U1816),2),IFERROR(RIGHT("00"&amp;VALUE(LEFT(Sync!$U1816,FIND(":",Sync!$U1816)-1)),2)&amp;RIGHT("00"&amp;VALUE(MID(Sync!$U1816,FIND(":",Sync!$U1816)+1,2)),2),"0000"))))</f>
        <v/>
      </c>
    </row>
    <row r="1821" spans="1:17" x14ac:dyDescent="0.2">
      <c r="A1821" t="str">
        <f>IF(Sync!$T1817="","",Sync!$T1817)</f>
        <v/>
      </c>
      <c r="B1821" t="str">
        <f t="shared" si="168"/>
        <v/>
      </c>
      <c r="C1821" t="str">
        <f t="shared" si="169"/>
        <v/>
      </c>
      <c r="D1821" t="str">
        <f t="shared" si="170"/>
        <v/>
      </c>
      <c r="E1821" t="str">
        <f t="shared" si="171"/>
        <v/>
      </c>
      <c r="F1821" t="str">
        <f t="shared" si="172"/>
        <v/>
      </c>
      <c r="G1821" t="str">
        <f>IF(OR($E1821="",$E1821="نامعتبر",Sync!$X1817=""),"",IF(AND(LEFT(UPPER(TRIM(Sync!$X1817)),2)="SL",IFERROR(VLOOKUP(Sync!$W1817,OpTbl,3,0),"")="فروش"),UPPER(TRIM(Sync!$X1817)),""))</f>
        <v/>
      </c>
      <c r="H1821" t="str">
        <f>IF($G1821="","",IF(Sync!$W1817="","",Sync!$W1817))</f>
        <v/>
      </c>
      <c r="I1821" t="str">
        <f>IF(OR($G1821="",Sync!$Y1817=""),"",Sync!$Y1817)</f>
        <v/>
      </c>
      <c r="J1821" t="str">
        <f>IF(OR($G1821="",Sync!$Z1817=""),"",Sync!$Z1817)</f>
        <v/>
      </c>
      <c r="K1821">
        <f>IF($G1821="",0,IF(Sync!$AA1817="",0,Sync!$AA1817))</f>
        <v>0</v>
      </c>
      <c r="L1821">
        <f>IF($G1821="",0,IF(Sync!$AB1817="",0,Sync!$AB1817))</f>
        <v>0</v>
      </c>
      <c r="M1821" t="str">
        <f t="shared" si="173"/>
        <v/>
      </c>
      <c r="N1821">
        <f>IF($G1821="",0,IF($H1821="مرجوعی فروش",-1,1)*IF(Sync!$AC1817="",0,Sync!$AC1817))</f>
        <v>0</v>
      </c>
      <c r="O1821" t="str">
        <f>IF(OR($G1821="",Sync!$V1817=""),"",Sync!$V1817)</f>
        <v/>
      </c>
      <c r="P1821" t="str">
        <f>IF(OR($G1821="",Sync!$AD1817=""),"",Sync!$AD1817)</f>
        <v/>
      </c>
      <c r="Q1821" t="str">
        <f>IF($G1821="","",IF(Sync!$U1817="","0000",IF(AND(ISNUMBER(Sync!$U1817),Sync!$U1817&gt;=0,Sync!$U1817&lt;1),RIGHT("00"&amp;HOUR(Sync!$U1817),2)&amp;RIGHT("00"&amp;MINUTE(Sync!$U1817),2),IFERROR(RIGHT("00"&amp;VALUE(LEFT(Sync!$U1817,FIND(":",Sync!$U1817)-1)),2)&amp;RIGHT("00"&amp;VALUE(MID(Sync!$U1817,FIND(":",Sync!$U1817)+1,2)),2),"0000"))))</f>
        <v/>
      </c>
    </row>
    <row r="1822" spans="1:17" x14ac:dyDescent="0.2">
      <c r="A1822" t="str">
        <f>IF(Sync!$T1818="","",Sync!$T1818)</f>
        <v/>
      </c>
      <c r="B1822" t="str">
        <f t="shared" si="168"/>
        <v/>
      </c>
      <c r="C1822" t="str">
        <f t="shared" si="169"/>
        <v/>
      </c>
      <c r="D1822" t="str">
        <f t="shared" si="170"/>
        <v/>
      </c>
      <c r="E1822" t="str">
        <f t="shared" si="171"/>
        <v/>
      </c>
      <c r="F1822" t="str">
        <f t="shared" si="172"/>
        <v/>
      </c>
      <c r="G1822" t="str">
        <f>IF(OR($E1822="",$E1822="نامعتبر",Sync!$X1818=""),"",IF(AND(LEFT(UPPER(TRIM(Sync!$X1818)),2)="SL",IFERROR(VLOOKUP(Sync!$W1818,OpTbl,3,0),"")="فروش"),UPPER(TRIM(Sync!$X1818)),""))</f>
        <v/>
      </c>
      <c r="H1822" t="str">
        <f>IF($G1822="","",IF(Sync!$W1818="","",Sync!$W1818))</f>
        <v/>
      </c>
      <c r="I1822" t="str">
        <f>IF(OR($G1822="",Sync!$Y1818=""),"",Sync!$Y1818)</f>
        <v/>
      </c>
      <c r="J1822" t="str">
        <f>IF(OR($G1822="",Sync!$Z1818=""),"",Sync!$Z1818)</f>
        <v/>
      </c>
      <c r="K1822">
        <f>IF($G1822="",0,IF(Sync!$AA1818="",0,Sync!$AA1818))</f>
        <v>0</v>
      </c>
      <c r="L1822">
        <f>IF($G1822="",0,IF(Sync!$AB1818="",0,Sync!$AB1818))</f>
        <v>0</v>
      </c>
      <c r="M1822" t="str">
        <f t="shared" si="173"/>
        <v/>
      </c>
      <c r="N1822">
        <f>IF($G1822="",0,IF($H1822="مرجوعی فروش",-1,1)*IF(Sync!$AC1818="",0,Sync!$AC1818))</f>
        <v>0</v>
      </c>
      <c r="O1822" t="str">
        <f>IF(OR($G1822="",Sync!$V1818=""),"",Sync!$V1818)</f>
        <v/>
      </c>
      <c r="P1822" t="str">
        <f>IF(OR($G1822="",Sync!$AD1818=""),"",Sync!$AD1818)</f>
        <v/>
      </c>
      <c r="Q1822" t="str">
        <f>IF($G1822="","",IF(Sync!$U1818="","0000",IF(AND(ISNUMBER(Sync!$U1818),Sync!$U1818&gt;=0,Sync!$U1818&lt;1),RIGHT("00"&amp;HOUR(Sync!$U1818),2)&amp;RIGHT("00"&amp;MINUTE(Sync!$U1818),2),IFERROR(RIGHT("00"&amp;VALUE(LEFT(Sync!$U1818,FIND(":",Sync!$U1818)-1)),2)&amp;RIGHT("00"&amp;VALUE(MID(Sync!$U1818,FIND(":",Sync!$U1818)+1,2)),2),"0000"))))</f>
        <v/>
      </c>
    </row>
    <row r="1823" spans="1:17" x14ac:dyDescent="0.2">
      <c r="A1823" t="str">
        <f>IF(Sync!$T1819="","",Sync!$T1819)</f>
        <v/>
      </c>
      <c r="B1823" t="str">
        <f t="shared" si="168"/>
        <v/>
      </c>
      <c r="C1823" t="str">
        <f t="shared" si="169"/>
        <v/>
      </c>
      <c r="D1823" t="str">
        <f t="shared" si="170"/>
        <v/>
      </c>
      <c r="E1823" t="str">
        <f t="shared" si="171"/>
        <v/>
      </c>
      <c r="F1823" t="str">
        <f t="shared" si="172"/>
        <v/>
      </c>
      <c r="G1823" t="str">
        <f>IF(OR($E1823="",$E1823="نامعتبر",Sync!$X1819=""),"",IF(AND(LEFT(UPPER(TRIM(Sync!$X1819)),2)="SL",IFERROR(VLOOKUP(Sync!$W1819,OpTbl,3,0),"")="فروش"),UPPER(TRIM(Sync!$X1819)),""))</f>
        <v/>
      </c>
      <c r="H1823" t="str">
        <f>IF($G1823="","",IF(Sync!$W1819="","",Sync!$W1819))</f>
        <v/>
      </c>
      <c r="I1823" t="str">
        <f>IF(OR($G1823="",Sync!$Y1819=""),"",Sync!$Y1819)</f>
        <v/>
      </c>
      <c r="J1823" t="str">
        <f>IF(OR($G1823="",Sync!$Z1819=""),"",Sync!$Z1819)</f>
        <v/>
      </c>
      <c r="K1823">
        <f>IF($G1823="",0,IF(Sync!$AA1819="",0,Sync!$AA1819))</f>
        <v>0</v>
      </c>
      <c r="L1823">
        <f>IF($G1823="",0,IF(Sync!$AB1819="",0,Sync!$AB1819))</f>
        <v>0</v>
      </c>
      <c r="M1823" t="str">
        <f t="shared" si="173"/>
        <v/>
      </c>
      <c r="N1823">
        <f>IF($G1823="",0,IF($H1823="مرجوعی فروش",-1,1)*IF(Sync!$AC1819="",0,Sync!$AC1819))</f>
        <v>0</v>
      </c>
      <c r="O1823" t="str">
        <f>IF(OR($G1823="",Sync!$V1819=""),"",Sync!$V1819)</f>
        <v/>
      </c>
      <c r="P1823" t="str">
        <f>IF(OR($G1823="",Sync!$AD1819=""),"",Sync!$AD1819)</f>
        <v/>
      </c>
      <c r="Q1823" t="str">
        <f>IF($G1823="","",IF(Sync!$U1819="","0000",IF(AND(ISNUMBER(Sync!$U1819),Sync!$U1819&gt;=0,Sync!$U1819&lt;1),RIGHT("00"&amp;HOUR(Sync!$U1819),2)&amp;RIGHT("00"&amp;MINUTE(Sync!$U1819),2),IFERROR(RIGHT("00"&amp;VALUE(LEFT(Sync!$U1819,FIND(":",Sync!$U1819)-1)),2)&amp;RIGHT("00"&amp;VALUE(MID(Sync!$U1819,FIND(":",Sync!$U1819)+1,2)),2),"0000"))))</f>
        <v/>
      </c>
    </row>
    <row r="1824" spans="1:17" x14ac:dyDescent="0.2">
      <c r="A1824" t="str">
        <f>IF(Sync!$T1820="","",Sync!$T1820)</f>
        <v/>
      </c>
      <c r="B1824" t="str">
        <f t="shared" si="168"/>
        <v/>
      </c>
      <c r="C1824" t="str">
        <f t="shared" si="169"/>
        <v/>
      </c>
      <c r="D1824" t="str">
        <f t="shared" si="170"/>
        <v/>
      </c>
      <c r="E1824" t="str">
        <f t="shared" si="171"/>
        <v/>
      </c>
      <c r="F1824" t="str">
        <f t="shared" si="172"/>
        <v/>
      </c>
      <c r="G1824" t="str">
        <f>IF(OR($E1824="",$E1824="نامعتبر",Sync!$X1820=""),"",IF(AND(LEFT(UPPER(TRIM(Sync!$X1820)),2)="SL",IFERROR(VLOOKUP(Sync!$W1820,OpTbl,3,0),"")="فروش"),UPPER(TRIM(Sync!$X1820)),""))</f>
        <v/>
      </c>
      <c r="H1824" t="str">
        <f>IF($G1824="","",IF(Sync!$W1820="","",Sync!$W1820))</f>
        <v/>
      </c>
      <c r="I1824" t="str">
        <f>IF(OR($G1824="",Sync!$Y1820=""),"",Sync!$Y1820)</f>
        <v/>
      </c>
      <c r="J1824" t="str">
        <f>IF(OR($G1824="",Sync!$Z1820=""),"",Sync!$Z1820)</f>
        <v/>
      </c>
      <c r="K1824">
        <f>IF($G1824="",0,IF(Sync!$AA1820="",0,Sync!$AA1820))</f>
        <v>0</v>
      </c>
      <c r="L1824">
        <f>IF($G1824="",0,IF(Sync!$AB1820="",0,Sync!$AB1820))</f>
        <v>0</v>
      </c>
      <c r="M1824" t="str">
        <f t="shared" si="173"/>
        <v/>
      </c>
      <c r="N1824">
        <f>IF($G1824="",0,IF($H1824="مرجوعی فروش",-1,1)*IF(Sync!$AC1820="",0,Sync!$AC1820))</f>
        <v>0</v>
      </c>
      <c r="O1824" t="str">
        <f>IF(OR($G1824="",Sync!$V1820=""),"",Sync!$V1820)</f>
        <v/>
      </c>
      <c r="P1824" t="str">
        <f>IF(OR($G1824="",Sync!$AD1820=""),"",Sync!$AD1820)</f>
        <v/>
      </c>
      <c r="Q1824" t="str">
        <f>IF($G1824="","",IF(Sync!$U1820="","0000",IF(AND(ISNUMBER(Sync!$U1820),Sync!$U1820&gt;=0,Sync!$U1820&lt;1),RIGHT("00"&amp;HOUR(Sync!$U1820),2)&amp;RIGHT("00"&amp;MINUTE(Sync!$U1820),2),IFERROR(RIGHT("00"&amp;VALUE(LEFT(Sync!$U1820,FIND(":",Sync!$U1820)-1)),2)&amp;RIGHT("00"&amp;VALUE(MID(Sync!$U1820,FIND(":",Sync!$U1820)+1,2)),2),"0000"))))</f>
        <v/>
      </c>
    </row>
    <row r="1825" spans="1:17" x14ac:dyDescent="0.2">
      <c r="A1825" t="str">
        <f>IF(Sync!$T1821="","",Sync!$T1821)</f>
        <v/>
      </c>
      <c r="B1825" t="str">
        <f t="shared" si="168"/>
        <v/>
      </c>
      <c r="C1825" t="str">
        <f t="shared" si="169"/>
        <v/>
      </c>
      <c r="D1825" t="str">
        <f t="shared" si="170"/>
        <v/>
      </c>
      <c r="E1825" t="str">
        <f t="shared" si="171"/>
        <v/>
      </c>
      <c r="F1825" t="str">
        <f t="shared" si="172"/>
        <v/>
      </c>
      <c r="G1825" t="str">
        <f>IF(OR($E1825="",$E1825="نامعتبر",Sync!$X1821=""),"",IF(AND(LEFT(UPPER(TRIM(Sync!$X1821)),2)="SL",IFERROR(VLOOKUP(Sync!$W1821,OpTbl,3,0),"")="فروش"),UPPER(TRIM(Sync!$X1821)),""))</f>
        <v/>
      </c>
      <c r="H1825" t="str">
        <f>IF($G1825="","",IF(Sync!$W1821="","",Sync!$W1821))</f>
        <v/>
      </c>
      <c r="I1825" t="str">
        <f>IF(OR($G1825="",Sync!$Y1821=""),"",Sync!$Y1821)</f>
        <v/>
      </c>
      <c r="J1825" t="str">
        <f>IF(OR($G1825="",Sync!$Z1821=""),"",Sync!$Z1821)</f>
        <v/>
      </c>
      <c r="K1825">
        <f>IF($G1825="",0,IF(Sync!$AA1821="",0,Sync!$AA1821))</f>
        <v>0</v>
      </c>
      <c r="L1825">
        <f>IF($G1825="",0,IF(Sync!$AB1821="",0,Sync!$AB1821))</f>
        <v>0</v>
      </c>
      <c r="M1825" t="str">
        <f t="shared" si="173"/>
        <v/>
      </c>
      <c r="N1825">
        <f>IF($G1825="",0,IF($H1825="مرجوعی فروش",-1,1)*IF(Sync!$AC1821="",0,Sync!$AC1821))</f>
        <v>0</v>
      </c>
      <c r="O1825" t="str">
        <f>IF(OR($G1825="",Sync!$V1821=""),"",Sync!$V1821)</f>
        <v/>
      </c>
      <c r="P1825" t="str">
        <f>IF(OR($G1825="",Sync!$AD1821=""),"",Sync!$AD1821)</f>
        <v/>
      </c>
      <c r="Q1825" t="str">
        <f>IF($G1825="","",IF(Sync!$U1821="","0000",IF(AND(ISNUMBER(Sync!$U1821),Sync!$U1821&gt;=0,Sync!$U1821&lt;1),RIGHT("00"&amp;HOUR(Sync!$U1821),2)&amp;RIGHT("00"&amp;MINUTE(Sync!$U1821),2),IFERROR(RIGHT("00"&amp;VALUE(LEFT(Sync!$U1821,FIND(":",Sync!$U1821)-1)),2)&amp;RIGHT("00"&amp;VALUE(MID(Sync!$U1821,FIND(":",Sync!$U1821)+1,2)),2),"0000"))))</f>
        <v/>
      </c>
    </row>
    <row r="1826" spans="1:17" x14ac:dyDescent="0.2">
      <c r="A1826" t="str">
        <f>IF(Sync!$T1822="","",Sync!$T1822)</f>
        <v/>
      </c>
      <c r="B1826" t="str">
        <f t="shared" si="168"/>
        <v/>
      </c>
      <c r="C1826" t="str">
        <f t="shared" si="169"/>
        <v/>
      </c>
      <c r="D1826" t="str">
        <f t="shared" si="170"/>
        <v/>
      </c>
      <c r="E1826" t="str">
        <f t="shared" si="171"/>
        <v/>
      </c>
      <c r="F1826" t="str">
        <f t="shared" si="172"/>
        <v/>
      </c>
      <c r="G1826" t="str">
        <f>IF(OR($E1826="",$E1826="نامعتبر",Sync!$X1822=""),"",IF(AND(LEFT(UPPER(TRIM(Sync!$X1822)),2)="SL",IFERROR(VLOOKUP(Sync!$W1822,OpTbl,3,0),"")="فروش"),UPPER(TRIM(Sync!$X1822)),""))</f>
        <v/>
      </c>
      <c r="H1826" t="str">
        <f>IF($G1826="","",IF(Sync!$W1822="","",Sync!$W1822))</f>
        <v/>
      </c>
      <c r="I1826" t="str">
        <f>IF(OR($G1826="",Sync!$Y1822=""),"",Sync!$Y1822)</f>
        <v/>
      </c>
      <c r="J1826" t="str">
        <f>IF(OR($G1826="",Sync!$Z1822=""),"",Sync!$Z1822)</f>
        <v/>
      </c>
      <c r="K1826">
        <f>IF($G1826="",0,IF(Sync!$AA1822="",0,Sync!$AA1822))</f>
        <v>0</v>
      </c>
      <c r="L1826">
        <f>IF($G1826="",0,IF(Sync!$AB1822="",0,Sync!$AB1822))</f>
        <v>0</v>
      </c>
      <c r="M1826" t="str">
        <f t="shared" si="173"/>
        <v/>
      </c>
      <c r="N1826">
        <f>IF($G1826="",0,IF($H1826="مرجوعی فروش",-1,1)*IF(Sync!$AC1822="",0,Sync!$AC1822))</f>
        <v>0</v>
      </c>
      <c r="O1826" t="str">
        <f>IF(OR($G1826="",Sync!$V1822=""),"",Sync!$V1822)</f>
        <v/>
      </c>
      <c r="P1826" t="str">
        <f>IF(OR($G1826="",Sync!$AD1822=""),"",Sync!$AD1822)</f>
        <v/>
      </c>
      <c r="Q1826" t="str">
        <f>IF($G1826="","",IF(Sync!$U1822="","0000",IF(AND(ISNUMBER(Sync!$U1822),Sync!$U1822&gt;=0,Sync!$U1822&lt;1),RIGHT("00"&amp;HOUR(Sync!$U1822),2)&amp;RIGHT("00"&amp;MINUTE(Sync!$U1822),2),IFERROR(RIGHT("00"&amp;VALUE(LEFT(Sync!$U1822,FIND(":",Sync!$U1822)-1)),2)&amp;RIGHT("00"&amp;VALUE(MID(Sync!$U1822,FIND(":",Sync!$U1822)+1,2)),2),"0000"))))</f>
        <v/>
      </c>
    </row>
    <row r="1827" spans="1:17" x14ac:dyDescent="0.2">
      <c r="A1827" t="str">
        <f>IF(Sync!$T1823="","",Sync!$T1823)</f>
        <v/>
      </c>
      <c r="B1827" t="str">
        <f t="shared" si="168"/>
        <v/>
      </c>
      <c r="C1827" t="str">
        <f t="shared" si="169"/>
        <v/>
      </c>
      <c r="D1827" t="str">
        <f t="shared" si="170"/>
        <v/>
      </c>
      <c r="E1827" t="str">
        <f t="shared" si="171"/>
        <v/>
      </c>
      <c r="F1827" t="str">
        <f t="shared" si="172"/>
        <v/>
      </c>
      <c r="G1827" t="str">
        <f>IF(OR($E1827="",$E1827="نامعتبر",Sync!$X1823=""),"",IF(AND(LEFT(UPPER(TRIM(Sync!$X1823)),2)="SL",IFERROR(VLOOKUP(Sync!$W1823,OpTbl,3,0),"")="فروش"),UPPER(TRIM(Sync!$X1823)),""))</f>
        <v/>
      </c>
      <c r="H1827" t="str">
        <f>IF($G1827="","",IF(Sync!$W1823="","",Sync!$W1823))</f>
        <v/>
      </c>
      <c r="I1827" t="str">
        <f>IF(OR($G1827="",Sync!$Y1823=""),"",Sync!$Y1823)</f>
        <v/>
      </c>
      <c r="J1827" t="str">
        <f>IF(OR($G1827="",Sync!$Z1823=""),"",Sync!$Z1823)</f>
        <v/>
      </c>
      <c r="K1827">
        <f>IF($G1827="",0,IF(Sync!$AA1823="",0,Sync!$AA1823))</f>
        <v>0</v>
      </c>
      <c r="L1827">
        <f>IF($G1827="",0,IF(Sync!$AB1823="",0,Sync!$AB1823))</f>
        <v>0</v>
      </c>
      <c r="M1827" t="str">
        <f t="shared" si="173"/>
        <v/>
      </c>
      <c r="N1827">
        <f>IF($G1827="",0,IF($H1827="مرجوعی فروش",-1,1)*IF(Sync!$AC1823="",0,Sync!$AC1823))</f>
        <v>0</v>
      </c>
      <c r="O1827" t="str">
        <f>IF(OR($G1827="",Sync!$V1823=""),"",Sync!$V1823)</f>
        <v/>
      </c>
      <c r="P1827" t="str">
        <f>IF(OR($G1827="",Sync!$AD1823=""),"",Sync!$AD1823)</f>
        <v/>
      </c>
      <c r="Q1827" t="str">
        <f>IF($G1827="","",IF(Sync!$U1823="","0000",IF(AND(ISNUMBER(Sync!$U1823),Sync!$U1823&gt;=0,Sync!$U1823&lt;1),RIGHT("00"&amp;HOUR(Sync!$U1823),2)&amp;RIGHT("00"&amp;MINUTE(Sync!$U1823),2),IFERROR(RIGHT("00"&amp;VALUE(LEFT(Sync!$U1823,FIND(":",Sync!$U1823)-1)),2)&amp;RIGHT("00"&amp;VALUE(MID(Sync!$U1823,FIND(":",Sync!$U1823)+1,2)),2),"0000"))))</f>
        <v/>
      </c>
    </row>
    <row r="1828" spans="1:17" x14ac:dyDescent="0.2">
      <c r="A1828" t="str">
        <f>IF(Sync!$T1824="","",Sync!$T1824)</f>
        <v/>
      </c>
      <c r="B1828" t="str">
        <f t="shared" si="168"/>
        <v/>
      </c>
      <c r="C1828" t="str">
        <f t="shared" si="169"/>
        <v/>
      </c>
      <c r="D1828" t="str">
        <f t="shared" si="170"/>
        <v/>
      </c>
      <c r="E1828" t="str">
        <f t="shared" si="171"/>
        <v/>
      </c>
      <c r="F1828" t="str">
        <f t="shared" si="172"/>
        <v/>
      </c>
      <c r="G1828" t="str">
        <f>IF(OR($E1828="",$E1828="نامعتبر",Sync!$X1824=""),"",IF(AND(LEFT(UPPER(TRIM(Sync!$X1824)),2)="SL",IFERROR(VLOOKUP(Sync!$W1824,OpTbl,3,0),"")="فروش"),UPPER(TRIM(Sync!$X1824)),""))</f>
        <v/>
      </c>
      <c r="H1828" t="str">
        <f>IF($G1828="","",IF(Sync!$W1824="","",Sync!$W1824))</f>
        <v/>
      </c>
      <c r="I1828" t="str">
        <f>IF(OR($G1828="",Sync!$Y1824=""),"",Sync!$Y1824)</f>
        <v/>
      </c>
      <c r="J1828" t="str">
        <f>IF(OR($G1828="",Sync!$Z1824=""),"",Sync!$Z1824)</f>
        <v/>
      </c>
      <c r="K1828">
        <f>IF($G1828="",0,IF(Sync!$AA1824="",0,Sync!$AA1824))</f>
        <v>0</v>
      </c>
      <c r="L1828">
        <f>IF($G1828="",0,IF(Sync!$AB1824="",0,Sync!$AB1824))</f>
        <v>0</v>
      </c>
      <c r="M1828" t="str">
        <f t="shared" si="173"/>
        <v/>
      </c>
      <c r="N1828">
        <f>IF($G1828="",0,IF($H1828="مرجوعی فروش",-1,1)*IF(Sync!$AC1824="",0,Sync!$AC1824))</f>
        <v>0</v>
      </c>
      <c r="O1828" t="str">
        <f>IF(OR($G1828="",Sync!$V1824=""),"",Sync!$V1824)</f>
        <v/>
      </c>
      <c r="P1828" t="str">
        <f>IF(OR($G1828="",Sync!$AD1824=""),"",Sync!$AD1824)</f>
        <v/>
      </c>
      <c r="Q1828" t="str">
        <f>IF($G1828="","",IF(Sync!$U1824="","0000",IF(AND(ISNUMBER(Sync!$U1824),Sync!$U1824&gt;=0,Sync!$U1824&lt;1),RIGHT("00"&amp;HOUR(Sync!$U1824),2)&amp;RIGHT("00"&amp;MINUTE(Sync!$U1824),2),IFERROR(RIGHT("00"&amp;VALUE(LEFT(Sync!$U1824,FIND(":",Sync!$U1824)-1)),2)&amp;RIGHT("00"&amp;VALUE(MID(Sync!$U1824,FIND(":",Sync!$U1824)+1,2)),2),"0000"))))</f>
        <v/>
      </c>
    </row>
    <row r="1829" spans="1:17" x14ac:dyDescent="0.2">
      <c r="A1829" t="str">
        <f>IF(Sync!$T1825="","",Sync!$T1825)</f>
        <v/>
      </c>
      <c r="B1829" t="str">
        <f t="shared" si="168"/>
        <v/>
      </c>
      <c r="C1829" t="str">
        <f t="shared" si="169"/>
        <v/>
      </c>
      <c r="D1829" t="str">
        <f t="shared" si="170"/>
        <v/>
      </c>
      <c r="E1829" t="str">
        <f t="shared" si="171"/>
        <v/>
      </c>
      <c r="F1829" t="str">
        <f t="shared" si="172"/>
        <v/>
      </c>
      <c r="G1829" t="str">
        <f>IF(OR($E1829="",$E1829="نامعتبر",Sync!$X1825=""),"",IF(AND(LEFT(UPPER(TRIM(Sync!$X1825)),2)="SL",IFERROR(VLOOKUP(Sync!$W1825,OpTbl,3,0),"")="فروش"),UPPER(TRIM(Sync!$X1825)),""))</f>
        <v/>
      </c>
      <c r="H1829" t="str">
        <f>IF($G1829="","",IF(Sync!$W1825="","",Sync!$W1825))</f>
        <v/>
      </c>
      <c r="I1829" t="str">
        <f>IF(OR($G1829="",Sync!$Y1825=""),"",Sync!$Y1825)</f>
        <v/>
      </c>
      <c r="J1829" t="str">
        <f>IF(OR($G1829="",Sync!$Z1825=""),"",Sync!$Z1825)</f>
        <v/>
      </c>
      <c r="K1829">
        <f>IF($G1829="",0,IF(Sync!$AA1825="",0,Sync!$AA1825))</f>
        <v>0</v>
      </c>
      <c r="L1829">
        <f>IF($G1829="",0,IF(Sync!$AB1825="",0,Sync!$AB1825))</f>
        <v>0</v>
      </c>
      <c r="M1829" t="str">
        <f t="shared" si="173"/>
        <v/>
      </c>
      <c r="N1829">
        <f>IF($G1829="",0,IF($H1829="مرجوعی فروش",-1,1)*IF(Sync!$AC1825="",0,Sync!$AC1825))</f>
        <v>0</v>
      </c>
      <c r="O1829" t="str">
        <f>IF(OR($G1829="",Sync!$V1825=""),"",Sync!$V1825)</f>
        <v/>
      </c>
      <c r="P1829" t="str">
        <f>IF(OR($G1829="",Sync!$AD1825=""),"",Sync!$AD1825)</f>
        <v/>
      </c>
      <c r="Q1829" t="str">
        <f>IF($G1829="","",IF(Sync!$U1825="","0000",IF(AND(ISNUMBER(Sync!$U1825),Sync!$U1825&gt;=0,Sync!$U1825&lt;1),RIGHT("00"&amp;HOUR(Sync!$U1825),2)&amp;RIGHT("00"&amp;MINUTE(Sync!$U1825),2),IFERROR(RIGHT("00"&amp;VALUE(LEFT(Sync!$U1825,FIND(":",Sync!$U1825)-1)),2)&amp;RIGHT("00"&amp;VALUE(MID(Sync!$U1825,FIND(":",Sync!$U1825)+1,2)),2),"0000"))))</f>
        <v/>
      </c>
    </row>
    <row r="1830" spans="1:17" x14ac:dyDescent="0.2">
      <c r="A1830" t="str">
        <f>IF(Sync!$T1826="","",Sync!$T1826)</f>
        <v/>
      </c>
      <c r="B1830" t="str">
        <f t="shared" si="168"/>
        <v/>
      </c>
      <c r="C1830" t="str">
        <f t="shared" si="169"/>
        <v/>
      </c>
      <c r="D1830" t="str">
        <f t="shared" si="170"/>
        <v/>
      </c>
      <c r="E1830" t="str">
        <f t="shared" si="171"/>
        <v/>
      </c>
      <c r="F1830" t="str">
        <f t="shared" si="172"/>
        <v/>
      </c>
      <c r="G1830" t="str">
        <f>IF(OR($E1830="",$E1830="نامعتبر",Sync!$X1826=""),"",IF(AND(LEFT(UPPER(TRIM(Sync!$X1826)),2)="SL",IFERROR(VLOOKUP(Sync!$W1826,OpTbl,3,0),"")="فروش"),UPPER(TRIM(Sync!$X1826)),""))</f>
        <v/>
      </c>
      <c r="H1830" t="str">
        <f>IF($G1830="","",IF(Sync!$W1826="","",Sync!$W1826))</f>
        <v/>
      </c>
      <c r="I1830" t="str">
        <f>IF(OR($G1830="",Sync!$Y1826=""),"",Sync!$Y1826)</f>
        <v/>
      </c>
      <c r="J1830" t="str">
        <f>IF(OR($G1830="",Sync!$Z1826=""),"",Sync!$Z1826)</f>
        <v/>
      </c>
      <c r="K1830">
        <f>IF($G1830="",0,IF(Sync!$AA1826="",0,Sync!$AA1826))</f>
        <v>0</v>
      </c>
      <c r="L1830">
        <f>IF($G1830="",0,IF(Sync!$AB1826="",0,Sync!$AB1826))</f>
        <v>0</v>
      </c>
      <c r="M1830" t="str">
        <f t="shared" si="173"/>
        <v/>
      </c>
      <c r="N1830">
        <f>IF($G1830="",0,IF($H1830="مرجوعی فروش",-1,1)*IF(Sync!$AC1826="",0,Sync!$AC1826))</f>
        <v>0</v>
      </c>
      <c r="O1830" t="str">
        <f>IF(OR($G1830="",Sync!$V1826=""),"",Sync!$V1826)</f>
        <v/>
      </c>
      <c r="P1830" t="str">
        <f>IF(OR($G1830="",Sync!$AD1826=""),"",Sync!$AD1826)</f>
        <v/>
      </c>
      <c r="Q1830" t="str">
        <f>IF($G1830="","",IF(Sync!$U1826="","0000",IF(AND(ISNUMBER(Sync!$U1826),Sync!$U1826&gt;=0,Sync!$U1826&lt;1),RIGHT("00"&amp;HOUR(Sync!$U1826),2)&amp;RIGHT("00"&amp;MINUTE(Sync!$U1826),2),IFERROR(RIGHT("00"&amp;VALUE(LEFT(Sync!$U1826,FIND(":",Sync!$U1826)-1)),2)&amp;RIGHT("00"&amp;VALUE(MID(Sync!$U1826,FIND(":",Sync!$U1826)+1,2)),2),"0000"))))</f>
        <v/>
      </c>
    </row>
    <row r="1831" spans="1:17" x14ac:dyDescent="0.2">
      <c r="A1831" t="str">
        <f>IF(Sync!$T1827="","",Sync!$T1827)</f>
        <v/>
      </c>
      <c r="B1831" t="str">
        <f t="shared" si="168"/>
        <v/>
      </c>
      <c r="C1831" t="str">
        <f t="shared" si="169"/>
        <v/>
      </c>
      <c r="D1831" t="str">
        <f t="shared" si="170"/>
        <v/>
      </c>
      <c r="E1831" t="str">
        <f t="shared" si="171"/>
        <v/>
      </c>
      <c r="F1831" t="str">
        <f t="shared" si="172"/>
        <v/>
      </c>
      <c r="G1831" t="str">
        <f>IF(OR($E1831="",$E1831="نامعتبر",Sync!$X1827=""),"",IF(AND(LEFT(UPPER(TRIM(Sync!$X1827)),2)="SL",IFERROR(VLOOKUP(Sync!$W1827,OpTbl,3,0),"")="فروش"),UPPER(TRIM(Sync!$X1827)),""))</f>
        <v/>
      </c>
      <c r="H1831" t="str">
        <f>IF($G1831="","",IF(Sync!$W1827="","",Sync!$W1827))</f>
        <v/>
      </c>
      <c r="I1831" t="str">
        <f>IF(OR($G1831="",Sync!$Y1827=""),"",Sync!$Y1827)</f>
        <v/>
      </c>
      <c r="J1831" t="str">
        <f>IF(OR($G1831="",Sync!$Z1827=""),"",Sync!$Z1827)</f>
        <v/>
      </c>
      <c r="K1831">
        <f>IF($G1831="",0,IF(Sync!$AA1827="",0,Sync!$AA1827))</f>
        <v>0</v>
      </c>
      <c r="L1831">
        <f>IF($G1831="",0,IF(Sync!$AB1827="",0,Sync!$AB1827))</f>
        <v>0</v>
      </c>
      <c r="M1831" t="str">
        <f t="shared" si="173"/>
        <v/>
      </c>
      <c r="N1831">
        <f>IF($G1831="",0,IF($H1831="مرجوعی فروش",-1,1)*IF(Sync!$AC1827="",0,Sync!$AC1827))</f>
        <v>0</v>
      </c>
      <c r="O1831" t="str">
        <f>IF(OR($G1831="",Sync!$V1827=""),"",Sync!$V1827)</f>
        <v/>
      </c>
      <c r="P1831" t="str">
        <f>IF(OR($G1831="",Sync!$AD1827=""),"",Sync!$AD1827)</f>
        <v/>
      </c>
      <c r="Q1831" t="str">
        <f>IF($G1831="","",IF(Sync!$U1827="","0000",IF(AND(ISNUMBER(Sync!$U1827),Sync!$U1827&gt;=0,Sync!$U1827&lt;1),RIGHT("00"&amp;HOUR(Sync!$U1827),2)&amp;RIGHT("00"&amp;MINUTE(Sync!$U1827),2),IFERROR(RIGHT("00"&amp;VALUE(LEFT(Sync!$U1827,FIND(":",Sync!$U1827)-1)),2)&amp;RIGHT("00"&amp;VALUE(MID(Sync!$U1827,FIND(":",Sync!$U1827)+1,2)),2),"0000"))))</f>
        <v/>
      </c>
    </row>
    <row r="1832" spans="1:17" x14ac:dyDescent="0.2">
      <c r="A1832" t="str">
        <f>IF(Sync!$T1828="","",Sync!$T1828)</f>
        <v/>
      </c>
      <c r="B1832" t="str">
        <f t="shared" si="168"/>
        <v/>
      </c>
      <c r="C1832" t="str">
        <f t="shared" si="169"/>
        <v/>
      </c>
      <c r="D1832" t="str">
        <f t="shared" si="170"/>
        <v/>
      </c>
      <c r="E1832" t="str">
        <f t="shared" si="171"/>
        <v/>
      </c>
      <c r="F1832" t="str">
        <f t="shared" si="172"/>
        <v/>
      </c>
      <c r="G1832" t="str">
        <f>IF(OR($E1832="",$E1832="نامعتبر",Sync!$X1828=""),"",IF(AND(LEFT(UPPER(TRIM(Sync!$X1828)),2)="SL",IFERROR(VLOOKUP(Sync!$W1828,OpTbl,3,0),"")="فروش"),UPPER(TRIM(Sync!$X1828)),""))</f>
        <v/>
      </c>
      <c r="H1832" t="str">
        <f>IF($G1832="","",IF(Sync!$W1828="","",Sync!$W1828))</f>
        <v/>
      </c>
      <c r="I1832" t="str">
        <f>IF(OR($G1832="",Sync!$Y1828=""),"",Sync!$Y1828)</f>
        <v/>
      </c>
      <c r="J1832" t="str">
        <f>IF(OR($G1832="",Sync!$Z1828=""),"",Sync!$Z1828)</f>
        <v/>
      </c>
      <c r="K1832">
        <f>IF($G1832="",0,IF(Sync!$AA1828="",0,Sync!$AA1828))</f>
        <v>0</v>
      </c>
      <c r="L1832">
        <f>IF($G1832="",0,IF(Sync!$AB1828="",0,Sync!$AB1828))</f>
        <v>0</v>
      </c>
      <c r="M1832" t="str">
        <f t="shared" si="173"/>
        <v/>
      </c>
      <c r="N1832">
        <f>IF($G1832="",0,IF($H1832="مرجوعی فروش",-1,1)*IF(Sync!$AC1828="",0,Sync!$AC1828))</f>
        <v>0</v>
      </c>
      <c r="O1832" t="str">
        <f>IF(OR($G1832="",Sync!$V1828=""),"",Sync!$V1828)</f>
        <v/>
      </c>
      <c r="P1832" t="str">
        <f>IF(OR($G1832="",Sync!$AD1828=""),"",Sync!$AD1828)</f>
        <v/>
      </c>
      <c r="Q1832" t="str">
        <f>IF($G1832="","",IF(Sync!$U1828="","0000",IF(AND(ISNUMBER(Sync!$U1828),Sync!$U1828&gt;=0,Sync!$U1828&lt;1),RIGHT("00"&amp;HOUR(Sync!$U1828),2)&amp;RIGHT("00"&amp;MINUTE(Sync!$U1828),2),IFERROR(RIGHT("00"&amp;VALUE(LEFT(Sync!$U1828,FIND(":",Sync!$U1828)-1)),2)&amp;RIGHT("00"&amp;VALUE(MID(Sync!$U1828,FIND(":",Sync!$U1828)+1,2)),2),"0000"))))</f>
        <v/>
      </c>
    </row>
    <row r="1833" spans="1:17" x14ac:dyDescent="0.2">
      <c r="A1833" t="str">
        <f>IF(Sync!$T1829="","",Sync!$T1829)</f>
        <v/>
      </c>
      <c r="B1833" t="str">
        <f t="shared" si="168"/>
        <v/>
      </c>
      <c r="C1833" t="str">
        <f t="shared" si="169"/>
        <v/>
      </c>
      <c r="D1833" t="str">
        <f t="shared" si="170"/>
        <v/>
      </c>
      <c r="E1833" t="str">
        <f t="shared" si="171"/>
        <v/>
      </c>
      <c r="F1833" t="str">
        <f t="shared" si="172"/>
        <v/>
      </c>
      <c r="G1833" t="str">
        <f>IF(OR($E1833="",$E1833="نامعتبر",Sync!$X1829=""),"",IF(AND(LEFT(UPPER(TRIM(Sync!$X1829)),2)="SL",IFERROR(VLOOKUP(Sync!$W1829,OpTbl,3,0),"")="فروش"),UPPER(TRIM(Sync!$X1829)),""))</f>
        <v/>
      </c>
      <c r="H1833" t="str">
        <f>IF($G1833="","",IF(Sync!$W1829="","",Sync!$W1829))</f>
        <v/>
      </c>
      <c r="I1833" t="str">
        <f>IF(OR($G1833="",Sync!$Y1829=""),"",Sync!$Y1829)</f>
        <v/>
      </c>
      <c r="J1833" t="str">
        <f>IF(OR($G1833="",Sync!$Z1829=""),"",Sync!$Z1829)</f>
        <v/>
      </c>
      <c r="K1833">
        <f>IF($G1833="",0,IF(Sync!$AA1829="",0,Sync!$AA1829))</f>
        <v>0</v>
      </c>
      <c r="L1833">
        <f>IF($G1833="",0,IF(Sync!$AB1829="",0,Sync!$AB1829))</f>
        <v>0</v>
      </c>
      <c r="M1833" t="str">
        <f t="shared" si="173"/>
        <v/>
      </c>
      <c r="N1833">
        <f>IF($G1833="",0,IF($H1833="مرجوعی فروش",-1,1)*IF(Sync!$AC1829="",0,Sync!$AC1829))</f>
        <v>0</v>
      </c>
      <c r="O1833" t="str">
        <f>IF(OR($G1833="",Sync!$V1829=""),"",Sync!$V1829)</f>
        <v/>
      </c>
      <c r="P1833" t="str">
        <f>IF(OR($G1833="",Sync!$AD1829=""),"",Sync!$AD1829)</f>
        <v/>
      </c>
      <c r="Q1833" t="str">
        <f>IF($G1833="","",IF(Sync!$U1829="","0000",IF(AND(ISNUMBER(Sync!$U1829),Sync!$U1829&gt;=0,Sync!$U1829&lt;1),RIGHT("00"&amp;HOUR(Sync!$U1829),2)&amp;RIGHT("00"&amp;MINUTE(Sync!$U1829),2),IFERROR(RIGHT("00"&amp;VALUE(LEFT(Sync!$U1829,FIND(":",Sync!$U1829)-1)),2)&amp;RIGHT("00"&amp;VALUE(MID(Sync!$U1829,FIND(":",Sync!$U1829)+1,2)),2),"0000"))))</f>
        <v/>
      </c>
    </row>
    <row r="1834" spans="1:17" x14ac:dyDescent="0.2">
      <c r="A1834" t="str">
        <f>IF(Sync!$T1830="","",Sync!$T1830)</f>
        <v/>
      </c>
      <c r="B1834" t="str">
        <f t="shared" si="168"/>
        <v/>
      </c>
      <c r="C1834" t="str">
        <f t="shared" si="169"/>
        <v/>
      </c>
      <c r="D1834" t="str">
        <f t="shared" si="170"/>
        <v/>
      </c>
      <c r="E1834" t="str">
        <f t="shared" si="171"/>
        <v/>
      </c>
      <c r="F1834" t="str">
        <f t="shared" si="172"/>
        <v/>
      </c>
      <c r="G1834" t="str">
        <f>IF(OR($E1834="",$E1834="نامعتبر",Sync!$X1830=""),"",IF(AND(LEFT(UPPER(TRIM(Sync!$X1830)),2)="SL",IFERROR(VLOOKUP(Sync!$W1830,OpTbl,3,0),"")="فروش"),UPPER(TRIM(Sync!$X1830)),""))</f>
        <v/>
      </c>
      <c r="H1834" t="str">
        <f>IF($G1834="","",IF(Sync!$W1830="","",Sync!$W1830))</f>
        <v/>
      </c>
      <c r="I1834" t="str">
        <f>IF(OR($G1834="",Sync!$Y1830=""),"",Sync!$Y1830)</f>
        <v/>
      </c>
      <c r="J1834" t="str">
        <f>IF(OR($G1834="",Sync!$Z1830=""),"",Sync!$Z1830)</f>
        <v/>
      </c>
      <c r="K1834">
        <f>IF($G1834="",0,IF(Sync!$AA1830="",0,Sync!$AA1830))</f>
        <v>0</v>
      </c>
      <c r="L1834">
        <f>IF($G1834="",0,IF(Sync!$AB1830="",0,Sync!$AB1830))</f>
        <v>0</v>
      </c>
      <c r="M1834" t="str">
        <f t="shared" si="173"/>
        <v/>
      </c>
      <c r="N1834">
        <f>IF($G1834="",0,IF($H1834="مرجوعی فروش",-1,1)*IF(Sync!$AC1830="",0,Sync!$AC1830))</f>
        <v>0</v>
      </c>
      <c r="O1834" t="str">
        <f>IF(OR($G1834="",Sync!$V1830=""),"",Sync!$V1830)</f>
        <v/>
      </c>
      <c r="P1834" t="str">
        <f>IF(OR($G1834="",Sync!$AD1830=""),"",Sync!$AD1830)</f>
        <v/>
      </c>
      <c r="Q1834" t="str">
        <f>IF($G1834="","",IF(Sync!$U1830="","0000",IF(AND(ISNUMBER(Sync!$U1830),Sync!$U1830&gt;=0,Sync!$U1830&lt;1),RIGHT("00"&amp;HOUR(Sync!$U1830),2)&amp;RIGHT("00"&amp;MINUTE(Sync!$U1830),2),IFERROR(RIGHT("00"&amp;VALUE(LEFT(Sync!$U1830,FIND(":",Sync!$U1830)-1)),2)&amp;RIGHT("00"&amp;VALUE(MID(Sync!$U1830,FIND(":",Sync!$U1830)+1,2)),2),"0000"))))</f>
        <v/>
      </c>
    </row>
    <row r="1835" spans="1:17" x14ac:dyDescent="0.2">
      <c r="A1835" t="str">
        <f>IF(Sync!$T1831="","",Sync!$T1831)</f>
        <v/>
      </c>
      <c r="B1835" t="str">
        <f t="shared" si="168"/>
        <v/>
      </c>
      <c r="C1835" t="str">
        <f t="shared" si="169"/>
        <v/>
      </c>
      <c r="D1835" t="str">
        <f t="shared" si="170"/>
        <v/>
      </c>
      <c r="E1835" t="str">
        <f t="shared" si="171"/>
        <v/>
      </c>
      <c r="F1835" t="str">
        <f t="shared" si="172"/>
        <v/>
      </c>
      <c r="G1835" t="str">
        <f>IF(OR($E1835="",$E1835="نامعتبر",Sync!$X1831=""),"",IF(AND(LEFT(UPPER(TRIM(Sync!$X1831)),2)="SL",IFERROR(VLOOKUP(Sync!$W1831,OpTbl,3,0),"")="فروش"),UPPER(TRIM(Sync!$X1831)),""))</f>
        <v/>
      </c>
      <c r="H1835" t="str">
        <f>IF($G1835="","",IF(Sync!$W1831="","",Sync!$W1831))</f>
        <v/>
      </c>
      <c r="I1835" t="str">
        <f>IF(OR($G1835="",Sync!$Y1831=""),"",Sync!$Y1831)</f>
        <v/>
      </c>
      <c r="J1835" t="str">
        <f>IF(OR($G1835="",Sync!$Z1831=""),"",Sync!$Z1831)</f>
        <v/>
      </c>
      <c r="K1835">
        <f>IF($G1835="",0,IF(Sync!$AA1831="",0,Sync!$AA1831))</f>
        <v>0</v>
      </c>
      <c r="L1835">
        <f>IF($G1835="",0,IF(Sync!$AB1831="",0,Sync!$AB1831))</f>
        <v>0</v>
      </c>
      <c r="M1835" t="str">
        <f t="shared" si="173"/>
        <v/>
      </c>
      <c r="N1835">
        <f>IF($G1835="",0,IF($H1835="مرجوعی فروش",-1,1)*IF(Sync!$AC1831="",0,Sync!$AC1831))</f>
        <v>0</v>
      </c>
      <c r="O1835" t="str">
        <f>IF(OR($G1835="",Sync!$V1831=""),"",Sync!$V1831)</f>
        <v/>
      </c>
      <c r="P1835" t="str">
        <f>IF(OR($G1835="",Sync!$AD1831=""),"",Sync!$AD1831)</f>
        <v/>
      </c>
      <c r="Q1835" t="str">
        <f>IF($G1835="","",IF(Sync!$U1831="","0000",IF(AND(ISNUMBER(Sync!$U1831),Sync!$U1831&gt;=0,Sync!$U1831&lt;1),RIGHT("00"&amp;HOUR(Sync!$U1831),2)&amp;RIGHT("00"&amp;MINUTE(Sync!$U1831),2),IFERROR(RIGHT("00"&amp;VALUE(LEFT(Sync!$U1831,FIND(":",Sync!$U1831)-1)),2)&amp;RIGHT("00"&amp;VALUE(MID(Sync!$U1831,FIND(":",Sync!$U1831)+1,2)),2),"0000"))))</f>
        <v/>
      </c>
    </row>
    <row r="1836" spans="1:17" x14ac:dyDescent="0.2">
      <c r="A1836" t="str">
        <f>IF(Sync!$T1832="","",Sync!$T1832)</f>
        <v/>
      </c>
      <c r="B1836" t="str">
        <f t="shared" si="168"/>
        <v/>
      </c>
      <c r="C1836" t="str">
        <f t="shared" si="169"/>
        <v/>
      </c>
      <c r="D1836" t="str">
        <f t="shared" si="170"/>
        <v/>
      </c>
      <c r="E1836" t="str">
        <f t="shared" si="171"/>
        <v/>
      </c>
      <c r="F1836" t="str">
        <f t="shared" si="172"/>
        <v/>
      </c>
      <c r="G1836" t="str">
        <f>IF(OR($E1836="",$E1836="نامعتبر",Sync!$X1832=""),"",IF(AND(LEFT(UPPER(TRIM(Sync!$X1832)),2)="SL",IFERROR(VLOOKUP(Sync!$W1832,OpTbl,3,0),"")="فروش"),UPPER(TRIM(Sync!$X1832)),""))</f>
        <v/>
      </c>
      <c r="H1836" t="str">
        <f>IF($G1836="","",IF(Sync!$W1832="","",Sync!$W1832))</f>
        <v/>
      </c>
      <c r="I1836" t="str">
        <f>IF(OR($G1836="",Sync!$Y1832=""),"",Sync!$Y1832)</f>
        <v/>
      </c>
      <c r="J1836" t="str">
        <f>IF(OR($G1836="",Sync!$Z1832=""),"",Sync!$Z1832)</f>
        <v/>
      </c>
      <c r="K1836">
        <f>IF($G1836="",0,IF(Sync!$AA1832="",0,Sync!$AA1832))</f>
        <v>0</v>
      </c>
      <c r="L1836">
        <f>IF($G1836="",0,IF(Sync!$AB1832="",0,Sync!$AB1832))</f>
        <v>0</v>
      </c>
      <c r="M1836" t="str">
        <f t="shared" si="173"/>
        <v/>
      </c>
      <c r="N1836">
        <f>IF($G1836="",0,IF($H1836="مرجوعی فروش",-1,1)*IF(Sync!$AC1832="",0,Sync!$AC1832))</f>
        <v>0</v>
      </c>
      <c r="O1836" t="str">
        <f>IF(OR($G1836="",Sync!$V1832=""),"",Sync!$V1832)</f>
        <v/>
      </c>
      <c r="P1836" t="str">
        <f>IF(OR($G1836="",Sync!$AD1832=""),"",Sync!$AD1832)</f>
        <v/>
      </c>
      <c r="Q1836" t="str">
        <f>IF($G1836="","",IF(Sync!$U1832="","0000",IF(AND(ISNUMBER(Sync!$U1832),Sync!$U1832&gt;=0,Sync!$U1832&lt;1),RIGHT("00"&amp;HOUR(Sync!$U1832),2)&amp;RIGHT("00"&amp;MINUTE(Sync!$U1832),2),IFERROR(RIGHT("00"&amp;VALUE(LEFT(Sync!$U1832,FIND(":",Sync!$U1832)-1)),2)&amp;RIGHT("00"&amp;VALUE(MID(Sync!$U1832,FIND(":",Sync!$U1832)+1,2)),2),"0000"))))</f>
        <v/>
      </c>
    </row>
    <row r="1837" spans="1:17" x14ac:dyDescent="0.2">
      <c r="A1837" t="str">
        <f>IF(Sync!$T1833="","",Sync!$T1833)</f>
        <v/>
      </c>
      <c r="B1837" t="str">
        <f t="shared" si="168"/>
        <v/>
      </c>
      <c r="C1837" t="str">
        <f t="shared" si="169"/>
        <v/>
      </c>
      <c r="D1837" t="str">
        <f t="shared" si="170"/>
        <v/>
      </c>
      <c r="E1837" t="str">
        <f t="shared" si="171"/>
        <v/>
      </c>
      <c r="F1837" t="str">
        <f t="shared" si="172"/>
        <v/>
      </c>
      <c r="G1837" t="str">
        <f>IF(OR($E1837="",$E1837="نامعتبر",Sync!$X1833=""),"",IF(AND(LEFT(UPPER(TRIM(Sync!$X1833)),2)="SL",IFERROR(VLOOKUP(Sync!$W1833,OpTbl,3,0),"")="فروش"),UPPER(TRIM(Sync!$X1833)),""))</f>
        <v/>
      </c>
      <c r="H1837" t="str">
        <f>IF($G1837="","",IF(Sync!$W1833="","",Sync!$W1833))</f>
        <v/>
      </c>
      <c r="I1837" t="str">
        <f>IF(OR($G1837="",Sync!$Y1833=""),"",Sync!$Y1833)</f>
        <v/>
      </c>
      <c r="J1837" t="str">
        <f>IF(OR($G1837="",Sync!$Z1833=""),"",Sync!$Z1833)</f>
        <v/>
      </c>
      <c r="K1837">
        <f>IF($G1837="",0,IF(Sync!$AA1833="",0,Sync!$AA1833))</f>
        <v>0</v>
      </c>
      <c r="L1837">
        <f>IF($G1837="",0,IF(Sync!$AB1833="",0,Sync!$AB1833))</f>
        <v>0</v>
      </c>
      <c r="M1837" t="str">
        <f t="shared" si="173"/>
        <v/>
      </c>
      <c r="N1837">
        <f>IF($G1837="",0,IF($H1837="مرجوعی فروش",-1,1)*IF(Sync!$AC1833="",0,Sync!$AC1833))</f>
        <v>0</v>
      </c>
      <c r="O1837" t="str">
        <f>IF(OR($G1837="",Sync!$V1833=""),"",Sync!$V1833)</f>
        <v/>
      </c>
      <c r="P1837" t="str">
        <f>IF(OR($G1837="",Sync!$AD1833=""),"",Sync!$AD1833)</f>
        <v/>
      </c>
      <c r="Q1837" t="str">
        <f>IF($G1837="","",IF(Sync!$U1833="","0000",IF(AND(ISNUMBER(Sync!$U1833),Sync!$U1833&gt;=0,Sync!$U1833&lt;1),RIGHT("00"&amp;HOUR(Sync!$U1833),2)&amp;RIGHT("00"&amp;MINUTE(Sync!$U1833),2),IFERROR(RIGHT("00"&amp;VALUE(LEFT(Sync!$U1833,FIND(":",Sync!$U1833)-1)),2)&amp;RIGHT("00"&amp;VALUE(MID(Sync!$U1833,FIND(":",Sync!$U1833)+1,2)),2),"0000"))))</f>
        <v/>
      </c>
    </row>
    <row r="1838" spans="1:17" x14ac:dyDescent="0.2">
      <c r="A1838" t="str">
        <f>IF(Sync!$T1834="","",Sync!$T1834)</f>
        <v/>
      </c>
      <c r="B1838" t="str">
        <f t="shared" si="168"/>
        <v/>
      </c>
      <c r="C1838" t="str">
        <f t="shared" si="169"/>
        <v/>
      </c>
      <c r="D1838" t="str">
        <f t="shared" si="170"/>
        <v/>
      </c>
      <c r="E1838" t="str">
        <f t="shared" si="171"/>
        <v/>
      </c>
      <c r="F1838" t="str">
        <f t="shared" si="172"/>
        <v/>
      </c>
      <c r="G1838" t="str">
        <f>IF(OR($E1838="",$E1838="نامعتبر",Sync!$X1834=""),"",IF(AND(LEFT(UPPER(TRIM(Sync!$X1834)),2)="SL",IFERROR(VLOOKUP(Sync!$W1834,OpTbl,3,0),"")="فروش"),UPPER(TRIM(Sync!$X1834)),""))</f>
        <v/>
      </c>
      <c r="H1838" t="str">
        <f>IF($G1838="","",IF(Sync!$W1834="","",Sync!$W1834))</f>
        <v/>
      </c>
      <c r="I1838" t="str">
        <f>IF(OR($G1838="",Sync!$Y1834=""),"",Sync!$Y1834)</f>
        <v/>
      </c>
      <c r="J1838" t="str">
        <f>IF(OR($G1838="",Sync!$Z1834=""),"",Sync!$Z1834)</f>
        <v/>
      </c>
      <c r="K1838">
        <f>IF($G1838="",0,IF(Sync!$AA1834="",0,Sync!$AA1834))</f>
        <v>0</v>
      </c>
      <c r="L1838">
        <f>IF($G1838="",0,IF(Sync!$AB1834="",0,Sync!$AB1834))</f>
        <v>0</v>
      </c>
      <c r="M1838" t="str">
        <f t="shared" si="173"/>
        <v/>
      </c>
      <c r="N1838">
        <f>IF($G1838="",0,IF($H1838="مرجوعی فروش",-1,1)*IF(Sync!$AC1834="",0,Sync!$AC1834))</f>
        <v>0</v>
      </c>
      <c r="O1838" t="str">
        <f>IF(OR($G1838="",Sync!$V1834=""),"",Sync!$V1834)</f>
        <v/>
      </c>
      <c r="P1838" t="str">
        <f>IF(OR($G1838="",Sync!$AD1834=""),"",Sync!$AD1834)</f>
        <v/>
      </c>
      <c r="Q1838" t="str">
        <f>IF($G1838="","",IF(Sync!$U1834="","0000",IF(AND(ISNUMBER(Sync!$U1834),Sync!$U1834&gt;=0,Sync!$U1834&lt;1),RIGHT("00"&amp;HOUR(Sync!$U1834),2)&amp;RIGHT("00"&amp;MINUTE(Sync!$U1834),2),IFERROR(RIGHT("00"&amp;VALUE(LEFT(Sync!$U1834,FIND(":",Sync!$U1834)-1)),2)&amp;RIGHT("00"&amp;VALUE(MID(Sync!$U1834,FIND(":",Sync!$U1834)+1,2)),2),"0000"))))</f>
        <v/>
      </c>
    </row>
    <row r="1839" spans="1:17" x14ac:dyDescent="0.2">
      <c r="A1839" t="str">
        <f>IF(Sync!$T1835="","",Sync!$T1835)</f>
        <v/>
      </c>
      <c r="B1839" t="str">
        <f t="shared" si="168"/>
        <v/>
      </c>
      <c r="C1839" t="str">
        <f t="shared" si="169"/>
        <v/>
      </c>
      <c r="D1839" t="str">
        <f t="shared" si="170"/>
        <v/>
      </c>
      <c r="E1839" t="str">
        <f t="shared" si="171"/>
        <v/>
      </c>
      <c r="F1839" t="str">
        <f t="shared" si="172"/>
        <v/>
      </c>
      <c r="G1839" t="str">
        <f>IF(OR($E1839="",$E1839="نامعتبر",Sync!$X1835=""),"",IF(AND(LEFT(UPPER(TRIM(Sync!$X1835)),2)="SL",IFERROR(VLOOKUP(Sync!$W1835,OpTbl,3,0),"")="فروش"),UPPER(TRIM(Sync!$X1835)),""))</f>
        <v/>
      </c>
      <c r="H1839" t="str">
        <f>IF($G1839="","",IF(Sync!$W1835="","",Sync!$W1835))</f>
        <v/>
      </c>
      <c r="I1839" t="str">
        <f>IF(OR($G1839="",Sync!$Y1835=""),"",Sync!$Y1835)</f>
        <v/>
      </c>
      <c r="J1839" t="str">
        <f>IF(OR($G1839="",Sync!$Z1835=""),"",Sync!$Z1835)</f>
        <v/>
      </c>
      <c r="K1839">
        <f>IF($G1839="",0,IF(Sync!$AA1835="",0,Sync!$AA1835))</f>
        <v>0</v>
      </c>
      <c r="L1839">
        <f>IF($G1839="",0,IF(Sync!$AB1835="",0,Sync!$AB1835))</f>
        <v>0</v>
      </c>
      <c r="M1839" t="str">
        <f t="shared" si="173"/>
        <v/>
      </c>
      <c r="N1839">
        <f>IF($G1839="",0,IF($H1839="مرجوعی فروش",-1,1)*IF(Sync!$AC1835="",0,Sync!$AC1835))</f>
        <v>0</v>
      </c>
      <c r="O1839" t="str">
        <f>IF(OR($G1839="",Sync!$V1835=""),"",Sync!$V1835)</f>
        <v/>
      </c>
      <c r="P1839" t="str">
        <f>IF(OR($G1839="",Sync!$AD1835=""),"",Sync!$AD1835)</f>
        <v/>
      </c>
      <c r="Q1839" t="str">
        <f>IF($G1839="","",IF(Sync!$U1835="","0000",IF(AND(ISNUMBER(Sync!$U1835),Sync!$U1835&gt;=0,Sync!$U1835&lt;1),RIGHT("00"&amp;HOUR(Sync!$U1835),2)&amp;RIGHT("00"&amp;MINUTE(Sync!$U1835),2),IFERROR(RIGHT("00"&amp;VALUE(LEFT(Sync!$U1835,FIND(":",Sync!$U1835)-1)),2)&amp;RIGHT("00"&amp;VALUE(MID(Sync!$U1835,FIND(":",Sync!$U1835)+1,2)),2),"0000"))))</f>
        <v/>
      </c>
    </row>
    <row r="1840" spans="1:17" x14ac:dyDescent="0.2">
      <c r="A1840" t="str">
        <f>IF(Sync!$T1836="","",Sync!$T1836)</f>
        <v/>
      </c>
      <c r="B1840" t="str">
        <f t="shared" si="168"/>
        <v/>
      </c>
      <c r="C1840" t="str">
        <f t="shared" si="169"/>
        <v/>
      </c>
      <c r="D1840" t="str">
        <f t="shared" si="170"/>
        <v/>
      </c>
      <c r="E1840" t="str">
        <f t="shared" si="171"/>
        <v/>
      </c>
      <c r="F1840" t="str">
        <f t="shared" si="172"/>
        <v/>
      </c>
      <c r="G1840" t="str">
        <f>IF(OR($E1840="",$E1840="نامعتبر",Sync!$X1836=""),"",IF(AND(LEFT(UPPER(TRIM(Sync!$X1836)),2)="SL",IFERROR(VLOOKUP(Sync!$W1836,OpTbl,3,0),"")="فروش"),UPPER(TRIM(Sync!$X1836)),""))</f>
        <v/>
      </c>
      <c r="H1840" t="str">
        <f>IF($G1840="","",IF(Sync!$W1836="","",Sync!$W1836))</f>
        <v/>
      </c>
      <c r="I1840" t="str">
        <f>IF(OR($G1840="",Sync!$Y1836=""),"",Sync!$Y1836)</f>
        <v/>
      </c>
      <c r="J1840" t="str">
        <f>IF(OR($G1840="",Sync!$Z1836=""),"",Sync!$Z1836)</f>
        <v/>
      </c>
      <c r="K1840">
        <f>IF($G1840="",0,IF(Sync!$AA1836="",0,Sync!$AA1836))</f>
        <v>0</v>
      </c>
      <c r="L1840">
        <f>IF($G1840="",0,IF(Sync!$AB1836="",0,Sync!$AB1836))</f>
        <v>0</v>
      </c>
      <c r="M1840" t="str">
        <f t="shared" si="173"/>
        <v/>
      </c>
      <c r="N1840">
        <f>IF($G1840="",0,IF($H1840="مرجوعی فروش",-1,1)*IF(Sync!$AC1836="",0,Sync!$AC1836))</f>
        <v>0</v>
      </c>
      <c r="O1840" t="str">
        <f>IF(OR($G1840="",Sync!$V1836=""),"",Sync!$V1836)</f>
        <v/>
      </c>
      <c r="P1840" t="str">
        <f>IF(OR($G1840="",Sync!$AD1836=""),"",Sync!$AD1836)</f>
        <v/>
      </c>
      <c r="Q1840" t="str">
        <f>IF($G1840="","",IF(Sync!$U1836="","0000",IF(AND(ISNUMBER(Sync!$U1836),Sync!$U1836&gt;=0,Sync!$U1836&lt;1),RIGHT("00"&amp;HOUR(Sync!$U1836),2)&amp;RIGHT("00"&amp;MINUTE(Sync!$U1836),2),IFERROR(RIGHT("00"&amp;VALUE(LEFT(Sync!$U1836,FIND(":",Sync!$U1836)-1)),2)&amp;RIGHT("00"&amp;VALUE(MID(Sync!$U1836,FIND(":",Sync!$U1836)+1,2)),2),"0000"))))</f>
        <v/>
      </c>
    </row>
    <row r="1841" spans="1:17" x14ac:dyDescent="0.2">
      <c r="A1841" t="str">
        <f>IF(Sync!$T1837="","",Sync!$T1837)</f>
        <v/>
      </c>
      <c r="B1841" t="str">
        <f t="shared" si="168"/>
        <v/>
      </c>
      <c r="C1841" t="str">
        <f t="shared" si="169"/>
        <v/>
      </c>
      <c r="D1841" t="str">
        <f t="shared" si="170"/>
        <v/>
      </c>
      <c r="E1841" t="str">
        <f t="shared" si="171"/>
        <v/>
      </c>
      <c r="F1841" t="str">
        <f t="shared" si="172"/>
        <v/>
      </c>
      <c r="G1841" t="str">
        <f>IF(OR($E1841="",$E1841="نامعتبر",Sync!$X1837=""),"",IF(AND(LEFT(UPPER(TRIM(Sync!$X1837)),2)="SL",IFERROR(VLOOKUP(Sync!$W1837,OpTbl,3,0),"")="فروش"),UPPER(TRIM(Sync!$X1837)),""))</f>
        <v/>
      </c>
      <c r="H1841" t="str">
        <f>IF($G1841="","",IF(Sync!$W1837="","",Sync!$W1837))</f>
        <v/>
      </c>
      <c r="I1841" t="str">
        <f>IF(OR($G1841="",Sync!$Y1837=""),"",Sync!$Y1837)</f>
        <v/>
      </c>
      <c r="J1841" t="str">
        <f>IF(OR($G1841="",Sync!$Z1837=""),"",Sync!$Z1837)</f>
        <v/>
      </c>
      <c r="K1841">
        <f>IF($G1841="",0,IF(Sync!$AA1837="",0,Sync!$AA1837))</f>
        <v>0</v>
      </c>
      <c r="L1841">
        <f>IF($G1841="",0,IF(Sync!$AB1837="",0,Sync!$AB1837))</f>
        <v>0</v>
      </c>
      <c r="M1841" t="str">
        <f t="shared" si="173"/>
        <v/>
      </c>
      <c r="N1841">
        <f>IF($G1841="",0,IF($H1841="مرجوعی فروش",-1,1)*IF(Sync!$AC1837="",0,Sync!$AC1837))</f>
        <v>0</v>
      </c>
      <c r="O1841" t="str">
        <f>IF(OR($G1841="",Sync!$V1837=""),"",Sync!$V1837)</f>
        <v/>
      </c>
      <c r="P1841" t="str">
        <f>IF(OR($G1841="",Sync!$AD1837=""),"",Sync!$AD1837)</f>
        <v/>
      </c>
      <c r="Q1841" t="str">
        <f>IF($G1841="","",IF(Sync!$U1837="","0000",IF(AND(ISNUMBER(Sync!$U1837),Sync!$U1837&gt;=0,Sync!$U1837&lt;1),RIGHT("00"&amp;HOUR(Sync!$U1837),2)&amp;RIGHT("00"&amp;MINUTE(Sync!$U1837),2),IFERROR(RIGHT("00"&amp;VALUE(LEFT(Sync!$U1837,FIND(":",Sync!$U1837)-1)),2)&amp;RIGHT("00"&amp;VALUE(MID(Sync!$U1837,FIND(":",Sync!$U1837)+1,2)),2),"0000"))))</f>
        <v/>
      </c>
    </row>
    <row r="1842" spans="1:17" x14ac:dyDescent="0.2">
      <c r="A1842" t="str">
        <f>IF(Sync!$T1838="","",Sync!$T1838)</f>
        <v/>
      </c>
      <c r="B1842" t="str">
        <f t="shared" si="168"/>
        <v/>
      </c>
      <c r="C1842" t="str">
        <f t="shared" si="169"/>
        <v/>
      </c>
      <c r="D1842" t="str">
        <f t="shared" si="170"/>
        <v/>
      </c>
      <c r="E1842" t="str">
        <f t="shared" si="171"/>
        <v/>
      </c>
      <c r="F1842" t="str">
        <f t="shared" si="172"/>
        <v/>
      </c>
      <c r="G1842" t="str">
        <f>IF(OR($E1842="",$E1842="نامعتبر",Sync!$X1838=""),"",IF(AND(LEFT(UPPER(TRIM(Sync!$X1838)),2)="SL",IFERROR(VLOOKUP(Sync!$W1838,OpTbl,3,0),"")="فروش"),UPPER(TRIM(Sync!$X1838)),""))</f>
        <v/>
      </c>
      <c r="H1842" t="str">
        <f>IF($G1842="","",IF(Sync!$W1838="","",Sync!$W1838))</f>
        <v/>
      </c>
      <c r="I1842" t="str">
        <f>IF(OR($G1842="",Sync!$Y1838=""),"",Sync!$Y1838)</f>
        <v/>
      </c>
      <c r="J1842" t="str">
        <f>IF(OR($G1842="",Sync!$Z1838=""),"",Sync!$Z1838)</f>
        <v/>
      </c>
      <c r="K1842">
        <f>IF($G1842="",0,IF(Sync!$AA1838="",0,Sync!$AA1838))</f>
        <v>0</v>
      </c>
      <c r="L1842">
        <f>IF($G1842="",0,IF(Sync!$AB1838="",0,Sync!$AB1838))</f>
        <v>0</v>
      </c>
      <c r="M1842" t="str">
        <f t="shared" si="173"/>
        <v/>
      </c>
      <c r="N1842">
        <f>IF($G1842="",0,IF($H1842="مرجوعی فروش",-1,1)*IF(Sync!$AC1838="",0,Sync!$AC1838))</f>
        <v>0</v>
      </c>
      <c r="O1842" t="str">
        <f>IF(OR($G1842="",Sync!$V1838=""),"",Sync!$V1838)</f>
        <v/>
      </c>
      <c r="P1842" t="str">
        <f>IF(OR($G1842="",Sync!$AD1838=""),"",Sync!$AD1838)</f>
        <v/>
      </c>
      <c r="Q1842" t="str">
        <f>IF($G1842="","",IF(Sync!$U1838="","0000",IF(AND(ISNUMBER(Sync!$U1838),Sync!$U1838&gt;=0,Sync!$U1838&lt;1),RIGHT("00"&amp;HOUR(Sync!$U1838),2)&amp;RIGHT("00"&amp;MINUTE(Sync!$U1838),2),IFERROR(RIGHT("00"&amp;VALUE(LEFT(Sync!$U1838,FIND(":",Sync!$U1838)-1)),2)&amp;RIGHT("00"&amp;VALUE(MID(Sync!$U1838,FIND(":",Sync!$U1838)+1,2)),2),"0000"))))</f>
        <v/>
      </c>
    </row>
    <row r="1843" spans="1:17" x14ac:dyDescent="0.2">
      <c r="A1843" t="str">
        <f>IF(Sync!$T1839="","",Sync!$T1839)</f>
        <v/>
      </c>
      <c r="B1843" t="str">
        <f t="shared" si="168"/>
        <v/>
      </c>
      <c r="C1843" t="str">
        <f t="shared" si="169"/>
        <v/>
      </c>
      <c r="D1843" t="str">
        <f t="shared" si="170"/>
        <v/>
      </c>
      <c r="E1843" t="str">
        <f t="shared" si="171"/>
        <v/>
      </c>
      <c r="F1843" t="str">
        <f t="shared" si="172"/>
        <v/>
      </c>
      <c r="G1843" t="str">
        <f>IF(OR($E1843="",$E1843="نامعتبر",Sync!$X1839=""),"",IF(AND(LEFT(UPPER(TRIM(Sync!$X1839)),2)="SL",IFERROR(VLOOKUP(Sync!$W1839,OpTbl,3,0),"")="فروش"),UPPER(TRIM(Sync!$X1839)),""))</f>
        <v/>
      </c>
      <c r="H1843" t="str">
        <f>IF($G1843="","",IF(Sync!$W1839="","",Sync!$W1839))</f>
        <v/>
      </c>
      <c r="I1843" t="str">
        <f>IF(OR($G1843="",Sync!$Y1839=""),"",Sync!$Y1839)</f>
        <v/>
      </c>
      <c r="J1843" t="str">
        <f>IF(OR($G1843="",Sync!$Z1839=""),"",Sync!$Z1839)</f>
        <v/>
      </c>
      <c r="K1843">
        <f>IF($G1843="",0,IF(Sync!$AA1839="",0,Sync!$AA1839))</f>
        <v>0</v>
      </c>
      <c r="L1843">
        <f>IF($G1843="",0,IF(Sync!$AB1839="",0,Sync!$AB1839))</f>
        <v>0</v>
      </c>
      <c r="M1843" t="str">
        <f t="shared" si="173"/>
        <v/>
      </c>
      <c r="N1843">
        <f>IF($G1843="",0,IF($H1843="مرجوعی فروش",-1,1)*IF(Sync!$AC1839="",0,Sync!$AC1839))</f>
        <v>0</v>
      </c>
      <c r="O1843" t="str">
        <f>IF(OR($G1843="",Sync!$V1839=""),"",Sync!$V1839)</f>
        <v/>
      </c>
      <c r="P1843" t="str">
        <f>IF(OR($G1843="",Sync!$AD1839=""),"",Sync!$AD1839)</f>
        <v/>
      </c>
      <c r="Q1843" t="str">
        <f>IF($G1843="","",IF(Sync!$U1839="","0000",IF(AND(ISNUMBER(Sync!$U1839),Sync!$U1839&gt;=0,Sync!$U1839&lt;1),RIGHT("00"&amp;HOUR(Sync!$U1839),2)&amp;RIGHT("00"&amp;MINUTE(Sync!$U1839),2),IFERROR(RIGHT("00"&amp;VALUE(LEFT(Sync!$U1839,FIND(":",Sync!$U1839)-1)),2)&amp;RIGHT("00"&amp;VALUE(MID(Sync!$U1839,FIND(":",Sync!$U1839)+1,2)),2),"0000"))))</f>
        <v/>
      </c>
    </row>
    <row r="1844" spans="1:17" x14ac:dyDescent="0.2">
      <c r="A1844" t="str">
        <f>IF(Sync!$T1840="","",Sync!$T1840)</f>
        <v/>
      </c>
      <c r="B1844" t="str">
        <f t="shared" si="168"/>
        <v/>
      </c>
      <c r="C1844" t="str">
        <f t="shared" si="169"/>
        <v/>
      </c>
      <c r="D1844" t="str">
        <f t="shared" si="170"/>
        <v/>
      </c>
      <c r="E1844" t="str">
        <f t="shared" si="171"/>
        <v/>
      </c>
      <c r="F1844" t="str">
        <f t="shared" si="172"/>
        <v/>
      </c>
      <c r="G1844" t="str">
        <f>IF(OR($E1844="",$E1844="نامعتبر",Sync!$X1840=""),"",IF(AND(LEFT(UPPER(TRIM(Sync!$X1840)),2)="SL",IFERROR(VLOOKUP(Sync!$W1840,OpTbl,3,0),"")="فروش"),UPPER(TRIM(Sync!$X1840)),""))</f>
        <v/>
      </c>
      <c r="H1844" t="str">
        <f>IF($G1844="","",IF(Sync!$W1840="","",Sync!$W1840))</f>
        <v/>
      </c>
      <c r="I1844" t="str">
        <f>IF(OR($G1844="",Sync!$Y1840=""),"",Sync!$Y1840)</f>
        <v/>
      </c>
      <c r="J1844" t="str">
        <f>IF(OR($G1844="",Sync!$Z1840=""),"",Sync!$Z1840)</f>
        <v/>
      </c>
      <c r="K1844">
        <f>IF($G1844="",0,IF(Sync!$AA1840="",0,Sync!$AA1840))</f>
        <v>0</v>
      </c>
      <c r="L1844">
        <f>IF($G1844="",0,IF(Sync!$AB1840="",0,Sync!$AB1840))</f>
        <v>0</v>
      </c>
      <c r="M1844" t="str">
        <f t="shared" si="173"/>
        <v/>
      </c>
      <c r="N1844">
        <f>IF($G1844="",0,IF($H1844="مرجوعی فروش",-1,1)*IF(Sync!$AC1840="",0,Sync!$AC1840))</f>
        <v>0</v>
      </c>
      <c r="O1844" t="str">
        <f>IF(OR($G1844="",Sync!$V1840=""),"",Sync!$V1840)</f>
        <v/>
      </c>
      <c r="P1844" t="str">
        <f>IF(OR($G1844="",Sync!$AD1840=""),"",Sync!$AD1840)</f>
        <v/>
      </c>
      <c r="Q1844" t="str">
        <f>IF($G1844="","",IF(Sync!$U1840="","0000",IF(AND(ISNUMBER(Sync!$U1840),Sync!$U1840&gt;=0,Sync!$U1840&lt;1),RIGHT("00"&amp;HOUR(Sync!$U1840),2)&amp;RIGHT("00"&amp;MINUTE(Sync!$U1840),2),IFERROR(RIGHT("00"&amp;VALUE(LEFT(Sync!$U1840,FIND(":",Sync!$U1840)-1)),2)&amp;RIGHT("00"&amp;VALUE(MID(Sync!$U1840,FIND(":",Sync!$U1840)+1,2)),2),"0000"))))</f>
        <v/>
      </c>
    </row>
    <row r="1845" spans="1:17" x14ac:dyDescent="0.2">
      <c r="A1845" t="str">
        <f>IF(Sync!$T1841="","",Sync!$T1841)</f>
        <v/>
      </c>
      <c r="B1845" t="str">
        <f t="shared" si="168"/>
        <v/>
      </c>
      <c r="C1845" t="str">
        <f t="shared" si="169"/>
        <v/>
      </c>
      <c r="D1845" t="str">
        <f t="shared" si="170"/>
        <v/>
      </c>
      <c r="E1845" t="str">
        <f t="shared" si="171"/>
        <v/>
      </c>
      <c r="F1845" t="str">
        <f t="shared" si="172"/>
        <v/>
      </c>
      <c r="G1845" t="str">
        <f>IF(OR($E1845="",$E1845="نامعتبر",Sync!$X1841=""),"",IF(AND(LEFT(UPPER(TRIM(Sync!$X1841)),2)="SL",IFERROR(VLOOKUP(Sync!$W1841,OpTbl,3,0),"")="فروش"),UPPER(TRIM(Sync!$X1841)),""))</f>
        <v/>
      </c>
      <c r="H1845" t="str">
        <f>IF($G1845="","",IF(Sync!$W1841="","",Sync!$W1841))</f>
        <v/>
      </c>
      <c r="I1845" t="str">
        <f>IF(OR($G1845="",Sync!$Y1841=""),"",Sync!$Y1841)</f>
        <v/>
      </c>
      <c r="J1845" t="str">
        <f>IF(OR($G1845="",Sync!$Z1841=""),"",Sync!$Z1841)</f>
        <v/>
      </c>
      <c r="K1845">
        <f>IF($G1845="",0,IF(Sync!$AA1841="",0,Sync!$AA1841))</f>
        <v>0</v>
      </c>
      <c r="L1845">
        <f>IF($G1845="",0,IF(Sync!$AB1841="",0,Sync!$AB1841))</f>
        <v>0</v>
      </c>
      <c r="M1845" t="str">
        <f t="shared" si="173"/>
        <v/>
      </c>
      <c r="N1845">
        <f>IF($G1845="",0,IF($H1845="مرجوعی فروش",-1,1)*IF(Sync!$AC1841="",0,Sync!$AC1841))</f>
        <v>0</v>
      </c>
      <c r="O1845" t="str">
        <f>IF(OR($G1845="",Sync!$V1841=""),"",Sync!$V1841)</f>
        <v/>
      </c>
      <c r="P1845" t="str">
        <f>IF(OR($G1845="",Sync!$AD1841=""),"",Sync!$AD1841)</f>
        <v/>
      </c>
      <c r="Q1845" t="str">
        <f>IF($G1845="","",IF(Sync!$U1841="","0000",IF(AND(ISNUMBER(Sync!$U1841),Sync!$U1841&gt;=0,Sync!$U1841&lt;1),RIGHT("00"&amp;HOUR(Sync!$U1841),2)&amp;RIGHT("00"&amp;MINUTE(Sync!$U1841),2),IFERROR(RIGHT("00"&amp;VALUE(LEFT(Sync!$U1841,FIND(":",Sync!$U1841)-1)),2)&amp;RIGHT("00"&amp;VALUE(MID(Sync!$U1841,FIND(":",Sync!$U1841)+1,2)),2),"0000"))))</f>
        <v/>
      </c>
    </row>
    <row r="1846" spans="1:17" x14ac:dyDescent="0.2">
      <c r="A1846" t="str">
        <f>IF(Sync!$T1842="","",Sync!$T1842)</f>
        <v/>
      </c>
      <c r="B1846" t="str">
        <f t="shared" si="168"/>
        <v/>
      </c>
      <c r="C1846" t="str">
        <f t="shared" si="169"/>
        <v/>
      </c>
      <c r="D1846" t="str">
        <f t="shared" si="170"/>
        <v/>
      </c>
      <c r="E1846" t="str">
        <f t="shared" si="171"/>
        <v/>
      </c>
      <c r="F1846" t="str">
        <f t="shared" si="172"/>
        <v/>
      </c>
      <c r="G1846" t="str">
        <f>IF(OR($E1846="",$E1846="نامعتبر",Sync!$X1842=""),"",IF(AND(LEFT(UPPER(TRIM(Sync!$X1842)),2)="SL",IFERROR(VLOOKUP(Sync!$W1842,OpTbl,3,0),"")="فروش"),UPPER(TRIM(Sync!$X1842)),""))</f>
        <v/>
      </c>
      <c r="H1846" t="str">
        <f>IF($G1846="","",IF(Sync!$W1842="","",Sync!$W1842))</f>
        <v/>
      </c>
      <c r="I1846" t="str">
        <f>IF(OR($G1846="",Sync!$Y1842=""),"",Sync!$Y1842)</f>
        <v/>
      </c>
      <c r="J1846" t="str">
        <f>IF(OR($G1846="",Sync!$Z1842=""),"",Sync!$Z1842)</f>
        <v/>
      </c>
      <c r="K1846">
        <f>IF($G1846="",0,IF(Sync!$AA1842="",0,Sync!$AA1842))</f>
        <v>0</v>
      </c>
      <c r="L1846">
        <f>IF($G1846="",0,IF(Sync!$AB1842="",0,Sync!$AB1842))</f>
        <v>0</v>
      </c>
      <c r="M1846" t="str">
        <f t="shared" si="173"/>
        <v/>
      </c>
      <c r="N1846">
        <f>IF($G1846="",0,IF($H1846="مرجوعی فروش",-1,1)*IF(Sync!$AC1842="",0,Sync!$AC1842))</f>
        <v>0</v>
      </c>
      <c r="O1846" t="str">
        <f>IF(OR($G1846="",Sync!$V1842=""),"",Sync!$V1842)</f>
        <v/>
      </c>
      <c r="P1846" t="str">
        <f>IF(OR($G1846="",Sync!$AD1842=""),"",Sync!$AD1842)</f>
        <v/>
      </c>
      <c r="Q1846" t="str">
        <f>IF($G1846="","",IF(Sync!$U1842="","0000",IF(AND(ISNUMBER(Sync!$U1842),Sync!$U1842&gt;=0,Sync!$U1842&lt;1),RIGHT("00"&amp;HOUR(Sync!$U1842),2)&amp;RIGHT("00"&amp;MINUTE(Sync!$U1842),2),IFERROR(RIGHT("00"&amp;VALUE(LEFT(Sync!$U1842,FIND(":",Sync!$U1842)-1)),2)&amp;RIGHT("00"&amp;VALUE(MID(Sync!$U1842,FIND(":",Sync!$U1842)+1,2)),2),"0000"))))</f>
        <v/>
      </c>
    </row>
    <row r="1847" spans="1:17" x14ac:dyDescent="0.2">
      <c r="A1847" t="str">
        <f>IF(Sync!$T1843="","",Sync!$T1843)</f>
        <v/>
      </c>
      <c r="B1847" t="str">
        <f t="shared" si="168"/>
        <v/>
      </c>
      <c r="C1847" t="str">
        <f t="shared" si="169"/>
        <v/>
      </c>
      <c r="D1847" t="str">
        <f t="shared" si="170"/>
        <v/>
      </c>
      <c r="E1847" t="str">
        <f t="shared" si="171"/>
        <v/>
      </c>
      <c r="F1847" t="str">
        <f t="shared" si="172"/>
        <v/>
      </c>
      <c r="G1847" t="str">
        <f>IF(OR($E1847="",$E1847="نامعتبر",Sync!$X1843=""),"",IF(AND(LEFT(UPPER(TRIM(Sync!$X1843)),2)="SL",IFERROR(VLOOKUP(Sync!$W1843,OpTbl,3,0),"")="فروش"),UPPER(TRIM(Sync!$X1843)),""))</f>
        <v/>
      </c>
      <c r="H1847" t="str">
        <f>IF($G1847="","",IF(Sync!$W1843="","",Sync!$W1843))</f>
        <v/>
      </c>
      <c r="I1847" t="str">
        <f>IF(OR($G1847="",Sync!$Y1843=""),"",Sync!$Y1843)</f>
        <v/>
      </c>
      <c r="J1847" t="str">
        <f>IF(OR($G1847="",Sync!$Z1843=""),"",Sync!$Z1843)</f>
        <v/>
      </c>
      <c r="K1847">
        <f>IF($G1847="",0,IF(Sync!$AA1843="",0,Sync!$AA1843))</f>
        <v>0</v>
      </c>
      <c r="L1847">
        <f>IF($G1847="",0,IF(Sync!$AB1843="",0,Sync!$AB1843))</f>
        <v>0</v>
      </c>
      <c r="M1847" t="str">
        <f t="shared" si="173"/>
        <v/>
      </c>
      <c r="N1847">
        <f>IF($G1847="",0,IF($H1847="مرجوعی فروش",-1,1)*IF(Sync!$AC1843="",0,Sync!$AC1843))</f>
        <v>0</v>
      </c>
      <c r="O1847" t="str">
        <f>IF(OR($G1847="",Sync!$V1843=""),"",Sync!$V1843)</f>
        <v/>
      </c>
      <c r="P1847" t="str">
        <f>IF(OR($G1847="",Sync!$AD1843=""),"",Sync!$AD1843)</f>
        <v/>
      </c>
      <c r="Q1847" t="str">
        <f>IF($G1847="","",IF(Sync!$U1843="","0000",IF(AND(ISNUMBER(Sync!$U1843),Sync!$U1843&gt;=0,Sync!$U1843&lt;1),RIGHT("00"&amp;HOUR(Sync!$U1843),2)&amp;RIGHT("00"&amp;MINUTE(Sync!$U1843),2),IFERROR(RIGHT("00"&amp;VALUE(LEFT(Sync!$U1843,FIND(":",Sync!$U1843)-1)),2)&amp;RIGHT("00"&amp;VALUE(MID(Sync!$U1843,FIND(":",Sync!$U1843)+1,2)),2),"0000"))))</f>
        <v/>
      </c>
    </row>
    <row r="1848" spans="1:17" x14ac:dyDescent="0.2">
      <c r="A1848" t="str">
        <f>IF(Sync!$T1844="","",Sync!$T1844)</f>
        <v/>
      </c>
      <c r="B1848" t="str">
        <f t="shared" si="168"/>
        <v/>
      </c>
      <c r="C1848" t="str">
        <f t="shared" si="169"/>
        <v/>
      </c>
      <c r="D1848" t="str">
        <f t="shared" si="170"/>
        <v/>
      </c>
      <c r="E1848" t="str">
        <f t="shared" si="171"/>
        <v/>
      </c>
      <c r="F1848" t="str">
        <f t="shared" si="172"/>
        <v/>
      </c>
      <c r="G1848" t="str">
        <f>IF(OR($E1848="",$E1848="نامعتبر",Sync!$X1844=""),"",IF(AND(LEFT(UPPER(TRIM(Sync!$X1844)),2)="SL",IFERROR(VLOOKUP(Sync!$W1844,OpTbl,3,0),"")="فروش"),UPPER(TRIM(Sync!$X1844)),""))</f>
        <v/>
      </c>
      <c r="H1848" t="str">
        <f>IF($G1848="","",IF(Sync!$W1844="","",Sync!$W1844))</f>
        <v/>
      </c>
      <c r="I1848" t="str">
        <f>IF(OR($G1848="",Sync!$Y1844=""),"",Sync!$Y1844)</f>
        <v/>
      </c>
      <c r="J1848" t="str">
        <f>IF(OR($G1848="",Sync!$Z1844=""),"",Sync!$Z1844)</f>
        <v/>
      </c>
      <c r="K1848">
        <f>IF($G1848="",0,IF(Sync!$AA1844="",0,Sync!$AA1844))</f>
        <v>0</v>
      </c>
      <c r="L1848">
        <f>IF($G1848="",0,IF(Sync!$AB1844="",0,Sync!$AB1844))</f>
        <v>0</v>
      </c>
      <c r="M1848" t="str">
        <f t="shared" si="173"/>
        <v/>
      </c>
      <c r="N1848">
        <f>IF($G1848="",0,IF($H1848="مرجوعی فروش",-1,1)*IF(Sync!$AC1844="",0,Sync!$AC1844))</f>
        <v>0</v>
      </c>
      <c r="O1848" t="str">
        <f>IF(OR($G1848="",Sync!$V1844=""),"",Sync!$V1844)</f>
        <v/>
      </c>
      <c r="P1848" t="str">
        <f>IF(OR($G1848="",Sync!$AD1844=""),"",Sync!$AD1844)</f>
        <v/>
      </c>
      <c r="Q1848" t="str">
        <f>IF($G1848="","",IF(Sync!$U1844="","0000",IF(AND(ISNUMBER(Sync!$U1844),Sync!$U1844&gt;=0,Sync!$U1844&lt;1),RIGHT("00"&amp;HOUR(Sync!$U1844),2)&amp;RIGHT("00"&amp;MINUTE(Sync!$U1844),2),IFERROR(RIGHT("00"&amp;VALUE(LEFT(Sync!$U1844,FIND(":",Sync!$U1844)-1)),2)&amp;RIGHT("00"&amp;VALUE(MID(Sync!$U1844,FIND(":",Sync!$U1844)+1,2)),2),"0000"))))</f>
        <v/>
      </c>
    </row>
    <row r="1849" spans="1:17" x14ac:dyDescent="0.2">
      <c r="A1849" t="str">
        <f>IF(Sync!$T1845="","",Sync!$T1845)</f>
        <v/>
      </c>
      <c r="B1849" t="str">
        <f t="shared" si="168"/>
        <v/>
      </c>
      <c r="C1849" t="str">
        <f t="shared" si="169"/>
        <v/>
      </c>
      <c r="D1849" t="str">
        <f t="shared" si="170"/>
        <v/>
      </c>
      <c r="E1849" t="str">
        <f t="shared" si="171"/>
        <v/>
      </c>
      <c r="F1849" t="str">
        <f t="shared" si="172"/>
        <v/>
      </c>
      <c r="G1849" t="str">
        <f>IF(OR($E1849="",$E1849="نامعتبر",Sync!$X1845=""),"",IF(AND(LEFT(UPPER(TRIM(Sync!$X1845)),2)="SL",IFERROR(VLOOKUP(Sync!$W1845,OpTbl,3,0),"")="فروش"),UPPER(TRIM(Sync!$X1845)),""))</f>
        <v/>
      </c>
      <c r="H1849" t="str">
        <f>IF($G1849="","",IF(Sync!$W1845="","",Sync!$W1845))</f>
        <v/>
      </c>
      <c r="I1849" t="str">
        <f>IF(OR($G1849="",Sync!$Y1845=""),"",Sync!$Y1845)</f>
        <v/>
      </c>
      <c r="J1849" t="str">
        <f>IF(OR($G1849="",Sync!$Z1845=""),"",Sync!$Z1845)</f>
        <v/>
      </c>
      <c r="K1849">
        <f>IF($G1849="",0,IF(Sync!$AA1845="",0,Sync!$AA1845))</f>
        <v>0</v>
      </c>
      <c r="L1849">
        <f>IF($G1849="",0,IF(Sync!$AB1845="",0,Sync!$AB1845))</f>
        <v>0</v>
      </c>
      <c r="M1849" t="str">
        <f t="shared" si="173"/>
        <v/>
      </c>
      <c r="N1849">
        <f>IF($G1849="",0,IF($H1849="مرجوعی فروش",-1,1)*IF(Sync!$AC1845="",0,Sync!$AC1845))</f>
        <v>0</v>
      </c>
      <c r="O1849" t="str">
        <f>IF(OR($G1849="",Sync!$V1845=""),"",Sync!$V1845)</f>
        <v/>
      </c>
      <c r="P1849" t="str">
        <f>IF(OR($G1849="",Sync!$AD1845=""),"",Sync!$AD1845)</f>
        <v/>
      </c>
      <c r="Q1849" t="str">
        <f>IF($G1849="","",IF(Sync!$U1845="","0000",IF(AND(ISNUMBER(Sync!$U1845),Sync!$U1845&gt;=0,Sync!$U1845&lt;1),RIGHT("00"&amp;HOUR(Sync!$U1845),2)&amp;RIGHT("00"&amp;MINUTE(Sync!$U1845),2),IFERROR(RIGHT("00"&amp;VALUE(LEFT(Sync!$U1845,FIND(":",Sync!$U1845)-1)),2)&amp;RIGHT("00"&amp;VALUE(MID(Sync!$U1845,FIND(":",Sync!$U1845)+1,2)),2),"0000"))))</f>
        <v/>
      </c>
    </row>
    <row r="1850" spans="1:17" x14ac:dyDescent="0.2">
      <c r="A1850" t="str">
        <f>IF(Sync!$T1846="","",Sync!$T1846)</f>
        <v/>
      </c>
      <c r="B1850" t="str">
        <f t="shared" si="168"/>
        <v/>
      </c>
      <c r="C1850" t="str">
        <f t="shared" si="169"/>
        <v/>
      </c>
      <c r="D1850" t="str">
        <f t="shared" si="170"/>
        <v/>
      </c>
      <c r="E1850" t="str">
        <f t="shared" si="171"/>
        <v/>
      </c>
      <c r="F1850" t="str">
        <f t="shared" si="172"/>
        <v/>
      </c>
      <c r="G1850" t="str">
        <f>IF(OR($E1850="",$E1850="نامعتبر",Sync!$X1846=""),"",IF(AND(LEFT(UPPER(TRIM(Sync!$X1846)),2)="SL",IFERROR(VLOOKUP(Sync!$W1846,OpTbl,3,0),"")="فروش"),UPPER(TRIM(Sync!$X1846)),""))</f>
        <v/>
      </c>
      <c r="H1850" t="str">
        <f>IF($G1850="","",IF(Sync!$W1846="","",Sync!$W1846))</f>
        <v/>
      </c>
      <c r="I1850" t="str">
        <f>IF(OR($G1850="",Sync!$Y1846=""),"",Sync!$Y1846)</f>
        <v/>
      </c>
      <c r="J1850" t="str">
        <f>IF(OR($G1850="",Sync!$Z1846=""),"",Sync!$Z1846)</f>
        <v/>
      </c>
      <c r="K1850">
        <f>IF($G1850="",0,IF(Sync!$AA1846="",0,Sync!$AA1846))</f>
        <v>0</v>
      </c>
      <c r="L1850">
        <f>IF($G1850="",0,IF(Sync!$AB1846="",0,Sync!$AB1846))</f>
        <v>0</v>
      </c>
      <c r="M1850" t="str">
        <f t="shared" si="173"/>
        <v/>
      </c>
      <c r="N1850">
        <f>IF($G1850="",0,IF($H1850="مرجوعی فروش",-1,1)*IF(Sync!$AC1846="",0,Sync!$AC1846))</f>
        <v>0</v>
      </c>
      <c r="O1850" t="str">
        <f>IF(OR($G1850="",Sync!$V1846=""),"",Sync!$V1846)</f>
        <v/>
      </c>
      <c r="P1850" t="str">
        <f>IF(OR($G1850="",Sync!$AD1846=""),"",Sync!$AD1846)</f>
        <v/>
      </c>
      <c r="Q1850" t="str">
        <f>IF($G1850="","",IF(Sync!$U1846="","0000",IF(AND(ISNUMBER(Sync!$U1846),Sync!$U1846&gt;=0,Sync!$U1846&lt;1),RIGHT("00"&amp;HOUR(Sync!$U1846),2)&amp;RIGHT("00"&amp;MINUTE(Sync!$U1846),2),IFERROR(RIGHT("00"&amp;VALUE(LEFT(Sync!$U1846,FIND(":",Sync!$U1846)-1)),2)&amp;RIGHT("00"&amp;VALUE(MID(Sync!$U1846,FIND(":",Sync!$U1846)+1,2)),2),"0000"))))</f>
        <v/>
      </c>
    </row>
    <row r="1851" spans="1:17" x14ac:dyDescent="0.2">
      <c r="A1851" t="str">
        <f>IF(Sync!$T1847="","",Sync!$T1847)</f>
        <v/>
      </c>
      <c r="B1851" t="str">
        <f t="shared" si="168"/>
        <v/>
      </c>
      <c r="C1851" t="str">
        <f t="shared" si="169"/>
        <v/>
      </c>
      <c r="D1851" t="str">
        <f t="shared" si="170"/>
        <v/>
      </c>
      <c r="E1851" t="str">
        <f t="shared" si="171"/>
        <v/>
      </c>
      <c r="F1851" t="str">
        <f t="shared" si="172"/>
        <v/>
      </c>
      <c r="G1851" t="str">
        <f>IF(OR($E1851="",$E1851="نامعتبر",Sync!$X1847=""),"",IF(AND(LEFT(UPPER(TRIM(Sync!$X1847)),2)="SL",IFERROR(VLOOKUP(Sync!$W1847,OpTbl,3,0),"")="فروش"),UPPER(TRIM(Sync!$X1847)),""))</f>
        <v/>
      </c>
      <c r="H1851" t="str">
        <f>IF($G1851="","",IF(Sync!$W1847="","",Sync!$W1847))</f>
        <v/>
      </c>
      <c r="I1851" t="str">
        <f>IF(OR($G1851="",Sync!$Y1847=""),"",Sync!$Y1847)</f>
        <v/>
      </c>
      <c r="J1851" t="str">
        <f>IF(OR($G1851="",Sync!$Z1847=""),"",Sync!$Z1847)</f>
        <v/>
      </c>
      <c r="K1851">
        <f>IF($G1851="",0,IF(Sync!$AA1847="",0,Sync!$AA1847))</f>
        <v>0</v>
      </c>
      <c r="L1851">
        <f>IF($G1851="",0,IF(Sync!$AB1847="",0,Sync!$AB1847))</f>
        <v>0</v>
      </c>
      <c r="M1851" t="str">
        <f t="shared" si="173"/>
        <v/>
      </c>
      <c r="N1851">
        <f>IF($G1851="",0,IF($H1851="مرجوعی فروش",-1,1)*IF(Sync!$AC1847="",0,Sync!$AC1847))</f>
        <v>0</v>
      </c>
      <c r="O1851" t="str">
        <f>IF(OR($G1851="",Sync!$V1847=""),"",Sync!$V1847)</f>
        <v/>
      </c>
      <c r="P1851" t="str">
        <f>IF(OR($G1851="",Sync!$AD1847=""),"",Sync!$AD1847)</f>
        <v/>
      </c>
      <c r="Q1851" t="str">
        <f>IF($G1851="","",IF(Sync!$U1847="","0000",IF(AND(ISNUMBER(Sync!$U1847),Sync!$U1847&gt;=0,Sync!$U1847&lt;1),RIGHT("00"&amp;HOUR(Sync!$U1847),2)&amp;RIGHT("00"&amp;MINUTE(Sync!$U1847),2),IFERROR(RIGHT("00"&amp;VALUE(LEFT(Sync!$U1847,FIND(":",Sync!$U1847)-1)),2)&amp;RIGHT("00"&amp;VALUE(MID(Sync!$U1847,FIND(":",Sync!$U1847)+1,2)),2),"0000"))))</f>
        <v/>
      </c>
    </row>
    <row r="1852" spans="1:17" x14ac:dyDescent="0.2">
      <c r="A1852" t="str">
        <f>IF(Sync!$T1848="","",Sync!$T1848)</f>
        <v/>
      </c>
      <c r="B1852" t="str">
        <f t="shared" si="168"/>
        <v/>
      </c>
      <c r="C1852" t="str">
        <f t="shared" si="169"/>
        <v/>
      </c>
      <c r="D1852" t="str">
        <f t="shared" si="170"/>
        <v/>
      </c>
      <c r="E1852" t="str">
        <f t="shared" si="171"/>
        <v/>
      </c>
      <c r="F1852" t="str">
        <f t="shared" si="172"/>
        <v/>
      </c>
      <c r="G1852" t="str">
        <f>IF(OR($E1852="",$E1852="نامعتبر",Sync!$X1848=""),"",IF(AND(LEFT(UPPER(TRIM(Sync!$X1848)),2)="SL",IFERROR(VLOOKUP(Sync!$W1848,OpTbl,3,0),"")="فروش"),UPPER(TRIM(Sync!$X1848)),""))</f>
        <v/>
      </c>
      <c r="H1852" t="str">
        <f>IF($G1852="","",IF(Sync!$W1848="","",Sync!$W1848))</f>
        <v/>
      </c>
      <c r="I1852" t="str">
        <f>IF(OR($G1852="",Sync!$Y1848=""),"",Sync!$Y1848)</f>
        <v/>
      </c>
      <c r="J1852" t="str">
        <f>IF(OR($G1852="",Sync!$Z1848=""),"",Sync!$Z1848)</f>
        <v/>
      </c>
      <c r="K1852">
        <f>IF($G1852="",0,IF(Sync!$AA1848="",0,Sync!$AA1848))</f>
        <v>0</v>
      </c>
      <c r="L1852">
        <f>IF($G1852="",0,IF(Sync!$AB1848="",0,Sync!$AB1848))</f>
        <v>0</v>
      </c>
      <c r="M1852" t="str">
        <f t="shared" si="173"/>
        <v/>
      </c>
      <c r="N1852">
        <f>IF($G1852="",0,IF($H1852="مرجوعی فروش",-1,1)*IF(Sync!$AC1848="",0,Sync!$AC1848))</f>
        <v>0</v>
      </c>
      <c r="O1852" t="str">
        <f>IF(OR($G1852="",Sync!$V1848=""),"",Sync!$V1848)</f>
        <v/>
      </c>
      <c r="P1852" t="str">
        <f>IF(OR($G1852="",Sync!$AD1848=""),"",Sync!$AD1848)</f>
        <v/>
      </c>
      <c r="Q1852" t="str">
        <f>IF($G1852="","",IF(Sync!$U1848="","0000",IF(AND(ISNUMBER(Sync!$U1848),Sync!$U1848&gt;=0,Sync!$U1848&lt;1),RIGHT("00"&amp;HOUR(Sync!$U1848),2)&amp;RIGHT("00"&amp;MINUTE(Sync!$U1848),2),IFERROR(RIGHT("00"&amp;VALUE(LEFT(Sync!$U1848,FIND(":",Sync!$U1848)-1)),2)&amp;RIGHT("00"&amp;VALUE(MID(Sync!$U1848,FIND(":",Sync!$U1848)+1,2)),2),"0000"))))</f>
        <v/>
      </c>
    </row>
    <row r="1853" spans="1:17" x14ac:dyDescent="0.2">
      <c r="A1853" t="str">
        <f>IF(Sync!$T1849="","",Sync!$T1849)</f>
        <v/>
      </c>
      <c r="B1853" t="str">
        <f t="shared" si="168"/>
        <v/>
      </c>
      <c r="C1853" t="str">
        <f t="shared" si="169"/>
        <v/>
      </c>
      <c r="D1853" t="str">
        <f t="shared" si="170"/>
        <v/>
      </c>
      <c r="E1853" t="str">
        <f t="shared" si="171"/>
        <v/>
      </c>
      <c r="F1853" t="str">
        <f t="shared" si="172"/>
        <v/>
      </c>
      <c r="G1853" t="str">
        <f>IF(OR($E1853="",$E1853="نامعتبر",Sync!$X1849=""),"",IF(AND(LEFT(UPPER(TRIM(Sync!$X1849)),2)="SL",IFERROR(VLOOKUP(Sync!$W1849,OpTbl,3,0),"")="فروش"),UPPER(TRIM(Sync!$X1849)),""))</f>
        <v/>
      </c>
      <c r="H1853" t="str">
        <f>IF($G1853="","",IF(Sync!$W1849="","",Sync!$W1849))</f>
        <v/>
      </c>
      <c r="I1853" t="str">
        <f>IF(OR($G1853="",Sync!$Y1849=""),"",Sync!$Y1849)</f>
        <v/>
      </c>
      <c r="J1853" t="str">
        <f>IF(OR($G1853="",Sync!$Z1849=""),"",Sync!$Z1849)</f>
        <v/>
      </c>
      <c r="K1853">
        <f>IF($G1853="",0,IF(Sync!$AA1849="",0,Sync!$AA1849))</f>
        <v>0</v>
      </c>
      <c r="L1853">
        <f>IF($G1853="",0,IF(Sync!$AB1849="",0,Sync!$AB1849))</f>
        <v>0</v>
      </c>
      <c r="M1853" t="str">
        <f t="shared" si="173"/>
        <v/>
      </c>
      <c r="N1853">
        <f>IF($G1853="",0,IF($H1853="مرجوعی فروش",-1,1)*IF(Sync!$AC1849="",0,Sync!$AC1849))</f>
        <v>0</v>
      </c>
      <c r="O1853" t="str">
        <f>IF(OR($G1853="",Sync!$V1849=""),"",Sync!$V1849)</f>
        <v/>
      </c>
      <c r="P1853" t="str">
        <f>IF(OR($G1853="",Sync!$AD1849=""),"",Sync!$AD1849)</f>
        <v/>
      </c>
      <c r="Q1853" t="str">
        <f>IF($G1853="","",IF(Sync!$U1849="","0000",IF(AND(ISNUMBER(Sync!$U1849),Sync!$U1849&gt;=0,Sync!$U1849&lt;1),RIGHT("00"&amp;HOUR(Sync!$U1849),2)&amp;RIGHT("00"&amp;MINUTE(Sync!$U1849),2),IFERROR(RIGHT("00"&amp;VALUE(LEFT(Sync!$U1849,FIND(":",Sync!$U1849)-1)),2)&amp;RIGHT("00"&amp;VALUE(MID(Sync!$U1849,FIND(":",Sync!$U1849)+1,2)),2),"0000"))))</f>
        <v/>
      </c>
    </row>
    <row r="1854" spans="1:17" x14ac:dyDescent="0.2">
      <c r="A1854" t="str">
        <f>IF(Sync!$T1850="","",Sync!$T1850)</f>
        <v/>
      </c>
      <c r="B1854" t="str">
        <f t="shared" si="168"/>
        <v/>
      </c>
      <c r="C1854" t="str">
        <f t="shared" si="169"/>
        <v/>
      </c>
      <c r="D1854" t="str">
        <f t="shared" si="170"/>
        <v/>
      </c>
      <c r="E1854" t="str">
        <f t="shared" si="171"/>
        <v/>
      </c>
      <c r="F1854" t="str">
        <f t="shared" si="172"/>
        <v/>
      </c>
      <c r="G1854" t="str">
        <f>IF(OR($E1854="",$E1854="نامعتبر",Sync!$X1850=""),"",IF(AND(LEFT(UPPER(TRIM(Sync!$X1850)),2)="SL",IFERROR(VLOOKUP(Sync!$W1850,OpTbl,3,0),"")="فروش"),UPPER(TRIM(Sync!$X1850)),""))</f>
        <v/>
      </c>
      <c r="H1854" t="str">
        <f>IF($G1854="","",IF(Sync!$W1850="","",Sync!$W1850))</f>
        <v/>
      </c>
      <c r="I1854" t="str">
        <f>IF(OR($G1854="",Sync!$Y1850=""),"",Sync!$Y1850)</f>
        <v/>
      </c>
      <c r="J1854" t="str">
        <f>IF(OR($G1854="",Sync!$Z1850=""),"",Sync!$Z1850)</f>
        <v/>
      </c>
      <c r="K1854">
        <f>IF($G1854="",0,IF(Sync!$AA1850="",0,Sync!$AA1850))</f>
        <v>0</v>
      </c>
      <c r="L1854">
        <f>IF($G1854="",0,IF(Sync!$AB1850="",0,Sync!$AB1850))</f>
        <v>0</v>
      </c>
      <c r="M1854" t="str">
        <f t="shared" si="173"/>
        <v/>
      </c>
      <c r="N1854">
        <f>IF($G1854="",0,IF($H1854="مرجوعی فروش",-1,1)*IF(Sync!$AC1850="",0,Sync!$AC1850))</f>
        <v>0</v>
      </c>
      <c r="O1854" t="str">
        <f>IF(OR($G1854="",Sync!$V1850=""),"",Sync!$V1850)</f>
        <v/>
      </c>
      <c r="P1854" t="str">
        <f>IF(OR($G1854="",Sync!$AD1850=""),"",Sync!$AD1850)</f>
        <v/>
      </c>
      <c r="Q1854" t="str">
        <f>IF($G1854="","",IF(Sync!$U1850="","0000",IF(AND(ISNUMBER(Sync!$U1850),Sync!$U1850&gt;=0,Sync!$U1850&lt;1),RIGHT("00"&amp;HOUR(Sync!$U1850),2)&amp;RIGHT("00"&amp;MINUTE(Sync!$U1850),2),IFERROR(RIGHT("00"&amp;VALUE(LEFT(Sync!$U1850,FIND(":",Sync!$U1850)-1)),2)&amp;RIGHT("00"&amp;VALUE(MID(Sync!$U1850,FIND(":",Sync!$U1850)+1,2)),2),"0000"))))</f>
        <v/>
      </c>
    </row>
    <row r="1855" spans="1:17" x14ac:dyDescent="0.2">
      <c r="A1855" t="str">
        <f>IF(Sync!$T1851="","",Sync!$T1851)</f>
        <v/>
      </c>
      <c r="B1855" t="str">
        <f t="shared" si="168"/>
        <v/>
      </c>
      <c r="C1855" t="str">
        <f t="shared" si="169"/>
        <v/>
      </c>
      <c r="D1855" t="str">
        <f t="shared" si="170"/>
        <v/>
      </c>
      <c r="E1855" t="str">
        <f t="shared" si="171"/>
        <v/>
      </c>
      <c r="F1855" t="str">
        <f t="shared" si="172"/>
        <v/>
      </c>
      <c r="G1855" t="str">
        <f>IF(OR($E1855="",$E1855="نامعتبر",Sync!$X1851=""),"",IF(AND(LEFT(UPPER(TRIM(Sync!$X1851)),2)="SL",IFERROR(VLOOKUP(Sync!$W1851,OpTbl,3,0),"")="فروش"),UPPER(TRIM(Sync!$X1851)),""))</f>
        <v/>
      </c>
      <c r="H1855" t="str">
        <f>IF($G1855="","",IF(Sync!$W1851="","",Sync!$W1851))</f>
        <v/>
      </c>
      <c r="I1855" t="str">
        <f>IF(OR($G1855="",Sync!$Y1851=""),"",Sync!$Y1851)</f>
        <v/>
      </c>
      <c r="J1855" t="str">
        <f>IF(OR($G1855="",Sync!$Z1851=""),"",Sync!$Z1851)</f>
        <v/>
      </c>
      <c r="K1855">
        <f>IF($G1855="",0,IF(Sync!$AA1851="",0,Sync!$AA1851))</f>
        <v>0</v>
      </c>
      <c r="L1855">
        <f>IF($G1855="",0,IF(Sync!$AB1851="",0,Sync!$AB1851))</f>
        <v>0</v>
      </c>
      <c r="M1855" t="str">
        <f t="shared" si="173"/>
        <v/>
      </c>
      <c r="N1855">
        <f>IF($G1855="",0,IF($H1855="مرجوعی فروش",-1,1)*IF(Sync!$AC1851="",0,Sync!$AC1851))</f>
        <v>0</v>
      </c>
      <c r="O1855" t="str">
        <f>IF(OR($G1855="",Sync!$V1851=""),"",Sync!$V1851)</f>
        <v/>
      </c>
      <c r="P1855" t="str">
        <f>IF(OR($G1855="",Sync!$AD1851=""),"",Sync!$AD1851)</f>
        <v/>
      </c>
      <c r="Q1855" t="str">
        <f>IF($G1855="","",IF(Sync!$U1851="","0000",IF(AND(ISNUMBER(Sync!$U1851),Sync!$U1851&gt;=0,Sync!$U1851&lt;1),RIGHT("00"&amp;HOUR(Sync!$U1851),2)&amp;RIGHT("00"&amp;MINUTE(Sync!$U1851),2),IFERROR(RIGHT("00"&amp;VALUE(LEFT(Sync!$U1851,FIND(":",Sync!$U1851)-1)),2)&amp;RIGHT("00"&amp;VALUE(MID(Sync!$U1851,FIND(":",Sync!$U1851)+1,2)),2),"0000"))))</f>
        <v/>
      </c>
    </row>
    <row r="1856" spans="1:17" x14ac:dyDescent="0.2">
      <c r="A1856" t="str">
        <f>IF(Sync!$T1852="","",Sync!$T1852)</f>
        <v/>
      </c>
      <c r="B1856" t="str">
        <f t="shared" si="168"/>
        <v/>
      </c>
      <c r="C1856" t="str">
        <f t="shared" si="169"/>
        <v/>
      </c>
      <c r="D1856" t="str">
        <f t="shared" si="170"/>
        <v/>
      </c>
      <c r="E1856" t="str">
        <f t="shared" si="171"/>
        <v/>
      </c>
      <c r="F1856" t="str">
        <f t="shared" si="172"/>
        <v/>
      </c>
      <c r="G1856" t="str">
        <f>IF(OR($E1856="",$E1856="نامعتبر",Sync!$X1852=""),"",IF(AND(LEFT(UPPER(TRIM(Sync!$X1852)),2)="SL",IFERROR(VLOOKUP(Sync!$W1852,OpTbl,3,0),"")="فروش"),UPPER(TRIM(Sync!$X1852)),""))</f>
        <v/>
      </c>
      <c r="H1856" t="str">
        <f>IF($G1856="","",IF(Sync!$W1852="","",Sync!$W1852))</f>
        <v/>
      </c>
      <c r="I1856" t="str">
        <f>IF(OR($G1856="",Sync!$Y1852=""),"",Sync!$Y1852)</f>
        <v/>
      </c>
      <c r="J1856" t="str">
        <f>IF(OR($G1856="",Sync!$Z1852=""),"",Sync!$Z1852)</f>
        <v/>
      </c>
      <c r="K1856">
        <f>IF($G1856="",0,IF(Sync!$AA1852="",0,Sync!$AA1852))</f>
        <v>0</v>
      </c>
      <c r="L1856">
        <f>IF($G1856="",0,IF(Sync!$AB1852="",0,Sync!$AB1852))</f>
        <v>0</v>
      </c>
      <c r="M1856" t="str">
        <f t="shared" si="173"/>
        <v/>
      </c>
      <c r="N1856">
        <f>IF($G1856="",0,IF($H1856="مرجوعی فروش",-1,1)*IF(Sync!$AC1852="",0,Sync!$AC1852))</f>
        <v>0</v>
      </c>
      <c r="O1856" t="str">
        <f>IF(OR($G1856="",Sync!$V1852=""),"",Sync!$V1852)</f>
        <v/>
      </c>
      <c r="P1856" t="str">
        <f>IF(OR($G1856="",Sync!$AD1852=""),"",Sync!$AD1852)</f>
        <v/>
      </c>
      <c r="Q1856" t="str">
        <f>IF($G1856="","",IF(Sync!$U1852="","0000",IF(AND(ISNUMBER(Sync!$U1852),Sync!$U1852&gt;=0,Sync!$U1852&lt;1),RIGHT("00"&amp;HOUR(Sync!$U1852),2)&amp;RIGHT("00"&amp;MINUTE(Sync!$U1852),2),IFERROR(RIGHT("00"&amp;VALUE(LEFT(Sync!$U1852,FIND(":",Sync!$U1852)-1)),2)&amp;RIGHT("00"&amp;VALUE(MID(Sync!$U1852,FIND(":",Sync!$U1852)+1,2)),2),"0000"))))</f>
        <v/>
      </c>
    </row>
    <row r="1857" spans="1:17" x14ac:dyDescent="0.2">
      <c r="A1857" t="str">
        <f>IF(Sync!$T1853="","",Sync!$T1853)</f>
        <v/>
      </c>
      <c r="B1857" t="str">
        <f t="shared" si="168"/>
        <v/>
      </c>
      <c r="C1857" t="str">
        <f t="shared" si="169"/>
        <v/>
      </c>
      <c r="D1857" t="str">
        <f t="shared" si="170"/>
        <v/>
      </c>
      <c r="E1857" t="str">
        <f t="shared" si="171"/>
        <v/>
      </c>
      <c r="F1857" t="str">
        <f t="shared" si="172"/>
        <v/>
      </c>
      <c r="G1857" t="str">
        <f>IF(OR($E1857="",$E1857="نامعتبر",Sync!$X1853=""),"",IF(AND(LEFT(UPPER(TRIM(Sync!$X1853)),2)="SL",IFERROR(VLOOKUP(Sync!$W1853,OpTbl,3,0),"")="فروش"),UPPER(TRIM(Sync!$X1853)),""))</f>
        <v/>
      </c>
      <c r="H1857" t="str">
        <f>IF($G1857="","",IF(Sync!$W1853="","",Sync!$W1853))</f>
        <v/>
      </c>
      <c r="I1857" t="str">
        <f>IF(OR($G1857="",Sync!$Y1853=""),"",Sync!$Y1853)</f>
        <v/>
      </c>
      <c r="J1857" t="str">
        <f>IF(OR($G1857="",Sync!$Z1853=""),"",Sync!$Z1853)</f>
        <v/>
      </c>
      <c r="K1857">
        <f>IF($G1857="",0,IF(Sync!$AA1853="",0,Sync!$AA1853))</f>
        <v>0</v>
      </c>
      <c r="L1857">
        <f>IF($G1857="",0,IF(Sync!$AB1853="",0,Sync!$AB1853))</f>
        <v>0</v>
      </c>
      <c r="M1857" t="str">
        <f t="shared" si="173"/>
        <v/>
      </c>
      <c r="N1857">
        <f>IF($G1857="",0,IF($H1857="مرجوعی فروش",-1,1)*IF(Sync!$AC1853="",0,Sync!$AC1853))</f>
        <v>0</v>
      </c>
      <c r="O1857" t="str">
        <f>IF(OR($G1857="",Sync!$V1853=""),"",Sync!$V1853)</f>
        <v/>
      </c>
      <c r="P1857" t="str">
        <f>IF(OR($G1857="",Sync!$AD1853=""),"",Sync!$AD1853)</f>
        <v/>
      </c>
      <c r="Q1857" t="str">
        <f>IF($G1857="","",IF(Sync!$U1853="","0000",IF(AND(ISNUMBER(Sync!$U1853),Sync!$U1853&gt;=0,Sync!$U1853&lt;1),RIGHT("00"&amp;HOUR(Sync!$U1853),2)&amp;RIGHT("00"&amp;MINUTE(Sync!$U1853),2),IFERROR(RIGHT("00"&amp;VALUE(LEFT(Sync!$U1853,FIND(":",Sync!$U1853)-1)),2)&amp;RIGHT("00"&amp;VALUE(MID(Sync!$U1853,FIND(":",Sync!$U1853)+1,2)),2),"0000"))))</f>
        <v/>
      </c>
    </row>
    <row r="1858" spans="1:17" x14ac:dyDescent="0.2">
      <c r="A1858" t="str">
        <f>IF(Sync!$T1854="","",Sync!$T1854)</f>
        <v/>
      </c>
      <c r="B1858" t="str">
        <f t="shared" si="168"/>
        <v/>
      </c>
      <c r="C1858" t="str">
        <f t="shared" si="169"/>
        <v/>
      </c>
      <c r="D1858" t="str">
        <f t="shared" si="170"/>
        <v/>
      </c>
      <c r="E1858" t="str">
        <f t="shared" si="171"/>
        <v/>
      </c>
      <c r="F1858" t="str">
        <f t="shared" si="172"/>
        <v/>
      </c>
      <c r="G1858" t="str">
        <f>IF(OR($E1858="",$E1858="نامعتبر",Sync!$X1854=""),"",IF(AND(LEFT(UPPER(TRIM(Sync!$X1854)),2)="SL",IFERROR(VLOOKUP(Sync!$W1854,OpTbl,3,0),"")="فروش"),UPPER(TRIM(Sync!$X1854)),""))</f>
        <v/>
      </c>
      <c r="H1858" t="str">
        <f>IF($G1858="","",IF(Sync!$W1854="","",Sync!$W1854))</f>
        <v/>
      </c>
      <c r="I1858" t="str">
        <f>IF(OR($G1858="",Sync!$Y1854=""),"",Sync!$Y1854)</f>
        <v/>
      </c>
      <c r="J1858" t="str">
        <f>IF(OR($G1858="",Sync!$Z1854=""),"",Sync!$Z1854)</f>
        <v/>
      </c>
      <c r="K1858">
        <f>IF($G1858="",0,IF(Sync!$AA1854="",0,Sync!$AA1854))</f>
        <v>0</v>
      </c>
      <c r="L1858">
        <f>IF($G1858="",0,IF(Sync!$AB1854="",0,Sync!$AB1854))</f>
        <v>0</v>
      </c>
      <c r="M1858" t="str">
        <f t="shared" si="173"/>
        <v/>
      </c>
      <c r="N1858">
        <f>IF($G1858="",0,IF($H1858="مرجوعی فروش",-1,1)*IF(Sync!$AC1854="",0,Sync!$AC1854))</f>
        <v>0</v>
      </c>
      <c r="O1858" t="str">
        <f>IF(OR($G1858="",Sync!$V1854=""),"",Sync!$V1854)</f>
        <v/>
      </c>
      <c r="P1858" t="str">
        <f>IF(OR($G1858="",Sync!$AD1854=""),"",Sync!$AD1854)</f>
        <v/>
      </c>
      <c r="Q1858" t="str">
        <f>IF($G1858="","",IF(Sync!$U1854="","0000",IF(AND(ISNUMBER(Sync!$U1854),Sync!$U1854&gt;=0,Sync!$U1854&lt;1),RIGHT("00"&amp;HOUR(Sync!$U1854),2)&amp;RIGHT("00"&amp;MINUTE(Sync!$U1854),2),IFERROR(RIGHT("00"&amp;VALUE(LEFT(Sync!$U1854,FIND(":",Sync!$U1854)-1)),2)&amp;RIGHT("00"&amp;VALUE(MID(Sync!$U1854,FIND(":",Sync!$U1854)+1,2)),2),"0000"))))</f>
        <v/>
      </c>
    </row>
    <row r="1859" spans="1:17" x14ac:dyDescent="0.2">
      <c r="A1859" t="str">
        <f>IF(Sync!$T1855="","",Sync!$T1855)</f>
        <v/>
      </c>
      <c r="B1859" t="str">
        <f t="shared" si="168"/>
        <v/>
      </c>
      <c r="C1859" t="str">
        <f t="shared" si="169"/>
        <v/>
      </c>
      <c r="D1859" t="str">
        <f t="shared" si="170"/>
        <v/>
      </c>
      <c r="E1859" t="str">
        <f t="shared" si="171"/>
        <v/>
      </c>
      <c r="F1859" t="str">
        <f t="shared" si="172"/>
        <v/>
      </c>
      <c r="G1859" t="str">
        <f>IF(OR($E1859="",$E1859="نامعتبر",Sync!$X1855=""),"",IF(AND(LEFT(UPPER(TRIM(Sync!$X1855)),2)="SL",IFERROR(VLOOKUP(Sync!$W1855,OpTbl,3,0),"")="فروش"),UPPER(TRIM(Sync!$X1855)),""))</f>
        <v/>
      </c>
      <c r="H1859" t="str">
        <f>IF($G1859="","",IF(Sync!$W1855="","",Sync!$W1855))</f>
        <v/>
      </c>
      <c r="I1859" t="str">
        <f>IF(OR($G1859="",Sync!$Y1855=""),"",Sync!$Y1855)</f>
        <v/>
      </c>
      <c r="J1859" t="str">
        <f>IF(OR($G1859="",Sync!$Z1855=""),"",Sync!$Z1855)</f>
        <v/>
      </c>
      <c r="K1859">
        <f>IF($G1859="",0,IF(Sync!$AA1855="",0,Sync!$AA1855))</f>
        <v>0</v>
      </c>
      <c r="L1859">
        <f>IF($G1859="",0,IF(Sync!$AB1855="",0,Sync!$AB1855))</f>
        <v>0</v>
      </c>
      <c r="M1859" t="str">
        <f t="shared" si="173"/>
        <v/>
      </c>
      <c r="N1859">
        <f>IF($G1859="",0,IF($H1859="مرجوعی فروش",-1,1)*IF(Sync!$AC1855="",0,Sync!$AC1855))</f>
        <v>0</v>
      </c>
      <c r="O1859" t="str">
        <f>IF(OR($G1859="",Sync!$V1855=""),"",Sync!$V1855)</f>
        <v/>
      </c>
      <c r="P1859" t="str">
        <f>IF(OR($G1859="",Sync!$AD1855=""),"",Sync!$AD1855)</f>
        <v/>
      </c>
      <c r="Q1859" t="str">
        <f>IF($G1859="","",IF(Sync!$U1855="","0000",IF(AND(ISNUMBER(Sync!$U1855),Sync!$U1855&gt;=0,Sync!$U1855&lt;1),RIGHT("00"&amp;HOUR(Sync!$U1855),2)&amp;RIGHT("00"&amp;MINUTE(Sync!$U1855),2),IFERROR(RIGHT("00"&amp;VALUE(LEFT(Sync!$U1855,FIND(":",Sync!$U1855)-1)),2)&amp;RIGHT("00"&amp;VALUE(MID(Sync!$U1855,FIND(":",Sync!$U1855)+1,2)),2),"0000"))))</f>
        <v/>
      </c>
    </row>
    <row r="1860" spans="1:17" x14ac:dyDescent="0.2">
      <c r="A1860" t="str">
        <f>IF(Sync!$T1856="","",Sync!$T1856)</f>
        <v/>
      </c>
      <c r="B1860" t="str">
        <f t="shared" si="168"/>
        <v/>
      </c>
      <c r="C1860" t="str">
        <f t="shared" si="169"/>
        <v/>
      </c>
      <c r="D1860" t="str">
        <f t="shared" si="170"/>
        <v/>
      </c>
      <c r="E1860" t="str">
        <f t="shared" si="171"/>
        <v/>
      </c>
      <c r="F1860" t="str">
        <f t="shared" si="172"/>
        <v/>
      </c>
      <c r="G1860" t="str">
        <f>IF(OR($E1860="",$E1860="نامعتبر",Sync!$X1856=""),"",IF(AND(LEFT(UPPER(TRIM(Sync!$X1856)),2)="SL",IFERROR(VLOOKUP(Sync!$W1856,OpTbl,3,0),"")="فروش"),UPPER(TRIM(Sync!$X1856)),""))</f>
        <v/>
      </c>
      <c r="H1860" t="str">
        <f>IF($G1860="","",IF(Sync!$W1856="","",Sync!$W1856))</f>
        <v/>
      </c>
      <c r="I1860" t="str">
        <f>IF(OR($G1860="",Sync!$Y1856=""),"",Sync!$Y1856)</f>
        <v/>
      </c>
      <c r="J1860" t="str">
        <f>IF(OR($G1860="",Sync!$Z1856=""),"",Sync!$Z1856)</f>
        <v/>
      </c>
      <c r="K1860">
        <f>IF($G1860="",0,IF(Sync!$AA1856="",0,Sync!$AA1856))</f>
        <v>0</v>
      </c>
      <c r="L1860">
        <f>IF($G1860="",0,IF(Sync!$AB1856="",0,Sync!$AB1856))</f>
        <v>0</v>
      </c>
      <c r="M1860" t="str">
        <f t="shared" si="173"/>
        <v/>
      </c>
      <c r="N1860">
        <f>IF($G1860="",0,IF($H1860="مرجوعی فروش",-1,1)*IF(Sync!$AC1856="",0,Sync!$AC1856))</f>
        <v>0</v>
      </c>
      <c r="O1860" t="str">
        <f>IF(OR($G1860="",Sync!$V1856=""),"",Sync!$V1856)</f>
        <v/>
      </c>
      <c r="P1860" t="str">
        <f>IF(OR($G1860="",Sync!$AD1856=""),"",Sync!$AD1856)</f>
        <v/>
      </c>
      <c r="Q1860" t="str">
        <f>IF($G1860="","",IF(Sync!$U1856="","0000",IF(AND(ISNUMBER(Sync!$U1856),Sync!$U1856&gt;=0,Sync!$U1856&lt;1),RIGHT("00"&amp;HOUR(Sync!$U1856),2)&amp;RIGHT("00"&amp;MINUTE(Sync!$U1856),2),IFERROR(RIGHT("00"&amp;VALUE(LEFT(Sync!$U1856,FIND(":",Sync!$U1856)-1)),2)&amp;RIGHT("00"&amp;VALUE(MID(Sync!$U1856,FIND(":",Sync!$U1856)+1,2)),2),"0000"))))</f>
        <v/>
      </c>
    </row>
    <row r="1861" spans="1:17" x14ac:dyDescent="0.2">
      <c r="A1861" t="str">
        <f>IF(Sync!$T1857="","",Sync!$T1857)</f>
        <v/>
      </c>
      <c r="B1861" t="str">
        <f t="shared" si="168"/>
        <v/>
      </c>
      <c r="C1861" t="str">
        <f t="shared" si="169"/>
        <v/>
      </c>
      <c r="D1861" t="str">
        <f t="shared" si="170"/>
        <v/>
      </c>
      <c r="E1861" t="str">
        <f t="shared" si="171"/>
        <v/>
      </c>
      <c r="F1861" t="str">
        <f t="shared" si="172"/>
        <v/>
      </c>
      <c r="G1861" t="str">
        <f>IF(OR($E1861="",$E1861="نامعتبر",Sync!$X1857=""),"",IF(AND(LEFT(UPPER(TRIM(Sync!$X1857)),2)="SL",IFERROR(VLOOKUP(Sync!$W1857,OpTbl,3,0),"")="فروش"),UPPER(TRIM(Sync!$X1857)),""))</f>
        <v/>
      </c>
      <c r="H1861" t="str">
        <f>IF($G1861="","",IF(Sync!$W1857="","",Sync!$W1857))</f>
        <v/>
      </c>
      <c r="I1861" t="str">
        <f>IF(OR($G1861="",Sync!$Y1857=""),"",Sync!$Y1857)</f>
        <v/>
      </c>
      <c r="J1861" t="str">
        <f>IF(OR($G1861="",Sync!$Z1857=""),"",Sync!$Z1857)</f>
        <v/>
      </c>
      <c r="K1861">
        <f>IF($G1861="",0,IF(Sync!$AA1857="",0,Sync!$AA1857))</f>
        <v>0</v>
      </c>
      <c r="L1861">
        <f>IF($G1861="",0,IF(Sync!$AB1857="",0,Sync!$AB1857))</f>
        <v>0</v>
      </c>
      <c r="M1861" t="str">
        <f t="shared" si="173"/>
        <v/>
      </c>
      <c r="N1861">
        <f>IF($G1861="",0,IF($H1861="مرجوعی فروش",-1,1)*IF(Sync!$AC1857="",0,Sync!$AC1857))</f>
        <v>0</v>
      </c>
      <c r="O1861" t="str">
        <f>IF(OR($G1861="",Sync!$V1857=""),"",Sync!$V1857)</f>
        <v/>
      </c>
      <c r="P1861" t="str">
        <f>IF(OR($G1861="",Sync!$AD1857=""),"",Sync!$AD1857)</f>
        <v/>
      </c>
      <c r="Q1861" t="str">
        <f>IF($G1861="","",IF(Sync!$U1857="","0000",IF(AND(ISNUMBER(Sync!$U1857),Sync!$U1857&gt;=0,Sync!$U1857&lt;1),RIGHT("00"&amp;HOUR(Sync!$U1857),2)&amp;RIGHT("00"&amp;MINUTE(Sync!$U1857),2),IFERROR(RIGHT("00"&amp;VALUE(LEFT(Sync!$U1857,FIND(":",Sync!$U1857)-1)),2)&amp;RIGHT("00"&amp;VALUE(MID(Sync!$U1857,FIND(":",Sync!$U1857)+1,2)),2),"0000"))))</f>
        <v/>
      </c>
    </row>
    <row r="1862" spans="1:17" x14ac:dyDescent="0.2">
      <c r="A1862" t="str">
        <f>IF(Sync!$T1858="","",Sync!$T1858)</f>
        <v/>
      </c>
      <c r="B1862" t="str">
        <f t="shared" si="168"/>
        <v/>
      </c>
      <c r="C1862" t="str">
        <f t="shared" si="169"/>
        <v/>
      </c>
      <c r="D1862" t="str">
        <f t="shared" si="170"/>
        <v/>
      </c>
      <c r="E1862" t="str">
        <f t="shared" si="171"/>
        <v/>
      </c>
      <c r="F1862" t="str">
        <f t="shared" si="172"/>
        <v/>
      </c>
      <c r="G1862" t="str">
        <f>IF(OR($E1862="",$E1862="نامعتبر",Sync!$X1858=""),"",IF(AND(LEFT(UPPER(TRIM(Sync!$X1858)),2)="SL",IFERROR(VLOOKUP(Sync!$W1858,OpTbl,3,0),"")="فروش"),UPPER(TRIM(Sync!$X1858)),""))</f>
        <v/>
      </c>
      <c r="H1862" t="str">
        <f>IF($G1862="","",IF(Sync!$W1858="","",Sync!$W1858))</f>
        <v/>
      </c>
      <c r="I1862" t="str">
        <f>IF(OR($G1862="",Sync!$Y1858=""),"",Sync!$Y1858)</f>
        <v/>
      </c>
      <c r="J1862" t="str">
        <f>IF(OR($G1862="",Sync!$Z1858=""),"",Sync!$Z1858)</f>
        <v/>
      </c>
      <c r="K1862">
        <f>IF($G1862="",0,IF(Sync!$AA1858="",0,Sync!$AA1858))</f>
        <v>0</v>
      </c>
      <c r="L1862">
        <f>IF($G1862="",0,IF(Sync!$AB1858="",0,Sync!$AB1858))</f>
        <v>0</v>
      </c>
      <c r="M1862" t="str">
        <f t="shared" si="173"/>
        <v/>
      </c>
      <c r="N1862">
        <f>IF($G1862="",0,IF($H1862="مرجوعی فروش",-1,1)*IF(Sync!$AC1858="",0,Sync!$AC1858))</f>
        <v>0</v>
      </c>
      <c r="O1862" t="str">
        <f>IF(OR($G1862="",Sync!$V1858=""),"",Sync!$V1858)</f>
        <v/>
      </c>
      <c r="P1862" t="str">
        <f>IF(OR($G1862="",Sync!$AD1858=""),"",Sync!$AD1858)</f>
        <v/>
      </c>
      <c r="Q1862" t="str">
        <f>IF($G1862="","",IF(Sync!$U1858="","0000",IF(AND(ISNUMBER(Sync!$U1858),Sync!$U1858&gt;=0,Sync!$U1858&lt;1),RIGHT("00"&amp;HOUR(Sync!$U1858),2)&amp;RIGHT("00"&amp;MINUTE(Sync!$U1858),2),IFERROR(RIGHT("00"&amp;VALUE(LEFT(Sync!$U1858,FIND(":",Sync!$U1858)-1)),2)&amp;RIGHT("00"&amp;VALUE(MID(Sync!$U1858,FIND(":",Sync!$U1858)+1,2)),2),"0000"))))</f>
        <v/>
      </c>
    </row>
    <row r="1863" spans="1:17" x14ac:dyDescent="0.2">
      <c r="A1863" t="str">
        <f>IF(Sync!$T1859="","",Sync!$T1859)</f>
        <v/>
      </c>
      <c r="B1863" t="str">
        <f t="shared" si="168"/>
        <v/>
      </c>
      <c r="C1863" t="str">
        <f t="shared" si="169"/>
        <v/>
      </c>
      <c r="D1863" t="str">
        <f t="shared" si="170"/>
        <v/>
      </c>
      <c r="E1863" t="str">
        <f t="shared" si="171"/>
        <v/>
      </c>
      <c r="F1863" t="str">
        <f t="shared" si="172"/>
        <v/>
      </c>
      <c r="G1863" t="str">
        <f>IF(OR($E1863="",$E1863="نامعتبر",Sync!$X1859=""),"",IF(AND(LEFT(UPPER(TRIM(Sync!$X1859)),2)="SL",IFERROR(VLOOKUP(Sync!$W1859,OpTbl,3,0),"")="فروش"),UPPER(TRIM(Sync!$X1859)),""))</f>
        <v/>
      </c>
      <c r="H1863" t="str">
        <f>IF($G1863="","",IF(Sync!$W1859="","",Sync!$W1859))</f>
        <v/>
      </c>
      <c r="I1863" t="str">
        <f>IF(OR($G1863="",Sync!$Y1859=""),"",Sync!$Y1859)</f>
        <v/>
      </c>
      <c r="J1863" t="str">
        <f>IF(OR($G1863="",Sync!$Z1859=""),"",Sync!$Z1859)</f>
        <v/>
      </c>
      <c r="K1863">
        <f>IF($G1863="",0,IF(Sync!$AA1859="",0,Sync!$AA1859))</f>
        <v>0</v>
      </c>
      <c r="L1863">
        <f>IF($G1863="",0,IF(Sync!$AB1859="",0,Sync!$AB1859))</f>
        <v>0</v>
      </c>
      <c r="M1863" t="str">
        <f t="shared" si="173"/>
        <v/>
      </c>
      <c r="N1863">
        <f>IF($G1863="",0,IF($H1863="مرجوعی فروش",-1,1)*IF(Sync!$AC1859="",0,Sync!$AC1859))</f>
        <v>0</v>
      </c>
      <c r="O1863" t="str">
        <f>IF(OR($G1863="",Sync!$V1859=""),"",Sync!$V1859)</f>
        <v/>
      </c>
      <c r="P1863" t="str">
        <f>IF(OR($G1863="",Sync!$AD1859=""),"",Sync!$AD1859)</f>
        <v/>
      </c>
      <c r="Q1863" t="str">
        <f>IF($G1863="","",IF(Sync!$U1859="","0000",IF(AND(ISNUMBER(Sync!$U1859),Sync!$U1859&gt;=0,Sync!$U1859&lt;1),RIGHT("00"&amp;HOUR(Sync!$U1859),2)&amp;RIGHT("00"&amp;MINUTE(Sync!$U1859),2),IFERROR(RIGHT("00"&amp;VALUE(LEFT(Sync!$U1859,FIND(":",Sync!$U1859)-1)),2)&amp;RIGHT("00"&amp;VALUE(MID(Sync!$U1859,FIND(":",Sync!$U1859)+1,2)),2),"0000"))))</f>
        <v/>
      </c>
    </row>
    <row r="1864" spans="1:17" x14ac:dyDescent="0.2">
      <c r="A1864" t="str">
        <f>IF(Sync!$T1860="","",Sync!$T1860)</f>
        <v/>
      </c>
      <c r="B1864" t="str">
        <f t="shared" si="168"/>
        <v/>
      </c>
      <c r="C1864" t="str">
        <f t="shared" si="169"/>
        <v/>
      </c>
      <c r="D1864" t="str">
        <f t="shared" si="170"/>
        <v/>
      </c>
      <c r="E1864" t="str">
        <f t="shared" si="171"/>
        <v/>
      </c>
      <c r="F1864" t="str">
        <f t="shared" si="172"/>
        <v/>
      </c>
      <c r="G1864" t="str">
        <f>IF(OR($E1864="",$E1864="نامعتبر",Sync!$X1860=""),"",IF(AND(LEFT(UPPER(TRIM(Sync!$X1860)),2)="SL",IFERROR(VLOOKUP(Sync!$W1860,OpTbl,3,0),"")="فروش"),UPPER(TRIM(Sync!$X1860)),""))</f>
        <v/>
      </c>
      <c r="H1864" t="str">
        <f>IF($G1864="","",IF(Sync!$W1860="","",Sync!$W1860))</f>
        <v/>
      </c>
      <c r="I1864" t="str">
        <f>IF(OR($G1864="",Sync!$Y1860=""),"",Sync!$Y1860)</f>
        <v/>
      </c>
      <c r="J1864" t="str">
        <f>IF(OR($G1864="",Sync!$Z1860=""),"",Sync!$Z1860)</f>
        <v/>
      </c>
      <c r="K1864">
        <f>IF($G1864="",0,IF(Sync!$AA1860="",0,Sync!$AA1860))</f>
        <v>0</v>
      </c>
      <c r="L1864">
        <f>IF($G1864="",0,IF(Sync!$AB1860="",0,Sync!$AB1860))</f>
        <v>0</v>
      </c>
      <c r="M1864" t="str">
        <f t="shared" si="173"/>
        <v/>
      </c>
      <c r="N1864">
        <f>IF($G1864="",0,IF($H1864="مرجوعی فروش",-1,1)*IF(Sync!$AC1860="",0,Sync!$AC1860))</f>
        <v>0</v>
      </c>
      <c r="O1864" t="str">
        <f>IF(OR($G1864="",Sync!$V1860=""),"",Sync!$V1860)</f>
        <v/>
      </c>
      <c r="P1864" t="str">
        <f>IF(OR($G1864="",Sync!$AD1860=""),"",Sync!$AD1860)</f>
        <v/>
      </c>
      <c r="Q1864" t="str">
        <f>IF($G1864="","",IF(Sync!$U1860="","0000",IF(AND(ISNUMBER(Sync!$U1860),Sync!$U1860&gt;=0,Sync!$U1860&lt;1),RIGHT("00"&amp;HOUR(Sync!$U1860),2)&amp;RIGHT("00"&amp;MINUTE(Sync!$U1860),2),IFERROR(RIGHT("00"&amp;VALUE(LEFT(Sync!$U1860,FIND(":",Sync!$U1860)-1)),2)&amp;RIGHT("00"&amp;VALUE(MID(Sync!$U1860,FIND(":",Sync!$U1860)+1,2)),2),"0000"))))</f>
        <v/>
      </c>
    </row>
    <row r="1865" spans="1:17" x14ac:dyDescent="0.2">
      <c r="A1865" t="str">
        <f>IF(Sync!$T1861="","",Sync!$T1861)</f>
        <v/>
      </c>
      <c r="B1865" t="str">
        <f t="shared" si="168"/>
        <v/>
      </c>
      <c r="C1865" t="str">
        <f t="shared" si="169"/>
        <v/>
      </c>
      <c r="D1865" t="str">
        <f t="shared" si="170"/>
        <v/>
      </c>
      <c r="E1865" t="str">
        <f t="shared" si="171"/>
        <v/>
      </c>
      <c r="F1865" t="str">
        <f t="shared" si="172"/>
        <v/>
      </c>
      <c r="G1865" t="str">
        <f>IF(OR($E1865="",$E1865="نامعتبر",Sync!$X1861=""),"",IF(AND(LEFT(UPPER(TRIM(Sync!$X1861)),2)="SL",IFERROR(VLOOKUP(Sync!$W1861,OpTbl,3,0),"")="فروش"),UPPER(TRIM(Sync!$X1861)),""))</f>
        <v/>
      </c>
      <c r="H1865" t="str">
        <f>IF($G1865="","",IF(Sync!$W1861="","",Sync!$W1861))</f>
        <v/>
      </c>
      <c r="I1865" t="str">
        <f>IF(OR($G1865="",Sync!$Y1861=""),"",Sync!$Y1861)</f>
        <v/>
      </c>
      <c r="J1865" t="str">
        <f>IF(OR($G1865="",Sync!$Z1861=""),"",Sync!$Z1861)</f>
        <v/>
      </c>
      <c r="K1865">
        <f>IF($G1865="",0,IF(Sync!$AA1861="",0,Sync!$AA1861))</f>
        <v>0</v>
      </c>
      <c r="L1865">
        <f>IF($G1865="",0,IF(Sync!$AB1861="",0,Sync!$AB1861))</f>
        <v>0</v>
      </c>
      <c r="M1865" t="str">
        <f t="shared" si="173"/>
        <v/>
      </c>
      <c r="N1865">
        <f>IF($G1865="",0,IF($H1865="مرجوعی فروش",-1,1)*IF(Sync!$AC1861="",0,Sync!$AC1861))</f>
        <v>0</v>
      </c>
      <c r="O1865" t="str">
        <f>IF(OR($G1865="",Sync!$V1861=""),"",Sync!$V1861)</f>
        <v/>
      </c>
      <c r="P1865" t="str">
        <f>IF(OR($G1865="",Sync!$AD1861=""),"",Sync!$AD1861)</f>
        <v/>
      </c>
      <c r="Q1865" t="str">
        <f>IF($G1865="","",IF(Sync!$U1861="","0000",IF(AND(ISNUMBER(Sync!$U1861),Sync!$U1861&gt;=0,Sync!$U1861&lt;1),RIGHT("00"&amp;HOUR(Sync!$U1861),2)&amp;RIGHT("00"&amp;MINUTE(Sync!$U1861),2),IFERROR(RIGHT("00"&amp;VALUE(LEFT(Sync!$U1861,FIND(":",Sync!$U1861)-1)),2)&amp;RIGHT("00"&amp;VALUE(MID(Sync!$U1861,FIND(":",Sync!$U1861)+1,2)),2),"0000"))))</f>
        <v/>
      </c>
    </row>
    <row r="1866" spans="1:17" x14ac:dyDescent="0.2">
      <c r="A1866" t="str">
        <f>IF(Sync!$T1862="","",Sync!$T1862)</f>
        <v/>
      </c>
      <c r="B1866" t="str">
        <f t="shared" ref="B1866:B1929" si="174">IF($A1866="","",IF(ISNUMBER($A1866),IF(AND($A1866&gt;=10000101,$A1866&lt;=99991231),INT($A1866/10000),""),IFERROR(VALUE(TRIM(LEFT($A1866,FIND("/",$A1866)-1))),"")))</f>
        <v/>
      </c>
      <c r="C1866" t="str">
        <f t="shared" ref="C1866:C1929" si="175">IF(OR($A1866="",$B1866=""),"",IF(ISNUMBER($A1866),INT(MOD($A1866,10000)/100),IFERROR(VALUE(TRIM(LEFT(MID($A1866,FIND("/",$A1866)+1,20),FIND("/",MID($A1866,FIND("/",$A1866)+1,20))-1))),"")))</f>
        <v/>
      </c>
      <c r="D1866" t="str">
        <f t="shared" ref="D1866:D1929" si="176">IF(OR($A1866="",$B1866=""),"",IF(ISNUMBER($A1866),MOD($A1866,100),IFERROR(VALUE(TRIM(MID(MID($A1866,FIND("/",$A1866)+1,20),FIND("/",MID($A1866,FIND("/",$A1866)+1,20))+1,20))),"")))</f>
        <v/>
      </c>
      <c r="E1866" t="str">
        <f t="shared" ref="E1866:E1929" si="177">IF($A1866="","",IF(OR($B1866="",$C1866="",$D1866="",$B1866&lt;1300,$B1866&gt;1500,$C1866&lt;1,$C1866&gt;12,$D1866&lt;1,$D1866&gt;31),"نامعتبر",RIGHT("0000"&amp;$B1866,4)&amp;"/"&amp;RIGHT("00"&amp;$C1866,2)&amp;"/"&amp;RIGHT("00"&amp;$D1866,2)))</f>
        <v/>
      </c>
      <c r="F1866" t="str">
        <f t="shared" ref="F1866:F1929" si="178">IF(OR($E1866="",$E1866="نامعتبر"),"",LEFT($E1866,4)&amp;"/"&amp;MID($E1866,6,2))</f>
        <v/>
      </c>
      <c r="G1866" t="str">
        <f>IF(OR($E1866="",$E1866="نامعتبر",Sync!$X1862=""),"",IF(AND(LEFT(UPPER(TRIM(Sync!$X1862)),2)="SL",IFERROR(VLOOKUP(Sync!$W1862,OpTbl,3,0),"")="فروش"),UPPER(TRIM(Sync!$X1862)),""))</f>
        <v/>
      </c>
      <c r="H1866" t="str">
        <f>IF($G1866="","",IF(Sync!$W1862="","",Sync!$W1862))</f>
        <v/>
      </c>
      <c r="I1866" t="str">
        <f>IF(OR($G1866="",Sync!$Y1862=""),"",Sync!$Y1862)</f>
        <v/>
      </c>
      <c r="J1866" t="str">
        <f>IF(OR($G1866="",Sync!$Z1862=""),"",Sync!$Z1862)</f>
        <v/>
      </c>
      <c r="K1866">
        <f>IF($G1866="",0,IF(Sync!$AA1862="",0,Sync!$AA1862))</f>
        <v>0</v>
      </c>
      <c r="L1866">
        <f>IF($G1866="",0,IF(Sync!$AB1862="",0,Sync!$AB1862))</f>
        <v>0</v>
      </c>
      <c r="M1866" t="str">
        <f t="shared" ref="M1866:M1929" si="179">IF($G1866="","",IF($H1866="مرجوعی فروش",-1,1)*($K1866-$L1866*IFERROR(VLOOKUP("P01",ParamTbl,3,0),1.5)))</f>
        <v/>
      </c>
      <c r="N1866">
        <f>IF($G1866="",0,IF($H1866="مرجوعی فروش",-1,1)*IF(Sync!$AC1862="",0,Sync!$AC1862))</f>
        <v>0</v>
      </c>
      <c r="O1866" t="str">
        <f>IF(OR($G1866="",Sync!$V1862=""),"",Sync!$V1862)</f>
        <v/>
      </c>
      <c r="P1866" t="str">
        <f>IF(OR($G1866="",Sync!$AD1862=""),"",Sync!$AD1862)</f>
        <v/>
      </c>
      <c r="Q1866" t="str">
        <f>IF($G1866="","",IF(Sync!$U1862="","0000",IF(AND(ISNUMBER(Sync!$U1862),Sync!$U1862&gt;=0,Sync!$U1862&lt;1),RIGHT("00"&amp;HOUR(Sync!$U1862),2)&amp;RIGHT("00"&amp;MINUTE(Sync!$U1862),2),IFERROR(RIGHT("00"&amp;VALUE(LEFT(Sync!$U1862,FIND(":",Sync!$U1862)-1)),2)&amp;RIGHT("00"&amp;VALUE(MID(Sync!$U1862,FIND(":",Sync!$U1862)+1,2)),2),"0000"))))</f>
        <v/>
      </c>
    </row>
    <row r="1867" spans="1:17" x14ac:dyDescent="0.2">
      <c r="A1867" t="str">
        <f>IF(Sync!$T1863="","",Sync!$T1863)</f>
        <v/>
      </c>
      <c r="B1867" t="str">
        <f t="shared" si="174"/>
        <v/>
      </c>
      <c r="C1867" t="str">
        <f t="shared" si="175"/>
        <v/>
      </c>
      <c r="D1867" t="str">
        <f t="shared" si="176"/>
        <v/>
      </c>
      <c r="E1867" t="str">
        <f t="shared" si="177"/>
        <v/>
      </c>
      <c r="F1867" t="str">
        <f t="shared" si="178"/>
        <v/>
      </c>
      <c r="G1867" t="str">
        <f>IF(OR($E1867="",$E1867="نامعتبر",Sync!$X1863=""),"",IF(AND(LEFT(UPPER(TRIM(Sync!$X1863)),2)="SL",IFERROR(VLOOKUP(Sync!$W1863,OpTbl,3,0),"")="فروش"),UPPER(TRIM(Sync!$X1863)),""))</f>
        <v/>
      </c>
      <c r="H1867" t="str">
        <f>IF($G1867="","",IF(Sync!$W1863="","",Sync!$W1863))</f>
        <v/>
      </c>
      <c r="I1867" t="str">
        <f>IF(OR($G1867="",Sync!$Y1863=""),"",Sync!$Y1863)</f>
        <v/>
      </c>
      <c r="J1867" t="str">
        <f>IF(OR($G1867="",Sync!$Z1863=""),"",Sync!$Z1863)</f>
        <v/>
      </c>
      <c r="K1867">
        <f>IF($G1867="",0,IF(Sync!$AA1863="",0,Sync!$AA1863))</f>
        <v>0</v>
      </c>
      <c r="L1867">
        <f>IF($G1867="",0,IF(Sync!$AB1863="",0,Sync!$AB1863))</f>
        <v>0</v>
      </c>
      <c r="M1867" t="str">
        <f t="shared" si="179"/>
        <v/>
      </c>
      <c r="N1867">
        <f>IF($G1867="",0,IF($H1867="مرجوعی فروش",-1,1)*IF(Sync!$AC1863="",0,Sync!$AC1863))</f>
        <v>0</v>
      </c>
      <c r="O1867" t="str">
        <f>IF(OR($G1867="",Sync!$V1863=""),"",Sync!$V1863)</f>
        <v/>
      </c>
      <c r="P1867" t="str">
        <f>IF(OR($G1867="",Sync!$AD1863=""),"",Sync!$AD1863)</f>
        <v/>
      </c>
      <c r="Q1867" t="str">
        <f>IF($G1867="","",IF(Sync!$U1863="","0000",IF(AND(ISNUMBER(Sync!$U1863),Sync!$U1863&gt;=0,Sync!$U1863&lt;1),RIGHT("00"&amp;HOUR(Sync!$U1863),2)&amp;RIGHT("00"&amp;MINUTE(Sync!$U1863),2),IFERROR(RIGHT("00"&amp;VALUE(LEFT(Sync!$U1863,FIND(":",Sync!$U1863)-1)),2)&amp;RIGHT("00"&amp;VALUE(MID(Sync!$U1863,FIND(":",Sync!$U1863)+1,2)),2),"0000"))))</f>
        <v/>
      </c>
    </row>
    <row r="1868" spans="1:17" x14ac:dyDescent="0.2">
      <c r="A1868" t="str">
        <f>IF(Sync!$T1864="","",Sync!$T1864)</f>
        <v/>
      </c>
      <c r="B1868" t="str">
        <f t="shared" si="174"/>
        <v/>
      </c>
      <c r="C1868" t="str">
        <f t="shared" si="175"/>
        <v/>
      </c>
      <c r="D1868" t="str">
        <f t="shared" si="176"/>
        <v/>
      </c>
      <c r="E1868" t="str">
        <f t="shared" si="177"/>
        <v/>
      </c>
      <c r="F1868" t="str">
        <f t="shared" si="178"/>
        <v/>
      </c>
      <c r="G1868" t="str">
        <f>IF(OR($E1868="",$E1868="نامعتبر",Sync!$X1864=""),"",IF(AND(LEFT(UPPER(TRIM(Sync!$X1864)),2)="SL",IFERROR(VLOOKUP(Sync!$W1864,OpTbl,3,0),"")="فروش"),UPPER(TRIM(Sync!$X1864)),""))</f>
        <v/>
      </c>
      <c r="H1868" t="str">
        <f>IF($G1868="","",IF(Sync!$W1864="","",Sync!$W1864))</f>
        <v/>
      </c>
      <c r="I1868" t="str">
        <f>IF(OR($G1868="",Sync!$Y1864=""),"",Sync!$Y1864)</f>
        <v/>
      </c>
      <c r="J1868" t="str">
        <f>IF(OR($G1868="",Sync!$Z1864=""),"",Sync!$Z1864)</f>
        <v/>
      </c>
      <c r="K1868">
        <f>IF($G1868="",0,IF(Sync!$AA1864="",0,Sync!$AA1864))</f>
        <v>0</v>
      </c>
      <c r="L1868">
        <f>IF($G1868="",0,IF(Sync!$AB1864="",0,Sync!$AB1864))</f>
        <v>0</v>
      </c>
      <c r="M1868" t="str">
        <f t="shared" si="179"/>
        <v/>
      </c>
      <c r="N1868">
        <f>IF($G1868="",0,IF($H1868="مرجوعی فروش",-1,1)*IF(Sync!$AC1864="",0,Sync!$AC1864))</f>
        <v>0</v>
      </c>
      <c r="O1868" t="str">
        <f>IF(OR($G1868="",Sync!$V1864=""),"",Sync!$V1864)</f>
        <v/>
      </c>
      <c r="P1868" t="str">
        <f>IF(OR($G1868="",Sync!$AD1864=""),"",Sync!$AD1864)</f>
        <v/>
      </c>
      <c r="Q1868" t="str">
        <f>IF($G1868="","",IF(Sync!$U1864="","0000",IF(AND(ISNUMBER(Sync!$U1864),Sync!$U1864&gt;=0,Sync!$U1864&lt;1),RIGHT("00"&amp;HOUR(Sync!$U1864),2)&amp;RIGHT("00"&amp;MINUTE(Sync!$U1864),2),IFERROR(RIGHT("00"&amp;VALUE(LEFT(Sync!$U1864,FIND(":",Sync!$U1864)-1)),2)&amp;RIGHT("00"&amp;VALUE(MID(Sync!$U1864,FIND(":",Sync!$U1864)+1,2)),2),"0000"))))</f>
        <v/>
      </c>
    </row>
    <row r="1869" spans="1:17" x14ac:dyDescent="0.2">
      <c r="A1869" t="str">
        <f>IF(Sync!$T1865="","",Sync!$T1865)</f>
        <v/>
      </c>
      <c r="B1869" t="str">
        <f t="shared" si="174"/>
        <v/>
      </c>
      <c r="C1869" t="str">
        <f t="shared" si="175"/>
        <v/>
      </c>
      <c r="D1869" t="str">
        <f t="shared" si="176"/>
        <v/>
      </c>
      <c r="E1869" t="str">
        <f t="shared" si="177"/>
        <v/>
      </c>
      <c r="F1869" t="str">
        <f t="shared" si="178"/>
        <v/>
      </c>
      <c r="G1869" t="str">
        <f>IF(OR($E1869="",$E1869="نامعتبر",Sync!$X1865=""),"",IF(AND(LEFT(UPPER(TRIM(Sync!$X1865)),2)="SL",IFERROR(VLOOKUP(Sync!$W1865,OpTbl,3,0),"")="فروش"),UPPER(TRIM(Sync!$X1865)),""))</f>
        <v/>
      </c>
      <c r="H1869" t="str">
        <f>IF($G1869="","",IF(Sync!$W1865="","",Sync!$W1865))</f>
        <v/>
      </c>
      <c r="I1869" t="str">
        <f>IF(OR($G1869="",Sync!$Y1865=""),"",Sync!$Y1865)</f>
        <v/>
      </c>
      <c r="J1869" t="str">
        <f>IF(OR($G1869="",Sync!$Z1865=""),"",Sync!$Z1865)</f>
        <v/>
      </c>
      <c r="K1869">
        <f>IF($G1869="",0,IF(Sync!$AA1865="",0,Sync!$AA1865))</f>
        <v>0</v>
      </c>
      <c r="L1869">
        <f>IF($G1869="",0,IF(Sync!$AB1865="",0,Sync!$AB1865))</f>
        <v>0</v>
      </c>
      <c r="M1869" t="str">
        <f t="shared" si="179"/>
        <v/>
      </c>
      <c r="N1869">
        <f>IF($G1869="",0,IF($H1869="مرجوعی فروش",-1,1)*IF(Sync!$AC1865="",0,Sync!$AC1865))</f>
        <v>0</v>
      </c>
      <c r="O1869" t="str">
        <f>IF(OR($G1869="",Sync!$V1865=""),"",Sync!$V1865)</f>
        <v/>
      </c>
      <c r="P1869" t="str">
        <f>IF(OR($G1869="",Sync!$AD1865=""),"",Sync!$AD1865)</f>
        <v/>
      </c>
      <c r="Q1869" t="str">
        <f>IF($G1869="","",IF(Sync!$U1865="","0000",IF(AND(ISNUMBER(Sync!$U1865),Sync!$U1865&gt;=0,Sync!$U1865&lt;1),RIGHT("00"&amp;HOUR(Sync!$U1865),2)&amp;RIGHT("00"&amp;MINUTE(Sync!$U1865),2),IFERROR(RIGHT("00"&amp;VALUE(LEFT(Sync!$U1865,FIND(":",Sync!$U1865)-1)),2)&amp;RIGHT("00"&amp;VALUE(MID(Sync!$U1865,FIND(":",Sync!$U1865)+1,2)),2),"0000"))))</f>
        <v/>
      </c>
    </row>
    <row r="1870" spans="1:17" x14ac:dyDescent="0.2">
      <c r="A1870" t="str">
        <f>IF(Sync!$T1866="","",Sync!$T1866)</f>
        <v/>
      </c>
      <c r="B1870" t="str">
        <f t="shared" si="174"/>
        <v/>
      </c>
      <c r="C1870" t="str">
        <f t="shared" si="175"/>
        <v/>
      </c>
      <c r="D1870" t="str">
        <f t="shared" si="176"/>
        <v/>
      </c>
      <c r="E1870" t="str">
        <f t="shared" si="177"/>
        <v/>
      </c>
      <c r="F1870" t="str">
        <f t="shared" si="178"/>
        <v/>
      </c>
      <c r="G1870" t="str">
        <f>IF(OR($E1870="",$E1870="نامعتبر",Sync!$X1866=""),"",IF(AND(LEFT(UPPER(TRIM(Sync!$X1866)),2)="SL",IFERROR(VLOOKUP(Sync!$W1866,OpTbl,3,0),"")="فروش"),UPPER(TRIM(Sync!$X1866)),""))</f>
        <v/>
      </c>
      <c r="H1870" t="str">
        <f>IF($G1870="","",IF(Sync!$W1866="","",Sync!$W1866))</f>
        <v/>
      </c>
      <c r="I1870" t="str">
        <f>IF(OR($G1870="",Sync!$Y1866=""),"",Sync!$Y1866)</f>
        <v/>
      </c>
      <c r="J1870" t="str">
        <f>IF(OR($G1870="",Sync!$Z1866=""),"",Sync!$Z1866)</f>
        <v/>
      </c>
      <c r="K1870">
        <f>IF($G1870="",0,IF(Sync!$AA1866="",0,Sync!$AA1866))</f>
        <v>0</v>
      </c>
      <c r="L1870">
        <f>IF($G1870="",0,IF(Sync!$AB1866="",0,Sync!$AB1866))</f>
        <v>0</v>
      </c>
      <c r="M1870" t="str">
        <f t="shared" si="179"/>
        <v/>
      </c>
      <c r="N1870">
        <f>IF($G1870="",0,IF($H1870="مرجوعی فروش",-1,1)*IF(Sync!$AC1866="",0,Sync!$AC1866))</f>
        <v>0</v>
      </c>
      <c r="O1870" t="str">
        <f>IF(OR($G1870="",Sync!$V1866=""),"",Sync!$V1866)</f>
        <v/>
      </c>
      <c r="P1870" t="str">
        <f>IF(OR($G1870="",Sync!$AD1866=""),"",Sync!$AD1866)</f>
        <v/>
      </c>
      <c r="Q1870" t="str">
        <f>IF($G1870="","",IF(Sync!$U1866="","0000",IF(AND(ISNUMBER(Sync!$U1866),Sync!$U1866&gt;=0,Sync!$U1866&lt;1),RIGHT("00"&amp;HOUR(Sync!$U1866),2)&amp;RIGHT("00"&amp;MINUTE(Sync!$U1866),2),IFERROR(RIGHT("00"&amp;VALUE(LEFT(Sync!$U1866,FIND(":",Sync!$U1866)-1)),2)&amp;RIGHT("00"&amp;VALUE(MID(Sync!$U1866,FIND(":",Sync!$U1866)+1,2)),2),"0000"))))</f>
        <v/>
      </c>
    </row>
    <row r="1871" spans="1:17" x14ac:dyDescent="0.2">
      <c r="A1871" t="str">
        <f>IF(Sync!$T1867="","",Sync!$T1867)</f>
        <v/>
      </c>
      <c r="B1871" t="str">
        <f t="shared" si="174"/>
        <v/>
      </c>
      <c r="C1871" t="str">
        <f t="shared" si="175"/>
        <v/>
      </c>
      <c r="D1871" t="str">
        <f t="shared" si="176"/>
        <v/>
      </c>
      <c r="E1871" t="str">
        <f t="shared" si="177"/>
        <v/>
      </c>
      <c r="F1871" t="str">
        <f t="shared" si="178"/>
        <v/>
      </c>
      <c r="G1871" t="str">
        <f>IF(OR($E1871="",$E1871="نامعتبر",Sync!$X1867=""),"",IF(AND(LEFT(UPPER(TRIM(Sync!$X1867)),2)="SL",IFERROR(VLOOKUP(Sync!$W1867,OpTbl,3,0),"")="فروش"),UPPER(TRIM(Sync!$X1867)),""))</f>
        <v/>
      </c>
      <c r="H1871" t="str">
        <f>IF($G1871="","",IF(Sync!$W1867="","",Sync!$W1867))</f>
        <v/>
      </c>
      <c r="I1871" t="str">
        <f>IF(OR($G1871="",Sync!$Y1867=""),"",Sync!$Y1867)</f>
        <v/>
      </c>
      <c r="J1871" t="str">
        <f>IF(OR($G1871="",Sync!$Z1867=""),"",Sync!$Z1867)</f>
        <v/>
      </c>
      <c r="K1871">
        <f>IF($G1871="",0,IF(Sync!$AA1867="",0,Sync!$AA1867))</f>
        <v>0</v>
      </c>
      <c r="L1871">
        <f>IF($G1871="",0,IF(Sync!$AB1867="",0,Sync!$AB1867))</f>
        <v>0</v>
      </c>
      <c r="M1871" t="str">
        <f t="shared" si="179"/>
        <v/>
      </c>
      <c r="N1871">
        <f>IF($G1871="",0,IF($H1871="مرجوعی فروش",-1,1)*IF(Sync!$AC1867="",0,Sync!$AC1867))</f>
        <v>0</v>
      </c>
      <c r="O1871" t="str">
        <f>IF(OR($G1871="",Sync!$V1867=""),"",Sync!$V1867)</f>
        <v/>
      </c>
      <c r="P1871" t="str">
        <f>IF(OR($G1871="",Sync!$AD1867=""),"",Sync!$AD1867)</f>
        <v/>
      </c>
      <c r="Q1871" t="str">
        <f>IF($G1871="","",IF(Sync!$U1867="","0000",IF(AND(ISNUMBER(Sync!$U1867),Sync!$U1867&gt;=0,Sync!$U1867&lt;1),RIGHT("00"&amp;HOUR(Sync!$U1867),2)&amp;RIGHT("00"&amp;MINUTE(Sync!$U1867),2),IFERROR(RIGHT("00"&amp;VALUE(LEFT(Sync!$U1867,FIND(":",Sync!$U1867)-1)),2)&amp;RIGHT("00"&amp;VALUE(MID(Sync!$U1867,FIND(":",Sync!$U1867)+1,2)),2),"0000"))))</f>
        <v/>
      </c>
    </row>
    <row r="1872" spans="1:17" x14ac:dyDescent="0.2">
      <c r="A1872" t="str">
        <f>IF(Sync!$T1868="","",Sync!$T1868)</f>
        <v/>
      </c>
      <c r="B1872" t="str">
        <f t="shared" si="174"/>
        <v/>
      </c>
      <c r="C1872" t="str">
        <f t="shared" si="175"/>
        <v/>
      </c>
      <c r="D1872" t="str">
        <f t="shared" si="176"/>
        <v/>
      </c>
      <c r="E1872" t="str">
        <f t="shared" si="177"/>
        <v/>
      </c>
      <c r="F1872" t="str">
        <f t="shared" si="178"/>
        <v/>
      </c>
      <c r="G1872" t="str">
        <f>IF(OR($E1872="",$E1872="نامعتبر",Sync!$X1868=""),"",IF(AND(LEFT(UPPER(TRIM(Sync!$X1868)),2)="SL",IFERROR(VLOOKUP(Sync!$W1868,OpTbl,3,0),"")="فروش"),UPPER(TRIM(Sync!$X1868)),""))</f>
        <v/>
      </c>
      <c r="H1872" t="str">
        <f>IF($G1872="","",IF(Sync!$W1868="","",Sync!$W1868))</f>
        <v/>
      </c>
      <c r="I1872" t="str">
        <f>IF(OR($G1872="",Sync!$Y1868=""),"",Sync!$Y1868)</f>
        <v/>
      </c>
      <c r="J1872" t="str">
        <f>IF(OR($G1872="",Sync!$Z1868=""),"",Sync!$Z1868)</f>
        <v/>
      </c>
      <c r="K1872">
        <f>IF($G1872="",0,IF(Sync!$AA1868="",0,Sync!$AA1868))</f>
        <v>0</v>
      </c>
      <c r="L1872">
        <f>IF($G1872="",0,IF(Sync!$AB1868="",0,Sync!$AB1868))</f>
        <v>0</v>
      </c>
      <c r="M1872" t="str">
        <f t="shared" si="179"/>
        <v/>
      </c>
      <c r="N1872">
        <f>IF($G1872="",0,IF($H1872="مرجوعی فروش",-1,1)*IF(Sync!$AC1868="",0,Sync!$AC1868))</f>
        <v>0</v>
      </c>
      <c r="O1872" t="str">
        <f>IF(OR($G1872="",Sync!$V1868=""),"",Sync!$V1868)</f>
        <v/>
      </c>
      <c r="P1872" t="str">
        <f>IF(OR($G1872="",Sync!$AD1868=""),"",Sync!$AD1868)</f>
        <v/>
      </c>
      <c r="Q1872" t="str">
        <f>IF($G1872="","",IF(Sync!$U1868="","0000",IF(AND(ISNUMBER(Sync!$U1868),Sync!$U1868&gt;=0,Sync!$U1868&lt;1),RIGHT("00"&amp;HOUR(Sync!$U1868),2)&amp;RIGHT("00"&amp;MINUTE(Sync!$U1868),2),IFERROR(RIGHT("00"&amp;VALUE(LEFT(Sync!$U1868,FIND(":",Sync!$U1868)-1)),2)&amp;RIGHT("00"&amp;VALUE(MID(Sync!$U1868,FIND(":",Sync!$U1868)+1,2)),2),"0000"))))</f>
        <v/>
      </c>
    </row>
    <row r="1873" spans="1:17" x14ac:dyDescent="0.2">
      <c r="A1873" t="str">
        <f>IF(Sync!$T1869="","",Sync!$T1869)</f>
        <v/>
      </c>
      <c r="B1873" t="str">
        <f t="shared" si="174"/>
        <v/>
      </c>
      <c r="C1873" t="str">
        <f t="shared" si="175"/>
        <v/>
      </c>
      <c r="D1873" t="str">
        <f t="shared" si="176"/>
        <v/>
      </c>
      <c r="E1873" t="str">
        <f t="shared" si="177"/>
        <v/>
      </c>
      <c r="F1873" t="str">
        <f t="shared" si="178"/>
        <v/>
      </c>
      <c r="G1873" t="str">
        <f>IF(OR($E1873="",$E1873="نامعتبر",Sync!$X1869=""),"",IF(AND(LEFT(UPPER(TRIM(Sync!$X1869)),2)="SL",IFERROR(VLOOKUP(Sync!$W1869,OpTbl,3,0),"")="فروش"),UPPER(TRIM(Sync!$X1869)),""))</f>
        <v/>
      </c>
      <c r="H1873" t="str">
        <f>IF($G1873="","",IF(Sync!$W1869="","",Sync!$W1869))</f>
        <v/>
      </c>
      <c r="I1873" t="str">
        <f>IF(OR($G1873="",Sync!$Y1869=""),"",Sync!$Y1869)</f>
        <v/>
      </c>
      <c r="J1873" t="str">
        <f>IF(OR($G1873="",Sync!$Z1869=""),"",Sync!$Z1869)</f>
        <v/>
      </c>
      <c r="K1873">
        <f>IF($G1873="",0,IF(Sync!$AA1869="",0,Sync!$AA1869))</f>
        <v>0</v>
      </c>
      <c r="L1873">
        <f>IF($G1873="",0,IF(Sync!$AB1869="",0,Sync!$AB1869))</f>
        <v>0</v>
      </c>
      <c r="M1873" t="str">
        <f t="shared" si="179"/>
        <v/>
      </c>
      <c r="N1873">
        <f>IF($G1873="",0,IF($H1873="مرجوعی فروش",-1,1)*IF(Sync!$AC1869="",0,Sync!$AC1869))</f>
        <v>0</v>
      </c>
      <c r="O1873" t="str">
        <f>IF(OR($G1873="",Sync!$V1869=""),"",Sync!$V1869)</f>
        <v/>
      </c>
      <c r="P1873" t="str">
        <f>IF(OR($G1873="",Sync!$AD1869=""),"",Sync!$AD1869)</f>
        <v/>
      </c>
      <c r="Q1873" t="str">
        <f>IF($G1873="","",IF(Sync!$U1869="","0000",IF(AND(ISNUMBER(Sync!$U1869),Sync!$U1869&gt;=0,Sync!$U1869&lt;1),RIGHT("00"&amp;HOUR(Sync!$U1869),2)&amp;RIGHT("00"&amp;MINUTE(Sync!$U1869),2),IFERROR(RIGHT("00"&amp;VALUE(LEFT(Sync!$U1869,FIND(":",Sync!$U1869)-1)),2)&amp;RIGHT("00"&amp;VALUE(MID(Sync!$U1869,FIND(":",Sync!$U1869)+1,2)),2),"0000"))))</f>
        <v/>
      </c>
    </row>
    <row r="1874" spans="1:17" x14ac:dyDescent="0.2">
      <c r="A1874" t="str">
        <f>IF(Sync!$T1870="","",Sync!$T1870)</f>
        <v/>
      </c>
      <c r="B1874" t="str">
        <f t="shared" si="174"/>
        <v/>
      </c>
      <c r="C1874" t="str">
        <f t="shared" si="175"/>
        <v/>
      </c>
      <c r="D1874" t="str">
        <f t="shared" si="176"/>
        <v/>
      </c>
      <c r="E1874" t="str">
        <f t="shared" si="177"/>
        <v/>
      </c>
      <c r="F1874" t="str">
        <f t="shared" si="178"/>
        <v/>
      </c>
      <c r="G1874" t="str">
        <f>IF(OR($E1874="",$E1874="نامعتبر",Sync!$X1870=""),"",IF(AND(LEFT(UPPER(TRIM(Sync!$X1870)),2)="SL",IFERROR(VLOOKUP(Sync!$W1870,OpTbl,3,0),"")="فروش"),UPPER(TRIM(Sync!$X1870)),""))</f>
        <v/>
      </c>
      <c r="H1874" t="str">
        <f>IF($G1874="","",IF(Sync!$W1870="","",Sync!$W1870))</f>
        <v/>
      </c>
      <c r="I1874" t="str">
        <f>IF(OR($G1874="",Sync!$Y1870=""),"",Sync!$Y1870)</f>
        <v/>
      </c>
      <c r="J1874" t="str">
        <f>IF(OR($G1874="",Sync!$Z1870=""),"",Sync!$Z1870)</f>
        <v/>
      </c>
      <c r="K1874">
        <f>IF($G1874="",0,IF(Sync!$AA1870="",0,Sync!$AA1870))</f>
        <v>0</v>
      </c>
      <c r="L1874">
        <f>IF($G1874="",0,IF(Sync!$AB1870="",0,Sync!$AB1870))</f>
        <v>0</v>
      </c>
      <c r="M1874" t="str">
        <f t="shared" si="179"/>
        <v/>
      </c>
      <c r="N1874">
        <f>IF($G1874="",0,IF($H1874="مرجوعی فروش",-1,1)*IF(Sync!$AC1870="",0,Sync!$AC1870))</f>
        <v>0</v>
      </c>
      <c r="O1874" t="str">
        <f>IF(OR($G1874="",Sync!$V1870=""),"",Sync!$V1870)</f>
        <v/>
      </c>
      <c r="P1874" t="str">
        <f>IF(OR($G1874="",Sync!$AD1870=""),"",Sync!$AD1870)</f>
        <v/>
      </c>
      <c r="Q1874" t="str">
        <f>IF($G1874="","",IF(Sync!$U1870="","0000",IF(AND(ISNUMBER(Sync!$U1870),Sync!$U1870&gt;=0,Sync!$U1870&lt;1),RIGHT("00"&amp;HOUR(Sync!$U1870),2)&amp;RIGHT("00"&amp;MINUTE(Sync!$U1870),2),IFERROR(RIGHT("00"&amp;VALUE(LEFT(Sync!$U1870,FIND(":",Sync!$U1870)-1)),2)&amp;RIGHT("00"&amp;VALUE(MID(Sync!$U1870,FIND(":",Sync!$U1870)+1,2)),2),"0000"))))</f>
        <v/>
      </c>
    </row>
    <row r="1875" spans="1:17" x14ac:dyDescent="0.2">
      <c r="A1875" t="str">
        <f>IF(Sync!$T1871="","",Sync!$T1871)</f>
        <v/>
      </c>
      <c r="B1875" t="str">
        <f t="shared" si="174"/>
        <v/>
      </c>
      <c r="C1875" t="str">
        <f t="shared" si="175"/>
        <v/>
      </c>
      <c r="D1875" t="str">
        <f t="shared" si="176"/>
        <v/>
      </c>
      <c r="E1875" t="str">
        <f t="shared" si="177"/>
        <v/>
      </c>
      <c r="F1875" t="str">
        <f t="shared" si="178"/>
        <v/>
      </c>
      <c r="G1875" t="str">
        <f>IF(OR($E1875="",$E1875="نامعتبر",Sync!$X1871=""),"",IF(AND(LEFT(UPPER(TRIM(Sync!$X1871)),2)="SL",IFERROR(VLOOKUP(Sync!$W1871,OpTbl,3,0),"")="فروش"),UPPER(TRIM(Sync!$X1871)),""))</f>
        <v/>
      </c>
      <c r="H1875" t="str">
        <f>IF($G1875="","",IF(Sync!$W1871="","",Sync!$W1871))</f>
        <v/>
      </c>
      <c r="I1875" t="str">
        <f>IF(OR($G1875="",Sync!$Y1871=""),"",Sync!$Y1871)</f>
        <v/>
      </c>
      <c r="J1875" t="str">
        <f>IF(OR($G1875="",Sync!$Z1871=""),"",Sync!$Z1871)</f>
        <v/>
      </c>
      <c r="K1875">
        <f>IF($G1875="",0,IF(Sync!$AA1871="",0,Sync!$AA1871))</f>
        <v>0</v>
      </c>
      <c r="L1875">
        <f>IF($G1875="",0,IF(Sync!$AB1871="",0,Sync!$AB1871))</f>
        <v>0</v>
      </c>
      <c r="M1875" t="str">
        <f t="shared" si="179"/>
        <v/>
      </c>
      <c r="N1875">
        <f>IF($G1875="",0,IF($H1875="مرجوعی فروش",-1,1)*IF(Sync!$AC1871="",0,Sync!$AC1871))</f>
        <v>0</v>
      </c>
      <c r="O1875" t="str">
        <f>IF(OR($G1875="",Sync!$V1871=""),"",Sync!$V1871)</f>
        <v/>
      </c>
      <c r="P1875" t="str">
        <f>IF(OR($G1875="",Sync!$AD1871=""),"",Sync!$AD1871)</f>
        <v/>
      </c>
      <c r="Q1875" t="str">
        <f>IF($G1875="","",IF(Sync!$U1871="","0000",IF(AND(ISNUMBER(Sync!$U1871),Sync!$U1871&gt;=0,Sync!$U1871&lt;1),RIGHT("00"&amp;HOUR(Sync!$U1871),2)&amp;RIGHT("00"&amp;MINUTE(Sync!$U1871),2),IFERROR(RIGHT("00"&amp;VALUE(LEFT(Sync!$U1871,FIND(":",Sync!$U1871)-1)),2)&amp;RIGHT("00"&amp;VALUE(MID(Sync!$U1871,FIND(":",Sync!$U1871)+1,2)),2),"0000"))))</f>
        <v/>
      </c>
    </row>
    <row r="1876" spans="1:17" x14ac:dyDescent="0.2">
      <c r="A1876" t="str">
        <f>IF(Sync!$T1872="","",Sync!$T1872)</f>
        <v/>
      </c>
      <c r="B1876" t="str">
        <f t="shared" si="174"/>
        <v/>
      </c>
      <c r="C1876" t="str">
        <f t="shared" si="175"/>
        <v/>
      </c>
      <c r="D1876" t="str">
        <f t="shared" si="176"/>
        <v/>
      </c>
      <c r="E1876" t="str">
        <f t="shared" si="177"/>
        <v/>
      </c>
      <c r="F1876" t="str">
        <f t="shared" si="178"/>
        <v/>
      </c>
      <c r="G1876" t="str">
        <f>IF(OR($E1876="",$E1876="نامعتبر",Sync!$X1872=""),"",IF(AND(LEFT(UPPER(TRIM(Sync!$X1872)),2)="SL",IFERROR(VLOOKUP(Sync!$W1872,OpTbl,3,0),"")="فروش"),UPPER(TRIM(Sync!$X1872)),""))</f>
        <v/>
      </c>
      <c r="H1876" t="str">
        <f>IF($G1876="","",IF(Sync!$W1872="","",Sync!$W1872))</f>
        <v/>
      </c>
      <c r="I1876" t="str">
        <f>IF(OR($G1876="",Sync!$Y1872=""),"",Sync!$Y1872)</f>
        <v/>
      </c>
      <c r="J1876" t="str">
        <f>IF(OR($G1876="",Sync!$Z1872=""),"",Sync!$Z1872)</f>
        <v/>
      </c>
      <c r="K1876">
        <f>IF($G1876="",0,IF(Sync!$AA1872="",0,Sync!$AA1872))</f>
        <v>0</v>
      </c>
      <c r="L1876">
        <f>IF($G1876="",0,IF(Sync!$AB1872="",0,Sync!$AB1872))</f>
        <v>0</v>
      </c>
      <c r="M1876" t="str">
        <f t="shared" si="179"/>
        <v/>
      </c>
      <c r="N1876">
        <f>IF($G1876="",0,IF($H1876="مرجوعی فروش",-1,1)*IF(Sync!$AC1872="",0,Sync!$AC1872))</f>
        <v>0</v>
      </c>
      <c r="O1876" t="str">
        <f>IF(OR($G1876="",Sync!$V1872=""),"",Sync!$V1872)</f>
        <v/>
      </c>
      <c r="P1876" t="str">
        <f>IF(OR($G1876="",Sync!$AD1872=""),"",Sync!$AD1872)</f>
        <v/>
      </c>
      <c r="Q1876" t="str">
        <f>IF($G1876="","",IF(Sync!$U1872="","0000",IF(AND(ISNUMBER(Sync!$U1872),Sync!$U1872&gt;=0,Sync!$U1872&lt;1),RIGHT("00"&amp;HOUR(Sync!$U1872),2)&amp;RIGHT("00"&amp;MINUTE(Sync!$U1872),2),IFERROR(RIGHT("00"&amp;VALUE(LEFT(Sync!$U1872,FIND(":",Sync!$U1872)-1)),2)&amp;RIGHT("00"&amp;VALUE(MID(Sync!$U1872,FIND(":",Sync!$U1872)+1,2)),2),"0000"))))</f>
        <v/>
      </c>
    </row>
    <row r="1877" spans="1:17" x14ac:dyDescent="0.2">
      <c r="A1877" t="str">
        <f>IF(Sync!$T1873="","",Sync!$T1873)</f>
        <v/>
      </c>
      <c r="B1877" t="str">
        <f t="shared" si="174"/>
        <v/>
      </c>
      <c r="C1877" t="str">
        <f t="shared" si="175"/>
        <v/>
      </c>
      <c r="D1877" t="str">
        <f t="shared" si="176"/>
        <v/>
      </c>
      <c r="E1877" t="str">
        <f t="shared" si="177"/>
        <v/>
      </c>
      <c r="F1877" t="str">
        <f t="shared" si="178"/>
        <v/>
      </c>
      <c r="G1877" t="str">
        <f>IF(OR($E1877="",$E1877="نامعتبر",Sync!$X1873=""),"",IF(AND(LEFT(UPPER(TRIM(Sync!$X1873)),2)="SL",IFERROR(VLOOKUP(Sync!$W1873,OpTbl,3,0),"")="فروش"),UPPER(TRIM(Sync!$X1873)),""))</f>
        <v/>
      </c>
      <c r="H1877" t="str">
        <f>IF($G1877="","",IF(Sync!$W1873="","",Sync!$W1873))</f>
        <v/>
      </c>
      <c r="I1877" t="str">
        <f>IF(OR($G1877="",Sync!$Y1873=""),"",Sync!$Y1873)</f>
        <v/>
      </c>
      <c r="J1877" t="str">
        <f>IF(OR($G1877="",Sync!$Z1873=""),"",Sync!$Z1873)</f>
        <v/>
      </c>
      <c r="K1877">
        <f>IF($G1877="",0,IF(Sync!$AA1873="",0,Sync!$AA1873))</f>
        <v>0</v>
      </c>
      <c r="L1877">
        <f>IF($G1877="",0,IF(Sync!$AB1873="",0,Sync!$AB1873))</f>
        <v>0</v>
      </c>
      <c r="M1877" t="str">
        <f t="shared" si="179"/>
        <v/>
      </c>
      <c r="N1877">
        <f>IF($G1877="",0,IF($H1877="مرجوعی فروش",-1,1)*IF(Sync!$AC1873="",0,Sync!$AC1873))</f>
        <v>0</v>
      </c>
      <c r="O1877" t="str">
        <f>IF(OR($G1877="",Sync!$V1873=""),"",Sync!$V1873)</f>
        <v/>
      </c>
      <c r="P1877" t="str">
        <f>IF(OR($G1877="",Sync!$AD1873=""),"",Sync!$AD1873)</f>
        <v/>
      </c>
      <c r="Q1877" t="str">
        <f>IF($G1877="","",IF(Sync!$U1873="","0000",IF(AND(ISNUMBER(Sync!$U1873),Sync!$U1873&gt;=0,Sync!$U1873&lt;1),RIGHT("00"&amp;HOUR(Sync!$U1873),2)&amp;RIGHT("00"&amp;MINUTE(Sync!$U1873),2),IFERROR(RIGHT("00"&amp;VALUE(LEFT(Sync!$U1873,FIND(":",Sync!$U1873)-1)),2)&amp;RIGHT("00"&amp;VALUE(MID(Sync!$U1873,FIND(":",Sync!$U1873)+1,2)),2),"0000"))))</f>
        <v/>
      </c>
    </row>
    <row r="1878" spans="1:17" x14ac:dyDescent="0.2">
      <c r="A1878" t="str">
        <f>IF(Sync!$T1874="","",Sync!$T1874)</f>
        <v/>
      </c>
      <c r="B1878" t="str">
        <f t="shared" si="174"/>
        <v/>
      </c>
      <c r="C1878" t="str">
        <f t="shared" si="175"/>
        <v/>
      </c>
      <c r="D1878" t="str">
        <f t="shared" si="176"/>
        <v/>
      </c>
      <c r="E1878" t="str">
        <f t="shared" si="177"/>
        <v/>
      </c>
      <c r="F1878" t="str">
        <f t="shared" si="178"/>
        <v/>
      </c>
      <c r="G1878" t="str">
        <f>IF(OR($E1878="",$E1878="نامعتبر",Sync!$X1874=""),"",IF(AND(LEFT(UPPER(TRIM(Sync!$X1874)),2)="SL",IFERROR(VLOOKUP(Sync!$W1874,OpTbl,3,0),"")="فروش"),UPPER(TRIM(Sync!$X1874)),""))</f>
        <v/>
      </c>
      <c r="H1878" t="str">
        <f>IF($G1878="","",IF(Sync!$W1874="","",Sync!$W1874))</f>
        <v/>
      </c>
      <c r="I1878" t="str">
        <f>IF(OR($G1878="",Sync!$Y1874=""),"",Sync!$Y1874)</f>
        <v/>
      </c>
      <c r="J1878" t="str">
        <f>IF(OR($G1878="",Sync!$Z1874=""),"",Sync!$Z1874)</f>
        <v/>
      </c>
      <c r="K1878">
        <f>IF($G1878="",0,IF(Sync!$AA1874="",0,Sync!$AA1874))</f>
        <v>0</v>
      </c>
      <c r="L1878">
        <f>IF($G1878="",0,IF(Sync!$AB1874="",0,Sync!$AB1874))</f>
        <v>0</v>
      </c>
      <c r="M1878" t="str">
        <f t="shared" si="179"/>
        <v/>
      </c>
      <c r="N1878">
        <f>IF($G1878="",0,IF($H1878="مرجوعی فروش",-1,1)*IF(Sync!$AC1874="",0,Sync!$AC1874))</f>
        <v>0</v>
      </c>
      <c r="O1878" t="str">
        <f>IF(OR($G1878="",Sync!$V1874=""),"",Sync!$V1874)</f>
        <v/>
      </c>
      <c r="P1878" t="str">
        <f>IF(OR($G1878="",Sync!$AD1874=""),"",Sync!$AD1874)</f>
        <v/>
      </c>
      <c r="Q1878" t="str">
        <f>IF($G1878="","",IF(Sync!$U1874="","0000",IF(AND(ISNUMBER(Sync!$U1874),Sync!$U1874&gt;=0,Sync!$U1874&lt;1),RIGHT("00"&amp;HOUR(Sync!$U1874),2)&amp;RIGHT("00"&amp;MINUTE(Sync!$U1874),2),IFERROR(RIGHT("00"&amp;VALUE(LEFT(Sync!$U1874,FIND(":",Sync!$U1874)-1)),2)&amp;RIGHT("00"&amp;VALUE(MID(Sync!$U1874,FIND(":",Sync!$U1874)+1,2)),2),"0000"))))</f>
        <v/>
      </c>
    </row>
    <row r="1879" spans="1:17" x14ac:dyDescent="0.2">
      <c r="A1879" t="str">
        <f>IF(Sync!$T1875="","",Sync!$T1875)</f>
        <v/>
      </c>
      <c r="B1879" t="str">
        <f t="shared" si="174"/>
        <v/>
      </c>
      <c r="C1879" t="str">
        <f t="shared" si="175"/>
        <v/>
      </c>
      <c r="D1879" t="str">
        <f t="shared" si="176"/>
        <v/>
      </c>
      <c r="E1879" t="str">
        <f t="shared" si="177"/>
        <v/>
      </c>
      <c r="F1879" t="str">
        <f t="shared" si="178"/>
        <v/>
      </c>
      <c r="G1879" t="str">
        <f>IF(OR($E1879="",$E1879="نامعتبر",Sync!$X1875=""),"",IF(AND(LEFT(UPPER(TRIM(Sync!$X1875)),2)="SL",IFERROR(VLOOKUP(Sync!$W1875,OpTbl,3,0),"")="فروش"),UPPER(TRIM(Sync!$X1875)),""))</f>
        <v/>
      </c>
      <c r="H1879" t="str">
        <f>IF($G1879="","",IF(Sync!$W1875="","",Sync!$W1875))</f>
        <v/>
      </c>
      <c r="I1879" t="str">
        <f>IF(OR($G1879="",Sync!$Y1875=""),"",Sync!$Y1875)</f>
        <v/>
      </c>
      <c r="J1879" t="str">
        <f>IF(OR($G1879="",Sync!$Z1875=""),"",Sync!$Z1875)</f>
        <v/>
      </c>
      <c r="K1879">
        <f>IF($G1879="",0,IF(Sync!$AA1875="",0,Sync!$AA1875))</f>
        <v>0</v>
      </c>
      <c r="L1879">
        <f>IF($G1879="",0,IF(Sync!$AB1875="",0,Sync!$AB1875))</f>
        <v>0</v>
      </c>
      <c r="M1879" t="str">
        <f t="shared" si="179"/>
        <v/>
      </c>
      <c r="N1879">
        <f>IF($G1879="",0,IF($H1879="مرجوعی فروش",-1,1)*IF(Sync!$AC1875="",0,Sync!$AC1875))</f>
        <v>0</v>
      </c>
      <c r="O1879" t="str">
        <f>IF(OR($G1879="",Sync!$V1875=""),"",Sync!$V1875)</f>
        <v/>
      </c>
      <c r="P1879" t="str">
        <f>IF(OR($G1879="",Sync!$AD1875=""),"",Sync!$AD1875)</f>
        <v/>
      </c>
      <c r="Q1879" t="str">
        <f>IF($G1879="","",IF(Sync!$U1875="","0000",IF(AND(ISNUMBER(Sync!$U1875),Sync!$U1875&gt;=0,Sync!$U1875&lt;1),RIGHT("00"&amp;HOUR(Sync!$U1875),2)&amp;RIGHT("00"&amp;MINUTE(Sync!$U1875),2),IFERROR(RIGHT("00"&amp;VALUE(LEFT(Sync!$U1875,FIND(":",Sync!$U1875)-1)),2)&amp;RIGHT("00"&amp;VALUE(MID(Sync!$U1875,FIND(":",Sync!$U1875)+1,2)),2),"0000"))))</f>
        <v/>
      </c>
    </row>
    <row r="1880" spans="1:17" x14ac:dyDescent="0.2">
      <c r="A1880" t="str">
        <f>IF(Sync!$T1876="","",Sync!$T1876)</f>
        <v/>
      </c>
      <c r="B1880" t="str">
        <f t="shared" si="174"/>
        <v/>
      </c>
      <c r="C1880" t="str">
        <f t="shared" si="175"/>
        <v/>
      </c>
      <c r="D1880" t="str">
        <f t="shared" si="176"/>
        <v/>
      </c>
      <c r="E1880" t="str">
        <f t="shared" si="177"/>
        <v/>
      </c>
      <c r="F1880" t="str">
        <f t="shared" si="178"/>
        <v/>
      </c>
      <c r="G1880" t="str">
        <f>IF(OR($E1880="",$E1880="نامعتبر",Sync!$X1876=""),"",IF(AND(LEFT(UPPER(TRIM(Sync!$X1876)),2)="SL",IFERROR(VLOOKUP(Sync!$W1876,OpTbl,3,0),"")="فروش"),UPPER(TRIM(Sync!$X1876)),""))</f>
        <v/>
      </c>
      <c r="H1880" t="str">
        <f>IF($G1880="","",IF(Sync!$W1876="","",Sync!$W1876))</f>
        <v/>
      </c>
      <c r="I1880" t="str">
        <f>IF(OR($G1880="",Sync!$Y1876=""),"",Sync!$Y1876)</f>
        <v/>
      </c>
      <c r="J1880" t="str">
        <f>IF(OR($G1880="",Sync!$Z1876=""),"",Sync!$Z1876)</f>
        <v/>
      </c>
      <c r="K1880">
        <f>IF($G1880="",0,IF(Sync!$AA1876="",0,Sync!$AA1876))</f>
        <v>0</v>
      </c>
      <c r="L1880">
        <f>IF($G1880="",0,IF(Sync!$AB1876="",0,Sync!$AB1876))</f>
        <v>0</v>
      </c>
      <c r="M1880" t="str">
        <f t="shared" si="179"/>
        <v/>
      </c>
      <c r="N1880">
        <f>IF($G1880="",0,IF($H1880="مرجوعی فروش",-1,1)*IF(Sync!$AC1876="",0,Sync!$AC1876))</f>
        <v>0</v>
      </c>
      <c r="O1880" t="str">
        <f>IF(OR($G1880="",Sync!$V1876=""),"",Sync!$V1876)</f>
        <v/>
      </c>
      <c r="P1880" t="str">
        <f>IF(OR($G1880="",Sync!$AD1876=""),"",Sync!$AD1876)</f>
        <v/>
      </c>
      <c r="Q1880" t="str">
        <f>IF($G1880="","",IF(Sync!$U1876="","0000",IF(AND(ISNUMBER(Sync!$U1876),Sync!$U1876&gt;=0,Sync!$U1876&lt;1),RIGHT("00"&amp;HOUR(Sync!$U1876),2)&amp;RIGHT("00"&amp;MINUTE(Sync!$U1876),2),IFERROR(RIGHT("00"&amp;VALUE(LEFT(Sync!$U1876,FIND(":",Sync!$U1876)-1)),2)&amp;RIGHT("00"&amp;VALUE(MID(Sync!$U1876,FIND(":",Sync!$U1876)+1,2)),2),"0000"))))</f>
        <v/>
      </c>
    </row>
    <row r="1881" spans="1:17" x14ac:dyDescent="0.2">
      <c r="A1881" t="str">
        <f>IF(Sync!$T1877="","",Sync!$T1877)</f>
        <v/>
      </c>
      <c r="B1881" t="str">
        <f t="shared" si="174"/>
        <v/>
      </c>
      <c r="C1881" t="str">
        <f t="shared" si="175"/>
        <v/>
      </c>
      <c r="D1881" t="str">
        <f t="shared" si="176"/>
        <v/>
      </c>
      <c r="E1881" t="str">
        <f t="shared" si="177"/>
        <v/>
      </c>
      <c r="F1881" t="str">
        <f t="shared" si="178"/>
        <v/>
      </c>
      <c r="G1881" t="str">
        <f>IF(OR($E1881="",$E1881="نامعتبر",Sync!$X1877=""),"",IF(AND(LEFT(UPPER(TRIM(Sync!$X1877)),2)="SL",IFERROR(VLOOKUP(Sync!$W1877,OpTbl,3,0),"")="فروش"),UPPER(TRIM(Sync!$X1877)),""))</f>
        <v/>
      </c>
      <c r="H1881" t="str">
        <f>IF($G1881="","",IF(Sync!$W1877="","",Sync!$W1877))</f>
        <v/>
      </c>
      <c r="I1881" t="str">
        <f>IF(OR($G1881="",Sync!$Y1877=""),"",Sync!$Y1877)</f>
        <v/>
      </c>
      <c r="J1881" t="str">
        <f>IF(OR($G1881="",Sync!$Z1877=""),"",Sync!$Z1877)</f>
        <v/>
      </c>
      <c r="K1881">
        <f>IF($G1881="",0,IF(Sync!$AA1877="",0,Sync!$AA1877))</f>
        <v>0</v>
      </c>
      <c r="L1881">
        <f>IF($G1881="",0,IF(Sync!$AB1877="",0,Sync!$AB1877))</f>
        <v>0</v>
      </c>
      <c r="M1881" t="str">
        <f t="shared" si="179"/>
        <v/>
      </c>
      <c r="N1881">
        <f>IF($G1881="",0,IF($H1881="مرجوعی فروش",-1,1)*IF(Sync!$AC1877="",0,Sync!$AC1877))</f>
        <v>0</v>
      </c>
      <c r="O1881" t="str">
        <f>IF(OR($G1881="",Sync!$V1877=""),"",Sync!$V1877)</f>
        <v/>
      </c>
      <c r="P1881" t="str">
        <f>IF(OR($G1881="",Sync!$AD1877=""),"",Sync!$AD1877)</f>
        <v/>
      </c>
      <c r="Q1881" t="str">
        <f>IF($G1881="","",IF(Sync!$U1877="","0000",IF(AND(ISNUMBER(Sync!$U1877),Sync!$U1877&gt;=0,Sync!$U1877&lt;1),RIGHT("00"&amp;HOUR(Sync!$U1877),2)&amp;RIGHT("00"&amp;MINUTE(Sync!$U1877),2),IFERROR(RIGHT("00"&amp;VALUE(LEFT(Sync!$U1877,FIND(":",Sync!$U1877)-1)),2)&amp;RIGHT("00"&amp;VALUE(MID(Sync!$U1877,FIND(":",Sync!$U1877)+1,2)),2),"0000"))))</f>
        <v/>
      </c>
    </row>
    <row r="1882" spans="1:17" x14ac:dyDescent="0.2">
      <c r="A1882" t="str">
        <f>IF(Sync!$T1878="","",Sync!$T1878)</f>
        <v/>
      </c>
      <c r="B1882" t="str">
        <f t="shared" si="174"/>
        <v/>
      </c>
      <c r="C1882" t="str">
        <f t="shared" si="175"/>
        <v/>
      </c>
      <c r="D1882" t="str">
        <f t="shared" si="176"/>
        <v/>
      </c>
      <c r="E1882" t="str">
        <f t="shared" si="177"/>
        <v/>
      </c>
      <c r="F1882" t="str">
        <f t="shared" si="178"/>
        <v/>
      </c>
      <c r="G1882" t="str">
        <f>IF(OR($E1882="",$E1882="نامعتبر",Sync!$X1878=""),"",IF(AND(LEFT(UPPER(TRIM(Sync!$X1878)),2)="SL",IFERROR(VLOOKUP(Sync!$W1878,OpTbl,3,0),"")="فروش"),UPPER(TRIM(Sync!$X1878)),""))</f>
        <v/>
      </c>
      <c r="H1882" t="str">
        <f>IF($G1882="","",IF(Sync!$W1878="","",Sync!$W1878))</f>
        <v/>
      </c>
      <c r="I1882" t="str">
        <f>IF(OR($G1882="",Sync!$Y1878=""),"",Sync!$Y1878)</f>
        <v/>
      </c>
      <c r="J1882" t="str">
        <f>IF(OR($G1882="",Sync!$Z1878=""),"",Sync!$Z1878)</f>
        <v/>
      </c>
      <c r="K1882">
        <f>IF($G1882="",0,IF(Sync!$AA1878="",0,Sync!$AA1878))</f>
        <v>0</v>
      </c>
      <c r="L1882">
        <f>IF($G1882="",0,IF(Sync!$AB1878="",0,Sync!$AB1878))</f>
        <v>0</v>
      </c>
      <c r="M1882" t="str">
        <f t="shared" si="179"/>
        <v/>
      </c>
      <c r="N1882">
        <f>IF($G1882="",0,IF($H1882="مرجوعی فروش",-1,1)*IF(Sync!$AC1878="",0,Sync!$AC1878))</f>
        <v>0</v>
      </c>
      <c r="O1882" t="str">
        <f>IF(OR($G1882="",Sync!$V1878=""),"",Sync!$V1878)</f>
        <v/>
      </c>
      <c r="P1882" t="str">
        <f>IF(OR($G1882="",Sync!$AD1878=""),"",Sync!$AD1878)</f>
        <v/>
      </c>
      <c r="Q1882" t="str">
        <f>IF($G1882="","",IF(Sync!$U1878="","0000",IF(AND(ISNUMBER(Sync!$U1878),Sync!$U1878&gt;=0,Sync!$U1878&lt;1),RIGHT("00"&amp;HOUR(Sync!$U1878),2)&amp;RIGHT("00"&amp;MINUTE(Sync!$U1878),2),IFERROR(RIGHT("00"&amp;VALUE(LEFT(Sync!$U1878,FIND(":",Sync!$U1878)-1)),2)&amp;RIGHT("00"&amp;VALUE(MID(Sync!$U1878,FIND(":",Sync!$U1878)+1,2)),2),"0000"))))</f>
        <v/>
      </c>
    </row>
    <row r="1883" spans="1:17" x14ac:dyDescent="0.2">
      <c r="A1883" t="str">
        <f>IF(Sync!$T1879="","",Sync!$T1879)</f>
        <v/>
      </c>
      <c r="B1883" t="str">
        <f t="shared" si="174"/>
        <v/>
      </c>
      <c r="C1883" t="str">
        <f t="shared" si="175"/>
        <v/>
      </c>
      <c r="D1883" t="str">
        <f t="shared" si="176"/>
        <v/>
      </c>
      <c r="E1883" t="str">
        <f t="shared" si="177"/>
        <v/>
      </c>
      <c r="F1883" t="str">
        <f t="shared" si="178"/>
        <v/>
      </c>
      <c r="G1883" t="str">
        <f>IF(OR($E1883="",$E1883="نامعتبر",Sync!$X1879=""),"",IF(AND(LEFT(UPPER(TRIM(Sync!$X1879)),2)="SL",IFERROR(VLOOKUP(Sync!$W1879,OpTbl,3,0),"")="فروش"),UPPER(TRIM(Sync!$X1879)),""))</f>
        <v/>
      </c>
      <c r="H1883" t="str">
        <f>IF($G1883="","",IF(Sync!$W1879="","",Sync!$W1879))</f>
        <v/>
      </c>
      <c r="I1883" t="str">
        <f>IF(OR($G1883="",Sync!$Y1879=""),"",Sync!$Y1879)</f>
        <v/>
      </c>
      <c r="J1883" t="str">
        <f>IF(OR($G1883="",Sync!$Z1879=""),"",Sync!$Z1879)</f>
        <v/>
      </c>
      <c r="K1883">
        <f>IF($G1883="",0,IF(Sync!$AA1879="",0,Sync!$AA1879))</f>
        <v>0</v>
      </c>
      <c r="L1883">
        <f>IF($G1883="",0,IF(Sync!$AB1879="",0,Sync!$AB1879))</f>
        <v>0</v>
      </c>
      <c r="M1883" t="str">
        <f t="shared" si="179"/>
        <v/>
      </c>
      <c r="N1883">
        <f>IF($G1883="",0,IF($H1883="مرجوعی فروش",-1,1)*IF(Sync!$AC1879="",0,Sync!$AC1879))</f>
        <v>0</v>
      </c>
      <c r="O1883" t="str">
        <f>IF(OR($G1883="",Sync!$V1879=""),"",Sync!$V1879)</f>
        <v/>
      </c>
      <c r="P1883" t="str">
        <f>IF(OR($G1883="",Sync!$AD1879=""),"",Sync!$AD1879)</f>
        <v/>
      </c>
      <c r="Q1883" t="str">
        <f>IF($G1883="","",IF(Sync!$U1879="","0000",IF(AND(ISNUMBER(Sync!$U1879),Sync!$U1879&gt;=0,Sync!$U1879&lt;1),RIGHT("00"&amp;HOUR(Sync!$U1879),2)&amp;RIGHT("00"&amp;MINUTE(Sync!$U1879),2),IFERROR(RIGHT("00"&amp;VALUE(LEFT(Sync!$U1879,FIND(":",Sync!$U1879)-1)),2)&amp;RIGHT("00"&amp;VALUE(MID(Sync!$U1879,FIND(":",Sync!$U1879)+1,2)),2),"0000"))))</f>
        <v/>
      </c>
    </row>
    <row r="1884" spans="1:17" x14ac:dyDescent="0.2">
      <c r="A1884" t="str">
        <f>IF(Sync!$T1880="","",Sync!$T1880)</f>
        <v/>
      </c>
      <c r="B1884" t="str">
        <f t="shared" si="174"/>
        <v/>
      </c>
      <c r="C1884" t="str">
        <f t="shared" si="175"/>
        <v/>
      </c>
      <c r="D1884" t="str">
        <f t="shared" si="176"/>
        <v/>
      </c>
      <c r="E1884" t="str">
        <f t="shared" si="177"/>
        <v/>
      </c>
      <c r="F1884" t="str">
        <f t="shared" si="178"/>
        <v/>
      </c>
      <c r="G1884" t="str">
        <f>IF(OR($E1884="",$E1884="نامعتبر",Sync!$X1880=""),"",IF(AND(LEFT(UPPER(TRIM(Sync!$X1880)),2)="SL",IFERROR(VLOOKUP(Sync!$W1880,OpTbl,3,0),"")="فروش"),UPPER(TRIM(Sync!$X1880)),""))</f>
        <v/>
      </c>
      <c r="H1884" t="str">
        <f>IF($G1884="","",IF(Sync!$W1880="","",Sync!$W1880))</f>
        <v/>
      </c>
      <c r="I1884" t="str">
        <f>IF(OR($G1884="",Sync!$Y1880=""),"",Sync!$Y1880)</f>
        <v/>
      </c>
      <c r="J1884" t="str">
        <f>IF(OR($G1884="",Sync!$Z1880=""),"",Sync!$Z1880)</f>
        <v/>
      </c>
      <c r="K1884">
        <f>IF($G1884="",0,IF(Sync!$AA1880="",0,Sync!$AA1880))</f>
        <v>0</v>
      </c>
      <c r="L1884">
        <f>IF($G1884="",0,IF(Sync!$AB1880="",0,Sync!$AB1880))</f>
        <v>0</v>
      </c>
      <c r="M1884" t="str">
        <f t="shared" si="179"/>
        <v/>
      </c>
      <c r="N1884">
        <f>IF($G1884="",0,IF($H1884="مرجوعی فروش",-1,1)*IF(Sync!$AC1880="",0,Sync!$AC1880))</f>
        <v>0</v>
      </c>
      <c r="O1884" t="str">
        <f>IF(OR($G1884="",Sync!$V1880=""),"",Sync!$V1880)</f>
        <v/>
      </c>
      <c r="P1884" t="str">
        <f>IF(OR($G1884="",Sync!$AD1880=""),"",Sync!$AD1880)</f>
        <v/>
      </c>
      <c r="Q1884" t="str">
        <f>IF($G1884="","",IF(Sync!$U1880="","0000",IF(AND(ISNUMBER(Sync!$U1880),Sync!$U1880&gt;=0,Sync!$U1880&lt;1),RIGHT("00"&amp;HOUR(Sync!$U1880),2)&amp;RIGHT("00"&amp;MINUTE(Sync!$U1880),2),IFERROR(RIGHT("00"&amp;VALUE(LEFT(Sync!$U1880,FIND(":",Sync!$U1880)-1)),2)&amp;RIGHT("00"&amp;VALUE(MID(Sync!$U1880,FIND(":",Sync!$U1880)+1,2)),2),"0000"))))</f>
        <v/>
      </c>
    </row>
    <row r="1885" spans="1:17" x14ac:dyDescent="0.2">
      <c r="A1885" t="str">
        <f>IF(Sync!$T1881="","",Sync!$T1881)</f>
        <v/>
      </c>
      <c r="B1885" t="str">
        <f t="shared" si="174"/>
        <v/>
      </c>
      <c r="C1885" t="str">
        <f t="shared" si="175"/>
        <v/>
      </c>
      <c r="D1885" t="str">
        <f t="shared" si="176"/>
        <v/>
      </c>
      <c r="E1885" t="str">
        <f t="shared" si="177"/>
        <v/>
      </c>
      <c r="F1885" t="str">
        <f t="shared" si="178"/>
        <v/>
      </c>
      <c r="G1885" t="str">
        <f>IF(OR($E1885="",$E1885="نامعتبر",Sync!$X1881=""),"",IF(AND(LEFT(UPPER(TRIM(Sync!$X1881)),2)="SL",IFERROR(VLOOKUP(Sync!$W1881,OpTbl,3,0),"")="فروش"),UPPER(TRIM(Sync!$X1881)),""))</f>
        <v/>
      </c>
      <c r="H1885" t="str">
        <f>IF($G1885="","",IF(Sync!$W1881="","",Sync!$W1881))</f>
        <v/>
      </c>
      <c r="I1885" t="str">
        <f>IF(OR($G1885="",Sync!$Y1881=""),"",Sync!$Y1881)</f>
        <v/>
      </c>
      <c r="J1885" t="str">
        <f>IF(OR($G1885="",Sync!$Z1881=""),"",Sync!$Z1881)</f>
        <v/>
      </c>
      <c r="K1885">
        <f>IF($G1885="",0,IF(Sync!$AA1881="",0,Sync!$AA1881))</f>
        <v>0</v>
      </c>
      <c r="L1885">
        <f>IF($G1885="",0,IF(Sync!$AB1881="",0,Sync!$AB1881))</f>
        <v>0</v>
      </c>
      <c r="M1885" t="str">
        <f t="shared" si="179"/>
        <v/>
      </c>
      <c r="N1885">
        <f>IF($G1885="",0,IF($H1885="مرجوعی فروش",-1,1)*IF(Sync!$AC1881="",0,Sync!$AC1881))</f>
        <v>0</v>
      </c>
      <c r="O1885" t="str">
        <f>IF(OR($G1885="",Sync!$V1881=""),"",Sync!$V1881)</f>
        <v/>
      </c>
      <c r="P1885" t="str">
        <f>IF(OR($G1885="",Sync!$AD1881=""),"",Sync!$AD1881)</f>
        <v/>
      </c>
      <c r="Q1885" t="str">
        <f>IF($G1885="","",IF(Sync!$U1881="","0000",IF(AND(ISNUMBER(Sync!$U1881),Sync!$U1881&gt;=0,Sync!$U1881&lt;1),RIGHT("00"&amp;HOUR(Sync!$U1881),2)&amp;RIGHT("00"&amp;MINUTE(Sync!$U1881),2),IFERROR(RIGHT("00"&amp;VALUE(LEFT(Sync!$U1881,FIND(":",Sync!$U1881)-1)),2)&amp;RIGHT("00"&amp;VALUE(MID(Sync!$U1881,FIND(":",Sync!$U1881)+1,2)),2),"0000"))))</f>
        <v/>
      </c>
    </row>
    <row r="1886" spans="1:17" x14ac:dyDescent="0.2">
      <c r="A1886" t="str">
        <f>IF(Sync!$T1882="","",Sync!$T1882)</f>
        <v/>
      </c>
      <c r="B1886" t="str">
        <f t="shared" si="174"/>
        <v/>
      </c>
      <c r="C1886" t="str">
        <f t="shared" si="175"/>
        <v/>
      </c>
      <c r="D1886" t="str">
        <f t="shared" si="176"/>
        <v/>
      </c>
      <c r="E1886" t="str">
        <f t="shared" si="177"/>
        <v/>
      </c>
      <c r="F1886" t="str">
        <f t="shared" si="178"/>
        <v/>
      </c>
      <c r="G1886" t="str">
        <f>IF(OR($E1886="",$E1886="نامعتبر",Sync!$X1882=""),"",IF(AND(LEFT(UPPER(TRIM(Sync!$X1882)),2)="SL",IFERROR(VLOOKUP(Sync!$W1882,OpTbl,3,0),"")="فروش"),UPPER(TRIM(Sync!$X1882)),""))</f>
        <v/>
      </c>
      <c r="H1886" t="str">
        <f>IF($G1886="","",IF(Sync!$W1882="","",Sync!$W1882))</f>
        <v/>
      </c>
      <c r="I1886" t="str">
        <f>IF(OR($G1886="",Sync!$Y1882=""),"",Sync!$Y1882)</f>
        <v/>
      </c>
      <c r="J1886" t="str">
        <f>IF(OR($G1886="",Sync!$Z1882=""),"",Sync!$Z1882)</f>
        <v/>
      </c>
      <c r="K1886">
        <f>IF($G1886="",0,IF(Sync!$AA1882="",0,Sync!$AA1882))</f>
        <v>0</v>
      </c>
      <c r="L1886">
        <f>IF($G1886="",0,IF(Sync!$AB1882="",0,Sync!$AB1882))</f>
        <v>0</v>
      </c>
      <c r="M1886" t="str">
        <f t="shared" si="179"/>
        <v/>
      </c>
      <c r="N1886">
        <f>IF($G1886="",0,IF($H1886="مرجوعی فروش",-1,1)*IF(Sync!$AC1882="",0,Sync!$AC1882))</f>
        <v>0</v>
      </c>
      <c r="O1886" t="str">
        <f>IF(OR($G1886="",Sync!$V1882=""),"",Sync!$V1882)</f>
        <v/>
      </c>
      <c r="P1886" t="str">
        <f>IF(OR($G1886="",Sync!$AD1882=""),"",Sync!$AD1882)</f>
        <v/>
      </c>
      <c r="Q1886" t="str">
        <f>IF($G1886="","",IF(Sync!$U1882="","0000",IF(AND(ISNUMBER(Sync!$U1882),Sync!$U1882&gt;=0,Sync!$U1882&lt;1),RIGHT("00"&amp;HOUR(Sync!$U1882),2)&amp;RIGHT("00"&amp;MINUTE(Sync!$U1882),2),IFERROR(RIGHT("00"&amp;VALUE(LEFT(Sync!$U1882,FIND(":",Sync!$U1882)-1)),2)&amp;RIGHT("00"&amp;VALUE(MID(Sync!$U1882,FIND(":",Sync!$U1882)+1,2)),2),"0000"))))</f>
        <v/>
      </c>
    </row>
    <row r="1887" spans="1:17" x14ac:dyDescent="0.2">
      <c r="A1887" t="str">
        <f>IF(Sync!$T1883="","",Sync!$T1883)</f>
        <v/>
      </c>
      <c r="B1887" t="str">
        <f t="shared" si="174"/>
        <v/>
      </c>
      <c r="C1887" t="str">
        <f t="shared" si="175"/>
        <v/>
      </c>
      <c r="D1887" t="str">
        <f t="shared" si="176"/>
        <v/>
      </c>
      <c r="E1887" t="str">
        <f t="shared" si="177"/>
        <v/>
      </c>
      <c r="F1887" t="str">
        <f t="shared" si="178"/>
        <v/>
      </c>
      <c r="G1887" t="str">
        <f>IF(OR($E1887="",$E1887="نامعتبر",Sync!$X1883=""),"",IF(AND(LEFT(UPPER(TRIM(Sync!$X1883)),2)="SL",IFERROR(VLOOKUP(Sync!$W1883,OpTbl,3,0),"")="فروش"),UPPER(TRIM(Sync!$X1883)),""))</f>
        <v/>
      </c>
      <c r="H1887" t="str">
        <f>IF($G1887="","",IF(Sync!$W1883="","",Sync!$W1883))</f>
        <v/>
      </c>
      <c r="I1887" t="str">
        <f>IF(OR($G1887="",Sync!$Y1883=""),"",Sync!$Y1883)</f>
        <v/>
      </c>
      <c r="J1887" t="str">
        <f>IF(OR($G1887="",Sync!$Z1883=""),"",Sync!$Z1883)</f>
        <v/>
      </c>
      <c r="K1887">
        <f>IF($G1887="",0,IF(Sync!$AA1883="",0,Sync!$AA1883))</f>
        <v>0</v>
      </c>
      <c r="L1887">
        <f>IF($G1887="",0,IF(Sync!$AB1883="",0,Sync!$AB1883))</f>
        <v>0</v>
      </c>
      <c r="M1887" t="str">
        <f t="shared" si="179"/>
        <v/>
      </c>
      <c r="N1887">
        <f>IF($G1887="",0,IF($H1887="مرجوعی فروش",-1,1)*IF(Sync!$AC1883="",0,Sync!$AC1883))</f>
        <v>0</v>
      </c>
      <c r="O1887" t="str">
        <f>IF(OR($G1887="",Sync!$V1883=""),"",Sync!$V1883)</f>
        <v/>
      </c>
      <c r="P1887" t="str">
        <f>IF(OR($G1887="",Sync!$AD1883=""),"",Sync!$AD1883)</f>
        <v/>
      </c>
      <c r="Q1887" t="str">
        <f>IF($G1887="","",IF(Sync!$U1883="","0000",IF(AND(ISNUMBER(Sync!$U1883),Sync!$U1883&gt;=0,Sync!$U1883&lt;1),RIGHT("00"&amp;HOUR(Sync!$U1883),2)&amp;RIGHT("00"&amp;MINUTE(Sync!$U1883),2),IFERROR(RIGHT("00"&amp;VALUE(LEFT(Sync!$U1883,FIND(":",Sync!$U1883)-1)),2)&amp;RIGHT("00"&amp;VALUE(MID(Sync!$U1883,FIND(":",Sync!$U1883)+1,2)),2),"0000"))))</f>
        <v/>
      </c>
    </row>
    <row r="1888" spans="1:17" x14ac:dyDescent="0.2">
      <c r="A1888" t="str">
        <f>IF(Sync!$T1884="","",Sync!$T1884)</f>
        <v/>
      </c>
      <c r="B1888" t="str">
        <f t="shared" si="174"/>
        <v/>
      </c>
      <c r="C1888" t="str">
        <f t="shared" si="175"/>
        <v/>
      </c>
      <c r="D1888" t="str">
        <f t="shared" si="176"/>
        <v/>
      </c>
      <c r="E1888" t="str">
        <f t="shared" si="177"/>
        <v/>
      </c>
      <c r="F1888" t="str">
        <f t="shared" si="178"/>
        <v/>
      </c>
      <c r="G1888" t="str">
        <f>IF(OR($E1888="",$E1888="نامعتبر",Sync!$X1884=""),"",IF(AND(LEFT(UPPER(TRIM(Sync!$X1884)),2)="SL",IFERROR(VLOOKUP(Sync!$W1884,OpTbl,3,0),"")="فروش"),UPPER(TRIM(Sync!$X1884)),""))</f>
        <v/>
      </c>
      <c r="H1888" t="str">
        <f>IF($G1888="","",IF(Sync!$W1884="","",Sync!$W1884))</f>
        <v/>
      </c>
      <c r="I1888" t="str">
        <f>IF(OR($G1888="",Sync!$Y1884=""),"",Sync!$Y1884)</f>
        <v/>
      </c>
      <c r="J1888" t="str">
        <f>IF(OR($G1888="",Sync!$Z1884=""),"",Sync!$Z1884)</f>
        <v/>
      </c>
      <c r="K1888">
        <f>IF($G1888="",0,IF(Sync!$AA1884="",0,Sync!$AA1884))</f>
        <v>0</v>
      </c>
      <c r="L1888">
        <f>IF($G1888="",0,IF(Sync!$AB1884="",0,Sync!$AB1884))</f>
        <v>0</v>
      </c>
      <c r="M1888" t="str">
        <f t="shared" si="179"/>
        <v/>
      </c>
      <c r="N1888">
        <f>IF($G1888="",0,IF($H1888="مرجوعی فروش",-1,1)*IF(Sync!$AC1884="",0,Sync!$AC1884))</f>
        <v>0</v>
      </c>
      <c r="O1888" t="str">
        <f>IF(OR($G1888="",Sync!$V1884=""),"",Sync!$V1884)</f>
        <v/>
      </c>
      <c r="P1888" t="str">
        <f>IF(OR($G1888="",Sync!$AD1884=""),"",Sync!$AD1884)</f>
        <v/>
      </c>
      <c r="Q1888" t="str">
        <f>IF($G1888="","",IF(Sync!$U1884="","0000",IF(AND(ISNUMBER(Sync!$U1884),Sync!$U1884&gt;=0,Sync!$U1884&lt;1),RIGHT("00"&amp;HOUR(Sync!$U1884),2)&amp;RIGHT("00"&amp;MINUTE(Sync!$U1884),2),IFERROR(RIGHT("00"&amp;VALUE(LEFT(Sync!$U1884,FIND(":",Sync!$U1884)-1)),2)&amp;RIGHT("00"&amp;VALUE(MID(Sync!$U1884,FIND(":",Sync!$U1884)+1,2)),2),"0000"))))</f>
        <v/>
      </c>
    </row>
    <row r="1889" spans="1:17" x14ac:dyDescent="0.2">
      <c r="A1889" t="str">
        <f>IF(Sync!$T1885="","",Sync!$T1885)</f>
        <v/>
      </c>
      <c r="B1889" t="str">
        <f t="shared" si="174"/>
        <v/>
      </c>
      <c r="C1889" t="str">
        <f t="shared" si="175"/>
        <v/>
      </c>
      <c r="D1889" t="str">
        <f t="shared" si="176"/>
        <v/>
      </c>
      <c r="E1889" t="str">
        <f t="shared" si="177"/>
        <v/>
      </c>
      <c r="F1889" t="str">
        <f t="shared" si="178"/>
        <v/>
      </c>
      <c r="G1889" t="str">
        <f>IF(OR($E1889="",$E1889="نامعتبر",Sync!$X1885=""),"",IF(AND(LEFT(UPPER(TRIM(Sync!$X1885)),2)="SL",IFERROR(VLOOKUP(Sync!$W1885,OpTbl,3,0),"")="فروش"),UPPER(TRIM(Sync!$X1885)),""))</f>
        <v/>
      </c>
      <c r="H1889" t="str">
        <f>IF($G1889="","",IF(Sync!$W1885="","",Sync!$W1885))</f>
        <v/>
      </c>
      <c r="I1889" t="str">
        <f>IF(OR($G1889="",Sync!$Y1885=""),"",Sync!$Y1885)</f>
        <v/>
      </c>
      <c r="J1889" t="str">
        <f>IF(OR($G1889="",Sync!$Z1885=""),"",Sync!$Z1885)</f>
        <v/>
      </c>
      <c r="K1889">
        <f>IF($G1889="",0,IF(Sync!$AA1885="",0,Sync!$AA1885))</f>
        <v>0</v>
      </c>
      <c r="L1889">
        <f>IF($G1889="",0,IF(Sync!$AB1885="",0,Sync!$AB1885))</f>
        <v>0</v>
      </c>
      <c r="M1889" t="str">
        <f t="shared" si="179"/>
        <v/>
      </c>
      <c r="N1889">
        <f>IF($G1889="",0,IF($H1889="مرجوعی فروش",-1,1)*IF(Sync!$AC1885="",0,Sync!$AC1885))</f>
        <v>0</v>
      </c>
      <c r="O1889" t="str">
        <f>IF(OR($G1889="",Sync!$V1885=""),"",Sync!$V1885)</f>
        <v/>
      </c>
      <c r="P1889" t="str">
        <f>IF(OR($G1889="",Sync!$AD1885=""),"",Sync!$AD1885)</f>
        <v/>
      </c>
      <c r="Q1889" t="str">
        <f>IF($G1889="","",IF(Sync!$U1885="","0000",IF(AND(ISNUMBER(Sync!$U1885),Sync!$U1885&gt;=0,Sync!$U1885&lt;1),RIGHT("00"&amp;HOUR(Sync!$U1885),2)&amp;RIGHT("00"&amp;MINUTE(Sync!$U1885),2),IFERROR(RIGHT("00"&amp;VALUE(LEFT(Sync!$U1885,FIND(":",Sync!$U1885)-1)),2)&amp;RIGHT("00"&amp;VALUE(MID(Sync!$U1885,FIND(":",Sync!$U1885)+1,2)),2),"0000"))))</f>
        <v/>
      </c>
    </row>
    <row r="1890" spans="1:17" x14ac:dyDescent="0.2">
      <c r="A1890" t="str">
        <f>IF(Sync!$T1886="","",Sync!$T1886)</f>
        <v/>
      </c>
      <c r="B1890" t="str">
        <f t="shared" si="174"/>
        <v/>
      </c>
      <c r="C1890" t="str">
        <f t="shared" si="175"/>
        <v/>
      </c>
      <c r="D1890" t="str">
        <f t="shared" si="176"/>
        <v/>
      </c>
      <c r="E1890" t="str">
        <f t="shared" si="177"/>
        <v/>
      </c>
      <c r="F1890" t="str">
        <f t="shared" si="178"/>
        <v/>
      </c>
      <c r="G1890" t="str">
        <f>IF(OR($E1890="",$E1890="نامعتبر",Sync!$X1886=""),"",IF(AND(LEFT(UPPER(TRIM(Sync!$X1886)),2)="SL",IFERROR(VLOOKUP(Sync!$W1886,OpTbl,3,0),"")="فروش"),UPPER(TRIM(Sync!$X1886)),""))</f>
        <v/>
      </c>
      <c r="H1890" t="str">
        <f>IF($G1890="","",IF(Sync!$W1886="","",Sync!$W1886))</f>
        <v/>
      </c>
      <c r="I1890" t="str">
        <f>IF(OR($G1890="",Sync!$Y1886=""),"",Sync!$Y1886)</f>
        <v/>
      </c>
      <c r="J1890" t="str">
        <f>IF(OR($G1890="",Sync!$Z1886=""),"",Sync!$Z1886)</f>
        <v/>
      </c>
      <c r="K1890">
        <f>IF($G1890="",0,IF(Sync!$AA1886="",0,Sync!$AA1886))</f>
        <v>0</v>
      </c>
      <c r="L1890">
        <f>IF($G1890="",0,IF(Sync!$AB1886="",0,Sync!$AB1886))</f>
        <v>0</v>
      </c>
      <c r="M1890" t="str">
        <f t="shared" si="179"/>
        <v/>
      </c>
      <c r="N1890">
        <f>IF($G1890="",0,IF($H1890="مرجوعی فروش",-1,1)*IF(Sync!$AC1886="",0,Sync!$AC1886))</f>
        <v>0</v>
      </c>
      <c r="O1890" t="str">
        <f>IF(OR($G1890="",Sync!$V1886=""),"",Sync!$V1886)</f>
        <v/>
      </c>
      <c r="P1890" t="str">
        <f>IF(OR($G1890="",Sync!$AD1886=""),"",Sync!$AD1886)</f>
        <v/>
      </c>
      <c r="Q1890" t="str">
        <f>IF($G1890="","",IF(Sync!$U1886="","0000",IF(AND(ISNUMBER(Sync!$U1886),Sync!$U1886&gt;=0,Sync!$U1886&lt;1),RIGHT("00"&amp;HOUR(Sync!$U1886),2)&amp;RIGHT("00"&amp;MINUTE(Sync!$U1886),2),IFERROR(RIGHT("00"&amp;VALUE(LEFT(Sync!$U1886,FIND(":",Sync!$U1886)-1)),2)&amp;RIGHT("00"&amp;VALUE(MID(Sync!$U1886,FIND(":",Sync!$U1886)+1,2)),2),"0000"))))</f>
        <v/>
      </c>
    </row>
    <row r="1891" spans="1:17" x14ac:dyDescent="0.2">
      <c r="A1891" t="str">
        <f>IF(Sync!$T1887="","",Sync!$T1887)</f>
        <v/>
      </c>
      <c r="B1891" t="str">
        <f t="shared" si="174"/>
        <v/>
      </c>
      <c r="C1891" t="str">
        <f t="shared" si="175"/>
        <v/>
      </c>
      <c r="D1891" t="str">
        <f t="shared" si="176"/>
        <v/>
      </c>
      <c r="E1891" t="str">
        <f t="shared" si="177"/>
        <v/>
      </c>
      <c r="F1891" t="str">
        <f t="shared" si="178"/>
        <v/>
      </c>
      <c r="G1891" t="str">
        <f>IF(OR($E1891="",$E1891="نامعتبر",Sync!$X1887=""),"",IF(AND(LEFT(UPPER(TRIM(Sync!$X1887)),2)="SL",IFERROR(VLOOKUP(Sync!$W1887,OpTbl,3,0),"")="فروش"),UPPER(TRIM(Sync!$X1887)),""))</f>
        <v/>
      </c>
      <c r="H1891" t="str">
        <f>IF($G1891="","",IF(Sync!$W1887="","",Sync!$W1887))</f>
        <v/>
      </c>
      <c r="I1891" t="str">
        <f>IF(OR($G1891="",Sync!$Y1887=""),"",Sync!$Y1887)</f>
        <v/>
      </c>
      <c r="J1891" t="str">
        <f>IF(OR($G1891="",Sync!$Z1887=""),"",Sync!$Z1887)</f>
        <v/>
      </c>
      <c r="K1891">
        <f>IF($G1891="",0,IF(Sync!$AA1887="",0,Sync!$AA1887))</f>
        <v>0</v>
      </c>
      <c r="L1891">
        <f>IF($G1891="",0,IF(Sync!$AB1887="",0,Sync!$AB1887))</f>
        <v>0</v>
      </c>
      <c r="M1891" t="str">
        <f t="shared" si="179"/>
        <v/>
      </c>
      <c r="N1891">
        <f>IF($G1891="",0,IF($H1891="مرجوعی فروش",-1,1)*IF(Sync!$AC1887="",0,Sync!$AC1887))</f>
        <v>0</v>
      </c>
      <c r="O1891" t="str">
        <f>IF(OR($G1891="",Sync!$V1887=""),"",Sync!$V1887)</f>
        <v/>
      </c>
      <c r="P1891" t="str">
        <f>IF(OR($G1891="",Sync!$AD1887=""),"",Sync!$AD1887)</f>
        <v/>
      </c>
      <c r="Q1891" t="str">
        <f>IF($G1891="","",IF(Sync!$U1887="","0000",IF(AND(ISNUMBER(Sync!$U1887),Sync!$U1887&gt;=0,Sync!$U1887&lt;1),RIGHT("00"&amp;HOUR(Sync!$U1887),2)&amp;RIGHT("00"&amp;MINUTE(Sync!$U1887),2),IFERROR(RIGHT("00"&amp;VALUE(LEFT(Sync!$U1887,FIND(":",Sync!$U1887)-1)),2)&amp;RIGHT("00"&amp;VALUE(MID(Sync!$U1887,FIND(":",Sync!$U1887)+1,2)),2),"0000"))))</f>
        <v/>
      </c>
    </row>
    <row r="1892" spans="1:17" x14ac:dyDescent="0.2">
      <c r="A1892" t="str">
        <f>IF(Sync!$T1888="","",Sync!$T1888)</f>
        <v/>
      </c>
      <c r="B1892" t="str">
        <f t="shared" si="174"/>
        <v/>
      </c>
      <c r="C1892" t="str">
        <f t="shared" si="175"/>
        <v/>
      </c>
      <c r="D1892" t="str">
        <f t="shared" si="176"/>
        <v/>
      </c>
      <c r="E1892" t="str">
        <f t="shared" si="177"/>
        <v/>
      </c>
      <c r="F1892" t="str">
        <f t="shared" si="178"/>
        <v/>
      </c>
      <c r="G1892" t="str">
        <f>IF(OR($E1892="",$E1892="نامعتبر",Sync!$X1888=""),"",IF(AND(LEFT(UPPER(TRIM(Sync!$X1888)),2)="SL",IFERROR(VLOOKUP(Sync!$W1888,OpTbl,3,0),"")="فروش"),UPPER(TRIM(Sync!$X1888)),""))</f>
        <v/>
      </c>
      <c r="H1892" t="str">
        <f>IF($G1892="","",IF(Sync!$W1888="","",Sync!$W1888))</f>
        <v/>
      </c>
      <c r="I1892" t="str">
        <f>IF(OR($G1892="",Sync!$Y1888=""),"",Sync!$Y1888)</f>
        <v/>
      </c>
      <c r="J1892" t="str">
        <f>IF(OR($G1892="",Sync!$Z1888=""),"",Sync!$Z1888)</f>
        <v/>
      </c>
      <c r="K1892">
        <f>IF($G1892="",0,IF(Sync!$AA1888="",0,Sync!$AA1888))</f>
        <v>0</v>
      </c>
      <c r="L1892">
        <f>IF($G1892="",0,IF(Sync!$AB1888="",0,Sync!$AB1888))</f>
        <v>0</v>
      </c>
      <c r="M1892" t="str">
        <f t="shared" si="179"/>
        <v/>
      </c>
      <c r="N1892">
        <f>IF($G1892="",0,IF($H1892="مرجوعی فروش",-1,1)*IF(Sync!$AC1888="",0,Sync!$AC1888))</f>
        <v>0</v>
      </c>
      <c r="O1892" t="str">
        <f>IF(OR($G1892="",Sync!$V1888=""),"",Sync!$V1888)</f>
        <v/>
      </c>
      <c r="P1892" t="str">
        <f>IF(OR($G1892="",Sync!$AD1888=""),"",Sync!$AD1888)</f>
        <v/>
      </c>
      <c r="Q1892" t="str">
        <f>IF($G1892="","",IF(Sync!$U1888="","0000",IF(AND(ISNUMBER(Sync!$U1888),Sync!$U1888&gt;=0,Sync!$U1888&lt;1),RIGHT("00"&amp;HOUR(Sync!$U1888),2)&amp;RIGHT("00"&amp;MINUTE(Sync!$U1888),2),IFERROR(RIGHT("00"&amp;VALUE(LEFT(Sync!$U1888,FIND(":",Sync!$U1888)-1)),2)&amp;RIGHT("00"&amp;VALUE(MID(Sync!$U1888,FIND(":",Sync!$U1888)+1,2)),2),"0000"))))</f>
        <v/>
      </c>
    </row>
    <row r="1893" spans="1:17" x14ac:dyDescent="0.2">
      <c r="A1893" t="str">
        <f>IF(Sync!$T1889="","",Sync!$T1889)</f>
        <v/>
      </c>
      <c r="B1893" t="str">
        <f t="shared" si="174"/>
        <v/>
      </c>
      <c r="C1893" t="str">
        <f t="shared" si="175"/>
        <v/>
      </c>
      <c r="D1893" t="str">
        <f t="shared" si="176"/>
        <v/>
      </c>
      <c r="E1893" t="str">
        <f t="shared" si="177"/>
        <v/>
      </c>
      <c r="F1893" t="str">
        <f t="shared" si="178"/>
        <v/>
      </c>
      <c r="G1893" t="str">
        <f>IF(OR($E1893="",$E1893="نامعتبر",Sync!$X1889=""),"",IF(AND(LEFT(UPPER(TRIM(Sync!$X1889)),2)="SL",IFERROR(VLOOKUP(Sync!$W1889,OpTbl,3,0),"")="فروش"),UPPER(TRIM(Sync!$X1889)),""))</f>
        <v/>
      </c>
      <c r="H1893" t="str">
        <f>IF($G1893="","",IF(Sync!$W1889="","",Sync!$W1889))</f>
        <v/>
      </c>
      <c r="I1893" t="str">
        <f>IF(OR($G1893="",Sync!$Y1889=""),"",Sync!$Y1889)</f>
        <v/>
      </c>
      <c r="J1893" t="str">
        <f>IF(OR($G1893="",Sync!$Z1889=""),"",Sync!$Z1889)</f>
        <v/>
      </c>
      <c r="K1893">
        <f>IF($G1893="",0,IF(Sync!$AA1889="",0,Sync!$AA1889))</f>
        <v>0</v>
      </c>
      <c r="L1893">
        <f>IF($G1893="",0,IF(Sync!$AB1889="",0,Sync!$AB1889))</f>
        <v>0</v>
      </c>
      <c r="M1893" t="str">
        <f t="shared" si="179"/>
        <v/>
      </c>
      <c r="N1893">
        <f>IF($G1893="",0,IF($H1893="مرجوعی فروش",-1,1)*IF(Sync!$AC1889="",0,Sync!$AC1889))</f>
        <v>0</v>
      </c>
      <c r="O1893" t="str">
        <f>IF(OR($G1893="",Sync!$V1889=""),"",Sync!$V1889)</f>
        <v/>
      </c>
      <c r="P1893" t="str">
        <f>IF(OR($G1893="",Sync!$AD1889=""),"",Sync!$AD1889)</f>
        <v/>
      </c>
      <c r="Q1893" t="str">
        <f>IF($G1893="","",IF(Sync!$U1889="","0000",IF(AND(ISNUMBER(Sync!$U1889),Sync!$U1889&gt;=0,Sync!$U1889&lt;1),RIGHT("00"&amp;HOUR(Sync!$U1889),2)&amp;RIGHT("00"&amp;MINUTE(Sync!$U1889),2),IFERROR(RIGHT("00"&amp;VALUE(LEFT(Sync!$U1889,FIND(":",Sync!$U1889)-1)),2)&amp;RIGHT("00"&amp;VALUE(MID(Sync!$U1889,FIND(":",Sync!$U1889)+1,2)),2),"0000"))))</f>
        <v/>
      </c>
    </row>
    <row r="1894" spans="1:17" x14ac:dyDescent="0.2">
      <c r="A1894" t="str">
        <f>IF(Sync!$T1890="","",Sync!$T1890)</f>
        <v/>
      </c>
      <c r="B1894" t="str">
        <f t="shared" si="174"/>
        <v/>
      </c>
      <c r="C1894" t="str">
        <f t="shared" si="175"/>
        <v/>
      </c>
      <c r="D1894" t="str">
        <f t="shared" si="176"/>
        <v/>
      </c>
      <c r="E1894" t="str">
        <f t="shared" si="177"/>
        <v/>
      </c>
      <c r="F1894" t="str">
        <f t="shared" si="178"/>
        <v/>
      </c>
      <c r="G1894" t="str">
        <f>IF(OR($E1894="",$E1894="نامعتبر",Sync!$X1890=""),"",IF(AND(LEFT(UPPER(TRIM(Sync!$X1890)),2)="SL",IFERROR(VLOOKUP(Sync!$W1890,OpTbl,3,0),"")="فروش"),UPPER(TRIM(Sync!$X1890)),""))</f>
        <v/>
      </c>
      <c r="H1894" t="str">
        <f>IF($G1894="","",IF(Sync!$W1890="","",Sync!$W1890))</f>
        <v/>
      </c>
      <c r="I1894" t="str">
        <f>IF(OR($G1894="",Sync!$Y1890=""),"",Sync!$Y1890)</f>
        <v/>
      </c>
      <c r="J1894" t="str">
        <f>IF(OR($G1894="",Sync!$Z1890=""),"",Sync!$Z1890)</f>
        <v/>
      </c>
      <c r="K1894">
        <f>IF($G1894="",0,IF(Sync!$AA1890="",0,Sync!$AA1890))</f>
        <v>0</v>
      </c>
      <c r="L1894">
        <f>IF($G1894="",0,IF(Sync!$AB1890="",0,Sync!$AB1890))</f>
        <v>0</v>
      </c>
      <c r="M1894" t="str">
        <f t="shared" si="179"/>
        <v/>
      </c>
      <c r="N1894">
        <f>IF($G1894="",0,IF($H1894="مرجوعی فروش",-1,1)*IF(Sync!$AC1890="",0,Sync!$AC1890))</f>
        <v>0</v>
      </c>
      <c r="O1894" t="str">
        <f>IF(OR($G1894="",Sync!$V1890=""),"",Sync!$V1890)</f>
        <v/>
      </c>
      <c r="P1894" t="str">
        <f>IF(OR($G1894="",Sync!$AD1890=""),"",Sync!$AD1890)</f>
        <v/>
      </c>
      <c r="Q1894" t="str">
        <f>IF($G1894="","",IF(Sync!$U1890="","0000",IF(AND(ISNUMBER(Sync!$U1890),Sync!$U1890&gt;=0,Sync!$U1890&lt;1),RIGHT("00"&amp;HOUR(Sync!$U1890),2)&amp;RIGHT("00"&amp;MINUTE(Sync!$U1890),2),IFERROR(RIGHT("00"&amp;VALUE(LEFT(Sync!$U1890,FIND(":",Sync!$U1890)-1)),2)&amp;RIGHT("00"&amp;VALUE(MID(Sync!$U1890,FIND(":",Sync!$U1890)+1,2)),2),"0000"))))</f>
        <v/>
      </c>
    </row>
    <row r="1895" spans="1:17" x14ac:dyDescent="0.2">
      <c r="A1895" t="str">
        <f>IF(Sync!$T1891="","",Sync!$T1891)</f>
        <v/>
      </c>
      <c r="B1895" t="str">
        <f t="shared" si="174"/>
        <v/>
      </c>
      <c r="C1895" t="str">
        <f t="shared" si="175"/>
        <v/>
      </c>
      <c r="D1895" t="str">
        <f t="shared" si="176"/>
        <v/>
      </c>
      <c r="E1895" t="str">
        <f t="shared" si="177"/>
        <v/>
      </c>
      <c r="F1895" t="str">
        <f t="shared" si="178"/>
        <v/>
      </c>
      <c r="G1895" t="str">
        <f>IF(OR($E1895="",$E1895="نامعتبر",Sync!$X1891=""),"",IF(AND(LEFT(UPPER(TRIM(Sync!$X1891)),2)="SL",IFERROR(VLOOKUP(Sync!$W1891,OpTbl,3,0),"")="فروش"),UPPER(TRIM(Sync!$X1891)),""))</f>
        <v/>
      </c>
      <c r="H1895" t="str">
        <f>IF($G1895="","",IF(Sync!$W1891="","",Sync!$W1891))</f>
        <v/>
      </c>
      <c r="I1895" t="str">
        <f>IF(OR($G1895="",Sync!$Y1891=""),"",Sync!$Y1891)</f>
        <v/>
      </c>
      <c r="J1895" t="str">
        <f>IF(OR($G1895="",Sync!$Z1891=""),"",Sync!$Z1891)</f>
        <v/>
      </c>
      <c r="K1895">
        <f>IF($G1895="",0,IF(Sync!$AA1891="",0,Sync!$AA1891))</f>
        <v>0</v>
      </c>
      <c r="L1895">
        <f>IF($G1895="",0,IF(Sync!$AB1891="",0,Sync!$AB1891))</f>
        <v>0</v>
      </c>
      <c r="M1895" t="str">
        <f t="shared" si="179"/>
        <v/>
      </c>
      <c r="N1895">
        <f>IF($G1895="",0,IF($H1895="مرجوعی فروش",-1,1)*IF(Sync!$AC1891="",0,Sync!$AC1891))</f>
        <v>0</v>
      </c>
      <c r="O1895" t="str">
        <f>IF(OR($G1895="",Sync!$V1891=""),"",Sync!$V1891)</f>
        <v/>
      </c>
      <c r="P1895" t="str">
        <f>IF(OR($G1895="",Sync!$AD1891=""),"",Sync!$AD1891)</f>
        <v/>
      </c>
      <c r="Q1895" t="str">
        <f>IF($G1895="","",IF(Sync!$U1891="","0000",IF(AND(ISNUMBER(Sync!$U1891),Sync!$U1891&gt;=0,Sync!$U1891&lt;1),RIGHT("00"&amp;HOUR(Sync!$U1891),2)&amp;RIGHT("00"&amp;MINUTE(Sync!$U1891),2),IFERROR(RIGHT("00"&amp;VALUE(LEFT(Sync!$U1891,FIND(":",Sync!$U1891)-1)),2)&amp;RIGHT("00"&amp;VALUE(MID(Sync!$U1891,FIND(":",Sync!$U1891)+1,2)),2),"0000"))))</f>
        <v/>
      </c>
    </row>
    <row r="1896" spans="1:17" x14ac:dyDescent="0.2">
      <c r="A1896" t="str">
        <f>IF(Sync!$T1892="","",Sync!$T1892)</f>
        <v/>
      </c>
      <c r="B1896" t="str">
        <f t="shared" si="174"/>
        <v/>
      </c>
      <c r="C1896" t="str">
        <f t="shared" si="175"/>
        <v/>
      </c>
      <c r="D1896" t="str">
        <f t="shared" si="176"/>
        <v/>
      </c>
      <c r="E1896" t="str">
        <f t="shared" si="177"/>
        <v/>
      </c>
      <c r="F1896" t="str">
        <f t="shared" si="178"/>
        <v/>
      </c>
      <c r="G1896" t="str">
        <f>IF(OR($E1896="",$E1896="نامعتبر",Sync!$X1892=""),"",IF(AND(LEFT(UPPER(TRIM(Sync!$X1892)),2)="SL",IFERROR(VLOOKUP(Sync!$W1892,OpTbl,3,0),"")="فروش"),UPPER(TRIM(Sync!$X1892)),""))</f>
        <v/>
      </c>
      <c r="H1896" t="str">
        <f>IF($G1896="","",IF(Sync!$W1892="","",Sync!$W1892))</f>
        <v/>
      </c>
      <c r="I1896" t="str">
        <f>IF(OR($G1896="",Sync!$Y1892=""),"",Sync!$Y1892)</f>
        <v/>
      </c>
      <c r="J1896" t="str">
        <f>IF(OR($G1896="",Sync!$Z1892=""),"",Sync!$Z1892)</f>
        <v/>
      </c>
      <c r="K1896">
        <f>IF($G1896="",0,IF(Sync!$AA1892="",0,Sync!$AA1892))</f>
        <v>0</v>
      </c>
      <c r="L1896">
        <f>IF($G1896="",0,IF(Sync!$AB1892="",0,Sync!$AB1892))</f>
        <v>0</v>
      </c>
      <c r="M1896" t="str">
        <f t="shared" si="179"/>
        <v/>
      </c>
      <c r="N1896">
        <f>IF($G1896="",0,IF($H1896="مرجوعی فروش",-1,1)*IF(Sync!$AC1892="",0,Sync!$AC1892))</f>
        <v>0</v>
      </c>
      <c r="O1896" t="str">
        <f>IF(OR($G1896="",Sync!$V1892=""),"",Sync!$V1892)</f>
        <v/>
      </c>
      <c r="P1896" t="str">
        <f>IF(OR($G1896="",Sync!$AD1892=""),"",Sync!$AD1892)</f>
        <v/>
      </c>
      <c r="Q1896" t="str">
        <f>IF($G1896="","",IF(Sync!$U1892="","0000",IF(AND(ISNUMBER(Sync!$U1892),Sync!$U1892&gt;=0,Sync!$U1892&lt;1),RIGHT("00"&amp;HOUR(Sync!$U1892),2)&amp;RIGHT("00"&amp;MINUTE(Sync!$U1892),2),IFERROR(RIGHT("00"&amp;VALUE(LEFT(Sync!$U1892,FIND(":",Sync!$U1892)-1)),2)&amp;RIGHT("00"&amp;VALUE(MID(Sync!$U1892,FIND(":",Sync!$U1892)+1,2)),2),"0000"))))</f>
        <v/>
      </c>
    </row>
    <row r="1897" spans="1:17" x14ac:dyDescent="0.2">
      <c r="A1897" t="str">
        <f>IF(Sync!$T1893="","",Sync!$T1893)</f>
        <v/>
      </c>
      <c r="B1897" t="str">
        <f t="shared" si="174"/>
        <v/>
      </c>
      <c r="C1897" t="str">
        <f t="shared" si="175"/>
        <v/>
      </c>
      <c r="D1897" t="str">
        <f t="shared" si="176"/>
        <v/>
      </c>
      <c r="E1897" t="str">
        <f t="shared" si="177"/>
        <v/>
      </c>
      <c r="F1897" t="str">
        <f t="shared" si="178"/>
        <v/>
      </c>
      <c r="G1897" t="str">
        <f>IF(OR($E1897="",$E1897="نامعتبر",Sync!$X1893=""),"",IF(AND(LEFT(UPPER(TRIM(Sync!$X1893)),2)="SL",IFERROR(VLOOKUP(Sync!$W1893,OpTbl,3,0),"")="فروش"),UPPER(TRIM(Sync!$X1893)),""))</f>
        <v/>
      </c>
      <c r="H1897" t="str">
        <f>IF($G1897="","",IF(Sync!$W1893="","",Sync!$W1893))</f>
        <v/>
      </c>
      <c r="I1897" t="str">
        <f>IF(OR($G1897="",Sync!$Y1893=""),"",Sync!$Y1893)</f>
        <v/>
      </c>
      <c r="J1897" t="str">
        <f>IF(OR($G1897="",Sync!$Z1893=""),"",Sync!$Z1893)</f>
        <v/>
      </c>
      <c r="K1897">
        <f>IF($G1897="",0,IF(Sync!$AA1893="",0,Sync!$AA1893))</f>
        <v>0</v>
      </c>
      <c r="L1897">
        <f>IF($G1897="",0,IF(Sync!$AB1893="",0,Sync!$AB1893))</f>
        <v>0</v>
      </c>
      <c r="M1897" t="str">
        <f t="shared" si="179"/>
        <v/>
      </c>
      <c r="N1897">
        <f>IF($G1897="",0,IF($H1897="مرجوعی فروش",-1,1)*IF(Sync!$AC1893="",0,Sync!$AC1893))</f>
        <v>0</v>
      </c>
      <c r="O1897" t="str">
        <f>IF(OR($G1897="",Sync!$V1893=""),"",Sync!$V1893)</f>
        <v/>
      </c>
      <c r="P1897" t="str">
        <f>IF(OR($G1897="",Sync!$AD1893=""),"",Sync!$AD1893)</f>
        <v/>
      </c>
      <c r="Q1897" t="str">
        <f>IF($G1897="","",IF(Sync!$U1893="","0000",IF(AND(ISNUMBER(Sync!$U1893),Sync!$U1893&gt;=0,Sync!$U1893&lt;1),RIGHT("00"&amp;HOUR(Sync!$U1893),2)&amp;RIGHT("00"&amp;MINUTE(Sync!$U1893),2),IFERROR(RIGHT("00"&amp;VALUE(LEFT(Sync!$U1893,FIND(":",Sync!$U1893)-1)),2)&amp;RIGHT("00"&amp;VALUE(MID(Sync!$U1893,FIND(":",Sync!$U1893)+1,2)),2),"0000"))))</f>
        <v/>
      </c>
    </row>
    <row r="1898" spans="1:17" x14ac:dyDescent="0.2">
      <c r="A1898" t="str">
        <f>IF(Sync!$T1894="","",Sync!$T1894)</f>
        <v/>
      </c>
      <c r="B1898" t="str">
        <f t="shared" si="174"/>
        <v/>
      </c>
      <c r="C1898" t="str">
        <f t="shared" si="175"/>
        <v/>
      </c>
      <c r="D1898" t="str">
        <f t="shared" si="176"/>
        <v/>
      </c>
      <c r="E1898" t="str">
        <f t="shared" si="177"/>
        <v/>
      </c>
      <c r="F1898" t="str">
        <f t="shared" si="178"/>
        <v/>
      </c>
      <c r="G1898" t="str">
        <f>IF(OR($E1898="",$E1898="نامعتبر",Sync!$X1894=""),"",IF(AND(LEFT(UPPER(TRIM(Sync!$X1894)),2)="SL",IFERROR(VLOOKUP(Sync!$W1894,OpTbl,3,0),"")="فروش"),UPPER(TRIM(Sync!$X1894)),""))</f>
        <v/>
      </c>
      <c r="H1898" t="str">
        <f>IF($G1898="","",IF(Sync!$W1894="","",Sync!$W1894))</f>
        <v/>
      </c>
      <c r="I1898" t="str">
        <f>IF(OR($G1898="",Sync!$Y1894=""),"",Sync!$Y1894)</f>
        <v/>
      </c>
      <c r="J1898" t="str">
        <f>IF(OR($G1898="",Sync!$Z1894=""),"",Sync!$Z1894)</f>
        <v/>
      </c>
      <c r="K1898">
        <f>IF($G1898="",0,IF(Sync!$AA1894="",0,Sync!$AA1894))</f>
        <v>0</v>
      </c>
      <c r="L1898">
        <f>IF($G1898="",0,IF(Sync!$AB1894="",0,Sync!$AB1894))</f>
        <v>0</v>
      </c>
      <c r="M1898" t="str">
        <f t="shared" si="179"/>
        <v/>
      </c>
      <c r="N1898">
        <f>IF($G1898="",0,IF($H1898="مرجوعی فروش",-1,1)*IF(Sync!$AC1894="",0,Sync!$AC1894))</f>
        <v>0</v>
      </c>
      <c r="O1898" t="str">
        <f>IF(OR($G1898="",Sync!$V1894=""),"",Sync!$V1894)</f>
        <v/>
      </c>
      <c r="P1898" t="str">
        <f>IF(OR($G1898="",Sync!$AD1894=""),"",Sync!$AD1894)</f>
        <v/>
      </c>
      <c r="Q1898" t="str">
        <f>IF($G1898="","",IF(Sync!$U1894="","0000",IF(AND(ISNUMBER(Sync!$U1894),Sync!$U1894&gt;=0,Sync!$U1894&lt;1),RIGHT("00"&amp;HOUR(Sync!$U1894),2)&amp;RIGHT("00"&amp;MINUTE(Sync!$U1894),2),IFERROR(RIGHT("00"&amp;VALUE(LEFT(Sync!$U1894,FIND(":",Sync!$U1894)-1)),2)&amp;RIGHT("00"&amp;VALUE(MID(Sync!$U1894,FIND(":",Sync!$U1894)+1,2)),2),"0000"))))</f>
        <v/>
      </c>
    </row>
    <row r="1899" spans="1:17" x14ac:dyDescent="0.2">
      <c r="A1899" t="str">
        <f>IF(Sync!$T1895="","",Sync!$T1895)</f>
        <v/>
      </c>
      <c r="B1899" t="str">
        <f t="shared" si="174"/>
        <v/>
      </c>
      <c r="C1899" t="str">
        <f t="shared" si="175"/>
        <v/>
      </c>
      <c r="D1899" t="str">
        <f t="shared" si="176"/>
        <v/>
      </c>
      <c r="E1899" t="str">
        <f t="shared" si="177"/>
        <v/>
      </c>
      <c r="F1899" t="str">
        <f t="shared" si="178"/>
        <v/>
      </c>
      <c r="G1899" t="str">
        <f>IF(OR($E1899="",$E1899="نامعتبر",Sync!$X1895=""),"",IF(AND(LEFT(UPPER(TRIM(Sync!$X1895)),2)="SL",IFERROR(VLOOKUP(Sync!$W1895,OpTbl,3,0),"")="فروش"),UPPER(TRIM(Sync!$X1895)),""))</f>
        <v/>
      </c>
      <c r="H1899" t="str">
        <f>IF($G1899="","",IF(Sync!$W1895="","",Sync!$W1895))</f>
        <v/>
      </c>
      <c r="I1899" t="str">
        <f>IF(OR($G1899="",Sync!$Y1895=""),"",Sync!$Y1895)</f>
        <v/>
      </c>
      <c r="J1899" t="str">
        <f>IF(OR($G1899="",Sync!$Z1895=""),"",Sync!$Z1895)</f>
        <v/>
      </c>
      <c r="K1899">
        <f>IF($G1899="",0,IF(Sync!$AA1895="",0,Sync!$AA1895))</f>
        <v>0</v>
      </c>
      <c r="L1899">
        <f>IF($G1899="",0,IF(Sync!$AB1895="",0,Sync!$AB1895))</f>
        <v>0</v>
      </c>
      <c r="M1899" t="str">
        <f t="shared" si="179"/>
        <v/>
      </c>
      <c r="N1899">
        <f>IF($G1899="",0,IF($H1899="مرجوعی فروش",-1,1)*IF(Sync!$AC1895="",0,Sync!$AC1895))</f>
        <v>0</v>
      </c>
      <c r="O1899" t="str">
        <f>IF(OR($G1899="",Sync!$V1895=""),"",Sync!$V1895)</f>
        <v/>
      </c>
      <c r="P1899" t="str">
        <f>IF(OR($G1899="",Sync!$AD1895=""),"",Sync!$AD1895)</f>
        <v/>
      </c>
      <c r="Q1899" t="str">
        <f>IF($G1899="","",IF(Sync!$U1895="","0000",IF(AND(ISNUMBER(Sync!$U1895),Sync!$U1895&gt;=0,Sync!$U1895&lt;1),RIGHT("00"&amp;HOUR(Sync!$U1895),2)&amp;RIGHT("00"&amp;MINUTE(Sync!$U1895),2),IFERROR(RIGHT("00"&amp;VALUE(LEFT(Sync!$U1895,FIND(":",Sync!$U1895)-1)),2)&amp;RIGHT("00"&amp;VALUE(MID(Sync!$U1895,FIND(":",Sync!$U1895)+1,2)),2),"0000"))))</f>
        <v/>
      </c>
    </row>
    <row r="1900" spans="1:17" x14ac:dyDescent="0.2">
      <c r="A1900" t="str">
        <f>IF(Sync!$T1896="","",Sync!$T1896)</f>
        <v/>
      </c>
      <c r="B1900" t="str">
        <f t="shared" si="174"/>
        <v/>
      </c>
      <c r="C1900" t="str">
        <f t="shared" si="175"/>
        <v/>
      </c>
      <c r="D1900" t="str">
        <f t="shared" si="176"/>
        <v/>
      </c>
      <c r="E1900" t="str">
        <f t="shared" si="177"/>
        <v/>
      </c>
      <c r="F1900" t="str">
        <f t="shared" si="178"/>
        <v/>
      </c>
      <c r="G1900" t="str">
        <f>IF(OR($E1900="",$E1900="نامعتبر",Sync!$X1896=""),"",IF(AND(LEFT(UPPER(TRIM(Sync!$X1896)),2)="SL",IFERROR(VLOOKUP(Sync!$W1896,OpTbl,3,0),"")="فروش"),UPPER(TRIM(Sync!$X1896)),""))</f>
        <v/>
      </c>
      <c r="H1900" t="str">
        <f>IF($G1900="","",IF(Sync!$W1896="","",Sync!$W1896))</f>
        <v/>
      </c>
      <c r="I1900" t="str">
        <f>IF(OR($G1900="",Sync!$Y1896=""),"",Sync!$Y1896)</f>
        <v/>
      </c>
      <c r="J1900" t="str">
        <f>IF(OR($G1900="",Sync!$Z1896=""),"",Sync!$Z1896)</f>
        <v/>
      </c>
      <c r="K1900">
        <f>IF($G1900="",0,IF(Sync!$AA1896="",0,Sync!$AA1896))</f>
        <v>0</v>
      </c>
      <c r="L1900">
        <f>IF($G1900="",0,IF(Sync!$AB1896="",0,Sync!$AB1896))</f>
        <v>0</v>
      </c>
      <c r="M1900" t="str">
        <f t="shared" si="179"/>
        <v/>
      </c>
      <c r="N1900">
        <f>IF($G1900="",0,IF($H1900="مرجوعی فروش",-1,1)*IF(Sync!$AC1896="",0,Sync!$AC1896))</f>
        <v>0</v>
      </c>
      <c r="O1900" t="str">
        <f>IF(OR($G1900="",Sync!$V1896=""),"",Sync!$V1896)</f>
        <v/>
      </c>
      <c r="P1900" t="str">
        <f>IF(OR($G1900="",Sync!$AD1896=""),"",Sync!$AD1896)</f>
        <v/>
      </c>
      <c r="Q1900" t="str">
        <f>IF($G1900="","",IF(Sync!$U1896="","0000",IF(AND(ISNUMBER(Sync!$U1896),Sync!$U1896&gt;=0,Sync!$U1896&lt;1),RIGHT("00"&amp;HOUR(Sync!$U1896),2)&amp;RIGHT("00"&amp;MINUTE(Sync!$U1896),2),IFERROR(RIGHT("00"&amp;VALUE(LEFT(Sync!$U1896,FIND(":",Sync!$U1896)-1)),2)&amp;RIGHT("00"&amp;VALUE(MID(Sync!$U1896,FIND(":",Sync!$U1896)+1,2)),2),"0000"))))</f>
        <v/>
      </c>
    </row>
    <row r="1901" spans="1:17" x14ac:dyDescent="0.2">
      <c r="A1901" t="str">
        <f>IF(Sync!$T1897="","",Sync!$T1897)</f>
        <v/>
      </c>
      <c r="B1901" t="str">
        <f t="shared" si="174"/>
        <v/>
      </c>
      <c r="C1901" t="str">
        <f t="shared" si="175"/>
        <v/>
      </c>
      <c r="D1901" t="str">
        <f t="shared" si="176"/>
        <v/>
      </c>
      <c r="E1901" t="str">
        <f t="shared" si="177"/>
        <v/>
      </c>
      <c r="F1901" t="str">
        <f t="shared" si="178"/>
        <v/>
      </c>
      <c r="G1901" t="str">
        <f>IF(OR($E1901="",$E1901="نامعتبر",Sync!$X1897=""),"",IF(AND(LEFT(UPPER(TRIM(Sync!$X1897)),2)="SL",IFERROR(VLOOKUP(Sync!$W1897,OpTbl,3,0),"")="فروش"),UPPER(TRIM(Sync!$X1897)),""))</f>
        <v/>
      </c>
      <c r="H1901" t="str">
        <f>IF($G1901="","",IF(Sync!$W1897="","",Sync!$W1897))</f>
        <v/>
      </c>
      <c r="I1901" t="str">
        <f>IF(OR($G1901="",Sync!$Y1897=""),"",Sync!$Y1897)</f>
        <v/>
      </c>
      <c r="J1901" t="str">
        <f>IF(OR($G1901="",Sync!$Z1897=""),"",Sync!$Z1897)</f>
        <v/>
      </c>
      <c r="K1901">
        <f>IF($G1901="",0,IF(Sync!$AA1897="",0,Sync!$AA1897))</f>
        <v>0</v>
      </c>
      <c r="L1901">
        <f>IF($G1901="",0,IF(Sync!$AB1897="",0,Sync!$AB1897))</f>
        <v>0</v>
      </c>
      <c r="M1901" t="str">
        <f t="shared" si="179"/>
        <v/>
      </c>
      <c r="N1901">
        <f>IF($G1901="",0,IF($H1901="مرجوعی فروش",-1,1)*IF(Sync!$AC1897="",0,Sync!$AC1897))</f>
        <v>0</v>
      </c>
      <c r="O1901" t="str">
        <f>IF(OR($G1901="",Sync!$V1897=""),"",Sync!$V1897)</f>
        <v/>
      </c>
      <c r="P1901" t="str">
        <f>IF(OR($G1901="",Sync!$AD1897=""),"",Sync!$AD1897)</f>
        <v/>
      </c>
      <c r="Q1901" t="str">
        <f>IF($G1901="","",IF(Sync!$U1897="","0000",IF(AND(ISNUMBER(Sync!$U1897),Sync!$U1897&gt;=0,Sync!$U1897&lt;1),RIGHT("00"&amp;HOUR(Sync!$U1897),2)&amp;RIGHT("00"&amp;MINUTE(Sync!$U1897),2),IFERROR(RIGHT("00"&amp;VALUE(LEFT(Sync!$U1897,FIND(":",Sync!$U1897)-1)),2)&amp;RIGHT("00"&amp;VALUE(MID(Sync!$U1897,FIND(":",Sync!$U1897)+1,2)),2),"0000"))))</f>
        <v/>
      </c>
    </row>
    <row r="1902" spans="1:17" x14ac:dyDescent="0.2">
      <c r="A1902" t="str">
        <f>IF(Sync!$T1898="","",Sync!$T1898)</f>
        <v/>
      </c>
      <c r="B1902" t="str">
        <f t="shared" si="174"/>
        <v/>
      </c>
      <c r="C1902" t="str">
        <f t="shared" si="175"/>
        <v/>
      </c>
      <c r="D1902" t="str">
        <f t="shared" si="176"/>
        <v/>
      </c>
      <c r="E1902" t="str">
        <f t="shared" si="177"/>
        <v/>
      </c>
      <c r="F1902" t="str">
        <f t="shared" si="178"/>
        <v/>
      </c>
      <c r="G1902" t="str">
        <f>IF(OR($E1902="",$E1902="نامعتبر",Sync!$X1898=""),"",IF(AND(LEFT(UPPER(TRIM(Sync!$X1898)),2)="SL",IFERROR(VLOOKUP(Sync!$W1898,OpTbl,3,0),"")="فروش"),UPPER(TRIM(Sync!$X1898)),""))</f>
        <v/>
      </c>
      <c r="H1902" t="str">
        <f>IF($G1902="","",IF(Sync!$W1898="","",Sync!$W1898))</f>
        <v/>
      </c>
      <c r="I1902" t="str">
        <f>IF(OR($G1902="",Sync!$Y1898=""),"",Sync!$Y1898)</f>
        <v/>
      </c>
      <c r="J1902" t="str">
        <f>IF(OR($G1902="",Sync!$Z1898=""),"",Sync!$Z1898)</f>
        <v/>
      </c>
      <c r="K1902">
        <f>IF($G1902="",0,IF(Sync!$AA1898="",0,Sync!$AA1898))</f>
        <v>0</v>
      </c>
      <c r="L1902">
        <f>IF($G1902="",0,IF(Sync!$AB1898="",0,Sync!$AB1898))</f>
        <v>0</v>
      </c>
      <c r="M1902" t="str">
        <f t="shared" si="179"/>
        <v/>
      </c>
      <c r="N1902">
        <f>IF($G1902="",0,IF($H1902="مرجوعی فروش",-1,1)*IF(Sync!$AC1898="",0,Sync!$AC1898))</f>
        <v>0</v>
      </c>
      <c r="O1902" t="str">
        <f>IF(OR($G1902="",Sync!$V1898=""),"",Sync!$V1898)</f>
        <v/>
      </c>
      <c r="P1902" t="str">
        <f>IF(OR($G1902="",Sync!$AD1898=""),"",Sync!$AD1898)</f>
        <v/>
      </c>
      <c r="Q1902" t="str">
        <f>IF($G1902="","",IF(Sync!$U1898="","0000",IF(AND(ISNUMBER(Sync!$U1898),Sync!$U1898&gt;=0,Sync!$U1898&lt;1),RIGHT("00"&amp;HOUR(Sync!$U1898),2)&amp;RIGHT("00"&amp;MINUTE(Sync!$U1898),2),IFERROR(RIGHT("00"&amp;VALUE(LEFT(Sync!$U1898,FIND(":",Sync!$U1898)-1)),2)&amp;RIGHT("00"&amp;VALUE(MID(Sync!$U1898,FIND(":",Sync!$U1898)+1,2)),2),"0000"))))</f>
        <v/>
      </c>
    </row>
    <row r="1903" spans="1:17" x14ac:dyDescent="0.2">
      <c r="A1903" t="str">
        <f>IF(Sync!$T1899="","",Sync!$T1899)</f>
        <v/>
      </c>
      <c r="B1903" t="str">
        <f t="shared" si="174"/>
        <v/>
      </c>
      <c r="C1903" t="str">
        <f t="shared" si="175"/>
        <v/>
      </c>
      <c r="D1903" t="str">
        <f t="shared" si="176"/>
        <v/>
      </c>
      <c r="E1903" t="str">
        <f t="shared" si="177"/>
        <v/>
      </c>
      <c r="F1903" t="str">
        <f t="shared" si="178"/>
        <v/>
      </c>
      <c r="G1903" t="str">
        <f>IF(OR($E1903="",$E1903="نامعتبر",Sync!$X1899=""),"",IF(AND(LEFT(UPPER(TRIM(Sync!$X1899)),2)="SL",IFERROR(VLOOKUP(Sync!$W1899,OpTbl,3,0),"")="فروش"),UPPER(TRIM(Sync!$X1899)),""))</f>
        <v/>
      </c>
      <c r="H1903" t="str">
        <f>IF($G1903="","",IF(Sync!$W1899="","",Sync!$W1899))</f>
        <v/>
      </c>
      <c r="I1903" t="str">
        <f>IF(OR($G1903="",Sync!$Y1899=""),"",Sync!$Y1899)</f>
        <v/>
      </c>
      <c r="J1903" t="str">
        <f>IF(OR($G1903="",Sync!$Z1899=""),"",Sync!$Z1899)</f>
        <v/>
      </c>
      <c r="K1903">
        <f>IF($G1903="",0,IF(Sync!$AA1899="",0,Sync!$AA1899))</f>
        <v>0</v>
      </c>
      <c r="L1903">
        <f>IF($G1903="",0,IF(Sync!$AB1899="",0,Sync!$AB1899))</f>
        <v>0</v>
      </c>
      <c r="M1903" t="str">
        <f t="shared" si="179"/>
        <v/>
      </c>
      <c r="N1903">
        <f>IF($G1903="",0,IF($H1903="مرجوعی فروش",-1,1)*IF(Sync!$AC1899="",0,Sync!$AC1899))</f>
        <v>0</v>
      </c>
      <c r="O1903" t="str">
        <f>IF(OR($G1903="",Sync!$V1899=""),"",Sync!$V1899)</f>
        <v/>
      </c>
      <c r="P1903" t="str">
        <f>IF(OR($G1903="",Sync!$AD1899=""),"",Sync!$AD1899)</f>
        <v/>
      </c>
      <c r="Q1903" t="str">
        <f>IF($G1903="","",IF(Sync!$U1899="","0000",IF(AND(ISNUMBER(Sync!$U1899),Sync!$U1899&gt;=0,Sync!$U1899&lt;1),RIGHT("00"&amp;HOUR(Sync!$U1899),2)&amp;RIGHT("00"&amp;MINUTE(Sync!$U1899),2),IFERROR(RIGHT("00"&amp;VALUE(LEFT(Sync!$U1899,FIND(":",Sync!$U1899)-1)),2)&amp;RIGHT("00"&amp;VALUE(MID(Sync!$U1899,FIND(":",Sync!$U1899)+1,2)),2),"0000"))))</f>
        <v/>
      </c>
    </row>
    <row r="1904" spans="1:17" x14ac:dyDescent="0.2">
      <c r="A1904" t="str">
        <f>IF(Sync!$T1900="","",Sync!$T1900)</f>
        <v/>
      </c>
      <c r="B1904" t="str">
        <f t="shared" si="174"/>
        <v/>
      </c>
      <c r="C1904" t="str">
        <f t="shared" si="175"/>
        <v/>
      </c>
      <c r="D1904" t="str">
        <f t="shared" si="176"/>
        <v/>
      </c>
      <c r="E1904" t="str">
        <f t="shared" si="177"/>
        <v/>
      </c>
      <c r="F1904" t="str">
        <f t="shared" si="178"/>
        <v/>
      </c>
      <c r="G1904" t="str">
        <f>IF(OR($E1904="",$E1904="نامعتبر",Sync!$X1900=""),"",IF(AND(LEFT(UPPER(TRIM(Sync!$X1900)),2)="SL",IFERROR(VLOOKUP(Sync!$W1900,OpTbl,3,0),"")="فروش"),UPPER(TRIM(Sync!$X1900)),""))</f>
        <v/>
      </c>
      <c r="H1904" t="str">
        <f>IF($G1904="","",IF(Sync!$W1900="","",Sync!$W1900))</f>
        <v/>
      </c>
      <c r="I1904" t="str">
        <f>IF(OR($G1904="",Sync!$Y1900=""),"",Sync!$Y1900)</f>
        <v/>
      </c>
      <c r="J1904" t="str">
        <f>IF(OR($G1904="",Sync!$Z1900=""),"",Sync!$Z1900)</f>
        <v/>
      </c>
      <c r="K1904">
        <f>IF($G1904="",0,IF(Sync!$AA1900="",0,Sync!$AA1900))</f>
        <v>0</v>
      </c>
      <c r="L1904">
        <f>IF($G1904="",0,IF(Sync!$AB1900="",0,Sync!$AB1900))</f>
        <v>0</v>
      </c>
      <c r="M1904" t="str">
        <f t="shared" si="179"/>
        <v/>
      </c>
      <c r="N1904">
        <f>IF($G1904="",0,IF($H1904="مرجوعی فروش",-1,1)*IF(Sync!$AC1900="",0,Sync!$AC1900))</f>
        <v>0</v>
      </c>
      <c r="O1904" t="str">
        <f>IF(OR($G1904="",Sync!$V1900=""),"",Sync!$V1900)</f>
        <v/>
      </c>
      <c r="P1904" t="str">
        <f>IF(OR($G1904="",Sync!$AD1900=""),"",Sync!$AD1900)</f>
        <v/>
      </c>
      <c r="Q1904" t="str">
        <f>IF($G1904="","",IF(Sync!$U1900="","0000",IF(AND(ISNUMBER(Sync!$U1900),Sync!$U1900&gt;=0,Sync!$U1900&lt;1),RIGHT("00"&amp;HOUR(Sync!$U1900),2)&amp;RIGHT("00"&amp;MINUTE(Sync!$U1900),2),IFERROR(RIGHT("00"&amp;VALUE(LEFT(Sync!$U1900,FIND(":",Sync!$U1900)-1)),2)&amp;RIGHT("00"&amp;VALUE(MID(Sync!$U1900,FIND(":",Sync!$U1900)+1,2)),2),"0000"))))</f>
        <v/>
      </c>
    </row>
    <row r="1905" spans="1:17" x14ac:dyDescent="0.2">
      <c r="A1905" t="str">
        <f>IF(Sync!$T1901="","",Sync!$T1901)</f>
        <v/>
      </c>
      <c r="B1905" t="str">
        <f t="shared" si="174"/>
        <v/>
      </c>
      <c r="C1905" t="str">
        <f t="shared" si="175"/>
        <v/>
      </c>
      <c r="D1905" t="str">
        <f t="shared" si="176"/>
        <v/>
      </c>
      <c r="E1905" t="str">
        <f t="shared" si="177"/>
        <v/>
      </c>
      <c r="F1905" t="str">
        <f t="shared" si="178"/>
        <v/>
      </c>
      <c r="G1905" t="str">
        <f>IF(OR($E1905="",$E1905="نامعتبر",Sync!$X1901=""),"",IF(AND(LEFT(UPPER(TRIM(Sync!$X1901)),2)="SL",IFERROR(VLOOKUP(Sync!$W1901,OpTbl,3,0),"")="فروش"),UPPER(TRIM(Sync!$X1901)),""))</f>
        <v/>
      </c>
      <c r="H1905" t="str">
        <f>IF($G1905="","",IF(Sync!$W1901="","",Sync!$W1901))</f>
        <v/>
      </c>
      <c r="I1905" t="str">
        <f>IF(OR($G1905="",Sync!$Y1901=""),"",Sync!$Y1901)</f>
        <v/>
      </c>
      <c r="J1905" t="str">
        <f>IF(OR($G1905="",Sync!$Z1901=""),"",Sync!$Z1901)</f>
        <v/>
      </c>
      <c r="K1905">
        <f>IF($G1905="",0,IF(Sync!$AA1901="",0,Sync!$AA1901))</f>
        <v>0</v>
      </c>
      <c r="L1905">
        <f>IF($G1905="",0,IF(Sync!$AB1901="",0,Sync!$AB1901))</f>
        <v>0</v>
      </c>
      <c r="M1905" t="str">
        <f t="shared" si="179"/>
        <v/>
      </c>
      <c r="N1905">
        <f>IF($G1905="",0,IF($H1905="مرجوعی فروش",-1,1)*IF(Sync!$AC1901="",0,Sync!$AC1901))</f>
        <v>0</v>
      </c>
      <c r="O1905" t="str">
        <f>IF(OR($G1905="",Sync!$V1901=""),"",Sync!$V1901)</f>
        <v/>
      </c>
      <c r="P1905" t="str">
        <f>IF(OR($G1905="",Sync!$AD1901=""),"",Sync!$AD1901)</f>
        <v/>
      </c>
      <c r="Q1905" t="str">
        <f>IF($G1905="","",IF(Sync!$U1901="","0000",IF(AND(ISNUMBER(Sync!$U1901),Sync!$U1901&gt;=0,Sync!$U1901&lt;1),RIGHT("00"&amp;HOUR(Sync!$U1901),2)&amp;RIGHT("00"&amp;MINUTE(Sync!$U1901),2),IFERROR(RIGHT("00"&amp;VALUE(LEFT(Sync!$U1901,FIND(":",Sync!$U1901)-1)),2)&amp;RIGHT("00"&amp;VALUE(MID(Sync!$U1901,FIND(":",Sync!$U1901)+1,2)),2),"0000"))))</f>
        <v/>
      </c>
    </row>
    <row r="1906" spans="1:17" x14ac:dyDescent="0.2">
      <c r="A1906" t="str">
        <f>IF(Sync!$T1902="","",Sync!$T1902)</f>
        <v/>
      </c>
      <c r="B1906" t="str">
        <f t="shared" si="174"/>
        <v/>
      </c>
      <c r="C1906" t="str">
        <f t="shared" si="175"/>
        <v/>
      </c>
      <c r="D1906" t="str">
        <f t="shared" si="176"/>
        <v/>
      </c>
      <c r="E1906" t="str">
        <f t="shared" si="177"/>
        <v/>
      </c>
      <c r="F1906" t="str">
        <f t="shared" si="178"/>
        <v/>
      </c>
      <c r="G1906" t="str">
        <f>IF(OR($E1906="",$E1906="نامعتبر",Sync!$X1902=""),"",IF(AND(LEFT(UPPER(TRIM(Sync!$X1902)),2)="SL",IFERROR(VLOOKUP(Sync!$W1902,OpTbl,3,0),"")="فروش"),UPPER(TRIM(Sync!$X1902)),""))</f>
        <v/>
      </c>
      <c r="H1906" t="str">
        <f>IF($G1906="","",IF(Sync!$W1902="","",Sync!$W1902))</f>
        <v/>
      </c>
      <c r="I1906" t="str">
        <f>IF(OR($G1906="",Sync!$Y1902=""),"",Sync!$Y1902)</f>
        <v/>
      </c>
      <c r="J1906" t="str">
        <f>IF(OR($G1906="",Sync!$Z1902=""),"",Sync!$Z1902)</f>
        <v/>
      </c>
      <c r="K1906">
        <f>IF($G1906="",0,IF(Sync!$AA1902="",0,Sync!$AA1902))</f>
        <v>0</v>
      </c>
      <c r="L1906">
        <f>IF($G1906="",0,IF(Sync!$AB1902="",0,Sync!$AB1902))</f>
        <v>0</v>
      </c>
      <c r="M1906" t="str">
        <f t="shared" si="179"/>
        <v/>
      </c>
      <c r="N1906">
        <f>IF($G1906="",0,IF($H1906="مرجوعی فروش",-1,1)*IF(Sync!$AC1902="",0,Sync!$AC1902))</f>
        <v>0</v>
      </c>
      <c r="O1906" t="str">
        <f>IF(OR($G1906="",Sync!$V1902=""),"",Sync!$V1902)</f>
        <v/>
      </c>
      <c r="P1906" t="str">
        <f>IF(OR($G1906="",Sync!$AD1902=""),"",Sync!$AD1902)</f>
        <v/>
      </c>
      <c r="Q1906" t="str">
        <f>IF($G1906="","",IF(Sync!$U1902="","0000",IF(AND(ISNUMBER(Sync!$U1902),Sync!$U1902&gt;=0,Sync!$U1902&lt;1),RIGHT("00"&amp;HOUR(Sync!$U1902),2)&amp;RIGHT("00"&amp;MINUTE(Sync!$U1902),2),IFERROR(RIGHT("00"&amp;VALUE(LEFT(Sync!$U1902,FIND(":",Sync!$U1902)-1)),2)&amp;RIGHT("00"&amp;VALUE(MID(Sync!$U1902,FIND(":",Sync!$U1902)+1,2)),2),"0000"))))</f>
        <v/>
      </c>
    </row>
    <row r="1907" spans="1:17" x14ac:dyDescent="0.2">
      <c r="A1907" t="str">
        <f>IF(Sync!$T1903="","",Sync!$T1903)</f>
        <v/>
      </c>
      <c r="B1907" t="str">
        <f t="shared" si="174"/>
        <v/>
      </c>
      <c r="C1907" t="str">
        <f t="shared" si="175"/>
        <v/>
      </c>
      <c r="D1907" t="str">
        <f t="shared" si="176"/>
        <v/>
      </c>
      <c r="E1907" t="str">
        <f t="shared" si="177"/>
        <v/>
      </c>
      <c r="F1907" t="str">
        <f t="shared" si="178"/>
        <v/>
      </c>
      <c r="G1907" t="str">
        <f>IF(OR($E1907="",$E1907="نامعتبر",Sync!$X1903=""),"",IF(AND(LEFT(UPPER(TRIM(Sync!$X1903)),2)="SL",IFERROR(VLOOKUP(Sync!$W1903,OpTbl,3,0),"")="فروش"),UPPER(TRIM(Sync!$X1903)),""))</f>
        <v/>
      </c>
      <c r="H1907" t="str">
        <f>IF($G1907="","",IF(Sync!$W1903="","",Sync!$W1903))</f>
        <v/>
      </c>
      <c r="I1907" t="str">
        <f>IF(OR($G1907="",Sync!$Y1903=""),"",Sync!$Y1903)</f>
        <v/>
      </c>
      <c r="J1907" t="str">
        <f>IF(OR($G1907="",Sync!$Z1903=""),"",Sync!$Z1903)</f>
        <v/>
      </c>
      <c r="K1907">
        <f>IF($G1907="",0,IF(Sync!$AA1903="",0,Sync!$AA1903))</f>
        <v>0</v>
      </c>
      <c r="L1907">
        <f>IF($G1907="",0,IF(Sync!$AB1903="",0,Sync!$AB1903))</f>
        <v>0</v>
      </c>
      <c r="M1907" t="str">
        <f t="shared" si="179"/>
        <v/>
      </c>
      <c r="N1907">
        <f>IF($G1907="",0,IF($H1907="مرجوعی فروش",-1,1)*IF(Sync!$AC1903="",0,Sync!$AC1903))</f>
        <v>0</v>
      </c>
      <c r="O1907" t="str">
        <f>IF(OR($G1907="",Sync!$V1903=""),"",Sync!$V1903)</f>
        <v/>
      </c>
      <c r="P1907" t="str">
        <f>IF(OR($G1907="",Sync!$AD1903=""),"",Sync!$AD1903)</f>
        <v/>
      </c>
      <c r="Q1907" t="str">
        <f>IF($G1907="","",IF(Sync!$U1903="","0000",IF(AND(ISNUMBER(Sync!$U1903),Sync!$U1903&gt;=0,Sync!$U1903&lt;1),RIGHT("00"&amp;HOUR(Sync!$U1903),2)&amp;RIGHT("00"&amp;MINUTE(Sync!$U1903),2),IFERROR(RIGHT("00"&amp;VALUE(LEFT(Sync!$U1903,FIND(":",Sync!$U1903)-1)),2)&amp;RIGHT("00"&amp;VALUE(MID(Sync!$U1903,FIND(":",Sync!$U1903)+1,2)),2),"0000"))))</f>
        <v/>
      </c>
    </row>
    <row r="1908" spans="1:17" x14ac:dyDescent="0.2">
      <c r="A1908" t="str">
        <f>IF(Sync!$T1904="","",Sync!$T1904)</f>
        <v/>
      </c>
      <c r="B1908" t="str">
        <f t="shared" si="174"/>
        <v/>
      </c>
      <c r="C1908" t="str">
        <f t="shared" si="175"/>
        <v/>
      </c>
      <c r="D1908" t="str">
        <f t="shared" si="176"/>
        <v/>
      </c>
      <c r="E1908" t="str">
        <f t="shared" si="177"/>
        <v/>
      </c>
      <c r="F1908" t="str">
        <f t="shared" si="178"/>
        <v/>
      </c>
      <c r="G1908" t="str">
        <f>IF(OR($E1908="",$E1908="نامعتبر",Sync!$X1904=""),"",IF(AND(LEFT(UPPER(TRIM(Sync!$X1904)),2)="SL",IFERROR(VLOOKUP(Sync!$W1904,OpTbl,3,0),"")="فروش"),UPPER(TRIM(Sync!$X1904)),""))</f>
        <v/>
      </c>
      <c r="H1908" t="str">
        <f>IF($G1908="","",IF(Sync!$W1904="","",Sync!$W1904))</f>
        <v/>
      </c>
      <c r="I1908" t="str">
        <f>IF(OR($G1908="",Sync!$Y1904=""),"",Sync!$Y1904)</f>
        <v/>
      </c>
      <c r="J1908" t="str">
        <f>IF(OR($G1908="",Sync!$Z1904=""),"",Sync!$Z1904)</f>
        <v/>
      </c>
      <c r="K1908">
        <f>IF($G1908="",0,IF(Sync!$AA1904="",0,Sync!$AA1904))</f>
        <v>0</v>
      </c>
      <c r="L1908">
        <f>IF($G1908="",0,IF(Sync!$AB1904="",0,Sync!$AB1904))</f>
        <v>0</v>
      </c>
      <c r="M1908" t="str">
        <f t="shared" si="179"/>
        <v/>
      </c>
      <c r="N1908">
        <f>IF($G1908="",0,IF($H1908="مرجوعی فروش",-1,1)*IF(Sync!$AC1904="",0,Sync!$AC1904))</f>
        <v>0</v>
      </c>
      <c r="O1908" t="str">
        <f>IF(OR($G1908="",Sync!$V1904=""),"",Sync!$V1904)</f>
        <v/>
      </c>
      <c r="P1908" t="str">
        <f>IF(OR($G1908="",Sync!$AD1904=""),"",Sync!$AD1904)</f>
        <v/>
      </c>
      <c r="Q1908" t="str">
        <f>IF($G1908="","",IF(Sync!$U1904="","0000",IF(AND(ISNUMBER(Sync!$U1904),Sync!$U1904&gt;=0,Sync!$U1904&lt;1),RIGHT("00"&amp;HOUR(Sync!$U1904),2)&amp;RIGHT("00"&amp;MINUTE(Sync!$U1904),2),IFERROR(RIGHT("00"&amp;VALUE(LEFT(Sync!$U1904,FIND(":",Sync!$U1904)-1)),2)&amp;RIGHT("00"&amp;VALUE(MID(Sync!$U1904,FIND(":",Sync!$U1904)+1,2)),2),"0000"))))</f>
        <v/>
      </c>
    </row>
    <row r="1909" spans="1:17" x14ac:dyDescent="0.2">
      <c r="A1909" t="str">
        <f>IF(Sync!$T1905="","",Sync!$T1905)</f>
        <v/>
      </c>
      <c r="B1909" t="str">
        <f t="shared" si="174"/>
        <v/>
      </c>
      <c r="C1909" t="str">
        <f t="shared" si="175"/>
        <v/>
      </c>
      <c r="D1909" t="str">
        <f t="shared" si="176"/>
        <v/>
      </c>
      <c r="E1909" t="str">
        <f t="shared" si="177"/>
        <v/>
      </c>
      <c r="F1909" t="str">
        <f t="shared" si="178"/>
        <v/>
      </c>
      <c r="G1909" t="str">
        <f>IF(OR($E1909="",$E1909="نامعتبر",Sync!$X1905=""),"",IF(AND(LEFT(UPPER(TRIM(Sync!$X1905)),2)="SL",IFERROR(VLOOKUP(Sync!$W1905,OpTbl,3,0),"")="فروش"),UPPER(TRIM(Sync!$X1905)),""))</f>
        <v/>
      </c>
      <c r="H1909" t="str">
        <f>IF($G1909="","",IF(Sync!$W1905="","",Sync!$W1905))</f>
        <v/>
      </c>
      <c r="I1909" t="str">
        <f>IF(OR($G1909="",Sync!$Y1905=""),"",Sync!$Y1905)</f>
        <v/>
      </c>
      <c r="J1909" t="str">
        <f>IF(OR($G1909="",Sync!$Z1905=""),"",Sync!$Z1905)</f>
        <v/>
      </c>
      <c r="K1909">
        <f>IF($G1909="",0,IF(Sync!$AA1905="",0,Sync!$AA1905))</f>
        <v>0</v>
      </c>
      <c r="L1909">
        <f>IF($G1909="",0,IF(Sync!$AB1905="",0,Sync!$AB1905))</f>
        <v>0</v>
      </c>
      <c r="M1909" t="str">
        <f t="shared" si="179"/>
        <v/>
      </c>
      <c r="N1909">
        <f>IF($G1909="",0,IF($H1909="مرجوعی فروش",-1,1)*IF(Sync!$AC1905="",0,Sync!$AC1905))</f>
        <v>0</v>
      </c>
      <c r="O1909" t="str">
        <f>IF(OR($G1909="",Sync!$V1905=""),"",Sync!$V1905)</f>
        <v/>
      </c>
      <c r="P1909" t="str">
        <f>IF(OR($G1909="",Sync!$AD1905=""),"",Sync!$AD1905)</f>
        <v/>
      </c>
      <c r="Q1909" t="str">
        <f>IF($G1909="","",IF(Sync!$U1905="","0000",IF(AND(ISNUMBER(Sync!$U1905),Sync!$U1905&gt;=0,Sync!$U1905&lt;1),RIGHT("00"&amp;HOUR(Sync!$U1905),2)&amp;RIGHT("00"&amp;MINUTE(Sync!$U1905),2),IFERROR(RIGHT("00"&amp;VALUE(LEFT(Sync!$U1905,FIND(":",Sync!$U1905)-1)),2)&amp;RIGHT("00"&amp;VALUE(MID(Sync!$U1905,FIND(":",Sync!$U1905)+1,2)),2),"0000"))))</f>
        <v/>
      </c>
    </row>
    <row r="1910" spans="1:17" x14ac:dyDescent="0.2">
      <c r="A1910" t="str">
        <f>IF(Sync!$T1906="","",Sync!$T1906)</f>
        <v/>
      </c>
      <c r="B1910" t="str">
        <f t="shared" si="174"/>
        <v/>
      </c>
      <c r="C1910" t="str">
        <f t="shared" si="175"/>
        <v/>
      </c>
      <c r="D1910" t="str">
        <f t="shared" si="176"/>
        <v/>
      </c>
      <c r="E1910" t="str">
        <f t="shared" si="177"/>
        <v/>
      </c>
      <c r="F1910" t="str">
        <f t="shared" si="178"/>
        <v/>
      </c>
      <c r="G1910" t="str">
        <f>IF(OR($E1910="",$E1910="نامعتبر",Sync!$X1906=""),"",IF(AND(LEFT(UPPER(TRIM(Sync!$X1906)),2)="SL",IFERROR(VLOOKUP(Sync!$W1906,OpTbl,3,0),"")="فروش"),UPPER(TRIM(Sync!$X1906)),""))</f>
        <v/>
      </c>
      <c r="H1910" t="str">
        <f>IF($G1910="","",IF(Sync!$W1906="","",Sync!$W1906))</f>
        <v/>
      </c>
      <c r="I1910" t="str">
        <f>IF(OR($G1910="",Sync!$Y1906=""),"",Sync!$Y1906)</f>
        <v/>
      </c>
      <c r="J1910" t="str">
        <f>IF(OR($G1910="",Sync!$Z1906=""),"",Sync!$Z1906)</f>
        <v/>
      </c>
      <c r="K1910">
        <f>IF($G1910="",0,IF(Sync!$AA1906="",0,Sync!$AA1906))</f>
        <v>0</v>
      </c>
      <c r="L1910">
        <f>IF($G1910="",0,IF(Sync!$AB1906="",0,Sync!$AB1906))</f>
        <v>0</v>
      </c>
      <c r="M1910" t="str">
        <f t="shared" si="179"/>
        <v/>
      </c>
      <c r="N1910">
        <f>IF($G1910="",0,IF($H1910="مرجوعی فروش",-1,1)*IF(Sync!$AC1906="",0,Sync!$AC1906))</f>
        <v>0</v>
      </c>
      <c r="O1910" t="str">
        <f>IF(OR($G1910="",Sync!$V1906=""),"",Sync!$V1906)</f>
        <v/>
      </c>
      <c r="P1910" t="str">
        <f>IF(OR($G1910="",Sync!$AD1906=""),"",Sync!$AD1906)</f>
        <v/>
      </c>
      <c r="Q1910" t="str">
        <f>IF($G1910="","",IF(Sync!$U1906="","0000",IF(AND(ISNUMBER(Sync!$U1906),Sync!$U1906&gt;=0,Sync!$U1906&lt;1),RIGHT("00"&amp;HOUR(Sync!$U1906),2)&amp;RIGHT("00"&amp;MINUTE(Sync!$U1906),2),IFERROR(RIGHT("00"&amp;VALUE(LEFT(Sync!$U1906,FIND(":",Sync!$U1906)-1)),2)&amp;RIGHT("00"&amp;VALUE(MID(Sync!$U1906,FIND(":",Sync!$U1906)+1,2)),2),"0000"))))</f>
        <v/>
      </c>
    </row>
    <row r="1911" spans="1:17" x14ac:dyDescent="0.2">
      <c r="A1911" t="str">
        <f>IF(Sync!$T1907="","",Sync!$T1907)</f>
        <v/>
      </c>
      <c r="B1911" t="str">
        <f t="shared" si="174"/>
        <v/>
      </c>
      <c r="C1911" t="str">
        <f t="shared" si="175"/>
        <v/>
      </c>
      <c r="D1911" t="str">
        <f t="shared" si="176"/>
        <v/>
      </c>
      <c r="E1911" t="str">
        <f t="shared" si="177"/>
        <v/>
      </c>
      <c r="F1911" t="str">
        <f t="shared" si="178"/>
        <v/>
      </c>
      <c r="G1911" t="str">
        <f>IF(OR($E1911="",$E1911="نامعتبر",Sync!$X1907=""),"",IF(AND(LEFT(UPPER(TRIM(Sync!$X1907)),2)="SL",IFERROR(VLOOKUP(Sync!$W1907,OpTbl,3,0),"")="فروش"),UPPER(TRIM(Sync!$X1907)),""))</f>
        <v/>
      </c>
      <c r="H1911" t="str">
        <f>IF($G1911="","",IF(Sync!$W1907="","",Sync!$W1907))</f>
        <v/>
      </c>
      <c r="I1911" t="str">
        <f>IF(OR($G1911="",Sync!$Y1907=""),"",Sync!$Y1907)</f>
        <v/>
      </c>
      <c r="J1911" t="str">
        <f>IF(OR($G1911="",Sync!$Z1907=""),"",Sync!$Z1907)</f>
        <v/>
      </c>
      <c r="K1911">
        <f>IF($G1911="",0,IF(Sync!$AA1907="",0,Sync!$AA1907))</f>
        <v>0</v>
      </c>
      <c r="L1911">
        <f>IF($G1911="",0,IF(Sync!$AB1907="",0,Sync!$AB1907))</f>
        <v>0</v>
      </c>
      <c r="M1911" t="str">
        <f t="shared" si="179"/>
        <v/>
      </c>
      <c r="N1911">
        <f>IF($G1911="",0,IF($H1911="مرجوعی فروش",-1,1)*IF(Sync!$AC1907="",0,Sync!$AC1907))</f>
        <v>0</v>
      </c>
      <c r="O1911" t="str">
        <f>IF(OR($G1911="",Sync!$V1907=""),"",Sync!$V1907)</f>
        <v/>
      </c>
      <c r="P1911" t="str">
        <f>IF(OR($G1911="",Sync!$AD1907=""),"",Sync!$AD1907)</f>
        <v/>
      </c>
      <c r="Q1911" t="str">
        <f>IF($G1911="","",IF(Sync!$U1907="","0000",IF(AND(ISNUMBER(Sync!$U1907),Sync!$U1907&gt;=0,Sync!$U1907&lt;1),RIGHT("00"&amp;HOUR(Sync!$U1907),2)&amp;RIGHT("00"&amp;MINUTE(Sync!$U1907),2),IFERROR(RIGHT("00"&amp;VALUE(LEFT(Sync!$U1907,FIND(":",Sync!$U1907)-1)),2)&amp;RIGHT("00"&amp;VALUE(MID(Sync!$U1907,FIND(":",Sync!$U1907)+1,2)),2),"0000"))))</f>
        <v/>
      </c>
    </row>
    <row r="1912" spans="1:17" x14ac:dyDescent="0.2">
      <c r="A1912" t="str">
        <f>IF(Sync!$T1908="","",Sync!$T1908)</f>
        <v/>
      </c>
      <c r="B1912" t="str">
        <f t="shared" si="174"/>
        <v/>
      </c>
      <c r="C1912" t="str">
        <f t="shared" si="175"/>
        <v/>
      </c>
      <c r="D1912" t="str">
        <f t="shared" si="176"/>
        <v/>
      </c>
      <c r="E1912" t="str">
        <f t="shared" si="177"/>
        <v/>
      </c>
      <c r="F1912" t="str">
        <f t="shared" si="178"/>
        <v/>
      </c>
      <c r="G1912" t="str">
        <f>IF(OR($E1912="",$E1912="نامعتبر",Sync!$X1908=""),"",IF(AND(LEFT(UPPER(TRIM(Sync!$X1908)),2)="SL",IFERROR(VLOOKUP(Sync!$W1908,OpTbl,3,0),"")="فروش"),UPPER(TRIM(Sync!$X1908)),""))</f>
        <v/>
      </c>
      <c r="H1912" t="str">
        <f>IF($G1912="","",IF(Sync!$W1908="","",Sync!$W1908))</f>
        <v/>
      </c>
      <c r="I1912" t="str">
        <f>IF(OR($G1912="",Sync!$Y1908=""),"",Sync!$Y1908)</f>
        <v/>
      </c>
      <c r="J1912" t="str">
        <f>IF(OR($G1912="",Sync!$Z1908=""),"",Sync!$Z1908)</f>
        <v/>
      </c>
      <c r="K1912">
        <f>IF($G1912="",0,IF(Sync!$AA1908="",0,Sync!$AA1908))</f>
        <v>0</v>
      </c>
      <c r="L1912">
        <f>IF($G1912="",0,IF(Sync!$AB1908="",0,Sync!$AB1908))</f>
        <v>0</v>
      </c>
      <c r="M1912" t="str">
        <f t="shared" si="179"/>
        <v/>
      </c>
      <c r="N1912">
        <f>IF($G1912="",0,IF($H1912="مرجوعی فروش",-1,1)*IF(Sync!$AC1908="",0,Sync!$AC1908))</f>
        <v>0</v>
      </c>
      <c r="O1912" t="str">
        <f>IF(OR($G1912="",Sync!$V1908=""),"",Sync!$V1908)</f>
        <v/>
      </c>
      <c r="P1912" t="str">
        <f>IF(OR($G1912="",Sync!$AD1908=""),"",Sync!$AD1908)</f>
        <v/>
      </c>
      <c r="Q1912" t="str">
        <f>IF($G1912="","",IF(Sync!$U1908="","0000",IF(AND(ISNUMBER(Sync!$U1908),Sync!$U1908&gt;=0,Sync!$U1908&lt;1),RIGHT("00"&amp;HOUR(Sync!$U1908),2)&amp;RIGHT("00"&amp;MINUTE(Sync!$U1908),2),IFERROR(RIGHT("00"&amp;VALUE(LEFT(Sync!$U1908,FIND(":",Sync!$U1908)-1)),2)&amp;RIGHT("00"&amp;VALUE(MID(Sync!$U1908,FIND(":",Sync!$U1908)+1,2)),2),"0000"))))</f>
        <v/>
      </c>
    </row>
    <row r="1913" spans="1:17" x14ac:dyDescent="0.2">
      <c r="A1913" t="str">
        <f>IF(Sync!$T1909="","",Sync!$T1909)</f>
        <v/>
      </c>
      <c r="B1913" t="str">
        <f t="shared" si="174"/>
        <v/>
      </c>
      <c r="C1913" t="str">
        <f t="shared" si="175"/>
        <v/>
      </c>
      <c r="D1913" t="str">
        <f t="shared" si="176"/>
        <v/>
      </c>
      <c r="E1913" t="str">
        <f t="shared" si="177"/>
        <v/>
      </c>
      <c r="F1913" t="str">
        <f t="shared" si="178"/>
        <v/>
      </c>
      <c r="G1913" t="str">
        <f>IF(OR($E1913="",$E1913="نامعتبر",Sync!$X1909=""),"",IF(AND(LEFT(UPPER(TRIM(Sync!$X1909)),2)="SL",IFERROR(VLOOKUP(Sync!$W1909,OpTbl,3,0),"")="فروش"),UPPER(TRIM(Sync!$X1909)),""))</f>
        <v/>
      </c>
      <c r="H1913" t="str">
        <f>IF($G1913="","",IF(Sync!$W1909="","",Sync!$W1909))</f>
        <v/>
      </c>
      <c r="I1913" t="str">
        <f>IF(OR($G1913="",Sync!$Y1909=""),"",Sync!$Y1909)</f>
        <v/>
      </c>
      <c r="J1913" t="str">
        <f>IF(OR($G1913="",Sync!$Z1909=""),"",Sync!$Z1909)</f>
        <v/>
      </c>
      <c r="K1913">
        <f>IF($G1913="",0,IF(Sync!$AA1909="",0,Sync!$AA1909))</f>
        <v>0</v>
      </c>
      <c r="L1913">
        <f>IF($G1913="",0,IF(Sync!$AB1909="",0,Sync!$AB1909))</f>
        <v>0</v>
      </c>
      <c r="M1913" t="str">
        <f t="shared" si="179"/>
        <v/>
      </c>
      <c r="N1913">
        <f>IF($G1913="",0,IF($H1913="مرجوعی فروش",-1,1)*IF(Sync!$AC1909="",0,Sync!$AC1909))</f>
        <v>0</v>
      </c>
      <c r="O1913" t="str">
        <f>IF(OR($G1913="",Sync!$V1909=""),"",Sync!$V1909)</f>
        <v/>
      </c>
      <c r="P1913" t="str">
        <f>IF(OR($G1913="",Sync!$AD1909=""),"",Sync!$AD1909)</f>
        <v/>
      </c>
      <c r="Q1913" t="str">
        <f>IF($G1913="","",IF(Sync!$U1909="","0000",IF(AND(ISNUMBER(Sync!$U1909),Sync!$U1909&gt;=0,Sync!$U1909&lt;1),RIGHT("00"&amp;HOUR(Sync!$U1909),2)&amp;RIGHT("00"&amp;MINUTE(Sync!$U1909),2),IFERROR(RIGHT("00"&amp;VALUE(LEFT(Sync!$U1909,FIND(":",Sync!$U1909)-1)),2)&amp;RIGHT("00"&amp;VALUE(MID(Sync!$U1909,FIND(":",Sync!$U1909)+1,2)),2),"0000"))))</f>
        <v/>
      </c>
    </row>
    <row r="1914" spans="1:17" x14ac:dyDescent="0.2">
      <c r="A1914" t="str">
        <f>IF(Sync!$T1910="","",Sync!$T1910)</f>
        <v/>
      </c>
      <c r="B1914" t="str">
        <f t="shared" si="174"/>
        <v/>
      </c>
      <c r="C1914" t="str">
        <f t="shared" si="175"/>
        <v/>
      </c>
      <c r="D1914" t="str">
        <f t="shared" si="176"/>
        <v/>
      </c>
      <c r="E1914" t="str">
        <f t="shared" si="177"/>
        <v/>
      </c>
      <c r="F1914" t="str">
        <f t="shared" si="178"/>
        <v/>
      </c>
      <c r="G1914" t="str">
        <f>IF(OR($E1914="",$E1914="نامعتبر",Sync!$X1910=""),"",IF(AND(LEFT(UPPER(TRIM(Sync!$X1910)),2)="SL",IFERROR(VLOOKUP(Sync!$W1910,OpTbl,3,0),"")="فروش"),UPPER(TRIM(Sync!$X1910)),""))</f>
        <v/>
      </c>
      <c r="H1914" t="str">
        <f>IF($G1914="","",IF(Sync!$W1910="","",Sync!$W1910))</f>
        <v/>
      </c>
      <c r="I1914" t="str">
        <f>IF(OR($G1914="",Sync!$Y1910=""),"",Sync!$Y1910)</f>
        <v/>
      </c>
      <c r="J1914" t="str">
        <f>IF(OR($G1914="",Sync!$Z1910=""),"",Sync!$Z1910)</f>
        <v/>
      </c>
      <c r="K1914">
        <f>IF($G1914="",0,IF(Sync!$AA1910="",0,Sync!$AA1910))</f>
        <v>0</v>
      </c>
      <c r="L1914">
        <f>IF($G1914="",0,IF(Sync!$AB1910="",0,Sync!$AB1910))</f>
        <v>0</v>
      </c>
      <c r="M1914" t="str">
        <f t="shared" si="179"/>
        <v/>
      </c>
      <c r="N1914">
        <f>IF($G1914="",0,IF($H1914="مرجوعی فروش",-1,1)*IF(Sync!$AC1910="",0,Sync!$AC1910))</f>
        <v>0</v>
      </c>
      <c r="O1914" t="str">
        <f>IF(OR($G1914="",Sync!$V1910=""),"",Sync!$V1910)</f>
        <v/>
      </c>
      <c r="P1914" t="str">
        <f>IF(OR($G1914="",Sync!$AD1910=""),"",Sync!$AD1910)</f>
        <v/>
      </c>
      <c r="Q1914" t="str">
        <f>IF($G1914="","",IF(Sync!$U1910="","0000",IF(AND(ISNUMBER(Sync!$U1910),Sync!$U1910&gt;=0,Sync!$U1910&lt;1),RIGHT("00"&amp;HOUR(Sync!$U1910),2)&amp;RIGHT("00"&amp;MINUTE(Sync!$U1910),2),IFERROR(RIGHT("00"&amp;VALUE(LEFT(Sync!$U1910,FIND(":",Sync!$U1910)-1)),2)&amp;RIGHT("00"&amp;VALUE(MID(Sync!$U1910,FIND(":",Sync!$U1910)+1,2)),2),"0000"))))</f>
        <v/>
      </c>
    </row>
    <row r="1915" spans="1:17" x14ac:dyDescent="0.2">
      <c r="A1915" t="str">
        <f>IF(Sync!$T1911="","",Sync!$T1911)</f>
        <v/>
      </c>
      <c r="B1915" t="str">
        <f t="shared" si="174"/>
        <v/>
      </c>
      <c r="C1915" t="str">
        <f t="shared" si="175"/>
        <v/>
      </c>
      <c r="D1915" t="str">
        <f t="shared" si="176"/>
        <v/>
      </c>
      <c r="E1915" t="str">
        <f t="shared" si="177"/>
        <v/>
      </c>
      <c r="F1915" t="str">
        <f t="shared" si="178"/>
        <v/>
      </c>
      <c r="G1915" t="str">
        <f>IF(OR($E1915="",$E1915="نامعتبر",Sync!$X1911=""),"",IF(AND(LEFT(UPPER(TRIM(Sync!$X1911)),2)="SL",IFERROR(VLOOKUP(Sync!$W1911,OpTbl,3,0),"")="فروش"),UPPER(TRIM(Sync!$X1911)),""))</f>
        <v/>
      </c>
      <c r="H1915" t="str">
        <f>IF($G1915="","",IF(Sync!$W1911="","",Sync!$W1911))</f>
        <v/>
      </c>
      <c r="I1915" t="str">
        <f>IF(OR($G1915="",Sync!$Y1911=""),"",Sync!$Y1911)</f>
        <v/>
      </c>
      <c r="J1915" t="str">
        <f>IF(OR($G1915="",Sync!$Z1911=""),"",Sync!$Z1911)</f>
        <v/>
      </c>
      <c r="K1915">
        <f>IF($G1915="",0,IF(Sync!$AA1911="",0,Sync!$AA1911))</f>
        <v>0</v>
      </c>
      <c r="L1915">
        <f>IF($G1915="",0,IF(Sync!$AB1911="",0,Sync!$AB1911))</f>
        <v>0</v>
      </c>
      <c r="M1915" t="str">
        <f t="shared" si="179"/>
        <v/>
      </c>
      <c r="N1915">
        <f>IF($G1915="",0,IF($H1915="مرجوعی فروش",-1,1)*IF(Sync!$AC1911="",0,Sync!$AC1911))</f>
        <v>0</v>
      </c>
      <c r="O1915" t="str">
        <f>IF(OR($G1915="",Sync!$V1911=""),"",Sync!$V1911)</f>
        <v/>
      </c>
      <c r="P1915" t="str">
        <f>IF(OR($G1915="",Sync!$AD1911=""),"",Sync!$AD1911)</f>
        <v/>
      </c>
      <c r="Q1915" t="str">
        <f>IF($G1915="","",IF(Sync!$U1911="","0000",IF(AND(ISNUMBER(Sync!$U1911),Sync!$U1911&gt;=0,Sync!$U1911&lt;1),RIGHT("00"&amp;HOUR(Sync!$U1911),2)&amp;RIGHT("00"&amp;MINUTE(Sync!$U1911),2),IFERROR(RIGHT("00"&amp;VALUE(LEFT(Sync!$U1911,FIND(":",Sync!$U1911)-1)),2)&amp;RIGHT("00"&amp;VALUE(MID(Sync!$U1911,FIND(":",Sync!$U1911)+1,2)),2),"0000"))))</f>
        <v/>
      </c>
    </row>
    <row r="1916" spans="1:17" x14ac:dyDescent="0.2">
      <c r="A1916" t="str">
        <f>IF(Sync!$T1912="","",Sync!$T1912)</f>
        <v/>
      </c>
      <c r="B1916" t="str">
        <f t="shared" si="174"/>
        <v/>
      </c>
      <c r="C1916" t="str">
        <f t="shared" si="175"/>
        <v/>
      </c>
      <c r="D1916" t="str">
        <f t="shared" si="176"/>
        <v/>
      </c>
      <c r="E1916" t="str">
        <f t="shared" si="177"/>
        <v/>
      </c>
      <c r="F1916" t="str">
        <f t="shared" si="178"/>
        <v/>
      </c>
      <c r="G1916" t="str">
        <f>IF(OR($E1916="",$E1916="نامعتبر",Sync!$X1912=""),"",IF(AND(LEFT(UPPER(TRIM(Sync!$X1912)),2)="SL",IFERROR(VLOOKUP(Sync!$W1912,OpTbl,3,0),"")="فروش"),UPPER(TRIM(Sync!$X1912)),""))</f>
        <v/>
      </c>
      <c r="H1916" t="str">
        <f>IF($G1916="","",IF(Sync!$W1912="","",Sync!$W1912))</f>
        <v/>
      </c>
      <c r="I1916" t="str">
        <f>IF(OR($G1916="",Sync!$Y1912=""),"",Sync!$Y1912)</f>
        <v/>
      </c>
      <c r="J1916" t="str">
        <f>IF(OR($G1916="",Sync!$Z1912=""),"",Sync!$Z1912)</f>
        <v/>
      </c>
      <c r="K1916">
        <f>IF($G1916="",0,IF(Sync!$AA1912="",0,Sync!$AA1912))</f>
        <v>0</v>
      </c>
      <c r="L1916">
        <f>IF($G1916="",0,IF(Sync!$AB1912="",0,Sync!$AB1912))</f>
        <v>0</v>
      </c>
      <c r="M1916" t="str">
        <f t="shared" si="179"/>
        <v/>
      </c>
      <c r="N1916">
        <f>IF($G1916="",0,IF($H1916="مرجوعی فروش",-1,1)*IF(Sync!$AC1912="",0,Sync!$AC1912))</f>
        <v>0</v>
      </c>
      <c r="O1916" t="str">
        <f>IF(OR($G1916="",Sync!$V1912=""),"",Sync!$V1912)</f>
        <v/>
      </c>
      <c r="P1916" t="str">
        <f>IF(OR($G1916="",Sync!$AD1912=""),"",Sync!$AD1912)</f>
        <v/>
      </c>
      <c r="Q1916" t="str">
        <f>IF($G1916="","",IF(Sync!$U1912="","0000",IF(AND(ISNUMBER(Sync!$U1912),Sync!$U1912&gt;=0,Sync!$U1912&lt;1),RIGHT("00"&amp;HOUR(Sync!$U1912),2)&amp;RIGHT("00"&amp;MINUTE(Sync!$U1912),2),IFERROR(RIGHT("00"&amp;VALUE(LEFT(Sync!$U1912,FIND(":",Sync!$U1912)-1)),2)&amp;RIGHT("00"&amp;VALUE(MID(Sync!$U1912,FIND(":",Sync!$U1912)+1,2)),2),"0000"))))</f>
        <v/>
      </c>
    </row>
    <row r="1917" spans="1:17" x14ac:dyDescent="0.2">
      <c r="A1917" t="str">
        <f>IF(Sync!$T1913="","",Sync!$T1913)</f>
        <v/>
      </c>
      <c r="B1917" t="str">
        <f t="shared" si="174"/>
        <v/>
      </c>
      <c r="C1917" t="str">
        <f t="shared" si="175"/>
        <v/>
      </c>
      <c r="D1917" t="str">
        <f t="shared" si="176"/>
        <v/>
      </c>
      <c r="E1917" t="str">
        <f t="shared" si="177"/>
        <v/>
      </c>
      <c r="F1917" t="str">
        <f t="shared" si="178"/>
        <v/>
      </c>
      <c r="G1917" t="str">
        <f>IF(OR($E1917="",$E1917="نامعتبر",Sync!$X1913=""),"",IF(AND(LEFT(UPPER(TRIM(Sync!$X1913)),2)="SL",IFERROR(VLOOKUP(Sync!$W1913,OpTbl,3,0),"")="فروش"),UPPER(TRIM(Sync!$X1913)),""))</f>
        <v/>
      </c>
      <c r="H1917" t="str">
        <f>IF($G1917="","",IF(Sync!$W1913="","",Sync!$W1913))</f>
        <v/>
      </c>
      <c r="I1917" t="str">
        <f>IF(OR($G1917="",Sync!$Y1913=""),"",Sync!$Y1913)</f>
        <v/>
      </c>
      <c r="J1917" t="str">
        <f>IF(OR($G1917="",Sync!$Z1913=""),"",Sync!$Z1913)</f>
        <v/>
      </c>
      <c r="K1917">
        <f>IF($G1917="",0,IF(Sync!$AA1913="",0,Sync!$AA1913))</f>
        <v>0</v>
      </c>
      <c r="L1917">
        <f>IF($G1917="",0,IF(Sync!$AB1913="",0,Sync!$AB1913))</f>
        <v>0</v>
      </c>
      <c r="M1917" t="str">
        <f t="shared" si="179"/>
        <v/>
      </c>
      <c r="N1917">
        <f>IF($G1917="",0,IF($H1917="مرجوعی فروش",-1,1)*IF(Sync!$AC1913="",0,Sync!$AC1913))</f>
        <v>0</v>
      </c>
      <c r="O1917" t="str">
        <f>IF(OR($G1917="",Sync!$V1913=""),"",Sync!$V1913)</f>
        <v/>
      </c>
      <c r="P1917" t="str">
        <f>IF(OR($G1917="",Sync!$AD1913=""),"",Sync!$AD1913)</f>
        <v/>
      </c>
      <c r="Q1917" t="str">
        <f>IF($G1917="","",IF(Sync!$U1913="","0000",IF(AND(ISNUMBER(Sync!$U1913),Sync!$U1913&gt;=0,Sync!$U1913&lt;1),RIGHT("00"&amp;HOUR(Sync!$U1913),2)&amp;RIGHT("00"&amp;MINUTE(Sync!$U1913),2),IFERROR(RIGHT("00"&amp;VALUE(LEFT(Sync!$U1913,FIND(":",Sync!$U1913)-1)),2)&amp;RIGHT("00"&amp;VALUE(MID(Sync!$U1913,FIND(":",Sync!$U1913)+1,2)),2),"0000"))))</f>
        <v/>
      </c>
    </row>
    <row r="1918" spans="1:17" x14ac:dyDescent="0.2">
      <c r="A1918" t="str">
        <f>IF(Sync!$T1914="","",Sync!$T1914)</f>
        <v/>
      </c>
      <c r="B1918" t="str">
        <f t="shared" si="174"/>
        <v/>
      </c>
      <c r="C1918" t="str">
        <f t="shared" si="175"/>
        <v/>
      </c>
      <c r="D1918" t="str">
        <f t="shared" si="176"/>
        <v/>
      </c>
      <c r="E1918" t="str">
        <f t="shared" si="177"/>
        <v/>
      </c>
      <c r="F1918" t="str">
        <f t="shared" si="178"/>
        <v/>
      </c>
      <c r="G1918" t="str">
        <f>IF(OR($E1918="",$E1918="نامعتبر",Sync!$X1914=""),"",IF(AND(LEFT(UPPER(TRIM(Sync!$X1914)),2)="SL",IFERROR(VLOOKUP(Sync!$W1914,OpTbl,3,0),"")="فروش"),UPPER(TRIM(Sync!$X1914)),""))</f>
        <v/>
      </c>
      <c r="H1918" t="str">
        <f>IF($G1918="","",IF(Sync!$W1914="","",Sync!$W1914))</f>
        <v/>
      </c>
      <c r="I1918" t="str">
        <f>IF(OR($G1918="",Sync!$Y1914=""),"",Sync!$Y1914)</f>
        <v/>
      </c>
      <c r="J1918" t="str">
        <f>IF(OR($G1918="",Sync!$Z1914=""),"",Sync!$Z1914)</f>
        <v/>
      </c>
      <c r="K1918">
        <f>IF($G1918="",0,IF(Sync!$AA1914="",0,Sync!$AA1914))</f>
        <v>0</v>
      </c>
      <c r="L1918">
        <f>IF($G1918="",0,IF(Sync!$AB1914="",0,Sync!$AB1914))</f>
        <v>0</v>
      </c>
      <c r="M1918" t="str">
        <f t="shared" si="179"/>
        <v/>
      </c>
      <c r="N1918">
        <f>IF($G1918="",0,IF($H1918="مرجوعی فروش",-1,1)*IF(Sync!$AC1914="",0,Sync!$AC1914))</f>
        <v>0</v>
      </c>
      <c r="O1918" t="str">
        <f>IF(OR($G1918="",Sync!$V1914=""),"",Sync!$V1914)</f>
        <v/>
      </c>
      <c r="P1918" t="str">
        <f>IF(OR($G1918="",Sync!$AD1914=""),"",Sync!$AD1914)</f>
        <v/>
      </c>
      <c r="Q1918" t="str">
        <f>IF($G1918="","",IF(Sync!$U1914="","0000",IF(AND(ISNUMBER(Sync!$U1914),Sync!$U1914&gt;=0,Sync!$U1914&lt;1),RIGHT("00"&amp;HOUR(Sync!$U1914),2)&amp;RIGHT("00"&amp;MINUTE(Sync!$U1914),2),IFERROR(RIGHT("00"&amp;VALUE(LEFT(Sync!$U1914,FIND(":",Sync!$U1914)-1)),2)&amp;RIGHT("00"&amp;VALUE(MID(Sync!$U1914,FIND(":",Sync!$U1914)+1,2)),2),"0000"))))</f>
        <v/>
      </c>
    </row>
    <row r="1919" spans="1:17" x14ac:dyDescent="0.2">
      <c r="A1919" t="str">
        <f>IF(Sync!$T1915="","",Sync!$T1915)</f>
        <v/>
      </c>
      <c r="B1919" t="str">
        <f t="shared" si="174"/>
        <v/>
      </c>
      <c r="C1919" t="str">
        <f t="shared" si="175"/>
        <v/>
      </c>
      <c r="D1919" t="str">
        <f t="shared" si="176"/>
        <v/>
      </c>
      <c r="E1919" t="str">
        <f t="shared" si="177"/>
        <v/>
      </c>
      <c r="F1919" t="str">
        <f t="shared" si="178"/>
        <v/>
      </c>
      <c r="G1919" t="str">
        <f>IF(OR($E1919="",$E1919="نامعتبر",Sync!$X1915=""),"",IF(AND(LEFT(UPPER(TRIM(Sync!$X1915)),2)="SL",IFERROR(VLOOKUP(Sync!$W1915,OpTbl,3,0),"")="فروش"),UPPER(TRIM(Sync!$X1915)),""))</f>
        <v/>
      </c>
      <c r="H1919" t="str">
        <f>IF($G1919="","",IF(Sync!$W1915="","",Sync!$W1915))</f>
        <v/>
      </c>
      <c r="I1919" t="str">
        <f>IF(OR($G1919="",Sync!$Y1915=""),"",Sync!$Y1915)</f>
        <v/>
      </c>
      <c r="J1919" t="str">
        <f>IF(OR($G1919="",Sync!$Z1915=""),"",Sync!$Z1915)</f>
        <v/>
      </c>
      <c r="K1919">
        <f>IF($G1919="",0,IF(Sync!$AA1915="",0,Sync!$AA1915))</f>
        <v>0</v>
      </c>
      <c r="L1919">
        <f>IF($G1919="",0,IF(Sync!$AB1915="",0,Sync!$AB1915))</f>
        <v>0</v>
      </c>
      <c r="M1919" t="str">
        <f t="shared" si="179"/>
        <v/>
      </c>
      <c r="N1919">
        <f>IF($G1919="",0,IF($H1919="مرجوعی فروش",-1,1)*IF(Sync!$AC1915="",0,Sync!$AC1915))</f>
        <v>0</v>
      </c>
      <c r="O1919" t="str">
        <f>IF(OR($G1919="",Sync!$V1915=""),"",Sync!$V1915)</f>
        <v/>
      </c>
      <c r="P1919" t="str">
        <f>IF(OR($G1919="",Sync!$AD1915=""),"",Sync!$AD1915)</f>
        <v/>
      </c>
      <c r="Q1919" t="str">
        <f>IF($G1919="","",IF(Sync!$U1915="","0000",IF(AND(ISNUMBER(Sync!$U1915),Sync!$U1915&gt;=0,Sync!$U1915&lt;1),RIGHT("00"&amp;HOUR(Sync!$U1915),2)&amp;RIGHT("00"&amp;MINUTE(Sync!$U1915),2),IFERROR(RIGHT("00"&amp;VALUE(LEFT(Sync!$U1915,FIND(":",Sync!$U1915)-1)),2)&amp;RIGHT("00"&amp;VALUE(MID(Sync!$U1915,FIND(":",Sync!$U1915)+1,2)),2),"0000"))))</f>
        <v/>
      </c>
    </row>
    <row r="1920" spans="1:17" x14ac:dyDescent="0.2">
      <c r="A1920" t="str">
        <f>IF(Sync!$T1916="","",Sync!$T1916)</f>
        <v/>
      </c>
      <c r="B1920" t="str">
        <f t="shared" si="174"/>
        <v/>
      </c>
      <c r="C1920" t="str">
        <f t="shared" si="175"/>
        <v/>
      </c>
      <c r="D1920" t="str">
        <f t="shared" si="176"/>
        <v/>
      </c>
      <c r="E1920" t="str">
        <f t="shared" si="177"/>
        <v/>
      </c>
      <c r="F1920" t="str">
        <f t="shared" si="178"/>
        <v/>
      </c>
      <c r="G1920" t="str">
        <f>IF(OR($E1920="",$E1920="نامعتبر",Sync!$X1916=""),"",IF(AND(LEFT(UPPER(TRIM(Sync!$X1916)),2)="SL",IFERROR(VLOOKUP(Sync!$W1916,OpTbl,3,0),"")="فروش"),UPPER(TRIM(Sync!$X1916)),""))</f>
        <v/>
      </c>
      <c r="H1920" t="str">
        <f>IF($G1920="","",IF(Sync!$W1916="","",Sync!$W1916))</f>
        <v/>
      </c>
      <c r="I1920" t="str">
        <f>IF(OR($G1920="",Sync!$Y1916=""),"",Sync!$Y1916)</f>
        <v/>
      </c>
      <c r="J1920" t="str">
        <f>IF(OR($G1920="",Sync!$Z1916=""),"",Sync!$Z1916)</f>
        <v/>
      </c>
      <c r="K1920">
        <f>IF($G1920="",0,IF(Sync!$AA1916="",0,Sync!$AA1916))</f>
        <v>0</v>
      </c>
      <c r="L1920">
        <f>IF($G1920="",0,IF(Sync!$AB1916="",0,Sync!$AB1916))</f>
        <v>0</v>
      </c>
      <c r="M1920" t="str">
        <f t="shared" si="179"/>
        <v/>
      </c>
      <c r="N1920">
        <f>IF($G1920="",0,IF($H1920="مرجوعی فروش",-1,1)*IF(Sync!$AC1916="",0,Sync!$AC1916))</f>
        <v>0</v>
      </c>
      <c r="O1920" t="str">
        <f>IF(OR($G1920="",Sync!$V1916=""),"",Sync!$V1916)</f>
        <v/>
      </c>
      <c r="P1920" t="str">
        <f>IF(OR($G1920="",Sync!$AD1916=""),"",Sync!$AD1916)</f>
        <v/>
      </c>
      <c r="Q1920" t="str">
        <f>IF($G1920="","",IF(Sync!$U1916="","0000",IF(AND(ISNUMBER(Sync!$U1916),Sync!$U1916&gt;=0,Sync!$U1916&lt;1),RIGHT("00"&amp;HOUR(Sync!$U1916),2)&amp;RIGHT("00"&amp;MINUTE(Sync!$U1916),2),IFERROR(RIGHT("00"&amp;VALUE(LEFT(Sync!$U1916,FIND(":",Sync!$U1916)-1)),2)&amp;RIGHT("00"&amp;VALUE(MID(Sync!$U1916,FIND(":",Sync!$U1916)+1,2)),2),"0000"))))</f>
        <v/>
      </c>
    </row>
    <row r="1921" spans="1:17" x14ac:dyDescent="0.2">
      <c r="A1921" t="str">
        <f>IF(Sync!$T1917="","",Sync!$T1917)</f>
        <v/>
      </c>
      <c r="B1921" t="str">
        <f t="shared" si="174"/>
        <v/>
      </c>
      <c r="C1921" t="str">
        <f t="shared" si="175"/>
        <v/>
      </c>
      <c r="D1921" t="str">
        <f t="shared" si="176"/>
        <v/>
      </c>
      <c r="E1921" t="str">
        <f t="shared" si="177"/>
        <v/>
      </c>
      <c r="F1921" t="str">
        <f t="shared" si="178"/>
        <v/>
      </c>
      <c r="G1921" t="str">
        <f>IF(OR($E1921="",$E1921="نامعتبر",Sync!$X1917=""),"",IF(AND(LEFT(UPPER(TRIM(Sync!$X1917)),2)="SL",IFERROR(VLOOKUP(Sync!$W1917,OpTbl,3,0),"")="فروش"),UPPER(TRIM(Sync!$X1917)),""))</f>
        <v/>
      </c>
      <c r="H1921" t="str">
        <f>IF($G1921="","",IF(Sync!$W1917="","",Sync!$W1917))</f>
        <v/>
      </c>
      <c r="I1921" t="str">
        <f>IF(OR($G1921="",Sync!$Y1917=""),"",Sync!$Y1917)</f>
        <v/>
      </c>
      <c r="J1921" t="str">
        <f>IF(OR($G1921="",Sync!$Z1917=""),"",Sync!$Z1917)</f>
        <v/>
      </c>
      <c r="K1921">
        <f>IF($G1921="",0,IF(Sync!$AA1917="",0,Sync!$AA1917))</f>
        <v>0</v>
      </c>
      <c r="L1921">
        <f>IF($G1921="",0,IF(Sync!$AB1917="",0,Sync!$AB1917))</f>
        <v>0</v>
      </c>
      <c r="M1921" t="str">
        <f t="shared" si="179"/>
        <v/>
      </c>
      <c r="N1921">
        <f>IF($G1921="",0,IF($H1921="مرجوعی فروش",-1,1)*IF(Sync!$AC1917="",0,Sync!$AC1917))</f>
        <v>0</v>
      </c>
      <c r="O1921" t="str">
        <f>IF(OR($G1921="",Sync!$V1917=""),"",Sync!$V1917)</f>
        <v/>
      </c>
      <c r="P1921" t="str">
        <f>IF(OR($G1921="",Sync!$AD1917=""),"",Sync!$AD1917)</f>
        <v/>
      </c>
      <c r="Q1921" t="str">
        <f>IF($G1921="","",IF(Sync!$U1917="","0000",IF(AND(ISNUMBER(Sync!$U1917),Sync!$U1917&gt;=0,Sync!$U1917&lt;1),RIGHT("00"&amp;HOUR(Sync!$U1917),2)&amp;RIGHT("00"&amp;MINUTE(Sync!$U1917),2),IFERROR(RIGHT("00"&amp;VALUE(LEFT(Sync!$U1917,FIND(":",Sync!$U1917)-1)),2)&amp;RIGHT("00"&amp;VALUE(MID(Sync!$U1917,FIND(":",Sync!$U1917)+1,2)),2),"0000"))))</f>
        <v/>
      </c>
    </row>
    <row r="1922" spans="1:17" x14ac:dyDescent="0.2">
      <c r="A1922" t="str">
        <f>IF(Sync!$T1918="","",Sync!$T1918)</f>
        <v/>
      </c>
      <c r="B1922" t="str">
        <f t="shared" si="174"/>
        <v/>
      </c>
      <c r="C1922" t="str">
        <f t="shared" si="175"/>
        <v/>
      </c>
      <c r="D1922" t="str">
        <f t="shared" si="176"/>
        <v/>
      </c>
      <c r="E1922" t="str">
        <f t="shared" si="177"/>
        <v/>
      </c>
      <c r="F1922" t="str">
        <f t="shared" si="178"/>
        <v/>
      </c>
      <c r="G1922" t="str">
        <f>IF(OR($E1922="",$E1922="نامعتبر",Sync!$X1918=""),"",IF(AND(LEFT(UPPER(TRIM(Sync!$X1918)),2)="SL",IFERROR(VLOOKUP(Sync!$W1918,OpTbl,3,0),"")="فروش"),UPPER(TRIM(Sync!$X1918)),""))</f>
        <v/>
      </c>
      <c r="H1922" t="str">
        <f>IF($G1922="","",IF(Sync!$W1918="","",Sync!$W1918))</f>
        <v/>
      </c>
      <c r="I1922" t="str">
        <f>IF(OR($G1922="",Sync!$Y1918=""),"",Sync!$Y1918)</f>
        <v/>
      </c>
      <c r="J1922" t="str">
        <f>IF(OR($G1922="",Sync!$Z1918=""),"",Sync!$Z1918)</f>
        <v/>
      </c>
      <c r="K1922">
        <f>IF($G1922="",0,IF(Sync!$AA1918="",0,Sync!$AA1918))</f>
        <v>0</v>
      </c>
      <c r="L1922">
        <f>IF($G1922="",0,IF(Sync!$AB1918="",0,Sync!$AB1918))</f>
        <v>0</v>
      </c>
      <c r="M1922" t="str">
        <f t="shared" si="179"/>
        <v/>
      </c>
      <c r="N1922">
        <f>IF($G1922="",0,IF($H1922="مرجوعی فروش",-1,1)*IF(Sync!$AC1918="",0,Sync!$AC1918))</f>
        <v>0</v>
      </c>
      <c r="O1922" t="str">
        <f>IF(OR($G1922="",Sync!$V1918=""),"",Sync!$V1918)</f>
        <v/>
      </c>
      <c r="P1922" t="str">
        <f>IF(OR($G1922="",Sync!$AD1918=""),"",Sync!$AD1918)</f>
        <v/>
      </c>
      <c r="Q1922" t="str">
        <f>IF($G1922="","",IF(Sync!$U1918="","0000",IF(AND(ISNUMBER(Sync!$U1918),Sync!$U1918&gt;=0,Sync!$U1918&lt;1),RIGHT("00"&amp;HOUR(Sync!$U1918),2)&amp;RIGHT("00"&amp;MINUTE(Sync!$U1918),2),IFERROR(RIGHT("00"&amp;VALUE(LEFT(Sync!$U1918,FIND(":",Sync!$U1918)-1)),2)&amp;RIGHT("00"&amp;VALUE(MID(Sync!$U1918,FIND(":",Sync!$U1918)+1,2)),2),"0000"))))</f>
        <v/>
      </c>
    </row>
    <row r="1923" spans="1:17" x14ac:dyDescent="0.2">
      <c r="A1923" t="str">
        <f>IF(Sync!$T1919="","",Sync!$T1919)</f>
        <v/>
      </c>
      <c r="B1923" t="str">
        <f t="shared" si="174"/>
        <v/>
      </c>
      <c r="C1923" t="str">
        <f t="shared" si="175"/>
        <v/>
      </c>
      <c r="D1923" t="str">
        <f t="shared" si="176"/>
        <v/>
      </c>
      <c r="E1923" t="str">
        <f t="shared" si="177"/>
        <v/>
      </c>
      <c r="F1923" t="str">
        <f t="shared" si="178"/>
        <v/>
      </c>
      <c r="G1923" t="str">
        <f>IF(OR($E1923="",$E1923="نامعتبر",Sync!$X1919=""),"",IF(AND(LEFT(UPPER(TRIM(Sync!$X1919)),2)="SL",IFERROR(VLOOKUP(Sync!$W1919,OpTbl,3,0),"")="فروش"),UPPER(TRIM(Sync!$X1919)),""))</f>
        <v/>
      </c>
      <c r="H1923" t="str">
        <f>IF($G1923="","",IF(Sync!$W1919="","",Sync!$W1919))</f>
        <v/>
      </c>
      <c r="I1923" t="str">
        <f>IF(OR($G1923="",Sync!$Y1919=""),"",Sync!$Y1919)</f>
        <v/>
      </c>
      <c r="J1923" t="str">
        <f>IF(OR($G1923="",Sync!$Z1919=""),"",Sync!$Z1919)</f>
        <v/>
      </c>
      <c r="K1923">
        <f>IF($G1923="",0,IF(Sync!$AA1919="",0,Sync!$AA1919))</f>
        <v>0</v>
      </c>
      <c r="L1923">
        <f>IF($G1923="",0,IF(Sync!$AB1919="",0,Sync!$AB1919))</f>
        <v>0</v>
      </c>
      <c r="M1923" t="str">
        <f t="shared" si="179"/>
        <v/>
      </c>
      <c r="N1923">
        <f>IF($G1923="",0,IF($H1923="مرجوعی فروش",-1,1)*IF(Sync!$AC1919="",0,Sync!$AC1919))</f>
        <v>0</v>
      </c>
      <c r="O1923" t="str">
        <f>IF(OR($G1923="",Sync!$V1919=""),"",Sync!$V1919)</f>
        <v/>
      </c>
      <c r="P1923" t="str">
        <f>IF(OR($G1923="",Sync!$AD1919=""),"",Sync!$AD1919)</f>
        <v/>
      </c>
      <c r="Q1923" t="str">
        <f>IF($G1923="","",IF(Sync!$U1919="","0000",IF(AND(ISNUMBER(Sync!$U1919),Sync!$U1919&gt;=0,Sync!$U1919&lt;1),RIGHT("00"&amp;HOUR(Sync!$U1919),2)&amp;RIGHT("00"&amp;MINUTE(Sync!$U1919),2),IFERROR(RIGHT("00"&amp;VALUE(LEFT(Sync!$U1919,FIND(":",Sync!$U1919)-1)),2)&amp;RIGHT("00"&amp;VALUE(MID(Sync!$U1919,FIND(":",Sync!$U1919)+1,2)),2),"0000"))))</f>
        <v/>
      </c>
    </row>
    <row r="1924" spans="1:17" x14ac:dyDescent="0.2">
      <c r="A1924" t="str">
        <f>IF(Sync!$T1920="","",Sync!$T1920)</f>
        <v/>
      </c>
      <c r="B1924" t="str">
        <f t="shared" si="174"/>
        <v/>
      </c>
      <c r="C1924" t="str">
        <f t="shared" si="175"/>
        <v/>
      </c>
      <c r="D1924" t="str">
        <f t="shared" si="176"/>
        <v/>
      </c>
      <c r="E1924" t="str">
        <f t="shared" si="177"/>
        <v/>
      </c>
      <c r="F1924" t="str">
        <f t="shared" si="178"/>
        <v/>
      </c>
      <c r="G1924" t="str">
        <f>IF(OR($E1924="",$E1924="نامعتبر",Sync!$X1920=""),"",IF(AND(LEFT(UPPER(TRIM(Sync!$X1920)),2)="SL",IFERROR(VLOOKUP(Sync!$W1920,OpTbl,3,0),"")="فروش"),UPPER(TRIM(Sync!$X1920)),""))</f>
        <v/>
      </c>
      <c r="H1924" t="str">
        <f>IF($G1924="","",IF(Sync!$W1920="","",Sync!$W1920))</f>
        <v/>
      </c>
      <c r="I1924" t="str">
        <f>IF(OR($G1924="",Sync!$Y1920=""),"",Sync!$Y1920)</f>
        <v/>
      </c>
      <c r="J1924" t="str">
        <f>IF(OR($G1924="",Sync!$Z1920=""),"",Sync!$Z1920)</f>
        <v/>
      </c>
      <c r="K1924">
        <f>IF($G1924="",0,IF(Sync!$AA1920="",0,Sync!$AA1920))</f>
        <v>0</v>
      </c>
      <c r="L1924">
        <f>IF($G1924="",0,IF(Sync!$AB1920="",0,Sync!$AB1920))</f>
        <v>0</v>
      </c>
      <c r="M1924" t="str">
        <f t="shared" si="179"/>
        <v/>
      </c>
      <c r="N1924">
        <f>IF($G1924="",0,IF($H1924="مرجوعی فروش",-1,1)*IF(Sync!$AC1920="",0,Sync!$AC1920))</f>
        <v>0</v>
      </c>
      <c r="O1924" t="str">
        <f>IF(OR($G1924="",Sync!$V1920=""),"",Sync!$V1920)</f>
        <v/>
      </c>
      <c r="P1924" t="str">
        <f>IF(OR($G1924="",Sync!$AD1920=""),"",Sync!$AD1920)</f>
        <v/>
      </c>
      <c r="Q1924" t="str">
        <f>IF($G1924="","",IF(Sync!$U1920="","0000",IF(AND(ISNUMBER(Sync!$U1920),Sync!$U1920&gt;=0,Sync!$U1920&lt;1),RIGHT("00"&amp;HOUR(Sync!$U1920),2)&amp;RIGHT("00"&amp;MINUTE(Sync!$U1920),2),IFERROR(RIGHT("00"&amp;VALUE(LEFT(Sync!$U1920,FIND(":",Sync!$U1920)-1)),2)&amp;RIGHT("00"&amp;VALUE(MID(Sync!$U1920,FIND(":",Sync!$U1920)+1,2)),2),"0000"))))</f>
        <v/>
      </c>
    </row>
    <row r="1925" spans="1:17" x14ac:dyDescent="0.2">
      <c r="A1925" t="str">
        <f>IF(Sync!$T1921="","",Sync!$T1921)</f>
        <v/>
      </c>
      <c r="B1925" t="str">
        <f t="shared" si="174"/>
        <v/>
      </c>
      <c r="C1925" t="str">
        <f t="shared" si="175"/>
        <v/>
      </c>
      <c r="D1925" t="str">
        <f t="shared" si="176"/>
        <v/>
      </c>
      <c r="E1925" t="str">
        <f t="shared" si="177"/>
        <v/>
      </c>
      <c r="F1925" t="str">
        <f t="shared" si="178"/>
        <v/>
      </c>
      <c r="G1925" t="str">
        <f>IF(OR($E1925="",$E1925="نامعتبر",Sync!$X1921=""),"",IF(AND(LEFT(UPPER(TRIM(Sync!$X1921)),2)="SL",IFERROR(VLOOKUP(Sync!$W1921,OpTbl,3,0),"")="فروش"),UPPER(TRIM(Sync!$X1921)),""))</f>
        <v/>
      </c>
      <c r="H1925" t="str">
        <f>IF($G1925="","",IF(Sync!$W1921="","",Sync!$W1921))</f>
        <v/>
      </c>
      <c r="I1925" t="str">
        <f>IF(OR($G1925="",Sync!$Y1921=""),"",Sync!$Y1921)</f>
        <v/>
      </c>
      <c r="J1925" t="str">
        <f>IF(OR($G1925="",Sync!$Z1921=""),"",Sync!$Z1921)</f>
        <v/>
      </c>
      <c r="K1925">
        <f>IF($G1925="",0,IF(Sync!$AA1921="",0,Sync!$AA1921))</f>
        <v>0</v>
      </c>
      <c r="L1925">
        <f>IF($G1925="",0,IF(Sync!$AB1921="",0,Sync!$AB1921))</f>
        <v>0</v>
      </c>
      <c r="M1925" t="str">
        <f t="shared" si="179"/>
        <v/>
      </c>
      <c r="N1925">
        <f>IF($G1925="",0,IF($H1925="مرجوعی فروش",-1,1)*IF(Sync!$AC1921="",0,Sync!$AC1921))</f>
        <v>0</v>
      </c>
      <c r="O1925" t="str">
        <f>IF(OR($G1925="",Sync!$V1921=""),"",Sync!$V1921)</f>
        <v/>
      </c>
      <c r="P1925" t="str">
        <f>IF(OR($G1925="",Sync!$AD1921=""),"",Sync!$AD1921)</f>
        <v/>
      </c>
      <c r="Q1925" t="str">
        <f>IF($G1925="","",IF(Sync!$U1921="","0000",IF(AND(ISNUMBER(Sync!$U1921),Sync!$U1921&gt;=0,Sync!$U1921&lt;1),RIGHT("00"&amp;HOUR(Sync!$U1921),2)&amp;RIGHT("00"&amp;MINUTE(Sync!$U1921),2),IFERROR(RIGHT("00"&amp;VALUE(LEFT(Sync!$U1921,FIND(":",Sync!$U1921)-1)),2)&amp;RIGHT("00"&amp;VALUE(MID(Sync!$U1921,FIND(":",Sync!$U1921)+1,2)),2),"0000"))))</f>
        <v/>
      </c>
    </row>
    <row r="1926" spans="1:17" x14ac:dyDescent="0.2">
      <c r="A1926" t="str">
        <f>IF(Sync!$T1922="","",Sync!$T1922)</f>
        <v/>
      </c>
      <c r="B1926" t="str">
        <f t="shared" si="174"/>
        <v/>
      </c>
      <c r="C1926" t="str">
        <f t="shared" si="175"/>
        <v/>
      </c>
      <c r="D1926" t="str">
        <f t="shared" si="176"/>
        <v/>
      </c>
      <c r="E1926" t="str">
        <f t="shared" si="177"/>
        <v/>
      </c>
      <c r="F1926" t="str">
        <f t="shared" si="178"/>
        <v/>
      </c>
      <c r="G1926" t="str">
        <f>IF(OR($E1926="",$E1926="نامعتبر",Sync!$X1922=""),"",IF(AND(LEFT(UPPER(TRIM(Sync!$X1922)),2)="SL",IFERROR(VLOOKUP(Sync!$W1922,OpTbl,3,0),"")="فروش"),UPPER(TRIM(Sync!$X1922)),""))</f>
        <v/>
      </c>
      <c r="H1926" t="str">
        <f>IF($G1926="","",IF(Sync!$W1922="","",Sync!$W1922))</f>
        <v/>
      </c>
      <c r="I1926" t="str">
        <f>IF(OR($G1926="",Sync!$Y1922=""),"",Sync!$Y1922)</f>
        <v/>
      </c>
      <c r="J1926" t="str">
        <f>IF(OR($G1926="",Sync!$Z1922=""),"",Sync!$Z1922)</f>
        <v/>
      </c>
      <c r="K1926">
        <f>IF($G1926="",0,IF(Sync!$AA1922="",0,Sync!$AA1922))</f>
        <v>0</v>
      </c>
      <c r="L1926">
        <f>IF($G1926="",0,IF(Sync!$AB1922="",0,Sync!$AB1922))</f>
        <v>0</v>
      </c>
      <c r="M1926" t="str">
        <f t="shared" si="179"/>
        <v/>
      </c>
      <c r="N1926">
        <f>IF($G1926="",0,IF($H1926="مرجوعی فروش",-1,1)*IF(Sync!$AC1922="",0,Sync!$AC1922))</f>
        <v>0</v>
      </c>
      <c r="O1926" t="str">
        <f>IF(OR($G1926="",Sync!$V1922=""),"",Sync!$V1922)</f>
        <v/>
      </c>
      <c r="P1926" t="str">
        <f>IF(OR($G1926="",Sync!$AD1922=""),"",Sync!$AD1922)</f>
        <v/>
      </c>
      <c r="Q1926" t="str">
        <f>IF($G1926="","",IF(Sync!$U1922="","0000",IF(AND(ISNUMBER(Sync!$U1922),Sync!$U1922&gt;=0,Sync!$U1922&lt;1),RIGHT("00"&amp;HOUR(Sync!$U1922),2)&amp;RIGHT("00"&amp;MINUTE(Sync!$U1922),2),IFERROR(RIGHT("00"&amp;VALUE(LEFT(Sync!$U1922,FIND(":",Sync!$U1922)-1)),2)&amp;RIGHT("00"&amp;VALUE(MID(Sync!$U1922,FIND(":",Sync!$U1922)+1,2)),2),"0000"))))</f>
        <v/>
      </c>
    </row>
    <row r="1927" spans="1:17" x14ac:dyDescent="0.2">
      <c r="A1927" t="str">
        <f>IF(Sync!$T1923="","",Sync!$T1923)</f>
        <v/>
      </c>
      <c r="B1927" t="str">
        <f t="shared" si="174"/>
        <v/>
      </c>
      <c r="C1927" t="str">
        <f t="shared" si="175"/>
        <v/>
      </c>
      <c r="D1927" t="str">
        <f t="shared" si="176"/>
        <v/>
      </c>
      <c r="E1927" t="str">
        <f t="shared" si="177"/>
        <v/>
      </c>
      <c r="F1927" t="str">
        <f t="shared" si="178"/>
        <v/>
      </c>
      <c r="G1927" t="str">
        <f>IF(OR($E1927="",$E1927="نامعتبر",Sync!$X1923=""),"",IF(AND(LEFT(UPPER(TRIM(Sync!$X1923)),2)="SL",IFERROR(VLOOKUP(Sync!$W1923,OpTbl,3,0),"")="فروش"),UPPER(TRIM(Sync!$X1923)),""))</f>
        <v/>
      </c>
      <c r="H1927" t="str">
        <f>IF($G1927="","",IF(Sync!$W1923="","",Sync!$W1923))</f>
        <v/>
      </c>
      <c r="I1927" t="str">
        <f>IF(OR($G1927="",Sync!$Y1923=""),"",Sync!$Y1923)</f>
        <v/>
      </c>
      <c r="J1927" t="str">
        <f>IF(OR($G1927="",Sync!$Z1923=""),"",Sync!$Z1923)</f>
        <v/>
      </c>
      <c r="K1927">
        <f>IF($G1927="",0,IF(Sync!$AA1923="",0,Sync!$AA1923))</f>
        <v>0</v>
      </c>
      <c r="L1927">
        <f>IF($G1927="",0,IF(Sync!$AB1923="",0,Sync!$AB1923))</f>
        <v>0</v>
      </c>
      <c r="M1927" t="str">
        <f t="shared" si="179"/>
        <v/>
      </c>
      <c r="N1927">
        <f>IF($G1927="",0,IF($H1927="مرجوعی فروش",-1,1)*IF(Sync!$AC1923="",0,Sync!$AC1923))</f>
        <v>0</v>
      </c>
      <c r="O1927" t="str">
        <f>IF(OR($G1927="",Sync!$V1923=""),"",Sync!$V1923)</f>
        <v/>
      </c>
      <c r="P1927" t="str">
        <f>IF(OR($G1927="",Sync!$AD1923=""),"",Sync!$AD1923)</f>
        <v/>
      </c>
      <c r="Q1927" t="str">
        <f>IF($G1927="","",IF(Sync!$U1923="","0000",IF(AND(ISNUMBER(Sync!$U1923),Sync!$U1923&gt;=0,Sync!$U1923&lt;1),RIGHT("00"&amp;HOUR(Sync!$U1923),2)&amp;RIGHT("00"&amp;MINUTE(Sync!$U1923),2),IFERROR(RIGHT("00"&amp;VALUE(LEFT(Sync!$U1923,FIND(":",Sync!$U1923)-1)),2)&amp;RIGHT("00"&amp;VALUE(MID(Sync!$U1923,FIND(":",Sync!$U1923)+1,2)),2),"0000"))))</f>
        <v/>
      </c>
    </row>
    <row r="1928" spans="1:17" x14ac:dyDescent="0.2">
      <c r="A1928" t="str">
        <f>IF(Sync!$T1924="","",Sync!$T1924)</f>
        <v/>
      </c>
      <c r="B1928" t="str">
        <f t="shared" si="174"/>
        <v/>
      </c>
      <c r="C1928" t="str">
        <f t="shared" si="175"/>
        <v/>
      </c>
      <c r="D1928" t="str">
        <f t="shared" si="176"/>
        <v/>
      </c>
      <c r="E1928" t="str">
        <f t="shared" si="177"/>
        <v/>
      </c>
      <c r="F1928" t="str">
        <f t="shared" si="178"/>
        <v/>
      </c>
      <c r="G1928" t="str">
        <f>IF(OR($E1928="",$E1928="نامعتبر",Sync!$X1924=""),"",IF(AND(LEFT(UPPER(TRIM(Sync!$X1924)),2)="SL",IFERROR(VLOOKUP(Sync!$W1924,OpTbl,3,0),"")="فروش"),UPPER(TRIM(Sync!$X1924)),""))</f>
        <v/>
      </c>
      <c r="H1928" t="str">
        <f>IF($G1928="","",IF(Sync!$W1924="","",Sync!$W1924))</f>
        <v/>
      </c>
      <c r="I1928" t="str">
        <f>IF(OR($G1928="",Sync!$Y1924=""),"",Sync!$Y1924)</f>
        <v/>
      </c>
      <c r="J1928" t="str">
        <f>IF(OR($G1928="",Sync!$Z1924=""),"",Sync!$Z1924)</f>
        <v/>
      </c>
      <c r="K1928">
        <f>IF($G1928="",0,IF(Sync!$AA1924="",0,Sync!$AA1924))</f>
        <v>0</v>
      </c>
      <c r="L1928">
        <f>IF($G1928="",0,IF(Sync!$AB1924="",0,Sync!$AB1924))</f>
        <v>0</v>
      </c>
      <c r="M1928" t="str">
        <f t="shared" si="179"/>
        <v/>
      </c>
      <c r="N1928">
        <f>IF($G1928="",0,IF($H1928="مرجوعی فروش",-1,1)*IF(Sync!$AC1924="",0,Sync!$AC1924))</f>
        <v>0</v>
      </c>
      <c r="O1928" t="str">
        <f>IF(OR($G1928="",Sync!$V1924=""),"",Sync!$V1924)</f>
        <v/>
      </c>
      <c r="P1928" t="str">
        <f>IF(OR($G1928="",Sync!$AD1924=""),"",Sync!$AD1924)</f>
        <v/>
      </c>
      <c r="Q1928" t="str">
        <f>IF($G1928="","",IF(Sync!$U1924="","0000",IF(AND(ISNUMBER(Sync!$U1924),Sync!$U1924&gt;=0,Sync!$U1924&lt;1),RIGHT("00"&amp;HOUR(Sync!$U1924),2)&amp;RIGHT("00"&amp;MINUTE(Sync!$U1924),2),IFERROR(RIGHT("00"&amp;VALUE(LEFT(Sync!$U1924,FIND(":",Sync!$U1924)-1)),2)&amp;RIGHT("00"&amp;VALUE(MID(Sync!$U1924,FIND(":",Sync!$U1924)+1,2)),2),"0000"))))</f>
        <v/>
      </c>
    </row>
    <row r="1929" spans="1:17" x14ac:dyDescent="0.2">
      <c r="A1929" t="str">
        <f>IF(Sync!$T1925="","",Sync!$T1925)</f>
        <v/>
      </c>
      <c r="B1929" t="str">
        <f t="shared" si="174"/>
        <v/>
      </c>
      <c r="C1929" t="str">
        <f t="shared" si="175"/>
        <v/>
      </c>
      <c r="D1929" t="str">
        <f t="shared" si="176"/>
        <v/>
      </c>
      <c r="E1929" t="str">
        <f t="shared" si="177"/>
        <v/>
      </c>
      <c r="F1929" t="str">
        <f t="shared" si="178"/>
        <v/>
      </c>
      <c r="G1929" t="str">
        <f>IF(OR($E1929="",$E1929="نامعتبر",Sync!$X1925=""),"",IF(AND(LEFT(UPPER(TRIM(Sync!$X1925)),2)="SL",IFERROR(VLOOKUP(Sync!$W1925,OpTbl,3,0),"")="فروش"),UPPER(TRIM(Sync!$X1925)),""))</f>
        <v/>
      </c>
      <c r="H1929" t="str">
        <f>IF($G1929="","",IF(Sync!$W1925="","",Sync!$W1925))</f>
        <v/>
      </c>
      <c r="I1929" t="str">
        <f>IF(OR($G1929="",Sync!$Y1925=""),"",Sync!$Y1925)</f>
        <v/>
      </c>
      <c r="J1929" t="str">
        <f>IF(OR($G1929="",Sync!$Z1925=""),"",Sync!$Z1925)</f>
        <v/>
      </c>
      <c r="K1929">
        <f>IF($G1929="",0,IF(Sync!$AA1925="",0,Sync!$AA1925))</f>
        <v>0</v>
      </c>
      <c r="L1929">
        <f>IF($G1929="",0,IF(Sync!$AB1925="",0,Sync!$AB1925))</f>
        <v>0</v>
      </c>
      <c r="M1929" t="str">
        <f t="shared" si="179"/>
        <v/>
      </c>
      <c r="N1929">
        <f>IF($G1929="",0,IF($H1929="مرجوعی فروش",-1,1)*IF(Sync!$AC1925="",0,Sync!$AC1925))</f>
        <v>0</v>
      </c>
      <c r="O1929" t="str">
        <f>IF(OR($G1929="",Sync!$V1925=""),"",Sync!$V1925)</f>
        <v/>
      </c>
      <c r="P1929" t="str">
        <f>IF(OR($G1929="",Sync!$AD1925=""),"",Sync!$AD1925)</f>
        <v/>
      </c>
      <c r="Q1929" t="str">
        <f>IF($G1929="","",IF(Sync!$U1925="","0000",IF(AND(ISNUMBER(Sync!$U1925),Sync!$U1925&gt;=0,Sync!$U1925&lt;1),RIGHT("00"&amp;HOUR(Sync!$U1925),2)&amp;RIGHT("00"&amp;MINUTE(Sync!$U1925),2),IFERROR(RIGHT("00"&amp;VALUE(LEFT(Sync!$U1925,FIND(":",Sync!$U1925)-1)),2)&amp;RIGHT("00"&amp;VALUE(MID(Sync!$U1925,FIND(":",Sync!$U1925)+1,2)),2),"0000"))))</f>
        <v/>
      </c>
    </row>
    <row r="1930" spans="1:17" x14ac:dyDescent="0.2">
      <c r="A1930" t="str">
        <f>IF(Sync!$T1926="","",Sync!$T1926)</f>
        <v/>
      </c>
      <c r="B1930" t="str">
        <f t="shared" ref="B1930:B1993" si="180">IF($A1930="","",IF(ISNUMBER($A1930),IF(AND($A1930&gt;=10000101,$A1930&lt;=99991231),INT($A1930/10000),""),IFERROR(VALUE(TRIM(LEFT($A1930,FIND("/",$A1930)-1))),"")))</f>
        <v/>
      </c>
      <c r="C1930" t="str">
        <f t="shared" ref="C1930:C1993" si="181">IF(OR($A1930="",$B1930=""),"",IF(ISNUMBER($A1930),INT(MOD($A1930,10000)/100),IFERROR(VALUE(TRIM(LEFT(MID($A1930,FIND("/",$A1930)+1,20),FIND("/",MID($A1930,FIND("/",$A1930)+1,20))-1))),"")))</f>
        <v/>
      </c>
      <c r="D1930" t="str">
        <f t="shared" ref="D1930:D1993" si="182">IF(OR($A1930="",$B1930=""),"",IF(ISNUMBER($A1930),MOD($A1930,100),IFERROR(VALUE(TRIM(MID(MID($A1930,FIND("/",$A1930)+1,20),FIND("/",MID($A1930,FIND("/",$A1930)+1,20))+1,20))),"")))</f>
        <v/>
      </c>
      <c r="E1930" t="str">
        <f t="shared" ref="E1930:E1993" si="183">IF($A1930="","",IF(OR($B1930="",$C1930="",$D1930="",$B1930&lt;1300,$B1930&gt;1500,$C1930&lt;1,$C1930&gt;12,$D1930&lt;1,$D1930&gt;31),"نامعتبر",RIGHT("0000"&amp;$B1930,4)&amp;"/"&amp;RIGHT("00"&amp;$C1930,2)&amp;"/"&amp;RIGHT("00"&amp;$D1930,2)))</f>
        <v/>
      </c>
      <c r="F1930" t="str">
        <f t="shared" ref="F1930:F1993" si="184">IF(OR($E1930="",$E1930="نامعتبر"),"",LEFT($E1930,4)&amp;"/"&amp;MID($E1930,6,2))</f>
        <v/>
      </c>
      <c r="G1930" t="str">
        <f>IF(OR($E1930="",$E1930="نامعتبر",Sync!$X1926=""),"",IF(AND(LEFT(UPPER(TRIM(Sync!$X1926)),2)="SL",IFERROR(VLOOKUP(Sync!$W1926,OpTbl,3,0),"")="فروش"),UPPER(TRIM(Sync!$X1926)),""))</f>
        <v/>
      </c>
      <c r="H1930" t="str">
        <f>IF($G1930="","",IF(Sync!$W1926="","",Sync!$W1926))</f>
        <v/>
      </c>
      <c r="I1930" t="str">
        <f>IF(OR($G1930="",Sync!$Y1926=""),"",Sync!$Y1926)</f>
        <v/>
      </c>
      <c r="J1930" t="str">
        <f>IF(OR($G1930="",Sync!$Z1926=""),"",Sync!$Z1926)</f>
        <v/>
      </c>
      <c r="K1930">
        <f>IF($G1930="",0,IF(Sync!$AA1926="",0,Sync!$AA1926))</f>
        <v>0</v>
      </c>
      <c r="L1930">
        <f>IF($G1930="",0,IF(Sync!$AB1926="",0,Sync!$AB1926))</f>
        <v>0</v>
      </c>
      <c r="M1930" t="str">
        <f t="shared" ref="M1930:M1993" si="185">IF($G1930="","",IF($H1930="مرجوعی فروش",-1,1)*($K1930-$L1930*IFERROR(VLOOKUP("P01",ParamTbl,3,0),1.5)))</f>
        <v/>
      </c>
      <c r="N1930">
        <f>IF($G1930="",0,IF($H1930="مرجوعی فروش",-1,1)*IF(Sync!$AC1926="",0,Sync!$AC1926))</f>
        <v>0</v>
      </c>
      <c r="O1930" t="str">
        <f>IF(OR($G1930="",Sync!$V1926=""),"",Sync!$V1926)</f>
        <v/>
      </c>
      <c r="P1930" t="str">
        <f>IF(OR($G1930="",Sync!$AD1926=""),"",Sync!$AD1926)</f>
        <v/>
      </c>
      <c r="Q1930" t="str">
        <f>IF($G1930="","",IF(Sync!$U1926="","0000",IF(AND(ISNUMBER(Sync!$U1926),Sync!$U1926&gt;=0,Sync!$U1926&lt;1),RIGHT("00"&amp;HOUR(Sync!$U1926),2)&amp;RIGHT("00"&amp;MINUTE(Sync!$U1926),2),IFERROR(RIGHT("00"&amp;VALUE(LEFT(Sync!$U1926,FIND(":",Sync!$U1926)-1)),2)&amp;RIGHT("00"&amp;VALUE(MID(Sync!$U1926,FIND(":",Sync!$U1926)+1,2)),2),"0000"))))</f>
        <v/>
      </c>
    </row>
    <row r="1931" spans="1:17" x14ac:dyDescent="0.2">
      <c r="A1931" t="str">
        <f>IF(Sync!$T1927="","",Sync!$T1927)</f>
        <v/>
      </c>
      <c r="B1931" t="str">
        <f t="shared" si="180"/>
        <v/>
      </c>
      <c r="C1931" t="str">
        <f t="shared" si="181"/>
        <v/>
      </c>
      <c r="D1931" t="str">
        <f t="shared" si="182"/>
        <v/>
      </c>
      <c r="E1931" t="str">
        <f t="shared" si="183"/>
        <v/>
      </c>
      <c r="F1931" t="str">
        <f t="shared" si="184"/>
        <v/>
      </c>
      <c r="G1931" t="str">
        <f>IF(OR($E1931="",$E1931="نامعتبر",Sync!$X1927=""),"",IF(AND(LEFT(UPPER(TRIM(Sync!$X1927)),2)="SL",IFERROR(VLOOKUP(Sync!$W1927,OpTbl,3,0),"")="فروش"),UPPER(TRIM(Sync!$X1927)),""))</f>
        <v/>
      </c>
      <c r="H1931" t="str">
        <f>IF($G1931="","",IF(Sync!$W1927="","",Sync!$W1927))</f>
        <v/>
      </c>
      <c r="I1931" t="str">
        <f>IF(OR($G1931="",Sync!$Y1927=""),"",Sync!$Y1927)</f>
        <v/>
      </c>
      <c r="J1931" t="str">
        <f>IF(OR($G1931="",Sync!$Z1927=""),"",Sync!$Z1927)</f>
        <v/>
      </c>
      <c r="K1931">
        <f>IF($G1931="",0,IF(Sync!$AA1927="",0,Sync!$AA1927))</f>
        <v>0</v>
      </c>
      <c r="L1931">
        <f>IF($G1931="",0,IF(Sync!$AB1927="",0,Sync!$AB1927))</f>
        <v>0</v>
      </c>
      <c r="M1931" t="str">
        <f t="shared" si="185"/>
        <v/>
      </c>
      <c r="N1931">
        <f>IF($G1931="",0,IF($H1931="مرجوعی فروش",-1,1)*IF(Sync!$AC1927="",0,Sync!$AC1927))</f>
        <v>0</v>
      </c>
      <c r="O1931" t="str">
        <f>IF(OR($G1931="",Sync!$V1927=""),"",Sync!$V1927)</f>
        <v/>
      </c>
      <c r="P1931" t="str">
        <f>IF(OR($G1931="",Sync!$AD1927=""),"",Sync!$AD1927)</f>
        <v/>
      </c>
      <c r="Q1931" t="str">
        <f>IF($G1931="","",IF(Sync!$U1927="","0000",IF(AND(ISNUMBER(Sync!$U1927),Sync!$U1927&gt;=0,Sync!$U1927&lt;1),RIGHT("00"&amp;HOUR(Sync!$U1927),2)&amp;RIGHT("00"&amp;MINUTE(Sync!$U1927),2),IFERROR(RIGHT("00"&amp;VALUE(LEFT(Sync!$U1927,FIND(":",Sync!$U1927)-1)),2)&amp;RIGHT("00"&amp;VALUE(MID(Sync!$U1927,FIND(":",Sync!$U1927)+1,2)),2),"0000"))))</f>
        <v/>
      </c>
    </row>
    <row r="1932" spans="1:17" x14ac:dyDescent="0.2">
      <c r="A1932" t="str">
        <f>IF(Sync!$T1928="","",Sync!$T1928)</f>
        <v/>
      </c>
      <c r="B1932" t="str">
        <f t="shared" si="180"/>
        <v/>
      </c>
      <c r="C1932" t="str">
        <f t="shared" si="181"/>
        <v/>
      </c>
      <c r="D1932" t="str">
        <f t="shared" si="182"/>
        <v/>
      </c>
      <c r="E1932" t="str">
        <f t="shared" si="183"/>
        <v/>
      </c>
      <c r="F1932" t="str">
        <f t="shared" si="184"/>
        <v/>
      </c>
      <c r="G1932" t="str">
        <f>IF(OR($E1932="",$E1932="نامعتبر",Sync!$X1928=""),"",IF(AND(LEFT(UPPER(TRIM(Sync!$X1928)),2)="SL",IFERROR(VLOOKUP(Sync!$W1928,OpTbl,3,0),"")="فروش"),UPPER(TRIM(Sync!$X1928)),""))</f>
        <v/>
      </c>
      <c r="H1932" t="str">
        <f>IF($G1932="","",IF(Sync!$W1928="","",Sync!$W1928))</f>
        <v/>
      </c>
      <c r="I1932" t="str">
        <f>IF(OR($G1932="",Sync!$Y1928=""),"",Sync!$Y1928)</f>
        <v/>
      </c>
      <c r="J1932" t="str">
        <f>IF(OR($G1932="",Sync!$Z1928=""),"",Sync!$Z1928)</f>
        <v/>
      </c>
      <c r="K1932">
        <f>IF($G1932="",0,IF(Sync!$AA1928="",0,Sync!$AA1928))</f>
        <v>0</v>
      </c>
      <c r="L1932">
        <f>IF($G1932="",0,IF(Sync!$AB1928="",0,Sync!$AB1928))</f>
        <v>0</v>
      </c>
      <c r="M1932" t="str">
        <f t="shared" si="185"/>
        <v/>
      </c>
      <c r="N1932">
        <f>IF($G1932="",0,IF($H1932="مرجوعی فروش",-1,1)*IF(Sync!$AC1928="",0,Sync!$AC1928))</f>
        <v>0</v>
      </c>
      <c r="O1932" t="str">
        <f>IF(OR($G1932="",Sync!$V1928=""),"",Sync!$V1928)</f>
        <v/>
      </c>
      <c r="P1932" t="str">
        <f>IF(OR($G1932="",Sync!$AD1928=""),"",Sync!$AD1928)</f>
        <v/>
      </c>
      <c r="Q1932" t="str">
        <f>IF($G1932="","",IF(Sync!$U1928="","0000",IF(AND(ISNUMBER(Sync!$U1928),Sync!$U1928&gt;=0,Sync!$U1928&lt;1),RIGHT("00"&amp;HOUR(Sync!$U1928),2)&amp;RIGHT("00"&amp;MINUTE(Sync!$U1928),2),IFERROR(RIGHT("00"&amp;VALUE(LEFT(Sync!$U1928,FIND(":",Sync!$U1928)-1)),2)&amp;RIGHT("00"&amp;VALUE(MID(Sync!$U1928,FIND(":",Sync!$U1928)+1,2)),2),"0000"))))</f>
        <v/>
      </c>
    </row>
    <row r="1933" spans="1:17" x14ac:dyDescent="0.2">
      <c r="A1933" t="str">
        <f>IF(Sync!$T1929="","",Sync!$T1929)</f>
        <v/>
      </c>
      <c r="B1933" t="str">
        <f t="shared" si="180"/>
        <v/>
      </c>
      <c r="C1933" t="str">
        <f t="shared" si="181"/>
        <v/>
      </c>
      <c r="D1933" t="str">
        <f t="shared" si="182"/>
        <v/>
      </c>
      <c r="E1933" t="str">
        <f t="shared" si="183"/>
        <v/>
      </c>
      <c r="F1933" t="str">
        <f t="shared" si="184"/>
        <v/>
      </c>
      <c r="G1933" t="str">
        <f>IF(OR($E1933="",$E1933="نامعتبر",Sync!$X1929=""),"",IF(AND(LEFT(UPPER(TRIM(Sync!$X1929)),2)="SL",IFERROR(VLOOKUP(Sync!$W1929,OpTbl,3,0),"")="فروش"),UPPER(TRIM(Sync!$X1929)),""))</f>
        <v/>
      </c>
      <c r="H1933" t="str">
        <f>IF($G1933="","",IF(Sync!$W1929="","",Sync!$W1929))</f>
        <v/>
      </c>
      <c r="I1933" t="str">
        <f>IF(OR($G1933="",Sync!$Y1929=""),"",Sync!$Y1929)</f>
        <v/>
      </c>
      <c r="J1933" t="str">
        <f>IF(OR($G1933="",Sync!$Z1929=""),"",Sync!$Z1929)</f>
        <v/>
      </c>
      <c r="K1933">
        <f>IF($G1933="",0,IF(Sync!$AA1929="",0,Sync!$AA1929))</f>
        <v>0</v>
      </c>
      <c r="L1933">
        <f>IF($G1933="",0,IF(Sync!$AB1929="",0,Sync!$AB1929))</f>
        <v>0</v>
      </c>
      <c r="M1933" t="str">
        <f t="shared" si="185"/>
        <v/>
      </c>
      <c r="N1933">
        <f>IF($G1933="",0,IF($H1933="مرجوعی فروش",-1,1)*IF(Sync!$AC1929="",0,Sync!$AC1929))</f>
        <v>0</v>
      </c>
      <c r="O1933" t="str">
        <f>IF(OR($G1933="",Sync!$V1929=""),"",Sync!$V1929)</f>
        <v/>
      </c>
      <c r="P1933" t="str">
        <f>IF(OR($G1933="",Sync!$AD1929=""),"",Sync!$AD1929)</f>
        <v/>
      </c>
      <c r="Q1933" t="str">
        <f>IF($G1933="","",IF(Sync!$U1929="","0000",IF(AND(ISNUMBER(Sync!$U1929),Sync!$U1929&gt;=0,Sync!$U1929&lt;1),RIGHT("00"&amp;HOUR(Sync!$U1929),2)&amp;RIGHT("00"&amp;MINUTE(Sync!$U1929),2),IFERROR(RIGHT("00"&amp;VALUE(LEFT(Sync!$U1929,FIND(":",Sync!$U1929)-1)),2)&amp;RIGHT("00"&amp;VALUE(MID(Sync!$U1929,FIND(":",Sync!$U1929)+1,2)),2),"0000"))))</f>
        <v/>
      </c>
    </row>
    <row r="1934" spans="1:17" x14ac:dyDescent="0.2">
      <c r="A1934" t="str">
        <f>IF(Sync!$T1930="","",Sync!$T1930)</f>
        <v/>
      </c>
      <c r="B1934" t="str">
        <f t="shared" si="180"/>
        <v/>
      </c>
      <c r="C1934" t="str">
        <f t="shared" si="181"/>
        <v/>
      </c>
      <c r="D1934" t="str">
        <f t="shared" si="182"/>
        <v/>
      </c>
      <c r="E1934" t="str">
        <f t="shared" si="183"/>
        <v/>
      </c>
      <c r="F1934" t="str">
        <f t="shared" si="184"/>
        <v/>
      </c>
      <c r="G1934" t="str">
        <f>IF(OR($E1934="",$E1934="نامعتبر",Sync!$X1930=""),"",IF(AND(LEFT(UPPER(TRIM(Sync!$X1930)),2)="SL",IFERROR(VLOOKUP(Sync!$W1930,OpTbl,3,0),"")="فروش"),UPPER(TRIM(Sync!$X1930)),""))</f>
        <v/>
      </c>
      <c r="H1934" t="str">
        <f>IF($G1934="","",IF(Sync!$W1930="","",Sync!$W1930))</f>
        <v/>
      </c>
      <c r="I1934" t="str">
        <f>IF(OR($G1934="",Sync!$Y1930=""),"",Sync!$Y1930)</f>
        <v/>
      </c>
      <c r="J1934" t="str">
        <f>IF(OR($G1934="",Sync!$Z1930=""),"",Sync!$Z1930)</f>
        <v/>
      </c>
      <c r="K1934">
        <f>IF($G1934="",0,IF(Sync!$AA1930="",0,Sync!$AA1930))</f>
        <v>0</v>
      </c>
      <c r="L1934">
        <f>IF($G1934="",0,IF(Sync!$AB1930="",0,Sync!$AB1930))</f>
        <v>0</v>
      </c>
      <c r="M1934" t="str">
        <f t="shared" si="185"/>
        <v/>
      </c>
      <c r="N1934">
        <f>IF($G1934="",0,IF($H1934="مرجوعی فروش",-1,1)*IF(Sync!$AC1930="",0,Sync!$AC1930))</f>
        <v>0</v>
      </c>
      <c r="O1934" t="str">
        <f>IF(OR($G1934="",Sync!$V1930=""),"",Sync!$V1930)</f>
        <v/>
      </c>
      <c r="P1934" t="str">
        <f>IF(OR($G1934="",Sync!$AD1930=""),"",Sync!$AD1930)</f>
        <v/>
      </c>
      <c r="Q1934" t="str">
        <f>IF($G1934="","",IF(Sync!$U1930="","0000",IF(AND(ISNUMBER(Sync!$U1930),Sync!$U1930&gt;=0,Sync!$U1930&lt;1),RIGHT("00"&amp;HOUR(Sync!$U1930),2)&amp;RIGHT("00"&amp;MINUTE(Sync!$U1930),2),IFERROR(RIGHT("00"&amp;VALUE(LEFT(Sync!$U1930,FIND(":",Sync!$U1930)-1)),2)&amp;RIGHT("00"&amp;VALUE(MID(Sync!$U1930,FIND(":",Sync!$U1930)+1,2)),2),"0000"))))</f>
        <v/>
      </c>
    </row>
    <row r="1935" spans="1:17" x14ac:dyDescent="0.2">
      <c r="A1935" t="str">
        <f>IF(Sync!$T1931="","",Sync!$T1931)</f>
        <v/>
      </c>
      <c r="B1935" t="str">
        <f t="shared" si="180"/>
        <v/>
      </c>
      <c r="C1935" t="str">
        <f t="shared" si="181"/>
        <v/>
      </c>
      <c r="D1935" t="str">
        <f t="shared" si="182"/>
        <v/>
      </c>
      <c r="E1935" t="str">
        <f t="shared" si="183"/>
        <v/>
      </c>
      <c r="F1935" t="str">
        <f t="shared" si="184"/>
        <v/>
      </c>
      <c r="G1935" t="str">
        <f>IF(OR($E1935="",$E1935="نامعتبر",Sync!$X1931=""),"",IF(AND(LEFT(UPPER(TRIM(Sync!$X1931)),2)="SL",IFERROR(VLOOKUP(Sync!$W1931,OpTbl,3,0),"")="فروش"),UPPER(TRIM(Sync!$X1931)),""))</f>
        <v/>
      </c>
      <c r="H1935" t="str">
        <f>IF($G1935="","",IF(Sync!$W1931="","",Sync!$W1931))</f>
        <v/>
      </c>
      <c r="I1935" t="str">
        <f>IF(OR($G1935="",Sync!$Y1931=""),"",Sync!$Y1931)</f>
        <v/>
      </c>
      <c r="J1935" t="str">
        <f>IF(OR($G1935="",Sync!$Z1931=""),"",Sync!$Z1931)</f>
        <v/>
      </c>
      <c r="K1935">
        <f>IF($G1935="",0,IF(Sync!$AA1931="",0,Sync!$AA1931))</f>
        <v>0</v>
      </c>
      <c r="L1935">
        <f>IF($G1935="",0,IF(Sync!$AB1931="",0,Sync!$AB1931))</f>
        <v>0</v>
      </c>
      <c r="M1935" t="str">
        <f t="shared" si="185"/>
        <v/>
      </c>
      <c r="N1935">
        <f>IF($G1935="",0,IF($H1935="مرجوعی فروش",-1,1)*IF(Sync!$AC1931="",0,Sync!$AC1931))</f>
        <v>0</v>
      </c>
      <c r="O1935" t="str">
        <f>IF(OR($G1935="",Sync!$V1931=""),"",Sync!$V1931)</f>
        <v/>
      </c>
      <c r="P1935" t="str">
        <f>IF(OR($G1935="",Sync!$AD1931=""),"",Sync!$AD1931)</f>
        <v/>
      </c>
      <c r="Q1935" t="str">
        <f>IF($G1935="","",IF(Sync!$U1931="","0000",IF(AND(ISNUMBER(Sync!$U1931),Sync!$U1931&gt;=0,Sync!$U1931&lt;1),RIGHT("00"&amp;HOUR(Sync!$U1931),2)&amp;RIGHT("00"&amp;MINUTE(Sync!$U1931),2),IFERROR(RIGHT("00"&amp;VALUE(LEFT(Sync!$U1931,FIND(":",Sync!$U1931)-1)),2)&amp;RIGHT("00"&amp;VALUE(MID(Sync!$U1931,FIND(":",Sync!$U1931)+1,2)),2),"0000"))))</f>
        <v/>
      </c>
    </row>
    <row r="1936" spans="1:17" x14ac:dyDescent="0.2">
      <c r="A1936" t="str">
        <f>IF(Sync!$T1932="","",Sync!$T1932)</f>
        <v/>
      </c>
      <c r="B1936" t="str">
        <f t="shared" si="180"/>
        <v/>
      </c>
      <c r="C1936" t="str">
        <f t="shared" si="181"/>
        <v/>
      </c>
      <c r="D1936" t="str">
        <f t="shared" si="182"/>
        <v/>
      </c>
      <c r="E1936" t="str">
        <f t="shared" si="183"/>
        <v/>
      </c>
      <c r="F1936" t="str">
        <f t="shared" si="184"/>
        <v/>
      </c>
      <c r="G1936" t="str">
        <f>IF(OR($E1936="",$E1936="نامعتبر",Sync!$X1932=""),"",IF(AND(LEFT(UPPER(TRIM(Sync!$X1932)),2)="SL",IFERROR(VLOOKUP(Sync!$W1932,OpTbl,3,0),"")="فروش"),UPPER(TRIM(Sync!$X1932)),""))</f>
        <v/>
      </c>
      <c r="H1936" t="str">
        <f>IF($G1936="","",IF(Sync!$W1932="","",Sync!$W1932))</f>
        <v/>
      </c>
      <c r="I1936" t="str">
        <f>IF(OR($G1936="",Sync!$Y1932=""),"",Sync!$Y1932)</f>
        <v/>
      </c>
      <c r="J1936" t="str">
        <f>IF(OR($G1936="",Sync!$Z1932=""),"",Sync!$Z1932)</f>
        <v/>
      </c>
      <c r="K1936">
        <f>IF($G1936="",0,IF(Sync!$AA1932="",0,Sync!$AA1932))</f>
        <v>0</v>
      </c>
      <c r="L1936">
        <f>IF($G1936="",0,IF(Sync!$AB1932="",0,Sync!$AB1932))</f>
        <v>0</v>
      </c>
      <c r="M1936" t="str">
        <f t="shared" si="185"/>
        <v/>
      </c>
      <c r="N1936">
        <f>IF($G1936="",0,IF($H1936="مرجوعی فروش",-1,1)*IF(Sync!$AC1932="",0,Sync!$AC1932))</f>
        <v>0</v>
      </c>
      <c r="O1936" t="str">
        <f>IF(OR($G1936="",Sync!$V1932=""),"",Sync!$V1932)</f>
        <v/>
      </c>
      <c r="P1936" t="str">
        <f>IF(OR($G1936="",Sync!$AD1932=""),"",Sync!$AD1932)</f>
        <v/>
      </c>
      <c r="Q1936" t="str">
        <f>IF($G1936="","",IF(Sync!$U1932="","0000",IF(AND(ISNUMBER(Sync!$U1932),Sync!$U1932&gt;=0,Sync!$U1932&lt;1),RIGHT("00"&amp;HOUR(Sync!$U1932),2)&amp;RIGHT("00"&amp;MINUTE(Sync!$U1932),2),IFERROR(RIGHT("00"&amp;VALUE(LEFT(Sync!$U1932,FIND(":",Sync!$U1932)-1)),2)&amp;RIGHT("00"&amp;VALUE(MID(Sync!$U1932,FIND(":",Sync!$U1932)+1,2)),2),"0000"))))</f>
        <v/>
      </c>
    </row>
    <row r="1937" spans="1:17" x14ac:dyDescent="0.2">
      <c r="A1937" t="str">
        <f>IF(Sync!$T1933="","",Sync!$T1933)</f>
        <v/>
      </c>
      <c r="B1937" t="str">
        <f t="shared" si="180"/>
        <v/>
      </c>
      <c r="C1937" t="str">
        <f t="shared" si="181"/>
        <v/>
      </c>
      <c r="D1937" t="str">
        <f t="shared" si="182"/>
        <v/>
      </c>
      <c r="E1937" t="str">
        <f t="shared" si="183"/>
        <v/>
      </c>
      <c r="F1937" t="str">
        <f t="shared" si="184"/>
        <v/>
      </c>
      <c r="G1937" t="str">
        <f>IF(OR($E1937="",$E1937="نامعتبر",Sync!$X1933=""),"",IF(AND(LEFT(UPPER(TRIM(Sync!$X1933)),2)="SL",IFERROR(VLOOKUP(Sync!$W1933,OpTbl,3,0),"")="فروش"),UPPER(TRIM(Sync!$X1933)),""))</f>
        <v/>
      </c>
      <c r="H1937" t="str">
        <f>IF($G1937="","",IF(Sync!$W1933="","",Sync!$W1933))</f>
        <v/>
      </c>
      <c r="I1937" t="str">
        <f>IF(OR($G1937="",Sync!$Y1933=""),"",Sync!$Y1933)</f>
        <v/>
      </c>
      <c r="J1937" t="str">
        <f>IF(OR($G1937="",Sync!$Z1933=""),"",Sync!$Z1933)</f>
        <v/>
      </c>
      <c r="K1937">
        <f>IF($G1937="",0,IF(Sync!$AA1933="",0,Sync!$AA1933))</f>
        <v>0</v>
      </c>
      <c r="L1937">
        <f>IF($G1937="",0,IF(Sync!$AB1933="",0,Sync!$AB1933))</f>
        <v>0</v>
      </c>
      <c r="M1937" t="str">
        <f t="shared" si="185"/>
        <v/>
      </c>
      <c r="N1937">
        <f>IF($G1937="",0,IF($H1937="مرجوعی فروش",-1,1)*IF(Sync!$AC1933="",0,Sync!$AC1933))</f>
        <v>0</v>
      </c>
      <c r="O1937" t="str">
        <f>IF(OR($G1937="",Sync!$V1933=""),"",Sync!$V1933)</f>
        <v/>
      </c>
      <c r="P1937" t="str">
        <f>IF(OR($G1937="",Sync!$AD1933=""),"",Sync!$AD1933)</f>
        <v/>
      </c>
      <c r="Q1937" t="str">
        <f>IF($G1937="","",IF(Sync!$U1933="","0000",IF(AND(ISNUMBER(Sync!$U1933),Sync!$U1933&gt;=0,Sync!$U1933&lt;1),RIGHT("00"&amp;HOUR(Sync!$U1933),2)&amp;RIGHT("00"&amp;MINUTE(Sync!$U1933),2),IFERROR(RIGHT("00"&amp;VALUE(LEFT(Sync!$U1933,FIND(":",Sync!$U1933)-1)),2)&amp;RIGHT("00"&amp;VALUE(MID(Sync!$U1933,FIND(":",Sync!$U1933)+1,2)),2),"0000"))))</f>
        <v/>
      </c>
    </row>
    <row r="1938" spans="1:17" x14ac:dyDescent="0.2">
      <c r="A1938" t="str">
        <f>IF(Sync!$T1934="","",Sync!$T1934)</f>
        <v/>
      </c>
      <c r="B1938" t="str">
        <f t="shared" si="180"/>
        <v/>
      </c>
      <c r="C1938" t="str">
        <f t="shared" si="181"/>
        <v/>
      </c>
      <c r="D1938" t="str">
        <f t="shared" si="182"/>
        <v/>
      </c>
      <c r="E1938" t="str">
        <f t="shared" si="183"/>
        <v/>
      </c>
      <c r="F1938" t="str">
        <f t="shared" si="184"/>
        <v/>
      </c>
      <c r="G1938" t="str">
        <f>IF(OR($E1938="",$E1938="نامعتبر",Sync!$X1934=""),"",IF(AND(LEFT(UPPER(TRIM(Sync!$X1934)),2)="SL",IFERROR(VLOOKUP(Sync!$W1934,OpTbl,3,0),"")="فروش"),UPPER(TRIM(Sync!$X1934)),""))</f>
        <v/>
      </c>
      <c r="H1938" t="str">
        <f>IF($G1938="","",IF(Sync!$W1934="","",Sync!$W1934))</f>
        <v/>
      </c>
      <c r="I1938" t="str">
        <f>IF(OR($G1938="",Sync!$Y1934=""),"",Sync!$Y1934)</f>
        <v/>
      </c>
      <c r="J1938" t="str">
        <f>IF(OR($G1938="",Sync!$Z1934=""),"",Sync!$Z1934)</f>
        <v/>
      </c>
      <c r="K1938">
        <f>IF($G1938="",0,IF(Sync!$AA1934="",0,Sync!$AA1934))</f>
        <v>0</v>
      </c>
      <c r="L1938">
        <f>IF($G1938="",0,IF(Sync!$AB1934="",0,Sync!$AB1934))</f>
        <v>0</v>
      </c>
      <c r="M1938" t="str">
        <f t="shared" si="185"/>
        <v/>
      </c>
      <c r="N1938">
        <f>IF($G1938="",0,IF($H1938="مرجوعی فروش",-1,1)*IF(Sync!$AC1934="",0,Sync!$AC1934))</f>
        <v>0</v>
      </c>
      <c r="O1938" t="str">
        <f>IF(OR($G1938="",Sync!$V1934=""),"",Sync!$V1934)</f>
        <v/>
      </c>
      <c r="P1938" t="str">
        <f>IF(OR($G1938="",Sync!$AD1934=""),"",Sync!$AD1934)</f>
        <v/>
      </c>
      <c r="Q1938" t="str">
        <f>IF($G1938="","",IF(Sync!$U1934="","0000",IF(AND(ISNUMBER(Sync!$U1934),Sync!$U1934&gt;=0,Sync!$U1934&lt;1),RIGHT("00"&amp;HOUR(Sync!$U1934),2)&amp;RIGHT("00"&amp;MINUTE(Sync!$U1934),2),IFERROR(RIGHT("00"&amp;VALUE(LEFT(Sync!$U1934,FIND(":",Sync!$U1934)-1)),2)&amp;RIGHT("00"&amp;VALUE(MID(Sync!$U1934,FIND(":",Sync!$U1934)+1,2)),2),"0000"))))</f>
        <v/>
      </c>
    </row>
    <row r="1939" spans="1:17" x14ac:dyDescent="0.2">
      <c r="A1939" t="str">
        <f>IF(Sync!$T1935="","",Sync!$T1935)</f>
        <v/>
      </c>
      <c r="B1939" t="str">
        <f t="shared" si="180"/>
        <v/>
      </c>
      <c r="C1939" t="str">
        <f t="shared" si="181"/>
        <v/>
      </c>
      <c r="D1939" t="str">
        <f t="shared" si="182"/>
        <v/>
      </c>
      <c r="E1939" t="str">
        <f t="shared" si="183"/>
        <v/>
      </c>
      <c r="F1939" t="str">
        <f t="shared" si="184"/>
        <v/>
      </c>
      <c r="G1939" t="str">
        <f>IF(OR($E1939="",$E1939="نامعتبر",Sync!$X1935=""),"",IF(AND(LEFT(UPPER(TRIM(Sync!$X1935)),2)="SL",IFERROR(VLOOKUP(Sync!$W1935,OpTbl,3,0),"")="فروش"),UPPER(TRIM(Sync!$X1935)),""))</f>
        <v/>
      </c>
      <c r="H1939" t="str">
        <f>IF($G1939="","",IF(Sync!$W1935="","",Sync!$W1935))</f>
        <v/>
      </c>
      <c r="I1939" t="str">
        <f>IF(OR($G1939="",Sync!$Y1935=""),"",Sync!$Y1935)</f>
        <v/>
      </c>
      <c r="J1939" t="str">
        <f>IF(OR($G1939="",Sync!$Z1935=""),"",Sync!$Z1935)</f>
        <v/>
      </c>
      <c r="K1939">
        <f>IF($G1939="",0,IF(Sync!$AA1935="",0,Sync!$AA1935))</f>
        <v>0</v>
      </c>
      <c r="L1939">
        <f>IF($G1939="",0,IF(Sync!$AB1935="",0,Sync!$AB1935))</f>
        <v>0</v>
      </c>
      <c r="M1939" t="str">
        <f t="shared" si="185"/>
        <v/>
      </c>
      <c r="N1939">
        <f>IF($G1939="",0,IF($H1939="مرجوعی فروش",-1,1)*IF(Sync!$AC1935="",0,Sync!$AC1935))</f>
        <v>0</v>
      </c>
      <c r="O1939" t="str">
        <f>IF(OR($G1939="",Sync!$V1935=""),"",Sync!$V1935)</f>
        <v/>
      </c>
      <c r="P1939" t="str">
        <f>IF(OR($G1939="",Sync!$AD1935=""),"",Sync!$AD1935)</f>
        <v/>
      </c>
      <c r="Q1939" t="str">
        <f>IF($G1939="","",IF(Sync!$U1935="","0000",IF(AND(ISNUMBER(Sync!$U1935),Sync!$U1935&gt;=0,Sync!$U1935&lt;1),RIGHT("00"&amp;HOUR(Sync!$U1935),2)&amp;RIGHT("00"&amp;MINUTE(Sync!$U1935),2),IFERROR(RIGHT("00"&amp;VALUE(LEFT(Sync!$U1935,FIND(":",Sync!$U1935)-1)),2)&amp;RIGHT("00"&amp;VALUE(MID(Sync!$U1935,FIND(":",Sync!$U1935)+1,2)),2),"0000"))))</f>
        <v/>
      </c>
    </row>
    <row r="1940" spans="1:17" x14ac:dyDescent="0.2">
      <c r="A1940" t="str">
        <f>IF(Sync!$T1936="","",Sync!$T1936)</f>
        <v/>
      </c>
      <c r="B1940" t="str">
        <f t="shared" si="180"/>
        <v/>
      </c>
      <c r="C1940" t="str">
        <f t="shared" si="181"/>
        <v/>
      </c>
      <c r="D1940" t="str">
        <f t="shared" si="182"/>
        <v/>
      </c>
      <c r="E1940" t="str">
        <f t="shared" si="183"/>
        <v/>
      </c>
      <c r="F1940" t="str">
        <f t="shared" si="184"/>
        <v/>
      </c>
      <c r="G1940" t="str">
        <f>IF(OR($E1940="",$E1940="نامعتبر",Sync!$X1936=""),"",IF(AND(LEFT(UPPER(TRIM(Sync!$X1936)),2)="SL",IFERROR(VLOOKUP(Sync!$W1936,OpTbl,3,0),"")="فروش"),UPPER(TRIM(Sync!$X1936)),""))</f>
        <v/>
      </c>
      <c r="H1940" t="str">
        <f>IF($G1940="","",IF(Sync!$W1936="","",Sync!$W1936))</f>
        <v/>
      </c>
      <c r="I1940" t="str">
        <f>IF(OR($G1940="",Sync!$Y1936=""),"",Sync!$Y1936)</f>
        <v/>
      </c>
      <c r="J1940" t="str">
        <f>IF(OR($G1940="",Sync!$Z1936=""),"",Sync!$Z1936)</f>
        <v/>
      </c>
      <c r="K1940">
        <f>IF($G1940="",0,IF(Sync!$AA1936="",0,Sync!$AA1936))</f>
        <v>0</v>
      </c>
      <c r="L1940">
        <f>IF($G1940="",0,IF(Sync!$AB1936="",0,Sync!$AB1936))</f>
        <v>0</v>
      </c>
      <c r="M1940" t="str">
        <f t="shared" si="185"/>
        <v/>
      </c>
      <c r="N1940">
        <f>IF($G1940="",0,IF($H1940="مرجوعی فروش",-1,1)*IF(Sync!$AC1936="",0,Sync!$AC1936))</f>
        <v>0</v>
      </c>
      <c r="O1940" t="str">
        <f>IF(OR($G1940="",Sync!$V1936=""),"",Sync!$V1936)</f>
        <v/>
      </c>
      <c r="P1940" t="str">
        <f>IF(OR($G1940="",Sync!$AD1936=""),"",Sync!$AD1936)</f>
        <v/>
      </c>
      <c r="Q1940" t="str">
        <f>IF($G1940="","",IF(Sync!$U1936="","0000",IF(AND(ISNUMBER(Sync!$U1936),Sync!$U1936&gt;=0,Sync!$U1936&lt;1),RIGHT("00"&amp;HOUR(Sync!$U1936),2)&amp;RIGHT("00"&amp;MINUTE(Sync!$U1936),2),IFERROR(RIGHT("00"&amp;VALUE(LEFT(Sync!$U1936,FIND(":",Sync!$U1936)-1)),2)&amp;RIGHT("00"&amp;VALUE(MID(Sync!$U1936,FIND(":",Sync!$U1936)+1,2)),2),"0000"))))</f>
        <v/>
      </c>
    </row>
    <row r="1941" spans="1:17" x14ac:dyDescent="0.2">
      <c r="A1941" t="str">
        <f>IF(Sync!$T1937="","",Sync!$T1937)</f>
        <v/>
      </c>
      <c r="B1941" t="str">
        <f t="shared" si="180"/>
        <v/>
      </c>
      <c r="C1941" t="str">
        <f t="shared" si="181"/>
        <v/>
      </c>
      <c r="D1941" t="str">
        <f t="shared" si="182"/>
        <v/>
      </c>
      <c r="E1941" t="str">
        <f t="shared" si="183"/>
        <v/>
      </c>
      <c r="F1941" t="str">
        <f t="shared" si="184"/>
        <v/>
      </c>
      <c r="G1941" t="str">
        <f>IF(OR($E1941="",$E1941="نامعتبر",Sync!$X1937=""),"",IF(AND(LEFT(UPPER(TRIM(Sync!$X1937)),2)="SL",IFERROR(VLOOKUP(Sync!$W1937,OpTbl,3,0),"")="فروش"),UPPER(TRIM(Sync!$X1937)),""))</f>
        <v/>
      </c>
      <c r="H1941" t="str">
        <f>IF($G1941="","",IF(Sync!$W1937="","",Sync!$W1937))</f>
        <v/>
      </c>
      <c r="I1941" t="str">
        <f>IF(OR($G1941="",Sync!$Y1937=""),"",Sync!$Y1937)</f>
        <v/>
      </c>
      <c r="J1941" t="str">
        <f>IF(OR($G1941="",Sync!$Z1937=""),"",Sync!$Z1937)</f>
        <v/>
      </c>
      <c r="K1941">
        <f>IF($G1941="",0,IF(Sync!$AA1937="",0,Sync!$AA1937))</f>
        <v>0</v>
      </c>
      <c r="L1941">
        <f>IF($G1941="",0,IF(Sync!$AB1937="",0,Sync!$AB1937))</f>
        <v>0</v>
      </c>
      <c r="M1941" t="str">
        <f t="shared" si="185"/>
        <v/>
      </c>
      <c r="N1941">
        <f>IF($G1941="",0,IF($H1941="مرجوعی فروش",-1,1)*IF(Sync!$AC1937="",0,Sync!$AC1937))</f>
        <v>0</v>
      </c>
      <c r="O1941" t="str">
        <f>IF(OR($G1941="",Sync!$V1937=""),"",Sync!$V1937)</f>
        <v/>
      </c>
      <c r="P1941" t="str">
        <f>IF(OR($G1941="",Sync!$AD1937=""),"",Sync!$AD1937)</f>
        <v/>
      </c>
      <c r="Q1941" t="str">
        <f>IF($G1941="","",IF(Sync!$U1937="","0000",IF(AND(ISNUMBER(Sync!$U1937),Sync!$U1937&gt;=0,Sync!$U1937&lt;1),RIGHT("00"&amp;HOUR(Sync!$U1937),2)&amp;RIGHT("00"&amp;MINUTE(Sync!$U1937),2),IFERROR(RIGHT("00"&amp;VALUE(LEFT(Sync!$U1937,FIND(":",Sync!$U1937)-1)),2)&amp;RIGHT("00"&amp;VALUE(MID(Sync!$U1937,FIND(":",Sync!$U1937)+1,2)),2),"0000"))))</f>
        <v/>
      </c>
    </row>
    <row r="1942" spans="1:17" x14ac:dyDescent="0.2">
      <c r="A1942" t="str">
        <f>IF(Sync!$T1938="","",Sync!$T1938)</f>
        <v/>
      </c>
      <c r="B1942" t="str">
        <f t="shared" si="180"/>
        <v/>
      </c>
      <c r="C1942" t="str">
        <f t="shared" si="181"/>
        <v/>
      </c>
      <c r="D1942" t="str">
        <f t="shared" si="182"/>
        <v/>
      </c>
      <c r="E1942" t="str">
        <f t="shared" si="183"/>
        <v/>
      </c>
      <c r="F1942" t="str">
        <f t="shared" si="184"/>
        <v/>
      </c>
      <c r="G1942" t="str">
        <f>IF(OR($E1942="",$E1942="نامعتبر",Sync!$X1938=""),"",IF(AND(LEFT(UPPER(TRIM(Sync!$X1938)),2)="SL",IFERROR(VLOOKUP(Sync!$W1938,OpTbl,3,0),"")="فروش"),UPPER(TRIM(Sync!$X1938)),""))</f>
        <v/>
      </c>
      <c r="H1942" t="str">
        <f>IF($G1942="","",IF(Sync!$W1938="","",Sync!$W1938))</f>
        <v/>
      </c>
      <c r="I1942" t="str">
        <f>IF(OR($G1942="",Sync!$Y1938=""),"",Sync!$Y1938)</f>
        <v/>
      </c>
      <c r="J1942" t="str">
        <f>IF(OR($G1942="",Sync!$Z1938=""),"",Sync!$Z1938)</f>
        <v/>
      </c>
      <c r="K1942">
        <f>IF($G1942="",0,IF(Sync!$AA1938="",0,Sync!$AA1938))</f>
        <v>0</v>
      </c>
      <c r="L1942">
        <f>IF($G1942="",0,IF(Sync!$AB1938="",0,Sync!$AB1938))</f>
        <v>0</v>
      </c>
      <c r="M1942" t="str">
        <f t="shared" si="185"/>
        <v/>
      </c>
      <c r="N1942">
        <f>IF($G1942="",0,IF($H1942="مرجوعی فروش",-1,1)*IF(Sync!$AC1938="",0,Sync!$AC1938))</f>
        <v>0</v>
      </c>
      <c r="O1942" t="str">
        <f>IF(OR($G1942="",Sync!$V1938=""),"",Sync!$V1938)</f>
        <v/>
      </c>
      <c r="P1942" t="str">
        <f>IF(OR($G1942="",Sync!$AD1938=""),"",Sync!$AD1938)</f>
        <v/>
      </c>
      <c r="Q1942" t="str">
        <f>IF($G1942="","",IF(Sync!$U1938="","0000",IF(AND(ISNUMBER(Sync!$U1938),Sync!$U1938&gt;=0,Sync!$U1938&lt;1),RIGHT("00"&amp;HOUR(Sync!$U1938),2)&amp;RIGHT("00"&amp;MINUTE(Sync!$U1938),2),IFERROR(RIGHT("00"&amp;VALUE(LEFT(Sync!$U1938,FIND(":",Sync!$U1938)-1)),2)&amp;RIGHT("00"&amp;VALUE(MID(Sync!$U1938,FIND(":",Sync!$U1938)+1,2)),2),"0000"))))</f>
        <v/>
      </c>
    </row>
    <row r="1943" spans="1:17" x14ac:dyDescent="0.2">
      <c r="A1943" t="str">
        <f>IF(Sync!$T1939="","",Sync!$T1939)</f>
        <v/>
      </c>
      <c r="B1943" t="str">
        <f t="shared" si="180"/>
        <v/>
      </c>
      <c r="C1943" t="str">
        <f t="shared" si="181"/>
        <v/>
      </c>
      <c r="D1943" t="str">
        <f t="shared" si="182"/>
        <v/>
      </c>
      <c r="E1943" t="str">
        <f t="shared" si="183"/>
        <v/>
      </c>
      <c r="F1943" t="str">
        <f t="shared" si="184"/>
        <v/>
      </c>
      <c r="G1943" t="str">
        <f>IF(OR($E1943="",$E1943="نامعتبر",Sync!$X1939=""),"",IF(AND(LEFT(UPPER(TRIM(Sync!$X1939)),2)="SL",IFERROR(VLOOKUP(Sync!$W1939,OpTbl,3,0),"")="فروش"),UPPER(TRIM(Sync!$X1939)),""))</f>
        <v/>
      </c>
      <c r="H1943" t="str">
        <f>IF($G1943="","",IF(Sync!$W1939="","",Sync!$W1939))</f>
        <v/>
      </c>
      <c r="I1943" t="str">
        <f>IF(OR($G1943="",Sync!$Y1939=""),"",Sync!$Y1939)</f>
        <v/>
      </c>
      <c r="J1943" t="str">
        <f>IF(OR($G1943="",Sync!$Z1939=""),"",Sync!$Z1939)</f>
        <v/>
      </c>
      <c r="K1943">
        <f>IF($G1943="",0,IF(Sync!$AA1939="",0,Sync!$AA1939))</f>
        <v>0</v>
      </c>
      <c r="L1943">
        <f>IF($G1943="",0,IF(Sync!$AB1939="",0,Sync!$AB1939))</f>
        <v>0</v>
      </c>
      <c r="M1943" t="str">
        <f t="shared" si="185"/>
        <v/>
      </c>
      <c r="N1943">
        <f>IF($G1943="",0,IF($H1943="مرجوعی فروش",-1,1)*IF(Sync!$AC1939="",0,Sync!$AC1939))</f>
        <v>0</v>
      </c>
      <c r="O1943" t="str">
        <f>IF(OR($G1943="",Sync!$V1939=""),"",Sync!$V1939)</f>
        <v/>
      </c>
      <c r="P1943" t="str">
        <f>IF(OR($G1943="",Sync!$AD1939=""),"",Sync!$AD1939)</f>
        <v/>
      </c>
      <c r="Q1943" t="str">
        <f>IF($G1943="","",IF(Sync!$U1939="","0000",IF(AND(ISNUMBER(Sync!$U1939),Sync!$U1939&gt;=0,Sync!$U1939&lt;1),RIGHT("00"&amp;HOUR(Sync!$U1939),2)&amp;RIGHT("00"&amp;MINUTE(Sync!$U1939),2),IFERROR(RIGHT("00"&amp;VALUE(LEFT(Sync!$U1939,FIND(":",Sync!$U1939)-1)),2)&amp;RIGHT("00"&amp;VALUE(MID(Sync!$U1939,FIND(":",Sync!$U1939)+1,2)),2),"0000"))))</f>
        <v/>
      </c>
    </row>
    <row r="1944" spans="1:17" x14ac:dyDescent="0.2">
      <c r="A1944" t="str">
        <f>IF(Sync!$T1940="","",Sync!$T1940)</f>
        <v/>
      </c>
      <c r="B1944" t="str">
        <f t="shared" si="180"/>
        <v/>
      </c>
      <c r="C1944" t="str">
        <f t="shared" si="181"/>
        <v/>
      </c>
      <c r="D1944" t="str">
        <f t="shared" si="182"/>
        <v/>
      </c>
      <c r="E1944" t="str">
        <f t="shared" si="183"/>
        <v/>
      </c>
      <c r="F1944" t="str">
        <f t="shared" si="184"/>
        <v/>
      </c>
      <c r="G1944" t="str">
        <f>IF(OR($E1944="",$E1944="نامعتبر",Sync!$X1940=""),"",IF(AND(LEFT(UPPER(TRIM(Sync!$X1940)),2)="SL",IFERROR(VLOOKUP(Sync!$W1940,OpTbl,3,0),"")="فروش"),UPPER(TRIM(Sync!$X1940)),""))</f>
        <v/>
      </c>
      <c r="H1944" t="str">
        <f>IF($G1944="","",IF(Sync!$W1940="","",Sync!$W1940))</f>
        <v/>
      </c>
      <c r="I1944" t="str">
        <f>IF(OR($G1944="",Sync!$Y1940=""),"",Sync!$Y1940)</f>
        <v/>
      </c>
      <c r="J1944" t="str">
        <f>IF(OR($G1944="",Sync!$Z1940=""),"",Sync!$Z1940)</f>
        <v/>
      </c>
      <c r="K1944">
        <f>IF($G1944="",0,IF(Sync!$AA1940="",0,Sync!$AA1940))</f>
        <v>0</v>
      </c>
      <c r="L1944">
        <f>IF($G1944="",0,IF(Sync!$AB1940="",0,Sync!$AB1940))</f>
        <v>0</v>
      </c>
      <c r="M1944" t="str">
        <f t="shared" si="185"/>
        <v/>
      </c>
      <c r="N1944">
        <f>IF($G1944="",0,IF($H1944="مرجوعی فروش",-1,1)*IF(Sync!$AC1940="",0,Sync!$AC1940))</f>
        <v>0</v>
      </c>
      <c r="O1944" t="str">
        <f>IF(OR($G1944="",Sync!$V1940=""),"",Sync!$V1940)</f>
        <v/>
      </c>
      <c r="P1944" t="str">
        <f>IF(OR($G1944="",Sync!$AD1940=""),"",Sync!$AD1940)</f>
        <v/>
      </c>
      <c r="Q1944" t="str">
        <f>IF($G1944="","",IF(Sync!$U1940="","0000",IF(AND(ISNUMBER(Sync!$U1940),Sync!$U1940&gt;=0,Sync!$U1940&lt;1),RIGHT("00"&amp;HOUR(Sync!$U1940),2)&amp;RIGHT("00"&amp;MINUTE(Sync!$U1940),2),IFERROR(RIGHT("00"&amp;VALUE(LEFT(Sync!$U1940,FIND(":",Sync!$U1940)-1)),2)&amp;RIGHT("00"&amp;VALUE(MID(Sync!$U1940,FIND(":",Sync!$U1940)+1,2)),2),"0000"))))</f>
        <v/>
      </c>
    </row>
    <row r="1945" spans="1:17" x14ac:dyDescent="0.2">
      <c r="A1945" t="str">
        <f>IF(Sync!$T1941="","",Sync!$T1941)</f>
        <v/>
      </c>
      <c r="B1945" t="str">
        <f t="shared" si="180"/>
        <v/>
      </c>
      <c r="C1945" t="str">
        <f t="shared" si="181"/>
        <v/>
      </c>
      <c r="D1945" t="str">
        <f t="shared" si="182"/>
        <v/>
      </c>
      <c r="E1945" t="str">
        <f t="shared" si="183"/>
        <v/>
      </c>
      <c r="F1945" t="str">
        <f t="shared" si="184"/>
        <v/>
      </c>
      <c r="G1945" t="str">
        <f>IF(OR($E1945="",$E1945="نامعتبر",Sync!$X1941=""),"",IF(AND(LEFT(UPPER(TRIM(Sync!$X1941)),2)="SL",IFERROR(VLOOKUP(Sync!$W1941,OpTbl,3,0),"")="فروش"),UPPER(TRIM(Sync!$X1941)),""))</f>
        <v/>
      </c>
      <c r="H1945" t="str">
        <f>IF($G1945="","",IF(Sync!$W1941="","",Sync!$W1941))</f>
        <v/>
      </c>
      <c r="I1945" t="str">
        <f>IF(OR($G1945="",Sync!$Y1941=""),"",Sync!$Y1941)</f>
        <v/>
      </c>
      <c r="J1945" t="str">
        <f>IF(OR($G1945="",Sync!$Z1941=""),"",Sync!$Z1941)</f>
        <v/>
      </c>
      <c r="K1945">
        <f>IF($G1945="",0,IF(Sync!$AA1941="",0,Sync!$AA1941))</f>
        <v>0</v>
      </c>
      <c r="L1945">
        <f>IF($G1945="",0,IF(Sync!$AB1941="",0,Sync!$AB1941))</f>
        <v>0</v>
      </c>
      <c r="M1945" t="str">
        <f t="shared" si="185"/>
        <v/>
      </c>
      <c r="N1945">
        <f>IF($G1945="",0,IF($H1945="مرجوعی فروش",-1,1)*IF(Sync!$AC1941="",0,Sync!$AC1941))</f>
        <v>0</v>
      </c>
      <c r="O1945" t="str">
        <f>IF(OR($G1945="",Sync!$V1941=""),"",Sync!$V1941)</f>
        <v/>
      </c>
      <c r="P1945" t="str">
        <f>IF(OR($G1945="",Sync!$AD1941=""),"",Sync!$AD1941)</f>
        <v/>
      </c>
      <c r="Q1945" t="str">
        <f>IF($G1945="","",IF(Sync!$U1941="","0000",IF(AND(ISNUMBER(Sync!$U1941),Sync!$U1941&gt;=0,Sync!$U1941&lt;1),RIGHT("00"&amp;HOUR(Sync!$U1941),2)&amp;RIGHT("00"&amp;MINUTE(Sync!$U1941),2),IFERROR(RIGHT("00"&amp;VALUE(LEFT(Sync!$U1941,FIND(":",Sync!$U1941)-1)),2)&amp;RIGHT("00"&amp;VALUE(MID(Sync!$U1941,FIND(":",Sync!$U1941)+1,2)),2),"0000"))))</f>
        <v/>
      </c>
    </row>
    <row r="1946" spans="1:17" x14ac:dyDescent="0.2">
      <c r="A1946" t="str">
        <f>IF(Sync!$T1942="","",Sync!$T1942)</f>
        <v/>
      </c>
      <c r="B1946" t="str">
        <f t="shared" si="180"/>
        <v/>
      </c>
      <c r="C1946" t="str">
        <f t="shared" si="181"/>
        <v/>
      </c>
      <c r="D1946" t="str">
        <f t="shared" si="182"/>
        <v/>
      </c>
      <c r="E1946" t="str">
        <f t="shared" si="183"/>
        <v/>
      </c>
      <c r="F1946" t="str">
        <f t="shared" si="184"/>
        <v/>
      </c>
      <c r="G1946" t="str">
        <f>IF(OR($E1946="",$E1946="نامعتبر",Sync!$X1942=""),"",IF(AND(LEFT(UPPER(TRIM(Sync!$X1942)),2)="SL",IFERROR(VLOOKUP(Sync!$W1942,OpTbl,3,0),"")="فروش"),UPPER(TRIM(Sync!$X1942)),""))</f>
        <v/>
      </c>
      <c r="H1946" t="str">
        <f>IF($G1946="","",IF(Sync!$W1942="","",Sync!$W1942))</f>
        <v/>
      </c>
      <c r="I1946" t="str">
        <f>IF(OR($G1946="",Sync!$Y1942=""),"",Sync!$Y1942)</f>
        <v/>
      </c>
      <c r="J1946" t="str">
        <f>IF(OR($G1946="",Sync!$Z1942=""),"",Sync!$Z1942)</f>
        <v/>
      </c>
      <c r="K1946">
        <f>IF($G1946="",0,IF(Sync!$AA1942="",0,Sync!$AA1942))</f>
        <v>0</v>
      </c>
      <c r="L1946">
        <f>IF($G1946="",0,IF(Sync!$AB1942="",0,Sync!$AB1942))</f>
        <v>0</v>
      </c>
      <c r="M1946" t="str">
        <f t="shared" si="185"/>
        <v/>
      </c>
      <c r="N1946">
        <f>IF($G1946="",0,IF($H1946="مرجوعی فروش",-1,1)*IF(Sync!$AC1942="",0,Sync!$AC1942))</f>
        <v>0</v>
      </c>
      <c r="O1946" t="str">
        <f>IF(OR($G1946="",Sync!$V1942=""),"",Sync!$V1942)</f>
        <v/>
      </c>
      <c r="P1946" t="str">
        <f>IF(OR($G1946="",Sync!$AD1942=""),"",Sync!$AD1942)</f>
        <v/>
      </c>
      <c r="Q1946" t="str">
        <f>IF($G1946="","",IF(Sync!$U1942="","0000",IF(AND(ISNUMBER(Sync!$U1942),Sync!$U1942&gt;=0,Sync!$U1942&lt;1),RIGHT("00"&amp;HOUR(Sync!$U1942),2)&amp;RIGHT("00"&amp;MINUTE(Sync!$U1942),2),IFERROR(RIGHT("00"&amp;VALUE(LEFT(Sync!$U1942,FIND(":",Sync!$U1942)-1)),2)&amp;RIGHT("00"&amp;VALUE(MID(Sync!$U1942,FIND(":",Sync!$U1942)+1,2)),2),"0000"))))</f>
        <v/>
      </c>
    </row>
    <row r="1947" spans="1:17" x14ac:dyDescent="0.2">
      <c r="A1947" t="str">
        <f>IF(Sync!$T1943="","",Sync!$T1943)</f>
        <v/>
      </c>
      <c r="B1947" t="str">
        <f t="shared" si="180"/>
        <v/>
      </c>
      <c r="C1947" t="str">
        <f t="shared" si="181"/>
        <v/>
      </c>
      <c r="D1947" t="str">
        <f t="shared" si="182"/>
        <v/>
      </c>
      <c r="E1947" t="str">
        <f t="shared" si="183"/>
        <v/>
      </c>
      <c r="F1947" t="str">
        <f t="shared" si="184"/>
        <v/>
      </c>
      <c r="G1947" t="str">
        <f>IF(OR($E1947="",$E1947="نامعتبر",Sync!$X1943=""),"",IF(AND(LEFT(UPPER(TRIM(Sync!$X1943)),2)="SL",IFERROR(VLOOKUP(Sync!$W1943,OpTbl,3,0),"")="فروش"),UPPER(TRIM(Sync!$X1943)),""))</f>
        <v/>
      </c>
      <c r="H1947" t="str">
        <f>IF($G1947="","",IF(Sync!$W1943="","",Sync!$W1943))</f>
        <v/>
      </c>
      <c r="I1947" t="str">
        <f>IF(OR($G1947="",Sync!$Y1943=""),"",Sync!$Y1943)</f>
        <v/>
      </c>
      <c r="J1947" t="str">
        <f>IF(OR($G1947="",Sync!$Z1943=""),"",Sync!$Z1943)</f>
        <v/>
      </c>
      <c r="K1947">
        <f>IF($G1947="",0,IF(Sync!$AA1943="",0,Sync!$AA1943))</f>
        <v>0</v>
      </c>
      <c r="L1947">
        <f>IF($G1947="",0,IF(Sync!$AB1943="",0,Sync!$AB1943))</f>
        <v>0</v>
      </c>
      <c r="M1947" t="str">
        <f t="shared" si="185"/>
        <v/>
      </c>
      <c r="N1947">
        <f>IF($G1947="",0,IF($H1947="مرجوعی فروش",-1,1)*IF(Sync!$AC1943="",0,Sync!$AC1943))</f>
        <v>0</v>
      </c>
      <c r="O1947" t="str">
        <f>IF(OR($G1947="",Sync!$V1943=""),"",Sync!$V1943)</f>
        <v/>
      </c>
      <c r="P1947" t="str">
        <f>IF(OR($G1947="",Sync!$AD1943=""),"",Sync!$AD1943)</f>
        <v/>
      </c>
      <c r="Q1947" t="str">
        <f>IF($G1947="","",IF(Sync!$U1943="","0000",IF(AND(ISNUMBER(Sync!$U1943),Sync!$U1943&gt;=0,Sync!$U1943&lt;1),RIGHT("00"&amp;HOUR(Sync!$U1943),2)&amp;RIGHT("00"&amp;MINUTE(Sync!$U1943),2),IFERROR(RIGHT("00"&amp;VALUE(LEFT(Sync!$U1943,FIND(":",Sync!$U1943)-1)),2)&amp;RIGHT("00"&amp;VALUE(MID(Sync!$U1943,FIND(":",Sync!$U1943)+1,2)),2),"0000"))))</f>
        <v/>
      </c>
    </row>
    <row r="1948" spans="1:17" x14ac:dyDescent="0.2">
      <c r="A1948" t="str">
        <f>IF(Sync!$T1944="","",Sync!$T1944)</f>
        <v/>
      </c>
      <c r="B1948" t="str">
        <f t="shared" si="180"/>
        <v/>
      </c>
      <c r="C1948" t="str">
        <f t="shared" si="181"/>
        <v/>
      </c>
      <c r="D1948" t="str">
        <f t="shared" si="182"/>
        <v/>
      </c>
      <c r="E1948" t="str">
        <f t="shared" si="183"/>
        <v/>
      </c>
      <c r="F1948" t="str">
        <f t="shared" si="184"/>
        <v/>
      </c>
      <c r="G1948" t="str">
        <f>IF(OR($E1948="",$E1948="نامعتبر",Sync!$X1944=""),"",IF(AND(LEFT(UPPER(TRIM(Sync!$X1944)),2)="SL",IFERROR(VLOOKUP(Sync!$W1944,OpTbl,3,0),"")="فروش"),UPPER(TRIM(Sync!$X1944)),""))</f>
        <v/>
      </c>
      <c r="H1948" t="str">
        <f>IF($G1948="","",IF(Sync!$W1944="","",Sync!$W1944))</f>
        <v/>
      </c>
      <c r="I1948" t="str">
        <f>IF(OR($G1948="",Sync!$Y1944=""),"",Sync!$Y1944)</f>
        <v/>
      </c>
      <c r="J1948" t="str">
        <f>IF(OR($G1948="",Sync!$Z1944=""),"",Sync!$Z1944)</f>
        <v/>
      </c>
      <c r="K1948">
        <f>IF($G1948="",0,IF(Sync!$AA1944="",0,Sync!$AA1944))</f>
        <v>0</v>
      </c>
      <c r="L1948">
        <f>IF($G1948="",0,IF(Sync!$AB1944="",0,Sync!$AB1944))</f>
        <v>0</v>
      </c>
      <c r="M1948" t="str">
        <f t="shared" si="185"/>
        <v/>
      </c>
      <c r="N1948">
        <f>IF($G1948="",0,IF($H1948="مرجوعی فروش",-1,1)*IF(Sync!$AC1944="",0,Sync!$AC1944))</f>
        <v>0</v>
      </c>
      <c r="O1948" t="str">
        <f>IF(OR($G1948="",Sync!$V1944=""),"",Sync!$V1944)</f>
        <v/>
      </c>
      <c r="P1948" t="str">
        <f>IF(OR($G1948="",Sync!$AD1944=""),"",Sync!$AD1944)</f>
        <v/>
      </c>
      <c r="Q1948" t="str">
        <f>IF($G1948="","",IF(Sync!$U1944="","0000",IF(AND(ISNUMBER(Sync!$U1944),Sync!$U1944&gt;=0,Sync!$U1944&lt;1),RIGHT("00"&amp;HOUR(Sync!$U1944),2)&amp;RIGHT("00"&amp;MINUTE(Sync!$U1944),2),IFERROR(RIGHT("00"&amp;VALUE(LEFT(Sync!$U1944,FIND(":",Sync!$U1944)-1)),2)&amp;RIGHT("00"&amp;VALUE(MID(Sync!$U1944,FIND(":",Sync!$U1944)+1,2)),2),"0000"))))</f>
        <v/>
      </c>
    </row>
    <row r="1949" spans="1:17" x14ac:dyDescent="0.2">
      <c r="A1949" t="str">
        <f>IF(Sync!$T1945="","",Sync!$T1945)</f>
        <v/>
      </c>
      <c r="B1949" t="str">
        <f t="shared" si="180"/>
        <v/>
      </c>
      <c r="C1949" t="str">
        <f t="shared" si="181"/>
        <v/>
      </c>
      <c r="D1949" t="str">
        <f t="shared" si="182"/>
        <v/>
      </c>
      <c r="E1949" t="str">
        <f t="shared" si="183"/>
        <v/>
      </c>
      <c r="F1949" t="str">
        <f t="shared" si="184"/>
        <v/>
      </c>
      <c r="G1949" t="str">
        <f>IF(OR($E1949="",$E1949="نامعتبر",Sync!$X1945=""),"",IF(AND(LEFT(UPPER(TRIM(Sync!$X1945)),2)="SL",IFERROR(VLOOKUP(Sync!$W1945,OpTbl,3,0),"")="فروش"),UPPER(TRIM(Sync!$X1945)),""))</f>
        <v/>
      </c>
      <c r="H1949" t="str">
        <f>IF($G1949="","",IF(Sync!$W1945="","",Sync!$W1945))</f>
        <v/>
      </c>
      <c r="I1949" t="str">
        <f>IF(OR($G1949="",Sync!$Y1945=""),"",Sync!$Y1945)</f>
        <v/>
      </c>
      <c r="J1949" t="str">
        <f>IF(OR($G1949="",Sync!$Z1945=""),"",Sync!$Z1945)</f>
        <v/>
      </c>
      <c r="K1949">
        <f>IF($G1949="",0,IF(Sync!$AA1945="",0,Sync!$AA1945))</f>
        <v>0</v>
      </c>
      <c r="L1949">
        <f>IF($G1949="",0,IF(Sync!$AB1945="",0,Sync!$AB1945))</f>
        <v>0</v>
      </c>
      <c r="M1949" t="str">
        <f t="shared" si="185"/>
        <v/>
      </c>
      <c r="N1949">
        <f>IF($G1949="",0,IF($H1949="مرجوعی فروش",-1,1)*IF(Sync!$AC1945="",0,Sync!$AC1945))</f>
        <v>0</v>
      </c>
      <c r="O1949" t="str">
        <f>IF(OR($G1949="",Sync!$V1945=""),"",Sync!$V1945)</f>
        <v/>
      </c>
      <c r="P1949" t="str">
        <f>IF(OR($G1949="",Sync!$AD1945=""),"",Sync!$AD1945)</f>
        <v/>
      </c>
      <c r="Q1949" t="str">
        <f>IF($G1949="","",IF(Sync!$U1945="","0000",IF(AND(ISNUMBER(Sync!$U1945),Sync!$U1945&gt;=0,Sync!$U1945&lt;1),RIGHT("00"&amp;HOUR(Sync!$U1945),2)&amp;RIGHT("00"&amp;MINUTE(Sync!$U1945),2),IFERROR(RIGHT("00"&amp;VALUE(LEFT(Sync!$U1945,FIND(":",Sync!$U1945)-1)),2)&amp;RIGHT("00"&amp;VALUE(MID(Sync!$U1945,FIND(":",Sync!$U1945)+1,2)),2),"0000"))))</f>
        <v/>
      </c>
    </row>
    <row r="1950" spans="1:17" x14ac:dyDescent="0.2">
      <c r="A1950" t="str">
        <f>IF(Sync!$T1946="","",Sync!$T1946)</f>
        <v/>
      </c>
      <c r="B1950" t="str">
        <f t="shared" si="180"/>
        <v/>
      </c>
      <c r="C1950" t="str">
        <f t="shared" si="181"/>
        <v/>
      </c>
      <c r="D1950" t="str">
        <f t="shared" si="182"/>
        <v/>
      </c>
      <c r="E1950" t="str">
        <f t="shared" si="183"/>
        <v/>
      </c>
      <c r="F1950" t="str">
        <f t="shared" si="184"/>
        <v/>
      </c>
      <c r="G1950" t="str">
        <f>IF(OR($E1950="",$E1950="نامعتبر",Sync!$X1946=""),"",IF(AND(LEFT(UPPER(TRIM(Sync!$X1946)),2)="SL",IFERROR(VLOOKUP(Sync!$W1946,OpTbl,3,0),"")="فروش"),UPPER(TRIM(Sync!$X1946)),""))</f>
        <v/>
      </c>
      <c r="H1950" t="str">
        <f>IF($G1950="","",IF(Sync!$W1946="","",Sync!$W1946))</f>
        <v/>
      </c>
      <c r="I1950" t="str">
        <f>IF(OR($G1950="",Sync!$Y1946=""),"",Sync!$Y1946)</f>
        <v/>
      </c>
      <c r="J1950" t="str">
        <f>IF(OR($G1950="",Sync!$Z1946=""),"",Sync!$Z1946)</f>
        <v/>
      </c>
      <c r="K1950">
        <f>IF($G1950="",0,IF(Sync!$AA1946="",0,Sync!$AA1946))</f>
        <v>0</v>
      </c>
      <c r="L1950">
        <f>IF($G1950="",0,IF(Sync!$AB1946="",0,Sync!$AB1946))</f>
        <v>0</v>
      </c>
      <c r="M1950" t="str">
        <f t="shared" si="185"/>
        <v/>
      </c>
      <c r="N1950">
        <f>IF($G1950="",0,IF($H1950="مرجوعی فروش",-1,1)*IF(Sync!$AC1946="",0,Sync!$AC1946))</f>
        <v>0</v>
      </c>
      <c r="O1950" t="str">
        <f>IF(OR($G1950="",Sync!$V1946=""),"",Sync!$V1946)</f>
        <v/>
      </c>
      <c r="P1950" t="str">
        <f>IF(OR($G1950="",Sync!$AD1946=""),"",Sync!$AD1946)</f>
        <v/>
      </c>
      <c r="Q1950" t="str">
        <f>IF($G1950="","",IF(Sync!$U1946="","0000",IF(AND(ISNUMBER(Sync!$U1946),Sync!$U1946&gt;=0,Sync!$U1946&lt;1),RIGHT("00"&amp;HOUR(Sync!$U1946),2)&amp;RIGHT("00"&amp;MINUTE(Sync!$U1946),2),IFERROR(RIGHT("00"&amp;VALUE(LEFT(Sync!$U1946,FIND(":",Sync!$U1946)-1)),2)&amp;RIGHT("00"&amp;VALUE(MID(Sync!$U1946,FIND(":",Sync!$U1946)+1,2)),2),"0000"))))</f>
        <v/>
      </c>
    </row>
    <row r="1951" spans="1:17" x14ac:dyDescent="0.2">
      <c r="A1951" t="str">
        <f>IF(Sync!$T1947="","",Sync!$T1947)</f>
        <v/>
      </c>
      <c r="B1951" t="str">
        <f t="shared" si="180"/>
        <v/>
      </c>
      <c r="C1951" t="str">
        <f t="shared" si="181"/>
        <v/>
      </c>
      <c r="D1951" t="str">
        <f t="shared" si="182"/>
        <v/>
      </c>
      <c r="E1951" t="str">
        <f t="shared" si="183"/>
        <v/>
      </c>
      <c r="F1951" t="str">
        <f t="shared" si="184"/>
        <v/>
      </c>
      <c r="G1951" t="str">
        <f>IF(OR($E1951="",$E1951="نامعتبر",Sync!$X1947=""),"",IF(AND(LEFT(UPPER(TRIM(Sync!$X1947)),2)="SL",IFERROR(VLOOKUP(Sync!$W1947,OpTbl,3,0),"")="فروش"),UPPER(TRIM(Sync!$X1947)),""))</f>
        <v/>
      </c>
      <c r="H1951" t="str">
        <f>IF($G1951="","",IF(Sync!$W1947="","",Sync!$W1947))</f>
        <v/>
      </c>
      <c r="I1951" t="str">
        <f>IF(OR($G1951="",Sync!$Y1947=""),"",Sync!$Y1947)</f>
        <v/>
      </c>
      <c r="J1951" t="str">
        <f>IF(OR($G1951="",Sync!$Z1947=""),"",Sync!$Z1947)</f>
        <v/>
      </c>
      <c r="K1951">
        <f>IF($G1951="",0,IF(Sync!$AA1947="",0,Sync!$AA1947))</f>
        <v>0</v>
      </c>
      <c r="L1951">
        <f>IF($G1951="",0,IF(Sync!$AB1947="",0,Sync!$AB1947))</f>
        <v>0</v>
      </c>
      <c r="M1951" t="str">
        <f t="shared" si="185"/>
        <v/>
      </c>
      <c r="N1951">
        <f>IF($G1951="",0,IF($H1951="مرجوعی فروش",-1,1)*IF(Sync!$AC1947="",0,Sync!$AC1947))</f>
        <v>0</v>
      </c>
      <c r="O1951" t="str">
        <f>IF(OR($G1951="",Sync!$V1947=""),"",Sync!$V1947)</f>
        <v/>
      </c>
      <c r="P1951" t="str">
        <f>IF(OR($G1951="",Sync!$AD1947=""),"",Sync!$AD1947)</f>
        <v/>
      </c>
      <c r="Q1951" t="str">
        <f>IF($G1951="","",IF(Sync!$U1947="","0000",IF(AND(ISNUMBER(Sync!$U1947),Sync!$U1947&gt;=0,Sync!$U1947&lt;1),RIGHT("00"&amp;HOUR(Sync!$U1947),2)&amp;RIGHT("00"&amp;MINUTE(Sync!$U1947),2),IFERROR(RIGHT("00"&amp;VALUE(LEFT(Sync!$U1947,FIND(":",Sync!$U1947)-1)),2)&amp;RIGHT("00"&amp;VALUE(MID(Sync!$U1947,FIND(":",Sync!$U1947)+1,2)),2),"0000"))))</f>
        <v/>
      </c>
    </row>
    <row r="1952" spans="1:17" x14ac:dyDescent="0.2">
      <c r="A1952" t="str">
        <f>IF(Sync!$T1948="","",Sync!$T1948)</f>
        <v/>
      </c>
      <c r="B1952" t="str">
        <f t="shared" si="180"/>
        <v/>
      </c>
      <c r="C1952" t="str">
        <f t="shared" si="181"/>
        <v/>
      </c>
      <c r="D1952" t="str">
        <f t="shared" si="182"/>
        <v/>
      </c>
      <c r="E1952" t="str">
        <f t="shared" si="183"/>
        <v/>
      </c>
      <c r="F1952" t="str">
        <f t="shared" si="184"/>
        <v/>
      </c>
      <c r="G1952" t="str">
        <f>IF(OR($E1952="",$E1952="نامعتبر",Sync!$X1948=""),"",IF(AND(LEFT(UPPER(TRIM(Sync!$X1948)),2)="SL",IFERROR(VLOOKUP(Sync!$W1948,OpTbl,3,0),"")="فروش"),UPPER(TRIM(Sync!$X1948)),""))</f>
        <v/>
      </c>
      <c r="H1952" t="str">
        <f>IF($G1952="","",IF(Sync!$W1948="","",Sync!$W1948))</f>
        <v/>
      </c>
      <c r="I1952" t="str">
        <f>IF(OR($G1952="",Sync!$Y1948=""),"",Sync!$Y1948)</f>
        <v/>
      </c>
      <c r="J1952" t="str">
        <f>IF(OR($G1952="",Sync!$Z1948=""),"",Sync!$Z1948)</f>
        <v/>
      </c>
      <c r="K1952">
        <f>IF($G1952="",0,IF(Sync!$AA1948="",0,Sync!$AA1948))</f>
        <v>0</v>
      </c>
      <c r="L1952">
        <f>IF($G1952="",0,IF(Sync!$AB1948="",0,Sync!$AB1948))</f>
        <v>0</v>
      </c>
      <c r="M1952" t="str">
        <f t="shared" si="185"/>
        <v/>
      </c>
      <c r="N1952">
        <f>IF($G1952="",0,IF($H1952="مرجوعی فروش",-1,1)*IF(Sync!$AC1948="",0,Sync!$AC1948))</f>
        <v>0</v>
      </c>
      <c r="O1952" t="str">
        <f>IF(OR($G1952="",Sync!$V1948=""),"",Sync!$V1948)</f>
        <v/>
      </c>
      <c r="P1952" t="str">
        <f>IF(OR($G1952="",Sync!$AD1948=""),"",Sync!$AD1948)</f>
        <v/>
      </c>
      <c r="Q1952" t="str">
        <f>IF($G1952="","",IF(Sync!$U1948="","0000",IF(AND(ISNUMBER(Sync!$U1948),Sync!$U1948&gt;=0,Sync!$U1948&lt;1),RIGHT("00"&amp;HOUR(Sync!$U1948),2)&amp;RIGHT("00"&amp;MINUTE(Sync!$U1948),2),IFERROR(RIGHT("00"&amp;VALUE(LEFT(Sync!$U1948,FIND(":",Sync!$U1948)-1)),2)&amp;RIGHT("00"&amp;VALUE(MID(Sync!$U1948,FIND(":",Sync!$U1948)+1,2)),2),"0000"))))</f>
        <v/>
      </c>
    </row>
    <row r="1953" spans="1:17" x14ac:dyDescent="0.2">
      <c r="A1953" t="str">
        <f>IF(Sync!$T1949="","",Sync!$T1949)</f>
        <v/>
      </c>
      <c r="B1953" t="str">
        <f t="shared" si="180"/>
        <v/>
      </c>
      <c r="C1953" t="str">
        <f t="shared" si="181"/>
        <v/>
      </c>
      <c r="D1953" t="str">
        <f t="shared" si="182"/>
        <v/>
      </c>
      <c r="E1953" t="str">
        <f t="shared" si="183"/>
        <v/>
      </c>
      <c r="F1953" t="str">
        <f t="shared" si="184"/>
        <v/>
      </c>
      <c r="G1953" t="str">
        <f>IF(OR($E1953="",$E1953="نامعتبر",Sync!$X1949=""),"",IF(AND(LEFT(UPPER(TRIM(Sync!$X1949)),2)="SL",IFERROR(VLOOKUP(Sync!$W1949,OpTbl,3,0),"")="فروش"),UPPER(TRIM(Sync!$X1949)),""))</f>
        <v/>
      </c>
      <c r="H1953" t="str">
        <f>IF($G1953="","",IF(Sync!$W1949="","",Sync!$W1949))</f>
        <v/>
      </c>
      <c r="I1953" t="str">
        <f>IF(OR($G1953="",Sync!$Y1949=""),"",Sync!$Y1949)</f>
        <v/>
      </c>
      <c r="J1953" t="str">
        <f>IF(OR($G1953="",Sync!$Z1949=""),"",Sync!$Z1949)</f>
        <v/>
      </c>
      <c r="K1953">
        <f>IF($G1953="",0,IF(Sync!$AA1949="",0,Sync!$AA1949))</f>
        <v>0</v>
      </c>
      <c r="L1953">
        <f>IF($G1953="",0,IF(Sync!$AB1949="",0,Sync!$AB1949))</f>
        <v>0</v>
      </c>
      <c r="M1953" t="str">
        <f t="shared" si="185"/>
        <v/>
      </c>
      <c r="N1953">
        <f>IF($G1953="",0,IF($H1953="مرجوعی فروش",-1,1)*IF(Sync!$AC1949="",0,Sync!$AC1949))</f>
        <v>0</v>
      </c>
      <c r="O1953" t="str">
        <f>IF(OR($G1953="",Sync!$V1949=""),"",Sync!$V1949)</f>
        <v/>
      </c>
      <c r="P1953" t="str">
        <f>IF(OR($G1953="",Sync!$AD1949=""),"",Sync!$AD1949)</f>
        <v/>
      </c>
      <c r="Q1953" t="str">
        <f>IF($G1953="","",IF(Sync!$U1949="","0000",IF(AND(ISNUMBER(Sync!$U1949),Sync!$U1949&gt;=0,Sync!$U1949&lt;1),RIGHT("00"&amp;HOUR(Sync!$U1949),2)&amp;RIGHT("00"&amp;MINUTE(Sync!$U1949),2),IFERROR(RIGHT("00"&amp;VALUE(LEFT(Sync!$U1949,FIND(":",Sync!$U1949)-1)),2)&amp;RIGHT("00"&amp;VALUE(MID(Sync!$U1949,FIND(":",Sync!$U1949)+1,2)),2),"0000"))))</f>
        <v/>
      </c>
    </row>
    <row r="1954" spans="1:17" x14ac:dyDescent="0.2">
      <c r="A1954" t="str">
        <f>IF(Sync!$T1950="","",Sync!$T1950)</f>
        <v/>
      </c>
      <c r="B1954" t="str">
        <f t="shared" si="180"/>
        <v/>
      </c>
      <c r="C1954" t="str">
        <f t="shared" si="181"/>
        <v/>
      </c>
      <c r="D1954" t="str">
        <f t="shared" si="182"/>
        <v/>
      </c>
      <c r="E1954" t="str">
        <f t="shared" si="183"/>
        <v/>
      </c>
      <c r="F1954" t="str">
        <f t="shared" si="184"/>
        <v/>
      </c>
      <c r="G1954" t="str">
        <f>IF(OR($E1954="",$E1954="نامعتبر",Sync!$X1950=""),"",IF(AND(LEFT(UPPER(TRIM(Sync!$X1950)),2)="SL",IFERROR(VLOOKUP(Sync!$W1950,OpTbl,3,0),"")="فروش"),UPPER(TRIM(Sync!$X1950)),""))</f>
        <v/>
      </c>
      <c r="H1954" t="str">
        <f>IF($G1954="","",IF(Sync!$W1950="","",Sync!$W1950))</f>
        <v/>
      </c>
      <c r="I1954" t="str">
        <f>IF(OR($G1954="",Sync!$Y1950=""),"",Sync!$Y1950)</f>
        <v/>
      </c>
      <c r="J1954" t="str">
        <f>IF(OR($G1954="",Sync!$Z1950=""),"",Sync!$Z1950)</f>
        <v/>
      </c>
      <c r="K1954">
        <f>IF($G1954="",0,IF(Sync!$AA1950="",0,Sync!$AA1950))</f>
        <v>0</v>
      </c>
      <c r="L1954">
        <f>IF($G1954="",0,IF(Sync!$AB1950="",0,Sync!$AB1950))</f>
        <v>0</v>
      </c>
      <c r="M1954" t="str">
        <f t="shared" si="185"/>
        <v/>
      </c>
      <c r="N1954">
        <f>IF($G1954="",0,IF($H1954="مرجوعی فروش",-1,1)*IF(Sync!$AC1950="",0,Sync!$AC1950))</f>
        <v>0</v>
      </c>
      <c r="O1954" t="str">
        <f>IF(OR($G1954="",Sync!$V1950=""),"",Sync!$V1950)</f>
        <v/>
      </c>
      <c r="P1954" t="str">
        <f>IF(OR($G1954="",Sync!$AD1950=""),"",Sync!$AD1950)</f>
        <v/>
      </c>
      <c r="Q1954" t="str">
        <f>IF($G1954="","",IF(Sync!$U1950="","0000",IF(AND(ISNUMBER(Sync!$U1950),Sync!$U1950&gt;=0,Sync!$U1950&lt;1),RIGHT("00"&amp;HOUR(Sync!$U1950),2)&amp;RIGHT("00"&amp;MINUTE(Sync!$U1950),2),IFERROR(RIGHT("00"&amp;VALUE(LEFT(Sync!$U1950,FIND(":",Sync!$U1950)-1)),2)&amp;RIGHT("00"&amp;VALUE(MID(Sync!$U1950,FIND(":",Sync!$U1950)+1,2)),2),"0000"))))</f>
        <v/>
      </c>
    </row>
    <row r="1955" spans="1:17" x14ac:dyDescent="0.2">
      <c r="A1955" t="str">
        <f>IF(Sync!$T1951="","",Sync!$T1951)</f>
        <v/>
      </c>
      <c r="B1955" t="str">
        <f t="shared" si="180"/>
        <v/>
      </c>
      <c r="C1955" t="str">
        <f t="shared" si="181"/>
        <v/>
      </c>
      <c r="D1955" t="str">
        <f t="shared" si="182"/>
        <v/>
      </c>
      <c r="E1955" t="str">
        <f t="shared" si="183"/>
        <v/>
      </c>
      <c r="F1955" t="str">
        <f t="shared" si="184"/>
        <v/>
      </c>
      <c r="G1955" t="str">
        <f>IF(OR($E1955="",$E1955="نامعتبر",Sync!$X1951=""),"",IF(AND(LEFT(UPPER(TRIM(Sync!$X1951)),2)="SL",IFERROR(VLOOKUP(Sync!$W1951,OpTbl,3,0),"")="فروش"),UPPER(TRIM(Sync!$X1951)),""))</f>
        <v/>
      </c>
      <c r="H1955" t="str">
        <f>IF($G1955="","",IF(Sync!$W1951="","",Sync!$W1951))</f>
        <v/>
      </c>
      <c r="I1955" t="str">
        <f>IF(OR($G1955="",Sync!$Y1951=""),"",Sync!$Y1951)</f>
        <v/>
      </c>
      <c r="J1955" t="str">
        <f>IF(OR($G1955="",Sync!$Z1951=""),"",Sync!$Z1951)</f>
        <v/>
      </c>
      <c r="K1955">
        <f>IF($G1955="",0,IF(Sync!$AA1951="",0,Sync!$AA1951))</f>
        <v>0</v>
      </c>
      <c r="L1955">
        <f>IF($G1955="",0,IF(Sync!$AB1951="",0,Sync!$AB1951))</f>
        <v>0</v>
      </c>
      <c r="M1955" t="str">
        <f t="shared" si="185"/>
        <v/>
      </c>
      <c r="N1955">
        <f>IF($G1955="",0,IF($H1955="مرجوعی فروش",-1,1)*IF(Sync!$AC1951="",0,Sync!$AC1951))</f>
        <v>0</v>
      </c>
      <c r="O1955" t="str">
        <f>IF(OR($G1955="",Sync!$V1951=""),"",Sync!$V1951)</f>
        <v/>
      </c>
      <c r="P1955" t="str">
        <f>IF(OR($G1955="",Sync!$AD1951=""),"",Sync!$AD1951)</f>
        <v/>
      </c>
      <c r="Q1955" t="str">
        <f>IF($G1955="","",IF(Sync!$U1951="","0000",IF(AND(ISNUMBER(Sync!$U1951),Sync!$U1951&gt;=0,Sync!$U1951&lt;1),RIGHT("00"&amp;HOUR(Sync!$U1951),2)&amp;RIGHT("00"&amp;MINUTE(Sync!$U1951),2),IFERROR(RIGHT("00"&amp;VALUE(LEFT(Sync!$U1951,FIND(":",Sync!$U1951)-1)),2)&amp;RIGHT("00"&amp;VALUE(MID(Sync!$U1951,FIND(":",Sync!$U1951)+1,2)),2),"0000"))))</f>
        <v/>
      </c>
    </row>
    <row r="1956" spans="1:17" x14ac:dyDescent="0.2">
      <c r="A1956" t="str">
        <f>IF(Sync!$T1952="","",Sync!$T1952)</f>
        <v/>
      </c>
      <c r="B1956" t="str">
        <f t="shared" si="180"/>
        <v/>
      </c>
      <c r="C1956" t="str">
        <f t="shared" si="181"/>
        <v/>
      </c>
      <c r="D1956" t="str">
        <f t="shared" si="182"/>
        <v/>
      </c>
      <c r="E1956" t="str">
        <f t="shared" si="183"/>
        <v/>
      </c>
      <c r="F1956" t="str">
        <f t="shared" si="184"/>
        <v/>
      </c>
      <c r="G1956" t="str">
        <f>IF(OR($E1956="",$E1956="نامعتبر",Sync!$X1952=""),"",IF(AND(LEFT(UPPER(TRIM(Sync!$X1952)),2)="SL",IFERROR(VLOOKUP(Sync!$W1952,OpTbl,3,0),"")="فروش"),UPPER(TRIM(Sync!$X1952)),""))</f>
        <v/>
      </c>
      <c r="H1956" t="str">
        <f>IF($G1956="","",IF(Sync!$W1952="","",Sync!$W1952))</f>
        <v/>
      </c>
      <c r="I1956" t="str">
        <f>IF(OR($G1956="",Sync!$Y1952=""),"",Sync!$Y1952)</f>
        <v/>
      </c>
      <c r="J1956" t="str">
        <f>IF(OR($G1956="",Sync!$Z1952=""),"",Sync!$Z1952)</f>
        <v/>
      </c>
      <c r="K1956">
        <f>IF($G1956="",0,IF(Sync!$AA1952="",0,Sync!$AA1952))</f>
        <v>0</v>
      </c>
      <c r="L1956">
        <f>IF($G1956="",0,IF(Sync!$AB1952="",0,Sync!$AB1952))</f>
        <v>0</v>
      </c>
      <c r="M1956" t="str">
        <f t="shared" si="185"/>
        <v/>
      </c>
      <c r="N1956">
        <f>IF($G1956="",0,IF($H1956="مرجوعی فروش",-1,1)*IF(Sync!$AC1952="",0,Sync!$AC1952))</f>
        <v>0</v>
      </c>
      <c r="O1956" t="str">
        <f>IF(OR($G1956="",Sync!$V1952=""),"",Sync!$V1952)</f>
        <v/>
      </c>
      <c r="P1956" t="str">
        <f>IF(OR($G1956="",Sync!$AD1952=""),"",Sync!$AD1952)</f>
        <v/>
      </c>
      <c r="Q1956" t="str">
        <f>IF($G1956="","",IF(Sync!$U1952="","0000",IF(AND(ISNUMBER(Sync!$U1952),Sync!$U1952&gt;=0,Sync!$U1952&lt;1),RIGHT("00"&amp;HOUR(Sync!$U1952),2)&amp;RIGHT("00"&amp;MINUTE(Sync!$U1952),2),IFERROR(RIGHT("00"&amp;VALUE(LEFT(Sync!$U1952,FIND(":",Sync!$U1952)-1)),2)&amp;RIGHT("00"&amp;VALUE(MID(Sync!$U1952,FIND(":",Sync!$U1952)+1,2)),2),"0000"))))</f>
        <v/>
      </c>
    </row>
    <row r="1957" spans="1:17" x14ac:dyDescent="0.2">
      <c r="A1957" t="str">
        <f>IF(Sync!$T1953="","",Sync!$T1953)</f>
        <v/>
      </c>
      <c r="B1957" t="str">
        <f t="shared" si="180"/>
        <v/>
      </c>
      <c r="C1957" t="str">
        <f t="shared" si="181"/>
        <v/>
      </c>
      <c r="D1957" t="str">
        <f t="shared" si="182"/>
        <v/>
      </c>
      <c r="E1957" t="str">
        <f t="shared" si="183"/>
        <v/>
      </c>
      <c r="F1957" t="str">
        <f t="shared" si="184"/>
        <v/>
      </c>
      <c r="G1957" t="str">
        <f>IF(OR($E1957="",$E1957="نامعتبر",Sync!$X1953=""),"",IF(AND(LEFT(UPPER(TRIM(Sync!$X1953)),2)="SL",IFERROR(VLOOKUP(Sync!$W1953,OpTbl,3,0),"")="فروش"),UPPER(TRIM(Sync!$X1953)),""))</f>
        <v/>
      </c>
      <c r="H1957" t="str">
        <f>IF($G1957="","",IF(Sync!$W1953="","",Sync!$W1953))</f>
        <v/>
      </c>
      <c r="I1957" t="str">
        <f>IF(OR($G1957="",Sync!$Y1953=""),"",Sync!$Y1953)</f>
        <v/>
      </c>
      <c r="J1957" t="str">
        <f>IF(OR($G1957="",Sync!$Z1953=""),"",Sync!$Z1953)</f>
        <v/>
      </c>
      <c r="K1957">
        <f>IF($G1957="",0,IF(Sync!$AA1953="",0,Sync!$AA1953))</f>
        <v>0</v>
      </c>
      <c r="L1957">
        <f>IF($G1957="",0,IF(Sync!$AB1953="",0,Sync!$AB1953))</f>
        <v>0</v>
      </c>
      <c r="M1957" t="str">
        <f t="shared" si="185"/>
        <v/>
      </c>
      <c r="N1957">
        <f>IF($G1957="",0,IF($H1957="مرجوعی فروش",-1,1)*IF(Sync!$AC1953="",0,Sync!$AC1953))</f>
        <v>0</v>
      </c>
      <c r="O1957" t="str">
        <f>IF(OR($G1957="",Sync!$V1953=""),"",Sync!$V1953)</f>
        <v/>
      </c>
      <c r="P1957" t="str">
        <f>IF(OR($G1957="",Sync!$AD1953=""),"",Sync!$AD1953)</f>
        <v/>
      </c>
      <c r="Q1957" t="str">
        <f>IF($G1957="","",IF(Sync!$U1953="","0000",IF(AND(ISNUMBER(Sync!$U1953),Sync!$U1953&gt;=0,Sync!$U1953&lt;1),RIGHT("00"&amp;HOUR(Sync!$U1953),2)&amp;RIGHT("00"&amp;MINUTE(Sync!$U1953),2),IFERROR(RIGHT("00"&amp;VALUE(LEFT(Sync!$U1953,FIND(":",Sync!$U1953)-1)),2)&amp;RIGHT("00"&amp;VALUE(MID(Sync!$U1953,FIND(":",Sync!$U1953)+1,2)),2),"0000"))))</f>
        <v/>
      </c>
    </row>
    <row r="1958" spans="1:17" x14ac:dyDescent="0.2">
      <c r="A1958" t="str">
        <f>IF(Sync!$T1954="","",Sync!$T1954)</f>
        <v/>
      </c>
      <c r="B1958" t="str">
        <f t="shared" si="180"/>
        <v/>
      </c>
      <c r="C1958" t="str">
        <f t="shared" si="181"/>
        <v/>
      </c>
      <c r="D1958" t="str">
        <f t="shared" si="182"/>
        <v/>
      </c>
      <c r="E1958" t="str">
        <f t="shared" si="183"/>
        <v/>
      </c>
      <c r="F1958" t="str">
        <f t="shared" si="184"/>
        <v/>
      </c>
      <c r="G1958" t="str">
        <f>IF(OR($E1958="",$E1958="نامعتبر",Sync!$X1954=""),"",IF(AND(LEFT(UPPER(TRIM(Sync!$X1954)),2)="SL",IFERROR(VLOOKUP(Sync!$W1954,OpTbl,3,0),"")="فروش"),UPPER(TRIM(Sync!$X1954)),""))</f>
        <v/>
      </c>
      <c r="H1958" t="str">
        <f>IF($G1958="","",IF(Sync!$W1954="","",Sync!$W1954))</f>
        <v/>
      </c>
      <c r="I1958" t="str">
        <f>IF(OR($G1958="",Sync!$Y1954=""),"",Sync!$Y1954)</f>
        <v/>
      </c>
      <c r="J1958" t="str">
        <f>IF(OR($G1958="",Sync!$Z1954=""),"",Sync!$Z1954)</f>
        <v/>
      </c>
      <c r="K1958">
        <f>IF($G1958="",0,IF(Sync!$AA1954="",0,Sync!$AA1954))</f>
        <v>0</v>
      </c>
      <c r="L1958">
        <f>IF($G1958="",0,IF(Sync!$AB1954="",0,Sync!$AB1954))</f>
        <v>0</v>
      </c>
      <c r="M1958" t="str">
        <f t="shared" si="185"/>
        <v/>
      </c>
      <c r="N1958">
        <f>IF($G1958="",0,IF($H1958="مرجوعی فروش",-1,1)*IF(Sync!$AC1954="",0,Sync!$AC1954))</f>
        <v>0</v>
      </c>
      <c r="O1958" t="str">
        <f>IF(OR($G1958="",Sync!$V1954=""),"",Sync!$V1954)</f>
        <v/>
      </c>
      <c r="P1958" t="str">
        <f>IF(OR($G1958="",Sync!$AD1954=""),"",Sync!$AD1954)</f>
        <v/>
      </c>
      <c r="Q1958" t="str">
        <f>IF($G1958="","",IF(Sync!$U1954="","0000",IF(AND(ISNUMBER(Sync!$U1954),Sync!$U1954&gt;=0,Sync!$U1954&lt;1),RIGHT("00"&amp;HOUR(Sync!$U1954),2)&amp;RIGHT("00"&amp;MINUTE(Sync!$U1954),2),IFERROR(RIGHT("00"&amp;VALUE(LEFT(Sync!$U1954,FIND(":",Sync!$U1954)-1)),2)&amp;RIGHT("00"&amp;VALUE(MID(Sync!$U1954,FIND(":",Sync!$U1954)+1,2)),2),"0000"))))</f>
        <v/>
      </c>
    </row>
    <row r="1959" spans="1:17" x14ac:dyDescent="0.2">
      <c r="A1959" t="str">
        <f>IF(Sync!$T1955="","",Sync!$T1955)</f>
        <v/>
      </c>
      <c r="B1959" t="str">
        <f t="shared" si="180"/>
        <v/>
      </c>
      <c r="C1959" t="str">
        <f t="shared" si="181"/>
        <v/>
      </c>
      <c r="D1959" t="str">
        <f t="shared" si="182"/>
        <v/>
      </c>
      <c r="E1959" t="str">
        <f t="shared" si="183"/>
        <v/>
      </c>
      <c r="F1959" t="str">
        <f t="shared" si="184"/>
        <v/>
      </c>
      <c r="G1959" t="str">
        <f>IF(OR($E1959="",$E1959="نامعتبر",Sync!$X1955=""),"",IF(AND(LEFT(UPPER(TRIM(Sync!$X1955)),2)="SL",IFERROR(VLOOKUP(Sync!$W1955,OpTbl,3,0),"")="فروش"),UPPER(TRIM(Sync!$X1955)),""))</f>
        <v/>
      </c>
      <c r="H1959" t="str">
        <f>IF($G1959="","",IF(Sync!$W1955="","",Sync!$W1955))</f>
        <v/>
      </c>
      <c r="I1959" t="str">
        <f>IF(OR($G1959="",Sync!$Y1955=""),"",Sync!$Y1955)</f>
        <v/>
      </c>
      <c r="J1959" t="str">
        <f>IF(OR($G1959="",Sync!$Z1955=""),"",Sync!$Z1955)</f>
        <v/>
      </c>
      <c r="K1959">
        <f>IF($G1959="",0,IF(Sync!$AA1955="",0,Sync!$AA1955))</f>
        <v>0</v>
      </c>
      <c r="L1959">
        <f>IF($G1959="",0,IF(Sync!$AB1955="",0,Sync!$AB1955))</f>
        <v>0</v>
      </c>
      <c r="M1959" t="str">
        <f t="shared" si="185"/>
        <v/>
      </c>
      <c r="N1959">
        <f>IF($G1959="",0,IF($H1959="مرجوعی فروش",-1,1)*IF(Sync!$AC1955="",0,Sync!$AC1955))</f>
        <v>0</v>
      </c>
      <c r="O1959" t="str">
        <f>IF(OR($G1959="",Sync!$V1955=""),"",Sync!$V1955)</f>
        <v/>
      </c>
      <c r="P1959" t="str">
        <f>IF(OR($G1959="",Sync!$AD1955=""),"",Sync!$AD1955)</f>
        <v/>
      </c>
      <c r="Q1959" t="str">
        <f>IF($G1959="","",IF(Sync!$U1955="","0000",IF(AND(ISNUMBER(Sync!$U1955),Sync!$U1955&gt;=0,Sync!$U1955&lt;1),RIGHT("00"&amp;HOUR(Sync!$U1955),2)&amp;RIGHT("00"&amp;MINUTE(Sync!$U1955),2),IFERROR(RIGHT("00"&amp;VALUE(LEFT(Sync!$U1955,FIND(":",Sync!$U1955)-1)),2)&amp;RIGHT("00"&amp;VALUE(MID(Sync!$U1955,FIND(":",Sync!$U1955)+1,2)),2),"0000"))))</f>
        <v/>
      </c>
    </row>
    <row r="1960" spans="1:17" x14ac:dyDescent="0.2">
      <c r="A1960" t="str">
        <f>IF(Sync!$T1956="","",Sync!$T1956)</f>
        <v/>
      </c>
      <c r="B1960" t="str">
        <f t="shared" si="180"/>
        <v/>
      </c>
      <c r="C1960" t="str">
        <f t="shared" si="181"/>
        <v/>
      </c>
      <c r="D1960" t="str">
        <f t="shared" si="182"/>
        <v/>
      </c>
      <c r="E1960" t="str">
        <f t="shared" si="183"/>
        <v/>
      </c>
      <c r="F1960" t="str">
        <f t="shared" si="184"/>
        <v/>
      </c>
      <c r="G1960" t="str">
        <f>IF(OR($E1960="",$E1960="نامعتبر",Sync!$X1956=""),"",IF(AND(LEFT(UPPER(TRIM(Sync!$X1956)),2)="SL",IFERROR(VLOOKUP(Sync!$W1956,OpTbl,3,0),"")="فروش"),UPPER(TRIM(Sync!$X1956)),""))</f>
        <v/>
      </c>
      <c r="H1960" t="str">
        <f>IF($G1960="","",IF(Sync!$W1956="","",Sync!$W1956))</f>
        <v/>
      </c>
      <c r="I1960" t="str">
        <f>IF(OR($G1960="",Sync!$Y1956=""),"",Sync!$Y1956)</f>
        <v/>
      </c>
      <c r="J1960" t="str">
        <f>IF(OR($G1960="",Sync!$Z1956=""),"",Sync!$Z1956)</f>
        <v/>
      </c>
      <c r="K1960">
        <f>IF($G1960="",0,IF(Sync!$AA1956="",0,Sync!$AA1956))</f>
        <v>0</v>
      </c>
      <c r="L1960">
        <f>IF($G1960="",0,IF(Sync!$AB1956="",0,Sync!$AB1956))</f>
        <v>0</v>
      </c>
      <c r="M1960" t="str">
        <f t="shared" si="185"/>
        <v/>
      </c>
      <c r="N1960">
        <f>IF($G1960="",0,IF($H1960="مرجوعی فروش",-1,1)*IF(Sync!$AC1956="",0,Sync!$AC1956))</f>
        <v>0</v>
      </c>
      <c r="O1960" t="str">
        <f>IF(OR($G1960="",Sync!$V1956=""),"",Sync!$V1956)</f>
        <v/>
      </c>
      <c r="P1960" t="str">
        <f>IF(OR($G1960="",Sync!$AD1956=""),"",Sync!$AD1956)</f>
        <v/>
      </c>
      <c r="Q1960" t="str">
        <f>IF($G1960="","",IF(Sync!$U1956="","0000",IF(AND(ISNUMBER(Sync!$U1956),Sync!$U1956&gt;=0,Sync!$U1956&lt;1),RIGHT("00"&amp;HOUR(Sync!$U1956),2)&amp;RIGHT("00"&amp;MINUTE(Sync!$U1956),2),IFERROR(RIGHT("00"&amp;VALUE(LEFT(Sync!$U1956,FIND(":",Sync!$U1956)-1)),2)&amp;RIGHT("00"&amp;VALUE(MID(Sync!$U1956,FIND(":",Sync!$U1956)+1,2)),2),"0000"))))</f>
        <v/>
      </c>
    </row>
    <row r="1961" spans="1:17" x14ac:dyDescent="0.2">
      <c r="A1961" t="str">
        <f>IF(Sync!$T1957="","",Sync!$T1957)</f>
        <v/>
      </c>
      <c r="B1961" t="str">
        <f t="shared" si="180"/>
        <v/>
      </c>
      <c r="C1961" t="str">
        <f t="shared" si="181"/>
        <v/>
      </c>
      <c r="D1961" t="str">
        <f t="shared" si="182"/>
        <v/>
      </c>
      <c r="E1961" t="str">
        <f t="shared" si="183"/>
        <v/>
      </c>
      <c r="F1961" t="str">
        <f t="shared" si="184"/>
        <v/>
      </c>
      <c r="G1961" t="str">
        <f>IF(OR($E1961="",$E1961="نامعتبر",Sync!$X1957=""),"",IF(AND(LEFT(UPPER(TRIM(Sync!$X1957)),2)="SL",IFERROR(VLOOKUP(Sync!$W1957,OpTbl,3,0),"")="فروش"),UPPER(TRIM(Sync!$X1957)),""))</f>
        <v/>
      </c>
      <c r="H1961" t="str">
        <f>IF($G1961="","",IF(Sync!$W1957="","",Sync!$W1957))</f>
        <v/>
      </c>
      <c r="I1961" t="str">
        <f>IF(OR($G1961="",Sync!$Y1957=""),"",Sync!$Y1957)</f>
        <v/>
      </c>
      <c r="J1961" t="str">
        <f>IF(OR($G1961="",Sync!$Z1957=""),"",Sync!$Z1957)</f>
        <v/>
      </c>
      <c r="K1961">
        <f>IF($G1961="",0,IF(Sync!$AA1957="",0,Sync!$AA1957))</f>
        <v>0</v>
      </c>
      <c r="L1961">
        <f>IF($G1961="",0,IF(Sync!$AB1957="",0,Sync!$AB1957))</f>
        <v>0</v>
      </c>
      <c r="M1961" t="str">
        <f t="shared" si="185"/>
        <v/>
      </c>
      <c r="N1961">
        <f>IF($G1961="",0,IF($H1961="مرجوعی فروش",-1,1)*IF(Sync!$AC1957="",0,Sync!$AC1957))</f>
        <v>0</v>
      </c>
      <c r="O1961" t="str">
        <f>IF(OR($G1961="",Sync!$V1957=""),"",Sync!$V1957)</f>
        <v/>
      </c>
      <c r="P1961" t="str">
        <f>IF(OR($G1961="",Sync!$AD1957=""),"",Sync!$AD1957)</f>
        <v/>
      </c>
      <c r="Q1961" t="str">
        <f>IF($G1961="","",IF(Sync!$U1957="","0000",IF(AND(ISNUMBER(Sync!$U1957),Sync!$U1957&gt;=0,Sync!$U1957&lt;1),RIGHT("00"&amp;HOUR(Sync!$U1957),2)&amp;RIGHT("00"&amp;MINUTE(Sync!$U1957),2),IFERROR(RIGHT("00"&amp;VALUE(LEFT(Sync!$U1957,FIND(":",Sync!$U1957)-1)),2)&amp;RIGHT("00"&amp;VALUE(MID(Sync!$U1957,FIND(":",Sync!$U1957)+1,2)),2),"0000"))))</f>
        <v/>
      </c>
    </row>
    <row r="1962" spans="1:17" x14ac:dyDescent="0.2">
      <c r="A1962" t="str">
        <f>IF(Sync!$T1958="","",Sync!$T1958)</f>
        <v/>
      </c>
      <c r="B1962" t="str">
        <f t="shared" si="180"/>
        <v/>
      </c>
      <c r="C1962" t="str">
        <f t="shared" si="181"/>
        <v/>
      </c>
      <c r="D1962" t="str">
        <f t="shared" si="182"/>
        <v/>
      </c>
      <c r="E1962" t="str">
        <f t="shared" si="183"/>
        <v/>
      </c>
      <c r="F1962" t="str">
        <f t="shared" si="184"/>
        <v/>
      </c>
      <c r="G1962" t="str">
        <f>IF(OR($E1962="",$E1962="نامعتبر",Sync!$X1958=""),"",IF(AND(LEFT(UPPER(TRIM(Sync!$X1958)),2)="SL",IFERROR(VLOOKUP(Sync!$W1958,OpTbl,3,0),"")="فروش"),UPPER(TRIM(Sync!$X1958)),""))</f>
        <v/>
      </c>
      <c r="H1962" t="str">
        <f>IF($G1962="","",IF(Sync!$W1958="","",Sync!$W1958))</f>
        <v/>
      </c>
      <c r="I1962" t="str">
        <f>IF(OR($G1962="",Sync!$Y1958=""),"",Sync!$Y1958)</f>
        <v/>
      </c>
      <c r="J1962" t="str">
        <f>IF(OR($G1962="",Sync!$Z1958=""),"",Sync!$Z1958)</f>
        <v/>
      </c>
      <c r="K1962">
        <f>IF($G1962="",0,IF(Sync!$AA1958="",0,Sync!$AA1958))</f>
        <v>0</v>
      </c>
      <c r="L1962">
        <f>IF($G1962="",0,IF(Sync!$AB1958="",0,Sync!$AB1958))</f>
        <v>0</v>
      </c>
      <c r="M1962" t="str">
        <f t="shared" si="185"/>
        <v/>
      </c>
      <c r="N1962">
        <f>IF($G1962="",0,IF($H1962="مرجوعی فروش",-1,1)*IF(Sync!$AC1958="",0,Sync!$AC1958))</f>
        <v>0</v>
      </c>
      <c r="O1962" t="str">
        <f>IF(OR($G1962="",Sync!$V1958=""),"",Sync!$V1958)</f>
        <v/>
      </c>
      <c r="P1962" t="str">
        <f>IF(OR($G1962="",Sync!$AD1958=""),"",Sync!$AD1958)</f>
        <v/>
      </c>
      <c r="Q1962" t="str">
        <f>IF($G1962="","",IF(Sync!$U1958="","0000",IF(AND(ISNUMBER(Sync!$U1958),Sync!$U1958&gt;=0,Sync!$U1958&lt;1),RIGHT("00"&amp;HOUR(Sync!$U1958),2)&amp;RIGHT("00"&amp;MINUTE(Sync!$U1958),2),IFERROR(RIGHT("00"&amp;VALUE(LEFT(Sync!$U1958,FIND(":",Sync!$U1958)-1)),2)&amp;RIGHT("00"&amp;VALUE(MID(Sync!$U1958,FIND(":",Sync!$U1958)+1,2)),2),"0000"))))</f>
        <v/>
      </c>
    </row>
    <row r="1963" spans="1:17" x14ac:dyDescent="0.2">
      <c r="A1963" t="str">
        <f>IF(Sync!$T1959="","",Sync!$T1959)</f>
        <v/>
      </c>
      <c r="B1963" t="str">
        <f t="shared" si="180"/>
        <v/>
      </c>
      <c r="C1963" t="str">
        <f t="shared" si="181"/>
        <v/>
      </c>
      <c r="D1963" t="str">
        <f t="shared" si="182"/>
        <v/>
      </c>
      <c r="E1963" t="str">
        <f t="shared" si="183"/>
        <v/>
      </c>
      <c r="F1963" t="str">
        <f t="shared" si="184"/>
        <v/>
      </c>
      <c r="G1963" t="str">
        <f>IF(OR($E1963="",$E1963="نامعتبر",Sync!$X1959=""),"",IF(AND(LEFT(UPPER(TRIM(Sync!$X1959)),2)="SL",IFERROR(VLOOKUP(Sync!$W1959,OpTbl,3,0),"")="فروش"),UPPER(TRIM(Sync!$X1959)),""))</f>
        <v/>
      </c>
      <c r="H1963" t="str">
        <f>IF($G1963="","",IF(Sync!$W1959="","",Sync!$W1959))</f>
        <v/>
      </c>
      <c r="I1963" t="str">
        <f>IF(OR($G1963="",Sync!$Y1959=""),"",Sync!$Y1959)</f>
        <v/>
      </c>
      <c r="J1963" t="str">
        <f>IF(OR($G1963="",Sync!$Z1959=""),"",Sync!$Z1959)</f>
        <v/>
      </c>
      <c r="K1963">
        <f>IF($G1963="",0,IF(Sync!$AA1959="",0,Sync!$AA1959))</f>
        <v>0</v>
      </c>
      <c r="L1963">
        <f>IF($G1963="",0,IF(Sync!$AB1959="",0,Sync!$AB1959))</f>
        <v>0</v>
      </c>
      <c r="M1963" t="str">
        <f t="shared" si="185"/>
        <v/>
      </c>
      <c r="N1963">
        <f>IF($G1963="",0,IF($H1963="مرجوعی فروش",-1,1)*IF(Sync!$AC1959="",0,Sync!$AC1959))</f>
        <v>0</v>
      </c>
      <c r="O1963" t="str">
        <f>IF(OR($G1963="",Sync!$V1959=""),"",Sync!$V1959)</f>
        <v/>
      </c>
      <c r="P1963" t="str">
        <f>IF(OR($G1963="",Sync!$AD1959=""),"",Sync!$AD1959)</f>
        <v/>
      </c>
      <c r="Q1963" t="str">
        <f>IF($G1963="","",IF(Sync!$U1959="","0000",IF(AND(ISNUMBER(Sync!$U1959),Sync!$U1959&gt;=0,Sync!$U1959&lt;1),RIGHT("00"&amp;HOUR(Sync!$U1959),2)&amp;RIGHT("00"&amp;MINUTE(Sync!$U1959),2),IFERROR(RIGHT("00"&amp;VALUE(LEFT(Sync!$U1959,FIND(":",Sync!$U1959)-1)),2)&amp;RIGHT("00"&amp;VALUE(MID(Sync!$U1959,FIND(":",Sync!$U1959)+1,2)),2),"0000"))))</f>
        <v/>
      </c>
    </row>
    <row r="1964" spans="1:17" x14ac:dyDescent="0.2">
      <c r="A1964" t="str">
        <f>IF(Sync!$T1960="","",Sync!$T1960)</f>
        <v/>
      </c>
      <c r="B1964" t="str">
        <f t="shared" si="180"/>
        <v/>
      </c>
      <c r="C1964" t="str">
        <f t="shared" si="181"/>
        <v/>
      </c>
      <c r="D1964" t="str">
        <f t="shared" si="182"/>
        <v/>
      </c>
      <c r="E1964" t="str">
        <f t="shared" si="183"/>
        <v/>
      </c>
      <c r="F1964" t="str">
        <f t="shared" si="184"/>
        <v/>
      </c>
      <c r="G1964" t="str">
        <f>IF(OR($E1964="",$E1964="نامعتبر",Sync!$X1960=""),"",IF(AND(LEFT(UPPER(TRIM(Sync!$X1960)),2)="SL",IFERROR(VLOOKUP(Sync!$W1960,OpTbl,3,0),"")="فروش"),UPPER(TRIM(Sync!$X1960)),""))</f>
        <v/>
      </c>
      <c r="H1964" t="str">
        <f>IF($G1964="","",IF(Sync!$W1960="","",Sync!$W1960))</f>
        <v/>
      </c>
      <c r="I1964" t="str">
        <f>IF(OR($G1964="",Sync!$Y1960=""),"",Sync!$Y1960)</f>
        <v/>
      </c>
      <c r="J1964" t="str">
        <f>IF(OR($G1964="",Sync!$Z1960=""),"",Sync!$Z1960)</f>
        <v/>
      </c>
      <c r="K1964">
        <f>IF($G1964="",0,IF(Sync!$AA1960="",0,Sync!$AA1960))</f>
        <v>0</v>
      </c>
      <c r="L1964">
        <f>IF($G1964="",0,IF(Sync!$AB1960="",0,Sync!$AB1960))</f>
        <v>0</v>
      </c>
      <c r="M1964" t="str">
        <f t="shared" si="185"/>
        <v/>
      </c>
      <c r="N1964">
        <f>IF($G1964="",0,IF($H1964="مرجوعی فروش",-1,1)*IF(Sync!$AC1960="",0,Sync!$AC1960))</f>
        <v>0</v>
      </c>
      <c r="O1964" t="str">
        <f>IF(OR($G1964="",Sync!$V1960=""),"",Sync!$V1960)</f>
        <v/>
      </c>
      <c r="P1964" t="str">
        <f>IF(OR($G1964="",Sync!$AD1960=""),"",Sync!$AD1960)</f>
        <v/>
      </c>
      <c r="Q1964" t="str">
        <f>IF($G1964="","",IF(Sync!$U1960="","0000",IF(AND(ISNUMBER(Sync!$U1960),Sync!$U1960&gt;=0,Sync!$U1960&lt;1),RIGHT("00"&amp;HOUR(Sync!$U1960),2)&amp;RIGHT("00"&amp;MINUTE(Sync!$U1960),2),IFERROR(RIGHT("00"&amp;VALUE(LEFT(Sync!$U1960,FIND(":",Sync!$U1960)-1)),2)&amp;RIGHT("00"&amp;VALUE(MID(Sync!$U1960,FIND(":",Sync!$U1960)+1,2)),2),"0000"))))</f>
        <v/>
      </c>
    </row>
    <row r="1965" spans="1:17" x14ac:dyDescent="0.2">
      <c r="A1965" t="str">
        <f>IF(Sync!$T1961="","",Sync!$T1961)</f>
        <v/>
      </c>
      <c r="B1965" t="str">
        <f t="shared" si="180"/>
        <v/>
      </c>
      <c r="C1965" t="str">
        <f t="shared" si="181"/>
        <v/>
      </c>
      <c r="D1965" t="str">
        <f t="shared" si="182"/>
        <v/>
      </c>
      <c r="E1965" t="str">
        <f t="shared" si="183"/>
        <v/>
      </c>
      <c r="F1965" t="str">
        <f t="shared" si="184"/>
        <v/>
      </c>
      <c r="G1965" t="str">
        <f>IF(OR($E1965="",$E1965="نامعتبر",Sync!$X1961=""),"",IF(AND(LEFT(UPPER(TRIM(Sync!$X1961)),2)="SL",IFERROR(VLOOKUP(Sync!$W1961,OpTbl,3,0),"")="فروش"),UPPER(TRIM(Sync!$X1961)),""))</f>
        <v/>
      </c>
      <c r="H1965" t="str">
        <f>IF($G1965="","",IF(Sync!$W1961="","",Sync!$W1961))</f>
        <v/>
      </c>
      <c r="I1965" t="str">
        <f>IF(OR($G1965="",Sync!$Y1961=""),"",Sync!$Y1961)</f>
        <v/>
      </c>
      <c r="J1965" t="str">
        <f>IF(OR($G1965="",Sync!$Z1961=""),"",Sync!$Z1961)</f>
        <v/>
      </c>
      <c r="K1965">
        <f>IF($G1965="",0,IF(Sync!$AA1961="",0,Sync!$AA1961))</f>
        <v>0</v>
      </c>
      <c r="L1965">
        <f>IF($G1965="",0,IF(Sync!$AB1961="",0,Sync!$AB1961))</f>
        <v>0</v>
      </c>
      <c r="M1965" t="str">
        <f t="shared" si="185"/>
        <v/>
      </c>
      <c r="N1965">
        <f>IF($G1965="",0,IF($H1965="مرجوعی فروش",-1,1)*IF(Sync!$AC1961="",0,Sync!$AC1961))</f>
        <v>0</v>
      </c>
      <c r="O1965" t="str">
        <f>IF(OR($G1965="",Sync!$V1961=""),"",Sync!$V1961)</f>
        <v/>
      </c>
      <c r="P1965" t="str">
        <f>IF(OR($G1965="",Sync!$AD1961=""),"",Sync!$AD1961)</f>
        <v/>
      </c>
      <c r="Q1965" t="str">
        <f>IF($G1965="","",IF(Sync!$U1961="","0000",IF(AND(ISNUMBER(Sync!$U1961),Sync!$U1961&gt;=0,Sync!$U1961&lt;1),RIGHT("00"&amp;HOUR(Sync!$U1961),2)&amp;RIGHT("00"&amp;MINUTE(Sync!$U1961),2),IFERROR(RIGHT("00"&amp;VALUE(LEFT(Sync!$U1961,FIND(":",Sync!$U1961)-1)),2)&amp;RIGHT("00"&amp;VALUE(MID(Sync!$U1961,FIND(":",Sync!$U1961)+1,2)),2),"0000"))))</f>
        <v/>
      </c>
    </row>
    <row r="1966" spans="1:17" x14ac:dyDescent="0.2">
      <c r="A1966" t="str">
        <f>IF(Sync!$T1962="","",Sync!$T1962)</f>
        <v/>
      </c>
      <c r="B1966" t="str">
        <f t="shared" si="180"/>
        <v/>
      </c>
      <c r="C1966" t="str">
        <f t="shared" si="181"/>
        <v/>
      </c>
      <c r="D1966" t="str">
        <f t="shared" si="182"/>
        <v/>
      </c>
      <c r="E1966" t="str">
        <f t="shared" si="183"/>
        <v/>
      </c>
      <c r="F1966" t="str">
        <f t="shared" si="184"/>
        <v/>
      </c>
      <c r="G1966" t="str">
        <f>IF(OR($E1966="",$E1966="نامعتبر",Sync!$X1962=""),"",IF(AND(LEFT(UPPER(TRIM(Sync!$X1962)),2)="SL",IFERROR(VLOOKUP(Sync!$W1962,OpTbl,3,0),"")="فروش"),UPPER(TRIM(Sync!$X1962)),""))</f>
        <v/>
      </c>
      <c r="H1966" t="str">
        <f>IF($G1966="","",IF(Sync!$W1962="","",Sync!$W1962))</f>
        <v/>
      </c>
      <c r="I1966" t="str">
        <f>IF(OR($G1966="",Sync!$Y1962=""),"",Sync!$Y1962)</f>
        <v/>
      </c>
      <c r="J1966" t="str">
        <f>IF(OR($G1966="",Sync!$Z1962=""),"",Sync!$Z1962)</f>
        <v/>
      </c>
      <c r="K1966">
        <f>IF($G1966="",0,IF(Sync!$AA1962="",0,Sync!$AA1962))</f>
        <v>0</v>
      </c>
      <c r="L1966">
        <f>IF($G1966="",0,IF(Sync!$AB1962="",0,Sync!$AB1962))</f>
        <v>0</v>
      </c>
      <c r="M1966" t="str">
        <f t="shared" si="185"/>
        <v/>
      </c>
      <c r="N1966">
        <f>IF($G1966="",0,IF($H1966="مرجوعی فروش",-1,1)*IF(Sync!$AC1962="",0,Sync!$AC1962))</f>
        <v>0</v>
      </c>
      <c r="O1966" t="str">
        <f>IF(OR($G1966="",Sync!$V1962=""),"",Sync!$V1962)</f>
        <v/>
      </c>
      <c r="P1966" t="str">
        <f>IF(OR($G1966="",Sync!$AD1962=""),"",Sync!$AD1962)</f>
        <v/>
      </c>
      <c r="Q1966" t="str">
        <f>IF($G1966="","",IF(Sync!$U1962="","0000",IF(AND(ISNUMBER(Sync!$U1962),Sync!$U1962&gt;=0,Sync!$U1962&lt;1),RIGHT("00"&amp;HOUR(Sync!$U1962),2)&amp;RIGHT("00"&amp;MINUTE(Sync!$U1962),2),IFERROR(RIGHT("00"&amp;VALUE(LEFT(Sync!$U1962,FIND(":",Sync!$U1962)-1)),2)&amp;RIGHT("00"&amp;VALUE(MID(Sync!$U1962,FIND(":",Sync!$U1962)+1,2)),2),"0000"))))</f>
        <v/>
      </c>
    </row>
    <row r="1967" spans="1:17" x14ac:dyDescent="0.2">
      <c r="A1967" t="str">
        <f>IF(Sync!$T1963="","",Sync!$T1963)</f>
        <v/>
      </c>
      <c r="B1967" t="str">
        <f t="shared" si="180"/>
        <v/>
      </c>
      <c r="C1967" t="str">
        <f t="shared" si="181"/>
        <v/>
      </c>
      <c r="D1967" t="str">
        <f t="shared" si="182"/>
        <v/>
      </c>
      <c r="E1967" t="str">
        <f t="shared" si="183"/>
        <v/>
      </c>
      <c r="F1967" t="str">
        <f t="shared" si="184"/>
        <v/>
      </c>
      <c r="G1967" t="str">
        <f>IF(OR($E1967="",$E1967="نامعتبر",Sync!$X1963=""),"",IF(AND(LEFT(UPPER(TRIM(Sync!$X1963)),2)="SL",IFERROR(VLOOKUP(Sync!$W1963,OpTbl,3,0),"")="فروش"),UPPER(TRIM(Sync!$X1963)),""))</f>
        <v/>
      </c>
      <c r="H1967" t="str">
        <f>IF($G1967="","",IF(Sync!$W1963="","",Sync!$W1963))</f>
        <v/>
      </c>
      <c r="I1967" t="str">
        <f>IF(OR($G1967="",Sync!$Y1963=""),"",Sync!$Y1963)</f>
        <v/>
      </c>
      <c r="J1967" t="str">
        <f>IF(OR($G1967="",Sync!$Z1963=""),"",Sync!$Z1963)</f>
        <v/>
      </c>
      <c r="K1967">
        <f>IF($G1967="",0,IF(Sync!$AA1963="",0,Sync!$AA1963))</f>
        <v>0</v>
      </c>
      <c r="L1967">
        <f>IF($G1967="",0,IF(Sync!$AB1963="",0,Sync!$AB1963))</f>
        <v>0</v>
      </c>
      <c r="M1967" t="str">
        <f t="shared" si="185"/>
        <v/>
      </c>
      <c r="N1967">
        <f>IF($G1967="",0,IF($H1967="مرجوعی فروش",-1,1)*IF(Sync!$AC1963="",0,Sync!$AC1963))</f>
        <v>0</v>
      </c>
      <c r="O1967" t="str">
        <f>IF(OR($G1967="",Sync!$V1963=""),"",Sync!$V1963)</f>
        <v/>
      </c>
      <c r="P1967" t="str">
        <f>IF(OR($G1967="",Sync!$AD1963=""),"",Sync!$AD1963)</f>
        <v/>
      </c>
      <c r="Q1967" t="str">
        <f>IF($G1967="","",IF(Sync!$U1963="","0000",IF(AND(ISNUMBER(Sync!$U1963),Sync!$U1963&gt;=0,Sync!$U1963&lt;1),RIGHT("00"&amp;HOUR(Sync!$U1963),2)&amp;RIGHT("00"&amp;MINUTE(Sync!$U1963),2),IFERROR(RIGHT("00"&amp;VALUE(LEFT(Sync!$U1963,FIND(":",Sync!$U1963)-1)),2)&amp;RIGHT("00"&amp;VALUE(MID(Sync!$U1963,FIND(":",Sync!$U1963)+1,2)),2),"0000"))))</f>
        <v/>
      </c>
    </row>
    <row r="1968" spans="1:17" x14ac:dyDescent="0.2">
      <c r="A1968" t="str">
        <f>IF(Sync!$T1964="","",Sync!$T1964)</f>
        <v/>
      </c>
      <c r="B1968" t="str">
        <f t="shared" si="180"/>
        <v/>
      </c>
      <c r="C1968" t="str">
        <f t="shared" si="181"/>
        <v/>
      </c>
      <c r="D1968" t="str">
        <f t="shared" si="182"/>
        <v/>
      </c>
      <c r="E1968" t="str">
        <f t="shared" si="183"/>
        <v/>
      </c>
      <c r="F1968" t="str">
        <f t="shared" si="184"/>
        <v/>
      </c>
      <c r="G1968" t="str">
        <f>IF(OR($E1968="",$E1968="نامعتبر",Sync!$X1964=""),"",IF(AND(LEFT(UPPER(TRIM(Sync!$X1964)),2)="SL",IFERROR(VLOOKUP(Sync!$W1964,OpTbl,3,0),"")="فروش"),UPPER(TRIM(Sync!$X1964)),""))</f>
        <v/>
      </c>
      <c r="H1968" t="str">
        <f>IF($G1968="","",IF(Sync!$W1964="","",Sync!$W1964))</f>
        <v/>
      </c>
      <c r="I1968" t="str">
        <f>IF(OR($G1968="",Sync!$Y1964=""),"",Sync!$Y1964)</f>
        <v/>
      </c>
      <c r="J1968" t="str">
        <f>IF(OR($G1968="",Sync!$Z1964=""),"",Sync!$Z1964)</f>
        <v/>
      </c>
      <c r="K1968">
        <f>IF($G1968="",0,IF(Sync!$AA1964="",0,Sync!$AA1964))</f>
        <v>0</v>
      </c>
      <c r="L1968">
        <f>IF($G1968="",0,IF(Sync!$AB1964="",0,Sync!$AB1964))</f>
        <v>0</v>
      </c>
      <c r="M1968" t="str">
        <f t="shared" si="185"/>
        <v/>
      </c>
      <c r="N1968">
        <f>IF($G1968="",0,IF($H1968="مرجوعی فروش",-1,1)*IF(Sync!$AC1964="",0,Sync!$AC1964))</f>
        <v>0</v>
      </c>
      <c r="O1968" t="str">
        <f>IF(OR($G1968="",Sync!$V1964=""),"",Sync!$V1964)</f>
        <v/>
      </c>
      <c r="P1968" t="str">
        <f>IF(OR($G1968="",Sync!$AD1964=""),"",Sync!$AD1964)</f>
        <v/>
      </c>
      <c r="Q1968" t="str">
        <f>IF($G1968="","",IF(Sync!$U1964="","0000",IF(AND(ISNUMBER(Sync!$U1964),Sync!$U1964&gt;=0,Sync!$U1964&lt;1),RIGHT("00"&amp;HOUR(Sync!$U1964),2)&amp;RIGHT("00"&amp;MINUTE(Sync!$U1964),2),IFERROR(RIGHT("00"&amp;VALUE(LEFT(Sync!$U1964,FIND(":",Sync!$U1964)-1)),2)&amp;RIGHT("00"&amp;VALUE(MID(Sync!$U1964,FIND(":",Sync!$U1964)+1,2)),2),"0000"))))</f>
        <v/>
      </c>
    </row>
    <row r="1969" spans="1:17" x14ac:dyDescent="0.2">
      <c r="A1969" t="str">
        <f>IF(Sync!$T1965="","",Sync!$T1965)</f>
        <v/>
      </c>
      <c r="B1969" t="str">
        <f t="shared" si="180"/>
        <v/>
      </c>
      <c r="C1969" t="str">
        <f t="shared" si="181"/>
        <v/>
      </c>
      <c r="D1969" t="str">
        <f t="shared" si="182"/>
        <v/>
      </c>
      <c r="E1969" t="str">
        <f t="shared" si="183"/>
        <v/>
      </c>
      <c r="F1969" t="str">
        <f t="shared" si="184"/>
        <v/>
      </c>
      <c r="G1969" t="str">
        <f>IF(OR($E1969="",$E1969="نامعتبر",Sync!$X1965=""),"",IF(AND(LEFT(UPPER(TRIM(Sync!$X1965)),2)="SL",IFERROR(VLOOKUP(Sync!$W1965,OpTbl,3,0),"")="فروش"),UPPER(TRIM(Sync!$X1965)),""))</f>
        <v/>
      </c>
      <c r="H1969" t="str">
        <f>IF($G1969="","",IF(Sync!$W1965="","",Sync!$W1965))</f>
        <v/>
      </c>
      <c r="I1969" t="str">
        <f>IF(OR($G1969="",Sync!$Y1965=""),"",Sync!$Y1965)</f>
        <v/>
      </c>
      <c r="J1969" t="str">
        <f>IF(OR($G1969="",Sync!$Z1965=""),"",Sync!$Z1965)</f>
        <v/>
      </c>
      <c r="K1969">
        <f>IF($G1969="",0,IF(Sync!$AA1965="",0,Sync!$AA1965))</f>
        <v>0</v>
      </c>
      <c r="L1969">
        <f>IF($G1969="",0,IF(Sync!$AB1965="",0,Sync!$AB1965))</f>
        <v>0</v>
      </c>
      <c r="M1969" t="str">
        <f t="shared" si="185"/>
        <v/>
      </c>
      <c r="N1969">
        <f>IF($G1969="",0,IF($H1969="مرجوعی فروش",-1,1)*IF(Sync!$AC1965="",0,Sync!$AC1965))</f>
        <v>0</v>
      </c>
      <c r="O1969" t="str">
        <f>IF(OR($G1969="",Sync!$V1965=""),"",Sync!$V1965)</f>
        <v/>
      </c>
      <c r="P1969" t="str">
        <f>IF(OR($G1969="",Sync!$AD1965=""),"",Sync!$AD1965)</f>
        <v/>
      </c>
      <c r="Q1969" t="str">
        <f>IF($G1969="","",IF(Sync!$U1965="","0000",IF(AND(ISNUMBER(Sync!$U1965),Sync!$U1965&gt;=0,Sync!$U1965&lt;1),RIGHT("00"&amp;HOUR(Sync!$U1965),2)&amp;RIGHT("00"&amp;MINUTE(Sync!$U1965),2),IFERROR(RIGHT("00"&amp;VALUE(LEFT(Sync!$U1965,FIND(":",Sync!$U1965)-1)),2)&amp;RIGHT("00"&amp;VALUE(MID(Sync!$U1965,FIND(":",Sync!$U1965)+1,2)),2),"0000"))))</f>
        <v/>
      </c>
    </row>
    <row r="1970" spans="1:17" x14ac:dyDescent="0.2">
      <c r="A1970" t="str">
        <f>IF(Sync!$T1966="","",Sync!$T1966)</f>
        <v/>
      </c>
      <c r="B1970" t="str">
        <f t="shared" si="180"/>
        <v/>
      </c>
      <c r="C1970" t="str">
        <f t="shared" si="181"/>
        <v/>
      </c>
      <c r="D1970" t="str">
        <f t="shared" si="182"/>
        <v/>
      </c>
      <c r="E1970" t="str">
        <f t="shared" si="183"/>
        <v/>
      </c>
      <c r="F1970" t="str">
        <f t="shared" si="184"/>
        <v/>
      </c>
      <c r="G1970" t="str">
        <f>IF(OR($E1970="",$E1970="نامعتبر",Sync!$X1966=""),"",IF(AND(LEFT(UPPER(TRIM(Sync!$X1966)),2)="SL",IFERROR(VLOOKUP(Sync!$W1966,OpTbl,3,0),"")="فروش"),UPPER(TRIM(Sync!$X1966)),""))</f>
        <v/>
      </c>
      <c r="H1970" t="str">
        <f>IF($G1970="","",IF(Sync!$W1966="","",Sync!$W1966))</f>
        <v/>
      </c>
      <c r="I1970" t="str">
        <f>IF(OR($G1970="",Sync!$Y1966=""),"",Sync!$Y1966)</f>
        <v/>
      </c>
      <c r="J1970" t="str">
        <f>IF(OR($G1970="",Sync!$Z1966=""),"",Sync!$Z1966)</f>
        <v/>
      </c>
      <c r="K1970">
        <f>IF($G1970="",0,IF(Sync!$AA1966="",0,Sync!$AA1966))</f>
        <v>0</v>
      </c>
      <c r="L1970">
        <f>IF($G1970="",0,IF(Sync!$AB1966="",0,Sync!$AB1966))</f>
        <v>0</v>
      </c>
      <c r="M1970" t="str">
        <f t="shared" si="185"/>
        <v/>
      </c>
      <c r="N1970">
        <f>IF($G1970="",0,IF($H1970="مرجوعی فروش",-1,1)*IF(Sync!$AC1966="",0,Sync!$AC1966))</f>
        <v>0</v>
      </c>
      <c r="O1970" t="str">
        <f>IF(OR($G1970="",Sync!$V1966=""),"",Sync!$V1966)</f>
        <v/>
      </c>
      <c r="P1970" t="str">
        <f>IF(OR($G1970="",Sync!$AD1966=""),"",Sync!$AD1966)</f>
        <v/>
      </c>
      <c r="Q1970" t="str">
        <f>IF($G1970="","",IF(Sync!$U1966="","0000",IF(AND(ISNUMBER(Sync!$U1966),Sync!$U1966&gt;=0,Sync!$U1966&lt;1),RIGHT("00"&amp;HOUR(Sync!$U1966),2)&amp;RIGHT("00"&amp;MINUTE(Sync!$U1966),2),IFERROR(RIGHT("00"&amp;VALUE(LEFT(Sync!$U1966,FIND(":",Sync!$U1966)-1)),2)&amp;RIGHT("00"&amp;VALUE(MID(Sync!$U1966,FIND(":",Sync!$U1966)+1,2)),2),"0000"))))</f>
        <v/>
      </c>
    </row>
    <row r="1971" spans="1:17" x14ac:dyDescent="0.2">
      <c r="A1971" t="str">
        <f>IF(Sync!$T1967="","",Sync!$T1967)</f>
        <v/>
      </c>
      <c r="B1971" t="str">
        <f t="shared" si="180"/>
        <v/>
      </c>
      <c r="C1971" t="str">
        <f t="shared" si="181"/>
        <v/>
      </c>
      <c r="D1971" t="str">
        <f t="shared" si="182"/>
        <v/>
      </c>
      <c r="E1971" t="str">
        <f t="shared" si="183"/>
        <v/>
      </c>
      <c r="F1971" t="str">
        <f t="shared" si="184"/>
        <v/>
      </c>
      <c r="G1971" t="str">
        <f>IF(OR($E1971="",$E1971="نامعتبر",Sync!$X1967=""),"",IF(AND(LEFT(UPPER(TRIM(Sync!$X1967)),2)="SL",IFERROR(VLOOKUP(Sync!$W1967,OpTbl,3,0),"")="فروش"),UPPER(TRIM(Sync!$X1967)),""))</f>
        <v/>
      </c>
      <c r="H1971" t="str">
        <f>IF($G1971="","",IF(Sync!$W1967="","",Sync!$W1967))</f>
        <v/>
      </c>
      <c r="I1971" t="str">
        <f>IF(OR($G1971="",Sync!$Y1967=""),"",Sync!$Y1967)</f>
        <v/>
      </c>
      <c r="J1971" t="str">
        <f>IF(OR($G1971="",Sync!$Z1967=""),"",Sync!$Z1967)</f>
        <v/>
      </c>
      <c r="K1971">
        <f>IF($G1971="",0,IF(Sync!$AA1967="",0,Sync!$AA1967))</f>
        <v>0</v>
      </c>
      <c r="L1971">
        <f>IF($G1971="",0,IF(Sync!$AB1967="",0,Sync!$AB1967))</f>
        <v>0</v>
      </c>
      <c r="M1971" t="str">
        <f t="shared" si="185"/>
        <v/>
      </c>
      <c r="N1971">
        <f>IF($G1971="",0,IF($H1971="مرجوعی فروش",-1,1)*IF(Sync!$AC1967="",0,Sync!$AC1967))</f>
        <v>0</v>
      </c>
      <c r="O1971" t="str">
        <f>IF(OR($G1971="",Sync!$V1967=""),"",Sync!$V1967)</f>
        <v/>
      </c>
      <c r="P1971" t="str">
        <f>IF(OR($G1971="",Sync!$AD1967=""),"",Sync!$AD1967)</f>
        <v/>
      </c>
      <c r="Q1971" t="str">
        <f>IF($G1971="","",IF(Sync!$U1967="","0000",IF(AND(ISNUMBER(Sync!$U1967),Sync!$U1967&gt;=0,Sync!$U1967&lt;1),RIGHT("00"&amp;HOUR(Sync!$U1967),2)&amp;RIGHT("00"&amp;MINUTE(Sync!$U1967),2),IFERROR(RIGHT("00"&amp;VALUE(LEFT(Sync!$U1967,FIND(":",Sync!$U1967)-1)),2)&amp;RIGHT("00"&amp;VALUE(MID(Sync!$U1967,FIND(":",Sync!$U1967)+1,2)),2),"0000"))))</f>
        <v/>
      </c>
    </row>
    <row r="1972" spans="1:17" x14ac:dyDescent="0.2">
      <c r="A1972" t="str">
        <f>IF(Sync!$T1968="","",Sync!$T1968)</f>
        <v/>
      </c>
      <c r="B1972" t="str">
        <f t="shared" si="180"/>
        <v/>
      </c>
      <c r="C1972" t="str">
        <f t="shared" si="181"/>
        <v/>
      </c>
      <c r="D1972" t="str">
        <f t="shared" si="182"/>
        <v/>
      </c>
      <c r="E1972" t="str">
        <f t="shared" si="183"/>
        <v/>
      </c>
      <c r="F1972" t="str">
        <f t="shared" si="184"/>
        <v/>
      </c>
      <c r="G1972" t="str">
        <f>IF(OR($E1972="",$E1972="نامعتبر",Sync!$X1968=""),"",IF(AND(LEFT(UPPER(TRIM(Sync!$X1968)),2)="SL",IFERROR(VLOOKUP(Sync!$W1968,OpTbl,3,0),"")="فروش"),UPPER(TRIM(Sync!$X1968)),""))</f>
        <v/>
      </c>
      <c r="H1972" t="str">
        <f>IF($G1972="","",IF(Sync!$W1968="","",Sync!$W1968))</f>
        <v/>
      </c>
      <c r="I1972" t="str">
        <f>IF(OR($G1972="",Sync!$Y1968=""),"",Sync!$Y1968)</f>
        <v/>
      </c>
      <c r="J1972" t="str">
        <f>IF(OR($G1972="",Sync!$Z1968=""),"",Sync!$Z1968)</f>
        <v/>
      </c>
      <c r="K1972">
        <f>IF($G1972="",0,IF(Sync!$AA1968="",0,Sync!$AA1968))</f>
        <v>0</v>
      </c>
      <c r="L1972">
        <f>IF($G1972="",0,IF(Sync!$AB1968="",0,Sync!$AB1968))</f>
        <v>0</v>
      </c>
      <c r="M1972" t="str">
        <f t="shared" si="185"/>
        <v/>
      </c>
      <c r="N1972">
        <f>IF($G1972="",0,IF($H1972="مرجوعی فروش",-1,1)*IF(Sync!$AC1968="",0,Sync!$AC1968))</f>
        <v>0</v>
      </c>
      <c r="O1972" t="str">
        <f>IF(OR($G1972="",Sync!$V1968=""),"",Sync!$V1968)</f>
        <v/>
      </c>
      <c r="P1972" t="str">
        <f>IF(OR($G1972="",Sync!$AD1968=""),"",Sync!$AD1968)</f>
        <v/>
      </c>
      <c r="Q1972" t="str">
        <f>IF($G1972="","",IF(Sync!$U1968="","0000",IF(AND(ISNUMBER(Sync!$U1968),Sync!$U1968&gt;=0,Sync!$U1968&lt;1),RIGHT("00"&amp;HOUR(Sync!$U1968),2)&amp;RIGHT("00"&amp;MINUTE(Sync!$U1968),2),IFERROR(RIGHT("00"&amp;VALUE(LEFT(Sync!$U1968,FIND(":",Sync!$U1968)-1)),2)&amp;RIGHT("00"&amp;VALUE(MID(Sync!$U1968,FIND(":",Sync!$U1968)+1,2)),2),"0000"))))</f>
        <v/>
      </c>
    </row>
    <row r="1973" spans="1:17" x14ac:dyDescent="0.2">
      <c r="A1973" t="str">
        <f>IF(Sync!$T1969="","",Sync!$T1969)</f>
        <v/>
      </c>
      <c r="B1973" t="str">
        <f t="shared" si="180"/>
        <v/>
      </c>
      <c r="C1973" t="str">
        <f t="shared" si="181"/>
        <v/>
      </c>
      <c r="D1973" t="str">
        <f t="shared" si="182"/>
        <v/>
      </c>
      <c r="E1973" t="str">
        <f t="shared" si="183"/>
        <v/>
      </c>
      <c r="F1973" t="str">
        <f t="shared" si="184"/>
        <v/>
      </c>
      <c r="G1973" t="str">
        <f>IF(OR($E1973="",$E1973="نامعتبر",Sync!$X1969=""),"",IF(AND(LEFT(UPPER(TRIM(Sync!$X1969)),2)="SL",IFERROR(VLOOKUP(Sync!$W1969,OpTbl,3,0),"")="فروش"),UPPER(TRIM(Sync!$X1969)),""))</f>
        <v/>
      </c>
      <c r="H1973" t="str">
        <f>IF($G1973="","",IF(Sync!$W1969="","",Sync!$W1969))</f>
        <v/>
      </c>
      <c r="I1973" t="str">
        <f>IF(OR($G1973="",Sync!$Y1969=""),"",Sync!$Y1969)</f>
        <v/>
      </c>
      <c r="J1973" t="str">
        <f>IF(OR($G1973="",Sync!$Z1969=""),"",Sync!$Z1969)</f>
        <v/>
      </c>
      <c r="K1973">
        <f>IF($G1973="",0,IF(Sync!$AA1969="",0,Sync!$AA1969))</f>
        <v>0</v>
      </c>
      <c r="L1973">
        <f>IF($G1973="",0,IF(Sync!$AB1969="",0,Sync!$AB1969))</f>
        <v>0</v>
      </c>
      <c r="M1973" t="str">
        <f t="shared" si="185"/>
        <v/>
      </c>
      <c r="N1973">
        <f>IF($G1973="",0,IF($H1973="مرجوعی فروش",-1,1)*IF(Sync!$AC1969="",0,Sync!$AC1969))</f>
        <v>0</v>
      </c>
      <c r="O1973" t="str">
        <f>IF(OR($G1973="",Sync!$V1969=""),"",Sync!$V1969)</f>
        <v/>
      </c>
      <c r="P1973" t="str">
        <f>IF(OR($G1973="",Sync!$AD1969=""),"",Sync!$AD1969)</f>
        <v/>
      </c>
      <c r="Q1973" t="str">
        <f>IF($G1973="","",IF(Sync!$U1969="","0000",IF(AND(ISNUMBER(Sync!$U1969),Sync!$U1969&gt;=0,Sync!$U1969&lt;1),RIGHT("00"&amp;HOUR(Sync!$U1969),2)&amp;RIGHT("00"&amp;MINUTE(Sync!$U1969),2),IFERROR(RIGHT("00"&amp;VALUE(LEFT(Sync!$U1969,FIND(":",Sync!$U1969)-1)),2)&amp;RIGHT("00"&amp;VALUE(MID(Sync!$U1969,FIND(":",Sync!$U1969)+1,2)),2),"0000"))))</f>
        <v/>
      </c>
    </row>
    <row r="1974" spans="1:17" x14ac:dyDescent="0.2">
      <c r="A1974" t="str">
        <f>IF(Sync!$T1970="","",Sync!$T1970)</f>
        <v/>
      </c>
      <c r="B1974" t="str">
        <f t="shared" si="180"/>
        <v/>
      </c>
      <c r="C1974" t="str">
        <f t="shared" si="181"/>
        <v/>
      </c>
      <c r="D1974" t="str">
        <f t="shared" si="182"/>
        <v/>
      </c>
      <c r="E1974" t="str">
        <f t="shared" si="183"/>
        <v/>
      </c>
      <c r="F1974" t="str">
        <f t="shared" si="184"/>
        <v/>
      </c>
      <c r="G1974" t="str">
        <f>IF(OR($E1974="",$E1974="نامعتبر",Sync!$X1970=""),"",IF(AND(LEFT(UPPER(TRIM(Sync!$X1970)),2)="SL",IFERROR(VLOOKUP(Sync!$W1970,OpTbl,3,0),"")="فروش"),UPPER(TRIM(Sync!$X1970)),""))</f>
        <v/>
      </c>
      <c r="H1974" t="str">
        <f>IF($G1974="","",IF(Sync!$W1970="","",Sync!$W1970))</f>
        <v/>
      </c>
      <c r="I1974" t="str">
        <f>IF(OR($G1974="",Sync!$Y1970=""),"",Sync!$Y1970)</f>
        <v/>
      </c>
      <c r="J1974" t="str">
        <f>IF(OR($G1974="",Sync!$Z1970=""),"",Sync!$Z1970)</f>
        <v/>
      </c>
      <c r="K1974">
        <f>IF($G1974="",0,IF(Sync!$AA1970="",0,Sync!$AA1970))</f>
        <v>0</v>
      </c>
      <c r="L1974">
        <f>IF($G1974="",0,IF(Sync!$AB1970="",0,Sync!$AB1970))</f>
        <v>0</v>
      </c>
      <c r="M1974" t="str">
        <f t="shared" si="185"/>
        <v/>
      </c>
      <c r="N1974">
        <f>IF($G1974="",0,IF($H1974="مرجوعی فروش",-1,1)*IF(Sync!$AC1970="",0,Sync!$AC1970))</f>
        <v>0</v>
      </c>
      <c r="O1974" t="str">
        <f>IF(OR($G1974="",Sync!$V1970=""),"",Sync!$V1970)</f>
        <v/>
      </c>
      <c r="P1974" t="str">
        <f>IF(OR($G1974="",Sync!$AD1970=""),"",Sync!$AD1970)</f>
        <v/>
      </c>
      <c r="Q1974" t="str">
        <f>IF($G1974="","",IF(Sync!$U1970="","0000",IF(AND(ISNUMBER(Sync!$U1970),Sync!$U1970&gt;=0,Sync!$U1970&lt;1),RIGHT("00"&amp;HOUR(Sync!$U1970),2)&amp;RIGHT("00"&amp;MINUTE(Sync!$U1970),2),IFERROR(RIGHT("00"&amp;VALUE(LEFT(Sync!$U1970,FIND(":",Sync!$U1970)-1)),2)&amp;RIGHT("00"&amp;VALUE(MID(Sync!$U1970,FIND(":",Sync!$U1970)+1,2)),2),"0000"))))</f>
        <v/>
      </c>
    </row>
    <row r="1975" spans="1:17" x14ac:dyDescent="0.2">
      <c r="A1975" t="str">
        <f>IF(Sync!$T1971="","",Sync!$T1971)</f>
        <v/>
      </c>
      <c r="B1975" t="str">
        <f t="shared" si="180"/>
        <v/>
      </c>
      <c r="C1975" t="str">
        <f t="shared" si="181"/>
        <v/>
      </c>
      <c r="D1975" t="str">
        <f t="shared" si="182"/>
        <v/>
      </c>
      <c r="E1975" t="str">
        <f t="shared" si="183"/>
        <v/>
      </c>
      <c r="F1975" t="str">
        <f t="shared" si="184"/>
        <v/>
      </c>
      <c r="G1975" t="str">
        <f>IF(OR($E1975="",$E1975="نامعتبر",Sync!$X1971=""),"",IF(AND(LEFT(UPPER(TRIM(Sync!$X1971)),2)="SL",IFERROR(VLOOKUP(Sync!$W1971,OpTbl,3,0),"")="فروش"),UPPER(TRIM(Sync!$X1971)),""))</f>
        <v/>
      </c>
      <c r="H1975" t="str">
        <f>IF($G1975="","",IF(Sync!$W1971="","",Sync!$W1971))</f>
        <v/>
      </c>
      <c r="I1975" t="str">
        <f>IF(OR($G1975="",Sync!$Y1971=""),"",Sync!$Y1971)</f>
        <v/>
      </c>
      <c r="J1975" t="str">
        <f>IF(OR($G1975="",Sync!$Z1971=""),"",Sync!$Z1971)</f>
        <v/>
      </c>
      <c r="K1975">
        <f>IF($G1975="",0,IF(Sync!$AA1971="",0,Sync!$AA1971))</f>
        <v>0</v>
      </c>
      <c r="L1975">
        <f>IF($G1975="",0,IF(Sync!$AB1971="",0,Sync!$AB1971))</f>
        <v>0</v>
      </c>
      <c r="M1975" t="str">
        <f t="shared" si="185"/>
        <v/>
      </c>
      <c r="N1975">
        <f>IF($G1975="",0,IF($H1975="مرجوعی فروش",-1,1)*IF(Sync!$AC1971="",0,Sync!$AC1971))</f>
        <v>0</v>
      </c>
      <c r="O1975" t="str">
        <f>IF(OR($G1975="",Sync!$V1971=""),"",Sync!$V1971)</f>
        <v/>
      </c>
      <c r="P1975" t="str">
        <f>IF(OR($G1975="",Sync!$AD1971=""),"",Sync!$AD1971)</f>
        <v/>
      </c>
      <c r="Q1975" t="str">
        <f>IF($G1975="","",IF(Sync!$U1971="","0000",IF(AND(ISNUMBER(Sync!$U1971),Sync!$U1971&gt;=0,Sync!$U1971&lt;1),RIGHT("00"&amp;HOUR(Sync!$U1971),2)&amp;RIGHT("00"&amp;MINUTE(Sync!$U1971),2),IFERROR(RIGHT("00"&amp;VALUE(LEFT(Sync!$U1971,FIND(":",Sync!$U1971)-1)),2)&amp;RIGHT("00"&amp;VALUE(MID(Sync!$U1971,FIND(":",Sync!$U1971)+1,2)),2),"0000"))))</f>
        <v/>
      </c>
    </row>
    <row r="1976" spans="1:17" x14ac:dyDescent="0.2">
      <c r="A1976" t="str">
        <f>IF(Sync!$T1972="","",Sync!$T1972)</f>
        <v/>
      </c>
      <c r="B1976" t="str">
        <f t="shared" si="180"/>
        <v/>
      </c>
      <c r="C1976" t="str">
        <f t="shared" si="181"/>
        <v/>
      </c>
      <c r="D1976" t="str">
        <f t="shared" si="182"/>
        <v/>
      </c>
      <c r="E1976" t="str">
        <f t="shared" si="183"/>
        <v/>
      </c>
      <c r="F1976" t="str">
        <f t="shared" si="184"/>
        <v/>
      </c>
      <c r="G1976" t="str">
        <f>IF(OR($E1976="",$E1976="نامعتبر",Sync!$X1972=""),"",IF(AND(LEFT(UPPER(TRIM(Sync!$X1972)),2)="SL",IFERROR(VLOOKUP(Sync!$W1972,OpTbl,3,0),"")="فروش"),UPPER(TRIM(Sync!$X1972)),""))</f>
        <v/>
      </c>
      <c r="H1976" t="str">
        <f>IF($G1976="","",IF(Sync!$W1972="","",Sync!$W1972))</f>
        <v/>
      </c>
      <c r="I1976" t="str">
        <f>IF(OR($G1976="",Sync!$Y1972=""),"",Sync!$Y1972)</f>
        <v/>
      </c>
      <c r="J1976" t="str">
        <f>IF(OR($G1976="",Sync!$Z1972=""),"",Sync!$Z1972)</f>
        <v/>
      </c>
      <c r="K1976">
        <f>IF($G1976="",0,IF(Sync!$AA1972="",0,Sync!$AA1972))</f>
        <v>0</v>
      </c>
      <c r="L1976">
        <f>IF($G1976="",0,IF(Sync!$AB1972="",0,Sync!$AB1972))</f>
        <v>0</v>
      </c>
      <c r="M1976" t="str">
        <f t="shared" si="185"/>
        <v/>
      </c>
      <c r="N1976">
        <f>IF($G1976="",0,IF($H1976="مرجوعی فروش",-1,1)*IF(Sync!$AC1972="",0,Sync!$AC1972))</f>
        <v>0</v>
      </c>
      <c r="O1976" t="str">
        <f>IF(OR($G1976="",Sync!$V1972=""),"",Sync!$V1972)</f>
        <v/>
      </c>
      <c r="P1976" t="str">
        <f>IF(OR($G1976="",Sync!$AD1972=""),"",Sync!$AD1972)</f>
        <v/>
      </c>
      <c r="Q1976" t="str">
        <f>IF($G1976="","",IF(Sync!$U1972="","0000",IF(AND(ISNUMBER(Sync!$U1972),Sync!$U1972&gt;=0,Sync!$U1972&lt;1),RIGHT("00"&amp;HOUR(Sync!$U1972),2)&amp;RIGHT("00"&amp;MINUTE(Sync!$U1972),2),IFERROR(RIGHT("00"&amp;VALUE(LEFT(Sync!$U1972,FIND(":",Sync!$U1972)-1)),2)&amp;RIGHT("00"&amp;VALUE(MID(Sync!$U1972,FIND(":",Sync!$U1972)+1,2)),2),"0000"))))</f>
        <v/>
      </c>
    </row>
    <row r="1977" spans="1:17" x14ac:dyDescent="0.2">
      <c r="A1977" t="str">
        <f>IF(Sync!$T1973="","",Sync!$T1973)</f>
        <v/>
      </c>
      <c r="B1977" t="str">
        <f t="shared" si="180"/>
        <v/>
      </c>
      <c r="C1977" t="str">
        <f t="shared" si="181"/>
        <v/>
      </c>
      <c r="D1977" t="str">
        <f t="shared" si="182"/>
        <v/>
      </c>
      <c r="E1977" t="str">
        <f t="shared" si="183"/>
        <v/>
      </c>
      <c r="F1977" t="str">
        <f t="shared" si="184"/>
        <v/>
      </c>
      <c r="G1977" t="str">
        <f>IF(OR($E1977="",$E1977="نامعتبر",Sync!$X1973=""),"",IF(AND(LEFT(UPPER(TRIM(Sync!$X1973)),2)="SL",IFERROR(VLOOKUP(Sync!$W1973,OpTbl,3,0),"")="فروش"),UPPER(TRIM(Sync!$X1973)),""))</f>
        <v/>
      </c>
      <c r="H1977" t="str">
        <f>IF($G1977="","",IF(Sync!$W1973="","",Sync!$W1973))</f>
        <v/>
      </c>
      <c r="I1977" t="str">
        <f>IF(OR($G1977="",Sync!$Y1973=""),"",Sync!$Y1973)</f>
        <v/>
      </c>
      <c r="J1977" t="str">
        <f>IF(OR($G1977="",Sync!$Z1973=""),"",Sync!$Z1973)</f>
        <v/>
      </c>
      <c r="K1977">
        <f>IF($G1977="",0,IF(Sync!$AA1973="",0,Sync!$AA1973))</f>
        <v>0</v>
      </c>
      <c r="L1977">
        <f>IF($G1977="",0,IF(Sync!$AB1973="",0,Sync!$AB1973))</f>
        <v>0</v>
      </c>
      <c r="M1977" t="str">
        <f t="shared" si="185"/>
        <v/>
      </c>
      <c r="N1977">
        <f>IF($G1977="",0,IF($H1977="مرجوعی فروش",-1,1)*IF(Sync!$AC1973="",0,Sync!$AC1973))</f>
        <v>0</v>
      </c>
      <c r="O1977" t="str">
        <f>IF(OR($G1977="",Sync!$V1973=""),"",Sync!$V1973)</f>
        <v/>
      </c>
      <c r="P1977" t="str">
        <f>IF(OR($G1977="",Sync!$AD1973=""),"",Sync!$AD1973)</f>
        <v/>
      </c>
      <c r="Q1977" t="str">
        <f>IF($G1977="","",IF(Sync!$U1973="","0000",IF(AND(ISNUMBER(Sync!$U1973),Sync!$U1973&gt;=0,Sync!$U1973&lt;1),RIGHT("00"&amp;HOUR(Sync!$U1973),2)&amp;RIGHT("00"&amp;MINUTE(Sync!$U1973),2),IFERROR(RIGHT("00"&amp;VALUE(LEFT(Sync!$U1973,FIND(":",Sync!$U1973)-1)),2)&amp;RIGHT("00"&amp;VALUE(MID(Sync!$U1973,FIND(":",Sync!$U1973)+1,2)),2),"0000"))))</f>
        <v/>
      </c>
    </row>
    <row r="1978" spans="1:17" x14ac:dyDescent="0.2">
      <c r="A1978" t="str">
        <f>IF(Sync!$T1974="","",Sync!$T1974)</f>
        <v/>
      </c>
      <c r="B1978" t="str">
        <f t="shared" si="180"/>
        <v/>
      </c>
      <c r="C1978" t="str">
        <f t="shared" si="181"/>
        <v/>
      </c>
      <c r="D1978" t="str">
        <f t="shared" si="182"/>
        <v/>
      </c>
      <c r="E1978" t="str">
        <f t="shared" si="183"/>
        <v/>
      </c>
      <c r="F1978" t="str">
        <f t="shared" si="184"/>
        <v/>
      </c>
      <c r="G1978" t="str">
        <f>IF(OR($E1978="",$E1978="نامعتبر",Sync!$X1974=""),"",IF(AND(LEFT(UPPER(TRIM(Sync!$X1974)),2)="SL",IFERROR(VLOOKUP(Sync!$W1974,OpTbl,3,0),"")="فروش"),UPPER(TRIM(Sync!$X1974)),""))</f>
        <v/>
      </c>
      <c r="H1978" t="str">
        <f>IF($G1978="","",IF(Sync!$W1974="","",Sync!$W1974))</f>
        <v/>
      </c>
      <c r="I1978" t="str">
        <f>IF(OR($G1978="",Sync!$Y1974=""),"",Sync!$Y1974)</f>
        <v/>
      </c>
      <c r="J1978" t="str">
        <f>IF(OR($G1978="",Sync!$Z1974=""),"",Sync!$Z1974)</f>
        <v/>
      </c>
      <c r="K1978">
        <f>IF($G1978="",0,IF(Sync!$AA1974="",0,Sync!$AA1974))</f>
        <v>0</v>
      </c>
      <c r="L1978">
        <f>IF($G1978="",0,IF(Sync!$AB1974="",0,Sync!$AB1974))</f>
        <v>0</v>
      </c>
      <c r="M1978" t="str">
        <f t="shared" si="185"/>
        <v/>
      </c>
      <c r="N1978">
        <f>IF($G1978="",0,IF($H1978="مرجوعی فروش",-1,1)*IF(Sync!$AC1974="",0,Sync!$AC1974))</f>
        <v>0</v>
      </c>
      <c r="O1978" t="str">
        <f>IF(OR($G1978="",Sync!$V1974=""),"",Sync!$V1974)</f>
        <v/>
      </c>
      <c r="P1978" t="str">
        <f>IF(OR($G1978="",Sync!$AD1974=""),"",Sync!$AD1974)</f>
        <v/>
      </c>
      <c r="Q1978" t="str">
        <f>IF($G1978="","",IF(Sync!$U1974="","0000",IF(AND(ISNUMBER(Sync!$U1974),Sync!$U1974&gt;=0,Sync!$U1974&lt;1),RIGHT("00"&amp;HOUR(Sync!$U1974),2)&amp;RIGHT("00"&amp;MINUTE(Sync!$U1974),2),IFERROR(RIGHT("00"&amp;VALUE(LEFT(Sync!$U1974,FIND(":",Sync!$U1974)-1)),2)&amp;RIGHT("00"&amp;VALUE(MID(Sync!$U1974,FIND(":",Sync!$U1974)+1,2)),2),"0000"))))</f>
        <v/>
      </c>
    </row>
    <row r="1979" spans="1:17" x14ac:dyDescent="0.2">
      <c r="A1979" t="str">
        <f>IF(Sync!$T1975="","",Sync!$T1975)</f>
        <v/>
      </c>
      <c r="B1979" t="str">
        <f t="shared" si="180"/>
        <v/>
      </c>
      <c r="C1979" t="str">
        <f t="shared" si="181"/>
        <v/>
      </c>
      <c r="D1979" t="str">
        <f t="shared" si="182"/>
        <v/>
      </c>
      <c r="E1979" t="str">
        <f t="shared" si="183"/>
        <v/>
      </c>
      <c r="F1979" t="str">
        <f t="shared" si="184"/>
        <v/>
      </c>
      <c r="G1979" t="str">
        <f>IF(OR($E1979="",$E1979="نامعتبر",Sync!$X1975=""),"",IF(AND(LEFT(UPPER(TRIM(Sync!$X1975)),2)="SL",IFERROR(VLOOKUP(Sync!$W1975,OpTbl,3,0),"")="فروش"),UPPER(TRIM(Sync!$X1975)),""))</f>
        <v/>
      </c>
      <c r="H1979" t="str">
        <f>IF($G1979="","",IF(Sync!$W1975="","",Sync!$W1975))</f>
        <v/>
      </c>
      <c r="I1979" t="str">
        <f>IF(OR($G1979="",Sync!$Y1975=""),"",Sync!$Y1975)</f>
        <v/>
      </c>
      <c r="J1979" t="str">
        <f>IF(OR($G1979="",Sync!$Z1975=""),"",Sync!$Z1975)</f>
        <v/>
      </c>
      <c r="K1979">
        <f>IF($G1979="",0,IF(Sync!$AA1975="",0,Sync!$AA1975))</f>
        <v>0</v>
      </c>
      <c r="L1979">
        <f>IF($G1979="",0,IF(Sync!$AB1975="",0,Sync!$AB1975))</f>
        <v>0</v>
      </c>
      <c r="M1979" t="str">
        <f t="shared" si="185"/>
        <v/>
      </c>
      <c r="N1979">
        <f>IF($G1979="",0,IF($H1979="مرجوعی فروش",-1,1)*IF(Sync!$AC1975="",0,Sync!$AC1975))</f>
        <v>0</v>
      </c>
      <c r="O1979" t="str">
        <f>IF(OR($G1979="",Sync!$V1975=""),"",Sync!$V1975)</f>
        <v/>
      </c>
      <c r="P1979" t="str">
        <f>IF(OR($G1979="",Sync!$AD1975=""),"",Sync!$AD1975)</f>
        <v/>
      </c>
      <c r="Q1979" t="str">
        <f>IF($G1979="","",IF(Sync!$U1975="","0000",IF(AND(ISNUMBER(Sync!$U1975),Sync!$U1975&gt;=0,Sync!$U1975&lt;1),RIGHT("00"&amp;HOUR(Sync!$U1975),2)&amp;RIGHT("00"&amp;MINUTE(Sync!$U1975),2),IFERROR(RIGHT("00"&amp;VALUE(LEFT(Sync!$U1975,FIND(":",Sync!$U1975)-1)),2)&amp;RIGHT("00"&amp;VALUE(MID(Sync!$U1975,FIND(":",Sync!$U1975)+1,2)),2),"0000"))))</f>
        <v/>
      </c>
    </row>
    <row r="1980" spans="1:17" x14ac:dyDescent="0.2">
      <c r="A1980" t="str">
        <f>IF(Sync!$T1976="","",Sync!$T1976)</f>
        <v/>
      </c>
      <c r="B1980" t="str">
        <f t="shared" si="180"/>
        <v/>
      </c>
      <c r="C1980" t="str">
        <f t="shared" si="181"/>
        <v/>
      </c>
      <c r="D1980" t="str">
        <f t="shared" si="182"/>
        <v/>
      </c>
      <c r="E1980" t="str">
        <f t="shared" si="183"/>
        <v/>
      </c>
      <c r="F1980" t="str">
        <f t="shared" si="184"/>
        <v/>
      </c>
      <c r="G1980" t="str">
        <f>IF(OR($E1980="",$E1980="نامعتبر",Sync!$X1976=""),"",IF(AND(LEFT(UPPER(TRIM(Sync!$X1976)),2)="SL",IFERROR(VLOOKUP(Sync!$W1976,OpTbl,3,0),"")="فروش"),UPPER(TRIM(Sync!$X1976)),""))</f>
        <v/>
      </c>
      <c r="H1980" t="str">
        <f>IF($G1980="","",IF(Sync!$W1976="","",Sync!$W1976))</f>
        <v/>
      </c>
      <c r="I1980" t="str">
        <f>IF(OR($G1980="",Sync!$Y1976=""),"",Sync!$Y1976)</f>
        <v/>
      </c>
      <c r="J1980" t="str">
        <f>IF(OR($G1980="",Sync!$Z1976=""),"",Sync!$Z1976)</f>
        <v/>
      </c>
      <c r="K1980">
        <f>IF($G1980="",0,IF(Sync!$AA1976="",0,Sync!$AA1976))</f>
        <v>0</v>
      </c>
      <c r="L1980">
        <f>IF($G1980="",0,IF(Sync!$AB1976="",0,Sync!$AB1976))</f>
        <v>0</v>
      </c>
      <c r="M1980" t="str">
        <f t="shared" si="185"/>
        <v/>
      </c>
      <c r="N1980">
        <f>IF($G1980="",0,IF($H1980="مرجوعی فروش",-1,1)*IF(Sync!$AC1976="",0,Sync!$AC1976))</f>
        <v>0</v>
      </c>
      <c r="O1980" t="str">
        <f>IF(OR($G1980="",Sync!$V1976=""),"",Sync!$V1976)</f>
        <v/>
      </c>
      <c r="P1980" t="str">
        <f>IF(OR($G1980="",Sync!$AD1976=""),"",Sync!$AD1976)</f>
        <v/>
      </c>
      <c r="Q1980" t="str">
        <f>IF($G1980="","",IF(Sync!$U1976="","0000",IF(AND(ISNUMBER(Sync!$U1976),Sync!$U1976&gt;=0,Sync!$U1976&lt;1),RIGHT("00"&amp;HOUR(Sync!$U1976),2)&amp;RIGHT("00"&amp;MINUTE(Sync!$U1976),2),IFERROR(RIGHT("00"&amp;VALUE(LEFT(Sync!$U1976,FIND(":",Sync!$U1976)-1)),2)&amp;RIGHT("00"&amp;VALUE(MID(Sync!$U1976,FIND(":",Sync!$U1976)+1,2)),2),"0000"))))</f>
        <v/>
      </c>
    </row>
    <row r="1981" spans="1:17" x14ac:dyDescent="0.2">
      <c r="A1981" t="str">
        <f>IF(Sync!$T1977="","",Sync!$T1977)</f>
        <v/>
      </c>
      <c r="B1981" t="str">
        <f t="shared" si="180"/>
        <v/>
      </c>
      <c r="C1981" t="str">
        <f t="shared" si="181"/>
        <v/>
      </c>
      <c r="D1981" t="str">
        <f t="shared" si="182"/>
        <v/>
      </c>
      <c r="E1981" t="str">
        <f t="shared" si="183"/>
        <v/>
      </c>
      <c r="F1981" t="str">
        <f t="shared" si="184"/>
        <v/>
      </c>
      <c r="G1981" t="str">
        <f>IF(OR($E1981="",$E1981="نامعتبر",Sync!$X1977=""),"",IF(AND(LEFT(UPPER(TRIM(Sync!$X1977)),2)="SL",IFERROR(VLOOKUP(Sync!$W1977,OpTbl,3,0),"")="فروش"),UPPER(TRIM(Sync!$X1977)),""))</f>
        <v/>
      </c>
      <c r="H1981" t="str">
        <f>IF($G1981="","",IF(Sync!$W1977="","",Sync!$W1977))</f>
        <v/>
      </c>
      <c r="I1981" t="str">
        <f>IF(OR($G1981="",Sync!$Y1977=""),"",Sync!$Y1977)</f>
        <v/>
      </c>
      <c r="J1981" t="str">
        <f>IF(OR($G1981="",Sync!$Z1977=""),"",Sync!$Z1977)</f>
        <v/>
      </c>
      <c r="K1981">
        <f>IF($G1981="",0,IF(Sync!$AA1977="",0,Sync!$AA1977))</f>
        <v>0</v>
      </c>
      <c r="L1981">
        <f>IF($G1981="",0,IF(Sync!$AB1977="",0,Sync!$AB1977))</f>
        <v>0</v>
      </c>
      <c r="M1981" t="str">
        <f t="shared" si="185"/>
        <v/>
      </c>
      <c r="N1981">
        <f>IF($G1981="",0,IF($H1981="مرجوعی فروش",-1,1)*IF(Sync!$AC1977="",0,Sync!$AC1977))</f>
        <v>0</v>
      </c>
      <c r="O1981" t="str">
        <f>IF(OR($G1981="",Sync!$V1977=""),"",Sync!$V1977)</f>
        <v/>
      </c>
      <c r="P1981" t="str">
        <f>IF(OR($G1981="",Sync!$AD1977=""),"",Sync!$AD1977)</f>
        <v/>
      </c>
      <c r="Q1981" t="str">
        <f>IF($G1981="","",IF(Sync!$U1977="","0000",IF(AND(ISNUMBER(Sync!$U1977),Sync!$U1977&gt;=0,Sync!$U1977&lt;1),RIGHT("00"&amp;HOUR(Sync!$U1977),2)&amp;RIGHT("00"&amp;MINUTE(Sync!$U1977),2),IFERROR(RIGHT("00"&amp;VALUE(LEFT(Sync!$U1977,FIND(":",Sync!$U1977)-1)),2)&amp;RIGHT("00"&amp;VALUE(MID(Sync!$U1977,FIND(":",Sync!$U1977)+1,2)),2),"0000"))))</f>
        <v/>
      </c>
    </row>
    <row r="1982" spans="1:17" x14ac:dyDescent="0.2">
      <c r="A1982" t="str">
        <f>IF(Sync!$T1978="","",Sync!$T1978)</f>
        <v/>
      </c>
      <c r="B1982" t="str">
        <f t="shared" si="180"/>
        <v/>
      </c>
      <c r="C1982" t="str">
        <f t="shared" si="181"/>
        <v/>
      </c>
      <c r="D1982" t="str">
        <f t="shared" si="182"/>
        <v/>
      </c>
      <c r="E1982" t="str">
        <f t="shared" si="183"/>
        <v/>
      </c>
      <c r="F1982" t="str">
        <f t="shared" si="184"/>
        <v/>
      </c>
      <c r="G1982" t="str">
        <f>IF(OR($E1982="",$E1982="نامعتبر",Sync!$X1978=""),"",IF(AND(LEFT(UPPER(TRIM(Sync!$X1978)),2)="SL",IFERROR(VLOOKUP(Sync!$W1978,OpTbl,3,0),"")="فروش"),UPPER(TRIM(Sync!$X1978)),""))</f>
        <v/>
      </c>
      <c r="H1982" t="str">
        <f>IF($G1982="","",IF(Sync!$W1978="","",Sync!$W1978))</f>
        <v/>
      </c>
      <c r="I1982" t="str">
        <f>IF(OR($G1982="",Sync!$Y1978=""),"",Sync!$Y1978)</f>
        <v/>
      </c>
      <c r="J1982" t="str">
        <f>IF(OR($G1982="",Sync!$Z1978=""),"",Sync!$Z1978)</f>
        <v/>
      </c>
      <c r="K1982">
        <f>IF($G1982="",0,IF(Sync!$AA1978="",0,Sync!$AA1978))</f>
        <v>0</v>
      </c>
      <c r="L1982">
        <f>IF($G1982="",0,IF(Sync!$AB1978="",0,Sync!$AB1978))</f>
        <v>0</v>
      </c>
      <c r="M1982" t="str">
        <f t="shared" si="185"/>
        <v/>
      </c>
      <c r="N1982">
        <f>IF($G1982="",0,IF($H1982="مرجوعی فروش",-1,1)*IF(Sync!$AC1978="",0,Sync!$AC1978))</f>
        <v>0</v>
      </c>
      <c r="O1982" t="str">
        <f>IF(OR($G1982="",Sync!$V1978=""),"",Sync!$V1978)</f>
        <v/>
      </c>
      <c r="P1982" t="str">
        <f>IF(OR($G1982="",Sync!$AD1978=""),"",Sync!$AD1978)</f>
        <v/>
      </c>
      <c r="Q1982" t="str">
        <f>IF($G1982="","",IF(Sync!$U1978="","0000",IF(AND(ISNUMBER(Sync!$U1978),Sync!$U1978&gt;=0,Sync!$U1978&lt;1),RIGHT("00"&amp;HOUR(Sync!$U1978),2)&amp;RIGHT("00"&amp;MINUTE(Sync!$U1978),2),IFERROR(RIGHT("00"&amp;VALUE(LEFT(Sync!$U1978,FIND(":",Sync!$U1978)-1)),2)&amp;RIGHT("00"&amp;VALUE(MID(Sync!$U1978,FIND(":",Sync!$U1978)+1,2)),2),"0000"))))</f>
        <v/>
      </c>
    </row>
    <row r="1983" spans="1:17" x14ac:dyDescent="0.2">
      <c r="A1983" t="str">
        <f>IF(Sync!$T1979="","",Sync!$T1979)</f>
        <v/>
      </c>
      <c r="B1983" t="str">
        <f t="shared" si="180"/>
        <v/>
      </c>
      <c r="C1983" t="str">
        <f t="shared" si="181"/>
        <v/>
      </c>
      <c r="D1983" t="str">
        <f t="shared" si="182"/>
        <v/>
      </c>
      <c r="E1983" t="str">
        <f t="shared" si="183"/>
        <v/>
      </c>
      <c r="F1983" t="str">
        <f t="shared" si="184"/>
        <v/>
      </c>
      <c r="G1983" t="str">
        <f>IF(OR($E1983="",$E1983="نامعتبر",Sync!$X1979=""),"",IF(AND(LEFT(UPPER(TRIM(Sync!$X1979)),2)="SL",IFERROR(VLOOKUP(Sync!$W1979,OpTbl,3,0),"")="فروش"),UPPER(TRIM(Sync!$X1979)),""))</f>
        <v/>
      </c>
      <c r="H1983" t="str">
        <f>IF($G1983="","",IF(Sync!$W1979="","",Sync!$W1979))</f>
        <v/>
      </c>
      <c r="I1983" t="str">
        <f>IF(OR($G1983="",Sync!$Y1979=""),"",Sync!$Y1979)</f>
        <v/>
      </c>
      <c r="J1983" t="str">
        <f>IF(OR($G1983="",Sync!$Z1979=""),"",Sync!$Z1979)</f>
        <v/>
      </c>
      <c r="K1983">
        <f>IF($G1983="",0,IF(Sync!$AA1979="",0,Sync!$AA1979))</f>
        <v>0</v>
      </c>
      <c r="L1983">
        <f>IF($G1983="",0,IF(Sync!$AB1979="",0,Sync!$AB1979))</f>
        <v>0</v>
      </c>
      <c r="M1983" t="str">
        <f t="shared" si="185"/>
        <v/>
      </c>
      <c r="N1983">
        <f>IF($G1983="",0,IF($H1983="مرجوعی فروش",-1,1)*IF(Sync!$AC1979="",0,Sync!$AC1979))</f>
        <v>0</v>
      </c>
      <c r="O1983" t="str">
        <f>IF(OR($G1983="",Sync!$V1979=""),"",Sync!$V1979)</f>
        <v/>
      </c>
      <c r="P1983" t="str">
        <f>IF(OR($G1983="",Sync!$AD1979=""),"",Sync!$AD1979)</f>
        <v/>
      </c>
      <c r="Q1983" t="str">
        <f>IF($G1983="","",IF(Sync!$U1979="","0000",IF(AND(ISNUMBER(Sync!$U1979),Sync!$U1979&gt;=0,Sync!$U1979&lt;1),RIGHT("00"&amp;HOUR(Sync!$U1979),2)&amp;RIGHT("00"&amp;MINUTE(Sync!$U1979),2),IFERROR(RIGHT("00"&amp;VALUE(LEFT(Sync!$U1979,FIND(":",Sync!$U1979)-1)),2)&amp;RIGHT("00"&amp;VALUE(MID(Sync!$U1979,FIND(":",Sync!$U1979)+1,2)),2),"0000"))))</f>
        <v/>
      </c>
    </row>
    <row r="1984" spans="1:17" x14ac:dyDescent="0.2">
      <c r="A1984" t="str">
        <f>IF(Sync!$T1980="","",Sync!$T1980)</f>
        <v/>
      </c>
      <c r="B1984" t="str">
        <f t="shared" si="180"/>
        <v/>
      </c>
      <c r="C1984" t="str">
        <f t="shared" si="181"/>
        <v/>
      </c>
      <c r="D1984" t="str">
        <f t="shared" si="182"/>
        <v/>
      </c>
      <c r="E1984" t="str">
        <f t="shared" si="183"/>
        <v/>
      </c>
      <c r="F1984" t="str">
        <f t="shared" si="184"/>
        <v/>
      </c>
      <c r="G1984" t="str">
        <f>IF(OR($E1984="",$E1984="نامعتبر",Sync!$X1980=""),"",IF(AND(LEFT(UPPER(TRIM(Sync!$X1980)),2)="SL",IFERROR(VLOOKUP(Sync!$W1980,OpTbl,3,0),"")="فروش"),UPPER(TRIM(Sync!$X1980)),""))</f>
        <v/>
      </c>
      <c r="H1984" t="str">
        <f>IF($G1984="","",IF(Sync!$W1980="","",Sync!$W1980))</f>
        <v/>
      </c>
      <c r="I1984" t="str">
        <f>IF(OR($G1984="",Sync!$Y1980=""),"",Sync!$Y1980)</f>
        <v/>
      </c>
      <c r="J1984" t="str">
        <f>IF(OR($G1984="",Sync!$Z1980=""),"",Sync!$Z1980)</f>
        <v/>
      </c>
      <c r="K1984">
        <f>IF($G1984="",0,IF(Sync!$AA1980="",0,Sync!$AA1980))</f>
        <v>0</v>
      </c>
      <c r="L1984">
        <f>IF($G1984="",0,IF(Sync!$AB1980="",0,Sync!$AB1980))</f>
        <v>0</v>
      </c>
      <c r="M1984" t="str">
        <f t="shared" si="185"/>
        <v/>
      </c>
      <c r="N1984">
        <f>IF($G1984="",0,IF($H1984="مرجوعی فروش",-1,1)*IF(Sync!$AC1980="",0,Sync!$AC1980))</f>
        <v>0</v>
      </c>
      <c r="O1984" t="str">
        <f>IF(OR($G1984="",Sync!$V1980=""),"",Sync!$V1980)</f>
        <v/>
      </c>
      <c r="P1984" t="str">
        <f>IF(OR($G1984="",Sync!$AD1980=""),"",Sync!$AD1980)</f>
        <v/>
      </c>
      <c r="Q1984" t="str">
        <f>IF($G1984="","",IF(Sync!$U1980="","0000",IF(AND(ISNUMBER(Sync!$U1980),Sync!$U1980&gt;=0,Sync!$U1980&lt;1),RIGHT("00"&amp;HOUR(Sync!$U1980),2)&amp;RIGHT("00"&amp;MINUTE(Sync!$U1980),2),IFERROR(RIGHT("00"&amp;VALUE(LEFT(Sync!$U1980,FIND(":",Sync!$U1980)-1)),2)&amp;RIGHT("00"&amp;VALUE(MID(Sync!$U1980,FIND(":",Sync!$U1980)+1,2)),2),"0000"))))</f>
        <v/>
      </c>
    </row>
    <row r="1985" spans="1:17" x14ac:dyDescent="0.2">
      <c r="A1985" t="str">
        <f>IF(Sync!$T1981="","",Sync!$T1981)</f>
        <v/>
      </c>
      <c r="B1985" t="str">
        <f t="shared" si="180"/>
        <v/>
      </c>
      <c r="C1985" t="str">
        <f t="shared" si="181"/>
        <v/>
      </c>
      <c r="D1985" t="str">
        <f t="shared" si="182"/>
        <v/>
      </c>
      <c r="E1985" t="str">
        <f t="shared" si="183"/>
        <v/>
      </c>
      <c r="F1985" t="str">
        <f t="shared" si="184"/>
        <v/>
      </c>
      <c r="G1985" t="str">
        <f>IF(OR($E1985="",$E1985="نامعتبر",Sync!$X1981=""),"",IF(AND(LEFT(UPPER(TRIM(Sync!$X1981)),2)="SL",IFERROR(VLOOKUP(Sync!$W1981,OpTbl,3,0),"")="فروش"),UPPER(TRIM(Sync!$X1981)),""))</f>
        <v/>
      </c>
      <c r="H1985" t="str">
        <f>IF($G1985="","",IF(Sync!$W1981="","",Sync!$W1981))</f>
        <v/>
      </c>
      <c r="I1985" t="str">
        <f>IF(OR($G1985="",Sync!$Y1981=""),"",Sync!$Y1981)</f>
        <v/>
      </c>
      <c r="J1985" t="str">
        <f>IF(OR($G1985="",Sync!$Z1981=""),"",Sync!$Z1981)</f>
        <v/>
      </c>
      <c r="K1985">
        <f>IF($G1985="",0,IF(Sync!$AA1981="",0,Sync!$AA1981))</f>
        <v>0</v>
      </c>
      <c r="L1985">
        <f>IF($G1985="",0,IF(Sync!$AB1981="",0,Sync!$AB1981))</f>
        <v>0</v>
      </c>
      <c r="M1985" t="str">
        <f t="shared" si="185"/>
        <v/>
      </c>
      <c r="N1985">
        <f>IF($G1985="",0,IF($H1985="مرجوعی فروش",-1,1)*IF(Sync!$AC1981="",0,Sync!$AC1981))</f>
        <v>0</v>
      </c>
      <c r="O1985" t="str">
        <f>IF(OR($G1985="",Sync!$V1981=""),"",Sync!$V1981)</f>
        <v/>
      </c>
      <c r="P1985" t="str">
        <f>IF(OR($G1985="",Sync!$AD1981=""),"",Sync!$AD1981)</f>
        <v/>
      </c>
      <c r="Q1985" t="str">
        <f>IF($G1985="","",IF(Sync!$U1981="","0000",IF(AND(ISNUMBER(Sync!$U1981),Sync!$U1981&gt;=0,Sync!$U1981&lt;1),RIGHT("00"&amp;HOUR(Sync!$U1981),2)&amp;RIGHT("00"&amp;MINUTE(Sync!$U1981),2),IFERROR(RIGHT("00"&amp;VALUE(LEFT(Sync!$U1981,FIND(":",Sync!$U1981)-1)),2)&amp;RIGHT("00"&amp;VALUE(MID(Sync!$U1981,FIND(":",Sync!$U1981)+1,2)),2),"0000"))))</f>
        <v/>
      </c>
    </row>
    <row r="1986" spans="1:17" x14ac:dyDescent="0.2">
      <c r="A1986" t="str">
        <f>IF(Sync!$T1982="","",Sync!$T1982)</f>
        <v/>
      </c>
      <c r="B1986" t="str">
        <f t="shared" si="180"/>
        <v/>
      </c>
      <c r="C1986" t="str">
        <f t="shared" si="181"/>
        <v/>
      </c>
      <c r="D1986" t="str">
        <f t="shared" si="182"/>
        <v/>
      </c>
      <c r="E1986" t="str">
        <f t="shared" si="183"/>
        <v/>
      </c>
      <c r="F1986" t="str">
        <f t="shared" si="184"/>
        <v/>
      </c>
      <c r="G1986" t="str">
        <f>IF(OR($E1986="",$E1986="نامعتبر",Sync!$X1982=""),"",IF(AND(LEFT(UPPER(TRIM(Sync!$X1982)),2)="SL",IFERROR(VLOOKUP(Sync!$W1982,OpTbl,3,0),"")="فروش"),UPPER(TRIM(Sync!$X1982)),""))</f>
        <v/>
      </c>
      <c r="H1986" t="str">
        <f>IF($G1986="","",IF(Sync!$W1982="","",Sync!$W1982))</f>
        <v/>
      </c>
      <c r="I1986" t="str">
        <f>IF(OR($G1986="",Sync!$Y1982=""),"",Sync!$Y1982)</f>
        <v/>
      </c>
      <c r="J1986" t="str">
        <f>IF(OR($G1986="",Sync!$Z1982=""),"",Sync!$Z1982)</f>
        <v/>
      </c>
      <c r="K1986">
        <f>IF($G1986="",0,IF(Sync!$AA1982="",0,Sync!$AA1982))</f>
        <v>0</v>
      </c>
      <c r="L1986">
        <f>IF($G1986="",0,IF(Sync!$AB1982="",0,Sync!$AB1982))</f>
        <v>0</v>
      </c>
      <c r="M1986" t="str">
        <f t="shared" si="185"/>
        <v/>
      </c>
      <c r="N1986">
        <f>IF($G1986="",0,IF($H1986="مرجوعی فروش",-1,1)*IF(Sync!$AC1982="",0,Sync!$AC1982))</f>
        <v>0</v>
      </c>
      <c r="O1986" t="str">
        <f>IF(OR($G1986="",Sync!$V1982=""),"",Sync!$V1982)</f>
        <v/>
      </c>
      <c r="P1986" t="str">
        <f>IF(OR($G1986="",Sync!$AD1982=""),"",Sync!$AD1982)</f>
        <v/>
      </c>
      <c r="Q1986" t="str">
        <f>IF($G1986="","",IF(Sync!$U1982="","0000",IF(AND(ISNUMBER(Sync!$U1982),Sync!$U1982&gt;=0,Sync!$U1982&lt;1),RIGHT("00"&amp;HOUR(Sync!$U1982),2)&amp;RIGHT("00"&amp;MINUTE(Sync!$U1982),2),IFERROR(RIGHT("00"&amp;VALUE(LEFT(Sync!$U1982,FIND(":",Sync!$U1982)-1)),2)&amp;RIGHT("00"&amp;VALUE(MID(Sync!$U1982,FIND(":",Sync!$U1982)+1,2)),2),"0000"))))</f>
        <v/>
      </c>
    </row>
    <row r="1987" spans="1:17" x14ac:dyDescent="0.2">
      <c r="A1987" t="str">
        <f>IF(Sync!$T1983="","",Sync!$T1983)</f>
        <v/>
      </c>
      <c r="B1987" t="str">
        <f t="shared" si="180"/>
        <v/>
      </c>
      <c r="C1987" t="str">
        <f t="shared" si="181"/>
        <v/>
      </c>
      <c r="D1987" t="str">
        <f t="shared" si="182"/>
        <v/>
      </c>
      <c r="E1987" t="str">
        <f t="shared" si="183"/>
        <v/>
      </c>
      <c r="F1987" t="str">
        <f t="shared" si="184"/>
        <v/>
      </c>
      <c r="G1987" t="str">
        <f>IF(OR($E1987="",$E1987="نامعتبر",Sync!$X1983=""),"",IF(AND(LEFT(UPPER(TRIM(Sync!$X1983)),2)="SL",IFERROR(VLOOKUP(Sync!$W1983,OpTbl,3,0),"")="فروش"),UPPER(TRIM(Sync!$X1983)),""))</f>
        <v/>
      </c>
      <c r="H1987" t="str">
        <f>IF($G1987="","",IF(Sync!$W1983="","",Sync!$W1983))</f>
        <v/>
      </c>
      <c r="I1987" t="str">
        <f>IF(OR($G1987="",Sync!$Y1983=""),"",Sync!$Y1983)</f>
        <v/>
      </c>
      <c r="J1987" t="str">
        <f>IF(OR($G1987="",Sync!$Z1983=""),"",Sync!$Z1983)</f>
        <v/>
      </c>
      <c r="K1987">
        <f>IF($G1987="",0,IF(Sync!$AA1983="",0,Sync!$AA1983))</f>
        <v>0</v>
      </c>
      <c r="L1987">
        <f>IF($G1987="",0,IF(Sync!$AB1983="",0,Sync!$AB1983))</f>
        <v>0</v>
      </c>
      <c r="M1987" t="str">
        <f t="shared" si="185"/>
        <v/>
      </c>
      <c r="N1987">
        <f>IF($G1987="",0,IF($H1987="مرجوعی فروش",-1,1)*IF(Sync!$AC1983="",0,Sync!$AC1983))</f>
        <v>0</v>
      </c>
      <c r="O1987" t="str">
        <f>IF(OR($G1987="",Sync!$V1983=""),"",Sync!$V1983)</f>
        <v/>
      </c>
      <c r="P1987" t="str">
        <f>IF(OR($G1987="",Sync!$AD1983=""),"",Sync!$AD1983)</f>
        <v/>
      </c>
      <c r="Q1987" t="str">
        <f>IF($G1987="","",IF(Sync!$U1983="","0000",IF(AND(ISNUMBER(Sync!$U1983),Sync!$U1983&gt;=0,Sync!$U1983&lt;1),RIGHT("00"&amp;HOUR(Sync!$U1983),2)&amp;RIGHT("00"&amp;MINUTE(Sync!$U1983),2),IFERROR(RIGHT("00"&amp;VALUE(LEFT(Sync!$U1983,FIND(":",Sync!$U1983)-1)),2)&amp;RIGHT("00"&amp;VALUE(MID(Sync!$U1983,FIND(":",Sync!$U1983)+1,2)),2),"0000"))))</f>
        <v/>
      </c>
    </row>
    <row r="1988" spans="1:17" x14ac:dyDescent="0.2">
      <c r="A1988" t="str">
        <f>IF(Sync!$T1984="","",Sync!$T1984)</f>
        <v/>
      </c>
      <c r="B1988" t="str">
        <f t="shared" si="180"/>
        <v/>
      </c>
      <c r="C1988" t="str">
        <f t="shared" si="181"/>
        <v/>
      </c>
      <c r="D1988" t="str">
        <f t="shared" si="182"/>
        <v/>
      </c>
      <c r="E1988" t="str">
        <f t="shared" si="183"/>
        <v/>
      </c>
      <c r="F1988" t="str">
        <f t="shared" si="184"/>
        <v/>
      </c>
      <c r="G1988" t="str">
        <f>IF(OR($E1988="",$E1988="نامعتبر",Sync!$X1984=""),"",IF(AND(LEFT(UPPER(TRIM(Sync!$X1984)),2)="SL",IFERROR(VLOOKUP(Sync!$W1984,OpTbl,3,0),"")="فروش"),UPPER(TRIM(Sync!$X1984)),""))</f>
        <v/>
      </c>
      <c r="H1988" t="str">
        <f>IF($G1988="","",IF(Sync!$W1984="","",Sync!$W1984))</f>
        <v/>
      </c>
      <c r="I1988" t="str">
        <f>IF(OR($G1988="",Sync!$Y1984=""),"",Sync!$Y1984)</f>
        <v/>
      </c>
      <c r="J1988" t="str">
        <f>IF(OR($G1988="",Sync!$Z1984=""),"",Sync!$Z1984)</f>
        <v/>
      </c>
      <c r="K1988">
        <f>IF($G1988="",0,IF(Sync!$AA1984="",0,Sync!$AA1984))</f>
        <v>0</v>
      </c>
      <c r="L1988">
        <f>IF($G1988="",0,IF(Sync!$AB1984="",0,Sync!$AB1984))</f>
        <v>0</v>
      </c>
      <c r="M1988" t="str">
        <f t="shared" si="185"/>
        <v/>
      </c>
      <c r="N1988">
        <f>IF($G1988="",0,IF($H1988="مرجوعی فروش",-1,1)*IF(Sync!$AC1984="",0,Sync!$AC1984))</f>
        <v>0</v>
      </c>
      <c r="O1988" t="str">
        <f>IF(OR($G1988="",Sync!$V1984=""),"",Sync!$V1984)</f>
        <v/>
      </c>
      <c r="P1988" t="str">
        <f>IF(OR($G1988="",Sync!$AD1984=""),"",Sync!$AD1984)</f>
        <v/>
      </c>
      <c r="Q1988" t="str">
        <f>IF($G1988="","",IF(Sync!$U1984="","0000",IF(AND(ISNUMBER(Sync!$U1984),Sync!$U1984&gt;=0,Sync!$U1984&lt;1),RIGHT("00"&amp;HOUR(Sync!$U1984),2)&amp;RIGHT("00"&amp;MINUTE(Sync!$U1984),2),IFERROR(RIGHT("00"&amp;VALUE(LEFT(Sync!$U1984,FIND(":",Sync!$U1984)-1)),2)&amp;RIGHT("00"&amp;VALUE(MID(Sync!$U1984,FIND(":",Sync!$U1984)+1,2)),2),"0000"))))</f>
        <v/>
      </c>
    </row>
    <row r="1989" spans="1:17" x14ac:dyDescent="0.2">
      <c r="A1989" t="str">
        <f>IF(Sync!$T1985="","",Sync!$T1985)</f>
        <v/>
      </c>
      <c r="B1989" t="str">
        <f t="shared" si="180"/>
        <v/>
      </c>
      <c r="C1989" t="str">
        <f t="shared" si="181"/>
        <v/>
      </c>
      <c r="D1989" t="str">
        <f t="shared" si="182"/>
        <v/>
      </c>
      <c r="E1989" t="str">
        <f t="shared" si="183"/>
        <v/>
      </c>
      <c r="F1989" t="str">
        <f t="shared" si="184"/>
        <v/>
      </c>
      <c r="G1989" t="str">
        <f>IF(OR($E1989="",$E1989="نامعتبر",Sync!$X1985=""),"",IF(AND(LEFT(UPPER(TRIM(Sync!$X1985)),2)="SL",IFERROR(VLOOKUP(Sync!$W1985,OpTbl,3,0),"")="فروش"),UPPER(TRIM(Sync!$X1985)),""))</f>
        <v/>
      </c>
      <c r="H1989" t="str">
        <f>IF($G1989="","",IF(Sync!$W1985="","",Sync!$W1985))</f>
        <v/>
      </c>
      <c r="I1989" t="str">
        <f>IF(OR($G1989="",Sync!$Y1985=""),"",Sync!$Y1985)</f>
        <v/>
      </c>
      <c r="J1989" t="str">
        <f>IF(OR($G1989="",Sync!$Z1985=""),"",Sync!$Z1985)</f>
        <v/>
      </c>
      <c r="K1989">
        <f>IF($G1989="",0,IF(Sync!$AA1985="",0,Sync!$AA1985))</f>
        <v>0</v>
      </c>
      <c r="L1989">
        <f>IF($G1989="",0,IF(Sync!$AB1985="",0,Sync!$AB1985))</f>
        <v>0</v>
      </c>
      <c r="M1989" t="str">
        <f t="shared" si="185"/>
        <v/>
      </c>
      <c r="N1989">
        <f>IF($G1989="",0,IF($H1989="مرجوعی فروش",-1,1)*IF(Sync!$AC1985="",0,Sync!$AC1985))</f>
        <v>0</v>
      </c>
      <c r="O1989" t="str">
        <f>IF(OR($G1989="",Sync!$V1985=""),"",Sync!$V1985)</f>
        <v/>
      </c>
      <c r="P1989" t="str">
        <f>IF(OR($G1989="",Sync!$AD1985=""),"",Sync!$AD1985)</f>
        <v/>
      </c>
      <c r="Q1989" t="str">
        <f>IF($G1989="","",IF(Sync!$U1985="","0000",IF(AND(ISNUMBER(Sync!$U1985),Sync!$U1985&gt;=0,Sync!$U1985&lt;1),RIGHT("00"&amp;HOUR(Sync!$U1985),2)&amp;RIGHT("00"&amp;MINUTE(Sync!$U1985),2),IFERROR(RIGHT("00"&amp;VALUE(LEFT(Sync!$U1985,FIND(":",Sync!$U1985)-1)),2)&amp;RIGHT("00"&amp;VALUE(MID(Sync!$U1985,FIND(":",Sync!$U1985)+1,2)),2),"0000"))))</f>
        <v/>
      </c>
    </row>
    <row r="1990" spans="1:17" x14ac:dyDescent="0.2">
      <c r="A1990" t="str">
        <f>IF(Sync!$T1986="","",Sync!$T1986)</f>
        <v/>
      </c>
      <c r="B1990" t="str">
        <f t="shared" si="180"/>
        <v/>
      </c>
      <c r="C1990" t="str">
        <f t="shared" si="181"/>
        <v/>
      </c>
      <c r="D1990" t="str">
        <f t="shared" si="182"/>
        <v/>
      </c>
      <c r="E1990" t="str">
        <f t="shared" si="183"/>
        <v/>
      </c>
      <c r="F1990" t="str">
        <f t="shared" si="184"/>
        <v/>
      </c>
      <c r="G1990" t="str">
        <f>IF(OR($E1990="",$E1990="نامعتبر",Sync!$X1986=""),"",IF(AND(LEFT(UPPER(TRIM(Sync!$X1986)),2)="SL",IFERROR(VLOOKUP(Sync!$W1986,OpTbl,3,0),"")="فروش"),UPPER(TRIM(Sync!$X1986)),""))</f>
        <v/>
      </c>
      <c r="H1990" t="str">
        <f>IF($G1990="","",IF(Sync!$W1986="","",Sync!$W1986))</f>
        <v/>
      </c>
      <c r="I1990" t="str">
        <f>IF(OR($G1990="",Sync!$Y1986=""),"",Sync!$Y1986)</f>
        <v/>
      </c>
      <c r="J1990" t="str">
        <f>IF(OR($G1990="",Sync!$Z1986=""),"",Sync!$Z1986)</f>
        <v/>
      </c>
      <c r="K1990">
        <f>IF($G1990="",0,IF(Sync!$AA1986="",0,Sync!$AA1986))</f>
        <v>0</v>
      </c>
      <c r="L1990">
        <f>IF($G1990="",0,IF(Sync!$AB1986="",0,Sync!$AB1986))</f>
        <v>0</v>
      </c>
      <c r="M1990" t="str">
        <f t="shared" si="185"/>
        <v/>
      </c>
      <c r="N1990">
        <f>IF($G1990="",0,IF($H1990="مرجوعی فروش",-1,1)*IF(Sync!$AC1986="",0,Sync!$AC1986))</f>
        <v>0</v>
      </c>
      <c r="O1990" t="str">
        <f>IF(OR($G1990="",Sync!$V1986=""),"",Sync!$V1986)</f>
        <v/>
      </c>
      <c r="P1990" t="str">
        <f>IF(OR($G1990="",Sync!$AD1986=""),"",Sync!$AD1986)</f>
        <v/>
      </c>
      <c r="Q1990" t="str">
        <f>IF($G1990="","",IF(Sync!$U1986="","0000",IF(AND(ISNUMBER(Sync!$U1986),Sync!$U1986&gt;=0,Sync!$U1986&lt;1),RIGHT("00"&amp;HOUR(Sync!$U1986),2)&amp;RIGHT("00"&amp;MINUTE(Sync!$U1986),2),IFERROR(RIGHT("00"&amp;VALUE(LEFT(Sync!$U1986,FIND(":",Sync!$U1986)-1)),2)&amp;RIGHT("00"&amp;VALUE(MID(Sync!$U1986,FIND(":",Sync!$U1986)+1,2)),2),"0000"))))</f>
        <v/>
      </c>
    </row>
    <row r="1991" spans="1:17" x14ac:dyDescent="0.2">
      <c r="A1991" t="str">
        <f>IF(Sync!$T1987="","",Sync!$T1987)</f>
        <v/>
      </c>
      <c r="B1991" t="str">
        <f t="shared" si="180"/>
        <v/>
      </c>
      <c r="C1991" t="str">
        <f t="shared" si="181"/>
        <v/>
      </c>
      <c r="D1991" t="str">
        <f t="shared" si="182"/>
        <v/>
      </c>
      <c r="E1991" t="str">
        <f t="shared" si="183"/>
        <v/>
      </c>
      <c r="F1991" t="str">
        <f t="shared" si="184"/>
        <v/>
      </c>
      <c r="G1991" t="str">
        <f>IF(OR($E1991="",$E1991="نامعتبر",Sync!$X1987=""),"",IF(AND(LEFT(UPPER(TRIM(Sync!$X1987)),2)="SL",IFERROR(VLOOKUP(Sync!$W1987,OpTbl,3,0),"")="فروش"),UPPER(TRIM(Sync!$X1987)),""))</f>
        <v/>
      </c>
      <c r="H1991" t="str">
        <f>IF($G1991="","",IF(Sync!$W1987="","",Sync!$W1987))</f>
        <v/>
      </c>
      <c r="I1991" t="str">
        <f>IF(OR($G1991="",Sync!$Y1987=""),"",Sync!$Y1987)</f>
        <v/>
      </c>
      <c r="J1991" t="str">
        <f>IF(OR($G1991="",Sync!$Z1987=""),"",Sync!$Z1987)</f>
        <v/>
      </c>
      <c r="K1991">
        <f>IF($G1991="",0,IF(Sync!$AA1987="",0,Sync!$AA1987))</f>
        <v>0</v>
      </c>
      <c r="L1991">
        <f>IF($G1991="",0,IF(Sync!$AB1987="",0,Sync!$AB1987))</f>
        <v>0</v>
      </c>
      <c r="M1991" t="str">
        <f t="shared" si="185"/>
        <v/>
      </c>
      <c r="N1991">
        <f>IF($G1991="",0,IF($H1991="مرجوعی فروش",-1,1)*IF(Sync!$AC1987="",0,Sync!$AC1987))</f>
        <v>0</v>
      </c>
      <c r="O1991" t="str">
        <f>IF(OR($G1991="",Sync!$V1987=""),"",Sync!$V1987)</f>
        <v/>
      </c>
      <c r="P1991" t="str">
        <f>IF(OR($G1991="",Sync!$AD1987=""),"",Sync!$AD1987)</f>
        <v/>
      </c>
      <c r="Q1991" t="str">
        <f>IF($G1991="","",IF(Sync!$U1987="","0000",IF(AND(ISNUMBER(Sync!$U1987),Sync!$U1987&gt;=0,Sync!$U1987&lt;1),RIGHT("00"&amp;HOUR(Sync!$U1987),2)&amp;RIGHT("00"&amp;MINUTE(Sync!$U1987),2),IFERROR(RIGHT("00"&amp;VALUE(LEFT(Sync!$U1987,FIND(":",Sync!$U1987)-1)),2)&amp;RIGHT("00"&amp;VALUE(MID(Sync!$U1987,FIND(":",Sync!$U1987)+1,2)),2),"0000"))))</f>
        <v/>
      </c>
    </row>
    <row r="1992" spans="1:17" x14ac:dyDescent="0.2">
      <c r="A1992" t="str">
        <f>IF(Sync!$T1988="","",Sync!$T1988)</f>
        <v/>
      </c>
      <c r="B1992" t="str">
        <f t="shared" si="180"/>
        <v/>
      </c>
      <c r="C1992" t="str">
        <f t="shared" si="181"/>
        <v/>
      </c>
      <c r="D1992" t="str">
        <f t="shared" si="182"/>
        <v/>
      </c>
      <c r="E1992" t="str">
        <f t="shared" si="183"/>
        <v/>
      </c>
      <c r="F1992" t="str">
        <f t="shared" si="184"/>
        <v/>
      </c>
      <c r="G1992" t="str">
        <f>IF(OR($E1992="",$E1992="نامعتبر",Sync!$X1988=""),"",IF(AND(LEFT(UPPER(TRIM(Sync!$X1988)),2)="SL",IFERROR(VLOOKUP(Sync!$W1988,OpTbl,3,0),"")="فروش"),UPPER(TRIM(Sync!$X1988)),""))</f>
        <v/>
      </c>
      <c r="H1992" t="str">
        <f>IF($G1992="","",IF(Sync!$W1988="","",Sync!$W1988))</f>
        <v/>
      </c>
      <c r="I1992" t="str">
        <f>IF(OR($G1992="",Sync!$Y1988=""),"",Sync!$Y1988)</f>
        <v/>
      </c>
      <c r="J1992" t="str">
        <f>IF(OR($G1992="",Sync!$Z1988=""),"",Sync!$Z1988)</f>
        <v/>
      </c>
      <c r="K1992">
        <f>IF($G1992="",0,IF(Sync!$AA1988="",0,Sync!$AA1988))</f>
        <v>0</v>
      </c>
      <c r="L1992">
        <f>IF($G1992="",0,IF(Sync!$AB1988="",0,Sync!$AB1988))</f>
        <v>0</v>
      </c>
      <c r="M1992" t="str">
        <f t="shared" si="185"/>
        <v/>
      </c>
      <c r="N1992">
        <f>IF($G1992="",0,IF($H1992="مرجوعی فروش",-1,1)*IF(Sync!$AC1988="",0,Sync!$AC1988))</f>
        <v>0</v>
      </c>
      <c r="O1992" t="str">
        <f>IF(OR($G1992="",Sync!$V1988=""),"",Sync!$V1988)</f>
        <v/>
      </c>
      <c r="P1992" t="str">
        <f>IF(OR($G1992="",Sync!$AD1988=""),"",Sync!$AD1988)</f>
        <v/>
      </c>
      <c r="Q1992" t="str">
        <f>IF($G1992="","",IF(Sync!$U1988="","0000",IF(AND(ISNUMBER(Sync!$U1988),Sync!$U1988&gt;=0,Sync!$U1988&lt;1),RIGHT("00"&amp;HOUR(Sync!$U1988),2)&amp;RIGHT("00"&amp;MINUTE(Sync!$U1988),2),IFERROR(RIGHT("00"&amp;VALUE(LEFT(Sync!$U1988,FIND(":",Sync!$U1988)-1)),2)&amp;RIGHT("00"&amp;VALUE(MID(Sync!$U1988,FIND(":",Sync!$U1988)+1,2)),2),"0000"))))</f>
        <v/>
      </c>
    </row>
    <row r="1993" spans="1:17" x14ac:dyDescent="0.2">
      <c r="A1993" t="str">
        <f>IF(Sync!$T1989="","",Sync!$T1989)</f>
        <v/>
      </c>
      <c r="B1993" t="str">
        <f t="shared" si="180"/>
        <v/>
      </c>
      <c r="C1993" t="str">
        <f t="shared" si="181"/>
        <v/>
      </c>
      <c r="D1993" t="str">
        <f t="shared" si="182"/>
        <v/>
      </c>
      <c r="E1993" t="str">
        <f t="shared" si="183"/>
        <v/>
      </c>
      <c r="F1993" t="str">
        <f t="shared" si="184"/>
        <v/>
      </c>
      <c r="G1993" t="str">
        <f>IF(OR($E1993="",$E1993="نامعتبر",Sync!$X1989=""),"",IF(AND(LEFT(UPPER(TRIM(Sync!$X1989)),2)="SL",IFERROR(VLOOKUP(Sync!$W1989,OpTbl,3,0),"")="فروش"),UPPER(TRIM(Sync!$X1989)),""))</f>
        <v/>
      </c>
      <c r="H1993" t="str">
        <f>IF($G1993="","",IF(Sync!$W1989="","",Sync!$W1989))</f>
        <v/>
      </c>
      <c r="I1993" t="str">
        <f>IF(OR($G1993="",Sync!$Y1989=""),"",Sync!$Y1989)</f>
        <v/>
      </c>
      <c r="J1993" t="str">
        <f>IF(OR($G1993="",Sync!$Z1989=""),"",Sync!$Z1989)</f>
        <v/>
      </c>
      <c r="K1993">
        <f>IF($G1993="",0,IF(Sync!$AA1989="",0,Sync!$AA1989))</f>
        <v>0</v>
      </c>
      <c r="L1993">
        <f>IF($G1993="",0,IF(Sync!$AB1989="",0,Sync!$AB1989))</f>
        <v>0</v>
      </c>
      <c r="M1993" t="str">
        <f t="shared" si="185"/>
        <v/>
      </c>
      <c r="N1993">
        <f>IF($G1993="",0,IF($H1993="مرجوعی فروش",-1,1)*IF(Sync!$AC1989="",0,Sync!$AC1989))</f>
        <v>0</v>
      </c>
      <c r="O1993" t="str">
        <f>IF(OR($G1993="",Sync!$V1989=""),"",Sync!$V1989)</f>
        <v/>
      </c>
      <c r="P1993" t="str">
        <f>IF(OR($G1993="",Sync!$AD1989=""),"",Sync!$AD1989)</f>
        <v/>
      </c>
      <c r="Q1993" t="str">
        <f>IF($G1993="","",IF(Sync!$U1989="","0000",IF(AND(ISNUMBER(Sync!$U1989),Sync!$U1989&gt;=0,Sync!$U1989&lt;1),RIGHT("00"&amp;HOUR(Sync!$U1989),2)&amp;RIGHT("00"&amp;MINUTE(Sync!$U1989),2),IFERROR(RIGHT("00"&amp;VALUE(LEFT(Sync!$U1989,FIND(":",Sync!$U1989)-1)),2)&amp;RIGHT("00"&amp;VALUE(MID(Sync!$U1989,FIND(":",Sync!$U1989)+1,2)),2),"0000"))))</f>
        <v/>
      </c>
    </row>
    <row r="1994" spans="1:17" x14ac:dyDescent="0.2">
      <c r="A1994" t="str">
        <f>IF(Sync!$T1990="","",Sync!$T1990)</f>
        <v/>
      </c>
      <c r="B1994" t="str">
        <f t="shared" ref="B1994:B2009" si="186">IF($A1994="","",IF(ISNUMBER($A1994),IF(AND($A1994&gt;=10000101,$A1994&lt;=99991231),INT($A1994/10000),""),IFERROR(VALUE(TRIM(LEFT($A1994,FIND("/",$A1994)-1))),"")))</f>
        <v/>
      </c>
      <c r="C1994" t="str">
        <f t="shared" ref="C1994:C2009" si="187">IF(OR($A1994="",$B1994=""),"",IF(ISNUMBER($A1994),INT(MOD($A1994,10000)/100),IFERROR(VALUE(TRIM(LEFT(MID($A1994,FIND("/",$A1994)+1,20),FIND("/",MID($A1994,FIND("/",$A1994)+1,20))-1))),"")))</f>
        <v/>
      </c>
      <c r="D1994" t="str">
        <f t="shared" ref="D1994:D2009" si="188">IF(OR($A1994="",$B1994=""),"",IF(ISNUMBER($A1994),MOD($A1994,100),IFERROR(VALUE(TRIM(MID(MID($A1994,FIND("/",$A1994)+1,20),FIND("/",MID($A1994,FIND("/",$A1994)+1,20))+1,20))),"")))</f>
        <v/>
      </c>
      <c r="E1994" t="str">
        <f t="shared" ref="E1994:E2009" si="189">IF($A1994="","",IF(OR($B1994="",$C1994="",$D1994="",$B1994&lt;1300,$B1994&gt;1500,$C1994&lt;1,$C1994&gt;12,$D1994&lt;1,$D1994&gt;31),"نامعتبر",RIGHT("0000"&amp;$B1994,4)&amp;"/"&amp;RIGHT("00"&amp;$C1994,2)&amp;"/"&amp;RIGHT("00"&amp;$D1994,2)))</f>
        <v/>
      </c>
      <c r="F1994" t="str">
        <f t="shared" ref="F1994:F2009" si="190">IF(OR($E1994="",$E1994="نامعتبر"),"",LEFT($E1994,4)&amp;"/"&amp;MID($E1994,6,2))</f>
        <v/>
      </c>
      <c r="G1994" t="str">
        <f>IF(OR($E1994="",$E1994="نامعتبر",Sync!$X1990=""),"",IF(AND(LEFT(UPPER(TRIM(Sync!$X1990)),2)="SL",IFERROR(VLOOKUP(Sync!$W1990,OpTbl,3,0),"")="فروش"),UPPER(TRIM(Sync!$X1990)),""))</f>
        <v/>
      </c>
      <c r="H1994" t="str">
        <f>IF($G1994="","",IF(Sync!$W1990="","",Sync!$W1990))</f>
        <v/>
      </c>
      <c r="I1994" t="str">
        <f>IF(OR($G1994="",Sync!$Y1990=""),"",Sync!$Y1990)</f>
        <v/>
      </c>
      <c r="J1994" t="str">
        <f>IF(OR($G1994="",Sync!$Z1990=""),"",Sync!$Z1990)</f>
        <v/>
      </c>
      <c r="K1994">
        <f>IF($G1994="",0,IF(Sync!$AA1990="",0,Sync!$AA1990))</f>
        <v>0</v>
      </c>
      <c r="L1994">
        <f>IF($G1994="",0,IF(Sync!$AB1990="",0,Sync!$AB1990))</f>
        <v>0</v>
      </c>
      <c r="M1994" t="str">
        <f t="shared" ref="M1994:M2009" si="191">IF($G1994="","",IF($H1994="مرجوعی فروش",-1,1)*($K1994-$L1994*IFERROR(VLOOKUP("P01",ParamTbl,3,0),1.5)))</f>
        <v/>
      </c>
      <c r="N1994">
        <f>IF($G1994="",0,IF($H1994="مرجوعی فروش",-1,1)*IF(Sync!$AC1990="",0,Sync!$AC1990))</f>
        <v>0</v>
      </c>
      <c r="O1994" t="str">
        <f>IF(OR($G1994="",Sync!$V1990=""),"",Sync!$V1990)</f>
        <v/>
      </c>
      <c r="P1994" t="str">
        <f>IF(OR($G1994="",Sync!$AD1990=""),"",Sync!$AD1990)</f>
        <v/>
      </c>
      <c r="Q1994" t="str">
        <f>IF($G1994="","",IF(Sync!$U1990="","0000",IF(AND(ISNUMBER(Sync!$U1990),Sync!$U1990&gt;=0,Sync!$U1990&lt;1),RIGHT("00"&amp;HOUR(Sync!$U1990),2)&amp;RIGHT("00"&amp;MINUTE(Sync!$U1990),2),IFERROR(RIGHT("00"&amp;VALUE(LEFT(Sync!$U1990,FIND(":",Sync!$U1990)-1)),2)&amp;RIGHT("00"&amp;VALUE(MID(Sync!$U1990,FIND(":",Sync!$U1990)+1,2)),2),"0000"))))</f>
        <v/>
      </c>
    </row>
    <row r="1995" spans="1:17" x14ac:dyDescent="0.2">
      <c r="A1995" t="str">
        <f>IF(Sync!$T1991="","",Sync!$T1991)</f>
        <v/>
      </c>
      <c r="B1995" t="str">
        <f t="shared" si="186"/>
        <v/>
      </c>
      <c r="C1995" t="str">
        <f t="shared" si="187"/>
        <v/>
      </c>
      <c r="D1995" t="str">
        <f t="shared" si="188"/>
        <v/>
      </c>
      <c r="E1995" t="str">
        <f t="shared" si="189"/>
        <v/>
      </c>
      <c r="F1995" t="str">
        <f t="shared" si="190"/>
        <v/>
      </c>
      <c r="G1995" t="str">
        <f>IF(OR($E1995="",$E1995="نامعتبر",Sync!$X1991=""),"",IF(AND(LEFT(UPPER(TRIM(Sync!$X1991)),2)="SL",IFERROR(VLOOKUP(Sync!$W1991,OpTbl,3,0),"")="فروش"),UPPER(TRIM(Sync!$X1991)),""))</f>
        <v/>
      </c>
      <c r="H1995" t="str">
        <f>IF($G1995="","",IF(Sync!$W1991="","",Sync!$W1991))</f>
        <v/>
      </c>
      <c r="I1995" t="str">
        <f>IF(OR($G1995="",Sync!$Y1991=""),"",Sync!$Y1991)</f>
        <v/>
      </c>
      <c r="J1995" t="str">
        <f>IF(OR($G1995="",Sync!$Z1991=""),"",Sync!$Z1991)</f>
        <v/>
      </c>
      <c r="K1995">
        <f>IF($G1995="",0,IF(Sync!$AA1991="",0,Sync!$AA1991))</f>
        <v>0</v>
      </c>
      <c r="L1995">
        <f>IF($G1995="",0,IF(Sync!$AB1991="",0,Sync!$AB1991))</f>
        <v>0</v>
      </c>
      <c r="M1995" t="str">
        <f t="shared" si="191"/>
        <v/>
      </c>
      <c r="N1995">
        <f>IF($G1995="",0,IF($H1995="مرجوعی فروش",-1,1)*IF(Sync!$AC1991="",0,Sync!$AC1991))</f>
        <v>0</v>
      </c>
      <c r="O1995" t="str">
        <f>IF(OR($G1995="",Sync!$V1991=""),"",Sync!$V1991)</f>
        <v/>
      </c>
      <c r="P1995" t="str">
        <f>IF(OR($G1995="",Sync!$AD1991=""),"",Sync!$AD1991)</f>
        <v/>
      </c>
      <c r="Q1995" t="str">
        <f>IF($G1995="","",IF(Sync!$U1991="","0000",IF(AND(ISNUMBER(Sync!$U1991),Sync!$U1991&gt;=0,Sync!$U1991&lt;1),RIGHT("00"&amp;HOUR(Sync!$U1991),2)&amp;RIGHT("00"&amp;MINUTE(Sync!$U1991),2),IFERROR(RIGHT("00"&amp;VALUE(LEFT(Sync!$U1991,FIND(":",Sync!$U1991)-1)),2)&amp;RIGHT("00"&amp;VALUE(MID(Sync!$U1991,FIND(":",Sync!$U1991)+1,2)),2),"0000"))))</f>
        <v/>
      </c>
    </row>
    <row r="1996" spans="1:17" x14ac:dyDescent="0.2">
      <c r="A1996" t="str">
        <f>IF(Sync!$T1992="","",Sync!$T1992)</f>
        <v/>
      </c>
      <c r="B1996" t="str">
        <f t="shared" si="186"/>
        <v/>
      </c>
      <c r="C1996" t="str">
        <f t="shared" si="187"/>
        <v/>
      </c>
      <c r="D1996" t="str">
        <f t="shared" si="188"/>
        <v/>
      </c>
      <c r="E1996" t="str">
        <f t="shared" si="189"/>
        <v/>
      </c>
      <c r="F1996" t="str">
        <f t="shared" si="190"/>
        <v/>
      </c>
      <c r="G1996" t="str">
        <f>IF(OR($E1996="",$E1996="نامعتبر",Sync!$X1992=""),"",IF(AND(LEFT(UPPER(TRIM(Sync!$X1992)),2)="SL",IFERROR(VLOOKUP(Sync!$W1992,OpTbl,3,0),"")="فروش"),UPPER(TRIM(Sync!$X1992)),""))</f>
        <v/>
      </c>
      <c r="H1996" t="str">
        <f>IF($G1996="","",IF(Sync!$W1992="","",Sync!$W1992))</f>
        <v/>
      </c>
      <c r="I1996" t="str">
        <f>IF(OR($G1996="",Sync!$Y1992=""),"",Sync!$Y1992)</f>
        <v/>
      </c>
      <c r="J1996" t="str">
        <f>IF(OR($G1996="",Sync!$Z1992=""),"",Sync!$Z1992)</f>
        <v/>
      </c>
      <c r="K1996">
        <f>IF($G1996="",0,IF(Sync!$AA1992="",0,Sync!$AA1992))</f>
        <v>0</v>
      </c>
      <c r="L1996">
        <f>IF($G1996="",0,IF(Sync!$AB1992="",0,Sync!$AB1992))</f>
        <v>0</v>
      </c>
      <c r="M1996" t="str">
        <f t="shared" si="191"/>
        <v/>
      </c>
      <c r="N1996">
        <f>IF($G1996="",0,IF($H1996="مرجوعی فروش",-1,1)*IF(Sync!$AC1992="",0,Sync!$AC1992))</f>
        <v>0</v>
      </c>
      <c r="O1996" t="str">
        <f>IF(OR($G1996="",Sync!$V1992=""),"",Sync!$V1992)</f>
        <v/>
      </c>
      <c r="P1996" t="str">
        <f>IF(OR($G1996="",Sync!$AD1992=""),"",Sync!$AD1992)</f>
        <v/>
      </c>
      <c r="Q1996" t="str">
        <f>IF($G1996="","",IF(Sync!$U1992="","0000",IF(AND(ISNUMBER(Sync!$U1992),Sync!$U1992&gt;=0,Sync!$U1992&lt;1),RIGHT("00"&amp;HOUR(Sync!$U1992),2)&amp;RIGHT("00"&amp;MINUTE(Sync!$U1992),2),IFERROR(RIGHT("00"&amp;VALUE(LEFT(Sync!$U1992,FIND(":",Sync!$U1992)-1)),2)&amp;RIGHT("00"&amp;VALUE(MID(Sync!$U1992,FIND(":",Sync!$U1992)+1,2)),2),"0000"))))</f>
        <v/>
      </c>
    </row>
    <row r="1997" spans="1:17" x14ac:dyDescent="0.2">
      <c r="A1997" t="str">
        <f>IF(Sync!$T1993="","",Sync!$T1993)</f>
        <v/>
      </c>
      <c r="B1997" t="str">
        <f t="shared" si="186"/>
        <v/>
      </c>
      <c r="C1997" t="str">
        <f t="shared" si="187"/>
        <v/>
      </c>
      <c r="D1997" t="str">
        <f t="shared" si="188"/>
        <v/>
      </c>
      <c r="E1997" t="str">
        <f t="shared" si="189"/>
        <v/>
      </c>
      <c r="F1997" t="str">
        <f t="shared" si="190"/>
        <v/>
      </c>
      <c r="G1997" t="str">
        <f>IF(OR($E1997="",$E1997="نامعتبر",Sync!$X1993=""),"",IF(AND(LEFT(UPPER(TRIM(Sync!$X1993)),2)="SL",IFERROR(VLOOKUP(Sync!$W1993,OpTbl,3,0),"")="فروش"),UPPER(TRIM(Sync!$X1993)),""))</f>
        <v/>
      </c>
      <c r="H1997" t="str">
        <f>IF($G1997="","",IF(Sync!$W1993="","",Sync!$W1993))</f>
        <v/>
      </c>
      <c r="I1997" t="str">
        <f>IF(OR($G1997="",Sync!$Y1993=""),"",Sync!$Y1993)</f>
        <v/>
      </c>
      <c r="J1997" t="str">
        <f>IF(OR($G1997="",Sync!$Z1993=""),"",Sync!$Z1993)</f>
        <v/>
      </c>
      <c r="K1997">
        <f>IF($G1997="",0,IF(Sync!$AA1993="",0,Sync!$AA1993))</f>
        <v>0</v>
      </c>
      <c r="L1997">
        <f>IF($G1997="",0,IF(Sync!$AB1993="",0,Sync!$AB1993))</f>
        <v>0</v>
      </c>
      <c r="M1997" t="str">
        <f t="shared" si="191"/>
        <v/>
      </c>
      <c r="N1997">
        <f>IF($G1997="",0,IF($H1997="مرجوعی فروش",-1,1)*IF(Sync!$AC1993="",0,Sync!$AC1993))</f>
        <v>0</v>
      </c>
      <c r="O1997" t="str">
        <f>IF(OR($G1997="",Sync!$V1993=""),"",Sync!$V1993)</f>
        <v/>
      </c>
      <c r="P1997" t="str">
        <f>IF(OR($G1997="",Sync!$AD1993=""),"",Sync!$AD1993)</f>
        <v/>
      </c>
      <c r="Q1997" t="str">
        <f>IF($G1997="","",IF(Sync!$U1993="","0000",IF(AND(ISNUMBER(Sync!$U1993),Sync!$U1993&gt;=0,Sync!$U1993&lt;1),RIGHT("00"&amp;HOUR(Sync!$U1993),2)&amp;RIGHT("00"&amp;MINUTE(Sync!$U1993),2),IFERROR(RIGHT("00"&amp;VALUE(LEFT(Sync!$U1993,FIND(":",Sync!$U1993)-1)),2)&amp;RIGHT("00"&amp;VALUE(MID(Sync!$U1993,FIND(":",Sync!$U1993)+1,2)),2),"0000"))))</f>
        <v/>
      </c>
    </row>
    <row r="1998" spans="1:17" x14ac:dyDescent="0.2">
      <c r="A1998" t="str">
        <f>IF(Sync!$T1994="","",Sync!$T1994)</f>
        <v/>
      </c>
      <c r="B1998" t="str">
        <f t="shared" si="186"/>
        <v/>
      </c>
      <c r="C1998" t="str">
        <f t="shared" si="187"/>
        <v/>
      </c>
      <c r="D1998" t="str">
        <f t="shared" si="188"/>
        <v/>
      </c>
      <c r="E1998" t="str">
        <f t="shared" si="189"/>
        <v/>
      </c>
      <c r="F1998" t="str">
        <f t="shared" si="190"/>
        <v/>
      </c>
      <c r="G1998" t="str">
        <f>IF(OR($E1998="",$E1998="نامعتبر",Sync!$X1994=""),"",IF(AND(LEFT(UPPER(TRIM(Sync!$X1994)),2)="SL",IFERROR(VLOOKUP(Sync!$W1994,OpTbl,3,0),"")="فروش"),UPPER(TRIM(Sync!$X1994)),""))</f>
        <v/>
      </c>
      <c r="H1998" t="str">
        <f>IF($G1998="","",IF(Sync!$W1994="","",Sync!$W1994))</f>
        <v/>
      </c>
      <c r="I1998" t="str">
        <f>IF(OR($G1998="",Sync!$Y1994=""),"",Sync!$Y1994)</f>
        <v/>
      </c>
      <c r="J1998" t="str">
        <f>IF(OR($G1998="",Sync!$Z1994=""),"",Sync!$Z1994)</f>
        <v/>
      </c>
      <c r="K1998">
        <f>IF($G1998="",0,IF(Sync!$AA1994="",0,Sync!$AA1994))</f>
        <v>0</v>
      </c>
      <c r="L1998">
        <f>IF($G1998="",0,IF(Sync!$AB1994="",0,Sync!$AB1994))</f>
        <v>0</v>
      </c>
      <c r="M1998" t="str">
        <f t="shared" si="191"/>
        <v/>
      </c>
      <c r="N1998">
        <f>IF($G1998="",0,IF($H1998="مرجوعی فروش",-1,1)*IF(Sync!$AC1994="",0,Sync!$AC1994))</f>
        <v>0</v>
      </c>
      <c r="O1998" t="str">
        <f>IF(OR($G1998="",Sync!$V1994=""),"",Sync!$V1994)</f>
        <v/>
      </c>
      <c r="P1998" t="str">
        <f>IF(OR($G1998="",Sync!$AD1994=""),"",Sync!$AD1994)</f>
        <v/>
      </c>
      <c r="Q1998" t="str">
        <f>IF($G1998="","",IF(Sync!$U1994="","0000",IF(AND(ISNUMBER(Sync!$U1994),Sync!$U1994&gt;=0,Sync!$U1994&lt;1),RIGHT("00"&amp;HOUR(Sync!$U1994),2)&amp;RIGHT("00"&amp;MINUTE(Sync!$U1994),2),IFERROR(RIGHT("00"&amp;VALUE(LEFT(Sync!$U1994,FIND(":",Sync!$U1994)-1)),2)&amp;RIGHT("00"&amp;VALUE(MID(Sync!$U1994,FIND(":",Sync!$U1994)+1,2)),2),"0000"))))</f>
        <v/>
      </c>
    </row>
    <row r="1999" spans="1:17" x14ac:dyDescent="0.2">
      <c r="A1999" t="str">
        <f>IF(Sync!$T1995="","",Sync!$T1995)</f>
        <v/>
      </c>
      <c r="B1999" t="str">
        <f t="shared" si="186"/>
        <v/>
      </c>
      <c r="C1999" t="str">
        <f t="shared" si="187"/>
        <v/>
      </c>
      <c r="D1999" t="str">
        <f t="shared" si="188"/>
        <v/>
      </c>
      <c r="E1999" t="str">
        <f t="shared" si="189"/>
        <v/>
      </c>
      <c r="F1999" t="str">
        <f t="shared" si="190"/>
        <v/>
      </c>
      <c r="G1999" t="str">
        <f>IF(OR($E1999="",$E1999="نامعتبر",Sync!$X1995=""),"",IF(AND(LEFT(UPPER(TRIM(Sync!$X1995)),2)="SL",IFERROR(VLOOKUP(Sync!$W1995,OpTbl,3,0),"")="فروش"),UPPER(TRIM(Sync!$X1995)),""))</f>
        <v/>
      </c>
      <c r="H1999" t="str">
        <f>IF($G1999="","",IF(Sync!$W1995="","",Sync!$W1995))</f>
        <v/>
      </c>
      <c r="I1999" t="str">
        <f>IF(OR($G1999="",Sync!$Y1995=""),"",Sync!$Y1995)</f>
        <v/>
      </c>
      <c r="J1999" t="str">
        <f>IF(OR($G1999="",Sync!$Z1995=""),"",Sync!$Z1995)</f>
        <v/>
      </c>
      <c r="K1999">
        <f>IF($G1999="",0,IF(Sync!$AA1995="",0,Sync!$AA1995))</f>
        <v>0</v>
      </c>
      <c r="L1999">
        <f>IF($G1999="",0,IF(Sync!$AB1995="",0,Sync!$AB1995))</f>
        <v>0</v>
      </c>
      <c r="M1999" t="str">
        <f t="shared" si="191"/>
        <v/>
      </c>
      <c r="N1999">
        <f>IF($G1999="",0,IF($H1999="مرجوعی فروش",-1,1)*IF(Sync!$AC1995="",0,Sync!$AC1995))</f>
        <v>0</v>
      </c>
      <c r="O1999" t="str">
        <f>IF(OR($G1999="",Sync!$V1995=""),"",Sync!$V1995)</f>
        <v/>
      </c>
      <c r="P1999" t="str">
        <f>IF(OR($G1999="",Sync!$AD1995=""),"",Sync!$AD1995)</f>
        <v/>
      </c>
      <c r="Q1999" t="str">
        <f>IF($G1999="","",IF(Sync!$U1995="","0000",IF(AND(ISNUMBER(Sync!$U1995),Sync!$U1995&gt;=0,Sync!$U1995&lt;1),RIGHT("00"&amp;HOUR(Sync!$U1995),2)&amp;RIGHT("00"&amp;MINUTE(Sync!$U1995),2),IFERROR(RIGHT("00"&amp;VALUE(LEFT(Sync!$U1995,FIND(":",Sync!$U1995)-1)),2)&amp;RIGHT("00"&amp;VALUE(MID(Sync!$U1995,FIND(":",Sync!$U1995)+1,2)),2),"0000"))))</f>
        <v/>
      </c>
    </row>
    <row r="2000" spans="1:17" x14ac:dyDescent="0.2">
      <c r="A2000" t="str">
        <f>IF(Sync!$T1996="","",Sync!$T1996)</f>
        <v/>
      </c>
      <c r="B2000" t="str">
        <f t="shared" si="186"/>
        <v/>
      </c>
      <c r="C2000" t="str">
        <f t="shared" si="187"/>
        <v/>
      </c>
      <c r="D2000" t="str">
        <f t="shared" si="188"/>
        <v/>
      </c>
      <c r="E2000" t="str">
        <f t="shared" si="189"/>
        <v/>
      </c>
      <c r="F2000" t="str">
        <f t="shared" si="190"/>
        <v/>
      </c>
      <c r="G2000" t="str">
        <f>IF(OR($E2000="",$E2000="نامعتبر",Sync!$X1996=""),"",IF(AND(LEFT(UPPER(TRIM(Sync!$X1996)),2)="SL",IFERROR(VLOOKUP(Sync!$W1996,OpTbl,3,0),"")="فروش"),UPPER(TRIM(Sync!$X1996)),""))</f>
        <v/>
      </c>
      <c r="H2000" t="str">
        <f>IF($G2000="","",IF(Sync!$W1996="","",Sync!$W1996))</f>
        <v/>
      </c>
      <c r="I2000" t="str">
        <f>IF(OR($G2000="",Sync!$Y1996=""),"",Sync!$Y1996)</f>
        <v/>
      </c>
      <c r="J2000" t="str">
        <f>IF(OR($G2000="",Sync!$Z1996=""),"",Sync!$Z1996)</f>
        <v/>
      </c>
      <c r="K2000">
        <f>IF($G2000="",0,IF(Sync!$AA1996="",0,Sync!$AA1996))</f>
        <v>0</v>
      </c>
      <c r="L2000">
        <f>IF($G2000="",0,IF(Sync!$AB1996="",0,Sync!$AB1996))</f>
        <v>0</v>
      </c>
      <c r="M2000" t="str">
        <f t="shared" si="191"/>
        <v/>
      </c>
      <c r="N2000">
        <f>IF($G2000="",0,IF($H2000="مرجوعی فروش",-1,1)*IF(Sync!$AC1996="",0,Sync!$AC1996))</f>
        <v>0</v>
      </c>
      <c r="O2000" t="str">
        <f>IF(OR($G2000="",Sync!$V1996=""),"",Sync!$V1996)</f>
        <v/>
      </c>
      <c r="P2000" t="str">
        <f>IF(OR($G2000="",Sync!$AD1996=""),"",Sync!$AD1996)</f>
        <v/>
      </c>
      <c r="Q2000" t="str">
        <f>IF($G2000="","",IF(Sync!$U1996="","0000",IF(AND(ISNUMBER(Sync!$U1996),Sync!$U1996&gt;=0,Sync!$U1996&lt;1),RIGHT("00"&amp;HOUR(Sync!$U1996),2)&amp;RIGHT("00"&amp;MINUTE(Sync!$U1996),2),IFERROR(RIGHT("00"&amp;VALUE(LEFT(Sync!$U1996,FIND(":",Sync!$U1996)-1)),2)&amp;RIGHT("00"&amp;VALUE(MID(Sync!$U1996,FIND(":",Sync!$U1996)+1,2)),2),"0000"))))</f>
        <v/>
      </c>
    </row>
    <row r="2001" spans="1:17" x14ac:dyDescent="0.2">
      <c r="A2001" t="str">
        <f>IF(Sync!$T1997="","",Sync!$T1997)</f>
        <v/>
      </c>
      <c r="B2001" t="str">
        <f t="shared" si="186"/>
        <v/>
      </c>
      <c r="C2001" t="str">
        <f t="shared" si="187"/>
        <v/>
      </c>
      <c r="D2001" t="str">
        <f t="shared" si="188"/>
        <v/>
      </c>
      <c r="E2001" t="str">
        <f t="shared" si="189"/>
        <v/>
      </c>
      <c r="F2001" t="str">
        <f t="shared" si="190"/>
        <v/>
      </c>
      <c r="G2001" t="str">
        <f>IF(OR($E2001="",$E2001="نامعتبر",Sync!$X1997=""),"",IF(AND(LEFT(UPPER(TRIM(Sync!$X1997)),2)="SL",IFERROR(VLOOKUP(Sync!$W1997,OpTbl,3,0),"")="فروش"),UPPER(TRIM(Sync!$X1997)),""))</f>
        <v/>
      </c>
      <c r="H2001" t="str">
        <f>IF($G2001="","",IF(Sync!$W1997="","",Sync!$W1997))</f>
        <v/>
      </c>
      <c r="I2001" t="str">
        <f>IF(OR($G2001="",Sync!$Y1997=""),"",Sync!$Y1997)</f>
        <v/>
      </c>
      <c r="J2001" t="str">
        <f>IF(OR($G2001="",Sync!$Z1997=""),"",Sync!$Z1997)</f>
        <v/>
      </c>
      <c r="K2001">
        <f>IF($G2001="",0,IF(Sync!$AA1997="",0,Sync!$AA1997))</f>
        <v>0</v>
      </c>
      <c r="L2001">
        <f>IF($G2001="",0,IF(Sync!$AB1997="",0,Sync!$AB1997))</f>
        <v>0</v>
      </c>
      <c r="M2001" t="str">
        <f t="shared" si="191"/>
        <v/>
      </c>
      <c r="N2001">
        <f>IF($G2001="",0,IF($H2001="مرجوعی فروش",-1,1)*IF(Sync!$AC1997="",0,Sync!$AC1997))</f>
        <v>0</v>
      </c>
      <c r="O2001" t="str">
        <f>IF(OR($G2001="",Sync!$V1997=""),"",Sync!$V1997)</f>
        <v/>
      </c>
      <c r="P2001" t="str">
        <f>IF(OR($G2001="",Sync!$AD1997=""),"",Sync!$AD1997)</f>
        <v/>
      </c>
      <c r="Q2001" t="str">
        <f>IF($G2001="","",IF(Sync!$U1997="","0000",IF(AND(ISNUMBER(Sync!$U1997),Sync!$U1997&gt;=0,Sync!$U1997&lt;1),RIGHT("00"&amp;HOUR(Sync!$U1997),2)&amp;RIGHT("00"&amp;MINUTE(Sync!$U1997),2),IFERROR(RIGHT("00"&amp;VALUE(LEFT(Sync!$U1997,FIND(":",Sync!$U1997)-1)),2)&amp;RIGHT("00"&amp;VALUE(MID(Sync!$U1997,FIND(":",Sync!$U1997)+1,2)),2),"0000"))))</f>
        <v/>
      </c>
    </row>
    <row r="2002" spans="1:17" x14ac:dyDescent="0.2">
      <c r="A2002" t="str">
        <f>IF(Sync!$T1998="","",Sync!$T1998)</f>
        <v/>
      </c>
      <c r="B2002" t="str">
        <f t="shared" si="186"/>
        <v/>
      </c>
      <c r="C2002" t="str">
        <f t="shared" si="187"/>
        <v/>
      </c>
      <c r="D2002" t="str">
        <f t="shared" si="188"/>
        <v/>
      </c>
      <c r="E2002" t="str">
        <f t="shared" si="189"/>
        <v/>
      </c>
      <c r="F2002" t="str">
        <f t="shared" si="190"/>
        <v/>
      </c>
      <c r="G2002" t="str">
        <f>IF(OR($E2002="",$E2002="نامعتبر",Sync!$X1998=""),"",IF(AND(LEFT(UPPER(TRIM(Sync!$X1998)),2)="SL",IFERROR(VLOOKUP(Sync!$W1998,OpTbl,3,0),"")="فروش"),UPPER(TRIM(Sync!$X1998)),""))</f>
        <v/>
      </c>
      <c r="H2002" t="str">
        <f>IF($G2002="","",IF(Sync!$W1998="","",Sync!$W1998))</f>
        <v/>
      </c>
      <c r="I2002" t="str">
        <f>IF(OR($G2002="",Sync!$Y1998=""),"",Sync!$Y1998)</f>
        <v/>
      </c>
      <c r="J2002" t="str">
        <f>IF(OR($G2002="",Sync!$Z1998=""),"",Sync!$Z1998)</f>
        <v/>
      </c>
      <c r="K2002">
        <f>IF($G2002="",0,IF(Sync!$AA1998="",0,Sync!$AA1998))</f>
        <v>0</v>
      </c>
      <c r="L2002">
        <f>IF($G2002="",0,IF(Sync!$AB1998="",0,Sync!$AB1998))</f>
        <v>0</v>
      </c>
      <c r="M2002" t="str">
        <f t="shared" si="191"/>
        <v/>
      </c>
      <c r="N2002">
        <f>IF($G2002="",0,IF($H2002="مرجوعی فروش",-1,1)*IF(Sync!$AC1998="",0,Sync!$AC1998))</f>
        <v>0</v>
      </c>
      <c r="O2002" t="str">
        <f>IF(OR($G2002="",Sync!$V1998=""),"",Sync!$V1998)</f>
        <v/>
      </c>
      <c r="P2002" t="str">
        <f>IF(OR($G2002="",Sync!$AD1998=""),"",Sync!$AD1998)</f>
        <v/>
      </c>
      <c r="Q2002" t="str">
        <f>IF($G2002="","",IF(Sync!$U1998="","0000",IF(AND(ISNUMBER(Sync!$U1998),Sync!$U1998&gt;=0,Sync!$U1998&lt;1),RIGHT("00"&amp;HOUR(Sync!$U1998),2)&amp;RIGHT("00"&amp;MINUTE(Sync!$U1998),2),IFERROR(RIGHT("00"&amp;VALUE(LEFT(Sync!$U1998,FIND(":",Sync!$U1998)-1)),2)&amp;RIGHT("00"&amp;VALUE(MID(Sync!$U1998,FIND(":",Sync!$U1998)+1,2)),2),"0000"))))</f>
        <v/>
      </c>
    </row>
    <row r="2003" spans="1:17" x14ac:dyDescent="0.2">
      <c r="A2003" t="str">
        <f>IF(Sync!$T1999="","",Sync!$T1999)</f>
        <v/>
      </c>
      <c r="B2003" t="str">
        <f t="shared" si="186"/>
        <v/>
      </c>
      <c r="C2003" t="str">
        <f t="shared" si="187"/>
        <v/>
      </c>
      <c r="D2003" t="str">
        <f t="shared" si="188"/>
        <v/>
      </c>
      <c r="E2003" t="str">
        <f t="shared" si="189"/>
        <v/>
      </c>
      <c r="F2003" t="str">
        <f t="shared" si="190"/>
        <v/>
      </c>
      <c r="G2003" t="str">
        <f>IF(OR($E2003="",$E2003="نامعتبر",Sync!$X1999=""),"",IF(AND(LEFT(UPPER(TRIM(Sync!$X1999)),2)="SL",IFERROR(VLOOKUP(Sync!$W1999,OpTbl,3,0),"")="فروش"),UPPER(TRIM(Sync!$X1999)),""))</f>
        <v/>
      </c>
      <c r="H2003" t="str">
        <f>IF($G2003="","",IF(Sync!$W1999="","",Sync!$W1999))</f>
        <v/>
      </c>
      <c r="I2003" t="str">
        <f>IF(OR($G2003="",Sync!$Y1999=""),"",Sync!$Y1999)</f>
        <v/>
      </c>
      <c r="J2003" t="str">
        <f>IF(OR($G2003="",Sync!$Z1999=""),"",Sync!$Z1999)</f>
        <v/>
      </c>
      <c r="K2003">
        <f>IF($G2003="",0,IF(Sync!$AA1999="",0,Sync!$AA1999))</f>
        <v>0</v>
      </c>
      <c r="L2003">
        <f>IF($G2003="",0,IF(Sync!$AB1999="",0,Sync!$AB1999))</f>
        <v>0</v>
      </c>
      <c r="M2003" t="str">
        <f t="shared" si="191"/>
        <v/>
      </c>
      <c r="N2003">
        <f>IF($G2003="",0,IF($H2003="مرجوعی فروش",-1,1)*IF(Sync!$AC1999="",0,Sync!$AC1999))</f>
        <v>0</v>
      </c>
      <c r="O2003" t="str">
        <f>IF(OR($G2003="",Sync!$V1999=""),"",Sync!$V1999)</f>
        <v/>
      </c>
      <c r="P2003" t="str">
        <f>IF(OR($G2003="",Sync!$AD1999=""),"",Sync!$AD1999)</f>
        <v/>
      </c>
      <c r="Q2003" t="str">
        <f>IF($G2003="","",IF(Sync!$U1999="","0000",IF(AND(ISNUMBER(Sync!$U1999),Sync!$U1999&gt;=0,Sync!$U1999&lt;1),RIGHT("00"&amp;HOUR(Sync!$U1999),2)&amp;RIGHT("00"&amp;MINUTE(Sync!$U1999),2),IFERROR(RIGHT("00"&amp;VALUE(LEFT(Sync!$U1999,FIND(":",Sync!$U1999)-1)),2)&amp;RIGHT("00"&amp;VALUE(MID(Sync!$U1999,FIND(":",Sync!$U1999)+1,2)),2),"0000"))))</f>
        <v/>
      </c>
    </row>
    <row r="2004" spans="1:17" x14ac:dyDescent="0.2">
      <c r="A2004" t="str">
        <f>IF(Sync!$T2000="","",Sync!$T2000)</f>
        <v/>
      </c>
      <c r="B2004" t="str">
        <f t="shared" si="186"/>
        <v/>
      </c>
      <c r="C2004" t="str">
        <f t="shared" si="187"/>
        <v/>
      </c>
      <c r="D2004" t="str">
        <f t="shared" si="188"/>
        <v/>
      </c>
      <c r="E2004" t="str">
        <f t="shared" si="189"/>
        <v/>
      </c>
      <c r="F2004" t="str">
        <f t="shared" si="190"/>
        <v/>
      </c>
      <c r="G2004" t="str">
        <f>IF(OR($E2004="",$E2004="نامعتبر",Sync!$X2000=""),"",IF(AND(LEFT(UPPER(TRIM(Sync!$X2000)),2)="SL",IFERROR(VLOOKUP(Sync!$W2000,OpTbl,3,0),"")="فروش"),UPPER(TRIM(Sync!$X2000)),""))</f>
        <v/>
      </c>
      <c r="H2004" t="str">
        <f>IF($G2004="","",IF(Sync!$W2000="","",Sync!$W2000))</f>
        <v/>
      </c>
      <c r="I2004" t="str">
        <f>IF(OR($G2004="",Sync!$Y2000=""),"",Sync!$Y2000)</f>
        <v/>
      </c>
      <c r="J2004" t="str">
        <f>IF(OR($G2004="",Sync!$Z2000=""),"",Sync!$Z2000)</f>
        <v/>
      </c>
      <c r="K2004">
        <f>IF($G2004="",0,IF(Sync!$AA2000="",0,Sync!$AA2000))</f>
        <v>0</v>
      </c>
      <c r="L2004">
        <f>IF($G2004="",0,IF(Sync!$AB2000="",0,Sync!$AB2000))</f>
        <v>0</v>
      </c>
      <c r="M2004" t="str">
        <f t="shared" si="191"/>
        <v/>
      </c>
      <c r="N2004">
        <f>IF($G2004="",0,IF($H2004="مرجوعی فروش",-1,1)*IF(Sync!$AC2000="",0,Sync!$AC2000))</f>
        <v>0</v>
      </c>
      <c r="O2004" t="str">
        <f>IF(OR($G2004="",Sync!$V2000=""),"",Sync!$V2000)</f>
        <v/>
      </c>
      <c r="P2004" t="str">
        <f>IF(OR($G2004="",Sync!$AD2000=""),"",Sync!$AD2000)</f>
        <v/>
      </c>
      <c r="Q2004" t="str">
        <f>IF($G2004="","",IF(Sync!$U2000="","0000",IF(AND(ISNUMBER(Sync!$U2000),Sync!$U2000&gt;=0,Sync!$U2000&lt;1),RIGHT("00"&amp;HOUR(Sync!$U2000),2)&amp;RIGHT("00"&amp;MINUTE(Sync!$U2000),2),IFERROR(RIGHT("00"&amp;VALUE(LEFT(Sync!$U2000,FIND(":",Sync!$U2000)-1)),2)&amp;RIGHT("00"&amp;VALUE(MID(Sync!$U2000,FIND(":",Sync!$U2000)+1,2)),2),"0000"))))</f>
        <v/>
      </c>
    </row>
    <row r="2005" spans="1:17" x14ac:dyDescent="0.2">
      <c r="A2005" t="str">
        <f>IF(Sync!$T2001="","",Sync!$T2001)</f>
        <v/>
      </c>
      <c r="B2005" t="str">
        <f t="shared" si="186"/>
        <v/>
      </c>
      <c r="C2005" t="str">
        <f t="shared" si="187"/>
        <v/>
      </c>
      <c r="D2005" t="str">
        <f t="shared" si="188"/>
        <v/>
      </c>
      <c r="E2005" t="str">
        <f t="shared" si="189"/>
        <v/>
      </c>
      <c r="F2005" t="str">
        <f t="shared" si="190"/>
        <v/>
      </c>
      <c r="G2005" t="str">
        <f>IF(OR($E2005="",$E2005="نامعتبر",Sync!$X2001=""),"",IF(AND(LEFT(UPPER(TRIM(Sync!$X2001)),2)="SL",IFERROR(VLOOKUP(Sync!$W2001,OpTbl,3,0),"")="فروش"),UPPER(TRIM(Sync!$X2001)),""))</f>
        <v/>
      </c>
      <c r="H2005" t="str">
        <f>IF($G2005="","",IF(Sync!$W2001="","",Sync!$W2001))</f>
        <v/>
      </c>
      <c r="I2005" t="str">
        <f>IF(OR($G2005="",Sync!$Y2001=""),"",Sync!$Y2001)</f>
        <v/>
      </c>
      <c r="J2005" t="str">
        <f>IF(OR($G2005="",Sync!$Z2001=""),"",Sync!$Z2001)</f>
        <v/>
      </c>
      <c r="K2005">
        <f>IF($G2005="",0,IF(Sync!$AA2001="",0,Sync!$AA2001))</f>
        <v>0</v>
      </c>
      <c r="L2005">
        <f>IF($G2005="",0,IF(Sync!$AB2001="",0,Sync!$AB2001))</f>
        <v>0</v>
      </c>
      <c r="M2005" t="str">
        <f t="shared" si="191"/>
        <v/>
      </c>
      <c r="N2005">
        <f>IF($G2005="",0,IF($H2005="مرجوعی فروش",-1,1)*IF(Sync!$AC2001="",0,Sync!$AC2001))</f>
        <v>0</v>
      </c>
      <c r="O2005" t="str">
        <f>IF(OR($G2005="",Sync!$V2001=""),"",Sync!$V2001)</f>
        <v/>
      </c>
      <c r="P2005" t="str">
        <f>IF(OR($G2005="",Sync!$AD2001=""),"",Sync!$AD2001)</f>
        <v/>
      </c>
      <c r="Q2005" t="str">
        <f>IF($G2005="","",IF(Sync!$U2001="","0000",IF(AND(ISNUMBER(Sync!$U2001),Sync!$U2001&gt;=0,Sync!$U2001&lt;1),RIGHT("00"&amp;HOUR(Sync!$U2001),2)&amp;RIGHT("00"&amp;MINUTE(Sync!$U2001),2),IFERROR(RIGHT("00"&amp;VALUE(LEFT(Sync!$U2001,FIND(":",Sync!$U2001)-1)),2)&amp;RIGHT("00"&amp;VALUE(MID(Sync!$U2001,FIND(":",Sync!$U2001)+1,2)),2),"0000"))))</f>
        <v/>
      </c>
    </row>
    <row r="2006" spans="1:17" x14ac:dyDescent="0.2">
      <c r="A2006" t="str">
        <f>IF(Sync!$T2002="","",Sync!$T2002)</f>
        <v/>
      </c>
      <c r="B2006" t="str">
        <f t="shared" si="186"/>
        <v/>
      </c>
      <c r="C2006" t="str">
        <f t="shared" si="187"/>
        <v/>
      </c>
      <c r="D2006" t="str">
        <f t="shared" si="188"/>
        <v/>
      </c>
      <c r="E2006" t="str">
        <f t="shared" si="189"/>
        <v/>
      </c>
      <c r="F2006" t="str">
        <f t="shared" si="190"/>
        <v/>
      </c>
      <c r="G2006" t="str">
        <f>IF(OR($E2006="",$E2006="نامعتبر",Sync!$X2002=""),"",IF(AND(LEFT(UPPER(TRIM(Sync!$X2002)),2)="SL",IFERROR(VLOOKUP(Sync!$W2002,OpTbl,3,0),"")="فروش"),UPPER(TRIM(Sync!$X2002)),""))</f>
        <v/>
      </c>
      <c r="H2006" t="str">
        <f>IF($G2006="","",IF(Sync!$W2002="","",Sync!$W2002))</f>
        <v/>
      </c>
      <c r="I2006" t="str">
        <f>IF(OR($G2006="",Sync!$Y2002=""),"",Sync!$Y2002)</f>
        <v/>
      </c>
      <c r="J2006" t="str">
        <f>IF(OR($G2006="",Sync!$Z2002=""),"",Sync!$Z2002)</f>
        <v/>
      </c>
      <c r="K2006">
        <f>IF($G2006="",0,IF(Sync!$AA2002="",0,Sync!$AA2002))</f>
        <v>0</v>
      </c>
      <c r="L2006">
        <f>IF($G2006="",0,IF(Sync!$AB2002="",0,Sync!$AB2002))</f>
        <v>0</v>
      </c>
      <c r="M2006" t="str">
        <f t="shared" si="191"/>
        <v/>
      </c>
      <c r="N2006">
        <f>IF($G2006="",0,IF($H2006="مرجوعی فروش",-1,1)*IF(Sync!$AC2002="",0,Sync!$AC2002))</f>
        <v>0</v>
      </c>
      <c r="O2006" t="str">
        <f>IF(OR($G2006="",Sync!$V2002=""),"",Sync!$V2002)</f>
        <v/>
      </c>
      <c r="P2006" t="str">
        <f>IF(OR($G2006="",Sync!$AD2002=""),"",Sync!$AD2002)</f>
        <v/>
      </c>
      <c r="Q2006" t="str">
        <f>IF($G2006="","",IF(Sync!$U2002="","0000",IF(AND(ISNUMBER(Sync!$U2002),Sync!$U2002&gt;=0,Sync!$U2002&lt;1),RIGHT("00"&amp;HOUR(Sync!$U2002),2)&amp;RIGHT("00"&amp;MINUTE(Sync!$U2002),2),IFERROR(RIGHT("00"&amp;VALUE(LEFT(Sync!$U2002,FIND(":",Sync!$U2002)-1)),2)&amp;RIGHT("00"&amp;VALUE(MID(Sync!$U2002,FIND(":",Sync!$U2002)+1,2)),2),"0000"))))</f>
        <v/>
      </c>
    </row>
    <row r="2007" spans="1:17" x14ac:dyDescent="0.2">
      <c r="A2007" t="str">
        <f>IF(Sync!$T2003="","",Sync!$T2003)</f>
        <v/>
      </c>
      <c r="B2007" t="str">
        <f t="shared" si="186"/>
        <v/>
      </c>
      <c r="C2007" t="str">
        <f t="shared" si="187"/>
        <v/>
      </c>
      <c r="D2007" t="str">
        <f t="shared" si="188"/>
        <v/>
      </c>
      <c r="E2007" t="str">
        <f t="shared" si="189"/>
        <v/>
      </c>
      <c r="F2007" t="str">
        <f t="shared" si="190"/>
        <v/>
      </c>
      <c r="G2007" t="str">
        <f>IF(OR($E2007="",$E2007="نامعتبر",Sync!$X2003=""),"",IF(AND(LEFT(UPPER(TRIM(Sync!$X2003)),2)="SL",IFERROR(VLOOKUP(Sync!$W2003,OpTbl,3,0),"")="فروش"),UPPER(TRIM(Sync!$X2003)),""))</f>
        <v/>
      </c>
      <c r="H2007" t="str">
        <f>IF($G2007="","",IF(Sync!$W2003="","",Sync!$W2003))</f>
        <v/>
      </c>
      <c r="I2007" t="str">
        <f>IF(OR($G2007="",Sync!$Y2003=""),"",Sync!$Y2003)</f>
        <v/>
      </c>
      <c r="J2007" t="str">
        <f>IF(OR($G2007="",Sync!$Z2003=""),"",Sync!$Z2003)</f>
        <v/>
      </c>
      <c r="K2007">
        <f>IF($G2007="",0,IF(Sync!$AA2003="",0,Sync!$AA2003))</f>
        <v>0</v>
      </c>
      <c r="L2007">
        <f>IF($G2007="",0,IF(Sync!$AB2003="",0,Sync!$AB2003))</f>
        <v>0</v>
      </c>
      <c r="M2007" t="str">
        <f t="shared" si="191"/>
        <v/>
      </c>
      <c r="N2007">
        <f>IF($G2007="",0,IF($H2007="مرجوعی فروش",-1,1)*IF(Sync!$AC2003="",0,Sync!$AC2003))</f>
        <v>0</v>
      </c>
      <c r="O2007" t="str">
        <f>IF(OR($G2007="",Sync!$V2003=""),"",Sync!$V2003)</f>
        <v/>
      </c>
      <c r="P2007" t="str">
        <f>IF(OR($G2007="",Sync!$AD2003=""),"",Sync!$AD2003)</f>
        <v/>
      </c>
      <c r="Q2007" t="str">
        <f>IF($G2007="","",IF(Sync!$U2003="","0000",IF(AND(ISNUMBER(Sync!$U2003),Sync!$U2003&gt;=0,Sync!$U2003&lt;1),RIGHT("00"&amp;HOUR(Sync!$U2003),2)&amp;RIGHT("00"&amp;MINUTE(Sync!$U2003),2),IFERROR(RIGHT("00"&amp;VALUE(LEFT(Sync!$U2003,FIND(":",Sync!$U2003)-1)),2)&amp;RIGHT("00"&amp;VALUE(MID(Sync!$U2003,FIND(":",Sync!$U2003)+1,2)),2),"0000"))))</f>
        <v/>
      </c>
    </row>
    <row r="2008" spans="1:17" x14ac:dyDescent="0.2">
      <c r="A2008" t="str">
        <f>IF(Sync!$T2004="","",Sync!$T2004)</f>
        <v/>
      </c>
      <c r="B2008" t="str">
        <f t="shared" si="186"/>
        <v/>
      </c>
      <c r="C2008" t="str">
        <f t="shared" si="187"/>
        <v/>
      </c>
      <c r="D2008" t="str">
        <f t="shared" si="188"/>
        <v/>
      </c>
      <c r="E2008" t="str">
        <f t="shared" si="189"/>
        <v/>
      </c>
      <c r="F2008" t="str">
        <f t="shared" si="190"/>
        <v/>
      </c>
      <c r="G2008" t="str">
        <f>IF(OR($E2008="",$E2008="نامعتبر",Sync!$X2004=""),"",IF(AND(LEFT(UPPER(TRIM(Sync!$X2004)),2)="SL",IFERROR(VLOOKUP(Sync!$W2004,OpTbl,3,0),"")="فروش"),UPPER(TRIM(Sync!$X2004)),""))</f>
        <v/>
      </c>
      <c r="H2008" t="str">
        <f>IF($G2008="","",IF(Sync!$W2004="","",Sync!$W2004))</f>
        <v/>
      </c>
      <c r="I2008" t="str">
        <f>IF(OR($G2008="",Sync!$Y2004=""),"",Sync!$Y2004)</f>
        <v/>
      </c>
      <c r="J2008" t="str">
        <f>IF(OR($G2008="",Sync!$Z2004=""),"",Sync!$Z2004)</f>
        <v/>
      </c>
      <c r="K2008">
        <f>IF($G2008="",0,IF(Sync!$AA2004="",0,Sync!$AA2004))</f>
        <v>0</v>
      </c>
      <c r="L2008">
        <f>IF($G2008="",0,IF(Sync!$AB2004="",0,Sync!$AB2004))</f>
        <v>0</v>
      </c>
      <c r="M2008" t="str">
        <f t="shared" si="191"/>
        <v/>
      </c>
      <c r="N2008">
        <f>IF($G2008="",0,IF($H2008="مرجوعی فروش",-1,1)*IF(Sync!$AC2004="",0,Sync!$AC2004))</f>
        <v>0</v>
      </c>
      <c r="O2008" t="str">
        <f>IF(OR($G2008="",Sync!$V2004=""),"",Sync!$V2004)</f>
        <v/>
      </c>
      <c r="P2008" t="str">
        <f>IF(OR($G2008="",Sync!$AD2004=""),"",Sync!$AD2004)</f>
        <v/>
      </c>
      <c r="Q2008" t="str">
        <f>IF($G2008="","",IF(Sync!$U2004="","0000",IF(AND(ISNUMBER(Sync!$U2004),Sync!$U2004&gt;=0,Sync!$U2004&lt;1),RIGHT("00"&amp;HOUR(Sync!$U2004),2)&amp;RIGHT("00"&amp;MINUTE(Sync!$U2004),2),IFERROR(RIGHT("00"&amp;VALUE(LEFT(Sync!$U2004,FIND(":",Sync!$U2004)-1)),2)&amp;RIGHT("00"&amp;VALUE(MID(Sync!$U2004,FIND(":",Sync!$U2004)+1,2)),2),"0000"))))</f>
        <v/>
      </c>
    </row>
    <row r="2009" spans="1:17" x14ac:dyDescent="0.2">
      <c r="A2009" t="str">
        <f>IF(Sync!$T2005="","",Sync!$T2005)</f>
        <v/>
      </c>
      <c r="B2009" t="str">
        <f t="shared" si="186"/>
        <v/>
      </c>
      <c r="C2009" t="str">
        <f t="shared" si="187"/>
        <v/>
      </c>
      <c r="D2009" t="str">
        <f t="shared" si="188"/>
        <v/>
      </c>
      <c r="E2009" t="str">
        <f t="shared" si="189"/>
        <v/>
      </c>
      <c r="F2009" t="str">
        <f t="shared" si="190"/>
        <v/>
      </c>
      <c r="G2009" t="str">
        <f>IF(OR($E2009="",$E2009="نامعتبر",Sync!$X2005=""),"",IF(AND(LEFT(UPPER(TRIM(Sync!$X2005)),2)="SL",IFERROR(VLOOKUP(Sync!$W2005,OpTbl,3,0),"")="فروش"),UPPER(TRIM(Sync!$X2005)),""))</f>
        <v/>
      </c>
      <c r="H2009" t="str">
        <f>IF($G2009="","",IF(Sync!$W2005="","",Sync!$W2005))</f>
        <v/>
      </c>
      <c r="I2009" t="str">
        <f>IF(OR($G2009="",Sync!$Y2005=""),"",Sync!$Y2005)</f>
        <v/>
      </c>
      <c r="J2009" t="str">
        <f>IF(OR($G2009="",Sync!$Z2005=""),"",Sync!$Z2005)</f>
        <v/>
      </c>
      <c r="K2009">
        <f>IF($G2009="",0,IF(Sync!$AA2005="",0,Sync!$AA2005))</f>
        <v>0</v>
      </c>
      <c r="L2009">
        <f>IF($G2009="",0,IF(Sync!$AB2005="",0,Sync!$AB2005))</f>
        <v>0</v>
      </c>
      <c r="M2009" t="str">
        <f t="shared" si="191"/>
        <v/>
      </c>
      <c r="N2009">
        <f>IF($G2009="",0,IF($H2009="مرجوعی فروش",-1,1)*IF(Sync!$AC2005="",0,Sync!$AC2005))</f>
        <v>0</v>
      </c>
      <c r="O2009" t="str">
        <f>IF(OR($G2009="",Sync!$V2005=""),"",Sync!$V2005)</f>
        <v/>
      </c>
      <c r="P2009" t="str">
        <f>IF(OR($G2009="",Sync!$AD2005=""),"",Sync!$AD2005)</f>
        <v/>
      </c>
      <c r="Q2009" t="str">
        <f>IF($G2009="","",IF(Sync!$U2005="","0000",IF(AND(ISNUMBER(Sync!$U2005),Sync!$U2005&gt;=0,Sync!$U2005&lt;1),RIGHT("00"&amp;HOUR(Sync!$U2005),2)&amp;RIGHT("00"&amp;MINUTE(Sync!$U2005),2),IFERROR(RIGHT("00"&amp;VALUE(LEFT(Sync!$U2005,FIND(":",Sync!$U2005)-1)),2)&amp;RIGHT("00"&amp;VALUE(MID(Sync!$U2005,FIND(":",Sync!$U2005)+1,2)),2),"0000"))))</f>
        <v/>
      </c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A4AE"/>
  </sheetPr>
  <dimension ref="A1:N2005"/>
  <sheetViews>
    <sheetView showGridLines="0" workbookViewId="0">
      <pane ySplit="5" topLeftCell="A6" activePane="bottomLeft" state="frozen"/>
      <selection pane="bottomLeft"/>
    </sheetView>
  </sheetViews>
  <sheetFormatPr defaultRowHeight="14.25" x14ac:dyDescent="0.2"/>
  <cols>
    <col min="1" max="1" width="9" customWidth="1"/>
    <col min="2" max="2" width="18" customWidth="1"/>
    <col min="3" max="3" width="7" customWidth="1"/>
    <col min="4" max="4" width="15" customWidth="1"/>
    <col min="6" max="6" width="9" customWidth="1"/>
    <col min="7" max="9" width="6" customWidth="1"/>
    <col min="10" max="10" width="12" customWidth="1"/>
    <col min="11" max="11" width="18" customWidth="1"/>
    <col min="12" max="12" width="7" customWidth="1"/>
    <col min="13" max="13" width="15" customWidth="1"/>
    <col min="14" max="14" width="8" customWidth="1"/>
  </cols>
  <sheetData>
    <row r="1" spans="1:14" ht="26.1" customHeight="1" x14ac:dyDescent="0.2">
      <c r="A1" s="19" t="s">
        <v>35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4.1" customHeight="1" x14ac:dyDescent="0.2">
      <c r="A2" s="27" t="s">
        <v>36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x14ac:dyDescent="0.2">
      <c r="A3" s="34" t="s">
        <v>90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</row>
    <row r="5" spans="1:14" x14ac:dyDescent="0.2">
      <c r="A5" s="17" t="s">
        <v>91</v>
      </c>
      <c r="B5" s="17" t="s">
        <v>92</v>
      </c>
      <c r="C5" s="17" t="s">
        <v>93</v>
      </c>
      <c r="D5" s="17" t="s">
        <v>94</v>
      </c>
      <c r="F5" s="18" t="s">
        <v>95</v>
      </c>
      <c r="G5" s="18" t="s">
        <v>96</v>
      </c>
      <c r="H5" s="18" t="s">
        <v>97</v>
      </c>
      <c r="I5" s="18" t="s">
        <v>98</v>
      </c>
      <c r="J5" s="18" t="s">
        <v>99</v>
      </c>
      <c r="K5" s="18" t="s">
        <v>100</v>
      </c>
      <c r="L5" s="18" t="s">
        <v>101</v>
      </c>
      <c r="M5" s="18" t="s">
        <v>102</v>
      </c>
      <c r="N5" s="18" t="s">
        <v>103</v>
      </c>
    </row>
    <row r="6" spans="1:14" x14ac:dyDescent="0.2">
      <c r="A6" t="str">
        <f>IF(OR(Calc!$E10="",Calc!$E10="نامعتبر",Calc!$G10=""),"",Calc!$G10)</f>
        <v/>
      </c>
      <c r="B6" t="str">
        <f>IF($A6="","",LEFT(Calc!$E10,4)&amp;MID(Calc!$E10,6,2)&amp;RIGHT(Calc!$E10,2)&amp;Calc!$Q10&amp;"|"&amp;"1"&amp;RIGHT("00000"&amp;1,5))</f>
        <v/>
      </c>
      <c r="C6" t="str">
        <f t="shared" ref="C6:C69" si="0">IF($B6="","",COUNTIFS(LdgSellerA,$A6,LdgKeyA,"&lt;"&amp;$B6)+COUNTIFS(LdgSellerB,$A6,LdgKeyB,"&lt;"&amp;$B6)+1)</f>
        <v/>
      </c>
      <c r="D6" t="str">
        <f t="shared" ref="D6:D69" si="1">IF($C6="","",$A6&amp;"|"&amp;RIGHT("000000"&amp;$C6,6))</f>
        <v/>
      </c>
      <c r="F6" t="str">
        <f>IF(Sync!$AH6="","",IF(LEFT(UPPER(TRIM(Sync!$AH6)),2)="SL",UPPER(TRIM(Sync!$AH6)),""))</f>
        <v/>
      </c>
      <c r="G6" t="str">
        <f>IF($F6="","",IF(Sync!$AE6="","",IF(ISNUMBER(Sync!$AE6),IF(AND(Sync!$AE6&gt;=10000101,Sync!$AE6&lt;=99991231),INT(Sync!$AE6/10000),""),IFERROR(VALUE(TRIM(LEFT(Sync!$AE6,FIND("/",Sync!$AE6)-1))),""))))</f>
        <v/>
      </c>
      <c r="H6" t="str">
        <f>IF(OR($F6="",$G6=""),"",IF(ISNUMBER(Sync!$AE6),INT(MOD(Sync!$AE6,10000)/100),IFERROR(VALUE(TRIM(LEFT(MID(Sync!$AE6,FIND("/",Sync!$AE6)+1,20),FIND("/",MID(Sync!$AE6,FIND("/",Sync!$AE6)+1,20))-1))),"")))</f>
        <v/>
      </c>
      <c r="I6" t="str">
        <f>IF(OR($F6="",$G6=""),"",IF(ISNUMBER(Sync!$AE6),MOD(Sync!$AE6,100),IFERROR(VALUE(TRIM(MID(MID(Sync!$AE6,FIND("/",Sync!$AE6)+1,20),FIND("/",MID(Sync!$AE6,FIND("/",Sync!$AE6)+1,20))+1,20))),"")))</f>
        <v/>
      </c>
      <c r="J6" t="str">
        <f t="shared" ref="J6:J69" si="2">IF($F6="","",IF(OR($G6="",$H6="",$I6="",$G6&lt;1300,$G6&gt;1500,$H6&lt;1,$H6&gt;12,$I6&lt;1,$I6&gt;31),"نامعتبر",RIGHT("0000"&amp;$G6,4)&amp;"/"&amp;RIGHT("00"&amp;$H6,2)&amp;"/"&amp;RIGHT("00"&amp;$I6,2)))</f>
        <v/>
      </c>
      <c r="K6" t="str">
        <f>IF(OR($F6="",$J6="",$J6="نامعتبر"),"",LEFT($J6,4)&amp;MID($J6,6,2)&amp;RIGHT($J6,2)&amp;$N6&amp;"|"&amp;"2"&amp;RIGHT("00000"&amp;1,5))</f>
        <v/>
      </c>
      <c r="L6" t="str">
        <f t="shared" ref="L6:L69" si="3">IF($K6="","",COUNTIFS(LdgSellerA,$F6,LdgKeyA,"&lt;"&amp;$K6)+COUNTIFS(LdgSellerB,$F6,LdgKeyB,"&lt;"&amp;$K6)+1)</f>
        <v/>
      </c>
      <c r="M6" t="str">
        <f t="shared" ref="M6:M69" si="4">IF($L6="","",$F6&amp;"|"&amp;RIGHT("000000"&amp;$L6,6))</f>
        <v/>
      </c>
      <c r="N6" t="str">
        <f>IF($F6="","",IF(Sync!$AF6="","0000",IF(AND(ISNUMBER(Sync!$AF6),Sync!$AF6&gt;=0,Sync!$AF6&lt;1),RIGHT("00"&amp;HOUR(Sync!$AF6),2)&amp;RIGHT("00"&amp;MINUTE(Sync!$AF6),2),IFERROR(RIGHT("00"&amp;VALUE(LEFT(Sync!$AF6,FIND(":",Sync!$AF6)-1)),2)&amp;RIGHT("00"&amp;VALUE(MID(Sync!$AF6,FIND(":",Sync!$AF6)+1,2)),2),"0000"))))</f>
        <v/>
      </c>
    </row>
    <row r="7" spans="1:14" x14ac:dyDescent="0.2">
      <c r="A7" t="str">
        <f>IF(OR(Calc!$E11="",Calc!$E11="نامعتبر",Calc!$G11=""),"",Calc!$G11)</f>
        <v/>
      </c>
      <c r="B7" t="str">
        <f>IF($A7="","",LEFT(Calc!$E11,4)&amp;MID(Calc!$E11,6,2)&amp;RIGHT(Calc!$E11,2)&amp;Calc!$Q11&amp;"|"&amp;"1"&amp;RIGHT("00000"&amp;2,5))</f>
        <v/>
      </c>
      <c r="C7" t="str">
        <f t="shared" si="0"/>
        <v/>
      </c>
      <c r="D7" t="str">
        <f t="shared" si="1"/>
        <v/>
      </c>
      <c r="F7" t="str">
        <f>IF(Sync!$AH7="","",IF(LEFT(UPPER(TRIM(Sync!$AH7)),2)="SL",UPPER(TRIM(Sync!$AH7)),""))</f>
        <v/>
      </c>
      <c r="G7" t="str">
        <f>IF($F7="","",IF(Sync!$AE7="","",IF(ISNUMBER(Sync!$AE7),IF(AND(Sync!$AE7&gt;=10000101,Sync!$AE7&lt;=99991231),INT(Sync!$AE7/10000),""),IFERROR(VALUE(TRIM(LEFT(Sync!$AE7,FIND("/",Sync!$AE7)-1))),""))))</f>
        <v/>
      </c>
      <c r="H7" t="str">
        <f>IF(OR($F7="",$G7=""),"",IF(ISNUMBER(Sync!$AE7),INT(MOD(Sync!$AE7,10000)/100),IFERROR(VALUE(TRIM(LEFT(MID(Sync!$AE7,FIND("/",Sync!$AE7)+1,20),FIND("/",MID(Sync!$AE7,FIND("/",Sync!$AE7)+1,20))-1))),"")))</f>
        <v/>
      </c>
      <c r="I7" t="str">
        <f>IF(OR($F7="",$G7=""),"",IF(ISNUMBER(Sync!$AE7),MOD(Sync!$AE7,100),IFERROR(VALUE(TRIM(MID(MID(Sync!$AE7,FIND("/",Sync!$AE7)+1,20),FIND("/",MID(Sync!$AE7,FIND("/",Sync!$AE7)+1,20))+1,20))),"")))</f>
        <v/>
      </c>
      <c r="J7" t="str">
        <f t="shared" si="2"/>
        <v/>
      </c>
      <c r="K7" t="str">
        <f>IF(OR($F7="",$J7="",$J7="نامعتبر"),"",LEFT($J7,4)&amp;MID($J7,6,2)&amp;RIGHT($J7,2)&amp;$N7&amp;"|"&amp;"2"&amp;RIGHT("00000"&amp;2,5))</f>
        <v/>
      </c>
      <c r="L7" t="str">
        <f t="shared" si="3"/>
        <v/>
      </c>
      <c r="M7" t="str">
        <f t="shared" si="4"/>
        <v/>
      </c>
      <c r="N7" t="str">
        <f>IF($F7="","",IF(Sync!$AF7="","0000",IF(AND(ISNUMBER(Sync!$AF7),Sync!$AF7&gt;=0,Sync!$AF7&lt;1),RIGHT("00"&amp;HOUR(Sync!$AF7),2)&amp;RIGHT("00"&amp;MINUTE(Sync!$AF7),2),IFERROR(RIGHT("00"&amp;VALUE(LEFT(Sync!$AF7,FIND(":",Sync!$AF7)-1)),2)&amp;RIGHT("00"&amp;VALUE(MID(Sync!$AF7,FIND(":",Sync!$AF7)+1,2)),2),"0000"))))</f>
        <v/>
      </c>
    </row>
    <row r="8" spans="1:14" x14ac:dyDescent="0.2">
      <c r="A8" t="str">
        <f>IF(OR(Calc!$E12="",Calc!$E12="نامعتبر",Calc!$G12=""),"",Calc!$G12)</f>
        <v/>
      </c>
      <c r="B8" t="str">
        <f>IF($A8="","",LEFT(Calc!$E12,4)&amp;MID(Calc!$E12,6,2)&amp;RIGHT(Calc!$E12,2)&amp;Calc!$Q12&amp;"|"&amp;"1"&amp;RIGHT("00000"&amp;3,5))</f>
        <v/>
      </c>
      <c r="C8" t="str">
        <f t="shared" si="0"/>
        <v/>
      </c>
      <c r="D8" t="str">
        <f t="shared" si="1"/>
        <v/>
      </c>
      <c r="F8" t="str">
        <f>IF(Sync!$AH8="","",IF(LEFT(UPPER(TRIM(Sync!$AH8)),2)="SL",UPPER(TRIM(Sync!$AH8)),""))</f>
        <v/>
      </c>
      <c r="G8" t="str">
        <f>IF($F8="","",IF(Sync!$AE8="","",IF(ISNUMBER(Sync!$AE8),IF(AND(Sync!$AE8&gt;=10000101,Sync!$AE8&lt;=99991231),INT(Sync!$AE8/10000),""),IFERROR(VALUE(TRIM(LEFT(Sync!$AE8,FIND("/",Sync!$AE8)-1))),""))))</f>
        <v/>
      </c>
      <c r="H8" t="str">
        <f>IF(OR($F8="",$G8=""),"",IF(ISNUMBER(Sync!$AE8),INT(MOD(Sync!$AE8,10000)/100),IFERROR(VALUE(TRIM(LEFT(MID(Sync!$AE8,FIND("/",Sync!$AE8)+1,20),FIND("/",MID(Sync!$AE8,FIND("/",Sync!$AE8)+1,20))-1))),"")))</f>
        <v/>
      </c>
      <c r="I8" t="str">
        <f>IF(OR($F8="",$G8=""),"",IF(ISNUMBER(Sync!$AE8),MOD(Sync!$AE8,100),IFERROR(VALUE(TRIM(MID(MID(Sync!$AE8,FIND("/",Sync!$AE8)+1,20),FIND("/",MID(Sync!$AE8,FIND("/",Sync!$AE8)+1,20))+1,20))),"")))</f>
        <v/>
      </c>
      <c r="J8" t="str">
        <f t="shared" si="2"/>
        <v/>
      </c>
      <c r="K8" t="str">
        <f>IF(OR($F8="",$J8="",$J8="نامعتبر"),"",LEFT($J8,4)&amp;MID($J8,6,2)&amp;RIGHT($J8,2)&amp;$N8&amp;"|"&amp;"2"&amp;RIGHT("00000"&amp;3,5))</f>
        <v/>
      </c>
      <c r="L8" t="str">
        <f t="shared" si="3"/>
        <v/>
      </c>
      <c r="M8" t="str">
        <f t="shared" si="4"/>
        <v/>
      </c>
      <c r="N8" t="str">
        <f>IF($F8="","",IF(Sync!$AF8="","0000",IF(AND(ISNUMBER(Sync!$AF8),Sync!$AF8&gt;=0,Sync!$AF8&lt;1),RIGHT("00"&amp;HOUR(Sync!$AF8),2)&amp;RIGHT("00"&amp;MINUTE(Sync!$AF8),2),IFERROR(RIGHT("00"&amp;VALUE(LEFT(Sync!$AF8,FIND(":",Sync!$AF8)-1)),2)&amp;RIGHT("00"&amp;VALUE(MID(Sync!$AF8,FIND(":",Sync!$AF8)+1,2)),2),"0000"))))</f>
        <v/>
      </c>
    </row>
    <row r="9" spans="1:14" x14ac:dyDescent="0.2">
      <c r="A9" t="str">
        <f>IF(OR(Calc!$E13="",Calc!$E13="نامعتبر",Calc!$G13=""),"",Calc!$G13)</f>
        <v/>
      </c>
      <c r="B9" t="str">
        <f>IF($A9="","",LEFT(Calc!$E13,4)&amp;MID(Calc!$E13,6,2)&amp;RIGHT(Calc!$E13,2)&amp;Calc!$Q13&amp;"|"&amp;"1"&amp;RIGHT("00000"&amp;4,5))</f>
        <v/>
      </c>
      <c r="C9" t="str">
        <f t="shared" si="0"/>
        <v/>
      </c>
      <c r="D9" t="str">
        <f t="shared" si="1"/>
        <v/>
      </c>
      <c r="F9" t="str">
        <f>IF(Sync!$AH9="","",IF(LEFT(UPPER(TRIM(Sync!$AH9)),2)="SL",UPPER(TRIM(Sync!$AH9)),""))</f>
        <v/>
      </c>
      <c r="G9" t="str">
        <f>IF($F9="","",IF(Sync!$AE9="","",IF(ISNUMBER(Sync!$AE9),IF(AND(Sync!$AE9&gt;=10000101,Sync!$AE9&lt;=99991231),INT(Sync!$AE9/10000),""),IFERROR(VALUE(TRIM(LEFT(Sync!$AE9,FIND("/",Sync!$AE9)-1))),""))))</f>
        <v/>
      </c>
      <c r="H9" t="str">
        <f>IF(OR($F9="",$G9=""),"",IF(ISNUMBER(Sync!$AE9),INT(MOD(Sync!$AE9,10000)/100),IFERROR(VALUE(TRIM(LEFT(MID(Sync!$AE9,FIND("/",Sync!$AE9)+1,20),FIND("/",MID(Sync!$AE9,FIND("/",Sync!$AE9)+1,20))-1))),"")))</f>
        <v/>
      </c>
      <c r="I9" t="str">
        <f>IF(OR($F9="",$G9=""),"",IF(ISNUMBER(Sync!$AE9),MOD(Sync!$AE9,100),IFERROR(VALUE(TRIM(MID(MID(Sync!$AE9,FIND("/",Sync!$AE9)+1,20),FIND("/",MID(Sync!$AE9,FIND("/",Sync!$AE9)+1,20))+1,20))),"")))</f>
        <v/>
      </c>
      <c r="J9" t="str">
        <f t="shared" si="2"/>
        <v/>
      </c>
      <c r="K9" t="str">
        <f>IF(OR($F9="",$J9="",$J9="نامعتبر"),"",LEFT($J9,4)&amp;MID($J9,6,2)&amp;RIGHT($J9,2)&amp;$N9&amp;"|"&amp;"2"&amp;RIGHT("00000"&amp;4,5))</f>
        <v/>
      </c>
      <c r="L9" t="str">
        <f t="shared" si="3"/>
        <v/>
      </c>
      <c r="M9" t="str">
        <f t="shared" si="4"/>
        <v/>
      </c>
      <c r="N9" t="str">
        <f>IF($F9="","",IF(Sync!$AF9="","0000",IF(AND(ISNUMBER(Sync!$AF9),Sync!$AF9&gt;=0,Sync!$AF9&lt;1),RIGHT("00"&amp;HOUR(Sync!$AF9),2)&amp;RIGHT("00"&amp;MINUTE(Sync!$AF9),2),IFERROR(RIGHT("00"&amp;VALUE(LEFT(Sync!$AF9,FIND(":",Sync!$AF9)-1)),2)&amp;RIGHT("00"&amp;VALUE(MID(Sync!$AF9,FIND(":",Sync!$AF9)+1,2)),2),"0000"))))</f>
        <v/>
      </c>
    </row>
    <row r="10" spans="1:14" x14ac:dyDescent="0.2">
      <c r="A10" t="str">
        <f>IF(OR(Calc!$E14="",Calc!$E14="نامعتبر",Calc!$G14=""),"",Calc!$G14)</f>
        <v/>
      </c>
      <c r="B10" t="str">
        <f>IF($A10="","",LEFT(Calc!$E14,4)&amp;MID(Calc!$E14,6,2)&amp;RIGHT(Calc!$E14,2)&amp;Calc!$Q14&amp;"|"&amp;"1"&amp;RIGHT("00000"&amp;5,5))</f>
        <v/>
      </c>
      <c r="C10" t="str">
        <f t="shared" si="0"/>
        <v/>
      </c>
      <c r="D10" t="str">
        <f t="shared" si="1"/>
        <v/>
      </c>
      <c r="F10" t="str">
        <f>IF(Sync!$AH10="","",IF(LEFT(UPPER(TRIM(Sync!$AH10)),2)="SL",UPPER(TRIM(Sync!$AH10)),""))</f>
        <v/>
      </c>
      <c r="G10" t="str">
        <f>IF($F10="","",IF(Sync!$AE10="","",IF(ISNUMBER(Sync!$AE10),IF(AND(Sync!$AE10&gt;=10000101,Sync!$AE10&lt;=99991231),INT(Sync!$AE10/10000),""),IFERROR(VALUE(TRIM(LEFT(Sync!$AE10,FIND("/",Sync!$AE10)-1))),""))))</f>
        <v/>
      </c>
      <c r="H10" t="str">
        <f>IF(OR($F10="",$G10=""),"",IF(ISNUMBER(Sync!$AE10),INT(MOD(Sync!$AE10,10000)/100),IFERROR(VALUE(TRIM(LEFT(MID(Sync!$AE10,FIND("/",Sync!$AE10)+1,20),FIND("/",MID(Sync!$AE10,FIND("/",Sync!$AE10)+1,20))-1))),"")))</f>
        <v/>
      </c>
      <c r="I10" t="str">
        <f>IF(OR($F10="",$G10=""),"",IF(ISNUMBER(Sync!$AE10),MOD(Sync!$AE10,100),IFERROR(VALUE(TRIM(MID(MID(Sync!$AE10,FIND("/",Sync!$AE10)+1,20),FIND("/",MID(Sync!$AE10,FIND("/",Sync!$AE10)+1,20))+1,20))),"")))</f>
        <v/>
      </c>
      <c r="J10" t="str">
        <f t="shared" si="2"/>
        <v/>
      </c>
      <c r="K10" t="str">
        <f>IF(OR($F10="",$J10="",$J10="نامعتبر"),"",LEFT($J10,4)&amp;MID($J10,6,2)&amp;RIGHT($J10,2)&amp;$N10&amp;"|"&amp;"2"&amp;RIGHT("00000"&amp;5,5))</f>
        <v/>
      </c>
      <c r="L10" t="str">
        <f t="shared" si="3"/>
        <v/>
      </c>
      <c r="M10" t="str">
        <f t="shared" si="4"/>
        <v/>
      </c>
      <c r="N10" t="str">
        <f>IF($F10="","",IF(Sync!$AF10="","0000",IF(AND(ISNUMBER(Sync!$AF10),Sync!$AF10&gt;=0,Sync!$AF10&lt;1),RIGHT("00"&amp;HOUR(Sync!$AF10),2)&amp;RIGHT("00"&amp;MINUTE(Sync!$AF10),2),IFERROR(RIGHT("00"&amp;VALUE(LEFT(Sync!$AF10,FIND(":",Sync!$AF10)-1)),2)&amp;RIGHT("00"&amp;VALUE(MID(Sync!$AF10,FIND(":",Sync!$AF10)+1,2)),2),"0000"))))</f>
        <v/>
      </c>
    </row>
    <row r="11" spans="1:14" x14ac:dyDescent="0.2">
      <c r="A11" t="str">
        <f>IF(OR(Calc!$E15="",Calc!$E15="نامعتبر",Calc!$G15=""),"",Calc!$G15)</f>
        <v/>
      </c>
      <c r="B11" t="str">
        <f>IF($A11="","",LEFT(Calc!$E15,4)&amp;MID(Calc!$E15,6,2)&amp;RIGHT(Calc!$E15,2)&amp;Calc!$Q15&amp;"|"&amp;"1"&amp;RIGHT("00000"&amp;6,5))</f>
        <v/>
      </c>
      <c r="C11" t="str">
        <f t="shared" si="0"/>
        <v/>
      </c>
      <c r="D11" t="str">
        <f t="shared" si="1"/>
        <v/>
      </c>
      <c r="F11" t="str">
        <f>IF(Sync!$AH11="","",IF(LEFT(UPPER(TRIM(Sync!$AH11)),2)="SL",UPPER(TRIM(Sync!$AH11)),""))</f>
        <v/>
      </c>
      <c r="G11" t="str">
        <f>IF($F11="","",IF(Sync!$AE11="","",IF(ISNUMBER(Sync!$AE11),IF(AND(Sync!$AE11&gt;=10000101,Sync!$AE11&lt;=99991231),INT(Sync!$AE11/10000),""),IFERROR(VALUE(TRIM(LEFT(Sync!$AE11,FIND("/",Sync!$AE11)-1))),""))))</f>
        <v/>
      </c>
      <c r="H11" t="str">
        <f>IF(OR($F11="",$G11=""),"",IF(ISNUMBER(Sync!$AE11),INT(MOD(Sync!$AE11,10000)/100),IFERROR(VALUE(TRIM(LEFT(MID(Sync!$AE11,FIND("/",Sync!$AE11)+1,20),FIND("/",MID(Sync!$AE11,FIND("/",Sync!$AE11)+1,20))-1))),"")))</f>
        <v/>
      </c>
      <c r="I11" t="str">
        <f>IF(OR($F11="",$G11=""),"",IF(ISNUMBER(Sync!$AE11),MOD(Sync!$AE11,100),IFERROR(VALUE(TRIM(MID(MID(Sync!$AE11,FIND("/",Sync!$AE11)+1,20),FIND("/",MID(Sync!$AE11,FIND("/",Sync!$AE11)+1,20))+1,20))),"")))</f>
        <v/>
      </c>
      <c r="J11" t="str">
        <f t="shared" si="2"/>
        <v/>
      </c>
      <c r="K11" t="str">
        <f>IF(OR($F11="",$J11="",$J11="نامعتبر"),"",LEFT($J11,4)&amp;MID($J11,6,2)&amp;RIGHT($J11,2)&amp;$N11&amp;"|"&amp;"2"&amp;RIGHT("00000"&amp;6,5))</f>
        <v/>
      </c>
      <c r="L11" t="str">
        <f t="shared" si="3"/>
        <v/>
      </c>
      <c r="M11" t="str">
        <f t="shared" si="4"/>
        <v/>
      </c>
      <c r="N11" t="str">
        <f>IF($F11="","",IF(Sync!$AF11="","0000",IF(AND(ISNUMBER(Sync!$AF11),Sync!$AF11&gt;=0,Sync!$AF11&lt;1),RIGHT("00"&amp;HOUR(Sync!$AF11),2)&amp;RIGHT("00"&amp;MINUTE(Sync!$AF11),2),IFERROR(RIGHT("00"&amp;VALUE(LEFT(Sync!$AF11,FIND(":",Sync!$AF11)-1)),2)&amp;RIGHT("00"&amp;VALUE(MID(Sync!$AF11,FIND(":",Sync!$AF11)+1,2)),2),"0000"))))</f>
        <v/>
      </c>
    </row>
    <row r="12" spans="1:14" x14ac:dyDescent="0.2">
      <c r="A12" t="str">
        <f>IF(OR(Calc!$E16="",Calc!$E16="نامعتبر",Calc!$G16=""),"",Calc!$G16)</f>
        <v/>
      </c>
      <c r="B12" t="str">
        <f>IF($A12="","",LEFT(Calc!$E16,4)&amp;MID(Calc!$E16,6,2)&amp;RIGHT(Calc!$E16,2)&amp;Calc!$Q16&amp;"|"&amp;"1"&amp;RIGHT("00000"&amp;7,5))</f>
        <v/>
      </c>
      <c r="C12" t="str">
        <f t="shared" si="0"/>
        <v/>
      </c>
      <c r="D12" t="str">
        <f t="shared" si="1"/>
        <v/>
      </c>
      <c r="F12" t="str">
        <f>IF(Sync!$AH12="","",IF(LEFT(UPPER(TRIM(Sync!$AH12)),2)="SL",UPPER(TRIM(Sync!$AH12)),""))</f>
        <v>SL001</v>
      </c>
      <c r="G12">
        <f>IF($F12="","",IF(Sync!$AE12="","",IF(ISNUMBER(Sync!$AE12),IF(AND(Sync!$AE12&gt;=10000101,Sync!$AE12&lt;=99991231),INT(Sync!$AE12/10000),""),IFERROR(VALUE(TRIM(LEFT(Sync!$AE12,FIND("/",Sync!$AE12)-1))),""))))</f>
        <v>1405</v>
      </c>
      <c r="H12">
        <f>IF(OR($F12="",$G12=""),"",IF(ISNUMBER(Sync!$AE12),INT(MOD(Sync!$AE12,10000)/100),IFERROR(VALUE(TRIM(LEFT(MID(Sync!$AE12,FIND("/",Sync!$AE12)+1,20),FIND("/",MID(Sync!$AE12,FIND("/",Sync!$AE12)+1,20))-1))),"")))</f>
        <v>7</v>
      </c>
      <c r="I12">
        <f>IF(OR($F12="",$G12=""),"",IF(ISNUMBER(Sync!$AE12),MOD(Sync!$AE12,100),IFERROR(VALUE(TRIM(MID(MID(Sync!$AE12,FIND("/",Sync!$AE12)+1,20),FIND("/",MID(Sync!$AE12,FIND("/",Sync!$AE12)+1,20))+1,20))),"")))</f>
        <v>4</v>
      </c>
      <c r="J12" t="str">
        <f t="shared" si="2"/>
        <v>1405/07/04</v>
      </c>
      <c r="K12" t="str">
        <f>IF(OR($F12="",$J12="",$J12="نامعتبر"),"",LEFT($J12,4)&amp;MID($J12,6,2)&amp;RIGHT($J12,2)&amp;$N12&amp;"|"&amp;"2"&amp;RIGHT("00000"&amp;7,5))</f>
        <v>140507041030|200007</v>
      </c>
      <c r="L12">
        <f t="shared" si="3"/>
        <v>1</v>
      </c>
      <c r="M12" t="str">
        <f t="shared" si="4"/>
        <v>SL001|000001</v>
      </c>
      <c r="N12" t="str">
        <f>IF($F12="","",IF(Sync!$AF12="","0000",IF(AND(ISNUMBER(Sync!$AF12),Sync!$AF12&gt;=0,Sync!$AF12&lt;1),RIGHT("00"&amp;HOUR(Sync!$AF12),2)&amp;RIGHT("00"&amp;MINUTE(Sync!$AF12),2),IFERROR(RIGHT("00"&amp;VALUE(LEFT(Sync!$AF12,FIND(":",Sync!$AF12)-1)),2)&amp;RIGHT("00"&amp;VALUE(MID(Sync!$AF12,FIND(":",Sync!$AF12)+1,2)),2),"0000"))))</f>
        <v>1030</v>
      </c>
    </row>
    <row r="13" spans="1:14" x14ac:dyDescent="0.2">
      <c r="A13" t="str">
        <f>IF(OR(Calc!$E17="",Calc!$E17="نامعتبر",Calc!$G17=""),"",Calc!$G17)</f>
        <v/>
      </c>
      <c r="B13" t="str">
        <f>IF($A13="","",LEFT(Calc!$E17,4)&amp;MID(Calc!$E17,6,2)&amp;RIGHT(Calc!$E17,2)&amp;Calc!$Q17&amp;"|"&amp;"1"&amp;RIGHT("00000"&amp;8,5))</f>
        <v/>
      </c>
      <c r="C13" t="str">
        <f t="shared" si="0"/>
        <v/>
      </c>
      <c r="D13" t="str">
        <f t="shared" si="1"/>
        <v/>
      </c>
      <c r="F13" t="str">
        <f>IF(Sync!$AH13="","",IF(LEFT(UPPER(TRIM(Sync!$AH13)),2)="SL",UPPER(TRIM(Sync!$AH13)),""))</f>
        <v>SL002</v>
      </c>
      <c r="G13">
        <f>IF($F13="","",IF(Sync!$AE13="","",IF(ISNUMBER(Sync!$AE13),IF(AND(Sync!$AE13&gt;=10000101,Sync!$AE13&lt;=99991231),INT(Sync!$AE13/10000),""),IFERROR(VALUE(TRIM(LEFT(Sync!$AE13,FIND("/",Sync!$AE13)-1))),""))))</f>
        <v>1405</v>
      </c>
      <c r="H13">
        <f>IF(OR($F13="",$G13=""),"",IF(ISNUMBER(Sync!$AE13),INT(MOD(Sync!$AE13,10000)/100),IFERROR(VALUE(TRIM(LEFT(MID(Sync!$AE13,FIND("/",Sync!$AE13)+1,20),FIND("/",MID(Sync!$AE13,FIND("/",Sync!$AE13)+1,20))-1))),"")))</f>
        <v>7</v>
      </c>
      <c r="I13">
        <f>IF(OR($F13="",$G13=""),"",IF(ISNUMBER(Sync!$AE13),MOD(Sync!$AE13,100),IFERROR(VALUE(TRIM(MID(MID(Sync!$AE13,FIND("/",Sync!$AE13)+1,20),FIND("/",MID(Sync!$AE13,FIND("/",Sync!$AE13)+1,20))+1,20))),"")))</f>
        <v>9</v>
      </c>
      <c r="J13" t="str">
        <f t="shared" si="2"/>
        <v>1405/07/09</v>
      </c>
      <c r="K13" t="str">
        <f>IF(OR($F13="",$J13="",$J13="نامعتبر"),"",LEFT($J13,4)&amp;MID($J13,6,2)&amp;RIGHT($J13,2)&amp;$N13&amp;"|"&amp;"2"&amp;RIGHT("00000"&amp;8,5))</f>
        <v>140507091130|200008</v>
      </c>
      <c r="L13">
        <f t="shared" si="3"/>
        <v>1</v>
      </c>
      <c r="M13" t="str">
        <f t="shared" si="4"/>
        <v>SL002|000001</v>
      </c>
      <c r="N13" t="str">
        <f>IF($F13="","",IF(Sync!$AF13="","0000",IF(AND(ISNUMBER(Sync!$AF13),Sync!$AF13&gt;=0,Sync!$AF13&lt;1),RIGHT("00"&amp;HOUR(Sync!$AF13),2)&amp;RIGHT("00"&amp;MINUTE(Sync!$AF13),2),IFERROR(RIGHT("00"&amp;VALUE(LEFT(Sync!$AF13,FIND(":",Sync!$AF13)-1)),2)&amp;RIGHT("00"&amp;VALUE(MID(Sync!$AF13,FIND(":",Sync!$AF13)+1,2)),2),"0000"))))</f>
        <v>1130</v>
      </c>
    </row>
    <row r="14" spans="1:14" x14ac:dyDescent="0.2">
      <c r="A14" t="str">
        <f>IF(OR(Calc!$E18="",Calc!$E18="نامعتبر",Calc!$G18=""),"",Calc!$G18)</f>
        <v/>
      </c>
      <c r="B14" t="str">
        <f>IF($A14="","",LEFT(Calc!$E18,4)&amp;MID(Calc!$E18,6,2)&amp;RIGHT(Calc!$E18,2)&amp;Calc!$Q18&amp;"|"&amp;"1"&amp;RIGHT("00000"&amp;9,5))</f>
        <v/>
      </c>
      <c r="C14" t="str">
        <f t="shared" si="0"/>
        <v/>
      </c>
      <c r="D14" t="str">
        <f t="shared" si="1"/>
        <v/>
      </c>
      <c r="F14" t="str">
        <f>IF(Sync!$AH14="","",IF(LEFT(UPPER(TRIM(Sync!$AH14)),2)="SL",UPPER(TRIM(Sync!$AH14)),""))</f>
        <v/>
      </c>
      <c r="G14" t="str">
        <f>IF($F14="","",IF(Sync!$AE14="","",IF(ISNUMBER(Sync!$AE14),IF(AND(Sync!$AE14&gt;=10000101,Sync!$AE14&lt;=99991231),INT(Sync!$AE14/10000),""),IFERROR(VALUE(TRIM(LEFT(Sync!$AE14,FIND("/",Sync!$AE14)-1))),""))))</f>
        <v/>
      </c>
      <c r="H14" t="str">
        <f>IF(OR($F14="",$G14=""),"",IF(ISNUMBER(Sync!$AE14),INT(MOD(Sync!$AE14,10000)/100),IFERROR(VALUE(TRIM(LEFT(MID(Sync!$AE14,FIND("/",Sync!$AE14)+1,20),FIND("/",MID(Sync!$AE14,FIND("/",Sync!$AE14)+1,20))-1))),"")))</f>
        <v/>
      </c>
      <c r="I14" t="str">
        <f>IF(OR($F14="",$G14=""),"",IF(ISNUMBER(Sync!$AE14),MOD(Sync!$AE14,100),IFERROR(VALUE(TRIM(MID(MID(Sync!$AE14,FIND("/",Sync!$AE14)+1,20),FIND("/",MID(Sync!$AE14,FIND("/",Sync!$AE14)+1,20))+1,20))),"")))</f>
        <v/>
      </c>
      <c r="J14" t="str">
        <f t="shared" si="2"/>
        <v/>
      </c>
      <c r="K14" t="str">
        <f>IF(OR($F14="",$J14="",$J14="نامعتبر"),"",LEFT($J14,4)&amp;MID($J14,6,2)&amp;RIGHT($J14,2)&amp;$N14&amp;"|"&amp;"2"&amp;RIGHT("00000"&amp;9,5))</f>
        <v/>
      </c>
      <c r="L14" t="str">
        <f t="shared" si="3"/>
        <v/>
      </c>
      <c r="M14" t="str">
        <f t="shared" si="4"/>
        <v/>
      </c>
      <c r="N14" t="str">
        <f>IF($F14="","",IF(Sync!$AF14="","0000",IF(AND(ISNUMBER(Sync!$AF14),Sync!$AF14&gt;=0,Sync!$AF14&lt;1),RIGHT("00"&amp;HOUR(Sync!$AF14),2)&amp;RIGHT("00"&amp;MINUTE(Sync!$AF14),2),IFERROR(RIGHT("00"&amp;VALUE(LEFT(Sync!$AF14,FIND(":",Sync!$AF14)-1)),2)&amp;RIGHT("00"&amp;VALUE(MID(Sync!$AF14,FIND(":",Sync!$AF14)+1,2)),2),"0000"))))</f>
        <v/>
      </c>
    </row>
    <row r="15" spans="1:14" x14ac:dyDescent="0.2">
      <c r="A15" t="str">
        <f>IF(OR(Calc!$E19="",Calc!$E19="نامعتبر",Calc!$G19=""),"",Calc!$G19)</f>
        <v/>
      </c>
      <c r="B15" t="str">
        <f>IF($A15="","",LEFT(Calc!$E19,4)&amp;MID(Calc!$E19,6,2)&amp;RIGHT(Calc!$E19,2)&amp;Calc!$Q19&amp;"|"&amp;"1"&amp;RIGHT("00000"&amp;10,5))</f>
        <v/>
      </c>
      <c r="C15" t="str">
        <f t="shared" si="0"/>
        <v/>
      </c>
      <c r="D15" t="str">
        <f t="shared" si="1"/>
        <v/>
      </c>
      <c r="F15" t="str">
        <f>IF(Sync!$AH15="","",IF(LEFT(UPPER(TRIM(Sync!$AH15)),2)="SL",UPPER(TRIM(Sync!$AH15)),""))</f>
        <v/>
      </c>
      <c r="G15" t="str">
        <f>IF($F15="","",IF(Sync!$AE15="","",IF(ISNUMBER(Sync!$AE15),IF(AND(Sync!$AE15&gt;=10000101,Sync!$AE15&lt;=99991231),INT(Sync!$AE15/10000),""),IFERROR(VALUE(TRIM(LEFT(Sync!$AE15,FIND("/",Sync!$AE15)-1))),""))))</f>
        <v/>
      </c>
      <c r="H15" t="str">
        <f>IF(OR($F15="",$G15=""),"",IF(ISNUMBER(Sync!$AE15),INT(MOD(Sync!$AE15,10000)/100),IFERROR(VALUE(TRIM(LEFT(MID(Sync!$AE15,FIND("/",Sync!$AE15)+1,20),FIND("/",MID(Sync!$AE15,FIND("/",Sync!$AE15)+1,20))-1))),"")))</f>
        <v/>
      </c>
      <c r="I15" t="str">
        <f>IF(OR($F15="",$G15=""),"",IF(ISNUMBER(Sync!$AE15),MOD(Sync!$AE15,100),IFERROR(VALUE(TRIM(MID(MID(Sync!$AE15,FIND("/",Sync!$AE15)+1,20),FIND("/",MID(Sync!$AE15,FIND("/",Sync!$AE15)+1,20))+1,20))),"")))</f>
        <v/>
      </c>
      <c r="J15" t="str">
        <f t="shared" si="2"/>
        <v/>
      </c>
      <c r="K15" t="str">
        <f>IF(OR($F15="",$J15="",$J15="نامعتبر"),"",LEFT($J15,4)&amp;MID($J15,6,2)&amp;RIGHT($J15,2)&amp;$N15&amp;"|"&amp;"2"&amp;RIGHT("00000"&amp;10,5))</f>
        <v/>
      </c>
      <c r="L15" t="str">
        <f t="shared" si="3"/>
        <v/>
      </c>
      <c r="M15" t="str">
        <f t="shared" si="4"/>
        <v/>
      </c>
      <c r="N15" t="str">
        <f>IF($F15="","",IF(Sync!$AF15="","0000",IF(AND(ISNUMBER(Sync!$AF15),Sync!$AF15&gt;=0,Sync!$AF15&lt;1),RIGHT("00"&amp;HOUR(Sync!$AF15),2)&amp;RIGHT("00"&amp;MINUTE(Sync!$AF15),2),IFERROR(RIGHT("00"&amp;VALUE(LEFT(Sync!$AF15,FIND(":",Sync!$AF15)-1)),2)&amp;RIGHT("00"&amp;VALUE(MID(Sync!$AF15,FIND(":",Sync!$AF15)+1,2)),2),"0000"))))</f>
        <v/>
      </c>
    </row>
    <row r="16" spans="1:14" x14ac:dyDescent="0.2">
      <c r="A16" t="str">
        <f>IF(OR(Calc!$E20="",Calc!$E20="نامعتبر",Calc!$G20=""),"",Calc!$G20)</f>
        <v/>
      </c>
      <c r="B16" t="str">
        <f>IF($A16="","",LEFT(Calc!$E20,4)&amp;MID(Calc!$E20,6,2)&amp;RIGHT(Calc!$E20,2)&amp;Calc!$Q20&amp;"|"&amp;"1"&amp;RIGHT("00000"&amp;11,5))</f>
        <v/>
      </c>
      <c r="C16" t="str">
        <f t="shared" si="0"/>
        <v/>
      </c>
      <c r="D16" t="str">
        <f t="shared" si="1"/>
        <v/>
      </c>
      <c r="F16" t="str">
        <f>IF(Sync!$AH16="","",IF(LEFT(UPPER(TRIM(Sync!$AH16)),2)="SL",UPPER(TRIM(Sync!$AH16)),""))</f>
        <v/>
      </c>
      <c r="G16" t="str">
        <f>IF($F16="","",IF(Sync!$AE16="","",IF(ISNUMBER(Sync!$AE16),IF(AND(Sync!$AE16&gt;=10000101,Sync!$AE16&lt;=99991231),INT(Sync!$AE16/10000),""),IFERROR(VALUE(TRIM(LEFT(Sync!$AE16,FIND("/",Sync!$AE16)-1))),""))))</f>
        <v/>
      </c>
      <c r="H16" t="str">
        <f>IF(OR($F16="",$G16=""),"",IF(ISNUMBER(Sync!$AE16),INT(MOD(Sync!$AE16,10000)/100),IFERROR(VALUE(TRIM(LEFT(MID(Sync!$AE16,FIND("/",Sync!$AE16)+1,20),FIND("/",MID(Sync!$AE16,FIND("/",Sync!$AE16)+1,20))-1))),"")))</f>
        <v/>
      </c>
      <c r="I16" t="str">
        <f>IF(OR($F16="",$G16=""),"",IF(ISNUMBER(Sync!$AE16),MOD(Sync!$AE16,100),IFERROR(VALUE(TRIM(MID(MID(Sync!$AE16,FIND("/",Sync!$AE16)+1,20),FIND("/",MID(Sync!$AE16,FIND("/",Sync!$AE16)+1,20))+1,20))),"")))</f>
        <v/>
      </c>
      <c r="J16" t="str">
        <f t="shared" si="2"/>
        <v/>
      </c>
      <c r="K16" t="str">
        <f>IF(OR($F16="",$J16="",$J16="نامعتبر"),"",LEFT($J16,4)&amp;MID($J16,6,2)&amp;RIGHT($J16,2)&amp;$N16&amp;"|"&amp;"2"&amp;RIGHT("00000"&amp;11,5))</f>
        <v/>
      </c>
      <c r="L16" t="str">
        <f t="shared" si="3"/>
        <v/>
      </c>
      <c r="M16" t="str">
        <f t="shared" si="4"/>
        <v/>
      </c>
      <c r="N16" t="str">
        <f>IF($F16="","",IF(Sync!$AF16="","0000",IF(AND(ISNUMBER(Sync!$AF16),Sync!$AF16&gt;=0,Sync!$AF16&lt;1),RIGHT("00"&amp;HOUR(Sync!$AF16),2)&amp;RIGHT("00"&amp;MINUTE(Sync!$AF16),2),IFERROR(RIGHT("00"&amp;VALUE(LEFT(Sync!$AF16,FIND(":",Sync!$AF16)-1)),2)&amp;RIGHT("00"&amp;VALUE(MID(Sync!$AF16,FIND(":",Sync!$AF16)+1,2)),2),"0000"))))</f>
        <v/>
      </c>
    </row>
    <row r="17" spans="1:14" x14ac:dyDescent="0.2">
      <c r="A17" t="str">
        <f>IF(OR(Calc!$E21="",Calc!$E21="نامعتبر",Calc!$G21=""),"",Calc!$G21)</f>
        <v/>
      </c>
      <c r="B17" t="str">
        <f>IF($A17="","",LEFT(Calc!$E21,4)&amp;MID(Calc!$E21,6,2)&amp;RIGHT(Calc!$E21,2)&amp;Calc!$Q21&amp;"|"&amp;"1"&amp;RIGHT("00000"&amp;12,5))</f>
        <v/>
      </c>
      <c r="C17" t="str">
        <f t="shared" si="0"/>
        <v/>
      </c>
      <c r="D17" t="str">
        <f t="shared" si="1"/>
        <v/>
      </c>
      <c r="F17" t="str">
        <f>IF(Sync!$AH17="","",IF(LEFT(UPPER(TRIM(Sync!$AH17)),2)="SL",UPPER(TRIM(Sync!$AH17)),""))</f>
        <v/>
      </c>
      <c r="G17" t="str">
        <f>IF($F17="","",IF(Sync!$AE17="","",IF(ISNUMBER(Sync!$AE17),IF(AND(Sync!$AE17&gt;=10000101,Sync!$AE17&lt;=99991231),INT(Sync!$AE17/10000),""),IFERROR(VALUE(TRIM(LEFT(Sync!$AE17,FIND("/",Sync!$AE17)-1))),""))))</f>
        <v/>
      </c>
      <c r="H17" t="str">
        <f>IF(OR($F17="",$G17=""),"",IF(ISNUMBER(Sync!$AE17),INT(MOD(Sync!$AE17,10000)/100),IFERROR(VALUE(TRIM(LEFT(MID(Sync!$AE17,FIND("/",Sync!$AE17)+1,20),FIND("/",MID(Sync!$AE17,FIND("/",Sync!$AE17)+1,20))-1))),"")))</f>
        <v/>
      </c>
      <c r="I17" t="str">
        <f>IF(OR($F17="",$G17=""),"",IF(ISNUMBER(Sync!$AE17),MOD(Sync!$AE17,100),IFERROR(VALUE(TRIM(MID(MID(Sync!$AE17,FIND("/",Sync!$AE17)+1,20),FIND("/",MID(Sync!$AE17,FIND("/",Sync!$AE17)+1,20))+1,20))),"")))</f>
        <v/>
      </c>
      <c r="J17" t="str">
        <f t="shared" si="2"/>
        <v/>
      </c>
      <c r="K17" t="str">
        <f>IF(OR($F17="",$J17="",$J17="نامعتبر"),"",LEFT($J17,4)&amp;MID($J17,6,2)&amp;RIGHT($J17,2)&amp;$N17&amp;"|"&amp;"2"&amp;RIGHT("00000"&amp;12,5))</f>
        <v/>
      </c>
      <c r="L17" t="str">
        <f t="shared" si="3"/>
        <v/>
      </c>
      <c r="M17" t="str">
        <f t="shared" si="4"/>
        <v/>
      </c>
      <c r="N17" t="str">
        <f>IF($F17="","",IF(Sync!$AF17="","0000",IF(AND(ISNUMBER(Sync!$AF17),Sync!$AF17&gt;=0,Sync!$AF17&lt;1),RIGHT("00"&amp;HOUR(Sync!$AF17),2)&amp;RIGHT("00"&amp;MINUTE(Sync!$AF17),2),IFERROR(RIGHT("00"&amp;VALUE(LEFT(Sync!$AF17,FIND(":",Sync!$AF17)-1)),2)&amp;RIGHT("00"&amp;VALUE(MID(Sync!$AF17,FIND(":",Sync!$AF17)+1,2)),2),"0000"))))</f>
        <v/>
      </c>
    </row>
    <row r="18" spans="1:14" x14ac:dyDescent="0.2">
      <c r="A18" t="str">
        <f>IF(OR(Calc!$E22="",Calc!$E22="نامعتبر",Calc!$G22=""),"",Calc!$G22)</f>
        <v/>
      </c>
      <c r="B18" t="str">
        <f>IF($A18="","",LEFT(Calc!$E22,4)&amp;MID(Calc!$E22,6,2)&amp;RIGHT(Calc!$E22,2)&amp;Calc!$Q22&amp;"|"&amp;"1"&amp;RIGHT("00000"&amp;13,5))</f>
        <v/>
      </c>
      <c r="C18" t="str">
        <f t="shared" si="0"/>
        <v/>
      </c>
      <c r="D18" t="str">
        <f t="shared" si="1"/>
        <v/>
      </c>
      <c r="F18" t="str">
        <f>IF(Sync!$AH18="","",IF(LEFT(UPPER(TRIM(Sync!$AH18)),2)="SL",UPPER(TRIM(Sync!$AH18)),""))</f>
        <v/>
      </c>
      <c r="G18" t="str">
        <f>IF($F18="","",IF(Sync!$AE18="","",IF(ISNUMBER(Sync!$AE18),IF(AND(Sync!$AE18&gt;=10000101,Sync!$AE18&lt;=99991231),INT(Sync!$AE18/10000),""),IFERROR(VALUE(TRIM(LEFT(Sync!$AE18,FIND("/",Sync!$AE18)-1))),""))))</f>
        <v/>
      </c>
      <c r="H18" t="str">
        <f>IF(OR($F18="",$G18=""),"",IF(ISNUMBER(Sync!$AE18),INT(MOD(Sync!$AE18,10000)/100),IFERROR(VALUE(TRIM(LEFT(MID(Sync!$AE18,FIND("/",Sync!$AE18)+1,20),FIND("/",MID(Sync!$AE18,FIND("/",Sync!$AE18)+1,20))-1))),"")))</f>
        <v/>
      </c>
      <c r="I18" t="str">
        <f>IF(OR($F18="",$G18=""),"",IF(ISNUMBER(Sync!$AE18),MOD(Sync!$AE18,100),IFERROR(VALUE(TRIM(MID(MID(Sync!$AE18,FIND("/",Sync!$AE18)+1,20),FIND("/",MID(Sync!$AE18,FIND("/",Sync!$AE18)+1,20))+1,20))),"")))</f>
        <v/>
      </c>
      <c r="J18" t="str">
        <f t="shared" si="2"/>
        <v/>
      </c>
      <c r="K18" t="str">
        <f>IF(OR($F18="",$J18="",$J18="نامعتبر"),"",LEFT($J18,4)&amp;MID($J18,6,2)&amp;RIGHT($J18,2)&amp;$N18&amp;"|"&amp;"2"&amp;RIGHT("00000"&amp;13,5))</f>
        <v/>
      </c>
      <c r="L18" t="str">
        <f t="shared" si="3"/>
        <v/>
      </c>
      <c r="M18" t="str">
        <f t="shared" si="4"/>
        <v/>
      </c>
      <c r="N18" t="str">
        <f>IF($F18="","",IF(Sync!$AF18="","0000",IF(AND(ISNUMBER(Sync!$AF18),Sync!$AF18&gt;=0,Sync!$AF18&lt;1),RIGHT("00"&amp;HOUR(Sync!$AF18),2)&amp;RIGHT("00"&amp;MINUTE(Sync!$AF18),2),IFERROR(RIGHT("00"&amp;VALUE(LEFT(Sync!$AF18,FIND(":",Sync!$AF18)-1)),2)&amp;RIGHT("00"&amp;VALUE(MID(Sync!$AF18,FIND(":",Sync!$AF18)+1,2)),2),"0000"))))</f>
        <v/>
      </c>
    </row>
    <row r="19" spans="1:14" x14ac:dyDescent="0.2">
      <c r="A19" t="str">
        <f>IF(OR(Calc!$E23="",Calc!$E23="نامعتبر",Calc!$G23=""),"",Calc!$G23)</f>
        <v/>
      </c>
      <c r="B19" t="str">
        <f>IF($A19="","",LEFT(Calc!$E23,4)&amp;MID(Calc!$E23,6,2)&amp;RIGHT(Calc!$E23,2)&amp;Calc!$Q23&amp;"|"&amp;"1"&amp;RIGHT("00000"&amp;14,5))</f>
        <v/>
      </c>
      <c r="C19" t="str">
        <f t="shared" si="0"/>
        <v/>
      </c>
      <c r="D19" t="str">
        <f t="shared" si="1"/>
        <v/>
      </c>
      <c r="F19" t="str">
        <f>IF(Sync!$AH19="","",IF(LEFT(UPPER(TRIM(Sync!$AH19)),2)="SL",UPPER(TRIM(Sync!$AH19)),""))</f>
        <v/>
      </c>
      <c r="G19" t="str">
        <f>IF($F19="","",IF(Sync!$AE19="","",IF(ISNUMBER(Sync!$AE19),IF(AND(Sync!$AE19&gt;=10000101,Sync!$AE19&lt;=99991231),INT(Sync!$AE19/10000),""),IFERROR(VALUE(TRIM(LEFT(Sync!$AE19,FIND("/",Sync!$AE19)-1))),""))))</f>
        <v/>
      </c>
      <c r="H19" t="str">
        <f>IF(OR($F19="",$G19=""),"",IF(ISNUMBER(Sync!$AE19),INT(MOD(Sync!$AE19,10000)/100),IFERROR(VALUE(TRIM(LEFT(MID(Sync!$AE19,FIND("/",Sync!$AE19)+1,20),FIND("/",MID(Sync!$AE19,FIND("/",Sync!$AE19)+1,20))-1))),"")))</f>
        <v/>
      </c>
      <c r="I19" t="str">
        <f>IF(OR($F19="",$G19=""),"",IF(ISNUMBER(Sync!$AE19),MOD(Sync!$AE19,100),IFERROR(VALUE(TRIM(MID(MID(Sync!$AE19,FIND("/",Sync!$AE19)+1,20),FIND("/",MID(Sync!$AE19,FIND("/",Sync!$AE19)+1,20))+1,20))),"")))</f>
        <v/>
      </c>
      <c r="J19" t="str">
        <f t="shared" si="2"/>
        <v/>
      </c>
      <c r="K19" t="str">
        <f>IF(OR($F19="",$J19="",$J19="نامعتبر"),"",LEFT($J19,4)&amp;MID($J19,6,2)&amp;RIGHT($J19,2)&amp;$N19&amp;"|"&amp;"2"&amp;RIGHT("00000"&amp;14,5))</f>
        <v/>
      </c>
      <c r="L19" t="str">
        <f t="shared" si="3"/>
        <v/>
      </c>
      <c r="M19" t="str">
        <f t="shared" si="4"/>
        <v/>
      </c>
      <c r="N19" t="str">
        <f>IF($F19="","",IF(Sync!$AF19="","0000",IF(AND(ISNUMBER(Sync!$AF19),Sync!$AF19&gt;=0,Sync!$AF19&lt;1),RIGHT("00"&amp;HOUR(Sync!$AF19),2)&amp;RIGHT("00"&amp;MINUTE(Sync!$AF19),2),IFERROR(RIGHT("00"&amp;VALUE(LEFT(Sync!$AF19,FIND(":",Sync!$AF19)-1)),2)&amp;RIGHT("00"&amp;VALUE(MID(Sync!$AF19,FIND(":",Sync!$AF19)+1,2)),2),"0000"))))</f>
        <v/>
      </c>
    </row>
    <row r="20" spans="1:14" x14ac:dyDescent="0.2">
      <c r="A20" t="str">
        <f>IF(OR(Calc!$E24="",Calc!$E24="نامعتبر",Calc!$G24=""),"",Calc!$G24)</f>
        <v/>
      </c>
      <c r="B20" t="str">
        <f>IF($A20="","",LEFT(Calc!$E24,4)&amp;MID(Calc!$E24,6,2)&amp;RIGHT(Calc!$E24,2)&amp;Calc!$Q24&amp;"|"&amp;"1"&amp;RIGHT("00000"&amp;15,5))</f>
        <v/>
      </c>
      <c r="C20" t="str">
        <f t="shared" si="0"/>
        <v/>
      </c>
      <c r="D20" t="str">
        <f t="shared" si="1"/>
        <v/>
      </c>
      <c r="F20" t="str">
        <f>IF(Sync!$AH20="","",IF(LEFT(UPPER(TRIM(Sync!$AH20)),2)="SL",UPPER(TRIM(Sync!$AH20)),""))</f>
        <v/>
      </c>
      <c r="G20" t="str">
        <f>IF($F20="","",IF(Sync!$AE20="","",IF(ISNUMBER(Sync!$AE20),IF(AND(Sync!$AE20&gt;=10000101,Sync!$AE20&lt;=99991231),INT(Sync!$AE20/10000),""),IFERROR(VALUE(TRIM(LEFT(Sync!$AE20,FIND("/",Sync!$AE20)-1))),""))))</f>
        <v/>
      </c>
      <c r="H20" t="str">
        <f>IF(OR($F20="",$G20=""),"",IF(ISNUMBER(Sync!$AE20),INT(MOD(Sync!$AE20,10000)/100),IFERROR(VALUE(TRIM(LEFT(MID(Sync!$AE20,FIND("/",Sync!$AE20)+1,20),FIND("/",MID(Sync!$AE20,FIND("/",Sync!$AE20)+1,20))-1))),"")))</f>
        <v/>
      </c>
      <c r="I20" t="str">
        <f>IF(OR($F20="",$G20=""),"",IF(ISNUMBER(Sync!$AE20),MOD(Sync!$AE20,100),IFERROR(VALUE(TRIM(MID(MID(Sync!$AE20,FIND("/",Sync!$AE20)+1,20),FIND("/",MID(Sync!$AE20,FIND("/",Sync!$AE20)+1,20))+1,20))),"")))</f>
        <v/>
      </c>
      <c r="J20" t="str">
        <f t="shared" si="2"/>
        <v/>
      </c>
      <c r="K20" t="str">
        <f>IF(OR($F20="",$J20="",$J20="نامعتبر"),"",LEFT($J20,4)&amp;MID($J20,6,2)&amp;RIGHT($J20,2)&amp;$N20&amp;"|"&amp;"2"&amp;RIGHT("00000"&amp;15,5))</f>
        <v/>
      </c>
      <c r="L20" t="str">
        <f t="shared" si="3"/>
        <v/>
      </c>
      <c r="M20" t="str">
        <f t="shared" si="4"/>
        <v/>
      </c>
      <c r="N20" t="str">
        <f>IF($F20="","",IF(Sync!$AF20="","0000",IF(AND(ISNUMBER(Sync!$AF20),Sync!$AF20&gt;=0,Sync!$AF20&lt;1),RIGHT("00"&amp;HOUR(Sync!$AF20),2)&amp;RIGHT("00"&amp;MINUTE(Sync!$AF20),2),IFERROR(RIGHT("00"&amp;VALUE(LEFT(Sync!$AF20,FIND(":",Sync!$AF20)-1)),2)&amp;RIGHT("00"&amp;VALUE(MID(Sync!$AF20,FIND(":",Sync!$AF20)+1,2)),2),"0000"))))</f>
        <v/>
      </c>
    </row>
    <row r="21" spans="1:14" x14ac:dyDescent="0.2">
      <c r="A21" t="str">
        <f>IF(OR(Calc!$E25="",Calc!$E25="نامعتبر",Calc!$G25=""),"",Calc!$G25)</f>
        <v/>
      </c>
      <c r="B21" t="str">
        <f>IF($A21="","",LEFT(Calc!$E25,4)&amp;MID(Calc!$E25,6,2)&amp;RIGHT(Calc!$E25,2)&amp;Calc!$Q25&amp;"|"&amp;"1"&amp;RIGHT("00000"&amp;16,5))</f>
        <v/>
      </c>
      <c r="C21" t="str">
        <f t="shared" si="0"/>
        <v/>
      </c>
      <c r="D21" t="str">
        <f t="shared" si="1"/>
        <v/>
      </c>
      <c r="F21" t="str">
        <f>IF(Sync!$AH21="","",IF(LEFT(UPPER(TRIM(Sync!$AH21)),2)="SL",UPPER(TRIM(Sync!$AH21)),""))</f>
        <v/>
      </c>
      <c r="G21" t="str">
        <f>IF($F21="","",IF(Sync!$AE21="","",IF(ISNUMBER(Sync!$AE21),IF(AND(Sync!$AE21&gt;=10000101,Sync!$AE21&lt;=99991231),INT(Sync!$AE21/10000),""),IFERROR(VALUE(TRIM(LEFT(Sync!$AE21,FIND("/",Sync!$AE21)-1))),""))))</f>
        <v/>
      </c>
      <c r="H21" t="str">
        <f>IF(OR($F21="",$G21=""),"",IF(ISNUMBER(Sync!$AE21),INT(MOD(Sync!$AE21,10000)/100),IFERROR(VALUE(TRIM(LEFT(MID(Sync!$AE21,FIND("/",Sync!$AE21)+1,20),FIND("/",MID(Sync!$AE21,FIND("/",Sync!$AE21)+1,20))-1))),"")))</f>
        <v/>
      </c>
      <c r="I21" t="str">
        <f>IF(OR($F21="",$G21=""),"",IF(ISNUMBER(Sync!$AE21),MOD(Sync!$AE21,100),IFERROR(VALUE(TRIM(MID(MID(Sync!$AE21,FIND("/",Sync!$AE21)+1,20),FIND("/",MID(Sync!$AE21,FIND("/",Sync!$AE21)+1,20))+1,20))),"")))</f>
        <v/>
      </c>
      <c r="J21" t="str">
        <f t="shared" si="2"/>
        <v/>
      </c>
      <c r="K21" t="str">
        <f>IF(OR($F21="",$J21="",$J21="نامعتبر"),"",LEFT($J21,4)&amp;MID($J21,6,2)&amp;RIGHT($J21,2)&amp;$N21&amp;"|"&amp;"2"&amp;RIGHT("00000"&amp;16,5))</f>
        <v/>
      </c>
      <c r="L21" t="str">
        <f t="shared" si="3"/>
        <v/>
      </c>
      <c r="M21" t="str">
        <f t="shared" si="4"/>
        <v/>
      </c>
      <c r="N21" t="str">
        <f>IF($F21="","",IF(Sync!$AF21="","0000",IF(AND(ISNUMBER(Sync!$AF21),Sync!$AF21&gt;=0,Sync!$AF21&lt;1),RIGHT("00"&amp;HOUR(Sync!$AF21),2)&amp;RIGHT("00"&amp;MINUTE(Sync!$AF21),2),IFERROR(RIGHT("00"&amp;VALUE(LEFT(Sync!$AF21,FIND(":",Sync!$AF21)-1)),2)&amp;RIGHT("00"&amp;VALUE(MID(Sync!$AF21,FIND(":",Sync!$AF21)+1,2)),2),"0000"))))</f>
        <v/>
      </c>
    </row>
    <row r="22" spans="1:14" x14ac:dyDescent="0.2">
      <c r="A22" t="str">
        <f>IF(OR(Calc!$E26="",Calc!$E26="نامعتبر",Calc!$G26=""),"",Calc!$G26)</f>
        <v/>
      </c>
      <c r="B22" t="str">
        <f>IF($A22="","",LEFT(Calc!$E26,4)&amp;MID(Calc!$E26,6,2)&amp;RIGHT(Calc!$E26,2)&amp;Calc!$Q26&amp;"|"&amp;"1"&amp;RIGHT("00000"&amp;17,5))</f>
        <v/>
      </c>
      <c r="C22" t="str">
        <f t="shared" si="0"/>
        <v/>
      </c>
      <c r="D22" t="str">
        <f t="shared" si="1"/>
        <v/>
      </c>
      <c r="F22" t="str">
        <f>IF(Sync!$AH22="","",IF(LEFT(UPPER(TRIM(Sync!$AH22)),2)="SL",UPPER(TRIM(Sync!$AH22)),""))</f>
        <v/>
      </c>
      <c r="G22" t="str">
        <f>IF($F22="","",IF(Sync!$AE22="","",IF(ISNUMBER(Sync!$AE22),IF(AND(Sync!$AE22&gt;=10000101,Sync!$AE22&lt;=99991231),INT(Sync!$AE22/10000),""),IFERROR(VALUE(TRIM(LEFT(Sync!$AE22,FIND("/",Sync!$AE22)-1))),""))))</f>
        <v/>
      </c>
      <c r="H22" t="str">
        <f>IF(OR($F22="",$G22=""),"",IF(ISNUMBER(Sync!$AE22),INT(MOD(Sync!$AE22,10000)/100),IFERROR(VALUE(TRIM(LEFT(MID(Sync!$AE22,FIND("/",Sync!$AE22)+1,20),FIND("/",MID(Sync!$AE22,FIND("/",Sync!$AE22)+1,20))-1))),"")))</f>
        <v/>
      </c>
      <c r="I22" t="str">
        <f>IF(OR($F22="",$G22=""),"",IF(ISNUMBER(Sync!$AE22),MOD(Sync!$AE22,100),IFERROR(VALUE(TRIM(MID(MID(Sync!$AE22,FIND("/",Sync!$AE22)+1,20),FIND("/",MID(Sync!$AE22,FIND("/",Sync!$AE22)+1,20))+1,20))),"")))</f>
        <v/>
      </c>
      <c r="J22" t="str">
        <f t="shared" si="2"/>
        <v/>
      </c>
      <c r="K22" t="str">
        <f>IF(OR($F22="",$J22="",$J22="نامعتبر"),"",LEFT($J22,4)&amp;MID($J22,6,2)&amp;RIGHT($J22,2)&amp;$N22&amp;"|"&amp;"2"&amp;RIGHT("00000"&amp;17,5))</f>
        <v/>
      </c>
      <c r="L22" t="str">
        <f t="shared" si="3"/>
        <v/>
      </c>
      <c r="M22" t="str">
        <f t="shared" si="4"/>
        <v/>
      </c>
      <c r="N22" t="str">
        <f>IF($F22="","",IF(Sync!$AF22="","0000",IF(AND(ISNUMBER(Sync!$AF22),Sync!$AF22&gt;=0,Sync!$AF22&lt;1),RIGHT("00"&amp;HOUR(Sync!$AF22),2)&amp;RIGHT("00"&amp;MINUTE(Sync!$AF22),2),IFERROR(RIGHT("00"&amp;VALUE(LEFT(Sync!$AF22,FIND(":",Sync!$AF22)-1)),2)&amp;RIGHT("00"&amp;VALUE(MID(Sync!$AF22,FIND(":",Sync!$AF22)+1,2)),2),"0000"))))</f>
        <v/>
      </c>
    </row>
    <row r="23" spans="1:14" x14ac:dyDescent="0.2">
      <c r="A23" t="str">
        <f>IF(OR(Calc!$E27="",Calc!$E27="نامعتبر",Calc!$G27=""),"",Calc!$G27)</f>
        <v/>
      </c>
      <c r="B23" t="str">
        <f>IF($A23="","",LEFT(Calc!$E27,4)&amp;MID(Calc!$E27,6,2)&amp;RIGHT(Calc!$E27,2)&amp;Calc!$Q27&amp;"|"&amp;"1"&amp;RIGHT("00000"&amp;18,5))</f>
        <v/>
      </c>
      <c r="C23" t="str">
        <f t="shared" si="0"/>
        <v/>
      </c>
      <c r="D23" t="str">
        <f t="shared" si="1"/>
        <v/>
      </c>
      <c r="F23" t="str">
        <f>IF(Sync!$AH23="","",IF(LEFT(UPPER(TRIM(Sync!$AH23)),2)="SL",UPPER(TRIM(Sync!$AH23)),""))</f>
        <v/>
      </c>
      <c r="G23" t="str">
        <f>IF($F23="","",IF(Sync!$AE23="","",IF(ISNUMBER(Sync!$AE23),IF(AND(Sync!$AE23&gt;=10000101,Sync!$AE23&lt;=99991231),INT(Sync!$AE23/10000),""),IFERROR(VALUE(TRIM(LEFT(Sync!$AE23,FIND("/",Sync!$AE23)-1))),""))))</f>
        <v/>
      </c>
      <c r="H23" t="str">
        <f>IF(OR($F23="",$G23=""),"",IF(ISNUMBER(Sync!$AE23),INT(MOD(Sync!$AE23,10000)/100),IFERROR(VALUE(TRIM(LEFT(MID(Sync!$AE23,FIND("/",Sync!$AE23)+1,20),FIND("/",MID(Sync!$AE23,FIND("/",Sync!$AE23)+1,20))-1))),"")))</f>
        <v/>
      </c>
      <c r="I23" t="str">
        <f>IF(OR($F23="",$G23=""),"",IF(ISNUMBER(Sync!$AE23),MOD(Sync!$AE23,100),IFERROR(VALUE(TRIM(MID(MID(Sync!$AE23,FIND("/",Sync!$AE23)+1,20),FIND("/",MID(Sync!$AE23,FIND("/",Sync!$AE23)+1,20))+1,20))),"")))</f>
        <v/>
      </c>
      <c r="J23" t="str">
        <f t="shared" si="2"/>
        <v/>
      </c>
      <c r="K23" t="str">
        <f>IF(OR($F23="",$J23="",$J23="نامعتبر"),"",LEFT($J23,4)&amp;MID($J23,6,2)&amp;RIGHT($J23,2)&amp;$N23&amp;"|"&amp;"2"&amp;RIGHT("00000"&amp;18,5))</f>
        <v/>
      </c>
      <c r="L23" t="str">
        <f t="shared" si="3"/>
        <v/>
      </c>
      <c r="M23" t="str">
        <f t="shared" si="4"/>
        <v/>
      </c>
      <c r="N23" t="str">
        <f>IF($F23="","",IF(Sync!$AF23="","0000",IF(AND(ISNUMBER(Sync!$AF23),Sync!$AF23&gt;=0,Sync!$AF23&lt;1),RIGHT("00"&amp;HOUR(Sync!$AF23),2)&amp;RIGHT("00"&amp;MINUTE(Sync!$AF23),2),IFERROR(RIGHT("00"&amp;VALUE(LEFT(Sync!$AF23,FIND(":",Sync!$AF23)-1)),2)&amp;RIGHT("00"&amp;VALUE(MID(Sync!$AF23,FIND(":",Sync!$AF23)+1,2)),2),"0000"))))</f>
        <v/>
      </c>
    </row>
    <row r="24" spans="1:14" x14ac:dyDescent="0.2">
      <c r="A24" t="str">
        <f>IF(OR(Calc!$E28="",Calc!$E28="نامعتبر",Calc!$G28=""),"",Calc!$G28)</f>
        <v/>
      </c>
      <c r="B24" t="str">
        <f>IF($A24="","",LEFT(Calc!$E28,4)&amp;MID(Calc!$E28,6,2)&amp;RIGHT(Calc!$E28,2)&amp;Calc!$Q28&amp;"|"&amp;"1"&amp;RIGHT("00000"&amp;19,5))</f>
        <v/>
      </c>
      <c r="C24" t="str">
        <f t="shared" si="0"/>
        <v/>
      </c>
      <c r="D24" t="str">
        <f t="shared" si="1"/>
        <v/>
      </c>
      <c r="F24" t="str">
        <f>IF(Sync!$AH24="","",IF(LEFT(UPPER(TRIM(Sync!$AH24)),2)="SL",UPPER(TRIM(Sync!$AH24)),""))</f>
        <v/>
      </c>
      <c r="G24" t="str">
        <f>IF($F24="","",IF(Sync!$AE24="","",IF(ISNUMBER(Sync!$AE24),IF(AND(Sync!$AE24&gt;=10000101,Sync!$AE24&lt;=99991231),INT(Sync!$AE24/10000),""),IFERROR(VALUE(TRIM(LEFT(Sync!$AE24,FIND("/",Sync!$AE24)-1))),""))))</f>
        <v/>
      </c>
      <c r="H24" t="str">
        <f>IF(OR($F24="",$G24=""),"",IF(ISNUMBER(Sync!$AE24),INT(MOD(Sync!$AE24,10000)/100),IFERROR(VALUE(TRIM(LEFT(MID(Sync!$AE24,FIND("/",Sync!$AE24)+1,20),FIND("/",MID(Sync!$AE24,FIND("/",Sync!$AE24)+1,20))-1))),"")))</f>
        <v/>
      </c>
      <c r="I24" t="str">
        <f>IF(OR($F24="",$G24=""),"",IF(ISNUMBER(Sync!$AE24),MOD(Sync!$AE24,100),IFERROR(VALUE(TRIM(MID(MID(Sync!$AE24,FIND("/",Sync!$AE24)+1,20),FIND("/",MID(Sync!$AE24,FIND("/",Sync!$AE24)+1,20))+1,20))),"")))</f>
        <v/>
      </c>
      <c r="J24" t="str">
        <f t="shared" si="2"/>
        <v/>
      </c>
      <c r="K24" t="str">
        <f>IF(OR($F24="",$J24="",$J24="نامعتبر"),"",LEFT($J24,4)&amp;MID($J24,6,2)&amp;RIGHT($J24,2)&amp;$N24&amp;"|"&amp;"2"&amp;RIGHT("00000"&amp;19,5))</f>
        <v/>
      </c>
      <c r="L24" t="str">
        <f t="shared" si="3"/>
        <v/>
      </c>
      <c r="M24" t="str">
        <f t="shared" si="4"/>
        <v/>
      </c>
      <c r="N24" t="str">
        <f>IF($F24="","",IF(Sync!$AF24="","0000",IF(AND(ISNUMBER(Sync!$AF24),Sync!$AF24&gt;=0,Sync!$AF24&lt;1),RIGHT("00"&amp;HOUR(Sync!$AF24),2)&amp;RIGHT("00"&amp;MINUTE(Sync!$AF24),2),IFERROR(RIGHT("00"&amp;VALUE(LEFT(Sync!$AF24,FIND(":",Sync!$AF24)-1)),2)&amp;RIGHT("00"&amp;VALUE(MID(Sync!$AF24,FIND(":",Sync!$AF24)+1,2)),2),"0000"))))</f>
        <v/>
      </c>
    </row>
    <row r="25" spans="1:14" x14ac:dyDescent="0.2">
      <c r="A25" t="str">
        <f>IF(OR(Calc!$E29="",Calc!$E29="نامعتبر",Calc!$G29=""),"",Calc!$G29)</f>
        <v/>
      </c>
      <c r="B25" t="str">
        <f>IF($A25="","",LEFT(Calc!$E29,4)&amp;MID(Calc!$E29,6,2)&amp;RIGHT(Calc!$E29,2)&amp;Calc!$Q29&amp;"|"&amp;"1"&amp;RIGHT("00000"&amp;20,5))</f>
        <v/>
      </c>
      <c r="C25" t="str">
        <f t="shared" si="0"/>
        <v/>
      </c>
      <c r="D25" t="str">
        <f t="shared" si="1"/>
        <v/>
      </c>
      <c r="F25" t="str">
        <f>IF(Sync!$AH25="","",IF(LEFT(UPPER(TRIM(Sync!$AH25)),2)="SL",UPPER(TRIM(Sync!$AH25)),""))</f>
        <v/>
      </c>
      <c r="G25" t="str">
        <f>IF($F25="","",IF(Sync!$AE25="","",IF(ISNUMBER(Sync!$AE25),IF(AND(Sync!$AE25&gt;=10000101,Sync!$AE25&lt;=99991231),INT(Sync!$AE25/10000),""),IFERROR(VALUE(TRIM(LEFT(Sync!$AE25,FIND("/",Sync!$AE25)-1))),""))))</f>
        <v/>
      </c>
      <c r="H25" t="str">
        <f>IF(OR($F25="",$G25=""),"",IF(ISNUMBER(Sync!$AE25),INT(MOD(Sync!$AE25,10000)/100),IFERROR(VALUE(TRIM(LEFT(MID(Sync!$AE25,FIND("/",Sync!$AE25)+1,20),FIND("/",MID(Sync!$AE25,FIND("/",Sync!$AE25)+1,20))-1))),"")))</f>
        <v/>
      </c>
      <c r="I25" t="str">
        <f>IF(OR($F25="",$G25=""),"",IF(ISNUMBER(Sync!$AE25),MOD(Sync!$AE25,100),IFERROR(VALUE(TRIM(MID(MID(Sync!$AE25,FIND("/",Sync!$AE25)+1,20),FIND("/",MID(Sync!$AE25,FIND("/",Sync!$AE25)+1,20))+1,20))),"")))</f>
        <v/>
      </c>
      <c r="J25" t="str">
        <f t="shared" si="2"/>
        <v/>
      </c>
      <c r="K25" t="str">
        <f>IF(OR($F25="",$J25="",$J25="نامعتبر"),"",LEFT($J25,4)&amp;MID($J25,6,2)&amp;RIGHT($J25,2)&amp;$N25&amp;"|"&amp;"2"&amp;RIGHT("00000"&amp;20,5))</f>
        <v/>
      </c>
      <c r="L25" t="str">
        <f t="shared" si="3"/>
        <v/>
      </c>
      <c r="M25" t="str">
        <f t="shared" si="4"/>
        <v/>
      </c>
      <c r="N25" t="str">
        <f>IF($F25="","",IF(Sync!$AF25="","0000",IF(AND(ISNUMBER(Sync!$AF25),Sync!$AF25&gt;=0,Sync!$AF25&lt;1),RIGHT("00"&amp;HOUR(Sync!$AF25),2)&amp;RIGHT("00"&amp;MINUTE(Sync!$AF25),2),IFERROR(RIGHT("00"&amp;VALUE(LEFT(Sync!$AF25,FIND(":",Sync!$AF25)-1)),2)&amp;RIGHT("00"&amp;VALUE(MID(Sync!$AF25,FIND(":",Sync!$AF25)+1,2)),2),"0000"))))</f>
        <v/>
      </c>
    </row>
    <row r="26" spans="1:14" x14ac:dyDescent="0.2">
      <c r="A26" t="str">
        <f>IF(OR(Calc!$E30="",Calc!$E30="نامعتبر",Calc!$G30=""),"",Calc!$G30)</f>
        <v/>
      </c>
      <c r="B26" t="str">
        <f>IF($A26="","",LEFT(Calc!$E30,4)&amp;MID(Calc!$E30,6,2)&amp;RIGHT(Calc!$E30,2)&amp;Calc!$Q30&amp;"|"&amp;"1"&amp;RIGHT("00000"&amp;21,5))</f>
        <v/>
      </c>
      <c r="C26" t="str">
        <f t="shared" si="0"/>
        <v/>
      </c>
      <c r="D26" t="str">
        <f t="shared" si="1"/>
        <v/>
      </c>
      <c r="F26" t="str">
        <f>IF(Sync!$AH26="","",IF(LEFT(UPPER(TRIM(Sync!$AH26)),2)="SL",UPPER(TRIM(Sync!$AH26)),""))</f>
        <v/>
      </c>
      <c r="G26" t="str">
        <f>IF($F26="","",IF(Sync!$AE26="","",IF(ISNUMBER(Sync!$AE26),IF(AND(Sync!$AE26&gt;=10000101,Sync!$AE26&lt;=99991231),INT(Sync!$AE26/10000),""),IFERROR(VALUE(TRIM(LEFT(Sync!$AE26,FIND("/",Sync!$AE26)-1))),""))))</f>
        <v/>
      </c>
      <c r="H26" t="str">
        <f>IF(OR($F26="",$G26=""),"",IF(ISNUMBER(Sync!$AE26),INT(MOD(Sync!$AE26,10000)/100),IFERROR(VALUE(TRIM(LEFT(MID(Sync!$AE26,FIND("/",Sync!$AE26)+1,20),FIND("/",MID(Sync!$AE26,FIND("/",Sync!$AE26)+1,20))-1))),"")))</f>
        <v/>
      </c>
      <c r="I26" t="str">
        <f>IF(OR($F26="",$G26=""),"",IF(ISNUMBER(Sync!$AE26),MOD(Sync!$AE26,100),IFERROR(VALUE(TRIM(MID(MID(Sync!$AE26,FIND("/",Sync!$AE26)+1,20),FIND("/",MID(Sync!$AE26,FIND("/",Sync!$AE26)+1,20))+1,20))),"")))</f>
        <v/>
      </c>
      <c r="J26" t="str">
        <f t="shared" si="2"/>
        <v/>
      </c>
      <c r="K26" t="str">
        <f>IF(OR($F26="",$J26="",$J26="نامعتبر"),"",LEFT($J26,4)&amp;MID($J26,6,2)&amp;RIGHT($J26,2)&amp;$N26&amp;"|"&amp;"2"&amp;RIGHT("00000"&amp;21,5))</f>
        <v/>
      </c>
      <c r="L26" t="str">
        <f t="shared" si="3"/>
        <v/>
      </c>
      <c r="M26" t="str">
        <f t="shared" si="4"/>
        <v/>
      </c>
      <c r="N26" t="str">
        <f>IF($F26="","",IF(Sync!$AF26="","0000",IF(AND(ISNUMBER(Sync!$AF26),Sync!$AF26&gt;=0,Sync!$AF26&lt;1),RIGHT("00"&amp;HOUR(Sync!$AF26),2)&amp;RIGHT("00"&amp;MINUTE(Sync!$AF26),2),IFERROR(RIGHT("00"&amp;VALUE(LEFT(Sync!$AF26,FIND(":",Sync!$AF26)-1)),2)&amp;RIGHT("00"&amp;VALUE(MID(Sync!$AF26,FIND(":",Sync!$AF26)+1,2)),2),"0000"))))</f>
        <v/>
      </c>
    </row>
    <row r="27" spans="1:14" x14ac:dyDescent="0.2">
      <c r="A27" t="str">
        <f>IF(OR(Calc!$E31="",Calc!$E31="نامعتبر",Calc!$G31=""),"",Calc!$G31)</f>
        <v/>
      </c>
      <c r="B27" t="str">
        <f>IF($A27="","",LEFT(Calc!$E31,4)&amp;MID(Calc!$E31,6,2)&amp;RIGHT(Calc!$E31,2)&amp;Calc!$Q31&amp;"|"&amp;"1"&amp;RIGHT("00000"&amp;22,5))</f>
        <v/>
      </c>
      <c r="C27" t="str">
        <f t="shared" si="0"/>
        <v/>
      </c>
      <c r="D27" t="str">
        <f t="shared" si="1"/>
        <v/>
      </c>
      <c r="F27" t="str">
        <f>IF(Sync!$AH27="","",IF(LEFT(UPPER(TRIM(Sync!$AH27)),2)="SL",UPPER(TRIM(Sync!$AH27)),""))</f>
        <v/>
      </c>
      <c r="G27" t="str">
        <f>IF($F27="","",IF(Sync!$AE27="","",IF(ISNUMBER(Sync!$AE27),IF(AND(Sync!$AE27&gt;=10000101,Sync!$AE27&lt;=99991231),INT(Sync!$AE27/10000),""),IFERROR(VALUE(TRIM(LEFT(Sync!$AE27,FIND("/",Sync!$AE27)-1))),""))))</f>
        <v/>
      </c>
      <c r="H27" t="str">
        <f>IF(OR($F27="",$G27=""),"",IF(ISNUMBER(Sync!$AE27),INT(MOD(Sync!$AE27,10000)/100),IFERROR(VALUE(TRIM(LEFT(MID(Sync!$AE27,FIND("/",Sync!$AE27)+1,20),FIND("/",MID(Sync!$AE27,FIND("/",Sync!$AE27)+1,20))-1))),"")))</f>
        <v/>
      </c>
      <c r="I27" t="str">
        <f>IF(OR($F27="",$G27=""),"",IF(ISNUMBER(Sync!$AE27),MOD(Sync!$AE27,100),IFERROR(VALUE(TRIM(MID(MID(Sync!$AE27,FIND("/",Sync!$AE27)+1,20),FIND("/",MID(Sync!$AE27,FIND("/",Sync!$AE27)+1,20))+1,20))),"")))</f>
        <v/>
      </c>
      <c r="J27" t="str">
        <f t="shared" si="2"/>
        <v/>
      </c>
      <c r="K27" t="str">
        <f>IF(OR($F27="",$J27="",$J27="نامعتبر"),"",LEFT($J27,4)&amp;MID($J27,6,2)&amp;RIGHT($J27,2)&amp;$N27&amp;"|"&amp;"2"&amp;RIGHT("00000"&amp;22,5))</f>
        <v/>
      </c>
      <c r="L27" t="str">
        <f t="shared" si="3"/>
        <v/>
      </c>
      <c r="M27" t="str">
        <f t="shared" si="4"/>
        <v/>
      </c>
      <c r="N27" t="str">
        <f>IF($F27="","",IF(Sync!$AF27="","0000",IF(AND(ISNUMBER(Sync!$AF27),Sync!$AF27&gt;=0,Sync!$AF27&lt;1),RIGHT("00"&amp;HOUR(Sync!$AF27),2)&amp;RIGHT("00"&amp;MINUTE(Sync!$AF27),2),IFERROR(RIGHT("00"&amp;VALUE(LEFT(Sync!$AF27,FIND(":",Sync!$AF27)-1)),2)&amp;RIGHT("00"&amp;VALUE(MID(Sync!$AF27,FIND(":",Sync!$AF27)+1,2)),2),"0000"))))</f>
        <v/>
      </c>
    </row>
    <row r="28" spans="1:14" x14ac:dyDescent="0.2">
      <c r="A28" t="str">
        <f>IF(OR(Calc!$E32="",Calc!$E32="نامعتبر",Calc!$G32=""),"",Calc!$G32)</f>
        <v/>
      </c>
      <c r="B28" t="str">
        <f>IF($A28="","",LEFT(Calc!$E32,4)&amp;MID(Calc!$E32,6,2)&amp;RIGHT(Calc!$E32,2)&amp;Calc!$Q32&amp;"|"&amp;"1"&amp;RIGHT("00000"&amp;23,5))</f>
        <v/>
      </c>
      <c r="C28" t="str">
        <f t="shared" si="0"/>
        <v/>
      </c>
      <c r="D28" t="str">
        <f t="shared" si="1"/>
        <v/>
      </c>
      <c r="F28" t="str">
        <f>IF(Sync!$AH28="","",IF(LEFT(UPPER(TRIM(Sync!$AH28)),2)="SL",UPPER(TRIM(Sync!$AH28)),""))</f>
        <v/>
      </c>
      <c r="G28" t="str">
        <f>IF($F28="","",IF(Sync!$AE28="","",IF(ISNUMBER(Sync!$AE28),IF(AND(Sync!$AE28&gt;=10000101,Sync!$AE28&lt;=99991231),INT(Sync!$AE28/10000),""),IFERROR(VALUE(TRIM(LEFT(Sync!$AE28,FIND("/",Sync!$AE28)-1))),""))))</f>
        <v/>
      </c>
      <c r="H28" t="str">
        <f>IF(OR($F28="",$G28=""),"",IF(ISNUMBER(Sync!$AE28),INT(MOD(Sync!$AE28,10000)/100),IFERROR(VALUE(TRIM(LEFT(MID(Sync!$AE28,FIND("/",Sync!$AE28)+1,20),FIND("/",MID(Sync!$AE28,FIND("/",Sync!$AE28)+1,20))-1))),"")))</f>
        <v/>
      </c>
      <c r="I28" t="str">
        <f>IF(OR($F28="",$G28=""),"",IF(ISNUMBER(Sync!$AE28),MOD(Sync!$AE28,100),IFERROR(VALUE(TRIM(MID(MID(Sync!$AE28,FIND("/",Sync!$AE28)+1,20),FIND("/",MID(Sync!$AE28,FIND("/",Sync!$AE28)+1,20))+1,20))),"")))</f>
        <v/>
      </c>
      <c r="J28" t="str">
        <f t="shared" si="2"/>
        <v/>
      </c>
      <c r="K28" t="str">
        <f>IF(OR($F28="",$J28="",$J28="نامعتبر"),"",LEFT($J28,4)&amp;MID($J28,6,2)&amp;RIGHT($J28,2)&amp;$N28&amp;"|"&amp;"2"&amp;RIGHT("00000"&amp;23,5))</f>
        <v/>
      </c>
      <c r="L28" t="str">
        <f t="shared" si="3"/>
        <v/>
      </c>
      <c r="M28" t="str">
        <f t="shared" si="4"/>
        <v/>
      </c>
      <c r="N28" t="str">
        <f>IF($F28="","",IF(Sync!$AF28="","0000",IF(AND(ISNUMBER(Sync!$AF28),Sync!$AF28&gt;=0,Sync!$AF28&lt;1),RIGHT("00"&amp;HOUR(Sync!$AF28),2)&amp;RIGHT("00"&amp;MINUTE(Sync!$AF28),2),IFERROR(RIGHT("00"&amp;VALUE(LEFT(Sync!$AF28,FIND(":",Sync!$AF28)-1)),2)&amp;RIGHT("00"&amp;VALUE(MID(Sync!$AF28,FIND(":",Sync!$AF28)+1,2)),2),"0000"))))</f>
        <v/>
      </c>
    </row>
    <row r="29" spans="1:14" x14ac:dyDescent="0.2">
      <c r="A29" t="str">
        <f>IF(OR(Calc!$E33="",Calc!$E33="نامعتبر",Calc!$G33=""),"",Calc!$G33)</f>
        <v/>
      </c>
      <c r="B29" t="str">
        <f>IF($A29="","",LEFT(Calc!$E33,4)&amp;MID(Calc!$E33,6,2)&amp;RIGHT(Calc!$E33,2)&amp;Calc!$Q33&amp;"|"&amp;"1"&amp;RIGHT("00000"&amp;24,5))</f>
        <v/>
      </c>
      <c r="C29" t="str">
        <f t="shared" si="0"/>
        <v/>
      </c>
      <c r="D29" t="str">
        <f t="shared" si="1"/>
        <v/>
      </c>
      <c r="F29" t="str">
        <f>IF(Sync!$AH29="","",IF(LEFT(UPPER(TRIM(Sync!$AH29)),2)="SL",UPPER(TRIM(Sync!$AH29)),""))</f>
        <v/>
      </c>
      <c r="G29" t="str">
        <f>IF($F29="","",IF(Sync!$AE29="","",IF(ISNUMBER(Sync!$AE29),IF(AND(Sync!$AE29&gt;=10000101,Sync!$AE29&lt;=99991231),INT(Sync!$AE29/10000),""),IFERROR(VALUE(TRIM(LEFT(Sync!$AE29,FIND("/",Sync!$AE29)-1))),""))))</f>
        <v/>
      </c>
      <c r="H29" t="str">
        <f>IF(OR($F29="",$G29=""),"",IF(ISNUMBER(Sync!$AE29),INT(MOD(Sync!$AE29,10000)/100),IFERROR(VALUE(TRIM(LEFT(MID(Sync!$AE29,FIND("/",Sync!$AE29)+1,20),FIND("/",MID(Sync!$AE29,FIND("/",Sync!$AE29)+1,20))-1))),"")))</f>
        <v/>
      </c>
      <c r="I29" t="str">
        <f>IF(OR($F29="",$G29=""),"",IF(ISNUMBER(Sync!$AE29),MOD(Sync!$AE29,100),IFERROR(VALUE(TRIM(MID(MID(Sync!$AE29,FIND("/",Sync!$AE29)+1,20),FIND("/",MID(Sync!$AE29,FIND("/",Sync!$AE29)+1,20))+1,20))),"")))</f>
        <v/>
      </c>
      <c r="J29" t="str">
        <f t="shared" si="2"/>
        <v/>
      </c>
      <c r="K29" t="str">
        <f>IF(OR($F29="",$J29="",$J29="نامعتبر"),"",LEFT($J29,4)&amp;MID($J29,6,2)&amp;RIGHT($J29,2)&amp;$N29&amp;"|"&amp;"2"&amp;RIGHT("00000"&amp;24,5))</f>
        <v/>
      </c>
      <c r="L29" t="str">
        <f t="shared" si="3"/>
        <v/>
      </c>
      <c r="M29" t="str">
        <f t="shared" si="4"/>
        <v/>
      </c>
      <c r="N29" t="str">
        <f>IF($F29="","",IF(Sync!$AF29="","0000",IF(AND(ISNUMBER(Sync!$AF29),Sync!$AF29&gt;=0,Sync!$AF29&lt;1),RIGHT("00"&amp;HOUR(Sync!$AF29),2)&amp;RIGHT("00"&amp;MINUTE(Sync!$AF29),2),IFERROR(RIGHT("00"&amp;VALUE(LEFT(Sync!$AF29,FIND(":",Sync!$AF29)-1)),2)&amp;RIGHT("00"&amp;VALUE(MID(Sync!$AF29,FIND(":",Sync!$AF29)+1,2)),2),"0000"))))</f>
        <v/>
      </c>
    </row>
    <row r="30" spans="1:14" x14ac:dyDescent="0.2">
      <c r="A30" t="str">
        <f>IF(OR(Calc!$E34="",Calc!$E34="نامعتبر",Calc!$G34=""),"",Calc!$G34)</f>
        <v/>
      </c>
      <c r="B30" t="str">
        <f>IF($A30="","",LEFT(Calc!$E34,4)&amp;MID(Calc!$E34,6,2)&amp;RIGHT(Calc!$E34,2)&amp;Calc!$Q34&amp;"|"&amp;"1"&amp;RIGHT("00000"&amp;25,5))</f>
        <v/>
      </c>
      <c r="C30" t="str">
        <f t="shared" si="0"/>
        <v/>
      </c>
      <c r="D30" t="str">
        <f t="shared" si="1"/>
        <v/>
      </c>
      <c r="F30" t="str">
        <f>IF(Sync!$AH30="","",IF(LEFT(UPPER(TRIM(Sync!$AH30)),2)="SL",UPPER(TRIM(Sync!$AH30)),""))</f>
        <v/>
      </c>
      <c r="G30" t="str">
        <f>IF($F30="","",IF(Sync!$AE30="","",IF(ISNUMBER(Sync!$AE30),IF(AND(Sync!$AE30&gt;=10000101,Sync!$AE30&lt;=99991231),INT(Sync!$AE30/10000),""),IFERROR(VALUE(TRIM(LEFT(Sync!$AE30,FIND("/",Sync!$AE30)-1))),""))))</f>
        <v/>
      </c>
      <c r="H30" t="str">
        <f>IF(OR($F30="",$G30=""),"",IF(ISNUMBER(Sync!$AE30),INT(MOD(Sync!$AE30,10000)/100),IFERROR(VALUE(TRIM(LEFT(MID(Sync!$AE30,FIND("/",Sync!$AE30)+1,20),FIND("/",MID(Sync!$AE30,FIND("/",Sync!$AE30)+1,20))-1))),"")))</f>
        <v/>
      </c>
      <c r="I30" t="str">
        <f>IF(OR($F30="",$G30=""),"",IF(ISNUMBER(Sync!$AE30),MOD(Sync!$AE30,100),IFERROR(VALUE(TRIM(MID(MID(Sync!$AE30,FIND("/",Sync!$AE30)+1,20),FIND("/",MID(Sync!$AE30,FIND("/",Sync!$AE30)+1,20))+1,20))),"")))</f>
        <v/>
      </c>
      <c r="J30" t="str">
        <f t="shared" si="2"/>
        <v/>
      </c>
      <c r="K30" t="str">
        <f>IF(OR($F30="",$J30="",$J30="نامعتبر"),"",LEFT($J30,4)&amp;MID($J30,6,2)&amp;RIGHT($J30,2)&amp;$N30&amp;"|"&amp;"2"&amp;RIGHT("00000"&amp;25,5))</f>
        <v/>
      </c>
      <c r="L30" t="str">
        <f t="shared" si="3"/>
        <v/>
      </c>
      <c r="M30" t="str">
        <f t="shared" si="4"/>
        <v/>
      </c>
      <c r="N30" t="str">
        <f>IF($F30="","",IF(Sync!$AF30="","0000",IF(AND(ISNUMBER(Sync!$AF30),Sync!$AF30&gt;=0,Sync!$AF30&lt;1),RIGHT("00"&amp;HOUR(Sync!$AF30),2)&amp;RIGHT("00"&amp;MINUTE(Sync!$AF30),2),IFERROR(RIGHT("00"&amp;VALUE(LEFT(Sync!$AF30,FIND(":",Sync!$AF30)-1)),2)&amp;RIGHT("00"&amp;VALUE(MID(Sync!$AF30,FIND(":",Sync!$AF30)+1,2)),2),"0000"))))</f>
        <v/>
      </c>
    </row>
    <row r="31" spans="1:14" x14ac:dyDescent="0.2">
      <c r="A31" t="str">
        <f>IF(OR(Calc!$E35="",Calc!$E35="نامعتبر",Calc!$G35=""),"",Calc!$G35)</f>
        <v/>
      </c>
      <c r="B31" t="str">
        <f>IF($A31="","",LEFT(Calc!$E35,4)&amp;MID(Calc!$E35,6,2)&amp;RIGHT(Calc!$E35,2)&amp;Calc!$Q35&amp;"|"&amp;"1"&amp;RIGHT("00000"&amp;26,5))</f>
        <v/>
      </c>
      <c r="C31" t="str">
        <f t="shared" si="0"/>
        <v/>
      </c>
      <c r="D31" t="str">
        <f t="shared" si="1"/>
        <v/>
      </c>
      <c r="F31" t="str">
        <f>IF(Sync!$AH31="","",IF(LEFT(UPPER(TRIM(Sync!$AH31)),2)="SL",UPPER(TRIM(Sync!$AH31)),""))</f>
        <v/>
      </c>
      <c r="G31" t="str">
        <f>IF($F31="","",IF(Sync!$AE31="","",IF(ISNUMBER(Sync!$AE31),IF(AND(Sync!$AE31&gt;=10000101,Sync!$AE31&lt;=99991231),INT(Sync!$AE31/10000),""),IFERROR(VALUE(TRIM(LEFT(Sync!$AE31,FIND("/",Sync!$AE31)-1))),""))))</f>
        <v/>
      </c>
      <c r="H31" t="str">
        <f>IF(OR($F31="",$G31=""),"",IF(ISNUMBER(Sync!$AE31),INT(MOD(Sync!$AE31,10000)/100),IFERROR(VALUE(TRIM(LEFT(MID(Sync!$AE31,FIND("/",Sync!$AE31)+1,20),FIND("/",MID(Sync!$AE31,FIND("/",Sync!$AE31)+1,20))-1))),"")))</f>
        <v/>
      </c>
      <c r="I31" t="str">
        <f>IF(OR($F31="",$G31=""),"",IF(ISNUMBER(Sync!$AE31),MOD(Sync!$AE31,100),IFERROR(VALUE(TRIM(MID(MID(Sync!$AE31,FIND("/",Sync!$AE31)+1,20),FIND("/",MID(Sync!$AE31,FIND("/",Sync!$AE31)+1,20))+1,20))),"")))</f>
        <v/>
      </c>
      <c r="J31" t="str">
        <f t="shared" si="2"/>
        <v/>
      </c>
      <c r="K31" t="str">
        <f>IF(OR($F31="",$J31="",$J31="نامعتبر"),"",LEFT($J31,4)&amp;MID($J31,6,2)&amp;RIGHT($J31,2)&amp;$N31&amp;"|"&amp;"2"&amp;RIGHT("00000"&amp;26,5))</f>
        <v/>
      </c>
      <c r="L31" t="str">
        <f t="shared" si="3"/>
        <v/>
      </c>
      <c r="M31" t="str">
        <f t="shared" si="4"/>
        <v/>
      </c>
      <c r="N31" t="str">
        <f>IF($F31="","",IF(Sync!$AF31="","0000",IF(AND(ISNUMBER(Sync!$AF31),Sync!$AF31&gt;=0,Sync!$AF31&lt;1),RIGHT("00"&amp;HOUR(Sync!$AF31),2)&amp;RIGHT("00"&amp;MINUTE(Sync!$AF31),2),IFERROR(RIGHT("00"&amp;VALUE(LEFT(Sync!$AF31,FIND(":",Sync!$AF31)-1)),2)&amp;RIGHT("00"&amp;VALUE(MID(Sync!$AF31,FIND(":",Sync!$AF31)+1,2)),2),"0000"))))</f>
        <v/>
      </c>
    </row>
    <row r="32" spans="1:14" x14ac:dyDescent="0.2">
      <c r="A32" t="str">
        <f>IF(OR(Calc!$E36="",Calc!$E36="نامعتبر",Calc!$G36=""),"",Calc!$G36)</f>
        <v/>
      </c>
      <c r="B32" t="str">
        <f>IF($A32="","",LEFT(Calc!$E36,4)&amp;MID(Calc!$E36,6,2)&amp;RIGHT(Calc!$E36,2)&amp;Calc!$Q36&amp;"|"&amp;"1"&amp;RIGHT("00000"&amp;27,5))</f>
        <v/>
      </c>
      <c r="C32" t="str">
        <f t="shared" si="0"/>
        <v/>
      </c>
      <c r="D32" t="str">
        <f t="shared" si="1"/>
        <v/>
      </c>
      <c r="F32" t="str">
        <f>IF(Sync!$AH32="","",IF(LEFT(UPPER(TRIM(Sync!$AH32)),2)="SL",UPPER(TRIM(Sync!$AH32)),""))</f>
        <v/>
      </c>
      <c r="G32" t="str">
        <f>IF($F32="","",IF(Sync!$AE32="","",IF(ISNUMBER(Sync!$AE32),IF(AND(Sync!$AE32&gt;=10000101,Sync!$AE32&lt;=99991231),INT(Sync!$AE32/10000),""),IFERROR(VALUE(TRIM(LEFT(Sync!$AE32,FIND("/",Sync!$AE32)-1))),""))))</f>
        <v/>
      </c>
      <c r="H32" t="str">
        <f>IF(OR($F32="",$G32=""),"",IF(ISNUMBER(Sync!$AE32),INT(MOD(Sync!$AE32,10000)/100),IFERROR(VALUE(TRIM(LEFT(MID(Sync!$AE32,FIND("/",Sync!$AE32)+1,20),FIND("/",MID(Sync!$AE32,FIND("/",Sync!$AE32)+1,20))-1))),"")))</f>
        <v/>
      </c>
      <c r="I32" t="str">
        <f>IF(OR($F32="",$G32=""),"",IF(ISNUMBER(Sync!$AE32),MOD(Sync!$AE32,100),IFERROR(VALUE(TRIM(MID(MID(Sync!$AE32,FIND("/",Sync!$AE32)+1,20),FIND("/",MID(Sync!$AE32,FIND("/",Sync!$AE32)+1,20))+1,20))),"")))</f>
        <v/>
      </c>
      <c r="J32" t="str">
        <f t="shared" si="2"/>
        <v/>
      </c>
      <c r="K32" t="str">
        <f>IF(OR($F32="",$J32="",$J32="نامعتبر"),"",LEFT($J32,4)&amp;MID($J32,6,2)&amp;RIGHT($J32,2)&amp;$N32&amp;"|"&amp;"2"&amp;RIGHT("00000"&amp;27,5))</f>
        <v/>
      </c>
      <c r="L32" t="str">
        <f t="shared" si="3"/>
        <v/>
      </c>
      <c r="M32" t="str">
        <f t="shared" si="4"/>
        <v/>
      </c>
      <c r="N32" t="str">
        <f>IF($F32="","",IF(Sync!$AF32="","0000",IF(AND(ISNUMBER(Sync!$AF32),Sync!$AF32&gt;=0,Sync!$AF32&lt;1),RIGHT("00"&amp;HOUR(Sync!$AF32),2)&amp;RIGHT("00"&amp;MINUTE(Sync!$AF32),2),IFERROR(RIGHT("00"&amp;VALUE(LEFT(Sync!$AF32,FIND(":",Sync!$AF32)-1)),2)&amp;RIGHT("00"&amp;VALUE(MID(Sync!$AF32,FIND(":",Sync!$AF32)+1,2)),2),"0000"))))</f>
        <v/>
      </c>
    </row>
    <row r="33" spans="1:14" x14ac:dyDescent="0.2">
      <c r="A33" t="str">
        <f>IF(OR(Calc!$E37="",Calc!$E37="نامعتبر",Calc!$G37=""),"",Calc!$G37)</f>
        <v/>
      </c>
      <c r="B33" t="str">
        <f>IF($A33="","",LEFT(Calc!$E37,4)&amp;MID(Calc!$E37,6,2)&amp;RIGHT(Calc!$E37,2)&amp;Calc!$Q37&amp;"|"&amp;"1"&amp;RIGHT("00000"&amp;28,5))</f>
        <v/>
      </c>
      <c r="C33" t="str">
        <f t="shared" si="0"/>
        <v/>
      </c>
      <c r="D33" t="str">
        <f t="shared" si="1"/>
        <v/>
      </c>
      <c r="F33" t="str">
        <f>IF(Sync!$AH33="","",IF(LEFT(UPPER(TRIM(Sync!$AH33)),2)="SL",UPPER(TRIM(Sync!$AH33)),""))</f>
        <v/>
      </c>
      <c r="G33" t="str">
        <f>IF($F33="","",IF(Sync!$AE33="","",IF(ISNUMBER(Sync!$AE33),IF(AND(Sync!$AE33&gt;=10000101,Sync!$AE33&lt;=99991231),INT(Sync!$AE33/10000),""),IFERROR(VALUE(TRIM(LEFT(Sync!$AE33,FIND("/",Sync!$AE33)-1))),""))))</f>
        <v/>
      </c>
      <c r="H33" t="str">
        <f>IF(OR($F33="",$G33=""),"",IF(ISNUMBER(Sync!$AE33),INT(MOD(Sync!$AE33,10000)/100),IFERROR(VALUE(TRIM(LEFT(MID(Sync!$AE33,FIND("/",Sync!$AE33)+1,20),FIND("/",MID(Sync!$AE33,FIND("/",Sync!$AE33)+1,20))-1))),"")))</f>
        <v/>
      </c>
      <c r="I33" t="str">
        <f>IF(OR($F33="",$G33=""),"",IF(ISNUMBER(Sync!$AE33),MOD(Sync!$AE33,100),IFERROR(VALUE(TRIM(MID(MID(Sync!$AE33,FIND("/",Sync!$AE33)+1,20),FIND("/",MID(Sync!$AE33,FIND("/",Sync!$AE33)+1,20))+1,20))),"")))</f>
        <v/>
      </c>
      <c r="J33" t="str">
        <f t="shared" si="2"/>
        <v/>
      </c>
      <c r="K33" t="str">
        <f>IF(OR($F33="",$J33="",$J33="نامعتبر"),"",LEFT($J33,4)&amp;MID($J33,6,2)&amp;RIGHT($J33,2)&amp;$N33&amp;"|"&amp;"2"&amp;RIGHT("00000"&amp;28,5))</f>
        <v/>
      </c>
      <c r="L33" t="str">
        <f t="shared" si="3"/>
        <v/>
      </c>
      <c r="M33" t="str">
        <f t="shared" si="4"/>
        <v/>
      </c>
      <c r="N33" t="str">
        <f>IF($F33="","",IF(Sync!$AF33="","0000",IF(AND(ISNUMBER(Sync!$AF33),Sync!$AF33&gt;=0,Sync!$AF33&lt;1),RIGHT("00"&amp;HOUR(Sync!$AF33),2)&amp;RIGHT("00"&amp;MINUTE(Sync!$AF33),2),IFERROR(RIGHT("00"&amp;VALUE(LEFT(Sync!$AF33,FIND(":",Sync!$AF33)-1)),2)&amp;RIGHT("00"&amp;VALUE(MID(Sync!$AF33,FIND(":",Sync!$AF33)+1,2)),2),"0000"))))</f>
        <v/>
      </c>
    </row>
    <row r="34" spans="1:14" x14ac:dyDescent="0.2">
      <c r="A34" t="str">
        <f>IF(OR(Calc!$E38="",Calc!$E38="نامعتبر",Calc!$G38=""),"",Calc!$G38)</f>
        <v/>
      </c>
      <c r="B34" t="str">
        <f>IF($A34="","",LEFT(Calc!$E38,4)&amp;MID(Calc!$E38,6,2)&amp;RIGHT(Calc!$E38,2)&amp;Calc!$Q38&amp;"|"&amp;"1"&amp;RIGHT("00000"&amp;29,5))</f>
        <v/>
      </c>
      <c r="C34" t="str">
        <f t="shared" si="0"/>
        <v/>
      </c>
      <c r="D34" t="str">
        <f t="shared" si="1"/>
        <v/>
      </c>
      <c r="F34" t="str">
        <f>IF(Sync!$AH34="","",IF(LEFT(UPPER(TRIM(Sync!$AH34)),2)="SL",UPPER(TRIM(Sync!$AH34)),""))</f>
        <v/>
      </c>
      <c r="G34" t="str">
        <f>IF($F34="","",IF(Sync!$AE34="","",IF(ISNUMBER(Sync!$AE34),IF(AND(Sync!$AE34&gt;=10000101,Sync!$AE34&lt;=99991231),INT(Sync!$AE34/10000),""),IFERROR(VALUE(TRIM(LEFT(Sync!$AE34,FIND("/",Sync!$AE34)-1))),""))))</f>
        <v/>
      </c>
      <c r="H34" t="str">
        <f>IF(OR($F34="",$G34=""),"",IF(ISNUMBER(Sync!$AE34),INT(MOD(Sync!$AE34,10000)/100),IFERROR(VALUE(TRIM(LEFT(MID(Sync!$AE34,FIND("/",Sync!$AE34)+1,20),FIND("/",MID(Sync!$AE34,FIND("/",Sync!$AE34)+1,20))-1))),"")))</f>
        <v/>
      </c>
      <c r="I34" t="str">
        <f>IF(OR($F34="",$G34=""),"",IF(ISNUMBER(Sync!$AE34),MOD(Sync!$AE34,100),IFERROR(VALUE(TRIM(MID(MID(Sync!$AE34,FIND("/",Sync!$AE34)+1,20),FIND("/",MID(Sync!$AE34,FIND("/",Sync!$AE34)+1,20))+1,20))),"")))</f>
        <v/>
      </c>
      <c r="J34" t="str">
        <f t="shared" si="2"/>
        <v/>
      </c>
      <c r="K34" t="str">
        <f>IF(OR($F34="",$J34="",$J34="نامعتبر"),"",LEFT($J34,4)&amp;MID($J34,6,2)&amp;RIGHT($J34,2)&amp;$N34&amp;"|"&amp;"2"&amp;RIGHT("00000"&amp;29,5))</f>
        <v/>
      </c>
      <c r="L34" t="str">
        <f t="shared" si="3"/>
        <v/>
      </c>
      <c r="M34" t="str">
        <f t="shared" si="4"/>
        <v/>
      </c>
      <c r="N34" t="str">
        <f>IF($F34="","",IF(Sync!$AF34="","0000",IF(AND(ISNUMBER(Sync!$AF34),Sync!$AF34&gt;=0,Sync!$AF34&lt;1),RIGHT("00"&amp;HOUR(Sync!$AF34),2)&amp;RIGHT("00"&amp;MINUTE(Sync!$AF34),2),IFERROR(RIGHT("00"&amp;VALUE(LEFT(Sync!$AF34,FIND(":",Sync!$AF34)-1)),2)&amp;RIGHT("00"&amp;VALUE(MID(Sync!$AF34,FIND(":",Sync!$AF34)+1,2)),2),"0000"))))</f>
        <v/>
      </c>
    </row>
    <row r="35" spans="1:14" x14ac:dyDescent="0.2">
      <c r="A35" t="str">
        <f>IF(OR(Calc!$E39="",Calc!$E39="نامعتبر",Calc!$G39=""),"",Calc!$G39)</f>
        <v/>
      </c>
      <c r="B35" t="str">
        <f>IF($A35="","",LEFT(Calc!$E39,4)&amp;MID(Calc!$E39,6,2)&amp;RIGHT(Calc!$E39,2)&amp;Calc!$Q39&amp;"|"&amp;"1"&amp;RIGHT("00000"&amp;30,5))</f>
        <v/>
      </c>
      <c r="C35" t="str">
        <f t="shared" si="0"/>
        <v/>
      </c>
      <c r="D35" t="str">
        <f t="shared" si="1"/>
        <v/>
      </c>
      <c r="F35" t="str">
        <f>IF(Sync!$AH35="","",IF(LEFT(UPPER(TRIM(Sync!$AH35)),2)="SL",UPPER(TRIM(Sync!$AH35)),""))</f>
        <v/>
      </c>
      <c r="G35" t="str">
        <f>IF($F35="","",IF(Sync!$AE35="","",IF(ISNUMBER(Sync!$AE35),IF(AND(Sync!$AE35&gt;=10000101,Sync!$AE35&lt;=99991231),INT(Sync!$AE35/10000),""),IFERROR(VALUE(TRIM(LEFT(Sync!$AE35,FIND("/",Sync!$AE35)-1))),""))))</f>
        <v/>
      </c>
      <c r="H35" t="str">
        <f>IF(OR($F35="",$G35=""),"",IF(ISNUMBER(Sync!$AE35),INT(MOD(Sync!$AE35,10000)/100),IFERROR(VALUE(TRIM(LEFT(MID(Sync!$AE35,FIND("/",Sync!$AE35)+1,20),FIND("/",MID(Sync!$AE35,FIND("/",Sync!$AE35)+1,20))-1))),"")))</f>
        <v/>
      </c>
      <c r="I35" t="str">
        <f>IF(OR($F35="",$G35=""),"",IF(ISNUMBER(Sync!$AE35),MOD(Sync!$AE35,100),IFERROR(VALUE(TRIM(MID(MID(Sync!$AE35,FIND("/",Sync!$AE35)+1,20),FIND("/",MID(Sync!$AE35,FIND("/",Sync!$AE35)+1,20))+1,20))),"")))</f>
        <v/>
      </c>
      <c r="J35" t="str">
        <f t="shared" si="2"/>
        <v/>
      </c>
      <c r="K35" t="str">
        <f>IF(OR($F35="",$J35="",$J35="نامعتبر"),"",LEFT($J35,4)&amp;MID($J35,6,2)&amp;RIGHT($J35,2)&amp;$N35&amp;"|"&amp;"2"&amp;RIGHT("00000"&amp;30,5))</f>
        <v/>
      </c>
      <c r="L35" t="str">
        <f t="shared" si="3"/>
        <v/>
      </c>
      <c r="M35" t="str">
        <f t="shared" si="4"/>
        <v/>
      </c>
      <c r="N35" t="str">
        <f>IF($F35="","",IF(Sync!$AF35="","0000",IF(AND(ISNUMBER(Sync!$AF35),Sync!$AF35&gt;=0,Sync!$AF35&lt;1),RIGHT("00"&amp;HOUR(Sync!$AF35),2)&amp;RIGHT("00"&amp;MINUTE(Sync!$AF35),2),IFERROR(RIGHT("00"&amp;VALUE(LEFT(Sync!$AF35,FIND(":",Sync!$AF35)-1)),2)&amp;RIGHT("00"&amp;VALUE(MID(Sync!$AF35,FIND(":",Sync!$AF35)+1,2)),2),"0000"))))</f>
        <v/>
      </c>
    </row>
    <row r="36" spans="1:14" x14ac:dyDescent="0.2">
      <c r="A36" t="str">
        <f>IF(OR(Calc!$E40="",Calc!$E40="نامعتبر",Calc!$G40=""),"",Calc!$G40)</f>
        <v/>
      </c>
      <c r="B36" t="str">
        <f>IF($A36="","",LEFT(Calc!$E40,4)&amp;MID(Calc!$E40,6,2)&amp;RIGHT(Calc!$E40,2)&amp;Calc!$Q40&amp;"|"&amp;"1"&amp;RIGHT("00000"&amp;31,5))</f>
        <v/>
      </c>
      <c r="C36" t="str">
        <f t="shared" si="0"/>
        <v/>
      </c>
      <c r="D36" t="str">
        <f t="shared" si="1"/>
        <v/>
      </c>
      <c r="F36" t="str">
        <f>IF(Sync!$AH36="","",IF(LEFT(UPPER(TRIM(Sync!$AH36)),2)="SL",UPPER(TRIM(Sync!$AH36)),""))</f>
        <v/>
      </c>
      <c r="G36" t="str">
        <f>IF($F36="","",IF(Sync!$AE36="","",IF(ISNUMBER(Sync!$AE36),IF(AND(Sync!$AE36&gt;=10000101,Sync!$AE36&lt;=99991231),INT(Sync!$AE36/10000),""),IFERROR(VALUE(TRIM(LEFT(Sync!$AE36,FIND("/",Sync!$AE36)-1))),""))))</f>
        <v/>
      </c>
      <c r="H36" t="str">
        <f>IF(OR($F36="",$G36=""),"",IF(ISNUMBER(Sync!$AE36),INT(MOD(Sync!$AE36,10000)/100),IFERROR(VALUE(TRIM(LEFT(MID(Sync!$AE36,FIND("/",Sync!$AE36)+1,20),FIND("/",MID(Sync!$AE36,FIND("/",Sync!$AE36)+1,20))-1))),"")))</f>
        <v/>
      </c>
      <c r="I36" t="str">
        <f>IF(OR($F36="",$G36=""),"",IF(ISNUMBER(Sync!$AE36),MOD(Sync!$AE36,100),IFERROR(VALUE(TRIM(MID(MID(Sync!$AE36,FIND("/",Sync!$AE36)+1,20),FIND("/",MID(Sync!$AE36,FIND("/",Sync!$AE36)+1,20))+1,20))),"")))</f>
        <v/>
      </c>
      <c r="J36" t="str">
        <f t="shared" si="2"/>
        <v/>
      </c>
      <c r="K36" t="str">
        <f>IF(OR($F36="",$J36="",$J36="نامعتبر"),"",LEFT($J36,4)&amp;MID($J36,6,2)&amp;RIGHT($J36,2)&amp;$N36&amp;"|"&amp;"2"&amp;RIGHT("00000"&amp;31,5))</f>
        <v/>
      </c>
      <c r="L36" t="str">
        <f t="shared" si="3"/>
        <v/>
      </c>
      <c r="M36" t="str">
        <f t="shared" si="4"/>
        <v/>
      </c>
      <c r="N36" t="str">
        <f>IF($F36="","",IF(Sync!$AF36="","0000",IF(AND(ISNUMBER(Sync!$AF36),Sync!$AF36&gt;=0,Sync!$AF36&lt;1),RIGHT("00"&amp;HOUR(Sync!$AF36),2)&amp;RIGHT("00"&amp;MINUTE(Sync!$AF36),2),IFERROR(RIGHT("00"&amp;VALUE(LEFT(Sync!$AF36,FIND(":",Sync!$AF36)-1)),2)&amp;RIGHT("00"&amp;VALUE(MID(Sync!$AF36,FIND(":",Sync!$AF36)+1,2)),2),"0000"))))</f>
        <v/>
      </c>
    </row>
    <row r="37" spans="1:14" x14ac:dyDescent="0.2">
      <c r="A37" t="str">
        <f>IF(OR(Calc!$E41="",Calc!$E41="نامعتبر",Calc!$G41=""),"",Calc!$G41)</f>
        <v/>
      </c>
      <c r="B37" t="str">
        <f>IF($A37="","",LEFT(Calc!$E41,4)&amp;MID(Calc!$E41,6,2)&amp;RIGHT(Calc!$E41,2)&amp;Calc!$Q41&amp;"|"&amp;"1"&amp;RIGHT("00000"&amp;32,5))</f>
        <v/>
      </c>
      <c r="C37" t="str">
        <f t="shared" si="0"/>
        <v/>
      </c>
      <c r="D37" t="str">
        <f t="shared" si="1"/>
        <v/>
      </c>
      <c r="F37" t="str">
        <f>IF(Sync!$AH37="","",IF(LEFT(UPPER(TRIM(Sync!$AH37)),2)="SL",UPPER(TRIM(Sync!$AH37)),""))</f>
        <v/>
      </c>
      <c r="G37" t="str">
        <f>IF($F37="","",IF(Sync!$AE37="","",IF(ISNUMBER(Sync!$AE37),IF(AND(Sync!$AE37&gt;=10000101,Sync!$AE37&lt;=99991231),INT(Sync!$AE37/10000),""),IFERROR(VALUE(TRIM(LEFT(Sync!$AE37,FIND("/",Sync!$AE37)-1))),""))))</f>
        <v/>
      </c>
      <c r="H37" t="str">
        <f>IF(OR($F37="",$G37=""),"",IF(ISNUMBER(Sync!$AE37),INT(MOD(Sync!$AE37,10000)/100),IFERROR(VALUE(TRIM(LEFT(MID(Sync!$AE37,FIND("/",Sync!$AE37)+1,20),FIND("/",MID(Sync!$AE37,FIND("/",Sync!$AE37)+1,20))-1))),"")))</f>
        <v/>
      </c>
      <c r="I37" t="str">
        <f>IF(OR($F37="",$G37=""),"",IF(ISNUMBER(Sync!$AE37),MOD(Sync!$AE37,100),IFERROR(VALUE(TRIM(MID(MID(Sync!$AE37,FIND("/",Sync!$AE37)+1,20),FIND("/",MID(Sync!$AE37,FIND("/",Sync!$AE37)+1,20))+1,20))),"")))</f>
        <v/>
      </c>
      <c r="J37" t="str">
        <f t="shared" si="2"/>
        <v/>
      </c>
      <c r="K37" t="str">
        <f>IF(OR($F37="",$J37="",$J37="نامعتبر"),"",LEFT($J37,4)&amp;MID($J37,6,2)&amp;RIGHT($J37,2)&amp;$N37&amp;"|"&amp;"2"&amp;RIGHT("00000"&amp;32,5))</f>
        <v/>
      </c>
      <c r="L37" t="str">
        <f t="shared" si="3"/>
        <v/>
      </c>
      <c r="M37" t="str">
        <f t="shared" si="4"/>
        <v/>
      </c>
      <c r="N37" t="str">
        <f>IF($F37="","",IF(Sync!$AF37="","0000",IF(AND(ISNUMBER(Sync!$AF37),Sync!$AF37&gt;=0,Sync!$AF37&lt;1),RIGHT("00"&amp;HOUR(Sync!$AF37),2)&amp;RIGHT("00"&amp;MINUTE(Sync!$AF37),2),IFERROR(RIGHT("00"&amp;VALUE(LEFT(Sync!$AF37,FIND(":",Sync!$AF37)-1)),2)&amp;RIGHT("00"&amp;VALUE(MID(Sync!$AF37,FIND(":",Sync!$AF37)+1,2)),2),"0000"))))</f>
        <v/>
      </c>
    </row>
    <row r="38" spans="1:14" x14ac:dyDescent="0.2">
      <c r="A38" t="str">
        <f>IF(OR(Calc!$E42="",Calc!$E42="نامعتبر",Calc!$G42=""),"",Calc!$G42)</f>
        <v>SL001</v>
      </c>
      <c r="B38" t="str">
        <f>IF($A38="","",LEFT(Calc!$E42,4)&amp;MID(Calc!$E42,6,2)&amp;RIGHT(Calc!$E42,2)&amp;Calc!$Q42&amp;"|"&amp;"1"&amp;RIGHT("00000"&amp;33,5))</f>
        <v>140507140000|100033</v>
      </c>
      <c r="C38">
        <f t="shared" si="0"/>
        <v>2</v>
      </c>
      <c r="D38" t="str">
        <f t="shared" si="1"/>
        <v>SL001|000002</v>
      </c>
      <c r="F38" t="str">
        <f>IF(Sync!$AH38="","",IF(LEFT(UPPER(TRIM(Sync!$AH38)),2)="SL",UPPER(TRIM(Sync!$AH38)),""))</f>
        <v/>
      </c>
      <c r="G38" t="str">
        <f>IF($F38="","",IF(Sync!$AE38="","",IF(ISNUMBER(Sync!$AE38),IF(AND(Sync!$AE38&gt;=10000101,Sync!$AE38&lt;=99991231),INT(Sync!$AE38/10000),""),IFERROR(VALUE(TRIM(LEFT(Sync!$AE38,FIND("/",Sync!$AE38)-1))),""))))</f>
        <v/>
      </c>
      <c r="H38" t="str">
        <f>IF(OR($F38="",$G38=""),"",IF(ISNUMBER(Sync!$AE38),INT(MOD(Sync!$AE38,10000)/100),IFERROR(VALUE(TRIM(LEFT(MID(Sync!$AE38,FIND("/",Sync!$AE38)+1,20),FIND("/",MID(Sync!$AE38,FIND("/",Sync!$AE38)+1,20))-1))),"")))</f>
        <v/>
      </c>
      <c r="I38" t="str">
        <f>IF(OR($F38="",$G38=""),"",IF(ISNUMBER(Sync!$AE38),MOD(Sync!$AE38,100),IFERROR(VALUE(TRIM(MID(MID(Sync!$AE38,FIND("/",Sync!$AE38)+1,20),FIND("/",MID(Sync!$AE38,FIND("/",Sync!$AE38)+1,20))+1,20))),"")))</f>
        <v/>
      </c>
      <c r="J38" t="str">
        <f t="shared" si="2"/>
        <v/>
      </c>
      <c r="K38" t="str">
        <f>IF(OR($F38="",$J38="",$J38="نامعتبر"),"",LEFT($J38,4)&amp;MID($J38,6,2)&amp;RIGHT($J38,2)&amp;$N38&amp;"|"&amp;"2"&amp;RIGHT("00000"&amp;33,5))</f>
        <v/>
      </c>
      <c r="L38" t="str">
        <f t="shared" si="3"/>
        <v/>
      </c>
      <c r="M38" t="str">
        <f t="shared" si="4"/>
        <v/>
      </c>
      <c r="N38" t="str">
        <f>IF($F38="","",IF(Sync!$AF38="","0000",IF(AND(ISNUMBER(Sync!$AF38),Sync!$AF38&gt;=0,Sync!$AF38&lt;1),RIGHT("00"&amp;HOUR(Sync!$AF38),2)&amp;RIGHT("00"&amp;MINUTE(Sync!$AF38),2),IFERROR(RIGHT("00"&amp;VALUE(LEFT(Sync!$AF38,FIND(":",Sync!$AF38)-1)),2)&amp;RIGHT("00"&amp;VALUE(MID(Sync!$AF38,FIND(":",Sync!$AF38)+1,2)),2),"0000"))))</f>
        <v/>
      </c>
    </row>
    <row r="39" spans="1:14" x14ac:dyDescent="0.2">
      <c r="A39" t="str">
        <f>IF(OR(Calc!$E43="",Calc!$E43="نامعتبر",Calc!$G43=""),"",Calc!$G43)</f>
        <v/>
      </c>
      <c r="B39" t="str">
        <f>IF($A39="","",LEFT(Calc!$E43,4)&amp;MID(Calc!$E43,6,2)&amp;RIGHT(Calc!$E43,2)&amp;Calc!$Q43&amp;"|"&amp;"1"&amp;RIGHT("00000"&amp;34,5))</f>
        <v/>
      </c>
      <c r="C39" t="str">
        <f t="shared" si="0"/>
        <v/>
      </c>
      <c r="D39" t="str">
        <f t="shared" si="1"/>
        <v/>
      </c>
      <c r="F39" t="str">
        <f>IF(Sync!$AH39="","",IF(LEFT(UPPER(TRIM(Sync!$AH39)),2)="SL",UPPER(TRIM(Sync!$AH39)),""))</f>
        <v/>
      </c>
      <c r="G39" t="str">
        <f>IF($F39="","",IF(Sync!$AE39="","",IF(ISNUMBER(Sync!$AE39),IF(AND(Sync!$AE39&gt;=10000101,Sync!$AE39&lt;=99991231),INT(Sync!$AE39/10000),""),IFERROR(VALUE(TRIM(LEFT(Sync!$AE39,FIND("/",Sync!$AE39)-1))),""))))</f>
        <v/>
      </c>
      <c r="H39" t="str">
        <f>IF(OR($F39="",$G39=""),"",IF(ISNUMBER(Sync!$AE39),INT(MOD(Sync!$AE39,10000)/100),IFERROR(VALUE(TRIM(LEFT(MID(Sync!$AE39,FIND("/",Sync!$AE39)+1,20),FIND("/",MID(Sync!$AE39,FIND("/",Sync!$AE39)+1,20))-1))),"")))</f>
        <v/>
      </c>
      <c r="I39" t="str">
        <f>IF(OR($F39="",$G39=""),"",IF(ISNUMBER(Sync!$AE39),MOD(Sync!$AE39,100),IFERROR(VALUE(TRIM(MID(MID(Sync!$AE39,FIND("/",Sync!$AE39)+1,20),FIND("/",MID(Sync!$AE39,FIND("/",Sync!$AE39)+1,20))+1,20))),"")))</f>
        <v/>
      </c>
      <c r="J39" t="str">
        <f t="shared" si="2"/>
        <v/>
      </c>
      <c r="K39" t="str">
        <f>IF(OR($F39="",$J39="",$J39="نامعتبر"),"",LEFT($J39,4)&amp;MID($J39,6,2)&amp;RIGHT($J39,2)&amp;$N39&amp;"|"&amp;"2"&amp;RIGHT("00000"&amp;34,5))</f>
        <v/>
      </c>
      <c r="L39" t="str">
        <f t="shared" si="3"/>
        <v/>
      </c>
      <c r="M39" t="str">
        <f t="shared" si="4"/>
        <v/>
      </c>
      <c r="N39" t="str">
        <f>IF($F39="","",IF(Sync!$AF39="","0000",IF(AND(ISNUMBER(Sync!$AF39),Sync!$AF39&gt;=0,Sync!$AF39&lt;1),RIGHT("00"&amp;HOUR(Sync!$AF39),2)&amp;RIGHT("00"&amp;MINUTE(Sync!$AF39),2),IFERROR(RIGHT("00"&amp;VALUE(LEFT(Sync!$AF39,FIND(":",Sync!$AF39)-1)),2)&amp;RIGHT("00"&amp;VALUE(MID(Sync!$AF39,FIND(":",Sync!$AF39)+1,2)),2),"0000"))))</f>
        <v/>
      </c>
    </row>
    <row r="40" spans="1:14" x14ac:dyDescent="0.2">
      <c r="A40" t="str">
        <f>IF(OR(Calc!$E44="",Calc!$E44="نامعتبر",Calc!$G44=""),"",Calc!$G44)</f>
        <v/>
      </c>
      <c r="B40" t="str">
        <f>IF($A40="","",LEFT(Calc!$E44,4)&amp;MID(Calc!$E44,6,2)&amp;RIGHT(Calc!$E44,2)&amp;Calc!$Q44&amp;"|"&amp;"1"&amp;RIGHT("00000"&amp;35,5))</f>
        <v/>
      </c>
      <c r="C40" t="str">
        <f t="shared" si="0"/>
        <v/>
      </c>
      <c r="D40" t="str">
        <f t="shared" si="1"/>
        <v/>
      </c>
      <c r="F40" t="str">
        <f>IF(Sync!$AH40="","",IF(LEFT(UPPER(TRIM(Sync!$AH40)),2)="SL",UPPER(TRIM(Sync!$AH40)),""))</f>
        <v/>
      </c>
      <c r="G40" t="str">
        <f>IF($F40="","",IF(Sync!$AE40="","",IF(ISNUMBER(Sync!$AE40),IF(AND(Sync!$AE40&gt;=10000101,Sync!$AE40&lt;=99991231),INT(Sync!$AE40/10000),""),IFERROR(VALUE(TRIM(LEFT(Sync!$AE40,FIND("/",Sync!$AE40)-1))),""))))</f>
        <v/>
      </c>
      <c r="H40" t="str">
        <f>IF(OR($F40="",$G40=""),"",IF(ISNUMBER(Sync!$AE40),INT(MOD(Sync!$AE40,10000)/100),IFERROR(VALUE(TRIM(LEFT(MID(Sync!$AE40,FIND("/",Sync!$AE40)+1,20),FIND("/",MID(Sync!$AE40,FIND("/",Sync!$AE40)+1,20))-1))),"")))</f>
        <v/>
      </c>
      <c r="I40" t="str">
        <f>IF(OR($F40="",$G40=""),"",IF(ISNUMBER(Sync!$AE40),MOD(Sync!$AE40,100),IFERROR(VALUE(TRIM(MID(MID(Sync!$AE40,FIND("/",Sync!$AE40)+1,20),FIND("/",MID(Sync!$AE40,FIND("/",Sync!$AE40)+1,20))+1,20))),"")))</f>
        <v/>
      </c>
      <c r="J40" t="str">
        <f t="shared" si="2"/>
        <v/>
      </c>
      <c r="K40" t="str">
        <f>IF(OR($F40="",$J40="",$J40="نامعتبر"),"",LEFT($J40,4)&amp;MID($J40,6,2)&amp;RIGHT($J40,2)&amp;$N40&amp;"|"&amp;"2"&amp;RIGHT("00000"&amp;35,5))</f>
        <v/>
      </c>
      <c r="L40" t="str">
        <f t="shared" si="3"/>
        <v/>
      </c>
      <c r="M40" t="str">
        <f t="shared" si="4"/>
        <v/>
      </c>
      <c r="N40" t="str">
        <f>IF($F40="","",IF(Sync!$AF40="","0000",IF(AND(ISNUMBER(Sync!$AF40),Sync!$AF40&gt;=0,Sync!$AF40&lt;1),RIGHT("00"&amp;HOUR(Sync!$AF40),2)&amp;RIGHT("00"&amp;MINUTE(Sync!$AF40),2),IFERROR(RIGHT("00"&amp;VALUE(LEFT(Sync!$AF40,FIND(":",Sync!$AF40)-1)),2)&amp;RIGHT("00"&amp;VALUE(MID(Sync!$AF40,FIND(":",Sync!$AF40)+1,2)),2),"0000"))))</f>
        <v/>
      </c>
    </row>
    <row r="41" spans="1:14" x14ac:dyDescent="0.2">
      <c r="A41" t="str">
        <f>IF(OR(Calc!$E45="",Calc!$E45="نامعتبر",Calc!$G45=""),"",Calc!$G45)</f>
        <v/>
      </c>
      <c r="B41" t="str">
        <f>IF($A41="","",LEFT(Calc!$E45,4)&amp;MID(Calc!$E45,6,2)&amp;RIGHT(Calc!$E45,2)&amp;Calc!$Q45&amp;"|"&amp;"1"&amp;RIGHT("00000"&amp;36,5))</f>
        <v/>
      </c>
      <c r="C41" t="str">
        <f t="shared" si="0"/>
        <v/>
      </c>
      <c r="D41" t="str">
        <f t="shared" si="1"/>
        <v/>
      </c>
      <c r="F41" t="str">
        <f>IF(Sync!$AH41="","",IF(LEFT(UPPER(TRIM(Sync!$AH41)),2)="SL",UPPER(TRIM(Sync!$AH41)),""))</f>
        <v/>
      </c>
      <c r="G41" t="str">
        <f>IF($F41="","",IF(Sync!$AE41="","",IF(ISNUMBER(Sync!$AE41),IF(AND(Sync!$AE41&gt;=10000101,Sync!$AE41&lt;=99991231),INT(Sync!$AE41/10000),""),IFERROR(VALUE(TRIM(LEFT(Sync!$AE41,FIND("/",Sync!$AE41)-1))),""))))</f>
        <v/>
      </c>
      <c r="H41" t="str">
        <f>IF(OR($F41="",$G41=""),"",IF(ISNUMBER(Sync!$AE41),INT(MOD(Sync!$AE41,10000)/100),IFERROR(VALUE(TRIM(LEFT(MID(Sync!$AE41,FIND("/",Sync!$AE41)+1,20),FIND("/",MID(Sync!$AE41,FIND("/",Sync!$AE41)+1,20))-1))),"")))</f>
        <v/>
      </c>
      <c r="I41" t="str">
        <f>IF(OR($F41="",$G41=""),"",IF(ISNUMBER(Sync!$AE41),MOD(Sync!$AE41,100),IFERROR(VALUE(TRIM(MID(MID(Sync!$AE41,FIND("/",Sync!$AE41)+1,20),FIND("/",MID(Sync!$AE41,FIND("/",Sync!$AE41)+1,20))+1,20))),"")))</f>
        <v/>
      </c>
      <c r="J41" t="str">
        <f t="shared" si="2"/>
        <v/>
      </c>
      <c r="K41" t="str">
        <f>IF(OR($F41="",$J41="",$J41="نامعتبر"),"",LEFT($J41,4)&amp;MID($J41,6,2)&amp;RIGHT($J41,2)&amp;$N41&amp;"|"&amp;"2"&amp;RIGHT("00000"&amp;36,5))</f>
        <v/>
      </c>
      <c r="L41" t="str">
        <f t="shared" si="3"/>
        <v/>
      </c>
      <c r="M41" t="str">
        <f t="shared" si="4"/>
        <v/>
      </c>
      <c r="N41" t="str">
        <f>IF($F41="","",IF(Sync!$AF41="","0000",IF(AND(ISNUMBER(Sync!$AF41),Sync!$AF41&gt;=0,Sync!$AF41&lt;1),RIGHT("00"&amp;HOUR(Sync!$AF41),2)&amp;RIGHT("00"&amp;MINUTE(Sync!$AF41),2),IFERROR(RIGHT("00"&amp;VALUE(LEFT(Sync!$AF41,FIND(":",Sync!$AF41)-1)),2)&amp;RIGHT("00"&amp;VALUE(MID(Sync!$AF41,FIND(":",Sync!$AF41)+1,2)),2),"0000"))))</f>
        <v/>
      </c>
    </row>
    <row r="42" spans="1:14" x14ac:dyDescent="0.2">
      <c r="A42" t="str">
        <f>IF(OR(Calc!$E46="",Calc!$E46="نامعتبر",Calc!$G46=""),"",Calc!$G46)</f>
        <v/>
      </c>
      <c r="B42" t="str">
        <f>IF($A42="","",LEFT(Calc!$E46,4)&amp;MID(Calc!$E46,6,2)&amp;RIGHT(Calc!$E46,2)&amp;Calc!$Q46&amp;"|"&amp;"1"&amp;RIGHT("00000"&amp;37,5))</f>
        <v/>
      </c>
      <c r="C42" t="str">
        <f t="shared" si="0"/>
        <v/>
      </c>
      <c r="D42" t="str">
        <f t="shared" si="1"/>
        <v/>
      </c>
      <c r="F42" t="str">
        <f>IF(Sync!$AH42="","",IF(LEFT(UPPER(TRIM(Sync!$AH42)),2)="SL",UPPER(TRIM(Sync!$AH42)),""))</f>
        <v/>
      </c>
      <c r="G42" t="str">
        <f>IF($F42="","",IF(Sync!$AE42="","",IF(ISNUMBER(Sync!$AE42),IF(AND(Sync!$AE42&gt;=10000101,Sync!$AE42&lt;=99991231),INT(Sync!$AE42/10000),""),IFERROR(VALUE(TRIM(LEFT(Sync!$AE42,FIND("/",Sync!$AE42)-1))),""))))</f>
        <v/>
      </c>
      <c r="H42" t="str">
        <f>IF(OR($F42="",$G42=""),"",IF(ISNUMBER(Sync!$AE42),INT(MOD(Sync!$AE42,10000)/100),IFERROR(VALUE(TRIM(LEFT(MID(Sync!$AE42,FIND("/",Sync!$AE42)+1,20),FIND("/",MID(Sync!$AE42,FIND("/",Sync!$AE42)+1,20))-1))),"")))</f>
        <v/>
      </c>
      <c r="I42" t="str">
        <f>IF(OR($F42="",$G42=""),"",IF(ISNUMBER(Sync!$AE42),MOD(Sync!$AE42,100),IFERROR(VALUE(TRIM(MID(MID(Sync!$AE42,FIND("/",Sync!$AE42)+1,20),FIND("/",MID(Sync!$AE42,FIND("/",Sync!$AE42)+1,20))+1,20))),"")))</f>
        <v/>
      </c>
      <c r="J42" t="str">
        <f t="shared" si="2"/>
        <v/>
      </c>
      <c r="K42" t="str">
        <f>IF(OR($F42="",$J42="",$J42="نامعتبر"),"",LEFT($J42,4)&amp;MID($J42,6,2)&amp;RIGHT($J42,2)&amp;$N42&amp;"|"&amp;"2"&amp;RIGHT("00000"&amp;37,5))</f>
        <v/>
      </c>
      <c r="L42" t="str">
        <f t="shared" si="3"/>
        <v/>
      </c>
      <c r="M42" t="str">
        <f t="shared" si="4"/>
        <v/>
      </c>
      <c r="N42" t="str">
        <f>IF($F42="","",IF(Sync!$AF42="","0000",IF(AND(ISNUMBER(Sync!$AF42),Sync!$AF42&gt;=0,Sync!$AF42&lt;1),RIGHT("00"&amp;HOUR(Sync!$AF42),2)&amp;RIGHT("00"&amp;MINUTE(Sync!$AF42),2),IFERROR(RIGHT("00"&amp;VALUE(LEFT(Sync!$AF42,FIND(":",Sync!$AF42)-1)),2)&amp;RIGHT("00"&amp;VALUE(MID(Sync!$AF42,FIND(":",Sync!$AF42)+1,2)),2),"0000"))))</f>
        <v/>
      </c>
    </row>
    <row r="43" spans="1:14" x14ac:dyDescent="0.2">
      <c r="A43" t="str">
        <f>IF(OR(Calc!$E47="",Calc!$E47="نامعتبر",Calc!$G47=""),"",Calc!$G47)</f>
        <v/>
      </c>
      <c r="B43" t="str">
        <f>IF($A43="","",LEFT(Calc!$E47,4)&amp;MID(Calc!$E47,6,2)&amp;RIGHT(Calc!$E47,2)&amp;Calc!$Q47&amp;"|"&amp;"1"&amp;RIGHT("00000"&amp;38,5))</f>
        <v/>
      </c>
      <c r="C43" t="str">
        <f t="shared" si="0"/>
        <v/>
      </c>
      <c r="D43" t="str">
        <f t="shared" si="1"/>
        <v/>
      </c>
      <c r="F43" t="str">
        <f>IF(Sync!$AH43="","",IF(LEFT(UPPER(TRIM(Sync!$AH43)),2)="SL",UPPER(TRIM(Sync!$AH43)),""))</f>
        <v/>
      </c>
      <c r="G43" t="str">
        <f>IF($F43="","",IF(Sync!$AE43="","",IF(ISNUMBER(Sync!$AE43),IF(AND(Sync!$AE43&gt;=10000101,Sync!$AE43&lt;=99991231),INT(Sync!$AE43/10000),""),IFERROR(VALUE(TRIM(LEFT(Sync!$AE43,FIND("/",Sync!$AE43)-1))),""))))</f>
        <v/>
      </c>
      <c r="H43" t="str">
        <f>IF(OR($F43="",$G43=""),"",IF(ISNUMBER(Sync!$AE43),INT(MOD(Sync!$AE43,10000)/100),IFERROR(VALUE(TRIM(LEFT(MID(Sync!$AE43,FIND("/",Sync!$AE43)+1,20),FIND("/",MID(Sync!$AE43,FIND("/",Sync!$AE43)+1,20))-1))),"")))</f>
        <v/>
      </c>
      <c r="I43" t="str">
        <f>IF(OR($F43="",$G43=""),"",IF(ISNUMBER(Sync!$AE43),MOD(Sync!$AE43,100),IFERROR(VALUE(TRIM(MID(MID(Sync!$AE43,FIND("/",Sync!$AE43)+1,20),FIND("/",MID(Sync!$AE43,FIND("/",Sync!$AE43)+1,20))+1,20))),"")))</f>
        <v/>
      </c>
      <c r="J43" t="str">
        <f t="shared" si="2"/>
        <v/>
      </c>
      <c r="K43" t="str">
        <f>IF(OR($F43="",$J43="",$J43="نامعتبر"),"",LEFT($J43,4)&amp;MID($J43,6,2)&amp;RIGHT($J43,2)&amp;$N43&amp;"|"&amp;"2"&amp;RIGHT("00000"&amp;38,5))</f>
        <v/>
      </c>
      <c r="L43" t="str">
        <f t="shared" si="3"/>
        <v/>
      </c>
      <c r="M43" t="str">
        <f t="shared" si="4"/>
        <v/>
      </c>
      <c r="N43" t="str">
        <f>IF($F43="","",IF(Sync!$AF43="","0000",IF(AND(ISNUMBER(Sync!$AF43),Sync!$AF43&gt;=0,Sync!$AF43&lt;1),RIGHT("00"&amp;HOUR(Sync!$AF43),2)&amp;RIGHT("00"&amp;MINUTE(Sync!$AF43),2),IFERROR(RIGHT("00"&amp;VALUE(LEFT(Sync!$AF43,FIND(":",Sync!$AF43)-1)),2)&amp;RIGHT("00"&amp;VALUE(MID(Sync!$AF43,FIND(":",Sync!$AF43)+1,2)),2),"0000"))))</f>
        <v/>
      </c>
    </row>
    <row r="44" spans="1:14" x14ac:dyDescent="0.2">
      <c r="A44" t="str">
        <f>IF(OR(Calc!$E48="",Calc!$E48="نامعتبر",Calc!$G48=""),"",Calc!$G48)</f>
        <v>SL002</v>
      </c>
      <c r="B44" t="str">
        <f>IF($A44="","",LEFT(Calc!$E48,4)&amp;MID(Calc!$E48,6,2)&amp;RIGHT(Calc!$E48,2)&amp;Calc!$Q48&amp;"|"&amp;"1"&amp;RIGHT("00000"&amp;39,5))</f>
        <v>140507150000|100039</v>
      </c>
      <c r="C44">
        <f t="shared" si="0"/>
        <v>2</v>
      </c>
      <c r="D44" t="str">
        <f t="shared" si="1"/>
        <v>SL002|000002</v>
      </c>
      <c r="F44" t="str">
        <f>IF(Sync!$AH44="","",IF(LEFT(UPPER(TRIM(Sync!$AH44)),2)="SL",UPPER(TRIM(Sync!$AH44)),""))</f>
        <v/>
      </c>
      <c r="G44" t="str">
        <f>IF($F44="","",IF(Sync!$AE44="","",IF(ISNUMBER(Sync!$AE44),IF(AND(Sync!$AE44&gt;=10000101,Sync!$AE44&lt;=99991231),INT(Sync!$AE44/10000),""),IFERROR(VALUE(TRIM(LEFT(Sync!$AE44,FIND("/",Sync!$AE44)-1))),""))))</f>
        <v/>
      </c>
      <c r="H44" t="str">
        <f>IF(OR($F44="",$G44=""),"",IF(ISNUMBER(Sync!$AE44),INT(MOD(Sync!$AE44,10000)/100),IFERROR(VALUE(TRIM(LEFT(MID(Sync!$AE44,FIND("/",Sync!$AE44)+1,20),FIND("/",MID(Sync!$AE44,FIND("/",Sync!$AE44)+1,20))-1))),"")))</f>
        <v/>
      </c>
      <c r="I44" t="str">
        <f>IF(OR($F44="",$G44=""),"",IF(ISNUMBER(Sync!$AE44),MOD(Sync!$AE44,100),IFERROR(VALUE(TRIM(MID(MID(Sync!$AE44,FIND("/",Sync!$AE44)+1,20),FIND("/",MID(Sync!$AE44,FIND("/",Sync!$AE44)+1,20))+1,20))),"")))</f>
        <v/>
      </c>
      <c r="J44" t="str">
        <f t="shared" si="2"/>
        <v/>
      </c>
      <c r="K44" t="str">
        <f>IF(OR($F44="",$J44="",$J44="نامعتبر"),"",LEFT($J44,4)&amp;MID($J44,6,2)&amp;RIGHT($J44,2)&amp;$N44&amp;"|"&amp;"2"&amp;RIGHT("00000"&amp;39,5))</f>
        <v/>
      </c>
      <c r="L44" t="str">
        <f t="shared" si="3"/>
        <v/>
      </c>
      <c r="M44" t="str">
        <f t="shared" si="4"/>
        <v/>
      </c>
      <c r="N44" t="str">
        <f>IF($F44="","",IF(Sync!$AF44="","0000",IF(AND(ISNUMBER(Sync!$AF44),Sync!$AF44&gt;=0,Sync!$AF44&lt;1),RIGHT("00"&amp;HOUR(Sync!$AF44),2)&amp;RIGHT("00"&amp;MINUTE(Sync!$AF44),2),IFERROR(RIGHT("00"&amp;VALUE(LEFT(Sync!$AF44,FIND(":",Sync!$AF44)-1)),2)&amp;RIGHT("00"&amp;VALUE(MID(Sync!$AF44,FIND(":",Sync!$AF44)+1,2)),2),"0000"))))</f>
        <v/>
      </c>
    </row>
    <row r="45" spans="1:14" x14ac:dyDescent="0.2">
      <c r="A45" t="str">
        <f>IF(OR(Calc!$E49="",Calc!$E49="نامعتبر",Calc!$G49=""),"",Calc!$G49)</f>
        <v/>
      </c>
      <c r="B45" t="str">
        <f>IF($A45="","",LEFT(Calc!$E49,4)&amp;MID(Calc!$E49,6,2)&amp;RIGHT(Calc!$E49,2)&amp;Calc!$Q49&amp;"|"&amp;"1"&amp;RIGHT("00000"&amp;40,5))</f>
        <v/>
      </c>
      <c r="C45" t="str">
        <f t="shared" si="0"/>
        <v/>
      </c>
      <c r="D45" t="str">
        <f t="shared" si="1"/>
        <v/>
      </c>
      <c r="F45" t="str">
        <f>IF(Sync!$AH45="","",IF(LEFT(UPPER(TRIM(Sync!$AH45)),2)="SL",UPPER(TRIM(Sync!$AH45)),""))</f>
        <v/>
      </c>
      <c r="G45" t="str">
        <f>IF($F45="","",IF(Sync!$AE45="","",IF(ISNUMBER(Sync!$AE45),IF(AND(Sync!$AE45&gt;=10000101,Sync!$AE45&lt;=99991231),INT(Sync!$AE45/10000),""),IFERROR(VALUE(TRIM(LEFT(Sync!$AE45,FIND("/",Sync!$AE45)-1))),""))))</f>
        <v/>
      </c>
      <c r="H45" t="str">
        <f>IF(OR($F45="",$G45=""),"",IF(ISNUMBER(Sync!$AE45),INT(MOD(Sync!$AE45,10000)/100),IFERROR(VALUE(TRIM(LEFT(MID(Sync!$AE45,FIND("/",Sync!$AE45)+1,20),FIND("/",MID(Sync!$AE45,FIND("/",Sync!$AE45)+1,20))-1))),"")))</f>
        <v/>
      </c>
      <c r="I45" t="str">
        <f>IF(OR($F45="",$G45=""),"",IF(ISNUMBER(Sync!$AE45),MOD(Sync!$AE45,100),IFERROR(VALUE(TRIM(MID(MID(Sync!$AE45,FIND("/",Sync!$AE45)+1,20),FIND("/",MID(Sync!$AE45,FIND("/",Sync!$AE45)+1,20))+1,20))),"")))</f>
        <v/>
      </c>
      <c r="J45" t="str">
        <f t="shared" si="2"/>
        <v/>
      </c>
      <c r="K45" t="str">
        <f>IF(OR($F45="",$J45="",$J45="نامعتبر"),"",LEFT($J45,4)&amp;MID($J45,6,2)&amp;RIGHT($J45,2)&amp;$N45&amp;"|"&amp;"2"&amp;RIGHT("00000"&amp;40,5))</f>
        <v/>
      </c>
      <c r="L45" t="str">
        <f t="shared" si="3"/>
        <v/>
      </c>
      <c r="M45" t="str">
        <f t="shared" si="4"/>
        <v/>
      </c>
      <c r="N45" t="str">
        <f>IF($F45="","",IF(Sync!$AF45="","0000",IF(AND(ISNUMBER(Sync!$AF45),Sync!$AF45&gt;=0,Sync!$AF45&lt;1),RIGHT("00"&amp;HOUR(Sync!$AF45),2)&amp;RIGHT("00"&amp;MINUTE(Sync!$AF45),2),IFERROR(RIGHT("00"&amp;VALUE(LEFT(Sync!$AF45,FIND(":",Sync!$AF45)-1)),2)&amp;RIGHT("00"&amp;VALUE(MID(Sync!$AF45,FIND(":",Sync!$AF45)+1,2)),2),"0000"))))</f>
        <v/>
      </c>
    </row>
    <row r="46" spans="1:14" x14ac:dyDescent="0.2">
      <c r="A46" t="str">
        <f>IF(OR(Calc!$E50="",Calc!$E50="نامعتبر",Calc!$G50=""),"",Calc!$G50)</f>
        <v/>
      </c>
      <c r="B46" t="str">
        <f>IF($A46="","",LEFT(Calc!$E50,4)&amp;MID(Calc!$E50,6,2)&amp;RIGHT(Calc!$E50,2)&amp;Calc!$Q50&amp;"|"&amp;"1"&amp;RIGHT("00000"&amp;41,5))</f>
        <v/>
      </c>
      <c r="C46" t="str">
        <f t="shared" si="0"/>
        <v/>
      </c>
      <c r="D46" t="str">
        <f t="shared" si="1"/>
        <v/>
      </c>
      <c r="F46" t="str">
        <f>IF(Sync!$AH46="","",IF(LEFT(UPPER(TRIM(Sync!$AH46)),2)="SL",UPPER(TRIM(Sync!$AH46)),""))</f>
        <v/>
      </c>
      <c r="G46" t="str">
        <f>IF($F46="","",IF(Sync!$AE46="","",IF(ISNUMBER(Sync!$AE46),IF(AND(Sync!$AE46&gt;=10000101,Sync!$AE46&lt;=99991231),INT(Sync!$AE46/10000),""),IFERROR(VALUE(TRIM(LEFT(Sync!$AE46,FIND("/",Sync!$AE46)-1))),""))))</f>
        <v/>
      </c>
      <c r="H46" t="str">
        <f>IF(OR($F46="",$G46=""),"",IF(ISNUMBER(Sync!$AE46),INT(MOD(Sync!$AE46,10000)/100),IFERROR(VALUE(TRIM(LEFT(MID(Sync!$AE46,FIND("/",Sync!$AE46)+1,20),FIND("/",MID(Sync!$AE46,FIND("/",Sync!$AE46)+1,20))-1))),"")))</f>
        <v/>
      </c>
      <c r="I46" t="str">
        <f>IF(OR($F46="",$G46=""),"",IF(ISNUMBER(Sync!$AE46),MOD(Sync!$AE46,100),IFERROR(VALUE(TRIM(MID(MID(Sync!$AE46,FIND("/",Sync!$AE46)+1,20),FIND("/",MID(Sync!$AE46,FIND("/",Sync!$AE46)+1,20))+1,20))),"")))</f>
        <v/>
      </c>
      <c r="J46" t="str">
        <f t="shared" si="2"/>
        <v/>
      </c>
      <c r="K46" t="str">
        <f>IF(OR($F46="",$J46="",$J46="نامعتبر"),"",LEFT($J46,4)&amp;MID($J46,6,2)&amp;RIGHT($J46,2)&amp;$N46&amp;"|"&amp;"2"&amp;RIGHT("00000"&amp;41,5))</f>
        <v/>
      </c>
      <c r="L46" t="str">
        <f t="shared" si="3"/>
        <v/>
      </c>
      <c r="M46" t="str">
        <f t="shared" si="4"/>
        <v/>
      </c>
      <c r="N46" t="str">
        <f>IF($F46="","",IF(Sync!$AF46="","0000",IF(AND(ISNUMBER(Sync!$AF46),Sync!$AF46&gt;=0,Sync!$AF46&lt;1),RIGHT("00"&amp;HOUR(Sync!$AF46),2)&amp;RIGHT("00"&amp;MINUTE(Sync!$AF46),2),IFERROR(RIGHT("00"&amp;VALUE(LEFT(Sync!$AF46,FIND(":",Sync!$AF46)-1)),2)&amp;RIGHT("00"&amp;VALUE(MID(Sync!$AF46,FIND(":",Sync!$AF46)+1,2)),2),"0000"))))</f>
        <v/>
      </c>
    </row>
    <row r="47" spans="1:14" x14ac:dyDescent="0.2">
      <c r="A47" t="str">
        <f>IF(OR(Calc!$E51="",Calc!$E51="نامعتبر",Calc!$G51=""),"",Calc!$G51)</f>
        <v>SL003</v>
      </c>
      <c r="B47" t="str">
        <f>IF($A47="","",LEFT(Calc!$E51,4)&amp;MID(Calc!$E51,6,2)&amp;RIGHT(Calc!$E51,2)&amp;Calc!$Q51&amp;"|"&amp;"1"&amp;RIGHT("00000"&amp;42,5))</f>
        <v>140507150000|100042</v>
      </c>
      <c r="C47">
        <f t="shared" si="0"/>
        <v>1</v>
      </c>
      <c r="D47" t="str">
        <f t="shared" si="1"/>
        <v>SL003|000001</v>
      </c>
      <c r="F47" t="str">
        <f>IF(Sync!$AH47="","",IF(LEFT(UPPER(TRIM(Sync!$AH47)),2)="SL",UPPER(TRIM(Sync!$AH47)),""))</f>
        <v/>
      </c>
      <c r="G47" t="str">
        <f>IF($F47="","",IF(Sync!$AE47="","",IF(ISNUMBER(Sync!$AE47),IF(AND(Sync!$AE47&gt;=10000101,Sync!$AE47&lt;=99991231),INT(Sync!$AE47/10000),""),IFERROR(VALUE(TRIM(LEFT(Sync!$AE47,FIND("/",Sync!$AE47)-1))),""))))</f>
        <v/>
      </c>
      <c r="H47" t="str">
        <f>IF(OR($F47="",$G47=""),"",IF(ISNUMBER(Sync!$AE47),INT(MOD(Sync!$AE47,10000)/100),IFERROR(VALUE(TRIM(LEFT(MID(Sync!$AE47,FIND("/",Sync!$AE47)+1,20),FIND("/",MID(Sync!$AE47,FIND("/",Sync!$AE47)+1,20))-1))),"")))</f>
        <v/>
      </c>
      <c r="I47" t="str">
        <f>IF(OR($F47="",$G47=""),"",IF(ISNUMBER(Sync!$AE47),MOD(Sync!$AE47,100),IFERROR(VALUE(TRIM(MID(MID(Sync!$AE47,FIND("/",Sync!$AE47)+1,20),FIND("/",MID(Sync!$AE47,FIND("/",Sync!$AE47)+1,20))+1,20))),"")))</f>
        <v/>
      </c>
      <c r="J47" t="str">
        <f t="shared" si="2"/>
        <v/>
      </c>
      <c r="K47" t="str">
        <f>IF(OR($F47="",$J47="",$J47="نامعتبر"),"",LEFT($J47,4)&amp;MID($J47,6,2)&amp;RIGHT($J47,2)&amp;$N47&amp;"|"&amp;"2"&amp;RIGHT("00000"&amp;42,5))</f>
        <v/>
      </c>
      <c r="L47" t="str">
        <f t="shared" si="3"/>
        <v/>
      </c>
      <c r="M47" t="str">
        <f t="shared" si="4"/>
        <v/>
      </c>
      <c r="N47" t="str">
        <f>IF($F47="","",IF(Sync!$AF47="","0000",IF(AND(ISNUMBER(Sync!$AF47),Sync!$AF47&gt;=0,Sync!$AF47&lt;1),RIGHT("00"&amp;HOUR(Sync!$AF47),2)&amp;RIGHT("00"&amp;MINUTE(Sync!$AF47),2),IFERROR(RIGHT("00"&amp;VALUE(LEFT(Sync!$AF47,FIND(":",Sync!$AF47)-1)),2)&amp;RIGHT("00"&amp;VALUE(MID(Sync!$AF47,FIND(":",Sync!$AF47)+1,2)),2),"0000"))))</f>
        <v/>
      </c>
    </row>
    <row r="48" spans="1:14" x14ac:dyDescent="0.2">
      <c r="A48" t="str">
        <f>IF(OR(Calc!$E52="",Calc!$E52="نامعتبر",Calc!$G52=""),"",Calc!$G52)</f>
        <v>SL001</v>
      </c>
      <c r="B48" t="str">
        <f>IF($A48="","",LEFT(Calc!$E52,4)&amp;MID(Calc!$E52,6,2)&amp;RIGHT(Calc!$E52,2)&amp;Calc!$Q52&amp;"|"&amp;"1"&amp;RIGHT("00000"&amp;43,5))</f>
        <v>140507150000|100043</v>
      </c>
      <c r="C48">
        <f t="shared" si="0"/>
        <v>3</v>
      </c>
      <c r="D48" t="str">
        <f t="shared" si="1"/>
        <v>SL001|000003</v>
      </c>
      <c r="F48" t="str">
        <f>IF(Sync!$AH48="","",IF(LEFT(UPPER(TRIM(Sync!$AH48)),2)="SL",UPPER(TRIM(Sync!$AH48)),""))</f>
        <v/>
      </c>
      <c r="G48" t="str">
        <f>IF($F48="","",IF(Sync!$AE48="","",IF(ISNUMBER(Sync!$AE48),IF(AND(Sync!$AE48&gt;=10000101,Sync!$AE48&lt;=99991231),INT(Sync!$AE48/10000),""),IFERROR(VALUE(TRIM(LEFT(Sync!$AE48,FIND("/",Sync!$AE48)-1))),""))))</f>
        <v/>
      </c>
      <c r="H48" t="str">
        <f>IF(OR($F48="",$G48=""),"",IF(ISNUMBER(Sync!$AE48),INT(MOD(Sync!$AE48,10000)/100),IFERROR(VALUE(TRIM(LEFT(MID(Sync!$AE48,FIND("/",Sync!$AE48)+1,20),FIND("/",MID(Sync!$AE48,FIND("/",Sync!$AE48)+1,20))-1))),"")))</f>
        <v/>
      </c>
      <c r="I48" t="str">
        <f>IF(OR($F48="",$G48=""),"",IF(ISNUMBER(Sync!$AE48),MOD(Sync!$AE48,100),IFERROR(VALUE(TRIM(MID(MID(Sync!$AE48,FIND("/",Sync!$AE48)+1,20),FIND("/",MID(Sync!$AE48,FIND("/",Sync!$AE48)+1,20))+1,20))),"")))</f>
        <v/>
      </c>
      <c r="J48" t="str">
        <f t="shared" si="2"/>
        <v/>
      </c>
      <c r="K48" t="str">
        <f>IF(OR($F48="",$J48="",$J48="نامعتبر"),"",LEFT($J48,4)&amp;MID($J48,6,2)&amp;RIGHT($J48,2)&amp;$N48&amp;"|"&amp;"2"&amp;RIGHT("00000"&amp;43,5))</f>
        <v/>
      </c>
      <c r="L48" t="str">
        <f t="shared" si="3"/>
        <v/>
      </c>
      <c r="M48" t="str">
        <f t="shared" si="4"/>
        <v/>
      </c>
      <c r="N48" t="str">
        <f>IF($F48="","",IF(Sync!$AF48="","0000",IF(AND(ISNUMBER(Sync!$AF48),Sync!$AF48&gt;=0,Sync!$AF48&lt;1),RIGHT("00"&amp;HOUR(Sync!$AF48),2)&amp;RIGHT("00"&amp;MINUTE(Sync!$AF48),2),IFERROR(RIGHT("00"&amp;VALUE(LEFT(Sync!$AF48,FIND(":",Sync!$AF48)-1)),2)&amp;RIGHT("00"&amp;VALUE(MID(Sync!$AF48,FIND(":",Sync!$AF48)+1,2)),2),"0000"))))</f>
        <v/>
      </c>
    </row>
    <row r="49" spans="1:14" x14ac:dyDescent="0.2">
      <c r="A49" t="str">
        <f>IF(OR(Calc!$E53="",Calc!$E53="نامعتبر",Calc!$G53=""),"",Calc!$G53)</f>
        <v/>
      </c>
      <c r="B49" t="str">
        <f>IF($A49="","",LEFT(Calc!$E53,4)&amp;MID(Calc!$E53,6,2)&amp;RIGHT(Calc!$E53,2)&amp;Calc!$Q53&amp;"|"&amp;"1"&amp;RIGHT("00000"&amp;44,5))</f>
        <v/>
      </c>
      <c r="C49" t="str">
        <f t="shared" si="0"/>
        <v/>
      </c>
      <c r="D49" t="str">
        <f t="shared" si="1"/>
        <v/>
      </c>
      <c r="F49" t="str">
        <f>IF(Sync!$AH49="","",IF(LEFT(UPPER(TRIM(Sync!$AH49)),2)="SL",UPPER(TRIM(Sync!$AH49)),""))</f>
        <v/>
      </c>
      <c r="G49" t="str">
        <f>IF($F49="","",IF(Sync!$AE49="","",IF(ISNUMBER(Sync!$AE49),IF(AND(Sync!$AE49&gt;=10000101,Sync!$AE49&lt;=99991231),INT(Sync!$AE49/10000),""),IFERROR(VALUE(TRIM(LEFT(Sync!$AE49,FIND("/",Sync!$AE49)-1))),""))))</f>
        <v/>
      </c>
      <c r="H49" t="str">
        <f>IF(OR($F49="",$G49=""),"",IF(ISNUMBER(Sync!$AE49),INT(MOD(Sync!$AE49,10000)/100),IFERROR(VALUE(TRIM(LEFT(MID(Sync!$AE49,FIND("/",Sync!$AE49)+1,20),FIND("/",MID(Sync!$AE49,FIND("/",Sync!$AE49)+1,20))-1))),"")))</f>
        <v/>
      </c>
      <c r="I49" t="str">
        <f>IF(OR($F49="",$G49=""),"",IF(ISNUMBER(Sync!$AE49),MOD(Sync!$AE49,100),IFERROR(VALUE(TRIM(MID(MID(Sync!$AE49,FIND("/",Sync!$AE49)+1,20),FIND("/",MID(Sync!$AE49,FIND("/",Sync!$AE49)+1,20))+1,20))),"")))</f>
        <v/>
      </c>
      <c r="J49" t="str">
        <f t="shared" si="2"/>
        <v/>
      </c>
      <c r="K49" t="str">
        <f>IF(OR($F49="",$J49="",$J49="نامعتبر"),"",LEFT($J49,4)&amp;MID($J49,6,2)&amp;RIGHT($J49,2)&amp;$N49&amp;"|"&amp;"2"&amp;RIGHT("00000"&amp;44,5))</f>
        <v/>
      </c>
      <c r="L49" t="str">
        <f t="shared" si="3"/>
        <v/>
      </c>
      <c r="M49" t="str">
        <f t="shared" si="4"/>
        <v/>
      </c>
      <c r="N49" t="str">
        <f>IF($F49="","",IF(Sync!$AF49="","0000",IF(AND(ISNUMBER(Sync!$AF49),Sync!$AF49&gt;=0,Sync!$AF49&lt;1),RIGHT("00"&amp;HOUR(Sync!$AF49),2)&amp;RIGHT("00"&amp;MINUTE(Sync!$AF49),2),IFERROR(RIGHT("00"&amp;VALUE(LEFT(Sync!$AF49,FIND(":",Sync!$AF49)-1)),2)&amp;RIGHT("00"&amp;VALUE(MID(Sync!$AF49,FIND(":",Sync!$AF49)+1,2)),2),"0000"))))</f>
        <v/>
      </c>
    </row>
    <row r="50" spans="1:14" x14ac:dyDescent="0.2">
      <c r="A50" t="str">
        <f>IF(OR(Calc!$E54="",Calc!$E54="نامعتبر",Calc!$G54=""),"",Calc!$G54)</f>
        <v/>
      </c>
      <c r="B50" t="str">
        <f>IF($A50="","",LEFT(Calc!$E54,4)&amp;MID(Calc!$E54,6,2)&amp;RIGHT(Calc!$E54,2)&amp;Calc!$Q54&amp;"|"&amp;"1"&amp;RIGHT("00000"&amp;45,5))</f>
        <v/>
      </c>
      <c r="C50" t="str">
        <f t="shared" si="0"/>
        <v/>
      </c>
      <c r="D50" t="str">
        <f t="shared" si="1"/>
        <v/>
      </c>
      <c r="F50" t="str">
        <f>IF(Sync!$AH50="","",IF(LEFT(UPPER(TRIM(Sync!$AH50)),2)="SL",UPPER(TRIM(Sync!$AH50)),""))</f>
        <v/>
      </c>
      <c r="G50" t="str">
        <f>IF($F50="","",IF(Sync!$AE50="","",IF(ISNUMBER(Sync!$AE50),IF(AND(Sync!$AE50&gt;=10000101,Sync!$AE50&lt;=99991231),INT(Sync!$AE50/10000),""),IFERROR(VALUE(TRIM(LEFT(Sync!$AE50,FIND("/",Sync!$AE50)-1))),""))))</f>
        <v/>
      </c>
      <c r="H50" t="str">
        <f>IF(OR($F50="",$G50=""),"",IF(ISNUMBER(Sync!$AE50),INT(MOD(Sync!$AE50,10000)/100),IFERROR(VALUE(TRIM(LEFT(MID(Sync!$AE50,FIND("/",Sync!$AE50)+1,20),FIND("/",MID(Sync!$AE50,FIND("/",Sync!$AE50)+1,20))-1))),"")))</f>
        <v/>
      </c>
      <c r="I50" t="str">
        <f>IF(OR($F50="",$G50=""),"",IF(ISNUMBER(Sync!$AE50),MOD(Sync!$AE50,100),IFERROR(VALUE(TRIM(MID(MID(Sync!$AE50,FIND("/",Sync!$AE50)+1,20),FIND("/",MID(Sync!$AE50,FIND("/",Sync!$AE50)+1,20))+1,20))),"")))</f>
        <v/>
      </c>
      <c r="J50" t="str">
        <f t="shared" si="2"/>
        <v/>
      </c>
      <c r="K50" t="str">
        <f>IF(OR($F50="",$J50="",$J50="نامعتبر"),"",LEFT($J50,4)&amp;MID($J50,6,2)&amp;RIGHT($J50,2)&amp;$N50&amp;"|"&amp;"2"&amp;RIGHT("00000"&amp;45,5))</f>
        <v/>
      </c>
      <c r="L50" t="str">
        <f t="shared" si="3"/>
        <v/>
      </c>
      <c r="M50" t="str">
        <f t="shared" si="4"/>
        <v/>
      </c>
      <c r="N50" t="str">
        <f>IF($F50="","",IF(Sync!$AF50="","0000",IF(AND(ISNUMBER(Sync!$AF50),Sync!$AF50&gt;=0,Sync!$AF50&lt;1),RIGHT("00"&amp;HOUR(Sync!$AF50),2)&amp;RIGHT("00"&amp;MINUTE(Sync!$AF50),2),IFERROR(RIGHT("00"&amp;VALUE(LEFT(Sync!$AF50,FIND(":",Sync!$AF50)-1)),2)&amp;RIGHT("00"&amp;VALUE(MID(Sync!$AF50,FIND(":",Sync!$AF50)+1,2)),2),"0000"))))</f>
        <v/>
      </c>
    </row>
    <row r="51" spans="1:14" x14ac:dyDescent="0.2">
      <c r="A51" t="str">
        <f>IF(OR(Calc!$E55="",Calc!$E55="نامعتبر",Calc!$G55=""),"",Calc!$G55)</f>
        <v/>
      </c>
      <c r="B51" t="str">
        <f>IF($A51="","",LEFT(Calc!$E55,4)&amp;MID(Calc!$E55,6,2)&amp;RIGHT(Calc!$E55,2)&amp;Calc!$Q55&amp;"|"&amp;"1"&amp;RIGHT("00000"&amp;46,5))</f>
        <v/>
      </c>
      <c r="C51" t="str">
        <f t="shared" si="0"/>
        <v/>
      </c>
      <c r="D51" t="str">
        <f t="shared" si="1"/>
        <v/>
      </c>
      <c r="F51" t="str">
        <f>IF(Sync!$AH51="","",IF(LEFT(UPPER(TRIM(Sync!$AH51)),2)="SL",UPPER(TRIM(Sync!$AH51)),""))</f>
        <v/>
      </c>
      <c r="G51" t="str">
        <f>IF($F51="","",IF(Sync!$AE51="","",IF(ISNUMBER(Sync!$AE51),IF(AND(Sync!$AE51&gt;=10000101,Sync!$AE51&lt;=99991231),INT(Sync!$AE51/10000),""),IFERROR(VALUE(TRIM(LEFT(Sync!$AE51,FIND("/",Sync!$AE51)-1))),""))))</f>
        <v/>
      </c>
      <c r="H51" t="str">
        <f>IF(OR($F51="",$G51=""),"",IF(ISNUMBER(Sync!$AE51),INT(MOD(Sync!$AE51,10000)/100),IFERROR(VALUE(TRIM(LEFT(MID(Sync!$AE51,FIND("/",Sync!$AE51)+1,20),FIND("/",MID(Sync!$AE51,FIND("/",Sync!$AE51)+1,20))-1))),"")))</f>
        <v/>
      </c>
      <c r="I51" t="str">
        <f>IF(OR($F51="",$G51=""),"",IF(ISNUMBER(Sync!$AE51),MOD(Sync!$AE51,100),IFERROR(VALUE(TRIM(MID(MID(Sync!$AE51,FIND("/",Sync!$AE51)+1,20),FIND("/",MID(Sync!$AE51,FIND("/",Sync!$AE51)+1,20))+1,20))),"")))</f>
        <v/>
      </c>
      <c r="J51" t="str">
        <f t="shared" si="2"/>
        <v/>
      </c>
      <c r="K51" t="str">
        <f>IF(OR($F51="",$J51="",$J51="نامعتبر"),"",LEFT($J51,4)&amp;MID($J51,6,2)&amp;RIGHT($J51,2)&amp;$N51&amp;"|"&amp;"2"&amp;RIGHT("00000"&amp;46,5))</f>
        <v/>
      </c>
      <c r="L51" t="str">
        <f t="shared" si="3"/>
        <v/>
      </c>
      <c r="M51" t="str">
        <f t="shared" si="4"/>
        <v/>
      </c>
      <c r="N51" t="str">
        <f>IF($F51="","",IF(Sync!$AF51="","0000",IF(AND(ISNUMBER(Sync!$AF51),Sync!$AF51&gt;=0,Sync!$AF51&lt;1),RIGHT("00"&amp;HOUR(Sync!$AF51),2)&amp;RIGHT("00"&amp;MINUTE(Sync!$AF51),2),IFERROR(RIGHT("00"&amp;VALUE(LEFT(Sync!$AF51,FIND(":",Sync!$AF51)-1)),2)&amp;RIGHT("00"&amp;VALUE(MID(Sync!$AF51,FIND(":",Sync!$AF51)+1,2)),2),"0000"))))</f>
        <v/>
      </c>
    </row>
    <row r="52" spans="1:14" x14ac:dyDescent="0.2">
      <c r="A52" t="str">
        <f>IF(OR(Calc!$E56="",Calc!$E56="نامعتبر",Calc!$G56=""),"",Calc!$G56)</f>
        <v/>
      </c>
      <c r="B52" t="str">
        <f>IF($A52="","",LEFT(Calc!$E56,4)&amp;MID(Calc!$E56,6,2)&amp;RIGHT(Calc!$E56,2)&amp;Calc!$Q56&amp;"|"&amp;"1"&amp;RIGHT("00000"&amp;47,5))</f>
        <v/>
      </c>
      <c r="C52" t="str">
        <f t="shared" si="0"/>
        <v/>
      </c>
      <c r="D52" t="str">
        <f t="shared" si="1"/>
        <v/>
      </c>
      <c r="F52" t="str">
        <f>IF(Sync!$AH52="","",IF(LEFT(UPPER(TRIM(Sync!$AH52)),2)="SL",UPPER(TRIM(Sync!$AH52)),""))</f>
        <v/>
      </c>
      <c r="G52" t="str">
        <f>IF($F52="","",IF(Sync!$AE52="","",IF(ISNUMBER(Sync!$AE52),IF(AND(Sync!$AE52&gt;=10000101,Sync!$AE52&lt;=99991231),INT(Sync!$AE52/10000),""),IFERROR(VALUE(TRIM(LEFT(Sync!$AE52,FIND("/",Sync!$AE52)-1))),""))))</f>
        <v/>
      </c>
      <c r="H52" t="str">
        <f>IF(OR($F52="",$G52=""),"",IF(ISNUMBER(Sync!$AE52),INT(MOD(Sync!$AE52,10000)/100),IFERROR(VALUE(TRIM(LEFT(MID(Sync!$AE52,FIND("/",Sync!$AE52)+1,20),FIND("/",MID(Sync!$AE52,FIND("/",Sync!$AE52)+1,20))-1))),"")))</f>
        <v/>
      </c>
      <c r="I52" t="str">
        <f>IF(OR($F52="",$G52=""),"",IF(ISNUMBER(Sync!$AE52),MOD(Sync!$AE52,100),IFERROR(VALUE(TRIM(MID(MID(Sync!$AE52,FIND("/",Sync!$AE52)+1,20),FIND("/",MID(Sync!$AE52,FIND("/",Sync!$AE52)+1,20))+1,20))),"")))</f>
        <v/>
      </c>
      <c r="J52" t="str">
        <f t="shared" si="2"/>
        <v/>
      </c>
      <c r="K52" t="str">
        <f>IF(OR($F52="",$J52="",$J52="نامعتبر"),"",LEFT($J52,4)&amp;MID($J52,6,2)&amp;RIGHT($J52,2)&amp;$N52&amp;"|"&amp;"2"&amp;RIGHT("00000"&amp;47,5))</f>
        <v/>
      </c>
      <c r="L52" t="str">
        <f t="shared" si="3"/>
        <v/>
      </c>
      <c r="M52" t="str">
        <f t="shared" si="4"/>
        <v/>
      </c>
      <c r="N52" t="str">
        <f>IF($F52="","",IF(Sync!$AF52="","0000",IF(AND(ISNUMBER(Sync!$AF52),Sync!$AF52&gt;=0,Sync!$AF52&lt;1),RIGHT("00"&amp;HOUR(Sync!$AF52),2)&amp;RIGHT("00"&amp;MINUTE(Sync!$AF52),2),IFERROR(RIGHT("00"&amp;VALUE(LEFT(Sync!$AF52,FIND(":",Sync!$AF52)-1)),2)&amp;RIGHT("00"&amp;VALUE(MID(Sync!$AF52,FIND(":",Sync!$AF52)+1,2)),2),"0000"))))</f>
        <v/>
      </c>
    </row>
    <row r="53" spans="1:14" x14ac:dyDescent="0.2">
      <c r="A53" t="str">
        <f>IF(OR(Calc!$E57="",Calc!$E57="نامعتبر",Calc!$G57=""),"",Calc!$G57)</f>
        <v>SL004</v>
      </c>
      <c r="B53" t="str">
        <f>IF($A53="","",LEFT(Calc!$E57,4)&amp;MID(Calc!$E57,6,2)&amp;RIGHT(Calc!$E57,2)&amp;Calc!$Q57&amp;"|"&amp;"1"&amp;RIGHT("00000"&amp;48,5))</f>
        <v>140507160000|100048</v>
      </c>
      <c r="C53">
        <f t="shared" si="0"/>
        <v>1</v>
      </c>
      <c r="D53" t="str">
        <f t="shared" si="1"/>
        <v>SL004|000001</v>
      </c>
      <c r="F53" t="str">
        <f>IF(Sync!$AH53="","",IF(LEFT(UPPER(TRIM(Sync!$AH53)),2)="SL",UPPER(TRIM(Sync!$AH53)),""))</f>
        <v/>
      </c>
      <c r="G53" t="str">
        <f>IF($F53="","",IF(Sync!$AE53="","",IF(ISNUMBER(Sync!$AE53),IF(AND(Sync!$AE53&gt;=10000101,Sync!$AE53&lt;=99991231),INT(Sync!$AE53/10000),""),IFERROR(VALUE(TRIM(LEFT(Sync!$AE53,FIND("/",Sync!$AE53)-1))),""))))</f>
        <v/>
      </c>
      <c r="H53" t="str">
        <f>IF(OR($F53="",$G53=""),"",IF(ISNUMBER(Sync!$AE53),INT(MOD(Sync!$AE53,10000)/100),IFERROR(VALUE(TRIM(LEFT(MID(Sync!$AE53,FIND("/",Sync!$AE53)+1,20),FIND("/",MID(Sync!$AE53,FIND("/",Sync!$AE53)+1,20))-1))),"")))</f>
        <v/>
      </c>
      <c r="I53" t="str">
        <f>IF(OR($F53="",$G53=""),"",IF(ISNUMBER(Sync!$AE53),MOD(Sync!$AE53,100),IFERROR(VALUE(TRIM(MID(MID(Sync!$AE53,FIND("/",Sync!$AE53)+1,20),FIND("/",MID(Sync!$AE53,FIND("/",Sync!$AE53)+1,20))+1,20))),"")))</f>
        <v/>
      </c>
      <c r="J53" t="str">
        <f t="shared" si="2"/>
        <v/>
      </c>
      <c r="K53" t="str">
        <f>IF(OR($F53="",$J53="",$J53="نامعتبر"),"",LEFT($J53,4)&amp;MID($J53,6,2)&amp;RIGHT($J53,2)&amp;$N53&amp;"|"&amp;"2"&amp;RIGHT("00000"&amp;48,5))</f>
        <v/>
      </c>
      <c r="L53" t="str">
        <f t="shared" si="3"/>
        <v/>
      </c>
      <c r="M53" t="str">
        <f t="shared" si="4"/>
        <v/>
      </c>
      <c r="N53" t="str">
        <f>IF($F53="","",IF(Sync!$AF53="","0000",IF(AND(ISNUMBER(Sync!$AF53),Sync!$AF53&gt;=0,Sync!$AF53&lt;1),RIGHT("00"&amp;HOUR(Sync!$AF53),2)&amp;RIGHT("00"&amp;MINUTE(Sync!$AF53),2),IFERROR(RIGHT("00"&amp;VALUE(LEFT(Sync!$AF53,FIND(":",Sync!$AF53)-1)),2)&amp;RIGHT("00"&amp;VALUE(MID(Sync!$AF53,FIND(":",Sync!$AF53)+1,2)),2),"0000"))))</f>
        <v/>
      </c>
    </row>
    <row r="54" spans="1:14" x14ac:dyDescent="0.2">
      <c r="A54" t="str">
        <f>IF(OR(Calc!$E58="",Calc!$E58="نامعتبر",Calc!$G58=""),"",Calc!$G58)</f>
        <v/>
      </c>
      <c r="B54" t="str">
        <f>IF($A54="","",LEFT(Calc!$E58,4)&amp;MID(Calc!$E58,6,2)&amp;RIGHT(Calc!$E58,2)&amp;Calc!$Q58&amp;"|"&amp;"1"&amp;RIGHT("00000"&amp;49,5))</f>
        <v/>
      </c>
      <c r="C54" t="str">
        <f t="shared" si="0"/>
        <v/>
      </c>
      <c r="D54" t="str">
        <f t="shared" si="1"/>
        <v/>
      </c>
      <c r="F54" t="str">
        <f>IF(Sync!$AH54="","",IF(LEFT(UPPER(TRIM(Sync!$AH54)),2)="SL",UPPER(TRIM(Sync!$AH54)),""))</f>
        <v/>
      </c>
      <c r="G54" t="str">
        <f>IF($F54="","",IF(Sync!$AE54="","",IF(ISNUMBER(Sync!$AE54),IF(AND(Sync!$AE54&gt;=10000101,Sync!$AE54&lt;=99991231),INT(Sync!$AE54/10000),""),IFERROR(VALUE(TRIM(LEFT(Sync!$AE54,FIND("/",Sync!$AE54)-1))),""))))</f>
        <v/>
      </c>
      <c r="H54" t="str">
        <f>IF(OR($F54="",$G54=""),"",IF(ISNUMBER(Sync!$AE54),INT(MOD(Sync!$AE54,10000)/100),IFERROR(VALUE(TRIM(LEFT(MID(Sync!$AE54,FIND("/",Sync!$AE54)+1,20),FIND("/",MID(Sync!$AE54,FIND("/",Sync!$AE54)+1,20))-1))),"")))</f>
        <v/>
      </c>
      <c r="I54" t="str">
        <f>IF(OR($F54="",$G54=""),"",IF(ISNUMBER(Sync!$AE54),MOD(Sync!$AE54,100),IFERROR(VALUE(TRIM(MID(MID(Sync!$AE54,FIND("/",Sync!$AE54)+1,20),FIND("/",MID(Sync!$AE54,FIND("/",Sync!$AE54)+1,20))+1,20))),"")))</f>
        <v/>
      </c>
      <c r="J54" t="str">
        <f t="shared" si="2"/>
        <v/>
      </c>
      <c r="K54" t="str">
        <f>IF(OR($F54="",$J54="",$J54="نامعتبر"),"",LEFT($J54,4)&amp;MID($J54,6,2)&amp;RIGHT($J54,2)&amp;$N54&amp;"|"&amp;"2"&amp;RIGHT("00000"&amp;49,5))</f>
        <v/>
      </c>
      <c r="L54" t="str">
        <f t="shared" si="3"/>
        <v/>
      </c>
      <c r="M54" t="str">
        <f t="shared" si="4"/>
        <v/>
      </c>
      <c r="N54" t="str">
        <f>IF($F54="","",IF(Sync!$AF54="","0000",IF(AND(ISNUMBER(Sync!$AF54),Sync!$AF54&gt;=0,Sync!$AF54&lt;1),RIGHT("00"&amp;HOUR(Sync!$AF54),2)&amp;RIGHT("00"&amp;MINUTE(Sync!$AF54),2),IFERROR(RIGHT("00"&amp;VALUE(LEFT(Sync!$AF54,FIND(":",Sync!$AF54)-1)),2)&amp;RIGHT("00"&amp;VALUE(MID(Sync!$AF54,FIND(":",Sync!$AF54)+1,2)),2),"0000"))))</f>
        <v/>
      </c>
    </row>
    <row r="55" spans="1:14" x14ac:dyDescent="0.2">
      <c r="A55" t="str">
        <f>IF(OR(Calc!$E59="",Calc!$E59="نامعتبر",Calc!$G59=""),"",Calc!$G59)</f>
        <v/>
      </c>
      <c r="B55" t="str">
        <f>IF($A55="","",LEFT(Calc!$E59,4)&amp;MID(Calc!$E59,6,2)&amp;RIGHT(Calc!$E59,2)&amp;Calc!$Q59&amp;"|"&amp;"1"&amp;RIGHT("00000"&amp;50,5))</f>
        <v/>
      </c>
      <c r="C55" t="str">
        <f t="shared" si="0"/>
        <v/>
      </c>
      <c r="D55" t="str">
        <f t="shared" si="1"/>
        <v/>
      </c>
      <c r="F55" t="str">
        <f>IF(Sync!$AH55="","",IF(LEFT(UPPER(TRIM(Sync!$AH55)),2)="SL",UPPER(TRIM(Sync!$AH55)),""))</f>
        <v/>
      </c>
      <c r="G55" t="str">
        <f>IF($F55="","",IF(Sync!$AE55="","",IF(ISNUMBER(Sync!$AE55),IF(AND(Sync!$AE55&gt;=10000101,Sync!$AE55&lt;=99991231),INT(Sync!$AE55/10000),""),IFERROR(VALUE(TRIM(LEFT(Sync!$AE55,FIND("/",Sync!$AE55)-1))),""))))</f>
        <v/>
      </c>
      <c r="H55" t="str">
        <f>IF(OR($F55="",$G55=""),"",IF(ISNUMBER(Sync!$AE55),INT(MOD(Sync!$AE55,10000)/100),IFERROR(VALUE(TRIM(LEFT(MID(Sync!$AE55,FIND("/",Sync!$AE55)+1,20),FIND("/",MID(Sync!$AE55,FIND("/",Sync!$AE55)+1,20))-1))),"")))</f>
        <v/>
      </c>
      <c r="I55" t="str">
        <f>IF(OR($F55="",$G55=""),"",IF(ISNUMBER(Sync!$AE55),MOD(Sync!$AE55,100),IFERROR(VALUE(TRIM(MID(MID(Sync!$AE55,FIND("/",Sync!$AE55)+1,20),FIND("/",MID(Sync!$AE55,FIND("/",Sync!$AE55)+1,20))+1,20))),"")))</f>
        <v/>
      </c>
      <c r="J55" t="str">
        <f t="shared" si="2"/>
        <v/>
      </c>
      <c r="K55" t="str">
        <f>IF(OR($F55="",$J55="",$J55="نامعتبر"),"",LEFT($J55,4)&amp;MID($J55,6,2)&amp;RIGHT($J55,2)&amp;$N55&amp;"|"&amp;"2"&amp;RIGHT("00000"&amp;50,5))</f>
        <v/>
      </c>
      <c r="L55" t="str">
        <f t="shared" si="3"/>
        <v/>
      </c>
      <c r="M55" t="str">
        <f t="shared" si="4"/>
        <v/>
      </c>
      <c r="N55" t="str">
        <f>IF($F55="","",IF(Sync!$AF55="","0000",IF(AND(ISNUMBER(Sync!$AF55),Sync!$AF55&gt;=0,Sync!$AF55&lt;1),RIGHT("00"&amp;HOUR(Sync!$AF55),2)&amp;RIGHT("00"&amp;MINUTE(Sync!$AF55),2),IFERROR(RIGHT("00"&amp;VALUE(LEFT(Sync!$AF55,FIND(":",Sync!$AF55)-1)),2)&amp;RIGHT("00"&amp;VALUE(MID(Sync!$AF55,FIND(":",Sync!$AF55)+1,2)),2),"0000"))))</f>
        <v/>
      </c>
    </row>
    <row r="56" spans="1:14" x14ac:dyDescent="0.2">
      <c r="A56" t="str">
        <f>IF(OR(Calc!$E60="",Calc!$E60="نامعتبر",Calc!$G60=""),"",Calc!$G60)</f>
        <v/>
      </c>
      <c r="B56" t="str">
        <f>IF($A56="","",LEFT(Calc!$E60,4)&amp;MID(Calc!$E60,6,2)&amp;RIGHT(Calc!$E60,2)&amp;Calc!$Q60&amp;"|"&amp;"1"&amp;RIGHT("00000"&amp;51,5))</f>
        <v/>
      </c>
      <c r="C56" t="str">
        <f t="shared" si="0"/>
        <v/>
      </c>
      <c r="D56" t="str">
        <f t="shared" si="1"/>
        <v/>
      </c>
      <c r="F56" t="str">
        <f>IF(Sync!$AH56="","",IF(LEFT(UPPER(TRIM(Sync!$AH56)),2)="SL",UPPER(TRIM(Sync!$AH56)),""))</f>
        <v/>
      </c>
      <c r="G56" t="str">
        <f>IF($F56="","",IF(Sync!$AE56="","",IF(ISNUMBER(Sync!$AE56),IF(AND(Sync!$AE56&gt;=10000101,Sync!$AE56&lt;=99991231),INT(Sync!$AE56/10000),""),IFERROR(VALUE(TRIM(LEFT(Sync!$AE56,FIND("/",Sync!$AE56)-1))),""))))</f>
        <v/>
      </c>
      <c r="H56" t="str">
        <f>IF(OR($F56="",$G56=""),"",IF(ISNUMBER(Sync!$AE56),INT(MOD(Sync!$AE56,10000)/100),IFERROR(VALUE(TRIM(LEFT(MID(Sync!$AE56,FIND("/",Sync!$AE56)+1,20),FIND("/",MID(Sync!$AE56,FIND("/",Sync!$AE56)+1,20))-1))),"")))</f>
        <v/>
      </c>
      <c r="I56" t="str">
        <f>IF(OR($F56="",$G56=""),"",IF(ISNUMBER(Sync!$AE56),MOD(Sync!$AE56,100),IFERROR(VALUE(TRIM(MID(MID(Sync!$AE56,FIND("/",Sync!$AE56)+1,20),FIND("/",MID(Sync!$AE56,FIND("/",Sync!$AE56)+1,20))+1,20))),"")))</f>
        <v/>
      </c>
      <c r="J56" t="str">
        <f t="shared" si="2"/>
        <v/>
      </c>
      <c r="K56" t="str">
        <f>IF(OR($F56="",$J56="",$J56="نامعتبر"),"",LEFT($J56,4)&amp;MID($J56,6,2)&amp;RIGHT($J56,2)&amp;$N56&amp;"|"&amp;"2"&amp;RIGHT("00000"&amp;51,5))</f>
        <v/>
      </c>
      <c r="L56" t="str">
        <f t="shared" si="3"/>
        <v/>
      </c>
      <c r="M56" t="str">
        <f t="shared" si="4"/>
        <v/>
      </c>
      <c r="N56" t="str">
        <f>IF($F56="","",IF(Sync!$AF56="","0000",IF(AND(ISNUMBER(Sync!$AF56),Sync!$AF56&gt;=0,Sync!$AF56&lt;1),RIGHT("00"&amp;HOUR(Sync!$AF56),2)&amp;RIGHT("00"&amp;MINUTE(Sync!$AF56),2),IFERROR(RIGHT("00"&amp;VALUE(LEFT(Sync!$AF56,FIND(":",Sync!$AF56)-1)),2)&amp;RIGHT("00"&amp;VALUE(MID(Sync!$AF56,FIND(":",Sync!$AF56)+1,2)),2),"0000"))))</f>
        <v/>
      </c>
    </row>
    <row r="57" spans="1:14" x14ac:dyDescent="0.2">
      <c r="A57" t="str">
        <f>IF(OR(Calc!$E61="",Calc!$E61="نامعتبر",Calc!$G61=""),"",Calc!$G61)</f>
        <v>SL001</v>
      </c>
      <c r="B57" t="str">
        <f>IF($A57="","",LEFT(Calc!$E61,4)&amp;MID(Calc!$E61,6,2)&amp;RIGHT(Calc!$E61,2)&amp;Calc!$Q61&amp;"|"&amp;"1"&amp;RIGHT("00000"&amp;52,5))</f>
        <v>140507170000|100052</v>
      </c>
      <c r="C57">
        <f t="shared" si="0"/>
        <v>4</v>
      </c>
      <c r="D57" t="str">
        <f t="shared" si="1"/>
        <v>SL001|000004</v>
      </c>
      <c r="F57" t="str">
        <f>IF(Sync!$AH57="","",IF(LEFT(UPPER(TRIM(Sync!$AH57)),2)="SL",UPPER(TRIM(Sync!$AH57)),""))</f>
        <v/>
      </c>
      <c r="G57" t="str">
        <f>IF($F57="","",IF(Sync!$AE57="","",IF(ISNUMBER(Sync!$AE57),IF(AND(Sync!$AE57&gt;=10000101,Sync!$AE57&lt;=99991231),INT(Sync!$AE57/10000),""),IFERROR(VALUE(TRIM(LEFT(Sync!$AE57,FIND("/",Sync!$AE57)-1))),""))))</f>
        <v/>
      </c>
      <c r="H57" t="str">
        <f>IF(OR($F57="",$G57=""),"",IF(ISNUMBER(Sync!$AE57),INT(MOD(Sync!$AE57,10000)/100),IFERROR(VALUE(TRIM(LEFT(MID(Sync!$AE57,FIND("/",Sync!$AE57)+1,20),FIND("/",MID(Sync!$AE57,FIND("/",Sync!$AE57)+1,20))-1))),"")))</f>
        <v/>
      </c>
      <c r="I57" t="str">
        <f>IF(OR($F57="",$G57=""),"",IF(ISNUMBER(Sync!$AE57),MOD(Sync!$AE57,100),IFERROR(VALUE(TRIM(MID(MID(Sync!$AE57,FIND("/",Sync!$AE57)+1,20),FIND("/",MID(Sync!$AE57,FIND("/",Sync!$AE57)+1,20))+1,20))),"")))</f>
        <v/>
      </c>
      <c r="J57" t="str">
        <f t="shared" si="2"/>
        <v/>
      </c>
      <c r="K57" t="str">
        <f>IF(OR($F57="",$J57="",$J57="نامعتبر"),"",LEFT($J57,4)&amp;MID($J57,6,2)&amp;RIGHT($J57,2)&amp;$N57&amp;"|"&amp;"2"&amp;RIGHT("00000"&amp;52,5))</f>
        <v/>
      </c>
      <c r="L57" t="str">
        <f t="shared" si="3"/>
        <v/>
      </c>
      <c r="M57" t="str">
        <f t="shared" si="4"/>
        <v/>
      </c>
      <c r="N57" t="str">
        <f>IF($F57="","",IF(Sync!$AF57="","0000",IF(AND(ISNUMBER(Sync!$AF57),Sync!$AF57&gt;=0,Sync!$AF57&lt;1),RIGHT("00"&amp;HOUR(Sync!$AF57),2)&amp;RIGHT("00"&amp;MINUTE(Sync!$AF57),2),IFERROR(RIGHT("00"&amp;VALUE(LEFT(Sync!$AF57,FIND(":",Sync!$AF57)-1)),2)&amp;RIGHT("00"&amp;VALUE(MID(Sync!$AF57,FIND(":",Sync!$AF57)+1,2)),2),"0000"))))</f>
        <v/>
      </c>
    </row>
    <row r="58" spans="1:14" x14ac:dyDescent="0.2">
      <c r="A58" t="str">
        <f>IF(OR(Calc!$E62="",Calc!$E62="نامعتبر",Calc!$G62=""),"",Calc!$G62)</f>
        <v>SL003</v>
      </c>
      <c r="B58" t="str">
        <f>IF($A58="","",LEFT(Calc!$E62,4)&amp;MID(Calc!$E62,6,2)&amp;RIGHT(Calc!$E62,2)&amp;Calc!$Q62&amp;"|"&amp;"1"&amp;RIGHT("00000"&amp;53,5))</f>
        <v>140507170000|100053</v>
      </c>
      <c r="C58">
        <f t="shared" si="0"/>
        <v>2</v>
      </c>
      <c r="D58" t="str">
        <f t="shared" si="1"/>
        <v>SL003|000002</v>
      </c>
      <c r="F58" t="str">
        <f>IF(Sync!$AH58="","",IF(LEFT(UPPER(TRIM(Sync!$AH58)),2)="SL",UPPER(TRIM(Sync!$AH58)),""))</f>
        <v/>
      </c>
      <c r="G58" t="str">
        <f>IF($F58="","",IF(Sync!$AE58="","",IF(ISNUMBER(Sync!$AE58),IF(AND(Sync!$AE58&gt;=10000101,Sync!$AE58&lt;=99991231),INT(Sync!$AE58/10000),""),IFERROR(VALUE(TRIM(LEFT(Sync!$AE58,FIND("/",Sync!$AE58)-1))),""))))</f>
        <v/>
      </c>
      <c r="H58" t="str">
        <f>IF(OR($F58="",$G58=""),"",IF(ISNUMBER(Sync!$AE58),INT(MOD(Sync!$AE58,10000)/100),IFERROR(VALUE(TRIM(LEFT(MID(Sync!$AE58,FIND("/",Sync!$AE58)+1,20),FIND("/",MID(Sync!$AE58,FIND("/",Sync!$AE58)+1,20))-1))),"")))</f>
        <v/>
      </c>
      <c r="I58" t="str">
        <f>IF(OR($F58="",$G58=""),"",IF(ISNUMBER(Sync!$AE58),MOD(Sync!$AE58,100),IFERROR(VALUE(TRIM(MID(MID(Sync!$AE58,FIND("/",Sync!$AE58)+1,20),FIND("/",MID(Sync!$AE58,FIND("/",Sync!$AE58)+1,20))+1,20))),"")))</f>
        <v/>
      </c>
      <c r="J58" t="str">
        <f t="shared" si="2"/>
        <v/>
      </c>
      <c r="K58" t="str">
        <f>IF(OR($F58="",$J58="",$J58="نامعتبر"),"",LEFT($J58,4)&amp;MID($J58,6,2)&amp;RIGHT($J58,2)&amp;$N58&amp;"|"&amp;"2"&amp;RIGHT("00000"&amp;53,5))</f>
        <v/>
      </c>
      <c r="L58" t="str">
        <f t="shared" si="3"/>
        <v/>
      </c>
      <c r="M58" t="str">
        <f t="shared" si="4"/>
        <v/>
      </c>
      <c r="N58" t="str">
        <f>IF($F58="","",IF(Sync!$AF58="","0000",IF(AND(ISNUMBER(Sync!$AF58),Sync!$AF58&gt;=0,Sync!$AF58&lt;1),RIGHT("00"&amp;HOUR(Sync!$AF58),2)&amp;RIGHT("00"&amp;MINUTE(Sync!$AF58),2),IFERROR(RIGHT("00"&amp;VALUE(LEFT(Sync!$AF58,FIND(":",Sync!$AF58)-1)),2)&amp;RIGHT("00"&amp;VALUE(MID(Sync!$AF58,FIND(":",Sync!$AF58)+1,2)),2),"0000"))))</f>
        <v/>
      </c>
    </row>
    <row r="59" spans="1:14" x14ac:dyDescent="0.2">
      <c r="A59" t="str">
        <f>IF(OR(Calc!$E63="",Calc!$E63="نامعتبر",Calc!$G63=""),"",Calc!$G63)</f>
        <v/>
      </c>
      <c r="B59" t="str">
        <f>IF($A59="","",LEFT(Calc!$E63,4)&amp;MID(Calc!$E63,6,2)&amp;RIGHT(Calc!$E63,2)&amp;Calc!$Q63&amp;"|"&amp;"1"&amp;RIGHT("00000"&amp;54,5))</f>
        <v/>
      </c>
      <c r="C59" t="str">
        <f t="shared" si="0"/>
        <v/>
      </c>
      <c r="D59" t="str">
        <f t="shared" si="1"/>
        <v/>
      </c>
      <c r="F59" t="str">
        <f>IF(Sync!$AH59="","",IF(LEFT(UPPER(TRIM(Sync!$AH59)),2)="SL",UPPER(TRIM(Sync!$AH59)),""))</f>
        <v/>
      </c>
      <c r="G59" t="str">
        <f>IF($F59="","",IF(Sync!$AE59="","",IF(ISNUMBER(Sync!$AE59),IF(AND(Sync!$AE59&gt;=10000101,Sync!$AE59&lt;=99991231),INT(Sync!$AE59/10000),""),IFERROR(VALUE(TRIM(LEFT(Sync!$AE59,FIND("/",Sync!$AE59)-1))),""))))</f>
        <v/>
      </c>
      <c r="H59" t="str">
        <f>IF(OR($F59="",$G59=""),"",IF(ISNUMBER(Sync!$AE59),INT(MOD(Sync!$AE59,10000)/100),IFERROR(VALUE(TRIM(LEFT(MID(Sync!$AE59,FIND("/",Sync!$AE59)+1,20),FIND("/",MID(Sync!$AE59,FIND("/",Sync!$AE59)+1,20))-1))),"")))</f>
        <v/>
      </c>
      <c r="I59" t="str">
        <f>IF(OR($F59="",$G59=""),"",IF(ISNUMBER(Sync!$AE59),MOD(Sync!$AE59,100),IFERROR(VALUE(TRIM(MID(MID(Sync!$AE59,FIND("/",Sync!$AE59)+1,20),FIND("/",MID(Sync!$AE59,FIND("/",Sync!$AE59)+1,20))+1,20))),"")))</f>
        <v/>
      </c>
      <c r="J59" t="str">
        <f t="shared" si="2"/>
        <v/>
      </c>
      <c r="K59" t="str">
        <f>IF(OR($F59="",$J59="",$J59="نامعتبر"),"",LEFT($J59,4)&amp;MID($J59,6,2)&amp;RIGHT($J59,2)&amp;$N59&amp;"|"&amp;"2"&amp;RIGHT("00000"&amp;54,5))</f>
        <v/>
      </c>
      <c r="L59" t="str">
        <f t="shared" si="3"/>
        <v/>
      </c>
      <c r="M59" t="str">
        <f t="shared" si="4"/>
        <v/>
      </c>
      <c r="N59" t="str">
        <f>IF($F59="","",IF(Sync!$AF59="","0000",IF(AND(ISNUMBER(Sync!$AF59),Sync!$AF59&gt;=0,Sync!$AF59&lt;1),RIGHT("00"&amp;HOUR(Sync!$AF59),2)&amp;RIGHT("00"&amp;MINUTE(Sync!$AF59),2),IFERROR(RIGHT("00"&amp;VALUE(LEFT(Sync!$AF59,FIND(":",Sync!$AF59)-1)),2)&amp;RIGHT("00"&amp;VALUE(MID(Sync!$AF59,FIND(":",Sync!$AF59)+1,2)),2),"0000"))))</f>
        <v/>
      </c>
    </row>
    <row r="60" spans="1:14" x14ac:dyDescent="0.2">
      <c r="A60" t="str">
        <f>IF(OR(Calc!$E64="",Calc!$E64="نامعتبر",Calc!$G64=""),"",Calc!$G64)</f>
        <v/>
      </c>
      <c r="B60" t="str">
        <f>IF($A60="","",LEFT(Calc!$E64,4)&amp;MID(Calc!$E64,6,2)&amp;RIGHT(Calc!$E64,2)&amp;Calc!$Q64&amp;"|"&amp;"1"&amp;RIGHT("00000"&amp;55,5))</f>
        <v/>
      </c>
      <c r="C60" t="str">
        <f t="shared" si="0"/>
        <v/>
      </c>
      <c r="D60" t="str">
        <f t="shared" si="1"/>
        <v/>
      </c>
      <c r="F60" t="str">
        <f>IF(Sync!$AH60="","",IF(LEFT(UPPER(TRIM(Sync!$AH60)),2)="SL",UPPER(TRIM(Sync!$AH60)),""))</f>
        <v/>
      </c>
      <c r="G60" t="str">
        <f>IF($F60="","",IF(Sync!$AE60="","",IF(ISNUMBER(Sync!$AE60),IF(AND(Sync!$AE60&gt;=10000101,Sync!$AE60&lt;=99991231),INT(Sync!$AE60/10000),""),IFERROR(VALUE(TRIM(LEFT(Sync!$AE60,FIND("/",Sync!$AE60)-1))),""))))</f>
        <v/>
      </c>
      <c r="H60" t="str">
        <f>IF(OR($F60="",$G60=""),"",IF(ISNUMBER(Sync!$AE60),INT(MOD(Sync!$AE60,10000)/100),IFERROR(VALUE(TRIM(LEFT(MID(Sync!$AE60,FIND("/",Sync!$AE60)+1,20),FIND("/",MID(Sync!$AE60,FIND("/",Sync!$AE60)+1,20))-1))),"")))</f>
        <v/>
      </c>
      <c r="I60" t="str">
        <f>IF(OR($F60="",$G60=""),"",IF(ISNUMBER(Sync!$AE60),MOD(Sync!$AE60,100),IFERROR(VALUE(TRIM(MID(MID(Sync!$AE60,FIND("/",Sync!$AE60)+1,20),FIND("/",MID(Sync!$AE60,FIND("/",Sync!$AE60)+1,20))+1,20))),"")))</f>
        <v/>
      </c>
      <c r="J60" t="str">
        <f t="shared" si="2"/>
        <v/>
      </c>
      <c r="K60" t="str">
        <f>IF(OR($F60="",$J60="",$J60="نامعتبر"),"",LEFT($J60,4)&amp;MID($J60,6,2)&amp;RIGHT($J60,2)&amp;$N60&amp;"|"&amp;"2"&amp;RIGHT("00000"&amp;55,5))</f>
        <v/>
      </c>
      <c r="L60" t="str">
        <f t="shared" si="3"/>
        <v/>
      </c>
      <c r="M60" t="str">
        <f t="shared" si="4"/>
        <v/>
      </c>
      <c r="N60" t="str">
        <f>IF($F60="","",IF(Sync!$AF60="","0000",IF(AND(ISNUMBER(Sync!$AF60),Sync!$AF60&gt;=0,Sync!$AF60&lt;1),RIGHT("00"&amp;HOUR(Sync!$AF60),2)&amp;RIGHT("00"&amp;MINUTE(Sync!$AF60),2),IFERROR(RIGHT("00"&amp;VALUE(LEFT(Sync!$AF60,FIND(":",Sync!$AF60)-1)),2)&amp;RIGHT("00"&amp;VALUE(MID(Sync!$AF60,FIND(":",Sync!$AF60)+1,2)),2),"0000"))))</f>
        <v/>
      </c>
    </row>
    <row r="61" spans="1:14" x14ac:dyDescent="0.2">
      <c r="A61" t="str">
        <f>IF(OR(Calc!$E65="",Calc!$E65="نامعتبر",Calc!$G65=""),"",Calc!$G65)</f>
        <v>SL002</v>
      </c>
      <c r="B61" t="str">
        <f>IF($A61="","",LEFT(Calc!$E65,4)&amp;MID(Calc!$E65,6,2)&amp;RIGHT(Calc!$E65,2)&amp;Calc!$Q65&amp;"|"&amp;"1"&amp;RIGHT("00000"&amp;56,5))</f>
        <v>140507170000|100056</v>
      </c>
      <c r="C61">
        <f t="shared" si="0"/>
        <v>3</v>
      </c>
      <c r="D61" t="str">
        <f t="shared" si="1"/>
        <v>SL002|000003</v>
      </c>
      <c r="F61" t="str">
        <f>IF(Sync!$AH61="","",IF(LEFT(UPPER(TRIM(Sync!$AH61)),2)="SL",UPPER(TRIM(Sync!$AH61)),""))</f>
        <v/>
      </c>
      <c r="G61" t="str">
        <f>IF($F61="","",IF(Sync!$AE61="","",IF(ISNUMBER(Sync!$AE61),IF(AND(Sync!$AE61&gt;=10000101,Sync!$AE61&lt;=99991231),INT(Sync!$AE61/10000),""),IFERROR(VALUE(TRIM(LEFT(Sync!$AE61,FIND("/",Sync!$AE61)-1))),""))))</f>
        <v/>
      </c>
      <c r="H61" t="str">
        <f>IF(OR($F61="",$G61=""),"",IF(ISNUMBER(Sync!$AE61),INT(MOD(Sync!$AE61,10000)/100),IFERROR(VALUE(TRIM(LEFT(MID(Sync!$AE61,FIND("/",Sync!$AE61)+1,20),FIND("/",MID(Sync!$AE61,FIND("/",Sync!$AE61)+1,20))-1))),"")))</f>
        <v/>
      </c>
      <c r="I61" t="str">
        <f>IF(OR($F61="",$G61=""),"",IF(ISNUMBER(Sync!$AE61),MOD(Sync!$AE61,100),IFERROR(VALUE(TRIM(MID(MID(Sync!$AE61,FIND("/",Sync!$AE61)+1,20),FIND("/",MID(Sync!$AE61,FIND("/",Sync!$AE61)+1,20))+1,20))),"")))</f>
        <v/>
      </c>
      <c r="J61" t="str">
        <f t="shared" si="2"/>
        <v/>
      </c>
      <c r="K61" t="str">
        <f>IF(OR($F61="",$J61="",$J61="نامعتبر"),"",LEFT($J61,4)&amp;MID($J61,6,2)&amp;RIGHT($J61,2)&amp;$N61&amp;"|"&amp;"2"&amp;RIGHT("00000"&amp;56,5))</f>
        <v/>
      </c>
      <c r="L61" t="str">
        <f t="shared" si="3"/>
        <v/>
      </c>
      <c r="M61" t="str">
        <f t="shared" si="4"/>
        <v/>
      </c>
      <c r="N61" t="str">
        <f>IF($F61="","",IF(Sync!$AF61="","0000",IF(AND(ISNUMBER(Sync!$AF61),Sync!$AF61&gt;=0,Sync!$AF61&lt;1),RIGHT("00"&amp;HOUR(Sync!$AF61),2)&amp;RIGHT("00"&amp;MINUTE(Sync!$AF61),2),IFERROR(RIGHT("00"&amp;VALUE(LEFT(Sync!$AF61,FIND(":",Sync!$AF61)-1)),2)&amp;RIGHT("00"&amp;VALUE(MID(Sync!$AF61,FIND(":",Sync!$AF61)+1,2)),2),"0000"))))</f>
        <v/>
      </c>
    </row>
    <row r="62" spans="1:14" x14ac:dyDescent="0.2">
      <c r="A62" t="str">
        <f>IF(OR(Calc!$E66="",Calc!$E66="نامعتبر",Calc!$G66=""),"",Calc!$G66)</f>
        <v/>
      </c>
      <c r="B62" t="str">
        <f>IF($A62="","",LEFT(Calc!$E66,4)&amp;MID(Calc!$E66,6,2)&amp;RIGHT(Calc!$E66,2)&amp;Calc!$Q66&amp;"|"&amp;"1"&amp;RIGHT("00000"&amp;57,5))</f>
        <v/>
      </c>
      <c r="C62" t="str">
        <f t="shared" si="0"/>
        <v/>
      </c>
      <c r="D62" t="str">
        <f t="shared" si="1"/>
        <v/>
      </c>
      <c r="F62" t="str">
        <f>IF(Sync!$AH62="","",IF(LEFT(UPPER(TRIM(Sync!$AH62)),2)="SL",UPPER(TRIM(Sync!$AH62)),""))</f>
        <v/>
      </c>
      <c r="G62" t="str">
        <f>IF($F62="","",IF(Sync!$AE62="","",IF(ISNUMBER(Sync!$AE62),IF(AND(Sync!$AE62&gt;=10000101,Sync!$AE62&lt;=99991231),INT(Sync!$AE62/10000),""),IFERROR(VALUE(TRIM(LEFT(Sync!$AE62,FIND("/",Sync!$AE62)-1))),""))))</f>
        <v/>
      </c>
      <c r="H62" t="str">
        <f>IF(OR($F62="",$G62=""),"",IF(ISNUMBER(Sync!$AE62),INT(MOD(Sync!$AE62,10000)/100),IFERROR(VALUE(TRIM(LEFT(MID(Sync!$AE62,FIND("/",Sync!$AE62)+1,20),FIND("/",MID(Sync!$AE62,FIND("/",Sync!$AE62)+1,20))-1))),"")))</f>
        <v/>
      </c>
      <c r="I62" t="str">
        <f>IF(OR($F62="",$G62=""),"",IF(ISNUMBER(Sync!$AE62),MOD(Sync!$AE62,100),IFERROR(VALUE(TRIM(MID(MID(Sync!$AE62,FIND("/",Sync!$AE62)+1,20),FIND("/",MID(Sync!$AE62,FIND("/",Sync!$AE62)+1,20))+1,20))),"")))</f>
        <v/>
      </c>
      <c r="J62" t="str">
        <f t="shared" si="2"/>
        <v/>
      </c>
      <c r="K62" t="str">
        <f>IF(OR($F62="",$J62="",$J62="نامعتبر"),"",LEFT($J62,4)&amp;MID($J62,6,2)&amp;RIGHT($J62,2)&amp;$N62&amp;"|"&amp;"2"&amp;RIGHT("00000"&amp;57,5))</f>
        <v/>
      </c>
      <c r="L62" t="str">
        <f t="shared" si="3"/>
        <v/>
      </c>
      <c r="M62" t="str">
        <f t="shared" si="4"/>
        <v/>
      </c>
      <c r="N62" t="str">
        <f>IF($F62="","",IF(Sync!$AF62="","0000",IF(AND(ISNUMBER(Sync!$AF62),Sync!$AF62&gt;=0,Sync!$AF62&lt;1),RIGHT("00"&amp;HOUR(Sync!$AF62),2)&amp;RIGHT("00"&amp;MINUTE(Sync!$AF62),2),IFERROR(RIGHT("00"&amp;VALUE(LEFT(Sync!$AF62,FIND(":",Sync!$AF62)-1)),2)&amp;RIGHT("00"&amp;VALUE(MID(Sync!$AF62,FIND(":",Sync!$AF62)+1,2)),2),"0000"))))</f>
        <v/>
      </c>
    </row>
    <row r="63" spans="1:14" x14ac:dyDescent="0.2">
      <c r="A63" t="str">
        <f>IF(OR(Calc!$E67="",Calc!$E67="نامعتبر",Calc!$G67=""),"",Calc!$G67)</f>
        <v/>
      </c>
      <c r="B63" t="str">
        <f>IF($A63="","",LEFT(Calc!$E67,4)&amp;MID(Calc!$E67,6,2)&amp;RIGHT(Calc!$E67,2)&amp;Calc!$Q67&amp;"|"&amp;"1"&amp;RIGHT("00000"&amp;58,5))</f>
        <v/>
      </c>
      <c r="C63" t="str">
        <f t="shared" si="0"/>
        <v/>
      </c>
      <c r="D63" t="str">
        <f t="shared" si="1"/>
        <v/>
      </c>
      <c r="F63" t="str">
        <f>IF(Sync!$AH63="","",IF(LEFT(UPPER(TRIM(Sync!$AH63)),2)="SL",UPPER(TRIM(Sync!$AH63)),""))</f>
        <v/>
      </c>
      <c r="G63" t="str">
        <f>IF($F63="","",IF(Sync!$AE63="","",IF(ISNUMBER(Sync!$AE63),IF(AND(Sync!$AE63&gt;=10000101,Sync!$AE63&lt;=99991231),INT(Sync!$AE63/10000),""),IFERROR(VALUE(TRIM(LEFT(Sync!$AE63,FIND("/",Sync!$AE63)-1))),""))))</f>
        <v/>
      </c>
      <c r="H63" t="str">
        <f>IF(OR($F63="",$G63=""),"",IF(ISNUMBER(Sync!$AE63),INT(MOD(Sync!$AE63,10000)/100),IFERROR(VALUE(TRIM(LEFT(MID(Sync!$AE63,FIND("/",Sync!$AE63)+1,20),FIND("/",MID(Sync!$AE63,FIND("/",Sync!$AE63)+1,20))-1))),"")))</f>
        <v/>
      </c>
      <c r="I63" t="str">
        <f>IF(OR($F63="",$G63=""),"",IF(ISNUMBER(Sync!$AE63),MOD(Sync!$AE63,100),IFERROR(VALUE(TRIM(MID(MID(Sync!$AE63,FIND("/",Sync!$AE63)+1,20),FIND("/",MID(Sync!$AE63,FIND("/",Sync!$AE63)+1,20))+1,20))),"")))</f>
        <v/>
      </c>
      <c r="J63" t="str">
        <f t="shared" si="2"/>
        <v/>
      </c>
      <c r="K63" t="str">
        <f>IF(OR($F63="",$J63="",$J63="نامعتبر"),"",LEFT($J63,4)&amp;MID($J63,6,2)&amp;RIGHT($J63,2)&amp;$N63&amp;"|"&amp;"2"&amp;RIGHT("00000"&amp;58,5))</f>
        <v/>
      </c>
      <c r="L63" t="str">
        <f t="shared" si="3"/>
        <v/>
      </c>
      <c r="M63" t="str">
        <f t="shared" si="4"/>
        <v/>
      </c>
      <c r="N63" t="str">
        <f>IF($F63="","",IF(Sync!$AF63="","0000",IF(AND(ISNUMBER(Sync!$AF63),Sync!$AF63&gt;=0,Sync!$AF63&lt;1),RIGHT("00"&amp;HOUR(Sync!$AF63),2)&amp;RIGHT("00"&amp;MINUTE(Sync!$AF63),2),IFERROR(RIGHT("00"&amp;VALUE(LEFT(Sync!$AF63,FIND(":",Sync!$AF63)-1)),2)&amp;RIGHT("00"&amp;VALUE(MID(Sync!$AF63,FIND(":",Sync!$AF63)+1,2)),2),"0000"))))</f>
        <v/>
      </c>
    </row>
    <row r="64" spans="1:14" x14ac:dyDescent="0.2">
      <c r="A64" t="str">
        <f>IF(OR(Calc!$E68="",Calc!$E68="نامعتبر",Calc!$G68=""),"",Calc!$G68)</f>
        <v/>
      </c>
      <c r="B64" t="str">
        <f>IF($A64="","",LEFT(Calc!$E68,4)&amp;MID(Calc!$E68,6,2)&amp;RIGHT(Calc!$E68,2)&amp;Calc!$Q68&amp;"|"&amp;"1"&amp;RIGHT("00000"&amp;59,5))</f>
        <v/>
      </c>
      <c r="C64" t="str">
        <f t="shared" si="0"/>
        <v/>
      </c>
      <c r="D64" t="str">
        <f t="shared" si="1"/>
        <v/>
      </c>
      <c r="F64" t="str">
        <f>IF(Sync!$AH64="","",IF(LEFT(UPPER(TRIM(Sync!$AH64)),2)="SL",UPPER(TRIM(Sync!$AH64)),""))</f>
        <v/>
      </c>
      <c r="G64" t="str">
        <f>IF($F64="","",IF(Sync!$AE64="","",IF(ISNUMBER(Sync!$AE64),IF(AND(Sync!$AE64&gt;=10000101,Sync!$AE64&lt;=99991231),INT(Sync!$AE64/10000),""),IFERROR(VALUE(TRIM(LEFT(Sync!$AE64,FIND("/",Sync!$AE64)-1))),""))))</f>
        <v/>
      </c>
      <c r="H64" t="str">
        <f>IF(OR($F64="",$G64=""),"",IF(ISNUMBER(Sync!$AE64),INT(MOD(Sync!$AE64,10000)/100),IFERROR(VALUE(TRIM(LEFT(MID(Sync!$AE64,FIND("/",Sync!$AE64)+1,20),FIND("/",MID(Sync!$AE64,FIND("/",Sync!$AE64)+1,20))-1))),"")))</f>
        <v/>
      </c>
      <c r="I64" t="str">
        <f>IF(OR($F64="",$G64=""),"",IF(ISNUMBER(Sync!$AE64),MOD(Sync!$AE64,100),IFERROR(VALUE(TRIM(MID(MID(Sync!$AE64,FIND("/",Sync!$AE64)+1,20),FIND("/",MID(Sync!$AE64,FIND("/",Sync!$AE64)+1,20))+1,20))),"")))</f>
        <v/>
      </c>
      <c r="J64" t="str">
        <f t="shared" si="2"/>
        <v/>
      </c>
      <c r="K64" t="str">
        <f>IF(OR($F64="",$J64="",$J64="نامعتبر"),"",LEFT($J64,4)&amp;MID($J64,6,2)&amp;RIGHT($J64,2)&amp;$N64&amp;"|"&amp;"2"&amp;RIGHT("00000"&amp;59,5))</f>
        <v/>
      </c>
      <c r="L64" t="str">
        <f t="shared" si="3"/>
        <v/>
      </c>
      <c r="M64" t="str">
        <f t="shared" si="4"/>
        <v/>
      </c>
      <c r="N64" t="str">
        <f>IF($F64="","",IF(Sync!$AF64="","0000",IF(AND(ISNUMBER(Sync!$AF64),Sync!$AF64&gt;=0,Sync!$AF64&lt;1),RIGHT("00"&amp;HOUR(Sync!$AF64),2)&amp;RIGHT("00"&amp;MINUTE(Sync!$AF64),2),IFERROR(RIGHT("00"&amp;VALUE(LEFT(Sync!$AF64,FIND(":",Sync!$AF64)-1)),2)&amp;RIGHT("00"&amp;VALUE(MID(Sync!$AF64,FIND(":",Sync!$AF64)+1,2)),2),"0000"))))</f>
        <v/>
      </c>
    </row>
    <row r="65" spans="1:14" x14ac:dyDescent="0.2">
      <c r="A65" t="str">
        <f>IF(OR(Calc!$E69="",Calc!$E69="نامعتبر",Calc!$G69=""),"",Calc!$G69)</f>
        <v/>
      </c>
      <c r="B65" t="str">
        <f>IF($A65="","",LEFT(Calc!$E69,4)&amp;MID(Calc!$E69,6,2)&amp;RIGHT(Calc!$E69,2)&amp;Calc!$Q69&amp;"|"&amp;"1"&amp;RIGHT("00000"&amp;60,5))</f>
        <v/>
      </c>
      <c r="C65" t="str">
        <f t="shared" si="0"/>
        <v/>
      </c>
      <c r="D65" t="str">
        <f t="shared" si="1"/>
        <v/>
      </c>
      <c r="F65" t="str">
        <f>IF(Sync!$AH65="","",IF(LEFT(UPPER(TRIM(Sync!$AH65)),2)="SL",UPPER(TRIM(Sync!$AH65)),""))</f>
        <v/>
      </c>
      <c r="G65" t="str">
        <f>IF($F65="","",IF(Sync!$AE65="","",IF(ISNUMBER(Sync!$AE65),IF(AND(Sync!$AE65&gt;=10000101,Sync!$AE65&lt;=99991231),INT(Sync!$AE65/10000),""),IFERROR(VALUE(TRIM(LEFT(Sync!$AE65,FIND("/",Sync!$AE65)-1))),""))))</f>
        <v/>
      </c>
      <c r="H65" t="str">
        <f>IF(OR($F65="",$G65=""),"",IF(ISNUMBER(Sync!$AE65),INT(MOD(Sync!$AE65,10000)/100),IFERROR(VALUE(TRIM(LEFT(MID(Sync!$AE65,FIND("/",Sync!$AE65)+1,20),FIND("/",MID(Sync!$AE65,FIND("/",Sync!$AE65)+1,20))-1))),"")))</f>
        <v/>
      </c>
      <c r="I65" t="str">
        <f>IF(OR($F65="",$G65=""),"",IF(ISNUMBER(Sync!$AE65),MOD(Sync!$AE65,100),IFERROR(VALUE(TRIM(MID(MID(Sync!$AE65,FIND("/",Sync!$AE65)+1,20),FIND("/",MID(Sync!$AE65,FIND("/",Sync!$AE65)+1,20))+1,20))),"")))</f>
        <v/>
      </c>
      <c r="J65" t="str">
        <f t="shared" si="2"/>
        <v/>
      </c>
      <c r="K65" t="str">
        <f>IF(OR($F65="",$J65="",$J65="نامعتبر"),"",LEFT($J65,4)&amp;MID($J65,6,2)&amp;RIGHT($J65,2)&amp;$N65&amp;"|"&amp;"2"&amp;RIGHT("00000"&amp;60,5))</f>
        <v/>
      </c>
      <c r="L65" t="str">
        <f t="shared" si="3"/>
        <v/>
      </c>
      <c r="M65" t="str">
        <f t="shared" si="4"/>
        <v/>
      </c>
      <c r="N65" t="str">
        <f>IF($F65="","",IF(Sync!$AF65="","0000",IF(AND(ISNUMBER(Sync!$AF65),Sync!$AF65&gt;=0,Sync!$AF65&lt;1),RIGHT("00"&amp;HOUR(Sync!$AF65),2)&amp;RIGHT("00"&amp;MINUTE(Sync!$AF65),2),IFERROR(RIGHT("00"&amp;VALUE(LEFT(Sync!$AF65,FIND(":",Sync!$AF65)-1)),2)&amp;RIGHT("00"&amp;VALUE(MID(Sync!$AF65,FIND(":",Sync!$AF65)+1,2)),2),"0000"))))</f>
        <v/>
      </c>
    </row>
    <row r="66" spans="1:14" x14ac:dyDescent="0.2">
      <c r="A66" t="str">
        <f>IF(OR(Calc!$E70="",Calc!$E70="نامعتبر",Calc!$G70=""),"",Calc!$G70)</f>
        <v/>
      </c>
      <c r="B66" t="str">
        <f>IF($A66="","",LEFT(Calc!$E70,4)&amp;MID(Calc!$E70,6,2)&amp;RIGHT(Calc!$E70,2)&amp;Calc!$Q70&amp;"|"&amp;"1"&amp;RIGHT("00000"&amp;61,5))</f>
        <v/>
      </c>
      <c r="C66" t="str">
        <f t="shared" si="0"/>
        <v/>
      </c>
      <c r="D66" t="str">
        <f t="shared" si="1"/>
        <v/>
      </c>
      <c r="F66" t="str">
        <f>IF(Sync!$AH66="","",IF(LEFT(UPPER(TRIM(Sync!$AH66)),2)="SL",UPPER(TRIM(Sync!$AH66)),""))</f>
        <v/>
      </c>
      <c r="G66" t="str">
        <f>IF($F66="","",IF(Sync!$AE66="","",IF(ISNUMBER(Sync!$AE66),IF(AND(Sync!$AE66&gt;=10000101,Sync!$AE66&lt;=99991231),INT(Sync!$AE66/10000),""),IFERROR(VALUE(TRIM(LEFT(Sync!$AE66,FIND("/",Sync!$AE66)-1))),""))))</f>
        <v/>
      </c>
      <c r="H66" t="str">
        <f>IF(OR($F66="",$G66=""),"",IF(ISNUMBER(Sync!$AE66),INT(MOD(Sync!$AE66,10000)/100),IFERROR(VALUE(TRIM(LEFT(MID(Sync!$AE66,FIND("/",Sync!$AE66)+1,20),FIND("/",MID(Sync!$AE66,FIND("/",Sync!$AE66)+1,20))-1))),"")))</f>
        <v/>
      </c>
      <c r="I66" t="str">
        <f>IF(OR($F66="",$G66=""),"",IF(ISNUMBER(Sync!$AE66),MOD(Sync!$AE66,100),IFERROR(VALUE(TRIM(MID(MID(Sync!$AE66,FIND("/",Sync!$AE66)+1,20),FIND("/",MID(Sync!$AE66,FIND("/",Sync!$AE66)+1,20))+1,20))),"")))</f>
        <v/>
      </c>
      <c r="J66" t="str">
        <f t="shared" si="2"/>
        <v/>
      </c>
      <c r="K66" t="str">
        <f>IF(OR($F66="",$J66="",$J66="نامعتبر"),"",LEFT($J66,4)&amp;MID($J66,6,2)&amp;RIGHT($J66,2)&amp;$N66&amp;"|"&amp;"2"&amp;RIGHT("00000"&amp;61,5))</f>
        <v/>
      </c>
      <c r="L66" t="str">
        <f t="shared" si="3"/>
        <v/>
      </c>
      <c r="M66" t="str">
        <f t="shared" si="4"/>
        <v/>
      </c>
      <c r="N66" t="str">
        <f>IF($F66="","",IF(Sync!$AF66="","0000",IF(AND(ISNUMBER(Sync!$AF66),Sync!$AF66&gt;=0,Sync!$AF66&lt;1),RIGHT("00"&amp;HOUR(Sync!$AF66),2)&amp;RIGHT("00"&amp;MINUTE(Sync!$AF66),2),IFERROR(RIGHT("00"&amp;VALUE(LEFT(Sync!$AF66,FIND(":",Sync!$AF66)-1)),2)&amp;RIGHT("00"&amp;VALUE(MID(Sync!$AF66,FIND(":",Sync!$AF66)+1,2)),2),"0000"))))</f>
        <v/>
      </c>
    </row>
    <row r="67" spans="1:14" x14ac:dyDescent="0.2">
      <c r="A67" t="str">
        <f>IF(OR(Calc!$E71="",Calc!$E71="نامعتبر",Calc!$G71=""),"",Calc!$G71)</f>
        <v/>
      </c>
      <c r="B67" t="str">
        <f>IF($A67="","",LEFT(Calc!$E71,4)&amp;MID(Calc!$E71,6,2)&amp;RIGHT(Calc!$E71,2)&amp;Calc!$Q71&amp;"|"&amp;"1"&amp;RIGHT("00000"&amp;62,5))</f>
        <v/>
      </c>
      <c r="C67" t="str">
        <f t="shared" si="0"/>
        <v/>
      </c>
      <c r="D67" t="str">
        <f t="shared" si="1"/>
        <v/>
      </c>
      <c r="F67" t="str">
        <f>IF(Sync!$AH67="","",IF(LEFT(UPPER(TRIM(Sync!$AH67)),2)="SL",UPPER(TRIM(Sync!$AH67)),""))</f>
        <v/>
      </c>
      <c r="G67" t="str">
        <f>IF($F67="","",IF(Sync!$AE67="","",IF(ISNUMBER(Sync!$AE67),IF(AND(Sync!$AE67&gt;=10000101,Sync!$AE67&lt;=99991231),INT(Sync!$AE67/10000),""),IFERROR(VALUE(TRIM(LEFT(Sync!$AE67,FIND("/",Sync!$AE67)-1))),""))))</f>
        <v/>
      </c>
      <c r="H67" t="str">
        <f>IF(OR($F67="",$G67=""),"",IF(ISNUMBER(Sync!$AE67),INT(MOD(Sync!$AE67,10000)/100),IFERROR(VALUE(TRIM(LEFT(MID(Sync!$AE67,FIND("/",Sync!$AE67)+1,20),FIND("/",MID(Sync!$AE67,FIND("/",Sync!$AE67)+1,20))-1))),"")))</f>
        <v/>
      </c>
      <c r="I67" t="str">
        <f>IF(OR($F67="",$G67=""),"",IF(ISNUMBER(Sync!$AE67),MOD(Sync!$AE67,100),IFERROR(VALUE(TRIM(MID(MID(Sync!$AE67,FIND("/",Sync!$AE67)+1,20),FIND("/",MID(Sync!$AE67,FIND("/",Sync!$AE67)+1,20))+1,20))),"")))</f>
        <v/>
      </c>
      <c r="J67" t="str">
        <f t="shared" si="2"/>
        <v/>
      </c>
      <c r="K67" t="str">
        <f>IF(OR($F67="",$J67="",$J67="نامعتبر"),"",LEFT($J67,4)&amp;MID($J67,6,2)&amp;RIGHT($J67,2)&amp;$N67&amp;"|"&amp;"2"&amp;RIGHT("00000"&amp;62,5))</f>
        <v/>
      </c>
      <c r="L67" t="str">
        <f t="shared" si="3"/>
        <v/>
      </c>
      <c r="M67" t="str">
        <f t="shared" si="4"/>
        <v/>
      </c>
      <c r="N67" t="str">
        <f>IF($F67="","",IF(Sync!$AF67="","0000",IF(AND(ISNUMBER(Sync!$AF67),Sync!$AF67&gt;=0,Sync!$AF67&lt;1),RIGHT("00"&amp;HOUR(Sync!$AF67),2)&amp;RIGHT("00"&amp;MINUTE(Sync!$AF67),2),IFERROR(RIGHT("00"&amp;VALUE(LEFT(Sync!$AF67,FIND(":",Sync!$AF67)-1)),2)&amp;RIGHT("00"&amp;VALUE(MID(Sync!$AF67,FIND(":",Sync!$AF67)+1,2)),2),"0000"))))</f>
        <v/>
      </c>
    </row>
    <row r="68" spans="1:14" x14ac:dyDescent="0.2">
      <c r="A68" t="str">
        <f>IF(OR(Calc!$E72="",Calc!$E72="نامعتبر",Calc!$G72=""),"",Calc!$G72)</f>
        <v/>
      </c>
      <c r="B68" t="str">
        <f>IF($A68="","",LEFT(Calc!$E72,4)&amp;MID(Calc!$E72,6,2)&amp;RIGHT(Calc!$E72,2)&amp;Calc!$Q72&amp;"|"&amp;"1"&amp;RIGHT("00000"&amp;63,5))</f>
        <v/>
      </c>
      <c r="C68" t="str">
        <f t="shared" si="0"/>
        <v/>
      </c>
      <c r="D68" t="str">
        <f t="shared" si="1"/>
        <v/>
      </c>
      <c r="F68" t="str">
        <f>IF(Sync!$AH68="","",IF(LEFT(UPPER(TRIM(Sync!$AH68)),2)="SL",UPPER(TRIM(Sync!$AH68)),""))</f>
        <v/>
      </c>
      <c r="G68" t="str">
        <f>IF($F68="","",IF(Sync!$AE68="","",IF(ISNUMBER(Sync!$AE68),IF(AND(Sync!$AE68&gt;=10000101,Sync!$AE68&lt;=99991231),INT(Sync!$AE68/10000),""),IFERROR(VALUE(TRIM(LEFT(Sync!$AE68,FIND("/",Sync!$AE68)-1))),""))))</f>
        <v/>
      </c>
      <c r="H68" t="str">
        <f>IF(OR($F68="",$G68=""),"",IF(ISNUMBER(Sync!$AE68),INT(MOD(Sync!$AE68,10000)/100),IFERROR(VALUE(TRIM(LEFT(MID(Sync!$AE68,FIND("/",Sync!$AE68)+1,20),FIND("/",MID(Sync!$AE68,FIND("/",Sync!$AE68)+1,20))-1))),"")))</f>
        <v/>
      </c>
      <c r="I68" t="str">
        <f>IF(OR($F68="",$G68=""),"",IF(ISNUMBER(Sync!$AE68),MOD(Sync!$AE68,100),IFERROR(VALUE(TRIM(MID(MID(Sync!$AE68,FIND("/",Sync!$AE68)+1,20),FIND("/",MID(Sync!$AE68,FIND("/",Sync!$AE68)+1,20))+1,20))),"")))</f>
        <v/>
      </c>
      <c r="J68" t="str">
        <f t="shared" si="2"/>
        <v/>
      </c>
      <c r="K68" t="str">
        <f>IF(OR($F68="",$J68="",$J68="نامعتبر"),"",LEFT($J68,4)&amp;MID($J68,6,2)&amp;RIGHT($J68,2)&amp;$N68&amp;"|"&amp;"2"&amp;RIGHT("00000"&amp;63,5))</f>
        <v/>
      </c>
      <c r="L68" t="str">
        <f t="shared" si="3"/>
        <v/>
      </c>
      <c r="M68" t="str">
        <f t="shared" si="4"/>
        <v/>
      </c>
      <c r="N68" t="str">
        <f>IF($F68="","",IF(Sync!$AF68="","0000",IF(AND(ISNUMBER(Sync!$AF68),Sync!$AF68&gt;=0,Sync!$AF68&lt;1),RIGHT("00"&amp;HOUR(Sync!$AF68),2)&amp;RIGHT("00"&amp;MINUTE(Sync!$AF68),2),IFERROR(RIGHT("00"&amp;VALUE(LEFT(Sync!$AF68,FIND(":",Sync!$AF68)-1)),2)&amp;RIGHT("00"&amp;VALUE(MID(Sync!$AF68,FIND(":",Sync!$AF68)+1,2)),2),"0000"))))</f>
        <v/>
      </c>
    </row>
    <row r="69" spans="1:14" x14ac:dyDescent="0.2">
      <c r="A69" t="str">
        <f>IF(OR(Calc!$E73="",Calc!$E73="نامعتبر",Calc!$G73=""),"",Calc!$G73)</f>
        <v/>
      </c>
      <c r="B69" t="str">
        <f>IF($A69="","",LEFT(Calc!$E73,4)&amp;MID(Calc!$E73,6,2)&amp;RIGHT(Calc!$E73,2)&amp;Calc!$Q73&amp;"|"&amp;"1"&amp;RIGHT("00000"&amp;64,5))</f>
        <v/>
      </c>
      <c r="C69" t="str">
        <f t="shared" si="0"/>
        <v/>
      </c>
      <c r="D69" t="str">
        <f t="shared" si="1"/>
        <v/>
      </c>
      <c r="F69" t="str">
        <f>IF(Sync!$AH69="","",IF(LEFT(UPPER(TRIM(Sync!$AH69)),2)="SL",UPPER(TRIM(Sync!$AH69)),""))</f>
        <v/>
      </c>
      <c r="G69" t="str">
        <f>IF($F69="","",IF(Sync!$AE69="","",IF(ISNUMBER(Sync!$AE69),IF(AND(Sync!$AE69&gt;=10000101,Sync!$AE69&lt;=99991231),INT(Sync!$AE69/10000),""),IFERROR(VALUE(TRIM(LEFT(Sync!$AE69,FIND("/",Sync!$AE69)-1))),""))))</f>
        <v/>
      </c>
      <c r="H69" t="str">
        <f>IF(OR($F69="",$G69=""),"",IF(ISNUMBER(Sync!$AE69),INT(MOD(Sync!$AE69,10000)/100),IFERROR(VALUE(TRIM(LEFT(MID(Sync!$AE69,FIND("/",Sync!$AE69)+1,20),FIND("/",MID(Sync!$AE69,FIND("/",Sync!$AE69)+1,20))-1))),"")))</f>
        <v/>
      </c>
      <c r="I69" t="str">
        <f>IF(OR($F69="",$G69=""),"",IF(ISNUMBER(Sync!$AE69),MOD(Sync!$AE69,100),IFERROR(VALUE(TRIM(MID(MID(Sync!$AE69,FIND("/",Sync!$AE69)+1,20),FIND("/",MID(Sync!$AE69,FIND("/",Sync!$AE69)+1,20))+1,20))),"")))</f>
        <v/>
      </c>
      <c r="J69" t="str">
        <f t="shared" si="2"/>
        <v/>
      </c>
      <c r="K69" t="str">
        <f>IF(OR($F69="",$J69="",$J69="نامعتبر"),"",LEFT($J69,4)&amp;MID($J69,6,2)&amp;RIGHT($J69,2)&amp;$N69&amp;"|"&amp;"2"&amp;RIGHT("00000"&amp;64,5))</f>
        <v/>
      </c>
      <c r="L69" t="str">
        <f t="shared" si="3"/>
        <v/>
      </c>
      <c r="M69" t="str">
        <f t="shared" si="4"/>
        <v/>
      </c>
      <c r="N69" t="str">
        <f>IF($F69="","",IF(Sync!$AF69="","0000",IF(AND(ISNUMBER(Sync!$AF69),Sync!$AF69&gt;=0,Sync!$AF69&lt;1),RIGHT("00"&amp;HOUR(Sync!$AF69),2)&amp;RIGHT("00"&amp;MINUTE(Sync!$AF69),2),IFERROR(RIGHT("00"&amp;VALUE(LEFT(Sync!$AF69,FIND(":",Sync!$AF69)-1)),2)&amp;RIGHT("00"&amp;VALUE(MID(Sync!$AF69,FIND(":",Sync!$AF69)+1,2)),2),"0000"))))</f>
        <v/>
      </c>
    </row>
    <row r="70" spans="1:14" x14ac:dyDescent="0.2">
      <c r="A70" t="str">
        <f>IF(OR(Calc!$E74="",Calc!$E74="نامعتبر",Calc!$G74=""),"",Calc!$G74)</f>
        <v/>
      </c>
      <c r="B70" t="str">
        <f>IF($A70="","",LEFT(Calc!$E74,4)&amp;MID(Calc!$E74,6,2)&amp;RIGHT(Calc!$E74,2)&amp;Calc!$Q74&amp;"|"&amp;"1"&amp;RIGHT("00000"&amp;65,5))</f>
        <v/>
      </c>
      <c r="C70" t="str">
        <f t="shared" ref="C70:C133" si="5">IF($B70="","",COUNTIFS(LdgSellerA,$A70,LdgKeyA,"&lt;"&amp;$B70)+COUNTIFS(LdgSellerB,$A70,LdgKeyB,"&lt;"&amp;$B70)+1)</f>
        <v/>
      </c>
      <c r="D70" t="str">
        <f t="shared" ref="D70:D133" si="6">IF($C70="","",$A70&amp;"|"&amp;RIGHT("000000"&amp;$C70,6))</f>
        <v/>
      </c>
      <c r="F70" t="str">
        <f>IF(Sync!$AH70="","",IF(LEFT(UPPER(TRIM(Sync!$AH70)),2)="SL",UPPER(TRIM(Sync!$AH70)),""))</f>
        <v/>
      </c>
      <c r="G70" t="str">
        <f>IF($F70="","",IF(Sync!$AE70="","",IF(ISNUMBER(Sync!$AE70),IF(AND(Sync!$AE70&gt;=10000101,Sync!$AE70&lt;=99991231),INT(Sync!$AE70/10000),""),IFERROR(VALUE(TRIM(LEFT(Sync!$AE70,FIND("/",Sync!$AE70)-1))),""))))</f>
        <v/>
      </c>
      <c r="H70" t="str">
        <f>IF(OR($F70="",$G70=""),"",IF(ISNUMBER(Sync!$AE70),INT(MOD(Sync!$AE70,10000)/100),IFERROR(VALUE(TRIM(LEFT(MID(Sync!$AE70,FIND("/",Sync!$AE70)+1,20),FIND("/",MID(Sync!$AE70,FIND("/",Sync!$AE70)+1,20))-1))),"")))</f>
        <v/>
      </c>
      <c r="I70" t="str">
        <f>IF(OR($F70="",$G70=""),"",IF(ISNUMBER(Sync!$AE70),MOD(Sync!$AE70,100),IFERROR(VALUE(TRIM(MID(MID(Sync!$AE70,FIND("/",Sync!$AE70)+1,20),FIND("/",MID(Sync!$AE70,FIND("/",Sync!$AE70)+1,20))+1,20))),"")))</f>
        <v/>
      </c>
      <c r="J70" t="str">
        <f t="shared" ref="J70:J133" si="7">IF($F70="","",IF(OR($G70="",$H70="",$I70="",$G70&lt;1300,$G70&gt;1500,$H70&lt;1,$H70&gt;12,$I70&lt;1,$I70&gt;31),"نامعتبر",RIGHT("0000"&amp;$G70,4)&amp;"/"&amp;RIGHT("00"&amp;$H70,2)&amp;"/"&amp;RIGHT("00"&amp;$I70,2)))</f>
        <v/>
      </c>
      <c r="K70" t="str">
        <f>IF(OR($F70="",$J70="",$J70="نامعتبر"),"",LEFT($J70,4)&amp;MID($J70,6,2)&amp;RIGHT($J70,2)&amp;$N70&amp;"|"&amp;"2"&amp;RIGHT("00000"&amp;65,5))</f>
        <v/>
      </c>
      <c r="L70" t="str">
        <f t="shared" ref="L70:L133" si="8">IF($K70="","",COUNTIFS(LdgSellerA,$F70,LdgKeyA,"&lt;"&amp;$K70)+COUNTIFS(LdgSellerB,$F70,LdgKeyB,"&lt;"&amp;$K70)+1)</f>
        <v/>
      </c>
      <c r="M70" t="str">
        <f t="shared" ref="M70:M133" si="9">IF($L70="","",$F70&amp;"|"&amp;RIGHT("000000"&amp;$L70,6))</f>
        <v/>
      </c>
      <c r="N70" t="str">
        <f>IF($F70="","",IF(Sync!$AF70="","0000",IF(AND(ISNUMBER(Sync!$AF70),Sync!$AF70&gt;=0,Sync!$AF70&lt;1),RIGHT("00"&amp;HOUR(Sync!$AF70),2)&amp;RIGHT("00"&amp;MINUTE(Sync!$AF70),2),IFERROR(RIGHT("00"&amp;VALUE(LEFT(Sync!$AF70,FIND(":",Sync!$AF70)-1)),2)&amp;RIGHT("00"&amp;VALUE(MID(Sync!$AF70,FIND(":",Sync!$AF70)+1,2)),2),"0000"))))</f>
        <v/>
      </c>
    </row>
    <row r="71" spans="1:14" x14ac:dyDescent="0.2">
      <c r="A71" t="str">
        <f>IF(OR(Calc!$E75="",Calc!$E75="نامعتبر",Calc!$G75=""),"",Calc!$G75)</f>
        <v/>
      </c>
      <c r="B71" t="str">
        <f>IF($A71="","",LEFT(Calc!$E75,4)&amp;MID(Calc!$E75,6,2)&amp;RIGHT(Calc!$E75,2)&amp;Calc!$Q75&amp;"|"&amp;"1"&amp;RIGHT("00000"&amp;66,5))</f>
        <v/>
      </c>
      <c r="C71" t="str">
        <f t="shared" si="5"/>
        <v/>
      </c>
      <c r="D71" t="str">
        <f t="shared" si="6"/>
        <v/>
      </c>
      <c r="F71" t="str">
        <f>IF(Sync!$AH71="","",IF(LEFT(UPPER(TRIM(Sync!$AH71)),2)="SL",UPPER(TRIM(Sync!$AH71)),""))</f>
        <v/>
      </c>
      <c r="G71" t="str">
        <f>IF($F71="","",IF(Sync!$AE71="","",IF(ISNUMBER(Sync!$AE71),IF(AND(Sync!$AE71&gt;=10000101,Sync!$AE71&lt;=99991231),INT(Sync!$AE71/10000),""),IFERROR(VALUE(TRIM(LEFT(Sync!$AE71,FIND("/",Sync!$AE71)-1))),""))))</f>
        <v/>
      </c>
      <c r="H71" t="str">
        <f>IF(OR($F71="",$G71=""),"",IF(ISNUMBER(Sync!$AE71),INT(MOD(Sync!$AE71,10000)/100),IFERROR(VALUE(TRIM(LEFT(MID(Sync!$AE71,FIND("/",Sync!$AE71)+1,20),FIND("/",MID(Sync!$AE71,FIND("/",Sync!$AE71)+1,20))-1))),"")))</f>
        <v/>
      </c>
      <c r="I71" t="str">
        <f>IF(OR($F71="",$G71=""),"",IF(ISNUMBER(Sync!$AE71),MOD(Sync!$AE71,100),IFERROR(VALUE(TRIM(MID(MID(Sync!$AE71,FIND("/",Sync!$AE71)+1,20),FIND("/",MID(Sync!$AE71,FIND("/",Sync!$AE71)+1,20))+1,20))),"")))</f>
        <v/>
      </c>
      <c r="J71" t="str">
        <f t="shared" si="7"/>
        <v/>
      </c>
      <c r="K71" t="str">
        <f>IF(OR($F71="",$J71="",$J71="نامعتبر"),"",LEFT($J71,4)&amp;MID($J71,6,2)&amp;RIGHT($J71,2)&amp;$N71&amp;"|"&amp;"2"&amp;RIGHT("00000"&amp;66,5))</f>
        <v/>
      </c>
      <c r="L71" t="str">
        <f t="shared" si="8"/>
        <v/>
      </c>
      <c r="M71" t="str">
        <f t="shared" si="9"/>
        <v/>
      </c>
      <c r="N71" t="str">
        <f>IF($F71="","",IF(Sync!$AF71="","0000",IF(AND(ISNUMBER(Sync!$AF71),Sync!$AF71&gt;=0,Sync!$AF71&lt;1),RIGHT("00"&amp;HOUR(Sync!$AF71),2)&amp;RIGHT("00"&amp;MINUTE(Sync!$AF71),2),IFERROR(RIGHT("00"&amp;VALUE(LEFT(Sync!$AF71,FIND(":",Sync!$AF71)-1)),2)&amp;RIGHT("00"&amp;VALUE(MID(Sync!$AF71,FIND(":",Sync!$AF71)+1,2)),2),"0000"))))</f>
        <v/>
      </c>
    </row>
    <row r="72" spans="1:14" x14ac:dyDescent="0.2">
      <c r="A72" t="str">
        <f>IF(OR(Calc!$E76="",Calc!$E76="نامعتبر",Calc!$G76=""),"",Calc!$G76)</f>
        <v/>
      </c>
      <c r="B72" t="str">
        <f>IF($A72="","",LEFT(Calc!$E76,4)&amp;MID(Calc!$E76,6,2)&amp;RIGHT(Calc!$E76,2)&amp;Calc!$Q76&amp;"|"&amp;"1"&amp;RIGHT("00000"&amp;67,5))</f>
        <v/>
      </c>
      <c r="C72" t="str">
        <f t="shared" si="5"/>
        <v/>
      </c>
      <c r="D72" t="str">
        <f t="shared" si="6"/>
        <v/>
      </c>
      <c r="F72" t="str">
        <f>IF(Sync!$AH72="","",IF(LEFT(UPPER(TRIM(Sync!$AH72)),2)="SL",UPPER(TRIM(Sync!$AH72)),""))</f>
        <v/>
      </c>
      <c r="G72" t="str">
        <f>IF($F72="","",IF(Sync!$AE72="","",IF(ISNUMBER(Sync!$AE72),IF(AND(Sync!$AE72&gt;=10000101,Sync!$AE72&lt;=99991231),INT(Sync!$AE72/10000),""),IFERROR(VALUE(TRIM(LEFT(Sync!$AE72,FIND("/",Sync!$AE72)-1))),""))))</f>
        <v/>
      </c>
      <c r="H72" t="str">
        <f>IF(OR($F72="",$G72=""),"",IF(ISNUMBER(Sync!$AE72),INT(MOD(Sync!$AE72,10000)/100),IFERROR(VALUE(TRIM(LEFT(MID(Sync!$AE72,FIND("/",Sync!$AE72)+1,20),FIND("/",MID(Sync!$AE72,FIND("/",Sync!$AE72)+1,20))-1))),"")))</f>
        <v/>
      </c>
      <c r="I72" t="str">
        <f>IF(OR($F72="",$G72=""),"",IF(ISNUMBER(Sync!$AE72),MOD(Sync!$AE72,100),IFERROR(VALUE(TRIM(MID(MID(Sync!$AE72,FIND("/",Sync!$AE72)+1,20),FIND("/",MID(Sync!$AE72,FIND("/",Sync!$AE72)+1,20))+1,20))),"")))</f>
        <v/>
      </c>
      <c r="J72" t="str">
        <f t="shared" si="7"/>
        <v/>
      </c>
      <c r="K72" t="str">
        <f>IF(OR($F72="",$J72="",$J72="نامعتبر"),"",LEFT($J72,4)&amp;MID($J72,6,2)&amp;RIGHT($J72,2)&amp;$N72&amp;"|"&amp;"2"&amp;RIGHT("00000"&amp;67,5))</f>
        <v/>
      </c>
      <c r="L72" t="str">
        <f t="shared" si="8"/>
        <v/>
      </c>
      <c r="M72" t="str">
        <f t="shared" si="9"/>
        <v/>
      </c>
      <c r="N72" t="str">
        <f>IF($F72="","",IF(Sync!$AF72="","0000",IF(AND(ISNUMBER(Sync!$AF72),Sync!$AF72&gt;=0,Sync!$AF72&lt;1),RIGHT("00"&amp;HOUR(Sync!$AF72),2)&amp;RIGHT("00"&amp;MINUTE(Sync!$AF72),2),IFERROR(RIGHT("00"&amp;VALUE(LEFT(Sync!$AF72,FIND(":",Sync!$AF72)-1)),2)&amp;RIGHT("00"&amp;VALUE(MID(Sync!$AF72,FIND(":",Sync!$AF72)+1,2)),2),"0000"))))</f>
        <v/>
      </c>
    </row>
    <row r="73" spans="1:14" x14ac:dyDescent="0.2">
      <c r="A73" t="str">
        <f>IF(OR(Calc!$E77="",Calc!$E77="نامعتبر",Calc!$G77=""),"",Calc!$G77)</f>
        <v/>
      </c>
      <c r="B73" t="str">
        <f>IF($A73="","",LEFT(Calc!$E77,4)&amp;MID(Calc!$E77,6,2)&amp;RIGHT(Calc!$E77,2)&amp;Calc!$Q77&amp;"|"&amp;"1"&amp;RIGHT("00000"&amp;68,5))</f>
        <v/>
      </c>
      <c r="C73" t="str">
        <f t="shared" si="5"/>
        <v/>
      </c>
      <c r="D73" t="str">
        <f t="shared" si="6"/>
        <v/>
      </c>
      <c r="F73" t="str">
        <f>IF(Sync!$AH73="","",IF(LEFT(UPPER(TRIM(Sync!$AH73)),2)="SL",UPPER(TRIM(Sync!$AH73)),""))</f>
        <v/>
      </c>
      <c r="G73" t="str">
        <f>IF($F73="","",IF(Sync!$AE73="","",IF(ISNUMBER(Sync!$AE73),IF(AND(Sync!$AE73&gt;=10000101,Sync!$AE73&lt;=99991231),INT(Sync!$AE73/10000),""),IFERROR(VALUE(TRIM(LEFT(Sync!$AE73,FIND("/",Sync!$AE73)-1))),""))))</f>
        <v/>
      </c>
      <c r="H73" t="str">
        <f>IF(OR($F73="",$G73=""),"",IF(ISNUMBER(Sync!$AE73),INT(MOD(Sync!$AE73,10000)/100),IFERROR(VALUE(TRIM(LEFT(MID(Sync!$AE73,FIND("/",Sync!$AE73)+1,20),FIND("/",MID(Sync!$AE73,FIND("/",Sync!$AE73)+1,20))-1))),"")))</f>
        <v/>
      </c>
      <c r="I73" t="str">
        <f>IF(OR($F73="",$G73=""),"",IF(ISNUMBER(Sync!$AE73),MOD(Sync!$AE73,100),IFERROR(VALUE(TRIM(MID(MID(Sync!$AE73,FIND("/",Sync!$AE73)+1,20),FIND("/",MID(Sync!$AE73,FIND("/",Sync!$AE73)+1,20))+1,20))),"")))</f>
        <v/>
      </c>
      <c r="J73" t="str">
        <f t="shared" si="7"/>
        <v/>
      </c>
      <c r="K73" t="str">
        <f>IF(OR($F73="",$J73="",$J73="نامعتبر"),"",LEFT($J73,4)&amp;MID($J73,6,2)&amp;RIGHT($J73,2)&amp;$N73&amp;"|"&amp;"2"&amp;RIGHT("00000"&amp;68,5))</f>
        <v/>
      </c>
      <c r="L73" t="str">
        <f t="shared" si="8"/>
        <v/>
      </c>
      <c r="M73" t="str">
        <f t="shared" si="9"/>
        <v/>
      </c>
      <c r="N73" t="str">
        <f>IF($F73="","",IF(Sync!$AF73="","0000",IF(AND(ISNUMBER(Sync!$AF73),Sync!$AF73&gt;=0,Sync!$AF73&lt;1),RIGHT("00"&amp;HOUR(Sync!$AF73),2)&amp;RIGHT("00"&amp;MINUTE(Sync!$AF73),2),IFERROR(RIGHT("00"&amp;VALUE(LEFT(Sync!$AF73,FIND(":",Sync!$AF73)-1)),2)&amp;RIGHT("00"&amp;VALUE(MID(Sync!$AF73,FIND(":",Sync!$AF73)+1,2)),2),"0000"))))</f>
        <v/>
      </c>
    </row>
    <row r="74" spans="1:14" x14ac:dyDescent="0.2">
      <c r="A74" t="str">
        <f>IF(OR(Calc!$E78="",Calc!$E78="نامعتبر",Calc!$G78=""),"",Calc!$G78)</f>
        <v/>
      </c>
      <c r="B74" t="str">
        <f>IF($A74="","",LEFT(Calc!$E78,4)&amp;MID(Calc!$E78,6,2)&amp;RIGHT(Calc!$E78,2)&amp;Calc!$Q78&amp;"|"&amp;"1"&amp;RIGHT("00000"&amp;69,5))</f>
        <v/>
      </c>
      <c r="C74" t="str">
        <f t="shared" si="5"/>
        <v/>
      </c>
      <c r="D74" t="str">
        <f t="shared" si="6"/>
        <v/>
      </c>
      <c r="F74" t="str">
        <f>IF(Sync!$AH74="","",IF(LEFT(UPPER(TRIM(Sync!$AH74)),2)="SL",UPPER(TRIM(Sync!$AH74)),""))</f>
        <v/>
      </c>
      <c r="G74" t="str">
        <f>IF($F74="","",IF(Sync!$AE74="","",IF(ISNUMBER(Sync!$AE74),IF(AND(Sync!$AE74&gt;=10000101,Sync!$AE74&lt;=99991231),INT(Sync!$AE74/10000),""),IFERROR(VALUE(TRIM(LEFT(Sync!$AE74,FIND("/",Sync!$AE74)-1))),""))))</f>
        <v/>
      </c>
      <c r="H74" t="str">
        <f>IF(OR($F74="",$G74=""),"",IF(ISNUMBER(Sync!$AE74),INT(MOD(Sync!$AE74,10000)/100),IFERROR(VALUE(TRIM(LEFT(MID(Sync!$AE74,FIND("/",Sync!$AE74)+1,20),FIND("/",MID(Sync!$AE74,FIND("/",Sync!$AE74)+1,20))-1))),"")))</f>
        <v/>
      </c>
      <c r="I74" t="str">
        <f>IF(OR($F74="",$G74=""),"",IF(ISNUMBER(Sync!$AE74),MOD(Sync!$AE74,100),IFERROR(VALUE(TRIM(MID(MID(Sync!$AE74,FIND("/",Sync!$AE74)+1,20),FIND("/",MID(Sync!$AE74,FIND("/",Sync!$AE74)+1,20))+1,20))),"")))</f>
        <v/>
      </c>
      <c r="J74" t="str">
        <f t="shared" si="7"/>
        <v/>
      </c>
      <c r="K74" t="str">
        <f>IF(OR($F74="",$J74="",$J74="نامعتبر"),"",LEFT($J74,4)&amp;MID($J74,6,2)&amp;RIGHT($J74,2)&amp;$N74&amp;"|"&amp;"2"&amp;RIGHT("00000"&amp;69,5))</f>
        <v/>
      </c>
      <c r="L74" t="str">
        <f t="shared" si="8"/>
        <v/>
      </c>
      <c r="M74" t="str">
        <f t="shared" si="9"/>
        <v/>
      </c>
      <c r="N74" t="str">
        <f>IF($F74="","",IF(Sync!$AF74="","0000",IF(AND(ISNUMBER(Sync!$AF74),Sync!$AF74&gt;=0,Sync!$AF74&lt;1),RIGHT("00"&amp;HOUR(Sync!$AF74),2)&amp;RIGHT("00"&amp;MINUTE(Sync!$AF74),2),IFERROR(RIGHT("00"&amp;VALUE(LEFT(Sync!$AF74,FIND(":",Sync!$AF74)-1)),2)&amp;RIGHT("00"&amp;VALUE(MID(Sync!$AF74,FIND(":",Sync!$AF74)+1,2)),2),"0000"))))</f>
        <v/>
      </c>
    </row>
    <row r="75" spans="1:14" x14ac:dyDescent="0.2">
      <c r="A75" t="str">
        <f>IF(OR(Calc!$E79="",Calc!$E79="نامعتبر",Calc!$G79=""),"",Calc!$G79)</f>
        <v/>
      </c>
      <c r="B75" t="str">
        <f>IF($A75="","",LEFT(Calc!$E79,4)&amp;MID(Calc!$E79,6,2)&amp;RIGHT(Calc!$E79,2)&amp;Calc!$Q79&amp;"|"&amp;"1"&amp;RIGHT("00000"&amp;70,5))</f>
        <v/>
      </c>
      <c r="C75" t="str">
        <f t="shared" si="5"/>
        <v/>
      </c>
      <c r="D75" t="str">
        <f t="shared" si="6"/>
        <v/>
      </c>
      <c r="F75" t="str">
        <f>IF(Sync!$AH75="","",IF(LEFT(UPPER(TRIM(Sync!$AH75)),2)="SL",UPPER(TRIM(Sync!$AH75)),""))</f>
        <v/>
      </c>
      <c r="G75" t="str">
        <f>IF($F75="","",IF(Sync!$AE75="","",IF(ISNUMBER(Sync!$AE75),IF(AND(Sync!$AE75&gt;=10000101,Sync!$AE75&lt;=99991231),INT(Sync!$AE75/10000),""),IFERROR(VALUE(TRIM(LEFT(Sync!$AE75,FIND("/",Sync!$AE75)-1))),""))))</f>
        <v/>
      </c>
      <c r="H75" t="str">
        <f>IF(OR($F75="",$G75=""),"",IF(ISNUMBER(Sync!$AE75),INT(MOD(Sync!$AE75,10000)/100),IFERROR(VALUE(TRIM(LEFT(MID(Sync!$AE75,FIND("/",Sync!$AE75)+1,20),FIND("/",MID(Sync!$AE75,FIND("/",Sync!$AE75)+1,20))-1))),"")))</f>
        <v/>
      </c>
      <c r="I75" t="str">
        <f>IF(OR($F75="",$G75=""),"",IF(ISNUMBER(Sync!$AE75),MOD(Sync!$AE75,100),IFERROR(VALUE(TRIM(MID(MID(Sync!$AE75,FIND("/",Sync!$AE75)+1,20),FIND("/",MID(Sync!$AE75,FIND("/",Sync!$AE75)+1,20))+1,20))),"")))</f>
        <v/>
      </c>
      <c r="J75" t="str">
        <f t="shared" si="7"/>
        <v/>
      </c>
      <c r="K75" t="str">
        <f>IF(OR($F75="",$J75="",$J75="نامعتبر"),"",LEFT($J75,4)&amp;MID($J75,6,2)&amp;RIGHT($J75,2)&amp;$N75&amp;"|"&amp;"2"&amp;RIGHT("00000"&amp;70,5))</f>
        <v/>
      </c>
      <c r="L75" t="str">
        <f t="shared" si="8"/>
        <v/>
      </c>
      <c r="M75" t="str">
        <f t="shared" si="9"/>
        <v/>
      </c>
      <c r="N75" t="str">
        <f>IF($F75="","",IF(Sync!$AF75="","0000",IF(AND(ISNUMBER(Sync!$AF75),Sync!$AF75&gt;=0,Sync!$AF75&lt;1),RIGHT("00"&amp;HOUR(Sync!$AF75),2)&amp;RIGHT("00"&amp;MINUTE(Sync!$AF75),2),IFERROR(RIGHT("00"&amp;VALUE(LEFT(Sync!$AF75,FIND(":",Sync!$AF75)-1)),2)&amp;RIGHT("00"&amp;VALUE(MID(Sync!$AF75,FIND(":",Sync!$AF75)+1,2)),2),"0000"))))</f>
        <v/>
      </c>
    </row>
    <row r="76" spans="1:14" x14ac:dyDescent="0.2">
      <c r="A76" t="str">
        <f>IF(OR(Calc!$E80="",Calc!$E80="نامعتبر",Calc!$G80=""),"",Calc!$G80)</f>
        <v>SL003</v>
      </c>
      <c r="B76" t="str">
        <f>IF($A76="","",LEFT(Calc!$E80,4)&amp;MID(Calc!$E80,6,2)&amp;RIGHT(Calc!$E80,2)&amp;Calc!$Q80&amp;"|"&amp;"1"&amp;RIGHT("00000"&amp;71,5))</f>
        <v>140507180000|100071</v>
      </c>
      <c r="C76">
        <f t="shared" si="5"/>
        <v>3</v>
      </c>
      <c r="D76" t="str">
        <f t="shared" si="6"/>
        <v>SL003|000003</v>
      </c>
      <c r="F76" t="str">
        <f>IF(Sync!$AH76="","",IF(LEFT(UPPER(TRIM(Sync!$AH76)),2)="SL",UPPER(TRIM(Sync!$AH76)),""))</f>
        <v/>
      </c>
      <c r="G76" t="str">
        <f>IF($F76="","",IF(Sync!$AE76="","",IF(ISNUMBER(Sync!$AE76),IF(AND(Sync!$AE76&gt;=10000101,Sync!$AE76&lt;=99991231),INT(Sync!$AE76/10000),""),IFERROR(VALUE(TRIM(LEFT(Sync!$AE76,FIND("/",Sync!$AE76)-1))),""))))</f>
        <v/>
      </c>
      <c r="H76" t="str">
        <f>IF(OR($F76="",$G76=""),"",IF(ISNUMBER(Sync!$AE76),INT(MOD(Sync!$AE76,10000)/100),IFERROR(VALUE(TRIM(LEFT(MID(Sync!$AE76,FIND("/",Sync!$AE76)+1,20),FIND("/",MID(Sync!$AE76,FIND("/",Sync!$AE76)+1,20))-1))),"")))</f>
        <v/>
      </c>
      <c r="I76" t="str">
        <f>IF(OR($F76="",$G76=""),"",IF(ISNUMBER(Sync!$AE76),MOD(Sync!$AE76,100),IFERROR(VALUE(TRIM(MID(MID(Sync!$AE76,FIND("/",Sync!$AE76)+1,20),FIND("/",MID(Sync!$AE76,FIND("/",Sync!$AE76)+1,20))+1,20))),"")))</f>
        <v/>
      </c>
      <c r="J76" t="str">
        <f t="shared" si="7"/>
        <v/>
      </c>
      <c r="K76" t="str">
        <f>IF(OR($F76="",$J76="",$J76="نامعتبر"),"",LEFT($J76,4)&amp;MID($J76,6,2)&amp;RIGHT($J76,2)&amp;$N76&amp;"|"&amp;"2"&amp;RIGHT("00000"&amp;71,5))</f>
        <v/>
      </c>
      <c r="L76" t="str">
        <f t="shared" si="8"/>
        <v/>
      </c>
      <c r="M76" t="str">
        <f t="shared" si="9"/>
        <v/>
      </c>
      <c r="N76" t="str">
        <f>IF($F76="","",IF(Sync!$AF76="","0000",IF(AND(ISNUMBER(Sync!$AF76),Sync!$AF76&gt;=0,Sync!$AF76&lt;1),RIGHT("00"&amp;HOUR(Sync!$AF76),2)&amp;RIGHT("00"&amp;MINUTE(Sync!$AF76),2),IFERROR(RIGHT("00"&amp;VALUE(LEFT(Sync!$AF76,FIND(":",Sync!$AF76)-1)),2)&amp;RIGHT("00"&amp;VALUE(MID(Sync!$AF76,FIND(":",Sync!$AF76)+1,2)),2),"0000"))))</f>
        <v/>
      </c>
    </row>
    <row r="77" spans="1:14" x14ac:dyDescent="0.2">
      <c r="A77" t="str">
        <f>IF(OR(Calc!$E81="",Calc!$E81="نامعتبر",Calc!$G81=""),"",Calc!$G81)</f>
        <v/>
      </c>
      <c r="B77" t="str">
        <f>IF($A77="","",LEFT(Calc!$E81,4)&amp;MID(Calc!$E81,6,2)&amp;RIGHT(Calc!$E81,2)&amp;Calc!$Q81&amp;"|"&amp;"1"&amp;RIGHT("00000"&amp;72,5))</f>
        <v/>
      </c>
      <c r="C77" t="str">
        <f t="shared" si="5"/>
        <v/>
      </c>
      <c r="D77" t="str">
        <f t="shared" si="6"/>
        <v/>
      </c>
      <c r="F77" t="str">
        <f>IF(Sync!$AH77="","",IF(LEFT(UPPER(TRIM(Sync!$AH77)),2)="SL",UPPER(TRIM(Sync!$AH77)),""))</f>
        <v/>
      </c>
      <c r="G77" t="str">
        <f>IF($F77="","",IF(Sync!$AE77="","",IF(ISNUMBER(Sync!$AE77),IF(AND(Sync!$AE77&gt;=10000101,Sync!$AE77&lt;=99991231),INT(Sync!$AE77/10000),""),IFERROR(VALUE(TRIM(LEFT(Sync!$AE77,FIND("/",Sync!$AE77)-1))),""))))</f>
        <v/>
      </c>
      <c r="H77" t="str">
        <f>IF(OR($F77="",$G77=""),"",IF(ISNUMBER(Sync!$AE77),INT(MOD(Sync!$AE77,10000)/100),IFERROR(VALUE(TRIM(LEFT(MID(Sync!$AE77,FIND("/",Sync!$AE77)+1,20),FIND("/",MID(Sync!$AE77,FIND("/",Sync!$AE77)+1,20))-1))),"")))</f>
        <v/>
      </c>
      <c r="I77" t="str">
        <f>IF(OR($F77="",$G77=""),"",IF(ISNUMBER(Sync!$AE77),MOD(Sync!$AE77,100),IFERROR(VALUE(TRIM(MID(MID(Sync!$AE77,FIND("/",Sync!$AE77)+1,20),FIND("/",MID(Sync!$AE77,FIND("/",Sync!$AE77)+1,20))+1,20))),"")))</f>
        <v/>
      </c>
      <c r="J77" t="str">
        <f t="shared" si="7"/>
        <v/>
      </c>
      <c r="K77" t="str">
        <f>IF(OR($F77="",$J77="",$J77="نامعتبر"),"",LEFT($J77,4)&amp;MID($J77,6,2)&amp;RIGHT($J77,2)&amp;$N77&amp;"|"&amp;"2"&amp;RIGHT("00000"&amp;72,5))</f>
        <v/>
      </c>
      <c r="L77" t="str">
        <f t="shared" si="8"/>
        <v/>
      </c>
      <c r="M77" t="str">
        <f t="shared" si="9"/>
        <v/>
      </c>
      <c r="N77" t="str">
        <f>IF($F77="","",IF(Sync!$AF77="","0000",IF(AND(ISNUMBER(Sync!$AF77),Sync!$AF77&gt;=0,Sync!$AF77&lt;1),RIGHT("00"&amp;HOUR(Sync!$AF77),2)&amp;RIGHT("00"&amp;MINUTE(Sync!$AF77),2),IFERROR(RIGHT("00"&amp;VALUE(LEFT(Sync!$AF77,FIND(":",Sync!$AF77)-1)),2)&amp;RIGHT("00"&amp;VALUE(MID(Sync!$AF77,FIND(":",Sync!$AF77)+1,2)),2),"0000"))))</f>
        <v/>
      </c>
    </row>
    <row r="78" spans="1:14" x14ac:dyDescent="0.2">
      <c r="A78" t="str">
        <f>IF(OR(Calc!$E82="",Calc!$E82="نامعتبر",Calc!$G82=""),"",Calc!$G82)</f>
        <v>SL001</v>
      </c>
      <c r="B78" t="str">
        <f>IF($A78="","",LEFT(Calc!$E82,4)&amp;MID(Calc!$E82,6,2)&amp;RIGHT(Calc!$E82,2)&amp;Calc!$Q82&amp;"|"&amp;"1"&amp;RIGHT("00000"&amp;73,5))</f>
        <v>140507180000|100073</v>
      </c>
      <c r="C78">
        <f t="shared" si="5"/>
        <v>5</v>
      </c>
      <c r="D78" t="str">
        <f t="shared" si="6"/>
        <v>SL001|000005</v>
      </c>
      <c r="F78" t="str">
        <f>IF(Sync!$AH78="","",IF(LEFT(UPPER(TRIM(Sync!$AH78)),2)="SL",UPPER(TRIM(Sync!$AH78)),""))</f>
        <v/>
      </c>
      <c r="G78" t="str">
        <f>IF($F78="","",IF(Sync!$AE78="","",IF(ISNUMBER(Sync!$AE78),IF(AND(Sync!$AE78&gt;=10000101,Sync!$AE78&lt;=99991231),INT(Sync!$AE78/10000),""),IFERROR(VALUE(TRIM(LEFT(Sync!$AE78,FIND("/",Sync!$AE78)-1))),""))))</f>
        <v/>
      </c>
      <c r="H78" t="str">
        <f>IF(OR($F78="",$G78=""),"",IF(ISNUMBER(Sync!$AE78),INT(MOD(Sync!$AE78,10000)/100),IFERROR(VALUE(TRIM(LEFT(MID(Sync!$AE78,FIND("/",Sync!$AE78)+1,20),FIND("/",MID(Sync!$AE78,FIND("/",Sync!$AE78)+1,20))-1))),"")))</f>
        <v/>
      </c>
      <c r="I78" t="str">
        <f>IF(OR($F78="",$G78=""),"",IF(ISNUMBER(Sync!$AE78),MOD(Sync!$AE78,100),IFERROR(VALUE(TRIM(MID(MID(Sync!$AE78,FIND("/",Sync!$AE78)+1,20),FIND("/",MID(Sync!$AE78,FIND("/",Sync!$AE78)+1,20))+1,20))),"")))</f>
        <v/>
      </c>
      <c r="J78" t="str">
        <f t="shared" si="7"/>
        <v/>
      </c>
      <c r="K78" t="str">
        <f>IF(OR($F78="",$J78="",$J78="نامعتبر"),"",LEFT($J78,4)&amp;MID($J78,6,2)&amp;RIGHT($J78,2)&amp;$N78&amp;"|"&amp;"2"&amp;RIGHT("00000"&amp;73,5))</f>
        <v/>
      </c>
      <c r="L78" t="str">
        <f t="shared" si="8"/>
        <v/>
      </c>
      <c r="M78" t="str">
        <f t="shared" si="9"/>
        <v/>
      </c>
      <c r="N78" t="str">
        <f>IF($F78="","",IF(Sync!$AF78="","0000",IF(AND(ISNUMBER(Sync!$AF78),Sync!$AF78&gt;=0,Sync!$AF78&lt;1),RIGHT("00"&amp;HOUR(Sync!$AF78),2)&amp;RIGHT("00"&amp;MINUTE(Sync!$AF78),2),IFERROR(RIGHT("00"&amp;VALUE(LEFT(Sync!$AF78,FIND(":",Sync!$AF78)-1)),2)&amp;RIGHT("00"&amp;VALUE(MID(Sync!$AF78,FIND(":",Sync!$AF78)+1,2)),2),"0000"))))</f>
        <v/>
      </c>
    </row>
    <row r="79" spans="1:14" x14ac:dyDescent="0.2">
      <c r="A79" t="str">
        <f>IF(OR(Calc!$E83="",Calc!$E83="نامعتبر",Calc!$G83=""),"",Calc!$G83)</f>
        <v/>
      </c>
      <c r="B79" t="str">
        <f>IF($A79="","",LEFT(Calc!$E83,4)&amp;MID(Calc!$E83,6,2)&amp;RIGHT(Calc!$E83,2)&amp;Calc!$Q83&amp;"|"&amp;"1"&amp;RIGHT("00000"&amp;74,5))</f>
        <v/>
      </c>
      <c r="C79" t="str">
        <f t="shared" si="5"/>
        <v/>
      </c>
      <c r="D79" t="str">
        <f t="shared" si="6"/>
        <v/>
      </c>
      <c r="F79" t="str">
        <f>IF(Sync!$AH79="","",IF(LEFT(UPPER(TRIM(Sync!$AH79)),2)="SL",UPPER(TRIM(Sync!$AH79)),""))</f>
        <v/>
      </c>
      <c r="G79" t="str">
        <f>IF($F79="","",IF(Sync!$AE79="","",IF(ISNUMBER(Sync!$AE79),IF(AND(Sync!$AE79&gt;=10000101,Sync!$AE79&lt;=99991231),INT(Sync!$AE79/10000),""),IFERROR(VALUE(TRIM(LEFT(Sync!$AE79,FIND("/",Sync!$AE79)-1))),""))))</f>
        <v/>
      </c>
      <c r="H79" t="str">
        <f>IF(OR($F79="",$G79=""),"",IF(ISNUMBER(Sync!$AE79),INT(MOD(Sync!$AE79,10000)/100),IFERROR(VALUE(TRIM(LEFT(MID(Sync!$AE79,FIND("/",Sync!$AE79)+1,20),FIND("/",MID(Sync!$AE79,FIND("/",Sync!$AE79)+1,20))-1))),"")))</f>
        <v/>
      </c>
      <c r="I79" t="str">
        <f>IF(OR($F79="",$G79=""),"",IF(ISNUMBER(Sync!$AE79),MOD(Sync!$AE79,100),IFERROR(VALUE(TRIM(MID(MID(Sync!$AE79,FIND("/",Sync!$AE79)+1,20),FIND("/",MID(Sync!$AE79,FIND("/",Sync!$AE79)+1,20))+1,20))),"")))</f>
        <v/>
      </c>
      <c r="J79" t="str">
        <f t="shared" si="7"/>
        <v/>
      </c>
      <c r="K79" t="str">
        <f>IF(OR($F79="",$J79="",$J79="نامعتبر"),"",LEFT($J79,4)&amp;MID($J79,6,2)&amp;RIGHT($J79,2)&amp;$N79&amp;"|"&amp;"2"&amp;RIGHT("00000"&amp;74,5))</f>
        <v/>
      </c>
      <c r="L79" t="str">
        <f t="shared" si="8"/>
        <v/>
      </c>
      <c r="M79" t="str">
        <f t="shared" si="9"/>
        <v/>
      </c>
      <c r="N79" t="str">
        <f>IF($F79="","",IF(Sync!$AF79="","0000",IF(AND(ISNUMBER(Sync!$AF79),Sync!$AF79&gt;=0,Sync!$AF79&lt;1),RIGHT("00"&amp;HOUR(Sync!$AF79),2)&amp;RIGHT("00"&amp;MINUTE(Sync!$AF79),2),IFERROR(RIGHT("00"&amp;VALUE(LEFT(Sync!$AF79,FIND(":",Sync!$AF79)-1)),2)&amp;RIGHT("00"&amp;VALUE(MID(Sync!$AF79,FIND(":",Sync!$AF79)+1,2)),2),"0000"))))</f>
        <v/>
      </c>
    </row>
    <row r="80" spans="1:14" x14ac:dyDescent="0.2">
      <c r="A80" t="str">
        <f>IF(OR(Calc!$E84="",Calc!$E84="نامعتبر",Calc!$G84=""),"",Calc!$G84)</f>
        <v>SL005</v>
      </c>
      <c r="B80" t="str">
        <f>IF($A80="","",LEFT(Calc!$E84,4)&amp;MID(Calc!$E84,6,2)&amp;RIGHT(Calc!$E84,2)&amp;Calc!$Q84&amp;"|"&amp;"1"&amp;RIGHT("00000"&amp;75,5))</f>
        <v>140507180000|100075</v>
      </c>
      <c r="C80">
        <f t="shared" si="5"/>
        <v>1</v>
      </c>
      <c r="D80" t="str">
        <f t="shared" si="6"/>
        <v>SL005|000001</v>
      </c>
      <c r="F80" t="str">
        <f>IF(Sync!$AH80="","",IF(LEFT(UPPER(TRIM(Sync!$AH80)),2)="SL",UPPER(TRIM(Sync!$AH80)),""))</f>
        <v/>
      </c>
      <c r="G80" t="str">
        <f>IF($F80="","",IF(Sync!$AE80="","",IF(ISNUMBER(Sync!$AE80),IF(AND(Sync!$AE80&gt;=10000101,Sync!$AE80&lt;=99991231),INT(Sync!$AE80/10000),""),IFERROR(VALUE(TRIM(LEFT(Sync!$AE80,FIND("/",Sync!$AE80)-1))),""))))</f>
        <v/>
      </c>
      <c r="H80" t="str">
        <f>IF(OR($F80="",$G80=""),"",IF(ISNUMBER(Sync!$AE80),INT(MOD(Sync!$AE80,10000)/100),IFERROR(VALUE(TRIM(LEFT(MID(Sync!$AE80,FIND("/",Sync!$AE80)+1,20),FIND("/",MID(Sync!$AE80,FIND("/",Sync!$AE80)+1,20))-1))),"")))</f>
        <v/>
      </c>
      <c r="I80" t="str">
        <f>IF(OR($F80="",$G80=""),"",IF(ISNUMBER(Sync!$AE80),MOD(Sync!$AE80,100),IFERROR(VALUE(TRIM(MID(MID(Sync!$AE80,FIND("/",Sync!$AE80)+1,20),FIND("/",MID(Sync!$AE80,FIND("/",Sync!$AE80)+1,20))+1,20))),"")))</f>
        <v/>
      </c>
      <c r="J80" t="str">
        <f t="shared" si="7"/>
        <v/>
      </c>
      <c r="K80" t="str">
        <f>IF(OR($F80="",$J80="",$J80="نامعتبر"),"",LEFT($J80,4)&amp;MID($J80,6,2)&amp;RIGHT($J80,2)&amp;$N80&amp;"|"&amp;"2"&amp;RIGHT("00000"&amp;75,5))</f>
        <v/>
      </c>
      <c r="L80" t="str">
        <f t="shared" si="8"/>
        <v/>
      </c>
      <c r="M80" t="str">
        <f t="shared" si="9"/>
        <v/>
      </c>
      <c r="N80" t="str">
        <f>IF($F80="","",IF(Sync!$AF80="","0000",IF(AND(ISNUMBER(Sync!$AF80),Sync!$AF80&gt;=0,Sync!$AF80&lt;1),RIGHT("00"&amp;HOUR(Sync!$AF80),2)&amp;RIGHT("00"&amp;MINUTE(Sync!$AF80),2),IFERROR(RIGHT("00"&amp;VALUE(LEFT(Sync!$AF80,FIND(":",Sync!$AF80)-1)),2)&amp;RIGHT("00"&amp;VALUE(MID(Sync!$AF80,FIND(":",Sync!$AF80)+1,2)),2),"0000"))))</f>
        <v/>
      </c>
    </row>
    <row r="81" spans="1:14" x14ac:dyDescent="0.2">
      <c r="A81" t="str">
        <f>IF(OR(Calc!$E85="",Calc!$E85="نامعتبر",Calc!$G85=""),"",Calc!$G85)</f>
        <v/>
      </c>
      <c r="B81" t="str">
        <f>IF($A81="","",LEFT(Calc!$E85,4)&amp;MID(Calc!$E85,6,2)&amp;RIGHT(Calc!$E85,2)&amp;Calc!$Q85&amp;"|"&amp;"1"&amp;RIGHT("00000"&amp;76,5))</f>
        <v/>
      </c>
      <c r="C81" t="str">
        <f t="shared" si="5"/>
        <v/>
      </c>
      <c r="D81" t="str">
        <f t="shared" si="6"/>
        <v/>
      </c>
      <c r="F81" t="str">
        <f>IF(Sync!$AH81="","",IF(LEFT(UPPER(TRIM(Sync!$AH81)),2)="SL",UPPER(TRIM(Sync!$AH81)),""))</f>
        <v/>
      </c>
      <c r="G81" t="str">
        <f>IF($F81="","",IF(Sync!$AE81="","",IF(ISNUMBER(Sync!$AE81),IF(AND(Sync!$AE81&gt;=10000101,Sync!$AE81&lt;=99991231),INT(Sync!$AE81/10000),""),IFERROR(VALUE(TRIM(LEFT(Sync!$AE81,FIND("/",Sync!$AE81)-1))),""))))</f>
        <v/>
      </c>
      <c r="H81" t="str">
        <f>IF(OR($F81="",$G81=""),"",IF(ISNUMBER(Sync!$AE81),INT(MOD(Sync!$AE81,10000)/100),IFERROR(VALUE(TRIM(LEFT(MID(Sync!$AE81,FIND("/",Sync!$AE81)+1,20),FIND("/",MID(Sync!$AE81,FIND("/",Sync!$AE81)+1,20))-1))),"")))</f>
        <v/>
      </c>
      <c r="I81" t="str">
        <f>IF(OR($F81="",$G81=""),"",IF(ISNUMBER(Sync!$AE81),MOD(Sync!$AE81,100),IFERROR(VALUE(TRIM(MID(MID(Sync!$AE81,FIND("/",Sync!$AE81)+1,20),FIND("/",MID(Sync!$AE81,FIND("/",Sync!$AE81)+1,20))+1,20))),"")))</f>
        <v/>
      </c>
      <c r="J81" t="str">
        <f t="shared" si="7"/>
        <v/>
      </c>
      <c r="K81" t="str">
        <f>IF(OR($F81="",$J81="",$J81="نامعتبر"),"",LEFT($J81,4)&amp;MID($J81,6,2)&amp;RIGHT($J81,2)&amp;$N81&amp;"|"&amp;"2"&amp;RIGHT("00000"&amp;76,5))</f>
        <v/>
      </c>
      <c r="L81" t="str">
        <f t="shared" si="8"/>
        <v/>
      </c>
      <c r="M81" t="str">
        <f t="shared" si="9"/>
        <v/>
      </c>
      <c r="N81" t="str">
        <f>IF($F81="","",IF(Sync!$AF81="","0000",IF(AND(ISNUMBER(Sync!$AF81),Sync!$AF81&gt;=0,Sync!$AF81&lt;1),RIGHT("00"&amp;HOUR(Sync!$AF81),2)&amp;RIGHT("00"&amp;MINUTE(Sync!$AF81),2),IFERROR(RIGHT("00"&amp;VALUE(LEFT(Sync!$AF81,FIND(":",Sync!$AF81)-1)),2)&amp;RIGHT("00"&amp;VALUE(MID(Sync!$AF81,FIND(":",Sync!$AF81)+1,2)),2),"0000"))))</f>
        <v/>
      </c>
    </row>
    <row r="82" spans="1:14" x14ac:dyDescent="0.2">
      <c r="A82" t="str">
        <f>IF(OR(Calc!$E86="",Calc!$E86="نامعتبر",Calc!$G86=""),"",Calc!$G86)</f>
        <v/>
      </c>
      <c r="B82" t="str">
        <f>IF($A82="","",LEFT(Calc!$E86,4)&amp;MID(Calc!$E86,6,2)&amp;RIGHT(Calc!$E86,2)&amp;Calc!$Q86&amp;"|"&amp;"1"&amp;RIGHT("00000"&amp;77,5))</f>
        <v/>
      </c>
      <c r="C82" t="str">
        <f t="shared" si="5"/>
        <v/>
      </c>
      <c r="D82" t="str">
        <f t="shared" si="6"/>
        <v/>
      </c>
      <c r="F82" t="str">
        <f>IF(Sync!$AH82="","",IF(LEFT(UPPER(TRIM(Sync!$AH82)),2)="SL",UPPER(TRIM(Sync!$AH82)),""))</f>
        <v/>
      </c>
      <c r="G82" t="str">
        <f>IF($F82="","",IF(Sync!$AE82="","",IF(ISNUMBER(Sync!$AE82),IF(AND(Sync!$AE82&gt;=10000101,Sync!$AE82&lt;=99991231),INT(Sync!$AE82/10000),""),IFERROR(VALUE(TRIM(LEFT(Sync!$AE82,FIND("/",Sync!$AE82)-1))),""))))</f>
        <v/>
      </c>
      <c r="H82" t="str">
        <f>IF(OR($F82="",$G82=""),"",IF(ISNUMBER(Sync!$AE82),INT(MOD(Sync!$AE82,10000)/100),IFERROR(VALUE(TRIM(LEFT(MID(Sync!$AE82,FIND("/",Sync!$AE82)+1,20),FIND("/",MID(Sync!$AE82,FIND("/",Sync!$AE82)+1,20))-1))),"")))</f>
        <v/>
      </c>
      <c r="I82" t="str">
        <f>IF(OR($F82="",$G82=""),"",IF(ISNUMBER(Sync!$AE82),MOD(Sync!$AE82,100),IFERROR(VALUE(TRIM(MID(MID(Sync!$AE82,FIND("/",Sync!$AE82)+1,20),FIND("/",MID(Sync!$AE82,FIND("/",Sync!$AE82)+1,20))+1,20))),"")))</f>
        <v/>
      </c>
      <c r="J82" t="str">
        <f t="shared" si="7"/>
        <v/>
      </c>
      <c r="K82" t="str">
        <f>IF(OR($F82="",$J82="",$J82="نامعتبر"),"",LEFT($J82,4)&amp;MID($J82,6,2)&amp;RIGHT($J82,2)&amp;$N82&amp;"|"&amp;"2"&amp;RIGHT("00000"&amp;77,5))</f>
        <v/>
      </c>
      <c r="L82" t="str">
        <f t="shared" si="8"/>
        <v/>
      </c>
      <c r="M82" t="str">
        <f t="shared" si="9"/>
        <v/>
      </c>
      <c r="N82" t="str">
        <f>IF($F82="","",IF(Sync!$AF82="","0000",IF(AND(ISNUMBER(Sync!$AF82),Sync!$AF82&gt;=0,Sync!$AF82&lt;1),RIGHT("00"&amp;HOUR(Sync!$AF82),2)&amp;RIGHT("00"&amp;MINUTE(Sync!$AF82),2),IFERROR(RIGHT("00"&amp;VALUE(LEFT(Sync!$AF82,FIND(":",Sync!$AF82)-1)),2)&amp;RIGHT("00"&amp;VALUE(MID(Sync!$AF82,FIND(":",Sync!$AF82)+1,2)),2),"0000"))))</f>
        <v/>
      </c>
    </row>
    <row r="83" spans="1:14" x14ac:dyDescent="0.2">
      <c r="A83" t="str">
        <f>IF(OR(Calc!$E87="",Calc!$E87="نامعتبر",Calc!$G87=""),"",Calc!$G87)</f>
        <v>SL005</v>
      </c>
      <c r="B83" t="str">
        <f>IF($A83="","",LEFT(Calc!$E87,4)&amp;MID(Calc!$E87,6,2)&amp;RIGHT(Calc!$E87,2)&amp;Calc!$Q87&amp;"|"&amp;"1"&amp;RIGHT("00000"&amp;78,5))</f>
        <v>140507190000|100078</v>
      </c>
      <c r="C83">
        <f t="shared" si="5"/>
        <v>2</v>
      </c>
      <c r="D83" t="str">
        <f t="shared" si="6"/>
        <v>SL005|000002</v>
      </c>
      <c r="F83" t="str">
        <f>IF(Sync!$AH83="","",IF(LEFT(UPPER(TRIM(Sync!$AH83)),2)="SL",UPPER(TRIM(Sync!$AH83)),""))</f>
        <v/>
      </c>
      <c r="G83" t="str">
        <f>IF($F83="","",IF(Sync!$AE83="","",IF(ISNUMBER(Sync!$AE83),IF(AND(Sync!$AE83&gt;=10000101,Sync!$AE83&lt;=99991231),INT(Sync!$AE83/10000),""),IFERROR(VALUE(TRIM(LEFT(Sync!$AE83,FIND("/",Sync!$AE83)-1))),""))))</f>
        <v/>
      </c>
      <c r="H83" t="str">
        <f>IF(OR($F83="",$G83=""),"",IF(ISNUMBER(Sync!$AE83),INT(MOD(Sync!$AE83,10000)/100),IFERROR(VALUE(TRIM(LEFT(MID(Sync!$AE83,FIND("/",Sync!$AE83)+1,20),FIND("/",MID(Sync!$AE83,FIND("/",Sync!$AE83)+1,20))-1))),"")))</f>
        <v/>
      </c>
      <c r="I83" t="str">
        <f>IF(OR($F83="",$G83=""),"",IF(ISNUMBER(Sync!$AE83),MOD(Sync!$AE83,100),IFERROR(VALUE(TRIM(MID(MID(Sync!$AE83,FIND("/",Sync!$AE83)+1,20),FIND("/",MID(Sync!$AE83,FIND("/",Sync!$AE83)+1,20))+1,20))),"")))</f>
        <v/>
      </c>
      <c r="J83" t="str">
        <f t="shared" si="7"/>
        <v/>
      </c>
      <c r="K83" t="str">
        <f>IF(OR($F83="",$J83="",$J83="نامعتبر"),"",LEFT($J83,4)&amp;MID($J83,6,2)&amp;RIGHT($J83,2)&amp;$N83&amp;"|"&amp;"2"&amp;RIGHT("00000"&amp;78,5))</f>
        <v/>
      </c>
      <c r="L83" t="str">
        <f t="shared" si="8"/>
        <v/>
      </c>
      <c r="M83" t="str">
        <f t="shared" si="9"/>
        <v/>
      </c>
      <c r="N83" t="str">
        <f>IF($F83="","",IF(Sync!$AF83="","0000",IF(AND(ISNUMBER(Sync!$AF83),Sync!$AF83&gt;=0,Sync!$AF83&lt;1),RIGHT("00"&amp;HOUR(Sync!$AF83),2)&amp;RIGHT("00"&amp;MINUTE(Sync!$AF83),2),IFERROR(RIGHT("00"&amp;VALUE(LEFT(Sync!$AF83,FIND(":",Sync!$AF83)-1)),2)&amp;RIGHT("00"&amp;VALUE(MID(Sync!$AF83,FIND(":",Sync!$AF83)+1,2)),2),"0000"))))</f>
        <v/>
      </c>
    </row>
    <row r="84" spans="1:14" x14ac:dyDescent="0.2">
      <c r="A84" t="str">
        <f>IF(OR(Calc!$E88="",Calc!$E88="نامعتبر",Calc!$G88=""),"",Calc!$G88)</f>
        <v/>
      </c>
      <c r="B84" t="str">
        <f>IF($A84="","",LEFT(Calc!$E88,4)&amp;MID(Calc!$E88,6,2)&amp;RIGHT(Calc!$E88,2)&amp;Calc!$Q88&amp;"|"&amp;"1"&amp;RIGHT("00000"&amp;79,5))</f>
        <v/>
      </c>
      <c r="C84" t="str">
        <f t="shared" si="5"/>
        <v/>
      </c>
      <c r="D84" t="str">
        <f t="shared" si="6"/>
        <v/>
      </c>
      <c r="F84" t="str">
        <f>IF(Sync!$AH84="","",IF(LEFT(UPPER(TRIM(Sync!$AH84)),2)="SL",UPPER(TRIM(Sync!$AH84)),""))</f>
        <v/>
      </c>
      <c r="G84" t="str">
        <f>IF($F84="","",IF(Sync!$AE84="","",IF(ISNUMBER(Sync!$AE84),IF(AND(Sync!$AE84&gt;=10000101,Sync!$AE84&lt;=99991231),INT(Sync!$AE84/10000),""),IFERROR(VALUE(TRIM(LEFT(Sync!$AE84,FIND("/",Sync!$AE84)-1))),""))))</f>
        <v/>
      </c>
      <c r="H84" t="str">
        <f>IF(OR($F84="",$G84=""),"",IF(ISNUMBER(Sync!$AE84),INT(MOD(Sync!$AE84,10000)/100),IFERROR(VALUE(TRIM(LEFT(MID(Sync!$AE84,FIND("/",Sync!$AE84)+1,20),FIND("/",MID(Sync!$AE84,FIND("/",Sync!$AE84)+1,20))-1))),"")))</f>
        <v/>
      </c>
      <c r="I84" t="str">
        <f>IF(OR($F84="",$G84=""),"",IF(ISNUMBER(Sync!$AE84),MOD(Sync!$AE84,100),IFERROR(VALUE(TRIM(MID(MID(Sync!$AE84,FIND("/",Sync!$AE84)+1,20),FIND("/",MID(Sync!$AE84,FIND("/",Sync!$AE84)+1,20))+1,20))),"")))</f>
        <v/>
      </c>
      <c r="J84" t="str">
        <f t="shared" si="7"/>
        <v/>
      </c>
      <c r="K84" t="str">
        <f>IF(OR($F84="",$J84="",$J84="نامعتبر"),"",LEFT($J84,4)&amp;MID($J84,6,2)&amp;RIGHT($J84,2)&amp;$N84&amp;"|"&amp;"2"&amp;RIGHT("00000"&amp;79,5))</f>
        <v/>
      </c>
      <c r="L84" t="str">
        <f t="shared" si="8"/>
        <v/>
      </c>
      <c r="M84" t="str">
        <f t="shared" si="9"/>
        <v/>
      </c>
      <c r="N84" t="str">
        <f>IF($F84="","",IF(Sync!$AF84="","0000",IF(AND(ISNUMBER(Sync!$AF84),Sync!$AF84&gt;=0,Sync!$AF84&lt;1),RIGHT("00"&amp;HOUR(Sync!$AF84),2)&amp;RIGHT("00"&amp;MINUTE(Sync!$AF84),2),IFERROR(RIGHT("00"&amp;VALUE(LEFT(Sync!$AF84,FIND(":",Sync!$AF84)-1)),2)&amp;RIGHT("00"&amp;VALUE(MID(Sync!$AF84,FIND(":",Sync!$AF84)+1,2)),2),"0000"))))</f>
        <v/>
      </c>
    </row>
    <row r="85" spans="1:14" x14ac:dyDescent="0.2">
      <c r="A85" t="str">
        <f>IF(OR(Calc!$E89="",Calc!$E89="نامعتبر",Calc!$G89=""),"",Calc!$G89)</f>
        <v/>
      </c>
      <c r="B85" t="str">
        <f>IF($A85="","",LEFT(Calc!$E89,4)&amp;MID(Calc!$E89,6,2)&amp;RIGHT(Calc!$E89,2)&amp;Calc!$Q89&amp;"|"&amp;"1"&amp;RIGHT("00000"&amp;80,5))</f>
        <v/>
      </c>
      <c r="C85" t="str">
        <f t="shared" si="5"/>
        <v/>
      </c>
      <c r="D85" t="str">
        <f t="shared" si="6"/>
        <v/>
      </c>
      <c r="F85" t="str">
        <f>IF(Sync!$AH85="","",IF(LEFT(UPPER(TRIM(Sync!$AH85)),2)="SL",UPPER(TRIM(Sync!$AH85)),""))</f>
        <v/>
      </c>
      <c r="G85" t="str">
        <f>IF($F85="","",IF(Sync!$AE85="","",IF(ISNUMBER(Sync!$AE85),IF(AND(Sync!$AE85&gt;=10000101,Sync!$AE85&lt;=99991231),INT(Sync!$AE85/10000),""),IFERROR(VALUE(TRIM(LEFT(Sync!$AE85,FIND("/",Sync!$AE85)-1))),""))))</f>
        <v/>
      </c>
      <c r="H85" t="str">
        <f>IF(OR($F85="",$G85=""),"",IF(ISNUMBER(Sync!$AE85),INT(MOD(Sync!$AE85,10000)/100),IFERROR(VALUE(TRIM(LEFT(MID(Sync!$AE85,FIND("/",Sync!$AE85)+1,20),FIND("/",MID(Sync!$AE85,FIND("/",Sync!$AE85)+1,20))-1))),"")))</f>
        <v/>
      </c>
      <c r="I85" t="str">
        <f>IF(OR($F85="",$G85=""),"",IF(ISNUMBER(Sync!$AE85),MOD(Sync!$AE85,100),IFERROR(VALUE(TRIM(MID(MID(Sync!$AE85,FIND("/",Sync!$AE85)+1,20),FIND("/",MID(Sync!$AE85,FIND("/",Sync!$AE85)+1,20))+1,20))),"")))</f>
        <v/>
      </c>
      <c r="J85" t="str">
        <f t="shared" si="7"/>
        <v/>
      </c>
      <c r="K85" t="str">
        <f>IF(OR($F85="",$J85="",$J85="نامعتبر"),"",LEFT($J85,4)&amp;MID($J85,6,2)&amp;RIGHT($J85,2)&amp;$N85&amp;"|"&amp;"2"&amp;RIGHT("00000"&amp;80,5))</f>
        <v/>
      </c>
      <c r="L85" t="str">
        <f t="shared" si="8"/>
        <v/>
      </c>
      <c r="M85" t="str">
        <f t="shared" si="9"/>
        <v/>
      </c>
      <c r="N85" t="str">
        <f>IF($F85="","",IF(Sync!$AF85="","0000",IF(AND(ISNUMBER(Sync!$AF85),Sync!$AF85&gt;=0,Sync!$AF85&lt;1),RIGHT("00"&amp;HOUR(Sync!$AF85),2)&amp;RIGHT("00"&amp;MINUTE(Sync!$AF85),2),IFERROR(RIGHT("00"&amp;VALUE(LEFT(Sync!$AF85,FIND(":",Sync!$AF85)-1)),2)&amp;RIGHT("00"&amp;VALUE(MID(Sync!$AF85,FIND(":",Sync!$AF85)+1,2)),2),"0000"))))</f>
        <v/>
      </c>
    </row>
    <row r="86" spans="1:14" x14ac:dyDescent="0.2">
      <c r="A86" t="str">
        <f>IF(OR(Calc!$E90="",Calc!$E90="نامعتبر",Calc!$G90=""),"",Calc!$G90)</f>
        <v>SL003</v>
      </c>
      <c r="B86" t="str">
        <f>IF($A86="","",LEFT(Calc!$E90,4)&amp;MID(Calc!$E90,6,2)&amp;RIGHT(Calc!$E90,2)&amp;Calc!$Q90&amp;"|"&amp;"1"&amp;RIGHT("00000"&amp;81,5))</f>
        <v>140507190000|100081</v>
      </c>
      <c r="C86">
        <f t="shared" si="5"/>
        <v>4</v>
      </c>
      <c r="D86" t="str">
        <f t="shared" si="6"/>
        <v>SL003|000004</v>
      </c>
      <c r="F86" t="str">
        <f>IF(Sync!$AH86="","",IF(LEFT(UPPER(TRIM(Sync!$AH86)),2)="SL",UPPER(TRIM(Sync!$AH86)),""))</f>
        <v/>
      </c>
      <c r="G86" t="str">
        <f>IF($F86="","",IF(Sync!$AE86="","",IF(ISNUMBER(Sync!$AE86),IF(AND(Sync!$AE86&gt;=10000101,Sync!$AE86&lt;=99991231),INT(Sync!$AE86/10000),""),IFERROR(VALUE(TRIM(LEFT(Sync!$AE86,FIND("/",Sync!$AE86)-1))),""))))</f>
        <v/>
      </c>
      <c r="H86" t="str">
        <f>IF(OR($F86="",$G86=""),"",IF(ISNUMBER(Sync!$AE86),INT(MOD(Sync!$AE86,10000)/100),IFERROR(VALUE(TRIM(LEFT(MID(Sync!$AE86,FIND("/",Sync!$AE86)+1,20),FIND("/",MID(Sync!$AE86,FIND("/",Sync!$AE86)+1,20))-1))),"")))</f>
        <v/>
      </c>
      <c r="I86" t="str">
        <f>IF(OR($F86="",$G86=""),"",IF(ISNUMBER(Sync!$AE86),MOD(Sync!$AE86,100),IFERROR(VALUE(TRIM(MID(MID(Sync!$AE86,FIND("/",Sync!$AE86)+1,20),FIND("/",MID(Sync!$AE86,FIND("/",Sync!$AE86)+1,20))+1,20))),"")))</f>
        <v/>
      </c>
      <c r="J86" t="str">
        <f t="shared" si="7"/>
        <v/>
      </c>
      <c r="K86" t="str">
        <f>IF(OR($F86="",$J86="",$J86="نامعتبر"),"",LEFT($J86,4)&amp;MID($J86,6,2)&amp;RIGHT($J86,2)&amp;$N86&amp;"|"&amp;"2"&amp;RIGHT("00000"&amp;81,5))</f>
        <v/>
      </c>
      <c r="L86" t="str">
        <f t="shared" si="8"/>
        <v/>
      </c>
      <c r="M86" t="str">
        <f t="shared" si="9"/>
        <v/>
      </c>
      <c r="N86" t="str">
        <f>IF($F86="","",IF(Sync!$AF86="","0000",IF(AND(ISNUMBER(Sync!$AF86),Sync!$AF86&gt;=0,Sync!$AF86&lt;1),RIGHT("00"&amp;HOUR(Sync!$AF86),2)&amp;RIGHT("00"&amp;MINUTE(Sync!$AF86),2),IFERROR(RIGHT("00"&amp;VALUE(LEFT(Sync!$AF86,FIND(":",Sync!$AF86)-1)),2)&amp;RIGHT("00"&amp;VALUE(MID(Sync!$AF86,FIND(":",Sync!$AF86)+1,2)),2),"0000"))))</f>
        <v/>
      </c>
    </row>
    <row r="87" spans="1:14" x14ac:dyDescent="0.2">
      <c r="A87" t="str">
        <f>IF(OR(Calc!$E91="",Calc!$E91="نامعتبر",Calc!$G91=""),"",Calc!$G91)</f>
        <v/>
      </c>
      <c r="B87" t="str">
        <f>IF($A87="","",LEFT(Calc!$E91,4)&amp;MID(Calc!$E91,6,2)&amp;RIGHT(Calc!$E91,2)&amp;Calc!$Q91&amp;"|"&amp;"1"&amp;RIGHT("00000"&amp;82,5))</f>
        <v/>
      </c>
      <c r="C87" t="str">
        <f t="shared" si="5"/>
        <v/>
      </c>
      <c r="D87" t="str">
        <f t="shared" si="6"/>
        <v/>
      </c>
      <c r="F87" t="str">
        <f>IF(Sync!$AH87="","",IF(LEFT(UPPER(TRIM(Sync!$AH87)),2)="SL",UPPER(TRIM(Sync!$AH87)),""))</f>
        <v/>
      </c>
      <c r="G87" t="str">
        <f>IF($F87="","",IF(Sync!$AE87="","",IF(ISNUMBER(Sync!$AE87),IF(AND(Sync!$AE87&gt;=10000101,Sync!$AE87&lt;=99991231),INT(Sync!$AE87/10000),""),IFERROR(VALUE(TRIM(LEFT(Sync!$AE87,FIND("/",Sync!$AE87)-1))),""))))</f>
        <v/>
      </c>
      <c r="H87" t="str">
        <f>IF(OR($F87="",$G87=""),"",IF(ISNUMBER(Sync!$AE87),INT(MOD(Sync!$AE87,10000)/100),IFERROR(VALUE(TRIM(LEFT(MID(Sync!$AE87,FIND("/",Sync!$AE87)+1,20),FIND("/",MID(Sync!$AE87,FIND("/",Sync!$AE87)+1,20))-1))),"")))</f>
        <v/>
      </c>
      <c r="I87" t="str">
        <f>IF(OR($F87="",$G87=""),"",IF(ISNUMBER(Sync!$AE87),MOD(Sync!$AE87,100),IFERROR(VALUE(TRIM(MID(MID(Sync!$AE87,FIND("/",Sync!$AE87)+1,20),FIND("/",MID(Sync!$AE87,FIND("/",Sync!$AE87)+1,20))+1,20))),"")))</f>
        <v/>
      </c>
      <c r="J87" t="str">
        <f t="shared" si="7"/>
        <v/>
      </c>
      <c r="K87" t="str">
        <f>IF(OR($F87="",$J87="",$J87="نامعتبر"),"",LEFT($J87,4)&amp;MID($J87,6,2)&amp;RIGHT($J87,2)&amp;$N87&amp;"|"&amp;"2"&amp;RIGHT("00000"&amp;82,5))</f>
        <v/>
      </c>
      <c r="L87" t="str">
        <f t="shared" si="8"/>
        <v/>
      </c>
      <c r="M87" t="str">
        <f t="shared" si="9"/>
        <v/>
      </c>
      <c r="N87" t="str">
        <f>IF($F87="","",IF(Sync!$AF87="","0000",IF(AND(ISNUMBER(Sync!$AF87),Sync!$AF87&gt;=0,Sync!$AF87&lt;1),RIGHT("00"&amp;HOUR(Sync!$AF87),2)&amp;RIGHT("00"&amp;MINUTE(Sync!$AF87),2),IFERROR(RIGHT("00"&amp;VALUE(LEFT(Sync!$AF87,FIND(":",Sync!$AF87)-1)),2)&amp;RIGHT("00"&amp;VALUE(MID(Sync!$AF87,FIND(":",Sync!$AF87)+1,2)),2),"0000"))))</f>
        <v/>
      </c>
    </row>
    <row r="88" spans="1:14" x14ac:dyDescent="0.2">
      <c r="A88" t="str">
        <f>IF(OR(Calc!$E92="",Calc!$E92="نامعتبر",Calc!$G92=""),"",Calc!$G92)</f>
        <v>SL001</v>
      </c>
      <c r="B88" t="str">
        <f>IF($A88="","",LEFT(Calc!$E92,4)&amp;MID(Calc!$E92,6,2)&amp;RIGHT(Calc!$E92,2)&amp;Calc!$Q92&amp;"|"&amp;"1"&amp;RIGHT("00000"&amp;83,5))</f>
        <v>140507190000|100083</v>
      </c>
      <c r="C88">
        <f t="shared" si="5"/>
        <v>6</v>
      </c>
      <c r="D88" t="str">
        <f t="shared" si="6"/>
        <v>SL001|000006</v>
      </c>
      <c r="F88" t="str">
        <f>IF(Sync!$AH88="","",IF(LEFT(UPPER(TRIM(Sync!$AH88)),2)="SL",UPPER(TRIM(Sync!$AH88)),""))</f>
        <v/>
      </c>
      <c r="G88" t="str">
        <f>IF($F88="","",IF(Sync!$AE88="","",IF(ISNUMBER(Sync!$AE88),IF(AND(Sync!$AE88&gt;=10000101,Sync!$AE88&lt;=99991231),INT(Sync!$AE88/10000),""),IFERROR(VALUE(TRIM(LEFT(Sync!$AE88,FIND("/",Sync!$AE88)-1))),""))))</f>
        <v/>
      </c>
      <c r="H88" t="str">
        <f>IF(OR($F88="",$G88=""),"",IF(ISNUMBER(Sync!$AE88),INT(MOD(Sync!$AE88,10000)/100),IFERROR(VALUE(TRIM(LEFT(MID(Sync!$AE88,FIND("/",Sync!$AE88)+1,20),FIND("/",MID(Sync!$AE88,FIND("/",Sync!$AE88)+1,20))-1))),"")))</f>
        <v/>
      </c>
      <c r="I88" t="str">
        <f>IF(OR($F88="",$G88=""),"",IF(ISNUMBER(Sync!$AE88),MOD(Sync!$AE88,100),IFERROR(VALUE(TRIM(MID(MID(Sync!$AE88,FIND("/",Sync!$AE88)+1,20),FIND("/",MID(Sync!$AE88,FIND("/",Sync!$AE88)+1,20))+1,20))),"")))</f>
        <v/>
      </c>
      <c r="J88" t="str">
        <f t="shared" si="7"/>
        <v/>
      </c>
      <c r="K88" t="str">
        <f>IF(OR($F88="",$J88="",$J88="نامعتبر"),"",LEFT($J88,4)&amp;MID($J88,6,2)&amp;RIGHT($J88,2)&amp;$N88&amp;"|"&amp;"2"&amp;RIGHT("00000"&amp;83,5))</f>
        <v/>
      </c>
      <c r="L88" t="str">
        <f t="shared" si="8"/>
        <v/>
      </c>
      <c r="M88" t="str">
        <f t="shared" si="9"/>
        <v/>
      </c>
      <c r="N88" t="str">
        <f>IF($F88="","",IF(Sync!$AF88="","0000",IF(AND(ISNUMBER(Sync!$AF88),Sync!$AF88&gt;=0,Sync!$AF88&lt;1),RIGHT("00"&amp;HOUR(Sync!$AF88),2)&amp;RIGHT("00"&amp;MINUTE(Sync!$AF88),2),IFERROR(RIGHT("00"&amp;VALUE(LEFT(Sync!$AF88,FIND(":",Sync!$AF88)-1)),2)&amp;RIGHT("00"&amp;VALUE(MID(Sync!$AF88,FIND(":",Sync!$AF88)+1,2)),2),"0000"))))</f>
        <v/>
      </c>
    </row>
    <row r="89" spans="1:14" x14ac:dyDescent="0.2">
      <c r="A89" t="str">
        <f>IF(OR(Calc!$E93="",Calc!$E93="نامعتبر",Calc!$G93=""),"",Calc!$G93)</f>
        <v/>
      </c>
      <c r="B89" t="str">
        <f>IF($A89="","",LEFT(Calc!$E93,4)&amp;MID(Calc!$E93,6,2)&amp;RIGHT(Calc!$E93,2)&amp;Calc!$Q93&amp;"|"&amp;"1"&amp;RIGHT("00000"&amp;84,5))</f>
        <v/>
      </c>
      <c r="C89" t="str">
        <f t="shared" si="5"/>
        <v/>
      </c>
      <c r="D89" t="str">
        <f t="shared" si="6"/>
        <v/>
      </c>
      <c r="F89" t="str">
        <f>IF(Sync!$AH89="","",IF(LEFT(UPPER(TRIM(Sync!$AH89)),2)="SL",UPPER(TRIM(Sync!$AH89)),""))</f>
        <v/>
      </c>
      <c r="G89" t="str">
        <f>IF($F89="","",IF(Sync!$AE89="","",IF(ISNUMBER(Sync!$AE89),IF(AND(Sync!$AE89&gt;=10000101,Sync!$AE89&lt;=99991231),INT(Sync!$AE89/10000),""),IFERROR(VALUE(TRIM(LEFT(Sync!$AE89,FIND("/",Sync!$AE89)-1))),""))))</f>
        <v/>
      </c>
      <c r="H89" t="str">
        <f>IF(OR($F89="",$G89=""),"",IF(ISNUMBER(Sync!$AE89),INT(MOD(Sync!$AE89,10000)/100),IFERROR(VALUE(TRIM(LEFT(MID(Sync!$AE89,FIND("/",Sync!$AE89)+1,20),FIND("/",MID(Sync!$AE89,FIND("/",Sync!$AE89)+1,20))-1))),"")))</f>
        <v/>
      </c>
      <c r="I89" t="str">
        <f>IF(OR($F89="",$G89=""),"",IF(ISNUMBER(Sync!$AE89),MOD(Sync!$AE89,100),IFERROR(VALUE(TRIM(MID(MID(Sync!$AE89,FIND("/",Sync!$AE89)+1,20),FIND("/",MID(Sync!$AE89,FIND("/",Sync!$AE89)+1,20))+1,20))),"")))</f>
        <v/>
      </c>
      <c r="J89" t="str">
        <f t="shared" si="7"/>
        <v/>
      </c>
      <c r="K89" t="str">
        <f>IF(OR($F89="",$J89="",$J89="نامعتبر"),"",LEFT($J89,4)&amp;MID($J89,6,2)&amp;RIGHT($J89,2)&amp;$N89&amp;"|"&amp;"2"&amp;RIGHT("00000"&amp;84,5))</f>
        <v/>
      </c>
      <c r="L89" t="str">
        <f t="shared" si="8"/>
        <v/>
      </c>
      <c r="M89" t="str">
        <f t="shared" si="9"/>
        <v/>
      </c>
      <c r="N89" t="str">
        <f>IF($F89="","",IF(Sync!$AF89="","0000",IF(AND(ISNUMBER(Sync!$AF89),Sync!$AF89&gt;=0,Sync!$AF89&lt;1),RIGHT("00"&amp;HOUR(Sync!$AF89),2)&amp;RIGHT("00"&amp;MINUTE(Sync!$AF89),2),IFERROR(RIGHT("00"&amp;VALUE(LEFT(Sync!$AF89,FIND(":",Sync!$AF89)-1)),2)&amp;RIGHT("00"&amp;VALUE(MID(Sync!$AF89,FIND(":",Sync!$AF89)+1,2)),2),"0000"))))</f>
        <v/>
      </c>
    </row>
    <row r="90" spans="1:14" x14ac:dyDescent="0.2">
      <c r="A90" t="str">
        <f>IF(OR(Calc!$E94="",Calc!$E94="نامعتبر",Calc!$G94=""),"",Calc!$G94)</f>
        <v/>
      </c>
      <c r="B90" t="str">
        <f>IF($A90="","",LEFT(Calc!$E94,4)&amp;MID(Calc!$E94,6,2)&amp;RIGHT(Calc!$E94,2)&amp;Calc!$Q94&amp;"|"&amp;"1"&amp;RIGHT("00000"&amp;85,5))</f>
        <v/>
      </c>
      <c r="C90" t="str">
        <f t="shared" si="5"/>
        <v/>
      </c>
      <c r="D90" t="str">
        <f t="shared" si="6"/>
        <v/>
      </c>
      <c r="F90" t="str">
        <f>IF(Sync!$AH90="","",IF(LEFT(UPPER(TRIM(Sync!$AH90)),2)="SL",UPPER(TRIM(Sync!$AH90)),""))</f>
        <v/>
      </c>
      <c r="G90" t="str">
        <f>IF($F90="","",IF(Sync!$AE90="","",IF(ISNUMBER(Sync!$AE90),IF(AND(Sync!$AE90&gt;=10000101,Sync!$AE90&lt;=99991231),INT(Sync!$AE90/10000),""),IFERROR(VALUE(TRIM(LEFT(Sync!$AE90,FIND("/",Sync!$AE90)-1))),""))))</f>
        <v/>
      </c>
      <c r="H90" t="str">
        <f>IF(OR($F90="",$G90=""),"",IF(ISNUMBER(Sync!$AE90),INT(MOD(Sync!$AE90,10000)/100),IFERROR(VALUE(TRIM(LEFT(MID(Sync!$AE90,FIND("/",Sync!$AE90)+1,20),FIND("/",MID(Sync!$AE90,FIND("/",Sync!$AE90)+1,20))-1))),"")))</f>
        <v/>
      </c>
      <c r="I90" t="str">
        <f>IF(OR($F90="",$G90=""),"",IF(ISNUMBER(Sync!$AE90),MOD(Sync!$AE90,100),IFERROR(VALUE(TRIM(MID(MID(Sync!$AE90,FIND("/",Sync!$AE90)+1,20),FIND("/",MID(Sync!$AE90,FIND("/",Sync!$AE90)+1,20))+1,20))),"")))</f>
        <v/>
      </c>
      <c r="J90" t="str">
        <f t="shared" si="7"/>
        <v/>
      </c>
      <c r="K90" t="str">
        <f>IF(OR($F90="",$J90="",$J90="نامعتبر"),"",LEFT($J90,4)&amp;MID($J90,6,2)&amp;RIGHT($J90,2)&amp;$N90&amp;"|"&amp;"2"&amp;RIGHT("00000"&amp;85,5))</f>
        <v/>
      </c>
      <c r="L90" t="str">
        <f t="shared" si="8"/>
        <v/>
      </c>
      <c r="M90" t="str">
        <f t="shared" si="9"/>
        <v/>
      </c>
      <c r="N90" t="str">
        <f>IF($F90="","",IF(Sync!$AF90="","0000",IF(AND(ISNUMBER(Sync!$AF90),Sync!$AF90&gt;=0,Sync!$AF90&lt;1),RIGHT("00"&amp;HOUR(Sync!$AF90),2)&amp;RIGHT("00"&amp;MINUTE(Sync!$AF90),2),IFERROR(RIGHT("00"&amp;VALUE(LEFT(Sync!$AF90,FIND(":",Sync!$AF90)-1)),2)&amp;RIGHT("00"&amp;VALUE(MID(Sync!$AF90,FIND(":",Sync!$AF90)+1,2)),2),"0000"))))</f>
        <v/>
      </c>
    </row>
    <row r="91" spans="1:14" x14ac:dyDescent="0.2">
      <c r="A91" t="str">
        <f>IF(OR(Calc!$E95="",Calc!$E95="نامعتبر",Calc!$G95=""),"",Calc!$G95)</f>
        <v>SL001</v>
      </c>
      <c r="B91" t="str">
        <f>IF($A91="","",LEFT(Calc!$E95,4)&amp;MID(Calc!$E95,6,2)&amp;RIGHT(Calc!$E95,2)&amp;Calc!$Q95&amp;"|"&amp;"1"&amp;RIGHT("00000"&amp;86,5))</f>
        <v>140507200000|100086</v>
      </c>
      <c r="C91">
        <f t="shared" si="5"/>
        <v>7</v>
      </c>
      <c r="D91" t="str">
        <f t="shared" si="6"/>
        <v>SL001|000007</v>
      </c>
      <c r="F91" t="str">
        <f>IF(Sync!$AH91="","",IF(LEFT(UPPER(TRIM(Sync!$AH91)),2)="SL",UPPER(TRIM(Sync!$AH91)),""))</f>
        <v/>
      </c>
      <c r="G91" t="str">
        <f>IF($F91="","",IF(Sync!$AE91="","",IF(ISNUMBER(Sync!$AE91),IF(AND(Sync!$AE91&gt;=10000101,Sync!$AE91&lt;=99991231),INT(Sync!$AE91/10000),""),IFERROR(VALUE(TRIM(LEFT(Sync!$AE91,FIND("/",Sync!$AE91)-1))),""))))</f>
        <v/>
      </c>
      <c r="H91" t="str">
        <f>IF(OR($F91="",$G91=""),"",IF(ISNUMBER(Sync!$AE91),INT(MOD(Sync!$AE91,10000)/100),IFERROR(VALUE(TRIM(LEFT(MID(Sync!$AE91,FIND("/",Sync!$AE91)+1,20),FIND("/",MID(Sync!$AE91,FIND("/",Sync!$AE91)+1,20))-1))),"")))</f>
        <v/>
      </c>
      <c r="I91" t="str">
        <f>IF(OR($F91="",$G91=""),"",IF(ISNUMBER(Sync!$AE91),MOD(Sync!$AE91,100),IFERROR(VALUE(TRIM(MID(MID(Sync!$AE91,FIND("/",Sync!$AE91)+1,20),FIND("/",MID(Sync!$AE91,FIND("/",Sync!$AE91)+1,20))+1,20))),"")))</f>
        <v/>
      </c>
      <c r="J91" t="str">
        <f t="shared" si="7"/>
        <v/>
      </c>
      <c r="K91" t="str">
        <f>IF(OR($F91="",$J91="",$J91="نامعتبر"),"",LEFT($J91,4)&amp;MID($J91,6,2)&amp;RIGHT($J91,2)&amp;$N91&amp;"|"&amp;"2"&amp;RIGHT("00000"&amp;86,5))</f>
        <v/>
      </c>
      <c r="L91" t="str">
        <f t="shared" si="8"/>
        <v/>
      </c>
      <c r="M91" t="str">
        <f t="shared" si="9"/>
        <v/>
      </c>
      <c r="N91" t="str">
        <f>IF($F91="","",IF(Sync!$AF91="","0000",IF(AND(ISNUMBER(Sync!$AF91),Sync!$AF91&gt;=0,Sync!$AF91&lt;1),RIGHT("00"&amp;HOUR(Sync!$AF91),2)&amp;RIGHT("00"&amp;MINUTE(Sync!$AF91),2),IFERROR(RIGHT("00"&amp;VALUE(LEFT(Sync!$AF91,FIND(":",Sync!$AF91)-1)),2)&amp;RIGHT("00"&amp;VALUE(MID(Sync!$AF91,FIND(":",Sync!$AF91)+1,2)),2),"0000"))))</f>
        <v/>
      </c>
    </row>
    <row r="92" spans="1:14" x14ac:dyDescent="0.2">
      <c r="A92" t="str">
        <f>IF(OR(Calc!$E96="",Calc!$E96="نامعتبر",Calc!$G96=""),"",Calc!$G96)</f>
        <v>SL003</v>
      </c>
      <c r="B92" t="str">
        <f>IF($A92="","",LEFT(Calc!$E96,4)&amp;MID(Calc!$E96,6,2)&amp;RIGHT(Calc!$E96,2)&amp;Calc!$Q96&amp;"|"&amp;"1"&amp;RIGHT("00000"&amp;87,5))</f>
        <v>140507200000|100087</v>
      </c>
      <c r="C92">
        <f t="shared" si="5"/>
        <v>5</v>
      </c>
      <c r="D92" t="str">
        <f t="shared" si="6"/>
        <v>SL003|000005</v>
      </c>
      <c r="F92" t="str">
        <f>IF(Sync!$AH92="","",IF(LEFT(UPPER(TRIM(Sync!$AH92)),2)="SL",UPPER(TRIM(Sync!$AH92)),""))</f>
        <v/>
      </c>
      <c r="G92" t="str">
        <f>IF($F92="","",IF(Sync!$AE92="","",IF(ISNUMBER(Sync!$AE92),IF(AND(Sync!$AE92&gt;=10000101,Sync!$AE92&lt;=99991231),INT(Sync!$AE92/10000),""),IFERROR(VALUE(TRIM(LEFT(Sync!$AE92,FIND("/",Sync!$AE92)-1))),""))))</f>
        <v/>
      </c>
      <c r="H92" t="str">
        <f>IF(OR($F92="",$G92=""),"",IF(ISNUMBER(Sync!$AE92),INT(MOD(Sync!$AE92,10000)/100),IFERROR(VALUE(TRIM(LEFT(MID(Sync!$AE92,FIND("/",Sync!$AE92)+1,20),FIND("/",MID(Sync!$AE92,FIND("/",Sync!$AE92)+1,20))-1))),"")))</f>
        <v/>
      </c>
      <c r="I92" t="str">
        <f>IF(OR($F92="",$G92=""),"",IF(ISNUMBER(Sync!$AE92),MOD(Sync!$AE92,100),IFERROR(VALUE(TRIM(MID(MID(Sync!$AE92,FIND("/",Sync!$AE92)+1,20),FIND("/",MID(Sync!$AE92,FIND("/",Sync!$AE92)+1,20))+1,20))),"")))</f>
        <v/>
      </c>
      <c r="J92" t="str">
        <f t="shared" si="7"/>
        <v/>
      </c>
      <c r="K92" t="str">
        <f>IF(OR($F92="",$J92="",$J92="نامعتبر"),"",LEFT($J92,4)&amp;MID($J92,6,2)&amp;RIGHT($J92,2)&amp;$N92&amp;"|"&amp;"2"&amp;RIGHT("00000"&amp;87,5))</f>
        <v/>
      </c>
      <c r="L92" t="str">
        <f t="shared" si="8"/>
        <v/>
      </c>
      <c r="M92" t="str">
        <f t="shared" si="9"/>
        <v/>
      </c>
      <c r="N92" t="str">
        <f>IF($F92="","",IF(Sync!$AF92="","0000",IF(AND(ISNUMBER(Sync!$AF92),Sync!$AF92&gt;=0,Sync!$AF92&lt;1),RIGHT("00"&amp;HOUR(Sync!$AF92),2)&amp;RIGHT("00"&amp;MINUTE(Sync!$AF92),2),IFERROR(RIGHT("00"&amp;VALUE(LEFT(Sync!$AF92,FIND(":",Sync!$AF92)-1)),2)&amp;RIGHT("00"&amp;VALUE(MID(Sync!$AF92,FIND(":",Sync!$AF92)+1,2)),2),"0000"))))</f>
        <v/>
      </c>
    </row>
    <row r="93" spans="1:14" x14ac:dyDescent="0.2">
      <c r="A93" t="str">
        <f>IF(OR(Calc!$E97="",Calc!$E97="نامعتبر",Calc!$G97=""),"",Calc!$G97)</f>
        <v/>
      </c>
      <c r="B93" t="str">
        <f>IF($A93="","",LEFT(Calc!$E97,4)&amp;MID(Calc!$E97,6,2)&amp;RIGHT(Calc!$E97,2)&amp;Calc!$Q97&amp;"|"&amp;"1"&amp;RIGHT("00000"&amp;88,5))</f>
        <v/>
      </c>
      <c r="C93" t="str">
        <f t="shared" si="5"/>
        <v/>
      </c>
      <c r="D93" t="str">
        <f t="shared" si="6"/>
        <v/>
      </c>
      <c r="F93" t="str">
        <f>IF(Sync!$AH93="","",IF(LEFT(UPPER(TRIM(Sync!$AH93)),2)="SL",UPPER(TRIM(Sync!$AH93)),""))</f>
        <v/>
      </c>
      <c r="G93" t="str">
        <f>IF($F93="","",IF(Sync!$AE93="","",IF(ISNUMBER(Sync!$AE93),IF(AND(Sync!$AE93&gt;=10000101,Sync!$AE93&lt;=99991231),INT(Sync!$AE93/10000),""),IFERROR(VALUE(TRIM(LEFT(Sync!$AE93,FIND("/",Sync!$AE93)-1))),""))))</f>
        <v/>
      </c>
      <c r="H93" t="str">
        <f>IF(OR($F93="",$G93=""),"",IF(ISNUMBER(Sync!$AE93),INT(MOD(Sync!$AE93,10000)/100),IFERROR(VALUE(TRIM(LEFT(MID(Sync!$AE93,FIND("/",Sync!$AE93)+1,20),FIND("/",MID(Sync!$AE93,FIND("/",Sync!$AE93)+1,20))-1))),"")))</f>
        <v/>
      </c>
      <c r="I93" t="str">
        <f>IF(OR($F93="",$G93=""),"",IF(ISNUMBER(Sync!$AE93),MOD(Sync!$AE93,100),IFERROR(VALUE(TRIM(MID(MID(Sync!$AE93,FIND("/",Sync!$AE93)+1,20),FIND("/",MID(Sync!$AE93,FIND("/",Sync!$AE93)+1,20))+1,20))),"")))</f>
        <v/>
      </c>
      <c r="J93" t="str">
        <f t="shared" si="7"/>
        <v/>
      </c>
      <c r="K93" t="str">
        <f>IF(OR($F93="",$J93="",$J93="نامعتبر"),"",LEFT($J93,4)&amp;MID($J93,6,2)&amp;RIGHT($J93,2)&amp;$N93&amp;"|"&amp;"2"&amp;RIGHT("00000"&amp;88,5))</f>
        <v/>
      </c>
      <c r="L93" t="str">
        <f t="shared" si="8"/>
        <v/>
      </c>
      <c r="M93" t="str">
        <f t="shared" si="9"/>
        <v/>
      </c>
      <c r="N93" t="str">
        <f>IF($F93="","",IF(Sync!$AF93="","0000",IF(AND(ISNUMBER(Sync!$AF93),Sync!$AF93&gt;=0,Sync!$AF93&lt;1),RIGHT("00"&amp;HOUR(Sync!$AF93),2)&amp;RIGHT("00"&amp;MINUTE(Sync!$AF93),2),IFERROR(RIGHT("00"&amp;VALUE(LEFT(Sync!$AF93,FIND(":",Sync!$AF93)-1)),2)&amp;RIGHT("00"&amp;VALUE(MID(Sync!$AF93,FIND(":",Sync!$AF93)+1,2)),2),"0000"))))</f>
        <v/>
      </c>
    </row>
    <row r="94" spans="1:14" x14ac:dyDescent="0.2">
      <c r="A94" t="str">
        <f>IF(OR(Calc!$E98="",Calc!$E98="نامعتبر",Calc!$G98=""),"",Calc!$G98)</f>
        <v/>
      </c>
      <c r="B94" t="str">
        <f>IF($A94="","",LEFT(Calc!$E98,4)&amp;MID(Calc!$E98,6,2)&amp;RIGHT(Calc!$E98,2)&amp;Calc!$Q98&amp;"|"&amp;"1"&amp;RIGHT("00000"&amp;89,5))</f>
        <v/>
      </c>
      <c r="C94" t="str">
        <f t="shared" si="5"/>
        <v/>
      </c>
      <c r="D94" t="str">
        <f t="shared" si="6"/>
        <v/>
      </c>
      <c r="F94" t="str">
        <f>IF(Sync!$AH94="","",IF(LEFT(UPPER(TRIM(Sync!$AH94)),2)="SL",UPPER(TRIM(Sync!$AH94)),""))</f>
        <v/>
      </c>
      <c r="G94" t="str">
        <f>IF($F94="","",IF(Sync!$AE94="","",IF(ISNUMBER(Sync!$AE94),IF(AND(Sync!$AE94&gt;=10000101,Sync!$AE94&lt;=99991231),INT(Sync!$AE94/10000),""),IFERROR(VALUE(TRIM(LEFT(Sync!$AE94,FIND("/",Sync!$AE94)-1))),""))))</f>
        <v/>
      </c>
      <c r="H94" t="str">
        <f>IF(OR($F94="",$G94=""),"",IF(ISNUMBER(Sync!$AE94),INT(MOD(Sync!$AE94,10000)/100),IFERROR(VALUE(TRIM(LEFT(MID(Sync!$AE94,FIND("/",Sync!$AE94)+1,20),FIND("/",MID(Sync!$AE94,FIND("/",Sync!$AE94)+1,20))-1))),"")))</f>
        <v/>
      </c>
      <c r="I94" t="str">
        <f>IF(OR($F94="",$G94=""),"",IF(ISNUMBER(Sync!$AE94),MOD(Sync!$AE94,100),IFERROR(VALUE(TRIM(MID(MID(Sync!$AE94,FIND("/",Sync!$AE94)+1,20),FIND("/",MID(Sync!$AE94,FIND("/",Sync!$AE94)+1,20))+1,20))),"")))</f>
        <v/>
      </c>
      <c r="J94" t="str">
        <f t="shared" si="7"/>
        <v/>
      </c>
      <c r="K94" t="str">
        <f>IF(OR($F94="",$J94="",$J94="نامعتبر"),"",LEFT($J94,4)&amp;MID($J94,6,2)&amp;RIGHT($J94,2)&amp;$N94&amp;"|"&amp;"2"&amp;RIGHT("00000"&amp;89,5))</f>
        <v/>
      </c>
      <c r="L94" t="str">
        <f t="shared" si="8"/>
        <v/>
      </c>
      <c r="M94" t="str">
        <f t="shared" si="9"/>
        <v/>
      </c>
      <c r="N94" t="str">
        <f>IF($F94="","",IF(Sync!$AF94="","0000",IF(AND(ISNUMBER(Sync!$AF94),Sync!$AF94&gt;=0,Sync!$AF94&lt;1),RIGHT("00"&amp;HOUR(Sync!$AF94),2)&amp;RIGHT("00"&amp;MINUTE(Sync!$AF94),2),IFERROR(RIGHT("00"&amp;VALUE(LEFT(Sync!$AF94,FIND(":",Sync!$AF94)-1)),2)&amp;RIGHT("00"&amp;VALUE(MID(Sync!$AF94,FIND(":",Sync!$AF94)+1,2)),2),"0000"))))</f>
        <v/>
      </c>
    </row>
    <row r="95" spans="1:14" x14ac:dyDescent="0.2">
      <c r="A95" t="str">
        <f>IF(OR(Calc!$E99="",Calc!$E99="نامعتبر",Calc!$G99=""),"",Calc!$G99)</f>
        <v/>
      </c>
      <c r="B95" t="str">
        <f>IF($A95="","",LEFT(Calc!$E99,4)&amp;MID(Calc!$E99,6,2)&amp;RIGHT(Calc!$E99,2)&amp;Calc!$Q99&amp;"|"&amp;"1"&amp;RIGHT("00000"&amp;90,5))</f>
        <v/>
      </c>
      <c r="C95" t="str">
        <f t="shared" si="5"/>
        <v/>
      </c>
      <c r="D95" t="str">
        <f t="shared" si="6"/>
        <v/>
      </c>
      <c r="F95" t="str">
        <f>IF(Sync!$AH95="","",IF(LEFT(UPPER(TRIM(Sync!$AH95)),2)="SL",UPPER(TRIM(Sync!$AH95)),""))</f>
        <v/>
      </c>
      <c r="G95" t="str">
        <f>IF($F95="","",IF(Sync!$AE95="","",IF(ISNUMBER(Sync!$AE95),IF(AND(Sync!$AE95&gt;=10000101,Sync!$AE95&lt;=99991231),INT(Sync!$AE95/10000),""),IFERROR(VALUE(TRIM(LEFT(Sync!$AE95,FIND("/",Sync!$AE95)-1))),""))))</f>
        <v/>
      </c>
      <c r="H95" t="str">
        <f>IF(OR($F95="",$G95=""),"",IF(ISNUMBER(Sync!$AE95),INT(MOD(Sync!$AE95,10000)/100),IFERROR(VALUE(TRIM(LEFT(MID(Sync!$AE95,FIND("/",Sync!$AE95)+1,20),FIND("/",MID(Sync!$AE95,FIND("/",Sync!$AE95)+1,20))-1))),"")))</f>
        <v/>
      </c>
      <c r="I95" t="str">
        <f>IF(OR($F95="",$G95=""),"",IF(ISNUMBER(Sync!$AE95),MOD(Sync!$AE95,100),IFERROR(VALUE(TRIM(MID(MID(Sync!$AE95,FIND("/",Sync!$AE95)+1,20),FIND("/",MID(Sync!$AE95,FIND("/",Sync!$AE95)+1,20))+1,20))),"")))</f>
        <v/>
      </c>
      <c r="J95" t="str">
        <f t="shared" si="7"/>
        <v/>
      </c>
      <c r="K95" t="str">
        <f>IF(OR($F95="",$J95="",$J95="نامعتبر"),"",LEFT($J95,4)&amp;MID($J95,6,2)&amp;RIGHT($J95,2)&amp;$N95&amp;"|"&amp;"2"&amp;RIGHT("00000"&amp;90,5))</f>
        <v/>
      </c>
      <c r="L95" t="str">
        <f t="shared" si="8"/>
        <v/>
      </c>
      <c r="M95" t="str">
        <f t="shared" si="9"/>
        <v/>
      </c>
      <c r="N95" t="str">
        <f>IF($F95="","",IF(Sync!$AF95="","0000",IF(AND(ISNUMBER(Sync!$AF95),Sync!$AF95&gt;=0,Sync!$AF95&lt;1),RIGHT("00"&amp;HOUR(Sync!$AF95),2)&amp;RIGHT("00"&amp;MINUTE(Sync!$AF95),2),IFERROR(RIGHT("00"&amp;VALUE(LEFT(Sync!$AF95,FIND(":",Sync!$AF95)-1)),2)&amp;RIGHT("00"&amp;VALUE(MID(Sync!$AF95,FIND(":",Sync!$AF95)+1,2)),2),"0000"))))</f>
        <v/>
      </c>
    </row>
    <row r="96" spans="1:14" x14ac:dyDescent="0.2">
      <c r="A96" t="str">
        <f>IF(OR(Calc!$E100="",Calc!$E100="نامعتبر",Calc!$G100=""),"",Calc!$G100)</f>
        <v/>
      </c>
      <c r="B96" t="str">
        <f>IF($A96="","",LEFT(Calc!$E100,4)&amp;MID(Calc!$E100,6,2)&amp;RIGHT(Calc!$E100,2)&amp;Calc!$Q100&amp;"|"&amp;"1"&amp;RIGHT("00000"&amp;91,5))</f>
        <v/>
      </c>
      <c r="C96" t="str">
        <f t="shared" si="5"/>
        <v/>
      </c>
      <c r="D96" t="str">
        <f t="shared" si="6"/>
        <v/>
      </c>
      <c r="F96" t="str">
        <f>IF(Sync!$AH96="","",IF(LEFT(UPPER(TRIM(Sync!$AH96)),2)="SL",UPPER(TRIM(Sync!$AH96)),""))</f>
        <v/>
      </c>
      <c r="G96" t="str">
        <f>IF($F96="","",IF(Sync!$AE96="","",IF(ISNUMBER(Sync!$AE96),IF(AND(Sync!$AE96&gt;=10000101,Sync!$AE96&lt;=99991231),INT(Sync!$AE96/10000),""),IFERROR(VALUE(TRIM(LEFT(Sync!$AE96,FIND("/",Sync!$AE96)-1))),""))))</f>
        <v/>
      </c>
      <c r="H96" t="str">
        <f>IF(OR($F96="",$G96=""),"",IF(ISNUMBER(Sync!$AE96),INT(MOD(Sync!$AE96,10000)/100),IFERROR(VALUE(TRIM(LEFT(MID(Sync!$AE96,FIND("/",Sync!$AE96)+1,20),FIND("/",MID(Sync!$AE96,FIND("/",Sync!$AE96)+1,20))-1))),"")))</f>
        <v/>
      </c>
      <c r="I96" t="str">
        <f>IF(OR($F96="",$G96=""),"",IF(ISNUMBER(Sync!$AE96),MOD(Sync!$AE96,100),IFERROR(VALUE(TRIM(MID(MID(Sync!$AE96,FIND("/",Sync!$AE96)+1,20),FIND("/",MID(Sync!$AE96,FIND("/",Sync!$AE96)+1,20))+1,20))),"")))</f>
        <v/>
      </c>
      <c r="J96" t="str">
        <f t="shared" si="7"/>
        <v/>
      </c>
      <c r="K96" t="str">
        <f>IF(OR($F96="",$J96="",$J96="نامعتبر"),"",LEFT($J96,4)&amp;MID($J96,6,2)&amp;RIGHT($J96,2)&amp;$N96&amp;"|"&amp;"2"&amp;RIGHT("00000"&amp;91,5))</f>
        <v/>
      </c>
      <c r="L96" t="str">
        <f t="shared" si="8"/>
        <v/>
      </c>
      <c r="M96" t="str">
        <f t="shared" si="9"/>
        <v/>
      </c>
      <c r="N96" t="str">
        <f>IF($F96="","",IF(Sync!$AF96="","0000",IF(AND(ISNUMBER(Sync!$AF96),Sync!$AF96&gt;=0,Sync!$AF96&lt;1),RIGHT("00"&amp;HOUR(Sync!$AF96),2)&amp;RIGHT("00"&amp;MINUTE(Sync!$AF96),2),IFERROR(RIGHT("00"&amp;VALUE(LEFT(Sync!$AF96,FIND(":",Sync!$AF96)-1)),2)&amp;RIGHT("00"&amp;VALUE(MID(Sync!$AF96,FIND(":",Sync!$AF96)+1,2)),2),"0000"))))</f>
        <v/>
      </c>
    </row>
    <row r="97" spans="1:14" x14ac:dyDescent="0.2">
      <c r="A97" t="str">
        <f>IF(OR(Calc!$E101="",Calc!$E101="نامعتبر",Calc!$G101=""),"",Calc!$G101)</f>
        <v/>
      </c>
      <c r="B97" t="str">
        <f>IF($A97="","",LEFT(Calc!$E101,4)&amp;MID(Calc!$E101,6,2)&amp;RIGHT(Calc!$E101,2)&amp;Calc!$Q101&amp;"|"&amp;"1"&amp;RIGHT("00000"&amp;92,5))</f>
        <v/>
      </c>
      <c r="C97" t="str">
        <f t="shared" si="5"/>
        <v/>
      </c>
      <c r="D97" t="str">
        <f t="shared" si="6"/>
        <v/>
      </c>
      <c r="F97" t="str">
        <f>IF(Sync!$AH97="","",IF(LEFT(UPPER(TRIM(Sync!$AH97)),2)="SL",UPPER(TRIM(Sync!$AH97)),""))</f>
        <v/>
      </c>
      <c r="G97" t="str">
        <f>IF($F97="","",IF(Sync!$AE97="","",IF(ISNUMBER(Sync!$AE97),IF(AND(Sync!$AE97&gt;=10000101,Sync!$AE97&lt;=99991231),INT(Sync!$AE97/10000),""),IFERROR(VALUE(TRIM(LEFT(Sync!$AE97,FIND("/",Sync!$AE97)-1))),""))))</f>
        <v/>
      </c>
      <c r="H97" t="str">
        <f>IF(OR($F97="",$G97=""),"",IF(ISNUMBER(Sync!$AE97),INT(MOD(Sync!$AE97,10000)/100),IFERROR(VALUE(TRIM(LEFT(MID(Sync!$AE97,FIND("/",Sync!$AE97)+1,20),FIND("/",MID(Sync!$AE97,FIND("/",Sync!$AE97)+1,20))-1))),"")))</f>
        <v/>
      </c>
      <c r="I97" t="str">
        <f>IF(OR($F97="",$G97=""),"",IF(ISNUMBER(Sync!$AE97),MOD(Sync!$AE97,100),IFERROR(VALUE(TRIM(MID(MID(Sync!$AE97,FIND("/",Sync!$AE97)+1,20),FIND("/",MID(Sync!$AE97,FIND("/",Sync!$AE97)+1,20))+1,20))),"")))</f>
        <v/>
      </c>
      <c r="J97" t="str">
        <f t="shared" si="7"/>
        <v/>
      </c>
      <c r="K97" t="str">
        <f>IF(OR($F97="",$J97="",$J97="نامعتبر"),"",LEFT($J97,4)&amp;MID($J97,6,2)&amp;RIGHT($J97,2)&amp;$N97&amp;"|"&amp;"2"&amp;RIGHT("00000"&amp;92,5))</f>
        <v/>
      </c>
      <c r="L97" t="str">
        <f t="shared" si="8"/>
        <v/>
      </c>
      <c r="M97" t="str">
        <f t="shared" si="9"/>
        <v/>
      </c>
      <c r="N97" t="str">
        <f>IF($F97="","",IF(Sync!$AF97="","0000",IF(AND(ISNUMBER(Sync!$AF97),Sync!$AF97&gt;=0,Sync!$AF97&lt;1),RIGHT("00"&amp;HOUR(Sync!$AF97),2)&amp;RIGHT("00"&amp;MINUTE(Sync!$AF97),2),IFERROR(RIGHT("00"&amp;VALUE(LEFT(Sync!$AF97,FIND(":",Sync!$AF97)-1)),2)&amp;RIGHT("00"&amp;VALUE(MID(Sync!$AF97,FIND(":",Sync!$AF97)+1,2)),2),"0000"))))</f>
        <v/>
      </c>
    </row>
    <row r="98" spans="1:14" x14ac:dyDescent="0.2">
      <c r="A98" t="str">
        <f>IF(OR(Calc!$E102="",Calc!$E102="نامعتبر",Calc!$G102=""),"",Calc!$G102)</f>
        <v/>
      </c>
      <c r="B98" t="str">
        <f>IF($A98="","",LEFT(Calc!$E102,4)&amp;MID(Calc!$E102,6,2)&amp;RIGHT(Calc!$E102,2)&amp;Calc!$Q102&amp;"|"&amp;"1"&amp;RIGHT("00000"&amp;93,5))</f>
        <v/>
      </c>
      <c r="C98" t="str">
        <f t="shared" si="5"/>
        <v/>
      </c>
      <c r="D98" t="str">
        <f t="shared" si="6"/>
        <v/>
      </c>
      <c r="F98" t="str">
        <f>IF(Sync!$AH98="","",IF(LEFT(UPPER(TRIM(Sync!$AH98)),2)="SL",UPPER(TRIM(Sync!$AH98)),""))</f>
        <v/>
      </c>
      <c r="G98" t="str">
        <f>IF($F98="","",IF(Sync!$AE98="","",IF(ISNUMBER(Sync!$AE98),IF(AND(Sync!$AE98&gt;=10000101,Sync!$AE98&lt;=99991231),INT(Sync!$AE98/10000),""),IFERROR(VALUE(TRIM(LEFT(Sync!$AE98,FIND("/",Sync!$AE98)-1))),""))))</f>
        <v/>
      </c>
      <c r="H98" t="str">
        <f>IF(OR($F98="",$G98=""),"",IF(ISNUMBER(Sync!$AE98),INT(MOD(Sync!$AE98,10000)/100),IFERROR(VALUE(TRIM(LEFT(MID(Sync!$AE98,FIND("/",Sync!$AE98)+1,20),FIND("/",MID(Sync!$AE98,FIND("/",Sync!$AE98)+1,20))-1))),"")))</f>
        <v/>
      </c>
      <c r="I98" t="str">
        <f>IF(OR($F98="",$G98=""),"",IF(ISNUMBER(Sync!$AE98),MOD(Sync!$AE98,100),IFERROR(VALUE(TRIM(MID(MID(Sync!$AE98,FIND("/",Sync!$AE98)+1,20),FIND("/",MID(Sync!$AE98,FIND("/",Sync!$AE98)+1,20))+1,20))),"")))</f>
        <v/>
      </c>
      <c r="J98" t="str">
        <f t="shared" si="7"/>
        <v/>
      </c>
      <c r="K98" t="str">
        <f>IF(OR($F98="",$J98="",$J98="نامعتبر"),"",LEFT($J98,4)&amp;MID($J98,6,2)&amp;RIGHT($J98,2)&amp;$N98&amp;"|"&amp;"2"&amp;RIGHT("00000"&amp;93,5))</f>
        <v/>
      </c>
      <c r="L98" t="str">
        <f t="shared" si="8"/>
        <v/>
      </c>
      <c r="M98" t="str">
        <f t="shared" si="9"/>
        <v/>
      </c>
      <c r="N98" t="str">
        <f>IF($F98="","",IF(Sync!$AF98="","0000",IF(AND(ISNUMBER(Sync!$AF98),Sync!$AF98&gt;=0,Sync!$AF98&lt;1),RIGHT("00"&amp;HOUR(Sync!$AF98),2)&amp;RIGHT("00"&amp;MINUTE(Sync!$AF98),2),IFERROR(RIGHT("00"&amp;VALUE(LEFT(Sync!$AF98,FIND(":",Sync!$AF98)-1)),2)&amp;RIGHT("00"&amp;VALUE(MID(Sync!$AF98,FIND(":",Sync!$AF98)+1,2)),2),"0000"))))</f>
        <v/>
      </c>
    </row>
    <row r="99" spans="1:14" x14ac:dyDescent="0.2">
      <c r="A99" t="str">
        <f>IF(OR(Calc!$E103="",Calc!$E103="نامعتبر",Calc!$G103=""),"",Calc!$G103)</f>
        <v/>
      </c>
      <c r="B99" t="str">
        <f>IF($A99="","",LEFT(Calc!$E103,4)&amp;MID(Calc!$E103,6,2)&amp;RIGHT(Calc!$E103,2)&amp;Calc!$Q103&amp;"|"&amp;"1"&amp;RIGHT("00000"&amp;94,5))</f>
        <v/>
      </c>
      <c r="C99" t="str">
        <f t="shared" si="5"/>
        <v/>
      </c>
      <c r="D99" t="str">
        <f t="shared" si="6"/>
        <v/>
      </c>
      <c r="F99" t="str">
        <f>IF(Sync!$AH99="","",IF(LEFT(UPPER(TRIM(Sync!$AH99)),2)="SL",UPPER(TRIM(Sync!$AH99)),""))</f>
        <v/>
      </c>
      <c r="G99" t="str">
        <f>IF($F99="","",IF(Sync!$AE99="","",IF(ISNUMBER(Sync!$AE99),IF(AND(Sync!$AE99&gt;=10000101,Sync!$AE99&lt;=99991231),INT(Sync!$AE99/10000),""),IFERROR(VALUE(TRIM(LEFT(Sync!$AE99,FIND("/",Sync!$AE99)-1))),""))))</f>
        <v/>
      </c>
      <c r="H99" t="str">
        <f>IF(OR($F99="",$G99=""),"",IF(ISNUMBER(Sync!$AE99),INT(MOD(Sync!$AE99,10000)/100),IFERROR(VALUE(TRIM(LEFT(MID(Sync!$AE99,FIND("/",Sync!$AE99)+1,20),FIND("/",MID(Sync!$AE99,FIND("/",Sync!$AE99)+1,20))-1))),"")))</f>
        <v/>
      </c>
      <c r="I99" t="str">
        <f>IF(OR($F99="",$G99=""),"",IF(ISNUMBER(Sync!$AE99),MOD(Sync!$AE99,100),IFERROR(VALUE(TRIM(MID(MID(Sync!$AE99,FIND("/",Sync!$AE99)+1,20),FIND("/",MID(Sync!$AE99,FIND("/",Sync!$AE99)+1,20))+1,20))),"")))</f>
        <v/>
      </c>
      <c r="J99" t="str">
        <f t="shared" si="7"/>
        <v/>
      </c>
      <c r="K99" t="str">
        <f>IF(OR($F99="",$J99="",$J99="نامعتبر"),"",LEFT($J99,4)&amp;MID($J99,6,2)&amp;RIGHT($J99,2)&amp;$N99&amp;"|"&amp;"2"&amp;RIGHT("00000"&amp;94,5))</f>
        <v/>
      </c>
      <c r="L99" t="str">
        <f t="shared" si="8"/>
        <v/>
      </c>
      <c r="M99" t="str">
        <f t="shared" si="9"/>
        <v/>
      </c>
      <c r="N99" t="str">
        <f>IF($F99="","",IF(Sync!$AF99="","0000",IF(AND(ISNUMBER(Sync!$AF99),Sync!$AF99&gt;=0,Sync!$AF99&lt;1),RIGHT("00"&amp;HOUR(Sync!$AF99),2)&amp;RIGHT("00"&amp;MINUTE(Sync!$AF99),2),IFERROR(RIGHT("00"&amp;VALUE(LEFT(Sync!$AF99,FIND(":",Sync!$AF99)-1)),2)&amp;RIGHT("00"&amp;VALUE(MID(Sync!$AF99,FIND(":",Sync!$AF99)+1,2)),2),"0000"))))</f>
        <v/>
      </c>
    </row>
    <row r="100" spans="1:14" x14ac:dyDescent="0.2">
      <c r="A100" t="str">
        <f>IF(OR(Calc!$E104="",Calc!$E104="نامعتبر",Calc!$G104=""),"",Calc!$G104)</f>
        <v/>
      </c>
      <c r="B100" t="str">
        <f>IF($A100="","",LEFT(Calc!$E104,4)&amp;MID(Calc!$E104,6,2)&amp;RIGHT(Calc!$E104,2)&amp;Calc!$Q104&amp;"|"&amp;"1"&amp;RIGHT("00000"&amp;95,5))</f>
        <v/>
      </c>
      <c r="C100" t="str">
        <f t="shared" si="5"/>
        <v/>
      </c>
      <c r="D100" t="str">
        <f t="shared" si="6"/>
        <v/>
      </c>
      <c r="F100" t="str">
        <f>IF(Sync!$AH100="","",IF(LEFT(UPPER(TRIM(Sync!$AH100)),2)="SL",UPPER(TRIM(Sync!$AH100)),""))</f>
        <v/>
      </c>
      <c r="G100" t="str">
        <f>IF($F100="","",IF(Sync!$AE100="","",IF(ISNUMBER(Sync!$AE100),IF(AND(Sync!$AE100&gt;=10000101,Sync!$AE100&lt;=99991231),INT(Sync!$AE100/10000),""),IFERROR(VALUE(TRIM(LEFT(Sync!$AE100,FIND("/",Sync!$AE100)-1))),""))))</f>
        <v/>
      </c>
      <c r="H100" t="str">
        <f>IF(OR($F100="",$G100=""),"",IF(ISNUMBER(Sync!$AE100),INT(MOD(Sync!$AE100,10000)/100),IFERROR(VALUE(TRIM(LEFT(MID(Sync!$AE100,FIND("/",Sync!$AE100)+1,20),FIND("/",MID(Sync!$AE100,FIND("/",Sync!$AE100)+1,20))-1))),"")))</f>
        <v/>
      </c>
      <c r="I100" t="str">
        <f>IF(OR($F100="",$G100=""),"",IF(ISNUMBER(Sync!$AE100),MOD(Sync!$AE100,100),IFERROR(VALUE(TRIM(MID(MID(Sync!$AE100,FIND("/",Sync!$AE100)+1,20),FIND("/",MID(Sync!$AE100,FIND("/",Sync!$AE100)+1,20))+1,20))),"")))</f>
        <v/>
      </c>
      <c r="J100" t="str">
        <f t="shared" si="7"/>
        <v/>
      </c>
      <c r="K100" t="str">
        <f>IF(OR($F100="",$J100="",$J100="نامعتبر"),"",LEFT($J100,4)&amp;MID($J100,6,2)&amp;RIGHT($J100,2)&amp;$N100&amp;"|"&amp;"2"&amp;RIGHT("00000"&amp;95,5))</f>
        <v/>
      </c>
      <c r="L100" t="str">
        <f t="shared" si="8"/>
        <v/>
      </c>
      <c r="M100" t="str">
        <f t="shared" si="9"/>
        <v/>
      </c>
      <c r="N100" t="str">
        <f>IF($F100="","",IF(Sync!$AF100="","0000",IF(AND(ISNUMBER(Sync!$AF100),Sync!$AF100&gt;=0,Sync!$AF100&lt;1),RIGHT("00"&amp;HOUR(Sync!$AF100),2)&amp;RIGHT("00"&amp;MINUTE(Sync!$AF100),2),IFERROR(RIGHT("00"&amp;VALUE(LEFT(Sync!$AF100,FIND(":",Sync!$AF100)-1)),2)&amp;RIGHT("00"&amp;VALUE(MID(Sync!$AF100,FIND(":",Sync!$AF100)+1,2)),2),"0000"))))</f>
        <v/>
      </c>
    </row>
    <row r="101" spans="1:14" x14ac:dyDescent="0.2">
      <c r="A101" t="str">
        <f>IF(OR(Calc!$E105="",Calc!$E105="نامعتبر",Calc!$G105=""),"",Calc!$G105)</f>
        <v>SL001</v>
      </c>
      <c r="B101" t="str">
        <f>IF($A101="","",LEFT(Calc!$E105,4)&amp;MID(Calc!$E105,6,2)&amp;RIGHT(Calc!$E105,2)&amp;Calc!$Q105&amp;"|"&amp;"1"&amp;RIGHT("00000"&amp;96,5))</f>
        <v>140507210000|100096</v>
      </c>
      <c r="C101">
        <f t="shared" si="5"/>
        <v>8</v>
      </c>
      <c r="D101" t="str">
        <f t="shared" si="6"/>
        <v>SL001|000008</v>
      </c>
      <c r="F101" t="str">
        <f>IF(Sync!$AH101="","",IF(LEFT(UPPER(TRIM(Sync!$AH101)),2)="SL",UPPER(TRIM(Sync!$AH101)),""))</f>
        <v/>
      </c>
      <c r="G101" t="str">
        <f>IF($F101="","",IF(Sync!$AE101="","",IF(ISNUMBER(Sync!$AE101),IF(AND(Sync!$AE101&gt;=10000101,Sync!$AE101&lt;=99991231),INT(Sync!$AE101/10000),""),IFERROR(VALUE(TRIM(LEFT(Sync!$AE101,FIND("/",Sync!$AE101)-1))),""))))</f>
        <v/>
      </c>
      <c r="H101" t="str">
        <f>IF(OR($F101="",$G101=""),"",IF(ISNUMBER(Sync!$AE101),INT(MOD(Sync!$AE101,10000)/100),IFERROR(VALUE(TRIM(LEFT(MID(Sync!$AE101,FIND("/",Sync!$AE101)+1,20),FIND("/",MID(Sync!$AE101,FIND("/",Sync!$AE101)+1,20))-1))),"")))</f>
        <v/>
      </c>
      <c r="I101" t="str">
        <f>IF(OR($F101="",$G101=""),"",IF(ISNUMBER(Sync!$AE101),MOD(Sync!$AE101,100),IFERROR(VALUE(TRIM(MID(MID(Sync!$AE101,FIND("/",Sync!$AE101)+1,20),FIND("/",MID(Sync!$AE101,FIND("/",Sync!$AE101)+1,20))+1,20))),"")))</f>
        <v/>
      </c>
      <c r="J101" t="str">
        <f t="shared" si="7"/>
        <v/>
      </c>
      <c r="K101" t="str">
        <f>IF(OR($F101="",$J101="",$J101="نامعتبر"),"",LEFT($J101,4)&amp;MID($J101,6,2)&amp;RIGHT($J101,2)&amp;$N101&amp;"|"&amp;"2"&amp;RIGHT("00000"&amp;96,5))</f>
        <v/>
      </c>
      <c r="L101" t="str">
        <f t="shared" si="8"/>
        <v/>
      </c>
      <c r="M101" t="str">
        <f t="shared" si="9"/>
        <v/>
      </c>
      <c r="N101" t="str">
        <f>IF($F101="","",IF(Sync!$AF101="","0000",IF(AND(ISNUMBER(Sync!$AF101),Sync!$AF101&gt;=0,Sync!$AF101&lt;1),RIGHT("00"&amp;HOUR(Sync!$AF101),2)&amp;RIGHT("00"&amp;MINUTE(Sync!$AF101),2),IFERROR(RIGHT("00"&amp;VALUE(LEFT(Sync!$AF101,FIND(":",Sync!$AF101)-1)),2)&amp;RIGHT("00"&amp;VALUE(MID(Sync!$AF101,FIND(":",Sync!$AF101)+1,2)),2),"0000"))))</f>
        <v/>
      </c>
    </row>
    <row r="102" spans="1:14" x14ac:dyDescent="0.2">
      <c r="A102" t="str">
        <f>IF(OR(Calc!$E106="",Calc!$E106="نامعتبر",Calc!$G106=""),"",Calc!$G106)</f>
        <v/>
      </c>
      <c r="B102" t="str">
        <f>IF($A102="","",LEFT(Calc!$E106,4)&amp;MID(Calc!$E106,6,2)&amp;RIGHT(Calc!$E106,2)&amp;Calc!$Q106&amp;"|"&amp;"1"&amp;RIGHT("00000"&amp;97,5))</f>
        <v/>
      </c>
      <c r="C102" t="str">
        <f t="shared" si="5"/>
        <v/>
      </c>
      <c r="D102" t="str">
        <f t="shared" si="6"/>
        <v/>
      </c>
      <c r="F102" t="str">
        <f>IF(Sync!$AH102="","",IF(LEFT(UPPER(TRIM(Sync!$AH102)),2)="SL",UPPER(TRIM(Sync!$AH102)),""))</f>
        <v/>
      </c>
      <c r="G102" t="str">
        <f>IF($F102="","",IF(Sync!$AE102="","",IF(ISNUMBER(Sync!$AE102),IF(AND(Sync!$AE102&gt;=10000101,Sync!$AE102&lt;=99991231),INT(Sync!$AE102/10000),""),IFERROR(VALUE(TRIM(LEFT(Sync!$AE102,FIND("/",Sync!$AE102)-1))),""))))</f>
        <v/>
      </c>
      <c r="H102" t="str">
        <f>IF(OR($F102="",$G102=""),"",IF(ISNUMBER(Sync!$AE102),INT(MOD(Sync!$AE102,10000)/100),IFERROR(VALUE(TRIM(LEFT(MID(Sync!$AE102,FIND("/",Sync!$AE102)+1,20),FIND("/",MID(Sync!$AE102,FIND("/",Sync!$AE102)+1,20))-1))),"")))</f>
        <v/>
      </c>
      <c r="I102" t="str">
        <f>IF(OR($F102="",$G102=""),"",IF(ISNUMBER(Sync!$AE102),MOD(Sync!$AE102,100),IFERROR(VALUE(TRIM(MID(MID(Sync!$AE102,FIND("/",Sync!$AE102)+1,20),FIND("/",MID(Sync!$AE102,FIND("/",Sync!$AE102)+1,20))+1,20))),"")))</f>
        <v/>
      </c>
      <c r="J102" t="str">
        <f t="shared" si="7"/>
        <v/>
      </c>
      <c r="K102" t="str">
        <f>IF(OR($F102="",$J102="",$J102="نامعتبر"),"",LEFT($J102,4)&amp;MID($J102,6,2)&amp;RIGHT($J102,2)&amp;$N102&amp;"|"&amp;"2"&amp;RIGHT("00000"&amp;97,5))</f>
        <v/>
      </c>
      <c r="L102" t="str">
        <f t="shared" si="8"/>
        <v/>
      </c>
      <c r="M102" t="str">
        <f t="shared" si="9"/>
        <v/>
      </c>
      <c r="N102" t="str">
        <f>IF($F102="","",IF(Sync!$AF102="","0000",IF(AND(ISNUMBER(Sync!$AF102),Sync!$AF102&gt;=0,Sync!$AF102&lt;1),RIGHT("00"&amp;HOUR(Sync!$AF102),2)&amp;RIGHT("00"&amp;MINUTE(Sync!$AF102),2),IFERROR(RIGHT("00"&amp;VALUE(LEFT(Sync!$AF102,FIND(":",Sync!$AF102)-1)),2)&amp;RIGHT("00"&amp;VALUE(MID(Sync!$AF102,FIND(":",Sync!$AF102)+1,2)),2),"0000"))))</f>
        <v/>
      </c>
    </row>
    <row r="103" spans="1:14" x14ac:dyDescent="0.2">
      <c r="A103" t="str">
        <f>IF(OR(Calc!$E107="",Calc!$E107="نامعتبر",Calc!$G107=""),"",Calc!$G107)</f>
        <v/>
      </c>
      <c r="B103" t="str">
        <f>IF($A103="","",LEFT(Calc!$E107,4)&amp;MID(Calc!$E107,6,2)&amp;RIGHT(Calc!$E107,2)&amp;Calc!$Q107&amp;"|"&amp;"1"&amp;RIGHT("00000"&amp;98,5))</f>
        <v/>
      </c>
      <c r="C103" t="str">
        <f t="shared" si="5"/>
        <v/>
      </c>
      <c r="D103" t="str">
        <f t="shared" si="6"/>
        <v/>
      </c>
      <c r="F103" t="str">
        <f>IF(Sync!$AH103="","",IF(LEFT(UPPER(TRIM(Sync!$AH103)),2)="SL",UPPER(TRIM(Sync!$AH103)),""))</f>
        <v/>
      </c>
      <c r="G103" t="str">
        <f>IF($F103="","",IF(Sync!$AE103="","",IF(ISNUMBER(Sync!$AE103),IF(AND(Sync!$AE103&gt;=10000101,Sync!$AE103&lt;=99991231),INT(Sync!$AE103/10000),""),IFERROR(VALUE(TRIM(LEFT(Sync!$AE103,FIND("/",Sync!$AE103)-1))),""))))</f>
        <v/>
      </c>
      <c r="H103" t="str">
        <f>IF(OR($F103="",$G103=""),"",IF(ISNUMBER(Sync!$AE103),INT(MOD(Sync!$AE103,10000)/100),IFERROR(VALUE(TRIM(LEFT(MID(Sync!$AE103,FIND("/",Sync!$AE103)+1,20),FIND("/",MID(Sync!$AE103,FIND("/",Sync!$AE103)+1,20))-1))),"")))</f>
        <v/>
      </c>
      <c r="I103" t="str">
        <f>IF(OR($F103="",$G103=""),"",IF(ISNUMBER(Sync!$AE103),MOD(Sync!$AE103,100),IFERROR(VALUE(TRIM(MID(MID(Sync!$AE103,FIND("/",Sync!$AE103)+1,20),FIND("/",MID(Sync!$AE103,FIND("/",Sync!$AE103)+1,20))+1,20))),"")))</f>
        <v/>
      </c>
      <c r="J103" t="str">
        <f t="shared" si="7"/>
        <v/>
      </c>
      <c r="K103" t="str">
        <f>IF(OR($F103="",$J103="",$J103="نامعتبر"),"",LEFT($J103,4)&amp;MID($J103,6,2)&amp;RIGHT($J103,2)&amp;$N103&amp;"|"&amp;"2"&amp;RIGHT("00000"&amp;98,5))</f>
        <v/>
      </c>
      <c r="L103" t="str">
        <f t="shared" si="8"/>
        <v/>
      </c>
      <c r="M103" t="str">
        <f t="shared" si="9"/>
        <v/>
      </c>
      <c r="N103" t="str">
        <f>IF($F103="","",IF(Sync!$AF103="","0000",IF(AND(ISNUMBER(Sync!$AF103),Sync!$AF103&gt;=0,Sync!$AF103&lt;1),RIGHT("00"&amp;HOUR(Sync!$AF103),2)&amp;RIGHT("00"&amp;MINUTE(Sync!$AF103),2),IFERROR(RIGHT("00"&amp;VALUE(LEFT(Sync!$AF103,FIND(":",Sync!$AF103)-1)),2)&amp;RIGHT("00"&amp;VALUE(MID(Sync!$AF103,FIND(":",Sync!$AF103)+1,2)),2),"0000"))))</f>
        <v/>
      </c>
    </row>
    <row r="104" spans="1:14" x14ac:dyDescent="0.2">
      <c r="A104" t="str">
        <f>IF(OR(Calc!$E108="",Calc!$E108="نامعتبر",Calc!$G108=""),"",Calc!$G108)</f>
        <v/>
      </c>
      <c r="B104" t="str">
        <f>IF($A104="","",LEFT(Calc!$E108,4)&amp;MID(Calc!$E108,6,2)&amp;RIGHT(Calc!$E108,2)&amp;Calc!$Q108&amp;"|"&amp;"1"&amp;RIGHT("00000"&amp;99,5))</f>
        <v/>
      </c>
      <c r="C104" t="str">
        <f t="shared" si="5"/>
        <v/>
      </c>
      <c r="D104" t="str">
        <f t="shared" si="6"/>
        <v/>
      </c>
      <c r="F104" t="str">
        <f>IF(Sync!$AH104="","",IF(LEFT(UPPER(TRIM(Sync!$AH104)),2)="SL",UPPER(TRIM(Sync!$AH104)),""))</f>
        <v/>
      </c>
      <c r="G104" t="str">
        <f>IF($F104="","",IF(Sync!$AE104="","",IF(ISNUMBER(Sync!$AE104),IF(AND(Sync!$AE104&gt;=10000101,Sync!$AE104&lt;=99991231),INT(Sync!$AE104/10000),""),IFERROR(VALUE(TRIM(LEFT(Sync!$AE104,FIND("/",Sync!$AE104)-1))),""))))</f>
        <v/>
      </c>
      <c r="H104" t="str">
        <f>IF(OR($F104="",$G104=""),"",IF(ISNUMBER(Sync!$AE104),INT(MOD(Sync!$AE104,10000)/100),IFERROR(VALUE(TRIM(LEFT(MID(Sync!$AE104,FIND("/",Sync!$AE104)+1,20),FIND("/",MID(Sync!$AE104,FIND("/",Sync!$AE104)+1,20))-1))),"")))</f>
        <v/>
      </c>
      <c r="I104" t="str">
        <f>IF(OR($F104="",$G104=""),"",IF(ISNUMBER(Sync!$AE104),MOD(Sync!$AE104,100),IFERROR(VALUE(TRIM(MID(MID(Sync!$AE104,FIND("/",Sync!$AE104)+1,20),FIND("/",MID(Sync!$AE104,FIND("/",Sync!$AE104)+1,20))+1,20))),"")))</f>
        <v/>
      </c>
      <c r="J104" t="str">
        <f t="shared" si="7"/>
        <v/>
      </c>
      <c r="K104" t="str">
        <f>IF(OR($F104="",$J104="",$J104="نامعتبر"),"",LEFT($J104,4)&amp;MID($J104,6,2)&amp;RIGHT($J104,2)&amp;$N104&amp;"|"&amp;"2"&amp;RIGHT("00000"&amp;99,5))</f>
        <v/>
      </c>
      <c r="L104" t="str">
        <f t="shared" si="8"/>
        <v/>
      </c>
      <c r="M104" t="str">
        <f t="shared" si="9"/>
        <v/>
      </c>
      <c r="N104" t="str">
        <f>IF($F104="","",IF(Sync!$AF104="","0000",IF(AND(ISNUMBER(Sync!$AF104),Sync!$AF104&gt;=0,Sync!$AF104&lt;1),RIGHT("00"&amp;HOUR(Sync!$AF104),2)&amp;RIGHT("00"&amp;MINUTE(Sync!$AF104),2),IFERROR(RIGHT("00"&amp;VALUE(LEFT(Sync!$AF104,FIND(":",Sync!$AF104)-1)),2)&amp;RIGHT("00"&amp;VALUE(MID(Sync!$AF104,FIND(":",Sync!$AF104)+1,2)),2),"0000"))))</f>
        <v/>
      </c>
    </row>
    <row r="105" spans="1:14" x14ac:dyDescent="0.2">
      <c r="A105" t="str">
        <f>IF(OR(Calc!$E109="",Calc!$E109="نامعتبر",Calc!$G109=""),"",Calc!$G109)</f>
        <v/>
      </c>
      <c r="B105" t="str">
        <f>IF($A105="","",LEFT(Calc!$E109,4)&amp;MID(Calc!$E109,6,2)&amp;RIGHT(Calc!$E109,2)&amp;Calc!$Q109&amp;"|"&amp;"1"&amp;RIGHT("00000"&amp;100,5))</f>
        <v/>
      </c>
      <c r="C105" t="str">
        <f t="shared" si="5"/>
        <v/>
      </c>
      <c r="D105" t="str">
        <f t="shared" si="6"/>
        <v/>
      </c>
      <c r="F105" t="str">
        <f>IF(Sync!$AH105="","",IF(LEFT(UPPER(TRIM(Sync!$AH105)),2)="SL",UPPER(TRIM(Sync!$AH105)),""))</f>
        <v/>
      </c>
      <c r="G105" t="str">
        <f>IF($F105="","",IF(Sync!$AE105="","",IF(ISNUMBER(Sync!$AE105),IF(AND(Sync!$AE105&gt;=10000101,Sync!$AE105&lt;=99991231),INT(Sync!$AE105/10000),""),IFERROR(VALUE(TRIM(LEFT(Sync!$AE105,FIND("/",Sync!$AE105)-1))),""))))</f>
        <v/>
      </c>
      <c r="H105" t="str">
        <f>IF(OR($F105="",$G105=""),"",IF(ISNUMBER(Sync!$AE105),INT(MOD(Sync!$AE105,10000)/100),IFERROR(VALUE(TRIM(LEFT(MID(Sync!$AE105,FIND("/",Sync!$AE105)+1,20),FIND("/",MID(Sync!$AE105,FIND("/",Sync!$AE105)+1,20))-1))),"")))</f>
        <v/>
      </c>
      <c r="I105" t="str">
        <f>IF(OR($F105="",$G105=""),"",IF(ISNUMBER(Sync!$AE105),MOD(Sync!$AE105,100),IFERROR(VALUE(TRIM(MID(MID(Sync!$AE105,FIND("/",Sync!$AE105)+1,20),FIND("/",MID(Sync!$AE105,FIND("/",Sync!$AE105)+1,20))+1,20))),"")))</f>
        <v/>
      </c>
      <c r="J105" t="str">
        <f t="shared" si="7"/>
        <v/>
      </c>
      <c r="K105" t="str">
        <f>IF(OR($F105="",$J105="",$J105="نامعتبر"),"",LEFT($J105,4)&amp;MID($J105,6,2)&amp;RIGHT($J105,2)&amp;$N105&amp;"|"&amp;"2"&amp;RIGHT("00000"&amp;100,5))</f>
        <v/>
      </c>
      <c r="L105" t="str">
        <f t="shared" si="8"/>
        <v/>
      </c>
      <c r="M105" t="str">
        <f t="shared" si="9"/>
        <v/>
      </c>
      <c r="N105" t="str">
        <f>IF($F105="","",IF(Sync!$AF105="","0000",IF(AND(ISNUMBER(Sync!$AF105),Sync!$AF105&gt;=0,Sync!$AF105&lt;1),RIGHT("00"&amp;HOUR(Sync!$AF105),2)&amp;RIGHT("00"&amp;MINUTE(Sync!$AF105),2),IFERROR(RIGHT("00"&amp;VALUE(LEFT(Sync!$AF105,FIND(":",Sync!$AF105)-1)),2)&amp;RIGHT("00"&amp;VALUE(MID(Sync!$AF105,FIND(":",Sync!$AF105)+1,2)),2),"0000"))))</f>
        <v/>
      </c>
    </row>
    <row r="106" spans="1:14" x14ac:dyDescent="0.2">
      <c r="A106" t="str">
        <f>IF(OR(Calc!$E110="",Calc!$E110="نامعتبر",Calc!$G110=""),"",Calc!$G110)</f>
        <v/>
      </c>
      <c r="B106" t="str">
        <f>IF($A106="","",LEFT(Calc!$E110,4)&amp;MID(Calc!$E110,6,2)&amp;RIGHT(Calc!$E110,2)&amp;Calc!$Q110&amp;"|"&amp;"1"&amp;RIGHT("00000"&amp;101,5))</f>
        <v/>
      </c>
      <c r="C106" t="str">
        <f t="shared" si="5"/>
        <v/>
      </c>
      <c r="D106" t="str">
        <f t="shared" si="6"/>
        <v/>
      </c>
      <c r="F106" t="str">
        <f>IF(Sync!$AH106="","",IF(LEFT(UPPER(TRIM(Sync!$AH106)),2)="SL",UPPER(TRIM(Sync!$AH106)),""))</f>
        <v/>
      </c>
      <c r="G106" t="str">
        <f>IF($F106="","",IF(Sync!$AE106="","",IF(ISNUMBER(Sync!$AE106),IF(AND(Sync!$AE106&gt;=10000101,Sync!$AE106&lt;=99991231),INT(Sync!$AE106/10000),""),IFERROR(VALUE(TRIM(LEFT(Sync!$AE106,FIND("/",Sync!$AE106)-1))),""))))</f>
        <v/>
      </c>
      <c r="H106" t="str">
        <f>IF(OR($F106="",$G106=""),"",IF(ISNUMBER(Sync!$AE106),INT(MOD(Sync!$AE106,10000)/100),IFERROR(VALUE(TRIM(LEFT(MID(Sync!$AE106,FIND("/",Sync!$AE106)+1,20),FIND("/",MID(Sync!$AE106,FIND("/",Sync!$AE106)+1,20))-1))),"")))</f>
        <v/>
      </c>
      <c r="I106" t="str">
        <f>IF(OR($F106="",$G106=""),"",IF(ISNUMBER(Sync!$AE106),MOD(Sync!$AE106,100),IFERROR(VALUE(TRIM(MID(MID(Sync!$AE106,FIND("/",Sync!$AE106)+1,20),FIND("/",MID(Sync!$AE106,FIND("/",Sync!$AE106)+1,20))+1,20))),"")))</f>
        <v/>
      </c>
      <c r="J106" t="str">
        <f t="shared" si="7"/>
        <v/>
      </c>
      <c r="K106" t="str">
        <f>IF(OR($F106="",$J106="",$J106="نامعتبر"),"",LEFT($J106,4)&amp;MID($J106,6,2)&amp;RIGHT($J106,2)&amp;$N106&amp;"|"&amp;"2"&amp;RIGHT("00000"&amp;101,5))</f>
        <v/>
      </c>
      <c r="L106" t="str">
        <f t="shared" si="8"/>
        <v/>
      </c>
      <c r="M106" t="str">
        <f t="shared" si="9"/>
        <v/>
      </c>
      <c r="N106" t="str">
        <f>IF($F106="","",IF(Sync!$AF106="","0000",IF(AND(ISNUMBER(Sync!$AF106),Sync!$AF106&gt;=0,Sync!$AF106&lt;1),RIGHT("00"&amp;HOUR(Sync!$AF106),2)&amp;RIGHT("00"&amp;MINUTE(Sync!$AF106),2),IFERROR(RIGHT("00"&amp;VALUE(LEFT(Sync!$AF106,FIND(":",Sync!$AF106)-1)),2)&amp;RIGHT("00"&amp;VALUE(MID(Sync!$AF106,FIND(":",Sync!$AF106)+1,2)),2),"0000"))))</f>
        <v/>
      </c>
    </row>
    <row r="107" spans="1:14" x14ac:dyDescent="0.2">
      <c r="A107" t="str">
        <f>IF(OR(Calc!$E111="",Calc!$E111="نامعتبر",Calc!$G111=""),"",Calc!$G111)</f>
        <v/>
      </c>
      <c r="B107" t="str">
        <f>IF($A107="","",LEFT(Calc!$E111,4)&amp;MID(Calc!$E111,6,2)&amp;RIGHT(Calc!$E111,2)&amp;Calc!$Q111&amp;"|"&amp;"1"&amp;RIGHT("00000"&amp;102,5))</f>
        <v/>
      </c>
      <c r="C107" t="str">
        <f t="shared" si="5"/>
        <v/>
      </c>
      <c r="D107" t="str">
        <f t="shared" si="6"/>
        <v/>
      </c>
      <c r="F107" t="str">
        <f>IF(Sync!$AH107="","",IF(LEFT(UPPER(TRIM(Sync!$AH107)),2)="SL",UPPER(TRIM(Sync!$AH107)),""))</f>
        <v/>
      </c>
      <c r="G107" t="str">
        <f>IF($F107="","",IF(Sync!$AE107="","",IF(ISNUMBER(Sync!$AE107),IF(AND(Sync!$AE107&gt;=10000101,Sync!$AE107&lt;=99991231),INT(Sync!$AE107/10000),""),IFERROR(VALUE(TRIM(LEFT(Sync!$AE107,FIND("/",Sync!$AE107)-1))),""))))</f>
        <v/>
      </c>
      <c r="H107" t="str">
        <f>IF(OR($F107="",$G107=""),"",IF(ISNUMBER(Sync!$AE107),INT(MOD(Sync!$AE107,10000)/100),IFERROR(VALUE(TRIM(LEFT(MID(Sync!$AE107,FIND("/",Sync!$AE107)+1,20),FIND("/",MID(Sync!$AE107,FIND("/",Sync!$AE107)+1,20))-1))),"")))</f>
        <v/>
      </c>
      <c r="I107" t="str">
        <f>IF(OR($F107="",$G107=""),"",IF(ISNUMBER(Sync!$AE107),MOD(Sync!$AE107,100),IFERROR(VALUE(TRIM(MID(MID(Sync!$AE107,FIND("/",Sync!$AE107)+1,20),FIND("/",MID(Sync!$AE107,FIND("/",Sync!$AE107)+1,20))+1,20))),"")))</f>
        <v/>
      </c>
      <c r="J107" t="str">
        <f t="shared" si="7"/>
        <v/>
      </c>
      <c r="K107" t="str">
        <f>IF(OR($F107="",$J107="",$J107="نامعتبر"),"",LEFT($J107,4)&amp;MID($J107,6,2)&amp;RIGHT($J107,2)&amp;$N107&amp;"|"&amp;"2"&amp;RIGHT("00000"&amp;102,5))</f>
        <v/>
      </c>
      <c r="L107" t="str">
        <f t="shared" si="8"/>
        <v/>
      </c>
      <c r="M107" t="str">
        <f t="shared" si="9"/>
        <v/>
      </c>
      <c r="N107" t="str">
        <f>IF($F107="","",IF(Sync!$AF107="","0000",IF(AND(ISNUMBER(Sync!$AF107),Sync!$AF107&gt;=0,Sync!$AF107&lt;1),RIGHT("00"&amp;HOUR(Sync!$AF107),2)&amp;RIGHT("00"&amp;MINUTE(Sync!$AF107),2),IFERROR(RIGHT("00"&amp;VALUE(LEFT(Sync!$AF107,FIND(":",Sync!$AF107)-1)),2)&amp;RIGHT("00"&amp;VALUE(MID(Sync!$AF107,FIND(":",Sync!$AF107)+1,2)),2),"0000"))))</f>
        <v/>
      </c>
    </row>
    <row r="108" spans="1:14" x14ac:dyDescent="0.2">
      <c r="A108" t="str">
        <f>IF(OR(Calc!$E112="",Calc!$E112="نامعتبر",Calc!$G112=""),"",Calc!$G112)</f>
        <v/>
      </c>
      <c r="B108" t="str">
        <f>IF($A108="","",LEFT(Calc!$E112,4)&amp;MID(Calc!$E112,6,2)&amp;RIGHT(Calc!$E112,2)&amp;Calc!$Q112&amp;"|"&amp;"1"&amp;RIGHT("00000"&amp;103,5))</f>
        <v/>
      </c>
      <c r="C108" t="str">
        <f t="shared" si="5"/>
        <v/>
      </c>
      <c r="D108" t="str">
        <f t="shared" si="6"/>
        <v/>
      </c>
      <c r="F108" t="str">
        <f>IF(Sync!$AH108="","",IF(LEFT(UPPER(TRIM(Sync!$AH108)),2)="SL",UPPER(TRIM(Sync!$AH108)),""))</f>
        <v/>
      </c>
      <c r="G108" t="str">
        <f>IF($F108="","",IF(Sync!$AE108="","",IF(ISNUMBER(Sync!$AE108),IF(AND(Sync!$AE108&gt;=10000101,Sync!$AE108&lt;=99991231),INT(Sync!$AE108/10000),""),IFERROR(VALUE(TRIM(LEFT(Sync!$AE108,FIND("/",Sync!$AE108)-1))),""))))</f>
        <v/>
      </c>
      <c r="H108" t="str">
        <f>IF(OR($F108="",$G108=""),"",IF(ISNUMBER(Sync!$AE108),INT(MOD(Sync!$AE108,10000)/100),IFERROR(VALUE(TRIM(LEFT(MID(Sync!$AE108,FIND("/",Sync!$AE108)+1,20),FIND("/",MID(Sync!$AE108,FIND("/",Sync!$AE108)+1,20))-1))),"")))</f>
        <v/>
      </c>
      <c r="I108" t="str">
        <f>IF(OR($F108="",$G108=""),"",IF(ISNUMBER(Sync!$AE108),MOD(Sync!$AE108,100),IFERROR(VALUE(TRIM(MID(MID(Sync!$AE108,FIND("/",Sync!$AE108)+1,20),FIND("/",MID(Sync!$AE108,FIND("/",Sync!$AE108)+1,20))+1,20))),"")))</f>
        <v/>
      </c>
      <c r="J108" t="str">
        <f t="shared" si="7"/>
        <v/>
      </c>
      <c r="K108" t="str">
        <f>IF(OR($F108="",$J108="",$J108="نامعتبر"),"",LEFT($J108,4)&amp;MID($J108,6,2)&amp;RIGHT($J108,2)&amp;$N108&amp;"|"&amp;"2"&amp;RIGHT("00000"&amp;103,5))</f>
        <v/>
      </c>
      <c r="L108" t="str">
        <f t="shared" si="8"/>
        <v/>
      </c>
      <c r="M108" t="str">
        <f t="shared" si="9"/>
        <v/>
      </c>
      <c r="N108" t="str">
        <f>IF($F108="","",IF(Sync!$AF108="","0000",IF(AND(ISNUMBER(Sync!$AF108),Sync!$AF108&gt;=0,Sync!$AF108&lt;1),RIGHT("00"&amp;HOUR(Sync!$AF108),2)&amp;RIGHT("00"&amp;MINUTE(Sync!$AF108),2),IFERROR(RIGHT("00"&amp;VALUE(LEFT(Sync!$AF108,FIND(":",Sync!$AF108)-1)),2)&amp;RIGHT("00"&amp;VALUE(MID(Sync!$AF108,FIND(":",Sync!$AF108)+1,2)),2),"0000"))))</f>
        <v/>
      </c>
    </row>
    <row r="109" spans="1:14" x14ac:dyDescent="0.2">
      <c r="A109" t="str">
        <f>IF(OR(Calc!$E113="",Calc!$E113="نامعتبر",Calc!$G113=""),"",Calc!$G113)</f>
        <v/>
      </c>
      <c r="B109" t="str">
        <f>IF($A109="","",LEFT(Calc!$E113,4)&amp;MID(Calc!$E113,6,2)&amp;RIGHT(Calc!$E113,2)&amp;Calc!$Q113&amp;"|"&amp;"1"&amp;RIGHT("00000"&amp;104,5))</f>
        <v/>
      </c>
      <c r="C109" t="str">
        <f t="shared" si="5"/>
        <v/>
      </c>
      <c r="D109" t="str">
        <f t="shared" si="6"/>
        <v/>
      </c>
      <c r="F109" t="str">
        <f>IF(Sync!$AH109="","",IF(LEFT(UPPER(TRIM(Sync!$AH109)),2)="SL",UPPER(TRIM(Sync!$AH109)),""))</f>
        <v/>
      </c>
      <c r="G109" t="str">
        <f>IF($F109="","",IF(Sync!$AE109="","",IF(ISNUMBER(Sync!$AE109),IF(AND(Sync!$AE109&gt;=10000101,Sync!$AE109&lt;=99991231),INT(Sync!$AE109/10000),""),IFERROR(VALUE(TRIM(LEFT(Sync!$AE109,FIND("/",Sync!$AE109)-1))),""))))</f>
        <v/>
      </c>
      <c r="H109" t="str">
        <f>IF(OR($F109="",$G109=""),"",IF(ISNUMBER(Sync!$AE109),INT(MOD(Sync!$AE109,10000)/100),IFERROR(VALUE(TRIM(LEFT(MID(Sync!$AE109,FIND("/",Sync!$AE109)+1,20),FIND("/",MID(Sync!$AE109,FIND("/",Sync!$AE109)+1,20))-1))),"")))</f>
        <v/>
      </c>
      <c r="I109" t="str">
        <f>IF(OR($F109="",$G109=""),"",IF(ISNUMBER(Sync!$AE109),MOD(Sync!$AE109,100),IFERROR(VALUE(TRIM(MID(MID(Sync!$AE109,FIND("/",Sync!$AE109)+1,20),FIND("/",MID(Sync!$AE109,FIND("/",Sync!$AE109)+1,20))+1,20))),"")))</f>
        <v/>
      </c>
      <c r="J109" t="str">
        <f t="shared" si="7"/>
        <v/>
      </c>
      <c r="K109" t="str">
        <f>IF(OR($F109="",$J109="",$J109="نامعتبر"),"",LEFT($J109,4)&amp;MID($J109,6,2)&amp;RIGHT($J109,2)&amp;$N109&amp;"|"&amp;"2"&amp;RIGHT("00000"&amp;104,5))</f>
        <v/>
      </c>
      <c r="L109" t="str">
        <f t="shared" si="8"/>
        <v/>
      </c>
      <c r="M109" t="str">
        <f t="shared" si="9"/>
        <v/>
      </c>
      <c r="N109" t="str">
        <f>IF($F109="","",IF(Sync!$AF109="","0000",IF(AND(ISNUMBER(Sync!$AF109),Sync!$AF109&gt;=0,Sync!$AF109&lt;1),RIGHT("00"&amp;HOUR(Sync!$AF109),2)&amp;RIGHT("00"&amp;MINUTE(Sync!$AF109),2),IFERROR(RIGHT("00"&amp;VALUE(LEFT(Sync!$AF109,FIND(":",Sync!$AF109)-1)),2)&amp;RIGHT("00"&amp;VALUE(MID(Sync!$AF109,FIND(":",Sync!$AF109)+1,2)),2),"0000"))))</f>
        <v/>
      </c>
    </row>
    <row r="110" spans="1:14" x14ac:dyDescent="0.2">
      <c r="A110" t="str">
        <f>IF(OR(Calc!$E114="",Calc!$E114="نامعتبر",Calc!$G114=""),"",Calc!$G114)</f>
        <v/>
      </c>
      <c r="B110" t="str">
        <f>IF($A110="","",LEFT(Calc!$E114,4)&amp;MID(Calc!$E114,6,2)&amp;RIGHT(Calc!$E114,2)&amp;Calc!$Q114&amp;"|"&amp;"1"&amp;RIGHT("00000"&amp;105,5))</f>
        <v/>
      </c>
      <c r="C110" t="str">
        <f t="shared" si="5"/>
        <v/>
      </c>
      <c r="D110" t="str">
        <f t="shared" si="6"/>
        <v/>
      </c>
      <c r="F110" t="str">
        <f>IF(Sync!$AH110="","",IF(LEFT(UPPER(TRIM(Sync!$AH110)),2)="SL",UPPER(TRIM(Sync!$AH110)),""))</f>
        <v/>
      </c>
      <c r="G110" t="str">
        <f>IF($F110="","",IF(Sync!$AE110="","",IF(ISNUMBER(Sync!$AE110),IF(AND(Sync!$AE110&gt;=10000101,Sync!$AE110&lt;=99991231),INT(Sync!$AE110/10000),""),IFERROR(VALUE(TRIM(LEFT(Sync!$AE110,FIND("/",Sync!$AE110)-1))),""))))</f>
        <v/>
      </c>
      <c r="H110" t="str">
        <f>IF(OR($F110="",$G110=""),"",IF(ISNUMBER(Sync!$AE110),INT(MOD(Sync!$AE110,10000)/100),IFERROR(VALUE(TRIM(LEFT(MID(Sync!$AE110,FIND("/",Sync!$AE110)+1,20),FIND("/",MID(Sync!$AE110,FIND("/",Sync!$AE110)+1,20))-1))),"")))</f>
        <v/>
      </c>
      <c r="I110" t="str">
        <f>IF(OR($F110="",$G110=""),"",IF(ISNUMBER(Sync!$AE110),MOD(Sync!$AE110,100),IFERROR(VALUE(TRIM(MID(MID(Sync!$AE110,FIND("/",Sync!$AE110)+1,20),FIND("/",MID(Sync!$AE110,FIND("/",Sync!$AE110)+1,20))+1,20))),"")))</f>
        <v/>
      </c>
      <c r="J110" t="str">
        <f t="shared" si="7"/>
        <v/>
      </c>
      <c r="K110" t="str">
        <f>IF(OR($F110="",$J110="",$J110="نامعتبر"),"",LEFT($J110,4)&amp;MID($J110,6,2)&amp;RIGHT($J110,2)&amp;$N110&amp;"|"&amp;"2"&amp;RIGHT("00000"&amp;105,5))</f>
        <v/>
      </c>
      <c r="L110" t="str">
        <f t="shared" si="8"/>
        <v/>
      </c>
      <c r="M110" t="str">
        <f t="shared" si="9"/>
        <v/>
      </c>
      <c r="N110" t="str">
        <f>IF($F110="","",IF(Sync!$AF110="","0000",IF(AND(ISNUMBER(Sync!$AF110),Sync!$AF110&gt;=0,Sync!$AF110&lt;1),RIGHT("00"&amp;HOUR(Sync!$AF110),2)&amp;RIGHT("00"&amp;MINUTE(Sync!$AF110),2),IFERROR(RIGHT("00"&amp;VALUE(LEFT(Sync!$AF110,FIND(":",Sync!$AF110)-1)),2)&amp;RIGHT("00"&amp;VALUE(MID(Sync!$AF110,FIND(":",Sync!$AF110)+1,2)),2),"0000"))))</f>
        <v/>
      </c>
    </row>
    <row r="111" spans="1:14" x14ac:dyDescent="0.2">
      <c r="A111" t="str">
        <f>IF(OR(Calc!$E115="",Calc!$E115="نامعتبر",Calc!$G115=""),"",Calc!$G115)</f>
        <v>SL002</v>
      </c>
      <c r="B111" t="str">
        <f>IF($A111="","",LEFT(Calc!$E115,4)&amp;MID(Calc!$E115,6,2)&amp;RIGHT(Calc!$E115,2)&amp;Calc!$Q115&amp;"|"&amp;"1"&amp;RIGHT("00000"&amp;106,5))</f>
        <v>140507220000|100106</v>
      </c>
      <c r="C111">
        <f t="shared" si="5"/>
        <v>4</v>
      </c>
      <c r="D111" t="str">
        <f t="shared" si="6"/>
        <v>SL002|000004</v>
      </c>
      <c r="F111" t="str">
        <f>IF(Sync!$AH111="","",IF(LEFT(UPPER(TRIM(Sync!$AH111)),2)="SL",UPPER(TRIM(Sync!$AH111)),""))</f>
        <v/>
      </c>
      <c r="G111" t="str">
        <f>IF($F111="","",IF(Sync!$AE111="","",IF(ISNUMBER(Sync!$AE111),IF(AND(Sync!$AE111&gt;=10000101,Sync!$AE111&lt;=99991231),INT(Sync!$AE111/10000),""),IFERROR(VALUE(TRIM(LEFT(Sync!$AE111,FIND("/",Sync!$AE111)-1))),""))))</f>
        <v/>
      </c>
      <c r="H111" t="str">
        <f>IF(OR($F111="",$G111=""),"",IF(ISNUMBER(Sync!$AE111),INT(MOD(Sync!$AE111,10000)/100),IFERROR(VALUE(TRIM(LEFT(MID(Sync!$AE111,FIND("/",Sync!$AE111)+1,20),FIND("/",MID(Sync!$AE111,FIND("/",Sync!$AE111)+1,20))-1))),"")))</f>
        <v/>
      </c>
      <c r="I111" t="str">
        <f>IF(OR($F111="",$G111=""),"",IF(ISNUMBER(Sync!$AE111),MOD(Sync!$AE111,100),IFERROR(VALUE(TRIM(MID(MID(Sync!$AE111,FIND("/",Sync!$AE111)+1,20),FIND("/",MID(Sync!$AE111,FIND("/",Sync!$AE111)+1,20))+1,20))),"")))</f>
        <v/>
      </c>
      <c r="J111" t="str">
        <f t="shared" si="7"/>
        <v/>
      </c>
      <c r="K111" t="str">
        <f>IF(OR($F111="",$J111="",$J111="نامعتبر"),"",LEFT($J111,4)&amp;MID($J111,6,2)&amp;RIGHT($J111,2)&amp;$N111&amp;"|"&amp;"2"&amp;RIGHT("00000"&amp;106,5))</f>
        <v/>
      </c>
      <c r="L111" t="str">
        <f t="shared" si="8"/>
        <v/>
      </c>
      <c r="M111" t="str">
        <f t="shared" si="9"/>
        <v/>
      </c>
      <c r="N111" t="str">
        <f>IF($F111="","",IF(Sync!$AF111="","0000",IF(AND(ISNUMBER(Sync!$AF111),Sync!$AF111&gt;=0,Sync!$AF111&lt;1),RIGHT("00"&amp;HOUR(Sync!$AF111),2)&amp;RIGHT("00"&amp;MINUTE(Sync!$AF111),2),IFERROR(RIGHT("00"&amp;VALUE(LEFT(Sync!$AF111,FIND(":",Sync!$AF111)-1)),2)&amp;RIGHT("00"&amp;VALUE(MID(Sync!$AF111,FIND(":",Sync!$AF111)+1,2)),2),"0000"))))</f>
        <v/>
      </c>
    </row>
    <row r="112" spans="1:14" x14ac:dyDescent="0.2">
      <c r="A112" t="str">
        <f>IF(OR(Calc!$E116="",Calc!$E116="نامعتبر",Calc!$G116=""),"",Calc!$G116)</f>
        <v/>
      </c>
      <c r="B112" t="str">
        <f>IF($A112="","",LEFT(Calc!$E116,4)&amp;MID(Calc!$E116,6,2)&amp;RIGHT(Calc!$E116,2)&amp;Calc!$Q116&amp;"|"&amp;"1"&amp;RIGHT("00000"&amp;107,5))</f>
        <v/>
      </c>
      <c r="C112" t="str">
        <f t="shared" si="5"/>
        <v/>
      </c>
      <c r="D112" t="str">
        <f t="shared" si="6"/>
        <v/>
      </c>
      <c r="F112" t="str">
        <f>IF(Sync!$AH112="","",IF(LEFT(UPPER(TRIM(Sync!$AH112)),2)="SL",UPPER(TRIM(Sync!$AH112)),""))</f>
        <v/>
      </c>
      <c r="G112" t="str">
        <f>IF($F112="","",IF(Sync!$AE112="","",IF(ISNUMBER(Sync!$AE112),IF(AND(Sync!$AE112&gt;=10000101,Sync!$AE112&lt;=99991231),INT(Sync!$AE112/10000),""),IFERROR(VALUE(TRIM(LEFT(Sync!$AE112,FIND("/",Sync!$AE112)-1))),""))))</f>
        <v/>
      </c>
      <c r="H112" t="str">
        <f>IF(OR($F112="",$G112=""),"",IF(ISNUMBER(Sync!$AE112),INT(MOD(Sync!$AE112,10000)/100),IFERROR(VALUE(TRIM(LEFT(MID(Sync!$AE112,FIND("/",Sync!$AE112)+1,20),FIND("/",MID(Sync!$AE112,FIND("/",Sync!$AE112)+1,20))-1))),"")))</f>
        <v/>
      </c>
      <c r="I112" t="str">
        <f>IF(OR($F112="",$G112=""),"",IF(ISNUMBER(Sync!$AE112),MOD(Sync!$AE112,100),IFERROR(VALUE(TRIM(MID(MID(Sync!$AE112,FIND("/",Sync!$AE112)+1,20),FIND("/",MID(Sync!$AE112,FIND("/",Sync!$AE112)+1,20))+1,20))),"")))</f>
        <v/>
      </c>
      <c r="J112" t="str">
        <f t="shared" si="7"/>
        <v/>
      </c>
      <c r="K112" t="str">
        <f>IF(OR($F112="",$J112="",$J112="نامعتبر"),"",LEFT($J112,4)&amp;MID($J112,6,2)&amp;RIGHT($J112,2)&amp;$N112&amp;"|"&amp;"2"&amp;RIGHT("00000"&amp;107,5))</f>
        <v/>
      </c>
      <c r="L112" t="str">
        <f t="shared" si="8"/>
        <v/>
      </c>
      <c r="M112" t="str">
        <f t="shared" si="9"/>
        <v/>
      </c>
      <c r="N112" t="str">
        <f>IF($F112="","",IF(Sync!$AF112="","0000",IF(AND(ISNUMBER(Sync!$AF112),Sync!$AF112&gt;=0,Sync!$AF112&lt;1),RIGHT("00"&amp;HOUR(Sync!$AF112),2)&amp;RIGHT("00"&amp;MINUTE(Sync!$AF112),2),IFERROR(RIGHT("00"&amp;VALUE(LEFT(Sync!$AF112,FIND(":",Sync!$AF112)-1)),2)&amp;RIGHT("00"&amp;VALUE(MID(Sync!$AF112,FIND(":",Sync!$AF112)+1,2)),2),"0000"))))</f>
        <v/>
      </c>
    </row>
    <row r="113" spans="1:14" x14ac:dyDescent="0.2">
      <c r="A113" t="str">
        <f>IF(OR(Calc!$E117="",Calc!$E117="نامعتبر",Calc!$G117=""),"",Calc!$G117)</f>
        <v/>
      </c>
      <c r="B113" t="str">
        <f>IF($A113="","",LEFT(Calc!$E117,4)&amp;MID(Calc!$E117,6,2)&amp;RIGHT(Calc!$E117,2)&amp;Calc!$Q117&amp;"|"&amp;"1"&amp;RIGHT("00000"&amp;108,5))</f>
        <v/>
      </c>
      <c r="C113" t="str">
        <f t="shared" si="5"/>
        <v/>
      </c>
      <c r="D113" t="str">
        <f t="shared" si="6"/>
        <v/>
      </c>
      <c r="F113" t="str">
        <f>IF(Sync!$AH113="","",IF(LEFT(UPPER(TRIM(Sync!$AH113)),2)="SL",UPPER(TRIM(Sync!$AH113)),""))</f>
        <v/>
      </c>
      <c r="G113" t="str">
        <f>IF($F113="","",IF(Sync!$AE113="","",IF(ISNUMBER(Sync!$AE113),IF(AND(Sync!$AE113&gt;=10000101,Sync!$AE113&lt;=99991231),INT(Sync!$AE113/10000),""),IFERROR(VALUE(TRIM(LEFT(Sync!$AE113,FIND("/",Sync!$AE113)-1))),""))))</f>
        <v/>
      </c>
      <c r="H113" t="str">
        <f>IF(OR($F113="",$G113=""),"",IF(ISNUMBER(Sync!$AE113),INT(MOD(Sync!$AE113,10000)/100),IFERROR(VALUE(TRIM(LEFT(MID(Sync!$AE113,FIND("/",Sync!$AE113)+1,20),FIND("/",MID(Sync!$AE113,FIND("/",Sync!$AE113)+1,20))-1))),"")))</f>
        <v/>
      </c>
      <c r="I113" t="str">
        <f>IF(OR($F113="",$G113=""),"",IF(ISNUMBER(Sync!$AE113),MOD(Sync!$AE113,100),IFERROR(VALUE(TRIM(MID(MID(Sync!$AE113,FIND("/",Sync!$AE113)+1,20),FIND("/",MID(Sync!$AE113,FIND("/",Sync!$AE113)+1,20))+1,20))),"")))</f>
        <v/>
      </c>
      <c r="J113" t="str">
        <f t="shared" si="7"/>
        <v/>
      </c>
      <c r="K113" t="str">
        <f>IF(OR($F113="",$J113="",$J113="نامعتبر"),"",LEFT($J113,4)&amp;MID($J113,6,2)&amp;RIGHT($J113,2)&amp;$N113&amp;"|"&amp;"2"&amp;RIGHT("00000"&amp;108,5))</f>
        <v/>
      </c>
      <c r="L113" t="str">
        <f t="shared" si="8"/>
        <v/>
      </c>
      <c r="M113" t="str">
        <f t="shared" si="9"/>
        <v/>
      </c>
      <c r="N113" t="str">
        <f>IF($F113="","",IF(Sync!$AF113="","0000",IF(AND(ISNUMBER(Sync!$AF113),Sync!$AF113&gt;=0,Sync!$AF113&lt;1),RIGHT("00"&amp;HOUR(Sync!$AF113),2)&amp;RIGHT("00"&amp;MINUTE(Sync!$AF113),2),IFERROR(RIGHT("00"&amp;VALUE(LEFT(Sync!$AF113,FIND(":",Sync!$AF113)-1)),2)&amp;RIGHT("00"&amp;VALUE(MID(Sync!$AF113,FIND(":",Sync!$AF113)+1,2)),2),"0000"))))</f>
        <v/>
      </c>
    </row>
    <row r="114" spans="1:14" x14ac:dyDescent="0.2">
      <c r="A114" t="str">
        <f>IF(OR(Calc!$E118="",Calc!$E118="نامعتبر",Calc!$G118=""),"",Calc!$G118)</f>
        <v/>
      </c>
      <c r="B114" t="str">
        <f>IF($A114="","",LEFT(Calc!$E118,4)&amp;MID(Calc!$E118,6,2)&amp;RIGHT(Calc!$E118,2)&amp;Calc!$Q118&amp;"|"&amp;"1"&amp;RIGHT("00000"&amp;109,5))</f>
        <v/>
      </c>
      <c r="C114" t="str">
        <f t="shared" si="5"/>
        <v/>
      </c>
      <c r="D114" t="str">
        <f t="shared" si="6"/>
        <v/>
      </c>
      <c r="F114" t="str">
        <f>IF(Sync!$AH114="","",IF(LEFT(UPPER(TRIM(Sync!$AH114)),2)="SL",UPPER(TRIM(Sync!$AH114)),""))</f>
        <v/>
      </c>
      <c r="G114" t="str">
        <f>IF($F114="","",IF(Sync!$AE114="","",IF(ISNUMBER(Sync!$AE114),IF(AND(Sync!$AE114&gt;=10000101,Sync!$AE114&lt;=99991231),INT(Sync!$AE114/10000),""),IFERROR(VALUE(TRIM(LEFT(Sync!$AE114,FIND("/",Sync!$AE114)-1))),""))))</f>
        <v/>
      </c>
      <c r="H114" t="str">
        <f>IF(OR($F114="",$G114=""),"",IF(ISNUMBER(Sync!$AE114),INT(MOD(Sync!$AE114,10000)/100),IFERROR(VALUE(TRIM(LEFT(MID(Sync!$AE114,FIND("/",Sync!$AE114)+1,20),FIND("/",MID(Sync!$AE114,FIND("/",Sync!$AE114)+1,20))-1))),"")))</f>
        <v/>
      </c>
      <c r="I114" t="str">
        <f>IF(OR($F114="",$G114=""),"",IF(ISNUMBER(Sync!$AE114),MOD(Sync!$AE114,100),IFERROR(VALUE(TRIM(MID(MID(Sync!$AE114,FIND("/",Sync!$AE114)+1,20),FIND("/",MID(Sync!$AE114,FIND("/",Sync!$AE114)+1,20))+1,20))),"")))</f>
        <v/>
      </c>
      <c r="J114" t="str">
        <f t="shared" si="7"/>
        <v/>
      </c>
      <c r="K114" t="str">
        <f>IF(OR($F114="",$J114="",$J114="نامعتبر"),"",LEFT($J114,4)&amp;MID($J114,6,2)&amp;RIGHT($J114,2)&amp;$N114&amp;"|"&amp;"2"&amp;RIGHT("00000"&amp;109,5))</f>
        <v/>
      </c>
      <c r="L114" t="str">
        <f t="shared" si="8"/>
        <v/>
      </c>
      <c r="M114" t="str">
        <f t="shared" si="9"/>
        <v/>
      </c>
      <c r="N114" t="str">
        <f>IF($F114="","",IF(Sync!$AF114="","0000",IF(AND(ISNUMBER(Sync!$AF114),Sync!$AF114&gt;=0,Sync!$AF114&lt;1),RIGHT("00"&amp;HOUR(Sync!$AF114),2)&amp;RIGHT("00"&amp;MINUTE(Sync!$AF114),2),IFERROR(RIGHT("00"&amp;VALUE(LEFT(Sync!$AF114,FIND(":",Sync!$AF114)-1)),2)&amp;RIGHT("00"&amp;VALUE(MID(Sync!$AF114,FIND(":",Sync!$AF114)+1,2)),2),"0000"))))</f>
        <v/>
      </c>
    </row>
    <row r="115" spans="1:14" x14ac:dyDescent="0.2">
      <c r="A115" t="str">
        <f>IF(OR(Calc!$E119="",Calc!$E119="نامعتبر",Calc!$G119=""),"",Calc!$G119)</f>
        <v/>
      </c>
      <c r="B115" t="str">
        <f>IF($A115="","",LEFT(Calc!$E119,4)&amp;MID(Calc!$E119,6,2)&amp;RIGHT(Calc!$E119,2)&amp;Calc!$Q119&amp;"|"&amp;"1"&amp;RIGHT("00000"&amp;110,5))</f>
        <v/>
      </c>
      <c r="C115" t="str">
        <f t="shared" si="5"/>
        <v/>
      </c>
      <c r="D115" t="str">
        <f t="shared" si="6"/>
        <v/>
      </c>
      <c r="F115" t="str">
        <f>IF(Sync!$AH115="","",IF(LEFT(UPPER(TRIM(Sync!$AH115)),2)="SL",UPPER(TRIM(Sync!$AH115)),""))</f>
        <v/>
      </c>
      <c r="G115" t="str">
        <f>IF($F115="","",IF(Sync!$AE115="","",IF(ISNUMBER(Sync!$AE115),IF(AND(Sync!$AE115&gt;=10000101,Sync!$AE115&lt;=99991231),INT(Sync!$AE115/10000),""),IFERROR(VALUE(TRIM(LEFT(Sync!$AE115,FIND("/",Sync!$AE115)-1))),""))))</f>
        <v/>
      </c>
      <c r="H115" t="str">
        <f>IF(OR($F115="",$G115=""),"",IF(ISNUMBER(Sync!$AE115),INT(MOD(Sync!$AE115,10000)/100),IFERROR(VALUE(TRIM(LEFT(MID(Sync!$AE115,FIND("/",Sync!$AE115)+1,20),FIND("/",MID(Sync!$AE115,FIND("/",Sync!$AE115)+1,20))-1))),"")))</f>
        <v/>
      </c>
      <c r="I115" t="str">
        <f>IF(OR($F115="",$G115=""),"",IF(ISNUMBER(Sync!$AE115),MOD(Sync!$AE115,100),IFERROR(VALUE(TRIM(MID(MID(Sync!$AE115,FIND("/",Sync!$AE115)+1,20),FIND("/",MID(Sync!$AE115,FIND("/",Sync!$AE115)+1,20))+1,20))),"")))</f>
        <v/>
      </c>
      <c r="J115" t="str">
        <f t="shared" si="7"/>
        <v/>
      </c>
      <c r="K115" t="str">
        <f>IF(OR($F115="",$J115="",$J115="نامعتبر"),"",LEFT($J115,4)&amp;MID($J115,6,2)&amp;RIGHT($J115,2)&amp;$N115&amp;"|"&amp;"2"&amp;RIGHT("00000"&amp;110,5))</f>
        <v/>
      </c>
      <c r="L115" t="str">
        <f t="shared" si="8"/>
        <v/>
      </c>
      <c r="M115" t="str">
        <f t="shared" si="9"/>
        <v/>
      </c>
      <c r="N115" t="str">
        <f>IF($F115="","",IF(Sync!$AF115="","0000",IF(AND(ISNUMBER(Sync!$AF115),Sync!$AF115&gt;=0,Sync!$AF115&lt;1),RIGHT("00"&amp;HOUR(Sync!$AF115),2)&amp;RIGHT("00"&amp;MINUTE(Sync!$AF115),2),IFERROR(RIGHT("00"&amp;VALUE(LEFT(Sync!$AF115,FIND(":",Sync!$AF115)-1)),2)&amp;RIGHT("00"&amp;VALUE(MID(Sync!$AF115,FIND(":",Sync!$AF115)+1,2)),2),"0000"))))</f>
        <v/>
      </c>
    </row>
    <row r="116" spans="1:14" x14ac:dyDescent="0.2">
      <c r="A116" t="str">
        <f>IF(OR(Calc!$E120="",Calc!$E120="نامعتبر",Calc!$G120=""),"",Calc!$G120)</f>
        <v/>
      </c>
      <c r="B116" t="str">
        <f>IF($A116="","",LEFT(Calc!$E120,4)&amp;MID(Calc!$E120,6,2)&amp;RIGHT(Calc!$E120,2)&amp;Calc!$Q120&amp;"|"&amp;"1"&amp;RIGHT("00000"&amp;111,5))</f>
        <v/>
      </c>
      <c r="C116" t="str">
        <f t="shared" si="5"/>
        <v/>
      </c>
      <c r="D116" t="str">
        <f t="shared" si="6"/>
        <v/>
      </c>
      <c r="F116" t="str">
        <f>IF(Sync!$AH116="","",IF(LEFT(UPPER(TRIM(Sync!$AH116)),2)="SL",UPPER(TRIM(Sync!$AH116)),""))</f>
        <v/>
      </c>
      <c r="G116" t="str">
        <f>IF($F116="","",IF(Sync!$AE116="","",IF(ISNUMBER(Sync!$AE116),IF(AND(Sync!$AE116&gt;=10000101,Sync!$AE116&lt;=99991231),INT(Sync!$AE116/10000),""),IFERROR(VALUE(TRIM(LEFT(Sync!$AE116,FIND("/",Sync!$AE116)-1))),""))))</f>
        <v/>
      </c>
      <c r="H116" t="str">
        <f>IF(OR($F116="",$G116=""),"",IF(ISNUMBER(Sync!$AE116),INT(MOD(Sync!$AE116,10000)/100),IFERROR(VALUE(TRIM(LEFT(MID(Sync!$AE116,FIND("/",Sync!$AE116)+1,20),FIND("/",MID(Sync!$AE116,FIND("/",Sync!$AE116)+1,20))-1))),"")))</f>
        <v/>
      </c>
      <c r="I116" t="str">
        <f>IF(OR($F116="",$G116=""),"",IF(ISNUMBER(Sync!$AE116),MOD(Sync!$AE116,100),IFERROR(VALUE(TRIM(MID(MID(Sync!$AE116,FIND("/",Sync!$AE116)+1,20),FIND("/",MID(Sync!$AE116,FIND("/",Sync!$AE116)+1,20))+1,20))),"")))</f>
        <v/>
      </c>
      <c r="J116" t="str">
        <f t="shared" si="7"/>
        <v/>
      </c>
      <c r="K116" t="str">
        <f>IF(OR($F116="",$J116="",$J116="نامعتبر"),"",LEFT($J116,4)&amp;MID($J116,6,2)&amp;RIGHT($J116,2)&amp;$N116&amp;"|"&amp;"2"&amp;RIGHT("00000"&amp;111,5))</f>
        <v/>
      </c>
      <c r="L116" t="str">
        <f t="shared" si="8"/>
        <v/>
      </c>
      <c r="M116" t="str">
        <f t="shared" si="9"/>
        <v/>
      </c>
      <c r="N116" t="str">
        <f>IF($F116="","",IF(Sync!$AF116="","0000",IF(AND(ISNUMBER(Sync!$AF116),Sync!$AF116&gt;=0,Sync!$AF116&lt;1),RIGHT("00"&amp;HOUR(Sync!$AF116),2)&amp;RIGHT("00"&amp;MINUTE(Sync!$AF116),2),IFERROR(RIGHT("00"&amp;VALUE(LEFT(Sync!$AF116,FIND(":",Sync!$AF116)-1)),2)&amp;RIGHT("00"&amp;VALUE(MID(Sync!$AF116,FIND(":",Sync!$AF116)+1,2)),2),"0000"))))</f>
        <v/>
      </c>
    </row>
    <row r="117" spans="1:14" x14ac:dyDescent="0.2">
      <c r="A117" t="str">
        <f>IF(OR(Calc!$E121="",Calc!$E121="نامعتبر",Calc!$G121=""),"",Calc!$G121)</f>
        <v/>
      </c>
      <c r="B117" t="str">
        <f>IF($A117="","",LEFT(Calc!$E121,4)&amp;MID(Calc!$E121,6,2)&amp;RIGHT(Calc!$E121,2)&amp;Calc!$Q121&amp;"|"&amp;"1"&amp;RIGHT("00000"&amp;112,5))</f>
        <v/>
      </c>
      <c r="C117" t="str">
        <f t="shared" si="5"/>
        <v/>
      </c>
      <c r="D117" t="str">
        <f t="shared" si="6"/>
        <v/>
      </c>
      <c r="F117" t="str">
        <f>IF(Sync!$AH117="","",IF(LEFT(UPPER(TRIM(Sync!$AH117)),2)="SL",UPPER(TRIM(Sync!$AH117)),""))</f>
        <v/>
      </c>
      <c r="G117" t="str">
        <f>IF($F117="","",IF(Sync!$AE117="","",IF(ISNUMBER(Sync!$AE117),IF(AND(Sync!$AE117&gt;=10000101,Sync!$AE117&lt;=99991231),INT(Sync!$AE117/10000),""),IFERROR(VALUE(TRIM(LEFT(Sync!$AE117,FIND("/",Sync!$AE117)-1))),""))))</f>
        <v/>
      </c>
      <c r="H117" t="str">
        <f>IF(OR($F117="",$G117=""),"",IF(ISNUMBER(Sync!$AE117),INT(MOD(Sync!$AE117,10000)/100),IFERROR(VALUE(TRIM(LEFT(MID(Sync!$AE117,FIND("/",Sync!$AE117)+1,20),FIND("/",MID(Sync!$AE117,FIND("/",Sync!$AE117)+1,20))-1))),"")))</f>
        <v/>
      </c>
      <c r="I117" t="str">
        <f>IF(OR($F117="",$G117=""),"",IF(ISNUMBER(Sync!$AE117),MOD(Sync!$AE117,100),IFERROR(VALUE(TRIM(MID(MID(Sync!$AE117,FIND("/",Sync!$AE117)+1,20),FIND("/",MID(Sync!$AE117,FIND("/",Sync!$AE117)+1,20))+1,20))),"")))</f>
        <v/>
      </c>
      <c r="J117" t="str">
        <f t="shared" si="7"/>
        <v/>
      </c>
      <c r="K117" t="str">
        <f>IF(OR($F117="",$J117="",$J117="نامعتبر"),"",LEFT($J117,4)&amp;MID($J117,6,2)&amp;RIGHT($J117,2)&amp;$N117&amp;"|"&amp;"2"&amp;RIGHT("00000"&amp;112,5))</f>
        <v/>
      </c>
      <c r="L117" t="str">
        <f t="shared" si="8"/>
        <v/>
      </c>
      <c r="M117" t="str">
        <f t="shared" si="9"/>
        <v/>
      </c>
      <c r="N117" t="str">
        <f>IF($F117="","",IF(Sync!$AF117="","0000",IF(AND(ISNUMBER(Sync!$AF117),Sync!$AF117&gt;=0,Sync!$AF117&lt;1),RIGHT("00"&amp;HOUR(Sync!$AF117),2)&amp;RIGHT("00"&amp;MINUTE(Sync!$AF117),2),IFERROR(RIGHT("00"&amp;VALUE(LEFT(Sync!$AF117,FIND(":",Sync!$AF117)-1)),2)&amp;RIGHT("00"&amp;VALUE(MID(Sync!$AF117,FIND(":",Sync!$AF117)+1,2)),2),"0000"))))</f>
        <v/>
      </c>
    </row>
    <row r="118" spans="1:14" x14ac:dyDescent="0.2">
      <c r="A118" t="str">
        <f>IF(OR(Calc!$E122="",Calc!$E122="نامعتبر",Calc!$G122=""),"",Calc!$G122)</f>
        <v/>
      </c>
      <c r="B118" t="str">
        <f>IF($A118="","",LEFT(Calc!$E122,4)&amp;MID(Calc!$E122,6,2)&amp;RIGHT(Calc!$E122,2)&amp;Calc!$Q122&amp;"|"&amp;"1"&amp;RIGHT("00000"&amp;113,5))</f>
        <v/>
      </c>
      <c r="C118" t="str">
        <f t="shared" si="5"/>
        <v/>
      </c>
      <c r="D118" t="str">
        <f t="shared" si="6"/>
        <v/>
      </c>
      <c r="F118" t="str">
        <f>IF(Sync!$AH118="","",IF(LEFT(UPPER(TRIM(Sync!$AH118)),2)="SL",UPPER(TRIM(Sync!$AH118)),""))</f>
        <v/>
      </c>
      <c r="G118" t="str">
        <f>IF($F118="","",IF(Sync!$AE118="","",IF(ISNUMBER(Sync!$AE118),IF(AND(Sync!$AE118&gt;=10000101,Sync!$AE118&lt;=99991231),INT(Sync!$AE118/10000),""),IFERROR(VALUE(TRIM(LEFT(Sync!$AE118,FIND("/",Sync!$AE118)-1))),""))))</f>
        <v/>
      </c>
      <c r="H118" t="str">
        <f>IF(OR($F118="",$G118=""),"",IF(ISNUMBER(Sync!$AE118),INT(MOD(Sync!$AE118,10000)/100),IFERROR(VALUE(TRIM(LEFT(MID(Sync!$AE118,FIND("/",Sync!$AE118)+1,20),FIND("/",MID(Sync!$AE118,FIND("/",Sync!$AE118)+1,20))-1))),"")))</f>
        <v/>
      </c>
      <c r="I118" t="str">
        <f>IF(OR($F118="",$G118=""),"",IF(ISNUMBER(Sync!$AE118),MOD(Sync!$AE118,100),IFERROR(VALUE(TRIM(MID(MID(Sync!$AE118,FIND("/",Sync!$AE118)+1,20),FIND("/",MID(Sync!$AE118,FIND("/",Sync!$AE118)+1,20))+1,20))),"")))</f>
        <v/>
      </c>
      <c r="J118" t="str">
        <f t="shared" si="7"/>
        <v/>
      </c>
      <c r="K118" t="str">
        <f>IF(OR($F118="",$J118="",$J118="نامعتبر"),"",LEFT($J118,4)&amp;MID($J118,6,2)&amp;RIGHT($J118,2)&amp;$N118&amp;"|"&amp;"2"&amp;RIGHT("00000"&amp;113,5))</f>
        <v/>
      </c>
      <c r="L118" t="str">
        <f t="shared" si="8"/>
        <v/>
      </c>
      <c r="M118" t="str">
        <f t="shared" si="9"/>
        <v/>
      </c>
      <c r="N118" t="str">
        <f>IF($F118="","",IF(Sync!$AF118="","0000",IF(AND(ISNUMBER(Sync!$AF118),Sync!$AF118&gt;=0,Sync!$AF118&lt;1),RIGHT("00"&amp;HOUR(Sync!$AF118),2)&amp;RIGHT("00"&amp;MINUTE(Sync!$AF118),2),IFERROR(RIGHT("00"&amp;VALUE(LEFT(Sync!$AF118,FIND(":",Sync!$AF118)-1)),2)&amp;RIGHT("00"&amp;VALUE(MID(Sync!$AF118,FIND(":",Sync!$AF118)+1,2)),2),"0000"))))</f>
        <v/>
      </c>
    </row>
    <row r="119" spans="1:14" x14ac:dyDescent="0.2">
      <c r="A119" t="str">
        <f>IF(OR(Calc!$E123="",Calc!$E123="نامعتبر",Calc!$G123=""),"",Calc!$G123)</f>
        <v>SL003</v>
      </c>
      <c r="B119" t="str">
        <f>IF($A119="","",LEFT(Calc!$E123,4)&amp;MID(Calc!$E123,6,2)&amp;RIGHT(Calc!$E123,2)&amp;Calc!$Q123&amp;"|"&amp;"1"&amp;RIGHT("00000"&amp;114,5))</f>
        <v>140507220000|100114</v>
      </c>
      <c r="C119">
        <f t="shared" si="5"/>
        <v>6</v>
      </c>
      <c r="D119" t="str">
        <f t="shared" si="6"/>
        <v>SL003|000006</v>
      </c>
      <c r="F119" t="str">
        <f>IF(Sync!$AH119="","",IF(LEFT(UPPER(TRIM(Sync!$AH119)),2)="SL",UPPER(TRIM(Sync!$AH119)),""))</f>
        <v/>
      </c>
      <c r="G119" t="str">
        <f>IF($F119="","",IF(Sync!$AE119="","",IF(ISNUMBER(Sync!$AE119),IF(AND(Sync!$AE119&gt;=10000101,Sync!$AE119&lt;=99991231),INT(Sync!$AE119/10000),""),IFERROR(VALUE(TRIM(LEFT(Sync!$AE119,FIND("/",Sync!$AE119)-1))),""))))</f>
        <v/>
      </c>
      <c r="H119" t="str">
        <f>IF(OR($F119="",$G119=""),"",IF(ISNUMBER(Sync!$AE119),INT(MOD(Sync!$AE119,10000)/100),IFERROR(VALUE(TRIM(LEFT(MID(Sync!$AE119,FIND("/",Sync!$AE119)+1,20),FIND("/",MID(Sync!$AE119,FIND("/",Sync!$AE119)+1,20))-1))),"")))</f>
        <v/>
      </c>
      <c r="I119" t="str">
        <f>IF(OR($F119="",$G119=""),"",IF(ISNUMBER(Sync!$AE119),MOD(Sync!$AE119,100),IFERROR(VALUE(TRIM(MID(MID(Sync!$AE119,FIND("/",Sync!$AE119)+1,20),FIND("/",MID(Sync!$AE119,FIND("/",Sync!$AE119)+1,20))+1,20))),"")))</f>
        <v/>
      </c>
      <c r="J119" t="str">
        <f t="shared" si="7"/>
        <v/>
      </c>
      <c r="K119" t="str">
        <f>IF(OR($F119="",$J119="",$J119="نامعتبر"),"",LEFT($J119,4)&amp;MID($J119,6,2)&amp;RIGHT($J119,2)&amp;$N119&amp;"|"&amp;"2"&amp;RIGHT("00000"&amp;114,5))</f>
        <v/>
      </c>
      <c r="L119" t="str">
        <f t="shared" si="8"/>
        <v/>
      </c>
      <c r="M119" t="str">
        <f t="shared" si="9"/>
        <v/>
      </c>
      <c r="N119" t="str">
        <f>IF($F119="","",IF(Sync!$AF119="","0000",IF(AND(ISNUMBER(Sync!$AF119),Sync!$AF119&gt;=0,Sync!$AF119&lt;1),RIGHT("00"&amp;HOUR(Sync!$AF119),2)&amp;RIGHT("00"&amp;MINUTE(Sync!$AF119),2),IFERROR(RIGHT("00"&amp;VALUE(LEFT(Sync!$AF119,FIND(":",Sync!$AF119)-1)),2)&amp;RIGHT("00"&amp;VALUE(MID(Sync!$AF119,FIND(":",Sync!$AF119)+1,2)),2),"0000"))))</f>
        <v/>
      </c>
    </row>
    <row r="120" spans="1:14" x14ac:dyDescent="0.2">
      <c r="A120" t="str">
        <f>IF(OR(Calc!$E124="",Calc!$E124="نامعتبر",Calc!$G124=""),"",Calc!$G124)</f>
        <v/>
      </c>
      <c r="B120" t="str">
        <f>IF($A120="","",LEFT(Calc!$E124,4)&amp;MID(Calc!$E124,6,2)&amp;RIGHT(Calc!$E124,2)&amp;Calc!$Q124&amp;"|"&amp;"1"&amp;RIGHT("00000"&amp;115,5))</f>
        <v/>
      </c>
      <c r="C120" t="str">
        <f t="shared" si="5"/>
        <v/>
      </c>
      <c r="D120" t="str">
        <f t="shared" si="6"/>
        <v/>
      </c>
      <c r="F120" t="str">
        <f>IF(Sync!$AH120="","",IF(LEFT(UPPER(TRIM(Sync!$AH120)),2)="SL",UPPER(TRIM(Sync!$AH120)),""))</f>
        <v/>
      </c>
      <c r="G120" t="str">
        <f>IF($F120="","",IF(Sync!$AE120="","",IF(ISNUMBER(Sync!$AE120),IF(AND(Sync!$AE120&gt;=10000101,Sync!$AE120&lt;=99991231),INT(Sync!$AE120/10000),""),IFERROR(VALUE(TRIM(LEFT(Sync!$AE120,FIND("/",Sync!$AE120)-1))),""))))</f>
        <v/>
      </c>
      <c r="H120" t="str">
        <f>IF(OR($F120="",$G120=""),"",IF(ISNUMBER(Sync!$AE120),INT(MOD(Sync!$AE120,10000)/100),IFERROR(VALUE(TRIM(LEFT(MID(Sync!$AE120,FIND("/",Sync!$AE120)+1,20),FIND("/",MID(Sync!$AE120,FIND("/",Sync!$AE120)+1,20))-1))),"")))</f>
        <v/>
      </c>
      <c r="I120" t="str">
        <f>IF(OR($F120="",$G120=""),"",IF(ISNUMBER(Sync!$AE120),MOD(Sync!$AE120,100),IFERROR(VALUE(TRIM(MID(MID(Sync!$AE120,FIND("/",Sync!$AE120)+1,20),FIND("/",MID(Sync!$AE120,FIND("/",Sync!$AE120)+1,20))+1,20))),"")))</f>
        <v/>
      </c>
      <c r="J120" t="str">
        <f t="shared" si="7"/>
        <v/>
      </c>
      <c r="K120" t="str">
        <f>IF(OR($F120="",$J120="",$J120="نامعتبر"),"",LEFT($J120,4)&amp;MID($J120,6,2)&amp;RIGHT($J120,2)&amp;$N120&amp;"|"&amp;"2"&amp;RIGHT("00000"&amp;115,5))</f>
        <v/>
      </c>
      <c r="L120" t="str">
        <f t="shared" si="8"/>
        <v/>
      </c>
      <c r="M120" t="str">
        <f t="shared" si="9"/>
        <v/>
      </c>
      <c r="N120" t="str">
        <f>IF($F120="","",IF(Sync!$AF120="","0000",IF(AND(ISNUMBER(Sync!$AF120),Sync!$AF120&gt;=0,Sync!$AF120&lt;1),RIGHT("00"&amp;HOUR(Sync!$AF120),2)&amp;RIGHT("00"&amp;MINUTE(Sync!$AF120),2),IFERROR(RIGHT("00"&amp;VALUE(LEFT(Sync!$AF120,FIND(":",Sync!$AF120)-1)),2)&amp;RIGHT("00"&amp;VALUE(MID(Sync!$AF120,FIND(":",Sync!$AF120)+1,2)),2),"0000"))))</f>
        <v/>
      </c>
    </row>
    <row r="121" spans="1:14" x14ac:dyDescent="0.2">
      <c r="A121" t="str">
        <f>IF(OR(Calc!$E125="",Calc!$E125="نامعتبر",Calc!$G125=""),"",Calc!$G125)</f>
        <v/>
      </c>
      <c r="B121" t="str">
        <f>IF($A121="","",LEFT(Calc!$E125,4)&amp;MID(Calc!$E125,6,2)&amp;RIGHT(Calc!$E125,2)&amp;Calc!$Q125&amp;"|"&amp;"1"&amp;RIGHT("00000"&amp;116,5))</f>
        <v/>
      </c>
      <c r="C121" t="str">
        <f t="shared" si="5"/>
        <v/>
      </c>
      <c r="D121" t="str">
        <f t="shared" si="6"/>
        <v/>
      </c>
      <c r="F121" t="str">
        <f>IF(Sync!$AH121="","",IF(LEFT(UPPER(TRIM(Sync!$AH121)),2)="SL",UPPER(TRIM(Sync!$AH121)),""))</f>
        <v/>
      </c>
      <c r="G121" t="str">
        <f>IF($F121="","",IF(Sync!$AE121="","",IF(ISNUMBER(Sync!$AE121),IF(AND(Sync!$AE121&gt;=10000101,Sync!$AE121&lt;=99991231),INT(Sync!$AE121/10000),""),IFERROR(VALUE(TRIM(LEFT(Sync!$AE121,FIND("/",Sync!$AE121)-1))),""))))</f>
        <v/>
      </c>
      <c r="H121" t="str">
        <f>IF(OR($F121="",$G121=""),"",IF(ISNUMBER(Sync!$AE121),INT(MOD(Sync!$AE121,10000)/100),IFERROR(VALUE(TRIM(LEFT(MID(Sync!$AE121,FIND("/",Sync!$AE121)+1,20),FIND("/",MID(Sync!$AE121,FIND("/",Sync!$AE121)+1,20))-1))),"")))</f>
        <v/>
      </c>
      <c r="I121" t="str">
        <f>IF(OR($F121="",$G121=""),"",IF(ISNUMBER(Sync!$AE121),MOD(Sync!$AE121,100),IFERROR(VALUE(TRIM(MID(MID(Sync!$AE121,FIND("/",Sync!$AE121)+1,20),FIND("/",MID(Sync!$AE121,FIND("/",Sync!$AE121)+1,20))+1,20))),"")))</f>
        <v/>
      </c>
      <c r="J121" t="str">
        <f t="shared" si="7"/>
        <v/>
      </c>
      <c r="K121" t="str">
        <f>IF(OR($F121="",$J121="",$J121="نامعتبر"),"",LEFT($J121,4)&amp;MID($J121,6,2)&amp;RIGHT($J121,2)&amp;$N121&amp;"|"&amp;"2"&amp;RIGHT("00000"&amp;116,5))</f>
        <v/>
      </c>
      <c r="L121" t="str">
        <f t="shared" si="8"/>
        <v/>
      </c>
      <c r="M121" t="str">
        <f t="shared" si="9"/>
        <v/>
      </c>
      <c r="N121" t="str">
        <f>IF($F121="","",IF(Sync!$AF121="","0000",IF(AND(ISNUMBER(Sync!$AF121),Sync!$AF121&gt;=0,Sync!$AF121&lt;1),RIGHT("00"&amp;HOUR(Sync!$AF121),2)&amp;RIGHT("00"&amp;MINUTE(Sync!$AF121),2),IFERROR(RIGHT("00"&amp;VALUE(LEFT(Sync!$AF121,FIND(":",Sync!$AF121)-1)),2)&amp;RIGHT("00"&amp;VALUE(MID(Sync!$AF121,FIND(":",Sync!$AF121)+1,2)),2),"0000"))))</f>
        <v/>
      </c>
    </row>
    <row r="122" spans="1:14" x14ac:dyDescent="0.2">
      <c r="A122" t="str">
        <f>IF(OR(Calc!$E126="",Calc!$E126="نامعتبر",Calc!$G126=""),"",Calc!$G126)</f>
        <v/>
      </c>
      <c r="B122" t="str">
        <f>IF($A122="","",LEFT(Calc!$E126,4)&amp;MID(Calc!$E126,6,2)&amp;RIGHT(Calc!$E126,2)&amp;Calc!$Q126&amp;"|"&amp;"1"&amp;RIGHT("00000"&amp;117,5))</f>
        <v/>
      </c>
      <c r="C122" t="str">
        <f t="shared" si="5"/>
        <v/>
      </c>
      <c r="D122" t="str">
        <f t="shared" si="6"/>
        <v/>
      </c>
      <c r="F122" t="str">
        <f>IF(Sync!$AH122="","",IF(LEFT(UPPER(TRIM(Sync!$AH122)),2)="SL",UPPER(TRIM(Sync!$AH122)),""))</f>
        <v/>
      </c>
      <c r="G122" t="str">
        <f>IF($F122="","",IF(Sync!$AE122="","",IF(ISNUMBER(Sync!$AE122),IF(AND(Sync!$AE122&gt;=10000101,Sync!$AE122&lt;=99991231),INT(Sync!$AE122/10000),""),IFERROR(VALUE(TRIM(LEFT(Sync!$AE122,FIND("/",Sync!$AE122)-1))),""))))</f>
        <v/>
      </c>
      <c r="H122" t="str">
        <f>IF(OR($F122="",$G122=""),"",IF(ISNUMBER(Sync!$AE122),INT(MOD(Sync!$AE122,10000)/100),IFERROR(VALUE(TRIM(LEFT(MID(Sync!$AE122,FIND("/",Sync!$AE122)+1,20),FIND("/",MID(Sync!$AE122,FIND("/",Sync!$AE122)+1,20))-1))),"")))</f>
        <v/>
      </c>
      <c r="I122" t="str">
        <f>IF(OR($F122="",$G122=""),"",IF(ISNUMBER(Sync!$AE122),MOD(Sync!$AE122,100),IFERROR(VALUE(TRIM(MID(MID(Sync!$AE122,FIND("/",Sync!$AE122)+1,20),FIND("/",MID(Sync!$AE122,FIND("/",Sync!$AE122)+1,20))+1,20))),"")))</f>
        <v/>
      </c>
      <c r="J122" t="str">
        <f t="shared" si="7"/>
        <v/>
      </c>
      <c r="K122" t="str">
        <f>IF(OR($F122="",$J122="",$J122="نامعتبر"),"",LEFT($J122,4)&amp;MID($J122,6,2)&amp;RIGHT($J122,2)&amp;$N122&amp;"|"&amp;"2"&amp;RIGHT("00000"&amp;117,5))</f>
        <v/>
      </c>
      <c r="L122" t="str">
        <f t="shared" si="8"/>
        <v/>
      </c>
      <c r="M122" t="str">
        <f t="shared" si="9"/>
        <v/>
      </c>
      <c r="N122" t="str">
        <f>IF($F122="","",IF(Sync!$AF122="","0000",IF(AND(ISNUMBER(Sync!$AF122),Sync!$AF122&gt;=0,Sync!$AF122&lt;1),RIGHT("00"&amp;HOUR(Sync!$AF122),2)&amp;RIGHT("00"&amp;MINUTE(Sync!$AF122),2),IFERROR(RIGHT("00"&amp;VALUE(LEFT(Sync!$AF122,FIND(":",Sync!$AF122)-1)),2)&amp;RIGHT("00"&amp;VALUE(MID(Sync!$AF122,FIND(":",Sync!$AF122)+1,2)),2),"0000"))))</f>
        <v/>
      </c>
    </row>
    <row r="123" spans="1:14" x14ac:dyDescent="0.2">
      <c r="A123" t="str">
        <f>IF(OR(Calc!$E127="",Calc!$E127="نامعتبر",Calc!$G127=""),"",Calc!$G127)</f>
        <v>SL001</v>
      </c>
      <c r="B123" t="str">
        <f>IF($A123="","",LEFT(Calc!$E127,4)&amp;MID(Calc!$E127,6,2)&amp;RIGHT(Calc!$E127,2)&amp;Calc!$Q127&amp;"|"&amp;"1"&amp;RIGHT("00000"&amp;118,5))</f>
        <v>140507220000|100118</v>
      </c>
      <c r="C123">
        <f t="shared" si="5"/>
        <v>9</v>
      </c>
      <c r="D123" t="str">
        <f t="shared" si="6"/>
        <v>SL001|000009</v>
      </c>
      <c r="F123" t="str">
        <f>IF(Sync!$AH123="","",IF(LEFT(UPPER(TRIM(Sync!$AH123)),2)="SL",UPPER(TRIM(Sync!$AH123)),""))</f>
        <v/>
      </c>
      <c r="G123" t="str">
        <f>IF($F123="","",IF(Sync!$AE123="","",IF(ISNUMBER(Sync!$AE123),IF(AND(Sync!$AE123&gt;=10000101,Sync!$AE123&lt;=99991231),INT(Sync!$AE123/10000),""),IFERROR(VALUE(TRIM(LEFT(Sync!$AE123,FIND("/",Sync!$AE123)-1))),""))))</f>
        <v/>
      </c>
      <c r="H123" t="str">
        <f>IF(OR($F123="",$G123=""),"",IF(ISNUMBER(Sync!$AE123),INT(MOD(Sync!$AE123,10000)/100),IFERROR(VALUE(TRIM(LEFT(MID(Sync!$AE123,FIND("/",Sync!$AE123)+1,20),FIND("/",MID(Sync!$AE123,FIND("/",Sync!$AE123)+1,20))-1))),"")))</f>
        <v/>
      </c>
      <c r="I123" t="str">
        <f>IF(OR($F123="",$G123=""),"",IF(ISNUMBER(Sync!$AE123),MOD(Sync!$AE123,100),IFERROR(VALUE(TRIM(MID(MID(Sync!$AE123,FIND("/",Sync!$AE123)+1,20),FIND("/",MID(Sync!$AE123,FIND("/",Sync!$AE123)+1,20))+1,20))),"")))</f>
        <v/>
      </c>
      <c r="J123" t="str">
        <f t="shared" si="7"/>
        <v/>
      </c>
      <c r="K123" t="str">
        <f>IF(OR($F123="",$J123="",$J123="نامعتبر"),"",LEFT($J123,4)&amp;MID($J123,6,2)&amp;RIGHT($J123,2)&amp;$N123&amp;"|"&amp;"2"&amp;RIGHT("00000"&amp;118,5))</f>
        <v/>
      </c>
      <c r="L123" t="str">
        <f t="shared" si="8"/>
        <v/>
      </c>
      <c r="M123" t="str">
        <f t="shared" si="9"/>
        <v/>
      </c>
      <c r="N123" t="str">
        <f>IF($F123="","",IF(Sync!$AF123="","0000",IF(AND(ISNUMBER(Sync!$AF123),Sync!$AF123&gt;=0,Sync!$AF123&lt;1),RIGHT("00"&amp;HOUR(Sync!$AF123),2)&amp;RIGHT("00"&amp;MINUTE(Sync!$AF123),2),IFERROR(RIGHT("00"&amp;VALUE(LEFT(Sync!$AF123,FIND(":",Sync!$AF123)-1)),2)&amp;RIGHT("00"&amp;VALUE(MID(Sync!$AF123,FIND(":",Sync!$AF123)+1,2)),2),"0000"))))</f>
        <v/>
      </c>
    </row>
    <row r="124" spans="1:14" x14ac:dyDescent="0.2">
      <c r="A124" t="str">
        <f>IF(OR(Calc!$E128="",Calc!$E128="نامعتبر",Calc!$G128=""),"",Calc!$G128)</f>
        <v/>
      </c>
      <c r="B124" t="str">
        <f>IF($A124="","",LEFT(Calc!$E128,4)&amp;MID(Calc!$E128,6,2)&amp;RIGHT(Calc!$E128,2)&amp;Calc!$Q128&amp;"|"&amp;"1"&amp;RIGHT("00000"&amp;119,5))</f>
        <v/>
      </c>
      <c r="C124" t="str">
        <f t="shared" si="5"/>
        <v/>
      </c>
      <c r="D124" t="str">
        <f t="shared" si="6"/>
        <v/>
      </c>
      <c r="F124" t="str">
        <f>IF(Sync!$AH124="","",IF(LEFT(UPPER(TRIM(Sync!$AH124)),2)="SL",UPPER(TRIM(Sync!$AH124)),""))</f>
        <v/>
      </c>
      <c r="G124" t="str">
        <f>IF($F124="","",IF(Sync!$AE124="","",IF(ISNUMBER(Sync!$AE124),IF(AND(Sync!$AE124&gt;=10000101,Sync!$AE124&lt;=99991231),INT(Sync!$AE124/10000),""),IFERROR(VALUE(TRIM(LEFT(Sync!$AE124,FIND("/",Sync!$AE124)-1))),""))))</f>
        <v/>
      </c>
      <c r="H124" t="str">
        <f>IF(OR($F124="",$G124=""),"",IF(ISNUMBER(Sync!$AE124),INT(MOD(Sync!$AE124,10000)/100),IFERROR(VALUE(TRIM(LEFT(MID(Sync!$AE124,FIND("/",Sync!$AE124)+1,20),FIND("/",MID(Sync!$AE124,FIND("/",Sync!$AE124)+1,20))-1))),"")))</f>
        <v/>
      </c>
      <c r="I124" t="str">
        <f>IF(OR($F124="",$G124=""),"",IF(ISNUMBER(Sync!$AE124),MOD(Sync!$AE124,100),IFERROR(VALUE(TRIM(MID(MID(Sync!$AE124,FIND("/",Sync!$AE124)+1,20),FIND("/",MID(Sync!$AE124,FIND("/",Sync!$AE124)+1,20))+1,20))),"")))</f>
        <v/>
      </c>
      <c r="J124" t="str">
        <f t="shared" si="7"/>
        <v/>
      </c>
      <c r="K124" t="str">
        <f>IF(OR($F124="",$J124="",$J124="نامعتبر"),"",LEFT($J124,4)&amp;MID($J124,6,2)&amp;RIGHT($J124,2)&amp;$N124&amp;"|"&amp;"2"&amp;RIGHT("00000"&amp;119,5))</f>
        <v/>
      </c>
      <c r="L124" t="str">
        <f t="shared" si="8"/>
        <v/>
      </c>
      <c r="M124" t="str">
        <f t="shared" si="9"/>
        <v/>
      </c>
      <c r="N124" t="str">
        <f>IF($F124="","",IF(Sync!$AF124="","0000",IF(AND(ISNUMBER(Sync!$AF124),Sync!$AF124&gt;=0,Sync!$AF124&lt;1),RIGHT("00"&amp;HOUR(Sync!$AF124),2)&amp;RIGHT("00"&amp;MINUTE(Sync!$AF124),2),IFERROR(RIGHT("00"&amp;VALUE(LEFT(Sync!$AF124,FIND(":",Sync!$AF124)-1)),2)&amp;RIGHT("00"&amp;VALUE(MID(Sync!$AF124,FIND(":",Sync!$AF124)+1,2)),2),"0000"))))</f>
        <v/>
      </c>
    </row>
    <row r="125" spans="1:14" x14ac:dyDescent="0.2">
      <c r="A125" t="str">
        <f>IF(OR(Calc!$E129="",Calc!$E129="نامعتبر",Calc!$G129=""),"",Calc!$G129)</f>
        <v/>
      </c>
      <c r="B125" t="str">
        <f>IF($A125="","",LEFT(Calc!$E129,4)&amp;MID(Calc!$E129,6,2)&amp;RIGHT(Calc!$E129,2)&amp;Calc!$Q129&amp;"|"&amp;"1"&amp;RIGHT("00000"&amp;120,5))</f>
        <v/>
      </c>
      <c r="C125" t="str">
        <f t="shared" si="5"/>
        <v/>
      </c>
      <c r="D125" t="str">
        <f t="shared" si="6"/>
        <v/>
      </c>
      <c r="F125" t="str">
        <f>IF(Sync!$AH125="","",IF(LEFT(UPPER(TRIM(Sync!$AH125)),2)="SL",UPPER(TRIM(Sync!$AH125)),""))</f>
        <v/>
      </c>
      <c r="G125" t="str">
        <f>IF($F125="","",IF(Sync!$AE125="","",IF(ISNUMBER(Sync!$AE125),IF(AND(Sync!$AE125&gt;=10000101,Sync!$AE125&lt;=99991231),INT(Sync!$AE125/10000),""),IFERROR(VALUE(TRIM(LEFT(Sync!$AE125,FIND("/",Sync!$AE125)-1))),""))))</f>
        <v/>
      </c>
      <c r="H125" t="str">
        <f>IF(OR($F125="",$G125=""),"",IF(ISNUMBER(Sync!$AE125),INT(MOD(Sync!$AE125,10000)/100),IFERROR(VALUE(TRIM(LEFT(MID(Sync!$AE125,FIND("/",Sync!$AE125)+1,20),FIND("/",MID(Sync!$AE125,FIND("/",Sync!$AE125)+1,20))-1))),"")))</f>
        <v/>
      </c>
      <c r="I125" t="str">
        <f>IF(OR($F125="",$G125=""),"",IF(ISNUMBER(Sync!$AE125),MOD(Sync!$AE125,100),IFERROR(VALUE(TRIM(MID(MID(Sync!$AE125,FIND("/",Sync!$AE125)+1,20),FIND("/",MID(Sync!$AE125,FIND("/",Sync!$AE125)+1,20))+1,20))),"")))</f>
        <v/>
      </c>
      <c r="J125" t="str">
        <f t="shared" si="7"/>
        <v/>
      </c>
      <c r="K125" t="str">
        <f>IF(OR($F125="",$J125="",$J125="نامعتبر"),"",LEFT($J125,4)&amp;MID($J125,6,2)&amp;RIGHT($J125,2)&amp;$N125&amp;"|"&amp;"2"&amp;RIGHT("00000"&amp;120,5))</f>
        <v/>
      </c>
      <c r="L125" t="str">
        <f t="shared" si="8"/>
        <v/>
      </c>
      <c r="M125" t="str">
        <f t="shared" si="9"/>
        <v/>
      </c>
      <c r="N125" t="str">
        <f>IF($F125="","",IF(Sync!$AF125="","0000",IF(AND(ISNUMBER(Sync!$AF125),Sync!$AF125&gt;=0,Sync!$AF125&lt;1),RIGHT("00"&amp;HOUR(Sync!$AF125),2)&amp;RIGHT("00"&amp;MINUTE(Sync!$AF125),2),IFERROR(RIGHT("00"&amp;VALUE(LEFT(Sync!$AF125,FIND(":",Sync!$AF125)-1)),2)&amp;RIGHT("00"&amp;VALUE(MID(Sync!$AF125,FIND(":",Sync!$AF125)+1,2)),2),"0000"))))</f>
        <v/>
      </c>
    </row>
    <row r="126" spans="1:14" x14ac:dyDescent="0.2">
      <c r="A126" t="str">
        <f>IF(OR(Calc!$E130="",Calc!$E130="نامعتبر",Calc!$G130=""),"",Calc!$G130)</f>
        <v/>
      </c>
      <c r="B126" t="str">
        <f>IF($A126="","",LEFT(Calc!$E130,4)&amp;MID(Calc!$E130,6,2)&amp;RIGHT(Calc!$E130,2)&amp;Calc!$Q130&amp;"|"&amp;"1"&amp;RIGHT("00000"&amp;121,5))</f>
        <v/>
      </c>
      <c r="C126" t="str">
        <f t="shared" si="5"/>
        <v/>
      </c>
      <c r="D126" t="str">
        <f t="shared" si="6"/>
        <v/>
      </c>
      <c r="F126" t="str">
        <f>IF(Sync!$AH126="","",IF(LEFT(UPPER(TRIM(Sync!$AH126)),2)="SL",UPPER(TRIM(Sync!$AH126)),""))</f>
        <v/>
      </c>
      <c r="G126" t="str">
        <f>IF($F126="","",IF(Sync!$AE126="","",IF(ISNUMBER(Sync!$AE126),IF(AND(Sync!$AE126&gt;=10000101,Sync!$AE126&lt;=99991231),INT(Sync!$AE126/10000),""),IFERROR(VALUE(TRIM(LEFT(Sync!$AE126,FIND("/",Sync!$AE126)-1))),""))))</f>
        <v/>
      </c>
      <c r="H126" t="str">
        <f>IF(OR($F126="",$G126=""),"",IF(ISNUMBER(Sync!$AE126),INT(MOD(Sync!$AE126,10000)/100),IFERROR(VALUE(TRIM(LEFT(MID(Sync!$AE126,FIND("/",Sync!$AE126)+1,20),FIND("/",MID(Sync!$AE126,FIND("/",Sync!$AE126)+1,20))-1))),"")))</f>
        <v/>
      </c>
      <c r="I126" t="str">
        <f>IF(OR($F126="",$G126=""),"",IF(ISNUMBER(Sync!$AE126),MOD(Sync!$AE126,100),IFERROR(VALUE(TRIM(MID(MID(Sync!$AE126,FIND("/",Sync!$AE126)+1,20),FIND("/",MID(Sync!$AE126,FIND("/",Sync!$AE126)+1,20))+1,20))),"")))</f>
        <v/>
      </c>
      <c r="J126" t="str">
        <f t="shared" si="7"/>
        <v/>
      </c>
      <c r="K126" t="str">
        <f>IF(OR($F126="",$J126="",$J126="نامعتبر"),"",LEFT($J126,4)&amp;MID($J126,6,2)&amp;RIGHT($J126,2)&amp;$N126&amp;"|"&amp;"2"&amp;RIGHT("00000"&amp;121,5))</f>
        <v/>
      </c>
      <c r="L126" t="str">
        <f t="shared" si="8"/>
        <v/>
      </c>
      <c r="M126" t="str">
        <f t="shared" si="9"/>
        <v/>
      </c>
      <c r="N126" t="str">
        <f>IF($F126="","",IF(Sync!$AF126="","0000",IF(AND(ISNUMBER(Sync!$AF126),Sync!$AF126&gt;=0,Sync!$AF126&lt;1),RIGHT("00"&amp;HOUR(Sync!$AF126),2)&amp;RIGHT("00"&amp;MINUTE(Sync!$AF126),2),IFERROR(RIGHT("00"&amp;VALUE(LEFT(Sync!$AF126,FIND(":",Sync!$AF126)-1)),2)&amp;RIGHT("00"&amp;VALUE(MID(Sync!$AF126,FIND(":",Sync!$AF126)+1,2)),2),"0000"))))</f>
        <v/>
      </c>
    </row>
    <row r="127" spans="1:14" x14ac:dyDescent="0.2">
      <c r="A127" t="str">
        <f>IF(OR(Calc!$E131="",Calc!$E131="نامعتبر",Calc!$G131=""),"",Calc!$G131)</f>
        <v/>
      </c>
      <c r="B127" t="str">
        <f>IF($A127="","",LEFT(Calc!$E131,4)&amp;MID(Calc!$E131,6,2)&amp;RIGHT(Calc!$E131,2)&amp;Calc!$Q131&amp;"|"&amp;"1"&amp;RIGHT("00000"&amp;122,5))</f>
        <v/>
      </c>
      <c r="C127" t="str">
        <f t="shared" si="5"/>
        <v/>
      </c>
      <c r="D127" t="str">
        <f t="shared" si="6"/>
        <v/>
      </c>
      <c r="F127" t="str">
        <f>IF(Sync!$AH127="","",IF(LEFT(UPPER(TRIM(Sync!$AH127)),2)="SL",UPPER(TRIM(Sync!$AH127)),""))</f>
        <v/>
      </c>
      <c r="G127" t="str">
        <f>IF($F127="","",IF(Sync!$AE127="","",IF(ISNUMBER(Sync!$AE127),IF(AND(Sync!$AE127&gt;=10000101,Sync!$AE127&lt;=99991231),INT(Sync!$AE127/10000),""),IFERROR(VALUE(TRIM(LEFT(Sync!$AE127,FIND("/",Sync!$AE127)-1))),""))))</f>
        <v/>
      </c>
      <c r="H127" t="str">
        <f>IF(OR($F127="",$G127=""),"",IF(ISNUMBER(Sync!$AE127),INT(MOD(Sync!$AE127,10000)/100),IFERROR(VALUE(TRIM(LEFT(MID(Sync!$AE127,FIND("/",Sync!$AE127)+1,20),FIND("/",MID(Sync!$AE127,FIND("/",Sync!$AE127)+1,20))-1))),"")))</f>
        <v/>
      </c>
      <c r="I127" t="str">
        <f>IF(OR($F127="",$G127=""),"",IF(ISNUMBER(Sync!$AE127),MOD(Sync!$AE127,100),IFERROR(VALUE(TRIM(MID(MID(Sync!$AE127,FIND("/",Sync!$AE127)+1,20),FIND("/",MID(Sync!$AE127,FIND("/",Sync!$AE127)+1,20))+1,20))),"")))</f>
        <v/>
      </c>
      <c r="J127" t="str">
        <f t="shared" si="7"/>
        <v/>
      </c>
      <c r="K127" t="str">
        <f>IF(OR($F127="",$J127="",$J127="نامعتبر"),"",LEFT($J127,4)&amp;MID($J127,6,2)&amp;RIGHT($J127,2)&amp;$N127&amp;"|"&amp;"2"&amp;RIGHT("00000"&amp;122,5))</f>
        <v/>
      </c>
      <c r="L127" t="str">
        <f t="shared" si="8"/>
        <v/>
      </c>
      <c r="M127" t="str">
        <f t="shared" si="9"/>
        <v/>
      </c>
      <c r="N127" t="str">
        <f>IF($F127="","",IF(Sync!$AF127="","0000",IF(AND(ISNUMBER(Sync!$AF127),Sync!$AF127&gt;=0,Sync!$AF127&lt;1),RIGHT("00"&amp;HOUR(Sync!$AF127),2)&amp;RIGHT("00"&amp;MINUTE(Sync!$AF127),2),IFERROR(RIGHT("00"&amp;VALUE(LEFT(Sync!$AF127,FIND(":",Sync!$AF127)-1)),2)&amp;RIGHT("00"&amp;VALUE(MID(Sync!$AF127,FIND(":",Sync!$AF127)+1,2)),2),"0000"))))</f>
        <v/>
      </c>
    </row>
    <row r="128" spans="1:14" x14ac:dyDescent="0.2">
      <c r="A128" t="str">
        <f>IF(OR(Calc!$E132="",Calc!$E132="نامعتبر",Calc!$G132=""),"",Calc!$G132)</f>
        <v/>
      </c>
      <c r="B128" t="str">
        <f>IF($A128="","",LEFT(Calc!$E132,4)&amp;MID(Calc!$E132,6,2)&amp;RIGHT(Calc!$E132,2)&amp;Calc!$Q132&amp;"|"&amp;"1"&amp;RIGHT("00000"&amp;123,5))</f>
        <v/>
      </c>
      <c r="C128" t="str">
        <f t="shared" si="5"/>
        <v/>
      </c>
      <c r="D128" t="str">
        <f t="shared" si="6"/>
        <v/>
      </c>
      <c r="F128" t="str">
        <f>IF(Sync!$AH128="","",IF(LEFT(UPPER(TRIM(Sync!$AH128)),2)="SL",UPPER(TRIM(Sync!$AH128)),""))</f>
        <v/>
      </c>
      <c r="G128" t="str">
        <f>IF($F128="","",IF(Sync!$AE128="","",IF(ISNUMBER(Sync!$AE128),IF(AND(Sync!$AE128&gt;=10000101,Sync!$AE128&lt;=99991231),INT(Sync!$AE128/10000),""),IFERROR(VALUE(TRIM(LEFT(Sync!$AE128,FIND("/",Sync!$AE128)-1))),""))))</f>
        <v/>
      </c>
      <c r="H128" t="str">
        <f>IF(OR($F128="",$G128=""),"",IF(ISNUMBER(Sync!$AE128),INT(MOD(Sync!$AE128,10000)/100),IFERROR(VALUE(TRIM(LEFT(MID(Sync!$AE128,FIND("/",Sync!$AE128)+1,20),FIND("/",MID(Sync!$AE128,FIND("/",Sync!$AE128)+1,20))-1))),"")))</f>
        <v/>
      </c>
      <c r="I128" t="str">
        <f>IF(OR($F128="",$G128=""),"",IF(ISNUMBER(Sync!$AE128),MOD(Sync!$AE128,100),IFERROR(VALUE(TRIM(MID(MID(Sync!$AE128,FIND("/",Sync!$AE128)+1,20),FIND("/",MID(Sync!$AE128,FIND("/",Sync!$AE128)+1,20))+1,20))),"")))</f>
        <v/>
      </c>
      <c r="J128" t="str">
        <f t="shared" si="7"/>
        <v/>
      </c>
      <c r="K128" t="str">
        <f>IF(OR($F128="",$J128="",$J128="نامعتبر"),"",LEFT($J128,4)&amp;MID($J128,6,2)&amp;RIGHT($J128,2)&amp;$N128&amp;"|"&amp;"2"&amp;RIGHT("00000"&amp;123,5))</f>
        <v/>
      </c>
      <c r="L128" t="str">
        <f t="shared" si="8"/>
        <v/>
      </c>
      <c r="M128" t="str">
        <f t="shared" si="9"/>
        <v/>
      </c>
      <c r="N128" t="str">
        <f>IF($F128="","",IF(Sync!$AF128="","0000",IF(AND(ISNUMBER(Sync!$AF128),Sync!$AF128&gt;=0,Sync!$AF128&lt;1),RIGHT("00"&amp;HOUR(Sync!$AF128),2)&amp;RIGHT("00"&amp;MINUTE(Sync!$AF128),2),IFERROR(RIGHT("00"&amp;VALUE(LEFT(Sync!$AF128,FIND(":",Sync!$AF128)-1)),2)&amp;RIGHT("00"&amp;VALUE(MID(Sync!$AF128,FIND(":",Sync!$AF128)+1,2)),2),"0000"))))</f>
        <v/>
      </c>
    </row>
    <row r="129" spans="1:14" x14ac:dyDescent="0.2">
      <c r="A129" t="str">
        <f>IF(OR(Calc!$E133="",Calc!$E133="نامعتبر",Calc!$G133=""),"",Calc!$G133)</f>
        <v/>
      </c>
      <c r="B129" t="str">
        <f>IF($A129="","",LEFT(Calc!$E133,4)&amp;MID(Calc!$E133,6,2)&amp;RIGHT(Calc!$E133,2)&amp;Calc!$Q133&amp;"|"&amp;"1"&amp;RIGHT("00000"&amp;124,5))</f>
        <v/>
      </c>
      <c r="C129" t="str">
        <f t="shared" si="5"/>
        <v/>
      </c>
      <c r="D129" t="str">
        <f t="shared" si="6"/>
        <v/>
      </c>
      <c r="F129" t="str">
        <f>IF(Sync!$AH129="","",IF(LEFT(UPPER(TRIM(Sync!$AH129)),2)="SL",UPPER(TRIM(Sync!$AH129)),""))</f>
        <v/>
      </c>
      <c r="G129" t="str">
        <f>IF($F129="","",IF(Sync!$AE129="","",IF(ISNUMBER(Sync!$AE129),IF(AND(Sync!$AE129&gt;=10000101,Sync!$AE129&lt;=99991231),INT(Sync!$AE129/10000),""),IFERROR(VALUE(TRIM(LEFT(Sync!$AE129,FIND("/",Sync!$AE129)-1))),""))))</f>
        <v/>
      </c>
      <c r="H129" t="str">
        <f>IF(OR($F129="",$G129=""),"",IF(ISNUMBER(Sync!$AE129),INT(MOD(Sync!$AE129,10000)/100),IFERROR(VALUE(TRIM(LEFT(MID(Sync!$AE129,FIND("/",Sync!$AE129)+1,20),FIND("/",MID(Sync!$AE129,FIND("/",Sync!$AE129)+1,20))-1))),"")))</f>
        <v/>
      </c>
      <c r="I129" t="str">
        <f>IF(OR($F129="",$G129=""),"",IF(ISNUMBER(Sync!$AE129),MOD(Sync!$AE129,100),IFERROR(VALUE(TRIM(MID(MID(Sync!$AE129,FIND("/",Sync!$AE129)+1,20),FIND("/",MID(Sync!$AE129,FIND("/",Sync!$AE129)+1,20))+1,20))),"")))</f>
        <v/>
      </c>
      <c r="J129" t="str">
        <f t="shared" si="7"/>
        <v/>
      </c>
      <c r="K129" t="str">
        <f>IF(OR($F129="",$J129="",$J129="نامعتبر"),"",LEFT($J129,4)&amp;MID($J129,6,2)&amp;RIGHT($J129,2)&amp;$N129&amp;"|"&amp;"2"&amp;RIGHT("00000"&amp;124,5))</f>
        <v/>
      </c>
      <c r="L129" t="str">
        <f t="shared" si="8"/>
        <v/>
      </c>
      <c r="M129" t="str">
        <f t="shared" si="9"/>
        <v/>
      </c>
      <c r="N129" t="str">
        <f>IF($F129="","",IF(Sync!$AF129="","0000",IF(AND(ISNUMBER(Sync!$AF129),Sync!$AF129&gt;=0,Sync!$AF129&lt;1),RIGHT("00"&amp;HOUR(Sync!$AF129),2)&amp;RIGHT("00"&amp;MINUTE(Sync!$AF129),2),IFERROR(RIGHT("00"&amp;VALUE(LEFT(Sync!$AF129,FIND(":",Sync!$AF129)-1)),2)&amp;RIGHT("00"&amp;VALUE(MID(Sync!$AF129,FIND(":",Sync!$AF129)+1,2)),2),"0000"))))</f>
        <v/>
      </c>
    </row>
    <row r="130" spans="1:14" x14ac:dyDescent="0.2">
      <c r="A130" t="str">
        <f>IF(OR(Calc!$E134="",Calc!$E134="نامعتبر",Calc!$G134=""),"",Calc!$G134)</f>
        <v/>
      </c>
      <c r="B130" t="str">
        <f>IF($A130="","",LEFT(Calc!$E134,4)&amp;MID(Calc!$E134,6,2)&amp;RIGHT(Calc!$E134,2)&amp;Calc!$Q134&amp;"|"&amp;"1"&amp;RIGHT("00000"&amp;125,5))</f>
        <v/>
      </c>
      <c r="C130" t="str">
        <f t="shared" si="5"/>
        <v/>
      </c>
      <c r="D130" t="str">
        <f t="shared" si="6"/>
        <v/>
      </c>
      <c r="F130" t="str">
        <f>IF(Sync!$AH130="","",IF(LEFT(UPPER(TRIM(Sync!$AH130)),2)="SL",UPPER(TRIM(Sync!$AH130)),""))</f>
        <v/>
      </c>
      <c r="G130" t="str">
        <f>IF($F130="","",IF(Sync!$AE130="","",IF(ISNUMBER(Sync!$AE130),IF(AND(Sync!$AE130&gt;=10000101,Sync!$AE130&lt;=99991231),INT(Sync!$AE130/10000),""),IFERROR(VALUE(TRIM(LEFT(Sync!$AE130,FIND("/",Sync!$AE130)-1))),""))))</f>
        <v/>
      </c>
      <c r="H130" t="str">
        <f>IF(OR($F130="",$G130=""),"",IF(ISNUMBER(Sync!$AE130),INT(MOD(Sync!$AE130,10000)/100),IFERROR(VALUE(TRIM(LEFT(MID(Sync!$AE130,FIND("/",Sync!$AE130)+1,20),FIND("/",MID(Sync!$AE130,FIND("/",Sync!$AE130)+1,20))-1))),"")))</f>
        <v/>
      </c>
      <c r="I130" t="str">
        <f>IF(OR($F130="",$G130=""),"",IF(ISNUMBER(Sync!$AE130),MOD(Sync!$AE130,100),IFERROR(VALUE(TRIM(MID(MID(Sync!$AE130,FIND("/",Sync!$AE130)+1,20),FIND("/",MID(Sync!$AE130,FIND("/",Sync!$AE130)+1,20))+1,20))),"")))</f>
        <v/>
      </c>
      <c r="J130" t="str">
        <f t="shared" si="7"/>
        <v/>
      </c>
      <c r="K130" t="str">
        <f>IF(OR($F130="",$J130="",$J130="نامعتبر"),"",LEFT($J130,4)&amp;MID($J130,6,2)&amp;RIGHT($J130,2)&amp;$N130&amp;"|"&amp;"2"&amp;RIGHT("00000"&amp;125,5))</f>
        <v/>
      </c>
      <c r="L130" t="str">
        <f t="shared" si="8"/>
        <v/>
      </c>
      <c r="M130" t="str">
        <f t="shared" si="9"/>
        <v/>
      </c>
      <c r="N130" t="str">
        <f>IF($F130="","",IF(Sync!$AF130="","0000",IF(AND(ISNUMBER(Sync!$AF130),Sync!$AF130&gt;=0,Sync!$AF130&lt;1),RIGHT("00"&amp;HOUR(Sync!$AF130),2)&amp;RIGHT("00"&amp;MINUTE(Sync!$AF130),2),IFERROR(RIGHT("00"&amp;VALUE(LEFT(Sync!$AF130,FIND(":",Sync!$AF130)-1)),2)&amp;RIGHT("00"&amp;VALUE(MID(Sync!$AF130,FIND(":",Sync!$AF130)+1,2)),2),"0000"))))</f>
        <v/>
      </c>
    </row>
    <row r="131" spans="1:14" x14ac:dyDescent="0.2">
      <c r="A131" t="str">
        <f>IF(OR(Calc!$E135="",Calc!$E135="نامعتبر",Calc!$G135=""),"",Calc!$G135)</f>
        <v/>
      </c>
      <c r="B131" t="str">
        <f>IF($A131="","",LEFT(Calc!$E135,4)&amp;MID(Calc!$E135,6,2)&amp;RIGHT(Calc!$E135,2)&amp;Calc!$Q135&amp;"|"&amp;"1"&amp;RIGHT("00000"&amp;126,5))</f>
        <v/>
      </c>
      <c r="C131" t="str">
        <f t="shared" si="5"/>
        <v/>
      </c>
      <c r="D131" t="str">
        <f t="shared" si="6"/>
        <v/>
      </c>
      <c r="F131" t="str">
        <f>IF(Sync!$AH131="","",IF(LEFT(UPPER(TRIM(Sync!$AH131)),2)="SL",UPPER(TRIM(Sync!$AH131)),""))</f>
        <v/>
      </c>
      <c r="G131" t="str">
        <f>IF($F131="","",IF(Sync!$AE131="","",IF(ISNUMBER(Sync!$AE131),IF(AND(Sync!$AE131&gt;=10000101,Sync!$AE131&lt;=99991231),INT(Sync!$AE131/10000),""),IFERROR(VALUE(TRIM(LEFT(Sync!$AE131,FIND("/",Sync!$AE131)-1))),""))))</f>
        <v/>
      </c>
      <c r="H131" t="str">
        <f>IF(OR($F131="",$G131=""),"",IF(ISNUMBER(Sync!$AE131),INT(MOD(Sync!$AE131,10000)/100),IFERROR(VALUE(TRIM(LEFT(MID(Sync!$AE131,FIND("/",Sync!$AE131)+1,20),FIND("/",MID(Sync!$AE131,FIND("/",Sync!$AE131)+1,20))-1))),"")))</f>
        <v/>
      </c>
      <c r="I131" t="str">
        <f>IF(OR($F131="",$G131=""),"",IF(ISNUMBER(Sync!$AE131),MOD(Sync!$AE131,100),IFERROR(VALUE(TRIM(MID(MID(Sync!$AE131,FIND("/",Sync!$AE131)+1,20),FIND("/",MID(Sync!$AE131,FIND("/",Sync!$AE131)+1,20))+1,20))),"")))</f>
        <v/>
      </c>
      <c r="J131" t="str">
        <f t="shared" si="7"/>
        <v/>
      </c>
      <c r="K131" t="str">
        <f>IF(OR($F131="",$J131="",$J131="نامعتبر"),"",LEFT($J131,4)&amp;MID($J131,6,2)&amp;RIGHT($J131,2)&amp;$N131&amp;"|"&amp;"2"&amp;RIGHT("00000"&amp;126,5))</f>
        <v/>
      </c>
      <c r="L131" t="str">
        <f t="shared" si="8"/>
        <v/>
      </c>
      <c r="M131" t="str">
        <f t="shared" si="9"/>
        <v/>
      </c>
      <c r="N131" t="str">
        <f>IF($F131="","",IF(Sync!$AF131="","0000",IF(AND(ISNUMBER(Sync!$AF131),Sync!$AF131&gt;=0,Sync!$AF131&lt;1),RIGHT("00"&amp;HOUR(Sync!$AF131),2)&amp;RIGHT("00"&amp;MINUTE(Sync!$AF131),2),IFERROR(RIGHT("00"&amp;VALUE(LEFT(Sync!$AF131,FIND(":",Sync!$AF131)-1)),2)&amp;RIGHT("00"&amp;VALUE(MID(Sync!$AF131,FIND(":",Sync!$AF131)+1,2)),2),"0000"))))</f>
        <v/>
      </c>
    </row>
    <row r="132" spans="1:14" x14ac:dyDescent="0.2">
      <c r="A132" t="str">
        <f>IF(OR(Calc!$E136="",Calc!$E136="نامعتبر",Calc!$G136=""),"",Calc!$G136)</f>
        <v/>
      </c>
      <c r="B132" t="str">
        <f>IF($A132="","",LEFT(Calc!$E136,4)&amp;MID(Calc!$E136,6,2)&amp;RIGHT(Calc!$E136,2)&amp;Calc!$Q136&amp;"|"&amp;"1"&amp;RIGHT("00000"&amp;127,5))</f>
        <v/>
      </c>
      <c r="C132" t="str">
        <f t="shared" si="5"/>
        <v/>
      </c>
      <c r="D132" t="str">
        <f t="shared" si="6"/>
        <v/>
      </c>
      <c r="F132" t="str">
        <f>IF(Sync!$AH132="","",IF(LEFT(UPPER(TRIM(Sync!$AH132)),2)="SL",UPPER(TRIM(Sync!$AH132)),""))</f>
        <v/>
      </c>
      <c r="G132" t="str">
        <f>IF($F132="","",IF(Sync!$AE132="","",IF(ISNUMBER(Sync!$AE132),IF(AND(Sync!$AE132&gt;=10000101,Sync!$AE132&lt;=99991231),INT(Sync!$AE132/10000),""),IFERROR(VALUE(TRIM(LEFT(Sync!$AE132,FIND("/",Sync!$AE132)-1))),""))))</f>
        <v/>
      </c>
      <c r="H132" t="str">
        <f>IF(OR($F132="",$G132=""),"",IF(ISNUMBER(Sync!$AE132),INT(MOD(Sync!$AE132,10000)/100),IFERROR(VALUE(TRIM(LEFT(MID(Sync!$AE132,FIND("/",Sync!$AE132)+1,20),FIND("/",MID(Sync!$AE132,FIND("/",Sync!$AE132)+1,20))-1))),"")))</f>
        <v/>
      </c>
      <c r="I132" t="str">
        <f>IF(OR($F132="",$G132=""),"",IF(ISNUMBER(Sync!$AE132),MOD(Sync!$AE132,100),IFERROR(VALUE(TRIM(MID(MID(Sync!$AE132,FIND("/",Sync!$AE132)+1,20),FIND("/",MID(Sync!$AE132,FIND("/",Sync!$AE132)+1,20))+1,20))),"")))</f>
        <v/>
      </c>
      <c r="J132" t="str">
        <f t="shared" si="7"/>
        <v/>
      </c>
      <c r="K132" t="str">
        <f>IF(OR($F132="",$J132="",$J132="نامعتبر"),"",LEFT($J132,4)&amp;MID($J132,6,2)&amp;RIGHT($J132,2)&amp;$N132&amp;"|"&amp;"2"&amp;RIGHT("00000"&amp;127,5))</f>
        <v/>
      </c>
      <c r="L132" t="str">
        <f t="shared" si="8"/>
        <v/>
      </c>
      <c r="M132" t="str">
        <f t="shared" si="9"/>
        <v/>
      </c>
      <c r="N132" t="str">
        <f>IF($F132="","",IF(Sync!$AF132="","0000",IF(AND(ISNUMBER(Sync!$AF132),Sync!$AF132&gt;=0,Sync!$AF132&lt;1),RIGHT("00"&amp;HOUR(Sync!$AF132),2)&amp;RIGHT("00"&amp;MINUTE(Sync!$AF132),2),IFERROR(RIGHT("00"&amp;VALUE(LEFT(Sync!$AF132,FIND(":",Sync!$AF132)-1)),2)&amp;RIGHT("00"&amp;VALUE(MID(Sync!$AF132,FIND(":",Sync!$AF132)+1,2)),2),"0000"))))</f>
        <v/>
      </c>
    </row>
    <row r="133" spans="1:14" x14ac:dyDescent="0.2">
      <c r="A133" t="str">
        <f>IF(OR(Calc!$E137="",Calc!$E137="نامعتبر",Calc!$G137=""),"",Calc!$G137)</f>
        <v/>
      </c>
      <c r="B133" t="str">
        <f>IF($A133="","",LEFT(Calc!$E137,4)&amp;MID(Calc!$E137,6,2)&amp;RIGHT(Calc!$E137,2)&amp;Calc!$Q137&amp;"|"&amp;"1"&amp;RIGHT("00000"&amp;128,5))</f>
        <v/>
      </c>
      <c r="C133" t="str">
        <f t="shared" si="5"/>
        <v/>
      </c>
      <c r="D133" t="str">
        <f t="shared" si="6"/>
        <v/>
      </c>
      <c r="F133" t="str">
        <f>IF(Sync!$AH133="","",IF(LEFT(UPPER(TRIM(Sync!$AH133)),2)="SL",UPPER(TRIM(Sync!$AH133)),""))</f>
        <v/>
      </c>
      <c r="G133" t="str">
        <f>IF($F133="","",IF(Sync!$AE133="","",IF(ISNUMBER(Sync!$AE133),IF(AND(Sync!$AE133&gt;=10000101,Sync!$AE133&lt;=99991231),INT(Sync!$AE133/10000),""),IFERROR(VALUE(TRIM(LEFT(Sync!$AE133,FIND("/",Sync!$AE133)-1))),""))))</f>
        <v/>
      </c>
      <c r="H133" t="str">
        <f>IF(OR($F133="",$G133=""),"",IF(ISNUMBER(Sync!$AE133),INT(MOD(Sync!$AE133,10000)/100),IFERROR(VALUE(TRIM(LEFT(MID(Sync!$AE133,FIND("/",Sync!$AE133)+1,20),FIND("/",MID(Sync!$AE133,FIND("/",Sync!$AE133)+1,20))-1))),"")))</f>
        <v/>
      </c>
      <c r="I133" t="str">
        <f>IF(OR($F133="",$G133=""),"",IF(ISNUMBER(Sync!$AE133),MOD(Sync!$AE133,100),IFERROR(VALUE(TRIM(MID(MID(Sync!$AE133,FIND("/",Sync!$AE133)+1,20),FIND("/",MID(Sync!$AE133,FIND("/",Sync!$AE133)+1,20))+1,20))),"")))</f>
        <v/>
      </c>
      <c r="J133" t="str">
        <f t="shared" si="7"/>
        <v/>
      </c>
      <c r="K133" t="str">
        <f>IF(OR($F133="",$J133="",$J133="نامعتبر"),"",LEFT($J133,4)&amp;MID($J133,6,2)&amp;RIGHT($J133,2)&amp;$N133&amp;"|"&amp;"2"&amp;RIGHT("00000"&amp;128,5))</f>
        <v/>
      </c>
      <c r="L133" t="str">
        <f t="shared" si="8"/>
        <v/>
      </c>
      <c r="M133" t="str">
        <f t="shared" si="9"/>
        <v/>
      </c>
      <c r="N133" t="str">
        <f>IF($F133="","",IF(Sync!$AF133="","0000",IF(AND(ISNUMBER(Sync!$AF133),Sync!$AF133&gt;=0,Sync!$AF133&lt;1),RIGHT("00"&amp;HOUR(Sync!$AF133),2)&amp;RIGHT("00"&amp;MINUTE(Sync!$AF133),2),IFERROR(RIGHT("00"&amp;VALUE(LEFT(Sync!$AF133,FIND(":",Sync!$AF133)-1)),2)&amp;RIGHT("00"&amp;VALUE(MID(Sync!$AF133,FIND(":",Sync!$AF133)+1,2)),2),"0000"))))</f>
        <v/>
      </c>
    </row>
    <row r="134" spans="1:14" x14ac:dyDescent="0.2">
      <c r="A134" t="str">
        <f>IF(OR(Calc!$E138="",Calc!$E138="نامعتبر",Calc!$G138=""),"",Calc!$G138)</f>
        <v/>
      </c>
      <c r="B134" t="str">
        <f>IF($A134="","",LEFT(Calc!$E138,4)&amp;MID(Calc!$E138,6,2)&amp;RIGHT(Calc!$E138,2)&amp;Calc!$Q138&amp;"|"&amp;"1"&amp;RIGHT("00000"&amp;129,5))</f>
        <v/>
      </c>
      <c r="C134" t="str">
        <f t="shared" ref="C134:C197" si="10">IF($B134="","",COUNTIFS(LdgSellerA,$A134,LdgKeyA,"&lt;"&amp;$B134)+COUNTIFS(LdgSellerB,$A134,LdgKeyB,"&lt;"&amp;$B134)+1)</f>
        <v/>
      </c>
      <c r="D134" t="str">
        <f t="shared" ref="D134:D197" si="11">IF($C134="","",$A134&amp;"|"&amp;RIGHT("000000"&amp;$C134,6))</f>
        <v/>
      </c>
      <c r="F134" t="str">
        <f>IF(Sync!$AH134="","",IF(LEFT(UPPER(TRIM(Sync!$AH134)),2)="SL",UPPER(TRIM(Sync!$AH134)),""))</f>
        <v/>
      </c>
      <c r="G134" t="str">
        <f>IF($F134="","",IF(Sync!$AE134="","",IF(ISNUMBER(Sync!$AE134),IF(AND(Sync!$AE134&gt;=10000101,Sync!$AE134&lt;=99991231),INT(Sync!$AE134/10000),""),IFERROR(VALUE(TRIM(LEFT(Sync!$AE134,FIND("/",Sync!$AE134)-1))),""))))</f>
        <v/>
      </c>
      <c r="H134" t="str">
        <f>IF(OR($F134="",$G134=""),"",IF(ISNUMBER(Sync!$AE134),INT(MOD(Sync!$AE134,10000)/100),IFERROR(VALUE(TRIM(LEFT(MID(Sync!$AE134,FIND("/",Sync!$AE134)+1,20),FIND("/",MID(Sync!$AE134,FIND("/",Sync!$AE134)+1,20))-1))),"")))</f>
        <v/>
      </c>
      <c r="I134" t="str">
        <f>IF(OR($F134="",$G134=""),"",IF(ISNUMBER(Sync!$AE134),MOD(Sync!$AE134,100),IFERROR(VALUE(TRIM(MID(MID(Sync!$AE134,FIND("/",Sync!$AE134)+1,20),FIND("/",MID(Sync!$AE134,FIND("/",Sync!$AE134)+1,20))+1,20))),"")))</f>
        <v/>
      </c>
      <c r="J134" t="str">
        <f t="shared" ref="J134:J197" si="12">IF($F134="","",IF(OR($G134="",$H134="",$I134="",$G134&lt;1300,$G134&gt;1500,$H134&lt;1,$H134&gt;12,$I134&lt;1,$I134&gt;31),"نامعتبر",RIGHT("0000"&amp;$G134,4)&amp;"/"&amp;RIGHT("00"&amp;$H134,2)&amp;"/"&amp;RIGHT("00"&amp;$I134,2)))</f>
        <v/>
      </c>
      <c r="K134" t="str">
        <f>IF(OR($F134="",$J134="",$J134="نامعتبر"),"",LEFT($J134,4)&amp;MID($J134,6,2)&amp;RIGHT($J134,2)&amp;$N134&amp;"|"&amp;"2"&amp;RIGHT("00000"&amp;129,5))</f>
        <v/>
      </c>
      <c r="L134" t="str">
        <f t="shared" ref="L134:L197" si="13">IF($K134="","",COUNTIFS(LdgSellerA,$F134,LdgKeyA,"&lt;"&amp;$K134)+COUNTIFS(LdgSellerB,$F134,LdgKeyB,"&lt;"&amp;$K134)+1)</f>
        <v/>
      </c>
      <c r="M134" t="str">
        <f t="shared" ref="M134:M197" si="14">IF($L134="","",$F134&amp;"|"&amp;RIGHT("000000"&amp;$L134,6))</f>
        <v/>
      </c>
      <c r="N134" t="str">
        <f>IF($F134="","",IF(Sync!$AF134="","0000",IF(AND(ISNUMBER(Sync!$AF134),Sync!$AF134&gt;=0,Sync!$AF134&lt;1),RIGHT("00"&amp;HOUR(Sync!$AF134),2)&amp;RIGHT("00"&amp;MINUTE(Sync!$AF134),2),IFERROR(RIGHT("00"&amp;VALUE(LEFT(Sync!$AF134,FIND(":",Sync!$AF134)-1)),2)&amp;RIGHT("00"&amp;VALUE(MID(Sync!$AF134,FIND(":",Sync!$AF134)+1,2)),2),"0000"))))</f>
        <v/>
      </c>
    </row>
    <row r="135" spans="1:14" x14ac:dyDescent="0.2">
      <c r="A135" t="str">
        <f>IF(OR(Calc!$E139="",Calc!$E139="نامعتبر",Calc!$G139=""),"",Calc!$G139)</f>
        <v/>
      </c>
      <c r="B135" t="str">
        <f>IF($A135="","",LEFT(Calc!$E139,4)&amp;MID(Calc!$E139,6,2)&amp;RIGHT(Calc!$E139,2)&amp;Calc!$Q139&amp;"|"&amp;"1"&amp;RIGHT("00000"&amp;130,5))</f>
        <v/>
      </c>
      <c r="C135" t="str">
        <f t="shared" si="10"/>
        <v/>
      </c>
      <c r="D135" t="str">
        <f t="shared" si="11"/>
        <v/>
      </c>
      <c r="F135" t="str">
        <f>IF(Sync!$AH135="","",IF(LEFT(UPPER(TRIM(Sync!$AH135)),2)="SL",UPPER(TRIM(Sync!$AH135)),""))</f>
        <v/>
      </c>
      <c r="G135" t="str">
        <f>IF($F135="","",IF(Sync!$AE135="","",IF(ISNUMBER(Sync!$AE135),IF(AND(Sync!$AE135&gt;=10000101,Sync!$AE135&lt;=99991231),INT(Sync!$AE135/10000),""),IFERROR(VALUE(TRIM(LEFT(Sync!$AE135,FIND("/",Sync!$AE135)-1))),""))))</f>
        <v/>
      </c>
      <c r="H135" t="str">
        <f>IF(OR($F135="",$G135=""),"",IF(ISNUMBER(Sync!$AE135),INT(MOD(Sync!$AE135,10000)/100),IFERROR(VALUE(TRIM(LEFT(MID(Sync!$AE135,FIND("/",Sync!$AE135)+1,20),FIND("/",MID(Sync!$AE135,FIND("/",Sync!$AE135)+1,20))-1))),"")))</f>
        <v/>
      </c>
      <c r="I135" t="str">
        <f>IF(OR($F135="",$G135=""),"",IF(ISNUMBER(Sync!$AE135),MOD(Sync!$AE135,100),IFERROR(VALUE(TRIM(MID(MID(Sync!$AE135,FIND("/",Sync!$AE135)+1,20),FIND("/",MID(Sync!$AE135,FIND("/",Sync!$AE135)+1,20))+1,20))),"")))</f>
        <v/>
      </c>
      <c r="J135" t="str">
        <f t="shared" si="12"/>
        <v/>
      </c>
      <c r="K135" t="str">
        <f>IF(OR($F135="",$J135="",$J135="نامعتبر"),"",LEFT($J135,4)&amp;MID($J135,6,2)&amp;RIGHT($J135,2)&amp;$N135&amp;"|"&amp;"2"&amp;RIGHT("00000"&amp;130,5))</f>
        <v/>
      </c>
      <c r="L135" t="str">
        <f t="shared" si="13"/>
        <v/>
      </c>
      <c r="M135" t="str">
        <f t="shared" si="14"/>
        <v/>
      </c>
      <c r="N135" t="str">
        <f>IF($F135="","",IF(Sync!$AF135="","0000",IF(AND(ISNUMBER(Sync!$AF135),Sync!$AF135&gt;=0,Sync!$AF135&lt;1),RIGHT("00"&amp;HOUR(Sync!$AF135),2)&amp;RIGHT("00"&amp;MINUTE(Sync!$AF135),2),IFERROR(RIGHT("00"&amp;VALUE(LEFT(Sync!$AF135,FIND(":",Sync!$AF135)-1)),2)&amp;RIGHT("00"&amp;VALUE(MID(Sync!$AF135,FIND(":",Sync!$AF135)+1,2)),2),"0000"))))</f>
        <v/>
      </c>
    </row>
    <row r="136" spans="1:14" x14ac:dyDescent="0.2">
      <c r="A136" t="str">
        <f>IF(OR(Calc!$E140="",Calc!$E140="نامعتبر",Calc!$G140=""),"",Calc!$G140)</f>
        <v/>
      </c>
      <c r="B136" t="str">
        <f>IF($A136="","",LEFT(Calc!$E140,4)&amp;MID(Calc!$E140,6,2)&amp;RIGHT(Calc!$E140,2)&amp;Calc!$Q140&amp;"|"&amp;"1"&amp;RIGHT("00000"&amp;131,5))</f>
        <v/>
      </c>
      <c r="C136" t="str">
        <f t="shared" si="10"/>
        <v/>
      </c>
      <c r="D136" t="str">
        <f t="shared" si="11"/>
        <v/>
      </c>
      <c r="F136" t="str">
        <f>IF(Sync!$AH136="","",IF(LEFT(UPPER(TRIM(Sync!$AH136)),2)="SL",UPPER(TRIM(Sync!$AH136)),""))</f>
        <v/>
      </c>
      <c r="G136" t="str">
        <f>IF($F136="","",IF(Sync!$AE136="","",IF(ISNUMBER(Sync!$AE136),IF(AND(Sync!$AE136&gt;=10000101,Sync!$AE136&lt;=99991231),INT(Sync!$AE136/10000),""),IFERROR(VALUE(TRIM(LEFT(Sync!$AE136,FIND("/",Sync!$AE136)-1))),""))))</f>
        <v/>
      </c>
      <c r="H136" t="str">
        <f>IF(OR($F136="",$G136=""),"",IF(ISNUMBER(Sync!$AE136),INT(MOD(Sync!$AE136,10000)/100),IFERROR(VALUE(TRIM(LEFT(MID(Sync!$AE136,FIND("/",Sync!$AE136)+1,20),FIND("/",MID(Sync!$AE136,FIND("/",Sync!$AE136)+1,20))-1))),"")))</f>
        <v/>
      </c>
      <c r="I136" t="str">
        <f>IF(OR($F136="",$G136=""),"",IF(ISNUMBER(Sync!$AE136),MOD(Sync!$AE136,100),IFERROR(VALUE(TRIM(MID(MID(Sync!$AE136,FIND("/",Sync!$AE136)+1,20),FIND("/",MID(Sync!$AE136,FIND("/",Sync!$AE136)+1,20))+1,20))),"")))</f>
        <v/>
      </c>
      <c r="J136" t="str">
        <f t="shared" si="12"/>
        <v/>
      </c>
      <c r="K136" t="str">
        <f>IF(OR($F136="",$J136="",$J136="نامعتبر"),"",LEFT($J136,4)&amp;MID($J136,6,2)&amp;RIGHT($J136,2)&amp;$N136&amp;"|"&amp;"2"&amp;RIGHT("00000"&amp;131,5))</f>
        <v/>
      </c>
      <c r="L136" t="str">
        <f t="shared" si="13"/>
        <v/>
      </c>
      <c r="M136" t="str">
        <f t="shared" si="14"/>
        <v/>
      </c>
      <c r="N136" t="str">
        <f>IF($F136="","",IF(Sync!$AF136="","0000",IF(AND(ISNUMBER(Sync!$AF136),Sync!$AF136&gt;=0,Sync!$AF136&lt;1),RIGHT("00"&amp;HOUR(Sync!$AF136),2)&amp;RIGHT("00"&amp;MINUTE(Sync!$AF136),2),IFERROR(RIGHT("00"&amp;VALUE(LEFT(Sync!$AF136,FIND(":",Sync!$AF136)-1)),2)&amp;RIGHT("00"&amp;VALUE(MID(Sync!$AF136,FIND(":",Sync!$AF136)+1,2)),2),"0000"))))</f>
        <v/>
      </c>
    </row>
    <row r="137" spans="1:14" x14ac:dyDescent="0.2">
      <c r="A137" t="str">
        <f>IF(OR(Calc!$E141="",Calc!$E141="نامعتبر",Calc!$G141=""),"",Calc!$G141)</f>
        <v/>
      </c>
      <c r="B137" t="str">
        <f>IF($A137="","",LEFT(Calc!$E141,4)&amp;MID(Calc!$E141,6,2)&amp;RIGHT(Calc!$E141,2)&amp;Calc!$Q141&amp;"|"&amp;"1"&amp;RIGHT("00000"&amp;132,5))</f>
        <v/>
      </c>
      <c r="C137" t="str">
        <f t="shared" si="10"/>
        <v/>
      </c>
      <c r="D137" t="str">
        <f t="shared" si="11"/>
        <v/>
      </c>
      <c r="F137" t="str">
        <f>IF(Sync!$AH137="","",IF(LEFT(UPPER(TRIM(Sync!$AH137)),2)="SL",UPPER(TRIM(Sync!$AH137)),""))</f>
        <v/>
      </c>
      <c r="G137" t="str">
        <f>IF($F137="","",IF(Sync!$AE137="","",IF(ISNUMBER(Sync!$AE137),IF(AND(Sync!$AE137&gt;=10000101,Sync!$AE137&lt;=99991231),INT(Sync!$AE137/10000),""),IFERROR(VALUE(TRIM(LEFT(Sync!$AE137,FIND("/",Sync!$AE137)-1))),""))))</f>
        <v/>
      </c>
      <c r="H137" t="str">
        <f>IF(OR($F137="",$G137=""),"",IF(ISNUMBER(Sync!$AE137),INT(MOD(Sync!$AE137,10000)/100),IFERROR(VALUE(TRIM(LEFT(MID(Sync!$AE137,FIND("/",Sync!$AE137)+1,20),FIND("/",MID(Sync!$AE137,FIND("/",Sync!$AE137)+1,20))-1))),"")))</f>
        <v/>
      </c>
      <c r="I137" t="str">
        <f>IF(OR($F137="",$G137=""),"",IF(ISNUMBER(Sync!$AE137),MOD(Sync!$AE137,100),IFERROR(VALUE(TRIM(MID(MID(Sync!$AE137,FIND("/",Sync!$AE137)+1,20),FIND("/",MID(Sync!$AE137,FIND("/",Sync!$AE137)+1,20))+1,20))),"")))</f>
        <v/>
      </c>
      <c r="J137" t="str">
        <f t="shared" si="12"/>
        <v/>
      </c>
      <c r="K137" t="str">
        <f>IF(OR($F137="",$J137="",$J137="نامعتبر"),"",LEFT($J137,4)&amp;MID($J137,6,2)&amp;RIGHT($J137,2)&amp;$N137&amp;"|"&amp;"2"&amp;RIGHT("00000"&amp;132,5))</f>
        <v/>
      </c>
      <c r="L137" t="str">
        <f t="shared" si="13"/>
        <v/>
      </c>
      <c r="M137" t="str">
        <f t="shared" si="14"/>
        <v/>
      </c>
      <c r="N137" t="str">
        <f>IF($F137="","",IF(Sync!$AF137="","0000",IF(AND(ISNUMBER(Sync!$AF137),Sync!$AF137&gt;=0,Sync!$AF137&lt;1),RIGHT("00"&amp;HOUR(Sync!$AF137),2)&amp;RIGHT("00"&amp;MINUTE(Sync!$AF137),2),IFERROR(RIGHT("00"&amp;VALUE(LEFT(Sync!$AF137,FIND(":",Sync!$AF137)-1)),2)&amp;RIGHT("00"&amp;VALUE(MID(Sync!$AF137,FIND(":",Sync!$AF137)+1,2)),2),"0000"))))</f>
        <v/>
      </c>
    </row>
    <row r="138" spans="1:14" x14ac:dyDescent="0.2">
      <c r="A138" t="str">
        <f>IF(OR(Calc!$E142="",Calc!$E142="نامعتبر",Calc!$G142=""),"",Calc!$G142)</f>
        <v/>
      </c>
      <c r="B138" t="str">
        <f>IF($A138="","",LEFT(Calc!$E142,4)&amp;MID(Calc!$E142,6,2)&amp;RIGHT(Calc!$E142,2)&amp;Calc!$Q142&amp;"|"&amp;"1"&amp;RIGHT("00000"&amp;133,5))</f>
        <v/>
      </c>
      <c r="C138" t="str">
        <f t="shared" si="10"/>
        <v/>
      </c>
      <c r="D138" t="str">
        <f t="shared" si="11"/>
        <v/>
      </c>
      <c r="F138" t="str">
        <f>IF(Sync!$AH138="","",IF(LEFT(UPPER(TRIM(Sync!$AH138)),2)="SL",UPPER(TRIM(Sync!$AH138)),""))</f>
        <v/>
      </c>
      <c r="G138" t="str">
        <f>IF($F138="","",IF(Sync!$AE138="","",IF(ISNUMBER(Sync!$AE138),IF(AND(Sync!$AE138&gt;=10000101,Sync!$AE138&lt;=99991231),INT(Sync!$AE138/10000),""),IFERROR(VALUE(TRIM(LEFT(Sync!$AE138,FIND("/",Sync!$AE138)-1))),""))))</f>
        <v/>
      </c>
      <c r="H138" t="str">
        <f>IF(OR($F138="",$G138=""),"",IF(ISNUMBER(Sync!$AE138),INT(MOD(Sync!$AE138,10000)/100),IFERROR(VALUE(TRIM(LEFT(MID(Sync!$AE138,FIND("/",Sync!$AE138)+1,20),FIND("/",MID(Sync!$AE138,FIND("/",Sync!$AE138)+1,20))-1))),"")))</f>
        <v/>
      </c>
      <c r="I138" t="str">
        <f>IF(OR($F138="",$G138=""),"",IF(ISNUMBER(Sync!$AE138),MOD(Sync!$AE138,100),IFERROR(VALUE(TRIM(MID(MID(Sync!$AE138,FIND("/",Sync!$AE138)+1,20),FIND("/",MID(Sync!$AE138,FIND("/",Sync!$AE138)+1,20))+1,20))),"")))</f>
        <v/>
      </c>
      <c r="J138" t="str">
        <f t="shared" si="12"/>
        <v/>
      </c>
      <c r="K138" t="str">
        <f>IF(OR($F138="",$J138="",$J138="نامعتبر"),"",LEFT($J138,4)&amp;MID($J138,6,2)&amp;RIGHT($J138,2)&amp;$N138&amp;"|"&amp;"2"&amp;RIGHT("00000"&amp;133,5))</f>
        <v/>
      </c>
      <c r="L138" t="str">
        <f t="shared" si="13"/>
        <v/>
      </c>
      <c r="M138" t="str">
        <f t="shared" si="14"/>
        <v/>
      </c>
      <c r="N138" t="str">
        <f>IF($F138="","",IF(Sync!$AF138="","0000",IF(AND(ISNUMBER(Sync!$AF138),Sync!$AF138&gt;=0,Sync!$AF138&lt;1),RIGHT("00"&amp;HOUR(Sync!$AF138),2)&amp;RIGHT("00"&amp;MINUTE(Sync!$AF138),2),IFERROR(RIGHT("00"&amp;VALUE(LEFT(Sync!$AF138,FIND(":",Sync!$AF138)-1)),2)&amp;RIGHT("00"&amp;VALUE(MID(Sync!$AF138,FIND(":",Sync!$AF138)+1,2)),2),"0000"))))</f>
        <v/>
      </c>
    </row>
    <row r="139" spans="1:14" x14ac:dyDescent="0.2">
      <c r="A139" t="str">
        <f>IF(OR(Calc!$E143="",Calc!$E143="نامعتبر",Calc!$G143=""),"",Calc!$G143)</f>
        <v/>
      </c>
      <c r="B139" t="str">
        <f>IF($A139="","",LEFT(Calc!$E143,4)&amp;MID(Calc!$E143,6,2)&amp;RIGHT(Calc!$E143,2)&amp;Calc!$Q143&amp;"|"&amp;"1"&amp;RIGHT("00000"&amp;134,5))</f>
        <v/>
      </c>
      <c r="C139" t="str">
        <f t="shared" si="10"/>
        <v/>
      </c>
      <c r="D139" t="str">
        <f t="shared" si="11"/>
        <v/>
      </c>
      <c r="F139" t="str">
        <f>IF(Sync!$AH139="","",IF(LEFT(UPPER(TRIM(Sync!$AH139)),2)="SL",UPPER(TRIM(Sync!$AH139)),""))</f>
        <v/>
      </c>
      <c r="G139" t="str">
        <f>IF($F139="","",IF(Sync!$AE139="","",IF(ISNUMBER(Sync!$AE139),IF(AND(Sync!$AE139&gt;=10000101,Sync!$AE139&lt;=99991231),INT(Sync!$AE139/10000),""),IFERROR(VALUE(TRIM(LEFT(Sync!$AE139,FIND("/",Sync!$AE139)-1))),""))))</f>
        <v/>
      </c>
      <c r="H139" t="str">
        <f>IF(OR($F139="",$G139=""),"",IF(ISNUMBER(Sync!$AE139),INT(MOD(Sync!$AE139,10000)/100),IFERROR(VALUE(TRIM(LEFT(MID(Sync!$AE139,FIND("/",Sync!$AE139)+1,20),FIND("/",MID(Sync!$AE139,FIND("/",Sync!$AE139)+1,20))-1))),"")))</f>
        <v/>
      </c>
      <c r="I139" t="str">
        <f>IF(OR($F139="",$G139=""),"",IF(ISNUMBER(Sync!$AE139),MOD(Sync!$AE139,100),IFERROR(VALUE(TRIM(MID(MID(Sync!$AE139,FIND("/",Sync!$AE139)+1,20),FIND("/",MID(Sync!$AE139,FIND("/",Sync!$AE139)+1,20))+1,20))),"")))</f>
        <v/>
      </c>
      <c r="J139" t="str">
        <f t="shared" si="12"/>
        <v/>
      </c>
      <c r="K139" t="str">
        <f>IF(OR($F139="",$J139="",$J139="نامعتبر"),"",LEFT($J139,4)&amp;MID($J139,6,2)&amp;RIGHT($J139,2)&amp;$N139&amp;"|"&amp;"2"&amp;RIGHT("00000"&amp;134,5))</f>
        <v/>
      </c>
      <c r="L139" t="str">
        <f t="shared" si="13"/>
        <v/>
      </c>
      <c r="M139" t="str">
        <f t="shared" si="14"/>
        <v/>
      </c>
      <c r="N139" t="str">
        <f>IF($F139="","",IF(Sync!$AF139="","0000",IF(AND(ISNUMBER(Sync!$AF139),Sync!$AF139&gt;=0,Sync!$AF139&lt;1),RIGHT("00"&amp;HOUR(Sync!$AF139),2)&amp;RIGHT("00"&amp;MINUTE(Sync!$AF139),2),IFERROR(RIGHT("00"&amp;VALUE(LEFT(Sync!$AF139,FIND(":",Sync!$AF139)-1)),2)&amp;RIGHT("00"&amp;VALUE(MID(Sync!$AF139,FIND(":",Sync!$AF139)+1,2)),2),"0000"))))</f>
        <v/>
      </c>
    </row>
    <row r="140" spans="1:14" x14ac:dyDescent="0.2">
      <c r="A140" t="str">
        <f>IF(OR(Calc!$E144="",Calc!$E144="نامعتبر",Calc!$G144=""),"",Calc!$G144)</f>
        <v>SL002</v>
      </c>
      <c r="B140" t="str">
        <f>IF($A140="","",LEFT(Calc!$E144,4)&amp;MID(Calc!$E144,6,2)&amp;RIGHT(Calc!$E144,2)&amp;Calc!$Q144&amp;"|"&amp;"1"&amp;RIGHT("00000"&amp;135,5))</f>
        <v>140507240000|100135</v>
      </c>
      <c r="C140">
        <f t="shared" si="10"/>
        <v>5</v>
      </c>
      <c r="D140" t="str">
        <f t="shared" si="11"/>
        <v>SL002|000005</v>
      </c>
      <c r="F140" t="str">
        <f>IF(Sync!$AH140="","",IF(LEFT(UPPER(TRIM(Sync!$AH140)),2)="SL",UPPER(TRIM(Sync!$AH140)),""))</f>
        <v/>
      </c>
      <c r="G140" t="str">
        <f>IF($F140="","",IF(Sync!$AE140="","",IF(ISNUMBER(Sync!$AE140),IF(AND(Sync!$AE140&gt;=10000101,Sync!$AE140&lt;=99991231),INT(Sync!$AE140/10000),""),IFERROR(VALUE(TRIM(LEFT(Sync!$AE140,FIND("/",Sync!$AE140)-1))),""))))</f>
        <v/>
      </c>
      <c r="H140" t="str">
        <f>IF(OR($F140="",$G140=""),"",IF(ISNUMBER(Sync!$AE140),INT(MOD(Sync!$AE140,10000)/100),IFERROR(VALUE(TRIM(LEFT(MID(Sync!$AE140,FIND("/",Sync!$AE140)+1,20),FIND("/",MID(Sync!$AE140,FIND("/",Sync!$AE140)+1,20))-1))),"")))</f>
        <v/>
      </c>
      <c r="I140" t="str">
        <f>IF(OR($F140="",$G140=""),"",IF(ISNUMBER(Sync!$AE140),MOD(Sync!$AE140,100),IFERROR(VALUE(TRIM(MID(MID(Sync!$AE140,FIND("/",Sync!$AE140)+1,20),FIND("/",MID(Sync!$AE140,FIND("/",Sync!$AE140)+1,20))+1,20))),"")))</f>
        <v/>
      </c>
      <c r="J140" t="str">
        <f t="shared" si="12"/>
        <v/>
      </c>
      <c r="K140" t="str">
        <f>IF(OR($F140="",$J140="",$J140="نامعتبر"),"",LEFT($J140,4)&amp;MID($J140,6,2)&amp;RIGHT($J140,2)&amp;$N140&amp;"|"&amp;"2"&amp;RIGHT("00000"&amp;135,5))</f>
        <v/>
      </c>
      <c r="L140" t="str">
        <f t="shared" si="13"/>
        <v/>
      </c>
      <c r="M140" t="str">
        <f t="shared" si="14"/>
        <v/>
      </c>
      <c r="N140" t="str">
        <f>IF($F140="","",IF(Sync!$AF140="","0000",IF(AND(ISNUMBER(Sync!$AF140),Sync!$AF140&gt;=0,Sync!$AF140&lt;1),RIGHT("00"&amp;HOUR(Sync!$AF140),2)&amp;RIGHT("00"&amp;MINUTE(Sync!$AF140),2),IFERROR(RIGHT("00"&amp;VALUE(LEFT(Sync!$AF140,FIND(":",Sync!$AF140)-1)),2)&amp;RIGHT("00"&amp;VALUE(MID(Sync!$AF140,FIND(":",Sync!$AF140)+1,2)),2),"0000"))))</f>
        <v/>
      </c>
    </row>
    <row r="141" spans="1:14" x14ac:dyDescent="0.2">
      <c r="A141" t="str">
        <f>IF(OR(Calc!$E145="",Calc!$E145="نامعتبر",Calc!$G145=""),"",Calc!$G145)</f>
        <v>SL005</v>
      </c>
      <c r="B141" t="str">
        <f>IF($A141="","",LEFT(Calc!$E145,4)&amp;MID(Calc!$E145,6,2)&amp;RIGHT(Calc!$E145,2)&amp;Calc!$Q145&amp;"|"&amp;"1"&amp;RIGHT("00000"&amp;136,5))</f>
        <v>140507240000|100136</v>
      </c>
      <c r="C141">
        <f t="shared" si="10"/>
        <v>3</v>
      </c>
      <c r="D141" t="str">
        <f t="shared" si="11"/>
        <v>SL005|000003</v>
      </c>
      <c r="F141" t="str">
        <f>IF(Sync!$AH141="","",IF(LEFT(UPPER(TRIM(Sync!$AH141)),2)="SL",UPPER(TRIM(Sync!$AH141)),""))</f>
        <v/>
      </c>
      <c r="G141" t="str">
        <f>IF($F141="","",IF(Sync!$AE141="","",IF(ISNUMBER(Sync!$AE141),IF(AND(Sync!$AE141&gt;=10000101,Sync!$AE141&lt;=99991231),INT(Sync!$AE141/10000),""),IFERROR(VALUE(TRIM(LEFT(Sync!$AE141,FIND("/",Sync!$AE141)-1))),""))))</f>
        <v/>
      </c>
      <c r="H141" t="str">
        <f>IF(OR($F141="",$G141=""),"",IF(ISNUMBER(Sync!$AE141),INT(MOD(Sync!$AE141,10000)/100),IFERROR(VALUE(TRIM(LEFT(MID(Sync!$AE141,FIND("/",Sync!$AE141)+1,20),FIND("/",MID(Sync!$AE141,FIND("/",Sync!$AE141)+1,20))-1))),"")))</f>
        <v/>
      </c>
      <c r="I141" t="str">
        <f>IF(OR($F141="",$G141=""),"",IF(ISNUMBER(Sync!$AE141),MOD(Sync!$AE141,100),IFERROR(VALUE(TRIM(MID(MID(Sync!$AE141,FIND("/",Sync!$AE141)+1,20),FIND("/",MID(Sync!$AE141,FIND("/",Sync!$AE141)+1,20))+1,20))),"")))</f>
        <v/>
      </c>
      <c r="J141" t="str">
        <f t="shared" si="12"/>
        <v/>
      </c>
      <c r="K141" t="str">
        <f>IF(OR($F141="",$J141="",$J141="نامعتبر"),"",LEFT($J141,4)&amp;MID($J141,6,2)&amp;RIGHT($J141,2)&amp;$N141&amp;"|"&amp;"2"&amp;RIGHT("00000"&amp;136,5))</f>
        <v/>
      </c>
      <c r="L141" t="str">
        <f t="shared" si="13"/>
        <v/>
      </c>
      <c r="M141" t="str">
        <f t="shared" si="14"/>
        <v/>
      </c>
      <c r="N141" t="str">
        <f>IF($F141="","",IF(Sync!$AF141="","0000",IF(AND(ISNUMBER(Sync!$AF141),Sync!$AF141&gt;=0,Sync!$AF141&lt;1),RIGHT("00"&amp;HOUR(Sync!$AF141),2)&amp;RIGHT("00"&amp;MINUTE(Sync!$AF141),2),IFERROR(RIGHT("00"&amp;VALUE(LEFT(Sync!$AF141,FIND(":",Sync!$AF141)-1)),2)&amp;RIGHT("00"&amp;VALUE(MID(Sync!$AF141,FIND(":",Sync!$AF141)+1,2)),2),"0000"))))</f>
        <v/>
      </c>
    </row>
    <row r="142" spans="1:14" x14ac:dyDescent="0.2">
      <c r="A142" t="str">
        <f>IF(OR(Calc!$E146="",Calc!$E146="نامعتبر",Calc!$G146=""),"",Calc!$G146)</f>
        <v/>
      </c>
      <c r="B142" t="str">
        <f>IF($A142="","",LEFT(Calc!$E146,4)&amp;MID(Calc!$E146,6,2)&amp;RIGHT(Calc!$E146,2)&amp;Calc!$Q146&amp;"|"&amp;"1"&amp;RIGHT("00000"&amp;137,5))</f>
        <v/>
      </c>
      <c r="C142" t="str">
        <f t="shared" si="10"/>
        <v/>
      </c>
      <c r="D142" t="str">
        <f t="shared" si="11"/>
        <v/>
      </c>
      <c r="F142" t="str">
        <f>IF(Sync!$AH142="","",IF(LEFT(UPPER(TRIM(Sync!$AH142)),2)="SL",UPPER(TRIM(Sync!$AH142)),""))</f>
        <v/>
      </c>
      <c r="G142" t="str">
        <f>IF($F142="","",IF(Sync!$AE142="","",IF(ISNUMBER(Sync!$AE142),IF(AND(Sync!$AE142&gt;=10000101,Sync!$AE142&lt;=99991231),INT(Sync!$AE142/10000),""),IFERROR(VALUE(TRIM(LEFT(Sync!$AE142,FIND("/",Sync!$AE142)-1))),""))))</f>
        <v/>
      </c>
      <c r="H142" t="str">
        <f>IF(OR($F142="",$G142=""),"",IF(ISNUMBER(Sync!$AE142),INT(MOD(Sync!$AE142,10000)/100),IFERROR(VALUE(TRIM(LEFT(MID(Sync!$AE142,FIND("/",Sync!$AE142)+1,20),FIND("/",MID(Sync!$AE142,FIND("/",Sync!$AE142)+1,20))-1))),"")))</f>
        <v/>
      </c>
      <c r="I142" t="str">
        <f>IF(OR($F142="",$G142=""),"",IF(ISNUMBER(Sync!$AE142),MOD(Sync!$AE142,100),IFERROR(VALUE(TRIM(MID(MID(Sync!$AE142,FIND("/",Sync!$AE142)+1,20),FIND("/",MID(Sync!$AE142,FIND("/",Sync!$AE142)+1,20))+1,20))),"")))</f>
        <v/>
      </c>
      <c r="J142" t="str">
        <f t="shared" si="12"/>
        <v/>
      </c>
      <c r="K142" t="str">
        <f>IF(OR($F142="",$J142="",$J142="نامعتبر"),"",LEFT($J142,4)&amp;MID($J142,6,2)&amp;RIGHT($J142,2)&amp;$N142&amp;"|"&amp;"2"&amp;RIGHT("00000"&amp;137,5))</f>
        <v/>
      </c>
      <c r="L142" t="str">
        <f t="shared" si="13"/>
        <v/>
      </c>
      <c r="M142" t="str">
        <f t="shared" si="14"/>
        <v/>
      </c>
      <c r="N142" t="str">
        <f>IF($F142="","",IF(Sync!$AF142="","0000",IF(AND(ISNUMBER(Sync!$AF142),Sync!$AF142&gt;=0,Sync!$AF142&lt;1),RIGHT("00"&amp;HOUR(Sync!$AF142),2)&amp;RIGHT("00"&amp;MINUTE(Sync!$AF142),2),IFERROR(RIGHT("00"&amp;VALUE(LEFT(Sync!$AF142,FIND(":",Sync!$AF142)-1)),2)&amp;RIGHT("00"&amp;VALUE(MID(Sync!$AF142,FIND(":",Sync!$AF142)+1,2)),2),"0000"))))</f>
        <v/>
      </c>
    </row>
    <row r="143" spans="1:14" x14ac:dyDescent="0.2">
      <c r="A143" t="str">
        <f>IF(OR(Calc!$E147="",Calc!$E147="نامعتبر",Calc!$G147=""),"",Calc!$G147)</f>
        <v>SL003</v>
      </c>
      <c r="B143" t="str">
        <f>IF($A143="","",LEFT(Calc!$E147,4)&amp;MID(Calc!$E147,6,2)&amp;RIGHT(Calc!$E147,2)&amp;Calc!$Q147&amp;"|"&amp;"1"&amp;RIGHT("00000"&amp;138,5))</f>
        <v>140507240000|100138</v>
      </c>
      <c r="C143">
        <f t="shared" si="10"/>
        <v>7</v>
      </c>
      <c r="D143" t="str">
        <f t="shared" si="11"/>
        <v>SL003|000007</v>
      </c>
      <c r="F143" t="str">
        <f>IF(Sync!$AH143="","",IF(LEFT(UPPER(TRIM(Sync!$AH143)),2)="SL",UPPER(TRIM(Sync!$AH143)),""))</f>
        <v/>
      </c>
      <c r="G143" t="str">
        <f>IF($F143="","",IF(Sync!$AE143="","",IF(ISNUMBER(Sync!$AE143),IF(AND(Sync!$AE143&gt;=10000101,Sync!$AE143&lt;=99991231),INT(Sync!$AE143/10000),""),IFERROR(VALUE(TRIM(LEFT(Sync!$AE143,FIND("/",Sync!$AE143)-1))),""))))</f>
        <v/>
      </c>
      <c r="H143" t="str">
        <f>IF(OR($F143="",$G143=""),"",IF(ISNUMBER(Sync!$AE143),INT(MOD(Sync!$AE143,10000)/100),IFERROR(VALUE(TRIM(LEFT(MID(Sync!$AE143,FIND("/",Sync!$AE143)+1,20),FIND("/",MID(Sync!$AE143,FIND("/",Sync!$AE143)+1,20))-1))),"")))</f>
        <v/>
      </c>
      <c r="I143" t="str">
        <f>IF(OR($F143="",$G143=""),"",IF(ISNUMBER(Sync!$AE143),MOD(Sync!$AE143,100),IFERROR(VALUE(TRIM(MID(MID(Sync!$AE143,FIND("/",Sync!$AE143)+1,20),FIND("/",MID(Sync!$AE143,FIND("/",Sync!$AE143)+1,20))+1,20))),"")))</f>
        <v/>
      </c>
      <c r="J143" t="str">
        <f t="shared" si="12"/>
        <v/>
      </c>
      <c r="K143" t="str">
        <f>IF(OR($F143="",$J143="",$J143="نامعتبر"),"",LEFT($J143,4)&amp;MID($J143,6,2)&amp;RIGHT($J143,2)&amp;$N143&amp;"|"&amp;"2"&amp;RIGHT("00000"&amp;138,5))</f>
        <v/>
      </c>
      <c r="L143" t="str">
        <f t="shared" si="13"/>
        <v/>
      </c>
      <c r="M143" t="str">
        <f t="shared" si="14"/>
        <v/>
      </c>
      <c r="N143" t="str">
        <f>IF($F143="","",IF(Sync!$AF143="","0000",IF(AND(ISNUMBER(Sync!$AF143),Sync!$AF143&gt;=0,Sync!$AF143&lt;1),RIGHT("00"&amp;HOUR(Sync!$AF143),2)&amp;RIGHT("00"&amp;MINUTE(Sync!$AF143),2),IFERROR(RIGHT("00"&amp;VALUE(LEFT(Sync!$AF143,FIND(":",Sync!$AF143)-1)),2)&amp;RIGHT("00"&amp;VALUE(MID(Sync!$AF143,FIND(":",Sync!$AF143)+1,2)),2),"0000"))))</f>
        <v/>
      </c>
    </row>
    <row r="144" spans="1:14" x14ac:dyDescent="0.2">
      <c r="A144" t="str">
        <f>IF(OR(Calc!$E148="",Calc!$E148="نامعتبر",Calc!$G148=""),"",Calc!$G148)</f>
        <v/>
      </c>
      <c r="B144" t="str">
        <f>IF($A144="","",LEFT(Calc!$E148,4)&amp;MID(Calc!$E148,6,2)&amp;RIGHT(Calc!$E148,2)&amp;Calc!$Q148&amp;"|"&amp;"1"&amp;RIGHT("00000"&amp;139,5))</f>
        <v/>
      </c>
      <c r="C144" t="str">
        <f t="shared" si="10"/>
        <v/>
      </c>
      <c r="D144" t="str">
        <f t="shared" si="11"/>
        <v/>
      </c>
      <c r="F144" t="str">
        <f>IF(Sync!$AH144="","",IF(LEFT(UPPER(TRIM(Sync!$AH144)),2)="SL",UPPER(TRIM(Sync!$AH144)),""))</f>
        <v/>
      </c>
      <c r="G144" t="str">
        <f>IF($F144="","",IF(Sync!$AE144="","",IF(ISNUMBER(Sync!$AE144),IF(AND(Sync!$AE144&gt;=10000101,Sync!$AE144&lt;=99991231),INT(Sync!$AE144/10000),""),IFERROR(VALUE(TRIM(LEFT(Sync!$AE144,FIND("/",Sync!$AE144)-1))),""))))</f>
        <v/>
      </c>
      <c r="H144" t="str">
        <f>IF(OR($F144="",$G144=""),"",IF(ISNUMBER(Sync!$AE144),INT(MOD(Sync!$AE144,10000)/100),IFERROR(VALUE(TRIM(LEFT(MID(Sync!$AE144,FIND("/",Sync!$AE144)+1,20),FIND("/",MID(Sync!$AE144,FIND("/",Sync!$AE144)+1,20))-1))),"")))</f>
        <v/>
      </c>
      <c r="I144" t="str">
        <f>IF(OR($F144="",$G144=""),"",IF(ISNUMBER(Sync!$AE144),MOD(Sync!$AE144,100),IFERROR(VALUE(TRIM(MID(MID(Sync!$AE144,FIND("/",Sync!$AE144)+1,20),FIND("/",MID(Sync!$AE144,FIND("/",Sync!$AE144)+1,20))+1,20))),"")))</f>
        <v/>
      </c>
      <c r="J144" t="str">
        <f t="shared" si="12"/>
        <v/>
      </c>
      <c r="K144" t="str">
        <f>IF(OR($F144="",$J144="",$J144="نامعتبر"),"",LEFT($J144,4)&amp;MID($J144,6,2)&amp;RIGHT($J144,2)&amp;$N144&amp;"|"&amp;"2"&amp;RIGHT("00000"&amp;139,5))</f>
        <v/>
      </c>
      <c r="L144" t="str">
        <f t="shared" si="13"/>
        <v/>
      </c>
      <c r="M144" t="str">
        <f t="shared" si="14"/>
        <v/>
      </c>
      <c r="N144" t="str">
        <f>IF($F144="","",IF(Sync!$AF144="","0000",IF(AND(ISNUMBER(Sync!$AF144),Sync!$AF144&gt;=0,Sync!$AF144&lt;1),RIGHT("00"&amp;HOUR(Sync!$AF144),2)&amp;RIGHT("00"&amp;MINUTE(Sync!$AF144),2),IFERROR(RIGHT("00"&amp;VALUE(LEFT(Sync!$AF144,FIND(":",Sync!$AF144)-1)),2)&amp;RIGHT("00"&amp;VALUE(MID(Sync!$AF144,FIND(":",Sync!$AF144)+1,2)),2),"0000"))))</f>
        <v/>
      </c>
    </row>
    <row r="145" spans="1:14" x14ac:dyDescent="0.2">
      <c r="A145" t="str">
        <f>IF(OR(Calc!$E149="",Calc!$E149="نامعتبر",Calc!$G149=""),"",Calc!$G149)</f>
        <v>SL001</v>
      </c>
      <c r="B145" t="str">
        <f>IF($A145="","",LEFT(Calc!$E149,4)&amp;MID(Calc!$E149,6,2)&amp;RIGHT(Calc!$E149,2)&amp;Calc!$Q149&amp;"|"&amp;"1"&amp;RIGHT("00000"&amp;140,5))</f>
        <v>140507240000|100140</v>
      </c>
      <c r="C145">
        <f t="shared" si="10"/>
        <v>10</v>
      </c>
      <c r="D145" t="str">
        <f t="shared" si="11"/>
        <v>SL001|000010</v>
      </c>
      <c r="F145" t="str">
        <f>IF(Sync!$AH145="","",IF(LEFT(UPPER(TRIM(Sync!$AH145)),2)="SL",UPPER(TRIM(Sync!$AH145)),""))</f>
        <v/>
      </c>
      <c r="G145" t="str">
        <f>IF($F145="","",IF(Sync!$AE145="","",IF(ISNUMBER(Sync!$AE145),IF(AND(Sync!$AE145&gt;=10000101,Sync!$AE145&lt;=99991231),INT(Sync!$AE145/10000),""),IFERROR(VALUE(TRIM(LEFT(Sync!$AE145,FIND("/",Sync!$AE145)-1))),""))))</f>
        <v/>
      </c>
      <c r="H145" t="str">
        <f>IF(OR($F145="",$G145=""),"",IF(ISNUMBER(Sync!$AE145),INT(MOD(Sync!$AE145,10000)/100),IFERROR(VALUE(TRIM(LEFT(MID(Sync!$AE145,FIND("/",Sync!$AE145)+1,20),FIND("/",MID(Sync!$AE145,FIND("/",Sync!$AE145)+1,20))-1))),"")))</f>
        <v/>
      </c>
      <c r="I145" t="str">
        <f>IF(OR($F145="",$G145=""),"",IF(ISNUMBER(Sync!$AE145),MOD(Sync!$AE145,100),IFERROR(VALUE(TRIM(MID(MID(Sync!$AE145,FIND("/",Sync!$AE145)+1,20),FIND("/",MID(Sync!$AE145,FIND("/",Sync!$AE145)+1,20))+1,20))),"")))</f>
        <v/>
      </c>
      <c r="J145" t="str">
        <f t="shared" si="12"/>
        <v/>
      </c>
      <c r="K145" t="str">
        <f>IF(OR($F145="",$J145="",$J145="نامعتبر"),"",LEFT($J145,4)&amp;MID($J145,6,2)&amp;RIGHT($J145,2)&amp;$N145&amp;"|"&amp;"2"&amp;RIGHT("00000"&amp;140,5))</f>
        <v/>
      </c>
      <c r="L145" t="str">
        <f t="shared" si="13"/>
        <v/>
      </c>
      <c r="M145" t="str">
        <f t="shared" si="14"/>
        <v/>
      </c>
      <c r="N145" t="str">
        <f>IF($F145="","",IF(Sync!$AF145="","0000",IF(AND(ISNUMBER(Sync!$AF145),Sync!$AF145&gt;=0,Sync!$AF145&lt;1),RIGHT("00"&amp;HOUR(Sync!$AF145),2)&amp;RIGHT("00"&amp;MINUTE(Sync!$AF145),2),IFERROR(RIGHT("00"&amp;VALUE(LEFT(Sync!$AF145,FIND(":",Sync!$AF145)-1)),2)&amp;RIGHT("00"&amp;VALUE(MID(Sync!$AF145,FIND(":",Sync!$AF145)+1,2)),2),"0000"))))</f>
        <v/>
      </c>
    </row>
    <row r="146" spans="1:14" x14ac:dyDescent="0.2">
      <c r="A146" t="str">
        <f>IF(OR(Calc!$E150="",Calc!$E150="نامعتبر",Calc!$G150=""),"",Calc!$G150)</f>
        <v/>
      </c>
      <c r="B146" t="str">
        <f>IF($A146="","",LEFT(Calc!$E150,4)&amp;MID(Calc!$E150,6,2)&amp;RIGHT(Calc!$E150,2)&amp;Calc!$Q150&amp;"|"&amp;"1"&amp;RIGHT("00000"&amp;141,5))</f>
        <v/>
      </c>
      <c r="C146" t="str">
        <f t="shared" si="10"/>
        <v/>
      </c>
      <c r="D146" t="str">
        <f t="shared" si="11"/>
        <v/>
      </c>
      <c r="F146" t="str">
        <f>IF(Sync!$AH146="","",IF(LEFT(UPPER(TRIM(Sync!$AH146)),2)="SL",UPPER(TRIM(Sync!$AH146)),""))</f>
        <v/>
      </c>
      <c r="G146" t="str">
        <f>IF($F146="","",IF(Sync!$AE146="","",IF(ISNUMBER(Sync!$AE146),IF(AND(Sync!$AE146&gt;=10000101,Sync!$AE146&lt;=99991231),INT(Sync!$AE146/10000),""),IFERROR(VALUE(TRIM(LEFT(Sync!$AE146,FIND("/",Sync!$AE146)-1))),""))))</f>
        <v/>
      </c>
      <c r="H146" t="str">
        <f>IF(OR($F146="",$G146=""),"",IF(ISNUMBER(Sync!$AE146),INT(MOD(Sync!$AE146,10000)/100),IFERROR(VALUE(TRIM(LEFT(MID(Sync!$AE146,FIND("/",Sync!$AE146)+1,20),FIND("/",MID(Sync!$AE146,FIND("/",Sync!$AE146)+1,20))-1))),"")))</f>
        <v/>
      </c>
      <c r="I146" t="str">
        <f>IF(OR($F146="",$G146=""),"",IF(ISNUMBER(Sync!$AE146),MOD(Sync!$AE146,100),IFERROR(VALUE(TRIM(MID(MID(Sync!$AE146,FIND("/",Sync!$AE146)+1,20),FIND("/",MID(Sync!$AE146,FIND("/",Sync!$AE146)+1,20))+1,20))),"")))</f>
        <v/>
      </c>
      <c r="J146" t="str">
        <f t="shared" si="12"/>
        <v/>
      </c>
      <c r="K146" t="str">
        <f>IF(OR($F146="",$J146="",$J146="نامعتبر"),"",LEFT($J146,4)&amp;MID($J146,6,2)&amp;RIGHT($J146,2)&amp;$N146&amp;"|"&amp;"2"&amp;RIGHT("00000"&amp;141,5))</f>
        <v/>
      </c>
      <c r="L146" t="str">
        <f t="shared" si="13"/>
        <v/>
      </c>
      <c r="M146" t="str">
        <f t="shared" si="14"/>
        <v/>
      </c>
      <c r="N146" t="str">
        <f>IF($F146="","",IF(Sync!$AF146="","0000",IF(AND(ISNUMBER(Sync!$AF146),Sync!$AF146&gt;=0,Sync!$AF146&lt;1),RIGHT("00"&amp;HOUR(Sync!$AF146),2)&amp;RIGHT("00"&amp;MINUTE(Sync!$AF146),2),IFERROR(RIGHT("00"&amp;VALUE(LEFT(Sync!$AF146,FIND(":",Sync!$AF146)-1)),2)&amp;RIGHT("00"&amp;VALUE(MID(Sync!$AF146,FIND(":",Sync!$AF146)+1,2)),2),"0000"))))</f>
        <v/>
      </c>
    </row>
    <row r="147" spans="1:14" x14ac:dyDescent="0.2">
      <c r="A147" t="str">
        <f>IF(OR(Calc!$E151="",Calc!$E151="نامعتبر",Calc!$G151=""),"",Calc!$G151)</f>
        <v/>
      </c>
      <c r="B147" t="str">
        <f>IF($A147="","",LEFT(Calc!$E151,4)&amp;MID(Calc!$E151,6,2)&amp;RIGHT(Calc!$E151,2)&amp;Calc!$Q151&amp;"|"&amp;"1"&amp;RIGHT("00000"&amp;142,5))</f>
        <v/>
      </c>
      <c r="C147" t="str">
        <f t="shared" si="10"/>
        <v/>
      </c>
      <c r="D147" t="str">
        <f t="shared" si="11"/>
        <v/>
      </c>
      <c r="F147" t="str">
        <f>IF(Sync!$AH147="","",IF(LEFT(UPPER(TRIM(Sync!$AH147)),2)="SL",UPPER(TRIM(Sync!$AH147)),""))</f>
        <v/>
      </c>
      <c r="G147" t="str">
        <f>IF($F147="","",IF(Sync!$AE147="","",IF(ISNUMBER(Sync!$AE147),IF(AND(Sync!$AE147&gt;=10000101,Sync!$AE147&lt;=99991231),INT(Sync!$AE147/10000),""),IFERROR(VALUE(TRIM(LEFT(Sync!$AE147,FIND("/",Sync!$AE147)-1))),""))))</f>
        <v/>
      </c>
      <c r="H147" t="str">
        <f>IF(OR($F147="",$G147=""),"",IF(ISNUMBER(Sync!$AE147),INT(MOD(Sync!$AE147,10000)/100),IFERROR(VALUE(TRIM(LEFT(MID(Sync!$AE147,FIND("/",Sync!$AE147)+1,20),FIND("/",MID(Sync!$AE147,FIND("/",Sync!$AE147)+1,20))-1))),"")))</f>
        <v/>
      </c>
      <c r="I147" t="str">
        <f>IF(OR($F147="",$G147=""),"",IF(ISNUMBER(Sync!$AE147),MOD(Sync!$AE147,100),IFERROR(VALUE(TRIM(MID(MID(Sync!$AE147,FIND("/",Sync!$AE147)+1,20),FIND("/",MID(Sync!$AE147,FIND("/",Sync!$AE147)+1,20))+1,20))),"")))</f>
        <v/>
      </c>
      <c r="J147" t="str">
        <f t="shared" si="12"/>
        <v/>
      </c>
      <c r="K147" t="str">
        <f>IF(OR($F147="",$J147="",$J147="نامعتبر"),"",LEFT($J147,4)&amp;MID($J147,6,2)&amp;RIGHT($J147,2)&amp;$N147&amp;"|"&amp;"2"&amp;RIGHT("00000"&amp;142,5))</f>
        <v/>
      </c>
      <c r="L147" t="str">
        <f t="shared" si="13"/>
        <v/>
      </c>
      <c r="M147" t="str">
        <f t="shared" si="14"/>
        <v/>
      </c>
      <c r="N147" t="str">
        <f>IF($F147="","",IF(Sync!$AF147="","0000",IF(AND(ISNUMBER(Sync!$AF147),Sync!$AF147&gt;=0,Sync!$AF147&lt;1),RIGHT("00"&amp;HOUR(Sync!$AF147),2)&amp;RIGHT("00"&amp;MINUTE(Sync!$AF147),2),IFERROR(RIGHT("00"&amp;VALUE(LEFT(Sync!$AF147,FIND(":",Sync!$AF147)-1)),2)&amp;RIGHT("00"&amp;VALUE(MID(Sync!$AF147,FIND(":",Sync!$AF147)+1,2)),2),"0000"))))</f>
        <v/>
      </c>
    </row>
    <row r="148" spans="1:14" x14ac:dyDescent="0.2">
      <c r="A148" t="str">
        <f>IF(OR(Calc!$E152="",Calc!$E152="نامعتبر",Calc!$G152=""),"",Calc!$G152)</f>
        <v/>
      </c>
      <c r="B148" t="str">
        <f>IF($A148="","",LEFT(Calc!$E152,4)&amp;MID(Calc!$E152,6,2)&amp;RIGHT(Calc!$E152,2)&amp;Calc!$Q152&amp;"|"&amp;"1"&amp;RIGHT("00000"&amp;143,5))</f>
        <v/>
      </c>
      <c r="C148" t="str">
        <f t="shared" si="10"/>
        <v/>
      </c>
      <c r="D148" t="str">
        <f t="shared" si="11"/>
        <v/>
      </c>
      <c r="F148" t="str">
        <f>IF(Sync!$AH148="","",IF(LEFT(UPPER(TRIM(Sync!$AH148)),2)="SL",UPPER(TRIM(Sync!$AH148)),""))</f>
        <v/>
      </c>
      <c r="G148" t="str">
        <f>IF($F148="","",IF(Sync!$AE148="","",IF(ISNUMBER(Sync!$AE148),IF(AND(Sync!$AE148&gt;=10000101,Sync!$AE148&lt;=99991231),INT(Sync!$AE148/10000),""),IFERROR(VALUE(TRIM(LEFT(Sync!$AE148,FIND("/",Sync!$AE148)-1))),""))))</f>
        <v/>
      </c>
      <c r="H148" t="str">
        <f>IF(OR($F148="",$G148=""),"",IF(ISNUMBER(Sync!$AE148),INT(MOD(Sync!$AE148,10000)/100),IFERROR(VALUE(TRIM(LEFT(MID(Sync!$AE148,FIND("/",Sync!$AE148)+1,20),FIND("/",MID(Sync!$AE148,FIND("/",Sync!$AE148)+1,20))-1))),"")))</f>
        <v/>
      </c>
      <c r="I148" t="str">
        <f>IF(OR($F148="",$G148=""),"",IF(ISNUMBER(Sync!$AE148),MOD(Sync!$AE148,100),IFERROR(VALUE(TRIM(MID(MID(Sync!$AE148,FIND("/",Sync!$AE148)+1,20),FIND("/",MID(Sync!$AE148,FIND("/",Sync!$AE148)+1,20))+1,20))),"")))</f>
        <v/>
      </c>
      <c r="J148" t="str">
        <f t="shared" si="12"/>
        <v/>
      </c>
      <c r="K148" t="str">
        <f>IF(OR($F148="",$J148="",$J148="نامعتبر"),"",LEFT($J148,4)&amp;MID($J148,6,2)&amp;RIGHT($J148,2)&amp;$N148&amp;"|"&amp;"2"&amp;RIGHT("00000"&amp;143,5))</f>
        <v/>
      </c>
      <c r="L148" t="str">
        <f t="shared" si="13"/>
        <v/>
      </c>
      <c r="M148" t="str">
        <f t="shared" si="14"/>
        <v/>
      </c>
      <c r="N148" t="str">
        <f>IF($F148="","",IF(Sync!$AF148="","0000",IF(AND(ISNUMBER(Sync!$AF148),Sync!$AF148&gt;=0,Sync!$AF148&lt;1),RIGHT("00"&amp;HOUR(Sync!$AF148),2)&amp;RIGHT("00"&amp;MINUTE(Sync!$AF148),2),IFERROR(RIGHT("00"&amp;VALUE(LEFT(Sync!$AF148,FIND(":",Sync!$AF148)-1)),2)&amp;RIGHT("00"&amp;VALUE(MID(Sync!$AF148,FIND(":",Sync!$AF148)+1,2)),2),"0000"))))</f>
        <v/>
      </c>
    </row>
    <row r="149" spans="1:14" x14ac:dyDescent="0.2">
      <c r="A149" t="str">
        <f>IF(OR(Calc!$E153="",Calc!$E153="نامعتبر",Calc!$G153=""),"",Calc!$G153)</f>
        <v/>
      </c>
      <c r="B149" t="str">
        <f>IF($A149="","",LEFT(Calc!$E153,4)&amp;MID(Calc!$E153,6,2)&amp;RIGHT(Calc!$E153,2)&amp;Calc!$Q153&amp;"|"&amp;"1"&amp;RIGHT("00000"&amp;144,5))</f>
        <v/>
      </c>
      <c r="C149" t="str">
        <f t="shared" si="10"/>
        <v/>
      </c>
      <c r="D149" t="str">
        <f t="shared" si="11"/>
        <v/>
      </c>
      <c r="F149" t="str">
        <f>IF(Sync!$AH149="","",IF(LEFT(UPPER(TRIM(Sync!$AH149)),2)="SL",UPPER(TRIM(Sync!$AH149)),""))</f>
        <v/>
      </c>
      <c r="G149" t="str">
        <f>IF($F149="","",IF(Sync!$AE149="","",IF(ISNUMBER(Sync!$AE149),IF(AND(Sync!$AE149&gt;=10000101,Sync!$AE149&lt;=99991231),INT(Sync!$AE149/10000),""),IFERROR(VALUE(TRIM(LEFT(Sync!$AE149,FIND("/",Sync!$AE149)-1))),""))))</f>
        <v/>
      </c>
      <c r="H149" t="str">
        <f>IF(OR($F149="",$G149=""),"",IF(ISNUMBER(Sync!$AE149),INT(MOD(Sync!$AE149,10000)/100),IFERROR(VALUE(TRIM(LEFT(MID(Sync!$AE149,FIND("/",Sync!$AE149)+1,20),FIND("/",MID(Sync!$AE149,FIND("/",Sync!$AE149)+1,20))-1))),"")))</f>
        <v/>
      </c>
      <c r="I149" t="str">
        <f>IF(OR($F149="",$G149=""),"",IF(ISNUMBER(Sync!$AE149),MOD(Sync!$AE149,100),IFERROR(VALUE(TRIM(MID(MID(Sync!$AE149,FIND("/",Sync!$AE149)+1,20),FIND("/",MID(Sync!$AE149,FIND("/",Sync!$AE149)+1,20))+1,20))),"")))</f>
        <v/>
      </c>
      <c r="J149" t="str">
        <f t="shared" si="12"/>
        <v/>
      </c>
      <c r="K149" t="str">
        <f>IF(OR($F149="",$J149="",$J149="نامعتبر"),"",LEFT($J149,4)&amp;MID($J149,6,2)&amp;RIGHT($J149,2)&amp;$N149&amp;"|"&amp;"2"&amp;RIGHT("00000"&amp;144,5))</f>
        <v/>
      </c>
      <c r="L149" t="str">
        <f t="shared" si="13"/>
        <v/>
      </c>
      <c r="M149" t="str">
        <f t="shared" si="14"/>
        <v/>
      </c>
      <c r="N149" t="str">
        <f>IF($F149="","",IF(Sync!$AF149="","0000",IF(AND(ISNUMBER(Sync!$AF149),Sync!$AF149&gt;=0,Sync!$AF149&lt;1),RIGHT("00"&amp;HOUR(Sync!$AF149),2)&amp;RIGHT("00"&amp;MINUTE(Sync!$AF149),2),IFERROR(RIGHT("00"&amp;VALUE(LEFT(Sync!$AF149,FIND(":",Sync!$AF149)-1)),2)&amp;RIGHT("00"&amp;VALUE(MID(Sync!$AF149,FIND(":",Sync!$AF149)+1,2)),2),"0000"))))</f>
        <v/>
      </c>
    </row>
    <row r="150" spans="1:14" x14ac:dyDescent="0.2">
      <c r="A150" t="str">
        <f>IF(OR(Calc!$E154="",Calc!$E154="نامعتبر",Calc!$G154=""),"",Calc!$G154)</f>
        <v/>
      </c>
      <c r="B150" t="str">
        <f>IF($A150="","",LEFT(Calc!$E154,4)&amp;MID(Calc!$E154,6,2)&amp;RIGHT(Calc!$E154,2)&amp;Calc!$Q154&amp;"|"&amp;"1"&amp;RIGHT("00000"&amp;145,5))</f>
        <v/>
      </c>
      <c r="C150" t="str">
        <f t="shared" si="10"/>
        <v/>
      </c>
      <c r="D150" t="str">
        <f t="shared" si="11"/>
        <v/>
      </c>
      <c r="F150" t="str">
        <f>IF(Sync!$AH150="","",IF(LEFT(UPPER(TRIM(Sync!$AH150)),2)="SL",UPPER(TRIM(Sync!$AH150)),""))</f>
        <v/>
      </c>
      <c r="G150" t="str">
        <f>IF($F150="","",IF(Sync!$AE150="","",IF(ISNUMBER(Sync!$AE150),IF(AND(Sync!$AE150&gt;=10000101,Sync!$AE150&lt;=99991231),INT(Sync!$AE150/10000),""),IFERROR(VALUE(TRIM(LEFT(Sync!$AE150,FIND("/",Sync!$AE150)-1))),""))))</f>
        <v/>
      </c>
      <c r="H150" t="str">
        <f>IF(OR($F150="",$G150=""),"",IF(ISNUMBER(Sync!$AE150),INT(MOD(Sync!$AE150,10000)/100),IFERROR(VALUE(TRIM(LEFT(MID(Sync!$AE150,FIND("/",Sync!$AE150)+1,20),FIND("/",MID(Sync!$AE150,FIND("/",Sync!$AE150)+1,20))-1))),"")))</f>
        <v/>
      </c>
      <c r="I150" t="str">
        <f>IF(OR($F150="",$G150=""),"",IF(ISNUMBER(Sync!$AE150),MOD(Sync!$AE150,100),IFERROR(VALUE(TRIM(MID(MID(Sync!$AE150,FIND("/",Sync!$AE150)+1,20),FIND("/",MID(Sync!$AE150,FIND("/",Sync!$AE150)+1,20))+1,20))),"")))</f>
        <v/>
      </c>
      <c r="J150" t="str">
        <f t="shared" si="12"/>
        <v/>
      </c>
      <c r="K150" t="str">
        <f>IF(OR($F150="",$J150="",$J150="نامعتبر"),"",LEFT($J150,4)&amp;MID($J150,6,2)&amp;RIGHT($J150,2)&amp;$N150&amp;"|"&amp;"2"&amp;RIGHT("00000"&amp;145,5))</f>
        <v/>
      </c>
      <c r="L150" t="str">
        <f t="shared" si="13"/>
        <v/>
      </c>
      <c r="M150" t="str">
        <f t="shared" si="14"/>
        <v/>
      </c>
      <c r="N150" t="str">
        <f>IF($F150="","",IF(Sync!$AF150="","0000",IF(AND(ISNUMBER(Sync!$AF150),Sync!$AF150&gt;=0,Sync!$AF150&lt;1),RIGHT("00"&amp;HOUR(Sync!$AF150),2)&amp;RIGHT("00"&amp;MINUTE(Sync!$AF150),2),IFERROR(RIGHT("00"&amp;VALUE(LEFT(Sync!$AF150,FIND(":",Sync!$AF150)-1)),2)&amp;RIGHT("00"&amp;VALUE(MID(Sync!$AF150,FIND(":",Sync!$AF150)+1,2)),2),"0000"))))</f>
        <v/>
      </c>
    </row>
    <row r="151" spans="1:14" x14ac:dyDescent="0.2">
      <c r="A151" t="str">
        <f>IF(OR(Calc!$E155="",Calc!$E155="نامعتبر",Calc!$G155=""),"",Calc!$G155)</f>
        <v>SL005</v>
      </c>
      <c r="B151" t="str">
        <f>IF($A151="","",LEFT(Calc!$E155,4)&amp;MID(Calc!$E155,6,2)&amp;RIGHT(Calc!$E155,2)&amp;Calc!$Q155&amp;"|"&amp;"1"&amp;RIGHT("00000"&amp;146,5))</f>
        <v>140507250000|100146</v>
      </c>
      <c r="C151">
        <f t="shared" si="10"/>
        <v>4</v>
      </c>
      <c r="D151" t="str">
        <f t="shared" si="11"/>
        <v>SL005|000004</v>
      </c>
      <c r="F151" t="str">
        <f>IF(Sync!$AH151="","",IF(LEFT(UPPER(TRIM(Sync!$AH151)),2)="SL",UPPER(TRIM(Sync!$AH151)),""))</f>
        <v/>
      </c>
      <c r="G151" t="str">
        <f>IF($F151="","",IF(Sync!$AE151="","",IF(ISNUMBER(Sync!$AE151),IF(AND(Sync!$AE151&gt;=10000101,Sync!$AE151&lt;=99991231),INT(Sync!$AE151/10000),""),IFERROR(VALUE(TRIM(LEFT(Sync!$AE151,FIND("/",Sync!$AE151)-1))),""))))</f>
        <v/>
      </c>
      <c r="H151" t="str">
        <f>IF(OR($F151="",$G151=""),"",IF(ISNUMBER(Sync!$AE151),INT(MOD(Sync!$AE151,10000)/100),IFERROR(VALUE(TRIM(LEFT(MID(Sync!$AE151,FIND("/",Sync!$AE151)+1,20),FIND("/",MID(Sync!$AE151,FIND("/",Sync!$AE151)+1,20))-1))),"")))</f>
        <v/>
      </c>
      <c r="I151" t="str">
        <f>IF(OR($F151="",$G151=""),"",IF(ISNUMBER(Sync!$AE151),MOD(Sync!$AE151,100),IFERROR(VALUE(TRIM(MID(MID(Sync!$AE151,FIND("/",Sync!$AE151)+1,20),FIND("/",MID(Sync!$AE151,FIND("/",Sync!$AE151)+1,20))+1,20))),"")))</f>
        <v/>
      </c>
      <c r="J151" t="str">
        <f t="shared" si="12"/>
        <v/>
      </c>
      <c r="K151" t="str">
        <f>IF(OR($F151="",$J151="",$J151="نامعتبر"),"",LEFT($J151,4)&amp;MID($J151,6,2)&amp;RIGHT($J151,2)&amp;$N151&amp;"|"&amp;"2"&amp;RIGHT("00000"&amp;146,5))</f>
        <v/>
      </c>
      <c r="L151" t="str">
        <f t="shared" si="13"/>
        <v/>
      </c>
      <c r="M151" t="str">
        <f t="shared" si="14"/>
        <v/>
      </c>
      <c r="N151" t="str">
        <f>IF($F151="","",IF(Sync!$AF151="","0000",IF(AND(ISNUMBER(Sync!$AF151),Sync!$AF151&gt;=0,Sync!$AF151&lt;1),RIGHT("00"&amp;HOUR(Sync!$AF151),2)&amp;RIGHT("00"&amp;MINUTE(Sync!$AF151),2),IFERROR(RIGHT("00"&amp;VALUE(LEFT(Sync!$AF151,FIND(":",Sync!$AF151)-1)),2)&amp;RIGHT("00"&amp;VALUE(MID(Sync!$AF151,FIND(":",Sync!$AF151)+1,2)),2),"0000"))))</f>
        <v/>
      </c>
    </row>
    <row r="152" spans="1:14" x14ac:dyDescent="0.2">
      <c r="A152" t="str">
        <f>IF(OR(Calc!$E156="",Calc!$E156="نامعتبر",Calc!$G156=""),"",Calc!$G156)</f>
        <v/>
      </c>
      <c r="B152" t="str">
        <f>IF($A152="","",LEFT(Calc!$E156,4)&amp;MID(Calc!$E156,6,2)&amp;RIGHT(Calc!$E156,2)&amp;Calc!$Q156&amp;"|"&amp;"1"&amp;RIGHT("00000"&amp;147,5))</f>
        <v/>
      </c>
      <c r="C152" t="str">
        <f t="shared" si="10"/>
        <v/>
      </c>
      <c r="D152" t="str">
        <f t="shared" si="11"/>
        <v/>
      </c>
      <c r="F152" t="str">
        <f>IF(Sync!$AH152="","",IF(LEFT(UPPER(TRIM(Sync!$AH152)),2)="SL",UPPER(TRIM(Sync!$AH152)),""))</f>
        <v/>
      </c>
      <c r="G152" t="str">
        <f>IF($F152="","",IF(Sync!$AE152="","",IF(ISNUMBER(Sync!$AE152),IF(AND(Sync!$AE152&gt;=10000101,Sync!$AE152&lt;=99991231),INT(Sync!$AE152/10000),""),IFERROR(VALUE(TRIM(LEFT(Sync!$AE152,FIND("/",Sync!$AE152)-1))),""))))</f>
        <v/>
      </c>
      <c r="H152" t="str">
        <f>IF(OR($F152="",$G152=""),"",IF(ISNUMBER(Sync!$AE152),INT(MOD(Sync!$AE152,10000)/100),IFERROR(VALUE(TRIM(LEFT(MID(Sync!$AE152,FIND("/",Sync!$AE152)+1,20),FIND("/",MID(Sync!$AE152,FIND("/",Sync!$AE152)+1,20))-1))),"")))</f>
        <v/>
      </c>
      <c r="I152" t="str">
        <f>IF(OR($F152="",$G152=""),"",IF(ISNUMBER(Sync!$AE152),MOD(Sync!$AE152,100),IFERROR(VALUE(TRIM(MID(MID(Sync!$AE152,FIND("/",Sync!$AE152)+1,20),FIND("/",MID(Sync!$AE152,FIND("/",Sync!$AE152)+1,20))+1,20))),"")))</f>
        <v/>
      </c>
      <c r="J152" t="str">
        <f t="shared" si="12"/>
        <v/>
      </c>
      <c r="K152" t="str">
        <f>IF(OR($F152="",$J152="",$J152="نامعتبر"),"",LEFT($J152,4)&amp;MID($J152,6,2)&amp;RIGHT($J152,2)&amp;$N152&amp;"|"&amp;"2"&amp;RIGHT("00000"&amp;147,5))</f>
        <v/>
      </c>
      <c r="L152" t="str">
        <f t="shared" si="13"/>
        <v/>
      </c>
      <c r="M152" t="str">
        <f t="shared" si="14"/>
        <v/>
      </c>
      <c r="N152" t="str">
        <f>IF($F152="","",IF(Sync!$AF152="","0000",IF(AND(ISNUMBER(Sync!$AF152),Sync!$AF152&gt;=0,Sync!$AF152&lt;1),RIGHT("00"&amp;HOUR(Sync!$AF152),2)&amp;RIGHT("00"&amp;MINUTE(Sync!$AF152),2),IFERROR(RIGHT("00"&amp;VALUE(LEFT(Sync!$AF152,FIND(":",Sync!$AF152)-1)),2)&amp;RIGHT("00"&amp;VALUE(MID(Sync!$AF152,FIND(":",Sync!$AF152)+1,2)),2),"0000"))))</f>
        <v/>
      </c>
    </row>
    <row r="153" spans="1:14" x14ac:dyDescent="0.2">
      <c r="A153" t="str">
        <f>IF(OR(Calc!$E157="",Calc!$E157="نامعتبر",Calc!$G157=""),"",Calc!$G157)</f>
        <v/>
      </c>
      <c r="B153" t="str">
        <f>IF($A153="","",LEFT(Calc!$E157,4)&amp;MID(Calc!$E157,6,2)&amp;RIGHT(Calc!$E157,2)&amp;Calc!$Q157&amp;"|"&amp;"1"&amp;RIGHT("00000"&amp;148,5))</f>
        <v/>
      </c>
      <c r="C153" t="str">
        <f t="shared" si="10"/>
        <v/>
      </c>
      <c r="D153" t="str">
        <f t="shared" si="11"/>
        <v/>
      </c>
      <c r="F153" t="str">
        <f>IF(Sync!$AH153="","",IF(LEFT(UPPER(TRIM(Sync!$AH153)),2)="SL",UPPER(TRIM(Sync!$AH153)),""))</f>
        <v/>
      </c>
      <c r="G153" t="str">
        <f>IF($F153="","",IF(Sync!$AE153="","",IF(ISNUMBER(Sync!$AE153),IF(AND(Sync!$AE153&gt;=10000101,Sync!$AE153&lt;=99991231),INT(Sync!$AE153/10000),""),IFERROR(VALUE(TRIM(LEFT(Sync!$AE153,FIND("/",Sync!$AE153)-1))),""))))</f>
        <v/>
      </c>
      <c r="H153" t="str">
        <f>IF(OR($F153="",$G153=""),"",IF(ISNUMBER(Sync!$AE153),INT(MOD(Sync!$AE153,10000)/100),IFERROR(VALUE(TRIM(LEFT(MID(Sync!$AE153,FIND("/",Sync!$AE153)+1,20),FIND("/",MID(Sync!$AE153,FIND("/",Sync!$AE153)+1,20))-1))),"")))</f>
        <v/>
      </c>
      <c r="I153" t="str">
        <f>IF(OR($F153="",$G153=""),"",IF(ISNUMBER(Sync!$AE153),MOD(Sync!$AE153,100),IFERROR(VALUE(TRIM(MID(MID(Sync!$AE153,FIND("/",Sync!$AE153)+1,20),FIND("/",MID(Sync!$AE153,FIND("/",Sync!$AE153)+1,20))+1,20))),"")))</f>
        <v/>
      </c>
      <c r="J153" t="str">
        <f t="shared" si="12"/>
        <v/>
      </c>
      <c r="K153" t="str">
        <f>IF(OR($F153="",$J153="",$J153="نامعتبر"),"",LEFT($J153,4)&amp;MID($J153,6,2)&amp;RIGHT($J153,2)&amp;$N153&amp;"|"&amp;"2"&amp;RIGHT("00000"&amp;148,5))</f>
        <v/>
      </c>
      <c r="L153" t="str">
        <f t="shared" si="13"/>
        <v/>
      </c>
      <c r="M153" t="str">
        <f t="shared" si="14"/>
        <v/>
      </c>
      <c r="N153" t="str">
        <f>IF($F153="","",IF(Sync!$AF153="","0000",IF(AND(ISNUMBER(Sync!$AF153),Sync!$AF153&gt;=0,Sync!$AF153&lt;1),RIGHT("00"&amp;HOUR(Sync!$AF153),2)&amp;RIGHT("00"&amp;MINUTE(Sync!$AF153),2),IFERROR(RIGHT("00"&amp;VALUE(LEFT(Sync!$AF153,FIND(":",Sync!$AF153)-1)),2)&amp;RIGHT("00"&amp;VALUE(MID(Sync!$AF153,FIND(":",Sync!$AF153)+1,2)),2),"0000"))))</f>
        <v/>
      </c>
    </row>
    <row r="154" spans="1:14" x14ac:dyDescent="0.2">
      <c r="A154" t="str">
        <f>IF(OR(Calc!$E158="",Calc!$E158="نامعتبر",Calc!$G158=""),"",Calc!$G158)</f>
        <v/>
      </c>
      <c r="B154" t="str">
        <f>IF($A154="","",LEFT(Calc!$E158,4)&amp;MID(Calc!$E158,6,2)&amp;RIGHT(Calc!$E158,2)&amp;Calc!$Q158&amp;"|"&amp;"1"&amp;RIGHT("00000"&amp;149,5))</f>
        <v/>
      </c>
      <c r="C154" t="str">
        <f t="shared" si="10"/>
        <v/>
      </c>
      <c r="D154" t="str">
        <f t="shared" si="11"/>
        <v/>
      </c>
      <c r="F154" t="str">
        <f>IF(Sync!$AH154="","",IF(LEFT(UPPER(TRIM(Sync!$AH154)),2)="SL",UPPER(TRIM(Sync!$AH154)),""))</f>
        <v/>
      </c>
      <c r="G154" t="str">
        <f>IF($F154="","",IF(Sync!$AE154="","",IF(ISNUMBER(Sync!$AE154),IF(AND(Sync!$AE154&gt;=10000101,Sync!$AE154&lt;=99991231),INT(Sync!$AE154/10000),""),IFERROR(VALUE(TRIM(LEFT(Sync!$AE154,FIND("/",Sync!$AE154)-1))),""))))</f>
        <v/>
      </c>
      <c r="H154" t="str">
        <f>IF(OR($F154="",$G154=""),"",IF(ISNUMBER(Sync!$AE154),INT(MOD(Sync!$AE154,10000)/100),IFERROR(VALUE(TRIM(LEFT(MID(Sync!$AE154,FIND("/",Sync!$AE154)+1,20),FIND("/",MID(Sync!$AE154,FIND("/",Sync!$AE154)+1,20))-1))),"")))</f>
        <v/>
      </c>
      <c r="I154" t="str">
        <f>IF(OR($F154="",$G154=""),"",IF(ISNUMBER(Sync!$AE154),MOD(Sync!$AE154,100),IFERROR(VALUE(TRIM(MID(MID(Sync!$AE154,FIND("/",Sync!$AE154)+1,20),FIND("/",MID(Sync!$AE154,FIND("/",Sync!$AE154)+1,20))+1,20))),"")))</f>
        <v/>
      </c>
      <c r="J154" t="str">
        <f t="shared" si="12"/>
        <v/>
      </c>
      <c r="K154" t="str">
        <f>IF(OR($F154="",$J154="",$J154="نامعتبر"),"",LEFT($J154,4)&amp;MID($J154,6,2)&amp;RIGHT($J154,2)&amp;$N154&amp;"|"&amp;"2"&amp;RIGHT("00000"&amp;149,5))</f>
        <v/>
      </c>
      <c r="L154" t="str">
        <f t="shared" si="13"/>
        <v/>
      </c>
      <c r="M154" t="str">
        <f t="shared" si="14"/>
        <v/>
      </c>
      <c r="N154" t="str">
        <f>IF($F154="","",IF(Sync!$AF154="","0000",IF(AND(ISNUMBER(Sync!$AF154),Sync!$AF154&gt;=0,Sync!$AF154&lt;1),RIGHT("00"&amp;HOUR(Sync!$AF154),2)&amp;RIGHT("00"&amp;MINUTE(Sync!$AF154),2),IFERROR(RIGHT("00"&amp;VALUE(LEFT(Sync!$AF154,FIND(":",Sync!$AF154)-1)),2)&amp;RIGHT("00"&amp;VALUE(MID(Sync!$AF154,FIND(":",Sync!$AF154)+1,2)),2),"0000"))))</f>
        <v/>
      </c>
    </row>
    <row r="155" spans="1:14" x14ac:dyDescent="0.2">
      <c r="A155" t="str">
        <f>IF(OR(Calc!$E159="",Calc!$E159="نامعتبر",Calc!$G159=""),"",Calc!$G159)</f>
        <v>SL001</v>
      </c>
      <c r="B155" t="str">
        <f>IF($A155="","",LEFT(Calc!$E159,4)&amp;MID(Calc!$E159,6,2)&amp;RIGHT(Calc!$E159,2)&amp;Calc!$Q159&amp;"|"&amp;"1"&amp;RIGHT("00000"&amp;150,5))</f>
        <v>140507250000|100150</v>
      </c>
      <c r="C155">
        <f t="shared" si="10"/>
        <v>11</v>
      </c>
      <c r="D155" t="str">
        <f t="shared" si="11"/>
        <v>SL001|000011</v>
      </c>
      <c r="F155" t="str">
        <f>IF(Sync!$AH155="","",IF(LEFT(UPPER(TRIM(Sync!$AH155)),2)="SL",UPPER(TRIM(Sync!$AH155)),""))</f>
        <v/>
      </c>
      <c r="G155" t="str">
        <f>IF($F155="","",IF(Sync!$AE155="","",IF(ISNUMBER(Sync!$AE155),IF(AND(Sync!$AE155&gt;=10000101,Sync!$AE155&lt;=99991231),INT(Sync!$AE155/10000),""),IFERROR(VALUE(TRIM(LEFT(Sync!$AE155,FIND("/",Sync!$AE155)-1))),""))))</f>
        <v/>
      </c>
      <c r="H155" t="str">
        <f>IF(OR($F155="",$G155=""),"",IF(ISNUMBER(Sync!$AE155),INT(MOD(Sync!$AE155,10000)/100),IFERROR(VALUE(TRIM(LEFT(MID(Sync!$AE155,FIND("/",Sync!$AE155)+1,20),FIND("/",MID(Sync!$AE155,FIND("/",Sync!$AE155)+1,20))-1))),"")))</f>
        <v/>
      </c>
      <c r="I155" t="str">
        <f>IF(OR($F155="",$G155=""),"",IF(ISNUMBER(Sync!$AE155),MOD(Sync!$AE155,100),IFERROR(VALUE(TRIM(MID(MID(Sync!$AE155,FIND("/",Sync!$AE155)+1,20),FIND("/",MID(Sync!$AE155,FIND("/",Sync!$AE155)+1,20))+1,20))),"")))</f>
        <v/>
      </c>
      <c r="J155" t="str">
        <f t="shared" si="12"/>
        <v/>
      </c>
      <c r="K155" t="str">
        <f>IF(OR($F155="",$J155="",$J155="نامعتبر"),"",LEFT($J155,4)&amp;MID($J155,6,2)&amp;RIGHT($J155,2)&amp;$N155&amp;"|"&amp;"2"&amp;RIGHT("00000"&amp;150,5))</f>
        <v/>
      </c>
      <c r="L155" t="str">
        <f t="shared" si="13"/>
        <v/>
      </c>
      <c r="M155" t="str">
        <f t="shared" si="14"/>
        <v/>
      </c>
      <c r="N155" t="str">
        <f>IF($F155="","",IF(Sync!$AF155="","0000",IF(AND(ISNUMBER(Sync!$AF155),Sync!$AF155&gt;=0,Sync!$AF155&lt;1),RIGHT("00"&amp;HOUR(Sync!$AF155),2)&amp;RIGHT("00"&amp;MINUTE(Sync!$AF155),2),IFERROR(RIGHT("00"&amp;VALUE(LEFT(Sync!$AF155,FIND(":",Sync!$AF155)-1)),2)&amp;RIGHT("00"&amp;VALUE(MID(Sync!$AF155,FIND(":",Sync!$AF155)+1,2)),2),"0000"))))</f>
        <v/>
      </c>
    </row>
    <row r="156" spans="1:14" x14ac:dyDescent="0.2">
      <c r="A156" t="str">
        <f>IF(OR(Calc!$E160="",Calc!$E160="نامعتبر",Calc!$G160=""),"",Calc!$G160)</f>
        <v>SL003</v>
      </c>
      <c r="B156" t="str">
        <f>IF($A156="","",LEFT(Calc!$E160,4)&amp;MID(Calc!$E160,6,2)&amp;RIGHT(Calc!$E160,2)&amp;Calc!$Q160&amp;"|"&amp;"1"&amp;RIGHT("00000"&amp;151,5))</f>
        <v>140507250000|100151</v>
      </c>
      <c r="C156">
        <f t="shared" si="10"/>
        <v>8</v>
      </c>
      <c r="D156" t="str">
        <f t="shared" si="11"/>
        <v>SL003|000008</v>
      </c>
      <c r="F156" t="str">
        <f>IF(Sync!$AH156="","",IF(LEFT(UPPER(TRIM(Sync!$AH156)),2)="SL",UPPER(TRIM(Sync!$AH156)),""))</f>
        <v/>
      </c>
      <c r="G156" t="str">
        <f>IF($F156="","",IF(Sync!$AE156="","",IF(ISNUMBER(Sync!$AE156),IF(AND(Sync!$AE156&gt;=10000101,Sync!$AE156&lt;=99991231),INT(Sync!$AE156/10000),""),IFERROR(VALUE(TRIM(LEFT(Sync!$AE156,FIND("/",Sync!$AE156)-1))),""))))</f>
        <v/>
      </c>
      <c r="H156" t="str">
        <f>IF(OR($F156="",$G156=""),"",IF(ISNUMBER(Sync!$AE156),INT(MOD(Sync!$AE156,10000)/100),IFERROR(VALUE(TRIM(LEFT(MID(Sync!$AE156,FIND("/",Sync!$AE156)+1,20),FIND("/",MID(Sync!$AE156,FIND("/",Sync!$AE156)+1,20))-1))),"")))</f>
        <v/>
      </c>
      <c r="I156" t="str">
        <f>IF(OR($F156="",$G156=""),"",IF(ISNUMBER(Sync!$AE156),MOD(Sync!$AE156,100),IFERROR(VALUE(TRIM(MID(MID(Sync!$AE156,FIND("/",Sync!$AE156)+1,20),FIND("/",MID(Sync!$AE156,FIND("/",Sync!$AE156)+1,20))+1,20))),"")))</f>
        <v/>
      </c>
      <c r="J156" t="str">
        <f t="shared" si="12"/>
        <v/>
      </c>
      <c r="K156" t="str">
        <f>IF(OR($F156="",$J156="",$J156="نامعتبر"),"",LEFT($J156,4)&amp;MID($J156,6,2)&amp;RIGHT($J156,2)&amp;$N156&amp;"|"&amp;"2"&amp;RIGHT("00000"&amp;151,5))</f>
        <v/>
      </c>
      <c r="L156" t="str">
        <f t="shared" si="13"/>
        <v/>
      </c>
      <c r="M156" t="str">
        <f t="shared" si="14"/>
        <v/>
      </c>
      <c r="N156" t="str">
        <f>IF($F156="","",IF(Sync!$AF156="","0000",IF(AND(ISNUMBER(Sync!$AF156),Sync!$AF156&gt;=0,Sync!$AF156&lt;1),RIGHT("00"&amp;HOUR(Sync!$AF156),2)&amp;RIGHT("00"&amp;MINUTE(Sync!$AF156),2),IFERROR(RIGHT("00"&amp;VALUE(LEFT(Sync!$AF156,FIND(":",Sync!$AF156)-1)),2)&amp;RIGHT("00"&amp;VALUE(MID(Sync!$AF156,FIND(":",Sync!$AF156)+1,2)),2),"0000"))))</f>
        <v/>
      </c>
    </row>
    <row r="157" spans="1:14" x14ac:dyDescent="0.2">
      <c r="A157" t="str">
        <f>IF(OR(Calc!$E161="",Calc!$E161="نامعتبر",Calc!$G161=""),"",Calc!$G161)</f>
        <v/>
      </c>
      <c r="B157" t="str">
        <f>IF($A157="","",LEFT(Calc!$E161,4)&amp;MID(Calc!$E161,6,2)&amp;RIGHT(Calc!$E161,2)&amp;Calc!$Q161&amp;"|"&amp;"1"&amp;RIGHT("00000"&amp;152,5))</f>
        <v/>
      </c>
      <c r="C157" t="str">
        <f t="shared" si="10"/>
        <v/>
      </c>
      <c r="D157" t="str">
        <f t="shared" si="11"/>
        <v/>
      </c>
      <c r="F157" t="str">
        <f>IF(Sync!$AH157="","",IF(LEFT(UPPER(TRIM(Sync!$AH157)),2)="SL",UPPER(TRIM(Sync!$AH157)),""))</f>
        <v/>
      </c>
      <c r="G157" t="str">
        <f>IF($F157="","",IF(Sync!$AE157="","",IF(ISNUMBER(Sync!$AE157),IF(AND(Sync!$AE157&gt;=10000101,Sync!$AE157&lt;=99991231),INT(Sync!$AE157/10000),""),IFERROR(VALUE(TRIM(LEFT(Sync!$AE157,FIND("/",Sync!$AE157)-1))),""))))</f>
        <v/>
      </c>
      <c r="H157" t="str">
        <f>IF(OR($F157="",$G157=""),"",IF(ISNUMBER(Sync!$AE157),INT(MOD(Sync!$AE157,10000)/100),IFERROR(VALUE(TRIM(LEFT(MID(Sync!$AE157,FIND("/",Sync!$AE157)+1,20),FIND("/",MID(Sync!$AE157,FIND("/",Sync!$AE157)+1,20))-1))),"")))</f>
        <v/>
      </c>
      <c r="I157" t="str">
        <f>IF(OR($F157="",$G157=""),"",IF(ISNUMBER(Sync!$AE157),MOD(Sync!$AE157,100),IFERROR(VALUE(TRIM(MID(MID(Sync!$AE157,FIND("/",Sync!$AE157)+1,20),FIND("/",MID(Sync!$AE157,FIND("/",Sync!$AE157)+1,20))+1,20))),"")))</f>
        <v/>
      </c>
      <c r="J157" t="str">
        <f t="shared" si="12"/>
        <v/>
      </c>
      <c r="K157" t="str">
        <f>IF(OR($F157="",$J157="",$J157="نامعتبر"),"",LEFT($J157,4)&amp;MID($J157,6,2)&amp;RIGHT($J157,2)&amp;$N157&amp;"|"&amp;"2"&amp;RIGHT("00000"&amp;152,5))</f>
        <v/>
      </c>
      <c r="L157" t="str">
        <f t="shared" si="13"/>
        <v/>
      </c>
      <c r="M157" t="str">
        <f t="shared" si="14"/>
        <v/>
      </c>
      <c r="N157" t="str">
        <f>IF($F157="","",IF(Sync!$AF157="","0000",IF(AND(ISNUMBER(Sync!$AF157),Sync!$AF157&gt;=0,Sync!$AF157&lt;1),RIGHT("00"&amp;HOUR(Sync!$AF157),2)&amp;RIGHT("00"&amp;MINUTE(Sync!$AF157),2),IFERROR(RIGHT("00"&amp;VALUE(LEFT(Sync!$AF157,FIND(":",Sync!$AF157)-1)),2)&amp;RIGHT("00"&amp;VALUE(MID(Sync!$AF157,FIND(":",Sync!$AF157)+1,2)),2),"0000"))))</f>
        <v/>
      </c>
    </row>
    <row r="158" spans="1:14" x14ac:dyDescent="0.2">
      <c r="A158" t="str">
        <f>IF(OR(Calc!$E162="",Calc!$E162="نامعتبر",Calc!$G162=""),"",Calc!$G162)</f>
        <v/>
      </c>
      <c r="B158" t="str">
        <f>IF($A158="","",LEFT(Calc!$E162,4)&amp;MID(Calc!$E162,6,2)&amp;RIGHT(Calc!$E162,2)&amp;Calc!$Q162&amp;"|"&amp;"1"&amp;RIGHT("00000"&amp;153,5))</f>
        <v/>
      </c>
      <c r="C158" t="str">
        <f t="shared" si="10"/>
        <v/>
      </c>
      <c r="D158" t="str">
        <f t="shared" si="11"/>
        <v/>
      </c>
      <c r="F158" t="str">
        <f>IF(Sync!$AH158="","",IF(LEFT(UPPER(TRIM(Sync!$AH158)),2)="SL",UPPER(TRIM(Sync!$AH158)),""))</f>
        <v/>
      </c>
      <c r="G158" t="str">
        <f>IF($F158="","",IF(Sync!$AE158="","",IF(ISNUMBER(Sync!$AE158),IF(AND(Sync!$AE158&gt;=10000101,Sync!$AE158&lt;=99991231),INT(Sync!$AE158/10000),""),IFERROR(VALUE(TRIM(LEFT(Sync!$AE158,FIND("/",Sync!$AE158)-1))),""))))</f>
        <v/>
      </c>
      <c r="H158" t="str">
        <f>IF(OR($F158="",$G158=""),"",IF(ISNUMBER(Sync!$AE158),INT(MOD(Sync!$AE158,10000)/100),IFERROR(VALUE(TRIM(LEFT(MID(Sync!$AE158,FIND("/",Sync!$AE158)+1,20),FIND("/",MID(Sync!$AE158,FIND("/",Sync!$AE158)+1,20))-1))),"")))</f>
        <v/>
      </c>
      <c r="I158" t="str">
        <f>IF(OR($F158="",$G158=""),"",IF(ISNUMBER(Sync!$AE158),MOD(Sync!$AE158,100),IFERROR(VALUE(TRIM(MID(MID(Sync!$AE158,FIND("/",Sync!$AE158)+1,20),FIND("/",MID(Sync!$AE158,FIND("/",Sync!$AE158)+1,20))+1,20))),"")))</f>
        <v/>
      </c>
      <c r="J158" t="str">
        <f t="shared" si="12"/>
        <v/>
      </c>
      <c r="K158" t="str">
        <f>IF(OR($F158="",$J158="",$J158="نامعتبر"),"",LEFT($J158,4)&amp;MID($J158,6,2)&amp;RIGHT($J158,2)&amp;$N158&amp;"|"&amp;"2"&amp;RIGHT("00000"&amp;153,5))</f>
        <v/>
      </c>
      <c r="L158" t="str">
        <f t="shared" si="13"/>
        <v/>
      </c>
      <c r="M158" t="str">
        <f t="shared" si="14"/>
        <v/>
      </c>
      <c r="N158" t="str">
        <f>IF($F158="","",IF(Sync!$AF158="","0000",IF(AND(ISNUMBER(Sync!$AF158),Sync!$AF158&gt;=0,Sync!$AF158&lt;1),RIGHT("00"&amp;HOUR(Sync!$AF158),2)&amp;RIGHT("00"&amp;MINUTE(Sync!$AF158),2),IFERROR(RIGHT("00"&amp;VALUE(LEFT(Sync!$AF158,FIND(":",Sync!$AF158)-1)),2)&amp;RIGHT("00"&amp;VALUE(MID(Sync!$AF158,FIND(":",Sync!$AF158)+1,2)),2),"0000"))))</f>
        <v/>
      </c>
    </row>
    <row r="159" spans="1:14" x14ac:dyDescent="0.2">
      <c r="A159" t="str">
        <f>IF(OR(Calc!$E163="",Calc!$E163="نامعتبر",Calc!$G163=""),"",Calc!$G163)</f>
        <v/>
      </c>
      <c r="B159" t="str">
        <f>IF($A159="","",LEFT(Calc!$E163,4)&amp;MID(Calc!$E163,6,2)&amp;RIGHT(Calc!$E163,2)&amp;Calc!$Q163&amp;"|"&amp;"1"&amp;RIGHT("00000"&amp;154,5))</f>
        <v/>
      </c>
      <c r="C159" t="str">
        <f t="shared" si="10"/>
        <v/>
      </c>
      <c r="D159" t="str">
        <f t="shared" si="11"/>
        <v/>
      </c>
      <c r="F159" t="str">
        <f>IF(Sync!$AH159="","",IF(LEFT(UPPER(TRIM(Sync!$AH159)),2)="SL",UPPER(TRIM(Sync!$AH159)),""))</f>
        <v/>
      </c>
      <c r="G159" t="str">
        <f>IF($F159="","",IF(Sync!$AE159="","",IF(ISNUMBER(Sync!$AE159),IF(AND(Sync!$AE159&gt;=10000101,Sync!$AE159&lt;=99991231),INT(Sync!$AE159/10000),""),IFERROR(VALUE(TRIM(LEFT(Sync!$AE159,FIND("/",Sync!$AE159)-1))),""))))</f>
        <v/>
      </c>
      <c r="H159" t="str">
        <f>IF(OR($F159="",$G159=""),"",IF(ISNUMBER(Sync!$AE159),INT(MOD(Sync!$AE159,10000)/100),IFERROR(VALUE(TRIM(LEFT(MID(Sync!$AE159,FIND("/",Sync!$AE159)+1,20),FIND("/",MID(Sync!$AE159,FIND("/",Sync!$AE159)+1,20))-1))),"")))</f>
        <v/>
      </c>
      <c r="I159" t="str">
        <f>IF(OR($F159="",$G159=""),"",IF(ISNUMBER(Sync!$AE159),MOD(Sync!$AE159,100),IFERROR(VALUE(TRIM(MID(MID(Sync!$AE159,FIND("/",Sync!$AE159)+1,20),FIND("/",MID(Sync!$AE159,FIND("/",Sync!$AE159)+1,20))+1,20))),"")))</f>
        <v/>
      </c>
      <c r="J159" t="str">
        <f t="shared" si="12"/>
        <v/>
      </c>
      <c r="K159" t="str">
        <f>IF(OR($F159="",$J159="",$J159="نامعتبر"),"",LEFT($J159,4)&amp;MID($J159,6,2)&amp;RIGHT($J159,2)&amp;$N159&amp;"|"&amp;"2"&amp;RIGHT("00000"&amp;154,5))</f>
        <v/>
      </c>
      <c r="L159" t="str">
        <f t="shared" si="13"/>
        <v/>
      </c>
      <c r="M159" t="str">
        <f t="shared" si="14"/>
        <v/>
      </c>
      <c r="N159" t="str">
        <f>IF($F159="","",IF(Sync!$AF159="","0000",IF(AND(ISNUMBER(Sync!$AF159),Sync!$AF159&gt;=0,Sync!$AF159&lt;1),RIGHT("00"&amp;HOUR(Sync!$AF159),2)&amp;RIGHT("00"&amp;MINUTE(Sync!$AF159),2),IFERROR(RIGHT("00"&amp;VALUE(LEFT(Sync!$AF159,FIND(":",Sync!$AF159)-1)),2)&amp;RIGHT("00"&amp;VALUE(MID(Sync!$AF159,FIND(":",Sync!$AF159)+1,2)),2),"0000"))))</f>
        <v/>
      </c>
    </row>
    <row r="160" spans="1:14" x14ac:dyDescent="0.2">
      <c r="A160" t="str">
        <f>IF(OR(Calc!$E164="",Calc!$E164="نامعتبر",Calc!$G164=""),"",Calc!$G164)</f>
        <v/>
      </c>
      <c r="B160" t="str">
        <f>IF($A160="","",LEFT(Calc!$E164,4)&amp;MID(Calc!$E164,6,2)&amp;RIGHT(Calc!$E164,2)&amp;Calc!$Q164&amp;"|"&amp;"1"&amp;RIGHT("00000"&amp;155,5))</f>
        <v/>
      </c>
      <c r="C160" t="str">
        <f t="shared" si="10"/>
        <v/>
      </c>
      <c r="D160" t="str">
        <f t="shared" si="11"/>
        <v/>
      </c>
      <c r="F160" t="str">
        <f>IF(Sync!$AH160="","",IF(LEFT(UPPER(TRIM(Sync!$AH160)),2)="SL",UPPER(TRIM(Sync!$AH160)),""))</f>
        <v/>
      </c>
      <c r="G160" t="str">
        <f>IF($F160="","",IF(Sync!$AE160="","",IF(ISNUMBER(Sync!$AE160),IF(AND(Sync!$AE160&gt;=10000101,Sync!$AE160&lt;=99991231),INT(Sync!$AE160/10000),""),IFERROR(VALUE(TRIM(LEFT(Sync!$AE160,FIND("/",Sync!$AE160)-1))),""))))</f>
        <v/>
      </c>
      <c r="H160" t="str">
        <f>IF(OR($F160="",$G160=""),"",IF(ISNUMBER(Sync!$AE160),INT(MOD(Sync!$AE160,10000)/100),IFERROR(VALUE(TRIM(LEFT(MID(Sync!$AE160,FIND("/",Sync!$AE160)+1,20),FIND("/",MID(Sync!$AE160,FIND("/",Sync!$AE160)+1,20))-1))),"")))</f>
        <v/>
      </c>
      <c r="I160" t="str">
        <f>IF(OR($F160="",$G160=""),"",IF(ISNUMBER(Sync!$AE160),MOD(Sync!$AE160,100),IFERROR(VALUE(TRIM(MID(MID(Sync!$AE160,FIND("/",Sync!$AE160)+1,20),FIND("/",MID(Sync!$AE160,FIND("/",Sync!$AE160)+1,20))+1,20))),"")))</f>
        <v/>
      </c>
      <c r="J160" t="str">
        <f t="shared" si="12"/>
        <v/>
      </c>
      <c r="K160" t="str">
        <f>IF(OR($F160="",$J160="",$J160="نامعتبر"),"",LEFT($J160,4)&amp;MID($J160,6,2)&amp;RIGHT($J160,2)&amp;$N160&amp;"|"&amp;"2"&amp;RIGHT("00000"&amp;155,5))</f>
        <v/>
      </c>
      <c r="L160" t="str">
        <f t="shared" si="13"/>
        <v/>
      </c>
      <c r="M160" t="str">
        <f t="shared" si="14"/>
        <v/>
      </c>
      <c r="N160" t="str">
        <f>IF($F160="","",IF(Sync!$AF160="","0000",IF(AND(ISNUMBER(Sync!$AF160),Sync!$AF160&gt;=0,Sync!$AF160&lt;1),RIGHT("00"&amp;HOUR(Sync!$AF160),2)&amp;RIGHT("00"&amp;MINUTE(Sync!$AF160),2),IFERROR(RIGHT("00"&amp;VALUE(LEFT(Sync!$AF160,FIND(":",Sync!$AF160)-1)),2)&amp;RIGHT("00"&amp;VALUE(MID(Sync!$AF160,FIND(":",Sync!$AF160)+1,2)),2),"0000"))))</f>
        <v/>
      </c>
    </row>
    <row r="161" spans="1:14" x14ac:dyDescent="0.2">
      <c r="A161" t="str">
        <f>IF(OR(Calc!$E165="",Calc!$E165="نامعتبر",Calc!$G165=""),"",Calc!$G165)</f>
        <v>SL002</v>
      </c>
      <c r="B161" t="str">
        <f>IF($A161="","",LEFT(Calc!$E165,4)&amp;MID(Calc!$E165,6,2)&amp;RIGHT(Calc!$E165,2)&amp;Calc!$Q165&amp;"|"&amp;"1"&amp;RIGHT("00000"&amp;156,5))</f>
        <v>140507260000|100156</v>
      </c>
      <c r="C161">
        <f t="shared" si="10"/>
        <v>6</v>
      </c>
      <c r="D161" t="str">
        <f t="shared" si="11"/>
        <v>SL002|000006</v>
      </c>
      <c r="F161" t="str">
        <f>IF(Sync!$AH161="","",IF(LEFT(UPPER(TRIM(Sync!$AH161)),2)="SL",UPPER(TRIM(Sync!$AH161)),""))</f>
        <v/>
      </c>
      <c r="G161" t="str">
        <f>IF($F161="","",IF(Sync!$AE161="","",IF(ISNUMBER(Sync!$AE161),IF(AND(Sync!$AE161&gt;=10000101,Sync!$AE161&lt;=99991231),INT(Sync!$AE161/10000),""),IFERROR(VALUE(TRIM(LEFT(Sync!$AE161,FIND("/",Sync!$AE161)-1))),""))))</f>
        <v/>
      </c>
      <c r="H161" t="str">
        <f>IF(OR($F161="",$G161=""),"",IF(ISNUMBER(Sync!$AE161),INT(MOD(Sync!$AE161,10000)/100),IFERROR(VALUE(TRIM(LEFT(MID(Sync!$AE161,FIND("/",Sync!$AE161)+1,20),FIND("/",MID(Sync!$AE161,FIND("/",Sync!$AE161)+1,20))-1))),"")))</f>
        <v/>
      </c>
      <c r="I161" t="str">
        <f>IF(OR($F161="",$G161=""),"",IF(ISNUMBER(Sync!$AE161),MOD(Sync!$AE161,100),IFERROR(VALUE(TRIM(MID(MID(Sync!$AE161,FIND("/",Sync!$AE161)+1,20),FIND("/",MID(Sync!$AE161,FIND("/",Sync!$AE161)+1,20))+1,20))),"")))</f>
        <v/>
      </c>
      <c r="J161" t="str">
        <f t="shared" si="12"/>
        <v/>
      </c>
      <c r="K161" t="str">
        <f>IF(OR($F161="",$J161="",$J161="نامعتبر"),"",LEFT($J161,4)&amp;MID($J161,6,2)&amp;RIGHT($J161,2)&amp;$N161&amp;"|"&amp;"2"&amp;RIGHT("00000"&amp;156,5))</f>
        <v/>
      </c>
      <c r="L161" t="str">
        <f t="shared" si="13"/>
        <v/>
      </c>
      <c r="M161" t="str">
        <f t="shared" si="14"/>
        <v/>
      </c>
      <c r="N161" t="str">
        <f>IF($F161="","",IF(Sync!$AF161="","0000",IF(AND(ISNUMBER(Sync!$AF161),Sync!$AF161&gt;=0,Sync!$AF161&lt;1),RIGHT("00"&amp;HOUR(Sync!$AF161),2)&amp;RIGHT("00"&amp;MINUTE(Sync!$AF161),2),IFERROR(RIGHT("00"&amp;VALUE(LEFT(Sync!$AF161,FIND(":",Sync!$AF161)-1)),2)&amp;RIGHT("00"&amp;VALUE(MID(Sync!$AF161,FIND(":",Sync!$AF161)+1,2)),2),"0000"))))</f>
        <v/>
      </c>
    </row>
    <row r="162" spans="1:14" x14ac:dyDescent="0.2">
      <c r="A162" t="str">
        <f>IF(OR(Calc!$E166="",Calc!$E166="نامعتبر",Calc!$G166=""),"",Calc!$G166)</f>
        <v/>
      </c>
      <c r="B162" t="str">
        <f>IF($A162="","",LEFT(Calc!$E166,4)&amp;MID(Calc!$E166,6,2)&amp;RIGHT(Calc!$E166,2)&amp;Calc!$Q166&amp;"|"&amp;"1"&amp;RIGHT("00000"&amp;157,5))</f>
        <v/>
      </c>
      <c r="C162" t="str">
        <f t="shared" si="10"/>
        <v/>
      </c>
      <c r="D162" t="str">
        <f t="shared" si="11"/>
        <v/>
      </c>
      <c r="F162" t="str">
        <f>IF(Sync!$AH162="","",IF(LEFT(UPPER(TRIM(Sync!$AH162)),2)="SL",UPPER(TRIM(Sync!$AH162)),""))</f>
        <v/>
      </c>
      <c r="G162" t="str">
        <f>IF($F162="","",IF(Sync!$AE162="","",IF(ISNUMBER(Sync!$AE162),IF(AND(Sync!$AE162&gt;=10000101,Sync!$AE162&lt;=99991231),INT(Sync!$AE162/10000),""),IFERROR(VALUE(TRIM(LEFT(Sync!$AE162,FIND("/",Sync!$AE162)-1))),""))))</f>
        <v/>
      </c>
      <c r="H162" t="str">
        <f>IF(OR($F162="",$G162=""),"",IF(ISNUMBER(Sync!$AE162),INT(MOD(Sync!$AE162,10000)/100),IFERROR(VALUE(TRIM(LEFT(MID(Sync!$AE162,FIND("/",Sync!$AE162)+1,20),FIND("/",MID(Sync!$AE162,FIND("/",Sync!$AE162)+1,20))-1))),"")))</f>
        <v/>
      </c>
      <c r="I162" t="str">
        <f>IF(OR($F162="",$G162=""),"",IF(ISNUMBER(Sync!$AE162),MOD(Sync!$AE162,100),IFERROR(VALUE(TRIM(MID(MID(Sync!$AE162,FIND("/",Sync!$AE162)+1,20),FIND("/",MID(Sync!$AE162,FIND("/",Sync!$AE162)+1,20))+1,20))),"")))</f>
        <v/>
      </c>
      <c r="J162" t="str">
        <f t="shared" si="12"/>
        <v/>
      </c>
      <c r="K162" t="str">
        <f>IF(OR($F162="",$J162="",$J162="نامعتبر"),"",LEFT($J162,4)&amp;MID($J162,6,2)&amp;RIGHT($J162,2)&amp;$N162&amp;"|"&amp;"2"&amp;RIGHT("00000"&amp;157,5))</f>
        <v/>
      </c>
      <c r="L162" t="str">
        <f t="shared" si="13"/>
        <v/>
      </c>
      <c r="M162" t="str">
        <f t="shared" si="14"/>
        <v/>
      </c>
      <c r="N162" t="str">
        <f>IF($F162="","",IF(Sync!$AF162="","0000",IF(AND(ISNUMBER(Sync!$AF162),Sync!$AF162&gt;=0,Sync!$AF162&lt;1),RIGHT("00"&amp;HOUR(Sync!$AF162),2)&amp;RIGHT("00"&amp;MINUTE(Sync!$AF162),2),IFERROR(RIGHT("00"&amp;VALUE(LEFT(Sync!$AF162,FIND(":",Sync!$AF162)-1)),2)&amp;RIGHT("00"&amp;VALUE(MID(Sync!$AF162,FIND(":",Sync!$AF162)+1,2)),2),"0000"))))</f>
        <v/>
      </c>
    </row>
    <row r="163" spans="1:14" x14ac:dyDescent="0.2">
      <c r="A163" t="str">
        <f>IF(OR(Calc!$E167="",Calc!$E167="نامعتبر",Calc!$G167=""),"",Calc!$G167)</f>
        <v>SL003</v>
      </c>
      <c r="B163" t="str">
        <f>IF($A163="","",LEFT(Calc!$E167,4)&amp;MID(Calc!$E167,6,2)&amp;RIGHT(Calc!$E167,2)&amp;Calc!$Q167&amp;"|"&amp;"1"&amp;RIGHT("00000"&amp;158,5))</f>
        <v>140507260000|100158</v>
      </c>
      <c r="C163">
        <f t="shared" si="10"/>
        <v>9</v>
      </c>
      <c r="D163" t="str">
        <f t="shared" si="11"/>
        <v>SL003|000009</v>
      </c>
      <c r="F163" t="str">
        <f>IF(Sync!$AH163="","",IF(LEFT(UPPER(TRIM(Sync!$AH163)),2)="SL",UPPER(TRIM(Sync!$AH163)),""))</f>
        <v/>
      </c>
      <c r="G163" t="str">
        <f>IF($F163="","",IF(Sync!$AE163="","",IF(ISNUMBER(Sync!$AE163),IF(AND(Sync!$AE163&gt;=10000101,Sync!$AE163&lt;=99991231),INT(Sync!$AE163/10000),""),IFERROR(VALUE(TRIM(LEFT(Sync!$AE163,FIND("/",Sync!$AE163)-1))),""))))</f>
        <v/>
      </c>
      <c r="H163" t="str">
        <f>IF(OR($F163="",$G163=""),"",IF(ISNUMBER(Sync!$AE163),INT(MOD(Sync!$AE163,10000)/100),IFERROR(VALUE(TRIM(LEFT(MID(Sync!$AE163,FIND("/",Sync!$AE163)+1,20),FIND("/",MID(Sync!$AE163,FIND("/",Sync!$AE163)+1,20))-1))),"")))</f>
        <v/>
      </c>
      <c r="I163" t="str">
        <f>IF(OR($F163="",$G163=""),"",IF(ISNUMBER(Sync!$AE163),MOD(Sync!$AE163,100),IFERROR(VALUE(TRIM(MID(MID(Sync!$AE163,FIND("/",Sync!$AE163)+1,20),FIND("/",MID(Sync!$AE163,FIND("/",Sync!$AE163)+1,20))+1,20))),"")))</f>
        <v/>
      </c>
      <c r="J163" t="str">
        <f t="shared" si="12"/>
        <v/>
      </c>
      <c r="K163" t="str">
        <f>IF(OR($F163="",$J163="",$J163="نامعتبر"),"",LEFT($J163,4)&amp;MID($J163,6,2)&amp;RIGHT($J163,2)&amp;$N163&amp;"|"&amp;"2"&amp;RIGHT("00000"&amp;158,5))</f>
        <v/>
      </c>
      <c r="L163" t="str">
        <f t="shared" si="13"/>
        <v/>
      </c>
      <c r="M163" t="str">
        <f t="shared" si="14"/>
        <v/>
      </c>
      <c r="N163" t="str">
        <f>IF($F163="","",IF(Sync!$AF163="","0000",IF(AND(ISNUMBER(Sync!$AF163),Sync!$AF163&gt;=0,Sync!$AF163&lt;1),RIGHT("00"&amp;HOUR(Sync!$AF163),2)&amp;RIGHT("00"&amp;MINUTE(Sync!$AF163),2),IFERROR(RIGHT("00"&amp;VALUE(LEFT(Sync!$AF163,FIND(":",Sync!$AF163)-1)),2)&amp;RIGHT("00"&amp;VALUE(MID(Sync!$AF163,FIND(":",Sync!$AF163)+1,2)),2),"0000"))))</f>
        <v/>
      </c>
    </row>
    <row r="164" spans="1:14" x14ac:dyDescent="0.2">
      <c r="A164" t="str">
        <f>IF(OR(Calc!$E168="",Calc!$E168="نامعتبر",Calc!$G168=""),"",Calc!$G168)</f>
        <v>SL001</v>
      </c>
      <c r="B164" t="str">
        <f>IF($A164="","",LEFT(Calc!$E168,4)&amp;MID(Calc!$E168,6,2)&amp;RIGHT(Calc!$E168,2)&amp;Calc!$Q168&amp;"|"&amp;"1"&amp;RIGHT("00000"&amp;159,5))</f>
        <v>140507260000|100159</v>
      </c>
      <c r="C164">
        <f t="shared" si="10"/>
        <v>12</v>
      </c>
      <c r="D164" t="str">
        <f t="shared" si="11"/>
        <v>SL001|000012</v>
      </c>
      <c r="F164" t="str">
        <f>IF(Sync!$AH164="","",IF(LEFT(UPPER(TRIM(Sync!$AH164)),2)="SL",UPPER(TRIM(Sync!$AH164)),""))</f>
        <v/>
      </c>
      <c r="G164" t="str">
        <f>IF($F164="","",IF(Sync!$AE164="","",IF(ISNUMBER(Sync!$AE164),IF(AND(Sync!$AE164&gt;=10000101,Sync!$AE164&lt;=99991231),INT(Sync!$AE164/10000),""),IFERROR(VALUE(TRIM(LEFT(Sync!$AE164,FIND("/",Sync!$AE164)-1))),""))))</f>
        <v/>
      </c>
      <c r="H164" t="str">
        <f>IF(OR($F164="",$G164=""),"",IF(ISNUMBER(Sync!$AE164),INT(MOD(Sync!$AE164,10000)/100),IFERROR(VALUE(TRIM(LEFT(MID(Sync!$AE164,FIND("/",Sync!$AE164)+1,20),FIND("/",MID(Sync!$AE164,FIND("/",Sync!$AE164)+1,20))-1))),"")))</f>
        <v/>
      </c>
      <c r="I164" t="str">
        <f>IF(OR($F164="",$G164=""),"",IF(ISNUMBER(Sync!$AE164),MOD(Sync!$AE164,100),IFERROR(VALUE(TRIM(MID(MID(Sync!$AE164,FIND("/",Sync!$AE164)+1,20),FIND("/",MID(Sync!$AE164,FIND("/",Sync!$AE164)+1,20))+1,20))),"")))</f>
        <v/>
      </c>
      <c r="J164" t="str">
        <f t="shared" si="12"/>
        <v/>
      </c>
      <c r="K164" t="str">
        <f>IF(OR($F164="",$J164="",$J164="نامعتبر"),"",LEFT($J164,4)&amp;MID($J164,6,2)&amp;RIGHT($J164,2)&amp;$N164&amp;"|"&amp;"2"&amp;RIGHT("00000"&amp;159,5))</f>
        <v/>
      </c>
      <c r="L164" t="str">
        <f t="shared" si="13"/>
        <v/>
      </c>
      <c r="M164" t="str">
        <f t="shared" si="14"/>
        <v/>
      </c>
      <c r="N164" t="str">
        <f>IF($F164="","",IF(Sync!$AF164="","0000",IF(AND(ISNUMBER(Sync!$AF164),Sync!$AF164&gt;=0,Sync!$AF164&lt;1),RIGHT("00"&amp;HOUR(Sync!$AF164),2)&amp;RIGHT("00"&amp;MINUTE(Sync!$AF164),2),IFERROR(RIGHT("00"&amp;VALUE(LEFT(Sync!$AF164,FIND(":",Sync!$AF164)-1)),2)&amp;RIGHT("00"&amp;VALUE(MID(Sync!$AF164,FIND(":",Sync!$AF164)+1,2)),2),"0000"))))</f>
        <v/>
      </c>
    </row>
    <row r="165" spans="1:14" x14ac:dyDescent="0.2">
      <c r="A165" t="str">
        <f>IF(OR(Calc!$E169="",Calc!$E169="نامعتبر",Calc!$G169=""),"",Calc!$G169)</f>
        <v/>
      </c>
      <c r="B165" t="str">
        <f>IF($A165="","",LEFT(Calc!$E169,4)&amp;MID(Calc!$E169,6,2)&amp;RIGHT(Calc!$E169,2)&amp;Calc!$Q169&amp;"|"&amp;"1"&amp;RIGHT("00000"&amp;160,5))</f>
        <v/>
      </c>
      <c r="C165" t="str">
        <f t="shared" si="10"/>
        <v/>
      </c>
      <c r="D165" t="str">
        <f t="shared" si="11"/>
        <v/>
      </c>
      <c r="F165" t="str">
        <f>IF(Sync!$AH165="","",IF(LEFT(UPPER(TRIM(Sync!$AH165)),2)="SL",UPPER(TRIM(Sync!$AH165)),""))</f>
        <v/>
      </c>
      <c r="G165" t="str">
        <f>IF($F165="","",IF(Sync!$AE165="","",IF(ISNUMBER(Sync!$AE165),IF(AND(Sync!$AE165&gt;=10000101,Sync!$AE165&lt;=99991231),INT(Sync!$AE165/10000),""),IFERROR(VALUE(TRIM(LEFT(Sync!$AE165,FIND("/",Sync!$AE165)-1))),""))))</f>
        <v/>
      </c>
      <c r="H165" t="str">
        <f>IF(OR($F165="",$G165=""),"",IF(ISNUMBER(Sync!$AE165),INT(MOD(Sync!$AE165,10000)/100),IFERROR(VALUE(TRIM(LEFT(MID(Sync!$AE165,FIND("/",Sync!$AE165)+1,20),FIND("/",MID(Sync!$AE165,FIND("/",Sync!$AE165)+1,20))-1))),"")))</f>
        <v/>
      </c>
      <c r="I165" t="str">
        <f>IF(OR($F165="",$G165=""),"",IF(ISNUMBER(Sync!$AE165),MOD(Sync!$AE165,100),IFERROR(VALUE(TRIM(MID(MID(Sync!$AE165,FIND("/",Sync!$AE165)+1,20),FIND("/",MID(Sync!$AE165,FIND("/",Sync!$AE165)+1,20))+1,20))),"")))</f>
        <v/>
      </c>
      <c r="J165" t="str">
        <f t="shared" si="12"/>
        <v/>
      </c>
      <c r="K165" t="str">
        <f>IF(OR($F165="",$J165="",$J165="نامعتبر"),"",LEFT($J165,4)&amp;MID($J165,6,2)&amp;RIGHT($J165,2)&amp;$N165&amp;"|"&amp;"2"&amp;RIGHT("00000"&amp;160,5))</f>
        <v/>
      </c>
      <c r="L165" t="str">
        <f t="shared" si="13"/>
        <v/>
      </c>
      <c r="M165" t="str">
        <f t="shared" si="14"/>
        <v/>
      </c>
      <c r="N165" t="str">
        <f>IF($F165="","",IF(Sync!$AF165="","0000",IF(AND(ISNUMBER(Sync!$AF165),Sync!$AF165&gt;=0,Sync!$AF165&lt;1),RIGHT("00"&amp;HOUR(Sync!$AF165),2)&amp;RIGHT("00"&amp;MINUTE(Sync!$AF165),2),IFERROR(RIGHT("00"&amp;VALUE(LEFT(Sync!$AF165,FIND(":",Sync!$AF165)-1)),2)&amp;RIGHT("00"&amp;VALUE(MID(Sync!$AF165,FIND(":",Sync!$AF165)+1,2)),2),"0000"))))</f>
        <v/>
      </c>
    </row>
    <row r="166" spans="1:14" x14ac:dyDescent="0.2">
      <c r="A166" t="str">
        <f>IF(OR(Calc!$E170="",Calc!$E170="نامعتبر",Calc!$G170=""),"",Calc!$G170)</f>
        <v/>
      </c>
      <c r="B166" t="str">
        <f>IF($A166="","",LEFT(Calc!$E170,4)&amp;MID(Calc!$E170,6,2)&amp;RIGHT(Calc!$E170,2)&amp;Calc!$Q170&amp;"|"&amp;"1"&amp;RIGHT("00000"&amp;161,5))</f>
        <v/>
      </c>
      <c r="C166" t="str">
        <f t="shared" si="10"/>
        <v/>
      </c>
      <c r="D166" t="str">
        <f t="shared" si="11"/>
        <v/>
      </c>
      <c r="F166" t="str">
        <f>IF(Sync!$AH166="","",IF(LEFT(UPPER(TRIM(Sync!$AH166)),2)="SL",UPPER(TRIM(Sync!$AH166)),""))</f>
        <v/>
      </c>
      <c r="G166" t="str">
        <f>IF($F166="","",IF(Sync!$AE166="","",IF(ISNUMBER(Sync!$AE166),IF(AND(Sync!$AE166&gt;=10000101,Sync!$AE166&lt;=99991231),INT(Sync!$AE166/10000),""),IFERROR(VALUE(TRIM(LEFT(Sync!$AE166,FIND("/",Sync!$AE166)-1))),""))))</f>
        <v/>
      </c>
      <c r="H166" t="str">
        <f>IF(OR($F166="",$G166=""),"",IF(ISNUMBER(Sync!$AE166),INT(MOD(Sync!$AE166,10000)/100),IFERROR(VALUE(TRIM(LEFT(MID(Sync!$AE166,FIND("/",Sync!$AE166)+1,20),FIND("/",MID(Sync!$AE166,FIND("/",Sync!$AE166)+1,20))-1))),"")))</f>
        <v/>
      </c>
      <c r="I166" t="str">
        <f>IF(OR($F166="",$G166=""),"",IF(ISNUMBER(Sync!$AE166),MOD(Sync!$AE166,100),IFERROR(VALUE(TRIM(MID(MID(Sync!$AE166,FIND("/",Sync!$AE166)+1,20),FIND("/",MID(Sync!$AE166,FIND("/",Sync!$AE166)+1,20))+1,20))),"")))</f>
        <v/>
      </c>
      <c r="J166" t="str">
        <f t="shared" si="12"/>
        <v/>
      </c>
      <c r="K166" t="str">
        <f>IF(OR($F166="",$J166="",$J166="نامعتبر"),"",LEFT($J166,4)&amp;MID($J166,6,2)&amp;RIGHT($J166,2)&amp;$N166&amp;"|"&amp;"2"&amp;RIGHT("00000"&amp;161,5))</f>
        <v/>
      </c>
      <c r="L166" t="str">
        <f t="shared" si="13"/>
        <v/>
      </c>
      <c r="M166" t="str">
        <f t="shared" si="14"/>
        <v/>
      </c>
      <c r="N166" t="str">
        <f>IF($F166="","",IF(Sync!$AF166="","0000",IF(AND(ISNUMBER(Sync!$AF166),Sync!$AF166&gt;=0,Sync!$AF166&lt;1),RIGHT("00"&amp;HOUR(Sync!$AF166),2)&amp;RIGHT("00"&amp;MINUTE(Sync!$AF166),2),IFERROR(RIGHT("00"&amp;VALUE(LEFT(Sync!$AF166,FIND(":",Sync!$AF166)-1)),2)&amp;RIGHT("00"&amp;VALUE(MID(Sync!$AF166,FIND(":",Sync!$AF166)+1,2)),2),"0000"))))</f>
        <v/>
      </c>
    </row>
    <row r="167" spans="1:14" x14ac:dyDescent="0.2">
      <c r="A167" t="str">
        <f>IF(OR(Calc!$E171="",Calc!$E171="نامعتبر",Calc!$G171=""),"",Calc!$G171)</f>
        <v/>
      </c>
      <c r="B167" t="str">
        <f>IF($A167="","",LEFT(Calc!$E171,4)&amp;MID(Calc!$E171,6,2)&amp;RIGHT(Calc!$E171,2)&amp;Calc!$Q171&amp;"|"&amp;"1"&amp;RIGHT("00000"&amp;162,5))</f>
        <v/>
      </c>
      <c r="C167" t="str">
        <f t="shared" si="10"/>
        <v/>
      </c>
      <c r="D167" t="str">
        <f t="shared" si="11"/>
        <v/>
      </c>
      <c r="F167" t="str">
        <f>IF(Sync!$AH167="","",IF(LEFT(UPPER(TRIM(Sync!$AH167)),2)="SL",UPPER(TRIM(Sync!$AH167)),""))</f>
        <v/>
      </c>
      <c r="G167" t="str">
        <f>IF($F167="","",IF(Sync!$AE167="","",IF(ISNUMBER(Sync!$AE167),IF(AND(Sync!$AE167&gt;=10000101,Sync!$AE167&lt;=99991231),INT(Sync!$AE167/10000),""),IFERROR(VALUE(TRIM(LEFT(Sync!$AE167,FIND("/",Sync!$AE167)-1))),""))))</f>
        <v/>
      </c>
      <c r="H167" t="str">
        <f>IF(OR($F167="",$G167=""),"",IF(ISNUMBER(Sync!$AE167),INT(MOD(Sync!$AE167,10000)/100),IFERROR(VALUE(TRIM(LEFT(MID(Sync!$AE167,FIND("/",Sync!$AE167)+1,20),FIND("/",MID(Sync!$AE167,FIND("/",Sync!$AE167)+1,20))-1))),"")))</f>
        <v/>
      </c>
      <c r="I167" t="str">
        <f>IF(OR($F167="",$G167=""),"",IF(ISNUMBER(Sync!$AE167),MOD(Sync!$AE167,100),IFERROR(VALUE(TRIM(MID(MID(Sync!$AE167,FIND("/",Sync!$AE167)+1,20),FIND("/",MID(Sync!$AE167,FIND("/",Sync!$AE167)+1,20))+1,20))),"")))</f>
        <v/>
      </c>
      <c r="J167" t="str">
        <f t="shared" si="12"/>
        <v/>
      </c>
      <c r="K167" t="str">
        <f>IF(OR($F167="",$J167="",$J167="نامعتبر"),"",LEFT($J167,4)&amp;MID($J167,6,2)&amp;RIGHT($J167,2)&amp;$N167&amp;"|"&amp;"2"&amp;RIGHT("00000"&amp;162,5))</f>
        <v/>
      </c>
      <c r="L167" t="str">
        <f t="shared" si="13"/>
        <v/>
      </c>
      <c r="M167" t="str">
        <f t="shared" si="14"/>
        <v/>
      </c>
      <c r="N167" t="str">
        <f>IF($F167="","",IF(Sync!$AF167="","0000",IF(AND(ISNUMBER(Sync!$AF167),Sync!$AF167&gt;=0,Sync!$AF167&lt;1),RIGHT("00"&amp;HOUR(Sync!$AF167),2)&amp;RIGHT("00"&amp;MINUTE(Sync!$AF167),2),IFERROR(RIGHT("00"&amp;VALUE(LEFT(Sync!$AF167,FIND(":",Sync!$AF167)-1)),2)&amp;RIGHT("00"&amp;VALUE(MID(Sync!$AF167,FIND(":",Sync!$AF167)+1,2)),2),"0000"))))</f>
        <v/>
      </c>
    </row>
    <row r="168" spans="1:14" x14ac:dyDescent="0.2">
      <c r="A168" t="str">
        <f>IF(OR(Calc!$E172="",Calc!$E172="نامعتبر",Calc!$G172=""),"",Calc!$G172)</f>
        <v/>
      </c>
      <c r="B168" t="str">
        <f>IF($A168="","",LEFT(Calc!$E172,4)&amp;MID(Calc!$E172,6,2)&amp;RIGHT(Calc!$E172,2)&amp;Calc!$Q172&amp;"|"&amp;"1"&amp;RIGHT("00000"&amp;163,5))</f>
        <v/>
      </c>
      <c r="C168" t="str">
        <f t="shared" si="10"/>
        <v/>
      </c>
      <c r="D168" t="str">
        <f t="shared" si="11"/>
        <v/>
      </c>
      <c r="F168" t="str">
        <f>IF(Sync!$AH168="","",IF(LEFT(UPPER(TRIM(Sync!$AH168)),2)="SL",UPPER(TRIM(Sync!$AH168)),""))</f>
        <v/>
      </c>
      <c r="G168" t="str">
        <f>IF($F168="","",IF(Sync!$AE168="","",IF(ISNUMBER(Sync!$AE168),IF(AND(Sync!$AE168&gt;=10000101,Sync!$AE168&lt;=99991231),INT(Sync!$AE168/10000),""),IFERROR(VALUE(TRIM(LEFT(Sync!$AE168,FIND("/",Sync!$AE168)-1))),""))))</f>
        <v/>
      </c>
      <c r="H168" t="str">
        <f>IF(OR($F168="",$G168=""),"",IF(ISNUMBER(Sync!$AE168),INT(MOD(Sync!$AE168,10000)/100),IFERROR(VALUE(TRIM(LEFT(MID(Sync!$AE168,FIND("/",Sync!$AE168)+1,20),FIND("/",MID(Sync!$AE168,FIND("/",Sync!$AE168)+1,20))-1))),"")))</f>
        <v/>
      </c>
      <c r="I168" t="str">
        <f>IF(OR($F168="",$G168=""),"",IF(ISNUMBER(Sync!$AE168),MOD(Sync!$AE168,100),IFERROR(VALUE(TRIM(MID(MID(Sync!$AE168,FIND("/",Sync!$AE168)+1,20),FIND("/",MID(Sync!$AE168,FIND("/",Sync!$AE168)+1,20))+1,20))),"")))</f>
        <v/>
      </c>
      <c r="J168" t="str">
        <f t="shared" si="12"/>
        <v/>
      </c>
      <c r="K168" t="str">
        <f>IF(OR($F168="",$J168="",$J168="نامعتبر"),"",LEFT($J168,4)&amp;MID($J168,6,2)&amp;RIGHT($J168,2)&amp;$N168&amp;"|"&amp;"2"&amp;RIGHT("00000"&amp;163,5))</f>
        <v/>
      </c>
      <c r="L168" t="str">
        <f t="shared" si="13"/>
        <v/>
      </c>
      <c r="M168" t="str">
        <f t="shared" si="14"/>
        <v/>
      </c>
      <c r="N168" t="str">
        <f>IF($F168="","",IF(Sync!$AF168="","0000",IF(AND(ISNUMBER(Sync!$AF168),Sync!$AF168&gt;=0,Sync!$AF168&lt;1),RIGHT("00"&amp;HOUR(Sync!$AF168),2)&amp;RIGHT("00"&amp;MINUTE(Sync!$AF168),2),IFERROR(RIGHT("00"&amp;VALUE(LEFT(Sync!$AF168,FIND(":",Sync!$AF168)-1)),2)&amp;RIGHT("00"&amp;VALUE(MID(Sync!$AF168,FIND(":",Sync!$AF168)+1,2)),2),"0000"))))</f>
        <v/>
      </c>
    </row>
    <row r="169" spans="1:14" x14ac:dyDescent="0.2">
      <c r="A169" t="str">
        <f>IF(OR(Calc!$E173="",Calc!$E173="نامعتبر",Calc!$G173=""),"",Calc!$G173)</f>
        <v/>
      </c>
      <c r="B169" t="str">
        <f>IF($A169="","",LEFT(Calc!$E173,4)&amp;MID(Calc!$E173,6,2)&amp;RIGHT(Calc!$E173,2)&amp;Calc!$Q173&amp;"|"&amp;"1"&amp;RIGHT("00000"&amp;164,5))</f>
        <v/>
      </c>
      <c r="C169" t="str">
        <f t="shared" si="10"/>
        <v/>
      </c>
      <c r="D169" t="str">
        <f t="shared" si="11"/>
        <v/>
      </c>
      <c r="F169" t="str">
        <f>IF(Sync!$AH169="","",IF(LEFT(UPPER(TRIM(Sync!$AH169)),2)="SL",UPPER(TRIM(Sync!$AH169)),""))</f>
        <v/>
      </c>
      <c r="G169" t="str">
        <f>IF($F169="","",IF(Sync!$AE169="","",IF(ISNUMBER(Sync!$AE169),IF(AND(Sync!$AE169&gt;=10000101,Sync!$AE169&lt;=99991231),INT(Sync!$AE169/10000),""),IFERROR(VALUE(TRIM(LEFT(Sync!$AE169,FIND("/",Sync!$AE169)-1))),""))))</f>
        <v/>
      </c>
      <c r="H169" t="str">
        <f>IF(OR($F169="",$G169=""),"",IF(ISNUMBER(Sync!$AE169),INT(MOD(Sync!$AE169,10000)/100),IFERROR(VALUE(TRIM(LEFT(MID(Sync!$AE169,FIND("/",Sync!$AE169)+1,20),FIND("/",MID(Sync!$AE169,FIND("/",Sync!$AE169)+1,20))-1))),"")))</f>
        <v/>
      </c>
      <c r="I169" t="str">
        <f>IF(OR($F169="",$G169=""),"",IF(ISNUMBER(Sync!$AE169),MOD(Sync!$AE169,100),IFERROR(VALUE(TRIM(MID(MID(Sync!$AE169,FIND("/",Sync!$AE169)+1,20),FIND("/",MID(Sync!$AE169,FIND("/",Sync!$AE169)+1,20))+1,20))),"")))</f>
        <v/>
      </c>
      <c r="J169" t="str">
        <f t="shared" si="12"/>
        <v/>
      </c>
      <c r="K169" t="str">
        <f>IF(OR($F169="",$J169="",$J169="نامعتبر"),"",LEFT($J169,4)&amp;MID($J169,6,2)&amp;RIGHT($J169,2)&amp;$N169&amp;"|"&amp;"2"&amp;RIGHT("00000"&amp;164,5))</f>
        <v/>
      </c>
      <c r="L169" t="str">
        <f t="shared" si="13"/>
        <v/>
      </c>
      <c r="M169" t="str">
        <f t="shared" si="14"/>
        <v/>
      </c>
      <c r="N169" t="str">
        <f>IF($F169="","",IF(Sync!$AF169="","0000",IF(AND(ISNUMBER(Sync!$AF169),Sync!$AF169&gt;=0,Sync!$AF169&lt;1),RIGHT("00"&amp;HOUR(Sync!$AF169),2)&amp;RIGHT("00"&amp;MINUTE(Sync!$AF169),2),IFERROR(RIGHT("00"&amp;VALUE(LEFT(Sync!$AF169,FIND(":",Sync!$AF169)-1)),2)&amp;RIGHT("00"&amp;VALUE(MID(Sync!$AF169,FIND(":",Sync!$AF169)+1,2)),2),"0000"))))</f>
        <v/>
      </c>
    </row>
    <row r="170" spans="1:14" x14ac:dyDescent="0.2">
      <c r="A170" t="str">
        <f>IF(OR(Calc!$E174="",Calc!$E174="نامعتبر",Calc!$G174=""),"",Calc!$G174)</f>
        <v/>
      </c>
      <c r="B170" t="str">
        <f>IF($A170="","",LEFT(Calc!$E174,4)&amp;MID(Calc!$E174,6,2)&amp;RIGHT(Calc!$E174,2)&amp;Calc!$Q174&amp;"|"&amp;"1"&amp;RIGHT("00000"&amp;165,5))</f>
        <v/>
      </c>
      <c r="C170" t="str">
        <f t="shared" si="10"/>
        <v/>
      </c>
      <c r="D170" t="str">
        <f t="shared" si="11"/>
        <v/>
      </c>
      <c r="F170" t="str">
        <f>IF(Sync!$AH170="","",IF(LEFT(UPPER(TRIM(Sync!$AH170)),2)="SL",UPPER(TRIM(Sync!$AH170)),""))</f>
        <v/>
      </c>
      <c r="G170" t="str">
        <f>IF($F170="","",IF(Sync!$AE170="","",IF(ISNUMBER(Sync!$AE170),IF(AND(Sync!$AE170&gt;=10000101,Sync!$AE170&lt;=99991231),INT(Sync!$AE170/10000),""),IFERROR(VALUE(TRIM(LEFT(Sync!$AE170,FIND("/",Sync!$AE170)-1))),""))))</f>
        <v/>
      </c>
      <c r="H170" t="str">
        <f>IF(OR($F170="",$G170=""),"",IF(ISNUMBER(Sync!$AE170),INT(MOD(Sync!$AE170,10000)/100),IFERROR(VALUE(TRIM(LEFT(MID(Sync!$AE170,FIND("/",Sync!$AE170)+1,20),FIND("/",MID(Sync!$AE170,FIND("/",Sync!$AE170)+1,20))-1))),"")))</f>
        <v/>
      </c>
      <c r="I170" t="str">
        <f>IF(OR($F170="",$G170=""),"",IF(ISNUMBER(Sync!$AE170),MOD(Sync!$AE170,100),IFERROR(VALUE(TRIM(MID(MID(Sync!$AE170,FIND("/",Sync!$AE170)+1,20),FIND("/",MID(Sync!$AE170,FIND("/",Sync!$AE170)+1,20))+1,20))),"")))</f>
        <v/>
      </c>
      <c r="J170" t="str">
        <f t="shared" si="12"/>
        <v/>
      </c>
      <c r="K170" t="str">
        <f>IF(OR($F170="",$J170="",$J170="نامعتبر"),"",LEFT($J170,4)&amp;MID($J170,6,2)&amp;RIGHT($J170,2)&amp;$N170&amp;"|"&amp;"2"&amp;RIGHT("00000"&amp;165,5))</f>
        <v/>
      </c>
      <c r="L170" t="str">
        <f t="shared" si="13"/>
        <v/>
      </c>
      <c r="M170" t="str">
        <f t="shared" si="14"/>
        <v/>
      </c>
      <c r="N170" t="str">
        <f>IF($F170="","",IF(Sync!$AF170="","0000",IF(AND(ISNUMBER(Sync!$AF170),Sync!$AF170&gt;=0,Sync!$AF170&lt;1),RIGHT("00"&amp;HOUR(Sync!$AF170),2)&amp;RIGHT("00"&amp;MINUTE(Sync!$AF170),2),IFERROR(RIGHT("00"&amp;VALUE(LEFT(Sync!$AF170,FIND(":",Sync!$AF170)-1)),2)&amp;RIGHT("00"&amp;VALUE(MID(Sync!$AF170,FIND(":",Sync!$AF170)+1,2)),2),"0000"))))</f>
        <v/>
      </c>
    </row>
    <row r="171" spans="1:14" x14ac:dyDescent="0.2">
      <c r="A171" t="str">
        <f>IF(OR(Calc!$E175="",Calc!$E175="نامعتبر",Calc!$G175=""),"",Calc!$G175)</f>
        <v/>
      </c>
      <c r="B171" t="str">
        <f>IF($A171="","",LEFT(Calc!$E175,4)&amp;MID(Calc!$E175,6,2)&amp;RIGHT(Calc!$E175,2)&amp;Calc!$Q175&amp;"|"&amp;"1"&amp;RIGHT("00000"&amp;166,5))</f>
        <v/>
      </c>
      <c r="C171" t="str">
        <f t="shared" si="10"/>
        <v/>
      </c>
      <c r="D171" t="str">
        <f t="shared" si="11"/>
        <v/>
      </c>
      <c r="F171" t="str">
        <f>IF(Sync!$AH171="","",IF(LEFT(UPPER(TRIM(Sync!$AH171)),2)="SL",UPPER(TRIM(Sync!$AH171)),""))</f>
        <v/>
      </c>
      <c r="G171" t="str">
        <f>IF($F171="","",IF(Sync!$AE171="","",IF(ISNUMBER(Sync!$AE171),IF(AND(Sync!$AE171&gt;=10000101,Sync!$AE171&lt;=99991231),INT(Sync!$AE171/10000),""),IFERROR(VALUE(TRIM(LEFT(Sync!$AE171,FIND("/",Sync!$AE171)-1))),""))))</f>
        <v/>
      </c>
      <c r="H171" t="str">
        <f>IF(OR($F171="",$G171=""),"",IF(ISNUMBER(Sync!$AE171),INT(MOD(Sync!$AE171,10000)/100),IFERROR(VALUE(TRIM(LEFT(MID(Sync!$AE171,FIND("/",Sync!$AE171)+1,20),FIND("/",MID(Sync!$AE171,FIND("/",Sync!$AE171)+1,20))-1))),"")))</f>
        <v/>
      </c>
      <c r="I171" t="str">
        <f>IF(OR($F171="",$G171=""),"",IF(ISNUMBER(Sync!$AE171),MOD(Sync!$AE171,100),IFERROR(VALUE(TRIM(MID(MID(Sync!$AE171,FIND("/",Sync!$AE171)+1,20),FIND("/",MID(Sync!$AE171,FIND("/",Sync!$AE171)+1,20))+1,20))),"")))</f>
        <v/>
      </c>
      <c r="J171" t="str">
        <f t="shared" si="12"/>
        <v/>
      </c>
      <c r="K171" t="str">
        <f>IF(OR($F171="",$J171="",$J171="نامعتبر"),"",LEFT($J171,4)&amp;MID($J171,6,2)&amp;RIGHT($J171,2)&amp;$N171&amp;"|"&amp;"2"&amp;RIGHT("00000"&amp;166,5))</f>
        <v/>
      </c>
      <c r="L171" t="str">
        <f t="shared" si="13"/>
        <v/>
      </c>
      <c r="M171" t="str">
        <f t="shared" si="14"/>
        <v/>
      </c>
      <c r="N171" t="str">
        <f>IF($F171="","",IF(Sync!$AF171="","0000",IF(AND(ISNUMBER(Sync!$AF171),Sync!$AF171&gt;=0,Sync!$AF171&lt;1),RIGHT("00"&amp;HOUR(Sync!$AF171),2)&amp;RIGHT("00"&amp;MINUTE(Sync!$AF171),2),IFERROR(RIGHT("00"&amp;VALUE(LEFT(Sync!$AF171,FIND(":",Sync!$AF171)-1)),2)&amp;RIGHT("00"&amp;VALUE(MID(Sync!$AF171,FIND(":",Sync!$AF171)+1,2)),2),"0000"))))</f>
        <v/>
      </c>
    </row>
    <row r="172" spans="1:14" x14ac:dyDescent="0.2">
      <c r="A172" t="str">
        <f>IF(OR(Calc!$E176="",Calc!$E176="نامعتبر",Calc!$G176=""),"",Calc!$G176)</f>
        <v/>
      </c>
      <c r="B172" t="str">
        <f>IF($A172="","",LEFT(Calc!$E176,4)&amp;MID(Calc!$E176,6,2)&amp;RIGHT(Calc!$E176,2)&amp;Calc!$Q176&amp;"|"&amp;"1"&amp;RIGHT("00000"&amp;167,5))</f>
        <v/>
      </c>
      <c r="C172" t="str">
        <f t="shared" si="10"/>
        <v/>
      </c>
      <c r="D172" t="str">
        <f t="shared" si="11"/>
        <v/>
      </c>
      <c r="F172" t="str">
        <f>IF(Sync!$AH172="","",IF(LEFT(UPPER(TRIM(Sync!$AH172)),2)="SL",UPPER(TRIM(Sync!$AH172)),""))</f>
        <v/>
      </c>
      <c r="G172" t="str">
        <f>IF($F172="","",IF(Sync!$AE172="","",IF(ISNUMBER(Sync!$AE172),IF(AND(Sync!$AE172&gt;=10000101,Sync!$AE172&lt;=99991231),INT(Sync!$AE172/10000),""),IFERROR(VALUE(TRIM(LEFT(Sync!$AE172,FIND("/",Sync!$AE172)-1))),""))))</f>
        <v/>
      </c>
      <c r="H172" t="str">
        <f>IF(OR($F172="",$G172=""),"",IF(ISNUMBER(Sync!$AE172),INT(MOD(Sync!$AE172,10000)/100),IFERROR(VALUE(TRIM(LEFT(MID(Sync!$AE172,FIND("/",Sync!$AE172)+1,20),FIND("/",MID(Sync!$AE172,FIND("/",Sync!$AE172)+1,20))-1))),"")))</f>
        <v/>
      </c>
      <c r="I172" t="str">
        <f>IF(OR($F172="",$G172=""),"",IF(ISNUMBER(Sync!$AE172),MOD(Sync!$AE172,100),IFERROR(VALUE(TRIM(MID(MID(Sync!$AE172,FIND("/",Sync!$AE172)+1,20),FIND("/",MID(Sync!$AE172,FIND("/",Sync!$AE172)+1,20))+1,20))),"")))</f>
        <v/>
      </c>
      <c r="J172" t="str">
        <f t="shared" si="12"/>
        <v/>
      </c>
      <c r="K172" t="str">
        <f>IF(OR($F172="",$J172="",$J172="نامعتبر"),"",LEFT($J172,4)&amp;MID($J172,6,2)&amp;RIGHT($J172,2)&amp;$N172&amp;"|"&amp;"2"&amp;RIGHT("00000"&amp;167,5))</f>
        <v/>
      </c>
      <c r="L172" t="str">
        <f t="shared" si="13"/>
        <v/>
      </c>
      <c r="M172" t="str">
        <f t="shared" si="14"/>
        <v/>
      </c>
      <c r="N172" t="str">
        <f>IF($F172="","",IF(Sync!$AF172="","0000",IF(AND(ISNUMBER(Sync!$AF172),Sync!$AF172&gt;=0,Sync!$AF172&lt;1),RIGHT("00"&amp;HOUR(Sync!$AF172),2)&amp;RIGHT("00"&amp;MINUTE(Sync!$AF172),2),IFERROR(RIGHT("00"&amp;VALUE(LEFT(Sync!$AF172,FIND(":",Sync!$AF172)-1)),2)&amp;RIGHT("00"&amp;VALUE(MID(Sync!$AF172,FIND(":",Sync!$AF172)+1,2)),2),"0000"))))</f>
        <v/>
      </c>
    </row>
    <row r="173" spans="1:14" x14ac:dyDescent="0.2">
      <c r="A173" t="str">
        <f>IF(OR(Calc!$E177="",Calc!$E177="نامعتبر",Calc!$G177=""),"",Calc!$G177)</f>
        <v>SL005</v>
      </c>
      <c r="B173" t="str">
        <f>IF($A173="","",LEFT(Calc!$E177,4)&amp;MID(Calc!$E177,6,2)&amp;RIGHT(Calc!$E177,2)&amp;Calc!$Q177&amp;"|"&amp;"1"&amp;RIGHT("00000"&amp;168,5))</f>
        <v>140507270000|100168</v>
      </c>
      <c r="C173">
        <f t="shared" si="10"/>
        <v>5</v>
      </c>
      <c r="D173" t="str">
        <f t="shared" si="11"/>
        <v>SL005|000005</v>
      </c>
      <c r="F173" t="str">
        <f>IF(Sync!$AH173="","",IF(LEFT(UPPER(TRIM(Sync!$AH173)),2)="SL",UPPER(TRIM(Sync!$AH173)),""))</f>
        <v/>
      </c>
      <c r="G173" t="str">
        <f>IF($F173="","",IF(Sync!$AE173="","",IF(ISNUMBER(Sync!$AE173),IF(AND(Sync!$AE173&gt;=10000101,Sync!$AE173&lt;=99991231),INT(Sync!$AE173/10000),""),IFERROR(VALUE(TRIM(LEFT(Sync!$AE173,FIND("/",Sync!$AE173)-1))),""))))</f>
        <v/>
      </c>
      <c r="H173" t="str">
        <f>IF(OR($F173="",$G173=""),"",IF(ISNUMBER(Sync!$AE173),INT(MOD(Sync!$AE173,10000)/100),IFERROR(VALUE(TRIM(LEFT(MID(Sync!$AE173,FIND("/",Sync!$AE173)+1,20),FIND("/",MID(Sync!$AE173,FIND("/",Sync!$AE173)+1,20))-1))),"")))</f>
        <v/>
      </c>
      <c r="I173" t="str">
        <f>IF(OR($F173="",$G173=""),"",IF(ISNUMBER(Sync!$AE173),MOD(Sync!$AE173,100),IFERROR(VALUE(TRIM(MID(MID(Sync!$AE173,FIND("/",Sync!$AE173)+1,20),FIND("/",MID(Sync!$AE173,FIND("/",Sync!$AE173)+1,20))+1,20))),"")))</f>
        <v/>
      </c>
      <c r="J173" t="str">
        <f t="shared" si="12"/>
        <v/>
      </c>
      <c r="K173" t="str">
        <f>IF(OR($F173="",$J173="",$J173="نامعتبر"),"",LEFT($J173,4)&amp;MID($J173,6,2)&amp;RIGHT($J173,2)&amp;$N173&amp;"|"&amp;"2"&amp;RIGHT("00000"&amp;168,5))</f>
        <v/>
      </c>
      <c r="L173" t="str">
        <f t="shared" si="13"/>
        <v/>
      </c>
      <c r="M173" t="str">
        <f t="shared" si="14"/>
        <v/>
      </c>
      <c r="N173" t="str">
        <f>IF($F173="","",IF(Sync!$AF173="","0000",IF(AND(ISNUMBER(Sync!$AF173),Sync!$AF173&gt;=0,Sync!$AF173&lt;1),RIGHT("00"&amp;HOUR(Sync!$AF173),2)&amp;RIGHT("00"&amp;MINUTE(Sync!$AF173),2),IFERROR(RIGHT("00"&amp;VALUE(LEFT(Sync!$AF173,FIND(":",Sync!$AF173)-1)),2)&amp;RIGHT("00"&amp;VALUE(MID(Sync!$AF173,FIND(":",Sync!$AF173)+1,2)),2),"0000"))))</f>
        <v/>
      </c>
    </row>
    <row r="174" spans="1:14" x14ac:dyDescent="0.2">
      <c r="A174" t="str">
        <f>IF(OR(Calc!$E178="",Calc!$E178="نامعتبر",Calc!$G178=""),"",Calc!$G178)</f>
        <v>SL004</v>
      </c>
      <c r="B174" t="str">
        <f>IF($A174="","",LEFT(Calc!$E178,4)&amp;MID(Calc!$E178,6,2)&amp;RIGHT(Calc!$E178,2)&amp;Calc!$Q178&amp;"|"&amp;"1"&amp;RIGHT("00000"&amp;169,5))</f>
        <v>140507270000|100169</v>
      </c>
      <c r="C174">
        <f t="shared" si="10"/>
        <v>2</v>
      </c>
      <c r="D174" t="str">
        <f t="shared" si="11"/>
        <v>SL004|000002</v>
      </c>
      <c r="F174" t="str">
        <f>IF(Sync!$AH174="","",IF(LEFT(UPPER(TRIM(Sync!$AH174)),2)="SL",UPPER(TRIM(Sync!$AH174)),""))</f>
        <v/>
      </c>
      <c r="G174" t="str">
        <f>IF($F174="","",IF(Sync!$AE174="","",IF(ISNUMBER(Sync!$AE174),IF(AND(Sync!$AE174&gt;=10000101,Sync!$AE174&lt;=99991231),INT(Sync!$AE174/10000),""),IFERROR(VALUE(TRIM(LEFT(Sync!$AE174,FIND("/",Sync!$AE174)-1))),""))))</f>
        <v/>
      </c>
      <c r="H174" t="str">
        <f>IF(OR($F174="",$G174=""),"",IF(ISNUMBER(Sync!$AE174),INT(MOD(Sync!$AE174,10000)/100),IFERROR(VALUE(TRIM(LEFT(MID(Sync!$AE174,FIND("/",Sync!$AE174)+1,20),FIND("/",MID(Sync!$AE174,FIND("/",Sync!$AE174)+1,20))-1))),"")))</f>
        <v/>
      </c>
      <c r="I174" t="str">
        <f>IF(OR($F174="",$G174=""),"",IF(ISNUMBER(Sync!$AE174),MOD(Sync!$AE174,100),IFERROR(VALUE(TRIM(MID(MID(Sync!$AE174,FIND("/",Sync!$AE174)+1,20),FIND("/",MID(Sync!$AE174,FIND("/",Sync!$AE174)+1,20))+1,20))),"")))</f>
        <v/>
      </c>
      <c r="J174" t="str">
        <f t="shared" si="12"/>
        <v/>
      </c>
      <c r="K174" t="str">
        <f>IF(OR($F174="",$J174="",$J174="نامعتبر"),"",LEFT($J174,4)&amp;MID($J174,6,2)&amp;RIGHT($J174,2)&amp;$N174&amp;"|"&amp;"2"&amp;RIGHT("00000"&amp;169,5))</f>
        <v/>
      </c>
      <c r="L174" t="str">
        <f t="shared" si="13"/>
        <v/>
      </c>
      <c r="M174" t="str">
        <f t="shared" si="14"/>
        <v/>
      </c>
      <c r="N174" t="str">
        <f>IF($F174="","",IF(Sync!$AF174="","0000",IF(AND(ISNUMBER(Sync!$AF174),Sync!$AF174&gt;=0,Sync!$AF174&lt;1),RIGHT("00"&amp;HOUR(Sync!$AF174),2)&amp;RIGHT("00"&amp;MINUTE(Sync!$AF174),2),IFERROR(RIGHT("00"&amp;VALUE(LEFT(Sync!$AF174,FIND(":",Sync!$AF174)-1)),2)&amp;RIGHT("00"&amp;VALUE(MID(Sync!$AF174,FIND(":",Sync!$AF174)+1,2)),2),"0000"))))</f>
        <v/>
      </c>
    </row>
    <row r="175" spans="1:14" x14ac:dyDescent="0.2">
      <c r="A175" t="str">
        <f>IF(OR(Calc!$E179="",Calc!$E179="نامعتبر",Calc!$G179=""),"",Calc!$G179)</f>
        <v/>
      </c>
      <c r="B175" t="str">
        <f>IF($A175="","",LEFT(Calc!$E179,4)&amp;MID(Calc!$E179,6,2)&amp;RIGHT(Calc!$E179,2)&amp;Calc!$Q179&amp;"|"&amp;"1"&amp;RIGHT("00000"&amp;170,5))</f>
        <v/>
      </c>
      <c r="C175" t="str">
        <f t="shared" si="10"/>
        <v/>
      </c>
      <c r="D175" t="str">
        <f t="shared" si="11"/>
        <v/>
      </c>
      <c r="F175" t="str">
        <f>IF(Sync!$AH175="","",IF(LEFT(UPPER(TRIM(Sync!$AH175)),2)="SL",UPPER(TRIM(Sync!$AH175)),""))</f>
        <v/>
      </c>
      <c r="G175" t="str">
        <f>IF($F175="","",IF(Sync!$AE175="","",IF(ISNUMBER(Sync!$AE175),IF(AND(Sync!$AE175&gt;=10000101,Sync!$AE175&lt;=99991231),INT(Sync!$AE175/10000),""),IFERROR(VALUE(TRIM(LEFT(Sync!$AE175,FIND("/",Sync!$AE175)-1))),""))))</f>
        <v/>
      </c>
      <c r="H175" t="str">
        <f>IF(OR($F175="",$G175=""),"",IF(ISNUMBER(Sync!$AE175),INT(MOD(Sync!$AE175,10000)/100),IFERROR(VALUE(TRIM(LEFT(MID(Sync!$AE175,FIND("/",Sync!$AE175)+1,20),FIND("/",MID(Sync!$AE175,FIND("/",Sync!$AE175)+1,20))-1))),"")))</f>
        <v/>
      </c>
      <c r="I175" t="str">
        <f>IF(OR($F175="",$G175=""),"",IF(ISNUMBER(Sync!$AE175),MOD(Sync!$AE175,100),IFERROR(VALUE(TRIM(MID(MID(Sync!$AE175,FIND("/",Sync!$AE175)+1,20),FIND("/",MID(Sync!$AE175,FIND("/",Sync!$AE175)+1,20))+1,20))),"")))</f>
        <v/>
      </c>
      <c r="J175" t="str">
        <f t="shared" si="12"/>
        <v/>
      </c>
      <c r="K175" t="str">
        <f>IF(OR($F175="",$J175="",$J175="نامعتبر"),"",LEFT($J175,4)&amp;MID($J175,6,2)&amp;RIGHT($J175,2)&amp;$N175&amp;"|"&amp;"2"&amp;RIGHT("00000"&amp;170,5))</f>
        <v/>
      </c>
      <c r="L175" t="str">
        <f t="shared" si="13"/>
        <v/>
      </c>
      <c r="M175" t="str">
        <f t="shared" si="14"/>
        <v/>
      </c>
      <c r="N175" t="str">
        <f>IF($F175="","",IF(Sync!$AF175="","0000",IF(AND(ISNUMBER(Sync!$AF175),Sync!$AF175&gt;=0,Sync!$AF175&lt;1),RIGHT("00"&amp;HOUR(Sync!$AF175),2)&amp;RIGHT("00"&amp;MINUTE(Sync!$AF175),2),IFERROR(RIGHT("00"&amp;VALUE(LEFT(Sync!$AF175,FIND(":",Sync!$AF175)-1)),2)&amp;RIGHT("00"&amp;VALUE(MID(Sync!$AF175,FIND(":",Sync!$AF175)+1,2)),2),"0000"))))</f>
        <v/>
      </c>
    </row>
    <row r="176" spans="1:14" x14ac:dyDescent="0.2">
      <c r="A176" t="str">
        <f>IF(OR(Calc!$E180="",Calc!$E180="نامعتبر",Calc!$G180=""),"",Calc!$G180)</f>
        <v>SL003</v>
      </c>
      <c r="B176" t="str">
        <f>IF($A176="","",LEFT(Calc!$E180,4)&amp;MID(Calc!$E180,6,2)&amp;RIGHT(Calc!$E180,2)&amp;Calc!$Q180&amp;"|"&amp;"1"&amp;RIGHT("00000"&amp;171,5))</f>
        <v>140507270000|100171</v>
      </c>
      <c r="C176">
        <f t="shared" si="10"/>
        <v>10</v>
      </c>
      <c r="D176" t="str">
        <f t="shared" si="11"/>
        <v>SL003|000010</v>
      </c>
      <c r="F176" t="str">
        <f>IF(Sync!$AH176="","",IF(LEFT(UPPER(TRIM(Sync!$AH176)),2)="SL",UPPER(TRIM(Sync!$AH176)),""))</f>
        <v/>
      </c>
      <c r="G176" t="str">
        <f>IF($F176="","",IF(Sync!$AE176="","",IF(ISNUMBER(Sync!$AE176),IF(AND(Sync!$AE176&gt;=10000101,Sync!$AE176&lt;=99991231),INT(Sync!$AE176/10000),""),IFERROR(VALUE(TRIM(LEFT(Sync!$AE176,FIND("/",Sync!$AE176)-1))),""))))</f>
        <v/>
      </c>
      <c r="H176" t="str">
        <f>IF(OR($F176="",$G176=""),"",IF(ISNUMBER(Sync!$AE176),INT(MOD(Sync!$AE176,10000)/100),IFERROR(VALUE(TRIM(LEFT(MID(Sync!$AE176,FIND("/",Sync!$AE176)+1,20),FIND("/",MID(Sync!$AE176,FIND("/",Sync!$AE176)+1,20))-1))),"")))</f>
        <v/>
      </c>
      <c r="I176" t="str">
        <f>IF(OR($F176="",$G176=""),"",IF(ISNUMBER(Sync!$AE176),MOD(Sync!$AE176,100),IFERROR(VALUE(TRIM(MID(MID(Sync!$AE176,FIND("/",Sync!$AE176)+1,20),FIND("/",MID(Sync!$AE176,FIND("/",Sync!$AE176)+1,20))+1,20))),"")))</f>
        <v/>
      </c>
      <c r="J176" t="str">
        <f t="shared" si="12"/>
        <v/>
      </c>
      <c r="K176" t="str">
        <f>IF(OR($F176="",$J176="",$J176="نامعتبر"),"",LEFT($J176,4)&amp;MID($J176,6,2)&amp;RIGHT($J176,2)&amp;$N176&amp;"|"&amp;"2"&amp;RIGHT("00000"&amp;171,5))</f>
        <v/>
      </c>
      <c r="L176" t="str">
        <f t="shared" si="13"/>
        <v/>
      </c>
      <c r="M176" t="str">
        <f t="shared" si="14"/>
        <v/>
      </c>
      <c r="N176" t="str">
        <f>IF($F176="","",IF(Sync!$AF176="","0000",IF(AND(ISNUMBER(Sync!$AF176),Sync!$AF176&gt;=0,Sync!$AF176&lt;1),RIGHT("00"&amp;HOUR(Sync!$AF176),2)&amp;RIGHT("00"&amp;MINUTE(Sync!$AF176),2),IFERROR(RIGHT("00"&amp;VALUE(LEFT(Sync!$AF176,FIND(":",Sync!$AF176)-1)),2)&amp;RIGHT("00"&amp;VALUE(MID(Sync!$AF176,FIND(":",Sync!$AF176)+1,2)),2),"0000"))))</f>
        <v/>
      </c>
    </row>
    <row r="177" spans="1:14" x14ac:dyDescent="0.2">
      <c r="A177" t="str">
        <f>IF(OR(Calc!$E181="",Calc!$E181="نامعتبر",Calc!$G181=""),"",Calc!$G181)</f>
        <v/>
      </c>
      <c r="B177" t="str">
        <f>IF($A177="","",LEFT(Calc!$E181,4)&amp;MID(Calc!$E181,6,2)&amp;RIGHT(Calc!$E181,2)&amp;Calc!$Q181&amp;"|"&amp;"1"&amp;RIGHT("00000"&amp;172,5))</f>
        <v/>
      </c>
      <c r="C177" t="str">
        <f t="shared" si="10"/>
        <v/>
      </c>
      <c r="D177" t="str">
        <f t="shared" si="11"/>
        <v/>
      </c>
      <c r="F177" t="str">
        <f>IF(Sync!$AH177="","",IF(LEFT(UPPER(TRIM(Sync!$AH177)),2)="SL",UPPER(TRIM(Sync!$AH177)),""))</f>
        <v/>
      </c>
      <c r="G177" t="str">
        <f>IF($F177="","",IF(Sync!$AE177="","",IF(ISNUMBER(Sync!$AE177),IF(AND(Sync!$AE177&gt;=10000101,Sync!$AE177&lt;=99991231),INT(Sync!$AE177/10000),""),IFERROR(VALUE(TRIM(LEFT(Sync!$AE177,FIND("/",Sync!$AE177)-1))),""))))</f>
        <v/>
      </c>
      <c r="H177" t="str">
        <f>IF(OR($F177="",$G177=""),"",IF(ISNUMBER(Sync!$AE177),INT(MOD(Sync!$AE177,10000)/100),IFERROR(VALUE(TRIM(LEFT(MID(Sync!$AE177,FIND("/",Sync!$AE177)+1,20),FIND("/",MID(Sync!$AE177,FIND("/",Sync!$AE177)+1,20))-1))),"")))</f>
        <v/>
      </c>
      <c r="I177" t="str">
        <f>IF(OR($F177="",$G177=""),"",IF(ISNUMBER(Sync!$AE177),MOD(Sync!$AE177,100),IFERROR(VALUE(TRIM(MID(MID(Sync!$AE177,FIND("/",Sync!$AE177)+1,20),FIND("/",MID(Sync!$AE177,FIND("/",Sync!$AE177)+1,20))+1,20))),"")))</f>
        <v/>
      </c>
      <c r="J177" t="str">
        <f t="shared" si="12"/>
        <v/>
      </c>
      <c r="K177" t="str">
        <f>IF(OR($F177="",$J177="",$J177="نامعتبر"),"",LEFT($J177,4)&amp;MID($J177,6,2)&amp;RIGHT($J177,2)&amp;$N177&amp;"|"&amp;"2"&amp;RIGHT("00000"&amp;172,5))</f>
        <v/>
      </c>
      <c r="L177" t="str">
        <f t="shared" si="13"/>
        <v/>
      </c>
      <c r="M177" t="str">
        <f t="shared" si="14"/>
        <v/>
      </c>
      <c r="N177" t="str">
        <f>IF($F177="","",IF(Sync!$AF177="","0000",IF(AND(ISNUMBER(Sync!$AF177),Sync!$AF177&gt;=0,Sync!$AF177&lt;1),RIGHT("00"&amp;HOUR(Sync!$AF177),2)&amp;RIGHT("00"&amp;MINUTE(Sync!$AF177),2),IFERROR(RIGHT("00"&amp;VALUE(LEFT(Sync!$AF177,FIND(":",Sync!$AF177)-1)),2)&amp;RIGHT("00"&amp;VALUE(MID(Sync!$AF177,FIND(":",Sync!$AF177)+1,2)),2),"0000"))))</f>
        <v/>
      </c>
    </row>
    <row r="178" spans="1:14" x14ac:dyDescent="0.2">
      <c r="A178" t="str">
        <f>IF(OR(Calc!$E182="",Calc!$E182="نامعتبر",Calc!$G182=""),"",Calc!$G182)</f>
        <v/>
      </c>
      <c r="B178" t="str">
        <f>IF($A178="","",LEFT(Calc!$E182,4)&amp;MID(Calc!$E182,6,2)&amp;RIGHT(Calc!$E182,2)&amp;Calc!$Q182&amp;"|"&amp;"1"&amp;RIGHT("00000"&amp;173,5))</f>
        <v/>
      </c>
      <c r="C178" t="str">
        <f t="shared" si="10"/>
        <v/>
      </c>
      <c r="D178" t="str">
        <f t="shared" si="11"/>
        <v/>
      </c>
      <c r="F178" t="str">
        <f>IF(Sync!$AH178="","",IF(LEFT(UPPER(TRIM(Sync!$AH178)),2)="SL",UPPER(TRIM(Sync!$AH178)),""))</f>
        <v/>
      </c>
      <c r="G178" t="str">
        <f>IF($F178="","",IF(Sync!$AE178="","",IF(ISNUMBER(Sync!$AE178),IF(AND(Sync!$AE178&gt;=10000101,Sync!$AE178&lt;=99991231),INT(Sync!$AE178/10000),""),IFERROR(VALUE(TRIM(LEFT(Sync!$AE178,FIND("/",Sync!$AE178)-1))),""))))</f>
        <v/>
      </c>
      <c r="H178" t="str">
        <f>IF(OR($F178="",$G178=""),"",IF(ISNUMBER(Sync!$AE178),INT(MOD(Sync!$AE178,10000)/100),IFERROR(VALUE(TRIM(LEFT(MID(Sync!$AE178,FIND("/",Sync!$AE178)+1,20),FIND("/",MID(Sync!$AE178,FIND("/",Sync!$AE178)+1,20))-1))),"")))</f>
        <v/>
      </c>
      <c r="I178" t="str">
        <f>IF(OR($F178="",$G178=""),"",IF(ISNUMBER(Sync!$AE178),MOD(Sync!$AE178,100),IFERROR(VALUE(TRIM(MID(MID(Sync!$AE178,FIND("/",Sync!$AE178)+1,20),FIND("/",MID(Sync!$AE178,FIND("/",Sync!$AE178)+1,20))+1,20))),"")))</f>
        <v/>
      </c>
      <c r="J178" t="str">
        <f t="shared" si="12"/>
        <v/>
      </c>
      <c r="K178" t="str">
        <f>IF(OR($F178="",$J178="",$J178="نامعتبر"),"",LEFT($J178,4)&amp;MID($J178,6,2)&amp;RIGHT($J178,2)&amp;$N178&amp;"|"&amp;"2"&amp;RIGHT("00000"&amp;173,5))</f>
        <v/>
      </c>
      <c r="L178" t="str">
        <f t="shared" si="13"/>
        <v/>
      </c>
      <c r="M178" t="str">
        <f t="shared" si="14"/>
        <v/>
      </c>
      <c r="N178" t="str">
        <f>IF($F178="","",IF(Sync!$AF178="","0000",IF(AND(ISNUMBER(Sync!$AF178),Sync!$AF178&gt;=0,Sync!$AF178&lt;1),RIGHT("00"&amp;HOUR(Sync!$AF178),2)&amp;RIGHT("00"&amp;MINUTE(Sync!$AF178),2),IFERROR(RIGHT("00"&amp;VALUE(LEFT(Sync!$AF178,FIND(":",Sync!$AF178)-1)),2)&amp;RIGHT("00"&amp;VALUE(MID(Sync!$AF178,FIND(":",Sync!$AF178)+1,2)),2),"0000"))))</f>
        <v/>
      </c>
    </row>
    <row r="179" spans="1:14" x14ac:dyDescent="0.2">
      <c r="A179" t="str">
        <f>IF(OR(Calc!$E183="",Calc!$E183="نامعتبر",Calc!$G183=""),"",Calc!$G183)</f>
        <v/>
      </c>
      <c r="B179" t="str">
        <f>IF($A179="","",LEFT(Calc!$E183,4)&amp;MID(Calc!$E183,6,2)&amp;RIGHT(Calc!$E183,2)&amp;Calc!$Q183&amp;"|"&amp;"1"&amp;RIGHT("00000"&amp;174,5))</f>
        <v/>
      </c>
      <c r="C179" t="str">
        <f t="shared" si="10"/>
        <v/>
      </c>
      <c r="D179" t="str">
        <f t="shared" si="11"/>
        <v/>
      </c>
      <c r="F179" t="str">
        <f>IF(Sync!$AH179="","",IF(LEFT(UPPER(TRIM(Sync!$AH179)),2)="SL",UPPER(TRIM(Sync!$AH179)),""))</f>
        <v/>
      </c>
      <c r="G179" t="str">
        <f>IF($F179="","",IF(Sync!$AE179="","",IF(ISNUMBER(Sync!$AE179),IF(AND(Sync!$AE179&gt;=10000101,Sync!$AE179&lt;=99991231),INT(Sync!$AE179/10000),""),IFERROR(VALUE(TRIM(LEFT(Sync!$AE179,FIND("/",Sync!$AE179)-1))),""))))</f>
        <v/>
      </c>
      <c r="H179" t="str">
        <f>IF(OR($F179="",$G179=""),"",IF(ISNUMBER(Sync!$AE179),INT(MOD(Sync!$AE179,10000)/100),IFERROR(VALUE(TRIM(LEFT(MID(Sync!$AE179,FIND("/",Sync!$AE179)+1,20),FIND("/",MID(Sync!$AE179,FIND("/",Sync!$AE179)+1,20))-1))),"")))</f>
        <v/>
      </c>
      <c r="I179" t="str">
        <f>IF(OR($F179="",$G179=""),"",IF(ISNUMBER(Sync!$AE179),MOD(Sync!$AE179,100),IFERROR(VALUE(TRIM(MID(MID(Sync!$AE179,FIND("/",Sync!$AE179)+1,20),FIND("/",MID(Sync!$AE179,FIND("/",Sync!$AE179)+1,20))+1,20))),"")))</f>
        <v/>
      </c>
      <c r="J179" t="str">
        <f t="shared" si="12"/>
        <v/>
      </c>
      <c r="K179" t="str">
        <f>IF(OR($F179="",$J179="",$J179="نامعتبر"),"",LEFT($J179,4)&amp;MID($J179,6,2)&amp;RIGHT($J179,2)&amp;$N179&amp;"|"&amp;"2"&amp;RIGHT("00000"&amp;174,5))</f>
        <v/>
      </c>
      <c r="L179" t="str">
        <f t="shared" si="13"/>
        <v/>
      </c>
      <c r="M179" t="str">
        <f t="shared" si="14"/>
        <v/>
      </c>
      <c r="N179" t="str">
        <f>IF($F179="","",IF(Sync!$AF179="","0000",IF(AND(ISNUMBER(Sync!$AF179),Sync!$AF179&gt;=0,Sync!$AF179&lt;1),RIGHT("00"&amp;HOUR(Sync!$AF179),2)&amp;RIGHT("00"&amp;MINUTE(Sync!$AF179),2),IFERROR(RIGHT("00"&amp;VALUE(LEFT(Sync!$AF179,FIND(":",Sync!$AF179)-1)),2)&amp;RIGHT("00"&amp;VALUE(MID(Sync!$AF179,FIND(":",Sync!$AF179)+1,2)),2),"0000"))))</f>
        <v/>
      </c>
    </row>
    <row r="180" spans="1:14" x14ac:dyDescent="0.2">
      <c r="A180" t="str">
        <f>IF(OR(Calc!$E184="",Calc!$E184="نامعتبر",Calc!$G184=""),"",Calc!$G184)</f>
        <v/>
      </c>
      <c r="B180" t="str">
        <f>IF($A180="","",LEFT(Calc!$E184,4)&amp;MID(Calc!$E184,6,2)&amp;RIGHT(Calc!$E184,2)&amp;Calc!$Q184&amp;"|"&amp;"1"&amp;RIGHT("00000"&amp;175,5))</f>
        <v/>
      </c>
      <c r="C180" t="str">
        <f t="shared" si="10"/>
        <v/>
      </c>
      <c r="D180" t="str">
        <f t="shared" si="11"/>
        <v/>
      </c>
      <c r="F180" t="str">
        <f>IF(Sync!$AH180="","",IF(LEFT(UPPER(TRIM(Sync!$AH180)),2)="SL",UPPER(TRIM(Sync!$AH180)),""))</f>
        <v/>
      </c>
      <c r="G180" t="str">
        <f>IF($F180="","",IF(Sync!$AE180="","",IF(ISNUMBER(Sync!$AE180),IF(AND(Sync!$AE180&gt;=10000101,Sync!$AE180&lt;=99991231),INT(Sync!$AE180/10000),""),IFERROR(VALUE(TRIM(LEFT(Sync!$AE180,FIND("/",Sync!$AE180)-1))),""))))</f>
        <v/>
      </c>
      <c r="H180" t="str">
        <f>IF(OR($F180="",$G180=""),"",IF(ISNUMBER(Sync!$AE180),INT(MOD(Sync!$AE180,10000)/100),IFERROR(VALUE(TRIM(LEFT(MID(Sync!$AE180,FIND("/",Sync!$AE180)+1,20),FIND("/",MID(Sync!$AE180,FIND("/",Sync!$AE180)+1,20))-1))),"")))</f>
        <v/>
      </c>
      <c r="I180" t="str">
        <f>IF(OR($F180="",$G180=""),"",IF(ISNUMBER(Sync!$AE180),MOD(Sync!$AE180,100),IFERROR(VALUE(TRIM(MID(MID(Sync!$AE180,FIND("/",Sync!$AE180)+1,20),FIND("/",MID(Sync!$AE180,FIND("/",Sync!$AE180)+1,20))+1,20))),"")))</f>
        <v/>
      </c>
      <c r="J180" t="str">
        <f t="shared" si="12"/>
        <v/>
      </c>
      <c r="K180" t="str">
        <f>IF(OR($F180="",$J180="",$J180="نامعتبر"),"",LEFT($J180,4)&amp;MID($J180,6,2)&amp;RIGHT($J180,2)&amp;$N180&amp;"|"&amp;"2"&amp;RIGHT("00000"&amp;175,5))</f>
        <v/>
      </c>
      <c r="L180" t="str">
        <f t="shared" si="13"/>
        <v/>
      </c>
      <c r="M180" t="str">
        <f t="shared" si="14"/>
        <v/>
      </c>
      <c r="N180" t="str">
        <f>IF($F180="","",IF(Sync!$AF180="","0000",IF(AND(ISNUMBER(Sync!$AF180),Sync!$AF180&gt;=0,Sync!$AF180&lt;1),RIGHT("00"&amp;HOUR(Sync!$AF180),2)&amp;RIGHT("00"&amp;MINUTE(Sync!$AF180),2),IFERROR(RIGHT("00"&amp;VALUE(LEFT(Sync!$AF180,FIND(":",Sync!$AF180)-1)),2)&amp;RIGHT("00"&amp;VALUE(MID(Sync!$AF180,FIND(":",Sync!$AF180)+1,2)),2),"0000"))))</f>
        <v/>
      </c>
    </row>
    <row r="181" spans="1:14" x14ac:dyDescent="0.2">
      <c r="A181" t="str">
        <f>IF(OR(Calc!$E185="",Calc!$E185="نامعتبر",Calc!$G185=""),"",Calc!$G185)</f>
        <v/>
      </c>
      <c r="B181" t="str">
        <f>IF($A181="","",LEFT(Calc!$E185,4)&amp;MID(Calc!$E185,6,2)&amp;RIGHT(Calc!$E185,2)&amp;Calc!$Q185&amp;"|"&amp;"1"&amp;RIGHT("00000"&amp;176,5))</f>
        <v/>
      </c>
      <c r="C181" t="str">
        <f t="shared" si="10"/>
        <v/>
      </c>
      <c r="D181" t="str">
        <f t="shared" si="11"/>
        <v/>
      </c>
      <c r="F181" t="str">
        <f>IF(Sync!$AH181="","",IF(LEFT(UPPER(TRIM(Sync!$AH181)),2)="SL",UPPER(TRIM(Sync!$AH181)),""))</f>
        <v/>
      </c>
      <c r="G181" t="str">
        <f>IF($F181="","",IF(Sync!$AE181="","",IF(ISNUMBER(Sync!$AE181),IF(AND(Sync!$AE181&gt;=10000101,Sync!$AE181&lt;=99991231),INT(Sync!$AE181/10000),""),IFERROR(VALUE(TRIM(LEFT(Sync!$AE181,FIND("/",Sync!$AE181)-1))),""))))</f>
        <v/>
      </c>
      <c r="H181" t="str">
        <f>IF(OR($F181="",$G181=""),"",IF(ISNUMBER(Sync!$AE181),INT(MOD(Sync!$AE181,10000)/100),IFERROR(VALUE(TRIM(LEFT(MID(Sync!$AE181,FIND("/",Sync!$AE181)+1,20),FIND("/",MID(Sync!$AE181,FIND("/",Sync!$AE181)+1,20))-1))),"")))</f>
        <v/>
      </c>
      <c r="I181" t="str">
        <f>IF(OR($F181="",$G181=""),"",IF(ISNUMBER(Sync!$AE181),MOD(Sync!$AE181,100),IFERROR(VALUE(TRIM(MID(MID(Sync!$AE181,FIND("/",Sync!$AE181)+1,20),FIND("/",MID(Sync!$AE181,FIND("/",Sync!$AE181)+1,20))+1,20))),"")))</f>
        <v/>
      </c>
      <c r="J181" t="str">
        <f t="shared" si="12"/>
        <v/>
      </c>
      <c r="K181" t="str">
        <f>IF(OR($F181="",$J181="",$J181="نامعتبر"),"",LEFT($J181,4)&amp;MID($J181,6,2)&amp;RIGHT($J181,2)&amp;$N181&amp;"|"&amp;"2"&amp;RIGHT("00000"&amp;176,5))</f>
        <v/>
      </c>
      <c r="L181" t="str">
        <f t="shared" si="13"/>
        <v/>
      </c>
      <c r="M181" t="str">
        <f t="shared" si="14"/>
        <v/>
      </c>
      <c r="N181" t="str">
        <f>IF($F181="","",IF(Sync!$AF181="","0000",IF(AND(ISNUMBER(Sync!$AF181),Sync!$AF181&gt;=0,Sync!$AF181&lt;1),RIGHT("00"&amp;HOUR(Sync!$AF181),2)&amp;RIGHT("00"&amp;MINUTE(Sync!$AF181),2),IFERROR(RIGHT("00"&amp;VALUE(LEFT(Sync!$AF181,FIND(":",Sync!$AF181)-1)),2)&amp;RIGHT("00"&amp;VALUE(MID(Sync!$AF181,FIND(":",Sync!$AF181)+1,2)),2),"0000"))))</f>
        <v/>
      </c>
    </row>
    <row r="182" spans="1:14" x14ac:dyDescent="0.2">
      <c r="A182" t="str">
        <f>IF(OR(Calc!$E186="",Calc!$E186="نامعتبر",Calc!$G186=""),"",Calc!$G186)</f>
        <v/>
      </c>
      <c r="B182" t="str">
        <f>IF($A182="","",LEFT(Calc!$E186,4)&amp;MID(Calc!$E186,6,2)&amp;RIGHT(Calc!$E186,2)&amp;Calc!$Q186&amp;"|"&amp;"1"&amp;RIGHT("00000"&amp;177,5))</f>
        <v/>
      </c>
      <c r="C182" t="str">
        <f t="shared" si="10"/>
        <v/>
      </c>
      <c r="D182" t="str">
        <f t="shared" si="11"/>
        <v/>
      </c>
      <c r="F182" t="str">
        <f>IF(Sync!$AH182="","",IF(LEFT(UPPER(TRIM(Sync!$AH182)),2)="SL",UPPER(TRIM(Sync!$AH182)),""))</f>
        <v/>
      </c>
      <c r="G182" t="str">
        <f>IF($F182="","",IF(Sync!$AE182="","",IF(ISNUMBER(Sync!$AE182),IF(AND(Sync!$AE182&gt;=10000101,Sync!$AE182&lt;=99991231),INT(Sync!$AE182/10000),""),IFERROR(VALUE(TRIM(LEFT(Sync!$AE182,FIND("/",Sync!$AE182)-1))),""))))</f>
        <v/>
      </c>
      <c r="H182" t="str">
        <f>IF(OR($F182="",$G182=""),"",IF(ISNUMBER(Sync!$AE182),INT(MOD(Sync!$AE182,10000)/100),IFERROR(VALUE(TRIM(LEFT(MID(Sync!$AE182,FIND("/",Sync!$AE182)+1,20),FIND("/",MID(Sync!$AE182,FIND("/",Sync!$AE182)+1,20))-1))),"")))</f>
        <v/>
      </c>
      <c r="I182" t="str">
        <f>IF(OR($F182="",$G182=""),"",IF(ISNUMBER(Sync!$AE182),MOD(Sync!$AE182,100),IFERROR(VALUE(TRIM(MID(MID(Sync!$AE182,FIND("/",Sync!$AE182)+1,20),FIND("/",MID(Sync!$AE182,FIND("/",Sync!$AE182)+1,20))+1,20))),"")))</f>
        <v/>
      </c>
      <c r="J182" t="str">
        <f t="shared" si="12"/>
        <v/>
      </c>
      <c r="K182" t="str">
        <f>IF(OR($F182="",$J182="",$J182="نامعتبر"),"",LEFT($J182,4)&amp;MID($J182,6,2)&amp;RIGHT($J182,2)&amp;$N182&amp;"|"&amp;"2"&amp;RIGHT("00000"&amp;177,5))</f>
        <v/>
      </c>
      <c r="L182" t="str">
        <f t="shared" si="13"/>
        <v/>
      </c>
      <c r="M182" t="str">
        <f t="shared" si="14"/>
        <v/>
      </c>
      <c r="N182" t="str">
        <f>IF($F182="","",IF(Sync!$AF182="","0000",IF(AND(ISNUMBER(Sync!$AF182),Sync!$AF182&gt;=0,Sync!$AF182&lt;1),RIGHT("00"&amp;HOUR(Sync!$AF182),2)&amp;RIGHT("00"&amp;MINUTE(Sync!$AF182),2),IFERROR(RIGHT("00"&amp;VALUE(LEFT(Sync!$AF182,FIND(":",Sync!$AF182)-1)),2)&amp;RIGHT("00"&amp;VALUE(MID(Sync!$AF182,FIND(":",Sync!$AF182)+1,2)),2),"0000"))))</f>
        <v/>
      </c>
    </row>
    <row r="183" spans="1:14" x14ac:dyDescent="0.2">
      <c r="A183" t="str">
        <f>IF(OR(Calc!$E187="",Calc!$E187="نامعتبر",Calc!$G187=""),"",Calc!$G187)</f>
        <v/>
      </c>
      <c r="B183" t="str">
        <f>IF($A183="","",LEFT(Calc!$E187,4)&amp;MID(Calc!$E187,6,2)&amp;RIGHT(Calc!$E187,2)&amp;Calc!$Q187&amp;"|"&amp;"1"&amp;RIGHT("00000"&amp;178,5))</f>
        <v/>
      </c>
      <c r="C183" t="str">
        <f t="shared" si="10"/>
        <v/>
      </c>
      <c r="D183" t="str">
        <f t="shared" si="11"/>
        <v/>
      </c>
      <c r="F183" t="str">
        <f>IF(Sync!$AH183="","",IF(LEFT(UPPER(TRIM(Sync!$AH183)),2)="SL",UPPER(TRIM(Sync!$AH183)),""))</f>
        <v/>
      </c>
      <c r="G183" t="str">
        <f>IF($F183="","",IF(Sync!$AE183="","",IF(ISNUMBER(Sync!$AE183),IF(AND(Sync!$AE183&gt;=10000101,Sync!$AE183&lt;=99991231),INT(Sync!$AE183/10000),""),IFERROR(VALUE(TRIM(LEFT(Sync!$AE183,FIND("/",Sync!$AE183)-1))),""))))</f>
        <v/>
      </c>
      <c r="H183" t="str">
        <f>IF(OR($F183="",$G183=""),"",IF(ISNUMBER(Sync!$AE183),INT(MOD(Sync!$AE183,10000)/100),IFERROR(VALUE(TRIM(LEFT(MID(Sync!$AE183,FIND("/",Sync!$AE183)+1,20),FIND("/",MID(Sync!$AE183,FIND("/",Sync!$AE183)+1,20))-1))),"")))</f>
        <v/>
      </c>
      <c r="I183" t="str">
        <f>IF(OR($F183="",$G183=""),"",IF(ISNUMBER(Sync!$AE183),MOD(Sync!$AE183,100),IFERROR(VALUE(TRIM(MID(MID(Sync!$AE183,FIND("/",Sync!$AE183)+1,20),FIND("/",MID(Sync!$AE183,FIND("/",Sync!$AE183)+1,20))+1,20))),"")))</f>
        <v/>
      </c>
      <c r="J183" t="str">
        <f t="shared" si="12"/>
        <v/>
      </c>
      <c r="K183" t="str">
        <f>IF(OR($F183="",$J183="",$J183="نامعتبر"),"",LEFT($J183,4)&amp;MID($J183,6,2)&amp;RIGHT($J183,2)&amp;$N183&amp;"|"&amp;"2"&amp;RIGHT("00000"&amp;178,5))</f>
        <v/>
      </c>
      <c r="L183" t="str">
        <f t="shared" si="13"/>
        <v/>
      </c>
      <c r="M183" t="str">
        <f t="shared" si="14"/>
        <v/>
      </c>
      <c r="N183" t="str">
        <f>IF($F183="","",IF(Sync!$AF183="","0000",IF(AND(ISNUMBER(Sync!$AF183),Sync!$AF183&gt;=0,Sync!$AF183&lt;1),RIGHT("00"&amp;HOUR(Sync!$AF183),2)&amp;RIGHT("00"&amp;MINUTE(Sync!$AF183),2),IFERROR(RIGHT("00"&amp;VALUE(LEFT(Sync!$AF183,FIND(":",Sync!$AF183)-1)),2)&amp;RIGHT("00"&amp;VALUE(MID(Sync!$AF183,FIND(":",Sync!$AF183)+1,2)),2),"0000"))))</f>
        <v/>
      </c>
    </row>
    <row r="184" spans="1:14" x14ac:dyDescent="0.2">
      <c r="A184" t="str">
        <f>IF(OR(Calc!$E188="",Calc!$E188="نامعتبر",Calc!$G188=""),"",Calc!$G188)</f>
        <v/>
      </c>
      <c r="B184" t="str">
        <f>IF($A184="","",LEFT(Calc!$E188,4)&amp;MID(Calc!$E188,6,2)&amp;RIGHT(Calc!$E188,2)&amp;Calc!$Q188&amp;"|"&amp;"1"&amp;RIGHT("00000"&amp;179,5))</f>
        <v/>
      </c>
      <c r="C184" t="str">
        <f t="shared" si="10"/>
        <v/>
      </c>
      <c r="D184" t="str">
        <f t="shared" si="11"/>
        <v/>
      </c>
      <c r="F184" t="str">
        <f>IF(Sync!$AH184="","",IF(LEFT(UPPER(TRIM(Sync!$AH184)),2)="SL",UPPER(TRIM(Sync!$AH184)),""))</f>
        <v/>
      </c>
      <c r="G184" t="str">
        <f>IF($F184="","",IF(Sync!$AE184="","",IF(ISNUMBER(Sync!$AE184),IF(AND(Sync!$AE184&gt;=10000101,Sync!$AE184&lt;=99991231),INT(Sync!$AE184/10000),""),IFERROR(VALUE(TRIM(LEFT(Sync!$AE184,FIND("/",Sync!$AE184)-1))),""))))</f>
        <v/>
      </c>
      <c r="H184" t="str">
        <f>IF(OR($F184="",$G184=""),"",IF(ISNUMBER(Sync!$AE184),INT(MOD(Sync!$AE184,10000)/100),IFERROR(VALUE(TRIM(LEFT(MID(Sync!$AE184,FIND("/",Sync!$AE184)+1,20),FIND("/",MID(Sync!$AE184,FIND("/",Sync!$AE184)+1,20))-1))),"")))</f>
        <v/>
      </c>
      <c r="I184" t="str">
        <f>IF(OR($F184="",$G184=""),"",IF(ISNUMBER(Sync!$AE184),MOD(Sync!$AE184,100),IFERROR(VALUE(TRIM(MID(MID(Sync!$AE184,FIND("/",Sync!$AE184)+1,20),FIND("/",MID(Sync!$AE184,FIND("/",Sync!$AE184)+1,20))+1,20))),"")))</f>
        <v/>
      </c>
      <c r="J184" t="str">
        <f t="shared" si="12"/>
        <v/>
      </c>
      <c r="K184" t="str">
        <f>IF(OR($F184="",$J184="",$J184="نامعتبر"),"",LEFT($J184,4)&amp;MID($J184,6,2)&amp;RIGHT($J184,2)&amp;$N184&amp;"|"&amp;"2"&amp;RIGHT("00000"&amp;179,5))</f>
        <v/>
      </c>
      <c r="L184" t="str">
        <f t="shared" si="13"/>
        <v/>
      </c>
      <c r="M184" t="str">
        <f t="shared" si="14"/>
        <v/>
      </c>
      <c r="N184" t="str">
        <f>IF($F184="","",IF(Sync!$AF184="","0000",IF(AND(ISNUMBER(Sync!$AF184),Sync!$AF184&gt;=0,Sync!$AF184&lt;1),RIGHT("00"&amp;HOUR(Sync!$AF184),2)&amp;RIGHT("00"&amp;MINUTE(Sync!$AF184),2),IFERROR(RIGHT("00"&amp;VALUE(LEFT(Sync!$AF184,FIND(":",Sync!$AF184)-1)),2)&amp;RIGHT("00"&amp;VALUE(MID(Sync!$AF184,FIND(":",Sync!$AF184)+1,2)),2),"0000"))))</f>
        <v/>
      </c>
    </row>
    <row r="185" spans="1:14" x14ac:dyDescent="0.2">
      <c r="A185" t="str">
        <f>IF(OR(Calc!$E189="",Calc!$E189="نامعتبر",Calc!$G189=""),"",Calc!$G189)</f>
        <v/>
      </c>
      <c r="B185" t="str">
        <f>IF($A185="","",LEFT(Calc!$E189,4)&amp;MID(Calc!$E189,6,2)&amp;RIGHT(Calc!$E189,2)&amp;Calc!$Q189&amp;"|"&amp;"1"&amp;RIGHT("00000"&amp;180,5))</f>
        <v/>
      </c>
      <c r="C185" t="str">
        <f t="shared" si="10"/>
        <v/>
      </c>
      <c r="D185" t="str">
        <f t="shared" si="11"/>
        <v/>
      </c>
      <c r="F185" t="str">
        <f>IF(Sync!$AH185="","",IF(LEFT(UPPER(TRIM(Sync!$AH185)),2)="SL",UPPER(TRIM(Sync!$AH185)),""))</f>
        <v/>
      </c>
      <c r="G185" t="str">
        <f>IF($F185="","",IF(Sync!$AE185="","",IF(ISNUMBER(Sync!$AE185),IF(AND(Sync!$AE185&gt;=10000101,Sync!$AE185&lt;=99991231),INT(Sync!$AE185/10000),""),IFERROR(VALUE(TRIM(LEFT(Sync!$AE185,FIND("/",Sync!$AE185)-1))),""))))</f>
        <v/>
      </c>
      <c r="H185" t="str">
        <f>IF(OR($F185="",$G185=""),"",IF(ISNUMBER(Sync!$AE185),INT(MOD(Sync!$AE185,10000)/100),IFERROR(VALUE(TRIM(LEFT(MID(Sync!$AE185,FIND("/",Sync!$AE185)+1,20),FIND("/",MID(Sync!$AE185,FIND("/",Sync!$AE185)+1,20))-1))),"")))</f>
        <v/>
      </c>
      <c r="I185" t="str">
        <f>IF(OR($F185="",$G185=""),"",IF(ISNUMBER(Sync!$AE185),MOD(Sync!$AE185,100),IFERROR(VALUE(TRIM(MID(MID(Sync!$AE185,FIND("/",Sync!$AE185)+1,20),FIND("/",MID(Sync!$AE185,FIND("/",Sync!$AE185)+1,20))+1,20))),"")))</f>
        <v/>
      </c>
      <c r="J185" t="str">
        <f t="shared" si="12"/>
        <v/>
      </c>
      <c r="K185" t="str">
        <f>IF(OR($F185="",$J185="",$J185="نامعتبر"),"",LEFT($J185,4)&amp;MID($J185,6,2)&amp;RIGHT($J185,2)&amp;$N185&amp;"|"&amp;"2"&amp;RIGHT("00000"&amp;180,5))</f>
        <v/>
      </c>
      <c r="L185" t="str">
        <f t="shared" si="13"/>
        <v/>
      </c>
      <c r="M185" t="str">
        <f t="shared" si="14"/>
        <v/>
      </c>
      <c r="N185" t="str">
        <f>IF($F185="","",IF(Sync!$AF185="","0000",IF(AND(ISNUMBER(Sync!$AF185),Sync!$AF185&gt;=0,Sync!$AF185&lt;1),RIGHT("00"&amp;HOUR(Sync!$AF185),2)&amp;RIGHT("00"&amp;MINUTE(Sync!$AF185),2),IFERROR(RIGHT("00"&amp;VALUE(LEFT(Sync!$AF185,FIND(":",Sync!$AF185)-1)),2)&amp;RIGHT("00"&amp;VALUE(MID(Sync!$AF185,FIND(":",Sync!$AF185)+1,2)),2),"0000"))))</f>
        <v/>
      </c>
    </row>
    <row r="186" spans="1:14" x14ac:dyDescent="0.2">
      <c r="A186" t="str">
        <f>IF(OR(Calc!$E190="",Calc!$E190="نامعتبر",Calc!$G190=""),"",Calc!$G190)</f>
        <v>SL004</v>
      </c>
      <c r="B186" t="str">
        <f>IF($A186="","",LEFT(Calc!$E190,4)&amp;MID(Calc!$E190,6,2)&amp;RIGHT(Calc!$E190,2)&amp;Calc!$Q190&amp;"|"&amp;"1"&amp;RIGHT("00000"&amp;181,5))</f>
        <v>140507280000|100181</v>
      </c>
      <c r="C186">
        <f t="shared" si="10"/>
        <v>3</v>
      </c>
      <c r="D186" t="str">
        <f t="shared" si="11"/>
        <v>SL004|000003</v>
      </c>
      <c r="F186" t="str">
        <f>IF(Sync!$AH186="","",IF(LEFT(UPPER(TRIM(Sync!$AH186)),2)="SL",UPPER(TRIM(Sync!$AH186)),""))</f>
        <v/>
      </c>
      <c r="G186" t="str">
        <f>IF($F186="","",IF(Sync!$AE186="","",IF(ISNUMBER(Sync!$AE186),IF(AND(Sync!$AE186&gt;=10000101,Sync!$AE186&lt;=99991231),INT(Sync!$AE186/10000),""),IFERROR(VALUE(TRIM(LEFT(Sync!$AE186,FIND("/",Sync!$AE186)-1))),""))))</f>
        <v/>
      </c>
      <c r="H186" t="str">
        <f>IF(OR($F186="",$G186=""),"",IF(ISNUMBER(Sync!$AE186),INT(MOD(Sync!$AE186,10000)/100),IFERROR(VALUE(TRIM(LEFT(MID(Sync!$AE186,FIND("/",Sync!$AE186)+1,20),FIND("/",MID(Sync!$AE186,FIND("/",Sync!$AE186)+1,20))-1))),"")))</f>
        <v/>
      </c>
      <c r="I186" t="str">
        <f>IF(OR($F186="",$G186=""),"",IF(ISNUMBER(Sync!$AE186),MOD(Sync!$AE186,100),IFERROR(VALUE(TRIM(MID(MID(Sync!$AE186,FIND("/",Sync!$AE186)+1,20),FIND("/",MID(Sync!$AE186,FIND("/",Sync!$AE186)+1,20))+1,20))),"")))</f>
        <v/>
      </c>
      <c r="J186" t="str">
        <f t="shared" si="12"/>
        <v/>
      </c>
      <c r="K186" t="str">
        <f>IF(OR($F186="",$J186="",$J186="نامعتبر"),"",LEFT($J186,4)&amp;MID($J186,6,2)&amp;RIGHT($J186,2)&amp;$N186&amp;"|"&amp;"2"&amp;RIGHT("00000"&amp;181,5))</f>
        <v/>
      </c>
      <c r="L186" t="str">
        <f t="shared" si="13"/>
        <v/>
      </c>
      <c r="M186" t="str">
        <f t="shared" si="14"/>
        <v/>
      </c>
      <c r="N186" t="str">
        <f>IF($F186="","",IF(Sync!$AF186="","0000",IF(AND(ISNUMBER(Sync!$AF186),Sync!$AF186&gt;=0,Sync!$AF186&lt;1),RIGHT("00"&amp;HOUR(Sync!$AF186),2)&amp;RIGHT("00"&amp;MINUTE(Sync!$AF186),2),IFERROR(RIGHT("00"&amp;VALUE(LEFT(Sync!$AF186,FIND(":",Sync!$AF186)-1)),2)&amp;RIGHT("00"&amp;VALUE(MID(Sync!$AF186,FIND(":",Sync!$AF186)+1,2)),2),"0000"))))</f>
        <v/>
      </c>
    </row>
    <row r="187" spans="1:14" x14ac:dyDescent="0.2">
      <c r="A187" t="str">
        <f>IF(OR(Calc!$E191="",Calc!$E191="نامعتبر",Calc!$G191=""),"",Calc!$G191)</f>
        <v>SL003</v>
      </c>
      <c r="B187" t="str">
        <f>IF($A187="","",LEFT(Calc!$E191,4)&amp;MID(Calc!$E191,6,2)&amp;RIGHT(Calc!$E191,2)&amp;Calc!$Q191&amp;"|"&amp;"1"&amp;RIGHT("00000"&amp;182,5))</f>
        <v>140507280000|100182</v>
      </c>
      <c r="C187">
        <f t="shared" si="10"/>
        <v>11</v>
      </c>
      <c r="D187" t="str">
        <f t="shared" si="11"/>
        <v>SL003|000011</v>
      </c>
      <c r="F187" t="str">
        <f>IF(Sync!$AH187="","",IF(LEFT(UPPER(TRIM(Sync!$AH187)),2)="SL",UPPER(TRIM(Sync!$AH187)),""))</f>
        <v/>
      </c>
      <c r="G187" t="str">
        <f>IF($F187="","",IF(Sync!$AE187="","",IF(ISNUMBER(Sync!$AE187),IF(AND(Sync!$AE187&gt;=10000101,Sync!$AE187&lt;=99991231),INT(Sync!$AE187/10000),""),IFERROR(VALUE(TRIM(LEFT(Sync!$AE187,FIND("/",Sync!$AE187)-1))),""))))</f>
        <v/>
      </c>
      <c r="H187" t="str">
        <f>IF(OR($F187="",$G187=""),"",IF(ISNUMBER(Sync!$AE187),INT(MOD(Sync!$AE187,10000)/100),IFERROR(VALUE(TRIM(LEFT(MID(Sync!$AE187,FIND("/",Sync!$AE187)+1,20),FIND("/",MID(Sync!$AE187,FIND("/",Sync!$AE187)+1,20))-1))),"")))</f>
        <v/>
      </c>
      <c r="I187" t="str">
        <f>IF(OR($F187="",$G187=""),"",IF(ISNUMBER(Sync!$AE187),MOD(Sync!$AE187,100),IFERROR(VALUE(TRIM(MID(MID(Sync!$AE187,FIND("/",Sync!$AE187)+1,20),FIND("/",MID(Sync!$AE187,FIND("/",Sync!$AE187)+1,20))+1,20))),"")))</f>
        <v/>
      </c>
      <c r="J187" t="str">
        <f t="shared" si="12"/>
        <v/>
      </c>
      <c r="K187" t="str">
        <f>IF(OR($F187="",$J187="",$J187="نامعتبر"),"",LEFT($J187,4)&amp;MID($J187,6,2)&amp;RIGHT($J187,2)&amp;$N187&amp;"|"&amp;"2"&amp;RIGHT("00000"&amp;182,5))</f>
        <v/>
      </c>
      <c r="L187" t="str">
        <f t="shared" si="13"/>
        <v/>
      </c>
      <c r="M187" t="str">
        <f t="shared" si="14"/>
        <v/>
      </c>
      <c r="N187" t="str">
        <f>IF($F187="","",IF(Sync!$AF187="","0000",IF(AND(ISNUMBER(Sync!$AF187),Sync!$AF187&gt;=0,Sync!$AF187&lt;1),RIGHT("00"&amp;HOUR(Sync!$AF187),2)&amp;RIGHT("00"&amp;MINUTE(Sync!$AF187),2),IFERROR(RIGHT("00"&amp;VALUE(LEFT(Sync!$AF187,FIND(":",Sync!$AF187)-1)),2)&amp;RIGHT("00"&amp;VALUE(MID(Sync!$AF187,FIND(":",Sync!$AF187)+1,2)),2),"0000"))))</f>
        <v/>
      </c>
    </row>
    <row r="188" spans="1:14" x14ac:dyDescent="0.2">
      <c r="A188" t="str">
        <f>IF(OR(Calc!$E192="",Calc!$E192="نامعتبر",Calc!$G192=""),"",Calc!$G192)</f>
        <v/>
      </c>
      <c r="B188" t="str">
        <f>IF($A188="","",LEFT(Calc!$E192,4)&amp;MID(Calc!$E192,6,2)&amp;RIGHT(Calc!$E192,2)&amp;Calc!$Q192&amp;"|"&amp;"1"&amp;RIGHT("00000"&amp;183,5))</f>
        <v/>
      </c>
      <c r="C188" t="str">
        <f t="shared" si="10"/>
        <v/>
      </c>
      <c r="D188" t="str">
        <f t="shared" si="11"/>
        <v/>
      </c>
      <c r="F188" t="str">
        <f>IF(Sync!$AH188="","",IF(LEFT(UPPER(TRIM(Sync!$AH188)),2)="SL",UPPER(TRIM(Sync!$AH188)),""))</f>
        <v/>
      </c>
      <c r="G188" t="str">
        <f>IF($F188="","",IF(Sync!$AE188="","",IF(ISNUMBER(Sync!$AE188),IF(AND(Sync!$AE188&gt;=10000101,Sync!$AE188&lt;=99991231),INT(Sync!$AE188/10000),""),IFERROR(VALUE(TRIM(LEFT(Sync!$AE188,FIND("/",Sync!$AE188)-1))),""))))</f>
        <v/>
      </c>
      <c r="H188" t="str">
        <f>IF(OR($F188="",$G188=""),"",IF(ISNUMBER(Sync!$AE188),INT(MOD(Sync!$AE188,10000)/100),IFERROR(VALUE(TRIM(LEFT(MID(Sync!$AE188,FIND("/",Sync!$AE188)+1,20),FIND("/",MID(Sync!$AE188,FIND("/",Sync!$AE188)+1,20))-1))),"")))</f>
        <v/>
      </c>
      <c r="I188" t="str">
        <f>IF(OR($F188="",$G188=""),"",IF(ISNUMBER(Sync!$AE188),MOD(Sync!$AE188,100),IFERROR(VALUE(TRIM(MID(MID(Sync!$AE188,FIND("/",Sync!$AE188)+1,20),FIND("/",MID(Sync!$AE188,FIND("/",Sync!$AE188)+1,20))+1,20))),"")))</f>
        <v/>
      </c>
      <c r="J188" t="str">
        <f t="shared" si="12"/>
        <v/>
      </c>
      <c r="K188" t="str">
        <f>IF(OR($F188="",$J188="",$J188="نامعتبر"),"",LEFT($J188,4)&amp;MID($J188,6,2)&amp;RIGHT($J188,2)&amp;$N188&amp;"|"&amp;"2"&amp;RIGHT("00000"&amp;183,5))</f>
        <v/>
      </c>
      <c r="L188" t="str">
        <f t="shared" si="13"/>
        <v/>
      </c>
      <c r="M188" t="str">
        <f t="shared" si="14"/>
        <v/>
      </c>
      <c r="N188" t="str">
        <f>IF($F188="","",IF(Sync!$AF188="","0000",IF(AND(ISNUMBER(Sync!$AF188),Sync!$AF188&gt;=0,Sync!$AF188&lt;1),RIGHT("00"&amp;HOUR(Sync!$AF188),2)&amp;RIGHT("00"&amp;MINUTE(Sync!$AF188),2),IFERROR(RIGHT("00"&amp;VALUE(LEFT(Sync!$AF188,FIND(":",Sync!$AF188)-1)),2)&amp;RIGHT("00"&amp;VALUE(MID(Sync!$AF188,FIND(":",Sync!$AF188)+1,2)),2),"0000"))))</f>
        <v/>
      </c>
    </row>
    <row r="189" spans="1:14" x14ac:dyDescent="0.2">
      <c r="A189" t="str">
        <f>IF(OR(Calc!$E193="",Calc!$E193="نامعتبر",Calc!$G193=""),"",Calc!$G193)</f>
        <v/>
      </c>
      <c r="B189" t="str">
        <f>IF($A189="","",LEFT(Calc!$E193,4)&amp;MID(Calc!$E193,6,2)&amp;RIGHT(Calc!$E193,2)&amp;Calc!$Q193&amp;"|"&amp;"1"&amp;RIGHT("00000"&amp;184,5))</f>
        <v/>
      </c>
      <c r="C189" t="str">
        <f t="shared" si="10"/>
        <v/>
      </c>
      <c r="D189" t="str">
        <f t="shared" si="11"/>
        <v/>
      </c>
      <c r="F189" t="str">
        <f>IF(Sync!$AH189="","",IF(LEFT(UPPER(TRIM(Sync!$AH189)),2)="SL",UPPER(TRIM(Sync!$AH189)),""))</f>
        <v/>
      </c>
      <c r="G189" t="str">
        <f>IF($F189="","",IF(Sync!$AE189="","",IF(ISNUMBER(Sync!$AE189),IF(AND(Sync!$AE189&gt;=10000101,Sync!$AE189&lt;=99991231),INT(Sync!$AE189/10000),""),IFERROR(VALUE(TRIM(LEFT(Sync!$AE189,FIND("/",Sync!$AE189)-1))),""))))</f>
        <v/>
      </c>
      <c r="H189" t="str">
        <f>IF(OR($F189="",$G189=""),"",IF(ISNUMBER(Sync!$AE189),INT(MOD(Sync!$AE189,10000)/100),IFERROR(VALUE(TRIM(LEFT(MID(Sync!$AE189,FIND("/",Sync!$AE189)+1,20),FIND("/",MID(Sync!$AE189,FIND("/",Sync!$AE189)+1,20))-1))),"")))</f>
        <v/>
      </c>
      <c r="I189" t="str">
        <f>IF(OR($F189="",$G189=""),"",IF(ISNUMBER(Sync!$AE189),MOD(Sync!$AE189,100),IFERROR(VALUE(TRIM(MID(MID(Sync!$AE189,FIND("/",Sync!$AE189)+1,20),FIND("/",MID(Sync!$AE189,FIND("/",Sync!$AE189)+1,20))+1,20))),"")))</f>
        <v/>
      </c>
      <c r="J189" t="str">
        <f t="shared" si="12"/>
        <v/>
      </c>
      <c r="K189" t="str">
        <f>IF(OR($F189="",$J189="",$J189="نامعتبر"),"",LEFT($J189,4)&amp;MID($J189,6,2)&amp;RIGHT($J189,2)&amp;$N189&amp;"|"&amp;"2"&amp;RIGHT("00000"&amp;184,5))</f>
        <v/>
      </c>
      <c r="L189" t="str">
        <f t="shared" si="13"/>
        <v/>
      </c>
      <c r="M189" t="str">
        <f t="shared" si="14"/>
        <v/>
      </c>
      <c r="N189" t="str">
        <f>IF($F189="","",IF(Sync!$AF189="","0000",IF(AND(ISNUMBER(Sync!$AF189),Sync!$AF189&gt;=0,Sync!$AF189&lt;1),RIGHT("00"&amp;HOUR(Sync!$AF189),2)&amp;RIGHT("00"&amp;MINUTE(Sync!$AF189),2),IFERROR(RIGHT("00"&amp;VALUE(LEFT(Sync!$AF189,FIND(":",Sync!$AF189)-1)),2)&amp;RIGHT("00"&amp;VALUE(MID(Sync!$AF189,FIND(":",Sync!$AF189)+1,2)),2),"0000"))))</f>
        <v/>
      </c>
    </row>
    <row r="190" spans="1:14" x14ac:dyDescent="0.2">
      <c r="A190" t="str">
        <f>IF(OR(Calc!$E194="",Calc!$E194="نامعتبر",Calc!$G194=""),"",Calc!$G194)</f>
        <v/>
      </c>
      <c r="B190" t="str">
        <f>IF($A190="","",LEFT(Calc!$E194,4)&amp;MID(Calc!$E194,6,2)&amp;RIGHT(Calc!$E194,2)&amp;Calc!$Q194&amp;"|"&amp;"1"&amp;RIGHT("00000"&amp;185,5))</f>
        <v/>
      </c>
      <c r="C190" t="str">
        <f t="shared" si="10"/>
        <v/>
      </c>
      <c r="D190" t="str">
        <f t="shared" si="11"/>
        <v/>
      </c>
      <c r="F190" t="str">
        <f>IF(Sync!$AH190="","",IF(LEFT(UPPER(TRIM(Sync!$AH190)),2)="SL",UPPER(TRIM(Sync!$AH190)),""))</f>
        <v/>
      </c>
      <c r="G190" t="str">
        <f>IF($F190="","",IF(Sync!$AE190="","",IF(ISNUMBER(Sync!$AE190),IF(AND(Sync!$AE190&gt;=10000101,Sync!$AE190&lt;=99991231),INT(Sync!$AE190/10000),""),IFERROR(VALUE(TRIM(LEFT(Sync!$AE190,FIND("/",Sync!$AE190)-1))),""))))</f>
        <v/>
      </c>
      <c r="H190" t="str">
        <f>IF(OR($F190="",$G190=""),"",IF(ISNUMBER(Sync!$AE190),INT(MOD(Sync!$AE190,10000)/100),IFERROR(VALUE(TRIM(LEFT(MID(Sync!$AE190,FIND("/",Sync!$AE190)+1,20),FIND("/",MID(Sync!$AE190,FIND("/",Sync!$AE190)+1,20))-1))),"")))</f>
        <v/>
      </c>
      <c r="I190" t="str">
        <f>IF(OR($F190="",$G190=""),"",IF(ISNUMBER(Sync!$AE190),MOD(Sync!$AE190,100),IFERROR(VALUE(TRIM(MID(MID(Sync!$AE190,FIND("/",Sync!$AE190)+1,20),FIND("/",MID(Sync!$AE190,FIND("/",Sync!$AE190)+1,20))+1,20))),"")))</f>
        <v/>
      </c>
      <c r="J190" t="str">
        <f t="shared" si="12"/>
        <v/>
      </c>
      <c r="K190" t="str">
        <f>IF(OR($F190="",$J190="",$J190="نامعتبر"),"",LEFT($J190,4)&amp;MID($J190,6,2)&amp;RIGHT($J190,2)&amp;$N190&amp;"|"&amp;"2"&amp;RIGHT("00000"&amp;185,5))</f>
        <v/>
      </c>
      <c r="L190" t="str">
        <f t="shared" si="13"/>
        <v/>
      </c>
      <c r="M190" t="str">
        <f t="shared" si="14"/>
        <v/>
      </c>
      <c r="N190" t="str">
        <f>IF($F190="","",IF(Sync!$AF190="","0000",IF(AND(ISNUMBER(Sync!$AF190),Sync!$AF190&gt;=0,Sync!$AF190&lt;1),RIGHT("00"&amp;HOUR(Sync!$AF190),2)&amp;RIGHT("00"&amp;MINUTE(Sync!$AF190),2),IFERROR(RIGHT("00"&amp;VALUE(LEFT(Sync!$AF190,FIND(":",Sync!$AF190)-1)),2)&amp;RIGHT("00"&amp;VALUE(MID(Sync!$AF190,FIND(":",Sync!$AF190)+1,2)),2),"0000"))))</f>
        <v/>
      </c>
    </row>
    <row r="191" spans="1:14" x14ac:dyDescent="0.2">
      <c r="A191" t="str">
        <f>IF(OR(Calc!$E195="",Calc!$E195="نامعتبر",Calc!$G195=""),"",Calc!$G195)</f>
        <v/>
      </c>
      <c r="B191" t="str">
        <f>IF($A191="","",LEFT(Calc!$E195,4)&amp;MID(Calc!$E195,6,2)&amp;RIGHT(Calc!$E195,2)&amp;Calc!$Q195&amp;"|"&amp;"1"&amp;RIGHT("00000"&amp;186,5))</f>
        <v/>
      </c>
      <c r="C191" t="str">
        <f t="shared" si="10"/>
        <v/>
      </c>
      <c r="D191" t="str">
        <f t="shared" si="11"/>
        <v/>
      </c>
      <c r="F191" t="str">
        <f>IF(Sync!$AH191="","",IF(LEFT(UPPER(TRIM(Sync!$AH191)),2)="SL",UPPER(TRIM(Sync!$AH191)),""))</f>
        <v/>
      </c>
      <c r="G191" t="str">
        <f>IF($F191="","",IF(Sync!$AE191="","",IF(ISNUMBER(Sync!$AE191),IF(AND(Sync!$AE191&gt;=10000101,Sync!$AE191&lt;=99991231),INT(Sync!$AE191/10000),""),IFERROR(VALUE(TRIM(LEFT(Sync!$AE191,FIND("/",Sync!$AE191)-1))),""))))</f>
        <v/>
      </c>
      <c r="H191" t="str">
        <f>IF(OR($F191="",$G191=""),"",IF(ISNUMBER(Sync!$AE191),INT(MOD(Sync!$AE191,10000)/100),IFERROR(VALUE(TRIM(LEFT(MID(Sync!$AE191,FIND("/",Sync!$AE191)+1,20),FIND("/",MID(Sync!$AE191,FIND("/",Sync!$AE191)+1,20))-1))),"")))</f>
        <v/>
      </c>
      <c r="I191" t="str">
        <f>IF(OR($F191="",$G191=""),"",IF(ISNUMBER(Sync!$AE191),MOD(Sync!$AE191,100),IFERROR(VALUE(TRIM(MID(MID(Sync!$AE191,FIND("/",Sync!$AE191)+1,20),FIND("/",MID(Sync!$AE191,FIND("/",Sync!$AE191)+1,20))+1,20))),"")))</f>
        <v/>
      </c>
      <c r="J191" t="str">
        <f t="shared" si="12"/>
        <v/>
      </c>
      <c r="K191" t="str">
        <f>IF(OR($F191="",$J191="",$J191="نامعتبر"),"",LEFT($J191,4)&amp;MID($J191,6,2)&amp;RIGHT($J191,2)&amp;$N191&amp;"|"&amp;"2"&amp;RIGHT("00000"&amp;186,5))</f>
        <v/>
      </c>
      <c r="L191" t="str">
        <f t="shared" si="13"/>
        <v/>
      </c>
      <c r="M191" t="str">
        <f t="shared" si="14"/>
        <v/>
      </c>
      <c r="N191" t="str">
        <f>IF($F191="","",IF(Sync!$AF191="","0000",IF(AND(ISNUMBER(Sync!$AF191),Sync!$AF191&gt;=0,Sync!$AF191&lt;1),RIGHT("00"&amp;HOUR(Sync!$AF191),2)&amp;RIGHT("00"&amp;MINUTE(Sync!$AF191),2),IFERROR(RIGHT("00"&amp;VALUE(LEFT(Sync!$AF191,FIND(":",Sync!$AF191)-1)),2)&amp;RIGHT("00"&amp;VALUE(MID(Sync!$AF191,FIND(":",Sync!$AF191)+1,2)),2),"0000"))))</f>
        <v/>
      </c>
    </row>
    <row r="192" spans="1:14" x14ac:dyDescent="0.2">
      <c r="A192" t="str">
        <f>IF(OR(Calc!$E196="",Calc!$E196="نامعتبر",Calc!$G196=""),"",Calc!$G196)</f>
        <v/>
      </c>
      <c r="B192" t="str">
        <f>IF($A192="","",LEFT(Calc!$E196,4)&amp;MID(Calc!$E196,6,2)&amp;RIGHT(Calc!$E196,2)&amp;Calc!$Q196&amp;"|"&amp;"1"&amp;RIGHT("00000"&amp;187,5))</f>
        <v/>
      </c>
      <c r="C192" t="str">
        <f t="shared" si="10"/>
        <v/>
      </c>
      <c r="D192" t="str">
        <f t="shared" si="11"/>
        <v/>
      </c>
      <c r="F192" t="str">
        <f>IF(Sync!$AH192="","",IF(LEFT(UPPER(TRIM(Sync!$AH192)),2)="SL",UPPER(TRIM(Sync!$AH192)),""))</f>
        <v/>
      </c>
      <c r="G192" t="str">
        <f>IF($F192="","",IF(Sync!$AE192="","",IF(ISNUMBER(Sync!$AE192),IF(AND(Sync!$AE192&gt;=10000101,Sync!$AE192&lt;=99991231),INT(Sync!$AE192/10000),""),IFERROR(VALUE(TRIM(LEFT(Sync!$AE192,FIND("/",Sync!$AE192)-1))),""))))</f>
        <v/>
      </c>
      <c r="H192" t="str">
        <f>IF(OR($F192="",$G192=""),"",IF(ISNUMBER(Sync!$AE192),INT(MOD(Sync!$AE192,10000)/100),IFERROR(VALUE(TRIM(LEFT(MID(Sync!$AE192,FIND("/",Sync!$AE192)+1,20),FIND("/",MID(Sync!$AE192,FIND("/",Sync!$AE192)+1,20))-1))),"")))</f>
        <v/>
      </c>
      <c r="I192" t="str">
        <f>IF(OR($F192="",$G192=""),"",IF(ISNUMBER(Sync!$AE192),MOD(Sync!$AE192,100),IFERROR(VALUE(TRIM(MID(MID(Sync!$AE192,FIND("/",Sync!$AE192)+1,20),FIND("/",MID(Sync!$AE192,FIND("/",Sync!$AE192)+1,20))+1,20))),"")))</f>
        <v/>
      </c>
      <c r="J192" t="str">
        <f t="shared" si="12"/>
        <v/>
      </c>
      <c r="K192" t="str">
        <f>IF(OR($F192="",$J192="",$J192="نامعتبر"),"",LEFT($J192,4)&amp;MID($J192,6,2)&amp;RIGHT($J192,2)&amp;$N192&amp;"|"&amp;"2"&amp;RIGHT("00000"&amp;187,5))</f>
        <v/>
      </c>
      <c r="L192" t="str">
        <f t="shared" si="13"/>
        <v/>
      </c>
      <c r="M192" t="str">
        <f t="shared" si="14"/>
        <v/>
      </c>
      <c r="N192" t="str">
        <f>IF($F192="","",IF(Sync!$AF192="","0000",IF(AND(ISNUMBER(Sync!$AF192),Sync!$AF192&gt;=0,Sync!$AF192&lt;1),RIGHT("00"&amp;HOUR(Sync!$AF192),2)&amp;RIGHT("00"&amp;MINUTE(Sync!$AF192),2),IFERROR(RIGHT("00"&amp;VALUE(LEFT(Sync!$AF192,FIND(":",Sync!$AF192)-1)),2)&amp;RIGHT("00"&amp;VALUE(MID(Sync!$AF192,FIND(":",Sync!$AF192)+1,2)),2),"0000"))))</f>
        <v/>
      </c>
    </row>
    <row r="193" spans="1:14" x14ac:dyDescent="0.2">
      <c r="A193" t="str">
        <f>IF(OR(Calc!$E197="",Calc!$E197="نامعتبر",Calc!$G197=""),"",Calc!$G197)</f>
        <v/>
      </c>
      <c r="B193" t="str">
        <f>IF($A193="","",LEFT(Calc!$E197,4)&amp;MID(Calc!$E197,6,2)&amp;RIGHT(Calc!$E197,2)&amp;Calc!$Q197&amp;"|"&amp;"1"&amp;RIGHT("00000"&amp;188,5))</f>
        <v/>
      </c>
      <c r="C193" t="str">
        <f t="shared" si="10"/>
        <v/>
      </c>
      <c r="D193" t="str">
        <f t="shared" si="11"/>
        <v/>
      </c>
      <c r="F193" t="str">
        <f>IF(Sync!$AH193="","",IF(LEFT(UPPER(TRIM(Sync!$AH193)),2)="SL",UPPER(TRIM(Sync!$AH193)),""))</f>
        <v/>
      </c>
      <c r="G193" t="str">
        <f>IF($F193="","",IF(Sync!$AE193="","",IF(ISNUMBER(Sync!$AE193),IF(AND(Sync!$AE193&gt;=10000101,Sync!$AE193&lt;=99991231),INT(Sync!$AE193/10000),""),IFERROR(VALUE(TRIM(LEFT(Sync!$AE193,FIND("/",Sync!$AE193)-1))),""))))</f>
        <v/>
      </c>
      <c r="H193" t="str">
        <f>IF(OR($F193="",$G193=""),"",IF(ISNUMBER(Sync!$AE193),INT(MOD(Sync!$AE193,10000)/100),IFERROR(VALUE(TRIM(LEFT(MID(Sync!$AE193,FIND("/",Sync!$AE193)+1,20),FIND("/",MID(Sync!$AE193,FIND("/",Sync!$AE193)+1,20))-1))),"")))</f>
        <v/>
      </c>
      <c r="I193" t="str">
        <f>IF(OR($F193="",$G193=""),"",IF(ISNUMBER(Sync!$AE193),MOD(Sync!$AE193,100),IFERROR(VALUE(TRIM(MID(MID(Sync!$AE193,FIND("/",Sync!$AE193)+1,20),FIND("/",MID(Sync!$AE193,FIND("/",Sync!$AE193)+1,20))+1,20))),"")))</f>
        <v/>
      </c>
      <c r="J193" t="str">
        <f t="shared" si="12"/>
        <v/>
      </c>
      <c r="K193" t="str">
        <f>IF(OR($F193="",$J193="",$J193="نامعتبر"),"",LEFT($J193,4)&amp;MID($J193,6,2)&amp;RIGHT($J193,2)&amp;$N193&amp;"|"&amp;"2"&amp;RIGHT("00000"&amp;188,5))</f>
        <v/>
      </c>
      <c r="L193" t="str">
        <f t="shared" si="13"/>
        <v/>
      </c>
      <c r="M193" t="str">
        <f t="shared" si="14"/>
        <v/>
      </c>
      <c r="N193" t="str">
        <f>IF($F193="","",IF(Sync!$AF193="","0000",IF(AND(ISNUMBER(Sync!$AF193),Sync!$AF193&gt;=0,Sync!$AF193&lt;1),RIGHT("00"&amp;HOUR(Sync!$AF193),2)&amp;RIGHT("00"&amp;MINUTE(Sync!$AF193),2),IFERROR(RIGHT("00"&amp;VALUE(LEFT(Sync!$AF193,FIND(":",Sync!$AF193)-1)),2)&amp;RIGHT("00"&amp;VALUE(MID(Sync!$AF193,FIND(":",Sync!$AF193)+1,2)),2),"0000"))))</f>
        <v/>
      </c>
    </row>
    <row r="194" spans="1:14" x14ac:dyDescent="0.2">
      <c r="A194" t="str">
        <f>IF(OR(Calc!$E198="",Calc!$E198="نامعتبر",Calc!$G198=""),"",Calc!$G198)</f>
        <v/>
      </c>
      <c r="B194" t="str">
        <f>IF($A194="","",LEFT(Calc!$E198,4)&amp;MID(Calc!$E198,6,2)&amp;RIGHT(Calc!$E198,2)&amp;Calc!$Q198&amp;"|"&amp;"1"&amp;RIGHT("00000"&amp;189,5))</f>
        <v/>
      </c>
      <c r="C194" t="str">
        <f t="shared" si="10"/>
        <v/>
      </c>
      <c r="D194" t="str">
        <f t="shared" si="11"/>
        <v/>
      </c>
      <c r="F194" t="str">
        <f>IF(Sync!$AH194="","",IF(LEFT(UPPER(TRIM(Sync!$AH194)),2)="SL",UPPER(TRIM(Sync!$AH194)),""))</f>
        <v/>
      </c>
      <c r="G194" t="str">
        <f>IF($F194="","",IF(Sync!$AE194="","",IF(ISNUMBER(Sync!$AE194),IF(AND(Sync!$AE194&gt;=10000101,Sync!$AE194&lt;=99991231),INT(Sync!$AE194/10000),""),IFERROR(VALUE(TRIM(LEFT(Sync!$AE194,FIND("/",Sync!$AE194)-1))),""))))</f>
        <v/>
      </c>
      <c r="H194" t="str">
        <f>IF(OR($F194="",$G194=""),"",IF(ISNUMBER(Sync!$AE194),INT(MOD(Sync!$AE194,10000)/100),IFERROR(VALUE(TRIM(LEFT(MID(Sync!$AE194,FIND("/",Sync!$AE194)+1,20),FIND("/",MID(Sync!$AE194,FIND("/",Sync!$AE194)+1,20))-1))),"")))</f>
        <v/>
      </c>
      <c r="I194" t="str">
        <f>IF(OR($F194="",$G194=""),"",IF(ISNUMBER(Sync!$AE194),MOD(Sync!$AE194,100),IFERROR(VALUE(TRIM(MID(MID(Sync!$AE194,FIND("/",Sync!$AE194)+1,20),FIND("/",MID(Sync!$AE194,FIND("/",Sync!$AE194)+1,20))+1,20))),"")))</f>
        <v/>
      </c>
      <c r="J194" t="str">
        <f t="shared" si="12"/>
        <v/>
      </c>
      <c r="K194" t="str">
        <f>IF(OR($F194="",$J194="",$J194="نامعتبر"),"",LEFT($J194,4)&amp;MID($J194,6,2)&amp;RIGHT($J194,2)&amp;$N194&amp;"|"&amp;"2"&amp;RIGHT("00000"&amp;189,5))</f>
        <v/>
      </c>
      <c r="L194" t="str">
        <f t="shared" si="13"/>
        <v/>
      </c>
      <c r="M194" t="str">
        <f t="shared" si="14"/>
        <v/>
      </c>
      <c r="N194" t="str">
        <f>IF($F194="","",IF(Sync!$AF194="","0000",IF(AND(ISNUMBER(Sync!$AF194),Sync!$AF194&gt;=0,Sync!$AF194&lt;1),RIGHT("00"&amp;HOUR(Sync!$AF194),2)&amp;RIGHT("00"&amp;MINUTE(Sync!$AF194),2),IFERROR(RIGHT("00"&amp;VALUE(LEFT(Sync!$AF194,FIND(":",Sync!$AF194)-1)),2)&amp;RIGHT("00"&amp;VALUE(MID(Sync!$AF194,FIND(":",Sync!$AF194)+1,2)),2),"0000"))))</f>
        <v/>
      </c>
    </row>
    <row r="195" spans="1:14" x14ac:dyDescent="0.2">
      <c r="A195" t="str">
        <f>IF(OR(Calc!$E199="",Calc!$E199="نامعتبر",Calc!$G199=""),"",Calc!$G199)</f>
        <v/>
      </c>
      <c r="B195" t="str">
        <f>IF($A195="","",LEFT(Calc!$E199,4)&amp;MID(Calc!$E199,6,2)&amp;RIGHT(Calc!$E199,2)&amp;Calc!$Q199&amp;"|"&amp;"1"&amp;RIGHT("00000"&amp;190,5))</f>
        <v/>
      </c>
      <c r="C195" t="str">
        <f t="shared" si="10"/>
        <v/>
      </c>
      <c r="D195" t="str">
        <f t="shared" si="11"/>
        <v/>
      </c>
      <c r="F195" t="str">
        <f>IF(Sync!$AH195="","",IF(LEFT(UPPER(TRIM(Sync!$AH195)),2)="SL",UPPER(TRIM(Sync!$AH195)),""))</f>
        <v/>
      </c>
      <c r="G195" t="str">
        <f>IF($F195="","",IF(Sync!$AE195="","",IF(ISNUMBER(Sync!$AE195),IF(AND(Sync!$AE195&gt;=10000101,Sync!$AE195&lt;=99991231),INT(Sync!$AE195/10000),""),IFERROR(VALUE(TRIM(LEFT(Sync!$AE195,FIND("/",Sync!$AE195)-1))),""))))</f>
        <v/>
      </c>
      <c r="H195" t="str">
        <f>IF(OR($F195="",$G195=""),"",IF(ISNUMBER(Sync!$AE195),INT(MOD(Sync!$AE195,10000)/100),IFERROR(VALUE(TRIM(LEFT(MID(Sync!$AE195,FIND("/",Sync!$AE195)+1,20),FIND("/",MID(Sync!$AE195,FIND("/",Sync!$AE195)+1,20))-1))),"")))</f>
        <v/>
      </c>
      <c r="I195" t="str">
        <f>IF(OR($F195="",$G195=""),"",IF(ISNUMBER(Sync!$AE195),MOD(Sync!$AE195,100),IFERROR(VALUE(TRIM(MID(MID(Sync!$AE195,FIND("/",Sync!$AE195)+1,20),FIND("/",MID(Sync!$AE195,FIND("/",Sync!$AE195)+1,20))+1,20))),"")))</f>
        <v/>
      </c>
      <c r="J195" t="str">
        <f t="shared" si="12"/>
        <v/>
      </c>
      <c r="K195" t="str">
        <f>IF(OR($F195="",$J195="",$J195="نامعتبر"),"",LEFT($J195,4)&amp;MID($J195,6,2)&amp;RIGHT($J195,2)&amp;$N195&amp;"|"&amp;"2"&amp;RIGHT("00000"&amp;190,5))</f>
        <v/>
      </c>
      <c r="L195" t="str">
        <f t="shared" si="13"/>
        <v/>
      </c>
      <c r="M195" t="str">
        <f t="shared" si="14"/>
        <v/>
      </c>
      <c r="N195" t="str">
        <f>IF($F195="","",IF(Sync!$AF195="","0000",IF(AND(ISNUMBER(Sync!$AF195),Sync!$AF195&gt;=0,Sync!$AF195&lt;1),RIGHT("00"&amp;HOUR(Sync!$AF195),2)&amp;RIGHT("00"&amp;MINUTE(Sync!$AF195),2),IFERROR(RIGHT("00"&amp;VALUE(LEFT(Sync!$AF195,FIND(":",Sync!$AF195)-1)),2)&amp;RIGHT("00"&amp;VALUE(MID(Sync!$AF195,FIND(":",Sync!$AF195)+1,2)),2),"0000"))))</f>
        <v/>
      </c>
    </row>
    <row r="196" spans="1:14" x14ac:dyDescent="0.2">
      <c r="A196" t="str">
        <f>IF(OR(Calc!$E200="",Calc!$E200="نامعتبر",Calc!$G200=""),"",Calc!$G200)</f>
        <v/>
      </c>
      <c r="B196" t="str">
        <f>IF($A196="","",LEFT(Calc!$E200,4)&amp;MID(Calc!$E200,6,2)&amp;RIGHT(Calc!$E200,2)&amp;Calc!$Q200&amp;"|"&amp;"1"&amp;RIGHT("00000"&amp;191,5))</f>
        <v/>
      </c>
      <c r="C196" t="str">
        <f t="shared" si="10"/>
        <v/>
      </c>
      <c r="D196" t="str">
        <f t="shared" si="11"/>
        <v/>
      </c>
      <c r="F196" t="str">
        <f>IF(Sync!$AH196="","",IF(LEFT(UPPER(TRIM(Sync!$AH196)),2)="SL",UPPER(TRIM(Sync!$AH196)),""))</f>
        <v/>
      </c>
      <c r="G196" t="str">
        <f>IF($F196="","",IF(Sync!$AE196="","",IF(ISNUMBER(Sync!$AE196),IF(AND(Sync!$AE196&gt;=10000101,Sync!$AE196&lt;=99991231),INT(Sync!$AE196/10000),""),IFERROR(VALUE(TRIM(LEFT(Sync!$AE196,FIND("/",Sync!$AE196)-1))),""))))</f>
        <v/>
      </c>
      <c r="H196" t="str">
        <f>IF(OR($F196="",$G196=""),"",IF(ISNUMBER(Sync!$AE196),INT(MOD(Sync!$AE196,10000)/100),IFERROR(VALUE(TRIM(LEFT(MID(Sync!$AE196,FIND("/",Sync!$AE196)+1,20),FIND("/",MID(Sync!$AE196,FIND("/",Sync!$AE196)+1,20))-1))),"")))</f>
        <v/>
      </c>
      <c r="I196" t="str">
        <f>IF(OR($F196="",$G196=""),"",IF(ISNUMBER(Sync!$AE196),MOD(Sync!$AE196,100),IFERROR(VALUE(TRIM(MID(MID(Sync!$AE196,FIND("/",Sync!$AE196)+1,20),FIND("/",MID(Sync!$AE196,FIND("/",Sync!$AE196)+1,20))+1,20))),"")))</f>
        <v/>
      </c>
      <c r="J196" t="str">
        <f t="shared" si="12"/>
        <v/>
      </c>
      <c r="K196" t="str">
        <f>IF(OR($F196="",$J196="",$J196="نامعتبر"),"",LEFT($J196,4)&amp;MID($J196,6,2)&amp;RIGHT($J196,2)&amp;$N196&amp;"|"&amp;"2"&amp;RIGHT("00000"&amp;191,5))</f>
        <v/>
      </c>
      <c r="L196" t="str">
        <f t="shared" si="13"/>
        <v/>
      </c>
      <c r="M196" t="str">
        <f t="shared" si="14"/>
        <v/>
      </c>
      <c r="N196" t="str">
        <f>IF($F196="","",IF(Sync!$AF196="","0000",IF(AND(ISNUMBER(Sync!$AF196),Sync!$AF196&gt;=0,Sync!$AF196&lt;1),RIGHT("00"&amp;HOUR(Sync!$AF196),2)&amp;RIGHT("00"&amp;MINUTE(Sync!$AF196),2),IFERROR(RIGHT("00"&amp;VALUE(LEFT(Sync!$AF196,FIND(":",Sync!$AF196)-1)),2)&amp;RIGHT("00"&amp;VALUE(MID(Sync!$AF196,FIND(":",Sync!$AF196)+1,2)),2),"0000"))))</f>
        <v/>
      </c>
    </row>
    <row r="197" spans="1:14" x14ac:dyDescent="0.2">
      <c r="A197" t="str">
        <f>IF(OR(Calc!$E201="",Calc!$E201="نامعتبر",Calc!$G201=""),"",Calc!$G201)</f>
        <v/>
      </c>
      <c r="B197" t="str">
        <f>IF($A197="","",LEFT(Calc!$E201,4)&amp;MID(Calc!$E201,6,2)&amp;RIGHT(Calc!$E201,2)&amp;Calc!$Q201&amp;"|"&amp;"1"&amp;RIGHT("00000"&amp;192,5))</f>
        <v/>
      </c>
      <c r="C197" t="str">
        <f t="shared" si="10"/>
        <v/>
      </c>
      <c r="D197" t="str">
        <f t="shared" si="11"/>
        <v/>
      </c>
      <c r="F197" t="str">
        <f>IF(Sync!$AH197="","",IF(LEFT(UPPER(TRIM(Sync!$AH197)),2)="SL",UPPER(TRIM(Sync!$AH197)),""))</f>
        <v/>
      </c>
      <c r="G197" t="str">
        <f>IF($F197="","",IF(Sync!$AE197="","",IF(ISNUMBER(Sync!$AE197),IF(AND(Sync!$AE197&gt;=10000101,Sync!$AE197&lt;=99991231),INT(Sync!$AE197/10000),""),IFERROR(VALUE(TRIM(LEFT(Sync!$AE197,FIND("/",Sync!$AE197)-1))),""))))</f>
        <v/>
      </c>
      <c r="H197" t="str">
        <f>IF(OR($F197="",$G197=""),"",IF(ISNUMBER(Sync!$AE197),INT(MOD(Sync!$AE197,10000)/100),IFERROR(VALUE(TRIM(LEFT(MID(Sync!$AE197,FIND("/",Sync!$AE197)+1,20),FIND("/",MID(Sync!$AE197,FIND("/",Sync!$AE197)+1,20))-1))),"")))</f>
        <v/>
      </c>
      <c r="I197" t="str">
        <f>IF(OR($F197="",$G197=""),"",IF(ISNUMBER(Sync!$AE197),MOD(Sync!$AE197,100),IFERROR(VALUE(TRIM(MID(MID(Sync!$AE197,FIND("/",Sync!$AE197)+1,20),FIND("/",MID(Sync!$AE197,FIND("/",Sync!$AE197)+1,20))+1,20))),"")))</f>
        <v/>
      </c>
      <c r="J197" t="str">
        <f t="shared" si="12"/>
        <v/>
      </c>
      <c r="K197" t="str">
        <f>IF(OR($F197="",$J197="",$J197="نامعتبر"),"",LEFT($J197,4)&amp;MID($J197,6,2)&amp;RIGHT($J197,2)&amp;$N197&amp;"|"&amp;"2"&amp;RIGHT("00000"&amp;192,5))</f>
        <v/>
      </c>
      <c r="L197" t="str">
        <f t="shared" si="13"/>
        <v/>
      </c>
      <c r="M197" t="str">
        <f t="shared" si="14"/>
        <v/>
      </c>
      <c r="N197" t="str">
        <f>IF($F197="","",IF(Sync!$AF197="","0000",IF(AND(ISNUMBER(Sync!$AF197),Sync!$AF197&gt;=0,Sync!$AF197&lt;1),RIGHT("00"&amp;HOUR(Sync!$AF197),2)&amp;RIGHT("00"&amp;MINUTE(Sync!$AF197),2),IFERROR(RIGHT("00"&amp;VALUE(LEFT(Sync!$AF197,FIND(":",Sync!$AF197)-1)),2)&amp;RIGHT("00"&amp;VALUE(MID(Sync!$AF197,FIND(":",Sync!$AF197)+1,2)),2),"0000"))))</f>
        <v/>
      </c>
    </row>
    <row r="198" spans="1:14" x14ac:dyDescent="0.2">
      <c r="A198" t="str">
        <f>IF(OR(Calc!$E202="",Calc!$E202="نامعتبر",Calc!$G202=""),"",Calc!$G202)</f>
        <v/>
      </c>
      <c r="B198" t="str">
        <f>IF($A198="","",LEFT(Calc!$E202,4)&amp;MID(Calc!$E202,6,2)&amp;RIGHT(Calc!$E202,2)&amp;Calc!$Q202&amp;"|"&amp;"1"&amp;RIGHT("00000"&amp;193,5))</f>
        <v/>
      </c>
      <c r="C198" t="str">
        <f t="shared" ref="C198:C261" si="15">IF($B198="","",COUNTIFS(LdgSellerA,$A198,LdgKeyA,"&lt;"&amp;$B198)+COUNTIFS(LdgSellerB,$A198,LdgKeyB,"&lt;"&amp;$B198)+1)</f>
        <v/>
      </c>
      <c r="D198" t="str">
        <f t="shared" ref="D198:D261" si="16">IF($C198="","",$A198&amp;"|"&amp;RIGHT("000000"&amp;$C198,6))</f>
        <v/>
      </c>
      <c r="F198" t="str">
        <f>IF(Sync!$AH198="","",IF(LEFT(UPPER(TRIM(Sync!$AH198)),2)="SL",UPPER(TRIM(Sync!$AH198)),""))</f>
        <v/>
      </c>
      <c r="G198" t="str">
        <f>IF($F198="","",IF(Sync!$AE198="","",IF(ISNUMBER(Sync!$AE198),IF(AND(Sync!$AE198&gt;=10000101,Sync!$AE198&lt;=99991231),INT(Sync!$AE198/10000),""),IFERROR(VALUE(TRIM(LEFT(Sync!$AE198,FIND("/",Sync!$AE198)-1))),""))))</f>
        <v/>
      </c>
      <c r="H198" t="str">
        <f>IF(OR($F198="",$G198=""),"",IF(ISNUMBER(Sync!$AE198),INT(MOD(Sync!$AE198,10000)/100),IFERROR(VALUE(TRIM(LEFT(MID(Sync!$AE198,FIND("/",Sync!$AE198)+1,20),FIND("/",MID(Sync!$AE198,FIND("/",Sync!$AE198)+1,20))-1))),"")))</f>
        <v/>
      </c>
      <c r="I198" t="str">
        <f>IF(OR($F198="",$G198=""),"",IF(ISNUMBER(Sync!$AE198),MOD(Sync!$AE198,100),IFERROR(VALUE(TRIM(MID(MID(Sync!$AE198,FIND("/",Sync!$AE198)+1,20),FIND("/",MID(Sync!$AE198,FIND("/",Sync!$AE198)+1,20))+1,20))),"")))</f>
        <v/>
      </c>
      <c r="J198" t="str">
        <f t="shared" ref="J198:J261" si="17">IF($F198="","",IF(OR($G198="",$H198="",$I198="",$G198&lt;1300,$G198&gt;1500,$H198&lt;1,$H198&gt;12,$I198&lt;1,$I198&gt;31),"نامعتبر",RIGHT("0000"&amp;$G198,4)&amp;"/"&amp;RIGHT("00"&amp;$H198,2)&amp;"/"&amp;RIGHT("00"&amp;$I198,2)))</f>
        <v/>
      </c>
      <c r="K198" t="str">
        <f>IF(OR($F198="",$J198="",$J198="نامعتبر"),"",LEFT($J198,4)&amp;MID($J198,6,2)&amp;RIGHT($J198,2)&amp;$N198&amp;"|"&amp;"2"&amp;RIGHT("00000"&amp;193,5))</f>
        <v/>
      </c>
      <c r="L198" t="str">
        <f t="shared" ref="L198:L261" si="18">IF($K198="","",COUNTIFS(LdgSellerA,$F198,LdgKeyA,"&lt;"&amp;$K198)+COUNTIFS(LdgSellerB,$F198,LdgKeyB,"&lt;"&amp;$K198)+1)</f>
        <v/>
      </c>
      <c r="M198" t="str">
        <f t="shared" ref="M198:M261" si="19">IF($L198="","",$F198&amp;"|"&amp;RIGHT("000000"&amp;$L198,6))</f>
        <v/>
      </c>
      <c r="N198" t="str">
        <f>IF($F198="","",IF(Sync!$AF198="","0000",IF(AND(ISNUMBER(Sync!$AF198),Sync!$AF198&gt;=0,Sync!$AF198&lt;1),RIGHT("00"&amp;HOUR(Sync!$AF198),2)&amp;RIGHT("00"&amp;MINUTE(Sync!$AF198),2),IFERROR(RIGHT("00"&amp;VALUE(LEFT(Sync!$AF198,FIND(":",Sync!$AF198)-1)),2)&amp;RIGHT("00"&amp;VALUE(MID(Sync!$AF198,FIND(":",Sync!$AF198)+1,2)),2),"0000"))))</f>
        <v/>
      </c>
    </row>
    <row r="199" spans="1:14" x14ac:dyDescent="0.2">
      <c r="A199" t="str">
        <f>IF(OR(Calc!$E203="",Calc!$E203="نامعتبر",Calc!$G203=""),"",Calc!$G203)</f>
        <v/>
      </c>
      <c r="B199" t="str">
        <f>IF($A199="","",LEFT(Calc!$E203,4)&amp;MID(Calc!$E203,6,2)&amp;RIGHT(Calc!$E203,2)&amp;Calc!$Q203&amp;"|"&amp;"1"&amp;RIGHT("00000"&amp;194,5))</f>
        <v/>
      </c>
      <c r="C199" t="str">
        <f t="shared" si="15"/>
        <v/>
      </c>
      <c r="D199" t="str">
        <f t="shared" si="16"/>
        <v/>
      </c>
      <c r="F199" t="str">
        <f>IF(Sync!$AH199="","",IF(LEFT(UPPER(TRIM(Sync!$AH199)),2)="SL",UPPER(TRIM(Sync!$AH199)),""))</f>
        <v/>
      </c>
      <c r="G199" t="str">
        <f>IF($F199="","",IF(Sync!$AE199="","",IF(ISNUMBER(Sync!$AE199),IF(AND(Sync!$AE199&gt;=10000101,Sync!$AE199&lt;=99991231),INT(Sync!$AE199/10000),""),IFERROR(VALUE(TRIM(LEFT(Sync!$AE199,FIND("/",Sync!$AE199)-1))),""))))</f>
        <v/>
      </c>
      <c r="H199" t="str">
        <f>IF(OR($F199="",$G199=""),"",IF(ISNUMBER(Sync!$AE199),INT(MOD(Sync!$AE199,10000)/100),IFERROR(VALUE(TRIM(LEFT(MID(Sync!$AE199,FIND("/",Sync!$AE199)+1,20),FIND("/",MID(Sync!$AE199,FIND("/",Sync!$AE199)+1,20))-1))),"")))</f>
        <v/>
      </c>
      <c r="I199" t="str">
        <f>IF(OR($F199="",$G199=""),"",IF(ISNUMBER(Sync!$AE199),MOD(Sync!$AE199,100),IFERROR(VALUE(TRIM(MID(MID(Sync!$AE199,FIND("/",Sync!$AE199)+1,20),FIND("/",MID(Sync!$AE199,FIND("/",Sync!$AE199)+1,20))+1,20))),"")))</f>
        <v/>
      </c>
      <c r="J199" t="str">
        <f t="shared" si="17"/>
        <v/>
      </c>
      <c r="K199" t="str">
        <f>IF(OR($F199="",$J199="",$J199="نامعتبر"),"",LEFT($J199,4)&amp;MID($J199,6,2)&amp;RIGHT($J199,2)&amp;$N199&amp;"|"&amp;"2"&amp;RIGHT("00000"&amp;194,5))</f>
        <v/>
      </c>
      <c r="L199" t="str">
        <f t="shared" si="18"/>
        <v/>
      </c>
      <c r="M199" t="str">
        <f t="shared" si="19"/>
        <v/>
      </c>
      <c r="N199" t="str">
        <f>IF($F199="","",IF(Sync!$AF199="","0000",IF(AND(ISNUMBER(Sync!$AF199),Sync!$AF199&gt;=0,Sync!$AF199&lt;1),RIGHT("00"&amp;HOUR(Sync!$AF199),2)&amp;RIGHT("00"&amp;MINUTE(Sync!$AF199),2),IFERROR(RIGHT("00"&amp;VALUE(LEFT(Sync!$AF199,FIND(":",Sync!$AF199)-1)),2)&amp;RIGHT("00"&amp;VALUE(MID(Sync!$AF199,FIND(":",Sync!$AF199)+1,2)),2),"0000"))))</f>
        <v/>
      </c>
    </row>
    <row r="200" spans="1:14" x14ac:dyDescent="0.2">
      <c r="A200" t="str">
        <f>IF(OR(Calc!$E204="",Calc!$E204="نامعتبر",Calc!$G204=""),"",Calc!$G204)</f>
        <v/>
      </c>
      <c r="B200" t="str">
        <f>IF($A200="","",LEFT(Calc!$E204,4)&amp;MID(Calc!$E204,6,2)&amp;RIGHT(Calc!$E204,2)&amp;Calc!$Q204&amp;"|"&amp;"1"&amp;RIGHT("00000"&amp;195,5))</f>
        <v/>
      </c>
      <c r="C200" t="str">
        <f t="shared" si="15"/>
        <v/>
      </c>
      <c r="D200" t="str">
        <f t="shared" si="16"/>
        <v/>
      </c>
      <c r="F200" t="str">
        <f>IF(Sync!$AH200="","",IF(LEFT(UPPER(TRIM(Sync!$AH200)),2)="SL",UPPER(TRIM(Sync!$AH200)),""))</f>
        <v/>
      </c>
      <c r="G200" t="str">
        <f>IF($F200="","",IF(Sync!$AE200="","",IF(ISNUMBER(Sync!$AE200),IF(AND(Sync!$AE200&gt;=10000101,Sync!$AE200&lt;=99991231),INT(Sync!$AE200/10000),""),IFERROR(VALUE(TRIM(LEFT(Sync!$AE200,FIND("/",Sync!$AE200)-1))),""))))</f>
        <v/>
      </c>
      <c r="H200" t="str">
        <f>IF(OR($F200="",$G200=""),"",IF(ISNUMBER(Sync!$AE200),INT(MOD(Sync!$AE200,10000)/100),IFERROR(VALUE(TRIM(LEFT(MID(Sync!$AE200,FIND("/",Sync!$AE200)+1,20),FIND("/",MID(Sync!$AE200,FIND("/",Sync!$AE200)+1,20))-1))),"")))</f>
        <v/>
      </c>
      <c r="I200" t="str">
        <f>IF(OR($F200="",$G200=""),"",IF(ISNUMBER(Sync!$AE200),MOD(Sync!$AE200,100),IFERROR(VALUE(TRIM(MID(MID(Sync!$AE200,FIND("/",Sync!$AE200)+1,20),FIND("/",MID(Sync!$AE200,FIND("/",Sync!$AE200)+1,20))+1,20))),"")))</f>
        <v/>
      </c>
      <c r="J200" t="str">
        <f t="shared" si="17"/>
        <v/>
      </c>
      <c r="K200" t="str">
        <f>IF(OR($F200="",$J200="",$J200="نامعتبر"),"",LEFT($J200,4)&amp;MID($J200,6,2)&amp;RIGHT($J200,2)&amp;$N200&amp;"|"&amp;"2"&amp;RIGHT("00000"&amp;195,5))</f>
        <v/>
      </c>
      <c r="L200" t="str">
        <f t="shared" si="18"/>
        <v/>
      </c>
      <c r="M200" t="str">
        <f t="shared" si="19"/>
        <v/>
      </c>
      <c r="N200" t="str">
        <f>IF($F200="","",IF(Sync!$AF200="","0000",IF(AND(ISNUMBER(Sync!$AF200),Sync!$AF200&gt;=0,Sync!$AF200&lt;1),RIGHT("00"&amp;HOUR(Sync!$AF200),2)&amp;RIGHT("00"&amp;MINUTE(Sync!$AF200),2),IFERROR(RIGHT("00"&amp;VALUE(LEFT(Sync!$AF200,FIND(":",Sync!$AF200)-1)),2)&amp;RIGHT("00"&amp;VALUE(MID(Sync!$AF200,FIND(":",Sync!$AF200)+1,2)),2),"0000"))))</f>
        <v/>
      </c>
    </row>
    <row r="201" spans="1:14" x14ac:dyDescent="0.2">
      <c r="A201" t="str">
        <f>IF(OR(Calc!$E205="",Calc!$E205="نامعتبر",Calc!$G205=""),"",Calc!$G205)</f>
        <v/>
      </c>
      <c r="B201" t="str">
        <f>IF($A201="","",LEFT(Calc!$E205,4)&amp;MID(Calc!$E205,6,2)&amp;RIGHT(Calc!$E205,2)&amp;Calc!$Q205&amp;"|"&amp;"1"&amp;RIGHT("00000"&amp;196,5))</f>
        <v/>
      </c>
      <c r="C201" t="str">
        <f t="shared" si="15"/>
        <v/>
      </c>
      <c r="D201" t="str">
        <f t="shared" si="16"/>
        <v/>
      </c>
      <c r="F201" t="str">
        <f>IF(Sync!$AH201="","",IF(LEFT(UPPER(TRIM(Sync!$AH201)),2)="SL",UPPER(TRIM(Sync!$AH201)),""))</f>
        <v/>
      </c>
      <c r="G201" t="str">
        <f>IF($F201="","",IF(Sync!$AE201="","",IF(ISNUMBER(Sync!$AE201),IF(AND(Sync!$AE201&gt;=10000101,Sync!$AE201&lt;=99991231),INT(Sync!$AE201/10000),""),IFERROR(VALUE(TRIM(LEFT(Sync!$AE201,FIND("/",Sync!$AE201)-1))),""))))</f>
        <v/>
      </c>
      <c r="H201" t="str">
        <f>IF(OR($F201="",$G201=""),"",IF(ISNUMBER(Sync!$AE201),INT(MOD(Sync!$AE201,10000)/100),IFERROR(VALUE(TRIM(LEFT(MID(Sync!$AE201,FIND("/",Sync!$AE201)+1,20),FIND("/",MID(Sync!$AE201,FIND("/",Sync!$AE201)+1,20))-1))),"")))</f>
        <v/>
      </c>
      <c r="I201" t="str">
        <f>IF(OR($F201="",$G201=""),"",IF(ISNUMBER(Sync!$AE201),MOD(Sync!$AE201,100),IFERROR(VALUE(TRIM(MID(MID(Sync!$AE201,FIND("/",Sync!$AE201)+1,20),FIND("/",MID(Sync!$AE201,FIND("/",Sync!$AE201)+1,20))+1,20))),"")))</f>
        <v/>
      </c>
      <c r="J201" t="str">
        <f t="shared" si="17"/>
        <v/>
      </c>
      <c r="K201" t="str">
        <f>IF(OR($F201="",$J201="",$J201="نامعتبر"),"",LEFT($J201,4)&amp;MID($J201,6,2)&amp;RIGHT($J201,2)&amp;$N201&amp;"|"&amp;"2"&amp;RIGHT("00000"&amp;196,5))</f>
        <v/>
      </c>
      <c r="L201" t="str">
        <f t="shared" si="18"/>
        <v/>
      </c>
      <c r="M201" t="str">
        <f t="shared" si="19"/>
        <v/>
      </c>
      <c r="N201" t="str">
        <f>IF($F201="","",IF(Sync!$AF201="","0000",IF(AND(ISNUMBER(Sync!$AF201),Sync!$AF201&gt;=0,Sync!$AF201&lt;1),RIGHT("00"&amp;HOUR(Sync!$AF201),2)&amp;RIGHT("00"&amp;MINUTE(Sync!$AF201),2),IFERROR(RIGHT("00"&amp;VALUE(LEFT(Sync!$AF201,FIND(":",Sync!$AF201)-1)),2)&amp;RIGHT("00"&amp;VALUE(MID(Sync!$AF201,FIND(":",Sync!$AF201)+1,2)),2),"0000"))))</f>
        <v/>
      </c>
    </row>
    <row r="202" spans="1:14" x14ac:dyDescent="0.2">
      <c r="A202" t="str">
        <f>IF(OR(Calc!$E206="",Calc!$E206="نامعتبر",Calc!$G206=""),"",Calc!$G206)</f>
        <v/>
      </c>
      <c r="B202" t="str">
        <f>IF($A202="","",LEFT(Calc!$E206,4)&amp;MID(Calc!$E206,6,2)&amp;RIGHT(Calc!$E206,2)&amp;Calc!$Q206&amp;"|"&amp;"1"&amp;RIGHT("00000"&amp;197,5))</f>
        <v/>
      </c>
      <c r="C202" t="str">
        <f t="shared" si="15"/>
        <v/>
      </c>
      <c r="D202" t="str">
        <f t="shared" si="16"/>
        <v/>
      </c>
      <c r="F202" t="str">
        <f>IF(Sync!$AH202="","",IF(LEFT(UPPER(TRIM(Sync!$AH202)),2)="SL",UPPER(TRIM(Sync!$AH202)),""))</f>
        <v/>
      </c>
      <c r="G202" t="str">
        <f>IF($F202="","",IF(Sync!$AE202="","",IF(ISNUMBER(Sync!$AE202),IF(AND(Sync!$AE202&gt;=10000101,Sync!$AE202&lt;=99991231),INT(Sync!$AE202/10000),""),IFERROR(VALUE(TRIM(LEFT(Sync!$AE202,FIND("/",Sync!$AE202)-1))),""))))</f>
        <v/>
      </c>
      <c r="H202" t="str">
        <f>IF(OR($F202="",$G202=""),"",IF(ISNUMBER(Sync!$AE202),INT(MOD(Sync!$AE202,10000)/100),IFERROR(VALUE(TRIM(LEFT(MID(Sync!$AE202,FIND("/",Sync!$AE202)+1,20),FIND("/",MID(Sync!$AE202,FIND("/",Sync!$AE202)+1,20))-1))),"")))</f>
        <v/>
      </c>
      <c r="I202" t="str">
        <f>IF(OR($F202="",$G202=""),"",IF(ISNUMBER(Sync!$AE202),MOD(Sync!$AE202,100),IFERROR(VALUE(TRIM(MID(MID(Sync!$AE202,FIND("/",Sync!$AE202)+1,20),FIND("/",MID(Sync!$AE202,FIND("/",Sync!$AE202)+1,20))+1,20))),"")))</f>
        <v/>
      </c>
      <c r="J202" t="str">
        <f t="shared" si="17"/>
        <v/>
      </c>
      <c r="K202" t="str">
        <f>IF(OR($F202="",$J202="",$J202="نامعتبر"),"",LEFT($J202,4)&amp;MID($J202,6,2)&amp;RIGHT($J202,2)&amp;$N202&amp;"|"&amp;"2"&amp;RIGHT("00000"&amp;197,5))</f>
        <v/>
      </c>
      <c r="L202" t="str">
        <f t="shared" si="18"/>
        <v/>
      </c>
      <c r="M202" t="str">
        <f t="shared" si="19"/>
        <v/>
      </c>
      <c r="N202" t="str">
        <f>IF($F202="","",IF(Sync!$AF202="","0000",IF(AND(ISNUMBER(Sync!$AF202),Sync!$AF202&gt;=0,Sync!$AF202&lt;1),RIGHT("00"&amp;HOUR(Sync!$AF202),2)&amp;RIGHT("00"&amp;MINUTE(Sync!$AF202),2),IFERROR(RIGHT("00"&amp;VALUE(LEFT(Sync!$AF202,FIND(":",Sync!$AF202)-1)),2)&amp;RIGHT("00"&amp;VALUE(MID(Sync!$AF202,FIND(":",Sync!$AF202)+1,2)),2),"0000"))))</f>
        <v/>
      </c>
    </row>
    <row r="203" spans="1:14" x14ac:dyDescent="0.2">
      <c r="A203" t="str">
        <f>IF(OR(Calc!$E207="",Calc!$E207="نامعتبر",Calc!$G207=""),"",Calc!$G207)</f>
        <v/>
      </c>
      <c r="B203" t="str">
        <f>IF($A203="","",LEFT(Calc!$E207,4)&amp;MID(Calc!$E207,6,2)&amp;RIGHT(Calc!$E207,2)&amp;Calc!$Q207&amp;"|"&amp;"1"&amp;RIGHT("00000"&amp;198,5))</f>
        <v/>
      </c>
      <c r="C203" t="str">
        <f t="shared" si="15"/>
        <v/>
      </c>
      <c r="D203" t="str">
        <f t="shared" si="16"/>
        <v/>
      </c>
      <c r="F203" t="str">
        <f>IF(Sync!$AH203="","",IF(LEFT(UPPER(TRIM(Sync!$AH203)),2)="SL",UPPER(TRIM(Sync!$AH203)),""))</f>
        <v/>
      </c>
      <c r="G203" t="str">
        <f>IF($F203="","",IF(Sync!$AE203="","",IF(ISNUMBER(Sync!$AE203),IF(AND(Sync!$AE203&gt;=10000101,Sync!$AE203&lt;=99991231),INT(Sync!$AE203/10000),""),IFERROR(VALUE(TRIM(LEFT(Sync!$AE203,FIND("/",Sync!$AE203)-1))),""))))</f>
        <v/>
      </c>
      <c r="H203" t="str">
        <f>IF(OR($F203="",$G203=""),"",IF(ISNUMBER(Sync!$AE203),INT(MOD(Sync!$AE203,10000)/100),IFERROR(VALUE(TRIM(LEFT(MID(Sync!$AE203,FIND("/",Sync!$AE203)+1,20),FIND("/",MID(Sync!$AE203,FIND("/",Sync!$AE203)+1,20))-1))),"")))</f>
        <v/>
      </c>
      <c r="I203" t="str">
        <f>IF(OR($F203="",$G203=""),"",IF(ISNUMBER(Sync!$AE203),MOD(Sync!$AE203,100),IFERROR(VALUE(TRIM(MID(MID(Sync!$AE203,FIND("/",Sync!$AE203)+1,20),FIND("/",MID(Sync!$AE203,FIND("/",Sync!$AE203)+1,20))+1,20))),"")))</f>
        <v/>
      </c>
      <c r="J203" t="str">
        <f t="shared" si="17"/>
        <v/>
      </c>
      <c r="K203" t="str">
        <f>IF(OR($F203="",$J203="",$J203="نامعتبر"),"",LEFT($J203,4)&amp;MID($J203,6,2)&amp;RIGHT($J203,2)&amp;$N203&amp;"|"&amp;"2"&amp;RIGHT("00000"&amp;198,5))</f>
        <v/>
      </c>
      <c r="L203" t="str">
        <f t="shared" si="18"/>
        <v/>
      </c>
      <c r="M203" t="str">
        <f t="shared" si="19"/>
        <v/>
      </c>
      <c r="N203" t="str">
        <f>IF($F203="","",IF(Sync!$AF203="","0000",IF(AND(ISNUMBER(Sync!$AF203),Sync!$AF203&gt;=0,Sync!$AF203&lt;1),RIGHT("00"&amp;HOUR(Sync!$AF203),2)&amp;RIGHT("00"&amp;MINUTE(Sync!$AF203),2),IFERROR(RIGHT("00"&amp;VALUE(LEFT(Sync!$AF203,FIND(":",Sync!$AF203)-1)),2)&amp;RIGHT("00"&amp;VALUE(MID(Sync!$AF203,FIND(":",Sync!$AF203)+1,2)),2),"0000"))))</f>
        <v/>
      </c>
    </row>
    <row r="204" spans="1:14" x14ac:dyDescent="0.2">
      <c r="A204" t="str">
        <f>IF(OR(Calc!$E208="",Calc!$E208="نامعتبر",Calc!$G208=""),"",Calc!$G208)</f>
        <v/>
      </c>
      <c r="B204" t="str">
        <f>IF($A204="","",LEFT(Calc!$E208,4)&amp;MID(Calc!$E208,6,2)&amp;RIGHT(Calc!$E208,2)&amp;Calc!$Q208&amp;"|"&amp;"1"&amp;RIGHT("00000"&amp;199,5))</f>
        <v/>
      </c>
      <c r="C204" t="str">
        <f t="shared" si="15"/>
        <v/>
      </c>
      <c r="D204" t="str">
        <f t="shared" si="16"/>
        <v/>
      </c>
      <c r="F204" t="str">
        <f>IF(Sync!$AH204="","",IF(LEFT(UPPER(TRIM(Sync!$AH204)),2)="SL",UPPER(TRIM(Sync!$AH204)),""))</f>
        <v/>
      </c>
      <c r="G204" t="str">
        <f>IF($F204="","",IF(Sync!$AE204="","",IF(ISNUMBER(Sync!$AE204),IF(AND(Sync!$AE204&gt;=10000101,Sync!$AE204&lt;=99991231),INT(Sync!$AE204/10000),""),IFERROR(VALUE(TRIM(LEFT(Sync!$AE204,FIND("/",Sync!$AE204)-1))),""))))</f>
        <v/>
      </c>
      <c r="H204" t="str">
        <f>IF(OR($F204="",$G204=""),"",IF(ISNUMBER(Sync!$AE204),INT(MOD(Sync!$AE204,10000)/100),IFERROR(VALUE(TRIM(LEFT(MID(Sync!$AE204,FIND("/",Sync!$AE204)+1,20),FIND("/",MID(Sync!$AE204,FIND("/",Sync!$AE204)+1,20))-1))),"")))</f>
        <v/>
      </c>
      <c r="I204" t="str">
        <f>IF(OR($F204="",$G204=""),"",IF(ISNUMBER(Sync!$AE204),MOD(Sync!$AE204,100),IFERROR(VALUE(TRIM(MID(MID(Sync!$AE204,FIND("/",Sync!$AE204)+1,20),FIND("/",MID(Sync!$AE204,FIND("/",Sync!$AE204)+1,20))+1,20))),"")))</f>
        <v/>
      </c>
      <c r="J204" t="str">
        <f t="shared" si="17"/>
        <v/>
      </c>
      <c r="K204" t="str">
        <f>IF(OR($F204="",$J204="",$J204="نامعتبر"),"",LEFT($J204,4)&amp;MID($J204,6,2)&amp;RIGHT($J204,2)&amp;$N204&amp;"|"&amp;"2"&amp;RIGHT("00000"&amp;199,5))</f>
        <v/>
      </c>
      <c r="L204" t="str">
        <f t="shared" si="18"/>
        <v/>
      </c>
      <c r="M204" t="str">
        <f t="shared" si="19"/>
        <v/>
      </c>
      <c r="N204" t="str">
        <f>IF($F204="","",IF(Sync!$AF204="","0000",IF(AND(ISNUMBER(Sync!$AF204),Sync!$AF204&gt;=0,Sync!$AF204&lt;1),RIGHT("00"&amp;HOUR(Sync!$AF204),2)&amp;RIGHT("00"&amp;MINUTE(Sync!$AF204),2),IFERROR(RIGHT("00"&amp;VALUE(LEFT(Sync!$AF204,FIND(":",Sync!$AF204)-1)),2)&amp;RIGHT("00"&amp;VALUE(MID(Sync!$AF204,FIND(":",Sync!$AF204)+1,2)),2),"0000"))))</f>
        <v/>
      </c>
    </row>
    <row r="205" spans="1:14" x14ac:dyDescent="0.2">
      <c r="A205" t="str">
        <f>IF(OR(Calc!$E209="",Calc!$E209="نامعتبر",Calc!$G209=""),"",Calc!$G209)</f>
        <v/>
      </c>
      <c r="B205" t="str">
        <f>IF($A205="","",LEFT(Calc!$E209,4)&amp;MID(Calc!$E209,6,2)&amp;RIGHT(Calc!$E209,2)&amp;Calc!$Q209&amp;"|"&amp;"1"&amp;RIGHT("00000"&amp;200,5))</f>
        <v/>
      </c>
      <c r="C205" t="str">
        <f t="shared" si="15"/>
        <v/>
      </c>
      <c r="D205" t="str">
        <f t="shared" si="16"/>
        <v/>
      </c>
      <c r="F205" t="str">
        <f>IF(Sync!$AH205="","",IF(LEFT(UPPER(TRIM(Sync!$AH205)),2)="SL",UPPER(TRIM(Sync!$AH205)),""))</f>
        <v/>
      </c>
      <c r="G205" t="str">
        <f>IF($F205="","",IF(Sync!$AE205="","",IF(ISNUMBER(Sync!$AE205),IF(AND(Sync!$AE205&gt;=10000101,Sync!$AE205&lt;=99991231),INT(Sync!$AE205/10000),""),IFERROR(VALUE(TRIM(LEFT(Sync!$AE205,FIND("/",Sync!$AE205)-1))),""))))</f>
        <v/>
      </c>
      <c r="H205" t="str">
        <f>IF(OR($F205="",$G205=""),"",IF(ISNUMBER(Sync!$AE205),INT(MOD(Sync!$AE205,10000)/100),IFERROR(VALUE(TRIM(LEFT(MID(Sync!$AE205,FIND("/",Sync!$AE205)+1,20),FIND("/",MID(Sync!$AE205,FIND("/",Sync!$AE205)+1,20))-1))),"")))</f>
        <v/>
      </c>
      <c r="I205" t="str">
        <f>IF(OR($F205="",$G205=""),"",IF(ISNUMBER(Sync!$AE205),MOD(Sync!$AE205,100),IFERROR(VALUE(TRIM(MID(MID(Sync!$AE205,FIND("/",Sync!$AE205)+1,20),FIND("/",MID(Sync!$AE205,FIND("/",Sync!$AE205)+1,20))+1,20))),"")))</f>
        <v/>
      </c>
      <c r="J205" t="str">
        <f t="shared" si="17"/>
        <v/>
      </c>
      <c r="K205" t="str">
        <f>IF(OR($F205="",$J205="",$J205="نامعتبر"),"",LEFT($J205,4)&amp;MID($J205,6,2)&amp;RIGHT($J205,2)&amp;$N205&amp;"|"&amp;"2"&amp;RIGHT("00000"&amp;200,5))</f>
        <v/>
      </c>
      <c r="L205" t="str">
        <f t="shared" si="18"/>
        <v/>
      </c>
      <c r="M205" t="str">
        <f t="shared" si="19"/>
        <v/>
      </c>
      <c r="N205" t="str">
        <f>IF($F205="","",IF(Sync!$AF205="","0000",IF(AND(ISNUMBER(Sync!$AF205),Sync!$AF205&gt;=0,Sync!$AF205&lt;1),RIGHT("00"&amp;HOUR(Sync!$AF205),2)&amp;RIGHT("00"&amp;MINUTE(Sync!$AF205),2),IFERROR(RIGHT("00"&amp;VALUE(LEFT(Sync!$AF205,FIND(":",Sync!$AF205)-1)),2)&amp;RIGHT("00"&amp;VALUE(MID(Sync!$AF205,FIND(":",Sync!$AF205)+1,2)),2),"0000"))))</f>
        <v/>
      </c>
    </row>
    <row r="206" spans="1:14" x14ac:dyDescent="0.2">
      <c r="A206" t="str">
        <f>IF(OR(Calc!$E210="",Calc!$E210="نامعتبر",Calc!$G210=""),"",Calc!$G210)</f>
        <v/>
      </c>
      <c r="B206" t="str">
        <f>IF($A206="","",LEFT(Calc!$E210,4)&amp;MID(Calc!$E210,6,2)&amp;RIGHT(Calc!$E210,2)&amp;Calc!$Q210&amp;"|"&amp;"1"&amp;RIGHT("00000"&amp;201,5))</f>
        <v/>
      </c>
      <c r="C206" t="str">
        <f t="shared" si="15"/>
        <v/>
      </c>
      <c r="D206" t="str">
        <f t="shared" si="16"/>
        <v/>
      </c>
      <c r="F206" t="str">
        <f>IF(Sync!$AH206="","",IF(LEFT(UPPER(TRIM(Sync!$AH206)),2)="SL",UPPER(TRIM(Sync!$AH206)),""))</f>
        <v/>
      </c>
      <c r="G206" t="str">
        <f>IF($F206="","",IF(Sync!$AE206="","",IF(ISNUMBER(Sync!$AE206),IF(AND(Sync!$AE206&gt;=10000101,Sync!$AE206&lt;=99991231),INT(Sync!$AE206/10000),""),IFERROR(VALUE(TRIM(LEFT(Sync!$AE206,FIND("/",Sync!$AE206)-1))),""))))</f>
        <v/>
      </c>
      <c r="H206" t="str">
        <f>IF(OR($F206="",$G206=""),"",IF(ISNUMBER(Sync!$AE206),INT(MOD(Sync!$AE206,10000)/100),IFERROR(VALUE(TRIM(LEFT(MID(Sync!$AE206,FIND("/",Sync!$AE206)+1,20),FIND("/",MID(Sync!$AE206,FIND("/",Sync!$AE206)+1,20))-1))),"")))</f>
        <v/>
      </c>
      <c r="I206" t="str">
        <f>IF(OR($F206="",$G206=""),"",IF(ISNUMBER(Sync!$AE206),MOD(Sync!$AE206,100),IFERROR(VALUE(TRIM(MID(MID(Sync!$AE206,FIND("/",Sync!$AE206)+1,20),FIND("/",MID(Sync!$AE206,FIND("/",Sync!$AE206)+1,20))+1,20))),"")))</f>
        <v/>
      </c>
      <c r="J206" t="str">
        <f t="shared" si="17"/>
        <v/>
      </c>
      <c r="K206" t="str">
        <f>IF(OR($F206="",$J206="",$J206="نامعتبر"),"",LEFT($J206,4)&amp;MID($J206,6,2)&amp;RIGHT($J206,2)&amp;$N206&amp;"|"&amp;"2"&amp;RIGHT("00000"&amp;201,5))</f>
        <v/>
      </c>
      <c r="L206" t="str">
        <f t="shared" si="18"/>
        <v/>
      </c>
      <c r="M206" t="str">
        <f t="shared" si="19"/>
        <v/>
      </c>
      <c r="N206" t="str">
        <f>IF($F206="","",IF(Sync!$AF206="","0000",IF(AND(ISNUMBER(Sync!$AF206),Sync!$AF206&gt;=0,Sync!$AF206&lt;1),RIGHT("00"&amp;HOUR(Sync!$AF206),2)&amp;RIGHT("00"&amp;MINUTE(Sync!$AF206),2),IFERROR(RIGHT("00"&amp;VALUE(LEFT(Sync!$AF206,FIND(":",Sync!$AF206)-1)),2)&amp;RIGHT("00"&amp;VALUE(MID(Sync!$AF206,FIND(":",Sync!$AF206)+1,2)),2),"0000"))))</f>
        <v/>
      </c>
    </row>
    <row r="207" spans="1:14" x14ac:dyDescent="0.2">
      <c r="A207" t="str">
        <f>IF(OR(Calc!$E211="",Calc!$E211="نامعتبر",Calc!$G211=""),"",Calc!$G211)</f>
        <v/>
      </c>
      <c r="B207" t="str">
        <f>IF($A207="","",LEFT(Calc!$E211,4)&amp;MID(Calc!$E211,6,2)&amp;RIGHT(Calc!$E211,2)&amp;Calc!$Q211&amp;"|"&amp;"1"&amp;RIGHT("00000"&amp;202,5))</f>
        <v/>
      </c>
      <c r="C207" t="str">
        <f t="shared" si="15"/>
        <v/>
      </c>
      <c r="D207" t="str">
        <f t="shared" si="16"/>
        <v/>
      </c>
      <c r="F207" t="str">
        <f>IF(Sync!$AH207="","",IF(LEFT(UPPER(TRIM(Sync!$AH207)),2)="SL",UPPER(TRIM(Sync!$AH207)),""))</f>
        <v/>
      </c>
      <c r="G207" t="str">
        <f>IF($F207="","",IF(Sync!$AE207="","",IF(ISNUMBER(Sync!$AE207),IF(AND(Sync!$AE207&gt;=10000101,Sync!$AE207&lt;=99991231),INT(Sync!$AE207/10000),""),IFERROR(VALUE(TRIM(LEFT(Sync!$AE207,FIND("/",Sync!$AE207)-1))),""))))</f>
        <v/>
      </c>
      <c r="H207" t="str">
        <f>IF(OR($F207="",$G207=""),"",IF(ISNUMBER(Sync!$AE207),INT(MOD(Sync!$AE207,10000)/100),IFERROR(VALUE(TRIM(LEFT(MID(Sync!$AE207,FIND("/",Sync!$AE207)+1,20),FIND("/",MID(Sync!$AE207,FIND("/",Sync!$AE207)+1,20))-1))),"")))</f>
        <v/>
      </c>
      <c r="I207" t="str">
        <f>IF(OR($F207="",$G207=""),"",IF(ISNUMBER(Sync!$AE207),MOD(Sync!$AE207,100),IFERROR(VALUE(TRIM(MID(MID(Sync!$AE207,FIND("/",Sync!$AE207)+1,20),FIND("/",MID(Sync!$AE207,FIND("/",Sync!$AE207)+1,20))+1,20))),"")))</f>
        <v/>
      </c>
      <c r="J207" t="str">
        <f t="shared" si="17"/>
        <v/>
      </c>
      <c r="K207" t="str">
        <f>IF(OR($F207="",$J207="",$J207="نامعتبر"),"",LEFT($J207,4)&amp;MID($J207,6,2)&amp;RIGHT($J207,2)&amp;$N207&amp;"|"&amp;"2"&amp;RIGHT("00000"&amp;202,5))</f>
        <v/>
      </c>
      <c r="L207" t="str">
        <f t="shared" si="18"/>
        <v/>
      </c>
      <c r="M207" t="str">
        <f t="shared" si="19"/>
        <v/>
      </c>
      <c r="N207" t="str">
        <f>IF($F207="","",IF(Sync!$AF207="","0000",IF(AND(ISNUMBER(Sync!$AF207),Sync!$AF207&gt;=0,Sync!$AF207&lt;1),RIGHT("00"&amp;HOUR(Sync!$AF207),2)&amp;RIGHT("00"&amp;MINUTE(Sync!$AF207),2),IFERROR(RIGHT("00"&amp;VALUE(LEFT(Sync!$AF207,FIND(":",Sync!$AF207)-1)),2)&amp;RIGHT("00"&amp;VALUE(MID(Sync!$AF207,FIND(":",Sync!$AF207)+1,2)),2),"0000"))))</f>
        <v/>
      </c>
    </row>
    <row r="208" spans="1:14" x14ac:dyDescent="0.2">
      <c r="A208" t="str">
        <f>IF(OR(Calc!$E212="",Calc!$E212="نامعتبر",Calc!$G212=""),"",Calc!$G212)</f>
        <v/>
      </c>
      <c r="B208" t="str">
        <f>IF($A208="","",LEFT(Calc!$E212,4)&amp;MID(Calc!$E212,6,2)&amp;RIGHT(Calc!$E212,2)&amp;Calc!$Q212&amp;"|"&amp;"1"&amp;RIGHT("00000"&amp;203,5))</f>
        <v/>
      </c>
      <c r="C208" t="str">
        <f t="shared" si="15"/>
        <v/>
      </c>
      <c r="D208" t="str">
        <f t="shared" si="16"/>
        <v/>
      </c>
      <c r="F208" t="str">
        <f>IF(Sync!$AH208="","",IF(LEFT(UPPER(TRIM(Sync!$AH208)),2)="SL",UPPER(TRIM(Sync!$AH208)),""))</f>
        <v/>
      </c>
      <c r="G208" t="str">
        <f>IF($F208="","",IF(Sync!$AE208="","",IF(ISNUMBER(Sync!$AE208),IF(AND(Sync!$AE208&gt;=10000101,Sync!$AE208&lt;=99991231),INT(Sync!$AE208/10000),""),IFERROR(VALUE(TRIM(LEFT(Sync!$AE208,FIND("/",Sync!$AE208)-1))),""))))</f>
        <v/>
      </c>
      <c r="H208" t="str">
        <f>IF(OR($F208="",$G208=""),"",IF(ISNUMBER(Sync!$AE208),INT(MOD(Sync!$AE208,10000)/100),IFERROR(VALUE(TRIM(LEFT(MID(Sync!$AE208,FIND("/",Sync!$AE208)+1,20),FIND("/",MID(Sync!$AE208,FIND("/",Sync!$AE208)+1,20))-1))),"")))</f>
        <v/>
      </c>
      <c r="I208" t="str">
        <f>IF(OR($F208="",$G208=""),"",IF(ISNUMBER(Sync!$AE208),MOD(Sync!$AE208,100),IFERROR(VALUE(TRIM(MID(MID(Sync!$AE208,FIND("/",Sync!$AE208)+1,20),FIND("/",MID(Sync!$AE208,FIND("/",Sync!$AE208)+1,20))+1,20))),"")))</f>
        <v/>
      </c>
      <c r="J208" t="str">
        <f t="shared" si="17"/>
        <v/>
      </c>
      <c r="K208" t="str">
        <f>IF(OR($F208="",$J208="",$J208="نامعتبر"),"",LEFT($J208,4)&amp;MID($J208,6,2)&amp;RIGHT($J208,2)&amp;$N208&amp;"|"&amp;"2"&amp;RIGHT("00000"&amp;203,5))</f>
        <v/>
      </c>
      <c r="L208" t="str">
        <f t="shared" si="18"/>
        <v/>
      </c>
      <c r="M208" t="str">
        <f t="shared" si="19"/>
        <v/>
      </c>
      <c r="N208" t="str">
        <f>IF($F208="","",IF(Sync!$AF208="","0000",IF(AND(ISNUMBER(Sync!$AF208),Sync!$AF208&gt;=0,Sync!$AF208&lt;1),RIGHT("00"&amp;HOUR(Sync!$AF208),2)&amp;RIGHT("00"&amp;MINUTE(Sync!$AF208),2),IFERROR(RIGHT("00"&amp;VALUE(LEFT(Sync!$AF208,FIND(":",Sync!$AF208)-1)),2)&amp;RIGHT("00"&amp;VALUE(MID(Sync!$AF208,FIND(":",Sync!$AF208)+1,2)),2),"0000"))))</f>
        <v/>
      </c>
    </row>
    <row r="209" spans="1:14" x14ac:dyDescent="0.2">
      <c r="A209" t="str">
        <f>IF(OR(Calc!$E213="",Calc!$E213="نامعتبر",Calc!$G213=""),"",Calc!$G213)</f>
        <v/>
      </c>
      <c r="B209" t="str">
        <f>IF($A209="","",LEFT(Calc!$E213,4)&amp;MID(Calc!$E213,6,2)&amp;RIGHT(Calc!$E213,2)&amp;Calc!$Q213&amp;"|"&amp;"1"&amp;RIGHT("00000"&amp;204,5))</f>
        <v/>
      </c>
      <c r="C209" t="str">
        <f t="shared" si="15"/>
        <v/>
      </c>
      <c r="D209" t="str">
        <f t="shared" si="16"/>
        <v/>
      </c>
      <c r="F209" t="str">
        <f>IF(Sync!$AH209="","",IF(LEFT(UPPER(TRIM(Sync!$AH209)),2)="SL",UPPER(TRIM(Sync!$AH209)),""))</f>
        <v/>
      </c>
      <c r="G209" t="str">
        <f>IF($F209="","",IF(Sync!$AE209="","",IF(ISNUMBER(Sync!$AE209),IF(AND(Sync!$AE209&gt;=10000101,Sync!$AE209&lt;=99991231),INT(Sync!$AE209/10000),""),IFERROR(VALUE(TRIM(LEFT(Sync!$AE209,FIND("/",Sync!$AE209)-1))),""))))</f>
        <v/>
      </c>
      <c r="H209" t="str">
        <f>IF(OR($F209="",$G209=""),"",IF(ISNUMBER(Sync!$AE209),INT(MOD(Sync!$AE209,10000)/100),IFERROR(VALUE(TRIM(LEFT(MID(Sync!$AE209,FIND("/",Sync!$AE209)+1,20),FIND("/",MID(Sync!$AE209,FIND("/",Sync!$AE209)+1,20))-1))),"")))</f>
        <v/>
      </c>
      <c r="I209" t="str">
        <f>IF(OR($F209="",$G209=""),"",IF(ISNUMBER(Sync!$AE209),MOD(Sync!$AE209,100),IFERROR(VALUE(TRIM(MID(MID(Sync!$AE209,FIND("/",Sync!$AE209)+1,20),FIND("/",MID(Sync!$AE209,FIND("/",Sync!$AE209)+1,20))+1,20))),"")))</f>
        <v/>
      </c>
      <c r="J209" t="str">
        <f t="shared" si="17"/>
        <v/>
      </c>
      <c r="K209" t="str">
        <f>IF(OR($F209="",$J209="",$J209="نامعتبر"),"",LEFT($J209,4)&amp;MID($J209,6,2)&amp;RIGHT($J209,2)&amp;$N209&amp;"|"&amp;"2"&amp;RIGHT("00000"&amp;204,5))</f>
        <v/>
      </c>
      <c r="L209" t="str">
        <f t="shared" si="18"/>
        <v/>
      </c>
      <c r="M209" t="str">
        <f t="shared" si="19"/>
        <v/>
      </c>
      <c r="N209" t="str">
        <f>IF($F209="","",IF(Sync!$AF209="","0000",IF(AND(ISNUMBER(Sync!$AF209),Sync!$AF209&gt;=0,Sync!$AF209&lt;1),RIGHT("00"&amp;HOUR(Sync!$AF209),2)&amp;RIGHT("00"&amp;MINUTE(Sync!$AF209),2),IFERROR(RIGHT("00"&amp;VALUE(LEFT(Sync!$AF209,FIND(":",Sync!$AF209)-1)),2)&amp;RIGHT("00"&amp;VALUE(MID(Sync!$AF209,FIND(":",Sync!$AF209)+1,2)),2),"0000"))))</f>
        <v/>
      </c>
    </row>
    <row r="210" spans="1:14" x14ac:dyDescent="0.2">
      <c r="A210" t="str">
        <f>IF(OR(Calc!$E214="",Calc!$E214="نامعتبر",Calc!$G214=""),"",Calc!$G214)</f>
        <v/>
      </c>
      <c r="B210" t="str">
        <f>IF($A210="","",LEFT(Calc!$E214,4)&amp;MID(Calc!$E214,6,2)&amp;RIGHT(Calc!$E214,2)&amp;Calc!$Q214&amp;"|"&amp;"1"&amp;RIGHT("00000"&amp;205,5))</f>
        <v/>
      </c>
      <c r="C210" t="str">
        <f t="shared" si="15"/>
        <v/>
      </c>
      <c r="D210" t="str">
        <f t="shared" si="16"/>
        <v/>
      </c>
      <c r="F210" t="str">
        <f>IF(Sync!$AH210="","",IF(LEFT(UPPER(TRIM(Sync!$AH210)),2)="SL",UPPER(TRIM(Sync!$AH210)),""))</f>
        <v/>
      </c>
      <c r="G210" t="str">
        <f>IF($F210="","",IF(Sync!$AE210="","",IF(ISNUMBER(Sync!$AE210),IF(AND(Sync!$AE210&gt;=10000101,Sync!$AE210&lt;=99991231),INT(Sync!$AE210/10000),""),IFERROR(VALUE(TRIM(LEFT(Sync!$AE210,FIND("/",Sync!$AE210)-1))),""))))</f>
        <v/>
      </c>
      <c r="H210" t="str">
        <f>IF(OR($F210="",$G210=""),"",IF(ISNUMBER(Sync!$AE210),INT(MOD(Sync!$AE210,10000)/100),IFERROR(VALUE(TRIM(LEFT(MID(Sync!$AE210,FIND("/",Sync!$AE210)+1,20),FIND("/",MID(Sync!$AE210,FIND("/",Sync!$AE210)+1,20))-1))),"")))</f>
        <v/>
      </c>
      <c r="I210" t="str">
        <f>IF(OR($F210="",$G210=""),"",IF(ISNUMBER(Sync!$AE210),MOD(Sync!$AE210,100),IFERROR(VALUE(TRIM(MID(MID(Sync!$AE210,FIND("/",Sync!$AE210)+1,20),FIND("/",MID(Sync!$AE210,FIND("/",Sync!$AE210)+1,20))+1,20))),"")))</f>
        <v/>
      </c>
      <c r="J210" t="str">
        <f t="shared" si="17"/>
        <v/>
      </c>
      <c r="K210" t="str">
        <f>IF(OR($F210="",$J210="",$J210="نامعتبر"),"",LEFT($J210,4)&amp;MID($J210,6,2)&amp;RIGHT($J210,2)&amp;$N210&amp;"|"&amp;"2"&amp;RIGHT("00000"&amp;205,5))</f>
        <v/>
      </c>
      <c r="L210" t="str">
        <f t="shared" si="18"/>
        <v/>
      </c>
      <c r="M210" t="str">
        <f t="shared" si="19"/>
        <v/>
      </c>
      <c r="N210" t="str">
        <f>IF($F210="","",IF(Sync!$AF210="","0000",IF(AND(ISNUMBER(Sync!$AF210),Sync!$AF210&gt;=0,Sync!$AF210&lt;1),RIGHT("00"&amp;HOUR(Sync!$AF210),2)&amp;RIGHT("00"&amp;MINUTE(Sync!$AF210),2),IFERROR(RIGHT("00"&amp;VALUE(LEFT(Sync!$AF210,FIND(":",Sync!$AF210)-1)),2)&amp;RIGHT("00"&amp;VALUE(MID(Sync!$AF210,FIND(":",Sync!$AF210)+1,2)),2),"0000"))))</f>
        <v/>
      </c>
    </row>
    <row r="211" spans="1:14" x14ac:dyDescent="0.2">
      <c r="A211" t="str">
        <f>IF(OR(Calc!$E215="",Calc!$E215="نامعتبر",Calc!$G215=""),"",Calc!$G215)</f>
        <v/>
      </c>
      <c r="B211" t="str">
        <f>IF($A211="","",LEFT(Calc!$E215,4)&amp;MID(Calc!$E215,6,2)&amp;RIGHT(Calc!$E215,2)&amp;Calc!$Q215&amp;"|"&amp;"1"&amp;RIGHT("00000"&amp;206,5))</f>
        <v/>
      </c>
      <c r="C211" t="str">
        <f t="shared" si="15"/>
        <v/>
      </c>
      <c r="D211" t="str">
        <f t="shared" si="16"/>
        <v/>
      </c>
      <c r="F211" t="str">
        <f>IF(Sync!$AH211="","",IF(LEFT(UPPER(TRIM(Sync!$AH211)),2)="SL",UPPER(TRIM(Sync!$AH211)),""))</f>
        <v/>
      </c>
      <c r="G211" t="str">
        <f>IF($F211="","",IF(Sync!$AE211="","",IF(ISNUMBER(Sync!$AE211),IF(AND(Sync!$AE211&gt;=10000101,Sync!$AE211&lt;=99991231),INT(Sync!$AE211/10000),""),IFERROR(VALUE(TRIM(LEFT(Sync!$AE211,FIND("/",Sync!$AE211)-1))),""))))</f>
        <v/>
      </c>
      <c r="H211" t="str">
        <f>IF(OR($F211="",$G211=""),"",IF(ISNUMBER(Sync!$AE211),INT(MOD(Sync!$AE211,10000)/100),IFERROR(VALUE(TRIM(LEFT(MID(Sync!$AE211,FIND("/",Sync!$AE211)+1,20),FIND("/",MID(Sync!$AE211,FIND("/",Sync!$AE211)+1,20))-1))),"")))</f>
        <v/>
      </c>
      <c r="I211" t="str">
        <f>IF(OR($F211="",$G211=""),"",IF(ISNUMBER(Sync!$AE211),MOD(Sync!$AE211,100),IFERROR(VALUE(TRIM(MID(MID(Sync!$AE211,FIND("/",Sync!$AE211)+1,20),FIND("/",MID(Sync!$AE211,FIND("/",Sync!$AE211)+1,20))+1,20))),"")))</f>
        <v/>
      </c>
      <c r="J211" t="str">
        <f t="shared" si="17"/>
        <v/>
      </c>
      <c r="K211" t="str">
        <f>IF(OR($F211="",$J211="",$J211="نامعتبر"),"",LEFT($J211,4)&amp;MID($J211,6,2)&amp;RIGHT($J211,2)&amp;$N211&amp;"|"&amp;"2"&amp;RIGHT("00000"&amp;206,5))</f>
        <v/>
      </c>
      <c r="L211" t="str">
        <f t="shared" si="18"/>
        <v/>
      </c>
      <c r="M211" t="str">
        <f t="shared" si="19"/>
        <v/>
      </c>
      <c r="N211" t="str">
        <f>IF($F211="","",IF(Sync!$AF211="","0000",IF(AND(ISNUMBER(Sync!$AF211),Sync!$AF211&gt;=0,Sync!$AF211&lt;1),RIGHT("00"&amp;HOUR(Sync!$AF211),2)&amp;RIGHT("00"&amp;MINUTE(Sync!$AF211),2),IFERROR(RIGHT("00"&amp;VALUE(LEFT(Sync!$AF211,FIND(":",Sync!$AF211)-1)),2)&amp;RIGHT("00"&amp;VALUE(MID(Sync!$AF211,FIND(":",Sync!$AF211)+1,2)),2),"0000"))))</f>
        <v/>
      </c>
    </row>
    <row r="212" spans="1:14" x14ac:dyDescent="0.2">
      <c r="A212" t="str">
        <f>IF(OR(Calc!$E216="",Calc!$E216="نامعتبر",Calc!$G216=""),"",Calc!$G216)</f>
        <v/>
      </c>
      <c r="B212" t="str">
        <f>IF($A212="","",LEFT(Calc!$E216,4)&amp;MID(Calc!$E216,6,2)&amp;RIGHT(Calc!$E216,2)&amp;Calc!$Q216&amp;"|"&amp;"1"&amp;RIGHT("00000"&amp;207,5))</f>
        <v/>
      </c>
      <c r="C212" t="str">
        <f t="shared" si="15"/>
        <v/>
      </c>
      <c r="D212" t="str">
        <f t="shared" si="16"/>
        <v/>
      </c>
      <c r="F212" t="str">
        <f>IF(Sync!$AH212="","",IF(LEFT(UPPER(TRIM(Sync!$AH212)),2)="SL",UPPER(TRIM(Sync!$AH212)),""))</f>
        <v/>
      </c>
      <c r="G212" t="str">
        <f>IF($F212="","",IF(Sync!$AE212="","",IF(ISNUMBER(Sync!$AE212),IF(AND(Sync!$AE212&gt;=10000101,Sync!$AE212&lt;=99991231),INT(Sync!$AE212/10000),""),IFERROR(VALUE(TRIM(LEFT(Sync!$AE212,FIND("/",Sync!$AE212)-1))),""))))</f>
        <v/>
      </c>
      <c r="H212" t="str">
        <f>IF(OR($F212="",$G212=""),"",IF(ISNUMBER(Sync!$AE212),INT(MOD(Sync!$AE212,10000)/100),IFERROR(VALUE(TRIM(LEFT(MID(Sync!$AE212,FIND("/",Sync!$AE212)+1,20),FIND("/",MID(Sync!$AE212,FIND("/",Sync!$AE212)+1,20))-1))),"")))</f>
        <v/>
      </c>
      <c r="I212" t="str">
        <f>IF(OR($F212="",$G212=""),"",IF(ISNUMBER(Sync!$AE212),MOD(Sync!$AE212,100),IFERROR(VALUE(TRIM(MID(MID(Sync!$AE212,FIND("/",Sync!$AE212)+1,20),FIND("/",MID(Sync!$AE212,FIND("/",Sync!$AE212)+1,20))+1,20))),"")))</f>
        <v/>
      </c>
      <c r="J212" t="str">
        <f t="shared" si="17"/>
        <v/>
      </c>
      <c r="K212" t="str">
        <f>IF(OR($F212="",$J212="",$J212="نامعتبر"),"",LEFT($J212,4)&amp;MID($J212,6,2)&amp;RIGHT($J212,2)&amp;$N212&amp;"|"&amp;"2"&amp;RIGHT("00000"&amp;207,5))</f>
        <v/>
      </c>
      <c r="L212" t="str">
        <f t="shared" si="18"/>
        <v/>
      </c>
      <c r="M212" t="str">
        <f t="shared" si="19"/>
        <v/>
      </c>
      <c r="N212" t="str">
        <f>IF($F212="","",IF(Sync!$AF212="","0000",IF(AND(ISNUMBER(Sync!$AF212),Sync!$AF212&gt;=0,Sync!$AF212&lt;1),RIGHT("00"&amp;HOUR(Sync!$AF212),2)&amp;RIGHT("00"&amp;MINUTE(Sync!$AF212),2),IFERROR(RIGHT("00"&amp;VALUE(LEFT(Sync!$AF212,FIND(":",Sync!$AF212)-1)),2)&amp;RIGHT("00"&amp;VALUE(MID(Sync!$AF212,FIND(":",Sync!$AF212)+1,2)),2),"0000"))))</f>
        <v/>
      </c>
    </row>
    <row r="213" spans="1:14" x14ac:dyDescent="0.2">
      <c r="A213" t="str">
        <f>IF(OR(Calc!$E217="",Calc!$E217="نامعتبر",Calc!$G217=""),"",Calc!$G217)</f>
        <v/>
      </c>
      <c r="B213" t="str">
        <f>IF($A213="","",LEFT(Calc!$E217,4)&amp;MID(Calc!$E217,6,2)&amp;RIGHT(Calc!$E217,2)&amp;Calc!$Q217&amp;"|"&amp;"1"&amp;RIGHT("00000"&amp;208,5))</f>
        <v/>
      </c>
      <c r="C213" t="str">
        <f t="shared" si="15"/>
        <v/>
      </c>
      <c r="D213" t="str">
        <f t="shared" si="16"/>
        <v/>
      </c>
      <c r="F213" t="str">
        <f>IF(Sync!$AH213="","",IF(LEFT(UPPER(TRIM(Sync!$AH213)),2)="SL",UPPER(TRIM(Sync!$AH213)),""))</f>
        <v/>
      </c>
      <c r="G213" t="str">
        <f>IF($F213="","",IF(Sync!$AE213="","",IF(ISNUMBER(Sync!$AE213),IF(AND(Sync!$AE213&gt;=10000101,Sync!$AE213&lt;=99991231),INT(Sync!$AE213/10000),""),IFERROR(VALUE(TRIM(LEFT(Sync!$AE213,FIND("/",Sync!$AE213)-1))),""))))</f>
        <v/>
      </c>
      <c r="H213" t="str">
        <f>IF(OR($F213="",$G213=""),"",IF(ISNUMBER(Sync!$AE213),INT(MOD(Sync!$AE213,10000)/100),IFERROR(VALUE(TRIM(LEFT(MID(Sync!$AE213,FIND("/",Sync!$AE213)+1,20),FIND("/",MID(Sync!$AE213,FIND("/",Sync!$AE213)+1,20))-1))),"")))</f>
        <v/>
      </c>
      <c r="I213" t="str">
        <f>IF(OR($F213="",$G213=""),"",IF(ISNUMBER(Sync!$AE213),MOD(Sync!$AE213,100),IFERROR(VALUE(TRIM(MID(MID(Sync!$AE213,FIND("/",Sync!$AE213)+1,20),FIND("/",MID(Sync!$AE213,FIND("/",Sync!$AE213)+1,20))+1,20))),"")))</f>
        <v/>
      </c>
      <c r="J213" t="str">
        <f t="shared" si="17"/>
        <v/>
      </c>
      <c r="K213" t="str">
        <f>IF(OR($F213="",$J213="",$J213="نامعتبر"),"",LEFT($J213,4)&amp;MID($J213,6,2)&amp;RIGHT($J213,2)&amp;$N213&amp;"|"&amp;"2"&amp;RIGHT("00000"&amp;208,5))</f>
        <v/>
      </c>
      <c r="L213" t="str">
        <f t="shared" si="18"/>
        <v/>
      </c>
      <c r="M213" t="str">
        <f t="shared" si="19"/>
        <v/>
      </c>
      <c r="N213" t="str">
        <f>IF($F213="","",IF(Sync!$AF213="","0000",IF(AND(ISNUMBER(Sync!$AF213),Sync!$AF213&gt;=0,Sync!$AF213&lt;1),RIGHT("00"&amp;HOUR(Sync!$AF213),2)&amp;RIGHT("00"&amp;MINUTE(Sync!$AF213),2),IFERROR(RIGHT("00"&amp;VALUE(LEFT(Sync!$AF213,FIND(":",Sync!$AF213)-1)),2)&amp;RIGHT("00"&amp;VALUE(MID(Sync!$AF213,FIND(":",Sync!$AF213)+1,2)),2),"0000"))))</f>
        <v/>
      </c>
    </row>
    <row r="214" spans="1:14" x14ac:dyDescent="0.2">
      <c r="A214" t="str">
        <f>IF(OR(Calc!$E218="",Calc!$E218="نامعتبر",Calc!$G218=""),"",Calc!$G218)</f>
        <v/>
      </c>
      <c r="B214" t="str">
        <f>IF($A214="","",LEFT(Calc!$E218,4)&amp;MID(Calc!$E218,6,2)&amp;RIGHT(Calc!$E218,2)&amp;Calc!$Q218&amp;"|"&amp;"1"&amp;RIGHT("00000"&amp;209,5))</f>
        <v/>
      </c>
      <c r="C214" t="str">
        <f t="shared" si="15"/>
        <v/>
      </c>
      <c r="D214" t="str">
        <f t="shared" si="16"/>
        <v/>
      </c>
      <c r="F214" t="str">
        <f>IF(Sync!$AH214="","",IF(LEFT(UPPER(TRIM(Sync!$AH214)),2)="SL",UPPER(TRIM(Sync!$AH214)),""))</f>
        <v/>
      </c>
      <c r="G214" t="str">
        <f>IF($F214="","",IF(Sync!$AE214="","",IF(ISNUMBER(Sync!$AE214),IF(AND(Sync!$AE214&gt;=10000101,Sync!$AE214&lt;=99991231),INT(Sync!$AE214/10000),""),IFERROR(VALUE(TRIM(LEFT(Sync!$AE214,FIND("/",Sync!$AE214)-1))),""))))</f>
        <v/>
      </c>
      <c r="H214" t="str">
        <f>IF(OR($F214="",$G214=""),"",IF(ISNUMBER(Sync!$AE214),INT(MOD(Sync!$AE214,10000)/100),IFERROR(VALUE(TRIM(LEFT(MID(Sync!$AE214,FIND("/",Sync!$AE214)+1,20),FIND("/",MID(Sync!$AE214,FIND("/",Sync!$AE214)+1,20))-1))),"")))</f>
        <v/>
      </c>
      <c r="I214" t="str">
        <f>IF(OR($F214="",$G214=""),"",IF(ISNUMBER(Sync!$AE214),MOD(Sync!$AE214,100),IFERROR(VALUE(TRIM(MID(MID(Sync!$AE214,FIND("/",Sync!$AE214)+1,20),FIND("/",MID(Sync!$AE214,FIND("/",Sync!$AE214)+1,20))+1,20))),"")))</f>
        <v/>
      </c>
      <c r="J214" t="str">
        <f t="shared" si="17"/>
        <v/>
      </c>
      <c r="K214" t="str">
        <f>IF(OR($F214="",$J214="",$J214="نامعتبر"),"",LEFT($J214,4)&amp;MID($J214,6,2)&amp;RIGHT($J214,2)&amp;$N214&amp;"|"&amp;"2"&amp;RIGHT("00000"&amp;209,5))</f>
        <v/>
      </c>
      <c r="L214" t="str">
        <f t="shared" si="18"/>
        <v/>
      </c>
      <c r="M214" t="str">
        <f t="shared" si="19"/>
        <v/>
      </c>
      <c r="N214" t="str">
        <f>IF($F214="","",IF(Sync!$AF214="","0000",IF(AND(ISNUMBER(Sync!$AF214),Sync!$AF214&gt;=0,Sync!$AF214&lt;1),RIGHT("00"&amp;HOUR(Sync!$AF214),2)&amp;RIGHT("00"&amp;MINUTE(Sync!$AF214),2),IFERROR(RIGHT("00"&amp;VALUE(LEFT(Sync!$AF214,FIND(":",Sync!$AF214)-1)),2)&amp;RIGHT("00"&amp;VALUE(MID(Sync!$AF214,FIND(":",Sync!$AF214)+1,2)),2),"0000"))))</f>
        <v/>
      </c>
    </row>
    <row r="215" spans="1:14" x14ac:dyDescent="0.2">
      <c r="A215" t="str">
        <f>IF(OR(Calc!$E219="",Calc!$E219="نامعتبر",Calc!$G219=""),"",Calc!$G219)</f>
        <v/>
      </c>
      <c r="B215" t="str">
        <f>IF($A215="","",LEFT(Calc!$E219,4)&amp;MID(Calc!$E219,6,2)&amp;RIGHT(Calc!$E219,2)&amp;Calc!$Q219&amp;"|"&amp;"1"&amp;RIGHT("00000"&amp;210,5))</f>
        <v/>
      </c>
      <c r="C215" t="str">
        <f t="shared" si="15"/>
        <v/>
      </c>
      <c r="D215" t="str">
        <f t="shared" si="16"/>
        <v/>
      </c>
      <c r="F215" t="str">
        <f>IF(Sync!$AH215="","",IF(LEFT(UPPER(TRIM(Sync!$AH215)),2)="SL",UPPER(TRIM(Sync!$AH215)),""))</f>
        <v/>
      </c>
      <c r="G215" t="str">
        <f>IF($F215="","",IF(Sync!$AE215="","",IF(ISNUMBER(Sync!$AE215),IF(AND(Sync!$AE215&gt;=10000101,Sync!$AE215&lt;=99991231),INT(Sync!$AE215/10000),""),IFERROR(VALUE(TRIM(LEFT(Sync!$AE215,FIND("/",Sync!$AE215)-1))),""))))</f>
        <v/>
      </c>
      <c r="H215" t="str">
        <f>IF(OR($F215="",$G215=""),"",IF(ISNUMBER(Sync!$AE215),INT(MOD(Sync!$AE215,10000)/100),IFERROR(VALUE(TRIM(LEFT(MID(Sync!$AE215,FIND("/",Sync!$AE215)+1,20),FIND("/",MID(Sync!$AE215,FIND("/",Sync!$AE215)+1,20))-1))),"")))</f>
        <v/>
      </c>
      <c r="I215" t="str">
        <f>IF(OR($F215="",$G215=""),"",IF(ISNUMBER(Sync!$AE215),MOD(Sync!$AE215,100),IFERROR(VALUE(TRIM(MID(MID(Sync!$AE215,FIND("/",Sync!$AE215)+1,20),FIND("/",MID(Sync!$AE215,FIND("/",Sync!$AE215)+1,20))+1,20))),"")))</f>
        <v/>
      </c>
      <c r="J215" t="str">
        <f t="shared" si="17"/>
        <v/>
      </c>
      <c r="K215" t="str">
        <f>IF(OR($F215="",$J215="",$J215="نامعتبر"),"",LEFT($J215,4)&amp;MID($J215,6,2)&amp;RIGHT($J215,2)&amp;$N215&amp;"|"&amp;"2"&amp;RIGHT("00000"&amp;210,5))</f>
        <v/>
      </c>
      <c r="L215" t="str">
        <f t="shared" si="18"/>
        <v/>
      </c>
      <c r="M215" t="str">
        <f t="shared" si="19"/>
        <v/>
      </c>
      <c r="N215" t="str">
        <f>IF($F215="","",IF(Sync!$AF215="","0000",IF(AND(ISNUMBER(Sync!$AF215),Sync!$AF215&gt;=0,Sync!$AF215&lt;1),RIGHT("00"&amp;HOUR(Sync!$AF215),2)&amp;RIGHT("00"&amp;MINUTE(Sync!$AF215),2),IFERROR(RIGHT("00"&amp;VALUE(LEFT(Sync!$AF215,FIND(":",Sync!$AF215)-1)),2)&amp;RIGHT("00"&amp;VALUE(MID(Sync!$AF215,FIND(":",Sync!$AF215)+1,2)),2),"0000"))))</f>
        <v/>
      </c>
    </row>
    <row r="216" spans="1:14" x14ac:dyDescent="0.2">
      <c r="A216" t="str">
        <f>IF(OR(Calc!$E220="",Calc!$E220="نامعتبر",Calc!$G220=""),"",Calc!$G220)</f>
        <v/>
      </c>
      <c r="B216" t="str">
        <f>IF($A216="","",LEFT(Calc!$E220,4)&amp;MID(Calc!$E220,6,2)&amp;RIGHT(Calc!$E220,2)&amp;Calc!$Q220&amp;"|"&amp;"1"&amp;RIGHT("00000"&amp;211,5))</f>
        <v/>
      </c>
      <c r="C216" t="str">
        <f t="shared" si="15"/>
        <v/>
      </c>
      <c r="D216" t="str">
        <f t="shared" si="16"/>
        <v/>
      </c>
      <c r="F216" t="str">
        <f>IF(Sync!$AH216="","",IF(LEFT(UPPER(TRIM(Sync!$AH216)),2)="SL",UPPER(TRIM(Sync!$AH216)),""))</f>
        <v/>
      </c>
      <c r="G216" t="str">
        <f>IF($F216="","",IF(Sync!$AE216="","",IF(ISNUMBER(Sync!$AE216),IF(AND(Sync!$AE216&gt;=10000101,Sync!$AE216&lt;=99991231),INT(Sync!$AE216/10000),""),IFERROR(VALUE(TRIM(LEFT(Sync!$AE216,FIND("/",Sync!$AE216)-1))),""))))</f>
        <v/>
      </c>
      <c r="H216" t="str">
        <f>IF(OR($F216="",$G216=""),"",IF(ISNUMBER(Sync!$AE216),INT(MOD(Sync!$AE216,10000)/100),IFERROR(VALUE(TRIM(LEFT(MID(Sync!$AE216,FIND("/",Sync!$AE216)+1,20),FIND("/",MID(Sync!$AE216,FIND("/",Sync!$AE216)+1,20))-1))),"")))</f>
        <v/>
      </c>
      <c r="I216" t="str">
        <f>IF(OR($F216="",$G216=""),"",IF(ISNUMBER(Sync!$AE216),MOD(Sync!$AE216,100),IFERROR(VALUE(TRIM(MID(MID(Sync!$AE216,FIND("/",Sync!$AE216)+1,20),FIND("/",MID(Sync!$AE216,FIND("/",Sync!$AE216)+1,20))+1,20))),"")))</f>
        <v/>
      </c>
      <c r="J216" t="str">
        <f t="shared" si="17"/>
        <v/>
      </c>
      <c r="K216" t="str">
        <f>IF(OR($F216="",$J216="",$J216="نامعتبر"),"",LEFT($J216,4)&amp;MID($J216,6,2)&amp;RIGHT($J216,2)&amp;$N216&amp;"|"&amp;"2"&amp;RIGHT("00000"&amp;211,5))</f>
        <v/>
      </c>
      <c r="L216" t="str">
        <f t="shared" si="18"/>
        <v/>
      </c>
      <c r="M216" t="str">
        <f t="shared" si="19"/>
        <v/>
      </c>
      <c r="N216" t="str">
        <f>IF($F216="","",IF(Sync!$AF216="","0000",IF(AND(ISNUMBER(Sync!$AF216),Sync!$AF216&gt;=0,Sync!$AF216&lt;1),RIGHT("00"&amp;HOUR(Sync!$AF216),2)&amp;RIGHT("00"&amp;MINUTE(Sync!$AF216),2),IFERROR(RIGHT("00"&amp;VALUE(LEFT(Sync!$AF216,FIND(":",Sync!$AF216)-1)),2)&amp;RIGHT("00"&amp;VALUE(MID(Sync!$AF216,FIND(":",Sync!$AF216)+1,2)),2),"0000"))))</f>
        <v/>
      </c>
    </row>
    <row r="217" spans="1:14" x14ac:dyDescent="0.2">
      <c r="A217" t="str">
        <f>IF(OR(Calc!$E221="",Calc!$E221="نامعتبر",Calc!$G221=""),"",Calc!$G221)</f>
        <v/>
      </c>
      <c r="B217" t="str">
        <f>IF($A217="","",LEFT(Calc!$E221,4)&amp;MID(Calc!$E221,6,2)&amp;RIGHT(Calc!$E221,2)&amp;Calc!$Q221&amp;"|"&amp;"1"&amp;RIGHT("00000"&amp;212,5))</f>
        <v/>
      </c>
      <c r="C217" t="str">
        <f t="shared" si="15"/>
        <v/>
      </c>
      <c r="D217" t="str">
        <f t="shared" si="16"/>
        <v/>
      </c>
      <c r="F217" t="str">
        <f>IF(Sync!$AH217="","",IF(LEFT(UPPER(TRIM(Sync!$AH217)),2)="SL",UPPER(TRIM(Sync!$AH217)),""))</f>
        <v/>
      </c>
      <c r="G217" t="str">
        <f>IF($F217="","",IF(Sync!$AE217="","",IF(ISNUMBER(Sync!$AE217),IF(AND(Sync!$AE217&gt;=10000101,Sync!$AE217&lt;=99991231),INT(Sync!$AE217/10000),""),IFERROR(VALUE(TRIM(LEFT(Sync!$AE217,FIND("/",Sync!$AE217)-1))),""))))</f>
        <v/>
      </c>
      <c r="H217" t="str">
        <f>IF(OR($F217="",$G217=""),"",IF(ISNUMBER(Sync!$AE217),INT(MOD(Sync!$AE217,10000)/100),IFERROR(VALUE(TRIM(LEFT(MID(Sync!$AE217,FIND("/",Sync!$AE217)+1,20),FIND("/",MID(Sync!$AE217,FIND("/",Sync!$AE217)+1,20))-1))),"")))</f>
        <v/>
      </c>
      <c r="I217" t="str">
        <f>IF(OR($F217="",$G217=""),"",IF(ISNUMBER(Sync!$AE217),MOD(Sync!$AE217,100),IFERROR(VALUE(TRIM(MID(MID(Sync!$AE217,FIND("/",Sync!$AE217)+1,20),FIND("/",MID(Sync!$AE217,FIND("/",Sync!$AE217)+1,20))+1,20))),"")))</f>
        <v/>
      </c>
      <c r="J217" t="str">
        <f t="shared" si="17"/>
        <v/>
      </c>
      <c r="K217" t="str">
        <f>IF(OR($F217="",$J217="",$J217="نامعتبر"),"",LEFT($J217,4)&amp;MID($J217,6,2)&amp;RIGHT($J217,2)&amp;$N217&amp;"|"&amp;"2"&amp;RIGHT("00000"&amp;212,5))</f>
        <v/>
      </c>
      <c r="L217" t="str">
        <f t="shared" si="18"/>
        <v/>
      </c>
      <c r="M217" t="str">
        <f t="shared" si="19"/>
        <v/>
      </c>
      <c r="N217" t="str">
        <f>IF($F217="","",IF(Sync!$AF217="","0000",IF(AND(ISNUMBER(Sync!$AF217),Sync!$AF217&gt;=0,Sync!$AF217&lt;1),RIGHT("00"&amp;HOUR(Sync!$AF217),2)&amp;RIGHT("00"&amp;MINUTE(Sync!$AF217),2),IFERROR(RIGHT("00"&amp;VALUE(LEFT(Sync!$AF217,FIND(":",Sync!$AF217)-1)),2)&amp;RIGHT("00"&amp;VALUE(MID(Sync!$AF217,FIND(":",Sync!$AF217)+1,2)),2),"0000"))))</f>
        <v/>
      </c>
    </row>
    <row r="218" spans="1:14" x14ac:dyDescent="0.2">
      <c r="A218" t="str">
        <f>IF(OR(Calc!$E222="",Calc!$E222="نامعتبر",Calc!$G222=""),"",Calc!$G222)</f>
        <v/>
      </c>
      <c r="B218" t="str">
        <f>IF($A218="","",LEFT(Calc!$E222,4)&amp;MID(Calc!$E222,6,2)&amp;RIGHT(Calc!$E222,2)&amp;Calc!$Q222&amp;"|"&amp;"1"&amp;RIGHT("00000"&amp;213,5))</f>
        <v/>
      </c>
      <c r="C218" t="str">
        <f t="shared" si="15"/>
        <v/>
      </c>
      <c r="D218" t="str">
        <f t="shared" si="16"/>
        <v/>
      </c>
      <c r="F218" t="str">
        <f>IF(Sync!$AH218="","",IF(LEFT(UPPER(TRIM(Sync!$AH218)),2)="SL",UPPER(TRIM(Sync!$AH218)),""))</f>
        <v/>
      </c>
      <c r="G218" t="str">
        <f>IF($F218="","",IF(Sync!$AE218="","",IF(ISNUMBER(Sync!$AE218),IF(AND(Sync!$AE218&gt;=10000101,Sync!$AE218&lt;=99991231),INT(Sync!$AE218/10000),""),IFERROR(VALUE(TRIM(LEFT(Sync!$AE218,FIND("/",Sync!$AE218)-1))),""))))</f>
        <v/>
      </c>
      <c r="H218" t="str">
        <f>IF(OR($F218="",$G218=""),"",IF(ISNUMBER(Sync!$AE218),INT(MOD(Sync!$AE218,10000)/100),IFERROR(VALUE(TRIM(LEFT(MID(Sync!$AE218,FIND("/",Sync!$AE218)+1,20),FIND("/",MID(Sync!$AE218,FIND("/",Sync!$AE218)+1,20))-1))),"")))</f>
        <v/>
      </c>
      <c r="I218" t="str">
        <f>IF(OR($F218="",$G218=""),"",IF(ISNUMBER(Sync!$AE218),MOD(Sync!$AE218,100),IFERROR(VALUE(TRIM(MID(MID(Sync!$AE218,FIND("/",Sync!$AE218)+1,20),FIND("/",MID(Sync!$AE218,FIND("/",Sync!$AE218)+1,20))+1,20))),"")))</f>
        <v/>
      </c>
      <c r="J218" t="str">
        <f t="shared" si="17"/>
        <v/>
      </c>
      <c r="K218" t="str">
        <f>IF(OR($F218="",$J218="",$J218="نامعتبر"),"",LEFT($J218,4)&amp;MID($J218,6,2)&amp;RIGHT($J218,2)&amp;$N218&amp;"|"&amp;"2"&amp;RIGHT("00000"&amp;213,5))</f>
        <v/>
      </c>
      <c r="L218" t="str">
        <f t="shared" si="18"/>
        <v/>
      </c>
      <c r="M218" t="str">
        <f t="shared" si="19"/>
        <v/>
      </c>
      <c r="N218" t="str">
        <f>IF($F218="","",IF(Sync!$AF218="","0000",IF(AND(ISNUMBER(Sync!$AF218),Sync!$AF218&gt;=0,Sync!$AF218&lt;1),RIGHT("00"&amp;HOUR(Sync!$AF218),2)&amp;RIGHT("00"&amp;MINUTE(Sync!$AF218),2),IFERROR(RIGHT("00"&amp;VALUE(LEFT(Sync!$AF218,FIND(":",Sync!$AF218)-1)),2)&amp;RIGHT("00"&amp;VALUE(MID(Sync!$AF218,FIND(":",Sync!$AF218)+1,2)),2),"0000"))))</f>
        <v/>
      </c>
    </row>
    <row r="219" spans="1:14" x14ac:dyDescent="0.2">
      <c r="A219" t="str">
        <f>IF(OR(Calc!$E223="",Calc!$E223="نامعتبر",Calc!$G223=""),"",Calc!$G223)</f>
        <v/>
      </c>
      <c r="B219" t="str">
        <f>IF($A219="","",LEFT(Calc!$E223,4)&amp;MID(Calc!$E223,6,2)&amp;RIGHT(Calc!$E223,2)&amp;Calc!$Q223&amp;"|"&amp;"1"&amp;RIGHT("00000"&amp;214,5))</f>
        <v/>
      </c>
      <c r="C219" t="str">
        <f t="shared" si="15"/>
        <v/>
      </c>
      <c r="D219" t="str">
        <f t="shared" si="16"/>
        <v/>
      </c>
      <c r="F219" t="str">
        <f>IF(Sync!$AH219="","",IF(LEFT(UPPER(TRIM(Sync!$AH219)),2)="SL",UPPER(TRIM(Sync!$AH219)),""))</f>
        <v/>
      </c>
      <c r="G219" t="str">
        <f>IF($F219="","",IF(Sync!$AE219="","",IF(ISNUMBER(Sync!$AE219),IF(AND(Sync!$AE219&gt;=10000101,Sync!$AE219&lt;=99991231),INT(Sync!$AE219/10000),""),IFERROR(VALUE(TRIM(LEFT(Sync!$AE219,FIND("/",Sync!$AE219)-1))),""))))</f>
        <v/>
      </c>
      <c r="H219" t="str">
        <f>IF(OR($F219="",$G219=""),"",IF(ISNUMBER(Sync!$AE219),INT(MOD(Sync!$AE219,10000)/100),IFERROR(VALUE(TRIM(LEFT(MID(Sync!$AE219,FIND("/",Sync!$AE219)+1,20),FIND("/",MID(Sync!$AE219,FIND("/",Sync!$AE219)+1,20))-1))),"")))</f>
        <v/>
      </c>
      <c r="I219" t="str">
        <f>IF(OR($F219="",$G219=""),"",IF(ISNUMBER(Sync!$AE219),MOD(Sync!$AE219,100),IFERROR(VALUE(TRIM(MID(MID(Sync!$AE219,FIND("/",Sync!$AE219)+1,20),FIND("/",MID(Sync!$AE219,FIND("/",Sync!$AE219)+1,20))+1,20))),"")))</f>
        <v/>
      </c>
      <c r="J219" t="str">
        <f t="shared" si="17"/>
        <v/>
      </c>
      <c r="K219" t="str">
        <f>IF(OR($F219="",$J219="",$J219="نامعتبر"),"",LEFT($J219,4)&amp;MID($J219,6,2)&amp;RIGHT($J219,2)&amp;$N219&amp;"|"&amp;"2"&amp;RIGHT("00000"&amp;214,5))</f>
        <v/>
      </c>
      <c r="L219" t="str">
        <f t="shared" si="18"/>
        <v/>
      </c>
      <c r="M219" t="str">
        <f t="shared" si="19"/>
        <v/>
      </c>
      <c r="N219" t="str">
        <f>IF($F219="","",IF(Sync!$AF219="","0000",IF(AND(ISNUMBER(Sync!$AF219),Sync!$AF219&gt;=0,Sync!$AF219&lt;1),RIGHT("00"&amp;HOUR(Sync!$AF219),2)&amp;RIGHT("00"&amp;MINUTE(Sync!$AF219),2),IFERROR(RIGHT("00"&amp;VALUE(LEFT(Sync!$AF219,FIND(":",Sync!$AF219)-1)),2)&amp;RIGHT("00"&amp;VALUE(MID(Sync!$AF219,FIND(":",Sync!$AF219)+1,2)),2),"0000"))))</f>
        <v/>
      </c>
    </row>
    <row r="220" spans="1:14" x14ac:dyDescent="0.2">
      <c r="A220" t="str">
        <f>IF(OR(Calc!$E224="",Calc!$E224="نامعتبر",Calc!$G224=""),"",Calc!$G224)</f>
        <v/>
      </c>
      <c r="B220" t="str">
        <f>IF($A220="","",LEFT(Calc!$E224,4)&amp;MID(Calc!$E224,6,2)&amp;RIGHT(Calc!$E224,2)&amp;Calc!$Q224&amp;"|"&amp;"1"&amp;RIGHT("00000"&amp;215,5))</f>
        <v/>
      </c>
      <c r="C220" t="str">
        <f t="shared" si="15"/>
        <v/>
      </c>
      <c r="D220" t="str">
        <f t="shared" si="16"/>
        <v/>
      </c>
      <c r="F220" t="str">
        <f>IF(Sync!$AH220="","",IF(LEFT(UPPER(TRIM(Sync!$AH220)),2)="SL",UPPER(TRIM(Sync!$AH220)),""))</f>
        <v/>
      </c>
      <c r="G220" t="str">
        <f>IF($F220="","",IF(Sync!$AE220="","",IF(ISNUMBER(Sync!$AE220),IF(AND(Sync!$AE220&gt;=10000101,Sync!$AE220&lt;=99991231),INT(Sync!$AE220/10000),""),IFERROR(VALUE(TRIM(LEFT(Sync!$AE220,FIND("/",Sync!$AE220)-1))),""))))</f>
        <v/>
      </c>
      <c r="H220" t="str">
        <f>IF(OR($F220="",$G220=""),"",IF(ISNUMBER(Sync!$AE220),INT(MOD(Sync!$AE220,10000)/100),IFERROR(VALUE(TRIM(LEFT(MID(Sync!$AE220,FIND("/",Sync!$AE220)+1,20),FIND("/",MID(Sync!$AE220,FIND("/",Sync!$AE220)+1,20))-1))),"")))</f>
        <v/>
      </c>
      <c r="I220" t="str">
        <f>IF(OR($F220="",$G220=""),"",IF(ISNUMBER(Sync!$AE220),MOD(Sync!$AE220,100),IFERROR(VALUE(TRIM(MID(MID(Sync!$AE220,FIND("/",Sync!$AE220)+1,20),FIND("/",MID(Sync!$AE220,FIND("/",Sync!$AE220)+1,20))+1,20))),"")))</f>
        <v/>
      </c>
      <c r="J220" t="str">
        <f t="shared" si="17"/>
        <v/>
      </c>
      <c r="K220" t="str">
        <f>IF(OR($F220="",$J220="",$J220="نامعتبر"),"",LEFT($J220,4)&amp;MID($J220,6,2)&amp;RIGHT($J220,2)&amp;$N220&amp;"|"&amp;"2"&amp;RIGHT("00000"&amp;215,5))</f>
        <v/>
      </c>
      <c r="L220" t="str">
        <f t="shared" si="18"/>
        <v/>
      </c>
      <c r="M220" t="str">
        <f t="shared" si="19"/>
        <v/>
      </c>
      <c r="N220" t="str">
        <f>IF($F220="","",IF(Sync!$AF220="","0000",IF(AND(ISNUMBER(Sync!$AF220),Sync!$AF220&gt;=0,Sync!$AF220&lt;1),RIGHT("00"&amp;HOUR(Sync!$AF220),2)&amp;RIGHT("00"&amp;MINUTE(Sync!$AF220),2),IFERROR(RIGHT("00"&amp;VALUE(LEFT(Sync!$AF220,FIND(":",Sync!$AF220)-1)),2)&amp;RIGHT("00"&amp;VALUE(MID(Sync!$AF220,FIND(":",Sync!$AF220)+1,2)),2),"0000"))))</f>
        <v/>
      </c>
    </row>
    <row r="221" spans="1:14" x14ac:dyDescent="0.2">
      <c r="A221" t="str">
        <f>IF(OR(Calc!$E225="",Calc!$E225="نامعتبر",Calc!$G225=""),"",Calc!$G225)</f>
        <v/>
      </c>
      <c r="B221" t="str">
        <f>IF($A221="","",LEFT(Calc!$E225,4)&amp;MID(Calc!$E225,6,2)&amp;RIGHT(Calc!$E225,2)&amp;Calc!$Q225&amp;"|"&amp;"1"&amp;RIGHT("00000"&amp;216,5))</f>
        <v/>
      </c>
      <c r="C221" t="str">
        <f t="shared" si="15"/>
        <v/>
      </c>
      <c r="D221" t="str">
        <f t="shared" si="16"/>
        <v/>
      </c>
      <c r="F221" t="str">
        <f>IF(Sync!$AH221="","",IF(LEFT(UPPER(TRIM(Sync!$AH221)),2)="SL",UPPER(TRIM(Sync!$AH221)),""))</f>
        <v/>
      </c>
      <c r="G221" t="str">
        <f>IF($F221="","",IF(Sync!$AE221="","",IF(ISNUMBER(Sync!$AE221),IF(AND(Sync!$AE221&gt;=10000101,Sync!$AE221&lt;=99991231),INT(Sync!$AE221/10000),""),IFERROR(VALUE(TRIM(LEFT(Sync!$AE221,FIND("/",Sync!$AE221)-1))),""))))</f>
        <v/>
      </c>
      <c r="H221" t="str">
        <f>IF(OR($F221="",$G221=""),"",IF(ISNUMBER(Sync!$AE221),INT(MOD(Sync!$AE221,10000)/100),IFERROR(VALUE(TRIM(LEFT(MID(Sync!$AE221,FIND("/",Sync!$AE221)+1,20),FIND("/",MID(Sync!$AE221,FIND("/",Sync!$AE221)+1,20))-1))),"")))</f>
        <v/>
      </c>
      <c r="I221" t="str">
        <f>IF(OR($F221="",$G221=""),"",IF(ISNUMBER(Sync!$AE221),MOD(Sync!$AE221,100),IFERROR(VALUE(TRIM(MID(MID(Sync!$AE221,FIND("/",Sync!$AE221)+1,20),FIND("/",MID(Sync!$AE221,FIND("/",Sync!$AE221)+1,20))+1,20))),"")))</f>
        <v/>
      </c>
      <c r="J221" t="str">
        <f t="shared" si="17"/>
        <v/>
      </c>
      <c r="K221" t="str">
        <f>IF(OR($F221="",$J221="",$J221="نامعتبر"),"",LEFT($J221,4)&amp;MID($J221,6,2)&amp;RIGHT($J221,2)&amp;$N221&amp;"|"&amp;"2"&amp;RIGHT("00000"&amp;216,5))</f>
        <v/>
      </c>
      <c r="L221" t="str">
        <f t="shared" si="18"/>
        <v/>
      </c>
      <c r="M221" t="str">
        <f t="shared" si="19"/>
        <v/>
      </c>
      <c r="N221" t="str">
        <f>IF($F221="","",IF(Sync!$AF221="","0000",IF(AND(ISNUMBER(Sync!$AF221),Sync!$AF221&gt;=0,Sync!$AF221&lt;1),RIGHT("00"&amp;HOUR(Sync!$AF221),2)&amp;RIGHT("00"&amp;MINUTE(Sync!$AF221),2),IFERROR(RIGHT("00"&amp;VALUE(LEFT(Sync!$AF221,FIND(":",Sync!$AF221)-1)),2)&amp;RIGHT("00"&amp;VALUE(MID(Sync!$AF221,FIND(":",Sync!$AF221)+1,2)),2),"0000"))))</f>
        <v/>
      </c>
    </row>
    <row r="222" spans="1:14" x14ac:dyDescent="0.2">
      <c r="A222" t="str">
        <f>IF(OR(Calc!$E226="",Calc!$E226="نامعتبر",Calc!$G226=""),"",Calc!$G226)</f>
        <v/>
      </c>
      <c r="B222" t="str">
        <f>IF($A222="","",LEFT(Calc!$E226,4)&amp;MID(Calc!$E226,6,2)&amp;RIGHT(Calc!$E226,2)&amp;Calc!$Q226&amp;"|"&amp;"1"&amp;RIGHT("00000"&amp;217,5))</f>
        <v/>
      </c>
      <c r="C222" t="str">
        <f t="shared" si="15"/>
        <v/>
      </c>
      <c r="D222" t="str">
        <f t="shared" si="16"/>
        <v/>
      </c>
      <c r="F222" t="str">
        <f>IF(Sync!$AH222="","",IF(LEFT(UPPER(TRIM(Sync!$AH222)),2)="SL",UPPER(TRIM(Sync!$AH222)),""))</f>
        <v/>
      </c>
      <c r="G222" t="str">
        <f>IF($F222="","",IF(Sync!$AE222="","",IF(ISNUMBER(Sync!$AE222),IF(AND(Sync!$AE222&gt;=10000101,Sync!$AE222&lt;=99991231),INT(Sync!$AE222/10000),""),IFERROR(VALUE(TRIM(LEFT(Sync!$AE222,FIND("/",Sync!$AE222)-1))),""))))</f>
        <v/>
      </c>
      <c r="H222" t="str">
        <f>IF(OR($F222="",$G222=""),"",IF(ISNUMBER(Sync!$AE222),INT(MOD(Sync!$AE222,10000)/100),IFERROR(VALUE(TRIM(LEFT(MID(Sync!$AE222,FIND("/",Sync!$AE222)+1,20),FIND("/",MID(Sync!$AE222,FIND("/",Sync!$AE222)+1,20))-1))),"")))</f>
        <v/>
      </c>
      <c r="I222" t="str">
        <f>IF(OR($F222="",$G222=""),"",IF(ISNUMBER(Sync!$AE222),MOD(Sync!$AE222,100),IFERROR(VALUE(TRIM(MID(MID(Sync!$AE222,FIND("/",Sync!$AE222)+1,20),FIND("/",MID(Sync!$AE222,FIND("/",Sync!$AE222)+1,20))+1,20))),"")))</f>
        <v/>
      </c>
      <c r="J222" t="str">
        <f t="shared" si="17"/>
        <v/>
      </c>
      <c r="K222" t="str">
        <f>IF(OR($F222="",$J222="",$J222="نامعتبر"),"",LEFT($J222,4)&amp;MID($J222,6,2)&amp;RIGHT($J222,2)&amp;$N222&amp;"|"&amp;"2"&amp;RIGHT("00000"&amp;217,5))</f>
        <v/>
      </c>
      <c r="L222" t="str">
        <f t="shared" si="18"/>
        <v/>
      </c>
      <c r="M222" t="str">
        <f t="shared" si="19"/>
        <v/>
      </c>
      <c r="N222" t="str">
        <f>IF($F222="","",IF(Sync!$AF222="","0000",IF(AND(ISNUMBER(Sync!$AF222),Sync!$AF222&gt;=0,Sync!$AF222&lt;1),RIGHT("00"&amp;HOUR(Sync!$AF222),2)&amp;RIGHT("00"&amp;MINUTE(Sync!$AF222),2),IFERROR(RIGHT("00"&amp;VALUE(LEFT(Sync!$AF222,FIND(":",Sync!$AF222)-1)),2)&amp;RIGHT("00"&amp;VALUE(MID(Sync!$AF222,FIND(":",Sync!$AF222)+1,2)),2),"0000"))))</f>
        <v/>
      </c>
    </row>
    <row r="223" spans="1:14" x14ac:dyDescent="0.2">
      <c r="A223" t="str">
        <f>IF(OR(Calc!$E227="",Calc!$E227="نامعتبر",Calc!$G227=""),"",Calc!$G227)</f>
        <v/>
      </c>
      <c r="B223" t="str">
        <f>IF($A223="","",LEFT(Calc!$E227,4)&amp;MID(Calc!$E227,6,2)&amp;RIGHT(Calc!$E227,2)&amp;Calc!$Q227&amp;"|"&amp;"1"&amp;RIGHT("00000"&amp;218,5))</f>
        <v/>
      </c>
      <c r="C223" t="str">
        <f t="shared" si="15"/>
        <v/>
      </c>
      <c r="D223" t="str">
        <f t="shared" si="16"/>
        <v/>
      </c>
      <c r="F223" t="str">
        <f>IF(Sync!$AH223="","",IF(LEFT(UPPER(TRIM(Sync!$AH223)),2)="SL",UPPER(TRIM(Sync!$AH223)),""))</f>
        <v/>
      </c>
      <c r="G223" t="str">
        <f>IF($F223="","",IF(Sync!$AE223="","",IF(ISNUMBER(Sync!$AE223),IF(AND(Sync!$AE223&gt;=10000101,Sync!$AE223&lt;=99991231),INT(Sync!$AE223/10000),""),IFERROR(VALUE(TRIM(LEFT(Sync!$AE223,FIND("/",Sync!$AE223)-1))),""))))</f>
        <v/>
      </c>
      <c r="H223" t="str">
        <f>IF(OR($F223="",$G223=""),"",IF(ISNUMBER(Sync!$AE223),INT(MOD(Sync!$AE223,10000)/100),IFERROR(VALUE(TRIM(LEFT(MID(Sync!$AE223,FIND("/",Sync!$AE223)+1,20),FIND("/",MID(Sync!$AE223,FIND("/",Sync!$AE223)+1,20))-1))),"")))</f>
        <v/>
      </c>
      <c r="I223" t="str">
        <f>IF(OR($F223="",$G223=""),"",IF(ISNUMBER(Sync!$AE223),MOD(Sync!$AE223,100),IFERROR(VALUE(TRIM(MID(MID(Sync!$AE223,FIND("/",Sync!$AE223)+1,20),FIND("/",MID(Sync!$AE223,FIND("/",Sync!$AE223)+1,20))+1,20))),"")))</f>
        <v/>
      </c>
      <c r="J223" t="str">
        <f t="shared" si="17"/>
        <v/>
      </c>
      <c r="K223" t="str">
        <f>IF(OR($F223="",$J223="",$J223="نامعتبر"),"",LEFT($J223,4)&amp;MID($J223,6,2)&amp;RIGHT($J223,2)&amp;$N223&amp;"|"&amp;"2"&amp;RIGHT("00000"&amp;218,5))</f>
        <v/>
      </c>
      <c r="L223" t="str">
        <f t="shared" si="18"/>
        <v/>
      </c>
      <c r="M223" t="str">
        <f t="shared" si="19"/>
        <v/>
      </c>
      <c r="N223" t="str">
        <f>IF($F223="","",IF(Sync!$AF223="","0000",IF(AND(ISNUMBER(Sync!$AF223),Sync!$AF223&gt;=0,Sync!$AF223&lt;1),RIGHT("00"&amp;HOUR(Sync!$AF223),2)&amp;RIGHT("00"&amp;MINUTE(Sync!$AF223),2),IFERROR(RIGHT("00"&amp;VALUE(LEFT(Sync!$AF223,FIND(":",Sync!$AF223)-1)),2)&amp;RIGHT("00"&amp;VALUE(MID(Sync!$AF223,FIND(":",Sync!$AF223)+1,2)),2),"0000"))))</f>
        <v/>
      </c>
    </row>
    <row r="224" spans="1:14" x14ac:dyDescent="0.2">
      <c r="A224" t="str">
        <f>IF(OR(Calc!$E228="",Calc!$E228="نامعتبر",Calc!$G228=""),"",Calc!$G228)</f>
        <v/>
      </c>
      <c r="B224" t="str">
        <f>IF($A224="","",LEFT(Calc!$E228,4)&amp;MID(Calc!$E228,6,2)&amp;RIGHT(Calc!$E228,2)&amp;Calc!$Q228&amp;"|"&amp;"1"&amp;RIGHT("00000"&amp;219,5))</f>
        <v/>
      </c>
      <c r="C224" t="str">
        <f t="shared" si="15"/>
        <v/>
      </c>
      <c r="D224" t="str">
        <f t="shared" si="16"/>
        <v/>
      </c>
      <c r="F224" t="str">
        <f>IF(Sync!$AH224="","",IF(LEFT(UPPER(TRIM(Sync!$AH224)),2)="SL",UPPER(TRIM(Sync!$AH224)),""))</f>
        <v/>
      </c>
      <c r="G224" t="str">
        <f>IF($F224="","",IF(Sync!$AE224="","",IF(ISNUMBER(Sync!$AE224),IF(AND(Sync!$AE224&gt;=10000101,Sync!$AE224&lt;=99991231),INT(Sync!$AE224/10000),""),IFERROR(VALUE(TRIM(LEFT(Sync!$AE224,FIND("/",Sync!$AE224)-1))),""))))</f>
        <v/>
      </c>
      <c r="H224" t="str">
        <f>IF(OR($F224="",$G224=""),"",IF(ISNUMBER(Sync!$AE224),INT(MOD(Sync!$AE224,10000)/100),IFERROR(VALUE(TRIM(LEFT(MID(Sync!$AE224,FIND("/",Sync!$AE224)+1,20),FIND("/",MID(Sync!$AE224,FIND("/",Sync!$AE224)+1,20))-1))),"")))</f>
        <v/>
      </c>
      <c r="I224" t="str">
        <f>IF(OR($F224="",$G224=""),"",IF(ISNUMBER(Sync!$AE224),MOD(Sync!$AE224,100),IFERROR(VALUE(TRIM(MID(MID(Sync!$AE224,FIND("/",Sync!$AE224)+1,20),FIND("/",MID(Sync!$AE224,FIND("/",Sync!$AE224)+1,20))+1,20))),"")))</f>
        <v/>
      </c>
      <c r="J224" t="str">
        <f t="shared" si="17"/>
        <v/>
      </c>
      <c r="K224" t="str">
        <f>IF(OR($F224="",$J224="",$J224="نامعتبر"),"",LEFT($J224,4)&amp;MID($J224,6,2)&amp;RIGHT($J224,2)&amp;$N224&amp;"|"&amp;"2"&amp;RIGHT("00000"&amp;219,5))</f>
        <v/>
      </c>
      <c r="L224" t="str">
        <f t="shared" si="18"/>
        <v/>
      </c>
      <c r="M224" t="str">
        <f t="shared" si="19"/>
        <v/>
      </c>
      <c r="N224" t="str">
        <f>IF($F224="","",IF(Sync!$AF224="","0000",IF(AND(ISNUMBER(Sync!$AF224),Sync!$AF224&gt;=0,Sync!$AF224&lt;1),RIGHT("00"&amp;HOUR(Sync!$AF224),2)&amp;RIGHT("00"&amp;MINUTE(Sync!$AF224),2),IFERROR(RIGHT("00"&amp;VALUE(LEFT(Sync!$AF224,FIND(":",Sync!$AF224)-1)),2)&amp;RIGHT("00"&amp;VALUE(MID(Sync!$AF224,FIND(":",Sync!$AF224)+1,2)),2),"0000"))))</f>
        <v/>
      </c>
    </row>
    <row r="225" spans="1:14" x14ac:dyDescent="0.2">
      <c r="A225" t="str">
        <f>IF(OR(Calc!$E229="",Calc!$E229="نامعتبر",Calc!$G229=""),"",Calc!$G229)</f>
        <v/>
      </c>
      <c r="B225" t="str">
        <f>IF($A225="","",LEFT(Calc!$E229,4)&amp;MID(Calc!$E229,6,2)&amp;RIGHT(Calc!$E229,2)&amp;Calc!$Q229&amp;"|"&amp;"1"&amp;RIGHT("00000"&amp;220,5))</f>
        <v/>
      </c>
      <c r="C225" t="str">
        <f t="shared" si="15"/>
        <v/>
      </c>
      <c r="D225" t="str">
        <f t="shared" si="16"/>
        <v/>
      </c>
      <c r="F225" t="str">
        <f>IF(Sync!$AH225="","",IF(LEFT(UPPER(TRIM(Sync!$AH225)),2)="SL",UPPER(TRIM(Sync!$AH225)),""))</f>
        <v/>
      </c>
      <c r="G225" t="str">
        <f>IF($F225="","",IF(Sync!$AE225="","",IF(ISNUMBER(Sync!$AE225),IF(AND(Sync!$AE225&gt;=10000101,Sync!$AE225&lt;=99991231),INT(Sync!$AE225/10000),""),IFERROR(VALUE(TRIM(LEFT(Sync!$AE225,FIND("/",Sync!$AE225)-1))),""))))</f>
        <v/>
      </c>
      <c r="H225" t="str">
        <f>IF(OR($F225="",$G225=""),"",IF(ISNUMBER(Sync!$AE225),INT(MOD(Sync!$AE225,10000)/100),IFERROR(VALUE(TRIM(LEFT(MID(Sync!$AE225,FIND("/",Sync!$AE225)+1,20),FIND("/",MID(Sync!$AE225,FIND("/",Sync!$AE225)+1,20))-1))),"")))</f>
        <v/>
      </c>
      <c r="I225" t="str">
        <f>IF(OR($F225="",$G225=""),"",IF(ISNUMBER(Sync!$AE225),MOD(Sync!$AE225,100),IFERROR(VALUE(TRIM(MID(MID(Sync!$AE225,FIND("/",Sync!$AE225)+1,20),FIND("/",MID(Sync!$AE225,FIND("/",Sync!$AE225)+1,20))+1,20))),"")))</f>
        <v/>
      </c>
      <c r="J225" t="str">
        <f t="shared" si="17"/>
        <v/>
      </c>
      <c r="K225" t="str">
        <f>IF(OR($F225="",$J225="",$J225="نامعتبر"),"",LEFT($J225,4)&amp;MID($J225,6,2)&amp;RIGHT($J225,2)&amp;$N225&amp;"|"&amp;"2"&amp;RIGHT("00000"&amp;220,5))</f>
        <v/>
      </c>
      <c r="L225" t="str">
        <f t="shared" si="18"/>
        <v/>
      </c>
      <c r="M225" t="str">
        <f t="shared" si="19"/>
        <v/>
      </c>
      <c r="N225" t="str">
        <f>IF($F225="","",IF(Sync!$AF225="","0000",IF(AND(ISNUMBER(Sync!$AF225),Sync!$AF225&gt;=0,Sync!$AF225&lt;1),RIGHT("00"&amp;HOUR(Sync!$AF225),2)&amp;RIGHT("00"&amp;MINUTE(Sync!$AF225),2),IFERROR(RIGHT("00"&amp;VALUE(LEFT(Sync!$AF225,FIND(":",Sync!$AF225)-1)),2)&amp;RIGHT("00"&amp;VALUE(MID(Sync!$AF225,FIND(":",Sync!$AF225)+1,2)),2),"0000"))))</f>
        <v/>
      </c>
    </row>
    <row r="226" spans="1:14" x14ac:dyDescent="0.2">
      <c r="A226" t="str">
        <f>IF(OR(Calc!$E230="",Calc!$E230="نامعتبر",Calc!$G230=""),"",Calc!$G230)</f>
        <v/>
      </c>
      <c r="B226" t="str">
        <f>IF($A226="","",LEFT(Calc!$E230,4)&amp;MID(Calc!$E230,6,2)&amp;RIGHT(Calc!$E230,2)&amp;Calc!$Q230&amp;"|"&amp;"1"&amp;RIGHT("00000"&amp;221,5))</f>
        <v/>
      </c>
      <c r="C226" t="str">
        <f t="shared" si="15"/>
        <v/>
      </c>
      <c r="D226" t="str">
        <f t="shared" si="16"/>
        <v/>
      </c>
      <c r="F226" t="str">
        <f>IF(Sync!$AH226="","",IF(LEFT(UPPER(TRIM(Sync!$AH226)),2)="SL",UPPER(TRIM(Sync!$AH226)),""))</f>
        <v/>
      </c>
      <c r="G226" t="str">
        <f>IF($F226="","",IF(Sync!$AE226="","",IF(ISNUMBER(Sync!$AE226),IF(AND(Sync!$AE226&gt;=10000101,Sync!$AE226&lt;=99991231),INT(Sync!$AE226/10000),""),IFERROR(VALUE(TRIM(LEFT(Sync!$AE226,FIND("/",Sync!$AE226)-1))),""))))</f>
        <v/>
      </c>
      <c r="H226" t="str">
        <f>IF(OR($F226="",$G226=""),"",IF(ISNUMBER(Sync!$AE226),INT(MOD(Sync!$AE226,10000)/100),IFERROR(VALUE(TRIM(LEFT(MID(Sync!$AE226,FIND("/",Sync!$AE226)+1,20),FIND("/",MID(Sync!$AE226,FIND("/",Sync!$AE226)+1,20))-1))),"")))</f>
        <v/>
      </c>
      <c r="I226" t="str">
        <f>IF(OR($F226="",$G226=""),"",IF(ISNUMBER(Sync!$AE226),MOD(Sync!$AE226,100),IFERROR(VALUE(TRIM(MID(MID(Sync!$AE226,FIND("/",Sync!$AE226)+1,20),FIND("/",MID(Sync!$AE226,FIND("/",Sync!$AE226)+1,20))+1,20))),"")))</f>
        <v/>
      </c>
      <c r="J226" t="str">
        <f t="shared" si="17"/>
        <v/>
      </c>
      <c r="K226" t="str">
        <f>IF(OR($F226="",$J226="",$J226="نامعتبر"),"",LEFT($J226,4)&amp;MID($J226,6,2)&amp;RIGHT($J226,2)&amp;$N226&amp;"|"&amp;"2"&amp;RIGHT("00000"&amp;221,5))</f>
        <v/>
      </c>
      <c r="L226" t="str">
        <f t="shared" si="18"/>
        <v/>
      </c>
      <c r="M226" t="str">
        <f t="shared" si="19"/>
        <v/>
      </c>
      <c r="N226" t="str">
        <f>IF($F226="","",IF(Sync!$AF226="","0000",IF(AND(ISNUMBER(Sync!$AF226),Sync!$AF226&gt;=0,Sync!$AF226&lt;1),RIGHT("00"&amp;HOUR(Sync!$AF226),2)&amp;RIGHT("00"&amp;MINUTE(Sync!$AF226),2),IFERROR(RIGHT("00"&amp;VALUE(LEFT(Sync!$AF226,FIND(":",Sync!$AF226)-1)),2)&amp;RIGHT("00"&amp;VALUE(MID(Sync!$AF226,FIND(":",Sync!$AF226)+1,2)),2),"0000"))))</f>
        <v/>
      </c>
    </row>
    <row r="227" spans="1:14" x14ac:dyDescent="0.2">
      <c r="A227" t="str">
        <f>IF(OR(Calc!$E231="",Calc!$E231="نامعتبر",Calc!$G231=""),"",Calc!$G231)</f>
        <v/>
      </c>
      <c r="B227" t="str">
        <f>IF($A227="","",LEFT(Calc!$E231,4)&amp;MID(Calc!$E231,6,2)&amp;RIGHT(Calc!$E231,2)&amp;Calc!$Q231&amp;"|"&amp;"1"&amp;RIGHT("00000"&amp;222,5))</f>
        <v/>
      </c>
      <c r="C227" t="str">
        <f t="shared" si="15"/>
        <v/>
      </c>
      <c r="D227" t="str">
        <f t="shared" si="16"/>
        <v/>
      </c>
      <c r="F227" t="str">
        <f>IF(Sync!$AH227="","",IF(LEFT(UPPER(TRIM(Sync!$AH227)),2)="SL",UPPER(TRIM(Sync!$AH227)),""))</f>
        <v/>
      </c>
      <c r="G227" t="str">
        <f>IF($F227="","",IF(Sync!$AE227="","",IF(ISNUMBER(Sync!$AE227),IF(AND(Sync!$AE227&gt;=10000101,Sync!$AE227&lt;=99991231),INT(Sync!$AE227/10000),""),IFERROR(VALUE(TRIM(LEFT(Sync!$AE227,FIND("/",Sync!$AE227)-1))),""))))</f>
        <v/>
      </c>
      <c r="H227" t="str">
        <f>IF(OR($F227="",$G227=""),"",IF(ISNUMBER(Sync!$AE227),INT(MOD(Sync!$AE227,10000)/100),IFERROR(VALUE(TRIM(LEFT(MID(Sync!$AE227,FIND("/",Sync!$AE227)+1,20),FIND("/",MID(Sync!$AE227,FIND("/",Sync!$AE227)+1,20))-1))),"")))</f>
        <v/>
      </c>
      <c r="I227" t="str">
        <f>IF(OR($F227="",$G227=""),"",IF(ISNUMBER(Sync!$AE227),MOD(Sync!$AE227,100),IFERROR(VALUE(TRIM(MID(MID(Sync!$AE227,FIND("/",Sync!$AE227)+1,20),FIND("/",MID(Sync!$AE227,FIND("/",Sync!$AE227)+1,20))+1,20))),"")))</f>
        <v/>
      </c>
      <c r="J227" t="str">
        <f t="shared" si="17"/>
        <v/>
      </c>
      <c r="K227" t="str">
        <f>IF(OR($F227="",$J227="",$J227="نامعتبر"),"",LEFT($J227,4)&amp;MID($J227,6,2)&amp;RIGHT($J227,2)&amp;$N227&amp;"|"&amp;"2"&amp;RIGHT("00000"&amp;222,5))</f>
        <v/>
      </c>
      <c r="L227" t="str">
        <f t="shared" si="18"/>
        <v/>
      </c>
      <c r="M227" t="str">
        <f t="shared" si="19"/>
        <v/>
      </c>
      <c r="N227" t="str">
        <f>IF($F227="","",IF(Sync!$AF227="","0000",IF(AND(ISNUMBER(Sync!$AF227),Sync!$AF227&gt;=0,Sync!$AF227&lt;1),RIGHT("00"&amp;HOUR(Sync!$AF227),2)&amp;RIGHT("00"&amp;MINUTE(Sync!$AF227),2),IFERROR(RIGHT("00"&amp;VALUE(LEFT(Sync!$AF227,FIND(":",Sync!$AF227)-1)),2)&amp;RIGHT("00"&amp;VALUE(MID(Sync!$AF227,FIND(":",Sync!$AF227)+1,2)),2),"0000"))))</f>
        <v/>
      </c>
    </row>
    <row r="228" spans="1:14" x14ac:dyDescent="0.2">
      <c r="A228" t="str">
        <f>IF(OR(Calc!$E232="",Calc!$E232="نامعتبر",Calc!$G232=""),"",Calc!$G232)</f>
        <v/>
      </c>
      <c r="B228" t="str">
        <f>IF($A228="","",LEFT(Calc!$E232,4)&amp;MID(Calc!$E232,6,2)&amp;RIGHT(Calc!$E232,2)&amp;Calc!$Q232&amp;"|"&amp;"1"&amp;RIGHT("00000"&amp;223,5))</f>
        <v/>
      </c>
      <c r="C228" t="str">
        <f t="shared" si="15"/>
        <v/>
      </c>
      <c r="D228" t="str">
        <f t="shared" si="16"/>
        <v/>
      </c>
      <c r="F228" t="str">
        <f>IF(Sync!$AH228="","",IF(LEFT(UPPER(TRIM(Sync!$AH228)),2)="SL",UPPER(TRIM(Sync!$AH228)),""))</f>
        <v/>
      </c>
      <c r="G228" t="str">
        <f>IF($F228="","",IF(Sync!$AE228="","",IF(ISNUMBER(Sync!$AE228),IF(AND(Sync!$AE228&gt;=10000101,Sync!$AE228&lt;=99991231),INT(Sync!$AE228/10000),""),IFERROR(VALUE(TRIM(LEFT(Sync!$AE228,FIND("/",Sync!$AE228)-1))),""))))</f>
        <v/>
      </c>
      <c r="H228" t="str">
        <f>IF(OR($F228="",$G228=""),"",IF(ISNUMBER(Sync!$AE228),INT(MOD(Sync!$AE228,10000)/100),IFERROR(VALUE(TRIM(LEFT(MID(Sync!$AE228,FIND("/",Sync!$AE228)+1,20),FIND("/",MID(Sync!$AE228,FIND("/",Sync!$AE228)+1,20))-1))),"")))</f>
        <v/>
      </c>
      <c r="I228" t="str">
        <f>IF(OR($F228="",$G228=""),"",IF(ISNUMBER(Sync!$AE228),MOD(Sync!$AE228,100),IFERROR(VALUE(TRIM(MID(MID(Sync!$AE228,FIND("/",Sync!$AE228)+1,20),FIND("/",MID(Sync!$AE228,FIND("/",Sync!$AE228)+1,20))+1,20))),"")))</f>
        <v/>
      </c>
      <c r="J228" t="str">
        <f t="shared" si="17"/>
        <v/>
      </c>
      <c r="K228" t="str">
        <f>IF(OR($F228="",$J228="",$J228="نامعتبر"),"",LEFT($J228,4)&amp;MID($J228,6,2)&amp;RIGHT($J228,2)&amp;$N228&amp;"|"&amp;"2"&amp;RIGHT("00000"&amp;223,5))</f>
        <v/>
      </c>
      <c r="L228" t="str">
        <f t="shared" si="18"/>
        <v/>
      </c>
      <c r="M228" t="str">
        <f t="shared" si="19"/>
        <v/>
      </c>
      <c r="N228" t="str">
        <f>IF($F228="","",IF(Sync!$AF228="","0000",IF(AND(ISNUMBER(Sync!$AF228),Sync!$AF228&gt;=0,Sync!$AF228&lt;1),RIGHT("00"&amp;HOUR(Sync!$AF228),2)&amp;RIGHT("00"&amp;MINUTE(Sync!$AF228),2),IFERROR(RIGHT("00"&amp;VALUE(LEFT(Sync!$AF228,FIND(":",Sync!$AF228)-1)),2)&amp;RIGHT("00"&amp;VALUE(MID(Sync!$AF228,FIND(":",Sync!$AF228)+1,2)),2),"0000"))))</f>
        <v/>
      </c>
    </row>
    <row r="229" spans="1:14" x14ac:dyDescent="0.2">
      <c r="A229" t="str">
        <f>IF(OR(Calc!$E233="",Calc!$E233="نامعتبر",Calc!$G233=""),"",Calc!$G233)</f>
        <v/>
      </c>
      <c r="B229" t="str">
        <f>IF($A229="","",LEFT(Calc!$E233,4)&amp;MID(Calc!$E233,6,2)&amp;RIGHT(Calc!$E233,2)&amp;Calc!$Q233&amp;"|"&amp;"1"&amp;RIGHT("00000"&amp;224,5))</f>
        <v/>
      </c>
      <c r="C229" t="str">
        <f t="shared" si="15"/>
        <v/>
      </c>
      <c r="D229" t="str">
        <f t="shared" si="16"/>
        <v/>
      </c>
      <c r="F229" t="str">
        <f>IF(Sync!$AH229="","",IF(LEFT(UPPER(TRIM(Sync!$AH229)),2)="SL",UPPER(TRIM(Sync!$AH229)),""))</f>
        <v/>
      </c>
      <c r="G229" t="str">
        <f>IF($F229="","",IF(Sync!$AE229="","",IF(ISNUMBER(Sync!$AE229),IF(AND(Sync!$AE229&gt;=10000101,Sync!$AE229&lt;=99991231),INT(Sync!$AE229/10000),""),IFERROR(VALUE(TRIM(LEFT(Sync!$AE229,FIND("/",Sync!$AE229)-1))),""))))</f>
        <v/>
      </c>
      <c r="H229" t="str">
        <f>IF(OR($F229="",$G229=""),"",IF(ISNUMBER(Sync!$AE229),INT(MOD(Sync!$AE229,10000)/100),IFERROR(VALUE(TRIM(LEFT(MID(Sync!$AE229,FIND("/",Sync!$AE229)+1,20),FIND("/",MID(Sync!$AE229,FIND("/",Sync!$AE229)+1,20))-1))),"")))</f>
        <v/>
      </c>
      <c r="I229" t="str">
        <f>IF(OR($F229="",$G229=""),"",IF(ISNUMBER(Sync!$AE229),MOD(Sync!$AE229,100),IFERROR(VALUE(TRIM(MID(MID(Sync!$AE229,FIND("/",Sync!$AE229)+1,20),FIND("/",MID(Sync!$AE229,FIND("/",Sync!$AE229)+1,20))+1,20))),"")))</f>
        <v/>
      </c>
      <c r="J229" t="str">
        <f t="shared" si="17"/>
        <v/>
      </c>
      <c r="K229" t="str">
        <f>IF(OR($F229="",$J229="",$J229="نامعتبر"),"",LEFT($J229,4)&amp;MID($J229,6,2)&amp;RIGHT($J229,2)&amp;$N229&amp;"|"&amp;"2"&amp;RIGHT("00000"&amp;224,5))</f>
        <v/>
      </c>
      <c r="L229" t="str">
        <f t="shared" si="18"/>
        <v/>
      </c>
      <c r="M229" t="str">
        <f t="shared" si="19"/>
        <v/>
      </c>
      <c r="N229" t="str">
        <f>IF($F229="","",IF(Sync!$AF229="","0000",IF(AND(ISNUMBER(Sync!$AF229),Sync!$AF229&gt;=0,Sync!$AF229&lt;1),RIGHT("00"&amp;HOUR(Sync!$AF229),2)&amp;RIGHT("00"&amp;MINUTE(Sync!$AF229),2),IFERROR(RIGHT("00"&amp;VALUE(LEFT(Sync!$AF229,FIND(":",Sync!$AF229)-1)),2)&amp;RIGHT("00"&amp;VALUE(MID(Sync!$AF229,FIND(":",Sync!$AF229)+1,2)),2),"0000"))))</f>
        <v/>
      </c>
    </row>
    <row r="230" spans="1:14" x14ac:dyDescent="0.2">
      <c r="A230" t="str">
        <f>IF(OR(Calc!$E234="",Calc!$E234="نامعتبر",Calc!$G234=""),"",Calc!$G234)</f>
        <v/>
      </c>
      <c r="B230" t="str">
        <f>IF($A230="","",LEFT(Calc!$E234,4)&amp;MID(Calc!$E234,6,2)&amp;RIGHT(Calc!$E234,2)&amp;Calc!$Q234&amp;"|"&amp;"1"&amp;RIGHT("00000"&amp;225,5))</f>
        <v/>
      </c>
      <c r="C230" t="str">
        <f t="shared" si="15"/>
        <v/>
      </c>
      <c r="D230" t="str">
        <f t="shared" si="16"/>
        <v/>
      </c>
      <c r="F230" t="str">
        <f>IF(Sync!$AH230="","",IF(LEFT(UPPER(TRIM(Sync!$AH230)),2)="SL",UPPER(TRIM(Sync!$AH230)),""))</f>
        <v/>
      </c>
      <c r="G230" t="str">
        <f>IF($F230="","",IF(Sync!$AE230="","",IF(ISNUMBER(Sync!$AE230),IF(AND(Sync!$AE230&gt;=10000101,Sync!$AE230&lt;=99991231),INT(Sync!$AE230/10000),""),IFERROR(VALUE(TRIM(LEFT(Sync!$AE230,FIND("/",Sync!$AE230)-1))),""))))</f>
        <v/>
      </c>
      <c r="H230" t="str">
        <f>IF(OR($F230="",$G230=""),"",IF(ISNUMBER(Sync!$AE230),INT(MOD(Sync!$AE230,10000)/100),IFERROR(VALUE(TRIM(LEFT(MID(Sync!$AE230,FIND("/",Sync!$AE230)+1,20),FIND("/",MID(Sync!$AE230,FIND("/",Sync!$AE230)+1,20))-1))),"")))</f>
        <v/>
      </c>
      <c r="I230" t="str">
        <f>IF(OR($F230="",$G230=""),"",IF(ISNUMBER(Sync!$AE230),MOD(Sync!$AE230,100),IFERROR(VALUE(TRIM(MID(MID(Sync!$AE230,FIND("/",Sync!$AE230)+1,20),FIND("/",MID(Sync!$AE230,FIND("/",Sync!$AE230)+1,20))+1,20))),"")))</f>
        <v/>
      </c>
      <c r="J230" t="str">
        <f t="shared" si="17"/>
        <v/>
      </c>
      <c r="K230" t="str">
        <f>IF(OR($F230="",$J230="",$J230="نامعتبر"),"",LEFT($J230,4)&amp;MID($J230,6,2)&amp;RIGHT($J230,2)&amp;$N230&amp;"|"&amp;"2"&amp;RIGHT("00000"&amp;225,5))</f>
        <v/>
      </c>
      <c r="L230" t="str">
        <f t="shared" si="18"/>
        <v/>
      </c>
      <c r="M230" t="str">
        <f t="shared" si="19"/>
        <v/>
      </c>
      <c r="N230" t="str">
        <f>IF($F230="","",IF(Sync!$AF230="","0000",IF(AND(ISNUMBER(Sync!$AF230),Sync!$AF230&gt;=0,Sync!$AF230&lt;1),RIGHT("00"&amp;HOUR(Sync!$AF230),2)&amp;RIGHT("00"&amp;MINUTE(Sync!$AF230),2),IFERROR(RIGHT("00"&amp;VALUE(LEFT(Sync!$AF230,FIND(":",Sync!$AF230)-1)),2)&amp;RIGHT("00"&amp;VALUE(MID(Sync!$AF230,FIND(":",Sync!$AF230)+1,2)),2),"0000"))))</f>
        <v/>
      </c>
    </row>
    <row r="231" spans="1:14" x14ac:dyDescent="0.2">
      <c r="A231" t="str">
        <f>IF(OR(Calc!$E235="",Calc!$E235="نامعتبر",Calc!$G235=""),"",Calc!$G235)</f>
        <v/>
      </c>
      <c r="B231" t="str">
        <f>IF($A231="","",LEFT(Calc!$E235,4)&amp;MID(Calc!$E235,6,2)&amp;RIGHT(Calc!$E235,2)&amp;Calc!$Q235&amp;"|"&amp;"1"&amp;RIGHT("00000"&amp;226,5))</f>
        <v/>
      </c>
      <c r="C231" t="str">
        <f t="shared" si="15"/>
        <v/>
      </c>
      <c r="D231" t="str">
        <f t="shared" si="16"/>
        <v/>
      </c>
      <c r="F231" t="str">
        <f>IF(Sync!$AH231="","",IF(LEFT(UPPER(TRIM(Sync!$AH231)),2)="SL",UPPER(TRIM(Sync!$AH231)),""))</f>
        <v/>
      </c>
      <c r="G231" t="str">
        <f>IF($F231="","",IF(Sync!$AE231="","",IF(ISNUMBER(Sync!$AE231),IF(AND(Sync!$AE231&gt;=10000101,Sync!$AE231&lt;=99991231),INT(Sync!$AE231/10000),""),IFERROR(VALUE(TRIM(LEFT(Sync!$AE231,FIND("/",Sync!$AE231)-1))),""))))</f>
        <v/>
      </c>
      <c r="H231" t="str">
        <f>IF(OR($F231="",$G231=""),"",IF(ISNUMBER(Sync!$AE231),INT(MOD(Sync!$AE231,10000)/100),IFERROR(VALUE(TRIM(LEFT(MID(Sync!$AE231,FIND("/",Sync!$AE231)+1,20),FIND("/",MID(Sync!$AE231,FIND("/",Sync!$AE231)+1,20))-1))),"")))</f>
        <v/>
      </c>
      <c r="I231" t="str">
        <f>IF(OR($F231="",$G231=""),"",IF(ISNUMBER(Sync!$AE231),MOD(Sync!$AE231,100),IFERROR(VALUE(TRIM(MID(MID(Sync!$AE231,FIND("/",Sync!$AE231)+1,20),FIND("/",MID(Sync!$AE231,FIND("/",Sync!$AE231)+1,20))+1,20))),"")))</f>
        <v/>
      </c>
      <c r="J231" t="str">
        <f t="shared" si="17"/>
        <v/>
      </c>
      <c r="K231" t="str">
        <f>IF(OR($F231="",$J231="",$J231="نامعتبر"),"",LEFT($J231,4)&amp;MID($J231,6,2)&amp;RIGHT($J231,2)&amp;$N231&amp;"|"&amp;"2"&amp;RIGHT("00000"&amp;226,5))</f>
        <v/>
      </c>
      <c r="L231" t="str">
        <f t="shared" si="18"/>
        <v/>
      </c>
      <c r="M231" t="str">
        <f t="shared" si="19"/>
        <v/>
      </c>
      <c r="N231" t="str">
        <f>IF($F231="","",IF(Sync!$AF231="","0000",IF(AND(ISNUMBER(Sync!$AF231),Sync!$AF231&gt;=0,Sync!$AF231&lt;1),RIGHT("00"&amp;HOUR(Sync!$AF231),2)&amp;RIGHT("00"&amp;MINUTE(Sync!$AF231),2),IFERROR(RIGHT("00"&amp;VALUE(LEFT(Sync!$AF231,FIND(":",Sync!$AF231)-1)),2)&amp;RIGHT("00"&amp;VALUE(MID(Sync!$AF231,FIND(":",Sync!$AF231)+1,2)),2),"0000"))))</f>
        <v/>
      </c>
    </row>
    <row r="232" spans="1:14" x14ac:dyDescent="0.2">
      <c r="A232" t="str">
        <f>IF(OR(Calc!$E236="",Calc!$E236="نامعتبر",Calc!$G236=""),"",Calc!$G236)</f>
        <v/>
      </c>
      <c r="B232" t="str">
        <f>IF($A232="","",LEFT(Calc!$E236,4)&amp;MID(Calc!$E236,6,2)&amp;RIGHT(Calc!$E236,2)&amp;Calc!$Q236&amp;"|"&amp;"1"&amp;RIGHT("00000"&amp;227,5))</f>
        <v/>
      </c>
      <c r="C232" t="str">
        <f t="shared" si="15"/>
        <v/>
      </c>
      <c r="D232" t="str">
        <f t="shared" si="16"/>
        <v/>
      </c>
      <c r="F232" t="str">
        <f>IF(Sync!$AH232="","",IF(LEFT(UPPER(TRIM(Sync!$AH232)),2)="SL",UPPER(TRIM(Sync!$AH232)),""))</f>
        <v/>
      </c>
      <c r="G232" t="str">
        <f>IF($F232="","",IF(Sync!$AE232="","",IF(ISNUMBER(Sync!$AE232),IF(AND(Sync!$AE232&gt;=10000101,Sync!$AE232&lt;=99991231),INT(Sync!$AE232/10000),""),IFERROR(VALUE(TRIM(LEFT(Sync!$AE232,FIND("/",Sync!$AE232)-1))),""))))</f>
        <v/>
      </c>
      <c r="H232" t="str">
        <f>IF(OR($F232="",$G232=""),"",IF(ISNUMBER(Sync!$AE232),INT(MOD(Sync!$AE232,10000)/100),IFERROR(VALUE(TRIM(LEFT(MID(Sync!$AE232,FIND("/",Sync!$AE232)+1,20),FIND("/",MID(Sync!$AE232,FIND("/",Sync!$AE232)+1,20))-1))),"")))</f>
        <v/>
      </c>
      <c r="I232" t="str">
        <f>IF(OR($F232="",$G232=""),"",IF(ISNUMBER(Sync!$AE232),MOD(Sync!$AE232,100),IFERROR(VALUE(TRIM(MID(MID(Sync!$AE232,FIND("/",Sync!$AE232)+1,20),FIND("/",MID(Sync!$AE232,FIND("/",Sync!$AE232)+1,20))+1,20))),"")))</f>
        <v/>
      </c>
      <c r="J232" t="str">
        <f t="shared" si="17"/>
        <v/>
      </c>
      <c r="K232" t="str">
        <f>IF(OR($F232="",$J232="",$J232="نامعتبر"),"",LEFT($J232,4)&amp;MID($J232,6,2)&amp;RIGHT($J232,2)&amp;$N232&amp;"|"&amp;"2"&amp;RIGHT("00000"&amp;227,5))</f>
        <v/>
      </c>
      <c r="L232" t="str">
        <f t="shared" si="18"/>
        <v/>
      </c>
      <c r="M232" t="str">
        <f t="shared" si="19"/>
        <v/>
      </c>
      <c r="N232" t="str">
        <f>IF($F232="","",IF(Sync!$AF232="","0000",IF(AND(ISNUMBER(Sync!$AF232),Sync!$AF232&gt;=0,Sync!$AF232&lt;1),RIGHT("00"&amp;HOUR(Sync!$AF232),2)&amp;RIGHT("00"&amp;MINUTE(Sync!$AF232),2),IFERROR(RIGHT("00"&amp;VALUE(LEFT(Sync!$AF232,FIND(":",Sync!$AF232)-1)),2)&amp;RIGHT("00"&amp;VALUE(MID(Sync!$AF232,FIND(":",Sync!$AF232)+1,2)),2),"0000"))))</f>
        <v/>
      </c>
    </row>
    <row r="233" spans="1:14" x14ac:dyDescent="0.2">
      <c r="A233" t="str">
        <f>IF(OR(Calc!$E237="",Calc!$E237="نامعتبر",Calc!$G237=""),"",Calc!$G237)</f>
        <v/>
      </c>
      <c r="B233" t="str">
        <f>IF($A233="","",LEFT(Calc!$E237,4)&amp;MID(Calc!$E237,6,2)&amp;RIGHT(Calc!$E237,2)&amp;Calc!$Q237&amp;"|"&amp;"1"&amp;RIGHT("00000"&amp;228,5))</f>
        <v/>
      </c>
      <c r="C233" t="str">
        <f t="shared" si="15"/>
        <v/>
      </c>
      <c r="D233" t="str">
        <f t="shared" si="16"/>
        <v/>
      </c>
      <c r="F233" t="str">
        <f>IF(Sync!$AH233="","",IF(LEFT(UPPER(TRIM(Sync!$AH233)),2)="SL",UPPER(TRIM(Sync!$AH233)),""))</f>
        <v/>
      </c>
      <c r="G233" t="str">
        <f>IF($F233="","",IF(Sync!$AE233="","",IF(ISNUMBER(Sync!$AE233),IF(AND(Sync!$AE233&gt;=10000101,Sync!$AE233&lt;=99991231),INT(Sync!$AE233/10000),""),IFERROR(VALUE(TRIM(LEFT(Sync!$AE233,FIND("/",Sync!$AE233)-1))),""))))</f>
        <v/>
      </c>
      <c r="H233" t="str">
        <f>IF(OR($F233="",$G233=""),"",IF(ISNUMBER(Sync!$AE233),INT(MOD(Sync!$AE233,10000)/100),IFERROR(VALUE(TRIM(LEFT(MID(Sync!$AE233,FIND("/",Sync!$AE233)+1,20),FIND("/",MID(Sync!$AE233,FIND("/",Sync!$AE233)+1,20))-1))),"")))</f>
        <v/>
      </c>
      <c r="I233" t="str">
        <f>IF(OR($F233="",$G233=""),"",IF(ISNUMBER(Sync!$AE233),MOD(Sync!$AE233,100),IFERROR(VALUE(TRIM(MID(MID(Sync!$AE233,FIND("/",Sync!$AE233)+1,20),FIND("/",MID(Sync!$AE233,FIND("/",Sync!$AE233)+1,20))+1,20))),"")))</f>
        <v/>
      </c>
      <c r="J233" t="str">
        <f t="shared" si="17"/>
        <v/>
      </c>
      <c r="K233" t="str">
        <f>IF(OR($F233="",$J233="",$J233="نامعتبر"),"",LEFT($J233,4)&amp;MID($J233,6,2)&amp;RIGHT($J233,2)&amp;$N233&amp;"|"&amp;"2"&amp;RIGHT("00000"&amp;228,5))</f>
        <v/>
      </c>
      <c r="L233" t="str">
        <f t="shared" si="18"/>
        <v/>
      </c>
      <c r="M233" t="str">
        <f t="shared" si="19"/>
        <v/>
      </c>
      <c r="N233" t="str">
        <f>IF($F233="","",IF(Sync!$AF233="","0000",IF(AND(ISNUMBER(Sync!$AF233),Sync!$AF233&gt;=0,Sync!$AF233&lt;1),RIGHT("00"&amp;HOUR(Sync!$AF233),2)&amp;RIGHT("00"&amp;MINUTE(Sync!$AF233),2),IFERROR(RIGHT("00"&amp;VALUE(LEFT(Sync!$AF233,FIND(":",Sync!$AF233)-1)),2)&amp;RIGHT("00"&amp;VALUE(MID(Sync!$AF233,FIND(":",Sync!$AF233)+1,2)),2),"0000"))))</f>
        <v/>
      </c>
    </row>
    <row r="234" spans="1:14" x14ac:dyDescent="0.2">
      <c r="A234" t="str">
        <f>IF(OR(Calc!$E238="",Calc!$E238="نامعتبر",Calc!$G238=""),"",Calc!$G238)</f>
        <v/>
      </c>
      <c r="B234" t="str">
        <f>IF($A234="","",LEFT(Calc!$E238,4)&amp;MID(Calc!$E238,6,2)&amp;RIGHT(Calc!$E238,2)&amp;Calc!$Q238&amp;"|"&amp;"1"&amp;RIGHT("00000"&amp;229,5))</f>
        <v/>
      </c>
      <c r="C234" t="str">
        <f t="shared" si="15"/>
        <v/>
      </c>
      <c r="D234" t="str">
        <f t="shared" si="16"/>
        <v/>
      </c>
      <c r="F234" t="str">
        <f>IF(Sync!$AH234="","",IF(LEFT(UPPER(TRIM(Sync!$AH234)),2)="SL",UPPER(TRIM(Sync!$AH234)),""))</f>
        <v/>
      </c>
      <c r="G234" t="str">
        <f>IF($F234="","",IF(Sync!$AE234="","",IF(ISNUMBER(Sync!$AE234),IF(AND(Sync!$AE234&gt;=10000101,Sync!$AE234&lt;=99991231),INT(Sync!$AE234/10000),""),IFERROR(VALUE(TRIM(LEFT(Sync!$AE234,FIND("/",Sync!$AE234)-1))),""))))</f>
        <v/>
      </c>
      <c r="H234" t="str">
        <f>IF(OR($F234="",$G234=""),"",IF(ISNUMBER(Sync!$AE234),INT(MOD(Sync!$AE234,10000)/100),IFERROR(VALUE(TRIM(LEFT(MID(Sync!$AE234,FIND("/",Sync!$AE234)+1,20),FIND("/",MID(Sync!$AE234,FIND("/",Sync!$AE234)+1,20))-1))),"")))</f>
        <v/>
      </c>
      <c r="I234" t="str">
        <f>IF(OR($F234="",$G234=""),"",IF(ISNUMBER(Sync!$AE234),MOD(Sync!$AE234,100),IFERROR(VALUE(TRIM(MID(MID(Sync!$AE234,FIND("/",Sync!$AE234)+1,20),FIND("/",MID(Sync!$AE234,FIND("/",Sync!$AE234)+1,20))+1,20))),"")))</f>
        <v/>
      </c>
      <c r="J234" t="str">
        <f t="shared" si="17"/>
        <v/>
      </c>
      <c r="K234" t="str">
        <f>IF(OR($F234="",$J234="",$J234="نامعتبر"),"",LEFT($J234,4)&amp;MID($J234,6,2)&amp;RIGHT($J234,2)&amp;$N234&amp;"|"&amp;"2"&amp;RIGHT("00000"&amp;229,5))</f>
        <v/>
      </c>
      <c r="L234" t="str">
        <f t="shared" si="18"/>
        <v/>
      </c>
      <c r="M234" t="str">
        <f t="shared" si="19"/>
        <v/>
      </c>
      <c r="N234" t="str">
        <f>IF($F234="","",IF(Sync!$AF234="","0000",IF(AND(ISNUMBER(Sync!$AF234),Sync!$AF234&gt;=0,Sync!$AF234&lt;1),RIGHT("00"&amp;HOUR(Sync!$AF234),2)&amp;RIGHT("00"&amp;MINUTE(Sync!$AF234),2),IFERROR(RIGHT("00"&amp;VALUE(LEFT(Sync!$AF234,FIND(":",Sync!$AF234)-1)),2)&amp;RIGHT("00"&amp;VALUE(MID(Sync!$AF234,FIND(":",Sync!$AF234)+1,2)),2),"0000"))))</f>
        <v/>
      </c>
    </row>
    <row r="235" spans="1:14" x14ac:dyDescent="0.2">
      <c r="A235" t="str">
        <f>IF(OR(Calc!$E239="",Calc!$E239="نامعتبر",Calc!$G239=""),"",Calc!$G239)</f>
        <v/>
      </c>
      <c r="B235" t="str">
        <f>IF($A235="","",LEFT(Calc!$E239,4)&amp;MID(Calc!$E239,6,2)&amp;RIGHT(Calc!$E239,2)&amp;Calc!$Q239&amp;"|"&amp;"1"&amp;RIGHT("00000"&amp;230,5))</f>
        <v/>
      </c>
      <c r="C235" t="str">
        <f t="shared" si="15"/>
        <v/>
      </c>
      <c r="D235" t="str">
        <f t="shared" si="16"/>
        <v/>
      </c>
      <c r="F235" t="str">
        <f>IF(Sync!$AH235="","",IF(LEFT(UPPER(TRIM(Sync!$AH235)),2)="SL",UPPER(TRIM(Sync!$AH235)),""))</f>
        <v/>
      </c>
      <c r="G235" t="str">
        <f>IF($F235="","",IF(Sync!$AE235="","",IF(ISNUMBER(Sync!$AE235),IF(AND(Sync!$AE235&gt;=10000101,Sync!$AE235&lt;=99991231),INT(Sync!$AE235/10000),""),IFERROR(VALUE(TRIM(LEFT(Sync!$AE235,FIND("/",Sync!$AE235)-1))),""))))</f>
        <v/>
      </c>
      <c r="H235" t="str">
        <f>IF(OR($F235="",$G235=""),"",IF(ISNUMBER(Sync!$AE235),INT(MOD(Sync!$AE235,10000)/100),IFERROR(VALUE(TRIM(LEFT(MID(Sync!$AE235,FIND("/",Sync!$AE235)+1,20),FIND("/",MID(Sync!$AE235,FIND("/",Sync!$AE235)+1,20))-1))),"")))</f>
        <v/>
      </c>
      <c r="I235" t="str">
        <f>IF(OR($F235="",$G235=""),"",IF(ISNUMBER(Sync!$AE235),MOD(Sync!$AE235,100),IFERROR(VALUE(TRIM(MID(MID(Sync!$AE235,FIND("/",Sync!$AE235)+1,20),FIND("/",MID(Sync!$AE235,FIND("/",Sync!$AE235)+1,20))+1,20))),"")))</f>
        <v/>
      </c>
      <c r="J235" t="str">
        <f t="shared" si="17"/>
        <v/>
      </c>
      <c r="K235" t="str">
        <f>IF(OR($F235="",$J235="",$J235="نامعتبر"),"",LEFT($J235,4)&amp;MID($J235,6,2)&amp;RIGHT($J235,2)&amp;$N235&amp;"|"&amp;"2"&amp;RIGHT("00000"&amp;230,5))</f>
        <v/>
      </c>
      <c r="L235" t="str">
        <f t="shared" si="18"/>
        <v/>
      </c>
      <c r="M235" t="str">
        <f t="shared" si="19"/>
        <v/>
      </c>
      <c r="N235" t="str">
        <f>IF($F235="","",IF(Sync!$AF235="","0000",IF(AND(ISNUMBER(Sync!$AF235),Sync!$AF235&gt;=0,Sync!$AF235&lt;1),RIGHT("00"&amp;HOUR(Sync!$AF235),2)&amp;RIGHT("00"&amp;MINUTE(Sync!$AF235),2),IFERROR(RIGHT("00"&amp;VALUE(LEFT(Sync!$AF235,FIND(":",Sync!$AF235)-1)),2)&amp;RIGHT("00"&amp;VALUE(MID(Sync!$AF235,FIND(":",Sync!$AF235)+1,2)),2),"0000"))))</f>
        <v/>
      </c>
    </row>
    <row r="236" spans="1:14" x14ac:dyDescent="0.2">
      <c r="A236" t="str">
        <f>IF(OR(Calc!$E240="",Calc!$E240="نامعتبر",Calc!$G240=""),"",Calc!$G240)</f>
        <v/>
      </c>
      <c r="B236" t="str">
        <f>IF($A236="","",LEFT(Calc!$E240,4)&amp;MID(Calc!$E240,6,2)&amp;RIGHT(Calc!$E240,2)&amp;Calc!$Q240&amp;"|"&amp;"1"&amp;RIGHT("00000"&amp;231,5))</f>
        <v/>
      </c>
      <c r="C236" t="str">
        <f t="shared" si="15"/>
        <v/>
      </c>
      <c r="D236" t="str">
        <f t="shared" si="16"/>
        <v/>
      </c>
      <c r="F236" t="str">
        <f>IF(Sync!$AH236="","",IF(LEFT(UPPER(TRIM(Sync!$AH236)),2)="SL",UPPER(TRIM(Sync!$AH236)),""))</f>
        <v/>
      </c>
      <c r="G236" t="str">
        <f>IF($F236="","",IF(Sync!$AE236="","",IF(ISNUMBER(Sync!$AE236),IF(AND(Sync!$AE236&gt;=10000101,Sync!$AE236&lt;=99991231),INT(Sync!$AE236/10000),""),IFERROR(VALUE(TRIM(LEFT(Sync!$AE236,FIND("/",Sync!$AE236)-1))),""))))</f>
        <v/>
      </c>
      <c r="H236" t="str">
        <f>IF(OR($F236="",$G236=""),"",IF(ISNUMBER(Sync!$AE236),INT(MOD(Sync!$AE236,10000)/100),IFERROR(VALUE(TRIM(LEFT(MID(Sync!$AE236,FIND("/",Sync!$AE236)+1,20),FIND("/",MID(Sync!$AE236,FIND("/",Sync!$AE236)+1,20))-1))),"")))</f>
        <v/>
      </c>
      <c r="I236" t="str">
        <f>IF(OR($F236="",$G236=""),"",IF(ISNUMBER(Sync!$AE236),MOD(Sync!$AE236,100),IFERROR(VALUE(TRIM(MID(MID(Sync!$AE236,FIND("/",Sync!$AE236)+1,20),FIND("/",MID(Sync!$AE236,FIND("/",Sync!$AE236)+1,20))+1,20))),"")))</f>
        <v/>
      </c>
      <c r="J236" t="str">
        <f t="shared" si="17"/>
        <v/>
      </c>
      <c r="K236" t="str">
        <f>IF(OR($F236="",$J236="",$J236="نامعتبر"),"",LEFT($J236,4)&amp;MID($J236,6,2)&amp;RIGHT($J236,2)&amp;$N236&amp;"|"&amp;"2"&amp;RIGHT("00000"&amp;231,5))</f>
        <v/>
      </c>
      <c r="L236" t="str">
        <f t="shared" si="18"/>
        <v/>
      </c>
      <c r="M236" t="str">
        <f t="shared" si="19"/>
        <v/>
      </c>
      <c r="N236" t="str">
        <f>IF($F236="","",IF(Sync!$AF236="","0000",IF(AND(ISNUMBER(Sync!$AF236),Sync!$AF236&gt;=0,Sync!$AF236&lt;1),RIGHT("00"&amp;HOUR(Sync!$AF236),2)&amp;RIGHT("00"&amp;MINUTE(Sync!$AF236),2),IFERROR(RIGHT("00"&amp;VALUE(LEFT(Sync!$AF236,FIND(":",Sync!$AF236)-1)),2)&amp;RIGHT("00"&amp;VALUE(MID(Sync!$AF236,FIND(":",Sync!$AF236)+1,2)),2),"0000"))))</f>
        <v/>
      </c>
    </row>
    <row r="237" spans="1:14" x14ac:dyDescent="0.2">
      <c r="A237" t="str">
        <f>IF(OR(Calc!$E241="",Calc!$E241="نامعتبر",Calc!$G241=""),"",Calc!$G241)</f>
        <v/>
      </c>
      <c r="B237" t="str">
        <f>IF($A237="","",LEFT(Calc!$E241,4)&amp;MID(Calc!$E241,6,2)&amp;RIGHT(Calc!$E241,2)&amp;Calc!$Q241&amp;"|"&amp;"1"&amp;RIGHT("00000"&amp;232,5))</f>
        <v/>
      </c>
      <c r="C237" t="str">
        <f t="shared" si="15"/>
        <v/>
      </c>
      <c r="D237" t="str">
        <f t="shared" si="16"/>
        <v/>
      </c>
      <c r="F237" t="str">
        <f>IF(Sync!$AH237="","",IF(LEFT(UPPER(TRIM(Sync!$AH237)),2)="SL",UPPER(TRIM(Sync!$AH237)),""))</f>
        <v/>
      </c>
      <c r="G237" t="str">
        <f>IF($F237="","",IF(Sync!$AE237="","",IF(ISNUMBER(Sync!$AE237),IF(AND(Sync!$AE237&gt;=10000101,Sync!$AE237&lt;=99991231),INT(Sync!$AE237/10000),""),IFERROR(VALUE(TRIM(LEFT(Sync!$AE237,FIND("/",Sync!$AE237)-1))),""))))</f>
        <v/>
      </c>
      <c r="H237" t="str">
        <f>IF(OR($F237="",$G237=""),"",IF(ISNUMBER(Sync!$AE237),INT(MOD(Sync!$AE237,10000)/100),IFERROR(VALUE(TRIM(LEFT(MID(Sync!$AE237,FIND("/",Sync!$AE237)+1,20),FIND("/",MID(Sync!$AE237,FIND("/",Sync!$AE237)+1,20))-1))),"")))</f>
        <v/>
      </c>
      <c r="I237" t="str">
        <f>IF(OR($F237="",$G237=""),"",IF(ISNUMBER(Sync!$AE237),MOD(Sync!$AE237,100),IFERROR(VALUE(TRIM(MID(MID(Sync!$AE237,FIND("/",Sync!$AE237)+1,20),FIND("/",MID(Sync!$AE237,FIND("/",Sync!$AE237)+1,20))+1,20))),"")))</f>
        <v/>
      </c>
      <c r="J237" t="str">
        <f t="shared" si="17"/>
        <v/>
      </c>
      <c r="K237" t="str">
        <f>IF(OR($F237="",$J237="",$J237="نامعتبر"),"",LEFT($J237,4)&amp;MID($J237,6,2)&amp;RIGHT($J237,2)&amp;$N237&amp;"|"&amp;"2"&amp;RIGHT("00000"&amp;232,5))</f>
        <v/>
      </c>
      <c r="L237" t="str">
        <f t="shared" si="18"/>
        <v/>
      </c>
      <c r="M237" t="str">
        <f t="shared" si="19"/>
        <v/>
      </c>
      <c r="N237" t="str">
        <f>IF($F237="","",IF(Sync!$AF237="","0000",IF(AND(ISNUMBER(Sync!$AF237),Sync!$AF237&gt;=0,Sync!$AF237&lt;1),RIGHT("00"&amp;HOUR(Sync!$AF237),2)&amp;RIGHT("00"&amp;MINUTE(Sync!$AF237),2),IFERROR(RIGHT("00"&amp;VALUE(LEFT(Sync!$AF237,FIND(":",Sync!$AF237)-1)),2)&amp;RIGHT("00"&amp;VALUE(MID(Sync!$AF237,FIND(":",Sync!$AF237)+1,2)),2),"0000"))))</f>
        <v/>
      </c>
    </row>
    <row r="238" spans="1:14" x14ac:dyDescent="0.2">
      <c r="A238" t="str">
        <f>IF(OR(Calc!$E242="",Calc!$E242="نامعتبر",Calc!$G242=""),"",Calc!$G242)</f>
        <v/>
      </c>
      <c r="B238" t="str">
        <f>IF($A238="","",LEFT(Calc!$E242,4)&amp;MID(Calc!$E242,6,2)&amp;RIGHT(Calc!$E242,2)&amp;Calc!$Q242&amp;"|"&amp;"1"&amp;RIGHT("00000"&amp;233,5))</f>
        <v/>
      </c>
      <c r="C238" t="str">
        <f t="shared" si="15"/>
        <v/>
      </c>
      <c r="D238" t="str">
        <f t="shared" si="16"/>
        <v/>
      </c>
      <c r="F238" t="str">
        <f>IF(Sync!$AH238="","",IF(LEFT(UPPER(TRIM(Sync!$AH238)),2)="SL",UPPER(TRIM(Sync!$AH238)),""))</f>
        <v/>
      </c>
      <c r="G238" t="str">
        <f>IF($F238="","",IF(Sync!$AE238="","",IF(ISNUMBER(Sync!$AE238),IF(AND(Sync!$AE238&gt;=10000101,Sync!$AE238&lt;=99991231),INT(Sync!$AE238/10000),""),IFERROR(VALUE(TRIM(LEFT(Sync!$AE238,FIND("/",Sync!$AE238)-1))),""))))</f>
        <v/>
      </c>
      <c r="H238" t="str">
        <f>IF(OR($F238="",$G238=""),"",IF(ISNUMBER(Sync!$AE238),INT(MOD(Sync!$AE238,10000)/100),IFERROR(VALUE(TRIM(LEFT(MID(Sync!$AE238,FIND("/",Sync!$AE238)+1,20),FIND("/",MID(Sync!$AE238,FIND("/",Sync!$AE238)+1,20))-1))),"")))</f>
        <v/>
      </c>
      <c r="I238" t="str">
        <f>IF(OR($F238="",$G238=""),"",IF(ISNUMBER(Sync!$AE238),MOD(Sync!$AE238,100),IFERROR(VALUE(TRIM(MID(MID(Sync!$AE238,FIND("/",Sync!$AE238)+1,20),FIND("/",MID(Sync!$AE238,FIND("/",Sync!$AE238)+1,20))+1,20))),"")))</f>
        <v/>
      </c>
      <c r="J238" t="str">
        <f t="shared" si="17"/>
        <v/>
      </c>
      <c r="K238" t="str">
        <f>IF(OR($F238="",$J238="",$J238="نامعتبر"),"",LEFT($J238,4)&amp;MID($J238,6,2)&amp;RIGHT($J238,2)&amp;$N238&amp;"|"&amp;"2"&amp;RIGHT("00000"&amp;233,5))</f>
        <v/>
      </c>
      <c r="L238" t="str">
        <f t="shared" si="18"/>
        <v/>
      </c>
      <c r="M238" t="str">
        <f t="shared" si="19"/>
        <v/>
      </c>
      <c r="N238" t="str">
        <f>IF($F238="","",IF(Sync!$AF238="","0000",IF(AND(ISNUMBER(Sync!$AF238),Sync!$AF238&gt;=0,Sync!$AF238&lt;1),RIGHT("00"&amp;HOUR(Sync!$AF238),2)&amp;RIGHT("00"&amp;MINUTE(Sync!$AF238),2),IFERROR(RIGHT("00"&amp;VALUE(LEFT(Sync!$AF238,FIND(":",Sync!$AF238)-1)),2)&amp;RIGHT("00"&amp;VALUE(MID(Sync!$AF238,FIND(":",Sync!$AF238)+1,2)),2),"0000"))))</f>
        <v/>
      </c>
    </row>
    <row r="239" spans="1:14" x14ac:dyDescent="0.2">
      <c r="A239" t="str">
        <f>IF(OR(Calc!$E243="",Calc!$E243="نامعتبر",Calc!$G243=""),"",Calc!$G243)</f>
        <v/>
      </c>
      <c r="B239" t="str">
        <f>IF($A239="","",LEFT(Calc!$E243,4)&amp;MID(Calc!$E243,6,2)&amp;RIGHT(Calc!$E243,2)&amp;Calc!$Q243&amp;"|"&amp;"1"&amp;RIGHT("00000"&amp;234,5))</f>
        <v/>
      </c>
      <c r="C239" t="str">
        <f t="shared" si="15"/>
        <v/>
      </c>
      <c r="D239" t="str">
        <f t="shared" si="16"/>
        <v/>
      </c>
      <c r="F239" t="str">
        <f>IF(Sync!$AH239="","",IF(LEFT(UPPER(TRIM(Sync!$AH239)),2)="SL",UPPER(TRIM(Sync!$AH239)),""))</f>
        <v/>
      </c>
      <c r="G239" t="str">
        <f>IF($F239="","",IF(Sync!$AE239="","",IF(ISNUMBER(Sync!$AE239),IF(AND(Sync!$AE239&gt;=10000101,Sync!$AE239&lt;=99991231),INT(Sync!$AE239/10000),""),IFERROR(VALUE(TRIM(LEFT(Sync!$AE239,FIND("/",Sync!$AE239)-1))),""))))</f>
        <v/>
      </c>
      <c r="H239" t="str">
        <f>IF(OR($F239="",$G239=""),"",IF(ISNUMBER(Sync!$AE239),INT(MOD(Sync!$AE239,10000)/100),IFERROR(VALUE(TRIM(LEFT(MID(Sync!$AE239,FIND("/",Sync!$AE239)+1,20),FIND("/",MID(Sync!$AE239,FIND("/",Sync!$AE239)+1,20))-1))),"")))</f>
        <v/>
      </c>
      <c r="I239" t="str">
        <f>IF(OR($F239="",$G239=""),"",IF(ISNUMBER(Sync!$AE239),MOD(Sync!$AE239,100),IFERROR(VALUE(TRIM(MID(MID(Sync!$AE239,FIND("/",Sync!$AE239)+1,20),FIND("/",MID(Sync!$AE239,FIND("/",Sync!$AE239)+1,20))+1,20))),"")))</f>
        <v/>
      </c>
      <c r="J239" t="str">
        <f t="shared" si="17"/>
        <v/>
      </c>
      <c r="K239" t="str">
        <f>IF(OR($F239="",$J239="",$J239="نامعتبر"),"",LEFT($J239,4)&amp;MID($J239,6,2)&amp;RIGHT($J239,2)&amp;$N239&amp;"|"&amp;"2"&amp;RIGHT("00000"&amp;234,5))</f>
        <v/>
      </c>
      <c r="L239" t="str">
        <f t="shared" si="18"/>
        <v/>
      </c>
      <c r="M239" t="str">
        <f t="shared" si="19"/>
        <v/>
      </c>
      <c r="N239" t="str">
        <f>IF($F239="","",IF(Sync!$AF239="","0000",IF(AND(ISNUMBER(Sync!$AF239),Sync!$AF239&gt;=0,Sync!$AF239&lt;1),RIGHT("00"&amp;HOUR(Sync!$AF239),2)&amp;RIGHT("00"&amp;MINUTE(Sync!$AF239),2),IFERROR(RIGHT("00"&amp;VALUE(LEFT(Sync!$AF239,FIND(":",Sync!$AF239)-1)),2)&amp;RIGHT("00"&amp;VALUE(MID(Sync!$AF239,FIND(":",Sync!$AF239)+1,2)),2),"0000"))))</f>
        <v/>
      </c>
    </row>
    <row r="240" spans="1:14" x14ac:dyDescent="0.2">
      <c r="A240" t="str">
        <f>IF(OR(Calc!$E244="",Calc!$E244="نامعتبر",Calc!$G244=""),"",Calc!$G244)</f>
        <v/>
      </c>
      <c r="B240" t="str">
        <f>IF($A240="","",LEFT(Calc!$E244,4)&amp;MID(Calc!$E244,6,2)&amp;RIGHT(Calc!$E244,2)&amp;Calc!$Q244&amp;"|"&amp;"1"&amp;RIGHT("00000"&amp;235,5))</f>
        <v/>
      </c>
      <c r="C240" t="str">
        <f t="shared" si="15"/>
        <v/>
      </c>
      <c r="D240" t="str">
        <f t="shared" si="16"/>
        <v/>
      </c>
      <c r="F240" t="str">
        <f>IF(Sync!$AH240="","",IF(LEFT(UPPER(TRIM(Sync!$AH240)),2)="SL",UPPER(TRIM(Sync!$AH240)),""))</f>
        <v/>
      </c>
      <c r="G240" t="str">
        <f>IF($F240="","",IF(Sync!$AE240="","",IF(ISNUMBER(Sync!$AE240),IF(AND(Sync!$AE240&gt;=10000101,Sync!$AE240&lt;=99991231),INT(Sync!$AE240/10000),""),IFERROR(VALUE(TRIM(LEFT(Sync!$AE240,FIND("/",Sync!$AE240)-1))),""))))</f>
        <v/>
      </c>
      <c r="H240" t="str">
        <f>IF(OR($F240="",$G240=""),"",IF(ISNUMBER(Sync!$AE240),INT(MOD(Sync!$AE240,10000)/100),IFERROR(VALUE(TRIM(LEFT(MID(Sync!$AE240,FIND("/",Sync!$AE240)+1,20),FIND("/",MID(Sync!$AE240,FIND("/",Sync!$AE240)+1,20))-1))),"")))</f>
        <v/>
      </c>
      <c r="I240" t="str">
        <f>IF(OR($F240="",$G240=""),"",IF(ISNUMBER(Sync!$AE240),MOD(Sync!$AE240,100),IFERROR(VALUE(TRIM(MID(MID(Sync!$AE240,FIND("/",Sync!$AE240)+1,20),FIND("/",MID(Sync!$AE240,FIND("/",Sync!$AE240)+1,20))+1,20))),"")))</f>
        <v/>
      </c>
      <c r="J240" t="str">
        <f t="shared" si="17"/>
        <v/>
      </c>
      <c r="K240" t="str">
        <f>IF(OR($F240="",$J240="",$J240="نامعتبر"),"",LEFT($J240,4)&amp;MID($J240,6,2)&amp;RIGHT($J240,2)&amp;$N240&amp;"|"&amp;"2"&amp;RIGHT("00000"&amp;235,5))</f>
        <v/>
      </c>
      <c r="L240" t="str">
        <f t="shared" si="18"/>
        <v/>
      </c>
      <c r="M240" t="str">
        <f t="shared" si="19"/>
        <v/>
      </c>
      <c r="N240" t="str">
        <f>IF($F240="","",IF(Sync!$AF240="","0000",IF(AND(ISNUMBER(Sync!$AF240),Sync!$AF240&gt;=0,Sync!$AF240&lt;1),RIGHT("00"&amp;HOUR(Sync!$AF240),2)&amp;RIGHT("00"&amp;MINUTE(Sync!$AF240),2),IFERROR(RIGHT("00"&amp;VALUE(LEFT(Sync!$AF240,FIND(":",Sync!$AF240)-1)),2)&amp;RIGHT("00"&amp;VALUE(MID(Sync!$AF240,FIND(":",Sync!$AF240)+1,2)),2),"0000"))))</f>
        <v/>
      </c>
    </row>
    <row r="241" spans="1:14" x14ac:dyDescent="0.2">
      <c r="A241" t="str">
        <f>IF(OR(Calc!$E245="",Calc!$E245="نامعتبر",Calc!$G245=""),"",Calc!$G245)</f>
        <v/>
      </c>
      <c r="B241" t="str">
        <f>IF($A241="","",LEFT(Calc!$E245,4)&amp;MID(Calc!$E245,6,2)&amp;RIGHT(Calc!$E245,2)&amp;Calc!$Q245&amp;"|"&amp;"1"&amp;RIGHT("00000"&amp;236,5))</f>
        <v/>
      </c>
      <c r="C241" t="str">
        <f t="shared" si="15"/>
        <v/>
      </c>
      <c r="D241" t="str">
        <f t="shared" si="16"/>
        <v/>
      </c>
      <c r="F241" t="str">
        <f>IF(Sync!$AH241="","",IF(LEFT(UPPER(TRIM(Sync!$AH241)),2)="SL",UPPER(TRIM(Sync!$AH241)),""))</f>
        <v/>
      </c>
      <c r="G241" t="str">
        <f>IF($F241="","",IF(Sync!$AE241="","",IF(ISNUMBER(Sync!$AE241),IF(AND(Sync!$AE241&gt;=10000101,Sync!$AE241&lt;=99991231),INT(Sync!$AE241/10000),""),IFERROR(VALUE(TRIM(LEFT(Sync!$AE241,FIND("/",Sync!$AE241)-1))),""))))</f>
        <v/>
      </c>
      <c r="H241" t="str">
        <f>IF(OR($F241="",$G241=""),"",IF(ISNUMBER(Sync!$AE241),INT(MOD(Sync!$AE241,10000)/100),IFERROR(VALUE(TRIM(LEFT(MID(Sync!$AE241,FIND("/",Sync!$AE241)+1,20),FIND("/",MID(Sync!$AE241,FIND("/",Sync!$AE241)+1,20))-1))),"")))</f>
        <v/>
      </c>
      <c r="I241" t="str">
        <f>IF(OR($F241="",$G241=""),"",IF(ISNUMBER(Sync!$AE241),MOD(Sync!$AE241,100),IFERROR(VALUE(TRIM(MID(MID(Sync!$AE241,FIND("/",Sync!$AE241)+1,20),FIND("/",MID(Sync!$AE241,FIND("/",Sync!$AE241)+1,20))+1,20))),"")))</f>
        <v/>
      </c>
      <c r="J241" t="str">
        <f t="shared" si="17"/>
        <v/>
      </c>
      <c r="K241" t="str">
        <f>IF(OR($F241="",$J241="",$J241="نامعتبر"),"",LEFT($J241,4)&amp;MID($J241,6,2)&amp;RIGHT($J241,2)&amp;$N241&amp;"|"&amp;"2"&amp;RIGHT("00000"&amp;236,5))</f>
        <v/>
      </c>
      <c r="L241" t="str">
        <f t="shared" si="18"/>
        <v/>
      </c>
      <c r="M241" t="str">
        <f t="shared" si="19"/>
        <v/>
      </c>
      <c r="N241" t="str">
        <f>IF($F241="","",IF(Sync!$AF241="","0000",IF(AND(ISNUMBER(Sync!$AF241),Sync!$AF241&gt;=0,Sync!$AF241&lt;1),RIGHT("00"&amp;HOUR(Sync!$AF241),2)&amp;RIGHT("00"&amp;MINUTE(Sync!$AF241),2),IFERROR(RIGHT("00"&amp;VALUE(LEFT(Sync!$AF241,FIND(":",Sync!$AF241)-1)),2)&amp;RIGHT("00"&amp;VALUE(MID(Sync!$AF241,FIND(":",Sync!$AF241)+1,2)),2),"0000"))))</f>
        <v/>
      </c>
    </row>
    <row r="242" spans="1:14" x14ac:dyDescent="0.2">
      <c r="A242" t="str">
        <f>IF(OR(Calc!$E246="",Calc!$E246="نامعتبر",Calc!$G246=""),"",Calc!$G246)</f>
        <v/>
      </c>
      <c r="B242" t="str">
        <f>IF($A242="","",LEFT(Calc!$E246,4)&amp;MID(Calc!$E246,6,2)&amp;RIGHT(Calc!$E246,2)&amp;Calc!$Q246&amp;"|"&amp;"1"&amp;RIGHT("00000"&amp;237,5))</f>
        <v/>
      </c>
      <c r="C242" t="str">
        <f t="shared" si="15"/>
        <v/>
      </c>
      <c r="D242" t="str">
        <f t="shared" si="16"/>
        <v/>
      </c>
      <c r="F242" t="str">
        <f>IF(Sync!$AH242="","",IF(LEFT(UPPER(TRIM(Sync!$AH242)),2)="SL",UPPER(TRIM(Sync!$AH242)),""))</f>
        <v/>
      </c>
      <c r="G242" t="str">
        <f>IF($F242="","",IF(Sync!$AE242="","",IF(ISNUMBER(Sync!$AE242),IF(AND(Sync!$AE242&gt;=10000101,Sync!$AE242&lt;=99991231),INT(Sync!$AE242/10000),""),IFERROR(VALUE(TRIM(LEFT(Sync!$AE242,FIND("/",Sync!$AE242)-1))),""))))</f>
        <v/>
      </c>
      <c r="H242" t="str">
        <f>IF(OR($F242="",$G242=""),"",IF(ISNUMBER(Sync!$AE242),INT(MOD(Sync!$AE242,10000)/100),IFERROR(VALUE(TRIM(LEFT(MID(Sync!$AE242,FIND("/",Sync!$AE242)+1,20),FIND("/",MID(Sync!$AE242,FIND("/",Sync!$AE242)+1,20))-1))),"")))</f>
        <v/>
      </c>
      <c r="I242" t="str">
        <f>IF(OR($F242="",$G242=""),"",IF(ISNUMBER(Sync!$AE242),MOD(Sync!$AE242,100),IFERROR(VALUE(TRIM(MID(MID(Sync!$AE242,FIND("/",Sync!$AE242)+1,20),FIND("/",MID(Sync!$AE242,FIND("/",Sync!$AE242)+1,20))+1,20))),"")))</f>
        <v/>
      </c>
      <c r="J242" t="str">
        <f t="shared" si="17"/>
        <v/>
      </c>
      <c r="K242" t="str">
        <f>IF(OR($F242="",$J242="",$J242="نامعتبر"),"",LEFT($J242,4)&amp;MID($J242,6,2)&amp;RIGHT($J242,2)&amp;$N242&amp;"|"&amp;"2"&amp;RIGHT("00000"&amp;237,5))</f>
        <v/>
      </c>
      <c r="L242" t="str">
        <f t="shared" si="18"/>
        <v/>
      </c>
      <c r="M242" t="str">
        <f t="shared" si="19"/>
        <v/>
      </c>
      <c r="N242" t="str">
        <f>IF($F242="","",IF(Sync!$AF242="","0000",IF(AND(ISNUMBER(Sync!$AF242),Sync!$AF242&gt;=0,Sync!$AF242&lt;1),RIGHT("00"&amp;HOUR(Sync!$AF242),2)&amp;RIGHT("00"&amp;MINUTE(Sync!$AF242),2),IFERROR(RIGHT("00"&amp;VALUE(LEFT(Sync!$AF242,FIND(":",Sync!$AF242)-1)),2)&amp;RIGHT("00"&amp;VALUE(MID(Sync!$AF242,FIND(":",Sync!$AF242)+1,2)),2),"0000"))))</f>
        <v/>
      </c>
    </row>
    <row r="243" spans="1:14" x14ac:dyDescent="0.2">
      <c r="A243" t="str">
        <f>IF(OR(Calc!$E247="",Calc!$E247="نامعتبر",Calc!$G247=""),"",Calc!$G247)</f>
        <v/>
      </c>
      <c r="B243" t="str">
        <f>IF($A243="","",LEFT(Calc!$E247,4)&amp;MID(Calc!$E247,6,2)&amp;RIGHT(Calc!$E247,2)&amp;Calc!$Q247&amp;"|"&amp;"1"&amp;RIGHT("00000"&amp;238,5))</f>
        <v/>
      </c>
      <c r="C243" t="str">
        <f t="shared" si="15"/>
        <v/>
      </c>
      <c r="D243" t="str">
        <f t="shared" si="16"/>
        <v/>
      </c>
      <c r="F243" t="str">
        <f>IF(Sync!$AH243="","",IF(LEFT(UPPER(TRIM(Sync!$AH243)),2)="SL",UPPER(TRIM(Sync!$AH243)),""))</f>
        <v/>
      </c>
      <c r="G243" t="str">
        <f>IF($F243="","",IF(Sync!$AE243="","",IF(ISNUMBER(Sync!$AE243),IF(AND(Sync!$AE243&gt;=10000101,Sync!$AE243&lt;=99991231),INT(Sync!$AE243/10000),""),IFERROR(VALUE(TRIM(LEFT(Sync!$AE243,FIND("/",Sync!$AE243)-1))),""))))</f>
        <v/>
      </c>
      <c r="H243" t="str">
        <f>IF(OR($F243="",$G243=""),"",IF(ISNUMBER(Sync!$AE243),INT(MOD(Sync!$AE243,10000)/100),IFERROR(VALUE(TRIM(LEFT(MID(Sync!$AE243,FIND("/",Sync!$AE243)+1,20),FIND("/",MID(Sync!$AE243,FIND("/",Sync!$AE243)+1,20))-1))),"")))</f>
        <v/>
      </c>
      <c r="I243" t="str">
        <f>IF(OR($F243="",$G243=""),"",IF(ISNUMBER(Sync!$AE243),MOD(Sync!$AE243,100),IFERROR(VALUE(TRIM(MID(MID(Sync!$AE243,FIND("/",Sync!$AE243)+1,20),FIND("/",MID(Sync!$AE243,FIND("/",Sync!$AE243)+1,20))+1,20))),"")))</f>
        <v/>
      </c>
      <c r="J243" t="str">
        <f t="shared" si="17"/>
        <v/>
      </c>
      <c r="K243" t="str">
        <f>IF(OR($F243="",$J243="",$J243="نامعتبر"),"",LEFT($J243,4)&amp;MID($J243,6,2)&amp;RIGHT($J243,2)&amp;$N243&amp;"|"&amp;"2"&amp;RIGHT("00000"&amp;238,5))</f>
        <v/>
      </c>
      <c r="L243" t="str">
        <f t="shared" si="18"/>
        <v/>
      </c>
      <c r="M243" t="str">
        <f t="shared" si="19"/>
        <v/>
      </c>
      <c r="N243" t="str">
        <f>IF($F243="","",IF(Sync!$AF243="","0000",IF(AND(ISNUMBER(Sync!$AF243),Sync!$AF243&gt;=0,Sync!$AF243&lt;1),RIGHT("00"&amp;HOUR(Sync!$AF243),2)&amp;RIGHT("00"&amp;MINUTE(Sync!$AF243),2),IFERROR(RIGHT("00"&amp;VALUE(LEFT(Sync!$AF243,FIND(":",Sync!$AF243)-1)),2)&amp;RIGHT("00"&amp;VALUE(MID(Sync!$AF243,FIND(":",Sync!$AF243)+1,2)),2),"0000"))))</f>
        <v/>
      </c>
    </row>
    <row r="244" spans="1:14" x14ac:dyDescent="0.2">
      <c r="A244" t="str">
        <f>IF(OR(Calc!$E248="",Calc!$E248="نامعتبر",Calc!$G248=""),"",Calc!$G248)</f>
        <v/>
      </c>
      <c r="B244" t="str">
        <f>IF($A244="","",LEFT(Calc!$E248,4)&amp;MID(Calc!$E248,6,2)&amp;RIGHT(Calc!$E248,2)&amp;Calc!$Q248&amp;"|"&amp;"1"&amp;RIGHT("00000"&amp;239,5))</f>
        <v/>
      </c>
      <c r="C244" t="str">
        <f t="shared" si="15"/>
        <v/>
      </c>
      <c r="D244" t="str">
        <f t="shared" si="16"/>
        <v/>
      </c>
      <c r="F244" t="str">
        <f>IF(Sync!$AH244="","",IF(LEFT(UPPER(TRIM(Sync!$AH244)),2)="SL",UPPER(TRIM(Sync!$AH244)),""))</f>
        <v/>
      </c>
      <c r="G244" t="str">
        <f>IF($F244="","",IF(Sync!$AE244="","",IF(ISNUMBER(Sync!$AE244),IF(AND(Sync!$AE244&gt;=10000101,Sync!$AE244&lt;=99991231),INT(Sync!$AE244/10000),""),IFERROR(VALUE(TRIM(LEFT(Sync!$AE244,FIND("/",Sync!$AE244)-1))),""))))</f>
        <v/>
      </c>
      <c r="H244" t="str">
        <f>IF(OR($F244="",$G244=""),"",IF(ISNUMBER(Sync!$AE244),INT(MOD(Sync!$AE244,10000)/100),IFERROR(VALUE(TRIM(LEFT(MID(Sync!$AE244,FIND("/",Sync!$AE244)+1,20),FIND("/",MID(Sync!$AE244,FIND("/",Sync!$AE244)+1,20))-1))),"")))</f>
        <v/>
      </c>
      <c r="I244" t="str">
        <f>IF(OR($F244="",$G244=""),"",IF(ISNUMBER(Sync!$AE244),MOD(Sync!$AE244,100),IFERROR(VALUE(TRIM(MID(MID(Sync!$AE244,FIND("/",Sync!$AE244)+1,20),FIND("/",MID(Sync!$AE244,FIND("/",Sync!$AE244)+1,20))+1,20))),"")))</f>
        <v/>
      </c>
      <c r="J244" t="str">
        <f t="shared" si="17"/>
        <v/>
      </c>
      <c r="K244" t="str">
        <f>IF(OR($F244="",$J244="",$J244="نامعتبر"),"",LEFT($J244,4)&amp;MID($J244,6,2)&amp;RIGHT($J244,2)&amp;$N244&amp;"|"&amp;"2"&amp;RIGHT("00000"&amp;239,5))</f>
        <v/>
      </c>
      <c r="L244" t="str">
        <f t="shared" si="18"/>
        <v/>
      </c>
      <c r="M244" t="str">
        <f t="shared" si="19"/>
        <v/>
      </c>
      <c r="N244" t="str">
        <f>IF($F244="","",IF(Sync!$AF244="","0000",IF(AND(ISNUMBER(Sync!$AF244),Sync!$AF244&gt;=0,Sync!$AF244&lt;1),RIGHT("00"&amp;HOUR(Sync!$AF244),2)&amp;RIGHT("00"&amp;MINUTE(Sync!$AF244),2),IFERROR(RIGHT("00"&amp;VALUE(LEFT(Sync!$AF244,FIND(":",Sync!$AF244)-1)),2)&amp;RIGHT("00"&amp;VALUE(MID(Sync!$AF244,FIND(":",Sync!$AF244)+1,2)),2),"0000"))))</f>
        <v/>
      </c>
    </row>
    <row r="245" spans="1:14" x14ac:dyDescent="0.2">
      <c r="A245" t="str">
        <f>IF(OR(Calc!$E249="",Calc!$E249="نامعتبر",Calc!$G249=""),"",Calc!$G249)</f>
        <v/>
      </c>
      <c r="B245" t="str">
        <f>IF($A245="","",LEFT(Calc!$E249,4)&amp;MID(Calc!$E249,6,2)&amp;RIGHT(Calc!$E249,2)&amp;Calc!$Q249&amp;"|"&amp;"1"&amp;RIGHT("00000"&amp;240,5))</f>
        <v/>
      </c>
      <c r="C245" t="str">
        <f t="shared" si="15"/>
        <v/>
      </c>
      <c r="D245" t="str">
        <f t="shared" si="16"/>
        <v/>
      </c>
      <c r="F245" t="str">
        <f>IF(Sync!$AH245="","",IF(LEFT(UPPER(TRIM(Sync!$AH245)),2)="SL",UPPER(TRIM(Sync!$AH245)),""))</f>
        <v/>
      </c>
      <c r="G245" t="str">
        <f>IF($F245="","",IF(Sync!$AE245="","",IF(ISNUMBER(Sync!$AE245),IF(AND(Sync!$AE245&gt;=10000101,Sync!$AE245&lt;=99991231),INT(Sync!$AE245/10000),""),IFERROR(VALUE(TRIM(LEFT(Sync!$AE245,FIND("/",Sync!$AE245)-1))),""))))</f>
        <v/>
      </c>
      <c r="H245" t="str">
        <f>IF(OR($F245="",$G245=""),"",IF(ISNUMBER(Sync!$AE245),INT(MOD(Sync!$AE245,10000)/100),IFERROR(VALUE(TRIM(LEFT(MID(Sync!$AE245,FIND("/",Sync!$AE245)+1,20),FIND("/",MID(Sync!$AE245,FIND("/",Sync!$AE245)+1,20))-1))),"")))</f>
        <v/>
      </c>
      <c r="I245" t="str">
        <f>IF(OR($F245="",$G245=""),"",IF(ISNUMBER(Sync!$AE245),MOD(Sync!$AE245,100),IFERROR(VALUE(TRIM(MID(MID(Sync!$AE245,FIND("/",Sync!$AE245)+1,20),FIND("/",MID(Sync!$AE245,FIND("/",Sync!$AE245)+1,20))+1,20))),"")))</f>
        <v/>
      </c>
      <c r="J245" t="str">
        <f t="shared" si="17"/>
        <v/>
      </c>
      <c r="K245" t="str">
        <f>IF(OR($F245="",$J245="",$J245="نامعتبر"),"",LEFT($J245,4)&amp;MID($J245,6,2)&amp;RIGHT($J245,2)&amp;$N245&amp;"|"&amp;"2"&amp;RIGHT("00000"&amp;240,5))</f>
        <v/>
      </c>
      <c r="L245" t="str">
        <f t="shared" si="18"/>
        <v/>
      </c>
      <c r="M245" t="str">
        <f t="shared" si="19"/>
        <v/>
      </c>
      <c r="N245" t="str">
        <f>IF($F245="","",IF(Sync!$AF245="","0000",IF(AND(ISNUMBER(Sync!$AF245),Sync!$AF245&gt;=0,Sync!$AF245&lt;1),RIGHT("00"&amp;HOUR(Sync!$AF245),2)&amp;RIGHT("00"&amp;MINUTE(Sync!$AF245),2),IFERROR(RIGHT("00"&amp;VALUE(LEFT(Sync!$AF245,FIND(":",Sync!$AF245)-1)),2)&amp;RIGHT("00"&amp;VALUE(MID(Sync!$AF245,FIND(":",Sync!$AF245)+1,2)),2),"0000"))))</f>
        <v/>
      </c>
    </row>
    <row r="246" spans="1:14" x14ac:dyDescent="0.2">
      <c r="A246" t="str">
        <f>IF(OR(Calc!$E250="",Calc!$E250="نامعتبر",Calc!$G250=""),"",Calc!$G250)</f>
        <v/>
      </c>
      <c r="B246" t="str">
        <f>IF($A246="","",LEFT(Calc!$E250,4)&amp;MID(Calc!$E250,6,2)&amp;RIGHT(Calc!$E250,2)&amp;Calc!$Q250&amp;"|"&amp;"1"&amp;RIGHT("00000"&amp;241,5))</f>
        <v/>
      </c>
      <c r="C246" t="str">
        <f t="shared" si="15"/>
        <v/>
      </c>
      <c r="D246" t="str">
        <f t="shared" si="16"/>
        <v/>
      </c>
      <c r="F246" t="str">
        <f>IF(Sync!$AH246="","",IF(LEFT(UPPER(TRIM(Sync!$AH246)),2)="SL",UPPER(TRIM(Sync!$AH246)),""))</f>
        <v/>
      </c>
      <c r="G246" t="str">
        <f>IF($F246="","",IF(Sync!$AE246="","",IF(ISNUMBER(Sync!$AE246),IF(AND(Sync!$AE246&gt;=10000101,Sync!$AE246&lt;=99991231),INT(Sync!$AE246/10000),""),IFERROR(VALUE(TRIM(LEFT(Sync!$AE246,FIND("/",Sync!$AE246)-1))),""))))</f>
        <v/>
      </c>
      <c r="H246" t="str">
        <f>IF(OR($F246="",$G246=""),"",IF(ISNUMBER(Sync!$AE246),INT(MOD(Sync!$AE246,10000)/100),IFERROR(VALUE(TRIM(LEFT(MID(Sync!$AE246,FIND("/",Sync!$AE246)+1,20),FIND("/",MID(Sync!$AE246,FIND("/",Sync!$AE246)+1,20))-1))),"")))</f>
        <v/>
      </c>
      <c r="I246" t="str">
        <f>IF(OR($F246="",$G246=""),"",IF(ISNUMBER(Sync!$AE246),MOD(Sync!$AE246,100),IFERROR(VALUE(TRIM(MID(MID(Sync!$AE246,FIND("/",Sync!$AE246)+1,20),FIND("/",MID(Sync!$AE246,FIND("/",Sync!$AE246)+1,20))+1,20))),"")))</f>
        <v/>
      </c>
      <c r="J246" t="str">
        <f t="shared" si="17"/>
        <v/>
      </c>
      <c r="K246" t="str">
        <f>IF(OR($F246="",$J246="",$J246="نامعتبر"),"",LEFT($J246,4)&amp;MID($J246,6,2)&amp;RIGHT($J246,2)&amp;$N246&amp;"|"&amp;"2"&amp;RIGHT("00000"&amp;241,5))</f>
        <v/>
      </c>
      <c r="L246" t="str">
        <f t="shared" si="18"/>
        <v/>
      </c>
      <c r="M246" t="str">
        <f t="shared" si="19"/>
        <v/>
      </c>
      <c r="N246" t="str">
        <f>IF($F246="","",IF(Sync!$AF246="","0000",IF(AND(ISNUMBER(Sync!$AF246),Sync!$AF246&gt;=0,Sync!$AF246&lt;1),RIGHT("00"&amp;HOUR(Sync!$AF246),2)&amp;RIGHT("00"&amp;MINUTE(Sync!$AF246),2),IFERROR(RIGHT("00"&amp;VALUE(LEFT(Sync!$AF246,FIND(":",Sync!$AF246)-1)),2)&amp;RIGHT("00"&amp;VALUE(MID(Sync!$AF246,FIND(":",Sync!$AF246)+1,2)),2),"0000"))))</f>
        <v/>
      </c>
    </row>
    <row r="247" spans="1:14" x14ac:dyDescent="0.2">
      <c r="A247" t="str">
        <f>IF(OR(Calc!$E251="",Calc!$E251="نامعتبر",Calc!$G251=""),"",Calc!$G251)</f>
        <v/>
      </c>
      <c r="B247" t="str">
        <f>IF($A247="","",LEFT(Calc!$E251,4)&amp;MID(Calc!$E251,6,2)&amp;RIGHT(Calc!$E251,2)&amp;Calc!$Q251&amp;"|"&amp;"1"&amp;RIGHT("00000"&amp;242,5))</f>
        <v/>
      </c>
      <c r="C247" t="str">
        <f t="shared" si="15"/>
        <v/>
      </c>
      <c r="D247" t="str">
        <f t="shared" si="16"/>
        <v/>
      </c>
      <c r="F247" t="str">
        <f>IF(Sync!$AH247="","",IF(LEFT(UPPER(TRIM(Sync!$AH247)),2)="SL",UPPER(TRIM(Sync!$AH247)),""))</f>
        <v/>
      </c>
      <c r="G247" t="str">
        <f>IF($F247="","",IF(Sync!$AE247="","",IF(ISNUMBER(Sync!$AE247),IF(AND(Sync!$AE247&gt;=10000101,Sync!$AE247&lt;=99991231),INT(Sync!$AE247/10000),""),IFERROR(VALUE(TRIM(LEFT(Sync!$AE247,FIND("/",Sync!$AE247)-1))),""))))</f>
        <v/>
      </c>
      <c r="H247" t="str">
        <f>IF(OR($F247="",$G247=""),"",IF(ISNUMBER(Sync!$AE247),INT(MOD(Sync!$AE247,10000)/100),IFERROR(VALUE(TRIM(LEFT(MID(Sync!$AE247,FIND("/",Sync!$AE247)+1,20),FIND("/",MID(Sync!$AE247,FIND("/",Sync!$AE247)+1,20))-1))),"")))</f>
        <v/>
      </c>
      <c r="I247" t="str">
        <f>IF(OR($F247="",$G247=""),"",IF(ISNUMBER(Sync!$AE247),MOD(Sync!$AE247,100),IFERROR(VALUE(TRIM(MID(MID(Sync!$AE247,FIND("/",Sync!$AE247)+1,20),FIND("/",MID(Sync!$AE247,FIND("/",Sync!$AE247)+1,20))+1,20))),"")))</f>
        <v/>
      </c>
      <c r="J247" t="str">
        <f t="shared" si="17"/>
        <v/>
      </c>
      <c r="K247" t="str">
        <f>IF(OR($F247="",$J247="",$J247="نامعتبر"),"",LEFT($J247,4)&amp;MID($J247,6,2)&amp;RIGHT($J247,2)&amp;$N247&amp;"|"&amp;"2"&amp;RIGHT("00000"&amp;242,5))</f>
        <v/>
      </c>
      <c r="L247" t="str">
        <f t="shared" si="18"/>
        <v/>
      </c>
      <c r="M247" t="str">
        <f t="shared" si="19"/>
        <v/>
      </c>
      <c r="N247" t="str">
        <f>IF($F247="","",IF(Sync!$AF247="","0000",IF(AND(ISNUMBER(Sync!$AF247),Sync!$AF247&gt;=0,Sync!$AF247&lt;1),RIGHT("00"&amp;HOUR(Sync!$AF247),2)&amp;RIGHT("00"&amp;MINUTE(Sync!$AF247),2),IFERROR(RIGHT("00"&amp;VALUE(LEFT(Sync!$AF247,FIND(":",Sync!$AF247)-1)),2)&amp;RIGHT("00"&amp;VALUE(MID(Sync!$AF247,FIND(":",Sync!$AF247)+1,2)),2),"0000"))))</f>
        <v/>
      </c>
    </row>
    <row r="248" spans="1:14" x14ac:dyDescent="0.2">
      <c r="A248" t="str">
        <f>IF(OR(Calc!$E252="",Calc!$E252="نامعتبر",Calc!$G252=""),"",Calc!$G252)</f>
        <v/>
      </c>
      <c r="B248" t="str">
        <f>IF($A248="","",LEFT(Calc!$E252,4)&amp;MID(Calc!$E252,6,2)&amp;RIGHT(Calc!$E252,2)&amp;Calc!$Q252&amp;"|"&amp;"1"&amp;RIGHT("00000"&amp;243,5))</f>
        <v/>
      </c>
      <c r="C248" t="str">
        <f t="shared" si="15"/>
        <v/>
      </c>
      <c r="D248" t="str">
        <f t="shared" si="16"/>
        <v/>
      </c>
      <c r="F248" t="str">
        <f>IF(Sync!$AH248="","",IF(LEFT(UPPER(TRIM(Sync!$AH248)),2)="SL",UPPER(TRIM(Sync!$AH248)),""))</f>
        <v/>
      </c>
      <c r="G248" t="str">
        <f>IF($F248="","",IF(Sync!$AE248="","",IF(ISNUMBER(Sync!$AE248),IF(AND(Sync!$AE248&gt;=10000101,Sync!$AE248&lt;=99991231),INT(Sync!$AE248/10000),""),IFERROR(VALUE(TRIM(LEFT(Sync!$AE248,FIND("/",Sync!$AE248)-1))),""))))</f>
        <v/>
      </c>
      <c r="H248" t="str">
        <f>IF(OR($F248="",$G248=""),"",IF(ISNUMBER(Sync!$AE248),INT(MOD(Sync!$AE248,10000)/100),IFERROR(VALUE(TRIM(LEFT(MID(Sync!$AE248,FIND("/",Sync!$AE248)+1,20),FIND("/",MID(Sync!$AE248,FIND("/",Sync!$AE248)+1,20))-1))),"")))</f>
        <v/>
      </c>
      <c r="I248" t="str">
        <f>IF(OR($F248="",$G248=""),"",IF(ISNUMBER(Sync!$AE248),MOD(Sync!$AE248,100),IFERROR(VALUE(TRIM(MID(MID(Sync!$AE248,FIND("/",Sync!$AE248)+1,20),FIND("/",MID(Sync!$AE248,FIND("/",Sync!$AE248)+1,20))+1,20))),"")))</f>
        <v/>
      </c>
      <c r="J248" t="str">
        <f t="shared" si="17"/>
        <v/>
      </c>
      <c r="K248" t="str">
        <f>IF(OR($F248="",$J248="",$J248="نامعتبر"),"",LEFT($J248,4)&amp;MID($J248,6,2)&amp;RIGHT($J248,2)&amp;$N248&amp;"|"&amp;"2"&amp;RIGHT("00000"&amp;243,5))</f>
        <v/>
      </c>
      <c r="L248" t="str">
        <f t="shared" si="18"/>
        <v/>
      </c>
      <c r="M248" t="str">
        <f t="shared" si="19"/>
        <v/>
      </c>
      <c r="N248" t="str">
        <f>IF($F248="","",IF(Sync!$AF248="","0000",IF(AND(ISNUMBER(Sync!$AF248),Sync!$AF248&gt;=0,Sync!$AF248&lt;1),RIGHT("00"&amp;HOUR(Sync!$AF248),2)&amp;RIGHT("00"&amp;MINUTE(Sync!$AF248),2),IFERROR(RIGHT("00"&amp;VALUE(LEFT(Sync!$AF248,FIND(":",Sync!$AF248)-1)),2)&amp;RIGHT("00"&amp;VALUE(MID(Sync!$AF248,FIND(":",Sync!$AF248)+1,2)),2),"0000"))))</f>
        <v/>
      </c>
    </row>
    <row r="249" spans="1:14" x14ac:dyDescent="0.2">
      <c r="A249" t="str">
        <f>IF(OR(Calc!$E253="",Calc!$E253="نامعتبر",Calc!$G253=""),"",Calc!$G253)</f>
        <v/>
      </c>
      <c r="B249" t="str">
        <f>IF($A249="","",LEFT(Calc!$E253,4)&amp;MID(Calc!$E253,6,2)&amp;RIGHT(Calc!$E253,2)&amp;Calc!$Q253&amp;"|"&amp;"1"&amp;RIGHT("00000"&amp;244,5))</f>
        <v/>
      </c>
      <c r="C249" t="str">
        <f t="shared" si="15"/>
        <v/>
      </c>
      <c r="D249" t="str">
        <f t="shared" si="16"/>
        <v/>
      </c>
      <c r="F249" t="str">
        <f>IF(Sync!$AH249="","",IF(LEFT(UPPER(TRIM(Sync!$AH249)),2)="SL",UPPER(TRIM(Sync!$AH249)),""))</f>
        <v/>
      </c>
      <c r="G249" t="str">
        <f>IF($F249="","",IF(Sync!$AE249="","",IF(ISNUMBER(Sync!$AE249),IF(AND(Sync!$AE249&gt;=10000101,Sync!$AE249&lt;=99991231),INT(Sync!$AE249/10000),""),IFERROR(VALUE(TRIM(LEFT(Sync!$AE249,FIND("/",Sync!$AE249)-1))),""))))</f>
        <v/>
      </c>
      <c r="H249" t="str">
        <f>IF(OR($F249="",$G249=""),"",IF(ISNUMBER(Sync!$AE249),INT(MOD(Sync!$AE249,10000)/100),IFERROR(VALUE(TRIM(LEFT(MID(Sync!$AE249,FIND("/",Sync!$AE249)+1,20),FIND("/",MID(Sync!$AE249,FIND("/",Sync!$AE249)+1,20))-1))),"")))</f>
        <v/>
      </c>
      <c r="I249" t="str">
        <f>IF(OR($F249="",$G249=""),"",IF(ISNUMBER(Sync!$AE249),MOD(Sync!$AE249,100),IFERROR(VALUE(TRIM(MID(MID(Sync!$AE249,FIND("/",Sync!$AE249)+1,20),FIND("/",MID(Sync!$AE249,FIND("/",Sync!$AE249)+1,20))+1,20))),"")))</f>
        <v/>
      </c>
      <c r="J249" t="str">
        <f t="shared" si="17"/>
        <v/>
      </c>
      <c r="K249" t="str">
        <f>IF(OR($F249="",$J249="",$J249="نامعتبر"),"",LEFT($J249,4)&amp;MID($J249,6,2)&amp;RIGHT($J249,2)&amp;$N249&amp;"|"&amp;"2"&amp;RIGHT("00000"&amp;244,5))</f>
        <v/>
      </c>
      <c r="L249" t="str">
        <f t="shared" si="18"/>
        <v/>
      </c>
      <c r="M249" t="str">
        <f t="shared" si="19"/>
        <v/>
      </c>
      <c r="N249" t="str">
        <f>IF($F249="","",IF(Sync!$AF249="","0000",IF(AND(ISNUMBER(Sync!$AF249),Sync!$AF249&gt;=0,Sync!$AF249&lt;1),RIGHT("00"&amp;HOUR(Sync!$AF249),2)&amp;RIGHT("00"&amp;MINUTE(Sync!$AF249),2),IFERROR(RIGHT("00"&amp;VALUE(LEFT(Sync!$AF249,FIND(":",Sync!$AF249)-1)),2)&amp;RIGHT("00"&amp;VALUE(MID(Sync!$AF249,FIND(":",Sync!$AF249)+1,2)),2),"0000"))))</f>
        <v/>
      </c>
    </row>
    <row r="250" spans="1:14" x14ac:dyDescent="0.2">
      <c r="A250" t="str">
        <f>IF(OR(Calc!$E254="",Calc!$E254="نامعتبر",Calc!$G254=""),"",Calc!$G254)</f>
        <v/>
      </c>
      <c r="B250" t="str">
        <f>IF($A250="","",LEFT(Calc!$E254,4)&amp;MID(Calc!$E254,6,2)&amp;RIGHT(Calc!$E254,2)&amp;Calc!$Q254&amp;"|"&amp;"1"&amp;RIGHT("00000"&amp;245,5))</f>
        <v/>
      </c>
      <c r="C250" t="str">
        <f t="shared" si="15"/>
        <v/>
      </c>
      <c r="D250" t="str">
        <f t="shared" si="16"/>
        <v/>
      </c>
      <c r="F250" t="str">
        <f>IF(Sync!$AH250="","",IF(LEFT(UPPER(TRIM(Sync!$AH250)),2)="SL",UPPER(TRIM(Sync!$AH250)),""))</f>
        <v/>
      </c>
      <c r="G250" t="str">
        <f>IF($F250="","",IF(Sync!$AE250="","",IF(ISNUMBER(Sync!$AE250),IF(AND(Sync!$AE250&gt;=10000101,Sync!$AE250&lt;=99991231),INT(Sync!$AE250/10000),""),IFERROR(VALUE(TRIM(LEFT(Sync!$AE250,FIND("/",Sync!$AE250)-1))),""))))</f>
        <v/>
      </c>
      <c r="H250" t="str">
        <f>IF(OR($F250="",$G250=""),"",IF(ISNUMBER(Sync!$AE250),INT(MOD(Sync!$AE250,10000)/100),IFERROR(VALUE(TRIM(LEFT(MID(Sync!$AE250,FIND("/",Sync!$AE250)+1,20),FIND("/",MID(Sync!$AE250,FIND("/",Sync!$AE250)+1,20))-1))),"")))</f>
        <v/>
      </c>
      <c r="I250" t="str">
        <f>IF(OR($F250="",$G250=""),"",IF(ISNUMBER(Sync!$AE250),MOD(Sync!$AE250,100),IFERROR(VALUE(TRIM(MID(MID(Sync!$AE250,FIND("/",Sync!$AE250)+1,20),FIND("/",MID(Sync!$AE250,FIND("/",Sync!$AE250)+1,20))+1,20))),"")))</f>
        <v/>
      </c>
      <c r="J250" t="str">
        <f t="shared" si="17"/>
        <v/>
      </c>
      <c r="K250" t="str">
        <f>IF(OR($F250="",$J250="",$J250="نامعتبر"),"",LEFT($J250,4)&amp;MID($J250,6,2)&amp;RIGHT($J250,2)&amp;$N250&amp;"|"&amp;"2"&amp;RIGHT("00000"&amp;245,5))</f>
        <v/>
      </c>
      <c r="L250" t="str">
        <f t="shared" si="18"/>
        <v/>
      </c>
      <c r="M250" t="str">
        <f t="shared" si="19"/>
        <v/>
      </c>
      <c r="N250" t="str">
        <f>IF($F250="","",IF(Sync!$AF250="","0000",IF(AND(ISNUMBER(Sync!$AF250),Sync!$AF250&gt;=0,Sync!$AF250&lt;1),RIGHT("00"&amp;HOUR(Sync!$AF250),2)&amp;RIGHT("00"&amp;MINUTE(Sync!$AF250),2),IFERROR(RIGHT("00"&amp;VALUE(LEFT(Sync!$AF250,FIND(":",Sync!$AF250)-1)),2)&amp;RIGHT("00"&amp;VALUE(MID(Sync!$AF250,FIND(":",Sync!$AF250)+1,2)),2),"0000"))))</f>
        <v/>
      </c>
    </row>
    <row r="251" spans="1:14" x14ac:dyDescent="0.2">
      <c r="A251" t="str">
        <f>IF(OR(Calc!$E255="",Calc!$E255="نامعتبر",Calc!$G255=""),"",Calc!$G255)</f>
        <v/>
      </c>
      <c r="B251" t="str">
        <f>IF($A251="","",LEFT(Calc!$E255,4)&amp;MID(Calc!$E255,6,2)&amp;RIGHT(Calc!$E255,2)&amp;Calc!$Q255&amp;"|"&amp;"1"&amp;RIGHT("00000"&amp;246,5))</f>
        <v/>
      </c>
      <c r="C251" t="str">
        <f t="shared" si="15"/>
        <v/>
      </c>
      <c r="D251" t="str">
        <f t="shared" si="16"/>
        <v/>
      </c>
      <c r="F251" t="str">
        <f>IF(Sync!$AH251="","",IF(LEFT(UPPER(TRIM(Sync!$AH251)),2)="SL",UPPER(TRIM(Sync!$AH251)),""))</f>
        <v/>
      </c>
      <c r="G251" t="str">
        <f>IF($F251="","",IF(Sync!$AE251="","",IF(ISNUMBER(Sync!$AE251),IF(AND(Sync!$AE251&gt;=10000101,Sync!$AE251&lt;=99991231),INT(Sync!$AE251/10000),""),IFERROR(VALUE(TRIM(LEFT(Sync!$AE251,FIND("/",Sync!$AE251)-1))),""))))</f>
        <v/>
      </c>
      <c r="H251" t="str">
        <f>IF(OR($F251="",$G251=""),"",IF(ISNUMBER(Sync!$AE251),INT(MOD(Sync!$AE251,10000)/100),IFERROR(VALUE(TRIM(LEFT(MID(Sync!$AE251,FIND("/",Sync!$AE251)+1,20),FIND("/",MID(Sync!$AE251,FIND("/",Sync!$AE251)+1,20))-1))),"")))</f>
        <v/>
      </c>
      <c r="I251" t="str">
        <f>IF(OR($F251="",$G251=""),"",IF(ISNUMBER(Sync!$AE251),MOD(Sync!$AE251,100),IFERROR(VALUE(TRIM(MID(MID(Sync!$AE251,FIND("/",Sync!$AE251)+1,20),FIND("/",MID(Sync!$AE251,FIND("/",Sync!$AE251)+1,20))+1,20))),"")))</f>
        <v/>
      </c>
      <c r="J251" t="str">
        <f t="shared" si="17"/>
        <v/>
      </c>
      <c r="K251" t="str">
        <f>IF(OR($F251="",$J251="",$J251="نامعتبر"),"",LEFT($J251,4)&amp;MID($J251,6,2)&amp;RIGHT($J251,2)&amp;$N251&amp;"|"&amp;"2"&amp;RIGHT("00000"&amp;246,5))</f>
        <v/>
      </c>
      <c r="L251" t="str">
        <f t="shared" si="18"/>
        <v/>
      </c>
      <c r="M251" t="str">
        <f t="shared" si="19"/>
        <v/>
      </c>
      <c r="N251" t="str">
        <f>IF($F251="","",IF(Sync!$AF251="","0000",IF(AND(ISNUMBER(Sync!$AF251),Sync!$AF251&gt;=0,Sync!$AF251&lt;1),RIGHT("00"&amp;HOUR(Sync!$AF251),2)&amp;RIGHT("00"&amp;MINUTE(Sync!$AF251),2),IFERROR(RIGHT("00"&amp;VALUE(LEFT(Sync!$AF251,FIND(":",Sync!$AF251)-1)),2)&amp;RIGHT("00"&amp;VALUE(MID(Sync!$AF251,FIND(":",Sync!$AF251)+1,2)),2),"0000"))))</f>
        <v/>
      </c>
    </row>
    <row r="252" spans="1:14" x14ac:dyDescent="0.2">
      <c r="A252" t="str">
        <f>IF(OR(Calc!$E256="",Calc!$E256="نامعتبر",Calc!$G256=""),"",Calc!$G256)</f>
        <v/>
      </c>
      <c r="B252" t="str">
        <f>IF($A252="","",LEFT(Calc!$E256,4)&amp;MID(Calc!$E256,6,2)&amp;RIGHT(Calc!$E256,2)&amp;Calc!$Q256&amp;"|"&amp;"1"&amp;RIGHT("00000"&amp;247,5))</f>
        <v/>
      </c>
      <c r="C252" t="str">
        <f t="shared" si="15"/>
        <v/>
      </c>
      <c r="D252" t="str">
        <f t="shared" si="16"/>
        <v/>
      </c>
      <c r="F252" t="str">
        <f>IF(Sync!$AH252="","",IF(LEFT(UPPER(TRIM(Sync!$AH252)),2)="SL",UPPER(TRIM(Sync!$AH252)),""))</f>
        <v/>
      </c>
      <c r="G252" t="str">
        <f>IF($F252="","",IF(Sync!$AE252="","",IF(ISNUMBER(Sync!$AE252),IF(AND(Sync!$AE252&gt;=10000101,Sync!$AE252&lt;=99991231),INT(Sync!$AE252/10000),""),IFERROR(VALUE(TRIM(LEFT(Sync!$AE252,FIND("/",Sync!$AE252)-1))),""))))</f>
        <v/>
      </c>
      <c r="H252" t="str">
        <f>IF(OR($F252="",$G252=""),"",IF(ISNUMBER(Sync!$AE252),INT(MOD(Sync!$AE252,10000)/100),IFERROR(VALUE(TRIM(LEFT(MID(Sync!$AE252,FIND("/",Sync!$AE252)+1,20),FIND("/",MID(Sync!$AE252,FIND("/",Sync!$AE252)+1,20))-1))),"")))</f>
        <v/>
      </c>
      <c r="I252" t="str">
        <f>IF(OR($F252="",$G252=""),"",IF(ISNUMBER(Sync!$AE252),MOD(Sync!$AE252,100),IFERROR(VALUE(TRIM(MID(MID(Sync!$AE252,FIND("/",Sync!$AE252)+1,20),FIND("/",MID(Sync!$AE252,FIND("/",Sync!$AE252)+1,20))+1,20))),"")))</f>
        <v/>
      </c>
      <c r="J252" t="str">
        <f t="shared" si="17"/>
        <v/>
      </c>
      <c r="K252" t="str">
        <f>IF(OR($F252="",$J252="",$J252="نامعتبر"),"",LEFT($J252,4)&amp;MID($J252,6,2)&amp;RIGHT($J252,2)&amp;$N252&amp;"|"&amp;"2"&amp;RIGHT("00000"&amp;247,5))</f>
        <v/>
      </c>
      <c r="L252" t="str">
        <f t="shared" si="18"/>
        <v/>
      </c>
      <c r="M252" t="str">
        <f t="shared" si="19"/>
        <v/>
      </c>
      <c r="N252" t="str">
        <f>IF($F252="","",IF(Sync!$AF252="","0000",IF(AND(ISNUMBER(Sync!$AF252),Sync!$AF252&gt;=0,Sync!$AF252&lt;1),RIGHT("00"&amp;HOUR(Sync!$AF252),2)&amp;RIGHT("00"&amp;MINUTE(Sync!$AF252),2),IFERROR(RIGHT("00"&amp;VALUE(LEFT(Sync!$AF252,FIND(":",Sync!$AF252)-1)),2)&amp;RIGHT("00"&amp;VALUE(MID(Sync!$AF252,FIND(":",Sync!$AF252)+1,2)),2),"0000"))))</f>
        <v/>
      </c>
    </row>
    <row r="253" spans="1:14" x14ac:dyDescent="0.2">
      <c r="A253" t="str">
        <f>IF(OR(Calc!$E257="",Calc!$E257="نامعتبر",Calc!$G257=""),"",Calc!$G257)</f>
        <v/>
      </c>
      <c r="B253" t="str">
        <f>IF($A253="","",LEFT(Calc!$E257,4)&amp;MID(Calc!$E257,6,2)&amp;RIGHT(Calc!$E257,2)&amp;Calc!$Q257&amp;"|"&amp;"1"&amp;RIGHT("00000"&amp;248,5))</f>
        <v/>
      </c>
      <c r="C253" t="str">
        <f t="shared" si="15"/>
        <v/>
      </c>
      <c r="D253" t="str">
        <f t="shared" si="16"/>
        <v/>
      </c>
      <c r="F253" t="str">
        <f>IF(Sync!$AH253="","",IF(LEFT(UPPER(TRIM(Sync!$AH253)),2)="SL",UPPER(TRIM(Sync!$AH253)),""))</f>
        <v/>
      </c>
      <c r="G253" t="str">
        <f>IF($F253="","",IF(Sync!$AE253="","",IF(ISNUMBER(Sync!$AE253),IF(AND(Sync!$AE253&gt;=10000101,Sync!$AE253&lt;=99991231),INT(Sync!$AE253/10000),""),IFERROR(VALUE(TRIM(LEFT(Sync!$AE253,FIND("/",Sync!$AE253)-1))),""))))</f>
        <v/>
      </c>
      <c r="H253" t="str">
        <f>IF(OR($F253="",$G253=""),"",IF(ISNUMBER(Sync!$AE253),INT(MOD(Sync!$AE253,10000)/100),IFERROR(VALUE(TRIM(LEFT(MID(Sync!$AE253,FIND("/",Sync!$AE253)+1,20),FIND("/",MID(Sync!$AE253,FIND("/",Sync!$AE253)+1,20))-1))),"")))</f>
        <v/>
      </c>
      <c r="I253" t="str">
        <f>IF(OR($F253="",$G253=""),"",IF(ISNUMBER(Sync!$AE253),MOD(Sync!$AE253,100),IFERROR(VALUE(TRIM(MID(MID(Sync!$AE253,FIND("/",Sync!$AE253)+1,20),FIND("/",MID(Sync!$AE253,FIND("/",Sync!$AE253)+1,20))+1,20))),"")))</f>
        <v/>
      </c>
      <c r="J253" t="str">
        <f t="shared" si="17"/>
        <v/>
      </c>
      <c r="K253" t="str">
        <f>IF(OR($F253="",$J253="",$J253="نامعتبر"),"",LEFT($J253,4)&amp;MID($J253,6,2)&amp;RIGHT($J253,2)&amp;$N253&amp;"|"&amp;"2"&amp;RIGHT("00000"&amp;248,5))</f>
        <v/>
      </c>
      <c r="L253" t="str">
        <f t="shared" si="18"/>
        <v/>
      </c>
      <c r="M253" t="str">
        <f t="shared" si="19"/>
        <v/>
      </c>
      <c r="N253" t="str">
        <f>IF($F253="","",IF(Sync!$AF253="","0000",IF(AND(ISNUMBER(Sync!$AF253),Sync!$AF253&gt;=0,Sync!$AF253&lt;1),RIGHT("00"&amp;HOUR(Sync!$AF253),2)&amp;RIGHT("00"&amp;MINUTE(Sync!$AF253),2),IFERROR(RIGHT("00"&amp;VALUE(LEFT(Sync!$AF253,FIND(":",Sync!$AF253)-1)),2)&amp;RIGHT("00"&amp;VALUE(MID(Sync!$AF253,FIND(":",Sync!$AF253)+1,2)),2),"0000"))))</f>
        <v/>
      </c>
    </row>
    <row r="254" spans="1:14" x14ac:dyDescent="0.2">
      <c r="A254" t="str">
        <f>IF(OR(Calc!$E258="",Calc!$E258="نامعتبر",Calc!$G258=""),"",Calc!$G258)</f>
        <v/>
      </c>
      <c r="B254" t="str">
        <f>IF($A254="","",LEFT(Calc!$E258,4)&amp;MID(Calc!$E258,6,2)&amp;RIGHT(Calc!$E258,2)&amp;Calc!$Q258&amp;"|"&amp;"1"&amp;RIGHT("00000"&amp;249,5))</f>
        <v/>
      </c>
      <c r="C254" t="str">
        <f t="shared" si="15"/>
        <v/>
      </c>
      <c r="D254" t="str">
        <f t="shared" si="16"/>
        <v/>
      </c>
      <c r="F254" t="str">
        <f>IF(Sync!$AH254="","",IF(LEFT(UPPER(TRIM(Sync!$AH254)),2)="SL",UPPER(TRIM(Sync!$AH254)),""))</f>
        <v/>
      </c>
      <c r="G254" t="str">
        <f>IF($F254="","",IF(Sync!$AE254="","",IF(ISNUMBER(Sync!$AE254),IF(AND(Sync!$AE254&gt;=10000101,Sync!$AE254&lt;=99991231),INT(Sync!$AE254/10000),""),IFERROR(VALUE(TRIM(LEFT(Sync!$AE254,FIND("/",Sync!$AE254)-1))),""))))</f>
        <v/>
      </c>
      <c r="H254" t="str">
        <f>IF(OR($F254="",$G254=""),"",IF(ISNUMBER(Sync!$AE254),INT(MOD(Sync!$AE254,10000)/100),IFERROR(VALUE(TRIM(LEFT(MID(Sync!$AE254,FIND("/",Sync!$AE254)+1,20),FIND("/",MID(Sync!$AE254,FIND("/",Sync!$AE254)+1,20))-1))),"")))</f>
        <v/>
      </c>
      <c r="I254" t="str">
        <f>IF(OR($F254="",$G254=""),"",IF(ISNUMBER(Sync!$AE254),MOD(Sync!$AE254,100),IFERROR(VALUE(TRIM(MID(MID(Sync!$AE254,FIND("/",Sync!$AE254)+1,20),FIND("/",MID(Sync!$AE254,FIND("/",Sync!$AE254)+1,20))+1,20))),"")))</f>
        <v/>
      </c>
      <c r="J254" t="str">
        <f t="shared" si="17"/>
        <v/>
      </c>
      <c r="K254" t="str">
        <f>IF(OR($F254="",$J254="",$J254="نامعتبر"),"",LEFT($J254,4)&amp;MID($J254,6,2)&amp;RIGHT($J254,2)&amp;$N254&amp;"|"&amp;"2"&amp;RIGHT("00000"&amp;249,5))</f>
        <v/>
      </c>
      <c r="L254" t="str">
        <f t="shared" si="18"/>
        <v/>
      </c>
      <c r="M254" t="str">
        <f t="shared" si="19"/>
        <v/>
      </c>
      <c r="N254" t="str">
        <f>IF($F254="","",IF(Sync!$AF254="","0000",IF(AND(ISNUMBER(Sync!$AF254),Sync!$AF254&gt;=0,Sync!$AF254&lt;1),RIGHT("00"&amp;HOUR(Sync!$AF254),2)&amp;RIGHT("00"&amp;MINUTE(Sync!$AF254),2),IFERROR(RIGHT("00"&amp;VALUE(LEFT(Sync!$AF254,FIND(":",Sync!$AF254)-1)),2)&amp;RIGHT("00"&amp;VALUE(MID(Sync!$AF254,FIND(":",Sync!$AF254)+1,2)),2),"0000"))))</f>
        <v/>
      </c>
    </row>
    <row r="255" spans="1:14" x14ac:dyDescent="0.2">
      <c r="A255" t="str">
        <f>IF(OR(Calc!$E259="",Calc!$E259="نامعتبر",Calc!$G259=""),"",Calc!$G259)</f>
        <v/>
      </c>
      <c r="B255" t="str">
        <f>IF($A255="","",LEFT(Calc!$E259,4)&amp;MID(Calc!$E259,6,2)&amp;RIGHT(Calc!$E259,2)&amp;Calc!$Q259&amp;"|"&amp;"1"&amp;RIGHT("00000"&amp;250,5))</f>
        <v/>
      </c>
      <c r="C255" t="str">
        <f t="shared" si="15"/>
        <v/>
      </c>
      <c r="D255" t="str">
        <f t="shared" si="16"/>
        <v/>
      </c>
      <c r="F255" t="str">
        <f>IF(Sync!$AH255="","",IF(LEFT(UPPER(TRIM(Sync!$AH255)),2)="SL",UPPER(TRIM(Sync!$AH255)),""))</f>
        <v/>
      </c>
      <c r="G255" t="str">
        <f>IF($F255="","",IF(Sync!$AE255="","",IF(ISNUMBER(Sync!$AE255),IF(AND(Sync!$AE255&gt;=10000101,Sync!$AE255&lt;=99991231),INT(Sync!$AE255/10000),""),IFERROR(VALUE(TRIM(LEFT(Sync!$AE255,FIND("/",Sync!$AE255)-1))),""))))</f>
        <v/>
      </c>
      <c r="H255" t="str">
        <f>IF(OR($F255="",$G255=""),"",IF(ISNUMBER(Sync!$AE255),INT(MOD(Sync!$AE255,10000)/100),IFERROR(VALUE(TRIM(LEFT(MID(Sync!$AE255,FIND("/",Sync!$AE255)+1,20),FIND("/",MID(Sync!$AE255,FIND("/",Sync!$AE255)+1,20))-1))),"")))</f>
        <v/>
      </c>
      <c r="I255" t="str">
        <f>IF(OR($F255="",$G255=""),"",IF(ISNUMBER(Sync!$AE255),MOD(Sync!$AE255,100),IFERROR(VALUE(TRIM(MID(MID(Sync!$AE255,FIND("/",Sync!$AE255)+1,20),FIND("/",MID(Sync!$AE255,FIND("/",Sync!$AE255)+1,20))+1,20))),"")))</f>
        <v/>
      </c>
      <c r="J255" t="str">
        <f t="shared" si="17"/>
        <v/>
      </c>
      <c r="K255" t="str">
        <f>IF(OR($F255="",$J255="",$J255="نامعتبر"),"",LEFT($J255,4)&amp;MID($J255,6,2)&amp;RIGHT($J255,2)&amp;$N255&amp;"|"&amp;"2"&amp;RIGHT("00000"&amp;250,5))</f>
        <v/>
      </c>
      <c r="L255" t="str">
        <f t="shared" si="18"/>
        <v/>
      </c>
      <c r="M255" t="str">
        <f t="shared" si="19"/>
        <v/>
      </c>
      <c r="N255" t="str">
        <f>IF($F255="","",IF(Sync!$AF255="","0000",IF(AND(ISNUMBER(Sync!$AF255),Sync!$AF255&gt;=0,Sync!$AF255&lt;1),RIGHT("00"&amp;HOUR(Sync!$AF255),2)&amp;RIGHT("00"&amp;MINUTE(Sync!$AF255),2),IFERROR(RIGHT("00"&amp;VALUE(LEFT(Sync!$AF255,FIND(":",Sync!$AF255)-1)),2)&amp;RIGHT("00"&amp;VALUE(MID(Sync!$AF255,FIND(":",Sync!$AF255)+1,2)),2),"0000"))))</f>
        <v/>
      </c>
    </row>
    <row r="256" spans="1:14" x14ac:dyDescent="0.2">
      <c r="A256" t="str">
        <f>IF(OR(Calc!$E260="",Calc!$E260="نامعتبر",Calc!$G260=""),"",Calc!$G260)</f>
        <v/>
      </c>
      <c r="B256" t="str">
        <f>IF($A256="","",LEFT(Calc!$E260,4)&amp;MID(Calc!$E260,6,2)&amp;RIGHT(Calc!$E260,2)&amp;Calc!$Q260&amp;"|"&amp;"1"&amp;RIGHT("00000"&amp;251,5))</f>
        <v/>
      </c>
      <c r="C256" t="str">
        <f t="shared" si="15"/>
        <v/>
      </c>
      <c r="D256" t="str">
        <f t="shared" si="16"/>
        <v/>
      </c>
      <c r="F256" t="str">
        <f>IF(Sync!$AH256="","",IF(LEFT(UPPER(TRIM(Sync!$AH256)),2)="SL",UPPER(TRIM(Sync!$AH256)),""))</f>
        <v/>
      </c>
      <c r="G256" t="str">
        <f>IF($F256="","",IF(Sync!$AE256="","",IF(ISNUMBER(Sync!$AE256),IF(AND(Sync!$AE256&gt;=10000101,Sync!$AE256&lt;=99991231),INT(Sync!$AE256/10000),""),IFERROR(VALUE(TRIM(LEFT(Sync!$AE256,FIND("/",Sync!$AE256)-1))),""))))</f>
        <v/>
      </c>
      <c r="H256" t="str">
        <f>IF(OR($F256="",$G256=""),"",IF(ISNUMBER(Sync!$AE256),INT(MOD(Sync!$AE256,10000)/100),IFERROR(VALUE(TRIM(LEFT(MID(Sync!$AE256,FIND("/",Sync!$AE256)+1,20),FIND("/",MID(Sync!$AE256,FIND("/",Sync!$AE256)+1,20))-1))),"")))</f>
        <v/>
      </c>
      <c r="I256" t="str">
        <f>IF(OR($F256="",$G256=""),"",IF(ISNUMBER(Sync!$AE256),MOD(Sync!$AE256,100),IFERROR(VALUE(TRIM(MID(MID(Sync!$AE256,FIND("/",Sync!$AE256)+1,20),FIND("/",MID(Sync!$AE256,FIND("/",Sync!$AE256)+1,20))+1,20))),"")))</f>
        <v/>
      </c>
      <c r="J256" t="str">
        <f t="shared" si="17"/>
        <v/>
      </c>
      <c r="K256" t="str">
        <f>IF(OR($F256="",$J256="",$J256="نامعتبر"),"",LEFT($J256,4)&amp;MID($J256,6,2)&amp;RIGHT($J256,2)&amp;$N256&amp;"|"&amp;"2"&amp;RIGHT("00000"&amp;251,5))</f>
        <v/>
      </c>
      <c r="L256" t="str">
        <f t="shared" si="18"/>
        <v/>
      </c>
      <c r="M256" t="str">
        <f t="shared" si="19"/>
        <v/>
      </c>
      <c r="N256" t="str">
        <f>IF($F256="","",IF(Sync!$AF256="","0000",IF(AND(ISNUMBER(Sync!$AF256),Sync!$AF256&gt;=0,Sync!$AF256&lt;1),RIGHT("00"&amp;HOUR(Sync!$AF256),2)&amp;RIGHT("00"&amp;MINUTE(Sync!$AF256),2),IFERROR(RIGHT("00"&amp;VALUE(LEFT(Sync!$AF256,FIND(":",Sync!$AF256)-1)),2)&amp;RIGHT("00"&amp;VALUE(MID(Sync!$AF256,FIND(":",Sync!$AF256)+1,2)),2),"0000"))))</f>
        <v/>
      </c>
    </row>
    <row r="257" spans="1:14" x14ac:dyDescent="0.2">
      <c r="A257" t="str">
        <f>IF(OR(Calc!$E261="",Calc!$E261="نامعتبر",Calc!$G261=""),"",Calc!$G261)</f>
        <v/>
      </c>
      <c r="B257" t="str">
        <f>IF($A257="","",LEFT(Calc!$E261,4)&amp;MID(Calc!$E261,6,2)&amp;RIGHT(Calc!$E261,2)&amp;Calc!$Q261&amp;"|"&amp;"1"&amp;RIGHT("00000"&amp;252,5))</f>
        <v/>
      </c>
      <c r="C257" t="str">
        <f t="shared" si="15"/>
        <v/>
      </c>
      <c r="D257" t="str">
        <f t="shared" si="16"/>
        <v/>
      </c>
      <c r="F257" t="str">
        <f>IF(Sync!$AH257="","",IF(LEFT(UPPER(TRIM(Sync!$AH257)),2)="SL",UPPER(TRIM(Sync!$AH257)),""))</f>
        <v/>
      </c>
      <c r="G257" t="str">
        <f>IF($F257="","",IF(Sync!$AE257="","",IF(ISNUMBER(Sync!$AE257),IF(AND(Sync!$AE257&gt;=10000101,Sync!$AE257&lt;=99991231),INT(Sync!$AE257/10000),""),IFERROR(VALUE(TRIM(LEFT(Sync!$AE257,FIND("/",Sync!$AE257)-1))),""))))</f>
        <v/>
      </c>
      <c r="H257" t="str">
        <f>IF(OR($F257="",$G257=""),"",IF(ISNUMBER(Sync!$AE257),INT(MOD(Sync!$AE257,10000)/100),IFERROR(VALUE(TRIM(LEFT(MID(Sync!$AE257,FIND("/",Sync!$AE257)+1,20),FIND("/",MID(Sync!$AE257,FIND("/",Sync!$AE257)+1,20))-1))),"")))</f>
        <v/>
      </c>
      <c r="I257" t="str">
        <f>IF(OR($F257="",$G257=""),"",IF(ISNUMBER(Sync!$AE257),MOD(Sync!$AE257,100),IFERROR(VALUE(TRIM(MID(MID(Sync!$AE257,FIND("/",Sync!$AE257)+1,20),FIND("/",MID(Sync!$AE257,FIND("/",Sync!$AE257)+1,20))+1,20))),"")))</f>
        <v/>
      </c>
      <c r="J257" t="str">
        <f t="shared" si="17"/>
        <v/>
      </c>
      <c r="K257" t="str">
        <f>IF(OR($F257="",$J257="",$J257="نامعتبر"),"",LEFT($J257,4)&amp;MID($J257,6,2)&amp;RIGHT($J257,2)&amp;$N257&amp;"|"&amp;"2"&amp;RIGHT("00000"&amp;252,5))</f>
        <v/>
      </c>
      <c r="L257" t="str">
        <f t="shared" si="18"/>
        <v/>
      </c>
      <c r="M257" t="str">
        <f t="shared" si="19"/>
        <v/>
      </c>
      <c r="N257" t="str">
        <f>IF($F257="","",IF(Sync!$AF257="","0000",IF(AND(ISNUMBER(Sync!$AF257),Sync!$AF257&gt;=0,Sync!$AF257&lt;1),RIGHT("00"&amp;HOUR(Sync!$AF257),2)&amp;RIGHT("00"&amp;MINUTE(Sync!$AF257),2),IFERROR(RIGHT("00"&amp;VALUE(LEFT(Sync!$AF257,FIND(":",Sync!$AF257)-1)),2)&amp;RIGHT("00"&amp;VALUE(MID(Sync!$AF257,FIND(":",Sync!$AF257)+1,2)),2),"0000"))))</f>
        <v/>
      </c>
    </row>
    <row r="258" spans="1:14" x14ac:dyDescent="0.2">
      <c r="A258" t="str">
        <f>IF(OR(Calc!$E262="",Calc!$E262="نامعتبر",Calc!$G262=""),"",Calc!$G262)</f>
        <v/>
      </c>
      <c r="B258" t="str">
        <f>IF($A258="","",LEFT(Calc!$E262,4)&amp;MID(Calc!$E262,6,2)&amp;RIGHT(Calc!$E262,2)&amp;Calc!$Q262&amp;"|"&amp;"1"&amp;RIGHT("00000"&amp;253,5))</f>
        <v/>
      </c>
      <c r="C258" t="str">
        <f t="shared" si="15"/>
        <v/>
      </c>
      <c r="D258" t="str">
        <f t="shared" si="16"/>
        <v/>
      </c>
      <c r="F258" t="str">
        <f>IF(Sync!$AH258="","",IF(LEFT(UPPER(TRIM(Sync!$AH258)),2)="SL",UPPER(TRIM(Sync!$AH258)),""))</f>
        <v/>
      </c>
      <c r="G258" t="str">
        <f>IF($F258="","",IF(Sync!$AE258="","",IF(ISNUMBER(Sync!$AE258),IF(AND(Sync!$AE258&gt;=10000101,Sync!$AE258&lt;=99991231),INT(Sync!$AE258/10000),""),IFERROR(VALUE(TRIM(LEFT(Sync!$AE258,FIND("/",Sync!$AE258)-1))),""))))</f>
        <v/>
      </c>
      <c r="H258" t="str">
        <f>IF(OR($F258="",$G258=""),"",IF(ISNUMBER(Sync!$AE258),INT(MOD(Sync!$AE258,10000)/100),IFERROR(VALUE(TRIM(LEFT(MID(Sync!$AE258,FIND("/",Sync!$AE258)+1,20),FIND("/",MID(Sync!$AE258,FIND("/",Sync!$AE258)+1,20))-1))),"")))</f>
        <v/>
      </c>
      <c r="I258" t="str">
        <f>IF(OR($F258="",$G258=""),"",IF(ISNUMBER(Sync!$AE258),MOD(Sync!$AE258,100),IFERROR(VALUE(TRIM(MID(MID(Sync!$AE258,FIND("/",Sync!$AE258)+1,20),FIND("/",MID(Sync!$AE258,FIND("/",Sync!$AE258)+1,20))+1,20))),"")))</f>
        <v/>
      </c>
      <c r="J258" t="str">
        <f t="shared" si="17"/>
        <v/>
      </c>
      <c r="K258" t="str">
        <f>IF(OR($F258="",$J258="",$J258="نامعتبر"),"",LEFT($J258,4)&amp;MID($J258,6,2)&amp;RIGHT($J258,2)&amp;$N258&amp;"|"&amp;"2"&amp;RIGHT("00000"&amp;253,5))</f>
        <v/>
      </c>
      <c r="L258" t="str">
        <f t="shared" si="18"/>
        <v/>
      </c>
      <c r="M258" t="str">
        <f t="shared" si="19"/>
        <v/>
      </c>
      <c r="N258" t="str">
        <f>IF($F258="","",IF(Sync!$AF258="","0000",IF(AND(ISNUMBER(Sync!$AF258),Sync!$AF258&gt;=0,Sync!$AF258&lt;1),RIGHT("00"&amp;HOUR(Sync!$AF258),2)&amp;RIGHT("00"&amp;MINUTE(Sync!$AF258),2),IFERROR(RIGHT("00"&amp;VALUE(LEFT(Sync!$AF258,FIND(":",Sync!$AF258)-1)),2)&amp;RIGHT("00"&amp;VALUE(MID(Sync!$AF258,FIND(":",Sync!$AF258)+1,2)),2),"0000"))))</f>
        <v/>
      </c>
    </row>
    <row r="259" spans="1:14" x14ac:dyDescent="0.2">
      <c r="A259" t="str">
        <f>IF(OR(Calc!$E263="",Calc!$E263="نامعتبر",Calc!$G263=""),"",Calc!$G263)</f>
        <v/>
      </c>
      <c r="B259" t="str">
        <f>IF($A259="","",LEFT(Calc!$E263,4)&amp;MID(Calc!$E263,6,2)&amp;RIGHT(Calc!$E263,2)&amp;Calc!$Q263&amp;"|"&amp;"1"&amp;RIGHT("00000"&amp;254,5))</f>
        <v/>
      </c>
      <c r="C259" t="str">
        <f t="shared" si="15"/>
        <v/>
      </c>
      <c r="D259" t="str">
        <f t="shared" si="16"/>
        <v/>
      </c>
      <c r="F259" t="str">
        <f>IF(Sync!$AH259="","",IF(LEFT(UPPER(TRIM(Sync!$AH259)),2)="SL",UPPER(TRIM(Sync!$AH259)),""))</f>
        <v/>
      </c>
      <c r="G259" t="str">
        <f>IF($F259="","",IF(Sync!$AE259="","",IF(ISNUMBER(Sync!$AE259),IF(AND(Sync!$AE259&gt;=10000101,Sync!$AE259&lt;=99991231),INT(Sync!$AE259/10000),""),IFERROR(VALUE(TRIM(LEFT(Sync!$AE259,FIND("/",Sync!$AE259)-1))),""))))</f>
        <v/>
      </c>
      <c r="H259" t="str">
        <f>IF(OR($F259="",$G259=""),"",IF(ISNUMBER(Sync!$AE259),INT(MOD(Sync!$AE259,10000)/100),IFERROR(VALUE(TRIM(LEFT(MID(Sync!$AE259,FIND("/",Sync!$AE259)+1,20),FIND("/",MID(Sync!$AE259,FIND("/",Sync!$AE259)+1,20))-1))),"")))</f>
        <v/>
      </c>
      <c r="I259" t="str">
        <f>IF(OR($F259="",$G259=""),"",IF(ISNUMBER(Sync!$AE259),MOD(Sync!$AE259,100),IFERROR(VALUE(TRIM(MID(MID(Sync!$AE259,FIND("/",Sync!$AE259)+1,20),FIND("/",MID(Sync!$AE259,FIND("/",Sync!$AE259)+1,20))+1,20))),"")))</f>
        <v/>
      </c>
      <c r="J259" t="str">
        <f t="shared" si="17"/>
        <v/>
      </c>
      <c r="K259" t="str">
        <f>IF(OR($F259="",$J259="",$J259="نامعتبر"),"",LEFT($J259,4)&amp;MID($J259,6,2)&amp;RIGHT($J259,2)&amp;$N259&amp;"|"&amp;"2"&amp;RIGHT("00000"&amp;254,5))</f>
        <v/>
      </c>
      <c r="L259" t="str">
        <f t="shared" si="18"/>
        <v/>
      </c>
      <c r="M259" t="str">
        <f t="shared" si="19"/>
        <v/>
      </c>
      <c r="N259" t="str">
        <f>IF($F259="","",IF(Sync!$AF259="","0000",IF(AND(ISNUMBER(Sync!$AF259),Sync!$AF259&gt;=0,Sync!$AF259&lt;1),RIGHT("00"&amp;HOUR(Sync!$AF259),2)&amp;RIGHT("00"&amp;MINUTE(Sync!$AF259),2),IFERROR(RIGHT("00"&amp;VALUE(LEFT(Sync!$AF259,FIND(":",Sync!$AF259)-1)),2)&amp;RIGHT("00"&amp;VALUE(MID(Sync!$AF259,FIND(":",Sync!$AF259)+1,2)),2),"0000"))))</f>
        <v/>
      </c>
    </row>
    <row r="260" spans="1:14" x14ac:dyDescent="0.2">
      <c r="A260" t="str">
        <f>IF(OR(Calc!$E264="",Calc!$E264="نامعتبر",Calc!$G264=""),"",Calc!$G264)</f>
        <v/>
      </c>
      <c r="B260" t="str">
        <f>IF($A260="","",LEFT(Calc!$E264,4)&amp;MID(Calc!$E264,6,2)&amp;RIGHT(Calc!$E264,2)&amp;Calc!$Q264&amp;"|"&amp;"1"&amp;RIGHT("00000"&amp;255,5))</f>
        <v/>
      </c>
      <c r="C260" t="str">
        <f t="shared" si="15"/>
        <v/>
      </c>
      <c r="D260" t="str">
        <f t="shared" si="16"/>
        <v/>
      </c>
      <c r="F260" t="str">
        <f>IF(Sync!$AH260="","",IF(LEFT(UPPER(TRIM(Sync!$AH260)),2)="SL",UPPER(TRIM(Sync!$AH260)),""))</f>
        <v/>
      </c>
      <c r="G260" t="str">
        <f>IF($F260="","",IF(Sync!$AE260="","",IF(ISNUMBER(Sync!$AE260),IF(AND(Sync!$AE260&gt;=10000101,Sync!$AE260&lt;=99991231),INT(Sync!$AE260/10000),""),IFERROR(VALUE(TRIM(LEFT(Sync!$AE260,FIND("/",Sync!$AE260)-1))),""))))</f>
        <v/>
      </c>
      <c r="H260" t="str">
        <f>IF(OR($F260="",$G260=""),"",IF(ISNUMBER(Sync!$AE260),INT(MOD(Sync!$AE260,10000)/100),IFERROR(VALUE(TRIM(LEFT(MID(Sync!$AE260,FIND("/",Sync!$AE260)+1,20),FIND("/",MID(Sync!$AE260,FIND("/",Sync!$AE260)+1,20))-1))),"")))</f>
        <v/>
      </c>
      <c r="I260" t="str">
        <f>IF(OR($F260="",$G260=""),"",IF(ISNUMBER(Sync!$AE260),MOD(Sync!$AE260,100),IFERROR(VALUE(TRIM(MID(MID(Sync!$AE260,FIND("/",Sync!$AE260)+1,20),FIND("/",MID(Sync!$AE260,FIND("/",Sync!$AE260)+1,20))+1,20))),"")))</f>
        <v/>
      </c>
      <c r="J260" t="str">
        <f t="shared" si="17"/>
        <v/>
      </c>
      <c r="K260" t="str">
        <f>IF(OR($F260="",$J260="",$J260="نامعتبر"),"",LEFT($J260,4)&amp;MID($J260,6,2)&amp;RIGHT($J260,2)&amp;$N260&amp;"|"&amp;"2"&amp;RIGHT("00000"&amp;255,5))</f>
        <v/>
      </c>
      <c r="L260" t="str">
        <f t="shared" si="18"/>
        <v/>
      </c>
      <c r="M260" t="str">
        <f t="shared" si="19"/>
        <v/>
      </c>
      <c r="N260" t="str">
        <f>IF($F260="","",IF(Sync!$AF260="","0000",IF(AND(ISNUMBER(Sync!$AF260),Sync!$AF260&gt;=0,Sync!$AF260&lt;1),RIGHT("00"&amp;HOUR(Sync!$AF260),2)&amp;RIGHT("00"&amp;MINUTE(Sync!$AF260),2),IFERROR(RIGHT("00"&amp;VALUE(LEFT(Sync!$AF260,FIND(":",Sync!$AF260)-1)),2)&amp;RIGHT("00"&amp;VALUE(MID(Sync!$AF260,FIND(":",Sync!$AF260)+1,2)),2),"0000"))))</f>
        <v/>
      </c>
    </row>
    <row r="261" spans="1:14" x14ac:dyDescent="0.2">
      <c r="A261" t="str">
        <f>IF(OR(Calc!$E265="",Calc!$E265="نامعتبر",Calc!$G265=""),"",Calc!$G265)</f>
        <v/>
      </c>
      <c r="B261" t="str">
        <f>IF($A261="","",LEFT(Calc!$E265,4)&amp;MID(Calc!$E265,6,2)&amp;RIGHT(Calc!$E265,2)&amp;Calc!$Q265&amp;"|"&amp;"1"&amp;RIGHT("00000"&amp;256,5))</f>
        <v/>
      </c>
      <c r="C261" t="str">
        <f t="shared" si="15"/>
        <v/>
      </c>
      <c r="D261" t="str">
        <f t="shared" si="16"/>
        <v/>
      </c>
      <c r="F261" t="str">
        <f>IF(Sync!$AH261="","",IF(LEFT(UPPER(TRIM(Sync!$AH261)),2)="SL",UPPER(TRIM(Sync!$AH261)),""))</f>
        <v/>
      </c>
      <c r="G261" t="str">
        <f>IF($F261="","",IF(Sync!$AE261="","",IF(ISNUMBER(Sync!$AE261),IF(AND(Sync!$AE261&gt;=10000101,Sync!$AE261&lt;=99991231),INT(Sync!$AE261/10000),""),IFERROR(VALUE(TRIM(LEFT(Sync!$AE261,FIND("/",Sync!$AE261)-1))),""))))</f>
        <v/>
      </c>
      <c r="H261" t="str">
        <f>IF(OR($F261="",$G261=""),"",IF(ISNUMBER(Sync!$AE261),INT(MOD(Sync!$AE261,10000)/100),IFERROR(VALUE(TRIM(LEFT(MID(Sync!$AE261,FIND("/",Sync!$AE261)+1,20),FIND("/",MID(Sync!$AE261,FIND("/",Sync!$AE261)+1,20))-1))),"")))</f>
        <v/>
      </c>
      <c r="I261" t="str">
        <f>IF(OR($F261="",$G261=""),"",IF(ISNUMBER(Sync!$AE261),MOD(Sync!$AE261,100),IFERROR(VALUE(TRIM(MID(MID(Sync!$AE261,FIND("/",Sync!$AE261)+1,20),FIND("/",MID(Sync!$AE261,FIND("/",Sync!$AE261)+1,20))+1,20))),"")))</f>
        <v/>
      </c>
      <c r="J261" t="str">
        <f t="shared" si="17"/>
        <v/>
      </c>
      <c r="K261" t="str">
        <f>IF(OR($F261="",$J261="",$J261="نامعتبر"),"",LEFT($J261,4)&amp;MID($J261,6,2)&amp;RIGHT($J261,2)&amp;$N261&amp;"|"&amp;"2"&amp;RIGHT("00000"&amp;256,5))</f>
        <v/>
      </c>
      <c r="L261" t="str">
        <f t="shared" si="18"/>
        <v/>
      </c>
      <c r="M261" t="str">
        <f t="shared" si="19"/>
        <v/>
      </c>
      <c r="N261" t="str">
        <f>IF($F261="","",IF(Sync!$AF261="","0000",IF(AND(ISNUMBER(Sync!$AF261),Sync!$AF261&gt;=0,Sync!$AF261&lt;1),RIGHT("00"&amp;HOUR(Sync!$AF261),2)&amp;RIGHT("00"&amp;MINUTE(Sync!$AF261),2),IFERROR(RIGHT("00"&amp;VALUE(LEFT(Sync!$AF261,FIND(":",Sync!$AF261)-1)),2)&amp;RIGHT("00"&amp;VALUE(MID(Sync!$AF261,FIND(":",Sync!$AF261)+1,2)),2),"0000"))))</f>
        <v/>
      </c>
    </row>
    <row r="262" spans="1:14" x14ac:dyDescent="0.2">
      <c r="A262" t="str">
        <f>IF(OR(Calc!$E266="",Calc!$E266="نامعتبر",Calc!$G266=""),"",Calc!$G266)</f>
        <v/>
      </c>
      <c r="B262" t="str">
        <f>IF($A262="","",LEFT(Calc!$E266,4)&amp;MID(Calc!$E266,6,2)&amp;RIGHT(Calc!$E266,2)&amp;Calc!$Q266&amp;"|"&amp;"1"&amp;RIGHT("00000"&amp;257,5))</f>
        <v/>
      </c>
      <c r="C262" t="str">
        <f t="shared" ref="C262:C325" si="20">IF($B262="","",COUNTIFS(LdgSellerA,$A262,LdgKeyA,"&lt;"&amp;$B262)+COUNTIFS(LdgSellerB,$A262,LdgKeyB,"&lt;"&amp;$B262)+1)</f>
        <v/>
      </c>
      <c r="D262" t="str">
        <f t="shared" ref="D262:D325" si="21">IF($C262="","",$A262&amp;"|"&amp;RIGHT("000000"&amp;$C262,6))</f>
        <v/>
      </c>
      <c r="F262" t="str">
        <f>IF(Sync!$AH262="","",IF(LEFT(UPPER(TRIM(Sync!$AH262)),2)="SL",UPPER(TRIM(Sync!$AH262)),""))</f>
        <v/>
      </c>
      <c r="G262" t="str">
        <f>IF($F262="","",IF(Sync!$AE262="","",IF(ISNUMBER(Sync!$AE262),IF(AND(Sync!$AE262&gt;=10000101,Sync!$AE262&lt;=99991231),INT(Sync!$AE262/10000),""),IFERROR(VALUE(TRIM(LEFT(Sync!$AE262,FIND("/",Sync!$AE262)-1))),""))))</f>
        <v/>
      </c>
      <c r="H262" t="str">
        <f>IF(OR($F262="",$G262=""),"",IF(ISNUMBER(Sync!$AE262),INT(MOD(Sync!$AE262,10000)/100),IFERROR(VALUE(TRIM(LEFT(MID(Sync!$AE262,FIND("/",Sync!$AE262)+1,20),FIND("/",MID(Sync!$AE262,FIND("/",Sync!$AE262)+1,20))-1))),"")))</f>
        <v/>
      </c>
      <c r="I262" t="str">
        <f>IF(OR($F262="",$G262=""),"",IF(ISNUMBER(Sync!$AE262),MOD(Sync!$AE262,100),IFERROR(VALUE(TRIM(MID(MID(Sync!$AE262,FIND("/",Sync!$AE262)+1,20),FIND("/",MID(Sync!$AE262,FIND("/",Sync!$AE262)+1,20))+1,20))),"")))</f>
        <v/>
      </c>
      <c r="J262" t="str">
        <f t="shared" ref="J262:J325" si="22">IF($F262="","",IF(OR($G262="",$H262="",$I262="",$G262&lt;1300,$G262&gt;1500,$H262&lt;1,$H262&gt;12,$I262&lt;1,$I262&gt;31),"نامعتبر",RIGHT("0000"&amp;$G262,4)&amp;"/"&amp;RIGHT("00"&amp;$H262,2)&amp;"/"&amp;RIGHT("00"&amp;$I262,2)))</f>
        <v/>
      </c>
      <c r="K262" t="str">
        <f>IF(OR($F262="",$J262="",$J262="نامعتبر"),"",LEFT($J262,4)&amp;MID($J262,6,2)&amp;RIGHT($J262,2)&amp;$N262&amp;"|"&amp;"2"&amp;RIGHT("00000"&amp;257,5))</f>
        <v/>
      </c>
      <c r="L262" t="str">
        <f t="shared" ref="L262:L325" si="23">IF($K262="","",COUNTIFS(LdgSellerA,$F262,LdgKeyA,"&lt;"&amp;$K262)+COUNTIFS(LdgSellerB,$F262,LdgKeyB,"&lt;"&amp;$K262)+1)</f>
        <v/>
      </c>
      <c r="M262" t="str">
        <f t="shared" ref="M262:M325" si="24">IF($L262="","",$F262&amp;"|"&amp;RIGHT("000000"&amp;$L262,6))</f>
        <v/>
      </c>
      <c r="N262" t="str">
        <f>IF($F262="","",IF(Sync!$AF262="","0000",IF(AND(ISNUMBER(Sync!$AF262),Sync!$AF262&gt;=0,Sync!$AF262&lt;1),RIGHT("00"&amp;HOUR(Sync!$AF262),2)&amp;RIGHT("00"&amp;MINUTE(Sync!$AF262),2),IFERROR(RIGHT("00"&amp;VALUE(LEFT(Sync!$AF262,FIND(":",Sync!$AF262)-1)),2)&amp;RIGHT("00"&amp;VALUE(MID(Sync!$AF262,FIND(":",Sync!$AF262)+1,2)),2),"0000"))))</f>
        <v/>
      </c>
    </row>
    <row r="263" spans="1:14" x14ac:dyDescent="0.2">
      <c r="A263" t="str">
        <f>IF(OR(Calc!$E267="",Calc!$E267="نامعتبر",Calc!$G267=""),"",Calc!$G267)</f>
        <v/>
      </c>
      <c r="B263" t="str">
        <f>IF($A263="","",LEFT(Calc!$E267,4)&amp;MID(Calc!$E267,6,2)&amp;RIGHT(Calc!$E267,2)&amp;Calc!$Q267&amp;"|"&amp;"1"&amp;RIGHT("00000"&amp;258,5))</f>
        <v/>
      </c>
      <c r="C263" t="str">
        <f t="shared" si="20"/>
        <v/>
      </c>
      <c r="D263" t="str">
        <f t="shared" si="21"/>
        <v/>
      </c>
      <c r="F263" t="str">
        <f>IF(Sync!$AH263="","",IF(LEFT(UPPER(TRIM(Sync!$AH263)),2)="SL",UPPER(TRIM(Sync!$AH263)),""))</f>
        <v/>
      </c>
      <c r="G263" t="str">
        <f>IF($F263="","",IF(Sync!$AE263="","",IF(ISNUMBER(Sync!$AE263),IF(AND(Sync!$AE263&gt;=10000101,Sync!$AE263&lt;=99991231),INT(Sync!$AE263/10000),""),IFERROR(VALUE(TRIM(LEFT(Sync!$AE263,FIND("/",Sync!$AE263)-1))),""))))</f>
        <v/>
      </c>
      <c r="H263" t="str">
        <f>IF(OR($F263="",$G263=""),"",IF(ISNUMBER(Sync!$AE263),INT(MOD(Sync!$AE263,10000)/100),IFERROR(VALUE(TRIM(LEFT(MID(Sync!$AE263,FIND("/",Sync!$AE263)+1,20),FIND("/",MID(Sync!$AE263,FIND("/",Sync!$AE263)+1,20))-1))),"")))</f>
        <v/>
      </c>
      <c r="I263" t="str">
        <f>IF(OR($F263="",$G263=""),"",IF(ISNUMBER(Sync!$AE263),MOD(Sync!$AE263,100),IFERROR(VALUE(TRIM(MID(MID(Sync!$AE263,FIND("/",Sync!$AE263)+1,20),FIND("/",MID(Sync!$AE263,FIND("/",Sync!$AE263)+1,20))+1,20))),"")))</f>
        <v/>
      </c>
      <c r="J263" t="str">
        <f t="shared" si="22"/>
        <v/>
      </c>
      <c r="K263" t="str">
        <f>IF(OR($F263="",$J263="",$J263="نامعتبر"),"",LEFT($J263,4)&amp;MID($J263,6,2)&amp;RIGHT($J263,2)&amp;$N263&amp;"|"&amp;"2"&amp;RIGHT("00000"&amp;258,5))</f>
        <v/>
      </c>
      <c r="L263" t="str">
        <f t="shared" si="23"/>
        <v/>
      </c>
      <c r="M263" t="str">
        <f t="shared" si="24"/>
        <v/>
      </c>
      <c r="N263" t="str">
        <f>IF($F263="","",IF(Sync!$AF263="","0000",IF(AND(ISNUMBER(Sync!$AF263),Sync!$AF263&gt;=0,Sync!$AF263&lt;1),RIGHT("00"&amp;HOUR(Sync!$AF263),2)&amp;RIGHT("00"&amp;MINUTE(Sync!$AF263),2),IFERROR(RIGHT("00"&amp;VALUE(LEFT(Sync!$AF263,FIND(":",Sync!$AF263)-1)),2)&amp;RIGHT("00"&amp;VALUE(MID(Sync!$AF263,FIND(":",Sync!$AF263)+1,2)),2),"0000"))))</f>
        <v/>
      </c>
    </row>
    <row r="264" spans="1:14" x14ac:dyDescent="0.2">
      <c r="A264" t="str">
        <f>IF(OR(Calc!$E268="",Calc!$E268="نامعتبر",Calc!$G268=""),"",Calc!$G268)</f>
        <v/>
      </c>
      <c r="B264" t="str">
        <f>IF($A264="","",LEFT(Calc!$E268,4)&amp;MID(Calc!$E268,6,2)&amp;RIGHT(Calc!$E268,2)&amp;Calc!$Q268&amp;"|"&amp;"1"&amp;RIGHT("00000"&amp;259,5))</f>
        <v/>
      </c>
      <c r="C264" t="str">
        <f t="shared" si="20"/>
        <v/>
      </c>
      <c r="D264" t="str">
        <f t="shared" si="21"/>
        <v/>
      </c>
      <c r="F264" t="str">
        <f>IF(Sync!$AH264="","",IF(LEFT(UPPER(TRIM(Sync!$AH264)),2)="SL",UPPER(TRIM(Sync!$AH264)),""))</f>
        <v/>
      </c>
      <c r="G264" t="str">
        <f>IF($F264="","",IF(Sync!$AE264="","",IF(ISNUMBER(Sync!$AE264),IF(AND(Sync!$AE264&gt;=10000101,Sync!$AE264&lt;=99991231),INT(Sync!$AE264/10000),""),IFERROR(VALUE(TRIM(LEFT(Sync!$AE264,FIND("/",Sync!$AE264)-1))),""))))</f>
        <v/>
      </c>
      <c r="H264" t="str">
        <f>IF(OR($F264="",$G264=""),"",IF(ISNUMBER(Sync!$AE264),INT(MOD(Sync!$AE264,10000)/100),IFERROR(VALUE(TRIM(LEFT(MID(Sync!$AE264,FIND("/",Sync!$AE264)+1,20),FIND("/",MID(Sync!$AE264,FIND("/",Sync!$AE264)+1,20))-1))),"")))</f>
        <v/>
      </c>
      <c r="I264" t="str">
        <f>IF(OR($F264="",$G264=""),"",IF(ISNUMBER(Sync!$AE264),MOD(Sync!$AE264,100),IFERROR(VALUE(TRIM(MID(MID(Sync!$AE264,FIND("/",Sync!$AE264)+1,20),FIND("/",MID(Sync!$AE264,FIND("/",Sync!$AE264)+1,20))+1,20))),"")))</f>
        <v/>
      </c>
      <c r="J264" t="str">
        <f t="shared" si="22"/>
        <v/>
      </c>
      <c r="K264" t="str">
        <f>IF(OR($F264="",$J264="",$J264="نامعتبر"),"",LEFT($J264,4)&amp;MID($J264,6,2)&amp;RIGHT($J264,2)&amp;$N264&amp;"|"&amp;"2"&amp;RIGHT("00000"&amp;259,5))</f>
        <v/>
      </c>
      <c r="L264" t="str">
        <f t="shared" si="23"/>
        <v/>
      </c>
      <c r="M264" t="str">
        <f t="shared" si="24"/>
        <v/>
      </c>
      <c r="N264" t="str">
        <f>IF($F264="","",IF(Sync!$AF264="","0000",IF(AND(ISNUMBER(Sync!$AF264),Sync!$AF264&gt;=0,Sync!$AF264&lt;1),RIGHT("00"&amp;HOUR(Sync!$AF264),2)&amp;RIGHT("00"&amp;MINUTE(Sync!$AF264),2),IFERROR(RIGHT("00"&amp;VALUE(LEFT(Sync!$AF264,FIND(":",Sync!$AF264)-1)),2)&amp;RIGHT("00"&amp;VALUE(MID(Sync!$AF264,FIND(":",Sync!$AF264)+1,2)),2),"0000"))))</f>
        <v/>
      </c>
    </row>
    <row r="265" spans="1:14" x14ac:dyDescent="0.2">
      <c r="A265" t="str">
        <f>IF(OR(Calc!$E269="",Calc!$E269="نامعتبر",Calc!$G269=""),"",Calc!$G269)</f>
        <v/>
      </c>
      <c r="B265" t="str">
        <f>IF($A265="","",LEFT(Calc!$E269,4)&amp;MID(Calc!$E269,6,2)&amp;RIGHT(Calc!$E269,2)&amp;Calc!$Q269&amp;"|"&amp;"1"&amp;RIGHT("00000"&amp;260,5))</f>
        <v/>
      </c>
      <c r="C265" t="str">
        <f t="shared" si="20"/>
        <v/>
      </c>
      <c r="D265" t="str">
        <f t="shared" si="21"/>
        <v/>
      </c>
      <c r="F265" t="str">
        <f>IF(Sync!$AH265="","",IF(LEFT(UPPER(TRIM(Sync!$AH265)),2)="SL",UPPER(TRIM(Sync!$AH265)),""))</f>
        <v/>
      </c>
      <c r="G265" t="str">
        <f>IF($F265="","",IF(Sync!$AE265="","",IF(ISNUMBER(Sync!$AE265),IF(AND(Sync!$AE265&gt;=10000101,Sync!$AE265&lt;=99991231),INT(Sync!$AE265/10000),""),IFERROR(VALUE(TRIM(LEFT(Sync!$AE265,FIND("/",Sync!$AE265)-1))),""))))</f>
        <v/>
      </c>
      <c r="H265" t="str">
        <f>IF(OR($F265="",$G265=""),"",IF(ISNUMBER(Sync!$AE265),INT(MOD(Sync!$AE265,10000)/100),IFERROR(VALUE(TRIM(LEFT(MID(Sync!$AE265,FIND("/",Sync!$AE265)+1,20),FIND("/",MID(Sync!$AE265,FIND("/",Sync!$AE265)+1,20))-1))),"")))</f>
        <v/>
      </c>
      <c r="I265" t="str">
        <f>IF(OR($F265="",$G265=""),"",IF(ISNUMBER(Sync!$AE265),MOD(Sync!$AE265,100),IFERROR(VALUE(TRIM(MID(MID(Sync!$AE265,FIND("/",Sync!$AE265)+1,20),FIND("/",MID(Sync!$AE265,FIND("/",Sync!$AE265)+1,20))+1,20))),"")))</f>
        <v/>
      </c>
      <c r="J265" t="str">
        <f t="shared" si="22"/>
        <v/>
      </c>
      <c r="K265" t="str">
        <f>IF(OR($F265="",$J265="",$J265="نامعتبر"),"",LEFT($J265,4)&amp;MID($J265,6,2)&amp;RIGHT($J265,2)&amp;$N265&amp;"|"&amp;"2"&amp;RIGHT("00000"&amp;260,5))</f>
        <v/>
      </c>
      <c r="L265" t="str">
        <f t="shared" si="23"/>
        <v/>
      </c>
      <c r="M265" t="str">
        <f t="shared" si="24"/>
        <v/>
      </c>
      <c r="N265" t="str">
        <f>IF($F265="","",IF(Sync!$AF265="","0000",IF(AND(ISNUMBER(Sync!$AF265),Sync!$AF265&gt;=0,Sync!$AF265&lt;1),RIGHT("00"&amp;HOUR(Sync!$AF265),2)&amp;RIGHT("00"&amp;MINUTE(Sync!$AF265),2),IFERROR(RIGHT("00"&amp;VALUE(LEFT(Sync!$AF265,FIND(":",Sync!$AF265)-1)),2)&amp;RIGHT("00"&amp;VALUE(MID(Sync!$AF265,FIND(":",Sync!$AF265)+1,2)),2),"0000"))))</f>
        <v/>
      </c>
    </row>
    <row r="266" spans="1:14" x14ac:dyDescent="0.2">
      <c r="A266" t="str">
        <f>IF(OR(Calc!$E270="",Calc!$E270="نامعتبر",Calc!$G270=""),"",Calc!$G270)</f>
        <v/>
      </c>
      <c r="B266" t="str">
        <f>IF($A266="","",LEFT(Calc!$E270,4)&amp;MID(Calc!$E270,6,2)&amp;RIGHT(Calc!$E270,2)&amp;Calc!$Q270&amp;"|"&amp;"1"&amp;RIGHT("00000"&amp;261,5))</f>
        <v/>
      </c>
      <c r="C266" t="str">
        <f t="shared" si="20"/>
        <v/>
      </c>
      <c r="D266" t="str">
        <f t="shared" si="21"/>
        <v/>
      </c>
      <c r="F266" t="str">
        <f>IF(Sync!$AH266="","",IF(LEFT(UPPER(TRIM(Sync!$AH266)),2)="SL",UPPER(TRIM(Sync!$AH266)),""))</f>
        <v/>
      </c>
      <c r="G266" t="str">
        <f>IF($F266="","",IF(Sync!$AE266="","",IF(ISNUMBER(Sync!$AE266),IF(AND(Sync!$AE266&gt;=10000101,Sync!$AE266&lt;=99991231),INT(Sync!$AE266/10000),""),IFERROR(VALUE(TRIM(LEFT(Sync!$AE266,FIND("/",Sync!$AE266)-1))),""))))</f>
        <v/>
      </c>
      <c r="H266" t="str">
        <f>IF(OR($F266="",$G266=""),"",IF(ISNUMBER(Sync!$AE266),INT(MOD(Sync!$AE266,10000)/100),IFERROR(VALUE(TRIM(LEFT(MID(Sync!$AE266,FIND("/",Sync!$AE266)+1,20),FIND("/",MID(Sync!$AE266,FIND("/",Sync!$AE266)+1,20))-1))),"")))</f>
        <v/>
      </c>
      <c r="I266" t="str">
        <f>IF(OR($F266="",$G266=""),"",IF(ISNUMBER(Sync!$AE266),MOD(Sync!$AE266,100),IFERROR(VALUE(TRIM(MID(MID(Sync!$AE266,FIND("/",Sync!$AE266)+1,20),FIND("/",MID(Sync!$AE266,FIND("/",Sync!$AE266)+1,20))+1,20))),"")))</f>
        <v/>
      </c>
      <c r="J266" t="str">
        <f t="shared" si="22"/>
        <v/>
      </c>
      <c r="K266" t="str">
        <f>IF(OR($F266="",$J266="",$J266="نامعتبر"),"",LEFT($J266,4)&amp;MID($J266,6,2)&amp;RIGHT($J266,2)&amp;$N266&amp;"|"&amp;"2"&amp;RIGHT("00000"&amp;261,5))</f>
        <v/>
      </c>
      <c r="L266" t="str">
        <f t="shared" si="23"/>
        <v/>
      </c>
      <c r="M266" t="str">
        <f t="shared" si="24"/>
        <v/>
      </c>
      <c r="N266" t="str">
        <f>IF($F266="","",IF(Sync!$AF266="","0000",IF(AND(ISNUMBER(Sync!$AF266),Sync!$AF266&gt;=0,Sync!$AF266&lt;1),RIGHT("00"&amp;HOUR(Sync!$AF266),2)&amp;RIGHT("00"&amp;MINUTE(Sync!$AF266),2),IFERROR(RIGHT("00"&amp;VALUE(LEFT(Sync!$AF266,FIND(":",Sync!$AF266)-1)),2)&amp;RIGHT("00"&amp;VALUE(MID(Sync!$AF266,FIND(":",Sync!$AF266)+1,2)),2),"0000"))))</f>
        <v/>
      </c>
    </row>
    <row r="267" spans="1:14" x14ac:dyDescent="0.2">
      <c r="A267" t="str">
        <f>IF(OR(Calc!$E271="",Calc!$E271="نامعتبر",Calc!$G271=""),"",Calc!$G271)</f>
        <v/>
      </c>
      <c r="B267" t="str">
        <f>IF($A267="","",LEFT(Calc!$E271,4)&amp;MID(Calc!$E271,6,2)&amp;RIGHT(Calc!$E271,2)&amp;Calc!$Q271&amp;"|"&amp;"1"&amp;RIGHT("00000"&amp;262,5))</f>
        <v/>
      </c>
      <c r="C267" t="str">
        <f t="shared" si="20"/>
        <v/>
      </c>
      <c r="D267" t="str">
        <f t="shared" si="21"/>
        <v/>
      </c>
      <c r="F267" t="str">
        <f>IF(Sync!$AH267="","",IF(LEFT(UPPER(TRIM(Sync!$AH267)),2)="SL",UPPER(TRIM(Sync!$AH267)),""))</f>
        <v/>
      </c>
      <c r="G267" t="str">
        <f>IF($F267="","",IF(Sync!$AE267="","",IF(ISNUMBER(Sync!$AE267),IF(AND(Sync!$AE267&gt;=10000101,Sync!$AE267&lt;=99991231),INT(Sync!$AE267/10000),""),IFERROR(VALUE(TRIM(LEFT(Sync!$AE267,FIND("/",Sync!$AE267)-1))),""))))</f>
        <v/>
      </c>
      <c r="H267" t="str">
        <f>IF(OR($F267="",$G267=""),"",IF(ISNUMBER(Sync!$AE267),INT(MOD(Sync!$AE267,10000)/100),IFERROR(VALUE(TRIM(LEFT(MID(Sync!$AE267,FIND("/",Sync!$AE267)+1,20),FIND("/",MID(Sync!$AE267,FIND("/",Sync!$AE267)+1,20))-1))),"")))</f>
        <v/>
      </c>
      <c r="I267" t="str">
        <f>IF(OR($F267="",$G267=""),"",IF(ISNUMBER(Sync!$AE267),MOD(Sync!$AE267,100),IFERROR(VALUE(TRIM(MID(MID(Sync!$AE267,FIND("/",Sync!$AE267)+1,20),FIND("/",MID(Sync!$AE267,FIND("/",Sync!$AE267)+1,20))+1,20))),"")))</f>
        <v/>
      </c>
      <c r="J267" t="str">
        <f t="shared" si="22"/>
        <v/>
      </c>
      <c r="K267" t="str">
        <f>IF(OR($F267="",$J267="",$J267="نامعتبر"),"",LEFT($J267,4)&amp;MID($J267,6,2)&amp;RIGHT($J267,2)&amp;$N267&amp;"|"&amp;"2"&amp;RIGHT("00000"&amp;262,5))</f>
        <v/>
      </c>
      <c r="L267" t="str">
        <f t="shared" si="23"/>
        <v/>
      </c>
      <c r="M267" t="str">
        <f t="shared" si="24"/>
        <v/>
      </c>
      <c r="N267" t="str">
        <f>IF($F267="","",IF(Sync!$AF267="","0000",IF(AND(ISNUMBER(Sync!$AF267),Sync!$AF267&gt;=0,Sync!$AF267&lt;1),RIGHT("00"&amp;HOUR(Sync!$AF267),2)&amp;RIGHT("00"&amp;MINUTE(Sync!$AF267),2),IFERROR(RIGHT("00"&amp;VALUE(LEFT(Sync!$AF267,FIND(":",Sync!$AF267)-1)),2)&amp;RIGHT("00"&amp;VALUE(MID(Sync!$AF267,FIND(":",Sync!$AF267)+1,2)),2),"0000"))))</f>
        <v/>
      </c>
    </row>
    <row r="268" spans="1:14" x14ac:dyDescent="0.2">
      <c r="A268" t="str">
        <f>IF(OR(Calc!$E272="",Calc!$E272="نامعتبر",Calc!$G272=""),"",Calc!$G272)</f>
        <v/>
      </c>
      <c r="B268" t="str">
        <f>IF($A268="","",LEFT(Calc!$E272,4)&amp;MID(Calc!$E272,6,2)&amp;RIGHT(Calc!$E272,2)&amp;Calc!$Q272&amp;"|"&amp;"1"&amp;RIGHT("00000"&amp;263,5))</f>
        <v/>
      </c>
      <c r="C268" t="str">
        <f t="shared" si="20"/>
        <v/>
      </c>
      <c r="D268" t="str">
        <f t="shared" si="21"/>
        <v/>
      </c>
      <c r="F268" t="str">
        <f>IF(Sync!$AH268="","",IF(LEFT(UPPER(TRIM(Sync!$AH268)),2)="SL",UPPER(TRIM(Sync!$AH268)),""))</f>
        <v/>
      </c>
      <c r="G268" t="str">
        <f>IF($F268="","",IF(Sync!$AE268="","",IF(ISNUMBER(Sync!$AE268),IF(AND(Sync!$AE268&gt;=10000101,Sync!$AE268&lt;=99991231),INT(Sync!$AE268/10000),""),IFERROR(VALUE(TRIM(LEFT(Sync!$AE268,FIND("/",Sync!$AE268)-1))),""))))</f>
        <v/>
      </c>
      <c r="H268" t="str">
        <f>IF(OR($F268="",$G268=""),"",IF(ISNUMBER(Sync!$AE268),INT(MOD(Sync!$AE268,10000)/100),IFERROR(VALUE(TRIM(LEFT(MID(Sync!$AE268,FIND("/",Sync!$AE268)+1,20),FIND("/",MID(Sync!$AE268,FIND("/",Sync!$AE268)+1,20))-1))),"")))</f>
        <v/>
      </c>
      <c r="I268" t="str">
        <f>IF(OR($F268="",$G268=""),"",IF(ISNUMBER(Sync!$AE268),MOD(Sync!$AE268,100),IFERROR(VALUE(TRIM(MID(MID(Sync!$AE268,FIND("/",Sync!$AE268)+1,20),FIND("/",MID(Sync!$AE268,FIND("/",Sync!$AE268)+1,20))+1,20))),"")))</f>
        <v/>
      </c>
      <c r="J268" t="str">
        <f t="shared" si="22"/>
        <v/>
      </c>
      <c r="K268" t="str">
        <f>IF(OR($F268="",$J268="",$J268="نامعتبر"),"",LEFT($J268,4)&amp;MID($J268,6,2)&amp;RIGHT($J268,2)&amp;$N268&amp;"|"&amp;"2"&amp;RIGHT("00000"&amp;263,5))</f>
        <v/>
      </c>
      <c r="L268" t="str">
        <f t="shared" si="23"/>
        <v/>
      </c>
      <c r="M268" t="str">
        <f t="shared" si="24"/>
        <v/>
      </c>
      <c r="N268" t="str">
        <f>IF($F268="","",IF(Sync!$AF268="","0000",IF(AND(ISNUMBER(Sync!$AF268),Sync!$AF268&gt;=0,Sync!$AF268&lt;1),RIGHT("00"&amp;HOUR(Sync!$AF268),2)&amp;RIGHT("00"&amp;MINUTE(Sync!$AF268),2),IFERROR(RIGHT("00"&amp;VALUE(LEFT(Sync!$AF268,FIND(":",Sync!$AF268)-1)),2)&amp;RIGHT("00"&amp;VALUE(MID(Sync!$AF268,FIND(":",Sync!$AF268)+1,2)),2),"0000"))))</f>
        <v/>
      </c>
    </row>
    <row r="269" spans="1:14" x14ac:dyDescent="0.2">
      <c r="A269" t="str">
        <f>IF(OR(Calc!$E273="",Calc!$E273="نامعتبر",Calc!$G273=""),"",Calc!$G273)</f>
        <v/>
      </c>
      <c r="B269" t="str">
        <f>IF($A269="","",LEFT(Calc!$E273,4)&amp;MID(Calc!$E273,6,2)&amp;RIGHT(Calc!$E273,2)&amp;Calc!$Q273&amp;"|"&amp;"1"&amp;RIGHT("00000"&amp;264,5))</f>
        <v/>
      </c>
      <c r="C269" t="str">
        <f t="shared" si="20"/>
        <v/>
      </c>
      <c r="D269" t="str">
        <f t="shared" si="21"/>
        <v/>
      </c>
      <c r="F269" t="str">
        <f>IF(Sync!$AH269="","",IF(LEFT(UPPER(TRIM(Sync!$AH269)),2)="SL",UPPER(TRIM(Sync!$AH269)),""))</f>
        <v/>
      </c>
      <c r="G269" t="str">
        <f>IF($F269="","",IF(Sync!$AE269="","",IF(ISNUMBER(Sync!$AE269),IF(AND(Sync!$AE269&gt;=10000101,Sync!$AE269&lt;=99991231),INT(Sync!$AE269/10000),""),IFERROR(VALUE(TRIM(LEFT(Sync!$AE269,FIND("/",Sync!$AE269)-1))),""))))</f>
        <v/>
      </c>
      <c r="H269" t="str">
        <f>IF(OR($F269="",$G269=""),"",IF(ISNUMBER(Sync!$AE269),INT(MOD(Sync!$AE269,10000)/100),IFERROR(VALUE(TRIM(LEFT(MID(Sync!$AE269,FIND("/",Sync!$AE269)+1,20),FIND("/",MID(Sync!$AE269,FIND("/",Sync!$AE269)+1,20))-1))),"")))</f>
        <v/>
      </c>
      <c r="I269" t="str">
        <f>IF(OR($F269="",$G269=""),"",IF(ISNUMBER(Sync!$AE269),MOD(Sync!$AE269,100),IFERROR(VALUE(TRIM(MID(MID(Sync!$AE269,FIND("/",Sync!$AE269)+1,20),FIND("/",MID(Sync!$AE269,FIND("/",Sync!$AE269)+1,20))+1,20))),"")))</f>
        <v/>
      </c>
      <c r="J269" t="str">
        <f t="shared" si="22"/>
        <v/>
      </c>
      <c r="K269" t="str">
        <f>IF(OR($F269="",$J269="",$J269="نامعتبر"),"",LEFT($J269,4)&amp;MID($J269,6,2)&amp;RIGHT($J269,2)&amp;$N269&amp;"|"&amp;"2"&amp;RIGHT("00000"&amp;264,5))</f>
        <v/>
      </c>
      <c r="L269" t="str">
        <f t="shared" si="23"/>
        <v/>
      </c>
      <c r="M269" t="str">
        <f t="shared" si="24"/>
        <v/>
      </c>
      <c r="N269" t="str">
        <f>IF($F269="","",IF(Sync!$AF269="","0000",IF(AND(ISNUMBER(Sync!$AF269),Sync!$AF269&gt;=0,Sync!$AF269&lt;1),RIGHT("00"&amp;HOUR(Sync!$AF269),2)&amp;RIGHT("00"&amp;MINUTE(Sync!$AF269),2),IFERROR(RIGHT("00"&amp;VALUE(LEFT(Sync!$AF269,FIND(":",Sync!$AF269)-1)),2)&amp;RIGHT("00"&amp;VALUE(MID(Sync!$AF269,FIND(":",Sync!$AF269)+1,2)),2),"0000"))))</f>
        <v/>
      </c>
    </row>
    <row r="270" spans="1:14" x14ac:dyDescent="0.2">
      <c r="A270" t="str">
        <f>IF(OR(Calc!$E274="",Calc!$E274="نامعتبر",Calc!$G274=""),"",Calc!$G274)</f>
        <v/>
      </c>
      <c r="B270" t="str">
        <f>IF($A270="","",LEFT(Calc!$E274,4)&amp;MID(Calc!$E274,6,2)&amp;RIGHT(Calc!$E274,2)&amp;Calc!$Q274&amp;"|"&amp;"1"&amp;RIGHT("00000"&amp;265,5))</f>
        <v/>
      </c>
      <c r="C270" t="str">
        <f t="shared" si="20"/>
        <v/>
      </c>
      <c r="D270" t="str">
        <f t="shared" si="21"/>
        <v/>
      </c>
      <c r="F270" t="str">
        <f>IF(Sync!$AH270="","",IF(LEFT(UPPER(TRIM(Sync!$AH270)),2)="SL",UPPER(TRIM(Sync!$AH270)),""))</f>
        <v/>
      </c>
      <c r="G270" t="str">
        <f>IF($F270="","",IF(Sync!$AE270="","",IF(ISNUMBER(Sync!$AE270),IF(AND(Sync!$AE270&gt;=10000101,Sync!$AE270&lt;=99991231),INT(Sync!$AE270/10000),""),IFERROR(VALUE(TRIM(LEFT(Sync!$AE270,FIND("/",Sync!$AE270)-1))),""))))</f>
        <v/>
      </c>
      <c r="H270" t="str">
        <f>IF(OR($F270="",$G270=""),"",IF(ISNUMBER(Sync!$AE270),INT(MOD(Sync!$AE270,10000)/100),IFERROR(VALUE(TRIM(LEFT(MID(Sync!$AE270,FIND("/",Sync!$AE270)+1,20),FIND("/",MID(Sync!$AE270,FIND("/",Sync!$AE270)+1,20))-1))),"")))</f>
        <v/>
      </c>
      <c r="I270" t="str">
        <f>IF(OR($F270="",$G270=""),"",IF(ISNUMBER(Sync!$AE270),MOD(Sync!$AE270,100),IFERROR(VALUE(TRIM(MID(MID(Sync!$AE270,FIND("/",Sync!$AE270)+1,20),FIND("/",MID(Sync!$AE270,FIND("/",Sync!$AE270)+1,20))+1,20))),"")))</f>
        <v/>
      </c>
      <c r="J270" t="str">
        <f t="shared" si="22"/>
        <v/>
      </c>
      <c r="K270" t="str">
        <f>IF(OR($F270="",$J270="",$J270="نامعتبر"),"",LEFT($J270,4)&amp;MID($J270,6,2)&amp;RIGHT($J270,2)&amp;$N270&amp;"|"&amp;"2"&amp;RIGHT("00000"&amp;265,5))</f>
        <v/>
      </c>
      <c r="L270" t="str">
        <f t="shared" si="23"/>
        <v/>
      </c>
      <c r="M270" t="str">
        <f t="shared" si="24"/>
        <v/>
      </c>
      <c r="N270" t="str">
        <f>IF($F270="","",IF(Sync!$AF270="","0000",IF(AND(ISNUMBER(Sync!$AF270),Sync!$AF270&gt;=0,Sync!$AF270&lt;1),RIGHT("00"&amp;HOUR(Sync!$AF270),2)&amp;RIGHT("00"&amp;MINUTE(Sync!$AF270),2),IFERROR(RIGHT("00"&amp;VALUE(LEFT(Sync!$AF270,FIND(":",Sync!$AF270)-1)),2)&amp;RIGHT("00"&amp;VALUE(MID(Sync!$AF270,FIND(":",Sync!$AF270)+1,2)),2),"0000"))))</f>
        <v/>
      </c>
    </row>
    <row r="271" spans="1:14" x14ac:dyDescent="0.2">
      <c r="A271" t="str">
        <f>IF(OR(Calc!$E275="",Calc!$E275="نامعتبر",Calc!$G275=""),"",Calc!$G275)</f>
        <v/>
      </c>
      <c r="B271" t="str">
        <f>IF($A271="","",LEFT(Calc!$E275,4)&amp;MID(Calc!$E275,6,2)&amp;RIGHT(Calc!$E275,2)&amp;Calc!$Q275&amp;"|"&amp;"1"&amp;RIGHT("00000"&amp;266,5))</f>
        <v/>
      </c>
      <c r="C271" t="str">
        <f t="shared" si="20"/>
        <v/>
      </c>
      <c r="D271" t="str">
        <f t="shared" si="21"/>
        <v/>
      </c>
      <c r="F271" t="str">
        <f>IF(Sync!$AH271="","",IF(LEFT(UPPER(TRIM(Sync!$AH271)),2)="SL",UPPER(TRIM(Sync!$AH271)),""))</f>
        <v/>
      </c>
      <c r="G271" t="str">
        <f>IF($F271="","",IF(Sync!$AE271="","",IF(ISNUMBER(Sync!$AE271),IF(AND(Sync!$AE271&gt;=10000101,Sync!$AE271&lt;=99991231),INT(Sync!$AE271/10000),""),IFERROR(VALUE(TRIM(LEFT(Sync!$AE271,FIND("/",Sync!$AE271)-1))),""))))</f>
        <v/>
      </c>
      <c r="H271" t="str">
        <f>IF(OR($F271="",$G271=""),"",IF(ISNUMBER(Sync!$AE271),INT(MOD(Sync!$AE271,10000)/100),IFERROR(VALUE(TRIM(LEFT(MID(Sync!$AE271,FIND("/",Sync!$AE271)+1,20),FIND("/",MID(Sync!$AE271,FIND("/",Sync!$AE271)+1,20))-1))),"")))</f>
        <v/>
      </c>
      <c r="I271" t="str">
        <f>IF(OR($F271="",$G271=""),"",IF(ISNUMBER(Sync!$AE271),MOD(Sync!$AE271,100),IFERROR(VALUE(TRIM(MID(MID(Sync!$AE271,FIND("/",Sync!$AE271)+1,20),FIND("/",MID(Sync!$AE271,FIND("/",Sync!$AE271)+1,20))+1,20))),"")))</f>
        <v/>
      </c>
      <c r="J271" t="str">
        <f t="shared" si="22"/>
        <v/>
      </c>
      <c r="K271" t="str">
        <f>IF(OR($F271="",$J271="",$J271="نامعتبر"),"",LEFT($J271,4)&amp;MID($J271,6,2)&amp;RIGHT($J271,2)&amp;$N271&amp;"|"&amp;"2"&amp;RIGHT("00000"&amp;266,5))</f>
        <v/>
      </c>
      <c r="L271" t="str">
        <f t="shared" si="23"/>
        <v/>
      </c>
      <c r="M271" t="str">
        <f t="shared" si="24"/>
        <v/>
      </c>
      <c r="N271" t="str">
        <f>IF($F271="","",IF(Sync!$AF271="","0000",IF(AND(ISNUMBER(Sync!$AF271),Sync!$AF271&gt;=0,Sync!$AF271&lt;1),RIGHT("00"&amp;HOUR(Sync!$AF271),2)&amp;RIGHT("00"&amp;MINUTE(Sync!$AF271),2),IFERROR(RIGHT("00"&amp;VALUE(LEFT(Sync!$AF271,FIND(":",Sync!$AF271)-1)),2)&amp;RIGHT("00"&amp;VALUE(MID(Sync!$AF271,FIND(":",Sync!$AF271)+1,2)),2),"0000"))))</f>
        <v/>
      </c>
    </row>
    <row r="272" spans="1:14" x14ac:dyDescent="0.2">
      <c r="A272" t="str">
        <f>IF(OR(Calc!$E276="",Calc!$E276="نامعتبر",Calc!$G276=""),"",Calc!$G276)</f>
        <v/>
      </c>
      <c r="B272" t="str">
        <f>IF($A272="","",LEFT(Calc!$E276,4)&amp;MID(Calc!$E276,6,2)&amp;RIGHT(Calc!$E276,2)&amp;Calc!$Q276&amp;"|"&amp;"1"&amp;RIGHT("00000"&amp;267,5))</f>
        <v/>
      </c>
      <c r="C272" t="str">
        <f t="shared" si="20"/>
        <v/>
      </c>
      <c r="D272" t="str">
        <f t="shared" si="21"/>
        <v/>
      </c>
      <c r="F272" t="str">
        <f>IF(Sync!$AH272="","",IF(LEFT(UPPER(TRIM(Sync!$AH272)),2)="SL",UPPER(TRIM(Sync!$AH272)),""))</f>
        <v/>
      </c>
      <c r="G272" t="str">
        <f>IF($F272="","",IF(Sync!$AE272="","",IF(ISNUMBER(Sync!$AE272),IF(AND(Sync!$AE272&gt;=10000101,Sync!$AE272&lt;=99991231),INT(Sync!$AE272/10000),""),IFERROR(VALUE(TRIM(LEFT(Sync!$AE272,FIND("/",Sync!$AE272)-1))),""))))</f>
        <v/>
      </c>
      <c r="H272" t="str">
        <f>IF(OR($F272="",$G272=""),"",IF(ISNUMBER(Sync!$AE272),INT(MOD(Sync!$AE272,10000)/100),IFERROR(VALUE(TRIM(LEFT(MID(Sync!$AE272,FIND("/",Sync!$AE272)+1,20),FIND("/",MID(Sync!$AE272,FIND("/",Sync!$AE272)+1,20))-1))),"")))</f>
        <v/>
      </c>
      <c r="I272" t="str">
        <f>IF(OR($F272="",$G272=""),"",IF(ISNUMBER(Sync!$AE272),MOD(Sync!$AE272,100),IFERROR(VALUE(TRIM(MID(MID(Sync!$AE272,FIND("/",Sync!$AE272)+1,20),FIND("/",MID(Sync!$AE272,FIND("/",Sync!$AE272)+1,20))+1,20))),"")))</f>
        <v/>
      </c>
      <c r="J272" t="str">
        <f t="shared" si="22"/>
        <v/>
      </c>
      <c r="K272" t="str">
        <f>IF(OR($F272="",$J272="",$J272="نامعتبر"),"",LEFT($J272,4)&amp;MID($J272,6,2)&amp;RIGHT($J272,2)&amp;$N272&amp;"|"&amp;"2"&amp;RIGHT("00000"&amp;267,5))</f>
        <v/>
      </c>
      <c r="L272" t="str">
        <f t="shared" si="23"/>
        <v/>
      </c>
      <c r="M272" t="str">
        <f t="shared" si="24"/>
        <v/>
      </c>
      <c r="N272" t="str">
        <f>IF($F272="","",IF(Sync!$AF272="","0000",IF(AND(ISNUMBER(Sync!$AF272),Sync!$AF272&gt;=0,Sync!$AF272&lt;1),RIGHT("00"&amp;HOUR(Sync!$AF272),2)&amp;RIGHT("00"&amp;MINUTE(Sync!$AF272),2),IFERROR(RIGHT("00"&amp;VALUE(LEFT(Sync!$AF272,FIND(":",Sync!$AF272)-1)),2)&amp;RIGHT("00"&amp;VALUE(MID(Sync!$AF272,FIND(":",Sync!$AF272)+1,2)),2),"0000"))))</f>
        <v/>
      </c>
    </row>
    <row r="273" spans="1:14" x14ac:dyDescent="0.2">
      <c r="A273" t="str">
        <f>IF(OR(Calc!$E277="",Calc!$E277="نامعتبر",Calc!$G277=""),"",Calc!$G277)</f>
        <v/>
      </c>
      <c r="B273" t="str">
        <f>IF($A273="","",LEFT(Calc!$E277,4)&amp;MID(Calc!$E277,6,2)&amp;RIGHT(Calc!$E277,2)&amp;Calc!$Q277&amp;"|"&amp;"1"&amp;RIGHT("00000"&amp;268,5))</f>
        <v/>
      </c>
      <c r="C273" t="str">
        <f t="shared" si="20"/>
        <v/>
      </c>
      <c r="D273" t="str">
        <f t="shared" si="21"/>
        <v/>
      </c>
      <c r="F273" t="str">
        <f>IF(Sync!$AH273="","",IF(LEFT(UPPER(TRIM(Sync!$AH273)),2)="SL",UPPER(TRIM(Sync!$AH273)),""))</f>
        <v/>
      </c>
      <c r="G273" t="str">
        <f>IF($F273="","",IF(Sync!$AE273="","",IF(ISNUMBER(Sync!$AE273),IF(AND(Sync!$AE273&gt;=10000101,Sync!$AE273&lt;=99991231),INT(Sync!$AE273/10000),""),IFERROR(VALUE(TRIM(LEFT(Sync!$AE273,FIND("/",Sync!$AE273)-1))),""))))</f>
        <v/>
      </c>
      <c r="H273" t="str">
        <f>IF(OR($F273="",$G273=""),"",IF(ISNUMBER(Sync!$AE273),INT(MOD(Sync!$AE273,10000)/100),IFERROR(VALUE(TRIM(LEFT(MID(Sync!$AE273,FIND("/",Sync!$AE273)+1,20),FIND("/",MID(Sync!$AE273,FIND("/",Sync!$AE273)+1,20))-1))),"")))</f>
        <v/>
      </c>
      <c r="I273" t="str">
        <f>IF(OR($F273="",$G273=""),"",IF(ISNUMBER(Sync!$AE273),MOD(Sync!$AE273,100),IFERROR(VALUE(TRIM(MID(MID(Sync!$AE273,FIND("/",Sync!$AE273)+1,20),FIND("/",MID(Sync!$AE273,FIND("/",Sync!$AE273)+1,20))+1,20))),"")))</f>
        <v/>
      </c>
      <c r="J273" t="str">
        <f t="shared" si="22"/>
        <v/>
      </c>
      <c r="K273" t="str">
        <f>IF(OR($F273="",$J273="",$J273="نامعتبر"),"",LEFT($J273,4)&amp;MID($J273,6,2)&amp;RIGHT($J273,2)&amp;$N273&amp;"|"&amp;"2"&amp;RIGHT("00000"&amp;268,5))</f>
        <v/>
      </c>
      <c r="L273" t="str">
        <f t="shared" si="23"/>
        <v/>
      </c>
      <c r="M273" t="str">
        <f t="shared" si="24"/>
        <v/>
      </c>
      <c r="N273" t="str">
        <f>IF($F273="","",IF(Sync!$AF273="","0000",IF(AND(ISNUMBER(Sync!$AF273),Sync!$AF273&gt;=0,Sync!$AF273&lt;1),RIGHT("00"&amp;HOUR(Sync!$AF273),2)&amp;RIGHT("00"&amp;MINUTE(Sync!$AF273),2),IFERROR(RIGHT("00"&amp;VALUE(LEFT(Sync!$AF273,FIND(":",Sync!$AF273)-1)),2)&amp;RIGHT("00"&amp;VALUE(MID(Sync!$AF273,FIND(":",Sync!$AF273)+1,2)),2),"0000"))))</f>
        <v/>
      </c>
    </row>
    <row r="274" spans="1:14" x14ac:dyDescent="0.2">
      <c r="A274" t="str">
        <f>IF(OR(Calc!$E278="",Calc!$E278="نامعتبر",Calc!$G278=""),"",Calc!$G278)</f>
        <v/>
      </c>
      <c r="B274" t="str">
        <f>IF($A274="","",LEFT(Calc!$E278,4)&amp;MID(Calc!$E278,6,2)&amp;RIGHT(Calc!$E278,2)&amp;Calc!$Q278&amp;"|"&amp;"1"&amp;RIGHT("00000"&amp;269,5))</f>
        <v/>
      </c>
      <c r="C274" t="str">
        <f t="shared" si="20"/>
        <v/>
      </c>
      <c r="D274" t="str">
        <f t="shared" si="21"/>
        <v/>
      </c>
      <c r="F274" t="str">
        <f>IF(Sync!$AH274="","",IF(LEFT(UPPER(TRIM(Sync!$AH274)),2)="SL",UPPER(TRIM(Sync!$AH274)),""))</f>
        <v/>
      </c>
      <c r="G274" t="str">
        <f>IF($F274="","",IF(Sync!$AE274="","",IF(ISNUMBER(Sync!$AE274),IF(AND(Sync!$AE274&gt;=10000101,Sync!$AE274&lt;=99991231),INT(Sync!$AE274/10000),""),IFERROR(VALUE(TRIM(LEFT(Sync!$AE274,FIND("/",Sync!$AE274)-1))),""))))</f>
        <v/>
      </c>
      <c r="H274" t="str">
        <f>IF(OR($F274="",$G274=""),"",IF(ISNUMBER(Sync!$AE274),INT(MOD(Sync!$AE274,10000)/100),IFERROR(VALUE(TRIM(LEFT(MID(Sync!$AE274,FIND("/",Sync!$AE274)+1,20),FIND("/",MID(Sync!$AE274,FIND("/",Sync!$AE274)+1,20))-1))),"")))</f>
        <v/>
      </c>
      <c r="I274" t="str">
        <f>IF(OR($F274="",$G274=""),"",IF(ISNUMBER(Sync!$AE274),MOD(Sync!$AE274,100),IFERROR(VALUE(TRIM(MID(MID(Sync!$AE274,FIND("/",Sync!$AE274)+1,20),FIND("/",MID(Sync!$AE274,FIND("/",Sync!$AE274)+1,20))+1,20))),"")))</f>
        <v/>
      </c>
      <c r="J274" t="str">
        <f t="shared" si="22"/>
        <v/>
      </c>
      <c r="K274" t="str">
        <f>IF(OR($F274="",$J274="",$J274="نامعتبر"),"",LEFT($J274,4)&amp;MID($J274,6,2)&amp;RIGHT($J274,2)&amp;$N274&amp;"|"&amp;"2"&amp;RIGHT("00000"&amp;269,5))</f>
        <v/>
      </c>
      <c r="L274" t="str">
        <f t="shared" si="23"/>
        <v/>
      </c>
      <c r="M274" t="str">
        <f t="shared" si="24"/>
        <v/>
      </c>
      <c r="N274" t="str">
        <f>IF($F274="","",IF(Sync!$AF274="","0000",IF(AND(ISNUMBER(Sync!$AF274),Sync!$AF274&gt;=0,Sync!$AF274&lt;1),RIGHT("00"&amp;HOUR(Sync!$AF274),2)&amp;RIGHT("00"&amp;MINUTE(Sync!$AF274),2),IFERROR(RIGHT("00"&amp;VALUE(LEFT(Sync!$AF274,FIND(":",Sync!$AF274)-1)),2)&amp;RIGHT("00"&amp;VALUE(MID(Sync!$AF274,FIND(":",Sync!$AF274)+1,2)),2),"0000"))))</f>
        <v/>
      </c>
    </row>
    <row r="275" spans="1:14" x14ac:dyDescent="0.2">
      <c r="A275" t="str">
        <f>IF(OR(Calc!$E279="",Calc!$E279="نامعتبر",Calc!$G279=""),"",Calc!$G279)</f>
        <v/>
      </c>
      <c r="B275" t="str">
        <f>IF($A275="","",LEFT(Calc!$E279,4)&amp;MID(Calc!$E279,6,2)&amp;RIGHT(Calc!$E279,2)&amp;Calc!$Q279&amp;"|"&amp;"1"&amp;RIGHT("00000"&amp;270,5))</f>
        <v/>
      </c>
      <c r="C275" t="str">
        <f t="shared" si="20"/>
        <v/>
      </c>
      <c r="D275" t="str">
        <f t="shared" si="21"/>
        <v/>
      </c>
      <c r="F275" t="str">
        <f>IF(Sync!$AH275="","",IF(LEFT(UPPER(TRIM(Sync!$AH275)),2)="SL",UPPER(TRIM(Sync!$AH275)),""))</f>
        <v/>
      </c>
      <c r="G275" t="str">
        <f>IF($F275="","",IF(Sync!$AE275="","",IF(ISNUMBER(Sync!$AE275),IF(AND(Sync!$AE275&gt;=10000101,Sync!$AE275&lt;=99991231),INT(Sync!$AE275/10000),""),IFERROR(VALUE(TRIM(LEFT(Sync!$AE275,FIND("/",Sync!$AE275)-1))),""))))</f>
        <v/>
      </c>
      <c r="H275" t="str">
        <f>IF(OR($F275="",$G275=""),"",IF(ISNUMBER(Sync!$AE275),INT(MOD(Sync!$AE275,10000)/100),IFERROR(VALUE(TRIM(LEFT(MID(Sync!$AE275,FIND("/",Sync!$AE275)+1,20),FIND("/",MID(Sync!$AE275,FIND("/",Sync!$AE275)+1,20))-1))),"")))</f>
        <v/>
      </c>
      <c r="I275" t="str">
        <f>IF(OR($F275="",$G275=""),"",IF(ISNUMBER(Sync!$AE275),MOD(Sync!$AE275,100),IFERROR(VALUE(TRIM(MID(MID(Sync!$AE275,FIND("/",Sync!$AE275)+1,20),FIND("/",MID(Sync!$AE275,FIND("/",Sync!$AE275)+1,20))+1,20))),"")))</f>
        <v/>
      </c>
      <c r="J275" t="str">
        <f t="shared" si="22"/>
        <v/>
      </c>
      <c r="K275" t="str">
        <f>IF(OR($F275="",$J275="",$J275="نامعتبر"),"",LEFT($J275,4)&amp;MID($J275,6,2)&amp;RIGHT($J275,2)&amp;$N275&amp;"|"&amp;"2"&amp;RIGHT("00000"&amp;270,5))</f>
        <v/>
      </c>
      <c r="L275" t="str">
        <f t="shared" si="23"/>
        <v/>
      </c>
      <c r="M275" t="str">
        <f t="shared" si="24"/>
        <v/>
      </c>
      <c r="N275" t="str">
        <f>IF($F275="","",IF(Sync!$AF275="","0000",IF(AND(ISNUMBER(Sync!$AF275),Sync!$AF275&gt;=0,Sync!$AF275&lt;1),RIGHT("00"&amp;HOUR(Sync!$AF275),2)&amp;RIGHT("00"&amp;MINUTE(Sync!$AF275),2),IFERROR(RIGHT("00"&amp;VALUE(LEFT(Sync!$AF275,FIND(":",Sync!$AF275)-1)),2)&amp;RIGHT("00"&amp;VALUE(MID(Sync!$AF275,FIND(":",Sync!$AF275)+1,2)),2),"0000"))))</f>
        <v/>
      </c>
    </row>
    <row r="276" spans="1:14" x14ac:dyDescent="0.2">
      <c r="A276" t="str">
        <f>IF(OR(Calc!$E280="",Calc!$E280="نامعتبر",Calc!$G280=""),"",Calc!$G280)</f>
        <v/>
      </c>
      <c r="B276" t="str">
        <f>IF($A276="","",LEFT(Calc!$E280,4)&amp;MID(Calc!$E280,6,2)&amp;RIGHT(Calc!$E280,2)&amp;Calc!$Q280&amp;"|"&amp;"1"&amp;RIGHT("00000"&amp;271,5))</f>
        <v/>
      </c>
      <c r="C276" t="str">
        <f t="shared" si="20"/>
        <v/>
      </c>
      <c r="D276" t="str">
        <f t="shared" si="21"/>
        <v/>
      </c>
      <c r="F276" t="str">
        <f>IF(Sync!$AH276="","",IF(LEFT(UPPER(TRIM(Sync!$AH276)),2)="SL",UPPER(TRIM(Sync!$AH276)),""))</f>
        <v/>
      </c>
      <c r="G276" t="str">
        <f>IF($F276="","",IF(Sync!$AE276="","",IF(ISNUMBER(Sync!$AE276),IF(AND(Sync!$AE276&gt;=10000101,Sync!$AE276&lt;=99991231),INT(Sync!$AE276/10000),""),IFERROR(VALUE(TRIM(LEFT(Sync!$AE276,FIND("/",Sync!$AE276)-1))),""))))</f>
        <v/>
      </c>
      <c r="H276" t="str">
        <f>IF(OR($F276="",$G276=""),"",IF(ISNUMBER(Sync!$AE276),INT(MOD(Sync!$AE276,10000)/100),IFERROR(VALUE(TRIM(LEFT(MID(Sync!$AE276,FIND("/",Sync!$AE276)+1,20),FIND("/",MID(Sync!$AE276,FIND("/",Sync!$AE276)+1,20))-1))),"")))</f>
        <v/>
      </c>
      <c r="I276" t="str">
        <f>IF(OR($F276="",$G276=""),"",IF(ISNUMBER(Sync!$AE276),MOD(Sync!$AE276,100),IFERROR(VALUE(TRIM(MID(MID(Sync!$AE276,FIND("/",Sync!$AE276)+1,20),FIND("/",MID(Sync!$AE276,FIND("/",Sync!$AE276)+1,20))+1,20))),"")))</f>
        <v/>
      </c>
      <c r="J276" t="str">
        <f t="shared" si="22"/>
        <v/>
      </c>
      <c r="K276" t="str">
        <f>IF(OR($F276="",$J276="",$J276="نامعتبر"),"",LEFT($J276,4)&amp;MID($J276,6,2)&amp;RIGHT($J276,2)&amp;$N276&amp;"|"&amp;"2"&amp;RIGHT("00000"&amp;271,5))</f>
        <v/>
      </c>
      <c r="L276" t="str">
        <f t="shared" si="23"/>
        <v/>
      </c>
      <c r="M276" t="str">
        <f t="shared" si="24"/>
        <v/>
      </c>
      <c r="N276" t="str">
        <f>IF($F276="","",IF(Sync!$AF276="","0000",IF(AND(ISNUMBER(Sync!$AF276),Sync!$AF276&gt;=0,Sync!$AF276&lt;1),RIGHT("00"&amp;HOUR(Sync!$AF276),2)&amp;RIGHT("00"&amp;MINUTE(Sync!$AF276),2),IFERROR(RIGHT("00"&amp;VALUE(LEFT(Sync!$AF276,FIND(":",Sync!$AF276)-1)),2)&amp;RIGHT("00"&amp;VALUE(MID(Sync!$AF276,FIND(":",Sync!$AF276)+1,2)),2),"0000"))))</f>
        <v/>
      </c>
    </row>
    <row r="277" spans="1:14" x14ac:dyDescent="0.2">
      <c r="A277" t="str">
        <f>IF(OR(Calc!$E281="",Calc!$E281="نامعتبر",Calc!$G281=""),"",Calc!$G281)</f>
        <v/>
      </c>
      <c r="B277" t="str">
        <f>IF($A277="","",LEFT(Calc!$E281,4)&amp;MID(Calc!$E281,6,2)&amp;RIGHT(Calc!$E281,2)&amp;Calc!$Q281&amp;"|"&amp;"1"&amp;RIGHT("00000"&amp;272,5))</f>
        <v/>
      </c>
      <c r="C277" t="str">
        <f t="shared" si="20"/>
        <v/>
      </c>
      <c r="D277" t="str">
        <f t="shared" si="21"/>
        <v/>
      </c>
      <c r="F277" t="str">
        <f>IF(Sync!$AH277="","",IF(LEFT(UPPER(TRIM(Sync!$AH277)),2)="SL",UPPER(TRIM(Sync!$AH277)),""))</f>
        <v/>
      </c>
      <c r="G277" t="str">
        <f>IF($F277="","",IF(Sync!$AE277="","",IF(ISNUMBER(Sync!$AE277),IF(AND(Sync!$AE277&gt;=10000101,Sync!$AE277&lt;=99991231),INT(Sync!$AE277/10000),""),IFERROR(VALUE(TRIM(LEFT(Sync!$AE277,FIND("/",Sync!$AE277)-1))),""))))</f>
        <v/>
      </c>
      <c r="H277" t="str">
        <f>IF(OR($F277="",$G277=""),"",IF(ISNUMBER(Sync!$AE277),INT(MOD(Sync!$AE277,10000)/100),IFERROR(VALUE(TRIM(LEFT(MID(Sync!$AE277,FIND("/",Sync!$AE277)+1,20),FIND("/",MID(Sync!$AE277,FIND("/",Sync!$AE277)+1,20))-1))),"")))</f>
        <v/>
      </c>
      <c r="I277" t="str">
        <f>IF(OR($F277="",$G277=""),"",IF(ISNUMBER(Sync!$AE277),MOD(Sync!$AE277,100),IFERROR(VALUE(TRIM(MID(MID(Sync!$AE277,FIND("/",Sync!$AE277)+1,20),FIND("/",MID(Sync!$AE277,FIND("/",Sync!$AE277)+1,20))+1,20))),"")))</f>
        <v/>
      </c>
      <c r="J277" t="str">
        <f t="shared" si="22"/>
        <v/>
      </c>
      <c r="K277" t="str">
        <f>IF(OR($F277="",$J277="",$J277="نامعتبر"),"",LEFT($J277,4)&amp;MID($J277,6,2)&amp;RIGHT($J277,2)&amp;$N277&amp;"|"&amp;"2"&amp;RIGHT("00000"&amp;272,5))</f>
        <v/>
      </c>
      <c r="L277" t="str">
        <f t="shared" si="23"/>
        <v/>
      </c>
      <c r="M277" t="str">
        <f t="shared" si="24"/>
        <v/>
      </c>
      <c r="N277" t="str">
        <f>IF($F277="","",IF(Sync!$AF277="","0000",IF(AND(ISNUMBER(Sync!$AF277),Sync!$AF277&gt;=0,Sync!$AF277&lt;1),RIGHT("00"&amp;HOUR(Sync!$AF277),2)&amp;RIGHT("00"&amp;MINUTE(Sync!$AF277),2),IFERROR(RIGHT("00"&amp;VALUE(LEFT(Sync!$AF277,FIND(":",Sync!$AF277)-1)),2)&amp;RIGHT("00"&amp;VALUE(MID(Sync!$AF277,FIND(":",Sync!$AF277)+1,2)),2),"0000"))))</f>
        <v/>
      </c>
    </row>
    <row r="278" spans="1:14" x14ac:dyDescent="0.2">
      <c r="A278" t="str">
        <f>IF(OR(Calc!$E282="",Calc!$E282="نامعتبر",Calc!$G282=""),"",Calc!$G282)</f>
        <v/>
      </c>
      <c r="B278" t="str">
        <f>IF($A278="","",LEFT(Calc!$E282,4)&amp;MID(Calc!$E282,6,2)&amp;RIGHT(Calc!$E282,2)&amp;Calc!$Q282&amp;"|"&amp;"1"&amp;RIGHT("00000"&amp;273,5))</f>
        <v/>
      </c>
      <c r="C278" t="str">
        <f t="shared" si="20"/>
        <v/>
      </c>
      <c r="D278" t="str">
        <f t="shared" si="21"/>
        <v/>
      </c>
      <c r="F278" t="str">
        <f>IF(Sync!$AH278="","",IF(LEFT(UPPER(TRIM(Sync!$AH278)),2)="SL",UPPER(TRIM(Sync!$AH278)),""))</f>
        <v/>
      </c>
      <c r="G278" t="str">
        <f>IF($F278="","",IF(Sync!$AE278="","",IF(ISNUMBER(Sync!$AE278),IF(AND(Sync!$AE278&gt;=10000101,Sync!$AE278&lt;=99991231),INT(Sync!$AE278/10000),""),IFERROR(VALUE(TRIM(LEFT(Sync!$AE278,FIND("/",Sync!$AE278)-1))),""))))</f>
        <v/>
      </c>
      <c r="H278" t="str">
        <f>IF(OR($F278="",$G278=""),"",IF(ISNUMBER(Sync!$AE278),INT(MOD(Sync!$AE278,10000)/100),IFERROR(VALUE(TRIM(LEFT(MID(Sync!$AE278,FIND("/",Sync!$AE278)+1,20),FIND("/",MID(Sync!$AE278,FIND("/",Sync!$AE278)+1,20))-1))),"")))</f>
        <v/>
      </c>
      <c r="I278" t="str">
        <f>IF(OR($F278="",$G278=""),"",IF(ISNUMBER(Sync!$AE278),MOD(Sync!$AE278,100),IFERROR(VALUE(TRIM(MID(MID(Sync!$AE278,FIND("/",Sync!$AE278)+1,20),FIND("/",MID(Sync!$AE278,FIND("/",Sync!$AE278)+1,20))+1,20))),"")))</f>
        <v/>
      </c>
      <c r="J278" t="str">
        <f t="shared" si="22"/>
        <v/>
      </c>
      <c r="K278" t="str">
        <f>IF(OR($F278="",$J278="",$J278="نامعتبر"),"",LEFT($J278,4)&amp;MID($J278,6,2)&amp;RIGHT($J278,2)&amp;$N278&amp;"|"&amp;"2"&amp;RIGHT("00000"&amp;273,5))</f>
        <v/>
      </c>
      <c r="L278" t="str">
        <f t="shared" si="23"/>
        <v/>
      </c>
      <c r="M278" t="str">
        <f t="shared" si="24"/>
        <v/>
      </c>
      <c r="N278" t="str">
        <f>IF($F278="","",IF(Sync!$AF278="","0000",IF(AND(ISNUMBER(Sync!$AF278),Sync!$AF278&gt;=0,Sync!$AF278&lt;1),RIGHT("00"&amp;HOUR(Sync!$AF278),2)&amp;RIGHT("00"&amp;MINUTE(Sync!$AF278),2),IFERROR(RIGHT("00"&amp;VALUE(LEFT(Sync!$AF278,FIND(":",Sync!$AF278)-1)),2)&amp;RIGHT("00"&amp;VALUE(MID(Sync!$AF278,FIND(":",Sync!$AF278)+1,2)),2),"0000"))))</f>
        <v/>
      </c>
    </row>
    <row r="279" spans="1:14" x14ac:dyDescent="0.2">
      <c r="A279" t="str">
        <f>IF(OR(Calc!$E283="",Calc!$E283="نامعتبر",Calc!$G283=""),"",Calc!$G283)</f>
        <v/>
      </c>
      <c r="B279" t="str">
        <f>IF($A279="","",LEFT(Calc!$E283,4)&amp;MID(Calc!$E283,6,2)&amp;RIGHT(Calc!$E283,2)&amp;Calc!$Q283&amp;"|"&amp;"1"&amp;RIGHT("00000"&amp;274,5))</f>
        <v/>
      </c>
      <c r="C279" t="str">
        <f t="shared" si="20"/>
        <v/>
      </c>
      <c r="D279" t="str">
        <f t="shared" si="21"/>
        <v/>
      </c>
      <c r="F279" t="str">
        <f>IF(Sync!$AH279="","",IF(LEFT(UPPER(TRIM(Sync!$AH279)),2)="SL",UPPER(TRIM(Sync!$AH279)),""))</f>
        <v/>
      </c>
      <c r="G279" t="str">
        <f>IF($F279="","",IF(Sync!$AE279="","",IF(ISNUMBER(Sync!$AE279),IF(AND(Sync!$AE279&gt;=10000101,Sync!$AE279&lt;=99991231),INT(Sync!$AE279/10000),""),IFERROR(VALUE(TRIM(LEFT(Sync!$AE279,FIND("/",Sync!$AE279)-1))),""))))</f>
        <v/>
      </c>
      <c r="H279" t="str">
        <f>IF(OR($F279="",$G279=""),"",IF(ISNUMBER(Sync!$AE279),INT(MOD(Sync!$AE279,10000)/100),IFERROR(VALUE(TRIM(LEFT(MID(Sync!$AE279,FIND("/",Sync!$AE279)+1,20),FIND("/",MID(Sync!$AE279,FIND("/",Sync!$AE279)+1,20))-1))),"")))</f>
        <v/>
      </c>
      <c r="I279" t="str">
        <f>IF(OR($F279="",$G279=""),"",IF(ISNUMBER(Sync!$AE279),MOD(Sync!$AE279,100),IFERROR(VALUE(TRIM(MID(MID(Sync!$AE279,FIND("/",Sync!$AE279)+1,20),FIND("/",MID(Sync!$AE279,FIND("/",Sync!$AE279)+1,20))+1,20))),"")))</f>
        <v/>
      </c>
      <c r="J279" t="str">
        <f t="shared" si="22"/>
        <v/>
      </c>
      <c r="K279" t="str">
        <f>IF(OR($F279="",$J279="",$J279="نامعتبر"),"",LEFT($J279,4)&amp;MID($J279,6,2)&amp;RIGHT($J279,2)&amp;$N279&amp;"|"&amp;"2"&amp;RIGHT("00000"&amp;274,5))</f>
        <v/>
      </c>
      <c r="L279" t="str">
        <f t="shared" si="23"/>
        <v/>
      </c>
      <c r="M279" t="str">
        <f t="shared" si="24"/>
        <v/>
      </c>
      <c r="N279" t="str">
        <f>IF($F279="","",IF(Sync!$AF279="","0000",IF(AND(ISNUMBER(Sync!$AF279),Sync!$AF279&gt;=0,Sync!$AF279&lt;1),RIGHT("00"&amp;HOUR(Sync!$AF279),2)&amp;RIGHT("00"&amp;MINUTE(Sync!$AF279),2),IFERROR(RIGHT("00"&amp;VALUE(LEFT(Sync!$AF279,FIND(":",Sync!$AF279)-1)),2)&amp;RIGHT("00"&amp;VALUE(MID(Sync!$AF279,FIND(":",Sync!$AF279)+1,2)),2),"0000"))))</f>
        <v/>
      </c>
    </row>
    <row r="280" spans="1:14" x14ac:dyDescent="0.2">
      <c r="A280" t="str">
        <f>IF(OR(Calc!$E284="",Calc!$E284="نامعتبر",Calc!$G284=""),"",Calc!$G284)</f>
        <v/>
      </c>
      <c r="B280" t="str">
        <f>IF($A280="","",LEFT(Calc!$E284,4)&amp;MID(Calc!$E284,6,2)&amp;RIGHT(Calc!$E284,2)&amp;Calc!$Q284&amp;"|"&amp;"1"&amp;RIGHT("00000"&amp;275,5))</f>
        <v/>
      </c>
      <c r="C280" t="str">
        <f t="shared" si="20"/>
        <v/>
      </c>
      <c r="D280" t="str">
        <f t="shared" si="21"/>
        <v/>
      </c>
      <c r="F280" t="str">
        <f>IF(Sync!$AH280="","",IF(LEFT(UPPER(TRIM(Sync!$AH280)),2)="SL",UPPER(TRIM(Sync!$AH280)),""))</f>
        <v/>
      </c>
      <c r="G280" t="str">
        <f>IF($F280="","",IF(Sync!$AE280="","",IF(ISNUMBER(Sync!$AE280),IF(AND(Sync!$AE280&gt;=10000101,Sync!$AE280&lt;=99991231),INT(Sync!$AE280/10000),""),IFERROR(VALUE(TRIM(LEFT(Sync!$AE280,FIND("/",Sync!$AE280)-1))),""))))</f>
        <v/>
      </c>
      <c r="H280" t="str">
        <f>IF(OR($F280="",$G280=""),"",IF(ISNUMBER(Sync!$AE280),INT(MOD(Sync!$AE280,10000)/100),IFERROR(VALUE(TRIM(LEFT(MID(Sync!$AE280,FIND("/",Sync!$AE280)+1,20),FIND("/",MID(Sync!$AE280,FIND("/",Sync!$AE280)+1,20))-1))),"")))</f>
        <v/>
      </c>
      <c r="I280" t="str">
        <f>IF(OR($F280="",$G280=""),"",IF(ISNUMBER(Sync!$AE280),MOD(Sync!$AE280,100),IFERROR(VALUE(TRIM(MID(MID(Sync!$AE280,FIND("/",Sync!$AE280)+1,20),FIND("/",MID(Sync!$AE280,FIND("/",Sync!$AE280)+1,20))+1,20))),"")))</f>
        <v/>
      </c>
      <c r="J280" t="str">
        <f t="shared" si="22"/>
        <v/>
      </c>
      <c r="K280" t="str">
        <f>IF(OR($F280="",$J280="",$J280="نامعتبر"),"",LEFT($J280,4)&amp;MID($J280,6,2)&amp;RIGHT($J280,2)&amp;$N280&amp;"|"&amp;"2"&amp;RIGHT("00000"&amp;275,5))</f>
        <v/>
      </c>
      <c r="L280" t="str">
        <f t="shared" si="23"/>
        <v/>
      </c>
      <c r="M280" t="str">
        <f t="shared" si="24"/>
        <v/>
      </c>
      <c r="N280" t="str">
        <f>IF($F280="","",IF(Sync!$AF280="","0000",IF(AND(ISNUMBER(Sync!$AF280),Sync!$AF280&gt;=0,Sync!$AF280&lt;1),RIGHT("00"&amp;HOUR(Sync!$AF280),2)&amp;RIGHT("00"&amp;MINUTE(Sync!$AF280),2),IFERROR(RIGHT("00"&amp;VALUE(LEFT(Sync!$AF280,FIND(":",Sync!$AF280)-1)),2)&amp;RIGHT("00"&amp;VALUE(MID(Sync!$AF280,FIND(":",Sync!$AF280)+1,2)),2),"0000"))))</f>
        <v/>
      </c>
    </row>
    <row r="281" spans="1:14" x14ac:dyDescent="0.2">
      <c r="A281" t="str">
        <f>IF(OR(Calc!$E285="",Calc!$E285="نامعتبر",Calc!$G285=""),"",Calc!$G285)</f>
        <v/>
      </c>
      <c r="B281" t="str">
        <f>IF($A281="","",LEFT(Calc!$E285,4)&amp;MID(Calc!$E285,6,2)&amp;RIGHT(Calc!$E285,2)&amp;Calc!$Q285&amp;"|"&amp;"1"&amp;RIGHT("00000"&amp;276,5))</f>
        <v/>
      </c>
      <c r="C281" t="str">
        <f t="shared" si="20"/>
        <v/>
      </c>
      <c r="D281" t="str">
        <f t="shared" si="21"/>
        <v/>
      </c>
      <c r="F281" t="str">
        <f>IF(Sync!$AH281="","",IF(LEFT(UPPER(TRIM(Sync!$AH281)),2)="SL",UPPER(TRIM(Sync!$AH281)),""))</f>
        <v/>
      </c>
      <c r="G281" t="str">
        <f>IF($F281="","",IF(Sync!$AE281="","",IF(ISNUMBER(Sync!$AE281),IF(AND(Sync!$AE281&gt;=10000101,Sync!$AE281&lt;=99991231),INT(Sync!$AE281/10000),""),IFERROR(VALUE(TRIM(LEFT(Sync!$AE281,FIND("/",Sync!$AE281)-1))),""))))</f>
        <v/>
      </c>
      <c r="H281" t="str">
        <f>IF(OR($F281="",$G281=""),"",IF(ISNUMBER(Sync!$AE281),INT(MOD(Sync!$AE281,10000)/100),IFERROR(VALUE(TRIM(LEFT(MID(Sync!$AE281,FIND("/",Sync!$AE281)+1,20),FIND("/",MID(Sync!$AE281,FIND("/",Sync!$AE281)+1,20))-1))),"")))</f>
        <v/>
      </c>
      <c r="I281" t="str">
        <f>IF(OR($F281="",$G281=""),"",IF(ISNUMBER(Sync!$AE281),MOD(Sync!$AE281,100),IFERROR(VALUE(TRIM(MID(MID(Sync!$AE281,FIND("/",Sync!$AE281)+1,20),FIND("/",MID(Sync!$AE281,FIND("/",Sync!$AE281)+1,20))+1,20))),"")))</f>
        <v/>
      </c>
      <c r="J281" t="str">
        <f t="shared" si="22"/>
        <v/>
      </c>
      <c r="K281" t="str">
        <f>IF(OR($F281="",$J281="",$J281="نامعتبر"),"",LEFT($J281,4)&amp;MID($J281,6,2)&amp;RIGHT($J281,2)&amp;$N281&amp;"|"&amp;"2"&amp;RIGHT("00000"&amp;276,5))</f>
        <v/>
      </c>
      <c r="L281" t="str">
        <f t="shared" si="23"/>
        <v/>
      </c>
      <c r="M281" t="str">
        <f t="shared" si="24"/>
        <v/>
      </c>
      <c r="N281" t="str">
        <f>IF($F281="","",IF(Sync!$AF281="","0000",IF(AND(ISNUMBER(Sync!$AF281),Sync!$AF281&gt;=0,Sync!$AF281&lt;1),RIGHT("00"&amp;HOUR(Sync!$AF281),2)&amp;RIGHT("00"&amp;MINUTE(Sync!$AF281),2),IFERROR(RIGHT("00"&amp;VALUE(LEFT(Sync!$AF281,FIND(":",Sync!$AF281)-1)),2)&amp;RIGHT("00"&amp;VALUE(MID(Sync!$AF281,FIND(":",Sync!$AF281)+1,2)),2),"0000"))))</f>
        <v/>
      </c>
    </row>
    <row r="282" spans="1:14" x14ac:dyDescent="0.2">
      <c r="A282" t="str">
        <f>IF(OR(Calc!$E286="",Calc!$E286="نامعتبر",Calc!$G286=""),"",Calc!$G286)</f>
        <v/>
      </c>
      <c r="B282" t="str">
        <f>IF($A282="","",LEFT(Calc!$E286,4)&amp;MID(Calc!$E286,6,2)&amp;RIGHT(Calc!$E286,2)&amp;Calc!$Q286&amp;"|"&amp;"1"&amp;RIGHT("00000"&amp;277,5))</f>
        <v/>
      </c>
      <c r="C282" t="str">
        <f t="shared" si="20"/>
        <v/>
      </c>
      <c r="D282" t="str">
        <f t="shared" si="21"/>
        <v/>
      </c>
      <c r="F282" t="str">
        <f>IF(Sync!$AH282="","",IF(LEFT(UPPER(TRIM(Sync!$AH282)),2)="SL",UPPER(TRIM(Sync!$AH282)),""))</f>
        <v/>
      </c>
      <c r="G282" t="str">
        <f>IF($F282="","",IF(Sync!$AE282="","",IF(ISNUMBER(Sync!$AE282),IF(AND(Sync!$AE282&gt;=10000101,Sync!$AE282&lt;=99991231),INT(Sync!$AE282/10000),""),IFERROR(VALUE(TRIM(LEFT(Sync!$AE282,FIND("/",Sync!$AE282)-1))),""))))</f>
        <v/>
      </c>
      <c r="H282" t="str">
        <f>IF(OR($F282="",$G282=""),"",IF(ISNUMBER(Sync!$AE282),INT(MOD(Sync!$AE282,10000)/100),IFERROR(VALUE(TRIM(LEFT(MID(Sync!$AE282,FIND("/",Sync!$AE282)+1,20),FIND("/",MID(Sync!$AE282,FIND("/",Sync!$AE282)+1,20))-1))),"")))</f>
        <v/>
      </c>
      <c r="I282" t="str">
        <f>IF(OR($F282="",$G282=""),"",IF(ISNUMBER(Sync!$AE282),MOD(Sync!$AE282,100),IFERROR(VALUE(TRIM(MID(MID(Sync!$AE282,FIND("/",Sync!$AE282)+1,20),FIND("/",MID(Sync!$AE282,FIND("/",Sync!$AE282)+1,20))+1,20))),"")))</f>
        <v/>
      </c>
      <c r="J282" t="str">
        <f t="shared" si="22"/>
        <v/>
      </c>
      <c r="K282" t="str">
        <f>IF(OR($F282="",$J282="",$J282="نامعتبر"),"",LEFT($J282,4)&amp;MID($J282,6,2)&amp;RIGHT($J282,2)&amp;$N282&amp;"|"&amp;"2"&amp;RIGHT("00000"&amp;277,5))</f>
        <v/>
      </c>
      <c r="L282" t="str">
        <f t="shared" si="23"/>
        <v/>
      </c>
      <c r="M282" t="str">
        <f t="shared" si="24"/>
        <v/>
      </c>
      <c r="N282" t="str">
        <f>IF($F282="","",IF(Sync!$AF282="","0000",IF(AND(ISNUMBER(Sync!$AF282),Sync!$AF282&gt;=0,Sync!$AF282&lt;1),RIGHT("00"&amp;HOUR(Sync!$AF282),2)&amp;RIGHT("00"&amp;MINUTE(Sync!$AF282),2),IFERROR(RIGHT("00"&amp;VALUE(LEFT(Sync!$AF282,FIND(":",Sync!$AF282)-1)),2)&amp;RIGHT("00"&amp;VALUE(MID(Sync!$AF282,FIND(":",Sync!$AF282)+1,2)),2),"0000"))))</f>
        <v/>
      </c>
    </row>
    <row r="283" spans="1:14" x14ac:dyDescent="0.2">
      <c r="A283" t="str">
        <f>IF(OR(Calc!$E287="",Calc!$E287="نامعتبر",Calc!$G287=""),"",Calc!$G287)</f>
        <v/>
      </c>
      <c r="B283" t="str">
        <f>IF($A283="","",LEFT(Calc!$E287,4)&amp;MID(Calc!$E287,6,2)&amp;RIGHT(Calc!$E287,2)&amp;Calc!$Q287&amp;"|"&amp;"1"&amp;RIGHT("00000"&amp;278,5))</f>
        <v/>
      </c>
      <c r="C283" t="str">
        <f t="shared" si="20"/>
        <v/>
      </c>
      <c r="D283" t="str">
        <f t="shared" si="21"/>
        <v/>
      </c>
      <c r="F283" t="str">
        <f>IF(Sync!$AH283="","",IF(LEFT(UPPER(TRIM(Sync!$AH283)),2)="SL",UPPER(TRIM(Sync!$AH283)),""))</f>
        <v/>
      </c>
      <c r="G283" t="str">
        <f>IF($F283="","",IF(Sync!$AE283="","",IF(ISNUMBER(Sync!$AE283),IF(AND(Sync!$AE283&gt;=10000101,Sync!$AE283&lt;=99991231),INT(Sync!$AE283/10000),""),IFERROR(VALUE(TRIM(LEFT(Sync!$AE283,FIND("/",Sync!$AE283)-1))),""))))</f>
        <v/>
      </c>
      <c r="H283" t="str">
        <f>IF(OR($F283="",$G283=""),"",IF(ISNUMBER(Sync!$AE283),INT(MOD(Sync!$AE283,10000)/100),IFERROR(VALUE(TRIM(LEFT(MID(Sync!$AE283,FIND("/",Sync!$AE283)+1,20),FIND("/",MID(Sync!$AE283,FIND("/",Sync!$AE283)+1,20))-1))),"")))</f>
        <v/>
      </c>
      <c r="I283" t="str">
        <f>IF(OR($F283="",$G283=""),"",IF(ISNUMBER(Sync!$AE283),MOD(Sync!$AE283,100),IFERROR(VALUE(TRIM(MID(MID(Sync!$AE283,FIND("/",Sync!$AE283)+1,20),FIND("/",MID(Sync!$AE283,FIND("/",Sync!$AE283)+1,20))+1,20))),"")))</f>
        <v/>
      </c>
      <c r="J283" t="str">
        <f t="shared" si="22"/>
        <v/>
      </c>
      <c r="K283" t="str">
        <f>IF(OR($F283="",$J283="",$J283="نامعتبر"),"",LEFT($J283,4)&amp;MID($J283,6,2)&amp;RIGHT($J283,2)&amp;$N283&amp;"|"&amp;"2"&amp;RIGHT("00000"&amp;278,5))</f>
        <v/>
      </c>
      <c r="L283" t="str">
        <f t="shared" si="23"/>
        <v/>
      </c>
      <c r="M283" t="str">
        <f t="shared" si="24"/>
        <v/>
      </c>
      <c r="N283" t="str">
        <f>IF($F283="","",IF(Sync!$AF283="","0000",IF(AND(ISNUMBER(Sync!$AF283),Sync!$AF283&gt;=0,Sync!$AF283&lt;1),RIGHT("00"&amp;HOUR(Sync!$AF283),2)&amp;RIGHT("00"&amp;MINUTE(Sync!$AF283),2),IFERROR(RIGHT("00"&amp;VALUE(LEFT(Sync!$AF283,FIND(":",Sync!$AF283)-1)),2)&amp;RIGHT("00"&amp;VALUE(MID(Sync!$AF283,FIND(":",Sync!$AF283)+1,2)),2),"0000"))))</f>
        <v/>
      </c>
    </row>
    <row r="284" spans="1:14" x14ac:dyDescent="0.2">
      <c r="A284" t="str">
        <f>IF(OR(Calc!$E288="",Calc!$E288="نامعتبر",Calc!$G288=""),"",Calc!$G288)</f>
        <v/>
      </c>
      <c r="B284" t="str">
        <f>IF($A284="","",LEFT(Calc!$E288,4)&amp;MID(Calc!$E288,6,2)&amp;RIGHT(Calc!$E288,2)&amp;Calc!$Q288&amp;"|"&amp;"1"&amp;RIGHT("00000"&amp;279,5))</f>
        <v/>
      </c>
      <c r="C284" t="str">
        <f t="shared" si="20"/>
        <v/>
      </c>
      <c r="D284" t="str">
        <f t="shared" si="21"/>
        <v/>
      </c>
      <c r="F284" t="str">
        <f>IF(Sync!$AH284="","",IF(LEFT(UPPER(TRIM(Sync!$AH284)),2)="SL",UPPER(TRIM(Sync!$AH284)),""))</f>
        <v/>
      </c>
      <c r="G284" t="str">
        <f>IF($F284="","",IF(Sync!$AE284="","",IF(ISNUMBER(Sync!$AE284),IF(AND(Sync!$AE284&gt;=10000101,Sync!$AE284&lt;=99991231),INT(Sync!$AE284/10000),""),IFERROR(VALUE(TRIM(LEFT(Sync!$AE284,FIND("/",Sync!$AE284)-1))),""))))</f>
        <v/>
      </c>
      <c r="H284" t="str">
        <f>IF(OR($F284="",$G284=""),"",IF(ISNUMBER(Sync!$AE284),INT(MOD(Sync!$AE284,10000)/100),IFERROR(VALUE(TRIM(LEFT(MID(Sync!$AE284,FIND("/",Sync!$AE284)+1,20),FIND("/",MID(Sync!$AE284,FIND("/",Sync!$AE284)+1,20))-1))),"")))</f>
        <v/>
      </c>
      <c r="I284" t="str">
        <f>IF(OR($F284="",$G284=""),"",IF(ISNUMBER(Sync!$AE284),MOD(Sync!$AE284,100),IFERROR(VALUE(TRIM(MID(MID(Sync!$AE284,FIND("/",Sync!$AE284)+1,20),FIND("/",MID(Sync!$AE284,FIND("/",Sync!$AE284)+1,20))+1,20))),"")))</f>
        <v/>
      </c>
      <c r="J284" t="str">
        <f t="shared" si="22"/>
        <v/>
      </c>
      <c r="K284" t="str">
        <f>IF(OR($F284="",$J284="",$J284="نامعتبر"),"",LEFT($J284,4)&amp;MID($J284,6,2)&amp;RIGHT($J284,2)&amp;$N284&amp;"|"&amp;"2"&amp;RIGHT("00000"&amp;279,5))</f>
        <v/>
      </c>
      <c r="L284" t="str">
        <f t="shared" si="23"/>
        <v/>
      </c>
      <c r="M284" t="str">
        <f t="shared" si="24"/>
        <v/>
      </c>
      <c r="N284" t="str">
        <f>IF($F284="","",IF(Sync!$AF284="","0000",IF(AND(ISNUMBER(Sync!$AF284),Sync!$AF284&gt;=0,Sync!$AF284&lt;1),RIGHT("00"&amp;HOUR(Sync!$AF284),2)&amp;RIGHT("00"&amp;MINUTE(Sync!$AF284),2),IFERROR(RIGHT("00"&amp;VALUE(LEFT(Sync!$AF284,FIND(":",Sync!$AF284)-1)),2)&amp;RIGHT("00"&amp;VALUE(MID(Sync!$AF284,FIND(":",Sync!$AF284)+1,2)),2),"0000"))))</f>
        <v/>
      </c>
    </row>
    <row r="285" spans="1:14" x14ac:dyDescent="0.2">
      <c r="A285" t="str">
        <f>IF(OR(Calc!$E289="",Calc!$E289="نامعتبر",Calc!$G289=""),"",Calc!$G289)</f>
        <v/>
      </c>
      <c r="B285" t="str">
        <f>IF($A285="","",LEFT(Calc!$E289,4)&amp;MID(Calc!$E289,6,2)&amp;RIGHT(Calc!$E289,2)&amp;Calc!$Q289&amp;"|"&amp;"1"&amp;RIGHT("00000"&amp;280,5))</f>
        <v/>
      </c>
      <c r="C285" t="str">
        <f t="shared" si="20"/>
        <v/>
      </c>
      <c r="D285" t="str">
        <f t="shared" si="21"/>
        <v/>
      </c>
      <c r="F285" t="str">
        <f>IF(Sync!$AH285="","",IF(LEFT(UPPER(TRIM(Sync!$AH285)),2)="SL",UPPER(TRIM(Sync!$AH285)),""))</f>
        <v/>
      </c>
      <c r="G285" t="str">
        <f>IF($F285="","",IF(Sync!$AE285="","",IF(ISNUMBER(Sync!$AE285),IF(AND(Sync!$AE285&gt;=10000101,Sync!$AE285&lt;=99991231),INT(Sync!$AE285/10000),""),IFERROR(VALUE(TRIM(LEFT(Sync!$AE285,FIND("/",Sync!$AE285)-1))),""))))</f>
        <v/>
      </c>
      <c r="H285" t="str">
        <f>IF(OR($F285="",$G285=""),"",IF(ISNUMBER(Sync!$AE285),INT(MOD(Sync!$AE285,10000)/100),IFERROR(VALUE(TRIM(LEFT(MID(Sync!$AE285,FIND("/",Sync!$AE285)+1,20),FIND("/",MID(Sync!$AE285,FIND("/",Sync!$AE285)+1,20))-1))),"")))</f>
        <v/>
      </c>
      <c r="I285" t="str">
        <f>IF(OR($F285="",$G285=""),"",IF(ISNUMBER(Sync!$AE285),MOD(Sync!$AE285,100),IFERROR(VALUE(TRIM(MID(MID(Sync!$AE285,FIND("/",Sync!$AE285)+1,20),FIND("/",MID(Sync!$AE285,FIND("/",Sync!$AE285)+1,20))+1,20))),"")))</f>
        <v/>
      </c>
      <c r="J285" t="str">
        <f t="shared" si="22"/>
        <v/>
      </c>
      <c r="K285" t="str">
        <f>IF(OR($F285="",$J285="",$J285="نامعتبر"),"",LEFT($J285,4)&amp;MID($J285,6,2)&amp;RIGHT($J285,2)&amp;$N285&amp;"|"&amp;"2"&amp;RIGHT("00000"&amp;280,5))</f>
        <v/>
      </c>
      <c r="L285" t="str">
        <f t="shared" si="23"/>
        <v/>
      </c>
      <c r="M285" t="str">
        <f t="shared" si="24"/>
        <v/>
      </c>
      <c r="N285" t="str">
        <f>IF($F285="","",IF(Sync!$AF285="","0000",IF(AND(ISNUMBER(Sync!$AF285),Sync!$AF285&gt;=0,Sync!$AF285&lt;1),RIGHT("00"&amp;HOUR(Sync!$AF285),2)&amp;RIGHT("00"&amp;MINUTE(Sync!$AF285),2),IFERROR(RIGHT("00"&amp;VALUE(LEFT(Sync!$AF285,FIND(":",Sync!$AF285)-1)),2)&amp;RIGHT("00"&amp;VALUE(MID(Sync!$AF285,FIND(":",Sync!$AF285)+1,2)),2),"0000"))))</f>
        <v/>
      </c>
    </row>
    <row r="286" spans="1:14" x14ac:dyDescent="0.2">
      <c r="A286" t="str">
        <f>IF(OR(Calc!$E290="",Calc!$E290="نامعتبر",Calc!$G290=""),"",Calc!$G290)</f>
        <v/>
      </c>
      <c r="B286" t="str">
        <f>IF($A286="","",LEFT(Calc!$E290,4)&amp;MID(Calc!$E290,6,2)&amp;RIGHT(Calc!$E290,2)&amp;Calc!$Q290&amp;"|"&amp;"1"&amp;RIGHT("00000"&amp;281,5))</f>
        <v/>
      </c>
      <c r="C286" t="str">
        <f t="shared" si="20"/>
        <v/>
      </c>
      <c r="D286" t="str">
        <f t="shared" si="21"/>
        <v/>
      </c>
      <c r="F286" t="str">
        <f>IF(Sync!$AH286="","",IF(LEFT(UPPER(TRIM(Sync!$AH286)),2)="SL",UPPER(TRIM(Sync!$AH286)),""))</f>
        <v/>
      </c>
      <c r="G286" t="str">
        <f>IF($F286="","",IF(Sync!$AE286="","",IF(ISNUMBER(Sync!$AE286),IF(AND(Sync!$AE286&gt;=10000101,Sync!$AE286&lt;=99991231),INT(Sync!$AE286/10000),""),IFERROR(VALUE(TRIM(LEFT(Sync!$AE286,FIND("/",Sync!$AE286)-1))),""))))</f>
        <v/>
      </c>
      <c r="H286" t="str">
        <f>IF(OR($F286="",$G286=""),"",IF(ISNUMBER(Sync!$AE286),INT(MOD(Sync!$AE286,10000)/100),IFERROR(VALUE(TRIM(LEFT(MID(Sync!$AE286,FIND("/",Sync!$AE286)+1,20),FIND("/",MID(Sync!$AE286,FIND("/",Sync!$AE286)+1,20))-1))),"")))</f>
        <v/>
      </c>
      <c r="I286" t="str">
        <f>IF(OR($F286="",$G286=""),"",IF(ISNUMBER(Sync!$AE286),MOD(Sync!$AE286,100),IFERROR(VALUE(TRIM(MID(MID(Sync!$AE286,FIND("/",Sync!$AE286)+1,20),FIND("/",MID(Sync!$AE286,FIND("/",Sync!$AE286)+1,20))+1,20))),"")))</f>
        <v/>
      </c>
      <c r="J286" t="str">
        <f t="shared" si="22"/>
        <v/>
      </c>
      <c r="K286" t="str">
        <f>IF(OR($F286="",$J286="",$J286="نامعتبر"),"",LEFT($J286,4)&amp;MID($J286,6,2)&amp;RIGHT($J286,2)&amp;$N286&amp;"|"&amp;"2"&amp;RIGHT("00000"&amp;281,5))</f>
        <v/>
      </c>
      <c r="L286" t="str">
        <f t="shared" si="23"/>
        <v/>
      </c>
      <c r="M286" t="str">
        <f t="shared" si="24"/>
        <v/>
      </c>
      <c r="N286" t="str">
        <f>IF($F286="","",IF(Sync!$AF286="","0000",IF(AND(ISNUMBER(Sync!$AF286),Sync!$AF286&gt;=0,Sync!$AF286&lt;1),RIGHT("00"&amp;HOUR(Sync!$AF286),2)&amp;RIGHT("00"&amp;MINUTE(Sync!$AF286),2),IFERROR(RIGHT("00"&amp;VALUE(LEFT(Sync!$AF286,FIND(":",Sync!$AF286)-1)),2)&amp;RIGHT("00"&amp;VALUE(MID(Sync!$AF286,FIND(":",Sync!$AF286)+1,2)),2),"0000"))))</f>
        <v/>
      </c>
    </row>
    <row r="287" spans="1:14" x14ac:dyDescent="0.2">
      <c r="A287" t="str">
        <f>IF(OR(Calc!$E291="",Calc!$E291="نامعتبر",Calc!$G291=""),"",Calc!$G291)</f>
        <v/>
      </c>
      <c r="B287" t="str">
        <f>IF($A287="","",LEFT(Calc!$E291,4)&amp;MID(Calc!$E291,6,2)&amp;RIGHT(Calc!$E291,2)&amp;Calc!$Q291&amp;"|"&amp;"1"&amp;RIGHT("00000"&amp;282,5))</f>
        <v/>
      </c>
      <c r="C287" t="str">
        <f t="shared" si="20"/>
        <v/>
      </c>
      <c r="D287" t="str">
        <f t="shared" si="21"/>
        <v/>
      </c>
      <c r="F287" t="str">
        <f>IF(Sync!$AH287="","",IF(LEFT(UPPER(TRIM(Sync!$AH287)),2)="SL",UPPER(TRIM(Sync!$AH287)),""))</f>
        <v/>
      </c>
      <c r="G287" t="str">
        <f>IF($F287="","",IF(Sync!$AE287="","",IF(ISNUMBER(Sync!$AE287),IF(AND(Sync!$AE287&gt;=10000101,Sync!$AE287&lt;=99991231),INT(Sync!$AE287/10000),""),IFERROR(VALUE(TRIM(LEFT(Sync!$AE287,FIND("/",Sync!$AE287)-1))),""))))</f>
        <v/>
      </c>
      <c r="H287" t="str">
        <f>IF(OR($F287="",$G287=""),"",IF(ISNUMBER(Sync!$AE287),INT(MOD(Sync!$AE287,10000)/100),IFERROR(VALUE(TRIM(LEFT(MID(Sync!$AE287,FIND("/",Sync!$AE287)+1,20),FIND("/",MID(Sync!$AE287,FIND("/",Sync!$AE287)+1,20))-1))),"")))</f>
        <v/>
      </c>
      <c r="I287" t="str">
        <f>IF(OR($F287="",$G287=""),"",IF(ISNUMBER(Sync!$AE287),MOD(Sync!$AE287,100),IFERROR(VALUE(TRIM(MID(MID(Sync!$AE287,FIND("/",Sync!$AE287)+1,20),FIND("/",MID(Sync!$AE287,FIND("/",Sync!$AE287)+1,20))+1,20))),"")))</f>
        <v/>
      </c>
      <c r="J287" t="str">
        <f t="shared" si="22"/>
        <v/>
      </c>
      <c r="K287" t="str">
        <f>IF(OR($F287="",$J287="",$J287="نامعتبر"),"",LEFT($J287,4)&amp;MID($J287,6,2)&amp;RIGHT($J287,2)&amp;$N287&amp;"|"&amp;"2"&amp;RIGHT("00000"&amp;282,5))</f>
        <v/>
      </c>
      <c r="L287" t="str">
        <f t="shared" si="23"/>
        <v/>
      </c>
      <c r="M287" t="str">
        <f t="shared" si="24"/>
        <v/>
      </c>
      <c r="N287" t="str">
        <f>IF($F287="","",IF(Sync!$AF287="","0000",IF(AND(ISNUMBER(Sync!$AF287),Sync!$AF287&gt;=0,Sync!$AF287&lt;1),RIGHT("00"&amp;HOUR(Sync!$AF287),2)&amp;RIGHT("00"&amp;MINUTE(Sync!$AF287),2),IFERROR(RIGHT("00"&amp;VALUE(LEFT(Sync!$AF287,FIND(":",Sync!$AF287)-1)),2)&amp;RIGHT("00"&amp;VALUE(MID(Sync!$AF287,FIND(":",Sync!$AF287)+1,2)),2),"0000"))))</f>
        <v/>
      </c>
    </row>
    <row r="288" spans="1:14" x14ac:dyDescent="0.2">
      <c r="A288" t="str">
        <f>IF(OR(Calc!$E292="",Calc!$E292="نامعتبر",Calc!$G292=""),"",Calc!$G292)</f>
        <v/>
      </c>
      <c r="B288" t="str">
        <f>IF($A288="","",LEFT(Calc!$E292,4)&amp;MID(Calc!$E292,6,2)&amp;RIGHT(Calc!$E292,2)&amp;Calc!$Q292&amp;"|"&amp;"1"&amp;RIGHT("00000"&amp;283,5))</f>
        <v/>
      </c>
      <c r="C288" t="str">
        <f t="shared" si="20"/>
        <v/>
      </c>
      <c r="D288" t="str">
        <f t="shared" si="21"/>
        <v/>
      </c>
      <c r="F288" t="str">
        <f>IF(Sync!$AH288="","",IF(LEFT(UPPER(TRIM(Sync!$AH288)),2)="SL",UPPER(TRIM(Sync!$AH288)),""))</f>
        <v/>
      </c>
      <c r="G288" t="str">
        <f>IF($F288="","",IF(Sync!$AE288="","",IF(ISNUMBER(Sync!$AE288),IF(AND(Sync!$AE288&gt;=10000101,Sync!$AE288&lt;=99991231),INT(Sync!$AE288/10000),""),IFERROR(VALUE(TRIM(LEFT(Sync!$AE288,FIND("/",Sync!$AE288)-1))),""))))</f>
        <v/>
      </c>
      <c r="H288" t="str">
        <f>IF(OR($F288="",$G288=""),"",IF(ISNUMBER(Sync!$AE288),INT(MOD(Sync!$AE288,10000)/100),IFERROR(VALUE(TRIM(LEFT(MID(Sync!$AE288,FIND("/",Sync!$AE288)+1,20),FIND("/",MID(Sync!$AE288,FIND("/",Sync!$AE288)+1,20))-1))),"")))</f>
        <v/>
      </c>
      <c r="I288" t="str">
        <f>IF(OR($F288="",$G288=""),"",IF(ISNUMBER(Sync!$AE288),MOD(Sync!$AE288,100),IFERROR(VALUE(TRIM(MID(MID(Sync!$AE288,FIND("/",Sync!$AE288)+1,20),FIND("/",MID(Sync!$AE288,FIND("/",Sync!$AE288)+1,20))+1,20))),"")))</f>
        <v/>
      </c>
      <c r="J288" t="str">
        <f t="shared" si="22"/>
        <v/>
      </c>
      <c r="K288" t="str">
        <f>IF(OR($F288="",$J288="",$J288="نامعتبر"),"",LEFT($J288,4)&amp;MID($J288,6,2)&amp;RIGHT($J288,2)&amp;$N288&amp;"|"&amp;"2"&amp;RIGHT("00000"&amp;283,5))</f>
        <v/>
      </c>
      <c r="L288" t="str">
        <f t="shared" si="23"/>
        <v/>
      </c>
      <c r="M288" t="str">
        <f t="shared" si="24"/>
        <v/>
      </c>
      <c r="N288" t="str">
        <f>IF($F288="","",IF(Sync!$AF288="","0000",IF(AND(ISNUMBER(Sync!$AF288),Sync!$AF288&gt;=0,Sync!$AF288&lt;1),RIGHT("00"&amp;HOUR(Sync!$AF288),2)&amp;RIGHT("00"&amp;MINUTE(Sync!$AF288),2),IFERROR(RIGHT("00"&amp;VALUE(LEFT(Sync!$AF288,FIND(":",Sync!$AF288)-1)),2)&amp;RIGHT("00"&amp;VALUE(MID(Sync!$AF288,FIND(":",Sync!$AF288)+1,2)),2),"0000"))))</f>
        <v/>
      </c>
    </row>
    <row r="289" spans="1:14" x14ac:dyDescent="0.2">
      <c r="A289" t="str">
        <f>IF(OR(Calc!$E293="",Calc!$E293="نامعتبر",Calc!$G293=""),"",Calc!$G293)</f>
        <v/>
      </c>
      <c r="B289" t="str">
        <f>IF($A289="","",LEFT(Calc!$E293,4)&amp;MID(Calc!$E293,6,2)&amp;RIGHT(Calc!$E293,2)&amp;Calc!$Q293&amp;"|"&amp;"1"&amp;RIGHT("00000"&amp;284,5))</f>
        <v/>
      </c>
      <c r="C289" t="str">
        <f t="shared" si="20"/>
        <v/>
      </c>
      <c r="D289" t="str">
        <f t="shared" si="21"/>
        <v/>
      </c>
      <c r="F289" t="str">
        <f>IF(Sync!$AH289="","",IF(LEFT(UPPER(TRIM(Sync!$AH289)),2)="SL",UPPER(TRIM(Sync!$AH289)),""))</f>
        <v/>
      </c>
      <c r="G289" t="str">
        <f>IF($F289="","",IF(Sync!$AE289="","",IF(ISNUMBER(Sync!$AE289),IF(AND(Sync!$AE289&gt;=10000101,Sync!$AE289&lt;=99991231),INT(Sync!$AE289/10000),""),IFERROR(VALUE(TRIM(LEFT(Sync!$AE289,FIND("/",Sync!$AE289)-1))),""))))</f>
        <v/>
      </c>
      <c r="H289" t="str">
        <f>IF(OR($F289="",$G289=""),"",IF(ISNUMBER(Sync!$AE289),INT(MOD(Sync!$AE289,10000)/100),IFERROR(VALUE(TRIM(LEFT(MID(Sync!$AE289,FIND("/",Sync!$AE289)+1,20),FIND("/",MID(Sync!$AE289,FIND("/",Sync!$AE289)+1,20))-1))),"")))</f>
        <v/>
      </c>
      <c r="I289" t="str">
        <f>IF(OR($F289="",$G289=""),"",IF(ISNUMBER(Sync!$AE289),MOD(Sync!$AE289,100),IFERROR(VALUE(TRIM(MID(MID(Sync!$AE289,FIND("/",Sync!$AE289)+1,20),FIND("/",MID(Sync!$AE289,FIND("/",Sync!$AE289)+1,20))+1,20))),"")))</f>
        <v/>
      </c>
      <c r="J289" t="str">
        <f t="shared" si="22"/>
        <v/>
      </c>
      <c r="K289" t="str">
        <f>IF(OR($F289="",$J289="",$J289="نامعتبر"),"",LEFT($J289,4)&amp;MID($J289,6,2)&amp;RIGHT($J289,2)&amp;$N289&amp;"|"&amp;"2"&amp;RIGHT("00000"&amp;284,5))</f>
        <v/>
      </c>
      <c r="L289" t="str">
        <f t="shared" si="23"/>
        <v/>
      </c>
      <c r="M289" t="str">
        <f t="shared" si="24"/>
        <v/>
      </c>
      <c r="N289" t="str">
        <f>IF($F289="","",IF(Sync!$AF289="","0000",IF(AND(ISNUMBER(Sync!$AF289),Sync!$AF289&gt;=0,Sync!$AF289&lt;1),RIGHT("00"&amp;HOUR(Sync!$AF289),2)&amp;RIGHT("00"&amp;MINUTE(Sync!$AF289),2),IFERROR(RIGHT("00"&amp;VALUE(LEFT(Sync!$AF289,FIND(":",Sync!$AF289)-1)),2)&amp;RIGHT("00"&amp;VALUE(MID(Sync!$AF289,FIND(":",Sync!$AF289)+1,2)),2),"0000"))))</f>
        <v/>
      </c>
    </row>
    <row r="290" spans="1:14" x14ac:dyDescent="0.2">
      <c r="A290" t="str">
        <f>IF(OR(Calc!$E294="",Calc!$E294="نامعتبر",Calc!$G294=""),"",Calc!$G294)</f>
        <v/>
      </c>
      <c r="B290" t="str">
        <f>IF($A290="","",LEFT(Calc!$E294,4)&amp;MID(Calc!$E294,6,2)&amp;RIGHT(Calc!$E294,2)&amp;Calc!$Q294&amp;"|"&amp;"1"&amp;RIGHT("00000"&amp;285,5))</f>
        <v/>
      </c>
      <c r="C290" t="str">
        <f t="shared" si="20"/>
        <v/>
      </c>
      <c r="D290" t="str">
        <f t="shared" si="21"/>
        <v/>
      </c>
      <c r="F290" t="str">
        <f>IF(Sync!$AH290="","",IF(LEFT(UPPER(TRIM(Sync!$AH290)),2)="SL",UPPER(TRIM(Sync!$AH290)),""))</f>
        <v/>
      </c>
      <c r="G290" t="str">
        <f>IF($F290="","",IF(Sync!$AE290="","",IF(ISNUMBER(Sync!$AE290),IF(AND(Sync!$AE290&gt;=10000101,Sync!$AE290&lt;=99991231),INT(Sync!$AE290/10000),""),IFERROR(VALUE(TRIM(LEFT(Sync!$AE290,FIND("/",Sync!$AE290)-1))),""))))</f>
        <v/>
      </c>
      <c r="H290" t="str">
        <f>IF(OR($F290="",$G290=""),"",IF(ISNUMBER(Sync!$AE290),INT(MOD(Sync!$AE290,10000)/100),IFERROR(VALUE(TRIM(LEFT(MID(Sync!$AE290,FIND("/",Sync!$AE290)+1,20),FIND("/",MID(Sync!$AE290,FIND("/",Sync!$AE290)+1,20))-1))),"")))</f>
        <v/>
      </c>
      <c r="I290" t="str">
        <f>IF(OR($F290="",$G290=""),"",IF(ISNUMBER(Sync!$AE290),MOD(Sync!$AE290,100),IFERROR(VALUE(TRIM(MID(MID(Sync!$AE290,FIND("/",Sync!$AE290)+1,20),FIND("/",MID(Sync!$AE290,FIND("/",Sync!$AE290)+1,20))+1,20))),"")))</f>
        <v/>
      </c>
      <c r="J290" t="str">
        <f t="shared" si="22"/>
        <v/>
      </c>
      <c r="K290" t="str">
        <f>IF(OR($F290="",$J290="",$J290="نامعتبر"),"",LEFT($J290,4)&amp;MID($J290,6,2)&amp;RIGHT($J290,2)&amp;$N290&amp;"|"&amp;"2"&amp;RIGHT("00000"&amp;285,5))</f>
        <v/>
      </c>
      <c r="L290" t="str">
        <f t="shared" si="23"/>
        <v/>
      </c>
      <c r="M290" t="str">
        <f t="shared" si="24"/>
        <v/>
      </c>
      <c r="N290" t="str">
        <f>IF($F290="","",IF(Sync!$AF290="","0000",IF(AND(ISNUMBER(Sync!$AF290),Sync!$AF290&gt;=0,Sync!$AF290&lt;1),RIGHT("00"&amp;HOUR(Sync!$AF290),2)&amp;RIGHT("00"&amp;MINUTE(Sync!$AF290),2),IFERROR(RIGHT("00"&amp;VALUE(LEFT(Sync!$AF290,FIND(":",Sync!$AF290)-1)),2)&amp;RIGHT("00"&amp;VALUE(MID(Sync!$AF290,FIND(":",Sync!$AF290)+1,2)),2),"0000"))))</f>
        <v/>
      </c>
    </row>
    <row r="291" spans="1:14" x14ac:dyDescent="0.2">
      <c r="A291" t="str">
        <f>IF(OR(Calc!$E295="",Calc!$E295="نامعتبر",Calc!$G295=""),"",Calc!$G295)</f>
        <v/>
      </c>
      <c r="B291" t="str">
        <f>IF($A291="","",LEFT(Calc!$E295,4)&amp;MID(Calc!$E295,6,2)&amp;RIGHT(Calc!$E295,2)&amp;Calc!$Q295&amp;"|"&amp;"1"&amp;RIGHT("00000"&amp;286,5))</f>
        <v/>
      </c>
      <c r="C291" t="str">
        <f t="shared" si="20"/>
        <v/>
      </c>
      <c r="D291" t="str">
        <f t="shared" si="21"/>
        <v/>
      </c>
      <c r="F291" t="str">
        <f>IF(Sync!$AH291="","",IF(LEFT(UPPER(TRIM(Sync!$AH291)),2)="SL",UPPER(TRIM(Sync!$AH291)),""))</f>
        <v/>
      </c>
      <c r="G291" t="str">
        <f>IF($F291="","",IF(Sync!$AE291="","",IF(ISNUMBER(Sync!$AE291),IF(AND(Sync!$AE291&gt;=10000101,Sync!$AE291&lt;=99991231),INT(Sync!$AE291/10000),""),IFERROR(VALUE(TRIM(LEFT(Sync!$AE291,FIND("/",Sync!$AE291)-1))),""))))</f>
        <v/>
      </c>
      <c r="H291" t="str">
        <f>IF(OR($F291="",$G291=""),"",IF(ISNUMBER(Sync!$AE291),INT(MOD(Sync!$AE291,10000)/100),IFERROR(VALUE(TRIM(LEFT(MID(Sync!$AE291,FIND("/",Sync!$AE291)+1,20),FIND("/",MID(Sync!$AE291,FIND("/",Sync!$AE291)+1,20))-1))),"")))</f>
        <v/>
      </c>
      <c r="I291" t="str">
        <f>IF(OR($F291="",$G291=""),"",IF(ISNUMBER(Sync!$AE291),MOD(Sync!$AE291,100),IFERROR(VALUE(TRIM(MID(MID(Sync!$AE291,FIND("/",Sync!$AE291)+1,20),FIND("/",MID(Sync!$AE291,FIND("/",Sync!$AE291)+1,20))+1,20))),"")))</f>
        <v/>
      </c>
      <c r="J291" t="str">
        <f t="shared" si="22"/>
        <v/>
      </c>
      <c r="K291" t="str">
        <f>IF(OR($F291="",$J291="",$J291="نامعتبر"),"",LEFT($J291,4)&amp;MID($J291,6,2)&amp;RIGHT($J291,2)&amp;$N291&amp;"|"&amp;"2"&amp;RIGHT("00000"&amp;286,5))</f>
        <v/>
      </c>
      <c r="L291" t="str">
        <f t="shared" si="23"/>
        <v/>
      </c>
      <c r="M291" t="str">
        <f t="shared" si="24"/>
        <v/>
      </c>
      <c r="N291" t="str">
        <f>IF($F291="","",IF(Sync!$AF291="","0000",IF(AND(ISNUMBER(Sync!$AF291),Sync!$AF291&gt;=0,Sync!$AF291&lt;1),RIGHT("00"&amp;HOUR(Sync!$AF291),2)&amp;RIGHT("00"&amp;MINUTE(Sync!$AF291),2),IFERROR(RIGHT("00"&amp;VALUE(LEFT(Sync!$AF291,FIND(":",Sync!$AF291)-1)),2)&amp;RIGHT("00"&amp;VALUE(MID(Sync!$AF291,FIND(":",Sync!$AF291)+1,2)),2),"0000"))))</f>
        <v/>
      </c>
    </row>
    <row r="292" spans="1:14" x14ac:dyDescent="0.2">
      <c r="A292" t="str">
        <f>IF(OR(Calc!$E296="",Calc!$E296="نامعتبر",Calc!$G296=""),"",Calc!$G296)</f>
        <v/>
      </c>
      <c r="B292" t="str">
        <f>IF($A292="","",LEFT(Calc!$E296,4)&amp;MID(Calc!$E296,6,2)&amp;RIGHT(Calc!$E296,2)&amp;Calc!$Q296&amp;"|"&amp;"1"&amp;RIGHT("00000"&amp;287,5))</f>
        <v/>
      </c>
      <c r="C292" t="str">
        <f t="shared" si="20"/>
        <v/>
      </c>
      <c r="D292" t="str">
        <f t="shared" si="21"/>
        <v/>
      </c>
      <c r="F292" t="str">
        <f>IF(Sync!$AH292="","",IF(LEFT(UPPER(TRIM(Sync!$AH292)),2)="SL",UPPER(TRIM(Sync!$AH292)),""))</f>
        <v/>
      </c>
      <c r="G292" t="str">
        <f>IF($F292="","",IF(Sync!$AE292="","",IF(ISNUMBER(Sync!$AE292),IF(AND(Sync!$AE292&gt;=10000101,Sync!$AE292&lt;=99991231),INT(Sync!$AE292/10000),""),IFERROR(VALUE(TRIM(LEFT(Sync!$AE292,FIND("/",Sync!$AE292)-1))),""))))</f>
        <v/>
      </c>
      <c r="H292" t="str">
        <f>IF(OR($F292="",$G292=""),"",IF(ISNUMBER(Sync!$AE292),INT(MOD(Sync!$AE292,10000)/100),IFERROR(VALUE(TRIM(LEFT(MID(Sync!$AE292,FIND("/",Sync!$AE292)+1,20),FIND("/",MID(Sync!$AE292,FIND("/",Sync!$AE292)+1,20))-1))),"")))</f>
        <v/>
      </c>
      <c r="I292" t="str">
        <f>IF(OR($F292="",$G292=""),"",IF(ISNUMBER(Sync!$AE292),MOD(Sync!$AE292,100),IFERROR(VALUE(TRIM(MID(MID(Sync!$AE292,FIND("/",Sync!$AE292)+1,20),FIND("/",MID(Sync!$AE292,FIND("/",Sync!$AE292)+1,20))+1,20))),"")))</f>
        <v/>
      </c>
      <c r="J292" t="str">
        <f t="shared" si="22"/>
        <v/>
      </c>
      <c r="K292" t="str">
        <f>IF(OR($F292="",$J292="",$J292="نامعتبر"),"",LEFT($J292,4)&amp;MID($J292,6,2)&amp;RIGHT($J292,2)&amp;$N292&amp;"|"&amp;"2"&amp;RIGHT("00000"&amp;287,5))</f>
        <v/>
      </c>
      <c r="L292" t="str">
        <f t="shared" si="23"/>
        <v/>
      </c>
      <c r="M292" t="str">
        <f t="shared" si="24"/>
        <v/>
      </c>
      <c r="N292" t="str">
        <f>IF($F292="","",IF(Sync!$AF292="","0000",IF(AND(ISNUMBER(Sync!$AF292),Sync!$AF292&gt;=0,Sync!$AF292&lt;1),RIGHT("00"&amp;HOUR(Sync!$AF292),2)&amp;RIGHT("00"&amp;MINUTE(Sync!$AF292),2),IFERROR(RIGHT("00"&amp;VALUE(LEFT(Sync!$AF292,FIND(":",Sync!$AF292)-1)),2)&amp;RIGHT("00"&amp;VALUE(MID(Sync!$AF292,FIND(":",Sync!$AF292)+1,2)),2),"0000"))))</f>
        <v/>
      </c>
    </row>
    <row r="293" spans="1:14" x14ac:dyDescent="0.2">
      <c r="A293" t="str">
        <f>IF(OR(Calc!$E297="",Calc!$E297="نامعتبر",Calc!$G297=""),"",Calc!$G297)</f>
        <v/>
      </c>
      <c r="B293" t="str">
        <f>IF($A293="","",LEFT(Calc!$E297,4)&amp;MID(Calc!$E297,6,2)&amp;RIGHT(Calc!$E297,2)&amp;Calc!$Q297&amp;"|"&amp;"1"&amp;RIGHT("00000"&amp;288,5))</f>
        <v/>
      </c>
      <c r="C293" t="str">
        <f t="shared" si="20"/>
        <v/>
      </c>
      <c r="D293" t="str">
        <f t="shared" si="21"/>
        <v/>
      </c>
      <c r="F293" t="str">
        <f>IF(Sync!$AH293="","",IF(LEFT(UPPER(TRIM(Sync!$AH293)),2)="SL",UPPER(TRIM(Sync!$AH293)),""))</f>
        <v/>
      </c>
      <c r="G293" t="str">
        <f>IF($F293="","",IF(Sync!$AE293="","",IF(ISNUMBER(Sync!$AE293),IF(AND(Sync!$AE293&gt;=10000101,Sync!$AE293&lt;=99991231),INT(Sync!$AE293/10000),""),IFERROR(VALUE(TRIM(LEFT(Sync!$AE293,FIND("/",Sync!$AE293)-1))),""))))</f>
        <v/>
      </c>
      <c r="H293" t="str">
        <f>IF(OR($F293="",$G293=""),"",IF(ISNUMBER(Sync!$AE293),INT(MOD(Sync!$AE293,10000)/100),IFERROR(VALUE(TRIM(LEFT(MID(Sync!$AE293,FIND("/",Sync!$AE293)+1,20),FIND("/",MID(Sync!$AE293,FIND("/",Sync!$AE293)+1,20))-1))),"")))</f>
        <v/>
      </c>
      <c r="I293" t="str">
        <f>IF(OR($F293="",$G293=""),"",IF(ISNUMBER(Sync!$AE293),MOD(Sync!$AE293,100),IFERROR(VALUE(TRIM(MID(MID(Sync!$AE293,FIND("/",Sync!$AE293)+1,20),FIND("/",MID(Sync!$AE293,FIND("/",Sync!$AE293)+1,20))+1,20))),"")))</f>
        <v/>
      </c>
      <c r="J293" t="str">
        <f t="shared" si="22"/>
        <v/>
      </c>
      <c r="K293" t="str">
        <f>IF(OR($F293="",$J293="",$J293="نامعتبر"),"",LEFT($J293,4)&amp;MID($J293,6,2)&amp;RIGHT($J293,2)&amp;$N293&amp;"|"&amp;"2"&amp;RIGHT("00000"&amp;288,5))</f>
        <v/>
      </c>
      <c r="L293" t="str">
        <f t="shared" si="23"/>
        <v/>
      </c>
      <c r="M293" t="str">
        <f t="shared" si="24"/>
        <v/>
      </c>
      <c r="N293" t="str">
        <f>IF($F293="","",IF(Sync!$AF293="","0000",IF(AND(ISNUMBER(Sync!$AF293),Sync!$AF293&gt;=0,Sync!$AF293&lt;1),RIGHT("00"&amp;HOUR(Sync!$AF293),2)&amp;RIGHT("00"&amp;MINUTE(Sync!$AF293),2),IFERROR(RIGHT("00"&amp;VALUE(LEFT(Sync!$AF293,FIND(":",Sync!$AF293)-1)),2)&amp;RIGHT("00"&amp;VALUE(MID(Sync!$AF293,FIND(":",Sync!$AF293)+1,2)),2),"0000"))))</f>
        <v/>
      </c>
    </row>
    <row r="294" spans="1:14" x14ac:dyDescent="0.2">
      <c r="A294" t="str">
        <f>IF(OR(Calc!$E298="",Calc!$E298="نامعتبر",Calc!$G298=""),"",Calc!$G298)</f>
        <v/>
      </c>
      <c r="B294" t="str">
        <f>IF($A294="","",LEFT(Calc!$E298,4)&amp;MID(Calc!$E298,6,2)&amp;RIGHT(Calc!$E298,2)&amp;Calc!$Q298&amp;"|"&amp;"1"&amp;RIGHT("00000"&amp;289,5))</f>
        <v/>
      </c>
      <c r="C294" t="str">
        <f t="shared" si="20"/>
        <v/>
      </c>
      <c r="D294" t="str">
        <f t="shared" si="21"/>
        <v/>
      </c>
      <c r="F294" t="str">
        <f>IF(Sync!$AH294="","",IF(LEFT(UPPER(TRIM(Sync!$AH294)),2)="SL",UPPER(TRIM(Sync!$AH294)),""))</f>
        <v/>
      </c>
      <c r="G294" t="str">
        <f>IF($F294="","",IF(Sync!$AE294="","",IF(ISNUMBER(Sync!$AE294),IF(AND(Sync!$AE294&gt;=10000101,Sync!$AE294&lt;=99991231),INT(Sync!$AE294/10000),""),IFERROR(VALUE(TRIM(LEFT(Sync!$AE294,FIND("/",Sync!$AE294)-1))),""))))</f>
        <v/>
      </c>
      <c r="H294" t="str">
        <f>IF(OR($F294="",$G294=""),"",IF(ISNUMBER(Sync!$AE294),INT(MOD(Sync!$AE294,10000)/100),IFERROR(VALUE(TRIM(LEFT(MID(Sync!$AE294,FIND("/",Sync!$AE294)+1,20),FIND("/",MID(Sync!$AE294,FIND("/",Sync!$AE294)+1,20))-1))),"")))</f>
        <v/>
      </c>
      <c r="I294" t="str">
        <f>IF(OR($F294="",$G294=""),"",IF(ISNUMBER(Sync!$AE294),MOD(Sync!$AE294,100),IFERROR(VALUE(TRIM(MID(MID(Sync!$AE294,FIND("/",Sync!$AE294)+1,20),FIND("/",MID(Sync!$AE294,FIND("/",Sync!$AE294)+1,20))+1,20))),"")))</f>
        <v/>
      </c>
      <c r="J294" t="str">
        <f t="shared" si="22"/>
        <v/>
      </c>
      <c r="K294" t="str">
        <f>IF(OR($F294="",$J294="",$J294="نامعتبر"),"",LEFT($J294,4)&amp;MID($J294,6,2)&amp;RIGHT($J294,2)&amp;$N294&amp;"|"&amp;"2"&amp;RIGHT("00000"&amp;289,5))</f>
        <v/>
      </c>
      <c r="L294" t="str">
        <f t="shared" si="23"/>
        <v/>
      </c>
      <c r="M294" t="str">
        <f t="shared" si="24"/>
        <v/>
      </c>
      <c r="N294" t="str">
        <f>IF($F294="","",IF(Sync!$AF294="","0000",IF(AND(ISNUMBER(Sync!$AF294),Sync!$AF294&gt;=0,Sync!$AF294&lt;1),RIGHT("00"&amp;HOUR(Sync!$AF294),2)&amp;RIGHT("00"&amp;MINUTE(Sync!$AF294),2),IFERROR(RIGHT("00"&amp;VALUE(LEFT(Sync!$AF294,FIND(":",Sync!$AF294)-1)),2)&amp;RIGHT("00"&amp;VALUE(MID(Sync!$AF294,FIND(":",Sync!$AF294)+1,2)),2),"0000"))))</f>
        <v/>
      </c>
    </row>
    <row r="295" spans="1:14" x14ac:dyDescent="0.2">
      <c r="A295" t="str">
        <f>IF(OR(Calc!$E299="",Calc!$E299="نامعتبر",Calc!$G299=""),"",Calc!$G299)</f>
        <v/>
      </c>
      <c r="B295" t="str">
        <f>IF($A295="","",LEFT(Calc!$E299,4)&amp;MID(Calc!$E299,6,2)&amp;RIGHT(Calc!$E299,2)&amp;Calc!$Q299&amp;"|"&amp;"1"&amp;RIGHT("00000"&amp;290,5))</f>
        <v/>
      </c>
      <c r="C295" t="str">
        <f t="shared" si="20"/>
        <v/>
      </c>
      <c r="D295" t="str">
        <f t="shared" si="21"/>
        <v/>
      </c>
      <c r="F295" t="str">
        <f>IF(Sync!$AH295="","",IF(LEFT(UPPER(TRIM(Sync!$AH295)),2)="SL",UPPER(TRIM(Sync!$AH295)),""))</f>
        <v/>
      </c>
      <c r="G295" t="str">
        <f>IF($F295="","",IF(Sync!$AE295="","",IF(ISNUMBER(Sync!$AE295),IF(AND(Sync!$AE295&gt;=10000101,Sync!$AE295&lt;=99991231),INT(Sync!$AE295/10000),""),IFERROR(VALUE(TRIM(LEFT(Sync!$AE295,FIND("/",Sync!$AE295)-1))),""))))</f>
        <v/>
      </c>
      <c r="H295" t="str">
        <f>IF(OR($F295="",$G295=""),"",IF(ISNUMBER(Sync!$AE295),INT(MOD(Sync!$AE295,10000)/100),IFERROR(VALUE(TRIM(LEFT(MID(Sync!$AE295,FIND("/",Sync!$AE295)+1,20),FIND("/",MID(Sync!$AE295,FIND("/",Sync!$AE295)+1,20))-1))),"")))</f>
        <v/>
      </c>
      <c r="I295" t="str">
        <f>IF(OR($F295="",$G295=""),"",IF(ISNUMBER(Sync!$AE295),MOD(Sync!$AE295,100),IFERROR(VALUE(TRIM(MID(MID(Sync!$AE295,FIND("/",Sync!$AE295)+1,20),FIND("/",MID(Sync!$AE295,FIND("/",Sync!$AE295)+1,20))+1,20))),"")))</f>
        <v/>
      </c>
      <c r="J295" t="str">
        <f t="shared" si="22"/>
        <v/>
      </c>
      <c r="K295" t="str">
        <f>IF(OR($F295="",$J295="",$J295="نامعتبر"),"",LEFT($J295,4)&amp;MID($J295,6,2)&amp;RIGHT($J295,2)&amp;$N295&amp;"|"&amp;"2"&amp;RIGHT("00000"&amp;290,5))</f>
        <v/>
      </c>
      <c r="L295" t="str">
        <f t="shared" si="23"/>
        <v/>
      </c>
      <c r="M295" t="str">
        <f t="shared" si="24"/>
        <v/>
      </c>
      <c r="N295" t="str">
        <f>IF($F295="","",IF(Sync!$AF295="","0000",IF(AND(ISNUMBER(Sync!$AF295),Sync!$AF295&gt;=0,Sync!$AF295&lt;1),RIGHT("00"&amp;HOUR(Sync!$AF295),2)&amp;RIGHT("00"&amp;MINUTE(Sync!$AF295),2),IFERROR(RIGHT("00"&amp;VALUE(LEFT(Sync!$AF295,FIND(":",Sync!$AF295)-1)),2)&amp;RIGHT("00"&amp;VALUE(MID(Sync!$AF295,FIND(":",Sync!$AF295)+1,2)),2),"0000"))))</f>
        <v/>
      </c>
    </row>
    <row r="296" spans="1:14" x14ac:dyDescent="0.2">
      <c r="A296" t="str">
        <f>IF(OR(Calc!$E300="",Calc!$E300="نامعتبر",Calc!$G300=""),"",Calc!$G300)</f>
        <v/>
      </c>
      <c r="B296" t="str">
        <f>IF($A296="","",LEFT(Calc!$E300,4)&amp;MID(Calc!$E300,6,2)&amp;RIGHT(Calc!$E300,2)&amp;Calc!$Q300&amp;"|"&amp;"1"&amp;RIGHT("00000"&amp;291,5))</f>
        <v/>
      </c>
      <c r="C296" t="str">
        <f t="shared" si="20"/>
        <v/>
      </c>
      <c r="D296" t="str">
        <f t="shared" si="21"/>
        <v/>
      </c>
      <c r="F296" t="str">
        <f>IF(Sync!$AH296="","",IF(LEFT(UPPER(TRIM(Sync!$AH296)),2)="SL",UPPER(TRIM(Sync!$AH296)),""))</f>
        <v/>
      </c>
      <c r="G296" t="str">
        <f>IF($F296="","",IF(Sync!$AE296="","",IF(ISNUMBER(Sync!$AE296),IF(AND(Sync!$AE296&gt;=10000101,Sync!$AE296&lt;=99991231),INT(Sync!$AE296/10000),""),IFERROR(VALUE(TRIM(LEFT(Sync!$AE296,FIND("/",Sync!$AE296)-1))),""))))</f>
        <v/>
      </c>
      <c r="H296" t="str">
        <f>IF(OR($F296="",$G296=""),"",IF(ISNUMBER(Sync!$AE296),INT(MOD(Sync!$AE296,10000)/100),IFERROR(VALUE(TRIM(LEFT(MID(Sync!$AE296,FIND("/",Sync!$AE296)+1,20),FIND("/",MID(Sync!$AE296,FIND("/",Sync!$AE296)+1,20))-1))),"")))</f>
        <v/>
      </c>
      <c r="I296" t="str">
        <f>IF(OR($F296="",$G296=""),"",IF(ISNUMBER(Sync!$AE296),MOD(Sync!$AE296,100),IFERROR(VALUE(TRIM(MID(MID(Sync!$AE296,FIND("/",Sync!$AE296)+1,20),FIND("/",MID(Sync!$AE296,FIND("/",Sync!$AE296)+1,20))+1,20))),"")))</f>
        <v/>
      </c>
      <c r="J296" t="str">
        <f t="shared" si="22"/>
        <v/>
      </c>
      <c r="K296" t="str">
        <f>IF(OR($F296="",$J296="",$J296="نامعتبر"),"",LEFT($J296,4)&amp;MID($J296,6,2)&amp;RIGHT($J296,2)&amp;$N296&amp;"|"&amp;"2"&amp;RIGHT("00000"&amp;291,5))</f>
        <v/>
      </c>
      <c r="L296" t="str">
        <f t="shared" si="23"/>
        <v/>
      </c>
      <c r="M296" t="str">
        <f t="shared" si="24"/>
        <v/>
      </c>
      <c r="N296" t="str">
        <f>IF($F296="","",IF(Sync!$AF296="","0000",IF(AND(ISNUMBER(Sync!$AF296),Sync!$AF296&gt;=0,Sync!$AF296&lt;1),RIGHT("00"&amp;HOUR(Sync!$AF296),2)&amp;RIGHT("00"&amp;MINUTE(Sync!$AF296),2),IFERROR(RIGHT("00"&amp;VALUE(LEFT(Sync!$AF296,FIND(":",Sync!$AF296)-1)),2)&amp;RIGHT("00"&amp;VALUE(MID(Sync!$AF296,FIND(":",Sync!$AF296)+1,2)),2),"0000"))))</f>
        <v/>
      </c>
    </row>
    <row r="297" spans="1:14" x14ac:dyDescent="0.2">
      <c r="A297" t="str">
        <f>IF(OR(Calc!$E301="",Calc!$E301="نامعتبر",Calc!$G301=""),"",Calc!$G301)</f>
        <v/>
      </c>
      <c r="B297" t="str">
        <f>IF($A297="","",LEFT(Calc!$E301,4)&amp;MID(Calc!$E301,6,2)&amp;RIGHT(Calc!$E301,2)&amp;Calc!$Q301&amp;"|"&amp;"1"&amp;RIGHT("00000"&amp;292,5))</f>
        <v/>
      </c>
      <c r="C297" t="str">
        <f t="shared" si="20"/>
        <v/>
      </c>
      <c r="D297" t="str">
        <f t="shared" si="21"/>
        <v/>
      </c>
      <c r="F297" t="str">
        <f>IF(Sync!$AH297="","",IF(LEFT(UPPER(TRIM(Sync!$AH297)),2)="SL",UPPER(TRIM(Sync!$AH297)),""))</f>
        <v/>
      </c>
      <c r="G297" t="str">
        <f>IF($F297="","",IF(Sync!$AE297="","",IF(ISNUMBER(Sync!$AE297),IF(AND(Sync!$AE297&gt;=10000101,Sync!$AE297&lt;=99991231),INT(Sync!$AE297/10000),""),IFERROR(VALUE(TRIM(LEFT(Sync!$AE297,FIND("/",Sync!$AE297)-1))),""))))</f>
        <v/>
      </c>
      <c r="H297" t="str">
        <f>IF(OR($F297="",$G297=""),"",IF(ISNUMBER(Sync!$AE297),INT(MOD(Sync!$AE297,10000)/100),IFERROR(VALUE(TRIM(LEFT(MID(Sync!$AE297,FIND("/",Sync!$AE297)+1,20),FIND("/",MID(Sync!$AE297,FIND("/",Sync!$AE297)+1,20))-1))),"")))</f>
        <v/>
      </c>
      <c r="I297" t="str">
        <f>IF(OR($F297="",$G297=""),"",IF(ISNUMBER(Sync!$AE297),MOD(Sync!$AE297,100),IFERROR(VALUE(TRIM(MID(MID(Sync!$AE297,FIND("/",Sync!$AE297)+1,20),FIND("/",MID(Sync!$AE297,FIND("/",Sync!$AE297)+1,20))+1,20))),"")))</f>
        <v/>
      </c>
      <c r="J297" t="str">
        <f t="shared" si="22"/>
        <v/>
      </c>
      <c r="K297" t="str">
        <f>IF(OR($F297="",$J297="",$J297="نامعتبر"),"",LEFT($J297,4)&amp;MID($J297,6,2)&amp;RIGHT($J297,2)&amp;$N297&amp;"|"&amp;"2"&amp;RIGHT("00000"&amp;292,5))</f>
        <v/>
      </c>
      <c r="L297" t="str">
        <f t="shared" si="23"/>
        <v/>
      </c>
      <c r="M297" t="str">
        <f t="shared" si="24"/>
        <v/>
      </c>
      <c r="N297" t="str">
        <f>IF($F297="","",IF(Sync!$AF297="","0000",IF(AND(ISNUMBER(Sync!$AF297),Sync!$AF297&gt;=0,Sync!$AF297&lt;1),RIGHT("00"&amp;HOUR(Sync!$AF297),2)&amp;RIGHT("00"&amp;MINUTE(Sync!$AF297),2),IFERROR(RIGHT("00"&amp;VALUE(LEFT(Sync!$AF297,FIND(":",Sync!$AF297)-1)),2)&amp;RIGHT("00"&amp;VALUE(MID(Sync!$AF297,FIND(":",Sync!$AF297)+1,2)),2),"0000"))))</f>
        <v/>
      </c>
    </row>
    <row r="298" spans="1:14" x14ac:dyDescent="0.2">
      <c r="A298" t="str">
        <f>IF(OR(Calc!$E302="",Calc!$E302="نامعتبر",Calc!$G302=""),"",Calc!$G302)</f>
        <v/>
      </c>
      <c r="B298" t="str">
        <f>IF($A298="","",LEFT(Calc!$E302,4)&amp;MID(Calc!$E302,6,2)&amp;RIGHT(Calc!$E302,2)&amp;Calc!$Q302&amp;"|"&amp;"1"&amp;RIGHT("00000"&amp;293,5))</f>
        <v/>
      </c>
      <c r="C298" t="str">
        <f t="shared" si="20"/>
        <v/>
      </c>
      <c r="D298" t="str">
        <f t="shared" si="21"/>
        <v/>
      </c>
      <c r="F298" t="str">
        <f>IF(Sync!$AH298="","",IF(LEFT(UPPER(TRIM(Sync!$AH298)),2)="SL",UPPER(TRIM(Sync!$AH298)),""))</f>
        <v/>
      </c>
      <c r="G298" t="str">
        <f>IF($F298="","",IF(Sync!$AE298="","",IF(ISNUMBER(Sync!$AE298),IF(AND(Sync!$AE298&gt;=10000101,Sync!$AE298&lt;=99991231),INT(Sync!$AE298/10000),""),IFERROR(VALUE(TRIM(LEFT(Sync!$AE298,FIND("/",Sync!$AE298)-1))),""))))</f>
        <v/>
      </c>
      <c r="H298" t="str">
        <f>IF(OR($F298="",$G298=""),"",IF(ISNUMBER(Sync!$AE298),INT(MOD(Sync!$AE298,10000)/100),IFERROR(VALUE(TRIM(LEFT(MID(Sync!$AE298,FIND("/",Sync!$AE298)+1,20),FIND("/",MID(Sync!$AE298,FIND("/",Sync!$AE298)+1,20))-1))),"")))</f>
        <v/>
      </c>
      <c r="I298" t="str">
        <f>IF(OR($F298="",$G298=""),"",IF(ISNUMBER(Sync!$AE298),MOD(Sync!$AE298,100),IFERROR(VALUE(TRIM(MID(MID(Sync!$AE298,FIND("/",Sync!$AE298)+1,20),FIND("/",MID(Sync!$AE298,FIND("/",Sync!$AE298)+1,20))+1,20))),"")))</f>
        <v/>
      </c>
      <c r="J298" t="str">
        <f t="shared" si="22"/>
        <v/>
      </c>
      <c r="K298" t="str">
        <f>IF(OR($F298="",$J298="",$J298="نامعتبر"),"",LEFT($J298,4)&amp;MID($J298,6,2)&amp;RIGHT($J298,2)&amp;$N298&amp;"|"&amp;"2"&amp;RIGHT("00000"&amp;293,5))</f>
        <v/>
      </c>
      <c r="L298" t="str">
        <f t="shared" si="23"/>
        <v/>
      </c>
      <c r="M298" t="str">
        <f t="shared" si="24"/>
        <v/>
      </c>
      <c r="N298" t="str">
        <f>IF($F298="","",IF(Sync!$AF298="","0000",IF(AND(ISNUMBER(Sync!$AF298),Sync!$AF298&gt;=0,Sync!$AF298&lt;1),RIGHT("00"&amp;HOUR(Sync!$AF298),2)&amp;RIGHT("00"&amp;MINUTE(Sync!$AF298),2),IFERROR(RIGHT("00"&amp;VALUE(LEFT(Sync!$AF298,FIND(":",Sync!$AF298)-1)),2)&amp;RIGHT("00"&amp;VALUE(MID(Sync!$AF298,FIND(":",Sync!$AF298)+1,2)),2),"0000"))))</f>
        <v/>
      </c>
    </row>
    <row r="299" spans="1:14" x14ac:dyDescent="0.2">
      <c r="A299" t="str">
        <f>IF(OR(Calc!$E303="",Calc!$E303="نامعتبر",Calc!$G303=""),"",Calc!$G303)</f>
        <v/>
      </c>
      <c r="B299" t="str">
        <f>IF($A299="","",LEFT(Calc!$E303,4)&amp;MID(Calc!$E303,6,2)&amp;RIGHT(Calc!$E303,2)&amp;Calc!$Q303&amp;"|"&amp;"1"&amp;RIGHT("00000"&amp;294,5))</f>
        <v/>
      </c>
      <c r="C299" t="str">
        <f t="shared" si="20"/>
        <v/>
      </c>
      <c r="D299" t="str">
        <f t="shared" si="21"/>
        <v/>
      </c>
      <c r="F299" t="str">
        <f>IF(Sync!$AH299="","",IF(LEFT(UPPER(TRIM(Sync!$AH299)),2)="SL",UPPER(TRIM(Sync!$AH299)),""))</f>
        <v/>
      </c>
      <c r="G299" t="str">
        <f>IF($F299="","",IF(Sync!$AE299="","",IF(ISNUMBER(Sync!$AE299),IF(AND(Sync!$AE299&gt;=10000101,Sync!$AE299&lt;=99991231),INT(Sync!$AE299/10000),""),IFERROR(VALUE(TRIM(LEFT(Sync!$AE299,FIND("/",Sync!$AE299)-1))),""))))</f>
        <v/>
      </c>
      <c r="H299" t="str">
        <f>IF(OR($F299="",$G299=""),"",IF(ISNUMBER(Sync!$AE299),INT(MOD(Sync!$AE299,10000)/100),IFERROR(VALUE(TRIM(LEFT(MID(Sync!$AE299,FIND("/",Sync!$AE299)+1,20),FIND("/",MID(Sync!$AE299,FIND("/",Sync!$AE299)+1,20))-1))),"")))</f>
        <v/>
      </c>
      <c r="I299" t="str">
        <f>IF(OR($F299="",$G299=""),"",IF(ISNUMBER(Sync!$AE299),MOD(Sync!$AE299,100),IFERROR(VALUE(TRIM(MID(MID(Sync!$AE299,FIND("/",Sync!$AE299)+1,20),FIND("/",MID(Sync!$AE299,FIND("/",Sync!$AE299)+1,20))+1,20))),"")))</f>
        <v/>
      </c>
      <c r="J299" t="str">
        <f t="shared" si="22"/>
        <v/>
      </c>
      <c r="K299" t="str">
        <f>IF(OR($F299="",$J299="",$J299="نامعتبر"),"",LEFT($J299,4)&amp;MID($J299,6,2)&amp;RIGHT($J299,2)&amp;$N299&amp;"|"&amp;"2"&amp;RIGHT("00000"&amp;294,5))</f>
        <v/>
      </c>
      <c r="L299" t="str">
        <f t="shared" si="23"/>
        <v/>
      </c>
      <c r="M299" t="str">
        <f t="shared" si="24"/>
        <v/>
      </c>
      <c r="N299" t="str">
        <f>IF($F299="","",IF(Sync!$AF299="","0000",IF(AND(ISNUMBER(Sync!$AF299),Sync!$AF299&gt;=0,Sync!$AF299&lt;1),RIGHT("00"&amp;HOUR(Sync!$AF299),2)&amp;RIGHT("00"&amp;MINUTE(Sync!$AF299),2),IFERROR(RIGHT("00"&amp;VALUE(LEFT(Sync!$AF299,FIND(":",Sync!$AF299)-1)),2)&amp;RIGHT("00"&amp;VALUE(MID(Sync!$AF299,FIND(":",Sync!$AF299)+1,2)),2),"0000"))))</f>
        <v/>
      </c>
    </row>
    <row r="300" spans="1:14" x14ac:dyDescent="0.2">
      <c r="A300" t="str">
        <f>IF(OR(Calc!$E304="",Calc!$E304="نامعتبر",Calc!$G304=""),"",Calc!$G304)</f>
        <v/>
      </c>
      <c r="B300" t="str">
        <f>IF($A300="","",LEFT(Calc!$E304,4)&amp;MID(Calc!$E304,6,2)&amp;RIGHT(Calc!$E304,2)&amp;Calc!$Q304&amp;"|"&amp;"1"&amp;RIGHT("00000"&amp;295,5))</f>
        <v/>
      </c>
      <c r="C300" t="str">
        <f t="shared" si="20"/>
        <v/>
      </c>
      <c r="D300" t="str">
        <f t="shared" si="21"/>
        <v/>
      </c>
      <c r="F300" t="str">
        <f>IF(Sync!$AH300="","",IF(LEFT(UPPER(TRIM(Sync!$AH300)),2)="SL",UPPER(TRIM(Sync!$AH300)),""))</f>
        <v/>
      </c>
      <c r="G300" t="str">
        <f>IF($F300="","",IF(Sync!$AE300="","",IF(ISNUMBER(Sync!$AE300),IF(AND(Sync!$AE300&gt;=10000101,Sync!$AE300&lt;=99991231),INT(Sync!$AE300/10000),""),IFERROR(VALUE(TRIM(LEFT(Sync!$AE300,FIND("/",Sync!$AE300)-1))),""))))</f>
        <v/>
      </c>
      <c r="H300" t="str">
        <f>IF(OR($F300="",$G300=""),"",IF(ISNUMBER(Sync!$AE300),INT(MOD(Sync!$AE300,10000)/100),IFERROR(VALUE(TRIM(LEFT(MID(Sync!$AE300,FIND("/",Sync!$AE300)+1,20),FIND("/",MID(Sync!$AE300,FIND("/",Sync!$AE300)+1,20))-1))),"")))</f>
        <v/>
      </c>
      <c r="I300" t="str">
        <f>IF(OR($F300="",$G300=""),"",IF(ISNUMBER(Sync!$AE300),MOD(Sync!$AE300,100),IFERROR(VALUE(TRIM(MID(MID(Sync!$AE300,FIND("/",Sync!$AE300)+1,20),FIND("/",MID(Sync!$AE300,FIND("/",Sync!$AE300)+1,20))+1,20))),"")))</f>
        <v/>
      </c>
      <c r="J300" t="str">
        <f t="shared" si="22"/>
        <v/>
      </c>
      <c r="K300" t="str">
        <f>IF(OR($F300="",$J300="",$J300="نامعتبر"),"",LEFT($J300,4)&amp;MID($J300,6,2)&amp;RIGHT($J300,2)&amp;$N300&amp;"|"&amp;"2"&amp;RIGHT("00000"&amp;295,5))</f>
        <v/>
      </c>
      <c r="L300" t="str">
        <f t="shared" si="23"/>
        <v/>
      </c>
      <c r="M300" t="str">
        <f t="shared" si="24"/>
        <v/>
      </c>
      <c r="N300" t="str">
        <f>IF($F300="","",IF(Sync!$AF300="","0000",IF(AND(ISNUMBER(Sync!$AF300),Sync!$AF300&gt;=0,Sync!$AF300&lt;1),RIGHT("00"&amp;HOUR(Sync!$AF300),2)&amp;RIGHT("00"&amp;MINUTE(Sync!$AF300),2),IFERROR(RIGHT("00"&amp;VALUE(LEFT(Sync!$AF300,FIND(":",Sync!$AF300)-1)),2)&amp;RIGHT("00"&amp;VALUE(MID(Sync!$AF300,FIND(":",Sync!$AF300)+1,2)),2),"0000"))))</f>
        <v/>
      </c>
    </row>
    <row r="301" spans="1:14" x14ac:dyDescent="0.2">
      <c r="A301" t="str">
        <f>IF(OR(Calc!$E305="",Calc!$E305="نامعتبر",Calc!$G305=""),"",Calc!$G305)</f>
        <v/>
      </c>
      <c r="B301" t="str">
        <f>IF($A301="","",LEFT(Calc!$E305,4)&amp;MID(Calc!$E305,6,2)&amp;RIGHT(Calc!$E305,2)&amp;Calc!$Q305&amp;"|"&amp;"1"&amp;RIGHT("00000"&amp;296,5))</f>
        <v/>
      </c>
      <c r="C301" t="str">
        <f t="shared" si="20"/>
        <v/>
      </c>
      <c r="D301" t="str">
        <f t="shared" si="21"/>
        <v/>
      </c>
      <c r="F301" t="str">
        <f>IF(Sync!$AH301="","",IF(LEFT(UPPER(TRIM(Sync!$AH301)),2)="SL",UPPER(TRIM(Sync!$AH301)),""))</f>
        <v/>
      </c>
      <c r="G301" t="str">
        <f>IF($F301="","",IF(Sync!$AE301="","",IF(ISNUMBER(Sync!$AE301),IF(AND(Sync!$AE301&gt;=10000101,Sync!$AE301&lt;=99991231),INT(Sync!$AE301/10000),""),IFERROR(VALUE(TRIM(LEFT(Sync!$AE301,FIND("/",Sync!$AE301)-1))),""))))</f>
        <v/>
      </c>
      <c r="H301" t="str">
        <f>IF(OR($F301="",$G301=""),"",IF(ISNUMBER(Sync!$AE301),INT(MOD(Sync!$AE301,10000)/100),IFERROR(VALUE(TRIM(LEFT(MID(Sync!$AE301,FIND("/",Sync!$AE301)+1,20),FIND("/",MID(Sync!$AE301,FIND("/",Sync!$AE301)+1,20))-1))),"")))</f>
        <v/>
      </c>
      <c r="I301" t="str">
        <f>IF(OR($F301="",$G301=""),"",IF(ISNUMBER(Sync!$AE301),MOD(Sync!$AE301,100),IFERROR(VALUE(TRIM(MID(MID(Sync!$AE301,FIND("/",Sync!$AE301)+1,20),FIND("/",MID(Sync!$AE301,FIND("/",Sync!$AE301)+1,20))+1,20))),"")))</f>
        <v/>
      </c>
      <c r="J301" t="str">
        <f t="shared" si="22"/>
        <v/>
      </c>
      <c r="K301" t="str">
        <f>IF(OR($F301="",$J301="",$J301="نامعتبر"),"",LEFT($J301,4)&amp;MID($J301,6,2)&amp;RIGHT($J301,2)&amp;$N301&amp;"|"&amp;"2"&amp;RIGHT("00000"&amp;296,5))</f>
        <v/>
      </c>
      <c r="L301" t="str">
        <f t="shared" si="23"/>
        <v/>
      </c>
      <c r="M301" t="str">
        <f t="shared" si="24"/>
        <v/>
      </c>
      <c r="N301" t="str">
        <f>IF($F301="","",IF(Sync!$AF301="","0000",IF(AND(ISNUMBER(Sync!$AF301),Sync!$AF301&gt;=0,Sync!$AF301&lt;1),RIGHT("00"&amp;HOUR(Sync!$AF301),2)&amp;RIGHT("00"&amp;MINUTE(Sync!$AF301),2),IFERROR(RIGHT("00"&amp;VALUE(LEFT(Sync!$AF301,FIND(":",Sync!$AF301)-1)),2)&amp;RIGHT("00"&amp;VALUE(MID(Sync!$AF301,FIND(":",Sync!$AF301)+1,2)),2),"0000"))))</f>
        <v/>
      </c>
    </row>
    <row r="302" spans="1:14" x14ac:dyDescent="0.2">
      <c r="A302" t="str">
        <f>IF(OR(Calc!$E306="",Calc!$E306="نامعتبر",Calc!$G306=""),"",Calc!$G306)</f>
        <v/>
      </c>
      <c r="B302" t="str">
        <f>IF($A302="","",LEFT(Calc!$E306,4)&amp;MID(Calc!$E306,6,2)&amp;RIGHT(Calc!$E306,2)&amp;Calc!$Q306&amp;"|"&amp;"1"&amp;RIGHT("00000"&amp;297,5))</f>
        <v/>
      </c>
      <c r="C302" t="str">
        <f t="shared" si="20"/>
        <v/>
      </c>
      <c r="D302" t="str">
        <f t="shared" si="21"/>
        <v/>
      </c>
      <c r="F302" t="str">
        <f>IF(Sync!$AH302="","",IF(LEFT(UPPER(TRIM(Sync!$AH302)),2)="SL",UPPER(TRIM(Sync!$AH302)),""))</f>
        <v/>
      </c>
      <c r="G302" t="str">
        <f>IF($F302="","",IF(Sync!$AE302="","",IF(ISNUMBER(Sync!$AE302),IF(AND(Sync!$AE302&gt;=10000101,Sync!$AE302&lt;=99991231),INT(Sync!$AE302/10000),""),IFERROR(VALUE(TRIM(LEFT(Sync!$AE302,FIND("/",Sync!$AE302)-1))),""))))</f>
        <v/>
      </c>
      <c r="H302" t="str">
        <f>IF(OR($F302="",$G302=""),"",IF(ISNUMBER(Sync!$AE302),INT(MOD(Sync!$AE302,10000)/100),IFERROR(VALUE(TRIM(LEFT(MID(Sync!$AE302,FIND("/",Sync!$AE302)+1,20),FIND("/",MID(Sync!$AE302,FIND("/",Sync!$AE302)+1,20))-1))),"")))</f>
        <v/>
      </c>
      <c r="I302" t="str">
        <f>IF(OR($F302="",$G302=""),"",IF(ISNUMBER(Sync!$AE302),MOD(Sync!$AE302,100),IFERROR(VALUE(TRIM(MID(MID(Sync!$AE302,FIND("/",Sync!$AE302)+1,20),FIND("/",MID(Sync!$AE302,FIND("/",Sync!$AE302)+1,20))+1,20))),"")))</f>
        <v/>
      </c>
      <c r="J302" t="str">
        <f t="shared" si="22"/>
        <v/>
      </c>
      <c r="K302" t="str">
        <f>IF(OR($F302="",$J302="",$J302="نامعتبر"),"",LEFT($J302,4)&amp;MID($J302,6,2)&amp;RIGHT($J302,2)&amp;$N302&amp;"|"&amp;"2"&amp;RIGHT("00000"&amp;297,5))</f>
        <v/>
      </c>
      <c r="L302" t="str">
        <f t="shared" si="23"/>
        <v/>
      </c>
      <c r="M302" t="str">
        <f t="shared" si="24"/>
        <v/>
      </c>
      <c r="N302" t="str">
        <f>IF($F302="","",IF(Sync!$AF302="","0000",IF(AND(ISNUMBER(Sync!$AF302),Sync!$AF302&gt;=0,Sync!$AF302&lt;1),RIGHT("00"&amp;HOUR(Sync!$AF302),2)&amp;RIGHT("00"&amp;MINUTE(Sync!$AF302),2),IFERROR(RIGHT("00"&amp;VALUE(LEFT(Sync!$AF302,FIND(":",Sync!$AF302)-1)),2)&amp;RIGHT("00"&amp;VALUE(MID(Sync!$AF302,FIND(":",Sync!$AF302)+1,2)),2),"0000"))))</f>
        <v/>
      </c>
    </row>
    <row r="303" spans="1:14" x14ac:dyDescent="0.2">
      <c r="A303" t="str">
        <f>IF(OR(Calc!$E307="",Calc!$E307="نامعتبر",Calc!$G307=""),"",Calc!$G307)</f>
        <v/>
      </c>
      <c r="B303" t="str">
        <f>IF($A303="","",LEFT(Calc!$E307,4)&amp;MID(Calc!$E307,6,2)&amp;RIGHT(Calc!$E307,2)&amp;Calc!$Q307&amp;"|"&amp;"1"&amp;RIGHT("00000"&amp;298,5))</f>
        <v/>
      </c>
      <c r="C303" t="str">
        <f t="shared" si="20"/>
        <v/>
      </c>
      <c r="D303" t="str">
        <f t="shared" si="21"/>
        <v/>
      </c>
      <c r="F303" t="str">
        <f>IF(Sync!$AH303="","",IF(LEFT(UPPER(TRIM(Sync!$AH303)),2)="SL",UPPER(TRIM(Sync!$AH303)),""))</f>
        <v/>
      </c>
      <c r="G303" t="str">
        <f>IF($F303="","",IF(Sync!$AE303="","",IF(ISNUMBER(Sync!$AE303),IF(AND(Sync!$AE303&gt;=10000101,Sync!$AE303&lt;=99991231),INT(Sync!$AE303/10000),""),IFERROR(VALUE(TRIM(LEFT(Sync!$AE303,FIND("/",Sync!$AE303)-1))),""))))</f>
        <v/>
      </c>
      <c r="H303" t="str">
        <f>IF(OR($F303="",$G303=""),"",IF(ISNUMBER(Sync!$AE303),INT(MOD(Sync!$AE303,10000)/100),IFERROR(VALUE(TRIM(LEFT(MID(Sync!$AE303,FIND("/",Sync!$AE303)+1,20),FIND("/",MID(Sync!$AE303,FIND("/",Sync!$AE303)+1,20))-1))),"")))</f>
        <v/>
      </c>
      <c r="I303" t="str">
        <f>IF(OR($F303="",$G303=""),"",IF(ISNUMBER(Sync!$AE303),MOD(Sync!$AE303,100),IFERROR(VALUE(TRIM(MID(MID(Sync!$AE303,FIND("/",Sync!$AE303)+1,20),FIND("/",MID(Sync!$AE303,FIND("/",Sync!$AE303)+1,20))+1,20))),"")))</f>
        <v/>
      </c>
      <c r="J303" t="str">
        <f t="shared" si="22"/>
        <v/>
      </c>
      <c r="K303" t="str">
        <f>IF(OR($F303="",$J303="",$J303="نامعتبر"),"",LEFT($J303,4)&amp;MID($J303,6,2)&amp;RIGHT($J303,2)&amp;$N303&amp;"|"&amp;"2"&amp;RIGHT("00000"&amp;298,5))</f>
        <v/>
      </c>
      <c r="L303" t="str">
        <f t="shared" si="23"/>
        <v/>
      </c>
      <c r="M303" t="str">
        <f t="shared" si="24"/>
        <v/>
      </c>
      <c r="N303" t="str">
        <f>IF($F303="","",IF(Sync!$AF303="","0000",IF(AND(ISNUMBER(Sync!$AF303),Sync!$AF303&gt;=0,Sync!$AF303&lt;1),RIGHT("00"&amp;HOUR(Sync!$AF303),2)&amp;RIGHT("00"&amp;MINUTE(Sync!$AF303),2),IFERROR(RIGHT("00"&amp;VALUE(LEFT(Sync!$AF303,FIND(":",Sync!$AF303)-1)),2)&amp;RIGHT("00"&amp;VALUE(MID(Sync!$AF303,FIND(":",Sync!$AF303)+1,2)),2),"0000"))))</f>
        <v/>
      </c>
    </row>
    <row r="304" spans="1:14" x14ac:dyDescent="0.2">
      <c r="A304" t="str">
        <f>IF(OR(Calc!$E308="",Calc!$E308="نامعتبر",Calc!$G308=""),"",Calc!$G308)</f>
        <v/>
      </c>
      <c r="B304" t="str">
        <f>IF($A304="","",LEFT(Calc!$E308,4)&amp;MID(Calc!$E308,6,2)&amp;RIGHT(Calc!$E308,2)&amp;Calc!$Q308&amp;"|"&amp;"1"&amp;RIGHT("00000"&amp;299,5))</f>
        <v/>
      </c>
      <c r="C304" t="str">
        <f t="shared" si="20"/>
        <v/>
      </c>
      <c r="D304" t="str">
        <f t="shared" si="21"/>
        <v/>
      </c>
      <c r="F304" t="str">
        <f>IF(Sync!$AH304="","",IF(LEFT(UPPER(TRIM(Sync!$AH304)),2)="SL",UPPER(TRIM(Sync!$AH304)),""))</f>
        <v/>
      </c>
      <c r="G304" t="str">
        <f>IF($F304="","",IF(Sync!$AE304="","",IF(ISNUMBER(Sync!$AE304),IF(AND(Sync!$AE304&gt;=10000101,Sync!$AE304&lt;=99991231),INT(Sync!$AE304/10000),""),IFERROR(VALUE(TRIM(LEFT(Sync!$AE304,FIND("/",Sync!$AE304)-1))),""))))</f>
        <v/>
      </c>
      <c r="H304" t="str">
        <f>IF(OR($F304="",$G304=""),"",IF(ISNUMBER(Sync!$AE304),INT(MOD(Sync!$AE304,10000)/100),IFERROR(VALUE(TRIM(LEFT(MID(Sync!$AE304,FIND("/",Sync!$AE304)+1,20),FIND("/",MID(Sync!$AE304,FIND("/",Sync!$AE304)+1,20))-1))),"")))</f>
        <v/>
      </c>
      <c r="I304" t="str">
        <f>IF(OR($F304="",$G304=""),"",IF(ISNUMBER(Sync!$AE304),MOD(Sync!$AE304,100),IFERROR(VALUE(TRIM(MID(MID(Sync!$AE304,FIND("/",Sync!$AE304)+1,20),FIND("/",MID(Sync!$AE304,FIND("/",Sync!$AE304)+1,20))+1,20))),"")))</f>
        <v/>
      </c>
      <c r="J304" t="str">
        <f t="shared" si="22"/>
        <v/>
      </c>
      <c r="K304" t="str">
        <f>IF(OR($F304="",$J304="",$J304="نامعتبر"),"",LEFT($J304,4)&amp;MID($J304,6,2)&amp;RIGHT($J304,2)&amp;$N304&amp;"|"&amp;"2"&amp;RIGHT("00000"&amp;299,5))</f>
        <v/>
      </c>
      <c r="L304" t="str">
        <f t="shared" si="23"/>
        <v/>
      </c>
      <c r="M304" t="str">
        <f t="shared" si="24"/>
        <v/>
      </c>
      <c r="N304" t="str">
        <f>IF($F304="","",IF(Sync!$AF304="","0000",IF(AND(ISNUMBER(Sync!$AF304),Sync!$AF304&gt;=0,Sync!$AF304&lt;1),RIGHT("00"&amp;HOUR(Sync!$AF304),2)&amp;RIGHT("00"&amp;MINUTE(Sync!$AF304),2),IFERROR(RIGHT("00"&amp;VALUE(LEFT(Sync!$AF304,FIND(":",Sync!$AF304)-1)),2)&amp;RIGHT("00"&amp;VALUE(MID(Sync!$AF304,FIND(":",Sync!$AF304)+1,2)),2),"0000"))))</f>
        <v/>
      </c>
    </row>
    <row r="305" spans="1:14" x14ac:dyDescent="0.2">
      <c r="A305" t="str">
        <f>IF(OR(Calc!$E309="",Calc!$E309="نامعتبر",Calc!$G309=""),"",Calc!$G309)</f>
        <v/>
      </c>
      <c r="B305" t="str">
        <f>IF($A305="","",LEFT(Calc!$E309,4)&amp;MID(Calc!$E309,6,2)&amp;RIGHT(Calc!$E309,2)&amp;Calc!$Q309&amp;"|"&amp;"1"&amp;RIGHT("00000"&amp;300,5))</f>
        <v/>
      </c>
      <c r="C305" t="str">
        <f t="shared" si="20"/>
        <v/>
      </c>
      <c r="D305" t="str">
        <f t="shared" si="21"/>
        <v/>
      </c>
      <c r="F305" t="str">
        <f>IF(Sync!$AH305="","",IF(LEFT(UPPER(TRIM(Sync!$AH305)),2)="SL",UPPER(TRIM(Sync!$AH305)),""))</f>
        <v/>
      </c>
      <c r="G305" t="str">
        <f>IF($F305="","",IF(Sync!$AE305="","",IF(ISNUMBER(Sync!$AE305),IF(AND(Sync!$AE305&gt;=10000101,Sync!$AE305&lt;=99991231),INT(Sync!$AE305/10000),""),IFERROR(VALUE(TRIM(LEFT(Sync!$AE305,FIND("/",Sync!$AE305)-1))),""))))</f>
        <v/>
      </c>
      <c r="H305" t="str">
        <f>IF(OR($F305="",$G305=""),"",IF(ISNUMBER(Sync!$AE305),INT(MOD(Sync!$AE305,10000)/100),IFERROR(VALUE(TRIM(LEFT(MID(Sync!$AE305,FIND("/",Sync!$AE305)+1,20),FIND("/",MID(Sync!$AE305,FIND("/",Sync!$AE305)+1,20))-1))),"")))</f>
        <v/>
      </c>
      <c r="I305" t="str">
        <f>IF(OR($F305="",$G305=""),"",IF(ISNUMBER(Sync!$AE305),MOD(Sync!$AE305,100),IFERROR(VALUE(TRIM(MID(MID(Sync!$AE305,FIND("/",Sync!$AE305)+1,20),FIND("/",MID(Sync!$AE305,FIND("/",Sync!$AE305)+1,20))+1,20))),"")))</f>
        <v/>
      </c>
      <c r="J305" t="str">
        <f t="shared" si="22"/>
        <v/>
      </c>
      <c r="K305" t="str">
        <f>IF(OR($F305="",$J305="",$J305="نامعتبر"),"",LEFT($J305,4)&amp;MID($J305,6,2)&amp;RIGHT($J305,2)&amp;$N305&amp;"|"&amp;"2"&amp;RIGHT("00000"&amp;300,5))</f>
        <v/>
      </c>
      <c r="L305" t="str">
        <f t="shared" si="23"/>
        <v/>
      </c>
      <c r="M305" t="str">
        <f t="shared" si="24"/>
        <v/>
      </c>
      <c r="N305" t="str">
        <f>IF($F305="","",IF(Sync!$AF305="","0000",IF(AND(ISNUMBER(Sync!$AF305),Sync!$AF305&gt;=0,Sync!$AF305&lt;1),RIGHT("00"&amp;HOUR(Sync!$AF305),2)&amp;RIGHT("00"&amp;MINUTE(Sync!$AF305),2),IFERROR(RIGHT("00"&amp;VALUE(LEFT(Sync!$AF305,FIND(":",Sync!$AF305)-1)),2)&amp;RIGHT("00"&amp;VALUE(MID(Sync!$AF305,FIND(":",Sync!$AF305)+1,2)),2),"0000"))))</f>
        <v/>
      </c>
    </row>
    <row r="306" spans="1:14" x14ac:dyDescent="0.2">
      <c r="A306" t="str">
        <f>IF(OR(Calc!$E310="",Calc!$E310="نامعتبر",Calc!$G310=""),"",Calc!$G310)</f>
        <v/>
      </c>
      <c r="B306" t="str">
        <f>IF($A306="","",LEFT(Calc!$E310,4)&amp;MID(Calc!$E310,6,2)&amp;RIGHT(Calc!$E310,2)&amp;Calc!$Q310&amp;"|"&amp;"1"&amp;RIGHT("00000"&amp;301,5))</f>
        <v/>
      </c>
      <c r="C306" t="str">
        <f t="shared" si="20"/>
        <v/>
      </c>
      <c r="D306" t="str">
        <f t="shared" si="21"/>
        <v/>
      </c>
      <c r="F306" t="str">
        <f>IF(Sync!$AH306="","",IF(LEFT(UPPER(TRIM(Sync!$AH306)),2)="SL",UPPER(TRIM(Sync!$AH306)),""))</f>
        <v/>
      </c>
      <c r="G306" t="str">
        <f>IF($F306="","",IF(Sync!$AE306="","",IF(ISNUMBER(Sync!$AE306),IF(AND(Sync!$AE306&gt;=10000101,Sync!$AE306&lt;=99991231),INT(Sync!$AE306/10000),""),IFERROR(VALUE(TRIM(LEFT(Sync!$AE306,FIND("/",Sync!$AE306)-1))),""))))</f>
        <v/>
      </c>
      <c r="H306" t="str">
        <f>IF(OR($F306="",$G306=""),"",IF(ISNUMBER(Sync!$AE306),INT(MOD(Sync!$AE306,10000)/100),IFERROR(VALUE(TRIM(LEFT(MID(Sync!$AE306,FIND("/",Sync!$AE306)+1,20),FIND("/",MID(Sync!$AE306,FIND("/",Sync!$AE306)+1,20))-1))),"")))</f>
        <v/>
      </c>
      <c r="I306" t="str">
        <f>IF(OR($F306="",$G306=""),"",IF(ISNUMBER(Sync!$AE306),MOD(Sync!$AE306,100),IFERROR(VALUE(TRIM(MID(MID(Sync!$AE306,FIND("/",Sync!$AE306)+1,20),FIND("/",MID(Sync!$AE306,FIND("/",Sync!$AE306)+1,20))+1,20))),"")))</f>
        <v/>
      </c>
      <c r="J306" t="str">
        <f t="shared" si="22"/>
        <v/>
      </c>
      <c r="K306" t="str">
        <f>IF(OR($F306="",$J306="",$J306="نامعتبر"),"",LEFT($J306,4)&amp;MID($J306,6,2)&amp;RIGHT($J306,2)&amp;$N306&amp;"|"&amp;"2"&amp;RIGHT("00000"&amp;301,5))</f>
        <v/>
      </c>
      <c r="L306" t="str">
        <f t="shared" si="23"/>
        <v/>
      </c>
      <c r="M306" t="str">
        <f t="shared" si="24"/>
        <v/>
      </c>
      <c r="N306" t="str">
        <f>IF($F306="","",IF(Sync!$AF306="","0000",IF(AND(ISNUMBER(Sync!$AF306),Sync!$AF306&gt;=0,Sync!$AF306&lt;1),RIGHT("00"&amp;HOUR(Sync!$AF306),2)&amp;RIGHT("00"&amp;MINUTE(Sync!$AF306),2),IFERROR(RIGHT("00"&amp;VALUE(LEFT(Sync!$AF306,FIND(":",Sync!$AF306)-1)),2)&amp;RIGHT("00"&amp;VALUE(MID(Sync!$AF306,FIND(":",Sync!$AF306)+1,2)),2),"0000"))))</f>
        <v/>
      </c>
    </row>
    <row r="307" spans="1:14" x14ac:dyDescent="0.2">
      <c r="A307" t="str">
        <f>IF(OR(Calc!$E311="",Calc!$E311="نامعتبر",Calc!$G311=""),"",Calc!$G311)</f>
        <v/>
      </c>
      <c r="B307" t="str">
        <f>IF($A307="","",LEFT(Calc!$E311,4)&amp;MID(Calc!$E311,6,2)&amp;RIGHT(Calc!$E311,2)&amp;Calc!$Q311&amp;"|"&amp;"1"&amp;RIGHT("00000"&amp;302,5))</f>
        <v/>
      </c>
      <c r="C307" t="str">
        <f t="shared" si="20"/>
        <v/>
      </c>
      <c r="D307" t="str">
        <f t="shared" si="21"/>
        <v/>
      </c>
      <c r="F307" t="str">
        <f>IF(Sync!$AH307="","",IF(LEFT(UPPER(TRIM(Sync!$AH307)),2)="SL",UPPER(TRIM(Sync!$AH307)),""))</f>
        <v/>
      </c>
      <c r="G307" t="str">
        <f>IF($F307="","",IF(Sync!$AE307="","",IF(ISNUMBER(Sync!$AE307),IF(AND(Sync!$AE307&gt;=10000101,Sync!$AE307&lt;=99991231),INT(Sync!$AE307/10000),""),IFERROR(VALUE(TRIM(LEFT(Sync!$AE307,FIND("/",Sync!$AE307)-1))),""))))</f>
        <v/>
      </c>
      <c r="H307" t="str">
        <f>IF(OR($F307="",$G307=""),"",IF(ISNUMBER(Sync!$AE307),INT(MOD(Sync!$AE307,10000)/100),IFERROR(VALUE(TRIM(LEFT(MID(Sync!$AE307,FIND("/",Sync!$AE307)+1,20),FIND("/",MID(Sync!$AE307,FIND("/",Sync!$AE307)+1,20))-1))),"")))</f>
        <v/>
      </c>
      <c r="I307" t="str">
        <f>IF(OR($F307="",$G307=""),"",IF(ISNUMBER(Sync!$AE307),MOD(Sync!$AE307,100),IFERROR(VALUE(TRIM(MID(MID(Sync!$AE307,FIND("/",Sync!$AE307)+1,20),FIND("/",MID(Sync!$AE307,FIND("/",Sync!$AE307)+1,20))+1,20))),"")))</f>
        <v/>
      </c>
      <c r="J307" t="str">
        <f t="shared" si="22"/>
        <v/>
      </c>
      <c r="K307" t="str">
        <f>IF(OR($F307="",$J307="",$J307="نامعتبر"),"",LEFT($J307,4)&amp;MID($J307,6,2)&amp;RIGHT($J307,2)&amp;$N307&amp;"|"&amp;"2"&amp;RIGHT("00000"&amp;302,5))</f>
        <v/>
      </c>
      <c r="L307" t="str">
        <f t="shared" si="23"/>
        <v/>
      </c>
      <c r="M307" t="str">
        <f t="shared" si="24"/>
        <v/>
      </c>
      <c r="N307" t="str">
        <f>IF($F307="","",IF(Sync!$AF307="","0000",IF(AND(ISNUMBER(Sync!$AF307),Sync!$AF307&gt;=0,Sync!$AF307&lt;1),RIGHT("00"&amp;HOUR(Sync!$AF307),2)&amp;RIGHT("00"&amp;MINUTE(Sync!$AF307),2),IFERROR(RIGHT("00"&amp;VALUE(LEFT(Sync!$AF307,FIND(":",Sync!$AF307)-1)),2)&amp;RIGHT("00"&amp;VALUE(MID(Sync!$AF307,FIND(":",Sync!$AF307)+1,2)),2),"0000"))))</f>
        <v/>
      </c>
    </row>
    <row r="308" spans="1:14" x14ac:dyDescent="0.2">
      <c r="A308" t="str">
        <f>IF(OR(Calc!$E312="",Calc!$E312="نامعتبر",Calc!$G312=""),"",Calc!$G312)</f>
        <v/>
      </c>
      <c r="B308" t="str">
        <f>IF($A308="","",LEFT(Calc!$E312,4)&amp;MID(Calc!$E312,6,2)&amp;RIGHT(Calc!$E312,2)&amp;Calc!$Q312&amp;"|"&amp;"1"&amp;RIGHT("00000"&amp;303,5))</f>
        <v/>
      </c>
      <c r="C308" t="str">
        <f t="shared" si="20"/>
        <v/>
      </c>
      <c r="D308" t="str">
        <f t="shared" si="21"/>
        <v/>
      </c>
      <c r="F308" t="str">
        <f>IF(Sync!$AH308="","",IF(LEFT(UPPER(TRIM(Sync!$AH308)),2)="SL",UPPER(TRIM(Sync!$AH308)),""))</f>
        <v/>
      </c>
      <c r="G308" t="str">
        <f>IF($F308="","",IF(Sync!$AE308="","",IF(ISNUMBER(Sync!$AE308),IF(AND(Sync!$AE308&gt;=10000101,Sync!$AE308&lt;=99991231),INT(Sync!$AE308/10000),""),IFERROR(VALUE(TRIM(LEFT(Sync!$AE308,FIND("/",Sync!$AE308)-1))),""))))</f>
        <v/>
      </c>
      <c r="H308" t="str">
        <f>IF(OR($F308="",$G308=""),"",IF(ISNUMBER(Sync!$AE308),INT(MOD(Sync!$AE308,10000)/100),IFERROR(VALUE(TRIM(LEFT(MID(Sync!$AE308,FIND("/",Sync!$AE308)+1,20),FIND("/",MID(Sync!$AE308,FIND("/",Sync!$AE308)+1,20))-1))),"")))</f>
        <v/>
      </c>
      <c r="I308" t="str">
        <f>IF(OR($F308="",$G308=""),"",IF(ISNUMBER(Sync!$AE308),MOD(Sync!$AE308,100),IFERROR(VALUE(TRIM(MID(MID(Sync!$AE308,FIND("/",Sync!$AE308)+1,20),FIND("/",MID(Sync!$AE308,FIND("/",Sync!$AE308)+1,20))+1,20))),"")))</f>
        <v/>
      </c>
      <c r="J308" t="str">
        <f t="shared" si="22"/>
        <v/>
      </c>
      <c r="K308" t="str">
        <f>IF(OR($F308="",$J308="",$J308="نامعتبر"),"",LEFT($J308,4)&amp;MID($J308,6,2)&amp;RIGHT($J308,2)&amp;$N308&amp;"|"&amp;"2"&amp;RIGHT("00000"&amp;303,5))</f>
        <v/>
      </c>
      <c r="L308" t="str">
        <f t="shared" si="23"/>
        <v/>
      </c>
      <c r="M308" t="str">
        <f t="shared" si="24"/>
        <v/>
      </c>
      <c r="N308" t="str">
        <f>IF($F308="","",IF(Sync!$AF308="","0000",IF(AND(ISNUMBER(Sync!$AF308),Sync!$AF308&gt;=0,Sync!$AF308&lt;1),RIGHT("00"&amp;HOUR(Sync!$AF308),2)&amp;RIGHT("00"&amp;MINUTE(Sync!$AF308),2),IFERROR(RIGHT("00"&amp;VALUE(LEFT(Sync!$AF308,FIND(":",Sync!$AF308)-1)),2)&amp;RIGHT("00"&amp;VALUE(MID(Sync!$AF308,FIND(":",Sync!$AF308)+1,2)),2),"0000"))))</f>
        <v/>
      </c>
    </row>
    <row r="309" spans="1:14" x14ac:dyDescent="0.2">
      <c r="A309" t="str">
        <f>IF(OR(Calc!$E313="",Calc!$E313="نامعتبر",Calc!$G313=""),"",Calc!$G313)</f>
        <v/>
      </c>
      <c r="B309" t="str">
        <f>IF($A309="","",LEFT(Calc!$E313,4)&amp;MID(Calc!$E313,6,2)&amp;RIGHT(Calc!$E313,2)&amp;Calc!$Q313&amp;"|"&amp;"1"&amp;RIGHT("00000"&amp;304,5))</f>
        <v/>
      </c>
      <c r="C309" t="str">
        <f t="shared" si="20"/>
        <v/>
      </c>
      <c r="D309" t="str">
        <f t="shared" si="21"/>
        <v/>
      </c>
      <c r="F309" t="str">
        <f>IF(Sync!$AH309="","",IF(LEFT(UPPER(TRIM(Sync!$AH309)),2)="SL",UPPER(TRIM(Sync!$AH309)),""))</f>
        <v/>
      </c>
      <c r="G309" t="str">
        <f>IF($F309="","",IF(Sync!$AE309="","",IF(ISNUMBER(Sync!$AE309),IF(AND(Sync!$AE309&gt;=10000101,Sync!$AE309&lt;=99991231),INT(Sync!$AE309/10000),""),IFERROR(VALUE(TRIM(LEFT(Sync!$AE309,FIND("/",Sync!$AE309)-1))),""))))</f>
        <v/>
      </c>
      <c r="H309" t="str">
        <f>IF(OR($F309="",$G309=""),"",IF(ISNUMBER(Sync!$AE309),INT(MOD(Sync!$AE309,10000)/100),IFERROR(VALUE(TRIM(LEFT(MID(Sync!$AE309,FIND("/",Sync!$AE309)+1,20),FIND("/",MID(Sync!$AE309,FIND("/",Sync!$AE309)+1,20))-1))),"")))</f>
        <v/>
      </c>
      <c r="I309" t="str">
        <f>IF(OR($F309="",$G309=""),"",IF(ISNUMBER(Sync!$AE309),MOD(Sync!$AE309,100),IFERROR(VALUE(TRIM(MID(MID(Sync!$AE309,FIND("/",Sync!$AE309)+1,20),FIND("/",MID(Sync!$AE309,FIND("/",Sync!$AE309)+1,20))+1,20))),"")))</f>
        <v/>
      </c>
      <c r="J309" t="str">
        <f t="shared" si="22"/>
        <v/>
      </c>
      <c r="K309" t="str">
        <f>IF(OR($F309="",$J309="",$J309="نامعتبر"),"",LEFT($J309,4)&amp;MID($J309,6,2)&amp;RIGHT($J309,2)&amp;$N309&amp;"|"&amp;"2"&amp;RIGHT("00000"&amp;304,5))</f>
        <v/>
      </c>
      <c r="L309" t="str">
        <f t="shared" si="23"/>
        <v/>
      </c>
      <c r="M309" t="str">
        <f t="shared" si="24"/>
        <v/>
      </c>
      <c r="N309" t="str">
        <f>IF($F309="","",IF(Sync!$AF309="","0000",IF(AND(ISNUMBER(Sync!$AF309),Sync!$AF309&gt;=0,Sync!$AF309&lt;1),RIGHT("00"&amp;HOUR(Sync!$AF309),2)&amp;RIGHT("00"&amp;MINUTE(Sync!$AF309),2),IFERROR(RIGHT("00"&amp;VALUE(LEFT(Sync!$AF309,FIND(":",Sync!$AF309)-1)),2)&amp;RIGHT("00"&amp;VALUE(MID(Sync!$AF309,FIND(":",Sync!$AF309)+1,2)),2),"0000"))))</f>
        <v/>
      </c>
    </row>
    <row r="310" spans="1:14" x14ac:dyDescent="0.2">
      <c r="A310" t="str">
        <f>IF(OR(Calc!$E314="",Calc!$E314="نامعتبر",Calc!$G314=""),"",Calc!$G314)</f>
        <v/>
      </c>
      <c r="B310" t="str">
        <f>IF($A310="","",LEFT(Calc!$E314,4)&amp;MID(Calc!$E314,6,2)&amp;RIGHT(Calc!$E314,2)&amp;Calc!$Q314&amp;"|"&amp;"1"&amp;RIGHT("00000"&amp;305,5))</f>
        <v/>
      </c>
      <c r="C310" t="str">
        <f t="shared" si="20"/>
        <v/>
      </c>
      <c r="D310" t="str">
        <f t="shared" si="21"/>
        <v/>
      </c>
      <c r="F310" t="str">
        <f>IF(Sync!$AH310="","",IF(LEFT(UPPER(TRIM(Sync!$AH310)),2)="SL",UPPER(TRIM(Sync!$AH310)),""))</f>
        <v/>
      </c>
      <c r="G310" t="str">
        <f>IF($F310="","",IF(Sync!$AE310="","",IF(ISNUMBER(Sync!$AE310),IF(AND(Sync!$AE310&gt;=10000101,Sync!$AE310&lt;=99991231),INT(Sync!$AE310/10000),""),IFERROR(VALUE(TRIM(LEFT(Sync!$AE310,FIND("/",Sync!$AE310)-1))),""))))</f>
        <v/>
      </c>
      <c r="H310" t="str">
        <f>IF(OR($F310="",$G310=""),"",IF(ISNUMBER(Sync!$AE310),INT(MOD(Sync!$AE310,10000)/100),IFERROR(VALUE(TRIM(LEFT(MID(Sync!$AE310,FIND("/",Sync!$AE310)+1,20),FIND("/",MID(Sync!$AE310,FIND("/",Sync!$AE310)+1,20))-1))),"")))</f>
        <v/>
      </c>
      <c r="I310" t="str">
        <f>IF(OR($F310="",$G310=""),"",IF(ISNUMBER(Sync!$AE310),MOD(Sync!$AE310,100),IFERROR(VALUE(TRIM(MID(MID(Sync!$AE310,FIND("/",Sync!$AE310)+1,20),FIND("/",MID(Sync!$AE310,FIND("/",Sync!$AE310)+1,20))+1,20))),"")))</f>
        <v/>
      </c>
      <c r="J310" t="str">
        <f t="shared" si="22"/>
        <v/>
      </c>
      <c r="K310" t="str">
        <f>IF(OR($F310="",$J310="",$J310="نامعتبر"),"",LEFT($J310,4)&amp;MID($J310,6,2)&amp;RIGHT($J310,2)&amp;$N310&amp;"|"&amp;"2"&amp;RIGHT("00000"&amp;305,5))</f>
        <v/>
      </c>
      <c r="L310" t="str">
        <f t="shared" si="23"/>
        <v/>
      </c>
      <c r="M310" t="str">
        <f t="shared" si="24"/>
        <v/>
      </c>
      <c r="N310" t="str">
        <f>IF($F310="","",IF(Sync!$AF310="","0000",IF(AND(ISNUMBER(Sync!$AF310),Sync!$AF310&gt;=0,Sync!$AF310&lt;1),RIGHT("00"&amp;HOUR(Sync!$AF310),2)&amp;RIGHT("00"&amp;MINUTE(Sync!$AF310),2),IFERROR(RIGHT("00"&amp;VALUE(LEFT(Sync!$AF310,FIND(":",Sync!$AF310)-1)),2)&amp;RIGHT("00"&amp;VALUE(MID(Sync!$AF310,FIND(":",Sync!$AF310)+1,2)),2),"0000"))))</f>
        <v/>
      </c>
    </row>
    <row r="311" spans="1:14" x14ac:dyDescent="0.2">
      <c r="A311" t="str">
        <f>IF(OR(Calc!$E315="",Calc!$E315="نامعتبر",Calc!$G315=""),"",Calc!$G315)</f>
        <v/>
      </c>
      <c r="B311" t="str">
        <f>IF($A311="","",LEFT(Calc!$E315,4)&amp;MID(Calc!$E315,6,2)&amp;RIGHT(Calc!$E315,2)&amp;Calc!$Q315&amp;"|"&amp;"1"&amp;RIGHT("00000"&amp;306,5))</f>
        <v/>
      </c>
      <c r="C311" t="str">
        <f t="shared" si="20"/>
        <v/>
      </c>
      <c r="D311" t="str">
        <f t="shared" si="21"/>
        <v/>
      </c>
      <c r="F311" t="str">
        <f>IF(Sync!$AH311="","",IF(LEFT(UPPER(TRIM(Sync!$AH311)),2)="SL",UPPER(TRIM(Sync!$AH311)),""))</f>
        <v/>
      </c>
      <c r="G311" t="str">
        <f>IF($F311="","",IF(Sync!$AE311="","",IF(ISNUMBER(Sync!$AE311),IF(AND(Sync!$AE311&gt;=10000101,Sync!$AE311&lt;=99991231),INT(Sync!$AE311/10000),""),IFERROR(VALUE(TRIM(LEFT(Sync!$AE311,FIND("/",Sync!$AE311)-1))),""))))</f>
        <v/>
      </c>
      <c r="H311" t="str">
        <f>IF(OR($F311="",$G311=""),"",IF(ISNUMBER(Sync!$AE311),INT(MOD(Sync!$AE311,10000)/100),IFERROR(VALUE(TRIM(LEFT(MID(Sync!$AE311,FIND("/",Sync!$AE311)+1,20),FIND("/",MID(Sync!$AE311,FIND("/",Sync!$AE311)+1,20))-1))),"")))</f>
        <v/>
      </c>
      <c r="I311" t="str">
        <f>IF(OR($F311="",$G311=""),"",IF(ISNUMBER(Sync!$AE311),MOD(Sync!$AE311,100),IFERROR(VALUE(TRIM(MID(MID(Sync!$AE311,FIND("/",Sync!$AE311)+1,20),FIND("/",MID(Sync!$AE311,FIND("/",Sync!$AE311)+1,20))+1,20))),"")))</f>
        <v/>
      </c>
      <c r="J311" t="str">
        <f t="shared" si="22"/>
        <v/>
      </c>
      <c r="K311" t="str">
        <f>IF(OR($F311="",$J311="",$J311="نامعتبر"),"",LEFT($J311,4)&amp;MID($J311,6,2)&amp;RIGHT($J311,2)&amp;$N311&amp;"|"&amp;"2"&amp;RIGHT("00000"&amp;306,5))</f>
        <v/>
      </c>
      <c r="L311" t="str">
        <f t="shared" si="23"/>
        <v/>
      </c>
      <c r="M311" t="str">
        <f t="shared" si="24"/>
        <v/>
      </c>
      <c r="N311" t="str">
        <f>IF($F311="","",IF(Sync!$AF311="","0000",IF(AND(ISNUMBER(Sync!$AF311),Sync!$AF311&gt;=0,Sync!$AF311&lt;1),RIGHT("00"&amp;HOUR(Sync!$AF311),2)&amp;RIGHT("00"&amp;MINUTE(Sync!$AF311),2),IFERROR(RIGHT("00"&amp;VALUE(LEFT(Sync!$AF311,FIND(":",Sync!$AF311)-1)),2)&amp;RIGHT("00"&amp;VALUE(MID(Sync!$AF311,FIND(":",Sync!$AF311)+1,2)),2),"0000"))))</f>
        <v/>
      </c>
    </row>
    <row r="312" spans="1:14" x14ac:dyDescent="0.2">
      <c r="A312" t="str">
        <f>IF(OR(Calc!$E316="",Calc!$E316="نامعتبر",Calc!$G316=""),"",Calc!$G316)</f>
        <v/>
      </c>
      <c r="B312" t="str">
        <f>IF($A312="","",LEFT(Calc!$E316,4)&amp;MID(Calc!$E316,6,2)&amp;RIGHT(Calc!$E316,2)&amp;Calc!$Q316&amp;"|"&amp;"1"&amp;RIGHT("00000"&amp;307,5))</f>
        <v/>
      </c>
      <c r="C312" t="str">
        <f t="shared" si="20"/>
        <v/>
      </c>
      <c r="D312" t="str">
        <f t="shared" si="21"/>
        <v/>
      </c>
      <c r="F312" t="str">
        <f>IF(Sync!$AH312="","",IF(LEFT(UPPER(TRIM(Sync!$AH312)),2)="SL",UPPER(TRIM(Sync!$AH312)),""))</f>
        <v/>
      </c>
      <c r="G312" t="str">
        <f>IF($F312="","",IF(Sync!$AE312="","",IF(ISNUMBER(Sync!$AE312),IF(AND(Sync!$AE312&gt;=10000101,Sync!$AE312&lt;=99991231),INT(Sync!$AE312/10000),""),IFERROR(VALUE(TRIM(LEFT(Sync!$AE312,FIND("/",Sync!$AE312)-1))),""))))</f>
        <v/>
      </c>
      <c r="H312" t="str">
        <f>IF(OR($F312="",$G312=""),"",IF(ISNUMBER(Sync!$AE312),INT(MOD(Sync!$AE312,10000)/100),IFERROR(VALUE(TRIM(LEFT(MID(Sync!$AE312,FIND("/",Sync!$AE312)+1,20),FIND("/",MID(Sync!$AE312,FIND("/",Sync!$AE312)+1,20))-1))),"")))</f>
        <v/>
      </c>
      <c r="I312" t="str">
        <f>IF(OR($F312="",$G312=""),"",IF(ISNUMBER(Sync!$AE312),MOD(Sync!$AE312,100),IFERROR(VALUE(TRIM(MID(MID(Sync!$AE312,FIND("/",Sync!$AE312)+1,20),FIND("/",MID(Sync!$AE312,FIND("/",Sync!$AE312)+1,20))+1,20))),"")))</f>
        <v/>
      </c>
      <c r="J312" t="str">
        <f t="shared" si="22"/>
        <v/>
      </c>
      <c r="K312" t="str">
        <f>IF(OR($F312="",$J312="",$J312="نامعتبر"),"",LEFT($J312,4)&amp;MID($J312,6,2)&amp;RIGHT($J312,2)&amp;$N312&amp;"|"&amp;"2"&amp;RIGHT("00000"&amp;307,5))</f>
        <v/>
      </c>
      <c r="L312" t="str">
        <f t="shared" si="23"/>
        <v/>
      </c>
      <c r="M312" t="str">
        <f t="shared" si="24"/>
        <v/>
      </c>
      <c r="N312" t="str">
        <f>IF($F312="","",IF(Sync!$AF312="","0000",IF(AND(ISNUMBER(Sync!$AF312),Sync!$AF312&gt;=0,Sync!$AF312&lt;1),RIGHT("00"&amp;HOUR(Sync!$AF312),2)&amp;RIGHT("00"&amp;MINUTE(Sync!$AF312),2),IFERROR(RIGHT("00"&amp;VALUE(LEFT(Sync!$AF312,FIND(":",Sync!$AF312)-1)),2)&amp;RIGHT("00"&amp;VALUE(MID(Sync!$AF312,FIND(":",Sync!$AF312)+1,2)),2),"0000"))))</f>
        <v/>
      </c>
    </row>
    <row r="313" spans="1:14" x14ac:dyDescent="0.2">
      <c r="A313" t="str">
        <f>IF(OR(Calc!$E317="",Calc!$E317="نامعتبر",Calc!$G317=""),"",Calc!$G317)</f>
        <v/>
      </c>
      <c r="B313" t="str">
        <f>IF($A313="","",LEFT(Calc!$E317,4)&amp;MID(Calc!$E317,6,2)&amp;RIGHT(Calc!$E317,2)&amp;Calc!$Q317&amp;"|"&amp;"1"&amp;RIGHT("00000"&amp;308,5))</f>
        <v/>
      </c>
      <c r="C313" t="str">
        <f t="shared" si="20"/>
        <v/>
      </c>
      <c r="D313" t="str">
        <f t="shared" si="21"/>
        <v/>
      </c>
      <c r="F313" t="str">
        <f>IF(Sync!$AH313="","",IF(LEFT(UPPER(TRIM(Sync!$AH313)),2)="SL",UPPER(TRIM(Sync!$AH313)),""))</f>
        <v/>
      </c>
      <c r="G313" t="str">
        <f>IF($F313="","",IF(Sync!$AE313="","",IF(ISNUMBER(Sync!$AE313),IF(AND(Sync!$AE313&gt;=10000101,Sync!$AE313&lt;=99991231),INT(Sync!$AE313/10000),""),IFERROR(VALUE(TRIM(LEFT(Sync!$AE313,FIND("/",Sync!$AE313)-1))),""))))</f>
        <v/>
      </c>
      <c r="H313" t="str">
        <f>IF(OR($F313="",$G313=""),"",IF(ISNUMBER(Sync!$AE313),INT(MOD(Sync!$AE313,10000)/100),IFERROR(VALUE(TRIM(LEFT(MID(Sync!$AE313,FIND("/",Sync!$AE313)+1,20),FIND("/",MID(Sync!$AE313,FIND("/",Sync!$AE313)+1,20))-1))),"")))</f>
        <v/>
      </c>
      <c r="I313" t="str">
        <f>IF(OR($F313="",$G313=""),"",IF(ISNUMBER(Sync!$AE313),MOD(Sync!$AE313,100),IFERROR(VALUE(TRIM(MID(MID(Sync!$AE313,FIND("/",Sync!$AE313)+1,20),FIND("/",MID(Sync!$AE313,FIND("/",Sync!$AE313)+1,20))+1,20))),"")))</f>
        <v/>
      </c>
      <c r="J313" t="str">
        <f t="shared" si="22"/>
        <v/>
      </c>
      <c r="K313" t="str">
        <f>IF(OR($F313="",$J313="",$J313="نامعتبر"),"",LEFT($J313,4)&amp;MID($J313,6,2)&amp;RIGHT($J313,2)&amp;$N313&amp;"|"&amp;"2"&amp;RIGHT("00000"&amp;308,5))</f>
        <v/>
      </c>
      <c r="L313" t="str">
        <f t="shared" si="23"/>
        <v/>
      </c>
      <c r="M313" t="str">
        <f t="shared" si="24"/>
        <v/>
      </c>
      <c r="N313" t="str">
        <f>IF($F313="","",IF(Sync!$AF313="","0000",IF(AND(ISNUMBER(Sync!$AF313),Sync!$AF313&gt;=0,Sync!$AF313&lt;1),RIGHT("00"&amp;HOUR(Sync!$AF313),2)&amp;RIGHT("00"&amp;MINUTE(Sync!$AF313),2),IFERROR(RIGHT("00"&amp;VALUE(LEFT(Sync!$AF313,FIND(":",Sync!$AF313)-1)),2)&amp;RIGHT("00"&amp;VALUE(MID(Sync!$AF313,FIND(":",Sync!$AF313)+1,2)),2),"0000"))))</f>
        <v/>
      </c>
    </row>
    <row r="314" spans="1:14" x14ac:dyDescent="0.2">
      <c r="A314" t="str">
        <f>IF(OR(Calc!$E318="",Calc!$E318="نامعتبر",Calc!$G318=""),"",Calc!$G318)</f>
        <v/>
      </c>
      <c r="B314" t="str">
        <f>IF($A314="","",LEFT(Calc!$E318,4)&amp;MID(Calc!$E318,6,2)&amp;RIGHT(Calc!$E318,2)&amp;Calc!$Q318&amp;"|"&amp;"1"&amp;RIGHT("00000"&amp;309,5))</f>
        <v/>
      </c>
      <c r="C314" t="str">
        <f t="shared" si="20"/>
        <v/>
      </c>
      <c r="D314" t="str">
        <f t="shared" si="21"/>
        <v/>
      </c>
      <c r="F314" t="str">
        <f>IF(Sync!$AH314="","",IF(LEFT(UPPER(TRIM(Sync!$AH314)),2)="SL",UPPER(TRIM(Sync!$AH314)),""))</f>
        <v/>
      </c>
      <c r="G314" t="str">
        <f>IF($F314="","",IF(Sync!$AE314="","",IF(ISNUMBER(Sync!$AE314),IF(AND(Sync!$AE314&gt;=10000101,Sync!$AE314&lt;=99991231),INT(Sync!$AE314/10000),""),IFERROR(VALUE(TRIM(LEFT(Sync!$AE314,FIND("/",Sync!$AE314)-1))),""))))</f>
        <v/>
      </c>
      <c r="H314" t="str">
        <f>IF(OR($F314="",$G314=""),"",IF(ISNUMBER(Sync!$AE314),INT(MOD(Sync!$AE314,10000)/100),IFERROR(VALUE(TRIM(LEFT(MID(Sync!$AE314,FIND("/",Sync!$AE314)+1,20),FIND("/",MID(Sync!$AE314,FIND("/",Sync!$AE314)+1,20))-1))),"")))</f>
        <v/>
      </c>
      <c r="I314" t="str">
        <f>IF(OR($F314="",$G314=""),"",IF(ISNUMBER(Sync!$AE314),MOD(Sync!$AE314,100),IFERROR(VALUE(TRIM(MID(MID(Sync!$AE314,FIND("/",Sync!$AE314)+1,20),FIND("/",MID(Sync!$AE314,FIND("/",Sync!$AE314)+1,20))+1,20))),"")))</f>
        <v/>
      </c>
      <c r="J314" t="str">
        <f t="shared" si="22"/>
        <v/>
      </c>
      <c r="K314" t="str">
        <f>IF(OR($F314="",$J314="",$J314="نامعتبر"),"",LEFT($J314,4)&amp;MID($J314,6,2)&amp;RIGHT($J314,2)&amp;$N314&amp;"|"&amp;"2"&amp;RIGHT("00000"&amp;309,5))</f>
        <v/>
      </c>
      <c r="L314" t="str">
        <f t="shared" si="23"/>
        <v/>
      </c>
      <c r="M314" t="str">
        <f t="shared" si="24"/>
        <v/>
      </c>
      <c r="N314" t="str">
        <f>IF($F314="","",IF(Sync!$AF314="","0000",IF(AND(ISNUMBER(Sync!$AF314),Sync!$AF314&gt;=0,Sync!$AF314&lt;1),RIGHT("00"&amp;HOUR(Sync!$AF314),2)&amp;RIGHT("00"&amp;MINUTE(Sync!$AF314),2),IFERROR(RIGHT("00"&amp;VALUE(LEFT(Sync!$AF314,FIND(":",Sync!$AF314)-1)),2)&amp;RIGHT("00"&amp;VALUE(MID(Sync!$AF314,FIND(":",Sync!$AF314)+1,2)),2),"0000"))))</f>
        <v/>
      </c>
    </row>
    <row r="315" spans="1:14" x14ac:dyDescent="0.2">
      <c r="A315" t="str">
        <f>IF(OR(Calc!$E319="",Calc!$E319="نامعتبر",Calc!$G319=""),"",Calc!$G319)</f>
        <v/>
      </c>
      <c r="B315" t="str">
        <f>IF($A315="","",LEFT(Calc!$E319,4)&amp;MID(Calc!$E319,6,2)&amp;RIGHT(Calc!$E319,2)&amp;Calc!$Q319&amp;"|"&amp;"1"&amp;RIGHT("00000"&amp;310,5))</f>
        <v/>
      </c>
      <c r="C315" t="str">
        <f t="shared" si="20"/>
        <v/>
      </c>
      <c r="D315" t="str">
        <f t="shared" si="21"/>
        <v/>
      </c>
      <c r="F315" t="str">
        <f>IF(Sync!$AH315="","",IF(LEFT(UPPER(TRIM(Sync!$AH315)),2)="SL",UPPER(TRIM(Sync!$AH315)),""))</f>
        <v/>
      </c>
      <c r="G315" t="str">
        <f>IF($F315="","",IF(Sync!$AE315="","",IF(ISNUMBER(Sync!$AE315),IF(AND(Sync!$AE315&gt;=10000101,Sync!$AE315&lt;=99991231),INT(Sync!$AE315/10000),""),IFERROR(VALUE(TRIM(LEFT(Sync!$AE315,FIND("/",Sync!$AE315)-1))),""))))</f>
        <v/>
      </c>
      <c r="H315" t="str">
        <f>IF(OR($F315="",$G315=""),"",IF(ISNUMBER(Sync!$AE315),INT(MOD(Sync!$AE315,10000)/100),IFERROR(VALUE(TRIM(LEFT(MID(Sync!$AE315,FIND("/",Sync!$AE315)+1,20),FIND("/",MID(Sync!$AE315,FIND("/",Sync!$AE315)+1,20))-1))),"")))</f>
        <v/>
      </c>
      <c r="I315" t="str">
        <f>IF(OR($F315="",$G315=""),"",IF(ISNUMBER(Sync!$AE315),MOD(Sync!$AE315,100),IFERROR(VALUE(TRIM(MID(MID(Sync!$AE315,FIND("/",Sync!$AE315)+1,20),FIND("/",MID(Sync!$AE315,FIND("/",Sync!$AE315)+1,20))+1,20))),"")))</f>
        <v/>
      </c>
      <c r="J315" t="str">
        <f t="shared" si="22"/>
        <v/>
      </c>
      <c r="K315" t="str">
        <f>IF(OR($F315="",$J315="",$J315="نامعتبر"),"",LEFT($J315,4)&amp;MID($J315,6,2)&amp;RIGHT($J315,2)&amp;$N315&amp;"|"&amp;"2"&amp;RIGHT("00000"&amp;310,5))</f>
        <v/>
      </c>
      <c r="L315" t="str">
        <f t="shared" si="23"/>
        <v/>
      </c>
      <c r="M315" t="str">
        <f t="shared" si="24"/>
        <v/>
      </c>
      <c r="N315" t="str">
        <f>IF($F315="","",IF(Sync!$AF315="","0000",IF(AND(ISNUMBER(Sync!$AF315),Sync!$AF315&gt;=0,Sync!$AF315&lt;1),RIGHT("00"&amp;HOUR(Sync!$AF315),2)&amp;RIGHT("00"&amp;MINUTE(Sync!$AF315),2),IFERROR(RIGHT("00"&amp;VALUE(LEFT(Sync!$AF315,FIND(":",Sync!$AF315)-1)),2)&amp;RIGHT("00"&amp;VALUE(MID(Sync!$AF315,FIND(":",Sync!$AF315)+1,2)),2),"0000"))))</f>
        <v/>
      </c>
    </row>
    <row r="316" spans="1:14" x14ac:dyDescent="0.2">
      <c r="A316" t="str">
        <f>IF(OR(Calc!$E320="",Calc!$E320="نامعتبر",Calc!$G320=""),"",Calc!$G320)</f>
        <v/>
      </c>
      <c r="B316" t="str">
        <f>IF($A316="","",LEFT(Calc!$E320,4)&amp;MID(Calc!$E320,6,2)&amp;RIGHT(Calc!$E320,2)&amp;Calc!$Q320&amp;"|"&amp;"1"&amp;RIGHT("00000"&amp;311,5))</f>
        <v/>
      </c>
      <c r="C316" t="str">
        <f t="shared" si="20"/>
        <v/>
      </c>
      <c r="D316" t="str">
        <f t="shared" si="21"/>
        <v/>
      </c>
      <c r="F316" t="str">
        <f>IF(Sync!$AH316="","",IF(LEFT(UPPER(TRIM(Sync!$AH316)),2)="SL",UPPER(TRIM(Sync!$AH316)),""))</f>
        <v/>
      </c>
      <c r="G316" t="str">
        <f>IF($F316="","",IF(Sync!$AE316="","",IF(ISNUMBER(Sync!$AE316),IF(AND(Sync!$AE316&gt;=10000101,Sync!$AE316&lt;=99991231),INT(Sync!$AE316/10000),""),IFERROR(VALUE(TRIM(LEFT(Sync!$AE316,FIND("/",Sync!$AE316)-1))),""))))</f>
        <v/>
      </c>
      <c r="H316" t="str">
        <f>IF(OR($F316="",$G316=""),"",IF(ISNUMBER(Sync!$AE316),INT(MOD(Sync!$AE316,10000)/100),IFERROR(VALUE(TRIM(LEFT(MID(Sync!$AE316,FIND("/",Sync!$AE316)+1,20),FIND("/",MID(Sync!$AE316,FIND("/",Sync!$AE316)+1,20))-1))),"")))</f>
        <v/>
      </c>
      <c r="I316" t="str">
        <f>IF(OR($F316="",$G316=""),"",IF(ISNUMBER(Sync!$AE316),MOD(Sync!$AE316,100),IFERROR(VALUE(TRIM(MID(MID(Sync!$AE316,FIND("/",Sync!$AE316)+1,20),FIND("/",MID(Sync!$AE316,FIND("/",Sync!$AE316)+1,20))+1,20))),"")))</f>
        <v/>
      </c>
      <c r="J316" t="str">
        <f t="shared" si="22"/>
        <v/>
      </c>
      <c r="K316" t="str">
        <f>IF(OR($F316="",$J316="",$J316="نامعتبر"),"",LEFT($J316,4)&amp;MID($J316,6,2)&amp;RIGHT($J316,2)&amp;$N316&amp;"|"&amp;"2"&amp;RIGHT("00000"&amp;311,5))</f>
        <v/>
      </c>
      <c r="L316" t="str">
        <f t="shared" si="23"/>
        <v/>
      </c>
      <c r="M316" t="str">
        <f t="shared" si="24"/>
        <v/>
      </c>
      <c r="N316" t="str">
        <f>IF($F316="","",IF(Sync!$AF316="","0000",IF(AND(ISNUMBER(Sync!$AF316),Sync!$AF316&gt;=0,Sync!$AF316&lt;1),RIGHT("00"&amp;HOUR(Sync!$AF316),2)&amp;RIGHT("00"&amp;MINUTE(Sync!$AF316),2),IFERROR(RIGHT("00"&amp;VALUE(LEFT(Sync!$AF316,FIND(":",Sync!$AF316)-1)),2)&amp;RIGHT("00"&amp;VALUE(MID(Sync!$AF316,FIND(":",Sync!$AF316)+1,2)),2),"0000"))))</f>
        <v/>
      </c>
    </row>
    <row r="317" spans="1:14" x14ac:dyDescent="0.2">
      <c r="A317" t="str">
        <f>IF(OR(Calc!$E321="",Calc!$E321="نامعتبر",Calc!$G321=""),"",Calc!$G321)</f>
        <v/>
      </c>
      <c r="B317" t="str">
        <f>IF($A317="","",LEFT(Calc!$E321,4)&amp;MID(Calc!$E321,6,2)&amp;RIGHT(Calc!$E321,2)&amp;Calc!$Q321&amp;"|"&amp;"1"&amp;RIGHT("00000"&amp;312,5))</f>
        <v/>
      </c>
      <c r="C317" t="str">
        <f t="shared" si="20"/>
        <v/>
      </c>
      <c r="D317" t="str">
        <f t="shared" si="21"/>
        <v/>
      </c>
      <c r="F317" t="str">
        <f>IF(Sync!$AH317="","",IF(LEFT(UPPER(TRIM(Sync!$AH317)),2)="SL",UPPER(TRIM(Sync!$AH317)),""))</f>
        <v/>
      </c>
      <c r="G317" t="str">
        <f>IF($F317="","",IF(Sync!$AE317="","",IF(ISNUMBER(Sync!$AE317),IF(AND(Sync!$AE317&gt;=10000101,Sync!$AE317&lt;=99991231),INT(Sync!$AE317/10000),""),IFERROR(VALUE(TRIM(LEFT(Sync!$AE317,FIND("/",Sync!$AE317)-1))),""))))</f>
        <v/>
      </c>
      <c r="H317" t="str">
        <f>IF(OR($F317="",$G317=""),"",IF(ISNUMBER(Sync!$AE317),INT(MOD(Sync!$AE317,10000)/100),IFERROR(VALUE(TRIM(LEFT(MID(Sync!$AE317,FIND("/",Sync!$AE317)+1,20),FIND("/",MID(Sync!$AE317,FIND("/",Sync!$AE317)+1,20))-1))),"")))</f>
        <v/>
      </c>
      <c r="I317" t="str">
        <f>IF(OR($F317="",$G317=""),"",IF(ISNUMBER(Sync!$AE317),MOD(Sync!$AE317,100),IFERROR(VALUE(TRIM(MID(MID(Sync!$AE317,FIND("/",Sync!$AE317)+1,20),FIND("/",MID(Sync!$AE317,FIND("/",Sync!$AE317)+1,20))+1,20))),"")))</f>
        <v/>
      </c>
      <c r="J317" t="str">
        <f t="shared" si="22"/>
        <v/>
      </c>
      <c r="K317" t="str">
        <f>IF(OR($F317="",$J317="",$J317="نامعتبر"),"",LEFT($J317,4)&amp;MID($J317,6,2)&amp;RIGHT($J317,2)&amp;$N317&amp;"|"&amp;"2"&amp;RIGHT("00000"&amp;312,5))</f>
        <v/>
      </c>
      <c r="L317" t="str">
        <f t="shared" si="23"/>
        <v/>
      </c>
      <c r="M317" t="str">
        <f t="shared" si="24"/>
        <v/>
      </c>
      <c r="N317" t="str">
        <f>IF($F317="","",IF(Sync!$AF317="","0000",IF(AND(ISNUMBER(Sync!$AF317),Sync!$AF317&gt;=0,Sync!$AF317&lt;1),RIGHT("00"&amp;HOUR(Sync!$AF317),2)&amp;RIGHT("00"&amp;MINUTE(Sync!$AF317),2),IFERROR(RIGHT("00"&amp;VALUE(LEFT(Sync!$AF317,FIND(":",Sync!$AF317)-1)),2)&amp;RIGHT("00"&amp;VALUE(MID(Sync!$AF317,FIND(":",Sync!$AF317)+1,2)),2),"0000"))))</f>
        <v/>
      </c>
    </row>
    <row r="318" spans="1:14" x14ac:dyDescent="0.2">
      <c r="A318" t="str">
        <f>IF(OR(Calc!$E322="",Calc!$E322="نامعتبر",Calc!$G322=""),"",Calc!$G322)</f>
        <v/>
      </c>
      <c r="B318" t="str">
        <f>IF($A318="","",LEFT(Calc!$E322,4)&amp;MID(Calc!$E322,6,2)&amp;RIGHT(Calc!$E322,2)&amp;Calc!$Q322&amp;"|"&amp;"1"&amp;RIGHT("00000"&amp;313,5))</f>
        <v/>
      </c>
      <c r="C318" t="str">
        <f t="shared" si="20"/>
        <v/>
      </c>
      <c r="D318" t="str">
        <f t="shared" si="21"/>
        <v/>
      </c>
      <c r="F318" t="str">
        <f>IF(Sync!$AH318="","",IF(LEFT(UPPER(TRIM(Sync!$AH318)),2)="SL",UPPER(TRIM(Sync!$AH318)),""))</f>
        <v/>
      </c>
      <c r="G318" t="str">
        <f>IF($F318="","",IF(Sync!$AE318="","",IF(ISNUMBER(Sync!$AE318),IF(AND(Sync!$AE318&gt;=10000101,Sync!$AE318&lt;=99991231),INT(Sync!$AE318/10000),""),IFERROR(VALUE(TRIM(LEFT(Sync!$AE318,FIND("/",Sync!$AE318)-1))),""))))</f>
        <v/>
      </c>
      <c r="H318" t="str">
        <f>IF(OR($F318="",$G318=""),"",IF(ISNUMBER(Sync!$AE318),INT(MOD(Sync!$AE318,10000)/100),IFERROR(VALUE(TRIM(LEFT(MID(Sync!$AE318,FIND("/",Sync!$AE318)+1,20),FIND("/",MID(Sync!$AE318,FIND("/",Sync!$AE318)+1,20))-1))),"")))</f>
        <v/>
      </c>
      <c r="I318" t="str">
        <f>IF(OR($F318="",$G318=""),"",IF(ISNUMBER(Sync!$AE318),MOD(Sync!$AE318,100),IFERROR(VALUE(TRIM(MID(MID(Sync!$AE318,FIND("/",Sync!$AE318)+1,20),FIND("/",MID(Sync!$AE318,FIND("/",Sync!$AE318)+1,20))+1,20))),"")))</f>
        <v/>
      </c>
      <c r="J318" t="str">
        <f t="shared" si="22"/>
        <v/>
      </c>
      <c r="K318" t="str">
        <f>IF(OR($F318="",$J318="",$J318="نامعتبر"),"",LEFT($J318,4)&amp;MID($J318,6,2)&amp;RIGHT($J318,2)&amp;$N318&amp;"|"&amp;"2"&amp;RIGHT("00000"&amp;313,5))</f>
        <v/>
      </c>
      <c r="L318" t="str">
        <f t="shared" si="23"/>
        <v/>
      </c>
      <c r="M318" t="str">
        <f t="shared" si="24"/>
        <v/>
      </c>
      <c r="N318" t="str">
        <f>IF($F318="","",IF(Sync!$AF318="","0000",IF(AND(ISNUMBER(Sync!$AF318),Sync!$AF318&gt;=0,Sync!$AF318&lt;1),RIGHT("00"&amp;HOUR(Sync!$AF318),2)&amp;RIGHT("00"&amp;MINUTE(Sync!$AF318),2),IFERROR(RIGHT("00"&amp;VALUE(LEFT(Sync!$AF318,FIND(":",Sync!$AF318)-1)),2)&amp;RIGHT("00"&amp;VALUE(MID(Sync!$AF318,FIND(":",Sync!$AF318)+1,2)),2),"0000"))))</f>
        <v/>
      </c>
    </row>
    <row r="319" spans="1:14" x14ac:dyDescent="0.2">
      <c r="A319" t="str">
        <f>IF(OR(Calc!$E323="",Calc!$E323="نامعتبر",Calc!$G323=""),"",Calc!$G323)</f>
        <v/>
      </c>
      <c r="B319" t="str">
        <f>IF($A319="","",LEFT(Calc!$E323,4)&amp;MID(Calc!$E323,6,2)&amp;RIGHT(Calc!$E323,2)&amp;Calc!$Q323&amp;"|"&amp;"1"&amp;RIGHT("00000"&amp;314,5))</f>
        <v/>
      </c>
      <c r="C319" t="str">
        <f t="shared" si="20"/>
        <v/>
      </c>
      <c r="D319" t="str">
        <f t="shared" si="21"/>
        <v/>
      </c>
      <c r="F319" t="str">
        <f>IF(Sync!$AH319="","",IF(LEFT(UPPER(TRIM(Sync!$AH319)),2)="SL",UPPER(TRIM(Sync!$AH319)),""))</f>
        <v/>
      </c>
      <c r="G319" t="str">
        <f>IF($F319="","",IF(Sync!$AE319="","",IF(ISNUMBER(Sync!$AE319),IF(AND(Sync!$AE319&gt;=10000101,Sync!$AE319&lt;=99991231),INT(Sync!$AE319/10000),""),IFERROR(VALUE(TRIM(LEFT(Sync!$AE319,FIND("/",Sync!$AE319)-1))),""))))</f>
        <v/>
      </c>
      <c r="H319" t="str">
        <f>IF(OR($F319="",$G319=""),"",IF(ISNUMBER(Sync!$AE319),INT(MOD(Sync!$AE319,10000)/100),IFERROR(VALUE(TRIM(LEFT(MID(Sync!$AE319,FIND("/",Sync!$AE319)+1,20),FIND("/",MID(Sync!$AE319,FIND("/",Sync!$AE319)+1,20))-1))),"")))</f>
        <v/>
      </c>
      <c r="I319" t="str">
        <f>IF(OR($F319="",$G319=""),"",IF(ISNUMBER(Sync!$AE319),MOD(Sync!$AE319,100),IFERROR(VALUE(TRIM(MID(MID(Sync!$AE319,FIND("/",Sync!$AE319)+1,20),FIND("/",MID(Sync!$AE319,FIND("/",Sync!$AE319)+1,20))+1,20))),"")))</f>
        <v/>
      </c>
      <c r="J319" t="str">
        <f t="shared" si="22"/>
        <v/>
      </c>
      <c r="K319" t="str">
        <f>IF(OR($F319="",$J319="",$J319="نامعتبر"),"",LEFT($J319,4)&amp;MID($J319,6,2)&amp;RIGHT($J319,2)&amp;$N319&amp;"|"&amp;"2"&amp;RIGHT("00000"&amp;314,5))</f>
        <v/>
      </c>
      <c r="L319" t="str">
        <f t="shared" si="23"/>
        <v/>
      </c>
      <c r="M319" t="str">
        <f t="shared" si="24"/>
        <v/>
      </c>
      <c r="N319" t="str">
        <f>IF($F319="","",IF(Sync!$AF319="","0000",IF(AND(ISNUMBER(Sync!$AF319),Sync!$AF319&gt;=0,Sync!$AF319&lt;1),RIGHT("00"&amp;HOUR(Sync!$AF319),2)&amp;RIGHT("00"&amp;MINUTE(Sync!$AF319),2),IFERROR(RIGHT("00"&amp;VALUE(LEFT(Sync!$AF319,FIND(":",Sync!$AF319)-1)),2)&amp;RIGHT("00"&amp;VALUE(MID(Sync!$AF319,FIND(":",Sync!$AF319)+1,2)),2),"0000"))))</f>
        <v/>
      </c>
    </row>
    <row r="320" spans="1:14" x14ac:dyDescent="0.2">
      <c r="A320" t="str">
        <f>IF(OR(Calc!$E324="",Calc!$E324="نامعتبر",Calc!$G324=""),"",Calc!$G324)</f>
        <v/>
      </c>
      <c r="B320" t="str">
        <f>IF($A320="","",LEFT(Calc!$E324,4)&amp;MID(Calc!$E324,6,2)&amp;RIGHT(Calc!$E324,2)&amp;Calc!$Q324&amp;"|"&amp;"1"&amp;RIGHT("00000"&amp;315,5))</f>
        <v/>
      </c>
      <c r="C320" t="str">
        <f t="shared" si="20"/>
        <v/>
      </c>
      <c r="D320" t="str">
        <f t="shared" si="21"/>
        <v/>
      </c>
      <c r="F320" t="str">
        <f>IF(Sync!$AH320="","",IF(LEFT(UPPER(TRIM(Sync!$AH320)),2)="SL",UPPER(TRIM(Sync!$AH320)),""))</f>
        <v/>
      </c>
      <c r="G320" t="str">
        <f>IF($F320="","",IF(Sync!$AE320="","",IF(ISNUMBER(Sync!$AE320),IF(AND(Sync!$AE320&gt;=10000101,Sync!$AE320&lt;=99991231),INT(Sync!$AE320/10000),""),IFERROR(VALUE(TRIM(LEFT(Sync!$AE320,FIND("/",Sync!$AE320)-1))),""))))</f>
        <v/>
      </c>
      <c r="H320" t="str">
        <f>IF(OR($F320="",$G320=""),"",IF(ISNUMBER(Sync!$AE320),INT(MOD(Sync!$AE320,10000)/100),IFERROR(VALUE(TRIM(LEFT(MID(Sync!$AE320,FIND("/",Sync!$AE320)+1,20),FIND("/",MID(Sync!$AE320,FIND("/",Sync!$AE320)+1,20))-1))),"")))</f>
        <v/>
      </c>
      <c r="I320" t="str">
        <f>IF(OR($F320="",$G320=""),"",IF(ISNUMBER(Sync!$AE320),MOD(Sync!$AE320,100),IFERROR(VALUE(TRIM(MID(MID(Sync!$AE320,FIND("/",Sync!$AE320)+1,20),FIND("/",MID(Sync!$AE320,FIND("/",Sync!$AE320)+1,20))+1,20))),"")))</f>
        <v/>
      </c>
      <c r="J320" t="str">
        <f t="shared" si="22"/>
        <v/>
      </c>
      <c r="K320" t="str">
        <f>IF(OR($F320="",$J320="",$J320="نامعتبر"),"",LEFT($J320,4)&amp;MID($J320,6,2)&amp;RIGHT($J320,2)&amp;$N320&amp;"|"&amp;"2"&amp;RIGHT("00000"&amp;315,5))</f>
        <v/>
      </c>
      <c r="L320" t="str">
        <f t="shared" si="23"/>
        <v/>
      </c>
      <c r="M320" t="str">
        <f t="shared" si="24"/>
        <v/>
      </c>
      <c r="N320" t="str">
        <f>IF($F320="","",IF(Sync!$AF320="","0000",IF(AND(ISNUMBER(Sync!$AF320),Sync!$AF320&gt;=0,Sync!$AF320&lt;1),RIGHT("00"&amp;HOUR(Sync!$AF320),2)&amp;RIGHT("00"&amp;MINUTE(Sync!$AF320),2),IFERROR(RIGHT("00"&amp;VALUE(LEFT(Sync!$AF320,FIND(":",Sync!$AF320)-1)),2)&amp;RIGHT("00"&amp;VALUE(MID(Sync!$AF320,FIND(":",Sync!$AF320)+1,2)),2),"0000"))))</f>
        <v/>
      </c>
    </row>
    <row r="321" spans="1:14" x14ac:dyDescent="0.2">
      <c r="A321" t="str">
        <f>IF(OR(Calc!$E325="",Calc!$E325="نامعتبر",Calc!$G325=""),"",Calc!$G325)</f>
        <v/>
      </c>
      <c r="B321" t="str">
        <f>IF($A321="","",LEFT(Calc!$E325,4)&amp;MID(Calc!$E325,6,2)&amp;RIGHT(Calc!$E325,2)&amp;Calc!$Q325&amp;"|"&amp;"1"&amp;RIGHT("00000"&amp;316,5))</f>
        <v/>
      </c>
      <c r="C321" t="str">
        <f t="shared" si="20"/>
        <v/>
      </c>
      <c r="D321" t="str">
        <f t="shared" si="21"/>
        <v/>
      </c>
      <c r="F321" t="str">
        <f>IF(Sync!$AH321="","",IF(LEFT(UPPER(TRIM(Sync!$AH321)),2)="SL",UPPER(TRIM(Sync!$AH321)),""))</f>
        <v/>
      </c>
      <c r="G321" t="str">
        <f>IF($F321="","",IF(Sync!$AE321="","",IF(ISNUMBER(Sync!$AE321),IF(AND(Sync!$AE321&gt;=10000101,Sync!$AE321&lt;=99991231),INT(Sync!$AE321/10000),""),IFERROR(VALUE(TRIM(LEFT(Sync!$AE321,FIND("/",Sync!$AE321)-1))),""))))</f>
        <v/>
      </c>
      <c r="H321" t="str">
        <f>IF(OR($F321="",$G321=""),"",IF(ISNUMBER(Sync!$AE321),INT(MOD(Sync!$AE321,10000)/100),IFERROR(VALUE(TRIM(LEFT(MID(Sync!$AE321,FIND("/",Sync!$AE321)+1,20),FIND("/",MID(Sync!$AE321,FIND("/",Sync!$AE321)+1,20))-1))),"")))</f>
        <v/>
      </c>
      <c r="I321" t="str">
        <f>IF(OR($F321="",$G321=""),"",IF(ISNUMBER(Sync!$AE321),MOD(Sync!$AE321,100),IFERROR(VALUE(TRIM(MID(MID(Sync!$AE321,FIND("/",Sync!$AE321)+1,20),FIND("/",MID(Sync!$AE321,FIND("/",Sync!$AE321)+1,20))+1,20))),"")))</f>
        <v/>
      </c>
      <c r="J321" t="str">
        <f t="shared" si="22"/>
        <v/>
      </c>
      <c r="K321" t="str">
        <f>IF(OR($F321="",$J321="",$J321="نامعتبر"),"",LEFT($J321,4)&amp;MID($J321,6,2)&amp;RIGHT($J321,2)&amp;$N321&amp;"|"&amp;"2"&amp;RIGHT("00000"&amp;316,5))</f>
        <v/>
      </c>
      <c r="L321" t="str">
        <f t="shared" si="23"/>
        <v/>
      </c>
      <c r="M321" t="str">
        <f t="shared" si="24"/>
        <v/>
      </c>
      <c r="N321" t="str">
        <f>IF($F321="","",IF(Sync!$AF321="","0000",IF(AND(ISNUMBER(Sync!$AF321),Sync!$AF321&gt;=0,Sync!$AF321&lt;1),RIGHT("00"&amp;HOUR(Sync!$AF321),2)&amp;RIGHT("00"&amp;MINUTE(Sync!$AF321),2),IFERROR(RIGHT("00"&amp;VALUE(LEFT(Sync!$AF321,FIND(":",Sync!$AF321)-1)),2)&amp;RIGHT("00"&amp;VALUE(MID(Sync!$AF321,FIND(":",Sync!$AF321)+1,2)),2),"0000"))))</f>
        <v/>
      </c>
    </row>
    <row r="322" spans="1:14" x14ac:dyDescent="0.2">
      <c r="A322" t="str">
        <f>IF(OR(Calc!$E326="",Calc!$E326="نامعتبر",Calc!$G326=""),"",Calc!$G326)</f>
        <v/>
      </c>
      <c r="B322" t="str">
        <f>IF($A322="","",LEFT(Calc!$E326,4)&amp;MID(Calc!$E326,6,2)&amp;RIGHT(Calc!$E326,2)&amp;Calc!$Q326&amp;"|"&amp;"1"&amp;RIGHT("00000"&amp;317,5))</f>
        <v/>
      </c>
      <c r="C322" t="str">
        <f t="shared" si="20"/>
        <v/>
      </c>
      <c r="D322" t="str">
        <f t="shared" si="21"/>
        <v/>
      </c>
      <c r="F322" t="str">
        <f>IF(Sync!$AH322="","",IF(LEFT(UPPER(TRIM(Sync!$AH322)),2)="SL",UPPER(TRIM(Sync!$AH322)),""))</f>
        <v/>
      </c>
      <c r="G322" t="str">
        <f>IF($F322="","",IF(Sync!$AE322="","",IF(ISNUMBER(Sync!$AE322),IF(AND(Sync!$AE322&gt;=10000101,Sync!$AE322&lt;=99991231),INT(Sync!$AE322/10000),""),IFERROR(VALUE(TRIM(LEFT(Sync!$AE322,FIND("/",Sync!$AE322)-1))),""))))</f>
        <v/>
      </c>
      <c r="H322" t="str">
        <f>IF(OR($F322="",$G322=""),"",IF(ISNUMBER(Sync!$AE322),INT(MOD(Sync!$AE322,10000)/100),IFERROR(VALUE(TRIM(LEFT(MID(Sync!$AE322,FIND("/",Sync!$AE322)+1,20),FIND("/",MID(Sync!$AE322,FIND("/",Sync!$AE322)+1,20))-1))),"")))</f>
        <v/>
      </c>
      <c r="I322" t="str">
        <f>IF(OR($F322="",$G322=""),"",IF(ISNUMBER(Sync!$AE322),MOD(Sync!$AE322,100),IFERROR(VALUE(TRIM(MID(MID(Sync!$AE322,FIND("/",Sync!$AE322)+1,20),FIND("/",MID(Sync!$AE322,FIND("/",Sync!$AE322)+1,20))+1,20))),"")))</f>
        <v/>
      </c>
      <c r="J322" t="str">
        <f t="shared" si="22"/>
        <v/>
      </c>
      <c r="K322" t="str">
        <f>IF(OR($F322="",$J322="",$J322="نامعتبر"),"",LEFT($J322,4)&amp;MID($J322,6,2)&amp;RIGHT($J322,2)&amp;$N322&amp;"|"&amp;"2"&amp;RIGHT("00000"&amp;317,5))</f>
        <v/>
      </c>
      <c r="L322" t="str">
        <f t="shared" si="23"/>
        <v/>
      </c>
      <c r="M322" t="str">
        <f t="shared" si="24"/>
        <v/>
      </c>
      <c r="N322" t="str">
        <f>IF($F322="","",IF(Sync!$AF322="","0000",IF(AND(ISNUMBER(Sync!$AF322),Sync!$AF322&gt;=0,Sync!$AF322&lt;1),RIGHT("00"&amp;HOUR(Sync!$AF322),2)&amp;RIGHT("00"&amp;MINUTE(Sync!$AF322),2),IFERROR(RIGHT("00"&amp;VALUE(LEFT(Sync!$AF322,FIND(":",Sync!$AF322)-1)),2)&amp;RIGHT("00"&amp;VALUE(MID(Sync!$AF322,FIND(":",Sync!$AF322)+1,2)),2),"0000"))))</f>
        <v/>
      </c>
    </row>
    <row r="323" spans="1:14" x14ac:dyDescent="0.2">
      <c r="A323" t="str">
        <f>IF(OR(Calc!$E327="",Calc!$E327="نامعتبر",Calc!$G327=""),"",Calc!$G327)</f>
        <v/>
      </c>
      <c r="B323" t="str">
        <f>IF($A323="","",LEFT(Calc!$E327,4)&amp;MID(Calc!$E327,6,2)&amp;RIGHT(Calc!$E327,2)&amp;Calc!$Q327&amp;"|"&amp;"1"&amp;RIGHT("00000"&amp;318,5))</f>
        <v/>
      </c>
      <c r="C323" t="str">
        <f t="shared" si="20"/>
        <v/>
      </c>
      <c r="D323" t="str">
        <f t="shared" si="21"/>
        <v/>
      </c>
      <c r="F323" t="str">
        <f>IF(Sync!$AH323="","",IF(LEFT(UPPER(TRIM(Sync!$AH323)),2)="SL",UPPER(TRIM(Sync!$AH323)),""))</f>
        <v/>
      </c>
      <c r="G323" t="str">
        <f>IF($F323="","",IF(Sync!$AE323="","",IF(ISNUMBER(Sync!$AE323),IF(AND(Sync!$AE323&gt;=10000101,Sync!$AE323&lt;=99991231),INT(Sync!$AE323/10000),""),IFERROR(VALUE(TRIM(LEFT(Sync!$AE323,FIND("/",Sync!$AE323)-1))),""))))</f>
        <v/>
      </c>
      <c r="H323" t="str">
        <f>IF(OR($F323="",$G323=""),"",IF(ISNUMBER(Sync!$AE323),INT(MOD(Sync!$AE323,10000)/100),IFERROR(VALUE(TRIM(LEFT(MID(Sync!$AE323,FIND("/",Sync!$AE323)+1,20),FIND("/",MID(Sync!$AE323,FIND("/",Sync!$AE323)+1,20))-1))),"")))</f>
        <v/>
      </c>
      <c r="I323" t="str">
        <f>IF(OR($F323="",$G323=""),"",IF(ISNUMBER(Sync!$AE323),MOD(Sync!$AE323,100),IFERROR(VALUE(TRIM(MID(MID(Sync!$AE323,FIND("/",Sync!$AE323)+1,20),FIND("/",MID(Sync!$AE323,FIND("/",Sync!$AE323)+1,20))+1,20))),"")))</f>
        <v/>
      </c>
      <c r="J323" t="str">
        <f t="shared" si="22"/>
        <v/>
      </c>
      <c r="K323" t="str">
        <f>IF(OR($F323="",$J323="",$J323="نامعتبر"),"",LEFT($J323,4)&amp;MID($J323,6,2)&amp;RIGHT($J323,2)&amp;$N323&amp;"|"&amp;"2"&amp;RIGHT("00000"&amp;318,5))</f>
        <v/>
      </c>
      <c r="L323" t="str">
        <f t="shared" si="23"/>
        <v/>
      </c>
      <c r="M323" t="str">
        <f t="shared" si="24"/>
        <v/>
      </c>
      <c r="N323" t="str">
        <f>IF($F323="","",IF(Sync!$AF323="","0000",IF(AND(ISNUMBER(Sync!$AF323),Sync!$AF323&gt;=0,Sync!$AF323&lt;1),RIGHT("00"&amp;HOUR(Sync!$AF323),2)&amp;RIGHT("00"&amp;MINUTE(Sync!$AF323),2),IFERROR(RIGHT("00"&amp;VALUE(LEFT(Sync!$AF323,FIND(":",Sync!$AF323)-1)),2)&amp;RIGHT("00"&amp;VALUE(MID(Sync!$AF323,FIND(":",Sync!$AF323)+1,2)),2),"0000"))))</f>
        <v/>
      </c>
    </row>
    <row r="324" spans="1:14" x14ac:dyDescent="0.2">
      <c r="A324" t="str">
        <f>IF(OR(Calc!$E328="",Calc!$E328="نامعتبر",Calc!$G328=""),"",Calc!$G328)</f>
        <v/>
      </c>
      <c r="B324" t="str">
        <f>IF($A324="","",LEFT(Calc!$E328,4)&amp;MID(Calc!$E328,6,2)&amp;RIGHT(Calc!$E328,2)&amp;Calc!$Q328&amp;"|"&amp;"1"&amp;RIGHT("00000"&amp;319,5))</f>
        <v/>
      </c>
      <c r="C324" t="str">
        <f t="shared" si="20"/>
        <v/>
      </c>
      <c r="D324" t="str">
        <f t="shared" si="21"/>
        <v/>
      </c>
      <c r="F324" t="str">
        <f>IF(Sync!$AH324="","",IF(LEFT(UPPER(TRIM(Sync!$AH324)),2)="SL",UPPER(TRIM(Sync!$AH324)),""))</f>
        <v/>
      </c>
      <c r="G324" t="str">
        <f>IF($F324="","",IF(Sync!$AE324="","",IF(ISNUMBER(Sync!$AE324),IF(AND(Sync!$AE324&gt;=10000101,Sync!$AE324&lt;=99991231),INT(Sync!$AE324/10000),""),IFERROR(VALUE(TRIM(LEFT(Sync!$AE324,FIND("/",Sync!$AE324)-1))),""))))</f>
        <v/>
      </c>
      <c r="H324" t="str">
        <f>IF(OR($F324="",$G324=""),"",IF(ISNUMBER(Sync!$AE324),INT(MOD(Sync!$AE324,10000)/100),IFERROR(VALUE(TRIM(LEFT(MID(Sync!$AE324,FIND("/",Sync!$AE324)+1,20),FIND("/",MID(Sync!$AE324,FIND("/",Sync!$AE324)+1,20))-1))),"")))</f>
        <v/>
      </c>
      <c r="I324" t="str">
        <f>IF(OR($F324="",$G324=""),"",IF(ISNUMBER(Sync!$AE324),MOD(Sync!$AE324,100),IFERROR(VALUE(TRIM(MID(MID(Sync!$AE324,FIND("/",Sync!$AE324)+1,20),FIND("/",MID(Sync!$AE324,FIND("/",Sync!$AE324)+1,20))+1,20))),"")))</f>
        <v/>
      </c>
      <c r="J324" t="str">
        <f t="shared" si="22"/>
        <v/>
      </c>
      <c r="K324" t="str">
        <f>IF(OR($F324="",$J324="",$J324="نامعتبر"),"",LEFT($J324,4)&amp;MID($J324,6,2)&amp;RIGHT($J324,2)&amp;$N324&amp;"|"&amp;"2"&amp;RIGHT("00000"&amp;319,5))</f>
        <v/>
      </c>
      <c r="L324" t="str">
        <f t="shared" si="23"/>
        <v/>
      </c>
      <c r="M324" t="str">
        <f t="shared" si="24"/>
        <v/>
      </c>
      <c r="N324" t="str">
        <f>IF($F324="","",IF(Sync!$AF324="","0000",IF(AND(ISNUMBER(Sync!$AF324),Sync!$AF324&gt;=0,Sync!$AF324&lt;1),RIGHT("00"&amp;HOUR(Sync!$AF324),2)&amp;RIGHT("00"&amp;MINUTE(Sync!$AF324),2),IFERROR(RIGHT("00"&amp;VALUE(LEFT(Sync!$AF324,FIND(":",Sync!$AF324)-1)),2)&amp;RIGHT("00"&amp;VALUE(MID(Sync!$AF324,FIND(":",Sync!$AF324)+1,2)),2),"0000"))))</f>
        <v/>
      </c>
    </row>
    <row r="325" spans="1:14" x14ac:dyDescent="0.2">
      <c r="A325" t="str">
        <f>IF(OR(Calc!$E329="",Calc!$E329="نامعتبر",Calc!$G329=""),"",Calc!$G329)</f>
        <v/>
      </c>
      <c r="B325" t="str">
        <f>IF($A325="","",LEFT(Calc!$E329,4)&amp;MID(Calc!$E329,6,2)&amp;RIGHT(Calc!$E329,2)&amp;Calc!$Q329&amp;"|"&amp;"1"&amp;RIGHT("00000"&amp;320,5))</f>
        <v/>
      </c>
      <c r="C325" t="str">
        <f t="shared" si="20"/>
        <v/>
      </c>
      <c r="D325" t="str">
        <f t="shared" si="21"/>
        <v/>
      </c>
      <c r="F325" t="str">
        <f>IF(Sync!$AH325="","",IF(LEFT(UPPER(TRIM(Sync!$AH325)),2)="SL",UPPER(TRIM(Sync!$AH325)),""))</f>
        <v/>
      </c>
      <c r="G325" t="str">
        <f>IF($F325="","",IF(Sync!$AE325="","",IF(ISNUMBER(Sync!$AE325),IF(AND(Sync!$AE325&gt;=10000101,Sync!$AE325&lt;=99991231),INT(Sync!$AE325/10000),""),IFERROR(VALUE(TRIM(LEFT(Sync!$AE325,FIND("/",Sync!$AE325)-1))),""))))</f>
        <v/>
      </c>
      <c r="H325" t="str">
        <f>IF(OR($F325="",$G325=""),"",IF(ISNUMBER(Sync!$AE325),INT(MOD(Sync!$AE325,10000)/100),IFERROR(VALUE(TRIM(LEFT(MID(Sync!$AE325,FIND("/",Sync!$AE325)+1,20),FIND("/",MID(Sync!$AE325,FIND("/",Sync!$AE325)+1,20))-1))),"")))</f>
        <v/>
      </c>
      <c r="I325" t="str">
        <f>IF(OR($F325="",$G325=""),"",IF(ISNUMBER(Sync!$AE325),MOD(Sync!$AE325,100),IFERROR(VALUE(TRIM(MID(MID(Sync!$AE325,FIND("/",Sync!$AE325)+1,20),FIND("/",MID(Sync!$AE325,FIND("/",Sync!$AE325)+1,20))+1,20))),"")))</f>
        <v/>
      </c>
      <c r="J325" t="str">
        <f t="shared" si="22"/>
        <v/>
      </c>
      <c r="K325" t="str">
        <f>IF(OR($F325="",$J325="",$J325="نامعتبر"),"",LEFT($J325,4)&amp;MID($J325,6,2)&amp;RIGHT($J325,2)&amp;$N325&amp;"|"&amp;"2"&amp;RIGHT("00000"&amp;320,5))</f>
        <v/>
      </c>
      <c r="L325" t="str">
        <f t="shared" si="23"/>
        <v/>
      </c>
      <c r="M325" t="str">
        <f t="shared" si="24"/>
        <v/>
      </c>
      <c r="N325" t="str">
        <f>IF($F325="","",IF(Sync!$AF325="","0000",IF(AND(ISNUMBER(Sync!$AF325),Sync!$AF325&gt;=0,Sync!$AF325&lt;1),RIGHT("00"&amp;HOUR(Sync!$AF325),2)&amp;RIGHT("00"&amp;MINUTE(Sync!$AF325),2),IFERROR(RIGHT("00"&amp;VALUE(LEFT(Sync!$AF325,FIND(":",Sync!$AF325)-1)),2)&amp;RIGHT("00"&amp;VALUE(MID(Sync!$AF325,FIND(":",Sync!$AF325)+1,2)),2),"0000"))))</f>
        <v/>
      </c>
    </row>
    <row r="326" spans="1:14" x14ac:dyDescent="0.2">
      <c r="A326" t="str">
        <f>IF(OR(Calc!$E330="",Calc!$E330="نامعتبر",Calc!$G330=""),"",Calc!$G330)</f>
        <v/>
      </c>
      <c r="B326" t="str">
        <f>IF($A326="","",LEFT(Calc!$E330,4)&amp;MID(Calc!$E330,6,2)&amp;RIGHT(Calc!$E330,2)&amp;Calc!$Q330&amp;"|"&amp;"1"&amp;RIGHT("00000"&amp;321,5))</f>
        <v/>
      </c>
      <c r="C326" t="str">
        <f t="shared" ref="C326:C389" si="25">IF($B326="","",COUNTIFS(LdgSellerA,$A326,LdgKeyA,"&lt;"&amp;$B326)+COUNTIFS(LdgSellerB,$A326,LdgKeyB,"&lt;"&amp;$B326)+1)</f>
        <v/>
      </c>
      <c r="D326" t="str">
        <f t="shared" ref="D326:D389" si="26">IF($C326="","",$A326&amp;"|"&amp;RIGHT("000000"&amp;$C326,6))</f>
        <v/>
      </c>
      <c r="F326" t="str">
        <f>IF(Sync!$AH326="","",IF(LEFT(UPPER(TRIM(Sync!$AH326)),2)="SL",UPPER(TRIM(Sync!$AH326)),""))</f>
        <v/>
      </c>
      <c r="G326" t="str">
        <f>IF($F326="","",IF(Sync!$AE326="","",IF(ISNUMBER(Sync!$AE326),IF(AND(Sync!$AE326&gt;=10000101,Sync!$AE326&lt;=99991231),INT(Sync!$AE326/10000),""),IFERROR(VALUE(TRIM(LEFT(Sync!$AE326,FIND("/",Sync!$AE326)-1))),""))))</f>
        <v/>
      </c>
      <c r="H326" t="str">
        <f>IF(OR($F326="",$G326=""),"",IF(ISNUMBER(Sync!$AE326),INT(MOD(Sync!$AE326,10000)/100),IFERROR(VALUE(TRIM(LEFT(MID(Sync!$AE326,FIND("/",Sync!$AE326)+1,20),FIND("/",MID(Sync!$AE326,FIND("/",Sync!$AE326)+1,20))-1))),"")))</f>
        <v/>
      </c>
      <c r="I326" t="str">
        <f>IF(OR($F326="",$G326=""),"",IF(ISNUMBER(Sync!$AE326),MOD(Sync!$AE326,100),IFERROR(VALUE(TRIM(MID(MID(Sync!$AE326,FIND("/",Sync!$AE326)+1,20),FIND("/",MID(Sync!$AE326,FIND("/",Sync!$AE326)+1,20))+1,20))),"")))</f>
        <v/>
      </c>
      <c r="J326" t="str">
        <f t="shared" ref="J326:J389" si="27">IF($F326="","",IF(OR($G326="",$H326="",$I326="",$G326&lt;1300,$G326&gt;1500,$H326&lt;1,$H326&gt;12,$I326&lt;1,$I326&gt;31),"نامعتبر",RIGHT("0000"&amp;$G326,4)&amp;"/"&amp;RIGHT("00"&amp;$H326,2)&amp;"/"&amp;RIGHT("00"&amp;$I326,2)))</f>
        <v/>
      </c>
      <c r="K326" t="str">
        <f>IF(OR($F326="",$J326="",$J326="نامعتبر"),"",LEFT($J326,4)&amp;MID($J326,6,2)&amp;RIGHT($J326,2)&amp;$N326&amp;"|"&amp;"2"&amp;RIGHT("00000"&amp;321,5))</f>
        <v/>
      </c>
      <c r="L326" t="str">
        <f t="shared" ref="L326:L389" si="28">IF($K326="","",COUNTIFS(LdgSellerA,$F326,LdgKeyA,"&lt;"&amp;$K326)+COUNTIFS(LdgSellerB,$F326,LdgKeyB,"&lt;"&amp;$K326)+1)</f>
        <v/>
      </c>
      <c r="M326" t="str">
        <f t="shared" ref="M326:M389" si="29">IF($L326="","",$F326&amp;"|"&amp;RIGHT("000000"&amp;$L326,6))</f>
        <v/>
      </c>
      <c r="N326" t="str">
        <f>IF($F326="","",IF(Sync!$AF326="","0000",IF(AND(ISNUMBER(Sync!$AF326),Sync!$AF326&gt;=0,Sync!$AF326&lt;1),RIGHT("00"&amp;HOUR(Sync!$AF326),2)&amp;RIGHT("00"&amp;MINUTE(Sync!$AF326),2),IFERROR(RIGHT("00"&amp;VALUE(LEFT(Sync!$AF326,FIND(":",Sync!$AF326)-1)),2)&amp;RIGHT("00"&amp;VALUE(MID(Sync!$AF326,FIND(":",Sync!$AF326)+1,2)),2),"0000"))))</f>
        <v/>
      </c>
    </row>
    <row r="327" spans="1:14" x14ac:dyDescent="0.2">
      <c r="A327" t="str">
        <f>IF(OR(Calc!$E331="",Calc!$E331="نامعتبر",Calc!$G331=""),"",Calc!$G331)</f>
        <v/>
      </c>
      <c r="B327" t="str">
        <f>IF($A327="","",LEFT(Calc!$E331,4)&amp;MID(Calc!$E331,6,2)&amp;RIGHT(Calc!$E331,2)&amp;Calc!$Q331&amp;"|"&amp;"1"&amp;RIGHT("00000"&amp;322,5))</f>
        <v/>
      </c>
      <c r="C327" t="str">
        <f t="shared" si="25"/>
        <v/>
      </c>
      <c r="D327" t="str">
        <f t="shared" si="26"/>
        <v/>
      </c>
      <c r="F327" t="str">
        <f>IF(Sync!$AH327="","",IF(LEFT(UPPER(TRIM(Sync!$AH327)),2)="SL",UPPER(TRIM(Sync!$AH327)),""))</f>
        <v/>
      </c>
      <c r="G327" t="str">
        <f>IF($F327="","",IF(Sync!$AE327="","",IF(ISNUMBER(Sync!$AE327),IF(AND(Sync!$AE327&gt;=10000101,Sync!$AE327&lt;=99991231),INT(Sync!$AE327/10000),""),IFERROR(VALUE(TRIM(LEFT(Sync!$AE327,FIND("/",Sync!$AE327)-1))),""))))</f>
        <v/>
      </c>
      <c r="H327" t="str">
        <f>IF(OR($F327="",$G327=""),"",IF(ISNUMBER(Sync!$AE327),INT(MOD(Sync!$AE327,10000)/100),IFERROR(VALUE(TRIM(LEFT(MID(Sync!$AE327,FIND("/",Sync!$AE327)+1,20),FIND("/",MID(Sync!$AE327,FIND("/",Sync!$AE327)+1,20))-1))),"")))</f>
        <v/>
      </c>
      <c r="I327" t="str">
        <f>IF(OR($F327="",$G327=""),"",IF(ISNUMBER(Sync!$AE327),MOD(Sync!$AE327,100),IFERROR(VALUE(TRIM(MID(MID(Sync!$AE327,FIND("/",Sync!$AE327)+1,20),FIND("/",MID(Sync!$AE327,FIND("/",Sync!$AE327)+1,20))+1,20))),"")))</f>
        <v/>
      </c>
      <c r="J327" t="str">
        <f t="shared" si="27"/>
        <v/>
      </c>
      <c r="K327" t="str">
        <f>IF(OR($F327="",$J327="",$J327="نامعتبر"),"",LEFT($J327,4)&amp;MID($J327,6,2)&amp;RIGHT($J327,2)&amp;$N327&amp;"|"&amp;"2"&amp;RIGHT("00000"&amp;322,5))</f>
        <v/>
      </c>
      <c r="L327" t="str">
        <f t="shared" si="28"/>
        <v/>
      </c>
      <c r="M327" t="str">
        <f t="shared" si="29"/>
        <v/>
      </c>
      <c r="N327" t="str">
        <f>IF($F327="","",IF(Sync!$AF327="","0000",IF(AND(ISNUMBER(Sync!$AF327),Sync!$AF327&gt;=0,Sync!$AF327&lt;1),RIGHT("00"&amp;HOUR(Sync!$AF327),2)&amp;RIGHT("00"&amp;MINUTE(Sync!$AF327),2),IFERROR(RIGHT("00"&amp;VALUE(LEFT(Sync!$AF327,FIND(":",Sync!$AF327)-1)),2)&amp;RIGHT("00"&amp;VALUE(MID(Sync!$AF327,FIND(":",Sync!$AF327)+1,2)),2),"0000"))))</f>
        <v/>
      </c>
    </row>
    <row r="328" spans="1:14" x14ac:dyDescent="0.2">
      <c r="A328" t="str">
        <f>IF(OR(Calc!$E332="",Calc!$E332="نامعتبر",Calc!$G332=""),"",Calc!$G332)</f>
        <v/>
      </c>
      <c r="B328" t="str">
        <f>IF($A328="","",LEFT(Calc!$E332,4)&amp;MID(Calc!$E332,6,2)&amp;RIGHT(Calc!$E332,2)&amp;Calc!$Q332&amp;"|"&amp;"1"&amp;RIGHT("00000"&amp;323,5))</f>
        <v/>
      </c>
      <c r="C328" t="str">
        <f t="shared" si="25"/>
        <v/>
      </c>
      <c r="D328" t="str">
        <f t="shared" si="26"/>
        <v/>
      </c>
      <c r="F328" t="str">
        <f>IF(Sync!$AH328="","",IF(LEFT(UPPER(TRIM(Sync!$AH328)),2)="SL",UPPER(TRIM(Sync!$AH328)),""))</f>
        <v/>
      </c>
      <c r="G328" t="str">
        <f>IF($F328="","",IF(Sync!$AE328="","",IF(ISNUMBER(Sync!$AE328),IF(AND(Sync!$AE328&gt;=10000101,Sync!$AE328&lt;=99991231),INT(Sync!$AE328/10000),""),IFERROR(VALUE(TRIM(LEFT(Sync!$AE328,FIND("/",Sync!$AE328)-1))),""))))</f>
        <v/>
      </c>
      <c r="H328" t="str">
        <f>IF(OR($F328="",$G328=""),"",IF(ISNUMBER(Sync!$AE328),INT(MOD(Sync!$AE328,10000)/100),IFERROR(VALUE(TRIM(LEFT(MID(Sync!$AE328,FIND("/",Sync!$AE328)+1,20),FIND("/",MID(Sync!$AE328,FIND("/",Sync!$AE328)+1,20))-1))),"")))</f>
        <v/>
      </c>
      <c r="I328" t="str">
        <f>IF(OR($F328="",$G328=""),"",IF(ISNUMBER(Sync!$AE328),MOD(Sync!$AE328,100),IFERROR(VALUE(TRIM(MID(MID(Sync!$AE328,FIND("/",Sync!$AE328)+1,20),FIND("/",MID(Sync!$AE328,FIND("/",Sync!$AE328)+1,20))+1,20))),"")))</f>
        <v/>
      </c>
      <c r="J328" t="str">
        <f t="shared" si="27"/>
        <v/>
      </c>
      <c r="K328" t="str">
        <f>IF(OR($F328="",$J328="",$J328="نامعتبر"),"",LEFT($J328,4)&amp;MID($J328,6,2)&amp;RIGHT($J328,2)&amp;$N328&amp;"|"&amp;"2"&amp;RIGHT("00000"&amp;323,5))</f>
        <v/>
      </c>
      <c r="L328" t="str">
        <f t="shared" si="28"/>
        <v/>
      </c>
      <c r="M328" t="str">
        <f t="shared" si="29"/>
        <v/>
      </c>
      <c r="N328" t="str">
        <f>IF($F328="","",IF(Sync!$AF328="","0000",IF(AND(ISNUMBER(Sync!$AF328),Sync!$AF328&gt;=0,Sync!$AF328&lt;1),RIGHT("00"&amp;HOUR(Sync!$AF328),2)&amp;RIGHT("00"&amp;MINUTE(Sync!$AF328),2),IFERROR(RIGHT("00"&amp;VALUE(LEFT(Sync!$AF328,FIND(":",Sync!$AF328)-1)),2)&amp;RIGHT("00"&amp;VALUE(MID(Sync!$AF328,FIND(":",Sync!$AF328)+1,2)),2),"0000"))))</f>
        <v/>
      </c>
    </row>
    <row r="329" spans="1:14" x14ac:dyDescent="0.2">
      <c r="A329" t="str">
        <f>IF(OR(Calc!$E333="",Calc!$E333="نامعتبر",Calc!$G333=""),"",Calc!$G333)</f>
        <v/>
      </c>
      <c r="B329" t="str">
        <f>IF($A329="","",LEFT(Calc!$E333,4)&amp;MID(Calc!$E333,6,2)&amp;RIGHT(Calc!$E333,2)&amp;Calc!$Q333&amp;"|"&amp;"1"&amp;RIGHT("00000"&amp;324,5))</f>
        <v/>
      </c>
      <c r="C329" t="str">
        <f t="shared" si="25"/>
        <v/>
      </c>
      <c r="D329" t="str">
        <f t="shared" si="26"/>
        <v/>
      </c>
      <c r="F329" t="str">
        <f>IF(Sync!$AH329="","",IF(LEFT(UPPER(TRIM(Sync!$AH329)),2)="SL",UPPER(TRIM(Sync!$AH329)),""))</f>
        <v/>
      </c>
      <c r="G329" t="str">
        <f>IF($F329="","",IF(Sync!$AE329="","",IF(ISNUMBER(Sync!$AE329),IF(AND(Sync!$AE329&gt;=10000101,Sync!$AE329&lt;=99991231),INT(Sync!$AE329/10000),""),IFERROR(VALUE(TRIM(LEFT(Sync!$AE329,FIND("/",Sync!$AE329)-1))),""))))</f>
        <v/>
      </c>
      <c r="H329" t="str">
        <f>IF(OR($F329="",$G329=""),"",IF(ISNUMBER(Sync!$AE329),INT(MOD(Sync!$AE329,10000)/100),IFERROR(VALUE(TRIM(LEFT(MID(Sync!$AE329,FIND("/",Sync!$AE329)+1,20),FIND("/",MID(Sync!$AE329,FIND("/",Sync!$AE329)+1,20))-1))),"")))</f>
        <v/>
      </c>
      <c r="I329" t="str">
        <f>IF(OR($F329="",$G329=""),"",IF(ISNUMBER(Sync!$AE329),MOD(Sync!$AE329,100),IFERROR(VALUE(TRIM(MID(MID(Sync!$AE329,FIND("/",Sync!$AE329)+1,20),FIND("/",MID(Sync!$AE329,FIND("/",Sync!$AE329)+1,20))+1,20))),"")))</f>
        <v/>
      </c>
      <c r="J329" t="str">
        <f t="shared" si="27"/>
        <v/>
      </c>
      <c r="K329" t="str">
        <f>IF(OR($F329="",$J329="",$J329="نامعتبر"),"",LEFT($J329,4)&amp;MID($J329,6,2)&amp;RIGHT($J329,2)&amp;$N329&amp;"|"&amp;"2"&amp;RIGHT("00000"&amp;324,5))</f>
        <v/>
      </c>
      <c r="L329" t="str">
        <f t="shared" si="28"/>
        <v/>
      </c>
      <c r="M329" t="str">
        <f t="shared" si="29"/>
        <v/>
      </c>
      <c r="N329" t="str">
        <f>IF($F329="","",IF(Sync!$AF329="","0000",IF(AND(ISNUMBER(Sync!$AF329),Sync!$AF329&gt;=0,Sync!$AF329&lt;1),RIGHT("00"&amp;HOUR(Sync!$AF329),2)&amp;RIGHT("00"&amp;MINUTE(Sync!$AF329),2),IFERROR(RIGHT("00"&amp;VALUE(LEFT(Sync!$AF329,FIND(":",Sync!$AF329)-1)),2)&amp;RIGHT("00"&amp;VALUE(MID(Sync!$AF329,FIND(":",Sync!$AF329)+1,2)),2),"0000"))))</f>
        <v/>
      </c>
    </row>
    <row r="330" spans="1:14" x14ac:dyDescent="0.2">
      <c r="A330" t="str">
        <f>IF(OR(Calc!$E334="",Calc!$E334="نامعتبر",Calc!$G334=""),"",Calc!$G334)</f>
        <v/>
      </c>
      <c r="B330" t="str">
        <f>IF($A330="","",LEFT(Calc!$E334,4)&amp;MID(Calc!$E334,6,2)&amp;RIGHT(Calc!$E334,2)&amp;Calc!$Q334&amp;"|"&amp;"1"&amp;RIGHT("00000"&amp;325,5))</f>
        <v/>
      </c>
      <c r="C330" t="str">
        <f t="shared" si="25"/>
        <v/>
      </c>
      <c r="D330" t="str">
        <f t="shared" si="26"/>
        <v/>
      </c>
      <c r="F330" t="str">
        <f>IF(Sync!$AH330="","",IF(LEFT(UPPER(TRIM(Sync!$AH330)),2)="SL",UPPER(TRIM(Sync!$AH330)),""))</f>
        <v/>
      </c>
      <c r="G330" t="str">
        <f>IF($F330="","",IF(Sync!$AE330="","",IF(ISNUMBER(Sync!$AE330),IF(AND(Sync!$AE330&gt;=10000101,Sync!$AE330&lt;=99991231),INT(Sync!$AE330/10000),""),IFERROR(VALUE(TRIM(LEFT(Sync!$AE330,FIND("/",Sync!$AE330)-1))),""))))</f>
        <v/>
      </c>
      <c r="H330" t="str">
        <f>IF(OR($F330="",$G330=""),"",IF(ISNUMBER(Sync!$AE330),INT(MOD(Sync!$AE330,10000)/100),IFERROR(VALUE(TRIM(LEFT(MID(Sync!$AE330,FIND("/",Sync!$AE330)+1,20),FIND("/",MID(Sync!$AE330,FIND("/",Sync!$AE330)+1,20))-1))),"")))</f>
        <v/>
      </c>
      <c r="I330" t="str">
        <f>IF(OR($F330="",$G330=""),"",IF(ISNUMBER(Sync!$AE330),MOD(Sync!$AE330,100),IFERROR(VALUE(TRIM(MID(MID(Sync!$AE330,FIND("/",Sync!$AE330)+1,20),FIND("/",MID(Sync!$AE330,FIND("/",Sync!$AE330)+1,20))+1,20))),"")))</f>
        <v/>
      </c>
      <c r="J330" t="str">
        <f t="shared" si="27"/>
        <v/>
      </c>
      <c r="K330" t="str">
        <f>IF(OR($F330="",$J330="",$J330="نامعتبر"),"",LEFT($J330,4)&amp;MID($J330,6,2)&amp;RIGHT($J330,2)&amp;$N330&amp;"|"&amp;"2"&amp;RIGHT("00000"&amp;325,5))</f>
        <v/>
      </c>
      <c r="L330" t="str">
        <f t="shared" si="28"/>
        <v/>
      </c>
      <c r="M330" t="str">
        <f t="shared" si="29"/>
        <v/>
      </c>
      <c r="N330" t="str">
        <f>IF($F330="","",IF(Sync!$AF330="","0000",IF(AND(ISNUMBER(Sync!$AF330),Sync!$AF330&gt;=0,Sync!$AF330&lt;1),RIGHT("00"&amp;HOUR(Sync!$AF330),2)&amp;RIGHT("00"&amp;MINUTE(Sync!$AF330),2),IFERROR(RIGHT("00"&amp;VALUE(LEFT(Sync!$AF330,FIND(":",Sync!$AF330)-1)),2)&amp;RIGHT("00"&amp;VALUE(MID(Sync!$AF330,FIND(":",Sync!$AF330)+1,2)),2),"0000"))))</f>
        <v/>
      </c>
    </row>
    <row r="331" spans="1:14" x14ac:dyDescent="0.2">
      <c r="A331" t="str">
        <f>IF(OR(Calc!$E335="",Calc!$E335="نامعتبر",Calc!$G335=""),"",Calc!$G335)</f>
        <v/>
      </c>
      <c r="B331" t="str">
        <f>IF($A331="","",LEFT(Calc!$E335,4)&amp;MID(Calc!$E335,6,2)&amp;RIGHT(Calc!$E335,2)&amp;Calc!$Q335&amp;"|"&amp;"1"&amp;RIGHT("00000"&amp;326,5))</f>
        <v/>
      </c>
      <c r="C331" t="str">
        <f t="shared" si="25"/>
        <v/>
      </c>
      <c r="D331" t="str">
        <f t="shared" si="26"/>
        <v/>
      </c>
      <c r="F331" t="str">
        <f>IF(Sync!$AH331="","",IF(LEFT(UPPER(TRIM(Sync!$AH331)),2)="SL",UPPER(TRIM(Sync!$AH331)),""))</f>
        <v/>
      </c>
      <c r="G331" t="str">
        <f>IF($F331="","",IF(Sync!$AE331="","",IF(ISNUMBER(Sync!$AE331),IF(AND(Sync!$AE331&gt;=10000101,Sync!$AE331&lt;=99991231),INT(Sync!$AE331/10000),""),IFERROR(VALUE(TRIM(LEFT(Sync!$AE331,FIND("/",Sync!$AE331)-1))),""))))</f>
        <v/>
      </c>
      <c r="H331" t="str">
        <f>IF(OR($F331="",$G331=""),"",IF(ISNUMBER(Sync!$AE331),INT(MOD(Sync!$AE331,10000)/100),IFERROR(VALUE(TRIM(LEFT(MID(Sync!$AE331,FIND("/",Sync!$AE331)+1,20),FIND("/",MID(Sync!$AE331,FIND("/",Sync!$AE331)+1,20))-1))),"")))</f>
        <v/>
      </c>
      <c r="I331" t="str">
        <f>IF(OR($F331="",$G331=""),"",IF(ISNUMBER(Sync!$AE331),MOD(Sync!$AE331,100),IFERROR(VALUE(TRIM(MID(MID(Sync!$AE331,FIND("/",Sync!$AE331)+1,20),FIND("/",MID(Sync!$AE331,FIND("/",Sync!$AE331)+1,20))+1,20))),"")))</f>
        <v/>
      </c>
      <c r="J331" t="str">
        <f t="shared" si="27"/>
        <v/>
      </c>
      <c r="K331" t="str">
        <f>IF(OR($F331="",$J331="",$J331="نامعتبر"),"",LEFT($J331,4)&amp;MID($J331,6,2)&amp;RIGHT($J331,2)&amp;$N331&amp;"|"&amp;"2"&amp;RIGHT("00000"&amp;326,5))</f>
        <v/>
      </c>
      <c r="L331" t="str">
        <f t="shared" si="28"/>
        <v/>
      </c>
      <c r="M331" t="str">
        <f t="shared" si="29"/>
        <v/>
      </c>
      <c r="N331" t="str">
        <f>IF($F331="","",IF(Sync!$AF331="","0000",IF(AND(ISNUMBER(Sync!$AF331),Sync!$AF331&gt;=0,Sync!$AF331&lt;1),RIGHT("00"&amp;HOUR(Sync!$AF331),2)&amp;RIGHT("00"&amp;MINUTE(Sync!$AF331),2),IFERROR(RIGHT("00"&amp;VALUE(LEFT(Sync!$AF331,FIND(":",Sync!$AF331)-1)),2)&amp;RIGHT("00"&amp;VALUE(MID(Sync!$AF331,FIND(":",Sync!$AF331)+1,2)),2),"0000"))))</f>
        <v/>
      </c>
    </row>
    <row r="332" spans="1:14" x14ac:dyDescent="0.2">
      <c r="A332" t="str">
        <f>IF(OR(Calc!$E336="",Calc!$E336="نامعتبر",Calc!$G336=""),"",Calc!$G336)</f>
        <v/>
      </c>
      <c r="B332" t="str">
        <f>IF($A332="","",LEFT(Calc!$E336,4)&amp;MID(Calc!$E336,6,2)&amp;RIGHT(Calc!$E336,2)&amp;Calc!$Q336&amp;"|"&amp;"1"&amp;RIGHT("00000"&amp;327,5))</f>
        <v/>
      </c>
      <c r="C332" t="str">
        <f t="shared" si="25"/>
        <v/>
      </c>
      <c r="D332" t="str">
        <f t="shared" si="26"/>
        <v/>
      </c>
      <c r="F332" t="str">
        <f>IF(Sync!$AH332="","",IF(LEFT(UPPER(TRIM(Sync!$AH332)),2)="SL",UPPER(TRIM(Sync!$AH332)),""))</f>
        <v/>
      </c>
      <c r="G332" t="str">
        <f>IF($F332="","",IF(Sync!$AE332="","",IF(ISNUMBER(Sync!$AE332),IF(AND(Sync!$AE332&gt;=10000101,Sync!$AE332&lt;=99991231),INT(Sync!$AE332/10000),""),IFERROR(VALUE(TRIM(LEFT(Sync!$AE332,FIND("/",Sync!$AE332)-1))),""))))</f>
        <v/>
      </c>
      <c r="H332" t="str">
        <f>IF(OR($F332="",$G332=""),"",IF(ISNUMBER(Sync!$AE332),INT(MOD(Sync!$AE332,10000)/100),IFERROR(VALUE(TRIM(LEFT(MID(Sync!$AE332,FIND("/",Sync!$AE332)+1,20),FIND("/",MID(Sync!$AE332,FIND("/",Sync!$AE332)+1,20))-1))),"")))</f>
        <v/>
      </c>
      <c r="I332" t="str">
        <f>IF(OR($F332="",$G332=""),"",IF(ISNUMBER(Sync!$AE332),MOD(Sync!$AE332,100),IFERROR(VALUE(TRIM(MID(MID(Sync!$AE332,FIND("/",Sync!$AE332)+1,20),FIND("/",MID(Sync!$AE332,FIND("/",Sync!$AE332)+1,20))+1,20))),"")))</f>
        <v/>
      </c>
      <c r="J332" t="str">
        <f t="shared" si="27"/>
        <v/>
      </c>
      <c r="K332" t="str">
        <f>IF(OR($F332="",$J332="",$J332="نامعتبر"),"",LEFT($J332,4)&amp;MID($J332,6,2)&amp;RIGHT($J332,2)&amp;$N332&amp;"|"&amp;"2"&amp;RIGHT("00000"&amp;327,5))</f>
        <v/>
      </c>
      <c r="L332" t="str">
        <f t="shared" si="28"/>
        <v/>
      </c>
      <c r="M332" t="str">
        <f t="shared" si="29"/>
        <v/>
      </c>
      <c r="N332" t="str">
        <f>IF($F332="","",IF(Sync!$AF332="","0000",IF(AND(ISNUMBER(Sync!$AF332),Sync!$AF332&gt;=0,Sync!$AF332&lt;1),RIGHT("00"&amp;HOUR(Sync!$AF332),2)&amp;RIGHT("00"&amp;MINUTE(Sync!$AF332),2),IFERROR(RIGHT("00"&amp;VALUE(LEFT(Sync!$AF332,FIND(":",Sync!$AF332)-1)),2)&amp;RIGHT("00"&amp;VALUE(MID(Sync!$AF332,FIND(":",Sync!$AF332)+1,2)),2),"0000"))))</f>
        <v/>
      </c>
    </row>
    <row r="333" spans="1:14" x14ac:dyDescent="0.2">
      <c r="A333" t="str">
        <f>IF(OR(Calc!$E337="",Calc!$E337="نامعتبر",Calc!$G337=""),"",Calc!$G337)</f>
        <v/>
      </c>
      <c r="B333" t="str">
        <f>IF($A333="","",LEFT(Calc!$E337,4)&amp;MID(Calc!$E337,6,2)&amp;RIGHT(Calc!$E337,2)&amp;Calc!$Q337&amp;"|"&amp;"1"&amp;RIGHT("00000"&amp;328,5))</f>
        <v/>
      </c>
      <c r="C333" t="str">
        <f t="shared" si="25"/>
        <v/>
      </c>
      <c r="D333" t="str">
        <f t="shared" si="26"/>
        <v/>
      </c>
      <c r="F333" t="str">
        <f>IF(Sync!$AH333="","",IF(LEFT(UPPER(TRIM(Sync!$AH333)),2)="SL",UPPER(TRIM(Sync!$AH333)),""))</f>
        <v/>
      </c>
      <c r="G333" t="str">
        <f>IF($F333="","",IF(Sync!$AE333="","",IF(ISNUMBER(Sync!$AE333),IF(AND(Sync!$AE333&gt;=10000101,Sync!$AE333&lt;=99991231),INT(Sync!$AE333/10000),""),IFERROR(VALUE(TRIM(LEFT(Sync!$AE333,FIND("/",Sync!$AE333)-1))),""))))</f>
        <v/>
      </c>
      <c r="H333" t="str">
        <f>IF(OR($F333="",$G333=""),"",IF(ISNUMBER(Sync!$AE333),INT(MOD(Sync!$AE333,10000)/100),IFERROR(VALUE(TRIM(LEFT(MID(Sync!$AE333,FIND("/",Sync!$AE333)+1,20),FIND("/",MID(Sync!$AE333,FIND("/",Sync!$AE333)+1,20))-1))),"")))</f>
        <v/>
      </c>
      <c r="I333" t="str">
        <f>IF(OR($F333="",$G333=""),"",IF(ISNUMBER(Sync!$AE333),MOD(Sync!$AE333,100),IFERROR(VALUE(TRIM(MID(MID(Sync!$AE333,FIND("/",Sync!$AE333)+1,20),FIND("/",MID(Sync!$AE333,FIND("/",Sync!$AE333)+1,20))+1,20))),"")))</f>
        <v/>
      </c>
      <c r="J333" t="str">
        <f t="shared" si="27"/>
        <v/>
      </c>
      <c r="K333" t="str">
        <f>IF(OR($F333="",$J333="",$J333="نامعتبر"),"",LEFT($J333,4)&amp;MID($J333,6,2)&amp;RIGHT($J333,2)&amp;$N333&amp;"|"&amp;"2"&amp;RIGHT("00000"&amp;328,5))</f>
        <v/>
      </c>
      <c r="L333" t="str">
        <f t="shared" si="28"/>
        <v/>
      </c>
      <c r="M333" t="str">
        <f t="shared" si="29"/>
        <v/>
      </c>
      <c r="N333" t="str">
        <f>IF($F333="","",IF(Sync!$AF333="","0000",IF(AND(ISNUMBER(Sync!$AF333),Sync!$AF333&gt;=0,Sync!$AF333&lt;1),RIGHT("00"&amp;HOUR(Sync!$AF333),2)&amp;RIGHT("00"&amp;MINUTE(Sync!$AF333),2),IFERROR(RIGHT("00"&amp;VALUE(LEFT(Sync!$AF333,FIND(":",Sync!$AF333)-1)),2)&amp;RIGHT("00"&amp;VALUE(MID(Sync!$AF333,FIND(":",Sync!$AF333)+1,2)),2),"0000"))))</f>
        <v/>
      </c>
    </row>
    <row r="334" spans="1:14" x14ac:dyDescent="0.2">
      <c r="A334" t="str">
        <f>IF(OR(Calc!$E338="",Calc!$E338="نامعتبر",Calc!$G338=""),"",Calc!$G338)</f>
        <v/>
      </c>
      <c r="B334" t="str">
        <f>IF($A334="","",LEFT(Calc!$E338,4)&amp;MID(Calc!$E338,6,2)&amp;RIGHT(Calc!$E338,2)&amp;Calc!$Q338&amp;"|"&amp;"1"&amp;RIGHT("00000"&amp;329,5))</f>
        <v/>
      </c>
      <c r="C334" t="str">
        <f t="shared" si="25"/>
        <v/>
      </c>
      <c r="D334" t="str">
        <f t="shared" si="26"/>
        <v/>
      </c>
      <c r="F334" t="str">
        <f>IF(Sync!$AH334="","",IF(LEFT(UPPER(TRIM(Sync!$AH334)),2)="SL",UPPER(TRIM(Sync!$AH334)),""))</f>
        <v/>
      </c>
      <c r="G334" t="str">
        <f>IF($F334="","",IF(Sync!$AE334="","",IF(ISNUMBER(Sync!$AE334),IF(AND(Sync!$AE334&gt;=10000101,Sync!$AE334&lt;=99991231),INT(Sync!$AE334/10000),""),IFERROR(VALUE(TRIM(LEFT(Sync!$AE334,FIND("/",Sync!$AE334)-1))),""))))</f>
        <v/>
      </c>
      <c r="H334" t="str">
        <f>IF(OR($F334="",$G334=""),"",IF(ISNUMBER(Sync!$AE334),INT(MOD(Sync!$AE334,10000)/100),IFERROR(VALUE(TRIM(LEFT(MID(Sync!$AE334,FIND("/",Sync!$AE334)+1,20),FIND("/",MID(Sync!$AE334,FIND("/",Sync!$AE334)+1,20))-1))),"")))</f>
        <v/>
      </c>
      <c r="I334" t="str">
        <f>IF(OR($F334="",$G334=""),"",IF(ISNUMBER(Sync!$AE334),MOD(Sync!$AE334,100),IFERROR(VALUE(TRIM(MID(MID(Sync!$AE334,FIND("/",Sync!$AE334)+1,20),FIND("/",MID(Sync!$AE334,FIND("/",Sync!$AE334)+1,20))+1,20))),"")))</f>
        <v/>
      </c>
      <c r="J334" t="str">
        <f t="shared" si="27"/>
        <v/>
      </c>
      <c r="K334" t="str">
        <f>IF(OR($F334="",$J334="",$J334="نامعتبر"),"",LEFT($J334,4)&amp;MID($J334,6,2)&amp;RIGHT($J334,2)&amp;$N334&amp;"|"&amp;"2"&amp;RIGHT("00000"&amp;329,5))</f>
        <v/>
      </c>
      <c r="L334" t="str">
        <f t="shared" si="28"/>
        <v/>
      </c>
      <c r="M334" t="str">
        <f t="shared" si="29"/>
        <v/>
      </c>
      <c r="N334" t="str">
        <f>IF($F334="","",IF(Sync!$AF334="","0000",IF(AND(ISNUMBER(Sync!$AF334),Sync!$AF334&gt;=0,Sync!$AF334&lt;1),RIGHT("00"&amp;HOUR(Sync!$AF334),2)&amp;RIGHT("00"&amp;MINUTE(Sync!$AF334),2),IFERROR(RIGHT("00"&amp;VALUE(LEFT(Sync!$AF334,FIND(":",Sync!$AF334)-1)),2)&amp;RIGHT("00"&amp;VALUE(MID(Sync!$AF334,FIND(":",Sync!$AF334)+1,2)),2),"0000"))))</f>
        <v/>
      </c>
    </row>
    <row r="335" spans="1:14" x14ac:dyDescent="0.2">
      <c r="A335" t="str">
        <f>IF(OR(Calc!$E339="",Calc!$E339="نامعتبر",Calc!$G339=""),"",Calc!$G339)</f>
        <v/>
      </c>
      <c r="B335" t="str">
        <f>IF($A335="","",LEFT(Calc!$E339,4)&amp;MID(Calc!$E339,6,2)&amp;RIGHT(Calc!$E339,2)&amp;Calc!$Q339&amp;"|"&amp;"1"&amp;RIGHT("00000"&amp;330,5))</f>
        <v/>
      </c>
      <c r="C335" t="str">
        <f t="shared" si="25"/>
        <v/>
      </c>
      <c r="D335" t="str">
        <f t="shared" si="26"/>
        <v/>
      </c>
      <c r="F335" t="str">
        <f>IF(Sync!$AH335="","",IF(LEFT(UPPER(TRIM(Sync!$AH335)),2)="SL",UPPER(TRIM(Sync!$AH335)),""))</f>
        <v/>
      </c>
      <c r="G335" t="str">
        <f>IF($F335="","",IF(Sync!$AE335="","",IF(ISNUMBER(Sync!$AE335),IF(AND(Sync!$AE335&gt;=10000101,Sync!$AE335&lt;=99991231),INT(Sync!$AE335/10000),""),IFERROR(VALUE(TRIM(LEFT(Sync!$AE335,FIND("/",Sync!$AE335)-1))),""))))</f>
        <v/>
      </c>
      <c r="H335" t="str">
        <f>IF(OR($F335="",$G335=""),"",IF(ISNUMBER(Sync!$AE335),INT(MOD(Sync!$AE335,10000)/100),IFERROR(VALUE(TRIM(LEFT(MID(Sync!$AE335,FIND("/",Sync!$AE335)+1,20),FIND("/",MID(Sync!$AE335,FIND("/",Sync!$AE335)+1,20))-1))),"")))</f>
        <v/>
      </c>
      <c r="I335" t="str">
        <f>IF(OR($F335="",$G335=""),"",IF(ISNUMBER(Sync!$AE335),MOD(Sync!$AE335,100),IFERROR(VALUE(TRIM(MID(MID(Sync!$AE335,FIND("/",Sync!$AE335)+1,20),FIND("/",MID(Sync!$AE335,FIND("/",Sync!$AE335)+1,20))+1,20))),"")))</f>
        <v/>
      </c>
      <c r="J335" t="str">
        <f t="shared" si="27"/>
        <v/>
      </c>
      <c r="K335" t="str">
        <f>IF(OR($F335="",$J335="",$J335="نامعتبر"),"",LEFT($J335,4)&amp;MID($J335,6,2)&amp;RIGHT($J335,2)&amp;$N335&amp;"|"&amp;"2"&amp;RIGHT("00000"&amp;330,5))</f>
        <v/>
      </c>
      <c r="L335" t="str">
        <f t="shared" si="28"/>
        <v/>
      </c>
      <c r="M335" t="str">
        <f t="shared" si="29"/>
        <v/>
      </c>
      <c r="N335" t="str">
        <f>IF($F335="","",IF(Sync!$AF335="","0000",IF(AND(ISNUMBER(Sync!$AF335),Sync!$AF335&gt;=0,Sync!$AF335&lt;1),RIGHT("00"&amp;HOUR(Sync!$AF335),2)&amp;RIGHT("00"&amp;MINUTE(Sync!$AF335),2),IFERROR(RIGHT("00"&amp;VALUE(LEFT(Sync!$AF335,FIND(":",Sync!$AF335)-1)),2)&amp;RIGHT("00"&amp;VALUE(MID(Sync!$AF335,FIND(":",Sync!$AF335)+1,2)),2),"0000"))))</f>
        <v/>
      </c>
    </row>
    <row r="336" spans="1:14" x14ac:dyDescent="0.2">
      <c r="A336" t="str">
        <f>IF(OR(Calc!$E340="",Calc!$E340="نامعتبر",Calc!$G340=""),"",Calc!$G340)</f>
        <v/>
      </c>
      <c r="B336" t="str">
        <f>IF($A336="","",LEFT(Calc!$E340,4)&amp;MID(Calc!$E340,6,2)&amp;RIGHT(Calc!$E340,2)&amp;Calc!$Q340&amp;"|"&amp;"1"&amp;RIGHT("00000"&amp;331,5))</f>
        <v/>
      </c>
      <c r="C336" t="str">
        <f t="shared" si="25"/>
        <v/>
      </c>
      <c r="D336" t="str">
        <f t="shared" si="26"/>
        <v/>
      </c>
      <c r="F336" t="str">
        <f>IF(Sync!$AH336="","",IF(LEFT(UPPER(TRIM(Sync!$AH336)),2)="SL",UPPER(TRIM(Sync!$AH336)),""))</f>
        <v/>
      </c>
      <c r="G336" t="str">
        <f>IF($F336="","",IF(Sync!$AE336="","",IF(ISNUMBER(Sync!$AE336),IF(AND(Sync!$AE336&gt;=10000101,Sync!$AE336&lt;=99991231),INT(Sync!$AE336/10000),""),IFERROR(VALUE(TRIM(LEFT(Sync!$AE336,FIND("/",Sync!$AE336)-1))),""))))</f>
        <v/>
      </c>
      <c r="H336" t="str">
        <f>IF(OR($F336="",$G336=""),"",IF(ISNUMBER(Sync!$AE336),INT(MOD(Sync!$AE336,10000)/100),IFERROR(VALUE(TRIM(LEFT(MID(Sync!$AE336,FIND("/",Sync!$AE336)+1,20),FIND("/",MID(Sync!$AE336,FIND("/",Sync!$AE336)+1,20))-1))),"")))</f>
        <v/>
      </c>
      <c r="I336" t="str">
        <f>IF(OR($F336="",$G336=""),"",IF(ISNUMBER(Sync!$AE336),MOD(Sync!$AE336,100),IFERROR(VALUE(TRIM(MID(MID(Sync!$AE336,FIND("/",Sync!$AE336)+1,20),FIND("/",MID(Sync!$AE336,FIND("/",Sync!$AE336)+1,20))+1,20))),"")))</f>
        <v/>
      </c>
      <c r="J336" t="str">
        <f t="shared" si="27"/>
        <v/>
      </c>
      <c r="K336" t="str">
        <f>IF(OR($F336="",$J336="",$J336="نامعتبر"),"",LEFT($J336,4)&amp;MID($J336,6,2)&amp;RIGHT($J336,2)&amp;$N336&amp;"|"&amp;"2"&amp;RIGHT("00000"&amp;331,5))</f>
        <v/>
      </c>
      <c r="L336" t="str">
        <f t="shared" si="28"/>
        <v/>
      </c>
      <c r="M336" t="str">
        <f t="shared" si="29"/>
        <v/>
      </c>
      <c r="N336" t="str">
        <f>IF($F336="","",IF(Sync!$AF336="","0000",IF(AND(ISNUMBER(Sync!$AF336),Sync!$AF336&gt;=0,Sync!$AF336&lt;1),RIGHT("00"&amp;HOUR(Sync!$AF336),2)&amp;RIGHT("00"&amp;MINUTE(Sync!$AF336),2),IFERROR(RIGHT("00"&amp;VALUE(LEFT(Sync!$AF336,FIND(":",Sync!$AF336)-1)),2)&amp;RIGHT("00"&amp;VALUE(MID(Sync!$AF336,FIND(":",Sync!$AF336)+1,2)),2),"0000"))))</f>
        <v/>
      </c>
    </row>
    <row r="337" spans="1:14" x14ac:dyDescent="0.2">
      <c r="A337" t="str">
        <f>IF(OR(Calc!$E341="",Calc!$E341="نامعتبر",Calc!$G341=""),"",Calc!$G341)</f>
        <v/>
      </c>
      <c r="B337" t="str">
        <f>IF($A337="","",LEFT(Calc!$E341,4)&amp;MID(Calc!$E341,6,2)&amp;RIGHT(Calc!$E341,2)&amp;Calc!$Q341&amp;"|"&amp;"1"&amp;RIGHT("00000"&amp;332,5))</f>
        <v/>
      </c>
      <c r="C337" t="str">
        <f t="shared" si="25"/>
        <v/>
      </c>
      <c r="D337" t="str">
        <f t="shared" si="26"/>
        <v/>
      </c>
      <c r="F337" t="str">
        <f>IF(Sync!$AH337="","",IF(LEFT(UPPER(TRIM(Sync!$AH337)),2)="SL",UPPER(TRIM(Sync!$AH337)),""))</f>
        <v/>
      </c>
      <c r="G337" t="str">
        <f>IF($F337="","",IF(Sync!$AE337="","",IF(ISNUMBER(Sync!$AE337),IF(AND(Sync!$AE337&gt;=10000101,Sync!$AE337&lt;=99991231),INT(Sync!$AE337/10000),""),IFERROR(VALUE(TRIM(LEFT(Sync!$AE337,FIND("/",Sync!$AE337)-1))),""))))</f>
        <v/>
      </c>
      <c r="H337" t="str">
        <f>IF(OR($F337="",$G337=""),"",IF(ISNUMBER(Sync!$AE337),INT(MOD(Sync!$AE337,10000)/100),IFERROR(VALUE(TRIM(LEFT(MID(Sync!$AE337,FIND("/",Sync!$AE337)+1,20),FIND("/",MID(Sync!$AE337,FIND("/",Sync!$AE337)+1,20))-1))),"")))</f>
        <v/>
      </c>
      <c r="I337" t="str">
        <f>IF(OR($F337="",$G337=""),"",IF(ISNUMBER(Sync!$AE337),MOD(Sync!$AE337,100),IFERROR(VALUE(TRIM(MID(MID(Sync!$AE337,FIND("/",Sync!$AE337)+1,20),FIND("/",MID(Sync!$AE337,FIND("/",Sync!$AE337)+1,20))+1,20))),"")))</f>
        <v/>
      </c>
      <c r="J337" t="str">
        <f t="shared" si="27"/>
        <v/>
      </c>
      <c r="K337" t="str">
        <f>IF(OR($F337="",$J337="",$J337="نامعتبر"),"",LEFT($J337,4)&amp;MID($J337,6,2)&amp;RIGHT($J337,2)&amp;$N337&amp;"|"&amp;"2"&amp;RIGHT("00000"&amp;332,5))</f>
        <v/>
      </c>
      <c r="L337" t="str">
        <f t="shared" si="28"/>
        <v/>
      </c>
      <c r="M337" t="str">
        <f t="shared" si="29"/>
        <v/>
      </c>
      <c r="N337" t="str">
        <f>IF($F337="","",IF(Sync!$AF337="","0000",IF(AND(ISNUMBER(Sync!$AF337),Sync!$AF337&gt;=0,Sync!$AF337&lt;1),RIGHT("00"&amp;HOUR(Sync!$AF337),2)&amp;RIGHT("00"&amp;MINUTE(Sync!$AF337),2),IFERROR(RIGHT("00"&amp;VALUE(LEFT(Sync!$AF337,FIND(":",Sync!$AF337)-1)),2)&amp;RIGHT("00"&amp;VALUE(MID(Sync!$AF337,FIND(":",Sync!$AF337)+1,2)),2),"0000"))))</f>
        <v/>
      </c>
    </row>
    <row r="338" spans="1:14" x14ac:dyDescent="0.2">
      <c r="A338" t="str">
        <f>IF(OR(Calc!$E342="",Calc!$E342="نامعتبر",Calc!$G342=""),"",Calc!$G342)</f>
        <v/>
      </c>
      <c r="B338" t="str">
        <f>IF($A338="","",LEFT(Calc!$E342,4)&amp;MID(Calc!$E342,6,2)&amp;RIGHT(Calc!$E342,2)&amp;Calc!$Q342&amp;"|"&amp;"1"&amp;RIGHT("00000"&amp;333,5))</f>
        <v/>
      </c>
      <c r="C338" t="str">
        <f t="shared" si="25"/>
        <v/>
      </c>
      <c r="D338" t="str">
        <f t="shared" si="26"/>
        <v/>
      </c>
      <c r="F338" t="str">
        <f>IF(Sync!$AH338="","",IF(LEFT(UPPER(TRIM(Sync!$AH338)),2)="SL",UPPER(TRIM(Sync!$AH338)),""))</f>
        <v/>
      </c>
      <c r="G338" t="str">
        <f>IF($F338="","",IF(Sync!$AE338="","",IF(ISNUMBER(Sync!$AE338),IF(AND(Sync!$AE338&gt;=10000101,Sync!$AE338&lt;=99991231),INT(Sync!$AE338/10000),""),IFERROR(VALUE(TRIM(LEFT(Sync!$AE338,FIND("/",Sync!$AE338)-1))),""))))</f>
        <v/>
      </c>
      <c r="H338" t="str">
        <f>IF(OR($F338="",$G338=""),"",IF(ISNUMBER(Sync!$AE338),INT(MOD(Sync!$AE338,10000)/100),IFERROR(VALUE(TRIM(LEFT(MID(Sync!$AE338,FIND("/",Sync!$AE338)+1,20),FIND("/",MID(Sync!$AE338,FIND("/",Sync!$AE338)+1,20))-1))),"")))</f>
        <v/>
      </c>
      <c r="I338" t="str">
        <f>IF(OR($F338="",$G338=""),"",IF(ISNUMBER(Sync!$AE338),MOD(Sync!$AE338,100),IFERROR(VALUE(TRIM(MID(MID(Sync!$AE338,FIND("/",Sync!$AE338)+1,20),FIND("/",MID(Sync!$AE338,FIND("/",Sync!$AE338)+1,20))+1,20))),"")))</f>
        <v/>
      </c>
      <c r="J338" t="str">
        <f t="shared" si="27"/>
        <v/>
      </c>
      <c r="K338" t="str">
        <f>IF(OR($F338="",$J338="",$J338="نامعتبر"),"",LEFT($J338,4)&amp;MID($J338,6,2)&amp;RIGHT($J338,2)&amp;$N338&amp;"|"&amp;"2"&amp;RIGHT("00000"&amp;333,5))</f>
        <v/>
      </c>
      <c r="L338" t="str">
        <f t="shared" si="28"/>
        <v/>
      </c>
      <c r="M338" t="str">
        <f t="shared" si="29"/>
        <v/>
      </c>
      <c r="N338" t="str">
        <f>IF($F338="","",IF(Sync!$AF338="","0000",IF(AND(ISNUMBER(Sync!$AF338),Sync!$AF338&gt;=0,Sync!$AF338&lt;1),RIGHT("00"&amp;HOUR(Sync!$AF338),2)&amp;RIGHT("00"&amp;MINUTE(Sync!$AF338),2),IFERROR(RIGHT("00"&amp;VALUE(LEFT(Sync!$AF338,FIND(":",Sync!$AF338)-1)),2)&amp;RIGHT("00"&amp;VALUE(MID(Sync!$AF338,FIND(":",Sync!$AF338)+1,2)),2),"0000"))))</f>
        <v/>
      </c>
    </row>
    <row r="339" spans="1:14" x14ac:dyDescent="0.2">
      <c r="A339" t="str">
        <f>IF(OR(Calc!$E343="",Calc!$E343="نامعتبر",Calc!$G343=""),"",Calc!$G343)</f>
        <v/>
      </c>
      <c r="B339" t="str">
        <f>IF($A339="","",LEFT(Calc!$E343,4)&amp;MID(Calc!$E343,6,2)&amp;RIGHT(Calc!$E343,2)&amp;Calc!$Q343&amp;"|"&amp;"1"&amp;RIGHT("00000"&amp;334,5))</f>
        <v/>
      </c>
      <c r="C339" t="str">
        <f t="shared" si="25"/>
        <v/>
      </c>
      <c r="D339" t="str">
        <f t="shared" si="26"/>
        <v/>
      </c>
      <c r="F339" t="str">
        <f>IF(Sync!$AH339="","",IF(LEFT(UPPER(TRIM(Sync!$AH339)),2)="SL",UPPER(TRIM(Sync!$AH339)),""))</f>
        <v/>
      </c>
      <c r="G339" t="str">
        <f>IF($F339="","",IF(Sync!$AE339="","",IF(ISNUMBER(Sync!$AE339),IF(AND(Sync!$AE339&gt;=10000101,Sync!$AE339&lt;=99991231),INT(Sync!$AE339/10000),""),IFERROR(VALUE(TRIM(LEFT(Sync!$AE339,FIND("/",Sync!$AE339)-1))),""))))</f>
        <v/>
      </c>
      <c r="H339" t="str">
        <f>IF(OR($F339="",$G339=""),"",IF(ISNUMBER(Sync!$AE339),INT(MOD(Sync!$AE339,10000)/100),IFERROR(VALUE(TRIM(LEFT(MID(Sync!$AE339,FIND("/",Sync!$AE339)+1,20),FIND("/",MID(Sync!$AE339,FIND("/",Sync!$AE339)+1,20))-1))),"")))</f>
        <v/>
      </c>
      <c r="I339" t="str">
        <f>IF(OR($F339="",$G339=""),"",IF(ISNUMBER(Sync!$AE339),MOD(Sync!$AE339,100),IFERROR(VALUE(TRIM(MID(MID(Sync!$AE339,FIND("/",Sync!$AE339)+1,20),FIND("/",MID(Sync!$AE339,FIND("/",Sync!$AE339)+1,20))+1,20))),"")))</f>
        <v/>
      </c>
      <c r="J339" t="str">
        <f t="shared" si="27"/>
        <v/>
      </c>
      <c r="K339" t="str">
        <f>IF(OR($F339="",$J339="",$J339="نامعتبر"),"",LEFT($J339,4)&amp;MID($J339,6,2)&amp;RIGHT($J339,2)&amp;$N339&amp;"|"&amp;"2"&amp;RIGHT("00000"&amp;334,5))</f>
        <v/>
      </c>
      <c r="L339" t="str">
        <f t="shared" si="28"/>
        <v/>
      </c>
      <c r="M339" t="str">
        <f t="shared" si="29"/>
        <v/>
      </c>
      <c r="N339" t="str">
        <f>IF($F339="","",IF(Sync!$AF339="","0000",IF(AND(ISNUMBER(Sync!$AF339),Sync!$AF339&gt;=0,Sync!$AF339&lt;1),RIGHT("00"&amp;HOUR(Sync!$AF339),2)&amp;RIGHT("00"&amp;MINUTE(Sync!$AF339),2),IFERROR(RIGHT("00"&amp;VALUE(LEFT(Sync!$AF339,FIND(":",Sync!$AF339)-1)),2)&amp;RIGHT("00"&amp;VALUE(MID(Sync!$AF339,FIND(":",Sync!$AF339)+1,2)),2),"0000"))))</f>
        <v/>
      </c>
    </row>
    <row r="340" spans="1:14" x14ac:dyDescent="0.2">
      <c r="A340" t="str">
        <f>IF(OR(Calc!$E344="",Calc!$E344="نامعتبر",Calc!$G344=""),"",Calc!$G344)</f>
        <v/>
      </c>
      <c r="B340" t="str">
        <f>IF($A340="","",LEFT(Calc!$E344,4)&amp;MID(Calc!$E344,6,2)&amp;RIGHT(Calc!$E344,2)&amp;Calc!$Q344&amp;"|"&amp;"1"&amp;RIGHT("00000"&amp;335,5))</f>
        <v/>
      </c>
      <c r="C340" t="str">
        <f t="shared" si="25"/>
        <v/>
      </c>
      <c r="D340" t="str">
        <f t="shared" si="26"/>
        <v/>
      </c>
      <c r="F340" t="str">
        <f>IF(Sync!$AH340="","",IF(LEFT(UPPER(TRIM(Sync!$AH340)),2)="SL",UPPER(TRIM(Sync!$AH340)),""))</f>
        <v/>
      </c>
      <c r="G340" t="str">
        <f>IF($F340="","",IF(Sync!$AE340="","",IF(ISNUMBER(Sync!$AE340),IF(AND(Sync!$AE340&gt;=10000101,Sync!$AE340&lt;=99991231),INT(Sync!$AE340/10000),""),IFERROR(VALUE(TRIM(LEFT(Sync!$AE340,FIND("/",Sync!$AE340)-1))),""))))</f>
        <v/>
      </c>
      <c r="H340" t="str">
        <f>IF(OR($F340="",$G340=""),"",IF(ISNUMBER(Sync!$AE340),INT(MOD(Sync!$AE340,10000)/100),IFERROR(VALUE(TRIM(LEFT(MID(Sync!$AE340,FIND("/",Sync!$AE340)+1,20),FIND("/",MID(Sync!$AE340,FIND("/",Sync!$AE340)+1,20))-1))),"")))</f>
        <v/>
      </c>
      <c r="I340" t="str">
        <f>IF(OR($F340="",$G340=""),"",IF(ISNUMBER(Sync!$AE340),MOD(Sync!$AE340,100),IFERROR(VALUE(TRIM(MID(MID(Sync!$AE340,FIND("/",Sync!$AE340)+1,20),FIND("/",MID(Sync!$AE340,FIND("/",Sync!$AE340)+1,20))+1,20))),"")))</f>
        <v/>
      </c>
      <c r="J340" t="str">
        <f t="shared" si="27"/>
        <v/>
      </c>
      <c r="K340" t="str">
        <f>IF(OR($F340="",$J340="",$J340="نامعتبر"),"",LEFT($J340,4)&amp;MID($J340,6,2)&amp;RIGHT($J340,2)&amp;$N340&amp;"|"&amp;"2"&amp;RIGHT("00000"&amp;335,5))</f>
        <v/>
      </c>
      <c r="L340" t="str">
        <f t="shared" si="28"/>
        <v/>
      </c>
      <c r="M340" t="str">
        <f t="shared" si="29"/>
        <v/>
      </c>
      <c r="N340" t="str">
        <f>IF($F340="","",IF(Sync!$AF340="","0000",IF(AND(ISNUMBER(Sync!$AF340),Sync!$AF340&gt;=0,Sync!$AF340&lt;1),RIGHT("00"&amp;HOUR(Sync!$AF340),2)&amp;RIGHT("00"&amp;MINUTE(Sync!$AF340),2),IFERROR(RIGHT("00"&amp;VALUE(LEFT(Sync!$AF340,FIND(":",Sync!$AF340)-1)),2)&amp;RIGHT("00"&amp;VALUE(MID(Sync!$AF340,FIND(":",Sync!$AF340)+1,2)),2),"0000"))))</f>
        <v/>
      </c>
    </row>
    <row r="341" spans="1:14" x14ac:dyDescent="0.2">
      <c r="A341" t="str">
        <f>IF(OR(Calc!$E345="",Calc!$E345="نامعتبر",Calc!$G345=""),"",Calc!$G345)</f>
        <v/>
      </c>
      <c r="B341" t="str">
        <f>IF($A341="","",LEFT(Calc!$E345,4)&amp;MID(Calc!$E345,6,2)&amp;RIGHT(Calc!$E345,2)&amp;Calc!$Q345&amp;"|"&amp;"1"&amp;RIGHT("00000"&amp;336,5))</f>
        <v/>
      </c>
      <c r="C341" t="str">
        <f t="shared" si="25"/>
        <v/>
      </c>
      <c r="D341" t="str">
        <f t="shared" si="26"/>
        <v/>
      </c>
      <c r="F341" t="str">
        <f>IF(Sync!$AH341="","",IF(LEFT(UPPER(TRIM(Sync!$AH341)),2)="SL",UPPER(TRIM(Sync!$AH341)),""))</f>
        <v/>
      </c>
      <c r="G341" t="str">
        <f>IF($F341="","",IF(Sync!$AE341="","",IF(ISNUMBER(Sync!$AE341),IF(AND(Sync!$AE341&gt;=10000101,Sync!$AE341&lt;=99991231),INT(Sync!$AE341/10000),""),IFERROR(VALUE(TRIM(LEFT(Sync!$AE341,FIND("/",Sync!$AE341)-1))),""))))</f>
        <v/>
      </c>
      <c r="H341" t="str">
        <f>IF(OR($F341="",$G341=""),"",IF(ISNUMBER(Sync!$AE341),INT(MOD(Sync!$AE341,10000)/100),IFERROR(VALUE(TRIM(LEFT(MID(Sync!$AE341,FIND("/",Sync!$AE341)+1,20),FIND("/",MID(Sync!$AE341,FIND("/",Sync!$AE341)+1,20))-1))),"")))</f>
        <v/>
      </c>
      <c r="I341" t="str">
        <f>IF(OR($F341="",$G341=""),"",IF(ISNUMBER(Sync!$AE341),MOD(Sync!$AE341,100),IFERROR(VALUE(TRIM(MID(MID(Sync!$AE341,FIND("/",Sync!$AE341)+1,20),FIND("/",MID(Sync!$AE341,FIND("/",Sync!$AE341)+1,20))+1,20))),"")))</f>
        <v/>
      </c>
      <c r="J341" t="str">
        <f t="shared" si="27"/>
        <v/>
      </c>
      <c r="K341" t="str">
        <f>IF(OR($F341="",$J341="",$J341="نامعتبر"),"",LEFT($J341,4)&amp;MID($J341,6,2)&amp;RIGHT($J341,2)&amp;$N341&amp;"|"&amp;"2"&amp;RIGHT("00000"&amp;336,5))</f>
        <v/>
      </c>
      <c r="L341" t="str">
        <f t="shared" si="28"/>
        <v/>
      </c>
      <c r="M341" t="str">
        <f t="shared" si="29"/>
        <v/>
      </c>
      <c r="N341" t="str">
        <f>IF($F341="","",IF(Sync!$AF341="","0000",IF(AND(ISNUMBER(Sync!$AF341),Sync!$AF341&gt;=0,Sync!$AF341&lt;1),RIGHT("00"&amp;HOUR(Sync!$AF341),2)&amp;RIGHT("00"&amp;MINUTE(Sync!$AF341),2),IFERROR(RIGHT("00"&amp;VALUE(LEFT(Sync!$AF341,FIND(":",Sync!$AF341)-1)),2)&amp;RIGHT("00"&amp;VALUE(MID(Sync!$AF341,FIND(":",Sync!$AF341)+1,2)),2),"0000"))))</f>
        <v/>
      </c>
    </row>
    <row r="342" spans="1:14" x14ac:dyDescent="0.2">
      <c r="A342" t="str">
        <f>IF(OR(Calc!$E346="",Calc!$E346="نامعتبر",Calc!$G346=""),"",Calc!$G346)</f>
        <v/>
      </c>
      <c r="B342" t="str">
        <f>IF($A342="","",LEFT(Calc!$E346,4)&amp;MID(Calc!$E346,6,2)&amp;RIGHT(Calc!$E346,2)&amp;Calc!$Q346&amp;"|"&amp;"1"&amp;RIGHT("00000"&amp;337,5))</f>
        <v/>
      </c>
      <c r="C342" t="str">
        <f t="shared" si="25"/>
        <v/>
      </c>
      <c r="D342" t="str">
        <f t="shared" si="26"/>
        <v/>
      </c>
      <c r="F342" t="str">
        <f>IF(Sync!$AH342="","",IF(LEFT(UPPER(TRIM(Sync!$AH342)),2)="SL",UPPER(TRIM(Sync!$AH342)),""))</f>
        <v/>
      </c>
      <c r="G342" t="str">
        <f>IF($F342="","",IF(Sync!$AE342="","",IF(ISNUMBER(Sync!$AE342),IF(AND(Sync!$AE342&gt;=10000101,Sync!$AE342&lt;=99991231),INT(Sync!$AE342/10000),""),IFERROR(VALUE(TRIM(LEFT(Sync!$AE342,FIND("/",Sync!$AE342)-1))),""))))</f>
        <v/>
      </c>
      <c r="H342" t="str">
        <f>IF(OR($F342="",$G342=""),"",IF(ISNUMBER(Sync!$AE342),INT(MOD(Sync!$AE342,10000)/100),IFERROR(VALUE(TRIM(LEFT(MID(Sync!$AE342,FIND("/",Sync!$AE342)+1,20),FIND("/",MID(Sync!$AE342,FIND("/",Sync!$AE342)+1,20))-1))),"")))</f>
        <v/>
      </c>
      <c r="I342" t="str">
        <f>IF(OR($F342="",$G342=""),"",IF(ISNUMBER(Sync!$AE342),MOD(Sync!$AE342,100),IFERROR(VALUE(TRIM(MID(MID(Sync!$AE342,FIND("/",Sync!$AE342)+1,20),FIND("/",MID(Sync!$AE342,FIND("/",Sync!$AE342)+1,20))+1,20))),"")))</f>
        <v/>
      </c>
      <c r="J342" t="str">
        <f t="shared" si="27"/>
        <v/>
      </c>
      <c r="K342" t="str">
        <f>IF(OR($F342="",$J342="",$J342="نامعتبر"),"",LEFT($J342,4)&amp;MID($J342,6,2)&amp;RIGHT($J342,2)&amp;$N342&amp;"|"&amp;"2"&amp;RIGHT("00000"&amp;337,5))</f>
        <v/>
      </c>
      <c r="L342" t="str">
        <f t="shared" si="28"/>
        <v/>
      </c>
      <c r="M342" t="str">
        <f t="shared" si="29"/>
        <v/>
      </c>
      <c r="N342" t="str">
        <f>IF($F342="","",IF(Sync!$AF342="","0000",IF(AND(ISNUMBER(Sync!$AF342),Sync!$AF342&gt;=0,Sync!$AF342&lt;1),RIGHT("00"&amp;HOUR(Sync!$AF342),2)&amp;RIGHT("00"&amp;MINUTE(Sync!$AF342),2),IFERROR(RIGHT("00"&amp;VALUE(LEFT(Sync!$AF342,FIND(":",Sync!$AF342)-1)),2)&amp;RIGHT("00"&amp;VALUE(MID(Sync!$AF342,FIND(":",Sync!$AF342)+1,2)),2),"0000"))))</f>
        <v/>
      </c>
    </row>
    <row r="343" spans="1:14" x14ac:dyDescent="0.2">
      <c r="A343" t="str">
        <f>IF(OR(Calc!$E347="",Calc!$E347="نامعتبر",Calc!$G347=""),"",Calc!$G347)</f>
        <v/>
      </c>
      <c r="B343" t="str">
        <f>IF($A343="","",LEFT(Calc!$E347,4)&amp;MID(Calc!$E347,6,2)&amp;RIGHT(Calc!$E347,2)&amp;Calc!$Q347&amp;"|"&amp;"1"&amp;RIGHT("00000"&amp;338,5))</f>
        <v/>
      </c>
      <c r="C343" t="str">
        <f t="shared" si="25"/>
        <v/>
      </c>
      <c r="D343" t="str">
        <f t="shared" si="26"/>
        <v/>
      </c>
      <c r="F343" t="str">
        <f>IF(Sync!$AH343="","",IF(LEFT(UPPER(TRIM(Sync!$AH343)),2)="SL",UPPER(TRIM(Sync!$AH343)),""))</f>
        <v/>
      </c>
      <c r="G343" t="str">
        <f>IF($F343="","",IF(Sync!$AE343="","",IF(ISNUMBER(Sync!$AE343),IF(AND(Sync!$AE343&gt;=10000101,Sync!$AE343&lt;=99991231),INT(Sync!$AE343/10000),""),IFERROR(VALUE(TRIM(LEFT(Sync!$AE343,FIND("/",Sync!$AE343)-1))),""))))</f>
        <v/>
      </c>
      <c r="H343" t="str">
        <f>IF(OR($F343="",$G343=""),"",IF(ISNUMBER(Sync!$AE343),INT(MOD(Sync!$AE343,10000)/100),IFERROR(VALUE(TRIM(LEFT(MID(Sync!$AE343,FIND("/",Sync!$AE343)+1,20),FIND("/",MID(Sync!$AE343,FIND("/",Sync!$AE343)+1,20))-1))),"")))</f>
        <v/>
      </c>
      <c r="I343" t="str">
        <f>IF(OR($F343="",$G343=""),"",IF(ISNUMBER(Sync!$AE343),MOD(Sync!$AE343,100),IFERROR(VALUE(TRIM(MID(MID(Sync!$AE343,FIND("/",Sync!$AE343)+1,20),FIND("/",MID(Sync!$AE343,FIND("/",Sync!$AE343)+1,20))+1,20))),"")))</f>
        <v/>
      </c>
      <c r="J343" t="str">
        <f t="shared" si="27"/>
        <v/>
      </c>
      <c r="K343" t="str">
        <f>IF(OR($F343="",$J343="",$J343="نامعتبر"),"",LEFT($J343,4)&amp;MID($J343,6,2)&amp;RIGHT($J343,2)&amp;$N343&amp;"|"&amp;"2"&amp;RIGHT("00000"&amp;338,5))</f>
        <v/>
      </c>
      <c r="L343" t="str">
        <f t="shared" si="28"/>
        <v/>
      </c>
      <c r="M343" t="str">
        <f t="shared" si="29"/>
        <v/>
      </c>
      <c r="N343" t="str">
        <f>IF($F343="","",IF(Sync!$AF343="","0000",IF(AND(ISNUMBER(Sync!$AF343),Sync!$AF343&gt;=0,Sync!$AF343&lt;1),RIGHT("00"&amp;HOUR(Sync!$AF343),2)&amp;RIGHT("00"&amp;MINUTE(Sync!$AF343),2),IFERROR(RIGHT("00"&amp;VALUE(LEFT(Sync!$AF343,FIND(":",Sync!$AF343)-1)),2)&amp;RIGHT("00"&amp;VALUE(MID(Sync!$AF343,FIND(":",Sync!$AF343)+1,2)),2),"0000"))))</f>
        <v/>
      </c>
    </row>
    <row r="344" spans="1:14" x14ac:dyDescent="0.2">
      <c r="A344" t="str">
        <f>IF(OR(Calc!$E348="",Calc!$E348="نامعتبر",Calc!$G348=""),"",Calc!$G348)</f>
        <v/>
      </c>
      <c r="B344" t="str">
        <f>IF($A344="","",LEFT(Calc!$E348,4)&amp;MID(Calc!$E348,6,2)&amp;RIGHT(Calc!$E348,2)&amp;Calc!$Q348&amp;"|"&amp;"1"&amp;RIGHT("00000"&amp;339,5))</f>
        <v/>
      </c>
      <c r="C344" t="str">
        <f t="shared" si="25"/>
        <v/>
      </c>
      <c r="D344" t="str">
        <f t="shared" si="26"/>
        <v/>
      </c>
      <c r="F344" t="str">
        <f>IF(Sync!$AH344="","",IF(LEFT(UPPER(TRIM(Sync!$AH344)),2)="SL",UPPER(TRIM(Sync!$AH344)),""))</f>
        <v/>
      </c>
      <c r="G344" t="str">
        <f>IF($F344="","",IF(Sync!$AE344="","",IF(ISNUMBER(Sync!$AE344),IF(AND(Sync!$AE344&gt;=10000101,Sync!$AE344&lt;=99991231),INT(Sync!$AE344/10000),""),IFERROR(VALUE(TRIM(LEFT(Sync!$AE344,FIND("/",Sync!$AE344)-1))),""))))</f>
        <v/>
      </c>
      <c r="H344" t="str">
        <f>IF(OR($F344="",$G344=""),"",IF(ISNUMBER(Sync!$AE344),INT(MOD(Sync!$AE344,10000)/100),IFERROR(VALUE(TRIM(LEFT(MID(Sync!$AE344,FIND("/",Sync!$AE344)+1,20),FIND("/",MID(Sync!$AE344,FIND("/",Sync!$AE344)+1,20))-1))),"")))</f>
        <v/>
      </c>
      <c r="I344" t="str">
        <f>IF(OR($F344="",$G344=""),"",IF(ISNUMBER(Sync!$AE344),MOD(Sync!$AE344,100),IFERROR(VALUE(TRIM(MID(MID(Sync!$AE344,FIND("/",Sync!$AE344)+1,20),FIND("/",MID(Sync!$AE344,FIND("/",Sync!$AE344)+1,20))+1,20))),"")))</f>
        <v/>
      </c>
      <c r="J344" t="str">
        <f t="shared" si="27"/>
        <v/>
      </c>
      <c r="K344" t="str">
        <f>IF(OR($F344="",$J344="",$J344="نامعتبر"),"",LEFT($J344,4)&amp;MID($J344,6,2)&amp;RIGHT($J344,2)&amp;$N344&amp;"|"&amp;"2"&amp;RIGHT("00000"&amp;339,5))</f>
        <v/>
      </c>
      <c r="L344" t="str">
        <f t="shared" si="28"/>
        <v/>
      </c>
      <c r="M344" t="str">
        <f t="shared" si="29"/>
        <v/>
      </c>
      <c r="N344" t="str">
        <f>IF($F344="","",IF(Sync!$AF344="","0000",IF(AND(ISNUMBER(Sync!$AF344),Sync!$AF344&gt;=0,Sync!$AF344&lt;1),RIGHT("00"&amp;HOUR(Sync!$AF344),2)&amp;RIGHT("00"&amp;MINUTE(Sync!$AF344),2),IFERROR(RIGHT("00"&amp;VALUE(LEFT(Sync!$AF344,FIND(":",Sync!$AF344)-1)),2)&amp;RIGHT("00"&amp;VALUE(MID(Sync!$AF344,FIND(":",Sync!$AF344)+1,2)),2),"0000"))))</f>
        <v/>
      </c>
    </row>
    <row r="345" spans="1:14" x14ac:dyDescent="0.2">
      <c r="A345" t="str">
        <f>IF(OR(Calc!$E349="",Calc!$E349="نامعتبر",Calc!$G349=""),"",Calc!$G349)</f>
        <v/>
      </c>
      <c r="B345" t="str">
        <f>IF($A345="","",LEFT(Calc!$E349,4)&amp;MID(Calc!$E349,6,2)&amp;RIGHT(Calc!$E349,2)&amp;Calc!$Q349&amp;"|"&amp;"1"&amp;RIGHT("00000"&amp;340,5))</f>
        <v/>
      </c>
      <c r="C345" t="str">
        <f t="shared" si="25"/>
        <v/>
      </c>
      <c r="D345" t="str">
        <f t="shared" si="26"/>
        <v/>
      </c>
      <c r="F345" t="str">
        <f>IF(Sync!$AH345="","",IF(LEFT(UPPER(TRIM(Sync!$AH345)),2)="SL",UPPER(TRIM(Sync!$AH345)),""))</f>
        <v/>
      </c>
      <c r="G345" t="str">
        <f>IF($F345="","",IF(Sync!$AE345="","",IF(ISNUMBER(Sync!$AE345),IF(AND(Sync!$AE345&gt;=10000101,Sync!$AE345&lt;=99991231),INT(Sync!$AE345/10000),""),IFERROR(VALUE(TRIM(LEFT(Sync!$AE345,FIND("/",Sync!$AE345)-1))),""))))</f>
        <v/>
      </c>
      <c r="H345" t="str">
        <f>IF(OR($F345="",$G345=""),"",IF(ISNUMBER(Sync!$AE345),INT(MOD(Sync!$AE345,10000)/100),IFERROR(VALUE(TRIM(LEFT(MID(Sync!$AE345,FIND("/",Sync!$AE345)+1,20),FIND("/",MID(Sync!$AE345,FIND("/",Sync!$AE345)+1,20))-1))),"")))</f>
        <v/>
      </c>
      <c r="I345" t="str">
        <f>IF(OR($F345="",$G345=""),"",IF(ISNUMBER(Sync!$AE345),MOD(Sync!$AE345,100),IFERROR(VALUE(TRIM(MID(MID(Sync!$AE345,FIND("/",Sync!$AE345)+1,20),FIND("/",MID(Sync!$AE345,FIND("/",Sync!$AE345)+1,20))+1,20))),"")))</f>
        <v/>
      </c>
      <c r="J345" t="str">
        <f t="shared" si="27"/>
        <v/>
      </c>
      <c r="K345" t="str">
        <f>IF(OR($F345="",$J345="",$J345="نامعتبر"),"",LEFT($J345,4)&amp;MID($J345,6,2)&amp;RIGHT($J345,2)&amp;$N345&amp;"|"&amp;"2"&amp;RIGHT("00000"&amp;340,5))</f>
        <v/>
      </c>
      <c r="L345" t="str">
        <f t="shared" si="28"/>
        <v/>
      </c>
      <c r="M345" t="str">
        <f t="shared" si="29"/>
        <v/>
      </c>
      <c r="N345" t="str">
        <f>IF($F345="","",IF(Sync!$AF345="","0000",IF(AND(ISNUMBER(Sync!$AF345),Sync!$AF345&gt;=0,Sync!$AF345&lt;1),RIGHT("00"&amp;HOUR(Sync!$AF345),2)&amp;RIGHT("00"&amp;MINUTE(Sync!$AF345),2),IFERROR(RIGHT("00"&amp;VALUE(LEFT(Sync!$AF345,FIND(":",Sync!$AF345)-1)),2)&amp;RIGHT("00"&amp;VALUE(MID(Sync!$AF345,FIND(":",Sync!$AF345)+1,2)),2),"0000"))))</f>
        <v/>
      </c>
    </row>
    <row r="346" spans="1:14" x14ac:dyDescent="0.2">
      <c r="A346" t="str">
        <f>IF(OR(Calc!$E350="",Calc!$E350="نامعتبر",Calc!$G350=""),"",Calc!$G350)</f>
        <v/>
      </c>
      <c r="B346" t="str">
        <f>IF($A346="","",LEFT(Calc!$E350,4)&amp;MID(Calc!$E350,6,2)&amp;RIGHT(Calc!$E350,2)&amp;Calc!$Q350&amp;"|"&amp;"1"&amp;RIGHT("00000"&amp;341,5))</f>
        <v/>
      </c>
      <c r="C346" t="str">
        <f t="shared" si="25"/>
        <v/>
      </c>
      <c r="D346" t="str">
        <f t="shared" si="26"/>
        <v/>
      </c>
      <c r="F346" t="str">
        <f>IF(Sync!$AH346="","",IF(LEFT(UPPER(TRIM(Sync!$AH346)),2)="SL",UPPER(TRIM(Sync!$AH346)),""))</f>
        <v/>
      </c>
      <c r="G346" t="str">
        <f>IF($F346="","",IF(Sync!$AE346="","",IF(ISNUMBER(Sync!$AE346),IF(AND(Sync!$AE346&gt;=10000101,Sync!$AE346&lt;=99991231),INT(Sync!$AE346/10000),""),IFERROR(VALUE(TRIM(LEFT(Sync!$AE346,FIND("/",Sync!$AE346)-1))),""))))</f>
        <v/>
      </c>
      <c r="H346" t="str">
        <f>IF(OR($F346="",$G346=""),"",IF(ISNUMBER(Sync!$AE346),INT(MOD(Sync!$AE346,10000)/100),IFERROR(VALUE(TRIM(LEFT(MID(Sync!$AE346,FIND("/",Sync!$AE346)+1,20),FIND("/",MID(Sync!$AE346,FIND("/",Sync!$AE346)+1,20))-1))),"")))</f>
        <v/>
      </c>
      <c r="I346" t="str">
        <f>IF(OR($F346="",$G346=""),"",IF(ISNUMBER(Sync!$AE346),MOD(Sync!$AE346,100),IFERROR(VALUE(TRIM(MID(MID(Sync!$AE346,FIND("/",Sync!$AE346)+1,20),FIND("/",MID(Sync!$AE346,FIND("/",Sync!$AE346)+1,20))+1,20))),"")))</f>
        <v/>
      </c>
      <c r="J346" t="str">
        <f t="shared" si="27"/>
        <v/>
      </c>
      <c r="K346" t="str">
        <f>IF(OR($F346="",$J346="",$J346="نامعتبر"),"",LEFT($J346,4)&amp;MID($J346,6,2)&amp;RIGHT($J346,2)&amp;$N346&amp;"|"&amp;"2"&amp;RIGHT("00000"&amp;341,5))</f>
        <v/>
      </c>
      <c r="L346" t="str">
        <f t="shared" si="28"/>
        <v/>
      </c>
      <c r="M346" t="str">
        <f t="shared" si="29"/>
        <v/>
      </c>
      <c r="N346" t="str">
        <f>IF($F346="","",IF(Sync!$AF346="","0000",IF(AND(ISNUMBER(Sync!$AF346),Sync!$AF346&gt;=0,Sync!$AF346&lt;1),RIGHT("00"&amp;HOUR(Sync!$AF346),2)&amp;RIGHT("00"&amp;MINUTE(Sync!$AF346),2),IFERROR(RIGHT("00"&amp;VALUE(LEFT(Sync!$AF346,FIND(":",Sync!$AF346)-1)),2)&amp;RIGHT("00"&amp;VALUE(MID(Sync!$AF346,FIND(":",Sync!$AF346)+1,2)),2),"0000"))))</f>
        <v/>
      </c>
    </row>
    <row r="347" spans="1:14" x14ac:dyDescent="0.2">
      <c r="A347" t="str">
        <f>IF(OR(Calc!$E351="",Calc!$E351="نامعتبر",Calc!$G351=""),"",Calc!$G351)</f>
        <v/>
      </c>
      <c r="B347" t="str">
        <f>IF($A347="","",LEFT(Calc!$E351,4)&amp;MID(Calc!$E351,6,2)&amp;RIGHT(Calc!$E351,2)&amp;Calc!$Q351&amp;"|"&amp;"1"&amp;RIGHT("00000"&amp;342,5))</f>
        <v/>
      </c>
      <c r="C347" t="str">
        <f t="shared" si="25"/>
        <v/>
      </c>
      <c r="D347" t="str">
        <f t="shared" si="26"/>
        <v/>
      </c>
      <c r="F347" t="str">
        <f>IF(Sync!$AH347="","",IF(LEFT(UPPER(TRIM(Sync!$AH347)),2)="SL",UPPER(TRIM(Sync!$AH347)),""))</f>
        <v/>
      </c>
      <c r="G347" t="str">
        <f>IF($F347="","",IF(Sync!$AE347="","",IF(ISNUMBER(Sync!$AE347),IF(AND(Sync!$AE347&gt;=10000101,Sync!$AE347&lt;=99991231),INT(Sync!$AE347/10000),""),IFERROR(VALUE(TRIM(LEFT(Sync!$AE347,FIND("/",Sync!$AE347)-1))),""))))</f>
        <v/>
      </c>
      <c r="H347" t="str">
        <f>IF(OR($F347="",$G347=""),"",IF(ISNUMBER(Sync!$AE347),INT(MOD(Sync!$AE347,10000)/100),IFERROR(VALUE(TRIM(LEFT(MID(Sync!$AE347,FIND("/",Sync!$AE347)+1,20),FIND("/",MID(Sync!$AE347,FIND("/",Sync!$AE347)+1,20))-1))),"")))</f>
        <v/>
      </c>
      <c r="I347" t="str">
        <f>IF(OR($F347="",$G347=""),"",IF(ISNUMBER(Sync!$AE347),MOD(Sync!$AE347,100),IFERROR(VALUE(TRIM(MID(MID(Sync!$AE347,FIND("/",Sync!$AE347)+1,20),FIND("/",MID(Sync!$AE347,FIND("/",Sync!$AE347)+1,20))+1,20))),"")))</f>
        <v/>
      </c>
      <c r="J347" t="str">
        <f t="shared" si="27"/>
        <v/>
      </c>
      <c r="K347" t="str">
        <f>IF(OR($F347="",$J347="",$J347="نامعتبر"),"",LEFT($J347,4)&amp;MID($J347,6,2)&amp;RIGHT($J347,2)&amp;$N347&amp;"|"&amp;"2"&amp;RIGHT("00000"&amp;342,5))</f>
        <v/>
      </c>
      <c r="L347" t="str">
        <f t="shared" si="28"/>
        <v/>
      </c>
      <c r="M347" t="str">
        <f t="shared" si="29"/>
        <v/>
      </c>
      <c r="N347" t="str">
        <f>IF($F347="","",IF(Sync!$AF347="","0000",IF(AND(ISNUMBER(Sync!$AF347),Sync!$AF347&gt;=0,Sync!$AF347&lt;1),RIGHT("00"&amp;HOUR(Sync!$AF347),2)&amp;RIGHT("00"&amp;MINUTE(Sync!$AF347),2),IFERROR(RIGHT("00"&amp;VALUE(LEFT(Sync!$AF347,FIND(":",Sync!$AF347)-1)),2)&amp;RIGHT("00"&amp;VALUE(MID(Sync!$AF347,FIND(":",Sync!$AF347)+1,2)),2),"0000"))))</f>
        <v/>
      </c>
    </row>
    <row r="348" spans="1:14" x14ac:dyDescent="0.2">
      <c r="A348" t="str">
        <f>IF(OR(Calc!$E352="",Calc!$E352="نامعتبر",Calc!$G352=""),"",Calc!$G352)</f>
        <v/>
      </c>
      <c r="B348" t="str">
        <f>IF($A348="","",LEFT(Calc!$E352,4)&amp;MID(Calc!$E352,6,2)&amp;RIGHT(Calc!$E352,2)&amp;Calc!$Q352&amp;"|"&amp;"1"&amp;RIGHT("00000"&amp;343,5))</f>
        <v/>
      </c>
      <c r="C348" t="str">
        <f t="shared" si="25"/>
        <v/>
      </c>
      <c r="D348" t="str">
        <f t="shared" si="26"/>
        <v/>
      </c>
      <c r="F348" t="str">
        <f>IF(Sync!$AH348="","",IF(LEFT(UPPER(TRIM(Sync!$AH348)),2)="SL",UPPER(TRIM(Sync!$AH348)),""))</f>
        <v/>
      </c>
      <c r="G348" t="str">
        <f>IF($F348="","",IF(Sync!$AE348="","",IF(ISNUMBER(Sync!$AE348),IF(AND(Sync!$AE348&gt;=10000101,Sync!$AE348&lt;=99991231),INT(Sync!$AE348/10000),""),IFERROR(VALUE(TRIM(LEFT(Sync!$AE348,FIND("/",Sync!$AE348)-1))),""))))</f>
        <v/>
      </c>
      <c r="H348" t="str">
        <f>IF(OR($F348="",$G348=""),"",IF(ISNUMBER(Sync!$AE348),INT(MOD(Sync!$AE348,10000)/100),IFERROR(VALUE(TRIM(LEFT(MID(Sync!$AE348,FIND("/",Sync!$AE348)+1,20),FIND("/",MID(Sync!$AE348,FIND("/",Sync!$AE348)+1,20))-1))),"")))</f>
        <v/>
      </c>
      <c r="I348" t="str">
        <f>IF(OR($F348="",$G348=""),"",IF(ISNUMBER(Sync!$AE348),MOD(Sync!$AE348,100),IFERROR(VALUE(TRIM(MID(MID(Sync!$AE348,FIND("/",Sync!$AE348)+1,20),FIND("/",MID(Sync!$AE348,FIND("/",Sync!$AE348)+1,20))+1,20))),"")))</f>
        <v/>
      </c>
      <c r="J348" t="str">
        <f t="shared" si="27"/>
        <v/>
      </c>
      <c r="K348" t="str">
        <f>IF(OR($F348="",$J348="",$J348="نامعتبر"),"",LEFT($J348,4)&amp;MID($J348,6,2)&amp;RIGHT($J348,2)&amp;$N348&amp;"|"&amp;"2"&amp;RIGHT("00000"&amp;343,5))</f>
        <v/>
      </c>
      <c r="L348" t="str">
        <f t="shared" si="28"/>
        <v/>
      </c>
      <c r="M348" t="str">
        <f t="shared" si="29"/>
        <v/>
      </c>
      <c r="N348" t="str">
        <f>IF($F348="","",IF(Sync!$AF348="","0000",IF(AND(ISNUMBER(Sync!$AF348),Sync!$AF348&gt;=0,Sync!$AF348&lt;1),RIGHT("00"&amp;HOUR(Sync!$AF348),2)&amp;RIGHT("00"&amp;MINUTE(Sync!$AF348),2),IFERROR(RIGHT("00"&amp;VALUE(LEFT(Sync!$AF348,FIND(":",Sync!$AF348)-1)),2)&amp;RIGHT("00"&amp;VALUE(MID(Sync!$AF348,FIND(":",Sync!$AF348)+1,2)),2),"0000"))))</f>
        <v/>
      </c>
    </row>
    <row r="349" spans="1:14" x14ac:dyDescent="0.2">
      <c r="A349" t="str">
        <f>IF(OR(Calc!$E353="",Calc!$E353="نامعتبر",Calc!$G353=""),"",Calc!$G353)</f>
        <v/>
      </c>
      <c r="B349" t="str">
        <f>IF($A349="","",LEFT(Calc!$E353,4)&amp;MID(Calc!$E353,6,2)&amp;RIGHT(Calc!$E353,2)&amp;Calc!$Q353&amp;"|"&amp;"1"&amp;RIGHT("00000"&amp;344,5))</f>
        <v/>
      </c>
      <c r="C349" t="str">
        <f t="shared" si="25"/>
        <v/>
      </c>
      <c r="D349" t="str">
        <f t="shared" si="26"/>
        <v/>
      </c>
      <c r="F349" t="str">
        <f>IF(Sync!$AH349="","",IF(LEFT(UPPER(TRIM(Sync!$AH349)),2)="SL",UPPER(TRIM(Sync!$AH349)),""))</f>
        <v/>
      </c>
      <c r="G349" t="str">
        <f>IF($F349="","",IF(Sync!$AE349="","",IF(ISNUMBER(Sync!$AE349),IF(AND(Sync!$AE349&gt;=10000101,Sync!$AE349&lt;=99991231),INT(Sync!$AE349/10000),""),IFERROR(VALUE(TRIM(LEFT(Sync!$AE349,FIND("/",Sync!$AE349)-1))),""))))</f>
        <v/>
      </c>
      <c r="H349" t="str">
        <f>IF(OR($F349="",$G349=""),"",IF(ISNUMBER(Sync!$AE349),INT(MOD(Sync!$AE349,10000)/100),IFERROR(VALUE(TRIM(LEFT(MID(Sync!$AE349,FIND("/",Sync!$AE349)+1,20),FIND("/",MID(Sync!$AE349,FIND("/",Sync!$AE349)+1,20))-1))),"")))</f>
        <v/>
      </c>
      <c r="I349" t="str">
        <f>IF(OR($F349="",$G349=""),"",IF(ISNUMBER(Sync!$AE349),MOD(Sync!$AE349,100),IFERROR(VALUE(TRIM(MID(MID(Sync!$AE349,FIND("/",Sync!$AE349)+1,20),FIND("/",MID(Sync!$AE349,FIND("/",Sync!$AE349)+1,20))+1,20))),"")))</f>
        <v/>
      </c>
      <c r="J349" t="str">
        <f t="shared" si="27"/>
        <v/>
      </c>
      <c r="K349" t="str">
        <f>IF(OR($F349="",$J349="",$J349="نامعتبر"),"",LEFT($J349,4)&amp;MID($J349,6,2)&amp;RIGHT($J349,2)&amp;$N349&amp;"|"&amp;"2"&amp;RIGHT("00000"&amp;344,5))</f>
        <v/>
      </c>
      <c r="L349" t="str">
        <f t="shared" si="28"/>
        <v/>
      </c>
      <c r="M349" t="str">
        <f t="shared" si="29"/>
        <v/>
      </c>
      <c r="N349" t="str">
        <f>IF($F349="","",IF(Sync!$AF349="","0000",IF(AND(ISNUMBER(Sync!$AF349),Sync!$AF349&gt;=0,Sync!$AF349&lt;1),RIGHT("00"&amp;HOUR(Sync!$AF349),2)&amp;RIGHT("00"&amp;MINUTE(Sync!$AF349),2),IFERROR(RIGHT("00"&amp;VALUE(LEFT(Sync!$AF349,FIND(":",Sync!$AF349)-1)),2)&amp;RIGHT("00"&amp;VALUE(MID(Sync!$AF349,FIND(":",Sync!$AF349)+1,2)),2),"0000"))))</f>
        <v/>
      </c>
    </row>
    <row r="350" spans="1:14" x14ac:dyDescent="0.2">
      <c r="A350" t="str">
        <f>IF(OR(Calc!$E354="",Calc!$E354="نامعتبر",Calc!$G354=""),"",Calc!$G354)</f>
        <v/>
      </c>
      <c r="B350" t="str">
        <f>IF($A350="","",LEFT(Calc!$E354,4)&amp;MID(Calc!$E354,6,2)&amp;RIGHT(Calc!$E354,2)&amp;Calc!$Q354&amp;"|"&amp;"1"&amp;RIGHT("00000"&amp;345,5))</f>
        <v/>
      </c>
      <c r="C350" t="str">
        <f t="shared" si="25"/>
        <v/>
      </c>
      <c r="D350" t="str">
        <f t="shared" si="26"/>
        <v/>
      </c>
      <c r="F350" t="str">
        <f>IF(Sync!$AH350="","",IF(LEFT(UPPER(TRIM(Sync!$AH350)),2)="SL",UPPER(TRIM(Sync!$AH350)),""))</f>
        <v/>
      </c>
      <c r="G350" t="str">
        <f>IF($F350="","",IF(Sync!$AE350="","",IF(ISNUMBER(Sync!$AE350),IF(AND(Sync!$AE350&gt;=10000101,Sync!$AE350&lt;=99991231),INT(Sync!$AE350/10000),""),IFERROR(VALUE(TRIM(LEFT(Sync!$AE350,FIND("/",Sync!$AE350)-1))),""))))</f>
        <v/>
      </c>
      <c r="H350" t="str">
        <f>IF(OR($F350="",$G350=""),"",IF(ISNUMBER(Sync!$AE350),INT(MOD(Sync!$AE350,10000)/100),IFERROR(VALUE(TRIM(LEFT(MID(Sync!$AE350,FIND("/",Sync!$AE350)+1,20),FIND("/",MID(Sync!$AE350,FIND("/",Sync!$AE350)+1,20))-1))),"")))</f>
        <v/>
      </c>
      <c r="I350" t="str">
        <f>IF(OR($F350="",$G350=""),"",IF(ISNUMBER(Sync!$AE350),MOD(Sync!$AE350,100),IFERROR(VALUE(TRIM(MID(MID(Sync!$AE350,FIND("/",Sync!$AE350)+1,20),FIND("/",MID(Sync!$AE350,FIND("/",Sync!$AE350)+1,20))+1,20))),"")))</f>
        <v/>
      </c>
      <c r="J350" t="str">
        <f t="shared" si="27"/>
        <v/>
      </c>
      <c r="K350" t="str">
        <f>IF(OR($F350="",$J350="",$J350="نامعتبر"),"",LEFT($J350,4)&amp;MID($J350,6,2)&amp;RIGHT($J350,2)&amp;$N350&amp;"|"&amp;"2"&amp;RIGHT("00000"&amp;345,5))</f>
        <v/>
      </c>
      <c r="L350" t="str">
        <f t="shared" si="28"/>
        <v/>
      </c>
      <c r="M350" t="str">
        <f t="shared" si="29"/>
        <v/>
      </c>
      <c r="N350" t="str">
        <f>IF($F350="","",IF(Sync!$AF350="","0000",IF(AND(ISNUMBER(Sync!$AF350),Sync!$AF350&gt;=0,Sync!$AF350&lt;1),RIGHT("00"&amp;HOUR(Sync!$AF350),2)&amp;RIGHT("00"&amp;MINUTE(Sync!$AF350),2),IFERROR(RIGHT("00"&amp;VALUE(LEFT(Sync!$AF350,FIND(":",Sync!$AF350)-1)),2)&amp;RIGHT("00"&amp;VALUE(MID(Sync!$AF350,FIND(":",Sync!$AF350)+1,2)),2),"0000"))))</f>
        <v/>
      </c>
    </row>
    <row r="351" spans="1:14" x14ac:dyDescent="0.2">
      <c r="A351" t="str">
        <f>IF(OR(Calc!$E355="",Calc!$E355="نامعتبر",Calc!$G355=""),"",Calc!$G355)</f>
        <v/>
      </c>
      <c r="B351" t="str">
        <f>IF($A351="","",LEFT(Calc!$E355,4)&amp;MID(Calc!$E355,6,2)&amp;RIGHT(Calc!$E355,2)&amp;Calc!$Q355&amp;"|"&amp;"1"&amp;RIGHT("00000"&amp;346,5))</f>
        <v/>
      </c>
      <c r="C351" t="str">
        <f t="shared" si="25"/>
        <v/>
      </c>
      <c r="D351" t="str">
        <f t="shared" si="26"/>
        <v/>
      </c>
      <c r="F351" t="str">
        <f>IF(Sync!$AH351="","",IF(LEFT(UPPER(TRIM(Sync!$AH351)),2)="SL",UPPER(TRIM(Sync!$AH351)),""))</f>
        <v/>
      </c>
      <c r="G351" t="str">
        <f>IF($F351="","",IF(Sync!$AE351="","",IF(ISNUMBER(Sync!$AE351),IF(AND(Sync!$AE351&gt;=10000101,Sync!$AE351&lt;=99991231),INT(Sync!$AE351/10000),""),IFERROR(VALUE(TRIM(LEFT(Sync!$AE351,FIND("/",Sync!$AE351)-1))),""))))</f>
        <v/>
      </c>
      <c r="H351" t="str">
        <f>IF(OR($F351="",$G351=""),"",IF(ISNUMBER(Sync!$AE351),INT(MOD(Sync!$AE351,10000)/100),IFERROR(VALUE(TRIM(LEFT(MID(Sync!$AE351,FIND("/",Sync!$AE351)+1,20),FIND("/",MID(Sync!$AE351,FIND("/",Sync!$AE351)+1,20))-1))),"")))</f>
        <v/>
      </c>
      <c r="I351" t="str">
        <f>IF(OR($F351="",$G351=""),"",IF(ISNUMBER(Sync!$AE351),MOD(Sync!$AE351,100),IFERROR(VALUE(TRIM(MID(MID(Sync!$AE351,FIND("/",Sync!$AE351)+1,20),FIND("/",MID(Sync!$AE351,FIND("/",Sync!$AE351)+1,20))+1,20))),"")))</f>
        <v/>
      </c>
      <c r="J351" t="str">
        <f t="shared" si="27"/>
        <v/>
      </c>
      <c r="K351" t="str">
        <f>IF(OR($F351="",$J351="",$J351="نامعتبر"),"",LEFT($J351,4)&amp;MID($J351,6,2)&amp;RIGHT($J351,2)&amp;$N351&amp;"|"&amp;"2"&amp;RIGHT("00000"&amp;346,5))</f>
        <v/>
      </c>
      <c r="L351" t="str">
        <f t="shared" si="28"/>
        <v/>
      </c>
      <c r="M351" t="str">
        <f t="shared" si="29"/>
        <v/>
      </c>
      <c r="N351" t="str">
        <f>IF($F351="","",IF(Sync!$AF351="","0000",IF(AND(ISNUMBER(Sync!$AF351),Sync!$AF351&gt;=0,Sync!$AF351&lt;1),RIGHT("00"&amp;HOUR(Sync!$AF351),2)&amp;RIGHT("00"&amp;MINUTE(Sync!$AF351),2),IFERROR(RIGHT("00"&amp;VALUE(LEFT(Sync!$AF351,FIND(":",Sync!$AF351)-1)),2)&amp;RIGHT("00"&amp;VALUE(MID(Sync!$AF351,FIND(":",Sync!$AF351)+1,2)),2),"0000"))))</f>
        <v/>
      </c>
    </row>
    <row r="352" spans="1:14" x14ac:dyDescent="0.2">
      <c r="A352" t="str">
        <f>IF(OR(Calc!$E356="",Calc!$E356="نامعتبر",Calc!$G356=""),"",Calc!$G356)</f>
        <v/>
      </c>
      <c r="B352" t="str">
        <f>IF($A352="","",LEFT(Calc!$E356,4)&amp;MID(Calc!$E356,6,2)&amp;RIGHT(Calc!$E356,2)&amp;Calc!$Q356&amp;"|"&amp;"1"&amp;RIGHT("00000"&amp;347,5))</f>
        <v/>
      </c>
      <c r="C352" t="str">
        <f t="shared" si="25"/>
        <v/>
      </c>
      <c r="D352" t="str">
        <f t="shared" si="26"/>
        <v/>
      </c>
      <c r="F352" t="str">
        <f>IF(Sync!$AH352="","",IF(LEFT(UPPER(TRIM(Sync!$AH352)),2)="SL",UPPER(TRIM(Sync!$AH352)),""))</f>
        <v/>
      </c>
      <c r="G352" t="str">
        <f>IF($F352="","",IF(Sync!$AE352="","",IF(ISNUMBER(Sync!$AE352),IF(AND(Sync!$AE352&gt;=10000101,Sync!$AE352&lt;=99991231),INT(Sync!$AE352/10000),""),IFERROR(VALUE(TRIM(LEFT(Sync!$AE352,FIND("/",Sync!$AE352)-1))),""))))</f>
        <v/>
      </c>
      <c r="H352" t="str">
        <f>IF(OR($F352="",$G352=""),"",IF(ISNUMBER(Sync!$AE352),INT(MOD(Sync!$AE352,10000)/100),IFERROR(VALUE(TRIM(LEFT(MID(Sync!$AE352,FIND("/",Sync!$AE352)+1,20),FIND("/",MID(Sync!$AE352,FIND("/",Sync!$AE352)+1,20))-1))),"")))</f>
        <v/>
      </c>
      <c r="I352" t="str">
        <f>IF(OR($F352="",$G352=""),"",IF(ISNUMBER(Sync!$AE352),MOD(Sync!$AE352,100),IFERROR(VALUE(TRIM(MID(MID(Sync!$AE352,FIND("/",Sync!$AE352)+1,20),FIND("/",MID(Sync!$AE352,FIND("/",Sync!$AE352)+1,20))+1,20))),"")))</f>
        <v/>
      </c>
      <c r="J352" t="str">
        <f t="shared" si="27"/>
        <v/>
      </c>
      <c r="K352" t="str">
        <f>IF(OR($F352="",$J352="",$J352="نامعتبر"),"",LEFT($J352,4)&amp;MID($J352,6,2)&amp;RIGHT($J352,2)&amp;$N352&amp;"|"&amp;"2"&amp;RIGHT("00000"&amp;347,5))</f>
        <v/>
      </c>
      <c r="L352" t="str">
        <f t="shared" si="28"/>
        <v/>
      </c>
      <c r="M352" t="str">
        <f t="shared" si="29"/>
        <v/>
      </c>
      <c r="N352" t="str">
        <f>IF($F352="","",IF(Sync!$AF352="","0000",IF(AND(ISNUMBER(Sync!$AF352),Sync!$AF352&gt;=0,Sync!$AF352&lt;1),RIGHT("00"&amp;HOUR(Sync!$AF352),2)&amp;RIGHT("00"&amp;MINUTE(Sync!$AF352),2),IFERROR(RIGHT("00"&amp;VALUE(LEFT(Sync!$AF352,FIND(":",Sync!$AF352)-1)),2)&amp;RIGHT("00"&amp;VALUE(MID(Sync!$AF352,FIND(":",Sync!$AF352)+1,2)),2),"0000"))))</f>
        <v/>
      </c>
    </row>
    <row r="353" spans="1:14" x14ac:dyDescent="0.2">
      <c r="A353" t="str">
        <f>IF(OR(Calc!$E357="",Calc!$E357="نامعتبر",Calc!$G357=""),"",Calc!$G357)</f>
        <v/>
      </c>
      <c r="B353" t="str">
        <f>IF($A353="","",LEFT(Calc!$E357,4)&amp;MID(Calc!$E357,6,2)&amp;RIGHT(Calc!$E357,2)&amp;Calc!$Q357&amp;"|"&amp;"1"&amp;RIGHT("00000"&amp;348,5))</f>
        <v/>
      </c>
      <c r="C353" t="str">
        <f t="shared" si="25"/>
        <v/>
      </c>
      <c r="D353" t="str">
        <f t="shared" si="26"/>
        <v/>
      </c>
      <c r="F353" t="str">
        <f>IF(Sync!$AH353="","",IF(LEFT(UPPER(TRIM(Sync!$AH353)),2)="SL",UPPER(TRIM(Sync!$AH353)),""))</f>
        <v/>
      </c>
      <c r="G353" t="str">
        <f>IF($F353="","",IF(Sync!$AE353="","",IF(ISNUMBER(Sync!$AE353),IF(AND(Sync!$AE353&gt;=10000101,Sync!$AE353&lt;=99991231),INT(Sync!$AE353/10000),""),IFERROR(VALUE(TRIM(LEFT(Sync!$AE353,FIND("/",Sync!$AE353)-1))),""))))</f>
        <v/>
      </c>
      <c r="H353" t="str">
        <f>IF(OR($F353="",$G353=""),"",IF(ISNUMBER(Sync!$AE353),INT(MOD(Sync!$AE353,10000)/100),IFERROR(VALUE(TRIM(LEFT(MID(Sync!$AE353,FIND("/",Sync!$AE353)+1,20),FIND("/",MID(Sync!$AE353,FIND("/",Sync!$AE353)+1,20))-1))),"")))</f>
        <v/>
      </c>
      <c r="I353" t="str">
        <f>IF(OR($F353="",$G353=""),"",IF(ISNUMBER(Sync!$AE353),MOD(Sync!$AE353,100),IFERROR(VALUE(TRIM(MID(MID(Sync!$AE353,FIND("/",Sync!$AE353)+1,20),FIND("/",MID(Sync!$AE353,FIND("/",Sync!$AE353)+1,20))+1,20))),"")))</f>
        <v/>
      </c>
      <c r="J353" t="str">
        <f t="shared" si="27"/>
        <v/>
      </c>
      <c r="K353" t="str">
        <f>IF(OR($F353="",$J353="",$J353="نامعتبر"),"",LEFT($J353,4)&amp;MID($J353,6,2)&amp;RIGHT($J353,2)&amp;$N353&amp;"|"&amp;"2"&amp;RIGHT("00000"&amp;348,5))</f>
        <v/>
      </c>
      <c r="L353" t="str">
        <f t="shared" si="28"/>
        <v/>
      </c>
      <c r="M353" t="str">
        <f t="shared" si="29"/>
        <v/>
      </c>
      <c r="N353" t="str">
        <f>IF($F353="","",IF(Sync!$AF353="","0000",IF(AND(ISNUMBER(Sync!$AF353),Sync!$AF353&gt;=0,Sync!$AF353&lt;1),RIGHT("00"&amp;HOUR(Sync!$AF353),2)&amp;RIGHT("00"&amp;MINUTE(Sync!$AF353),2),IFERROR(RIGHT("00"&amp;VALUE(LEFT(Sync!$AF353,FIND(":",Sync!$AF353)-1)),2)&amp;RIGHT("00"&amp;VALUE(MID(Sync!$AF353,FIND(":",Sync!$AF353)+1,2)),2),"0000"))))</f>
        <v/>
      </c>
    </row>
    <row r="354" spans="1:14" x14ac:dyDescent="0.2">
      <c r="A354" t="str">
        <f>IF(OR(Calc!$E358="",Calc!$E358="نامعتبر",Calc!$G358=""),"",Calc!$G358)</f>
        <v/>
      </c>
      <c r="B354" t="str">
        <f>IF($A354="","",LEFT(Calc!$E358,4)&amp;MID(Calc!$E358,6,2)&amp;RIGHT(Calc!$E358,2)&amp;Calc!$Q358&amp;"|"&amp;"1"&amp;RIGHT("00000"&amp;349,5))</f>
        <v/>
      </c>
      <c r="C354" t="str">
        <f t="shared" si="25"/>
        <v/>
      </c>
      <c r="D354" t="str">
        <f t="shared" si="26"/>
        <v/>
      </c>
      <c r="F354" t="str">
        <f>IF(Sync!$AH354="","",IF(LEFT(UPPER(TRIM(Sync!$AH354)),2)="SL",UPPER(TRIM(Sync!$AH354)),""))</f>
        <v/>
      </c>
      <c r="G354" t="str">
        <f>IF($F354="","",IF(Sync!$AE354="","",IF(ISNUMBER(Sync!$AE354),IF(AND(Sync!$AE354&gt;=10000101,Sync!$AE354&lt;=99991231),INT(Sync!$AE354/10000),""),IFERROR(VALUE(TRIM(LEFT(Sync!$AE354,FIND("/",Sync!$AE354)-1))),""))))</f>
        <v/>
      </c>
      <c r="H354" t="str">
        <f>IF(OR($F354="",$G354=""),"",IF(ISNUMBER(Sync!$AE354),INT(MOD(Sync!$AE354,10000)/100),IFERROR(VALUE(TRIM(LEFT(MID(Sync!$AE354,FIND("/",Sync!$AE354)+1,20),FIND("/",MID(Sync!$AE354,FIND("/",Sync!$AE354)+1,20))-1))),"")))</f>
        <v/>
      </c>
      <c r="I354" t="str">
        <f>IF(OR($F354="",$G354=""),"",IF(ISNUMBER(Sync!$AE354),MOD(Sync!$AE354,100),IFERROR(VALUE(TRIM(MID(MID(Sync!$AE354,FIND("/",Sync!$AE354)+1,20),FIND("/",MID(Sync!$AE354,FIND("/",Sync!$AE354)+1,20))+1,20))),"")))</f>
        <v/>
      </c>
      <c r="J354" t="str">
        <f t="shared" si="27"/>
        <v/>
      </c>
      <c r="K354" t="str">
        <f>IF(OR($F354="",$J354="",$J354="نامعتبر"),"",LEFT($J354,4)&amp;MID($J354,6,2)&amp;RIGHT($J354,2)&amp;$N354&amp;"|"&amp;"2"&amp;RIGHT("00000"&amp;349,5))</f>
        <v/>
      </c>
      <c r="L354" t="str">
        <f t="shared" si="28"/>
        <v/>
      </c>
      <c r="M354" t="str">
        <f t="shared" si="29"/>
        <v/>
      </c>
      <c r="N354" t="str">
        <f>IF($F354="","",IF(Sync!$AF354="","0000",IF(AND(ISNUMBER(Sync!$AF354),Sync!$AF354&gt;=0,Sync!$AF354&lt;1),RIGHT("00"&amp;HOUR(Sync!$AF354),2)&amp;RIGHT("00"&amp;MINUTE(Sync!$AF354),2),IFERROR(RIGHT("00"&amp;VALUE(LEFT(Sync!$AF354,FIND(":",Sync!$AF354)-1)),2)&amp;RIGHT("00"&amp;VALUE(MID(Sync!$AF354,FIND(":",Sync!$AF354)+1,2)),2),"0000"))))</f>
        <v/>
      </c>
    </row>
    <row r="355" spans="1:14" x14ac:dyDescent="0.2">
      <c r="A355" t="str">
        <f>IF(OR(Calc!$E359="",Calc!$E359="نامعتبر",Calc!$G359=""),"",Calc!$G359)</f>
        <v/>
      </c>
      <c r="B355" t="str">
        <f>IF($A355="","",LEFT(Calc!$E359,4)&amp;MID(Calc!$E359,6,2)&amp;RIGHT(Calc!$E359,2)&amp;Calc!$Q359&amp;"|"&amp;"1"&amp;RIGHT("00000"&amp;350,5))</f>
        <v/>
      </c>
      <c r="C355" t="str">
        <f t="shared" si="25"/>
        <v/>
      </c>
      <c r="D355" t="str">
        <f t="shared" si="26"/>
        <v/>
      </c>
      <c r="F355" t="str">
        <f>IF(Sync!$AH355="","",IF(LEFT(UPPER(TRIM(Sync!$AH355)),2)="SL",UPPER(TRIM(Sync!$AH355)),""))</f>
        <v/>
      </c>
      <c r="G355" t="str">
        <f>IF($F355="","",IF(Sync!$AE355="","",IF(ISNUMBER(Sync!$AE355),IF(AND(Sync!$AE355&gt;=10000101,Sync!$AE355&lt;=99991231),INT(Sync!$AE355/10000),""),IFERROR(VALUE(TRIM(LEFT(Sync!$AE355,FIND("/",Sync!$AE355)-1))),""))))</f>
        <v/>
      </c>
      <c r="H355" t="str">
        <f>IF(OR($F355="",$G355=""),"",IF(ISNUMBER(Sync!$AE355),INT(MOD(Sync!$AE355,10000)/100),IFERROR(VALUE(TRIM(LEFT(MID(Sync!$AE355,FIND("/",Sync!$AE355)+1,20),FIND("/",MID(Sync!$AE355,FIND("/",Sync!$AE355)+1,20))-1))),"")))</f>
        <v/>
      </c>
      <c r="I355" t="str">
        <f>IF(OR($F355="",$G355=""),"",IF(ISNUMBER(Sync!$AE355),MOD(Sync!$AE355,100),IFERROR(VALUE(TRIM(MID(MID(Sync!$AE355,FIND("/",Sync!$AE355)+1,20),FIND("/",MID(Sync!$AE355,FIND("/",Sync!$AE355)+1,20))+1,20))),"")))</f>
        <v/>
      </c>
      <c r="J355" t="str">
        <f t="shared" si="27"/>
        <v/>
      </c>
      <c r="K355" t="str">
        <f>IF(OR($F355="",$J355="",$J355="نامعتبر"),"",LEFT($J355,4)&amp;MID($J355,6,2)&amp;RIGHT($J355,2)&amp;$N355&amp;"|"&amp;"2"&amp;RIGHT("00000"&amp;350,5))</f>
        <v/>
      </c>
      <c r="L355" t="str">
        <f t="shared" si="28"/>
        <v/>
      </c>
      <c r="M355" t="str">
        <f t="shared" si="29"/>
        <v/>
      </c>
      <c r="N355" t="str">
        <f>IF($F355="","",IF(Sync!$AF355="","0000",IF(AND(ISNUMBER(Sync!$AF355),Sync!$AF355&gt;=0,Sync!$AF355&lt;1),RIGHT("00"&amp;HOUR(Sync!$AF355),2)&amp;RIGHT("00"&amp;MINUTE(Sync!$AF355),2),IFERROR(RIGHT("00"&amp;VALUE(LEFT(Sync!$AF355,FIND(":",Sync!$AF355)-1)),2)&amp;RIGHT("00"&amp;VALUE(MID(Sync!$AF355,FIND(":",Sync!$AF355)+1,2)),2),"0000"))))</f>
        <v/>
      </c>
    </row>
    <row r="356" spans="1:14" x14ac:dyDescent="0.2">
      <c r="A356" t="str">
        <f>IF(OR(Calc!$E360="",Calc!$E360="نامعتبر",Calc!$G360=""),"",Calc!$G360)</f>
        <v/>
      </c>
      <c r="B356" t="str">
        <f>IF($A356="","",LEFT(Calc!$E360,4)&amp;MID(Calc!$E360,6,2)&amp;RIGHT(Calc!$E360,2)&amp;Calc!$Q360&amp;"|"&amp;"1"&amp;RIGHT("00000"&amp;351,5))</f>
        <v/>
      </c>
      <c r="C356" t="str">
        <f t="shared" si="25"/>
        <v/>
      </c>
      <c r="D356" t="str">
        <f t="shared" si="26"/>
        <v/>
      </c>
      <c r="F356" t="str">
        <f>IF(Sync!$AH356="","",IF(LEFT(UPPER(TRIM(Sync!$AH356)),2)="SL",UPPER(TRIM(Sync!$AH356)),""))</f>
        <v/>
      </c>
      <c r="G356" t="str">
        <f>IF($F356="","",IF(Sync!$AE356="","",IF(ISNUMBER(Sync!$AE356),IF(AND(Sync!$AE356&gt;=10000101,Sync!$AE356&lt;=99991231),INT(Sync!$AE356/10000),""),IFERROR(VALUE(TRIM(LEFT(Sync!$AE356,FIND("/",Sync!$AE356)-1))),""))))</f>
        <v/>
      </c>
      <c r="H356" t="str">
        <f>IF(OR($F356="",$G356=""),"",IF(ISNUMBER(Sync!$AE356),INT(MOD(Sync!$AE356,10000)/100),IFERROR(VALUE(TRIM(LEFT(MID(Sync!$AE356,FIND("/",Sync!$AE356)+1,20),FIND("/",MID(Sync!$AE356,FIND("/",Sync!$AE356)+1,20))-1))),"")))</f>
        <v/>
      </c>
      <c r="I356" t="str">
        <f>IF(OR($F356="",$G356=""),"",IF(ISNUMBER(Sync!$AE356),MOD(Sync!$AE356,100),IFERROR(VALUE(TRIM(MID(MID(Sync!$AE356,FIND("/",Sync!$AE356)+1,20),FIND("/",MID(Sync!$AE356,FIND("/",Sync!$AE356)+1,20))+1,20))),"")))</f>
        <v/>
      </c>
      <c r="J356" t="str">
        <f t="shared" si="27"/>
        <v/>
      </c>
      <c r="K356" t="str">
        <f>IF(OR($F356="",$J356="",$J356="نامعتبر"),"",LEFT($J356,4)&amp;MID($J356,6,2)&amp;RIGHT($J356,2)&amp;$N356&amp;"|"&amp;"2"&amp;RIGHT("00000"&amp;351,5))</f>
        <v/>
      </c>
      <c r="L356" t="str">
        <f t="shared" si="28"/>
        <v/>
      </c>
      <c r="M356" t="str">
        <f t="shared" si="29"/>
        <v/>
      </c>
      <c r="N356" t="str">
        <f>IF($F356="","",IF(Sync!$AF356="","0000",IF(AND(ISNUMBER(Sync!$AF356),Sync!$AF356&gt;=0,Sync!$AF356&lt;1),RIGHT("00"&amp;HOUR(Sync!$AF356),2)&amp;RIGHT("00"&amp;MINUTE(Sync!$AF356),2),IFERROR(RIGHT("00"&amp;VALUE(LEFT(Sync!$AF356,FIND(":",Sync!$AF356)-1)),2)&amp;RIGHT("00"&amp;VALUE(MID(Sync!$AF356,FIND(":",Sync!$AF356)+1,2)),2),"0000"))))</f>
        <v/>
      </c>
    </row>
    <row r="357" spans="1:14" x14ac:dyDescent="0.2">
      <c r="A357" t="str">
        <f>IF(OR(Calc!$E361="",Calc!$E361="نامعتبر",Calc!$G361=""),"",Calc!$G361)</f>
        <v/>
      </c>
      <c r="B357" t="str">
        <f>IF($A357="","",LEFT(Calc!$E361,4)&amp;MID(Calc!$E361,6,2)&amp;RIGHT(Calc!$E361,2)&amp;Calc!$Q361&amp;"|"&amp;"1"&amp;RIGHT("00000"&amp;352,5))</f>
        <v/>
      </c>
      <c r="C357" t="str">
        <f t="shared" si="25"/>
        <v/>
      </c>
      <c r="D357" t="str">
        <f t="shared" si="26"/>
        <v/>
      </c>
      <c r="F357" t="str">
        <f>IF(Sync!$AH357="","",IF(LEFT(UPPER(TRIM(Sync!$AH357)),2)="SL",UPPER(TRIM(Sync!$AH357)),""))</f>
        <v/>
      </c>
      <c r="G357" t="str">
        <f>IF($F357="","",IF(Sync!$AE357="","",IF(ISNUMBER(Sync!$AE357),IF(AND(Sync!$AE357&gt;=10000101,Sync!$AE357&lt;=99991231),INT(Sync!$AE357/10000),""),IFERROR(VALUE(TRIM(LEFT(Sync!$AE357,FIND("/",Sync!$AE357)-1))),""))))</f>
        <v/>
      </c>
      <c r="H357" t="str">
        <f>IF(OR($F357="",$G357=""),"",IF(ISNUMBER(Sync!$AE357),INT(MOD(Sync!$AE357,10000)/100),IFERROR(VALUE(TRIM(LEFT(MID(Sync!$AE357,FIND("/",Sync!$AE357)+1,20),FIND("/",MID(Sync!$AE357,FIND("/",Sync!$AE357)+1,20))-1))),"")))</f>
        <v/>
      </c>
      <c r="I357" t="str">
        <f>IF(OR($F357="",$G357=""),"",IF(ISNUMBER(Sync!$AE357),MOD(Sync!$AE357,100),IFERROR(VALUE(TRIM(MID(MID(Sync!$AE357,FIND("/",Sync!$AE357)+1,20),FIND("/",MID(Sync!$AE357,FIND("/",Sync!$AE357)+1,20))+1,20))),"")))</f>
        <v/>
      </c>
      <c r="J357" t="str">
        <f t="shared" si="27"/>
        <v/>
      </c>
      <c r="K357" t="str">
        <f>IF(OR($F357="",$J357="",$J357="نامعتبر"),"",LEFT($J357,4)&amp;MID($J357,6,2)&amp;RIGHT($J357,2)&amp;$N357&amp;"|"&amp;"2"&amp;RIGHT("00000"&amp;352,5))</f>
        <v/>
      </c>
      <c r="L357" t="str">
        <f t="shared" si="28"/>
        <v/>
      </c>
      <c r="M357" t="str">
        <f t="shared" si="29"/>
        <v/>
      </c>
      <c r="N357" t="str">
        <f>IF($F357="","",IF(Sync!$AF357="","0000",IF(AND(ISNUMBER(Sync!$AF357),Sync!$AF357&gt;=0,Sync!$AF357&lt;1),RIGHT("00"&amp;HOUR(Sync!$AF357),2)&amp;RIGHT("00"&amp;MINUTE(Sync!$AF357),2),IFERROR(RIGHT("00"&amp;VALUE(LEFT(Sync!$AF357,FIND(":",Sync!$AF357)-1)),2)&amp;RIGHT("00"&amp;VALUE(MID(Sync!$AF357,FIND(":",Sync!$AF357)+1,2)),2),"0000"))))</f>
        <v/>
      </c>
    </row>
    <row r="358" spans="1:14" x14ac:dyDescent="0.2">
      <c r="A358" t="str">
        <f>IF(OR(Calc!$E362="",Calc!$E362="نامعتبر",Calc!$G362=""),"",Calc!$G362)</f>
        <v/>
      </c>
      <c r="B358" t="str">
        <f>IF($A358="","",LEFT(Calc!$E362,4)&amp;MID(Calc!$E362,6,2)&amp;RIGHT(Calc!$E362,2)&amp;Calc!$Q362&amp;"|"&amp;"1"&amp;RIGHT("00000"&amp;353,5))</f>
        <v/>
      </c>
      <c r="C358" t="str">
        <f t="shared" si="25"/>
        <v/>
      </c>
      <c r="D358" t="str">
        <f t="shared" si="26"/>
        <v/>
      </c>
      <c r="F358" t="str">
        <f>IF(Sync!$AH358="","",IF(LEFT(UPPER(TRIM(Sync!$AH358)),2)="SL",UPPER(TRIM(Sync!$AH358)),""))</f>
        <v/>
      </c>
      <c r="G358" t="str">
        <f>IF($F358="","",IF(Sync!$AE358="","",IF(ISNUMBER(Sync!$AE358),IF(AND(Sync!$AE358&gt;=10000101,Sync!$AE358&lt;=99991231),INT(Sync!$AE358/10000),""),IFERROR(VALUE(TRIM(LEFT(Sync!$AE358,FIND("/",Sync!$AE358)-1))),""))))</f>
        <v/>
      </c>
      <c r="H358" t="str">
        <f>IF(OR($F358="",$G358=""),"",IF(ISNUMBER(Sync!$AE358),INT(MOD(Sync!$AE358,10000)/100),IFERROR(VALUE(TRIM(LEFT(MID(Sync!$AE358,FIND("/",Sync!$AE358)+1,20),FIND("/",MID(Sync!$AE358,FIND("/",Sync!$AE358)+1,20))-1))),"")))</f>
        <v/>
      </c>
      <c r="I358" t="str">
        <f>IF(OR($F358="",$G358=""),"",IF(ISNUMBER(Sync!$AE358),MOD(Sync!$AE358,100),IFERROR(VALUE(TRIM(MID(MID(Sync!$AE358,FIND("/",Sync!$AE358)+1,20),FIND("/",MID(Sync!$AE358,FIND("/",Sync!$AE358)+1,20))+1,20))),"")))</f>
        <v/>
      </c>
      <c r="J358" t="str">
        <f t="shared" si="27"/>
        <v/>
      </c>
      <c r="K358" t="str">
        <f>IF(OR($F358="",$J358="",$J358="نامعتبر"),"",LEFT($J358,4)&amp;MID($J358,6,2)&amp;RIGHT($J358,2)&amp;$N358&amp;"|"&amp;"2"&amp;RIGHT("00000"&amp;353,5))</f>
        <v/>
      </c>
      <c r="L358" t="str">
        <f t="shared" si="28"/>
        <v/>
      </c>
      <c r="M358" t="str">
        <f t="shared" si="29"/>
        <v/>
      </c>
      <c r="N358" t="str">
        <f>IF($F358="","",IF(Sync!$AF358="","0000",IF(AND(ISNUMBER(Sync!$AF358),Sync!$AF358&gt;=0,Sync!$AF358&lt;1),RIGHT("00"&amp;HOUR(Sync!$AF358),2)&amp;RIGHT("00"&amp;MINUTE(Sync!$AF358),2),IFERROR(RIGHT("00"&amp;VALUE(LEFT(Sync!$AF358,FIND(":",Sync!$AF358)-1)),2)&amp;RIGHT("00"&amp;VALUE(MID(Sync!$AF358,FIND(":",Sync!$AF358)+1,2)),2),"0000"))))</f>
        <v/>
      </c>
    </row>
    <row r="359" spans="1:14" x14ac:dyDescent="0.2">
      <c r="A359" t="str">
        <f>IF(OR(Calc!$E363="",Calc!$E363="نامعتبر",Calc!$G363=""),"",Calc!$G363)</f>
        <v/>
      </c>
      <c r="B359" t="str">
        <f>IF($A359="","",LEFT(Calc!$E363,4)&amp;MID(Calc!$E363,6,2)&amp;RIGHT(Calc!$E363,2)&amp;Calc!$Q363&amp;"|"&amp;"1"&amp;RIGHT("00000"&amp;354,5))</f>
        <v/>
      </c>
      <c r="C359" t="str">
        <f t="shared" si="25"/>
        <v/>
      </c>
      <c r="D359" t="str">
        <f t="shared" si="26"/>
        <v/>
      </c>
      <c r="F359" t="str">
        <f>IF(Sync!$AH359="","",IF(LEFT(UPPER(TRIM(Sync!$AH359)),2)="SL",UPPER(TRIM(Sync!$AH359)),""))</f>
        <v/>
      </c>
      <c r="G359" t="str">
        <f>IF($F359="","",IF(Sync!$AE359="","",IF(ISNUMBER(Sync!$AE359),IF(AND(Sync!$AE359&gt;=10000101,Sync!$AE359&lt;=99991231),INT(Sync!$AE359/10000),""),IFERROR(VALUE(TRIM(LEFT(Sync!$AE359,FIND("/",Sync!$AE359)-1))),""))))</f>
        <v/>
      </c>
      <c r="H359" t="str">
        <f>IF(OR($F359="",$G359=""),"",IF(ISNUMBER(Sync!$AE359),INT(MOD(Sync!$AE359,10000)/100),IFERROR(VALUE(TRIM(LEFT(MID(Sync!$AE359,FIND("/",Sync!$AE359)+1,20),FIND("/",MID(Sync!$AE359,FIND("/",Sync!$AE359)+1,20))-1))),"")))</f>
        <v/>
      </c>
      <c r="I359" t="str">
        <f>IF(OR($F359="",$G359=""),"",IF(ISNUMBER(Sync!$AE359),MOD(Sync!$AE359,100),IFERROR(VALUE(TRIM(MID(MID(Sync!$AE359,FIND("/",Sync!$AE359)+1,20),FIND("/",MID(Sync!$AE359,FIND("/",Sync!$AE359)+1,20))+1,20))),"")))</f>
        <v/>
      </c>
      <c r="J359" t="str">
        <f t="shared" si="27"/>
        <v/>
      </c>
      <c r="K359" t="str">
        <f>IF(OR($F359="",$J359="",$J359="نامعتبر"),"",LEFT($J359,4)&amp;MID($J359,6,2)&amp;RIGHT($J359,2)&amp;$N359&amp;"|"&amp;"2"&amp;RIGHT("00000"&amp;354,5))</f>
        <v/>
      </c>
      <c r="L359" t="str">
        <f t="shared" si="28"/>
        <v/>
      </c>
      <c r="M359" t="str">
        <f t="shared" si="29"/>
        <v/>
      </c>
      <c r="N359" t="str">
        <f>IF($F359="","",IF(Sync!$AF359="","0000",IF(AND(ISNUMBER(Sync!$AF359),Sync!$AF359&gt;=0,Sync!$AF359&lt;1),RIGHT("00"&amp;HOUR(Sync!$AF359),2)&amp;RIGHT("00"&amp;MINUTE(Sync!$AF359),2),IFERROR(RIGHT("00"&amp;VALUE(LEFT(Sync!$AF359,FIND(":",Sync!$AF359)-1)),2)&amp;RIGHT("00"&amp;VALUE(MID(Sync!$AF359,FIND(":",Sync!$AF359)+1,2)),2),"0000"))))</f>
        <v/>
      </c>
    </row>
    <row r="360" spans="1:14" x14ac:dyDescent="0.2">
      <c r="A360" t="str">
        <f>IF(OR(Calc!$E364="",Calc!$E364="نامعتبر",Calc!$G364=""),"",Calc!$G364)</f>
        <v/>
      </c>
      <c r="B360" t="str">
        <f>IF($A360="","",LEFT(Calc!$E364,4)&amp;MID(Calc!$E364,6,2)&amp;RIGHT(Calc!$E364,2)&amp;Calc!$Q364&amp;"|"&amp;"1"&amp;RIGHT("00000"&amp;355,5))</f>
        <v/>
      </c>
      <c r="C360" t="str">
        <f t="shared" si="25"/>
        <v/>
      </c>
      <c r="D360" t="str">
        <f t="shared" si="26"/>
        <v/>
      </c>
      <c r="F360" t="str">
        <f>IF(Sync!$AH360="","",IF(LEFT(UPPER(TRIM(Sync!$AH360)),2)="SL",UPPER(TRIM(Sync!$AH360)),""))</f>
        <v/>
      </c>
      <c r="G360" t="str">
        <f>IF($F360="","",IF(Sync!$AE360="","",IF(ISNUMBER(Sync!$AE360),IF(AND(Sync!$AE360&gt;=10000101,Sync!$AE360&lt;=99991231),INT(Sync!$AE360/10000),""),IFERROR(VALUE(TRIM(LEFT(Sync!$AE360,FIND("/",Sync!$AE360)-1))),""))))</f>
        <v/>
      </c>
      <c r="H360" t="str">
        <f>IF(OR($F360="",$G360=""),"",IF(ISNUMBER(Sync!$AE360),INT(MOD(Sync!$AE360,10000)/100),IFERROR(VALUE(TRIM(LEFT(MID(Sync!$AE360,FIND("/",Sync!$AE360)+1,20),FIND("/",MID(Sync!$AE360,FIND("/",Sync!$AE360)+1,20))-1))),"")))</f>
        <v/>
      </c>
      <c r="I360" t="str">
        <f>IF(OR($F360="",$G360=""),"",IF(ISNUMBER(Sync!$AE360),MOD(Sync!$AE360,100),IFERROR(VALUE(TRIM(MID(MID(Sync!$AE360,FIND("/",Sync!$AE360)+1,20),FIND("/",MID(Sync!$AE360,FIND("/",Sync!$AE360)+1,20))+1,20))),"")))</f>
        <v/>
      </c>
      <c r="J360" t="str">
        <f t="shared" si="27"/>
        <v/>
      </c>
      <c r="K360" t="str">
        <f>IF(OR($F360="",$J360="",$J360="نامعتبر"),"",LEFT($J360,4)&amp;MID($J360,6,2)&amp;RIGHT($J360,2)&amp;$N360&amp;"|"&amp;"2"&amp;RIGHT("00000"&amp;355,5))</f>
        <v/>
      </c>
      <c r="L360" t="str">
        <f t="shared" si="28"/>
        <v/>
      </c>
      <c r="M360" t="str">
        <f t="shared" si="29"/>
        <v/>
      </c>
      <c r="N360" t="str">
        <f>IF($F360="","",IF(Sync!$AF360="","0000",IF(AND(ISNUMBER(Sync!$AF360),Sync!$AF360&gt;=0,Sync!$AF360&lt;1),RIGHT("00"&amp;HOUR(Sync!$AF360),2)&amp;RIGHT("00"&amp;MINUTE(Sync!$AF360),2),IFERROR(RIGHT("00"&amp;VALUE(LEFT(Sync!$AF360,FIND(":",Sync!$AF360)-1)),2)&amp;RIGHT("00"&amp;VALUE(MID(Sync!$AF360,FIND(":",Sync!$AF360)+1,2)),2),"0000"))))</f>
        <v/>
      </c>
    </row>
    <row r="361" spans="1:14" x14ac:dyDescent="0.2">
      <c r="A361" t="str">
        <f>IF(OR(Calc!$E365="",Calc!$E365="نامعتبر",Calc!$G365=""),"",Calc!$G365)</f>
        <v/>
      </c>
      <c r="B361" t="str">
        <f>IF($A361="","",LEFT(Calc!$E365,4)&amp;MID(Calc!$E365,6,2)&amp;RIGHT(Calc!$E365,2)&amp;Calc!$Q365&amp;"|"&amp;"1"&amp;RIGHT("00000"&amp;356,5))</f>
        <v/>
      </c>
      <c r="C361" t="str">
        <f t="shared" si="25"/>
        <v/>
      </c>
      <c r="D361" t="str">
        <f t="shared" si="26"/>
        <v/>
      </c>
      <c r="F361" t="str">
        <f>IF(Sync!$AH361="","",IF(LEFT(UPPER(TRIM(Sync!$AH361)),2)="SL",UPPER(TRIM(Sync!$AH361)),""))</f>
        <v/>
      </c>
      <c r="G361" t="str">
        <f>IF($F361="","",IF(Sync!$AE361="","",IF(ISNUMBER(Sync!$AE361),IF(AND(Sync!$AE361&gt;=10000101,Sync!$AE361&lt;=99991231),INT(Sync!$AE361/10000),""),IFERROR(VALUE(TRIM(LEFT(Sync!$AE361,FIND("/",Sync!$AE361)-1))),""))))</f>
        <v/>
      </c>
      <c r="H361" t="str">
        <f>IF(OR($F361="",$G361=""),"",IF(ISNUMBER(Sync!$AE361),INT(MOD(Sync!$AE361,10000)/100),IFERROR(VALUE(TRIM(LEFT(MID(Sync!$AE361,FIND("/",Sync!$AE361)+1,20),FIND("/",MID(Sync!$AE361,FIND("/",Sync!$AE361)+1,20))-1))),"")))</f>
        <v/>
      </c>
      <c r="I361" t="str">
        <f>IF(OR($F361="",$G361=""),"",IF(ISNUMBER(Sync!$AE361),MOD(Sync!$AE361,100),IFERROR(VALUE(TRIM(MID(MID(Sync!$AE361,FIND("/",Sync!$AE361)+1,20),FIND("/",MID(Sync!$AE361,FIND("/",Sync!$AE361)+1,20))+1,20))),"")))</f>
        <v/>
      </c>
      <c r="J361" t="str">
        <f t="shared" si="27"/>
        <v/>
      </c>
      <c r="K361" t="str">
        <f>IF(OR($F361="",$J361="",$J361="نامعتبر"),"",LEFT($J361,4)&amp;MID($J361,6,2)&amp;RIGHT($J361,2)&amp;$N361&amp;"|"&amp;"2"&amp;RIGHT("00000"&amp;356,5))</f>
        <v/>
      </c>
      <c r="L361" t="str">
        <f t="shared" si="28"/>
        <v/>
      </c>
      <c r="M361" t="str">
        <f t="shared" si="29"/>
        <v/>
      </c>
      <c r="N361" t="str">
        <f>IF($F361="","",IF(Sync!$AF361="","0000",IF(AND(ISNUMBER(Sync!$AF361),Sync!$AF361&gt;=0,Sync!$AF361&lt;1),RIGHT("00"&amp;HOUR(Sync!$AF361),2)&amp;RIGHT("00"&amp;MINUTE(Sync!$AF361),2),IFERROR(RIGHT("00"&amp;VALUE(LEFT(Sync!$AF361,FIND(":",Sync!$AF361)-1)),2)&amp;RIGHT("00"&amp;VALUE(MID(Sync!$AF361,FIND(":",Sync!$AF361)+1,2)),2),"0000"))))</f>
        <v/>
      </c>
    </row>
    <row r="362" spans="1:14" x14ac:dyDescent="0.2">
      <c r="A362" t="str">
        <f>IF(OR(Calc!$E366="",Calc!$E366="نامعتبر",Calc!$G366=""),"",Calc!$G366)</f>
        <v/>
      </c>
      <c r="B362" t="str">
        <f>IF($A362="","",LEFT(Calc!$E366,4)&amp;MID(Calc!$E366,6,2)&amp;RIGHT(Calc!$E366,2)&amp;Calc!$Q366&amp;"|"&amp;"1"&amp;RIGHT("00000"&amp;357,5))</f>
        <v/>
      </c>
      <c r="C362" t="str">
        <f t="shared" si="25"/>
        <v/>
      </c>
      <c r="D362" t="str">
        <f t="shared" si="26"/>
        <v/>
      </c>
      <c r="F362" t="str">
        <f>IF(Sync!$AH362="","",IF(LEFT(UPPER(TRIM(Sync!$AH362)),2)="SL",UPPER(TRIM(Sync!$AH362)),""))</f>
        <v/>
      </c>
      <c r="G362" t="str">
        <f>IF($F362="","",IF(Sync!$AE362="","",IF(ISNUMBER(Sync!$AE362),IF(AND(Sync!$AE362&gt;=10000101,Sync!$AE362&lt;=99991231),INT(Sync!$AE362/10000),""),IFERROR(VALUE(TRIM(LEFT(Sync!$AE362,FIND("/",Sync!$AE362)-1))),""))))</f>
        <v/>
      </c>
      <c r="H362" t="str">
        <f>IF(OR($F362="",$G362=""),"",IF(ISNUMBER(Sync!$AE362),INT(MOD(Sync!$AE362,10000)/100),IFERROR(VALUE(TRIM(LEFT(MID(Sync!$AE362,FIND("/",Sync!$AE362)+1,20),FIND("/",MID(Sync!$AE362,FIND("/",Sync!$AE362)+1,20))-1))),"")))</f>
        <v/>
      </c>
      <c r="I362" t="str">
        <f>IF(OR($F362="",$G362=""),"",IF(ISNUMBER(Sync!$AE362),MOD(Sync!$AE362,100),IFERROR(VALUE(TRIM(MID(MID(Sync!$AE362,FIND("/",Sync!$AE362)+1,20),FIND("/",MID(Sync!$AE362,FIND("/",Sync!$AE362)+1,20))+1,20))),"")))</f>
        <v/>
      </c>
      <c r="J362" t="str">
        <f t="shared" si="27"/>
        <v/>
      </c>
      <c r="K362" t="str">
        <f>IF(OR($F362="",$J362="",$J362="نامعتبر"),"",LEFT($J362,4)&amp;MID($J362,6,2)&amp;RIGHT($J362,2)&amp;$N362&amp;"|"&amp;"2"&amp;RIGHT("00000"&amp;357,5))</f>
        <v/>
      </c>
      <c r="L362" t="str">
        <f t="shared" si="28"/>
        <v/>
      </c>
      <c r="M362" t="str">
        <f t="shared" si="29"/>
        <v/>
      </c>
      <c r="N362" t="str">
        <f>IF($F362="","",IF(Sync!$AF362="","0000",IF(AND(ISNUMBER(Sync!$AF362),Sync!$AF362&gt;=0,Sync!$AF362&lt;1),RIGHT("00"&amp;HOUR(Sync!$AF362),2)&amp;RIGHT("00"&amp;MINUTE(Sync!$AF362),2),IFERROR(RIGHT("00"&amp;VALUE(LEFT(Sync!$AF362,FIND(":",Sync!$AF362)-1)),2)&amp;RIGHT("00"&amp;VALUE(MID(Sync!$AF362,FIND(":",Sync!$AF362)+1,2)),2),"0000"))))</f>
        <v/>
      </c>
    </row>
    <row r="363" spans="1:14" x14ac:dyDescent="0.2">
      <c r="A363" t="str">
        <f>IF(OR(Calc!$E367="",Calc!$E367="نامعتبر",Calc!$G367=""),"",Calc!$G367)</f>
        <v/>
      </c>
      <c r="B363" t="str">
        <f>IF($A363="","",LEFT(Calc!$E367,4)&amp;MID(Calc!$E367,6,2)&amp;RIGHT(Calc!$E367,2)&amp;Calc!$Q367&amp;"|"&amp;"1"&amp;RIGHT("00000"&amp;358,5))</f>
        <v/>
      </c>
      <c r="C363" t="str">
        <f t="shared" si="25"/>
        <v/>
      </c>
      <c r="D363" t="str">
        <f t="shared" si="26"/>
        <v/>
      </c>
      <c r="F363" t="str">
        <f>IF(Sync!$AH363="","",IF(LEFT(UPPER(TRIM(Sync!$AH363)),2)="SL",UPPER(TRIM(Sync!$AH363)),""))</f>
        <v/>
      </c>
      <c r="G363" t="str">
        <f>IF($F363="","",IF(Sync!$AE363="","",IF(ISNUMBER(Sync!$AE363),IF(AND(Sync!$AE363&gt;=10000101,Sync!$AE363&lt;=99991231),INT(Sync!$AE363/10000),""),IFERROR(VALUE(TRIM(LEFT(Sync!$AE363,FIND("/",Sync!$AE363)-1))),""))))</f>
        <v/>
      </c>
      <c r="H363" t="str">
        <f>IF(OR($F363="",$G363=""),"",IF(ISNUMBER(Sync!$AE363),INT(MOD(Sync!$AE363,10000)/100),IFERROR(VALUE(TRIM(LEFT(MID(Sync!$AE363,FIND("/",Sync!$AE363)+1,20),FIND("/",MID(Sync!$AE363,FIND("/",Sync!$AE363)+1,20))-1))),"")))</f>
        <v/>
      </c>
      <c r="I363" t="str">
        <f>IF(OR($F363="",$G363=""),"",IF(ISNUMBER(Sync!$AE363),MOD(Sync!$AE363,100),IFERROR(VALUE(TRIM(MID(MID(Sync!$AE363,FIND("/",Sync!$AE363)+1,20),FIND("/",MID(Sync!$AE363,FIND("/",Sync!$AE363)+1,20))+1,20))),"")))</f>
        <v/>
      </c>
      <c r="J363" t="str">
        <f t="shared" si="27"/>
        <v/>
      </c>
      <c r="K363" t="str">
        <f>IF(OR($F363="",$J363="",$J363="نامعتبر"),"",LEFT($J363,4)&amp;MID($J363,6,2)&amp;RIGHT($J363,2)&amp;$N363&amp;"|"&amp;"2"&amp;RIGHT("00000"&amp;358,5))</f>
        <v/>
      </c>
      <c r="L363" t="str">
        <f t="shared" si="28"/>
        <v/>
      </c>
      <c r="M363" t="str">
        <f t="shared" si="29"/>
        <v/>
      </c>
      <c r="N363" t="str">
        <f>IF($F363="","",IF(Sync!$AF363="","0000",IF(AND(ISNUMBER(Sync!$AF363),Sync!$AF363&gt;=0,Sync!$AF363&lt;1),RIGHT("00"&amp;HOUR(Sync!$AF363),2)&amp;RIGHT("00"&amp;MINUTE(Sync!$AF363),2),IFERROR(RIGHT("00"&amp;VALUE(LEFT(Sync!$AF363,FIND(":",Sync!$AF363)-1)),2)&amp;RIGHT("00"&amp;VALUE(MID(Sync!$AF363,FIND(":",Sync!$AF363)+1,2)),2),"0000"))))</f>
        <v/>
      </c>
    </row>
    <row r="364" spans="1:14" x14ac:dyDescent="0.2">
      <c r="A364" t="str">
        <f>IF(OR(Calc!$E368="",Calc!$E368="نامعتبر",Calc!$G368=""),"",Calc!$G368)</f>
        <v/>
      </c>
      <c r="B364" t="str">
        <f>IF($A364="","",LEFT(Calc!$E368,4)&amp;MID(Calc!$E368,6,2)&amp;RIGHT(Calc!$E368,2)&amp;Calc!$Q368&amp;"|"&amp;"1"&amp;RIGHT("00000"&amp;359,5))</f>
        <v/>
      </c>
      <c r="C364" t="str">
        <f t="shared" si="25"/>
        <v/>
      </c>
      <c r="D364" t="str">
        <f t="shared" si="26"/>
        <v/>
      </c>
      <c r="F364" t="str">
        <f>IF(Sync!$AH364="","",IF(LEFT(UPPER(TRIM(Sync!$AH364)),2)="SL",UPPER(TRIM(Sync!$AH364)),""))</f>
        <v/>
      </c>
      <c r="G364" t="str">
        <f>IF($F364="","",IF(Sync!$AE364="","",IF(ISNUMBER(Sync!$AE364),IF(AND(Sync!$AE364&gt;=10000101,Sync!$AE364&lt;=99991231),INT(Sync!$AE364/10000),""),IFERROR(VALUE(TRIM(LEFT(Sync!$AE364,FIND("/",Sync!$AE364)-1))),""))))</f>
        <v/>
      </c>
      <c r="H364" t="str">
        <f>IF(OR($F364="",$G364=""),"",IF(ISNUMBER(Sync!$AE364),INT(MOD(Sync!$AE364,10000)/100),IFERROR(VALUE(TRIM(LEFT(MID(Sync!$AE364,FIND("/",Sync!$AE364)+1,20),FIND("/",MID(Sync!$AE364,FIND("/",Sync!$AE364)+1,20))-1))),"")))</f>
        <v/>
      </c>
      <c r="I364" t="str">
        <f>IF(OR($F364="",$G364=""),"",IF(ISNUMBER(Sync!$AE364),MOD(Sync!$AE364,100),IFERROR(VALUE(TRIM(MID(MID(Sync!$AE364,FIND("/",Sync!$AE364)+1,20),FIND("/",MID(Sync!$AE364,FIND("/",Sync!$AE364)+1,20))+1,20))),"")))</f>
        <v/>
      </c>
      <c r="J364" t="str">
        <f t="shared" si="27"/>
        <v/>
      </c>
      <c r="K364" t="str">
        <f>IF(OR($F364="",$J364="",$J364="نامعتبر"),"",LEFT($J364,4)&amp;MID($J364,6,2)&amp;RIGHT($J364,2)&amp;$N364&amp;"|"&amp;"2"&amp;RIGHT("00000"&amp;359,5))</f>
        <v/>
      </c>
      <c r="L364" t="str">
        <f t="shared" si="28"/>
        <v/>
      </c>
      <c r="M364" t="str">
        <f t="shared" si="29"/>
        <v/>
      </c>
      <c r="N364" t="str">
        <f>IF($F364="","",IF(Sync!$AF364="","0000",IF(AND(ISNUMBER(Sync!$AF364),Sync!$AF364&gt;=0,Sync!$AF364&lt;1),RIGHT("00"&amp;HOUR(Sync!$AF364),2)&amp;RIGHT("00"&amp;MINUTE(Sync!$AF364),2),IFERROR(RIGHT("00"&amp;VALUE(LEFT(Sync!$AF364,FIND(":",Sync!$AF364)-1)),2)&amp;RIGHT("00"&amp;VALUE(MID(Sync!$AF364,FIND(":",Sync!$AF364)+1,2)),2),"0000"))))</f>
        <v/>
      </c>
    </row>
    <row r="365" spans="1:14" x14ac:dyDescent="0.2">
      <c r="A365" t="str">
        <f>IF(OR(Calc!$E369="",Calc!$E369="نامعتبر",Calc!$G369=""),"",Calc!$G369)</f>
        <v/>
      </c>
      <c r="B365" t="str">
        <f>IF($A365="","",LEFT(Calc!$E369,4)&amp;MID(Calc!$E369,6,2)&amp;RIGHT(Calc!$E369,2)&amp;Calc!$Q369&amp;"|"&amp;"1"&amp;RIGHT("00000"&amp;360,5))</f>
        <v/>
      </c>
      <c r="C365" t="str">
        <f t="shared" si="25"/>
        <v/>
      </c>
      <c r="D365" t="str">
        <f t="shared" si="26"/>
        <v/>
      </c>
      <c r="F365" t="str">
        <f>IF(Sync!$AH365="","",IF(LEFT(UPPER(TRIM(Sync!$AH365)),2)="SL",UPPER(TRIM(Sync!$AH365)),""))</f>
        <v/>
      </c>
      <c r="G365" t="str">
        <f>IF($F365="","",IF(Sync!$AE365="","",IF(ISNUMBER(Sync!$AE365),IF(AND(Sync!$AE365&gt;=10000101,Sync!$AE365&lt;=99991231),INT(Sync!$AE365/10000),""),IFERROR(VALUE(TRIM(LEFT(Sync!$AE365,FIND("/",Sync!$AE365)-1))),""))))</f>
        <v/>
      </c>
      <c r="H365" t="str">
        <f>IF(OR($F365="",$G365=""),"",IF(ISNUMBER(Sync!$AE365),INT(MOD(Sync!$AE365,10000)/100),IFERROR(VALUE(TRIM(LEFT(MID(Sync!$AE365,FIND("/",Sync!$AE365)+1,20),FIND("/",MID(Sync!$AE365,FIND("/",Sync!$AE365)+1,20))-1))),"")))</f>
        <v/>
      </c>
      <c r="I365" t="str">
        <f>IF(OR($F365="",$G365=""),"",IF(ISNUMBER(Sync!$AE365),MOD(Sync!$AE365,100),IFERROR(VALUE(TRIM(MID(MID(Sync!$AE365,FIND("/",Sync!$AE365)+1,20),FIND("/",MID(Sync!$AE365,FIND("/",Sync!$AE365)+1,20))+1,20))),"")))</f>
        <v/>
      </c>
      <c r="J365" t="str">
        <f t="shared" si="27"/>
        <v/>
      </c>
      <c r="K365" t="str">
        <f>IF(OR($F365="",$J365="",$J365="نامعتبر"),"",LEFT($J365,4)&amp;MID($J365,6,2)&amp;RIGHT($J365,2)&amp;$N365&amp;"|"&amp;"2"&amp;RIGHT("00000"&amp;360,5))</f>
        <v/>
      </c>
      <c r="L365" t="str">
        <f t="shared" si="28"/>
        <v/>
      </c>
      <c r="M365" t="str">
        <f t="shared" si="29"/>
        <v/>
      </c>
      <c r="N365" t="str">
        <f>IF($F365="","",IF(Sync!$AF365="","0000",IF(AND(ISNUMBER(Sync!$AF365),Sync!$AF365&gt;=0,Sync!$AF365&lt;1),RIGHT("00"&amp;HOUR(Sync!$AF365),2)&amp;RIGHT("00"&amp;MINUTE(Sync!$AF365),2),IFERROR(RIGHT("00"&amp;VALUE(LEFT(Sync!$AF365,FIND(":",Sync!$AF365)-1)),2)&amp;RIGHT("00"&amp;VALUE(MID(Sync!$AF365,FIND(":",Sync!$AF365)+1,2)),2),"0000"))))</f>
        <v/>
      </c>
    </row>
    <row r="366" spans="1:14" x14ac:dyDescent="0.2">
      <c r="A366" t="str">
        <f>IF(OR(Calc!$E370="",Calc!$E370="نامعتبر",Calc!$G370=""),"",Calc!$G370)</f>
        <v/>
      </c>
      <c r="B366" t="str">
        <f>IF($A366="","",LEFT(Calc!$E370,4)&amp;MID(Calc!$E370,6,2)&amp;RIGHT(Calc!$E370,2)&amp;Calc!$Q370&amp;"|"&amp;"1"&amp;RIGHT("00000"&amp;361,5))</f>
        <v/>
      </c>
      <c r="C366" t="str">
        <f t="shared" si="25"/>
        <v/>
      </c>
      <c r="D366" t="str">
        <f t="shared" si="26"/>
        <v/>
      </c>
      <c r="F366" t="str">
        <f>IF(Sync!$AH366="","",IF(LEFT(UPPER(TRIM(Sync!$AH366)),2)="SL",UPPER(TRIM(Sync!$AH366)),""))</f>
        <v/>
      </c>
      <c r="G366" t="str">
        <f>IF($F366="","",IF(Sync!$AE366="","",IF(ISNUMBER(Sync!$AE366),IF(AND(Sync!$AE366&gt;=10000101,Sync!$AE366&lt;=99991231),INT(Sync!$AE366/10000),""),IFERROR(VALUE(TRIM(LEFT(Sync!$AE366,FIND("/",Sync!$AE366)-1))),""))))</f>
        <v/>
      </c>
      <c r="H366" t="str">
        <f>IF(OR($F366="",$G366=""),"",IF(ISNUMBER(Sync!$AE366),INT(MOD(Sync!$AE366,10000)/100),IFERROR(VALUE(TRIM(LEFT(MID(Sync!$AE366,FIND("/",Sync!$AE366)+1,20),FIND("/",MID(Sync!$AE366,FIND("/",Sync!$AE366)+1,20))-1))),"")))</f>
        <v/>
      </c>
      <c r="I366" t="str">
        <f>IF(OR($F366="",$G366=""),"",IF(ISNUMBER(Sync!$AE366),MOD(Sync!$AE366,100),IFERROR(VALUE(TRIM(MID(MID(Sync!$AE366,FIND("/",Sync!$AE366)+1,20),FIND("/",MID(Sync!$AE366,FIND("/",Sync!$AE366)+1,20))+1,20))),"")))</f>
        <v/>
      </c>
      <c r="J366" t="str">
        <f t="shared" si="27"/>
        <v/>
      </c>
      <c r="K366" t="str">
        <f>IF(OR($F366="",$J366="",$J366="نامعتبر"),"",LEFT($J366,4)&amp;MID($J366,6,2)&amp;RIGHT($J366,2)&amp;$N366&amp;"|"&amp;"2"&amp;RIGHT("00000"&amp;361,5))</f>
        <v/>
      </c>
      <c r="L366" t="str">
        <f t="shared" si="28"/>
        <v/>
      </c>
      <c r="M366" t="str">
        <f t="shared" si="29"/>
        <v/>
      </c>
      <c r="N366" t="str">
        <f>IF($F366="","",IF(Sync!$AF366="","0000",IF(AND(ISNUMBER(Sync!$AF366),Sync!$AF366&gt;=0,Sync!$AF366&lt;1),RIGHT("00"&amp;HOUR(Sync!$AF366),2)&amp;RIGHT("00"&amp;MINUTE(Sync!$AF366),2),IFERROR(RIGHT("00"&amp;VALUE(LEFT(Sync!$AF366,FIND(":",Sync!$AF366)-1)),2)&amp;RIGHT("00"&amp;VALUE(MID(Sync!$AF366,FIND(":",Sync!$AF366)+1,2)),2),"0000"))))</f>
        <v/>
      </c>
    </row>
    <row r="367" spans="1:14" x14ac:dyDescent="0.2">
      <c r="A367" t="str">
        <f>IF(OR(Calc!$E371="",Calc!$E371="نامعتبر",Calc!$G371=""),"",Calc!$G371)</f>
        <v/>
      </c>
      <c r="B367" t="str">
        <f>IF($A367="","",LEFT(Calc!$E371,4)&amp;MID(Calc!$E371,6,2)&amp;RIGHT(Calc!$E371,2)&amp;Calc!$Q371&amp;"|"&amp;"1"&amp;RIGHT("00000"&amp;362,5))</f>
        <v/>
      </c>
      <c r="C367" t="str">
        <f t="shared" si="25"/>
        <v/>
      </c>
      <c r="D367" t="str">
        <f t="shared" si="26"/>
        <v/>
      </c>
      <c r="F367" t="str">
        <f>IF(Sync!$AH367="","",IF(LEFT(UPPER(TRIM(Sync!$AH367)),2)="SL",UPPER(TRIM(Sync!$AH367)),""))</f>
        <v/>
      </c>
      <c r="G367" t="str">
        <f>IF($F367="","",IF(Sync!$AE367="","",IF(ISNUMBER(Sync!$AE367),IF(AND(Sync!$AE367&gt;=10000101,Sync!$AE367&lt;=99991231),INT(Sync!$AE367/10000),""),IFERROR(VALUE(TRIM(LEFT(Sync!$AE367,FIND("/",Sync!$AE367)-1))),""))))</f>
        <v/>
      </c>
      <c r="H367" t="str">
        <f>IF(OR($F367="",$G367=""),"",IF(ISNUMBER(Sync!$AE367),INT(MOD(Sync!$AE367,10000)/100),IFERROR(VALUE(TRIM(LEFT(MID(Sync!$AE367,FIND("/",Sync!$AE367)+1,20),FIND("/",MID(Sync!$AE367,FIND("/",Sync!$AE367)+1,20))-1))),"")))</f>
        <v/>
      </c>
      <c r="I367" t="str">
        <f>IF(OR($F367="",$G367=""),"",IF(ISNUMBER(Sync!$AE367),MOD(Sync!$AE367,100),IFERROR(VALUE(TRIM(MID(MID(Sync!$AE367,FIND("/",Sync!$AE367)+1,20),FIND("/",MID(Sync!$AE367,FIND("/",Sync!$AE367)+1,20))+1,20))),"")))</f>
        <v/>
      </c>
      <c r="J367" t="str">
        <f t="shared" si="27"/>
        <v/>
      </c>
      <c r="K367" t="str">
        <f>IF(OR($F367="",$J367="",$J367="نامعتبر"),"",LEFT($J367,4)&amp;MID($J367,6,2)&amp;RIGHT($J367,2)&amp;$N367&amp;"|"&amp;"2"&amp;RIGHT("00000"&amp;362,5))</f>
        <v/>
      </c>
      <c r="L367" t="str">
        <f t="shared" si="28"/>
        <v/>
      </c>
      <c r="M367" t="str">
        <f t="shared" si="29"/>
        <v/>
      </c>
      <c r="N367" t="str">
        <f>IF($F367="","",IF(Sync!$AF367="","0000",IF(AND(ISNUMBER(Sync!$AF367),Sync!$AF367&gt;=0,Sync!$AF367&lt;1),RIGHT("00"&amp;HOUR(Sync!$AF367),2)&amp;RIGHT("00"&amp;MINUTE(Sync!$AF367),2),IFERROR(RIGHT("00"&amp;VALUE(LEFT(Sync!$AF367,FIND(":",Sync!$AF367)-1)),2)&amp;RIGHT("00"&amp;VALUE(MID(Sync!$AF367,FIND(":",Sync!$AF367)+1,2)),2),"0000"))))</f>
        <v/>
      </c>
    </row>
    <row r="368" spans="1:14" x14ac:dyDescent="0.2">
      <c r="A368" t="str">
        <f>IF(OR(Calc!$E372="",Calc!$E372="نامعتبر",Calc!$G372=""),"",Calc!$G372)</f>
        <v/>
      </c>
      <c r="B368" t="str">
        <f>IF($A368="","",LEFT(Calc!$E372,4)&amp;MID(Calc!$E372,6,2)&amp;RIGHT(Calc!$E372,2)&amp;Calc!$Q372&amp;"|"&amp;"1"&amp;RIGHT("00000"&amp;363,5))</f>
        <v/>
      </c>
      <c r="C368" t="str">
        <f t="shared" si="25"/>
        <v/>
      </c>
      <c r="D368" t="str">
        <f t="shared" si="26"/>
        <v/>
      </c>
      <c r="F368" t="str">
        <f>IF(Sync!$AH368="","",IF(LEFT(UPPER(TRIM(Sync!$AH368)),2)="SL",UPPER(TRIM(Sync!$AH368)),""))</f>
        <v/>
      </c>
      <c r="G368" t="str">
        <f>IF($F368="","",IF(Sync!$AE368="","",IF(ISNUMBER(Sync!$AE368),IF(AND(Sync!$AE368&gt;=10000101,Sync!$AE368&lt;=99991231),INT(Sync!$AE368/10000),""),IFERROR(VALUE(TRIM(LEFT(Sync!$AE368,FIND("/",Sync!$AE368)-1))),""))))</f>
        <v/>
      </c>
      <c r="H368" t="str">
        <f>IF(OR($F368="",$G368=""),"",IF(ISNUMBER(Sync!$AE368),INT(MOD(Sync!$AE368,10000)/100),IFERROR(VALUE(TRIM(LEFT(MID(Sync!$AE368,FIND("/",Sync!$AE368)+1,20),FIND("/",MID(Sync!$AE368,FIND("/",Sync!$AE368)+1,20))-1))),"")))</f>
        <v/>
      </c>
      <c r="I368" t="str">
        <f>IF(OR($F368="",$G368=""),"",IF(ISNUMBER(Sync!$AE368),MOD(Sync!$AE368,100),IFERROR(VALUE(TRIM(MID(MID(Sync!$AE368,FIND("/",Sync!$AE368)+1,20),FIND("/",MID(Sync!$AE368,FIND("/",Sync!$AE368)+1,20))+1,20))),"")))</f>
        <v/>
      </c>
      <c r="J368" t="str">
        <f t="shared" si="27"/>
        <v/>
      </c>
      <c r="K368" t="str">
        <f>IF(OR($F368="",$J368="",$J368="نامعتبر"),"",LEFT($J368,4)&amp;MID($J368,6,2)&amp;RIGHT($J368,2)&amp;$N368&amp;"|"&amp;"2"&amp;RIGHT("00000"&amp;363,5))</f>
        <v/>
      </c>
      <c r="L368" t="str">
        <f t="shared" si="28"/>
        <v/>
      </c>
      <c r="M368" t="str">
        <f t="shared" si="29"/>
        <v/>
      </c>
      <c r="N368" t="str">
        <f>IF($F368="","",IF(Sync!$AF368="","0000",IF(AND(ISNUMBER(Sync!$AF368),Sync!$AF368&gt;=0,Sync!$AF368&lt;1),RIGHT("00"&amp;HOUR(Sync!$AF368),2)&amp;RIGHT("00"&amp;MINUTE(Sync!$AF368),2),IFERROR(RIGHT("00"&amp;VALUE(LEFT(Sync!$AF368,FIND(":",Sync!$AF368)-1)),2)&amp;RIGHT("00"&amp;VALUE(MID(Sync!$AF368,FIND(":",Sync!$AF368)+1,2)),2),"0000"))))</f>
        <v/>
      </c>
    </row>
    <row r="369" spans="1:14" x14ac:dyDescent="0.2">
      <c r="A369" t="str">
        <f>IF(OR(Calc!$E373="",Calc!$E373="نامعتبر",Calc!$G373=""),"",Calc!$G373)</f>
        <v/>
      </c>
      <c r="B369" t="str">
        <f>IF($A369="","",LEFT(Calc!$E373,4)&amp;MID(Calc!$E373,6,2)&amp;RIGHT(Calc!$E373,2)&amp;Calc!$Q373&amp;"|"&amp;"1"&amp;RIGHT("00000"&amp;364,5))</f>
        <v/>
      </c>
      <c r="C369" t="str">
        <f t="shared" si="25"/>
        <v/>
      </c>
      <c r="D369" t="str">
        <f t="shared" si="26"/>
        <v/>
      </c>
      <c r="F369" t="str">
        <f>IF(Sync!$AH369="","",IF(LEFT(UPPER(TRIM(Sync!$AH369)),2)="SL",UPPER(TRIM(Sync!$AH369)),""))</f>
        <v/>
      </c>
      <c r="G369" t="str">
        <f>IF($F369="","",IF(Sync!$AE369="","",IF(ISNUMBER(Sync!$AE369),IF(AND(Sync!$AE369&gt;=10000101,Sync!$AE369&lt;=99991231),INT(Sync!$AE369/10000),""),IFERROR(VALUE(TRIM(LEFT(Sync!$AE369,FIND("/",Sync!$AE369)-1))),""))))</f>
        <v/>
      </c>
      <c r="H369" t="str">
        <f>IF(OR($F369="",$G369=""),"",IF(ISNUMBER(Sync!$AE369),INT(MOD(Sync!$AE369,10000)/100),IFERROR(VALUE(TRIM(LEFT(MID(Sync!$AE369,FIND("/",Sync!$AE369)+1,20),FIND("/",MID(Sync!$AE369,FIND("/",Sync!$AE369)+1,20))-1))),"")))</f>
        <v/>
      </c>
      <c r="I369" t="str">
        <f>IF(OR($F369="",$G369=""),"",IF(ISNUMBER(Sync!$AE369),MOD(Sync!$AE369,100),IFERROR(VALUE(TRIM(MID(MID(Sync!$AE369,FIND("/",Sync!$AE369)+1,20),FIND("/",MID(Sync!$AE369,FIND("/",Sync!$AE369)+1,20))+1,20))),"")))</f>
        <v/>
      </c>
      <c r="J369" t="str">
        <f t="shared" si="27"/>
        <v/>
      </c>
      <c r="K369" t="str">
        <f>IF(OR($F369="",$J369="",$J369="نامعتبر"),"",LEFT($J369,4)&amp;MID($J369,6,2)&amp;RIGHT($J369,2)&amp;$N369&amp;"|"&amp;"2"&amp;RIGHT("00000"&amp;364,5))</f>
        <v/>
      </c>
      <c r="L369" t="str">
        <f t="shared" si="28"/>
        <v/>
      </c>
      <c r="M369" t="str">
        <f t="shared" si="29"/>
        <v/>
      </c>
      <c r="N369" t="str">
        <f>IF($F369="","",IF(Sync!$AF369="","0000",IF(AND(ISNUMBER(Sync!$AF369),Sync!$AF369&gt;=0,Sync!$AF369&lt;1),RIGHT("00"&amp;HOUR(Sync!$AF369),2)&amp;RIGHT("00"&amp;MINUTE(Sync!$AF369),2),IFERROR(RIGHT("00"&amp;VALUE(LEFT(Sync!$AF369,FIND(":",Sync!$AF369)-1)),2)&amp;RIGHT("00"&amp;VALUE(MID(Sync!$AF369,FIND(":",Sync!$AF369)+1,2)),2),"0000"))))</f>
        <v/>
      </c>
    </row>
    <row r="370" spans="1:14" x14ac:dyDescent="0.2">
      <c r="A370" t="str">
        <f>IF(OR(Calc!$E374="",Calc!$E374="نامعتبر",Calc!$G374=""),"",Calc!$G374)</f>
        <v/>
      </c>
      <c r="B370" t="str">
        <f>IF($A370="","",LEFT(Calc!$E374,4)&amp;MID(Calc!$E374,6,2)&amp;RIGHT(Calc!$E374,2)&amp;Calc!$Q374&amp;"|"&amp;"1"&amp;RIGHT("00000"&amp;365,5))</f>
        <v/>
      </c>
      <c r="C370" t="str">
        <f t="shared" si="25"/>
        <v/>
      </c>
      <c r="D370" t="str">
        <f t="shared" si="26"/>
        <v/>
      </c>
      <c r="F370" t="str">
        <f>IF(Sync!$AH370="","",IF(LEFT(UPPER(TRIM(Sync!$AH370)),2)="SL",UPPER(TRIM(Sync!$AH370)),""))</f>
        <v/>
      </c>
      <c r="G370" t="str">
        <f>IF($F370="","",IF(Sync!$AE370="","",IF(ISNUMBER(Sync!$AE370),IF(AND(Sync!$AE370&gt;=10000101,Sync!$AE370&lt;=99991231),INT(Sync!$AE370/10000),""),IFERROR(VALUE(TRIM(LEFT(Sync!$AE370,FIND("/",Sync!$AE370)-1))),""))))</f>
        <v/>
      </c>
      <c r="H370" t="str">
        <f>IF(OR($F370="",$G370=""),"",IF(ISNUMBER(Sync!$AE370),INT(MOD(Sync!$AE370,10000)/100),IFERROR(VALUE(TRIM(LEFT(MID(Sync!$AE370,FIND("/",Sync!$AE370)+1,20),FIND("/",MID(Sync!$AE370,FIND("/",Sync!$AE370)+1,20))-1))),"")))</f>
        <v/>
      </c>
      <c r="I370" t="str">
        <f>IF(OR($F370="",$G370=""),"",IF(ISNUMBER(Sync!$AE370),MOD(Sync!$AE370,100),IFERROR(VALUE(TRIM(MID(MID(Sync!$AE370,FIND("/",Sync!$AE370)+1,20),FIND("/",MID(Sync!$AE370,FIND("/",Sync!$AE370)+1,20))+1,20))),"")))</f>
        <v/>
      </c>
      <c r="J370" t="str">
        <f t="shared" si="27"/>
        <v/>
      </c>
      <c r="K370" t="str">
        <f>IF(OR($F370="",$J370="",$J370="نامعتبر"),"",LEFT($J370,4)&amp;MID($J370,6,2)&amp;RIGHT($J370,2)&amp;$N370&amp;"|"&amp;"2"&amp;RIGHT("00000"&amp;365,5))</f>
        <v/>
      </c>
      <c r="L370" t="str">
        <f t="shared" si="28"/>
        <v/>
      </c>
      <c r="M370" t="str">
        <f t="shared" si="29"/>
        <v/>
      </c>
      <c r="N370" t="str">
        <f>IF($F370="","",IF(Sync!$AF370="","0000",IF(AND(ISNUMBER(Sync!$AF370),Sync!$AF370&gt;=0,Sync!$AF370&lt;1),RIGHT("00"&amp;HOUR(Sync!$AF370),2)&amp;RIGHT("00"&amp;MINUTE(Sync!$AF370),2),IFERROR(RIGHT("00"&amp;VALUE(LEFT(Sync!$AF370,FIND(":",Sync!$AF370)-1)),2)&amp;RIGHT("00"&amp;VALUE(MID(Sync!$AF370,FIND(":",Sync!$AF370)+1,2)),2),"0000"))))</f>
        <v/>
      </c>
    </row>
    <row r="371" spans="1:14" x14ac:dyDescent="0.2">
      <c r="A371" t="str">
        <f>IF(OR(Calc!$E375="",Calc!$E375="نامعتبر",Calc!$G375=""),"",Calc!$G375)</f>
        <v/>
      </c>
      <c r="B371" t="str">
        <f>IF($A371="","",LEFT(Calc!$E375,4)&amp;MID(Calc!$E375,6,2)&amp;RIGHT(Calc!$E375,2)&amp;Calc!$Q375&amp;"|"&amp;"1"&amp;RIGHT("00000"&amp;366,5))</f>
        <v/>
      </c>
      <c r="C371" t="str">
        <f t="shared" si="25"/>
        <v/>
      </c>
      <c r="D371" t="str">
        <f t="shared" si="26"/>
        <v/>
      </c>
      <c r="F371" t="str">
        <f>IF(Sync!$AH371="","",IF(LEFT(UPPER(TRIM(Sync!$AH371)),2)="SL",UPPER(TRIM(Sync!$AH371)),""))</f>
        <v/>
      </c>
      <c r="G371" t="str">
        <f>IF($F371="","",IF(Sync!$AE371="","",IF(ISNUMBER(Sync!$AE371),IF(AND(Sync!$AE371&gt;=10000101,Sync!$AE371&lt;=99991231),INT(Sync!$AE371/10000),""),IFERROR(VALUE(TRIM(LEFT(Sync!$AE371,FIND("/",Sync!$AE371)-1))),""))))</f>
        <v/>
      </c>
      <c r="H371" t="str">
        <f>IF(OR($F371="",$G371=""),"",IF(ISNUMBER(Sync!$AE371),INT(MOD(Sync!$AE371,10000)/100),IFERROR(VALUE(TRIM(LEFT(MID(Sync!$AE371,FIND("/",Sync!$AE371)+1,20),FIND("/",MID(Sync!$AE371,FIND("/",Sync!$AE371)+1,20))-1))),"")))</f>
        <v/>
      </c>
      <c r="I371" t="str">
        <f>IF(OR($F371="",$G371=""),"",IF(ISNUMBER(Sync!$AE371),MOD(Sync!$AE371,100),IFERROR(VALUE(TRIM(MID(MID(Sync!$AE371,FIND("/",Sync!$AE371)+1,20),FIND("/",MID(Sync!$AE371,FIND("/",Sync!$AE371)+1,20))+1,20))),"")))</f>
        <v/>
      </c>
      <c r="J371" t="str">
        <f t="shared" si="27"/>
        <v/>
      </c>
      <c r="K371" t="str">
        <f>IF(OR($F371="",$J371="",$J371="نامعتبر"),"",LEFT($J371,4)&amp;MID($J371,6,2)&amp;RIGHT($J371,2)&amp;$N371&amp;"|"&amp;"2"&amp;RIGHT("00000"&amp;366,5))</f>
        <v/>
      </c>
      <c r="L371" t="str">
        <f t="shared" si="28"/>
        <v/>
      </c>
      <c r="M371" t="str">
        <f t="shared" si="29"/>
        <v/>
      </c>
      <c r="N371" t="str">
        <f>IF($F371="","",IF(Sync!$AF371="","0000",IF(AND(ISNUMBER(Sync!$AF371),Sync!$AF371&gt;=0,Sync!$AF371&lt;1),RIGHT("00"&amp;HOUR(Sync!$AF371),2)&amp;RIGHT("00"&amp;MINUTE(Sync!$AF371),2),IFERROR(RIGHT("00"&amp;VALUE(LEFT(Sync!$AF371,FIND(":",Sync!$AF371)-1)),2)&amp;RIGHT("00"&amp;VALUE(MID(Sync!$AF371,FIND(":",Sync!$AF371)+1,2)),2),"0000"))))</f>
        <v/>
      </c>
    </row>
    <row r="372" spans="1:14" x14ac:dyDescent="0.2">
      <c r="A372" t="str">
        <f>IF(OR(Calc!$E376="",Calc!$E376="نامعتبر",Calc!$G376=""),"",Calc!$G376)</f>
        <v/>
      </c>
      <c r="B372" t="str">
        <f>IF($A372="","",LEFT(Calc!$E376,4)&amp;MID(Calc!$E376,6,2)&amp;RIGHT(Calc!$E376,2)&amp;Calc!$Q376&amp;"|"&amp;"1"&amp;RIGHT("00000"&amp;367,5))</f>
        <v/>
      </c>
      <c r="C372" t="str">
        <f t="shared" si="25"/>
        <v/>
      </c>
      <c r="D372" t="str">
        <f t="shared" si="26"/>
        <v/>
      </c>
      <c r="F372" t="str">
        <f>IF(Sync!$AH372="","",IF(LEFT(UPPER(TRIM(Sync!$AH372)),2)="SL",UPPER(TRIM(Sync!$AH372)),""))</f>
        <v/>
      </c>
      <c r="G372" t="str">
        <f>IF($F372="","",IF(Sync!$AE372="","",IF(ISNUMBER(Sync!$AE372),IF(AND(Sync!$AE372&gt;=10000101,Sync!$AE372&lt;=99991231),INT(Sync!$AE372/10000),""),IFERROR(VALUE(TRIM(LEFT(Sync!$AE372,FIND("/",Sync!$AE372)-1))),""))))</f>
        <v/>
      </c>
      <c r="H372" t="str">
        <f>IF(OR($F372="",$G372=""),"",IF(ISNUMBER(Sync!$AE372),INT(MOD(Sync!$AE372,10000)/100),IFERROR(VALUE(TRIM(LEFT(MID(Sync!$AE372,FIND("/",Sync!$AE372)+1,20),FIND("/",MID(Sync!$AE372,FIND("/",Sync!$AE372)+1,20))-1))),"")))</f>
        <v/>
      </c>
      <c r="I372" t="str">
        <f>IF(OR($F372="",$G372=""),"",IF(ISNUMBER(Sync!$AE372),MOD(Sync!$AE372,100),IFERROR(VALUE(TRIM(MID(MID(Sync!$AE372,FIND("/",Sync!$AE372)+1,20),FIND("/",MID(Sync!$AE372,FIND("/",Sync!$AE372)+1,20))+1,20))),"")))</f>
        <v/>
      </c>
      <c r="J372" t="str">
        <f t="shared" si="27"/>
        <v/>
      </c>
      <c r="K372" t="str">
        <f>IF(OR($F372="",$J372="",$J372="نامعتبر"),"",LEFT($J372,4)&amp;MID($J372,6,2)&amp;RIGHT($J372,2)&amp;$N372&amp;"|"&amp;"2"&amp;RIGHT("00000"&amp;367,5))</f>
        <v/>
      </c>
      <c r="L372" t="str">
        <f t="shared" si="28"/>
        <v/>
      </c>
      <c r="M372" t="str">
        <f t="shared" si="29"/>
        <v/>
      </c>
      <c r="N372" t="str">
        <f>IF($F372="","",IF(Sync!$AF372="","0000",IF(AND(ISNUMBER(Sync!$AF372),Sync!$AF372&gt;=0,Sync!$AF372&lt;1),RIGHT("00"&amp;HOUR(Sync!$AF372),2)&amp;RIGHT("00"&amp;MINUTE(Sync!$AF372),2),IFERROR(RIGHT("00"&amp;VALUE(LEFT(Sync!$AF372,FIND(":",Sync!$AF372)-1)),2)&amp;RIGHT("00"&amp;VALUE(MID(Sync!$AF372,FIND(":",Sync!$AF372)+1,2)),2),"0000"))))</f>
        <v/>
      </c>
    </row>
    <row r="373" spans="1:14" x14ac:dyDescent="0.2">
      <c r="A373" t="str">
        <f>IF(OR(Calc!$E377="",Calc!$E377="نامعتبر",Calc!$G377=""),"",Calc!$G377)</f>
        <v/>
      </c>
      <c r="B373" t="str">
        <f>IF($A373="","",LEFT(Calc!$E377,4)&amp;MID(Calc!$E377,6,2)&amp;RIGHT(Calc!$E377,2)&amp;Calc!$Q377&amp;"|"&amp;"1"&amp;RIGHT("00000"&amp;368,5))</f>
        <v/>
      </c>
      <c r="C373" t="str">
        <f t="shared" si="25"/>
        <v/>
      </c>
      <c r="D373" t="str">
        <f t="shared" si="26"/>
        <v/>
      </c>
      <c r="F373" t="str">
        <f>IF(Sync!$AH373="","",IF(LEFT(UPPER(TRIM(Sync!$AH373)),2)="SL",UPPER(TRIM(Sync!$AH373)),""))</f>
        <v/>
      </c>
      <c r="G373" t="str">
        <f>IF($F373="","",IF(Sync!$AE373="","",IF(ISNUMBER(Sync!$AE373),IF(AND(Sync!$AE373&gt;=10000101,Sync!$AE373&lt;=99991231),INT(Sync!$AE373/10000),""),IFERROR(VALUE(TRIM(LEFT(Sync!$AE373,FIND("/",Sync!$AE373)-1))),""))))</f>
        <v/>
      </c>
      <c r="H373" t="str">
        <f>IF(OR($F373="",$G373=""),"",IF(ISNUMBER(Sync!$AE373),INT(MOD(Sync!$AE373,10000)/100),IFERROR(VALUE(TRIM(LEFT(MID(Sync!$AE373,FIND("/",Sync!$AE373)+1,20),FIND("/",MID(Sync!$AE373,FIND("/",Sync!$AE373)+1,20))-1))),"")))</f>
        <v/>
      </c>
      <c r="I373" t="str">
        <f>IF(OR($F373="",$G373=""),"",IF(ISNUMBER(Sync!$AE373),MOD(Sync!$AE373,100),IFERROR(VALUE(TRIM(MID(MID(Sync!$AE373,FIND("/",Sync!$AE373)+1,20),FIND("/",MID(Sync!$AE373,FIND("/",Sync!$AE373)+1,20))+1,20))),"")))</f>
        <v/>
      </c>
      <c r="J373" t="str">
        <f t="shared" si="27"/>
        <v/>
      </c>
      <c r="K373" t="str">
        <f>IF(OR($F373="",$J373="",$J373="نامعتبر"),"",LEFT($J373,4)&amp;MID($J373,6,2)&amp;RIGHT($J373,2)&amp;$N373&amp;"|"&amp;"2"&amp;RIGHT("00000"&amp;368,5))</f>
        <v/>
      </c>
      <c r="L373" t="str">
        <f t="shared" si="28"/>
        <v/>
      </c>
      <c r="M373" t="str">
        <f t="shared" si="29"/>
        <v/>
      </c>
      <c r="N373" t="str">
        <f>IF($F373="","",IF(Sync!$AF373="","0000",IF(AND(ISNUMBER(Sync!$AF373),Sync!$AF373&gt;=0,Sync!$AF373&lt;1),RIGHT("00"&amp;HOUR(Sync!$AF373),2)&amp;RIGHT("00"&amp;MINUTE(Sync!$AF373),2),IFERROR(RIGHT("00"&amp;VALUE(LEFT(Sync!$AF373,FIND(":",Sync!$AF373)-1)),2)&amp;RIGHT("00"&amp;VALUE(MID(Sync!$AF373,FIND(":",Sync!$AF373)+1,2)),2),"0000"))))</f>
        <v/>
      </c>
    </row>
    <row r="374" spans="1:14" x14ac:dyDescent="0.2">
      <c r="A374" t="str">
        <f>IF(OR(Calc!$E378="",Calc!$E378="نامعتبر",Calc!$G378=""),"",Calc!$G378)</f>
        <v/>
      </c>
      <c r="B374" t="str">
        <f>IF($A374="","",LEFT(Calc!$E378,4)&amp;MID(Calc!$E378,6,2)&amp;RIGHT(Calc!$E378,2)&amp;Calc!$Q378&amp;"|"&amp;"1"&amp;RIGHT("00000"&amp;369,5))</f>
        <v/>
      </c>
      <c r="C374" t="str">
        <f t="shared" si="25"/>
        <v/>
      </c>
      <c r="D374" t="str">
        <f t="shared" si="26"/>
        <v/>
      </c>
      <c r="F374" t="str">
        <f>IF(Sync!$AH374="","",IF(LEFT(UPPER(TRIM(Sync!$AH374)),2)="SL",UPPER(TRIM(Sync!$AH374)),""))</f>
        <v/>
      </c>
      <c r="G374" t="str">
        <f>IF($F374="","",IF(Sync!$AE374="","",IF(ISNUMBER(Sync!$AE374),IF(AND(Sync!$AE374&gt;=10000101,Sync!$AE374&lt;=99991231),INT(Sync!$AE374/10000),""),IFERROR(VALUE(TRIM(LEFT(Sync!$AE374,FIND("/",Sync!$AE374)-1))),""))))</f>
        <v/>
      </c>
      <c r="H374" t="str">
        <f>IF(OR($F374="",$G374=""),"",IF(ISNUMBER(Sync!$AE374),INT(MOD(Sync!$AE374,10000)/100),IFERROR(VALUE(TRIM(LEFT(MID(Sync!$AE374,FIND("/",Sync!$AE374)+1,20),FIND("/",MID(Sync!$AE374,FIND("/",Sync!$AE374)+1,20))-1))),"")))</f>
        <v/>
      </c>
      <c r="I374" t="str">
        <f>IF(OR($F374="",$G374=""),"",IF(ISNUMBER(Sync!$AE374),MOD(Sync!$AE374,100),IFERROR(VALUE(TRIM(MID(MID(Sync!$AE374,FIND("/",Sync!$AE374)+1,20),FIND("/",MID(Sync!$AE374,FIND("/",Sync!$AE374)+1,20))+1,20))),"")))</f>
        <v/>
      </c>
      <c r="J374" t="str">
        <f t="shared" si="27"/>
        <v/>
      </c>
      <c r="K374" t="str">
        <f>IF(OR($F374="",$J374="",$J374="نامعتبر"),"",LEFT($J374,4)&amp;MID($J374,6,2)&amp;RIGHT($J374,2)&amp;$N374&amp;"|"&amp;"2"&amp;RIGHT("00000"&amp;369,5))</f>
        <v/>
      </c>
      <c r="L374" t="str">
        <f t="shared" si="28"/>
        <v/>
      </c>
      <c r="M374" t="str">
        <f t="shared" si="29"/>
        <v/>
      </c>
      <c r="N374" t="str">
        <f>IF($F374="","",IF(Sync!$AF374="","0000",IF(AND(ISNUMBER(Sync!$AF374),Sync!$AF374&gt;=0,Sync!$AF374&lt;1),RIGHT("00"&amp;HOUR(Sync!$AF374),2)&amp;RIGHT("00"&amp;MINUTE(Sync!$AF374),2),IFERROR(RIGHT("00"&amp;VALUE(LEFT(Sync!$AF374,FIND(":",Sync!$AF374)-1)),2)&amp;RIGHT("00"&amp;VALUE(MID(Sync!$AF374,FIND(":",Sync!$AF374)+1,2)),2),"0000"))))</f>
        <v/>
      </c>
    </row>
    <row r="375" spans="1:14" x14ac:dyDescent="0.2">
      <c r="A375" t="str">
        <f>IF(OR(Calc!$E379="",Calc!$E379="نامعتبر",Calc!$G379=""),"",Calc!$G379)</f>
        <v/>
      </c>
      <c r="B375" t="str">
        <f>IF($A375="","",LEFT(Calc!$E379,4)&amp;MID(Calc!$E379,6,2)&amp;RIGHT(Calc!$E379,2)&amp;Calc!$Q379&amp;"|"&amp;"1"&amp;RIGHT("00000"&amp;370,5))</f>
        <v/>
      </c>
      <c r="C375" t="str">
        <f t="shared" si="25"/>
        <v/>
      </c>
      <c r="D375" t="str">
        <f t="shared" si="26"/>
        <v/>
      </c>
      <c r="F375" t="str">
        <f>IF(Sync!$AH375="","",IF(LEFT(UPPER(TRIM(Sync!$AH375)),2)="SL",UPPER(TRIM(Sync!$AH375)),""))</f>
        <v/>
      </c>
      <c r="G375" t="str">
        <f>IF($F375="","",IF(Sync!$AE375="","",IF(ISNUMBER(Sync!$AE375),IF(AND(Sync!$AE375&gt;=10000101,Sync!$AE375&lt;=99991231),INT(Sync!$AE375/10000),""),IFERROR(VALUE(TRIM(LEFT(Sync!$AE375,FIND("/",Sync!$AE375)-1))),""))))</f>
        <v/>
      </c>
      <c r="H375" t="str">
        <f>IF(OR($F375="",$G375=""),"",IF(ISNUMBER(Sync!$AE375),INT(MOD(Sync!$AE375,10000)/100),IFERROR(VALUE(TRIM(LEFT(MID(Sync!$AE375,FIND("/",Sync!$AE375)+1,20),FIND("/",MID(Sync!$AE375,FIND("/",Sync!$AE375)+1,20))-1))),"")))</f>
        <v/>
      </c>
      <c r="I375" t="str">
        <f>IF(OR($F375="",$G375=""),"",IF(ISNUMBER(Sync!$AE375),MOD(Sync!$AE375,100),IFERROR(VALUE(TRIM(MID(MID(Sync!$AE375,FIND("/",Sync!$AE375)+1,20),FIND("/",MID(Sync!$AE375,FIND("/",Sync!$AE375)+1,20))+1,20))),"")))</f>
        <v/>
      </c>
      <c r="J375" t="str">
        <f t="shared" si="27"/>
        <v/>
      </c>
      <c r="K375" t="str">
        <f>IF(OR($F375="",$J375="",$J375="نامعتبر"),"",LEFT($J375,4)&amp;MID($J375,6,2)&amp;RIGHT($J375,2)&amp;$N375&amp;"|"&amp;"2"&amp;RIGHT("00000"&amp;370,5))</f>
        <v/>
      </c>
      <c r="L375" t="str">
        <f t="shared" si="28"/>
        <v/>
      </c>
      <c r="M375" t="str">
        <f t="shared" si="29"/>
        <v/>
      </c>
      <c r="N375" t="str">
        <f>IF($F375="","",IF(Sync!$AF375="","0000",IF(AND(ISNUMBER(Sync!$AF375),Sync!$AF375&gt;=0,Sync!$AF375&lt;1),RIGHT("00"&amp;HOUR(Sync!$AF375),2)&amp;RIGHT("00"&amp;MINUTE(Sync!$AF375),2),IFERROR(RIGHT("00"&amp;VALUE(LEFT(Sync!$AF375,FIND(":",Sync!$AF375)-1)),2)&amp;RIGHT("00"&amp;VALUE(MID(Sync!$AF375,FIND(":",Sync!$AF375)+1,2)),2),"0000"))))</f>
        <v/>
      </c>
    </row>
    <row r="376" spans="1:14" x14ac:dyDescent="0.2">
      <c r="A376" t="str">
        <f>IF(OR(Calc!$E380="",Calc!$E380="نامعتبر",Calc!$G380=""),"",Calc!$G380)</f>
        <v/>
      </c>
      <c r="B376" t="str">
        <f>IF($A376="","",LEFT(Calc!$E380,4)&amp;MID(Calc!$E380,6,2)&amp;RIGHT(Calc!$E380,2)&amp;Calc!$Q380&amp;"|"&amp;"1"&amp;RIGHT("00000"&amp;371,5))</f>
        <v/>
      </c>
      <c r="C376" t="str">
        <f t="shared" si="25"/>
        <v/>
      </c>
      <c r="D376" t="str">
        <f t="shared" si="26"/>
        <v/>
      </c>
      <c r="F376" t="str">
        <f>IF(Sync!$AH376="","",IF(LEFT(UPPER(TRIM(Sync!$AH376)),2)="SL",UPPER(TRIM(Sync!$AH376)),""))</f>
        <v/>
      </c>
      <c r="G376" t="str">
        <f>IF($F376="","",IF(Sync!$AE376="","",IF(ISNUMBER(Sync!$AE376),IF(AND(Sync!$AE376&gt;=10000101,Sync!$AE376&lt;=99991231),INT(Sync!$AE376/10000),""),IFERROR(VALUE(TRIM(LEFT(Sync!$AE376,FIND("/",Sync!$AE376)-1))),""))))</f>
        <v/>
      </c>
      <c r="H376" t="str">
        <f>IF(OR($F376="",$G376=""),"",IF(ISNUMBER(Sync!$AE376),INT(MOD(Sync!$AE376,10000)/100),IFERROR(VALUE(TRIM(LEFT(MID(Sync!$AE376,FIND("/",Sync!$AE376)+1,20),FIND("/",MID(Sync!$AE376,FIND("/",Sync!$AE376)+1,20))-1))),"")))</f>
        <v/>
      </c>
      <c r="I376" t="str">
        <f>IF(OR($F376="",$G376=""),"",IF(ISNUMBER(Sync!$AE376),MOD(Sync!$AE376,100),IFERROR(VALUE(TRIM(MID(MID(Sync!$AE376,FIND("/",Sync!$AE376)+1,20),FIND("/",MID(Sync!$AE376,FIND("/",Sync!$AE376)+1,20))+1,20))),"")))</f>
        <v/>
      </c>
      <c r="J376" t="str">
        <f t="shared" si="27"/>
        <v/>
      </c>
      <c r="K376" t="str">
        <f>IF(OR($F376="",$J376="",$J376="نامعتبر"),"",LEFT($J376,4)&amp;MID($J376,6,2)&amp;RIGHT($J376,2)&amp;$N376&amp;"|"&amp;"2"&amp;RIGHT("00000"&amp;371,5))</f>
        <v/>
      </c>
      <c r="L376" t="str">
        <f t="shared" si="28"/>
        <v/>
      </c>
      <c r="M376" t="str">
        <f t="shared" si="29"/>
        <v/>
      </c>
      <c r="N376" t="str">
        <f>IF($F376="","",IF(Sync!$AF376="","0000",IF(AND(ISNUMBER(Sync!$AF376),Sync!$AF376&gt;=0,Sync!$AF376&lt;1),RIGHT("00"&amp;HOUR(Sync!$AF376),2)&amp;RIGHT("00"&amp;MINUTE(Sync!$AF376),2),IFERROR(RIGHT("00"&amp;VALUE(LEFT(Sync!$AF376,FIND(":",Sync!$AF376)-1)),2)&amp;RIGHT("00"&amp;VALUE(MID(Sync!$AF376,FIND(":",Sync!$AF376)+1,2)),2),"0000"))))</f>
        <v/>
      </c>
    </row>
    <row r="377" spans="1:14" x14ac:dyDescent="0.2">
      <c r="A377" t="str">
        <f>IF(OR(Calc!$E381="",Calc!$E381="نامعتبر",Calc!$G381=""),"",Calc!$G381)</f>
        <v/>
      </c>
      <c r="B377" t="str">
        <f>IF($A377="","",LEFT(Calc!$E381,4)&amp;MID(Calc!$E381,6,2)&amp;RIGHT(Calc!$E381,2)&amp;Calc!$Q381&amp;"|"&amp;"1"&amp;RIGHT("00000"&amp;372,5))</f>
        <v/>
      </c>
      <c r="C377" t="str">
        <f t="shared" si="25"/>
        <v/>
      </c>
      <c r="D377" t="str">
        <f t="shared" si="26"/>
        <v/>
      </c>
      <c r="F377" t="str">
        <f>IF(Sync!$AH377="","",IF(LEFT(UPPER(TRIM(Sync!$AH377)),2)="SL",UPPER(TRIM(Sync!$AH377)),""))</f>
        <v/>
      </c>
      <c r="G377" t="str">
        <f>IF($F377="","",IF(Sync!$AE377="","",IF(ISNUMBER(Sync!$AE377),IF(AND(Sync!$AE377&gt;=10000101,Sync!$AE377&lt;=99991231),INT(Sync!$AE377/10000),""),IFERROR(VALUE(TRIM(LEFT(Sync!$AE377,FIND("/",Sync!$AE377)-1))),""))))</f>
        <v/>
      </c>
      <c r="H377" t="str">
        <f>IF(OR($F377="",$G377=""),"",IF(ISNUMBER(Sync!$AE377),INT(MOD(Sync!$AE377,10000)/100),IFERROR(VALUE(TRIM(LEFT(MID(Sync!$AE377,FIND("/",Sync!$AE377)+1,20),FIND("/",MID(Sync!$AE377,FIND("/",Sync!$AE377)+1,20))-1))),"")))</f>
        <v/>
      </c>
      <c r="I377" t="str">
        <f>IF(OR($F377="",$G377=""),"",IF(ISNUMBER(Sync!$AE377),MOD(Sync!$AE377,100),IFERROR(VALUE(TRIM(MID(MID(Sync!$AE377,FIND("/",Sync!$AE377)+1,20),FIND("/",MID(Sync!$AE377,FIND("/",Sync!$AE377)+1,20))+1,20))),"")))</f>
        <v/>
      </c>
      <c r="J377" t="str">
        <f t="shared" si="27"/>
        <v/>
      </c>
      <c r="K377" t="str">
        <f>IF(OR($F377="",$J377="",$J377="نامعتبر"),"",LEFT($J377,4)&amp;MID($J377,6,2)&amp;RIGHT($J377,2)&amp;$N377&amp;"|"&amp;"2"&amp;RIGHT("00000"&amp;372,5))</f>
        <v/>
      </c>
      <c r="L377" t="str">
        <f t="shared" si="28"/>
        <v/>
      </c>
      <c r="M377" t="str">
        <f t="shared" si="29"/>
        <v/>
      </c>
      <c r="N377" t="str">
        <f>IF($F377="","",IF(Sync!$AF377="","0000",IF(AND(ISNUMBER(Sync!$AF377),Sync!$AF377&gt;=0,Sync!$AF377&lt;1),RIGHT("00"&amp;HOUR(Sync!$AF377),2)&amp;RIGHT("00"&amp;MINUTE(Sync!$AF377),2),IFERROR(RIGHT("00"&amp;VALUE(LEFT(Sync!$AF377,FIND(":",Sync!$AF377)-1)),2)&amp;RIGHT("00"&amp;VALUE(MID(Sync!$AF377,FIND(":",Sync!$AF377)+1,2)),2),"0000"))))</f>
        <v/>
      </c>
    </row>
    <row r="378" spans="1:14" x14ac:dyDescent="0.2">
      <c r="A378" t="str">
        <f>IF(OR(Calc!$E382="",Calc!$E382="نامعتبر",Calc!$G382=""),"",Calc!$G382)</f>
        <v/>
      </c>
      <c r="B378" t="str">
        <f>IF($A378="","",LEFT(Calc!$E382,4)&amp;MID(Calc!$E382,6,2)&amp;RIGHT(Calc!$E382,2)&amp;Calc!$Q382&amp;"|"&amp;"1"&amp;RIGHT("00000"&amp;373,5))</f>
        <v/>
      </c>
      <c r="C378" t="str">
        <f t="shared" si="25"/>
        <v/>
      </c>
      <c r="D378" t="str">
        <f t="shared" si="26"/>
        <v/>
      </c>
      <c r="F378" t="str">
        <f>IF(Sync!$AH378="","",IF(LEFT(UPPER(TRIM(Sync!$AH378)),2)="SL",UPPER(TRIM(Sync!$AH378)),""))</f>
        <v/>
      </c>
      <c r="G378" t="str">
        <f>IF($F378="","",IF(Sync!$AE378="","",IF(ISNUMBER(Sync!$AE378),IF(AND(Sync!$AE378&gt;=10000101,Sync!$AE378&lt;=99991231),INT(Sync!$AE378/10000),""),IFERROR(VALUE(TRIM(LEFT(Sync!$AE378,FIND("/",Sync!$AE378)-1))),""))))</f>
        <v/>
      </c>
      <c r="H378" t="str">
        <f>IF(OR($F378="",$G378=""),"",IF(ISNUMBER(Sync!$AE378),INT(MOD(Sync!$AE378,10000)/100),IFERROR(VALUE(TRIM(LEFT(MID(Sync!$AE378,FIND("/",Sync!$AE378)+1,20),FIND("/",MID(Sync!$AE378,FIND("/",Sync!$AE378)+1,20))-1))),"")))</f>
        <v/>
      </c>
      <c r="I378" t="str">
        <f>IF(OR($F378="",$G378=""),"",IF(ISNUMBER(Sync!$AE378),MOD(Sync!$AE378,100),IFERROR(VALUE(TRIM(MID(MID(Sync!$AE378,FIND("/",Sync!$AE378)+1,20),FIND("/",MID(Sync!$AE378,FIND("/",Sync!$AE378)+1,20))+1,20))),"")))</f>
        <v/>
      </c>
      <c r="J378" t="str">
        <f t="shared" si="27"/>
        <v/>
      </c>
      <c r="K378" t="str">
        <f>IF(OR($F378="",$J378="",$J378="نامعتبر"),"",LEFT($J378,4)&amp;MID($J378,6,2)&amp;RIGHT($J378,2)&amp;$N378&amp;"|"&amp;"2"&amp;RIGHT("00000"&amp;373,5))</f>
        <v/>
      </c>
      <c r="L378" t="str">
        <f t="shared" si="28"/>
        <v/>
      </c>
      <c r="M378" t="str">
        <f t="shared" si="29"/>
        <v/>
      </c>
      <c r="N378" t="str">
        <f>IF($F378="","",IF(Sync!$AF378="","0000",IF(AND(ISNUMBER(Sync!$AF378),Sync!$AF378&gt;=0,Sync!$AF378&lt;1),RIGHT("00"&amp;HOUR(Sync!$AF378),2)&amp;RIGHT("00"&amp;MINUTE(Sync!$AF378),2),IFERROR(RIGHT("00"&amp;VALUE(LEFT(Sync!$AF378,FIND(":",Sync!$AF378)-1)),2)&amp;RIGHT("00"&amp;VALUE(MID(Sync!$AF378,FIND(":",Sync!$AF378)+1,2)),2),"0000"))))</f>
        <v/>
      </c>
    </row>
    <row r="379" spans="1:14" x14ac:dyDescent="0.2">
      <c r="A379" t="str">
        <f>IF(OR(Calc!$E383="",Calc!$E383="نامعتبر",Calc!$G383=""),"",Calc!$G383)</f>
        <v/>
      </c>
      <c r="B379" t="str">
        <f>IF($A379="","",LEFT(Calc!$E383,4)&amp;MID(Calc!$E383,6,2)&amp;RIGHT(Calc!$E383,2)&amp;Calc!$Q383&amp;"|"&amp;"1"&amp;RIGHT("00000"&amp;374,5))</f>
        <v/>
      </c>
      <c r="C379" t="str">
        <f t="shared" si="25"/>
        <v/>
      </c>
      <c r="D379" t="str">
        <f t="shared" si="26"/>
        <v/>
      </c>
      <c r="F379" t="str">
        <f>IF(Sync!$AH379="","",IF(LEFT(UPPER(TRIM(Sync!$AH379)),2)="SL",UPPER(TRIM(Sync!$AH379)),""))</f>
        <v/>
      </c>
      <c r="G379" t="str">
        <f>IF($F379="","",IF(Sync!$AE379="","",IF(ISNUMBER(Sync!$AE379),IF(AND(Sync!$AE379&gt;=10000101,Sync!$AE379&lt;=99991231),INT(Sync!$AE379/10000),""),IFERROR(VALUE(TRIM(LEFT(Sync!$AE379,FIND("/",Sync!$AE379)-1))),""))))</f>
        <v/>
      </c>
      <c r="H379" t="str">
        <f>IF(OR($F379="",$G379=""),"",IF(ISNUMBER(Sync!$AE379),INT(MOD(Sync!$AE379,10000)/100),IFERROR(VALUE(TRIM(LEFT(MID(Sync!$AE379,FIND("/",Sync!$AE379)+1,20),FIND("/",MID(Sync!$AE379,FIND("/",Sync!$AE379)+1,20))-1))),"")))</f>
        <v/>
      </c>
      <c r="I379" t="str">
        <f>IF(OR($F379="",$G379=""),"",IF(ISNUMBER(Sync!$AE379),MOD(Sync!$AE379,100),IFERROR(VALUE(TRIM(MID(MID(Sync!$AE379,FIND("/",Sync!$AE379)+1,20),FIND("/",MID(Sync!$AE379,FIND("/",Sync!$AE379)+1,20))+1,20))),"")))</f>
        <v/>
      </c>
      <c r="J379" t="str">
        <f t="shared" si="27"/>
        <v/>
      </c>
      <c r="K379" t="str">
        <f>IF(OR($F379="",$J379="",$J379="نامعتبر"),"",LEFT($J379,4)&amp;MID($J379,6,2)&amp;RIGHT($J379,2)&amp;$N379&amp;"|"&amp;"2"&amp;RIGHT("00000"&amp;374,5))</f>
        <v/>
      </c>
      <c r="L379" t="str">
        <f t="shared" si="28"/>
        <v/>
      </c>
      <c r="M379" t="str">
        <f t="shared" si="29"/>
        <v/>
      </c>
      <c r="N379" t="str">
        <f>IF($F379="","",IF(Sync!$AF379="","0000",IF(AND(ISNUMBER(Sync!$AF379),Sync!$AF379&gt;=0,Sync!$AF379&lt;1),RIGHT("00"&amp;HOUR(Sync!$AF379),2)&amp;RIGHT("00"&amp;MINUTE(Sync!$AF379),2),IFERROR(RIGHT("00"&amp;VALUE(LEFT(Sync!$AF379,FIND(":",Sync!$AF379)-1)),2)&amp;RIGHT("00"&amp;VALUE(MID(Sync!$AF379,FIND(":",Sync!$AF379)+1,2)),2),"0000"))))</f>
        <v/>
      </c>
    </row>
    <row r="380" spans="1:14" x14ac:dyDescent="0.2">
      <c r="A380" t="str">
        <f>IF(OR(Calc!$E384="",Calc!$E384="نامعتبر",Calc!$G384=""),"",Calc!$G384)</f>
        <v/>
      </c>
      <c r="B380" t="str">
        <f>IF($A380="","",LEFT(Calc!$E384,4)&amp;MID(Calc!$E384,6,2)&amp;RIGHT(Calc!$E384,2)&amp;Calc!$Q384&amp;"|"&amp;"1"&amp;RIGHT("00000"&amp;375,5))</f>
        <v/>
      </c>
      <c r="C380" t="str">
        <f t="shared" si="25"/>
        <v/>
      </c>
      <c r="D380" t="str">
        <f t="shared" si="26"/>
        <v/>
      </c>
      <c r="F380" t="str">
        <f>IF(Sync!$AH380="","",IF(LEFT(UPPER(TRIM(Sync!$AH380)),2)="SL",UPPER(TRIM(Sync!$AH380)),""))</f>
        <v/>
      </c>
      <c r="G380" t="str">
        <f>IF($F380="","",IF(Sync!$AE380="","",IF(ISNUMBER(Sync!$AE380),IF(AND(Sync!$AE380&gt;=10000101,Sync!$AE380&lt;=99991231),INT(Sync!$AE380/10000),""),IFERROR(VALUE(TRIM(LEFT(Sync!$AE380,FIND("/",Sync!$AE380)-1))),""))))</f>
        <v/>
      </c>
      <c r="H380" t="str">
        <f>IF(OR($F380="",$G380=""),"",IF(ISNUMBER(Sync!$AE380),INT(MOD(Sync!$AE380,10000)/100),IFERROR(VALUE(TRIM(LEFT(MID(Sync!$AE380,FIND("/",Sync!$AE380)+1,20),FIND("/",MID(Sync!$AE380,FIND("/",Sync!$AE380)+1,20))-1))),"")))</f>
        <v/>
      </c>
      <c r="I380" t="str">
        <f>IF(OR($F380="",$G380=""),"",IF(ISNUMBER(Sync!$AE380),MOD(Sync!$AE380,100),IFERROR(VALUE(TRIM(MID(MID(Sync!$AE380,FIND("/",Sync!$AE380)+1,20),FIND("/",MID(Sync!$AE380,FIND("/",Sync!$AE380)+1,20))+1,20))),"")))</f>
        <v/>
      </c>
      <c r="J380" t="str">
        <f t="shared" si="27"/>
        <v/>
      </c>
      <c r="K380" t="str">
        <f>IF(OR($F380="",$J380="",$J380="نامعتبر"),"",LEFT($J380,4)&amp;MID($J380,6,2)&amp;RIGHT($J380,2)&amp;$N380&amp;"|"&amp;"2"&amp;RIGHT("00000"&amp;375,5))</f>
        <v/>
      </c>
      <c r="L380" t="str">
        <f t="shared" si="28"/>
        <v/>
      </c>
      <c r="M380" t="str">
        <f t="shared" si="29"/>
        <v/>
      </c>
      <c r="N380" t="str">
        <f>IF($F380="","",IF(Sync!$AF380="","0000",IF(AND(ISNUMBER(Sync!$AF380),Sync!$AF380&gt;=0,Sync!$AF380&lt;1),RIGHT("00"&amp;HOUR(Sync!$AF380),2)&amp;RIGHT("00"&amp;MINUTE(Sync!$AF380),2),IFERROR(RIGHT("00"&amp;VALUE(LEFT(Sync!$AF380,FIND(":",Sync!$AF380)-1)),2)&amp;RIGHT("00"&amp;VALUE(MID(Sync!$AF380,FIND(":",Sync!$AF380)+1,2)),2),"0000"))))</f>
        <v/>
      </c>
    </row>
    <row r="381" spans="1:14" x14ac:dyDescent="0.2">
      <c r="A381" t="str">
        <f>IF(OR(Calc!$E385="",Calc!$E385="نامعتبر",Calc!$G385=""),"",Calc!$G385)</f>
        <v/>
      </c>
      <c r="B381" t="str">
        <f>IF($A381="","",LEFT(Calc!$E385,4)&amp;MID(Calc!$E385,6,2)&amp;RIGHT(Calc!$E385,2)&amp;Calc!$Q385&amp;"|"&amp;"1"&amp;RIGHT("00000"&amp;376,5))</f>
        <v/>
      </c>
      <c r="C381" t="str">
        <f t="shared" si="25"/>
        <v/>
      </c>
      <c r="D381" t="str">
        <f t="shared" si="26"/>
        <v/>
      </c>
      <c r="F381" t="str">
        <f>IF(Sync!$AH381="","",IF(LEFT(UPPER(TRIM(Sync!$AH381)),2)="SL",UPPER(TRIM(Sync!$AH381)),""))</f>
        <v/>
      </c>
      <c r="G381" t="str">
        <f>IF($F381="","",IF(Sync!$AE381="","",IF(ISNUMBER(Sync!$AE381),IF(AND(Sync!$AE381&gt;=10000101,Sync!$AE381&lt;=99991231),INT(Sync!$AE381/10000),""),IFERROR(VALUE(TRIM(LEFT(Sync!$AE381,FIND("/",Sync!$AE381)-1))),""))))</f>
        <v/>
      </c>
      <c r="H381" t="str">
        <f>IF(OR($F381="",$G381=""),"",IF(ISNUMBER(Sync!$AE381),INT(MOD(Sync!$AE381,10000)/100),IFERROR(VALUE(TRIM(LEFT(MID(Sync!$AE381,FIND("/",Sync!$AE381)+1,20),FIND("/",MID(Sync!$AE381,FIND("/",Sync!$AE381)+1,20))-1))),"")))</f>
        <v/>
      </c>
      <c r="I381" t="str">
        <f>IF(OR($F381="",$G381=""),"",IF(ISNUMBER(Sync!$AE381),MOD(Sync!$AE381,100),IFERROR(VALUE(TRIM(MID(MID(Sync!$AE381,FIND("/",Sync!$AE381)+1,20),FIND("/",MID(Sync!$AE381,FIND("/",Sync!$AE381)+1,20))+1,20))),"")))</f>
        <v/>
      </c>
      <c r="J381" t="str">
        <f t="shared" si="27"/>
        <v/>
      </c>
      <c r="K381" t="str">
        <f>IF(OR($F381="",$J381="",$J381="نامعتبر"),"",LEFT($J381,4)&amp;MID($J381,6,2)&amp;RIGHT($J381,2)&amp;$N381&amp;"|"&amp;"2"&amp;RIGHT("00000"&amp;376,5))</f>
        <v/>
      </c>
      <c r="L381" t="str">
        <f t="shared" si="28"/>
        <v/>
      </c>
      <c r="M381" t="str">
        <f t="shared" si="29"/>
        <v/>
      </c>
      <c r="N381" t="str">
        <f>IF($F381="","",IF(Sync!$AF381="","0000",IF(AND(ISNUMBER(Sync!$AF381),Sync!$AF381&gt;=0,Sync!$AF381&lt;1),RIGHT("00"&amp;HOUR(Sync!$AF381),2)&amp;RIGHT("00"&amp;MINUTE(Sync!$AF381),2),IFERROR(RIGHT("00"&amp;VALUE(LEFT(Sync!$AF381,FIND(":",Sync!$AF381)-1)),2)&amp;RIGHT("00"&amp;VALUE(MID(Sync!$AF381,FIND(":",Sync!$AF381)+1,2)),2),"0000"))))</f>
        <v/>
      </c>
    </row>
    <row r="382" spans="1:14" x14ac:dyDescent="0.2">
      <c r="A382" t="str">
        <f>IF(OR(Calc!$E386="",Calc!$E386="نامعتبر",Calc!$G386=""),"",Calc!$G386)</f>
        <v/>
      </c>
      <c r="B382" t="str">
        <f>IF($A382="","",LEFT(Calc!$E386,4)&amp;MID(Calc!$E386,6,2)&amp;RIGHT(Calc!$E386,2)&amp;Calc!$Q386&amp;"|"&amp;"1"&amp;RIGHT("00000"&amp;377,5))</f>
        <v/>
      </c>
      <c r="C382" t="str">
        <f t="shared" si="25"/>
        <v/>
      </c>
      <c r="D382" t="str">
        <f t="shared" si="26"/>
        <v/>
      </c>
      <c r="F382" t="str">
        <f>IF(Sync!$AH382="","",IF(LEFT(UPPER(TRIM(Sync!$AH382)),2)="SL",UPPER(TRIM(Sync!$AH382)),""))</f>
        <v/>
      </c>
      <c r="G382" t="str">
        <f>IF($F382="","",IF(Sync!$AE382="","",IF(ISNUMBER(Sync!$AE382),IF(AND(Sync!$AE382&gt;=10000101,Sync!$AE382&lt;=99991231),INT(Sync!$AE382/10000),""),IFERROR(VALUE(TRIM(LEFT(Sync!$AE382,FIND("/",Sync!$AE382)-1))),""))))</f>
        <v/>
      </c>
      <c r="H382" t="str">
        <f>IF(OR($F382="",$G382=""),"",IF(ISNUMBER(Sync!$AE382),INT(MOD(Sync!$AE382,10000)/100),IFERROR(VALUE(TRIM(LEFT(MID(Sync!$AE382,FIND("/",Sync!$AE382)+1,20),FIND("/",MID(Sync!$AE382,FIND("/",Sync!$AE382)+1,20))-1))),"")))</f>
        <v/>
      </c>
      <c r="I382" t="str">
        <f>IF(OR($F382="",$G382=""),"",IF(ISNUMBER(Sync!$AE382),MOD(Sync!$AE382,100),IFERROR(VALUE(TRIM(MID(MID(Sync!$AE382,FIND("/",Sync!$AE382)+1,20),FIND("/",MID(Sync!$AE382,FIND("/",Sync!$AE382)+1,20))+1,20))),"")))</f>
        <v/>
      </c>
      <c r="J382" t="str">
        <f t="shared" si="27"/>
        <v/>
      </c>
      <c r="K382" t="str">
        <f>IF(OR($F382="",$J382="",$J382="نامعتبر"),"",LEFT($J382,4)&amp;MID($J382,6,2)&amp;RIGHT($J382,2)&amp;$N382&amp;"|"&amp;"2"&amp;RIGHT("00000"&amp;377,5))</f>
        <v/>
      </c>
      <c r="L382" t="str">
        <f t="shared" si="28"/>
        <v/>
      </c>
      <c r="M382" t="str">
        <f t="shared" si="29"/>
        <v/>
      </c>
      <c r="N382" t="str">
        <f>IF($F382="","",IF(Sync!$AF382="","0000",IF(AND(ISNUMBER(Sync!$AF382),Sync!$AF382&gt;=0,Sync!$AF382&lt;1),RIGHT("00"&amp;HOUR(Sync!$AF382),2)&amp;RIGHT("00"&amp;MINUTE(Sync!$AF382),2),IFERROR(RIGHT("00"&amp;VALUE(LEFT(Sync!$AF382,FIND(":",Sync!$AF382)-1)),2)&amp;RIGHT("00"&amp;VALUE(MID(Sync!$AF382,FIND(":",Sync!$AF382)+1,2)),2),"0000"))))</f>
        <v/>
      </c>
    </row>
    <row r="383" spans="1:14" x14ac:dyDescent="0.2">
      <c r="A383" t="str">
        <f>IF(OR(Calc!$E387="",Calc!$E387="نامعتبر",Calc!$G387=""),"",Calc!$G387)</f>
        <v/>
      </c>
      <c r="B383" t="str">
        <f>IF($A383="","",LEFT(Calc!$E387,4)&amp;MID(Calc!$E387,6,2)&amp;RIGHT(Calc!$E387,2)&amp;Calc!$Q387&amp;"|"&amp;"1"&amp;RIGHT("00000"&amp;378,5))</f>
        <v/>
      </c>
      <c r="C383" t="str">
        <f t="shared" si="25"/>
        <v/>
      </c>
      <c r="D383" t="str">
        <f t="shared" si="26"/>
        <v/>
      </c>
      <c r="F383" t="str">
        <f>IF(Sync!$AH383="","",IF(LEFT(UPPER(TRIM(Sync!$AH383)),2)="SL",UPPER(TRIM(Sync!$AH383)),""))</f>
        <v/>
      </c>
      <c r="G383" t="str">
        <f>IF($F383="","",IF(Sync!$AE383="","",IF(ISNUMBER(Sync!$AE383),IF(AND(Sync!$AE383&gt;=10000101,Sync!$AE383&lt;=99991231),INT(Sync!$AE383/10000),""),IFERROR(VALUE(TRIM(LEFT(Sync!$AE383,FIND("/",Sync!$AE383)-1))),""))))</f>
        <v/>
      </c>
      <c r="H383" t="str">
        <f>IF(OR($F383="",$G383=""),"",IF(ISNUMBER(Sync!$AE383),INT(MOD(Sync!$AE383,10000)/100),IFERROR(VALUE(TRIM(LEFT(MID(Sync!$AE383,FIND("/",Sync!$AE383)+1,20),FIND("/",MID(Sync!$AE383,FIND("/",Sync!$AE383)+1,20))-1))),"")))</f>
        <v/>
      </c>
      <c r="I383" t="str">
        <f>IF(OR($F383="",$G383=""),"",IF(ISNUMBER(Sync!$AE383),MOD(Sync!$AE383,100),IFERROR(VALUE(TRIM(MID(MID(Sync!$AE383,FIND("/",Sync!$AE383)+1,20),FIND("/",MID(Sync!$AE383,FIND("/",Sync!$AE383)+1,20))+1,20))),"")))</f>
        <v/>
      </c>
      <c r="J383" t="str">
        <f t="shared" si="27"/>
        <v/>
      </c>
      <c r="K383" t="str">
        <f>IF(OR($F383="",$J383="",$J383="نامعتبر"),"",LEFT($J383,4)&amp;MID($J383,6,2)&amp;RIGHT($J383,2)&amp;$N383&amp;"|"&amp;"2"&amp;RIGHT("00000"&amp;378,5))</f>
        <v/>
      </c>
      <c r="L383" t="str">
        <f t="shared" si="28"/>
        <v/>
      </c>
      <c r="M383" t="str">
        <f t="shared" si="29"/>
        <v/>
      </c>
      <c r="N383" t="str">
        <f>IF($F383="","",IF(Sync!$AF383="","0000",IF(AND(ISNUMBER(Sync!$AF383),Sync!$AF383&gt;=0,Sync!$AF383&lt;1),RIGHT("00"&amp;HOUR(Sync!$AF383),2)&amp;RIGHT("00"&amp;MINUTE(Sync!$AF383),2),IFERROR(RIGHT("00"&amp;VALUE(LEFT(Sync!$AF383,FIND(":",Sync!$AF383)-1)),2)&amp;RIGHT("00"&amp;VALUE(MID(Sync!$AF383,FIND(":",Sync!$AF383)+1,2)),2),"0000"))))</f>
        <v/>
      </c>
    </row>
    <row r="384" spans="1:14" x14ac:dyDescent="0.2">
      <c r="A384" t="str">
        <f>IF(OR(Calc!$E388="",Calc!$E388="نامعتبر",Calc!$G388=""),"",Calc!$G388)</f>
        <v/>
      </c>
      <c r="B384" t="str">
        <f>IF($A384="","",LEFT(Calc!$E388,4)&amp;MID(Calc!$E388,6,2)&amp;RIGHT(Calc!$E388,2)&amp;Calc!$Q388&amp;"|"&amp;"1"&amp;RIGHT("00000"&amp;379,5))</f>
        <v/>
      </c>
      <c r="C384" t="str">
        <f t="shared" si="25"/>
        <v/>
      </c>
      <c r="D384" t="str">
        <f t="shared" si="26"/>
        <v/>
      </c>
      <c r="F384" t="str">
        <f>IF(Sync!$AH384="","",IF(LEFT(UPPER(TRIM(Sync!$AH384)),2)="SL",UPPER(TRIM(Sync!$AH384)),""))</f>
        <v/>
      </c>
      <c r="G384" t="str">
        <f>IF($F384="","",IF(Sync!$AE384="","",IF(ISNUMBER(Sync!$AE384),IF(AND(Sync!$AE384&gt;=10000101,Sync!$AE384&lt;=99991231),INT(Sync!$AE384/10000),""),IFERROR(VALUE(TRIM(LEFT(Sync!$AE384,FIND("/",Sync!$AE384)-1))),""))))</f>
        <v/>
      </c>
      <c r="H384" t="str">
        <f>IF(OR($F384="",$G384=""),"",IF(ISNUMBER(Sync!$AE384),INT(MOD(Sync!$AE384,10000)/100),IFERROR(VALUE(TRIM(LEFT(MID(Sync!$AE384,FIND("/",Sync!$AE384)+1,20),FIND("/",MID(Sync!$AE384,FIND("/",Sync!$AE384)+1,20))-1))),"")))</f>
        <v/>
      </c>
      <c r="I384" t="str">
        <f>IF(OR($F384="",$G384=""),"",IF(ISNUMBER(Sync!$AE384),MOD(Sync!$AE384,100),IFERROR(VALUE(TRIM(MID(MID(Sync!$AE384,FIND("/",Sync!$AE384)+1,20),FIND("/",MID(Sync!$AE384,FIND("/",Sync!$AE384)+1,20))+1,20))),"")))</f>
        <v/>
      </c>
      <c r="J384" t="str">
        <f t="shared" si="27"/>
        <v/>
      </c>
      <c r="K384" t="str">
        <f>IF(OR($F384="",$J384="",$J384="نامعتبر"),"",LEFT($J384,4)&amp;MID($J384,6,2)&amp;RIGHT($J384,2)&amp;$N384&amp;"|"&amp;"2"&amp;RIGHT("00000"&amp;379,5))</f>
        <v/>
      </c>
      <c r="L384" t="str">
        <f t="shared" si="28"/>
        <v/>
      </c>
      <c r="M384" t="str">
        <f t="shared" si="29"/>
        <v/>
      </c>
      <c r="N384" t="str">
        <f>IF($F384="","",IF(Sync!$AF384="","0000",IF(AND(ISNUMBER(Sync!$AF384),Sync!$AF384&gt;=0,Sync!$AF384&lt;1),RIGHT("00"&amp;HOUR(Sync!$AF384),2)&amp;RIGHT("00"&amp;MINUTE(Sync!$AF384),2),IFERROR(RIGHT("00"&amp;VALUE(LEFT(Sync!$AF384,FIND(":",Sync!$AF384)-1)),2)&amp;RIGHT("00"&amp;VALUE(MID(Sync!$AF384,FIND(":",Sync!$AF384)+1,2)),2),"0000"))))</f>
        <v/>
      </c>
    </row>
    <row r="385" spans="1:14" x14ac:dyDescent="0.2">
      <c r="A385" t="str">
        <f>IF(OR(Calc!$E389="",Calc!$E389="نامعتبر",Calc!$G389=""),"",Calc!$G389)</f>
        <v/>
      </c>
      <c r="B385" t="str">
        <f>IF($A385="","",LEFT(Calc!$E389,4)&amp;MID(Calc!$E389,6,2)&amp;RIGHT(Calc!$E389,2)&amp;Calc!$Q389&amp;"|"&amp;"1"&amp;RIGHT("00000"&amp;380,5))</f>
        <v/>
      </c>
      <c r="C385" t="str">
        <f t="shared" si="25"/>
        <v/>
      </c>
      <c r="D385" t="str">
        <f t="shared" si="26"/>
        <v/>
      </c>
      <c r="F385" t="str">
        <f>IF(Sync!$AH385="","",IF(LEFT(UPPER(TRIM(Sync!$AH385)),2)="SL",UPPER(TRIM(Sync!$AH385)),""))</f>
        <v/>
      </c>
      <c r="G385" t="str">
        <f>IF($F385="","",IF(Sync!$AE385="","",IF(ISNUMBER(Sync!$AE385),IF(AND(Sync!$AE385&gt;=10000101,Sync!$AE385&lt;=99991231),INT(Sync!$AE385/10000),""),IFERROR(VALUE(TRIM(LEFT(Sync!$AE385,FIND("/",Sync!$AE385)-1))),""))))</f>
        <v/>
      </c>
      <c r="H385" t="str">
        <f>IF(OR($F385="",$G385=""),"",IF(ISNUMBER(Sync!$AE385),INT(MOD(Sync!$AE385,10000)/100),IFERROR(VALUE(TRIM(LEFT(MID(Sync!$AE385,FIND("/",Sync!$AE385)+1,20),FIND("/",MID(Sync!$AE385,FIND("/",Sync!$AE385)+1,20))-1))),"")))</f>
        <v/>
      </c>
      <c r="I385" t="str">
        <f>IF(OR($F385="",$G385=""),"",IF(ISNUMBER(Sync!$AE385),MOD(Sync!$AE385,100),IFERROR(VALUE(TRIM(MID(MID(Sync!$AE385,FIND("/",Sync!$AE385)+1,20),FIND("/",MID(Sync!$AE385,FIND("/",Sync!$AE385)+1,20))+1,20))),"")))</f>
        <v/>
      </c>
      <c r="J385" t="str">
        <f t="shared" si="27"/>
        <v/>
      </c>
      <c r="K385" t="str">
        <f>IF(OR($F385="",$J385="",$J385="نامعتبر"),"",LEFT($J385,4)&amp;MID($J385,6,2)&amp;RIGHT($J385,2)&amp;$N385&amp;"|"&amp;"2"&amp;RIGHT("00000"&amp;380,5))</f>
        <v/>
      </c>
      <c r="L385" t="str">
        <f t="shared" si="28"/>
        <v/>
      </c>
      <c r="M385" t="str">
        <f t="shared" si="29"/>
        <v/>
      </c>
      <c r="N385" t="str">
        <f>IF($F385="","",IF(Sync!$AF385="","0000",IF(AND(ISNUMBER(Sync!$AF385),Sync!$AF385&gt;=0,Sync!$AF385&lt;1),RIGHT("00"&amp;HOUR(Sync!$AF385),2)&amp;RIGHT("00"&amp;MINUTE(Sync!$AF385),2),IFERROR(RIGHT("00"&amp;VALUE(LEFT(Sync!$AF385,FIND(":",Sync!$AF385)-1)),2)&amp;RIGHT("00"&amp;VALUE(MID(Sync!$AF385,FIND(":",Sync!$AF385)+1,2)),2),"0000"))))</f>
        <v/>
      </c>
    </row>
    <row r="386" spans="1:14" x14ac:dyDescent="0.2">
      <c r="A386" t="str">
        <f>IF(OR(Calc!$E390="",Calc!$E390="نامعتبر",Calc!$G390=""),"",Calc!$G390)</f>
        <v/>
      </c>
      <c r="B386" t="str">
        <f>IF($A386="","",LEFT(Calc!$E390,4)&amp;MID(Calc!$E390,6,2)&amp;RIGHT(Calc!$E390,2)&amp;Calc!$Q390&amp;"|"&amp;"1"&amp;RIGHT("00000"&amp;381,5))</f>
        <v/>
      </c>
      <c r="C386" t="str">
        <f t="shared" si="25"/>
        <v/>
      </c>
      <c r="D386" t="str">
        <f t="shared" si="26"/>
        <v/>
      </c>
      <c r="F386" t="str">
        <f>IF(Sync!$AH386="","",IF(LEFT(UPPER(TRIM(Sync!$AH386)),2)="SL",UPPER(TRIM(Sync!$AH386)),""))</f>
        <v/>
      </c>
      <c r="G386" t="str">
        <f>IF($F386="","",IF(Sync!$AE386="","",IF(ISNUMBER(Sync!$AE386),IF(AND(Sync!$AE386&gt;=10000101,Sync!$AE386&lt;=99991231),INT(Sync!$AE386/10000),""),IFERROR(VALUE(TRIM(LEFT(Sync!$AE386,FIND("/",Sync!$AE386)-1))),""))))</f>
        <v/>
      </c>
      <c r="H386" t="str">
        <f>IF(OR($F386="",$G386=""),"",IF(ISNUMBER(Sync!$AE386),INT(MOD(Sync!$AE386,10000)/100),IFERROR(VALUE(TRIM(LEFT(MID(Sync!$AE386,FIND("/",Sync!$AE386)+1,20),FIND("/",MID(Sync!$AE386,FIND("/",Sync!$AE386)+1,20))-1))),"")))</f>
        <v/>
      </c>
      <c r="I386" t="str">
        <f>IF(OR($F386="",$G386=""),"",IF(ISNUMBER(Sync!$AE386),MOD(Sync!$AE386,100),IFERROR(VALUE(TRIM(MID(MID(Sync!$AE386,FIND("/",Sync!$AE386)+1,20),FIND("/",MID(Sync!$AE386,FIND("/",Sync!$AE386)+1,20))+1,20))),"")))</f>
        <v/>
      </c>
      <c r="J386" t="str">
        <f t="shared" si="27"/>
        <v/>
      </c>
      <c r="K386" t="str">
        <f>IF(OR($F386="",$J386="",$J386="نامعتبر"),"",LEFT($J386,4)&amp;MID($J386,6,2)&amp;RIGHT($J386,2)&amp;$N386&amp;"|"&amp;"2"&amp;RIGHT("00000"&amp;381,5))</f>
        <v/>
      </c>
      <c r="L386" t="str">
        <f t="shared" si="28"/>
        <v/>
      </c>
      <c r="M386" t="str">
        <f t="shared" si="29"/>
        <v/>
      </c>
      <c r="N386" t="str">
        <f>IF($F386="","",IF(Sync!$AF386="","0000",IF(AND(ISNUMBER(Sync!$AF386),Sync!$AF386&gt;=0,Sync!$AF386&lt;1),RIGHT("00"&amp;HOUR(Sync!$AF386),2)&amp;RIGHT("00"&amp;MINUTE(Sync!$AF386),2),IFERROR(RIGHT("00"&amp;VALUE(LEFT(Sync!$AF386,FIND(":",Sync!$AF386)-1)),2)&amp;RIGHT("00"&amp;VALUE(MID(Sync!$AF386,FIND(":",Sync!$AF386)+1,2)),2),"0000"))))</f>
        <v/>
      </c>
    </row>
    <row r="387" spans="1:14" x14ac:dyDescent="0.2">
      <c r="A387" t="str">
        <f>IF(OR(Calc!$E391="",Calc!$E391="نامعتبر",Calc!$G391=""),"",Calc!$G391)</f>
        <v/>
      </c>
      <c r="B387" t="str">
        <f>IF($A387="","",LEFT(Calc!$E391,4)&amp;MID(Calc!$E391,6,2)&amp;RIGHT(Calc!$E391,2)&amp;Calc!$Q391&amp;"|"&amp;"1"&amp;RIGHT("00000"&amp;382,5))</f>
        <v/>
      </c>
      <c r="C387" t="str">
        <f t="shared" si="25"/>
        <v/>
      </c>
      <c r="D387" t="str">
        <f t="shared" si="26"/>
        <v/>
      </c>
      <c r="F387" t="str">
        <f>IF(Sync!$AH387="","",IF(LEFT(UPPER(TRIM(Sync!$AH387)),2)="SL",UPPER(TRIM(Sync!$AH387)),""))</f>
        <v/>
      </c>
      <c r="G387" t="str">
        <f>IF($F387="","",IF(Sync!$AE387="","",IF(ISNUMBER(Sync!$AE387),IF(AND(Sync!$AE387&gt;=10000101,Sync!$AE387&lt;=99991231),INT(Sync!$AE387/10000),""),IFERROR(VALUE(TRIM(LEFT(Sync!$AE387,FIND("/",Sync!$AE387)-1))),""))))</f>
        <v/>
      </c>
      <c r="H387" t="str">
        <f>IF(OR($F387="",$G387=""),"",IF(ISNUMBER(Sync!$AE387),INT(MOD(Sync!$AE387,10000)/100),IFERROR(VALUE(TRIM(LEFT(MID(Sync!$AE387,FIND("/",Sync!$AE387)+1,20),FIND("/",MID(Sync!$AE387,FIND("/",Sync!$AE387)+1,20))-1))),"")))</f>
        <v/>
      </c>
      <c r="I387" t="str">
        <f>IF(OR($F387="",$G387=""),"",IF(ISNUMBER(Sync!$AE387),MOD(Sync!$AE387,100),IFERROR(VALUE(TRIM(MID(MID(Sync!$AE387,FIND("/",Sync!$AE387)+1,20),FIND("/",MID(Sync!$AE387,FIND("/",Sync!$AE387)+1,20))+1,20))),"")))</f>
        <v/>
      </c>
      <c r="J387" t="str">
        <f t="shared" si="27"/>
        <v/>
      </c>
      <c r="K387" t="str">
        <f>IF(OR($F387="",$J387="",$J387="نامعتبر"),"",LEFT($J387,4)&amp;MID($J387,6,2)&amp;RIGHT($J387,2)&amp;$N387&amp;"|"&amp;"2"&amp;RIGHT("00000"&amp;382,5))</f>
        <v/>
      </c>
      <c r="L387" t="str">
        <f t="shared" si="28"/>
        <v/>
      </c>
      <c r="M387" t="str">
        <f t="shared" si="29"/>
        <v/>
      </c>
      <c r="N387" t="str">
        <f>IF($F387="","",IF(Sync!$AF387="","0000",IF(AND(ISNUMBER(Sync!$AF387),Sync!$AF387&gt;=0,Sync!$AF387&lt;1),RIGHT("00"&amp;HOUR(Sync!$AF387),2)&amp;RIGHT("00"&amp;MINUTE(Sync!$AF387),2),IFERROR(RIGHT("00"&amp;VALUE(LEFT(Sync!$AF387,FIND(":",Sync!$AF387)-1)),2)&amp;RIGHT("00"&amp;VALUE(MID(Sync!$AF387,FIND(":",Sync!$AF387)+1,2)),2),"0000"))))</f>
        <v/>
      </c>
    </row>
    <row r="388" spans="1:14" x14ac:dyDescent="0.2">
      <c r="A388" t="str">
        <f>IF(OR(Calc!$E392="",Calc!$E392="نامعتبر",Calc!$G392=""),"",Calc!$G392)</f>
        <v/>
      </c>
      <c r="B388" t="str">
        <f>IF($A388="","",LEFT(Calc!$E392,4)&amp;MID(Calc!$E392,6,2)&amp;RIGHT(Calc!$E392,2)&amp;Calc!$Q392&amp;"|"&amp;"1"&amp;RIGHT("00000"&amp;383,5))</f>
        <v/>
      </c>
      <c r="C388" t="str">
        <f t="shared" si="25"/>
        <v/>
      </c>
      <c r="D388" t="str">
        <f t="shared" si="26"/>
        <v/>
      </c>
      <c r="F388" t="str">
        <f>IF(Sync!$AH388="","",IF(LEFT(UPPER(TRIM(Sync!$AH388)),2)="SL",UPPER(TRIM(Sync!$AH388)),""))</f>
        <v/>
      </c>
      <c r="G388" t="str">
        <f>IF($F388="","",IF(Sync!$AE388="","",IF(ISNUMBER(Sync!$AE388),IF(AND(Sync!$AE388&gt;=10000101,Sync!$AE388&lt;=99991231),INT(Sync!$AE388/10000),""),IFERROR(VALUE(TRIM(LEFT(Sync!$AE388,FIND("/",Sync!$AE388)-1))),""))))</f>
        <v/>
      </c>
      <c r="H388" t="str">
        <f>IF(OR($F388="",$G388=""),"",IF(ISNUMBER(Sync!$AE388),INT(MOD(Sync!$AE388,10000)/100),IFERROR(VALUE(TRIM(LEFT(MID(Sync!$AE388,FIND("/",Sync!$AE388)+1,20),FIND("/",MID(Sync!$AE388,FIND("/",Sync!$AE388)+1,20))-1))),"")))</f>
        <v/>
      </c>
      <c r="I388" t="str">
        <f>IF(OR($F388="",$G388=""),"",IF(ISNUMBER(Sync!$AE388),MOD(Sync!$AE388,100),IFERROR(VALUE(TRIM(MID(MID(Sync!$AE388,FIND("/",Sync!$AE388)+1,20),FIND("/",MID(Sync!$AE388,FIND("/",Sync!$AE388)+1,20))+1,20))),"")))</f>
        <v/>
      </c>
      <c r="J388" t="str">
        <f t="shared" si="27"/>
        <v/>
      </c>
      <c r="K388" t="str">
        <f>IF(OR($F388="",$J388="",$J388="نامعتبر"),"",LEFT($J388,4)&amp;MID($J388,6,2)&amp;RIGHT($J388,2)&amp;$N388&amp;"|"&amp;"2"&amp;RIGHT("00000"&amp;383,5))</f>
        <v/>
      </c>
      <c r="L388" t="str">
        <f t="shared" si="28"/>
        <v/>
      </c>
      <c r="M388" t="str">
        <f t="shared" si="29"/>
        <v/>
      </c>
      <c r="N388" t="str">
        <f>IF($F388="","",IF(Sync!$AF388="","0000",IF(AND(ISNUMBER(Sync!$AF388),Sync!$AF388&gt;=0,Sync!$AF388&lt;1),RIGHT("00"&amp;HOUR(Sync!$AF388),2)&amp;RIGHT("00"&amp;MINUTE(Sync!$AF388),2),IFERROR(RIGHT("00"&amp;VALUE(LEFT(Sync!$AF388,FIND(":",Sync!$AF388)-1)),2)&amp;RIGHT("00"&amp;VALUE(MID(Sync!$AF388,FIND(":",Sync!$AF388)+1,2)),2),"0000"))))</f>
        <v/>
      </c>
    </row>
    <row r="389" spans="1:14" x14ac:dyDescent="0.2">
      <c r="A389" t="str">
        <f>IF(OR(Calc!$E393="",Calc!$E393="نامعتبر",Calc!$G393=""),"",Calc!$G393)</f>
        <v/>
      </c>
      <c r="B389" t="str">
        <f>IF($A389="","",LEFT(Calc!$E393,4)&amp;MID(Calc!$E393,6,2)&amp;RIGHT(Calc!$E393,2)&amp;Calc!$Q393&amp;"|"&amp;"1"&amp;RIGHT("00000"&amp;384,5))</f>
        <v/>
      </c>
      <c r="C389" t="str">
        <f t="shared" si="25"/>
        <v/>
      </c>
      <c r="D389" t="str">
        <f t="shared" si="26"/>
        <v/>
      </c>
      <c r="F389" t="str">
        <f>IF(Sync!$AH389="","",IF(LEFT(UPPER(TRIM(Sync!$AH389)),2)="SL",UPPER(TRIM(Sync!$AH389)),""))</f>
        <v/>
      </c>
      <c r="G389" t="str">
        <f>IF($F389="","",IF(Sync!$AE389="","",IF(ISNUMBER(Sync!$AE389),IF(AND(Sync!$AE389&gt;=10000101,Sync!$AE389&lt;=99991231),INT(Sync!$AE389/10000),""),IFERROR(VALUE(TRIM(LEFT(Sync!$AE389,FIND("/",Sync!$AE389)-1))),""))))</f>
        <v/>
      </c>
      <c r="H389" t="str">
        <f>IF(OR($F389="",$G389=""),"",IF(ISNUMBER(Sync!$AE389),INT(MOD(Sync!$AE389,10000)/100),IFERROR(VALUE(TRIM(LEFT(MID(Sync!$AE389,FIND("/",Sync!$AE389)+1,20),FIND("/",MID(Sync!$AE389,FIND("/",Sync!$AE389)+1,20))-1))),"")))</f>
        <v/>
      </c>
      <c r="I389" t="str">
        <f>IF(OR($F389="",$G389=""),"",IF(ISNUMBER(Sync!$AE389),MOD(Sync!$AE389,100),IFERROR(VALUE(TRIM(MID(MID(Sync!$AE389,FIND("/",Sync!$AE389)+1,20),FIND("/",MID(Sync!$AE389,FIND("/",Sync!$AE389)+1,20))+1,20))),"")))</f>
        <v/>
      </c>
      <c r="J389" t="str">
        <f t="shared" si="27"/>
        <v/>
      </c>
      <c r="K389" t="str">
        <f>IF(OR($F389="",$J389="",$J389="نامعتبر"),"",LEFT($J389,4)&amp;MID($J389,6,2)&amp;RIGHT($J389,2)&amp;$N389&amp;"|"&amp;"2"&amp;RIGHT("00000"&amp;384,5))</f>
        <v/>
      </c>
      <c r="L389" t="str">
        <f t="shared" si="28"/>
        <v/>
      </c>
      <c r="M389" t="str">
        <f t="shared" si="29"/>
        <v/>
      </c>
      <c r="N389" t="str">
        <f>IF($F389="","",IF(Sync!$AF389="","0000",IF(AND(ISNUMBER(Sync!$AF389),Sync!$AF389&gt;=0,Sync!$AF389&lt;1),RIGHT("00"&amp;HOUR(Sync!$AF389),2)&amp;RIGHT("00"&amp;MINUTE(Sync!$AF389),2),IFERROR(RIGHT("00"&amp;VALUE(LEFT(Sync!$AF389,FIND(":",Sync!$AF389)-1)),2)&amp;RIGHT("00"&amp;VALUE(MID(Sync!$AF389,FIND(":",Sync!$AF389)+1,2)),2),"0000"))))</f>
        <v/>
      </c>
    </row>
    <row r="390" spans="1:14" x14ac:dyDescent="0.2">
      <c r="A390" t="str">
        <f>IF(OR(Calc!$E394="",Calc!$E394="نامعتبر",Calc!$G394=""),"",Calc!$G394)</f>
        <v/>
      </c>
      <c r="B390" t="str">
        <f>IF($A390="","",LEFT(Calc!$E394,4)&amp;MID(Calc!$E394,6,2)&amp;RIGHT(Calc!$E394,2)&amp;Calc!$Q394&amp;"|"&amp;"1"&amp;RIGHT("00000"&amp;385,5))</f>
        <v/>
      </c>
      <c r="C390" t="str">
        <f t="shared" ref="C390:C453" si="30">IF($B390="","",COUNTIFS(LdgSellerA,$A390,LdgKeyA,"&lt;"&amp;$B390)+COUNTIFS(LdgSellerB,$A390,LdgKeyB,"&lt;"&amp;$B390)+1)</f>
        <v/>
      </c>
      <c r="D390" t="str">
        <f t="shared" ref="D390:D453" si="31">IF($C390="","",$A390&amp;"|"&amp;RIGHT("000000"&amp;$C390,6))</f>
        <v/>
      </c>
      <c r="F390" t="str">
        <f>IF(Sync!$AH390="","",IF(LEFT(UPPER(TRIM(Sync!$AH390)),2)="SL",UPPER(TRIM(Sync!$AH390)),""))</f>
        <v/>
      </c>
      <c r="G390" t="str">
        <f>IF($F390="","",IF(Sync!$AE390="","",IF(ISNUMBER(Sync!$AE390),IF(AND(Sync!$AE390&gt;=10000101,Sync!$AE390&lt;=99991231),INT(Sync!$AE390/10000),""),IFERROR(VALUE(TRIM(LEFT(Sync!$AE390,FIND("/",Sync!$AE390)-1))),""))))</f>
        <v/>
      </c>
      <c r="H390" t="str">
        <f>IF(OR($F390="",$G390=""),"",IF(ISNUMBER(Sync!$AE390),INT(MOD(Sync!$AE390,10000)/100),IFERROR(VALUE(TRIM(LEFT(MID(Sync!$AE390,FIND("/",Sync!$AE390)+1,20),FIND("/",MID(Sync!$AE390,FIND("/",Sync!$AE390)+1,20))-1))),"")))</f>
        <v/>
      </c>
      <c r="I390" t="str">
        <f>IF(OR($F390="",$G390=""),"",IF(ISNUMBER(Sync!$AE390),MOD(Sync!$AE390,100),IFERROR(VALUE(TRIM(MID(MID(Sync!$AE390,FIND("/",Sync!$AE390)+1,20),FIND("/",MID(Sync!$AE390,FIND("/",Sync!$AE390)+1,20))+1,20))),"")))</f>
        <v/>
      </c>
      <c r="J390" t="str">
        <f t="shared" ref="J390:J453" si="32">IF($F390="","",IF(OR($G390="",$H390="",$I390="",$G390&lt;1300,$G390&gt;1500,$H390&lt;1,$H390&gt;12,$I390&lt;1,$I390&gt;31),"نامعتبر",RIGHT("0000"&amp;$G390,4)&amp;"/"&amp;RIGHT("00"&amp;$H390,2)&amp;"/"&amp;RIGHT("00"&amp;$I390,2)))</f>
        <v/>
      </c>
      <c r="K390" t="str">
        <f>IF(OR($F390="",$J390="",$J390="نامعتبر"),"",LEFT($J390,4)&amp;MID($J390,6,2)&amp;RIGHT($J390,2)&amp;$N390&amp;"|"&amp;"2"&amp;RIGHT("00000"&amp;385,5))</f>
        <v/>
      </c>
      <c r="L390" t="str">
        <f t="shared" ref="L390:L453" si="33">IF($K390="","",COUNTIFS(LdgSellerA,$F390,LdgKeyA,"&lt;"&amp;$K390)+COUNTIFS(LdgSellerB,$F390,LdgKeyB,"&lt;"&amp;$K390)+1)</f>
        <v/>
      </c>
      <c r="M390" t="str">
        <f t="shared" ref="M390:M453" si="34">IF($L390="","",$F390&amp;"|"&amp;RIGHT("000000"&amp;$L390,6))</f>
        <v/>
      </c>
      <c r="N390" t="str">
        <f>IF($F390="","",IF(Sync!$AF390="","0000",IF(AND(ISNUMBER(Sync!$AF390),Sync!$AF390&gt;=0,Sync!$AF390&lt;1),RIGHT("00"&amp;HOUR(Sync!$AF390),2)&amp;RIGHT("00"&amp;MINUTE(Sync!$AF390),2),IFERROR(RIGHT("00"&amp;VALUE(LEFT(Sync!$AF390,FIND(":",Sync!$AF390)-1)),2)&amp;RIGHT("00"&amp;VALUE(MID(Sync!$AF390,FIND(":",Sync!$AF390)+1,2)),2),"0000"))))</f>
        <v/>
      </c>
    </row>
    <row r="391" spans="1:14" x14ac:dyDescent="0.2">
      <c r="A391" t="str">
        <f>IF(OR(Calc!$E395="",Calc!$E395="نامعتبر",Calc!$G395=""),"",Calc!$G395)</f>
        <v/>
      </c>
      <c r="B391" t="str">
        <f>IF($A391="","",LEFT(Calc!$E395,4)&amp;MID(Calc!$E395,6,2)&amp;RIGHT(Calc!$E395,2)&amp;Calc!$Q395&amp;"|"&amp;"1"&amp;RIGHT("00000"&amp;386,5))</f>
        <v/>
      </c>
      <c r="C391" t="str">
        <f t="shared" si="30"/>
        <v/>
      </c>
      <c r="D391" t="str">
        <f t="shared" si="31"/>
        <v/>
      </c>
      <c r="F391" t="str">
        <f>IF(Sync!$AH391="","",IF(LEFT(UPPER(TRIM(Sync!$AH391)),2)="SL",UPPER(TRIM(Sync!$AH391)),""))</f>
        <v/>
      </c>
      <c r="G391" t="str">
        <f>IF($F391="","",IF(Sync!$AE391="","",IF(ISNUMBER(Sync!$AE391),IF(AND(Sync!$AE391&gt;=10000101,Sync!$AE391&lt;=99991231),INT(Sync!$AE391/10000),""),IFERROR(VALUE(TRIM(LEFT(Sync!$AE391,FIND("/",Sync!$AE391)-1))),""))))</f>
        <v/>
      </c>
      <c r="H391" t="str">
        <f>IF(OR($F391="",$G391=""),"",IF(ISNUMBER(Sync!$AE391),INT(MOD(Sync!$AE391,10000)/100),IFERROR(VALUE(TRIM(LEFT(MID(Sync!$AE391,FIND("/",Sync!$AE391)+1,20),FIND("/",MID(Sync!$AE391,FIND("/",Sync!$AE391)+1,20))-1))),"")))</f>
        <v/>
      </c>
      <c r="I391" t="str">
        <f>IF(OR($F391="",$G391=""),"",IF(ISNUMBER(Sync!$AE391),MOD(Sync!$AE391,100),IFERROR(VALUE(TRIM(MID(MID(Sync!$AE391,FIND("/",Sync!$AE391)+1,20),FIND("/",MID(Sync!$AE391,FIND("/",Sync!$AE391)+1,20))+1,20))),"")))</f>
        <v/>
      </c>
      <c r="J391" t="str">
        <f t="shared" si="32"/>
        <v/>
      </c>
      <c r="K391" t="str">
        <f>IF(OR($F391="",$J391="",$J391="نامعتبر"),"",LEFT($J391,4)&amp;MID($J391,6,2)&amp;RIGHT($J391,2)&amp;$N391&amp;"|"&amp;"2"&amp;RIGHT("00000"&amp;386,5))</f>
        <v/>
      </c>
      <c r="L391" t="str">
        <f t="shared" si="33"/>
        <v/>
      </c>
      <c r="M391" t="str">
        <f t="shared" si="34"/>
        <v/>
      </c>
      <c r="N391" t="str">
        <f>IF($F391="","",IF(Sync!$AF391="","0000",IF(AND(ISNUMBER(Sync!$AF391),Sync!$AF391&gt;=0,Sync!$AF391&lt;1),RIGHT("00"&amp;HOUR(Sync!$AF391),2)&amp;RIGHT("00"&amp;MINUTE(Sync!$AF391),2),IFERROR(RIGHT("00"&amp;VALUE(LEFT(Sync!$AF391,FIND(":",Sync!$AF391)-1)),2)&amp;RIGHT("00"&amp;VALUE(MID(Sync!$AF391,FIND(":",Sync!$AF391)+1,2)),2),"0000"))))</f>
        <v/>
      </c>
    </row>
    <row r="392" spans="1:14" x14ac:dyDescent="0.2">
      <c r="A392" t="str">
        <f>IF(OR(Calc!$E396="",Calc!$E396="نامعتبر",Calc!$G396=""),"",Calc!$G396)</f>
        <v/>
      </c>
      <c r="B392" t="str">
        <f>IF($A392="","",LEFT(Calc!$E396,4)&amp;MID(Calc!$E396,6,2)&amp;RIGHT(Calc!$E396,2)&amp;Calc!$Q396&amp;"|"&amp;"1"&amp;RIGHT("00000"&amp;387,5))</f>
        <v/>
      </c>
      <c r="C392" t="str">
        <f t="shared" si="30"/>
        <v/>
      </c>
      <c r="D392" t="str">
        <f t="shared" si="31"/>
        <v/>
      </c>
      <c r="F392" t="str">
        <f>IF(Sync!$AH392="","",IF(LEFT(UPPER(TRIM(Sync!$AH392)),2)="SL",UPPER(TRIM(Sync!$AH392)),""))</f>
        <v/>
      </c>
      <c r="G392" t="str">
        <f>IF($F392="","",IF(Sync!$AE392="","",IF(ISNUMBER(Sync!$AE392),IF(AND(Sync!$AE392&gt;=10000101,Sync!$AE392&lt;=99991231),INT(Sync!$AE392/10000),""),IFERROR(VALUE(TRIM(LEFT(Sync!$AE392,FIND("/",Sync!$AE392)-1))),""))))</f>
        <v/>
      </c>
      <c r="H392" t="str">
        <f>IF(OR($F392="",$G392=""),"",IF(ISNUMBER(Sync!$AE392),INT(MOD(Sync!$AE392,10000)/100),IFERROR(VALUE(TRIM(LEFT(MID(Sync!$AE392,FIND("/",Sync!$AE392)+1,20),FIND("/",MID(Sync!$AE392,FIND("/",Sync!$AE392)+1,20))-1))),"")))</f>
        <v/>
      </c>
      <c r="I392" t="str">
        <f>IF(OR($F392="",$G392=""),"",IF(ISNUMBER(Sync!$AE392),MOD(Sync!$AE392,100),IFERROR(VALUE(TRIM(MID(MID(Sync!$AE392,FIND("/",Sync!$AE392)+1,20),FIND("/",MID(Sync!$AE392,FIND("/",Sync!$AE392)+1,20))+1,20))),"")))</f>
        <v/>
      </c>
      <c r="J392" t="str">
        <f t="shared" si="32"/>
        <v/>
      </c>
      <c r="K392" t="str">
        <f>IF(OR($F392="",$J392="",$J392="نامعتبر"),"",LEFT($J392,4)&amp;MID($J392,6,2)&amp;RIGHT($J392,2)&amp;$N392&amp;"|"&amp;"2"&amp;RIGHT("00000"&amp;387,5))</f>
        <v/>
      </c>
      <c r="L392" t="str">
        <f t="shared" si="33"/>
        <v/>
      </c>
      <c r="M392" t="str">
        <f t="shared" si="34"/>
        <v/>
      </c>
      <c r="N392" t="str">
        <f>IF($F392="","",IF(Sync!$AF392="","0000",IF(AND(ISNUMBER(Sync!$AF392),Sync!$AF392&gt;=0,Sync!$AF392&lt;1),RIGHT("00"&amp;HOUR(Sync!$AF392),2)&amp;RIGHT("00"&amp;MINUTE(Sync!$AF392),2),IFERROR(RIGHT("00"&amp;VALUE(LEFT(Sync!$AF392,FIND(":",Sync!$AF392)-1)),2)&amp;RIGHT("00"&amp;VALUE(MID(Sync!$AF392,FIND(":",Sync!$AF392)+1,2)),2),"0000"))))</f>
        <v/>
      </c>
    </row>
    <row r="393" spans="1:14" x14ac:dyDescent="0.2">
      <c r="A393" t="str">
        <f>IF(OR(Calc!$E397="",Calc!$E397="نامعتبر",Calc!$G397=""),"",Calc!$G397)</f>
        <v/>
      </c>
      <c r="B393" t="str">
        <f>IF($A393="","",LEFT(Calc!$E397,4)&amp;MID(Calc!$E397,6,2)&amp;RIGHT(Calc!$E397,2)&amp;Calc!$Q397&amp;"|"&amp;"1"&amp;RIGHT("00000"&amp;388,5))</f>
        <v/>
      </c>
      <c r="C393" t="str">
        <f t="shared" si="30"/>
        <v/>
      </c>
      <c r="D393" t="str">
        <f t="shared" si="31"/>
        <v/>
      </c>
      <c r="F393" t="str">
        <f>IF(Sync!$AH393="","",IF(LEFT(UPPER(TRIM(Sync!$AH393)),2)="SL",UPPER(TRIM(Sync!$AH393)),""))</f>
        <v/>
      </c>
      <c r="G393" t="str">
        <f>IF($F393="","",IF(Sync!$AE393="","",IF(ISNUMBER(Sync!$AE393),IF(AND(Sync!$AE393&gt;=10000101,Sync!$AE393&lt;=99991231),INT(Sync!$AE393/10000),""),IFERROR(VALUE(TRIM(LEFT(Sync!$AE393,FIND("/",Sync!$AE393)-1))),""))))</f>
        <v/>
      </c>
      <c r="H393" t="str">
        <f>IF(OR($F393="",$G393=""),"",IF(ISNUMBER(Sync!$AE393),INT(MOD(Sync!$AE393,10000)/100),IFERROR(VALUE(TRIM(LEFT(MID(Sync!$AE393,FIND("/",Sync!$AE393)+1,20),FIND("/",MID(Sync!$AE393,FIND("/",Sync!$AE393)+1,20))-1))),"")))</f>
        <v/>
      </c>
      <c r="I393" t="str">
        <f>IF(OR($F393="",$G393=""),"",IF(ISNUMBER(Sync!$AE393),MOD(Sync!$AE393,100),IFERROR(VALUE(TRIM(MID(MID(Sync!$AE393,FIND("/",Sync!$AE393)+1,20),FIND("/",MID(Sync!$AE393,FIND("/",Sync!$AE393)+1,20))+1,20))),"")))</f>
        <v/>
      </c>
      <c r="J393" t="str">
        <f t="shared" si="32"/>
        <v/>
      </c>
      <c r="K393" t="str">
        <f>IF(OR($F393="",$J393="",$J393="نامعتبر"),"",LEFT($J393,4)&amp;MID($J393,6,2)&amp;RIGHT($J393,2)&amp;$N393&amp;"|"&amp;"2"&amp;RIGHT("00000"&amp;388,5))</f>
        <v/>
      </c>
      <c r="L393" t="str">
        <f t="shared" si="33"/>
        <v/>
      </c>
      <c r="M393" t="str">
        <f t="shared" si="34"/>
        <v/>
      </c>
      <c r="N393" t="str">
        <f>IF($F393="","",IF(Sync!$AF393="","0000",IF(AND(ISNUMBER(Sync!$AF393),Sync!$AF393&gt;=0,Sync!$AF393&lt;1),RIGHT("00"&amp;HOUR(Sync!$AF393),2)&amp;RIGHT("00"&amp;MINUTE(Sync!$AF393),2),IFERROR(RIGHT("00"&amp;VALUE(LEFT(Sync!$AF393,FIND(":",Sync!$AF393)-1)),2)&amp;RIGHT("00"&amp;VALUE(MID(Sync!$AF393,FIND(":",Sync!$AF393)+1,2)),2),"0000"))))</f>
        <v/>
      </c>
    </row>
    <row r="394" spans="1:14" x14ac:dyDescent="0.2">
      <c r="A394" t="str">
        <f>IF(OR(Calc!$E398="",Calc!$E398="نامعتبر",Calc!$G398=""),"",Calc!$G398)</f>
        <v/>
      </c>
      <c r="B394" t="str">
        <f>IF($A394="","",LEFT(Calc!$E398,4)&amp;MID(Calc!$E398,6,2)&amp;RIGHT(Calc!$E398,2)&amp;Calc!$Q398&amp;"|"&amp;"1"&amp;RIGHT("00000"&amp;389,5))</f>
        <v/>
      </c>
      <c r="C394" t="str">
        <f t="shared" si="30"/>
        <v/>
      </c>
      <c r="D394" t="str">
        <f t="shared" si="31"/>
        <v/>
      </c>
      <c r="F394" t="str">
        <f>IF(Sync!$AH394="","",IF(LEFT(UPPER(TRIM(Sync!$AH394)),2)="SL",UPPER(TRIM(Sync!$AH394)),""))</f>
        <v/>
      </c>
      <c r="G394" t="str">
        <f>IF($F394="","",IF(Sync!$AE394="","",IF(ISNUMBER(Sync!$AE394),IF(AND(Sync!$AE394&gt;=10000101,Sync!$AE394&lt;=99991231),INT(Sync!$AE394/10000),""),IFERROR(VALUE(TRIM(LEFT(Sync!$AE394,FIND("/",Sync!$AE394)-1))),""))))</f>
        <v/>
      </c>
      <c r="H394" t="str">
        <f>IF(OR($F394="",$G394=""),"",IF(ISNUMBER(Sync!$AE394),INT(MOD(Sync!$AE394,10000)/100),IFERROR(VALUE(TRIM(LEFT(MID(Sync!$AE394,FIND("/",Sync!$AE394)+1,20),FIND("/",MID(Sync!$AE394,FIND("/",Sync!$AE394)+1,20))-1))),"")))</f>
        <v/>
      </c>
      <c r="I394" t="str">
        <f>IF(OR($F394="",$G394=""),"",IF(ISNUMBER(Sync!$AE394),MOD(Sync!$AE394,100),IFERROR(VALUE(TRIM(MID(MID(Sync!$AE394,FIND("/",Sync!$AE394)+1,20),FIND("/",MID(Sync!$AE394,FIND("/",Sync!$AE394)+1,20))+1,20))),"")))</f>
        <v/>
      </c>
      <c r="J394" t="str">
        <f t="shared" si="32"/>
        <v/>
      </c>
      <c r="K394" t="str">
        <f>IF(OR($F394="",$J394="",$J394="نامعتبر"),"",LEFT($J394,4)&amp;MID($J394,6,2)&amp;RIGHT($J394,2)&amp;$N394&amp;"|"&amp;"2"&amp;RIGHT("00000"&amp;389,5))</f>
        <v/>
      </c>
      <c r="L394" t="str">
        <f t="shared" si="33"/>
        <v/>
      </c>
      <c r="M394" t="str">
        <f t="shared" si="34"/>
        <v/>
      </c>
      <c r="N394" t="str">
        <f>IF($F394="","",IF(Sync!$AF394="","0000",IF(AND(ISNUMBER(Sync!$AF394),Sync!$AF394&gt;=0,Sync!$AF394&lt;1),RIGHT("00"&amp;HOUR(Sync!$AF394),2)&amp;RIGHT("00"&amp;MINUTE(Sync!$AF394),2),IFERROR(RIGHT("00"&amp;VALUE(LEFT(Sync!$AF394,FIND(":",Sync!$AF394)-1)),2)&amp;RIGHT("00"&amp;VALUE(MID(Sync!$AF394,FIND(":",Sync!$AF394)+1,2)),2),"0000"))))</f>
        <v/>
      </c>
    </row>
    <row r="395" spans="1:14" x14ac:dyDescent="0.2">
      <c r="A395" t="str">
        <f>IF(OR(Calc!$E399="",Calc!$E399="نامعتبر",Calc!$G399=""),"",Calc!$G399)</f>
        <v/>
      </c>
      <c r="B395" t="str">
        <f>IF($A395="","",LEFT(Calc!$E399,4)&amp;MID(Calc!$E399,6,2)&amp;RIGHT(Calc!$E399,2)&amp;Calc!$Q399&amp;"|"&amp;"1"&amp;RIGHT("00000"&amp;390,5))</f>
        <v/>
      </c>
      <c r="C395" t="str">
        <f t="shared" si="30"/>
        <v/>
      </c>
      <c r="D395" t="str">
        <f t="shared" si="31"/>
        <v/>
      </c>
      <c r="F395" t="str">
        <f>IF(Sync!$AH395="","",IF(LEFT(UPPER(TRIM(Sync!$AH395)),2)="SL",UPPER(TRIM(Sync!$AH395)),""))</f>
        <v/>
      </c>
      <c r="G395" t="str">
        <f>IF($F395="","",IF(Sync!$AE395="","",IF(ISNUMBER(Sync!$AE395),IF(AND(Sync!$AE395&gt;=10000101,Sync!$AE395&lt;=99991231),INT(Sync!$AE395/10000),""),IFERROR(VALUE(TRIM(LEFT(Sync!$AE395,FIND("/",Sync!$AE395)-1))),""))))</f>
        <v/>
      </c>
      <c r="H395" t="str">
        <f>IF(OR($F395="",$G395=""),"",IF(ISNUMBER(Sync!$AE395),INT(MOD(Sync!$AE395,10000)/100),IFERROR(VALUE(TRIM(LEFT(MID(Sync!$AE395,FIND("/",Sync!$AE395)+1,20),FIND("/",MID(Sync!$AE395,FIND("/",Sync!$AE395)+1,20))-1))),"")))</f>
        <v/>
      </c>
      <c r="I395" t="str">
        <f>IF(OR($F395="",$G395=""),"",IF(ISNUMBER(Sync!$AE395),MOD(Sync!$AE395,100),IFERROR(VALUE(TRIM(MID(MID(Sync!$AE395,FIND("/",Sync!$AE395)+1,20),FIND("/",MID(Sync!$AE395,FIND("/",Sync!$AE395)+1,20))+1,20))),"")))</f>
        <v/>
      </c>
      <c r="J395" t="str">
        <f t="shared" si="32"/>
        <v/>
      </c>
      <c r="K395" t="str">
        <f>IF(OR($F395="",$J395="",$J395="نامعتبر"),"",LEFT($J395,4)&amp;MID($J395,6,2)&amp;RIGHT($J395,2)&amp;$N395&amp;"|"&amp;"2"&amp;RIGHT("00000"&amp;390,5))</f>
        <v/>
      </c>
      <c r="L395" t="str">
        <f t="shared" si="33"/>
        <v/>
      </c>
      <c r="M395" t="str">
        <f t="shared" si="34"/>
        <v/>
      </c>
      <c r="N395" t="str">
        <f>IF($F395="","",IF(Sync!$AF395="","0000",IF(AND(ISNUMBER(Sync!$AF395),Sync!$AF395&gt;=0,Sync!$AF395&lt;1),RIGHT("00"&amp;HOUR(Sync!$AF395),2)&amp;RIGHT("00"&amp;MINUTE(Sync!$AF395),2),IFERROR(RIGHT("00"&amp;VALUE(LEFT(Sync!$AF395,FIND(":",Sync!$AF395)-1)),2)&amp;RIGHT("00"&amp;VALUE(MID(Sync!$AF395,FIND(":",Sync!$AF395)+1,2)),2),"0000"))))</f>
        <v/>
      </c>
    </row>
    <row r="396" spans="1:14" x14ac:dyDescent="0.2">
      <c r="A396" t="str">
        <f>IF(OR(Calc!$E400="",Calc!$E400="نامعتبر",Calc!$G400=""),"",Calc!$G400)</f>
        <v/>
      </c>
      <c r="B396" t="str">
        <f>IF($A396="","",LEFT(Calc!$E400,4)&amp;MID(Calc!$E400,6,2)&amp;RIGHT(Calc!$E400,2)&amp;Calc!$Q400&amp;"|"&amp;"1"&amp;RIGHT("00000"&amp;391,5))</f>
        <v/>
      </c>
      <c r="C396" t="str">
        <f t="shared" si="30"/>
        <v/>
      </c>
      <c r="D396" t="str">
        <f t="shared" si="31"/>
        <v/>
      </c>
      <c r="F396" t="str">
        <f>IF(Sync!$AH396="","",IF(LEFT(UPPER(TRIM(Sync!$AH396)),2)="SL",UPPER(TRIM(Sync!$AH396)),""))</f>
        <v/>
      </c>
      <c r="G396" t="str">
        <f>IF($F396="","",IF(Sync!$AE396="","",IF(ISNUMBER(Sync!$AE396),IF(AND(Sync!$AE396&gt;=10000101,Sync!$AE396&lt;=99991231),INT(Sync!$AE396/10000),""),IFERROR(VALUE(TRIM(LEFT(Sync!$AE396,FIND("/",Sync!$AE396)-1))),""))))</f>
        <v/>
      </c>
      <c r="H396" t="str">
        <f>IF(OR($F396="",$G396=""),"",IF(ISNUMBER(Sync!$AE396),INT(MOD(Sync!$AE396,10000)/100),IFERROR(VALUE(TRIM(LEFT(MID(Sync!$AE396,FIND("/",Sync!$AE396)+1,20),FIND("/",MID(Sync!$AE396,FIND("/",Sync!$AE396)+1,20))-1))),"")))</f>
        <v/>
      </c>
      <c r="I396" t="str">
        <f>IF(OR($F396="",$G396=""),"",IF(ISNUMBER(Sync!$AE396),MOD(Sync!$AE396,100),IFERROR(VALUE(TRIM(MID(MID(Sync!$AE396,FIND("/",Sync!$AE396)+1,20),FIND("/",MID(Sync!$AE396,FIND("/",Sync!$AE396)+1,20))+1,20))),"")))</f>
        <v/>
      </c>
      <c r="J396" t="str">
        <f t="shared" si="32"/>
        <v/>
      </c>
      <c r="K396" t="str">
        <f>IF(OR($F396="",$J396="",$J396="نامعتبر"),"",LEFT($J396,4)&amp;MID($J396,6,2)&amp;RIGHT($J396,2)&amp;$N396&amp;"|"&amp;"2"&amp;RIGHT("00000"&amp;391,5))</f>
        <v/>
      </c>
      <c r="L396" t="str">
        <f t="shared" si="33"/>
        <v/>
      </c>
      <c r="M396" t="str">
        <f t="shared" si="34"/>
        <v/>
      </c>
      <c r="N396" t="str">
        <f>IF($F396="","",IF(Sync!$AF396="","0000",IF(AND(ISNUMBER(Sync!$AF396),Sync!$AF396&gt;=0,Sync!$AF396&lt;1),RIGHT("00"&amp;HOUR(Sync!$AF396),2)&amp;RIGHT("00"&amp;MINUTE(Sync!$AF396),2),IFERROR(RIGHT("00"&amp;VALUE(LEFT(Sync!$AF396,FIND(":",Sync!$AF396)-1)),2)&amp;RIGHT("00"&amp;VALUE(MID(Sync!$AF396,FIND(":",Sync!$AF396)+1,2)),2),"0000"))))</f>
        <v/>
      </c>
    </row>
    <row r="397" spans="1:14" x14ac:dyDescent="0.2">
      <c r="A397" t="str">
        <f>IF(OR(Calc!$E401="",Calc!$E401="نامعتبر",Calc!$G401=""),"",Calc!$G401)</f>
        <v/>
      </c>
      <c r="B397" t="str">
        <f>IF($A397="","",LEFT(Calc!$E401,4)&amp;MID(Calc!$E401,6,2)&amp;RIGHT(Calc!$E401,2)&amp;Calc!$Q401&amp;"|"&amp;"1"&amp;RIGHT("00000"&amp;392,5))</f>
        <v/>
      </c>
      <c r="C397" t="str">
        <f t="shared" si="30"/>
        <v/>
      </c>
      <c r="D397" t="str">
        <f t="shared" si="31"/>
        <v/>
      </c>
      <c r="F397" t="str">
        <f>IF(Sync!$AH397="","",IF(LEFT(UPPER(TRIM(Sync!$AH397)),2)="SL",UPPER(TRIM(Sync!$AH397)),""))</f>
        <v/>
      </c>
      <c r="G397" t="str">
        <f>IF($F397="","",IF(Sync!$AE397="","",IF(ISNUMBER(Sync!$AE397),IF(AND(Sync!$AE397&gt;=10000101,Sync!$AE397&lt;=99991231),INT(Sync!$AE397/10000),""),IFERROR(VALUE(TRIM(LEFT(Sync!$AE397,FIND("/",Sync!$AE397)-1))),""))))</f>
        <v/>
      </c>
      <c r="H397" t="str">
        <f>IF(OR($F397="",$G397=""),"",IF(ISNUMBER(Sync!$AE397),INT(MOD(Sync!$AE397,10000)/100),IFERROR(VALUE(TRIM(LEFT(MID(Sync!$AE397,FIND("/",Sync!$AE397)+1,20),FIND("/",MID(Sync!$AE397,FIND("/",Sync!$AE397)+1,20))-1))),"")))</f>
        <v/>
      </c>
      <c r="I397" t="str">
        <f>IF(OR($F397="",$G397=""),"",IF(ISNUMBER(Sync!$AE397),MOD(Sync!$AE397,100),IFERROR(VALUE(TRIM(MID(MID(Sync!$AE397,FIND("/",Sync!$AE397)+1,20),FIND("/",MID(Sync!$AE397,FIND("/",Sync!$AE397)+1,20))+1,20))),"")))</f>
        <v/>
      </c>
      <c r="J397" t="str">
        <f t="shared" si="32"/>
        <v/>
      </c>
      <c r="K397" t="str">
        <f>IF(OR($F397="",$J397="",$J397="نامعتبر"),"",LEFT($J397,4)&amp;MID($J397,6,2)&amp;RIGHT($J397,2)&amp;$N397&amp;"|"&amp;"2"&amp;RIGHT("00000"&amp;392,5))</f>
        <v/>
      </c>
      <c r="L397" t="str">
        <f t="shared" si="33"/>
        <v/>
      </c>
      <c r="M397" t="str">
        <f t="shared" si="34"/>
        <v/>
      </c>
      <c r="N397" t="str">
        <f>IF($F397="","",IF(Sync!$AF397="","0000",IF(AND(ISNUMBER(Sync!$AF397),Sync!$AF397&gt;=0,Sync!$AF397&lt;1),RIGHT("00"&amp;HOUR(Sync!$AF397),2)&amp;RIGHT("00"&amp;MINUTE(Sync!$AF397),2),IFERROR(RIGHT("00"&amp;VALUE(LEFT(Sync!$AF397,FIND(":",Sync!$AF397)-1)),2)&amp;RIGHT("00"&amp;VALUE(MID(Sync!$AF397,FIND(":",Sync!$AF397)+1,2)),2),"0000"))))</f>
        <v/>
      </c>
    </row>
    <row r="398" spans="1:14" x14ac:dyDescent="0.2">
      <c r="A398" t="str">
        <f>IF(OR(Calc!$E402="",Calc!$E402="نامعتبر",Calc!$G402=""),"",Calc!$G402)</f>
        <v/>
      </c>
      <c r="B398" t="str">
        <f>IF($A398="","",LEFT(Calc!$E402,4)&amp;MID(Calc!$E402,6,2)&amp;RIGHT(Calc!$E402,2)&amp;Calc!$Q402&amp;"|"&amp;"1"&amp;RIGHT("00000"&amp;393,5))</f>
        <v/>
      </c>
      <c r="C398" t="str">
        <f t="shared" si="30"/>
        <v/>
      </c>
      <c r="D398" t="str">
        <f t="shared" si="31"/>
        <v/>
      </c>
      <c r="F398" t="str">
        <f>IF(Sync!$AH398="","",IF(LEFT(UPPER(TRIM(Sync!$AH398)),2)="SL",UPPER(TRIM(Sync!$AH398)),""))</f>
        <v/>
      </c>
      <c r="G398" t="str">
        <f>IF($F398="","",IF(Sync!$AE398="","",IF(ISNUMBER(Sync!$AE398),IF(AND(Sync!$AE398&gt;=10000101,Sync!$AE398&lt;=99991231),INT(Sync!$AE398/10000),""),IFERROR(VALUE(TRIM(LEFT(Sync!$AE398,FIND("/",Sync!$AE398)-1))),""))))</f>
        <v/>
      </c>
      <c r="H398" t="str">
        <f>IF(OR($F398="",$G398=""),"",IF(ISNUMBER(Sync!$AE398),INT(MOD(Sync!$AE398,10000)/100),IFERROR(VALUE(TRIM(LEFT(MID(Sync!$AE398,FIND("/",Sync!$AE398)+1,20),FIND("/",MID(Sync!$AE398,FIND("/",Sync!$AE398)+1,20))-1))),"")))</f>
        <v/>
      </c>
      <c r="I398" t="str">
        <f>IF(OR($F398="",$G398=""),"",IF(ISNUMBER(Sync!$AE398),MOD(Sync!$AE398,100),IFERROR(VALUE(TRIM(MID(MID(Sync!$AE398,FIND("/",Sync!$AE398)+1,20),FIND("/",MID(Sync!$AE398,FIND("/",Sync!$AE398)+1,20))+1,20))),"")))</f>
        <v/>
      </c>
      <c r="J398" t="str">
        <f t="shared" si="32"/>
        <v/>
      </c>
      <c r="K398" t="str">
        <f>IF(OR($F398="",$J398="",$J398="نامعتبر"),"",LEFT($J398,4)&amp;MID($J398,6,2)&amp;RIGHT($J398,2)&amp;$N398&amp;"|"&amp;"2"&amp;RIGHT("00000"&amp;393,5))</f>
        <v/>
      </c>
      <c r="L398" t="str">
        <f t="shared" si="33"/>
        <v/>
      </c>
      <c r="M398" t="str">
        <f t="shared" si="34"/>
        <v/>
      </c>
      <c r="N398" t="str">
        <f>IF($F398="","",IF(Sync!$AF398="","0000",IF(AND(ISNUMBER(Sync!$AF398),Sync!$AF398&gt;=0,Sync!$AF398&lt;1),RIGHT("00"&amp;HOUR(Sync!$AF398),2)&amp;RIGHT("00"&amp;MINUTE(Sync!$AF398),2),IFERROR(RIGHT("00"&amp;VALUE(LEFT(Sync!$AF398,FIND(":",Sync!$AF398)-1)),2)&amp;RIGHT("00"&amp;VALUE(MID(Sync!$AF398,FIND(":",Sync!$AF398)+1,2)),2),"0000"))))</f>
        <v/>
      </c>
    </row>
    <row r="399" spans="1:14" x14ac:dyDescent="0.2">
      <c r="A399" t="str">
        <f>IF(OR(Calc!$E403="",Calc!$E403="نامعتبر",Calc!$G403=""),"",Calc!$G403)</f>
        <v/>
      </c>
      <c r="B399" t="str">
        <f>IF($A399="","",LEFT(Calc!$E403,4)&amp;MID(Calc!$E403,6,2)&amp;RIGHT(Calc!$E403,2)&amp;Calc!$Q403&amp;"|"&amp;"1"&amp;RIGHT("00000"&amp;394,5))</f>
        <v/>
      </c>
      <c r="C399" t="str">
        <f t="shared" si="30"/>
        <v/>
      </c>
      <c r="D399" t="str">
        <f t="shared" si="31"/>
        <v/>
      </c>
      <c r="F399" t="str">
        <f>IF(Sync!$AH399="","",IF(LEFT(UPPER(TRIM(Sync!$AH399)),2)="SL",UPPER(TRIM(Sync!$AH399)),""))</f>
        <v/>
      </c>
      <c r="G399" t="str">
        <f>IF($F399="","",IF(Sync!$AE399="","",IF(ISNUMBER(Sync!$AE399),IF(AND(Sync!$AE399&gt;=10000101,Sync!$AE399&lt;=99991231),INT(Sync!$AE399/10000),""),IFERROR(VALUE(TRIM(LEFT(Sync!$AE399,FIND("/",Sync!$AE399)-1))),""))))</f>
        <v/>
      </c>
      <c r="H399" t="str">
        <f>IF(OR($F399="",$G399=""),"",IF(ISNUMBER(Sync!$AE399),INT(MOD(Sync!$AE399,10000)/100),IFERROR(VALUE(TRIM(LEFT(MID(Sync!$AE399,FIND("/",Sync!$AE399)+1,20),FIND("/",MID(Sync!$AE399,FIND("/",Sync!$AE399)+1,20))-1))),"")))</f>
        <v/>
      </c>
      <c r="I399" t="str">
        <f>IF(OR($F399="",$G399=""),"",IF(ISNUMBER(Sync!$AE399),MOD(Sync!$AE399,100),IFERROR(VALUE(TRIM(MID(MID(Sync!$AE399,FIND("/",Sync!$AE399)+1,20),FIND("/",MID(Sync!$AE399,FIND("/",Sync!$AE399)+1,20))+1,20))),"")))</f>
        <v/>
      </c>
      <c r="J399" t="str">
        <f t="shared" si="32"/>
        <v/>
      </c>
      <c r="K399" t="str">
        <f>IF(OR($F399="",$J399="",$J399="نامعتبر"),"",LEFT($J399,4)&amp;MID($J399,6,2)&amp;RIGHT($J399,2)&amp;$N399&amp;"|"&amp;"2"&amp;RIGHT("00000"&amp;394,5))</f>
        <v/>
      </c>
      <c r="L399" t="str">
        <f t="shared" si="33"/>
        <v/>
      </c>
      <c r="M399" t="str">
        <f t="shared" si="34"/>
        <v/>
      </c>
      <c r="N399" t="str">
        <f>IF($F399="","",IF(Sync!$AF399="","0000",IF(AND(ISNUMBER(Sync!$AF399),Sync!$AF399&gt;=0,Sync!$AF399&lt;1),RIGHT("00"&amp;HOUR(Sync!$AF399),2)&amp;RIGHT("00"&amp;MINUTE(Sync!$AF399),2),IFERROR(RIGHT("00"&amp;VALUE(LEFT(Sync!$AF399,FIND(":",Sync!$AF399)-1)),2)&amp;RIGHT("00"&amp;VALUE(MID(Sync!$AF399,FIND(":",Sync!$AF399)+1,2)),2),"0000"))))</f>
        <v/>
      </c>
    </row>
    <row r="400" spans="1:14" x14ac:dyDescent="0.2">
      <c r="A400" t="str">
        <f>IF(OR(Calc!$E404="",Calc!$E404="نامعتبر",Calc!$G404=""),"",Calc!$G404)</f>
        <v/>
      </c>
      <c r="B400" t="str">
        <f>IF($A400="","",LEFT(Calc!$E404,4)&amp;MID(Calc!$E404,6,2)&amp;RIGHT(Calc!$E404,2)&amp;Calc!$Q404&amp;"|"&amp;"1"&amp;RIGHT("00000"&amp;395,5))</f>
        <v/>
      </c>
      <c r="C400" t="str">
        <f t="shared" si="30"/>
        <v/>
      </c>
      <c r="D400" t="str">
        <f t="shared" si="31"/>
        <v/>
      </c>
      <c r="F400" t="str">
        <f>IF(Sync!$AH400="","",IF(LEFT(UPPER(TRIM(Sync!$AH400)),2)="SL",UPPER(TRIM(Sync!$AH400)),""))</f>
        <v/>
      </c>
      <c r="G400" t="str">
        <f>IF($F400="","",IF(Sync!$AE400="","",IF(ISNUMBER(Sync!$AE400),IF(AND(Sync!$AE400&gt;=10000101,Sync!$AE400&lt;=99991231),INT(Sync!$AE400/10000),""),IFERROR(VALUE(TRIM(LEFT(Sync!$AE400,FIND("/",Sync!$AE400)-1))),""))))</f>
        <v/>
      </c>
      <c r="H400" t="str">
        <f>IF(OR($F400="",$G400=""),"",IF(ISNUMBER(Sync!$AE400),INT(MOD(Sync!$AE400,10000)/100),IFERROR(VALUE(TRIM(LEFT(MID(Sync!$AE400,FIND("/",Sync!$AE400)+1,20),FIND("/",MID(Sync!$AE400,FIND("/",Sync!$AE400)+1,20))-1))),"")))</f>
        <v/>
      </c>
      <c r="I400" t="str">
        <f>IF(OR($F400="",$G400=""),"",IF(ISNUMBER(Sync!$AE400),MOD(Sync!$AE400,100),IFERROR(VALUE(TRIM(MID(MID(Sync!$AE400,FIND("/",Sync!$AE400)+1,20),FIND("/",MID(Sync!$AE400,FIND("/",Sync!$AE400)+1,20))+1,20))),"")))</f>
        <v/>
      </c>
      <c r="J400" t="str">
        <f t="shared" si="32"/>
        <v/>
      </c>
      <c r="K400" t="str">
        <f>IF(OR($F400="",$J400="",$J400="نامعتبر"),"",LEFT($J400,4)&amp;MID($J400,6,2)&amp;RIGHT($J400,2)&amp;$N400&amp;"|"&amp;"2"&amp;RIGHT("00000"&amp;395,5))</f>
        <v/>
      </c>
      <c r="L400" t="str">
        <f t="shared" si="33"/>
        <v/>
      </c>
      <c r="M400" t="str">
        <f t="shared" si="34"/>
        <v/>
      </c>
      <c r="N400" t="str">
        <f>IF($F400="","",IF(Sync!$AF400="","0000",IF(AND(ISNUMBER(Sync!$AF400),Sync!$AF400&gt;=0,Sync!$AF400&lt;1),RIGHT("00"&amp;HOUR(Sync!$AF400),2)&amp;RIGHT("00"&amp;MINUTE(Sync!$AF400),2),IFERROR(RIGHT("00"&amp;VALUE(LEFT(Sync!$AF400,FIND(":",Sync!$AF400)-1)),2)&amp;RIGHT("00"&amp;VALUE(MID(Sync!$AF400,FIND(":",Sync!$AF400)+1,2)),2),"0000"))))</f>
        <v/>
      </c>
    </row>
    <row r="401" spans="1:14" x14ac:dyDescent="0.2">
      <c r="A401" t="str">
        <f>IF(OR(Calc!$E405="",Calc!$E405="نامعتبر",Calc!$G405=""),"",Calc!$G405)</f>
        <v/>
      </c>
      <c r="B401" t="str">
        <f>IF($A401="","",LEFT(Calc!$E405,4)&amp;MID(Calc!$E405,6,2)&amp;RIGHT(Calc!$E405,2)&amp;Calc!$Q405&amp;"|"&amp;"1"&amp;RIGHT("00000"&amp;396,5))</f>
        <v/>
      </c>
      <c r="C401" t="str">
        <f t="shared" si="30"/>
        <v/>
      </c>
      <c r="D401" t="str">
        <f t="shared" si="31"/>
        <v/>
      </c>
      <c r="F401" t="str">
        <f>IF(Sync!$AH401="","",IF(LEFT(UPPER(TRIM(Sync!$AH401)),2)="SL",UPPER(TRIM(Sync!$AH401)),""))</f>
        <v/>
      </c>
      <c r="G401" t="str">
        <f>IF($F401="","",IF(Sync!$AE401="","",IF(ISNUMBER(Sync!$AE401),IF(AND(Sync!$AE401&gt;=10000101,Sync!$AE401&lt;=99991231),INT(Sync!$AE401/10000),""),IFERROR(VALUE(TRIM(LEFT(Sync!$AE401,FIND("/",Sync!$AE401)-1))),""))))</f>
        <v/>
      </c>
      <c r="H401" t="str">
        <f>IF(OR($F401="",$G401=""),"",IF(ISNUMBER(Sync!$AE401),INT(MOD(Sync!$AE401,10000)/100),IFERROR(VALUE(TRIM(LEFT(MID(Sync!$AE401,FIND("/",Sync!$AE401)+1,20),FIND("/",MID(Sync!$AE401,FIND("/",Sync!$AE401)+1,20))-1))),"")))</f>
        <v/>
      </c>
      <c r="I401" t="str">
        <f>IF(OR($F401="",$G401=""),"",IF(ISNUMBER(Sync!$AE401),MOD(Sync!$AE401,100),IFERROR(VALUE(TRIM(MID(MID(Sync!$AE401,FIND("/",Sync!$AE401)+1,20),FIND("/",MID(Sync!$AE401,FIND("/",Sync!$AE401)+1,20))+1,20))),"")))</f>
        <v/>
      </c>
      <c r="J401" t="str">
        <f t="shared" si="32"/>
        <v/>
      </c>
      <c r="K401" t="str">
        <f>IF(OR($F401="",$J401="",$J401="نامعتبر"),"",LEFT($J401,4)&amp;MID($J401,6,2)&amp;RIGHT($J401,2)&amp;$N401&amp;"|"&amp;"2"&amp;RIGHT("00000"&amp;396,5))</f>
        <v/>
      </c>
      <c r="L401" t="str">
        <f t="shared" si="33"/>
        <v/>
      </c>
      <c r="M401" t="str">
        <f t="shared" si="34"/>
        <v/>
      </c>
      <c r="N401" t="str">
        <f>IF($F401="","",IF(Sync!$AF401="","0000",IF(AND(ISNUMBER(Sync!$AF401),Sync!$AF401&gt;=0,Sync!$AF401&lt;1),RIGHT("00"&amp;HOUR(Sync!$AF401),2)&amp;RIGHT("00"&amp;MINUTE(Sync!$AF401),2),IFERROR(RIGHT("00"&amp;VALUE(LEFT(Sync!$AF401,FIND(":",Sync!$AF401)-1)),2)&amp;RIGHT("00"&amp;VALUE(MID(Sync!$AF401,FIND(":",Sync!$AF401)+1,2)),2),"0000"))))</f>
        <v/>
      </c>
    </row>
    <row r="402" spans="1:14" x14ac:dyDescent="0.2">
      <c r="A402" t="str">
        <f>IF(OR(Calc!$E406="",Calc!$E406="نامعتبر",Calc!$G406=""),"",Calc!$G406)</f>
        <v/>
      </c>
      <c r="B402" t="str">
        <f>IF($A402="","",LEFT(Calc!$E406,4)&amp;MID(Calc!$E406,6,2)&amp;RIGHT(Calc!$E406,2)&amp;Calc!$Q406&amp;"|"&amp;"1"&amp;RIGHT("00000"&amp;397,5))</f>
        <v/>
      </c>
      <c r="C402" t="str">
        <f t="shared" si="30"/>
        <v/>
      </c>
      <c r="D402" t="str">
        <f t="shared" si="31"/>
        <v/>
      </c>
      <c r="F402" t="str">
        <f>IF(Sync!$AH402="","",IF(LEFT(UPPER(TRIM(Sync!$AH402)),2)="SL",UPPER(TRIM(Sync!$AH402)),""))</f>
        <v/>
      </c>
      <c r="G402" t="str">
        <f>IF($F402="","",IF(Sync!$AE402="","",IF(ISNUMBER(Sync!$AE402),IF(AND(Sync!$AE402&gt;=10000101,Sync!$AE402&lt;=99991231),INT(Sync!$AE402/10000),""),IFERROR(VALUE(TRIM(LEFT(Sync!$AE402,FIND("/",Sync!$AE402)-1))),""))))</f>
        <v/>
      </c>
      <c r="H402" t="str">
        <f>IF(OR($F402="",$G402=""),"",IF(ISNUMBER(Sync!$AE402),INT(MOD(Sync!$AE402,10000)/100),IFERROR(VALUE(TRIM(LEFT(MID(Sync!$AE402,FIND("/",Sync!$AE402)+1,20),FIND("/",MID(Sync!$AE402,FIND("/",Sync!$AE402)+1,20))-1))),"")))</f>
        <v/>
      </c>
      <c r="I402" t="str">
        <f>IF(OR($F402="",$G402=""),"",IF(ISNUMBER(Sync!$AE402),MOD(Sync!$AE402,100),IFERROR(VALUE(TRIM(MID(MID(Sync!$AE402,FIND("/",Sync!$AE402)+1,20),FIND("/",MID(Sync!$AE402,FIND("/",Sync!$AE402)+1,20))+1,20))),"")))</f>
        <v/>
      </c>
      <c r="J402" t="str">
        <f t="shared" si="32"/>
        <v/>
      </c>
      <c r="K402" t="str">
        <f>IF(OR($F402="",$J402="",$J402="نامعتبر"),"",LEFT($J402,4)&amp;MID($J402,6,2)&amp;RIGHT($J402,2)&amp;$N402&amp;"|"&amp;"2"&amp;RIGHT("00000"&amp;397,5))</f>
        <v/>
      </c>
      <c r="L402" t="str">
        <f t="shared" si="33"/>
        <v/>
      </c>
      <c r="M402" t="str">
        <f t="shared" si="34"/>
        <v/>
      </c>
      <c r="N402" t="str">
        <f>IF($F402="","",IF(Sync!$AF402="","0000",IF(AND(ISNUMBER(Sync!$AF402),Sync!$AF402&gt;=0,Sync!$AF402&lt;1),RIGHT("00"&amp;HOUR(Sync!$AF402),2)&amp;RIGHT("00"&amp;MINUTE(Sync!$AF402),2),IFERROR(RIGHT("00"&amp;VALUE(LEFT(Sync!$AF402,FIND(":",Sync!$AF402)-1)),2)&amp;RIGHT("00"&amp;VALUE(MID(Sync!$AF402,FIND(":",Sync!$AF402)+1,2)),2),"0000"))))</f>
        <v/>
      </c>
    </row>
    <row r="403" spans="1:14" x14ac:dyDescent="0.2">
      <c r="A403" t="str">
        <f>IF(OR(Calc!$E407="",Calc!$E407="نامعتبر",Calc!$G407=""),"",Calc!$G407)</f>
        <v/>
      </c>
      <c r="B403" t="str">
        <f>IF($A403="","",LEFT(Calc!$E407,4)&amp;MID(Calc!$E407,6,2)&amp;RIGHT(Calc!$E407,2)&amp;Calc!$Q407&amp;"|"&amp;"1"&amp;RIGHT("00000"&amp;398,5))</f>
        <v/>
      </c>
      <c r="C403" t="str">
        <f t="shared" si="30"/>
        <v/>
      </c>
      <c r="D403" t="str">
        <f t="shared" si="31"/>
        <v/>
      </c>
      <c r="F403" t="str">
        <f>IF(Sync!$AH403="","",IF(LEFT(UPPER(TRIM(Sync!$AH403)),2)="SL",UPPER(TRIM(Sync!$AH403)),""))</f>
        <v/>
      </c>
      <c r="G403" t="str">
        <f>IF($F403="","",IF(Sync!$AE403="","",IF(ISNUMBER(Sync!$AE403),IF(AND(Sync!$AE403&gt;=10000101,Sync!$AE403&lt;=99991231),INT(Sync!$AE403/10000),""),IFERROR(VALUE(TRIM(LEFT(Sync!$AE403,FIND("/",Sync!$AE403)-1))),""))))</f>
        <v/>
      </c>
      <c r="H403" t="str">
        <f>IF(OR($F403="",$G403=""),"",IF(ISNUMBER(Sync!$AE403),INT(MOD(Sync!$AE403,10000)/100),IFERROR(VALUE(TRIM(LEFT(MID(Sync!$AE403,FIND("/",Sync!$AE403)+1,20),FIND("/",MID(Sync!$AE403,FIND("/",Sync!$AE403)+1,20))-1))),"")))</f>
        <v/>
      </c>
      <c r="I403" t="str">
        <f>IF(OR($F403="",$G403=""),"",IF(ISNUMBER(Sync!$AE403),MOD(Sync!$AE403,100),IFERROR(VALUE(TRIM(MID(MID(Sync!$AE403,FIND("/",Sync!$AE403)+1,20),FIND("/",MID(Sync!$AE403,FIND("/",Sync!$AE403)+1,20))+1,20))),"")))</f>
        <v/>
      </c>
      <c r="J403" t="str">
        <f t="shared" si="32"/>
        <v/>
      </c>
      <c r="K403" t="str">
        <f>IF(OR($F403="",$J403="",$J403="نامعتبر"),"",LEFT($J403,4)&amp;MID($J403,6,2)&amp;RIGHT($J403,2)&amp;$N403&amp;"|"&amp;"2"&amp;RIGHT("00000"&amp;398,5))</f>
        <v/>
      </c>
      <c r="L403" t="str">
        <f t="shared" si="33"/>
        <v/>
      </c>
      <c r="M403" t="str">
        <f t="shared" si="34"/>
        <v/>
      </c>
      <c r="N403" t="str">
        <f>IF($F403="","",IF(Sync!$AF403="","0000",IF(AND(ISNUMBER(Sync!$AF403),Sync!$AF403&gt;=0,Sync!$AF403&lt;1),RIGHT("00"&amp;HOUR(Sync!$AF403),2)&amp;RIGHT("00"&amp;MINUTE(Sync!$AF403),2),IFERROR(RIGHT("00"&amp;VALUE(LEFT(Sync!$AF403,FIND(":",Sync!$AF403)-1)),2)&amp;RIGHT("00"&amp;VALUE(MID(Sync!$AF403,FIND(":",Sync!$AF403)+1,2)),2),"0000"))))</f>
        <v/>
      </c>
    </row>
    <row r="404" spans="1:14" x14ac:dyDescent="0.2">
      <c r="A404" t="str">
        <f>IF(OR(Calc!$E408="",Calc!$E408="نامعتبر",Calc!$G408=""),"",Calc!$G408)</f>
        <v/>
      </c>
      <c r="B404" t="str">
        <f>IF($A404="","",LEFT(Calc!$E408,4)&amp;MID(Calc!$E408,6,2)&amp;RIGHT(Calc!$E408,2)&amp;Calc!$Q408&amp;"|"&amp;"1"&amp;RIGHT("00000"&amp;399,5))</f>
        <v/>
      </c>
      <c r="C404" t="str">
        <f t="shared" si="30"/>
        <v/>
      </c>
      <c r="D404" t="str">
        <f t="shared" si="31"/>
        <v/>
      </c>
      <c r="F404" t="str">
        <f>IF(Sync!$AH404="","",IF(LEFT(UPPER(TRIM(Sync!$AH404)),2)="SL",UPPER(TRIM(Sync!$AH404)),""))</f>
        <v/>
      </c>
      <c r="G404" t="str">
        <f>IF($F404="","",IF(Sync!$AE404="","",IF(ISNUMBER(Sync!$AE404),IF(AND(Sync!$AE404&gt;=10000101,Sync!$AE404&lt;=99991231),INT(Sync!$AE404/10000),""),IFERROR(VALUE(TRIM(LEFT(Sync!$AE404,FIND("/",Sync!$AE404)-1))),""))))</f>
        <v/>
      </c>
      <c r="H404" t="str">
        <f>IF(OR($F404="",$G404=""),"",IF(ISNUMBER(Sync!$AE404),INT(MOD(Sync!$AE404,10000)/100),IFERROR(VALUE(TRIM(LEFT(MID(Sync!$AE404,FIND("/",Sync!$AE404)+1,20),FIND("/",MID(Sync!$AE404,FIND("/",Sync!$AE404)+1,20))-1))),"")))</f>
        <v/>
      </c>
      <c r="I404" t="str">
        <f>IF(OR($F404="",$G404=""),"",IF(ISNUMBER(Sync!$AE404),MOD(Sync!$AE404,100),IFERROR(VALUE(TRIM(MID(MID(Sync!$AE404,FIND("/",Sync!$AE404)+1,20),FIND("/",MID(Sync!$AE404,FIND("/",Sync!$AE404)+1,20))+1,20))),"")))</f>
        <v/>
      </c>
      <c r="J404" t="str">
        <f t="shared" si="32"/>
        <v/>
      </c>
      <c r="K404" t="str">
        <f>IF(OR($F404="",$J404="",$J404="نامعتبر"),"",LEFT($J404,4)&amp;MID($J404,6,2)&amp;RIGHT($J404,2)&amp;$N404&amp;"|"&amp;"2"&amp;RIGHT("00000"&amp;399,5))</f>
        <v/>
      </c>
      <c r="L404" t="str">
        <f t="shared" si="33"/>
        <v/>
      </c>
      <c r="M404" t="str">
        <f t="shared" si="34"/>
        <v/>
      </c>
      <c r="N404" t="str">
        <f>IF($F404="","",IF(Sync!$AF404="","0000",IF(AND(ISNUMBER(Sync!$AF404),Sync!$AF404&gt;=0,Sync!$AF404&lt;1),RIGHT("00"&amp;HOUR(Sync!$AF404),2)&amp;RIGHT("00"&amp;MINUTE(Sync!$AF404),2),IFERROR(RIGHT("00"&amp;VALUE(LEFT(Sync!$AF404,FIND(":",Sync!$AF404)-1)),2)&amp;RIGHT("00"&amp;VALUE(MID(Sync!$AF404,FIND(":",Sync!$AF404)+1,2)),2),"0000"))))</f>
        <v/>
      </c>
    </row>
    <row r="405" spans="1:14" x14ac:dyDescent="0.2">
      <c r="A405" t="str">
        <f>IF(OR(Calc!$E409="",Calc!$E409="نامعتبر",Calc!$G409=""),"",Calc!$G409)</f>
        <v/>
      </c>
      <c r="B405" t="str">
        <f>IF($A405="","",LEFT(Calc!$E409,4)&amp;MID(Calc!$E409,6,2)&amp;RIGHT(Calc!$E409,2)&amp;Calc!$Q409&amp;"|"&amp;"1"&amp;RIGHT("00000"&amp;400,5))</f>
        <v/>
      </c>
      <c r="C405" t="str">
        <f t="shared" si="30"/>
        <v/>
      </c>
      <c r="D405" t="str">
        <f t="shared" si="31"/>
        <v/>
      </c>
      <c r="F405" t="str">
        <f>IF(Sync!$AH405="","",IF(LEFT(UPPER(TRIM(Sync!$AH405)),2)="SL",UPPER(TRIM(Sync!$AH405)),""))</f>
        <v/>
      </c>
      <c r="G405" t="str">
        <f>IF($F405="","",IF(Sync!$AE405="","",IF(ISNUMBER(Sync!$AE405),IF(AND(Sync!$AE405&gt;=10000101,Sync!$AE405&lt;=99991231),INT(Sync!$AE405/10000),""),IFERROR(VALUE(TRIM(LEFT(Sync!$AE405,FIND("/",Sync!$AE405)-1))),""))))</f>
        <v/>
      </c>
      <c r="H405" t="str">
        <f>IF(OR($F405="",$G405=""),"",IF(ISNUMBER(Sync!$AE405),INT(MOD(Sync!$AE405,10000)/100),IFERROR(VALUE(TRIM(LEFT(MID(Sync!$AE405,FIND("/",Sync!$AE405)+1,20),FIND("/",MID(Sync!$AE405,FIND("/",Sync!$AE405)+1,20))-1))),"")))</f>
        <v/>
      </c>
      <c r="I405" t="str">
        <f>IF(OR($F405="",$G405=""),"",IF(ISNUMBER(Sync!$AE405),MOD(Sync!$AE405,100),IFERROR(VALUE(TRIM(MID(MID(Sync!$AE405,FIND("/",Sync!$AE405)+1,20),FIND("/",MID(Sync!$AE405,FIND("/",Sync!$AE405)+1,20))+1,20))),"")))</f>
        <v/>
      </c>
      <c r="J405" t="str">
        <f t="shared" si="32"/>
        <v/>
      </c>
      <c r="K405" t="str">
        <f>IF(OR($F405="",$J405="",$J405="نامعتبر"),"",LEFT($J405,4)&amp;MID($J405,6,2)&amp;RIGHT($J405,2)&amp;$N405&amp;"|"&amp;"2"&amp;RIGHT("00000"&amp;400,5))</f>
        <v/>
      </c>
      <c r="L405" t="str">
        <f t="shared" si="33"/>
        <v/>
      </c>
      <c r="M405" t="str">
        <f t="shared" si="34"/>
        <v/>
      </c>
      <c r="N405" t="str">
        <f>IF($F405="","",IF(Sync!$AF405="","0000",IF(AND(ISNUMBER(Sync!$AF405),Sync!$AF405&gt;=0,Sync!$AF405&lt;1),RIGHT("00"&amp;HOUR(Sync!$AF405),2)&amp;RIGHT("00"&amp;MINUTE(Sync!$AF405),2),IFERROR(RIGHT("00"&amp;VALUE(LEFT(Sync!$AF405,FIND(":",Sync!$AF405)-1)),2)&amp;RIGHT("00"&amp;VALUE(MID(Sync!$AF405,FIND(":",Sync!$AF405)+1,2)),2),"0000"))))</f>
        <v/>
      </c>
    </row>
    <row r="406" spans="1:14" x14ac:dyDescent="0.2">
      <c r="A406" t="str">
        <f>IF(OR(Calc!$E410="",Calc!$E410="نامعتبر",Calc!$G410=""),"",Calc!$G410)</f>
        <v/>
      </c>
      <c r="B406" t="str">
        <f>IF($A406="","",LEFT(Calc!$E410,4)&amp;MID(Calc!$E410,6,2)&amp;RIGHT(Calc!$E410,2)&amp;Calc!$Q410&amp;"|"&amp;"1"&amp;RIGHT("00000"&amp;401,5))</f>
        <v/>
      </c>
      <c r="C406" t="str">
        <f t="shared" si="30"/>
        <v/>
      </c>
      <c r="D406" t="str">
        <f t="shared" si="31"/>
        <v/>
      </c>
      <c r="F406" t="str">
        <f>IF(Sync!$AH406="","",IF(LEFT(UPPER(TRIM(Sync!$AH406)),2)="SL",UPPER(TRIM(Sync!$AH406)),""))</f>
        <v/>
      </c>
      <c r="G406" t="str">
        <f>IF($F406="","",IF(Sync!$AE406="","",IF(ISNUMBER(Sync!$AE406),IF(AND(Sync!$AE406&gt;=10000101,Sync!$AE406&lt;=99991231),INT(Sync!$AE406/10000),""),IFERROR(VALUE(TRIM(LEFT(Sync!$AE406,FIND("/",Sync!$AE406)-1))),""))))</f>
        <v/>
      </c>
      <c r="H406" t="str">
        <f>IF(OR($F406="",$G406=""),"",IF(ISNUMBER(Sync!$AE406),INT(MOD(Sync!$AE406,10000)/100),IFERROR(VALUE(TRIM(LEFT(MID(Sync!$AE406,FIND("/",Sync!$AE406)+1,20),FIND("/",MID(Sync!$AE406,FIND("/",Sync!$AE406)+1,20))-1))),"")))</f>
        <v/>
      </c>
      <c r="I406" t="str">
        <f>IF(OR($F406="",$G406=""),"",IF(ISNUMBER(Sync!$AE406),MOD(Sync!$AE406,100),IFERROR(VALUE(TRIM(MID(MID(Sync!$AE406,FIND("/",Sync!$AE406)+1,20),FIND("/",MID(Sync!$AE406,FIND("/",Sync!$AE406)+1,20))+1,20))),"")))</f>
        <v/>
      </c>
      <c r="J406" t="str">
        <f t="shared" si="32"/>
        <v/>
      </c>
      <c r="K406" t="str">
        <f>IF(OR($F406="",$J406="",$J406="نامعتبر"),"",LEFT($J406,4)&amp;MID($J406,6,2)&amp;RIGHT($J406,2)&amp;$N406&amp;"|"&amp;"2"&amp;RIGHT("00000"&amp;401,5))</f>
        <v/>
      </c>
      <c r="L406" t="str">
        <f t="shared" si="33"/>
        <v/>
      </c>
      <c r="M406" t="str">
        <f t="shared" si="34"/>
        <v/>
      </c>
      <c r="N406" t="str">
        <f>IF($F406="","",IF(Sync!$AF406="","0000",IF(AND(ISNUMBER(Sync!$AF406),Sync!$AF406&gt;=0,Sync!$AF406&lt;1),RIGHT("00"&amp;HOUR(Sync!$AF406),2)&amp;RIGHT("00"&amp;MINUTE(Sync!$AF406),2),IFERROR(RIGHT("00"&amp;VALUE(LEFT(Sync!$AF406,FIND(":",Sync!$AF406)-1)),2)&amp;RIGHT("00"&amp;VALUE(MID(Sync!$AF406,FIND(":",Sync!$AF406)+1,2)),2),"0000"))))</f>
        <v/>
      </c>
    </row>
    <row r="407" spans="1:14" x14ac:dyDescent="0.2">
      <c r="A407" t="str">
        <f>IF(OR(Calc!$E411="",Calc!$E411="نامعتبر",Calc!$G411=""),"",Calc!$G411)</f>
        <v/>
      </c>
      <c r="B407" t="str">
        <f>IF($A407="","",LEFT(Calc!$E411,4)&amp;MID(Calc!$E411,6,2)&amp;RIGHT(Calc!$E411,2)&amp;Calc!$Q411&amp;"|"&amp;"1"&amp;RIGHT("00000"&amp;402,5))</f>
        <v/>
      </c>
      <c r="C407" t="str">
        <f t="shared" si="30"/>
        <v/>
      </c>
      <c r="D407" t="str">
        <f t="shared" si="31"/>
        <v/>
      </c>
      <c r="F407" t="str">
        <f>IF(Sync!$AH407="","",IF(LEFT(UPPER(TRIM(Sync!$AH407)),2)="SL",UPPER(TRIM(Sync!$AH407)),""))</f>
        <v/>
      </c>
      <c r="G407" t="str">
        <f>IF($F407="","",IF(Sync!$AE407="","",IF(ISNUMBER(Sync!$AE407),IF(AND(Sync!$AE407&gt;=10000101,Sync!$AE407&lt;=99991231),INT(Sync!$AE407/10000),""),IFERROR(VALUE(TRIM(LEFT(Sync!$AE407,FIND("/",Sync!$AE407)-1))),""))))</f>
        <v/>
      </c>
      <c r="H407" t="str">
        <f>IF(OR($F407="",$G407=""),"",IF(ISNUMBER(Sync!$AE407),INT(MOD(Sync!$AE407,10000)/100),IFERROR(VALUE(TRIM(LEFT(MID(Sync!$AE407,FIND("/",Sync!$AE407)+1,20),FIND("/",MID(Sync!$AE407,FIND("/",Sync!$AE407)+1,20))-1))),"")))</f>
        <v/>
      </c>
      <c r="I407" t="str">
        <f>IF(OR($F407="",$G407=""),"",IF(ISNUMBER(Sync!$AE407),MOD(Sync!$AE407,100),IFERROR(VALUE(TRIM(MID(MID(Sync!$AE407,FIND("/",Sync!$AE407)+1,20),FIND("/",MID(Sync!$AE407,FIND("/",Sync!$AE407)+1,20))+1,20))),"")))</f>
        <v/>
      </c>
      <c r="J407" t="str">
        <f t="shared" si="32"/>
        <v/>
      </c>
      <c r="K407" t="str">
        <f>IF(OR($F407="",$J407="",$J407="نامعتبر"),"",LEFT($J407,4)&amp;MID($J407,6,2)&amp;RIGHT($J407,2)&amp;$N407&amp;"|"&amp;"2"&amp;RIGHT("00000"&amp;402,5))</f>
        <v/>
      </c>
      <c r="L407" t="str">
        <f t="shared" si="33"/>
        <v/>
      </c>
      <c r="M407" t="str">
        <f t="shared" si="34"/>
        <v/>
      </c>
      <c r="N407" t="str">
        <f>IF($F407="","",IF(Sync!$AF407="","0000",IF(AND(ISNUMBER(Sync!$AF407),Sync!$AF407&gt;=0,Sync!$AF407&lt;1),RIGHT("00"&amp;HOUR(Sync!$AF407),2)&amp;RIGHT("00"&amp;MINUTE(Sync!$AF407),2),IFERROR(RIGHT("00"&amp;VALUE(LEFT(Sync!$AF407,FIND(":",Sync!$AF407)-1)),2)&amp;RIGHT("00"&amp;VALUE(MID(Sync!$AF407,FIND(":",Sync!$AF407)+1,2)),2),"0000"))))</f>
        <v/>
      </c>
    </row>
    <row r="408" spans="1:14" x14ac:dyDescent="0.2">
      <c r="A408" t="str">
        <f>IF(OR(Calc!$E412="",Calc!$E412="نامعتبر",Calc!$G412=""),"",Calc!$G412)</f>
        <v/>
      </c>
      <c r="B408" t="str">
        <f>IF($A408="","",LEFT(Calc!$E412,4)&amp;MID(Calc!$E412,6,2)&amp;RIGHT(Calc!$E412,2)&amp;Calc!$Q412&amp;"|"&amp;"1"&amp;RIGHT("00000"&amp;403,5))</f>
        <v/>
      </c>
      <c r="C408" t="str">
        <f t="shared" si="30"/>
        <v/>
      </c>
      <c r="D408" t="str">
        <f t="shared" si="31"/>
        <v/>
      </c>
      <c r="F408" t="str">
        <f>IF(Sync!$AH408="","",IF(LEFT(UPPER(TRIM(Sync!$AH408)),2)="SL",UPPER(TRIM(Sync!$AH408)),""))</f>
        <v/>
      </c>
      <c r="G408" t="str">
        <f>IF($F408="","",IF(Sync!$AE408="","",IF(ISNUMBER(Sync!$AE408),IF(AND(Sync!$AE408&gt;=10000101,Sync!$AE408&lt;=99991231),INT(Sync!$AE408/10000),""),IFERROR(VALUE(TRIM(LEFT(Sync!$AE408,FIND("/",Sync!$AE408)-1))),""))))</f>
        <v/>
      </c>
      <c r="H408" t="str">
        <f>IF(OR($F408="",$G408=""),"",IF(ISNUMBER(Sync!$AE408),INT(MOD(Sync!$AE408,10000)/100),IFERROR(VALUE(TRIM(LEFT(MID(Sync!$AE408,FIND("/",Sync!$AE408)+1,20),FIND("/",MID(Sync!$AE408,FIND("/",Sync!$AE408)+1,20))-1))),"")))</f>
        <v/>
      </c>
      <c r="I408" t="str">
        <f>IF(OR($F408="",$G408=""),"",IF(ISNUMBER(Sync!$AE408),MOD(Sync!$AE408,100),IFERROR(VALUE(TRIM(MID(MID(Sync!$AE408,FIND("/",Sync!$AE408)+1,20),FIND("/",MID(Sync!$AE408,FIND("/",Sync!$AE408)+1,20))+1,20))),"")))</f>
        <v/>
      </c>
      <c r="J408" t="str">
        <f t="shared" si="32"/>
        <v/>
      </c>
      <c r="K408" t="str">
        <f>IF(OR($F408="",$J408="",$J408="نامعتبر"),"",LEFT($J408,4)&amp;MID($J408,6,2)&amp;RIGHT($J408,2)&amp;$N408&amp;"|"&amp;"2"&amp;RIGHT("00000"&amp;403,5))</f>
        <v/>
      </c>
      <c r="L408" t="str">
        <f t="shared" si="33"/>
        <v/>
      </c>
      <c r="M408" t="str">
        <f t="shared" si="34"/>
        <v/>
      </c>
      <c r="N408" t="str">
        <f>IF($F408="","",IF(Sync!$AF408="","0000",IF(AND(ISNUMBER(Sync!$AF408),Sync!$AF408&gt;=0,Sync!$AF408&lt;1),RIGHT("00"&amp;HOUR(Sync!$AF408),2)&amp;RIGHT("00"&amp;MINUTE(Sync!$AF408),2),IFERROR(RIGHT("00"&amp;VALUE(LEFT(Sync!$AF408,FIND(":",Sync!$AF408)-1)),2)&amp;RIGHT("00"&amp;VALUE(MID(Sync!$AF408,FIND(":",Sync!$AF408)+1,2)),2),"0000"))))</f>
        <v/>
      </c>
    </row>
    <row r="409" spans="1:14" x14ac:dyDescent="0.2">
      <c r="A409" t="str">
        <f>IF(OR(Calc!$E413="",Calc!$E413="نامعتبر",Calc!$G413=""),"",Calc!$G413)</f>
        <v/>
      </c>
      <c r="B409" t="str">
        <f>IF($A409="","",LEFT(Calc!$E413,4)&amp;MID(Calc!$E413,6,2)&amp;RIGHT(Calc!$E413,2)&amp;Calc!$Q413&amp;"|"&amp;"1"&amp;RIGHT("00000"&amp;404,5))</f>
        <v/>
      </c>
      <c r="C409" t="str">
        <f t="shared" si="30"/>
        <v/>
      </c>
      <c r="D409" t="str">
        <f t="shared" si="31"/>
        <v/>
      </c>
      <c r="F409" t="str">
        <f>IF(Sync!$AH409="","",IF(LEFT(UPPER(TRIM(Sync!$AH409)),2)="SL",UPPER(TRIM(Sync!$AH409)),""))</f>
        <v/>
      </c>
      <c r="G409" t="str">
        <f>IF($F409="","",IF(Sync!$AE409="","",IF(ISNUMBER(Sync!$AE409),IF(AND(Sync!$AE409&gt;=10000101,Sync!$AE409&lt;=99991231),INT(Sync!$AE409/10000),""),IFERROR(VALUE(TRIM(LEFT(Sync!$AE409,FIND("/",Sync!$AE409)-1))),""))))</f>
        <v/>
      </c>
      <c r="H409" t="str">
        <f>IF(OR($F409="",$G409=""),"",IF(ISNUMBER(Sync!$AE409),INT(MOD(Sync!$AE409,10000)/100),IFERROR(VALUE(TRIM(LEFT(MID(Sync!$AE409,FIND("/",Sync!$AE409)+1,20),FIND("/",MID(Sync!$AE409,FIND("/",Sync!$AE409)+1,20))-1))),"")))</f>
        <v/>
      </c>
      <c r="I409" t="str">
        <f>IF(OR($F409="",$G409=""),"",IF(ISNUMBER(Sync!$AE409),MOD(Sync!$AE409,100),IFERROR(VALUE(TRIM(MID(MID(Sync!$AE409,FIND("/",Sync!$AE409)+1,20),FIND("/",MID(Sync!$AE409,FIND("/",Sync!$AE409)+1,20))+1,20))),"")))</f>
        <v/>
      </c>
      <c r="J409" t="str">
        <f t="shared" si="32"/>
        <v/>
      </c>
      <c r="K409" t="str">
        <f>IF(OR($F409="",$J409="",$J409="نامعتبر"),"",LEFT($J409,4)&amp;MID($J409,6,2)&amp;RIGHT($J409,2)&amp;$N409&amp;"|"&amp;"2"&amp;RIGHT("00000"&amp;404,5))</f>
        <v/>
      </c>
      <c r="L409" t="str">
        <f t="shared" si="33"/>
        <v/>
      </c>
      <c r="M409" t="str">
        <f t="shared" si="34"/>
        <v/>
      </c>
      <c r="N409" t="str">
        <f>IF($F409="","",IF(Sync!$AF409="","0000",IF(AND(ISNUMBER(Sync!$AF409),Sync!$AF409&gt;=0,Sync!$AF409&lt;1),RIGHT("00"&amp;HOUR(Sync!$AF409),2)&amp;RIGHT("00"&amp;MINUTE(Sync!$AF409),2),IFERROR(RIGHT("00"&amp;VALUE(LEFT(Sync!$AF409,FIND(":",Sync!$AF409)-1)),2)&amp;RIGHT("00"&amp;VALUE(MID(Sync!$AF409,FIND(":",Sync!$AF409)+1,2)),2),"0000"))))</f>
        <v/>
      </c>
    </row>
    <row r="410" spans="1:14" x14ac:dyDescent="0.2">
      <c r="A410" t="str">
        <f>IF(OR(Calc!$E414="",Calc!$E414="نامعتبر",Calc!$G414=""),"",Calc!$G414)</f>
        <v/>
      </c>
      <c r="B410" t="str">
        <f>IF($A410="","",LEFT(Calc!$E414,4)&amp;MID(Calc!$E414,6,2)&amp;RIGHT(Calc!$E414,2)&amp;Calc!$Q414&amp;"|"&amp;"1"&amp;RIGHT("00000"&amp;405,5))</f>
        <v/>
      </c>
      <c r="C410" t="str">
        <f t="shared" si="30"/>
        <v/>
      </c>
      <c r="D410" t="str">
        <f t="shared" si="31"/>
        <v/>
      </c>
      <c r="F410" t="str">
        <f>IF(Sync!$AH410="","",IF(LEFT(UPPER(TRIM(Sync!$AH410)),2)="SL",UPPER(TRIM(Sync!$AH410)),""))</f>
        <v/>
      </c>
      <c r="G410" t="str">
        <f>IF($F410="","",IF(Sync!$AE410="","",IF(ISNUMBER(Sync!$AE410),IF(AND(Sync!$AE410&gt;=10000101,Sync!$AE410&lt;=99991231),INT(Sync!$AE410/10000),""),IFERROR(VALUE(TRIM(LEFT(Sync!$AE410,FIND("/",Sync!$AE410)-1))),""))))</f>
        <v/>
      </c>
      <c r="H410" t="str">
        <f>IF(OR($F410="",$G410=""),"",IF(ISNUMBER(Sync!$AE410),INT(MOD(Sync!$AE410,10000)/100),IFERROR(VALUE(TRIM(LEFT(MID(Sync!$AE410,FIND("/",Sync!$AE410)+1,20),FIND("/",MID(Sync!$AE410,FIND("/",Sync!$AE410)+1,20))-1))),"")))</f>
        <v/>
      </c>
      <c r="I410" t="str">
        <f>IF(OR($F410="",$G410=""),"",IF(ISNUMBER(Sync!$AE410),MOD(Sync!$AE410,100),IFERROR(VALUE(TRIM(MID(MID(Sync!$AE410,FIND("/",Sync!$AE410)+1,20),FIND("/",MID(Sync!$AE410,FIND("/",Sync!$AE410)+1,20))+1,20))),"")))</f>
        <v/>
      </c>
      <c r="J410" t="str">
        <f t="shared" si="32"/>
        <v/>
      </c>
      <c r="K410" t="str">
        <f>IF(OR($F410="",$J410="",$J410="نامعتبر"),"",LEFT($J410,4)&amp;MID($J410,6,2)&amp;RIGHT($J410,2)&amp;$N410&amp;"|"&amp;"2"&amp;RIGHT("00000"&amp;405,5))</f>
        <v/>
      </c>
      <c r="L410" t="str">
        <f t="shared" si="33"/>
        <v/>
      </c>
      <c r="M410" t="str">
        <f t="shared" si="34"/>
        <v/>
      </c>
      <c r="N410" t="str">
        <f>IF($F410="","",IF(Sync!$AF410="","0000",IF(AND(ISNUMBER(Sync!$AF410),Sync!$AF410&gt;=0,Sync!$AF410&lt;1),RIGHT("00"&amp;HOUR(Sync!$AF410),2)&amp;RIGHT("00"&amp;MINUTE(Sync!$AF410),2),IFERROR(RIGHT("00"&amp;VALUE(LEFT(Sync!$AF410,FIND(":",Sync!$AF410)-1)),2)&amp;RIGHT("00"&amp;VALUE(MID(Sync!$AF410,FIND(":",Sync!$AF410)+1,2)),2),"0000"))))</f>
        <v/>
      </c>
    </row>
    <row r="411" spans="1:14" x14ac:dyDescent="0.2">
      <c r="A411" t="str">
        <f>IF(OR(Calc!$E415="",Calc!$E415="نامعتبر",Calc!$G415=""),"",Calc!$G415)</f>
        <v/>
      </c>
      <c r="B411" t="str">
        <f>IF($A411="","",LEFT(Calc!$E415,4)&amp;MID(Calc!$E415,6,2)&amp;RIGHT(Calc!$E415,2)&amp;Calc!$Q415&amp;"|"&amp;"1"&amp;RIGHT("00000"&amp;406,5))</f>
        <v/>
      </c>
      <c r="C411" t="str">
        <f t="shared" si="30"/>
        <v/>
      </c>
      <c r="D411" t="str">
        <f t="shared" si="31"/>
        <v/>
      </c>
      <c r="F411" t="str">
        <f>IF(Sync!$AH411="","",IF(LEFT(UPPER(TRIM(Sync!$AH411)),2)="SL",UPPER(TRIM(Sync!$AH411)),""))</f>
        <v/>
      </c>
      <c r="G411" t="str">
        <f>IF($F411="","",IF(Sync!$AE411="","",IF(ISNUMBER(Sync!$AE411),IF(AND(Sync!$AE411&gt;=10000101,Sync!$AE411&lt;=99991231),INT(Sync!$AE411/10000),""),IFERROR(VALUE(TRIM(LEFT(Sync!$AE411,FIND("/",Sync!$AE411)-1))),""))))</f>
        <v/>
      </c>
      <c r="H411" t="str">
        <f>IF(OR($F411="",$G411=""),"",IF(ISNUMBER(Sync!$AE411),INT(MOD(Sync!$AE411,10000)/100),IFERROR(VALUE(TRIM(LEFT(MID(Sync!$AE411,FIND("/",Sync!$AE411)+1,20),FIND("/",MID(Sync!$AE411,FIND("/",Sync!$AE411)+1,20))-1))),"")))</f>
        <v/>
      </c>
      <c r="I411" t="str">
        <f>IF(OR($F411="",$G411=""),"",IF(ISNUMBER(Sync!$AE411),MOD(Sync!$AE411,100),IFERROR(VALUE(TRIM(MID(MID(Sync!$AE411,FIND("/",Sync!$AE411)+1,20),FIND("/",MID(Sync!$AE411,FIND("/",Sync!$AE411)+1,20))+1,20))),"")))</f>
        <v/>
      </c>
      <c r="J411" t="str">
        <f t="shared" si="32"/>
        <v/>
      </c>
      <c r="K411" t="str">
        <f>IF(OR($F411="",$J411="",$J411="نامعتبر"),"",LEFT($J411,4)&amp;MID($J411,6,2)&amp;RIGHT($J411,2)&amp;$N411&amp;"|"&amp;"2"&amp;RIGHT("00000"&amp;406,5))</f>
        <v/>
      </c>
      <c r="L411" t="str">
        <f t="shared" si="33"/>
        <v/>
      </c>
      <c r="M411" t="str">
        <f t="shared" si="34"/>
        <v/>
      </c>
      <c r="N411" t="str">
        <f>IF($F411="","",IF(Sync!$AF411="","0000",IF(AND(ISNUMBER(Sync!$AF411),Sync!$AF411&gt;=0,Sync!$AF411&lt;1),RIGHT("00"&amp;HOUR(Sync!$AF411),2)&amp;RIGHT("00"&amp;MINUTE(Sync!$AF411),2),IFERROR(RIGHT("00"&amp;VALUE(LEFT(Sync!$AF411,FIND(":",Sync!$AF411)-1)),2)&amp;RIGHT("00"&amp;VALUE(MID(Sync!$AF411,FIND(":",Sync!$AF411)+1,2)),2),"0000"))))</f>
        <v/>
      </c>
    </row>
    <row r="412" spans="1:14" x14ac:dyDescent="0.2">
      <c r="A412" t="str">
        <f>IF(OR(Calc!$E416="",Calc!$E416="نامعتبر",Calc!$G416=""),"",Calc!$G416)</f>
        <v/>
      </c>
      <c r="B412" t="str">
        <f>IF($A412="","",LEFT(Calc!$E416,4)&amp;MID(Calc!$E416,6,2)&amp;RIGHT(Calc!$E416,2)&amp;Calc!$Q416&amp;"|"&amp;"1"&amp;RIGHT("00000"&amp;407,5))</f>
        <v/>
      </c>
      <c r="C412" t="str">
        <f t="shared" si="30"/>
        <v/>
      </c>
      <c r="D412" t="str">
        <f t="shared" si="31"/>
        <v/>
      </c>
      <c r="F412" t="str">
        <f>IF(Sync!$AH412="","",IF(LEFT(UPPER(TRIM(Sync!$AH412)),2)="SL",UPPER(TRIM(Sync!$AH412)),""))</f>
        <v/>
      </c>
      <c r="G412" t="str">
        <f>IF($F412="","",IF(Sync!$AE412="","",IF(ISNUMBER(Sync!$AE412),IF(AND(Sync!$AE412&gt;=10000101,Sync!$AE412&lt;=99991231),INT(Sync!$AE412/10000),""),IFERROR(VALUE(TRIM(LEFT(Sync!$AE412,FIND("/",Sync!$AE412)-1))),""))))</f>
        <v/>
      </c>
      <c r="H412" t="str">
        <f>IF(OR($F412="",$G412=""),"",IF(ISNUMBER(Sync!$AE412),INT(MOD(Sync!$AE412,10000)/100),IFERROR(VALUE(TRIM(LEFT(MID(Sync!$AE412,FIND("/",Sync!$AE412)+1,20),FIND("/",MID(Sync!$AE412,FIND("/",Sync!$AE412)+1,20))-1))),"")))</f>
        <v/>
      </c>
      <c r="I412" t="str">
        <f>IF(OR($F412="",$G412=""),"",IF(ISNUMBER(Sync!$AE412),MOD(Sync!$AE412,100),IFERROR(VALUE(TRIM(MID(MID(Sync!$AE412,FIND("/",Sync!$AE412)+1,20),FIND("/",MID(Sync!$AE412,FIND("/",Sync!$AE412)+1,20))+1,20))),"")))</f>
        <v/>
      </c>
      <c r="J412" t="str">
        <f t="shared" si="32"/>
        <v/>
      </c>
      <c r="K412" t="str">
        <f>IF(OR($F412="",$J412="",$J412="نامعتبر"),"",LEFT($J412,4)&amp;MID($J412,6,2)&amp;RIGHT($J412,2)&amp;$N412&amp;"|"&amp;"2"&amp;RIGHT("00000"&amp;407,5))</f>
        <v/>
      </c>
      <c r="L412" t="str">
        <f t="shared" si="33"/>
        <v/>
      </c>
      <c r="M412" t="str">
        <f t="shared" si="34"/>
        <v/>
      </c>
      <c r="N412" t="str">
        <f>IF($F412="","",IF(Sync!$AF412="","0000",IF(AND(ISNUMBER(Sync!$AF412),Sync!$AF412&gt;=0,Sync!$AF412&lt;1),RIGHT("00"&amp;HOUR(Sync!$AF412),2)&amp;RIGHT("00"&amp;MINUTE(Sync!$AF412),2),IFERROR(RIGHT("00"&amp;VALUE(LEFT(Sync!$AF412,FIND(":",Sync!$AF412)-1)),2)&amp;RIGHT("00"&amp;VALUE(MID(Sync!$AF412,FIND(":",Sync!$AF412)+1,2)),2),"0000"))))</f>
        <v/>
      </c>
    </row>
    <row r="413" spans="1:14" x14ac:dyDescent="0.2">
      <c r="A413" t="str">
        <f>IF(OR(Calc!$E417="",Calc!$E417="نامعتبر",Calc!$G417=""),"",Calc!$G417)</f>
        <v/>
      </c>
      <c r="B413" t="str">
        <f>IF($A413="","",LEFT(Calc!$E417,4)&amp;MID(Calc!$E417,6,2)&amp;RIGHT(Calc!$E417,2)&amp;Calc!$Q417&amp;"|"&amp;"1"&amp;RIGHT("00000"&amp;408,5))</f>
        <v/>
      </c>
      <c r="C413" t="str">
        <f t="shared" si="30"/>
        <v/>
      </c>
      <c r="D413" t="str">
        <f t="shared" si="31"/>
        <v/>
      </c>
      <c r="F413" t="str">
        <f>IF(Sync!$AH413="","",IF(LEFT(UPPER(TRIM(Sync!$AH413)),2)="SL",UPPER(TRIM(Sync!$AH413)),""))</f>
        <v/>
      </c>
      <c r="G413" t="str">
        <f>IF($F413="","",IF(Sync!$AE413="","",IF(ISNUMBER(Sync!$AE413),IF(AND(Sync!$AE413&gt;=10000101,Sync!$AE413&lt;=99991231),INT(Sync!$AE413/10000),""),IFERROR(VALUE(TRIM(LEFT(Sync!$AE413,FIND("/",Sync!$AE413)-1))),""))))</f>
        <v/>
      </c>
      <c r="H413" t="str">
        <f>IF(OR($F413="",$G413=""),"",IF(ISNUMBER(Sync!$AE413),INT(MOD(Sync!$AE413,10000)/100),IFERROR(VALUE(TRIM(LEFT(MID(Sync!$AE413,FIND("/",Sync!$AE413)+1,20),FIND("/",MID(Sync!$AE413,FIND("/",Sync!$AE413)+1,20))-1))),"")))</f>
        <v/>
      </c>
      <c r="I413" t="str">
        <f>IF(OR($F413="",$G413=""),"",IF(ISNUMBER(Sync!$AE413),MOD(Sync!$AE413,100),IFERROR(VALUE(TRIM(MID(MID(Sync!$AE413,FIND("/",Sync!$AE413)+1,20),FIND("/",MID(Sync!$AE413,FIND("/",Sync!$AE413)+1,20))+1,20))),"")))</f>
        <v/>
      </c>
      <c r="J413" t="str">
        <f t="shared" si="32"/>
        <v/>
      </c>
      <c r="K413" t="str">
        <f>IF(OR($F413="",$J413="",$J413="نامعتبر"),"",LEFT($J413,4)&amp;MID($J413,6,2)&amp;RIGHT($J413,2)&amp;$N413&amp;"|"&amp;"2"&amp;RIGHT("00000"&amp;408,5))</f>
        <v/>
      </c>
      <c r="L413" t="str">
        <f t="shared" si="33"/>
        <v/>
      </c>
      <c r="M413" t="str">
        <f t="shared" si="34"/>
        <v/>
      </c>
      <c r="N413" t="str">
        <f>IF($F413="","",IF(Sync!$AF413="","0000",IF(AND(ISNUMBER(Sync!$AF413),Sync!$AF413&gt;=0,Sync!$AF413&lt;1),RIGHT("00"&amp;HOUR(Sync!$AF413),2)&amp;RIGHT("00"&amp;MINUTE(Sync!$AF413),2),IFERROR(RIGHT("00"&amp;VALUE(LEFT(Sync!$AF413,FIND(":",Sync!$AF413)-1)),2)&amp;RIGHT("00"&amp;VALUE(MID(Sync!$AF413,FIND(":",Sync!$AF413)+1,2)),2),"0000"))))</f>
        <v/>
      </c>
    </row>
    <row r="414" spans="1:14" x14ac:dyDescent="0.2">
      <c r="A414" t="str">
        <f>IF(OR(Calc!$E418="",Calc!$E418="نامعتبر",Calc!$G418=""),"",Calc!$G418)</f>
        <v/>
      </c>
      <c r="B414" t="str">
        <f>IF($A414="","",LEFT(Calc!$E418,4)&amp;MID(Calc!$E418,6,2)&amp;RIGHT(Calc!$E418,2)&amp;Calc!$Q418&amp;"|"&amp;"1"&amp;RIGHT("00000"&amp;409,5))</f>
        <v/>
      </c>
      <c r="C414" t="str">
        <f t="shared" si="30"/>
        <v/>
      </c>
      <c r="D414" t="str">
        <f t="shared" si="31"/>
        <v/>
      </c>
      <c r="F414" t="str">
        <f>IF(Sync!$AH414="","",IF(LEFT(UPPER(TRIM(Sync!$AH414)),2)="SL",UPPER(TRIM(Sync!$AH414)),""))</f>
        <v/>
      </c>
      <c r="G414" t="str">
        <f>IF($F414="","",IF(Sync!$AE414="","",IF(ISNUMBER(Sync!$AE414),IF(AND(Sync!$AE414&gt;=10000101,Sync!$AE414&lt;=99991231),INT(Sync!$AE414/10000),""),IFERROR(VALUE(TRIM(LEFT(Sync!$AE414,FIND("/",Sync!$AE414)-1))),""))))</f>
        <v/>
      </c>
      <c r="H414" t="str">
        <f>IF(OR($F414="",$G414=""),"",IF(ISNUMBER(Sync!$AE414),INT(MOD(Sync!$AE414,10000)/100),IFERROR(VALUE(TRIM(LEFT(MID(Sync!$AE414,FIND("/",Sync!$AE414)+1,20),FIND("/",MID(Sync!$AE414,FIND("/",Sync!$AE414)+1,20))-1))),"")))</f>
        <v/>
      </c>
      <c r="I414" t="str">
        <f>IF(OR($F414="",$G414=""),"",IF(ISNUMBER(Sync!$AE414),MOD(Sync!$AE414,100),IFERROR(VALUE(TRIM(MID(MID(Sync!$AE414,FIND("/",Sync!$AE414)+1,20),FIND("/",MID(Sync!$AE414,FIND("/",Sync!$AE414)+1,20))+1,20))),"")))</f>
        <v/>
      </c>
      <c r="J414" t="str">
        <f t="shared" si="32"/>
        <v/>
      </c>
      <c r="K414" t="str">
        <f>IF(OR($F414="",$J414="",$J414="نامعتبر"),"",LEFT($J414,4)&amp;MID($J414,6,2)&amp;RIGHT($J414,2)&amp;$N414&amp;"|"&amp;"2"&amp;RIGHT("00000"&amp;409,5))</f>
        <v/>
      </c>
      <c r="L414" t="str">
        <f t="shared" si="33"/>
        <v/>
      </c>
      <c r="M414" t="str">
        <f t="shared" si="34"/>
        <v/>
      </c>
      <c r="N414" t="str">
        <f>IF($F414="","",IF(Sync!$AF414="","0000",IF(AND(ISNUMBER(Sync!$AF414),Sync!$AF414&gt;=0,Sync!$AF414&lt;1),RIGHT("00"&amp;HOUR(Sync!$AF414),2)&amp;RIGHT("00"&amp;MINUTE(Sync!$AF414),2),IFERROR(RIGHT("00"&amp;VALUE(LEFT(Sync!$AF414,FIND(":",Sync!$AF414)-1)),2)&amp;RIGHT("00"&amp;VALUE(MID(Sync!$AF414,FIND(":",Sync!$AF414)+1,2)),2),"0000"))))</f>
        <v/>
      </c>
    </row>
    <row r="415" spans="1:14" x14ac:dyDescent="0.2">
      <c r="A415" t="str">
        <f>IF(OR(Calc!$E419="",Calc!$E419="نامعتبر",Calc!$G419=""),"",Calc!$G419)</f>
        <v/>
      </c>
      <c r="B415" t="str">
        <f>IF($A415="","",LEFT(Calc!$E419,4)&amp;MID(Calc!$E419,6,2)&amp;RIGHT(Calc!$E419,2)&amp;Calc!$Q419&amp;"|"&amp;"1"&amp;RIGHT("00000"&amp;410,5))</f>
        <v/>
      </c>
      <c r="C415" t="str">
        <f t="shared" si="30"/>
        <v/>
      </c>
      <c r="D415" t="str">
        <f t="shared" si="31"/>
        <v/>
      </c>
      <c r="F415" t="str">
        <f>IF(Sync!$AH415="","",IF(LEFT(UPPER(TRIM(Sync!$AH415)),2)="SL",UPPER(TRIM(Sync!$AH415)),""))</f>
        <v/>
      </c>
      <c r="G415" t="str">
        <f>IF($F415="","",IF(Sync!$AE415="","",IF(ISNUMBER(Sync!$AE415),IF(AND(Sync!$AE415&gt;=10000101,Sync!$AE415&lt;=99991231),INT(Sync!$AE415/10000),""),IFERROR(VALUE(TRIM(LEFT(Sync!$AE415,FIND("/",Sync!$AE415)-1))),""))))</f>
        <v/>
      </c>
      <c r="H415" t="str">
        <f>IF(OR($F415="",$G415=""),"",IF(ISNUMBER(Sync!$AE415),INT(MOD(Sync!$AE415,10000)/100),IFERROR(VALUE(TRIM(LEFT(MID(Sync!$AE415,FIND("/",Sync!$AE415)+1,20),FIND("/",MID(Sync!$AE415,FIND("/",Sync!$AE415)+1,20))-1))),"")))</f>
        <v/>
      </c>
      <c r="I415" t="str">
        <f>IF(OR($F415="",$G415=""),"",IF(ISNUMBER(Sync!$AE415),MOD(Sync!$AE415,100),IFERROR(VALUE(TRIM(MID(MID(Sync!$AE415,FIND("/",Sync!$AE415)+1,20),FIND("/",MID(Sync!$AE415,FIND("/",Sync!$AE415)+1,20))+1,20))),"")))</f>
        <v/>
      </c>
      <c r="J415" t="str">
        <f t="shared" si="32"/>
        <v/>
      </c>
      <c r="K415" t="str">
        <f>IF(OR($F415="",$J415="",$J415="نامعتبر"),"",LEFT($J415,4)&amp;MID($J415,6,2)&amp;RIGHT($J415,2)&amp;$N415&amp;"|"&amp;"2"&amp;RIGHT("00000"&amp;410,5))</f>
        <v/>
      </c>
      <c r="L415" t="str">
        <f t="shared" si="33"/>
        <v/>
      </c>
      <c r="M415" t="str">
        <f t="shared" si="34"/>
        <v/>
      </c>
      <c r="N415" t="str">
        <f>IF($F415="","",IF(Sync!$AF415="","0000",IF(AND(ISNUMBER(Sync!$AF415),Sync!$AF415&gt;=0,Sync!$AF415&lt;1),RIGHT("00"&amp;HOUR(Sync!$AF415),2)&amp;RIGHT("00"&amp;MINUTE(Sync!$AF415),2),IFERROR(RIGHT("00"&amp;VALUE(LEFT(Sync!$AF415,FIND(":",Sync!$AF415)-1)),2)&amp;RIGHT("00"&amp;VALUE(MID(Sync!$AF415,FIND(":",Sync!$AF415)+1,2)),2),"0000"))))</f>
        <v/>
      </c>
    </row>
    <row r="416" spans="1:14" x14ac:dyDescent="0.2">
      <c r="A416" t="str">
        <f>IF(OR(Calc!$E420="",Calc!$E420="نامعتبر",Calc!$G420=""),"",Calc!$G420)</f>
        <v/>
      </c>
      <c r="B416" t="str">
        <f>IF($A416="","",LEFT(Calc!$E420,4)&amp;MID(Calc!$E420,6,2)&amp;RIGHT(Calc!$E420,2)&amp;Calc!$Q420&amp;"|"&amp;"1"&amp;RIGHT("00000"&amp;411,5))</f>
        <v/>
      </c>
      <c r="C416" t="str">
        <f t="shared" si="30"/>
        <v/>
      </c>
      <c r="D416" t="str">
        <f t="shared" si="31"/>
        <v/>
      </c>
      <c r="F416" t="str">
        <f>IF(Sync!$AH416="","",IF(LEFT(UPPER(TRIM(Sync!$AH416)),2)="SL",UPPER(TRIM(Sync!$AH416)),""))</f>
        <v/>
      </c>
      <c r="G416" t="str">
        <f>IF($F416="","",IF(Sync!$AE416="","",IF(ISNUMBER(Sync!$AE416),IF(AND(Sync!$AE416&gt;=10000101,Sync!$AE416&lt;=99991231),INT(Sync!$AE416/10000),""),IFERROR(VALUE(TRIM(LEFT(Sync!$AE416,FIND("/",Sync!$AE416)-1))),""))))</f>
        <v/>
      </c>
      <c r="H416" t="str">
        <f>IF(OR($F416="",$G416=""),"",IF(ISNUMBER(Sync!$AE416),INT(MOD(Sync!$AE416,10000)/100),IFERROR(VALUE(TRIM(LEFT(MID(Sync!$AE416,FIND("/",Sync!$AE416)+1,20),FIND("/",MID(Sync!$AE416,FIND("/",Sync!$AE416)+1,20))-1))),"")))</f>
        <v/>
      </c>
      <c r="I416" t="str">
        <f>IF(OR($F416="",$G416=""),"",IF(ISNUMBER(Sync!$AE416),MOD(Sync!$AE416,100),IFERROR(VALUE(TRIM(MID(MID(Sync!$AE416,FIND("/",Sync!$AE416)+1,20),FIND("/",MID(Sync!$AE416,FIND("/",Sync!$AE416)+1,20))+1,20))),"")))</f>
        <v/>
      </c>
      <c r="J416" t="str">
        <f t="shared" si="32"/>
        <v/>
      </c>
      <c r="K416" t="str">
        <f>IF(OR($F416="",$J416="",$J416="نامعتبر"),"",LEFT($J416,4)&amp;MID($J416,6,2)&amp;RIGHT($J416,2)&amp;$N416&amp;"|"&amp;"2"&amp;RIGHT("00000"&amp;411,5))</f>
        <v/>
      </c>
      <c r="L416" t="str">
        <f t="shared" si="33"/>
        <v/>
      </c>
      <c r="M416" t="str">
        <f t="shared" si="34"/>
        <v/>
      </c>
      <c r="N416" t="str">
        <f>IF($F416="","",IF(Sync!$AF416="","0000",IF(AND(ISNUMBER(Sync!$AF416),Sync!$AF416&gt;=0,Sync!$AF416&lt;1),RIGHT("00"&amp;HOUR(Sync!$AF416),2)&amp;RIGHT("00"&amp;MINUTE(Sync!$AF416),2),IFERROR(RIGHT("00"&amp;VALUE(LEFT(Sync!$AF416,FIND(":",Sync!$AF416)-1)),2)&amp;RIGHT("00"&amp;VALUE(MID(Sync!$AF416,FIND(":",Sync!$AF416)+1,2)),2),"0000"))))</f>
        <v/>
      </c>
    </row>
    <row r="417" spans="1:14" x14ac:dyDescent="0.2">
      <c r="A417" t="str">
        <f>IF(OR(Calc!$E421="",Calc!$E421="نامعتبر",Calc!$G421=""),"",Calc!$G421)</f>
        <v/>
      </c>
      <c r="B417" t="str">
        <f>IF($A417="","",LEFT(Calc!$E421,4)&amp;MID(Calc!$E421,6,2)&amp;RIGHT(Calc!$E421,2)&amp;Calc!$Q421&amp;"|"&amp;"1"&amp;RIGHT("00000"&amp;412,5))</f>
        <v/>
      </c>
      <c r="C417" t="str">
        <f t="shared" si="30"/>
        <v/>
      </c>
      <c r="D417" t="str">
        <f t="shared" si="31"/>
        <v/>
      </c>
      <c r="F417" t="str">
        <f>IF(Sync!$AH417="","",IF(LEFT(UPPER(TRIM(Sync!$AH417)),2)="SL",UPPER(TRIM(Sync!$AH417)),""))</f>
        <v/>
      </c>
      <c r="G417" t="str">
        <f>IF($F417="","",IF(Sync!$AE417="","",IF(ISNUMBER(Sync!$AE417),IF(AND(Sync!$AE417&gt;=10000101,Sync!$AE417&lt;=99991231),INT(Sync!$AE417/10000),""),IFERROR(VALUE(TRIM(LEFT(Sync!$AE417,FIND("/",Sync!$AE417)-1))),""))))</f>
        <v/>
      </c>
      <c r="H417" t="str">
        <f>IF(OR($F417="",$G417=""),"",IF(ISNUMBER(Sync!$AE417),INT(MOD(Sync!$AE417,10000)/100),IFERROR(VALUE(TRIM(LEFT(MID(Sync!$AE417,FIND("/",Sync!$AE417)+1,20),FIND("/",MID(Sync!$AE417,FIND("/",Sync!$AE417)+1,20))-1))),"")))</f>
        <v/>
      </c>
      <c r="I417" t="str">
        <f>IF(OR($F417="",$G417=""),"",IF(ISNUMBER(Sync!$AE417),MOD(Sync!$AE417,100),IFERROR(VALUE(TRIM(MID(MID(Sync!$AE417,FIND("/",Sync!$AE417)+1,20),FIND("/",MID(Sync!$AE417,FIND("/",Sync!$AE417)+1,20))+1,20))),"")))</f>
        <v/>
      </c>
      <c r="J417" t="str">
        <f t="shared" si="32"/>
        <v/>
      </c>
      <c r="K417" t="str">
        <f>IF(OR($F417="",$J417="",$J417="نامعتبر"),"",LEFT($J417,4)&amp;MID($J417,6,2)&amp;RIGHT($J417,2)&amp;$N417&amp;"|"&amp;"2"&amp;RIGHT("00000"&amp;412,5))</f>
        <v/>
      </c>
      <c r="L417" t="str">
        <f t="shared" si="33"/>
        <v/>
      </c>
      <c r="M417" t="str">
        <f t="shared" si="34"/>
        <v/>
      </c>
      <c r="N417" t="str">
        <f>IF($F417="","",IF(Sync!$AF417="","0000",IF(AND(ISNUMBER(Sync!$AF417),Sync!$AF417&gt;=0,Sync!$AF417&lt;1),RIGHT("00"&amp;HOUR(Sync!$AF417),2)&amp;RIGHT("00"&amp;MINUTE(Sync!$AF417),2),IFERROR(RIGHT("00"&amp;VALUE(LEFT(Sync!$AF417,FIND(":",Sync!$AF417)-1)),2)&amp;RIGHT("00"&amp;VALUE(MID(Sync!$AF417,FIND(":",Sync!$AF417)+1,2)),2),"0000"))))</f>
        <v/>
      </c>
    </row>
    <row r="418" spans="1:14" x14ac:dyDescent="0.2">
      <c r="A418" t="str">
        <f>IF(OR(Calc!$E422="",Calc!$E422="نامعتبر",Calc!$G422=""),"",Calc!$G422)</f>
        <v/>
      </c>
      <c r="B418" t="str">
        <f>IF($A418="","",LEFT(Calc!$E422,4)&amp;MID(Calc!$E422,6,2)&amp;RIGHT(Calc!$E422,2)&amp;Calc!$Q422&amp;"|"&amp;"1"&amp;RIGHT("00000"&amp;413,5))</f>
        <v/>
      </c>
      <c r="C418" t="str">
        <f t="shared" si="30"/>
        <v/>
      </c>
      <c r="D418" t="str">
        <f t="shared" si="31"/>
        <v/>
      </c>
      <c r="F418" t="str">
        <f>IF(Sync!$AH418="","",IF(LEFT(UPPER(TRIM(Sync!$AH418)),2)="SL",UPPER(TRIM(Sync!$AH418)),""))</f>
        <v/>
      </c>
      <c r="G418" t="str">
        <f>IF($F418="","",IF(Sync!$AE418="","",IF(ISNUMBER(Sync!$AE418),IF(AND(Sync!$AE418&gt;=10000101,Sync!$AE418&lt;=99991231),INT(Sync!$AE418/10000),""),IFERROR(VALUE(TRIM(LEFT(Sync!$AE418,FIND("/",Sync!$AE418)-1))),""))))</f>
        <v/>
      </c>
      <c r="H418" t="str">
        <f>IF(OR($F418="",$G418=""),"",IF(ISNUMBER(Sync!$AE418),INT(MOD(Sync!$AE418,10000)/100),IFERROR(VALUE(TRIM(LEFT(MID(Sync!$AE418,FIND("/",Sync!$AE418)+1,20),FIND("/",MID(Sync!$AE418,FIND("/",Sync!$AE418)+1,20))-1))),"")))</f>
        <v/>
      </c>
      <c r="I418" t="str">
        <f>IF(OR($F418="",$G418=""),"",IF(ISNUMBER(Sync!$AE418),MOD(Sync!$AE418,100),IFERROR(VALUE(TRIM(MID(MID(Sync!$AE418,FIND("/",Sync!$AE418)+1,20),FIND("/",MID(Sync!$AE418,FIND("/",Sync!$AE418)+1,20))+1,20))),"")))</f>
        <v/>
      </c>
      <c r="J418" t="str">
        <f t="shared" si="32"/>
        <v/>
      </c>
      <c r="K418" t="str">
        <f>IF(OR($F418="",$J418="",$J418="نامعتبر"),"",LEFT($J418,4)&amp;MID($J418,6,2)&amp;RIGHT($J418,2)&amp;$N418&amp;"|"&amp;"2"&amp;RIGHT("00000"&amp;413,5))</f>
        <v/>
      </c>
      <c r="L418" t="str">
        <f t="shared" si="33"/>
        <v/>
      </c>
      <c r="M418" t="str">
        <f t="shared" si="34"/>
        <v/>
      </c>
      <c r="N418" t="str">
        <f>IF($F418="","",IF(Sync!$AF418="","0000",IF(AND(ISNUMBER(Sync!$AF418),Sync!$AF418&gt;=0,Sync!$AF418&lt;1),RIGHT("00"&amp;HOUR(Sync!$AF418),2)&amp;RIGHT("00"&amp;MINUTE(Sync!$AF418),2),IFERROR(RIGHT("00"&amp;VALUE(LEFT(Sync!$AF418,FIND(":",Sync!$AF418)-1)),2)&amp;RIGHT("00"&amp;VALUE(MID(Sync!$AF418,FIND(":",Sync!$AF418)+1,2)),2),"0000"))))</f>
        <v/>
      </c>
    </row>
    <row r="419" spans="1:14" x14ac:dyDescent="0.2">
      <c r="A419" t="str">
        <f>IF(OR(Calc!$E423="",Calc!$E423="نامعتبر",Calc!$G423=""),"",Calc!$G423)</f>
        <v/>
      </c>
      <c r="B419" t="str">
        <f>IF($A419="","",LEFT(Calc!$E423,4)&amp;MID(Calc!$E423,6,2)&amp;RIGHT(Calc!$E423,2)&amp;Calc!$Q423&amp;"|"&amp;"1"&amp;RIGHT("00000"&amp;414,5))</f>
        <v/>
      </c>
      <c r="C419" t="str">
        <f t="shared" si="30"/>
        <v/>
      </c>
      <c r="D419" t="str">
        <f t="shared" si="31"/>
        <v/>
      </c>
      <c r="F419" t="str">
        <f>IF(Sync!$AH419="","",IF(LEFT(UPPER(TRIM(Sync!$AH419)),2)="SL",UPPER(TRIM(Sync!$AH419)),""))</f>
        <v/>
      </c>
      <c r="G419" t="str">
        <f>IF($F419="","",IF(Sync!$AE419="","",IF(ISNUMBER(Sync!$AE419),IF(AND(Sync!$AE419&gt;=10000101,Sync!$AE419&lt;=99991231),INT(Sync!$AE419/10000),""),IFERROR(VALUE(TRIM(LEFT(Sync!$AE419,FIND("/",Sync!$AE419)-1))),""))))</f>
        <v/>
      </c>
      <c r="H419" t="str">
        <f>IF(OR($F419="",$G419=""),"",IF(ISNUMBER(Sync!$AE419),INT(MOD(Sync!$AE419,10000)/100),IFERROR(VALUE(TRIM(LEFT(MID(Sync!$AE419,FIND("/",Sync!$AE419)+1,20),FIND("/",MID(Sync!$AE419,FIND("/",Sync!$AE419)+1,20))-1))),"")))</f>
        <v/>
      </c>
      <c r="I419" t="str">
        <f>IF(OR($F419="",$G419=""),"",IF(ISNUMBER(Sync!$AE419),MOD(Sync!$AE419,100),IFERROR(VALUE(TRIM(MID(MID(Sync!$AE419,FIND("/",Sync!$AE419)+1,20),FIND("/",MID(Sync!$AE419,FIND("/",Sync!$AE419)+1,20))+1,20))),"")))</f>
        <v/>
      </c>
      <c r="J419" t="str">
        <f t="shared" si="32"/>
        <v/>
      </c>
      <c r="K419" t="str">
        <f>IF(OR($F419="",$J419="",$J419="نامعتبر"),"",LEFT($J419,4)&amp;MID($J419,6,2)&amp;RIGHT($J419,2)&amp;$N419&amp;"|"&amp;"2"&amp;RIGHT("00000"&amp;414,5))</f>
        <v/>
      </c>
      <c r="L419" t="str">
        <f t="shared" si="33"/>
        <v/>
      </c>
      <c r="M419" t="str">
        <f t="shared" si="34"/>
        <v/>
      </c>
      <c r="N419" t="str">
        <f>IF($F419="","",IF(Sync!$AF419="","0000",IF(AND(ISNUMBER(Sync!$AF419),Sync!$AF419&gt;=0,Sync!$AF419&lt;1),RIGHT("00"&amp;HOUR(Sync!$AF419),2)&amp;RIGHT("00"&amp;MINUTE(Sync!$AF419),2),IFERROR(RIGHT("00"&amp;VALUE(LEFT(Sync!$AF419,FIND(":",Sync!$AF419)-1)),2)&amp;RIGHT("00"&amp;VALUE(MID(Sync!$AF419,FIND(":",Sync!$AF419)+1,2)),2),"0000"))))</f>
        <v/>
      </c>
    </row>
    <row r="420" spans="1:14" x14ac:dyDescent="0.2">
      <c r="A420" t="str">
        <f>IF(OR(Calc!$E424="",Calc!$E424="نامعتبر",Calc!$G424=""),"",Calc!$G424)</f>
        <v/>
      </c>
      <c r="B420" t="str">
        <f>IF($A420="","",LEFT(Calc!$E424,4)&amp;MID(Calc!$E424,6,2)&amp;RIGHT(Calc!$E424,2)&amp;Calc!$Q424&amp;"|"&amp;"1"&amp;RIGHT("00000"&amp;415,5))</f>
        <v/>
      </c>
      <c r="C420" t="str">
        <f t="shared" si="30"/>
        <v/>
      </c>
      <c r="D420" t="str">
        <f t="shared" si="31"/>
        <v/>
      </c>
      <c r="F420" t="str">
        <f>IF(Sync!$AH420="","",IF(LEFT(UPPER(TRIM(Sync!$AH420)),2)="SL",UPPER(TRIM(Sync!$AH420)),""))</f>
        <v/>
      </c>
      <c r="G420" t="str">
        <f>IF($F420="","",IF(Sync!$AE420="","",IF(ISNUMBER(Sync!$AE420),IF(AND(Sync!$AE420&gt;=10000101,Sync!$AE420&lt;=99991231),INT(Sync!$AE420/10000),""),IFERROR(VALUE(TRIM(LEFT(Sync!$AE420,FIND("/",Sync!$AE420)-1))),""))))</f>
        <v/>
      </c>
      <c r="H420" t="str">
        <f>IF(OR($F420="",$G420=""),"",IF(ISNUMBER(Sync!$AE420),INT(MOD(Sync!$AE420,10000)/100),IFERROR(VALUE(TRIM(LEFT(MID(Sync!$AE420,FIND("/",Sync!$AE420)+1,20),FIND("/",MID(Sync!$AE420,FIND("/",Sync!$AE420)+1,20))-1))),"")))</f>
        <v/>
      </c>
      <c r="I420" t="str">
        <f>IF(OR($F420="",$G420=""),"",IF(ISNUMBER(Sync!$AE420),MOD(Sync!$AE420,100),IFERROR(VALUE(TRIM(MID(MID(Sync!$AE420,FIND("/",Sync!$AE420)+1,20),FIND("/",MID(Sync!$AE420,FIND("/",Sync!$AE420)+1,20))+1,20))),"")))</f>
        <v/>
      </c>
      <c r="J420" t="str">
        <f t="shared" si="32"/>
        <v/>
      </c>
      <c r="K420" t="str">
        <f>IF(OR($F420="",$J420="",$J420="نامعتبر"),"",LEFT($J420,4)&amp;MID($J420,6,2)&amp;RIGHT($J420,2)&amp;$N420&amp;"|"&amp;"2"&amp;RIGHT("00000"&amp;415,5))</f>
        <v/>
      </c>
      <c r="L420" t="str">
        <f t="shared" si="33"/>
        <v/>
      </c>
      <c r="M420" t="str">
        <f t="shared" si="34"/>
        <v/>
      </c>
      <c r="N420" t="str">
        <f>IF($F420="","",IF(Sync!$AF420="","0000",IF(AND(ISNUMBER(Sync!$AF420),Sync!$AF420&gt;=0,Sync!$AF420&lt;1),RIGHT("00"&amp;HOUR(Sync!$AF420),2)&amp;RIGHT("00"&amp;MINUTE(Sync!$AF420),2),IFERROR(RIGHT("00"&amp;VALUE(LEFT(Sync!$AF420,FIND(":",Sync!$AF420)-1)),2)&amp;RIGHT("00"&amp;VALUE(MID(Sync!$AF420,FIND(":",Sync!$AF420)+1,2)),2),"0000"))))</f>
        <v/>
      </c>
    </row>
    <row r="421" spans="1:14" x14ac:dyDescent="0.2">
      <c r="A421" t="str">
        <f>IF(OR(Calc!$E425="",Calc!$E425="نامعتبر",Calc!$G425=""),"",Calc!$G425)</f>
        <v/>
      </c>
      <c r="B421" t="str">
        <f>IF($A421="","",LEFT(Calc!$E425,4)&amp;MID(Calc!$E425,6,2)&amp;RIGHT(Calc!$E425,2)&amp;Calc!$Q425&amp;"|"&amp;"1"&amp;RIGHT("00000"&amp;416,5))</f>
        <v/>
      </c>
      <c r="C421" t="str">
        <f t="shared" si="30"/>
        <v/>
      </c>
      <c r="D421" t="str">
        <f t="shared" si="31"/>
        <v/>
      </c>
      <c r="F421" t="str">
        <f>IF(Sync!$AH421="","",IF(LEFT(UPPER(TRIM(Sync!$AH421)),2)="SL",UPPER(TRIM(Sync!$AH421)),""))</f>
        <v/>
      </c>
      <c r="G421" t="str">
        <f>IF($F421="","",IF(Sync!$AE421="","",IF(ISNUMBER(Sync!$AE421),IF(AND(Sync!$AE421&gt;=10000101,Sync!$AE421&lt;=99991231),INT(Sync!$AE421/10000),""),IFERROR(VALUE(TRIM(LEFT(Sync!$AE421,FIND("/",Sync!$AE421)-1))),""))))</f>
        <v/>
      </c>
      <c r="H421" t="str">
        <f>IF(OR($F421="",$G421=""),"",IF(ISNUMBER(Sync!$AE421),INT(MOD(Sync!$AE421,10000)/100),IFERROR(VALUE(TRIM(LEFT(MID(Sync!$AE421,FIND("/",Sync!$AE421)+1,20),FIND("/",MID(Sync!$AE421,FIND("/",Sync!$AE421)+1,20))-1))),"")))</f>
        <v/>
      </c>
      <c r="I421" t="str">
        <f>IF(OR($F421="",$G421=""),"",IF(ISNUMBER(Sync!$AE421),MOD(Sync!$AE421,100),IFERROR(VALUE(TRIM(MID(MID(Sync!$AE421,FIND("/",Sync!$AE421)+1,20),FIND("/",MID(Sync!$AE421,FIND("/",Sync!$AE421)+1,20))+1,20))),"")))</f>
        <v/>
      </c>
      <c r="J421" t="str">
        <f t="shared" si="32"/>
        <v/>
      </c>
      <c r="K421" t="str">
        <f>IF(OR($F421="",$J421="",$J421="نامعتبر"),"",LEFT($J421,4)&amp;MID($J421,6,2)&amp;RIGHT($J421,2)&amp;$N421&amp;"|"&amp;"2"&amp;RIGHT("00000"&amp;416,5))</f>
        <v/>
      </c>
      <c r="L421" t="str">
        <f t="shared" si="33"/>
        <v/>
      </c>
      <c r="M421" t="str">
        <f t="shared" si="34"/>
        <v/>
      </c>
      <c r="N421" t="str">
        <f>IF($F421="","",IF(Sync!$AF421="","0000",IF(AND(ISNUMBER(Sync!$AF421),Sync!$AF421&gt;=0,Sync!$AF421&lt;1),RIGHT("00"&amp;HOUR(Sync!$AF421),2)&amp;RIGHT("00"&amp;MINUTE(Sync!$AF421),2),IFERROR(RIGHT("00"&amp;VALUE(LEFT(Sync!$AF421,FIND(":",Sync!$AF421)-1)),2)&amp;RIGHT("00"&amp;VALUE(MID(Sync!$AF421,FIND(":",Sync!$AF421)+1,2)),2),"0000"))))</f>
        <v/>
      </c>
    </row>
    <row r="422" spans="1:14" x14ac:dyDescent="0.2">
      <c r="A422" t="str">
        <f>IF(OR(Calc!$E426="",Calc!$E426="نامعتبر",Calc!$G426=""),"",Calc!$G426)</f>
        <v/>
      </c>
      <c r="B422" t="str">
        <f>IF($A422="","",LEFT(Calc!$E426,4)&amp;MID(Calc!$E426,6,2)&amp;RIGHT(Calc!$E426,2)&amp;Calc!$Q426&amp;"|"&amp;"1"&amp;RIGHT("00000"&amp;417,5))</f>
        <v/>
      </c>
      <c r="C422" t="str">
        <f t="shared" si="30"/>
        <v/>
      </c>
      <c r="D422" t="str">
        <f t="shared" si="31"/>
        <v/>
      </c>
      <c r="F422" t="str">
        <f>IF(Sync!$AH422="","",IF(LEFT(UPPER(TRIM(Sync!$AH422)),2)="SL",UPPER(TRIM(Sync!$AH422)),""))</f>
        <v/>
      </c>
      <c r="G422" t="str">
        <f>IF($F422="","",IF(Sync!$AE422="","",IF(ISNUMBER(Sync!$AE422),IF(AND(Sync!$AE422&gt;=10000101,Sync!$AE422&lt;=99991231),INT(Sync!$AE422/10000),""),IFERROR(VALUE(TRIM(LEFT(Sync!$AE422,FIND("/",Sync!$AE422)-1))),""))))</f>
        <v/>
      </c>
      <c r="H422" t="str">
        <f>IF(OR($F422="",$G422=""),"",IF(ISNUMBER(Sync!$AE422),INT(MOD(Sync!$AE422,10000)/100),IFERROR(VALUE(TRIM(LEFT(MID(Sync!$AE422,FIND("/",Sync!$AE422)+1,20),FIND("/",MID(Sync!$AE422,FIND("/",Sync!$AE422)+1,20))-1))),"")))</f>
        <v/>
      </c>
      <c r="I422" t="str">
        <f>IF(OR($F422="",$G422=""),"",IF(ISNUMBER(Sync!$AE422),MOD(Sync!$AE422,100),IFERROR(VALUE(TRIM(MID(MID(Sync!$AE422,FIND("/",Sync!$AE422)+1,20),FIND("/",MID(Sync!$AE422,FIND("/",Sync!$AE422)+1,20))+1,20))),"")))</f>
        <v/>
      </c>
      <c r="J422" t="str">
        <f t="shared" si="32"/>
        <v/>
      </c>
      <c r="K422" t="str">
        <f>IF(OR($F422="",$J422="",$J422="نامعتبر"),"",LEFT($J422,4)&amp;MID($J422,6,2)&amp;RIGHT($J422,2)&amp;$N422&amp;"|"&amp;"2"&amp;RIGHT("00000"&amp;417,5))</f>
        <v/>
      </c>
      <c r="L422" t="str">
        <f t="shared" si="33"/>
        <v/>
      </c>
      <c r="M422" t="str">
        <f t="shared" si="34"/>
        <v/>
      </c>
      <c r="N422" t="str">
        <f>IF($F422="","",IF(Sync!$AF422="","0000",IF(AND(ISNUMBER(Sync!$AF422),Sync!$AF422&gt;=0,Sync!$AF422&lt;1),RIGHT("00"&amp;HOUR(Sync!$AF422),2)&amp;RIGHT("00"&amp;MINUTE(Sync!$AF422),2),IFERROR(RIGHT("00"&amp;VALUE(LEFT(Sync!$AF422,FIND(":",Sync!$AF422)-1)),2)&amp;RIGHT("00"&amp;VALUE(MID(Sync!$AF422,FIND(":",Sync!$AF422)+1,2)),2),"0000"))))</f>
        <v/>
      </c>
    </row>
    <row r="423" spans="1:14" x14ac:dyDescent="0.2">
      <c r="A423" t="str">
        <f>IF(OR(Calc!$E427="",Calc!$E427="نامعتبر",Calc!$G427=""),"",Calc!$G427)</f>
        <v/>
      </c>
      <c r="B423" t="str">
        <f>IF($A423="","",LEFT(Calc!$E427,4)&amp;MID(Calc!$E427,6,2)&amp;RIGHT(Calc!$E427,2)&amp;Calc!$Q427&amp;"|"&amp;"1"&amp;RIGHT("00000"&amp;418,5))</f>
        <v/>
      </c>
      <c r="C423" t="str">
        <f t="shared" si="30"/>
        <v/>
      </c>
      <c r="D423" t="str">
        <f t="shared" si="31"/>
        <v/>
      </c>
      <c r="F423" t="str">
        <f>IF(Sync!$AH423="","",IF(LEFT(UPPER(TRIM(Sync!$AH423)),2)="SL",UPPER(TRIM(Sync!$AH423)),""))</f>
        <v/>
      </c>
      <c r="G423" t="str">
        <f>IF($F423="","",IF(Sync!$AE423="","",IF(ISNUMBER(Sync!$AE423),IF(AND(Sync!$AE423&gt;=10000101,Sync!$AE423&lt;=99991231),INT(Sync!$AE423/10000),""),IFERROR(VALUE(TRIM(LEFT(Sync!$AE423,FIND("/",Sync!$AE423)-1))),""))))</f>
        <v/>
      </c>
      <c r="H423" t="str">
        <f>IF(OR($F423="",$G423=""),"",IF(ISNUMBER(Sync!$AE423),INT(MOD(Sync!$AE423,10000)/100),IFERROR(VALUE(TRIM(LEFT(MID(Sync!$AE423,FIND("/",Sync!$AE423)+1,20),FIND("/",MID(Sync!$AE423,FIND("/",Sync!$AE423)+1,20))-1))),"")))</f>
        <v/>
      </c>
      <c r="I423" t="str">
        <f>IF(OR($F423="",$G423=""),"",IF(ISNUMBER(Sync!$AE423),MOD(Sync!$AE423,100),IFERROR(VALUE(TRIM(MID(MID(Sync!$AE423,FIND("/",Sync!$AE423)+1,20),FIND("/",MID(Sync!$AE423,FIND("/",Sync!$AE423)+1,20))+1,20))),"")))</f>
        <v/>
      </c>
      <c r="J423" t="str">
        <f t="shared" si="32"/>
        <v/>
      </c>
      <c r="K423" t="str">
        <f>IF(OR($F423="",$J423="",$J423="نامعتبر"),"",LEFT($J423,4)&amp;MID($J423,6,2)&amp;RIGHT($J423,2)&amp;$N423&amp;"|"&amp;"2"&amp;RIGHT("00000"&amp;418,5))</f>
        <v/>
      </c>
      <c r="L423" t="str">
        <f t="shared" si="33"/>
        <v/>
      </c>
      <c r="M423" t="str">
        <f t="shared" si="34"/>
        <v/>
      </c>
      <c r="N423" t="str">
        <f>IF($F423="","",IF(Sync!$AF423="","0000",IF(AND(ISNUMBER(Sync!$AF423),Sync!$AF423&gt;=0,Sync!$AF423&lt;1),RIGHT("00"&amp;HOUR(Sync!$AF423),2)&amp;RIGHT("00"&amp;MINUTE(Sync!$AF423),2),IFERROR(RIGHT("00"&amp;VALUE(LEFT(Sync!$AF423,FIND(":",Sync!$AF423)-1)),2)&amp;RIGHT("00"&amp;VALUE(MID(Sync!$AF423,FIND(":",Sync!$AF423)+1,2)),2),"0000"))))</f>
        <v/>
      </c>
    </row>
    <row r="424" spans="1:14" x14ac:dyDescent="0.2">
      <c r="A424" t="str">
        <f>IF(OR(Calc!$E428="",Calc!$E428="نامعتبر",Calc!$G428=""),"",Calc!$G428)</f>
        <v/>
      </c>
      <c r="B424" t="str">
        <f>IF($A424="","",LEFT(Calc!$E428,4)&amp;MID(Calc!$E428,6,2)&amp;RIGHT(Calc!$E428,2)&amp;Calc!$Q428&amp;"|"&amp;"1"&amp;RIGHT("00000"&amp;419,5))</f>
        <v/>
      </c>
      <c r="C424" t="str">
        <f t="shared" si="30"/>
        <v/>
      </c>
      <c r="D424" t="str">
        <f t="shared" si="31"/>
        <v/>
      </c>
      <c r="F424" t="str">
        <f>IF(Sync!$AH424="","",IF(LEFT(UPPER(TRIM(Sync!$AH424)),2)="SL",UPPER(TRIM(Sync!$AH424)),""))</f>
        <v/>
      </c>
      <c r="G424" t="str">
        <f>IF($F424="","",IF(Sync!$AE424="","",IF(ISNUMBER(Sync!$AE424),IF(AND(Sync!$AE424&gt;=10000101,Sync!$AE424&lt;=99991231),INT(Sync!$AE424/10000),""),IFERROR(VALUE(TRIM(LEFT(Sync!$AE424,FIND("/",Sync!$AE424)-1))),""))))</f>
        <v/>
      </c>
      <c r="H424" t="str">
        <f>IF(OR($F424="",$G424=""),"",IF(ISNUMBER(Sync!$AE424),INT(MOD(Sync!$AE424,10000)/100),IFERROR(VALUE(TRIM(LEFT(MID(Sync!$AE424,FIND("/",Sync!$AE424)+1,20),FIND("/",MID(Sync!$AE424,FIND("/",Sync!$AE424)+1,20))-1))),"")))</f>
        <v/>
      </c>
      <c r="I424" t="str">
        <f>IF(OR($F424="",$G424=""),"",IF(ISNUMBER(Sync!$AE424),MOD(Sync!$AE424,100),IFERROR(VALUE(TRIM(MID(MID(Sync!$AE424,FIND("/",Sync!$AE424)+1,20),FIND("/",MID(Sync!$AE424,FIND("/",Sync!$AE424)+1,20))+1,20))),"")))</f>
        <v/>
      </c>
      <c r="J424" t="str">
        <f t="shared" si="32"/>
        <v/>
      </c>
      <c r="K424" t="str">
        <f>IF(OR($F424="",$J424="",$J424="نامعتبر"),"",LEFT($J424,4)&amp;MID($J424,6,2)&amp;RIGHT($J424,2)&amp;$N424&amp;"|"&amp;"2"&amp;RIGHT("00000"&amp;419,5))</f>
        <v/>
      </c>
      <c r="L424" t="str">
        <f t="shared" si="33"/>
        <v/>
      </c>
      <c r="M424" t="str">
        <f t="shared" si="34"/>
        <v/>
      </c>
      <c r="N424" t="str">
        <f>IF($F424="","",IF(Sync!$AF424="","0000",IF(AND(ISNUMBER(Sync!$AF424),Sync!$AF424&gt;=0,Sync!$AF424&lt;1),RIGHT("00"&amp;HOUR(Sync!$AF424),2)&amp;RIGHT("00"&amp;MINUTE(Sync!$AF424),2),IFERROR(RIGHT("00"&amp;VALUE(LEFT(Sync!$AF424,FIND(":",Sync!$AF424)-1)),2)&amp;RIGHT("00"&amp;VALUE(MID(Sync!$AF424,FIND(":",Sync!$AF424)+1,2)),2),"0000"))))</f>
        <v/>
      </c>
    </row>
    <row r="425" spans="1:14" x14ac:dyDescent="0.2">
      <c r="A425" t="str">
        <f>IF(OR(Calc!$E429="",Calc!$E429="نامعتبر",Calc!$G429=""),"",Calc!$G429)</f>
        <v/>
      </c>
      <c r="B425" t="str">
        <f>IF($A425="","",LEFT(Calc!$E429,4)&amp;MID(Calc!$E429,6,2)&amp;RIGHT(Calc!$E429,2)&amp;Calc!$Q429&amp;"|"&amp;"1"&amp;RIGHT("00000"&amp;420,5))</f>
        <v/>
      </c>
      <c r="C425" t="str">
        <f t="shared" si="30"/>
        <v/>
      </c>
      <c r="D425" t="str">
        <f t="shared" si="31"/>
        <v/>
      </c>
      <c r="F425" t="str">
        <f>IF(Sync!$AH425="","",IF(LEFT(UPPER(TRIM(Sync!$AH425)),2)="SL",UPPER(TRIM(Sync!$AH425)),""))</f>
        <v/>
      </c>
      <c r="G425" t="str">
        <f>IF($F425="","",IF(Sync!$AE425="","",IF(ISNUMBER(Sync!$AE425),IF(AND(Sync!$AE425&gt;=10000101,Sync!$AE425&lt;=99991231),INT(Sync!$AE425/10000),""),IFERROR(VALUE(TRIM(LEFT(Sync!$AE425,FIND("/",Sync!$AE425)-1))),""))))</f>
        <v/>
      </c>
      <c r="H425" t="str">
        <f>IF(OR($F425="",$G425=""),"",IF(ISNUMBER(Sync!$AE425),INT(MOD(Sync!$AE425,10000)/100),IFERROR(VALUE(TRIM(LEFT(MID(Sync!$AE425,FIND("/",Sync!$AE425)+1,20),FIND("/",MID(Sync!$AE425,FIND("/",Sync!$AE425)+1,20))-1))),"")))</f>
        <v/>
      </c>
      <c r="I425" t="str">
        <f>IF(OR($F425="",$G425=""),"",IF(ISNUMBER(Sync!$AE425),MOD(Sync!$AE425,100),IFERROR(VALUE(TRIM(MID(MID(Sync!$AE425,FIND("/",Sync!$AE425)+1,20),FIND("/",MID(Sync!$AE425,FIND("/",Sync!$AE425)+1,20))+1,20))),"")))</f>
        <v/>
      </c>
      <c r="J425" t="str">
        <f t="shared" si="32"/>
        <v/>
      </c>
      <c r="K425" t="str">
        <f>IF(OR($F425="",$J425="",$J425="نامعتبر"),"",LEFT($J425,4)&amp;MID($J425,6,2)&amp;RIGHT($J425,2)&amp;$N425&amp;"|"&amp;"2"&amp;RIGHT("00000"&amp;420,5))</f>
        <v/>
      </c>
      <c r="L425" t="str">
        <f t="shared" si="33"/>
        <v/>
      </c>
      <c r="M425" t="str">
        <f t="shared" si="34"/>
        <v/>
      </c>
      <c r="N425" t="str">
        <f>IF($F425="","",IF(Sync!$AF425="","0000",IF(AND(ISNUMBER(Sync!$AF425),Sync!$AF425&gt;=0,Sync!$AF425&lt;1),RIGHT("00"&amp;HOUR(Sync!$AF425),2)&amp;RIGHT("00"&amp;MINUTE(Sync!$AF425),2),IFERROR(RIGHT("00"&amp;VALUE(LEFT(Sync!$AF425,FIND(":",Sync!$AF425)-1)),2)&amp;RIGHT("00"&amp;VALUE(MID(Sync!$AF425,FIND(":",Sync!$AF425)+1,2)),2),"0000"))))</f>
        <v/>
      </c>
    </row>
    <row r="426" spans="1:14" x14ac:dyDescent="0.2">
      <c r="A426" t="str">
        <f>IF(OR(Calc!$E430="",Calc!$E430="نامعتبر",Calc!$G430=""),"",Calc!$G430)</f>
        <v/>
      </c>
      <c r="B426" t="str">
        <f>IF($A426="","",LEFT(Calc!$E430,4)&amp;MID(Calc!$E430,6,2)&amp;RIGHT(Calc!$E430,2)&amp;Calc!$Q430&amp;"|"&amp;"1"&amp;RIGHT("00000"&amp;421,5))</f>
        <v/>
      </c>
      <c r="C426" t="str">
        <f t="shared" si="30"/>
        <v/>
      </c>
      <c r="D426" t="str">
        <f t="shared" si="31"/>
        <v/>
      </c>
      <c r="F426" t="str">
        <f>IF(Sync!$AH426="","",IF(LEFT(UPPER(TRIM(Sync!$AH426)),2)="SL",UPPER(TRIM(Sync!$AH426)),""))</f>
        <v/>
      </c>
      <c r="G426" t="str">
        <f>IF($F426="","",IF(Sync!$AE426="","",IF(ISNUMBER(Sync!$AE426),IF(AND(Sync!$AE426&gt;=10000101,Sync!$AE426&lt;=99991231),INT(Sync!$AE426/10000),""),IFERROR(VALUE(TRIM(LEFT(Sync!$AE426,FIND("/",Sync!$AE426)-1))),""))))</f>
        <v/>
      </c>
      <c r="H426" t="str">
        <f>IF(OR($F426="",$G426=""),"",IF(ISNUMBER(Sync!$AE426),INT(MOD(Sync!$AE426,10000)/100),IFERROR(VALUE(TRIM(LEFT(MID(Sync!$AE426,FIND("/",Sync!$AE426)+1,20),FIND("/",MID(Sync!$AE426,FIND("/",Sync!$AE426)+1,20))-1))),"")))</f>
        <v/>
      </c>
      <c r="I426" t="str">
        <f>IF(OR($F426="",$G426=""),"",IF(ISNUMBER(Sync!$AE426),MOD(Sync!$AE426,100),IFERROR(VALUE(TRIM(MID(MID(Sync!$AE426,FIND("/",Sync!$AE426)+1,20),FIND("/",MID(Sync!$AE426,FIND("/",Sync!$AE426)+1,20))+1,20))),"")))</f>
        <v/>
      </c>
      <c r="J426" t="str">
        <f t="shared" si="32"/>
        <v/>
      </c>
      <c r="K426" t="str">
        <f>IF(OR($F426="",$J426="",$J426="نامعتبر"),"",LEFT($J426,4)&amp;MID($J426,6,2)&amp;RIGHT($J426,2)&amp;$N426&amp;"|"&amp;"2"&amp;RIGHT("00000"&amp;421,5))</f>
        <v/>
      </c>
      <c r="L426" t="str">
        <f t="shared" si="33"/>
        <v/>
      </c>
      <c r="M426" t="str">
        <f t="shared" si="34"/>
        <v/>
      </c>
      <c r="N426" t="str">
        <f>IF($F426="","",IF(Sync!$AF426="","0000",IF(AND(ISNUMBER(Sync!$AF426),Sync!$AF426&gt;=0,Sync!$AF426&lt;1),RIGHT("00"&amp;HOUR(Sync!$AF426),2)&amp;RIGHT("00"&amp;MINUTE(Sync!$AF426),2),IFERROR(RIGHT("00"&amp;VALUE(LEFT(Sync!$AF426,FIND(":",Sync!$AF426)-1)),2)&amp;RIGHT("00"&amp;VALUE(MID(Sync!$AF426,FIND(":",Sync!$AF426)+1,2)),2),"0000"))))</f>
        <v/>
      </c>
    </row>
    <row r="427" spans="1:14" x14ac:dyDescent="0.2">
      <c r="A427" t="str">
        <f>IF(OR(Calc!$E431="",Calc!$E431="نامعتبر",Calc!$G431=""),"",Calc!$G431)</f>
        <v/>
      </c>
      <c r="B427" t="str">
        <f>IF($A427="","",LEFT(Calc!$E431,4)&amp;MID(Calc!$E431,6,2)&amp;RIGHT(Calc!$E431,2)&amp;Calc!$Q431&amp;"|"&amp;"1"&amp;RIGHT("00000"&amp;422,5))</f>
        <v/>
      </c>
      <c r="C427" t="str">
        <f t="shared" si="30"/>
        <v/>
      </c>
      <c r="D427" t="str">
        <f t="shared" si="31"/>
        <v/>
      </c>
      <c r="F427" t="str">
        <f>IF(Sync!$AH427="","",IF(LEFT(UPPER(TRIM(Sync!$AH427)),2)="SL",UPPER(TRIM(Sync!$AH427)),""))</f>
        <v/>
      </c>
      <c r="G427" t="str">
        <f>IF($F427="","",IF(Sync!$AE427="","",IF(ISNUMBER(Sync!$AE427),IF(AND(Sync!$AE427&gt;=10000101,Sync!$AE427&lt;=99991231),INT(Sync!$AE427/10000),""),IFERROR(VALUE(TRIM(LEFT(Sync!$AE427,FIND("/",Sync!$AE427)-1))),""))))</f>
        <v/>
      </c>
      <c r="H427" t="str">
        <f>IF(OR($F427="",$G427=""),"",IF(ISNUMBER(Sync!$AE427),INT(MOD(Sync!$AE427,10000)/100),IFERROR(VALUE(TRIM(LEFT(MID(Sync!$AE427,FIND("/",Sync!$AE427)+1,20),FIND("/",MID(Sync!$AE427,FIND("/",Sync!$AE427)+1,20))-1))),"")))</f>
        <v/>
      </c>
      <c r="I427" t="str">
        <f>IF(OR($F427="",$G427=""),"",IF(ISNUMBER(Sync!$AE427),MOD(Sync!$AE427,100),IFERROR(VALUE(TRIM(MID(MID(Sync!$AE427,FIND("/",Sync!$AE427)+1,20),FIND("/",MID(Sync!$AE427,FIND("/",Sync!$AE427)+1,20))+1,20))),"")))</f>
        <v/>
      </c>
      <c r="J427" t="str">
        <f t="shared" si="32"/>
        <v/>
      </c>
      <c r="K427" t="str">
        <f>IF(OR($F427="",$J427="",$J427="نامعتبر"),"",LEFT($J427,4)&amp;MID($J427,6,2)&amp;RIGHT($J427,2)&amp;$N427&amp;"|"&amp;"2"&amp;RIGHT("00000"&amp;422,5))</f>
        <v/>
      </c>
      <c r="L427" t="str">
        <f t="shared" si="33"/>
        <v/>
      </c>
      <c r="M427" t="str">
        <f t="shared" si="34"/>
        <v/>
      </c>
      <c r="N427" t="str">
        <f>IF($F427="","",IF(Sync!$AF427="","0000",IF(AND(ISNUMBER(Sync!$AF427),Sync!$AF427&gt;=0,Sync!$AF427&lt;1),RIGHT("00"&amp;HOUR(Sync!$AF427),2)&amp;RIGHT("00"&amp;MINUTE(Sync!$AF427),2),IFERROR(RIGHT("00"&amp;VALUE(LEFT(Sync!$AF427,FIND(":",Sync!$AF427)-1)),2)&amp;RIGHT("00"&amp;VALUE(MID(Sync!$AF427,FIND(":",Sync!$AF427)+1,2)),2),"0000"))))</f>
        <v/>
      </c>
    </row>
    <row r="428" spans="1:14" x14ac:dyDescent="0.2">
      <c r="A428" t="str">
        <f>IF(OR(Calc!$E432="",Calc!$E432="نامعتبر",Calc!$G432=""),"",Calc!$G432)</f>
        <v/>
      </c>
      <c r="B428" t="str">
        <f>IF($A428="","",LEFT(Calc!$E432,4)&amp;MID(Calc!$E432,6,2)&amp;RIGHT(Calc!$E432,2)&amp;Calc!$Q432&amp;"|"&amp;"1"&amp;RIGHT("00000"&amp;423,5))</f>
        <v/>
      </c>
      <c r="C428" t="str">
        <f t="shared" si="30"/>
        <v/>
      </c>
      <c r="D428" t="str">
        <f t="shared" si="31"/>
        <v/>
      </c>
      <c r="F428" t="str">
        <f>IF(Sync!$AH428="","",IF(LEFT(UPPER(TRIM(Sync!$AH428)),2)="SL",UPPER(TRIM(Sync!$AH428)),""))</f>
        <v/>
      </c>
      <c r="G428" t="str">
        <f>IF($F428="","",IF(Sync!$AE428="","",IF(ISNUMBER(Sync!$AE428),IF(AND(Sync!$AE428&gt;=10000101,Sync!$AE428&lt;=99991231),INT(Sync!$AE428/10000),""),IFERROR(VALUE(TRIM(LEFT(Sync!$AE428,FIND("/",Sync!$AE428)-1))),""))))</f>
        <v/>
      </c>
      <c r="H428" t="str">
        <f>IF(OR($F428="",$G428=""),"",IF(ISNUMBER(Sync!$AE428),INT(MOD(Sync!$AE428,10000)/100),IFERROR(VALUE(TRIM(LEFT(MID(Sync!$AE428,FIND("/",Sync!$AE428)+1,20),FIND("/",MID(Sync!$AE428,FIND("/",Sync!$AE428)+1,20))-1))),"")))</f>
        <v/>
      </c>
      <c r="I428" t="str">
        <f>IF(OR($F428="",$G428=""),"",IF(ISNUMBER(Sync!$AE428),MOD(Sync!$AE428,100),IFERROR(VALUE(TRIM(MID(MID(Sync!$AE428,FIND("/",Sync!$AE428)+1,20),FIND("/",MID(Sync!$AE428,FIND("/",Sync!$AE428)+1,20))+1,20))),"")))</f>
        <v/>
      </c>
      <c r="J428" t="str">
        <f t="shared" si="32"/>
        <v/>
      </c>
      <c r="K428" t="str">
        <f>IF(OR($F428="",$J428="",$J428="نامعتبر"),"",LEFT($J428,4)&amp;MID($J428,6,2)&amp;RIGHT($J428,2)&amp;$N428&amp;"|"&amp;"2"&amp;RIGHT("00000"&amp;423,5))</f>
        <v/>
      </c>
      <c r="L428" t="str">
        <f t="shared" si="33"/>
        <v/>
      </c>
      <c r="M428" t="str">
        <f t="shared" si="34"/>
        <v/>
      </c>
      <c r="N428" t="str">
        <f>IF($F428="","",IF(Sync!$AF428="","0000",IF(AND(ISNUMBER(Sync!$AF428),Sync!$AF428&gt;=0,Sync!$AF428&lt;1),RIGHT("00"&amp;HOUR(Sync!$AF428),2)&amp;RIGHT("00"&amp;MINUTE(Sync!$AF428),2),IFERROR(RIGHT("00"&amp;VALUE(LEFT(Sync!$AF428,FIND(":",Sync!$AF428)-1)),2)&amp;RIGHT("00"&amp;VALUE(MID(Sync!$AF428,FIND(":",Sync!$AF428)+1,2)),2),"0000"))))</f>
        <v/>
      </c>
    </row>
    <row r="429" spans="1:14" x14ac:dyDescent="0.2">
      <c r="A429" t="str">
        <f>IF(OR(Calc!$E433="",Calc!$E433="نامعتبر",Calc!$G433=""),"",Calc!$G433)</f>
        <v/>
      </c>
      <c r="B429" t="str">
        <f>IF($A429="","",LEFT(Calc!$E433,4)&amp;MID(Calc!$E433,6,2)&amp;RIGHT(Calc!$E433,2)&amp;Calc!$Q433&amp;"|"&amp;"1"&amp;RIGHT("00000"&amp;424,5))</f>
        <v/>
      </c>
      <c r="C429" t="str">
        <f t="shared" si="30"/>
        <v/>
      </c>
      <c r="D429" t="str">
        <f t="shared" si="31"/>
        <v/>
      </c>
      <c r="F429" t="str">
        <f>IF(Sync!$AH429="","",IF(LEFT(UPPER(TRIM(Sync!$AH429)),2)="SL",UPPER(TRIM(Sync!$AH429)),""))</f>
        <v/>
      </c>
      <c r="G429" t="str">
        <f>IF($F429="","",IF(Sync!$AE429="","",IF(ISNUMBER(Sync!$AE429),IF(AND(Sync!$AE429&gt;=10000101,Sync!$AE429&lt;=99991231),INT(Sync!$AE429/10000),""),IFERROR(VALUE(TRIM(LEFT(Sync!$AE429,FIND("/",Sync!$AE429)-1))),""))))</f>
        <v/>
      </c>
      <c r="H429" t="str">
        <f>IF(OR($F429="",$G429=""),"",IF(ISNUMBER(Sync!$AE429),INT(MOD(Sync!$AE429,10000)/100),IFERROR(VALUE(TRIM(LEFT(MID(Sync!$AE429,FIND("/",Sync!$AE429)+1,20),FIND("/",MID(Sync!$AE429,FIND("/",Sync!$AE429)+1,20))-1))),"")))</f>
        <v/>
      </c>
      <c r="I429" t="str">
        <f>IF(OR($F429="",$G429=""),"",IF(ISNUMBER(Sync!$AE429),MOD(Sync!$AE429,100),IFERROR(VALUE(TRIM(MID(MID(Sync!$AE429,FIND("/",Sync!$AE429)+1,20),FIND("/",MID(Sync!$AE429,FIND("/",Sync!$AE429)+1,20))+1,20))),"")))</f>
        <v/>
      </c>
      <c r="J429" t="str">
        <f t="shared" si="32"/>
        <v/>
      </c>
      <c r="K429" t="str">
        <f>IF(OR($F429="",$J429="",$J429="نامعتبر"),"",LEFT($J429,4)&amp;MID($J429,6,2)&amp;RIGHT($J429,2)&amp;$N429&amp;"|"&amp;"2"&amp;RIGHT("00000"&amp;424,5))</f>
        <v/>
      </c>
      <c r="L429" t="str">
        <f t="shared" si="33"/>
        <v/>
      </c>
      <c r="M429" t="str">
        <f t="shared" si="34"/>
        <v/>
      </c>
      <c r="N429" t="str">
        <f>IF($F429="","",IF(Sync!$AF429="","0000",IF(AND(ISNUMBER(Sync!$AF429),Sync!$AF429&gt;=0,Sync!$AF429&lt;1),RIGHT("00"&amp;HOUR(Sync!$AF429),2)&amp;RIGHT("00"&amp;MINUTE(Sync!$AF429),2),IFERROR(RIGHT("00"&amp;VALUE(LEFT(Sync!$AF429,FIND(":",Sync!$AF429)-1)),2)&amp;RIGHT("00"&amp;VALUE(MID(Sync!$AF429,FIND(":",Sync!$AF429)+1,2)),2),"0000"))))</f>
        <v/>
      </c>
    </row>
    <row r="430" spans="1:14" x14ac:dyDescent="0.2">
      <c r="A430" t="str">
        <f>IF(OR(Calc!$E434="",Calc!$E434="نامعتبر",Calc!$G434=""),"",Calc!$G434)</f>
        <v/>
      </c>
      <c r="B430" t="str">
        <f>IF($A430="","",LEFT(Calc!$E434,4)&amp;MID(Calc!$E434,6,2)&amp;RIGHT(Calc!$E434,2)&amp;Calc!$Q434&amp;"|"&amp;"1"&amp;RIGHT("00000"&amp;425,5))</f>
        <v/>
      </c>
      <c r="C430" t="str">
        <f t="shared" si="30"/>
        <v/>
      </c>
      <c r="D430" t="str">
        <f t="shared" si="31"/>
        <v/>
      </c>
      <c r="F430" t="str">
        <f>IF(Sync!$AH430="","",IF(LEFT(UPPER(TRIM(Sync!$AH430)),2)="SL",UPPER(TRIM(Sync!$AH430)),""))</f>
        <v/>
      </c>
      <c r="G430" t="str">
        <f>IF($F430="","",IF(Sync!$AE430="","",IF(ISNUMBER(Sync!$AE430),IF(AND(Sync!$AE430&gt;=10000101,Sync!$AE430&lt;=99991231),INT(Sync!$AE430/10000),""),IFERROR(VALUE(TRIM(LEFT(Sync!$AE430,FIND("/",Sync!$AE430)-1))),""))))</f>
        <v/>
      </c>
      <c r="H430" t="str">
        <f>IF(OR($F430="",$G430=""),"",IF(ISNUMBER(Sync!$AE430),INT(MOD(Sync!$AE430,10000)/100),IFERROR(VALUE(TRIM(LEFT(MID(Sync!$AE430,FIND("/",Sync!$AE430)+1,20),FIND("/",MID(Sync!$AE430,FIND("/",Sync!$AE430)+1,20))-1))),"")))</f>
        <v/>
      </c>
      <c r="I430" t="str">
        <f>IF(OR($F430="",$G430=""),"",IF(ISNUMBER(Sync!$AE430),MOD(Sync!$AE430,100),IFERROR(VALUE(TRIM(MID(MID(Sync!$AE430,FIND("/",Sync!$AE430)+1,20),FIND("/",MID(Sync!$AE430,FIND("/",Sync!$AE430)+1,20))+1,20))),"")))</f>
        <v/>
      </c>
      <c r="J430" t="str">
        <f t="shared" si="32"/>
        <v/>
      </c>
      <c r="K430" t="str">
        <f>IF(OR($F430="",$J430="",$J430="نامعتبر"),"",LEFT($J430,4)&amp;MID($J430,6,2)&amp;RIGHT($J430,2)&amp;$N430&amp;"|"&amp;"2"&amp;RIGHT("00000"&amp;425,5))</f>
        <v/>
      </c>
      <c r="L430" t="str">
        <f t="shared" si="33"/>
        <v/>
      </c>
      <c r="M430" t="str">
        <f t="shared" si="34"/>
        <v/>
      </c>
      <c r="N430" t="str">
        <f>IF($F430="","",IF(Sync!$AF430="","0000",IF(AND(ISNUMBER(Sync!$AF430),Sync!$AF430&gt;=0,Sync!$AF430&lt;1),RIGHT("00"&amp;HOUR(Sync!$AF430),2)&amp;RIGHT("00"&amp;MINUTE(Sync!$AF430),2),IFERROR(RIGHT("00"&amp;VALUE(LEFT(Sync!$AF430,FIND(":",Sync!$AF430)-1)),2)&amp;RIGHT("00"&amp;VALUE(MID(Sync!$AF430,FIND(":",Sync!$AF430)+1,2)),2),"0000"))))</f>
        <v/>
      </c>
    </row>
    <row r="431" spans="1:14" x14ac:dyDescent="0.2">
      <c r="A431" t="str">
        <f>IF(OR(Calc!$E435="",Calc!$E435="نامعتبر",Calc!$G435=""),"",Calc!$G435)</f>
        <v/>
      </c>
      <c r="B431" t="str">
        <f>IF($A431="","",LEFT(Calc!$E435,4)&amp;MID(Calc!$E435,6,2)&amp;RIGHT(Calc!$E435,2)&amp;Calc!$Q435&amp;"|"&amp;"1"&amp;RIGHT("00000"&amp;426,5))</f>
        <v/>
      </c>
      <c r="C431" t="str">
        <f t="shared" si="30"/>
        <v/>
      </c>
      <c r="D431" t="str">
        <f t="shared" si="31"/>
        <v/>
      </c>
      <c r="F431" t="str">
        <f>IF(Sync!$AH431="","",IF(LEFT(UPPER(TRIM(Sync!$AH431)),2)="SL",UPPER(TRIM(Sync!$AH431)),""))</f>
        <v/>
      </c>
      <c r="G431" t="str">
        <f>IF($F431="","",IF(Sync!$AE431="","",IF(ISNUMBER(Sync!$AE431),IF(AND(Sync!$AE431&gt;=10000101,Sync!$AE431&lt;=99991231),INT(Sync!$AE431/10000),""),IFERROR(VALUE(TRIM(LEFT(Sync!$AE431,FIND("/",Sync!$AE431)-1))),""))))</f>
        <v/>
      </c>
      <c r="H431" t="str">
        <f>IF(OR($F431="",$G431=""),"",IF(ISNUMBER(Sync!$AE431),INT(MOD(Sync!$AE431,10000)/100),IFERROR(VALUE(TRIM(LEFT(MID(Sync!$AE431,FIND("/",Sync!$AE431)+1,20),FIND("/",MID(Sync!$AE431,FIND("/",Sync!$AE431)+1,20))-1))),"")))</f>
        <v/>
      </c>
      <c r="I431" t="str">
        <f>IF(OR($F431="",$G431=""),"",IF(ISNUMBER(Sync!$AE431),MOD(Sync!$AE431,100),IFERROR(VALUE(TRIM(MID(MID(Sync!$AE431,FIND("/",Sync!$AE431)+1,20),FIND("/",MID(Sync!$AE431,FIND("/",Sync!$AE431)+1,20))+1,20))),"")))</f>
        <v/>
      </c>
      <c r="J431" t="str">
        <f t="shared" si="32"/>
        <v/>
      </c>
      <c r="K431" t="str">
        <f>IF(OR($F431="",$J431="",$J431="نامعتبر"),"",LEFT($J431,4)&amp;MID($J431,6,2)&amp;RIGHT($J431,2)&amp;$N431&amp;"|"&amp;"2"&amp;RIGHT("00000"&amp;426,5))</f>
        <v/>
      </c>
      <c r="L431" t="str">
        <f t="shared" si="33"/>
        <v/>
      </c>
      <c r="M431" t="str">
        <f t="shared" si="34"/>
        <v/>
      </c>
      <c r="N431" t="str">
        <f>IF($F431="","",IF(Sync!$AF431="","0000",IF(AND(ISNUMBER(Sync!$AF431),Sync!$AF431&gt;=0,Sync!$AF431&lt;1),RIGHT("00"&amp;HOUR(Sync!$AF431),2)&amp;RIGHT("00"&amp;MINUTE(Sync!$AF431),2),IFERROR(RIGHT("00"&amp;VALUE(LEFT(Sync!$AF431,FIND(":",Sync!$AF431)-1)),2)&amp;RIGHT("00"&amp;VALUE(MID(Sync!$AF431,FIND(":",Sync!$AF431)+1,2)),2),"0000"))))</f>
        <v/>
      </c>
    </row>
    <row r="432" spans="1:14" x14ac:dyDescent="0.2">
      <c r="A432" t="str">
        <f>IF(OR(Calc!$E436="",Calc!$E436="نامعتبر",Calc!$G436=""),"",Calc!$G436)</f>
        <v/>
      </c>
      <c r="B432" t="str">
        <f>IF($A432="","",LEFT(Calc!$E436,4)&amp;MID(Calc!$E436,6,2)&amp;RIGHT(Calc!$E436,2)&amp;Calc!$Q436&amp;"|"&amp;"1"&amp;RIGHT("00000"&amp;427,5))</f>
        <v/>
      </c>
      <c r="C432" t="str">
        <f t="shared" si="30"/>
        <v/>
      </c>
      <c r="D432" t="str">
        <f t="shared" si="31"/>
        <v/>
      </c>
      <c r="F432" t="str">
        <f>IF(Sync!$AH432="","",IF(LEFT(UPPER(TRIM(Sync!$AH432)),2)="SL",UPPER(TRIM(Sync!$AH432)),""))</f>
        <v/>
      </c>
      <c r="G432" t="str">
        <f>IF($F432="","",IF(Sync!$AE432="","",IF(ISNUMBER(Sync!$AE432),IF(AND(Sync!$AE432&gt;=10000101,Sync!$AE432&lt;=99991231),INT(Sync!$AE432/10000),""),IFERROR(VALUE(TRIM(LEFT(Sync!$AE432,FIND("/",Sync!$AE432)-1))),""))))</f>
        <v/>
      </c>
      <c r="H432" t="str">
        <f>IF(OR($F432="",$G432=""),"",IF(ISNUMBER(Sync!$AE432),INT(MOD(Sync!$AE432,10000)/100),IFERROR(VALUE(TRIM(LEFT(MID(Sync!$AE432,FIND("/",Sync!$AE432)+1,20),FIND("/",MID(Sync!$AE432,FIND("/",Sync!$AE432)+1,20))-1))),"")))</f>
        <v/>
      </c>
      <c r="I432" t="str">
        <f>IF(OR($F432="",$G432=""),"",IF(ISNUMBER(Sync!$AE432),MOD(Sync!$AE432,100),IFERROR(VALUE(TRIM(MID(MID(Sync!$AE432,FIND("/",Sync!$AE432)+1,20),FIND("/",MID(Sync!$AE432,FIND("/",Sync!$AE432)+1,20))+1,20))),"")))</f>
        <v/>
      </c>
      <c r="J432" t="str">
        <f t="shared" si="32"/>
        <v/>
      </c>
      <c r="K432" t="str">
        <f>IF(OR($F432="",$J432="",$J432="نامعتبر"),"",LEFT($J432,4)&amp;MID($J432,6,2)&amp;RIGHT($J432,2)&amp;$N432&amp;"|"&amp;"2"&amp;RIGHT("00000"&amp;427,5))</f>
        <v/>
      </c>
      <c r="L432" t="str">
        <f t="shared" si="33"/>
        <v/>
      </c>
      <c r="M432" t="str">
        <f t="shared" si="34"/>
        <v/>
      </c>
      <c r="N432" t="str">
        <f>IF($F432="","",IF(Sync!$AF432="","0000",IF(AND(ISNUMBER(Sync!$AF432),Sync!$AF432&gt;=0,Sync!$AF432&lt;1),RIGHT("00"&amp;HOUR(Sync!$AF432),2)&amp;RIGHT("00"&amp;MINUTE(Sync!$AF432),2),IFERROR(RIGHT("00"&amp;VALUE(LEFT(Sync!$AF432,FIND(":",Sync!$AF432)-1)),2)&amp;RIGHT("00"&amp;VALUE(MID(Sync!$AF432,FIND(":",Sync!$AF432)+1,2)),2),"0000"))))</f>
        <v/>
      </c>
    </row>
    <row r="433" spans="1:14" x14ac:dyDescent="0.2">
      <c r="A433" t="str">
        <f>IF(OR(Calc!$E437="",Calc!$E437="نامعتبر",Calc!$G437=""),"",Calc!$G437)</f>
        <v/>
      </c>
      <c r="B433" t="str">
        <f>IF($A433="","",LEFT(Calc!$E437,4)&amp;MID(Calc!$E437,6,2)&amp;RIGHT(Calc!$E437,2)&amp;Calc!$Q437&amp;"|"&amp;"1"&amp;RIGHT("00000"&amp;428,5))</f>
        <v/>
      </c>
      <c r="C433" t="str">
        <f t="shared" si="30"/>
        <v/>
      </c>
      <c r="D433" t="str">
        <f t="shared" si="31"/>
        <v/>
      </c>
      <c r="F433" t="str">
        <f>IF(Sync!$AH433="","",IF(LEFT(UPPER(TRIM(Sync!$AH433)),2)="SL",UPPER(TRIM(Sync!$AH433)),""))</f>
        <v/>
      </c>
      <c r="G433" t="str">
        <f>IF($F433="","",IF(Sync!$AE433="","",IF(ISNUMBER(Sync!$AE433),IF(AND(Sync!$AE433&gt;=10000101,Sync!$AE433&lt;=99991231),INT(Sync!$AE433/10000),""),IFERROR(VALUE(TRIM(LEFT(Sync!$AE433,FIND("/",Sync!$AE433)-1))),""))))</f>
        <v/>
      </c>
      <c r="H433" t="str">
        <f>IF(OR($F433="",$G433=""),"",IF(ISNUMBER(Sync!$AE433),INT(MOD(Sync!$AE433,10000)/100),IFERROR(VALUE(TRIM(LEFT(MID(Sync!$AE433,FIND("/",Sync!$AE433)+1,20),FIND("/",MID(Sync!$AE433,FIND("/",Sync!$AE433)+1,20))-1))),"")))</f>
        <v/>
      </c>
      <c r="I433" t="str">
        <f>IF(OR($F433="",$G433=""),"",IF(ISNUMBER(Sync!$AE433),MOD(Sync!$AE433,100),IFERROR(VALUE(TRIM(MID(MID(Sync!$AE433,FIND("/",Sync!$AE433)+1,20),FIND("/",MID(Sync!$AE433,FIND("/",Sync!$AE433)+1,20))+1,20))),"")))</f>
        <v/>
      </c>
      <c r="J433" t="str">
        <f t="shared" si="32"/>
        <v/>
      </c>
      <c r="K433" t="str">
        <f>IF(OR($F433="",$J433="",$J433="نامعتبر"),"",LEFT($J433,4)&amp;MID($J433,6,2)&amp;RIGHT($J433,2)&amp;$N433&amp;"|"&amp;"2"&amp;RIGHT("00000"&amp;428,5))</f>
        <v/>
      </c>
      <c r="L433" t="str">
        <f t="shared" si="33"/>
        <v/>
      </c>
      <c r="M433" t="str">
        <f t="shared" si="34"/>
        <v/>
      </c>
      <c r="N433" t="str">
        <f>IF($F433="","",IF(Sync!$AF433="","0000",IF(AND(ISNUMBER(Sync!$AF433),Sync!$AF433&gt;=0,Sync!$AF433&lt;1),RIGHT("00"&amp;HOUR(Sync!$AF433),2)&amp;RIGHT("00"&amp;MINUTE(Sync!$AF433),2),IFERROR(RIGHT("00"&amp;VALUE(LEFT(Sync!$AF433,FIND(":",Sync!$AF433)-1)),2)&amp;RIGHT("00"&amp;VALUE(MID(Sync!$AF433,FIND(":",Sync!$AF433)+1,2)),2),"0000"))))</f>
        <v/>
      </c>
    </row>
    <row r="434" spans="1:14" x14ac:dyDescent="0.2">
      <c r="A434" t="str">
        <f>IF(OR(Calc!$E438="",Calc!$E438="نامعتبر",Calc!$G438=""),"",Calc!$G438)</f>
        <v/>
      </c>
      <c r="B434" t="str">
        <f>IF($A434="","",LEFT(Calc!$E438,4)&amp;MID(Calc!$E438,6,2)&amp;RIGHT(Calc!$E438,2)&amp;Calc!$Q438&amp;"|"&amp;"1"&amp;RIGHT("00000"&amp;429,5))</f>
        <v/>
      </c>
      <c r="C434" t="str">
        <f t="shared" si="30"/>
        <v/>
      </c>
      <c r="D434" t="str">
        <f t="shared" si="31"/>
        <v/>
      </c>
      <c r="F434" t="str">
        <f>IF(Sync!$AH434="","",IF(LEFT(UPPER(TRIM(Sync!$AH434)),2)="SL",UPPER(TRIM(Sync!$AH434)),""))</f>
        <v/>
      </c>
      <c r="G434" t="str">
        <f>IF($F434="","",IF(Sync!$AE434="","",IF(ISNUMBER(Sync!$AE434),IF(AND(Sync!$AE434&gt;=10000101,Sync!$AE434&lt;=99991231),INT(Sync!$AE434/10000),""),IFERROR(VALUE(TRIM(LEFT(Sync!$AE434,FIND("/",Sync!$AE434)-1))),""))))</f>
        <v/>
      </c>
      <c r="H434" t="str">
        <f>IF(OR($F434="",$G434=""),"",IF(ISNUMBER(Sync!$AE434),INT(MOD(Sync!$AE434,10000)/100),IFERROR(VALUE(TRIM(LEFT(MID(Sync!$AE434,FIND("/",Sync!$AE434)+1,20),FIND("/",MID(Sync!$AE434,FIND("/",Sync!$AE434)+1,20))-1))),"")))</f>
        <v/>
      </c>
      <c r="I434" t="str">
        <f>IF(OR($F434="",$G434=""),"",IF(ISNUMBER(Sync!$AE434),MOD(Sync!$AE434,100),IFERROR(VALUE(TRIM(MID(MID(Sync!$AE434,FIND("/",Sync!$AE434)+1,20),FIND("/",MID(Sync!$AE434,FIND("/",Sync!$AE434)+1,20))+1,20))),"")))</f>
        <v/>
      </c>
      <c r="J434" t="str">
        <f t="shared" si="32"/>
        <v/>
      </c>
      <c r="K434" t="str">
        <f>IF(OR($F434="",$J434="",$J434="نامعتبر"),"",LEFT($J434,4)&amp;MID($J434,6,2)&amp;RIGHT($J434,2)&amp;$N434&amp;"|"&amp;"2"&amp;RIGHT("00000"&amp;429,5))</f>
        <v/>
      </c>
      <c r="L434" t="str">
        <f t="shared" si="33"/>
        <v/>
      </c>
      <c r="M434" t="str">
        <f t="shared" si="34"/>
        <v/>
      </c>
      <c r="N434" t="str">
        <f>IF($F434="","",IF(Sync!$AF434="","0000",IF(AND(ISNUMBER(Sync!$AF434),Sync!$AF434&gt;=0,Sync!$AF434&lt;1),RIGHT("00"&amp;HOUR(Sync!$AF434),2)&amp;RIGHT("00"&amp;MINUTE(Sync!$AF434),2),IFERROR(RIGHT("00"&amp;VALUE(LEFT(Sync!$AF434,FIND(":",Sync!$AF434)-1)),2)&amp;RIGHT("00"&amp;VALUE(MID(Sync!$AF434,FIND(":",Sync!$AF434)+1,2)),2),"0000"))))</f>
        <v/>
      </c>
    </row>
    <row r="435" spans="1:14" x14ac:dyDescent="0.2">
      <c r="A435" t="str">
        <f>IF(OR(Calc!$E439="",Calc!$E439="نامعتبر",Calc!$G439=""),"",Calc!$G439)</f>
        <v/>
      </c>
      <c r="B435" t="str">
        <f>IF($A435="","",LEFT(Calc!$E439,4)&amp;MID(Calc!$E439,6,2)&amp;RIGHT(Calc!$E439,2)&amp;Calc!$Q439&amp;"|"&amp;"1"&amp;RIGHT("00000"&amp;430,5))</f>
        <v/>
      </c>
      <c r="C435" t="str">
        <f t="shared" si="30"/>
        <v/>
      </c>
      <c r="D435" t="str">
        <f t="shared" si="31"/>
        <v/>
      </c>
      <c r="F435" t="str">
        <f>IF(Sync!$AH435="","",IF(LEFT(UPPER(TRIM(Sync!$AH435)),2)="SL",UPPER(TRIM(Sync!$AH435)),""))</f>
        <v/>
      </c>
      <c r="G435" t="str">
        <f>IF($F435="","",IF(Sync!$AE435="","",IF(ISNUMBER(Sync!$AE435),IF(AND(Sync!$AE435&gt;=10000101,Sync!$AE435&lt;=99991231),INT(Sync!$AE435/10000),""),IFERROR(VALUE(TRIM(LEFT(Sync!$AE435,FIND("/",Sync!$AE435)-1))),""))))</f>
        <v/>
      </c>
      <c r="H435" t="str">
        <f>IF(OR($F435="",$G435=""),"",IF(ISNUMBER(Sync!$AE435),INT(MOD(Sync!$AE435,10000)/100),IFERROR(VALUE(TRIM(LEFT(MID(Sync!$AE435,FIND("/",Sync!$AE435)+1,20),FIND("/",MID(Sync!$AE435,FIND("/",Sync!$AE435)+1,20))-1))),"")))</f>
        <v/>
      </c>
      <c r="I435" t="str">
        <f>IF(OR($F435="",$G435=""),"",IF(ISNUMBER(Sync!$AE435),MOD(Sync!$AE435,100),IFERROR(VALUE(TRIM(MID(MID(Sync!$AE435,FIND("/",Sync!$AE435)+1,20),FIND("/",MID(Sync!$AE435,FIND("/",Sync!$AE435)+1,20))+1,20))),"")))</f>
        <v/>
      </c>
      <c r="J435" t="str">
        <f t="shared" si="32"/>
        <v/>
      </c>
      <c r="K435" t="str">
        <f>IF(OR($F435="",$J435="",$J435="نامعتبر"),"",LEFT($J435,4)&amp;MID($J435,6,2)&amp;RIGHT($J435,2)&amp;$N435&amp;"|"&amp;"2"&amp;RIGHT("00000"&amp;430,5))</f>
        <v/>
      </c>
      <c r="L435" t="str">
        <f t="shared" si="33"/>
        <v/>
      </c>
      <c r="M435" t="str">
        <f t="shared" si="34"/>
        <v/>
      </c>
      <c r="N435" t="str">
        <f>IF($F435="","",IF(Sync!$AF435="","0000",IF(AND(ISNUMBER(Sync!$AF435),Sync!$AF435&gt;=0,Sync!$AF435&lt;1),RIGHT("00"&amp;HOUR(Sync!$AF435),2)&amp;RIGHT("00"&amp;MINUTE(Sync!$AF435),2),IFERROR(RIGHT("00"&amp;VALUE(LEFT(Sync!$AF435,FIND(":",Sync!$AF435)-1)),2)&amp;RIGHT("00"&amp;VALUE(MID(Sync!$AF435,FIND(":",Sync!$AF435)+1,2)),2),"0000"))))</f>
        <v/>
      </c>
    </row>
    <row r="436" spans="1:14" x14ac:dyDescent="0.2">
      <c r="A436" t="str">
        <f>IF(OR(Calc!$E440="",Calc!$E440="نامعتبر",Calc!$G440=""),"",Calc!$G440)</f>
        <v/>
      </c>
      <c r="B436" t="str">
        <f>IF($A436="","",LEFT(Calc!$E440,4)&amp;MID(Calc!$E440,6,2)&amp;RIGHT(Calc!$E440,2)&amp;Calc!$Q440&amp;"|"&amp;"1"&amp;RIGHT("00000"&amp;431,5))</f>
        <v/>
      </c>
      <c r="C436" t="str">
        <f t="shared" si="30"/>
        <v/>
      </c>
      <c r="D436" t="str">
        <f t="shared" si="31"/>
        <v/>
      </c>
      <c r="F436" t="str">
        <f>IF(Sync!$AH436="","",IF(LEFT(UPPER(TRIM(Sync!$AH436)),2)="SL",UPPER(TRIM(Sync!$AH436)),""))</f>
        <v/>
      </c>
      <c r="G436" t="str">
        <f>IF($F436="","",IF(Sync!$AE436="","",IF(ISNUMBER(Sync!$AE436),IF(AND(Sync!$AE436&gt;=10000101,Sync!$AE436&lt;=99991231),INT(Sync!$AE436/10000),""),IFERROR(VALUE(TRIM(LEFT(Sync!$AE436,FIND("/",Sync!$AE436)-1))),""))))</f>
        <v/>
      </c>
      <c r="H436" t="str">
        <f>IF(OR($F436="",$G436=""),"",IF(ISNUMBER(Sync!$AE436),INT(MOD(Sync!$AE436,10000)/100),IFERROR(VALUE(TRIM(LEFT(MID(Sync!$AE436,FIND("/",Sync!$AE436)+1,20),FIND("/",MID(Sync!$AE436,FIND("/",Sync!$AE436)+1,20))-1))),"")))</f>
        <v/>
      </c>
      <c r="I436" t="str">
        <f>IF(OR($F436="",$G436=""),"",IF(ISNUMBER(Sync!$AE436),MOD(Sync!$AE436,100),IFERROR(VALUE(TRIM(MID(MID(Sync!$AE436,FIND("/",Sync!$AE436)+1,20),FIND("/",MID(Sync!$AE436,FIND("/",Sync!$AE436)+1,20))+1,20))),"")))</f>
        <v/>
      </c>
      <c r="J436" t="str">
        <f t="shared" si="32"/>
        <v/>
      </c>
      <c r="K436" t="str">
        <f>IF(OR($F436="",$J436="",$J436="نامعتبر"),"",LEFT($J436,4)&amp;MID($J436,6,2)&amp;RIGHT($J436,2)&amp;$N436&amp;"|"&amp;"2"&amp;RIGHT("00000"&amp;431,5))</f>
        <v/>
      </c>
      <c r="L436" t="str">
        <f t="shared" si="33"/>
        <v/>
      </c>
      <c r="M436" t="str">
        <f t="shared" si="34"/>
        <v/>
      </c>
      <c r="N436" t="str">
        <f>IF($F436="","",IF(Sync!$AF436="","0000",IF(AND(ISNUMBER(Sync!$AF436),Sync!$AF436&gt;=0,Sync!$AF436&lt;1),RIGHT("00"&amp;HOUR(Sync!$AF436),2)&amp;RIGHT("00"&amp;MINUTE(Sync!$AF436),2),IFERROR(RIGHT("00"&amp;VALUE(LEFT(Sync!$AF436,FIND(":",Sync!$AF436)-1)),2)&amp;RIGHT("00"&amp;VALUE(MID(Sync!$AF436,FIND(":",Sync!$AF436)+1,2)),2),"0000"))))</f>
        <v/>
      </c>
    </row>
    <row r="437" spans="1:14" x14ac:dyDescent="0.2">
      <c r="A437" t="str">
        <f>IF(OR(Calc!$E441="",Calc!$E441="نامعتبر",Calc!$G441=""),"",Calc!$G441)</f>
        <v/>
      </c>
      <c r="B437" t="str">
        <f>IF($A437="","",LEFT(Calc!$E441,4)&amp;MID(Calc!$E441,6,2)&amp;RIGHT(Calc!$E441,2)&amp;Calc!$Q441&amp;"|"&amp;"1"&amp;RIGHT("00000"&amp;432,5))</f>
        <v/>
      </c>
      <c r="C437" t="str">
        <f t="shared" si="30"/>
        <v/>
      </c>
      <c r="D437" t="str">
        <f t="shared" si="31"/>
        <v/>
      </c>
      <c r="F437" t="str">
        <f>IF(Sync!$AH437="","",IF(LEFT(UPPER(TRIM(Sync!$AH437)),2)="SL",UPPER(TRIM(Sync!$AH437)),""))</f>
        <v/>
      </c>
      <c r="G437" t="str">
        <f>IF($F437="","",IF(Sync!$AE437="","",IF(ISNUMBER(Sync!$AE437),IF(AND(Sync!$AE437&gt;=10000101,Sync!$AE437&lt;=99991231),INT(Sync!$AE437/10000),""),IFERROR(VALUE(TRIM(LEFT(Sync!$AE437,FIND("/",Sync!$AE437)-1))),""))))</f>
        <v/>
      </c>
      <c r="H437" t="str">
        <f>IF(OR($F437="",$G437=""),"",IF(ISNUMBER(Sync!$AE437),INT(MOD(Sync!$AE437,10000)/100),IFERROR(VALUE(TRIM(LEFT(MID(Sync!$AE437,FIND("/",Sync!$AE437)+1,20),FIND("/",MID(Sync!$AE437,FIND("/",Sync!$AE437)+1,20))-1))),"")))</f>
        <v/>
      </c>
      <c r="I437" t="str">
        <f>IF(OR($F437="",$G437=""),"",IF(ISNUMBER(Sync!$AE437),MOD(Sync!$AE437,100),IFERROR(VALUE(TRIM(MID(MID(Sync!$AE437,FIND("/",Sync!$AE437)+1,20),FIND("/",MID(Sync!$AE437,FIND("/",Sync!$AE437)+1,20))+1,20))),"")))</f>
        <v/>
      </c>
      <c r="J437" t="str">
        <f t="shared" si="32"/>
        <v/>
      </c>
      <c r="K437" t="str">
        <f>IF(OR($F437="",$J437="",$J437="نامعتبر"),"",LEFT($J437,4)&amp;MID($J437,6,2)&amp;RIGHT($J437,2)&amp;$N437&amp;"|"&amp;"2"&amp;RIGHT("00000"&amp;432,5))</f>
        <v/>
      </c>
      <c r="L437" t="str">
        <f t="shared" si="33"/>
        <v/>
      </c>
      <c r="M437" t="str">
        <f t="shared" si="34"/>
        <v/>
      </c>
      <c r="N437" t="str">
        <f>IF($F437="","",IF(Sync!$AF437="","0000",IF(AND(ISNUMBER(Sync!$AF437),Sync!$AF437&gt;=0,Sync!$AF437&lt;1),RIGHT("00"&amp;HOUR(Sync!$AF437),2)&amp;RIGHT("00"&amp;MINUTE(Sync!$AF437),2),IFERROR(RIGHT("00"&amp;VALUE(LEFT(Sync!$AF437,FIND(":",Sync!$AF437)-1)),2)&amp;RIGHT("00"&amp;VALUE(MID(Sync!$AF437,FIND(":",Sync!$AF437)+1,2)),2),"0000"))))</f>
        <v/>
      </c>
    </row>
    <row r="438" spans="1:14" x14ac:dyDescent="0.2">
      <c r="A438" t="str">
        <f>IF(OR(Calc!$E442="",Calc!$E442="نامعتبر",Calc!$G442=""),"",Calc!$G442)</f>
        <v/>
      </c>
      <c r="B438" t="str">
        <f>IF($A438="","",LEFT(Calc!$E442,4)&amp;MID(Calc!$E442,6,2)&amp;RIGHT(Calc!$E442,2)&amp;Calc!$Q442&amp;"|"&amp;"1"&amp;RIGHT("00000"&amp;433,5))</f>
        <v/>
      </c>
      <c r="C438" t="str">
        <f t="shared" si="30"/>
        <v/>
      </c>
      <c r="D438" t="str">
        <f t="shared" si="31"/>
        <v/>
      </c>
      <c r="F438" t="str">
        <f>IF(Sync!$AH438="","",IF(LEFT(UPPER(TRIM(Sync!$AH438)),2)="SL",UPPER(TRIM(Sync!$AH438)),""))</f>
        <v/>
      </c>
      <c r="G438" t="str">
        <f>IF($F438="","",IF(Sync!$AE438="","",IF(ISNUMBER(Sync!$AE438),IF(AND(Sync!$AE438&gt;=10000101,Sync!$AE438&lt;=99991231),INT(Sync!$AE438/10000),""),IFERROR(VALUE(TRIM(LEFT(Sync!$AE438,FIND("/",Sync!$AE438)-1))),""))))</f>
        <v/>
      </c>
      <c r="H438" t="str">
        <f>IF(OR($F438="",$G438=""),"",IF(ISNUMBER(Sync!$AE438),INT(MOD(Sync!$AE438,10000)/100),IFERROR(VALUE(TRIM(LEFT(MID(Sync!$AE438,FIND("/",Sync!$AE438)+1,20),FIND("/",MID(Sync!$AE438,FIND("/",Sync!$AE438)+1,20))-1))),"")))</f>
        <v/>
      </c>
      <c r="I438" t="str">
        <f>IF(OR($F438="",$G438=""),"",IF(ISNUMBER(Sync!$AE438),MOD(Sync!$AE438,100),IFERROR(VALUE(TRIM(MID(MID(Sync!$AE438,FIND("/",Sync!$AE438)+1,20),FIND("/",MID(Sync!$AE438,FIND("/",Sync!$AE438)+1,20))+1,20))),"")))</f>
        <v/>
      </c>
      <c r="J438" t="str">
        <f t="shared" si="32"/>
        <v/>
      </c>
      <c r="K438" t="str">
        <f>IF(OR($F438="",$J438="",$J438="نامعتبر"),"",LEFT($J438,4)&amp;MID($J438,6,2)&amp;RIGHT($J438,2)&amp;$N438&amp;"|"&amp;"2"&amp;RIGHT("00000"&amp;433,5))</f>
        <v/>
      </c>
      <c r="L438" t="str">
        <f t="shared" si="33"/>
        <v/>
      </c>
      <c r="M438" t="str">
        <f t="shared" si="34"/>
        <v/>
      </c>
      <c r="N438" t="str">
        <f>IF($F438="","",IF(Sync!$AF438="","0000",IF(AND(ISNUMBER(Sync!$AF438),Sync!$AF438&gt;=0,Sync!$AF438&lt;1),RIGHT("00"&amp;HOUR(Sync!$AF438),2)&amp;RIGHT("00"&amp;MINUTE(Sync!$AF438),2),IFERROR(RIGHT("00"&amp;VALUE(LEFT(Sync!$AF438,FIND(":",Sync!$AF438)-1)),2)&amp;RIGHT("00"&amp;VALUE(MID(Sync!$AF438,FIND(":",Sync!$AF438)+1,2)),2),"0000"))))</f>
        <v/>
      </c>
    </row>
    <row r="439" spans="1:14" x14ac:dyDescent="0.2">
      <c r="A439" t="str">
        <f>IF(OR(Calc!$E443="",Calc!$E443="نامعتبر",Calc!$G443=""),"",Calc!$G443)</f>
        <v/>
      </c>
      <c r="B439" t="str">
        <f>IF($A439="","",LEFT(Calc!$E443,4)&amp;MID(Calc!$E443,6,2)&amp;RIGHT(Calc!$E443,2)&amp;Calc!$Q443&amp;"|"&amp;"1"&amp;RIGHT("00000"&amp;434,5))</f>
        <v/>
      </c>
      <c r="C439" t="str">
        <f t="shared" si="30"/>
        <v/>
      </c>
      <c r="D439" t="str">
        <f t="shared" si="31"/>
        <v/>
      </c>
      <c r="F439" t="str">
        <f>IF(Sync!$AH439="","",IF(LEFT(UPPER(TRIM(Sync!$AH439)),2)="SL",UPPER(TRIM(Sync!$AH439)),""))</f>
        <v/>
      </c>
      <c r="G439" t="str">
        <f>IF($F439="","",IF(Sync!$AE439="","",IF(ISNUMBER(Sync!$AE439),IF(AND(Sync!$AE439&gt;=10000101,Sync!$AE439&lt;=99991231),INT(Sync!$AE439/10000),""),IFERROR(VALUE(TRIM(LEFT(Sync!$AE439,FIND("/",Sync!$AE439)-1))),""))))</f>
        <v/>
      </c>
      <c r="H439" t="str">
        <f>IF(OR($F439="",$G439=""),"",IF(ISNUMBER(Sync!$AE439),INT(MOD(Sync!$AE439,10000)/100),IFERROR(VALUE(TRIM(LEFT(MID(Sync!$AE439,FIND("/",Sync!$AE439)+1,20),FIND("/",MID(Sync!$AE439,FIND("/",Sync!$AE439)+1,20))-1))),"")))</f>
        <v/>
      </c>
      <c r="I439" t="str">
        <f>IF(OR($F439="",$G439=""),"",IF(ISNUMBER(Sync!$AE439),MOD(Sync!$AE439,100),IFERROR(VALUE(TRIM(MID(MID(Sync!$AE439,FIND("/",Sync!$AE439)+1,20),FIND("/",MID(Sync!$AE439,FIND("/",Sync!$AE439)+1,20))+1,20))),"")))</f>
        <v/>
      </c>
      <c r="J439" t="str">
        <f t="shared" si="32"/>
        <v/>
      </c>
      <c r="K439" t="str">
        <f>IF(OR($F439="",$J439="",$J439="نامعتبر"),"",LEFT($J439,4)&amp;MID($J439,6,2)&amp;RIGHT($J439,2)&amp;$N439&amp;"|"&amp;"2"&amp;RIGHT("00000"&amp;434,5))</f>
        <v/>
      </c>
      <c r="L439" t="str">
        <f t="shared" si="33"/>
        <v/>
      </c>
      <c r="M439" t="str">
        <f t="shared" si="34"/>
        <v/>
      </c>
      <c r="N439" t="str">
        <f>IF($F439="","",IF(Sync!$AF439="","0000",IF(AND(ISNUMBER(Sync!$AF439),Sync!$AF439&gt;=0,Sync!$AF439&lt;1),RIGHT("00"&amp;HOUR(Sync!$AF439),2)&amp;RIGHT("00"&amp;MINUTE(Sync!$AF439),2),IFERROR(RIGHT("00"&amp;VALUE(LEFT(Sync!$AF439,FIND(":",Sync!$AF439)-1)),2)&amp;RIGHT("00"&amp;VALUE(MID(Sync!$AF439,FIND(":",Sync!$AF439)+1,2)),2),"0000"))))</f>
        <v/>
      </c>
    </row>
    <row r="440" spans="1:14" x14ac:dyDescent="0.2">
      <c r="A440" t="str">
        <f>IF(OR(Calc!$E444="",Calc!$E444="نامعتبر",Calc!$G444=""),"",Calc!$G444)</f>
        <v/>
      </c>
      <c r="B440" t="str">
        <f>IF($A440="","",LEFT(Calc!$E444,4)&amp;MID(Calc!$E444,6,2)&amp;RIGHT(Calc!$E444,2)&amp;Calc!$Q444&amp;"|"&amp;"1"&amp;RIGHT("00000"&amp;435,5))</f>
        <v/>
      </c>
      <c r="C440" t="str">
        <f t="shared" si="30"/>
        <v/>
      </c>
      <c r="D440" t="str">
        <f t="shared" si="31"/>
        <v/>
      </c>
      <c r="F440" t="str">
        <f>IF(Sync!$AH440="","",IF(LEFT(UPPER(TRIM(Sync!$AH440)),2)="SL",UPPER(TRIM(Sync!$AH440)),""))</f>
        <v/>
      </c>
      <c r="G440" t="str">
        <f>IF($F440="","",IF(Sync!$AE440="","",IF(ISNUMBER(Sync!$AE440),IF(AND(Sync!$AE440&gt;=10000101,Sync!$AE440&lt;=99991231),INT(Sync!$AE440/10000),""),IFERROR(VALUE(TRIM(LEFT(Sync!$AE440,FIND("/",Sync!$AE440)-1))),""))))</f>
        <v/>
      </c>
      <c r="H440" t="str">
        <f>IF(OR($F440="",$G440=""),"",IF(ISNUMBER(Sync!$AE440),INT(MOD(Sync!$AE440,10000)/100),IFERROR(VALUE(TRIM(LEFT(MID(Sync!$AE440,FIND("/",Sync!$AE440)+1,20),FIND("/",MID(Sync!$AE440,FIND("/",Sync!$AE440)+1,20))-1))),"")))</f>
        <v/>
      </c>
      <c r="I440" t="str">
        <f>IF(OR($F440="",$G440=""),"",IF(ISNUMBER(Sync!$AE440),MOD(Sync!$AE440,100),IFERROR(VALUE(TRIM(MID(MID(Sync!$AE440,FIND("/",Sync!$AE440)+1,20),FIND("/",MID(Sync!$AE440,FIND("/",Sync!$AE440)+1,20))+1,20))),"")))</f>
        <v/>
      </c>
      <c r="J440" t="str">
        <f t="shared" si="32"/>
        <v/>
      </c>
      <c r="K440" t="str">
        <f>IF(OR($F440="",$J440="",$J440="نامعتبر"),"",LEFT($J440,4)&amp;MID($J440,6,2)&amp;RIGHT($J440,2)&amp;$N440&amp;"|"&amp;"2"&amp;RIGHT("00000"&amp;435,5))</f>
        <v/>
      </c>
      <c r="L440" t="str">
        <f t="shared" si="33"/>
        <v/>
      </c>
      <c r="M440" t="str">
        <f t="shared" si="34"/>
        <v/>
      </c>
      <c r="N440" t="str">
        <f>IF($F440="","",IF(Sync!$AF440="","0000",IF(AND(ISNUMBER(Sync!$AF440),Sync!$AF440&gt;=0,Sync!$AF440&lt;1),RIGHT("00"&amp;HOUR(Sync!$AF440),2)&amp;RIGHT("00"&amp;MINUTE(Sync!$AF440),2),IFERROR(RIGHT("00"&amp;VALUE(LEFT(Sync!$AF440,FIND(":",Sync!$AF440)-1)),2)&amp;RIGHT("00"&amp;VALUE(MID(Sync!$AF440,FIND(":",Sync!$AF440)+1,2)),2),"0000"))))</f>
        <v/>
      </c>
    </row>
    <row r="441" spans="1:14" x14ac:dyDescent="0.2">
      <c r="A441" t="str">
        <f>IF(OR(Calc!$E445="",Calc!$E445="نامعتبر",Calc!$G445=""),"",Calc!$G445)</f>
        <v/>
      </c>
      <c r="B441" t="str">
        <f>IF($A441="","",LEFT(Calc!$E445,4)&amp;MID(Calc!$E445,6,2)&amp;RIGHT(Calc!$E445,2)&amp;Calc!$Q445&amp;"|"&amp;"1"&amp;RIGHT("00000"&amp;436,5))</f>
        <v/>
      </c>
      <c r="C441" t="str">
        <f t="shared" si="30"/>
        <v/>
      </c>
      <c r="D441" t="str">
        <f t="shared" si="31"/>
        <v/>
      </c>
      <c r="F441" t="str">
        <f>IF(Sync!$AH441="","",IF(LEFT(UPPER(TRIM(Sync!$AH441)),2)="SL",UPPER(TRIM(Sync!$AH441)),""))</f>
        <v/>
      </c>
      <c r="G441" t="str">
        <f>IF($F441="","",IF(Sync!$AE441="","",IF(ISNUMBER(Sync!$AE441),IF(AND(Sync!$AE441&gt;=10000101,Sync!$AE441&lt;=99991231),INT(Sync!$AE441/10000),""),IFERROR(VALUE(TRIM(LEFT(Sync!$AE441,FIND("/",Sync!$AE441)-1))),""))))</f>
        <v/>
      </c>
      <c r="H441" t="str">
        <f>IF(OR($F441="",$G441=""),"",IF(ISNUMBER(Sync!$AE441),INT(MOD(Sync!$AE441,10000)/100),IFERROR(VALUE(TRIM(LEFT(MID(Sync!$AE441,FIND("/",Sync!$AE441)+1,20),FIND("/",MID(Sync!$AE441,FIND("/",Sync!$AE441)+1,20))-1))),"")))</f>
        <v/>
      </c>
      <c r="I441" t="str">
        <f>IF(OR($F441="",$G441=""),"",IF(ISNUMBER(Sync!$AE441),MOD(Sync!$AE441,100),IFERROR(VALUE(TRIM(MID(MID(Sync!$AE441,FIND("/",Sync!$AE441)+1,20),FIND("/",MID(Sync!$AE441,FIND("/",Sync!$AE441)+1,20))+1,20))),"")))</f>
        <v/>
      </c>
      <c r="J441" t="str">
        <f t="shared" si="32"/>
        <v/>
      </c>
      <c r="K441" t="str">
        <f>IF(OR($F441="",$J441="",$J441="نامعتبر"),"",LEFT($J441,4)&amp;MID($J441,6,2)&amp;RIGHT($J441,2)&amp;$N441&amp;"|"&amp;"2"&amp;RIGHT("00000"&amp;436,5))</f>
        <v/>
      </c>
      <c r="L441" t="str">
        <f t="shared" si="33"/>
        <v/>
      </c>
      <c r="M441" t="str">
        <f t="shared" si="34"/>
        <v/>
      </c>
      <c r="N441" t="str">
        <f>IF($F441="","",IF(Sync!$AF441="","0000",IF(AND(ISNUMBER(Sync!$AF441),Sync!$AF441&gt;=0,Sync!$AF441&lt;1),RIGHT("00"&amp;HOUR(Sync!$AF441),2)&amp;RIGHT("00"&amp;MINUTE(Sync!$AF441),2),IFERROR(RIGHT("00"&amp;VALUE(LEFT(Sync!$AF441,FIND(":",Sync!$AF441)-1)),2)&amp;RIGHT("00"&amp;VALUE(MID(Sync!$AF441,FIND(":",Sync!$AF441)+1,2)),2),"0000"))))</f>
        <v/>
      </c>
    </row>
    <row r="442" spans="1:14" x14ac:dyDescent="0.2">
      <c r="A442" t="str">
        <f>IF(OR(Calc!$E446="",Calc!$E446="نامعتبر",Calc!$G446=""),"",Calc!$G446)</f>
        <v/>
      </c>
      <c r="B442" t="str">
        <f>IF($A442="","",LEFT(Calc!$E446,4)&amp;MID(Calc!$E446,6,2)&amp;RIGHT(Calc!$E446,2)&amp;Calc!$Q446&amp;"|"&amp;"1"&amp;RIGHT("00000"&amp;437,5))</f>
        <v/>
      </c>
      <c r="C442" t="str">
        <f t="shared" si="30"/>
        <v/>
      </c>
      <c r="D442" t="str">
        <f t="shared" si="31"/>
        <v/>
      </c>
      <c r="F442" t="str">
        <f>IF(Sync!$AH442="","",IF(LEFT(UPPER(TRIM(Sync!$AH442)),2)="SL",UPPER(TRIM(Sync!$AH442)),""))</f>
        <v/>
      </c>
      <c r="G442" t="str">
        <f>IF($F442="","",IF(Sync!$AE442="","",IF(ISNUMBER(Sync!$AE442),IF(AND(Sync!$AE442&gt;=10000101,Sync!$AE442&lt;=99991231),INT(Sync!$AE442/10000),""),IFERROR(VALUE(TRIM(LEFT(Sync!$AE442,FIND("/",Sync!$AE442)-1))),""))))</f>
        <v/>
      </c>
      <c r="H442" t="str">
        <f>IF(OR($F442="",$G442=""),"",IF(ISNUMBER(Sync!$AE442),INT(MOD(Sync!$AE442,10000)/100),IFERROR(VALUE(TRIM(LEFT(MID(Sync!$AE442,FIND("/",Sync!$AE442)+1,20),FIND("/",MID(Sync!$AE442,FIND("/",Sync!$AE442)+1,20))-1))),"")))</f>
        <v/>
      </c>
      <c r="I442" t="str">
        <f>IF(OR($F442="",$G442=""),"",IF(ISNUMBER(Sync!$AE442),MOD(Sync!$AE442,100),IFERROR(VALUE(TRIM(MID(MID(Sync!$AE442,FIND("/",Sync!$AE442)+1,20),FIND("/",MID(Sync!$AE442,FIND("/",Sync!$AE442)+1,20))+1,20))),"")))</f>
        <v/>
      </c>
      <c r="J442" t="str">
        <f t="shared" si="32"/>
        <v/>
      </c>
      <c r="K442" t="str">
        <f>IF(OR($F442="",$J442="",$J442="نامعتبر"),"",LEFT($J442,4)&amp;MID($J442,6,2)&amp;RIGHT($J442,2)&amp;$N442&amp;"|"&amp;"2"&amp;RIGHT("00000"&amp;437,5))</f>
        <v/>
      </c>
      <c r="L442" t="str">
        <f t="shared" si="33"/>
        <v/>
      </c>
      <c r="M442" t="str">
        <f t="shared" si="34"/>
        <v/>
      </c>
      <c r="N442" t="str">
        <f>IF($F442="","",IF(Sync!$AF442="","0000",IF(AND(ISNUMBER(Sync!$AF442),Sync!$AF442&gt;=0,Sync!$AF442&lt;1),RIGHT("00"&amp;HOUR(Sync!$AF442),2)&amp;RIGHT("00"&amp;MINUTE(Sync!$AF442),2),IFERROR(RIGHT("00"&amp;VALUE(LEFT(Sync!$AF442,FIND(":",Sync!$AF442)-1)),2)&amp;RIGHT("00"&amp;VALUE(MID(Sync!$AF442,FIND(":",Sync!$AF442)+1,2)),2),"0000"))))</f>
        <v/>
      </c>
    </row>
    <row r="443" spans="1:14" x14ac:dyDescent="0.2">
      <c r="A443" t="str">
        <f>IF(OR(Calc!$E447="",Calc!$E447="نامعتبر",Calc!$G447=""),"",Calc!$G447)</f>
        <v/>
      </c>
      <c r="B443" t="str">
        <f>IF($A443="","",LEFT(Calc!$E447,4)&amp;MID(Calc!$E447,6,2)&amp;RIGHT(Calc!$E447,2)&amp;Calc!$Q447&amp;"|"&amp;"1"&amp;RIGHT("00000"&amp;438,5))</f>
        <v/>
      </c>
      <c r="C443" t="str">
        <f t="shared" si="30"/>
        <v/>
      </c>
      <c r="D443" t="str">
        <f t="shared" si="31"/>
        <v/>
      </c>
      <c r="F443" t="str">
        <f>IF(Sync!$AH443="","",IF(LEFT(UPPER(TRIM(Sync!$AH443)),2)="SL",UPPER(TRIM(Sync!$AH443)),""))</f>
        <v/>
      </c>
      <c r="G443" t="str">
        <f>IF($F443="","",IF(Sync!$AE443="","",IF(ISNUMBER(Sync!$AE443),IF(AND(Sync!$AE443&gt;=10000101,Sync!$AE443&lt;=99991231),INT(Sync!$AE443/10000),""),IFERROR(VALUE(TRIM(LEFT(Sync!$AE443,FIND("/",Sync!$AE443)-1))),""))))</f>
        <v/>
      </c>
      <c r="H443" t="str">
        <f>IF(OR($F443="",$G443=""),"",IF(ISNUMBER(Sync!$AE443),INT(MOD(Sync!$AE443,10000)/100),IFERROR(VALUE(TRIM(LEFT(MID(Sync!$AE443,FIND("/",Sync!$AE443)+1,20),FIND("/",MID(Sync!$AE443,FIND("/",Sync!$AE443)+1,20))-1))),"")))</f>
        <v/>
      </c>
      <c r="I443" t="str">
        <f>IF(OR($F443="",$G443=""),"",IF(ISNUMBER(Sync!$AE443),MOD(Sync!$AE443,100),IFERROR(VALUE(TRIM(MID(MID(Sync!$AE443,FIND("/",Sync!$AE443)+1,20),FIND("/",MID(Sync!$AE443,FIND("/",Sync!$AE443)+1,20))+1,20))),"")))</f>
        <v/>
      </c>
      <c r="J443" t="str">
        <f t="shared" si="32"/>
        <v/>
      </c>
      <c r="K443" t="str">
        <f>IF(OR($F443="",$J443="",$J443="نامعتبر"),"",LEFT($J443,4)&amp;MID($J443,6,2)&amp;RIGHT($J443,2)&amp;$N443&amp;"|"&amp;"2"&amp;RIGHT("00000"&amp;438,5))</f>
        <v/>
      </c>
      <c r="L443" t="str">
        <f t="shared" si="33"/>
        <v/>
      </c>
      <c r="M443" t="str">
        <f t="shared" si="34"/>
        <v/>
      </c>
      <c r="N443" t="str">
        <f>IF($F443="","",IF(Sync!$AF443="","0000",IF(AND(ISNUMBER(Sync!$AF443),Sync!$AF443&gt;=0,Sync!$AF443&lt;1),RIGHT("00"&amp;HOUR(Sync!$AF443),2)&amp;RIGHT("00"&amp;MINUTE(Sync!$AF443),2),IFERROR(RIGHT("00"&amp;VALUE(LEFT(Sync!$AF443,FIND(":",Sync!$AF443)-1)),2)&amp;RIGHT("00"&amp;VALUE(MID(Sync!$AF443,FIND(":",Sync!$AF443)+1,2)),2),"0000"))))</f>
        <v/>
      </c>
    </row>
    <row r="444" spans="1:14" x14ac:dyDescent="0.2">
      <c r="A444" t="str">
        <f>IF(OR(Calc!$E448="",Calc!$E448="نامعتبر",Calc!$G448=""),"",Calc!$G448)</f>
        <v/>
      </c>
      <c r="B444" t="str">
        <f>IF($A444="","",LEFT(Calc!$E448,4)&amp;MID(Calc!$E448,6,2)&amp;RIGHT(Calc!$E448,2)&amp;Calc!$Q448&amp;"|"&amp;"1"&amp;RIGHT("00000"&amp;439,5))</f>
        <v/>
      </c>
      <c r="C444" t="str">
        <f t="shared" si="30"/>
        <v/>
      </c>
      <c r="D444" t="str">
        <f t="shared" si="31"/>
        <v/>
      </c>
      <c r="F444" t="str">
        <f>IF(Sync!$AH444="","",IF(LEFT(UPPER(TRIM(Sync!$AH444)),2)="SL",UPPER(TRIM(Sync!$AH444)),""))</f>
        <v/>
      </c>
      <c r="G444" t="str">
        <f>IF($F444="","",IF(Sync!$AE444="","",IF(ISNUMBER(Sync!$AE444),IF(AND(Sync!$AE444&gt;=10000101,Sync!$AE444&lt;=99991231),INT(Sync!$AE444/10000),""),IFERROR(VALUE(TRIM(LEFT(Sync!$AE444,FIND("/",Sync!$AE444)-1))),""))))</f>
        <v/>
      </c>
      <c r="H444" t="str">
        <f>IF(OR($F444="",$G444=""),"",IF(ISNUMBER(Sync!$AE444),INT(MOD(Sync!$AE444,10000)/100),IFERROR(VALUE(TRIM(LEFT(MID(Sync!$AE444,FIND("/",Sync!$AE444)+1,20),FIND("/",MID(Sync!$AE444,FIND("/",Sync!$AE444)+1,20))-1))),"")))</f>
        <v/>
      </c>
      <c r="I444" t="str">
        <f>IF(OR($F444="",$G444=""),"",IF(ISNUMBER(Sync!$AE444),MOD(Sync!$AE444,100),IFERROR(VALUE(TRIM(MID(MID(Sync!$AE444,FIND("/",Sync!$AE444)+1,20),FIND("/",MID(Sync!$AE444,FIND("/",Sync!$AE444)+1,20))+1,20))),"")))</f>
        <v/>
      </c>
      <c r="J444" t="str">
        <f t="shared" si="32"/>
        <v/>
      </c>
      <c r="K444" t="str">
        <f>IF(OR($F444="",$J444="",$J444="نامعتبر"),"",LEFT($J444,4)&amp;MID($J444,6,2)&amp;RIGHT($J444,2)&amp;$N444&amp;"|"&amp;"2"&amp;RIGHT("00000"&amp;439,5))</f>
        <v/>
      </c>
      <c r="L444" t="str">
        <f t="shared" si="33"/>
        <v/>
      </c>
      <c r="M444" t="str">
        <f t="shared" si="34"/>
        <v/>
      </c>
      <c r="N444" t="str">
        <f>IF($F444="","",IF(Sync!$AF444="","0000",IF(AND(ISNUMBER(Sync!$AF444),Sync!$AF444&gt;=0,Sync!$AF444&lt;1),RIGHT("00"&amp;HOUR(Sync!$AF444),2)&amp;RIGHT("00"&amp;MINUTE(Sync!$AF444),2),IFERROR(RIGHT("00"&amp;VALUE(LEFT(Sync!$AF444,FIND(":",Sync!$AF444)-1)),2)&amp;RIGHT("00"&amp;VALUE(MID(Sync!$AF444,FIND(":",Sync!$AF444)+1,2)),2),"0000"))))</f>
        <v/>
      </c>
    </row>
    <row r="445" spans="1:14" x14ac:dyDescent="0.2">
      <c r="A445" t="str">
        <f>IF(OR(Calc!$E449="",Calc!$E449="نامعتبر",Calc!$G449=""),"",Calc!$G449)</f>
        <v/>
      </c>
      <c r="B445" t="str">
        <f>IF($A445="","",LEFT(Calc!$E449,4)&amp;MID(Calc!$E449,6,2)&amp;RIGHT(Calc!$E449,2)&amp;Calc!$Q449&amp;"|"&amp;"1"&amp;RIGHT("00000"&amp;440,5))</f>
        <v/>
      </c>
      <c r="C445" t="str">
        <f t="shared" si="30"/>
        <v/>
      </c>
      <c r="D445" t="str">
        <f t="shared" si="31"/>
        <v/>
      </c>
      <c r="F445" t="str">
        <f>IF(Sync!$AH445="","",IF(LEFT(UPPER(TRIM(Sync!$AH445)),2)="SL",UPPER(TRIM(Sync!$AH445)),""))</f>
        <v/>
      </c>
      <c r="G445" t="str">
        <f>IF($F445="","",IF(Sync!$AE445="","",IF(ISNUMBER(Sync!$AE445),IF(AND(Sync!$AE445&gt;=10000101,Sync!$AE445&lt;=99991231),INT(Sync!$AE445/10000),""),IFERROR(VALUE(TRIM(LEFT(Sync!$AE445,FIND("/",Sync!$AE445)-1))),""))))</f>
        <v/>
      </c>
      <c r="H445" t="str">
        <f>IF(OR($F445="",$G445=""),"",IF(ISNUMBER(Sync!$AE445),INT(MOD(Sync!$AE445,10000)/100),IFERROR(VALUE(TRIM(LEFT(MID(Sync!$AE445,FIND("/",Sync!$AE445)+1,20),FIND("/",MID(Sync!$AE445,FIND("/",Sync!$AE445)+1,20))-1))),"")))</f>
        <v/>
      </c>
      <c r="I445" t="str">
        <f>IF(OR($F445="",$G445=""),"",IF(ISNUMBER(Sync!$AE445),MOD(Sync!$AE445,100),IFERROR(VALUE(TRIM(MID(MID(Sync!$AE445,FIND("/",Sync!$AE445)+1,20),FIND("/",MID(Sync!$AE445,FIND("/",Sync!$AE445)+1,20))+1,20))),"")))</f>
        <v/>
      </c>
      <c r="J445" t="str">
        <f t="shared" si="32"/>
        <v/>
      </c>
      <c r="K445" t="str">
        <f>IF(OR($F445="",$J445="",$J445="نامعتبر"),"",LEFT($J445,4)&amp;MID($J445,6,2)&amp;RIGHT($J445,2)&amp;$N445&amp;"|"&amp;"2"&amp;RIGHT("00000"&amp;440,5))</f>
        <v/>
      </c>
      <c r="L445" t="str">
        <f t="shared" si="33"/>
        <v/>
      </c>
      <c r="M445" t="str">
        <f t="shared" si="34"/>
        <v/>
      </c>
      <c r="N445" t="str">
        <f>IF($F445="","",IF(Sync!$AF445="","0000",IF(AND(ISNUMBER(Sync!$AF445),Sync!$AF445&gt;=0,Sync!$AF445&lt;1),RIGHT("00"&amp;HOUR(Sync!$AF445),2)&amp;RIGHT("00"&amp;MINUTE(Sync!$AF445),2),IFERROR(RIGHT("00"&amp;VALUE(LEFT(Sync!$AF445,FIND(":",Sync!$AF445)-1)),2)&amp;RIGHT("00"&amp;VALUE(MID(Sync!$AF445,FIND(":",Sync!$AF445)+1,2)),2),"0000"))))</f>
        <v/>
      </c>
    </row>
    <row r="446" spans="1:14" x14ac:dyDescent="0.2">
      <c r="A446" t="str">
        <f>IF(OR(Calc!$E450="",Calc!$E450="نامعتبر",Calc!$G450=""),"",Calc!$G450)</f>
        <v/>
      </c>
      <c r="B446" t="str">
        <f>IF($A446="","",LEFT(Calc!$E450,4)&amp;MID(Calc!$E450,6,2)&amp;RIGHT(Calc!$E450,2)&amp;Calc!$Q450&amp;"|"&amp;"1"&amp;RIGHT("00000"&amp;441,5))</f>
        <v/>
      </c>
      <c r="C446" t="str">
        <f t="shared" si="30"/>
        <v/>
      </c>
      <c r="D446" t="str">
        <f t="shared" si="31"/>
        <v/>
      </c>
      <c r="F446" t="str">
        <f>IF(Sync!$AH446="","",IF(LEFT(UPPER(TRIM(Sync!$AH446)),2)="SL",UPPER(TRIM(Sync!$AH446)),""))</f>
        <v/>
      </c>
      <c r="G446" t="str">
        <f>IF($F446="","",IF(Sync!$AE446="","",IF(ISNUMBER(Sync!$AE446),IF(AND(Sync!$AE446&gt;=10000101,Sync!$AE446&lt;=99991231),INT(Sync!$AE446/10000),""),IFERROR(VALUE(TRIM(LEFT(Sync!$AE446,FIND("/",Sync!$AE446)-1))),""))))</f>
        <v/>
      </c>
      <c r="H446" t="str">
        <f>IF(OR($F446="",$G446=""),"",IF(ISNUMBER(Sync!$AE446),INT(MOD(Sync!$AE446,10000)/100),IFERROR(VALUE(TRIM(LEFT(MID(Sync!$AE446,FIND("/",Sync!$AE446)+1,20),FIND("/",MID(Sync!$AE446,FIND("/",Sync!$AE446)+1,20))-1))),"")))</f>
        <v/>
      </c>
      <c r="I446" t="str">
        <f>IF(OR($F446="",$G446=""),"",IF(ISNUMBER(Sync!$AE446),MOD(Sync!$AE446,100),IFERROR(VALUE(TRIM(MID(MID(Sync!$AE446,FIND("/",Sync!$AE446)+1,20),FIND("/",MID(Sync!$AE446,FIND("/",Sync!$AE446)+1,20))+1,20))),"")))</f>
        <v/>
      </c>
      <c r="J446" t="str">
        <f t="shared" si="32"/>
        <v/>
      </c>
      <c r="K446" t="str">
        <f>IF(OR($F446="",$J446="",$J446="نامعتبر"),"",LEFT($J446,4)&amp;MID($J446,6,2)&amp;RIGHT($J446,2)&amp;$N446&amp;"|"&amp;"2"&amp;RIGHT("00000"&amp;441,5))</f>
        <v/>
      </c>
      <c r="L446" t="str">
        <f t="shared" si="33"/>
        <v/>
      </c>
      <c r="M446" t="str">
        <f t="shared" si="34"/>
        <v/>
      </c>
      <c r="N446" t="str">
        <f>IF($F446="","",IF(Sync!$AF446="","0000",IF(AND(ISNUMBER(Sync!$AF446),Sync!$AF446&gt;=0,Sync!$AF446&lt;1),RIGHT("00"&amp;HOUR(Sync!$AF446),2)&amp;RIGHT("00"&amp;MINUTE(Sync!$AF446),2),IFERROR(RIGHT("00"&amp;VALUE(LEFT(Sync!$AF446,FIND(":",Sync!$AF446)-1)),2)&amp;RIGHT("00"&amp;VALUE(MID(Sync!$AF446,FIND(":",Sync!$AF446)+1,2)),2),"0000"))))</f>
        <v/>
      </c>
    </row>
    <row r="447" spans="1:14" x14ac:dyDescent="0.2">
      <c r="A447" t="str">
        <f>IF(OR(Calc!$E451="",Calc!$E451="نامعتبر",Calc!$G451=""),"",Calc!$G451)</f>
        <v/>
      </c>
      <c r="B447" t="str">
        <f>IF($A447="","",LEFT(Calc!$E451,4)&amp;MID(Calc!$E451,6,2)&amp;RIGHT(Calc!$E451,2)&amp;Calc!$Q451&amp;"|"&amp;"1"&amp;RIGHT("00000"&amp;442,5))</f>
        <v/>
      </c>
      <c r="C447" t="str">
        <f t="shared" si="30"/>
        <v/>
      </c>
      <c r="D447" t="str">
        <f t="shared" si="31"/>
        <v/>
      </c>
      <c r="F447" t="str">
        <f>IF(Sync!$AH447="","",IF(LEFT(UPPER(TRIM(Sync!$AH447)),2)="SL",UPPER(TRIM(Sync!$AH447)),""))</f>
        <v/>
      </c>
      <c r="G447" t="str">
        <f>IF($F447="","",IF(Sync!$AE447="","",IF(ISNUMBER(Sync!$AE447),IF(AND(Sync!$AE447&gt;=10000101,Sync!$AE447&lt;=99991231),INT(Sync!$AE447/10000),""),IFERROR(VALUE(TRIM(LEFT(Sync!$AE447,FIND("/",Sync!$AE447)-1))),""))))</f>
        <v/>
      </c>
      <c r="H447" t="str">
        <f>IF(OR($F447="",$G447=""),"",IF(ISNUMBER(Sync!$AE447),INT(MOD(Sync!$AE447,10000)/100),IFERROR(VALUE(TRIM(LEFT(MID(Sync!$AE447,FIND("/",Sync!$AE447)+1,20),FIND("/",MID(Sync!$AE447,FIND("/",Sync!$AE447)+1,20))-1))),"")))</f>
        <v/>
      </c>
      <c r="I447" t="str">
        <f>IF(OR($F447="",$G447=""),"",IF(ISNUMBER(Sync!$AE447),MOD(Sync!$AE447,100),IFERROR(VALUE(TRIM(MID(MID(Sync!$AE447,FIND("/",Sync!$AE447)+1,20),FIND("/",MID(Sync!$AE447,FIND("/",Sync!$AE447)+1,20))+1,20))),"")))</f>
        <v/>
      </c>
      <c r="J447" t="str">
        <f t="shared" si="32"/>
        <v/>
      </c>
      <c r="K447" t="str">
        <f>IF(OR($F447="",$J447="",$J447="نامعتبر"),"",LEFT($J447,4)&amp;MID($J447,6,2)&amp;RIGHT($J447,2)&amp;$N447&amp;"|"&amp;"2"&amp;RIGHT("00000"&amp;442,5))</f>
        <v/>
      </c>
      <c r="L447" t="str">
        <f t="shared" si="33"/>
        <v/>
      </c>
      <c r="M447" t="str">
        <f t="shared" si="34"/>
        <v/>
      </c>
      <c r="N447" t="str">
        <f>IF($F447="","",IF(Sync!$AF447="","0000",IF(AND(ISNUMBER(Sync!$AF447),Sync!$AF447&gt;=0,Sync!$AF447&lt;1),RIGHT("00"&amp;HOUR(Sync!$AF447),2)&amp;RIGHT("00"&amp;MINUTE(Sync!$AF447),2),IFERROR(RIGHT("00"&amp;VALUE(LEFT(Sync!$AF447,FIND(":",Sync!$AF447)-1)),2)&amp;RIGHT("00"&amp;VALUE(MID(Sync!$AF447,FIND(":",Sync!$AF447)+1,2)),2),"0000"))))</f>
        <v/>
      </c>
    </row>
    <row r="448" spans="1:14" x14ac:dyDescent="0.2">
      <c r="A448" t="str">
        <f>IF(OR(Calc!$E452="",Calc!$E452="نامعتبر",Calc!$G452=""),"",Calc!$G452)</f>
        <v/>
      </c>
      <c r="B448" t="str">
        <f>IF($A448="","",LEFT(Calc!$E452,4)&amp;MID(Calc!$E452,6,2)&amp;RIGHT(Calc!$E452,2)&amp;Calc!$Q452&amp;"|"&amp;"1"&amp;RIGHT("00000"&amp;443,5))</f>
        <v/>
      </c>
      <c r="C448" t="str">
        <f t="shared" si="30"/>
        <v/>
      </c>
      <c r="D448" t="str">
        <f t="shared" si="31"/>
        <v/>
      </c>
      <c r="F448" t="str">
        <f>IF(Sync!$AH448="","",IF(LEFT(UPPER(TRIM(Sync!$AH448)),2)="SL",UPPER(TRIM(Sync!$AH448)),""))</f>
        <v/>
      </c>
      <c r="G448" t="str">
        <f>IF($F448="","",IF(Sync!$AE448="","",IF(ISNUMBER(Sync!$AE448),IF(AND(Sync!$AE448&gt;=10000101,Sync!$AE448&lt;=99991231),INT(Sync!$AE448/10000),""),IFERROR(VALUE(TRIM(LEFT(Sync!$AE448,FIND("/",Sync!$AE448)-1))),""))))</f>
        <v/>
      </c>
      <c r="H448" t="str">
        <f>IF(OR($F448="",$G448=""),"",IF(ISNUMBER(Sync!$AE448),INT(MOD(Sync!$AE448,10000)/100),IFERROR(VALUE(TRIM(LEFT(MID(Sync!$AE448,FIND("/",Sync!$AE448)+1,20),FIND("/",MID(Sync!$AE448,FIND("/",Sync!$AE448)+1,20))-1))),"")))</f>
        <v/>
      </c>
      <c r="I448" t="str">
        <f>IF(OR($F448="",$G448=""),"",IF(ISNUMBER(Sync!$AE448),MOD(Sync!$AE448,100),IFERROR(VALUE(TRIM(MID(MID(Sync!$AE448,FIND("/",Sync!$AE448)+1,20),FIND("/",MID(Sync!$AE448,FIND("/",Sync!$AE448)+1,20))+1,20))),"")))</f>
        <v/>
      </c>
      <c r="J448" t="str">
        <f t="shared" si="32"/>
        <v/>
      </c>
      <c r="K448" t="str">
        <f>IF(OR($F448="",$J448="",$J448="نامعتبر"),"",LEFT($J448,4)&amp;MID($J448,6,2)&amp;RIGHT($J448,2)&amp;$N448&amp;"|"&amp;"2"&amp;RIGHT("00000"&amp;443,5))</f>
        <v/>
      </c>
      <c r="L448" t="str">
        <f t="shared" si="33"/>
        <v/>
      </c>
      <c r="M448" t="str">
        <f t="shared" si="34"/>
        <v/>
      </c>
      <c r="N448" t="str">
        <f>IF($F448="","",IF(Sync!$AF448="","0000",IF(AND(ISNUMBER(Sync!$AF448),Sync!$AF448&gt;=0,Sync!$AF448&lt;1),RIGHT("00"&amp;HOUR(Sync!$AF448),2)&amp;RIGHT("00"&amp;MINUTE(Sync!$AF448),2),IFERROR(RIGHT("00"&amp;VALUE(LEFT(Sync!$AF448,FIND(":",Sync!$AF448)-1)),2)&amp;RIGHT("00"&amp;VALUE(MID(Sync!$AF448,FIND(":",Sync!$AF448)+1,2)),2),"0000"))))</f>
        <v/>
      </c>
    </row>
    <row r="449" spans="1:14" x14ac:dyDescent="0.2">
      <c r="A449" t="str">
        <f>IF(OR(Calc!$E453="",Calc!$E453="نامعتبر",Calc!$G453=""),"",Calc!$G453)</f>
        <v/>
      </c>
      <c r="B449" t="str">
        <f>IF($A449="","",LEFT(Calc!$E453,4)&amp;MID(Calc!$E453,6,2)&amp;RIGHT(Calc!$E453,2)&amp;Calc!$Q453&amp;"|"&amp;"1"&amp;RIGHT("00000"&amp;444,5))</f>
        <v/>
      </c>
      <c r="C449" t="str">
        <f t="shared" si="30"/>
        <v/>
      </c>
      <c r="D449" t="str">
        <f t="shared" si="31"/>
        <v/>
      </c>
      <c r="F449" t="str">
        <f>IF(Sync!$AH449="","",IF(LEFT(UPPER(TRIM(Sync!$AH449)),2)="SL",UPPER(TRIM(Sync!$AH449)),""))</f>
        <v/>
      </c>
      <c r="G449" t="str">
        <f>IF($F449="","",IF(Sync!$AE449="","",IF(ISNUMBER(Sync!$AE449),IF(AND(Sync!$AE449&gt;=10000101,Sync!$AE449&lt;=99991231),INT(Sync!$AE449/10000),""),IFERROR(VALUE(TRIM(LEFT(Sync!$AE449,FIND("/",Sync!$AE449)-1))),""))))</f>
        <v/>
      </c>
      <c r="H449" t="str">
        <f>IF(OR($F449="",$G449=""),"",IF(ISNUMBER(Sync!$AE449),INT(MOD(Sync!$AE449,10000)/100),IFERROR(VALUE(TRIM(LEFT(MID(Sync!$AE449,FIND("/",Sync!$AE449)+1,20),FIND("/",MID(Sync!$AE449,FIND("/",Sync!$AE449)+1,20))-1))),"")))</f>
        <v/>
      </c>
      <c r="I449" t="str">
        <f>IF(OR($F449="",$G449=""),"",IF(ISNUMBER(Sync!$AE449),MOD(Sync!$AE449,100),IFERROR(VALUE(TRIM(MID(MID(Sync!$AE449,FIND("/",Sync!$AE449)+1,20),FIND("/",MID(Sync!$AE449,FIND("/",Sync!$AE449)+1,20))+1,20))),"")))</f>
        <v/>
      </c>
      <c r="J449" t="str">
        <f t="shared" si="32"/>
        <v/>
      </c>
      <c r="K449" t="str">
        <f>IF(OR($F449="",$J449="",$J449="نامعتبر"),"",LEFT($J449,4)&amp;MID($J449,6,2)&amp;RIGHT($J449,2)&amp;$N449&amp;"|"&amp;"2"&amp;RIGHT("00000"&amp;444,5))</f>
        <v/>
      </c>
      <c r="L449" t="str">
        <f t="shared" si="33"/>
        <v/>
      </c>
      <c r="M449" t="str">
        <f t="shared" si="34"/>
        <v/>
      </c>
      <c r="N449" t="str">
        <f>IF($F449="","",IF(Sync!$AF449="","0000",IF(AND(ISNUMBER(Sync!$AF449),Sync!$AF449&gt;=0,Sync!$AF449&lt;1),RIGHT("00"&amp;HOUR(Sync!$AF449),2)&amp;RIGHT("00"&amp;MINUTE(Sync!$AF449),2),IFERROR(RIGHT("00"&amp;VALUE(LEFT(Sync!$AF449,FIND(":",Sync!$AF449)-1)),2)&amp;RIGHT("00"&amp;VALUE(MID(Sync!$AF449,FIND(":",Sync!$AF449)+1,2)),2),"0000"))))</f>
        <v/>
      </c>
    </row>
    <row r="450" spans="1:14" x14ac:dyDescent="0.2">
      <c r="A450" t="str">
        <f>IF(OR(Calc!$E454="",Calc!$E454="نامعتبر",Calc!$G454=""),"",Calc!$G454)</f>
        <v/>
      </c>
      <c r="B450" t="str">
        <f>IF($A450="","",LEFT(Calc!$E454,4)&amp;MID(Calc!$E454,6,2)&amp;RIGHT(Calc!$E454,2)&amp;Calc!$Q454&amp;"|"&amp;"1"&amp;RIGHT("00000"&amp;445,5))</f>
        <v/>
      </c>
      <c r="C450" t="str">
        <f t="shared" si="30"/>
        <v/>
      </c>
      <c r="D450" t="str">
        <f t="shared" si="31"/>
        <v/>
      </c>
      <c r="F450" t="str">
        <f>IF(Sync!$AH450="","",IF(LEFT(UPPER(TRIM(Sync!$AH450)),2)="SL",UPPER(TRIM(Sync!$AH450)),""))</f>
        <v/>
      </c>
      <c r="G450" t="str">
        <f>IF($F450="","",IF(Sync!$AE450="","",IF(ISNUMBER(Sync!$AE450),IF(AND(Sync!$AE450&gt;=10000101,Sync!$AE450&lt;=99991231),INT(Sync!$AE450/10000),""),IFERROR(VALUE(TRIM(LEFT(Sync!$AE450,FIND("/",Sync!$AE450)-1))),""))))</f>
        <v/>
      </c>
      <c r="H450" t="str">
        <f>IF(OR($F450="",$G450=""),"",IF(ISNUMBER(Sync!$AE450),INT(MOD(Sync!$AE450,10000)/100),IFERROR(VALUE(TRIM(LEFT(MID(Sync!$AE450,FIND("/",Sync!$AE450)+1,20),FIND("/",MID(Sync!$AE450,FIND("/",Sync!$AE450)+1,20))-1))),"")))</f>
        <v/>
      </c>
      <c r="I450" t="str">
        <f>IF(OR($F450="",$G450=""),"",IF(ISNUMBER(Sync!$AE450),MOD(Sync!$AE450,100),IFERROR(VALUE(TRIM(MID(MID(Sync!$AE450,FIND("/",Sync!$AE450)+1,20),FIND("/",MID(Sync!$AE450,FIND("/",Sync!$AE450)+1,20))+1,20))),"")))</f>
        <v/>
      </c>
      <c r="J450" t="str">
        <f t="shared" si="32"/>
        <v/>
      </c>
      <c r="K450" t="str">
        <f>IF(OR($F450="",$J450="",$J450="نامعتبر"),"",LEFT($J450,4)&amp;MID($J450,6,2)&amp;RIGHT($J450,2)&amp;$N450&amp;"|"&amp;"2"&amp;RIGHT("00000"&amp;445,5))</f>
        <v/>
      </c>
      <c r="L450" t="str">
        <f t="shared" si="33"/>
        <v/>
      </c>
      <c r="M450" t="str">
        <f t="shared" si="34"/>
        <v/>
      </c>
      <c r="N450" t="str">
        <f>IF($F450="","",IF(Sync!$AF450="","0000",IF(AND(ISNUMBER(Sync!$AF450),Sync!$AF450&gt;=0,Sync!$AF450&lt;1),RIGHT("00"&amp;HOUR(Sync!$AF450),2)&amp;RIGHT("00"&amp;MINUTE(Sync!$AF450),2),IFERROR(RIGHT("00"&amp;VALUE(LEFT(Sync!$AF450,FIND(":",Sync!$AF450)-1)),2)&amp;RIGHT("00"&amp;VALUE(MID(Sync!$AF450,FIND(":",Sync!$AF450)+1,2)),2),"0000"))))</f>
        <v/>
      </c>
    </row>
    <row r="451" spans="1:14" x14ac:dyDescent="0.2">
      <c r="A451" t="str">
        <f>IF(OR(Calc!$E455="",Calc!$E455="نامعتبر",Calc!$G455=""),"",Calc!$G455)</f>
        <v/>
      </c>
      <c r="B451" t="str">
        <f>IF($A451="","",LEFT(Calc!$E455,4)&amp;MID(Calc!$E455,6,2)&amp;RIGHT(Calc!$E455,2)&amp;Calc!$Q455&amp;"|"&amp;"1"&amp;RIGHT("00000"&amp;446,5))</f>
        <v/>
      </c>
      <c r="C451" t="str">
        <f t="shared" si="30"/>
        <v/>
      </c>
      <c r="D451" t="str">
        <f t="shared" si="31"/>
        <v/>
      </c>
      <c r="F451" t="str">
        <f>IF(Sync!$AH451="","",IF(LEFT(UPPER(TRIM(Sync!$AH451)),2)="SL",UPPER(TRIM(Sync!$AH451)),""))</f>
        <v/>
      </c>
      <c r="G451" t="str">
        <f>IF($F451="","",IF(Sync!$AE451="","",IF(ISNUMBER(Sync!$AE451),IF(AND(Sync!$AE451&gt;=10000101,Sync!$AE451&lt;=99991231),INT(Sync!$AE451/10000),""),IFERROR(VALUE(TRIM(LEFT(Sync!$AE451,FIND("/",Sync!$AE451)-1))),""))))</f>
        <v/>
      </c>
      <c r="H451" t="str">
        <f>IF(OR($F451="",$G451=""),"",IF(ISNUMBER(Sync!$AE451),INT(MOD(Sync!$AE451,10000)/100),IFERROR(VALUE(TRIM(LEFT(MID(Sync!$AE451,FIND("/",Sync!$AE451)+1,20),FIND("/",MID(Sync!$AE451,FIND("/",Sync!$AE451)+1,20))-1))),"")))</f>
        <v/>
      </c>
      <c r="I451" t="str">
        <f>IF(OR($F451="",$G451=""),"",IF(ISNUMBER(Sync!$AE451),MOD(Sync!$AE451,100),IFERROR(VALUE(TRIM(MID(MID(Sync!$AE451,FIND("/",Sync!$AE451)+1,20),FIND("/",MID(Sync!$AE451,FIND("/",Sync!$AE451)+1,20))+1,20))),"")))</f>
        <v/>
      </c>
      <c r="J451" t="str">
        <f t="shared" si="32"/>
        <v/>
      </c>
      <c r="K451" t="str">
        <f>IF(OR($F451="",$J451="",$J451="نامعتبر"),"",LEFT($J451,4)&amp;MID($J451,6,2)&amp;RIGHT($J451,2)&amp;$N451&amp;"|"&amp;"2"&amp;RIGHT("00000"&amp;446,5))</f>
        <v/>
      </c>
      <c r="L451" t="str">
        <f t="shared" si="33"/>
        <v/>
      </c>
      <c r="M451" t="str">
        <f t="shared" si="34"/>
        <v/>
      </c>
      <c r="N451" t="str">
        <f>IF($F451="","",IF(Sync!$AF451="","0000",IF(AND(ISNUMBER(Sync!$AF451),Sync!$AF451&gt;=0,Sync!$AF451&lt;1),RIGHT("00"&amp;HOUR(Sync!$AF451),2)&amp;RIGHT("00"&amp;MINUTE(Sync!$AF451),2),IFERROR(RIGHT("00"&amp;VALUE(LEFT(Sync!$AF451,FIND(":",Sync!$AF451)-1)),2)&amp;RIGHT("00"&amp;VALUE(MID(Sync!$AF451,FIND(":",Sync!$AF451)+1,2)),2),"0000"))))</f>
        <v/>
      </c>
    </row>
    <row r="452" spans="1:14" x14ac:dyDescent="0.2">
      <c r="A452" t="str">
        <f>IF(OR(Calc!$E456="",Calc!$E456="نامعتبر",Calc!$G456=""),"",Calc!$G456)</f>
        <v/>
      </c>
      <c r="B452" t="str">
        <f>IF($A452="","",LEFT(Calc!$E456,4)&amp;MID(Calc!$E456,6,2)&amp;RIGHT(Calc!$E456,2)&amp;Calc!$Q456&amp;"|"&amp;"1"&amp;RIGHT("00000"&amp;447,5))</f>
        <v/>
      </c>
      <c r="C452" t="str">
        <f t="shared" si="30"/>
        <v/>
      </c>
      <c r="D452" t="str">
        <f t="shared" si="31"/>
        <v/>
      </c>
      <c r="F452" t="str">
        <f>IF(Sync!$AH452="","",IF(LEFT(UPPER(TRIM(Sync!$AH452)),2)="SL",UPPER(TRIM(Sync!$AH452)),""))</f>
        <v/>
      </c>
      <c r="G452" t="str">
        <f>IF($F452="","",IF(Sync!$AE452="","",IF(ISNUMBER(Sync!$AE452),IF(AND(Sync!$AE452&gt;=10000101,Sync!$AE452&lt;=99991231),INT(Sync!$AE452/10000),""),IFERROR(VALUE(TRIM(LEFT(Sync!$AE452,FIND("/",Sync!$AE452)-1))),""))))</f>
        <v/>
      </c>
      <c r="H452" t="str">
        <f>IF(OR($F452="",$G452=""),"",IF(ISNUMBER(Sync!$AE452),INT(MOD(Sync!$AE452,10000)/100),IFERROR(VALUE(TRIM(LEFT(MID(Sync!$AE452,FIND("/",Sync!$AE452)+1,20),FIND("/",MID(Sync!$AE452,FIND("/",Sync!$AE452)+1,20))-1))),"")))</f>
        <v/>
      </c>
      <c r="I452" t="str">
        <f>IF(OR($F452="",$G452=""),"",IF(ISNUMBER(Sync!$AE452),MOD(Sync!$AE452,100),IFERROR(VALUE(TRIM(MID(MID(Sync!$AE452,FIND("/",Sync!$AE452)+1,20),FIND("/",MID(Sync!$AE452,FIND("/",Sync!$AE452)+1,20))+1,20))),"")))</f>
        <v/>
      </c>
      <c r="J452" t="str">
        <f t="shared" si="32"/>
        <v/>
      </c>
      <c r="K452" t="str">
        <f>IF(OR($F452="",$J452="",$J452="نامعتبر"),"",LEFT($J452,4)&amp;MID($J452,6,2)&amp;RIGHT($J452,2)&amp;$N452&amp;"|"&amp;"2"&amp;RIGHT("00000"&amp;447,5))</f>
        <v/>
      </c>
      <c r="L452" t="str">
        <f t="shared" si="33"/>
        <v/>
      </c>
      <c r="M452" t="str">
        <f t="shared" si="34"/>
        <v/>
      </c>
      <c r="N452" t="str">
        <f>IF($F452="","",IF(Sync!$AF452="","0000",IF(AND(ISNUMBER(Sync!$AF452),Sync!$AF452&gt;=0,Sync!$AF452&lt;1),RIGHT("00"&amp;HOUR(Sync!$AF452),2)&amp;RIGHT("00"&amp;MINUTE(Sync!$AF452),2),IFERROR(RIGHT("00"&amp;VALUE(LEFT(Sync!$AF452,FIND(":",Sync!$AF452)-1)),2)&amp;RIGHT("00"&amp;VALUE(MID(Sync!$AF452,FIND(":",Sync!$AF452)+1,2)),2),"0000"))))</f>
        <v/>
      </c>
    </row>
    <row r="453" spans="1:14" x14ac:dyDescent="0.2">
      <c r="A453" t="str">
        <f>IF(OR(Calc!$E457="",Calc!$E457="نامعتبر",Calc!$G457=""),"",Calc!$G457)</f>
        <v/>
      </c>
      <c r="B453" t="str">
        <f>IF($A453="","",LEFT(Calc!$E457,4)&amp;MID(Calc!$E457,6,2)&amp;RIGHT(Calc!$E457,2)&amp;Calc!$Q457&amp;"|"&amp;"1"&amp;RIGHT("00000"&amp;448,5))</f>
        <v/>
      </c>
      <c r="C453" t="str">
        <f t="shared" si="30"/>
        <v/>
      </c>
      <c r="D453" t="str">
        <f t="shared" si="31"/>
        <v/>
      </c>
      <c r="F453" t="str">
        <f>IF(Sync!$AH453="","",IF(LEFT(UPPER(TRIM(Sync!$AH453)),2)="SL",UPPER(TRIM(Sync!$AH453)),""))</f>
        <v/>
      </c>
      <c r="G453" t="str">
        <f>IF($F453="","",IF(Sync!$AE453="","",IF(ISNUMBER(Sync!$AE453),IF(AND(Sync!$AE453&gt;=10000101,Sync!$AE453&lt;=99991231),INT(Sync!$AE453/10000),""),IFERROR(VALUE(TRIM(LEFT(Sync!$AE453,FIND("/",Sync!$AE453)-1))),""))))</f>
        <v/>
      </c>
      <c r="H453" t="str">
        <f>IF(OR($F453="",$G453=""),"",IF(ISNUMBER(Sync!$AE453),INT(MOD(Sync!$AE453,10000)/100),IFERROR(VALUE(TRIM(LEFT(MID(Sync!$AE453,FIND("/",Sync!$AE453)+1,20),FIND("/",MID(Sync!$AE453,FIND("/",Sync!$AE453)+1,20))-1))),"")))</f>
        <v/>
      </c>
      <c r="I453" t="str">
        <f>IF(OR($F453="",$G453=""),"",IF(ISNUMBER(Sync!$AE453),MOD(Sync!$AE453,100),IFERROR(VALUE(TRIM(MID(MID(Sync!$AE453,FIND("/",Sync!$AE453)+1,20),FIND("/",MID(Sync!$AE453,FIND("/",Sync!$AE453)+1,20))+1,20))),"")))</f>
        <v/>
      </c>
      <c r="J453" t="str">
        <f t="shared" si="32"/>
        <v/>
      </c>
      <c r="K453" t="str">
        <f>IF(OR($F453="",$J453="",$J453="نامعتبر"),"",LEFT($J453,4)&amp;MID($J453,6,2)&amp;RIGHT($J453,2)&amp;$N453&amp;"|"&amp;"2"&amp;RIGHT("00000"&amp;448,5))</f>
        <v/>
      </c>
      <c r="L453" t="str">
        <f t="shared" si="33"/>
        <v/>
      </c>
      <c r="M453" t="str">
        <f t="shared" si="34"/>
        <v/>
      </c>
      <c r="N453" t="str">
        <f>IF($F453="","",IF(Sync!$AF453="","0000",IF(AND(ISNUMBER(Sync!$AF453),Sync!$AF453&gt;=0,Sync!$AF453&lt;1),RIGHT("00"&amp;HOUR(Sync!$AF453),2)&amp;RIGHT("00"&amp;MINUTE(Sync!$AF453),2),IFERROR(RIGHT("00"&amp;VALUE(LEFT(Sync!$AF453,FIND(":",Sync!$AF453)-1)),2)&amp;RIGHT("00"&amp;VALUE(MID(Sync!$AF453,FIND(":",Sync!$AF453)+1,2)),2),"0000"))))</f>
        <v/>
      </c>
    </row>
    <row r="454" spans="1:14" x14ac:dyDescent="0.2">
      <c r="A454" t="str">
        <f>IF(OR(Calc!$E458="",Calc!$E458="نامعتبر",Calc!$G458=""),"",Calc!$G458)</f>
        <v/>
      </c>
      <c r="B454" t="str">
        <f>IF($A454="","",LEFT(Calc!$E458,4)&amp;MID(Calc!$E458,6,2)&amp;RIGHT(Calc!$E458,2)&amp;Calc!$Q458&amp;"|"&amp;"1"&amp;RIGHT("00000"&amp;449,5))</f>
        <v/>
      </c>
      <c r="C454" t="str">
        <f t="shared" ref="C454:C517" si="35">IF($B454="","",COUNTIFS(LdgSellerA,$A454,LdgKeyA,"&lt;"&amp;$B454)+COUNTIFS(LdgSellerB,$A454,LdgKeyB,"&lt;"&amp;$B454)+1)</f>
        <v/>
      </c>
      <c r="D454" t="str">
        <f t="shared" ref="D454:D517" si="36">IF($C454="","",$A454&amp;"|"&amp;RIGHT("000000"&amp;$C454,6))</f>
        <v/>
      </c>
      <c r="F454" t="str">
        <f>IF(Sync!$AH454="","",IF(LEFT(UPPER(TRIM(Sync!$AH454)),2)="SL",UPPER(TRIM(Sync!$AH454)),""))</f>
        <v/>
      </c>
      <c r="G454" t="str">
        <f>IF($F454="","",IF(Sync!$AE454="","",IF(ISNUMBER(Sync!$AE454),IF(AND(Sync!$AE454&gt;=10000101,Sync!$AE454&lt;=99991231),INT(Sync!$AE454/10000),""),IFERROR(VALUE(TRIM(LEFT(Sync!$AE454,FIND("/",Sync!$AE454)-1))),""))))</f>
        <v/>
      </c>
      <c r="H454" t="str">
        <f>IF(OR($F454="",$G454=""),"",IF(ISNUMBER(Sync!$AE454),INT(MOD(Sync!$AE454,10000)/100),IFERROR(VALUE(TRIM(LEFT(MID(Sync!$AE454,FIND("/",Sync!$AE454)+1,20),FIND("/",MID(Sync!$AE454,FIND("/",Sync!$AE454)+1,20))-1))),"")))</f>
        <v/>
      </c>
      <c r="I454" t="str">
        <f>IF(OR($F454="",$G454=""),"",IF(ISNUMBER(Sync!$AE454),MOD(Sync!$AE454,100),IFERROR(VALUE(TRIM(MID(MID(Sync!$AE454,FIND("/",Sync!$AE454)+1,20),FIND("/",MID(Sync!$AE454,FIND("/",Sync!$AE454)+1,20))+1,20))),"")))</f>
        <v/>
      </c>
      <c r="J454" t="str">
        <f t="shared" ref="J454:J517" si="37">IF($F454="","",IF(OR($G454="",$H454="",$I454="",$G454&lt;1300,$G454&gt;1500,$H454&lt;1,$H454&gt;12,$I454&lt;1,$I454&gt;31),"نامعتبر",RIGHT("0000"&amp;$G454,4)&amp;"/"&amp;RIGHT("00"&amp;$H454,2)&amp;"/"&amp;RIGHT("00"&amp;$I454,2)))</f>
        <v/>
      </c>
      <c r="K454" t="str">
        <f>IF(OR($F454="",$J454="",$J454="نامعتبر"),"",LEFT($J454,4)&amp;MID($J454,6,2)&amp;RIGHT($J454,2)&amp;$N454&amp;"|"&amp;"2"&amp;RIGHT("00000"&amp;449,5))</f>
        <v/>
      </c>
      <c r="L454" t="str">
        <f t="shared" ref="L454:L517" si="38">IF($K454="","",COUNTIFS(LdgSellerA,$F454,LdgKeyA,"&lt;"&amp;$K454)+COUNTIFS(LdgSellerB,$F454,LdgKeyB,"&lt;"&amp;$K454)+1)</f>
        <v/>
      </c>
      <c r="M454" t="str">
        <f t="shared" ref="M454:M517" si="39">IF($L454="","",$F454&amp;"|"&amp;RIGHT("000000"&amp;$L454,6))</f>
        <v/>
      </c>
      <c r="N454" t="str">
        <f>IF($F454="","",IF(Sync!$AF454="","0000",IF(AND(ISNUMBER(Sync!$AF454),Sync!$AF454&gt;=0,Sync!$AF454&lt;1),RIGHT("00"&amp;HOUR(Sync!$AF454),2)&amp;RIGHT("00"&amp;MINUTE(Sync!$AF454),2),IFERROR(RIGHT("00"&amp;VALUE(LEFT(Sync!$AF454,FIND(":",Sync!$AF454)-1)),2)&amp;RIGHT("00"&amp;VALUE(MID(Sync!$AF454,FIND(":",Sync!$AF454)+1,2)),2),"0000"))))</f>
        <v/>
      </c>
    </row>
    <row r="455" spans="1:14" x14ac:dyDescent="0.2">
      <c r="A455" t="str">
        <f>IF(OR(Calc!$E459="",Calc!$E459="نامعتبر",Calc!$G459=""),"",Calc!$G459)</f>
        <v/>
      </c>
      <c r="B455" t="str">
        <f>IF($A455="","",LEFT(Calc!$E459,4)&amp;MID(Calc!$E459,6,2)&amp;RIGHT(Calc!$E459,2)&amp;Calc!$Q459&amp;"|"&amp;"1"&amp;RIGHT("00000"&amp;450,5))</f>
        <v/>
      </c>
      <c r="C455" t="str">
        <f t="shared" si="35"/>
        <v/>
      </c>
      <c r="D455" t="str">
        <f t="shared" si="36"/>
        <v/>
      </c>
      <c r="F455" t="str">
        <f>IF(Sync!$AH455="","",IF(LEFT(UPPER(TRIM(Sync!$AH455)),2)="SL",UPPER(TRIM(Sync!$AH455)),""))</f>
        <v/>
      </c>
      <c r="G455" t="str">
        <f>IF($F455="","",IF(Sync!$AE455="","",IF(ISNUMBER(Sync!$AE455),IF(AND(Sync!$AE455&gt;=10000101,Sync!$AE455&lt;=99991231),INT(Sync!$AE455/10000),""),IFERROR(VALUE(TRIM(LEFT(Sync!$AE455,FIND("/",Sync!$AE455)-1))),""))))</f>
        <v/>
      </c>
      <c r="H455" t="str">
        <f>IF(OR($F455="",$G455=""),"",IF(ISNUMBER(Sync!$AE455),INT(MOD(Sync!$AE455,10000)/100),IFERROR(VALUE(TRIM(LEFT(MID(Sync!$AE455,FIND("/",Sync!$AE455)+1,20),FIND("/",MID(Sync!$AE455,FIND("/",Sync!$AE455)+1,20))-1))),"")))</f>
        <v/>
      </c>
      <c r="I455" t="str">
        <f>IF(OR($F455="",$G455=""),"",IF(ISNUMBER(Sync!$AE455),MOD(Sync!$AE455,100),IFERROR(VALUE(TRIM(MID(MID(Sync!$AE455,FIND("/",Sync!$AE455)+1,20),FIND("/",MID(Sync!$AE455,FIND("/",Sync!$AE455)+1,20))+1,20))),"")))</f>
        <v/>
      </c>
      <c r="J455" t="str">
        <f t="shared" si="37"/>
        <v/>
      </c>
      <c r="K455" t="str">
        <f>IF(OR($F455="",$J455="",$J455="نامعتبر"),"",LEFT($J455,4)&amp;MID($J455,6,2)&amp;RIGHT($J455,2)&amp;$N455&amp;"|"&amp;"2"&amp;RIGHT("00000"&amp;450,5))</f>
        <v/>
      </c>
      <c r="L455" t="str">
        <f t="shared" si="38"/>
        <v/>
      </c>
      <c r="M455" t="str">
        <f t="shared" si="39"/>
        <v/>
      </c>
      <c r="N455" t="str">
        <f>IF($F455="","",IF(Sync!$AF455="","0000",IF(AND(ISNUMBER(Sync!$AF455),Sync!$AF455&gt;=0,Sync!$AF455&lt;1),RIGHT("00"&amp;HOUR(Sync!$AF455),2)&amp;RIGHT("00"&amp;MINUTE(Sync!$AF455),2),IFERROR(RIGHT("00"&amp;VALUE(LEFT(Sync!$AF455,FIND(":",Sync!$AF455)-1)),2)&amp;RIGHT("00"&amp;VALUE(MID(Sync!$AF455,FIND(":",Sync!$AF455)+1,2)),2),"0000"))))</f>
        <v/>
      </c>
    </row>
    <row r="456" spans="1:14" x14ac:dyDescent="0.2">
      <c r="A456" t="str">
        <f>IF(OR(Calc!$E460="",Calc!$E460="نامعتبر",Calc!$G460=""),"",Calc!$G460)</f>
        <v/>
      </c>
      <c r="B456" t="str">
        <f>IF($A456="","",LEFT(Calc!$E460,4)&amp;MID(Calc!$E460,6,2)&amp;RIGHT(Calc!$E460,2)&amp;Calc!$Q460&amp;"|"&amp;"1"&amp;RIGHT("00000"&amp;451,5))</f>
        <v/>
      </c>
      <c r="C456" t="str">
        <f t="shared" si="35"/>
        <v/>
      </c>
      <c r="D456" t="str">
        <f t="shared" si="36"/>
        <v/>
      </c>
      <c r="F456" t="str">
        <f>IF(Sync!$AH456="","",IF(LEFT(UPPER(TRIM(Sync!$AH456)),2)="SL",UPPER(TRIM(Sync!$AH456)),""))</f>
        <v/>
      </c>
      <c r="G456" t="str">
        <f>IF($F456="","",IF(Sync!$AE456="","",IF(ISNUMBER(Sync!$AE456),IF(AND(Sync!$AE456&gt;=10000101,Sync!$AE456&lt;=99991231),INT(Sync!$AE456/10000),""),IFERROR(VALUE(TRIM(LEFT(Sync!$AE456,FIND("/",Sync!$AE456)-1))),""))))</f>
        <v/>
      </c>
      <c r="H456" t="str">
        <f>IF(OR($F456="",$G456=""),"",IF(ISNUMBER(Sync!$AE456),INT(MOD(Sync!$AE456,10000)/100),IFERROR(VALUE(TRIM(LEFT(MID(Sync!$AE456,FIND("/",Sync!$AE456)+1,20),FIND("/",MID(Sync!$AE456,FIND("/",Sync!$AE456)+1,20))-1))),"")))</f>
        <v/>
      </c>
      <c r="I456" t="str">
        <f>IF(OR($F456="",$G456=""),"",IF(ISNUMBER(Sync!$AE456),MOD(Sync!$AE456,100),IFERROR(VALUE(TRIM(MID(MID(Sync!$AE456,FIND("/",Sync!$AE456)+1,20),FIND("/",MID(Sync!$AE456,FIND("/",Sync!$AE456)+1,20))+1,20))),"")))</f>
        <v/>
      </c>
      <c r="J456" t="str">
        <f t="shared" si="37"/>
        <v/>
      </c>
      <c r="K456" t="str">
        <f>IF(OR($F456="",$J456="",$J456="نامعتبر"),"",LEFT($J456,4)&amp;MID($J456,6,2)&amp;RIGHT($J456,2)&amp;$N456&amp;"|"&amp;"2"&amp;RIGHT("00000"&amp;451,5))</f>
        <v/>
      </c>
      <c r="L456" t="str">
        <f t="shared" si="38"/>
        <v/>
      </c>
      <c r="M456" t="str">
        <f t="shared" si="39"/>
        <v/>
      </c>
      <c r="N456" t="str">
        <f>IF($F456="","",IF(Sync!$AF456="","0000",IF(AND(ISNUMBER(Sync!$AF456),Sync!$AF456&gt;=0,Sync!$AF456&lt;1),RIGHT("00"&amp;HOUR(Sync!$AF456),2)&amp;RIGHT("00"&amp;MINUTE(Sync!$AF456),2),IFERROR(RIGHT("00"&amp;VALUE(LEFT(Sync!$AF456,FIND(":",Sync!$AF456)-1)),2)&amp;RIGHT("00"&amp;VALUE(MID(Sync!$AF456,FIND(":",Sync!$AF456)+1,2)),2),"0000"))))</f>
        <v/>
      </c>
    </row>
    <row r="457" spans="1:14" x14ac:dyDescent="0.2">
      <c r="A457" t="str">
        <f>IF(OR(Calc!$E461="",Calc!$E461="نامعتبر",Calc!$G461=""),"",Calc!$G461)</f>
        <v/>
      </c>
      <c r="B457" t="str">
        <f>IF($A457="","",LEFT(Calc!$E461,4)&amp;MID(Calc!$E461,6,2)&amp;RIGHT(Calc!$E461,2)&amp;Calc!$Q461&amp;"|"&amp;"1"&amp;RIGHT("00000"&amp;452,5))</f>
        <v/>
      </c>
      <c r="C457" t="str">
        <f t="shared" si="35"/>
        <v/>
      </c>
      <c r="D457" t="str">
        <f t="shared" si="36"/>
        <v/>
      </c>
      <c r="F457" t="str">
        <f>IF(Sync!$AH457="","",IF(LEFT(UPPER(TRIM(Sync!$AH457)),2)="SL",UPPER(TRIM(Sync!$AH457)),""))</f>
        <v/>
      </c>
      <c r="G457" t="str">
        <f>IF($F457="","",IF(Sync!$AE457="","",IF(ISNUMBER(Sync!$AE457),IF(AND(Sync!$AE457&gt;=10000101,Sync!$AE457&lt;=99991231),INT(Sync!$AE457/10000),""),IFERROR(VALUE(TRIM(LEFT(Sync!$AE457,FIND("/",Sync!$AE457)-1))),""))))</f>
        <v/>
      </c>
      <c r="H457" t="str">
        <f>IF(OR($F457="",$G457=""),"",IF(ISNUMBER(Sync!$AE457),INT(MOD(Sync!$AE457,10000)/100),IFERROR(VALUE(TRIM(LEFT(MID(Sync!$AE457,FIND("/",Sync!$AE457)+1,20),FIND("/",MID(Sync!$AE457,FIND("/",Sync!$AE457)+1,20))-1))),"")))</f>
        <v/>
      </c>
      <c r="I457" t="str">
        <f>IF(OR($F457="",$G457=""),"",IF(ISNUMBER(Sync!$AE457),MOD(Sync!$AE457,100),IFERROR(VALUE(TRIM(MID(MID(Sync!$AE457,FIND("/",Sync!$AE457)+1,20),FIND("/",MID(Sync!$AE457,FIND("/",Sync!$AE457)+1,20))+1,20))),"")))</f>
        <v/>
      </c>
      <c r="J457" t="str">
        <f t="shared" si="37"/>
        <v/>
      </c>
      <c r="K457" t="str">
        <f>IF(OR($F457="",$J457="",$J457="نامعتبر"),"",LEFT($J457,4)&amp;MID($J457,6,2)&amp;RIGHT($J457,2)&amp;$N457&amp;"|"&amp;"2"&amp;RIGHT("00000"&amp;452,5))</f>
        <v/>
      </c>
      <c r="L457" t="str">
        <f t="shared" si="38"/>
        <v/>
      </c>
      <c r="M457" t="str">
        <f t="shared" si="39"/>
        <v/>
      </c>
      <c r="N457" t="str">
        <f>IF($F457="","",IF(Sync!$AF457="","0000",IF(AND(ISNUMBER(Sync!$AF457),Sync!$AF457&gt;=0,Sync!$AF457&lt;1),RIGHT("00"&amp;HOUR(Sync!$AF457),2)&amp;RIGHT("00"&amp;MINUTE(Sync!$AF457),2),IFERROR(RIGHT("00"&amp;VALUE(LEFT(Sync!$AF457,FIND(":",Sync!$AF457)-1)),2)&amp;RIGHT("00"&amp;VALUE(MID(Sync!$AF457,FIND(":",Sync!$AF457)+1,2)),2),"0000"))))</f>
        <v/>
      </c>
    </row>
    <row r="458" spans="1:14" x14ac:dyDescent="0.2">
      <c r="A458" t="str">
        <f>IF(OR(Calc!$E462="",Calc!$E462="نامعتبر",Calc!$G462=""),"",Calc!$G462)</f>
        <v/>
      </c>
      <c r="B458" t="str">
        <f>IF($A458="","",LEFT(Calc!$E462,4)&amp;MID(Calc!$E462,6,2)&amp;RIGHT(Calc!$E462,2)&amp;Calc!$Q462&amp;"|"&amp;"1"&amp;RIGHT("00000"&amp;453,5))</f>
        <v/>
      </c>
      <c r="C458" t="str">
        <f t="shared" si="35"/>
        <v/>
      </c>
      <c r="D458" t="str">
        <f t="shared" si="36"/>
        <v/>
      </c>
      <c r="F458" t="str">
        <f>IF(Sync!$AH458="","",IF(LEFT(UPPER(TRIM(Sync!$AH458)),2)="SL",UPPER(TRIM(Sync!$AH458)),""))</f>
        <v/>
      </c>
      <c r="G458" t="str">
        <f>IF($F458="","",IF(Sync!$AE458="","",IF(ISNUMBER(Sync!$AE458),IF(AND(Sync!$AE458&gt;=10000101,Sync!$AE458&lt;=99991231),INT(Sync!$AE458/10000),""),IFERROR(VALUE(TRIM(LEFT(Sync!$AE458,FIND("/",Sync!$AE458)-1))),""))))</f>
        <v/>
      </c>
      <c r="H458" t="str">
        <f>IF(OR($F458="",$G458=""),"",IF(ISNUMBER(Sync!$AE458),INT(MOD(Sync!$AE458,10000)/100),IFERROR(VALUE(TRIM(LEFT(MID(Sync!$AE458,FIND("/",Sync!$AE458)+1,20),FIND("/",MID(Sync!$AE458,FIND("/",Sync!$AE458)+1,20))-1))),"")))</f>
        <v/>
      </c>
      <c r="I458" t="str">
        <f>IF(OR($F458="",$G458=""),"",IF(ISNUMBER(Sync!$AE458),MOD(Sync!$AE458,100),IFERROR(VALUE(TRIM(MID(MID(Sync!$AE458,FIND("/",Sync!$AE458)+1,20),FIND("/",MID(Sync!$AE458,FIND("/",Sync!$AE458)+1,20))+1,20))),"")))</f>
        <v/>
      </c>
      <c r="J458" t="str">
        <f t="shared" si="37"/>
        <v/>
      </c>
      <c r="K458" t="str">
        <f>IF(OR($F458="",$J458="",$J458="نامعتبر"),"",LEFT($J458,4)&amp;MID($J458,6,2)&amp;RIGHT($J458,2)&amp;$N458&amp;"|"&amp;"2"&amp;RIGHT("00000"&amp;453,5))</f>
        <v/>
      </c>
      <c r="L458" t="str">
        <f t="shared" si="38"/>
        <v/>
      </c>
      <c r="M458" t="str">
        <f t="shared" si="39"/>
        <v/>
      </c>
      <c r="N458" t="str">
        <f>IF($F458="","",IF(Sync!$AF458="","0000",IF(AND(ISNUMBER(Sync!$AF458),Sync!$AF458&gt;=0,Sync!$AF458&lt;1),RIGHT("00"&amp;HOUR(Sync!$AF458),2)&amp;RIGHT("00"&amp;MINUTE(Sync!$AF458),2),IFERROR(RIGHT("00"&amp;VALUE(LEFT(Sync!$AF458,FIND(":",Sync!$AF458)-1)),2)&amp;RIGHT("00"&amp;VALUE(MID(Sync!$AF458,FIND(":",Sync!$AF458)+1,2)),2),"0000"))))</f>
        <v/>
      </c>
    </row>
    <row r="459" spans="1:14" x14ac:dyDescent="0.2">
      <c r="A459" t="str">
        <f>IF(OR(Calc!$E463="",Calc!$E463="نامعتبر",Calc!$G463=""),"",Calc!$G463)</f>
        <v/>
      </c>
      <c r="B459" t="str">
        <f>IF($A459="","",LEFT(Calc!$E463,4)&amp;MID(Calc!$E463,6,2)&amp;RIGHT(Calc!$E463,2)&amp;Calc!$Q463&amp;"|"&amp;"1"&amp;RIGHT("00000"&amp;454,5))</f>
        <v/>
      </c>
      <c r="C459" t="str">
        <f t="shared" si="35"/>
        <v/>
      </c>
      <c r="D459" t="str">
        <f t="shared" si="36"/>
        <v/>
      </c>
      <c r="F459" t="str">
        <f>IF(Sync!$AH459="","",IF(LEFT(UPPER(TRIM(Sync!$AH459)),2)="SL",UPPER(TRIM(Sync!$AH459)),""))</f>
        <v/>
      </c>
      <c r="G459" t="str">
        <f>IF($F459="","",IF(Sync!$AE459="","",IF(ISNUMBER(Sync!$AE459),IF(AND(Sync!$AE459&gt;=10000101,Sync!$AE459&lt;=99991231),INT(Sync!$AE459/10000),""),IFERROR(VALUE(TRIM(LEFT(Sync!$AE459,FIND("/",Sync!$AE459)-1))),""))))</f>
        <v/>
      </c>
      <c r="H459" t="str">
        <f>IF(OR($F459="",$G459=""),"",IF(ISNUMBER(Sync!$AE459),INT(MOD(Sync!$AE459,10000)/100),IFERROR(VALUE(TRIM(LEFT(MID(Sync!$AE459,FIND("/",Sync!$AE459)+1,20),FIND("/",MID(Sync!$AE459,FIND("/",Sync!$AE459)+1,20))-1))),"")))</f>
        <v/>
      </c>
      <c r="I459" t="str">
        <f>IF(OR($F459="",$G459=""),"",IF(ISNUMBER(Sync!$AE459),MOD(Sync!$AE459,100),IFERROR(VALUE(TRIM(MID(MID(Sync!$AE459,FIND("/",Sync!$AE459)+1,20),FIND("/",MID(Sync!$AE459,FIND("/",Sync!$AE459)+1,20))+1,20))),"")))</f>
        <v/>
      </c>
      <c r="J459" t="str">
        <f t="shared" si="37"/>
        <v/>
      </c>
      <c r="K459" t="str">
        <f>IF(OR($F459="",$J459="",$J459="نامعتبر"),"",LEFT($J459,4)&amp;MID($J459,6,2)&amp;RIGHT($J459,2)&amp;$N459&amp;"|"&amp;"2"&amp;RIGHT("00000"&amp;454,5))</f>
        <v/>
      </c>
      <c r="L459" t="str">
        <f t="shared" si="38"/>
        <v/>
      </c>
      <c r="M459" t="str">
        <f t="shared" si="39"/>
        <v/>
      </c>
      <c r="N459" t="str">
        <f>IF($F459="","",IF(Sync!$AF459="","0000",IF(AND(ISNUMBER(Sync!$AF459),Sync!$AF459&gt;=0,Sync!$AF459&lt;1),RIGHT("00"&amp;HOUR(Sync!$AF459),2)&amp;RIGHT("00"&amp;MINUTE(Sync!$AF459),2),IFERROR(RIGHT("00"&amp;VALUE(LEFT(Sync!$AF459,FIND(":",Sync!$AF459)-1)),2)&amp;RIGHT("00"&amp;VALUE(MID(Sync!$AF459,FIND(":",Sync!$AF459)+1,2)),2),"0000"))))</f>
        <v/>
      </c>
    </row>
    <row r="460" spans="1:14" x14ac:dyDescent="0.2">
      <c r="A460" t="str">
        <f>IF(OR(Calc!$E464="",Calc!$E464="نامعتبر",Calc!$G464=""),"",Calc!$G464)</f>
        <v/>
      </c>
      <c r="B460" t="str">
        <f>IF($A460="","",LEFT(Calc!$E464,4)&amp;MID(Calc!$E464,6,2)&amp;RIGHT(Calc!$E464,2)&amp;Calc!$Q464&amp;"|"&amp;"1"&amp;RIGHT("00000"&amp;455,5))</f>
        <v/>
      </c>
      <c r="C460" t="str">
        <f t="shared" si="35"/>
        <v/>
      </c>
      <c r="D460" t="str">
        <f t="shared" si="36"/>
        <v/>
      </c>
      <c r="F460" t="str">
        <f>IF(Sync!$AH460="","",IF(LEFT(UPPER(TRIM(Sync!$AH460)),2)="SL",UPPER(TRIM(Sync!$AH460)),""))</f>
        <v/>
      </c>
      <c r="G460" t="str">
        <f>IF($F460="","",IF(Sync!$AE460="","",IF(ISNUMBER(Sync!$AE460),IF(AND(Sync!$AE460&gt;=10000101,Sync!$AE460&lt;=99991231),INT(Sync!$AE460/10000),""),IFERROR(VALUE(TRIM(LEFT(Sync!$AE460,FIND("/",Sync!$AE460)-1))),""))))</f>
        <v/>
      </c>
      <c r="H460" t="str">
        <f>IF(OR($F460="",$G460=""),"",IF(ISNUMBER(Sync!$AE460),INT(MOD(Sync!$AE460,10000)/100),IFERROR(VALUE(TRIM(LEFT(MID(Sync!$AE460,FIND("/",Sync!$AE460)+1,20),FIND("/",MID(Sync!$AE460,FIND("/",Sync!$AE460)+1,20))-1))),"")))</f>
        <v/>
      </c>
      <c r="I460" t="str">
        <f>IF(OR($F460="",$G460=""),"",IF(ISNUMBER(Sync!$AE460),MOD(Sync!$AE460,100),IFERROR(VALUE(TRIM(MID(MID(Sync!$AE460,FIND("/",Sync!$AE460)+1,20),FIND("/",MID(Sync!$AE460,FIND("/",Sync!$AE460)+1,20))+1,20))),"")))</f>
        <v/>
      </c>
      <c r="J460" t="str">
        <f t="shared" si="37"/>
        <v/>
      </c>
      <c r="K460" t="str">
        <f>IF(OR($F460="",$J460="",$J460="نامعتبر"),"",LEFT($J460,4)&amp;MID($J460,6,2)&amp;RIGHT($J460,2)&amp;$N460&amp;"|"&amp;"2"&amp;RIGHT("00000"&amp;455,5))</f>
        <v/>
      </c>
      <c r="L460" t="str">
        <f t="shared" si="38"/>
        <v/>
      </c>
      <c r="M460" t="str">
        <f t="shared" si="39"/>
        <v/>
      </c>
      <c r="N460" t="str">
        <f>IF($F460="","",IF(Sync!$AF460="","0000",IF(AND(ISNUMBER(Sync!$AF460),Sync!$AF460&gt;=0,Sync!$AF460&lt;1),RIGHT("00"&amp;HOUR(Sync!$AF460),2)&amp;RIGHT("00"&amp;MINUTE(Sync!$AF460),2),IFERROR(RIGHT("00"&amp;VALUE(LEFT(Sync!$AF460,FIND(":",Sync!$AF460)-1)),2)&amp;RIGHT("00"&amp;VALUE(MID(Sync!$AF460,FIND(":",Sync!$AF460)+1,2)),2),"0000"))))</f>
        <v/>
      </c>
    </row>
    <row r="461" spans="1:14" x14ac:dyDescent="0.2">
      <c r="A461" t="str">
        <f>IF(OR(Calc!$E465="",Calc!$E465="نامعتبر",Calc!$G465=""),"",Calc!$G465)</f>
        <v/>
      </c>
      <c r="B461" t="str">
        <f>IF($A461="","",LEFT(Calc!$E465,4)&amp;MID(Calc!$E465,6,2)&amp;RIGHT(Calc!$E465,2)&amp;Calc!$Q465&amp;"|"&amp;"1"&amp;RIGHT("00000"&amp;456,5))</f>
        <v/>
      </c>
      <c r="C461" t="str">
        <f t="shared" si="35"/>
        <v/>
      </c>
      <c r="D461" t="str">
        <f t="shared" si="36"/>
        <v/>
      </c>
      <c r="F461" t="str">
        <f>IF(Sync!$AH461="","",IF(LEFT(UPPER(TRIM(Sync!$AH461)),2)="SL",UPPER(TRIM(Sync!$AH461)),""))</f>
        <v/>
      </c>
      <c r="G461" t="str">
        <f>IF($F461="","",IF(Sync!$AE461="","",IF(ISNUMBER(Sync!$AE461),IF(AND(Sync!$AE461&gt;=10000101,Sync!$AE461&lt;=99991231),INT(Sync!$AE461/10000),""),IFERROR(VALUE(TRIM(LEFT(Sync!$AE461,FIND("/",Sync!$AE461)-1))),""))))</f>
        <v/>
      </c>
      <c r="H461" t="str">
        <f>IF(OR($F461="",$G461=""),"",IF(ISNUMBER(Sync!$AE461),INT(MOD(Sync!$AE461,10000)/100),IFERROR(VALUE(TRIM(LEFT(MID(Sync!$AE461,FIND("/",Sync!$AE461)+1,20),FIND("/",MID(Sync!$AE461,FIND("/",Sync!$AE461)+1,20))-1))),"")))</f>
        <v/>
      </c>
      <c r="I461" t="str">
        <f>IF(OR($F461="",$G461=""),"",IF(ISNUMBER(Sync!$AE461),MOD(Sync!$AE461,100),IFERROR(VALUE(TRIM(MID(MID(Sync!$AE461,FIND("/",Sync!$AE461)+1,20),FIND("/",MID(Sync!$AE461,FIND("/",Sync!$AE461)+1,20))+1,20))),"")))</f>
        <v/>
      </c>
      <c r="J461" t="str">
        <f t="shared" si="37"/>
        <v/>
      </c>
      <c r="K461" t="str">
        <f>IF(OR($F461="",$J461="",$J461="نامعتبر"),"",LEFT($J461,4)&amp;MID($J461,6,2)&amp;RIGHT($J461,2)&amp;$N461&amp;"|"&amp;"2"&amp;RIGHT("00000"&amp;456,5))</f>
        <v/>
      </c>
      <c r="L461" t="str">
        <f t="shared" si="38"/>
        <v/>
      </c>
      <c r="M461" t="str">
        <f t="shared" si="39"/>
        <v/>
      </c>
      <c r="N461" t="str">
        <f>IF($F461="","",IF(Sync!$AF461="","0000",IF(AND(ISNUMBER(Sync!$AF461),Sync!$AF461&gt;=0,Sync!$AF461&lt;1),RIGHT("00"&amp;HOUR(Sync!$AF461),2)&amp;RIGHT("00"&amp;MINUTE(Sync!$AF461),2),IFERROR(RIGHT("00"&amp;VALUE(LEFT(Sync!$AF461,FIND(":",Sync!$AF461)-1)),2)&amp;RIGHT("00"&amp;VALUE(MID(Sync!$AF461,FIND(":",Sync!$AF461)+1,2)),2),"0000"))))</f>
        <v/>
      </c>
    </row>
    <row r="462" spans="1:14" x14ac:dyDescent="0.2">
      <c r="A462" t="str">
        <f>IF(OR(Calc!$E466="",Calc!$E466="نامعتبر",Calc!$G466=""),"",Calc!$G466)</f>
        <v/>
      </c>
      <c r="B462" t="str">
        <f>IF($A462="","",LEFT(Calc!$E466,4)&amp;MID(Calc!$E466,6,2)&amp;RIGHT(Calc!$E466,2)&amp;Calc!$Q466&amp;"|"&amp;"1"&amp;RIGHT("00000"&amp;457,5))</f>
        <v/>
      </c>
      <c r="C462" t="str">
        <f t="shared" si="35"/>
        <v/>
      </c>
      <c r="D462" t="str">
        <f t="shared" si="36"/>
        <v/>
      </c>
      <c r="F462" t="str">
        <f>IF(Sync!$AH462="","",IF(LEFT(UPPER(TRIM(Sync!$AH462)),2)="SL",UPPER(TRIM(Sync!$AH462)),""))</f>
        <v/>
      </c>
      <c r="G462" t="str">
        <f>IF($F462="","",IF(Sync!$AE462="","",IF(ISNUMBER(Sync!$AE462),IF(AND(Sync!$AE462&gt;=10000101,Sync!$AE462&lt;=99991231),INT(Sync!$AE462/10000),""),IFERROR(VALUE(TRIM(LEFT(Sync!$AE462,FIND("/",Sync!$AE462)-1))),""))))</f>
        <v/>
      </c>
      <c r="H462" t="str">
        <f>IF(OR($F462="",$G462=""),"",IF(ISNUMBER(Sync!$AE462),INT(MOD(Sync!$AE462,10000)/100),IFERROR(VALUE(TRIM(LEFT(MID(Sync!$AE462,FIND("/",Sync!$AE462)+1,20),FIND("/",MID(Sync!$AE462,FIND("/",Sync!$AE462)+1,20))-1))),"")))</f>
        <v/>
      </c>
      <c r="I462" t="str">
        <f>IF(OR($F462="",$G462=""),"",IF(ISNUMBER(Sync!$AE462),MOD(Sync!$AE462,100),IFERROR(VALUE(TRIM(MID(MID(Sync!$AE462,FIND("/",Sync!$AE462)+1,20),FIND("/",MID(Sync!$AE462,FIND("/",Sync!$AE462)+1,20))+1,20))),"")))</f>
        <v/>
      </c>
      <c r="J462" t="str">
        <f t="shared" si="37"/>
        <v/>
      </c>
      <c r="K462" t="str">
        <f>IF(OR($F462="",$J462="",$J462="نامعتبر"),"",LEFT($J462,4)&amp;MID($J462,6,2)&amp;RIGHT($J462,2)&amp;$N462&amp;"|"&amp;"2"&amp;RIGHT("00000"&amp;457,5))</f>
        <v/>
      </c>
      <c r="L462" t="str">
        <f t="shared" si="38"/>
        <v/>
      </c>
      <c r="M462" t="str">
        <f t="shared" si="39"/>
        <v/>
      </c>
      <c r="N462" t="str">
        <f>IF($F462="","",IF(Sync!$AF462="","0000",IF(AND(ISNUMBER(Sync!$AF462),Sync!$AF462&gt;=0,Sync!$AF462&lt;1),RIGHT("00"&amp;HOUR(Sync!$AF462),2)&amp;RIGHT("00"&amp;MINUTE(Sync!$AF462),2),IFERROR(RIGHT("00"&amp;VALUE(LEFT(Sync!$AF462,FIND(":",Sync!$AF462)-1)),2)&amp;RIGHT("00"&amp;VALUE(MID(Sync!$AF462,FIND(":",Sync!$AF462)+1,2)),2),"0000"))))</f>
        <v/>
      </c>
    </row>
    <row r="463" spans="1:14" x14ac:dyDescent="0.2">
      <c r="A463" t="str">
        <f>IF(OR(Calc!$E467="",Calc!$E467="نامعتبر",Calc!$G467=""),"",Calc!$G467)</f>
        <v/>
      </c>
      <c r="B463" t="str">
        <f>IF($A463="","",LEFT(Calc!$E467,4)&amp;MID(Calc!$E467,6,2)&amp;RIGHT(Calc!$E467,2)&amp;Calc!$Q467&amp;"|"&amp;"1"&amp;RIGHT("00000"&amp;458,5))</f>
        <v/>
      </c>
      <c r="C463" t="str">
        <f t="shared" si="35"/>
        <v/>
      </c>
      <c r="D463" t="str">
        <f t="shared" si="36"/>
        <v/>
      </c>
      <c r="F463" t="str">
        <f>IF(Sync!$AH463="","",IF(LEFT(UPPER(TRIM(Sync!$AH463)),2)="SL",UPPER(TRIM(Sync!$AH463)),""))</f>
        <v/>
      </c>
      <c r="G463" t="str">
        <f>IF($F463="","",IF(Sync!$AE463="","",IF(ISNUMBER(Sync!$AE463),IF(AND(Sync!$AE463&gt;=10000101,Sync!$AE463&lt;=99991231),INT(Sync!$AE463/10000),""),IFERROR(VALUE(TRIM(LEFT(Sync!$AE463,FIND("/",Sync!$AE463)-1))),""))))</f>
        <v/>
      </c>
      <c r="H463" t="str">
        <f>IF(OR($F463="",$G463=""),"",IF(ISNUMBER(Sync!$AE463),INT(MOD(Sync!$AE463,10000)/100),IFERROR(VALUE(TRIM(LEFT(MID(Sync!$AE463,FIND("/",Sync!$AE463)+1,20),FIND("/",MID(Sync!$AE463,FIND("/",Sync!$AE463)+1,20))-1))),"")))</f>
        <v/>
      </c>
      <c r="I463" t="str">
        <f>IF(OR($F463="",$G463=""),"",IF(ISNUMBER(Sync!$AE463),MOD(Sync!$AE463,100),IFERROR(VALUE(TRIM(MID(MID(Sync!$AE463,FIND("/",Sync!$AE463)+1,20),FIND("/",MID(Sync!$AE463,FIND("/",Sync!$AE463)+1,20))+1,20))),"")))</f>
        <v/>
      </c>
      <c r="J463" t="str">
        <f t="shared" si="37"/>
        <v/>
      </c>
      <c r="K463" t="str">
        <f>IF(OR($F463="",$J463="",$J463="نامعتبر"),"",LEFT($J463,4)&amp;MID($J463,6,2)&amp;RIGHT($J463,2)&amp;$N463&amp;"|"&amp;"2"&amp;RIGHT("00000"&amp;458,5))</f>
        <v/>
      </c>
      <c r="L463" t="str">
        <f t="shared" si="38"/>
        <v/>
      </c>
      <c r="M463" t="str">
        <f t="shared" si="39"/>
        <v/>
      </c>
      <c r="N463" t="str">
        <f>IF($F463="","",IF(Sync!$AF463="","0000",IF(AND(ISNUMBER(Sync!$AF463),Sync!$AF463&gt;=0,Sync!$AF463&lt;1),RIGHT("00"&amp;HOUR(Sync!$AF463),2)&amp;RIGHT("00"&amp;MINUTE(Sync!$AF463),2),IFERROR(RIGHT("00"&amp;VALUE(LEFT(Sync!$AF463,FIND(":",Sync!$AF463)-1)),2)&amp;RIGHT("00"&amp;VALUE(MID(Sync!$AF463,FIND(":",Sync!$AF463)+1,2)),2),"0000"))))</f>
        <v/>
      </c>
    </row>
    <row r="464" spans="1:14" x14ac:dyDescent="0.2">
      <c r="A464" t="str">
        <f>IF(OR(Calc!$E468="",Calc!$E468="نامعتبر",Calc!$G468=""),"",Calc!$G468)</f>
        <v/>
      </c>
      <c r="B464" t="str">
        <f>IF($A464="","",LEFT(Calc!$E468,4)&amp;MID(Calc!$E468,6,2)&amp;RIGHT(Calc!$E468,2)&amp;Calc!$Q468&amp;"|"&amp;"1"&amp;RIGHT("00000"&amp;459,5))</f>
        <v/>
      </c>
      <c r="C464" t="str">
        <f t="shared" si="35"/>
        <v/>
      </c>
      <c r="D464" t="str">
        <f t="shared" si="36"/>
        <v/>
      </c>
      <c r="F464" t="str">
        <f>IF(Sync!$AH464="","",IF(LEFT(UPPER(TRIM(Sync!$AH464)),2)="SL",UPPER(TRIM(Sync!$AH464)),""))</f>
        <v/>
      </c>
      <c r="G464" t="str">
        <f>IF($F464="","",IF(Sync!$AE464="","",IF(ISNUMBER(Sync!$AE464),IF(AND(Sync!$AE464&gt;=10000101,Sync!$AE464&lt;=99991231),INT(Sync!$AE464/10000),""),IFERROR(VALUE(TRIM(LEFT(Sync!$AE464,FIND("/",Sync!$AE464)-1))),""))))</f>
        <v/>
      </c>
      <c r="H464" t="str">
        <f>IF(OR($F464="",$G464=""),"",IF(ISNUMBER(Sync!$AE464),INT(MOD(Sync!$AE464,10000)/100),IFERROR(VALUE(TRIM(LEFT(MID(Sync!$AE464,FIND("/",Sync!$AE464)+1,20),FIND("/",MID(Sync!$AE464,FIND("/",Sync!$AE464)+1,20))-1))),"")))</f>
        <v/>
      </c>
      <c r="I464" t="str">
        <f>IF(OR($F464="",$G464=""),"",IF(ISNUMBER(Sync!$AE464),MOD(Sync!$AE464,100),IFERROR(VALUE(TRIM(MID(MID(Sync!$AE464,FIND("/",Sync!$AE464)+1,20),FIND("/",MID(Sync!$AE464,FIND("/",Sync!$AE464)+1,20))+1,20))),"")))</f>
        <v/>
      </c>
      <c r="J464" t="str">
        <f t="shared" si="37"/>
        <v/>
      </c>
      <c r="K464" t="str">
        <f>IF(OR($F464="",$J464="",$J464="نامعتبر"),"",LEFT($J464,4)&amp;MID($J464,6,2)&amp;RIGHT($J464,2)&amp;$N464&amp;"|"&amp;"2"&amp;RIGHT("00000"&amp;459,5))</f>
        <v/>
      </c>
      <c r="L464" t="str">
        <f t="shared" si="38"/>
        <v/>
      </c>
      <c r="M464" t="str">
        <f t="shared" si="39"/>
        <v/>
      </c>
      <c r="N464" t="str">
        <f>IF($F464="","",IF(Sync!$AF464="","0000",IF(AND(ISNUMBER(Sync!$AF464),Sync!$AF464&gt;=0,Sync!$AF464&lt;1),RIGHT("00"&amp;HOUR(Sync!$AF464),2)&amp;RIGHT("00"&amp;MINUTE(Sync!$AF464),2),IFERROR(RIGHT("00"&amp;VALUE(LEFT(Sync!$AF464,FIND(":",Sync!$AF464)-1)),2)&amp;RIGHT("00"&amp;VALUE(MID(Sync!$AF464,FIND(":",Sync!$AF464)+1,2)),2),"0000"))))</f>
        <v/>
      </c>
    </row>
    <row r="465" spans="1:14" x14ac:dyDescent="0.2">
      <c r="A465" t="str">
        <f>IF(OR(Calc!$E469="",Calc!$E469="نامعتبر",Calc!$G469=""),"",Calc!$G469)</f>
        <v/>
      </c>
      <c r="B465" t="str">
        <f>IF($A465="","",LEFT(Calc!$E469,4)&amp;MID(Calc!$E469,6,2)&amp;RIGHT(Calc!$E469,2)&amp;Calc!$Q469&amp;"|"&amp;"1"&amp;RIGHT("00000"&amp;460,5))</f>
        <v/>
      </c>
      <c r="C465" t="str">
        <f t="shared" si="35"/>
        <v/>
      </c>
      <c r="D465" t="str">
        <f t="shared" si="36"/>
        <v/>
      </c>
      <c r="F465" t="str">
        <f>IF(Sync!$AH465="","",IF(LEFT(UPPER(TRIM(Sync!$AH465)),2)="SL",UPPER(TRIM(Sync!$AH465)),""))</f>
        <v/>
      </c>
      <c r="G465" t="str">
        <f>IF($F465="","",IF(Sync!$AE465="","",IF(ISNUMBER(Sync!$AE465),IF(AND(Sync!$AE465&gt;=10000101,Sync!$AE465&lt;=99991231),INT(Sync!$AE465/10000),""),IFERROR(VALUE(TRIM(LEFT(Sync!$AE465,FIND("/",Sync!$AE465)-1))),""))))</f>
        <v/>
      </c>
      <c r="H465" t="str">
        <f>IF(OR($F465="",$G465=""),"",IF(ISNUMBER(Sync!$AE465),INT(MOD(Sync!$AE465,10000)/100),IFERROR(VALUE(TRIM(LEFT(MID(Sync!$AE465,FIND("/",Sync!$AE465)+1,20),FIND("/",MID(Sync!$AE465,FIND("/",Sync!$AE465)+1,20))-1))),"")))</f>
        <v/>
      </c>
      <c r="I465" t="str">
        <f>IF(OR($F465="",$G465=""),"",IF(ISNUMBER(Sync!$AE465),MOD(Sync!$AE465,100),IFERROR(VALUE(TRIM(MID(MID(Sync!$AE465,FIND("/",Sync!$AE465)+1,20),FIND("/",MID(Sync!$AE465,FIND("/",Sync!$AE465)+1,20))+1,20))),"")))</f>
        <v/>
      </c>
      <c r="J465" t="str">
        <f t="shared" si="37"/>
        <v/>
      </c>
      <c r="K465" t="str">
        <f>IF(OR($F465="",$J465="",$J465="نامعتبر"),"",LEFT($J465,4)&amp;MID($J465,6,2)&amp;RIGHT($J465,2)&amp;$N465&amp;"|"&amp;"2"&amp;RIGHT("00000"&amp;460,5))</f>
        <v/>
      </c>
      <c r="L465" t="str">
        <f t="shared" si="38"/>
        <v/>
      </c>
      <c r="M465" t="str">
        <f t="shared" si="39"/>
        <v/>
      </c>
      <c r="N465" t="str">
        <f>IF($F465="","",IF(Sync!$AF465="","0000",IF(AND(ISNUMBER(Sync!$AF465),Sync!$AF465&gt;=0,Sync!$AF465&lt;1),RIGHT("00"&amp;HOUR(Sync!$AF465),2)&amp;RIGHT("00"&amp;MINUTE(Sync!$AF465),2),IFERROR(RIGHT("00"&amp;VALUE(LEFT(Sync!$AF465,FIND(":",Sync!$AF465)-1)),2)&amp;RIGHT("00"&amp;VALUE(MID(Sync!$AF465,FIND(":",Sync!$AF465)+1,2)),2),"0000"))))</f>
        <v/>
      </c>
    </row>
    <row r="466" spans="1:14" x14ac:dyDescent="0.2">
      <c r="A466" t="str">
        <f>IF(OR(Calc!$E470="",Calc!$E470="نامعتبر",Calc!$G470=""),"",Calc!$G470)</f>
        <v/>
      </c>
      <c r="B466" t="str">
        <f>IF($A466="","",LEFT(Calc!$E470,4)&amp;MID(Calc!$E470,6,2)&amp;RIGHT(Calc!$E470,2)&amp;Calc!$Q470&amp;"|"&amp;"1"&amp;RIGHT("00000"&amp;461,5))</f>
        <v/>
      </c>
      <c r="C466" t="str">
        <f t="shared" si="35"/>
        <v/>
      </c>
      <c r="D466" t="str">
        <f t="shared" si="36"/>
        <v/>
      </c>
      <c r="F466" t="str">
        <f>IF(Sync!$AH466="","",IF(LEFT(UPPER(TRIM(Sync!$AH466)),2)="SL",UPPER(TRIM(Sync!$AH466)),""))</f>
        <v/>
      </c>
      <c r="G466" t="str">
        <f>IF($F466="","",IF(Sync!$AE466="","",IF(ISNUMBER(Sync!$AE466),IF(AND(Sync!$AE466&gt;=10000101,Sync!$AE466&lt;=99991231),INT(Sync!$AE466/10000),""),IFERROR(VALUE(TRIM(LEFT(Sync!$AE466,FIND("/",Sync!$AE466)-1))),""))))</f>
        <v/>
      </c>
      <c r="H466" t="str">
        <f>IF(OR($F466="",$G466=""),"",IF(ISNUMBER(Sync!$AE466),INT(MOD(Sync!$AE466,10000)/100),IFERROR(VALUE(TRIM(LEFT(MID(Sync!$AE466,FIND("/",Sync!$AE466)+1,20),FIND("/",MID(Sync!$AE466,FIND("/",Sync!$AE466)+1,20))-1))),"")))</f>
        <v/>
      </c>
      <c r="I466" t="str">
        <f>IF(OR($F466="",$G466=""),"",IF(ISNUMBER(Sync!$AE466),MOD(Sync!$AE466,100),IFERROR(VALUE(TRIM(MID(MID(Sync!$AE466,FIND("/",Sync!$AE466)+1,20),FIND("/",MID(Sync!$AE466,FIND("/",Sync!$AE466)+1,20))+1,20))),"")))</f>
        <v/>
      </c>
      <c r="J466" t="str">
        <f t="shared" si="37"/>
        <v/>
      </c>
      <c r="K466" t="str">
        <f>IF(OR($F466="",$J466="",$J466="نامعتبر"),"",LEFT($J466,4)&amp;MID($J466,6,2)&amp;RIGHT($J466,2)&amp;$N466&amp;"|"&amp;"2"&amp;RIGHT("00000"&amp;461,5))</f>
        <v/>
      </c>
      <c r="L466" t="str">
        <f t="shared" si="38"/>
        <v/>
      </c>
      <c r="M466" t="str">
        <f t="shared" si="39"/>
        <v/>
      </c>
      <c r="N466" t="str">
        <f>IF($F466="","",IF(Sync!$AF466="","0000",IF(AND(ISNUMBER(Sync!$AF466),Sync!$AF466&gt;=0,Sync!$AF466&lt;1),RIGHT("00"&amp;HOUR(Sync!$AF466),2)&amp;RIGHT("00"&amp;MINUTE(Sync!$AF466),2),IFERROR(RIGHT("00"&amp;VALUE(LEFT(Sync!$AF466,FIND(":",Sync!$AF466)-1)),2)&amp;RIGHT("00"&amp;VALUE(MID(Sync!$AF466,FIND(":",Sync!$AF466)+1,2)),2),"0000"))))</f>
        <v/>
      </c>
    </row>
    <row r="467" spans="1:14" x14ac:dyDescent="0.2">
      <c r="A467" t="str">
        <f>IF(OR(Calc!$E471="",Calc!$E471="نامعتبر",Calc!$G471=""),"",Calc!$G471)</f>
        <v/>
      </c>
      <c r="B467" t="str">
        <f>IF($A467="","",LEFT(Calc!$E471,4)&amp;MID(Calc!$E471,6,2)&amp;RIGHT(Calc!$E471,2)&amp;Calc!$Q471&amp;"|"&amp;"1"&amp;RIGHT("00000"&amp;462,5))</f>
        <v/>
      </c>
      <c r="C467" t="str">
        <f t="shared" si="35"/>
        <v/>
      </c>
      <c r="D467" t="str">
        <f t="shared" si="36"/>
        <v/>
      </c>
      <c r="F467" t="str">
        <f>IF(Sync!$AH467="","",IF(LEFT(UPPER(TRIM(Sync!$AH467)),2)="SL",UPPER(TRIM(Sync!$AH467)),""))</f>
        <v/>
      </c>
      <c r="G467" t="str">
        <f>IF($F467="","",IF(Sync!$AE467="","",IF(ISNUMBER(Sync!$AE467),IF(AND(Sync!$AE467&gt;=10000101,Sync!$AE467&lt;=99991231),INT(Sync!$AE467/10000),""),IFERROR(VALUE(TRIM(LEFT(Sync!$AE467,FIND("/",Sync!$AE467)-1))),""))))</f>
        <v/>
      </c>
      <c r="H467" t="str">
        <f>IF(OR($F467="",$G467=""),"",IF(ISNUMBER(Sync!$AE467),INT(MOD(Sync!$AE467,10000)/100),IFERROR(VALUE(TRIM(LEFT(MID(Sync!$AE467,FIND("/",Sync!$AE467)+1,20),FIND("/",MID(Sync!$AE467,FIND("/",Sync!$AE467)+1,20))-1))),"")))</f>
        <v/>
      </c>
      <c r="I467" t="str">
        <f>IF(OR($F467="",$G467=""),"",IF(ISNUMBER(Sync!$AE467),MOD(Sync!$AE467,100),IFERROR(VALUE(TRIM(MID(MID(Sync!$AE467,FIND("/",Sync!$AE467)+1,20),FIND("/",MID(Sync!$AE467,FIND("/",Sync!$AE467)+1,20))+1,20))),"")))</f>
        <v/>
      </c>
      <c r="J467" t="str">
        <f t="shared" si="37"/>
        <v/>
      </c>
      <c r="K467" t="str">
        <f>IF(OR($F467="",$J467="",$J467="نامعتبر"),"",LEFT($J467,4)&amp;MID($J467,6,2)&amp;RIGHT($J467,2)&amp;$N467&amp;"|"&amp;"2"&amp;RIGHT("00000"&amp;462,5))</f>
        <v/>
      </c>
      <c r="L467" t="str">
        <f t="shared" si="38"/>
        <v/>
      </c>
      <c r="M467" t="str">
        <f t="shared" si="39"/>
        <v/>
      </c>
      <c r="N467" t="str">
        <f>IF($F467="","",IF(Sync!$AF467="","0000",IF(AND(ISNUMBER(Sync!$AF467),Sync!$AF467&gt;=0,Sync!$AF467&lt;1),RIGHT("00"&amp;HOUR(Sync!$AF467),2)&amp;RIGHT("00"&amp;MINUTE(Sync!$AF467),2),IFERROR(RIGHT("00"&amp;VALUE(LEFT(Sync!$AF467,FIND(":",Sync!$AF467)-1)),2)&amp;RIGHT("00"&amp;VALUE(MID(Sync!$AF467,FIND(":",Sync!$AF467)+1,2)),2),"0000"))))</f>
        <v/>
      </c>
    </row>
    <row r="468" spans="1:14" x14ac:dyDescent="0.2">
      <c r="A468" t="str">
        <f>IF(OR(Calc!$E472="",Calc!$E472="نامعتبر",Calc!$G472=""),"",Calc!$G472)</f>
        <v/>
      </c>
      <c r="B468" t="str">
        <f>IF($A468="","",LEFT(Calc!$E472,4)&amp;MID(Calc!$E472,6,2)&amp;RIGHT(Calc!$E472,2)&amp;Calc!$Q472&amp;"|"&amp;"1"&amp;RIGHT("00000"&amp;463,5))</f>
        <v/>
      </c>
      <c r="C468" t="str">
        <f t="shared" si="35"/>
        <v/>
      </c>
      <c r="D468" t="str">
        <f t="shared" si="36"/>
        <v/>
      </c>
      <c r="F468" t="str">
        <f>IF(Sync!$AH468="","",IF(LEFT(UPPER(TRIM(Sync!$AH468)),2)="SL",UPPER(TRIM(Sync!$AH468)),""))</f>
        <v/>
      </c>
      <c r="G468" t="str">
        <f>IF($F468="","",IF(Sync!$AE468="","",IF(ISNUMBER(Sync!$AE468),IF(AND(Sync!$AE468&gt;=10000101,Sync!$AE468&lt;=99991231),INT(Sync!$AE468/10000),""),IFERROR(VALUE(TRIM(LEFT(Sync!$AE468,FIND("/",Sync!$AE468)-1))),""))))</f>
        <v/>
      </c>
      <c r="H468" t="str">
        <f>IF(OR($F468="",$G468=""),"",IF(ISNUMBER(Sync!$AE468),INT(MOD(Sync!$AE468,10000)/100),IFERROR(VALUE(TRIM(LEFT(MID(Sync!$AE468,FIND("/",Sync!$AE468)+1,20),FIND("/",MID(Sync!$AE468,FIND("/",Sync!$AE468)+1,20))-1))),"")))</f>
        <v/>
      </c>
      <c r="I468" t="str">
        <f>IF(OR($F468="",$G468=""),"",IF(ISNUMBER(Sync!$AE468),MOD(Sync!$AE468,100),IFERROR(VALUE(TRIM(MID(MID(Sync!$AE468,FIND("/",Sync!$AE468)+1,20),FIND("/",MID(Sync!$AE468,FIND("/",Sync!$AE468)+1,20))+1,20))),"")))</f>
        <v/>
      </c>
      <c r="J468" t="str">
        <f t="shared" si="37"/>
        <v/>
      </c>
      <c r="K468" t="str">
        <f>IF(OR($F468="",$J468="",$J468="نامعتبر"),"",LEFT($J468,4)&amp;MID($J468,6,2)&amp;RIGHT($J468,2)&amp;$N468&amp;"|"&amp;"2"&amp;RIGHT("00000"&amp;463,5))</f>
        <v/>
      </c>
      <c r="L468" t="str">
        <f t="shared" si="38"/>
        <v/>
      </c>
      <c r="M468" t="str">
        <f t="shared" si="39"/>
        <v/>
      </c>
      <c r="N468" t="str">
        <f>IF($F468="","",IF(Sync!$AF468="","0000",IF(AND(ISNUMBER(Sync!$AF468),Sync!$AF468&gt;=0,Sync!$AF468&lt;1),RIGHT("00"&amp;HOUR(Sync!$AF468),2)&amp;RIGHT("00"&amp;MINUTE(Sync!$AF468),2),IFERROR(RIGHT("00"&amp;VALUE(LEFT(Sync!$AF468,FIND(":",Sync!$AF468)-1)),2)&amp;RIGHT("00"&amp;VALUE(MID(Sync!$AF468,FIND(":",Sync!$AF468)+1,2)),2),"0000"))))</f>
        <v/>
      </c>
    </row>
    <row r="469" spans="1:14" x14ac:dyDescent="0.2">
      <c r="A469" t="str">
        <f>IF(OR(Calc!$E473="",Calc!$E473="نامعتبر",Calc!$G473=""),"",Calc!$G473)</f>
        <v/>
      </c>
      <c r="B469" t="str">
        <f>IF($A469="","",LEFT(Calc!$E473,4)&amp;MID(Calc!$E473,6,2)&amp;RIGHT(Calc!$E473,2)&amp;Calc!$Q473&amp;"|"&amp;"1"&amp;RIGHT("00000"&amp;464,5))</f>
        <v/>
      </c>
      <c r="C469" t="str">
        <f t="shared" si="35"/>
        <v/>
      </c>
      <c r="D469" t="str">
        <f t="shared" si="36"/>
        <v/>
      </c>
      <c r="F469" t="str">
        <f>IF(Sync!$AH469="","",IF(LEFT(UPPER(TRIM(Sync!$AH469)),2)="SL",UPPER(TRIM(Sync!$AH469)),""))</f>
        <v/>
      </c>
      <c r="G469" t="str">
        <f>IF($F469="","",IF(Sync!$AE469="","",IF(ISNUMBER(Sync!$AE469),IF(AND(Sync!$AE469&gt;=10000101,Sync!$AE469&lt;=99991231),INT(Sync!$AE469/10000),""),IFERROR(VALUE(TRIM(LEFT(Sync!$AE469,FIND("/",Sync!$AE469)-1))),""))))</f>
        <v/>
      </c>
      <c r="H469" t="str">
        <f>IF(OR($F469="",$G469=""),"",IF(ISNUMBER(Sync!$AE469),INT(MOD(Sync!$AE469,10000)/100),IFERROR(VALUE(TRIM(LEFT(MID(Sync!$AE469,FIND("/",Sync!$AE469)+1,20),FIND("/",MID(Sync!$AE469,FIND("/",Sync!$AE469)+1,20))-1))),"")))</f>
        <v/>
      </c>
      <c r="I469" t="str">
        <f>IF(OR($F469="",$G469=""),"",IF(ISNUMBER(Sync!$AE469),MOD(Sync!$AE469,100),IFERROR(VALUE(TRIM(MID(MID(Sync!$AE469,FIND("/",Sync!$AE469)+1,20),FIND("/",MID(Sync!$AE469,FIND("/",Sync!$AE469)+1,20))+1,20))),"")))</f>
        <v/>
      </c>
      <c r="J469" t="str">
        <f t="shared" si="37"/>
        <v/>
      </c>
      <c r="K469" t="str">
        <f>IF(OR($F469="",$J469="",$J469="نامعتبر"),"",LEFT($J469,4)&amp;MID($J469,6,2)&amp;RIGHT($J469,2)&amp;$N469&amp;"|"&amp;"2"&amp;RIGHT("00000"&amp;464,5))</f>
        <v/>
      </c>
      <c r="L469" t="str">
        <f t="shared" si="38"/>
        <v/>
      </c>
      <c r="M469" t="str">
        <f t="shared" si="39"/>
        <v/>
      </c>
      <c r="N469" t="str">
        <f>IF($F469="","",IF(Sync!$AF469="","0000",IF(AND(ISNUMBER(Sync!$AF469),Sync!$AF469&gt;=0,Sync!$AF469&lt;1),RIGHT("00"&amp;HOUR(Sync!$AF469),2)&amp;RIGHT("00"&amp;MINUTE(Sync!$AF469),2),IFERROR(RIGHT("00"&amp;VALUE(LEFT(Sync!$AF469,FIND(":",Sync!$AF469)-1)),2)&amp;RIGHT("00"&amp;VALUE(MID(Sync!$AF469,FIND(":",Sync!$AF469)+1,2)),2),"0000"))))</f>
        <v/>
      </c>
    </row>
    <row r="470" spans="1:14" x14ac:dyDescent="0.2">
      <c r="A470" t="str">
        <f>IF(OR(Calc!$E474="",Calc!$E474="نامعتبر",Calc!$G474=""),"",Calc!$G474)</f>
        <v/>
      </c>
      <c r="B470" t="str">
        <f>IF($A470="","",LEFT(Calc!$E474,4)&amp;MID(Calc!$E474,6,2)&amp;RIGHT(Calc!$E474,2)&amp;Calc!$Q474&amp;"|"&amp;"1"&amp;RIGHT("00000"&amp;465,5))</f>
        <v/>
      </c>
      <c r="C470" t="str">
        <f t="shared" si="35"/>
        <v/>
      </c>
      <c r="D470" t="str">
        <f t="shared" si="36"/>
        <v/>
      </c>
      <c r="F470" t="str">
        <f>IF(Sync!$AH470="","",IF(LEFT(UPPER(TRIM(Sync!$AH470)),2)="SL",UPPER(TRIM(Sync!$AH470)),""))</f>
        <v/>
      </c>
      <c r="G470" t="str">
        <f>IF($F470="","",IF(Sync!$AE470="","",IF(ISNUMBER(Sync!$AE470),IF(AND(Sync!$AE470&gt;=10000101,Sync!$AE470&lt;=99991231),INT(Sync!$AE470/10000),""),IFERROR(VALUE(TRIM(LEFT(Sync!$AE470,FIND("/",Sync!$AE470)-1))),""))))</f>
        <v/>
      </c>
      <c r="H470" t="str">
        <f>IF(OR($F470="",$G470=""),"",IF(ISNUMBER(Sync!$AE470),INT(MOD(Sync!$AE470,10000)/100),IFERROR(VALUE(TRIM(LEFT(MID(Sync!$AE470,FIND("/",Sync!$AE470)+1,20),FIND("/",MID(Sync!$AE470,FIND("/",Sync!$AE470)+1,20))-1))),"")))</f>
        <v/>
      </c>
      <c r="I470" t="str">
        <f>IF(OR($F470="",$G470=""),"",IF(ISNUMBER(Sync!$AE470),MOD(Sync!$AE470,100),IFERROR(VALUE(TRIM(MID(MID(Sync!$AE470,FIND("/",Sync!$AE470)+1,20),FIND("/",MID(Sync!$AE470,FIND("/",Sync!$AE470)+1,20))+1,20))),"")))</f>
        <v/>
      </c>
      <c r="J470" t="str">
        <f t="shared" si="37"/>
        <v/>
      </c>
      <c r="K470" t="str">
        <f>IF(OR($F470="",$J470="",$J470="نامعتبر"),"",LEFT($J470,4)&amp;MID($J470,6,2)&amp;RIGHT($J470,2)&amp;$N470&amp;"|"&amp;"2"&amp;RIGHT("00000"&amp;465,5))</f>
        <v/>
      </c>
      <c r="L470" t="str">
        <f t="shared" si="38"/>
        <v/>
      </c>
      <c r="M470" t="str">
        <f t="shared" si="39"/>
        <v/>
      </c>
      <c r="N470" t="str">
        <f>IF($F470="","",IF(Sync!$AF470="","0000",IF(AND(ISNUMBER(Sync!$AF470),Sync!$AF470&gt;=0,Sync!$AF470&lt;1),RIGHT("00"&amp;HOUR(Sync!$AF470),2)&amp;RIGHT("00"&amp;MINUTE(Sync!$AF470),2),IFERROR(RIGHT("00"&amp;VALUE(LEFT(Sync!$AF470,FIND(":",Sync!$AF470)-1)),2)&amp;RIGHT("00"&amp;VALUE(MID(Sync!$AF470,FIND(":",Sync!$AF470)+1,2)),2),"0000"))))</f>
        <v/>
      </c>
    </row>
    <row r="471" spans="1:14" x14ac:dyDescent="0.2">
      <c r="A471" t="str">
        <f>IF(OR(Calc!$E475="",Calc!$E475="نامعتبر",Calc!$G475=""),"",Calc!$G475)</f>
        <v/>
      </c>
      <c r="B471" t="str">
        <f>IF($A471="","",LEFT(Calc!$E475,4)&amp;MID(Calc!$E475,6,2)&amp;RIGHT(Calc!$E475,2)&amp;Calc!$Q475&amp;"|"&amp;"1"&amp;RIGHT("00000"&amp;466,5))</f>
        <v/>
      </c>
      <c r="C471" t="str">
        <f t="shared" si="35"/>
        <v/>
      </c>
      <c r="D471" t="str">
        <f t="shared" si="36"/>
        <v/>
      </c>
      <c r="F471" t="str">
        <f>IF(Sync!$AH471="","",IF(LEFT(UPPER(TRIM(Sync!$AH471)),2)="SL",UPPER(TRIM(Sync!$AH471)),""))</f>
        <v/>
      </c>
      <c r="G471" t="str">
        <f>IF($F471="","",IF(Sync!$AE471="","",IF(ISNUMBER(Sync!$AE471),IF(AND(Sync!$AE471&gt;=10000101,Sync!$AE471&lt;=99991231),INT(Sync!$AE471/10000),""),IFERROR(VALUE(TRIM(LEFT(Sync!$AE471,FIND("/",Sync!$AE471)-1))),""))))</f>
        <v/>
      </c>
      <c r="H471" t="str">
        <f>IF(OR($F471="",$G471=""),"",IF(ISNUMBER(Sync!$AE471),INT(MOD(Sync!$AE471,10000)/100),IFERROR(VALUE(TRIM(LEFT(MID(Sync!$AE471,FIND("/",Sync!$AE471)+1,20),FIND("/",MID(Sync!$AE471,FIND("/",Sync!$AE471)+1,20))-1))),"")))</f>
        <v/>
      </c>
      <c r="I471" t="str">
        <f>IF(OR($F471="",$G471=""),"",IF(ISNUMBER(Sync!$AE471),MOD(Sync!$AE471,100),IFERROR(VALUE(TRIM(MID(MID(Sync!$AE471,FIND("/",Sync!$AE471)+1,20),FIND("/",MID(Sync!$AE471,FIND("/",Sync!$AE471)+1,20))+1,20))),"")))</f>
        <v/>
      </c>
      <c r="J471" t="str">
        <f t="shared" si="37"/>
        <v/>
      </c>
      <c r="K471" t="str">
        <f>IF(OR($F471="",$J471="",$J471="نامعتبر"),"",LEFT($J471,4)&amp;MID($J471,6,2)&amp;RIGHT($J471,2)&amp;$N471&amp;"|"&amp;"2"&amp;RIGHT("00000"&amp;466,5))</f>
        <v/>
      </c>
      <c r="L471" t="str">
        <f t="shared" si="38"/>
        <v/>
      </c>
      <c r="M471" t="str">
        <f t="shared" si="39"/>
        <v/>
      </c>
      <c r="N471" t="str">
        <f>IF($F471="","",IF(Sync!$AF471="","0000",IF(AND(ISNUMBER(Sync!$AF471),Sync!$AF471&gt;=0,Sync!$AF471&lt;1),RIGHT("00"&amp;HOUR(Sync!$AF471),2)&amp;RIGHT("00"&amp;MINUTE(Sync!$AF471),2),IFERROR(RIGHT("00"&amp;VALUE(LEFT(Sync!$AF471,FIND(":",Sync!$AF471)-1)),2)&amp;RIGHT("00"&amp;VALUE(MID(Sync!$AF471,FIND(":",Sync!$AF471)+1,2)),2),"0000"))))</f>
        <v/>
      </c>
    </row>
    <row r="472" spans="1:14" x14ac:dyDescent="0.2">
      <c r="A472" t="str">
        <f>IF(OR(Calc!$E476="",Calc!$E476="نامعتبر",Calc!$G476=""),"",Calc!$G476)</f>
        <v/>
      </c>
      <c r="B472" t="str">
        <f>IF($A472="","",LEFT(Calc!$E476,4)&amp;MID(Calc!$E476,6,2)&amp;RIGHT(Calc!$E476,2)&amp;Calc!$Q476&amp;"|"&amp;"1"&amp;RIGHT("00000"&amp;467,5))</f>
        <v/>
      </c>
      <c r="C472" t="str">
        <f t="shared" si="35"/>
        <v/>
      </c>
      <c r="D472" t="str">
        <f t="shared" si="36"/>
        <v/>
      </c>
      <c r="F472" t="str">
        <f>IF(Sync!$AH472="","",IF(LEFT(UPPER(TRIM(Sync!$AH472)),2)="SL",UPPER(TRIM(Sync!$AH472)),""))</f>
        <v/>
      </c>
      <c r="G472" t="str">
        <f>IF($F472="","",IF(Sync!$AE472="","",IF(ISNUMBER(Sync!$AE472),IF(AND(Sync!$AE472&gt;=10000101,Sync!$AE472&lt;=99991231),INT(Sync!$AE472/10000),""),IFERROR(VALUE(TRIM(LEFT(Sync!$AE472,FIND("/",Sync!$AE472)-1))),""))))</f>
        <v/>
      </c>
      <c r="H472" t="str">
        <f>IF(OR($F472="",$G472=""),"",IF(ISNUMBER(Sync!$AE472),INT(MOD(Sync!$AE472,10000)/100),IFERROR(VALUE(TRIM(LEFT(MID(Sync!$AE472,FIND("/",Sync!$AE472)+1,20),FIND("/",MID(Sync!$AE472,FIND("/",Sync!$AE472)+1,20))-1))),"")))</f>
        <v/>
      </c>
      <c r="I472" t="str">
        <f>IF(OR($F472="",$G472=""),"",IF(ISNUMBER(Sync!$AE472),MOD(Sync!$AE472,100),IFERROR(VALUE(TRIM(MID(MID(Sync!$AE472,FIND("/",Sync!$AE472)+1,20),FIND("/",MID(Sync!$AE472,FIND("/",Sync!$AE472)+1,20))+1,20))),"")))</f>
        <v/>
      </c>
      <c r="J472" t="str">
        <f t="shared" si="37"/>
        <v/>
      </c>
      <c r="K472" t="str">
        <f>IF(OR($F472="",$J472="",$J472="نامعتبر"),"",LEFT($J472,4)&amp;MID($J472,6,2)&amp;RIGHT($J472,2)&amp;$N472&amp;"|"&amp;"2"&amp;RIGHT("00000"&amp;467,5))</f>
        <v/>
      </c>
      <c r="L472" t="str">
        <f t="shared" si="38"/>
        <v/>
      </c>
      <c r="M472" t="str">
        <f t="shared" si="39"/>
        <v/>
      </c>
      <c r="N472" t="str">
        <f>IF($F472="","",IF(Sync!$AF472="","0000",IF(AND(ISNUMBER(Sync!$AF472),Sync!$AF472&gt;=0,Sync!$AF472&lt;1),RIGHT("00"&amp;HOUR(Sync!$AF472),2)&amp;RIGHT("00"&amp;MINUTE(Sync!$AF472),2),IFERROR(RIGHT("00"&amp;VALUE(LEFT(Sync!$AF472,FIND(":",Sync!$AF472)-1)),2)&amp;RIGHT("00"&amp;VALUE(MID(Sync!$AF472,FIND(":",Sync!$AF472)+1,2)),2),"0000"))))</f>
        <v/>
      </c>
    </row>
    <row r="473" spans="1:14" x14ac:dyDescent="0.2">
      <c r="A473" t="str">
        <f>IF(OR(Calc!$E477="",Calc!$E477="نامعتبر",Calc!$G477=""),"",Calc!$G477)</f>
        <v/>
      </c>
      <c r="B473" t="str">
        <f>IF($A473="","",LEFT(Calc!$E477,4)&amp;MID(Calc!$E477,6,2)&amp;RIGHT(Calc!$E477,2)&amp;Calc!$Q477&amp;"|"&amp;"1"&amp;RIGHT("00000"&amp;468,5))</f>
        <v/>
      </c>
      <c r="C473" t="str">
        <f t="shared" si="35"/>
        <v/>
      </c>
      <c r="D473" t="str">
        <f t="shared" si="36"/>
        <v/>
      </c>
      <c r="F473" t="str">
        <f>IF(Sync!$AH473="","",IF(LEFT(UPPER(TRIM(Sync!$AH473)),2)="SL",UPPER(TRIM(Sync!$AH473)),""))</f>
        <v/>
      </c>
      <c r="G473" t="str">
        <f>IF($F473="","",IF(Sync!$AE473="","",IF(ISNUMBER(Sync!$AE473),IF(AND(Sync!$AE473&gt;=10000101,Sync!$AE473&lt;=99991231),INT(Sync!$AE473/10000),""),IFERROR(VALUE(TRIM(LEFT(Sync!$AE473,FIND("/",Sync!$AE473)-1))),""))))</f>
        <v/>
      </c>
      <c r="H473" t="str">
        <f>IF(OR($F473="",$G473=""),"",IF(ISNUMBER(Sync!$AE473),INT(MOD(Sync!$AE473,10000)/100),IFERROR(VALUE(TRIM(LEFT(MID(Sync!$AE473,FIND("/",Sync!$AE473)+1,20),FIND("/",MID(Sync!$AE473,FIND("/",Sync!$AE473)+1,20))-1))),"")))</f>
        <v/>
      </c>
      <c r="I473" t="str">
        <f>IF(OR($F473="",$G473=""),"",IF(ISNUMBER(Sync!$AE473),MOD(Sync!$AE473,100),IFERROR(VALUE(TRIM(MID(MID(Sync!$AE473,FIND("/",Sync!$AE473)+1,20),FIND("/",MID(Sync!$AE473,FIND("/",Sync!$AE473)+1,20))+1,20))),"")))</f>
        <v/>
      </c>
      <c r="J473" t="str">
        <f t="shared" si="37"/>
        <v/>
      </c>
      <c r="K473" t="str">
        <f>IF(OR($F473="",$J473="",$J473="نامعتبر"),"",LEFT($J473,4)&amp;MID($J473,6,2)&amp;RIGHT($J473,2)&amp;$N473&amp;"|"&amp;"2"&amp;RIGHT("00000"&amp;468,5))</f>
        <v/>
      </c>
      <c r="L473" t="str">
        <f t="shared" si="38"/>
        <v/>
      </c>
      <c r="M473" t="str">
        <f t="shared" si="39"/>
        <v/>
      </c>
      <c r="N473" t="str">
        <f>IF($F473="","",IF(Sync!$AF473="","0000",IF(AND(ISNUMBER(Sync!$AF473),Sync!$AF473&gt;=0,Sync!$AF473&lt;1),RIGHT("00"&amp;HOUR(Sync!$AF473),2)&amp;RIGHT("00"&amp;MINUTE(Sync!$AF473),2),IFERROR(RIGHT("00"&amp;VALUE(LEFT(Sync!$AF473,FIND(":",Sync!$AF473)-1)),2)&amp;RIGHT("00"&amp;VALUE(MID(Sync!$AF473,FIND(":",Sync!$AF473)+1,2)),2),"0000"))))</f>
        <v/>
      </c>
    </row>
    <row r="474" spans="1:14" x14ac:dyDescent="0.2">
      <c r="A474" t="str">
        <f>IF(OR(Calc!$E478="",Calc!$E478="نامعتبر",Calc!$G478=""),"",Calc!$G478)</f>
        <v/>
      </c>
      <c r="B474" t="str">
        <f>IF($A474="","",LEFT(Calc!$E478,4)&amp;MID(Calc!$E478,6,2)&amp;RIGHT(Calc!$E478,2)&amp;Calc!$Q478&amp;"|"&amp;"1"&amp;RIGHT("00000"&amp;469,5))</f>
        <v/>
      </c>
      <c r="C474" t="str">
        <f t="shared" si="35"/>
        <v/>
      </c>
      <c r="D474" t="str">
        <f t="shared" si="36"/>
        <v/>
      </c>
      <c r="F474" t="str">
        <f>IF(Sync!$AH474="","",IF(LEFT(UPPER(TRIM(Sync!$AH474)),2)="SL",UPPER(TRIM(Sync!$AH474)),""))</f>
        <v/>
      </c>
      <c r="G474" t="str">
        <f>IF($F474="","",IF(Sync!$AE474="","",IF(ISNUMBER(Sync!$AE474),IF(AND(Sync!$AE474&gt;=10000101,Sync!$AE474&lt;=99991231),INT(Sync!$AE474/10000),""),IFERROR(VALUE(TRIM(LEFT(Sync!$AE474,FIND("/",Sync!$AE474)-1))),""))))</f>
        <v/>
      </c>
      <c r="H474" t="str">
        <f>IF(OR($F474="",$G474=""),"",IF(ISNUMBER(Sync!$AE474),INT(MOD(Sync!$AE474,10000)/100),IFERROR(VALUE(TRIM(LEFT(MID(Sync!$AE474,FIND("/",Sync!$AE474)+1,20),FIND("/",MID(Sync!$AE474,FIND("/",Sync!$AE474)+1,20))-1))),"")))</f>
        <v/>
      </c>
      <c r="I474" t="str">
        <f>IF(OR($F474="",$G474=""),"",IF(ISNUMBER(Sync!$AE474),MOD(Sync!$AE474,100),IFERROR(VALUE(TRIM(MID(MID(Sync!$AE474,FIND("/",Sync!$AE474)+1,20),FIND("/",MID(Sync!$AE474,FIND("/",Sync!$AE474)+1,20))+1,20))),"")))</f>
        <v/>
      </c>
      <c r="J474" t="str">
        <f t="shared" si="37"/>
        <v/>
      </c>
      <c r="K474" t="str">
        <f>IF(OR($F474="",$J474="",$J474="نامعتبر"),"",LEFT($J474,4)&amp;MID($J474,6,2)&amp;RIGHT($J474,2)&amp;$N474&amp;"|"&amp;"2"&amp;RIGHT("00000"&amp;469,5))</f>
        <v/>
      </c>
      <c r="L474" t="str">
        <f t="shared" si="38"/>
        <v/>
      </c>
      <c r="M474" t="str">
        <f t="shared" si="39"/>
        <v/>
      </c>
      <c r="N474" t="str">
        <f>IF($F474="","",IF(Sync!$AF474="","0000",IF(AND(ISNUMBER(Sync!$AF474),Sync!$AF474&gt;=0,Sync!$AF474&lt;1),RIGHT("00"&amp;HOUR(Sync!$AF474),2)&amp;RIGHT("00"&amp;MINUTE(Sync!$AF474),2),IFERROR(RIGHT("00"&amp;VALUE(LEFT(Sync!$AF474,FIND(":",Sync!$AF474)-1)),2)&amp;RIGHT("00"&amp;VALUE(MID(Sync!$AF474,FIND(":",Sync!$AF474)+1,2)),2),"0000"))))</f>
        <v/>
      </c>
    </row>
    <row r="475" spans="1:14" x14ac:dyDescent="0.2">
      <c r="A475" t="str">
        <f>IF(OR(Calc!$E479="",Calc!$E479="نامعتبر",Calc!$G479=""),"",Calc!$G479)</f>
        <v/>
      </c>
      <c r="B475" t="str">
        <f>IF($A475="","",LEFT(Calc!$E479,4)&amp;MID(Calc!$E479,6,2)&amp;RIGHT(Calc!$E479,2)&amp;Calc!$Q479&amp;"|"&amp;"1"&amp;RIGHT("00000"&amp;470,5))</f>
        <v/>
      </c>
      <c r="C475" t="str">
        <f t="shared" si="35"/>
        <v/>
      </c>
      <c r="D475" t="str">
        <f t="shared" si="36"/>
        <v/>
      </c>
      <c r="F475" t="str">
        <f>IF(Sync!$AH475="","",IF(LEFT(UPPER(TRIM(Sync!$AH475)),2)="SL",UPPER(TRIM(Sync!$AH475)),""))</f>
        <v/>
      </c>
      <c r="G475" t="str">
        <f>IF($F475="","",IF(Sync!$AE475="","",IF(ISNUMBER(Sync!$AE475),IF(AND(Sync!$AE475&gt;=10000101,Sync!$AE475&lt;=99991231),INT(Sync!$AE475/10000),""),IFERROR(VALUE(TRIM(LEFT(Sync!$AE475,FIND("/",Sync!$AE475)-1))),""))))</f>
        <v/>
      </c>
      <c r="H475" t="str">
        <f>IF(OR($F475="",$G475=""),"",IF(ISNUMBER(Sync!$AE475),INT(MOD(Sync!$AE475,10000)/100),IFERROR(VALUE(TRIM(LEFT(MID(Sync!$AE475,FIND("/",Sync!$AE475)+1,20),FIND("/",MID(Sync!$AE475,FIND("/",Sync!$AE475)+1,20))-1))),"")))</f>
        <v/>
      </c>
      <c r="I475" t="str">
        <f>IF(OR($F475="",$G475=""),"",IF(ISNUMBER(Sync!$AE475),MOD(Sync!$AE475,100),IFERROR(VALUE(TRIM(MID(MID(Sync!$AE475,FIND("/",Sync!$AE475)+1,20),FIND("/",MID(Sync!$AE475,FIND("/",Sync!$AE475)+1,20))+1,20))),"")))</f>
        <v/>
      </c>
      <c r="J475" t="str">
        <f t="shared" si="37"/>
        <v/>
      </c>
      <c r="K475" t="str">
        <f>IF(OR($F475="",$J475="",$J475="نامعتبر"),"",LEFT($J475,4)&amp;MID($J475,6,2)&amp;RIGHT($J475,2)&amp;$N475&amp;"|"&amp;"2"&amp;RIGHT("00000"&amp;470,5))</f>
        <v/>
      </c>
      <c r="L475" t="str">
        <f t="shared" si="38"/>
        <v/>
      </c>
      <c r="M475" t="str">
        <f t="shared" si="39"/>
        <v/>
      </c>
      <c r="N475" t="str">
        <f>IF($F475="","",IF(Sync!$AF475="","0000",IF(AND(ISNUMBER(Sync!$AF475),Sync!$AF475&gt;=0,Sync!$AF475&lt;1),RIGHT("00"&amp;HOUR(Sync!$AF475),2)&amp;RIGHT("00"&amp;MINUTE(Sync!$AF475),2),IFERROR(RIGHT("00"&amp;VALUE(LEFT(Sync!$AF475,FIND(":",Sync!$AF475)-1)),2)&amp;RIGHT("00"&amp;VALUE(MID(Sync!$AF475,FIND(":",Sync!$AF475)+1,2)),2),"0000"))))</f>
        <v/>
      </c>
    </row>
    <row r="476" spans="1:14" x14ac:dyDescent="0.2">
      <c r="A476" t="str">
        <f>IF(OR(Calc!$E480="",Calc!$E480="نامعتبر",Calc!$G480=""),"",Calc!$G480)</f>
        <v/>
      </c>
      <c r="B476" t="str">
        <f>IF($A476="","",LEFT(Calc!$E480,4)&amp;MID(Calc!$E480,6,2)&amp;RIGHT(Calc!$E480,2)&amp;Calc!$Q480&amp;"|"&amp;"1"&amp;RIGHT("00000"&amp;471,5))</f>
        <v/>
      </c>
      <c r="C476" t="str">
        <f t="shared" si="35"/>
        <v/>
      </c>
      <c r="D476" t="str">
        <f t="shared" si="36"/>
        <v/>
      </c>
      <c r="F476" t="str">
        <f>IF(Sync!$AH476="","",IF(LEFT(UPPER(TRIM(Sync!$AH476)),2)="SL",UPPER(TRIM(Sync!$AH476)),""))</f>
        <v/>
      </c>
      <c r="G476" t="str">
        <f>IF($F476="","",IF(Sync!$AE476="","",IF(ISNUMBER(Sync!$AE476),IF(AND(Sync!$AE476&gt;=10000101,Sync!$AE476&lt;=99991231),INT(Sync!$AE476/10000),""),IFERROR(VALUE(TRIM(LEFT(Sync!$AE476,FIND("/",Sync!$AE476)-1))),""))))</f>
        <v/>
      </c>
      <c r="H476" t="str">
        <f>IF(OR($F476="",$G476=""),"",IF(ISNUMBER(Sync!$AE476),INT(MOD(Sync!$AE476,10000)/100),IFERROR(VALUE(TRIM(LEFT(MID(Sync!$AE476,FIND("/",Sync!$AE476)+1,20),FIND("/",MID(Sync!$AE476,FIND("/",Sync!$AE476)+1,20))-1))),"")))</f>
        <v/>
      </c>
      <c r="I476" t="str">
        <f>IF(OR($F476="",$G476=""),"",IF(ISNUMBER(Sync!$AE476),MOD(Sync!$AE476,100),IFERROR(VALUE(TRIM(MID(MID(Sync!$AE476,FIND("/",Sync!$AE476)+1,20),FIND("/",MID(Sync!$AE476,FIND("/",Sync!$AE476)+1,20))+1,20))),"")))</f>
        <v/>
      </c>
      <c r="J476" t="str">
        <f t="shared" si="37"/>
        <v/>
      </c>
      <c r="K476" t="str">
        <f>IF(OR($F476="",$J476="",$J476="نامعتبر"),"",LEFT($J476,4)&amp;MID($J476,6,2)&amp;RIGHT($J476,2)&amp;$N476&amp;"|"&amp;"2"&amp;RIGHT("00000"&amp;471,5))</f>
        <v/>
      </c>
      <c r="L476" t="str">
        <f t="shared" si="38"/>
        <v/>
      </c>
      <c r="M476" t="str">
        <f t="shared" si="39"/>
        <v/>
      </c>
      <c r="N476" t="str">
        <f>IF($F476="","",IF(Sync!$AF476="","0000",IF(AND(ISNUMBER(Sync!$AF476),Sync!$AF476&gt;=0,Sync!$AF476&lt;1),RIGHT("00"&amp;HOUR(Sync!$AF476),2)&amp;RIGHT("00"&amp;MINUTE(Sync!$AF476),2),IFERROR(RIGHT("00"&amp;VALUE(LEFT(Sync!$AF476,FIND(":",Sync!$AF476)-1)),2)&amp;RIGHT("00"&amp;VALUE(MID(Sync!$AF476,FIND(":",Sync!$AF476)+1,2)),2),"0000"))))</f>
        <v/>
      </c>
    </row>
    <row r="477" spans="1:14" x14ac:dyDescent="0.2">
      <c r="A477" t="str">
        <f>IF(OR(Calc!$E481="",Calc!$E481="نامعتبر",Calc!$G481=""),"",Calc!$G481)</f>
        <v/>
      </c>
      <c r="B477" t="str">
        <f>IF($A477="","",LEFT(Calc!$E481,4)&amp;MID(Calc!$E481,6,2)&amp;RIGHT(Calc!$E481,2)&amp;Calc!$Q481&amp;"|"&amp;"1"&amp;RIGHT("00000"&amp;472,5))</f>
        <v/>
      </c>
      <c r="C477" t="str">
        <f t="shared" si="35"/>
        <v/>
      </c>
      <c r="D477" t="str">
        <f t="shared" si="36"/>
        <v/>
      </c>
      <c r="F477" t="str">
        <f>IF(Sync!$AH477="","",IF(LEFT(UPPER(TRIM(Sync!$AH477)),2)="SL",UPPER(TRIM(Sync!$AH477)),""))</f>
        <v/>
      </c>
      <c r="G477" t="str">
        <f>IF($F477="","",IF(Sync!$AE477="","",IF(ISNUMBER(Sync!$AE477),IF(AND(Sync!$AE477&gt;=10000101,Sync!$AE477&lt;=99991231),INT(Sync!$AE477/10000),""),IFERROR(VALUE(TRIM(LEFT(Sync!$AE477,FIND("/",Sync!$AE477)-1))),""))))</f>
        <v/>
      </c>
      <c r="H477" t="str">
        <f>IF(OR($F477="",$G477=""),"",IF(ISNUMBER(Sync!$AE477),INT(MOD(Sync!$AE477,10000)/100),IFERROR(VALUE(TRIM(LEFT(MID(Sync!$AE477,FIND("/",Sync!$AE477)+1,20),FIND("/",MID(Sync!$AE477,FIND("/",Sync!$AE477)+1,20))-1))),"")))</f>
        <v/>
      </c>
      <c r="I477" t="str">
        <f>IF(OR($F477="",$G477=""),"",IF(ISNUMBER(Sync!$AE477),MOD(Sync!$AE477,100),IFERROR(VALUE(TRIM(MID(MID(Sync!$AE477,FIND("/",Sync!$AE477)+1,20),FIND("/",MID(Sync!$AE477,FIND("/",Sync!$AE477)+1,20))+1,20))),"")))</f>
        <v/>
      </c>
      <c r="J477" t="str">
        <f t="shared" si="37"/>
        <v/>
      </c>
      <c r="K477" t="str">
        <f>IF(OR($F477="",$J477="",$J477="نامعتبر"),"",LEFT($J477,4)&amp;MID($J477,6,2)&amp;RIGHT($J477,2)&amp;$N477&amp;"|"&amp;"2"&amp;RIGHT("00000"&amp;472,5))</f>
        <v/>
      </c>
      <c r="L477" t="str">
        <f t="shared" si="38"/>
        <v/>
      </c>
      <c r="M477" t="str">
        <f t="shared" si="39"/>
        <v/>
      </c>
      <c r="N477" t="str">
        <f>IF($F477="","",IF(Sync!$AF477="","0000",IF(AND(ISNUMBER(Sync!$AF477),Sync!$AF477&gt;=0,Sync!$AF477&lt;1),RIGHT("00"&amp;HOUR(Sync!$AF477),2)&amp;RIGHT("00"&amp;MINUTE(Sync!$AF477),2),IFERROR(RIGHT("00"&amp;VALUE(LEFT(Sync!$AF477,FIND(":",Sync!$AF477)-1)),2)&amp;RIGHT("00"&amp;VALUE(MID(Sync!$AF477,FIND(":",Sync!$AF477)+1,2)),2),"0000"))))</f>
        <v/>
      </c>
    </row>
    <row r="478" spans="1:14" x14ac:dyDescent="0.2">
      <c r="A478" t="str">
        <f>IF(OR(Calc!$E482="",Calc!$E482="نامعتبر",Calc!$G482=""),"",Calc!$G482)</f>
        <v/>
      </c>
      <c r="B478" t="str">
        <f>IF($A478="","",LEFT(Calc!$E482,4)&amp;MID(Calc!$E482,6,2)&amp;RIGHT(Calc!$E482,2)&amp;Calc!$Q482&amp;"|"&amp;"1"&amp;RIGHT("00000"&amp;473,5))</f>
        <v/>
      </c>
      <c r="C478" t="str">
        <f t="shared" si="35"/>
        <v/>
      </c>
      <c r="D478" t="str">
        <f t="shared" si="36"/>
        <v/>
      </c>
      <c r="F478" t="str">
        <f>IF(Sync!$AH478="","",IF(LEFT(UPPER(TRIM(Sync!$AH478)),2)="SL",UPPER(TRIM(Sync!$AH478)),""))</f>
        <v/>
      </c>
      <c r="G478" t="str">
        <f>IF($F478="","",IF(Sync!$AE478="","",IF(ISNUMBER(Sync!$AE478),IF(AND(Sync!$AE478&gt;=10000101,Sync!$AE478&lt;=99991231),INT(Sync!$AE478/10000),""),IFERROR(VALUE(TRIM(LEFT(Sync!$AE478,FIND("/",Sync!$AE478)-1))),""))))</f>
        <v/>
      </c>
      <c r="H478" t="str">
        <f>IF(OR($F478="",$G478=""),"",IF(ISNUMBER(Sync!$AE478),INT(MOD(Sync!$AE478,10000)/100),IFERROR(VALUE(TRIM(LEFT(MID(Sync!$AE478,FIND("/",Sync!$AE478)+1,20),FIND("/",MID(Sync!$AE478,FIND("/",Sync!$AE478)+1,20))-1))),"")))</f>
        <v/>
      </c>
      <c r="I478" t="str">
        <f>IF(OR($F478="",$G478=""),"",IF(ISNUMBER(Sync!$AE478),MOD(Sync!$AE478,100),IFERROR(VALUE(TRIM(MID(MID(Sync!$AE478,FIND("/",Sync!$AE478)+1,20),FIND("/",MID(Sync!$AE478,FIND("/",Sync!$AE478)+1,20))+1,20))),"")))</f>
        <v/>
      </c>
      <c r="J478" t="str">
        <f t="shared" si="37"/>
        <v/>
      </c>
      <c r="K478" t="str">
        <f>IF(OR($F478="",$J478="",$J478="نامعتبر"),"",LEFT($J478,4)&amp;MID($J478,6,2)&amp;RIGHT($J478,2)&amp;$N478&amp;"|"&amp;"2"&amp;RIGHT("00000"&amp;473,5))</f>
        <v/>
      </c>
      <c r="L478" t="str">
        <f t="shared" si="38"/>
        <v/>
      </c>
      <c r="M478" t="str">
        <f t="shared" si="39"/>
        <v/>
      </c>
      <c r="N478" t="str">
        <f>IF($F478="","",IF(Sync!$AF478="","0000",IF(AND(ISNUMBER(Sync!$AF478),Sync!$AF478&gt;=0,Sync!$AF478&lt;1),RIGHT("00"&amp;HOUR(Sync!$AF478),2)&amp;RIGHT("00"&amp;MINUTE(Sync!$AF478),2),IFERROR(RIGHT("00"&amp;VALUE(LEFT(Sync!$AF478,FIND(":",Sync!$AF478)-1)),2)&amp;RIGHT("00"&amp;VALUE(MID(Sync!$AF478,FIND(":",Sync!$AF478)+1,2)),2),"0000"))))</f>
        <v/>
      </c>
    </row>
    <row r="479" spans="1:14" x14ac:dyDescent="0.2">
      <c r="A479" t="str">
        <f>IF(OR(Calc!$E483="",Calc!$E483="نامعتبر",Calc!$G483=""),"",Calc!$G483)</f>
        <v/>
      </c>
      <c r="B479" t="str">
        <f>IF($A479="","",LEFT(Calc!$E483,4)&amp;MID(Calc!$E483,6,2)&amp;RIGHT(Calc!$E483,2)&amp;Calc!$Q483&amp;"|"&amp;"1"&amp;RIGHT("00000"&amp;474,5))</f>
        <v/>
      </c>
      <c r="C479" t="str">
        <f t="shared" si="35"/>
        <v/>
      </c>
      <c r="D479" t="str">
        <f t="shared" si="36"/>
        <v/>
      </c>
      <c r="F479" t="str">
        <f>IF(Sync!$AH479="","",IF(LEFT(UPPER(TRIM(Sync!$AH479)),2)="SL",UPPER(TRIM(Sync!$AH479)),""))</f>
        <v/>
      </c>
      <c r="G479" t="str">
        <f>IF($F479="","",IF(Sync!$AE479="","",IF(ISNUMBER(Sync!$AE479),IF(AND(Sync!$AE479&gt;=10000101,Sync!$AE479&lt;=99991231),INT(Sync!$AE479/10000),""),IFERROR(VALUE(TRIM(LEFT(Sync!$AE479,FIND("/",Sync!$AE479)-1))),""))))</f>
        <v/>
      </c>
      <c r="H479" t="str">
        <f>IF(OR($F479="",$G479=""),"",IF(ISNUMBER(Sync!$AE479),INT(MOD(Sync!$AE479,10000)/100),IFERROR(VALUE(TRIM(LEFT(MID(Sync!$AE479,FIND("/",Sync!$AE479)+1,20),FIND("/",MID(Sync!$AE479,FIND("/",Sync!$AE479)+1,20))-1))),"")))</f>
        <v/>
      </c>
      <c r="I479" t="str">
        <f>IF(OR($F479="",$G479=""),"",IF(ISNUMBER(Sync!$AE479),MOD(Sync!$AE479,100),IFERROR(VALUE(TRIM(MID(MID(Sync!$AE479,FIND("/",Sync!$AE479)+1,20),FIND("/",MID(Sync!$AE479,FIND("/",Sync!$AE479)+1,20))+1,20))),"")))</f>
        <v/>
      </c>
      <c r="J479" t="str">
        <f t="shared" si="37"/>
        <v/>
      </c>
      <c r="K479" t="str">
        <f>IF(OR($F479="",$J479="",$J479="نامعتبر"),"",LEFT($J479,4)&amp;MID($J479,6,2)&amp;RIGHT($J479,2)&amp;$N479&amp;"|"&amp;"2"&amp;RIGHT("00000"&amp;474,5))</f>
        <v/>
      </c>
      <c r="L479" t="str">
        <f t="shared" si="38"/>
        <v/>
      </c>
      <c r="M479" t="str">
        <f t="shared" si="39"/>
        <v/>
      </c>
      <c r="N479" t="str">
        <f>IF($F479="","",IF(Sync!$AF479="","0000",IF(AND(ISNUMBER(Sync!$AF479),Sync!$AF479&gt;=0,Sync!$AF479&lt;1),RIGHT("00"&amp;HOUR(Sync!$AF479),2)&amp;RIGHT("00"&amp;MINUTE(Sync!$AF479),2),IFERROR(RIGHT("00"&amp;VALUE(LEFT(Sync!$AF479,FIND(":",Sync!$AF479)-1)),2)&amp;RIGHT("00"&amp;VALUE(MID(Sync!$AF479,FIND(":",Sync!$AF479)+1,2)),2),"0000"))))</f>
        <v/>
      </c>
    </row>
    <row r="480" spans="1:14" x14ac:dyDescent="0.2">
      <c r="A480" t="str">
        <f>IF(OR(Calc!$E484="",Calc!$E484="نامعتبر",Calc!$G484=""),"",Calc!$G484)</f>
        <v/>
      </c>
      <c r="B480" t="str">
        <f>IF($A480="","",LEFT(Calc!$E484,4)&amp;MID(Calc!$E484,6,2)&amp;RIGHT(Calc!$E484,2)&amp;Calc!$Q484&amp;"|"&amp;"1"&amp;RIGHT("00000"&amp;475,5))</f>
        <v/>
      </c>
      <c r="C480" t="str">
        <f t="shared" si="35"/>
        <v/>
      </c>
      <c r="D480" t="str">
        <f t="shared" si="36"/>
        <v/>
      </c>
      <c r="F480" t="str">
        <f>IF(Sync!$AH480="","",IF(LEFT(UPPER(TRIM(Sync!$AH480)),2)="SL",UPPER(TRIM(Sync!$AH480)),""))</f>
        <v/>
      </c>
      <c r="G480" t="str">
        <f>IF($F480="","",IF(Sync!$AE480="","",IF(ISNUMBER(Sync!$AE480),IF(AND(Sync!$AE480&gt;=10000101,Sync!$AE480&lt;=99991231),INT(Sync!$AE480/10000),""),IFERROR(VALUE(TRIM(LEFT(Sync!$AE480,FIND("/",Sync!$AE480)-1))),""))))</f>
        <v/>
      </c>
      <c r="H480" t="str">
        <f>IF(OR($F480="",$G480=""),"",IF(ISNUMBER(Sync!$AE480),INT(MOD(Sync!$AE480,10000)/100),IFERROR(VALUE(TRIM(LEFT(MID(Sync!$AE480,FIND("/",Sync!$AE480)+1,20),FIND("/",MID(Sync!$AE480,FIND("/",Sync!$AE480)+1,20))-1))),"")))</f>
        <v/>
      </c>
      <c r="I480" t="str">
        <f>IF(OR($F480="",$G480=""),"",IF(ISNUMBER(Sync!$AE480),MOD(Sync!$AE480,100),IFERROR(VALUE(TRIM(MID(MID(Sync!$AE480,FIND("/",Sync!$AE480)+1,20),FIND("/",MID(Sync!$AE480,FIND("/",Sync!$AE480)+1,20))+1,20))),"")))</f>
        <v/>
      </c>
      <c r="J480" t="str">
        <f t="shared" si="37"/>
        <v/>
      </c>
      <c r="K480" t="str">
        <f>IF(OR($F480="",$J480="",$J480="نامعتبر"),"",LEFT($J480,4)&amp;MID($J480,6,2)&amp;RIGHT($J480,2)&amp;$N480&amp;"|"&amp;"2"&amp;RIGHT("00000"&amp;475,5))</f>
        <v/>
      </c>
      <c r="L480" t="str">
        <f t="shared" si="38"/>
        <v/>
      </c>
      <c r="M480" t="str">
        <f t="shared" si="39"/>
        <v/>
      </c>
      <c r="N480" t="str">
        <f>IF($F480="","",IF(Sync!$AF480="","0000",IF(AND(ISNUMBER(Sync!$AF480),Sync!$AF480&gt;=0,Sync!$AF480&lt;1),RIGHT("00"&amp;HOUR(Sync!$AF480),2)&amp;RIGHT("00"&amp;MINUTE(Sync!$AF480),2),IFERROR(RIGHT("00"&amp;VALUE(LEFT(Sync!$AF480,FIND(":",Sync!$AF480)-1)),2)&amp;RIGHT("00"&amp;VALUE(MID(Sync!$AF480,FIND(":",Sync!$AF480)+1,2)),2),"0000"))))</f>
        <v/>
      </c>
    </row>
    <row r="481" spans="1:14" x14ac:dyDescent="0.2">
      <c r="A481" t="str">
        <f>IF(OR(Calc!$E485="",Calc!$E485="نامعتبر",Calc!$G485=""),"",Calc!$G485)</f>
        <v/>
      </c>
      <c r="B481" t="str">
        <f>IF($A481="","",LEFT(Calc!$E485,4)&amp;MID(Calc!$E485,6,2)&amp;RIGHT(Calc!$E485,2)&amp;Calc!$Q485&amp;"|"&amp;"1"&amp;RIGHT("00000"&amp;476,5))</f>
        <v/>
      </c>
      <c r="C481" t="str">
        <f t="shared" si="35"/>
        <v/>
      </c>
      <c r="D481" t="str">
        <f t="shared" si="36"/>
        <v/>
      </c>
      <c r="F481" t="str">
        <f>IF(Sync!$AH481="","",IF(LEFT(UPPER(TRIM(Sync!$AH481)),2)="SL",UPPER(TRIM(Sync!$AH481)),""))</f>
        <v/>
      </c>
      <c r="G481" t="str">
        <f>IF($F481="","",IF(Sync!$AE481="","",IF(ISNUMBER(Sync!$AE481),IF(AND(Sync!$AE481&gt;=10000101,Sync!$AE481&lt;=99991231),INT(Sync!$AE481/10000),""),IFERROR(VALUE(TRIM(LEFT(Sync!$AE481,FIND("/",Sync!$AE481)-1))),""))))</f>
        <v/>
      </c>
      <c r="H481" t="str">
        <f>IF(OR($F481="",$G481=""),"",IF(ISNUMBER(Sync!$AE481),INT(MOD(Sync!$AE481,10000)/100),IFERROR(VALUE(TRIM(LEFT(MID(Sync!$AE481,FIND("/",Sync!$AE481)+1,20),FIND("/",MID(Sync!$AE481,FIND("/",Sync!$AE481)+1,20))-1))),"")))</f>
        <v/>
      </c>
      <c r="I481" t="str">
        <f>IF(OR($F481="",$G481=""),"",IF(ISNUMBER(Sync!$AE481),MOD(Sync!$AE481,100),IFERROR(VALUE(TRIM(MID(MID(Sync!$AE481,FIND("/",Sync!$AE481)+1,20),FIND("/",MID(Sync!$AE481,FIND("/",Sync!$AE481)+1,20))+1,20))),"")))</f>
        <v/>
      </c>
      <c r="J481" t="str">
        <f t="shared" si="37"/>
        <v/>
      </c>
      <c r="K481" t="str">
        <f>IF(OR($F481="",$J481="",$J481="نامعتبر"),"",LEFT($J481,4)&amp;MID($J481,6,2)&amp;RIGHT($J481,2)&amp;$N481&amp;"|"&amp;"2"&amp;RIGHT("00000"&amp;476,5))</f>
        <v/>
      </c>
      <c r="L481" t="str">
        <f t="shared" si="38"/>
        <v/>
      </c>
      <c r="M481" t="str">
        <f t="shared" si="39"/>
        <v/>
      </c>
      <c r="N481" t="str">
        <f>IF($F481="","",IF(Sync!$AF481="","0000",IF(AND(ISNUMBER(Sync!$AF481),Sync!$AF481&gt;=0,Sync!$AF481&lt;1),RIGHT("00"&amp;HOUR(Sync!$AF481),2)&amp;RIGHT("00"&amp;MINUTE(Sync!$AF481),2),IFERROR(RIGHT("00"&amp;VALUE(LEFT(Sync!$AF481,FIND(":",Sync!$AF481)-1)),2)&amp;RIGHT("00"&amp;VALUE(MID(Sync!$AF481,FIND(":",Sync!$AF481)+1,2)),2),"0000"))))</f>
        <v/>
      </c>
    </row>
    <row r="482" spans="1:14" x14ac:dyDescent="0.2">
      <c r="A482" t="str">
        <f>IF(OR(Calc!$E486="",Calc!$E486="نامعتبر",Calc!$G486=""),"",Calc!$G486)</f>
        <v/>
      </c>
      <c r="B482" t="str">
        <f>IF($A482="","",LEFT(Calc!$E486,4)&amp;MID(Calc!$E486,6,2)&amp;RIGHT(Calc!$E486,2)&amp;Calc!$Q486&amp;"|"&amp;"1"&amp;RIGHT("00000"&amp;477,5))</f>
        <v/>
      </c>
      <c r="C482" t="str">
        <f t="shared" si="35"/>
        <v/>
      </c>
      <c r="D482" t="str">
        <f t="shared" si="36"/>
        <v/>
      </c>
      <c r="F482" t="str">
        <f>IF(Sync!$AH482="","",IF(LEFT(UPPER(TRIM(Sync!$AH482)),2)="SL",UPPER(TRIM(Sync!$AH482)),""))</f>
        <v/>
      </c>
      <c r="G482" t="str">
        <f>IF($F482="","",IF(Sync!$AE482="","",IF(ISNUMBER(Sync!$AE482),IF(AND(Sync!$AE482&gt;=10000101,Sync!$AE482&lt;=99991231),INT(Sync!$AE482/10000),""),IFERROR(VALUE(TRIM(LEFT(Sync!$AE482,FIND("/",Sync!$AE482)-1))),""))))</f>
        <v/>
      </c>
      <c r="H482" t="str">
        <f>IF(OR($F482="",$G482=""),"",IF(ISNUMBER(Sync!$AE482),INT(MOD(Sync!$AE482,10000)/100),IFERROR(VALUE(TRIM(LEFT(MID(Sync!$AE482,FIND("/",Sync!$AE482)+1,20),FIND("/",MID(Sync!$AE482,FIND("/",Sync!$AE482)+1,20))-1))),"")))</f>
        <v/>
      </c>
      <c r="I482" t="str">
        <f>IF(OR($F482="",$G482=""),"",IF(ISNUMBER(Sync!$AE482),MOD(Sync!$AE482,100),IFERROR(VALUE(TRIM(MID(MID(Sync!$AE482,FIND("/",Sync!$AE482)+1,20),FIND("/",MID(Sync!$AE482,FIND("/",Sync!$AE482)+1,20))+1,20))),"")))</f>
        <v/>
      </c>
      <c r="J482" t="str">
        <f t="shared" si="37"/>
        <v/>
      </c>
      <c r="K482" t="str">
        <f>IF(OR($F482="",$J482="",$J482="نامعتبر"),"",LEFT($J482,4)&amp;MID($J482,6,2)&amp;RIGHT($J482,2)&amp;$N482&amp;"|"&amp;"2"&amp;RIGHT("00000"&amp;477,5))</f>
        <v/>
      </c>
      <c r="L482" t="str">
        <f t="shared" si="38"/>
        <v/>
      </c>
      <c r="M482" t="str">
        <f t="shared" si="39"/>
        <v/>
      </c>
      <c r="N482" t="str">
        <f>IF($F482="","",IF(Sync!$AF482="","0000",IF(AND(ISNUMBER(Sync!$AF482),Sync!$AF482&gt;=0,Sync!$AF482&lt;1),RIGHT("00"&amp;HOUR(Sync!$AF482),2)&amp;RIGHT("00"&amp;MINUTE(Sync!$AF482),2),IFERROR(RIGHT("00"&amp;VALUE(LEFT(Sync!$AF482,FIND(":",Sync!$AF482)-1)),2)&amp;RIGHT("00"&amp;VALUE(MID(Sync!$AF482,FIND(":",Sync!$AF482)+1,2)),2),"0000"))))</f>
        <v/>
      </c>
    </row>
    <row r="483" spans="1:14" x14ac:dyDescent="0.2">
      <c r="A483" t="str">
        <f>IF(OR(Calc!$E487="",Calc!$E487="نامعتبر",Calc!$G487=""),"",Calc!$G487)</f>
        <v/>
      </c>
      <c r="B483" t="str">
        <f>IF($A483="","",LEFT(Calc!$E487,4)&amp;MID(Calc!$E487,6,2)&amp;RIGHT(Calc!$E487,2)&amp;Calc!$Q487&amp;"|"&amp;"1"&amp;RIGHT("00000"&amp;478,5))</f>
        <v/>
      </c>
      <c r="C483" t="str">
        <f t="shared" si="35"/>
        <v/>
      </c>
      <c r="D483" t="str">
        <f t="shared" si="36"/>
        <v/>
      </c>
      <c r="F483" t="str">
        <f>IF(Sync!$AH483="","",IF(LEFT(UPPER(TRIM(Sync!$AH483)),2)="SL",UPPER(TRIM(Sync!$AH483)),""))</f>
        <v/>
      </c>
      <c r="G483" t="str">
        <f>IF($F483="","",IF(Sync!$AE483="","",IF(ISNUMBER(Sync!$AE483),IF(AND(Sync!$AE483&gt;=10000101,Sync!$AE483&lt;=99991231),INT(Sync!$AE483/10000),""),IFERROR(VALUE(TRIM(LEFT(Sync!$AE483,FIND("/",Sync!$AE483)-1))),""))))</f>
        <v/>
      </c>
      <c r="H483" t="str">
        <f>IF(OR($F483="",$G483=""),"",IF(ISNUMBER(Sync!$AE483),INT(MOD(Sync!$AE483,10000)/100),IFERROR(VALUE(TRIM(LEFT(MID(Sync!$AE483,FIND("/",Sync!$AE483)+1,20),FIND("/",MID(Sync!$AE483,FIND("/",Sync!$AE483)+1,20))-1))),"")))</f>
        <v/>
      </c>
      <c r="I483" t="str">
        <f>IF(OR($F483="",$G483=""),"",IF(ISNUMBER(Sync!$AE483),MOD(Sync!$AE483,100),IFERROR(VALUE(TRIM(MID(MID(Sync!$AE483,FIND("/",Sync!$AE483)+1,20),FIND("/",MID(Sync!$AE483,FIND("/",Sync!$AE483)+1,20))+1,20))),"")))</f>
        <v/>
      </c>
      <c r="J483" t="str">
        <f t="shared" si="37"/>
        <v/>
      </c>
      <c r="K483" t="str">
        <f>IF(OR($F483="",$J483="",$J483="نامعتبر"),"",LEFT($J483,4)&amp;MID($J483,6,2)&amp;RIGHT($J483,2)&amp;$N483&amp;"|"&amp;"2"&amp;RIGHT("00000"&amp;478,5))</f>
        <v/>
      </c>
      <c r="L483" t="str">
        <f t="shared" si="38"/>
        <v/>
      </c>
      <c r="M483" t="str">
        <f t="shared" si="39"/>
        <v/>
      </c>
      <c r="N483" t="str">
        <f>IF($F483="","",IF(Sync!$AF483="","0000",IF(AND(ISNUMBER(Sync!$AF483),Sync!$AF483&gt;=0,Sync!$AF483&lt;1),RIGHT("00"&amp;HOUR(Sync!$AF483),2)&amp;RIGHT("00"&amp;MINUTE(Sync!$AF483),2),IFERROR(RIGHT("00"&amp;VALUE(LEFT(Sync!$AF483,FIND(":",Sync!$AF483)-1)),2)&amp;RIGHT("00"&amp;VALUE(MID(Sync!$AF483,FIND(":",Sync!$AF483)+1,2)),2),"0000"))))</f>
        <v/>
      </c>
    </row>
    <row r="484" spans="1:14" x14ac:dyDescent="0.2">
      <c r="A484" t="str">
        <f>IF(OR(Calc!$E488="",Calc!$E488="نامعتبر",Calc!$G488=""),"",Calc!$G488)</f>
        <v/>
      </c>
      <c r="B484" t="str">
        <f>IF($A484="","",LEFT(Calc!$E488,4)&amp;MID(Calc!$E488,6,2)&amp;RIGHT(Calc!$E488,2)&amp;Calc!$Q488&amp;"|"&amp;"1"&amp;RIGHT("00000"&amp;479,5))</f>
        <v/>
      </c>
      <c r="C484" t="str">
        <f t="shared" si="35"/>
        <v/>
      </c>
      <c r="D484" t="str">
        <f t="shared" si="36"/>
        <v/>
      </c>
      <c r="F484" t="str">
        <f>IF(Sync!$AH484="","",IF(LEFT(UPPER(TRIM(Sync!$AH484)),2)="SL",UPPER(TRIM(Sync!$AH484)),""))</f>
        <v/>
      </c>
      <c r="G484" t="str">
        <f>IF($F484="","",IF(Sync!$AE484="","",IF(ISNUMBER(Sync!$AE484),IF(AND(Sync!$AE484&gt;=10000101,Sync!$AE484&lt;=99991231),INT(Sync!$AE484/10000),""),IFERROR(VALUE(TRIM(LEFT(Sync!$AE484,FIND("/",Sync!$AE484)-1))),""))))</f>
        <v/>
      </c>
      <c r="H484" t="str">
        <f>IF(OR($F484="",$G484=""),"",IF(ISNUMBER(Sync!$AE484),INT(MOD(Sync!$AE484,10000)/100),IFERROR(VALUE(TRIM(LEFT(MID(Sync!$AE484,FIND("/",Sync!$AE484)+1,20),FIND("/",MID(Sync!$AE484,FIND("/",Sync!$AE484)+1,20))-1))),"")))</f>
        <v/>
      </c>
      <c r="I484" t="str">
        <f>IF(OR($F484="",$G484=""),"",IF(ISNUMBER(Sync!$AE484),MOD(Sync!$AE484,100),IFERROR(VALUE(TRIM(MID(MID(Sync!$AE484,FIND("/",Sync!$AE484)+1,20),FIND("/",MID(Sync!$AE484,FIND("/",Sync!$AE484)+1,20))+1,20))),"")))</f>
        <v/>
      </c>
      <c r="J484" t="str">
        <f t="shared" si="37"/>
        <v/>
      </c>
      <c r="K484" t="str">
        <f>IF(OR($F484="",$J484="",$J484="نامعتبر"),"",LEFT($J484,4)&amp;MID($J484,6,2)&amp;RIGHT($J484,2)&amp;$N484&amp;"|"&amp;"2"&amp;RIGHT("00000"&amp;479,5))</f>
        <v/>
      </c>
      <c r="L484" t="str">
        <f t="shared" si="38"/>
        <v/>
      </c>
      <c r="M484" t="str">
        <f t="shared" si="39"/>
        <v/>
      </c>
      <c r="N484" t="str">
        <f>IF($F484="","",IF(Sync!$AF484="","0000",IF(AND(ISNUMBER(Sync!$AF484),Sync!$AF484&gt;=0,Sync!$AF484&lt;1),RIGHT("00"&amp;HOUR(Sync!$AF484),2)&amp;RIGHT("00"&amp;MINUTE(Sync!$AF484),2),IFERROR(RIGHT("00"&amp;VALUE(LEFT(Sync!$AF484,FIND(":",Sync!$AF484)-1)),2)&amp;RIGHT("00"&amp;VALUE(MID(Sync!$AF484,FIND(":",Sync!$AF484)+1,2)),2),"0000"))))</f>
        <v/>
      </c>
    </row>
    <row r="485" spans="1:14" x14ac:dyDescent="0.2">
      <c r="A485" t="str">
        <f>IF(OR(Calc!$E489="",Calc!$E489="نامعتبر",Calc!$G489=""),"",Calc!$G489)</f>
        <v/>
      </c>
      <c r="B485" t="str">
        <f>IF($A485="","",LEFT(Calc!$E489,4)&amp;MID(Calc!$E489,6,2)&amp;RIGHT(Calc!$E489,2)&amp;Calc!$Q489&amp;"|"&amp;"1"&amp;RIGHT("00000"&amp;480,5))</f>
        <v/>
      </c>
      <c r="C485" t="str">
        <f t="shared" si="35"/>
        <v/>
      </c>
      <c r="D485" t="str">
        <f t="shared" si="36"/>
        <v/>
      </c>
      <c r="F485" t="str">
        <f>IF(Sync!$AH485="","",IF(LEFT(UPPER(TRIM(Sync!$AH485)),2)="SL",UPPER(TRIM(Sync!$AH485)),""))</f>
        <v/>
      </c>
      <c r="G485" t="str">
        <f>IF($F485="","",IF(Sync!$AE485="","",IF(ISNUMBER(Sync!$AE485),IF(AND(Sync!$AE485&gt;=10000101,Sync!$AE485&lt;=99991231),INT(Sync!$AE485/10000),""),IFERROR(VALUE(TRIM(LEFT(Sync!$AE485,FIND("/",Sync!$AE485)-1))),""))))</f>
        <v/>
      </c>
      <c r="H485" t="str">
        <f>IF(OR($F485="",$G485=""),"",IF(ISNUMBER(Sync!$AE485),INT(MOD(Sync!$AE485,10000)/100),IFERROR(VALUE(TRIM(LEFT(MID(Sync!$AE485,FIND("/",Sync!$AE485)+1,20),FIND("/",MID(Sync!$AE485,FIND("/",Sync!$AE485)+1,20))-1))),"")))</f>
        <v/>
      </c>
      <c r="I485" t="str">
        <f>IF(OR($F485="",$G485=""),"",IF(ISNUMBER(Sync!$AE485),MOD(Sync!$AE485,100),IFERROR(VALUE(TRIM(MID(MID(Sync!$AE485,FIND("/",Sync!$AE485)+1,20),FIND("/",MID(Sync!$AE485,FIND("/",Sync!$AE485)+1,20))+1,20))),"")))</f>
        <v/>
      </c>
      <c r="J485" t="str">
        <f t="shared" si="37"/>
        <v/>
      </c>
      <c r="K485" t="str">
        <f>IF(OR($F485="",$J485="",$J485="نامعتبر"),"",LEFT($J485,4)&amp;MID($J485,6,2)&amp;RIGHT($J485,2)&amp;$N485&amp;"|"&amp;"2"&amp;RIGHT("00000"&amp;480,5))</f>
        <v/>
      </c>
      <c r="L485" t="str">
        <f t="shared" si="38"/>
        <v/>
      </c>
      <c r="M485" t="str">
        <f t="shared" si="39"/>
        <v/>
      </c>
      <c r="N485" t="str">
        <f>IF($F485="","",IF(Sync!$AF485="","0000",IF(AND(ISNUMBER(Sync!$AF485),Sync!$AF485&gt;=0,Sync!$AF485&lt;1),RIGHT("00"&amp;HOUR(Sync!$AF485),2)&amp;RIGHT("00"&amp;MINUTE(Sync!$AF485),2),IFERROR(RIGHT("00"&amp;VALUE(LEFT(Sync!$AF485,FIND(":",Sync!$AF485)-1)),2)&amp;RIGHT("00"&amp;VALUE(MID(Sync!$AF485,FIND(":",Sync!$AF485)+1,2)),2),"0000"))))</f>
        <v/>
      </c>
    </row>
    <row r="486" spans="1:14" x14ac:dyDescent="0.2">
      <c r="A486" t="str">
        <f>IF(OR(Calc!$E490="",Calc!$E490="نامعتبر",Calc!$G490=""),"",Calc!$G490)</f>
        <v/>
      </c>
      <c r="B486" t="str">
        <f>IF($A486="","",LEFT(Calc!$E490,4)&amp;MID(Calc!$E490,6,2)&amp;RIGHT(Calc!$E490,2)&amp;Calc!$Q490&amp;"|"&amp;"1"&amp;RIGHT("00000"&amp;481,5))</f>
        <v/>
      </c>
      <c r="C486" t="str">
        <f t="shared" si="35"/>
        <v/>
      </c>
      <c r="D486" t="str">
        <f t="shared" si="36"/>
        <v/>
      </c>
      <c r="F486" t="str">
        <f>IF(Sync!$AH486="","",IF(LEFT(UPPER(TRIM(Sync!$AH486)),2)="SL",UPPER(TRIM(Sync!$AH486)),""))</f>
        <v/>
      </c>
      <c r="G486" t="str">
        <f>IF($F486="","",IF(Sync!$AE486="","",IF(ISNUMBER(Sync!$AE486),IF(AND(Sync!$AE486&gt;=10000101,Sync!$AE486&lt;=99991231),INT(Sync!$AE486/10000),""),IFERROR(VALUE(TRIM(LEFT(Sync!$AE486,FIND("/",Sync!$AE486)-1))),""))))</f>
        <v/>
      </c>
      <c r="H486" t="str">
        <f>IF(OR($F486="",$G486=""),"",IF(ISNUMBER(Sync!$AE486),INT(MOD(Sync!$AE486,10000)/100),IFERROR(VALUE(TRIM(LEFT(MID(Sync!$AE486,FIND("/",Sync!$AE486)+1,20),FIND("/",MID(Sync!$AE486,FIND("/",Sync!$AE486)+1,20))-1))),"")))</f>
        <v/>
      </c>
      <c r="I486" t="str">
        <f>IF(OR($F486="",$G486=""),"",IF(ISNUMBER(Sync!$AE486),MOD(Sync!$AE486,100),IFERROR(VALUE(TRIM(MID(MID(Sync!$AE486,FIND("/",Sync!$AE486)+1,20),FIND("/",MID(Sync!$AE486,FIND("/",Sync!$AE486)+1,20))+1,20))),"")))</f>
        <v/>
      </c>
      <c r="J486" t="str">
        <f t="shared" si="37"/>
        <v/>
      </c>
      <c r="K486" t="str">
        <f>IF(OR($F486="",$J486="",$J486="نامعتبر"),"",LEFT($J486,4)&amp;MID($J486,6,2)&amp;RIGHT($J486,2)&amp;$N486&amp;"|"&amp;"2"&amp;RIGHT("00000"&amp;481,5))</f>
        <v/>
      </c>
      <c r="L486" t="str">
        <f t="shared" si="38"/>
        <v/>
      </c>
      <c r="M486" t="str">
        <f t="shared" si="39"/>
        <v/>
      </c>
      <c r="N486" t="str">
        <f>IF($F486="","",IF(Sync!$AF486="","0000",IF(AND(ISNUMBER(Sync!$AF486),Sync!$AF486&gt;=0,Sync!$AF486&lt;1),RIGHT("00"&amp;HOUR(Sync!$AF486),2)&amp;RIGHT("00"&amp;MINUTE(Sync!$AF486),2),IFERROR(RIGHT("00"&amp;VALUE(LEFT(Sync!$AF486,FIND(":",Sync!$AF486)-1)),2)&amp;RIGHT("00"&amp;VALUE(MID(Sync!$AF486,FIND(":",Sync!$AF486)+1,2)),2),"0000"))))</f>
        <v/>
      </c>
    </row>
    <row r="487" spans="1:14" x14ac:dyDescent="0.2">
      <c r="A487" t="str">
        <f>IF(OR(Calc!$E491="",Calc!$E491="نامعتبر",Calc!$G491=""),"",Calc!$G491)</f>
        <v/>
      </c>
      <c r="B487" t="str">
        <f>IF($A487="","",LEFT(Calc!$E491,4)&amp;MID(Calc!$E491,6,2)&amp;RIGHT(Calc!$E491,2)&amp;Calc!$Q491&amp;"|"&amp;"1"&amp;RIGHT("00000"&amp;482,5))</f>
        <v/>
      </c>
      <c r="C487" t="str">
        <f t="shared" si="35"/>
        <v/>
      </c>
      <c r="D487" t="str">
        <f t="shared" si="36"/>
        <v/>
      </c>
      <c r="F487" t="str">
        <f>IF(Sync!$AH487="","",IF(LEFT(UPPER(TRIM(Sync!$AH487)),2)="SL",UPPER(TRIM(Sync!$AH487)),""))</f>
        <v/>
      </c>
      <c r="G487" t="str">
        <f>IF($F487="","",IF(Sync!$AE487="","",IF(ISNUMBER(Sync!$AE487),IF(AND(Sync!$AE487&gt;=10000101,Sync!$AE487&lt;=99991231),INT(Sync!$AE487/10000),""),IFERROR(VALUE(TRIM(LEFT(Sync!$AE487,FIND("/",Sync!$AE487)-1))),""))))</f>
        <v/>
      </c>
      <c r="H487" t="str">
        <f>IF(OR($F487="",$G487=""),"",IF(ISNUMBER(Sync!$AE487),INT(MOD(Sync!$AE487,10000)/100),IFERROR(VALUE(TRIM(LEFT(MID(Sync!$AE487,FIND("/",Sync!$AE487)+1,20),FIND("/",MID(Sync!$AE487,FIND("/",Sync!$AE487)+1,20))-1))),"")))</f>
        <v/>
      </c>
      <c r="I487" t="str">
        <f>IF(OR($F487="",$G487=""),"",IF(ISNUMBER(Sync!$AE487),MOD(Sync!$AE487,100),IFERROR(VALUE(TRIM(MID(MID(Sync!$AE487,FIND("/",Sync!$AE487)+1,20),FIND("/",MID(Sync!$AE487,FIND("/",Sync!$AE487)+1,20))+1,20))),"")))</f>
        <v/>
      </c>
      <c r="J487" t="str">
        <f t="shared" si="37"/>
        <v/>
      </c>
      <c r="K487" t="str">
        <f>IF(OR($F487="",$J487="",$J487="نامعتبر"),"",LEFT($J487,4)&amp;MID($J487,6,2)&amp;RIGHT($J487,2)&amp;$N487&amp;"|"&amp;"2"&amp;RIGHT("00000"&amp;482,5))</f>
        <v/>
      </c>
      <c r="L487" t="str">
        <f t="shared" si="38"/>
        <v/>
      </c>
      <c r="M487" t="str">
        <f t="shared" si="39"/>
        <v/>
      </c>
      <c r="N487" t="str">
        <f>IF($F487="","",IF(Sync!$AF487="","0000",IF(AND(ISNUMBER(Sync!$AF487),Sync!$AF487&gt;=0,Sync!$AF487&lt;1),RIGHT("00"&amp;HOUR(Sync!$AF487),2)&amp;RIGHT("00"&amp;MINUTE(Sync!$AF487),2),IFERROR(RIGHT("00"&amp;VALUE(LEFT(Sync!$AF487,FIND(":",Sync!$AF487)-1)),2)&amp;RIGHT("00"&amp;VALUE(MID(Sync!$AF487,FIND(":",Sync!$AF487)+1,2)),2),"0000"))))</f>
        <v/>
      </c>
    </row>
    <row r="488" spans="1:14" x14ac:dyDescent="0.2">
      <c r="A488" t="str">
        <f>IF(OR(Calc!$E492="",Calc!$E492="نامعتبر",Calc!$G492=""),"",Calc!$G492)</f>
        <v/>
      </c>
      <c r="B488" t="str">
        <f>IF($A488="","",LEFT(Calc!$E492,4)&amp;MID(Calc!$E492,6,2)&amp;RIGHT(Calc!$E492,2)&amp;Calc!$Q492&amp;"|"&amp;"1"&amp;RIGHT("00000"&amp;483,5))</f>
        <v/>
      </c>
      <c r="C488" t="str">
        <f t="shared" si="35"/>
        <v/>
      </c>
      <c r="D488" t="str">
        <f t="shared" si="36"/>
        <v/>
      </c>
      <c r="F488" t="str">
        <f>IF(Sync!$AH488="","",IF(LEFT(UPPER(TRIM(Sync!$AH488)),2)="SL",UPPER(TRIM(Sync!$AH488)),""))</f>
        <v/>
      </c>
      <c r="G488" t="str">
        <f>IF($F488="","",IF(Sync!$AE488="","",IF(ISNUMBER(Sync!$AE488),IF(AND(Sync!$AE488&gt;=10000101,Sync!$AE488&lt;=99991231),INT(Sync!$AE488/10000),""),IFERROR(VALUE(TRIM(LEFT(Sync!$AE488,FIND("/",Sync!$AE488)-1))),""))))</f>
        <v/>
      </c>
      <c r="H488" t="str">
        <f>IF(OR($F488="",$G488=""),"",IF(ISNUMBER(Sync!$AE488),INT(MOD(Sync!$AE488,10000)/100),IFERROR(VALUE(TRIM(LEFT(MID(Sync!$AE488,FIND("/",Sync!$AE488)+1,20),FIND("/",MID(Sync!$AE488,FIND("/",Sync!$AE488)+1,20))-1))),"")))</f>
        <v/>
      </c>
      <c r="I488" t="str">
        <f>IF(OR($F488="",$G488=""),"",IF(ISNUMBER(Sync!$AE488),MOD(Sync!$AE488,100),IFERROR(VALUE(TRIM(MID(MID(Sync!$AE488,FIND("/",Sync!$AE488)+1,20),FIND("/",MID(Sync!$AE488,FIND("/",Sync!$AE488)+1,20))+1,20))),"")))</f>
        <v/>
      </c>
      <c r="J488" t="str">
        <f t="shared" si="37"/>
        <v/>
      </c>
      <c r="K488" t="str">
        <f>IF(OR($F488="",$J488="",$J488="نامعتبر"),"",LEFT($J488,4)&amp;MID($J488,6,2)&amp;RIGHT($J488,2)&amp;$N488&amp;"|"&amp;"2"&amp;RIGHT("00000"&amp;483,5))</f>
        <v/>
      </c>
      <c r="L488" t="str">
        <f t="shared" si="38"/>
        <v/>
      </c>
      <c r="M488" t="str">
        <f t="shared" si="39"/>
        <v/>
      </c>
      <c r="N488" t="str">
        <f>IF($F488="","",IF(Sync!$AF488="","0000",IF(AND(ISNUMBER(Sync!$AF488),Sync!$AF488&gt;=0,Sync!$AF488&lt;1),RIGHT("00"&amp;HOUR(Sync!$AF488),2)&amp;RIGHT("00"&amp;MINUTE(Sync!$AF488),2),IFERROR(RIGHT("00"&amp;VALUE(LEFT(Sync!$AF488,FIND(":",Sync!$AF488)-1)),2)&amp;RIGHT("00"&amp;VALUE(MID(Sync!$AF488,FIND(":",Sync!$AF488)+1,2)),2),"0000"))))</f>
        <v/>
      </c>
    </row>
    <row r="489" spans="1:14" x14ac:dyDescent="0.2">
      <c r="A489" t="str">
        <f>IF(OR(Calc!$E493="",Calc!$E493="نامعتبر",Calc!$G493=""),"",Calc!$G493)</f>
        <v/>
      </c>
      <c r="B489" t="str">
        <f>IF($A489="","",LEFT(Calc!$E493,4)&amp;MID(Calc!$E493,6,2)&amp;RIGHT(Calc!$E493,2)&amp;Calc!$Q493&amp;"|"&amp;"1"&amp;RIGHT("00000"&amp;484,5))</f>
        <v/>
      </c>
      <c r="C489" t="str">
        <f t="shared" si="35"/>
        <v/>
      </c>
      <c r="D489" t="str">
        <f t="shared" si="36"/>
        <v/>
      </c>
      <c r="F489" t="str">
        <f>IF(Sync!$AH489="","",IF(LEFT(UPPER(TRIM(Sync!$AH489)),2)="SL",UPPER(TRIM(Sync!$AH489)),""))</f>
        <v/>
      </c>
      <c r="G489" t="str">
        <f>IF($F489="","",IF(Sync!$AE489="","",IF(ISNUMBER(Sync!$AE489),IF(AND(Sync!$AE489&gt;=10000101,Sync!$AE489&lt;=99991231),INT(Sync!$AE489/10000),""),IFERROR(VALUE(TRIM(LEFT(Sync!$AE489,FIND("/",Sync!$AE489)-1))),""))))</f>
        <v/>
      </c>
      <c r="H489" t="str">
        <f>IF(OR($F489="",$G489=""),"",IF(ISNUMBER(Sync!$AE489),INT(MOD(Sync!$AE489,10000)/100),IFERROR(VALUE(TRIM(LEFT(MID(Sync!$AE489,FIND("/",Sync!$AE489)+1,20),FIND("/",MID(Sync!$AE489,FIND("/",Sync!$AE489)+1,20))-1))),"")))</f>
        <v/>
      </c>
      <c r="I489" t="str">
        <f>IF(OR($F489="",$G489=""),"",IF(ISNUMBER(Sync!$AE489),MOD(Sync!$AE489,100),IFERROR(VALUE(TRIM(MID(MID(Sync!$AE489,FIND("/",Sync!$AE489)+1,20),FIND("/",MID(Sync!$AE489,FIND("/",Sync!$AE489)+1,20))+1,20))),"")))</f>
        <v/>
      </c>
      <c r="J489" t="str">
        <f t="shared" si="37"/>
        <v/>
      </c>
      <c r="K489" t="str">
        <f>IF(OR($F489="",$J489="",$J489="نامعتبر"),"",LEFT($J489,4)&amp;MID($J489,6,2)&amp;RIGHT($J489,2)&amp;$N489&amp;"|"&amp;"2"&amp;RIGHT("00000"&amp;484,5))</f>
        <v/>
      </c>
      <c r="L489" t="str">
        <f t="shared" si="38"/>
        <v/>
      </c>
      <c r="M489" t="str">
        <f t="shared" si="39"/>
        <v/>
      </c>
      <c r="N489" t="str">
        <f>IF($F489="","",IF(Sync!$AF489="","0000",IF(AND(ISNUMBER(Sync!$AF489),Sync!$AF489&gt;=0,Sync!$AF489&lt;1),RIGHT("00"&amp;HOUR(Sync!$AF489),2)&amp;RIGHT("00"&amp;MINUTE(Sync!$AF489),2),IFERROR(RIGHT("00"&amp;VALUE(LEFT(Sync!$AF489,FIND(":",Sync!$AF489)-1)),2)&amp;RIGHT("00"&amp;VALUE(MID(Sync!$AF489,FIND(":",Sync!$AF489)+1,2)),2),"0000"))))</f>
        <v/>
      </c>
    </row>
    <row r="490" spans="1:14" x14ac:dyDescent="0.2">
      <c r="A490" t="str">
        <f>IF(OR(Calc!$E494="",Calc!$E494="نامعتبر",Calc!$G494=""),"",Calc!$G494)</f>
        <v/>
      </c>
      <c r="B490" t="str">
        <f>IF($A490="","",LEFT(Calc!$E494,4)&amp;MID(Calc!$E494,6,2)&amp;RIGHT(Calc!$E494,2)&amp;Calc!$Q494&amp;"|"&amp;"1"&amp;RIGHT("00000"&amp;485,5))</f>
        <v/>
      </c>
      <c r="C490" t="str">
        <f t="shared" si="35"/>
        <v/>
      </c>
      <c r="D490" t="str">
        <f t="shared" si="36"/>
        <v/>
      </c>
      <c r="F490" t="str">
        <f>IF(Sync!$AH490="","",IF(LEFT(UPPER(TRIM(Sync!$AH490)),2)="SL",UPPER(TRIM(Sync!$AH490)),""))</f>
        <v/>
      </c>
      <c r="G490" t="str">
        <f>IF($F490="","",IF(Sync!$AE490="","",IF(ISNUMBER(Sync!$AE490),IF(AND(Sync!$AE490&gt;=10000101,Sync!$AE490&lt;=99991231),INT(Sync!$AE490/10000),""),IFERROR(VALUE(TRIM(LEFT(Sync!$AE490,FIND("/",Sync!$AE490)-1))),""))))</f>
        <v/>
      </c>
      <c r="H490" t="str">
        <f>IF(OR($F490="",$G490=""),"",IF(ISNUMBER(Sync!$AE490),INT(MOD(Sync!$AE490,10000)/100),IFERROR(VALUE(TRIM(LEFT(MID(Sync!$AE490,FIND("/",Sync!$AE490)+1,20),FIND("/",MID(Sync!$AE490,FIND("/",Sync!$AE490)+1,20))-1))),"")))</f>
        <v/>
      </c>
      <c r="I490" t="str">
        <f>IF(OR($F490="",$G490=""),"",IF(ISNUMBER(Sync!$AE490),MOD(Sync!$AE490,100),IFERROR(VALUE(TRIM(MID(MID(Sync!$AE490,FIND("/",Sync!$AE490)+1,20),FIND("/",MID(Sync!$AE490,FIND("/",Sync!$AE490)+1,20))+1,20))),"")))</f>
        <v/>
      </c>
      <c r="J490" t="str">
        <f t="shared" si="37"/>
        <v/>
      </c>
      <c r="K490" t="str">
        <f>IF(OR($F490="",$J490="",$J490="نامعتبر"),"",LEFT($J490,4)&amp;MID($J490,6,2)&amp;RIGHT($J490,2)&amp;$N490&amp;"|"&amp;"2"&amp;RIGHT("00000"&amp;485,5))</f>
        <v/>
      </c>
      <c r="L490" t="str">
        <f t="shared" si="38"/>
        <v/>
      </c>
      <c r="M490" t="str">
        <f t="shared" si="39"/>
        <v/>
      </c>
      <c r="N490" t="str">
        <f>IF($F490="","",IF(Sync!$AF490="","0000",IF(AND(ISNUMBER(Sync!$AF490),Sync!$AF490&gt;=0,Sync!$AF490&lt;1),RIGHT("00"&amp;HOUR(Sync!$AF490),2)&amp;RIGHT("00"&amp;MINUTE(Sync!$AF490),2),IFERROR(RIGHT("00"&amp;VALUE(LEFT(Sync!$AF490,FIND(":",Sync!$AF490)-1)),2)&amp;RIGHT("00"&amp;VALUE(MID(Sync!$AF490,FIND(":",Sync!$AF490)+1,2)),2),"0000"))))</f>
        <v/>
      </c>
    </row>
    <row r="491" spans="1:14" x14ac:dyDescent="0.2">
      <c r="A491" t="str">
        <f>IF(OR(Calc!$E495="",Calc!$E495="نامعتبر",Calc!$G495=""),"",Calc!$G495)</f>
        <v/>
      </c>
      <c r="B491" t="str">
        <f>IF($A491="","",LEFT(Calc!$E495,4)&amp;MID(Calc!$E495,6,2)&amp;RIGHT(Calc!$E495,2)&amp;Calc!$Q495&amp;"|"&amp;"1"&amp;RIGHT("00000"&amp;486,5))</f>
        <v/>
      </c>
      <c r="C491" t="str">
        <f t="shared" si="35"/>
        <v/>
      </c>
      <c r="D491" t="str">
        <f t="shared" si="36"/>
        <v/>
      </c>
      <c r="F491" t="str">
        <f>IF(Sync!$AH491="","",IF(LEFT(UPPER(TRIM(Sync!$AH491)),2)="SL",UPPER(TRIM(Sync!$AH491)),""))</f>
        <v/>
      </c>
      <c r="G491" t="str">
        <f>IF($F491="","",IF(Sync!$AE491="","",IF(ISNUMBER(Sync!$AE491),IF(AND(Sync!$AE491&gt;=10000101,Sync!$AE491&lt;=99991231),INT(Sync!$AE491/10000),""),IFERROR(VALUE(TRIM(LEFT(Sync!$AE491,FIND("/",Sync!$AE491)-1))),""))))</f>
        <v/>
      </c>
      <c r="H491" t="str">
        <f>IF(OR($F491="",$G491=""),"",IF(ISNUMBER(Sync!$AE491),INT(MOD(Sync!$AE491,10000)/100),IFERROR(VALUE(TRIM(LEFT(MID(Sync!$AE491,FIND("/",Sync!$AE491)+1,20),FIND("/",MID(Sync!$AE491,FIND("/",Sync!$AE491)+1,20))-1))),"")))</f>
        <v/>
      </c>
      <c r="I491" t="str">
        <f>IF(OR($F491="",$G491=""),"",IF(ISNUMBER(Sync!$AE491),MOD(Sync!$AE491,100),IFERROR(VALUE(TRIM(MID(MID(Sync!$AE491,FIND("/",Sync!$AE491)+1,20),FIND("/",MID(Sync!$AE491,FIND("/",Sync!$AE491)+1,20))+1,20))),"")))</f>
        <v/>
      </c>
      <c r="J491" t="str">
        <f t="shared" si="37"/>
        <v/>
      </c>
      <c r="K491" t="str">
        <f>IF(OR($F491="",$J491="",$J491="نامعتبر"),"",LEFT($J491,4)&amp;MID($J491,6,2)&amp;RIGHT($J491,2)&amp;$N491&amp;"|"&amp;"2"&amp;RIGHT("00000"&amp;486,5))</f>
        <v/>
      </c>
      <c r="L491" t="str">
        <f t="shared" si="38"/>
        <v/>
      </c>
      <c r="M491" t="str">
        <f t="shared" si="39"/>
        <v/>
      </c>
      <c r="N491" t="str">
        <f>IF($F491="","",IF(Sync!$AF491="","0000",IF(AND(ISNUMBER(Sync!$AF491),Sync!$AF491&gt;=0,Sync!$AF491&lt;1),RIGHT("00"&amp;HOUR(Sync!$AF491),2)&amp;RIGHT("00"&amp;MINUTE(Sync!$AF491),2),IFERROR(RIGHT("00"&amp;VALUE(LEFT(Sync!$AF491,FIND(":",Sync!$AF491)-1)),2)&amp;RIGHT("00"&amp;VALUE(MID(Sync!$AF491,FIND(":",Sync!$AF491)+1,2)),2),"0000"))))</f>
        <v/>
      </c>
    </row>
    <row r="492" spans="1:14" x14ac:dyDescent="0.2">
      <c r="A492" t="str">
        <f>IF(OR(Calc!$E496="",Calc!$E496="نامعتبر",Calc!$G496=""),"",Calc!$G496)</f>
        <v/>
      </c>
      <c r="B492" t="str">
        <f>IF($A492="","",LEFT(Calc!$E496,4)&amp;MID(Calc!$E496,6,2)&amp;RIGHT(Calc!$E496,2)&amp;Calc!$Q496&amp;"|"&amp;"1"&amp;RIGHT("00000"&amp;487,5))</f>
        <v/>
      </c>
      <c r="C492" t="str">
        <f t="shared" si="35"/>
        <v/>
      </c>
      <c r="D492" t="str">
        <f t="shared" si="36"/>
        <v/>
      </c>
      <c r="F492" t="str">
        <f>IF(Sync!$AH492="","",IF(LEFT(UPPER(TRIM(Sync!$AH492)),2)="SL",UPPER(TRIM(Sync!$AH492)),""))</f>
        <v/>
      </c>
      <c r="G492" t="str">
        <f>IF($F492="","",IF(Sync!$AE492="","",IF(ISNUMBER(Sync!$AE492),IF(AND(Sync!$AE492&gt;=10000101,Sync!$AE492&lt;=99991231),INT(Sync!$AE492/10000),""),IFERROR(VALUE(TRIM(LEFT(Sync!$AE492,FIND("/",Sync!$AE492)-1))),""))))</f>
        <v/>
      </c>
      <c r="H492" t="str">
        <f>IF(OR($F492="",$G492=""),"",IF(ISNUMBER(Sync!$AE492),INT(MOD(Sync!$AE492,10000)/100),IFERROR(VALUE(TRIM(LEFT(MID(Sync!$AE492,FIND("/",Sync!$AE492)+1,20),FIND("/",MID(Sync!$AE492,FIND("/",Sync!$AE492)+1,20))-1))),"")))</f>
        <v/>
      </c>
      <c r="I492" t="str">
        <f>IF(OR($F492="",$G492=""),"",IF(ISNUMBER(Sync!$AE492),MOD(Sync!$AE492,100),IFERROR(VALUE(TRIM(MID(MID(Sync!$AE492,FIND("/",Sync!$AE492)+1,20),FIND("/",MID(Sync!$AE492,FIND("/",Sync!$AE492)+1,20))+1,20))),"")))</f>
        <v/>
      </c>
      <c r="J492" t="str">
        <f t="shared" si="37"/>
        <v/>
      </c>
      <c r="K492" t="str">
        <f>IF(OR($F492="",$J492="",$J492="نامعتبر"),"",LEFT($J492,4)&amp;MID($J492,6,2)&amp;RIGHT($J492,2)&amp;$N492&amp;"|"&amp;"2"&amp;RIGHT("00000"&amp;487,5))</f>
        <v/>
      </c>
      <c r="L492" t="str">
        <f t="shared" si="38"/>
        <v/>
      </c>
      <c r="M492" t="str">
        <f t="shared" si="39"/>
        <v/>
      </c>
      <c r="N492" t="str">
        <f>IF($F492="","",IF(Sync!$AF492="","0000",IF(AND(ISNUMBER(Sync!$AF492),Sync!$AF492&gt;=0,Sync!$AF492&lt;1),RIGHT("00"&amp;HOUR(Sync!$AF492),2)&amp;RIGHT("00"&amp;MINUTE(Sync!$AF492),2),IFERROR(RIGHT("00"&amp;VALUE(LEFT(Sync!$AF492,FIND(":",Sync!$AF492)-1)),2)&amp;RIGHT("00"&amp;VALUE(MID(Sync!$AF492,FIND(":",Sync!$AF492)+1,2)),2),"0000"))))</f>
        <v/>
      </c>
    </row>
    <row r="493" spans="1:14" x14ac:dyDescent="0.2">
      <c r="A493" t="str">
        <f>IF(OR(Calc!$E497="",Calc!$E497="نامعتبر",Calc!$G497=""),"",Calc!$G497)</f>
        <v/>
      </c>
      <c r="B493" t="str">
        <f>IF($A493="","",LEFT(Calc!$E497,4)&amp;MID(Calc!$E497,6,2)&amp;RIGHT(Calc!$E497,2)&amp;Calc!$Q497&amp;"|"&amp;"1"&amp;RIGHT("00000"&amp;488,5))</f>
        <v/>
      </c>
      <c r="C493" t="str">
        <f t="shared" si="35"/>
        <v/>
      </c>
      <c r="D493" t="str">
        <f t="shared" si="36"/>
        <v/>
      </c>
      <c r="F493" t="str">
        <f>IF(Sync!$AH493="","",IF(LEFT(UPPER(TRIM(Sync!$AH493)),2)="SL",UPPER(TRIM(Sync!$AH493)),""))</f>
        <v/>
      </c>
      <c r="G493" t="str">
        <f>IF($F493="","",IF(Sync!$AE493="","",IF(ISNUMBER(Sync!$AE493),IF(AND(Sync!$AE493&gt;=10000101,Sync!$AE493&lt;=99991231),INT(Sync!$AE493/10000),""),IFERROR(VALUE(TRIM(LEFT(Sync!$AE493,FIND("/",Sync!$AE493)-1))),""))))</f>
        <v/>
      </c>
      <c r="H493" t="str">
        <f>IF(OR($F493="",$G493=""),"",IF(ISNUMBER(Sync!$AE493),INT(MOD(Sync!$AE493,10000)/100),IFERROR(VALUE(TRIM(LEFT(MID(Sync!$AE493,FIND("/",Sync!$AE493)+1,20),FIND("/",MID(Sync!$AE493,FIND("/",Sync!$AE493)+1,20))-1))),"")))</f>
        <v/>
      </c>
      <c r="I493" t="str">
        <f>IF(OR($F493="",$G493=""),"",IF(ISNUMBER(Sync!$AE493),MOD(Sync!$AE493,100),IFERROR(VALUE(TRIM(MID(MID(Sync!$AE493,FIND("/",Sync!$AE493)+1,20),FIND("/",MID(Sync!$AE493,FIND("/",Sync!$AE493)+1,20))+1,20))),"")))</f>
        <v/>
      </c>
      <c r="J493" t="str">
        <f t="shared" si="37"/>
        <v/>
      </c>
      <c r="K493" t="str">
        <f>IF(OR($F493="",$J493="",$J493="نامعتبر"),"",LEFT($J493,4)&amp;MID($J493,6,2)&amp;RIGHT($J493,2)&amp;$N493&amp;"|"&amp;"2"&amp;RIGHT("00000"&amp;488,5))</f>
        <v/>
      </c>
      <c r="L493" t="str">
        <f t="shared" si="38"/>
        <v/>
      </c>
      <c r="M493" t="str">
        <f t="shared" si="39"/>
        <v/>
      </c>
      <c r="N493" t="str">
        <f>IF($F493="","",IF(Sync!$AF493="","0000",IF(AND(ISNUMBER(Sync!$AF493),Sync!$AF493&gt;=0,Sync!$AF493&lt;1),RIGHT("00"&amp;HOUR(Sync!$AF493),2)&amp;RIGHT("00"&amp;MINUTE(Sync!$AF493),2),IFERROR(RIGHT("00"&amp;VALUE(LEFT(Sync!$AF493,FIND(":",Sync!$AF493)-1)),2)&amp;RIGHT("00"&amp;VALUE(MID(Sync!$AF493,FIND(":",Sync!$AF493)+1,2)),2),"0000"))))</f>
        <v/>
      </c>
    </row>
    <row r="494" spans="1:14" x14ac:dyDescent="0.2">
      <c r="A494" t="str">
        <f>IF(OR(Calc!$E498="",Calc!$E498="نامعتبر",Calc!$G498=""),"",Calc!$G498)</f>
        <v/>
      </c>
      <c r="B494" t="str">
        <f>IF($A494="","",LEFT(Calc!$E498,4)&amp;MID(Calc!$E498,6,2)&amp;RIGHT(Calc!$E498,2)&amp;Calc!$Q498&amp;"|"&amp;"1"&amp;RIGHT("00000"&amp;489,5))</f>
        <v/>
      </c>
      <c r="C494" t="str">
        <f t="shared" si="35"/>
        <v/>
      </c>
      <c r="D494" t="str">
        <f t="shared" si="36"/>
        <v/>
      </c>
      <c r="F494" t="str">
        <f>IF(Sync!$AH494="","",IF(LEFT(UPPER(TRIM(Sync!$AH494)),2)="SL",UPPER(TRIM(Sync!$AH494)),""))</f>
        <v/>
      </c>
      <c r="G494" t="str">
        <f>IF($F494="","",IF(Sync!$AE494="","",IF(ISNUMBER(Sync!$AE494),IF(AND(Sync!$AE494&gt;=10000101,Sync!$AE494&lt;=99991231),INT(Sync!$AE494/10000),""),IFERROR(VALUE(TRIM(LEFT(Sync!$AE494,FIND("/",Sync!$AE494)-1))),""))))</f>
        <v/>
      </c>
      <c r="H494" t="str">
        <f>IF(OR($F494="",$G494=""),"",IF(ISNUMBER(Sync!$AE494),INT(MOD(Sync!$AE494,10000)/100),IFERROR(VALUE(TRIM(LEFT(MID(Sync!$AE494,FIND("/",Sync!$AE494)+1,20),FIND("/",MID(Sync!$AE494,FIND("/",Sync!$AE494)+1,20))-1))),"")))</f>
        <v/>
      </c>
      <c r="I494" t="str">
        <f>IF(OR($F494="",$G494=""),"",IF(ISNUMBER(Sync!$AE494),MOD(Sync!$AE494,100),IFERROR(VALUE(TRIM(MID(MID(Sync!$AE494,FIND("/",Sync!$AE494)+1,20),FIND("/",MID(Sync!$AE494,FIND("/",Sync!$AE494)+1,20))+1,20))),"")))</f>
        <v/>
      </c>
      <c r="J494" t="str">
        <f t="shared" si="37"/>
        <v/>
      </c>
      <c r="K494" t="str">
        <f>IF(OR($F494="",$J494="",$J494="نامعتبر"),"",LEFT($J494,4)&amp;MID($J494,6,2)&amp;RIGHT($J494,2)&amp;$N494&amp;"|"&amp;"2"&amp;RIGHT("00000"&amp;489,5))</f>
        <v/>
      </c>
      <c r="L494" t="str">
        <f t="shared" si="38"/>
        <v/>
      </c>
      <c r="M494" t="str">
        <f t="shared" si="39"/>
        <v/>
      </c>
      <c r="N494" t="str">
        <f>IF($F494="","",IF(Sync!$AF494="","0000",IF(AND(ISNUMBER(Sync!$AF494),Sync!$AF494&gt;=0,Sync!$AF494&lt;1),RIGHT("00"&amp;HOUR(Sync!$AF494),2)&amp;RIGHT("00"&amp;MINUTE(Sync!$AF494),2),IFERROR(RIGHT("00"&amp;VALUE(LEFT(Sync!$AF494,FIND(":",Sync!$AF494)-1)),2)&amp;RIGHT("00"&amp;VALUE(MID(Sync!$AF494,FIND(":",Sync!$AF494)+1,2)),2),"0000"))))</f>
        <v/>
      </c>
    </row>
    <row r="495" spans="1:14" x14ac:dyDescent="0.2">
      <c r="A495" t="str">
        <f>IF(OR(Calc!$E499="",Calc!$E499="نامعتبر",Calc!$G499=""),"",Calc!$G499)</f>
        <v/>
      </c>
      <c r="B495" t="str">
        <f>IF($A495="","",LEFT(Calc!$E499,4)&amp;MID(Calc!$E499,6,2)&amp;RIGHT(Calc!$E499,2)&amp;Calc!$Q499&amp;"|"&amp;"1"&amp;RIGHT("00000"&amp;490,5))</f>
        <v/>
      </c>
      <c r="C495" t="str">
        <f t="shared" si="35"/>
        <v/>
      </c>
      <c r="D495" t="str">
        <f t="shared" si="36"/>
        <v/>
      </c>
      <c r="F495" t="str">
        <f>IF(Sync!$AH495="","",IF(LEFT(UPPER(TRIM(Sync!$AH495)),2)="SL",UPPER(TRIM(Sync!$AH495)),""))</f>
        <v/>
      </c>
      <c r="G495" t="str">
        <f>IF($F495="","",IF(Sync!$AE495="","",IF(ISNUMBER(Sync!$AE495),IF(AND(Sync!$AE495&gt;=10000101,Sync!$AE495&lt;=99991231),INT(Sync!$AE495/10000),""),IFERROR(VALUE(TRIM(LEFT(Sync!$AE495,FIND("/",Sync!$AE495)-1))),""))))</f>
        <v/>
      </c>
      <c r="H495" t="str">
        <f>IF(OR($F495="",$G495=""),"",IF(ISNUMBER(Sync!$AE495),INT(MOD(Sync!$AE495,10000)/100),IFERROR(VALUE(TRIM(LEFT(MID(Sync!$AE495,FIND("/",Sync!$AE495)+1,20),FIND("/",MID(Sync!$AE495,FIND("/",Sync!$AE495)+1,20))-1))),"")))</f>
        <v/>
      </c>
      <c r="I495" t="str">
        <f>IF(OR($F495="",$G495=""),"",IF(ISNUMBER(Sync!$AE495),MOD(Sync!$AE495,100),IFERROR(VALUE(TRIM(MID(MID(Sync!$AE495,FIND("/",Sync!$AE495)+1,20),FIND("/",MID(Sync!$AE495,FIND("/",Sync!$AE495)+1,20))+1,20))),"")))</f>
        <v/>
      </c>
      <c r="J495" t="str">
        <f t="shared" si="37"/>
        <v/>
      </c>
      <c r="K495" t="str">
        <f>IF(OR($F495="",$J495="",$J495="نامعتبر"),"",LEFT($J495,4)&amp;MID($J495,6,2)&amp;RIGHT($J495,2)&amp;$N495&amp;"|"&amp;"2"&amp;RIGHT("00000"&amp;490,5))</f>
        <v/>
      </c>
      <c r="L495" t="str">
        <f t="shared" si="38"/>
        <v/>
      </c>
      <c r="M495" t="str">
        <f t="shared" si="39"/>
        <v/>
      </c>
      <c r="N495" t="str">
        <f>IF($F495="","",IF(Sync!$AF495="","0000",IF(AND(ISNUMBER(Sync!$AF495),Sync!$AF495&gt;=0,Sync!$AF495&lt;1),RIGHT("00"&amp;HOUR(Sync!$AF495),2)&amp;RIGHT("00"&amp;MINUTE(Sync!$AF495),2),IFERROR(RIGHT("00"&amp;VALUE(LEFT(Sync!$AF495,FIND(":",Sync!$AF495)-1)),2)&amp;RIGHT("00"&amp;VALUE(MID(Sync!$AF495,FIND(":",Sync!$AF495)+1,2)),2),"0000"))))</f>
        <v/>
      </c>
    </row>
    <row r="496" spans="1:14" x14ac:dyDescent="0.2">
      <c r="A496" t="str">
        <f>IF(OR(Calc!$E500="",Calc!$E500="نامعتبر",Calc!$G500=""),"",Calc!$G500)</f>
        <v/>
      </c>
      <c r="B496" t="str">
        <f>IF($A496="","",LEFT(Calc!$E500,4)&amp;MID(Calc!$E500,6,2)&amp;RIGHT(Calc!$E500,2)&amp;Calc!$Q500&amp;"|"&amp;"1"&amp;RIGHT("00000"&amp;491,5))</f>
        <v/>
      </c>
      <c r="C496" t="str">
        <f t="shared" si="35"/>
        <v/>
      </c>
      <c r="D496" t="str">
        <f t="shared" si="36"/>
        <v/>
      </c>
      <c r="F496" t="str">
        <f>IF(Sync!$AH496="","",IF(LEFT(UPPER(TRIM(Sync!$AH496)),2)="SL",UPPER(TRIM(Sync!$AH496)),""))</f>
        <v/>
      </c>
      <c r="G496" t="str">
        <f>IF($F496="","",IF(Sync!$AE496="","",IF(ISNUMBER(Sync!$AE496),IF(AND(Sync!$AE496&gt;=10000101,Sync!$AE496&lt;=99991231),INT(Sync!$AE496/10000),""),IFERROR(VALUE(TRIM(LEFT(Sync!$AE496,FIND("/",Sync!$AE496)-1))),""))))</f>
        <v/>
      </c>
      <c r="H496" t="str">
        <f>IF(OR($F496="",$G496=""),"",IF(ISNUMBER(Sync!$AE496),INT(MOD(Sync!$AE496,10000)/100),IFERROR(VALUE(TRIM(LEFT(MID(Sync!$AE496,FIND("/",Sync!$AE496)+1,20),FIND("/",MID(Sync!$AE496,FIND("/",Sync!$AE496)+1,20))-1))),"")))</f>
        <v/>
      </c>
      <c r="I496" t="str">
        <f>IF(OR($F496="",$G496=""),"",IF(ISNUMBER(Sync!$AE496),MOD(Sync!$AE496,100),IFERROR(VALUE(TRIM(MID(MID(Sync!$AE496,FIND("/",Sync!$AE496)+1,20),FIND("/",MID(Sync!$AE496,FIND("/",Sync!$AE496)+1,20))+1,20))),"")))</f>
        <v/>
      </c>
      <c r="J496" t="str">
        <f t="shared" si="37"/>
        <v/>
      </c>
      <c r="K496" t="str">
        <f>IF(OR($F496="",$J496="",$J496="نامعتبر"),"",LEFT($J496,4)&amp;MID($J496,6,2)&amp;RIGHT($J496,2)&amp;$N496&amp;"|"&amp;"2"&amp;RIGHT("00000"&amp;491,5))</f>
        <v/>
      </c>
      <c r="L496" t="str">
        <f t="shared" si="38"/>
        <v/>
      </c>
      <c r="M496" t="str">
        <f t="shared" si="39"/>
        <v/>
      </c>
      <c r="N496" t="str">
        <f>IF($F496="","",IF(Sync!$AF496="","0000",IF(AND(ISNUMBER(Sync!$AF496),Sync!$AF496&gt;=0,Sync!$AF496&lt;1),RIGHT("00"&amp;HOUR(Sync!$AF496),2)&amp;RIGHT("00"&amp;MINUTE(Sync!$AF496),2),IFERROR(RIGHT("00"&amp;VALUE(LEFT(Sync!$AF496,FIND(":",Sync!$AF496)-1)),2)&amp;RIGHT("00"&amp;VALUE(MID(Sync!$AF496,FIND(":",Sync!$AF496)+1,2)),2),"0000"))))</f>
        <v/>
      </c>
    </row>
    <row r="497" spans="1:14" x14ac:dyDescent="0.2">
      <c r="A497" t="str">
        <f>IF(OR(Calc!$E501="",Calc!$E501="نامعتبر",Calc!$G501=""),"",Calc!$G501)</f>
        <v/>
      </c>
      <c r="B497" t="str">
        <f>IF($A497="","",LEFT(Calc!$E501,4)&amp;MID(Calc!$E501,6,2)&amp;RIGHT(Calc!$E501,2)&amp;Calc!$Q501&amp;"|"&amp;"1"&amp;RIGHT("00000"&amp;492,5))</f>
        <v/>
      </c>
      <c r="C497" t="str">
        <f t="shared" si="35"/>
        <v/>
      </c>
      <c r="D497" t="str">
        <f t="shared" si="36"/>
        <v/>
      </c>
      <c r="F497" t="str">
        <f>IF(Sync!$AH497="","",IF(LEFT(UPPER(TRIM(Sync!$AH497)),2)="SL",UPPER(TRIM(Sync!$AH497)),""))</f>
        <v/>
      </c>
      <c r="G497" t="str">
        <f>IF($F497="","",IF(Sync!$AE497="","",IF(ISNUMBER(Sync!$AE497),IF(AND(Sync!$AE497&gt;=10000101,Sync!$AE497&lt;=99991231),INT(Sync!$AE497/10000),""),IFERROR(VALUE(TRIM(LEFT(Sync!$AE497,FIND("/",Sync!$AE497)-1))),""))))</f>
        <v/>
      </c>
      <c r="H497" t="str">
        <f>IF(OR($F497="",$G497=""),"",IF(ISNUMBER(Sync!$AE497),INT(MOD(Sync!$AE497,10000)/100),IFERROR(VALUE(TRIM(LEFT(MID(Sync!$AE497,FIND("/",Sync!$AE497)+1,20),FIND("/",MID(Sync!$AE497,FIND("/",Sync!$AE497)+1,20))-1))),"")))</f>
        <v/>
      </c>
      <c r="I497" t="str">
        <f>IF(OR($F497="",$G497=""),"",IF(ISNUMBER(Sync!$AE497),MOD(Sync!$AE497,100),IFERROR(VALUE(TRIM(MID(MID(Sync!$AE497,FIND("/",Sync!$AE497)+1,20),FIND("/",MID(Sync!$AE497,FIND("/",Sync!$AE497)+1,20))+1,20))),"")))</f>
        <v/>
      </c>
      <c r="J497" t="str">
        <f t="shared" si="37"/>
        <v/>
      </c>
      <c r="K497" t="str">
        <f>IF(OR($F497="",$J497="",$J497="نامعتبر"),"",LEFT($J497,4)&amp;MID($J497,6,2)&amp;RIGHT($J497,2)&amp;$N497&amp;"|"&amp;"2"&amp;RIGHT("00000"&amp;492,5))</f>
        <v/>
      </c>
      <c r="L497" t="str">
        <f t="shared" si="38"/>
        <v/>
      </c>
      <c r="M497" t="str">
        <f t="shared" si="39"/>
        <v/>
      </c>
      <c r="N497" t="str">
        <f>IF($F497="","",IF(Sync!$AF497="","0000",IF(AND(ISNUMBER(Sync!$AF497),Sync!$AF497&gt;=0,Sync!$AF497&lt;1),RIGHT("00"&amp;HOUR(Sync!$AF497),2)&amp;RIGHT("00"&amp;MINUTE(Sync!$AF497),2),IFERROR(RIGHT("00"&amp;VALUE(LEFT(Sync!$AF497,FIND(":",Sync!$AF497)-1)),2)&amp;RIGHT("00"&amp;VALUE(MID(Sync!$AF497,FIND(":",Sync!$AF497)+1,2)),2),"0000"))))</f>
        <v/>
      </c>
    </row>
    <row r="498" spans="1:14" x14ac:dyDescent="0.2">
      <c r="A498" t="str">
        <f>IF(OR(Calc!$E502="",Calc!$E502="نامعتبر",Calc!$G502=""),"",Calc!$G502)</f>
        <v/>
      </c>
      <c r="B498" t="str">
        <f>IF($A498="","",LEFT(Calc!$E502,4)&amp;MID(Calc!$E502,6,2)&amp;RIGHT(Calc!$E502,2)&amp;Calc!$Q502&amp;"|"&amp;"1"&amp;RIGHT("00000"&amp;493,5))</f>
        <v/>
      </c>
      <c r="C498" t="str">
        <f t="shared" si="35"/>
        <v/>
      </c>
      <c r="D498" t="str">
        <f t="shared" si="36"/>
        <v/>
      </c>
      <c r="F498" t="str">
        <f>IF(Sync!$AH498="","",IF(LEFT(UPPER(TRIM(Sync!$AH498)),2)="SL",UPPER(TRIM(Sync!$AH498)),""))</f>
        <v/>
      </c>
      <c r="G498" t="str">
        <f>IF($F498="","",IF(Sync!$AE498="","",IF(ISNUMBER(Sync!$AE498),IF(AND(Sync!$AE498&gt;=10000101,Sync!$AE498&lt;=99991231),INT(Sync!$AE498/10000),""),IFERROR(VALUE(TRIM(LEFT(Sync!$AE498,FIND("/",Sync!$AE498)-1))),""))))</f>
        <v/>
      </c>
      <c r="H498" t="str">
        <f>IF(OR($F498="",$G498=""),"",IF(ISNUMBER(Sync!$AE498),INT(MOD(Sync!$AE498,10000)/100),IFERROR(VALUE(TRIM(LEFT(MID(Sync!$AE498,FIND("/",Sync!$AE498)+1,20),FIND("/",MID(Sync!$AE498,FIND("/",Sync!$AE498)+1,20))-1))),"")))</f>
        <v/>
      </c>
      <c r="I498" t="str">
        <f>IF(OR($F498="",$G498=""),"",IF(ISNUMBER(Sync!$AE498),MOD(Sync!$AE498,100),IFERROR(VALUE(TRIM(MID(MID(Sync!$AE498,FIND("/",Sync!$AE498)+1,20),FIND("/",MID(Sync!$AE498,FIND("/",Sync!$AE498)+1,20))+1,20))),"")))</f>
        <v/>
      </c>
      <c r="J498" t="str">
        <f t="shared" si="37"/>
        <v/>
      </c>
      <c r="K498" t="str">
        <f>IF(OR($F498="",$J498="",$J498="نامعتبر"),"",LEFT($J498,4)&amp;MID($J498,6,2)&amp;RIGHT($J498,2)&amp;$N498&amp;"|"&amp;"2"&amp;RIGHT("00000"&amp;493,5))</f>
        <v/>
      </c>
      <c r="L498" t="str">
        <f t="shared" si="38"/>
        <v/>
      </c>
      <c r="M498" t="str">
        <f t="shared" si="39"/>
        <v/>
      </c>
      <c r="N498" t="str">
        <f>IF($F498="","",IF(Sync!$AF498="","0000",IF(AND(ISNUMBER(Sync!$AF498),Sync!$AF498&gt;=0,Sync!$AF498&lt;1),RIGHT("00"&amp;HOUR(Sync!$AF498),2)&amp;RIGHT("00"&amp;MINUTE(Sync!$AF498),2),IFERROR(RIGHT("00"&amp;VALUE(LEFT(Sync!$AF498,FIND(":",Sync!$AF498)-1)),2)&amp;RIGHT("00"&amp;VALUE(MID(Sync!$AF498,FIND(":",Sync!$AF498)+1,2)),2),"0000"))))</f>
        <v/>
      </c>
    </row>
    <row r="499" spans="1:14" x14ac:dyDescent="0.2">
      <c r="A499" t="str">
        <f>IF(OR(Calc!$E503="",Calc!$E503="نامعتبر",Calc!$G503=""),"",Calc!$G503)</f>
        <v/>
      </c>
      <c r="B499" t="str">
        <f>IF($A499="","",LEFT(Calc!$E503,4)&amp;MID(Calc!$E503,6,2)&amp;RIGHT(Calc!$E503,2)&amp;Calc!$Q503&amp;"|"&amp;"1"&amp;RIGHT("00000"&amp;494,5))</f>
        <v/>
      </c>
      <c r="C499" t="str">
        <f t="shared" si="35"/>
        <v/>
      </c>
      <c r="D499" t="str">
        <f t="shared" si="36"/>
        <v/>
      </c>
      <c r="F499" t="str">
        <f>IF(Sync!$AH499="","",IF(LEFT(UPPER(TRIM(Sync!$AH499)),2)="SL",UPPER(TRIM(Sync!$AH499)),""))</f>
        <v/>
      </c>
      <c r="G499" t="str">
        <f>IF($F499="","",IF(Sync!$AE499="","",IF(ISNUMBER(Sync!$AE499),IF(AND(Sync!$AE499&gt;=10000101,Sync!$AE499&lt;=99991231),INT(Sync!$AE499/10000),""),IFERROR(VALUE(TRIM(LEFT(Sync!$AE499,FIND("/",Sync!$AE499)-1))),""))))</f>
        <v/>
      </c>
      <c r="H499" t="str">
        <f>IF(OR($F499="",$G499=""),"",IF(ISNUMBER(Sync!$AE499),INT(MOD(Sync!$AE499,10000)/100),IFERROR(VALUE(TRIM(LEFT(MID(Sync!$AE499,FIND("/",Sync!$AE499)+1,20),FIND("/",MID(Sync!$AE499,FIND("/",Sync!$AE499)+1,20))-1))),"")))</f>
        <v/>
      </c>
      <c r="I499" t="str">
        <f>IF(OR($F499="",$G499=""),"",IF(ISNUMBER(Sync!$AE499),MOD(Sync!$AE499,100),IFERROR(VALUE(TRIM(MID(MID(Sync!$AE499,FIND("/",Sync!$AE499)+1,20),FIND("/",MID(Sync!$AE499,FIND("/",Sync!$AE499)+1,20))+1,20))),"")))</f>
        <v/>
      </c>
      <c r="J499" t="str">
        <f t="shared" si="37"/>
        <v/>
      </c>
      <c r="K499" t="str">
        <f>IF(OR($F499="",$J499="",$J499="نامعتبر"),"",LEFT($J499,4)&amp;MID($J499,6,2)&amp;RIGHT($J499,2)&amp;$N499&amp;"|"&amp;"2"&amp;RIGHT("00000"&amp;494,5))</f>
        <v/>
      </c>
      <c r="L499" t="str">
        <f t="shared" si="38"/>
        <v/>
      </c>
      <c r="M499" t="str">
        <f t="shared" si="39"/>
        <v/>
      </c>
      <c r="N499" t="str">
        <f>IF($F499="","",IF(Sync!$AF499="","0000",IF(AND(ISNUMBER(Sync!$AF499),Sync!$AF499&gt;=0,Sync!$AF499&lt;1),RIGHT("00"&amp;HOUR(Sync!$AF499),2)&amp;RIGHT("00"&amp;MINUTE(Sync!$AF499),2),IFERROR(RIGHT("00"&amp;VALUE(LEFT(Sync!$AF499,FIND(":",Sync!$AF499)-1)),2)&amp;RIGHT("00"&amp;VALUE(MID(Sync!$AF499,FIND(":",Sync!$AF499)+1,2)),2),"0000"))))</f>
        <v/>
      </c>
    </row>
    <row r="500" spans="1:14" x14ac:dyDescent="0.2">
      <c r="A500" t="str">
        <f>IF(OR(Calc!$E504="",Calc!$E504="نامعتبر",Calc!$G504=""),"",Calc!$G504)</f>
        <v/>
      </c>
      <c r="B500" t="str">
        <f>IF($A500="","",LEFT(Calc!$E504,4)&amp;MID(Calc!$E504,6,2)&amp;RIGHT(Calc!$E504,2)&amp;Calc!$Q504&amp;"|"&amp;"1"&amp;RIGHT("00000"&amp;495,5))</f>
        <v/>
      </c>
      <c r="C500" t="str">
        <f t="shared" si="35"/>
        <v/>
      </c>
      <c r="D500" t="str">
        <f t="shared" si="36"/>
        <v/>
      </c>
      <c r="F500" t="str">
        <f>IF(Sync!$AH500="","",IF(LEFT(UPPER(TRIM(Sync!$AH500)),2)="SL",UPPER(TRIM(Sync!$AH500)),""))</f>
        <v/>
      </c>
      <c r="G500" t="str">
        <f>IF($F500="","",IF(Sync!$AE500="","",IF(ISNUMBER(Sync!$AE500),IF(AND(Sync!$AE500&gt;=10000101,Sync!$AE500&lt;=99991231),INT(Sync!$AE500/10000),""),IFERROR(VALUE(TRIM(LEFT(Sync!$AE500,FIND("/",Sync!$AE500)-1))),""))))</f>
        <v/>
      </c>
      <c r="H500" t="str">
        <f>IF(OR($F500="",$G500=""),"",IF(ISNUMBER(Sync!$AE500),INT(MOD(Sync!$AE500,10000)/100),IFERROR(VALUE(TRIM(LEFT(MID(Sync!$AE500,FIND("/",Sync!$AE500)+1,20),FIND("/",MID(Sync!$AE500,FIND("/",Sync!$AE500)+1,20))-1))),"")))</f>
        <v/>
      </c>
      <c r="I500" t="str">
        <f>IF(OR($F500="",$G500=""),"",IF(ISNUMBER(Sync!$AE500),MOD(Sync!$AE500,100),IFERROR(VALUE(TRIM(MID(MID(Sync!$AE500,FIND("/",Sync!$AE500)+1,20),FIND("/",MID(Sync!$AE500,FIND("/",Sync!$AE500)+1,20))+1,20))),"")))</f>
        <v/>
      </c>
      <c r="J500" t="str">
        <f t="shared" si="37"/>
        <v/>
      </c>
      <c r="K500" t="str">
        <f>IF(OR($F500="",$J500="",$J500="نامعتبر"),"",LEFT($J500,4)&amp;MID($J500,6,2)&amp;RIGHT($J500,2)&amp;$N500&amp;"|"&amp;"2"&amp;RIGHT("00000"&amp;495,5))</f>
        <v/>
      </c>
      <c r="L500" t="str">
        <f t="shared" si="38"/>
        <v/>
      </c>
      <c r="M500" t="str">
        <f t="shared" si="39"/>
        <v/>
      </c>
      <c r="N500" t="str">
        <f>IF($F500="","",IF(Sync!$AF500="","0000",IF(AND(ISNUMBER(Sync!$AF500),Sync!$AF500&gt;=0,Sync!$AF500&lt;1),RIGHT("00"&amp;HOUR(Sync!$AF500),2)&amp;RIGHT("00"&amp;MINUTE(Sync!$AF500),2),IFERROR(RIGHT("00"&amp;VALUE(LEFT(Sync!$AF500,FIND(":",Sync!$AF500)-1)),2)&amp;RIGHT("00"&amp;VALUE(MID(Sync!$AF500,FIND(":",Sync!$AF500)+1,2)),2),"0000"))))</f>
        <v/>
      </c>
    </row>
    <row r="501" spans="1:14" x14ac:dyDescent="0.2">
      <c r="A501" t="str">
        <f>IF(OR(Calc!$E505="",Calc!$E505="نامعتبر",Calc!$G505=""),"",Calc!$G505)</f>
        <v/>
      </c>
      <c r="B501" t="str">
        <f>IF($A501="","",LEFT(Calc!$E505,4)&amp;MID(Calc!$E505,6,2)&amp;RIGHT(Calc!$E505,2)&amp;Calc!$Q505&amp;"|"&amp;"1"&amp;RIGHT("00000"&amp;496,5))</f>
        <v/>
      </c>
      <c r="C501" t="str">
        <f t="shared" si="35"/>
        <v/>
      </c>
      <c r="D501" t="str">
        <f t="shared" si="36"/>
        <v/>
      </c>
      <c r="F501" t="str">
        <f>IF(Sync!$AH501="","",IF(LEFT(UPPER(TRIM(Sync!$AH501)),2)="SL",UPPER(TRIM(Sync!$AH501)),""))</f>
        <v/>
      </c>
      <c r="G501" t="str">
        <f>IF($F501="","",IF(Sync!$AE501="","",IF(ISNUMBER(Sync!$AE501),IF(AND(Sync!$AE501&gt;=10000101,Sync!$AE501&lt;=99991231),INT(Sync!$AE501/10000),""),IFERROR(VALUE(TRIM(LEFT(Sync!$AE501,FIND("/",Sync!$AE501)-1))),""))))</f>
        <v/>
      </c>
      <c r="H501" t="str">
        <f>IF(OR($F501="",$G501=""),"",IF(ISNUMBER(Sync!$AE501),INT(MOD(Sync!$AE501,10000)/100),IFERROR(VALUE(TRIM(LEFT(MID(Sync!$AE501,FIND("/",Sync!$AE501)+1,20),FIND("/",MID(Sync!$AE501,FIND("/",Sync!$AE501)+1,20))-1))),"")))</f>
        <v/>
      </c>
      <c r="I501" t="str">
        <f>IF(OR($F501="",$G501=""),"",IF(ISNUMBER(Sync!$AE501),MOD(Sync!$AE501,100),IFERROR(VALUE(TRIM(MID(MID(Sync!$AE501,FIND("/",Sync!$AE501)+1,20),FIND("/",MID(Sync!$AE501,FIND("/",Sync!$AE501)+1,20))+1,20))),"")))</f>
        <v/>
      </c>
      <c r="J501" t="str">
        <f t="shared" si="37"/>
        <v/>
      </c>
      <c r="K501" t="str">
        <f>IF(OR($F501="",$J501="",$J501="نامعتبر"),"",LEFT($J501,4)&amp;MID($J501,6,2)&amp;RIGHT($J501,2)&amp;$N501&amp;"|"&amp;"2"&amp;RIGHT("00000"&amp;496,5))</f>
        <v/>
      </c>
      <c r="L501" t="str">
        <f t="shared" si="38"/>
        <v/>
      </c>
      <c r="M501" t="str">
        <f t="shared" si="39"/>
        <v/>
      </c>
      <c r="N501" t="str">
        <f>IF($F501="","",IF(Sync!$AF501="","0000",IF(AND(ISNUMBER(Sync!$AF501),Sync!$AF501&gt;=0,Sync!$AF501&lt;1),RIGHT("00"&amp;HOUR(Sync!$AF501),2)&amp;RIGHT("00"&amp;MINUTE(Sync!$AF501),2),IFERROR(RIGHT("00"&amp;VALUE(LEFT(Sync!$AF501,FIND(":",Sync!$AF501)-1)),2)&amp;RIGHT("00"&amp;VALUE(MID(Sync!$AF501,FIND(":",Sync!$AF501)+1,2)),2),"0000"))))</f>
        <v/>
      </c>
    </row>
    <row r="502" spans="1:14" x14ac:dyDescent="0.2">
      <c r="A502" t="str">
        <f>IF(OR(Calc!$E506="",Calc!$E506="نامعتبر",Calc!$G506=""),"",Calc!$G506)</f>
        <v/>
      </c>
      <c r="B502" t="str">
        <f>IF($A502="","",LEFT(Calc!$E506,4)&amp;MID(Calc!$E506,6,2)&amp;RIGHT(Calc!$E506,2)&amp;Calc!$Q506&amp;"|"&amp;"1"&amp;RIGHT("00000"&amp;497,5))</f>
        <v/>
      </c>
      <c r="C502" t="str">
        <f t="shared" si="35"/>
        <v/>
      </c>
      <c r="D502" t="str">
        <f t="shared" si="36"/>
        <v/>
      </c>
      <c r="F502" t="str">
        <f>IF(Sync!$AH502="","",IF(LEFT(UPPER(TRIM(Sync!$AH502)),2)="SL",UPPER(TRIM(Sync!$AH502)),""))</f>
        <v/>
      </c>
      <c r="G502" t="str">
        <f>IF($F502="","",IF(Sync!$AE502="","",IF(ISNUMBER(Sync!$AE502),IF(AND(Sync!$AE502&gt;=10000101,Sync!$AE502&lt;=99991231),INT(Sync!$AE502/10000),""),IFERROR(VALUE(TRIM(LEFT(Sync!$AE502,FIND("/",Sync!$AE502)-1))),""))))</f>
        <v/>
      </c>
      <c r="H502" t="str">
        <f>IF(OR($F502="",$G502=""),"",IF(ISNUMBER(Sync!$AE502),INT(MOD(Sync!$AE502,10000)/100),IFERROR(VALUE(TRIM(LEFT(MID(Sync!$AE502,FIND("/",Sync!$AE502)+1,20),FIND("/",MID(Sync!$AE502,FIND("/",Sync!$AE502)+1,20))-1))),"")))</f>
        <v/>
      </c>
      <c r="I502" t="str">
        <f>IF(OR($F502="",$G502=""),"",IF(ISNUMBER(Sync!$AE502),MOD(Sync!$AE502,100),IFERROR(VALUE(TRIM(MID(MID(Sync!$AE502,FIND("/",Sync!$AE502)+1,20),FIND("/",MID(Sync!$AE502,FIND("/",Sync!$AE502)+1,20))+1,20))),"")))</f>
        <v/>
      </c>
      <c r="J502" t="str">
        <f t="shared" si="37"/>
        <v/>
      </c>
      <c r="K502" t="str">
        <f>IF(OR($F502="",$J502="",$J502="نامعتبر"),"",LEFT($J502,4)&amp;MID($J502,6,2)&amp;RIGHT($J502,2)&amp;$N502&amp;"|"&amp;"2"&amp;RIGHT("00000"&amp;497,5))</f>
        <v/>
      </c>
      <c r="L502" t="str">
        <f t="shared" si="38"/>
        <v/>
      </c>
      <c r="M502" t="str">
        <f t="shared" si="39"/>
        <v/>
      </c>
      <c r="N502" t="str">
        <f>IF($F502="","",IF(Sync!$AF502="","0000",IF(AND(ISNUMBER(Sync!$AF502),Sync!$AF502&gt;=0,Sync!$AF502&lt;1),RIGHT("00"&amp;HOUR(Sync!$AF502),2)&amp;RIGHT("00"&amp;MINUTE(Sync!$AF502),2),IFERROR(RIGHT("00"&amp;VALUE(LEFT(Sync!$AF502,FIND(":",Sync!$AF502)-1)),2)&amp;RIGHT("00"&amp;VALUE(MID(Sync!$AF502,FIND(":",Sync!$AF502)+1,2)),2),"0000"))))</f>
        <v/>
      </c>
    </row>
    <row r="503" spans="1:14" x14ac:dyDescent="0.2">
      <c r="A503" t="str">
        <f>IF(OR(Calc!$E507="",Calc!$E507="نامعتبر",Calc!$G507=""),"",Calc!$G507)</f>
        <v/>
      </c>
      <c r="B503" t="str">
        <f>IF($A503="","",LEFT(Calc!$E507,4)&amp;MID(Calc!$E507,6,2)&amp;RIGHT(Calc!$E507,2)&amp;Calc!$Q507&amp;"|"&amp;"1"&amp;RIGHT("00000"&amp;498,5))</f>
        <v/>
      </c>
      <c r="C503" t="str">
        <f t="shared" si="35"/>
        <v/>
      </c>
      <c r="D503" t="str">
        <f t="shared" si="36"/>
        <v/>
      </c>
      <c r="F503" t="str">
        <f>IF(Sync!$AH503="","",IF(LEFT(UPPER(TRIM(Sync!$AH503)),2)="SL",UPPER(TRIM(Sync!$AH503)),""))</f>
        <v/>
      </c>
      <c r="G503" t="str">
        <f>IF($F503="","",IF(Sync!$AE503="","",IF(ISNUMBER(Sync!$AE503),IF(AND(Sync!$AE503&gt;=10000101,Sync!$AE503&lt;=99991231),INT(Sync!$AE503/10000),""),IFERROR(VALUE(TRIM(LEFT(Sync!$AE503,FIND("/",Sync!$AE503)-1))),""))))</f>
        <v/>
      </c>
      <c r="H503" t="str">
        <f>IF(OR($F503="",$G503=""),"",IF(ISNUMBER(Sync!$AE503),INT(MOD(Sync!$AE503,10000)/100),IFERROR(VALUE(TRIM(LEFT(MID(Sync!$AE503,FIND("/",Sync!$AE503)+1,20),FIND("/",MID(Sync!$AE503,FIND("/",Sync!$AE503)+1,20))-1))),"")))</f>
        <v/>
      </c>
      <c r="I503" t="str">
        <f>IF(OR($F503="",$G503=""),"",IF(ISNUMBER(Sync!$AE503),MOD(Sync!$AE503,100),IFERROR(VALUE(TRIM(MID(MID(Sync!$AE503,FIND("/",Sync!$AE503)+1,20),FIND("/",MID(Sync!$AE503,FIND("/",Sync!$AE503)+1,20))+1,20))),"")))</f>
        <v/>
      </c>
      <c r="J503" t="str">
        <f t="shared" si="37"/>
        <v/>
      </c>
      <c r="K503" t="str">
        <f>IF(OR($F503="",$J503="",$J503="نامعتبر"),"",LEFT($J503,4)&amp;MID($J503,6,2)&amp;RIGHT($J503,2)&amp;$N503&amp;"|"&amp;"2"&amp;RIGHT("00000"&amp;498,5))</f>
        <v/>
      </c>
      <c r="L503" t="str">
        <f t="shared" si="38"/>
        <v/>
      </c>
      <c r="M503" t="str">
        <f t="shared" si="39"/>
        <v/>
      </c>
      <c r="N503" t="str">
        <f>IF($F503="","",IF(Sync!$AF503="","0000",IF(AND(ISNUMBER(Sync!$AF503),Sync!$AF503&gt;=0,Sync!$AF503&lt;1),RIGHT("00"&amp;HOUR(Sync!$AF503),2)&amp;RIGHT("00"&amp;MINUTE(Sync!$AF503),2),IFERROR(RIGHT("00"&amp;VALUE(LEFT(Sync!$AF503,FIND(":",Sync!$AF503)-1)),2)&amp;RIGHT("00"&amp;VALUE(MID(Sync!$AF503,FIND(":",Sync!$AF503)+1,2)),2),"0000"))))</f>
        <v/>
      </c>
    </row>
    <row r="504" spans="1:14" x14ac:dyDescent="0.2">
      <c r="A504" t="str">
        <f>IF(OR(Calc!$E508="",Calc!$E508="نامعتبر",Calc!$G508=""),"",Calc!$G508)</f>
        <v/>
      </c>
      <c r="B504" t="str">
        <f>IF($A504="","",LEFT(Calc!$E508,4)&amp;MID(Calc!$E508,6,2)&amp;RIGHT(Calc!$E508,2)&amp;Calc!$Q508&amp;"|"&amp;"1"&amp;RIGHT("00000"&amp;499,5))</f>
        <v/>
      </c>
      <c r="C504" t="str">
        <f t="shared" si="35"/>
        <v/>
      </c>
      <c r="D504" t="str">
        <f t="shared" si="36"/>
        <v/>
      </c>
      <c r="F504" t="str">
        <f>IF(Sync!$AH504="","",IF(LEFT(UPPER(TRIM(Sync!$AH504)),2)="SL",UPPER(TRIM(Sync!$AH504)),""))</f>
        <v/>
      </c>
      <c r="G504" t="str">
        <f>IF($F504="","",IF(Sync!$AE504="","",IF(ISNUMBER(Sync!$AE504),IF(AND(Sync!$AE504&gt;=10000101,Sync!$AE504&lt;=99991231),INT(Sync!$AE504/10000),""),IFERROR(VALUE(TRIM(LEFT(Sync!$AE504,FIND("/",Sync!$AE504)-1))),""))))</f>
        <v/>
      </c>
      <c r="H504" t="str">
        <f>IF(OR($F504="",$G504=""),"",IF(ISNUMBER(Sync!$AE504),INT(MOD(Sync!$AE504,10000)/100),IFERROR(VALUE(TRIM(LEFT(MID(Sync!$AE504,FIND("/",Sync!$AE504)+1,20),FIND("/",MID(Sync!$AE504,FIND("/",Sync!$AE504)+1,20))-1))),"")))</f>
        <v/>
      </c>
      <c r="I504" t="str">
        <f>IF(OR($F504="",$G504=""),"",IF(ISNUMBER(Sync!$AE504),MOD(Sync!$AE504,100),IFERROR(VALUE(TRIM(MID(MID(Sync!$AE504,FIND("/",Sync!$AE504)+1,20),FIND("/",MID(Sync!$AE504,FIND("/",Sync!$AE504)+1,20))+1,20))),"")))</f>
        <v/>
      </c>
      <c r="J504" t="str">
        <f t="shared" si="37"/>
        <v/>
      </c>
      <c r="K504" t="str">
        <f>IF(OR($F504="",$J504="",$J504="نامعتبر"),"",LEFT($J504,4)&amp;MID($J504,6,2)&amp;RIGHT($J504,2)&amp;$N504&amp;"|"&amp;"2"&amp;RIGHT("00000"&amp;499,5))</f>
        <v/>
      </c>
      <c r="L504" t="str">
        <f t="shared" si="38"/>
        <v/>
      </c>
      <c r="M504" t="str">
        <f t="shared" si="39"/>
        <v/>
      </c>
      <c r="N504" t="str">
        <f>IF($F504="","",IF(Sync!$AF504="","0000",IF(AND(ISNUMBER(Sync!$AF504),Sync!$AF504&gt;=0,Sync!$AF504&lt;1),RIGHT("00"&amp;HOUR(Sync!$AF504),2)&amp;RIGHT("00"&amp;MINUTE(Sync!$AF504),2),IFERROR(RIGHT("00"&amp;VALUE(LEFT(Sync!$AF504,FIND(":",Sync!$AF504)-1)),2)&amp;RIGHT("00"&amp;VALUE(MID(Sync!$AF504,FIND(":",Sync!$AF504)+1,2)),2),"0000"))))</f>
        <v/>
      </c>
    </row>
    <row r="505" spans="1:14" x14ac:dyDescent="0.2">
      <c r="A505" t="str">
        <f>IF(OR(Calc!$E509="",Calc!$E509="نامعتبر",Calc!$G509=""),"",Calc!$G509)</f>
        <v/>
      </c>
      <c r="B505" t="str">
        <f>IF($A505="","",LEFT(Calc!$E509,4)&amp;MID(Calc!$E509,6,2)&amp;RIGHT(Calc!$E509,2)&amp;Calc!$Q509&amp;"|"&amp;"1"&amp;RIGHT("00000"&amp;500,5))</f>
        <v/>
      </c>
      <c r="C505" t="str">
        <f t="shared" si="35"/>
        <v/>
      </c>
      <c r="D505" t="str">
        <f t="shared" si="36"/>
        <v/>
      </c>
      <c r="F505" t="str">
        <f>IF(Sync!$AH505="","",IF(LEFT(UPPER(TRIM(Sync!$AH505)),2)="SL",UPPER(TRIM(Sync!$AH505)),""))</f>
        <v/>
      </c>
      <c r="G505" t="str">
        <f>IF($F505="","",IF(Sync!$AE505="","",IF(ISNUMBER(Sync!$AE505),IF(AND(Sync!$AE505&gt;=10000101,Sync!$AE505&lt;=99991231),INT(Sync!$AE505/10000),""),IFERROR(VALUE(TRIM(LEFT(Sync!$AE505,FIND("/",Sync!$AE505)-1))),""))))</f>
        <v/>
      </c>
      <c r="H505" t="str">
        <f>IF(OR($F505="",$G505=""),"",IF(ISNUMBER(Sync!$AE505),INT(MOD(Sync!$AE505,10000)/100),IFERROR(VALUE(TRIM(LEFT(MID(Sync!$AE505,FIND("/",Sync!$AE505)+1,20),FIND("/",MID(Sync!$AE505,FIND("/",Sync!$AE505)+1,20))-1))),"")))</f>
        <v/>
      </c>
      <c r="I505" t="str">
        <f>IF(OR($F505="",$G505=""),"",IF(ISNUMBER(Sync!$AE505),MOD(Sync!$AE505,100),IFERROR(VALUE(TRIM(MID(MID(Sync!$AE505,FIND("/",Sync!$AE505)+1,20),FIND("/",MID(Sync!$AE505,FIND("/",Sync!$AE505)+1,20))+1,20))),"")))</f>
        <v/>
      </c>
      <c r="J505" t="str">
        <f t="shared" si="37"/>
        <v/>
      </c>
      <c r="K505" t="str">
        <f>IF(OR($F505="",$J505="",$J505="نامعتبر"),"",LEFT($J505,4)&amp;MID($J505,6,2)&amp;RIGHT($J505,2)&amp;$N505&amp;"|"&amp;"2"&amp;RIGHT("00000"&amp;500,5))</f>
        <v/>
      </c>
      <c r="L505" t="str">
        <f t="shared" si="38"/>
        <v/>
      </c>
      <c r="M505" t="str">
        <f t="shared" si="39"/>
        <v/>
      </c>
      <c r="N505" t="str">
        <f>IF($F505="","",IF(Sync!$AF505="","0000",IF(AND(ISNUMBER(Sync!$AF505),Sync!$AF505&gt;=0,Sync!$AF505&lt;1),RIGHT("00"&amp;HOUR(Sync!$AF505),2)&amp;RIGHT("00"&amp;MINUTE(Sync!$AF505),2),IFERROR(RIGHT("00"&amp;VALUE(LEFT(Sync!$AF505,FIND(":",Sync!$AF505)-1)),2)&amp;RIGHT("00"&amp;VALUE(MID(Sync!$AF505,FIND(":",Sync!$AF505)+1,2)),2),"0000"))))</f>
        <v/>
      </c>
    </row>
    <row r="506" spans="1:14" x14ac:dyDescent="0.2">
      <c r="A506" t="str">
        <f>IF(OR(Calc!$E510="",Calc!$E510="نامعتبر",Calc!$G510=""),"",Calc!$G510)</f>
        <v/>
      </c>
      <c r="B506" t="str">
        <f>IF($A506="","",LEFT(Calc!$E510,4)&amp;MID(Calc!$E510,6,2)&amp;RIGHT(Calc!$E510,2)&amp;Calc!$Q510&amp;"|"&amp;"1"&amp;RIGHT("00000"&amp;501,5))</f>
        <v/>
      </c>
      <c r="C506" t="str">
        <f t="shared" si="35"/>
        <v/>
      </c>
      <c r="D506" t="str">
        <f t="shared" si="36"/>
        <v/>
      </c>
      <c r="F506" t="str">
        <f>IF(Sync!$AH506="","",IF(LEFT(UPPER(TRIM(Sync!$AH506)),2)="SL",UPPER(TRIM(Sync!$AH506)),""))</f>
        <v/>
      </c>
      <c r="G506" t="str">
        <f>IF($F506="","",IF(Sync!$AE506="","",IF(ISNUMBER(Sync!$AE506),IF(AND(Sync!$AE506&gt;=10000101,Sync!$AE506&lt;=99991231),INT(Sync!$AE506/10000),""),IFERROR(VALUE(TRIM(LEFT(Sync!$AE506,FIND("/",Sync!$AE506)-1))),""))))</f>
        <v/>
      </c>
      <c r="H506" t="str">
        <f>IF(OR($F506="",$G506=""),"",IF(ISNUMBER(Sync!$AE506),INT(MOD(Sync!$AE506,10000)/100),IFERROR(VALUE(TRIM(LEFT(MID(Sync!$AE506,FIND("/",Sync!$AE506)+1,20),FIND("/",MID(Sync!$AE506,FIND("/",Sync!$AE506)+1,20))-1))),"")))</f>
        <v/>
      </c>
      <c r="I506" t="str">
        <f>IF(OR($F506="",$G506=""),"",IF(ISNUMBER(Sync!$AE506),MOD(Sync!$AE506,100),IFERROR(VALUE(TRIM(MID(MID(Sync!$AE506,FIND("/",Sync!$AE506)+1,20),FIND("/",MID(Sync!$AE506,FIND("/",Sync!$AE506)+1,20))+1,20))),"")))</f>
        <v/>
      </c>
      <c r="J506" t="str">
        <f t="shared" si="37"/>
        <v/>
      </c>
      <c r="K506" t="str">
        <f>IF(OR($F506="",$J506="",$J506="نامعتبر"),"",LEFT($J506,4)&amp;MID($J506,6,2)&amp;RIGHT($J506,2)&amp;$N506&amp;"|"&amp;"2"&amp;RIGHT("00000"&amp;501,5))</f>
        <v/>
      </c>
      <c r="L506" t="str">
        <f t="shared" si="38"/>
        <v/>
      </c>
      <c r="M506" t="str">
        <f t="shared" si="39"/>
        <v/>
      </c>
      <c r="N506" t="str">
        <f>IF($F506="","",IF(Sync!$AF506="","0000",IF(AND(ISNUMBER(Sync!$AF506),Sync!$AF506&gt;=0,Sync!$AF506&lt;1),RIGHT("00"&amp;HOUR(Sync!$AF506),2)&amp;RIGHT("00"&amp;MINUTE(Sync!$AF506),2),IFERROR(RIGHT("00"&amp;VALUE(LEFT(Sync!$AF506,FIND(":",Sync!$AF506)-1)),2)&amp;RIGHT("00"&amp;VALUE(MID(Sync!$AF506,FIND(":",Sync!$AF506)+1,2)),2),"0000"))))</f>
        <v/>
      </c>
    </row>
    <row r="507" spans="1:14" x14ac:dyDescent="0.2">
      <c r="A507" t="str">
        <f>IF(OR(Calc!$E511="",Calc!$E511="نامعتبر",Calc!$G511=""),"",Calc!$G511)</f>
        <v/>
      </c>
      <c r="B507" t="str">
        <f>IF($A507="","",LEFT(Calc!$E511,4)&amp;MID(Calc!$E511,6,2)&amp;RIGHT(Calc!$E511,2)&amp;Calc!$Q511&amp;"|"&amp;"1"&amp;RIGHT("00000"&amp;502,5))</f>
        <v/>
      </c>
      <c r="C507" t="str">
        <f t="shared" si="35"/>
        <v/>
      </c>
      <c r="D507" t="str">
        <f t="shared" si="36"/>
        <v/>
      </c>
      <c r="F507" t="str">
        <f>IF(Sync!$AH507="","",IF(LEFT(UPPER(TRIM(Sync!$AH507)),2)="SL",UPPER(TRIM(Sync!$AH507)),""))</f>
        <v/>
      </c>
      <c r="G507" t="str">
        <f>IF($F507="","",IF(Sync!$AE507="","",IF(ISNUMBER(Sync!$AE507),IF(AND(Sync!$AE507&gt;=10000101,Sync!$AE507&lt;=99991231),INT(Sync!$AE507/10000),""),IFERROR(VALUE(TRIM(LEFT(Sync!$AE507,FIND("/",Sync!$AE507)-1))),""))))</f>
        <v/>
      </c>
      <c r="H507" t="str">
        <f>IF(OR($F507="",$G507=""),"",IF(ISNUMBER(Sync!$AE507),INT(MOD(Sync!$AE507,10000)/100),IFERROR(VALUE(TRIM(LEFT(MID(Sync!$AE507,FIND("/",Sync!$AE507)+1,20),FIND("/",MID(Sync!$AE507,FIND("/",Sync!$AE507)+1,20))-1))),"")))</f>
        <v/>
      </c>
      <c r="I507" t="str">
        <f>IF(OR($F507="",$G507=""),"",IF(ISNUMBER(Sync!$AE507),MOD(Sync!$AE507,100),IFERROR(VALUE(TRIM(MID(MID(Sync!$AE507,FIND("/",Sync!$AE507)+1,20),FIND("/",MID(Sync!$AE507,FIND("/",Sync!$AE507)+1,20))+1,20))),"")))</f>
        <v/>
      </c>
      <c r="J507" t="str">
        <f t="shared" si="37"/>
        <v/>
      </c>
      <c r="K507" t="str">
        <f>IF(OR($F507="",$J507="",$J507="نامعتبر"),"",LEFT($J507,4)&amp;MID($J507,6,2)&amp;RIGHT($J507,2)&amp;$N507&amp;"|"&amp;"2"&amp;RIGHT("00000"&amp;502,5))</f>
        <v/>
      </c>
      <c r="L507" t="str">
        <f t="shared" si="38"/>
        <v/>
      </c>
      <c r="M507" t="str">
        <f t="shared" si="39"/>
        <v/>
      </c>
      <c r="N507" t="str">
        <f>IF($F507="","",IF(Sync!$AF507="","0000",IF(AND(ISNUMBER(Sync!$AF507),Sync!$AF507&gt;=0,Sync!$AF507&lt;1),RIGHT("00"&amp;HOUR(Sync!$AF507),2)&amp;RIGHT("00"&amp;MINUTE(Sync!$AF507),2),IFERROR(RIGHT("00"&amp;VALUE(LEFT(Sync!$AF507,FIND(":",Sync!$AF507)-1)),2)&amp;RIGHT("00"&amp;VALUE(MID(Sync!$AF507,FIND(":",Sync!$AF507)+1,2)),2),"0000"))))</f>
        <v/>
      </c>
    </row>
    <row r="508" spans="1:14" x14ac:dyDescent="0.2">
      <c r="A508" t="str">
        <f>IF(OR(Calc!$E512="",Calc!$E512="نامعتبر",Calc!$G512=""),"",Calc!$G512)</f>
        <v/>
      </c>
      <c r="B508" t="str">
        <f>IF($A508="","",LEFT(Calc!$E512,4)&amp;MID(Calc!$E512,6,2)&amp;RIGHT(Calc!$E512,2)&amp;Calc!$Q512&amp;"|"&amp;"1"&amp;RIGHT("00000"&amp;503,5))</f>
        <v/>
      </c>
      <c r="C508" t="str">
        <f t="shared" si="35"/>
        <v/>
      </c>
      <c r="D508" t="str">
        <f t="shared" si="36"/>
        <v/>
      </c>
      <c r="F508" t="str">
        <f>IF(Sync!$AH508="","",IF(LEFT(UPPER(TRIM(Sync!$AH508)),2)="SL",UPPER(TRIM(Sync!$AH508)),""))</f>
        <v/>
      </c>
      <c r="G508" t="str">
        <f>IF($F508="","",IF(Sync!$AE508="","",IF(ISNUMBER(Sync!$AE508),IF(AND(Sync!$AE508&gt;=10000101,Sync!$AE508&lt;=99991231),INT(Sync!$AE508/10000),""),IFERROR(VALUE(TRIM(LEFT(Sync!$AE508,FIND("/",Sync!$AE508)-1))),""))))</f>
        <v/>
      </c>
      <c r="H508" t="str">
        <f>IF(OR($F508="",$G508=""),"",IF(ISNUMBER(Sync!$AE508),INT(MOD(Sync!$AE508,10000)/100),IFERROR(VALUE(TRIM(LEFT(MID(Sync!$AE508,FIND("/",Sync!$AE508)+1,20),FIND("/",MID(Sync!$AE508,FIND("/",Sync!$AE508)+1,20))-1))),"")))</f>
        <v/>
      </c>
      <c r="I508" t="str">
        <f>IF(OR($F508="",$G508=""),"",IF(ISNUMBER(Sync!$AE508),MOD(Sync!$AE508,100),IFERROR(VALUE(TRIM(MID(MID(Sync!$AE508,FIND("/",Sync!$AE508)+1,20),FIND("/",MID(Sync!$AE508,FIND("/",Sync!$AE508)+1,20))+1,20))),"")))</f>
        <v/>
      </c>
      <c r="J508" t="str">
        <f t="shared" si="37"/>
        <v/>
      </c>
      <c r="K508" t="str">
        <f>IF(OR($F508="",$J508="",$J508="نامعتبر"),"",LEFT($J508,4)&amp;MID($J508,6,2)&amp;RIGHT($J508,2)&amp;$N508&amp;"|"&amp;"2"&amp;RIGHT("00000"&amp;503,5))</f>
        <v/>
      </c>
      <c r="L508" t="str">
        <f t="shared" si="38"/>
        <v/>
      </c>
      <c r="M508" t="str">
        <f t="shared" si="39"/>
        <v/>
      </c>
      <c r="N508" t="str">
        <f>IF($F508="","",IF(Sync!$AF508="","0000",IF(AND(ISNUMBER(Sync!$AF508),Sync!$AF508&gt;=0,Sync!$AF508&lt;1),RIGHT("00"&amp;HOUR(Sync!$AF508),2)&amp;RIGHT("00"&amp;MINUTE(Sync!$AF508),2),IFERROR(RIGHT("00"&amp;VALUE(LEFT(Sync!$AF508,FIND(":",Sync!$AF508)-1)),2)&amp;RIGHT("00"&amp;VALUE(MID(Sync!$AF508,FIND(":",Sync!$AF508)+1,2)),2),"0000"))))</f>
        <v/>
      </c>
    </row>
    <row r="509" spans="1:14" x14ac:dyDescent="0.2">
      <c r="A509" t="str">
        <f>IF(OR(Calc!$E513="",Calc!$E513="نامعتبر",Calc!$G513=""),"",Calc!$G513)</f>
        <v/>
      </c>
      <c r="B509" t="str">
        <f>IF($A509="","",LEFT(Calc!$E513,4)&amp;MID(Calc!$E513,6,2)&amp;RIGHT(Calc!$E513,2)&amp;Calc!$Q513&amp;"|"&amp;"1"&amp;RIGHT("00000"&amp;504,5))</f>
        <v/>
      </c>
      <c r="C509" t="str">
        <f t="shared" si="35"/>
        <v/>
      </c>
      <c r="D509" t="str">
        <f t="shared" si="36"/>
        <v/>
      </c>
      <c r="F509" t="str">
        <f>IF(Sync!$AH509="","",IF(LEFT(UPPER(TRIM(Sync!$AH509)),2)="SL",UPPER(TRIM(Sync!$AH509)),""))</f>
        <v/>
      </c>
      <c r="G509" t="str">
        <f>IF($F509="","",IF(Sync!$AE509="","",IF(ISNUMBER(Sync!$AE509),IF(AND(Sync!$AE509&gt;=10000101,Sync!$AE509&lt;=99991231),INT(Sync!$AE509/10000),""),IFERROR(VALUE(TRIM(LEFT(Sync!$AE509,FIND("/",Sync!$AE509)-1))),""))))</f>
        <v/>
      </c>
      <c r="H509" t="str">
        <f>IF(OR($F509="",$G509=""),"",IF(ISNUMBER(Sync!$AE509),INT(MOD(Sync!$AE509,10000)/100),IFERROR(VALUE(TRIM(LEFT(MID(Sync!$AE509,FIND("/",Sync!$AE509)+1,20),FIND("/",MID(Sync!$AE509,FIND("/",Sync!$AE509)+1,20))-1))),"")))</f>
        <v/>
      </c>
      <c r="I509" t="str">
        <f>IF(OR($F509="",$G509=""),"",IF(ISNUMBER(Sync!$AE509),MOD(Sync!$AE509,100),IFERROR(VALUE(TRIM(MID(MID(Sync!$AE509,FIND("/",Sync!$AE509)+1,20),FIND("/",MID(Sync!$AE509,FIND("/",Sync!$AE509)+1,20))+1,20))),"")))</f>
        <v/>
      </c>
      <c r="J509" t="str">
        <f t="shared" si="37"/>
        <v/>
      </c>
      <c r="K509" t="str">
        <f>IF(OR($F509="",$J509="",$J509="نامعتبر"),"",LEFT($J509,4)&amp;MID($J509,6,2)&amp;RIGHT($J509,2)&amp;$N509&amp;"|"&amp;"2"&amp;RIGHT("00000"&amp;504,5))</f>
        <v/>
      </c>
      <c r="L509" t="str">
        <f t="shared" si="38"/>
        <v/>
      </c>
      <c r="M509" t="str">
        <f t="shared" si="39"/>
        <v/>
      </c>
      <c r="N509" t="str">
        <f>IF($F509="","",IF(Sync!$AF509="","0000",IF(AND(ISNUMBER(Sync!$AF509),Sync!$AF509&gt;=0,Sync!$AF509&lt;1),RIGHT("00"&amp;HOUR(Sync!$AF509),2)&amp;RIGHT("00"&amp;MINUTE(Sync!$AF509),2),IFERROR(RIGHT("00"&amp;VALUE(LEFT(Sync!$AF509,FIND(":",Sync!$AF509)-1)),2)&amp;RIGHT("00"&amp;VALUE(MID(Sync!$AF509,FIND(":",Sync!$AF509)+1,2)),2),"0000"))))</f>
        <v/>
      </c>
    </row>
    <row r="510" spans="1:14" x14ac:dyDescent="0.2">
      <c r="A510" t="str">
        <f>IF(OR(Calc!$E514="",Calc!$E514="نامعتبر",Calc!$G514=""),"",Calc!$G514)</f>
        <v/>
      </c>
      <c r="B510" t="str">
        <f>IF($A510="","",LEFT(Calc!$E514,4)&amp;MID(Calc!$E514,6,2)&amp;RIGHT(Calc!$E514,2)&amp;Calc!$Q514&amp;"|"&amp;"1"&amp;RIGHT("00000"&amp;505,5))</f>
        <v/>
      </c>
      <c r="C510" t="str">
        <f t="shared" si="35"/>
        <v/>
      </c>
      <c r="D510" t="str">
        <f t="shared" si="36"/>
        <v/>
      </c>
      <c r="F510" t="str">
        <f>IF(Sync!$AH510="","",IF(LEFT(UPPER(TRIM(Sync!$AH510)),2)="SL",UPPER(TRIM(Sync!$AH510)),""))</f>
        <v/>
      </c>
      <c r="G510" t="str">
        <f>IF($F510="","",IF(Sync!$AE510="","",IF(ISNUMBER(Sync!$AE510),IF(AND(Sync!$AE510&gt;=10000101,Sync!$AE510&lt;=99991231),INT(Sync!$AE510/10000),""),IFERROR(VALUE(TRIM(LEFT(Sync!$AE510,FIND("/",Sync!$AE510)-1))),""))))</f>
        <v/>
      </c>
      <c r="H510" t="str">
        <f>IF(OR($F510="",$G510=""),"",IF(ISNUMBER(Sync!$AE510),INT(MOD(Sync!$AE510,10000)/100),IFERROR(VALUE(TRIM(LEFT(MID(Sync!$AE510,FIND("/",Sync!$AE510)+1,20),FIND("/",MID(Sync!$AE510,FIND("/",Sync!$AE510)+1,20))-1))),"")))</f>
        <v/>
      </c>
      <c r="I510" t="str">
        <f>IF(OR($F510="",$G510=""),"",IF(ISNUMBER(Sync!$AE510),MOD(Sync!$AE510,100),IFERROR(VALUE(TRIM(MID(MID(Sync!$AE510,FIND("/",Sync!$AE510)+1,20),FIND("/",MID(Sync!$AE510,FIND("/",Sync!$AE510)+1,20))+1,20))),"")))</f>
        <v/>
      </c>
      <c r="J510" t="str">
        <f t="shared" si="37"/>
        <v/>
      </c>
      <c r="K510" t="str">
        <f>IF(OR($F510="",$J510="",$J510="نامعتبر"),"",LEFT($J510,4)&amp;MID($J510,6,2)&amp;RIGHT($J510,2)&amp;$N510&amp;"|"&amp;"2"&amp;RIGHT("00000"&amp;505,5))</f>
        <v/>
      </c>
      <c r="L510" t="str">
        <f t="shared" si="38"/>
        <v/>
      </c>
      <c r="M510" t="str">
        <f t="shared" si="39"/>
        <v/>
      </c>
      <c r="N510" t="str">
        <f>IF($F510="","",IF(Sync!$AF510="","0000",IF(AND(ISNUMBER(Sync!$AF510),Sync!$AF510&gt;=0,Sync!$AF510&lt;1),RIGHT("00"&amp;HOUR(Sync!$AF510),2)&amp;RIGHT("00"&amp;MINUTE(Sync!$AF510),2),IFERROR(RIGHT("00"&amp;VALUE(LEFT(Sync!$AF510,FIND(":",Sync!$AF510)-1)),2)&amp;RIGHT("00"&amp;VALUE(MID(Sync!$AF510,FIND(":",Sync!$AF510)+1,2)),2),"0000"))))</f>
        <v/>
      </c>
    </row>
    <row r="511" spans="1:14" x14ac:dyDescent="0.2">
      <c r="A511" t="str">
        <f>IF(OR(Calc!$E515="",Calc!$E515="نامعتبر",Calc!$G515=""),"",Calc!$G515)</f>
        <v/>
      </c>
      <c r="B511" t="str">
        <f>IF($A511="","",LEFT(Calc!$E515,4)&amp;MID(Calc!$E515,6,2)&amp;RIGHT(Calc!$E515,2)&amp;Calc!$Q515&amp;"|"&amp;"1"&amp;RIGHT("00000"&amp;506,5))</f>
        <v/>
      </c>
      <c r="C511" t="str">
        <f t="shared" si="35"/>
        <v/>
      </c>
      <c r="D511" t="str">
        <f t="shared" si="36"/>
        <v/>
      </c>
      <c r="F511" t="str">
        <f>IF(Sync!$AH511="","",IF(LEFT(UPPER(TRIM(Sync!$AH511)),2)="SL",UPPER(TRIM(Sync!$AH511)),""))</f>
        <v/>
      </c>
      <c r="G511" t="str">
        <f>IF($F511="","",IF(Sync!$AE511="","",IF(ISNUMBER(Sync!$AE511),IF(AND(Sync!$AE511&gt;=10000101,Sync!$AE511&lt;=99991231),INT(Sync!$AE511/10000),""),IFERROR(VALUE(TRIM(LEFT(Sync!$AE511,FIND("/",Sync!$AE511)-1))),""))))</f>
        <v/>
      </c>
      <c r="H511" t="str">
        <f>IF(OR($F511="",$G511=""),"",IF(ISNUMBER(Sync!$AE511),INT(MOD(Sync!$AE511,10000)/100),IFERROR(VALUE(TRIM(LEFT(MID(Sync!$AE511,FIND("/",Sync!$AE511)+1,20),FIND("/",MID(Sync!$AE511,FIND("/",Sync!$AE511)+1,20))-1))),"")))</f>
        <v/>
      </c>
      <c r="I511" t="str">
        <f>IF(OR($F511="",$G511=""),"",IF(ISNUMBER(Sync!$AE511),MOD(Sync!$AE511,100),IFERROR(VALUE(TRIM(MID(MID(Sync!$AE511,FIND("/",Sync!$AE511)+1,20),FIND("/",MID(Sync!$AE511,FIND("/",Sync!$AE511)+1,20))+1,20))),"")))</f>
        <v/>
      </c>
      <c r="J511" t="str">
        <f t="shared" si="37"/>
        <v/>
      </c>
      <c r="K511" t="str">
        <f>IF(OR($F511="",$J511="",$J511="نامعتبر"),"",LEFT($J511,4)&amp;MID($J511,6,2)&amp;RIGHT($J511,2)&amp;$N511&amp;"|"&amp;"2"&amp;RIGHT("00000"&amp;506,5))</f>
        <v/>
      </c>
      <c r="L511" t="str">
        <f t="shared" si="38"/>
        <v/>
      </c>
      <c r="M511" t="str">
        <f t="shared" si="39"/>
        <v/>
      </c>
      <c r="N511" t="str">
        <f>IF($F511="","",IF(Sync!$AF511="","0000",IF(AND(ISNUMBER(Sync!$AF511),Sync!$AF511&gt;=0,Sync!$AF511&lt;1),RIGHT("00"&amp;HOUR(Sync!$AF511),2)&amp;RIGHT("00"&amp;MINUTE(Sync!$AF511),2),IFERROR(RIGHT("00"&amp;VALUE(LEFT(Sync!$AF511,FIND(":",Sync!$AF511)-1)),2)&amp;RIGHT("00"&amp;VALUE(MID(Sync!$AF511,FIND(":",Sync!$AF511)+1,2)),2),"0000"))))</f>
        <v/>
      </c>
    </row>
    <row r="512" spans="1:14" x14ac:dyDescent="0.2">
      <c r="A512" t="str">
        <f>IF(OR(Calc!$E516="",Calc!$E516="نامعتبر",Calc!$G516=""),"",Calc!$G516)</f>
        <v/>
      </c>
      <c r="B512" t="str">
        <f>IF($A512="","",LEFT(Calc!$E516,4)&amp;MID(Calc!$E516,6,2)&amp;RIGHT(Calc!$E516,2)&amp;Calc!$Q516&amp;"|"&amp;"1"&amp;RIGHT("00000"&amp;507,5))</f>
        <v/>
      </c>
      <c r="C512" t="str">
        <f t="shared" si="35"/>
        <v/>
      </c>
      <c r="D512" t="str">
        <f t="shared" si="36"/>
        <v/>
      </c>
      <c r="F512" t="str">
        <f>IF(Sync!$AH512="","",IF(LEFT(UPPER(TRIM(Sync!$AH512)),2)="SL",UPPER(TRIM(Sync!$AH512)),""))</f>
        <v/>
      </c>
      <c r="G512" t="str">
        <f>IF($F512="","",IF(Sync!$AE512="","",IF(ISNUMBER(Sync!$AE512),IF(AND(Sync!$AE512&gt;=10000101,Sync!$AE512&lt;=99991231),INT(Sync!$AE512/10000),""),IFERROR(VALUE(TRIM(LEFT(Sync!$AE512,FIND("/",Sync!$AE512)-1))),""))))</f>
        <v/>
      </c>
      <c r="H512" t="str">
        <f>IF(OR($F512="",$G512=""),"",IF(ISNUMBER(Sync!$AE512),INT(MOD(Sync!$AE512,10000)/100),IFERROR(VALUE(TRIM(LEFT(MID(Sync!$AE512,FIND("/",Sync!$AE512)+1,20),FIND("/",MID(Sync!$AE512,FIND("/",Sync!$AE512)+1,20))-1))),"")))</f>
        <v/>
      </c>
      <c r="I512" t="str">
        <f>IF(OR($F512="",$G512=""),"",IF(ISNUMBER(Sync!$AE512),MOD(Sync!$AE512,100),IFERROR(VALUE(TRIM(MID(MID(Sync!$AE512,FIND("/",Sync!$AE512)+1,20),FIND("/",MID(Sync!$AE512,FIND("/",Sync!$AE512)+1,20))+1,20))),"")))</f>
        <v/>
      </c>
      <c r="J512" t="str">
        <f t="shared" si="37"/>
        <v/>
      </c>
      <c r="K512" t="str">
        <f>IF(OR($F512="",$J512="",$J512="نامعتبر"),"",LEFT($J512,4)&amp;MID($J512,6,2)&amp;RIGHT($J512,2)&amp;$N512&amp;"|"&amp;"2"&amp;RIGHT("00000"&amp;507,5))</f>
        <v/>
      </c>
      <c r="L512" t="str">
        <f t="shared" si="38"/>
        <v/>
      </c>
      <c r="M512" t="str">
        <f t="shared" si="39"/>
        <v/>
      </c>
      <c r="N512" t="str">
        <f>IF($F512="","",IF(Sync!$AF512="","0000",IF(AND(ISNUMBER(Sync!$AF512),Sync!$AF512&gt;=0,Sync!$AF512&lt;1),RIGHT("00"&amp;HOUR(Sync!$AF512),2)&amp;RIGHT("00"&amp;MINUTE(Sync!$AF512),2),IFERROR(RIGHT("00"&amp;VALUE(LEFT(Sync!$AF512,FIND(":",Sync!$AF512)-1)),2)&amp;RIGHT("00"&amp;VALUE(MID(Sync!$AF512,FIND(":",Sync!$AF512)+1,2)),2),"0000"))))</f>
        <v/>
      </c>
    </row>
    <row r="513" spans="1:14" x14ac:dyDescent="0.2">
      <c r="A513" t="str">
        <f>IF(OR(Calc!$E517="",Calc!$E517="نامعتبر",Calc!$G517=""),"",Calc!$G517)</f>
        <v/>
      </c>
      <c r="B513" t="str">
        <f>IF($A513="","",LEFT(Calc!$E517,4)&amp;MID(Calc!$E517,6,2)&amp;RIGHT(Calc!$E517,2)&amp;Calc!$Q517&amp;"|"&amp;"1"&amp;RIGHT("00000"&amp;508,5))</f>
        <v/>
      </c>
      <c r="C513" t="str">
        <f t="shared" si="35"/>
        <v/>
      </c>
      <c r="D513" t="str">
        <f t="shared" si="36"/>
        <v/>
      </c>
      <c r="F513" t="str">
        <f>IF(Sync!$AH513="","",IF(LEFT(UPPER(TRIM(Sync!$AH513)),2)="SL",UPPER(TRIM(Sync!$AH513)),""))</f>
        <v/>
      </c>
      <c r="G513" t="str">
        <f>IF($F513="","",IF(Sync!$AE513="","",IF(ISNUMBER(Sync!$AE513),IF(AND(Sync!$AE513&gt;=10000101,Sync!$AE513&lt;=99991231),INT(Sync!$AE513/10000),""),IFERROR(VALUE(TRIM(LEFT(Sync!$AE513,FIND("/",Sync!$AE513)-1))),""))))</f>
        <v/>
      </c>
      <c r="H513" t="str">
        <f>IF(OR($F513="",$G513=""),"",IF(ISNUMBER(Sync!$AE513),INT(MOD(Sync!$AE513,10000)/100),IFERROR(VALUE(TRIM(LEFT(MID(Sync!$AE513,FIND("/",Sync!$AE513)+1,20),FIND("/",MID(Sync!$AE513,FIND("/",Sync!$AE513)+1,20))-1))),"")))</f>
        <v/>
      </c>
      <c r="I513" t="str">
        <f>IF(OR($F513="",$G513=""),"",IF(ISNUMBER(Sync!$AE513),MOD(Sync!$AE513,100),IFERROR(VALUE(TRIM(MID(MID(Sync!$AE513,FIND("/",Sync!$AE513)+1,20),FIND("/",MID(Sync!$AE513,FIND("/",Sync!$AE513)+1,20))+1,20))),"")))</f>
        <v/>
      </c>
      <c r="J513" t="str">
        <f t="shared" si="37"/>
        <v/>
      </c>
      <c r="K513" t="str">
        <f>IF(OR($F513="",$J513="",$J513="نامعتبر"),"",LEFT($J513,4)&amp;MID($J513,6,2)&amp;RIGHT($J513,2)&amp;$N513&amp;"|"&amp;"2"&amp;RIGHT("00000"&amp;508,5))</f>
        <v/>
      </c>
      <c r="L513" t="str">
        <f t="shared" si="38"/>
        <v/>
      </c>
      <c r="M513" t="str">
        <f t="shared" si="39"/>
        <v/>
      </c>
      <c r="N513" t="str">
        <f>IF($F513="","",IF(Sync!$AF513="","0000",IF(AND(ISNUMBER(Sync!$AF513),Sync!$AF513&gt;=0,Sync!$AF513&lt;1),RIGHT("00"&amp;HOUR(Sync!$AF513),2)&amp;RIGHT("00"&amp;MINUTE(Sync!$AF513),2),IFERROR(RIGHT("00"&amp;VALUE(LEFT(Sync!$AF513,FIND(":",Sync!$AF513)-1)),2)&amp;RIGHT("00"&amp;VALUE(MID(Sync!$AF513,FIND(":",Sync!$AF513)+1,2)),2),"0000"))))</f>
        <v/>
      </c>
    </row>
    <row r="514" spans="1:14" x14ac:dyDescent="0.2">
      <c r="A514" t="str">
        <f>IF(OR(Calc!$E518="",Calc!$E518="نامعتبر",Calc!$G518=""),"",Calc!$G518)</f>
        <v/>
      </c>
      <c r="B514" t="str">
        <f>IF($A514="","",LEFT(Calc!$E518,4)&amp;MID(Calc!$E518,6,2)&amp;RIGHT(Calc!$E518,2)&amp;Calc!$Q518&amp;"|"&amp;"1"&amp;RIGHT("00000"&amp;509,5))</f>
        <v/>
      </c>
      <c r="C514" t="str">
        <f t="shared" si="35"/>
        <v/>
      </c>
      <c r="D514" t="str">
        <f t="shared" si="36"/>
        <v/>
      </c>
      <c r="F514" t="str">
        <f>IF(Sync!$AH514="","",IF(LEFT(UPPER(TRIM(Sync!$AH514)),2)="SL",UPPER(TRIM(Sync!$AH514)),""))</f>
        <v/>
      </c>
      <c r="G514" t="str">
        <f>IF($F514="","",IF(Sync!$AE514="","",IF(ISNUMBER(Sync!$AE514),IF(AND(Sync!$AE514&gt;=10000101,Sync!$AE514&lt;=99991231),INT(Sync!$AE514/10000),""),IFERROR(VALUE(TRIM(LEFT(Sync!$AE514,FIND("/",Sync!$AE514)-1))),""))))</f>
        <v/>
      </c>
      <c r="H514" t="str">
        <f>IF(OR($F514="",$G514=""),"",IF(ISNUMBER(Sync!$AE514),INT(MOD(Sync!$AE514,10000)/100),IFERROR(VALUE(TRIM(LEFT(MID(Sync!$AE514,FIND("/",Sync!$AE514)+1,20),FIND("/",MID(Sync!$AE514,FIND("/",Sync!$AE514)+1,20))-1))),"")))</f>
        <v/>
      </c>
      <c r="I514" t="str">
        <f>IF(OR($F514="",$G514=""),"",IF(ISNUMBER(Sync!$AE514),MOD(Sync!$AE514,100),IFERROR(VALUE(TRIM(MID(MID(Sync!$AE514,FIND("/",Sync!$AE514)+1,20),FIND("/",MID(Sync!$AE514,FIND("/",Sync!$AE514)+1,20))+1,20))),"")))</f>
        <v/>
      </c>
      <c r="J514" t="str">
        <f t="shared" si="37"/>
        <v/>
      </c>
      <c r="K514" t="str">
        <f>IF(OR($F514="",$J514="",$J514="نامعتبر"),"",LEFT($J514,4)&amp;MID($J514,6,2)&amp;RIGHT($J514,2)&amp;$N514&amp;"|"&amp;"2"&amp;RIGHT("00000"&amp;509,5))</f>
        <v/>
      </c>
      <c r="L514" t="str">
        <f t="shared" si="38"/>
        <v/>
      </c>
      <c r="M514" t="str">
        <f t="shared" si="39"/>
        <v/>
      </c>
      <c r="N514" t="str">
        <f>IF($F514="","",IF(Sync!$AF514="","0000",IF(AND(ISNUMBER(Sync!$AF514),Sync!$AF514&gt;=0,Sync!$AF514&lt;1),RIGHT("00"&amp;HOUR(Sync!$AF514),2)&amp;RIGHT("00"&amp;MINUTE(Sync!$AF514),2),IFERROR(RIGHT("00"&amp;VALUE(LEFT(Sync!$AF514,FIND(":",Sync!$AF514)-1)),2)&amp;RIGHT("00"&amp;VALUE(MID(Sync!$AF514,FIND(":",Sync!$AF514)+1,2)),2),"0000"))))</f>
        <v/>
      </c>
    </row>
    <row r="515" spans="1:14" x14ac:dyDescent="0.2">
      <c r="A515" t="str">
        <f>IF(OR(Calc!$E519="",Calc!$E519="نامعتبر",Calc!$G519=""),"",Calc!$G519)</f>
        <v/>
      </c>
      <c r="B515" t="str">
        <f>IF($A515="","",LEFT(Calc!$E519,4)&amp;MID(Calc!$E519,6,2)&amp;RIGHT(Calc!$E519,2)&amp;Calc!$Q519&amp;"|"&amp;"1"&amp;RIGHT("00000"&amp;510,5))</f>
        <v/>
      </c>
      <c r="C515" t="str">
        <f t="shared" si="35"/>
        <v/>
      </c>
      <c r="D515" t="str">
        <f t="shared" si="36"/>
        <v/>
      </c>
      <c r="F515" t="str">
        <f>IF(Sync!$AH515="","",IF(LEFT(UPPER(TRIM(Sync!$AH515)),2)="SL",UPPER(TRIM(Sync!$AH515)),""))</f>
        <v/>
      </c>
      <c r="G515" t="str">
        <f>IF($F515="","",IF(Sync!$AE515="","",IF(ISNUMBER(Sync!$AE515),IF(AND(Sync!$AE515&gt;=10000101,Sync!$AE515&lt;=99991231),INT(Sync!$AE515/10000),""),IFERROR(VALUE(TRIM(LEFT(Sync!$AE515,FIND("/",Sync!$AE515)-1))),""))))</f>
        <v/>
      </c>
      <c r="H515" t="str">
        <f>IF(OR($F515="",$G515=""),"",IF(ISNUMBER(Sync!$AE515),INT(MOD(Sync!$AE515,10000)/100),IFERROR(VALUE(TRIM(LEFT(MID(Sync!$AE515,FIND("/",Sync!$AE515)+1,20),FIND("/",MID(Sync!$AE515,FIND("/",Sync!$AE515)+1,20))-1))),"")))</f>
        <v/>
      </c>
      <c r="I515" t="str">
        <f>IF(OR($F515="",$G515=""),"",IF(ISNUMBER(Sync!$AE515),MOD(Sync!$AE515,100),IFERROR(VALUE(TRIM(MID(MID(Sync!$AE515,FIND("/",Sync!$AE515)+1,20),FIND("/",MID(Sync!$AE515,FIND("/",Sync!$AE515)+1,20))+1,20))),"")))</f>
        <v/>
      </c>
      <c r="J515" t="str">
        <f t="shared" si="37"/>
        <v/>
      </c>
      <c r="K515" t="str">
        <f>IF(OR($F515="",$J515="",$J515="نامعتبر"),"",LEFT($J515,4)&amp;MID($J515,6,2)&amp;RIGHT($J515,2)&amp;$N515&amp;"|"&amp;"2"&amp;RIGHT("00000"&amp;510,5))</f>
        <v/>
      </c>
      <c r="L515" t="str">
        <f t="shared" si="38"/>
        <v/>
      </c>
      <c r="M515" t="str">
        <f t="shared" si="39"/>
        <v/>
      </c>
      <c r="N515" t="str">
        <f>IF($F515="","",IF(Sync!$AF515="","0000",IF(AND(ISNUMBER(Sync!$AF515),Sync!$AF515&gt;=0,Sync!$AF515&lt;1),RIGHT("00"&amp;HOUR(Sync!$AF515),2)&amp;RIGHT("00"&amp;MINUTE(Sync!$AF515),2),IFERROR(RIGHT("00"&amp;VALUE(LEFT(Sync!$AF515,FIND(":",Sync!$AF515)-1)),2)&amp;RIGHT("00"&amp;VALUE(MID(Sync!$AF515,FIND(":",Sync!$AF515)+1,2)),2),"0000"))))</f>
        <v/>
      </c>
    </row>
    <row r="516" spans="1:14" x14ac:dyDescent="0.2">
      <c r="A516" t="str">
        <f>IF(OR(Calc!$E520="",Calc!$E520="نامعتبر",Calc!$G520=""),"",Calc!$G520)</f>
        <v/>
      </c>
      <c r="B516" t="str">
        <f>IF($A516="","",LEFT(Calc!$E520,4)&amp;MID(Calc!$E520,6,2)&amp;RIGHT(Calc!$E520,2)&amp;Calc!$Q520&amp;"|"&amp;"1"&amp;RIGHT("00000"&amp;511,5))</f>
        <v/>
      </c>
      <c r="C516" t="str">
        <f t="shared" si="35"/>
        <v/>
      </c>
      <c r="D516" t="str">
        <f t="shared" si="36"/>
        <v/>
      </c>
      <c r="F516" t="str">
        <f>IF(Sync!$AH516="","",IF(LEFT(UPPER(TRIM(Sync!$AH516)),2)="SL",UPPER(TRIM(Sync!$AH516)),""))</f>
        <v/>
      </c>
      <c r="G516" t="str">
        <f>IF($F516="","",IF(Sync!$AE516="","",IF(ISNUMBER(Sync!$AE516),IF(AND(Sync!$AE516&gt;=10000101,Sync!$AE516&lt;=99991231),INT(Sync!$AE516/10000),""),IFERROR(VALUE(TRIM(LEFT(Sync!$AE516,FIND("/",Sync!$AE516)-1))),""))))</f>
        <v/>
      </c>
      <c r="H516" t="str">
        <f>IF(OR($F516="",$G516=""),"",IF(ISNUMBER(Sync!$AE516),INT(MOD(Sync!$AE516,10000)/100),IFERROR(VALUE(TRIM(LEFT(MID(Sync!$AE516,FIND("/",Sync!$AE516)+1,20),FIND("/",MID(Sync!$AE516,FIND("/",Sync!$AE516)+1,20))-1))),"")))</f>
        <v/>
      </c>
      <c r="I516" t="str">
        <f>IF(OR($F516="",$G516=""),"",IF(ISNUMBER(Sync!$AE516),MOD(Sync!$AE516,100),IFERROR(VALUE(TRIM(MID(MID(Sync!$AE516,FIND("/",Sync!$AE516)+1,20),FIND("/",MID(Sync!$AE516,FIND("/",Sync!$AE516)+1,20))+1,20))),"")))</f>
        <v/>
      </c>
      <c r="J516" t="str">
        <f t="shared" si="37"/>
        <v/>
      </c>
      <c r="K516" t="str">
        <f>IF(OR($F516="",$J516="",$J516="نامعتبر"),"",LEFT($J516,4)&amp;MID($J516,6,2)&amp;RIGHT($J516,2)&amp;$N516&amp;"|"&amp;"2"&amp;RIGHT("00000"&amp;511,5))</f>
        <v/>
      </c>
      <c r="L516" t="str">
        <f t="shared" si="38"/>
        <v/>
      </c>
      <c r="M516" t="str">
        <f t="shared" si="39"/>
        <v/>
      </c>
      <c r="N516" t="str">
        <f>IF($F516="","",IF(Sync!$AF516="","0000",IF(AND(ISNUMBER(Sync!$AF516),Sync!$AF516&gt;=0,Sync!$AF516&lt;1),RIGHT("00"&amp;HOUR(Sync!$AF516),2)&amp;RIGHT("00"&amp;MINUTE(Sync!$AF516),2),IFERROR(RIGHT("00"&amp;VALUE(LEFT(Sync!$AF516,FIND(":",Sync!$AF516)-1)),2)&amp;RIGHT("00"&amp;VALUE(MID(Sync!$AF516,FIND(":",Sync!$AF516)+1,2)),2),"0000"))))</f>
        <v/>
      </c>
    </row>
    <row r="517" spans="1:14" x14ac:dyDescent="0.2">
      <c r="A517" t="str">
        <f>IF(OR(Calc!$E521="",Calc!$E521="نامعتبر",Calc!$G521=""),"",Calc!$G521)</f>
        <v/>
      </c>
      <c r="B517" t="str">
        <f>IF($A517="","",LEFT(Calc!$E521,4)&amp;MID(Calc!$E521,6,2)&amp;RIGHT(Calc!$E521,2)&amp;Calc!$Q521&amp;"|"&amp;"1"&amp;RIGHT("00000"&amp;512,5))</f>
        <v/>
      </c>
      <c r="C517" t="str">
        <f t="shared" si="35"/>
        <v/>
      </c>
      <c r="D517" t="str">
        <f t="shared" si="36"/>
        <v/>
      </c>
      <c r="F517" t="str">
        <f>IF(Sync!$AH517="","",IF(LEFT(UPPER(TRIM(Sync!$AH517)),2)="SL",UPPER(TRIM(Sync!$AH517)),""))</f>
        <v/>
      </c>
      <c r="G517" t="str">
        <f>IF($F517="","",IF(Sync!$AE517="","",IF(ISNUMBER(Sync!$AE517),IF(AND(Sync!$AE517&gt;=10000101,Sync!$AE517&lt;=99991231),INT(Sync!$AE517/10000),""),IFERROR(VALUE(TRIM(LEFT(Sync!$AE517,FIND("/",Sync!$AE517)-1))),""))))</f>
        <v/>
      </c>
      <c r="H517" t="str">
        <f>IF(OR($F517="",$G517=""),"",IF(ISNUMBER(Sync!$AE517),INT(MOD(Sync!$AE517,10000)/100),IFERROR(VALUE(TRIM(LEFT(MID(Sync!$AE517,FIND("/",Sync!$AE517)+1,20),FIND("/",MID(Sync!$AE517,FIND("/",Sync!$AE517)+1,20))-1))),"")))</f>
        <v/>
      </c>
      <c r="I517" t="str">
        <f>IF(OR($F517="",$G517=""),"",IF(ISNUMBER(Sync!$AE517),MOD(Sync!$AE517,100),IFERROR(VALUE(TRIM(MID(MID(Sync!$AE517,FIND("/",Sync!$AE517)+1,20),FIND("/",MID(Sync!$AE517,FIND("/",Sync!$AE517)+1,20))+1,20))),"")))</f>
        <v/>
      </c>
      <c r="J517" t="str">
        <f t="shared" si="37"/>
        <v/>
      </c>
      <c r="K517" t="str">
        <f>IF(OR($F517="",$J517="",$J517="نامعتبر"),"",LEFT($J517,4)&amp;MID($J517,6,2)&amp;RIGHT($J517,2)&amp;$N517&amp;"|"&amp;"2"&amp;RIGHT("00000"&amp;512,5))</f>
        <v/>
      </c>
      <c r="L517" t="str">
        <f t="shared" si="38"/>
        <v/>
      </c>
      <c r="M517" t="str">
        <f t="shared" si="39"/>
        <v/>
      </c>
      <c r="N517" t="str">
        <f>IF($F517="","",IF(Sync!$AF517="","0000",IF(AND(ISNUMBER(Sync!$AF517),Sync!$AF517&gt;=0,Sync!$AF517&lt;1),RIGHT("00"&amp;HOUR(Sync!$AF517),2)&amp;RIGHT("00"&amp;MINUTE(Sync!$AF517),2),IFERROR(RIGHT("00"&amp;VALUE(LEFT(Sync!$AF517,FIND(":",Sync!$AF517)-1)),2)&amp;RIGHT("00"&amp;VALUE(MID(Sync!$AF517,FIND(":",Sync!$AF517)+1,2)),2),"0000"))))</f>
        <v/>
      </c>
    </row>
    <row r="518" spans="1:14" x14ac:dyDescent="0.2">
      <c r="A518" t="str">
        <f>IF(OR(Calc!$E522="",Calc!$E522="نامعتبر",Calc!$G522=""),"",Calc!$G522)</f>
        <v/>
      </c>
      <c r="B518" t="str">
        <f>IF($A518="","",LEFT(Calc!$E522,4)&amp;MID(Calc!$E522,6,2)&amp;RIGHT(Calc!$E522,2)&amp;Calc!$Q522&amp;"|"&amp;"1"&amp;RIGHT("00000"&amp;513,5))</f>
        <v/>
      </c>
      <c r="C518" t="str">
        <f t="shared" ref="C518:C581" si="40">IF($B518="","",COUNTIFS(LdgSellerA,$A518,LdgKeyA,"&lt;"&amp;$B518)+COUNTIFS(LdgSellerB,$A518,LdgKeyB,"&lt;"&amp;$B518)+1)</f>
        <v/>
      </c>
      <c r="D518" t="str">
        <f t="shared" ref="D518:D581" si="41">IF($C518="","",$A518&amp;"|"&amp;RIGHT("000000"&amp;$C518,6))</f>
        <v/>
      </c>
      <c r="F518" t="str">
        <f>IF(Sync!$AH518="","",IF(LEFT(UPPER(TRIM(Sync!$AH518)),2)="SL",UPPER(TRIM(Sync!$AH518)),""))</f>
        <v/>
      </c>
      <c r="G518" t="str">
        <f>IF($F518="","",IF(Sync!$AE518="","",IF(ISNUMBER(Sync!$AE518),IF(AND(Sync!$AE518&gt;=10000101,Sync!$AE518&lt;=99991231),INT(Sync!$AE518/10000),""),IFERROR(VALUE(TRIM(LEFT(Sync!$AE518,FIND("/",Sync!$AE518)-1))),""))))</f>
        <v/>
      </c>
      <c r="H518" t="str">
        <f>IF(OR($F518="",$G518=""),"",IF(ISNUMBER(Sync!$AE518),INT(MOD(Sync!$AE518,10000)/100),IFERROR(VALUE(TRIM(LEFT(MID(Sync!$AE518,FIND("/",Sync!$AE518)+1,20),FIND("/",MID(Sync!$AE518,FIND("/",Sync!$AE518)+1,20))-1))),"")))</f>
        <v/>
      </c>
      <c r="I518" t="str">
        <f>IF(OR($F518="",$G518=""),"",IF(ISNUMBER(Sync!$AE518),MOD(Sync!$AE518,100),IFERROR(VALUE(TRIM(MID(MID(Sync!$AE518,FIND("/",Sync!$AE518)+1,20),FIND("/",MID(Sync!$AE518,FIND("/",Sync!$AE518)+1,20))+1,20))),"")))</f>
        <v/>
      </c>
      <c r="J518" t="str">
        <f t="shared" ref="J518:J581" si="42">IF($F518="","",IF(OR($G518="",$H518="",$I518="",$G518&lt;1300,$G518&gt;1500,$H518&lt;1,$H518&gt;12,$I518&lt;1,$I518&gt;31),"نامعتبر",RIGHT("0000"&amp;$G518,4)&amp;"/"&amp;RIGHT("00"&amp;$H518,2)&amp;"/"&amp;RIGHT("00"&amp;$I518,2)))</f>
        <v/>
      </c>
      <c r="K518" t="str">
        <f>IF(OR($F518="",$J518="",$J518="نامعتبر"),"",LEFT($J518,4)&amp;MID($J518,6,2)&amp;RIGHT($J518,2)&amp;$N518&amp;"|"&amp;"2"&amp;RIGHT("00000"&amp;513,5))</f>
        <v/>
      </c>
      <c r="L518" t="str">
        <f t="shared" ref="L518:L581" si="43">IF($K518="","",COUNTIFS(LdgSellerA,$F518,LdgKeyA,"&lt;"&amp;$K518)+COUNTIFS(LdgSellerB,$F518,LdgKeyB,"&lt;"&amp;$K518)+1)</f>
        <v/>
      </c>
      <c r="M518" t="str">
        <f t="shared" ref="M518:M581" si="44">IF($L518="","",$F518&amp;"|"&amp;RIGHT("000000"&amp;$L518,6))</f>
        <v/>
      </c>
      <c r="N518" t="str">
        <f>IF($F518="","",IF(Sync!$AF518="","0000",IF(AND(ISNUMBER(Sync!$AF518),Sync!$AF518&gt;=0,Sync!$AF518&lt;1),RIGHT("00"&amp;HOUR(Sync!$AF518),2)&amp;RIGHT("00"&amp;MINUTE(Sync!$AF518),2),IFERROR(RIGHT("00"&amp;VALUE(LEFT(Sync!$AF518,FIND(":",Sync!$AF518)-1)),2)&amp;RIGHT("00"&amp;VALUE(MID(Sync!$AF518,FIND(":",Sync!$AF518)+1,2)),2),"0000"))))</f>
        <v/>
      </c>
    </row>
    <row r="519" spans="1:14" x14ac:dyDescent="0.2">
      <c r="A519" t="str">
        <f>IF(OR(Calc!$E523="",Calc!$E523="نامعتبر",Calc!$G523=""),"",Calc!$G523)</f>
        <v/>
      </c>
      <c r="B519" t="str">
        <f>IF($A519="","",LEFT(Calc!$E523,4)&amp;MID(Calc!$E523,6,2)&amp;RIGHT(Calc!$E523,2)&amp;Calc!$Q523&amp;"|"&amp;"1"&amp;RIGHT("00000"&amp;514,5))</f>
        <v/>
      </c>
      <c r="C519" t="str">
        <f t="shared" si="40"/>
        <v/>
      </c>
      <c r="D519" t="str">
        <f t="shared" si="41"/>
        <v/>
      </c>
      <c r="F519" t="str">
        <f>IF(Sync!$AH519="","",IF(LEFT(UPPER(TRIM(Sync!$AH519)),2)="SL",UPPER(TRIM(Sync!$AH519)),""))</f>
        <v/>
      </c>
      <c r="G519" t="str">
        <f>IF($F519="","",IF(Sync!$AE519="","",IF(ISNUMBER(Sync!$AE519),IF(AND(Sync!$AE519&gt;=10000101,Sync!$AE519&lt;=99991231),INT(Sync!$AE519/10000),""),IFERROR(VALUE(TRIM(LEFT(Sync!$AE519,FIND("/",Sync!$AE519)-1))),""))))</f>
        <v/>
      </c>
      <c r="H519" t="str">
        <f>IF(OR($F519="",$G519=""),"",IF(ISNUMBER(Sync!$AE519),INT(MOD(Sync!$AE519,10000)/100),IFERROR(VALUE(TRIM(LEFT(MID(Sync!$AE519,FIND("/",Sync!$AE519)+1,20),FIND("/",MID(Sync!$AE519,FIND("/",Sync!$AE519)+1,20))-1))),"")))</f>
        <v/>
      </c>
      <c r="I519" t="str">
        <f>IF(OR($F519="",$G519=""),"",IF(ISNUMBER(Sync!$AE519),MOD(Sync!$AE519,100),IFERROR(VALUE(TRIM(MID(MID(Sync!$AE519,FIND("/",Sync!$AE519)+1,20),FIND("/",MID(Sync!$AE519,FIND("/",Sync!$AE519)+1,20))+1,20))),"")))</f>
        <v/>
      </c>
      <c r="J519" t="str">
        <f t="shared" si="42"/>
        <v/>
      </c>
      <c r="K519" t="str">
        <f>IF(OR($F519="",$J519="",$J519="نامعتبر"),"",LEFT($J519,4)&amp;MID($J519,6,2)&amp;RIGHT($J519,2)&amp;$N519&amp;"|"&amp;"2"&amp;RIGHT("00000"&amp;514,5))</f>
        <v/>
      </c>
      <c r="L519" t="str">
        <f t="shared" si="43"/>
        <v/>
      </c>
      <c r="M519" t="str">
        <f t="shared" si="44"/>
        <v/>
      </c>
      <c r="N519" t="str">
        <f>IF($F519="","",IF(Sync!$AF519="","0000",IF(AND(ISNUMBER(Sync!$AF519),Sync!$AF519&gt;=0,Sync!$AF519&lt;1),RIGHT("00"&amp;HOUR(Sync!$AF519),2)&amp;RIGHT("00"&amp;MINUTE(Sync!$AF519),2),IFERROR(RIGHT("00"&amp;VALUE(LEFT(Sync!$AF519,FIND(":",Sync!$AF519)-1)),2)&amp;RIGHT("00"&amp;VALUE(MID(Sync!$AF519,FIND(":",Sync!$AF519)+1,2)),2),"0000"))))</f>
        <v/>
      </c>
    </row>
    <row r="520" spans="1:14" x14ac:dyDescent="0.2">
      <c r="A520" t="str">
        <f>IF(OR(Calc!$E524="",Calc!$E524="نامعتبر",Calc!$G524=""),"",Calc!$G524)</f>
        <v/>
      </c>
      <c r="B520" t="str">
        <f>IF($A520="","",LEFT(Calc!$E524,4)&amp;MID(Calc!$E524,6,2)&amp;RIGHT(Calc!$E524,2)&amp;Calc!$Q524&amp;"|"&amp;"1"&amp;RIGHT("00000"&amp;515,5))</f>
        <v/>
      </c>
      <c r="C520" t="str">
        <f t="shared" si="40"/>
        <v/>
      </c>
      <c r="D520" t="str">
        <f t="shared" si="41"/>
        <v/>
      </c>
      <c r="F520" t="str">
        <f>IF(Sync!$AH520="","",IF(LEFT(UPPER(TRIM(Sync!$AH520)),2)="SL",UPPER(TRIM(Sync!$AH520)),""))</f>
        <v/>
      </c>
      <c r="G520" t="str">
        <f>IF($F520="","",IF(Sync!$AE520="","",IF(ISNUMBER(Sync!$AE520),IF(AND(Sync!$AE520&gt;=10000101,Sync!$AE520&lt;=99991231),INT(Sync!$AE520/10000),""),IFERROR(VALUE(TRIM(LEFT(Sync!$AE520,FIND("/",Sync!$AE520)-1))),""))))</f>
        <v/>
      </c>
      <c r="H520" t="str">
        <f>IF(OR($F520="",$G520=""),"",IF(ISNUMBER(Sync!$AE520),INT(MOD(Sync!$AE520,10000)/100),IFERROR(VALUE(TRIM(LEFT(MID(Sync!$AE520,FIND("/",Sync!$AE520)+1,20),FIND("/",MID(Sync!$AE520,FIND("/",Sync!$AE520)+1,20))-1))),"")))</f>
        <v/>
      </c>
      <c r="I520" t="str">
        <f>IF(OR($F520="",$G520=""),"",IF(ISNUMBER(Sync!$AE520),MOD(Sync!$AE520,100),IFERROR(VALUE(TRIM(MID(MID(Sync!$AE520,FIND("/",Sync!$AE520)+1,20),FIND("/",MID(Sync!$AE520,FIND("/",Sync!$AE520)+1,20))+1,20))),"")))</f>
        <v/>
      </c>
      <c r="J520" t="str">
        <f t="shared" si="42"/>
        <v/>
      </c>
      <c r="K520" t="str">
        <f>IF(OR($F520="",$J520="",$J520="نامعتبر"),"",LEFT($J520,4)&amp;MID($J520,6,2)&amp;RIGHT($J520,2)&amp;$N520&amp;"|"&amp;"2"&amp;RIGHT("00000"&amp;515,5))</f>
        <v/>
      </c>
      <c r="L520" t="str">
        <f t="shared" si="43"/>
        <v/>
      </c>
      <c r="M520" t="str">
        <f t="shared" si="44"/>
        <v/>
      </c>
      <c r="N520" t="str">
        <f>IF($F520="","",IF(Sync!$AF520="","0000",IF(AND(ISNUMBER(Sync!$AF520),Sync!$AF520&gt;=0,Sync!$AF520&lt;1),RIGHT("00"&amp;HOUR(Sync!$AF520),2)&amp;RIGHT("00"&amp;MINUTE(Sync!$AF520),2),IFERROR(RIGHT("00"&amp;VALUE(LEFT(Sync!$AF520,FIND(":",Sync!$AF520)-1)),2)&amp;RIGHT("00"&amp;VALUE(MID(Sync!$AF520,FIND(":",Sync!$AF520)+1,2)),2),"0000"))))</f>
        <v/>
      </c>
    </row>
    <row r="521" spans="1:14" x14ac:dyDescent="0.2">
      <c r="A521" t="str">
        <f>IF(OR(Calc!$E525="",Calc!$E525="نامعتبر",Calc!$G525=""),"",Calc!$G525)</f>
        <v/>
      </c>
      <c r="B521" t="str">
        <f>IF($A521="","",LEFT(Calc!$E525,4)&amp;MID(Calc!$E525,6,2)&amp;RIGHT(Calc!$E525,2)&amp;Calc!$Q525&amp;"|"&amp;"1"&amp;RIGHT("00000"&amp;516,5))</f>
        <v/>
      </c>
      <c r="C521" t="str">
        <f t="shared" si="40"/>
        <v/>
      </c>
      <c r="D521" t="str">
        <f t="shared" si="41"/>
        <v/>
      </c>
      <c r="F521" t="str">
        <f>IF(Sync!$AH521="","",IF(LEFT(UPPER(TRIM(Sync!$AH521)),2)="SL",UPPER(TRIM(Sync!$AH521)),""))</f>
        <v/>
      </c>
      <c r="G521" t="str">
        <f>IF($F521="","",IF(Sync!$AE521="","",IF(ISNUMBER(Sync!$AE521),IF(AND(Sync!$AE521&gt;=10000101,Sync!$AE521&lt;=99991231),INT(Sync!$AE521/10000),""),IFERROR(VALUE(TRIM(LEFT(Sync!$AE521,FIND("/",Sync!$AE521)-1))),""))))</f>
        <v/>
      </c>
      <c r="H521" t="str">
        <f>IF(OR($F521="",$G521=""),"",IF(ISNUMBER(Sync!$AE521),INT(MOD(Sync!$AE521,10000)/100),IFERROR(VALUE(TRIM(LEFT(MID(Sync!$AE521,FIND("/",Sync!$AE521)+1,20),FIND("/",MID(Sync!$AE521,FIND("/",Sync!$AE521)+1,20))-1))),"")))</f>
        <v/>
      </c>
      <c r="I521" t="str">
        <f>IF(OR($F521="",$G521=""),"",IF(ISNUMBER(Sync!$AE521),MOD(Sync!$AE521,100),IFERROR(VALUE(TRIM(MID(MID(Sync!$AE521,FIND("/",Sync!$AE521)+1,20),FIND("/",MID(Sync!$AE521,FIND("/",Sync!$AE521)+1,20))+1,20))),"")))</f>
        <v/>
      </c>
      <c r="J521" t="str">
        <f t="shared" si="42"/>
        <v/>
      </c>
      <c r="K521" t="str">
        <f>IF(OR($F521="",$J521="",$J521="نامعتبر"),"",LEFT($J521,4)&amp;MID($J521,6,2)&amp;RIGHT($J521,2)&amp;$N521&amp;"|"&amp;"2"&amp;RIGHT("00000"&amp;516,5))</f>
        <v/>
      </c>
      <c r="L521" t="str">
        <f t="shared" si="43"/>
        <v/>
      </c>
      <c r="M521" t="str">
        <f t="shared" si="44"/>
        <v/>
      </c>
      <c r="N521" t="str">
        <f>IF($F521="","",IF(Sync!$AF521="","0000",IF(AND(ISNUMBER(Sync!$AF521),Sync!$AF521&gt;=0,Sync!$AF521&lt;1),RIGHT("00"&amp;HOUR(Sync!$AF521),2)&amp;RIGHT("00"&amp;MINUTE(Sync!$AF521),2),IFERROR(RIGHT("00"&amp;VALUE(LEFT(Sync!$AF521,FIND(":",Sync!$AF521)-1)),2)&amp;RIGHT("00"&amp;VALUE(MID(Sync!$AF521,FIND(":",Sync!$AF521)+1,2)),2),"0000"))))</f>
        <v/>
      </c>
    </row>
    <row r="522" spans="1:14" x14ac:dyDescent="0.2">
      <c r="A522" t="str">
        <f>IF(OR(Calc!$E526="",Calc!$E526="نامعتبر",Calc!$G526=""),"",Calc!$G526)</f>
        <v/>
      </c>
      <c r="B522" t="str">
        <f>IF($A522="","",LEFT(Calc!$E526,4)&amp;MID(Calc!$E526,6,2)&amp;RIGHT(Calc!$E526,2)&amp;Calc!$Q526&amp;"|"&amp;"1"&amp;RIGHT("00000"&amp;517,5))</f>
        <v/>
      </c>
      <c r="C522" t="str">
        <f t="shared" si="40"/>
        <v/>
      </c>
      <c r="D522" t="str">
        <f t="shared" si="41"/>
        <v/>
      </c>
      <c r="F522" t="str">
        <f>IF(Sync!$AH522="","",IF(LEFT(UPPER(TRIM(Sync!$AH522)),2)="SL",UPPER(TRIM(Sync!$AH522)),""))</f>
        <v/>
      </c>
      <c r="G522" t="str">
        <f>IF($F522="","",IF(Sync!$AE522="","",IF(ISNUMBER(Sync!$AE522),IF(AND(Sync!$AE522&gt;=10000101,Sync!$AE522&lt;=99991231),INT(Sync!$AE522/10000),""),IFERROR(VALUE(TRIM(LEFT(Sync!$AE522,FIND("/",Sync!$AE522)-1))),""))))</f>
        <v/>
      </c>
      <c r="H522" t="str">
        <f>IF(OR($F522="",$G522=""),"",IF(ISNUMBER(Sync!$AE522),INT(MOD(Sync!$AE522,10000)/100),IFERROR(VALUE(TRIM(LEFT(MID(Sync!$AE522,FIND("/",Sync!$AE522)+1,20),FIND("/",MID(Sync!$AE522,FIND("/",Sync!$AE522)+1,20))-1))),"")))</f>
        <v/>
      </c>
      <c r="I522" t="str">
        <f>IF(OR($F522="",$G522=""),"",IF(ISNUMBER(Sync!$AE522),MOD(Sync!$AE522,100),IFERROR(VALUE(TRIM(MID(MID(Sync!$AE522,FIND("/",Sync!$AE522)+1,20),FIND("/",MID(Sync!$AE522,FIND("/",Sync!$AE522)+1,20))+1,20))),"")))</f>
        <v/>
      </c>
      <c r="J522" t="str">
        <f t="shared" si="42"/>
        <v/>
      </c>
      <c r="K522" t="str">
        <f>IF(OR($F522="",$J522="",$J522="نامعتبر"),"",LEFT($J522,4)&amp;MID($J522,6,2)&amp;RIGHT($J522,2)&amp;$N522&amp;"|"&amp;"2"&amp;RIGHT("00000"&amp;517,5))</f>
        <v/>
      </c>
      <c r="L522" t="str">
        <f t="shared" si="43"/>
        <v/>
      </c>
      <c r="M522" t="str">
        <f t="shared" si="44"/>
        <v/>
      </c>
      <c r="N522" t="str">
        <f>IF($F522="","",IF(Sync!$AF522="","0000",IF(AND(ISNUMBER(Sync!$AF522),Sync!$AF522&gt;=0,Sync!$AF522&lt;1),RIGHT("00"&amp;HOUR(Sync!$AF522),2)&amp;RIGHT("00"&amp;MINUTE(Sync!$AF522),2),IFERROR(RIGHT("00"&amp;VALUE(LEFT(Sync!$AF522,FIND(":",Sync!$AF522)-1)),2)&amp;RIGHT("00"&amp;VALUE(MID(Sync!$AF522,FIND(":",Sync!$AF522)+1,2)),2),"0000"))))</f>
        <v/>
      </c>
    </row>
    <row r="523" spans="1:14" x14ac:dyDescent="0.2">
      <c r="A523" t="str">
        <f>IF(OR(Calc!$E527="",Calc!$E527="نامعتبر",Calc!$G527=""),"",Calc!$G527)</f>
        <v/>
      </c>
      <c r="B523" t="str">
        <f>IF($A523="","",LEFT(Calc!$E527,4)&amp;MID(Calc!$E527,6,2)&amp;RIGHT(Calc!$E527,2)&amp;Calc!$Q527&amp;"|"&amp;"1"&amp;RIGHT("00000"&amp;518,5))</f>
        <v/>
      </c>
      <c r="C523" t="str">
        <f t="shared" si="40"/>
        <v/>
      </c>
      <c r="D523" t="str">
        <f t="shared" si="41"/>
        <v/>
      </c>
      <c r="F523" t="str">
        <f>IF(Sync!$AH523="","",IF(LEFT(UPPER(TRIM(Sync!$AH523)),2)="SL",UPPER(TRIM(Sync!$AH523)),""))</f>
        <v/>
      </c>
      <c r="G523" t="str">
        <f>IF($F523="","",IF(Sync!$AE523="","",IF(ISNUMBER(Sync!$AE523),IF(AND(Sync!$AE523&gt;=10000101,Sync!$AE523&lt;=99991231),INT(Sync!$AE523/10000),""),IFERROR(VALUE(TRIM(LEFT(Sync!$AE523,FIND("/",Sync!$AE523)-1))),""))))</f>
        <v/>
      </c>
      <c r="H523" t="str">
        <f>IF(OR($F523="",$G523=""),"",IF(ISNUMBER(Sync!$AE523),INT(MOD(Sync!$AE523,10000)/100),IFERROR(VALUE(TRIM(LEFT(MID(Sync!$AE523,FIND("/",Sync!$AE523)+1,20),FIND("/",MID(Sync!$AE523,FIND("/",Sync!$AE523)+1,20))-1))),"")))</f>
        <v/>
      </c>
      <c r="I523" t="str">
        <f>IF(OR($F523="",$G523=""),"",IF(ISNUMBER(Sync!$AE523),MOD(Sync!$AE523,100),IFERROR(VALUE(TRIM(MID(MID(Sync!$AE523,FIND("/",Sync!$AE523)+1,20),FIND("/",MID(Sync!$AE523,FIND("/",Sync!$AE523)+1,20))+1,20))),"")))</f>
        <v/>
      </c>
      <c r="J523" t="str">
        <f t="shared" si="42"/>
        <v/>
      </c>
      <c r="K523" t="str">
        <f>IF(OR($F523="",$J523="",$J523="نامعتبر"),"",LEFT($J523,4)&amp;MID($J523,6,2)&amp;RIGHT($J523,2)&amp;$N523&amp;"|"&amp;"2"&amp;RIGHT("00000"&amp;518,5))</f>
        <v/>
      </c>
      <c r="L523" t="str">
        <f t="shared" si="43"/>
        <v/>
      </c>
      <c r="M523" t="str">
        <f t="shared" si="44"/>
        <v/>
      </c>
      <c r="N523" t="str">
        <f>IF($F523="","",IF(Sync!$AF523="","0000",IF(AND(ISNUMBER(Sync!$AF523),Sync!$AF523&gt;=0,Sync!$AF523&lt;1),RIGHT("00"&amp;HOUR(Sync!$AF523),2)&amp;RIGHT("00"&amp;MINUTE(Sync!$AF523),2),IFERROR(RIGHT("00"&amp;VALUE(LEFT(Sync!$AF523,FIND(":",Sync!$AF523)-1)),2)&amp;RIGHT("00"&amp;VALUE(MID(Sync!$AF523,FIND(":",Sync!$AF523)+1,2)),2),"0000"))))</f>
        <v/>
      </c>
    </row>
    <row r="524" spans="1:14" x14ac:dyDescent="0.2">
      <c r="A524" t="str">
        <f>IF(OR(Calc!$E528="",Calc!$E528="نامعتبر",Calc!$G528=""),"",Calc!$G528)</f>
        <v/>
      </c>
      <c r="B524" t="str">
        <f>IF($A524="","",LEFT(Calc!$E528,4)&amp;MID(Calc!$E528,6,2)&amp;RIGHT(Calc!$E528,2)&amp;Calc!$Q528&amp;"|"&amp;"1"&amp;RIGHT("00000"&amp;519,5))</f>
        <v/>
      </c>
      <c r="C524" t="str">
        <f t="shared" si="40"/>
        <v/>
      </c>
      <c r="D524" t="str">
        <f t="shared" si="41"/>
        <v/>
      </c>
      <c r="F524" t="str">
        <f>IF(Sync!$AH524="","",IF(LEFT(UPPER(TRIM(Sync!$AH524)),2)="SL",UPPER(TRIM(Sync!$AH524)),""))</f>
        <v/>
      </c>
      <c r="G524" t="str">
        <f>IF($F524="","",IF(Sync!$AE524="","",IF(ISNUMBER(Sync!$AE524),IF(AND(Sync!$AE524&gt;=10000101,Sync!$AE524&lt;=99991231),INT(Sync!$AE524/10000),""),IFERROR(VALUE(TRIM(LEFT(Sync!$AE524,FIND("/",Sync!$AE524)-1))),""))))</f>
        <v/>
      </c>
      <c r="H524" t="str">
        <f>IF(OR($F524="",$G524=""),"",IF(ISNUMBER(Sync!$AE524),INT(MOD(Sync!$AE524,10000)/100),IFERROR(VALUE(TRIM(LEFT(MID(Sync!$AE524,FIND("/",Sync!$AE524)+1,20),FIND("/",MID(Sync!$AE524,FIND("/",Sync!$AE524)+1,20))-1))),"")))</f>
        <v/>
      </c>
      <c r="I524" t="str">
        <f>IF(OR($F524="",$G524=""),"",IF(ISNUMBER(Sync!$AE524),MOD(Sync!$AE524,100),IFERROR(VALUE(TRIM(MID(MID(Sync!$AE524,FIND("/",Sync!$AE524)+1,20),FIND("/",MID(Sync!$AE524,FIND("/",Sync!$AE524)+1,20))+1,20))),"")))</f>
        <v/>
      </c>
      <c r="J524" t="str">
        <f t="shared" si="42"/>
        <v/>
      </c>
      <c r="K524" t="str">
        <f>IF(OR($F524="",$J524="",$J524="نامعتبر"),"",LEFT($J524,4)&amp;MID($J524,6,2)&amp;RIGHT($J524,2)&amp;$N524&amp;"|"&amp;"2"&amp;RIGHT("00000"&amp;519,5))</f>
        <v/>
      </c>
      <c r="L524" t="str">
        <f t="shared" si="43"/>
        <v/>
      </c>
      <c r="M524" t="str">
        <f t="shared" si="44"/>
        <v/>
      </c>
      <c r="N524" t="str">
        <f>IF($F524="","",IF(Sync!$AF524="","0000",IF(AND(ISNUMBER(Sync!$AF524),Sync!$AF524&gt;=0,Sync!$AF524&lt;1),RIGHT("00"&amp;HOUR(Sync!$AF524),2)&amp;RIGHT("00"&amp;MINUTE(Sync!$AF524),2),IFERROR(RIGHT("00"&amp;VALUE(LEFT(Sync!$AF524,FIND(":",Sync!$AF524)-1)),2)&amp;RIGHT("00"&amp;VALUE(MID(Sync!$AF524,FIND(":",Sync!$AF524)+1,2)),2),"0000"))))</f>
        <v/>
      </c>
    </row>
    <row r="525" spans="1:14" x14ac:dyDescent="0.2">
      <c r="A525" t="str">
        <f>IF(OR(Calc!$E529="",Calc!$E529="نامعتبر",Calc!$G529=""),"",Calc!$G529)</f>
        <v/>
      </c>
      <c r="B525" t="str">
        <f>IF($A525="","",LEFT(Calc!$E529,4)&amp;MID(Calc!$E529,6,2)&amp;RIGHT(Calc!$E529,2)&amp;Calc!$Q529&amp;"|"&amp;"1"&amp;RIGHT("00000"&amp;520,5))</f>
        <v/>
      </c>
      <c r="C525" t="str">
        <f t="shared" si="40"/>
        <v/>
      </c>
      <c r="D525" t="str">
        <f t="shared" si="41"/>
        <v/>
      </c>
      <c r="F525" t="str">
        <f>IF(Sync!$AH525="","",IF(LEFT(UPPER(TRIM(Sync!$AH525)),2)="SL",UPPER(TRIM(Sync!$AH525)),""))</f>
        <v/>
      </c>
      <c r="G525" t="str">
        <f>IF($F525="","",IF(Sync!$AE525="","",IF(ISNUMBER(Sync!$AE525),IF(AND(Sync!$AE525&gt;=10000101,Sync!$AE525&lt;=99991231),INT(Sync!$AE525/10000),""),IFERROR(VALUE(TRIM(LEFT(Sync!$AE525,FIND("/",Sync!$AE525)-1))),""))))</f>
        <v/>
      </c>
      <c r="H525" t="str">
        <f>IF(OR($F525="",$G525=""),"",IF(ISNUMBER(Sync!$AE525),INT(MOD(Sync!$AE525,10000)/100),IFERROR(VALUE(TRIM(LEFT(MID(Sync!$AE525,FIND("/",Sync!$AE525)+1,20),FIND("/",MID(Sync!$AE525,FIND("/",Sync!$AE525)+1,20))-1))),"")))</f>
        <v/>
      </c>
      <c r="I525" t="str">
        <f>IF(OR($F525="",$G525=""),"",IF(ISNUMBER(Sync!$AE525),MOD(Sync!$AE525,100),IFERROR(VALUE(TRIM(MID(MID(Sync!$AE525,FIND("/",Sync!$AE525)+1,20),FIND("/",MID(Sync!$AE525,FIND("/",Sync!$AE525)+1,20))+1,20))),"")))</f>
        <v/>
      </c>
      <c r="J525" t="str">
        <f t="shared" si="42"/>
        <v/>
      </c>
      <c r="K525" t="str">
        <f>IF(OR($F525="",$J525="",$J525="نامعتبر"),"",LEFT($J525,4)&amp;MID($J525,6,2)&amp;RIGHT($J525,2)&amp;$N525&amp;"|"&amp;"2"&amp;RIGHT("00000"&amp;520,5))</f>
        <v/>
      </c>
      <c r="L525" t="str">
        <f t="shared" si="43"/>
        <v/>
      </c>
      <c r="M525" t="str">
        <f t="shared" si="44"/>
        <v/>
      </c>
      <c r="N525" t="str">
        <f>IF($F525="","",IF(Sync!$AF525="","0000",IF(AND(ISNUMBER(Sync!$AF525),Sync!$AF525&gt;=0,Sync!$AF525&lt;1),RIGHT("00"&amp;HOUR(Sync!$AF525),2)&amp;RIGHT("00"&amp;MINUTE(Sync!$AF525),2),IFERROR(RIGHT("00"&amp;VALUE(LEFT(Sync!$AF525,FIND(":",Sync!$AF525)-1)),2)&amp;RIGHT("00"&amp;VALUE(MID(Sync!$AF525,FIND(":",Sync!$AF525)+1,2)),2),"0000"))))</f>
        <v/>
      </c>
    </row>
    <row r="526" spans="1:14" x14ac:dyDescent="0.2">
      <c r="A526" t="str">
        <f>IF(OR(Calc!$E530="",Calc!$E530="نامعتبر",Calc!$G530=""),"",Calc!$G530)</f>
        <v/>
      </c>
      <c r="B526" t="str">
        <f>IF($A526="","",LEFT(Calc!$E530,4)&amp;MID(Calc!$E530,6,2)&amp;RIGHT(Calc!$E530,2)&amp;Calc!$Q530&amp;"|"&amp;"1"&amp;RIGHT("00000"&amp;521,5))</f>
        <v/>
      </c>
      <c r="C526" t="str">
        <f t="shared" si="40"/>
        <v/>
      </c>
      <c r="D526" t="str">
        <f t="shared" si="41"/>
        <v/>
      </c>
      <c r="F526" t="str">
        <f>IF(Sync!$AH526="","",IF(LEFT(UPPER(TRIM(Sync!$AH526)),2)="SL",UPPER(TRIM(Sync!$AH526)),""))</f>
        <v/>
      </c>
      <c r="G526" t="str">
        <f>IF($F526="","",IF(Sync!$AE526="","",IF(ISNUMBER(Sync!$AE526),IF(AND(Sync!$AE526&gt;=10000101,Sync!$AE526&lt;=99991231),INT(Sync!$AE526/10000),""),IFERROR(VALUE(TRIM(LEFT(Sync!$AE526,FIND("/",Sync!$AE526)-1))),""))))</f>
        <v/>
      </c>
      <c r="H526" t="str">
        <f>IF(OR($F526="",$G526=""),"",IF(ISNUMBER(Sync!$AE526),INT(MOD(Sync!$AE526,10000)/100),IFERROR(VALUE(TRIM(LEFT(MID(Sync!$AE526,FIND("/",Sync!$AE526)+1,20),FIND("/",MID(Sync!$AE526,FIND("/",Sync!$AE526)+1,20))-1))),"")))</f>
        <v/>
      </c>
      <c r="I526" t="str">
        <f>IF(OR($F526="",$G526=""),"",IF(ISNUMBER(Sync!$AE526),MOD(Sync!$AE526,100),IFERROR(VALUE(TRIM(MID(MID(Sync!$AE526,FIND("/",Sync!$AE526)+1,20),FIND("/",MID(Sync!$AE526,FIND("/",Sync!$AE526)+1,20))+1,20))),"")))</f>
        <v/>
      </c>
      <c r="J526" t="str">
        <f t="shared" si="42"/>
        <v/>
      </c>
      <c r="K526" t="str">
        <f>IF(OR($F526="",$J526="",$J526="نامعتبر"),"",LEFT($J526,4)&amp;MID($J526,6,2)&amp;RIGHT($J526,2)&amp;$N526&amp;"|"&amp;"2"&amp;RIGHT("00000"&amp;521,5))</f>
        <v/>
      </c>
      <c r="L526" t="str">
        <f t="shared" si="43"/>
        <v/>
      </c>
      <c r="M526" t="str">
        <f t="shared" si="44"/>
        <v/>
      </c>
      <c r="N526" t="str">
        <f>IF($F526="","",IF(Sync!$AF526="","0000",IF(AND(ISNUMBER(Sync!$AF526),Sync!$AF526&gt;=0,Sync!$AF526&lt;1),RIGHT("00"&amp;HOUR(Sync!$AF526),2)&amp;RIGHT("00"&amp;MINUTE(Sync!$AF526),2),IFERROR(RIGHT("00"&amp;VALUE(LEFT(Sync!$AF526,FIND(":",Sync!$AF526)-1)),2)&amp;RIGHT("00"&amp;VALUE(MID(Sync!$AF526,FIND(":",Sync!$AF526)+1,2)),2),"0000"))))</f>
        <v/>
      </c>
    </row>
    <row r="527" spans="1:14" x14ac:dyDescent="0.2">
      <c r="A527" t="str">
        <f>IF(OR(Calc!$E531="",Calc!$E531="نامعتبر",Calc!$G531=""),"",Calc!$G531)</f>
        <v/>
      </c>
      <c r="B527" t="str">
        <f>IF($A527="","",LEFT(Calc!$E531,4)&amp;MID(Calc!$E531,6,2)&amp;RIGHT(Calc!$E531,2)&amp;Calc!$Q531&amp;"|"&amp;"1"&amp;RIGHT("00000"&amp;522,5))</f>
        <v/>
      </c>
      <c r="C527" t="str">
        <f t="shared" si="40"/>
        <v/>
      </c>
      <c r="D527" t="str">
        <f t="shared" si="41"/>
        <v/>
      </c>
      <c r="F527" t="str">
        <f>IF(Sync!$AH527="","",IF(LEFT(UPPER(TRIM(Sync!$AH527)),2)="SL",UPPER(TRIM(Sync!$AH527)),""))</f>
        <v/>
      </c>
      <c r="G527" t="str">
        <f>IF($F527="","",IF(Sync!$AE527="","",IF(ISNUMBER(Sync!$AE527),IF(AND(Sync!$AE527&gt;=10000101,Sync!$AE527&lt;=99991231),INT(Sync!$AE527/10000),""),IFERROR(VALUE(TRIM(LEFT(Sync!$AE527,FIND("/",Sync!$AE527)-1))),""))))</f>
        <v/>
      </c>
      <c r="H527" t="str">
        <f>IF(OR($F527="",$G527=""),"",IF(ISNUMBER(Sync!$AE527),INT(MOD(Sync!$AE527,10000)/100),IFERROR(VALUE(TRIM(LEFT(MID(Sync!$AE527,FIND("/",Sync!$AE527)+1,20),FIND("/",MID(Sync!$AE527,FIND("/",Sync!$AE527)+1,20))-1))),"")))</f>
        <v/>
      </c>
      <c r="I527" t="str">
        <f>IF(OR($F527="",$G527=""),"",IF(ISNUMBER(Sync!$AE527),MOD(Sync!$AE527,100),IFERROR(VALUE(TRIM(MID(MID(Sync!$AE527,FIND("/",Sync!$AE527)+1,20),FIND("/",MID(Sync!$AE527,FIND("/",Sync!$AE527)+1,20))+1,20))),"")))</f>
        <v/>
      </c>
      <c r="J527" t="str">
        <f t="shared" si="42"/>
        <v/>
      </c>
      <c r="K527" t="str">
        <f>IF(OR($F527="",$J527="",$J527="نامعتبر"),"",LEFT($J527,4)&amp;MID($J527,6,2)&amp;RIGHT($J527,2)&amp;$N527&amp;"|"&amp;"2"&amp;RIGHT("00000"&amp;522,5))</f>
        <v/>
      </c>
      <c r="L527" t="str">
        <f t="shared" si="43"/>
        <v/>
      </c>
      <c r="M527" t="str">
        <f t="shared" si="44"/>
        <v/>
      </c>
      <c r="N527" t="str">
        <f>IF($F527="","",IF(Sync!$AF527="","0000",IF(AND(ISNUMBER(Sync!$AF527),Sync!$AF527&gt;=0,Sync!$AF527&lt;1),RIGHT("00"&amp;HOUR(Sync!$AF527),2)&amp;RIGHT("00"&amp;MINUTE(Sync!$AF527),2),IFERROR(RIGHT("00"&amp;VALUE(LEFT(Sync!$AF527,FIND(":",Sync!$AF527)-1)),2)&amp;RIGHT("00"&amp;VALUE(MID(Sync!$AF527,FIND(":",Sync!$AF527)+1,2)),2),"0000"))))</f>
        <v/>
      </c>
    </row>
    <row r="528" spans="1:14" x14ac:dyDescent="0.2">
      <c r="A528" t="str">
        <f>IF(OR(Calc!$E532="",Calc!$E532="نامعتبر",Calc!$G532=""),"",Calc!$G532)</f>
        <v/>
      </c>
      <c r="B528" t="str">
        <f>IF($A528="","",LEFT(Calc!$E532,4)&amp;MID(Calc!$E532,6,2)&amp;RIGHT(Calc!$E532,2)&amp;Calc!$Q532&amp;"|"&amp;"1"&amp;RIGHT("00000"&amp;523,5))</f>
        <v/>
      </c>
      <c r="C528" t="str">
        <f t="shared" si="40"/>
        <v/>
      </c>
      <c r="D528" t="str">
        <f t="shared" si="41"/>
        <v/>
      </c>
      <c r="F528" t="str">
        <f>IF(Sync!$AH528="","",IF(LEFT(UPPER(TRIM(Sync!$AH528)),2)="SL",UPPER(TRIM(Sync!$AH528)),""))</f>
        <v/>
      </c>
      <c r="G528" t="str">
        <f>IF($F528="","",IF(Sync!$AE528="","",IF(ISNUMBER(Sync!$AE528),IF(AND(Sync!$AE528&gt;=10000101,Sync!$AE528&lt;=99991231),INT(Sync!$AE528/10000),""),IFERROR(VALUE(TRIM(LEFT(Sync!$AE528,FIND("/",Sync!$AE528)-1))),""))))</f>
        <v/>
      </c>
      <c r="H528" t="str">
        <f>IF(OR($F528="",$G528=""),"",IF(ISNUMBER(Sync!$AE528),INT(MOD(Sync!$AE528,10000)/100),IFERROR(VALUE(TRIM(LEFT(MID(Sync!$AE528,FIND("/",Sync!$AE528)+1,20),FIND("/",MID(Sync!$AE528,FIND("/",Sync!$AE528)+1,20))-1))),"")))</f>
        <v/>
      </c>
      <c r="I528" t="str">
        <f>IF(OR($F528="",$G528=""),"",IF(ISNUMBER(Sync!$AE528),MOD(Sync!$AE528,100),IFERROR(VALUE(TRIM(MID(MID(Sync!$AE528,FIND("/",Sync!$AE528)+1,20),FIND("/",MID(Sync!$AE528,FIND("/",Sync!$AE528)+1,20))+1,20))),"")))</f>
        <v/>
      </c>
      <c r="J528" t="str">
        <f t="shared" si="42"/>
        <v/>
      </c>
      <c r="K528" t="str">
        <f>IF(OR($F528="",$J528="",$J528="نامعتبر"),"",LEFT($J528,4)&amp;MID($J528,6,2)&amp;RIGHT($J528,2)&amp;$N528&amp;"|"&amp;"2"&amp;RIGHT("00000"&amp;523,5))</f>
        <v/>
      </c>
      <c r="L528" t="str">
        <f t="shared" si="43"/>
        <v/>
      </c>
      <c r="M528" t="str">
        <f t="shared" si="44"/>
        <v/>
      </c>
      <c r="N528" t="str">
        <f>IF($F528="","",IF(Sync!$AF528="","0000",IF(AND(ISNUMBER(Sync!$AF528),Sync!$AF528&gt;=0,Sync!$AF528&lt;1),RIGHT("00"&amp;HOUR(Sync!$AF528),2)&amp;RIGHT("00"&amp;MINUTE(Sync!$AF528),2),IFERROR(RIGHT("00"&amp;VALUE(LEFT(Sync!$AF528,FIND(":",Sync!$AF528)-1)),2)&amp;RIGHT("00"&amp;VALUE(MID(Sync!$AF528,FIND(":",Sync!$AF528)+1,2)),2),"0000"))))</f>
        <v/>
      </c>
    </row>
    <row r="529" spans="1:14" x14ac:dyDescent="0.2">
      <c r="A529" t="str">
        <f>IF(OR(Calc!$E533="",Calc!$E533="نامعتبر",Calc!$G533=""),"",Calc!$G533)</f>
        <v/>
      </c>
      <c r="B529" t="str">
        <f>IF($A529="","",LEFT(Calc!$E533,4)&amp;MID(Calc!$E533,6,2)&amp;RIGHT(Calc!$E533,2)&amp;Calc!$Q533&amp;"|"&amp;"1"&amp;RIGHT("00000"&amp;524,5))</f>
        <v/>
      </c>
      <c r="C529" t="str">
        <f t="shared" si="40"/>
        <v/>
      </c>
      <c r="D529" t="str">
        <f t="shared" si="41"/>
        <v/>
      </c>
      <c r="F529" t="str">
        <f>IF(Sync!$AH529="","",IF(LEFT(UPPER(TRIM(Sync!$AH529)),2)="SL",UPPER(TRIM(Sync!$AH529)),""))</f>
        <v/>
      </c>
      <c r="G529" t="str">
        <f>IF($F529="","",IF(Sync!$AE529="","",IF(ISNUMBER(Sync!$AE529),IF(AND(Sync!$AE529&gt;=10000101,Sync!$AE529&lt;=99991231),INT(Sync!$AE529/10000),""),IFERROR(VALUE(TRIM(LEFT(Sync!$AE529,FIND("/",Sync!$AE529)-1))),""))))</f>
        <v/>
      </c>
      <c r="H529" t="str">
        <f>IF(OR($F529="",$G529=""),"",IF(ISNUMBER(Sync!$AE529),INT(MOD(Sync!$AE529,10000)/100),IFERROR(VALUE(TRIM(LEFT(MID(Sync!$AE529,FIND("/",Sync!$AE529)+1,20),FIND("/",MID(Sync!$AE529,FIND("/",Sync!$AE529)+1,20))-1))),"")))</f>
        <v/>
      </c>
      <c r="I529" t="str">
        <f>IF(OR($F529="",$G529=""),"",IF(ISNUMBER(Sync!$AE529),MOD(Sync!$AE529,100),IFERROR(VALUE(TRIM(MID(MID(Sync!$AE529,FIND("/",Sync!$AE529)+1,20),FIND("/",MID(Sync!$AE529,FIND("/",Sync!$AE529)+1,20))+1,20))),"")))</f>
        <v/>
      </c>
      <c r="J529" t="str">
        <f t="shared" si="42"/>
        <v/>
      </c>
      <c r="K529" t="str">
        <f>IF(OR($F529="",$J529="",$J529="نامعتبر"),"",LEFT($J529,4)&amp;MID($J529,6,2)&amp;RIGHT($J529,2)&amp;$N529&amp;"|"&amp;"2"&amp;RIGHT("00000"&amp;524,5))</f>
        <v/>
      </c>
      <c r="L529" t="str">
        <f t="shared" si="43"/>
        <v/>
      </c>
      <c r="M529" t="str">
        <f t="shared" si="44"/>
        <v/>
      </c>
      <c r="N529" t="str">
        <f>IF($F529="","",IF(Sync!$AF529="","0000",IF(AND(ISNUMBER(Sync!$AF529),Sync!$AF529&gt;=0,Sync!$AF529&lt;1),RIGHT("00"&amp;HOUR(Sync!$AF529),2)&amp;RIGHT("00"&amp;MINUTE(Sync!$AF529),2),IFERROR(RIGHT("00"&amp;VALUE(LEFT(Sync!$AF529,FIND(":",Sync!$AF529)-1)),2)&amp;RIGHT("00"&amp;VALUE(MID(Sync!$AF529,FIND(":",Sync!$AF529)+1,2)),2),"0000"))))</f>
        <v/>
      </c>
    </row>
    <row r="530" spans="1:14" x14ac:dyDescent="0.2">
      <c r="A530" t="str">
        <f>IF(OR(Calc!$E534="",Calc!$E534="نامعتبر",Calc!$G534=""),"",Calc!$G534)</f>
        <v/>
      </c>
      <c r="B530" t="str">
        <f>IF($A530="","",LEFT(Calc!$E534,4)&amp;MID(Calc!$E534,6,2)&amp;RIGHT(Calc!$E534,2)&amp;Calc!$Q534&amp;"|"&amp;"1"&amp;RIGHT("00000"&amp;525,5))</f>
        <v/>
      </c>
      <c r="C530" t="str">
        <f t="shared" si="40"/>
        <v/>
      </c>
      <c r="D530" t="str">
        <f t="shared" si="41"/>
        <v/>
      </c>
      <c r="F530" t="str">
        <f>IF(Sync!$AH530="","",IF(LEFT(UPPER(TRIM(Sync!$AH530)),2)="SL",UPPER(TRIM(Sync!$AH530)),""))</f>
        <v/>
      </c>
      <c r="G530" t="str">
        <f>IF($F530="","",IF(Sync!$AE530="","",IF(ISNUMBER(Sync!$AE530),IF(AND(Sync!$AE530&gt;=10000101,Sync!$AE530&lt;=99991231),INT(Sync!$AE530/10000),""),IFERROR(VALUE(TRIM(LEFT(Sync!$AE530,FIND("/",Sync!$AE530)-1))),""))))</f>
        <v/>
      </c>
      <c r="H530" t="str">
        <f>IF(OR($F530="",$G530=""),"",IF(ISNUMBER(Sync!$AE530),INT(MOD(Sync!$AE530,10000)/100),IFERROR(VALUE(TRIM(LEFT(MID(Sync!$AE530,FIND("/",Sync!$AE530)+1,20),FIND("/",MID(Sync!$AE530,FIND("/",Sync!$AE530)+1,20))-1))),"")))</f>
        <v/>
      </c>
      <c r="I530" t="str">
        <f>IF(OR($F530="",$G530=""),"",IF(ISNUMBER(Sync!$AE530),MOD(Sync!$AE530,100),IFERROR(VALUE(TRIM(MID(MID(Sync!$AE530,FIND("/",Sync!$AE530)+1,20),FIND("/",MID(Sync!$AE530,FIND("/",Sync!$AE530)+1,20))+1,20))),"")))</f>
        <v/>
      </c>
      <c r="J530" t="str">
        <f t="shared" si="42"/>
        <v/>
      </c>
      <c r="K530" t="str">
        <f>IF(OR($F530="",$J530="",$J530="نامعتبر"),"",LEFT($J530,4)&amp;MID($J530,6,2)&amp;RIGHT($J530,2)&amp;$N530&amp;"|"&amp;"2"&amp;RIGHT("00000"&amp;525,5))</f>
        <v/>
      </c>
      <c r="L530" t="str">
        <f t="shared" si="43"/>
        <v/>
      </c>
      <c r="M530" t="str">
        <f t="shared" si="44"/>
        <v/>
      </c>
      <c r="N530" t="str">
        <f>IF($F530="","",IF(Sync!$AF530="","0000",IF(AND(ISNUMBER(Sync!$AF530),Sync!$AF530&gt;=0,Sync!$AF530&lt;1),RIGHT("00"&amp;HOUR(Sync!$AF530),2)&amp;RIGHT("00"&amp;MINUTE(Sync!$AF530),2),IFERROR(RIGHT("00"&amp;VALUE(LEFT(Sync!$AF530,FIND(":",Sync!$AF530)-1)),2)&amp;RIGHT("00"&amp;VALUE(MID(Sync!$AF530,FIND(":",Sync!$AF530)+1,2)),2),"0000"))))</f>
        <v/>
      </c>
    </row>
    <row r="531" spans="1:14" x14ac:dyDescent="0.2">
      <c r="A531" t="str">
        <f>IF(OR(Calc!$E535="",Calc!$E535="نامعتبر",Calc!$G535=""),"",Calc!$G535)</f>
        <v/>
      </c>
      <c r="B531" t="str">
        <f>IF($A531="","",LEFT(Calc!$E535,4)&amp;MID(Calc!$E535,6,2)&amp;RIGHT(Calc!$E535,2)&amp;Calc!$Q535&amp;"|"&amp;"1"&amp;RIGHT("00000"&amp;526,5))</f>
        <v/>
      </c>
      <c r="C531" t="str">
        <f t="shared" si="40"/>
        <v/>
      </c>
      <c r="D531" t="str">
        <f t="shared" si="41"/>
        <v/>
      </c>
      <c r="F531" t="str">
        <f>IF(Sync!$AH531="","",IF(LEFT(UPPER(TRIM(Sync!$AH531)),2)="SL",UPPER(TRIM(Sync!$AH531)),""))</f>
        <v/>
      </c>
      <c r="G531" t="str">
        <f>IF($F531="","",IF(Sync!$AE531="","",IF(ISNUMBER(Sync!$AE531),IF(AND(Sync!$AE531&gt;=10000101,Sync!$AE531&lt;=99991231),INT(Sync!$AE531/10000),""),IFERROR(VALUE(TRIM(LEFT(Sync!$AE531,FIND("/",Sync!$AE531)-1))),""))))</f>
        <v/>
      </c>
      <c r="H531" t="str">
        <f>IF(OR($F531="",$G531=""),"",IF(ISNUMBER(Sync!$AE531),INT(MOD(Sync!$AE531,10000)/100),IFERROR(VALUE(TRIM(LEFT(MID(Sync!$AE531,FIND("/",Sync!$AE531)+1,20),FIND("/",MID(Sync!$AE531,FIND("/",Sync!$AE531)+1,20))-1))),"")))</f>
        <v/>
      </c>
      <c r="I531" t="str">
        <f>IF(OR($F531="",$G531=""),"",IF(ISNUMBER(Sync!$AE531),MOD(Sync!$AE531,100),IFERROR(VALUE(TRIM(MID(MID(Sync!$AE531,FIND("/",Sync!$AE531)+1,20),FIND("/",MID(Sync!$AE531,FIND("/",Sync!$AE531)+1,20))+1,20))),"")))</f>
        <v/>
      </c>
      <c r="J531" t="str">
        <f t="shared" si="42"/>
        <v/>
      </c>
      <c r="K531" t="str">
        <f>IF(OR($F531="",$J531="",$J531="نامعتبر"),"",LEFT($J531,4)&amp;MID($J531,6,2)&amp;RIGHT($J531,2)&amp;$N531&amp;"|"&amp;"2"&amp;RIGHT("00000"&amp;526,5))</f>
        <v/>
      </c>
      <c r="L531" t="str">
        <f t="shared" si="43"/>
        <v/>
      </c>
      <c r="M531" t="str">
        <f t="shared" si="44"/>
        <v/>
      </c>
      <c r="N531" t="str">
        <f>IF($F531="","",IF(Sync!$AF531="","0000",IF(AND(ISNUMBER(Sync!$AF531),Sync!$AF531&gt;=0,Sync!$AF531&lt;1),RIGHT("00"&amp;HOUR(Sync!$AF531),2)&amp;RIGHT("00"&amp;MINUTE(Sync!$AF531),2),IFERROR(RIGHT("00"&amp;VALUE(LEFT(Sync!$AF531,FIND(":",Sync!$AF531)-1)),2)&amp;RIGHT("00"&amp;VALUE(MID(Sync!$AF531,FIND(":",Sync!$AF531)+1,2)),2),"0000"))))</f>
        <v/>
      </c>
    </row>
    <row r="532" spans="1:14" x14ac:dyDescent="0.2">
      <c r="A532" t="str">
        <f>IF(OR(Calc!$E536="",Calc!$E536="نامعتبر",Calc!$G536=""),"",Calc!$G536)</f>
        <v/>
      </c>
      <c r="B532" t="str">
        <f>IF($A532="","",LEFT(Calc!$E536,4)&amp;MID(Calc!$E536,6,2)&amp;RIGHT(Calc!$E536,2)&amp;Calc!$Q536&amp;"|"&amp;"1"&amp;RIGHT("00000"&amp;527,5))</f>
        <v/>
      </c>
      <c r="C532" t="str">
        <f t="shared" si="40"/>
        <v/>
      </c>
      <c r="D532" t="str">
        <f t="shared" si="41"/>
        <v/>
      </c>
      <c r="F532" t="str">
        <f>IF(Sync!$AH532="","",IF(LEFT(UPPER(TRIM(Sync!$AH532)),2)="SL",UPPER(TRIM(Sync!$AH532)),""))</f>
        <v/>
      </c>
      <c r="G532" t="str">
        <f>IF($F532="","",IF(Sync!$AE532="","",IF(ISNUMBER(Sync!$AE532),IF(AND(Sync!$AE532&gt;=10000101,Sync!$AE532&lt;=99991231),INT(Sync!$AE532/10000),""),IFERROR(VALUE(TRIM(LEFT(Sync!$AE532,FIND("/",Sync!$AE532)-1))),""))))</f>
        <v/>
      </c>
      <c r="H532" t="str">
        <f>IF(OR($F532="",$G532=""),"",IF(ISNUMBER(Sync!$AE532),INT(MOD(Sync!$AE532,10000)/100),IFERROR(VALUE(TRIM(LEFT(MID(Sync!$AE532,FIND("/",Sync!$AE532)+1,20),FIND("/",MID(Sync!$AE532,FIND("/",Sync!$AE532)+1,20))-1))),"")))</f>
        <v/>
      </c>
      <c r="I532" t="str">
        <f>IF(OR($F532="",$G532=""),"",IF(ISNUMBER(Sync!$AE532),MOD(Sync!$AE532,100),IFERROR(VALUE(TRIM(MID(MID(Sync!$AE532,FIND("/",Sync!$AE532)+1,20),FIND("/",MID(Sync!$AE532,FIND("/",Sync!$AE532)+1,20))+1,20))),"")))</f>
        <v/>
      </c>
      <c r="J532" t="str">
        <f t="shared" si="42"/>
        <v/>
      </c>
      <c r="K532" t="str">
        <f>IF(OR($F532="",$J532="",$J532="نامعتبر"),"",LEFT($J532,4)&amp;MID($J532,6,2)&amp;RIGHT($J532,2)&amp;$N532&amp;"|"&amp;"2"&amp;RIGHT("00000"&amp;527,5))</f>
        <v/>
      </c>
      <c r="L532" t="str">
        <f t="shared" si="43"/>
        <v/>
      </c>
      <c r="M532" t="str">
        <f t="shared" si="44"/>
        <v/>
      </c>
      <c r="N532" t="str">
        <f>IF($F532="","",IF(Sync!$AF532="","0000",IF(AND(ISNUMBER(Sync!$AF532),Sync!$AF532&gt;=0,Sync!$AF532&lt;1),RIGHT("00"&amp;HOUR(Sync!$AF532),2)&amp;RIGHT("00"&amp;MINUTE(Sync!$AF532),2),IFERROR(RIGHT("00"&amp;VALUE(LEFT(Sync!$AF532,FIND(":",Sync!$AF532)-1)),2)&amp;RIGHT("00"&amp;VALUE(MID(Sync!$AF532,FIND(":",Sync!$AF532)+1,2)),2),"0000"))))</f>
        <v/>
      </c>
    </row>
    <row r="533" spans="1:14" x14ac:dyDescent="0.2">
      <c r="A533" t="str">
        <f>IF(OR(Calc!$E537="",Calc!$E537="نامعتبر",Calc!$G537=""),"",Calc!$G537)</f>
        <v/>
      </c>
      <c r="B533" t="str">
        <f>IF($A533="","",LEFT(Calc!$E537,4)&amp;MID(Calc!$E537,6,2)&amp;RIGHT(Calc!$E537,2)&amp;Calc!$Q537&amp;"|"&amp;"1"&amp;RIGHT("00000"&amp;528,5))</f>
        <v/>
      </c>
      <c r="C533" t="str">
        <f t="shared" si="40"/>
        <v/>
      </c>
      <c r="D533" t="str">
        <f t="shared" si="41"/>
        <v/>
      </c>
      <c r="F533" t="str">
        <f>IF(Sync!$AH533="","",IF(LEFT(UPPER(TRIM(Sync!$AH533)),2)="SL",UPPER(TRIM(Sync!$AH533)),""))</f>
        <v/>
      </c>
      <c r="G533" t="str">
        <f>IF($F533="","",IF(Sync!$AE533="","",IF(ISNUMBER(Sync!$AE533),IF(AND(Sync!$AE533&gt;=10000101,Sync!$AE533&lt;=99991231),INT(Sync!$AE533/10000),""),IFERROR(VALUE(TRIM(LEFT(Sync!$AE533,FIND("/",Sync!$AE533)-1))),""))))</f>
        <v/>
      </c>
      <c r="H533" t="str">
        <f>IF(OR($F533="",$G533=""),"",IF(ISNUMBER(Sync!$AE533),INT(MOD(Sync!$AE533,10000)/100),IFERROR(VALUE(TRIM(LEFT(MID(Sync!$AE533,FIND("/",Sync!$AE533)+1,20),FIND("/",MID(Sync!$AE533,FIND("/",Sync!$AE533)+1,20))-1))),"")))</f>
        <v/>
      </c>
      <c r="I533" t="str">
        <f>IF(OR($F533="",$G533=""),"",IF(ISNUMBER(Sync!$AE533),MOD(Sync!$AE533,100),IFERROR(VALUE(TRIM(MID(MID(Sync!$AE533,FIND("/",Sync!$AE533)+1,20),FIND("/",MID(Sync!$AE533,FIND("/",Sync!$AE533)+1,20))+1,20))),"")))</f>
        <v/>
      </c>
      <c r="J533" t="str">
        <f t="shared" si="42"/>
        <v/>
      </c>
      <c r="K533" t="str">
        <f>IF(OR($F533="",$J533="",$J533="نامعتبر"),"",LEFT($J533,4)&amp;MID($J533,6,2)&amp;RIGHT($J533,2)&amp;$N533&amp;"|"&amp;"2"&amp;RIGHT("00000"&amp;528,5))</f>
        <v/>
      </c>
      <c r="L533" t="str">
        <f t="shared" si="43"/>
        <v/>
      </c>
      <c r="M533" t="str">
        <f t="shared" si="44"/>
        <v/>
      </c>
      <c r="N533" t="str">
        <f>IF($F533="","",IF(Sync!$AF533="","0000",IF(AND(ISNUMBER(Sync!$AF533),Sync!$AF533&gt;=0,Sync!$AF533&lt;1),RIGHT("00"&amp;HOUR(Sync!$AF533),2)&amp;RIGHT("00"&amp;MINUTE(Sync!$AF533),2),IFERROR(RIGHT("00"&amp;VALUE(LEFT(Sync!$AF533,FIND(":",Sync!$AF533)-1)),2)&amp;RIGHT("00"&amp;VALUE(MID(Sync!$AF533,FIND(":",Sync!$AF533)+1,2)),2),"0000"))))</f>
        <v/>
      </c>
    </row>
    <row r="534" spans="1:14" x14ac:dyDescent="0.2">
      <c r="A534" t="str">
        <f>IF(OR(Calc!$E538="",Calc!$E538="نامعتبر",Calc!$G538=""),"",Calc!$G538)</f>
        <v/>
      </c>
      <c r="B534" t="str">
        <f>IF($A534="","",LEFT(Calc!$E538,4)&amp;MID(Calc!$E538,6,2)&amp;RIGHT(Calc!$E538,2)&amp;Calc!$Q538&amp;"|"&amp;"1"&amp;RIGHT("00000"&amp;529,5))</f>
        <v/>
      </c>
      <c r="C534" t="str">
        <f t="shared" si="40"/>
        <v/>
      </c>
      <c r="D534" t="str">
        <f t="shared" si="41"/>
        <v/>
      </c>
      <c r="F534" t="str">
        <f>IF(Sync!$AH534="","",IF(LEFT(UPPER(TRIM(Sync!$AH534)),2)="SL",UPPER(TRIM(Sync!$AH534)),""))</f>
        <v/>
      </c>
      <c r="G534" t="str">
        <f>IF($F534="","",IF(Sync!$AE534="","",IF(ISNUMBER(Sync!$AE534),IF(AND(Sync!$AE534&gt;=10000101,Sync!$AE534&lt;=99991231),INT(Sync!$AE534/10000),""),IFERROR(VALUE(TRIM(LEFT(Sync!$AE534,FIND("/",Sync!$AE534)-1))),""))))</f>
        <v/>
      </c>
      <c r="H534" t="str">
        <f>IF(OR($F534="",$G534=""),"",IF(ISNUMBER(Sync!$AE534),INT(MOD(Sync!$AE534,10000)/100),IFERROR(VALUE(TRIM(LEFT(MID(Sync!$AE534,FIND("/",Sync!$AE534)+1,20),FIND("/",MID(Sync!$AE534,FIND("/",Sync!$AE534)+1,20))-1))),"")))</f>
        <v/>
      </c>
      <c r="I534" t="str">
        <f>IF(OR($F534="",$G534=""),"",IF(ISNUMBER(Sync!$AE534),MOD(Sync!$AE534,100),IFERROR(VALUE(TRIM(MID(MID(Sync!$AE534,FIND("/",Sync!$AE534)+1,20),FIND("/",MID(Sync!$AE534,FIND("/",Sync!$AE534)+1,20))+1,20))),"")))</f>
        <v/>
      </c>
      <c r="J534" t="str">
        <f t="shared" si="42"/>
        <v/>
      </c>
      <c r="K534" t="str">
        <f>IF(OR($F534="",$J534="",$J534="نامعتبر"),"",LEFT($J534,4)&amp;MID($J534,6,2)&amp;RIGHT($J534,2)&amp;$N534&amp;"|"&amp;"2"&amp;RIGHT("00000"&amp;529,5))</f>
        <v/>
      </c>
      <c r="L534" t="str">
        <f t="shared" si="43"/>
        <v/>
      </c>
      <c r="M534" t="str">
        <f t="shared" si="44"/>
        <v/>
      </c>
      <c r="N534" t="str">
        <f>IF($F534="","",IF(Sync!$AF534="","0000",IF(AND(ISNUMBER(Sync!$AF534),Sync!$AF534&gt;=0,Sync!$AF534&lt;1),RIGHT("00"&amp;HOUR(Sync!$AF534),2)&amp;RIGHT("00"&amp;MINUTE(Sync!$AF534),2),IFERROR(RIGHT("00"&amp;VALUE(LEFT(Sync!$AF534,FIND(":",Sync!$AF534)-1)),2)&amp;RIGHT("00"&amp;VALUE(MID(Sync!$AF534,FIND(":",Sync!$AF534)+1,2)),2),"0000"))))</f>
        <v/>
      </c>
    </row>
    <row r="535" spans="1:14" x14ac:dyDescent="0.2">
      <c r="A535" t="str">
        <f>IF(OR(Calc!$E539="",Calc!$E539="نامعتبر",Calc!$G539=""),"",Calc!$G539)</f>
        <v/>
      </c>
      <c r="B535" t="str">
        <f>IF($A535="","",LEFT(Calc!$E539,4)&amp;MID(Calc!$E539,6,2)&amp;RIGHT(Calc!$E539,2)&amp;Calc!$Q539&amp;"|"&amp;"1"&amp;RIGHT("00000"&amp;530,5))</f>
        <v/>
      </c>
      <c r="C535" t="str">
        <f t="shared" si="40"/>
        <v/>
      </c>
      <c r="D535" t="str">
        <f t="shared" si="41"/>
        <v/>
      </c>
      <c r="F535" t="str">
        <f>IF(Sync!$AH535="","",IF(LEFT(UPPER(TRIM(Sync!$AH535)),2)="SL",UPPER(TRIM(Sync!$AH535)),""))</f>
        <v/>
      </c>
      <c r="G535" t="str">
        <f>IF($F535="","",IF(Sync!$AE535="","",IF(ISNUMBER(Sync!$AE535),IF(AND(Sync!$AE535&gt;=10000101,Sync!$AE535&lt;=99991231),INT(Sync!$AE535/10000),""),IFERROR(VALUE(TRIM(LEFT(Sync!$AE535,FIND("/",Sync!$AE535)-1))),""))))</f>
        <v/>
      </c>
      <c r="H535" t="str">
        <f>IF(OR($F535="",$G535=""),"",IF(ISNUMBER(Sync!$AE535),INT(MOD(Sync!$AE535,10000)/100),IFERROR(VALUE(TRIM(LEFT(MID(Sync!$AE535,FIND("/",Sync!$AE535)+1,20),FIND("/",MID(Sync!$AE535,FIND("/",Sync!$AE535)+1,20))-1))),"")))</f>
        <v/>
      </c>
      <c r="I535" t="str">
        <f>IF(OR($F535="",$G535=""),"",IF(ISNUMBER(Sync!$AE535),MOD(Sync!$AE535,100),IFERROR(VALUE(TRIM(MID(MID(Sync!$AE535,FIND("/",Sync!$AE535)+1,20),FIND("/",MID(Sync!$AE535,FIND("/",Sync!$AE535)+1,20))+1,20))),"")))</f>
        <v/>
      </c>
      <c r="J535" t="str">
        <f t="shared" si="42"/>
        <v/>
      </c>
      <c r="K535" t="str">
        <f>IF(OR($F535="",$J535="",$J535="نامعتبر"),"",LEFT($J535,4)&amp;MID($J535,6,2)&amp;RIGHT($J535,2)&amp;$N535&amp;"|"&amp;"2"&amp;RIGHT("00000"&amp;530,5))</f>
        <v/>
      </c>
      <c r="L535" t="str">
        <f t="shared" si="43"/>
        <v/>
      </c>
      <c r="M535" t="str">
        <f t="shared" si="44"/>
        <v/>
      </c>
      <c r="N535" t="str">
        <f>IF($F535="","",IF(Sync!$AF535="","0000",IF(AND(ISNUMBER(Sync!$AF535),Sync!$AF535&gt;=0,Sync!$AF535&lt;1),RIGHT("00"&amp;HOUR(Sync!$AF535),2)&amp;RIGHT("00"&amp;MINUTE(Sync!$AF535),2),IFERROR(RIGHT("00"&amp;VALUE(LEFT(Sync!$AF535,FIND(":",Sync!$AF535)-1)),2)&amp;RIGHT("00"&amp;VALUE(MID(Sync!$AF535,FIND(":",Sync!$AF535)+1,2)),2),"0000"))))</f>
        <v/>
      </c>
    </row>
    <row r="536" spans="1:14" x14ac:dyDescent="0.2">
      <c r="A536" t="str">
        <f>IF(OR(Calc!$E540="",Calc!$E540="نامعتبر",Calc!$G540=""),"",Calc!$G540)</f>
        <v/>
      </c>
      <c r="B536" t="str">
        <f>IF($A536="","",LEFT(Calc!$E540,4)&amp;MID(Calc!$E540,6,2)&amp;RIGHT(Calc!$E540,2)&amp;Calc!$Q540&amp;"|"&amp;"1"&amp;RIGHT("00000"&amp;531,5))</f>
        <v/>
      </c>
      <c r="C536" t="str">
        <f t="shared" si="40"/>
        <v/>
      </c>
      <c r="D536" t="str">
        <f t="shared" si="41"/>
        <v/>
      </c>
      <c r="F536" t="str">
        <f>IF(Sync!$AH536="","",IF(LEFT(UPPER(TRIM(Sync!$AH536)),2)="SL",UPPER(TRIM(Sync!$AH536)),""))</f>
        <v/>
      </c>
      <c r="G536" t="str">
        <f>IF($F536="","",IF(Sync!$AE536="","",IF(ISNUMBER(Sync!$AE536),IF(AND(Sync!$AE536&gt;=10000101,Sync!$AE536&lt;=99991231),INT(Sync!$AE536/10000),""),IFERROR(VALUE(TRIM(LEFT(Sync!$AE536,FIND("/",Sync!$AE536)-1))),""))))</f>
        <v/>
      </c>
      <c r="H536" t="str">
        <f>IF(OR($F536="",$G536=""),"",IF(ISNUMBER(Sync!$AE536),INT(MOD(Sync!$AE536,10000)/100),IFERROR(VALUE(TRIM(LEFT(MID(Sync!$AE536,FIND("/",Sync!$AE536)+1,20),FIND("/",MID(Sync!$AE536,FIND("/",Sync!$AE536)+1,20))-1))),"")))</f>
        <v/>
      </c>
      <c r="I536" t="str">
        <f>IF(OR($F536="",$G536=""),"",IF(ISNUMBER(Sync!$AE536),MOD(Sync!$AE536,100),IFERROR(VALUE(TRIM(MID(MID(Sync!$AE536,FIND("/",Sync!$AE536)+1,20),FIND("/",MID(Sync!$AE536,FIND("/",Sync!$AE536)+1,20))+1,20))),"")))</f>
        <v/>
      </c>
      <c r="J536" t="str">
        <f t="shared" si="42"/>
        <v/>
      </c>
      <c r="K536" t="str">
        <f>IF(OR($F536="",$J536="",$J536="نامعتبر"),"",LEFT($J536,4)&amp;MID($J536,6,2)&amp;RIGHT($J536,2)&amp;$N536&amp;"|"&amp;"2"&amp;RIGHT("00000"&amp;531,5))</f>
        <v/>
      </c>
      <c r="L536" t="str">
        <f t="shared" si="43"/>
        <v/>
      </c>
      <c r="M536" t="str">
        <f t="shared" si="44"/>
        <v/>
      </c>
      <c r="N536" t="str">
        <f>IF($F536="","",IF(Sync!$AF536="","0000",IF(AND(ISNUMBER(Sync!$AF536),Sync!$AF536&gt;=0,Sync!$AF536&lt;1),RIGHT("00"&amp;HOUR(Sync!$AF536),2)&amp;RIGHT("00"&amp;MINUTE(Sync!$AF536),2),IFERROR(RIGHT("00"&amp;VALUE(LEFT(Sync!$AF536,FIND(":",Sync!$AF536)-1)),2)&amp;RIGHT("00"&amp;VALUE(MID(Sync!$AF536,FIND(":",Sync!$AF536)+1,2)),2),"0000"))))</f>
        <v/>
      </c>
    </row>
    <row r="537" spans="1:14" x14ac:dyDescent="0.2">
      <c r="A537" t="str">
        <f>IF(OR(Calc!$E541="",Calc!$E541="نامعتبر",Calc!$G541=""),"",Calc!$G541)</f>
        <v/>
      </c>
      <c r="B537" t="str">
        <f>IF($A537="","",LEFT(Calc!$E541,4)&amp;MID(Calc!$E541,6,2)&amp;RIGHT(Calc!$E541,2)&amp;Calc!$Q541&amp;"|"&amp;"1"&amp;RIGHT("00000"&amp;532,5))</f>
        <v/>
      </c>
      <c r="C537" t="str">
        <f t="shared" si="40"/>
        <v/>
      </c>
      <c r="D537" t="str">
        <f t="shared" si="41"/>
        <v/>
      </c>
      <c r="F537" t="str">
        <f>IF(Sync!$AH537="","",IF(LEFT(UPPER(TRIM(Sync!$AH537)),2)="SL",UPPER(TRIM(Sync!$AH537)),""))</f>
        <v/>
      </c>
      <c r="G537" t="str">
        <f>IF($F537="","",IF(Sync!$AE537="","",IF(ISNUMBER(Sync!$AE537),IF(AND(Sync!$AE537&gt;=10000101,Sync!$AE537&lt;=99991231),INT(Sync!$AE537/10000),""),IFERROR(VALUE(TRIM(LEFT(Sync!$AE537,FIND("/",Sync!$AE537)-1))),""))))</f>
        <v/>
      </c>
      <c r="H537" t="str">
        <f>IF(OR($F537="",$G537=""),"",IF(ISNUMBER(Sync!$AE537),INT(MOD(Sync!$AE537,10000)/100),IFERROR(VALUE(TRIM(LEFT(MID(Sync!$AE537,FIND("/",Sync!$AE537)+1,20),FIND("/",MID(Sync!$AE537,FIND("/",Sync!$AE537)+1,20))-1))),"")))</f>
        <v/>
      </c>
      <c r="I537" t="str">
        <f>IF(OR($F537="",$G537=""),"",IF(ISNUMBER(Sync!$AE537),MOD(Sync!$AE537,100),IFERROR(VALUE(TRIM(MID(MID(Sync!$AE537,FIND("/",Sync!$AE537)+1,20),FIND("/",MID(Sync!$AE537,FIND("/",Sync!$AE537)+1,20))+1,20))),"")))</f>
        <v/>
      </c>
      <c r="J537" t="str">
        <f t="shared" si="42"/>
        <v/>
      </c>
      <c r="K537" t="str">
        <f>IF(OR($F537="",$J537="",$J537="نامعتبر"),"",LEFT($J537,4)&amp;MID($J537,6,2)&amp;RIGHT($J537,2)&amp;$N537&amp;"|"&amp;"2"&amp;RIGHT("00000"&amp;532,5))</f>
        <v/>
      </c>
      <c r="L537" t="str">
        <f t="shared" si="43"/>
        <v/>
      </c>
      <c r="M537" t="str">
        <f t="shared" si="44"/>
        <v/>
      </c>
      <c r="N537" t="str">
        <f>IF($F537="","",IF(Sync!$AF537="","0000",IF(AND(ISNUMBER(Sync!$AF537),Sync!$AF537&gt;=0,Sync!$AF537&lt;1),RIGHT("00"&amp;HOUR(Sync!$AF537),2)&amp;RIGHT("00"&amp;MINUTE(Sync!$AF537),2),IFERROR(RIGHT("00"&amp;VALUE(LEFT(Sync!$AF537,FIND(":",Sync!$AF537)-1)),2)&amp;RIGHT("00"&amp;VALUE(MID(Sync!$AF537,FIND(":",Sync!$AF537)+1,2)),2),"0000"))))</f>
        <v/>
      </c>
    </row>
    <row r="538" spans="1:14" x14ac:dyDescent="0.2">
      <c r="A538" t="str">
        <f>IF(OR(Calc!$E542="",Calc!$E542="نامعتبر",Calc!$G542=""),"",Calc!$G542)</f>
        <v/>
      </c>
      <c r="B538" t="str">
        <f>IF($A538="","",LEFT(Calc!$E542,4)&amp;MID(Calc!$E542,6,2)&amp;RIGHT(Calc!$E542,2)&amp;Calc!$Q542&amp;"|"&amp;"1"&amp;RIGHT("00000"&amp;533,5))</f>
        <v/>
      </c>
      <c r="C538" t="str">
        <f t="shared" si="40"/>
        <v/>
      </c>
      <c r="D538" t="str">
        <f t="shared" si="41"/>
        <v/>
      </c>
      <c r="F538" t="str">
        <f>IF(Sync!$AH538="","",IF(LEFT(UPPER(TRIM(Sync!$AH538)),2)="SL",UPPER(TRIM(Sync!$AH538)),""))</f>
        <v/>
      </c>
      <c r="G538" t="str">
        <f>IF($F538="","",IF(Sync!$AE538="","",IF(ISNUMBER(Sync!$AE538),IF(AND(Sync!$AE538&gt;=10000101,Sync!$AE538&lt;=99991231),INT(Sync!$AE538/10000),""),IFERROR(VALUE(TRIM(LEFT(Sync!$AE538,FIND("/",Sync!$AE538)-1))),""))))</f>
        <v/>
      </c>
      <c r="H538" t="str">
        <f>IF(OR($F538="",$G538=""),"",IF(ISNUMBER(Sync!$AE538),INT(MOD(Sync!$AE538,10000)/100),IFERROR(VALUE(TRIM(LEFT(MID(Sync!$AE538,FIND("/",Sync!$AE538)+1,20),FIND("/",MID(Sync!$AE538,FIND("/",Sync!$AE538)+1,20))-1))),"")))</f>
        <v/>
      </c>
      <c r="I538" t="str">
        <f>IF(OR($F538="",$G538=""),"",IF(ISNUMBER(Sync!$AE538),MOD(Sync!$AE538,100),IFERROR(VALUE(TRIM(MID(MID(Sync!$AE538,FIND("/",Sync!$AE538)+1,20),FIND("/",MID(Sync!$AE538,FIND("/",Sync!$AE538)+1,20))+1,20))),"")))</f>
        <v/>
      </c>
      <c r="J538" t="str">
        <f t="shared" si="42"/>
        <v/>
      </c>
      <c r="K538" t="str">
        <f>IF(OR($F538="",$J538="",$J538="نامعتبر"),"",LEFT($J538,4)&amp;MID($J538,6,2)&amp;RIGHT($J538,2)&amp;$N538&amp;"|"&amp;"2"&amp;RIGHT("00000"&amp;533,5))</f>
        <v/>
      </c>
      <c r="L538" t="str">
        <f t="shared" si="43"/>
        <v/>
      </c>
      <c r="M538" t="str">
        <f t="shared" si="44"/>
        <v/>
      </c>
      <c r="N538" t="str">
        <f>IF($F538="","",IF(Sync!$AF538="","0000",IF(AND(ISNUMBER(Sync!$AF538),Sync!$AF538&gt;=0,Sync!$AF538&lt;1),RIGHT("00"&amp;HOUR(Sync!$AF538),2)&amp;RIGHT("00"&amp;MINUTE(Sync!$AF538),2),IFERROR(RIGHT("00"&amp;VALUE(LEFT(Sync!$AF538,FIND(":",Sync!$AF538)-1)),2)&amp;RIGHT("00"&amp;VALUE(MID(Sync!$AF538,FIND(":",Sync!$AF538)+1,2)),2),"0000"))))</f>
        <v/>
      </c>
    </row>
    <row r="539" spans="1:14" x14ac:dyDescent="0.2">
      <c r="A539" t="str">
        <f>IF(OR(Calc!$E543="",Calc!$E543="نامعتبر",Calc!$G543=""),"",Calc!$G543)</f>
        <v/>
      </c>
      <c r="B539" t="str">
        <f>IF($A539="","",LEFT(Calc!$E543,4)&amp;MID(Calc!$E543,6,2)&amp;RIGHT(Calc!$E543,2)&amp;Calc!$Q543&amp;"|"&amp;"1"&amp;RIGHT("00000"&amp;534,5))</f>
        <v/>
      </c>
      <c r="C539" t="str">
        <f t="shared" si="40"/>
        <v/>
      </c>
      <c r="D539" t="str">
        <f t="shared" si="41"/>
        <v/>
      </c>
      <c r="F539" t="str">
        <f>IF(Sync!$AH539="","",IF(LEFT(UPPER(TRIM(Sync!$AH539)),2)="SL",UPPER(TRIM(Sync!$AH539)),""))</f>
        <v/>
      </c>
      <c r="G539" t="str">
        <f>IF($F539="","",IF(Sync!$AE539="","",IF(ISNUMBER(Sync!$AE539),IF(AND(Sync!$AE539&gt;=10000101,Sync!$AE539&lt;=99991231),INT(Sync!$AE539/10000),""),IFERROR(VALUE(TRIM(LEFT(Sync!$AE539,FIND("/",Sync!$AE539)-1))),""))))</f>
        <v/>
      </c>
      <c r="H539" t="str">
        <f>IF(OR($F539="",$G539=""),"",IF(ISNUMBER(Sync!$AE539),INT(MOD(Sync!$AE539,10000)/100),IFERROR(VALUE(TRIM(LEFT(MID(Sync!$AE539,FIND("/",Sync!$AE539)+1,20),FIND("/",MID(Sync!$AE539,FIND("/",Sync!$AE539)+1,20))-1))),"")))</f>
        <v/>
      </c>
      <c r="I539" t="str">
        <f>IF(OR($F539="",$G539=""),"",IF(ISNUMBER(Sync!$AE539),MOD(Sync!$AE539,100),IFERROR(VALUE(TRIM(MID(MID(Sync!$AE539,FIND("/",Sync!$AE539)+1,20),FIND("/",MID(Sync!$AE539,FIND("/",Sync!$AE539)+1,20))+1,20))),"")))</f>
        <v/>
      </c>
      <c r="J539" t="str">
        <f t="shared" si="42"/>
        <v/>
      </c>
      <c r="K539" t="str">
        <f>IF(OR($F539="",$J539="",$J539="نامعتبر"),"",LEFT($J539,4)&amp;MID($J539,6,2)&amp;RIGHT($J539,2)&amp;$N539&amp;"|"&amp;"2"&amp;RIGHT("00000"&amp;534,5))</f>
        <v/>
      </c>
      <c r="L539" t="str">
        <f t="shared" si="43"/>
        <v/>
      </c>
      <c r="M539" t="str">
        <f t="shared" si="44"/>
        <v/>
      </c>
      <c r="N539" t="str">
        <f>IF($F539="","",IF(Sync!$AF539="","0000",IF(AND(ISNUMBER(Sync!$AF539),Sync!$AF539&gt;=0,Sync!$AF539&lt;1),RIGHT("00"&amp;HOUR(Sync!$AF539),2)&amp;RIGHT("00"&amp;MINUTE(Sync!$AF539),2),IFERROR(RIGHT("00"&amp;VALUE(LEFT(Sync!$AF539,FIND(":",Sync!$AF539)-1)),2)&amp;RIGHT("00"&amp;VALUE(MID(Sync!$AF539,FIND(":",Sync!$AF539)+1,2)),2),"0000"))))</f>
        <v/>
      </c>
    </row>
    <row r="540" spans="1:14" x14ac:dyDescent="0.2">
      <c r="A540" t="str">
        <f>IF(OR(Calc!$E544="",Calc!$E544="نامعتبر",Calc!$G544=""),"",Calc!$G544)</f>
        <v/>
      </c>
      <c r="B540" t="str">
        <f>IF($A540="","",LEFT(Calc!$E544,4)&amp;MID(Calc!$E544,6,2)&amp;RIGHT(Calc!$E544,2)&amp;Calc!$Q544&amp;"|"&amp;"1"&amp;RIGHT("00000"&amp;535,5))</f>
        <v/>
      </c>
      <c r="C540" t="str">
        <f t="shared" si="40"/>
        <v/>
      </c>
      <c r="D540" t="str">
        <f t="shared" si="41"/>
        <v/>
      </c>
      <c r="F540" t="str">
        <f>IF(Sync!$AH540="","",IF(LEFT(UPPER(TRIM(Sync!$AH540)),2)="SL",UPPER(TRIM(Sync!$AH540)),""))</f>
        <v/>
      </c>
      <c r="G540" t="str">
        <f>IF($F540="","",IF(Sync!$AE540="","",IF(ISNUMBER(Sync!$AE540),IF(AND(Sync!$AE540&gt;=10000101,Sync!$AE540&lt;=99991231),INT(Sync!$AE540/10000),""),IFERROR(VALUE(TRIM(LEFT(Sync!$AE540,FIND("/",Sync!$AE540)-1))),""))))</f>
        <v/>
      </c>
      <c r="H540" t="str">
        <f>IF(OR($F540="",$G540=""),"",IF(ISNUMBER(Sync!$AE540),INT(MOD(Sync!$AE540,10000)/100),IFERROR(VALUE(TRIM(LEFT(MID(Sync!$AE540,FIND("/",Sync!$AE540)+1,20),FIND("/",MID(Sync!$AE540,FIND("/",Sync!$AE540)+1,20))-1))),"")))</f>
        <v/>
      </c>
      <c r="I540" t="str">
        <f>IF(OR($F540="",$G540=""),"",IF(ISNUMBER(Sync!$AE540),MOD(Sync!$AE540,100),IFERROR(VALUE(TRIM(MID(MID(Sync!$AE540,FIND("/",Sync!$AE540)+1,20),FIND("/",MID(Sync!$AE540,FIND("/",Sync!$AE540)+1,20))+1,20))),"")))</f>
        <v/>
      </c>
      <c r="J540" t="str">
        <f t="shared" si="42"/>
        <v/>
      </c>
      <c r="K540" t="str">
        <f>IF(OR($F540="",$J540="",$J540="نامعتبر"),"",LEFT($J540,4)&amp;MID($J540,6,2)&amp;RIGHT($J540,2)&amp;$N540&amp;"|"&amp;"2"&amp;RIGHT("00000"&amp;535,5))</f>
        <v/>
      </c>
      <c r="L540" t="str">
        <f t="shared" si="43"/>
        <v/>
      </c>
      <c r="M540" t="str">
        <f t="shared" si="44"/>
        <v/>
      </c>
      <c r="N540" t="str">
        <f>IF($F540="","",IF(Sync!$AF540="","0000",IF(AND(ISNUMBER(Sync!$AF540),Sync!$AF540&gt;=0,Sync!$AF540&lt;1),RIGHT("00"&amp;HOUR(Sync!$AF540),2)&amp;RIGHT("00"&amp;MINUTE(Sync!$AF540),2),IFERROR(RIGHT("00"&amp;VALUE(LEFT(Sync!$AF540,FIND(":",Sync!$AF540)-1)),2)&amp;RIGHT("00"&amp;VALUE(MID(Sync!$AF540,FIND(":",Sync!$AF540)+1,2)),2),"0000"))))</f>
        <v/>
      </c>
    </row>
    <row r="541" spans="1:14" x14ac:dyDescent="0.2">
      <c r="A541" t="str">
        <f>IF(OR(Calc!$E545="",Calc!$E545="نامعتبر",Calc!$G545=""),"",Calc!$G545)</f>
        <v/>
      </c>
      <c r="B541" t="str">
        <f>IF($A541="","",LEFT(Calc!$E545,4)&amp;MID(Calc!$E545,6,2)&amp;RIGHT(Calc!$E545,2)&amp;Calc!$Q545&amp;"|"&amp;"1"&amp;RIGHT("00000"&amp;536,5))</f>
        <v/>
      </c>
      <c r="C541" t="str">
        <f t="shared" si="40"/>
        <v/>
      </c>
      <c r="D541" t="str">
        <f t="shared" si="41"/>
        <v/>
      </c>
      <c r="F541" t="str">
        <f>IF(Sync!$AH541="","",IF(LEFT(UPPER(TRIM(Sync!$AH541)),2)="SL",UPPER(TRIM(Sync!$AH541)),""))</f>
        <v/>
      </c>
      <c r="G541" t="str">
        <f>IF($F541="","",IF(Sync!$AE541="","",IF(ISNUMBER(Sync!$AE541),IF(AND(Sync!$AE541&gt;=10000101,Sync!$AE541&lt;=99991231),INT(Sync!$AE541/10000),""),IFERROR(VALUE(TRIM(LEFT(Sync!$AE541,FIND("/",Sync!$AE541)-1))),""))))</f>
        <v/>
      </c>
      <c r="H541" t="str">
        <f>IF(OR($F541="",$G541=""),"",IF(ISNUMBER(Sync!$AE541),INT(MOD(Sync!$AE541,10000)/100),IFERROR(VALUE(TRIM(LEFT(MID(Sync!$AE541,FIND("/",Sync!$AE541)+1,20),FIND("/",MID(Sync!$AE541,FIND("/",Sync!$AE541)+1,20))-1))),"")))</f>
        <v/>
      </c>
      <c r="I541" t="str">
        <f>IF(OR($F541="",$G541=""),"",IF(ISNUMBER(Sync!$AE541),MOD(Sync!$AE541,100),IFERROR(VALUE(TRIM(MID(MID(Sync!$AE541,FIND("/",Sync!$AE541)+1,20),FIND("/",MID(Sync!$AE541,FIND("/",Sync!$AE541)+1,20))+1,20))),"")))</f>
        <v/>
      </c>
      <c r="J541" t="str">
        <f t="shared" si="42"/>
        <v/>
      </c>
      <c r="K541" t="str">
        <f>IF(OR($F541="",$J541="",$J541="نامعتبر"),"",LEFT($J541,4)&amp;MID($J541,6,2)&amp;RIGHT($J541,2)&amp;$N541&amp;"|"&amp;"2"&amp;RIGHT("00000"&amp;536,5))</f>
        <v/>
      </c>
      <c r="L541" t="str">
        <f t="shared" si="43"/>
        <v/>
      </c>
      <c r="M541" t="str">
        <f t="shared" si="44"/>
        <v/>
      </c>
      <c r="N541" t="str">
        <f>IF($F541="","",IF(Sync!$AF541="","0000",IF(AND(ISNUMBER(Sync!$AF541),Sync!$AF541&gt;=0,Sync!$AF541&lt;1),RIGHT("00"&amp;HOUR(Sync!$AF541),2)&amp;RIGHT("00"&amp;MINUTE(Sync!$AF541),2),IFERROR(RIGHT("00"&amp;VALUE(LEFT(Sync!$AF541,FIND(":",Sync!$AF541)-1)),2)&amp;RIGHT("00"&amp;VALUE(MID(Sync!$AF541,FIND(":",Sync!$AF541)+1,2)),2),"0000"))))</f>
        <v/>
      </c>
    </row>
    <row r="542" spans="1:14" x14ac:dyDescent="0.2">
      <c r="A542" t="str">
        <f>IF(OR(Calc!$E546="",Calc!$E546="نامعتبر",Calc!$G546=""),"",Calc!$G546)</f>
        <v/>
      </c>
      <c r="B542" t="str">
        <f>IF($A542="","",LEFT(Calc!$E546,4)&amp;MID(Calc!$E546,6,2)&amp;RIGHT(Calc!$E546,2)&amp;Calc!$Q546&amp;"|"&amp;"1"&amp;RIGHT("00000"&amp;537,5))</f>
        <v/>
      </c>
      <c r="C542" t="str">
        <f t="shared" si="40"/>
        <v/>
      </c>
      <c r="D542" t="str">
        <f t="shared" si="41"/>
        <v/>
      </c>
      <c r="F542" t="str">
        <f>IF(Sync!$AH542="","",IF(LEFT(UPPER(TRIM(Sync!$AH542)),2)="SL",UPPER(TRIM(Sync!$AH542)),""))</f>
        <v/>
      </c>
      <c r="G542" t="str">
        <f>IF($F542="","",IF(Sync!$AE542="","",IF(ISNUMBER(Sync!$AE542),IF(AND(Sync!$AE542&gt;=10000101,Sync!$AE542&lt;=99991231),INT(Sync!$AE542/10000),""),IFERROR(VALUE(TRIM(LEFT(Sync!$AE542,FIND("/",Sync!$AE542)-1))),""))))</f>
        <v/>
      </c>
      <c r="H542" t="str">
        <f>IF(OR($F542="",$G542=""),"",IF(ISNUMBER(Sync!$AE542),INT(MOD(Sync!$AE542,10000)/100),IFERROR(VALUE(TRIM(LEFT(MID(Sync!$AE542,FIND("/",Sync!$AE542)+1,20),FIND("/",MID(Sync!$AE542,FIND("/",Sync!$AE542)+1,20))-1))),"")))</f>
        <v/>
      </c>
      <c r="I542" t="str">
        <f>IF(OR($F542="",$G542=""),"",IF(ISNUMBER(Sync!$AE542),MOD(Sync!$AE542,100),IFERROR(VALUE(TRIM(MID(MID(Sync!$AE542,FIND("/",Sync!$AE542)+1,20),FIND("/",MID(Sync!$AE542,FIND("/",Sync!$AE542)+1,20))+1,20))),"")))</f>
        <v/>
      </c>
      <c r="J542" t="str">
        <f t="shared" si="42"/>
        <v/>
      </c>
      <c r="K542" t="str">
        <f>IF(OR($F542="",$J542="",$J542="نامعتبر"),"",LEFT($J542,4)&amp;MID($J542,6,2)&amp;RIGHT($J542,2)&amp;$N542&amp;"|"&amp;"2"&amp;RIGHT("00000"&amp;537,5))</f>
        <v/>
      </c>
      <c r="L542" t="str">
        <f t="shared" si="43"/>
        <v/>
      </c>
      <c r="M542" t="str">
        <f t="shared" si="44"/>
        <v/>
      </c>
      <c r="N542" t="str">
        <f>IF($F542="","",IF(Sync!$AF542="","0000",IF(AND(ISNUMBER(Sync!$AF542),Sync!$AF542&gt;=0,Sync!$AF542&lt;1),RIGHT("00"&amp;HOUR(Sync!$AF542),2)&amp;RIGHT("00"&amp;MINUTE(Sync!$AF542),2),IFERROR(RIGHT("00"&amp;VALUE(LEFT(Sync!$AF542,FIND(":",Sync!$AF542)-1)),2)&amp;RIGHT("00"&amp;VALUE(MID(Sync!$AF542,FIND(":",Sync!$AF542)+1,2)),2),"0000"))))</f>
        <v/>
      </c>
    </row>
    <row r="543" spans="1:14" x14ac:dyDescent="0.2">
      <c r="A543" t="str">
        <f>IF(OR(Calc!$E547="",Calc!$E547="نامعتبر",Calc!$G547=""),"",Calc!$G547)</f>
        <v/>
      </c>
      <c r="B543" t="str">
        <f>IF($A543="","",LEFT(Calc!$E547,4)&amp;MID(Calc!$E547,6,2)&amp;RIGHT(Calc!$E547,2)&amp;Calc!$Q547&amp;"|"&amp;"1"&amp;RIGHT("00000"&amp;538,5))</f>
        <v/>
      </c>
      <c r="C543" t="str">
        <f t="shared" si="40"/>
        <v/>
      </c>
      <c r="D543" t="str">
        <f t="shared" si="41"/>
        <v/>
      </c>
      <c r="F543" t="str">
        <f>IF(Sync!$AH543="","",IF(LEFT(UPPER(TRIM(Sync!$AH543)),2)="SL",UPPER(TRIM(Sync!$AH543)),""))</f>
        <v/>
      </c>
      <c r="G543" t="str">
        <f>IF($F543="","",IF(Sync!$AE543="","",IF(ISNUMBER(Sync!$AE543),IF(AND(Sync!$AE543&gt;=10000101,Sync!$AE543&lt;=99991231),INT(Sync!$AE543/10000),""),IFERROR(VALUE(TRIM(LEFT(Sync!$AE543,FIND("/",Sync!$AE543)-1))),""))))</f>
        <v/>
      </c>
      <c r="H543" t="str">
        <f>IF(OR($F543="",$G543=""),"",IF(ISNUMBER(Sync!$AE543),INT(MOD(Sync!$AE543,10000)/100),IFERROR(VALUE(TRIM(LEFT(MID(Sync!$AE543,FIND("/",Sync!$AE543)+1,20),FIND("/",MID(Sync!$AE543,FIND("/",Sync!$AE543)+1,20))-1))),"")))</f>
        <v/>
      </c>
      <c r="I543" t="str">
        <f>IF(OR($F543="",$G543=""),"",IF(ISNUMBER(Sync!$AE543),MOD(Sync!$AE543,100),IFERROR(VALUE(TRIM(MID(MID(Sync!$AE543,FIND("/",Sync!$AE543)+1,20),FIND("/",MID(Sync!$AE543,FIND("/",Sync!$AE543)+1,20))+1,20))),"")))</f>
        <v/>
      </c>
      <c r="J543" t="str">
        <f t="shared" si="42"/>
        <v/>
      </c>
      <c r="K543" t="str">
        <f>IF(OR($F543="",$J543="",$J543="نامعتبر"),"",LEFT($J543,4)&amp;MID($J543,6,2)&amp;RIGHT($J543,2)&amp;$N543&amp;"|"&amp;"2"&amp;RIGHT("00000"&amp;538,5))</f>
        <v/>
      </c>
      <c r="L543" t="str">
        <f t="shared" si="43"/>
        <v/>
      </c>
      <c r="M543" t="str">
        <f t="shared" si="44"/>
        <v/>
      </c>
      <c r="N543" t="str">
        <f>IF($F543="","",IF(Sync!$AF543="","0000",IF(AND(ISNUMBER(Sync!$AF543),Sync!$AF543&gt;=0,Sync!$AF543&lt;1),RIGHT("00"&amp;HOUR(Sync!$AF543),2)&amp;RIGHT("00"&amp;MINUTE(Sync!$AF543),2),IFERROR(RIGHT("00"&amp;VALUE(LEFT(Sync!$AF543,FIND(":",Sync!$AF543)-1)),2)&amp;RIGHT("00"&amp;VALUE(MID(Sync!$AF543,FIND(":",Sync!$AF543)+1,2)),2),"0000"))))</f>
        <v/>
      </c>
    </row>
    <row r="544" spans="1:14" x14ac:dyDescent="0.2">
      <c r="A544" t="str">
        <f>IF(OR(Calc!$E548="",Calc!$E548="نامعتبر",Calc!$G548=""),"",Calc!$G548)</f>
        <v/>
      </c>
      <c r="B544" t="str">
        <f>IF($A544="","",LEFT(Calc!$E548,4)&amp;MID(Calc!$E548,6,2)&amp;RIGHT(Calc!$E548,2)&amp;Calc!$Q548&amp;"|"&amp;"1"&amp;RIGHT("00000"&amp;539,5))</f>
        <v/>
      </c>
      <c r="C544" t="str">
        <f t="shared" si="40"/>
        <v/>
      </c>
      <c r="D544" t="str">
        <f t="shared" si="41"/>
        <v/>
      </c>
      <c r="F544" t="str">
        <f>IF(Sync!$AH544="","",IF(LEFT(UPPER(TRIM(Sync!$AH544)),2)="SL",UPPER(TRIM(Sync!$AH544)),""))</f>
        <v/>
      </c>
      <c r="G544" t="str">
        <f>IF($F544="","",IF(Sync!$AE544="","",IF(ISNUMBER(Sync!$AE544),IF(AND(Sync!$AE544&gt;=10000101,Sync!$AE544&lt;=99991231),INT(Sync!$AE544/10000),""),IFERROR(VALUE(TRIM(LEFT(Sync!$AE544,FIND("/",Sync!$AE544)-1))),""))))</f>
        <v/>
      </c>
      <c r="H544" t="str">
        <f>IF(OR($F544="",$G544=""),"",IF(ISNUMBER(Sync!$AE544),INT(MOD(Sync!$AE544,10000)/100),IFERROR(VALUE(TRIM(LEFT(MID(Sync!$AE544,FIND("/",Sync!$AE544)+1,20),FIND("/",MID(Sync!$AE544,FIND("/",Sync!$AE544)+1,20))-1))),"")))</f>
        <v/>
      </c>
      <c r="I544" t="str">
        <f>IF(OR($F544="",$G544=""),"",IF(ISNUMBER(Sync!$AE544),MOD(Sync!$AE544,100),IFERROR(VALUE(TRIM(MID(MID(Sync!$AE544,FIND("/",Sync!$AE544)+1,20),FIND("/",MID(Sync!$AE544,FIND("/",Sync!$AE544)+1,20))+1,20))),"")))</f>
        <v/>
      </c>
      <c r="J544" t="str">
        <f t="shared" si="42"/>
        <v/>
      </c>
      <c r="K544" t="str">
        <f>IF(OR($F544="",$J544="",$J544="نامعتبر"),"",LEFT($J544,4)&amp;MID($J544,6,2)&amp;RIGHT($J544,2)&amp;$N544&amp;"|"&amp;"2"&amp;RIGHT("00000"&amp;539,5))</f>
        <v/>
      </c>
      <c r="L544" t="str">
        <f t="shared" si="43"/>
        <v/>
      </c>
      <c r="M544" t="str">
        <f t="shared" si="44"/>
        <v/>
      </c>
      <c r="N544" t="str">
        <f>IF($F544="","",IF(Sync!$AF544="","0000",IF(AND(ISNUMBER(Sync!$AF544),Sync!$AF544&gt;=0,Sync!$AF544&lt;1),RIGHT("00"&amp;HOUR(Sync!$AF544),2)&amp;RIGHT("00"&amp;MINUTE(Sync!$AF544),2),IFERROR(RIGHT("00"&amp;VALUE(LEFT(Sync!$AF544,FIND(":",Sync!$AF544)-1)),2)&amp;RIGHT("00"&amp;VALUE(MID(Sync!$AF544,FIND(":",Sync!$AF544)+1,2)),2),"0000"))))</f>
        <v/>
      </c>
    </row>
    <row r="545" spans="1:14" x14ac:dyDescent="0.2">
      <c r="A545" t="str">
        <f>IF(OR(Calc!$E549="",Calc!$E549="نامعتبر",Calc!$G549=""),"",Calc!$G549)</f>
        <v/>
      </c>
      <c r="B545" t="str">
        <f>IF($A545="","",LEFT(Calc!$E549,4)&amp;MID(Calc!$E549,6,2)&amp;RIGHT(Calc!$E549,2)&amp;Calc!$Q549&amp;"|"&amp;"1"&amp;RIGHT("00000"&amp;540,5))</f>
        <v/>
      </c>
      <c r="C545" t="str">
        <f t="shared" si="40"/>
        <v/>
      </c>
      <c r="D545" t="str">
        <f t="shared" si="41"/>
        <v/>
      </c>
      <c r="F545" t="str">
        <f>IF(Sync!$AH545="","",IF(LEFT(UPPER(TRIM(Sync!$AH545)),2)="SL",UPPER(TRIM(Sync!$AH545)),""))</f>
        <v/>
      </c>
      <c r="G545" t="str">
        <f>IF($F545="","",IF(Sync!$AE545="","",IF(ISNUMBER(Sync!$AE545),IF(AND(Sync!$AE545&gt;=10000101,Sync!$AE545&lt;=99991231),INT(Sync!$AE545/10000),""),IFERROR(VALUE(TRIM(LEFT(Sync!$AE545,FIND("/",Sync!$AE545)-1))),""))))</f>
        <v/>
      </c>
      <c r="H545" t="str">
        <f>IF(OR($F545="",$G545=""),"",IF(ISNUMBER(Sync!$AE545),INT(MOD(Sync!$AE545,10000)/100),IFERROR(VALUE(TRIM(LEFT(MID(Sync!$AE545,FIND("/",Sync!$AE545)+1,20),FIND("/",MID(Sync!$AE545,FIND("/",Sync!$AE545)+1,20))-1))),"")))</f>
        <v/>
      </c>
      <c r="I545" t="str">
        <f>IF(OR($F545="",$G545=""),"",IF(ISNUMBER(Sync!$AE545),MOD(Sync!$AE545,100),IFERROR(VALUE(TRIM(MID(MID(Sync!$AE545,FIND("/",Sync!$AE545)+1,20),FIND("/",MID(Sync!$AE545,FIND("/",Sync!$AE545)+1,20))+1,20))),"")))</f>
        <v/>
      </c>
      <c r="J545" t="str">
        <f t="shared" si="42"/>
        <v/>
      </c>
      <c r="K545" t="str">
        <f>IF(OR($F545="",$J545="",$J545="نامعتبر"),"",LEFT($J545,4)&amp;MID($J545,6,2)&amp;RIGHT($J545,2)&amp;$N545&amp;"|"&amp;"2"&amp;RIGHT("00000"&amp;540,5))</f>
        <v/>
      </c>
      <c r="L545" t="str">
        <f t="shared" si="43"/>
        <v/>
      </c>
      <c r="M545" t="str">
        <f t="shared" si="44"/>
        <v/>
      </c>
      <c r="N545" t="str">
        <f>IF($F545="","",IF(Sync!$AF545="","0000",IF(AND(ISNUMBER(Sync!$AF545),Sync!$AF545&gt;=0,Sync!$AF545&lt;1),RIGHT("00"&amp;HOUR(Sync!$AF545),2)&amp;RIGHT("00"&amp;MINUTE(Sync!$AF545),2),IFERROR(RIGHT("00"&amp;VALUE(LEFT(Sync!$AF545,FIND(":",Sync!$AF545)-1)),2)&amp;RIGHT("00"&amp;VALUE(MID(Sync!$AF545,FIND(":",Sync!$AF545)+1,2)),2),"0000"))))</f>
        <v/>
      </c>
    </row>
    <row r="546" spans="1:14" x14ac:dyDescent="0.2">
      <c r="A546" t="str">
        <f>IF(OR(Calc!$E550="",Calc!$E550="نامعتبر",Calc!$G550=""),"",Calc!$G550)</f>
        <v/>
      </c>
      <c r="B546" t="str">
        <f>IF($A546="","",LEFT(Calc!$E550,4)&amp;MID(Calc!$E550,6,2)&amp;RIGHT(Calc!$E550,2)&amp;Calc!$Q550&amp;"|"&amp;"1"&amp;RIGHT("00000"&amp;541,5))</f>
        <v/>
      </c>
      <c r="C546" t="str">
        <f t="shared" si="40"/>
        <v/>
      </c>
      <c r="D546" t="str">
        <f t="shared" si="41"/>
        <v/>
      </c>
      <c r="F546" t="str">
        <f>IF(Sync!$AH546="","",IF(LEFT(UPPER(TRIM(Sync!$AH546)),2)="SL",UPPER(TRIM(Sync!$AH546)),""))</f>
        <v/>
      </c>
      <c r="G546" t="str">
        <f>IF($F546="","",IF(Sync!$AE546="","",IF(ISNUMBER(Sync!$AE546),IF(AND(Sync!$AE546&gt;=10000101,Sync!$AE546&lt;=99991231),INT(Sync!$AE546/10000),""),IFERROR(VALUE(TRIM(LEFT(Sync!$AE546,FIND("/",Sync!$AE546)-1))),""))))</f>
        <v/>
      </c>
      <c r="H546" t="str">
        <f>IF(OR($F546="",$G546=""),"",IF(ISNUMBER(Sync!$AE546),INT(MOD(Sync!$AE546,10000)/100),IFERROR(VALUE(TRIM(LEFT(MID(Sync!$AE546,FIND("/",Sync!$AE546)+1,20),FIND("/",MID(Sync!$AE546,FIND("/",Sync!$AE546)+1,20))-1))),"")))</f>
        <v/>
      </c>
      <c r="I546" t="str">
        <f>IF(OR($F546="",$G546=""),"",IF(ISNUMBER(Sync!$AE546),MOD(Sync!$AE546,100),IFERROR(VALUE(TRIM(MID(MID(Sync!$AE546,FIND("/",Sync!$AE546)+1,20),FIND("/",MID(Sync!$AE546,FIND("/",Sync!$AE546)+1,20))+1,20))),"")))</f>
        <v/>
      </c>
      <c r="J546" t="str">
        <f t="shared" si="42"/>
        <v/>
      </c>
      <c r="K546" t="str">
        <f>IF(OR($F546="",$J546="",$J546="نامعتبر"),"",LEFT($J546,4)&amp;MID($J546,6,2)&amp;RIGHT($J546,2)&amp;$N546&amp;"|"&amp;"2"&amp;RIGHT("00000"&amp;541,5))</f>
        <v/>
      </c>
      <c r="L546" t="str">
        <f t="shared" si="43"/>
        <v/>
      </c>
      <c r="M546" t="str">
        <f t="shared" si="44"/>
        <v/>
      </c>
      <c r="N546" t="str">
        <f>IF($F546="","",IF(Sync!$AF546="","0000",IF(AND(ISNUMBER(Sync!$AF546),Sync!$AF546&gt;=0,Sync!$AF546&lt;1),RIGHT("00"&amp;HOUR(Sync!$AF546),2)&amp;RIGHT("00"&amp;MINUTE(Sync!$AF546),2),IFERROR(RIGHT("00"&amp;VALUE(LEFT(Sync!$AF546,FIND(":",Sync!$AF546)-1)),2)&amp;RIGHT("00"&amp;VALUE(MID(Sync!$AF546,FIND(":",Sync!$AF546)+1,2)),2),"0000"))))</f>
        <v/>
      </c>
    </row>
    <row r="547" spans="1:14" x14ac:dyDescent="0.2">
      <c r="A547" t="str">
        <f>IF(OR(Calc!$E551="",Calc!$E551="نامعتبر",Calc!$G551=""),"",Calc!$G551)</f>
        <v/>
      </c>
      <c r="B547" t="str">
        <f>IF($A547="","",LEFT(Calc!$E551,4)&amp;MID(Calc!$E551,6,2)&amp;RIGHT(Calc!$E551,2)&amp;Calc!$Q551&amp;"|"&amp;"1"&amp;RIGHT("00000"&amp;542,5))</f>
        <v/>
      </c>
      <c r="C547" t="str">
        <f t="shared" si="40"/>
        <v/>
      </c>
      <c r="D547" t="str">
        <f t="shared" si="41"/>
        <v/>
      </c>
      <c r="F547" t="str">
        <f>IF(Sync!$AH547="","",IF(LEFT(UPPER(TRIM(Sync!$AH547)),2)="SL",UPPER(TRIM(Sync!$AH547)),""))</f>
        <v/>
      </c>
      <c r="G547" t="str">
        <f>IF($F547="","",IF(Sync!$AE547="","",IF(ISNUMBER(Sync!$AE547),IF(AND(Sync!$AE547&gt;=10000101,Sync!$AE547&lt;=99991231),INT(Sync!$AE547/10000),""),IFERROR(VALUE(TRIM(LEFT(Sync!$AE547,FIND("/",Sync!$AE547)-1))),""))))</f>
        <v/>
      </c>
      <c r="H547" t="str">
        <f>IF(OR($F547="",$G547=""),"",IF(ISNUMBER(Sync!$AE547),INT(MOD(Sync!$AE547,10000)/100),IFERROR(VALUE(TRIM(LEFT(MID(Sync!$AE547,FIND("/",Sync!$AE547)+1,20),FIND("/",MID(Sync!$AE547,FIND("/",Sync!$AE547)+1,20))-1))),"")))</f>
        <v/>
      </c>
      <c r="I547" t="str">
        <f>IF(OR($F547="",$G547=""),"",IF(ISNUMBER(Sync!$AE547),MOD(Sync!$AE547,100),IFERROR(VALUE(TRIM(MID(MID(Sync!$AE547,FIND("/",Sync!$AE547)+1,20),FIND("/",MID(Sync!$AE547,FIND("/",Sync!$AE547)+1,20))+1,20))),"")))</f>
        <v/>
      </c>
      <c r="J547" t="str">
        <f t="shared" si="42"/>
        <v/>
      </c>
      <c r="K547" t="str">
        <f>IF(OR($F547="",$J547="",$J547="نامعتبر"),"",LEFT($J547,4)&amp;MID($J547,6,2)&amp;RIGHT($J547,2)&amp;$N547&amp;"|"&amp;"2"&amp;RIGHT("00000"&amp;542,5))</f>
        <v/>
      </c>
      <c r="L547" t="str">
        <f t="shared" si="43"/>
        <v/>
      </c>
      <c r="M547" t="str">
        <f t="shared" si="44"/>
        <v/>
      </c>
      <c r="N547" t="str">
        <f>IF($F547="","",IF(Sync!$AF547="","0000",IF(AND(ISNUMBER(Sync!$AF547),Sync!$AF547&gt;=0,Sync!$AF547&lt;1),RIGHT("00"&amp;HOUR(Sync!$AF547),2)&amp;RIGHT("00"&amp;MINUTE(Sync!$AF547),2),IFERROR(RIGHT("00"&amp;VALUE(LEFT(Sync!$AF547,FIND(":",Sync!$AF547)-1)),2)&amp;RIGHT("00"&amp;VALUE(MID(Sync!$AF547,FIND(":",Sync!$AF547)+1,2)),2),"0000"))))</f>
        <v/>
      </c>
    </row>
    <row r="548" spans="1:14" x14ac:dyDescent="0.2">
      <c r="A548" t="str">
        <f>IF(OR(Calc!$E552="",Calc!$E552="نامعتبر",Calc!$G552=""),"",Calc!$G552)</f>
        <v/>
      </c>
      <c r="B548" t="str">
        <f>IF($A548="","",LEFT(Calc!$E552,4)&amp;MID(Calc!$E552,6,2)&amp;RIGHT(Calc!$E552,2)&amp;Calc!$Q552&amp;"|"&amp;"1"&amp;RIGHT("00000"&amp;543,5))</f>
        <v/>
      </c>
      <c r="C548" t="str">
        <f t="shared" si="40"/>
        <v/>
      </c>
      <c r="D548" t="str">
        <f t="shared" si="41"/>
        <v/>
      </c>
      <c r="F548" t="str">
        <f>IF(Sync!$AH548="","",IF(LEFT(UPPER(TRIM(Sync!$AH548)),2)="SL",UPPER(TRIM(Sync!$AH548)),""))</f>
        <v/>
      </c>
      <c r="G548" t="str">
        <f>IF($F548="","",IF(Sync!$AE548="","",IF(ISNUMBER(Sync!$AE548),IF(AND(Sync!$AE548&gt;=10000101,Sync!$AE548&lt;=99991231),INT(Sync!$AE548/10000),""),IFERROR(VALUE(TRIM(LEFT(Sync!$AE548,FIND("/",Sync!$AE548)-1))),""))))</f>
        <v/>
      </c>
      <c r="H548" t="str">
        <f>IF(OR($F548="",$G548=""),"",IF(ISNUMBER(Sync!$AE548),INT(MOD(Sync!$AE548,10000)/100),IFERROR(VALUE(TRIM(LEFT(MID(Sync!$AE548,FIND("/",Sync!$AE548)+1,20),FIND("/",MID(Sync!$AE548,FIND("/",Sync!$AE548)+1,20))-1))),"")))</f>
        <v/>
      </c>
      <c r="I548" t="str">
        <f>IF(OR($F548="",$G548=""),"",IF(ISNUMBER(Sync!$AE548),MOD(Sync!$AE548,100),IFERROR(VALUE(TRIM(MID(MID(Sync!$AE548,FIND("/",Sync!$AE548)+1,20),FIND("/",MID(Sync!$AE548,FIND("/",Sync!$AE548)+1,20))+1,20))),"")))</f>
        <v/>
      </c>
      <c r="J548" t="str">
        <f t="shared" si="42"/>
        <v/>
      </c>
      <c r="K548" t="str">
        <f>IF(OR($F548="",$J548="",$J548="نامعتبر"),"",LEFT($J548,4)&amp;MID($J548,6,2)&amp;RIGHT($J548,2)&amp;$N548&amp;"|"&amp;"2"&amp;RIGHT("00000"&amp;543,5))</f>
        <v/>
      </c>
      <c r="L548" t="str">
        <f t="shared" si="43"/>
        <v/>
      </c>
      <c r="M548" t="str">
        <f t="shared" si="44"/>
        <v/>
      </c>
      <c r="N548" t="str">
        <f>IF($F548="","",IF(Sync!$AF548="","0000",IF(AND(ISNUMBER(Sync!$AF548),Sync!$AF548&gt;=0,Sync!$AF548&lt;1),RIGHT("00"&amp;HOUR(Sync!$AF548),2)&amp;RIGHT("00"&amp;MINUTE(Sync!$AF548),2),IFERROR(RIGHT("00"&amp;VALUE(LEFT(Sync!$AF548,FIND(":",Sync!$AF548)-1)),2)&amp;RIGHT("00"&amp;VALUE(MID(Sync!$AF548,FIND(":",Sync!$AF548)+1,2)),2),"0000"))))</f>
        <v/>
      </c>
    </row>
    <row r="549" spans="1:14" x14ac:dyDescent="0.2">
      <c r="A549" t="str">
        <f>IF(OR(Calc!$E553="",Calc!$E553="نامعتبر",Calc!$G553=""),"",Calc!$G553)</f>
        <v/>
      </c>
      <c r="B549" t="str">
        <f>IF($A549="","",LEFT(Calc!$E553,4)&amp;MID(Calc!$E553,6,2)&amp;RIGHT(Calc!$E553,2)&amp;Calc!$Q553&amp;"|"&amp;"1"&amp;RIGHT("00000"&amp;544,5))</f>
        <v/>
      </c>
      <c r="C549" t="str">
        <f t="shared" si="40"/>
        <v/>
      </c>
      <c r="D549" t="str">
        <f t="shared" si="41"/>
        <v/>
      </c>
      <c r="F549" t="str">
        <f>IF(Sync!$AH549="","",IF(LEFT(UPPER(TRIM(Sync!$AH549)),2)="SL",UPPER(TRIM(Sync!$AH549)),""))</f>
        <v/>
      </c>
      <c r="G549" t="str">
        <f>IF($F549="","",IF(Sync!$AE549="","",IF(ISNUMBER(Sync!$AE549),IF(AND(Sync!$AE549&gt;=10000101,Sync!$AE549&lt;=99991231),INT(Sync!$AE549/10000),""),IFERROR(VALUE(TRIM(LEFT(Sync!$AE549,FIND("/",Sync!$AE549)-1))),""))))</f>
        <v/>
      </c>
      <c r="H549" t="str">
        <f>IF(OR($F549="",$G549=""),"",IF(ISNUMBER(Sync!$AE549),INT(MOD(Sync!$AE549,10000)/100),IFERROR(VALUE(TRIM(LEFT(MID(Sync!$AE549,FIND("/",Sync!$AE549)+1,20),FIND("/",MID(Sync!$AE549,FIND("/",Sync!$AE549)+1,20))-1))),"")))</f>
        <v/>
      </c>
      <c r="I549" t="str">
        <f>IF(OR($F549="",$G549=""),"",IF(ISNUMBER(Sync!$AE549),MOD(Sync!$AE549,100),IFERROR(VALUE(TRIM(MID(MID(Sync!$AE549,FIND("/",Sync!$AE549)+1,20),FIND("/",MID(Sync!$AE549,FIND("/",Sync!$AE549)+1,20))+1,20))),"")))</f>
        <v/>
      </c>
      <c r="J549" t="str">
        <f t="shared" si="42"/>
        <v/>
      </c>
      <c r="K549" t="str">
        <f>IF(OR($F549="",$J549="",$J549="نامعتبر"),"",LEFT($J549,4)&amp;MID($J549,6,2)&amp;RIGHT($J549,2)&amp;$N549&amp;"|"&amp;"2"&amp;RIGHT("00000"&amp;544,5))</f>
        <v/>
      </c>
      <c r="L549" t="str">
        <f t="shared" si="43"/>
        <v/>
      </c>
      <c r="M549" t="str">
        <f t="shared" si="44"/>
        <v/>
      </c>
      <c r="N549" t="str">
        <f>IF($F549="","",IF(Sync!$AF549="","0000",IF(AND(ISNUMBER(Sync!$AF549),Sync!$AF549&gt;=0,Sync!$AF549&lt;1),RIGHT("00"&amp;HOUR(Sync!$AF549),2)&amp;RIGHT("00"&amp;MINUTE(Sync!$AF549),2),IFERROR(RIGHT("00"&amp;VALUE(LEFT(Sync!$AF549,FIND(":",Sync!$AF549)-1)),2)&amp;RIGHT("00"&amp;VALUE(MID(Sync!$AF549,FIND(":",Sync!$AF549)+1,2)),2),"0000"))))</f>
        <v/>
      </c>
    </row>
    <row r="550" spans="1:14" x14ac:dyDescent="0.2">
      <c r="A550" t="str">
        <f>IF(OR(Calc!$E554="",Calc!$E554="نامعتبر",Calc!$G554=""),"",Calc!$G554)</f>
        <v/>
      </c>
      <c r="B550" t="str">
        <f>IF($A550="","",LEFT(Calc!$E554,4)&amp;MID(Calc!$E554,6,2)&amp;RIGHT(Calc!$E554,2)&amp;Calc!$Q554&amp;"|"&amp;"1"&amp;RIGHT("00000"&amp;545,5))</f>
        <v/>
      </c>
      <c r="C550" t="str">
        <f t="shared" si="40"/>
        <v/>
      </c>
      <c r="D550" t="str">
        <f t="shared" si="41"/>
        <v/>
      </c>
      <c r="F550" t="str">
        <f>IF(Sync!$AH550="","",IF(LEFT(UPPER(TRIM(Sync!$AH550)),2)="SL",UPPER(TRIM(Sync!$AH550)),""))</f>
        <v/>
      </c>
      <c r="G550" t="str">
        <f>IF($F550="","",IF(Sync!$AE550="","",IF(ISNUMBER(Sync!$AE550),IF(AND(Sync!$AE550&gt;=10000101,Sync!$AE550&lt;=99991231),INT(Sync!$AE550/10000),""),IFERROR(VALUE(TRIM(LEFT(Sync!$AE550,FIND("/",Sync!$AE550)-1))),""))))</f>
        <v/>
      </c>
      <c r="H550" t="str">
        <f>IF(OR($F550="",$G550=""),"",IF(ISNUMBER(Sync!$AE550),INT(MOD(Sync!$AE550,10000)/100),IFERROR(VALUE(TRIM(LEFT(MID(Sync!$AE550,FIND("/",Sync!$AE550)+1,20),FIND("/",MID(Sync!$AE550,FIND("/",Sync!$AE550)+1,20))-1))),"")))</f>
        <v/>
      </c>
      <c r="I550" t="str">
        <f>IF(OR($F550="",$G550=""),"",IF(ISNUMBER(Sync!$AE550),MOD(Sync!$AE550,100),IFERROR(VALUE(TRIM(MID(MID(Sync!$AE550,FIND("/",Sync!$AE550)+1,20),FIND("/",MID(Sync!$AE550,FIND("/",Sync!$AE550)+1,20))+1,20))),"")))</f>
        <v/>
      </c>
      <c r="J550" t="str">
        <f t="shared" si="42"/>
        <v/>
      </c>
      <c r="K550" t="str">
        <f>IF(OR($F550="",$J550="",$J550="نامعتبر"),"",LEFT($J550,4)&amp;MID($J550,6,2)&amp;RIGHT($J550,2)&amp;$N550&amp;"|"&amp;"2"&amp;RIGHT("00000"&amp;545,5))</f>
        <v/>
      </c>
      <c r="L550" t="str">
        <f t="shared" si="43"/>
        <v/>
      </c>
      <c r="M550" t="str">
        <f t="shared" si="44"/>
        <v/>
      </c>
      <c r="N550" t="str">
        <f>IF($F550="","",IF(Sync!$AF550="","0000",IF(AND(ISNUMBER(Sync!$AF550),Sync!$AF550&gt;=0,Sync!$AF550&lt;1),RIGHT("00"&amp;HOUR(Sync!$AF550),2)&amp;RIGHT("00"&amp;MINUTE(Sync!$AF550),2),IFERROR(RIGHT("00"&amp;VALUE(LEFT(Sync!$AF550,FIND(":",Sync!$AF550)-1)),2)&amp;RIGHT("00"&amp;VALUE(MID(Sync!$AF550,FIND(":",Sync!$AF550)+1,2)),2),"0000"))))</f>
        <v/>
      </c>
    </row>
    <row r="551" spans="1:14" x14ac:dyDescent="0.2">
      <c r="A551" t="str">
        <f>IF(OR(Calc!$E555="",Calc!$E555="نامعتبر",Calc!$G555=""),"",Calc!$G555)</f>
        <v/>
      </c>
      <c r="B551" t="str">
        <f>IF($A551="","",LEFT(Calc!$E555,4)&amp;MID(Calc!$E555,6,2)&amp;RIGHT(Calc!$E555,2)&amp;Calc!$Q555&amp;"|"&amp;"1"&amp;RIGHT("00000"&amp;546,5))</f>
        <v/>
      </c>
      <c r="C551" t="str">
        <f t="shared" si="40"/>
        <v/>
      </c>
      <c r="D551" t="str">
        <f t="shared" si="41"/>
        <v/>
      </c>
      <c r="F551" t="str">
        <f>IF(Sync!$AH551="","",IF(LEFT(UPPER(TRIM(Sync!$AH551)),2)="SL",UPPER(TRIM(Sync!$AH551)),""))</f>
        <v/>
      </c>
      <c r="G551" t="str">
        <f>IF($F551="","",IF(Sync!$AE551="","",IF(ISNUMBER(Sync!$AE551),IF(AND(Sync!$AE551&gt;=10000101,Sync!$AE551&lt;=99991231),INT(Sync!$AE551/10000),""),IFERROR(VALUE(TRIM(LEFT(Sync!$AE551,FIND("/",Sync!$AE551)-1))),""))))</f>
        <v/>
      </c>
      <c r="H551" t="str">
        <f>IF(OR($F551="",$G551=""),"",IF(ISNUMBER(Sync!$AE551),INT(MOD(Sync!$AE551,10000)/100),IFERROR(VALUE(TRIM(LEFT(MID(Sync!$AE551,FIND("/",Sync!$AE551)+1,20),FIND("/",MID(Sync!$AE551,FIND("/",Sync!$AE551)+1,20))-1))),"")))</f>
        <v/>
      </c>
      <c r="I551" t="str">
        <f>IF(OR($F551="",$G551=""),"",IF(ISNUMBER(Sync!$AE551),MOD(Sync!$AE551,100),IFERROR(VALUE(TRIM(MID(MID(Sync!$AE551,FIND("/",Sync!$AE551)+1,20),FIND("/",MID(Sync!$AE551,FIND("/",Sync!$AE551)+1,20))+1,20))),"")))</f>
        <v/>
      </c>
      <c r="J551" t="str">
        <f t="shared" si="42"/>
        <v/>
      </c>
      <c r="K551" t="str">
        <f>IF(OR($F551="",$J551="",$J551="نامعتبر"),"",LEFT($J551,4)&amp;MID($J551,6,2)&amp;RIGHT($J551,2)&amp;$N551&amp;"|"&amp;"2"&amp;RIGHT("00000"&amp;546,5))</f>
        <v/>
      </c>
      <c r="L551" t="str">
        <f t="shared" si="43"/>
        <v/>
      </c>
      <c r="M551" t="str">
        <f t="shared" si="44"/>
        <v/>
      </c>
      <c r="N551" t="str">
        <f>IF($F551="","",IF(Sync!$AF551="","0000",IF(AND(ISNUMBER(Sync!$AF551),Sync!$AF551&gt;=0,Sync!$AF551&lt;1),RIGHT("00"&amp;HOUR(Sync!$AF551),2)&amp;RIGHT("00"&amp;MINUTE(Sync!$AF551),2),IFERROR(RIGHT("00"&amp;VALUE(LEFT(Sync!$AF551,FIND(":",Sync!$AF551)-1)),2)&amp;RIGHT("00"&amp;VALUE(MID(Sync!$AF551,FIND(":",Sync!$AF551)+1,2)),2),"0000"))))</f>
        <v/>
      </c>
    </row>
    <row r="552" spans="1:14" x14ac:dyDescent="0.2">
      <c r="A552" t="str">
        <f>IF(OR(Calc!$E556="",Calc!$E556="نامعتبر",Calc!$G556=""),"",Calc!$G556)</f>
        <v/>
      </c>
      <c r="B552" t="str">
        <f>IF($A552="","",LEFT(Calc!$E556,4)&amp;MID(Calc!$E556,6,2)&amp;RIGHT(Calc!$E556,2)&amp;Calc!$Q556&amp;"|"&amp;"1"&amp;RIGHT("00000"&amp;547,5))</f>
        <v/>
      </c>
      <c r="C552" t="str">
        <f t="shared" si="40"/>
        <v/>
      </c>
      <c r="D552" t="str">
        <f t="shared" si="41"/>
        <v/>
      </c>
      <c r="F552" t="str">
        <f>IF(Sync!$AH552="","",IF(LEFT(UPPER(TRIM(Sync!$AH552)),2)="SL",UPPER(TRIM(Sync!$AH552)),""))</f>
        <v/>
      </c>
      <c r="G552" t="str">
        <f>IF($F552="","",IF(Sync!$AE552="","",IF(ISNUMBER(Sync!$AE552),IF(AND(Sync!$AE552&gt;=10000101,Sync!$AE552&lt;=99991231),INT(Sync!$AE552/10000),""),IFERROR(VALUE(TRIM(LEFT(Sync!$AE552,FIND("/",Sync!$AE552)-1))),""))))</f>
        <v/>
      </c>
      <c r="H552" t="str">
        <f>IF(OR($F552="",$G552=""),"",IF(ISNUMBER(Sync!$AE552),INT(MOD(Sync!$AE552,10000)/100),IFERROR(VALUE(TRIM(LEFT(MID(Sync!$AE552,FIND("/",Sync!$AE552)+1,20),FIND("/",MID(Sync!$AE552,FIND("/",Sync!$AE552)+1,20))-1))),"")))</f>
        <v/>
      </c>
      <c r="I552" t="str">
        <f>IF(OR($F552="",$G552=""),"",IF(ISNUMBER(Sync!$AE552),MOD(Sync!$AE552,100),IFERROR(VALUE(TRIM(MID(MID(Sync!$AE552,FIND("/",Sync!$AE552)+1,20),FIND("/",MID(Sync!$AE552,FIND("/",Sync!$AE552)+1,20))+1,20))),"")))</f>
        <v/>
      </c>
      <c r="J552" t="str">
        <f t="shared" si="42"/>
        <v/>
      </c>
      <c r="K552" t="str">
        <f>IF(OR($F552="",$J552="",$J552="نامعتبر"),"",LEFT($J552,4)&amp;MID($J552,6,2)&amp;RIGHT($J552,2)&amp;$N552&amp;"|"&amp;"2"&amp;RIGHT("00000"&amp;547,5))</f>
        <v/>
      </c>
      <c r="L552" t="str">
        <f t="shared" si="43"/>
        <v/>
      </c>
      <c r="M552" t="str">
        <f t="shared" si="44"/>
        <v/>
      </c>
      <c r="N552" t="str">
        <f>IF($F552="","",IF(Sync!$AF552="","0000",IF(AND(ISNUMBER(Sync!$AF552),Sync!$AF552&gt;=0,Sync!$AF552&lt;1),RIGHT("00"&amp;HOUR(Sync!$AF552),2)&amp;RIGHT("00"&amp;MINUTE(Sync!$AF552),2),IFERROR(RIGHT("00"&amp;VALUE(LEFT(Sync!$AF552,FIND(":",Sync!$AF552)-1)),2)&amp;RIGHT("00"&amp;VALUE(MID(Sync!$AF552,FIND(":",Sync!$AF552)+1,2)),2),"0000"))))</f>
        <v/>
      </c>
    </row>
    <row r="553" spans="1:14" x14ac:dyDescent="0.2">
      <c r="A553" t="str">
        <f>IF(OR(Calc!$E557="",Calc!$E557="نامعتبر",Calc!$G557=""),"",Calc!$G557)</f>
        <v/>
      </c>
      <c r="B553" t="str">
        <f>IF($A553="","",LEFT(Calc!$E557,4)&amp;MID(Calc!$E557,6,2)&amp;RIGHT(Calc!$E557,2)&amp;Calc!$Q557&amp;"|"&amp;"1"&amp;RIGHT("00000"&amp;548,5))</f>
        <v/>
      </c>
      <c r="C553" t="str">
        <f t="shared" si="40"/>
        <v/>
      </c>
      <c r="D553" t="str">
        <f t="shared" si="41"/>
        <v/>
      </c>
      <c r="F553" t="str">
        <f>IF(Sync!$AH553="","",IF(LEFT(UPPER(TRIM(Sync!$AH553)),2)="SL",UPPER(TRIM(Sync!$AH553)),""))</f>
        <v/>
      </c>
      <c r="G553" t="str">
        <f>IF($F553="","",IF(Sync!$AE553="","",IF(ISNUMBER(Sync!$AE553),IF(AND(Sync!$AE553&gt;=10000101,Sync!$AE553&lt;=99991231),INT(Sync!$AE553/10000),""),IFERROR(VALUE(TRIM(LEFT(Sync!$AE553,FIND("/",Sync!$AE553)-1))),""))))</f>
        <v/>
      </c>
      <c r="H553" t="str">
        <f>IF(OR($F553="",$G553=""),"",IF(ISNUMBER(Sync!$AE553),INT(MOD(Sync!$AE553,10000)/100),IFERROR(VALUE(TRIM(LEFT(MID(Sync!$AE553,FIND("/",Sync!$AE553)+1,20),FIND("/",MID(Sync!$AE553,FIND("/",Sync!$AE553)+1,20))-1))),"")))</f>
        <v/>
      </c>
      <c r="I553" t="str">
        <f>IF(OR($F553="",$G553=""),"",IF(ISNUMBER(Sync!$AE553),MOD(Sync!$AE553,100),IFERROR(VALUE(TRIM(MID(MID(Sync!$AE553,FIND("/",Sync!$AE553)+1,20),FIND("/",MID(Sync!$AE553,FIND("/",Sync!$AE553)+1,20))+1,20))),"")))</f>
        <v/>
      </c>
      <c r="J553" t="str">
        <f t="shared" si="42"/>
        <v/>
      </c>
      <c r="K553" t="str">
        <f>IF(OR($F553="",$J553="",$J553="نامعتبر"),"",LEFT($J553,4)&amp;MID($J553,6,2)&amp;RIGHT($J553,2)&amp;$N553&amp;"|"&amp;"2"&amp;RIGHT("00000"&amp;548,5))</f>
        <v/>
      </c>
      <c r="L553" t="str">
        <f t="shared" si="43"/>
        <v/>
      </c>
      <c r="M553" t="str">
        <f t="shared" si="44"/>
        <v/>
      </c>
      <c r="N553" t="str">
        <f>IF($F553="","",IF(Sync!$AF553="","0000",IF(AND(ISNUMBER(Sync!$AF553),Sync!$AF553&gt;=0,Sync!$AF553&lt;1),RIGHT("00"&amp;HOUR(Sync!$AF553),2)&amp;RIGHT("00"&amp;MINUTE(Sync!$AF553),2),IFERROR(RIGHT("00"&amp;VALUE(LEFT(Sync!$AF553,FIND(":",Sync!$AF553)-1)),2)&amp;RIGHT("00"&amp;VALUE(MID(Sync!$AF553,FIND(":",Sync!$AF553)+1,2)),2),"0000"))))</f>
        <v/>
      </c>
    </row>
    <row r="554" spans="1:14" x14ac:dyDescent="0.2">
      <c r="A554" t="str">
        <f>IF(OR(Calc!$E558="",Calc!$E558="نامعتبر",Calc!$G558=""),"",Calc!$G558)</f>
        <v/>
      </c>
      <c r="B554" t="str">
        <f>IF($A554="","",LEFT(Calc!$E558,4)&amp;MID(Calc!$E558,6,2)&amp;RIGHT(Calc!$E558,2)&amp;Calc!$Q558&amp;"|"&amp;"1"&amp;RIGHT("00000"&amp;549,5))</f>
        <v/>
      </c>
      <c r="C554" t="str">
        <f t="shared" si="40"/>
        <v/>
      </c>
      <c r="D554" t="str">
        <f t="shared" si="41"/>
        <v/>
      </c>
      <c r="F554" t="str">
        <f>IF(Sync!$AH554="","",IF(LEFT(UPPER(TRIM(Sync!$AH554)),2)="SL",UPPER(TRIM(Sync!$AH554)),""))</f>
        <v/>
      </c>
      <c r="G554" t="str">
        <f>IF($F554="","",IF(Sync!$AE554="","",IF(ISNUMBER(Sync!$AE554),IF(AND(Sync!$AE554&gt;=10000101,Sync!$AE554&lt;=99991231),INT(Sync!$AE554/10000),""),IFERROR(VALUE(TRIM(LEFT(Sync!$AE554,FIND("/",Sync!$AE554)-1))),""))))</f>
        <v/>
      </c>
      <c r="H554" t="str">
        <f>IF(OR($F554="",$G554=""),"",IF(ISNUMBER(Sync!$AE554),INT(MOD(Sync!$AE554,10000)/100),IFERROR(VALUE(TRIM(LEFT(MID(Sync!$AE554,FIND("/",Sync!$AE554)+1,20),FIND("/",MID(Sync!$AE554,FIND("/",Sync!$AE554)+1,20))-1))),"")))</f>
        <v/>
      </c>
      <c r="I554" t="str">
        <f>IF(OR($F554="",$G554=""),"",IF(ISNUMBER(Sync!$AE554),MOD(Sync!$AE554,100),IFERROR(VALUE(TRIM(MID(MID(Sync!$AE554,FIND("/",Sync!$AE554)+1,20),FIND("/",MID(Sync!$AE554,FIND("/",Sync!$AE554)+1,20))+1,20))),"")))</f>
        <v/>
      </c>
      <c r="J554" t="str">
        <f t="shared" si="42"/>
        <v/>
      </c>
      <c r="K554" t="str">
        <f>IF(OR($F554="",$J554="",$J554="نامعتبر"),"",LEFT($J554,4)&amp;MID($J554,6,2)&amp;RIGHT($J554,2)&amp;$N554&amp;"|"&amp;"2"&amp;RIGHT("00000"&amp;549,5))</f>
        <v/>
      </c>
      <c r="L554" t="str">
        <f t="shared" si="43"/>
        <v/>
      </c>
      <c r="M554" t="str">
        <f t="shared" si="44"/>
        <v/>
      </c>
      <c r="N554" t="str">
        <f>IF($F554="","",IF(Sync!$AF554="","0000",IF(AND(ISNUMBER(Sync!$AF554),Sync!$AF554&gt;=0,Sync!$AF554&lt;1),RIGHT("00"&amp;HOUR(Sync!$AF554),2)&amp;RIGHT("00"&amp;MINUTE(Sync!$AF554),2),IFERROR(RIGHT("00"&amp;VALUE(LEFT(Sync!$AF554,FIND(":",Sync!$AF554)-1)),2)&amp;RIGHT("00"&amp;VALUE(MID(Sync!$AF554,FIND(":",Sync!$AF554)+1,2)),2),"0000"))))</f>
        <v/>
      </c>
    </row>
    <row r="555" spans="1:14" x14ac:dyDescent="0.2">
      <c r="A555" t="str">
        <f>IF(OR(Calc!$E559="",Calc!$E559="نامعتبر",Calc!$G559=""),"",Calc!$G559)</f>
        <v/>
      </c>
      <c r="B555" t="str">
        <f>IF($A555="","",LEFT(Calc!$E559,4)&amp;MID(Calc!$E559,6,2)&amp;RIGHT(Calc!$E559,2)&amp;Calc!$Q559&amp;"|"&amp;"1"&amp;RIGHT("00000"&amp;550,5))</f>
        <v/>
      </c>
      <c r="C555" t="str">
        <f t="shared" si="40"/>
        <v/>
      </c>
      <c r="D555" t="str">
        <f t="shared" si="41"/>
        <v/>
      </c>
      <c r="F555" t="str">
        <f>IF(Sync!$AH555="","",IF(LEFT(UPPER(TRIM(Sync!$AH555)),2)="SL",UPPER(TRIM(Sync!$AH555)),""))</f>
        <v/>
      </c>
      <c r="G555" t="str">
        <f>IF($F555="","",IF(Sync!$AE555="","",IF(ISNUMBER(Sync!$AE555),IF(AND(Sync!$AE555&gt;=10000101,Sync!$AE555&lt;=99991231),INT(Sync!$AE555/10000),""),IFERROR(VALUE(TRIM(LEFT(Sync!$AE555,FIND("/",Sync!$AE555)-1))),""))))</f>
        <v/>
      </c>
      <c r="H555" t="str">
        <f>IF(OR($F555="",$G555=""),"",IF(ISNUMBER(Sync!$AE555),INT(MOD(Sync!$AE555,10000)/100),IFERROR(VALUE(TRIM(LEFT(MID(Sync!$AE555,FIND("/",Sync!$AE555)+1,20),FIND("/",MID(Sync!$AE555,FIND("/",Sync!$AE555)+1,20))-1))),"")))</f>
        <v/>
      </c>
      <c r="I555" t="str">
        <f>IF(OR($F555="",$G555=""),"",IF(ISNUMBER(Sync!$AE555),MOD(Sync!$AE555,100),IFERROR(VALUE(TRIM(MID(MID(Sync!$AE555,FIND("/",Sync!$AE555)+1,20),FIND("/",MID(Sync!$AE555,FIND("/",Sync!$AE555)+1,20))+1,20))),"")))</f>
        <v/>
      </c>
      <c r="J555" t="str">
        <f t="shared" si="42"/>
        <v/>
      </c>
      <c r="K555" t="str">
        <f>IF(OR($F555="",$J555="",$J555="نامعتبر"),"",LEFT($J555,4)&amp;MID($J555,6,2)&amp;RIGHT($J555,2)&amp;$N555&amp;"|"&amp;"2"&amp;RIGHT("00000"&amp;550,5))</f>
        <v/>
      </c>
      <c r="L555" t="str">
        <f t="shared" si="43"/>
        <v/>
      </c>
      <c r="M555" t="str">
        <f t="shared" si="44"/>
        <v/>
      </c>
      <c r="N555" t="str">
        <f>IF($F555="","",IF(Sync!$AF555="","0000",IF(AND(ISNUMBER(Sync!$AF555),Sync!$AF555&gt;=0,Sync!$AF555&lt;1),RIGHT("00"&amp;HOUR(Sync!$AF555),2)&amp;RIGHT("00"&amp;MINUTE(Sync!$AF555),2),IFERROR(RIGHT("00"&amp;VALUE(LEFT(Sync!$AF555,FIND(":",Sync!$AF555)-1)),2)&amp;RIGHT("00"&amp;VALUE(MID(Sync!$AF555,FIND(":",Sync!$AF555)+1,2)),2),"0000"))))</f>
        <v/>
      </c>
    </row>
    <row r="556" spans="1:14" x14ac:dyDescent="0.2">
      <c r="A556" t="str">
        <f>IF(OR(Calc!$E560="",Calc!$E560="نامعتبر",Calc!$G560=""),"",Calc!$G560)</f>
        <v/>
      </c>
      <c r="B556" t="str">
        <f>IF($A556="","",LEFT(Calc!$E560,4)&amp;MID(Calc!$E560,6,2)&amp;RIGHT(Calc!$E560,2)&amp;Calc!$Q560&amp;"|"&amp;"1"&amp;RIGHT("00000"&amp;551,5))</f>
        <v/>
      </c>
      <c r="C556" t="str">
        <f t="shared" si="40"/>
        <v/>
      </c>
      <c r="D556" t="str">
        <f t="shared" si="41"/>
        <v/>
      </c>
      <c r="F556" t="str">
        <f>IF(Sync!$AH556="","",IF(LEFT(UPPER(TRIM(Sync!$AH556)),2)="SL",UPPER(TRIM(Sync!$AH556)),""))</f>
        <v/>
      </c>
      <c r="G556" t="str">
        <f>IF($F556="","",IF(Sync!$AE556="","",IF(ISNUMBER(Sync!$AE556),IF(AND(Sync!$AE556&gt;=10000101,Sync!$AE556&lt;=99991231),INT(Sync!$AE556/10000),""),IFERROR(VALUE(TRIM(LEFT(Sync!$AE556,FIND("/",Sync!$AE556)-1))),""))))</f>
        <v/>
      </c>
      <c r="H556" t="str">
        <f>IF(OR($F556="",$G556=""),"",IF(ISNUMBER(Sync!$AE556),INT(MOD(Sync!$AE556,10000)/100),IFERROR(VALUE(TRIM(LEFT(MID(Sync!$AE556,FIND("/",Sync!$AE556)+1,20),FIND("/",MID(Sync!$AE556,FIND("/",Sync!$AE556)+1,20))-1))),"")))</f>
        <v/>
      </c>
      <c r="I556" t="str">
        <f>IF(OR($F556="",$G556=""),"",IF(ISNUMBER(Sync!$AE556),MOD(Sync!$AE556,100),IFERROR(VALUE(TRIM(MID(MID(Sync!$AE556,FIND("/",Sync!$AE556)+1,20),FIND("/",MID(Sync!$AE556,FIND("/",Sync!$AE556)+1,20))+1,20))),"")))</f>
        <v/>
      </c>
      <c r="J556" t="str">
        <f t="shared" si="42"/>
        <v/>
      </c>
      <c r="K556" t="str">
        <f>IF(OR($F556="",$J556="",$J556="نامعتبر"),"",LEFT($J556,4)&amp;MID($J556,6,2)&amp;RIGHT($J556,2)&amp;$N556&amp;"|"&amp;"2"&amp;RIGHT("00000"&amp;551,5))</f>
        <v/>
      </c>
      <c r="L556" t="str">
        <f t="shared" si="43"/>
        <v/>
      </c>
      <c r="M556" t="str">
        <f t="shared" si="44"/>
        <v/>
      </c>
      <c r="N556" t="str">
        <f>IF($F556="","",IF(Sync!$AF556="","0000",IF(AND(ISNUMBER(Sync!$AF556),Sync!$AF556&gt;=0,Sync!$AF556&lt;1),RIGHT("00"&amp;HOUR(Sync!$AF556),2)&amp;RIGHT("00"&amp;MINUTE(Sync!$AF556),2),IFERROR(RIGHT("00"&amp;VALUE(LEFT(Sync!$AF556,FIND(":",Sync!$AF556)-1)),2)&amp;RIGHT("00"&amp;VALUE(MID(Sync!$AF556,FIND(":",Sync!$AF556)+1,2)),2),"0000"))))</f>
        <v/>
      </c>
    </row>
    <row r="557" spans="1:14" x14ac:dyDescent="0.2">
      <c r="A557" t="str">
        <f>IF(OR(Calc!$E561="",Calc!$E561="نامعتبر",Calc!$G561=""),"",Calc!$G561)</f>
        <v/>
      </c>
      <c r="B557" t="str">
        <f>IF($A557="","",LEFT(Calc!$E561,4)&amp;MID(Calc!$E561,6,2)&amp;RIGHT(Calc!$E561,2)&amp;Calc!$Q561&amp;"|"&amp;"1"&amp;RIGHT("00000"&amp;552,5))</f>
        <v/>
      </c>
      <c r="C557" t="str">
        <f t="shared" si="40"/>
        <v/>
      </c>
      <c r="D557" t="str">
        <f t="shared" si="41"/>
        <v/>
      </c>
      <c r="F557" t="str">
        <f>IF(Sync!$AH557="","",IF(LEFT(UPPER(TRIM(Sync!$AH557)),2)="SL",UPPER(TRIM(Sync!$AH557)),""))</f>
        <v/>
      </c>
      <c r="G557" t="str">
        <f>IF($F557="","",IF(Sync!$AE557="","",IF(ISNUMBER(Sync!$AE557),IF(AND(Sync!$AE557&gt;=10000101,Sync!$AE557&lt;=99991231),INT(Sync!$AE557/10000),""),IFERROR(VALUE(TRIM(LEFT(Sync!$AE557,FIND("/",Sync!$AE557)-1))),""))))</f>
        <v/>
      </c>
      <c r="H557" t="str">
        <f>IF(OR($F557="",$G557=""),"",IF(ISNUMBER(Sync!$AE557),INT(MOD(Sync!$AE557,10000)/100),IFERROR(VALUE(TRIM(LEFT(MID(Sync!$AE557,FIND("/",Sync!$AE557)+1,20),FIND("/",MID(Sync!$AE557,FIND("/",Sync!$AE557)+1,20))-1))),"")))</f>
        <v/>
      </c>
      <c r="I557" t="str">
        <f>IF(OR($F557="",$G557=""),"",IF(ISNUMBER(Sync!$AE557),MOD(Sync!$AE557,100),IFERROR(VALUE(TRIM(MID(MID(Sync!$AE557,FIND("/",Sync!$AE557)+1,20),FIND("/",MID(Sync!$AE557,FIND("/",Sync!$AE557)+1,20))+1,20))),"")))</f>
        <v/>
      </c>
      <c r="J557" t="str">
        <f t="shared" si="42"/>
        <v/>
      </c>
      <c r="K557" t="str">
        <f>IF(OR($F557="",$J557="",$J557="نامعتبر"),"",LEFT($J557,4)&amp;MID($J557,6,2)&amp;RIGHT($J557,2)&amp;$N557&amp;"|"&amp;"2"&amp;RIGHT("00000"&amp;552,5))</f>
        <v/>
      </c>
      <c r="L557" t="str">
        <f t="shared" si="43"/>
        <v/>
      </c>
      <c r="M557" t="str">
        <f t="shared" si="44"/>
        <v/>
      </c>
      <c r="N557" t="str">
        <f>IF($F557="","",IF(Sync!$AF557="","0000",IF(AND(ISNUMBER(Sync!$AF557),Sync!$AF557&gt;=0,Sync!$AF557&lt;1),RIGHT("00"&amp;HOUR(Sync!$AF557),2)&amp;RIGHT("00"&amp;MINUTE(Sync!$AF557),2),IFERROR(RIGHT("00"&amp;VALUE(LEFT(Sync!$AF557,FIND(":",Sync!$AF557)-1)),2)&amp;RIGHT("00"&amp;VALUE(MID(Sync!$AF557,FIND(":",Sync!$AF557)+1,2)),2),"0000"))))</f>
        <v/>
      </c>
    </row>
    <row r="558" spans="1:14" x14ac:dyDescent="0.2">
      <c r="A558" t="str">
        <f>IF(OR(Calc!$E562="",Calc!$E562="نامعتبر",Calc!$G562=""),"",Calc!$G562)</f>
        <v/>
      </c>
      <c r="B558" t="str">
        <f>IF($A558="","",LEFT(Calc!$E562,4)&amp;MID(Calc!$E562,6,2)&amp;RIGHT(Calc!$E562,2)&amp;Calc!$Q562&amp;"|"&amp;"1"&amp;RIGHT("00000"&amp;553,5))</f>
        <v/>
      </c>
      <c r="C558" t="str">
        <f t="shared" si="40"/>
        <v/>
      </c>
      <c r="D558" t="str">
        <f t="shared" si="41"/>
        <v/>
      </c>
      <c r="F558" t="str">
        <f>IF(Sync!$AH558="","",IF(LEFT(UPPER(TRIM(Sync!$AH558)),2)="SL",UPPER(TRIM(Sync!$AH558)),""))</f>
        <v/>
      </c>
      <c r="G558" t="str">
        <f>IF($F558="","",IF(Sync!$AE558="","",IF(ISNUMBER(Sync!$AE558),IF(AND(Sync!$AE558&gt;=10000101,Sync!$AE558&lt;=99991231),INT(Sync!$AE558/10000),""),IFERROR(VALUE(TRIM(LEFT(Sync!$AE558,FIND("/",Sync!$AE558)-1))),""))))</f>
        <v/>
      </c>
      <c r="H558" t="str">
        <f>IF(OR($F558="",$G558=""),"",IF(ISNUMBER(Sync!$AE558),INT(MOD(Sync!$AE558,10000)/100),IFERROR(VALUE(TRIM(LEFT(MID(Sync!$AE558,FIND("/",Sync!$AE558)+1,20),FIND("/",MID(Sync!$AE558,FIND("/",Sync!$AE558)+1,20))-1))),"")))</f>
        <v/>
      </c>
      <c r="I558" t="str">
        <f>IF(OR($F558="",$G558=""),"",IF(ISNUMBER(Sync!$AE558),MOD(Sync!$AE558,100),IFERROR(VALUE(TRIM(MID(MID(Sync!$AE558,FIND("/",Sync!$AE558)+1,20),FIND("/",MID(Sync!$AE558,FIND("/",Sync!$AE558)+1,20))+1,20))),"")))</f>
        <v/>
      </c>
      <c r="J558" t="str">
        <f t="shared" si="42"/>
        <v/>
      </c>
      <c r="K558" t="str">
        <f>IF(OR($F558="",$J558="",$J558="نامعتبر"),"",LEFT($J558,4)&amp;MID($J558,6,2)&amp;RIGHT($J558,2)&amp;$N558&amp;"|"&amp;"2"&amp;RIGHT("00000"&amp;553,5))</f>
        <v/>
      </c>
      <c r="L558" t="str">
        <f t="shared" si="43"/>
        <v/>
      </c>
      <c r="M558" t="str">
        <f t="shared" si="44"/>
        <v/>
      </c>
      <c r="N558" t="str">
        <f>IF($F558="","",IF(Sync!$AF558="","0000",IF(AND(ISNUMBER(Sync!$AF558),Sync!$AF558&gt;=0,Sync!$AF558&lt;1),RIGHT("00"&amp;HOUR(Sync!$AF558),2)&amp;RIGHT("00"&amp;MINUTE(Sync!$AF558),2),IFERROR(RIGHT("00"&amp;VALUE(LEFT(Sync!$AF558,FIND(":",Sync!$AF558)-1)),2)&amp;RIGHT("00"&amp;VALUE(MID(Sync!$AF558,FIND(":",Sync!$AF558)+1,2)),2),"0000"))))</f>
        <v/>
      </c>
    </row>
    <row r="559" spans="1:14" x14ac:dyDescent="0.2">
      <c r="A559" t="str">
        <f>IF(OR(Calc!$E563="",Calc!$E563="نامعتبر",Calc!$G563=""),"",Calc!$G563)</f>
        <v/>
      </c>
      <c r="B559" t="str">
        <f>IF($A559="","",LEFT(Calc!$E563,4)&amp;MID(Calc!$E563,6,2)&amp;RIGHT(Calc!$E563,2)&amp;Calc!$Q563&amp;"|"&amp;"1"&amp;RIGHT("00000"&amp;554,5))</f>
        <v/>
      </c>
      <c r="C559" t="str">
        <f t="shared" si="40"/>
        <v/>
      </c>
      <c r="D559" t="str">
        <f t="shared" si="41"/>
        <v/>
      </c>
      <c r="F559" t="str">
        <f>IF(Sync!$AH559="","",IF(LEFT(UPPER(TRIM(Sync!$AH559)),2)="SL",UPPER(TRIM(Sync!$AH559)),""))</f>
        <v/>
      </c>
      <c r="G559" t="str">
        <f>IF($F559="","",IF(Sync!$AE559="","",IF(ISNUMBER(Sync!$AE559),IF(AND(Sync!$AE559&gt;=10000101,Sync!$AE559&lt;=99991231),INT(Sync!$AE559/10000),""),IFERROR(VALUE(TRIM(LEFT(Sync!$AE559,FIND("/",Sync!$AE559)-1))),""))))</f>
        <v/>
      </c>
      <c r="H559" t="str">
        <f>IF(OR($F559="",$G559=""),"",IF(ISNUMBER(Sync!$AE559),INT(MOD(Sync!$AE559,10000)/100),IFERROR(VALUE(TRIM(LEFT(MID(Sync!$AE559,FIND("/",Sync!$AE559)+1,20),FIND("/",MID(Sync!$AE559,FIND("/",Sync!$AE559)+1,20))-1))),"")))</f>
        <v/>
      </c>
      <c r="I559" t="str">
        <f>IF(OR($F559="",$G559=""),"",IF(ISNUMBER(Sync!$AE559),MOD(Sync!$AE559,100),IFERROR(VALUE(TRIM(MID(MID(Sync!$AE559,FIND("/",Sync!$AE559)+1,20),FIND("/",MID(Sync!$AE559,FIND("/",Sync!$AE559)+1,20))+1,20))),"")))</f>
        <v/>
      </c>
      <c r="J559" t="str">
        <f t="shared" si="42"/>
        <v/>
      </c>
      <c r="K559" t="str">
        <f>IF(OR($F559="",$J559="",$J559="نامعتبر"),"",LEFT($J559,4)&amp;MID($J559,6,2)&amp;RIGHT($J559,2)&amp;$N559&amp;"|"&amp;"2"&amp;RIGHT("00000"&amp;554,5))</f>
        <v/>
      </c>
      <c r="L559" t="str">
        <f t="shared" si="43"/>
        <v/>
      </c>
      <c r="M559" t="str">
        <f t="shared" si="44"/>
        <v/>
      </c>
      <c r="N559" t="str">
        <f>IF($F559="","",IF(Sync!$AF559="","0000",IF(AND(ISNUMBER(Sync!$AF559),Sync!$AF559&gt;=0,Sync!$AF559&lt;1),RIGHT("00"&amp;HOUR(Sync!$AF559),2)&amp;RIGHT("00"&amp;MINUTE(Sync!$AF559),2),IFERROR(RIGHT("00"&amp;VALUE(LEFT(Sync!$AF559,FIND(":",Sync!$AF559)-1)),2)&amp;RIGHT("00"&amp;VALUE(MID(Sync!$AF559,FIND(":",Sync!$AF559)+1,2)),2),"0000"))))</f>
        <v/>
      </c>
    </row>
    <row r="560" spans="1:14" x14ac:dyDescent="0.2">
      <c r="A560" t="str">
        <f>IF(OR(Calc!$E564="",Calc!$E564="نامعتبر",Calc!$G564=""),"",Calc!$G564)</f>
        <v/>
      </c>
      <c r="B560" t="str">
        <f>IF($A560="","",LEFT(Calc!$E564,4)&amp;MID(Calc!$E564,6,2)&amp;RIGHT(Calc!$E564,2)&amp;Calc!$Q564&amp;"|"&amp;"1"&amp;RIGHT("00000"&amp;555,5))</f>
        <v/>
      </c>
      <c r="C560" t="str">
        <f t="shared" si="40"/>
        <v/>
      </c>
      <c r="D560" t="str">
        <f t="shared" si="41"/>
        <v/>
      </c>
      <c r="F560" t="str">
        <f>IF(Sync!$AH560="","",IF(LEFT(UPPER(TRIM(Sync!$AH560)),2)="SL",UPPER(TRIM(Sync!$AH560)),""))</f>
        <v/>
      </c>
      <c r="G560" t="str">
        <f>IF($F560="","",IF(Sync!$AE560="","",IF(ISNUMBER(Sync!$AE560),IF(AND(Sync!$AE560&gt;=10000101,Sync!$AE560&lt;=99991231),INT(Sync!$AE560/10000),""),IFERROR(VALUE(TRIM(LEFT(Sync!$AE560,FIND("/",Sync!$AE560)-1))),""))))</f>
        <v/>
      </c>
      <c r="H560" t="str">
        <f>IF(OR($F560="",$G560=""),"",IF(ISNUMBER(Sync!$AE560),INT(MOD(Sync!$AE560,10000)/100),IFERROR(VALUE(TRIM(LEFT(MID(Sync!$AE560,FIND("/",Sync!$AE560)+1,20),FIND("/",MID(Sync!$AE560,FIND("/",Sync!$AE560)+1,20))-1))),"")))</f>
        <v/>
      </c>
      <c r="I560" t="str">
        <f>IF(OR($F560="",$G560=""),"",IF(ISNUMBER(Sync!$AE560),MOD(Sync!$AE560,100),IFERROR(VALUE(TRIM(MID(MID(Sync!$AE560,FIND("/",Sync!$AE560)+1,20),FIND("/",MID(Sync!$AE560,FIND("/",Sync!$AE560)+1,20))+1,20))),"")))</f>
        <v/>
      </c>
      <c r="J560" t="str">
        <f t="shared" si="42"/>
        <v/>
      </c>
      <c r="K560" t="str">
        <f>IF(OR($F560="",$J560="",$J560="نامعتبر"),"",LEFT($J560,4)&amp;MID($J560,6,2)&amp;RIGHT($J560,2)&amp;$N560&amp;"|"&amp;"2"&amp;RIGHT("00000"&amp;555,5))</f>
        <v/>
      </c>
      <c r="L560" t="str">
        <f t="shared" si="43"/>
        <v/>
      </c>
      <c r="M560" t="str">
        <f t="shared" si="44"/>
        <v/>
      </c>
      <c r="N560" t="str">
        <f>IF($F560="","",IF(Sync!$AF560="","0000",IF(AND(ISNUMBER(Sync!$AF560),Sync!$AF560&gt;=0,Sync!$AF560&lt;1),RIGHT("00"&amp;HOUR(Sync!$AF560),2)&amp;RIGHT("00"&amp;MINUTE(Sync!$AF560),2),IFERROR(RIGHT("00"&amp;VALUE(LEFT(Sync!$AF560,FIND(":",Sync!$AF560)-1)),2)&amp;RIGHT("00"&amp;VALUE(MID(Sync!$AF560,FIND(":",Sync!$AF560)+1,2)),2),"0000"))))</f>
        <v/>
      </c>
    </row>
    <row r="561" spans="1:14" x14ac:dyDescent="0.2">
      <c r="A561" t="str">
        <f>IF(OR(Calc!$E565="",Calc!$E565="نامعتبر",Calc!$G565=""),"",Calc!$G565)</f>
        <v/>
      </c>
      <c r="B561" t="str">
        <f>IF($A561="","",LEFT(Calc!$E565,4)&amp;MID(Calc!$E565,6,2)&amp;RIGHT(Calc!$E565,2)&amp;Calc!$Q565&amp;"|"&amp;"1"&amp;RIGHT("00000"&amp;556,5))</f>
        <v/>
      </c>
      <c r="C561" t="str">
        <f t="shared" si="40"/>
        <v/>
      </c>
      <c r="D561" t="str">
        <f t="shared" si="41"/>
        <v/>
      </c>
      <c r="F561" t="str">
        <f>IF(Sync!$AH561="","",IF(LEFT(UPPER(TRIM(Sync!$AH561)),2)="SL",UPPER(TRIM(Sync!$AH561)),""))</f>
        <v/>
      </c>
      <c r="G561" t="str">
        <f>IF($F561="","",IF(Sync!$AE561="","",IF(ISNUMBER(Sync!$AE561),IF(AND(Sync!$AE561&gt;=10000101,Sync!$AE561&lt;=99991231),INT(Sync!$AE561/10000),""),IFERROR(VALUE(TRIM(LEFT(Sync!$AE561,FIND("/",Sync!$AE561)-1))),""))))</f>
        <v/>
      </c>
      <c r="H561" t="str">
        <f>IF(OR($F561="",$G561=""),"",IF(ISNUMBER(Sync!$AE561),INT(MOD(Sync!$AE561,10000)/100),IFERROR(VALUE(TRIM(LEFT(MID(Sync!$AE561,FIND("/",Sync!$AE561)+1,20),FIND("/",MID(Sync!$AE561,FIND("/",Sync!$AE561)+1,20))-1))),"")))</f>
        <v/>
      </c>
      <c r="I561" t="str">
        <f>IF(OR($F561="",$G561=""),"",IF(ISNUMBER(Sync!$AE561),MOD(Sync!$AE561,100),IFERROR(VALUE(TRIM(MID(MID(Sync!$AE561,FIND("/",Sync!$AE561)+1,20),FIND("/",MID(Sync!$AE561,FIND("/",Sync!$AE561)+1,20))+1,20))),"")))</f>
        <v/>
      </c>
      <c r="J561" t="str">
        <f t="shared" si="42"/>
        <v/>
      </c>
      <c r="K561" t="str">
        <f>IF(OR($F561="",$J561="",$J561="نامعتبر"),"",LEFT($J561,4)&amp;MID($J561,6,2)&amp;RIGHT($J561,2)&amp;$N561&amp;"|"&amp;"2"&amp;RIGHT("00000"&amp;556,5))</f>
        <v/>
      </c>
      <c r="L561" t="str">
        <f t="shared" si="43"/>
        <v/>
      </c>
      <c r="M561" t="str">
        <f t="shared" si="44"/>
        <v/>
      </c>
      <c r="N561" t="str">
        <f>IF($F561="","",IF(Sync!$AF561="","0000",IF(AND(ISNUMBER(Sync!$AF561),Sync!$AF561&gt;=0,Sync!$AF561&lt;1),RIGHT("00"&amp;HOUR(Sync!$AF561),2)&amp;RIGHT("00"&amp;MINUTE(Sync!$AF561),2),IFERROR(RIGHT("00"&amp;VALUE(LEFT(Sync!$AF561,FIND(":",Sync!$AF561)-1)),2)&amp;RIGHT("00"&amp;VALUE(MID(Sync!$AF561,FIND(":",Sync!$AF561)+1,2)),2),"0000"))))</f>
        <v/>
      </c>
    </row>
    <row r="562" spans="1:14" x14ac:dyDescent="0.2">
      <c r="A562" t="str">
        <f>IF(OR(Calc!$E566="",Calc!$E566="نامعتبر",Calc!$G566=""),"",Calc!$G566)</f>
        <v/>
      </c>
      <c r="B562" t="str">
        <f>IF($A562="","",LEFT(Calc!$E566,4)&amp;MID(Calc!$E566,6,2)&amp;RIGHT(Calc!$E566,2)&amp;Calc!$Q566&amp;"|"&amp;"1"&amp;RIGHT("00000"&amp;557,5))</f>
        <v/>
      </c>
      <c r="C562" t="str">
        <f t="shared" si="40"/>
        <v/>
      </c>
      <c r="D562" t="str">
        <f t="shared" si="41"/>
        <v/>
      </c>
      <c r="F562" t="str">
        <f>IF(Sync!$AH562="","",IF(LEFT(UPPER(TRIM(Sync!$AH562)),2)="SL",UPPER(TRIM(Sync!$AH562)),""))</f>
        <v/>
      </c>
      <c r="G562" t="str">
        <f>IF($F562="","",IF(Sync!$AE562="","",IF(ISNUMBER(Sync!$AE562),IF(AND(Sync!$AE562&gt;=10000101,Sync!$AE562&lt;=99991231),INT(Sync!$AE562/10000),""),IFERROR(VALUE(TRIM(LEFT(Sync!$AE562,FIND("/",Sync!$AE562)-1))),""))))</f>
        <v/>
      </c>
      <c r="H562" t="str">
        <f>IF(OR($F562="",$G562=""),"",IF(ISNUMBER(Sync!$AE562),INT(MOD(Sync!$AE562,10000)/100),IFERROR(VALUE(TRIM(LEFT(MID(Sync!$AE562,FIND("/",Sync!$AE562)+1,20),FIND("/",MID(Sync!$AE562,FIND("/",Sync!$AE562)+1,20))-1))),"")))</f>
        <v/>
      </c>
      <c r="I562" t="str">
        <f>IF(OR($F562="",$G562=""),"",IF(ISNUMBER(Sync!$AE562),MOD(Sync!$AE562,100),IFERROR(VALUE(TRIM(MID(MID(Sync!$AE562,FIND("/",Sync!$AE562)+1,20),FIND("/",MID(Sync!$AE562,FIND("/",Sync!$AE562)+1,20))+1,20))),"")))</f>
        <v/>
      </c>
      <c r="J562" t="str">
        <f t="shared" si="42"/>
        <v/>
      </c>
      <c r="K562" t="str">
        <f>IF(OR($F562="",$J562="",$J562="نامعتبر"),"",LEFT($J562,4)&amp;MID($J562,6,2)&amp;RIGHT($J562,2)&amp;$N562&amp;"|"&amp;"2"&amp;RIGHT("00000"&amp;557,5))</f>
        <v/>
      </c>
      <c r="L562" t="str">
        <f t="shared" si="43"/>
        <v/>
      </c>
      <c r="M562" t="str">
        <f t="shared" si="44"/>
        <v/>
      </c>
      <c r="N562" t="str">
        <f>IF($F562="","",IF(Sync!$AF562="","0000",IF(AND(ISNUMBER(Sync!$AF562),Sync!$AF562&gt;=0,Sync!$AF562&lt;1),RIGHT("00"&amp;HOUR(Sync!$AF562),2)&amp;RIGHT("00"&amp;MINUTE(Sync!$AF562),2),IFERROR(RIGHT("00"&amp;VALUE(LEFT(Sync!$AF562,FIND(":",Sync!$AF562)-1)),2)&amp;RIGHT("00"&amp;VALUE(MID(Sync!$AF562,FIND(":",Sync!$AF562)+1,2)),2),"0000"))))</f>
        <v/>
      </c>
    </row>
    <row r="563" spans="1:14" x14ac:dyDescent="0.2">
      <c r="A563" t="str">
        <f>IF(OR(Calc!$E567="",Calc!$E567="نامعتبر",Calc!$G567=""),"",Calc!$G567)</f>
        <v/>
      </c>
      <c r="B563" t="str">
        <f>IF($A563="","",LEFT(Calc!$E567,4)&amp;MID(Calc!$E567,6,2)&amp;RIGHT(Calc!$E567,2)&amp;Calc!$Q567&amp;"|"&amp;"1"&amp;RIGHT("00000"&amp;558,5))</f>
        <v/>
      </c>
      <c r="C563" t="str">
        <f t="shared" si="40"/>
        <v/>
      </c>
      <c r="D563" t="str">
        <f t="shared" si="41"/>
        <v/>
      </c>
      <c r="F563" t="str">
        <f>IF(Sync!$AH563="","",IF(LEFT(UPPER(TRIM(Sync!$AH563)),2)="SL",UPPER(TRIM(Sync!$AH563)),""))</f>
        <v/>
      </c>
      <c r="G563" t="str">
        <f>IF($F563="","",IF(Sync!$AE563="","",IF(ISNUMBER(Sync!$AE563),IF(AND(Sync!$AE563&gt;=10000101,Sync!$AE563&lt;=99991231),INT(Sync!$AE563/10000),""),IFERROR(VALUE(TRIM(LEFT(Sync!$AE563,FIND("/",Sync!$AE563)-1))),""))))</f>
        <v/>
      </c>
      <c r="H563" t="str">
        <f>IF(OR($F563="",$G563=""),"",IF(ISNUMBER(Sync!$AE563),INT(MOD(Sync!$AE563,10000)/100),IFERROR(VALUE(TRIM(LEFT(MID(Sync!$AE563,FIND("/",Sync!$AE563)+1,20),FIND("/",MID(Sync!$AE563,FIND("/",Sync!$AE563)+1,20))-1))),"")))</f>
        <v/>
      </c>
      <c r="I563" t="str">
        <f>IF(OR($F563="",$G563=""),"",IF(ISNUMBER(Sync!$AE563),MOD(Sync!$AE563,100),IFERROR(VALUE(TRIM(MID(MID(Sync!$AE563,FIND("/",Sync!$AE563)+1,20),FIND("/",MID(Sync!$AE563,FIND("/",Sync!$AE563)+1,20))+1,20))),"")))</f>
        <v/>
      </c>
      <c r="J563" t="str">
        <f t="shared" si="42"/>
        <v/>
      </c>
      <c r="K563" t="str">
        <f>IF(OR($F563="",$J563="",$J563="نامعتبر"),"",LEFT($J563,4)&amp;MID($J563,6,2)&amp;RIGHT($J563,2)&amp;$N563&amp;"|"&amp;"2"&amp;RIGHT("00000"&amp;558,5))</f>
        <v/>
      </c>
      <c r="L563" t="str">
        <f t="shared" si="43"/>
        <v/>
      </c>
      <c r="M563" t="str">
        <f t="shared" si="44"/>
        <v/>
      </c>
      <c r="N563" t="str">
        <f>IF($F563="","",IF(Sync!$AF563="","0000",IF(AND(ISNUMBER(Sync!$AF563),Sync!$AF563&gt;=0,Sync!$AF563&lt;1),RIGHT("00"&amp;HOUR(Sync!$AF563),2)&amp;RIGHT("00"&amp;MINUTE(Sync!$AF563),2),IFERROR(RIGHT("00"&amp;VALUE(LEFT(Sync!$AF563,FIND(":",Sync!$AF563)-1)),2)&amp;RIGHT("00"&amp;VALUE(MID(Sync!$AF563,FIND(":",Sync!$AF563)+1,2)),2),"0000"))))</f>
        <v/>
      </c>
    </row>
    <row r="564" spans="1:14" x14ac:dyDescent="0.2">
      <c r="A564" t="str">
        <f>IF(OR(Calc!$E568="",Calc!$E568="نامعتبر",Calc!$G568=""),"",Calc!$G568)</f>
        <v/>
      </c>
      <c r="B564" t="str">
        <f>IF($A564="","",LEFT(Calc!$E568,4)&amp;MID(Calc!$E568,6,2)&amp;RIGHT(Calc!$E568,2)&amp;Calc!$Q568&amp;"|"&amp;"1"&amp;RIGHT("00000"&amp;559,5))</f>
        <v/>
      </c>
      <c r="C564" t="str">
        <f t="shared" si="40"/>
        <v/>
      </c>
      <c r="D564" t="str">
        <f t="shared" si="41"/>
        <v/>
      </c>
      <c r="F564" t="str">
        <f>IF(Sync!$AH564="","",IF(LEFT(UPPER(TRIM(Sync!$AH564)),2)="SL",UPPER(TRIM(Sync!$AH564)),""))</f>
        <v/>
      </c>
      <c r="G564" t="str">
        <f>IF($F564="","",IF(Sync!$AE564="","",IF(ISNUMBER(Sync!$AE564),IF(AND(Sync!$AE564&gt;=10000101,Sync!$AE564&lt;=99991231),INT(Sync!$AE564/10000),""),IFERROR(VALUE(TRIM(LEFT(Sync!$AE564,FIND("/",Sync!$AE564)-1))),""))))</f>
        <v/>
      </c>
      <c r="H564" t="str">
        <f>IF(OR($F564="",$G564=""),"",IF(ISNUMBER(Sync!$AE564),INT(MOD(Sync!$AE564,10000)/100),IFERROR(VALUE(TRIM(LEFT(MID(Sync!$AE564,FIND("/",Sync!$AE564)+1,20),FIND("/",MID(Sync!$AE564,FIND("/",Sync!$AE564)+1,20))-1))),"")))</f>
        <v/>
      </c>
      <c r="I564" t="str">
        <f>IF(OR($F564="",$G564=""),"",IF(ISNUMBER(Sync!$AE564),MOD(Sync!$AE564,100),IFERROR(VALUE(TRIM(MID(MID(Sync!$AE564,FIND("/",Sync!$AE564)+1,20),FIND("/",MID(Sync!$AE564,FIND("/",Sync!$AE564)+1,20))+1,20))),"")))</f>
        <v/>
      </c>
      <c r="J564" t="str">
        <f t="shared" si="42"/>
        <v/>
      </c>
      <c r="K564" t="str">
        <f>IF(OR($F564="",$J564="",$J564="نامعتبر"),"",LEFT($J564,4)&amp;MID($J564,6,2)&amp;RIGHT($J564,2)&amp;$N564&amp;"|"&amp;"2"&amp;RIGHT("00000"&amp;559,5))</f>
        <v/>
      </c>
      <c r="L564" t="str">
        <f t="shared" si="43"/>
        <v/>
      </c>
      <c r="M564" t="str">
        <f t="shared" si="44"/>
        <v/>
      </c>
      <c r="N564" t="str">
        <f>IF($F564="","",IF(Sync!$AF564="","0000",IF(AND(ISNUMBER(Sync!$AF564),Sync!$AF564&gt;=0,Sync!$AF564&lt;1),RIGHT("00"&amp;HOUR(Sync!$AF564),2)&amp;RIGHT("00"&amp;MINUTE(Sync!$AF564),2),IFERROR(RIGHT("00"&amp;VALUE(LEFT(Sync!$AF564,FIND(":",Sync!$AF564)-1)),2)&amp;RIGHT("00"&amp;VALUE(MID(Sync!$AF564,FIND(":",Sync!$AF564)+1,2)),2),"0000"))))</f>
        <v/>
      </c>
    </row>
    <row r="565" spans="1:14" x14ac:dyDescent="0.2">
      <c r="A565" t="str">
        <f>IF(OR(Calc!$E569="",Calc!$E569="نامعتبر",Calc!$G569=""),"",Calc!$G569)</f>
        <v/>
      </c>
      <c r="B565" t="str">
        <f>IF($A565="","",LEFT(Calc!$E569,4)&amp;MID(Calc!$E569,6,2)&amp;RIGHT(Calc!$E569,2)&amp;Calc!$Q569&amp;"|"&amp;"1"&amp;RIGHT("00000"&amp;560,5))</f>
        <v/>
      </c>
      <c r="C565" t="str">
        <f t="shared" si="40"/>
        <v/>
      </c>
      <c r="D565" t="str">
        <f t="shared" si="41"/>
        <v/>
      </c>
      <c r="F565" t="str">
        <f>IF(Sync!$AH565="","",IF(LEFT(UPPER(TRIM(Sync!$AH565)),2)="SL",UPPER(TRIM(Sync!$AH565)),""))</f>
        <v/>
      </c>
      <c r="G565" t="str">
        <f>IF($F565="","",IF(Sync!$AE565="","",IF(ISNUMBER(Sync!$AE565),IF(AND(Sync!$AE565&gt;=10000101,Sync!$AE565&lt;=99991231),INT(Sync!$AE565/10000),""),IFERROR(VALUE(TRIM(LEFT(Sync!$AE565,FIND("/",Sync!$AE565)-1))),""))))</f>
        <v/>
      </c>
      <c r="H565" t="str">
        <f>IF(OR($F565="",$G565=""),"",IF(ISNUMBER(Sync!$AE565),INT(MOD(Sync!$AE565,10000)/100),IFERROR(VALUE(TRIM(LEFT(MID(Sync!$AE565,FIND("/",Sync!$AE565)+1,20),FIND("/",MID(Sync!$AE565,FIND("/",Sync!$AE565)+1,20))-1))),"")))</f>
        <v/>
      </c>
      <c r="I565" t="str">
        <f>IF(OR($F565="",$G565=""),"",IF(ISNUMBER(Sync!$AE565),MOD(Sync!$AE565,100),IFERROR(VALUE(TRIM(MID(MID(Sync!$AE565,FIND("/",Sync!$AE565)+1,20),FIND("/",MID(Sync!$AE565,FIND("/",Sync!$AE565)+1,20))+1,20))),"")))</f>
        <v/>
      </c>
      <c r="J565" t="str">
        <f t="shared" si="42"/>
        <v/>
      </c>
      <c r="K565" t="str">
        <f>IF(OR($F565="",$J565="",$J565="نامعتبر"),"",LEFT($J565,4)&amp;MID($J565,6,2)&amp;RIGHT($J565,2)&amp;$N565&amp;"|"&amp;"2"&amp;RIGHT("00000"&amp;560,5))</f>
        <v/>
      </c>
      <c r="L565" t="str">
        <f t="shared" si="43"/>
        <v/>
      </c>
      <c r="M565" t="str">
        <f t="shared" si="44"/>
        <v/>
      </c>
      <c r="N565" t="str">
        <f>IF($F565="","",IF(Sync!$AF565="","0000",IF(AND(ISNUMBER(Sync!$AF565),Sync!$AF565&gt;=0,Sync!$AF565&lt;1),RIGHT("00"&amp;HOUR(Sync!$AF565),2)&amp;RIGHT("00"&amp;MINUTE(Sync!$AF565),2),IFERROR(RIGHT("00"&amp;VALUE(LEFT(Sync!$AF565,FIND(":",Sync!$AF565)-1)),2)&amp;RIGHT("00"&amp;VALUE(MID(Sync!$AF565,FIND(":",Sync!$AF565)+1,2)),2),"0000"))))</f>
        <v/>
      </c>
    </row>
    <row r="566" spans="1:14" x14ac:dyDescent="0.2">
      <c r="A566" t="str">
        <f>IF(OR(Calc!$E570="",Calc!$E570="نامعتبر",Calc!$G570=""),"",Calc!$G570)</f>
        <v/>
      </c>
      <c r="B566" t="str">
        <f>IF($A566="","",LEFT(Calc!$E570,4)&amp;MID(Calc!$E570,6,2)&amp;RIGHT(Calc!$E570,2)&amp;Calc!$Q570&amp;"|"&amp;"1"&amp;RIGHT("00000"&amp;561,5))</f>
        <v/>
      </c>
      <c r="C566" t="str">
        <f t="shared" si="40"/>
        <v/>
      </c>
      <c r="D566" t="str">
        <f t="shared" si="41"/>
        <v/>
      </c>
      <c r="F566" t="str">
        <f>IF(Sync!$AH566="","",IF(LEFT(UPPER(TRIM(Sync!$AH566)),2)="SL",UPPER(TRIM(Sync!$AH566)),""))</f>
        <v/>
      </c>
      <c r="G566" t="str">
        <f>IF($F566="","",IF(Sync!$AE566="","",IF(ISNUMBER(Sync!$AE566),IF(AND(Sync!$AE566&gt;=10000101,Sync!$AE566&lt;=99991231),INT(Sync!$AE566/10000),""),IFERROR(VALUE(TRIM(LEFT(Sync!$AE566,FIND("/",Sync!$AE566)-1))),""))))</f>
        <v/>
      </c>
      <c r="H566" t="str">
        <f>IF(OR($F566="",$G566=""),"",IF(ISNUMBER(Sync!$AE566),INT(MOD(Sync!$AE566,10000)/100),IFERROR(VALUE(TRIM(LEFT(MID(Sync!$AE566,FIND("/",Sync!$AE566)+1,20),FIND("/",MID(Sync!$AE566,FIND("/",Sync!$AE566)+1,20))-1))),"")))</f>
        <v/>
      </c>
      <c r="I566" t="str">
        <f>IF(OR($F566="",$G566=""),"",IF(ISNUMBER(Sync!$AE566),MOD(Sync!$AE566,100),IFERROR(VALUE(TRIM(MID(MID(Sync!$AE566,FIND("/",Sync!$AE566)+1,20),FIND("/",MID(Sync!$AE566,FIND("/",Sync!$AE566)+1,20))+1,20))),"")))</f>
        <v/>
      </c>
      <c r="J566" t="str">
        <f t="shared" si="42"/>
        <v/>
      </c>
      <c r="K566" t="str">
        <f>IF(OR($F566="",$J566="",$J566="نامعتبر"),"",LEFT($J566,4)&amp;MID($J566,6,2)&amp;RIGHT($J566,2)&amp;$N566&amp;"|"&amp;"2"&amp;RIGHT("00000"&amp;561,5))</f>
        <v/>
      </c>
      <c r="L566" t="str">
        <f t="shared" si="43"/>
        <v/>
      </c>
      <c r="M566" t="str">
        <f t="shared" si="44"/>
        <v/>
      </c>
      <c r="N566" t="str">
        <f>IF($F566="","",IF(Sync!$AF566="","0000",IF(AND(ISNUMBER(Sync!$AF566),Sync!$AF566&gt;=0,Sync!$AF566&lt;1),RIGHT("00"&amp;HOUR(Sync!$AF566),2)&amp;RIGHT("00"&amp;MINUTE(Sync!$AF566),2),IFERROR(RIGHT("00"&amp;VALUE(LEFT(Sync!$AF566,FIND(":",Sync!$AF566)-1)),2)&amp;RIGHT("00"&amp;VALUE(MID(Sync!$AF566,FIND(":",Sync!$AF566)+1,2)),2),"0000"))))</f>
        <v/>
      </c>
    </row>
    <row r="567" spans="1:14" x14ac:dyDescent="0.2">
      <c r="A567" t="str">
        <f>IF(OR(Calc!$E571="",Calc!$E571="نامعتبر",Calc!$G571=""),"",Calc!$G571)</f>
        <v/>
      </c>
      <c r="B567" t="str">
        <f>IF($A567="","",LEFT(Calc!$E571,4)&amp;MID(Calc!$E571,6,2)&amp;RIGHT(Calc!$E571,2)&amp;Calc!$Q571&amp;"|"&amp;"1"&amp;RIGHT("00000"&amp;562,5))</f>
        <v/>
      </c>
      <c r="C567" t="str">
        <f t="shared" si="40"/>
        <v/>
      </c>
      <c r="D567" t="str">
        <f t="shared" si="41"/>
        <v/>
      </c>
      <c r="F567" t="str">
        <f>IF(Sync!$AH567="","",IF(LEFT(UPPER(TRIM(Sync!$AH567)),2)="SL",UPPER(TRIM(Sync!$AH567)),""))</f>
        <v/>
      </c>
      <c r="G567" t="str">
        <f>IF($F567="","",IF(Sync!$AE567="","",IF(ISNUMBER(Sync!$AE567),IF(AND(Sync!$AE567&gt;=10000101,Sync!$AE567&lt;=99991231),INT(Sync!$AE567/10000),""),IFERROR(VALUE(TRIM(LEFT(Sync!$AE567,FIND("/",Sync!$AE567)-1))),""))))</f>
        <v/>
      </c>
      <c r="H567" t="str">
        <f>IF(OR($F567="",$G567=""),"",IF(ISNUMBER(Sync!$AE567),INT(MOD(Sync!$AE567,10000)/100),IFERROR(VALUE(TRIM(LEFT(MID(Sync!$AE567,FIND("/",Sync!$AE567)+1,20),FIND("/",MID(Sync!$AE567,FIND("/",Sync!$AE567)+1,20))-1))),"")))</f>
        <v/>
      </c>
      <c r="I567" t="str">
        <f>IF(OR($F567="",$G567=""),"",IF(ISNUMBER(Sync!$AE567),MOD(Sync!$AE567,100),IFERROR(VALUE(TRIM(MID(MID(Sync!$AE567,FIND("/",Sync!$AE567)+1,20),FIND("/",MID(Sync!$AE567,FIND("/",Sync!$AE567)+1,20))+1,20))),"")))</f>
        <v/>
      </c>
      <c r="J567" t="str">
        <f t="shared" si="42"/>
        <v/>
      </c>
      <c r="K567" t="str">
        <f>IF(OR($F567="",$J567="",$J567="نامعتبر"),"",LEFT($J567,4)&amp;MID($J567,6,2)&amp;RIGHT($J567,2)&amp;$N567&amp;"|"&amp;"2"&amp;RIGHT("00000"&amp;562,5))</f>
        <v/>
      </c>
      <c r="L567" t="str">
        <f t="shared" si="43"/>
        <v/>
      </c>
      <c r="M567" t="str">
        <f t="shared" si="44"/>
        <v/>
      </c>
      <c r="N567" t="str">
        <f>IF($F567="","",IF(Sync!$AF567="","0000",IF(AND(ISNUMBER(Sync!$AF567),Sync!$AF567&gt;=0,Sync!$AF567&lt;1),RIGHT("00"&amp;HOUR(Sync!$AF567),2)&amp;RIGHT("00"&amp;MINUTE(Sync!$AF567),2),IFERROR(RIGHT("00"&amp;VALUE(LEFT(Sync!$AF567,FIND(":",Sync!$AF567)-1)),2)&amp;RIGHT("00"&amp;VALUE(MID(Sync!$AF567,FIND(":",Sync!$AF567)+1,2)),2),"0000"))))</f>
        <v/>
      </c>
    </row>
    <row r="568" spans="1:14" x14ac:dyDescent="0.2">
      <c r="A568" t="str">
        <f>IF(OR(Calc!$E572="",Calc!$E572="نامعتبر",Calc!$G572=""),"",Calc!$G572)</f>
        <v/>
      </c>
      <c r="B568" t="str">
        <f>IF($A568="","",LEFT(Calc!$E572,4)&amp;MID(Calc!$E572,6,2)&amp;RIGHT(Calc!$E572,2)&amp;Calc!$Q572&amp;"|"&amp;"1"&amp;RIGHT("00000"&amp;563,5))</f>
        <v/>
      </c>
      <c r="C568" t="str">
        <f t="shared" si="40"/>
        <v/>
      </c>
      <c r="D568" t="str">
        <f t="shared" si="41"/>
        <v/>
      </c>
      <c r="F568" t="str">
        <f>IF(Sync!$AH568="","",IF(LEFT(UPPER(TRIM(Sync!$AH568)),2)="SL",UPPER(TRIM(Sync!$AH568)),""))</f>
        <v/>
      </c>
      <c r="G568" t="str">
        <f>IF($F568="","",IF(Sync!$AE568="","",IF(ISNUMBER(Sync!$AE568),IF(AND(Sync!$AE568&gt;=10000101,Sync!$AE568&lt;=99991231),INT(Sync!$AE568/10000),""),IFERROR(VALUE(TRIM(LEFT(Sync!$AE568,FIND("/",Sync!$AE568)-1))),""))))</f>
        <v/>
      </c>
      <c r="H568" t="str">
        <f>IF(OR($F568="",$G568=""),"",IF(ISNUMBER(Sync!$AE568),INT(MOD(Sync!$AE568,10000)/100),IFERROR(VALUE(TRIM(LEFT(MID(Sync!$AE568,FIND("/",Sync!$AE568)+1,20),FIND("/",MID(Sync!$AE568,FIND("/",Sync!$AE568)+1,20))-1))),"")))</f>
        <v/>
      </c>
      <c r="I568" t="str">
        <f>IF(OR($F568="",$G568=""),"",IF(ISNUMBER(Sync!$AE568),MOD(Sync!$AE568,100),IFERROR(VALUE(TRIM(MID(MID(Sync!$AE568,FIND("/",Sync!$AE568)+1,20),FIND("/",MID(Sync!$AE568,FIND("/",Sync!$AE568)+1,20))+1,20))),"")))</f>
        <v/>
      </c>
      <c r="J568" t="str">
        <f t="shared" si="42"/>
        <v/>
      </c>
      <c r="K568" t="str">
        <f>IF(OR($F568="",$J568="",$J568="نامعتبر"),"",LEFT($J568,4)&amp;MID($J568,6,2)&amp;RIGHT($J568,2)&amp;$N568&amp;"|"&amp;"2"&amp;RIGHT("00000"&amp;563,5))</f>
        <v/>
      </c>
      <c r="L568" t="str">
        <f t="shared" si="43"/>
        <v/>
      </c>
      <c r="M568" t="str">
        <f t="shared" si="44"/>
        <v/>
      </c>
      <c r="N568" t="str">
        <f>IF($F568="","",IF(Sync!$AF568="","0000",IF(AND(ISNUMBER(Sync!$AF568),Sync!$AF568&gt;=0,Sync!$AF568&lt;1),RIGHT("00"&amp;HOUR(Sync!$AF568),2)&amp;RIGHT("00"&amp;MINUTE(Sync!$AF568),2),IFERROR(RIGHT("00"&amp;VALUE(LEFT(Sync!$AF568,FIND(":",Sync!$AF568)-1)),2)&amp;RIGHT("00"&amp;VALUE(MID(Sync!$AF568,FIND(":",Sync!$AF568)+1,2)),2),"0000"))))</f>
        <v/>
      </c>
    </row>
    <row r="569" spans="1:14" x14ac:dyDescent="0.2">
      <c r="A569" t="str">
        <f>IF(OR(Calc!$E573="",Calc!$E573="نامعتبر",Calc!$G573=""),"",Calc!$G573)</f>
        <v/>
      </c>
      <c r="B569" t="str">
        <f>IF($A569="","",LEFT(Calc!$E573,4)&amp;MID(Calc!$E573,6,2)&amp;RIGHT(Calc!$E573,2)&amp;Calc!$Q573&amp;"|"&amp;"1"&amp;RIGHT("00000"&amp;564,5))</f>
        <v/>
      </c>
      <c r="C569" t="str">
        <f t="shared" si="40"/>
        <v/>
      </c>
      <c r="D569" t="str">
        <f t="shared" si="41"/>
        <v/>
      </c>
      <c r="F569" t="str">
        <f>IF(Sync!$AH569="","",IF(LEFT(UPPER(TRIM(Sync!$AH569)),2)="SL",UPPER(TRIM(Sync!$AH569)),""))</f>
        <v/>
      </c>
      <c r="G569" t="str">
        <f>IF($F569="","",IF(Sync!$AE569="","",IF(ISNUMBER(Sync!$AE569),IF(AND(Sync!$AE569&gt;=10000101,Sync!$AE569&lt;=99991231),INT(Sync!$AE569/10000),""),IFERROR(VALUE(TRIM(LEFT(Sync!$AE569,FIND("/",Sync!$AE569)-1))),""))))</f>
        <v/>
      </c>
      <c r="H569" t="str">
        <f>IF(OR($F569="",$G569=""),"",IF(ISNUMBER(Sync!$AE569),INT(MOD(Sync!$AE569,10000)/100),IFERROR(VALUE(TRIM(LEFT(MID(Sync!$AE569,FIND("/",Sync!$AE569)+1,20),FIND("/",MID(Sync!$AE569,FIND("/",Sync!$AE569)+1,20))-1))),"")))</f>
        <v/>
      </c>
      <c r="I569" t="str">
        <f>IF(OR($F569="",$G569=""),"",IF(ISNUMBER(Sync!$AE569),MOD(Sync!$AE569,100),IFERROR(VALUE(TRIM(MID(MID(Sync!$AE569,FIND("/",Sync!$AE569)+1,20),FIND("/",MID(Sync!$AE569,FIND("/",Sync!$AE569)+1,20))+1,20))),"")))</f>
        <v/>
      </c>
      <c r="J569" t="str">
        <f t="shared" si="42"/>
        <v/>
      </c>
      <c r="K569" t="str">
        <f>IF(OR($F569="",$J569="",$J569="نامعتبر"),"",LEFT($J569,4)&amp;MID($J569,6,2)&amp;RIGHT($J569,2)&amp;$N569&amp;"|"&amp;"2"&amp;RIGHT("00000"&amp;564,5))</f>
        <v/>
      </c>
      <c r="L569" t="str">
        <f t="shared" si="43"/>
        <v/>
      </c>
      <c r="M569" t="str">
        <f t="shared" si="44"/>
        <v/>
      </c>
      <c r="N569" t="str">
        <f>IF($F569="","",IF(Sync!$AF569="","0000",IF(AND(ISNUMBER(Sync!$AF569),Sync!$AF569&gt;=0,Sync!$AF569&lt;1),RIGHT("00"&amp;HOUR(Sync!$AF569),2)&amp;RIGHT("00"&amp;MINUTE(Sync!$AF569),2),IFERROR(RIGHT("00"&amp;VALUE(LEFT(Sync!$AF569,FIND(":",Sync!$AF569)-1)),2)&amp;RIGHT("00"&amp;VALUE(MID(Sync!$AF569,FIND(":",Sync!$AF569)+1,2)),2),"0000"))))</f>
        <v/>
      </c>
    </row>
    <row r="570" spans="1:14" x14ac:dyDescent="0.2">
      <c r="A570" t="str">
        <f>IF(OR(Calc!$E574="",Calc!$E574="نامعتبر",Calc!$G574=""),"",Calc!$G574)</f>
        <v/>
      </c>
      <c r="B570" t="str">
        <f>IF($A570="","",LEFT(Calc!$E574,4)&amp;MID(Calc!$E574,6,2)&amp;RIGHT(Calc!$E574,2)&amp;Calc!$Q574&amp;"|"&amp;"1"&amp;RIGHT("00000"&amp;565,5))</f>
        <v/>
      </c>
      <c r="C570" t="str">
        <f t="shared" si="40"/>
        <v/>
      </c>
      <c r="D570" t="str">
        <f t="shared" si="41"/>
        <v/>
      </c>
      <c r="F570" t="str">
        <f>IF(Sync!$AH570="","",IF(LEFT(UPPER(TRIM(Sync!$AH570)),2)="SL",UPPER(TRIM(Sync!$AH570)),""))</f>
        <v/>
      </c>
      <c r="G570" t="str">
        <f>IF($F570="","",IF(Sync!$AE570="","",IF(ISNUMBER(Sync!$AE570),IF(AND(Sync!$AE570&gt;=10000101,Sync!$AE570&lt;=99991231),INT(Sync!$AE570/10000),""),IFERROR(VALUE(TRIM(LEFT(Sync!$AE570,FIND("/",Sync!$AE570)-1))),""))))</f>
        <v/>
      </c>
      <c r="H570" t="str">
        <f>IF(OR($F570="",$G570=""),"",IF(ISNUMBER(Sync!$AE570),INT(MOD(Sync!$AE570,10000)/100),IFERROR(VALUE(TRIM(LEFT(MID(Sync!$AE570,FIND("/",Sync!$AE570)+1,20),FIND("/",MID(Sync!$AE570,FIND("/",Sync!$AE570)+1,20))-1))),"")))</f>
        <v/>
      </c>
      <c r="I570" t="str">
        <f>IF(OR($F570="",$G570=""),"",IF(ISNUMBER(Sync!$AE570),MOD(Sync!$AE570,100),IFERROR(VALUE(TRIM(MID(MID(Sync!$AE570,FIND("/",Sync!$AE570)+1,20),FIND("/",MID(Sync!$AE570,FIND("/",Sync!$AE570)+1,20))+1,20))),"")))</f>
        <v/>
      </c>
      <c r="J570" t="str">
        <f t="shared" si="42"/>
        <v/>
      </c>
      <c r="K570" t="str">
        <f>IF(OR($F570="",$J570="",$J570="نامعتبر"),"",LEFT($J570,4)&amp;MID($J570,6,2)&amp;RIGHT($J570,2)&amp;$N570&amp;"|"&amp;"2"&amp;RIGHT("00000"&amp;565,5))</f>
        <v/>
      </c>
      <c r="L570" t="str">
        <f t="shared" si="43"/>
        <v/>
      </c>
      <c r="M570" t="str">
        <f t="shared" si="44"/>
        <v/>
      </c>
      <c r="N570" t="str">
        <f>IF($F570="","",IF(Sync!$AF570="","0000",IF(AND(ISNUMBER(Sync!$AF570),Sync!$AF570&gt;=0,Sync!$AF570&lt;1),RIGHT("00"&amp;HOUR(Sync!$AF570),2)&amp;RIGHT("00"&amp;MINUTE(Sync!$AF570),2),IFERROR(RIGHT("00"&amp;VALUE(LEFT(Sync!$AF570,FIND(":",Sync!$AF570)-1)),2)&amp;RIGHT("00"&amp;VALUE(MID(Sync!$AF570,FIND(":",Sync!$AF570)+1,2)),2),"0000"))))</f>
        <v/>
      </c>
    </row>
    <row r="571" spans="1:14" x14ac:dyDescent="0.2">
      <c r="A571" t="str">
        <f>IF(OR(Calc!$E575="",Calc!$E575="نامعتبر",Calc!$G575=""),"",Calc!$G575)</f>
        <v/>
      </c>
      <c r="B571" t="str">
        <f>IF($A571="","",LEFT(Calc!$E575,4)&amp;MID(Calc!$E575,6,2)&amp;RIGHT(Calc!$E575,2)&amp;Calc!$Q575&amp;"|"&amp;"1"&amp;RIGHT("00000"&amp;566,5))</f>
        <v/>
      </c>
      <c r="C571" t="str">
        <f t="shared" si="40"/>
        <v/>
      </c>
      <c r="D571" t="str">
        <f t="shared" si="41"/>
        <v/>
      </c>
      <c r="F571" t="str">
        <f>IF(Sync!$AH571="","",IF(LEFT(UPPER(TRIM(Sync!$AH571)),2)="SL",UPPER(TRIM(Sync!$AH571)),""))</f>
        <v/>
      </c>
      <c r="G571" t="str">
        <f>IF($F571="","",IF(Sync!$AE571="","",IF(ISNUMBER(Sync!$AE571),IF(AND(Sync!$AE571&gt;=10000101,Sync!$AE571&lt;=99991231),INT(Sync!$AE571/10000),""),IFERROR(VALUE(TRIM(LEFT(Sync!$AE571,FIND("/",Sync!$AE571)-1))),""))))</f>
        <v/>
      </c>
      <c r="H571" t="str">
        <f>IF(OR($F571="",$G571=""),"",IF(ISNUMBER(Sync!$AE571),INT(MOD(Sync!$AE571,10000)/100),IFERROR(VALUE(TRIM(LEFT(MID(Sync!$AE571,FIND("/",Sync!$AE571)+1,20),FIND("/",MID(Sync!$AE571,FIND("/",Sync!$AE571)+1,20))-1))),"")))</f>
        <v/>
      </c>
      <c r="I571" t="str">
        <f>IF(OR($F571="",$G571=""),"",IF(ISNUMBER(Sync!$AE571),MOD(Sync!$AE571,100),IFERROR(VALUE(TRIM(MID(MID(Sync!$AE571,FIND("/",Sync!$AE571)+1,20),FIND("/",MID(Sync!$AE571,FIND("/",Sync!$AE571)+1,20))+1,20))),"")))</f>
        <v/>
      </c>
      <c r="J571" t="str">
        <f t="shared" si="42"/>
        <v/>
      </c>
      <c r="K571" t="str">
        <f>IF(OR($F571="",$J571="",$J571="نامعتبر"),"",LEFT($J571,4)&amp;MID($J571,6,2)&amp;RIGHT($J571,2)&amp;$N571&amp;"|"&amp;"2"&amp;RIGHT("00000"&amp;566,5))</f>
        <v/>
      </c>
      <c r="L571" t="str">
        <f t="shared" si="43"/>
        <v/>
      </c>
      <c r="M571" t="str">
        <f t="shared" si="44"/>
        <v/>
      </c>
      <c r="N571" t="str">
        <f>IF($F571="","",IF(Sync!$AF571="","0000",IF(AND(ISNUMBER(Sync!$AF571),Sync!$AF571&gt;=0,Sync!$AF571&lt;1),RIGHT("00"&amp;HOUR(Sync!$AF571),2)&amp;RIGHT("00"&amp;MINUTE(Sync!$AF571),2),IFERROR(RIGHT("00"&amp;VALUE(LEFT(Sync!$AF571,FIND(":",Sync!$AF571)-1)),2)&amp;RIGHT("00"&amp;VALUE(MID(Sync!$AF571,FIND(":",Sync!$AF571)+1,2)),2),"0000"))))</f>
        <v/>
      </c>
    </row>
    <row r="572" spans="1:14" x14ac:dyDescent="0.2">
      <c r="A572" t="str">
        <f>IF(OR(Calc!$E576="",Calc!$E576="نامعتبر",Calc!$G576=""),"",Calc!$G576)</f>
        <v/>
      </c>
      <c r="B572" t="str">
        <f>IF($A572="","",LEFT(Calc!$E576,4)&amp;MID(Calc!$E576,6,2)&amp;RIGHT(Calc!$E576,2)&amp;Calc!$Q576&amp;"|"&amp;"1"&amp;RIGHT("00000"&amp;567,5))</f>
        <v/>
      </c>
      <c r="C572" t="str">
        <f t="shared" si="40"/>
        <v/>
      </c>
      <c r="D572" t="str">
        <f t="shared" si="41"/>
        <v/>
      </c>
      <c r="F572" t="str">
        <f>IF(Sync!$AH572="","",IF(LEFT(UPPER(TRIM(Sync!$AH572)),2)="SL",UPPER(TRIM(Sync!$AH572)),""))</f>
        <v/>
      </c>
      <c r="G572" t="str">
        <f>IF($F572="","",IF(Sync!$AE572="","",IF(ISNUMBER(Sync!$AE572),IF(AND(Sync!$AE572&gt;=10000101,Sync!$AE572&lt;=99991231),INT(Sync!$AE572/10000),""),IFERROR(VALUE(TRIM(LEFT(Sync!$AE572,FIND("/",Sync!$AE572)-1))),""))))</f>
        <v/>
      </c>
      <c r="H572" t="str">
        <f>IF(OR($F572="",$G572=""),"",IF(ISNUMBER(Sync!$AE572),INT(MOD(Sync!$AE572,10000)/100),IFERROR(VALUE(TRIM(LEFT(MID(Sync!$AE572,FIND("/",Sync!$AE572)+1,20),FIND("/",MID(Sync!$AE572,FIND("/",Sync!$AE572)+1,20))-1))),"")))</f>
        <v/>
      </c>
      <c r="I572" t="str">
        <f>IF(OR($F572="",$G572=""),"",IF(ISNUMBER(Sync!$AE572),MOD(Sync!$AE572,100),IFERROR(VALUE(TRIM(MID(MID(Sync!$AE572,FIND("/",Sync!$AE572)+1,20),FIND("/",MID(Sync!$AE572,FIND("/",Sync!$AE572)+1,20))+1,20))),"")))</f>
        <v/>
      </c>
      <c r="J572" t="str">
        <f t="shared" si="42"/>
        <v/>
      </c>
      <c r="K572" t="str">
        <f>IF(OR($F572="",$J572="",$J572="نامعتبر"),"",LEFT($J572,4)&amp;MID($J572,6,2)&amp;RIGHT($J572,2)&amp;$N572&amp;"|"&amp;"2"&amp;RIGHT("00000"&amp;567,5))</f>
        <v/>
      </c>
      <c r="L572" t="str">
        <f t="shared" si="43"/>
        <v/>
      </c>
      <c r="M572" t="str">
        <f t="shared" si="44"/>
        <v/>
      </c>
      <c r="N572" t="str">
        <f>IF($F572="","",IF(Sync!$AF572="","0000",IF(AND(ISNUMBER(Sync!$AF572),Sync!$AF572&gt;=0,Sync!$AF572&lt;1),RIGHT("00"&amp;HOUR(Sync!$AF572),2)&amp;RIGHT("00"&amp;MINUTE(Sync!$AF572),2),IFERROR(RIGHT("00"&amp;VALUE(LEFT(Sync!$AF572,FIND(":",Sync!$AF572)-1)),2)&amp;RIGHT("00"&amp;VALUE(MID(Sync!$AF572,FIND(":",Sync!$AF572)+1,2)),2),"0000"))))</f>
        <v/>
      </c>
    </row>
    <row r="573" spans="1:14" x14ac:dyDescent="0.2">
      <c r="A573" t="str">
        <f>IF(OR(Calc!$E577="",Calc!$E577="نامعتبر",Calc!$G577=""),"",Calc!$G577)</f>
        <v/>
      </c>
      <c r="B573" t="str">
        <f>IF($A573="","",LEFT(Calc!$E577,4)&amp;MID(Calc!$E577,6,2)&amp;RIGHT(Calc!$E577,2)&amp;Calc!$Q577&amp;"|"&amp;"1"&amp;RIGHT("00000"&amp;568,5))</f>
        <v/>
      </c>
      <c r="C573" t="str">
        <f t="shared" si="40"/>
        <v/>
      </c>
      <c r="D573" t="str">
        <f t="shared" si="41"/>
        <v/>
      </c>
      <c r="F573" t="str">
        <f>IF(Sync!$AH573="","",IF(LEFT(UPPER(TRIM(Sync!$AH573)),2)="SL",UPPER(TRIM(Sync!$AH573)),""))</f>
        <v/>
      </c>
      <c r="G573" t="str">
        <f>IF($F573="","",IF(Sync!$AE573="","",IF(ISNUMBER(Sync!$AE573),IF(AND(Sync!$AE573&gt;=10000101,Sync!$AE573&lt;=99991231),INT(Sync!$AE573/10000),""),IFERROR(VALUE(TRIM(LEFT(Sync!$AE573,FIND("/",Sync!$AE573)-1))),""))))</f>
        <v/>
      </c>
      <c r="H573" t="str">
        <f>IF(OR($F573="",$G573=""),"",IF(ISNUMBER(Sync!$AE573),INT(MOD(Sync!$AE573,10000)/100),IFERROR(VALUE(TRIM(LEFT(MID(Sync!$AE573,FIND("/",Sync!$AE573)+1,20),FIND("/",MID(Sync!$AE573,FIND("/",Sync!$AE573)+1,20))-1))),"")))</f>
        <v/>
      </c>
      <c r="I573" t="str">
        <f>IF(OR($F573="",$G573=""),"",IF(ISNUMBER(Sync!$AE573),MOD(Sync!$AE573,100),IFERROR(VALUE(TRIM(MID(MID(Sync!$AE573,FIND("/",Sync!$AE573)+1,20),FIND("/",MID(Sync!$AE573,FIND("/",Sync!$AE573)+1,20))+1,20))),"")))</f>
        <v/>
      </c>
      <c r="J573" t="str">
        <f t="shared" si="42"/>
        <v/>
      </c>
      <c r="K573" t="str">
        <f>IF(OR($F573="",$J573="",$J573="نامعتبر"),"",LEFT($J573,4)&amp;MID($J573,6,2)&amp;RIGHT($J573,2)&amp;$N573&amp;"|"&amp;"2"&amp;RIGHT("00000"&amp;568,5))</f>
        <v/>
      </c>
      <c r="L573" t="str">
        <f t="shared" si="43"/>
        <v/>
      </c>
      <c r="M573" t="str">
        <f t="shared" si="44"/>
        <v/>
      </c>
      <c r="N573" t="str">
        <f>IF($F573="","",IF(Sync!$AF573="","0000",IF(AND(ISNUMBER(Sync!$AF573),Sync!$AF573&gt;=0,Sync!$AF573&lt;1),RIGHT("00"&amp;HOUR(Sync!$AF573),2)&amp;RIGHT("00"&amp;MINUTE(Sync!$AF573),2),IFERROR(RIGHT("00"&amp;VALUE(LEFT(Sync!$AF573,FIND(":",Sync!$AF573)-1)),2)&amp;RIGHT("00"&amp;VALUE(MID(Sync!$AF573,FIND(":",Sync!$AF573)+1,2)),2),"0000"))))</f>
        <v/>
      </c>
    </row>
    <row r="574" spans="1:14" x14ac:dyDescent="0.2">
      <c r="A574" t="str">
        <f>IF(OR(Calc!$E578="",Calc!$E578="نامعتبر",Calc!$G578=""),"",Calc!$G578)</f>
        <v/>
      </c>
      <c r="B574" t="str">
        <f>IF($A574="","",LEFT(Calc!$E578,4)&amp;MID(Calc!$E578,6,2)&amp;RIGHT(Calc!$E578,2)&amp;Calc!$Q578&amp;"|"&amp;"1"&amp;RIGHT("00000"&amp;569,5))</f>
        <v/>
      </c>
      <c r="C574" t="str">
        <f t="shared" si="40"/>
        <v/>
      </c>
      <c r="D574" t="str">
        <f t="shared" si="41"/>
        <v/>
      </c>
      <c r="F574" t="str">
        <f>IF(Sync!$AH574="","",IF(LEFT(UPPER(TRIM(Sync!$AH574)),2)="SL",UPPER(TRIM(Sync!$AH574)),""))</f>
        <v/>
      </c>
      <c r="G574" t="str">
        <f>IF($F574="","",IF(Sync!$AE574="","",IF(ISNUMBER(Sync!$AE574),IF(AND(Sync!$AE574&gt;=10000101,Sync!$AE574&lt;=99991231),INT(Sync!$AE574/10000),""),IFERROR(VALUE(TRIM(LEFT(Sync!$AE574,FIND("/",Sync!$AE574)-1))),""))))</f>
        <v/>
      </c>
      <c r="H574" t="str">
        <f>IF(OR($F574="",$G574=""),"",IF(ISNUMBER(Sync!$AE574),INT(MOD(Sync!$AE574,10000)/100),IFERROR(VALUE(TRIM(LEFT(MID(Sync!$AE574,FIND("/",Sync!$AE574)+1,20),FIND("/",MID(Sync!$AE574,FIND("/",Sync!$AE574)+1,20))-1))),"")))</f>
        <v/>
      </c>
      <c r="I574" t="str">
        <f>IF(OR($F574="",$G574=""),"",IF(ISNUMBER(Sync!$AE574),MOD(Sync!$AE574,100),IFERROR(VALUE(TRIM(MID(MID(Sync!$AE574,FIND("/",Sync!$AE574)+1,20),FIND("/",MID(Sync!$AE574,FIND("/",Sync!$AE574)+1,20))+1,20))),"")))</f>
        <v/>
      </c>
      <c r="J574" t="str">
        <f t="shared" si="42"/>
        <v/>
      </c>
      <c r="K574" t="str">
        <f>IF(OR($F574="",$J574="",$J574="نامعتبر"),"",LEFT($J574,4)&amp;MID($J574,6,2)&amp;RIGHT($J574,2)&amp;$N574&amp;"|"&amp;"2"&amp;RIGHT("00000"&amp;569,5))</f>
        <v/>
      </c>
      <c r="L574" t="str">
        <f t="shared" si="43"/>
        <v/>
      </c>
      <c r="M574" t="str">
        <f t="shared" si="44"/>
        <v/>
      </c>
      <c r="N574" t="str">
        <f>IF($F574="","",IF(Sync!$AF574="","0000",IF(AND(ISNUMBER(Sync!$AF574),Sync!$AF574&gt;=0,Sync!$AF574&lt;1),RIGHT("00"&amp;HOUR(Sync!$AF574),2)&amp;RIGHT("00"&amp;MINUTE(Sync!$AF574),2),IFERROR(RIGHT("00"&amp;VALUE(LEFT(Sync!$AF574,FIND(":",Sync!$AF574)-1)),2)&amp;RIGHT("00"&amp;VALUE(MID(Sync!$AF574,FIND(":",Sync!$AF574)+1,2)),2),"0000"))))</f>
        <v/>
      </c>
    </row>
    <row r="575" spans="1:14" x14ac:dyDescent="0.2">
      <c r="A575" t="str">
        <f>IF(OR(Calc!$E579="",Calc!$E579="نامعتبر",Calc!$G579=""),"",Calc!$G579)</f>
        <v/>
      </c>
      <c r="B575" t="str">
        <f>IF($A575="","",LEFT(Calc!$E579,4)&amp;MID(Calc!$E579,6,2)&amp;RIGHT(Calc!$E579,2)&amp;Calc!$Q579&amp;"|"&amp;"1"&amp;RIGHT("00000"&amp;570,5))</f>
        <v/>
      </c>
      <c r="C575" t="str">
        <f t="shared" si="40"/>
        <v/>
      </c>
      <c r="D575" t="str">
        <f t="shared" si="41"/>
        <v/>
      </c>
      <c r="F575" t="str">
        <f>IF(Sync!$AH575="","",IF(LEFT(UPPER(TRIM(Sync!$AH575)),2)="SL",UPPER(TRIM(Sync!$AH575)),""))</f>
        <v/>
      </c>
      <c r="G575" t="str">
        <f>IF($F575="","",IF(Sync!$AE575="","",IF(ISNUMBER(Sync!$AE575),IF(AND(Sync!$AE575&gt;=10000101,Sync!$AE575&lt;=99991231),INT(Sync!$AE575/10000),""),IFERROR(VALUE(TRIM(LEFT(Sync!$AE575,FIND("/",Sync!$AE575)-1))),""))))</f>
        <v/>
      </c>
      <c r="H575" t="str">
        <f>IF(OR($F575="",$G575=""),"",IF(ISNUMBER(Sync!$AE575),INT(MOD(Sync!$AE575,10000)/100),IFERROR(VALUE(TRIM(LEFT(MID(Sync!$AE575,FIND("/",Sync!$AE575)+1,20),FIND("/",MID(Sync!$AE575,FIND("/",Sync!$AE575)+1,20))-1))),"")))</f>
        <v/>
      </c>
      <c r="I575" t="str">
        <f>IF(OR($F575="",$G575=""),"",IF(ISNUMBER(Sync!$AE575),MOD(Sync!$AE575,100),IFERROR(VALUE(TRIM(MID(MID(Sync!$AE575,FIND("/",Sync!$AE575)+1,20),FIND("/",MID(Sync!$AE575,FIND("/",Sync!$AE575)+1,20))+1,20))),"")))</f>
        <v/>
      </c>
      <c r="J575" t="str">
        <f t="shared" si="42"/>
        <v/>
      </c>
      <c r="K575" t="str">
        <f>IF(OR($F575="",$J575="",$J575="نامعتبر"),"",LEFT($J575,4)&amp;MID($J575,6,2)&amp;RIGHT($J575,2)&amp;$N575&amp;"|"&amp;"2"&amp;RIGHT("00000"&amp;570,5))</f>
        <v/>
      </c>
      <c r="L575" t="str">
        <f t="shared" si="43"/>
        <v/>
      </c>
      <c r="M575" t="str">
        <f t="shared" si="44"/>
        <v/>
      </c>
      <c r="N575" t="str">
        <f>IF($F575="","",IF(Sync!$AF575="","0000",IF(AND(ISNUMBER(Sync!$AF575),Sync!$AF575&gt;=0,Sync!$AF575&lt;1),RIGHT("00"&amp;HOUR(Sync!$AF575),2)&amp;RIGHT("00"&amp;MINUTE(Sync!$AF575),2),IFERROR(RIGHT("00"&amp;VALUE(LEFT(Sync!$AF575,FIND(":",Sync!$AF575)-1)),2)&amp;RIGHT("00"&amp;VALUE(MID(Sync!$AF575,FIND(":",Sync!$AF575)+1,2)),2),"0000"))))</f>
        <v/>
      </c>
    </row>
    <row r="576" spans="1:14" x14ac:dyDescent="0.2">
      <c r="A576" t="str">
        <f>IF(OR(Calc!$E580="",Calc!$E580="نامعتبر",Calc!$G580=""),"",Calc!$G580)</f>
        <v/>
      </c>
      <c r="B576" t="str">
        <f>IF($A576="","",LEFT(Calc!$E580,4)&amp;MID(Calc!$E580,6,2)&amp;RIGHT(Calc!$E580,2)&amp;Calc!$Q580&amp;"|"&amp;"1"&amp;RIGHT("00000"&amp;571,5))</f>
        <v/>
      </c>
      <c r="C576" t="str">
        <f t="shared" si="40"/>
        <v/>
      </c>
      <c r="D576" t="str">
        <f t="shared" si="41"/>
        <v/>
      </c>
      <c r="F576" t="str">
        <f>IF(Sync!$AH576="","",IF(LEFT(UPPER(TRIM(Sync!$AH576)),2)="SL",UPPER(TRIM(Sync!$AH576)),""))</f>
        <v/>
      </c>
      <c r="G576" t="str">
        <f>IF($F576="","",IF(Sync!$AE576="","",IF(ISNUMBER(Sync!$AE576),IF(AND(Sync!$AE576&gt;=10000101,Sync!$AE576&lt;=99991231),INT(Sync!$AE576/10000),""),IFERROR(VALUE(TRIM(LEFT(Sync!$AE576,FIND("/",Sync!$AE576)-1))),""))))</f>
        <v/>
      </c>
      <c r="H576" t="str">
        <f>IF(OR($F576="",$G576=""),"",IF(ISNUMBER(Sync!$AE576),INT(MOD(Sync!$AE576,10000)/100),IFERROR(VALUE(TRIM(LEFT(MID(Sync!$AE576,FIND("/",Sync!$AE576)+1,20),FIND("/",MID(Sync!$AE576,FIND("/",Sync!$AE576)+1,20))-1))),"")))</f>
        <v/>
      </c>
      <c r="I576" t="str">
        <f>IF(OR($F576="",$G576=""),"",IF(ISNUMBER(Sync!$AE576),MOD(Sync!$AE576,100),IFERROR(VALUE(TRIM(MID(MID(Sync!$AE576,FIND("/",Sync!$AE576)+1,20),FIND("/",MID(Sync!$AE576,FIND("/",Sync!$AE576)+1,20))+1,20))),"")))</f>
        <v/>
      </c>
      <c r="J576" t="str">
        <f t="shared" si="42"/>
        <v/>
      </c>
      <c r="K576" t="str">
        <f>IF(OR($F576="",$J576="",$J576="نامعتبر"),"",LEFT($J576,4)&amp;MID($J576,6,2)&amp;RIGHT($J576,2)&amp;$N576&amp;"|"&amp;"2"&amp;RIGHT("00000"&amp;571,5))</f>
        <v/>
      </c>
      <c r="L576" t="str">
        <f t="shared" si="43"/>
        <v/>
      </c>
      <c r="M576" t="str">
        <f t="shared" si="44"/>
        <v/>
      </c>
      <c r="N576" t="str">
        <f>IF($F576="","",IF(Sync!$AF576="","0000",IF(AND(ISNUMBER(Sync!$AF576),Sync!$AF576&gt;=0,Sync!$AF576&lt;1),RIGHT("00"&amp;HOUR(Sync!$AF576),2)&amp;RIGHT("00"&amp;MINUTE(Sync!$AF576),2),IFERROR(RIGHT("00"&amp;VALUE(LEFT(Sync!$AF576,FIND(":",Sync!$AF576)-1)),2)&amp;RIGHT("00"&amp;VALUE(MID(Sync!$AF576,FIND(":",Sync!$AF576)+1,2)),2),"0000"))))</f>
        <v/>
      </c>
    </row>
    <row r="577" spans="1:14" x14ac:dyDescent="0.2">
      <c r="A577" t="str">
        <f>IF(OR(Calc!$E581="",Calc!$E581="نامعتبر",Calc!$G581=""),"",Calc!$G581)</f>
        <v/>
      </c>
      <c r="B577" t="str">
        <f>IF($A577="","",LEFT(Calc!$E581,4)&amp;MID(Calc!$E581,6,2)&amp;RIGHT(Calc!$E581,2)&amp;Calc!$Q581&amp;"|"&amp;"1"&amp;RIGHT("00000"&amp;572,5))</f>
        <v/>
      </c>
      <c r="C577" t="str">
        <f t="shared" si="40"/>
        <v/>
      </c>
      <c r="D577" t="str">
        <f t="shared" si="41"/>
        <v/>
      </c>
      <c r="F577" t="str">
        <f>IF(Sync!$AH577="","",IF(LEFT(UPPER(TRIM(Sync!$AH577)),2)="SL",UPPER(TRIM(Sync!$AH577)),""))</f>
        <v/>
      </c>
      <c r="G577" t="str">
        <f>IF($F577="","",IF(Sync!$AE577="","",IF(ISNUMBER(Sync!$AE577),IF(AND(Sync!$AE577&gt;=10000101,Sync!$AE577&lt;=99991231),INT(Sync!$AE577/10000),""),IFERROR(VALUE(TRIM(LEFT(Sync!$AE577,FIND("/",Sync!$AE577)-1))),""))))</f>
        <v/>
      </c>
      <c r="H577" t="str">
        <f>IF(OR($F577="",$G577=""),"",IF(ISNUMBER(Sync!$AE577),INT(MOD(Sync!$AE577,10000)/100),IFERROR(VALUE(TRIM(LEFT(MID(Sync!$AE577,FIND("/",Sync!$AE577)+1,20),FIND("/",MID(Sync!$AE577,FIND("/",Sync!$AE577)+1,20))-1))),"")))</f>
        <v/>
      </c>
      <c r="I577" t="str">
        <f>IF(OR($F577="",$G577=""),"",IF(ISNUMBER(Sync!$AE577),MOD(Sync!$AE577,100),IFERROR(VALUE(TRIM(MID(MID(Sync!$AE577,FIND("/",Sync!$AE577)+1,20),FIND("/",MID(Sync!$AE577,FIND("/",Sync!$AE577)+1,20))+1,20))),"")))</f>
        <v/>
      </c>
      <c r="J577" t="str">
        <f t="shared" si="42"/>
        <v/>
      </c>
      <c r="K577" t="str">
        <f>IF(OR($F577="",$J577="",$J577="نامعتبر"),"",LEFT($J577,4)&amp;MID($J577,6,2)&amp;RIGHT($J577,2)&amp;$N577&amp;"|"&amp;"2"&amp;RIGHT("00000"&amp;572,5))</f>
        <v/>
      </c>
      <c r="L577" t="str">
        <f t="shared" si="43"/>
        <v/>
      </c>
      <c r="M577" t="str">
        <f t="shared" si="44"/>
        <v/>
      </c>
      <c r="N577" t="str">
        <f>IF($F577="","",IF(Sync!$AF577="","0000",IF(AND(ISNUMBER(Sync!$AF577),Sync!$AF577&gt;=0,Sync!$AF577&lt;1),RIGHT("00"&amp;HOUR(Sync!$AF577),2)&amp;RIGHT("00"&amp;MINUTE(Sync!$AF577),2),IFERROR(RIGHT("00"&amp;VALUE(LEFT(Sync!$AF577,FIND(":",Sync!$AF577)-1)),2)&amp;RIGHT("00"&amp;VALUE(MID(Sync!$AF577,FIND(":",Sync!$AF577)+1,2)),2),"0000"))))</f>
        <v/>
      </c>
    </row>
    <row r="578" spans="1:14" x14ac:dyDescent="0.2">
      <c r="A578" t="str">
        <f>IF(OR(Calc!$E582="",Calc!$E582="نامعتبر",Calc!$G582=""),"",Calc!$G582)</f>
        <v/>
      </c>
      <c r="B578" t="str">
        <f>IF($A578="","",LEFT(Calc!$E582,4)&amp;MID(Calc!$E582,6,2)&amp;RIGHT(Calc!$E582,2)&amp;Calc!$Q582&amp;"|"&amp;"1"&amp;RIGHT("00000"&amp;573,5))</f>
        <v/>
      </c>
      <c r="C578" t="str">
        <f t="shared" si="40"/>
        <v/>
      </c>
      <c r="D578" t="str">
        <f t="shared" si="41"/>
        <v/>
      </c>
      <c r="F578" t="str">
        <f>IF(Sync!$AH578="","",IF(LEFT(UPPER(TRIM(Sync!$AH578)),2)="SL",UPPER(TRIM(Sync!$AH578)),""))</f>
        <v/>
      </c>
      <c r="G578" t="str">
        <f>IF($F578="","",IF(Sync!$AE578="","",IF(ISNUMBER(Sync!$AE578),IF(AND(Sync!$AE578&gt;=10000101,Sync!$AE578&lt;=99991231),INT(Sync!$AE578/10000),""),IFERROR(VALUE(TRIM(LEFT(Sync!$AE578,FIND("/",Sync!$AE578)-1))),""))))</f>
        <v/>
      </c>
      <c r="H578" t="str">
        <f>IF(OR($F578="",$G578=""),"",IF(ISNUMBER(Sync!$AE578),INT(MOD(Sync!$AE578,10000)/100),IFERROR(VALUE(TRIM(LEFT(MID(Sync!$AE578,FIND("/",Sync!$AE578)+1,20),FIND("/",MID(Sync!$AE578,FIND("/",Sync!$AE578)+1,20))-1))),"")))</f>
        <v/>
      </c>
      <c r="I578" t="str">
        <f>IF(OR($F578="",$G578=""),"",IF(ISNUMBER(Sync!$AE578),MOD(Sync!$AE578,100),IFERROR(VALUE(TRIM(MID(MID(Sync!$AE578,FIND("/",Sync!$AE578)+1,20),FIND("/",MID(Sync!$AE578,FIND("/",Sync!$AE578)+1,20))+1,20))),"")))</f>
        <v/>
      </c>
      <c r="J578" t="str">
        <f t="shared" si="42"/>
        <v/>
      </c>
      <c r="K578" t="str">
        <f>IF(OR($F578="",$J578="",$J578="نامعتبر"),"",LEFT($J578,4)&amp;MID($J578,6,2)&amp;RIGHT($J578,2)&amp;$N578&amp;"|"&amp;"2"&amp;RIGHT("00000"&amp;573,5))</f>
        <v/>
      </c>
      <c r="L578" t="str">
        <f t="shared" si="43"/>
        <v/>
      </c>
      <c r="M578" t="str">
        <f t="shared" si="44"/>
        <v/>
      </c>
      <c r="N578" t="str">
        <f>IF($F578="","",IF(Sync!$AF578="","0000",IF(AND(ISNUMBER(Sync!$AF578),Sync!$AF578&gt;=0,Sync!$AF578&lt;1),RIGHT("00"&amp;HOUR(Sync!$AF578),2)&amp;RIGHT("00"&amp;MINUTE(Sync!$AF578),2),IFERROR(RIGHT("00"&amp;VALUE(LEFT(Sync!$AF578,FIND(":",Sync!$AF578)-1)),2)&amp;RIGHT("00"&amp;VALUE(MID(Sync!$AF578,FIND(":",Sync!$AF578)+1,2)),2),"0000"))))</f>
        <v/>
      </c>
    </row>
    <row r="579" spans="1:14" x14ac:dyDescent="0.2">
      <c r="A579" t="str">
        <f>IF(OR(Calc!$E583="",Calc!$E583="نامعتبر",Calc!$G583=""),"",Calc!$G583)</f>
        <v/>
      </c>
      <c r="B579" t="str">
        <f>IF($A579="","",LEFT(Calc!$E583,4)&amp;MID(Calc!$E583,6,2)&amp;RIGHT(Calc!$E583,2)&amp;Calc!$Q583&amp;"|"&amp;"1"&amp;RIGHT("00000"&amp;574,5))</f>
        <v/>
      </c>
      <c r="C579" t="str">
        <f t="shared" si="40"/>
        <v/>
      </c>
      <c r="D579" t="str">
        <f t="shared" si="41"/>
        <v/>
      </c>
      <c r="F579" t="str">
        <f>IF(Sync!$AH579="","",IF(LEFT(UPPER(TRIM(Sync!$AH579)),2)="SL",UPPER(TRIM(Sync!$AH579)),""))</f>
        <v/>
      </c>
      <c r="G579" t="str">
        <f>IF($F579="","",IF(Sync!$AE579="","",IF(ISNUMBER(Sync!$AE579),IF(AND(Sync!$AE579&gt;=10000101,Sync!$AE579&lt;=99991231),INT(Sync!$AE579/10000),""),IFERROR(VALUE(TRIM(LEFT(Sync!$AE579,FIND("/",Sync!$AE579)-1))),""))))</f>
        <v/>
      </c>
      <c r="H579" t="str">
        <f>IF(OR($F579="",$G579=""),"",IF(ISNUMBER(Sync!$AE579),INT(MOD(Sync!$AE579,10000)/100),IFERROR(VALUE(TRIM(LEFT(MID(Sync!$AE579,FIND("/",Sync!$AE579)+1,20),FIND("/",MID(Sync!$AE579,FIND("/",Sync!$AE579)+1,20))-1))),"")))</f>
        <v/>
      </c>
      <c r="I579" t="str">
        <f>IF(OR($F579="",$G579=""),"",IF(ISNUMBER(Sync!$AE579),MOD(Sync!$AE579,100),IFERROR(VALUE(TRIM(MID(MID(Sync!$AE579,FIND("/",Sync!$AE579)+1,20),FIND("/",MID(Sync!$AE579,FIND("/",Sync!$AE579)+1,20))+1,20))),"")))</f>
        <v/>
      </c>
      <c r="J579" t="str">
        <f t="shared" si="42"/>
        <v/>
      </c>
      <c r="K579" t="str">
        <f>IF(OR($F579="",$J579="",$J579="نامعتبر"),"",LEFT($J579,4)&amp;MID($J579,6,2)&amp;RIGHT($J579,2)&amp;$N579&amp;"|"&amp;"2"&amp;RIGHT("00000"&amp;574,5))</f>
        <v/>
      </c>
      <c r="L579" t="str">
        <f t="shared" si="43"/>
        <v/>
      </c>
      <c r="M579" t="str">
        <f t="shared" si="44"/>
        <v/>
      </c>
      <c r="N579" t="str">
        <f>IF($F579="","",IF(Sync!$AF579="","0000",IF(AND(ISNUMBER(Sync!$AF579),Sync!$AF579&gt;=0,Sync!$AF579&lt;1),RIGHT("00"&amp;HOUR(Sync!$AF579),2)&amp;RIGHT("00"&amp;MINUTE(Sync!$AF579),2),IFERROR(RIGHT("00"&amp;VALUE(LEFT(Sync!$AF579,FIND(":",Sync!$AF579)-1)),2)&amp;RIGHT("00"&amp;VALUE(MID(Sync!$AF579,FIND(":",Sync!$AF579)+1,2)),2),"0000"))))</f>
        <v/>
      </c>
    </row>
    <row r="580" spans="1:14" x14ac:dyDescent="0.2">
      <c r="A580" t="str">
        <f>IF(OR(Calc!$E584="",Calc!$E584="نامعتبر",Calc!$G584=""),"",Calc!$G584)</f>
        <v/>
      </c>
      <c r="B580" t="str">
        <f>IF($A580="","",LEFT(Calc!$E584,4)&amp;MID(Calc!$E584,6,2)&amp;RIGHT(Calc!$E584,2)&amp;Calc!$Q584&amp;"|"&amp;"1"&amp;RIGHT("00000"&amp;575,5))</f>
        <v/>
      </c>
      <c r="C580" t="str">
        <f t="shared" si="40"/>
        <v/>
      </c>
      <c r="D580" t="str">
        <f t="shared" si="41"/>
        <v/>
      </c>
      <c r="F580" t="str">
        <f>IF(Sync!$AH580="","",IF(LEFT(UPPER(TRIM(Sync!$AH580)),2)="SL",UPPER(TRIM(Sync!$AH580)),""))</f>
        <v/>
      </c>
      <c r="G580" t="str">
        <f>IF($F580="","",IF(Sync!$AE580="","",IF(ISNUMBER(Sync!$AE580),IF(AND(Sync!$AE580&gt;=10000101,Sync!$AE580&lt;=99991231),INT(Sync!$AE580/10000),""),IFERROR(VALUE(TRIM(LEFT(Sync!$AE580,FIND("/",Sync!$AE580)-1))),""))))</f>
        <v/>
      </c>
      <c r="H580" t="str">
        <f>IF(OR($F580="",$G580=""),"",IF(ISNUMBER(Sync!$AE580),INT(MOD(Sync!$AE580,10000)/100),IFERROR(VALUE(TRIM(LEFT(MID(Sync!$AE580,FIND("/",Sync!$AE580)+1,20),FIND("/",MID(Sync!$AE580,FIND("/",Sync!$AE580)+1,20))-1))),"")))</f>
        <v/>
      </c>
      <c r="I580" t="str">
        <f>IF(OR($F580="",$G580=""),"",IF(ISNUMBER(Sync!$AE580),MOD(Sync!$AE580,100),IFERROR(VALUE(TRIM(MID(MID(Sync!$AE580,FIND("/",Sync!$AE580)+1,20),FIND("/",MID(Sync!$AE580,FIND("/",Sync!$AE580)+1,20))+1,20))),"")))</f>
        <v/>
      </c>
      <c r="J580" t="str">
        <f t="shared" si="42"/>
        <v/>
      </c>
      <c r="K580" t="str">
        <f>IF(OR($F580="",$J580="",$J580="نامعتبر"),"",LEFT($J580,4)&amp;MID($J580,6,2)&amp;RIGHT($J580,2)&amp;$N580&amp;"|"&amp;"2"&amp;RIGHT("00000"&amp;575,5))</f>
        <v/>
      </c>
      <c r="L580" t="str">
        <f t="shared" si="43"/>
        <v/>
      </c>
      <c r="M580" t="str">
        <f t="shared" si="44"/>
        <v/>
      </c>
      <c r="N580" t="str">
        <f>IF($F580="","",IF(Sync!$AF580="","0000",IF(AND(ISNUMBER(Sync!$AF580),Sync!$AF580&gt;=0,Sync!$AF580&lt;1),RIGHT("00"&amp;HOUR(Sync!$AF580),2)&amp;RIGHT("00"&amp;MINUTE(Sync!$AF580),2),IFERROR(RIGHT("00"&amp;VALUE(LEFT(Sync!$AF580,FIND(":",Sync!$AF580)-1)),2)&amp;RIGHT("00"&amp;VALUE(MID(Sync!$AF580,FIND(":",Sync!$AF580)+1,2)),2),"0000"))))</f>
        <v/>
      </c>
    </row>
    <row r="581" spans="1:14" x14ac:dyDescent="0.2">
      <c r="A581" t="str">
        <f>IF(OR(Calc!$E585="",Calc!$E585="نامعتبر",Calc!$G585=""),"",Calc!$G585)</f>
        <v/>
      </c>
      <c r="B581" t="str">
        <f>IF($A581="","",LEFT(Calc!$E585,4)&amp;MID(Calc!$E585,6,2)&amp;RIGHT(Calc!$E585,2)&amp;Calc!$Q585&amp;"|"&amp;"1"&amp;RIGHT("00000"&amp;576,5))</f>
        <v/>
      </c>
      <c r="C581" t="str">
        <f t="shared" si="40"/>
        <v/>
      </c>
      <c r="D581" t="str">
        <f t="shared" si="41"/>
        <v/>
      </c>
      <c r="F581" t="str">
        <f>IF(Sync!$AH581="","",IF(LEFT(UPPER(TRIM(Sync!$AH581)),2)="SL",UPPER(TRIM(Sync!$AH581)),""))</f>
        <v/>
      </c>
      <c r="G581" t="str">
        <f>IF($F581="","",IF(Sync!$AE581="","",IF(ISNUMBER(Sync!$AE581),IF(AND(Sync!$AE581&gt;=10000101,Sync!$AE581&lt;=99991231),INT(Sync!$AE581/10000),""),IFERROR(VALUE(TRIM(LEFT(Sync!$AE581,FIND("/",Sync!$AE581)-1))),""))))</f>
        <v/>
      </c>
      <c r="H581" t="str">
        <f>IF(OR($F581="",$G581=""),"",IF(ISNUMBER(Sync!$AE581),INT(MOD(Sync!$AE581,10000)/100),IFERROR(VALUE(TRIM(LEFT(MID(Sync!$AE581,FIND("/",Sync!$AE581)+1,20),FIND("/",MID(Sync!$AE581,FIND("/",Sync!$AE581)+1,20))-1))),"")))</f>
        <v/>
      </c>
      <c r="I581" t="str">
        <f>IF(OR($F581="",$G581=""),"",IF(ISNUMBER(Sync!$AE581),MOD(Sync!$AE581,100),IFERROR(VALUE(TRIM(MID(MID(Sync!$AE581,FIND("/",Sync!$AE581)+1,20),FIND("/",MID(Sync!$AE581,FIND("/",Sync!$AE581)+1,20))+1,20))),"")))</f>
        <v/>
      </c>
      <c r="J581" t="str">
        <f t="shared" si="42"/>
        <v/>
      </c>
      <c r="K581" t="str">
        <f>IF(OR($F581="",$J581="",$J581="نامعتبر"),"",LEFT($J581,4)&amp;MID($J581,6,2)&amp;RIGHT($J581,2)&amp;$N581&amp;"|"&amp;"2"&amp;RIGHT("00000"&amp;576,5))</f>
        <v/>
      </c>
      <c r="L581" t="str">
        <f t="shared" si="43"/>
        <v/>
      </c>
      <c r="M581" t="str">
        <f t="shared" si="44"/>
        <v/>
      </c>
      <c r="N581" t="str">
        <f>IF($F581="","",IF(Sync!$AF581="","0000",IF(AND(ISNUMBER(Sync!$AF581),Sync!$AF581&gt;=0,Sync!$AF581&lt;1),RIGHT("00"&amp;HOUR(Sync!$AF581),2)&amp;RIGHT("00"&amp;MINUTE(Sync!$AF581),2),IFERROR(RIGHT("00"&amp;VALUE(LEFT(Sync!$AF581,FIND(":",Sync!$AF581)-1)),2)&amp;RIGHT("00"&amp;VALUE(MID(Sync!$AF581,FIND(":",Sync!$AF581)+1,2)),2),"0000"))))</f>
        <v/>
      </c>
    </row>
    <row r="582" spans="1:14" x14ac:dyDescent="0.2">
      <c r="A582" t="str">
        <f>IF(OR(Calc!$E586="",Calc!$E586="نامعتبر",Calc!$G586=""),"",Calc!$G586)</f>
        <v/>
      </c>
      <c r="B582" t="str">
        <f>IF($A582="","",LEFT(Calc!$E586,4)&amp;MID(Calc!$E586,6,2)&amp;RIGHT(Calc!$E586,2)&amp;Calc!$Q586&amp;"|"&amp;"1"&amp;RIGHT("00000"&amp;577,5))</f>
        <v/>
      </c>
      <c r="C582" t="str">
        <f t="shared" ref="C582:C645" si="45">IF($B582="","",COUNTIFS(LdgSellerA,$A582,LdgKeyA,"&lt;"&amp;$B582)+COUNTIFS(LdgSellerB,$A582,LdgKeyB,"&lt;"&amp;$B582)+1)</f>
        <v/>
      </c>
      <c r="D582" t="str">
        <f t="shared" ref="D582:D645" si="46">IF($C582="","",$A582&amp;"|"&amp;RIGHT("000000"&amp;$C582,6))</f>
        <v/>
      </c>
      <c r="F582" t="str">
        <f>IF(Sync!$AH582="","",IF(LEFT(UPPER(TRIM(Sync!$AH582)),2)="SL",UPPER(TRIM(Sync!$AH582)),""))</f>
        <v/>
      </c>
      <c r="G582" t="str">
        <f>IF($F582="","",IF(Sync!$AE582="","",IF(ISNUMBER(Sync!$AE582),IF(AND(Sync!$AE582&gt;=10000101,Sync!$AE582&lt;=99991231),INT(Sync!$AE582/10000),""),IFERROR(VALUE(TRIM(LEFT(Sync!$AE582,FIND("/",Sync!$AE582)-1))),""))))</f>
        <v/>
      </c>
      <c r="H582" t="str">
        <f>IF(OR($F582="",$G582=""),"",IF(ISNUMBER(Sync!$AE582),INT(MOD(Sync!$AE582,10000)/100),IFERROR(VALUE(TRIM(LEFT(MID(Sync!$AE582,FIND("/",Sync!$AE582)+1,20),FIND("/",MID(Sync!$AE582,FIND("/",Sync!$AE582)+1,20))-1))),"")))</f>
        <v/>
      </c>
      <c r="I582" t="str">
        <f>IF(OR($F582="",$G582=""),"",IF(ISNUMBER(Sync!$AE582),MOD(Sync!$AE582,100),IFERROR(VALUE(TRIM(MID(MID(Sync!$AE582,FIND("/",Sync!$AE582)+1,20),FIND("/",MID(Sync!$AE582,FIND("/",Sync!$AE582)+1,20))+1,20))),"")))</f>
        <v/>
      </c>
      <c r="J582" t="str">
        <f t="shared" ref="J582:J645" si="47">IF($F582="","",IF(OR($G582="",$H582="",$I582="",$G582&lt;1300,$G582&gt;1500,$H582&lt;1,$H582&gt;12,$I582&lt;1,$I582&gt;31),"نامعتبر",RIGHT("0000"&amp;$G582,4)&amp;"/"&amp;RIGHT("00"&amp;$H582,2)&amp;"/"&amp;RIGHT("00"&amp;$I582,2)))</f>
        <v/>
      </c>
      <c r="K582" t="str">
        <f>IF(OR($F582="",$J582="",$J582="نامعتبر"),"",LEFT($J582,4)&amp;MID($J582,6,2)&amp;RIGHT($J582,2)&amp;$N582&amp;"|"&amp;"2"&amp;RIGHT("00000"&amp;577,5))</f>
        <v/>
      </c>
      <c r="L582" t="str">
        <f t="shared" ref="L582:L645" si="48">IF($K582="","",COUNTIFS(LdgSellerA,$F582,LdgKeyA,"&lt;"&amp;$K582)+COUNTIFS(LdgSellerB,$F582,LdgKeyB,"&lt;"&amp;$K582)+1)</f>
        <v/>
      </c>
      <c r="M582" t="str">
        <f t="shared" ref="M582:M645" si="49">IF($L582="","",$F582&amp;"|"&amp;RIGHT("000000"&amp;$L582,6))</f>
        <v/>
      </c>
      <c r="N582" t="str">
        <f>IF($F582="","",IF(Sync!$AF582="","0000",IF(AND(ISNUMBER(Sync!$AF582),Sync!$AF582&gt;=0,Sync!$AF582&lt;1),RIGHT("00"&amp;HOUR(Sync!$AF582),2)&amp;RIGHT("00"&amp;MINUTE(Sync!$AF582),2),IFERROR(RIGHT("00"&amp;VALUE(LEFT(Sync!$AF582,FIND(":",Sync!$AF582)-1)),2)&amp;RIGHT("00"&amp;VALUE(MID(Sync!$AF582,FIND(":",Sync!$AF582)+1,2)),2),"0000"))))</f>
        <v/>
      </c>
    </row>
    <row r="583" spans="1:14" x14ac:dyDescent="0.2">
      <c r="A583" t="str">
        <f>IF(OR(Calc!$E587="",Calc!$E587="نامعتبر",Calc!$G587=""),"",Calc!$G587)</f>
        <v/>
      </c>
      <c r="B583" t="str">
        <f>IF($A583="","",LEFT(Calc!$E587,4)&amp;MID(Calc!$E587,6,2)&amp;RIGHT(Calc!$E587,2)&amp;Calc!$Q587&amp;"|"&amp;"1"&amp;RIGHT("00000"&amp;578,5))</f>
        <v/>
      </c>
      <c r="C583" t="str">
        <f t="shared" si="45"/>
        <v/>
      </c>
      <c r="D583" t="str">
        <f t="shared" si="46"/>
        <v/>
      </c>
      <c r="F583" t="str">
        <f>IF(Sync!$AH583="","",IF(LEFT(UPPER(TRIM(Sync!$AH583)),2)="SL",UPPER(TRIM(Sync!$AH583)),""))</f>
        <v/>
      </c>
      <c r="G583" t="str">
        <f>IF($F583="","",IF(Sync!$AE583="","",IF(ISNUMBER(Sync!$AE583),IF(AND(Sync!$AE583&gt;=10000101,Sync!$AE583&lt;=99991231),INT(Sync!$AE583/10000),""),IFERROR(VALUE(TRIM(LEFT(Sync!$AE583,FIND("/",Sync!$AE583)-1))),""))))</f>
        <v/>
      </c>
      <c r="H583" t="str">
        <f>IF(OR($F583="",$G583=""),"",IF(ISNUMBER(Sync!$AE583),INT(MOD(Sync!$AE583,10000)/100),IFERROR(VALUE(TRIM(LEFT(MID(Sync!$AE583,FIND("/",Sync!$AE583)+1,20),FIND("/",MID(Sync!$AE583,FIND("/",Sync!$AE583)+1,20))-1))),"")))</f>
        <v/>
      </c>
      <c r="I583" t="str">
        <f>IF(OR($F583="",$G583=""),"",IF(ISNUMBER(Sync!$AE583),MOD(Sync!$AE583,100),IFERROR(VALUE(TRIM(MID(MID(Sync!$AE583,FIND("/",Sync!$AE583)+1,20),FIND("/",MID(Sync!$AE583,FIND("/",Sync!$AE583)+1,20))+1,20))),"")))</f>
        <v/>
      </c>
      <c r="J583" t="str">
        <f t="shared" si="47"/>
        <v/>
      </c>
      <c r="K583" t="str">
        <f>IF(OR($F583="",$J583="",$J583="نامعتبر"),"",LEFT($J583,4)&amp;MID($J583,6,2)&amp;RIGHT($J583,2)&amp;$N583&amp;"|"&amp;"2"&amp;RIGHT("00000"&amp;578,5))</f>
        <v/>
      </c>
      <c r="L583" t="str">
        <f t="shared" si="48"/>
        <v/>
      </c>
      <c r="M583" t="str">
        <f t="shared" si="49"/>
        <v/>
      </c>
      <c r="N583" t="str">
        <f>IF($F583="","",IF(Sync!$AF583="","0000",IF(AND(ISNUMBER(Sync!$AF583),Sync!$AF583&gt;=0,Sync!$AF583&lt;1),RIGHT("00"&amp;HOUR(Sync!$AF583),2)&amp;RIGHT("00"&amp;MINUTE(Sync!$AF583),2),IFERROR(RIGHT("00"&amp;VALUE(LEFT(Sync!$AF583,FIND(":",Sync!$AF583)-1)),2)&amp;RIGHT("00"&amp;VALUE(MID(Sync!$AF583,FIND(":",Sync!$AF583)+1,2)),2),"0000"))))</f>
        <v/>
      </c>
    </row>
    <row r="584" spans="1:14" x14ac:dyDescent="0.2">
      <c r="A584" t="str">
        <f>IF(OR(Calc!$E588="",Calc!$E588="نامعتبر",Calc!$G588=""),"",Calc!$G588)</f>
        <v/>
      </c>
      <c r="B584" t="str">
        <f>IF($A584="","",LEFT(Calc!$E588,4)&amp;MID(Calc!$E588,6,2)&amp;RIGHT(Calc!$E588,2)&amp;Calc!$Q588&amp;"|"&amp;"1"&amp;RIGHT("00000"&amp;579,5))</f>
        <v/>
      </c>
      <c r="C584" t="str">
        <f t="shared" si="45"/>
        <v/>
      </c>
      <c r="D584" t="str">
        <f t="shared" si="46"/>
        <v/>
      </c>
      <c r="F584" t="str">
        <f>IF(Sync!$AH584="","",IF(LEFT(UPPER(TRIM(Sync!$AH584)),2)="SL",UPPER(TRIM(Sync!$AH584)),""))</f>
        <v/>
      </c>
      <c r="G584" t="str">
        <f>IF($F584="","",IF(Sync!$AE584="","",IF(ISNUMBER(Sync!$AE584),IF(AND(Sync!$AE584&gt;=10000101,Sync!$AE584&lt;=99991231),INT(Sync!$AE584/10000),""),IFERROR(VALUE(TRIM(LEFT(Sync!$AE584,FIND("/",Sync!$AE584)-1))),""))))</f>
        <v/>
      </c>
      <c r="H584" t="str">
        <f>IF(OR($F584="",$G584=""),"",IF(ISNUMBER(Sync!$AE584),INT(MOD(Sync!$AE584,10000)/100),IFERROR(VALUE(TRIM(LEFT(MID(Sync!$AE584,FIND("/",Sync!$AE584)+1,20),FIND("/",MID(Sync!$AE584,FIND("/",Sync!$AE584)+1,20))-1))),"")))</f>
        <v/>
      </c>
      <c r="I584" t="str">
        <f>IF(OR($F584="",$G584=""),"",IF(ISNUMBER(Sync!$AE584),MOD(Sync!$AE584,100),IFERROR(VALUE(TRIM(MID(MID(Sync!$AE584,FIND("/",Sync!$AE584)+1,20),FIND("/",MID(Sync!$AE584,FIND("/",Sync!$AE584)+1,20))+1,20))),"")))</f>
        <v/>
      </c>
      <c r="J584" t="str">
        <f t="shared" si="47"/>
        <v/>
      </c>
      <c r="K584" t="str">
        <f>IF(OR($F584="",$J584="",$J584="نامعتبر"),"",LEFT($J584,4)&amp;MID($J584,6,2)&amp;RIGHT($J584,2)&amp;$N584&amp;"|"&amp;"2"&amp;RIGHT("00000"&amp;579,5))</f>
        <v/>
      </c>
      <c r="L584" t="str">
        <f t="shared" si="48"/>
        <v/>
      </c>
      <c r="M584" t="str">
        <f t="shared" si="49"/>
        <v/>
      </c>
      <c r="N584" t="str">
        <f>IF($F584="","",IF(Sync!$AF584="","0000",IF(AND(ISNUMBER(Sync!$AF584),Sync!$AF584&gt;=0,Sync!$AF584&lt;1),RIGHT("00"&amp;HOUR(Sync!$AF584),2)&amp;RIGHT("00"&amp;MINUTE(Sync!$AF584),2),IFERROR(RIGHT("00"&amp;VALUE(LEFT(Sync!$AF584,FIND(":",Sync!$AF584)-1)),2)&amp;RIGHT("00"&amp;VALUE(MID(Sync!$AF584,FIND(":",Sync!$AF584)+1,2)),2),"0000"))))</f>
        <v/>
      </c>
    </row>
    <row r="585" spans="1:14" x14ac:dyDescent="0.2">
      <c r="A585" t="str">
        <f>IF(OR(Calc!$E589="",Calc!$E589="نامعتبر",Calc!$G589=""),"",Calc!$G589)</f>
        <v/>
      </c>
      <c r="B585" t="str">
        <f>IF($A585="","",LEFT(Calc!$E589,4)&amp;MID(Calc!$E589,6,2)&amp;RIGHT(Calc!$E589,2)&amp;Calc!$Q589&amp;"|"&amp;"1"&amp;RIGHT("00000"&amp;580,5))</f>
        <v/>
      </c>
      <c r="C585" t="str">
        <f t="shared" si="45"/>
        <v/>
      </c>
      <c r="D585" t="str">
        <f t="shared" si="46"/>
        <v/>
      </c>
      <c r="F585" t="str">
        <f>IF(Sync!$AH585="","",IF(LEFT(UPPER(TRIM(Sync!$AH585)),2)="SL",UPPER(TRIM(Sync!$AH585)),""))</f>
        <v/>
      </c>
      <c r="G585" t="str">
        <f>IF($F585="","",IF(Sync!$AE585="","",IF(ISNUMBER(Sync!$AE585),IF(AND(Sync!$AE585&gt;=10000101,Sync!$AE585&lt;=99991231),INT(Sync!$AE585/10000),""),IFERROR(VALUE(TRIM(LEFT(Sync!$AE585,FIND("/",Sync!$AE585)-1))),""))))</f>
        <v/>
      </c>
      <c r="H585" t="str">
        <f>IF(OR($F585="",$G585=""),"",IF(ISNUMBER(Sync!$AE585),INT(MOD(Sync!$AE585,10000)/100),IFERROR(VALUE(TRIM(LEFT(MID(Sync!$AE585,FIND("/",Sync!$AE585)+1,20),FIND("/",MID(Sync!$AE585,FIND("/",Sync!$AE585)+1,20))-1))),"")))</f>
        <v/>
      </c>
      <c r="I585" t="str">
        <f>IF(OR($F585="",$G585=""),"",IF(ISNUMBER(Sync!$AE585),MOD(Sync!$AE585,100),IFERROR(VALUE(TRIM(MID(MID(Sync!$AE585,FIND("/",Sync!$AE585)+1,20),FIND("/",MID(Sync!$AE585,FIND("/",Sync!$AE585)+1,20))+1,20))),"")))</f>
        <v/>
      </c>
      <c r="J585" t="str">
        <f t="shared" si="47"/>
        <v/>
      </c>
      <c r="K585" t="str">
        <f>IF(OR($F585="",$J585="",$J585="نامعتبر"),"",LEFT($J585,4)&amp;MID($J585,6,2)&amp;RIGHT($J585,2)&amp;$N585&amp;"|"&amp;"2"&amp;RIGHT("00000"&amp;580,5))</f>
        <v/>
      </c>
      <c r="L585" t="str">
        <f t="shared" si="48"/>
        <v/>
      </c>
      <c r="M585" t="str">
        <f t="shared" si="49"/>
        <v/>
      </c>
      <c r="N585" t="str">
        <f>IF($F585="","",IF(Sync!$AF585="","0000",IF(AND(ISNUMBER(Sync!$AF585),Sync!$AF585&gt;=0,Sync!$AF585&lt;1),RIGHT("00"&amp;HOUR(Sync!$AF585),2)&amp;RIGHT("00"&amp;MINUTE(Sync!$AF585),2),IFERROR(RIGHT("00"&amp;VALUE(LEFT(Sync!$AF585,FIND(":",Sync!$AF585)-1)),2)&amp;RIGHT("00"&amp;VALUE(MID(Sync!$AF585,FIND(":",Sync!$AF585)+1,2)),2),"0000"))))</f>
        <v/>
      </c>
    </row>
    <row r="586" spans="1:14" x14ac:dyDescent="0.2">
      <c r="A586" t="str">
        <f>IF(OR(Calc!$E590="",Calc!$E590="نامعتبر",Calc!$G590=""),"",Calc!$G590)</f>
        <v/>
      </c>
      <c r="B586" t="str">
        <f>IF($A586="","",LEFT(Calc!$E590,4)&amp;MID(Calc!$E590,6,2)&amp;RIGHT(Calc!$E590,2)&amp;Calc!$Q590&amp;"|"&amp;"1"&amp;RIGHT("00000"&amp;581,5))</f>
        <v/>
      </c>
      <c r="C586" t="str">
        <f t="shared" si="45"/>
        <v/>
      </c>
      <c r="D586" t="str">
        <f t="shared" si="46"/>
        <v/>
      </c>
      <c r="F586" t="str">
        <f>IF(Sync!$AH586="","",IF(LEFT(UPPER(TRIM(Sync!$AH586)),2)="SL",UPPER(TRIM(Sync!$AH586)),""))</f>
        <v/>
      </c>
      <c r="G586" t="str">
        <f>IF($F586="","",IF(Sync!$AE586="","",IF(ISNUMBER(Sync!$AE586),IF(AND(Sync!$AE586&gt;=10000101,Sync!$AE586&lt;=99991231),INT(Sync!$AE586/10000),""),IFERROR(VALUE(TRIM(LEFT(Sync!$AE586,FIND("/",Sync!$AE586)-1))),""))))</f>
        <v/>
      </c>
      <c r="H586" t="str">
        <f>IF(OR($F586="",$G586=""),"",IF(ISNUMBER(Sync!$AE586),INT(MOD(Sync!$AE586,10000)/100),IFERROR(VALUE(TRIM(LEFT(MID(Sync!$AE586,FIND("/",Sync!$AE586)+1,20),FIND("/",MID(Sync!$AE586,FIND("/",Sync!$AE586)+1,20))-1))),"")))</f>
        <v/>
      </c>
      <c r="I586" t="str">
        <f>IF(OR($F586="",$G586=""),"",IF(ISNUMBER(Sync!$AE586),MOD(Sync!$AE586,100),IFERROR(VALUE(TRIM(MID(MID(Sync!$AE586,FIND("/",Sync!$AE586)+1,20),FIND("/",MID(Sync!$AE586,FIND("/",Sync!$AE586)+1,20))+1,20))),"")))</f>
        <v/>
      </c>
      <c r="J586" t="str">
        <f t="shared" si="47"/>
        <v/>
      </c>
      <c r="K586" t="str">
        <f>IF(OR($F586="",$J586="",$J586="نامعتبر"),"",LEFT($J586,4)&amp;MID($J586,6,2)&amp;RIGHT($J586,2)&amp;$N586&amp;"|"&amp;"2"&amp;RIGHT("00000"&amp;581,5))</f>
        <v/>
      </c>
      <c r="L586" t="str">
        <f t="shared" si="48"/>
        <v/>
      </c>
      <c r="M586" t="str">
        <f t="shared" si="49"/>
        <v/>
      </c>
      <c r="N586" t="str">
        <f>IF($F586="","",IF(Sync!$AF586="","0000",IF(AND(ISNUMBER(Sync!$AF586),Sync!$AF586&gt;=0,Sync!$AF586&lt;1),RIGHT("00"&amp;HOUR(Sync!$AF586),2)&amp;RIGHT("00"&amp;MINUTE(Sync!$AF586),2),IFERROR(RIGHT("00"&amp;VALUE(LEFT(Sync!$AF586,FIND(":",Sync!$AF586)-1)),2)&amp;RIGHT("00"&amp;VALUE(MID(Sync!$AF586,FIND(":",Sync!$AF586)+1,2)),2),"0000"))))</f>
        <v/>
      </c>
    </row>
    <row r="587" spans="1:14" x14ac:dyDescent="0.2">
      <c r="A587" t="str">
        <f>IF(OR(Calc!$E591="",Calc!$E591="نامعتبر",Calc!$G591=""),"",Calc!$G591)</f>
        <v/>
      </c>
      <c r="B587" t="str">
        <f>IF($A587="","",LEFT(Calc!$E591,4)&amp;MID(Calc!$E591,6,2)&amp;RIGHT(Calc!$E591,2)&amp;Calc!$Q591&amp;"|"&amp;"1"&amp;RIGHT("00000"&amp;582,5))</f>
        <v/>
      </c>
      <c r="C587" t="str">
        <f t="shared" si="45"/>
        <v/>
      </c>
      <c r="D587" t="str">
        <f t="shared" si="46"/>
        <v/>
      </c>
      <c r="F587" t="str">
        <f>IF(Sync!$AH587="","",IF(LEFT(UPPER(TRIM(Sync!$AH587)),2)="SL",UPPER(TRIM(Sync!$AH587)),""))</f>
        <v/>
      </c>
      <c r="G587" t="str">
        <f>IF($F587="","",IF(Sync!$AE587="","",IF(ISNUMBER(Sync!$AE587),IF(AND(Sync!$AE587&gt;=10000101,Sync!$AE587&lt;=99991231),INT(Sync!$AE587/10000),""),IFERROR(VALUE(TRIM(LEFT(Sync!$AE587,FIND("/",Sync!$AE587)-1))),""))))</f>
        <v/>
      </c>
      <c r="H587" t="str">
        <f>IF(OR($F587="",$G587=""),"",IF(ISNUMBER(Sync!$AE587),INT(MOD(Sync!$AE587,10000)/100),IFERROR(VALUE(TRIM(LEFT(MID(Sync!$AE587,FIND("/",Sync!$AE587)+1,20),FIND("/",MID(Sync!$AE587,FIND("/",Sync!$AE587)+1,20))-1))),"")))</f>
        <v/>
      </c>
      <c r="I587" t="str">
        <f>IF(OR($F587="",$G587=""),"",IF(ISNUMBER(Sync!$AE587),MOD(Sync!$AE587,100),IFERROR(VALUE(TRIM(MID(MID(Sync!$AE587,FIND("/",Sync!$AE587)+1,20),FIND("/",MID(Sync!$AE587,FIND("/",Sync!$AE587)+1,20))+1,20))),"")))</f>
        <v/>
      </c>
      <c r="J587" t="str">
        <f t="shared" si="47"/>
        <v/>
      </c>
      <c r="K587" t="str">
        <f>IF(OR($F587="",$J587="",$J587="نامعتبر"),"",LEFT($J587,4)&amp;MID($J587,6,2)&amp;RIGHT($J587,2)&amp;$N587&amp;"|"&amp;"2"&amp;RIGHT("00000"&amp;582,5))</f>
        <v/>
      </c>
      <c r="L587" t="str">
        <f t="shared" si="48"/>
        <v/>
      </c>
      <c r="M587" t="str">
        <f t="shared" si="49"/>
        <v/>
      </c>
      <c r="N587" t="str">
        <f>IF($F587="","",IF(Sync!$AF587="","0000",IF(AND(ISNUMBER(Sync!$AF587),Sync!$AF587&gt;=0,Sync!$AF587&lt;1),RIGHT("00"&amp;HOUR(Sync!$AF587),2)&amp;RIGHT("00"&amp;MINUTE(Sync!$AF587),2),IFERROR(RIGHT("00"&amp;VALUE(LEFT(Sync!$AF587,FIND(":",Sync!$AF587)-1)),2)&amp;RIGHT("00"&amp;VALUE(MID(Sync!$AF587,FIND(":",Sync!$AF587)+1,2)),2),"0000"))))</f>
        <v/>
      </c>
    </row>
    <row r="588" spans="1:14" x14ac:dyDescent="0.2">
      <c r="A588" t="str">
        <f>IF(OR(Calc!$E592="",Calc!$E592="نامعتبر",Calc!$G592=""),"",Calc!$G592)</f>
        <v/>
      </c>
      <c r="B588" t="str">
        <f>IF($A588="","",LEFT(Calc!$E592,4)&amp;MID(Calc!$E592,6,2)&amp;RIGHT(Calc!$E592,2)&amp;Calc!$Q592&amp;"|"&amp;"1"&amp;RIGHT("00000"&amp;583,5))</f>
        <v/>
      </c>
      <c r="C588" t="str">
        <f t="shared" si="45"/>
        <v/>
      </c>
      <c r="D588" t="str">
        <f t="shared" si="46"/>
        <v/>
      </c>
      <c r="F588" t="str">
        <f>IF(Sync!$AH588="","",IF(LEFT(UPPER(TRIM(Sync!$AH588)),2)="SL",UPPER(TRIM(Sync!$AH588)),""))</f>
        <v/>
      </c>
      <c r="G588" t="str">
        <f>IF($F588="","",IF(Sync!$AE588="","",IF(ISNUMBER(Sync!$AE588),IF(AND(Sync!$AE588&gt;=10000101,Sync!$AE588&lt;=99991231),INT(Sync!$AE588/10000),""),IFERROR(VALUE(TRIM(LEFT(Sync!$AE588,FIND("/",Sync!$AE588)-1))),""))))</f>
        <v/>
      </c>
      <c r="H588" t="str">
        <f>IF(OR($F588="",$G588=""),"",IF(ISNUMBER(Sync!$AE588),INT(MOD(Sync!$AE588,10000)/100),IFERROR(VALUE(TRIM(LEFT(MID(Sync!$AE588,FIND("/",Sync!$AE588)+1,20),FIND("/",MID(Sync!$AE588,FIND("/",Sync!$AE588)+1,20))-1))),"")))</f>
        <v/>
      </c>
      <c r="I588" t="str">
        <f>IF(OR($F588="",$G588=""),"",IF(ISNUMBER(Sync!$AE588),MOD(Sync!$AE588,100),IFERROR(VALUE(TRIM(MID(MID(Sync!$AE588,FIND("/",Sync!$AE588)+1,20),FIND("/",MID(Sync!$AE588,FIND("/",Sync!$AE588)+1,20))+1,20))),"")))</f>
        <v/>
      </c>
      <c r="J588" t="str">
        <f t="shared" si="47"/>
        <v/>
      </c>
      <c r="K588" t="str">
        <f>IF(OR($F588="",$J588="",$J588="نامعتبر"),"",LEFT($J588,4)&amp;MID($J588,6,2)&amp;RIGHT($J588,2)&amp;$N588&amp;"|"&amp;"2"&amp;RIGHT("00000"&amp;583,5))</f>
        <v/>
      </c>
      <c r="L588" t="str">
        <f t="shared" si="48"/>
        <v/>
      </c>
      <c r="M588" t="str">
        <f t="shared" si="49"/>
        <v/>
      </c>
      <c r="N588" t="str">
        <f>IF($F588="","",IF(Sync!$AF588="","0000",IF(AND(ISNUMBER(Sync!$AF588),Sync!$AF588&gt;=0,Sync!$AF588&lt;1),RIGHT("00"&amp;HOUR(Sync!$AF588),2)&amp;RIGHT("00"&amp;MINUTE(Sync!$AF588),2),IFERROR(RIGHT("00"&amp;VALUE(LEFT(Sync!$AF588,FIND(":",Sync!$AF588)-1)),2)&amp;RIGHT("00"&amp;VALUE(MID(Sync!$AF588,FIND(":",Sync!$AF588)+1,2)),2),"0000"))))</f>
        <v/>
      </c>
    </row>
    <row r="589" spans="1:14" x14ac:dyDescent="0.2">
      <c r="A589" t="str">
        <f>IF(OR(Calc!$E593="",Calc!$E593="نامعتبر",Calc!$G593=""),"",Calc!$G593)</f>
        <v/>
      </c>
      <c r="B589" t="str">
        <f>IF($A589="","",LEFT(Calc!$E593,4)&amp;MID(Calc!$E593,6,2)&amp;RIGHT(Calc!$E593,2)&amp;Calc!$Q593&amp;"|"&amp;"1"&amp;RIGHT("00000"&amp;584,5))</f>
        <v/>
      </c>
      <c r="C589" t="str">
        <f t="shared" si="45"/>
        <v/>
      </c>
      <c r="D589" t="str">
        <f t="shared" si="46"/>
        <v/>
      </c>
      <c r="F589" t="str">
        <f>IF(Sync!$AH589="","",IF(LEFT(UPPER(TRIM(Sync!$AH589)),2)="SL",UPPER(TRIM(Sync!$AH589)),""))</f>
        <v/>
      </c>
      <c r="G589" t="str">
        <f>IF($F589="","",IF(Sync!$AE589="","",IF(ISNUMBER(Sync!$AE589),IF(AND(Sync!$AE589&gt;=10000101,Sync!$AE589&lt;=99991231),INT(Sync!$AE589/10000),""),IFERROR(VALUE(TRIM(LEFT(Sync!$AE589,FIND("/",Sync!$AE589)-1))),""))))</f>
        <v/>
      </c>
      <c r="H589" t="str">
        <f>IF(OR($F589="",$G589=""),"",IF(ISNUMBER(Sync!$AE589),INT(MOD(Sync!$AE589,10000)/100),IFERROR(VALUE(TRIM(LEFT(MID(Sync!$AE589,FIND("/",Sync!$AE589)+1,20),FIND("/",MID(Sync!$AE589,FIND("/",Sync!$AE589)+1,20))-1))),"")))</f>
        <v/>
      </c>
      <c r="I589" t="str">
        <f>IF(OR($F589="",$G589=""),"",IF(ISNUMBER(Sync!$AE589),MOD(Sync!$AE589,100),IFERROR(VALUE(TRIM(MID(MID(Sync!$AE589,FIND("/",Sync!$AE589)+1,20),FIND("/",MID(Sync!$AE589,FIND("/",Sync!$AE589)+1,20))+1,20))),"")))</f>
        <v/>
      </c>
      <c r="J589" t="str">
        <f t="shared" si="47"/>
        <v/>
      </c>
      <c r="K589" t="str">
        <f>IF(OR($F589="",$J589="",$J589="نامعتبر"),"",LEFT($J589,4)&amp;MID($J589,6,2)&amp;RIGHT($J589,2)&amp;$N589&amp;"|"&amp;"2"&amp;RIGHT("00000"&amp;584,5))</f>
        <v/>
      </c>
      <c r="L589" t="str">
        <f t="shared" si="48"/>
        <v/>
      </c>
      <c r="M589" t="str">
        <f t="shared" si="49"/>
        <v/>
      </c>
      <c r="N589" t="str">
        <f>IF($F589="","",IF(Sync!$AF589="","0000",IF(AND(ISNUMBER(Sync!$AF589),Sync!$AF589&gt;=0,Sync!$AF589&lt;1),RIGHT("00"&amp;HOUR(Sync!$AF589),2)&amp;RIGHT("00"&amp;MINUTE(Sync!$AF589),2),IFERROR(RIGHT("00"&amp;VALUE(LEFT(Sync!$AF589,FIND(":",Sync!$AF589)-1)),2)&amp;RIGHT("00"&amp;VALUE(MID(Sync!$AF589,FIND(":",Sync!$AF589)+1,2)),2),"0000"))))</f>
        <v/>
      </c>
    </row>
    <row r="590" spans="1:14" x14ac:dyDescent="0.2">
      <c r="A590" t="str">
        <f>IF(OR(Calc!$E594="",Calc!$E594="نامعتبر",Calc!$G594=""),"",Calc!$G594)</f>
        <v/>
      </c>
      <c r="B590" t="str">
        <f>IF($A590="","",LEFT(Calc!$E594,4)&amp;MID(Calc!$E594,6,2)&amp;RIGHT(Calc!$E594,2)&amp;Calc!$Q594&amp;"|"&amp;"1"&amp;RIGHT("00000"&amp;585,5))</f>
        <v/>
      </c>
      <c r="C590" t="str">
        <f t="shared" si="45"/>
        <v/>
      </c>
      <c r="D590" t="str">
        <f t="shared" si="46"/>
        <v/>
      </c>
      <c r="F590" t="str">
        <f>IF(Sync!$AH590="","",IF(LEFT(UPPER(TRIM(Sync!$AH590)),2)="SL",UPPER(TRIM(Sync!$AH590)),""))</f>
        <v/>
      </c>
      <c r="G590" t="str">
        <f>IF($F590="","",IF(Sync!$AE590="","",IF(ISNUMBER(Sync!$AE590),IF(AND(Sync!$AE590&gt;=10000101,Sync!$AE590&lt;=99991231),INT(Sync!$AE590/10000),""),IFERROR(VALUE(TRIM(LEFT(Sync!$AE590,FIND("/",Sync!$AE590)-1))),""))))</f>
        <v/>
      </c>
      <c r="H590" t="str">
        <f>IF(OR($F590="",$G590=""),"",IF(ISNUMBER(Sync!$AE590),INT(MOD(Sync!$AE590,10000)/100),IFERROR(VALUE(TRIM(LEFT(MID(Sync!$AE590,FIND("/",Sync!$AE590)+1,20),FIND("/",MID(Sync!$AE590,FIND("/",Sync!$AE590)+1,20))-1))),"")))</f>
        <v/>
      </c>
      <c r="I590" t="str">
        <f>IF(OR($F590="",$G590=""),"",IF(ISNUMBER(Sync!$AE590),MOD(Sync!$AE590,100),IFERROR(VALUE(TRIM(MID(MID(Sync!$AE590,FIND("/",Sync!$AE590)+1,20),FIND("/",MID(Sync!$AE590,FIND("/",Sync!$AE590)+1,20))+1,20))),"")))</f>
        <v/>
      </c>
      <c r="J590" t="str">
        <f t="shared" si="47"/>
        <v/>
      </c>
      <c r="K590" t="str">
        <f>IF(OR($F590="",$J590="",$J590="نامعتبر"),"",LEFT($J590,4)&amp;MID($J590,6,2)&amp;RIGHT($J590,2)&amp;$N590&amp;"|"&amp;"2"&amp;RIGHT("00000"&amp;585,5))</f>
        <v/>
      </c>
      <c r="L590" t="str">
        <f t="shared" si="48"/>
        <v/>
      </c>
      <c r="M590" t="str">
        <f t="shared" si="49"/>
        <v/>
      </c>
      <c r="N590" t="str">
        <f>IF($F590="","",IF(Sync!$AF590="","0000",IF(AND(ISNUMBER(Sync!$AF590),Sync!$AF590&gt;=0,Sync!$AF590&lt;1),RIGHT("00"&amp;HOUR(Sync!$AF590),2)&amp;RIGHT("00"&amp;MINUTE(Sync!$AF590),2),IFERROR(RIGHT("00"&amp;VALUE(LEFT(Sync!$AF590,FIND(":",Sync!$AF590)-1)),2)&amp;RIGHT("00"&amp;VALUE(MID(Sync!$AF590,FIND(":",Sync!$AF590)+1,2)),2),"0000"))))</f>
        <v/>
      </c>
    </row>
    <row r="591" spans="1:14" x14ac:dyDescent="0.2">
      <c r="A591" t="str">
        <f>IF(OR(Calc!$E595="",Calc!$E595="نامعتبر",Calc!$G595=""),"",Calc!$G595)</f>
        <v/>
      </c>
      <c r="B591" t="str">
        <f>IF($A591="","",LEFT(Calc!$E595,4)&amp;MID(Calc!$E595,6,2)&amp;RIGHT(Calc!$E595,2)&amp;Calc!$Q595&amp;"|"&amp;"1"&amp;RIGHT("00000"&amp;586,5))</f>
        <v/>
      </c>
      <c r="C591" t="str">
        <f t="shared" si="45"/>
        <v/>
      </c>
      <c r="D591" t="str">
        <f t="shared" si="46"/>
        <v/>
      </c>
      <c r="F591" t="str">
        <f>IF(Sync!$AH591="","",IF(LEFT(UPPER(TRIM(Sync!$AH591)),2)="SL",UPPER(TRIM(Sync!$AH591)),""))</f>
        <v/>
      </c>
      <c r="G591" t="str">
        <f>IF($F591="","",IF(Sync!$AE591="","",IF(ISNUMBER(Sync!$AE591),IF(AND(Sync!$AE591&gt;=10000101,Sync!$AE591&lt;=99991231),INT(Sync!$AE591/10000),""),IFERROR(VALUE(TRIM(LEFT(Sync!$AE591,FIND("/",Sync!$AE591)-1))),""))))</f>
        <v/>
      </c>
      <c r="H591" t="str">
        <f>IF(OR($F591="",$G591=""),"",IF(ISNUMBER(Sync!$AE591),INT(MOD(Sync!$AE591,10000)/100),IFERROR(VALUE(TRIM(LEFT(MID(Sync!$AE591,FIND("/",Sync!$AE591)+1,20),FIND("/",MID(Sync!$AE591,FIND("/",Sync!$AE591)+1,20))-1))),"")))</f>
        <v/>
      </c>
      <c r="I591" t="str">
        <f>IF(OR($F591="",$G591=""),"",IF(ISNUMBER(Sync!$AE591),MOD(Sync!$AE591,100),IFERROR(VALUE(TRIM(MID(MID(Sync!$AE591,FIND("/",Sync!$AE591)+1,20),FIND("/",MID(Sync!$AE591,FIND("/",Sync!$AE591)+1,20))+1,20))),"")))</f>
        <v/>
      </c>
      <c r="J591" t="str">
        <f t="shared" si="47"/>
        <v/>
      </c>
      <c r="K591" t="str">
        <f>IF(OR($F591="",$J591="",$J591="نامعتبر"),"",LEFT($J591,4)&amp;MID($J591,6,2)&amp;RIGHT($J591,2)&amp;$N591&amp;"|"&amp;"2"&amp;RIGHT("00000"&amp;586,5))</f>
        <v/>
      </c>
      <c r="L591" t="str">
        <f t="shared" si="48"/>
        <v/>
      </c>
      <c r="M591" t="str">
        <f t="shared" si="49"/>
        <v/>
      </c>
      <c r="N591" t="str">
        <f>IF($F591="","",IF(Sync!$AF591="","0000",IF(AND(ISNUMBER(Sync!$AF591),Sync!$AF591&gt;=0,Sync!$AF591&lt;1),RIGHT("00"&amp;HOUR(Sync!$AF591),2)&amp;RIGHT("00"&amp;MINUTE(Sync!$AF591),2),IFERROR(RIGHT("00"&amp;VALUE(LEFT(Sync!$AF591,FIND(":",Sync!$AF591)-1)),2)&amp;RIGHT("00"&amp;VALUE(MID(Sync!$AF591,FIND(":",Sync!$AF591)+1,2)),2),"0000"))))</f>
        <v/>
      </c>
    </row>
    <row r="592" spans="1:14" x14ac:dyDescent="0.2">
      <c r="A592" t="str">
        <f>IF(OR(Calc!$E596="",Calc!$E596="نامعتبر",Calc!$G596=""),"",Calc!$G596)</f>
        <v/>
      </c>
      <c r="B592" t="str">
        <f>IF($A592="","",LEFT(Calc!$E596,4)&amp;MID(Calc!$E596,6,2)&amp;RIGHT(Calc!$E596,2)&amp;Calc!$Q596&amp;"|"&amp;"1"&amp;RIGHT("00000"&amp;587,5))</f>
        <v/>
      </c>
      <c r="C592" t="str">
        <f t="shared" si="45"/>
        <v/>
      </c>
      <c r="D592" t="str">
        <f t="shared" si="46"/>
        <v/>
      </c>
      <c r="F592" t="str">
        <f>IF(Sync!$AH592="","",IF(LEFT(UPPER(TRIM(Sync!$AH592)),2)="SL",UPPER(TRIM(Sync!$AH592)),""))</f>
        <v/>
      </c>
      <c r="G592" t="str">
        <f>IF($F592="","",IF(Sync!$AE592="","",IF(ISNUMBER(Sync!$AE592),IF(AND(Sync!$AE592&gt;=10000101,Sync!$AE592&lt;=99991231),INT(Sync!$AE592/10000),""),IFERROR(VALUE(TRIM(LEFT(Sync!$AE592,FIND("/",Sync!$AE592)-1))),""))))</f>
        <v/>
      </c>
      <c r="H592" t="str">
        <f>IF(OR($F592="",$G592=""),"",IF(ISNUMBER(Sync!$AE592),INT(MOD(Sync!$AE592,10000)/100),IFERROR(VALUE(TRIM(LEFT(MID(Sync!$AE592,FIND("/",Sync!$AE592)+1,20),FIND("/",MID(Sync!$AE592,FIND("/",Sync!$AE592)+1,20))-1))),"")))</f>
        <v/>
      </c>
      <c r="I592" t="str">
        <f>IF(OR($F592="",$G592=""),"",IF(ISNUMBER(Sync!$AE592),MOD(Sync!$AE592,100),IFERROR(VALUE(TRIM(MID(MID(Sync!$AE592,FIND("/",Sync!$AE592)+1,20),FIND("/",MID(Sync!$AE592,FIND("/",Sync!$AE592)+1,20))+1,20))),"")))</f>
        <v/>
      </c>
      <c r="J592" t="str">
        <f t="shared" si="47"/>
        <v/>
      </c>
      <c r="K592" t="str">
        <f>IF(OR($F592="",$J592="",$J592="نامعتبر"),"",LEFT($J592,4)&amp;MID($J592,6,2)&amp;RIGHT($J592,2)&amp;$N592&amp;"|"&amp;"2"&amp;RIGHT("00000"&amp;587,5))</f>
        <v/>
      </c>
      <c r="L592" t="str">
        <f t="shared" si="48"/>
        <v/>
      </c>
      <c r="M592" t="str">
        <f t="shared" si="49"/>
        <v/>
      </c>
      <c r="N592" t="str">
        <f>IF($F592="","",IF(Sync!$AF592="","0000",IF(AND(ISNUMBER(Sync!$AF592),Sync!$AF592&gt;=0,Sync!$AF592&lt;1),RIGHT("00"&amp;HOUR(Sync!$AF592),2)&amp;RIGHT("00"&amp;MINUTE(Sync!$AF592),2),IFERROR(RIGHT("00"&amp;VALUE(LEFT(Sync!$AF592,FIND(":",Sync!$AF592)-1)),2)&amp;RIGHT("00"&amp;VALUE(MID(Sync!$AF592,FIND(":",Sync!$AF592)+1,2)),2),"0000"))))</f>
        <v/>
      </c>
    </row>
    <row r="593" spans="1:14" x14ac:dyDescent="0.2">
      <c r="A593" t="str">
        <f>IF(OR(Calc!$E597="",Calc!$E597="نامعتبر",Calc!$G597=""),"",Calc!$G597)</f>
        <v/>
      </c>
      <c r="B593" t="str">
        <f>IF($A593="","",LEFT(Calc!$E597,4)&amp;MID(Calc!$E597,6,2)&amp;RIGHT(Calc!$E597,2)&amp;Calc!$Q597&amp;"|"&amp;"1"&amp;RIGHT("00000"&amp;588,5))</f>
        <v/>
      </c>
      <c r="C593" t="str">
        <f t="shared" si="45"/>
        <v/>
      </c>
      <c r="D593" t="str">
        <f t="shared" si="46"/>
        <v/>
      </c>
      <c r="F593" t="str">
        <f>IF(Sync!$AH593="","",IF(LEFT(UPPER(TRIM(Sync!$AH593)),2)="SL",UPPER(TRIM(Sync!$AH593)),""))</f>
        <v/>
      </c>
      <c r="G593" t="str">
        <f>IF($F593="","",IF(Sync!$AE593="","",IF(ISNUMBER(Sync!$AE593),IF(AND(Sync!$AE593&gt;=10000101,Sync!$AE593&lt;=99991231),INT(Sync!$AE593/10000),""),IFERROR(VALUE(TRIM(LEFT(Sync!$AE593,FIND("/",Sync!$AE593)-1))),""))))</f>
        <v/>
      </c>
      <c r="H593" t="str">
        <f>IF(OR($F593="",$G593=""),"",IF(ISNUMBER(Sync!$AE593),INT(MOD(Sync!$AE593,10000)/100),IFERROR(VALUE(TRIM(LEFT(MID(Sync!$AE593,FIND("/",Sync!$AE593)+1,20),FIND("/",MID(Sync!$AE593,FIND("/",Sync!$AE593)+1,20))-1))),"")))</f>
        <v/>
      </c>
      <c r="I593" t="str">
        <f>IF(OR($F593="",$G593=""),"",IF(ISNUMBER(Sync!$AE593),MOD(Sync!$AE593,100),IFERROR(VALUE(TRIM(MID(MID(Sync!$AE593,FIND("/",Sync!$AE593)+1,20),FIND("/",MID(Sync!$AE593,FIND("/",Sync!$AE593)+1,20))+1,20))),"")))</f>
        <v/>
      </c>
      <c r="J593" t="str">
        <f t="shared" si="47"/>
        <v/>
      </c>
      <c r="K593" t="str">
        <f>IF(OR($F593="",$J593="",$J593="نامعتبر"),"",LEFT($J593,4)&amp;MID($J593,6,2)&amp;RIGHT($J593,2)&amp;$N593&amp;"|"&amp;"2"&amp;RIGHT("00000"&amp;588,5))</f>
        <v/>
      </c>
      <c r="L593" t="str">
        <f t="shared" si="48"/>
        <v/>
      </c>
      <c r="M593" t="str">
        <f t="shared" si="49"/>
        <v/>
      </c>
      <c r="N593" t="str">
        <f>IF($F593="","",IF(Sync!$AF593="","0000",IF(AND(ISNUMBER(Sync!$AF593),Sync!$AF593&gt;=0,Sync!$AF593&lt;1),RIGHT("00"&amp;HOUR(Sync!$AF593),2)&amp;RIGHT("00"&amp;MINUTE(Sync!$AF593),2),IFERROR(RIGHT("00"&amp;VALUE(LEFT(Sync!$AF593,FIND(":",Sync!$AF593)-1)),2)&amp;RIGHT("00"&amp;VALUE(MID(Sync!$AF593,FIND(":",Sync!$AF593)+1,2)),2),"0000"))))</f>
        <v/>
      </c>
    </row>
    <row r="594" spans="1:14" x14ac:dyDescent="0.2">
      <c r="A594" t="str">
        <f>IF(OR(Calc!$E598="",Calc!$E598="نامعتبر",Calc!$G598=""),"",Calc!$G598)</f>
        <v/>
      </c>
      <c r="B594" t="str">
        <f>IF($A594="","",LEFT(Calc!$E598,4)&amp;MID(Calc!$E598,6,2)&amp;RIGHT(Calc!$E598,2)&amp;Calc!$Q598&amp;"|"&amp;"1"&amp;RIGHT("00000"&amp;589,5))</f>
        <v/>
      </c>
      <c r="C594" t="str">
        <f t="shared" si="45"/>
        <v/>
      </c>
      <c r="D594" t="str">
        <f t="shared" si="46"/>
        <v/>
      </c>
      <c r="F594" t="str">
        <f>IF(Sync!$AH594="","",IF(LEFT(UPPER(TRIM(Sync!$AH594)),2)="SL",UPPER(TRIM(Sync!$AH594)),""))</f>
        <v/>
      </c>
      <c r="G594" t="str">
        <f>IF($F594="","",IF(Sync!$AE594="","",IF(ISNUMBER(Sync!$AE594),IF(AND(Sync!$AE594&gt;=10000101,Sync!$AE594&lt;=99991231),INT(Sync!$AE594/10000),""),IFERROR(VALUE(TRIM(LEFT(Sync!$AE594,FIND("/",Sync!$AE594)-1))),""))))</f>
        <v/>
      </c>
      <c r="H594" t="str">
        <f>IF(OR($F594="",$G594=""),"",IF(ISNUMBER(Sync!$AE594),INT(MOD(Sync!$AE594,10000)/100),IFERROR(VALUE(TRIM(LEFT(MID(Sync!$AE594,FIND("/",Sync!$AE594)+1,20),FIND("/",MID(Sync!$AE594,FIND("/",Sync!$AE594)+1,20))-1))),"")))</f>
        <v/>
      </c>
      <c r="I594" t="str">
        <f>IF(OR($F594="",$G594=""),"",IF(ISNUMBER(Sync!$AE594),MOD(Sync!$AE594,100),IFERROR(VALUE(TRIM(MID(MID(Sync!$AE594,FIND("/",Sync!$AE594)+1,20),FIND("/",MID(Sync!$AE594,FIND("/",Sync!$AE594)+1,20))+1,20))),"")))</f>
        <v/>
      </c>
      <c r="J594" t="str">
        <f t="shared" si="47"/>
        <v/>
      </c>
      <c r="K594" t="str">
        <f>IF(OR($F594="",$J594="",$J594="نامعتبر"),"",LEFT($J594,4)&amp;MID($J594,6,2)&amp;RIGHT($J594,2)&amp;$N594&amp;"|"&amp;"2"&amp;RIGHT("00000"&amp;589,5))</f>
        <v/>
      </c>
      <c r="L594" t="str">
        <f t="shared" si="48"/>
        <v/>
      </c>
      <c r="M594" t="str">
        <f t="shared" si="49"/>
        <v/>
      </c>
      <c r="N594" t="str">
        <f>IF($F594="","",IF(Sync!$AF594="","0000",IF(AND(ISNUMBER(Sync!$AF594),Sync!$AF594&gt;=0,Sync!$AF594&lt;1),RIGHT("00"&amp;HOUR(Sync!$AF594),2)&amp;RIGHT("00"&amp;MINUTE(Sync!$AF594),2),IFERROR(RIGHT("00"&amp;VALUE(LEFT(Sync!$AF594,FIND(":",Sync!$AF594)-1)),2)&amp;RIGHT("00"&amp;VALUE(MID(Sync!$AF594,FIND(":",Sync!$AF594)+1,2)),2),"0000"))))</f>
        <v/>
      </c>
    </row>
    <row r="595" spans="1:14" x14ac:dyDescent="0.2">
      <c r="A595" t="str">
        <f>IF(OR(Calc!$E599="",Calc!$E599="نامعتبر",Calc!$G599=""),"",Calc!$G599)</f>
        <v/>
      </c>
      <c r="B595" t="str">
        <f>IF($A595="","",LEFT(Calc!$E599,4)&amp;MID(Calc!$E599,6,2)&amp;RIGHT(Calc!$E599,2)&amp;Calc!$Q599&amp;"|"&amp;"1"&amp;RIGHT("00000"&amp;590,5))</f>
        <v/>
      </c>
      <c r="C595" t="str">
        <f t="shared" si="45"/>
        <v/>
      </c>
      <c r="D595" t="str">
        <f t="shared" si="46"/>
        <v/>
      </c>
      <c r="F595" t="str">
        <f>IF(Sync!$AH595="","",IF(LEFT(UPPER(TRIM(Sync!$AH595)),2)="SL",UPPER(TRIM(Sync!$AH595)),""))</f>
        <v/>
      </c>
      <c r="G595" t="str">
        <f>IF($F595="","",IF(Sync!$AE595="","",IF(ISNUMBER(Sync!$AE595),IF(AND(Sync!$AE595&gt;=10000101,Sync!$AE595&lt;=99991231),INT(Sync!$AE595/10000),""),IFERROR(VALUE(TRIM(LEFT(Sync!$AE595,FIND("/",Sync!$AE595)-1))),""))))</f>
        <v/>
      </c>
      <c r="H595" t="str">
        <f>IF(OR($F595="",$G595=""),"",IF(ISNUMBER(Sync!$AE595),INT(MOD(Sync!$AE595,10000)/100),IFERROR(VALUE(TRIM(LEFT(MID(Sync!$AE595,FIND("/",Sync!$AE595)+1,20),FIND("/",MID(Sync!$AE595,FIND("/",Sync!$AE595)+1,20))-1))),"")))</f>
        <v/>
      </c>
      <c r="I595" t="str">
        <f>IF(OR($F595="",$G595=""),"",IF(ISNUMBER(Sync!$AE595),MOD(Sync!$AE595,100),IFERROR(VALUE(TRIM(MID(MID(Sync!$AE595,FIND("/",Sync!$AE595)+1,20),FIND("/",MID(Sync!$AE595,FIND("/",Sync!$AE595)+1,20))+1,20))),"")))</f>
        <v/>
      </c>
      <c r="J595" t="str">
        <f t="shared" si="47"/>
        <v/>
      </c>
      <c r="K595" t="str">
        <f>IF(OR($F595="",$J595="",$J595="نامعتبر"),"",LEFT($J595,4)&amp;MID($J595,6,2)&amp;RIGHT($J595,2)&amp;$N595&amp;"|"&amp;"2"&amp;RIGHT("00000"&amp;590,5))</f>
        <v/>
      </c>
      <c r="L595" t="str">
        <f t="shared" si="48"/>
        <v/>
      </c>
      <c r="M595" t="str">
        <f t="shared" si="49"/>
        <v/>
      </c>
      <c r="N595" t="str">
        <f>IF($F595="","",IF(Sync!$AF595="","0000",IF(AND(ISNUMBER(Sync!$AF595),Sync!$AF595&gt;=0,Sync!$AF595&lt;1),RIGHT("00"&amp;HOUR(Sync!$AF595),2)&amp;RIGHT("00"&amp;MINUTE(Sync!$AF595),2),IFERROR(RIGHT("00"&amp;VALUE(LEFT(Sync!$AF595,FIND(":",Sync!$AF595)-1)),2)&amp;RIGHT("00"&amp;VALUE(MID(Sync!$AF595,FIND(":",Sync!$AF595)+1,2)),2),"0000"))))</f>
        <v/>
      </c>
    </row>
    <row r="596" spans="1:14" x14ac:dyDescent="0.2">
      <c r="A596" t="str">
        <f>IF(OR(Calc!$E600="",Calc!$E600="نامعتبر",Calc!$G600=""),"",Calc!$G600)</f>
        <v/>
      </c>
      <c r="B596" t="str">
        <f>IF($A596="","",LEFT(Calc!$E600,4)&amp;MID(Calc!$E600,6,2)&amp;RIGHT(Calc!$E600,2)&amp;Calc!$Q600&amp;"|"&amp;"1"&amp;RIGHT("00000"&amp;591,5))</f>
        <v/>
      </c>
      <c r="C596" t="str">
        <f t="shared" si="45"/>
        <v/>
      </c>
      <c r="D596" t="str">
        <f t="shared" si="46"/>
        <v/>
      </c>
      <c r="F596" t="str">
        <f>IF(Sync!$AH596="","",IF(LEFT(UPPER(TRIM(Sync!$AH596)),2)="SL",UPPER(TRIM(Sync!$AH596)),""))</f>
        <v/>
      </c>
      <c r="G596" t="str">
        <f>IF($F596="","",IF(Sync!$AE596="","",IF(ISNUMBER(Sync!$AE596),IF(AND(Sync!$AE596&gt;=10000101,Sync!$AE596&lt;=99991231),INT(Sync!$AE596/10000),""),IFERROR(VALUE(TRIM(LEFT(Sync!$AE596,FIND("/",Sync!$AE596)-1))),""))))</f>
        <v/>
      </c>
      <c r="H596" t="str">
        <f>IF(OR($F596="",$G596=""),"",IF(ISNUMBER(Sync!$AE596),INT(MOD(Sync!$AE596,10000)/100),IFERROR(VALUE(TRIM(LEFT(MID(Sync!$AE596,FIND("/",Sync!$AE596)+1,20),FIND("/",MID(Sync!$AE596,FIND("/",Sync!$AE596)+1,20))-1))),"")))</f>
        <v/>
      </c>
      <c r="I596" t="str">
        <f>IF(OR($F596="",$G596=""),"",IF(ISNUMBER(Sync!$AE596),MOD(Sync!$AE596,100),IFERROR(VALUE(TRIM(MID(MID(Sync!$AE596,FIND("/",Sync!$AE596)+1,20),FIND("/",MID(Sync!$AE596,FIND("/",Sync!$AE596)+1,20))+1,20))),"")))</f>
        <v/>
      </c>
      <c r="J596" t="str">
        <f t="shared" si="47"/>
        <v/>
      </c>
      <c r="K596" t="str">
        <f>IF(OR($F596="",$J596="",$J596="نامعتبر"),"",LEFT($J596,4)&amp;MID($J596,6,2)&amp;RIGHT($J596,2)&amp;$N596&amp;"|"&amp;"2"&amp;RIGHT("00000"&amp;591,5))</f>
        <v/>
      </c>
      <c r="L596" t="str">
        <f t="shared" si="48"/>
        <v/>
      </c>
      <c r="M596" t="str">
        <f t="shared" si="49"/>
        <v/>
      </c>
      <c r="N596" t="str">
        <f>IF($F596="","",IF(Sync!$AF596="","0000",IF(AND(ISNUMBER(Sync!$AF596),Sync!$AF596&gt;=0,Sync!$AF596&lt;1),RIGHT("00"&amp;HOUR(Sync!$AF596),2)&amp;RIGHT("00"&amp;MINUTE(Sync!$AF596),2),IFERROR(RIGHT("00"&amp;VALUE(LEFT(Sync!$AF596,FIND(":",Sync!$AF596)-1)),2)&amp;RIGHT("00"&amp;VALUE(MID(Sync!$AF596,FIND(":",Sync!$AF596)+1,2)),2),"0000"))))</f>
        <v/>
      </c>
    </row>
    <row r="597" spans="1:14" x14ac:dyDescent="0.2">
      <c r="A597" t="str">
        <f>IF(OR(Calc!$E601="",Calc!$E601="نامعتبر",Calc!$G601=""),"",Calc!$G601)</f>
        <v/>
      </c>
      <c r="B597" t="str">
        <f>IF($A597="","",LEFT(Calc!$E601,4)&amp;MID(Calc!$E601,6,2)&amp;RIGHT(Calc!$E601,2)&amp;Calc!$Q601&amp;"|"&amp;"1"&amp;RIGHT("00000"&amp;592,5))</f>
        <v/>
      </c>
      <c r="C597" t="str">
        <f t="shared" si="45"/>
        <v/>
      </c>
      <c r="D597" t="str">
        <f t="shared" si="46"/>
        <v/>
      </c>
      <c r="F597" t="str">
        <f>IF(Sync!$AH597="","",IF(LEFT(UPPER(TRIM(Sync!$AH597)),2)="SL",UPPER(TRIM(Sync!$AH597)),""))</f>
        <v/>
      </c>
      <c r="G597" t="str">
        <f>IF($F597="","",IF(Sync!$AE597="","",IF(ISNUMBER(Sync!$AE597),IF(AND(Sync!$AE597&gt;=10000101,Sync!$AE597&lt;=99991231),INT(Sync!$AE597/10000),""),IFERROR(VALUE(TRIM(LEFT(Sync!$AE597,FIND("/",Sync!$AE597)-1))),""))))</f>
        <v/>
      </c>
      <c r="H597" t="str">
        <f>IF(OR($F597="",$G597=""),"",IF(ISNUMBER(Sync!$AE597),INT(MOD(Sync!$AE597,10000)/100),IFERROR(VALUE(TRIM(LEFT(MID(Sync!$AE597,FIND("/",Sync!$AE597)+1,20),FIND("/",MID(Sync!$AE597,FIND("/",Sync!$AE597)+1,20))-1))),"")))</f>
        <v/>
      </c>
      <c r="I597" t="str">
        <f>IF(OR($F597="",$G597=""),"",IF(ISNUMBER(Sync!$AE597),MOD(Sync!$AE597,100),IFERROR(VALUE(TRIM(MID(MID(Sync!$AE597,FIND("/",Sync!$AE597)+1,20),FIND("/",MID(Sync!$AE597,FIND("/",Sync!$AE597)+1,20))+1,20))),"")))</f>
        <v/>
      </c>
      <c r="J597" t="str">
        <f t="shared" si="47"/>
        <v/>
      </c>
      <c r="K597" t="str">
        <f>IF(OR($F597="",$J597="",$J597="نامعتبر"),"",LEFT($J597,4)&amp;MID($J597,6,2)&amp;RIGHT($J597,2)&amp;$N597&amp;"|"&amp;"2"&amp;RIGHT("00000"&amp;592,5))</f>
        <v/>
      </c>
      <c r="L597" t="str">
        <f t="shared" si="48"/>
        <v/>
      </c>
      <c r="M597" t="str">
        <f t="shared" si="49"/>
        <v/>
      </c>
      <c r="N597" t="str">
        <f>IF($F597="","",IF(Sync!$AF597="","0000",IF(AND(ISNUMBER(Sync!$AF597),Sync!$AF597&gt;=0,Sync!$AF597&lt;1),RIGHT("00"&amp;HOUR(Sync!$AF597),2)&amp;RIGHT("00"&amp;MINUTE(Sync!$AF597),2),IFERROR(RIGHT("00"&amp;VALUE(LEFT(Sync!$AF597,FIND(":",Sync!$AF597)-1)),2)&amp;RIGHT("00"&amp;VALUE(MID(Sync!$AF597,FIND(":",Sync!$AF597)+1,2)),2),"0000"))))</f>
        <v/>
      </c>
    </row>
    <row r="598" spans="1:14" x14ac:dyDescent="0.2">
      <c r="A598" t="str">
        <f>IF(OR(Calc!$E602="",Calc!$E602="نامعتبر",Calc!$G602=""),"",Calc!$G602)</f>
        <v/>
      </c>
      <c r="B598" t="str">
        <f>IF($A598="","",LEFT(Calc!$E602,4)&amp;MID(Calc!$E602,6,2)&amp;RIGHT(Calc!$E602,2)&amp;Calc!$Q602&amp;"|"&amp;"1"&amp;RIGHT("00000"&amp;593,5))</f>
        <v/>
      </c>
      <c r="C598" t="str">
        <f t="shared" si="45"/>
        <v/>
      </c>
      <c r="D598" t="str">
        <f t="shared" si="46"/>
        <v/>
      </c>
      <c r="F598" t="str">
        <f>IF(Sync!$AH598="","",IF(LEFT(UPPER(TRIM(Sync!$AH598)),2)="SL",UPPER(TRIM(Sync!$AH598)),""))</f>
        <v/>
      </c>
      <c r="G598" t="str">
        <f>IF($F598="","",IF(Sync!$AE598="","",IF(ISNUMBER(Sync!$AE598),IF(AND(Sync!$AE598&gt;=10000101,Sync!$AE598&lt;=99991231),INT(Sync!$AE598/10000),""),IFERROR(VALUE(TRIM(LEFT(Sync!$AE598,FIND("/",Sync!$AE598)-1))),""))))</f>
        <v/>
      </c>
      <c r="H598" t="str">
        <f>IF(OR($F598="",$G598=""),"",IF(ISNUMBER(Sync!$AE598),INT(MOD(Sync!$AE598,10000)/100),IFERROR(VALUE(TRIM(LEFT(MID(Sync!$AE598,FIND("/",Sync!$AE598)+1,20),FIND("/",MID(Sync!$AE598,FIND("/",Sync!$AE598)+1,20))-1))),"")))</f>
        <v/>
      </c>
      <c r="I598" t="str">
        <f>IF(OR($F598="",$G598=""),"",IF(ISNUMBER(Sync!$AE598),MOD(Sync!$AE598,100),IFERROR(VALUE(TRIM(MID(MID(Sync!$AE598,FIND("/",Sync!$AE598)+1,20),FIND("/",MID(Sync!$AE598,FIND("/",Sync!$AE598)+1,20))+1,20))),"")))</f>
        <v/>
      </c>
      <c r="J598" t="str">
        <f t="shared" si="47"/>
        <v/>
      </c>
      <c r="K598" t="str">
        <f>IF(OR($F598="",$J598="",$J598="نامعتبر"),"",LEFT($J598,4)&amp;MID($J598,6,2)&amp;RIGHT($J598,2)&amp;$N598&amp;"|"&amp;"2"&amp;RIGHT("00000"&amp;593,5))</f>
        <v/>
      </c>
      <c r="L598" t="str">
        <f t="shared" si="48"/>
        <v/>
      </c>
      <c r="M598" t="str">
        <f t="shared" si="49"/>
        <v/>
      </c>
      <c r="N598" t="str">
        <f>IF($F598="","",IF(Sync!$AF598="","0000",IF(AND(ISNUMBER(Sync!$AF598),Sync!$AF598&gt;=0,Sync!$AF598&lt;1),RIGHT("00"&amp;HOUR(Sync!$AF598),2)&amp;RIGHT("00"&amp;MINUTE(Sync!$AF598),2),IFERROR(RIGHT("00"&amp;VALUE(LEFT(Sync!$AF598,FIND(":",Sync!$AF598)-1)),2)&amp;RIGHT("00"&amp;VALUE(MID(Sync!$AF598,FIND(":",Sync!$AF598)+1,2)),2),"0000"))))</f>
        <v/>
      </c>
    </row>
    <row r="599" spans="1:14" x14ac:dyDescent="0.2">
      <c r="A599" t="str">
        <f>IF(OR(Calc!$E603="",Calc!$E603="نامعتبر",Calc!$G603=""),"",Calc!$G603)</f>
        <v/>
      </c>
      <c r="B599" t="str">
        <f>IF($A599="","",LEFT(Calc!$E603,4)&amp;MID(Calc!$E603,6,2)&amp;RIGHT(Calc!$E603,2)&amp;Calc!$Q603&amp;"|"&amp;"1"&amp;RIGHT("00000"&amp;594,5))</f>
        <v/>
      </c>
      <c r="C599" t="str">
        <f t="shared" si="45"/>
        <v/>
      </c>
      <c r="D599" t="str">
        <f t="shared" si="46"/>
        <v/>
      </c>
      <c r="F599" t="str">
        <f>IF(Sync!$AH599="","",IF(LEFT(UPPER(TRIM(Sync!$AH599)),2)="SL",UPPER(TRIM(Sync!$AH599)),""))</f>
        <v/>
      </c>
      <c r="G599" t="str">
        <f>IF($F599="","",IF(Sync!$AE599="","",IF(ISNUMBER(Sync!$AE599),IF(AND(Sync!$AE599&gt;=10000101,Sync!$AE599&lt;=99991231),INT(Sync!$AE599/10000),""),IFERROR(VALUE(TRIM(LEFT(Sync!$AE599,FIND("/",Sync!$AE599)-1))),""))))</f>
        <v/>
      </c>
      <c r="H599" t="str">
        <f>IF(OR($F599="",$G599=""),"",IF(ISNUMBER(Sync!$AE599),INT(MOD(Sync!$AE599,10000)/100),IFERROR(VALUE(TRIM(LEFT(MID(Sync!$AE599,FIND("/",Sync!$AE599)+1,20),FIND("/",MID(Sync!$AE599,FIND("/",Sync!$AE599)+1,20))-1))),"")))</f>
        <v/>
      </c>
      <c r="I599" t="str">
        <f>IF(OR($F599="",$G599=""),"",IF(ISNUMBER(Sync!$AE599),MOD(Sync!$AE599,100),IFERROR(VALUE(TRIM(MID(MID(Sync!$AE599,FIND("/",Sync!$AE599)+1,20),FIND("/",MID(Sync!$AE599,FIND("/",Sync!$AE599)+1,20))+1,20))),"")))</f>
        <v/>
      </c>
      <c r="J599" t="str">
        <f t="shared" si="47"/>
        <v/>
      </c>
      <c r="K599" t="str">
        <f>IF(OR($F599="",$J599="",$J599="نامعتبر"),"",LEFT($J599,4)&amp;MID($J599,6,2)&amp;RIGHT($J599,2)&amp;$N599&amp;"|"&amp;"2"&amp;RIGHT("00000"&amp;594,5))</f>
        <v/>
      </c>
      <c r="L599" t="str">
        <f t="shared" si="48"/>
        <v/>
      </c>
      <c r="M599" t="str">
        <f t="shared" si="49"/>
        <v/>
      </c>
      <c r="N599" t="str">
        <f>IF($F599="","",IF(Sync!$AF599="","0000",IF(AND(ISNUMBER(Sync!$AF599),Sync!$AF599&gt;=0,Sync!$AF599&lt;1),RIGHT("00"&amp;HOUR(Sync!$AF599),2)&amp;RIGHT("00"&amp;MINUTE(Sync!$AF599),2),IFERROR(RIGHT("00"&amp;VALUE(LEFT(Sync!$AF599,FIND(":",Sync!$AF599)-1)),2)&amp;RIGHT("00"&amp;VALUE(MID(Sync!$AF599,FIND(":",Sync!$AF599)+1,2)),2),"0000"))))</f>
        <v/>
      </c>
    </row>
    <row r="600" spans="1:14" x14ac:dyDescent="0.2">
      <c r="A600" t="str">
        <f>IF(OR(Calc!$E604="",Calc!$E604="نامعتبر",Calc!$G604=""),"",Calc!$G604)</f>
        <v/>
      </c>
      <c r="B600" t="str">
        <f>IF($A600="","",LEFT(Calc!$E604,4)&amp;MID(Calc!$E604,6,2)&amp;RIGHT(Calc!$E604,2)&amp;Calc!$Q604&amp;"|"&amp;"1"&amp;RIGHT("00000"&amp;595,5))</f>
        <v/>
      </c>
      <c r="C600" t="str">
        <f t="shared" si="45"/>
        <v/>
      </c>
      <c r="D600" t="str">
        <f t="shared" si="46"/>
        <v/>
      </c>
      <c r="F600" t="str">
        <f>IF(Sync!$AH600="","",IF(LEFT(UPPER(TRIM(Sync!$AH600)),2)="SL",UPPER(TRIM(Sync!$AH600)),""))</f>
        <v/>
      </c>
      <c r="G600" t="str">
        <f>IF($F600="","",IF(Sync!$AE600="","",IF(ISNUMBER(Sync!$AE600),IF(AND(Sync!$AE600&gt;=10000101,Sync!$AE600&lt;=99991231),INT(Sync!$AE600/10000),""),IFERROR(VALUE(TRIM(LEFT(Sync!$AE600,FIND("/",Sync!$AE600)-1))),""))))</f>
        <v/>
      </c>
      <c r="H600" t="str">
        <f>IF(OR($F600="",$G600=""),"",IF(ISNUMBER(Sync!$AE600),INT(MOD(Sync!$AE600,10000)/100),IFERROR(VALUE(TRIM(LEFT(MID(Sync!$AE600,FIND("/",Sync!$AE600)+1,20),FIND("/",MID(Sync!$AE600,FIND("/",Sync!$AE600)+1,20))-1))),"")))</f>
        <v/>
      </c>
      <c r="I600" t="str">
        <f>IF(OR($F600="",$G600=""),"",IF(ISNUMBER(Sync!$AE600),MOD(Sync!$AE600,100),IFERROR(VALUE(TRIM(MID(MID(Sync!$AE600,FIND("/",Sync!$AE600)+1,20),FIND("/",MID(Sync!$AE600,FIND("/",Sync!$AE600)+1,20))+1,20))),"")))</f>
        <v/>
      </c>
      <c r="J600" t="str">
        <f t="shared" si="47"/>
        <v/>
      </c>
      <c r="K600" t="str">
        <f>IF(OR($F600="",$J600="",$J600="نامعتبر"),"",LEFT($J600,4)&amp;MID($J600,6,2)&amp;RIGHT($J600,2)&amp;$N600&amp;"|"&amp;"2"&amp;RIGHT("00000"&amp;595,5))</f>
        <v/>
      </c>
      <c r="L600" t="str">
        <f t="shared" si="48"/>
        <v/>
      </c>
      <c r="M600" t="str">
        <f t="shared" si="49"/>
        <v/>
      </c>
      <c r="N600" t="str">
        <f>IF($F600="","",IF(Sync!$AF600="","0000",IF(AND(ISNUMBER(Sync!$AF600),Sync!$AF600&gt;=0,Sync!$AF600&lt;1),RIGHT("00"&amp;HOUR(Sync!$AF600),2)&amp;RIGHT("00"&amp;MINUTE(Sync!$AF600),2),IFERROR(RIGHT("00"&amp;VALUE(LEFT(Sync!$AF600,FIND(":",Sync!$AF600)-1)),2)&amp;RIGHT("00"&amp;VALUE(MID(Sync!$AF600,FIND(":",Sync!$AF600)+1,2)),2),"0000"))))</f>
        <v/>
      </c>
    </row>
    <row r="601" spans="1:14" x14ac:dyDescent="0.2">
      <c r="A601" t="str">
        <f>IF(OR(Calc!$E605="",Calc!$E605="نامعتبر",Calc!$G605=""),"",Calc!$G605)</f>
        <v/>
      </c>
      <c r="B601" t="str">
        <f>IF($A601="","",LEFT(Calc!$E605,4)&amp;MID(Calc!$E605,6,2)&amp;RIGHT(Calc!$E605,2)&amp;Calc!$Q605&amp;"|"&amp;"1"&amp;RIGHT("00000"&amp;596,5))</f>
        <v/>
      </c>
      <c r="C601" t="str">
        <f t="shared" si="45"/>
        <v/>
      </c>
      <c r="D601" t="str">
        <f t="shared" si="46"/>
        <v/>
      </c>
      <c r="F601" t="str">
        <f>IF(Sync!$AH601="","",IF(LEFT(UPPER(TRIM(Sync!$AH601)),2)="SL",UPPER(TRIM(Sync!$AH601)),""))</f>
        <v/>
      </c>
      <c r="G601" t="str">
        <f>IF($F601="","",IF(Sync!$AE601="","",IF(ISNUMBER(Sync!$AE601),IF(AND(Sync!$AE601&gt;=10000101,Sync!$AE601&lt;=99991231),INT(Sync!$AE601/10000),""),IFERROR(VALUE(TRIM(LEFT(Sync!$AE601,FIND("/",Sync!$AE601)-1))),""))))</f>
        <v/>
      </c>
      <c r="H601" t="str">
        <f>IF(OR($F601="",$G601=""),"",IF(ISNUMBER(Sync!$AE601),INT(MOD(Sync!$AE601,10000)/100),IFERROR(VALUE(TRIM(LEFT(MID(Sync!$AE601,FIND("/",Sync!$AE601)+1,20),FIND("/",MID(Sync!$AE601,FIND("/",Sync!$AE601)+1,20))-1))),"")))</f>
        <v/>
      </c>
      <c r="I601" t="str">
        <f>IF(OR($F601="",$G601=""),"",IF(ISNUMBER(Sync!$AE601),MOD(Sync!$AE601,100),IFERROR(VALUE(TRIM(MID(MID(Sync!$AE601,FIND("/",Sync!$AE601)+1,20),FIND("/",MID(Sync!$AE601,FIND("/",Sync!$AE601)+1,20))+1,20))),"")))</f>
        <v/>
      </c>
      <c r="J601" t="str">
        <f t="shared" si="47"/>
        <v/>
      </c>
      <c r="K601" t="str">
        <f>IF(OR($F601="",$J601="",$J601="نامعتبر"),"",LEFT($J601,4)&amp;MID($J601,6,2)&amp;RIGHT($J601,2)&amp;$N601&amp;"|"&amp;"2"&amp;RIGHT("00000"&amp;596,5))</f>
        <v/>
      </c>
      <c r="L601" t="str">
        <f t="shared" si="48"/>
        <v/>
      </c>
      <c r="M601" t="str">
        <f t="shared" si="49"/>
        <v/>
      </c>
      <c r="N601" t="str">
        <f>IF($F601="","",IF(Sync!$AF601="","0000",IF(AND(ISNUMBER(Sync!$AF601),Sync!$AF601&gt;=0,Sync!$AF601&lt;1),RIGHT("00"&amp;HOUR(Sync!$AF601),2)&amp;RIGHT("00"&amp;MINUTE(Sync!$AF601),2),IFERROR(RIGHT("00"&amp;VALUE(LEFT(Sync!$AF601,FIND(":",Sync!$AF601)-1)),2)&amp;RIGHT("00"&amp;VALUE(MID(Sync!$AF601,FIND(":",Sync!$AF601)+1,2)),2),"0000"))))</f>
        <v/>
      </c>
    </row>
    <row r="602" spans="1:14" x14ac:dyDescent="0.2">
      <c r="A602" t="str">
        <f>IF(OR(Calc!$E606="",Calc!$E606="نامعتبر",Calc!$G606=""),"",Calc!$G606)</f>
        <v/>
      </c>
      <c r="B602" t="str">
        <f>IF($A602="","",LEFT(Calc!$E606,4)&amp;MID(Calc!$E606,6,2)&amp;RIGHT(Calc!$E606,2)&amp;Calc!$Q606&amp;"|"&amp;"1"&amp;RIGHT("00000"&amp;597,5))</f>
        <v/>
      </c>
      <c r="C602" t="str">
        <f t="shared" si="45"/>
        <v/>
      </c>
      <c r="D602" t="str">
        <f t="shared" si="46"/>
        <v/>
      </c>
      <c r="F602" t="str">
        <f>IF(Sync!$AH602="","",IF(LEFT(UPPER(TRIM(Sync!$AH602)),2)="SL",UPPER(TRIM(Sync!$AH602)),""))</f>
        <v/>
      </c>
      <c r="G602" t="str">
        <f>IF($F602="","",IF(Sync!$AE602="","",IF(ISNUMBER(Sync!$AE602),IF(AND(Sync!$AE602&gt;=10000101,Sync!$AE602&lt;=99991231),INT(Sync!$AE602/10000),""),IFERROR(VALUE(TRIM(LEFT(Sync!$AE602,FIND("/",Sync!$AE602)-1))),""))))</f>
        <v/>
      </c>
      <c r="H602" t="str">
        <f>IF(OR($F602="",$G602=""),"",IF(ISNUMBER(Sync!$AE602),INT(MOD(Sync!$AE602,10000)/100),IFERROR(VALUE(TRIM(LEFT(MID(Sync!$AE602,FIND("/",Sync!$AE602)+1,20),FIND("/",MID(Sync!$AE602,FIND("/",Sync!$AE602)+1,20))-1))),"")))</f>
        <v/>
      </c>
      <c r="I602" t="str">
        <f>IF(OR($F602="",$G602=""),"",IF(ISNUMBER(Sync!$AE602),MOD(Sync!$AE602,100),IFERROR(VALUE(TRIM(MID(MID(Sync!$AE602,FIND("/",Sync!$AE602)+1,20),FIND("/",MID(Sync!$AE602,FIND("/",Sync!$AE602)+1,20))+1,20))),"")))</f>
        <v/>
      </c>
      <c r="J602" t="str">
        <f t="shared" si="47"/>
        <v/>
      </c>
      <c r="K602" t="str">
        <f>IF(OR($F602="",$J602="",$J602="نامعتبر"),"",LEFT($J602,4)&amp;MID($J602,6,2)&amp;RIGHT($J602,2)&amp;$N602&amp;"|"&amp;"2"&amp;RIGHT("00000"&amp;597,5))</f>
        <v/>
      </c>
      <c r="L602" t="str">
        <f t="shared" si="48"/>
        <v/>
      </c>
      <c r="M602" t="str">
        <f t="shared" si="49"/>
        <v/>
      </c>
      <c r="N602" t="str">
        <f>IF($F602="","",IF(Sync!$AF602="","0000",IF(AND(ISNUMBER(Sync!$AF602),Sync!$AF602&gt;=0,Sync!$AF602&lt;1),RIGHT("00"&amp;HOUR(Sync!$AF602),2)&amp;RIGHT("00"&amp;MINUTE(Sync!$AF602),2),IFERROR(RIGHT("00"&amp;VALUE(LEFT(Sync!$AF602,FIND(":",Sync!$AF602)-1)),2)&amp;RIGHT("00"&amp;VALUE(MID(Sync!$AF602,FIND(":",Sync!$AF602)+1,2)),2),"0000"))))</f>
        <v/>
      </c>
    </row>
    <row r="603" spans="1:14" x14ac:dyDescent="0.2">
      <c r="A603" t="str">
        <f>IF(OR(Calc!$E607="",Calc!$E607="نامعتبر",Calc!$G607=""),"",Calc!$G607)</f>
        <v/>
      </c>
      <c r="B603" t="str">
        <f>IF($A603="","",LEFT(Calc!$E607,4)&amp;MID(Calc!$E607,6,2)&amp;RIGHT(Calc!$E607,2)&amp;Calc!$Q607&amp;"|"&amp;"1"&amp;RIGHT("00000"&amp;598,5))</f>
        <v/>
      </c>
      <c r="C603" t="str">
        <f t="shared" si="45"/>
        <v/>
      </c>
      <c r="D603" t="str">
        <f t="shared" si="46"/>
        <v/>
      </c>
      <c r="F603" t="str">
        <f>IF(Sync!$AH603="","",IF(LEFT(UPPER(TRIM(Sync!$AH603)),2)="SL",UPPER(TRIM(Sync!$AH603)),""))</f>
        <v/>
      </c>
      <c r="G603" t="str">
        <f>IF($F603="","",IF(Sync!$AE603="","",IF(ISNUMBER(Sync!$AE603),IF(AND(Sync!$AE603&gt;=10000101,Sync!$AE603&lt;=99991231),INT(Sync!$AE603/10000),""),IFERROR(VALUE(TRIM(LEFT(Sync!$AE603,FIND("/",Sync!$AE603)-1))),""))))</f>
        <v/>
      </c>
      <c r="H603" t="str">
        <f>IF(OR($F603="",$G603=""),"",IF(ISNUMBER(Sync!$AE603),INT(MOD(Sync!$AE603,10000)/100),IFERROR(VALUE(TRIM(LEFT(MID(Sync!$AE603,FIND("/",Sync!$AE603)+1,20),FIND("/",MID(Sync!$AE603,FIND("/",Sync!$AE603)+1,20))-1))),"")))</f>
        <v/>
      </c>
      <c r="I603" t="str">
        <f>IF(OR($F603="",$G603=""),"",IF(ISNUMBER(Sync!$AE603),MOD(Sync!$AE603,100),IFERROR(VALUE(TRIM(MID(MID(Sync!$AE603,FIND("/",Sync!$AE603)+1,20),FIND("/",MID(Sync!$AE603,FIND("/",Sync!$AE603)+1,20))+1,20))),"")))</f>
        <v/>
      </c>
      <c r="J603" t="str">
        <f t="shared" si="47"/>
        <v/>
      </c>
      <c r="K603" t="str">
        <f>IF(OR($F603="",$J603="",$J603="نامعتبر"),"",LEFT($J603,4)&amp;MID($J603,6,2)&amp;RIGHT($J603,2)&amp;$N603&amp;"|"&amp;"2"&amp;RIGHT("00000"&amp;598,5))</f>
        <v/>
      </c>
      <c r="L603" t="str">
        <f t="shared" si="48"/>
        <v/>
      </c>
      <c r="M603" t="str">
        <f t="shared" si="49"/>
        <v/>
      </c>
      <c r="N603" t="str">
        <f>IF($F603="","",IF(Sync!$AF603="","0000",IF(AND(ISNUMBER(Sync!$AF603),Sync!$AF603&gt;=0,Sync!$AF603&lt;1),RIGHT("00"&amp;HOUR(Sync!$AF603),2)&amp;RIGHT("00"&amp;MINUTE(Sync!$AF603),2),IFERROR(RIGHT("00"&amp;VALUE(LEFT(Sync!$AF603,FIND(":",Sync!$AF603)-1)),2)&amp;RIGHT("00"&amp;VALUE(MID(Sync!$AF603,FIND(":",Sync!$AF603)+1,2)),2),"0000"))))</f>
        <v/>
      </c>
    </row>
    <row r="604" spans="1:14" x14ac:dyDescent="0.2">
      <c r="A604" t="str">
        <f>IF(OR(Calc!$E608="",Calc!$E608="نامعتبر",Calc!$G608=""),"",Calc!$G608)</f>
        <v/>
      </c>
      <c r="B604" t="str">
        <f>IF($A604="","",LEFT(Calc!$E608,4)&amp;MID(Calc!$E608,6,2)&amp;RIGHT(Calc!$E608,2)&amp;Calc!$Q608&amp;"|"&amp;"1"&amp;RIGHT("00000"&amp;599,5))</f>
        <v/>
      </c>
      <c r="C604" t="str">
        <f t="shared" si="45"/>
        <v/>
      </c>
      <c r="D604" t="str">
        <f t="shared" si="46"/>
        <v/>
      </c>
      <c r="F604" t="str">
        <f>IF(Sync!$AH604="","",IF(LEFT(UPPER(TRIM(Sync!$AH604)),2)="SL",UPPER(TRIM(Sync!$AH604)),""))</f>
        <v/>
      </c>
      <c r="G604" t="str">
        <f>IF($F604="","",IF(Sync!$AE604="","",IF(ISNUMBER(Sync!$AE604),IF(AND(Sync!$AE604&gt;=10000101,Sync!$AE604&lt;=99991231),INT(Sync!$AE604/10000),""),IFERROR(VALUE(TRIM(LEFT(Sync!$AE604,FIND("/",Sync!$AE604)-1))),""))))</f>
        <v/>
      </c>
      <c r="H604" t="str">
        <f>IF(OR($F604="",$G604=""),"",IF(ISNUMBER(Sync!$AE604),INT(MOD(Sync!$AE604,10000)/100),IFERROR(VALUE(TRIM(LEFT(MID(Sync!$AE604,FIND("/",Sync!$AE604)+1,20),FIND("/",MID(Sync!$AE604,FIND("/",Sync!$AE604)+1,20))-1))),"")))</f>
        <v/>
      </c>
      <c r="I604" t="str">
        <f>IF(OR($F604="",$G604=""),"",IF(ISNUMBER(Sync!$AE604),MOD(Sync!$AE604,100),IFERROR(VALUE(TRIM(MID(MID(Sync!$AE604,FIND("/",Sync!$AE604)+1,20),FIND("/",MID(Sync!$AE604,FIND("/",Sync!$AE604)+1,20))+1,20))),"")))</f>
        <v/>
      </c>
      <c r="J604" t="str">
        <f t="shared" si="47"/>
        <v/>
      </c>
      <c r="K604" t="str">
        <f>IF(OR($F604="",$J604="",$J604="نامعتبر"),"",LEFT($J604,4)&amp;MID($J604,6,2)&amp;RIGHT($J604,2)&amp;$N604&amp;"|"&amp;"2"&amp;RIGHT("00000"&amp;599,5))</f>
        <v/>
      </c>
      <c r="L604" t="str">
        <f t="shared" si="48"/>
        <v/>
      </c>
      <c r="M604" t="str">
        <f t="shared" si="49"/>
        <v/>
      </c>
      <c r="N604" t="str">
        <f>IF($F604="","",IF(Sync!$AF604="","0000",IF(AND(ISNUMBER(Sync!$AF604),Sync!$AF604&gt;=0,Sync!$AF604&lt;1),RIGHT("00"&amp;HOUR(Sync!$AF604),2)&amp;RIGHT("00"&amp;MINUTE(Sync!$AF604),2),IFERROR(RIGHT("00"&amp;VALUE(LEFT(Sync!$AF604,FIND(":",Sync!$AF604)-1)),2)&amp;RIGHT("00"&amp;VALUE(MID(Sync!$AF604,FIND(":",Sync!$AF604)+1,2)),2),"0000"))))</f>
        <v/>
      </c>
    </row>
    <row r="605" spans="1:14" x14ac:dyDescent="0.2">
      <c r="A605" t="str">
        <f>IF(OR(Calc!$E609="",Calc!$E609="نامعتبر",Calc!$G609=""),"",Calc!$G609)</f>
        <v/>
      </c>
      <c r="B605" t="str">
        <f>IF($A605="","",LEFT(Calc!$E609,4)&amp;MID(Calc!$E609,6,2)&amp;RIGHT(Calc!$E609,2)&amp;Calc!$Q609&amp;"|"&amp;"1"&amp;RIGHT("00000"&amp;600,5))</f>
        <v/>
      </c>
      <c r="C605" t="str">
        <f t="shared" si="45"/>
        <v/>
      </c>
      <c r="D605" t="str">
        <f t="shared" si="46"/>
        <v/>
      </c>
      <c r="F605" t="str">
        <f>IF(Sync!$AH605="","",IF(LEFT(UPPER(TRIM(Sync!$AH605)),2)="SL",UPPER(TRIM(Sync!$AH605)),""))</f>
        <v/>
      </c>
      <c r="G605" t="str">
        <f>IF($F605="","",IF(Sync!$AE605="","",IF(ISNUMBER(Sync!$AE605),IF(AND(Sync!$AE605&gt;=10000101,Sync!$AE605&lt;=99991231),INT(Sync!$AE605/10000),""),IFERROR(VALUE(TRIM(LEFT(Sync!$AE605,FIND("/",Sync!$AE605)-1))),""))))</f>
        <v/>
      </c>
      <c r="H605" t="str">
        <f>IF(OR($F605="",$G605=""),"",IF(ISNUMBER(Sync!$AE605),INT(MOD(Sync!$AE605,10000)/100),IFERROR(VALUE(TRIM(LEFT(MID(Sync!$AE605,FIND("/",Sync!$AE605)+1,20),FIND("/",MID(Sync!$AE605,FIND("/",Sync!$AE605)+1,20))-1))),"")))</f>
        <v/>
      </c>
      <c r="I605" t="str">
        <f>IF(OR($F605="",$G605=""),"",IF(ISNUMBER(Sync!$AE605),MOD(Sync!$AE605,100),IFERROR(VALUE(TRIM(MID(MID(Sync!$AE605,FIND("/",Sync!$AE605)+1,20),FIND("/",MID(Sync!$AE605,FIND("/",Sync!$AE605)+1,20))+1,20))),"")))</f>
        <v/>
      </c>
      <c r="J605" t="str">
        <f t="shared" si="47"/>
        <v/>
      </c>
      <c r="K605" t="str">
        <f>IF(OR($F605="",$J605="",$J605="نامعتبر"),"",LEFT($J605,4)&amp;MID($J605,6,2)&amp;RIGHT($J605,2)&amp;$N605&amp;"|"&amp;"2"&amp;RIGHT("00000"&amp;600,5))</f>
        <v/>
      </c>
      <c r="L605" t="str">
        <f t="shared" si="48"/>
        <v/>
      </c>
      <c r="M605" t="str">
        <f t="shared" si="49"/>
        <v/>
      </c>
      <c r="N605" t="str">
        <f>IF($F605="","",IF(Sync!$AF605="","0000",IF(AND(ISNUMBER(Sync!$AF605),Sync!$AF605&gt;=0,Sync!$AF605&lt;1),RIGHT("00"&amp;HOUR(Sync!$AF605),2)&amp;RIGHT("00"&amp;MINUTE(Sync!$AF605),2),IFERROR(RIGHT("00"&amp;VALUE(LEFT(Sync!$AF605,FIND(":",Sync!$AF605)-1)),2)&amp;RIGHT("00"&amp;VALUE(MID(Sync!$AF605,FIND(":",Sync!$AF605)+1,2)),2),"0000"))))</f>
        <v/>
      </c>
    </row>
    <row r="606" spans="1:14" x14ac:dyDescent="0.2">
      <c r="A606" t="str">
        <f>IF(OR(Calc!$E610="",Calc!$E610="نامعتبر",Calc!$G610=""),"",Calc!$G610)</f>
        <v/>
      </c>
      <c r="B606" t="str">
        <f>IF($A606="","",LEFT(Calc!$E610,4)&amp;MID(Calc!$E610,6,2)&amp;RIGHT(Calc!$E610,2)&amp;Calc!$Q610&amp;"|"&amp;"1"&amp;RIGHT("00000"&amp;601,5))</f>
        <v/>
      </c>
      <c r="C606" t="str">
        <f t="shared" si="45"/>
        <v/>
      </c>
      <c r="D606" t="str">
        <f t="shared" si="46"/>
        <v/>
      </c>
      <c r="F606" t="str">
        <f>IF(Sync!$AH606="","",IF(LEFT(UPPER(TRIM(Sync!$AH606)),2)="SL",UPPER(TRIM(Sync!$AH606)),""))</f>
        <v/>
      </c>
      <c r="G606" t="str">
        <f>IF($F606="","",IF(Sync!$AE606="","",IF(ISNUMBER(Sync!$AE606),IF(AND(Sync!$AE606&gt;=10000101,Sync!$AE606&lt;=99991231),INT(Sync!$AE606/10000),""),IFERROR(VALUE(TRIM(LEFT(Sync!$AE606,FIND("/",Sync!$AE606)-1))),""))))</f>
        <v/>
      </c>
      <c r="H606" t="str">
        <f>IF(OR($F606="",$G606=""),"",IF(ISNUMBER(Sync!$AE606),INT(MOD(Sync!$AE606,10000)/100),IFERROR(VALUE(TRIM(LEFT(MID(Sync!$AE606,FIND("/",Sync!$AE606)+1,20),FIND("/",MID(Sync!$AE606,FIND("/",Sync!$AE606)+1,20))-1))),"")))</f>
        <v/>
      </c>
      <c r="I606" t="str">
        <f>IF(OR($F606="",$G606=""),"",IF(ISNUMBER(Sync!$AE606),MOD(Sync!$AE606,100),IFERROR(VALUE(TRIM(MID(MID(Sync!$AE606,FIND("/",Sync!$AE606)+1,20),FIND("/",MID(Sync!$AE606,FIND("/",Sync!$AE606)+1,20))+1,20))),"")))</f>
        <v/>
      </c>
      <c r="J606" t="str">
        <f t="shared" si="47"/>
        <v/>
      </c>
      <c r="K606" t="str">
        <f>IF(OR($F606="",$J606="",$J606="نامعتبر"),"",LEFT($J606,4)&amp;MID($J606,6,2)&amp;RIGHT($J606,2)&amp;$N606&amp;"|"&amp;"2"&amp;RIGHT("00000"&amp;601,5))</f>
        <v/>
      </c>
      <c r="L606" t="str">
        <f t="shared" si="48"/>
        <v/>
      </c>
      <c r="M606" t="str">
        <f t="shared" si="49"/>
        <v/>
      </c>
      <c r="N606" t="str">
        <f>IF($F606="","",IF(Sync!$AF606="","0000",IF(AND(ISNUMBER(Sync!$AF606),Sync!$AF606&gt;=0,Sync!$AF606&lt;1),RIGHT("00"&amp;HOUR(Sync!$AF606),2)&amp;RIGHT("00"&amp;MINUTE(Sync!$AF606),2),IFERROR(RIGHT("00"&amp;VALUE(LEFT(Sync!$AF606,FIND(":",Sync!$AF606)-1)),2)&amp;RIGHT("00"&amp;VALUE(MID(Sync!$AF606,FIND(":",Sync!$AF606)+1,2)),2),"0000"))))</f>
        <v/>
      </c>
    </row>
    <row r="607" spans="1:14" x14ac:dyDescent="0.2">
      <c r="A607" t="str">
        <f>IF(OR(Calc!$E611="",Calc!$E611="نامعتبر",Calc!$G611=""),"",Calc!$G611)</f>
        <v/>
      </c>
      <c r="B607" t="str">
        <f>IF($A607="","",LEFT(Calc!$E611,4)&amp;MID(Calc!$E611,6,2)&amp;RIGHT(Calc!$E611,2)&amp;Calc!$Q611&amp;"|"&amp;"1"&amp;RIGHT("00000"&amp;602,5))</f>
        <v/>
      </c>
      <c r="C607" t="str">
        <f t="shared" si="45"/>
        <v/>
      </c>
      <c r="D607" t="str">
        <f t="shared" si="46"/>
        <v/>
      </c>
      <c r="F607" t="str">
        <f>IF(Sync!$AH607="","",IF(LEFT(UPPER(TRIM(Sync!$AH607)),2)="SL",UPPER(TRIM(Sync!$AH607)),""))</f>
        <v/>
      </c>
      <c r="G607" t="str">
        <f>IF($F607="","",IF(Sync!$AE607="","",IF(ISNUMBER(Sync!$AE607),IF(AND(Sync!$AE607&gt;=10000101,Sync!$AE607&lt;=99991231),INT(Sync!$AE607/10000),""),IFERROR(VALUE(TRIM(LEFT(Sync!$AE607,FIND("/",Sync!$AE607)-1))),""))))</f>
        <v/>
      </c>
      <c r="H607" t="str">
        <f>IF(OR($F607="",$G607=""),"",IF(ISNUMBER(Sync!$AE607),INT(MOD(Sync!$AE607,10000)/100),IFERROR(VALUE(TRIM(LEFT(MID(Sync!$AE607,FIND("/",Sync!$AE607)+1,20),FIND("/",MID(Sync!$AE607,FIND("/",Sync!$AE607)+1,20))-1))),"")))</f>
        <v/>
      </c>
      <c r="I607" t="str">
        <f>IF(OR($F607="",$G607=""),"",IF(ISNUMBER(Sync!$AE607),MOD(Sync!$AE607,100),IFERROR(VALUE(TRIM(MID(MID(Sync!$AE607,FIND("/",Sync!$AE607)+1,20),FIND("/",MID(Sync!$AE607,FIND("/",Sync!$AE607)+1,20))+1,20))),"")))</f>
        <v/>
      </c>
      <c r="J607" t="str">
        <f t="shared" si="47"/>
        <v/>
      </c>
      <c r="K607" t="str">
        <f>IF(OR($F607="",$J607="",$J607="نامعتبر"),"",LEFT($J607,4)&amp;MID($J607,6,2)&amp;RIGHT($J607,2)&amp;$N607&amp;"|"&amp;"2"&amp;RIGHT("00000"&amp;602,5))</f>
        <v/>
      </c>
      <c r="L607" t="str">
        <f t="shared" si="48"/>
        <v/>
      </c>
      <c r="M607" t="str">
        <f t="shared" si="49"/>
        <v/>
      </c>
      <c r="N607" t="str">
        <f>IF($F607="","",IF(Sync!$AF607="","0000",IF(AND(ISNUMBER(Sync!$AF607),Sync!$AF607&gt;=0,Sync!$AF607&lt;1),RIGHT("00"&amp;HOUR(Sync!$AF607),2)&amp;RIGHT("00"&amp;MINUTE(Sync!$AF607),2),IFERROR(RIGHT("00"&amp;VALUE(LEFT(Sync!$AF607,FIND(":",Sync!$AF607)-1)),2)&amp;RIGHT("00"&amp;VALUE(MID(Sync!$AF607,FIND(":",Sync!$AF607)+1,2)),2),"0000"))))</f>
        <v/>
      </c>
    </row>
    <row r="608" spans="1:14" x14ac:dyDescent="0.2">
      <c r="A608" t="str">
        <f>IF(OR(Calc!$E612="",Calc!$E612="نامعتبر",Calc!$G612=""),"",Calc!$G612)</f>
        <v/>
      </c>
      <c r="B608" t="str">
        <f>IF($A608="","",LEFT(Calc!$E612,4)&amp;MID(Calc!$E612,6,2)&amp;RIGHT(Calc!$E612,2)&amp;Calc!$Q612&amp;"|"&amp;"1"&amp;RIGHT("00000"&amp;603,5))</f>
        <v/>
      </c>
      <c r="C608" t="str">
        <f t="shared" si="45"/>
        <v/>
      </c>
      <c r="D608" t="str">
        <f t="shared" si="46"/>
        <v/>
      </c>
      <c r="F608" t="str">
        <f>IF(Sync!$AH608="","",IF(LEFT(UPPER(TRIM(Sync!$AH608)),2)="SL",UPPER(TRIM(Sync!$AH608)),""))</f>
        <v/>
      </c>
      <c r="G608" t="str">
        <f>IF($F608="","",IF(Sync!$AE608="","",IF(ISNUMBER(Sync!$AE608),IF(AND(Sync!$AE608&gt;=10000101,Sync!$AE608&lt;=99991231),INT(Sync!$AE608/10000),""),IFERROR(VALUE(TRIM(LEFT(Sync!$AE608,FIND("/",Sync!$AE608)-1))),""))))</f>
        <v/>
      </c>
      <c r="H608" t="str">
        <f>IF(OR($F608="",$G608=""),"",IF(ISNUMBER(Sync!$AE608),INT(MOD(Sync!$AE608,10000)/100),IFERROR(VALUE(TRIM(LEFT(MID(Sync!$AE608,FIND("/",Sync!$AE608)+1,20),FIND("/",MID(Sync!$AE608,FIND("/",Sync!$AE608)+1,20))-1))),"")))</f>
        <v/>
      </c>
      <c r="I608" t="str">
        <f>IF(OR($F608="",$G608=""),"",IF(ISNUMBER(Sync!$AE608),MOD(Sync!$AE608,100),IFERROR(VALUE(TRIM(MID(MID(Sync!$AE608,FIND("/",Sync!$AE608)+1,20),FIND("/",MID(Sync!$AE608,FIND("/",Sync!$AE608)+1,20))+1,20))),"")))</f>
        <v/>
      </c>
      <c r="J608" t="str">
        <f t="shared" si="47"/>
        <v/>
      </c>
      <c r="K608" t="str">
        <f>IF(OR($F608="",$J608="",$J608="نامعتبر"),"",LEFT($J608,4)&amp;MID($J608,6,2)&amp;RIGHT($J608,2)&amp;$N608&amp;"|"&amp;"2"&amp;RIGHT("00000"&amp;603,5))</f>
        <v/>
      </c>
      <c r="L608" t="str">
        <f t="shared" si="48"/>
        <v/>
      </c>
      <c r="M608" t="str">
        <f t="shared" si="49"/>
        <v/>
      </c>
      <c r="N608" t="str">
        <f>IF($F608="","",IF(Sync!$AF608="","0000",IF(AND(ISNUMBER(Sync!$AF608),Sync!$AF608&gt;=0,Sync!$AF608&lt;1),RIGHT("00"&amp;HOUR(Sync!$AF608),2)&amp;RIGHT("00"&amp;MINUTE(Sync!$AF608),2),IFERROR(RIGHT("00"&amp;VALUE(LEFT(Sync!$AF608,FIND(":",Sync!$AF608)-1)),2)&amp;RIGHT("00"&amp;VALUE(MID(Sync!$AF608,FIND(":",Sync!$AF608)+1,2)),2),"0000"))))</f>
        <v/>
      </c>
    </row>
    <row r="609" spans="1:14" x14ac:dyDescent="0.2">
      <c r="A609" t="str">
        <f>IF(OR(Calc!$E613="",Calc!$E613="نامعتبر",Calc!$G613=""),"",Calc!$G613)</f>
        <v/>
      </c>
      <c r="B609" t="str">
        <f>IF($A609="","",LEFT(Calc!$E613,4)&amp;MID(Calc!$E613,6,2)&amp;RIGHT(Calc!$E613,2)&amp;Calc!$Q613&amp;"|"&amp;"1"&amp;RIGHT("00000"&amp;604,5))</f>
        <v/>
      </c>
      <c r="C609" t="str">
        <f t="shared" si="45"/>
        <v/>
      </c>
      <c r="D609" t="str">
        <f t="shared" si="46"/>
        <v/>
      </c>
      <c r="F609" t="str">
        <f>IF(Sync!$AH609="","",IF(LEFT(UPPER(TRIM(Sync!$AH609)),2)="SL",UPPER(TRIM(Sync!$AH609)),""))</f>
        <v/>
      </c>
      <c r="G609" t="str">
        <f>IF($F609="","",IF(Sync!$AE609="","",IF(ISNUMBER(Sync!$AE609),IF(AND(Sync!$AE609&gt;=10000101,Sync!$AE609&lt;=99991231),INT(Sync!$AE609/10000),""),IFERROR(VALUE(TRIM(LEFT(Sync!$AE609,FIND("/",Sync!$AE609)-1))),""))))</f>
        <v/>
      </c>
      <c r="H609" t="str">
        <f>IF(OR($F609="",$G609=""),"",IF(ISNUMBER(Sync!$AE609),INT(MOD(Sync!$AE609,10000)/100),IFERROR(VALUE(TRIM(LEFT(MID(Sync!$AE609,FIND("/",Sync!$AE609)+1,20),FIND("/",MID(Sync!$AE609,FIND("/",Sync!$AE609)+1,20))-1))),"")))</f>
        <v/>
      </c>
      <c r="I609" t="str">
        <f>IF(OR($F609="",$G609=""),"",IF(ISNUMBER(Sync!$AE609),MOD(Sync!$AE609,100),IFERROR(VALUE(TRIM(MID(MID(Sync!$AE609,FIND("/",Sync!$AE609)+1,20),FIND("/",MID(Sync!$AE609,FIND("/",Sync!$AE609)+1,20))+1,20))),"")))</f>
        <v/>
      </c>
      <c r="J609" t="str">
        <f t="shared" si="47"/>
        <v/>
      </c>
      <c r="K609" t="str">
        <f>IF(OR($F609="",$J609="",$J609="نامعتبر"),"",LEFT($J609,4)&amp;MID($J609,6,2)&amp;RIGHT($J609,2)&amp;$N609&amp;"|"&amp;"2"&amp;RIGHT("00000"&amp;604,5))</f>
        <v/>
      </c>
      <c r="L609" t="str">
        <f t="shared" si="48"/>
        <v/>
      </c>
      <c r="M609" t="str">
        <f t="shared" si="49"/>
        <v/>
      </c>
      <c r="N609" t="str">
        <f>IF($F609="","",IF(Sync!$AF609="","0000",IF(AND(ISNUMBER(Sync!$AF609),Sync!$AF609&gt;=0,Sync!$AF609&lt;1),RIGHT("00"&amp;HOUR(Sync!$AF609),2)&amp;RIGHT("00"&amp;MINUTE(Sync!$AF609),2),IFERROR(RIGHT("00"&amp;VALUE(LEFT(Sync!$AF609,FIND(":",Sync!$AF609)-1)),2)&amp;RIGHT("00"&amp;VALUE(MID(Sync!$AF609,FIND(":",Sync!$AF609)+1,2)),2),"0000"))))</f>
        <v/>
      </c>
    </row>
    <row r="610" spans="1:14" x14ac:dyDescent="0.2">
      <c r="A610" t="str">
        <f>IF(OR(Calc!$E614="",Calc!$E614="نامعتبر",Calc!$G614=""),"",Calc!$G614)</f>
        <v/>
      </c>
      <c r="B610" t="str">
        <f>IF($A610="","",LEFT(Calc!$E614,4)&amp;MID(Calc!$E614,6,2)&amp;RIGHT(Calc!$E614,2)&amp;Calc!$Q614&amp;"|"&amp;"1"&amp;RIGHT("00000"&amp;605,5))</f>
        <v/>
      </c>
      <c r="C610" t="str">
        <f t="shared" si="45"/>
        <v/>
      </c>
      <c r="D610" t="str">
        <f t="shared" si="46"/>
        <v/>
      </c>
      <c r="F610" t="str">
        <f>IF(Sync!$AH610="","",IF(LEFT(UPPER(TRIM(Sync!$AH610)),2)="SL",UPPER(TRIM(Sync!$AH610)),""))</f>
        <v/>
      </c>
      <c r="G610" t="str">
        <f>IF($F610="","",IF(Sync!$AE610="","",IF(ISNUMBER(Sync!$AE610),IF(AND(Sync!$AE610&gt;=10000101,Sync!$AE610&lt;=99991231),INT(Sync!$AE610/10000),""),IFERROR(VALUE(TRIM(LEFT(Sync!$AE610,FIND("/",Sync!$AE610)-1))),""))))</f>
        <v/>
      </c>
      <c r="H610" t="str">
        <f>IF(OR($F610="",$G610=""),"",IF(ISNUMBER(Sync!$AE610),INT(MOD(Sync!$AE610,10000)/100),IFERROR(VALUE(TRIM(LEFT(MID(Sync!$AE610,FIND("/",Sync!$AE610)+1,20),FIND("/",MID(Sync!$AE610,FIND("/",Sync!$AE610)+1,20))-1))),"")))</f>
        <v/>
      </c>
      <c r="I610" t="str">
        <f>IF(OR($F610="",$G610=""),"",IF(ISNUMBER(Sync!$AE610),MOD(Sync!$AE610,100),IFERROR(VALUE(TRIM(MID(MID(Sync!$AE610,FIND("/",Sync!$AE610)+1,20),FIND("/",MID(Sync!$AE610,FIND("/",Sync!$AE610)+1,20))+1,20))),"")))</f>
        <v/>
      </c>
      <c r="J610" t="str">
        <f t="shared" si="47"/>
        <v/>
      </c>
      <c r="K610" t="str">
        <f>IF(OR($F610="",$J610="",$J610="نامعتبر"),"",LEFT($J610,4)&amp;MID($J610,6,2)&amp;RIGHT($J610,2)&amp;$N610&amp;"|"&amp;"2"&amp;RIGHT("00000"&amp;605,5))</f>
        <v/>
      </c>
      <c r="L610" t="str">
        <f t="shared" si="48"/>
        <v/>
      </c>
      <c r="M610" t="str">
        <f t="shared" si="49"/>
        <v/>
      </c>
      <c r="N610" t="str">
        <f>IF($F610="","",IF(Sync!$AF610="","0000",IF(AND(ISNUMBER(Sync!$AF610),Sync!$AF610&gt;=0,Sync!$AF610&lt;1),RIGHT("00"&amp;HOUR(Sync!$AF610),2)&amp;RIGHT("00"&amp;MINUTE(Sync!$AF610),2),IFERROR(RIGHT("00"&amp;VALUE(LEFT(Sync!$AF610,FIND(":",Sync!$AF610)-1)),2)&amp;RIGHT("00"&amp;VALUE(MID(Sync!$AF610,FIND(":",Sync!$AF610)+1,2)),2),"0000"))))</f>
        <v/>
      </c>
    </row>
    <row r="611" spans="1:14" x14ac:dyDescent="0.2">
      <c r="A611" t="str">
        <f>IF(OR(Calc!$E615="",Calc!$E615="نامعتبر",Calc!$G615=""),"",Calc!$G615)</f>
        <v/>
      </c>
      <c r="B611" t="str">
        <f>IF($A611="","",LEFT(Calc!$E615,4)&amp;MID(Calc!$E615,6,2)&amp;RIGHT(Calc!$E615,2)&amp;Calc!$Q615&amp;"|"&amp;"1"&amp;RIGHT("00000"&amp;606,5))</f>
        <v/>
      </c>
      <c r="C611" t="str">
        <f t="shared" si="45"/>
        <v/>
      </c>
      <c r="D611" t="str">
        <f t="shared" si="46"/>
        <v/>
      </c>
      <c r="F611" t="str">
        <f>IF(Sync!$AH611="","",IF(LEFT(UPPER(TRIM(Sync!$AH611)),2)="SL",UPPER(TRIM(Sync!$AH611)),""))</f>
        <v/>
      </c>
      <c r="G611" t="str">
        <f>IF($F611="","",IF(Sync!$AE611="","",IF(ISNUMBER(Sync!$AE611),IF(AND(Sync!$AE611&gt;=10000101,Sync!$AE611&lt;=99991231),INT(Sync!$AE611/10000),""),IFERROR(VALUE(TRIM(LEFT(Sync!$AE611,FIND("/",Sync!$AE611)-1))),""))))</f>
        <v/>
      </c>
      <c r="H611" t="str">
        <f>IF(OR($F611="",$G611=""),"",IF(ISNUMBER(Sync!$AE611),INT(MOD(Sync!$AE611,10000)/100),IFERROR(VALUE(TRIM(LEFT(MID(Sync!$AE611,FIND("/",Sync!$AE611)+1,20),FIND("/",MID(Sync!$AE611,FIND("/",Sync!$AE611)+1,20))-1))),"")))</f>
        <v/>
      </c>
      <c r="I611" t="str">
        <f>IF(OR($F611="",$G611=""),"",IF(ISNUMBER(Sync!$AE611),MOD(Sync!$AE611,100),IFERROR(VALUE(TRIM(MID(MID(Sync!$AE611,FIND("/",Sync!$AE611)+1,20),FIND("/",MID(Sync!$AE611,FIND("/",Sync!$AE611)+1,20))+1,20))),"")))</f>
        <v/>
      </c>
      <c r="J611" t="str">
        <f t="shared" si="47"/>
        <v/>
      </c>
      <c r="K611" t="str">
        <f>IF(OR($F611="",$J611="",$J611="نامعتبر"),"",LEFT($J611,4)&amp;MID($J611,6,2)&amp;RIGHT($J611,2)&amp;$N611&amp;"|"&amp;"2"&amp;RIGHT("00000"&amp;606,5))</f>
        <v/>
      </c>
      <c r="L611" t="str">
        <f t="shared" si="48"/>
        <v/>
      </c>
      <c r="M611" t="str">
        <f t="shared" si="49"/>
        <v/>
      </c>
      <c r="N611" t="str">
        <f>IF($F611="","",IF(Sync!$AF611="","0000",IF(AND(ISNUMBER(Sync!$AF611),Sync!$AF611&gt;=0,Sync!$AF611&lt;1),RIGHT("00"&amp;HOUR(Sync!$AF611),2)&amp;RIGHT("00"&amp;MINUTE(Sync!$AF611),2),IFERROR(RIGHT("00"&amp;VALUE(LEFT(Sync!$AF611,FIND(":",Sync!$AF611)-1)),2)&amp;RIGHT("00"&amp;VALUE(MID(Sync!$AF611,FIND(":",Sync!$AF611)+1,2)),2),"0000"))))</f>
        <v/>
      </c>
    </row>
    <row r="612" spans="1:14" x14ac:dyDescent="0.2">
      <c r="A612" t="str">
        <f>IF(OR(Calc!$E616="",Calc!$E616="نامعتبر",Calc!$G616=""),"",Calc!$G616)</f>
        <v/>
      </c>
      <c r="B612" t="str">
        <f>IF($A612="","",LEFT(Calc!$E616,4)&amp;MID(Calc!$E616,6,2)&amp;RIGHT(Calc!$E616,2)&amp;Calc!$Q616&amp;"|"&amp;"1"&amp;RIGHT("00000"&amp;607,5))</f>
        <v/>
      </c>
      <c r="C612" t="str">
        <f t="shared" si="45"/>
        <v/>
      </c>
      <c r="D612" t="str">
        <f t="shared" si="46"/>
        <v/>
      </c>
      <c r="F612" t="str">
        <f>IF(Sync!$AH612="","",IF(LEFT(UPPER(TRIM(Sync!$AH612)),2)="SL",UPPER(TRIM(Sync!$AH612)),""))</f>
        <v/>
      </c>
      <c r="G612" t="str">
        <f>IF($F612="","",IF(Sync!$AE612="","",IF(ISNUMBER(Sync!$AE612),IF(AND(Sync!$AE612&gt;=10000101,Sync!$AE612&lt;=99991231),INT(Sync!$AE612/10000),""),IFERROR(VALUE(TRIM(LEFT(Sync!$AE612,FIND("/",Sync!$AE612)-1))),""))))</f>
        <v/>
      </c>
      <c r="H612" t="str">
        <f>IF(OR($F612="",$G612=""),"",IF(ISNUMBER(Sync!$AE612),INT(MOD(Sync!$AE612,10000)/100),IFERROR(VALUE(TRIM(LEFT(MID(Sync!$AE612,FIND("/",Sync!$AE612)+1,20),FIND("/",MID(Sync!$AE612,FIND("/",Sync!$AE612)+1,20))-1))),"")))</f>
        <v/>
      </c>
      <c r="I612" t="str">
        <f>IF(OR($F612="",$G612=""),"",IF(ISNUMBER(Sync!$AE612),MOD(Sync!$AE612,100),IFERROR(VALUE(TRIM(MID(MID(Sync!$AE612,FIND("/",Sync!$AE612)+1,20),FIND("/",MID(Sync!$AE612,FIND("/",Sync!$AE612)+1,20))+1,20))),"")))</f>
        <v/>
      </c>
      <c r="J612" t="str">
        <f t="shared" si="47"/>
        <v/>
      </c>
      <c r="K612" t="str">
        <f>IF(OR($F612="",$J612="",$J612="نامعتبر"),"",LEFT($J612,4)&amp;MID($J612,6,2)&amp;RIGHT($J612,2)&amp;$N612&amp;"|"&amp;"2"&amp;RIGHT("00000"&amp;607,5))</f>
        <v/>
      </c>
      <c r="L612" t="str">
        <f t="shared" si="48"/>
        <v/>
      </c>
      <c r="M612" t="str">
        <f t="shared" si="49"/>
        <v/>
      </c>
      <c r="N612" t="str">
        <f>IF($F612="","",IF(Sync!$AF612="","0000",IF(AND(ISNUMBER(Sync!$AF612),Sync!$AF612&gt;=0,Sync!$AF612&lt;1),RIGHT("00"&amp;HOUR(Sync!$AF612),2)&amp;RIGHT("00"&amp;MINUTE(Sync!$AF612),2),IFERROR(RIGHT("00"&amp;VALUE(LEFT(Sync!$AF612,FIND(":",Sync!$AF612)-1)),2)&amp;RIGHT("00"&amp;VALUE(MID(Sync!$AF612,FIND(":",Sync!$AF612)+1,2)),2),"0000"))))</f>
        <v/>
      </c>
    </row>
    <row r="613" spans="1:14" x14ac:dyDescent="0.2">
      <c r="A613" t="str">
        <f>IF(OR(Calc!$E617="",Calc!$E617="نامعتبر",Calc!$G617=""),"",Calc!$G617)</f>
        <v/>
      </c>
      <c r="B613" t="str">
        <f>IF($A613="","",LEFT(Calc!$E617,4)&amp;MID(Calc!$E617,6,2)&amp;RIGHT(Calc!$E617,2)&amp;Calc!$Q617&amp;"|"&amp;"1"&amp;RIGHT("00000"&amp;608,5))</f>
        <v/>
      </c>
      <c r="C613" t="str">
        <f t="shared" si="45"/>
        <v/>
      </c>
      <c r="D613" t="str">
        <f t="shared" si="46"/>
        <v/>
      </c>
      <c r="F613" t="str">
        <f>IF(Sync!$AH613="","",IF(LEFT(UPPER(TRIM(Sync!$AH613)),2)="SL",UPPER(TRIM(Sync!$AH613)),""))</f>
        <v/>
      </c>
      <c r="G613" t="str">
        <f>IF($F613="","",IF(Sync!$AE613="","",IF(ISNUMBER(Sync!$AE613),IF(AND(Sync!$AE613&gt;=10000101,Sync!$AE613&lt;=99991231),INT(Sync!$AE613/10000),""),IFERROR(VALUE(TRIM(LEFT(Sync!$AE613,FIND("/",Sync!$AE613)-1))),""))))</f>
        <v/>
      </c>
      <c r="H613" t="str">
        <f>IF(OR($F613="",$G613=""),"",IF(ISNUMBER(Sync!$AE613),INT(MOD(Sync!$AE613,10000)/100),IFERROR(VALUE(TRIM(LEFT(MID(Sync!$AE613,FIND("/",Sync!$AE613)+1,20),FIND("/",MID(Sync!$AE613,FIND("/",Sync!$AE613)+1,20))-1))),"")))</f>
        <v/>
      </c>
      <c r="I613" t="str">
        <f>IF(OR($F613="",$G613=""),"",IF(ISNUMBER(Sync!$AE613),MOD(Sync!$AE613,100),IFERROR(VALUE(TRIM(MID(MID(Sync!$AE613,FIND("/",Sync!$AE613)+1,20),FIND("/",MID(Sync!$AE613,FIND("/",Sync!$AE613)+1,20))+1,20))),"")))</f>
        <v/>
      </c>
      <c r="J613" t="str">
        <f t="shared" si="47"/>
        <v/>
      </c>
      <c r="K613" t="str">
        <f>IF(OR($F613="",$J613="",$J613="نامعتبر"),"",LEFT($J613,4)&amp;MID($J613,6,2)&amp;RIGHT($J613,2)&amp;$N613&amp;"|"&amp;"2"&amp;RIGHT("00000"&amp;608,5))</f>
        <v/>
      </c>
      <c r="L613" t="str">
        <f t="shared" si="48"/>
        <v/>
      </c>
      <c r="M613" t="str">
        <f t="shared" si="49"/>
        <v/>
      </c>
      <c r="N613" t="str">
        <f>IF($F613="","",IF(Sync!$AF613="","0000",IF(AND(ISNUMBER(Sync!$AF613),Sync!$AF613&gt;=0,Sync!$AF613&lt;1),RIGHT("00"&amp;HOUR(Sync!$AF613),2)&amp;RIGHT("00"&amp;MINUTE(Sync!$AF613),2),IFERROR(RIGHT("00"&amp;VALUE(LEFT(Sync!$AF613,FIND(":",Sync!$AF613)-1)),2)&amp;RIGHT("00"&amp;VALUE(MID(Sync!$AF613,FIND(":",Sync!$AF613)+1,2)),2),"0000"))))</f>
        <v/>
      </c>
    </row>
    <row r="614" spans="1:14" x14ac:dyDescent="0.2">
      <c r="A614" t="str">
        <f>IF(OR(Calc!$E618="",Calc!$E618="نامعتبر",Calc!$G618=""),"",Calc!$G618)</f>
        <v/>
      </c>
      <c r="B614" t="str">
        <f>IF($A614="","",LEFT(Calc!$E618,4)&amp;MID(Calc!$E618,6,2)&amp;RIGHT(Calc!$E618,2)&amp;Calc!$Q618&amp;"|"&amp;"1"&amp;RIGHT("00000"&amp;609,5))</f>
        <v/>
      </c>
      <c r="C614" t="str">
        <f t="shared" si="45"/>
        <v/>
      </c>
      <c r="D614" t="str">
        <f t="shared" si="46"/>
        <v/>
      </c>
      <c r="F614" t="str">
        <f>IF(Sync!$AH614="","",IF(LEFT(UPPER(TRIM(Sync!$AH614)),2)="SL",UPPER(TRIM(Sync!$AH614)),""))</f>
        <v/>
      </c>
      <c r="G614" t="str">
        <f>IF($F614="","",IF(Sync!$AE614="","",IF(ISNUMBER(Sync!$AE614),IF(AND(Sync!$AE614&gt;=10000101,Sync!$AE614&lt;=99991231),INT(Sync!$AE614/10000),""),IFERROR(VALUE(TRIM(LEFT(Sync!$AE614,FIND("/",Sync!$AE614)-1))),""))))</f>
        <v/>
      </c>
      <c r="H614" t="str">
        <f>IF(OR($F614="",$G614=""),"",IF(ISNUMBER(Sync!$AE614),INT(MOD(Sync!$AE614,10000)/100),IFERROR(VALUE(TRIM(LEFT(MID(Sync!$AE614,FIND("/",Sync!$AE614)+1,20),FIND("/",MID(Sync!$AE614,FIND("/",Sync!$AE614)+1,20))-1))),"")))</f>
        <v/>
      </c>
      <c r="I614" t="str">
        <f>IF(OR($F614="",$G614=""),"",IF(ISNUMBER(Sync!$AE614),MOD(Sync!$AE614,100),IFERROR(VALUE(TRIM(MID(MID(Sync!$AE614,FIND("/",Sync!$AE614)+1,20),FIND("/",MID(Sync!$AE614,FIND("/",Sync!$AE614)+1,20))+1,20))),"")))</f>
        <v/>
      </c>
      <c r="J614" t="str">
        <f t="shared" si="47"/>
        <v/>
      </c>
      <c r="K614" t="str">
        <f>IF(OR($F614="",$J614="",$J614="نامعتبر"),"",LEFT($J614,4)&amp;MID($J614,6,2)&amp;RIGHT($J614,2)&amp;$N614&amp;"|"&amp;"2"&amp;RIGHT("00000"&amp;609,5))</f>
        <v/>
      </c>
      <c r="L614" t="str">
        <f t="shared" si="48"/>
        <v/>
      </c>
      <c r="M614" t="str">
        <f t="shared" si="49"/>
        <v/>
      </c>
      <c r="N614" t="str">
        <f>IF($F614="","",IF(Sync!$AF614="","0000",IF(AND(ISNUMBER(Sync!$AF614),Sync!$AF614&gt;=0,Sync!$AF614&lt;1),RIGHT("00"&amp;HOUR(Sync!$AF614),2)&amp;RIGHT("00"&amp;MINUTE(Sync!$AF614),2),IFERROR(RIGHT("00"&amp;VALUE(LEFT(Sync!$AF614,FIND(":",Sync!$AF614)-1)),2)&amp;RIGHT("00"&amp;VALUE(MID(Sync!$AF614,FIND(":",Sync!$AF614)+1,2)),2),"0000"))))</f>
        <v/>
      </c>
    </row>
    <row r="615" spans="1:14" x14ac:dyDescent="0.2">
      <c r="A615" t="str">
        <f>IF(OR(Calc!$E619="",Calc!$E619="نامعتبر",Calc!$G619=""),"",Calc!$G619)</f>
        <v/>
      </c>
      <c r="B615" t="str">
        <f>IF($A615="","",LEFT(Calc!$E619,4)&amp;MID(Calc!$E619,6,2)&amp;RIGHT(Calc!$E619,2)&amp;Calc!$Q619&amp;"|"&amp;"1"&amp;RIGHT("00000"&amp;610,5))</f>
        <v/>
      </c>
      <c r="C615" t="str">
        <f t="shared" si="45"/>
        <v/>
      </c>
      <c r="D615" t="str">
        <f t="shared" si="46"/>
        <v/>
      </c>
      <c r="F615" t="str">
        <f>IF(Sync!$AH615="","",IF(LEFT(UPPER(TRIM(Sync!$AH615)),2)="SL",UPPER(TRIM(Sync!$AH615)),""))</f>
        <v/>
      </c>
      <c r="G615" t="str">
        <f>IF($F615="","",IF(Sync!$AE615="","",IF(ISNUMBER(Sync!$AE615),IF(AND(Sync!$AE615&gt;=10000101,Sync!$AE615&lt;=99991231),INT(Sync!$AE615/10000),""),IFERROR(VALUE(TRIM(LEFT(Sync!$AE615,FIND("/",Sync!$AE615)-1))),""))))</f>
        <v/>
      </c>
      <c r="H615" t="str">
        <f>IF(OR($F615="",$G615=""),"",IF(ISNUMBER(Sync!$AE615),INT(MOD(Sync!$AE615,10000)/100),IFERROR(VALUE(TRIM(LEFT(MID(Sync!$AE615,FIND("/",Sync!$AE615)+1,20),FIND("/",MID(Sync!$AE615,FIND("/",Sync!$AE615)+1,20))-1))),"")))</f>
        <v/>
      </c>
      <c r="I615" t="str">
        <f>IF(OR($F615="",$G615=""),"",IF(ISNUMBER(Sync!$AE615),MOD(Sync!$AE615,100),IFERROR(VALUE(TRIM(MID(MID(Sync!$AE615,FIND("/",Sync!$AE615)+1,20),FIND("/",MID(Sync!$AE615,FIND("/",Sync!$AE615)+1,20))+1,20))),"")))</f>
        <v/>
      </c>
      <c r="J615" t="str">
        <f t="shared" si="47"/>
        <v/>
      </c>
      <c r="K615" t="str">
        <f>IF(OR($F615="",$J615="",$J615="نامعتبر"),"",LEFT($J615,4)&amp;MID($J615,6,2)&amp;RIGHT($J615,2)&amp;$N615&amp;"|"&amp;"2"&amp;RIGHT("00000"&amp;610,5))</f>
        <v/>
      </c>
      <c r="L615" t="str">
        <f t="shared" si="48"/>
        <v/>
      </c>
      <c r="M615" t="str">
        <f t="shared" si="49"/>
        <v/>
      </c>
      <c r="N615" t="str">
        <f>IF($F615="","",IF(Sync!$AF615="","0000",IF(AND(ISNUMBER(Sync!$AF615),Sync!$AF615&gt;=0,Sync!$AF615&lt;1),RIGHT("00"&amp;HOUR(Sync!$AF615),2)&amp;RIGHT("00"&amp;MINUTE(Sync!$AF615),2),IFERROR(RIGHT("00"&amp;VALUE(LEFT(Sync!$AF615,FIND(":",Sync!$AF615)-1)),2)&amp;RIGHT("00"&amp;VALUE(MID(Sync!$AF615,FIND(":",Sync!$AF615)+1,2)),2),"0000"))))</f>
        <v/>
      </c>
    </row>
    <row r="616" spans="1:14" x14ac:dyDescent="0.2">
      <c r="A616" t="str">
        <f>IF(OR(Calc!$E620="",Calc!$E620="نامعتبر",Calc!$G620=""),"",Calc!$G620)</f>
        <v/>
      </c>
      <c r="B616" t="str">
        <f>IF($A616="","",LEFT(Calc!$E620,4)&amp;MID(Calc!$E620,6,2)&amp;RIGHT(Calc!$E620,2)&amp;Calc!$Q620&amp;"|"&amp;"1"&amp;RIGHT("00000"&amp;611,5))</f>
        <v/>
      </c>
      <c r="C616" t="str">
        <f t="shared" si="45"/>
        <v/>
      </c>
      <c r="D616" t="str">
        <f t="shared" si="46"/>
        <v/>
      </c>
      <c r="F616" t="str">
        <f>IF(Sync!$AH616="","",IF(LEFT(UPPER(TRIM(Sync!$AH616)),2)="SL",UPPER(TRIM(Sync!$AH616)),""))</f>
        <v/>
      </c>
      <c r="G616" t="str">
        <f>IF($F616="","",IF(Sync!$AE616="","",IF(ISNUMBER(Sync!$AE616),IF(AND(Sync!$AE616&gt;=10000101,Sync!$AE616&lt;=99991231),INT(Sync!$AE616/10000),""),IFERROR(VALUE(TRIM(LEFT(Sync!$AE616,FIND("/",Sync!$AE616)-1))),""))))</f>
        <v/>
      </c>
      <c r="H616" t="str">
        <f>IF(OR($F616="",$G616=""),"",IF(ISNUMBER(Sync!$AE616),INT(MOD(Sync!$AE616,10000)/100),IFERROR(VALUE(TRIM(LEFT(MID(Sync!$AE616,FIND("/",Sync!$AE616)+1,20),FIND("/",MID(Sync!$AE616,FIND("/",Sync!$AE616)+1,20))-1))),"")))</f>
        <v/>
      </c>
      <c r="I616" t="str">
        <f>IF(OR($F616="",$G616=""),"",IF(ISNUMBER(Sync!$AE616),MOD(Sync!$AE616,100),IFERROR(VALUE(TRIM(MID(MID(Sync!$AE616,FIND("/",Sync!$AE616)+1,20),FIND("/",MID(Sync!$AE616,FIND("/",Sync!$AE616)+1,20))+1,20))),"")))</f>
        <v/>
      </c>
      <c r="J616" t="str">
        <f t="shared" si="47"/>
        <v/>
      </c>
      <c r="K616" t="str">
        <f>IF(OR($F616="",$J616="",$J616="نامعتبر"),"",LEFT($J616,4)&amp;MID($J616,6,2)&amp;RIGHT($J616,2)&amp;$N616&amp;"|"&amp;"2"&amp;RIGHT("00000"&amp;611,5))</f>
        <v/>
      </c>
      <c r="L616" t="str">
        <f t="shared" si="48"/>
        <v/>
      </c>
      <c r="M616" t="str">
        <f t="shared" si="49"/>
        <v/>
      </c>
      <c r="N616" t="str">
        <f>IF($F616="","",IF(Sync!$AF616="","0000",IF(AND(ISNUMBER(Sync!$AF616),Sync!$AF616&gt;=0,Sync!$AF616&lt;1),RIGHT("00"&amp;HOUR(Sync!$AF616),2)&amp;RIGHT("00"&amp;MINUTE(Sync!$AF616),2),IFERROR(RIGHT("00"&amp;VALUE(LEFT(Sync!$AF616,FIND(":",Sync!$AF616)-1)),2)&amp;RIGHT("00"&amp;VALUE(MID(Sync!$AF616,FIND(":",Sync!$AF616)+1,2)),2),"0000"))))</f>
        <v/>
      </c>
    </row>
    <row r="617" spans="1:14" x14ac:dyDescent="0.2">
      <c r="A617" t="str">
        <f>IF(OR(Calc!$E621="",Calc!$E621="نامعتبر",Calc!$G621=""),"",Calc!$G621)</f>
        <v/>
      </c>
      <c r="B617" t="str">
        <f>IF($A617="","",LEFT(Calc!$E621,4)&amp;MID(Calc!$E621,6,2)&amp;RIGHT(Calc!$E621,2)&amp;Calc!$Q621&amp;"|"&amp;"1"&amp;RIGHT("00000"&amp;612,5))</f>
        <v/>
      </c>
      <c r="C617" t="str">
        <f t="shared" si="45"/>
        <v/>
      </c>
      <c r="D617" t="str">
        <f t="shared" si="46"/>
        <v/>
      </c>
      <c r="F617" t="str">
        <f>IF(Sync!$AH617="","",IF(LEFT(UPPER(TRIM(Sync!$AH617)),2)="SL",UPPER(TRIM(Sync!$AH617)),""))</f>
        <v/>
      </c>
      <c r="G617" t="str">
        <f>IF($F617="","",IF(Sync!$AE617="","",IF(ISNUMBER(Sync!$AE617),IF(AND(Sync!$AE617&gt;=10000101,Sync!$AE617&lt;=99991231),INT(Sync!$AE617/10000),""),IFERROR(VALUE(TRIM(LEFT(Sync!$AE617,FIND("/",Sync!$AE617)-1))),""))))</f>
        <v/>
      </c>
      <c r="H617" t="str">
        <f>IF(OR($F617="",$G617=""),"",IF(ISNUMBER(Sync!$AE617),INT(MOD(Sync!$AE617,10000)/100),IFERROR(VALUE(TRIM(LEFT(MID(Sync!$AE617,FIND("/",Sync!$AE617)+1,20),FIND("/",MID(Sync!$AE617,FIND("/",Sync!$AE617)+1,20))-1))),"")))</f>
        <v/>
      </c>
      <c r="I617" t="str">
        <f>IF(OR($F617="",$G617=""),"",IF(ISNUMBER(Sync!$AE617),MOD(Sync!$AE617,100),IFERROR(VALUE(TRIM(MID(MID(Sync!$AE617,FIND("/",Sync!$AE617)+1,20),FIND("/",MID(Sync!$AE617,FIND("/",Sync!$AE617)+1,20))+1,20))),"")))</f>
        <v/>
      </c>
      <c r="J617" t="str">
        <f t="shared" si="47"/>
        <v/>
      </c>
      <c r="K617" t="str">
        <f>IF(OR($F617="",$J617="",$J617="نامعتبر"),"",LEFT($J617,4)&amp;MID($J617,6,2)&amp;RIGHT($J617,2)&amp;$N617&amp;"|"&amp;"2"&amp;RIGHT("00000"&amp;612,5))</f>
        <v/>
      </c>
      <c r="L617" t="str">
        <f t="shared" si="48"/>
        <v/>
      </c>
      <c r="M617" t="str">
        <f t="shared" si="49"/>
        <v/>
      </c>
      <c r="N617" t="str">
        <f>IF($F617="","",IF(Sync!$AF617="","0000",IF(AND(ISNUMBER(Sync!$AF617),Sync!$AF617&gt;=0,Sync!$AF617&lt;1),RIGHT("00"&amp;HOUR(Sync!$AF617),2)&amp;RIGHT("00"&amp;MINUTE(Sync!$AF617),2),IFERROR(RIGHT("00"&amp;VALUE(LEFT(Sync!$AF617,FIND(":",Sync!$AF617)-1)),2)&amp;RIGHT("00"&amp;VALUE(MID(Sync!$AF617,FIND(":",Sync!$AF617)+1,2)),2),"0000"))))</f>
        <v/>
      </c>
    </row>
    <row r="618" spans="1:14" x14ac:dyDescent="0.2">
      <c r="A618" t="str">
        <f>IF(OR(Calc!$E622="",Calc!$E622="نامعتبر",Calc!$G622=""),"",Calc!$G622)</f>
        <v/>
      </c>
      <c r="B618" t="str">
        <f>IF($A618="","",LEFT(Calc!$E622,4)&amp;MID(Calc!$E622,6,2)&amp;RIGHT(Calc!$E622,2)&amp;Calc!$Q622&amp;"|"&amp;"1"&amp;RIGHT("00000"&amp;613,5))</f>
        <v/>
      </c>
      <c r="C618" t="str">
        <f t="shared" si="45"/>
        <v/>
      </c>
      <c r="D618" t="str">
        <f t="shared" si="46"/>
        <v/>
      </c>
      <c r="F618" t="str">
        <f>IF(Sync!$AH618="","",IF(LEFT(UPPER(TRIM(Sync!$AH618)),2)="SL",UPPER(TRIM(Sync!$AH618)),""))</f>
        <v/>
      </c>
      <c r="G618" t="str">
        <f>IF($F618="","",IF(Sync!$AE618="","",IF(ISNUMBER(Sync!$AE618),IF(AND(Sync!$AE618&gt;=10000101,Sync!$AE618&lt;=99991231),INT(Sync!$AE618/10000),""),IFERROR(VALUE(TRIM(LEFT(Sync!$AE618,FIND("/",Sync!$AE618)-1))),""))))</f>
        <v/>
      </c>
      <c r="H618" t="str">
        <f>IF(OR($F618="",$G618=""),"",IF(ISNUMBER(Sync!$AE618),INT(MOD(Sync!$AE618,10000)/100),IFERROR(VALUE(TRIM(LEFT(MID(Sync!$AE618,FIND("/",Sync!$AE618)+1,20),FIND("/",MID(Sync!$AE618,FIND("/",Sync!$AE618)+1,20))-1))),"")))</f>
        <v/>
      </c>
      <c r="I618" t="str">
        <f>IF(OR($F618="",$G618=""),"",IF(ISNUMBER(Sync!$AE618),MOD(Sync!$AE618,100),IFERROR(VALUE(TRIM(MID(MID(Sync!$AE618,FIND("/",Sync!$AE618)+1,20),FIND("/",MID(Sync!$AE618,FIND("/",Sync!$AE618)+1,20))+1,20))),"")))</f>
        <v/>
      </c>
      <c r="J618" t="str">
        <f t="shared" si="47"/>
        <v/>
      </c>
      <c r="K618" t="str">
        <f>IF(OR($F618="",$J618="",$J618="نامعتبر"),"",LEFT($J618,4)&amp;MID($J618,6,2)&amp;RIGHT($J618,2)&amp;$N618&amp;"|"&amp;"2"&amp;RIGHT("00000"&amp;613,5))</f>
        <v/>
      </c>
      <c r="L618" t="str">
        <f t="shared" si="48"/>
        <v/>
      </c>
      <c r="M618" t="str">
        <f t="shared" si="49"/>
        <v/>
      </c>
      <c r="N618" t="str">
        <f>IF($F618="","",IF(Sync!$AF618="","0000",IF(AND(ISNUMBER(Sync!$AF618),Sync!$AF618&gt;=0,Sync!$AF618&lt;1),RIGHT("00"&amp;HOUR(Sync!$AF618),2)&amp;RIGHT("00"&amp;MINUTE(Sync!$AF618),2),IFERROR(RIGHT("00"&amp;VALUE(LEFT(Sync!$AF618,FIND(":",Sync!$AF618)-1)),2)&amp;RIGHT("00"&amp;VALUE(MID(Sync!$AF618,FIND(":",Sync!$AF618)+1,2)),2),"0000"))))</f>
        <v/>
      </c>
    </row>
    <row r="619" spans="1:14" x14ac:dyDescent="0.2">
      <c r="A619" t="str">
        <f>IF(OR(Calc!$E623="",Calc!$E623="نامعتبر",Calc!$G623=""),"",Calc!$G623)</f>
        <v/>
      </c>
      <c r="B619" t="str">
        <f>IF($A619="","",LEFT(Calc!$E623,4)&amp;MID(Calc!$E623,6,2)&amp;RIGHT(Calc!$E623,2)&amp;Calc!$Q623&amp;"|"&amp;"1"&amp;RIGHT("00000"&amp;614,5))</f>
        <v/>
      </c>
      <c r="C619" t="str">
        <f t="shared" si="45"/>
        <v/>
      </c>
      <c r="D619" t="str">
        <f t="shared" si="46"/>
        <v/>
      </c>
      <c r="F619" t="str">
        <f>IF(Sync!$AH619="","",IF(LEFT(UPPER(TRIM(Sync!$AH619)),2)="SL",UPPER(TRIM(Sync!$AH619)),""))</f>
        <v/>
      </c>
      <c r="G619" t="str">
        <f>IF($F619="","",IF(Sync!$AE619="","",IF(ISNUMBER(Sync!$AE619),IF(AND(Sync!$AE619&gt;=10000101,Sync!$AE619&lt;=99991231),INT(Sync!$AE619/10000),""),IFERROR(VALUE(TRIM(LEFT(Sync!$AE619,FIND("/",Sync!$AE619)-1))),""))))</f>
        <v/>
      </c>
      <c r="H619" t="str">
        <f>IF(OR($F619="",$G619=""),"",IF(ISNUMBER(Sync!$AE619),INT(MOD(Sync!$AE619,10000)/100),IFERROR(VALUE(TRIM(LEFT(MID(Sync!$AE619,FIND("/",Sync!$AE619)+1,20),FIND("/",MID(Sync!$AE619,FIND("/",Sync!$AE619)+1,20))-1))),"")))</f>
        <v/>
      </c>
      <c r="I619" t="str">
        <f>IF(OR($F619="",$G619=""),"",IF(ISNUMBER(Sync!$AE619),MOD(Sync!$AE619,100),IFERROR(VALUE(TRIM(MID(MID(Sync!$AE619,FIND("/",Sync!$AE619)+1,20),FIND("/",MID(Sync!$AE619,FIND("/",Sync!$AE619)+1,20))+1,20))),"")))</f>
        <v/>
      </c>
      <c r="J619" t="str">
        <f t="shared" si="47"/>
        <v/>
      </c>
      <c r="K619" t="str">
        <f>IF(OR($F619="",$J619="",$J619="نامعتبر"),"",LEFT($J619,4)&amp;MID($J619,6,2)&amp;RIGHT($J619,2)&amp;$N619&amp;"|"&amp;"2"&amp;RIGHT("00000"&amp;614,5))</f>
        <v/>
      </c>
      <c r="L619" t="str">
        <f t="shared" si="48"/>
        <v/>
      </c>
      <c r="M619" t="str">
        <f t="shared" si="49"/>
        <v/>
      </c>
      <c r="N619" t="str">
        <f>IF($F619="","",IF(Sync!$AF619="","0000",IF(AND(ISNUMBER(Sync!$AF619),Sync!$AF619&gt;=0,Sync!$AF619&lt;1),RIGHT("00"&amp;HOUR(Sync!$AF619),2)&amp;RIGHT("00"&amp;MINUTE(Sync!$AF619),2),IFERROR(RIGHT("00"&amp;VALUE(LEFT(Sync!$AF619,FIND(":",Sync!$AF619)-1)),2)&amp;RIGHT("00"&amp;VALUE(MID(Sync!$AF619,FIND(":",Sync!$AF619)+1,2)),2),"0000"))))</f>
        <v/>
      </c>
    </row>
    <row r="620" spans="1:14" x14ac:dyDescent="0.2">
      <c r="A620" t="str">
        <f>IF(OR(Calc!$E624="",Calc!$E624="نامعتبر",Calc!$G624=""),"",Calc!$G624)</f>
        <v/>
      </c>
      <c r="B620" t="str">
        <f>IF($A620="","",LEFT(Calc!$E624,4)&amp;MID(Calc!$E624,6,2)&amp;RIGHT(Calc!$E624,2)&amp;Calc!$Q624&amp;"|"&amp;"1"&amp;RIGHT("00000"&amp;615,5))</f>
        <v/>
      </c>
      <c r="C620" t="str">
        <f t="shared" si="45"/>
        <v/>
      </c>
      <c r="D620" t="str">
        <f t="shared" si="46"/>
        <v/>
      </c>
      <c r="F620" t="str">
        <f>IF(Sync!$AH620="","",IF(LEFT(UPPER(TRIM(Sync!$AH620)),2)="SL",UPPER(TRIM(Sync!$AH620)),""))</f>
        <v/>
      </c>
      <c r="G620" t="str">
        <f>IF($F620="","",IF(Sync!$AE620="","",IF(ISNUMBER(Sync!$AE620),IF(AND(Sync!$AE620&gt;=10000101,Sync!$AE620&lt;=99991231),INT(Sync!$AE620/10000),""),IFERROR(VALUE(TRIM(LEFT(Sync!$AE620,FIND("/",Sync!$AE620)-1))),""))))</f>
        <v/>
      </c>
      <c r="H620" t="str">
        <f>IF(OR($F620="",$G620=""),"",IF(ISNUMBER(Sync!$AE620),INT(MOD(Sync!$AE620,10000)/100),IFERROR(VALUE(TRIM(LEFT(MID(Sync!$AE620,FIND("/",Sync!$AE620)+1,20),FIND("/",MID(Sync!$AE620,FIND("/",Sync!$AE620)+1,20))-1))),"")))</f>
        <v/>
      </c>
      <c r="I620" t="str">
        <f>IF(OR($F620="",$G620=""),"",IF(ISNUMBER(Sync!$AE620),MOD(Sync!$AE620,100),IFERROR(VALUE(TRIM(MID(MID(Sync!$AE620,FIND("/",Sync!$AE620)+1,20),FIND("/",MID(Sync!$AE620,FIND("/",Sync!$AE620)+1,20))+1,20))),"")))</f>
        <v/>
      </c>
      <c r="J620" t="str">
        <f t="shared" si="47"/>
        <v/>
      </c>
      <c r="K620" t="str">
        <f>IF(OR($F620="",$J620="",$J620="نامعتبر"),"",LEFT($J620,4)&amp;MID($J620,6,2)&amp;RIGHT($J620,2)&amp;$N620&amp;"|"&amp;"2"&amp;RIGHT("00000"&amp;615,5))</f>
        <v/>
      </c>
      <c r="L620" t="str">
        <f t="shared" si="48"/>
        <v/>
      </c>
      <c r="M620" t="str">
        <f t="shared" si="49"/>
        <v/>
      </c>
      <c r="N620" t="str">
        <f>IF($F620="","",IF(Sync!$AF620="","0000",IF(AND(ISNUMBER(Sync!$AF620),Sync!$AF620&gt;=0,Sync!$AF620&lt;1),RIGHT("00"&amp;HOUR(Sync!$AF620),2)&amp;RIGHT("00"&amp;MINUTE(Sync!$AF620),2),IFERROR(RIGHT("00"&amp;VALUE(LEFT(Sync!$AF620,FIND(":",Sync!$AF620)-1)),2)&amp;RIGHT("00"&amp;VALUE(MID(Sync!$AF620,FIND(":",Sync!$AF620)+1,2)),2),"0000"))))</f>
        <v/>
      </c>
    </row>
    <row r="621" spans="1:14" x14ac:dyDescent="0.2">
      <c r="A621" t="str">
        <f>IF(OR(Calc!$E625="",Calc!$E625="نامعتبر",Calc!$G625=""),"",Calc!$G625)</f>
        <v/>
      </c>
      <c r="B621" t="str">
        <f>IF($A621="","",LEFT(Calc!$E625,4)&amp;MID(Calc!$E625,6,2)&amp;RIGHT(Calc!$E625,2)&amp;Calc!$Q625&amp;"|"&amp;"1"&amp;RIGHT("00000"&amp;616,5))</f>
        <v/>
      </c>
      <c r="C621" t="str">
        <f t="shared" si="45"/>
        <v/>
      </c>
      <c r="D621" t="str">
        <f t="shared" si="46"/>
        <v/>
      </c>
      <c r="F621" t="str">
        <f>IF(Sync!$AH621="","",IF(LEFT(UPPER(TRIM(Sync!$AH621)),2)="SL",UPPER(TRIM(Sync!$AH621)),""))</f>
        <v/>
      </c>
      <c r="G621" t="str">
        <f>IF($F621="","",IF(Sync!$AE621="","",IF(ISNUMBER(Sync!$AE621),IF(AND(Sync!$AE621&gt;=10000101,Sync!$AE621&lt;=99991231),INT(Sync!$AE621/10000),""),IFERROR(VALUE(TRIM(LEFT(Sync!$AE621,FIND("/",Sync!$AE621)-1))),""))))</f>
        <v/>
      </c>
      <c r="H621" t="str">
        <f>IF(OR($F621="",$G621=""),"",IF(ISNUMBER(Sync!$AE621),INT(MOD(Sync!$AE621,10000)/100),IFERROR(VALUE(TRIM(LEFT(MID(Sync!$AE621,FIND("/",Sync!$AE621)+1,20),FIND("/",MID(Sync!$AE621,FIND("/",Sync!$AE621)+1,20))-1))),"")))</f>
        <v/>
      </c>
      <c r="I621" t="str">
        <f>IF(OR($F621="",$G621=""),"",IF(ISNUMBER(Sync!$AE621),MOD(Sync!$AE621,100),IFERROR(VALUE(TRIM(MID(MID(Sync!$AE621,FIND("/",Sync!$AE621)+1,20),FIND("/",MID(Sync!$AE621,FIND("/",Sync!$AE621)+1,20))+1,20))),"")))</f>
        <v/>
      </c>
      <c r="J621" t="str">
        <f t="shared" si="47"/>
        <v/>
      </c>
      <c r="K621" t="str">
        <f>IF(OR($F621="",$J621="",$J621="نامعتبر"),"",LEFT($J621,4)&amp;MID($J621,6,2)&amp;RIGHT($J621,2)&amp;$N621&amp;"|"&amp;"2"&amp;RIGHT("00000"&amp;616,5))</f>
        <v/>
      </c>
      <c r="L621" t="str">
        <f t="shared" si="48"/>
        <v/>
      </c>
      <c r="M621" t="str">
        <f t="shared" si="49"/>
        <v/>
      </c>
      <c r="N621" t="str">
        <f>IF($F621="","",IF(Sync!$AF621="","0000",IF(AND(ISNUMBER(Sync!$AF621),Sync!$AF621&gt;=0,Sync!$AF621&lt;1),RIGHT("00"&amp;HOUR(Sync!$AF621),2)&amp;RIGHT("00"&amp;MINUTE(Sync!$AF621),2),IFERROR(RIGHT("00"&amp;VALUE(LEFT(Sync!$AF621,FIND(":",Sync!$AF621)-1)),2)&amp;RIGHT("00"&amp;VALUE(MID(Sync!$AF621,FIND(":",Sync!$AF621)+1,2)),2),"0000"))))</f>
        <v/>
      </c>
    </row>
    <row r="622" spans="1:14" x14ac:dyDescent="0.2">
      <c r="A622" t="str">
        <f>IF(OR(Calc!$E626="",Calc!$E626="نامعتبر",Calc!$G626=""),"",Calc!$G626)</f>
        <v/>
      </c>
      <c r="B622" t="str">
        <f>IF($A622="","",LEFT(Calc!$E626,4)&amp;MID(Calc!$E626,6,2)&amp;RIGHT(Calc!$E626,2)&amp;Calc!$Q626&amp;"|"&amp;"1"&amp;RIGHT("00000"&amp;617,5))</f>
        <v/>
      </c>
      <c r="C622" t="str">
        <f t="shared" si="45"/>
        <v/>
      </c>
      <c r="D622" t="str">
        <f t="shared" si="46"/>
        <v/>
      </c>
      <c r="F622" t="str">
        <f>IF(Sync!$AH622="","",IF(LEFT(UPPER(TRIM(Sync!$AH622)),2)="SL",UPPER(TRIM(Sync!$AH622)),""))</f>
        <v/>
      </c>
      <c r="G622" t="str">
        <f>IF($F622="","",IF(Sync!$AE622="","",IF(ISNUMBER(Sync!$AE622),IF(AND(Sync!$AE622&gt;=10000101,Sync!$AE622&lt;=99991231),INT(Sync!$AE622/10000),""),IFERROR(VALUE(TRIM(LEFT(Sync!$AE622,FIND("/",Sync!$AE622)-1))),""))))</f>
        <v/>
      </c>
      <c r="H622" t="str">
        <f>IF(OR($F622="",$G622=""),"",IF(ISNUMBER(Sync!$AE622),INT(MOD(Sync!$AE622,10000)/100),IFERROR(VALUE(TRIM(LEFT(MID(Sync!$AE622,FIND("/",Sync!$AE622)+1,20),FIND("/",MID(Sync!$AE622,FIND("/",Sync!$AE622)+1,20))-1))),"")))</f>
        <v/>
      </c>
      <c r="I622" t="str">
        <f>IF(OR($F622="",$G622=""),"",IF(ISNUMBER(Sync!$AE622),MOD(Sync!$AE622,100),IFERROR(VALUE(TRIM(MID(MID(Sync!$AE622,FIND("/",Sync!$AE622)+1,20),FIND("/",MID(Sync!$AE622,FIND("/",Sync!$AE622)+1,20))+1,20))),"")))</f>
        <v/>
      </c>
      <c r="J622" t="str">
        <f t="shared" si="47"/>
        <v/>
      </c>
      <c r="K622" t="str">
        <f>IF(OR($F622="",$J622="",$J622="نامعتبر"),"",LEFT($J622,4)&amp;MID($J622,6,2)&amp;RIGHT($J622,2)&amp;$N622&amp;"|"&amp;"2"&amp;RIGHT("00000"&amp;617,5))</f>
        <v/>
      </c>
      <c r="L622" t="str">
        <f t="shared" si="48"/>
        <v/>
      </c>
      <c r="M622" t="str">
        <f t="shared" si="49"/>
        <v/>
      </c>
      <c r="N622" t="str">
        <f>IF($F622="","",IF(Sync!$AF622="","0000",IF(AND(ISNUMBER(Sync!$AF622),Sync!$AF622&gt;=0,Sync!$AF622&lt;1),RIGHT("00"&amp;HOUR(Sync!$AF622),2)&amp;RIGHT("00"&amp;MINUTE(Sync!$AF622),2),IFERROR(RIGHT("00"&amp;VALUE(LEFT(Sync!$AF622,FIND(":",Sync!$AF622)-1)),2)&amp;RIGHT("00"&amp;VALUE(MID(Sync!$AF622,FIND(":",Sync!$AF622)+1,2)),2),"0000"))))</f>
        <v/>
      </c>
    </row>
    <row r="623" spans="1:14" x14ac:dyDescent="0.2">
      <c r="A623" t="str">
        <f>IF(OR(Calc!$E627="",Calc!$E627="نامعتبر",Calc!$G627=""),"",Calc!$G627)</f>
        <v/>
      </c>
      <c r="B623" t="str">
        <f>IF($A623="","",LEFT(Calc!$E627,4)&amp;MID(Calc!$E627,6,2)&amp;RIGHT(Calc!$E627,2)&amp;Calc!$Q627&amp;"|"&amp;"1"&amp;RIGHT("00000"&amp;618,5))</f>
        <v/>
      </c>
      <c r="C623" t="str">
        <f t="shared" si="45"/>
        <v/>
      </c>
      <c r="D623" t="str">
        <f t="shared" si="46"/>
        <v/>
      </c>
      <c r="F623" t="str">
        <f>IF(Sync!$AH623="","",IF(LEFT(UPPER(TRIM(Sync!$AH623)),2)="SL",UPPER(TRIM(Sync!$AH623)),""))</f>
        <v/>
      </c>
      <c r="G623" t="str">
        <f>IF($F623="","",IF(Sync!$AE623="","",IF(ISNUMBER(Sync!$AE623),IF(AND(Sync!$AE623&gt;=10000101,Sync!$AE623&lt;=99991231),INT(Sync!$AE623/10000),""),IFERROR(VALUE(TRIM(LEFT(Sync!$AE623,FIND("/",Sync!$AE623)-1))),""))))</f>
        <v/>
      </c>
      <c r="H623" t="str">
        <f>IF(OR($F623="",$G623=""),"",IF(ISNUMBER(Sync!$AE623),INT(MOD(Sync!$AE623,10000)/100),IFERROR(VALUE(TRIM(LEFT(MID(Sync!$AE623,FIND("/",Sync!$AE623)+1,20),FIND("/",MID(Sync!$AE623,FIND("/",Sync!$AE623)+1,20))-1))),"")))</f>
        <v/>
      </c>
      <c r="I623" t="str">
        <f>IF(OR($F623="",$G623=""),"",IF(ISNUMBER(Sync!$AE623),MOD(Sync!$AE623,100),IFERROR(VALUE(TRIM(MID(MID(Sync!$AE623,FIND("/",Sync!$AE623)+1,20),FIND("/",MID(Sync!$AE623,FIND("/",Sync!$AE623)+1,20))+1,20))),"")))</f>
        <v/>
      </c>
      <c r="J623" t="str">
        <f t="shared" si="47"/>
        <v/>
      </c>
      <c r="K623" t="str">
        <f>IF(OR($F623="",$J623="",$J623="نامعتبر"),"",LEFT($J623,4)&amp;MID($J623,6,2)&amp;RIGHT($J623,2)&amp;$N623&amp;"|"&amp;"2"&amp;RIGHT("00000"&amp;618,5))</f>
        <v/>
      </c>
      <c r="L623" t="str">
        <f t="shared" si="48"/>
        <v/>
      </c>
      <c r="M623" t="str">
        <f t="shared" si="49"/>
        <v/>
      </c>
      <c r="N623" t="str">
        <f>IF($F623="","",IF(Sync!$AF623="","0000",IF(AND(ISNUMBER(Sync!$AF623),Sync!$AF623&gt;=0,Sync!$AF623&lt;1),RIGHT("00"&amp;HOUR(Sync!$AF623),2)&amp;RIGHT("00"&amp;MINUTE(Sync!$AF623),2),IFERROR(RIGHT("00"&amp;VALUE(LEFT(Sync!$AF623,FIND(":",Sync!$AF623)-1)),2)&amp;RIGHT("00"&amp;VALUE(MID(Sync!$AF623,FIND(":",Sync!$AF623)+1,2)),2),"0000"))))</f>
        <v/>
      </c>
    </row>
    <row r="624" spans="1:14" x14ac:dyDescent="0.2">
      <c r="A624" t="str">
        <f>IF(OR(Calc!$E628="",Calc!$E628="نامعتبر",Calc!$G628=""),"",Calc!$G628)</f>
        <v/>
      </c>
      <c r="B624" t="str">
        <f>IF($A624="","",LEFT(Calc!$E628,4)&amp;MID(Calc!$E628,6,2)&amp;RIGHT(Calc!$E628,2)&amp;Calc!$Q628&amp;"|"&amp;"1"&amp;RIGHT("00000"&amp;619,5))</f>
        <v/>
      </c>
      <c r="C624" t="str">
        <f t="shared" si="45"/>
        <v/>
      </c>
      <c r="D624" t="str">
        <f t="shared" si="46"/>
        <v/>
      </c>
      <c r="F624" t="str">
        <f>IF(Sync!$AH624="","",IF(LEFT(UPPER(TRIM(Sync!$AH624)),2)="SL",UPPER(TRIM(Sync!$AH624)),""))</f>
        <v/>
      </c>
      <c r="G624" t="str">
        <f>IF($F624="","",IF(Sync!$AE624="","",IF(ISNUMBER(Sync!$AE624),IF(AND(Sync!$AE624&gt;=10000101,Sync!$AE624&lt;=99991231),INT(Sync!$AE624/10000),""),IFERROR(VALUE(TRIM(LEFT(Sync!$AE624,FIND("/",Sync!$AE624)-1))),""))))</f>
        <v/>
      </c>
      <c r="H624" t="str">
        <f>IF(OR($F624="",$G624=""),"",IF(ISNUMBER(Sync!$AE624),INT(MOD(Sync!$AE624,10000)/100),IFERROR(VALUE(TRIM(LEFT(MID(Sync!$AE624,FIND("/",Sync!$AE624)+1,20),FIND("/",MID(Sync!$AE624,FIND("/",Sync!$AE624)+1,20))-1))),"")))</f>
        <v/>
      </c>
      <c r="I624" t="str">
        <f>IF(OR($F624="",$G624=""),"",IF(ISNUMBER(Sync!$AE624),MOD(Sync!$AE624,100),IFERROR(VALUE(TRIM(MID(MID(Sync!$AE624,FIND("/",Sync!$AE624)+1,20),FIND("/",MID(Sync!$AE624,FIND("/",Sync!$AE624)+1,20))+1,20))),"")))</f>
        <v/>
      </c>
      <c r="J624" t="str">
        <f t="shared" si="47"/>
        <v/>
      </c>
      <c r="K624" t="str">
        <f>IF(OR($F624="",$J624="",$J624="نامعتبر"),"",LEFT($J624,4)&amp;MID($J624,6,2)&amp;RIGHT($J624,2)&amp;$N624&amp;"|"&amp;"2"&amp;RIGHT("00000"&amp;619,5))</f>
        <v/>
      </c>
      <c r="L624" t="str">
        <f t="shared" si="48"/>
        <v/>
      </c>
      <c r="M624" t="str">
        <f t="shared" si="49"/>
        <v/>
      </c>
      <c r="N624" t="str">
        <f>IF($F624="","",IF(Sync!$AF624="","0000",IF(AND(ISNUMBER(Sync!$AF624),Sync!$AF624&gt;=0,Sync!$AF624&lt;1),RIGHT("00"&amp;HOUR(Sync!$AF624),2)&amp;RIGHT("00"&amp;MINUTE(Sync!$AF624),2),IFERROR(RIGHT("00"&amp;VALUE(LEFT(Sync!$AF624,FIND(":",Sync!$AF624)-1)),2)&amp;RIGHT("00"&amp;VALUE(MID(Sync!$AF624,FIND(":",Sync!$AF624)+1,2)),2),"0000"))))</f>
        <v/>
      </c>
    </row>
    <row r="625" spans="1:14" x14ac:dyDescent="0.2">
      <c r="A625" t="str">
        <f>IF(OR(Calc!$E629="",Calc!$E629="نامعتبر",Calc!$G629=""),"",Calc!$G629)</f>
        <v/>
      </c>
      <c r="B625" t="str">
        <f>IF($A625="","",LEFT(Calc!$E629,4)&amp;MID(Calc!$E629,6,2)&amp;RIGHT(Calc!$E629,2)&amp;Calc!$Q629&amp;"|"&amp;"1"&amp;RIGHT("00000"&amp;620,5))</f>
        <v/>
      </c>
      <c r="C625" t="str">
        <f t="shared" si="45"/>
        <v/>
      </c>
      <c r="D625" t="str">
        <f t="shared" si="46"/>
        <v/>
      </c>
      <c r="F625" t="str">
        <f>IF(Sync!$AH625="","",IF(LEFT(UPPER(TRIM(Sync!$AH625)),2)="SL",UPPER(TRIM(Sync!$AH625)),""))</f>
        <v/>
      </c>
      <c r="G625" t="str">
        <f>IF($F625="","",IF(Sync!$AE625="","",IF(ISNUMBER(Sync!$AE625),IF(AND(Sync!$AE625&gt;=10000101,Sync!$AE625&lt;=99991231),INT(Sync!$AE625/10000),""),IFERROR(VALUE(TRIM(LEFT(Sync!$AE625,FIND("/",Sync!$AE625)-1))),""))))</f>
        <v/>
      </c>
      <c r="H625" t="str">
        <f>IF(OR($F625="",$G625=""),"",IF(ISNUMBER(Sync!$AE625),INT(MOD(Sync!$AE625,10000)/100),IFERROR(VALUE(TRIM(LEFT(MID(Sync!$AE625,FIND("/",Sync!$AE625)+1,20),FIND("/",MID(Sync!$AE625,FIND("/",Sync!$AE625)+1,20))-1))),"")))</f>
        <v/>
      </c>
      <c r="I625" t="str">
        <f>IF(OR($F625="",$G625=""),"",IF(ISNUMBER(Sync!$AE625),MOD(Sync!$AE625,100),IFERROR(VALUE(TRIM(MID(MID(Sync!$AE625,FIND("/",Sync!$AE625)+1,20),FIND("/",MID(Sync!$AE625,FIND("/",Sync!$AE625)+1,20))+1,20))),"")))</f>
        <v/>
      </c>
      <c r="J625" t="str">
        <f t="shared" si="47"/>
        <v/>
      </c>
      <c r="K625" t="str">
        <f>IF(OR($F625="",$J625="",$J625="نامعتبر"),"",LEFT($J625,4)&amp;MID($J625,6,2)&amp;RIGHT($J625,2)&amp;$N625&amp;"|"&amp;"2"&amp;RIGHT("00000"&amp;620,5))</f>
        <v/>
      </c>
      <c r="L625" t="str">
        <f t="shared" si="48"/>
        <v/>
      </c>
      <c r="M625" t="str">
        <f t="shared" si="49"/>
        <v/>
      </c>
      <c r="N625" t="str">
        <f>IF($F625="","",IF(Sync!$AF625="","0000",IF(AND(ISNUMBER(Sync!$AF625),Sync!$AF625&gt;=0,Sync!$AF625&lt;1),RIGHT("00"&amp;HOUR(Sync!$AF625),2)&amp;RIGHT("00"&amp;MINUTE(Sync!$AF625),2),IFERROR(RIGHT("00"&amp;VALUE(LEFT(Sync!$AF625,FIND(":",Sync!$AF625)-1)),2)&amp;RIGHT("00"&amp;VALUE(MID(Sync!$AF625,FIND(":",Sync!$AF625)+1,2)),2),"0000"))))</f>
        <v/>
      </c>
    </row>
    <row r="626" spans="1:14" x14ac:dyDescent="0.2">
      <c r="A626" t="str">
        <f>IF(OR(Calc!$E630="",Calc!$E630="نامعتبر",Calc!$G630=""),"",Calc!$G630)</f>
        <v/>
      </c>
      <c r="B626" t="str">
        <f>IF($A626="","",LEFT(Calc!$E630,4)&amp;MID(Calc!$E630,6,2)&amp;RIGHT(Calc!$E630,2)&amp;Calc!$Q630&amp;"|"&amp;"1"&amp;RIGHT("00000"&amp;621,5))</f>
        <v/>
      </c>
      <c r="C626" t="str">
        <f t="shared" si="45"/>
        <v/>
      </c>
      <c r="D626" t="str">
        <f t="shared" si="46"/>
        <v/>
      </c>
      <c r="F626" t="str">
        <f>IF(Sync!$AH626="","",IF(LEFT(UPPER(TRIM(Sync!$AH626)),2)="SL",UPPER(TRIM(Sync!$AH626)),""))</f>
        <v/>
      </c>
      <c r="G626" t="str">
        <f>IF($F626="","",IF(Sync!$AE626="","",IF(ISNUMBER(Sync!$AE626),IF(AND(Sync!$AE626&gt;=10000101,Sync!$AE626&lt;=99991231),INT(Sync!$AE626/10000),""),IFERROR(VALUE(TRIM(LEFT(Sync!$AE626,FIND("/",Sync!$AE626)-1))),""))))</f>
        <v/>
      </c>
      <c r="H626" t="str">
        <f>IF(OR($F626="",$G626=""),"",IF(ISNUMBER(Sync!$AE626),INT(MOD(Sync!$AE626,10000)/100),IFERROR(VALUE(TRIM(LEFT(MID(Sync!$AE626,FIND("/",Sync!$AE626)+1,20),FIND("/",MID(Sync!$AE626,FIND("/",Sync!$AE626)+1,20))-1))),"")))</f>
        <v/>
      </c>
      <c r="I626" t="str">
        <f>IF(OR($F626="",$G626=""),"",IF(ISNUMBER(Sync!$AE626),MOD(Sync!$AE626,100),IFERROR(VALUE(TRIM(MID(MID(Sync!$AE626,FIND("/",Sync!$AE626)+1,20),FIND("/",MID(Sync!$AE626,FIND("/",Sync!$AE626)+1,20))+1,20))),"")))</f>
        <v/>
      </c>
      <c r="J626" t="str">
        <f t="shared" si="47"/>
        <v/>
      </c>
      <c r="K626" t="str">
        <f>IF(OR($F626="",$J626="",$J626="نامعتبر"),"",LEFT($J626,4)&amp;MID($J626,6,2)&amp;RIGHT($J626,2)&amp;$N626&amp;"|"&amp;"2"&amp;RIGHT("00000"&amp;621,5))</f>
        <v/>
      </c>
      <c r="L626" t="str">
        <f t="shared" si="48"/>
        <v/>
      </c>
      <c r="M626" t="str">
        <f t="shared" si="49"/>
        <v/>
      </c>
      <c r="N626" t="str">
        <f>IF($F626="","",IF(Sync!$AF626="","0000",IF(AND(ISNUMBER(Sync!$AF626),Sync!$AF626&gt;=0,Sync!$AF626&lt;1),RIGHT("00"&amp;HOUR(Sync!$AF626),2)&amp;RIGHT("00"&amp;MINUTE(Sync!$AF626),2),IFERROR(RIGHT("00"&amp;VALUE(LEFT(Sync!$AF626,FIND(":",Sync!$AF626)-1)),2)&amp;RIGHT("00"&amp;VALUE(MID(Sync!$AF626,FIND(":",Sync!$AF626)+1,2)),2),"0000"))))</f>
        <v/>
      </c>
    </row>
    <row r="627" spans="1:14" x14ac:dyDescent="0.2">
      <c r="A627" t="str">
        <f>IF(OR(Calc!$E631="",Calc!$E631="نامعتبر",Calc!$G631=""),"",Calc!$G631)</f>
        <v/>
      </c>
      <c r="B627" t="str">
        <f>IF($A627="","",LEFT(Calc!$E631,4)&amp;MID(Calc!$E631,6,2)&amp;RIGHT(Calc!$E631,2)&amp;Calc!$Q631&amp;"|"&amp;"1"&amp;RIGHT("00000"&amp;622,5))</f>
        <v/>
      </c>
      <c r="C627" t="str">
        <f t="shared" si="45"/>
        <v/>
      </c>
      <c r="D627" t="str">
        <f t="shared" si="46"/>
        <v/>
      </c>
      <c r="F627" t="str">
        <f>IF(Sync!$AH627="","",IF(LEFT(UPPER(TRIM(Sync!$AH627)),2)="SL",UPPER(TRIM(Sync!$AH627)),""))</f>
        <v/>
      </c>
      <c r="G627" t="str">
        <f>IF($F627="","",IF(Sync!$AE627="","",IF(ISNUMBER(Sync!$AE627),IF(AND(Sync!$AE627&gt;=10000101,Sync!$AE627&lt;=99991231),INT(Sync!$AE627/10000),""),IFERROR(VALUE(TRIM(LEFT(Sync!$AE627,FIND("/",Sync!$AE627)-1))),""))))</f>
        <v/>
      </c>
      <c r="H627" t="str">
        <f>IF(OR($F627="",$G627=""),"",IF(ISNUMBER(Sync!$AE627),INT(MOD(Sync!$AE627,10000)/100),IFERROR(VALUE(TRIM(LEFT(MID(Sync!$AE627,FIND("/",Sync!$AE627)+1,20),FIND("/",MID(Sync!$AE627,FIND("/",Sync!$AE627)+1,20))-1))),"")))</f>
        <v/>
      </c>
      <c r="I627" t="str">
        <f>IF(OR($F627="",$G627=""),"",IF(ISNUMBER(Sync!$AE627),MOD(Sync!$AE627,100),IFERROR(VALUE(TRIM(MID(MID(Sync!$AE627,FIND("/",Sync!$AE627)+1,20),FIND("/",MID(Sync!$AE627,FIND("/",Sync!$AE627)+1,20))+1,20))),"")))</f>
        <v/>
      </c>
      <c r="J627" t="str">
        <f t="shared" si="47"/>
        <v/>
      </c>
      <c r="K627" t="str">
        <f>IF(OR($F627="",$J627="",$J627="نامعتبر"),"",LEFT($J627,4)&amp;MID($J627,6,2)&amp;RIGHT($J627,2)&amp;$N627&amp;"|"&amp;"2"&amp;RIGHT("00000"&amp;622,5))</f>
        <v/>
      </c>
      <c r="L627" t="str">
        <f t="shared" si="48"/>
        <v/>
      </c>
      <c r="M627" t="str">
        <f t="shared" si="49"/>
        <v/>
      </c>
      <c r="N627" t="str">
        <f>IF($F627="","",IF(Sync!$AF627="","0000",IF(AND(ISNUMBER(Sync!$AF627),Sync!$AF627&gt;=0,Sync!$AF627&lt;1),RIGHT("00"&amp;HOUR(Sync!$AF627),2)&amp;RIGHT("00"&amp;MINUTE(Sync!$AF627),2),IFERROR(RIGHT("00"&amp;VALUE(LEFT(Sync!$AF627,FIND(":",Sync!$AF627)-1)),2)&amp;RIGHT("00"&amp;VALUE(MID(Sync!$AF627,FIND(":",Sync!$AF627)+1,2)),2),"0000"))))</f>
        <v/>
      </c>
    </row>
    <row r="628" spans="1:14" x14ac:dyDescent="0.2">
      <c r="A628" t="str">
        <f>IF(OR(Calc!$E632="",Calc!$E632="نامعتبر",Calc!$G632=""),"",Calc!$G632)</f>
        <v/>
      </c>
      <c r="B628" t="str">
        <f>IF($A628="","",LEFT(Calc!$E632,4)&amp;MID(Calc!$E632,6,2)&amp;RIGHT(Calc!$E632,2)&amp;Calc!$Q632&amp;"|"&amp;"1"&amp;RIGHT("00000"&amp;623,5))</f>
        <v/>
      </c>
      <c r="C628" t="str">
        <f t="shared" si="45"/>
        <v/>
      </c>
      <c r="D628" t="str">
        <f t="shared" si="46"/>
        <v/>
      </c>
      <c r="F628" t="str">
        <f>IF(Sync!$AH628="","",IF(LEFT(UPPER(TRIM(Sync!$AH628)),2)="SL",UPPER(TRIM(Sync!$AH628)),""))</f>
        <v/>
      </c>
      <c r="G628" t="str">
        <f>IF($F628="","",IF(Sync!$AE628="","",IF(ISNUMBER(Sync!$AE628),IF(AND(Sync!$AE628&gt;=10000101,Sync!$AE628&lt;=99991231),INT(Sync!$AE628/10000),""),IFERROR(VALUE(TRIM(LEFT(Sync!$AE628,FIND("/",Sync!$AE628)-1))),""))))</f>
        <v/>
      </c>
      <c r="H628" t="str">
        <f>IF(OR($F628="",$G628=""),"",IF(ISNUMBER(Sync!$AE628),INT(MOD(Sync!$AE628,10000)/100),IFERROR(VALUE(TRIM(LEFT(MID(Sync!$AE628,FIND("/",Sync!$AE628)+1,20),FIND("/",MID(Sync!$AE628,FIND("/",Sync!$AE628)+1,20))-1))),"")))</f>
        <v/>
      </c>
      <c r="I628" t="str">
        <f>IF(OR($F628="",$G628=""),"",IF(ISNUMBER(Sync!$AE628),MOD(Sync!$AE628,100),IFERROR(VALUE(TRIM(MID(MID(Sync!$AE628,FIND("/",Sync!$AE628)+1,20),FIND("/",MID(Sync!$AE628,FIND("/",Sync!$AE628)+1,20))+1,20))),"")))</f>
        <v/>
      </c>
      <c r="J628" t="str">
        <f t="shared" si="47"/>
        <v/>
      </c>
      <c r="K628" t="str">
        <f>IF(OR($F628="",$J628="",$J628="نامعتبر"),"",LEFT($J628,4)&amp;MID($J628,6,2)&amp;RIGHT($J628,2)&amp;$N628&amp;"|"&amp;"2"&amp;RIGHT("00000"&amp;623,5))</f>
        <v/>
      </c>
      <c r="L628" t="str">
        <f t="shared" si="48"/>
        <v/>
      </c>
      <c r="M628" t="str">
        <f t="shared" si="49"/>
        <v/>
      </c>
      <c r="N628" t="str">
        <f>IF($F628="","",IF(Sync!$AF628="","0000",IF(AND(ISNUMBER(Sync!$AF628),Sync!$AF628&gt;=0,Sync!$AF628&lt;1),RIGHT("00"&amp;HOUR(Sync!$AF628),2)&amp;RIGHT("00"&amp;MINUTE(Sync!$AF628),2),IFERROR(RIGHT("00"&amp;VALUE(LEFT(Sync!$AF628,FIND(":",Sync!$AF628)-1)),2)&amp;RIGHT("00"&amp;VALUE(MID(Sync!$AF628,FIND(":",Sync!$AF628)+1,2)),2),"0000"))))</f>
        <v/>
      </c>
    </row>
    <row r="629" spans="1:14" x14ac:dyDescent="0.2">
      <c r="A629" t="str">
        <f>IF(OR(Calc!$E633="",Calc!$E633="نامعتبر",Calc!$G633=""),"",Calc!$G633)</f>
        <v/>
      </c>
      <c r="B629" t="str">
        <f>IF($A629="","",LEFT(Calc!$E633,4)&amp;MID(Calc!$E633,6,2)&amp;RIGHT(Calc!$E633,2)&amp;Calc!$Q633&amp;"|"&amp;"1"&amp;RIGHT("00000"&amp;624,5))</f>
        <v/>
      </c>
      <c r="C629" t="str">
        <f t="shared" si="45"/>
        <v/>
      </c>
      <c r="D629" t="str">
        <f t="shared" si="46"/>
        <v/>
      </c>
      <c r="F629" t="str">
        <f>IF(Sync!$AH629="","",IF(LEFT(UPPER(TRIM(Sync!$AH629)),2)="SL",UPPER(TRIM(Sync!$AH629)),""))</f>
        <v/>
      </c>
      <c r="G629" t="str">
        <f>IF($F629="","",IF(Sync!$AE629="","",IF(ISNUMBER(Sync!$AE629),IF(AND(Sync!$AE629&gt;=10000101,Sync!$AE629&lt;=99991231),INT(Sync!$AE629/10000),""),IFERROR(VALUE(TRIM(LEFT(Sync!$AE629,FIND("/",Sync!$AE629)-1))),""))))</f>
        <v/>
      </c>
      <c r="H629" t="str">
        <f>IF(OR($F629="",$G629=""),"",IF(ISNUMBER(Sync!$AE629),INT(MOD(Sync!$AE629,10000)/100),IFERROR(VALUE(TRIM(LEFT(MID(Sync!$AE629,FIND("/",Sync!$AE629)+1,20),FIND("/",MID(Sync!$AE629,FIND("/",Sync!$AE629)+1,20))-1))),"")))</f>
        <v/>
      </c>
      <c r="I629" t="str">
        <f>IF(OR($F629="",$G629=""),"",IF(ISNUMBER(Sync!$AE629),MOD(Sync!$AE629,100),IFERROR(VALUE(TRIM(MID(MID(Sync!$AE629,FIND("/",Sync!$AE629)+1,20),FIND("/",MID(Sync!$AE629,FIND("/",Sync!$AE629)+1,20))+1,20))),"")))</f>
        <v/>
      </c>
      <c r="J629" t="str">
        <f t="shared" si="47"/>
        <v/>
      </c>
      <c r="K629" t="str">
        <f>IF(OR($F629="",$J629="",$J629="نامعتبر"),"",LEFT($J629,4)&amp;MID($J629,6,2)&amp;RIGHT($J629,2)&amp;$N629&amp;"|"&amp;"2"&amp;RIGHT("00000"&amp;624,5))</f>
        <v/>
      </c>
      <c r="L629" t="str">
        <f t="shared" si="48"/>
        <v/>
      </c>
      <c r="M629" t="str">
        <f t="shared" si="49"/>
        <v/>
      </c>
      <c r="N629" t="str">
        <f>IF($F629="","",IF(Sync!$AF629="","0000",IF(AND(ISNUMBER(Sync!$AF629),Sync!$AF629&gt;=0,Sync!$AF629&lt;1),RIGHT("00"&amp;HOUR(Sync!$AF629),2)&amp;RIGHT("00"&amp;MINUTE(Sync!$AF629),2),IFERROR(RIGHT("00"&amp;VALUE(LEFT(Sync!$AF629,FIND(":",Sync!$AF629)-1)),2)&amp;RIGHT("00"&amp;VALUE(MID(Sync!$AF629,FIND(":",Sync!$AF629)+1,2)),2),"0000"))))</f>
        <v/>
      </c>
    </row>
    <row r="630" spans="1:14" x14ac:dyDescent="0.2">
      <c r="A630" t="str">
        <f>IF(OR(Calc!$E634="",Calc!$E634="نامعتبر",Calc!$G634=""),"",Calc!$G634)</f>
        <v/>
      </c>
      <c r="B630" t="str">
        <f>IF($A630="","",LEFT(Calc!$E634,4)&amp;MID(Calc!$E634,6,2)&amp;RIGHT(Calc!$E634,2)&amp;Calc!$Q634&amp;"|"&amp;"1"&amp;RIGHT("00000"&amp;625,5))</f>
        <v/>
      </c>
      <c r="C630" t="str">
        <f t="shared" si="45"/>
        <v/>
      </c>
      <c r="D630" t="str">
        <f t="shared" si="46"/>
        <v/>
      </c>
      <c r="F630" t="str">
        <f>IF(Sync!$AH630="","",IF(LEFT(UPPER(TRIM(Sync!$AH630)),2)="SL",UPPER(TRIM(Sync!$AH630)),""))</f>
        <v/>
      </c>
      <c r="G630" t="str">
        <f>IF($F630="","",IF(Sync!$AE630="","",IF(ISNUMBER(Sync!$AE630),IF(AND(Sync!$AE630&gt;=10000101,Sync!$AE630&lt;=99991231),INT(Sync!$AE630/10000),""),IFERROR(VALUE(TRIM(LEFT(Sync!$AE630,FIND("/",Sync!$AE630)-1))),""))))</f>
        <v/>
      </c>
      <c r="H630" t="str">
        <f>IF(OR($F630="",$G630=""),"",IF(ISNUMBER(Sync!$AE630),INT(MOD(Sync!$AE630,10000)/100),IFERROR(VALUE(TRIM(LEFT(MID(Sync!$AE630,FIND("/",Sync!$AE630)+1,20),FIND("/",MID(Sync!$AE630,FIND("/",Sync!$AE630)+1,20))-1))),"")))</f>
        <v/>
      </c>
      <c r="I630" t="str">
        <f>IF(OR($F630="",$G630=""),"",IF(ISNUMBER(Sync!$AE630),MOD(Sync!$AE630,100),IFERROR(VALUE(TRIM(MID(MID(Sync!$AE630,FIND("/",Sync!$AE630)+1,20),FIND("/",MID(Sync!$AE630,FIND("/",Sync!$AE630)+1,20))+1,20))),"")))</f>
        <v/>
      </c>
      <c r="J630" t="str">
        <f t="shared" si="47"/>
        <v/>
      </c>
      <c r="K630" t="str">
        <f>IF(OR($F630="",$J630="",$J630="نامعتبر"),"",LEFT($J630,4)&amp;MID($J630,6,2)&amp;RIGHT($J630,2)&amp;$N630&amp;"|"&amp;"2"&amp;RIGHT("00000"&amp;625,5))</f>
        <v/>
      </c>
      <c r="L630" t="str">
        <f t="shared" si="48"/>
        <v/>
      </c>
      <c r="M630" t="str">
        <f t="shared" si="49"/>
        <v/>
      </c>
      <c r="N630" t="str">
        <f>IF($F630="","",IF(Sync!$AF630="","0000",IF(AND(ISNUMBER(Sync!$AF630),Sync!$AF630&gt;=0,Sync!$AF630&lt;1),RIGHT("00"&amp;HOUR(Sync!$AF630),2)&amp;RIGHT("00"&amp;MINUTE(Sync!$AF630),2),IFERROR(RIGHT("00"&amp;VALUE(LEFT(Sync!$AF630,FIND(":",Sync!$AF630)-1)),2)&amp;RIGHT("00"&amp;VALUE(MID(Sync!$AF630,FIND(":",Sync!$AF630)+1,2)),2),"0000"))))</f>
        <v/>
      </c>
    </row>
    <row r="631" spans="1:14" x14ac:dyDescent="0.2">
      <c r="A631" t="str">
        <f>IF(OR(Calc!$E635="",Calc!$E635="نامعتبر",Calc!$G635=""),"",Calc!$G635)</f>
        <v/>
      </c>
      <c r="B631" t="str">
        <f>IF($A631="","",LEFT(Calc!$E635,4)&amp;MID(Calc!$E635,6,2)&amp;RIGHT(Calc!$E635,2)&amp;Calc!$Q635&amp;"|"&amp;"1"&amp;RIGHT("00000"&amp;626,5))</f>
        <v/>
      </c>
      <c r="C631" t="str">
        <f t="shared" si="45"/>
        <v/>
      </c>
      <c r="D631" t="str">
        <f t="shared" si="46"/>
        <v/>
      </c>
      <c r="F631" t="str">
        <f>IF(Sync!$AH631="","",IF(LEFT(UPPER(TRIM(Sync!$AH631)),2)="SL",UPPER(TRIM(Sync!$AH631)),""))</f>
        <v/>
      </c>
      <c r="G631" t="str">
        <f>IF($F631="","",IF(Sync!$AE631="","",IF(ISNUMBER(Sync!$AE631),IF(AND(Sync!$AE631&gt;=10000101,Sync!$AE631&lt;=99991231),INT(Sync!$AE631/10000),""),IFERROR(VALUE(TRIM(LEFT(Sync!$AE631,FIND("/",Sync!$AE631)-1))),""))))</f>
        <v/>
      </c>
      <c r="H631" t="str">
        <f>IF(OR($F631="",$G631=""),"",IF(ISNUMBER(Sync!$AE631),INT(MOD(Sync!$AE631,10000)/100),IFERROR(VALUE(TRIM(LEFT(MID(Sync!$AE631,FIND("/",Sync!$AE631)+1,20),FIND("/",MID(Sync!$AE631,FIND("/",Sync!$AE631)+1,20))-1))),"")))</f>
        <v/>
      </c>
      <c r="I631" t="str">
        <f>IF(OR($F631="",$G631=""),"",IF(ISNUMBER(Sync!$AE631),MOD(Sync!$AE631,100),IFERROR(VALUE(TRIM(MID(MID(Sync!$AE631,FIND("/",Sync!$AE631)+1,20),FIND("/",MID(Sync!$AE631,FIND("/",Sync!$AE631)+1,20))+1,20))),"")))</f>
        <v/>
      </c>
      <c r="J631" t="str">
        <f t="shared" si="47"/>
        <v/>
      </c>
      <c r="K631" t="str">
        <f>IF(OR($F631="",$J631="",$J631="نامعتبر"),"",LEFT($J631,4)&amp;MID($J631,6,2)&amp;RIGHT($J631,2)&amp;$N631&amp;"|"&amp;"2"&amp;RIGHT("00000"&amp;626,5))</f>
        <v/>
      </c>
      <c r="L631" t="str">
        <f t="shared" si="48"/>
        <v/>
      </c>
      <c r="M631" t="str">
        <f t="shared" si="49"/>
        <v/>
      </c>
      <c r="N631" t="str">
        <f>IF($F631="","",IF(Sync!$AF631="","0000",IF(AND(ISNUMBER(Sync!$AF631),Sync!$AF631&gt;=0,Sync!$AF631&lt;1),RIGHT("00"&amp;HOUR(Sync!$AF631),2)&amp;RIGHT("00"&amp;MINUTE(Sync!$AF631),2),IFERROR(RIGHT("00"&amp;VALUE(LEFT(Sync!$AF631,FIND(":",Sync!$AF631)-1)),2)&amp;RIGHT("00"&amp;VALUE(MID(Sync!$AF631,FIND(":",Sync!$AF631)+1,2)),2),"0000"))))</f>
        <v/>
      </c>
    </row>
    <row r="632" spans="1:14" x14ac:dyDescent="0.2">
      <c r="A632" t="str">
        <f>IF(OR(Calc!$E636="",Calc!$E636="نامعتبر",Calc!$G636=""),"",Calc!$G636)</f>
        <v/>
      </c>
      <c r="B632" t="str">
        <f>IF($A632="","",LEFT(Calc!$E636,4)&amp;MID(Calc!$E636,6,2)&amp;RIGHT(Calc!$E636,2)&amp;Calc!$Q636&amp;"|"&amp;"1"&amp;RIGHT("00000"&amp;627,5))</f>
        <v/>
      </c>
      <c r="C632" t="str">
        <f t="shared" si="45"/>
        <v/>
      </c>
      <c r="D632" t="str">
        <f t="shared" si="46"/>
        <v/>
      </c>
      <c r="F632" t="str">
        <f>IF(Sync!$AH632="","",IF(LEFT(UPPER(TRIM(Sync!$AH632)),2)="SL",UPPER(TRIM(Sync!$AH632)),""))</f>
        <v/>
      </c>
      <c r="G632" t="str">
        <f>IF($F632="","",IF(Sync!$AE632="","",IF(ISNUMBER(Sync!$AE632),IF(AND(Sync!$AE632&gt;=10000101,Sync!$AE632&lt;=99991231),INT(Sync!$AE632/10000),""),IFERROR(VALUE(TRIM(LEFT(Sync!$AE632,FIND("/",Sync!$AE632)-1))),""))))</f>
        <v/>
      </c>
      <c r="H632" t="str">
        <f>IF(OR($F632="",$G632=""),"",IF(ISNUMBER(Sync!$AE632),INT(MOD(Sync!$AE632,10000)/100),IFERROR(VALUE(TRIM(LEFT(MID(Sync!$AE632,FIND("/",Sync!$AE632)+1,20),FIND("/",MID(Sync!$AE632,FIND("/",Sync!$AE632)+1,20))-1))),"")))</f>
        <v/>
      </c>
      <c r="I632" t="str">
        <f>IF(OR($F632="",$G632=""),"",IF(ISNUMBER(Sync!$AE632),MOD(Sync!$AE632,100),IFERROR(VALUE(TRIM(MID(MID(Sync!$AE632,FIND("/",Sync!$AE632)+1,20),FIND("/",MID(Sync!$AE632,FIND("/",Sync!$AE632)+1,20))+1,20))),"")))</f>
        <v/>
      </c>
      <c r="J632" t="str">
        <f t="shared" si="47"/>
        <v/>
      </c>
      <c r="K632" t="str">
        <f>IF(OR($F632="",$J632="",$J632="نامعتبر"),"",LEFT($J632,4)&amp;MID($J632,6,2)&amp;RIGHT($J632,2)&amp;$N632&amp;"|"&amp;"2"&amp;RIGHT("00000"&amp;627,5))</f>
        <v/>
      </c>
      <c r="L632" t="str">
        <f t="shared" si="48"/>
        <v/>
      </c>
      <c r="M632" t="str">
        <f t="shared" si="49"/>
        <v/>
      </c>
      <c r="N632" t="str">
        <f>IF($F632="","",IF(Sync!$AF632="","0000",IF(AND(ISNUMBER(Sync!$AF632),Sync!$AF632&gt;=0,Sync!$AF632&lt;1),RIGHT("00"&amp;HOUR(Sync!$AF632),2)&amp;RIGHT("00"&amp;MINUTE(Sync!$AF632),2),IFERROR(RIGHT("00"&amp;VALUE(LEFT(Sync!$AF632,FIND(":",Sync!$AF632)-1)),2)&amp;RIGHT("00"&amp;VALUE(MID(Sync!$AF632,FIND(":",Sync!$AF632)+1,2)),2),"0000"))))</f>
        <v/>
      </c>
    </row>
    <row r="633" spans="1:14" x14ac:dyDescent="0.2">
      <c r="A633" t="str">
        <f>IF(OR(Calc!$E637="",Calc!$E637="نامعتبر",Calc!$G637=""),"",Calc!$G637)</f>
        <v/>
      </c>
      <c r="B633" t="str">
        <f>IF($A633="","",LEFT(Calc!$E637,4)&amp;MID(Calc!$E637,6,2)&amp;RIGHT(Calc!$E637,2)&amp;Calc!$Q637&amp;"|"&amp;"1"&amp;RIGHT("00000"&amp;628,5))</f>
        <v/>
      </c>
      <c r="C633" t="str">
        <f t="shared" si="45"/>
        <v/>
      </c>
      <c r="D633" t="str">
        <f t="shared" si="46"/>
        <v/>
      </c>
      <c r="F633" t="str">
        <f>IF(Sync!$AH633="","",IF(LEFT(UPPER(TRIM(Sync!$AH633)),2)="SL",UPPER(TRIM(Sync!$AH633)),""))</f>
        <v/>
      </c>
      <c r="G633" t="str">
        <f>IF($F633="","",IF(Sync!$AE633="","",IF(ISNUMBER(Sync!$AE633),IF(AND(Sync!$AE633&gt;=10000101,Sync!$AE633&lt;=99991231),INT(Sync!$AE633/10000),""),IFERROR(VALUE(TRIM(LEFT(Sync!$AE633,FIND("/",Sync!$AE633)-1))),""))))</f>
        <v/>
      </c>
      <c r="H633" t="str">
        <f>IF(OR($F633="",$G633=""),"",IF(ISNUMBER(Sync!$AE633),INT(MOD(Sync!$AE633,10000)/100),IFERROR(VALUE(TRIM(LEFT(MID(Sync!$AE633,FIND("/",Sync!$AE633)+1,20),FIND("/",MID(Sync!$AE633,FIND("/",Sync!$AE633)+1,20))-1))),"")))</f>
        <v/>
      </c>
      <c r="I633" t="str">
        <f>IF(OR($F633="",$G633=""),"",IF(ISNUMBER(Sync!$AE633),MOD(Sync!$AE633,100),IFERROR(VALUE(TRIM(MID(MID(Sync!$AE633,FIND("/",Sync!$AE633)+1,20),FIND("/",MID(Sync!$AE633,FIND("/",Sync!$AE633)+1,20))+1,20))),"")))</f>
        <v/>
      </c>
      <c r="J633" t="str">
        <f t="shared" si="47"/>
        <v/>
      </c>
      <c r="K633" t="str">
        <f>IF(OR($F633="",$J633="",$J633="نامعتبر"),"",LEFT($J633,4)&amp;MID($J633,6,2)&amp;RIGHT($J633,2)&amp;$N633&amp;"|"&amp;"2"&amp;RIGHT("00000"&amp;628,5))</f>
        <v/>
      </c>
      <c r="L633" t="str">
        <f t="shared" si="48"/>
        <v/>
      </c>
      <c r="M633" t="str">
        <f t="shared" si="49"/>
        <v/>
      </c>
      <c r="N633" t="str">
        <f>IF($F633="","",IF(Sync!$AF633="","0000",IF(AND(ISNUMBER(Sync!$AF633),Sync!$AF633&gt;=0,Sync!$AF633&lt;1),RIGHT("00"&amp;HOUR(Sync!$AF633),2)&amp;RIGHT("00"&amp;MINUTE(Sync!$AF633),2),IFERROR(RIGHT("00"&amp;VALUE(LEFT(Sync!$AF633,FIND(":",Sync!$AF633)-1)),2)&amp;RIGHT("00"&amp;VALUE(MID(Sync!$AF633,FIND(":",Sync!$AF633)+1,2)),2),"0000"))))</f>
        <v/>
      </c>
    </row>
    <row r="634" spans="1:14" x14ac:dyDescent="0.2">
      <c r="A634" t="str">
        <f>IF(OR(Calc!$E638="",Calc!$E638="نامعتبر",Calc!$G638=""),"",Calc!$G638)</f>
        <v/>
      </c>
      <c r="B634" t="str">
        <f>IF($A634="","",LEFT(Calc!$E638,4)&amp;MID(Calc!$E638,6,2)&amp;RIGHT(Calc!$E638,2)&amp;Calc!$Q638&amp;"|"&amp;"1"&amp;RIGHT("00000"&amp;629,5))</f>
        <v/>
      </c>
      <c r="C634" t="str">
        <f t="shared" si="45"/>
        <v/>
      </c>
      <c r="D634" t="str">
        <f t="shared" si="46"/>
        <v/>
      </c>
      <c r="F634" t="str">
        <f>IF(Sync!$AH634="","",IF(LEFT(UPPER(TRIM(Sync!$AH634)),2)="SL",UPPER(TRIM(Sync!$AH634)),""))</f>
        <v/>
      </c>
      <c r="G634" t="str">
        <f>IF($F634="","",IF(Sync!$AE634="","",IF(ISNUMBER(Sync!$AE634),IF(AND(Sync!$AE634&gt;=10000101,Sync!$AE634&lt;=99991231),INT(Sync!$AE634/10000),""),IFERROR(VALUE(TRIM(LEFT(Sync!$AE634,FIND("/",Sync!$AE634)-1))),""))))</f>
        <v/>
      </c>
      <c r="H634" t="str">
        <f>IF(OR($F634="",$G634=""),"",IF(ISNUMBER(Sync!$AE634),INT(MOD(Sync!$AE634,10000)/100),IFERROR(VALUE(TRIM(LEFT(MID(Sync!$AE634,FIND("/",Sync!$AE634)+1,20),FIND("/",MID(Sync!$AE634,FIND("/",Sync!$AE634)+1,20))-1))),"")))</f>
        <v/>
      </c>
      <c r="I634" t="str">
        <f>IF(OR($F634="",$G634=""),"",IF(ISNUMBER(Sync!$AE634),MOD(Sync!$AE634,100),IFERROR(VALUE(TRIM(MID(MID(Sync!$AE634,FIND("/",Sync!$AE634)+1,20),FIND("/",MID(Sync!$AE634,FIND("/",Sync!$AE634)+1,20))+1,20))),"")))</f>
        <v/>
      </c>
      <c r="J634" t="str">
        <f t="shared" si="47"/>
        <v/>
      </c>
      <c r="K634" t="str">
        <f>IF(OR($F634="",$J634="",$J634="نامعتبر"),"",LEFT($J634,4)&amp;MID($J634,6,2)&amp;RIGHT($J634,2)&amp;$N634&amp;"|"&amp;"2"&amp;RIGHT("00000"&amp;629,5))</f>
        <v/>
      </c>
      <c r="L634" t="str">
        <f t="shared" si="48"/>
        <v/>
      </c>
      <c r="M634" t="str">
        <f t="shared" si="49"/>
        <v/>
      </c>
      <c r="N634" t="str">
        <f>IF($F634="","",IF(Sync!$AF634="","0000",IF(AND(ISNUMBER(Sync!$AF634),Sync!$AF634&gt;=0,Sync!$AF634&lt;1),RIGHT("00"&amp;HOUR(Sync!$AF634),2)&amp;RIGHT("00"&amp;MINUTE(Sync!$AF634),2),IFERROR(RIGHT("00"&amp;VALUE(LEFT(Sync!$AF634,FIND(":",Sync!$AF634)-1)),2)&amp;RIGHT("00"&amp;VALUE(MID(Sync!$AF634,FIND(":",Sync!$AF634)+1,2)),2),"0000"))))</f>
        <v/>
      </c>
    </row>
    <row r="635" spans="1:14" x14ac:dyDescent="0.2">
      <c r="A635" t="str">
        <f>IF(OR(Calc!$E639="",Calc!$E639="نامعتبر",Calc!$G639=""),"",Calc!$G639)</f>
        <v/>
      </c>
      <c r="B635" t="str">
        <f>IF($A635="","",LEFT(Calc!$E639,4)&amp;MID(Calc!$E639,6,2)&amp;RIGHT(Calc!$E639,2)&amp;Calc!$Q639&amp;"|"&amp;"1"&amp;RIGHT("00000"&amp;630,5))</f>
        <v/>
      </c>
      <c r="C635" t="str">
        <f t="shared" si="45"/>
        <v/>
      </c>
      <c r="D635" t="str">
        <f t="shared" si="46"/>
        <v/>
      </c>
      <c r="F635" t="str">
        <f>IF(Sync!$AH635="","",IF(LEFT(UPPER(TRIM(Sync!$AH635)),2)="SL",UPPER(TRIM(Sync!$AH635)),""))</f>
        <v/>
      </c>
      <c r="G635" t="str">
        <f>IF($F635="","",IF(Sync!$AE635="","",IF(ISNUMBER(Sync!$AE635),IF(AND(Sync!$AE635&gt;=10000101,Sync!$AE635&lt;=99991231),INT(Sync!$AE635/10000),""),IFERROR(VALUE(TRIM(LEFT(Sync!$AE635,FIND("/",Sync!$AE635)-1))),""))))</f>
        <v/>
      </c>
      <c r="H635" t="str">
        <f>IF(OR($F635="",$G635=""),"",IF(ISNUMBER(Sync!$AE635),INT(MOD(Sync!$AE635,10000)/100),IFERROR(VALUE(TRIM(LEFT(MID(Sync!$AE635,FIND("/",Sync!$AE635)+1,20),FIND("/",MID(Sync!$AE635,FIND("/",Sync!$AE635)+1,20))-1))),"")))</f>
        <v/>
      </c>
      <c r="I635" t="str">
        <f>IF(OR($F635="",$G635=""),"",IF(ISNUMBER(Sync!$AE635),MOD(Sync!$AE635,100),IFERROR(VALUE(TRIM(MID(MID(Sync!$AE635,FIND("/",Sync!$AE635)+1,20),FIND("/",MID(Sync!$AE635,FIND("/",Sync!$AE635)+1,20))+1,20))),"")))</f>
        <v/>
      </c>
      <c r="J635" t="str">
        <f t="shared" si="47"/>
        <v/>
      </c>
      <c r="K635" t="str">
        <f>IF(OR($F635="",$J635="",$J635="نامعتبر"),"",LEFT($J635,4)&amp;MID($J635,6,2)&amp;RIGHT($J635,2)&amp;$N635&amp;"|"&amp;"2"&amp;RIGHT("00000"&amp;630,5))</f>
        <v/>
      </c>
      <c r="L635" t="str">
        <f t="shared" si="48"/>
        <v/>
      </c>
      <c r="M635" t="str">
        <f t="shared" si="49"/>
        <v/>
      </c>
      <c r="N635" t="str">
        <f>IF($F635="","",IF(Sync!$AF635="","0000",IF(AND(ISNUMBER(Sync!$AF635),Sync!$AF635&gt;=0,Sync!$AF635&lt;1),RIGHT("00"&amp;HOUR(Sync!$AF635),2)&amp;RIGHT("00"&amp;MINUTE(Sync!$AF635),2),IFERROR(RIGHT("00"&amp;VALUE(LEFT(Sync!$AF635,FIND(":",Sync!$AF635)-1)),2)&amp;RIGHT("00"&amp;VALUE(MID(Sync!$AF635,FIND(":",Sync!$AF635)+1,2)),2),"0000"))))</f>
        <v/>
      </c>
    </row>
    <row r="636" spans="1:14" x14ac:dyDescent="0.2">
      <c r="A636" t="str">
        <f>IF(OR(Calc!$E640="",Calc!$E640="نامعتبر",Calc!$G640=""),"",Calc!$G640)</f>
        <v/>
      </c>
      <c r="B636" t="str">
        <f>IF($A636="","",LEFT(Calc!$E640,4)&amp;MID(Calc!$E640,6,2)&amp;RIGHT(Calc!$E640,2)&amp;Calc!$Q640&amp;"|"&amp;"1"&amp;RIGHT("00000"&amp;631,5))</f>
        <v/>
      </c>
      <c r="C636" t="str">
        <f t="shared" si="45"/>
        <v/>
      </c>
      <c r="D636" t="str">
        <f t="shared" si="46"/>
        <v/>
      </c>
      <c r="F636" t="str">
        <f>IF(Sync!$AH636="","",IF(LEFT(UPPER(TRIM(Sync!$AH636)),2)="SL",UPPER(TRIM(Sync!$AH636)),""))</f>
        <v/>
      </c>
      <c r="G636" t="str">
        <f>IF($F636="","",IF(Sync!$AE636="","",IF(ISNUMBER(Sync!$AE636),IF(AND(Sync!$AE636&gt;=10000101,Sync!$AE636&lt;=99991231),INT(Sync!$AE636/10000),""),IFERROR(VALUE(TRIM(LEFT(Sync!$AE636,FIND("/",Sync!$AE636)-1))),""))))</f>
        <v/>
      </c>
      <c r="H636" t="str">
        <f>IF(OR($F636="",$G636=""),"",IF(ISNUMBER(Sync!$AE636),INT(MOD(Sync!$AE636,10000)/100),IFERROR(VALUE(TRIM(LEFT(MID(Sync!$AE636,FIND("/",Sync!$AE636)+1,20),FIND("/",MID(Sync!$AE636,FIND("/",Sync!$AE636)+1,20))-1))),"")))</f>
        <v/>
      </c>
      <c r="I636" t="str">
        <f>IF(OR($F636="",$G636=""),"",IF(ISNUMBER(Sync!$AE636),MOD(Sync!$AE636,100),IFERROR(VALUE(TRIM(MID(MID(Sync!$AE636,FIND("/",Sync!$AE636)+1,20),FIND("/",MID(Sync!$AE636,FIND("/",Sync!$AE636)+1,20))+1,20))),"")))</f>
        <v/>
      </c>
      <c r="J636" t="str">
        <f t="shared" si="47"/>
        <v/>
      </c>
      <c r="K636" t="str">
        <f>IF(OR($F636="",$J636="",$J636="نامعتبر"),"",LEFT($J636,4)&amp;MID($J636,6,2)&amp;RIGHT($J636,2)&amp;$N636&amp;"|"&amp;"2"&amp;RIGHT("00000"&amp;631,5))</f>
        <v/>
      </c>
      <c r="L636" t="str">
        <f t="shared" si="48"/>
        <v/>
      </c>
      <c r="M636" t="str">
        <f t="shared" si="49"/>
        <v/>
      </c>
      <c r="N636" t="str">
        <f>IF($F636="","",IF(Sync!$AF636="","0000",IF(AND(ISNUMBER(Sync!$AF636),Sync!$AF636&gt;=0,Sync!$AF636&lt;1),RIGHT("00"&amp;HOUR(Sync!$AF636),2)&amp;RIGHT("00"&amp;MINUTE(Sync!$AF636),2),IFERROR(RIGHT("00"&amp;VALUE(LEFT(Sync!$AF636,FIND(":",Sync!$AF636)-1)),2)&amp;RIGHT("00"&amp;VALUE(MID(Sync!$AF636,FIND(":",Sync!$AF636)+1,2)),2),"0000"))))</f>
        <v/>
      </c>
    </row>
    <row r="637" spans="1:14" x14ac:dyDescent="0.2">
      <c r="A637" t="str">
        <f>IF(OR(Calc!$E641="",Calc!$E641="نامعتبر",Calc!$G641=""),"",Calc!$G641)</f>
        <v/>
      </c>
      <c r="B637" t="str">
        <f>IF($A637="","",LEFT(Calc!$E641,4)&amp;MID(Calc!$E641,6,2)&amp;RIGHT(Calc!$E641,2)&amp;Calc!$Q641&amp;"|"&amp;"1"&amp;RIGHT("00000"&amp;632,5))</f>
        <v/>
      </c>
      <c r="C637" t="str">
        <f t="shared" si="45"/>
        <v/>
      </c>
      <c r="D637" t="str">
        <f t="shared" si="46"/>
        <v/>
      </c>
      <c r="F637" t="str">
        <f>IF(Sync!$AH637="","",IF(LEFT(UPPER(TRIM(Sync!$AH637)),2)="SL",UPPER(TRIM(Sync!$AH637)),""))</f>
        <v/>
      </c>
      <c r="G637" t="str">
        <f>IF($F637="","",IF(Sync!$AE637="","",IF(ISNUMBER(Sync!$AE637),IF(AND(Sync!$AE637&gt;=10000101,Sync!$AE637&lt;=99991231),INT(Sync!$AE637/10000),""),IFERROR(VALUE(TRIM(LEFT(Sync!$AE637,FIND("/",Sync!$AE637)-1))),""))))</f>
        <v/>
      </c>
      <c r="H637" t="str">
        <f>IF(OR($F637="",$G637=""),"",IF(ISNUMBER(Sync!$AE637),INT(MOD(Sync!$AE637,10000)/100),IFERROR(VALUE(TRIM(LEFT(MID(Sync!$AE637,FIND("/",Sync!$AE637)+1,20),FIND("/",MID(Sync!$AE637,FIND("/",Sync!$AE637)+1,20))-1))),"")))</f>
        <v/>
      </c>
      <c r="I637" t="str">
        <f>IF(OR($F637="",$G637=""),"",IF(ISNUMBER(Sync!$AE637),MOD(Sync!$AE637,100),IFERROR(VALUE(TRIM(MID(MID(Sync!$AE637,FIND("/",Sync!$AE637)+1,20),FIND("/",MID(Sync!$AE637,FIND("/",Sync!$AE637)+1,20))+1,20))),"")))</f>
        <v/>
      </c>
      <c r="J637" t="str">
        <f t="shared" si="47"/>
        <v/>
      </c>
      <c r="K637" t="str">
        <f>IF(OR($F637="",$J637="",$J637="نامعتبر"),"",LEFT($J637,4)&amp;MID($J637,6,2)&amp;RIGHT($J637,2)&amp;$N637&amp;"|"&amp;"2"&amp;RIGHT("00000"&amp;632,5))</f>
        <v/>
      </c>
      <c r="L637" t="str">
        <f t="shared" si="48"/>
        <v/>
      </c>
      <c r="M637" t="str">
        <f t="shared" si="49"/>
        <v/>
      </c>
      <c r="N637" t="str">
        <f>IF($F637="","",IF(Sync!$AF637="","0000",IF(AND(ISNUMBER(Sync!$AF637),Sync!$AF637&gt;=0,Sync!$AF637&lt;1),RIGHT("00"&amp;HOUR(Sync!$AF637),2)&amp;RIGHT("00"&amp;MINUTE(Sync!$AF637),2),IFERROR(RIGHT("00"&amp;VALUE(LEFT(Sync!$AF637,FIND(":",Sync!$AF637)-1)),2)&amp;RIGHT("00"&amp;VALUE(MID(Sync!$AF637,FIND(":",Sync!$AF637)+1,2)),2),"0000"))))</f>
        <v/>
      </c>
    </row>
    <row r="638" spans="1:14" x14ac:dyDescent="0.2">
      <c r="A638" t="str">
        <f>IF(OR(Calc!$E642="",Calc!$E642="نامعتبر",Calc!$G642=""),"",Calc!$G642)</f>
        <v/>
      </c>
      <c r="B638" t="str">
        <f>IF($A638="","",LEFT(Calc!$E642,4)&amp;MID(Calc!$E642,6,2)&amp;RIGHT(Calc!$E642,2)&amp;Calc!$Q642&amp;"|"&amp;"1"&amp;RIGHT("00000"&amp;633,5))</f>
        <v/>
      </c>
      <c r="C638" t="str">
        <f t="shared" si="45"/>
        <v/>
      </c>
      <c r="D638" t="str">
        <f t="shared" si="46"/>
        <v/>
      </c>
      <c r="F638" t="str">
        <f>IF(Sync!$AH638="","",IF(LEFT(UPPER(TRIM(Sync!$AH638)),2)="SL",UPPER(TRIM(Sync!$AH638)),""))</f>
        <v/>
      </c>
      <c r="G638" t="str">
        <f>IF($F638="","",IF(Sync!$AE638="","",IF(ISNUMBER(Sync!$AE638),IF(AND(Sync!$AE638&gt;=10000101,Sync!$AE638&lt;=99991231),INT(Sync!$AE638/10000),""),IFERROR(VALUE(TRIM(LEFT(Sync!$AE638,FIND("/",Sync!$AE638)-1))),""))))</f>
        <v/>
      </c>
      <c r="H638" t="str">
        <f>IF(OR($F638="",$G638=""),"",IF(ISNUMBER(Sync!$AE638),INT(MOD(Sync!$AE638,10000)/100),IFERROR(VALUE(TRIM(LEFT(MID(Sync!$AE638,FIND("/",Sync!$AE638)+1,20),FIND("/",MID(Sync!$AE638,FIND("/",Sync!$AE638)+1,20))-1))),"")))</f>
        <v/>
      </c>
      <c r="I638" t="str">
        <f>IF(OR($F638="",$G638=""),"",IF(ISNUMBER(Sync!$AE638),MOD(Sync!$AE638,100),IFERROR(VALUE(TRIM(MID(MID(Sync!$AE638,FIND("/",Sync!$AE638)+1,20),FIND("/",MID(Sync!$AE638,FIND("/",Sync!$AE638)+1,20))+1,20))),"")))</f>
        <v/>
      </c>
      <c r="J638" t="str">
        <f t="shared" si="47"/>
        <v/>
      </c>
      <c r="K638" t="str">
        <f>IF(OR($F638="",$J638="",$J638="نامعتبر"),"",LEFT($J638,4)&amp;MID($J638,6,2)&amp;RIGHT($J638,2)&amp;$N638&amp;"|"&amp;"2"&amp;RIGHT("00000"&amp;633,5))</f>
        <v/>
      </c>
      <c r="L638" t="str">
        <f t="shared" si="48"/>
        <v/>
      </c>
      <c r="M638" t="str">
        <f t="shared" si="49"/>
        <v/>
      </c>
      <c r="N638" t="str">
        <f>IF($F638="","",IF(Sync!$AF638="","0000",IF(AND(ISNUMBER(Sync!$AF638),Sync!$AF638&gt;=0,Sync!$AF638&lt;1),RIGHT("00"&amp;HOUR(Sync!$AF638),2)&amp;RIGHT("00"&amp;MINUTE(Sync!$AF638),2),IFERROR(RIGHT("00"&amp;VALUE(LEFT(Sync!$AF638,FIND(":",Sync!$AF638)-1)),2)&amp;RIGHT("00"&amp;VALUE(MID(Sync!$AF638,FIND(":",Sync!$AF638)+1,2)),2),"0000"))))</f>
        <v/>
      </c>
    </row>
    <row r="639" spans="1:14" x14ac:dyDescent="0.2">
      <c r="A639" t="str">
        <f>IF(OR(Calc!$E643="",Calc!$E643="نامعتبر",Calc!$G643=""),"",Calc!$G643)</f>
        <v/>
      </c>
      <c r="B639" t="str">
        <f>IF($A639="","",LEFT(Calc!$E643,4)&amp;MID(Calc!$E643,6,2)&amp;RIGHT(Calc!$E643,2)&amp;Calc!$Q643&amp;"|"&amp;"1"&amp;RIGHT("00000"&amp;634,5))</f>
        <v/>
      </c>
      <c r="C639" t="str">
        <f t="shared" si="45"/>
        <v/>
      </c>
      <c r="D639" t="str">
        <f t="shared" si="46"/>
        <v/>
      </c>
      <c r="F639" t="str">
        <f>IF(Sync!$AH639="","",IF(LEFT(UPPER(TRIM(Sync!$AH639)),2)="SL",UPPER(TRIM(Sync!$AH639)),""))</f>
        <v/>
      </c>
      <c r="G639" t="str">
        <f>IF($F639="","",IF(Sync!$AE639="","",IF(ISNUMBER(Sync!$AE639),IF(AND(Sync!$AE639&gt;=10000101,Sync!$AE639&lt;=99991231),INT(Sync!$AE639/10000),""),IFERROR(VALUE(TRIM(LEFT(Sync!$AE639,FIND("/",Sync!$AE639)-1))),""))))</f>
        <v/>
      </c>
      <c r="H639" t="str">
        <f>IF(OR($F639="",$G639=""),"",IF(ISNUMBER(Sync!$AE639),INT(MOD(Sync!$AE639,10000)/100),IFERROR(VALUE(TRIM(LEFT(MID(Sync!$AE639,FIND("/",Sync!$AE639)+1,20),FIND("/",MID(Sync!$AE639,FIND("/",Sync!$AE639)+1,20))-1))),"")))</f>
        <v/>
      </c>
      <c r="I639" t="str">
        <f>IF(OR($F639="",$G639=""),"",IF(ISNUMBER(Sync!$AE639),MOD(Sync!$AE639,100),IFERROR(VALUE(TRIM(MID(MID(Sync!$AE639,FIND("/",Sync!$AE639)+1,20),FIND("/",MID(Sync!$AE639,FIND("/",Sync!$AE639)+1,20))+1,20))),"")))</f>
        <v/>
      </c>
      <c r="J639" t="str">
        <f t="shared" si="47"/>
        <v/>
      </c>
      <c r="K639" t="str">
        <f>IF(OR($F639="",$J639="",$J639="نامعتبر"),"",LEFT($J639,4)&amp;MID($J639,6,2)&amp;RIGHT($J639,2)&amp;$N639&amp;"|"&amp;"2"&amp;RIGHT("00000"&amp;634,5))</f>
        <v/>
      </c>
      <c r="L639" t="str">
        <f t="shared" si="48"/>
        <v/>
      </c>
      <c r="M639" t="str">
        <f t="shared" si="49"/>
        <v/>
      </c>
      <c r="N639" t="str">
        <f>IF($F639="","",IF(Sync!$AF639="","0000",IF(AND(ISNUMBER(Sync!$AF639),Sync!$AF639&gt;=0,Sync!$AF639&lt;1),RIGHT("00"&amp;HOUR(Sync!$AF639),2)&amp;RIGHT("00"&amp;MINUTE(Sync!$AF639),2),IFERROR(RIGHT("00"&amp;VALUE(LEFT(Sync!$AF639,FIND(":",Sync!$AF639)-1)),2)&amp;RIGHT("00"&amp;VALUE(MID(Sync!$AF639,FIND(":",Sync!$AF639)+1,2)),2),"0000"))))</f>
        <v/>
      </c>
    </row>
    <row r="640" spans="1:14" x14ac:dyDescent="0.2">
      <c r="A640" t="str">
        <f>IF(OR(Calc!$E644="",Calc!$E644="نامعتبر",Calc!$G644=""),"",Calc!$G644)</f>
        <v/>
      </c>
      <c r="B640" t="str">
        <f>IF($A640="","",LEFT(Calc!$E644,4)&amp;MID(Calc!$E644,6,2)&amp;RIGHT(Calc!$E644,2)&amp;Calc!$Q644&amp;"|"&amp;"1"&amp;RIGHT("00000"&amp;635,5))</f>
        <v/>
      </c>
      <c r="C640" t="str">
        <f t="shared" si="45"/>
        <v/>
      </c>
      <c r="D640" t="str">
        <f t="shared" si="46"/>
        <v/>
      </c>
      <c r="F640" t="str">
        <f>IF(Sync!$AH640="","",IF(LEFT(UPPER(TRIM(Sync!$AH640)),2)="SL",UPPER(TRIM(Sync!$AH640)),""))</f>
        <v/>
      </c>
      <c r="G640" t="str">
        <f>IF($F640="","",IF(Sync!$AE640="","",IF(ISNUMBER(Sync!$AE640),IF(AND(Sync!$AE640&gt;=10000101,Sync!$AE640&lt;=99991231),INT(Sync!$AE640/10000),""),IFERROR(VALUE(TRIM(LEFT(Sync!$AE640,FIND("/",Sync!$AE640)-1))),""))))</f>
        <v/>
      </c>
      <c r="H640" t="str">
        <f>IF(OR($F640="",$G640=""),"",IF(ISNUMBER(Sync!$AE640),INT(MOD(Sync!$AE640,10000)/100),IFERROR(VALUE(TRIM(LEFT(MID(Sync!$AE640,FIND("/",Sync!$AE640)+1,20),FIND("/",MID(Sync!$AE640,FIND("/",Sync!$AE640)+1,20))-1))),"")))</f>
        <v/>
      </c>
      <c r="I640" t="str">
        <f>IF(OR($F640="",$G640=""),"",IF(ISNUMBER(Sync!$AE640),MOD(Sync!$AE640,100),IFERROR(VALUE(TRIM(MID(MID(Sync!$AE640,FIND("/",Sync!$AE640)+1,20),FIND("/",MID(Sync!$AE640,FIND("/",Sync!$AE640)+1,20))+1,20))),"")))</f>
        <v/>
      </c>
      <c r="J640" t="str">
        <f t="shared" si="47"/>
        <v/>
      </c>
      <c r="K640" t="str">
        <f>IF(OR($F640="",$J640="",$J640="نامعتبر"),"",LEFT($J640,4)&amp;MID($J640,6,2)&amp;RIGHT($J640,2)&amp;$N640&amp;"|"&amp;"2"&amp;RIGHT("00000"&amp;635,5))</f>
        <v/>
      </c>
      <c r="L640" t="str">
        <f t="shared" si="48"/>
        <v/>
      </c>
      <c r="M640" t="str">
        <f t="shared" si="49"/>
        <v/>
      </c>
      <c r="N640" t="str">
        <f>IF($F640="","",IF(Sync!$AF640="","0000",IF(AND(ISNUMBER(Sync!$AF640),Sync!$AF640&gt;=0,Sync!$AF640&lt;1),RIGHT("00"&amp;HOUR(Sync!$AF640),2)&amp;RIGHT("00"&amp;MINUTE(Sync!$AF640),2),IFERROR(RIGHT("00"&amp;VALUE(LEFT(Sync!$AF640,FIND(":",Sync!$AF640)-1)),2)&amp;RIGHT("00"&amp;VALUE(MID(Sync!$AF640,FIND(":",Sync!$AF640)+1,2)),2),"0000"))))</f>
        <v/>
      </c>
    </row>
    <row r="641" spans="1:14" x14ac:dyDescent="0.2">
      <c r="A641" t="str">
        <f>IF(OR(Calc!$E645="",Calc!$E645="نامعتبر",Calc!$G645=""),"",Calc!$G645)</f>
        <v/>
      </c>
      <c r="B641" t="str">
        <f>IF($A641="","",LEFT(Calc!$E645,4)&amp;MID(Calc!$E645,6,2)&amp;RIGHT(Calc!$E645,2)&amp;Calc!$Q645&amp;"|"&amp;"1"&amp;RIGHT("00000"&amp;636,5))</f>
        <v/>
      </c>
      <c r="C641" t="str">
        <f t="shared" si="45"/>
        <v/>
      </c>
      <c r="D641" t="str">
        <f t="shared" si="46"/>
        <v/>
      </c>
      <c r="F641" t="str">
        <f>IF(Sync!$AH641="","",IF(LEFT(UPPER(TRIM(Sync!$AH641)),2)="SL",UPPER(TRIM(Sync!$AH641)),""))</f>
        <v/>
      </c>
      <c r="G641" t="str">
        <f>IF($F641="","",IF(Sync!$AE641="","",IF(ISNUMBER(Sync!$AE641),IF(AND(Sync!$AE641&gt;=10000101,Sync!$AE641&lt;=99991231),INT(Sync!$AE641/10000),""),IFERROR(VALUE(TRIM(LEFT(Sync!$AE641,FIND("/",Sync!$AE641)-1))),""))))</f>
        <v/>
      </c>
      <c r="H641" t="str">
        <f>IF(OR($F641="",$G641=""),"",IF(ISNUMBER(Sync!$AE641),INT(MOD(Sync!$AE641,10000)/100),IFERROR(VALUE(TRIM(LEFT(MID(Sync!$AE641,FIND("/",Sync!$AE641)+1,20),FIND("/",MID(Sync!$AE641,FIND("/",Sync!$AE641)+1,20))-1))),"")))</f>
        <v/>
      </c>
      <c r="I641" t="str">
        <f>IF(OR($F641="",$G641=""),"",IF(ISNUMBER(Sync!$AE641),MOD(Sync!$AE641,100),IFERROR(VALUE(TRIM(MID(MID(Sync!$AE641,FIND("/",Sync!$AE641)+1,20),FIND("/",MID(Sync!$AE641,FIND("/",Sync!$AE641)+1,20))+1,20))),"")))</f>
        <v/>
      </c>
      <c r="J641" t="str">
        <f t="shared" si="47"/>
        <v/>
      </c>
      <c r="K641" t="str">
        <f>IF(OR($F641="",$J641="",$J641="نامعتبر"),"",LEFT($J641,4)&amp;MID($J641,6,2)&amp;RIGHT($J641,2)&amp;$N641&amp;"|"&amp;"2"&amp;RIGHT("00000"&amp;636,5))</f>
        <v/>
      </c>
      <c r="L641" t="str">
        <f t="shared" si="48"/>
        <v/>
      </c>
      <c r="M641" t="str">
        <f t="shared" si="49"/>
        <v/>
      </c>
      <c r="N641" t="str">
        <f>IF($F641="","",IF(Sync!$AF641="","0000",IF(AND(ISNUMBER(Sync!$AF641),Sync!$AF641&gt;=0,Sync!$AF641&lt;1),RIGHT("00"&amp;HOUR(Sync!$AF641),2)&amp;RIGHT("00"&amp;MINUTE(Sync!$AF641),2),IFERROR(RIGHT("00"&amp;VALUE(LEFT(Sync!$AF641,FIND(":",Sync!$AF641)-1)),2)&amp;RIGHT("00"&amp;VALUE(MID(Sync!$AF641,FIND(":",Sync!$AF641)+1,2)),2),"0000"))))</f>
        <v/>
      </c>
    </row>
    <row r="642" spans="1:14" x14ac:dyDescent="0.2">
      <c r="A642" t="str">
        <f>IF(OR(Calc!$E646="",Calc!$E646="نامعتبر",Calc!$G646=""),"",Calc!$G646)</f>
        <v/>
      </c>
      <c r="B642" t="str">
        <f>IF($A642="","",LEFT(Calc!$E646,4)&amp;MID(Calc!$E646,6,2)&amp;RIGHT(Calc!$E646,2)&amp;Calc!$Q646&amp;"|"&amp;"1"&amp;RIGHT("00000"&amp;637,5))</f>
        <v/>
      </c>
      <c r="C642" t="str">
        <f t="shared" si="45"/>
        <v/>
      </c>
      <c r="D642" t="str">
        <f t="shared" si="46"/>
        <v/>
      </c>
      <c r="F642" t="str">
        <f>IF(Sync!$AH642="","",IF(LEFT(UPPER(TRIM(Sync!$AH642)),2)="SL",UPPER(TRIM(Sync!$AH642)),""))</f>
        <v/>
      </c>
      <c r="G642" t="str">
        <f>IF($F642="","",IF(Sync!$AE642="","",IF(ISNUMBER(Sync!$AE642),IF(AND(Sync!$AE642&gt;=10000101,Sync!$AE642&lt;=99991231),INT(Sync!$AE642/10000),""),IFERROR(VALUE(TRIM(LEFT(Sync!$AE642,FIND("/",Sync!$AE642)-1))),""))))</f>
        <v/>
      </c>
      <c r="H642" t="str">
        <f>IF(OR($F642="",$G642=""),"",IF(ISNUMBER(Sync!$AE642),INT(MOD(Sync!$AE642,10000)/100),IFERROR(VALUE(TRIM(LEFT(MID(Sync!$AE642,FIND("/",Sync!$AE642)+1,20),FIND("/",MID(Sync!$AE642,FIND("/",Sync!$AE642)+1,20))-1))),"")))</f>
        <v/>
      </c>
      <c r="I642" t="str">
        <f>IF(OR($F642="",$G642=""),"",IF(ISNUMBER(Sync!$AE642),MOD(Sync!$AE642,100),IFERROR(VALUE(TRIM(MID(MID(Sync!$AE642,FIND("/",Sync!$AE642)+1,20),FIND("/",MID(Sync!$AE642,FIND("/",Sync!$AE642)+1,20))+1,20))),"")))</f>
        <v/>
      </c>
      <c r="J642" t="str">
        <f t="shared" si="47"/>
        <v/>
      </c>
      <c r="K642" t="str">
        <f>IF(OR($F642="",$J642="",$J642="نامعتبر"),"",LEFT($J642,4)&amp;MID($J642,6,2)&amp;RIGHT($J642,2)&amp;$N642&amp;"|"&amp;"2"&amp;RIGHT("00000"&amp;637,5))</f>
        <v/>
      </c>
      <c r="L642" t="str">
        <f t="shared" si="48"/>
        <v/>
      </c>
      <c r="M642" t="str">
        <f t="shared" si="49"/>
        <v/>
      </c>
      <c r="N642" t="str">
        <f>IF($F642="","",IF(Sync!$AF642="","0000",IF(AND(ISNUMBER(Sync!$AF642),Sync!$AF642&gt;=0,Sync!$AF642&lt;1),RIGHT("00"&amp;HOUR(Sync!$AF642),2)&amp;RIGHT("00"&amp;MINUTE(Sync!$AF642),2),IFERROR(RIGHT("00"&amp;VALUE(LEFT(Sync!$AF642,FIND(":",Sync!$AF642)-1)),2)&amp;RIGHT("00"&amp;VALUE(MID(Sync!$AF642,FIND(":",Sync!$AF642)+1,2)),2),"0000"))))</f>
        <v/>
      </c>
    </row>
    <row r="643" spans="1:14" x14ac:dyDescent="0.2">
      <c r="A643" t="str">
        <f>IF(OR(Calc!$E647="",Calc!$E647="نامعتبر",Calc!$G647=""),"",Calc!$G647)</f>
        <v/>
      </c>
      <c r="B643" t="str">
        <f>IF($A643="","",LEFT(Calc!$E647,4)&amp;MID(Calc!$E647,6,2)&amp;RIGHT(Calc!$E647,2)&amp;Calc!$Q647&amp;"|"&amp;"1"&amp;RIGHT("00000"&amp;638,5))</f>
        <v/>
      </c>
      <c r="C643" t="str">
        <f t="shared" si="45"/>
        <v/>
      </c>
      <c r="D643" t="str">
        <f t="shared" si="46"/>
        <v/>
      </c>
      <c r="F643" t="str">
        <f>IF(Sync!$AH643="","",IF(LEFT(UPPER(TRIM(Sync!$AH643)),2)="SL",UPPER(TRIM(Sync!$AH643)),""))</f>
        <v/>
      </c>
      <c r="G643" t="str">
        <f>IF($F643="","",IF(Sync!$AE643="","",IF(ISNUMBER(Sync!$AE643),IF(AND(Sync!$AE643&gt;=10000101,Sync!$AE643&lt;=99991231),INT(Sync!$AE643/10000),""),IFERROR(VALUE(TRIM(LEFT(Sync!$AE643,FIND("/",Sync!$AE643)-1))),""))))</f>
        <v/>
      </c>
      <c r="H643" t="str">
        <f>IF(OR($F643="",$G643=""),"",IF(ISNUMBER(Sync!$AE643),INT(MOD(Sync!$AE643,10000)/100),IFERROR(VALUE(TRIM(LEFT(MID(Sync!$AE643,FIND("/",Sync!$AE643)+1,20),FIND("/",MID(Sync!$AE643,FIND("/",Sync!$AE643)+1,20))-1))),"")))</f>
        <v/>
      </c>
      <c r="I643" t="str">
        <f>IF(OR($F643="",$G643=""),"",IF(ISNUMBER(Sync!$AE643),MOD(Sync!$AE643,100),IFERROR(VALUE(TRIM(MID(MID(Sync!$AE643,FIND("/",Sync!$AE643)+1,20),FIND("/",MID(Sync!$AE643,FIND("/",Sync!$AE643)+1,20))+1,20))),"")))</f>
        <v/>
      </c>
      <c r="J643" t="str">
        <f t="shared" si="47"/>
        <v/>
      </c>
      <c r="K643" t="str">
        <f>IF(OR($F643="",$J643="",$J643="نامعتبر"),"",LEFT($J643,4)&amp;MID($J643,6,2)&amp;RIGHT($J643,2)&amp;$N643&amp;"|"&amp;"2"&amp;RIGHT("00000"&amp;638,5))</f>
        <v/>
      </c>
      <c r="L643" t="str">
        <f t="shared" si="48"/>
        <v/>
      </c>
      <c r="M643" t="str">
        <f t="shared" si="49"/>
        <v/>
      </c>
      <c r="N643" t="str">
        <f>IF($F643="","",IF(Sync!$AF643="","0000",IF(AND(ISNUMBER(Sync!$AF643),Sync!$AF643&gt;=0,Sync!$AF643&lt;1),RIGHT("00"&amp;HOUR(Sync!$AF643),2)&amp;RIGHT("00"&amp;MINUTE(Sync!$AF643),2),IFERROR(RIGHT("00"&amp;VALUE(LEFT(Sync!$AF643,FIND(":",Sync!$AF643)-1)),2)&amp;RIGHT("00"&amp;VALUE(MID(Sync!$AF643,FIND(":",Sync!$AF643)+1,2)),2),"0000"))))</f>
        <v/>
      </c>
    </row>
    <row r="644" spans="1:14" x14ac:dyDescent="0.2">
      <c r="A644" t="str">
        <f>IF(OR(Calc!$E648="",Calc!$E648="نامعتبر",Calc!$G648=""),"",Calc!$G648)</f>
        <v/>
      </c>
      <c r="B644" t="str">
        <f>IF($A644="","",LEFT(Calc!$E648,4)&amp;MID(Calc!$E648,6,2)&amp;RIGHT(Calc!$E648,2)&amp;Calc!$Q648&amp;"|"&amp;"1"&amp;RIGHT("00000"&amp;639,5))</f>
        <v/>
      </c>
      <c r="C644" t="str">
        <f t="shared" si="45"/>
        <v/>
      </c>
      <c r="D644" t="str">
        <f t="shared" si="46"/>
        <v/>
      </c>
      <c r="F644" t="str">
        <f>IF(Sync!$AH644="","",IF(LEFT(UPPER(TRIM(Sync!$AH644)),2)="SL",UPPER(TRIM(Sync!$AH644)),""))</f>
        <v/>
      </c>
      <c r="G644" t="str">
        <f>IF($F644="","",IF(Sync!$AE644="","",IF(ISNUMBER(Sync!$AE644),IF(AND(Sync!$AE644&gt;=10000101,Sync!$AE644&lt;=99991231),INT(Sync!$AE644/10000),""),IFERROR(VALUE(TRIM(LEFT(Sync!$AE644,FIND("/",Sync!$AE644)-1))),""))))</f>
        <v/>
      </c>
      <c r="H644" t="str">
        <f>IF(OR($F644="",$G644=""),"",IF(ISNUMBER(Sync!$AE644),INT(MOD(Sync!$AE644,10000)/100),IFERROR(VALUE(TRIM(LEFT(MID(Sync!$AE644,FIND("/",Sync!$AE644)+1,20),FIND("/",MID(Sync!$AE644,FIND("/",Sync!$AE644)+1,20))-1))),"")))</f>
        <v/>
      </c>
      <c r="I644" t="str">
        <f>IF(OR($F644="",$G644=""),"",IF(ISNUMBER(Sync!$AE644),MOD(Sync!$AE644,100),IFERROR(VALUE(TRIM(MID(MID(Sync!$AE644,FIND("/",Sync!$AE644)+1,20),FIND("/",MID(Sync!$AE644,FIND("/",Sync!$AE644)+1,20))+1,20))),"")))</f>
        <v/>
      </c>
      <c r="J644" t="str">
        <f t="shared" si="47"/>
        <v/>
      </c>
      <c r="K644" t="str">
        <f>IF(OR($F644="",$J644="",$J644="نامعتبر"),"",LEFT($J644,4)&amp;MID($J644,6,2)&amp;RIGHT($J644,2)&amp;$N644&amp;"|"&amp;"2"&amp;RIGHT("00000"&amp;639,5))</f>
        <v/>
      </c>
      <c r="L644" t="str">
        <f t="shared" si="48"/>
        <v/>
      </c>
      <c r="M644" t="str">
        <f t="shared" si="49"/>
        <v/>
      </c>
      <c r="N644" t="str">
        <f>IF($F644="","",IF(Sync!$AF644="","0000",IF(AND(ISNUMBER(Sync!$AF644),Sync!$AF644&gt;=0,Sync!$AF644&lt;1),RIGHT("00"&amp;HOUR(Sync!$AF644),2)&amp;RIGHT("00"&amp;MINUTE(Sync!$AF644),2),IFERROR(RIGHT("00"&amp;VALUE(LEFT(Sync!$AF644,FIND(":",Sync!$AF644)-1)),2)&amp;RIGHT("00"&amp;VALUE(MID(Sync!$AF644,FIND(":",Sync!$AF644)+1,2)),2),"0000"))))</f>
        <v/>
      </c>
    </row>
    <row r="645" spans="1:14" x14ac:dyDescent="0.2">
      <c r="A645" t="str">
        <f>IF(OR(Calc!$E649="",Calc!$E649="نامعتبر",Calc!$G649=""),"",Calc!$G649)</f>
        <v/>
      </c>
      <c r="B645" t="str">
        <f>IF($A645="","",LEFT(Calc!$E649,4)&amp;MID(Calc!$E649,6,2)&amp;RIGHT(Calc!$E649,2)&amp;Calc!$Q649&amp;"|"&amp;"1"&amp;RIGHT("00000"&amp;640,5))</f>
        <v/>
      </c>
      <c r="C645" t="str">
        <f t="shared" si="45"/>
        <v/>
      </c>
      <c r="D645" t="str">
        <f t="shared" si="46"/>
        <v/>
      </c>
      <c r="F645" t="str">
        <f>IF(Sync!$AH645="","",IF(LEFT(UPPER(TRIM(Sync!$AH645)),2)="SL",UPPER(TRIM(Sync!$AH645)),""))</f>
        <v/>
      </c>
      <c r="G645" t="str">
        <f>IF($F645="","",IF(Sync!$AE645="","",IF(ISNUMBER(Sync!$AE645),IF(AND(Sync!$AE645&gt;=10000101,Sync!$AE645&lt;=99991231),INT(Sync!$AE645/10000),""),IFERROR(VALUE(TRIM(LEFT(Sync!$AE645,FIND("/",Sync!$AE645)-1))),""))))</f>
        <v/>
      </c>
      <c r="H645" t="str">
        <f>IF(OR($F645="",$G645=""),"",IF(ISNUMBER(Sync!$AE645),INT(MOD(Sync!$AE645,10000)/100),IFERROR(VALUE(TRIM(LEFT(MID(Sync!$AE645,FIND("/",Sync!$AE645)+1,20),FIND("/",MID(Sync!$AE645,FIND("/",Sync!$AE645)+1,20))-1))),"")))</f>
        <v/>
      </c>
      <c r="I645" t="str">
        <f>IF(OR($F645="",$G645=""),"",IF(ISNUMBER(Sync!$AE645),MOD(Sync!$AE645,100),IFERROR(VALUE(TRIM(MID(MID(Sync!$AE645,FIND("/",Sync!$AE645)+1,20),FIND("/",MID(Sync!$AE645,FIND("/",Sync!$AE645)+1,20))+1,20))),"")))</f>
        <v/>
      </c>
      <c r="J645" t="str">
        <f t="shared" si="47"/>
        <v/>
      </c>
      <c r="K645" t="str">
        <f>IF(OR($F645="",$J645="",$J645="نامعتبر"),"",LEFT($J645,4)&amp;MID($J645,6,2)&amp;RIGHT($J645,2)&amp;$N645&amp;"|"&amp;"2"&amp;RIGHT("00000"&amp;640,5))</f>
        <v/>
      </c>
      <c r="L645" t="str">
        <f t="shared" si="48"/>
        <v/>
      </c>
      <c r="M645" t="str">
        <f t="shared" si="49"/>
        <v/>
      </c>
      <c r="N645" t="str">
        <f>IF($F645="","",IF(Sync!$AF645="","0000",IF(AND(ISNUMBER(Sync!$AF645),Sync!$AF645&gt;=0,Sync!$AF645&lt;1),RIGHT("00"&amp;HOUR(Sync!$AF645),2)&amp;RIGHT("00"&amp;MINUTE(Sync!$AF645),2),IFERROR(RIGHT("00"&amp;VALUE(LEFT(Sync!$AF645,FIND(":",Sync!$AF645)-1)),2)&amp;RIGHT("00"&amp;VALUE(MID(Sync!$AF645,FIND(":",Sync!$AF645)+1,2)),2),"0000"))))</f>
        <v/>
      </c>
    </row>
    <row r="646" spans="1:14" x14ac:dyDescent="0.2">
      <c r="A646" t="str">
        <f>IF(OR(Calc!$E650="",Calc!$E650="نامعتبر",Calc!$G650=""),"",Calc!$G650)</f>
        <v/>
      </c>
      <c r="B646" t="str">
        <f>IF($A646="","",LEFT(Calc!$E650,4)&amp;MID(Calc!$E650,6,2)&amp;RIGHT(Calc!$E650,2)&amp;Calc!$Q650&amp;"|"&amp;"1"&amp;RIGHT("00000"&amp;641,5))</f>
        <v/>
      </c>
      <c r="C646" t="str">
        <f t="shared" ref="C646:C709" si="50">IF($B646="","",COUNTIFS(LdgSellerA,$A646,LdgKeyA,"&lt;"&amp;$B646)+COUNTIFS(LdgSellerB,$A646,LdgKeyB,"&lt;"&amp;$B646)+1)</f>
        <v/>
      </c>
      <c r="D646" t="str">
        <f t="shared" ref="D646:D709" si="51">IF($C646="","",$A646&amp;"|"&amp;RIGHT("000000"&amp;$C646,6))</f>
        <v/>
      </c>
      <c r="F646" t="str">
        <f>IF(Sync!$AH646="","",IF(LEFT(UPPER(TRIM(Sync!$AH646)),2)="SL",UPPER(TRIM(Sync!$AH646)),""))</f>
        <v/>
      </c>
      <c r="G646" t="str">
        <f>IF($F646="","",IF(Sync!$AE646="","",IF(ISNUMBER(Sync!$AE646),IF(AND(Sync!$AE646&gt;=10000101,Sync!$AE646&lt;=99991231),INT(Sync!$AE646/10000),""),IFERROR(VALUE(TRIM(LEFT(Sync!$AE646,FIND("/",Sync!$AE646)-1))),""))))</f>
        <v/>
      </c>
      <c r="H646" t="str">
        <f>IF(OR($F646="",$G646=""),"",IF(ISNUMBER(Sync!$AE646),INT(MOD(Sync!$AE646,10000)/100),IFERROR(VALUE(TRIM(LEFT(MID(Sync!$AE646,FIND("/",Sync!$AE646)+1,20),FIND("/",MID(Sync!$AE646,FIND("/",Sync!$AE646)+1,20))-1))),"")))</f>
        <v/>
      </c>
      <c r="I646" t="str">
        <f>IF(OR($F646="",$G646=""),"",IF(ISNUMBER(Sync!$AE646),MOD(Sync!$AE646,100),IFERROR(VALUE(TRIM(MID(MID(Sync!$AE646,FIND("/",Sync!$AE646)+1,20),FIND("/",MID(Sync!$AE646,FIND("/",Sync!$AE646)+1,20))+1,20))),"")))</f>
        <v/>
      </c>
      <c r="J646" t="str">
        <f t="shared" ref="J646:J709" si="52">IF($F646="","",IF(OR($G646="",$H646="",$I646="",$G646&lt;1300,$G646&gt;1500,$H646&lt;1,$H646&gt;12,$I646&lt;1,$I646&gt;31),"نامعتبر",RIGHT("0000"&amp;$G646,4)&amp;"/"&amp;RIGHT("00"&amp;$H646,2)&amp;"/"&amp;RIGHT("00"&amp;$I646,2)))</f>
        <v/>
      </c>
      <c r="K646" t="str">
        <f>IF(OR($F646="",$J646="",$J646="نامعتبر"),"",LEFT($J646,4)&amp;MID($J646,6,2)&amp;RIGHT($J646,2)&amp;$N646&amp;"|"&amp;"2"&amp;RIGHT("00000"&amp;641,5))</f>
        <v/>
      </c>
      <c r="L646" t="str">
        <f t="shared" ref="L646:L709" si="53">IF($K646="","",COUNTIFS(LdgSellerA,$F646,LdgKeyA,"&lt;"&amp;$K646)+COUNTIFS(LdgSellerB,$F646,LdgKeyB,"&lt;"&amp;$K646)+1)</f>
        <v/>
      </c>
      <c r="M646" t="str">
        <f t="shared" ref="M646:M709" si="54">IF($L646="","",$F646&amp;"|"&amp;RIGHT("000000"&amp;$L646,6))</f>
        <v/>
      </c>
      <c r="N646" t="str">
        <f>IF($F646="","",IF(Sync!$AF646="","0000",IF(AND(ISNUMBER(Sync!$AF646),Sync!$AF646&gt;=0,Sync!$AF646&lt;1),RIGHT("00"&amp;HOUR(Sync!$AF646),2)&amp;RIGHT("00"&amp;MINUTE(Sync!$AF646),2),IFERROR(RIGHT("00"&amp;VALUE(LEFT(Sync!$AF646,FIND(":",Sync!$AF646)-1)),2)&amp;RIGHT("00"&amp;VALUE(MID(Sync!$AF646,FIND(":",Sync!$AF646)+1,2)),2),"0000"))))</f>
        <v/>
      </c>
    </row>
    <row r="647" spans="1:14" x14ac:dyDescent="0.2">
      <c r="A647" t="str">
        <f>IF(OR(Calc!$E651="",Calc!$E651="نامعتبر",Calc!$G651=""),"",Calc!$G651)</f>
        <v/>
      </c>
      <c r="B647" t="str">
        <f>IF($A647="","",LEFT(Calc!$E651,4)&amp;MID(Calc!$E651,6,2)&amp;RIGHT(Calc!$E651,2)&amp;Calc!$Q651&amp;"|"&amp;"1"&amp;RIGHT("00000"&amp;642,5))</f>
        <v/>
      </c>
      <c r="C647" t="str">
        <f t="shared" si="50"/>
        <v/>
      </c>
      <c r="D647" t="str">
        <f t="shared" si="51"/>
        <v/>
      </c>
      <c r="F647" t="str">
        <f>IF(Sync!$AH647="","",IF(LEFT(UPPER(TRIM(Sync!$AH647)),2)="SL",UPPER(TRIM(Sync!$AH647)),""))</f>
        <v/>
      </c>
      <c r="G647" t="str">
        <f>IF($F647="","",IF(Sync!$AE647="","",IF(ISNUMBER(Sync!$AE647),IF(AND(Sync!$AE647&gt;=10000101,Sync!$AE647&lt;=99991231),INT(Sync!$AE647/10000),""),IFERROR(VALUE(TRIM(LEFT(Sync!$AE647,FIND("/",Sync!$AE647)-1))),""))))</f>
        <v/>
      </c>
      <c r="H647" t="str">
        <f>IF(OR($F647="",$G647=""),"",IF(ISNUMBER(Sync!$AE647),INT(MOD(Sync!$AE647,10000)/100),IFERROR(VALUE(TRIM(LEFT(MID(Sync!$AE647,FIND("/",Sync!$AE647)+1,20),FIND("/",MID(Sync!$AE647,FIND("/",Sync!$AE647)+1,20))-1))),"")))</f>
        <v/>
      </c>
      <c r="I647" t="str">
        <f>IF(OR($F647="",$G647=""),"",IF(ISNUMBER(Sync!$AE647),MOD(Sync!$AE647,100),IFERROR(VALUE(TRIM(MID(MID(Sync!$AE647,FIND("/",Sync!$AE647)+1,20),FIND("/",MID(Sync!$AE647,FIND("/",Sync!$AE647)+1,20))+1,20))),"")))</f>
        <v/>
      </c>
      <c r="J647" t="str">
        <f t="shared" si="52"/>
        <v/>
      </c>
      <c r="K647" t="str">
        <f>IF(OR($F647="",$J647="",$J647="نامعتبر"),"",LEFT($J647,4)&amp;MID($J647,6,2)&amp;RIGHT($J647,2)&amp;$N647&amp;"|"&amp;"2"&amp;RIGHT("00000"&amp;642,5))</f>
        <v/>
      </c>
      <c r="L647" t="str">
        <f t="shared" si="53"/>
        <v/>
      </c>
      <c r="M647" t="str">
        <f t="shared" si="54"/>
        <v/>
      </c>
      <c r="N647" t="str">
        <f>IF($F647="","",IF(Sync!$AF647="","0000",IF(AND(ISNUMBER(Sync!$AF647),Sync!$AF647&gt;=0,Sync!$AF647&lt;1),RIGHT("00"&amp;HOUR(Sync!$AF647),2)&amp;RIGHT("00"&amp;MINUTE(Sync!$AF647),2),IFERROR(RIGHT("00"&amp;VALUE(LEFT(Sync!$AF647,FIND(":",Sync!$AF647)-1)),2)&amp;RIGHT("00"&amp;VALUE(MID(Sync!$AF647,FIND(":",Sync!$AF647)+1,2)),2),"0000"))))</f>
        <v/>
      </c>
    </row>
    <row r="648" spans="1:14" x14ac:dyDescent="0.2">
      <c r="A648" t="str">
        <f>IF(OR(Calc!$E652="",Calc!$E652="نامعتبر",Calc!$G652=""),"",Calc!$G652)</f>
        <v/>
      </c>
      <c r="B648" t="str">
        <f>IF($A648="","",LEFT(Calc!$E652,4)&amp;MID(Calc!$E652,6,2)&amp;RIGHT(Calc!$E652,2)&amp;Calc!$Q652&amp;"|"&amp;"1"&amp;RIGHT("00000"&amp;643,5))</f>
        <v/>
      </c>
      <c r="C648" t="str">
        <f t="shared" si="50"/>
        <v/>
      </c>
      <c r="D648" t="str">
        <f t="shared" si="51"/>
        <v/>
      </c>
      <c r="F648" t="str">
        <f>IF(Sync!$AH648="","",IF(LEFT(UPPER(TRIM(Sync!$AH648)),2)="SL",UPPER(TRIM(Sync!$AH648)),""))</f>
        <v/>
      </c>
      <c r="G648" t="str">
        <f>IF($F648="","",IF(Sync!$AE648="","",IF(ISNUMBER(Sync!$AE648),IF(AND(Sync!$AE648&gt;=10000101,Sync!$AE648&lt;=99991231),INT(Sync!$AE648/10000),""),IFERROR(VALUE(TRIM(LEFT(Sync!$AE648,FIND("/",Sync!$AE648)-1))),""))))</f>
        <v/>
      </c>
      <c r="H648" t="str">
        <f>IF(OR($F648="",$G648=""),"",IF(ISNUMBER(Sync!$AE648),INT(MOD(Sync!$AE648,10000)/100),IFERROR(VALUE(TRIM(LEFT(MID(Sync!$AE648,FIND("/",Sync!$AE648)+1,20),FIND("/",MID(Sync!$AE648,FIND("/",Sync!$AE648)+1,20))-1))),"")))</f>
        <v/>
      </c>
      <c r="I648" t="str">
        <f>IF(OR($F648="",$G648=""),"",IF(ISNUMBER(Sync!$AE648),MOD(Sync!$AE648,100),IFERROR(VALUE(TRIM(MID(MID(Sync!$AE648,FIND("/",Sync!$AE648)+1,20),FIND("/",MID(Sync!$AE648,FIND("/",Sync!$AE648)+1,20))+1,20))),"")))</f>
        <v/>
      </c>
      <c r="J648" t="str">
        <f t="shared" si="52"/>
        <v/>
      </c>
      <c r="K648" t="str">
        <f>IF(OR($F648="",$J648="",$J648="نامعتبر"),"",LEFT($J648,4)&amp;MID($J648,6,2)&amp;RIGHT($J648,2)&amp;$N648&amp;"|"&amp;"2"&amp;RIGHT("00000"&amp;643,5))</f>
        <v/>
      </c>
      <c r="L648" t="str">
        <f t="shared" si="53"/>
        <v/>
      </c>
      <c r="M648" t="str">
        <f t="shared" si="54"/>
        <v/>
      </c>
      <c r="N648" t="str">
        <f>IF($F648="","",IF(Sync!$AF648="","0000",IF(AND(ISNUMBER(Sync!$AF648),Sync!$AF648&gt;=0,Sync!$AF648&lt;1),RIGHT("00"&amp;HOUR(Sync!$AF648),2)&amp;RIGHT("00"&amp;MINUTE(Sync!$AF648),2),IFERROR(RIGHT("00"&amp;VALUE(LEFT(Sync!$AF648,FIND(":",Sync!$AF648)-1)),2)&amp;RIGHT("00"&amp;VALUE(MID(Sync!$AF648,FIND(":",Sync!$AF648)+1,2)),2),"0000"))))</f>
        <v/>
      </c>
    </row>
    <row r="649" spans="1:14" x14ac:dyDescent="0.2">
      <c r="A649" t="str">
        <f>IF(OR(Calc!$E653="",Calc!$E653="نامعتبر",Calc!$G653=""),"",Calc!$G653)</f>
        <v/>
      </c>
      <c r="B649" t="str">
        <f>IF($A649="","",LEFT(Calc!$E653,4)&amp;MID(Calc!$E653,6,2)&amp;RIGHT(Calc!$E653,2)&amp;Calc!$Q653&amp;"|"&amp;"1"&amp;RIGHT("00000"&amp;644,5))</f>
        <v/>
      </c>
      <c r="C649" t="str">
        <f t="shared" si="50"/>
        <v/>
      </c>
      <c r="D649" t="str">
        <f t="shared" si="51"/>
        <v/>
      </c>
      <c r="F649" t="str">
        <f>IF(Sync!$AH649="","",IF(LEFT(UPPER(TRIM(Sync!$AH649)),2)="SL",UPPER(TRIM(Sync!$AH649)),""))</f>
        <v/>
      </c>
      <c r="G649" t="str">
        <f>IF($F649="","",IF(Sync!$AE649="","",IF(ISNUMBER(Sync!$AE649),IF(AND(Sync!$AE649&gt;=10000101,Sync!$AE649&lt;=99991231),INT(Sync!$AE649/10000),""),IFERROR(VALUE(TRIM(LEFT(Sync!$AE649,FIND("/",Sync!$AE649)-1))),""))))</f>
        <v/>
      </c>
      <c r="H649" t="str">
        <f>IF(OR($F649="",$G649=""),"",IF(ISNUMBER(Sync!$AE649),INT(MOD(Sync!$AE649,10000)/100),IFERROR(VALUE(TRIM(LEFT(MID(Sync!$AE649,FIND("/",Sync!$AE649)+1,20),FIND("/",MID(Sync!$AE649,FIND("/",Sync!$AE649)+1,20))-1))),"")))</f>
        <v/>
      </c>
      <c r="I649" t="str">
        <f>IF(OR($F649="",$G649=""),"",IF(ISNUMBER(Sync!$AE649),MOD(Sync!$AE649,100),IFERROR(VALUE(TRIM(MID(MID(Sync!$AE649,FIND("/",Sync!$AE649)+1,20),FIND("/",MID(Sync!$AE649,FIND("/",Sync!$AE649)+1,20))+1,20))),"")))</f>
        <v/>
      </c>
      <c r="J649" t="str">
        <f t="shared" si="52"/>
        <v/>
      </c>
      <c r="K649" t="str">
        <f>IF(OR($F649="",$J649="",$J649="نامعتبر"),"",LEFT($J649,4)&amp;MID($J649,6,2)&amp;RIGHT($J649,2)&amp;$N649&amp;"|"&amp;"2"&amp;RIGHT("00000"&amp;644,5))</f>
        <v/>
      </c>
      <c r="L649" t="str">
        <f t="shared" si="53"/>
        <v/>
      </c>
      <c r="M649" t="str">
        <f t="shared" si="54"/>
        <v/>
      </c>
      <c r="N649" t="str">
        <f>IF($F649="","",IF(Sync!$AF649="","0000",IF(AND(ISNUMBER(Sync!$AF649),Sync!$AF649&gt;=0,Sync!$AF649&lt;1),RIGHT("00"&amp;HOUR(Sync!$AF649),2)&amp;RIGHT("00"&amp;MINUTE(Sync!$AF649),2),IFERROR(RIGHT("00"&amp;VALUE(LEFT(Sync!$AF649,FIND(":",Sync!$AF649)-1)),2)&amp;RIGHT("00"&amp;VALUE(MID(Sync!$AF649,FIND(":",Sync!$AF649)+1,2)),2),"0000"))))</f>
        <v/>
      </c>
    </row>
    <row r="650" spans="1:14" x14ac:dyDescent="0.2">
      <c r="A650" t="str">
        <f>IF(OR(Calc!$E654="",Calc!$E654="نامعتبر",Calc!$G654=""),"",Calc!$G654)</f>
        <v/>
      </c>
      <c r="B650" t="str">
        <f>IF($A650="","",LEFT(Calc!$E654,4)&amp;MID(Calc!$E654,6,2)&amp;RIGHT(Calc!$E654,2)&amp;Calc!$Q654&amp;"|"&amp;"1"&amp;RIGHT("00000"&amp;645,5))</f>
        <v/>
      </c>
      <c r="C650" t="str">
        <f t="shared" si="50"/>
        <v/>
      </c>
      <c r="D650" t="str">
        <f t="shared" si="51"/>
        <v/>
      </c>
      <c r="F650" t="str">
        <f>IF(Sync!$AH650="","",IF(LEFT(UPPER(TRIM(Sync!$AH650)),2)="SL",UPPER(TRIM(Sync!$AH650)),""))</f>
        <v/>
      </c>
      <c r="G650" t="str">
        <f>IF($F650="","",IF(Sync!$AE650="","",IF(ISNUMBER(Sync!$AE650),IF(AND(Sync!$AE650&gt;=10000101,Sync!$AE650&lt;=99991231),INT(Sync!$AE650/10000),""),IFERROR(VALUE(TRIM(LEFT(Sync!$AE650,FIND("/",Sync!$AE650)-1))),""))))</f>
        <v/>
      </c>
      <c r="H650" t="str">
        <f>IF(OR($F650="",$G650=""),"",IF(ISNUMBER(Sync!$AE650),INT(MOD(Sync!$AE650,10000)/100),IFERROR(VALUE(TRIM(LEFT(MID(Sync!$AE650,FIND("/",Sync!$AE650)+1,20),FIND("/",MID(Sync!$AE650,FIND("/",Sync!$AE650)+1,20))-1))),"")))</f>
        <v/>
      </c>
      <c r="I650" t="str">
        <f>IF(OR($F650="",$G650=""),"",IF(ISNUMBER(Sync!$AE650),MOD(Sync!$AE650,100),IFERROR(VALUE(TRIM(MID(MID(Sync!$AE650,FIND("/",Sync!$AE650)+1,20),FIND("/",MID(Sync!$AE650,FIND("/",Sync!$AE650)+1,20))+1,20))),"")))</f>
        <v/>
      </c>
      <c r="J650" t="str">
        <f t="shared" si="52"/>
        <v/>
      </c>
      <c r="K650" t="str">
        <f>IF(OR($F650="",$J650="",$J650="نامعتبر"),"",LEFT($J650,4)&amp;MID($J650,6,2)&amp;RIGHT($J650,2)&amp;$N650&amp;"|"&amp;"2"&amp;RIGHT("00000"&amp;645,5))</f>
        <v/>
      </c>
      <c r="L650" t="str">
        <f t="shared" si="53"/>
        <v/>
      </c>
      <c r="M650" t="str">
        <f t="shared" si="54"/>
        <v/>
      </c>
      <c r="N650" t="str">
        <f>IF($F650="","",IF(Sync!$AF650="","0000",IF(AND(ISNUMBER(Sync!$AF650),Sync!$AF650&gt;=0,Sync!$AF650&lt;1),RIGHT("00"&amp;HOUR(Sync!$AF650),2)&amp;RIGHT("00"&amp;MINUTE(Sync!$AF650),2),IFERROR(RIGHT("00"&amp;VALUE(LEFT(Sync!$AF650,FIND(":",Sync!$AF650)-1)),2)&amp;RIGHT("00"&amp;VALUE(MID(Sync!$AF650,FIND(":",Sync!$AF650)+1,2)),2),"0000"))))</f>
        <v/>
      </c>
    </row>
    <row r="651" spans="1:14" x14ac:dyDescent="0.2">
      <c r="A651" t="str">
        <f>IF(OR(Calc!$E655="",Calc!$E655="نامعتبر",Calc!$G655=""),"",Calc!$G655)</f>
        <v/>
      </c>
      <c r="B651" t="str">
        <f>IF($A651="","",LEFT(Calc!$E655,4)&amp;MID(Calc!$E655,6,2)&amp;RIGHT(Calc!$E655,2)&amp;Calc!$Q655&amp;"|"&amp;"1"&amp;RIGHT("00000"&amp;646,5))</f>
        <v/>
      </c>
      <c r="C651" t="str">
        <f t="shared" si="50"/>
        <v/>
      </c>
      <c r="D651" t="str">
        <f t="shared" si="51"/>
        <v/>
      </c>
      <c r="F651" t="str">
        <f>IF(Sync!$AH651="","",IF(LEFT(UPPER(TRIM(Sync!$AH651)),2)="SL",UPPER(TRIM(Sync!$AH651)),""))</f>
        <v/>
      </c>
      <c r="G651" t="str">
        <f>IF($F651="","",IF(Sync!$AE651="","",IF(ISNUMBER(Sync!$AE651),IF(AND(Sync!$AE651&gt;=10000101,Sync!$AE651&lt;=99991231),INT(Sync!$AE651/10000),""),IFERROR(VALUE(TRIM(LEFT(Sync!$AE651,FIND("/",Sync!$AE651)-1))),""))))</f>
        <v/>
      </c>
      <c r="H651" t="str">
        <f>IF(OR($F651="",$G651=""),"",IF(ISNUMBER(Sync!$AE651),INT(MOD(Sync!$AE651,10000)/100),IFERROR(VALUE(TRIM(LEFT(MID(Sync!$AE651,FIND("/",Sync!$AE651)+1,20),FIND("/",MID(Sync!$AE651,FIND("/",Sync!$AE651)+1,20))-1))),"")))</f>
        <v/>
      </c>
      <c r="I651" t="str">
        <f>IF(OR($F651="",$G651=""),"",IF(ISNUMBER(Sync!$AE651),MOD(Sync!$AE651,100),IFERROR(VALUE(TRIM(MID(MID(Sync!$AE651,FIND("/",Sync!$AE651)+1,20),FIND("/",MID(Sync!$AE651,FIND("/",Sync!$AE651)+1,20))+1,20))),"")))</f>
        <v/>
      </c>
      <c r="J651" t="str">
        <f t="shared" si="52"/>
        <v/>
      </c>
      <c r="K651" t="str">
        <f>IF(OR($F651="",$J651="",$J651="نامعتبر"),"",LEFT($J651,4)&amp;MID($J651,6,2)&amp;RIGHT($J651,2)&amp;$N651&amp;"|"&amp;"2"&amp;RIGHT("00000"&amp;646,5))</f>
        <v/>
      </c>
      <c r="L651" t="str">
        <f t="shared" si="53"/>
        <v/>
      </c>
      <c r="M651" t="str">
        <f t="shared" si="54"/>
        <v/>
      </c>
      <c r="N651" t="str">
        <f>IF($F651="","",IF(Sync!$AF651="","0000",IF(AND(ISNUMBER(Sync!$AF651),Sync!$AF651&gt;=0,Sync!$AF651&lt;1),RIGHT("00"&amp;HOUR(Sync!$AF651),2)&amp;RIGHT("00"&amp;MINUTE(Sync!$AF651),2),IFERROR(RIGHT("00"&amp;VALUE(LEFT(Sync!$AF651,FIND(":",Sync!$AF651)-1)),2)&amp;RIGHT("00"&amp;VALUE(MID(Sync!$AF651,FIND(":",Sync!$AF651)+1,2)),2),"0000"))))</f>
        <v/>
      </c>
    </row>
    <row r="652" spans="1:14" x14ac:dyDescent="0.2">
      <c r="A652" t="str">
        <f>IF(OR(Calc!$E656="",Calc!$E656="نامعتبر",Calc!$G656=""),"",Calc!$G656)</f>
        <v/>
      </c>
      <c r="B652" t="str">
        <f>IF($A652="","",LEFT(Calc!$E656,4)&amp;MID(Calc!$E656,6,2)&amp;RIGHT(Calc!$E656,2)&amp;Calc!$Q656&amp;"|"&amp;"1"&amp;RIGHT("00000"&amp;647,5))</f>
        <v/>
      </c>
      <c r="C652" t="str">
        <f t="shared" si="50"/>
        <v/>
      </c>
      <c r="D652" t="str">
        <f t="shared" si="51"/>
        <v/>
      </c>
      <c r="F652" t="str">
        <f>IF(Sync!$AH652="","",IF(LEFT(UPPER(TRIM(Sync!$AH652)),2)="SL",UPPER(TRIM(Sync!$AH652)),""))</f>
        <v/>
      </c>
      <c r="G652" t="str">
        <f>IF($F652="","",IF(Sync!$AE652="","",IF(ISNUMBER(Sync!$AE652),IF(AND(Sync!$AE652&gt;=10000101,Sync!$AE652&lt;=99991231),INT(Sync!$AE652/10000),""),IFERROR(VALUE(TRIM(LEFT(Sync!$AE652,FIND("/",Sync!$AE652)-1))),""))))</f>
        <v/>
      </c>
      <c r="H652" t="str">
        <f>IF(OR($F652="",$G652=""),"",IF(ISNUMBER(Sync!$AE652),INT(MOD(Sync!$AE652,10000)/100),IFERROR(VALUE(TRIM(LEFT(MID(Sync!$AE652,FIND("/",Sync!$AE652)+1,20),FIND("/",MID(Sync!$AE652,FIND("/",Sync!$AE652)+1,20))-1))),"")))</f>
        <v/>
      </c>
      <c r="I652" t="str">
        <f>IF(OR($F652="",$G652=""),"",IF(ISNUMBER(Sync!$AE652),MOD(Sync!$AE652,100),IFERROR(VALUE(TRIM(MID(MID(Sync!$AE652,FIND("/",Sync!$AE652)+1,20),FIND("/",MID(Sync!$AE652,FIND("/",Sync!$AE652)+1,20))+1,20))),"")))</f>
        <v/>
      </c>
      <c r="J652" t="str">
        <f t="shared" si="52"/>
        <v/>
      </c>
      <c r="K652" t="str">
        <f>IF(OR($F652="",$J652="",$J652="نامعتبر"),"",LEFT($J652,4)&amp;MID($J652,6,2)&amp;RIGHT($J652,2)&amp;$N652&amp;"|"&amp;"2"&amp;RIGHT("00000"&amp;647,5))</f>
        <v/>
      </c>
      <c r="L652" t="str">
        <f t="shared" si="53"/>
        <v/>
      </c>
      <c r="M652" t="str">
        <f t="shared" si="54"/>
        <v/>
      </c>
      <c r="N652" t="str">
        <f>IF($F652="","",IF(Sync!$AF652="","0000",IF(AND(ISNUMBER(Sync!$AF652),Sync!$AF652&gt;=0,Sync!$AF652&lt;1),RIGHT("00"&amp;HOUR(Sync!$AF652),2)&amp;RIGHT("00"&amp;MINUTE(Sync!$AF652),2),IFERROR(RIGHT("00"&amp;VALUE(LEFT(Sync!$AF652,FIND(":",Sync!$AF652)-1)),2)&amp;RIGHT("00"&amp;VALUE(MID(Sync!$AF652,FIND(":",Sync!$AF652)+1,2)),2),"0000"))))</f>
        <v/>
      </c>
    </row>
    <row r="653" spans="1:14" x14ac:dyDescent="0.2">
      <c r="A653" t="str">
        <f>IF(OR(Calc!$E657="",Calc!$E657="نامعتبر",Calc!$G657=""),"",Calc!$G657)</f>
        <v/>
      </c>
      <c r="B653" t="str">
        <f>IF($A653="","",LEFT(Calc!$E657,4)&amp;MID(Calc!$E657,6,2)&amp;RIGHT(Calc!$E657,2)&amp;Calc!$Q657&amp;"|"&amp;"1"&amp;RIGHT("00000"&amp;648,5))</f>
        <v/>
      </c>
      <c r="C653" t="str">
        <f t="shared" si="50"/>
        <v/>
      </c>
      <c r="D653" t="str">
        <f t="shared" si="51"/>
        <v/>
      </c>
      <c r="F653" t="str">
        <f>IF(Sync!$AH653="","",IF(LEFT(UPPER(TRIM(Sync!$AH653)),2)="SL",UPPER(TRIM(Sync!$AH653)),""))</f>
        <v/>
      </c>
      <c r="G653" t="str">
        <f>IF($F653="","",IF(Sync!$AE653="","",IF(ISNUMBER(Sync!$AE653),IF(AND(Sync!$AE653&gt;=10000101,Sync!$AE653&lt;=99991231),INT(Sync!$AE653/10000),""),IFERROR(VALUE(TRIM(LEFT(Sync!$AE653,FIND("/",Sync!$AE653)-1))),""))))</f>
        <v/>
      </c>
      <c r="H653" t="str">
        <f>IF(OR($F653="",$G653=""),"",IF(ISNUMBER(Sync!$AE653),INT(MOD(Sync!$AE653,10000)/100),IFERROR(VALUE(TRIM(LEFT(MID(Sync!$AE653,FIND("/",Sync!$AE653)+1,20),FIND("/",MID(Sync!$AE653,FIND("/",Sync!$AE653)+1,20))-1))),"")))</f>
        <v/>
      </c>
      <c r="I653" t="str">
        <f>IF(OR($F653="",$G653=""),"",IF(ISNUMBER(Sync!$AE653),MOD(Sync!$AE653,100),IFERROR(VALUE(TRIM(MID(MID(Sync!$AE653,FIND("/",Sync!$AE653)+1,20),FIND("/",MID(Sync!$AE653,FIND("/",Sync!$AE653)+1,20))+1,20))),"")))</f>
        <v/>
      </c>
      <c r="J653" t="str">
        <f t="shared" si="52"/>
        <v/>
      </c>
      <c r="K653" t="str">
        <f>IF(OR($F653="",$J653="",$J653="نامعتبر"),"",LEFT($J653,4)&amp;MID($J653,6,2)&amp;RIGHT($J653,2)&amp;$N653&amp;"|"&amp;"2"&amp;RIGHT("00000"&amp;648,5))</f>
        <v/>
      </c>
      <c r="L653" t="str">
        <f t="shared" si="53"/>
        <v/>
      </c>
      <c r="M653" t="str">
        <f t="shared" si="54"/>
        <v/>
      </c>
      <c r="N653" t="str">
        <f>IF($F653="","",IF(Sync!$AF653="","0000",IF(AND(ISNUMBER(Sync!$AF653),Sync!$AF653&gt;=0,Sync!$AF653&lt;1),RIGHT("00"&amp;HOUR(Sync!$AF653),2)&amp;RIGHT("00"&amp;MINUTE(Sync!$AF653),2),IFERROR(RIGHT("00"&amp;VALUE(LEFT(Sync!$AF653,FIND(":",Sync!$AF653)-1)),2)&amp;RIGHT("00"&amp;VALUE(MID(Sync!$AF653,FIND(":",Sync!$AF653)+1,2)),2),"0000"))))</f>
        <v/>
      </c>
    </row>
    <row r="654" spans="1:14" x14ac:dyDescent="0.2">
      <c r="A654" t="str">
        <f>IF(OR(Calc!$E658="",Calc!$E658="نامعتبر",Calc!$G658=""),"",Calc!$G658)</f>
        <v/>
      </c>
      <c r="B654" t="str">
        <f>IF($A654="","",LEFT(Calc!$E658,4)&amp;MID(Calc!$E658,6,2)&amp;RIGHT(Calc!$E658,2)&amp;Calc!$Q658&amp;"|"&amp;"1"&amp;RIGHT("00000"&amp;649,5))</f>
        <v/>
      </c>
      <c r="C654" t="str">
        <f t="shared" si="50"/>
        <v/>
      </c>
      <c r="D654" t="str">
        <f t="shared" si="51"/>
        <v/>
      </c>
      <c r="F654" t="str">
        <f>IF(Sync!$AH654="","",IF(LEFT(UPPER(TRIM(Sync!$AH654)),2)="SL",UPPER(TRIM(Sync!$AH654)),""))</f>
        <v/>
      </c>
      <c r="G654" t="str">
        <f>IF($F654="","",IF(Sync!$AE654="","",IF(ISNUMBER(Sync!$AE654),IF(AND(Sync!$AE654&gt;=10000101,Sync!$AE654&lt;=99991231),INT(Sync!$AE654/10000),""),IFERROR(VALUE(TRIM(LEFT(Sync!$AE654,FIND("/",Sync!$AE654)-1))),""))))</f>
        <v/>
      </c>
      <c r="H654" t="str">
        <f>IF(OR($F654="",$G654=""),"",IF(ISNUMBER(Sync!$AE654),INT(MOD(Sync!$AE654,10000)/100),IFERROR(VALUE(TRIM(LEFT(MID(Sync!$AE654,FIND("/",Sync!$AE654)+1,20),FIND("/",MID(Sync!$AE654,FIND("/",Sync!$AE654)+1,20))-1))),"")))</f>
        <v/>
      </c>
      <c r="I654" t="str">
        <f>IF(OR($F654="",$G654=""),"",IF(ISNUMBER(Sync!$AE654),MOD(Sync!$AE654,100),IFERROR(VALUE(TRIM(MID(MID(Sync!$AE654,FIND("/",Sync!$AE654)+1,20),FIND("/",MID(Sync!$AE654,FIND("/",Sync!$AE654)+1,20))+1,20))),"")))</f>
        <v/>
      </c>
      <c r="J654" t="str">
        <f t="shared" si="52"/>
        <v/>
      </c>
      <c r="K654" t="str">
        <f>IF(OR($F654="",$J654="",$J654="نامعتبر"),"",LEFT($J654,4)&amp;MID($J654,6,2)&amp;RIGHT($J654,2)&amp;$N654&amp;"|"&amp;"2"&amp;RIGHT("00000"&amp;649,5))</f>
        <v/>
      </c>
      <c r="L654" t="str">
        <f t="shared" si="53"/>
        <v/>
      </c>
      <c r="M654" t="str">
        <f t="shared" si="54"/>
        <v/>
      </c>
      <c r="N654" t="str">
        <f>IF($F654="","",IF(Sync!$AF654="","0000",IF(AND(ISNUMBER(Sync!$AF654),Sync!$AF654&gt;=0,Sync!$AF654&lt;1),RIGHT("00"&amp;HOUR(Sync!$AF654),2)&amp;RIGHT("00"&amp;MINUTE(Sync!$AF654),2),IFERROR(RIGHT("00"&amp;VALUE(LEFT(Sync!$AF654,FIND(":",Sync!$AF654)-1)),2)&amp;RIGHT("00"&amp;VALUE(MID(Sync!$AF654,FIND(":",Sync!$AF654)+1,2)),2),"0000"))))</f>
        <v/>
      </c>
    </row>
    <row r="655" spans="1:14" x14ac:dyDescent="0.2">
      <c r="A655" t="str">
        <f>IF(OR(Calc!$E659="",Calc!$E659="نامعتبر",Calc!$G659=""),"",Calc!$G659)</f>
        <v/>
      </c>
      <c r="B655" t="str">
        <f>IF($A655="","",LEFT(Calc!$E659,4)&amp;MID(Calc!$E659,6,2)&amp;RIGHT(Calc!$E659,2)&amp;Calc!$Q659&amp;"|"&amp;"1"&amp;RIGHT("00000"&amp;650,5))</f>
        <v/>
      </c>
      <c r="C655" t="str">
        <f t="shared" si="50"/>
        <v/>
      </c>
      <c r="D655" t="str">
        <f t="shared" si="51"/>
        <v/>
      </c>
      <c r="F655" t="str">
        <f>IF(Sync!$AH655="","",IF(LEFT(UPPER(TRIM(Sync!$AH655)),2)="SL",UPPER(TRIM(Sync!$AH655)),""))</f>
        <v/>
      </c>
      <c r="G655" t="str">
        <f>IF($F655="","",IF(Sync!$AE655="","",IF(ISNUMBER(Sync!$AE655),IF(AND(Sync!$AE655&gt;=10000101,Sync!$AE655&lt;=99991231),INT(Sync!$AE655/10000),""),IFERROR(VALUE(TRIM(LEFT(Sync!$AE655,FIND("/",Sync!$AE655)-1))),""))))</f>
        <v/>
      </c>
      <c r="H655" t="str">
        <f>IF(OR($F655="",$G655=""),"",IF(ISNUMBER(Sync!$AE655),INT(MOD(Sync!$AE655,10000)/100),IFERROR(VALUE(TRIM(LEFT(MID(Sync!$AE655,FIND("/",Sync!$AE655)+1,20),FIND("/",MID(Sync!$AE655,FIND("/",Sync!$AE655)+1,20))-1))),"")))</f>
        <v/>
      </c>
      <c r="I655" t="str">
        <f>IF(OR($F655="",$G655=""),"",IF(ISNUMBER(Sync!$AE655),MOD(Sync!$AE655,100),IFERROR(VALUE(TRIM(MID(MID(Sync!$AE655,FIND("/",Sync!$AE655)+1,20),FIND("/",MID(Sync!$AE655,FIND("/",Sync!$AE655)+1,20))+1,20))),"")))</f>
        <v/>
      </c>
      <c r="J655" t="str">
        <f t="shared" si="52"/>
        <v/>
      </c>
      <c r="K655" t="str">
        <f>IF(OR($F655="",$J655="",$J655="نامعتبر"),"",LEFT($J655,4)&amp;MID($J655,6,2)&amp;RIGHT($J655,2)&amp;$N655&amp;"|"&amp;"2"&amp;RIGHT("00000"&amp;650,5))</f>
        <v/>
      </c>
      <c r="L655" t="str">
        <f t="shared" si="53"/>
        <v/>
      </c>
      <c r="M655" t="str">
        <f t="shared" si="54"/>
        <v/>
      </c>
      <c r="N655" t="str">
        <f>IF($F655="","",IF(Sync!$AF655="","0000",IF(AND(ISNUMBER(Sync!$AF655),Sync!$AF655&gt;=0,Sync!$AF655&lt;1),RIGHT("00"&amp;HOUR(Sync!$AF655),2)&amp;RIGHT("00"&amp;MINUTE(Sync!$AF655),2),IFERROR(RIGHT("00"&amp;VALUE(LEFT(Sync!$AF655,FIND(":",Sync!$AF655)-1)),2)&amp;RIGHT("00"&amp;VALUE(MID(Sync!$AF655,FIND(":",Sync!$AF655)+1,2)),2),"0000"))))</f>
        <v/>
      </c>
    </row>
    <row r="656" spans="1:14" x14ac:dyDescent="0.2">
      <c r="A656" t="str">
        <f>IF(OR(Calc!$E660="",Calc!$E660="نامعتبر",Calc!$G660=""),"",Calc!$G660)</f>
        <v/>
      </c>
      <c r="B656" t="str">
        <f>IF($A656="","",LEFT(Calc!$E660,4)&amp;MID(Calc!$E660,6,2)&amp;RIGHT(Calc!$E660,2)&amp;Calc!$Q660&amp;"|"&amp;"1"&amp;RIGHT("00000"&amp;651,5))</f>
        <v/>
      </c>
      <c r="C656" t="str">
        <f t="shared" si="50"/>
        <v/>
      </c>
      <c r="D656" t="str">
        <f t="shared" si="51"/>
        <v/>
      </c>
      <c r="F656" t="str">
        <f>IF(Sync!$AH656="","",IF(LEFT(UPPER(TRIM(Sync!$AH656)),2)="SL",UPPER(TRIM(Sync!$AH656)),""))</f>
        <v/>
      </c>
      <c r="G656" t="str">
        <f>IF($F656="","",IF(Sync!$AE656="","",IF(ISNUMBER(Sync!$AE656),IF(AND(Sync!$AE656&gt;=10000101,Sync!$AE656&lt;=99991231),INT(Sync!$AE656/10000),""),IFERROR(VALUE(TRIM(LEFT(Sync!$AE656,FIND("/",Sync!$AE656)-1))),""))))</f>
        <v/>
      </c>
      <c r="H656" t="str">
        <f>IF(OR($F656="",$G656=""),"",IF(ISNUMBER(Sync!$AE656),INT(MOD(Sync!$AE656,10000)/100),IFERROR(VALUE(TRIM(LEFT(MID(Sync!$AE656,FIND("/",Sync!$AE656)+1,20),FIND("/",MID(Sync!$AE656,FIND("/",Sync!$AE656)+1,20))-1))),"")))</f>
        <v/>
      </c>
      <c r="I656" t="str">
        <f>IF(OR($F656="",$G656=""),"",IF(ISNUMBER(Sync!$AE656),MOD(Sync!$AE656,100),IFERROR(VALUE(TRIM(MID(MID(Sync!$AE656,FIND("/",Sync!$AE656)+1,20),FIND("/",MID(Sync!$AE656,FIND("/",Sync!$AE656)+1,20))+1,20))),"")))</f>
        <v/>
      </c>
      <c r="J656" t="str">
        <f t="shared" si="52"/>
        <v/>
      </c>
      <c r="K656" t="str">
        <f>IF(OR($F656="",$J656="",$J656="نامعتبر"),"",LEFT($J656,4)&amp;MID($J656,6,2)&amp;RIGHT($J656,2)&amp;$N656&amp;"|"&amp;"2"&amp;RIGHT("00000"&amp;651,5))</f>
        <v/>
      </c>
      <c r="L656" t="str">
        <f t="shared" si="53"/>
        <v/>
      </c>
      <c r="M656" t="str">
        <f t="shared" si="54"/>
        <v/>
      </c>
      <c r="N656" t="str">
        <f>IF($F656="","",IF(Sync!$AF656="","0000",IF(AND(ISNUMBER(Sync!$AF656),Sync!$AF656&gt;=0,Sync!$AF656&lt;1),RIGHT("00"&amp;HOUR(Sync!$AF656),2)&amp;RIGHT("00"&amp;MINUTE(Sync!$AF656),2),IFERROR(RIGHT("00"&amp;VALUE(LEFT(Sync!$AF656,FIND(":",Sync!$AF656)-1)),2)&amp;RIGHT("00"&amp;VALUE(MID(Sync!$AF656,FIND(":",Sync!$AF656)+1,2)),2),"0000"))))</f>
        <v/>
      </c>
    </row>
    <row r="657" spans="1:14" x14ac:dyDescent="0.2">
      <c r="A657" t="str">
        <f>IF(OR(Calc!$E661="",Calc!$E661="نامعتبر",Calc!$G661=""),"",Calc!$G661)</f>
        <v/>
      </c>
      <c r="B657" t="str">
        <f>IF($A657="","",LEFT(Calc!$E661,4)&amp;MID(Calc!$E661,6,2)&amp;RIGHT(Calc!$E661,2)&amp;Calc!$Q661&amp;"|"&amp;"1"&amp;RIGHT("00000"&amp;652,5))</f>
        <v/>
      </c>
      <c r="C657" t="str">
        <f t="shared" si="50"/>
        <v/>
      </c>
      <c r="D657" t="str">
        <f t="shared" si="51"/>
        <v/>
      </c>
      <c r="F657" t="str">
        <f>IF(Sync!$AH657="","",IF(LEFT(UPPER(TRIM(Sync!$AH657)),2)="SL",UPPER(TRIM(Sync!$AH657)),""))</f>
        <v/>
      </c>
      <c r="G657" t="str">
        <f>IF($F657="","",IF(Sync!$AE657="","",IF(ISNUMBER(Sync!$AE657),IF(AND(Sync!$AE657&gt;=10000101,Sync!$AE657&lt;=99991231),INT(Sync!$AE657/10000),""),IFERROR(VALUE(TRIM(LEFT(Sync!$AE657,FIND("/",Sync!$AE657)-1))),""))))</f>
        <v/>
      </c>
      <c r="H657" t="str">
        <f>IF(OR($F657="",$G657=""),"",IF(ISNUMBER(Sync!$AE657),INT(MOD(Sync!$AE657,10000)/100),IFERROR(VALUE(TRIM(LEFT(MID(Sync!$AE657,FIND("/",Sync!$AE657)+1,20),FIND("/",MID(Sync!$AE657,FIND("/",Sync!$AE657)+1,20))-1))),"")))</f>
        <v/>
      </c>
      <c r="I657" t="str">
        <f>IF(OR($F657="",$G657=""),"",IF(ISNUMBER(Sync!$AE657),MOD(Sync!$AE657,100),IFERROR(VALUE(TRIM(MID(MID(Sync!$AE657,FIND("/",Sync!$AE657)+1,20),FIND("/",MID(Sync!$AE657,FIND("/",Sync!$AE657)+1,20))+1,20))),"")))</f>
        <v/>
      </c>
      <c r="J657" t="str">
        <f t="shared" si="52"/>
        <v/>
      </c>
      <c r="K657" t="str">
        <f>IF(OR($F657="",$J657="",$J657="نامعتبر"),"",LEFT($J657,4)&amp;MID($J657,6,2)&amp;RIGHT($J657,2)&amp;$N657&amp;"|"&amp;"2"&amp;RIGHT("00000"&amp;652,5))</f>
        <v/>
      </c>
      <c r="L657" t="str">
        <f t="shared" si="53"/>
        <v/>
      </c>
      <c r="M657" t="str">
        <f t="shared" si="54"/>
        <v/>
      </c>
      <c r="N657" t="str">
        <f>IF($F657="","",IF(Sync!$AF657="","0000",IF(AND(ISNUMBER(Sync!$AF657),Sync!$AF657&gt;=0,Sync!$AF657&lt;1),RIGHT("00"&amp;HOUR(Sync!$AF657),2)&amp;RIGHT("00"&amp;MINUTE(Sync!$AF657),2),IFERROR(RIGHT("00"&amp;VALUE(LEFT(Sync!$AF657,FIND(":",Sync!$AF657)-1)),2)&amp;RIGHT("00"&amp;VALUE(MID(Sync!$AF657,FIND(":",Sync!$AF657)+1,2)),2),"0000"))))</f>
        <v/>
      </c>
    </row>
    <row r="658" spans="1:14" x14ac:dyDescent="0.2">
      <c r="A658" t="str">
        <f>IF(OR(Calc!$E662="",Calc!$E662="نامعتبر",Calc!$G662=""),"",Calc!$G662)</f>
        <v/>
      </c>
      <c r="B658" t="str">
        <f>IF($A658="","",LEFT(Calc!$E662,4)&amp;MID(Calc!$E662,6,2)&amp;RIGHT(Calc!$E662,2)&amp;Calc!$Q662&amp;"|"&amp;"1"&amp;RIGHT("00000"&amp;653,5))</f>
        <v/>
      </c>
      <c r="C658" t="str">
        <f t="shared" si="50"/>
        <v/>
      </c>
      <c r="D658" t="str">
        <f t="shared" si="51"/>
        <v/>
      </c>
      <c r="F658" t="str">
        <f>IF(Sync!$AH658="","",IF(LEFT(UPPER(TRIM(Sync!$AH658)),2)="SL",UPPER(TRIM(Sync!$AH658)),""))</f>
        <v/>
      </c>
      <c r="G658" t="str">
        <f>IF($F658="","",IF(Sync!$AE658="","",IF(ISNUMBER(Sync!$AE658),IF(AND(Sync!$AE658&gt;=10000101,Sync!$AE658&lt;=99991231),INT(Sync!$AE658/10000),""),IFERROR(VALUE(TRIM(LEFT(Sync!$AE658,FIND("/",Sync!$AE658)-1))),""))))</f>
        <v/>
      </c>
      <c r="H658" t="str">
        <f>IF(OR($F658="",$G658=""),"",IF(ISNUMBER(Sync!$AE658),INT(MOD(Sync!$AE658,10000)/100),IFERROR(VALUE(TRIM(LEFT(MID(Sync!$AE658,FIND("/",Sync!$AE658)+1,20),FIND("/",MID(Sync!$AE658,FIND("/",Sync!$AE658)+1,20))-1))),"")))</f>
        <v/>
      </c>
      <c r="I658" t="str">
        <f>IF(OR($F658="",$G658=""),"",IF(ISNUMBER(Sync!$AE658),MOD(Sync!$AE658,100),IFERROR(VALUE(TRIM(MID(MID(Sync!$AE658,FIND("/",Sync!$AE658)+1,20),FIND("/",MID(Sync!$AE658,FIND("/",Sync!$AE658)+1,20))+1,20))),"")))</f>
        <v/>
      </c>
      <c r="J658" t="str">
        <f t="shared" si="52"/>
        <v/>
      </c>
      <c r="K658" t="str">
        <f>IF(OR($F658="",$J658="",$J658="نامعتبر"),"",LEFT($J658,4)&amp;MID($J658,6,2)&amp;RIGHT($J658,2)&amp;$N658&amp;"|"&amp;"2"&amp;RIGHT("00000"&amp;653,5))</f>
        <v/>
      </c>
      <c r="L658" t="str">
        <f t="shared" si="53"/>
        <v/>
      </c>
      <c r="M658" t="str">
        <f t="shared" si="54"/>
        <v/>
      </c>
      <c r="N658" t="str">
        <f>IF($F658="","",IF(Sync!$AF658="","0000",IF(AND(ISNUMBER(Sync!$AF658),Sync!$AF658&gt;=0,Sync!$AF658&lt;1),RIGHT("00"&amp;HOUR(Sync!$AF658),2)&amp;RIGHT("00"&amp;MINUTE(Sync!$AF658),2),IFERROR(RIGHT("00"&amp;VALUE(LEFT(Sync!$AF658,FIND(":",Sync!$AF658)-1)),2)&amp;RIGHT("00"&amp;VALUE(MID(Sync!$AF658,FIND(":",Sync!$AF658)+1,2)),2),"0000"))))</f>
        <v/>
      </c>
    </row>
    <row r="659" spans="1:14" x14ac:dyDescent="0.2">
      <c r="A659" t="str">
        <f>IF(OR(Calc!$E663="",Calc!$E663="نامعتبر",Calc!$G663=""),"",Calc!$G663)</f>
        <v/>
      </c>
      <c r="B659" t="str">
        <f>IF($A659="","",LEFT(Calc!$E663,4)&amp;MID(Calc!$E663,6,2)&amp;RIGHT(Calc!$E663,2)&amp;Calc!$Q663&amp;"|"&amp;"1"&amp;RIGHT("00000"&amp;654,5))</f>
        <v/>
      </c>
      <c r="C659" t="str">
        <f t="shared" si="50"/>
        <v/>
      </c>
      <c r="D659" t="str">
        <f t="shared" si="51"/>
        <v/>
      </c>
      <c r="F659" t="str">
        <f>IF(Sync!$AH659="","",IF(LEFT(UPPER(TRIM(Sync!$AH659)),2)="SL",UPPER(TRIM(Sync!$AH659)),""))</f>
        <v/>
      </c>
      <c r="G659" t="str">
        <f>IF($F659="","",IF(Sync!$AE659="","",IF(ISNUMBER(Sync!$AE659),IF(AND(Sync!$AE659&gt;=10000101,Sync!$AE659&lt;=99991231),INT(Sync!$AE659/10000),""),IFERROR(VALUE(TRIM(LEFT(Sync!$AE659,FIND("/",Sync!$AE659)-1))),""))))</f>
        <v/>
      </c>
      <c r="H659" t="str">
        <f>IF(OR($F659="",$G659=""),"",IF(ISNUMBER(Sync!$AE659),INT(MOD(Sync!$AE659,10000)/100),IFERROR(VALUE(TRIM(LEFT(MID(Sync!$AE659,FIND("/",Sync!$AE659)+1,20),FIND("/",MID(Sync!$AE659,FIND("/",Sync!$AE659)+1,20))-1))),"")))</f>
        <v/>
      </c>
      <c r="I659" t="str">
        <f>IF(OR($F659="",$G659=""),"",IF(ISNUMBER(Sync!$AE659),MOD(Sync!$AE659,100),IFERROR(VALUE(TRIM(MID(MID(Sync!$AE659,FIND("/",Sync!$AE659)+1,20),FIND("/",MID(Sync!$AE659,FIND("/",Sync!$AE659)+1,20))+1,20))),"")))</f>
        <v/>
      </c>
      <c r="J659" t="str">
        <f t="shared" si="52"/>
        <v/>
      </c>
      <c r="K659" t="str">
        <f>IF(OR($F659="",$J659="",$J659="نامعتبر"),"",LEFT($J659,4)&amp;MID($J659,6,2)&amp;RIGHT($J659,2)&amp;$N659&amp;"|"&amp;"2"&amp;RIGHT("00000"&amp;654,5))</f>
        <v/>
      </c>
      <c r="L659" t="str">
        <f t="shared" si="53"/>
        <v/>
      </c>
      <c r="M659" t="str">
        <f t="shared" si="54"/>
        <v/>
      </c>
      <c r="N659" t="str">
        <f>IF($F659="","",IF(Sync!$AF659="","0000",IF(AND(ISNUMBER(Sync!$AF659),Sync!$AF659&gt;=0,Sync!$AF659&lt;1),RIGHT("00"&amp;HOUR(Sync!$AF659),2)&amp;RIGHT("00"&amp;MINUTE(Sync!$AF659),2),IFERROR(RIGHT("00"&amp;VALUE(LEFT(Sync!$AF659,FIND(":",Sync!$AF659)-1)),2)&amp;RIGHT("00"&amp;VALUE(MID(Sync!$AF659,FIND(":",Sync!$AF659)+1,2)),2),"0000"))))</f>
        <v/>
      </c>
    </row>
    <row r="660" spans="1:14" x14ac:dyDescent="0.2">
      <c r="A660" t="str">
        <f>IF(OR(Calc!$E664="",Calc!$E664="نامعتبر",Calc!$G664=""),"",Calc!$G664)</f>
        <v/>
      </c>
      <c r="B660" t="str">
        <f>IF($A660="","",LEFT(Calc!$E664,4)&amp;MID(Calc!$E664,6,2)&amp;RIGHT(Calc!$E664,2)&amp;Calc!$Q664&amp;"|"&amp;"1"&amp;RIGHT("00000"&amp;655,5))</f>
        <v/>
      </c>
      <c r="C660" t="str">
        <f t="shared" si="50"/>
        <v/>
      </c>
      <c r="D660" t="str">
        <f t="shared" si="51"/>
        <v/>
      </c>
      <c r="F660" t="str">
        <f>IF(Sync!$AH660="","",IF(LEFT(UPPER(TRIM(Sync!$AH660)),2)="SL",UPPER(TRIM(Sync!$AH660)),""))</f>
        <v/>
      </c>
      <c r="G660" t="str">
        <f>IF($F660="","",IF(Sync!$AE660="","",IF(ISNUMBER(Sync!$AE660),IF(AND(Sync!$AE660&gt;=10000101,Sync!$AE660&lt;=99991231),INT(Sync!$AE660/10000),""),IFERROR(VALUE(TRIM(LEFT(Sync!$AE660,FIND("/",Sync!$AE660)-1))),""))))</f>
        <v/>
      </c>
      <c r="H660" t="str">
        <f>IF(OR($F660="",$G660=""),"",IF(ISNUMBER(Sync!$AE660),INT(MOD(Sync!$AE660,10000)/100),IFERROR(VALUE(TRIM(LEFT(MID(Sync!$AE660,FIND("/",Sync!$AE660)+1,20),FIND("/",MID(Sync!$AE660,FIND("/",Sync!$AE660)+1,20))-1))),"")))</f>
        <v/>
      </c>
      <c r="I660" t="str">
        <f>IF(OR($F660="",$G660=""),"",IF(ISNUMBER(Sync!$AE660),MOD(Sync!$AE660,100),IFERROR(VALUE(TRIM(MID(MID(Sync!$AE660,FIND("/",Sync!$AE660)+1,20),FIND("/",MID(Sync!$AE660,FIND("/",Sync!$AE660)+1,20))+1,20))),"")))</f>
        <v/>
      </c>
      <c r="J660" t="str">
        <f t="shared" si="52"/>
        <v/>
      </c>
      <c r="K660" t="str">
        <f>IF(OR($F660="",$J660="",$J660="نامعتبر"),"",LEFT($J660,4)&amp;MID($J660,6,2)&amp;RIGHT($J660,2)&amp;$N660&amp;"|"&amp;"2"&amp;RIGHT("00000"&amp;655,5))</f>
        <v/>
      </c>
      <c r="L660" t="str">
        <f t="shared" si="53"/>
        <v/>
      </c>
      <c r="M660" t="str">
        <f t="shared" si="54"/>
        <v/>
      </c>
      <c r="N660" t="str">
        <f>IF($F660="","",IF(Sync!$AF660="","0000",IF(AND(ISNUMBER(Sync!$AF660),Sync!$AF660&gt;=0,Sync!$AF660&lt;1),RIGHT("00"&amp;HOUR(Sync!$AF660),2)&amp;RIGHT("00"&amp;MINUTE(Sync!$AF660),2),IFERROR(RIGHT("00"&amp;VALUE(LEFT(Sync!$AF660,FIND(":",Sync!$AF660)-1)),2)&amp;RIGHT("00"&amp;VALUE(MID(Sync!$AF660,FIND(":",Sync!$AF660)+1,2)),2),"0000"))))</f>
        <v/>
      </c>
    </row>
    <row r="661" spans="1:14" x14ac:dyDescent="0.2">
      <c r="A661" t="str">
        <f>IF(OR(Calc!$E665="",Calc!$E665="نامعتبر",Calc!$G665=""),"",Calc!$G665)</f>
        <v/>
      </c>
      <c r="B661" t="str">
        <f>IF($A661="","",LEFT(Calc!$E665,4)&amp;MID(Calc!$E665,6,2)&amp;RIGHT(Calc!$E665,2)&amp;Calc!$Q665&amp;"|"&amp;"1"&amp;RIGHT("00000"&amp;656,5))</f>
        <v/>
      </c>
      <c r="C661" t="str">
        <f t="shared" si="50"/>
        <v/>
      </c>
      <c r="D661" t="str">
        <f t="shared" si="51"/>
        <v/>
      </c>
      <c r="F661" t="str">
        <f>IF(Sync!$AH661="","",IF(LEFT(UPPER(TRIM(Sync!$AH661)),2)="SL",UPPER(TRIM(Sync!$AH661)),""))</f>
        <v/>
      </c>
      <c r="G661" t="str">
        <f>IF($F661="","",IF(Sync!$AE661="","",IF(ISNUMBER(Sync!$AE661),IF(AND(Sync!$AE661&gt;=10000101,Sync!$AE661&lt;=99991231),INT(Sync!$AE661/10000),""),IFERROR(VALUE(TRIM(LEFT(Sync!$AE661,FIND("/",Sync!$AE661)-1))),""))))</f>
        <v/>
      </c>
      <c r="H661" t="str">
        <f>IF(OR($F661="",$G661=""),"",IF(ISNUMBER(Sync!$AE661),INT(MOD(Sync!$AE661,10000)/100),IFERROR(VALUE(TRIM(LEFT(MID(Sync!$AE661,FIND("/",Sync!$AE661)+1,20),FIND("/",MID(Sync!$AE661,FIND("/",Sync!$AE661)+1,20))-1))),"")))</f>
        <v/>
      </c>
      <c r="I661" t="str">
        <f>IF(OR($F661="",$G661=""),"",IF(ISNUMBER(Sync!$AE661),MOD(Sync!$AE661,100),IFERROR(VALUE(TRIM(MID(MID(Sync!$AE661,FIND("/",Sync!$AE661)+1,20),FIND("/",MID(Sync!$AE661,FIND("/",Sync!$AE661)+1,20))+1,20))),"")))</f>
        <v/>
      </c>
      <c r="J661" t="str">
        <f t="shared" si="52"/>
        <v/>
      </c>
      <c r="K661" t="str">
        <f>IF(OR($F661="",$J661="",$J661="نامعتبر"),"",LEFT($J661,4)&amp;MID($J661,6,2)&amp;RIGHT($J661,2)&amp;$N661&amp;"|"&amp;"2"&amp;RIGHT("00000"&amp;656,5))</f>
        <v/>
      </c>
      <c r="L661" t="str">
        <f t="shared" si="53"/>
        <v/>
      </c>
      <c r="M661" t="str">
        <f t="shared" si="54"/>
        <v/>
      </c>
      <c r="N661" t="str">
        <f>IF($F661="","",IF(Sync!$AF661="","0000",IF(AND(ISNUMBER(Sync!$AF661),Sync!$AF661&gt;=0,Sync!$AF661&lt;1),RIGHT("00"&amp;HOUR(Sync!$AF661),2)&amp;RIGHT("00"&amp;MINUTE(Sync!$AF661),2),IFERROR(RIGHT("00"&amp;VALUE(LEFT(Sync!$AF661,FIND(":",Sync!$AF661)-1)),2)&amp;RIGHT("00"&amp;VALUE(MID(Sync!$AF661,FIND(":",Sync!$AF661)+1,2)),2),"0000"))))</f>
        <v/>
      </c>
    </row>
    <row r="662" spans="1:14" x14ac:dyDescent="0.2">
      <c r="A662" t="str">
        <f>IF(OR(Calc!$E666="",Calc!$E666="نامعتبر",Calc!$G666=""),"",Calc!$G666)</f>
        <v/>
      </c>
      <c r="B662" t="str">
        <f>IF($A662="","",LEFT(Calc!$E666,4)&amp;MID(Calc!$E666,6,2)&amp;RIGHT(Calc!$E666,2)&amp;Calc!$Q666&amp;"|"&amp;"1"&amp;RIGHT("00000"&amp;657,5))</f>
        <v/>
      </c>
      <c r="C662" t="str">
        <f t="shared" si="50"/>
        <v/>
      </c>
      <c r="D662" t="str">
        <f t="shared" si="51"/>
        <v/>
      </c>
      <c r="F662" t="str">
        <f>IF(Sync!$AH662="","",IF(LEFT(UPPER(TRIM(Sync!$AH662)),2)="SL",UPPER(TRIM(Sync!$AH662)),""))</f>
        <v/>
      </c>
      <c r="G662" t="str">
        <f>IF($F662="","",IF(Sync!$AE662="","",IF(ISNUMBER(Sync!$AE662),IF(AND(Sync!$AE662&gt;=10000101,Sync!$AE662&lt;=99991231),INT(Sync!$AE662/10000),""),IFERROR(VALUE(TRIM(LEFT(Sync!$AE662,FIND("/",Sync!$AE662)-1))),""))))</f>
        <v/>
      </c>
      <c r="H662" t="str">
        <f>IF(OR($F662="",$G662=""),"",IF(ISNUMBER(Sync!$AE662),INT(MOD(Sync!$AE662,10000)/100),IFERROR(VALUE(TRIM(LEFT(MID(Sync!$AE662,FIND("/",Sync!$AE662)+1,20),FIND("/",MID(Sync!$AE662,FIND("/",Sync!$AE662)+1,20))-1))),"")))</f>
        <v/>
      </c>
      <c r="I662" t="str">
        <f>IF(OR($F662="",$G662=""),"",IF(ISNUMBER(Sync!$AE662),MOD(Sync!$AE662,100),IFERROR(VALUE(TRIM(MID(MID(Sync!$AE662,FIND("/",Sync!$AE662)+1,20),FIND("/",MID(Sync!$AE662,FIND("/",Sync!$AE662)+1,20))+1,20))),"")))</f>
        <v/>
      </c>
      <c r="J662" t="str">
        <f t="shared" si="52"/>
        <v/>
      </c>
      <c r="K662" t="str">
        <f>IF(OR($F662="",$J662="",$J662="نامعتبر"),"",LEFT($J662,4)&amp;MID($J662,6,2)&amp;RIGHT($J662,2)&amp;$N662&amp;"|"&amp;"2"&amp;RIGHT("00000"&amp;657,5))</f>
        <v/>
      </c>
      <c r="L662" t="str">
        <f t="shared" si="53"/>
        <v/>
      </c>
      <c r="M662" t="str">
        <f t="shared" si="54"/>
        <v/>
      </c>
      <c r="N662" t="str">
        <f>IF($F662="","",IF(Sync!$AF662="","0000",IF(AND(ISNUMBER(Sync!$AF662),Sync!$AF662&gt;=0,Sync!$AF662&lt;1),RIGHT("00"&amp;HOUR(Sync!$AF662),2)&amp;RIGHT("00"&amp;MINUTE(Sync!$AF662),2),IFERROR(RIGHT("00"&amp;VALUE(LEFT(Sync!$AF662,FIND(":",Sync!$AF662)-1)),2)&amp;RIGHT("00"&amp;VALUE(MID(Sync!$AF662,FIND(":",Sync!$AF662)+1,2)),2),"0000"))))</f>
        <v/>
      </c>
    </row>
    <row r="663" spans="1:14" x14ac:dyDescent="0.2">
      <c r="A663" t="str">
        <f>IF(OR(Calc!$E667="",Calc!$E667="نامعتبر",Calc!$G667=""),"",Calc!$G667)</f>
        <v/>
      </c>
      <c r="B663" t="str">
        <f>IF($A663="","",LEFT(Calc!$E667,4)&amp;MID(Calc!$E667,6,2)&amp;RIGHT(Calc!$E667,2)&amp;Calc!$Q667&amp;"|"&amp;"1"&amp;RIGHT("00000"&amp;658,5))</f>
        <v/>
      </c>
      <c r="C663" t="str">
        <f t="shared" si="50"/>
        <v/>
      </c>
      <c r="D663" t="str">
        <f t="shared" si="51"/>
        <v/>
      </c>
      <c r="F663" t="str">
        <f>IF(Sync!$AH663="","",IF(LEFT(UPPER(TRIM(Sync!$AH663)),2)="SL",UPPER(TRIM(Sync!$AH663)),""))</f>
        <v/>
      </c>
      <c r="G663" t="str">
        <f>IF($F663="","",IF(Sync!$AE663="","",IF(ISNUMBER(Sync!$AE663),IF(AND(Sync!$AE663&gt;=10000101,Sync!$AE663&lt;=99991231),INT(Sync!$AE663/10000),""),IFERROR(VALUE(TRIM(LEFT(Sync!$AE663,FIND("/",Sync!$AE663)-1))),""))))</f>
        <v/>
      </c>
      <c r="H663" t="str">
        <f>IF(OR($F663="",$G663=""),"",IF(ISNUMBER(Sync!$AE663),INT(MOD(Sync!$AE663,10000)/100),IFERROR(VALUE(TRIM(LEFT(MID(Sync!$AE663,FIND("/",Sync!$AE663)+1,20),FIND("/",MID(Sync!$AE663,FIND("/",Sync!$AE663)+1,20))-1))),"")))</f>
        <v/>
      </c>
      <c r="I663" t="str">
        <f>IF(OR($F663="",$G663=""),"",IF(ISNUMBER(Sync!$AE663),MOD(Sync!$AE663,100),IFERROR(VALUE(TRIM(MID(MID(Sync!$AE663,FIND("/",Sync!$AE663)+1,20),FIND("/",MID(Sync!$AE663,FIND("/",Sync!$AE663)+1,20))+1,20))),"")))</f>
        <v/>
      </c>
      <c r="J663" t="str">
        <f t="shared" si="52"/>
        <v/>
      </c>
      <c r="K663" t="str">
        <f>IF(OR($F663="",$J663="",$J663="نامعتبر"),"",LEFT($J663,4)&amp;MID($J663,6,2)&amp;RIGHT($J663,2)&amp;$N663&amp;"|"&amp;"2"&amp;RIGHT("00000"&amp;658,5))</f>
        <v/>
      </c>
      <c r="L663" t="str">
        <f t="shared" si="53"/>
        <v/>
      </c>
      <c r="M663" t="str">
        <f t="shared" si="54"/>
        <v/>
      </c>
      <c r="N663" t="str">
        <f>IF($F663="","",IF(Sync!$AF663="","0000",IF(AND(ISNUMBER(Sync!$AF663),Sync!$AF663&gt;=0,Sync!$AF663&lt;1),RIGHT("00"&amp;HOUR(Sync!$AF663),2)&amp;RIGHT("00"&amp;MINUTE(Sync!$AF663),2),IFERROR(RIGHT("00"&amp;VALUE(LEFT(Sync!$AF663,FIND(":",Sync!$AF663)-1)),2)&amp;RIGHT("00"&amp;VALUE(MID(Sync!$AF663,FIND(":",Sync!$AF663)+1,2)),2),"0000"))))</f>
        <v/>
      </c>
    </row>
    <row r="664" spans="1:14" x14ac:dyDescent="0.2">
      <c r="A664" t="str">
        <f>IF(OR(Calc!$E668="",Calc!$E668="نامعتبر",Calc!$G668=""),"",Calc!$G668)</f>
        <v/>
      </c>
      <c r="B664" t="str">
        <f>IF($A664="","",LEFT(Calc!$E668,4)&amp;MID(Calc!$E668,6,2)&amp;RIGHT(Calc!$E668,2)&amp;Calc!$Q668&amp;"|"&amp;"1"&amp;RIGHT("00000"&amp;659,5))</f>
        <v/>
      </c>
      <c r="C664" t="str">
        <f t="shared" si="50"/>
        <v/>
      </c>
      <c r="D664" t="str">
        <f t="shared" si="51"/>
        <v/>
      </c>
      <c r="F664" t="str">
        <f>IF(Sync!$AH664="","",IF(LEFT(UPPER(TRIM(Sync!$AH664)),2)="SL",UPPER(TRIM(Sync!$AH664)),""))</f>
        <v/>
      </c>
      <c r="G664" t="str">
        <f>IF($F664="","",IF(Sync!$AE664="","",IF(ISNUMBER(Sync!$AE664),IF(AND(Sync!$AE664&gt;=10000101,Sync!$AE664&lt;=99991231),INT(Sync!$AE664/10000),""),IFERROR(VALUE(TRIM(LEFT(Sync!$AE664,FIND("/",Sync!$AE664)-1))),""))))</f>
        <v/>
      </c>
      <c r="H664" t="str">
        <f>IF(OR($F664="",$G664=""),"",IF(ISNUMBER(Sync!$AE664),INT(MOD(Sync!$AE664,10000)/100),IFERROR(VALUE(TRIM(LEFT(MID(Sync!$AE664,FIND("/",Sync!$AE664)+1,20),FIND("/",MID(Sync!$AE664,FIND("/",Sync!$AE664)+1,20))-1))),"")))</f>
        <v/>
      </c>
      <c r="I664" t="str">
        <f>IF(OR($F664="",$G664=""),"",IF(ISNUMBER(Sync!$AE664),MOD(Sync!$AE664,100),IFERROR(VALUE(TRIM(MID(MID(Sync!$AE664,FIND("/",Sync!$AE664)+1,20),FIND("/",MID(Sync!$AE664,FIND("/",Sync!$AE664)+1,20))+1,20))),"")))</f>
        <v/>
      </c>
      <c r="J664" t="str">
        <f t="shared" si="52"/>
        <v/>
      </c>
      <c r="K664" t="str">
        <f>IF(OR($F664="",$J664="",$J664="نامعتبر"),"",LEFT($J664,4)&amp;MID($J664,6,2)&amp;RIGHT($J664,2)&amp;$N664&amp;"|"&amp;"2"&amp;RIGHT("00000"&amp;659,5))</f>
        <v/>
      </c>
      <c r="L664" t="str">
        <f t="shared" si="53"/>
        <v/>
      </c>
      <c r="M664" t="str">
        <f t="shared" si="54"/>
        <v/>
      </c>
      <c r="N664" t="str">
        <f>IF($F664="","",IF(Sync!$AF664="","0000",IF(AND(ISNUMBER(Sync!$AF664),Sync!$AF664&gt;=0,Sync!$AF664&lt;1),RIGHT("00"&amp;HOUR(Sync!$AF664),2)&amp;RIGHT("00"&amp;MINUTE(Sync!$AF664),2),IFERROR(RIGHT("00"&amp;VALUE(LEFT(Sync!$AF664,FIND(":",Sync!$AF664)-1)),2)&amp;RIGHT("00"&amp;VALUE(MID(Sync!$AF664,FIND(":",Sync!$AF664)+1,2)),2),"0000"))))</f>
        <v/>
      </c>
    </row>
    <row r="665" spans="1:14" x14ac:dyDescent="0.2">
      <c r="A665" t="str">
        <f>IF(OR(Calc!$E669="",Calc!$E669="نامعتبر",Calc!$G669=""),"",Calc!$G669)</f>
        <v/>
      </c>
      <c r="B665" t="str">
        <f>IF($A665="","",LEFT(Calc!$E669,4)&amp;MID(Calc!$E669,6,2)&amp;RIGHT(Calc!$E669,2)&amp;Calc!$Q669&amp;"|"&amp;"1"&amp;RIGHT("00000"&amp;660,5))</f>
        <v/>
      </c>
      <c r="C665" t="str">
        <f t="shared" si="50"/>
        <v/>
      </c>
      <c r="D665" t="str">
        <f t="shared" si="51"/>
        <v/>
      </c>
      <c r="F665" t="str">
        <f>IF(Sync!$AH665="","",IF(LEFT(UPPER(TRIM(Sync!$AH665)),2)="SL",UPPER(TRIM(Sync!$AH665)),""))</f>
        <v/>
      </c>
      <c r="G665" t="str">
        <f>IF($F665="","",IF(Sync!$AE665="","",IF(ISNUMBER(Sync!$AE665),IF(AND(Sync!$AE665&gt;=10000101,Sync!$AE665&lt;=99991231),INT(Sync!$AE665/10000),""),IFERROR(VALUE(TRIM(LEFT(Sync!$AE665,FIND("/",Sync!$AE665)-1))),""))))</f>
        <v/>
      </c>
      <c r="H665" t="str">
        <f>IF(OR($F665="",$G665=""),"",IF(ISNUMBER(Sync!$AE665),INT(MOD(Sync!$AE665,10000)/100),IFERROR(VALUE(TRIM(LEFT(MID(Sync!$AE665,FIND("/",Sync!$AE665)+1,20),FIND("/",MID(Sync!$AE665,FIND("/",Sync!$AE665)+1,20))-1))),"")))</f>
        <v/>
      </c>
      <c r="I665" t="str">
        <f>IF(OR($F665="",$G665=""),"",IF(ISNUMBER(Sync!$AE665),MOD(Sync!$AE665,100),IFERROR(VALUE(TRIM(MID(MID(Sync!$AE665,FIND("/",Sync!$AE665)+1,20),FIND("/",MID(Sync!$AE665,FIND("/",Sync!$AE665)+1,20))+1,20))),"")))</f>
        <v/>
      </c>
      <c r="J665" t="str">
        <f t="shared" si="52"/>
        <v/>
      </c>
      <c r="K665" t="str">
        <f>IF(OR($F665="",$J665="",$J665="نامعتبر"),"",LEFT($J665,4)&amp;MID($J665,6,2)&amp;RIGHT($J665,2)&amp;$N665&amp;"|"&amp;"2"&amp;RIGHT("00000"&amp;660,5))</f>
        <v/>
      </c>
      <c r="L665" t="str">
        <f t="shared" si="53"/>
        <v/>
      </c>
      <c r="M665" t="str">
        <f t="shared" si="54"/>
        <v/>
      </c>
      <c r="N665" t="str">
        <f>IF($F665="","",IF(Sync!$AF665="","0000",IF(AND(ISNUMBER(Sync!$AF665),Sync!$AF665&gt;=0,Sync!$AF665&lt;1),RIGHT("00"&amp;HOUR(Sync!$AF665),2)&amp;RIGHT("00"&amp;MINUTE(Sync!$AF665),2),IFERROR(RIGHT("00"&amp;VALUE(LEFT(Sync!$AF665,FIND(":",Sync!$AF665)-1)),2)&amp;RIGHT("00"&amp;VALUE(MID(Sync!$AF665,FIND(":",Sync!$AF665)+1,2)),2),"0000"))))</f>
        <v/>
      </c>
    </row>
    <row r="666" spans="1:14" x14ac:dyDescent="0.2">
      <c r="A666" t="str">
        <f>IF(OR(Calc!$E670="",Calc!$E670="نامعتبر",Calc!$G670=""),"",Calc!$G670)</f>
        <v/>
      </c>
      <c r="B666" t="str">
        <f>IF($A666="","",LEFT(Calc!$E670,4)&amp;MID(Calc!$E670,6,2)&amp;RIGHT(Calc!$E670,2)&amp;Calc!$Q670&amp;"|"&amp;"1"&amp;RIGHT("00000"&amp;661,5))</f>
        <v/>
      </c>
      <c r="C666" t="str">
        <f t="shared" si="50"/>
        <v/>
      </c>
      <c r="D666" t="str">
        <f t="shared" si="51"/>
        <v/>
      </c>
      <c r="F666" t="str">
        <f>IF(Sync!$AH666="","",IF(LEFT(UPPER(TRIM(Sync!$AH666)),2)="SL",UPPER(TRIM(Sync!$AH666)),""))</f>
        <v/>
      </c>
      <c r="G666" t="str">
        <f>IF($F666="","",IF(Sync!$AE666="","",IF(ISNUMBER(Sync!$AE666),IF(AND(Sync!$AE666&gt;=10000101,Sync!$AE666&lt;=99991231),INT(Sync!$AE666/10000),""),IFERROR(VALUE(TRIM(LEFT(Sync!$AE666,FIND("/",Sync!$AE666)-1))),""))))</f>
        <v/>
      </c>
      <c r="H666" t="str">
        <f>IF(OR($F666="",$G666=""),"",IF(ISNUMBER(Sync!$AE666),INT(MOD(Sync!$AE666,10000)/100),IFERROR(VALUE(TRIM(LEFT(MID(Sync!$AE666,FIND("/",Sync!$AE666)+1,20),FIND("/",MID(Sync!$AE666,FIND("/",Sync!$AE666)+1,20))-1))),"")))</f>
        <v/>
      </c>
      <c r="I666" t="str">
        <f>IF(OR($F666="",$G666=""),"",IF(ISNUMBER(Sync!$AE666),MOD(Sync!$AE666,100),IFERROR(VALUE(TRIM(MID(MID(Sync!$AE666,FIND("/",Sync!$AE666)+1,20),FIND("/",MID(Sync!$AE666,FIND("/",Sync!$AE666)+1,20))+1,20))),"")))</f>
        <v/>
      </c>
      <c r="J666" t="str">
        <f t="shared" si="52"/>
        <v/>
      </c>
      <c r="K666" t="str">
        <f>IF(OR($F666="",$J666="",$J666="نامعتبر"),"",LEFT($J666,4)&amp;MID($J666,6,2)&amp;RIGHT($J666,2)&amp;$N666&amp;"|"&amp;"2"&amp;RIGHT("00000"&amp;661,5))</f>
        <v/>
      </c>
      <c r="L666" t="str">
        <f t="shared" si="53"/>
        <v/>
      </c>
      <c r="M666" t="str">
        <f t="shared" si="54"/>
        <v/>
      </c>
      <c r="N666" t="str">
        <f>IF($F666="","",IF(Sync!$AF666="","0000",IF(AND(ISNUMBER(Sync!$AF666),Sync!$AF666&gt;=0,Sync!$AF666&lt;1),RIGHT("00"&amp;HOUR(Sync!$AF666),2)&amp;RIGHT("00"&amp;MINUTE(Sync!$AF666),2),IFERROR(RIGHT("00"&amp;VALUE(LEFT(Sync!$AF666,FIND(":",Sync!$AF666)-1)),2)&amp;RIGHT("00"&amp;VALUE(MID(Sync!$AF666,FIND(":",Sync!$AF666)+1,2)),2),"0000"))))</f>
        <v/>
      </c>
    </row>
    <row r="667" spans="1:14" x14ac:dyDescent="0.2">
      <c r="A667" t="str">
        <f>IF(OR(Calc!$E671="",Calc!$E671="نامعتبر",Calc!$G671=""),"",Calc!$G671)</f>
        <v/>
      </c>
      <c r="B667" t="str">
        <f>IF($A667="","",LEFT(Calc!$E671,4)&amp;MID(Calc!$E671,6,2)&amp;RIGHT(Calc!$E671,2)&amp;Calc!$Q671&amp;"|"&amp;"1"&amp;RIGHT("00000"&amp;662,5))</f>
        <v/>
      </c>
      <c r="C667" t="str">
        <f t="shared" si="50"/>
        <v/>
      </c>
      <c r="D667" t="str">
        <f t="shared" si="51"/>
        <v/>
      </c>
      <c r="F667" t="str">
        <f>IF(Sync!$AH667="","",IF(LEFT(UPPER(TRIM(Sync!$AH667)),2)="SL",UPPER(TRIM(Sync!$AH667)),""))</f>
        <v/>
      </c>
      <c r="G667" t="str">
        <f>IF($F667="","",IF(Sync!$AE667="","",IF(ISNUMBER(Sync!$AE667),IF(AND(Sync!$AE667&gt;=10000101,Sync!$AE667&lt;=99991231),INT(Sync!$AE667/10000),""),IFERROR(VALUE(TRIM(LEFT(Sync!$AE667,FIND("/",Sync!$AE667)-1))),""))))</f>
        <v/>
      </c>
      <c r="H667" t="str">
        <f>IF(OR($F667="",$G667=""),"",IF(ISNUMBER(Sync!$AE667),INT(MOD(Sync!$AE667,10000)/100),IFERROR(VALUE(TRIM(LEFT(MID(Sync!$AE667,FIND("/",Sync!$AE667)+1,20),FIND("/",MID(Sync!$AE667,FIND("/",Sync!$AE667)+1,20))-1))),"")))</f>
        <v/>
      </c>
      <c r="I667" t="str">
        <f>IF(OR($F667="",$G667=""),"",IF(ISNUMBER(Sync!$AE667),MOD(Sync!$AE667,100),IFERROR(VALUE(TRIM(MID(MID(Sync!$AE667,FIND("/",Sync!$AE667)+1,20),FIND("/",MID(Sync!$AE667,FIND("/",Sync!$AE667)+1,20))+1,20))),"")))</f>
        <v/>
      </c>
      <c r="J667" t="str">
        <f t="shared" si="52"/>
        <v/>
      </c>
      <c r="K667" t="str">
        <f>IF(OR($F667="",$J667="",$J667="نامعتبر"),"",LEFT($J667,4)&amp;MID($J667,6,2)&amp;RIGHT($J667,2)&amp;$N667&amp;"|"&amp;"2"&amp;RIGHT("00000"&amp;662,5))</f>
        <v/>
      </c>
      <c r="L667" t="str">
        <f t="shared" si="53"/>
        <v/>
      </c>
      <c r="M667" t="str">
        <f t="shared" si="54"/>
        <v/>
      </c>
      <c r="N667" t="str">
        <f>IF($F667="","",IF(Sync!$AF667="","0000",IF(AND(ISNUMBER(Sync!$AF667),Sync!$AF667&gt;=0,Sync!$AF667&lt;1),RIGHT("00"&amp;HOUR(Sync!$AF667),2)&amp;RIGHT("00"&amp;MINUTE(Sync!$AF667),2),IFERROR(RIGHT("00"&amp;VALUE(LEFT(Sync!$AF667,FIND(":",Sync!$AF667)-1)),2)&amp;RIGHT("00"&amp;VALUE(MID(Sync!$AF667,FIND(":",Sync!$AF667)+1,2)),2),"0000"))))</f>
        <v/>
      </c>
    </row>
    <row r="668" spans="1:14" x14ac:dyDescent="0.2">
      <c r="A668" t="str">
        <f>IF(OR(Calc!$E672="",Calc!$E672="نامعتبر",Calc!$G672=""),"",Calc!$G672)</f>
        <v/>
      </c>
      <c r="B668" t="str">
        <f>IF($A668="","",LEFT(Calc!$E672,4)&amp;MID(Calc!$E672,6,2)&amp;RIGHT(Calc!$E672,2)&amp;Calc!$Q672&amp;"|"&amp;"1"&amp;RIGHT("00000"&amp;663,5))</f>
        <v/>
      </c>
      <c r="C668" t="str">
        <f t="shared" si="50"/>
        <v/>
      </c>
      <c r="D668" t="str">
        <f t="shared" si="51"/>
        <v/>
      </c>
      <c r="F668" t="str">
        <f>IF(Sync!$AH668="","",IF(LEFT(UPPER(TRIM(Sync!$AH668)),2)="SL",UPPER(TRIM(Sync!$AH668)),""))</f>
        <v/>
      </c>
      <c r="G668" t="str">
        <f>IF($F668="","",IF(Sync!$AE668="","",IF(ISNUMBER(Sync!$AE668),IF(AND(Sync!$AE668&gt;=10000101,Sync!$AE668&lt;=99991231),INT(Sync!$AE668/10000),""),IFERROR(VALUE(TRIM(LEFT(Sync!$AE668,FIND("/",Sync!$AE668)-1))),""))))</f>
        <v/>
      </c>
      <c r="H668" t="str">
        <f>IF(OR($F668="",$G668=""),"",IF(ISNUMBER(Sync!$AE668),INT(MOD(Sync!$AE668,10000)/100),IFERROR(VALUE(TRIM(LEFT(MID(Sync!$AE668,FIND("/",Sync!$AE668)+1,20),FIND("/",MID(Sync!$AE668,FIND("/",Sync!$AE668)+1,20))-1))),"")))</f>
        <v/>
      </c>
      <c r="I668" t="str">
        <f>IF(OR($F668="",$G668=""),"",IF(ISNUMBER(Sync!$AE668),MOD(Sync!$AE668,100),IFERROR(VALUE(TRIM(MID(MID(Sync!$AE668,FIND("/",Sync!$AE668)+1,20),FIND("/",MID(Sync!$AE668,FIND("/",Sync!$AE668)+1,20))+1,20))),"")))</f>
        <v/>
      </c>
      <c r="J668" t="str">
        <f t="shared" si="52"/>
        <v/>
      </c>
      <c r="K668" t="str">
        <f>IF(OR($F668="",$J668="",$J668="نامعتبر"),"",LEFT($J668,4)&amp;MID($J668,6,2)&amp;RIGHT($J668,2)&amp;$N668&amp;"|"&amp;"2"&amp;RIGHT("00000"&amp;663,5))</f>
        <v/>
      </c>
      <c r="L668" t="str">
        <f t="shared" si="53"/>
        <v/>
      </c>
      <c r="M668" t="str">
        <f t="shared" si="54"/>
        <v/>
      </c>
      <c r="N668" t="str">
        <f>IF($F668="","",IF(Sync!$AF668="","0000",IF(AND(ISNUMBER(Sync!$AF668),Sync!$AF668&gt;=0,Sync!$AF668&lt;1),RIGHT("00"&amp;HOUR(Sync!$AF668),2)&amp;RIGHT("00"&amp;MINUTE(Sync!$AF668),2),IFERROR(RIGHT("00"&amp;VALUE(LEFT(Sync!$AF668,FIND(":",Sync!$AF668)-1)),2)&amp;RIGHT("00"&amp;VALUE(MID(Sync!$AF668,FIND(":",Sync!$AF668)+1,2)),2),"0000"))))</f>
        <v/>
      </c>
    </row>
    <row r="669" spans="1:14" x14ac:dyDescent="0.2">
      <c r="A669" t="str">
        <f>IF(OR(Calc!$E673="",Calc!$E673="نامعتبر",Calc!$G673=""),"",Calc!$G673)</f>
        <v/>
      </c>
      <c r="B669" t="str">
        <f>IF($A669="","",LEFT(Calc!$E673,4)&amp;MID(Calc!$E673,6,2)&amp;RIGHT(Calc!$E673,2)&amp;Calc!$Q673&amp;"|"&amp;"1"&amp;RIGHT("00000"&amp;664,5))</f>
        <v/>
      </c>
      <c r="C669" t="str">
        <f t="shared" si="50"/>
        <v/>
      </c>
      <c r="D669" t="str">
        <f t="shared" si="51"/>
        <v/>
      </c>
      <c r="F669" t="str">
        <f>IF(Sync!$AH669="","",IF(LEFT(UPPER(TRIM(Sync!$AH669)),2)="SL",UPPER(TRIM(Sync!$AH669)),""))</f>
        <v/>
      </c>
      <c r="G669" t="str">
        <f>IF($F669="","",IF(Sync!$AE669="","",IF(ISNUMBER(Sync!$AE669),IF(AND(Sync!$AE669&gt;=10000101,Sync!$AE669&lt;=99991231),INT(Sync!$AE669/10000),""),IFERROR(VALUE(TRIM(LEFT(Sync!$AE669,FIND("/",Sync!$AE669)-1))),""))))</f>
        <v/>
      </c>
      <c r="H669" t="str">
        <f>IF(OR($F669="",$G669=""),"",IF(ISNUMBER(Sync!$AE669),INT(MOD(Sync!$AE669,10000)/100),IFERROR(VALUE(TRIM(LEFT(MID(Sync!$AE669,FIND("/",Sync!$AE669)+1,20),FIND("/",MID(Sync!$AE669,FIND("/",Sync!$AE669)+1,20))-1))),"")))</f>
        <v/>
      </c>
      <c r="I669" t="str">
        <f>IF(OR($F669="",$G669=""),"",IF(ISNUMBER(Sync!$AE669),MOD(Sync!$AE669,100),IFERROR(VALUE(TRIM(MID(MID(Sync!$AE669,FIND("/",Sync!$AE669)+1,20),FIND("/",MID(Sync!$AE669,FIND("/",Sync!$AE669)+1,20))+1,20))),"")))</f>
        <v/>
      </c>
      <c r="J669" t="str">
        <f t="shared" si="52"/>
        <v/>
      </c>
      <c r="K669" t="str">
        <f>IF(OR($F669="",$J669="",$J669="نامعتبر"),"",LEFT($J669,4)&amp;MID($J669,6,2)&amp;RIGHT($J669,2)&amp;$N669&amp;"|"&amp;"2"&amp;RIGHT("00000"&amp;664,5))</f>
        <v/>
      </c>
      <c r="L669" t="str">
        <f t="shared" si="53"/>
        <v/>
      </c>
      <c r="M669" t="str">
        <f t="shared" si="54"/>
        <v/>
      </c>
      <c r="N669" t="str">
        <f>IF($F669="","",IF(Sync!$AF669="","0000",IF(AND(ISNUMBER(Sync!$AF669),Sync!$AF669&gt;=0,Sync!$AF669&lt;1),RIGHT("00"&amp;HOUR(Sync!$AF669),2)&amp;RIGHT("00"&amp;MINUTE(Sync!$AF669),2),IFERROR(RIGHT("00"&amp;VALUE(LEFT(Sync!$AF669,FIND(":",Sync!$AF669)-1)),2)&amp;RIGHT("00"&amp;VALUE(MID(Sync!$AF669,FIND(":",Sync!$AF669)+1,2)),2),"0000"))))</f>
        <v/>
      </c>
    </row>
    <row r="670" spans="1:14" x14ac:dyDescent="0.2">
      <c r="A670" t="str">
        <f>IF(OR(Calc!$E674="",Calc!$E674="نامعتبر",Calc!$G674=""),"",Calc!$G674)</f>
        <v/>
      </c>
      <c r="B670" t="str">
        <f>IF($A670="","",LEFT(Calc!$E674,4)&amp;MID(Calc!$E674,6,2)&amp;RIGHT(Calc!$E674,2)&amp;Calc!$Q674&amp;"|"&amp;"1"&amp;RIGHT("00000"&amp;665,5))</f>
        <v/>
      </c>
      <c r="C670" t="str">
        <f t="shared" si="50"/>
        <v/>
      </c>
      <c r="D670" t="str">
        <f t="shared" si="51"/>
        <v/>
      </c>
      <c r="F670" t="str">
        <f>IF(Sync!$AH670="","",IF(LEFT(UPPER(TRIM(Sync!$AH670)),2)="SL",UPPER(TRIM(Sync!$AH670)),""))</f>
        <v/>
      </c>
      <c r="G670" t="str">
        <f>IF($F670="","",IF(Sync!$AE670="","",IF(ISNUMBER(Sync!$AE670),IF(AND(Sync!$AE670&gt;=10000101,Sync!$AE670&lt;=99991231),INT(Sync!$AE670/10000),""),IFERROR(VALUE(TRIM(LEFT(Sync!$AE670,FIND("/",Sync!$AE670)-1))),""))))</f>
        <v/>
      </c>
      <c r="H670" t="str">
        <f>IF(OR($F670="",$G670=""),"",IF(ISNUMBER(Sync!$AE670),INT(MOD(Sync!$AE670,10000)/100),IFERROR(VALUE(TRIM(LEFT(MID(Sync!$AE670,FIND("/",Sync!$AE670)+1,20),FIND("/",MID(Sync!$AE670,FIND("/",Sync!$AE670)+1,20))-1))),"")))</f>
        <v/>
      </c>
      <c r="I670" t="str">
        <f>IF(OR($F670="",$G670=""),"",IF(ISNUMBER(Sync!$AE670),MOD(Sync!$AE670,100),IFERROR(VALUE(TRIM(MID(MID(Sync!$AE670,FIND("/",Sync!$AE670)+1,20),FIND("/",MID(Sync!$AE670,FIND("/",Sync!$AE670)+1,20))+1,20))),"")))</f>
        <v/>
      </c>
      <c r="J670" t="str">
        <f t="shared" si="52"/>
        <v/>
      </c>
      <c r="K670" t="str">
        <f>IF(OR($F670="",$J670="",$J670="نامعتبر"),"",LEFT($J670,4)&amp;MID($J670,6,2)&amp;RIGHT($J670,2)&amp;$N670&amp;"|"&amp;"2"&amp;RIGHT("00000"&amp;665,5))</f>
        <v/>
      </c>
      <c r="L670" t="str">
        <f t="shared" si="53"/>
        <v/>
      </c>
      <c r="M670" t="str">
        <f t="shared" si="54"/>
        <v/>
      </c>
      <c r="N670" t="str">
        <f>IF($F670="","",IF(Sync!$AF670="","0000",IF(AND(ISNUMBER(Sync!$AF670),Sync!$AF670&gt;=0,Sync!$AF670&lt;1),RIGHT("00"&amp;HOUR(Sync!$AF670),2)&amp;RIGHT("00"&amp;MINUTE(Sync!$AF670),2),IFERROR(RIGHT("00"&amp;VALUE(LEFT(Sync!$AF670,FIND(":",Sync!$AF670)-1)),2)&amp;RIGHT("00"&amp;VALUE(MID(Sync!$AF670,FIND(":",Sync!$AF670)+1,2)),2),"0000"))))</f>
        <v/>
      </c>
    </row>
    <row r="671" spans="1:14" x14ac:dyDescent="0.2">
      <c r="A671" t="str">
        <f>IF(OR(Calc!$E675="",Calc!$E675="نامعتبر",Calc!$G675=""),"",Calc!$G675)</f>
        <v/>
      </c>
      <c r="B671" t="str">
        <f>IF($A671="","",LEFT(Calc!$E675,4)&amp;MID(Calc!$E675,6,2)&amp;RIGHT(Calc!$E675,2)&amp;Calc!$Q675&amp;"|"&amp;"1"&amp;RIGHT("00000"&amp;666,5))</f>
        <v/>
      </c>
      <c r="C671" t="str">
        <f t="shared" si="50"/>
        <v/>
      </c>
      <c r="D671" t="str">
        <f t="shared" si="51"/>
        <v/>
      </c>
      <c r="F671" t="str">
        <f>IF(Sync!$AH671="","",IF(LEFT(UPPER(TRIM(Sync!$AH671)),2)="SL",UPPER(TRIM(Sync!$AH671)),""))</f>
        <v/>
      </c>
      <c r="G671" t="str">
        <f>IF($F671="","",IF(Sync!$AE671="","",IF(ISNUMBER(Sync!$AE671),IF(AND(Sync!$AE671&gt;=10000101,Sync!$AE671&lt;=99991231),INT(Sync!$AE671/10000),""),IFERROR(VALUE(TRIM(LEFT(Sync!$AE671,FIND("/",Sync!$AE671)-1))),""))))</f>
        <v/>
      </c>
      <c r="H671" t="str">
        <f>IF(OR($F671="",$G671=""),"",IF(ISNUMBER(Sync!$AE671),INT(MOD(Sync!$AE671,10000)/100),IFERROR(VALUE(TRIM(LEFT(MID(Sync!$AE671,FIND("/",Sync!$AE671)+1,20),FIND("/",MID(Sync!$AE671,FIND("/",Sync!$AE671)+1,20))-1))),"")))</f>
        <v/>
      </c>
      <c r="I671" t="str">
        <f>IF(OR($F671="",$G671=""),"",IF(ISNUMBER(Sync!$AE671),MOD(Sync!$AE671,100),IFERROR(VALUE(TRIM(MID(MID(Sync!$AE671,FIND("/",Sync!$AE671)+1,20),FIND("/",MID(Sync!$AE671,FIND("/",Sync!$AE671)+1,20))+1,20))),"")))</f>
        <v/>
      </c>
      <c r="J671" t="str">
        <f t="shared" si="52"/>
        <v/>
      </c>
      <c r="K671" t="str">
        <f>IF(OR($F671="",$J671="",$J671="نامعتبر"),"",LEFT($J671,4)&amp;MID($J671,6,2)&amp;RIGHT($J671,2)&amp;$N671&amp;"|"&amp;"2"&amp;RIGHT("00000"&amp;666,5))</f>
        <v/>
      </c>
      <c r="L671" t="str">
        <f t="shared" si="53"/>
        <v/>
      </c>
      <c r="M671" t="str">
        <f t="shared" si="54"/>
        <v/>
      </c>
      <c r="N671" t="str">
        <f>IF($F671="","",IF(Sync!$AF671="","0000",IF(AND(ISNUMBER(Sync!$AF671),Sync!$AF671&gt;=0,Sync!$AF671&lt;1),RIGHT("00"&amp;HOUR(Sync!$AF671),2)&amp;RIGHT("00"&amp;MINUTE(Sync!$AF671),2),IFERROR(RIGHT("00"&amp;VALUE(LEFT(Sync!$AF671,FIND(":",Sync!$AF671)-1)),2)&amp;RIGHT("00"&amp;VALUE(MID(Sync!$AF671,FIND(":",Sync!$AF671)+1,2)),2),"0000"))))</f>
        <v/>
      </c>
    </row>
    <row r="672" spans="1:14" x14ac:dyDescent="0.2">
      <c r="A672" t="str">
        <f>IF(OR(Calc!$E676="",Calc!$E676="نامعتبر",Calc!$G676=""),"",Calc!$G676)</f>
        <v/>
      </c>
      <c r="B672" t="str">
        <f>IF($A672="","",LEFT(Calc!$E676,4)&amp;MID(Calc!$E676,6,2)&amp;RIGHT(Calc!$E676,2)&amp;Calc!$Q676&amp;"|"&amp;"1"&amp;RIGHT("00000"&amp;667,5))</f>
        <v/>
      </c>
      <c r="C672" t="str">
        <f t="shared" si="50"/>
        <v/>
      </c>
      <c r="D672" t="str">
        <f t="shared" si="51"/>
        <v/>
      </c>
      <c r="F672" t="str">
        <f>IF(Sync!$AH672="","",IF(LEFT(UPPER(TRIM(Sync!$AH672)),2)="SL",UPPER(TRIM(Sync!$AH672)),""))</f>
        <v/>
      </c>
      <c r="G672" t="str">
        <f>IF($F672="","",IF(Sync!$AE672="","",IF(ISNUMBER(Sync!$AE672),IF(AND(Sync!$AE672&gt;=10000101,Sync!$AE672&lt;=99991231),INT(Sync!$AE672/10000),""),IFERROR(VALUE(TRIM(LEFT(Sync!$AE672,FIND("/",Sync!$AE672)-1))),""))))</f>
        <v/>
      </c>
      <c r="H672" t="str">
        <f>IF(OR($F672="",$G672=""),"",IF(ISNUMBER(Sync!$AE672),INT(MOD(Sync!$AE672,10000)/100),IFERROR(VALUE(TRIM(LEFT(MID(Sync!$AE672,FIND("/",Sync!$AE672)+1,20),FIND("/",MID(Sync!$AE672,FIND("/",Sync!$AE672)+1,20))-1))),"")))</f>
        <v/>
      </c>
      <c r="I672" t="str">
        <f>IF(OR($F672="",$G672=""),"",IF(ISNUMBER(Sync!$AE672),MOD(Sync!$AE672,100),IFERROR(VALUE(TRIM(MID(MID(Sync!$AE672,FIND("/",Sync!$AE672)+1,20),FIND("/",MID(Sync!$AE672,FIND("/",Sync!$AE672)+1,20))+1,20))),"")))</f>
        <v/>
      </c>
      <c r="J672" t="str">
        <f t="shared" si="52"/>
        <v/>
      </c>
      <c r="K672" t="str">
        <f>IF(OR($F672="",$J672="",$J672="نامعتبر"),"",LEFT($J672,4)&amp;MID($J672,6,2)&amp;RIGHT($J672,2)&amp;$N672&amp;"|"&amp;"2"&amp;RIGHT("00000"&amp;667,5))</f>
        <v/>
      </c>
      <c r="L672" t="str">
        <f t="shared" si="53"/>
        <v/>
      </c>
      <c r="M672" t="str">
        <f t="shared" si="54"/>
        <v/>
      </c>
      <c r="N672" t="str">
        <f>IF($F672="","",IF(Sync!$AF672="","0000",IF(AND(ISNUMBER(Sync!$AF672),Sync!$AF672&gt;=0,Sync!$AF672&lt;1),RIGHT("00"&amp;HOUR(Sync!$AF672),2)&amp;RIGHT("00"&amp;MINUTE(Sync!$AF672),2),IFERROR(RIGHT("00"&amp;VALUE(LEFT(Sync!$AF672,FIND(":",Sync!$AF672)-1)),2)&amp;RIGHT("00"&amp;VALUE(MID(Sync!$AF672,FIND(":",Sync!$AF672)+1,2)),2),"0000"))))</f>
        <v/>
      </c>
    </row>
    <row r="673" spans="1:14" x14ac:dyDescent="0.2">
      <c r="A673" t="str">
        <f>IF(OR(Calc!$E677="",Calc!$E677="نامعتبر",Calc!$G677=""),"",Calc!$G677)</f>
        <v/>
      </c>
      <c r="B673" t="str">
        <f>IF($A673="","",LEFT(Calc!$E677,4)&amp;MID(Calc!$E677,6,2)&amp;RIGHT(Calc!$E677,2)&amp;Calc!$Q677&amp;"|"&amp;"1"&amp;RIGHT("00000"&amp;668,5))</f>
        <v/>
      </c>
      <c r="C673" t="str">
        <f t="shared" si="50"/>
        <v/>
      </c>
      <c r="D673" t="str">
        <f t="shared" si="51"/>
        <v/>
      </c>
      <c r="F673" t="str">
        <f>IF(Sync!$AH673="","",IF(LEFT(UPPER(TRIM(Sync!$AH673)),2)="SL",UPPER(TRIM(Sync!$AH673)),""))</f>
        <v/>
      </c>
      <c r="G673" t="str">
        <f>IF($F673="","",IF(Sync!$AE673="","",IF(ISNUMBER(Sync!$AE673),IF(AND(Sync!$AE673&gt;=10000101,Sync!$AE673&lt;=99991231),INT(Sync!$AE673/10000),""),IFERROR(VALUE(TRIM(LEFT(Sync!$AE673,FIND("/",Sync!$AE673)-1))),""))))</f>
        <v/>
      </c>
      <c r="H673" t="str">
        <f>IF(OR($F673="",$G673=""),"",IF(ISNUMBER(Sync!$AE673),INT(MOD(Sync!$AE673,10000)/100),IFERROR(VALUE(TRIM(LEFT(MID(Sync!$AE673,FIND("/",Sync!$AE673)+1,20),FIND("/",MID(Sync!$AE673,FIND("/",Sync!$AE673)+1,20))-1))),"")))</f>
        <v/>
      </c>
      <c r="I673" t="str">
        <f>IF(OR($F673="",$G673=""),"",IF(ISNUMBER(Sync!$AE673),MOD(Sync!$AE673,100),IFERROR(VALUE(TRIM(MID(MID(Sync!$AE673,FIND("/",Sync!$AE673)+1,20),FIND("/",MID(Sync!$AE673,FIND("/",Sync!$AE673)+1,20))+1,20))),"")))</f>
        <v/>
      </c>
      <c r="J673" t="str">
        <f t="shared" si="52"/>
        <v/>
      </c>
      <c r="K673" t="str">
        <f>IF(OR($F673="",$J673="",$J673="نامعتبر"),"",LEFT($J673,4)&amp;MID($J673,6,2)&amp;RIGHT($J673,2)&amp;$N673&amp;"|"&amp;"2"&amp;RIGHT("00000"&amp;668,5))</f>
        <v/>
      </c>
      <c r="L673" t="str">
        <f t="shared" si="53"/>
        <v/>
      </c>
      <c r="M673" t="str">
        <f t="shared" si="54"/>
        <v/>
      </c>
      <c r="N673" t="str">
        <f>IF($F673="","",IF(Sync!$AF673="","0000",IF(AND(ISNUMBER(Sync!$AF673),Sync!$AF673&gt;=0,Sync!$AF673&lt;1),RIGHT("00"&amp;HOUR(Sync!$AF673),2)&amp;RIGHT("00"&amp;MINUTE(Sync!$AF673),2),IFERROR(RIGHT("00"&amp;VALUE(LEFT(Sync!$AF673,FIND(":",Sync!$AF673)-1)),2)&amp;RIGHT("00"&amp;VALUE(MID(Sync!$AF673,FIND(":",Sync!$AF673)+1,2)),2),"0000"))))</f>
        <v/>
      </c>
    </row>
    <row r="674" spans="1:14" x14ac:dyDescent="0.2">
      <c r="A674" t="str">
        <f>IF(OR(Calc!$E678="",Calc!$E678="نامعتبر",Calc!$G678=""),"",Calc!$G678)</f>
        <v/>
      </c>
      <c r="B674" t="str">
        <f>IF($A674="","",LEFT(Calc!$E678,4)&amp;MID(Calc!$E678,6,2)&amp;RIGHT(Calc!$E678,2)&amp;Calc!$Q678&amp;"|"&amp;"1"&amp;RIGHT("00000"&amp;669,5))</f>
        <v/>
      </c>
      <c r="C674" t="str">
        <f t="shared" si="50"/>
        <v/>
      </c>
      <c r="D674" t="str">
        <f t="shared" si="51"/>
        <v/>
      </c>
      <c r="F674" t="str">
        <f>IF(Sync!$AH674="","",IF(LEFT(UPPER(TRIM(Sync!$AH674)),2)="SL",UPPER(TRIM(Sync!$AH674)),""))</f>
        <v/>
      </c>
      <c r="G674" t="str">
        <f>IF($F674="","",IF(Sync!$AE674="","",IF(ISNUMBER(Sync!$AE674),IF(AND(Sync!$AE674&gt;=10000101,Sync!$AE674&lt;=99991231),INT(Sync!$AE674/10000),""),IFERROR(VALUE(TRIM(LEFT(Sync!$AE674,FIND("/",Sync!$AE674)-1))),""))))</f>
        <v/>
      </c>
      <c r="H674" t="str">
        <f>IF(OR($F674="",$G674=""),"",IF(ISNUMBER(Sync!$AE674),INT(MOD(Sync!$AE674,10000)/100),IFERROR(VALUE(TRIM(LEFT(MID(Sync!$AE674,FIND("/",Sync!$AE674)+1,20),FIND("/",MID(Sync!$AE674,FIND("/",Sync!$AE674)+1,20))-1))),"")))</f>
        <v/>
      </c>
      <c r="I674" t="str">
        <f>IF(OR($F674="",$G674=""),"",IF(ISNUMBER(Sync!$AE674),MOD(Sync!$AE674,100),IFERROR(VALUE(TRIM(MID(MID(Sync!$AE674,FIND("/",Sync!$AE674)+1,20),FIND("/",MID(Sync!$AE674,FIND("/",Sync!$AE674)+1,20))+1,20))),"")))</f>
        <v/>
      </c>
      <c r="J674" t="str">
        <f t="shared" si="52"/>
        <v/>
      </c>
      <c r="K674" t="str">
        <f>IF(OR($F674="",$J674="",$J674="نامعتبر"),"",LEFT($J674,4)&amp;MID($J674,6,2)&amp;RIGHT($J674,2)&amp;$N674&amp;"|"&amp;"2"&amp;RIGHT("00000"&amp;669,5))</f>
        <v/>
      </c>
      <c r="L674" t="str">
        <f t="shared" si="53"/>
        <v/>
      </c>
      <c r="M674" t="str">
        <f t="shared" si="54"/>
        <v/>
      </c>
      <c r="N674" t="str">
        <f>IF($F674="","",IF(Sync!$AF674="","0000",IF(AND(ISNUMBER(Sync!$AF674),Sync!$AF674&gt;=0,Sync!$AF674&lt;1),RIGHT("00"&amp;HOUR(Sync!$AF674),2)&amp;RIGHT("00"&amp;MINUTE(Sync!$AF674),2),IFERROR(RIGHT("00"&amp;VALUE(LEFT(Sync!$AF674,FIND(":",Sync!$AF674)-1)),2)&amp;RIGHT("00"&amp;VALUE(MID(Sync!$AF674,FIND(":",Sync!$AF674)+1,2)),2),"0000"))))</f>
        <v/>
      </c>
    </row>
    <row r="675" spans="1:14" x14ac:dyDescent="0.2">
      <c r="A675" t="str">
        <f>IF(OR(Calc!$E679="",Calc!$E679="نامعتبر",Calc!$G679=""),"",Calc!$G679)</f>
        <v/>
      </c>
      <c r="B675" t="str">
        <f>IF($A675="","",LEFT(Calc!$E679,4)&amp;MID(Calc!$E679,6,2)&amp;RIGHT(Calc!$E679,2)&amp;Calc!$Q679&amp;"|"&amp;"1"&amp;RIGHT("00000"&amp;670,5))</f>
        <v/>
      </c>
      <c r="C675" t="str">
        <f t="shared" si="50"/>
        <v/>
      </c>
      <c r="D675" t="str">
        <f t="shared" si="51"/>
        <v/>
      </c>
      <c r="F675" t="str">
        <f>IF(Sync!$AH675="","",IF(LEFT(UPPER(TRIM(Sync!$AH675)),2)="SL",UPPER(TRIM(Sync!$AH675)),""))</f>
        <v/>
      </c>
      <c r="G675" t="str">
        <f>IF($F675="","",IF(Sync!$AE675="","",IF(ISNUMBER(Sync!$AE675),IF(AND(Sync!$AE675&gt;=10000101,Sync!$AE675&lt;=99991231),INT(Sync!$AE675/10000),""),IFERROR(VALUE(TRIM(LEFT(Sync!$AE675,FIND("/",Sync!$AE675)-1))),""))))</f>
        <v/>
      </c>
      <c r="H675" t="str">
        <f>IF(OR($F675="",$G675=""),"",IF(ISNUMBER(Sync!$AE675),INT(MOD(Sync!$AE675,10000)/100),IFERROR(VALUE(TRIM(LEFT(MID(Sync!$AE675,FIND("/",Sync!$AE675)+1,20),FIND("/",MID(Sync!$AE675,FIND("/",Sync!$AE675)+1,20))-1))),"")))</f>
        <v/>
      </c>
      <c r="I675" t="str">
        <f>IF(OR($F675="",$G675=""),"",IF(ISNUMBER(Sync!$AE675),MOD(Sync!$AE675,100),IFERROR(VALUE(TRIM(MID(MID(Sync!$AE675,FIND("/",Sync!$AE675)+1,20),FIND("/",MID(Sync!$AE675,FIND("/",Sync!$AE675)+1,20))+1,20))),"")))</f>
        <v/>
      </c>
      <c r="J675" t="str">
        <f t="shared" si="52"/>
        <v/>
      </c>
      <c r="K675" t="str">
        <f>IF(OR($F675="",$J675="",$J675="نامعتبر"),"",LEFT($J675,4)&amp;MID($J675,6,2)&amp;RIGHT($J675,2)&amp;$N675&amp;"|"&amp;"2"&amp;RIGHT("00000"&amp;670,5))</f>
        <v/>
      </c>
      <c r="L675" t="str">
        <f t="shared" si="53"/>
        <v/>
      </c>
      <c r="M675" t="str">
        <f t="shared" si="54"/>
        <v/>
      </c>
      <c r="N675" t="str">
        <f>IF($F675="","",IF(Sync!$AF675="","0000",IF(AND(ISNUMBER(Sync!$AF675),Sync!$AF675&gt;=0,Sync!$AF675&lt;1),RIGHT("00"&amp;HOUR(Sync!$AF675),2)&amp;RIGHT("00"&amp;MINUTE(Sync!$AF675),2),IFERROR(RIGHT("00"&amp;VALUE(LEFT(Sync!$AF675,FIND(":",Sync!$AF675)-1)),2)&amp;RIGHT("00"&amp;VALUE(MID(Sync!$AF675,FIND(":",Sync!$AF675)+1,2)),2),"0000"))))</f>
        <v/>
      </c>
    </row>
    <row r="676" spans="1:14" x14ac:dyDescent="0.2">
      <c r="A676" t="str">
        <f>IF(OR(Calc!$E680="",Calc!$E680="نامعتبر",Calc!$G680=""),"",Calc!$G680)</f>
        <v/>
      </c>
      <c r="B676" t="str">
        <f>IF($A676="","",LEFT(Calc!$E680,4)&amp;MID(Calc!$E680,6,2)&amp;RIGHT(Calc!$E680,2)&amp;Calc!$Q680&amp;"|"&amp;"1"&amp;RIGHT("00000"&amp;671,5))</f>
        <v/>
      </c>
      <c r="C676" t="str">
        <f t="shared" si="50"/>
        <v/>
      </c>
      <c r="D676" t="str">
        <f t="shared" si="51"/>
        <v/>
      </c>
      <c r="F676" t="str">
        <f>IF(Sync!$AH676="","",IF(LEFT(UPPER(TRIM(Sync!$AH676)),2)="SL",UPPER(TRIM(Sync!$AH676)),""))</f>
        <v/>
      </c>
      <c r="G676" t="str">
        <f>IF($F676="","",IF(Sync!$AE676="","",IF(ISNUMBER(Sync!$AE676),IF(AND(Sync!$AE676&gt;=10000101,Sync!$AE676&lt;=99991231),INT(Sync!$AE676/10000),""),IFERROR(VALUE(TRIM(LEFT(Sync!$AE676,FIND("/",Sync!$AE676)-1))),""))))</f>
        <v/>
      </c>
      <c r="H676" t="str">
        <f>IF(OR($F676="",$G676=""),"",IF(ISNUMBER(Sync!$AE676),INT(MOD(Sync!$AE676,10000)/100),IFERROR(VALUE(TRIM(LEFT(MID(Sync!$AE676,FIND("/",Sync!$AE676)+1,20),FIND("/",MID(Sync!$AE676,FIND("/",Sync!$AE676)+1,20))-1))),"")))</f>
        <v/>
      </c>
      <c r="I676" t="str">
        <f>IF(OR($F676="",$G676=""),"",IF(ISNUMBER(Sync!$AE676),MOD(Sync!$AE676,100),IFERROR(VALUE(TRIM(MID(MID(Sync!$AE676,FIND("/",Sync!$AE676)+1,20),FIND("/",MID(Sync!$AE676,FIND("/",Sync!$AE676)+1,20))+1,20))),"")))</f>
        <v/>
      </c>
      <c r="J676" t="str">
        <f t="shared" si="52"/>
        <v/>
      </c>
      <c r="K676" t="str">
        <f>IF(OR($F676="",$J676="",$J676="نامعتبر"),"",LEFT($J676,4)&amp;MID($J676,6,2)&amp;RIGHT($J676,2)&amp;$N676&amp;"|"&amp;"2"&amp;RIGHT("00000"&amp;671,5))</f>
        <v/>
      </c>
      <c r="L676" t="str">
        <f t="shared" si="53"/>
        <v/>
      </c>
      <c r="M676" t="str">
        <f t="shared" si="54"/>
        <v/>
      </c>
      <c r="N676" t="str">
        <f>IF($F676="","",IF(Sync!$AF676="","0000",IF(AND(ISNUMBER(Sync!$AF676),Sync!$AF676&gt;=0,Sync!$AF676&lt;1),RIGHT("00"&amp;HOUR(Sync!$AF676),2)&amp;RIGHT("00"&amp;MINUTE(Sync!$AF676),2),IFERROR(RIGHT("00"&amp;VALUE(LEFT(Sync!$AF676,FIND(":",Sync!$AF676)-1)),2)&amp;RIGHT("00"&amp;VALUE(MID(Sync!$AF676,FIND(":",Sync!$AF676)+1,2)),2),"0000"))))</f>
        <v/>
      </c>
    </row>
    <row r="677" spans="1:14" x14ac:dyDescent="0.2">
      <c r="A677" t="str">
        <f>IF(OR(Calc!$E681="",Calc!$E681="نامعتبر",Calc!$G681=""),"",Calc!$G681)</f>
        <v/>
      </c>
      <c r="B677" t="str">
        <f>IF($A677="","",LEFT(Calc!$E681,4)&amp;MID(Calc!$E681,6,2)&amp;RIGHT(Calc!$E681,2)&amp;Calc!$Q681&amp;"|"&amp;"1"&amp;RIGHT("00000"&amp;672,5))</f>
        <v/>
      </c>
      <c r="C677" t="str">
        <f t="shared" si="50"/>
        <v/>
      </c>
      <c r="D677" t="str">
        <f t="shared" si="51"/>
        <v/>
      </c>
      <c r="F677" t="str">
        <f>IF(Sync!$AH677="","",IF(LEFT(UPPER(TRIM(Sync!$AH677)),2)="SL",UPPER(TRIM(Sync!$AH677)),""))</f>
        <v/>
      </c>
      <c r="G677" t="str">
        <f>IF($F677="","",IF(Sync!$AE677="","",IF(ISNUMBER(Sync!$AE677),IF(AND(Sync!$AE677&gt;=10000101,Sync!$AE677&lt;=99991231),INT(Sync!$AE677/10000),""),IFERROR(VALUE(TRIM(LEFT(Sync!$AE677,FIND("/",Sync!$AE677)-1))),""))))</f>
        <v/>
      </c>
      <c r="H677" t="str">
        <f>IF(OR($F677="",$G677=""),"",IF(ISNUMBER(Sync!$AE677),INT(MOD(Sync!$AE677,10000)/100),IFERROR(VALUE(TRIM(LEFT(MID(Sync!$AE677,FIND("/",Sync!$AE677)+1,20),FIND("/",MID(Sync!$AE677,FIND("/",Sync!$AE677)+1,20))-1))),"")))</f>
        <v/>
      </c>
      <c r="I677" t="str">
        <f>IF(OR($F677="",$G677=""),"",IF(ISNUMBER(Sync!$AE677),MOD(Sync!$AE677,100),IFERROR(VALUE(TRIM(MID(MID(Sync!$AE677,FIND("/",Sync!$AE677)+1,20),FIND("/",MID(Sync!$AE677,FIND("/",Sync!$AE677)+1,20))+1,20))),"")))</f>
        <v/>
      </c>
      <c r="J677" t="str">
        <f t="shared" si="52"/>
        <v/>
      </c>
      <c r="K677" t="str">
        <f>IF(OR($F677="",$J677="",$J677="نامعتبر"),"",LEFT($J677,4)&amp;MID($J677,6,2)&amp;RIGHT($J677,2)&amp;$N677&amp;"|"&amp;"2"&amp;RIGHT("00000"&amp;672,5))</f>
        <v/>
      </c>
      <c r="L677" t="str">
        <f t="shared" si="53"/>
        <v/>
      </c>
      <c r="M677" t="str">
        <f t="shared" si="54"/>
        <v/>
      </c>
      <c r="N677" t="str">
        <f>IF($F677="","",IF(Sync!$AF677="","0000",IF(AND(ISNUMBER(Sync!$AF677),Sync!$AF677&gt;=0,Sync!$AF677&lt;1),RIGHT("00"&amp;HOUR(Sync!$AF677),2)&amp;RIGHT("00"&amp;MINUTE(Sync!$AF677),2),IFERROR(RIGHT("00"&amp;VALUE(LEFT(Sync!$AF677,FIND(":",Sync!$AF677)-1)),2)&amp;RIGHT("00"&amp;VALUE(MID(Sync!$AF677,FIND(":",Sync!$AF677)+1,2)),2),"0000"))))</f>
        <v/>
      </c>
    </row>
    <row r="678" spans="1:14" x14ac:dyDescent="0.2">
      <c r="A678" t="str">
        <f>IF(OR(Calc!$E682="",Calc!$E682="نامعتبر",Calc!$G682=""),"",Calc!$G682)</f>
        <v/>
      </c>
      <c r="B678" t="str">
        <f>IF($A678="","",LEFT(Calc!$E682,4)&amp;MID(Calc!$E682,6,2)&amp;RIGHT(Calc!$E682,2)&amp;Calc!$Q682&amp;"|"&amp;"1"&amp;RIGHT("00000"&amp;673,5))</f>
        <v/>
      </c>
      <c r="C678" t="str">
        <f t="shared" si="50"/>
        <v/>
      </c>
      <c r="D678" t="str">
        <f t="shared" si="51"/>
        <v/>
      </c>
      <c r="F678" t="str">
        <f>IF(Sync!$AH678="","",IF(LEFT(UPPER(TRIM(Sync!$AH678)),2)="SL",UPPER(TRIM(Sync!$AH678)),""))</f>
        <v/>
      </c>
      <c r="G678" t="str">
        <f>IF($F678="","",IF(Sync!$AE678="","",IF(ISNUMBER(Sync!$AE678),IF(AND(Sync!$AE678&gt;=10000101,Sync!$AE678&lt;=99991231),INT(Sync!$AE678/10000),""),IFERROR(VALUE(TRIM(LEFT(Sync!$AE678,FIND("/",Sync!$AE678)-1))),""))))</f>
        <v/>
      </c>
      <c r="H678" t="str">
        <f>IF(OR($F678="",$G678=""),"",IF(ISNUMBER(Sync!$AE678),INT(MOD(Sync!$AE678,10000)/100),IFERROR(VALUE(TRIM(LEFT(MID(Sync!$AE678,FIND("/",Sync!$AE678)+1,20),FIND("/",MID(Sync!$AE678,FIND("/",Sync!$AE678)+1,20))-1))),"")))</f>
        <v/>
      </c>
      <c r="I678" t="str">
        <f>IF(OR($F678="",$G678=""),"",IF(ISNUMBER(Sync!$AE678),MOD(Sync!$AE678,100),IFERROR(VALUE(TRIM(MID(MID(Sync!$AE678,FIND("/",Sync!$AE678)+1,20),FIND("/",MID(Sync!$AE678,FIND("/",Sync!$AE678)+1,20))+1,20))),"")))</f>
        <v/>
      </c>
      <c r="J678" t="str">
        <f t="shared" si="52"/>
        <v/>
      </c>
      <c r="K678" t="str">
        <f>IF(OR($F678="",$J678="",$J678="نامعتبر"),"",LEFT($J678,4)&amp;MID($J678,6,2)&amp;RIGHT($J678,2)&amp;$N678&amp;"|"&amp;"2"&amp;RIGHT("00000"&amp;673,5))</f>
        <v/>
      </c>
      <c r="L678" t="str">
        <f t="shared" si="53"/>
        <v/>
      </c>
      <c r="M678" t="str">
        <f t="shared" si="54"/>
        <v/>
      </c>
      <c r="N678" t="str">
        <f>IF($F678="","",IF(Sync!$AF678="","0000",IF(AND(ISNUMBER(Sync!$AF678),Sync!$AF678&gt;=0,Sync!$AF678&lt;1),RIGHT("00"&amp;HOUR(Sync!$AF678),2)&amp;RIGHT("00"&amp;MINUTE(Sync!$AF678),2),IFERROR(RIGHT("00"&amp;VALUE(LEFT(Sync!$AF678,FIND(":",Sync!$AF678)-1)),2)&amp;RIGHT("00"&amp;VALUE(MID(Sync!$AF678,FIND(":",Sync!$AF678)+1,2)),2),"0000"))))</f>
        <v/>
      </c>
    </row>
    <row r="679" spans="1:14" x14ac:dyDescent="0.2">
      <c r="A679" t="str">
        <f>IF(OR(Calc!$E683="",Calc!$E683="نامعتبر",Calc!$G683=""),"",Calc!$G683)</f>
        <v/>
      </c>
      <c r="B679" t="str">
        <f>IF($A679="","",LEFT(Calc!$E683,4)&amp;MID(Calc!$E683,6,2)&amp;RIGHT(Calc!$E683,2)&amp;Calc!$Q683&amp;"|"&amp;"1"&amp;RIGHT("00000"&amp;674,5))</f>
        <v/>
      </c>
      <c r="C679" t="str">
        <f t="shared" si="50"/>
        <v/>
      </c>
      <c r="D679" t="str">
        <f t="shared" si="51"/>
        <v/>
      </c>
      <c r="F679" t="str">
        <f>IF(Sync!$AH679="","",IF(LEFT(UPPER(TRIM(Sync!$AH679)),2)="SL",UPPER(TRIM(Sync!$AH679)),""))</f>
        <v/>
      </c>
      <c r="G679" t="str">
        <f>IF($F679="","",IF(Sync!$AE679="","",IF(ISNUMBER(Sync!$AE679),IF(AND(Sync!$AE679&gt;=10000101,Sync!$AE679&lt;=99991231),INT(Sync!$AE679/10000),""),IFERROR(VALUE(TRIM(LEFT(Sync!$AE679,FIND("/",Sync!$AE679)-1))),""))))</f>
        <v/>
      </c>
      <c r="H679" t="str">
        <f>IF(OR($F679="",$G679=""),"",IF(ISNUMBER(Sync!$AE679),INT(MOD(Sync!$AE679,10000)/100),IFERROR(VALUE(TRIM(LEFT(MID(Sync!$AE679,FIND("/",Sync!$AE679)+1,20),FIND("/",MID(Sync!$AE679,FIND("/",Sync!$AE679)+1,20))-1))),"")))</f>
        <v/>
      </c>
      <c r="I679" t="str">
        <f>IF(OR($F679="",$G679=""),"",IF(ISNUMBER(Sync!$AE679),MOD(Sync!$AE679,100),IFERROR(VALUE(TRIM(MID(MID(Sync!$AE679,FIND("/",Sync!$AE679)+1,20),FIND("/",MID(Sync!$AE679,FIND("/",Sync!$AE679)+1,20))+1,20))),"")))</f>
        <v/>
      </c>
      <c r="J679" t="str">
        <f t="shared" si="52"/>
        <v/>
      </c>
      <c r="K679" t="str">
        <f>IF(OR($F679="",$J679="",$J679="نامعتبر"),"",LEFT($J679,4)&amp;MID($J679,6,2)&amp;RIGHT($J679,2)&amp;$N679&amp;"|"&amp;"2"&amp;RIGHT("00000"&amp;674,5))</f>
        <v/>
      </c>
      <c r="L679" t="str">
        <f t="shared" si="53"/>
        <v/>
      </c>
      <c r="M679" t="str">
        <f t="shared" si="54"/>
        <v/>
      </c>
      <c r="N679" t="str">
        <f>IF($F679="","",IF(Sync!$AF679="","0000",IF(AND(ISNUMBER(Sync!$AF679),Sync!$AF679&gt;=0,Sync!$AF679&lt;1),RIGHT("00"&amp;HOUR(Sync!$AF679),2)&amp;RIGHT("00"&amp;MINUTE(Sync!$AF679),2),IFERROR(RIGHT("00"&amp;VALUE(LEFT(Sync!$AF679,FIND(":",Sync!$AF679)-1)),2)&amp;RIGHT("00"&amp;VALUE(MID(Sync!$AF679,FIND(":",Sync!$AF679)+1,2)),2),"0000"))))</f>
        <v/>
      </c>
    </row>
    <row r="680" spans="1:14" x14ac:dyDescent="0.2">
      <c r="A680" t="str">
        <f>IF(OR(Calc!$E684="",Calc!$E684="نامعتبر",Calc!$G684=""),"",Calc!$G684)</f>
        <v/>
      </c>
      <c r="B680" t="str">
        <f>IF($A680="","",LEFT(Calc!$E684,4)&amp;MID(Calc!$E684,6,2)&amp;RIGHT(Calc!$E684,2)&amp;Calc!$Q684&amp;"|"&amp;"1"&amp;RIGHT("00000"&amp;675,5))</f>
        <v/>
      </c>
      <c r="C680" t="str">
        <f t="shared" si="50"/>
        <v/>
      </c>
      <c r="D680" t="str">
        <f t="shared" si="51"/>
        <v/>
      </c>
      <c r="F680" t="str">
        <f>IF(Sync!$AH680="","",IF(LEFT(UPPER(TRIM(Sync!$AH680)),2)="SL",UPPER(TRIM(Sync!$AH680)),""))</f>
        <v/>
      </c>
      <c r="G680" t="str">
        <f>IF($F680="","",IF(Sync!$AE680="","",IF(ISNUMBER(Sync!$AE680),IF(AND(Sync!$AE680&gt;=10000101,Sync!$AE680&lt;=99991231),INT(Sync!$AE680/10000),""),IFERROR(VALUE(TRIM(LEFT(Sync!$AE680,FIND("/",Sync!$AE680)-1))),""))))</f>
        <v/>
      </c>
      <c r="H680" t="str">
        <f>IF(OR($F680="",$G680=""),"",IF(ISNUMBER(Sync!$AE680),INT(MOD(Sync!$AE680,10000)/100),IFERROR(VALUE(TRIM(LEFT(MID(Sync!$AE680,FIND("/",Sync!$AE680)+1,20),FIND("/",MID(Sync!$AE680,FIND("/",Sync!$AE680)+1,20))-1))),"")))</f>
        <v/>
      </c>
      <c r="I680" t="str">
        <f>IF(OR($F680="",$G680=""),"",IF(ISNUMBER(Sync!$AE680),MOD(Sync!$AE680,100),IFERROR(VALUE(TRIM(MID(MID(Sync!$AE680,FIND("/",Sync!$AE680)+1,20),FIND("/",MID(Sync!$AE680,FIND("/",Sync!$AE680)+1,20))+1,20))),"")))</f>
        <v/>
      </c>
      <c r="J680" t="str">
        <f t="shared" si="52"/>
        <v/>
      </c>
      <c r="K680" t="str">
        <f>IF(OR($F680="",$J680="",$J680="نامعتبر"),"",LEFT($J680,4)&amp;MID($J680,6,2)&amp;RIGHT($J680,2)&amp;$N680&amp;"|"&amp;"2"&amp;RIGHT("00000"&amp;675,5))</f>
        <v/>
      </c>
      <c r="L680" t="str">
        <f t="shared" si="53"/>
        <v/>
      </c>
      <c r="M680" t="str">
        <f t="shared" si="54"/>
        <v/>
      </c>
      <c r="N680" t="str">
        <f>IF($F680="","",IF(Sync!$AF680="","0000",IF(AND(ISNUMBER(Sync!$AF680),Sync!$AF680&gt;=0,Sync!$AF680&lt;1),RIGHT("00"&amp;HOUR(Sync!$AF680),2)&amp;RIGHT("00"&amp;MINUTE(Sync!$AF680),2),IFERROR(RIGHT("00"&amp;VALUE(LEFT(Sync!$AF680,FIND(":",Sync!$AF680)-1)),2)&amp;RIGHT("00"&amp;VALUE(MID(Sync!$AF680,FIND(":",Sync!$AF680)+1,2)),2),"0000"))))</f>
        <v/>
      </c>
    </row>
    <row r="681" spans="1:14" x14ac:dyDescent="0.2">
      <c r="A681" t="str">
        <f>IF(OR(Calc!$E685="",Calc!$E685="نامعتبر",Calc!$G685=""),"",Calc!$G685)</f>
        <v/>
      </c>
      <c r="B681" t="str">
        <f>IF($A681="","",LEFT(Calc!$E685,4)&amp;MID(Calc!$E685,6,2)&amp;RIGHT(Calc!$E685,2)&amp;Calc!$Q685&amp;"|"&amp;"1"&amp;RIGHT("00000"&amp;676,5))</f>
        <v/>
      </c>
      <c r="C681" t="str">
        <f t="shared" si="50"/>
        <v/>
      </c>
      <c r="D681" t="str">
        <f t="shared" si="51"/>
        <v/>
      </c>
      <c r="F681" t="str">
        <f>IF(Sync!$AH681="","",IF(LEFT(UPPER(TRIM(Sync!$AH681)),2)="SL",UPPER(TRIM(Sync!$AH681)),""))</f>
        <v/>
      </c>
      <c r="G681" t="str">
        <f>IF($F681="","",IF(Sync!$AE681="","",IF(ISNUMBER(Sync!$AE681),IF(AND(Sync!$AE681&gt;=10000101,Sync!$AE681&lt;=99991231),INT(Sync!$AE681/10000),""),IFERROR(VALUE(TRIM(LEFT(Sync!$AE681,FIND("/",Sync!$AE681)-1))),""))))</f>
        <v/>
      </c>
      <c r="H681" t="str">
        <f>IF(OR($F681="",$G681=""),"",IF(ISNUMBER(Sync!$AE681),INT(MOD(Sync!$AE681,10000)/100),IFERROR(VALUE(TRIM(LEFT(MID(Sync!$AE681,FIND("/",Sync!$AE681)+1,20),FIND("/",MID(Sync!$AE681,FIND("/",Sync!$AE681)+1,20))-1))),"")))</f>
        <v/>
      </c>
      <c r="I681" t="str">
        <f>IF(OR($F681="",$G681=""),"",IF(ISNUMBER(Sync!$AE681),MOD(Sync!$AE681,100),IFERROR(VALUE(TRIM(MID(MID(Sync!$AE681,FIND("/",Sync!$AE681)+1,20),FIND("/",MID(Sync!$AE681,FIND("/",Sync!$AE681)+1,20))+1,20))),"")))</f>
        <v/>
      </c>
      <c r="J681" t="str">
        <f t="shared" si="52"/>
        <v/>
      </c>
      <c r="K681" t="str">
        <f>IF(OR($F681="",$J681="",$J681="نامعتبر"),"",LEFT($J681,4)&amp;MID($J681,6,2)&amp;RIGHT($J681,2)&amp;$N681&amp;"|"&amp;"2"&amp;RIGHT("00000"&amp;676,5))</f>
        <v/>
      </c>
      <c r="L681" t="str">
        <f t="shared" si="53"/>
        <v/>
      </c>
      <c r="M681" t="str">
        <f t="shared" si="54"/>
        <v/>
      </c>
      <c r="N681" t="str">
        <f>IF($F681="","",IF(Sync!$AF681="","0000",IF(AND(ISNUMBER(Sync!$AF681),Sync!$AF681&gt;=0,Sync!$AF681&lt;1),RIGHT("00"&amp;HOUR(Sync!$AF681),2)&amp;RIGHT("00"&amp;MINUTE(Sync!$AF681),2),IFERROR(RIGHT("00"&amp;VALUE(LEFT(Sync!$AF681,FIND(":",Sync!$AF681)-1)),2)&amp;RIGHT("00"&amp;VALUE(MID(Sync!$AF681,FIND(":",Sync!$AF681)+1,2)),2),"0000"))))</f>
        <v/>
      </c>
    </row>
    <row r="682" spans="1:14" x14ac:dyDescent="0.2">
      <c r="A682" t="str">
        <f>IF(OR(Calc!$E686="",Calc!$E686="نامعتبر",Calc!$G686=""),"",Calc!$G686)</f>
        <v/>
      </c>
      <c r="B682" t="str">
        <f>IF($A682="","",LEFT(Calc!$E686,4)&amp;MID(Calc!$E686,6,2)&amp;RIGHT(Calc!$E686,2)&amp;Calc!$Q686&amp;"|"&amp;"1"&amp;RIGHT("00000"&amp;677,5))</f>
        <v/>
      </c>
      <c r="C682" t="str">
        <f t="shared" si="50"/>
        <v/>
      </c>
      <c r="D682" t="str">
        <f t="shared" si="51"/>
        <v/>
      </c>
      <c r="F682" t="str">
        <f>IF(Sync!$AH682="","",IF(LEFT(UPPER(TRIM(Sync!$AH682)),2)="SL",UPPER(TRIM(Sync!$AH682)),""))</f>
        <v/>
      </c>
      <c r="G682" t="str">
        <f>IF($F682="","",IF(Sync!$AE682="","",IF(ISNUMBER(Sync!$AE682),IF(AND(Sync!$AE682&gt;=10000101,Sync!$AE682&lt;=99991231),INT(Sync!$AE682/10000),""),IFERROR(VALUE(TRIM(LEFT(Sync!$AE682,FIND("/",Sync!$AE682)-1))),""))))</f>
        <v/>
      </c>
      <c r="H682" t="str">
        <f>IF(OR($F682="",$G682=""),"",IF(ISNUMBER(Sync!$AE682),INT(MOD(Sync!$AE682,10000)/100),IFERROR(VALUE(TRIM(LEFT(MID(Sync!$AE682,FIND("/",Sync!$AE682)+1,20),FIND("/",MID(Sync!$AE682,FIND("/",Sync!$AE682)+1,20))-1))),"")))</f>
        <v/>
      </c>
      <c r="I682" t="str">
        <f>IF(OR($F682="",$G682=""),"",IF(ISNUMBER(Sync!$AE682),MOD(Sync!$AE682,100),IFERROR(VALUE(TRIM(MID(MID(Sync!$AE682,FIND("/",Sync!$AE682)+1,20),FIND("/",MID(Sync!$AE682,FIND("/",Sync!$AE682)+1,20))+1,20))),"")))</f>
        <v/>
      </c>
      <c r="J682" t="str">
        <f t="shared" si="52"/>
        <v/>
      </c>
      <c r="K682" t="str">
        <f>IF(OR($F682="",$J682="",$J682="نامعتبر"),"",LEFT($J682,4)&amp;MID($J682,6,2)&amp;RIGHT($J682,2)&amp;$N682&amp;"|"&amp;"2"&amp;RIGHT("00000"&amp;677,5))</f>
        <v/>
      </c>
      <c r="L682" t="str">
        <f t="shared" si="53"/>
        <v/>
      </c>
      <c r="M682" t="str">
        <f t="shared" si="54"/>
        <v/>
      </c>
      <c r="N682" t="str">
        <f>IF($F682="","",IF(Sync!$AF682="","0000",IF(AND(ISNUMBER(Sync!$AF682),Sync!$AF682&gt;=0,Sync!$AF682&lt;1),RIGHT("00"&amp;HOUR(Sync!$AF682),2)&amp;RIGHT("00"&amp;MINUTE(Sync!$AF682),2),IFERROR(RIGHT("00"&amp;VALUE(LEFT(Sync!$AF682,FIND(":",Sync!$AF682)-1)),2)&amp;RIGHT("00"&amp;VALUE(MID(Sync!$AF682,FIND(":",Sync!$AF682)+1,2)),2),"0000"))))</f>
        <v/>
      </c>
    </row>
    <row r="683" spans="1:14" x14ac:dyDescent="0.2">
      <c r="A683" t="str">
        <f>IF(OR(Calc!$E687="",Calc!$E687="نامعتبر",Calc!$G687=""),"",Calc!$G687)</f>
        <v/>
      </c>
      <c r="B683" t="str">
        <f>IF($A683="","",LEFT(Calc!$E687,4)&amp;MID(Calc!$E687,6,2)&amp;RIGHT(Calc!$E687,2)&amp;Calc!$Q687&amp;"|"&amp;"1"&amp;RIGHT("00000"&amp;678,5))</f>
        <v/>
      </c>
      <c r="C683" t="str">
        <f t="shared" si="50"/>
        <v/>
      </c>
      <c r="D683" t="str">
        <f t="shared" si="51"/>
        <v/>
      </c>
      <c r="F683" t="str">
        <f>IF(Sync!$AH683="","",IF(LEFT(UPPER(TRIM(Sync!$AH683)),2)="SL",UPPER(TRIM(Sync!$AH683)),""))</f>
        <v/>
      </c>
      <c r="G683" t="str">
        <f>IF($F683="","",IF(Sync!$AE683="","",IF(ISNUMBER(Sync!$AE683),IF(AND(Sync!$AE683&gt;=10000101,Sync!$AE683&lt;=99991231),INT(Sync!$AE683/10000),""),IFERROR(VALUE(TRIM(LEFT(Sync!$AE683,FIND("/",Sync!$AE683)-1))),""))))</f>
        <v/>
      </c>
      <c r="H683" t="str">
        <f>IF(OR($F683="",$G683=""),"",IF(ISNUMBER(Sync!$AE683),INT(MOD(Sync!$AE683,10000)/100),IFERROR(VALUE(TRIM(LEFT(MID(Sync!$AE683,FIND("/",Sync!$AE683)+1,20),FIND("/",MID(Sync!$AE683,FIND("/",Sync!$AE683)+1,20))-1))),"")))</f>
        <v/>
      </c>
      <c r="I683" t="str">
        <f>IF(OR($F683="",$G683=""),"",IF(ISNUMBER(Sync!$AE683),MOD(Sync!$AE683,100),IFERROR(VALUE(TRIM(MID(MID(Sync!$AE683,FIND("/",Sync!$AE683)+1,20),FIND("/",MID(Sync!$AE683,FIND("/",Sync!$AE683)+1,20))+1,20))),"")))</f>
        <v/>
      </c>
      <c r="J683" t="str">
        <f t="shared" si="52"/>
        <v/>
      </c>
      <c r="K683" t="str">
        <f>IF(OR($F683="",$J683="",$J683="نامعتبر"),"",LEFT($J683,4)&amp;MID($J683,6,2)&amp;RIGHT($J683,2)&amp;$N683&amp;"|"&amp;"2"&amp;RIGHT("00000"&amp;678,5))</f>
        <v/>
      </c>
      <c r="L683" t="str">
        <f t="shared" si="53"/>
        <v/>
      </c>
      <c r="M683" t="str">
        <f t="shared" si="54"/>
        <v/>
      </c>
      <c r="N683" t="str">
        <f>IF($F683="","",IF(Sync!$AF683="","0000",IF(AND(ISNUMBER(Sync!$AF683),Sync!$AF683&gt;=0,Sync!$AF683&lt;1),RIGHT("00"&amp;HOUR(Sync!$AF683),2)&amp;RIGHT("00"&amp;MINUTE(Sync!$AF683),2),IFERROR(RIGHT("00"&amp;VALUE(LEFT(Sync!$AF683,FIND(":",Sync!$AF683)-1)),2)&amp;RIGHT("00"&amp;VALUE(MID(Sync!$AF683,FIND(":",Sync!$AF683)+1,2)),2),"0000"))))</f>
        <v/>
      </c>
    </row>
    <row r="684" spans="1:14" x14ac:dyDescent="0.2">
      <c r="A684" t="str">
        <f>IF(OR(Calc!$E688="",Calc!$E688="نامعتبر",Calc!$G688=""),"",Calc!$G688)</f>
        <v/>
      </c>
      <c r="B684" t="str">
        <f>IF($A684="","",LEFT(Calc!$E688,4)&amp;MID(Calc!$E688,6,2)&amp;RIGHT(Calc!$E688,2)&amp;Calc!$Q688&amp;"|"&amp;"1"&amp;RIGHT("00000"&amp;679,5))</f>
        <v/>
      </c>
      <c r="C684" t="str">
        <f t="shared" si="50"/>
        <v/>
      </c>
      <c r="D684" t="str">
        <f t="shared" si="51"/>
        <v/>
      </c>
      <c r="F684" t="str">
        <f>IF(Sync!$AH684="","",IF(LEFT(UPPER(TRIM(Sync!$AH684)),2)="SL",UPPER(TRIM(Sync!$AH684)),""))</f>
        <v/>
      </c>
      <c r="G684" t="str">
        <f>IF($F684="","",IF(Sync!$AE684="","",IF(ISNUMBER(Sync!$AE684),IF(AND(Sync!$AE684&gt;=10000101,Sync!$AE684&lt;=99991231),INT(Sync!$AE684/10000),""),IFERROR(VALUE(TRIM(LEFT(Sync!$AE684,FIND("/",Sync!$AE684)-1))),""))))</f>
        <v/>
      </c>
      <c r="H684" t="str">
        <f>IF(OR($F684="",$G684=""),"",IF(ISNUMBER(Sync!$AE684),INT(MOD(Sync!$AE684,10000)/100),IFERROR(VALUE(TRIM(LEFT(MID(Sync!$AE684,FIND("/",Sync!$AE684)+1,20),FIND("/",MID(Sync!$AE684,FIND("/",Sync!$AE684)+1,20))-1))),"")))</f>
        <v/>
      </c>
      <c r="I684" t="str">
        <f>IF(OR($F684="",$G684=""),"",IF(ISNUMBER(Sync!$AE684),MOD(Sync!$AE684,100),IFERROR(VALUE(TRIM(MID(MID(Sync!$AE684,FIND("/",Sync!$AE684)+1,20),FIND("/",MID(Sync!$AE684,FIND("/",Sync!$AE684)+1,20))+1,20))),"")))</f>
        <v/>
      </c>
      <c r="J684" t="str">
        <f t="shared" si="52"/>
        <v/>
      </c>
      <c r="K684" t="str">
        <f>IF(OR($F684="",$J684="",$J684="نامعتبر"),"",LEFT($J684,4)&amp;MID($J684,6,2)&amp;RIGHT($J684,2)&amp;$N684&amp;"|"&amp;"2"&amp;RIGHT("00000"&amp;679,5))</f>
        <v/>
      </c>
      <c r="L684" t="str">
        <f t="shared" si="53"/>
        <v/>
      </c>
      <c r="M684" t="str">
        <f t="shared" si="54"/>
        <v/>
      </c>
      <c r="N684" t="str">
        <f>IF($F684="","",IF(Sync!$AF684="","0000",IF(AND(ISNUMBER(Sync!$AF684),Sync!$AF684&gt;=0,Sync!$AF684&lt;1),RIGHT("00"&amp;HOUR(Sync!$AF684),2)&amp;RIGHT("00"&amp;MINUTE(Sync!$AF684),2),IFERROR(RIGHT("00"&amp;VALUE(LEFT(Sync!$AF684,FIND(":",Sync!$AF684)-1)),2)&amp;RIGHT("00"&amp;VALUE(MID(Sync!$AF684,FIND(":",Sync!$AF684)+1,2)),2),"0000"))))</f>
        <v/>
      </c>
    </row>
    <row r="685" spans="1:14" x14ac:dyDescent="0.2">
      <c r="A685" t="str">
        <f>IF(OR(Calc!$E689="",Calc!$E689="نامعتبر",Calc!$G689=""),"",Calc!$G689)</f>
        <v/>
      </c>
      <c r="B685" t="str">
        <f>IF($A685="","",LEFT(Calc!$E689,4)&amp;MID(Calc!$E689,6,2)&amp;RIGHT(Calc!$E689,2)&amp;Calc!$Q689&amp;"|"&amp;"1"&amp;RIGHT("00000"&amp;680,5))</f>
        <v/>
      </c>
      <c r="C685" t="str">
        <f t="shared" si="50"/>
        <v/>
      </c>
      <c r="D685" t="str">
        <f t="shared" si="51"/>
        <v/>
      </c>
      <c r="F685" t="str">
        <f>IF(Sync!$AH685="","",IF(LEFT(UPPER(TRIM(Sync!$AH685)),2)="SL",UPPER(TRIM(Sync!$AH685)),""))</f>
        <v/>
      </c>
      <c r="G685" t="str">
        <f>IF($F685="","",IF(Sync!$AE685="","",IF(ISNUMBER(Sync!$AE685),IF(AND(Sync!$AE685&gt;=10000101,Sync!$AE685&lt;=99991231),INT(Sync!$AE685/10000),""),IFERROR(VALUE(TRIM(LEFT(Sync!$AE685,FIND("/",Sync!$AE685)-1))),""))))</f>
        <v/>
      </c>
      <c r="H685" t="str">
        <f>IF(OR($F685="",$G685=""),"",IF(ISNUMBER(Sync!$AE685),INT(MOD(Sync!$AE685,10000)/100),IFERROR(VALUE(TRIM(LEFT(MID(Sync!$AE685,FIND("/",Sync!$AE685)+1,20),FIND("/",MID(Sync!$AE685,FIND("/",Sync!$AE685)+1,20))-1))),"")))</f>
        <v/>
      </c>
      <c r="I685" t="str">
        <f>IF(OR($F685="",$G685=""),"",IF(ISNUMBER(Sync!$AE685),MOD(Sync!$AE685,100),IFERROR(VALUE(TRIM(MID(MID(Sync!$AE685,FIND("/",Sync!$AE685)+1,20),FIND("/",MID(Sync!$AE685,FIND("/",Sync!$AE685)+1,20))+1,20))),"")))</f>
        <v/>
      </c>
      <c r="J685" t="str">
        <f t="shared" si="52"/>
        <v/>
      </c>
      <c r="K685" t="str">
        <f>IF(OR($F685="",$J685="",$J685="نامعتبر"),"",LEFT($J685,4)&amp;MID($J685,6,2)&amp;RIGHT($J685,2)&amp;$N685&amp;"|"&amp;"2"&amp;RIGHT("00000"&amp;680,5))</f>
        <v/>
      </c>
      <c r="L685" t="str">
        <f t="shared" si="53"/>
        <v/>
      </c>
      <c r="M685" t="str">
        <f t="shared" si="54"/>
        <v/>
      </c>
      <c r="N685" t="str">
        <f>IF($F685="","",IF(Sync!$AF685="","0000",IF(AND(ISNUMBER(Sync!$AF685),Sync!$AF685&gt;=0,Sync!$AF685&lt;1),RIGHT("00"&amp;HOUR(Sync!$AF685),2)&amp;RIGHT("00"&amp;MINUTE(Sync!$AF685),2),IFERROR(RIGHT("00"&amp;VALUE(LEFT(Sync!$AF685,FIND(":",Sync!$AF685)-1)),2)&amp;RIGHT("00"&amp;VALUE(MID(Sync!$AF685,FIND(":",Sync!$AF685)+1,2)),2),"0000"))))</f>
        <v/>
      </c>
    </row>
    <row r="686" spans="1:14" x14ac:dyDescent="0.2">
      <c r="A686" t="str">
        <f>IF(OR(Calc!$E690="",Calc!$E690="نامعتبر",Calc!$G690=""),"",Calc!$G690)</f>
        <v/>
      </c>
      <c r="B686" t="str">
        <f>IF($A686="","",LEFT(Calc!$E690,4)&amp;MID(Calc!$E690,6,2)&amp;RIGHT(Calc!$E690,2)&amp;Calc!$Q690&amp;"|"&amp;"1"&amp;RIGHT("00000"&amp;681,5))</f>
        <v/>
      </c>
      <c r="C686" t="str">
        <f t="shared" si="50"/>
        <v/>
      </c>
      <c r="D686" t="str">
        <f t="shared" si="51"/>
        <v/>
      </c>
      <c r="F686" t="str">
        <f>IF(Sync!$AH686="","",IF(LEFT(UPPER(TRIM(Sync!$AH686)),2)="SL",UPPER(TRIM(Sync!$AH686)),""))</f>
        <v/>
      </c>
      <c r="G686" t="str">
        <f>IF($F686="","",IF(Sync!$AE686="","",IF(ISNUMBER(Sync!$AE686),IF(AND(Sync!$AE686&gt;=10000101,Sync!$AE686&lt;=99991231),INT(Sync!$AE686/10000),""),IFERROR(VALUE(TRIM(LEFT(Sync!$AE686,FIND("/",Sync!$AE686)-1))),""))))</f>
        <v/>
      </c>
      <c r="H686" t="str">
        <f>IF(OR($F686="",$G686=""),"",IF(ISNUMBER(Sync!$AE686),INT(MOD(Sync!$AE686,10000)/100),IFERROR(VALUE(TRIM(LEFT(MID(Sync!$AE686,FIND("/",Sync!$AE686)+1,20),FIND("/",MID(Sync!$AE686,FIND("/",Sync!$AE686)+1,20))-1))),"")))</f>
        <v/>
      </c>
      <c r="I686" t="str">
        <f>IF(OR($F686="",$G686=""),"",IF(ISNUMBER(Sync!$AE686),MOD(Sync!$AE686,100),IFERROR(VALUE(TRIM(MID(MID(Sync!$AE686,FIND("/",Sync!$AE686)+1,20),FIND("/",MID(Sync!$AE686,FIND("/",Sync!$AE686)+1,20))+1,20))),"")))</f>
        <v/>
      </c>
      <c r="J686" t="str">
        <f t="shared" si="52"/>
        <v/>
      </c>
      <c r="K686" t="str">
        <f>IF(OR($F686="",$J686="",$J686="نامعتبر"),"",LEFT($J686,4)&amp;MID($J686,6,2)&amp;RIGHT($J686,2)&amp;$N686&amp;"|"&amp;"2"&amp;RIGHT("00000"&amp;681,5))</f>
        <v/>
      </c>
      <c r="L686" t="str">
        <f t="shared" si="53"/>
        <v/>
      </c>
      <c r="M686" t="str">
        <f t="shared" si="54"/>
        <v/>
      </c>
      <c r="N686" t="str">
        <f>IF($F686="","",IF(Sync!$AF686="","0000",IF(AND(ISNUMBER(Sync!$AF686),Sync!$AF686&gt;=0,Sync!$AF686&lt;1),RIGHT("00"&amp;HOUR(Sync!$AF686),2)&amp;RIGHT("00"&amp;MINUTE(Sync!$AF686),2),IFERROR(RIGHT("00"&amp;VALUE(LEFT(Sync!$AF686,FIND(":",Sync!$AF686)-1)),2)&amp;RIGHT("00"&amp;VALUE(MID(Sync!$AF686,FIND(":",Sync!$AF686)+1,2)),2),"0000"))))</f>
        <v/>
      </c>
    </row>
    <row r="687" spans="1:14" x14ac:dyDescent="0.2">
      <c r="A687" t="str">
        <f>IF(OR(Calc!$E691="",Calc!$E691="نامعتبر",Calc!$G691=""),"",Calc!$G691)</f>
        <v/>
      </c>
      <c r="B687" t="str">
        <f>IF($A687="","",LEFT(Calc!$E691,4)&amp;MID(Calc!$E691,6,2)&amp;RIGHT(Calc!$E691,2)&amp;Calc!$Q691&amp;"|"&amp;"1"&amp;RIGHT("00000"&amp;682,5))</f>
        <v/>
      </c>
      <c r="C687" t="str">
        <f t="shared" si="50"/>
        <v/>
      </c>
      <c r="D687" t="str">
        <f t="shared" si="51"/>
        <v/>
      </c>
      <c r="F687" t="str">
        <f>IF(Sync!$AH687="","",IF(LEFT(UPPER(TRIM(Sync!$AH687)),2)="SL",UPPER(TRIM(Sync!$AH687)),""))</f>
        <v/>
      </c>
      <c r="G687" t="str">
        <f>IF($F687="","",IF(Sync!$AE687="","",IF(ISNUMBER(Sync!$AE687),IF(AND(Sync!$AE687&gt;=10000101,Sync!$AE687&lt;=99991231),INT(Sync!$AE687/10000),""),IFERROR(VALUE(TRIM(LEFT(Sync!$AE687,FIND("/",Sync!$AE687)-1))),""))))</f>
        <v/>
      </c>
      <c r="H687" t="str">
        <f>IF(OR($F687="",$G687=""),"",IF(ISNUMBER(Sync!$AE687),INT(MOD(Sync!$AE687,10000)/100),IFERROR(VALUE(TRIM(LEFT(MID(Sync!$AE687,FIND("/",Sync!$AE687)+1,20),FIND("/",MID(Sync!$AE687,FIND("/",Sync!$AE687)+1,20))-1))),"")))</f>
        <v/>
      </c>
      <c r="I687" t="str">
        <f>IF(OR($F687="",$G687=""),"",IF(ISNUMBER(Sync!$AE687),MOD(Sync!$AE687,100),IFERROR(VALUE(TRIM(MID(MID(Sync!$AE687,FIND("/",Sync!$AE687)+1,20),FIND("/",MID(Sync!$AE687,FIND("/",Sync!$AE687)+1,20))+1,20))),"")))</f>
        <v/>
      </c>
      <c r="J687" t="str">
        <f t="shared" si="52"/>
        <v/>
      </c>
      <c r="K687" t="str">
        <f>IF(OR($F687="",$J687="",$J687="نامعتبر"),"",LEFT($J687,4)&amp;MID($J687,6,2)&amp;RIGHT($J687,2)&amp;$N687&amp;"|"&amp;"2"&amp;RIGHT("00000"&amp;682,5))</f>
        <v/>
      </c>
      <c r="L687" t="str">
        <f t="shared" si="53"/>
        <v/>
      </c>
      <c r="M687" t="str">
        <f t="shared" si="54"/>
        <v/>
      </c>
      <c r="N687" t="str">
        <f>IF($F687="","",IF(Sync!$AF687="","0000",IF(AND(ISNUMBER(Sync!$AF687),Sync!$AF687&gt;=0,Sync!$AF687&lt;1),RIGHT("00"&amp;HOUR(Sync!$AF687),2)&amp;RIGHT("00"&amp;MINUTE(Sync!$AF687),2),IFERROR(RIGHT("00"&amp;VALUE(LEFT(Sync!$AF687,FIND(":",Sync!$AF687)-1)),2)&amp;RIGHT("00"&amp;VALUE(MID(Sync!$AF687,FIND(":",Sync!$AF687)+1,2)),2),"0000"))))</f>
        <v/>
      </c>
    </row>
    <row r="688" spans="1:14" x14ac:dyDescent="0.2">
      <c r="A688" t="str">
        <f>IF(OR(Calc!$E692="",Calc!$E692="نامعتبر",Calc!$G692=""),"",Calc!$G692)</f>
        <v/>
      </c>
      <c r="B688" t="str">
        <f>IF($A688="","",LEFT(Calc!$E692,4)&amp;MID(Calc!$E692,6,2)&amp;RIGHT(Calc!$E692,2)&amp;Calc!$Q692&amp;"|"&amp;"1"&amp;RIGHT("00000"&amp;683,5))</f>
        <v/>
      </c>
      <c r="C688" t="str">
        <f t="shared" si="50"/>
        <v/>
      </c>
      <c r="D688" t="str">
        <f t="shared" si="51"/>
        <v/>
      </c>
      <c r="F688" t="str">
        <f>IF(Sync!$AH688="","",IF(LEFT(UPPER(TRIM(Sync!$AH688)),2)="SL",UPPER(TRIM(Sync!$AH688)),""))</f>
        <v/>
      </c>
      <c r="G688" t="str">
        <f>IF($F688="","",IF(Sync!$AE688="","",IF(ISNUMBER(Sync!$AE688),IF(AND(Sync!$AE688&gt;=10000101,Sync!$AE688&lt;=99991231),INT(Sync!$AE688/10000),""),IFERROR(VALUE(TRIM(LEFT(Sync!$AE688,FIND("/",Sync!$AE688)-1))),""))))</f>
        <v/>
      </c>
      <c r="H688" t="str">
        <f>IF(OR($F688="",$G688=""),"",IF(ISNUMBER(Sync!$AE688),INT(MOD(Sync!$AE688,10000)/100),IFERROR(VALUE(TRIM(LEFT(MID(Sync!$AE688,FIND("/",Sync!$AE688)+1,20),FIND("/",MID(Sync!$AE688,FIND("/",Sync!$AE688)+1,20))-1))),"")))</f>
        <v/>
      </c>
      <c r="I688" t="str">
        <f>IF(OR($F688="",$G688=""),"",IF(ISNUMBER(Sync!$AE688),MOD(Sync!$AE688,100),IFERROR(VALUE(TRIM(MID(MID(Sync!$AE688,FIND("/",Sync!$AE688)+1,20),FIND("/",MID(Sync!$AE688,FIND("/",Sync!$AE688)+1,20))+1,20))),"")))</f>
        <v/>
      </c>
      <c r="J688" t="str">
        <f t="shared" si="52"/>
        <v/>
      </c>
      <c r="K688" t="str">
        <f>IF(OR($F688="",$J688="",$J688="نامعتبر"),"",LEFT($J688,4)&amp;MID($J688,6,2)&amp;RIGHT($J688,2)&amp;$N688&amp;"|"&amp;"2"&amp;RIGHT("00000"&amp;683,5))</f>
        <v/>
      </c>
      <c r="L688" t="str">
        <f t="shared" si="53"/>
        <v/>
      </c>
      <c r="M688" t="str">
        <f t="shared" si="54"/>
        <v/>
      </c>
      <c r="N688" t="str">
        <f>IF($F688="","",IF(Sync!$AF688="","0000",IF(AND(ISNUMBER(Sync!$AF688),Sync!$AF688&gt;=0,Sync!$AF688&lt;1),RIGHT("00"&amp;HOUR(Sync!$AF688),2)&amp;RIGHT("00"&amp;MINUTE(Sync!$AF688),2),IFERROR(RIGHT("00"&amp;VALUE(LEFT(Sync!$AF688,FIND(":",Sync!$AF688)-1)),2)&amp;RIGHT("00"&amp;VALUE(MID(Sync!$AF688,FIND(":",Sync!$AF688)+1,2)),2),"0000"))))</f>
        <v/>
      </c>
    </row>
    <row r="689" spans="1:14" x14ac:dyDescent="0.2">
      <c r="A689" t="str">
        <f>IF(OR(Calc!$E693="",Calc!$E693="نامعتبر",Calc!$G693=""),"",Calc!$G693)</f>
        <v/>
      </c>
      <c r="B689" t="str">
        <f>IF($A689="","",LEFT(Calc!$E693,4)&amp;MID(Calc!$E693,6,2)&amp;RIGHT(Calc!$E693,2)&amp;Calc!$Q693&amp;"|"&amp;"1"&amp;RIGHT("00000"&amp;684,5))</f>
        <v/>
      </c>
      <c r="C689" t="str">
        <f t="shared" si="50"/>
        <v/>
      </c>
      <c r="D689" t="str">
        <f t="shared" si="51"/>
        <v/>
      </c>
      <c r="F689" t="str">
        <f>IF(Sync!$AH689="","",IF(LEFT(UPPER(TRIM(Sync!$AH689)),2)="SL",UPPER(TRIM(Sync!$AH689)),""))</f>
        <v/>
      </c>
      <c r="G689" t="str">
        <f>IF($F689="","",IF(Sync!$AE689="","",IF(ISNUMBER(Sync!$AE689),IF(AND(Sync!$AE689&gt;=10000101,Sync!$AE689&lt;=99991231),INT(Sync!$AE689/10000),""),IFERROR(VALUE(TRIM(LEFT(Sync!$AE689,FIND("/",Sync!$AE689)-1))),""))))</f>
        <v/>
      </c>
      <c r="H689" t="str">
        <f>IF(OR($F689="",$G689=""),"",IF(ISNUMBER(Sync!$AE689),INT(MOD(Sync!$AE689,10000)/100),IFERROR(VALUE(TRIM(LEFT(MID(Sync!$AE689,FIND("/",Sync!$AE689)+1,20),FIND("/",MID(Sync!$AE689,FIND("/",Sync!$AE689)+1,20))-1))),"")))</f>
        <v/>
      </c>
      <c r="I689" t="str">
        <f>IF(OR($F689="",$G689=""),"",IF(ISNUMBER(Sync!$AE689),MOD(Sync!$AE689,100),IFERROR(VALUE(TRIM(MID(MID(Sync!$AE689,FIND("/",Sync!$AE689)+1,20),FIND("/",MID(Sync!$AE689,FIND("/",Sync!$AE689)+1,20))+1,20))),"")))</f>
        <v/>
      </c>
      <c r="J689" t="str">
        <f t="shared" si="52"/>
        <v/>
      </c>
      <c r="K689" t="str">
        <f>IF(OR($F689="",$J689="",$J689="نامعتبر"),"",LEFT($J689,4)&amp;MID($J689,6,2)&amp;RIGHT($J689,2)&amp;$N689&amp;"|"&amp;"2"&amp;RIGHT("00000"&amp;684,5))</f>
        <v/>
      </c>
      <c r="L689" t="str">
        <f t="shared" si="53"/>
        <v/>
      </c>
      <c r="M689" t="str">
        <f t="shared" si="54"/>
        <v/>
      </c>
      <c r="N689" t="str">
        <f>IF($F689="","",IF(Sync!$AF689="","0000",IF(AND(ISNUMBER(Sync!$AF689),Sync!$AF689&gt;=0,Sync!$AF689&lt;1),RIGHT("00"&amp;HOUR(Sync!$AF689),2)&amp;RIGHT("00"&amp;MINUTE(Sync!$AF689),2),IFERROR(RIGHT("00"&amp;VALUE(LEFT(Sync!$AF689,FIND(":",Sync!$AF689)-1)),2)&amp;RIGHT("00"&amp;VALUE(MID(Sync!$AF689,FIND(":",Sync!$AF689)+1,2)),2),"0000"))))</f>
        <v/>
      </c>
    </row>
    <row r="690" spans="1:14" x14ac:dyDescent="0.2">
      <c r="A690" t="str">
        <f>IF(OR(Calc!$E694="",Calc!$E694="نامعتبر",Calc!$G694=""),"",Calc!$G694)</f>
        <v/>
      </c>
      <c r="B690" t="str">
        <f>IF($A690="","",LEFT(Calc!$E694,4)&amp;MID(Calc!$E694,6,2)&amp;RIGHT(Calc!$E694,2)&amp;Calc!$Q694&amp;"|"&amp;"1"&amp;RIGHT("00000"&amp;685,5))</f>
        <v/>
      </c>
      <c r="C690" t="str">
        <f t="shared" si="50"/>
        <v/>
      </c>
      <c r="D690" t="str">
        <f t="shared" si="51"/>
        <v/>
      </c>
      <c r="F690" t="str">
        <f>IF(Sync!$AH690="","",IF(LEFT(UPPER(TRIM(Sync!$AH690)),2)="SL",UPPER(TRIM(Sync!$AH690)),""))</f>
        <v/>
      </c>
      <c r="G690" t="str">
        <f>IF($F690="","",IF(Sync!$AE690="","",IF(ISNUMBER(Sync!$AE690),IF(AND(Sync!$AE690&gt;=10000101,Sync!$AE690&lt;=99991231),INT(Sync!$AE690/10000),""),IFERROR(VALUE(TRIM(LEFT(Sync!$AE690,FIND("/",Sync!$AE690)-1))),""))))</f>
        <v/>
      </c>
      <c r="H690" t="str">
        <f>IF(OR($F690="",$G690=""),"",IF(ISNUMBER(Sync!$AE690),INT(MOD(Sync!$AE690,10000)/100),IFERROR(VALUE(TRIM(LEFT(MID(Sync!$AE690,FIND("/",Sync!$AE690)+1,20),FIND("/",MID(Sync!$AE690,FIND("/",Sync!$AE690)+1,20))-1))),"")))</f>
        <v/>
      </c>
      <c r="I690" t="str">
        <f>IF(OR($F690="",$G690=""),"",IF(ISNUMBER(Sync!$AE690),MOD(Sync!$AE690,100),IFERROR(VALUE(TRIM(MID(MID(Sync!$AE690,FIND("/",Sync!$AE690)+1,20),FIND("/",MID(Sync!$AE690,FIND("/",Sync!$AE690)+1,20))+1,20))),"")))</f>
        <v/>
      </c>
      <c r="J690" t="str">
        <f t="shared" si="52"/>
        <v/>
      </c>
      <c r="K690" t="str">
        <f>IF(OR($F690="",$J690="",$J690="نامعتبر"),"",LEFT($J690,4)&amp;MID($J690,6,2)&amp;RIGHT($J690,2)&amp;$N690&amp;"|"&amp;"2"&amp;RIGHT("00000"&amp;685,5))</f>
        <v/>
      </c>
      <c r="L690" t="str">
        <f t="shared" si="53"/>
        <v/>
      </c>
      <c r="M690" t="str">
        <f t="shared" si="54"/>
        <v/>
      </c>
      <c r="N690" t="str">
        <f>IF($F690="","",IF(Sync!$AF690="","0000",IF(AND(ISNUMBER(Sync!$AF690),Sync!$AF690&gt;=0,Sync!$AF690&lt;1),RIGHT("00"&amp;HOUR(Sync!$AF690),2)&amp;RIGHT("00"&amp;MINUTE(Sync!$AF690),2),IFERROR(RIGHT("00"&amp;VALUE(LEFT(Sync!$AF690,FIND(":",Sync!$AF690)-1)),2)&amp;RIGHT("00"&amp;VALUE(MID(Sync!$AF690,FIND(":",Sync!$AF690)+1,2)),2),"0000"))))</f>
        <v/>
      </c>
    </row>
    <row r="691" spans="1:14" x14ac:dyDescent="0.2">
      <c r="A691" t="str">
        <f>IF(OR(Calc!$E695="",Calc!$E695="نامعتبر",Calc!$G695=""),"",Calc!$G695)</f>
        <v/>
      </c>
      <c r="B691" t="str">
        <f>IF($A691="","",LEFT(Calc!$E695,4)&amp;MID(Calc!$E695,6,2)&amp;RIGHT(Calc!$E695,2)&amp;Calc!$Q695&amp;"|"&amp;"1"&amp;RIGHT("00000"&amp;686,5))</f>
        <v/>
      </c>
      <c r="C691" t="str">
        <f t="shared" si="50"/>
        <v/>
      </c>
      <c r="D691" t="str">
        <f t="shared" si="51"/>
        <v/>
      </c>
      <c r="F691" t="str">
        <f>IF(Sync!$AH691="","",IF(LEFT(UPPER(TRIM(Sync!$AH691)),2)="SL",UPPER(TRIM(Sync!$AH691)),""))</f>
        <v/>
      </c>
      <c r="G691" t="str">
        <f>IF($F691="","",IF(Sync!$AE691="","",IF(ISNUMBER(Sync!$AE691),IF(AND(Sync!$AE691&gt;=10000101,Sync!$AE691&lt;=99991231),INT(Sync!$AE691/10000),""),IFERROR(VALUE(TRIM(LEFT(Sync!$AE691,FIND("/",Sync!$AE691)-1))),""))))</f>
        <v/>
      </c>
      <c r="H691" t="str">
        <f>IF(OR($F691="",$G691=""),"",IF(ISNUMBER(Sync!$AE691),INT(MOD(Sync!$AE691,10000)/100),IFERROR(VALUE(TRIM(LEFT(MID(Sync!$AE691,FIND("/",Sync!$AE691)+1,20),FIND("/",MID(Sync!$AE691,FIND("/",Sync!$AE691)+1,20))-1))),"")))</f>
        <v/>
      </c>
      <c r="I691" t="str">
        <f>IF(OR($F691="",$G691=""),"",IF(ISNUMBER(Sync!$AE691),MOD(Sync!$AE691,100),IFERROR(VALUE(TRIM(MID(MID(Sync!$AE691,FIND("/",Sync!$AE691)+1,20),FIND("/",MID(Sync!$AE691,FIND("/",Sync!$AE691)+1,20))+1,20))),"")))</f>
        <v/>
      </c>
      <c r="J691" t="str">
        <f t="shared" si="52"/>
        <v/>
      </c>
      <c r="K691" t="str">
        <f>IF(OR($F691="",$J691="",$J691="نامعتبر"),"",LEFT($J691,4)&amp;MID($J691,6,2)&amp;RIGHT($J691,2)&amp;$N691&amp;"|"&amp;"2"&amp;RIGHT("00000"&amp;686,5))</f>
        <v/>
      </c>
      <c r="L691" t="str">
        <f t="shared" si="53"/>
        <v/>
      </c>
      <c r="M691" t="str">
        <f t="shared" si="54"/>
        <v/>
      </c>
      <c r="N691" t="str">
        <f>IF($F691="","",IF(Sync!$AF691="","0000",IF(AND(ISNUMBER(Sync!$AF691),Sync!$AF691&gt;=0,Sync!$AF691&lt;1),RIGHT("00"&amp;HOUR(Sync!$AF691),2)&amp;RIGHT("00"&amp;MINUTE(Sync!$AF691),2),IFERROR(RIGHT("00"&amp;VALUE(LEFT(Sync!$AF691,FIND(":",Sync!$AF691)-1)),2)&amp;RIGHT("00"&amp;VALUE(MID(Sync!$AF691,FIND(":",Sync!$AF691)+1,2)),2),"0000"))))</f>
        <v/>
      </c>
    </row>
    <row r="692" spans="1:14" x14ac:dyDescent="0.2">
      <c r="A692" t="str">
        <f>IF(OR(Calc!$E696="",Calc!$E696="نامعتبر",Calc!$G696=""),"",Calc!$G696)</f>
        <v/>
      </c>
      <c r="B692" t="str">
        <f>IF($A692="","",LEFT(Calc!$E696,4)&amp;MID(Calc!$E696,6,2)&amp;RIGHT(Calc!$E696,2)&amp;Calc!$Q696&amp;"|"&amp;"1"&amp;RIGHT("00000"&amp;687,5))</f>
        <v/>
      </c>
      <c r="C692" t="str">
        <f t="shared" si="50"/>
        <v/>
      </c>
      <c r="D692" t="str">
        <f t="shared" si="51"/>
        <v/>
      </c>
      <c r="F692" t="str">
        <f>IF(Sync!$AH692="","",IF(LEFT(UPPER(TRIM(Sync!$AH692)),2)="SL",UPPER(TRIM(Sync!$AH692)),""))</f>
        <v/>
      </c>
      <c r="G692" t="str">
        <f>IF($F692="","",IF(Sync!$AE692="","",IF(ISNUMBER(Sync!$AE692),IF(AND(Sync!$AE692&gt;=10000101,Sync!$AE692&lt;=99991231),INT(Sync!$AE692/10000),""),IFERROR(VALUE(TRIM(LEFT(Sync!$AE692,FIND("/",Sync!$AE692)-1))),""))))</f>
        <v/>
      </c>
      <c r="H692" t="str">
        <f>IF(OR($F692="",$G692=""),"",IF(ISNUMBER(Sync!$AE692),INT(MOD(Sync!$AE692,10000)/100),IFERROR(VALUE(TRIM(LEFT(MID(Sync!$AE692,FIND("/",Sync!$AE692)+1,20),FIND("/",MID(Sync!$AE692,FIND("/",Sync!$AE692)+1,20))-1))),"")))</f>
        <v/>
      </c>
      <c r="I692" t="str">
        <f>IF(OR($F692="",$G692=""),"",IF(ISNUMBER(Sync!$AE692),MOD(Sync!$AE692,100),IFERROR(VALUE(TRIM(MID(MID(Sync!$AE692,FIND("/",Sync!$AE692)+1,20),FIND("/",MID(Sync!$AE692,FIND("/",Sync!$AE692)+1,20))+1,20))),"")))</f>
        <v/>
      </c>
      <c r="J692" t="str">
        <f t="shared" si="52"/>
        <v/>
      </c>
      <c r="K692" t="str">
        <f>IF(OR($F692="",$J692="",$J692="نامعتبر"),"",LEFT($J692,4)&amp;MID($J692,6,2)&amp;RIGHT($J692,2)&amp;$N692&amp;"|"&amp;"2"&amp;RIGHT("00000"&amp;687,5))</f>
        <v/>
      </c>
      <c r="L692" t="str">
        <f t="shared" si="53"/>
        <v/>
      </c>
      <c r="M692" t="str">
        <f t="shared" si="54"/>
        <v/>
      </c>
      <c r="N692" t="str">
        <f>IF($F692="","",IF(Sync!$AF692="","0000",IF(AND(ISNUMBER(Sync!$AF692),Sync!$AF692&gt;=0,Sync!$AF692&lt;1),RIGHT("00"&amp;HOUR(Sync!$AF692),2)&amp;RIGHT("00"&amp;MINUTE(Sync!$AF692),2),IFERROR(RIGHT("00"&amp;VALUE(LEFT(Sync!$AF692,FIND(":",Sync!$AF692)-1)),2)&amp;RIGHT("00"&amp;VALUE(MID(Sync!$AF692,FIND(":",Sync!$AF692)+1,2)),2),"0000"))))</f>
        <v/>
      </c>
    </row>
    <row r="693" spans="1:14" x14ac:dyDescent="0.2">
      <c r="A693" t="str">
        <f>IF(OR(Calc!$E697="",Calc!$E697="نامعتبر",Calc!$G697=""),"",Calc!$G697)</f>
        <v/>
      </c>
      <c r="B693" t="str">
        <f>IF($A693="","",LEFT(Calc!$E697,4)&amp;MID(Calc!$E697,6,2)&amp;RIGHT(Calc!$E697,2)&amp;Calc!$Q697&amp;"|"&amp;"1"&amp;RIGHT("00000"&amp;688,5))</f>
        <v/>
      </c>
      <c r="C693" t="str">
        <f t="shared" si="50"/>
        <v/>
      </c>
      <c r="D693" t="str">
        <f t="shared" si="51"/>
        <v/>
      </c>
      <c r="F693" t="str">
        <f>IF(Sync!$AH693="","",IF(LEFT(UPPER(TRIM(Sync!$AH693)),2)="SL",UPPER(TRIM(Sync!$AH693)),""))</f>
        <v/>
      </c>
      <c r="G693" t="str">
        <f>IF($F693="","",IF(Sync!$AE693="","",IF(ISNUMBER(Sync!$AE693),IF(AND(Sync!$AE693&gt;=10000101,Sync!$AE693&lt;=99991231),INT(Sync!$AE693/10000),""),IFERROR(VALUE(TRIM(LEFT(Sync!$AE693,FIND("/",Sync!$AE693)-1))),""))))</f>
        <v/>
      </c>
      <c r="H693" t="str">
        <f>IF(OR($F693="",$G693=""),"",IF(ISNUMBER(Sync!$AE693),INT(MOD(Sync!$AE693,10000)/100),IFERROR(VALUE(TRIM(LEFT(MID(Sync!$AE693,FIND("/",Sync!$AE693)+1,20),FIND("/",MID(Sync!$AE693,FIND("/",Sync!$AE693)+1,20))-1))),"")))</f>
        <v/>
      </c>
      <c r="I693" t="str">
        <f>IF(OR($F693="",$G693=""),"",IF(ISNUMBER(Sync!$AE693),MOD(Sync!$AE693,100),IFERROR(VALUE(TRIM(MID(MID(Sync!$AE693,FIND("/",Sync!$AE693)+1,20),FIND("/",MID(Sync!$AE693,FIND("/",Sync!$AE693)+1,20))+1,20))),"")))</f>
        <v/>
      </c>
      <c r="J693" t="str">
        <f t="shared" si="52"/>
        <v/>
      </c>
      <c r="K693" t="str">
        <f>IF(OR($F693="",$J693="",$J693="نامعتبر"),"",LEFT($J693,4)&amp;MID($J693,6,2)&amp;RIGHT($J693,2)&amp;$N693&amp;"|"&amp;"2"&amp;RIGHT("00000"&amp;688,5))</f>
        <v/>
      </c>
      <c r="L693" t="str">
        <f t="shared" si="53"/>
        <v/>
      </c>
      <c r="M693" t="str">
        <f t="shared" si="54"/>
        <v/>
      </c>
      <c r="N693" t="str">
        <f>IF($F693="","",IF(Sync!$AF693="","0000",IF(AND(ISNUMBER(Sync!$AF693),Sync!$AF693&gt;=0,Sync!$AF693&lt;1),RIGHT("00"&amp;HOUR(Sync!$AF693),2)&amp;RIGHT("00"&amp;MINUTE(Sync!$AF693),2),IFERROR(RIGHT("00"&amp;VALUE(LEFT(Sync!$AF693,FIND(":",Sync!$AF693)-1)),2)&amp;RIGHT("00"&amp;VALUE(MID(Sync!$AF693,FIND(":",Sync!$AF693)+1,2)),2),"0000"))))</f>
        <v/>
      </c>
    </row>
    <row r="694" spans="1:14" x14ac:dyDescent="0.2">
      <c r="A694" t="str">
        <f>IF(OR(Calc!$E698="",Calc!$E698="نامعتبر",Calc!$G698=""),"",Calc!$G698)</f>
        <v/>
      </c>
      <c r="B694" t="str">
        <f>IF($A694="","",LEFT(Calc!$E698,4)&amp;MID(Calc!$E698,6,2)&amp;RIGHT(Calc!$E698,2)&amp;Calc!$Q698&amp;"|"&amp;"1"&amp;RIGHT("00000"&amp;689,5))</f>
        <v/>
      </c>
      <c r="C694" t="str">
        <f t="shared" si="50"/>
        <v/>
      </c>
      <c r="D694" t="str">
        <f t="shared" si="51"/>
        <v/>
      </c>
      <c r="F694" t="str">
        <f>IF(Sync!$AH694="","",IF(LEFT(UPPER(TRIM(Sync!$AH694)),2)="SL",UPPER(TRIM(Sync!$AH694)),""))</f>
        <v/>
      </c>
      <c r="G694" t="str">
        <f>IF($F694="","",IF(Sync!$AE694="","",IF(ISNUMBER(Sync!$AE694),IF(AND(Sync!$AE694&gt;=10000101,Sync!$AE694&lt;=99991231),INT(Sync!$AE694/10000),""),IFERROR(VALUE(TRIM(LEFT(Sync!$AE694,FIND("/",Sync!$AE694)-1))),""))))</f>
        <v/>
      </c>
      <c r="H694" t="str">
        <f>IF(OR($F694="",$G694=""),"",IF(ISNUMBER(Sync!$AE694),INT(MOD(Sync!$AE694,10000)/100),IFERROR(VALUE(TRIM(LEFT(MID(Sync!$AE694,FIND("/",Sync!$AE694)+1,20),FIND("/",MID(Sync!$AE694,FIND("/",Sync!$AE694)+1,20))-1))),"")))</f>
        <v/>
      </c>
      <c r="I694" t="str">
        <f>IF(OR($F694="",$G694=""),"",IF(ISNUMBER(Sync!$AE694),MOD(Sync!$AE694,100),IFERROR(VALUE(TRIM(MID(MID(Sync!$AE694,FIND("/",Sync!$AE694)+1,20),FIND("/",MID(Sync!$AE694,FIND("/",Sync!$AE694)+1,20))+1,20))),"")))</f>
        <v/>
      </c>
      <c r="J694" t="str">
        <f t="shared" si="52"/>
        <v/>
      </c>
      <c r="K694" t="str">
        <f>IF(OR($F694="",$J694="",$J694="نامعتبر"),"",LEFT($J694,4)&amp;MID($J694,6,2)&amp;RIGHT($J694,2)&amp;$N694&amp;"|"&amp;"2"&amp;RIGHT("00000"&amp;689,5))</f>
        <v/>
      </c>
      <c r="L694" t="str">
        <f t="shared" si="53"/>
        <v/>
      </c>
      <c r="M694" t="str">
        <f t="shared" si="54"/>
        <v/>
      </c>
      <c r="N694" t="str">
        <f>IF($F694="","",IF(Sync!$AF694="","0000",IF(AND(ISNUMBER(Sync!$AF694),Sync!$AF694&gt;=0,Sync!$AF694&lt;1),RIGHT("00"&amp;HOUR(Sync!$AF694),2)&amp;RIGHT("00"&amp;MINUTE(Sync!$AF694),2),IFERROR(RIGHT("00"&amp;VALUE(LEFT(Sync!$AF694,FIND(":",Sync!$AF694)-1)),2)&amp;RIGHT("00"&amp;VALUE(MID(Sync!$AF694,FIND(":",Sync!$AF694)+1,2)),2),"0000"))))</f>
        <v/>
      </c>
    </row>
    <row r="695" spans="1:14" x14ac:dyDescent="0.2">
      <c r="A695" t="str">
        <f>IF(OR(Calc!$E699="",Calc!$E699="نامعتبر",Calc!$G699=""),"",Calc!$G699)</f>
        <v/>
      </c>
      <c r="B695" t="str">
        <f>IF($A695="","",LEFT(Calc!$E699,4)&amp;MID(Calc!$E699,6,2)&amp;RIGHT(Calc!$E699,2)&amp;Calc!$Q699&amp;"|"&amp;"1"&amp;RIGHT("00000"&amp;690,5))</f>
        <v/>
      </c>
      <c r="C695" t="str">
        <f t="shared" si="50"/>
        <v/>
      </c>
      <c r="D695" t="str">
        <f t="shared" si="51"/>
        <v/>
      </c>
      <c r="F695" t="str">
        <f>IF(Sync!$AH695="","",IF(LEFT(UPPER(TRIM(Sync!$AH695)),2)="SL",UPPER(TRIM(Sync!$AH695)),""))</f>
        <v/>
      </c>
      <c r="G695" t="str">
        <f>IF($F695="","",IF(Sync!$AE695="","",IF(ISNUMBER(Sync!$AE695),IF(AND(Sync!$AE695&gt;=10000101,Sync!$AE695&lt;=99991231),INT(Sync!$AE695/10000),""),IFERROR(VALUE(TRIM(LEFT(Sync!$AE695,FIND("/",Sync!$AE695)-1))),""))))</f>
        <v/>
      </c>
      <c r="H695" t="str">
        <f>IF(OR($F695="",$G695=""),"",IF(ISNUMBER(Sync!$AE695),INT(MOD(Sync!$AE695,10000)/100),IFERROR(VALUE(TRIM(LEFT(MID(Sync!$AE695,FIND("/",Sync!$AE695)+1,20),FIND("/",MID(Sync!$AE695,FIND("/",Sync!$AE695)+1,20))-1))),"")))</f>
        <v/>
      </c>
      <c r="I695" t="str">
        <f>IF(OR($F695="",$G695=""),"",IF(ISNUMBER(Sync!$AE695),MOD(Sync!$AE695,100),IFERROR(VALUE(TRIM(MID(MID(Sync!$AE695,FIND("/",Sync!$AE695)+1,20),FIND("/",MID(Sync!$AE695,FIND("/",Sync!$AE695)+1,20))+1,20))),"")))</f>
        <v/>
      </c>
      <c r="J695" t="str">
        <f t="shared" si="52"/>
        <v/>
      </c>
      <c r="K695" t="str">
        <f>IF(OR($F695="",$J695="",$J695="نامعتبر"),"",LEFT($J695,4)&amp;MID($J695,6,2)&amp;RIGHT($J695,2)&amp;$N695&amp;"|"&amp;"2"&amp;RIGHT("00000"&amp;690,5))</f>
        <v/>
      </c>
      <c r="L695" t="str">
        <f t="shared" si="53"/>
        <v/>
      </c>
      <c r="M695" t="str">
        <f t="shared" si="54"/>
        <v/>
      </c>
      <c r="N695" t="str">
        <f>IF($F695="","",IF(Sync!$AF695="","0000",IF(AND(ISNUMBER(Sync!$AF695),Sync!$AF695&gt;=0,Sync!$AF695&lt;1),RIGHT("00"&amp;HOUR(Sync!$AF695),2)&amp;RIGHT("00"&amp;MINUTE(Sync!$AF695),2),IFERROR(RIGHT("00"&amp;VALUE(LEFT(Sync!$AF695,FIND(":",Sync!$AF695)-1)),2)&amp;RIGHT("00"&amp;VALUE(MID(Sync!$AF695,FIND(":",Sync!$AF695)+1,2)),2),"0000"))))</f>
        <v/>
      </c>
    </row>
    <row r="696" spans="1:14" x14ac:dyDescent="0.2">
      <c r="A696" t="str">
        <f>IF(OR(Calc!$E700="",Calc!$E700="نامعتبر",Calc!$G700=""),"",Calc!$G700)</f>
        <v/>
      </c>
      <c r="B696" t="str">
        <f>IF($A696="","",LEFT(Calc!$E700,4)&amp;MID(Calc!$E700,6,2)&amp;RIGHT(Calc!$E700,2)&amp;Calc!$Q700&amp;"|"&amp;"1"&amp;RIGHT("00000"&amp;691,5))</f>
        <v/>
      </c>
      <c r="C696" t="str">
        <f t="shared" si="50"/>
        <v/>
      </c>
      <c r="D696" t="str">
        <f t="shared" si="51"/>
        <v/>
      </c>
      <c r="F696" t="str">
        <f>IF(Sync!$AH696="","",IF(LEFT(UPPER(TRIM(Sync!$AH696)),2)="SL",UPPER(TRIM(Sync!$AH696)),""))</f>
        <v/>
      </c>
      <c r="G696" t="str">
        <f>IF($F696="","",IF(Sync!$AE696="","",IF(ISNUMBER(Sync!$AE696),IF(AND(Sync!$AE696&gt;=10000101,Sync!$AE696&lt;=99991231),INT(Sync!$AE696/10000),""),IFERROR(VALUE(TRIM(LEFT(Sync!$AE696,FIND("/",Sync!$AE696)-1))),""))))</f>
        <v/>
      </c>
      <c r="H696" t="str">
        <f>IF(OR($F696="",$G696=""),"",IF(ISNUMBER(Sync!$AE696),INT(MOD(Sync!$AE696,10000)/100),IFERROR(VALUE(TRIM(LEFT(MID(Sync!$AE696,FIND("/",Sync!$AE696)+1,20),FIND("/",MID(Sync!$AE696,FIND("/",Sync!$AE696)+1,20))-1))),"")))</f>
        <v/>
      </c>
      <c r="I696" t="str">
        <f>IF(OR($F696="",$G696=""),"",IF(ISNUMBER(Sync!$AE696),MOD(Sync!$AE696,100),IFERROR(VALUE(TRIM(MID(MID(Sync!$AE696,FIND("/",Sync!$AE696)+1,20),FIND("/",MID(Sync!$AE696,FIND("/",Sync!$AE696)+1,20))+1,20))),"")))</f>
        <v/>
      </c>
      <c r="J696" t="str">
        <f t="shared" si="52"/>
        <v/>
      </c>
      <c r="K696" t="str">
        <f>IF(OR($F696="",$J696="",$J696="نامعتبر"),"",LEFT($J696,4)&amp;MID($J696,6,2)&amp;RIGHT($J696,2)&amp;$N696&amp;"|"&amp;"2"&amp;RIGHT("00000"&amp;691,5))</f>
        <v/>
      </c>
      <c r="L696" t="str">
        <f t="shared" si="53"/>
        <v/>
      </c>
      <c r="M696" t="str">
        <f t="shared" si="54"/>
        <v/>
      </c>
      <c r="N696" t="str">
        <f>IF($F696="","",IF(Sync!$AF696="","0000",IF(AND(ISNUMBER(Sync!$AF696),Sync!$AF696&gt;=0,Sync!$AF696&lt;1),RIGHT("00"&amp;HOUR(Sync!$AF696),2)&amp;RIGHT("00"&amp;MINUTE(Sync!$AF696),2),IFERROR(RIGHT("00"&amp;VALUE(LEFT(Sync!$AF696,FIND(":",Sync!$AF696)-1)),2)&amp;RIGHT("00"&amp;VALUE(MID(Sync!$AF696,FIND(":",Sync!$AF696)+1,2)),2),"0000"))))</f>
        <v/>
      </c>
    </row>
    <row r="697" spans="1:14" x14ac:dyDescent="0.2">
      <c r="A697" t="str">
        <f>IF(OR(Calc!$E701="",Calc!$E701="نامعتبر",Calc!$G701=""),"",Calc!$G701)</f>
        <v/>
      </c>
      <c r="B697" t="str">
        <f>IF($A697="","",LEFT(Calc!$E701,4)&amp;MID(Calc!$E701,6,2)&amp;RIGHT(Calc!$E701,2)&amp;Calc!$Q701&amp;"|"&amp;"1"&amp;RIGHT("00000"&amp;692,5))</f>
        <v/>
      </c>
      <c r="C697" t="str">
        <f t="shared" si="50"/>
        <v/>
      </c>
      <c r="D697" t="str">
        <f t="shared" si="51"/>
        <v/>
      </c>
      <c r="F697" t="str">
        <f>IF(Sync!$AH697="","",IF(LEFT(UPPER(TRIM(Sync!$AH697)),2)="SL",UPPER(TRIM(Sync!$AH697)),""))</f>
        <v/>
      </c>
      <c r="G697" t="str">
        <f>IF($F697="","",IF(Sync!$AE697="","",IF(ISNUMBER(Sync!$AE697),IF(AND(Sync!$AE697&gt;=10000101,Sync!$AE697&lt;=99991231),INT(Sync!$AE697/10000),""),IFERROR(VALUE(TRIM(LEFT(Sync!$AE697,FIND("/",Sync!$AE697)-1))),""))))</f>
        <v/>
      </c>
      <c r="H697" t="str">
        <f>IF(OR($F697="",$G697=""),"",IF(ISNUMBER(Sync!$AE697),INT(MOD(Sync!$AE697,10000)/100),IFERROR(VALUE(TRIM(LEFT(MID(Sync!$AE697,FIND("/",Sync!$AE697)+1,20),FIND("/",MID(Sync!$AE697,FIND("/",Sync!$AE697)+1,20))-1))),"")))</f>
        <v/>
      </c>
      <c r="I697" t="str">
        <f>IF(OR($F697="",$G697=""),"",IF(ISNUMBER(Sync!$AE697),MOD(Sync!$AE697,100),IFERROR(VALUE(TRIM(MID(MID(Sync!$AE697,FIND("/",Sync!$AE697)+1,20),FIND("/",MID(Sync!$AE697,FIND("/",Sync!$AE697)+1,20))+1,20))),"")))</f>
        <v/>
      </c>
      <c r="J697" t="str">
        <f t="shared" si="52"/>
        <v/>
      </c>
      <c r="K697" t="str">
        <f>IF(OR($F697="",$J697="",$J697="نامعتبر"),"",LEFT($J697,4)&amp;MID($J697,6,2)&amp;RIGHT($J697,2)&amp;$N697&amp;"|"&amp;"2"&amp;RIGHT("00000"&amp;692,5))</f>
        <v/>
      </c>
      <c r="L697" t="str">
        <f t="shared" si="53"/>
        <v/>
      </c>
      <c r="M697" t="str">
        <f t="shared" si="54"/>
        <v/>
      </c>
      <c r="N697" t="str">
        <f>IF($F697="","",IF(Sync!$AF697="","0000",IF(AND(ISNUMBER(Sync!$AF697),Sync!$AF697&gt;=0,Sync!$AF697&lt;1),RIGHT("00"&amp;HOUR(Sync!$AF697),2)&amp;RIGHT("00"&amp;MINUTE(Sync!$AF697),2),IFERROR(RIGHT("00"&amp;VALUE(LEFT(Sync!$AF697,FIND(":",Sync!$AF697)-1)),2)&amp;RIGHT("00"&amp;VALUE(MID(Sync!$AF697,FIND(":",Sync!$AF697)+1,2)),2),"0000"))))</f>
        <v/>
      </c>
    </row>
    <row r="698" spans="1:14" x14ac:dyDescent="0.2">
      <c r="A698" t="str">
        <f>IF(OR(Calc!$E702="",Calc!$E702="نامعتبر",Calc!$G702=""),"",Calc!$G702)</f>
        <v/>
      </c>
      <c r="B698" t="str">
        <f>IF($A698="","",LEFT(Calc!$E702,4)&amp;MID(Calc!$E702,6,2)&amp;RIGHT(Calc!$E702,2)&amp;Calc!$Q702&amp;"|"&amp;"1"&amp;RIGHT("00000"&amp;693,5))</f>
        <v/>
      </c>
      <c r="C698" t="str">
        <f t="shared" si="50"/>
        <v/>
      </c>
      <c r="D698" t="str">
        <f t="shared" si="51"/>
        <v/>
      </c>
      <c r="F698" t="str">
        <f>IF(Sync!$AH698="","",IF(LEFT(UPPER(TRIM(Sync!$AH698)),2)="SL",UPPER(TRIM(Sync!$AH698)),""))</f>
        <v/>
      </c>
      <c r="G698" t="str">
        <f>IF($F698="","",IF(Sync!$AE698="","",IF(ISNUMBER(Sync!$AE698),IF(AND(Sync!$AE698&gt;=10000101,Sync!$AE698&lt;=99991231),INT(Sync!$AE698/10000),""),IFERROR(VALUE(TRIM(LEFT(Sync!$AE698,FIND("/",Sync!$AE698)-1))),""))))</f>
        <v/>
      </c>
      <c r="H698" t="str">
        <f>IF(OR($F698="",$G698=""),"",IF(ISNUMBER(Sync!$AE698),INT(MOD(Sync!$AE698,10000)/100),IFERROR(VALUE(TRIM(LEFT(MID(Sync!$AE698,FIND("/",Sync!$AE698)+1,20),FIND("/",MID(Sync!$AE698,FIND("/",Sync!$AE698)+1,20))-1))),"")))</f>
        <v/>
      </c>
      <c r="I698" t="str">
        <f>IF(OR($F698="",$G698=""),"",IF(ISNUMBER(Sync!$AE698),MOD(Sync!$AE698,100),IFERROR(VALUE(TRIM(MID(MID(Sync!$AE698,FIND("/",Sync!$AE698)+1,20),FIND("/",MID(Sync!$AE698,FIND("/",Sync!$AE698)+1,20))+1,20))),"")))</f>
        <v/>
      </c>
      <c r="J698" t="str">
        <f t="shared" si="52"/>
        <v/>
      </c>
      <c r="K698" t="str">
        <f>IF(OR($F698="",$J698="",$J698="نامعتبر"),"",LEFT($J698,4)&amp;MID($J698,6,2)&amp;RIGHT($J698,2)&amp;$N698&amp;"|"&amp;"2"&amp;RIGHT("00000"&amp;693,5))</f>
        <v/>
      </c>
      <c r="L698" t="str">
        <f t="shared" si="53"/>
        <v/>
      </c>
      <c r="M698" t="str">
        <f t="shared" si="54"/>
        <v/>
      </c>
      <c r="N698" t="str">
        <f>IF($F698="","",IF(Sync!$AF698="","0000",IF(AND(ISNUMBER(Sync!$AF698),Sync!$AF698&gt;=0,Sync!$AF698&lt;1),RIGHT("00"&amp;HOUR(Sync!$AF698),2)&amp;RIGHT("00"&amp;MINUTE(Sync!$AF698),2),IFERROR(RIGHT("00"&amp;VALUE(LEFT(Sync!$AF698,FIND(":",Sync!$AF698)-1)),2)&amp;RIGHT("00"&amp;VALUE(MID(Sync!$AF698,FIND(":",Sync!$AF698)+1,2)),2),"0000"))))</f>
        <v/>
      </c>
    </row>
    <row r="699" spans="1:14" x14ac:dyDescent="0.2">
      <c r="A699" t="str">
        <f>IF(OR(Calc!$E703="",Calc!$E703="نامعتبر",Calc!$G703=""),"",Calc!$G703)</f>
        <v/>
      </c>
      <c r="B699" t="str">
        <f>IF($A699="","",LEFT(Calc!$E703,4)&amp;MID(Calc!$E703,6,2)&amp;RIGHT(Calc!$E703,2)&amp;Calc!$Q703&amp;"|"&amp;"1"&amp;RIGHT("00000"&amp;694,5))</f>
        <v/>
      </c>
      <c r="C699" t="str">
        <f t="shared" si="50"/>
        <v/>
      </c>
      <c r="D699" t="str">
        <f t="shared" si="51"/>
        <v/>
      </c>
      <c r="F699" t="str">
        <f>IF(Sync!$AH699="","",IF(LEFT(UPPER(TRIM(Sync!$AH699)),2)="SL",UPPER(TRIM(Sync!$AH699)),""))</f>
        <v/>
      </c>
      <c r="G699" t="str">
        <f>IF($F699="","",IF(Sync!$AE699="","",IF(ISNUMBER(Sync!$AE699),IF(AND(Sync!$AE699&gt;=10000101,Sync!$AE699&lt;=99991231),INT(Sync!$AE699/10000),""),IFERROR(VALUE(TRIM(LEFT(Sync!$AE699,FIND("/",Sync!$AE699)-1))),""))))</f>
        <v/>
      </c>
      <c r="H699" t="str">
        <f>IF(OR($F699="",$G699=""),"",IF(ISNUMBER(Sync!$AE699),INT(MOD(Sync!$AE699,10000)/100),IFERROR(VALUE(TRIM(LEFT(MID(Sync!$AE699,FIND("/",Sync!$AE699)+1,20),FIND("/",MID(Sync!$AE699,FIND("/",Sync!$AE699)+1,20))-1))),"")))</f>
        <v/>
      </c>
      <c r="I699" t="str">
        <f>IF(OR($F699="",$G699=""),"",IF(ISNUMBER(Sync!$AE699),MOD(Sync!$AE699,100),IFERROR(VALUE(TRIM(MID(MID(Sync!$AE699,FIND("/",Sync!$AE699)+1,20),FIND("/",MID(Sync!$AE699,FIND("/",Sync!$AE699)+1,20))+1,20))),"")))</f>
        <v/>
      </c>
      <c r="J699" t="str">
        <f t="shared" si="52"/>
        <v/>
      </c>
      <c r="K699" t="str">
        <f>IF(OR($F699="",$J699="",$J699="نامعتبر"),"",LEFT($J699,4)&amp;MID($J699,6,2)&amp;RIGHT($J699,2)&amp;$N699&amp;"|"&amp;"2"&amp;RIGHT("00000"&amp;694,5))</f>
        <v/>
      </c>
      <c r="L699" t="str">
        <f t="shared" si="53"/>
        <v/>
      </c>
      <c r="M699" t="str">
        <f t="shared" si="54"/>
        <v/>
      </c>
      <c r="N699" t="str">
        <f>IF($F699="","",IF(Sync!$AF699="","0000",IF(AND(ISNUMBER(Sync!$AF699),Sync!$AF699&gt;=0,Sync!$AF699&lt;1),RIGHT("00"&amp;HOUR(Sync!$AF699),2)&amp;RIGHT("00"&amp;MINUTE(Sync!$AF699),2),IFERROR(RIGHT("00"&amp;VALUE(LEFT(Sync!$AF699,FIND(":",Sync!$AF699)-1)),2)&amp;RIGHT("00"&amp;VALUE(MID(Sync!$AF699,FIND(":",Sync!$AF699)+1,2)),2),"0000"))))</f>
        <v/>
      </c>
    </row>
    <row r="700" spans="1:14" x14ac:dyDescent="0.2">
      <c r="A700" t="str">
        <f>IF(OR(Calc!$E704="",Calc!$E704="نامعتبر",Calc!$G704=""),"",Calc!$G704)</f>
        <v/>
      </c>
      <c r="B700" t="str">
        <f>IF($A700="","",LEFT(Calc!$E704,4)&amp;MID(Calc!$E704,6,2)&amp;RIGHT(Calc!$E704,2)&amp;Calc!$Q704&amp;"|"&amp;"1"&amp;RIGHT("00000"&amp;695,5))</f>
        <v/>
      </c>
      <c r="C700" t="str">
        <f t="shared" si="50"/>
        <v/>
      </c>
      <c r="D700" t="str">
        <f t="shared" si="51"/>
        <v/>
      </c>
      <c r="F700" t="str">
        <f>IF(Sync!$AH700="","",IF(LEFT(UPPER(TRIM(Sync!$AH700)),2)="SL",UPPER(TRIM(Sync!$AH700)),""))</f>
        <v/>
      </c>
      <c r="G700" t="str">
        <f>IF($F700="","",IF(Sync!$AE700="","",IF(ISNUMBER(Sync!$AE700),IF(AND(Sync!$AE700&gt;=10000101,Sync!$AE700&lt;=99991231),INT(Sync!$AE700/10000),""),IFERROR(VALUE(TRIM(LEFT(Sync!$AE700,FIND("/",Sync!$AE700)-1))),""))))</f>
        <v/>
      </c>
      <c r="H700" t="str">
        <f>IF(OR($F700="",$G700=""),"",IF(ISNUMBER(Sync!$AE700),INT(MOD(Sync!$AE700,10000)/100),IFERROR(VALUE(TRIM(LEFT(MID(Sync!$AE700,FIND("/",Sync!$AE700)+1,20),FIND("/",MID(Sync!$AE700,FIND("/",Sync!$AE700)+1,20))-1))),"")))</f>
        <v/>
      </c>
      <c r="I700" t="str">
        <f>IF(OR($F700="",$G700=""),"",IF(ISNUMBER(Sync!$AE700),MOD(Sync!$AE700,100),IFERROR(VALUE(TRIM(MID(MID(Sync!$AE700,FIND("/",Sync!$AE700)+1,20),FIND("/",MID(Sync!$AE700,FIND("/",Sync!$AE700)+1,20))+1,20))),"")))</f>
        <v/>
      </c>
      <c r="J700" t="str">
        <f t="shared" si="52"/>
        <v/>
      </c>
      <c r="K700" t="str">
        <f>IF(OR($F700="",$J700="",$J700="نامعتبر"),"",LEFT($J700,4)&amp;MID($J700,6,2)&amp;RIGHT($J700,2)&amp;$N700&amp;"|"&amp;"2"&amp;RIGHT("00000"&amp;695,5))</f>
        <v/>
      </c>
      <c r="L700" t="str">
        <f t="shared" si="53"/>
        <v/>
      </c>
      <c r="M700" t="str">
        <f t="shared" si="54"/>
        <v/>
      </c>
      <c r="N700" t="str">
        <f>IF($F700="","",IF(Sync!$AF700="","0000",IF(AND(ISNUMBER(Sync!$AF700),Sync!$AF700&gt;=0,Sync!$AF700&lt;1),RIGHT("00"&amp;HOUR(Sync!$AF700),2)&amp;RIGHT("00"&amp;MINUTE(Sync!$AF700),2),IFERROR(RIGHT("00"&amp;VALUE(LEFT(Sync!$AF700,FIND(":",Sync!$AF700)-1)),2)&amp;RIGHT("00"&amp;VALUE(MID(Sync!$AF700,FIND(":",Sync!$AF700)+1,2)),2),"0000"))))</f>
        <v/>
      </c>
    </row>
    <row r="701" spans="1:14" x14ac:dyDescent="0.2">
      <c r="A701" t="str">
        <f>IF(OR(Calc!$E705="",Calc!$E705="نامعتبر",Calc!$G705=""),"",Calc!$G705)</f>
        <v/>
      </c>
      <c r="B701" t="str">
        <f>IF($A701="","",LEFT(Calc!$E705,4)&amp;MID(Calc!$E705,6,2)&amp;RIGHT(Calc!$E705,2)&amp;Calc!$Q705&amp;"|"&amp;"1"&amp;RIGHT("00000"&amp;696,5))</f>
        <v/>
      </c>
      <c r="C701" t="str">
        <f t="shared" si="50"/>
        <v/>
      </c>
      <c r="D701" t="str">
        <f t="shared" si="51"/>
        <v/>
      </c>
      <c r="F701" t="str">
        <f>IF(Sync!$AH701="","",IF(LEFT(UPPER(TRIM(Sync!$AH701)),2)="SL",UPPER(TRIM(Sync!$AH701)),""))</f>
        <v/>
      </c>
      <c r="G701" t="str">
        <f>IF($F701="","",IF(Sync!$AE701="","",IF(ISNUMBER(Sync!$AE701),IF(AND(Sync!$AE701&gt;=10000101,Sync!$AE701&lt;=99991231),INT(Sync!$AE701/10000),""),IFERROR(VALUE(TRIM(LEFT(Sync!$AE701,FIND("/",Sync!$AE701)-1))),""))))</f>
        <v/>
      </c>
      <c r="H701" t="str">
        <f>IF(OR($F701="",$G701=""),"",IF(ISNUMBER(Sync!$AE701),INT(MOD(Sync!$AE701,10000)/100),IFERROR(VALUE(TRIM(LEFT(MID(Sync!$AE701,FIND("/",Sync!$AE701)+1,20),FIND("/",MID(Sync!$AE701,FIND("/",Sync!$AE701)+1,20))-1))),"")))</f>
        <v/>
      </c>
      <c r="I701" t="str">
        <f>IF(OR($F701="",$G701=""),"",IF(ISNUMBER(Sync!$AE701),MOD(Sync!$AE701,100),IFERROR(VALUE(TRIM(MID(MID(Sync!$AE701,FIND("/",Sync!$AE701)+1,20),FIND("/",MID(Sync!$AE701,FIND("/",Sync!$AE701)+1,20))+1,20))),"")))</f>
        <v/>
      </c>
      <c r="J701" t="str">
        <f t="shared" si="52"/>
        <v/>
      </c>
      <c r="K701" t="str">
        <f>IF(OR($F701="",$J701="",$J701="نامعتبر"),"",LEFT($J701,4)&amp;MID($J701,6,2)&amp;RIGHT($J701,2)&amp;$N701&amp;"|"&amp;"2"&amp;RIGHT("00000"&amp;696,5))</f>
        <v/>
      </c>
      <c r="L701" t="str">
        <f t="shared" si="53"/>
        <v/>
      </c>
      <c r="M701" t="str">
        <f t="shared" si="54"/>
        <v/>
      </c>
      <c r="N701" t="str">
        <f>IF($F701="","",IF(Sync!$AF701="","0000",IF(AND(ISNUMBER(Sync!$AF701),Sync!$AF701&gt;=0,Sync!$AF701&lt;1),RIGHT("00"&amp;HOUR(Sync!$AF701),2)&amp;RIGHT("00"&amp;MINUTE(Sync!$AF701),2),IFERROR(RIGHT("00"&amp;VALUE(LEFT(Sync!$AF701,FIND(":",Sync!$AF701)-1)),2)&amp;RIGHT("00"&amp;VALUE(MID(Sync!$AF701,FIND(":",Sync!$AF701)+1,2)),2),"0000"))))</f>
        <v/>
      </c>
    </row>
    <row r="702" spans="1:14" x14ac:dyDescent="0.2">
      <c r="A702" t="str">
        <f>IF(OR(Calc!$E706="",Calc!$E706="نامعتبر",Calc!$G706=""),"",Calc!$G706)</f>
        <v/>
      </c>
      <c r="B702" t="str">
        <f>IF($A702="","",LEFT(Calc!$E706,4)&amp;MID(Calc!$E706,6,2)&amp;RIGHT(Calc!$E706,2)&amp;Calc!$Q706&amp;"|"&amp;"1"&amp;RIGHT("00000"&amp;697,5))</f>
        <v/>
      </c>
      <c r="C702" t="str">
        <f t="shared" si="50"/>
        <v/>
      </c>
      <c r="D702" t="str">
        <f t="shared" si="51"/>
        <v/>
      </c>
      <c r="F702" t="str">
        <f>IF(Sync!$AH702="","",IF(LEFT(UPPER(TRIM(Sync!$AH702)),2)="SL",UPPER(TRIM(Sync!$AH702)),""))</f>
        <v/>
      </c>
      <c r="G702" t="str">
        <f>IF($F702="","",IF(Sync!$AE702="","",IF(ISNUMBER(Sync!$AE702),IF(AND(Sync!$AE702&gt;=10000101,Sync!$AE702&lt;=99991231),INT(Sync!$AE702/10000),""),IFERROR(VALUE(TRIM(LEFT(Sync!$AE702,FIND("/",Sync!$AE702)-1))),""))))</f>
        <v/>
      </c>
      <c r="H702" t="str">
        <f>IF(OR($F702="",$G702=""),"",IF(ISNUMBER(Sync!$AE702),INT(MOD(Sync!$AE702,10000)/100),IFERROR(VALUE(TRIM(LEFT(MID(Sync!$AE702,FIND("/",Sync!$AE702)+1,20),FIND("/",MID(Sync!$AE702,FIND("/",Sync!$AE702)+1,20))-1))),"")))</f>
        <v/>
      </c>
      <c r="I702" t="str">
        <f>IF(OR($F702="",$G702=""),"",IF(ISNUMBER(Sync!$AE702),MOD(Sync!$AE702,100),IFERROR(VALUE(TRIM(MID(MID(Sync!$AE702,FIND("/",Sync!$AE702)+1,20),FIND("/",MID(Sync!$AE702,FIND("/",Sync!$AE702)+1,20))+1,20))),"")))</f>
        <v/>
      </c>
      <c r="J702" t="str">
        <f t="shared" si="52"/>
        <v/>
      </c>
      <c r="K702" t="str">
        <f>IF(OR($F702="",$J702="",$J702="نامعتبر"),"",LEFT($J702,4)&amp;MID($J702,6,2)&amp;RIGHT($J702,2)&amp;$N702&amp;"|"&amp;"2"&amp;RIGHT("00000"&amp;697,5))</f>
        <v/>
      </c>
      <c r="L702" t="str">
        <f t="shared" si="53"/>
        <v/>
      </c>
      <c r="M702" t="str">
        <f t="shared" si="54"/>
        <v/>
      </c>
      <c r="N702" t="str">
        <f>IF($F702="","",IF(Sync!$AF702="","0000",IF(AND(ISNUMBER(Sync!$AF702),Sync!$AF702&gt;=0,Sync!$AF702&lt;1),RIGHT("00"&amp;HOUR(Sync!$AF702),2)&amp;RIGHT("00"&amp;MINUTE(Sync!$AF702),2),IFERROR(RIGHT("00"&amp;VALUE(LEFT(Sync!$AF702,FIND(":",Sync!$AF702)-1)),2)&amp;RIGHT("00"&amp;VALUE(MID(Sync!$AF702,FIND(":",Sync!$AF702)+1,2)),2),"0000"))))</f>
        <v/>
      </c>
    </row>
    <row r="703" spans="1:14" x14ac:dyDescent="0.2">
      <c r="A703" t="str">
        <f>IF(OR(Calc!$E707="",Calc!$E707="نامعتبر",Calc!$G707=""),"",Calc!$G707)</f>
        <v/>
      </c>
      <c r="B703" t="str">
        <f>IF($A703="","",LEFT(Calc!$E707,4)&amp;MID(Calc!$E707,6,2)&amp;RIGHT(Calc!$E707,2)&amp;Calc!$Q707&amp;"|"&amp;"1"&amp;RIGHT("00000"&amp;698,5))</f>
        <v/>
      </c>
      <c r="C703" t="str">
        <f t="shared" si="50"/>
        <v/>
      </c>
      <c r="D703" t="str">
        <f t="shared" si="51"/>
        <v/>
      </c>
      <c r="F703" t="str">
        <f>IF(Sync!$AH703="","",IF(LEFT(UPPER(TRIM(Sync!$AH703)),2)="SL",UPPER(TRIM(Sync!$AH703)),""))</f>
        <v/>
      </c>
      <c r="G703" t="str">
        <f>IF($F703="","",IF(Sync!$AE703="","",IF(ISNUMBER(Sync!$AE703),IF(AND(Sync!$AE703&gt;=10000101,Sync!$AE703&lt;=99991231),INT(Sync!$AE703/10000),""),IFERROR(VALUE(TRIM(LEFT(Sync!$AE703,FIND("/",Sync!$AE703)-1))),""))))</f>
        <v/>
      </c>
      <c r="H703" t="str">
        <f>IF(OR($F703="",$G703=""),"",IF(ISNUMBER(Sync!$AE703),INT(MOD(Sync!$AE703,10000)/100),IFERROR(VALUE(TRIM(LEFT(MID(Sync!$AE703,FIND("/",Sync!$AE703)+1,20),FIND("/",MID(Sync!$AE703,FIND("/",Sync!$AE703)+1,20))-1))),"")))</f>
        <v/>
      </c>
      <c r="I703" t="str">
        <f>IF(OR($F703="",$G703=""),"",IF(ISNUMBER(Sync!$AE703),MOD(Sync!$AE703,100),IFERROR(VALUE(TRIM(MID(MID(Sync!$AE703,FIND("/",Sync!$AE703)+1,20),FIND("/",MID(Sync!$AE703,FIND("/",Sync!$AE703)+1,20))+1,20))),"")))</f>
        <v/>
      </c>
      <c r="J703" t="str">
        <f t="shared" si="52"/>
        <v/>
      </c>
      <c r="K703" t="str">
        <f>IF(OR($F703="",$J703="",$J703="نامعتبر"),"",LEFT($J703,4)&amp;MID($J703,6,2)&amp;RIGHT($J703,2)&amp;$N703&amp;"|"&amp;"2"&amp;RIGHT("00000"&amp;698,5))</f>
        <v/>
      </c>
      <c r="L703" t="str">
        <f t="shared" si="53"/>
        <v/>
      </c>
      <c r="M703" t="str">
        <f t="shared" si="54"/>
        <v/>
      </c>
      <c r="N703" t="str">
        <f>IF($F703="","",IF(Sync!$AF703="","0000",IF(AND(ISNUMBER(Sync!$AF703),Sync!$AF703&gt;=0,Sync!$AF703&lt;1),RIGHT("00"&amp;HOUR(Sync!$AF703),2)&amp;RIGHT("00"&amp;MINUTE(Sync!$AF703),2),IFERROR(RIGHT("00"&amp;VALUE(LEFT(Sync!$AF703,FIND(":",Sync!$AF703)-1)),2)&amp;RIGHT("00"&amp;VALUE(MID(Sync!$AF703,FIND(":",Sync!$AF703)+1,2)),2),"0000"))))</f>
        <v/>
      </c>
    </row>
    <row r="704" spans="1:14" x14ac:dyDescent="0.2">
      <c r="A704" t="str">
        <f>IF(OR(Calc!$E708="",Calc!$E708="نامعتبر",Calc!$G708=""),"",Calc!$G708)</f>
        <v/>
      </c>
      <c r="B704" t="str">
        <f>IF($A704="","",LEFT(Calc!$E708,4)&amp;MID(Calc!$E708,6,2)&amp;RIGHT(Calc!$E708,2)&amp;Calc!$Q708&amp;"|"&amp;"1"&amp;RIGHT("00000"&amp;699,5))</f>
        <v/>
      </c>
      <c r="C704" t="str">
        <f t="shared" si="50"/>
        <v/>
      </c>
      <c r="D704" t="str">
        <f t="shared" si="51"/>
        <v/>
      </c>
      <c r="F704" t="str">
        <f>IF(Sync!$AH704="","",IF(LEFT(UPPER(TRIM(Sync!$AH704)),2)="SL",UPPER(TRIM(Sync!$AH704)),""))</f>
        <v/>
      </c>
      <c r="G704" t="str">
        <f>IF($F704="","",IF(Sync!$AE704="","",IF(ISNUMBER(Sync!$AE704),IF(AND(Sync!$AE704&gt;=10000101,Sync!$AE704&lt;=99991231),INT(Sync!$AE704/10000),""),IFERROR(VALUE(TRIM(LEFT(Sync!$AE704,FIND("/",Sync!$AE704)-1))),""))))</f>
        <v/>
      </c>
      <c r="H704" t="str">
        <f>IF(OR($F704="",$G704=""),"",IF(ISNUMBER(Sync!$AE704),INT(MOD(Sync!$AE704,10000)/100),IFERROR(VALUE(TRIM(LEFT(MID(Sync!$AE704,FIND("/",Sync!$AE704)+1,20),FIND("/",MID(Sync!$AE704,FIND("/",Sync!$AE704)+1,20))-1))),"")))</f>
        <v/>
      </c>
      <c r="I704" t="str">
        <f>IF(OR($F704="",$G704=""),"",IF(ISNUMBER(Sync!$AE704),MOD(Sync!$AE704,100),IFERROR(VALUE(TRIM(MID(MID(Sync!$AE704,FIND("/",Sync!$AE704)+1,20),FIND("/",MID(Sync!$AE704,FIND("/",Sync!$AE704)+1,20))+1,20))),"")))</f>
        <v/>
      </c>
      <c r="J704" t="str">
        <f t="shared" si="52"/>
        <v/>
      </c>
      <c r="K704" t="str">
        <f>IF(OR($F704="",$J704="",$J704="نامعتبر"),"",LEFT($J704,4)&amp;MID($J704,6,2)&amp;RIGHT($J704,2)&amp;$N704&amp;"|"&amp;"2"&amp;RIGHT("00000"&amp;699,5))</f>
        <v/>
      </c>
      <c r="L704" t="str">
        <f t="shared" si="53"/>
        <v/>
      </c>
      <c r="M704" t="str">
        <f t="shared" si="54"/>
        <v/>
      </c>
      <c r="N704" t="str">
        <f>IF($F704="","",IF(Sync!$AF704="","0000",IF(AND(ISNUMBER(Sync!$AF704),Sync!$AF704&gt;=0,Sync!$AF704&lt;1),RIGHT("00"&amp;HOUR(Sync!$AF704),2)&amp;RIGHT("00"&amp;MINUTE(Sync!$AF704),2),IFERROR(RIGHT("00"&amp;VALUE(LEFT(Sync!$AF704,FIND(":",Sync!$AF704)-1)),2)&amp;RIGHT("00"&amp;VALUE(MID(Sync!$AF704,FIND(":",Sync!$AF704)+1,2)),2),"0000"))))</f>
        <v/>
      </c>
    </row>
    <row r="705" spans="1:14" x14ac:dyDescent="0.2">
      <c r="A705" t="str">
        <f>IF(OR(Calc!$E709="",Calc!$E709="نامعتبر",Calc!$G709=""),"",Calc!$G709)</f>
        <v/>
      </c>
      <c r="B705" t="str">
        <f>IF($A705="","",LEFT(Calc!$E709,4)&amp;MID(Calc!$E709,6,2)&amp;RIGHT(Calc!$E709,2)&amp;Calc!$Q709&amp;"|"&amp;"1"&amp;RIGHT("00000"&amp;700,5))</f>
        <v/>
      </c>
      <c r="C705" t="str">
        <f t="shared" si="50"/>
        <v/>
      </c>
      <c r="D705" t="str">
        <f t="shared" si="51"/>
        <v/>
      </c>
      <c r="F705" t="str">
        <f>IF(Sync!$AH705="","",IF(LEFT(UPPER(TRIM(Sync!$AH705)),2)="SL",UPPER(TRIM(Sync!$AH705)),""))</f>
        <v/>
      </c>
      <c r="G705" t="str">
        <f>IF($F705="","",IF(Sync!$AE705="","",IF(ISNUMBER(Sync!$AE705),IF(AND(Sync!$AE705&gt;=10000101,Sync!$AE705&lt;=99991231),INT(Sync!$AE705/10000),""),IFERROR(VALUE(TRIM(LEFT(Sync!$AE705,FIND("/",Sync!$AE705)-1))),""))))</f>
        <v/>
      </c>
      <c r="H705" t="str">
        <f>IF(OR($F705="",$G705=""),"",IF(ISNUMBER(Sync!$AE705),INT(MOD(Sync!$AE705,10000)/100),IFERROR(VALUE(TRIM(LEFT(MID(Sync!$AE705,FIND("/",Sync!$AE705)+1,20),FIND("/",MID(Sync!$AE705,FIND("/",Sync!$AE705)+1,20))-1))),"")))</f>
        <v/>
      </c>
      <c r="I705" t="str">
        <f>IF(OR($F705="",$G705=""),"",IF(ISNUMBER(Sync!$AE705),MOD(Sync!$AE705,100),IFERROR(VALUE(TRIM(MID(MID(Sync!$AE705,FIND("/",Sync!$AE705)+1,20),FIND("/",MID(Sync!$AE705,FIND("/",Sync!$AE705)+1,20))+1,20))),"")))</f>
        <v/>
      </c>
      <c r="J705" t="str">
        <f t="shared" si="52"/>
        <v/>
      </c>
      <c r="K705" t="str">
        <f>IF(OR($F705="",$J705="",$J705="نامعتبر"),"",LEFT($J705,4)&amp;MID($J705,6,2)&amp;RIGHT($J705,2)&amp;$N705&amp;"|"&amp;"2"&amp;RIGHT("00000"&amp;700,5))</f>
        <v/>
      </c>
      <c r="L705" t="str">
        <f t="shared" si="53"/>
        <v/>
      </c>
      <c r="M705" t="str">
        <f t="shared" si="54"/>
        <v/>
      </c>
      <c r="N705" t="str">
        <f>IF($F705="","",IF(Sync!$AF705="","0000",IF(AND(ISNUMBER(Sync!$AF705),Sync!$AF705&gt;=0,Sync!$AF705&lt;1),RIGHT("00"&amp;HOUR(Sync!$AF705),2)&amp;RIGHT("00"&amp;MINUTE(Sync!$AF705),2),IFERROR(RIGHT("00"&amp;VALUE(LEFT(Sync!$AF705,FIND(":",Sync!$AF705)-1)),2)&amp;RIGHT("00"&amp;VALUE(MID(Sync!$AF705,FIND(":",Sync!$AF705)+1,2)),2),"0000"))))</f>
        <v/>
      </c>
    </row>
    <row r="706" spans="1:14" x14ac:dyDescent="0.2">
      <c r="A706" t="str">
        <f>IF(OR(Calc!$E710="",Calc!$E710="نامعتبر",Calc!$G710=""),"",Calc!$G710)</f>
        <v/>
      </c>
      <c r="B706" t="str">
        <f>IF($A706="","",LEFT(Calc!$E710,4)&amp;MID(Calc!$E710,6,2)&amp;RIGHT(Calc!$E710,2)&amp;Calc!$Q710&amp;"|"&amp;"1"&amp;RIGHT("00000"&amp;701,5))</f>
        <v/>
      </c>
      <c r="C706" t="str">
        <f t="shared" si="50"/>
        <v/>
      </c>
      <c r="D706" t="str">
        <f t="shared" si="51"/>
        <v/>
      </c>
      <c r="F706" t="str">
        <f>IF(Sync!$AH706="","",IF(LEFT(UPPER(TRIM(Sync!$AH706)),2)="SL",UPPER(TRIM(Sync!$AH706)),""))</f>
        <v/>
      </c>
      <c r="G706" t="str">
        <f>IF($F706="","",IF(Sync!$AE706="","",IF(ISNUMBER(Sync!$AE706),IF(AND(Sync!$AE706&gt;=10000101,Sync!$AE706&lt;=99991231),INT(Sync!$AE706/10000),""),IFERROR(VALUE(TRIM(LEFT(Sync!$AE706,FIND("/",Sync!$AE706)-1))),""))))</f>
        <v/>
      </c>
      <c r="H706" t="str">
        <f>IF(OR($F706="",$G706=""),"",IF(ISNUMBER(Sync!$AE706),INT(MOD(Sync!$AE706,10000)/100),IFERROR(VALUE(TRIM(LEFT(MID(Sync!$AE706,FIND("/",Sync!$AE706)+1,20),FIND("/",MID(Sync!$AE706,FIND("/",Sync!$AE706)+1,20))-1))),"")))</f>
        <v/>
      </c>
      <c r="I706" t="str">
        <f>IF(OR($F706="",$G706=""),"",IF(ISNUMBER(Sync!$AE706),MOD(Sync!$AE706,100),IFERROR(VALUE(TRIM(MID(MID(Sync!$AE706,FIND("/",Sync!$AE706)+1,20),FIND("/",MID(Sync!$AE706,FIND("/",Sync!$AE706)+1,20))+1,20))),"")))</f>
        <v/>
      </c>
      <c r="J706" t="str">
        <f t="shared" si="52"/>
        <v/>
      </c>
      <c r="K706" t="str">
        <f>IF(OR($F706="",$J706="",$J706="نامعتبر"),"",LEFT($J706,4)&amp;MID($J706,6,2)&amp;RIGHT($J706,2)&amp;$N706&amp;"|"&amp;"2"&amp;RIGHT("00000"&amp;701,5))</f>
        <v/>
      </c>
      <c r="L706" t="str">
        <f t="shared" si="53"/>
        <v/>
      </c>
      <c r="M706" t="str">
        <f t="shared" si="54"/>
        <v/>
      </c>
      <c r="N706" t="str">
        <f>IF($F706="","",IF(Sync!$AF706="","0000",IF(AND(ISNUMBER(Sync!$AF706),Sync!$AF706&gt;=0,Sync!$AF706&lt;1),RIGHT("00"&amp;HOUR(Sync!$AF706),2)&amp;RIGHT("00"&amp;MINUTE(Sync!$AF706),2),IFERROR(RIGHT("00"&amp;VALUE(LEFT(Sync!$AF706,FIND(":",Sync!$AF706)-1)),2)&amp;RIGHT("00"&amp;VALUE(MID(Sync!$AF706,FIND(":",Sync!$AF706)+1,2)),2),"0000"))))</f>
        <v/>
      </c>
    </row>
    <row r="707" spans="1:14" x14ac:dyDescent="0.2">
      <c r="A707" t="str">
        <f>IF(OR(Calc!$E711="",Calc!$E711="نامعتبر",Calc!$G711=""),"",Calc!$G711)</f>
        <v/>
      </c>
      <c r="B707" t="str">
        <f>IF($A707="","",LEFT(Calc!$E711,4)&amp;MID(Calc!$E711,6,2)&amp;RIGHT(Calc!$E711,2)&amp;Calc!$Q711&amp;"|"&amp;"1"&amp;RIGHT("00000"&amp;702,5))</f>
        <v/>
      </c>
      <c r="C707" t="str">
        <f t="shared" si="50"/>
        <v/>
      </c>
      <c r="D707" t="str">
        <f t="shared" si="51"/>
        <v/>
      </c>
      <c r="F707" t="str">
        <f>IF(Sync!$AH707="","",IF(LEFT(UPPER(TRIM(Sync!$AH707)),2)="SL",UPPER(TRIM(Sync!$AH707)),""))</f>
        <v/>
      </c>
      <c r="G707" t="str">
        <f>IF($F707="","",IF(Sync!$AE707="","",IF(ISNUMBER(Sync!$AE707),IF(AND(Sync!$AE707&gt;=10000101,Sync!$AE707&lt;=99991231),INT(Sync!$AE707/10000),""),IFERROR(VALUE(TRIM(LEFT(Sync!$AE707,FIND("/",Sync!$AE707)-1))),""))))</f>
        <v/>
      </c>
      <c r="H707" t="str">
        <f>IF(OR($F707="",$G707=""),"",IF(ISNUMBER(Sync!$AE707),INT(MOD(Sync!$AE707,10000)/100),IFERROR(VALUE(TRIM(LEFT(MID(Sync!$AE707,FIND("/",Sync!$AE707)+1,20),FIND("/",MID(Sync!$AE707,FIND("/",Sync!$AE707)+1,20))-1))),"")))</f>
        <v/>
      </c>
      <c r="I707" t="str">
        <f>IF(OR($F707="",$G707=""),"",IF(ISNUMBER(Sync!$AE707),MOD(Sync!$AE707,100),IFERROR(VALUE(TRIM(MID(MID(Sync!$AE707,FIND("/",Sync!$AE707)+1,20),FIND("/",MID(Sync!$AE707,FIND("/",Sync!$AE707)+1,20))+1,20))),"")))</f>
        <v/>
      </c>
      <c r="J707" t="str">
        <f t="shared" si="52"/>
        <v/>
      </c>
      <c r="K707" t="str">
        <f>IF(OR($F707="",$J707="",$J707="نامعتبر"),"",LEFT($J707,4)&amp;MID($J707,6,2)&amp;RIGHT($J707,2)&amp;$N707&amp;"|"&amp;"2"&amp;RIGHT("00000"&amp;702,5))</f>
        <v/>
      </c>
      <c r="L707" t="str">
        <f t="shared" si="53"/>
        <v/>
      </c>
      <c r="M707" t="str">
        <f t="shared" si="54"/>
        <v/>
      </c>
      <c r="N707" t="str">
        <f>IF($F707="","",IF(Sync!$AF707="","0000",IF(AND(ISNUMBER(Sync!$AF707),Sync!$AF707&gt;=0,Sync!$AF707&lt;1),RIGHT("00"&amp;HOUR(Sync!$AF707),2)&amp;RIGHT("00"&amp;MINUTE(Sync!$AF707),2),IFERROR(RIGHT("00"&amp;VALUE(LEFT(Sync!$AF707,FIND(":",Sync!$AF707)-1)),2)&amp;RIGHT("00"&amp;VALUE(MID(Sync!$AF707,FIND(":",Sync!$AF707)+1,2)),2),"0000"))))</f>
        <v/>
      </c>
    </row>
    <row r="708" spans="1:14" x14ac:dyDescent="0.2">
      <c r="A708" t="str">
        <f>IF(OR(Calc!$E712="",Calc!$E712="نامعتبر",Calc!$G712=""),"",Calc!$G712)</f>
        <v/>
      </c>
      <c r="B708" t="str">
        <f>IF($A708="","",LEFT(Calc!$E712,4)&amp;MID(Calc!$E712,6,2)&amp;RIGHT(Calc!$E712,2)&amp;Calc!$Q712&amp;"|"&amp;"1"&amp;RIGHT("00000"&amp;703,5))</f>
        <v/>
      </c>
      <c r="C708" t="str">
        <f t="shared" si="50"/>
        <v/>
      </c>
      <c r="D708" t="str">
        <f t="shared" si="51"/>
        <v/>
      </c>
      <c r="F708" t="str">
        <f>IF(Sync!$AH708="","",IF(LEFT(UPPER(TRIM(Sync!$AH708)),2)="SL",UPPER(TRIM(Sync!$AH708)),""))</f>
        <v/>
      </c>
      <c r="G708" t="str">
        <f>IF($F708="","",IF(Sync!$AE708="","",IF(ISNUMBER(Sync!$AE708),IF(AND(Sync!$AE708&gt;=10000101,Sync!$AE708&lt;=99991231),INT(Sync!$AE708/10000),""),IFERROR(VALUE(TRIM(LEFT(Sync!$AE708,FIND("/",Sync!$AE708)-1))),""))))</f>
        <v/>
      </c>
      <c r="H708" t="str">
        <f>IF(OR($F708="",$G708=""),"",IF(ISNUMBER(Sync!$AE708),INT(MOD(Sync!$AE708,10000)/100),IFERROR(VALUE(TRIM(LEFT(MID(Sync!$AE708,FIND("/",Sync!$AE708)+1,20),FIND("/",MID(Sync!$AE708,FIND("/",Sync!$AE708)+1,20))-1))),"")))</f>
        <v/>
      </c>
      <c r="I708" t="str">
        <f>IF(OR($F708="",$G708=""),"",IF(ISNUMBER(Sync!$AE708),MOD(Sync!$AE708,100),IFERROR(VALUE(TRIM(MID(MID(Sync!$AE708,FIND("/",Sync!$AE708)+1,20),FIND("/",MID(Sync!$AE708,FIND("/",Sync!$AE708)+1,20))+1,20))),"")))</f>
        <v/>
      </c>
      <c r="J708" t="str">
        <f t="shared" si="52"/>
        <v/>
      </c>
      <c r="K708" t="str">
        <f>IF(OR($F708="",$J708="",$J708="نامعتبر"),"",LEFT($J708,4)&amp;MID($J708,6,2)&amp;RIGHT($J708,2)&amp;$N708&amp;"|"&amp;"2"&amp;RIGHT("00000"&amp;703,5))</f>
        <v/>
      </c>
      <c r="L708" t="str">
        <f t="shared" si="53"/>
        <v/>
      </c>
      <c r="M708" t="str">
        <f t="shared" si="54"/>
        <v/>
      </c>
      <c r="N708" t="str">
        <f>IF($F708="","",IF(Sync!$AF708="","0000",IF(AND(ISNUMBER(Sync!$AF708),Sync!$AF708&gt;=0,Sync!$AF708&lt;1),RIGHT("00"&amp;HOUR(Sync!$AF708),2)&amp;RIGHT("00"&amp;MINUTE(Sync!$AF708),2),IFERROR(RIGHT("00"&amp;VALUE(LEFT(Sync!$AF708,FIND(":",Sync!$AF708)-1)),2)&amp;RIGHT("00"&amp;VALUE(MID(Sync!$AF708,FIND(":",Sync!$AF708)+1,2)),2),"0000"))))</f>
        <v/>
      </c>
    </row>
    <row r="709" spans="1:14" x14ac:dyDescent="0.2">
      <c r="A709" t="str">
        <f>IF(OR(Calc!$E713="",Calc!$E713="نامعتبر",Calc!$G713=""),"",Calc!$G713)</f>
        <v/>
      </c>
      <c r="B709" t="str">
        <f>IF($A709="","",LEFT(Calc!$E713,4)&amp;MID(Calc!$E713,6,2)&amp;RIGHT(Calc!$E713,2)&amp;Calc!$Q713&amp;"|"&amp;"1"&amp;RIGHT("00000"&amp;704,5))</f>
        <v/>
      </c>
      <c r="C709" t="str">
        <f t="shared" si="50"/>
        <v/>
      </c>
      <c r="D709" t="str">
        <f t="shared" si="51"/>
        <v/>
      </c>
      <c r="F709" t="str">
        <f>IF(Sync!$AH709="","",IF(LEFT(UPPER(TRIM(Sync!$AH709)),2)="SL",UPPER(TRIM(Sync!$AH709)),""))</f>
        <v/>
      </c>
      <c r="G709" t="str">
        <f>IF($F709="","",IF(Sync!$AE709="","",IF(ISNUMBER(Sync!$AE709),IF(AND(Sync!$AE709&gt;=10000101,Sync!$AE709&lt;=99991231),INT(Sync!$AE709/10000),""),IFERROR(VALUE(TRIM(LEFT(Sync!$AE709,FIND("/",Sync!$AE709)-1))),""))))</f>
        <v/>
      </c>
      <c r="H709" t="str">
        <f>IF(OR($F709="",$G709=""),"",IF(ISNUMBER(Sync!$AE709),INT(MOD(Sync!$AE709,10000)/100),IFERROR(VALUE(TRIM(LEFT(MID(Sync!$AE709,FIND("/",Sync!$AE709)+1,20),FIND("/",MID(Sync!$AE709,FIND("/",Sync!$AE709)+1,20))-1))),"")))</f>
        <v/>
      </c>
      <c r="I709" t="str">
        <f>IF(OR($F709="",$G709=""),"",IF(ISNUMBER(Sync!$AE709),MOD(Sync!$AE709,100),IFERROR(VALUE(TRIM(MID(MID(Sync!$AE709,FIND("/",Sync!$AE709)+1,20),FIND("/",MID(Sync!$AE709,FIND("/",Sync!$AE709)+1,20))+1,20))),"")))</f>
        <v/>
      </c>
      <c r="J709" t="str">
        <f t="shared" si="52"/>
        <v/>
      </c>
      <c r="K709" t="str">
        <f>IF(OR($F709="",$J709="",$J709="نامعتبر"),"",LEFT($J709,4)&amp;MID($J709,6,2)&amp;RIGHT($J709,2)&amp;$N709&amp;"|"&amp;"2"&amp;RIGHT("00000"&amp;704,5))</f>
        <v/>
      </c>
      <c r="L709" t="str">
        <f t="shared" si="53"/>
        <v/>
      </c>
      <c r="M709" t="str">
        <f t="shared" si="54"/>
        <v/>
      </c>
      <c r="N709" t="str">
        <f>IF($F709="","",IF(Sync!$AF709="","0000",IF(AND(ISNUMBER(Sync!$AF709),Sync!$AF709&gt;=0,Sync!$AF709&lt;1),RIGHT("00"&amp;HOUR(Sync!$AF709),2)&amp;RIGHT("00"&amp;MINUTE(Sync!$AF709),2),IFERROR(RIGHT("00"&amp;VALUE(LEFT(Sync!$AF709,FIND(":",Sync!$AF709)-1)),2)&amp;RIGHT("00"&amp;VALUE(MID(Sync!$AF709,FIND(":",Sync!$AF709)+1,2)),2),"0000"))))</f>
        <v/>
      </c>
    </row>
    <row r="710" spans="1:14" x14ac:dyDescent="0.2">
      <c r="A710" t="str">
        <f>IF(OR(Calc!$E714="",Calc!$E714="نامعتبر",Calc!$G714=""),"",Calc!$G714)</f>
        <v/>
      </c>
      <c r="B710" t="str">
        <f>IF($A710="","",LEFT(Calc!$E714,4)&amp;MID(Calc!$E714,6,2)&amp;RIGHT(Calc!$E714,2)&amp;Calc!$Q714&amp;"|"&amp;"1"&amp;RIGHT("00000"&amp;705,5))</f>
        <v/>
      </c>
      <c r="C710" t="str">
        <f t="shared" ref="C710:C773" si="55">IF($B710="","",COUNTIFS(LdgSellerA,$A710,LdgKeyA,"&lt;"&amp;$B710)+COUNTIFS(LdgSellerB,$A710,LdgKeyB,"&lt;"&amp;$B710)+1)</f>
        <v/>
      </c>
      <c r="D710" t="str">
        <f t="shared" ref="D710:D773" si="56">IF($C710="","",$A710&amp;"|"&amp;RIGHT("000000"&amp;$C710,6))</f>
        <v/>
      </c>
      <c r="F710" t="str">
        <f>IF(Sync!$AH710="","",IF(LEFT(UPPER(TRIM(Sync!$AH710)),2)="SL",UPPER(TRIM(Sync!$AH710)),""))</f>
        <v/>
      </c>
      <c r="G710" t="str">
        <f>IF($F710="","",IF(Sync!$AE710="","",IF(ISNUMBER(Sync!$AE710),IF(AND(Sync!$AE710&gt;=10000101,Sync!$AE710&lt;=99991231),INT(Sync!$AE710/10000),""),IFERROR(VALUE(TRIM(LEFT(Sync!$AE710,FIND("/",Sync!$AE710)-1))),""))))</f>
        <v/>
      </c>
      <c r="H710" t="str">
        <f>IF(OR($F710="",$G710=""),"",IF(ISNUMBER(Sync!$AE710),INT(MOD(Sync!$AE710,10000)/100),IFERROR(VALUE(TRIM(LEFT(MID(Sync!$AE710,FIND("/",Sync!$AE710)+1,20),FIND("/",MID(Sync!$AE710,FIND("/",Sync!$AE710)+1,20))-1))),"")))</f>
        <v/>
      </c>
      <c r="I710" t="str">
        <f>IF(OR($F710="",$G710=""),"",IF(ISNUMBER(Sync!$AE710),MOD(Sync!$AE710,100),IFERROR(VALUE(TRIM(MID(MID(Sync!$AE710,FIND("/",Sync!$AE710)+1,20),FIND("/",MID(Sync!$AE710,FIND("/",Sync!$AE710)+1,20))+1,20))),"")))</f>
        <v/>
      </c>
      <c r="J710" t="str">
        <f t="shared" ref="J710:J773" si="57">IF($F710="","",IF(OR($G710="",$H710="",$I710="",$G710&lt;1300,$G710&gt;1500,$H710&lt;1,$H710&gt;12,$I710&lt;1,$I710&gt;31),"نامعتبر",RIGHT("0000"&amp;$G710,4)&amp;"/"&amp;RIGHT("00"&amp;$H710,2)&amp;"/"&amp;RIGHT("00"&amp;$I710,2)))</f>
        <v/>
      </c>
      <c r="K710" t="str">
        <f>IF(OR($F710="",$J710="",$J710="نامعتبر"),"",LEFT($J710,4)&amp;MID($J710,6,2)&amp;RIGHT($J710,2)&amp;$N710&amp;"|"&amp;"2"&amp;RIGHT("00000"&amp;705,5))</f>
        <v/>
      </c>
      <c r="L710" t="str">
        <f t="shared" ref="L710:L773" si="58">IF($K710="","",COUNTIFS(LdgSellerA,$F710,LdgKeyA,"&lt;"&amp;$K710)+COUNTIFS(LdgSellerB,$F710,LdgKeyB,"&lt;"&amp;$K710)+1)</f>
        <v/>
      </c>
      <c r="M710" t="str">
        <f t="shared" ref="M710:M773" si="59">IF($L710="","",$F710&amp;"|"&amp;RIGHT("000000"&amp;$L710,6))</f>
        <v/>
      </c>
      <c r="N710" t="str">
        <f>IF($F710="","",IF(Sync!$AF710="","0000",IF(AND(ISNUMBER(Sync!$AF710),Sync!$AF710&gt;=0,Sync!$AF710&lt;1),RIGHT("00"&amp;HOUR(Sync!$AF710),2)&amp;RIGHT("00"&amp;MINUTE(Sync!$AF710),2),IFERROR(RIGHT("00"&amp;VALUE(LEFT(Sync!$AF710,FIND(":",Sync!$AF710)-1)),2)&amp;RIGHT("00"&amp;VALUE(MID(Sync!$AF710,FIND(":",Sync!$AF710)+1,2)),2),"0000"))))</f>
        <v/>
      </c>
    </row>
    <row r="711" spans="1:14" x14ac:dyDescent="0.2">
      <c r="A711" t="str">
        <f>IF(OR(Calc!$E715="",Calc!$E715="نامعتبر",Calc!$G715=""),"",Calc!$G715)</f>
        <v/>
      </c>
      <c r="B711" t="str">
        <f>IF($A711="","",LEFT(Calc!$E715,4)&amp;MID(Calc!$E715,6,2)&amp;RIGHT(Calc!$E715,2)&amp;Calc!$Q715&amp;"|"&amp;"1"&amp;RIGHT("00000"&amp;706,5))</f>
        <v/>
      </c>
      <c r="C711" t="str">
        <f t="shared" si="55"/>
        <v/>
      </c>
      <c r="D711" t="str">
        <f t="shared" si="56"/>
        <v/>
      </c>
      <c r="F711" t="str">
        <f>IF(Sync!$AH711="","",IF(LEFT(UPPER(TRIM(Sync!$AH711)),2)="SL",UPPER(TRIM(Sync!$AH711)),""))</f>
        <v/>
      </c>
      <c r="G711" t="str">
        <f>IF($F711="","",IF(Sync!$AE711="","",IF(ISNUMBER(Sync!$AE711),IF(AND(Sync!$AE711&gt;=10000101,Sync!$AE711&lt;=99991231),INT(Sync!$AE711/10000),""),IFERROR(VALUE(TRIM(LEFT(Sync!$AE711,FIND("/",Sync!$AE711)-1))),""))))</f>
        <v/>
      </c>
      <c r="H711" t="str">
        <f>IF(OR($F711="",$G711=""),"",IF(ISNUMBER(Sync!$AE711),INT(MOD(Sync!$AE711,10000)/100),IFERROR(VALUE(TRIM(LEFT(MID(Sync!$AE711,FIND("/",Sync!$AE711)+1,20),FIND("/",MID(Sync!$AE711,FIND("/",Sync!$AE711)+1,20))-1))),"")))</f>
        <v/>
      </c>
      <c r="I711" t="str">
        <f>IF(OR($F711="",$G711=""),"",IF(ISNUMBER(Sync!$AE711),MOD(Sync!$AE711,100),IFERROR(VALUE(TRIM(MID(MID(Sync!$AE711,FIND("/",Sync!$AE711)+1,20),FIND("/",MID(Sync!$AE711,FIND("/",Sync!$AE711)+1,20))+1,20))),"")))</f>
        <v/>
      </c>
      <c r="J711" t="str">
        <f t="shared" si="57"/>
        <v/>
      </c>
      <c r="K711" t="str">
        <f>IF(OR($F711="",$J711="",$J711="نامعتبر"),"",LEFT($J711,4)&amp;MID($J711,6,2)&amp;RIGHT($J711,2)&amp;$N711&amp;"|"&amp;"2"&amp;RIGHT("00000"&amp;706,5))</f>
        <v/>
      </c>
      <c r="L711" t="str">
        <f t="shared" si="58"/>
        <v/>
      </c>
      <c r="M711" t="str">
        <f t="shared" si="59"/>
        <v/>
      </c>
      <c r="N711" t="str">
        <f>IF($F711="","",IF(Sync!$AF711="","0000",IF(AND(ISNUMBER(Sync!$AF711),Sync!$AF711&gt;=0,Sync!$AF711&lt;1),RIGHT("00"&amp;HOUR(Sync!$AF711),2)&amp;RIGHT("00"&amp;MINUTE(Sync!$AF711),2),IFERROR(RIGHT("00"&amp;VALUE(LEFT(Sync!$AF711,FIND(":",Sync!$AF711)-1)),2)&amp;RIGHT("00"&amp;VALUE(MID(Sync!$AF711,FIND(":",Sync!$AF711)+1,2)),2),"0000"))))</f>
        <v/>
      </c>
    </row>
    <row r="712" spans="1:14" x14ac:dyDescent="0.2">
      <c r="A712" t="str">
        <f>IF(OR(Calc!$E716="",Calc!$E716="نامعتبر",Calc!$G716=""),"",Calc!$G716)</f>
        <v/>
      </c>
      <c r="B712" t="str">
        <f>IF($A712="","",LEFT(Calc!$E716,4)&amp;MID(Calc!$E716,6,2)&amp;RIGHT(Calc!$E716,2)&amp;Calc!$Q716&amp;"|"&amp;"1"&amp;RIGHT("00000"&amp;707,5))</f>
        <v/>
      </c>
      <c r="C712" t="str">
        <f t="shared" si="55"/>
        <v/>
      </c>
      <c r="D712" t="str">
        <f t="shared" si="56"/>
        <v/>
      </c>
      <c r="F712" t="str">
        <f>IF(Sync!$AH712="","",IF(LEFT(UPPER(TRIM(Sync!$AH712)),2)="SL",UPPER(TRIM(Sync!$AH712)),""))</f>
        <v/>
      </c>
      <c r="G712" t="str">
        <f>IF($F712="","",IF(Sync!$AE712="","",IF(ISNUMBER(Sync!$AE712),IF(AND(Sync!$AE712&gt;=10000101,Sync!$AE712&lt;=99991231),INT(Sync!$AE712/10000),""),IFERROR(VALUE(TRIM(LEFT(Sync!$AE712,FIND("/",Sync!$AE712)-1))),""))))</f>
        <v/>
      </c>
      <c r="H712" t="str">
        <f>IF(OR($F712="",$G712=""),"",IF(ISNUMBER(Sync!$AE712),INT(MOD(Sync!$AE712,10000)/100),IFERROR(VALUE(TRIM(LEFT(MID(Sync!$AE712,FIND("/",Sync!$AE712)+1,20),FIND("/",MID(Sync!$AE712,FIND("/",Sync!$AE712)+1,20))-1))),"")))</f>
        <v/>
      </c>
      <c r="I712" t="str">
        <f>IF(OR($F712="",$G712=""),"",IF(ISNUMBER(Sync!$AE712),MOD(Sync!$AE712,100),IFERROR(VALUE(TRIM(MID(MID(Sync!$AE712,FIND("/",Sync!$AE712)+1,20),FIND("/",MID(Sync!$AE712,FIND("/",Sync!$AE712)+1,20))+1,20))),"")))</f>
        <v/>
      </c>
      <c r="J712" t="str">
        <f t="shared" si="57"/>
        <v/>
      </c>
      <c r="K712" t="str">
        <f>IF(OR($F712="",$J712="",$J712="نامعتبر"),"",LEFT($J712,4)&amp;MID($J712,6,2)&amp;RIGHT($J712,2)&amp;$N712&amp;"|"&amp;"2"&amp;RIGHT("00000"&amp;707,5))</f>
        <v/>
      </c>
      <c r="L712" t="str">
        <f t="shared" si="58"/>
        <v/>
      </c>
      <c r="M712" t="str">
        <f t="shared" si="59"/>
        <v/>
      </c>
      <c r="N712" t="str">
        <f>IF($F712="","",IF(Sync!$AF712="","0000",IF(AND(ISNUMBER(Sync!$AF712),Sync!$AF712&gt;=0,Sync!$AF712&lt;1),RIGHT("00"&amp;HOUR(Sync!$AF712),2)&amp;RIGHT("00"&amp;MINUTE(Sync!$AF712),2),IFERROR(RIGHT("00"&amp;VALUE(LEFT(Sync!$AF712,FIND(":",Sync!$AF712)-1)),2)&amp;RIGHT("00"&amp;VALUE(MID(Sync!$AF712,FIND(":",Sync!$AF712)+1,2)),2),"0000"))))</f>
        <v/>
      </c>
    </row>
    <row r="713" spans="1:14" x14ac:dyDescent="0.2">
      <c r="A713" t="str">
        <f>IF(OR(Calc!$E717="",Calc!$E717="نامعتبر",Calc!$G717=""),"",Calc!$G717)</f>
        <v/>
      </c>
      <c r="B713" t="str">
        <f>IF($A713="","",LEFT(Calc!$E717,4)&amp;MID(Calc!$E717,6,2)&amp;RIGHT(Calc!$E717,2)&amp;Calc!$Q717&amp;"|"&amp;"1"&amp;RIGHT("00000"&amp;708,5))</f>
        <v/>
      </c>
      <c r="C713" t="str">
        <f t="shared" si="55"/>
        <v/>
      </c>
      <c r="D713" t="str">
        <f t="shared" si="56"/>
        <v/>
      </c>
      <c r="F713" t="str">
        <f>IF(Sync!$AH713="","",IF(LEFT(UPPER(TRIM(Sync!$AH713)),2)="SL",UPPER(TRIM(Sync!$AH713)),""))</f>
        <v/>
      </c>
      <c r="G713" t="str">
        <f>IF($F713="","",IF(Sync!$AE713="","",IF(ISNUMBER(Sync!$AE713),IF(AND(Sync!$AE713&gt;=10000101,Sync!$AE713&lt;=99991231),INT(Sync!$AE713/10000),""),IFERROR(VALUE(TRIM(LEFT(Sync!$AE713,FIND("/",Sync!$AE713)-1))),""))))</f>
        <v/>
      </c>
      <c r="H713" t="str">
        <f>IF(OR($F713="",$G713=""),"",IF(ISNUMBER(Sync!$AE713),INT(MOD(Sync!$AE713,10000)/100),IFERROR(VALUE(TRIM(LEFT(MID(Sync!$AE713,FIND("/",Sync!$AE713)+1,20),FIND("/",MID(Sync!$AE713,FIND("/",Sync!$AE713)+1,20))-1))),"")))</f>
        <v/>
      </c>
      <c r="I713" t="str">
        <f>IF(OR($F713="",$G713=""),"",IF(ISNUMBER(Sync!$AE713),MOD(Sync!$AE713,100),IFERROR(VALUE(TRIM(MID(MID(Sync!$AE713,FIND("/",Sync!$AE713)+1,20),FIND("/",MID(Sync!$AE713,FIND("/",Sync!$AE713)+1,20))+1,20))),"")))</f>
        <v/>
      </c>
      <c r="J713" t="str">
        <f t="shared" si="57"/>
        <v/>
      </c>
      <c r="K713" t="str">
        <f>IF(OR($F713="",$J713="",$J713="نامعتبر"),"",LEFT($J713,4)&amp;MID($J713,6,2)&amp;RIGHT($J713,2)&amp;$N713&amp;"|"&amp;"2"&amp;RIGHT("00000"&amp;708,5))</f>
        <v/>
      </c>
      <c r="L713" t="str">
        <f t="shared" si="58"/>
        <v/>
      </c>
      <c r="M713" t="str">
        <f t="shared" si="59"/>
        <v/>
      </c>
      <c r="N713" t="str">
        <f>IF($F713="","",IF(Sync!$AF713="","0000",IF(AND(ISNUMBER(Sync!$AF713),Sync!$AF713&gt;=0,Sync!$AF713&lt;1),RIGHT("00"&amp;HOUR(Sync!$AF713),2)&amp;RIGHT("00"&amp;MINUTE(Sync!$AF713),2),IFERROR(RIGHT("00"&amp;VALUE(LEFT(Sync!$AF713,FIND(":",Sync!$AF713)-1)),2)&amp;RIGHT("00"&amp;VALUE(MID(Sync!$AF713,FIND(":",Sync!$AF713)+1,2)),2),"0000"))))</f>
        <v/>
      </c>
    </row>
    <row r="714" spans="1:14" x14ac:dyDescent="0.2">
      <c r="A714" t="str">
        <f>IF(OR(Calc!$E718="",Calc!$E718="نامعتبر",Calc!$G718=""),"",Calc!$G718)</f>
        <v/>
      </c>
      <c r="B714" t="str">
        <f>IF($A714="","",LEFT(Calc!$E718,4)&amp;MID(Calc!$E718,6,2)&amp;RIGHT(Calc!$E718,2)&amp;Calc!$Q718&amp;"|"&amp;"1"&amp;RIGHT("00000"&amp;709,5))</f>
        <v/>
      </c>
      <c r="C714" t="str">
        <f t="shared" si="55"/>
        <v/>
      </c>
      <c r="D714" t="str">
        <f t="shared" si="56"/>
        <v/>
      </c>
      <c r="F714" t="str">
        <f>IF(Sync!$AH714="","",IF(LEFT(UPPER(TRIM(Sync!$AH714)),2)="SL",UPPER(TRIM(Sync!$AH714)),""))</f>
        <v/>
      </c>
      <c r="G714" t="str">
        <f>IF($F714="","",IF(Sync!$AE714="","",IF(ISNUMBER(Sync!$AE714),IF(AND(Sync!$AE714&gt;=10000101,Sync!$AE714&lt;=99991231),INT(Sync!$AE714/10000),""),IFERROR(VALUE(TRIM(LEFT(Sync!$AE714,FIND("/",Sync!$AE714)-1))),""))))</f>
        <v/>
      </c>
      <c r="H714" t="str">
        <f>IF(OR($F714="",$G714=""),"",IF(ISNUMBER(Sync!$AE714),INT(MOD(Sync!$AE714,10000)/100),IFERROR(VALUE(TRIM(LEFT(MID(Sync!$AE714,FIND("/",Sync!$AE714)+1,20),FIND("/",MID(Sync!$AE714,FIND("/",Sync!$AE714)+1,20))-1))),"")))</f>
        <v/>
      </c>
      <c r="I714" t="str">
        <f>IF(OR($F714="",$G714=""),"",IF(ISNUMBER(Sync!$AE714),MOD(Sync!$AE714,100),IFERROR(VALUE(TRIM(MID(MID(Sync!$AE714,FIND("/",Sync!$AE714)+1,20),FIND("/",MID(Sync!$AE714,FIND("/",Sync!$AE714)+1,20))+1,20))),"")))</f>
        <v/>
      </c>
      <c r="J714" t="str">
        <f t="shared" si="57"/>
        <v/>
      </c>
      <c r="K714" t="str">
        <f>IF(OR($F714="",$J714="",$J714="نامعتبر"),"",LEFT($J714,4)&amp;MID($J714,6,2)&amp;RIGHT($J714,2)&amp;$N714&amp;"|"&amp;"2"&amp;RIGHT("00000"&amp;709,5))</f>
        <v/>
      </c>
      <c r="L714" t="str">
        <f t="shared" si="58"/>
        <v/>
      </c>
      <c r="M714" t="str">
        <f t="shared" si="59"/>
        <v/>
      </c>
      <c r="N714" t="str">
        <f>IF($F714="","",IF(Sync!$AF714="","0000",IF(AND(ISNUMBER(Sync!$AF714),Sync!$AF714&gt;=0,Sync!$AF714&lt;1),RIGHT("00"&amp;HOUR(Sync!$AF714),2)&amp;RIGHT("00"&amp;MINUTE(Sync!$AF714),2),IFERROR(RIGHT("00"&amp;VALUE(LEFT(Sync!$AF714,FIND(":",Sync!$AF714)-1)),2)&amp;RIGHT("00"&amp;VALUE(MID(Sync!$AF714,FIND(":",Sync!$AF714)+1,2)),2),"0000"))))</f>
        <v/>
      </c>
    </row>
    <row r="715" spans="1:14" x14ac:dyDescent="0.2">
      <c r="A715" t="str">
        <f>IF(OR(Calc!$E719="",Calc!$E719="نامعتبر",Calc!$G719=""),"",Calc!$G719)</f>
        <v/>
      </c>
      <c r="B715" t="str">
        <f>IF($A715="","",LEFT(Calc!$E719,4)&amp;MID(Calc!$E719,6,2)&amp;RIGHT(Calc!$E719,2)&amp;Calc!$Q719&amp;"|"&amp;"1"&amp;RIGHT("00000"&amp;710,5))</f>
        <v/>
      </c>
      <c r="C715" t="str">
        <f t="shared" si="55"/>
        <v/>
      </c>
      <c r="D715" t="str">
        <f t="shared" si="56"/>
        <v/>
      </c>
      <c r="F715" t="str">
        <f>IF(Sync!$AH715="","",IF(LEFT(UPPER(TRIM(Sync!$AH715)),2)="SL",UPPER(TRIM(Sync!$AH715)),""))</f>
        <v/>
      </c>
      <c r="G715" t="str">
        <f>IF($F715="","",IF(Sync!$AE715="","",IF(ISNUMBER(Sync!$AE715),IF(AND(Sync!$AE715&gt;=10000101,Sync!$AE715&lt;=99991231),INT(Sync!$AE715/10000),""),IFERROR(VALUE(TRIM(LEFT(Sync!$AE715,FIND("/",Sync!$AE715)-1))),""))))</f>
        <v/>
      </c>
      <c r="H715" t="str">
        <f>IF(OR($F715="",$G715=""),"",IF(ISNUMBER(Sync!$AE715),INT(MOD(Sync!$AE715,10000)/100),IFERROR(VALUE(TRIM(LEFT(MID(Sync!$AE715,FIND("/",Sync!$AE715)+1,20),FIND("/",MID(Sync!$AE715,FIND("/",Sync!$AE715)+1,20))-1))),"")))</f>
        <v/>
      </c>
      <c r="I715" t="str">
        <f>IF(OR($F715="",$G715=""),"",IF(ISNUMBER(Sync!$AE715),MOD(Sync!$AE715,100),IFERROR(VALUE(TRIM(MID(MID(Sync!$AE715,FIND("/",Sync!$AE715)+1,20),FIND("/",MID(Sync!$AE715,FIND("/",Sync!$AE715)+1,20))+1,20))),"")))</f>
        <v/>
      </c>
      <c r="J715" t="str">
        <f t="shared" si="57"/>
        <v/>
      </c>
      <c r="K715" t="str">
        <f>IF(OR($F715="",$J715="",$J715="نامعتبر"),"",LEFT($J715,4)&amp;MID($J715,6,2)&amp;RIGHT($J715,2)&amp;$N715&amp;"|"&amp;"2"&amp;RIGHT("00000"&amp;710,5))</f>
        <v/>
      </c>
      <c r="L715" t="str">
        <f t="shared" si="58"/>
        <v/>
      </c>
      <c r="M715" t="str">
        <f t="shared" si="59"/>
        <v/>
      </c>
      <c r="N715" t="str">
        <f>IF($F715="","",IF(Sync!$AF715="","0000",IF(AND(ISNUMBER(Sync!$AF715),Sync!$AF715&gt;=0,Sync!$AF715&lt;1),RIGHT("00"&amp;HOUR(Sync!$AF715),2)&amp;RIGHT("00"&amp;MINUTE(Sync!$AF715),2),IFERROR(RIGHT("00"&amp;VALUE(LEFT(Sync!$AF715,FIND(":",Sync!$AF715)-1)),2)&amp;RIGHT("00"&amp;VALUE(MID(Sync!$AF715,FIND(":",Sync!$AF715)+1,2)),2),"0000"))))</f>
        <v/>
      </c>
    </row>
    <row r="716" spans="1:14" x14ac:dyDescent="0.2">
      <c r="A716" t="str">
        <f>IF(OR(Calc!$E720="",Calc!$E720="نامعتبر",Calc!$G720=""),"",Calc!$G720)</f>
        <v/>
      </c>
      <c r="B716" t="str">
        <f>IF($A716="","",LEFT(Calc!$E720,4)&amp;MID(Calc!$E720,6,2)&amp;RIGHT(Calc!$E720,2)&amp;Calc!$Q720&amp;"|"&amp;"1"&amp;RIGHT("00000"&amp;711,5))</f>
        <v/>
      </c>
      <c r="C716" t="str">
        <f t="shared" si="55"/>
        <v/>
      </c>
      <c r="D716" t="str">
        <f t="shared" si="56"/>
        <v/>
      </c>
      <c r="F716" t="str">
        <f>IF(Sync!$AH716="","",IF(LEFT(UPPER(TRIM(Sync!$AH716)),2)="SL",UPPER(TRIM(Sync!$AH716)),""))</f>
        <v/>
      </c>
      <c r="G716" t="str">
        <f>IF($F716="","",IF(Sync!$AE716="","",IF(ISNUMBER(Sync!$AE716),IF(AND(Sync!$AE716&gt;=10000101,Sync!$AE716&lt;=99991231),INT(Sync!$AE716/10000),""),IFERROR(VALUE(TRIM(LEFT(Sync!$AE716,FIND("/",Sync!$AE716)-1))),""))))</f>
        <v/>
      </c>
      <c r="H716" t="str">
        <f>IF(OR($F716="",$G716=""),"",IF(ISNUMBER(Sync!$AE716),INT(MOD(Sync!$AE716,10000)/100),IFERROR(VALUE(TRIM(LEFT(MID(Sync!$AE716,FIND("/",Sync!$AE716)+1,20),FIND("/",MID(Sync!$AE716,FIND("/",Sync!$AE716)+1,20))-1))),"")))</f>
        <v/>
      </c>
      <c r="I716" t="str">
        <f>IF(OR($F716="",$G716=""),"",IF(ISNUMBER(Sync!$AE716),MOD(Sync!$AE716,100),IFERROR(VALUE(TRIM(MID(MID(Sync!$AE716,FIND("/",Sync!$AE716)+1,20),FIND("/",MID(Sync!$AE716,FIND("/",Sync!$AE716)+1,20))+1,20))),"")))</f>
        <v/>
      </c>
      <c r="J716" t="str">
        <f t="shared" si="57"/>
        <v/>
      </c>
      <c r="K716" t="str">
        <f>IF(OR($F716="",$J716="",$J716="نامعتبر"),"",LEFT($J716,4)&amp;MID($J716,6,2)&amp;RIGHT($J716,2)&amp;$N716&amp;"|"&amp;"2"&amp;RIGHT("00000"&amp;711,5))</f>
        <v/>
      </c>
      <c r="L716" t="str">
        <f t="shared" si="58"/>
        <v/>
      </c>
      <c r="M716" t="str">
        <f t="shared" si="59"/>
        <v/>
      </c>
      <c r="N716" t="str">
        <f>IF($F716="","",IF(Sync!$AF716="","0000",IF(AND(ISNUMBER(Sync!$AF716),Sync!$AF716&gt;=0,Sync!$AF716&lt;1),RIGHT("00"&amp;HOUR(Sync!$AF716),2)&amp;RIGHT("00"&amp;MINUTE(Sync!$AF716),2),IFERROR(RIGHT("00"&amp;VALUE(LEFT(Sync!$AF716,FIND(":",Sync!$AF716)-1)),2)&amp;RIGHT("00"&amp;VALUE(MID(Sync!$AF716,FIND(":",Sync!$AF716)+1,2)),2),"0000"))))</f>
        <v/>
      </c>
    </row>
    <row r="717" spans="1:14" x14ac:dyDescent="0.2">
      <c r="A717" t="str">
        <f>IF(OR(Calc!$E721="",Calc!$E721="نامعتبر",Calc!$G721=""),"",Calc!$G721)</f>
        <v/>
      </c>
      <c r="B717" t="str">
        <f>IF($A717="","",LEFT(Calc!$E721,4)&amp;MID(Calc!$E721,6,2)&amp;RIGHT(Calc!$E721,2)&amp;Calc!$Q721&amp;"|"&amp;"1"&amp;RIGHT("00000"&amp;712,5))</f>
        <v/>
      </c>
      <c r="C717" t="str">
        <f t="shared" si="55"/>
        <v/>
      </c>
      <c r="D717" t="str">
        <f t="shared" si="56"/>
        <v/>
      </c>
      <c r="F717" t="str">
        <f>IF(Sync!$AH717="","",IF(LEFT(UPPER(TRIM(Sync!$AH717)),2)="SL",UPPER(TRIM(Sync!$AH717)),""))</f>
        <v/>
      </c>
      <c r="G717" t="str">
        <f>IF($F717="","",IF(Sync!$AE717="","",IF(ISNUMBER(Sync!$AE717),IF(AND(Sync!$AE717&gt;=10000101,Sync!$AE717&lt;=99991231),INT(Sync!$AE717/10000),""),IFERROR(VALUE(TRIM(LEFT(Sync!$AE717,FIND("/",Sync!$AE717)-1))),""))))</f>
        <v/>
      </c>
      <c r="H717" t="str">
        <f>IF(OR($F717="",$G717=""),"",IF(ISNUMBER(Sync!$AE717),INT(MOD(Sync!$AE717,10000)/100),IFERROR(VALUE(TRIM(LEFT(MID(Sync!$AE717,FIND("/",Sync!$AE717)+1,20),FIND("/",MID(Sync!$AE717,FIND("/",Sync!$AE717)+1,20))-1))),"")))</f>
        <v/>
      </c>
      <c r="I717" t="str">
        <f>IF(OR($F717="",$G717=""),"",IF(ISNUMBER(Sync!$AE717),MOD(Sync!$AE717,100),IFERROR(VALUE(TRIM(MID(MID(Sync!$AE717,FIND("/",Sync!$AE717)+1,20),FIND("/",MID(Sync!$AE717,FIND("/",Sync!$AE717)+1,20))+1,20))),"")))</f>
        <v/>
      </c>
      <c r="J717" t="str">
        <f t="shared" si="57"/>
        <v/>
      </c>
      <c r="K717" t="str">
        <f>IF(OR($F717="",$J717="",$J717="نامعتبر"),"",LEFT($J717,4)&amp;MID($J717,6,2)&amp;RIGHT($J717,2)&amp;$N717&amp;"|"&amp;"2"&amp;RIGHT("00000"&amp;712,5))</f>
        <v/>
      </c>
      <c r="L717" t="str">
        <f t="shared" si="58"/>
        <v/>
      </c>
      <c r="M717" t="str">
        <f t="shared" si="59"/>
        <v/>
      </c>
      <c r="N717" t="str">
        <f>IF($F717="","",IF(Sync!$AF717="","0000",IF(AND(ISNUMBER(Sync!$AF717),Sync!$AF717&gt;=0,Sync!$AF717&lt;1),RIGHT("00"&amp;HOUR(Sync!$AF717),2)&amp;RIGHT("00"&amp;MINUTE(Sync!$AF717),2),IFERROR(RIGHT("00"&amp;VALUE(LEFT(Sync!$AF717,FIND(":",Sync!$AF717)-1)),2)&amp;RIGHT("00"&amp;VALUE(MID(Sync!$AF717,FIND(":",Sync!$AF717)+1,2)),2),"0000"))))</f>
        <v/>
      </c>
    </row>
    <row r="718" spans="1:14" x14ac:dyDescent="0.2">
      <c r="A718" t="str">
        <f>IF(OR(Calc!$E722="",Calc!$E722="نامعتبر",Calc!$G722=""),"",Calc!$G722)</f>
        <v/>
      </c>
      <c r="B718" t="str">
        <f>IF($A718="","",LEFT(Calc!$E722,4)&amp;MID(Calc!$E722,6,2)&amp;RIGHT(Calc!$E722,2)&amp;Calc!$Q722&amp;"|"&amp;"1"&amp;RIGHT("00000"&amp;713,5))</f>
        <v/>
      </c>
      <c r="C718" t="str">
        <f t="shared" si="55"/>
        <v/>
      </c>
      <c r="D718" t="str">
        <f t="shared" si="56"/>
        <v/>
      </c>
      <c r="F718" t="str">
        <f>IF(Sync!$AH718="","",IF(LEFT(UPPER(TRIM(Sync!$AH718)),2)="SL",UPPER(TRIM(Sync!$AH718)),""))</f>
        <v/>
      </c>
      <c r="G718" t="str">
        <f>IF($F718="","",IF(Sync!$AE718="","",IF(ISNUMBER(Sync!$AE718),IF(AND(Sync!$AE718&gt;=10000101,Sync!$AE718&lt;=99991231),INT(Sync!$AE718/10000),""),IFERROR(VALUE(TRIM(LEFT(Sync!$AE718,FIND("/",Sync!$AE718)-1))),""))))</f>
        <v/>
      </c>
      <c r="H718" t="str">
        <f>IF(OR($F718="",$G718=""),"",IF(ISNUMBER(Sync!$AE718),INT(MOD(Sync!$AE718,10000)/100),IFERROR(VALUE(TRIM(LEFT(MID(Sync!$AE718,FIND("/",Sync!$AE718)+1,20),FIND("/",MID(Sync!$AE718,FIND("/",Sync!$AE718)+1,20))-1))),"")))</f>
        <v/>
      </c>
      <c r="I718" t="str">
        <f>IF(OR($F718="",$G718=""),"",IF(ISNUMBER(Sync!$AE718),MOD(Sync!$AE718,100),IFERROR(VALUE(TRIM(MID(MID(Sync!$AE718,FIND("/",Sync!$AE718)+1,20),FIND("/",MID(Sync!$AE718,FIND("/",Sync!$AE718)+1,20))+1,20))),"")))</f>
        <v/>
      </c>
      <c r="J718" t="str">
        <f t="shared" si="57"/>
        <v/>
      </c>
      <c r="K718" t="str">
        <f>IF(OR($F718="",$J718="",$J718="نامعتبر"),"",LEFT($J718,4)&amp;MID($J718,6,2)&amp;RIGHT($J718,2)&amp;$N718&amp;"|"&amp;"2"&amp;RIGHT("00000"&amp;713,5))</f>
        <v/>
      </c>
      <c r="L718" t="str">
        <f t="shared" si="58"/>
        <v/>
      </c>
      <c r="M718" t="str">
        <f t="shared" si="59"/>
        <v/>
      </c>
      <c r="N718" t="str">
        <f>IF($F718="","",IF(Sync!$AF718="","0000",IF(AND(ISNUMBER(Sync!$AF718),Sync!$AF718&gt;=0,Sync!$AF718&lt;1),RIGHT("00"&amp;HOUR(Sync!$AF718),2)&amp;RIGHT("00"&amp;MINUTE(Sync!$AF718),2),IFERROR(RIGHT("00"&amp;VALUE(LEFT(Sync!$AF718,FIND(":",Sync!$AF718)-1)),2)&amp;RIGHT("00"&amp;VALUE(MID(Sync!$AF718,FIND(":",Sync!$AF718)+1,2)),2),"0000"))))</f>
        <v/>
      </c>
    </row>
    <row r="719" spans="1:14" x14ac:dyDescent="0.2">
      <c r="A719" t="str">
        <f>IF(OR(Calc!$E723="",Calc!$E723="نامعتبر",Calc!$G723=""),"",Calc!$G723)</f>
        <v/>
      </c>
      <c r="B719" t="str">
        <f>IF($A719="","",LEFT(Calc!$E723,4)&amp;MID(Calc!$E723,6,2)&amp;RIGHT(Calc!$E723,2)&amp;Calc!$Q723&amp;"|"&amp;"1"&amp;RIGHT("00000"&amp;714,5))</f>
        <v/>
      </c>
      <c r="C719" t="str">
        <f t="shared" si="55"/>
        <v/>
      </c>
      <c r="D719" t="str">
        <f t="shared" si="56"/>
        <v/>
      </c>
      <c r="F719" t="str">
        <f>IF(Sync!$AH719="","",IF(LEFT(UPPER(TRIM(Sync!$AH719)),2)="SL",UPPER(TRIM(Sync!$AH719)),""))</f>
        <v/>
      </c>
      <c r="G719" t="str">
        <f>IF($F719="","",IF(Sync!$AE719="","",IF(ISNUMBER(Sync!$AE719),IF(AND(Sync!$AE719&gt;=10000101,Sync!$AE719&lt;=99991231),INT(Sync!$AE719/10000),""),IFERROR(VALUE(TRIM(LEFT(Sync!$AE719,FIND("/",Sync!$AE719)-1))),""))))</f>
        <v/>
      </c>
      <c r="H719" t="str">
        <f>IF(OR($F719="",$G719=""),"",IF(ISNUMBER(Sync!$AE719),INT(MOD(Sync!$AE719,10000)/100),IFERROR(VALUE(TRIM(LEFT(MID(Sync!$AE719,FIND("/",Sync!$AE719)+1,20),FIND("/",MID(Sync!$AE719,FIND("/",Sync!$AE719)+1,20))-1))),"")))</f>
        <v/>
      </c>
      <c r="I719" t="str">
        <f>IF(OR($F719="",$G719=""),"",IF(ISNUMBER(Sync!$AE719),MOD(Sync!$AE719,100),IFERROR(VALUE(TRIM(MID(MID(Sync!$AE719,FIND("/",Sync!$AE719)+1,20),FIND("/",MID(Sync!$AE719,FIND("/",Sync!$AE719)+1,20))+1,20))),"")))</f>
        <v/>
      </c>
      <c r="J719" t="str">
        <f t="shared" si="57"/>
        <v/>
      </c>
      <c r="K719" t="str">
        <f>IF(OR($F719="",$J719="",$J719="نامعتبر"),"",LEFT($J719,4)&amp;MID($J719,6,2)&amp;RIGHT($J719,2)&amp;$N719&amp;"|"&amp;"2"&amp;RIGHT("00000"&amp;714,5))</f>
        <v/>
      </c>
      <c r="L719" t="str">
        <f t="shared" si="58"/>
        <v/>
      </c>
      <c r="M719" t="str">
        <f t="shared" si="59"/>
        <v/>
      </c>
      <c r="N719" t="str">
        <f>IF($F719="","",IF(Sync!$AF719="","0000",IF(AND(ISNUMBER(Sync!$AF719),Sync!$AF719&gt;=0,Sync!$AF719&lt;1),RIGHT("00"&amp;HOUR(Sync!$AF719),2)&amp;RIGHT("00"&amp;MINUTE(Sync!$AF719),2),IFERROR(RIGHT("00"&amp;VALUE(LEFT(Sync!$AF719,FIND(":",Sync!$AF719)-1)),2)&amp;RIGHT("00"&amp;VALUE(MID(Sync!$AF719,FIND(":",Sync!$AF719)+1,2)),2),"0000"))))</f>
        <v/>
      </c>
    </row>
    <row r="720" spans="1:14" x14ac:dyDescent="0.2">
      <c r="A720" t="str">
        <f>IF(OR(Calc!$E724="",Calc!$E724="نامعتبر",Calc!$G724=""),"",Calc!$G724)</f>
        <v/>
      </c>
      <c r="B720" t="str">
        <f>IF($A720="","",LEFT(Calc!$E724,4)&amp;MID(Calc!$E724,6,2)&amp;RIGHT(Calc!$E724,2)&amp;Calc!$Q724&amp;"|"&amp;"1"&amp;RIGHT("00000"&amp;715,5))</f>
        <v/>
      </c>
      <c r="C720" t="str">
        <f t="shared" si="55"/>
        <v/>
      </c>
      <c r="D720" t="str">
        <f t="shared" si="56"/>
        <v/>
      </c>
      <c r="F720" t="str">
        <f>IF(Sync!$AH720="","",IF(LEFT(UPPER(TRIM(Sync!$AH720)),2)="SL",UPPER(TRIM(Sync!$AH720)),""))</f>
        <v/>
      </c>
      <c r="G720" t="str">
        <f>IF($F720="","",IF(Sync!$AE720="","",IF(ISNUMBER(Sync!$AE720),IF(AND(Sync!$AE720&gt;=10000101,Sync!$AE720&lt;=99991231),INT(Sync!$AE720/10000),""),IFERROR(VALUE(TRIM(LEFT(Sync!$AE720,FIND("/",Sync!$AE720)-1))),""))))</f>
        <v/>
      </c>
      <c r="H720" t="str">
        <f>IF(OR($F720="",$G720=""),"",IF(ISNUMBER(Sync!$AE720),INT(MOD(Sync!$AE720,10000)/100),IFERROR(VALUE(TRIM(LEFT(MID(Sync!$AE720,FIND("/",Sync!$AE720)+1,20),FIND("/",MID(Sync!$AE720,FIND("/",Sync!$AE720)+1,20))-1))),"")))</f>
        <v/>
      </c>
      <c r="I720" t="str">
        <f>IF(OR($F720="",$G720=""),"",IF(ISNUMBER(Sync!$AE720),MOD(Sync!$AE720,100),IFERROR(VALUE(TRIM(MID(MID(Sync!$AE720,FIND("/",Sync!$AE720)+1,20),FIND("/",MID(Sync!$AE720,FIND("/",Sync!$AE720)+1,20))+1,20))),"")))</f>
        <v/>
      </c>
      <c r="J720" t="str">
        <f t="shared" si="57"/>
        <v/>
      </c>
      <c r="K720" t="str">
        <f>IF(OR($F720="",$J720="",$J720="نامعتبر"),"",LEFT($J720,4)&amp;MID($J720,6,2)&amp;RIGHT($J720,2)&amp;$N720&amp;"|"&amp;"2"&amp;RIGHT("00000"&amp;715,5))</f>
        <v/>
      </c>
      <c r="L720" t="str">
        <f t="shared" si="58"/>
        <v/>
      </c>
      <c r="M720" t="str">
        <f t="shared" si="59"/>
        <v/>
      </c>
      <c r="N720" t="str">
        <f>IF($F720="","",IF(Sync!$AF720="","0000",IF(AND(ISNUMBER(Sync!$AF720),Sync!$AF720&gt;=0,Sync!$AF720&lt;1),RIGHT("00"&amp;HOUR(Sync!$AF720),2)&amp;RIGHT("00"&amp;MINUTE(Sync!$AF720),2),IFERROR(RIGHT("00"&amp;VALUE(LEFT(Sync!$AF720,FIND(":",Sync!$AF720)-1)),2)&amp;RIGHT("00"&amp;VALUE(MID(Sync!$AF720,FIND(":",Sync!$AF720)+1,2)),2),"0000"))))</f>
        <v/>
      </c>
    </row>
    <row r="721" spans="1:14" x14ac:dyDescent="0.2">
      <c r="A721" t="str">
        <f>IF(OR(Calc!$E725="",Calc!$E725="نامعتبر",Calc!$G725=""),"",Calc!$G725)</f>
        <v/>
      </c>
      <c r="B721" t="str">
        <f>IF($A721="","",LEFT(Calc!$E725,4)&amp;MID(Calc!$E725,6,2)&amp;RIGHT(Calc!$E725,2)&amp;Calc!$Q725&amp;"|"&amp;"1"&amp;RIGHT("00000"&amp;716,5))</f>
        <v/>
      </c>
      <c r="C721" t="str">
        <f t="shared" si="55"/>
        <v/>
      </c>
      <c r="D721" t="str">
        <f t="shared" si="56"/>
        <v/>
      </c>
      <c r="F721" t="str">
        <f>IF(Sync!$AH721="","",IF(LEFT(UPPER(TRIM(Sync!$AH721)),2)="SL",UPPER(TRIM(Sync!$AH721)),""))</f>
        <v/>
      </c>
      <c r="G721" t="str">
        <f>IF($F721="","",IF(Sync!$AE721="","",IF(ISNUMBER(Sync!$AE721),IF(AND(Sync!$AE721&gt;=10000101,Sync!$AE721&lt;=99991231),INT(Sync!$AE721/10000),""),IFERROR(VALUE(TRIM(LEFT(Sync!$AE721,FIND("/",Sync!$AE721)-1))),""))))</f>
        <v/>
      </c>
      <c r="H721" t="str">
        <f>IF(OR($F721="",$G721=""),"",IF(ISNUMBER(Sync!$AE721),INT(MOD(Sync!$AE721,10000)/100),IFERROR(VALUE(TRIM(LEFT(MID(Sync!$AE721,FIND("/",Sync!$AE721)+1,20),FIND("/",MID(Sync!$AE721,FIND("/",Sync!$AE721)+1,20))-1))),"")))</f>
        <v/>
      </c>
      <c r="I721" t="str">
        <f>IF(OR($F721="",$G721=""),"",IF(ISNUMBER(Sync!$AE721),MOD(Sync!$AE721,100),IFERROR(VALUE(TRIM(MID(MID(Sync!$AE721,FIND("/",Sync!$AE721)+1,20),FIND("/",MID(Sync!$AE721,FIND("/",Sync!$AE721)+1,20))+1,20))),"")))</f>
        <v/>
      </c>
      <c r="J721" t="str">
        <f t="shared" si="57"/>
        <v/>
      </c>
      <c r="K721" t="str">
        <f>IF(OR($F721="",$J721="",$J721="نامعتبر"),"",LEFT($J721,4)&amp;MID($J721,6,2)&amp;RIGHT($J721,2)&amp;$N721&amp;"|"&amp;"2"&amp;RIGHT("00000"&amp;716,5))</f>
        <v/>
      </c>
      <c r="L721" t="str">
        <f t="shared" si="58"/>
        <v/>
      </c>
      <c r="M721" t="str">
        <f t="shared" si="59"/>
        <v/>
      </c>
      <c r="N721" t="str">
        <f>IF($F721="","",IF(Sync!$AF721="","0000",IF(AND(ISNUMBER(Sync!$AF721),Sync!$AF721&gt;=0,Sync!$AF721&lt;1),RIGHT("00"&amp;HOUR(Sync!$AF721),2)&amp;RIGHT("00"&amp;MINUTE(Sync!$AF721),2),IFERROR(RIGHT("00"&amp;VALUE(LEFT(Sync!$AF721,FIND(":",Sync!$AF721)-1)),2)&amp;RIGHT("00"&amp;VALUE(MID(Sync!$AF721,FIND(":",Sync!$AF721)+1,2)),2),"0000"))))</f>
        <v/>
      </c>
    </row>
    <row r="722" spans="1:14" x14ac:dyDescent="0.2">
      <c r="A722" t="str">
        <f>IF(OR(Calc!$E726="",Calc!$E726="نامعتبر",Calc!$G726=""),"",Calc!$G726)</f>
        <v/>
      </c>
      <c r="B722" t="str">
        <f>IF($A722="","",LEFT(Calc!$E726,4)&amp;MID(Calc!$E726,6,2)&amp;RIGHT(Calc!$E726,2)&amp;Calc!$Q726&amp;"|"&amp;"1"&amp;RIGHT("00000"&amp;717,5))</f>
        <v/>
      </c>
      <c r="C722" t="str">
        <f t="shared" si="55"/>
        <v/>
      </c>
      <c r="D722" t="str">
        <f t="shared" si="56"/>
        <v/>
      </c>
      <c r="F722" t="str">
        <f>IF(Sync!$AH722="","",IF(LEFT(UPPER(TRIM(Sync!$AH722)),2)="SL",UPPER(TRIM(Sync!$AH722)),""))</f>
        <v/>
      </c>
      <c r="G722" t="str">
        <f>IF($F722="","",IF(Sync!$AE722="","",IF(ISNUMBER(Sync!$AE722),IF(AND(Sync!$AE722&gt;=10000101,Sync!$AE722&lt;=99991231),INT(Sync!$AE722/10000),""),IFERROR(VALUE(TRIM(LEFT(Sync!$AE722,FIND("/",Sync!$AE722)-1))),""))))</f>
        <v/>
      </c>
      <c r="H722" t="str">
        <f>IF(OR($F722="",$G722=""),"",IF(ISNUMBER(Sync!$AE722),INT(MOD(Sync!$AE722,10000)/100),IFERROR(VALUE(TRIM(LEFT(MID(Sync!$AE722,FIND("/",Sync!$AE722)+1,20),FIND("/",MID(Sync!$AE722,FIND("/",Sync!$AE722)+1,20))-1))),"")))</f>
        <v/>
      </c>
      <c r="I722" t="str">
        <f>IF(OR($F722="",$G722=""),"",IF(ISNUMBER(Sync!$AE722),MOD(Sync!$AE722,100),IFERROR(VALUE(TRIM(MID(MID(Sync!$AE722,FIND("/",Sync!$AE722)+1,20),FIND("/",MID(Sync!$AE722,FIND("/",Sync!$AE722)+1,20))+1,20))),"")))</f>
        <v/>
      </c>
      <c r="J722" t="str">
        <f t="shared" si="57"/>
        <v/>
      </c>
      <c r="K722" t="str">
        <f>IF(OR($F722="",$J722="",$J722="نامعتبر"),"",LEFT($J722,4)&amp;MID($J722,6,2)&amp;RIGHT($J722,2)&amp;$N722&amp;"|"&amp;"2"&amp;RIGHT("00000"&amp;717,5))</f>
        <v/>
      </c>
      <c r="L722" t="str">
        <f t="shared" si="58"/>
        <v/>
      </c>
      <c r="M722" t="str">
        <f t="shared" si="59"/>
        <v/>
      </c>
      <c r="N722" t="str">
        <f>IF($F722="","",IF(Sync!$AF722="","0000",IF(AND(ISNUMBER(Sync!$AF722),Sync!$AF722&gt;=0,Sync!$AF722&lt;1),RIGHT("00"&amp;HOUR(Sync!$AF722),2)&amp;RIGHT("00"&amp;MINUTE(Sync!$AF722),2),IFERROR(RIGHT("00"&amp;VALUE(LEFT(Sync!$AF722,FIND(":",Sync!$AF722)-1)),2)&amp;RIGHT("00"&amp;VALUE(MID(Sync!$AF722,FIND(":",Sync!$AF722)+1,2)),2),"0000"))))</f>
        <v/>
      </c>
    </row>
    <row r="723" spans="1:14" x14ac:dyDescent="0.2">
      <c r="A723" t="str">
        <f>IF(OR(Calc!$E727="",Calc!$E727="نامعتبر",Calc!$G727=""),"",Calc!$G727)</f>
        <v/>
      </c>
      <c r="B723" t="str">
        <f>IF($A723="","",LEFT(Calc!$E727,4)&amp;MID(Calc!$E727,6,2)&amp;RIGHT(Calc!$E727,2)&amp;Calc!$Q727&amp;"|"&amp;"1"&amp;RIGHT("00000"&amp;718,5))</f>
        <v/>
      </c>
      <c r="C723" t="str">
        <f t="shared" si="55"/>
        <v/>
      </c>
      <c r="D723" t="str">
        <f t="shared" si="56"/>
        <v/>
      </c>
      <c r="F723" t="str">
        <f>IF(Sync!$AH723="","",IF(LEFT(UPPER(TRIM(Sync!$AH723)),2)="SL",UPPER(TRIM(Sync!$AH723)),""))</f>
        <v/>
      </c>
      <c r="G723" t="str">
        <f>IF($F723="","",IF(Sync!$AE723="","",IF(ISNUMBER(Sync!$AE723),IF(AND(Sync!$AE723&gt;=10000101,Sync!$AE723&lt;=99991231),INT(Sync!$AE723/10000),""),IFERROR(VALUE(TRIM(LEFT(Sync!$AE723,FIND("/",Sync!$AE723)-1))),""))))</f>
        <v/>
      </c>
      <c r="H723" t="str">
        <f>IF(OR($F723="",$G723=""),"",IF(ISNUMBER(Sync!$AE723),INT(MOD(Sync!$AE723,10000)/100),IFERROR(VALUE(TRIM(LEFT(MID(Sync!$AE723,FIND("/",Sync!$AE723)+1,20),FIND("/",MID(Sync!$AE723,FIND("/",Sync!$AE723)+1,20))-1))),"")))</f>
        <v/>
      </c>
      <c r="I723" t="str">
        <f>IF(OR($F723="",$G723=""),"",IF(ISNUMBER(Sync!$AE723),MOD(Sync!$AE723,100),IFERROR(VALUE(TRIM(MID(MID(Sync!$AE723,FIND("/",Sync!$AE723)+1,20),FIND("/",MID(Sync!$AE723,FIND("/",Sync!$AE723)+1,20))+1,20))),"")))</f>
        <v/>
      </c>
      <c r="J723" t="str">
        <f t="shared" si="57"/>
        <v/>
      </c>
      <c r="K723" t="str">
        <f>IF(OR($F723="",$J723="",$J723="نامعتبر"),"",LEFT($J723,4)&amp;MID($J723,6,2)&amp;RIGHT($J723,2)&amp;$N723&amp;"|"&amp;"2"&amp;RIGHT("00000"&amp;718,5))</f>
        <v/>
      </c>
      <c r="L723" t="str">
        <f t="shared" si="58"/>
        <v/>
      </c>
      <c r="M723" t="str">
        <f t="shared" si="59"/>
        <v/>
      </c>
      <c r="N723" t="str">
        <f>IF($F723="","",IF(Sync!$AF723="","0000",IF(AND(ISNUMBER(Sync!$AF723),Sync!$AF723&gt;=0,Sync!$AF723&lt;1),RIGHT("00"&amp;HOUR(Sync!$AF723),2)&amp;RIGHT("00"&amp;MINUTE(Sync!$AF723),2),IFERROR(RIGHT("00"&amp;VALUE(LEFT(Sync!$AF723,FIND(":",Sync!$AF723)-1)),2)&amp;RIGHT("00"&amp;VALUE(MID(Sync!$AF723,FIND(":",Sync!$AF723)+1,2)),2),"0000"))))</f>
        <v/>
      </c>
    </row>
    <row r="724" spans="1:14" x14ac:dyDescent="0.2">
      <c r="A724" t="str">
        <f>IF(OR(Calc!$E728="",Calc!$E728="نامعتبر",Calc!$G728=""),"",Calc!$G728)</f>
        <v/>
      </c>
      <c r="B724" t="str">
        <f>IF($A724="","",LEFT(Calc!$E728,4)&amp;MID(Calc!$E728,6,2)&amp;RIGHT(Calc!$E728,2)&amp;Calc!$Q728&amp;"|"&amp;"1"&amp;RIGHT("00000"&amp;719,5))</f>
        <v/>
      </c>
      <c r="C724" t="str">
        <f t="shared" si="55"/>
        <v/>
      </c>
      <c r="D724" t="str">
        <f t="shared" si="56"/>
        <v/>
      </c>
      <c r="F724" t="str">
        <f>IF(Sync!$AH724="","",IF(LEFT(UPPER(TRIM(Sync!$AH724)),2)="SL",UPPER(TRIM(Sync!$AH724)),""))</f>
        <v/>
      </c>
      <c r="G724" t="str">
        <f>IF($F724="","",IF(Sync!$AE724="","",IF(ISNUMBER(Sync!$AE724),IF(AND(Sync!$AE724&gt;=10000101,Sync!$AE724&lt;=99991231),INT(Sync!$AE724/10000),""),IFERROR(VALUE(TRIM(LEFT(Sync!$AE724,FIND("/",Sync!$AE724)-1))),""))))</f>
        <v/>
      </c>
      <c r="H724" t="str">
        <f>IF(OR($F724="",$G724=""),"",IF(ISNUMBER(Sync!$AE724),INT(MOD(Sync!$AE724,10000)/100),IFERROR(VALUE(TRIM(LEFT(MID(Sync!$AE724,FIND("/",Sync!$AE724)+1,20),FIND("/",MID(Sync!$AE724,FIND("/",Sync!$AE724)+1,20))-1))),"")))</f>
        <v/>
      </c>
      <c r="I724" t="str">
        <f>IF(OR($F724="",$G724=""),"",IF(ISNUMBER(Sync!$AE724),MOD(Sync!$AE724,100),IFERROR(VALUE(TRIM(MID(MID(Sync!$AE724,FIND("/",Sync!$AE724)+1,20),FIND("/",MID(Sync!$AE724,FIND("/",Sync!$AE724)+1,20))+1,20))),"")))</f>
        <v/>
      </c>
      <c r="J724" t="str">
        <f t="shared" si="57"/>
        <v/>
      </c>
      <c r="K724" t="str">
        <f>IF(OR($F724="",$J724="",$J724="نامعتبر"),"",LEFT($J724,4)&amp;MID($J724,6,2)&amp;RIGHT($J724,2)&amp;$N724&amp;"|"&amp;"2"&amp;RIGHT("00000"&amp;719,5))</f>
        <v/>
      </c>
      <c r="L724" t="str">
        <f t="shared" si="58"/>
        <v/>
      </c>
      <c r="M724" t="str">
        <f t="shared" si="59"/>
        <v/>
      </c>
      <c r="N724" t="str">
        <f>IF($F724="","",IF(Sync!$AF724="","0000",IF(AND(ISNUMBER(Sync!$AF724),Sync!$AF724&gt;=0,Sync!$AF724&lt;1),RIGHT("00"&amp;HOUR(Sync!$AF724),2)&amp;RIGHT("00"&amp;MINUTE(Sync!$AF724),2),IFERROR(RIGHT("00"&amp;VALUE(LEFT(Sync!$AF724,FIND(":",Sync!$AF724)-1)),2)&amp;RIGHT("00"&amp;VALUE(MID(Sync!$AF724,FIND(":",Sync!$AF724)+1,2)),2),"0000"))))</f>
        <v/>
      </c>
    </row>
    <row r="725" spans="1:14" x14ac:dyDescent="0.2">
      <c r="A725" t="str">
        <f>IF(OR(Calc!$E729="",Calc!$E729="نامعتبر",Calc!$G729=""),"",Calc!$G729)</f>
        <v/>
      </c>
      <c r="B725" t="str">
        <f>IF($A725="","",LEFT(Calc!$E729,4)&amp;MID(Calc!$E729,6,2)&amp;RIGHT(Calc!$E729,2)&amp;Calc!$Q729&amp;"|"&amp;"1"&amp;RIGHT("00000"&amp;720,5))</f>
        <v/>
      </c>
      <c r="C725" t="str">
        <f t="shared" si="55"/>
        <v/>
      </c>
      <c r="D725" t="str">
        <f t="shared" si="56"/>
        <v/>
      </c>
      <c r="F725" t="str">
        <f>IF(Sync!$AH725="","",IF(LEFT(UPPER(TRIM(Sync!$AH725)),2)="SL",UPPER(TRIM(Sync!$AH725)),""))</f>
        <v/>
      </c>
      <c r="G725" t="str">
        <f>IF($F725="","",IF(Sync!$AE725="","",IF(ISNUMBER(Sync!$AE725),IF(AND(Sync!$AE725&gt;=10000101,Sync!$AE725&lt;=99991231),INT(Sync!$AE725/10000),""),IFERROR(VALUE(TRIM(LEFT(Sync!$AE725,FIND("/",Sync!$AE725)-1))),""))))</f>
        <v/>
      </c>
      <c r="H725" t="str">
        <f>IF(OR($F725="",$G725=""),"",IF(ISNUMBER(Sync!$AE725),INT(MOD(Sync!$AE725,10000)/100),IFERROR(VALUE(TRIM(LEFT(MID(Sync!$AE725,FIND("/",Sync!$AE725)+1,20),FIND("/",MID(Sync!$AE725,FIND("/",Sync!$AE725)+1,20))-1))),"")))</f>
        <v/>
      </c>
      <c r="I725" t="str">
        <f>IF(OR($F725="",$G725=""),"",IF(ISNUMBER(Sync!$AE725),MOD(Sync!$AE725,100),IFERROR(VALUE(TRIM(MID(MID(Sync!$AE725,FIND("/",Sync!$AE725)+1,20),FIND("/",MID(Sync!$AE725,FIND("/",Sync!$AE725)+1,20))+1,20))),"")))</f>
        <v/>
      </c>
      <c r="J725" t="str">
        <f t="shared" si="57"/>
        <v/>
      </c>
      <c r="K725" t="str">
        <f>IF(OR($F725="",$J725="",$J725="نامعتبر"),"",LEFT($J725,4)&amp;MID($J725,6,2)&amp;RIGHT($J725,2)&amp;$N725&amp;"|"&amp;"2"&amp;RIGHT("00000"&amp;720,5))</f>
        <v/>
      </c>
      <c r="L725" t="str">
        <f t="shared" si="58"/>
        <v/>
      </c>
      <c r="M725" t="str">
        <f t="shared" si="59"/>
        <v/>
      </c>
      <c r="N725" t="str">
        <f>IF($F725="","",IF(Sync!$AF725="","0000",IF(AND(ISNUMBER(Sync!$AF725),Sync!$AF725&gt;=0,Sync!$AF725&lt;1),RIGHT("00"&amp;HOUR(Sync!$AF725),2)&amp;RIGHT("00"&amp;MINUTE(Sync!$AF725),2),IFERROR(RIGHT("00"&amp;VALUE(LEFT(Sync!$AF725,FIND(":",Sync!$AF725)-1)),2)&amp;RIGHT("00"&amp;VALUE(MID(Sync!$AF725,FIND(":",Sync!$AF725)+1,2)),2),"0000"))))</f>
        <v/>
      </c>
    </row>
    <row r="726" spans="1:14" x14ac:dyDescent="0.2">
      <c r="A726" t="str">
        <f>IF(OR(Calc!$E730="",Calc!$E730="نامعتبر",Calc!$G730=""),"",Calc!$G730)</f>
        <v/>
      </c>
      <c r="B726" t="str">
        <f>IF($A726="","",LEFT(Calc!$E730,4)&amp;MID(Calc!$E730,6,2)&amp;RIGHT(Calc!$E730,2)&amp;Calc!$Q730&amp;"|"&amp;"1"&amp;RIGHT("00000"&amp;721,5))</f>
        <v/>
      </c>
      <c r="C726" t="str">
        <f t="shared" si="55"/>
        <v/>
      </c>
      <c r="D726" t="str">
        <f t="shared" si="56"/>
        <v/>
      </c>
      <c r="F726" t="str">
        <f>IF(Sync!$AH726="","",IF(LEFT(UPPER(TRIM(Sync!$AH726)),2)="SL",UPPER(TRIM(Sync!$AH726)),""))</f>
        <v/>
      </c>
      <c r="G726" t="str">
        <f>IF($F726="","",IF(Sync!$AE726="","",IF(ISNUMBER(Sync!$AE726),IF(AND(Sync!$AE726&gt;=10000101,Sync!$AE726&lt;=99991231),INT(Sync!$AE726/10000),""),IFERROR(VALUE(TRIM(LEFT(Sync!$AE726,FIND("/",Sync!$AE726)-1))),""))))</f>
        <v/>
      </c>
      <c r="H726" t="str">
        <f>IF(OR($F726="",$G726=""),"",IF(ISNUMBER(Sync!$AE726),INT(MOD(Sync!$AE726,10000)/100),IFERROR(VALUE(TRIM(LEFT(MID(Sync!$AE726,FIND("/",Sync!$AE726)+1,20),FIND("/",MID(Sync!$AE726,FIND("/",Sync!$AE726)+1,20))-1))),"")))</f>
        <v/>
      </c>
      <c r="I726" t="str">
        <f>IF(OR($F726="",$G726=""),"",IF(ISNUMBER(Sync!$AE726),MOD(Sync!$AE726,100),IFERROR(VALUE(TRIM(MID(MID(Sync!$AE726,FIND("/",Sync!$AE726)+1,20),FIND("/",MID(Sync!$AE726,FIND("/",Sync!$AE726)+1,20))+1,20))),"")))</f>
        <v/>
      </c>
      <c r="J726" t="str">
        <f t="shared" si="57"/>
        <v/>
      </c>
      <c r="K726" t="str">
        <f>IF(OR($F726="",$J726="",$J726="نامعتبر"),"",LEFT($J726,4)&amp;MID($J726,6,2)&amp;RIGHT($J726,2)&amp;$N726&amp;"|"&amp;"2"&amp;RIGHT("00000"&amp;721,5))</f>
        <v/>
      </c>
      <c r="L726" t="str">
        <f t="shared" si="58"/>
        <v/>
      </c>
      <c r="M726" t="str">
        <f t="shared" si="59"/>
        <v/>
      </c>
      <c r="N726" t="str">
        <f>IF($F726="","",IF(Sync!$AF726="","0000",IF(AND(ISNUMBER(Sync!$AF726),Sync!$AF726&gt;=0,Sync!$AF726&lt;1),RIGHT("00"&amp;HOUR(Sync!$AF726),2)&amp;RIGHT("00"&amp;MINUTE(Sync!$AF726),2),IFERROR(RIGHT("00"&amp;VALUE(LEFT(Sync!$AF726,FIND(":",Sync!$AF726)-1)),2)&amp;RIGHT("00"&amp;VALUE(MID(Sync!$AF726,FIND(":",Sync!$AF726)+1,2)),2),"0000"))))</f>
        <v/>
      </c>
    </row>
    <row r="727" spans="1:14" x14ac:dyDescent="0.2">
      <c r="A727" t="str">
        <f>IF(OR(Calc!$E731="",Calc!$E731="نامعتبر",Calc!$G731=""),"",Calc!$G731)</f>
        <v/>
      </c>
      <c r="B727" t="str">
        <f>IF($A727="","",LEFT(Calc!$E731,4)&amp;MID(Calc!$E731,6,2)&amp;RIGHT(Calc!$E731,2)&amp;Calc!$Q731&amp;"|"&amp;"1"&amp;RIGHT("00000"&amp;722,5))</f>
        <v/>
      </c>
      <c r="C727" t="str">
        <f t="shared" si="55"/>
        <v/>
      </c>
      <c r="D727" t="str">
        <f t="shared" si="56"/>
        <v/>
      </c>
      <c r="F727" t="str">
        <f>IF(Sync!$AH727="","",IF(LEFT(UPPER(TRIM(Sync!$AH727)),2)="SL",UPPER(TRIM(Sync!$AH727)),""))</f>
        <v/>
      </c>
      <c r="G727" t="str">
        <f>IF($F727="","",IF(Sync!$AE727="","",IF(ISNUMBER(Sync!$AE727),IF(AND(Sync!$AE727&gt;=10000101,Sync!$AE727&lt;=99991231),INT(Sync!$AE727/10000),""),IFERROR(VALUE(TRIM(LEFT(Sync!$AE727,FIND("/",Sync!$AE727)-1))),""))))</f>
        <v/>
      </c>
      <c r="H727" t="str">
        <f>IF(OR($F727="",$G727=""),"",IF(ISNUMBER(Sync!$AE727),INT(MOD(Sync!$AE727,10000)/100),IFERROR(VALUE(TRIM(LEFT(MID(Sync!$AE727,FIND("/",Sync!$AE727)+1,20),FIND("/",MID(Sync!$AE727,FIND("/",Sync!$AE727)+1,20))-1))),"")))</f>
        <v/>
      </c>
      <c r="I727" t="str">
        <f>IF(OR($F727="",$G727=""),"",IF(ISNUMBER(Sync!$AE727),MOD(Sync!$AE727,100),IFERROR(VALUE(TRIM(MID(MID(Sync!$AE727,FIND("/",Sync!$AE727)+1,20),FIND("/",MID(Sync!$AE727,FIND("/",Sync!$AE727)+1,20))+1,20))),"")))</f>
        <v/>
      </c>
      <c r="J727" t="str">
        <f t="shared" si="57"/>
        <v/>
      </c>
      <c r="K727" t="str">
        <f>IF(OR($F727="",$J727="",$J727="نامعتبر"),"",LEFT($J727,4)&amp;MID($J727,6,2)&amp;RIGHT($J727,2)&amp;$N727&amp;"|"&amp;"2"&amp;RIGHT("00000"&amp;722,5))</f>
        <v/>
      </c>
      <c r="L727" t="str">
        <f t="shared" si="58"/>
        <v/>
      </c>
      <c r="M727" t="str">
        <f t="shared" si="59"/>
        <v/>
      </c>
      <c r="N727" t="str">
        <f>IF($F727="","",IF(Sync!$AF727="","0000",IF(AND(ISNUMBER(Sync!$AF727),Sync!$AF727&gt;=0,Sync!$AF727&lt;1),RIGHT("00"&amp;HOUR(Sync!$AF727),2)&amp;RIGHT("00"&amp;MINUTE(Sync!$AF727),2),IFERROR(RIGHT("00"&amp;VALUE(LEFT(Sync!$AF727,FIND(":",Sync!$AF727)-1)),2)&amp;RIGHT("00"&amp;VALUE(MID(Sync!$AF727,FIND(":",Sync!$AF727)+1,2)),2),"0000"))))</f>
        <v/>
      </c>
    </row>
    <row r="728" spans="1:14" x14ac:dyDescent="0.2">
      <c r="A728" t="str">
        <f>IF(OR(Calc!$E732="",Calc!$E732="نامعتبر",Calc!$G732=""),"",Calc!$G732)</f>
        <v/>
      </c>
      <c r="B728" t="str">
        <f>IF($A728="","",LEFT(Calc!$E732,4)&amp;MID(Calc!$E732,6,2)&amp;RIGHT(Calc!$E732,2)&amp;Calc!$Q732&amp;"|"&amp;"1"&amp;RIGHT("00000"&amp;723,5))</f>
        <v/>
      </c>
      <c r="C728" t="str">
        <f t="shared" si="55"/>
        <v/>
      </c>
      <c r="D728" t="str">
        <f t="shared" si="56"/>
        <v/>
      </c>
      <c r="F728" t="str">
        <f>IF(Sync!$AH728="","",IF(LEFT(UPPER(TRIM(Sync!$AH728)),2)="SL",UPPER(TRIM(Sync!$AH728)),""))</f>
        <v/>
      </c>
      <c r="G728" t="str">
        <f>IF($F728="","",IF(Sync!$AE728="","",IF(ISNUMBER(Sync!$AE728),IF(AND(Sync!$AE728&gt;=10000101,Sync!$AE728&lt;=99991231),INT(Sync!$AE728/10000),""),IFERROR(VALUE(TRIM(LEFT(Sync!$AE728,FIND("/",Sync!$AE728)-1))),""))))</f>
        <v/>
      </c>
      <c r="H728" t="str">
        <f>IF(OR($F728="",$G728=""),"",IF(ISNUMBER(Sync!$AE728),INT(MOD(Sync!$AE728,10000)/100),IFERROR(VALUE(TRIM(LEFT(MID(Sync!$AE728,FIND("/",Sync!$AE728)+1,20),FIND("/",MID(Sync!$AE728,FIND("/",Sync!$AE728)+1,20))-1))),"")))</f>
        <v/>
      </c>
      <c r="I728" t="str">
        <f>IF(OR($F728="",$G728=""),"",IF(ISNUMBER(Sync!$AE728),MOD(Sync!$AE728,100),IFERROR(VALUE(TRIM(MID(MID(Sync!$AE728,FIND("/",Sync!$AE728)+1,20),FIND("/",MID(Sync!$AE728,FIND("/",Sync!$AE728)+1,20))+1,20))),"")))</f>
        <v/>
      </c>
      <c r="J728" t="str">
        <f t="shared" si="57"/>
        <v/>
      </c>
      <c r="K728" t="str">
        <f>IF(OR($F728="",$J728="",$J728="نامعتبر"),"",LEFT($J728,4)&amp;MID($J728,6,2)&amp;RIGHT($J728,2)&amp;$N728&amp;"|"&amp;"2"&amp;RIGHT("00000"&amp;723,5))</f>
        <v/>
      </c>
      <c r="L728" t="str">
        <f t="shared" si="58"/>
        <v/>
      </c>
      <c r="M728" t="str">
        <f t="shared" si="59"/>
        <v/>
      </c>
      <c r="N728" t="str">
        <f>IF($F728="","",IF(Sync!$AF728="","0000",IF(AND(ISNUMBER(Sync!$AF728),Sync!$AF728&gt;=0,Sync!$AF728&lt;1),RIGHT("00"&amp;HOUR(Sync!$AF728),2)&amp;RIGHT("00"&amp;MINUTE(Sync!$AF728),2),IFERROR(RIGHT("00"&amp;VALUE(LEFT(Sync!$AF728,FIND(":",Sync!$AF728)-1)),2)&amp;RIGHT("00"&amp;VALUE(MID(Sync!$AF728,FIND(":",Sync!$AF728)+1,2)),2),"0000"))))</f>
        <v/>
      </c>
    </row>
    <row r="729" spans="1:14" x14ac:dyDescent="0.2">
      <c r="A729" t="str">
        <f>IF(OR(Calc!$E733="",Calc!$E733="نامعتبر",Calc!$G733=""),"",Calc!$G733)</f>
        <v/>
      </c>
      <c r="B729" t="str">
        <f>IF($A729="","",LEFT(Calc!$E733,4)&amp;MID(Calc!$E733,6,2)&amp;RIGHT(Calc!$E733,2)&amp;Calc!$Q733&amp;"|"&amp;"1"&amp;RIGHT("00000"&amp;724,5))</f>
        <v/>
      </c>
      <c r="C729" t="str">
        <f t="shared" si="55"/>
        <v/>
      </c>
      <c r="D729" t="str">
        <f t="shared" si="56"/>
        <v/>
      </c>
      <c r="F729" t="str">
        <f>IF(Sync!$AH729="","",IF(LEFT(UPPER(TRIM(Sync!$AH729)),2)="SL",UPPER(TRIM(Sync!$AH729)),""))</f>
        <v/>
      </c>
      <c r="G729" t="str">
        <f>IF($F729="","",IF(Sync!$AE729="","",IF(ISNUMBER(Sync!$AE729),IF(AND(Sync!$AE729&gt;=10000101,Sync!$AE729&lt;=99991231),INT(Sync!$AE729/10000),""),IFERROR(VALUE(TRIM(LEFT(Sync!$AE729,FIND("/",Sync!$AE729)-1))),""))))</f>
        <v/>
      </c>
      <c r="H729" t="str">
        <f>IF(OR($F729="",$G729=""),"",IF(ISNUMBER(Sync!$AE729),INT(MOD(Sync!$AE729,10000)/100),IFERROR(VALUE(TRIM(LEFT(MID(Sync!$AE729,FIND("/",Sync!$AE729)+1,20),FIND("/",MID(Sync!$AE729,FIND("/",Sync!$AE729)+1,20))-1))),"")))</f>
        <v/>
      </c>
      <c r="I729" t="str">
        <f>IF(OR($F729="",$G729=""),"",IF(ISNUMBER(Sync!$AE729),MOD(Sync!$AE729,100),IFERROR(VALUE(TRIM(MID(MID(Sync!$AE729,FIND("/",Sync!$AE729)+1,20),FIND("/",MID(Sync!$AE729,FIND("/",Sync!$AE729)+1,20))+1,20))),"")))</f>
        <v/>
      </c>
      <c r="J729" t="str">
        <f t="shared" si="57"/>
        <v/>
      </c>
      <c r="K729" t="str">
        <f>IF(OR($F729="",$J729="",$J729="نامعتبر"),"",LEFT($J729,4)&amp;MID($J729,6,2)&amp;RIGHT($J729,2)&amp;$N729&amp;"|"&amp;"2"&amp;RIGHT("00000"&amp;724,5))</f>
        <v/>
      </c>
      <c r="L729" t="str">
        <f t="shared" si="58"/>
        <v/>
      </c>
      <c r="M729" t="str">
        <f t="shared" si="59"/>
        <v/>
      </c>
      <c r="N729" t="str">
        <f>IF($F729="","",IF(Sync!$AF729="","0000",IF(AND(ISNUMBER(Sync!$AF729),Sync!$AF729&gt;=0,Sync!$AF729&lt;1),RIGHT("00"&amp;HOUR(Sync!$AF729),2)&amp;RIGHT("00"&amp;MINUTE(Sync!$AF729),2),IFERROR(RIGHT("00"&amp;VALUE(LEFT(Sync!$AF729,FIND(":",Sync!$AF729)-1)),2)&amp;RIGHT("00"&amp;VALUE(MID(Sync!$AF729,FIND(":",Sync!$AF729)+1,2)),2),"0000"))))</f>
        <v/>
      </c>
    </row>
    <row r="730" spans="1:14" x14ac:dyDescent="0.2">
      <c r="A730" t="str">
        <f>IF(OR(Calc!$E734="",Calc!$E734="نامعتبر",Calc!$G734=""),"",Calc!$G734)</f>
        <v/>
      </c>
      <c r="B730" t="str">
        <f>IF($A730="","",LEFT(Calc!$E734,4)&amp;MID(Calc!$E734,6,2)&amp;RIGHT(Calc!$E734,2)&amp;Calc!$Q734&amp;"|"&amp;"1"&amp;RIGHT("00000"&amp;725,5))</f>
        <v/>
      </c>
      <c r="C730" t="str">
        <f t="shared" si="55"/>
        <v/>
      </c>
      <c r="D730" t="str">
        <f t="shared" si="56"/>
        <v/>
      </c>
      <c r="F730" t="str">
        <f>IF(Sync!$AH730="","",IF(LEFT(UPPER(TRIM(Sync!$AH730)),2)="SL",UPPER(TRIM(Sync!$AH730)),""))</f>
        <v/>
      </c>
      <c r="G730" t="str">
        <f>IF($F730="","",IF(Sync!$AE730="","",IF(ISNUMBER(Sync!$AE730),IF(AND(Sync!$AE730&gt;=10000101,Sync!$AE730&lt;=99991231),INT(Sync!$AE730/10000),""),IFERROR(VALUE(TRIM(LEFT(Sync!$AE730,FIND("/",Sync!$AE730)-1))),""))))</f>
        <v/>
      </c>
      <c r="H730" t="str">
        <f>IF(OR($F730="",$G730=""),"",IF(ISNUMBER(Sync!$AE730),INT(MOD(Sync!$AE730,10000)/100),IFERROR(VALUE(TRIM(LEFT(MID(Sync!$AE730,FIND("/",Sync!$AE730)+1,20),FIND("/",MID(Sync!$AE730,FIND("/",Sync!$AE730)+1,20))-1))),"")))</f>
        <v/>
      </c>
      <c r="I730" t="str">
        <f>IF(OR($F730="",$G730=""),"",IF(ISNUMBER(Sync!$AE730),MOD(Sync!$AE730,100),IFERROR(VALUE(TRIM(MID(MID(Sync!$AE730,FIND("/",Sync!$AE730)+1,20),FIND("/",MID(Sync!$AE730,FIND("/",Sync!$AE730)+1,20))+1,20))),"")))</f>
        <v/>
      </c>
      <c r="J730" t="str">
        <f t="shared" si="57"/>
        <v/>
      </c>
      <c r="K730" t="str">
        <f>IF(OR($F730="",$J730="",$J730="نامعتبر"),"",LEFT($J730,4)&amp;MID($J730,6,2)&amp;RIGHT($J730,2)&amp;$N730&amp;"|"&amp;"2"&amp;RIGHT("00000"&amp;725,5))</f>
        <v/>
      </c>
      <c r="L730" t="str">
        <f t="shared" si="58"/>
        <v/>
      </c>
      <c r="M730" t="str">
        <f t="shared" si="59"/>
        <v/>
      </c>
      <c r="N730" t="str">
        <f>IF($F730="","",IF(Sync!$AF730="","0000",IF(AND(ISNUMBER(Sync!$AF730),Sync!$AF730&gt;=0,Sync!$AF730&lt;1),RIGHT("00"&amp;HOUR(Sync!$AF730),2)&amp;RIGHT("00"&amp;MINUTE(Sync!$AF730),2),IFERROR(RIGHT("00"&amp;VALUE(LEFT(Sync!$AF730,FIND(":",Sync!$AF730)-1)),2)&amp;RIGHT("00"&amp;VALUE(MID(Sync!$AF730,FIND(":",Sync!$AF730)+1,2)),2),"0000"))))</f>
        <v/>
      </c>
    </row>
    <row r="731" spans="1:14" x14ac:dyDescent="0.2">
      <c r="A731" t="str">
        <f>IF(OR(Calc!$E735="",Calc!$E735="نامعتبر",Calc!$G735=""),"",Calc!$G735)</f>
        <v/>
      </c>
      <c r="B731" t="str">
        <f>IF($A731="","",LEFT(Calc!$E735,4)&amp;MID(Calc!$E735,6,2)&amp;RIGHT(Calc!$E735,2)&amp;Calc!$Q735&amp;"|"&amp;"1"&amp;RIGHT("00000"&amp;726,5))</f>
        <v/>
      </c>
      <c r="C731" t="str">
        <f t="shared" si="55"/>
        <v/>
      </c>
      <c r="D731" t="str">
        <f t="shared" si="56"/>
        <v/>
      </c>
      <c r="F731" t="str">
        <f>IF(Sync!$AH731="","",IF(LEFT(UPPER(TRIM(Sync!$AH731)),2)="SL",UPPER(TRIM(Sync!$AH731)),""))</f>
        <v/>
      </c>
      <c r="G731" t="str">
        <f>IF($F731="","",IF(Sync!$AE731="","",IF(ISNUMBER(Sync!$AE731),IF(AND(Sync!$AE731&gt;=10000101,Sync!$AE731&lt;=99991231),INT(Sync!$AE731/10000),""),IFERROR(VALUE(TRIM(LEFT(Sync!$AE731,FIND("/",Sync!$AE731)-1))),""))))</f>
        <v/>
      </c>
      <c r="H731" t="str">
        <f>IF(OR($F731="",$G731=""),"",IF(ISNUMBER(Sync!$AE731),INT(MOD(Sync!$AE731,10000)/100),IFERROR(VALUE(TRIM(LEFT(MID(Sync!$AE731,FIND("/",Sync!$AE731)+1,20),FIND("/",MID(Sync!$AE731,FIND("/",Sync!$AE731)+1,20))-1))),"")))</f>
        <v/>
      </c>
      <c r="I731" t="str">
        <f>IF(OR($F731="",$G731=""),"",IF(ISNUMBER(Sync!$AE731),MOD(Sync!$AE731,100),IFERROR(VALUE(TRIM(MID(MID(Sync!$AE731,FIND("/",Sync!$AE731)+1,20),FIND("/",MID(Sync!$AE731,FIND("/",Sync!$AE731)+1,20))+1,20))),"")))</f>
        <v/>
      </c>
      <c r="J731" t="str">
        <f t="shared" si="57"/>
        <v/>
      </c>
      <c r="K731" t="str">
        <f>IF(OR($F731="",$J731="",$J731="نامعتبر"),"",LEFT($J731,4)&amp;MID($J731,6,2)&amp;RIGHT($J731,2)&amp;$N731&amp;"|"&amp;"2"&amp;RIGHT("00000"&amp;726,5))</f>
        <v/>
      </c>
      <c r="L731" t="str">
        <f t="shared" si="58"/>
        <v/>
      </c>
      <c r="M731" t="str">
        <f t="shared" si="59"/>
        <v/>
      </c>
      <c r="N731" t="str">
        <f>IF($F731="","",IF(Sync!$AF731="","0000",IF(AND(ISNUMBER(Sync!$AF731),Sync!$AF731&gt;=0,Sync!$AF731&lt;1),RIGHT("00"&amp;HOUR(Sync!$AF731),2)&amp;RIGHT("00"&amp;MINUTE(Sync!$AF731),2),IFERROR(RIGHT("00"&amp;VALUE(LEFT(Sync!$AF731,FIND(":",Sync!$AF731)-1)),2)&amp;RIGHT("00"&amp;VALUE(MID(Sync!$AF731,FIND(":",Sync!$AF731)+1,2)),2),"0000"))))</f>
        <v/>
      </c>
    </row>
    <row r="732" spans="1:14" x14ac:dyDescent="0.2">
      <c r="A732" t="str">
        <f>IF(OR(Calc!$E736="",Calc!$E736="نامعتبر",Calc!$G736=""),"",Calc!$G736)</f>
        <v/>
      </c>
      <c r="B732" t="str">
        <f>IF($A732="","",LEFT(Calc!$E736,4)&amp;MID(Calc!$E736,6,2)&amp;RIGHT(Calc!$E736,2)&amp;Calc!$Q736&amp;"|"&amp;"1"&amp;RIGHT("00000"&amp;727,5))</f>
        <v/>
      </c>
      <c r="C732" t="str">
        <f t="shared" si="55"/>
        <v/>
      </c>
      <c r="D732" t="str">
        <f t="shared" si="56"/>
        <v/>
      </c>
      <c r="F732" t="str">
        <f>IF(Sync!$AH732="","",IF(LEFT(UPPER(TRIM(Sync!$AH732)),2)="SL",UPPER(TRIM(Sync!$AH732)),""))</f>
        <v/>
      </c>
      <c r="G732" t="str">
        <f>IF($F732="","",IF(Sync!$AE732="","",IF(ISNUMBER(Sync!$AE732),IF(AND(Sync!$AE732&gt;=10000101,Sync!$AE732&lt;=99991231),INT(Sync!$AE732/10000),""),IFERROR(VALUE(TRIM(LEFT(Sync!$AE732,FIND("/",Sync!$AE732)-1))),""))))</f>
        <v/>
      </c>
      <c r="H732" t="str">
        <f>IF(OR($F732="",$G732=""),"",IF(ISNUMBER(Sync!$AE732),INT(MOD(Sync!$AE732,10000)/100),IFERROR(VALUE(TRIM(LEFT(MID(Sync!$AE732,FIND("/",Sync!$AE732)+1,20),FIND("/",MID(Sync!$AE732,FIND("/",Sync!$AE732)+1,20))-1))),"")))</f>
        <v/>
      </c>
      <c r="I732" t="str">
        <f>IF(OR($F732="",$G732=""),"",IF(ISNUMBER(Sync!$AE732),MOD(Sync!$AE732,100),IFERROR(VALUE(TRIM(MID(MID(Sync!$AE732,FIND("/",Sync!$AE732)+1,20),FIND("/",MID(Sync!$AE732,FIND("/",Sync!$AE732)+1,20))+1,20))),"")))</f>
        <v/>
      </c>
      <c r="J732" t="str">
        <f t="shared" si="57"/>
        <v/>
      </c>
      <c r="K732" t="str">
        <f>IF(OR($F732="",$J732="",$J732="نامعتبر"),"",LEFT($J732,4)&amp;MID($J732,6,2)&amp;RIGHT($J732,2)&amp;$N732&amp;"|"&amp;"2"&amp;RIGHT("00000"&amp;727,5))</f>
        <v/>
      </c>
      <c r="L732" t="str">
        <f t="shared" si="58"/>
        <v/>
      </c>
      <c r="M732" t="str">
        <f t="shared" si="59"/>
        <v/>
      </c>
      <c r="N732" t="str">
        <f>IF($F732="","",IF(Sync!$AF732="","0000",IF(AND(ISNUMBER(Sync!$AF732),Sync!$AF732&gt;=0,Sync!$AF732&lt;1),RIGHT("00"&amp;HOUR(Sync!$AF732),2)&amp;RIGHT("00"&amp;MINUTE(Sync!$AF732),2),IFERROR(RIGHT("00"&amp;VALUE(LEFT(Sync!$AF732,FIND(":",Sync!$AF732)-1)),2)&amp;RIGHT("00"&amp;VALUE(MID(Sync!$AF732,FIND(":",Sync!$AF732)+1,2)),2),"0000"))))</f>
        <v/>
      </c>
    </row>
    <row r="733" spans="1:14" x14ac:dyDescent="0.2">
      <c r="A733" t="str">
        <f>IF(OR(Calc!$E737="",Calc!$E737="نامعتبر",Calc!$G737=""),"",Calc!$G737)</f>
        <v/>
      </c>
      <c r="B733" t="str">
        <f>IF($A733="","",LEFT(Calc!$E737,4)&amp;MID(Calc!$E737,6,2)&amp;RIGHT(Calc!$E737,2)&amp;Calc!$Q737&amp;"|"&amp;"1"&amp;RIGHT("00000"&amp;728,5))</f>
        <v/>
      </c>
      <c r="C733" t="str">
        <f t="shared" si="55"/>
        <v/>
      </c>
      <c r="D733" t="str">
        <f t="shared" si="56"/>
        <v/>
      </c>
      <c r="F733" t="str">
        <f>IF(Sync!$AH733="","",IF(LEFT(UPPER(TRIM(Sync!$AH733)),2)="SL",UPPER(TRIM(Sync!$AH733)),""))</f>
        <v/>
      </c>
      <c r="G733" t="str">
        <f>IF($F733="","",IF(Sync!$AE733="","",IF(ISNUMBER(Sync!$AE733),IF(AND(Sync!$AE733&gt;=10000101,Sync!$AE733&lt;=99991231),INT(Sync!$AE733/10000),""),IFERROR(VALUE(TRIM(LEFT(Sync!$AE733,FIND("/",Sync!$AE733)-1))),""))))</f>
        <v/>
      </c>
      <c r="H733" t="str">
        <f>IF(OR($F733="",$G733=""),"",IF(ISNUMBER(Sync!$AE733),INT(MOD(Sync!$AE733,10000)/100),IFERROR(VALUE(TRIM(LEFT(MID(Sync!$AE733,FIND("/",Sync!$AE733)+1,20),FIND("/",MID(Sync!$AE733,FIND("/",Sync!$AE733)+1,20))-1))),"")))</f>
        <v/>
      </c>
      <c r="I733" t="str">
        <f>IF(OR($F733="",$G733=""),"",IF(ISNUMBER(Sync!$AE733),MOD(Sync!$AE733,100),IFERROR(VALUE(TRIM(MID(MID(Sync!$AE733,FIND("/",Sync!$AE733)+1,20),FIND("/",MID(Sync!$AE733,FIND("/",Sync!$AE733)+1,20))+1,20))),"")))</f>
        <v/>
      </c>
      <c r="J733" t="str">
        <f t="shared" si="57"/>
        <v/>
      </c>
      <c r="K733" t="str">
        <f>IF(OR($F733="",$J733="",$J733="نامعتبر"),"",LEFT($J733,4)&amp;MID($J733,6,2)&amp;RIGHT($J733,2)&amp;$N733&amp;"|"&amp;"2"&amp;RIGHT("00000"&amp;728,5))</f>
        <v/>
      </c>
      <c r="L733" t="str">
        <f t="shared" si="58"/>
        <v/>
      </c>
      <c r="M733" t="str">
        <f t="shared" si="59"/>
        <v/>
      </c>
      <c r="N733" t="str">
        <f>IF($F733="","",IF(Sync!$AF733="","0000",IF(AND(ISNUMBER(Sync!$AF733),Sync!$AF733&gt;=0,Sync!$AF733&lt;1),RIGHT("00"&amp;HOUR(Sync!$AF733),2)&amp;RIGHT("00"&amp;MINUTE(Sync!$AF733),2),IFERROR(RIGHT("00"&amp;VALUE(LEFT(Sync!$AF733,FIND(":",Sync!$AF733)-1)),2)&amp;RIGHT("00"&amp;VALUE(MID(Sync!$AF733,FIND(":",Sync!$AF733)+1,2)),2),"0000"))))</f>
        <v/>
      </c>
    </row>
    <row r="734" spans="1:14" x14ac:dyDescent="0.2">
      <c r="A734" t="str">
        <f>IF(OR(Calc!$E738="",Calc!$E738="نامعتبر",Calc!$G738=""),"",Calc!$G738)</f>
        <v/>
      </c>
      <c r="B734" t="str">
        <f>IF($A734="","",LEFT(Calc!$E738,4)&amp;MID(Calc!$E738,6,2)&amp;RIGHT(Calc!$E738,2)&amp;Calc!$Q738&amp;"|"&amp;"1"&amp;RIGHT("00000"&amp;729,5))</f>
        <v/>
      </c>
      <c r="C734" t="str">
        <f t="shared" si="55"/>
        <v/>
      </c>
      <c r="D734" t="str">
        <f t="shared" si="56"/>
        <v/>
      </c>
      <c r="F734" t="str">
        <f>IF(Sync!$AH734="","",IF(LEFT(UPPER(TRIM(Sync!$AH734)),2)="SL",UPPER(TRIM(Sync!$AH734)),""))</f>
        <v/>
      </c>
      <c r="G734" t="str">
        <f>IF($F734="","",IF(Sync!$AE734="","",IF(ISNUMBER(Sync!$AE734),IF(AND(Sync!$AE734&gt;=10000101,Sync!$AE734&lt;=99991231),INT(Sync!$AE734/10000),""),IFERROR(VALUE(TRIM(LEFT(Sync!$AE734,FIND("/",Sync!$AE734)-1))),""))))</f>
        <v/>
      </c>
      <c r="H734" t="str">
        <f>IF(OR($F734="",$G734=""),"",IF(ISNUMBER(Sync!$AE734),INT(MOD(Sync!$AE734,10000)/100),IFERROR(VALUE(TRIM(LEFT(MID(Sync!$AE734,FIND("/",Sync!$AE734)+1,20),FIND("/",MID(Sync!$AE734,FIND("/",Sync!$AE734)+1,20))-1))),"")))</f>
        <v/>
      </c>
      <c r="I734" t="str">
        <f>IF(OR($F734="",$G734=""),"",IF(ISNUMBER(Sync!$AE734),MOD(Sync!$AE734,100),IFERROR(VALUE(TRIM(MID(MID(Sync!$AE734,FIND("/",Sync!$AE734)+1,20),FIND("/",MID(Sync!$AE734,FIND("/",Sync!$AE734)+1,20))+1,20))),"")))</f>
        <v/>
      </c>
      <c r="J734" t="str">
        <f t="shared" si="57"/>
        <v/>
      </c>
      <c r="K734" t="str">
        <f>IF(OR($F734="",$J734="",$J734="نامعتبر"),"",LEFT($J734,4)&amp;MID($J734,6,2)&amp;RIGHT($J734,2)&amp;$N734&amp;"|"&amp;"2"&amp;RIGHT("00000"&amp;729,5))</f>
        <v/>
      </c>
      <c r="L734" t="str">
        <f t="shared" si="58"/>
        <v/>
      </c>
      <c r="M734" t="str">
        <f t="shared" si="59"/>
        <v/>
      </c>
      <c r="N734" t="str">
        <f>IF($F734="","",IF(Sync!$AF734="","0000",IF(AND(ISNUMBER(Sync!$AF734),Sync!$AF734&gt;=0,Sync!$AF734&lt;1),RIGHT("00"&amp;HOUR(Sync!$AF734),2)&amp;RIGHT("00"&amp;MINUTE(Sync!$AF734),2),IFERROR(RIGHT("00"&amp;VALUE(LEFT(Sync!$AF734,FIND(":",Sync!$AF734)-1)),2)&amp;RIGHT("00"&amp;VALUE(MID(Sync!$AF734,FIND(":",Sync!$AF734)+1,2)),2),"0000"))))</f>
        <v/>
      </c>
    </row>
    <row r="735" spans="1:14" x14ac:dyDescent="0.2">
      <c r="A735" t="str">
        <f>IF(OR(Calc!$E739="",Calc!$E739="نامعتبر",Calc!$G739=""),"",Calc!$G739)</f>
        <v/>
      </c>
      <c r="B735" t="str">
        <f>IF($A735="","",LEFT(Calc!$E739,4)&amp;MID(Calc!$E739,6,2)&amp;RIGHT(Calc!$E739,2)&amp;Calc!$Q739&amp;"|"&amp;"1"&amp;RIGHT("00000"&amp;730,5))</f>
        <v/>
      </c>
      <c r="C735" t="str">
        <f t="shared" si="55"/>
        <v/>
      </c>
      <c r="D735" t="str">
        <f t="shared" si="56"/>
        <v/>
      </c>
      <c r="F735" t="str">
        <f>IF(Sync!$AH735="","",IF(LEFT(UPPER(TRIM(Sync!$AH735)),2)="SL",UPPER(TRIM(Sync!$AH735)),""))</f>
        <v/>
      </c>
      <c r="G735" t="str">
        <f>IF($F735="","",IF(Sync!$AE735="","",IF(ISNUMBER(Sync!$AE735),IF(AND(Sync!$AE735&gt;=10000101,Sync!$AE735&lt;=99991231),INT(Sync!$AE735/10000),""),IFERROR(VALUE(TRIM(LEFT(Sync!$AE735,FIND("/",Sync!$AE735)-1))),""))))</f>
        <v/>
      </c>
      <c r="H735" t="str">
        <f>IF(OR($F735="",$G735=""),"",IF(ISNUMBER(Sync!$AE735),INT(MOD(Sync!$AE735,10000)/100),IFERROR(VALUE(TRIM(LEFT(MID(Sync!$AE735,FIND("/",Sync!$AE735)+1,20),FIND("/",MID(Sync!$AE735,FIND("/",Sync!$AE735)+1,20))-1))),"")))</f>
        <v/>
      </c>
      <c r="I735" t="str">
        <f>IF(OR($F735="",$G735=""),"",IF(ISNUMBER(Sync!$AE735),MOD(Sync!$AE735,100),IFERROR(VALUE(TRIM(MID(MID(Sync!$AE735,FIND("/",Sync!$AE735)+1,20),FIND("/",MID(Sync!$AE735,FIND("/",Sync!$AE735)+1,20))+1,20))),"")))</f>
        <v/>
      </c>
      <c r="J735" t="str">
        <f t="shared" si="57"/>
        <v/>
      </c>
      <c r="K735" t="str">
        <f>IF(OR($F735="",$J735="",$J735="نامعتبر"),"",LEFT($J735,4)&amp;MID($J735,6,2)&amp;RIGHT($J735,2)&amp;$N735&amp;"|"&amp;"2"&amp;RIGHT("00000"&amp;730,5))</f>
        <v/>
      </c>
      <c r="L735" t="str">
        <f t="shared" si="58"/>
        <v/>
      </c>
      <c r="M735" t="str">
        <f t="shared" si="59"/>
        <v/>
      </c>
      <c r="N735" t="str">
        <f>IF($F735="","",IF(Sync!$AF735="","0000",IF(AND(ISNUMBER(Sync!$AF735),Sync!$AF735&gt;=0,Sync!$AF735&lt;1),RIGHT("00"&amp;HOUR(Sync!$AF735),2)&amp;RIGHT("00"&amp;MINUTE(Sync!$AF735),2),IFERROR(RIGHT("00"&amp;VALUE(LEFT(Sync!$AF735,FIND(":",Sync!$AF735)-1)),2)&amp;RIGHT("00"&amp;VALUE(MID(Sync!$AF735,FIND(":",Sync!$AF735)+1,2)),2),"0000"))))</f>
        <v/>
      </c>
    </row>
    <row r="736" spans="1:14" x14ac:dyDescent="0.2">
      <c r="A736" t="str">
        <f>IF(OR(Calc!$E740="",Calc!$E740="نامعتبر",Calc!$G740=""),"",Calc!$G740)</f>
        <v/>
      </c>
      <c r="B736" t="str">
        <f>IF($A736="","",LEFT(Calc!$E740,4)&amp;MID(Calc!$E740,6,2)&amp;RIGHT(Calc!$E740,2)&amp;Calc!$Q740&amp;"|"&amp;"1"&amp;RIGHT("00000"&amp;731,5))</f>
        <v/>
      </c>
      <c r="C736" t="str">
        <f t="shared" si="55"/>
        <v/>
      </c>
      <c r="D736" t="str">
        <f t="shared" si="56"/>
        <v/>
      </c>
      <c r="F736" t="str">
        <f>IF(Sync!$AH736="","",IF(LEFT(UPPER(TRIM(Sync!$AH736)),2)="SL",UPPER(TRIM(Sync!$AH736)),""))</f>
        <v/>
      </c>
      <c r="G736" t="str">
        <f>IF($F736="","",IF(Sync!$AE736="","",IF(ISNUMBER(Sync!$AE736),IF(AND(Sync!$AE736&gt;=10000101,Sync!$AE736&lt;=99991231),INT(Sync!$AE736/10000),""),IFERROR(VALUE(TRIM(LEFT(Sync!$AE736,FIND("/",Sync!$AE736)-1))),""))))</f>
        <v/>
      </c>
      <c r="H736" t="str">
        <f>IF(OR($F736="",$G736=""),"",IF(ISNUMBER(Sync!$AE736),INT(MOD(Sync!$AE736,10000)/100),IFERROR(VALUE(TRIM(LEFT(MID(Sync!$AE736,FIND("/",Sync!$AE736)+1,20),FIND("/",MID(Sync!$AE736,FIND("/",Sync!$AE736)+1,20))-1))),"")))</f>
        <v/>
      </c>
      <c r="I736" t="str">
        <f>IF(OR($F736="",$G736=""),"",IF(ISNUMBER(Sync!$AE736),MOD(Sync!$AE736,100),IFERROR(VALUE(TRIM(MID(MID(Sync!$AE736,FIND("/",Sync!$AE736)+1,20),FIND("/",MID(Sync!$AE736,FIND("/",Sync!$AE736)+1,20))+1,20))),"")))</f>
        <v/>
      </c>
      <c r="J736" t="str">
        <f t="shared" si="57"/>
        <v/>
      </c>
      <c r="K736" t="str">
        <f>IF(OR($F736="",$J736="",$J736="نامعتبر"),"",LEFT($J736,4)&amp;MID($J736,6,2)&amp;RIGHT($J736,2)&amp;$N736&amp;"|"&amp;"2"&amp;RIGHT("00000"&amp;731,5))</f>
        <v/>
      </c>
      <c r="L736" t="str">
        <f t="shared" si="58"/>
        <v/>
      </c>
      <c r="M736" t="str">
        <f t="shared" si="59"/>
        <v/>
      </c>
      <c r="N736" t="str">
        <f>IF($F736="","",IF(Sync!$AF736="","0000",IF(AND(ISNUMBER(Sync!$AF736),Sync!$AF736&gt;=0,Sync!$AF736&lt;1),RIGHT("00"&amp;HOUR(Sync!$AF736),2)&amp;RIGHT("00"&amp;MINUTE(Sync!$AF736),2),IFERROR(RIGHT("00"&amp;VALUE(LEFT(Sync!$AF736,FIND(":",Sync!$AF736)-1)),2)&amp;RIGHT("00"&amp;VALUE(MID(Sync!$AF736,FIND(":",Sync!$AF736)+1,2)),2),"0000"))))</f>
        <v/>
      </c>
    </row>
    <row r="737" spans="1:14" x14ac:dyDescent="0.2">
      <c r="A737" t="str">
        <f>IF(OR(Calc!$E741="",Calc!$E741="نامعتبر",Calc!$G741=""),"",Calc!$G741)</f>
        <v/>
      </c>
      <c r="B737" t="str">
        <f>IF($A737="","",LEFT(Calc!$E741,4)&amp;MID(Calc!$E741,6,2)&amp;RIGHT(Calc!$E741,2)&amp;Calc!$Q741&amp;"|"&amp;"1"&amp;RIGHT("00000"&amp;732,5))</f>
        <v/>
      </c>
      <c r="C737" t="str">
        <f t="shared" si="55"/>
        <v/>
      </c>
      <c r="D737" t="str">
        <f t="shared" si="56"/>
        <v/>
      </c>
      <c r="F737" t="str">
        <f>IF(Sync!$AH737="","",IF(LEFT(UPPER(TRIM(Sync!$AH737)),2)="SL",UPPER(TRIM(Sync!$AH737)),""))</f>
        <v/>
      </c>
      <c r="G737" t="str">
        <f>IF($F737="","",IF(Sync!$AE737="","",IF(ISNUMBER(Sync!$AE737),IF(AND(Sync!$AE737&gt;=10000101,Sync!$AE737&lt;=99991231),INT(Sync!$AE737/10000),""),IFERROR(VALUE(TRIM(LEFT(Sync!$AE737,FIND("/",Sync!$AE737)-1))),""))))</f>
        <v/>
      </c>
      <c r="H737" t="str">
        <f>IF(OR($F737="",$G737=""),"",IF(ISNUMBER(Sync!$AE737),INT(MOD(Sync!$AE737,10000)/100),IFERROR(VALUE(TRIM(LEFT(MID(Sync!$AE737,FIND("/",Sync!$AE737)+1,20),FIND("/",MID(Sync!$AE737,FIND("/",Sync!$AE737)+1,20))-1))),"")))</f>
        <v/>
      </c>
      <c r="I737" t="str">
        <f>IF(OR($F737="",$G737=""),"",IF(ISNUMBER(Sync!$AE737),MOD(Sync!$AE737,100),IFERROR(VALUE(TRIM(MID(MID(Sync!$AE737,FIND("/",Sync!$AE737)+1,20),FIND("/",MID(Sync!$AE737,FIND("/",Sync!$AE737)+1,20))+1,20))),"")))</f>
        <v/>
      </c>
      <c r="J737" t="str">
        <f t="shared" si="57"/>
        <v/>
      </c>
      <c r="K737" t="str">
        <f>IF(OR($F737="",$J737="",$J737="نامعتبر"),"",LEFT($J737,4)&amp;MID($J737,6,2)&amp;RIGHT($J737,2)&amp;$N737&amp;"|"&amp;"2"&amp;RIGHT("00000"&amp;732,5))</f>
        <v/>
      </c>
      <c r="L737" t="str">
        <f t="shared" si="58"/>
        <v/>
      </c>
      <c r="M737" t="str">
        <f t="shared" si="59"/>
        <v/>
      </c>
      <c r="N737" t="str">
        <f>IF($F737="","",IF(Sync!$AF737="","0000",IF(AND(ISNUMBER(Sync!$AF737),Sync!$AF737&gt;=0,Sync!$AF737&lt;1),RIGHT("00"&amp;HOUR(Sync!$AF737),2)&amp;RIGHT("00"&amp;MINUTE(Sync!$AF737),2),IFERROR(RIGHT("00"&amp;VALUE(LEFT(Sync!$AF737,FIND(":",Sync!$AF737)-1)),2)&amp;RIGHT("00"&amp;VALUE(MID(Sync!$AF737,FIND(":",Sync!$AF737)+1,2)),2),"0000"))))</f>
        <v/>
      </c>
    </row>
    <row r="738" spans="1:14" x14ac:dyDescent="0.2">
      <c r="A738" t="str">
        <f>IF(OR(Calc!$E742="",Calc!$E742="نامعتبر",Calc!$G742=""),"",Calc!$G742)</f>
        <v/>
      </c>
      <c r="B738" t="str">
        <f>IF($A738="","",LEFT(Calc!$E742,4)&amp;MID(Calc!$E742,6,2)&amp;RIGHT(Calc!$E742,2)&amp;Calc!$Q742&amp;"|"&amp;"1"&amp;RIGHT("00000"&amp;733,5))</f>
        <v/>
      </c>
      <c r="C738" t="str">
        <f t="shared" si="55"/>
        <v/>
      </c>
      <c r="D738" t="str">
        <f t="shared" si="56"/>
        <v/>
      </c>
      <c r="F738" t="str">
        <f>IF(Sync!$AH738="","",IF(LEFT(UPPER(TRIM(Sync!$AH738)),2)="SL",UPPER(TRIM(Sync!$AH738)),""))</f>
        <v/>
      </c>
      <c r="G738" t="str">
        <f>IF($F738="","",IF(Sync!$AE738="","",IF(ISNUMBER(Sync!$AE738),IF(AND(Sync!$AE738&gt;=10000101,Sync!$AE738&lt;=99991231),INT(Sync!$AE738/10000),""),IFERROR(VALUE(TRIM(LEFT(Sync!$AE738,FIND("/",Sync!$AE738)-1))),""))))</f>
        <v/>
      </c>
      <c r="H738" t="str">
        <f>IF(OR($F738="",$G738=""),"",IF(ISNUMBER(Sync!$AE738),INT(MOD(Sync!$AE738,10000)/100),IFERROR(VALUE(TRIM(LEFT(MID(Sync!$AE738,FIND("/",Sync!$AE738)+1,20),FIND("/",MID(Sync!$AE738,FIND("/",Sync!$AE738)+1,20))-1))),"")))</f>
        <v/>
      </c>
      <c r="I738" t="str">
        <f>IF(OR($F738="",$G738=""),"",IF(ISNUMBER(Sync!$AE738),MOD(Sync!$AE738,100),IFERROR(VALUE(TRIM(MID(MID(Sync!$AE738,FIND("/",Sync!$AE738)+1,20),FIND("/",MID(Sync!$AE738,FIND("/",Sync!$AE738)+1,20))+1,20))),"")))</f>
        <v/>
      </c>
      <c r="J738" t="str">
        <f t="shared" si="57"/>
        <v/>
      </c>
      <c r="K738" t="str">
        <f>IF(OR($F738="",$J738="",$J738="نامعتبر"),"",LEFT($J738,4)&amp;MID($J738,6,2)&amp;RIGHT($J738,2)&amp;$N738&amp;"|"&amp;"2"&amp;RIGHT("00000"&amp;733,5))</f>
        <v/>
      </c>
      <c r="L738" t="str">
        <f t="shared" si="58"/>
        <v/>
      </c>
      <c r="M738" t="str">
        <f t="shared" si="59"/>
        <v/>
      </c>
      <c r="N738" t="str">
        <f>IF($F738="","",IF(Sync!$AF738="","0000",IF(AND(ISNUMBER(Sync!$AF738),Sync!$AF738&gt;=0,Sync!$AF738&lt;1),RIGHT("00"&amp;HOUR(Sync!$AF738),2)&amp;RIGHT("00"&amp;MINUTE(Sync!$AF738),2),IFERROR(RIGHT("00"&amp;VALUE(LEFT(Sync!$AF738,FIND(":",Sync!$AF738)-1)),2)&amp;RIGHT("00"&amp;VALUE(MID(Sync!$AF738,FIND(":",Sync!$AF738)+1,2)),2),"0000"))))</f>
        <v/>
      </c>
    </row>
    <row r="739" spans="1:14" x14ac:dyDescent="0.2">
      <c r="A739" t="str">
        <f>IF(OR(Calc!$E743="",Calc!$E743="نامعتبر",Calc!$G743=""),"",Calc!$G743)</f>
        <v/>
      </c>
      <c r="B739" t="str">
        <f>IF($A739="","",LEFT(Calc!$E743,4)&amp;MID(Calc!$E743,6,2)&amp;RIGHT(Calc!$E743,2)&amp;Calc!$Q743&amp;"|"&amp;"1"&amp;RIGHT("00000"&amp;734,5))</f>
        <v/>
      </c>
      <c r="C739" t="str">
        <f t="shared" si="55"/>
        <v/>
      </c>
      <c r="D739" t="str">
        <f t="shared" si="56"/>
        <v/>
      </c>
      <c r="F739" t="str">
        <f>IF(Sync!$AH739="","",IF(LEFT(UPPER(TRIM(Sync!$AH739)),2)="SL",UPPER(TRIM(Sync!$AH739)),""))</f>
        <v/>
      </c>
      <c r="G739" t="str">
        <f>IF($F739="","",IF(Sync!$AE739="","",IF(ISNUMBER(Sync!$AE739),IF(AND(Sync!$AE739&gt;=10000101,Sync!$AE739&lt;=99991231),INT(Sync!$AE739/10000),""),IFERROR(VALUE(TRIM(LEFT(Sync!$AE739,FIND("/",Sync!$AE739)-1))),""))))</f>
        <v/>
      </c>
      <c r="H739" t="str">
        <f>IF(OR($F739="",$G739=""),"",IF(ISNUMBER(Sync!$AE739),INT(MOD(Sync!$AE739,10000)/100),IFERROR(VALUE(TRIM(LEFT(MID(Sync!$AE739,FIND("/",Sync!$AE739)+1,20),FIND("/",MID(Sync!$AE739,FIND("/",Sync!$AE739)+1,20))-1))),"")))</f>
        <v/>
      </c>
      <c r="I739" t="str">
        <f>IF(OR($F739="",$G739=""),"",IF(ISNUMBER(Sync!$AE739),MOD(Sync!$AE739,100),IFERROR(VALUE(TRIM(MID(MID(Sync!$AE739,FIND("/",Sync!$AE739)+1,20),FIND("/",MID(Sync!$AE739,FIND("/",Sync!$AE739)+1,20))+1,20))),"")))</f>
        <v/>
      </c>
      <c r="J739" t="str">
        <f t="shared" si="57"/>
        <v/>
      </c>
      <c r="K739" t="str">
        <f>IF(OR($F739="",$J739="",$J739="نامعتبر"),"",LEFT($J739,4)&amp;MID($J739,6,2)&amp;RIGHT($J739,2)&amp;$N739&amp;"|"&amp;"2"&amp;RIGHT("00000"&amp;734,5))</f>
        <v/>
      </c>
      <c r="L739" t="str">
        <f t="shared" si="58"/>
        <v/>
      </c>
      <c r="M739" t="str">
        <f t="shared" si="59"/>
        <v/>
      </c>
      <c r="N739" t="str">
        <f>IF($F739="","",IF(Sync!$AF739="","0000",IF(AND(ISNUMBER(Sync!$AF739),Sync!$AF739&gt;=0,Sync!$AF739&lt;1),RIGHT("00"&amp;HOUR(Sync!$AF739),2)&amp;RIGHT("00"&amp;MINUTE(Sync!$AF739),2),IFERROR(RIGHT("00"&amp;VALUE(LEFT(Sync!$AF739,FIND(":",Sync!$AF739)-1)),2)&amp;RIGHT("00"&amp;VALUE(MID(Sync!$AF739,FIND(":",Sync!$AF739)+1,2)),2),"0000"))))</f>
        <v/>
      </c>
    </row>
    <row r="740" spans="1:14" x14ac:dyDescent="0.2">
      <c r="A740" t="str">
        <f>IF(OR(Calc!$E744="",Calc!$E744="نامعتبر",Calc!$G744=""),"",Calc!$G744)</f>
        <v/>
      </c>
      <c r="B740" t="str">
        <f>IF($A740="","",LEFT(Calc!$E744,4)&amp;MID(Calc!$E744,6,2)&amp;RIGHT(Calc!$E744,2)&amp;Calc!$Q744&amp;"|"&amp;"1"&amp;RIGHT("00000"&amp;735,5))</f>
        <v/>
      </c>
      <c r="C740" t="str">
        <f t="shared" si="55"/>
        <v/>
      </c>
      <c r="D740" t="str">
        <f t="shared" si="56"/>
        <v/>
      </c>
      <c r="F740" t="str">
        <f>IF(Sync!$AH740="","",IF(LEFT(UPPER(TRIM(Sync!$AH740)),2)="SL",UPPER(TRIM(Sync!$AH740)),""))</f>
        <v/>
      </c>
      <c r="G740" t="str">
        <f>IF($F740="","",IF(Sync!$AE740="","",IF(ISNUMBER(Sync!$AE740),IF(AND(Sync!$AE740&gt;=10000101,Sync!$AE740&lt;=99991231),INT(Sync!$AE740/10000),""),IFERROR(VALUE(TRIM(LEFT(Sync!$AE740,FIND("/",Sync!$AE740)-1))),""))))</f>
        <v/>
      </c>
      <c r="H740" t="str">
        <f>IF(OR($F740="",$G740=""),"",IF(ISNUMBER(Sync!$AE740),INT(MOD(Sync!$AE740,10000)/100),IFERROR(VALUE(TRIM(LEFT(MID(Sync!$AE740,FIND("/",Sync!$AE740)+1,20),FIND("/",MID(Sync!$AE740,FIND("/",Sync!$AE740)+1,20))-1))),"")))</f>
        <v/>
      </c>
      <c r="I740" t="str">
        <f>IF(OR($F740="",$G740=""),"",IF(ISNUMBER(Sync!$AE740),MOD(Sync!$AE740,100),IFERROR(VALUE(TRIM(MID(MID(Sync!$AE740,FIND("/",Sync!$AE740)+1,20),FIND("/",MID(Sync!$AE740,FIND("/",Sync!$AE740)+1,20))+1,20))),"")))</f>
        <v/>
      </c>
      <c r="J740" t="str">
        <f t="shared" si="57"/>
        <v/>
      </c>
      <c r="K740" t="str">
        <f>IF(OR($F740="",$J740="",$J740="نامعتبر"),"",LEFT($J740,4)&amp;MID($J740,6,2)&amp;RIGHT($J740,2)&amp;$N740&amp;"|"&amp;"2"&amp;RIGHT("00000"&amp;735,5))</f>
        <v/>
      </c>
      <c r="L740" t="str">
        <f t="shared" si="58"/>
        <v/>
      </c>
      <c r="M740" t="str">
        <f t="shared" si="59"/>
        <v/>
      </c>
      <c r="N740" t="str">
        <f>IF($F740="","",IF(Sync!$AF740="","0000",IF(AND(ISNUMBER(Sync!$AF740),Sync!$AF740&gt;=0,Sync!$AF740&lt;1),RIGHT("00"&amp;HOUR(Sync!$AF740),2)&amp;RIGHT("00"&amp;MINUTE(Sync!$AF740),2),IFERROR(RIGHT("00"&amp;VALUE(LEFT(Sync!$AF740,FIND(":",Sync!$AF740)-1)),2)&amp;RIGHT("00"&amp;VALUE(MID(Sync!$AF740,FIND(":",Sync!$AF740)+1,2)),2),"0000"))))</f>
        <v/>
      </c>
    </row>
    <row r="741" spans="1:14" x14ac:dyDescent="0.2">
      <c r="A741" t="str">
        <f>IF(OR(Calc!$E745="",Calc!$E745="نامعتبر",Calc!$G745=""),"",Calc!$G745)</f>
        <v/>
      </c>
      <c r="B741" t="str">
        <f>IF($A741="","",LEFT(Calc!$E745,4)&amp;MID(Calc!$E745,6,2)&amp;RIGHT(Calc!$E745,2)&amp;Calc!$Q745&amp;"|"&amp;"1"&amp;RIGHT("00000"&amp;736,5))</f>
        <v/>
      </c>
      <c r="C741" t="str">
        <f t="shared" si="55"/>
        <v/>
      </c>
      <c r="D741" t="str">
        <f t="shared" si="56"/>
        <v/>
      </c>
      <c r="F741" t="str">
        <f>IF(Sync!$AH741="","",IF(LEFT(UPPER(TRIM(Sync!$AH741)),2)="SL",UPPER(TRIM(Sync!$AH741)),""))</f>
        <v/>
      </c>
      <c r="G741" t="str">
        <f>IF($F741="","",IF(Sync!$AE741="","",IF(ISNUMBER(Sync!$AE741),IF(AND(Sync!$AE741&gt;=10000101,Sync!$AE741&lt;=99991231),INT(Sync!$AE741/10000),""),IFERROR(VALUE(TRIM(LEFT(Sync!$AE741,FIND("/",Sync!$AE741)-1))),""))))</f>
        <v/>
      </c>
      <c r="H741" t="str">
        <f>IF(OR($F741="",$G741=""),"",IF(ISNUMBER(Sync!$AE741),INT(MOD(Sync!$AE741,10000)/100),IFERROR(VALUE(TRIM(LEFT(MID(Sync!$AE741,FIND("/",Sync!$AE741)+1,20),FIND("/",MID(Sync!$AE741,FIND("/",Sync!$AE741)+1,20))-1))),"")))</f>
        <v/>
      </c>
      <c r="I741" t="str">
        <f>IF(OR($F741="",$G741=""),"",IF(ISNUMBER(Sync!$AE741),MOD(Sync!$AE741,100),IFERROR(VALUE(TRIM(MID(MID(Sync!$AE741,FIND("/",Sync!$AE741)+1,20),FIND("/",MID(Sync!$AE741,FIND("/",Sync!$AE741)+1,20))+1,20))),"")))</f>
        <v/>
      </c>
      <c r="J741" t="str">
        <f t="shared" si="57"/>
        <v/>
      </c>
      <c r="K741" t="str">
        <f>IF(OR($F741="",$J741="",$J741="نامعتبر"),"",LEFT($J741,4)&amp;MID($J741,6,2)&amp;RIGHT($J741,2)&amp;$N741&amp;"|"&amp;"2"&amp;RIGHT("00000"&amp;736,5))</f>
        <v/>
      </c>
      <c r="L741" t="str">
        <f t="shared" si="58"/>
        <v/>
      </c>
      <c r="M741" t="str">
        <f t="shared" si="59"/>
        <v/>
      </c>
      <c r="N741" t="str">
        <f>IF($F741="","",IF(Sync!$AF741="","0000",IF(AND(ISNUMBER(Sync!$AF741),Sync!$AF741&gt;=0,Sync!$AF741&lt;1),RIGHT("00"&amp;HOUR(Sync!$AF741),2)&amp;RIGHT("00"&amp;MINUTE(Sync!$AF741),2),IFERROR(RIGHT("00"&amp;VALUE(LEFT(Sync!$AF741,FIND(":",Sync!$AF741)-1)),2)&amp;RIGHT("00"&amp;VALUE(MID(Sync!$AF741,FIND(":",Sync!$AF741)+1,2)),2),"0000"))))</f>
        <v/>
      </c>
    </row>
    <row r="742" spans="1:14" x14ac:dyDescent="0.2">
      <c r="A742" t="str">
        <f>IF(OR(Calc!$E746="",Calc!$E746="نامعتبر",Calc!$G746=""),"",Calc!$G746)</f>
        <v/>
      </c>
      <c r="B742" t="str">
        <f>IF($A742="","",LEFT(Calc!$E746,4)&amp;MID(Calc!$E746,6,2)&amp;RIGHT(Calc!$E746,2)&amp;Calc!$Q746&amp;"|"&amp;"1"&amp;RIGHT("00000"&amp;737,5))</f>
        <v/>
      </c>
      <c r="C742" t="str">
        <f t="shared" si="55"/>
        <v/>
      </c>
      <c r="D742" t="str">
        <f t="shared" si="56"/>
        <v/>
      </c>
      <c r="F742" t="str">
        <f>IF(Sync!$AH742="","",IF(LEFT(UPPER(TRIM(Sync!$AH742)),2)="SL",UPPER(TRIM(Sync!$AH742)),""))</f>
        <v/>
      </c>
      <c r="G742" t="str">
        <f>IF($F742="","",IF(Sync!$AE742="","",IF(ISNUMBER(Sync!$AE742),IF(AND(Sync!$AE742&gt;=10000101,Sync!$AE742&lt;=99991231),INT(Sync!$AE742/10000),""),IFERROR(VALUE(TRIM(LEFT(Sync!$AE742,FIND("/",Sync!$AE742)-1))),""))))</f>
        <v/>
      </c>
      <c r="H742" t="str">
        <f>IF(OR($F742="",$G742=""),"",IF(ISNUMBER(Sync!$AE742),INT(MOD(Sync!$AE742,10000)/100),IFERROR(VALUE(TRIM(LEFT(MID(Sync!$AE742,FIND("/",Sync!$AE742)+1,20),FIND("/",MID(Sync!$AE742,FIND("/",Sync!$AE742)+1,20))-1))),"")))</f>
        <v/>
      </c>
      <c r="I742" t="str">
        <f>IF(OR($F742="",$G742=""),"",IF(ISNUMBER(Sync!$AE742),MOD(Sync!$AE742,100),IFERROR(VALUE(TRIM(MID(MID(Sync!$AE742,FIND("/",Sync!$AE742)+1,20),FIND("/",MID(Sync!$AE742,FIND("/",Sync!$AE742)+1,20))+1,20))),"")))</f>
        <v/>
      </c>
      <c r="J742" t="str">
        <f t="shared" si="57"/>
        <v/>
      </c>
      <c r="K742" t="str">
        <f>IF(OR($F742="",$J742="",$J742="نامعتبر"),"",LEFT($J742,4)&amp;MID($J742,6,2)&amp;RIGHT($J742,2)&amp;$N742&amp;"|"&amp;"2"&amp;RIGHT("00000"&amp;737,5))</f>
        <v/>
      </c>
      <c r="L742" t="str">
        <f t="shared" si="58"/>
        <v/>
      </c>
      <c r="M742" t="str">
        <f t="shared" si="59"/>
        <v/>
      </c>
      <c r="N742" t="str">
        <f>IF($F742="","",IF(Sync!$AF742="","0000",IF(AND(ISNUMBER(Sync!$AF742),Sync!$AF742&gt;=0,Sync!$AF742&lt;1),RIGHT("00"&amp;HOUR(Sync!$AF742),2)&amp;RIGHT("00"&amp;MINUTE(Sync!$AF742),2),IFERROR(RIGHT("00"&amp;VALUE(LEFT(Sync!$AF742,FIND(":",Sync!$AF742)-1)),2)&amp;RIGHT("00"&amp;VALUE(MID(Sync!$AF742,FIND(":",Sync!$AF742)+1,2)),2),"0000"))))</f>
        <v/>
      </c>
    </row>
    <row r="743" spans="1:14" x14ac:dyDescent="0.2">
      <c r="A743" t="str">
        <f>IF(OR(Calc!$E747="",Calc!$E747="نامعتبر",Calc!$G747=""),"",Calc!$G747)</f>
        <v/>
      </c>
      <c r="B743" t="str">
        <f>IF($A743="","",LEFT(Calc!$E747,4)&amp;MID(Calc!$E747,6,2)&amp;RIGHT(Calc!$E747,2)&amp;Calc!$Q747&amp;"|"&amp;"1"&amp;RIGHT("00000"&amp;738,5))</f>
        <v/>
      </c>
      <c r="C743" t="str">
        <f t="shared" si="55"/>
        <v/>
      </c>
      <c r="D743" t="str">
        <f t="shared" si="56"/>
        <v/>
      </c>
      <c r="F743" t="str">
        <f>IF(Sync!$AH743="","",IF(LEFT(UPPER(TRIM(Sync!$AH743)),2)="SL",UPPER(TRIM(Sync!$AH743)),""))</f>
        <v/>
      </c>
      <c r="G743" t="str">
        <f>IF($F743="","",IF(Sync!$AE743="","",IF(ISNUMBER(Sync!$AE743),IF(AND(Sync!$AE743&gt;=10000101,Sync!$AE743&lt;=99991231),INT(Sync!$AE743/10000),""),IFERROR(VALUE(TRIM(LEFT(Sync!$AE743,FIND("/",Sync!$AE743)-1))),""))))</f>
        <v/>
      </c>
      <c r="H743" t="str">
        <f>IF(OR($F743="",$G743=""),"",IF(ISNUMBER(Sync!$AE743),INT(MOD(Sync!$AE743,10000)/100),IFERROR(VALUE(TRIM(LEFT(MID(Sync!$AE743,FIND("/",Sync!$AE743)+1,20),FIND("/",MID(Sync!$AE743,FIND("/",Sync!$AE743)+1,20))-1))),"")))</f>
        <v/>
      </c>
      <c r="I743" t="str">
        <f>IF(OR($F743="",$G743=""),"",IF(ISNUMBER(Sync!$AE743),MOD(Sync!$AE743,100),IFERROR(VALUE(TRIM(MID(MID(Sync!$AE743,FIND("/",Sync!$AE743)+1,20),FIND("/",MID(Sync!$AE743,FIND("/",Sync!$AE743)+1,20))+1,20))),"")))</f>
        <v/>
      </c>
      <c r="J743" t="str">
        <f t="shared" si="57"/>
        <v/>
      </c>
      <c r="K743" t="str">
        <f>IF(OR($F743="",$J743="",$J743="نامعتبر"),"",LEFT($J743,4)&amp;MID($J743,6,2)&amp;RIGHT($J743,2)&amp;$N743&amp;"|"&amp;"2"&amp;RIGHT("00000"&amp;738,5))</f>
        <v/>
      </c>
      <c r="L743" t="str">
        <f t="shared" si="58"/>
        <v/>
      </c>
      <c r="M743" t="str">
        <f t="shared" si="59"/>
        <v/>
      </c>
      <c r="N743" t="str">
        <f>IF($F743="","",IF(Sync!$AF743="","0000",IF(AND(ISNUMBER(Sync!$AF743),Sync!$AF743&gt;=0,Sync!$AF743&lt;1),RIGHT("00"&amp;HOUR(Sync!$AF743),2)&amp;RIGHT("00"&amp;MINUTE(Sync!$AF743),2),IFERROR(RIGHT("00"&amp;VALUE(LEFT(Sync!$AF743,FIND(":",Sync!$AF743)-1)),2)&amp;RIGHT("00"&amp;VALUE(MID(Sync!$AF743,FIND(":",Sync!$AF743)+1,2)),2),"0000"))))</f>
        <v/>
      </c>
    </row>
    <row r="744" spans="1:14" x14ac:dyDescent="0.2">
      <c r="A744" t="str">
        <f>IF(OR(Calc!$E748="",Calc!$E748="نامعتبر",Calc!$G748=""),"",Calc!$G748)</f>
        <v/>
      </c>
      <c r="B744" t="str">
        <f>IF($A744="","",LEFT(Calc!$E748,4)&amp;MID(Calc!$E748,6,2)&amp;RIGHT(Calc!$E748,2)&amp;Calc!$Q748&amp;"|"&amp;"1"&amp;RIGHT("00000"&amp;739,5))</f>
        <v/>
      </c>
      <c r="C744" t="str">
        <f t="shared" si="55"/>
        <v/>
      </c>
      <c r="D744" t="str">
        <f t="shared" si="56"/>
        <v/>
      </c>
      <c r="F744" t="str">
        <f>IF(Sync!$AH744="","",IF(LEFT(UPPER(TRIM(Sync!$AH744)),2)="SL",UPPER(TRIM(Sync!$AH744)),""))</f>
        <v/>
      </c>
      <c r="G744" t="str">
        <f>IF($F744="","",IF(Sync!$AE744="","",IF(ISNUMBER(Sync!$AE744),IF(AND(Sync!$AE744&gt;=10000101,Sync!$AE744&lt;=99991231),INT(Sync!$AE744/10000),""),IFERROR(VALUE(TRIM(LEFT(Sync!$AE744,FIND("/",Sync!$AE744)-1))),""))))</f>
        <v/>
      </c>
      <c r="H744" t="str">
        <f>IF(OR($F744="",$G744=""),"",IF(ISNUMBER(Sync!$AE744),INT(MOD(Sync!$AE744,10000)/100),IFERROR(VALUE(TRIM(LEFT(MID(Sync!$AE744,FIND("/",Sync!$AE744)+1,20),FIND("/",MID(Sync!$AE744,FIND("/",Sync!$AE744)+1,20))-1))),"")))</f>
        <v/>
      </c>
      <c r="I744" t="str">
        <f>IF(OR($F744="",$G744=""),"",IF(ISNUMBER(Sync!$AE744),MOD(Sync!$AE744,100),IFERROR(VALUE(TRIM(MID(MID(Sync!$AE744,FIND("/",Sync!$AE744)+1,20),FIND("/",MID(Sync!$AE744,FIND("/",Sync!$AE744)+1,20))+1,20))),"")))</f>
        <v/>
      </c>
      <c r="J744" t="str">
        <f t="shared" si="57"/>
        <v/>
      </c>
      <c r="K744" t="str">
        <f>IF(OR($F744="",$J744="",$J744="نامعتبر"),"",LEFT($J744,4)&amp;MID($J744,6,2)&amp;RIGHT($J744,2)&amp;$N744&amp;"|"&amp;"2"&amp;RIGHT("00000"&amp;739,5))</f>
        <v/>
      </c>
      <c r="L744" t="str">
        <f t="shared" si="58"/>
        <v/>
      </c>
      <c r="M744" t="str">
        <f t="shared" si="59"/>
        <v/>
      </c>
      <c r="N744" t="str">
        <f>IF($F744="","",IF(Sync!$AF744="","0000",IF(AND(ISNUMBER(Sync!$AF744),Sync!$AF744&gt;=0,Sync!$AF744&lt;1),RIGHT("00"&amp;HOUR(Sync!$AF744),2)&amp;RIGHT("00"&amp;MINUTE(Sync!$AF744),2),IFERROR(RIGHT("00"&amp;VALUE(LEFT(Sync!$AF744,FIND(":",Sync!$AF744)-1)),2)&amp;RIGHT("00"&amp;VALUE(MID(Sync!$AF744,FIND(":",Sync!$AF744)+1,2)),2),"0000"))))</f>
        <v/>
      </c>
    </row>
    <row r="745" spans="1:14" x14ac:dyDescent="0.2">
      <c r="A745" t="str">
        <f>IF(OR(Calc!$E749="",Calc!$E749="نامعتبر",Calc!$G749=""),"",Calc!$G749)</f>
        <v/>
      </c>
      <c r="B745" t="str">
        <f>IF($A745="","",LEFT(Calc!$E749,4)&amp;MID(Calc!$E749,6,2)&amp;RIGHT(Calc!$E749,2)&amp;Calc!$Q749&amp;"|"&amp;"1"&amp;RIGHT("00000"&amp;740,5))</f>
        <v/>
      </c>
      <c r="C745" t="str">
        <f t="shared" si="55"/>
        <v/>
      </c>
      <c r="D745" t="str">
        <f t="shared" si="56"/>
        <v/>
      </c>
      <c r="F745" t="str">
        <f>IF(Sync!$AH745="","",IF(LEFT(UPPER(TRIM(Sync!$AH745)),2)="SL",UPPER(TRIM(Sync!$AH745)),""))</f>
        <v/>
      </c>
      <c r="G745" t="str">
        <f>IF($F745="","",IF(Sync!$AE745="","",IF(ISNUMBER(Sync!$AE745),IF(AND(Sync!$AE745&gt;=10000101,Sync!$AE745&lt;=99991231),INT(Sync!$AE745/10000),""),IFERROR(VALUE(TRIM(LEFT(Sync!$AE745,FIND("/",Sync!$AE745)-1))),""))))</f>
        <v/>
      </c>
      <c r="H745" t="str">
        <f>IF(OR($F745="",$G745=""),"",IF(ISNUMBER(Sync!$AE745),INT(MOD(Sync!$AE745,10000)/100),IFERROR(VALUE(TRIM(LEFT(MID(Sync!$AE745,FIND("/",Sync!$AE745)+1,20),FIND("/",MID(Sync!$AE745,FIND("/",Sync!$AE745)+1,20))-1))),"")))</f>
        <v/>
      </c>
      <c r="I745" t="str">
        <f>IF(OR($F745="",$G745=""),"",IF(ISNUMBER(Sync!$AE745),MOD(Sync!$AE745,100),IFERROR(VALUE(TRIM(MID(MID(Sync!$AE745,FIND("/",Sync!$AE745)+1,20),FIND("/",MID(Sync!$AE745,FIND("/",Sync!$AE745)+1,20))+1,20))),"")))</f>
        <v/>
      </c>
      <c r="J745" t="str">
        <f t="shared" si="57"/>
        <v/>
      </c>
      <c r="K745" t="str">
        <f>IF(OR($F745="",$J745="",$J745="نامعتبر"),"",LEFT($J745,4)&amp;MID($J745,6,2)&amp;RIGHT($J745,2)&amp;$N745&amp;"|"&amp;"2"&amp;RIGHT("00000"&amp;740,5))</f>
        <v/>
      </c>
      <c r="L745" t="str">
        <f t="shared" si="58"/>
        <v/>
      </c>
      <c r="M745" t="str">
        <f t="shared" si="59"/>
        <v/>
      </c>
      <c r="N745" t="str">
        <f>IF($F745="","",IF(Sync!$AF745="","0000",IF(AND(ISNUMBER(Sync!$AF745),Sync!$AF745&gt;=0,Sync!$AF745&lt;1),RIGHT("00"&amp;HOUR(Sync!$AF745),2)&amp;RIGHT("00"&amp;MINUTE(Sync!$AF745),2),IFERROR(RIGHT("00"&amp;VALUE(LEFT(Sync!$AF745,FIND(":",Sync!$AF745)-1)),2)&amp;RIGHT("00"&amp;VALUE(MID(Sync!$AF745,FIND(":",Sync!$AF745)+1,2)),2),"0000"))))</f>
        <v/>
      </c>
    </row>
    <row r="746" spans="1:14" x14ac:dyDescent="0.2">
      <c r="A746" t="str">
        <f>IF(OR(Calc!$E750="",Calc!$E750="نامعتبر",Calc!$G750=""),"",Calc!$G750)</f>
        <v/>
      </c>
      <c r="B746" t="str">
        <f>IF($A746="","",LEFT(Calc!$E750,4)&amp;MID(Calc!$E750,6,2)&amp;RIGHT(Calc!$E750,2)&amp;Calc!$Q750&amp;"|"&amp;"1"&amp;RIGHT("00000"&amp;741,5))</f>
        <v/>
      </c>
      <c r="C746" t="str">
        <f t="shared" si="55"/>
        <v/>
      </c>
      <c r="D746" t="str">
        <f t="shared" si="56"/>
        <v/>
      </c>
      <c r="F746" t="str">
        <f>IF(Sync!$AH746="","",IF(LEFT(UPPER(TRIM(Sync!$AH746)),2)="SL",UPPER(TRIM(Sync!$AH746)),""))</f>
        <v/>
      </c>
      <c r="G746" t="str">
        <f>IF($F746="","",IF(Sync!$AE746="","",IF(ISNUMBER(Sync!$AE746),IF(AND(Sync!$AE746&gt;=10000101,Sync!$AE746&lt;=99991231),INT(Sync!$AE746/10000),""),IFERROR(VALUE(TRIM(LEFT(Sync!$AE746,FIND("/",Sync!$AE746)-1))),""))))</f>
        <v/>
      </c>
      <c r="H746" t="str">
        <f>IF(OR($F746="",$G746=""),"",IF(ISNUMBER(Sync!$AE746),INT(MOD(Sync!$AE746,10000)/100),IFERROR(VALUE(TRIM(LEFT(MID(Sync!$AE746,FIND("/",Sync!$AE746)+1,20),FIND("/",MID(Sync!$AE746,FIND("/",Sync!$AE746)+1,20))-1))),"")))</f>
        <v/>
      </c>
      <c r="I746" t="str">
        <f>IF(OR($F746="",$G746=""),"",IF(ISNUMBER(Sync!$AE746),MOD(Sync!$AE746,100),IFERROR(VALUE(TRIM(MID(MID(Sync!$AE746,FIND("/",Sync!$AE746)+1,20),FIND("/",MID(Sync!$AE746,FIND("/",Sync!$AE746)+1,20))+1,20))),"")))</f>
        <v/>
      </c>
      <c r="J746" t="str">
        <f t="shared" si="57"/>
        <v/>
      </c>
      <c r="K746" t="str">
        <f>IF(OR($F746="",$J746="",$J746="نامعتبر"),"",LEFT($J746,4)&amp;MID($J746,6,2)&amp;RIGHT($J746,2)&amp;$N746&amp;"|"&amp;"2"&amp;RIGHT("00000"&amp;741,5))</f>
        <v/>
      </c>
      <c r="L746" t="str">
        <f t="shared" si="58"/>
        <v/>
      </c>
      <c r="M746" t="str">
        <f t="shared" si="59"/>
        <v/>
      </c>
      <c r="N746" t="str">
        <f>IF($F746="","",IF(Sync!$AF746="","0000",IF(AND(ISNUMBER(Sync!$AF746),Sync!$AF746&gt;=0,Sync!$AF746&lt;1),RIGHT("00"&amp;HOUR(Sync!$AF746),2)&amp;RIGHT("00"&amp;MINUTE(Sync!$AF746),2),IFERROR(RIGHT("00"&amp;VALUE(LEFT(Sync!$AF746,FIND(":",Sync!$AF746)-1)),2)&amp;RIGHT("00"&amp;VALUE(MID(Sync!$AF746,FIND(":",Sync!$AF746)+1,2)),2),"0000"))))</f>
        <v/>
      </c>
    </row>
    <row r="747" spans="1:14" x14ac:dyDescent="0.2">
      <c r="A747" t="str">
        <f>IF(OR(Calc!$E751="",Calc!$E751="نامعتبر",Calc!$G751=""),"",Calc!$G751)</f>
        <v/>
      </c>
      <c r="B747" t="str">
        <f>IF($A747="","",LEFT(Calc!$E751,4)&amp;MID(Calc!$E751,6,2)&amp;RIGHT(Calc!$E751,2)&amp;Calc!$Q751&amp;"|"&amp;"1"&amp;RIGHT("00000"&amp;742,5))</f>
        <v/>
      </c>
      <c r="C747" t="str">
        <f t="shared" si="55"/>
        <v/>
      </c>
      <c r="D747" t="str">
        <f t="shared" si="56"/>
        <v/>
      </c>
      <c r="F747" t="str">
        <f>IF(Sync!$AH747="","",IF(LEFT(UPPER(TRIM(Sync!$AH747)),2)="SL",UPPER(TRIM(Sync!$AH747)),""))</f>
        <v/>
      </c>
      <c r="G747" t="str">
        <f>IF($F747="","",IF(Sync!$AE747="","",IF(ISNUMBER(Sync!$AE747),IF(AND(Sync!$AE747&gt;=10000101,Sync!$AE747&lt;=99991231),INT(Sync!$AE747/10000),""),IFERROR(VALUE(TRIM(LEFT(Sync!$AE747,FIND("/",Sync!$AE747)-1))),""))))</f>
        <v/>
      </c>
      <c r="H747" t="str">
        <f>IF(OR($F747="",$G747=""),"",IF(ISNUMBER(Sync!$AE747),INT(MOD(Sync!$AE747,10000)/100),IFERROR(VALUE(TRIM(LEFT(MID(Sync!$AE747,FIND("/",Sync!$AE747)+1,20),FIND("/",MID(Sync!$AE747,FIND("/",Sync!$AE747)+1,20))-1))),"")))</f>
        <v/>
      </c>
      <c r="I747" t="str">
        <f>IF(OR($F747="",$G747=""),"",IF(ISNUMBER(Sync!$AE747),MOD(Sync!$AE747,100),IFERROR(VALUE(TRIM(MID(MID(Sync!$AE747,FIND("/",Sync!$AE747)+1,20),FIND("/",MID(Sync!$AE747,FIND("/",Sync!$AE747)+1,20))+1,20))),"")))</f>
        <v/>
      </c>
      <c r="J747" t="str">
        <f t="shared" si="57"/>
        <v/>
      </c>
      <c r="K747" t="str">
        <f>IF(OR($F747="",$J747="",$J747="نامعتبر"),"",LEFT($J747,4)&amp;MID($J747,6,2)&amp;RIGHT($J747,2)&amp;$N747&amp;"|"&amp;"2"&amp;RIGHT("00000"&amp;742,5))</f>
        <v/>
      </c>
      <c r="L747" t="str">
        <f t="shared" si="58"/>
        <v/>
      </c>
      <c r="M747" t="str">
        <f t="shared" si="59"/>
        <v/>
      </c>
      <c r="N747" t="str">
        <f>IF($F747="","",IF(Sync!$AF747="","0000",IF(AND(ISNUMBER(Sync!$AF747),Sync!$AF747&gt;=0,Sync!$AF747&lt;1),RIGHT("00"&amp;HOUR(Sync!$AF747),2)&amp;RIGHT("00"&amp;MINUTE(Sync!$AF747),2),IFERROR(RIGHT("00"&amp;VALUE(LEFT(Sync!$AF747,FIND(":",Sync!$AF747)-1)),2)&amp;RIGHT("00"&amp;VALUE(MID(Sync!$AF747,FIND(":",Sync!$AF747)+1,2)),2),"0000"))))</f>
        <v/>
      </c>
    </row>
    <row r="748" spans="1:14" x14ac:dyDescent="0.2">
      <c r="A748" t="str">
        <f>IF(OR(Calc!$E752="",Calc!$E752="نامعتبر",Calc!$G752=""),"",Calc!$G752)</f>
        <v/>
      </c>
      <c r="B748" t="str">
        <f>IF($A748="","",LEFT(Calc!$E752,4)&amp;MID(Calc!$E752,6,2)&amp;RIGHT(Calc!$E752,2)&amp;Calc!$Q752&amp;"|"&amp;"1"&amp;RIGHT("00000"&amp;743,5))</f>
        <v/>
      </c>
      <c r="C748" t="str">
        <f t="shared" si="55"/>
        <v/>
      </c>
      <c r="D748" t="str">
        <f t="shared" si="56"/>
        <v/>
      </c>
      <c r="F748" t="str">
        <f>IF(Sync!$AH748="","",IF(LEFT(UPPER(TRIM(Sync!$AH748)),2)="SL",UPPER(TRIM(Sync!$AH748)),""))</f>
        <v/>
      </c>
      <c r="G748" t="str">
        <f>IF($F748="","",IF(Sync!$AE748="","",IF(ISNUMBER(Sync!$AE748),IF(AND(Sync!$AE748&gt;=10000101,Sync!$AE748&lt;=99991231),INT(Sync!$AE748/10000),""),IFERROR(VALUE(TRIM(LEFT(Sync!$AE748,FIND("/",Sync!$AE748)-1))),""))))</f>
        <v/>
      </c>
      <c r="H748" t="str">
        <f>IF(OR($F748="",$G748=""),"",IF(ISNUMBER(Sync!$AE748),INT(MOD(Sync!$AE748,10000)/100),IFERROR(VALUE(TRIM(LEFT(MID(Sync!$AE748,FIND("/",Sync!$AE748)+1,20),FIND("/",MID(Sync!$AE748,FIND("/",Sync!$AE748)+1,20))-1))),"")))</f>
        <v/>
      </c>
      <c r="I748" t="str">
        <f>IF(OR($F748="",$G748=""),"",IF(ISNUMBER(Sync!$AE748),MOD(Sync!$AE748,100),IFERROR(VALUE(TRIM(MID(MID(Sync!$AE748,FIND("/",Sync!$AE748)+1,20),FIND("/",MID(Sync!$AE748,FIND("/",Sync!$AE748)+1,20))+1,20))),"")))</f>
        <v/>
      </c>
      <c r="J748" t="str">
        <f t="shared" si="57"/>
        <v/>
      </c>
      <c r="K748" t="str">
        <f>IF(OR($F748="",$J748="",$J748="نامعتبر"),"",LEFT($J748,4)&amp;MID($J748,6,2)&amp;RIGHT($J748,2)&amp;$N748&amp;"|"&amp;"2"&amp;RIGHT("00000"&amp;743,5))</f>
        <v/>
      </c>
      <c r="L748" t="str">
        <f t="shared" si="58"/>
        <v/>
      </c>
      <c r="M748" t="str">
        <f t="shared" si="59"/>
        <v/>
      </c>
      <c r="N748" t="str">
        <f>IF($F748="","",IF(Sync!$AF748="","0000",IF(AND(ISNUMBER(Sync!$AF748),Sync!$AF748&gt;=0,Sync!$AF748&lt;1),RIGHT("00"&amp;HOUR(Sync!$AF748),2)&amp;RIGHT("00"&amp;MINUTE(Sync!$AF748),2),IFERROR(RIGHT("00"&amp;VALUE(LEFT(Sync!$AF748,FIND(":",Sync!$AF748)-1)),2)&amp;RIGHT("00"&amp;VALUE(MID(Sync!$AF748,FIND(":",Sync!$AF748)+1,2)),2),"0000"))))</f>
        <v/>
      </c>
    </row>
    <row r="749" spans="1:14" x14ac:dyDescent="0.2">
      <c r="A749" t="str">
        <f>IF(OR(Calc!$E753="",Calc!$E753="نامعتبر",Calc!$G753=""),"",Calc!$G753)</f>
        <v/>
      </c>
      <c r="B749" t="str">
        <f>IF($A749="","",LEFT(Calc!$E753,4)&amp;MID(Calc!$E753,6,2)&amp;RIGHT(Calc!$E753,2)&amp;Calc!$Q753&amp;"|"&amp;"1"&amp;RIGHT("00000"&amp;744,5))</f>
        <v/>
      </c>
      <c r="C749" t="str">
        <f t="shared" si="55"/>
        <v/>
      </c>
      <c r="D749" t="str">
        <f t="shared" si="56"/>
        <v/>
      </c>
      <c r="F749" t="str">
        <f>IF(Sync!$AH749="","",IF(LEFT(UPPER(TRIM(Sync!$AH749)),2)="SL",UPPER(TRIM(Sync!$AH749)),""))</f>
        <v/>
      </c>
      <c r="G749" t="str">
        <f>IF($F749="","",IF(Sync!$AE749="","",IF(ISNUMBER(Sync!$AE749),IF(AND(Sync!$AE749&gt;=10000101,Sync!$AE749&lt;=99991231),INT(Sync!$AE749/10000),""),IFERROR(VALUE(TRIM(LEFT(Sync!$AE749,FIND("/",Sync!$AE749)-1))),""))))</f>
        <v/>
      </c>
      <c r="H749" t="str">
        <f>IF(OR($F749="",$G749=""),"",IF(ISNUMBER(Sync!$AE749),INT(MOD(Sync!$AE749,10000)/100),IFERROR(VALUE(TRIM(LEFT(MID(Sync!$AE749,FIND("/",Sync!$AE749)+1,20),FIND("/",MID(Sync!$AE749,FIND("/",Sync!$AE749)+1,20))-1))),"")))</f>
        <v/>
      </c>
      <c r="I749" t="str">
        <f>IF(OR($F749="",$G749=""),"",IF(ISNUMBER(Sync!$AE749),MOD(Sync!$AE749,100),IFERROR(VALUE(TRIM(MID(MID(Sync!$AE749,FIND("/",Sync!$AE749)+1,20),FIND("/",MID(Sync!$AE749,FIND("/",Sync!$AE749)+1,20))+1,20))),"")))</f>
        <v/>
      </c>
      <c r="J749" t="str">
        <f t="shared" si="57"/>
        <v/>
      </c>
      <c r="K749" t="str">
        <f>IF(OR($F749="",$J749="",$J749="نامعتبر"),"",LEFT($J749,4)&amp;MID($J749,6,2)&amp;RIGHT($J749,2)&amp;$N749&amp;"|"&amp;"2"&amp;RIGHT("00000"&amp;744,5))</f>
        <v/>
      </c>
      <c r="L749" t="str">
        <f t="shared" si="58"/>
        <v/>
      </c>
      <c r="M749" t="str">
        <f t="shared" si="59"/>
        <v/>
      </c>
      <c r="N749" t="str">
        <f>IF($F749="","",IF(Sync!$AF749="","0000",IF(AND(ISNUMBER(Sync!$AF749),Sync!$AF749&gt;=0,Sync!$AF749&lt;1),RIGHT("00"&amp;HOUR(Sync!$AF749),2)&amp;RIGHT("00"&amp;MINUTE(Sync!$AF749),2),IFERROR(RIGHT("00"&amp;VALUE(LEFT(Sync!$AF749,FIND(":",Sync!$AF749)-1)),2)&amp;RIGHT("00"&amp;VALUE(MID(Sync!$AF749,FIND(":",Sync!$AF749)+1,2)),2),"0000"))))</f>
        <v/>
      </c>
    </row>
    <row r="750" spans="1:14" x14ac:dyDescent="0.2">
      <c r="A750" t="str">
        <f>IF(OR(Calc!$E754="",Calc!$E754="نامعتبر",Calc!$G754=""),"",Calc!$G754)</f>
        <v/>
      </c>
      <c r="B750" t="str">
        <f>IF($A750="","",LEFT(Calc!$E754,4)&amp;MID(Calc!$E754,6,2)&amp;RIGHT(Calc!$E754,2)&amp;Calc!$Q754&amp;"|"&amp;"1"&amp;RIGHT("00000"&amp;745,5))</f>
        <v/>
      </c>
      <c r="C750" t="str">
        <f t="shared" si="55"/>
        <v/>
      </c>
      <c r="D750" t="str">
        <f t="shared" si="56"/>
        <v/>
      </c>
      <c r="F750" t="str">
        <f>IF(Sync!$AH750="","",IF(LEFT(UPPER(TRIM(Sync!$AH750)),2)="SL",UPPER(TRIM(Sync!$AH750)),""))</f>
        <v/>
      </c>
      <c r="G750" t="str">
        <f>IF($F750="","",IF(Sync!$AE750="","",IF(ISNUMBER(Sync!$AE750),IF(AND(Sync!$AE750&gt;=10000101,Sync!$AE750&lt;=99991231),INT(Sync!$AE750/10000),""),IFERROR(VALUE(TRIM(LEFT(Sync!$AE750,FIND("/",Sync!$AE750)-1))),""))))</f>
        <v/>
      </c>
      <c r="H750" t="str">
        <f>IF(OR($F750="",$G750=""),"",IF(ISNUMBER(Sync!$AE750),INT(MOD(Sync!$AE750,10000)/100),IFERROR(VALUE(TRIM(LEFT(MID(Sync!$AE750,FIND("/",Sync!$AE750)+1,20),FIND("/",MID(Sync!$AE750,FIND("/",Sync!$AE750)+1,20))-1))),"")))</f>
        <v/>
      </c>
      <c r="I750" t="str">
        <f>IF(OR($F750="",$G750=""),"",IF(ISNUMBER(Sync!$AE750),MOD(Sync!$AE750,100),IFERROR(VALUE(TRIM(MID(MID(Sync!$AE750,FIND("/",Sync!$AE750)+1,20),FIND("/",MID(Sync!$AE750,FIND("/",Sync!$AE750)+1,20))+1,20))),"")))</f>
        <v/>
      </c>
      <c r="J750" t="str">
        <f t="shared" si="57"/>
        <v/>
      </c>
      <c r="K750" t="str">
        <f>IF(OR($F750="",$J750="",$J750="نامعتبر"),"",LEFT($J750,4)&amp;MID($J750,6,2)&amp;RIGHT($J750,2)&amp;$N750&amp;"|"&amp;"2"&amp;RIGHT("00000"&amp;745,5))</f>
        <v/>
      </c>
      <c r="L750" t="str">
        <f t="shared" si="58"/>
        <v/>
      </c>
      <c r="M750" t="str">
        <f t="shared" si="59"/>
        <v/>
      </c>
      <c r="N750" t="str">
        <f>IF($F750="","",IF(Sync!$AF750="","0000",IF(AND(ISNUMBER(Sync!$AF750),Sync!$AF750&gt;=0,Sync!$AF750&lt;1),RIGHT("00"&amp;HOUR(Sync!$AF750),2)&amp;RIGHT("00"&amp;MINUTE(Sync!$AF750),2),IFERROR(RIGHT("00"&amp;VALUE(LEFT(Sync!$AF750,FIND(":",Sync!$AF750)-1)),2)&amp;RIGHT("00"&amp;VALUE(MID(Sync!$AF750,FIND(":",Sync!$AF750)+1,2)),2),"0000"))))</f>
        <v/>
      </c>
    </row>
    <row r="751" spans="1:14" x14ac:dyDescent="0.2">
      <c r="A751" t="str">
        <f>IF(OR(Calc!$E755="",Calc!$E755="نامعتبر",Calc!$G755=""),"",Calc!$G755)</f>
        <v/>
      </c>
      <c r="B751" t="str">
        <f>IF($A751="","",LEFT(Calc!$E755,4)&amp;MID(Calc!$E755,6,2)&amp;RIGHT(Calc!$E755,2)&amp;Calc!$Q755&amp;"|"&amp;"1"&amp;RIGHT("00000"&amp;746,5))</f>
        <v/>
      </c>
      <c r="C751" t="str">
        <f t="shared" si="55"/>
        <v/>
      </c>
      <c r="D751" t="str">
        <f t="shared" si="56"/>
        <v/>
      </c>
      <c r="F751" t="str">
        <f>IF(Sync!$AH751="","",IF(LEFT(UPPER(TRIM(Sync!$AH751)),2)="SL",UPPER(TRIM(Sync!$AH751)),""))</f>
        <v/>
      </c>
      <c r="G751" t="str">
        <f>IF($F751="","",IF(Sync!$AE751="","",IF(ISNUMBER(Sync!$AE751),IF(AND(Sync!$AE751&gt;=10000101,Sync!$AE751&lt;=99991231),INT(Sync!$AE751/10000),""),IFERROR(VALUE(TRIM(LEFT(Sync!$AE751,FIND("/",Sync!$AE751)-1))),""))))</f>
        <v/>
      </c>
      <c r="H751" t="str">
        <f>IF(OR($F751="",$G751=""),"",IF(ISNUMBER(Sync!$AE751),INT(MOD(Sync!$AE751,10000)/100),IFERROR(VALUE(TRIM(LEFT(MID(Sync!$AE751,FIND("/",Sync!$AE751)+1,20),FIND("/",MID(Sync!$AE751,FIND("/",Sync!$AE751)+1,20))-1))),"")))</f>
        <v/>
      </c>
      <c r="I751" t="str">
        <f>IF(OR($F751="",$G751=""),"",IF(ISNUMBER(Sync!$AE751),MOD(Sync!$AE751,100),IFERROR(VALUE(TRIM(MID(MID(Sync!$AE751,FIND("/",Sync!$AE751)+1,20),FIND("/",MID(Sync!$AE751,FIND("/",Sync!$AE751)+1,20))+1,20))),"")))</f>
        <v/>
      </c>
      <c r="J751" t="str">
        <f t="shared" si="57"/>
        <v/>
      </c>
      <c r="K751" t="str">
        <f>IF(OR($F751="",$J751="",$J751="نامعتبر"),"",LEFT($J751,4)&amp;MID($J751,6,2)&amp;RIGHT($J751,2)&amp;$N751&amp;"|"&amp;"2"&amp;RIGHT("00000"&amp;746,5))</f>
        <v/>
      </c>
      <c r="L751" t="str">
        <f t="shared" si="58"/>
        <v/>
      </c>
      <c r="M751" t="str">
        <f t="shared" si="59"/>
        <v/>
      </c>
      <c r="N751" t="str">
        <f>IF($F751="","",IF(Sync!$AF751="","0000",IF(AND(ISNUMBER(Sync!$AF751),Sync!$AF751&gt;=0,Sync!$AF751&lt;1),RIGHT("00"&amp;HOUR(Sync!$AF751),2)&amp;RIGHT("00"&amp;MINUTE(Sync!$AF751),2),IFERROR(RIGHT("00"&amp;VALUE(LEFT(Sync!$AF751,FIND(":",Sync!$AF751)-1)),2)&amp;RIGHT("00"&amp;VALUE(MID(Sync!$AF751,FIND(":",Sync!$AF751)+1,2)),2),"0000"))))</f>
        <v/>
      </c>
    </row>
    <row r="752" spans="1:14" x14ac:dyDescent="0.2">
      <c r="A752" t="str">
        <f>IF(OR(Calc!$E756="",Calc!$E756="نامعتبر",Calc!$G756=""),"",Calc!$G756)</f>
        <v/>
      </c>
      <c r="B752" t="str">
        <f>IF($A752="","",LEFT(Calc!$E756,4)&amp;MID(Calc!$E756,6,2)&amp;RIGHT(Calc!$E756,2)&amp;Calc!$Q756&amp;"|"&amp;"1"&amp;RIGHT("00000"&amp;747,5))</f>
        <v/>
      </c>
      <c r="C752" t="str">
        <f t="shared" si="55"/>
        <v/>
      </c>
      <c r="D752" t="str">
        <f t="shared" si="56"/>
        <v/>
      </c>
      <c r="F752" t="str">
        <f>IF(Sync!$AH752="","",IF(LEFT(UPPER(TRIM(Sync!$AH752)),2)="SL",UPPER(TRIM(Sync!$AH752)),""))</f>
        <v/>
      </c>
      <c r="G752" t="str">
        <f>IF($F752="","",IF(Sync!$AE752="","",IF(ISNUMBER(Sync!$AE752),IF(AND(Sync!$AE752&gt;=10000101,Sync!$AE752&lt;=99991231),INT(Sync!$AE752/10000),""),IFERROR(VALUE(TRIM(LEFT(Sync!$AE752,FIND("/",Sync!$AE752)-1))),""))))</f>
        <v/>
      </c>
      <c r="H752" t="str">
        <f>IF(OR($F752="",$G752=""),"",IF(ISNUMBER(Sync!$AE752),INT(MOD(Sync!$AE752,10000)/100),IFERROR(VALUE(TRIM(LEFT(MID(Sync!$AE752,FIND("/",Sync!$AE752)+1,20),FIND("/",MID(Sync!$AE752,FIND("/",Sync!$AE752)+1,20))-1))),"")))</f>
        <v/>
      </c>
      <c r="I752" t="str">
        <f>IF(OR($F752="",$G752=""),"",IF(ISNUMBER(Sync!$AE752),MOD(Sync!$AE752,100),IFERROR(VALUE(TRIM(MID(MID(Sync!$AE752,FIND("/",Sync!$AE752)+1,20),FIND("/",MID(Sync!$AE752,FIND("/",Sync!$AE752)+1,20))+1,20))),"")))</f>
        <v/>
      </c>
      <c r="J752" t="str">
        <f t="shared" si="57"/>
        <v/>
      </c>
      <c r="K752" t="str">
        <f>IF(OR($F752="",$J752="",$J752="نامعتبر"),"",LEFT($J752,4)&amp;MID($J752,6,2)&amp;RIGHT($J752,2)&amp;$N752&amp;"|"&amp;"2"&amp;RIGHT("00000"&amp;747,5))</f>
        <v/>
      </c>
      <c r="L752" t="str">
        <f t="shared" si="58"/>
        <v/>
      </c>
      <c r="M752" t="str">
        <f t="shared" si="59"/>
        <v/>
      </c>
      <c r="N752" t="str">
        <f>IF($F752="","",IF(Sync!$AF752="","0000",IF(AND(ISNUMBER(Sync!$AF752),Sync!$AF752&gt;=0,Sync!$AF752&lt;1),RIGHT("00"&amp;HOUR(Sync!$AF752),2)&amp;RIGHT("00"&amp;MINUTE(Sync!$AF752),2),IFERROR(RIGHT("00"&amp;VALUE(LEFT(Sync!$AF752,FIND(":",Sync!$AF752)-1)),2)&amp;RIGHT("00"&amp;VALUE(MID(Sync!$AF752,FIND(":",Sync!$AF752)+1,2)),2),"0000"))))</f>
        <v/>
      </c>
    </row>
    <row r="753" spans="1:14" x14ac:dyDescent="0.2">
      <c r="A753" t="str">
        <f>IF(OR(Calc!$E757="",Calc!$E757="نامعتبر",Calc!$G757=""),"",Calc!$G757)</f>
        <v/>
      </c>
      <c r="B753" t="str">
        <f>IF($A753="","",LEFT(Calc!$E757,4)&amp;MID(Calc!$E757,6,2)&amp;RIGHT(Calc!$E757,2)&amp;Calc!$Q757&amp;"|"&amp;"1"&amp;RIGHT("00000"&amp;748,5))</f>
        <v/>
      </c>
      <c r="C753" t="str">
        <f t="shared" si="55"/>
        <v/>
      </c>
      <c r="D753" t="str">
        <f t="shared" si="56"/>
        <v/>
      </c>
      <c r="F753" t="str">
        <f>IF(Sync!$AH753="","",IF(LEFT(UPPER(TRIM(Sync!$AH753)),2)="SL",UPPER(TRIM(Sync!$AH753)),""))</f>
        <v/>
      </c>
      <c r="G753" t="str">
        <f>IF($F753="","",IF(Sync!$AE753="","",IF(ISNUMBER(Sync!$AE753),IF(AND(Sync!$AE753&gt;=10000101,Sync!$AE753&lt;=99991231),INT(Sync!$AE753/10000),""),IFERROR(VALUE(TRIM(LEFT(Sync!$AE753,FIND("/",Sync!$AE753)-1))),""))))</f>
        <v/>
      </c>
      <c r="H753" t="str">
        <f>IF(OR($F753="",$G753=""),"",IF(ISNUMBER(Sync!$AE753),INT(MOD(Sync!$AE753,10000)/100),IFERROR(VALUE(TRIM(LEFT(MID(Sync!$AE753,FIND("/",Sync!$AE753)+1,20),FIND("/",MID(Sync!$AE753,FIND("/",Sync!$AE753)+1,20))-1))),"")))</f>
        <v/>
      </c>
      <c r="I753" t="str">
        <f>IF(OR($F753="",$G753=""),"",IF(ISNUMBER(Sync!$AE753),MOD(Sync!$AE753,100),IFERROR(VALUE(TRIM(MID(MID(Sync!$AE753,FIND("/",Sync!$AE753)+1,20),FIND("/",MID(Sync!$AE753,FIND("/",Sync!$AE753)+1,20))+1,20))),"")))</f>
        <v/>
      </c>
      <c r="J753" t="str">
        <f t="shared" si="57"/>
        <v/>
      </c>
      <c r="K753" t="str">
        <f>IF(OR($F753="",$J753="",$J753="نامعتبر"),"",LEFT($J753,4)&amp;MID($J753,6,2)&amp;RIGHT($J753,2)&amp;$N753&amp;"|"&amp;"2"&amp;RIGHT("00000"&amp;748,5))</f>
        <v/>
      </c>
      <c r="L753" t="str">
        <f t="shared" si="58"/>
        <v/>
      </c>
      <c r="M753" t="str">
        <f t="shared" si="59"/>
        <v/>
      </c>
      <c r="N753" t="str">
        <f>IF($F753="","",IF(Sync!$AF753="","0000",IF(AND(ISNUMBER(Sync!$AF753),Sync!$AF753&gt;=0,Sync!$AF753&lt;1),RIGHT("00"&amp;HOUR(Sync!$AF753),2)&amp;RIGHT("00"&amp;MINUTE(Sync!$AF753),2),IFERROR(RIGHT("00"&amp;VALUE(LEFT(Sync!$AF753,FIND(":",Sync!$AF753)-1)),2)&amp;RIGHT("00"&amp;VALUE(MID(Sync!$AF753,FIND(":",Sync!$AF753)+1,2)),2),"0000"))))</f>
        <v/>
      </c>
    </row>
    <row r="754" spans="1:14" x14ac:dyDescent="0.2">
      <c r="A754" t="str">
        <f>IF(OR(Calc!$E758="",Calc!$E758="نامعتبر",Calc!$G758=""),"",Calc!$G758)</f>
        <v/>
      </c>
      <c r="B754" t="str">
        <f>IF($A754="","",LEFT(Calc!$E758,4)&amp;MID(Calc!$E758,6,2)&amp;RIGHT(Calc!$E758,2)&amp;Calc!$Q758&amp;"|"&amp;"1"&amp;RIGHT("00000"&amp;749,5))</f>
        <v/>
      </c>
      <c r="C754" t="str">
        <f t="shared" si="55"/>
        <v/>
      </c>
      <c r="D754" t="str">
        <f t="shared" si="56"/>
        <v/>
      </c>
      <c r="F754" t="str">
        <f>IF(Sync!$AH754="","",IF(LEFT(UPPER(TRIM(Sync!$AH754)),2)="SL",UPPER(TRIM(Sync!$AH754)),""))</f>
        <v/>
      </c>
      <c r="G754" t="str">
        <f>IF($F754="","",IF(Sync!$AE754="","",IF(ISNUMBER(Sync!$AE754),IF(AND(Sync!$AE754&gt;=10000101,Sync!$AE754&lt;=99991231),INT(Sync!$AE754/10000),""),IFERROR(VALUE(TRIM(LEFT(Sync!$AE754,FIND("/",Sync!$AE754)-1))),""))))</f>
        <v/>
      </c>
      <c r="H754" t="str">
        <f>IF(OR($F754="",$G754=""),"",IF(ISNUMBER(Sync!$AE754),INT(MOD(Sync!$AE754,10000)/100),IFERROR(VALUE(TRIM(LEFT(MID(Sync!$AE754,FIND("/",Sync!$AE754)+1,20),FIND("/",MID(Sync!$AE754,FIND("/",Sync!$AE754)+1,20))-1))),"")))</f>
        <v/>
      </c>
      <c r="I754" t="str">
        <f>IF(OR($F754="",$G754=""),"",IF(ISNUMBER(Sync!$AE754),MOD(Sync!$AE754,100),IFERROR(VALUE(TRIM(MID(MID(Sync!$AE754,FIND("/",Sync!$AE754)+1,20),FIND("/",MID(Sync!$AE754,FIND("/",Sync!$AE754)+1,20))+1,20))),"")))</f>
        <v/>
      </c>
      <c r="J754" t="str">
        <f t="shared" si="57"/>
        <v/>
      </c>
      <c r="K754" t="str">
        <f>IF(OR($F754="",$J754="",$J754="نامعتبر"),"",LEFT($J754,4)&amp;MID($J754,6,2)&amp;RIGHT($J754,2)&amp;$N754&amp;"|"&amp;"2"&amp;RIGHT("00000"&amp;749,5))</f>
        <v/>
      </c>
      <c r="L754" t="str">
        <f t="shared" si="58"/>
        <v/>
      </c>
      <c r="M754" t="str">
        <f t="shared" si="59"/>
        <v/>
      </c>
      <c r="N754" t="str">
        <f>IF($F754="","",IF(Sync!$AF754="","0000",IF(AND(ISNUMBER(Sync!$AF754),Sync!$AF754&gt;=0,Sync!$AF754&lt;1),RIGHT("00"&amp;HOUR(Sync!$AF754),2)&amp;RIGHT("00"&amp;MINUTE(Sync!$AF754),2),IFERROR(RIGHT("00"&amp;VALUE(LEFT(Sync!$AF754,FIND(":",Sync!$AF754)-1)),2)&amp;RIGHT("00"&amp;VALUE(MID(Sync!$AF754,FIND(":",Sync!$AF754)+1,2)),2),"0000"))))</f>
        <v/>
      </c>
    </row>
    <row r="755" spans="1:14" x14ac:dyDescent="0.2">
      <c r="A755" t="str">
        <f>IF(OR(Calc!$E759="",Calc!$E759="نامعتبر",Calc!$G759=""),"",Calc!$G759)</f>
        <v/>
      </c>
      <c r="B755" t="str">
        <f>IF($A755="","",LEFT(Calc!$E759,4)&amp;MID(Calc!$E759,6,2)&amp;RIGHT(Calc!$E759,2)&amp;Calc!$Q759&amp;"|"&amp;"1"&amp;RIGHT("00000"&amp;750,5))</f>
        <v/>
      </c>
      <c r="C755" t="str">
        <f t="shared" si="55"/>
        <v/>
      </c>
      <c r="D755" t="str">
        <f t="shared" si="56"/>
        <v/>
      </c>
      <c r="F755" t="str">
        <f>IF(Sync!$AH755="","",IF(LEFT(UPPER(TRIM(Sync!$AH755)),2)="SL",UPPER(TRIM(Sync!$AH755)),""))</f>
        <v/>
      </c>
      <c r="G755" t="str">
        <f>IF($F755="","",IF(Sync!$AE755="","",IF(ISNUMBER(Sync!$AE755),IF(AND(Sync!$AE755&gt;=10000101,Sync!$AE755&lt;=99991231),INT(Sync!$AE755/10000),""),IFERROR(VALUE(TRIM(LEFT(Sync!$AE755,FIND("/",Sync!$AE755)-1))),""))))</f>
        <v/>
      </c>
      <c r="H755" t="str">
        <f>IF(OR($F755="",$G755=""),"",IF(ISNUMBER(Sync!$AE755),INT(MOD(Sync!$AE755,10000)/100),IFERROR(VALUE(TRIM(LEFT(MID(Sync!$AE755,FIND("/",Sync!$AE755)+1,20),FIND("/",MID(Sync!$AE755,FIND("/",Sync!$AE755)+1,20))-1))),"")))</f>
        <v/>
      </c>
      <c r="I755" t="str">
        <f>IF(OR($F755="",$G755=""),"",IF(ISNUMBER(Sync!$AE755),MOD(Sync!$AE755,100),IFERROR(VALUE(TRIM(MID(MID(Sync!$AE755,FIND("/",Sync!$AE755)+1,20),FIND("/",MID(Sync!$AE755,FIND("/",Sync!$AE755)+1,20))+1,20))),"")))</f>
        <v/>
      </c>
      <c r="J755" t="str">
        <f t="shared" si="57"/>
        <v/>
      </c>
      <c r="K755" t="str">
        <f>IF(OR($F755="",$J755="",$J755="نامعتبر"),"",LEFT($J755,4)&amp;MID($J755,6,2)&amp;RIGHT($J755,2)&amp;$N755&amp;"|"&amp;"2"&amp;RIGHT("00000"&amp;750,5))</f>
        <v/>
      </c>
      <c r="L755" t="str">
        <f t="shared" si="58"/>
        <v/>
      </c>
      <c r="M755" t="str">
        <f t="shared" si="59"/>
        <v/>
      </c>
      <c r="N755" t="str">
        <f>IF($F755="","",IF(Sync!$AF755="","0000",IF(AND(ISNUMBER(Sync!$AF755),Sync!$AF755&gt;=0,Sync!$AF755&lt;1),RIGHT("00"&amp;HOUR(Sync!$AF755),2)&amp;RIGHT("00"&amp;MINUTE(Sync!$AF755),2),IFERROR(RIGHT("00"&amp;VALUE(LEFT(Sync!$AF755,FIND(":",Sync!$AF755)-1)),2)&amp;RIGHT("00"&amp;VALUE(MID(Sync!$AF755,FIND(":",Sync!$AF755)+1,2)),2),"0000"))))</f>
        <v/>
      </c>
    </row>
    <row r="756" spans="1:14" x14ac:dyDescent="0.2">
      <c r="A756" t="str">
        <f>IF(OR(Calc!$E760="",Calc!$E760="نامعتبر",Calc!$G760=""),"",Calc!$G760)</f>
        <v/>
      </c>
      <c r="B756" t="str">
        <f>IF($A756="","",LEFT(Calc!$E760,4)&amp;MID(Calc!$E760,6,2)&amp;RIGHT(Calc!$E760,2)&amp;Calc!$Q760&amp;"|"&amp;"1"&amp;RIGHT("00000"&amp;751,5))</f>
        <v/>
      </c>
      <c r="C756" t="str">
        <f t="shared" si="55"/>
        <v/>
      </c>
      <c r="D756" t="str">
        <f t="shared" si="56"/>
        <v/>
      </c>
      <c r="F756" t="str">
        <f>IF(Sync!$AH756="","",IF(LEFT(UPPER(TRIM(Sync!$AH756)),2)="SL",UPPER(TRIM(Sync!$AH756)),""))</f>
        <v/>
      </c>
      <c r="G756" t="str">
        <f>IF($F756="","",IF(Sync!$AE756="","",IF(ISNUMBER(Sync!$AE756),IF(AND(Sync!$AE756&gt;=10000101,Sync!$AE756&lt;=99991231),INT(Sync!$AE756/10000),""),IFERROR(VALUE(TRIM(LEFT(Sync!$AE756,FIND("/",Sync!$AE756)-1))),""))))</f>
        <v/>
      </c>
      <c r="H756" t="str">
        <f>IF(OR($F756="",$G756=""),"",IF(ISNUMBER(Sync!$AE756),INT(MOD(Sync!$AE756,10000)/100),IFERROR(VALUE(TRIM(LEFT(MID(Sync!$AE756,FIND("/",Sync!$AE756)+1,20),FIND("/",MID(Sync!$AE756,FIND("/",Sync!$AE756)+1,20))-1))),"")))</f>
        <v/>
      </c>
      <c r="I756" t="str">
        <f>IF(OR($F756="",$G756=""),"",IF(ISNUMBER(Sync!$AE756),MOD(Sync!$AE756,100),IFERROR(VALUE(TRIM(MID(MID(Sync!$AE756,FIND("/",Sync!$AE756)+1,20),FIND("/",MID(Sync!$AE756,FIND("/",Sync!$AE756)+1,20))+1,20))),"")))</f>
        <v/>
      </c>
      <c r="J756" t="str">
        <f t="shared" si="57"/>
        <v/>
      </c>
      <c r="K756" t="str">
        <f>IF(OR($F756="",$J756="",$J756="نامعتبر"),"",LEFT($J756,4)&amp;MID($J756,6,2)&amp;RIGHT($J756,2)&amp;$N756&amp;"|"&amp;"2"&amp;RIGHT("00000"&amp;751,5))</f>
        <v/>
      </c>
      <c r="L756" t="str">
        <f t="shared" si="58"/>
        <v/>
      </c>
      <c r="M756" t="str">
        <f t="shared" si="59"/>
        <v/>
      </c>
      <c r="N756" t="str">
        <f>IF($F756="","",IF(Sync!$AF756="","0000",IF(AND(ISNUMBER(Sync!$AF756),Sync!$AF756&gt;=0,Sync!$AF756&lt;1),RIGHT("00"&amp;HOUR(Sync!$AF756),2)&amp;RIGHT("00"&amp;MINUTE(Sync!$AF756),2),IFERROR(RIGHT("00"&amp;VALUE(LEFT(Sync!$AF756,FIND(":",Sync!$AF756)-1)),2)&amp;RIGHT("00"&amp;VALUE(MID(Sync!$AF756,FIND(":",Sync!$AF756)+1,2)),2),"0000"))))</f>
        <v/>
      </c>
    </row>
    <row r="757" spans="1:14" x14ac:dyDescent="0.2">
      <c r="A757" t="str">
        <f>IF(OR(Calc!$E761="",Calc!$E761="نامعتبر",Calc!$G761=""),"",Calc!$G761)</f>
        <v/>
      </c>
      <c r="B757" t="str">
        <f>IF($A757="","",LEFT(Calc!$E761,4)&amp;MID(Calc!$E761,6,2)&amp;RIGHT(Calc!$E761,2)&amp;Calc!$Q761&amp;"|"&amp;"1"&amp;RIGHT("00000"&amp;752,5))</f>
        <v/>
      </c>
      <c r="C757" t="str">
        <f t="shared" si="55"/>
        <v/>
      </c>
      <c r="D757" t="str">
        <f t="shared" si="56"/>
        <v/>
      </c>
      <c r="F757" t="str">
        <f>IF(Sync!$AH757="","",IF(LEFT(UPPER(TRIM(Sync!$AH757)),2)="SL",UPPER(TRIM(Sync!$AH757)),""))</f>
        <v/>
      </c>
      <c r="G757" t="str">
        <f>IF($F757="","",IF(Sync!$AE757="","",IF(ISNUMBER(Sync!$AE757),IF(AND(Sync!$AE757&gt;=10000101,Sync!$AE757&lt;=99991231),INT(Sync!$AE757/10000),""),IFERROR(VALUE(TRIM(LEFT(Sync!$AE757,FIND("/",Sync!$AE757)-1))),""))))</f>
        <v/>
      </c>
      <c r="H757" t="str">
        <f>IF(OR($F757="",$G757=""),"",IF(ISNUMBER(Sync!$AE757),INT(MOD(Sync!$AE757,10000)/100),IFERROR(VALUE(TRIM(LEFT(MID(Sync!$AE757,FIND("/",Sync!$AE757)+1,20),FIND("/",MID(Sync!$AE757,FIND("/",Sync!$AE757)+1,20))-1))),"")))</f>
        <v/>
      </c>
      <c r="I757" t="str">
        <f>IF(OR($F757="",$G757=""),"",IF(ISNUMBER(Sync!$AE757),MOD(Sync!$AE757,100),IFERROR(VALUE(TRIM(MID(MID(Sync!$AE757,FIND("/",Sync!$AE757)+1,20),FIND("/",MID(Sync!$AE757,FIND("/",Sync!$AE757)+1,20))+1,20))),"")))</f>
        <v/>
      </c>
      <c r="J757" t="str">
        <f t="shared" si="57"/>
        <v/>
      </c>
      <c r="K757" t="str">
        <f>IF(OR($F757="",$J757="",$J757="نامعتبر"),"",LEFT($J757,4)&amp;MID($J757,6,2)&amp;RIGHT($J757,2)&amp;$N757&amp;"|"&amp;"2"&amp;RIGHT("00000"&amp;752,5))</f>
        <v/>
      </c>
      <c r="L757" t="str">
        <f t="shared" si="58"/>
        <v/>
      </c>
      <c r="M757" t="str">
        <f t="shared" si="59"/>
        <v/>
      </c>
      <c r="N757" t="str">
        <f>IF($F757="","",IF(Sync!$AF757="","0000",IF(AND(ISNUMBER(Sync!$AF757),Sync!$AF757&gt;=0,Sync!$AF757&lt;1),RIGHT("00"&amp;HOUR(Sync!$AF757),2)&amp;RIGHT("00"&amp;MINUTE(Sync!$AF757),2),IFERROR(RIGHT("00"&amp;VALUE(LEFT(Sync!$AF757,FIND(":",Sync!$AF757)-1)),2)&amp;RIGHT("00"&amp;VALUE(MID(Sync!$AF757,FIND(":",Sync!$AF757)+1,2)),2),"0000"))))</f>
        <v/>
      </c>
    </row>
    <row r="758" spans="1:14" x14ac:dyDescent="0.2">
      <c r="A758" t="str">
        <f>IF(OR(Calc!$E762="",Calc!$E762="نامعتبر",Calc!$G762=""),"",Calc!$G762)</f>
        <v/>
      </c>
      <c r="B758" t="str">
        <f>IF($A758="","",LEFT(Calc!$E762,4)&amp;MID(Calc!$E762,6,2)&amp;RIGHT(Calc!$E762,2)&amp;Calc!$Q762&amp;"|"&amp;"1"&amp;RIGHT("00000"&amp;753,5))</f>
        <v/>
      </c>
      <c r="C758" t="str">
        <f t="shared" si="55"/>
        <v/>
      </c>
      <c r="D758" t="str">
        <f t="shared" si="56"/>
        <v/>
      </c>
      <c r="F758" t="str">
        <f>IF(Sync!$AH758="","",IF(LEFT(UPPER(TRIM(Sync!$AH758)),2)="SL",UPPER(TRIM(Sync!$AH758)),""))</f>
        <v/>
      </c>
      <c r="G758" t="str">
        <f>IF($F758="","",IF(Sync!$AE758="","",IF(ISNUMBER(Sync!$AE758),IF(AND(Sync!$AE758&gt;=10000101,Sync!$AE758&lt;=99991231),INT(Sync!$AE758/10000),""),IFERROR(VALUE(TRIM(LEFT(Sync!$AE758,FIND("/",Sync!$AE758)-1))),""))))</f>
        <v/>
      </c>
      <c r="H758" t="str">
        <f>IF(OR($F758="",$G758=""),"",IF(ISNUMBER(Sync!$AE758),INT(MOD(Sync!$AE758,10000)/100),IFERROR(VALUE(TRIM(LEFT(MID(Sync!$AE758,FIND("/",Sync!$AE758)+1,20),FIND("/",MID(Sync!$AE758,FIND("/",Sync!$AE758)+1,20))-1))),"")))</f>
        <v/>
      </c>
      <c r="I758" t="str">
        <f>IF(OR($F758="",$G758=""),"",IF(ISNUMBER(Sync!$AE758),MOD(Sync!$AE758,100),IFERROR(VALUE(TRIM(MID(MID(Sync!$AE758,FIND("/",Sync!$AE758)+1,20),FIND("/",MID(Sync!$AE758,FIND("/",Sync!$AE758)+1,20))+1,20))),"")))</f>
        <v/>
      </c>
      <c r="J758" t="str">
        <f t="shared" si="57"/>
        <v/>
      </c>
      <c r="K758" t="str">
        <f>IF(OR($F758="",$J758="",$J758="نامعتبر"),"",LEFT($J758,4)&amp;MID($J758,6,2)&amp;RIGHT($J758,2)&amp;$N758&amp;"|"&amp;"2"&amp;RIGHT("00000"&amp;753,5))</f>
        <v/>
      </c>
      <c r="L758" t="str">
        <f t="shared" si="58"/>
        <v/>
      </c>
      <c r="M758" t="str">
        <f t="shared" si="59"/>
        <v/>
      </c>
      <c r="N758" t="str">
        <f>IF($F758="","",IF(Sync!$AF758="","0000",IF(AND(ISNUMBER(Sync!$AF758),Sync!$AF758&gt;=0,Sync!$AF758&lt;1),RIGHT("00"&amp;HOUR(Sync!$AF758),2)&amp;RIGHT("00"&amp;MINUTE(Sync!$AF758),2),IFERROR(RIGHT("00"&amp;VALUE(LEFT(Sync!$AF758,FIND(":",Sync!$AF758)-1)),2)&amp;RIGHT("00"&amp;VALUE(MID(Sync!$AF758,FIND(":",Sync!$AF758)+1,2)),2),"0000"))))</f>
        <v/>
      </c>
    </row>
    <row r="759" spans="1:14" x14ac:dyDescent="0.2">
      <c r="A759" t="str">
        <f>IF(OR(Calc!$E763="",Calc!$E763="نامعتبر",Calc!$G763=""),"",Calc!$G763)</f>
        <v/>
      </c>
      <c r="B759" t="str">
        <f>IF($A759="","",LEFT(Calc!$E763,4)&amp;MID(Calc!$E763,6,2)&amp;RIGHT(Calc!$E763,2)&amp;Calc!$Q763&amp;"|"&amp;"1"&amp;RIGHT("00000"&amp;754,5))</f>
        <v/>
      </c>
      <c r="C759" t="str">
        <f t="shared" si="55"/>
        <v/>
      </c>
      <c r="D759" t="str">
        <f t="shared" si="56"/>
        <v/>
      </c>
      <c r="F759" t="str">
        <f>IF(Sync!$AH759="","",IF(LEFT(UPPER(TRIM(Sync!$AH759)),2)="SL",UPPER(TRIM(Sync!$AH759)),""))</f>
        <v/>
      </c>
      <c r="G759" t="str">
        <f>IF($F759="","",IF(Sync!$AE759="","",IF(ISNUMBER(Sync!$AE759),IF(AND(Sync!$AE759&gt;=10000101,Sync!$AE759&lt;=99991231),INT(Sync!$AE759/10000),""),IFERROR(VALUE(TRIM(LEFT(Sync!$AE759,FIND("/",Sync!$AE759)-1))),""))))</f>
        <v/>
      </c>
      <c r="H759" t="str">
        <f>IF(OR($F759="",$G759=""),"",IF(ISNUMBER(Sync!$AE759),INT(MOD(Sync!$AE759,10000)/100),IFERROR(VALUE(TRIM(LEFT(MID(Sync!$AE759,FIND("/",Sync!$AE759)+1,20),FIND("/",MID(Sync!$AE759,FIND("/",Sync!$AE759)+1,20))-1))),"")))</f>
        <v/>
      </c>
      <c r="I759" t="str">
        <f>IF(OR($F759="",$G759=""),"",IF(ISNUMBER(Sync!$AE759),MOD(Sync!$AE759,100),IFERROR(VALUE(TRIM(MID(MID(Sync!$AE759,FIND("/",Sync!$AE759)+1,20),FIND("/",MID(Sync!$AE759,FIND("/",Sync!$AE759)+1,20))+1,20))),"")))</f>
        <v/>
      </c>
      <c r="J759" t="str">
        <f t="shared" si="57"/>
        <v/>
      </c>
      <c r="K759" t="str">
        <f>IF(OR($F759="",$J759="",$J759="نامعتبر"),"",LEFT($J759,4)&amp;MID($J759,6,2)&amp;RIGHT($J759,2)&amp;$N759&amp;"|"&amp;"2"&amp;RIGHT("00000"&amp;754,5))</f>
        <v/>
      </c>
      <c r="L759" t="str">
        <f t="shared" si="58"/>
        <v/>
      </c>
      <c r="M759" t="str">
        <f t="shared" si="59"/>
        <v/>
      </c>
      <c r="N759" t="str">
        <f>IF($F759="","",IF(Sync!$AF759="","0000",IF(AND(ISNUMBER(Sync!$AF759),Sync!$AF759&gt;=0,Sync!$AF759&lt;1),RIGHT("00"&amp;HOUR(Sync!$AF759),2)&amp;RIGHT("00"&amp;MINUTE(Sync!$AF759),2),IFERROR(RIGHT("00"&amp;VALUE(LEFT(Sync!$AF759,FIND(":",Sync!$AF759)-1)),2)&amp;RIGHT("00"&amp;VALUE(MID(Sync!$AF759,FIND(":",Sync!$AF759)+1,2)),2),"0000"))))</f>
        <v/>
      </c>
    </row>
    <row r="760" spans="1:14" x14ac:dyDescent="0.2">
      <c r="A760" t="str">
        <f>IF(OR(Calc!$E764="",Calc!$E764="نامعتبر",Calc!$G764=""),"",Calc!$G764)</f>
        <v/>
      </c>
      <c r="B760" t="str">
        <f>IF($A760="","",LEFT(Calc!$E764,4)&amp;MID(Calc!$E764,6,2)&amp;RIGHT(Calc!$E764,2)&amp;Calc!$Q764&amp;"|"&amp;"1"&amp;RIGHT("00000"&amp;755,5))</f>
        <v/>
      </c>
      <c r="C760" t="str">
        <f t="shared" si="55"/>
        <v/>
      </c>
      <c r="D760" t="str">
        <f t="shared" si="56"/>
        <v/>
      </c>
      <c r="F760" t="str">
        <f>IF(Sync!$AH760="","",IF(LEFT(UPPER(TRIM(Sync!$AH760)),2)="SL",UPPER(TRIM(Sync!$AH760)),""))</f>
        <v/>
      </c>
      <c r="G760" t="str">
        <f>IF($F760="","",IF(Sync!$AE760="","",IF(ISNUMBER(Sync!$AE760),IF(AND(Sync!$AE760&gt;=10000101,Sync!$AE760&lt;=99991231),INT(Sync!$AE760/10000),""),IFERROR(VALUE(TRIM(LEFT(Sync!$AE760,FIND("/",Sync!$AE760)-1))),""))))</f>
        <v/>
      </c>
      <c r="H760" t="str">
        <f>IF(OR($F760="",$G760=""),"",IF(ISNUMBER(Sync!$AE760),INT(MOD(Sync!$AE760,10000)/100),IFERROR(VALUE(TRIM(LEFT(MID(Sync!$AE760,FIND("/",Sync!$AE760)+1,20),FIND("/",MID(Sync!$AE760,FIND("/",Sync!$AE760)+1,20))-1))),"")))</f>
        <v/>
      </c>
      <c r="I760" t="str">
        <f>IF(OR($F760="",$G760=""),"",IF(ISNUMBER(Sync!$AE760),MOD(Sync!$AE760,100),IFERROR(VALUE(TRIM(MID(MID(Sync!$AE760,FIND("/",Sync!$AE760)+1,20),FIND("/",MID(Sync!$AE760,FIND("/",Sync!$AE760)+1,20))+1,20))),"")))</f>
        <v/>
      </c>
      <c r="J760" t="str">
        <f t="shared" si="57"/>
        <v/>
      </c>
      <c r="K760" t="str">
        <f>IF(OR($F760="",$J760="",$J760="نامعتبر"),"",LEFT($J760,4)&amp;MID($J760,6,2)&amp;RIGHT($J760,2)&amp;$N760&amp;"|"&amp;"2"&amp;RIGHT("00000"&amp;755,5))</f>
        <v/>
      </c>
      <c r="L760" t="str">
        <f t="shared" si="58"/>
        <v/>
      </c>
      <c r="M760" t="str">
        <f t="shared" si="59"/>
        <v/>
      </c>
      <c r="N760" t="str">
        <f>IF($F760="","",IF(Sync!$AF760="","0000",IF(AND(ISNUMBER(Sync!$AF760),Sync!$AF760&gt;=0,Sync!$AF760&lt;1),RIGHT("00"&amp;HOUR(Sync!$AF760),2)&amp;RIGHT("00"&amp;MINUTE(Sync!$AF760),2),IFERROR(RIGHT("00"&amp;VALUE(LEFT(Sync!$AF760,FIND(":",Sync!$AF760)-1)),2)&amp;RIGHT("00"&amp;VALUE(MID(Sync!$AF760,FIND(":",Sync!$AF760)+1,2)),2),"0000"))))</f>
        <v/>
      </c>
    </row>
    <row r="761" spans="1:14" x14ac:dyDescent="0.2">
      <c r="A761" t="str">
        <f>IF(OR(Calc!$E765="",Calc!$E765="نامعتبر",Calc!$G765=""),"",Calc!$G765)</f>
        <v/>
      </c>
      <c r="B761" t="str">
        <f>IF($A761="","",LEFT(Calc!$E765,4)&amp;MID(Calc!$E765,6,2)&amp;RIGHT(Calc!$E765,2)&amp;Calc!$Q765&amp;"|"&amp;"1"&amp;RIGHT("00000"&amp;756,5))</f>
        <v/>
      </c>
      <c r="C761" t="str">
        <f t="shared" si="55"/>
        <v/>
      </c>
      <c r="D761" t="str">
        <f t="shared" si="56"/>
        <v/>
      </c>
      <c r="F761" t="str">
        <f>IF(Sync!$AH761="","",IF(LEFT(UPPER(TRIM(Sync!$AH761)),2)="SL",UPPER(TRIM(Sync!$AH761)),""))</f>
        <v/>
      </c>
      <c r="G761" t="str">
        <f>IF($F761="","",IF(Sync!$AE761="","",IF(ISNUMBER(Sync!$AE761),IF(AND(Sync!$AE761&gt;=10000101,Sync!$AE761&lt;=99991231),INT(Sync!$AE761/10000),""),IFERROR(VALUE(TRIM(LEFT(Sync!$AE761,FIND("/",Sync!$AE761)-1))),""))))</f>
        <v/>
      </c>
      <c r="H761" t="str">
        <f>IF(OR($F761="",$G761=""),"",IF(ISNUMBER(Sync!$AE761),INT(MOD(Sync!$AE761,10000)/100),IFERROR(VALUE(TRIM(LEFT(MID(Sync!$AE761,FIND("/",Sync!$AE761)+1,20),FIND("/",MID(Sync!$AE761,FIND("/",Sync!$AE761)+1,20))-1))),"")))</f>
        <v/>
      </c>
      <c r="I761" t="str">
        <f>IF(OR($F761="",$G761=""),"",IF(ISNUMBER(Sync!$AE761),MOD(Sync!$AE761,100),IFERROR(VALUE(TRIM(MID(MID(Sync!$AE761,FIND("/",Sync!$AE761)+1,20),FIND("/",MID(Sync!$AE761,FIND("/",Sync!$AE761)+1,20))+1,20))),"")))</f>
        <v/>
      </c>
      <c r="J761" t="str">
        <f t="shared" si="57"/>
        <v/>
      </c>
      <c r="K761" t="str">
        <f>IF(OR($F761="",$J761="",$J761="نامعتبر"),"",LEFT($J761,4)&amp;MID($J761,6,2)&amp;RIGHT($J761,2)&amp;$N761&amp;"|"&amp;"2"&amp;RIGHT("00000"&amp;756,5))</f>
        <v/>
      </c>
      <c r="L761" t="str">
        <f t="shared" si="58"/>
        <v/>
      </c>
      <c r="M761" t="str">
        <f t="shared" si="59"/>
        <v/>
      </c>
      <c r="N761" t="str">
        <f>IF($F761="","",IF(Sync!$AF761="","0000",IF(AND(ISNUMBER(Sync!$AF761),Sync!$AF761&gt;=0,Sync!$AF761&lt;1),RIGHT("00"&amp;HOUR(Sync!$AF761),2)&amp;RIGHT("00"&amp;MINUTE(Sync!$AF761),2),IFERROR(RIGHT("00"&amp;VALUE(LEFT(Sync!$AF761,FIND(":",Sync!$AF761)-1)),2)&amp;RIGHT("00"&amp;VALUE(MID(Sync!$AF761,FIND(":",Sync!$AF761)+1,2)),2),"0000"))))</f>
        <v/>
      </c>
    </row>
    <row r="762" spans="1:14" x14ac:dyDescent="0.2">
      <c r="A762" t="str">
        <f>IF(OR(Calc!$E766="",Calc!$E766="نامعتبر",Calc!$G766=""),"",Calc!$G766)</f>
        <v/>
      </c>
      <c r="B762" t="str">
        <f>IF($A762="","",LEFT(Calc!$E766,4)&amp;MID(Calc!$E766,6,2)&amp;RIGHT(Calc!$E766,2)&amp;Calc!$Q766&amp;"|"&amp;"1"&amp;RIGHT("00000"&amp;757,5))</f>
        <v/>
      </c>
      <c r="C762" t="str">
        <f t="shared" si="55"/>
        <v/>
      </c>
      <c r="D762" t="str">
        <f t="shared" si="56"/>
        <v/>
      </c>
      <c r="F762" t="str">
        <f>IF(Sync!$AH762="","",IF(LEFT(UPPER(TRIM(Sync!$AH762)),2)="SL",UPPER(TRIM(Sync!$AH762)),""))</f>
        <v/>
      </c>
      <c r="G762" t="str">
        <f>IF($F762="","",IF(Sync!$AE762="","",IF(ISNUMBER(Sync!$AE762),IF(AND(Sync!$AE762&gt;=10000101,Sync!$AE762&lt;=99991231),INT(Sync!$AE762/10000),""),IFERROR(VALUE(TRIM(LEFT(Sync!$AE762,FIND("/",Sync!$AE762)-1))),""))))</f>
        <v/>
      </c>
      <c r="H762" t="str">
        <f>IF(OR($F762="",$G762=""),"",IF(ISNUMBER(Sync!$AE762),INT(MOD(Sync!$AE762,10000)/100),IFERROR(VALUE(TRIM(LEFT(MID(Sync!$AE762,FIND("/",Sync!$AE762)+1,20),FIND("/",MID(Sync!$AE762,FIND("/",Sync!$AE762)+1,20))-1))),"")))</f>
        <v/>
      </c>
      <c r="I762" t="str">
        <f>IF(OR($F762="",$G762=""),"",IF(ISNUMBER(Sync!$AE762),MOD(Sync!$AE762,100),IFERROR(VALUE(TRIM(MID(MID(Sync!$AE762,FIND("/",Sync!$AE762)+1,20),FIND("/",MID(Sync!$AE762,FIND("/",Sync!$AE762)+1,20))+1,20))),"")))</f>
        <v/>
      </c>
      <c r="J762" t="str">
        <f t="shared" si="57"/>
        <v/>
      </c>
      <c r="K762" t="str">
        <f>IF(OR($F762="",$J762="",$J762="نامعتبر"),"",LEFT($J762,4)&amp;MID($J762,6,2)&amp;RIGHT($J762,2)&amp;$N762&amp;"|"&amp;"2"&amp;RIGHT("00000"&amp;757,5))</f>
        <v/>
      </c>
      <c r="L762" t="str">
        <f t="shared" si="58"/>
        <v/>
      </c>
      <c r="M762" t="str">
        <f t="shared" si="59"/>
        <v/>
      </c>
      <c r="N762" t="str">
        <f>IF($F762="","",IF(Sync!$AF762="","0000",IF(AND(ISNUMBER(Sync!$AF762),Sync!$AF762&gt;=0,Sync!$AF762&lt;1),RIGHT("00"&amp;HOUR(Sync!$AF762),2)&amp;RIGHT("00"&amp;MINUTE(Sync!$AF762),2),IFERROR(RIGHT("00"&amp;VALUE(LEFT(Sync!$AF762,FIND(":",Sync!$AF762)-1)),2)&amp;RIGHT("00"&amp;VALUE(MID(Sync!$AF762,FIND(":",Sync!$AF762)+1,2)),2),"0000"))))</f>
        <v/>
      </c>
    </row>
    <row r="763" spans="1:14" x14ac:dyDescent="0.2">
      <c r="A763" t="str">
        <f>IF(OR(Calc!$E767="",Calc!$E767="نامعتبر",Calc!$G767=""),"",Calc!$G767)</f>
        <v/>
      </c>
      <c r="B763" t="str">
        <f>IF($A763="","",LEFT(Calc!$E767,4)&amp;MID(Calc!$E767,6,2)&amp;RIGHT(Calc!$E767,2)&amp;Calc!$Q767&amp;"|"&amp;"1"&amp;RIGHT("00000"&amp;758,5))</f>
        <v/>
      </c>
      <c r="C763" t="str">
        <f t="shared" si="55"/>
        <v/>
      </c>
      <c r="D763" t="str">
        <f t="shared" si="56"/>
        <v/>
      </c>
      <c r="F763" t="str">
        <f>IF(Sync!$AH763="","",IF(LEFT(UPPER(TRIM(Sync!$AH763)),2)="SL",UPPER(TRIM(Sync!$AH763)),""))</f>
        <v/>
      </c>
      <c r="G763" t="str">
        <f>IF($F763="","",IF(Sync!$AE763="","",IF(ISNUMBER(Sync!$AE763),IF(AND(Sync!$AE763&gt;=10000101,Sync!$AE763&lt;=99991231),INT(Sync!$AE763/10000),""),IFERROR(VALUE(TRIM(LEFT(Sync!$AE763,FIND("/",Sync!$AE763)-1))),""))))</f>
        <v/>
      </c>
      <c r="H763" t="str">
        <f>IF(OR($F763="",$G763=""),"",IF(ISNUMBER(Sync!$AE763),INT(MOD(Sync!$AE763,10000)/100),IFERROR(VALUE(TRIM(LEFT(MID(Sync!$AE763,FIND("/",Sync!$AE763)+1,20),FIND("/",MID(Sync!$AE763,FIND("/",Sync!$AE763)+1,20))-1))),"")))</f>
        <v/>
      </c>
      <c r="I763" t="str">
        <f>IF(OR($F763="",$G763=""),"",IF(ISNUMBER(Sync!$AE763),MOD(Sync!$AE763,100),IFERROR(VALUE(TRIM(MID(MID(Sync!$AE763,FIND("/",Sync!$AE763)+1,20),FIND("/",MID(Sync!$AE763,FIND("/",Sync!$AE763)+1,20))+1,20))),"")))</f>
        <v/>
      </c>
      <c r="J763" t="str">
        <f t="shared" si="57"/>
        <v/>
      </c>
      <c r="K763" t="str">
        <f>IF(OR($F763="",$J763="",$J763="نامعتبر"),"",LEFT($J763,4)&amp;MID($J763,6,2)&amp;RIGHT($J763,2)&amp;$N763&amp;"|"&amp;"2"&amp;RIGHT("00000"&amp;758,5))</f>
        <v/>
      </c>
      <c r="L763" t="str">
        <f t="shared" si="58"/>
        <v/>
      </c>
      <c r="M763" t="str">
        <f t="shared" si="59"/>
        <v/>
      </c>
      <c r="N763" t="str">
        <f>IF($F763="","",IF(Sync!$AF763="","0000",IF(AND(ISNUMBER(Sync!$AF763),Sync!$AF763&gt;=0,Sync!$AF763&lt;1),RIGHT("00"&amp;HOUR(Sync!$AF763),2)&amp;RIGHT("00"&amp;MINUTE(Sync!$AF763),2),IFERROR(RIGHT("00"&amp;VALUE(LEFT(Sync!$AF763,FIND(":",Sync!$AF763)-1)),2)&amp;RIGHT("00"&amp;VALUE(MID(Sync!$AF763,FIND(":",Sync!$AF763)+1,2)),2),"0000"))))</f>
        <v/>
      </c>
    </row>
    <row r="764" spans="1:14" x14ac:dyDescent="0.2">
      <c r="A764" t="str">
        <f>IF(OR(Calc!$E768="",Calc!$E768="نامعتبر",Calc!$G768=""),"",Calc!$G768)</f>
        <v/>
      </c>
      <c r="B764" t="str">
        <f>IF($A764="","",LEFT(Calc!$E768,4)&amp;MID(Calc!$E768,6,2)&amp;RIGHT(Calc!$E768,2)&amp;Calc!$Q768&amp;"|"&amp;"1"&amp;RIGHT("00000"&amp;759,5))</f>
        <v/>
      </c>
      <c r="C764" t="str">
        <f t="shared" si="55"/>
        <v/>
      </c>
      <c r="D764" t="str">
        <f t="shared" si="56"/>
        <v/>
      </c>
      <c r="F764" t="str">
        <f>IF(Sync!$AH764="","",IF(LEFT(UPPER(TRIM(Sync!$AH764)),2)="SL",UPPER(TRIM(Sync!$AH764)),""))</f>
        <v/>
      </c>
      <c r="G764" t="str">
        <f>IF($F764="","",IF(Sync!$AE764="","",IF(ISNUMBER(Sync!$AE764),IF(AND(Sync!$AE764&gt;=10000101,Sync!$AE764&lt;=99991231),INT(Sync!$AE764/10000),""),IFERROR(VALUE(TRIM(LEFT(Sync!$AE764,FIND("/",Sync!$AE764)-1))),""))))</f>
        <v/>
      </c>
      <c r="H764" t="str">
        <f>IF(OR($F764="",$G764=""),"",IF(ISNUMBER(Sync!$AE764),INT(MOD(Sync!$AE764,10000)/100),IFERROR(VALUE(TRIM(LEFT(MID(Sync!$AE764,FIND("/",Sync!$AE764)+1,20),FIND("/",MID(Sync!$AE764,FIND("/",Sync!$AE764)+1,20))-1))),"")))</f>
        <v/>
      </c>
      <c r="I764" t="str">
        <f>IF(OR($F764="",$G764=""),"",IF(ISNUMBER(Sync!$AE764),MOD(Sync!$AE764,100),IFERROR(VALUE(TRIM(MID(MID(Sync!$AE764,FIND("/",Sync!$AE764)+1,20),FIND("/",MID(Sync!$AE764,FIND("/",Sync!$AE764)+1,20))+1,20))),"")))</f>
        <v/>
      </c>
      <c r="J764" t="str">
        <f t="shared" si="57"/>
        <v/>
      </c>
      <c r="K764" t="str">
        <f>IF(OR($F764="",$J764="",$J764="نامعتبر"),"",LEFT($J764,4)&amp;MID($J764,6,2)&amp;RIGHT($J764,2)&amp;$N764&amp;"|"&amp;"2"&amp;RIGHT("00000"&amp;759,5))</f>
        <v/>
      </c>
      <c r="L764" t="str">
        <f t="shared" si="58"/>
        <v/>
      </c>
      <c r="M764" t="str">
        <f t="shared" si="59"/>
        <v/>
      </c>
      <c r="N764" t="str">
        <f>IF($F764="","",IF(Sync!$AF764="","0000",IF(AND(ISNUMBER(Sync!$AF764),Sync!$AF764&gt;=0,Sync!$AF764&lt;1),RIGHT("00"&amp;HOUR(Sync!$AF764),2)&amp;RIGHT("00"&amp;MINUTE(Sync!$AF764),2),IFERROR(RIGHT("00"&amp;VALUE(LEFT(Sync!$AF764,FIND(":",Sync!$AF764)-1)),2)&amp;RIGHT("00"&amp;VALUE(MID(Sync!$AF764,FIND(":",Sync!$AF764)+1,2)),2),"0000"))))</f>
        <v/>
      </c>
    </row>
    <row r="765" spans="1:14" x14ac:dyDescent="0.2">
      <c r="A765" t="str">
        <f>IF(OR(Calc!$E769="",Calc!$E769="نامعتبر",Calc!$G769=""),"",Calc!$G769)</f>
        <v/>
      </c>
      <c r="B765" t="str">
        <f>IF($A765="","",LEFT(Calc!$E769,4)&amp;MID(Calc!$E769,6,2)&amp;RIGHT(Calc!$E769,2)&amp;Calc!$Q769&amp;"|"&amp;"1"&amp;RIGHT("00000"&amp;760,5))</f>
        <v/>
      </c>
      <c r="C765" t="str">
        <f t="shared" si="55"/>
        <v/>
      </c>
      <c r="D765" t="str">
        <f t="shared" si="56"/>
        <v/>
      </c>
      <c r="F765" t="str">
        <f>IF(Sync!$AH765="","",IF(LEFT(UPPER(TRIM(Sync!$AH765)),2)="SL",UPPER(TRIM(Sync!$AH765)),""))</f>
        <v/>
      </c>
      <c r="G765" t="str">
        <f>IF($F765="","",IF(Sync!$AE765="","",IF(ISNUMBER(Sync!$AE765),IF(AND(Sync!$AE765&gt;=10000101,Sync!$AE765&lt;=99991231),INT(Sync!$AE765/10000),""),IFERROR(VALUE(TRIM(LEFT(Sync!$AE765,FIND("/",Sync!$AE765)-1))),""))))</f>
        <v/>
      </c>
      <c r="H765" t="str">
        <f>IF(OR($F765="",$G765=""),"",IF(ISNUMBER(Sync!$AE765),INT(MOD(Sync!$AE765,10000)/100),IFERROR(VALUE(TRIM(LEFT(MID(Sync!$AE765,FIND("/",Sync!$AE765)+1,20),FIND("/",MID(Sync!$AE765,FIND("/",Sync!$AE765)+1,20))-1))),"")))</f>
        <v/>
      </c>
      <c r="I765" t="str">
        <f>IF(OR($F765="",$G765=""),"",IF(ISNUMBER(Sync!$AE765),MOD(Sync!$AE765,100),IFERROR(VALUE(TRIM(MID(MID(Sync!$AE765,FIND("/",Sync!$AE765)+1,20),FIND("/",MID(Sync!$AE765,FIND("/",Sync!$AE765)+1,20))+1,20))),"")))</f>
        <v/>
      </c>
      <c r="J765" t="str">
        <f t="shared" si="57"/>
        <v/>
      </c>
      <c r="K765" t="str">
        <f>IF(OR($F765="",$J765="",$J765="نامعتبر"),"",LEFT($J765,4)&amp;MID($J765,6,2)&amp;RIGHT($J765,2)&amp;$N765&amp;"|"&amp;"2"&amp;RIGHT("00000"&amp;760,5))</f>
        <v/>
      </c>
      <c r="L765" t="str">
        <f t="shared" si="58"/>
        <v/>
      </c>
      <c r="M765" t="str">
        <f t="shared" si="59"/>
        <v/>
      </c>
      <c r="N765" t="str">
        <f>IF($F765="","",IF(Sync!$AF765="","0000",IF(AND(ISNUMBER(Sync!$AF765),Sync!$AF765&gt;=0,Sync!$AF765&lt;1),RIGHT("00"&amp;HOUR(Sync!$AF765),2)&amp;RIGHT("00"&amp;MINUTE(Sync!$AF765),2),IFERROR(RIGHT("00"&amp;VALUE(LEFT(Sync!$AF765,FIND(":",Sync!$AF765)-1)),2)&amp;RIGHT("00"&amp;VALUE(MID(Sync!$AF765,FIND(":",Sync!$AF765)+1,2)),2),"0000"))))</f>
        <v/>
      </c>
    </row>
    <row r="766" spans="1:14" x14ac:dyDescent="0.2">
      <c r="A766" t="str">
        <f>IF(OR(Calc!$E770="",Calc!$E770="نامعتبر",Calc!$G770=""),"",Calc!$G770)</f>
        <v/>
      </c>
      <c r="B766" t="str">
        <f>IF($A766="","",LEFT(Calc!$E770,4)&amp;MID(Calc!$E770,6,2)&amp;RIGHT(Calc!$E770,2)&amp;Calc!$Q770&amp;"|"&amp;"1"&amp;RIGHT("00000"&amp;761,5))</f>
        <v/>
      </c>
      <c r="C766" t="str">
        <f t="shared" si="55"/>
        <v/>
      </c>
      <c r="D766" t="str">
        <f t="shared" si="56"/>
        <v/>
      </c>
      <c r="F766" t="str">
        <f>IF(Sync!$AH766="","",IF(LEFT(UPPER(TRIM(Sync!$AH766)),2)="SL",UPPER(TRIM(Sync!$AH766)),""))</f>
        <v/>
      </c>
      <c r="G766" t="str">
        <f>IF($F766="","",IF(Sync!$AE766="","",IF(ISNUMBER(Sync!$AE766),IF(AND(Sync!$AE766&gt;=10000101,Sync!$AE766&lt;=99991231),INT(Sync!$AE766/10000),""),IFERROR(VALUE(TRIM(LEFT(Sync!$AE766,FIND("/",Sync!$AE766)-1))),""))))</f>
        <v/>
      </c>
      <c r="H766" t="str">
        <f>IF(OR($F766="",$G766=""),"",IF(ISNUMBER(Sync!$AE766),INT(MOD(Sync!$AE766,10000)/100),IFERROR(VALUE(TRIM(LEFT(MID(Sync!$AE766,FIND("/",Sync!$AE766)+1,20),FIND("/",MID(Sync!$AE766,FIND("/",Sync!$AE766)+1,20))-1))),"")))</f>
        <v/>
      </c>
      <c r="I766" t="str">
        <f>IF(OR($F766="",$G766=""),"",IF(ISNUMBER(Sync!$AE766),MOD(Sync!$AE766,100),IFERROR(VALUE(TRIM(MID(MID(Sync!$AE766,FIND("/",Sync!$AE766)+1,20),FIND("/",MID(Sync!$AE766,FIND("/",Sync!$AE766)+1,20))+1,20))),"")))</f>
        <v/>
      </c>
      <c r="J766" t="str">
        <f t="shared" si="57"/>
        <v/>
      </c>
      <c r="K766" t="str">
        <f>IF(OR($F766="",$J766="",$J766="نامعتبر"),"",LEFT($J766,4)&amp;MID($J766,6,2)&amp;RIGHT($J766,2)&amp;$N766&amp;"|"&amp;"2"&amp;RIGHT("00000"&amp;761,5))</f>
        <v/>
      </c>
      <c r="L766" t="str">
        <f t="shared" si="58"/>
        <v/>
      </c>
      <c r="M766" t="str">
        <f t="shared" si="59"/>
        <v/>
      </c>
      <c r="N766" t="str">
        <f>IF($F766="","",IF(Sync!$AF766="","0000",IF(AND(ISNUMBER(Sync!$AF766),Sync!$AF766&gt;=0,Sync!$AF766&lt;1),RIGHT("00"&amp;HOUR(Sync!$AF766),2)&amp;RIGHT("00"&amp;MINUTE(Sync!$AF766),2),IFERROR(RIGHT("00"&amp;VALUE(LEFT(Sync!$AF766,FIND(":",Sync!$AF766)-1)),2)&amp;RIGHT("00"&amp;VALUE(MID(Sync!$AF766,FIND(":",Sync!$AF766)+1,2)),2),"0000"))))</f>
        <v/>
      </c>
    </row>
    <row r="767" spans="1:14" x14ac:dyDescent="0.2">
      <c r="A767" t="str">
        <f>IF(OR(Calc!$E771="",Calc!$E771="نامعتبر",Calc!$G771=""),"",Calc!$G771)</f>
        <v/>
      </c>
      <c r="B767" t="str">
        <f>IF($A767="","",LEFT(Calc!$E771,4)&amp;MID(Calc!$E771,6,2)&amp;RIGHT(Calc!$E771,2)&amp;Calc!$Q771&amp;"|"&amp;"1"&amp;RIGHT("00000"&amp;762,5))</f>
        <v/>
      </c>
      <c r="C767" t="str">
        <f t="shared" si="55"/>
        <v/>
      </c>
      <c r="D767" t="str">
        <f t="shared" si="56"/>
        <v/>
      </c>
      <c r="F767" t="str">
        <f>IF(Sync!$AH767="","",IF(LEFT(UPPER(TRIM(Sync!$AH767)),2)="SL",UPPER(TRIM(Sync!$AH767)),""))</f>
        <v/>
      </c>
      <c r="G767" t="str">
        <f>IF($F767="","",IF(Sync!$AE767="","",IF(ISNUMBER(Sync!$AE767),IF(AND(Sync!$AE767&gt;=10000101,Sync!$AE767&lt;=99991231),INT(Sync!$AE767/10000),""),IFERROR(VALUE(TRIM(LEFT(Sync!$AE767,FIND("/",Sync!$AE767)-1))),""))))</f>
        <v/>
      </c>
      <c r="H767" t="str">
        <f>IF(OR($F767="",$G767=""),"",IF(ISNUMBER(Sync!$AE767),INT(MOD(Sync!$AE767,10000)/100),IFERROR(VALUE(TRIM(LEFT(MID(Sync!$AE767,FIND("/",Sync!$AE767)+1,20),FIND("/",MID(Sync!$AE767,FIND("/",Sync!$AE767)+1,20))-1))),"")))</f>
        <v/>
      </c>
      <c r="I767" t="str">
        <f>IF(OR($F767="",$G767=""),"",IF(ISNUMBER(Sync!$AE767),MOD(Sync!$AE767,100),IFERROR(VALUE(TRIM(MID(MID(Sync!$AE767,FIND("/",Sync!$AE767)+1,20),FIND("/",MID(Sync!$AE767,FIND("/",Sync!$AE767)+1,20))+1,20))),"")))</f>
        <v/>
      </c>
      <c r="J767" t="str">
        <f t="shared" si="57"/>
        <v/>
      </c>
      <c r="K767" t="str">
        <f>IF(OR($F767="",$J767="",$J767="نامعتبر"),"",LEFT($J767,4)&amp;MID($J767,6,2)&amp;RIGHT($J767,2)&amp;$N767&amp;"|"&amp;"2"&amp;RIGHT("00000"&amp;762,5))</f>
        <v/>
      </c>
      <c r="L767" t="str">
        <f t="shared" si="58"/>
        <v/>
      </c>
      <c r="M767" t="str">
        <f t="shared" si="59"/>
        <v/>
      </c>
      <c r="N767" t="str">
        <f>IF($F767="","",IF(Sync!$AF767="","0000",IF(AND(ISNUMBER(Sync!$AF767),Sync!$AF767&gt;=0,Sync!$AF767&lt;1),RIGHT("00"&amp;HOUR(Sync!$AF767),2)&amp;RIGHT("00"&amp;MINUTE(Sync!$AF767),2),IFERROR(RIGHT("00"&amp;VALUE(LEFT(Sync!$AF767,FIND(":",Sync!$AF767)-1)),2)&amp;RIGHT("00"&amp;VALUE(MID(Sync!$AF767,FIND(":",Sync!$AF767)+1,2)),2),"0000"))))</f>
        <v/>
      </c>
    </row>
    <row r="768" spans="1:14" x14ac:dyDescent="0.2">
      <c r="A768" t="str">
        <f>IF(OR(Calc!$E772="",Calc!$E772="نامعتبر",Calc!$G772=""),"",Calc!$G772)</f>
        <v/>
      </c>
      <c r="B768" t="str">
        <f>IF($A768="","",LEFT(Calc!$E772,4)&amp;MID(Calc!$E772,6,2)&amp;RIGHT(Calc!$E772,2)&amp;Calc!$Q772&amp;"|"&amp;"1"&amp;RIGHT("00000"&amp;763,5))</f>
        <v/>
      </c>
      <c r="C768" t="str">
        <f t="shared" si="55"/>
        <v/>
      </c>
      <c r="D768" t="str">
        <f t="shared" si="56"/>
        <v/>
      </c>
      <c r="F768" t="str">
        <f>IF(Sync!$AH768="","",IF(LEFT(UPPER(TRIM(Sync!$AH768)),2)="SL",UPPER(TRIM(Sync!$AH768)),""))</f>
        <v/>
      </c>
      <c r="G768" t="str">
        <f>IF($F768="","",IF(Sync!$AE768="","",IF(ISNUMBER(Sync!$AE768),IF(AND(Sync!$AE768&gt;=10000101,Sync!$AE768&lt;=99991231),INT(Sync!$AE768/10000),""),IFERROR(VALUE(TRIM(LEFT(Sync!$AE768,FIND("/",Sync!$AE768)-1))),""))))</f>
        <v/>
      </c>
      <c r="H768" t="str">
        <f>IF(OR($F768="",$G768=""),"",IF(ISNUMBER(Sync!$AE768),INT(MOD(Sync!$AE768,10000)/100),IFERROR(VALUE(TRIM(LEFT(MID(Sync!$AE768,FIND("/",Sync!$AE768)+1,20),FIND("/",MID(Sync!$AE768,FIND("/",Sync!$AE768)+1,20))-1))),"")))</f>
        <v/>
      </c>
      <c r="I768" t="str">
        <f>IF(OR($F768="",$G768=""),"",IF(ISNUMBER(Sync!$AE768),MOD(Sync!$AE768,100),IFERROR(VALUE(TRIM(MID(MID(Sync!$AE768,FIND("/",Sync!$AE768)+1,20),FIND("/",MID(Sync!$AE768,FIND("/",Sync!$AE768)+1,20))+1,20))),"")))</f>
        <v/>
      </c>
      <c r="J768" t="str">
        <f t="shared" si="57"/>
        <v/>
      </c>
      <c r="K768" t="str">
        <f>IF(OR($F768="",$J768="",$J768="نامعتبر"),"",LEFT($J768,4)&amp;MID($J768,6,2)&amp;RIGHT($J768,2)&amp;$N768&amp;"|"&amp;"2"&amp;RIGHT("00000"&amp;763,5))</f>
        <v/>
      </c>
      <c r="L768" t="str">
        <f t="shared" si="58"/>
        <v/>
      </c>
      <c r="M768" t="str">
        <f t="shared" si="59"/>
        <v/>
      </c>
      <c r="N768" t="str">
        <f>IF($F768="","",IF(Sync!$AF768="","0000",IF(AND(ISNUMBER(Sync!$AF768),Sync!$AF768&gt;=0,Sync!$AF768&lt;1),RIGHT("00"&amp;HOUR(Sync!$AF768),2)&amp;RIGHT("00"&amp;MINUTE(Sync!$AF768),2),IFERROR(RIGHT("00"&amp;VALUE(LEFT(Sync!$AF768,FIND(":",Sync!$AF768)-1)),2)&amp;RIGHT("00"&amp;VALUE(MID(Sync!$AF768,FIND(":",Sync!$AF768)+1,2)),2),"0000"))))</f>
        <v/>
      </c>
    </row>
    <row r="769" spans="1:14" x14ac:dyDescent="0.2">
      <c r="A769" t="str">
        <f>IF(OR(Calc!$E773="",Calc!$E773="نامعتبر",Calc!$G773=""),"",Calc!$G773)</f>
        <v/>
      </c>
      <c r="B769" t="str">
        <f>IF($A769="","",LEFT(Calc!$E773,4)&amp;MID(Calc!$E773,6,2)&amp;RIGHT(Calc!$E773,2)&amp;Calc!$Q773&amp;"|"&amp;"1"&amp;RIGHT("00000"&amp;764,5))</f>
        <v/>
      </c>
      <c r="C769" t="str">
        <f t="shared" si="55"/>
        <v/>
      </c>
      <c r="D769" t="str">
        <f t="shared" si="56"/>
        <v/>
      </c>
      <c r="F769" t="str">
        <f>IF(Sync!$AH769="","",IF(LEFT(UPPER(TRIM(Sync!$AH769)),2)="SL",UPPER(TRIM(Sync!$AH769)),""))</f>
        <v/>
      </c>
      <c r="G769" t="str">
        <f>IF($F769="","",IF(Sync!$AE769="","",IF(ISNUMBER(Sync!$AE769),IF(AND(Sync!$AE769&gt;=10000101,Sync!$AE769&lt;=99991231),INT(Sync!$AE769/10000),""),IFERROR(VALUE(TRIM(LEFT(Sync!$AE769,FIND("/",Sync!$AE769)-1))),""))))</f>
        <v/>
      </c>
      <c r="H769" t="str">
        <f>IF(OR($F769="",$G769=""),"",IF(ISNUMBER(Sync!$AE769),INT(MOD(Sync!$AE769,10000)/100),IFERROR(VALUE(TRIM(LEFT(MID(Sync!$AE769,FIND("/",Sync!$AE769)+1,20),FIND("/",MID(Sync!$AE769,FIND("/",Sync!$AE769)+1,20))-1))),"")))</f>
        <v/>
      </c>
      <c r="I769" t="str">
        <f>IF(OR($F769="",$G769=""),"",IF(ISNUMBER(Sync!$AE769),MOD(Sync!$AE769,100),IFERROR(VALUE(TRIM(MID(MID(Sync!$AE769,FIND("/",Sync!$AE769)+1,20),FIND("/",MID(Sync!$AE769,FIND("/",Sync!$AE769)+1,20))+1,20))),"")))</f>
        <v/>
      </c>
      <c r="J769" t="str">
        <f t="shared" si="57"/>
        <v/>
      </c>
      <c r="K769" t="str">
        <f>IF(OR($F769="",$J769="",$J769="نامعتبر"),"",LEFT($J769,4)&amp;MID($J769,6,2)&amp;RIGHT($J769,2)&amp;$N769&amp;"|"&amp;"2"&amp;RIGHT("00000"&amp;764,5))</f>
        <v/>
      </c>
      <c r="L769" t="str">
        <f t="shared" si="58"/>
        <v/>
      </c>
      <c r="M769" t="str">
        <f t="shared" si="59"/>
        <v/>
      </c>
      <c r="N769" t="str">
        <f>IF($F769="","",IF(Sync!$AF769="","0000",IF(AND(ISNUMBER(Sync!$AF769),Sync!$AF769&gt;=0,Sync!$AF769&lt;1),RIGHT("00"&amp;HOUR(Sync!$AF769),2)&amp;RIGHT("00"&amp;MINUTE(Sync!$AF769),2),IFERROR(RIGHT("00"&amp;VALUE(LEFT(Sync!$AF769,FIND(":",Sync!$AF769)-1)),2)&amp;RIGHT("00"&amp;VALUE(MID(Sync!$AF769,FIND(":",Sync!$AF769)+1,2)),2),"0000"))))</f>
        <v/>
      </c>
    </row>
    <row r="770" spans="1:14" x14ac:dyDescent="0.2">
      <c r="A770" t="str">
        <f>IF(OR(Calc!$E774="",Calc!$E774="نامعتبر",Calc!$G774=""),"",Calc!$G774)</f>
        <v/>
      </c>
      <c r="B770" t="str">
        <f>IF($A770="","",LEFT(Calc!$E774,4)&amp;MID(Calc!$E774,6,2)&amp;RIGHT(Calc!$E774,2)&amp;Calc!$Q774&amp;"|"&amp;"1"&amp;RIGHT("00000"&amp;765,5))</f>
        <v/>
      </c>
      <c r="C770" t="str">
        <f t="shared" si="55"/>
        <v/>
      </c>
      <c r="D770" t="str">
        <f t="shared" si="56"/>
        <v/>
      </c>
      <c r="F770" t="str">
        <f>IF(Sync!$AH770="","",IF(LEFT(UPPER(TRIM(Sync!$AH770)),2)="SL",UPPER(TRIM(Sync!$AH770)),""))</f>
        <v/>
      </c>
      <c r="G770" t="str">
        <f>IF($F770="","",IF(Sync!$AE770="","",IF(ISNUMBER(Sync!$AE770),IF(AND(Sync!$AE770&gt;=10000101,Sync!$AE770&lt;=99991231),INT(Sync!$AE770/10000),""),IFERROR(VALUE(TRIM(LEFT(Sync!$AE770,FIND("/",Sync!$AE770)-1))),""))))</f>
        <v/>
      </c>
      <c r="H770" t="str">
        <f>IF(OR($F770="",$G770=""),"",IF(ISNUMBER(Sync!$AE770),INT(MOD(Sync!$AE770,10000)/100),IFERROR(VALUE(TRIM(LEFT(MID(Sync!$AE770,FIND("/",Sync!$AE770)+1,20),FIND("/",MID(Sync!$AE770,FIND("/",Sync!$AE770)+1,20))-1))),"")))</f>
        <v/>
      </c>
      <c r="I770" t="str">
        <f>IF(OR($F770="",$G770=""),"",IF(ISNUMBER(Sync!$AE770),MOD(Sync!$AE770,100),IFERROR(VALUE(TRIM(MID(MID(Sync!$AE770,FIND("/",Sync!$AE770)+1,20),FIND("/",MID(Sync!$AE770,FIND("/",Sync!$AE770)+1,20))+1,20))),"")))</f>
        <v/>
      </c>
      <c r="J770" t="str">
        <f t="shared" si="57"/>
        <v/>
      </c>
      <c r="K770" t="str">
        <f>IF(OR($F770="",$J770="",$J770="نامعتبر"),"",LEFT($J770,4)&amp;MID($J770,6,2)&amp;RIGHT($J770,2)&amp;$N770&amp;"|"&amp;"2"&amp;RIGHT("00000"&amp;765,5))</f>
        <v/>
      </c>
      <c r="L770" t="str">
        <f t="shared" si="58"/>
        <v/>
      </c>
      <c r="M770" t="str">
        <f t="shared" si="59"/>
        <v/>
      </c>
      <c r="N770" t="str">
        <f>IF($F770="","",IF(Sync!$AF770="","0000",IF(AND(ISNUMBER(Sync!$AF770),Sync!$AF770&gt;=0,Sync!$AF770&lt;1),RIGHT("00"&amp;HOUR(Sync!$AF770),2)&amp;RIGHT("00"&amp;MINUTE(Sync!$AF770),2),IFERROR(RIGHT("00"&amp;VALUE(LEFT(Sync!$AF770,FIND(":",Sync!$AF770)-1)),2)&amp;RIGHT("00"&amp;VALUE(MID(Sync!$AF770,FIND(":",Sync!$AF770)+1,2)),2),"0000"))))</f>
        <v/>
      </c>
    </row>
    <row r="771" spans="1:14" x14ac:dyDescent="0.2">
      <c r="A771" t="str">
        <f>IF(OR(Calc!$E775="",Calc!$E775="نامعتبر",Calc!$G775=""),"",Calc!$G775)</f>
        <v/>
      </c>
      <c r="B771" t="str">
        <f>IF($A771="","",LEFT(Calc!$E775,4)&amp;MID(Calc!$E775,6,2)&amp;RIGHT(Calc!$E775,2)&amp;Calc!$Q775&amp;"|"&amp;"1"&amp;RIGHT("00000"&amp;766,5))</f>
        <v/>
      </c>
      <c r="C771" t="str">
        <f t="shared" si="55"/>
        <v/>
      </c>
      <c r="D771" t="str">
        <f t="shared" si="56"/>
        <v/>
      </c>
      <c r="F771" t="str">
        <f>IF(Sync!$AH771="","",IF(LEFT(UPPER(TRIM(Sync!$AH771)),2)="SL",UPPER(TRIM(Sync!$AH771)),""))</f>
        <v/>
      </c>
      <c r="G771" t="str">
        <f>IF($F771="","",IF(Sync!$AE771="","",IF(ISNUMBER(Sync!$AE771),IF(AND(Sync!$AE771&gt;=10000101,Sync!$AE771&lt;=99991231),INT(Sync!$AE771/10000),""),IFERROR(VALUE(TRIM(LEFT(Sync!$AE771,FIND("/",Sync!$AE771)-1))),""))))</f>
        <v/>
      </c>
      <c r="H771" t="str">
        <f>IF(OR($F771="",$G771=""),"",IF(ISNUMBER(Sync!$AE771),INT(MOD(Sync!$AE771,10000)/100),IFERROR(VALUE(TRIM(LEFT(MID(Sync!$AE771,FIND("/",Sync!$AE771)+1,20),FIND("/",MID(Sync!$AE771,FIND("/",Sync!$AE771)+1,20))-1))),"")))</f>
        <v/>
      </c>
      <c r="I771" t="str">
        <f>IF(OR($F771="",$G771=""),"",IF(ISNUMBER(Sync!$AE771),MOD(Sync!$AE771,100),IFERROR(VALUE(TRIM(MID(MID(Sync!$AE771,FIND("/",Sync!$AE771)+1,20),FIND("/",MID(Sync!$AE771,FIND("/",Sync!$AE771)+1,20))+1,20))),"")))</f>
        <v/>
      </c>
      <c r="J771" t="str">
        <f t="shared" si="57"/>
        <v/>
      </c>
      <c r="K771" t="str">
        <f>IF(OR($F771="",$J771="",$J771="نامعتبر"),"",LEFT($J771,4)&amp;MID($J771,6,2)&amp;RIGHT($J771,2)&amp;$N771&amp;"|"&amp;"2"&amp;RIGHT("00000"&amp;766,5))</f>
        <v/>
      </c>
      <c r="L771" t="str">
        <f t="shared" si="58"/>
        <v/>
      </c>
      <c r="M771" t="str">
        <f t="shared" si="59"/>
        <v/>
      </c>
      <c r="N771" t="str">
        <f>IF($F771="","",IF(Sync!$AF771="","0000",IF(AND(ISNUMBER(Sync!$AF771),Sync!$AF771&gt;=0,Sync!$AF771&lt;1),RIGHT("00"&amp;HOUR(Sync!$AF771),2)&amp;RIGHT("00"&amp;MINUTE(Sync!$AF771),2),IFERROR(RIGHT("00"&amp;VALUE(LEFT(Sync!$AF771,FIND(":",Sync!$AF771)-1)),2)&amp;RIGHT("00"&amp;VALUE(MID(Sync!$AF771,FIND(":",Sync!$AF771)+1,2)),2),"0000"))))</f>
        <v/>
      </c>
    </row>
    <row r="772" spans="1:14" x14ac:dyDescent="0.2">
      <c r="A772" t="str">
        <f>IF(OR(Calc!$E776="",Calc!$E776="نامعتبر",Calc!$G776=""),"",Calc!$G776)</f>
        <v/>
      </c>
      <c r="B772" t="str">
        <f>IF($A772="","",LEFT(Calc!$E776,4)&amp;MID(Calc!$E776,6,2)&amp;RIGHT(Calc!$E776,2)&amp;Calc!$Q776&amp;"|"&amp;"1"&amp;RIGHT("00000"&amp;767,5))</f>
        <v/>
      </c>
      <c r="C772" t="str">
        <f t="shared" si="55"/>
        <v/>
      </c>
      <c r="D772" t="str">
        <f t="shared" si="56"/>
        <v/>
      </c>
      <c r="F772" t="str">
        <f>IF(Sync!$AH772="","",IF(LEFT(UPPER(TRIM(Sync!$AH772)),2)="SL",UPPER(TRIM(Sync!$AH772)),""))</f>
        <v/>
      </c>
      <c r="G772" t="str">
        <f>IF($F772="","",IF(Sync!$AE772="","",IF(ISNUMBER(Sync!$AE772),IF(AND(Sync!$AE772&gt;=10000101,Sync!$AE772&lt;=99991231),INT(Sync!$AE772/10000),""),IFERROR(VALUE(TRIM(LEFT(Sync!$AE772,FIND("/",Sync!$AE772)-1))),""))))</f>
        <v/>
      </c>
      <c r="H772" t="str">
        <f>IF(OR($F772="",$G772=""),"",IF(ISNUMBER(Sync!$AE772),INT(MOD(Sync!$AE772,10000)/100),IFERROR(VALUE(TRIM(LEFT(MID(Sync!$AE772,FIND("/",Sync!$AE772)+1,20),FIND("/",MID(Sync!$AE772,FIND("/",Sync!$AE772)+1,20))-1))),"")))</f>
        <v/>
      </c>
      <c r="I772" t="str">
        <f>IF(OR($F772="",$G772=""),"",IF(ISNUMBER(Sync!$AE772),MOD(Sync!$AE772,100),IFERROR(VALUE(TRIM(MID(MID(Sync!$AE772,FIND("/",Sync!$AE772)+1,20),FIND("/",MID(Sync!$AE772,FIND("/",Sync!$AE772)+1,20))+1,20))),"")))</f>
        <v/>
      </c>
      <c r="J772" t="str">
        <f t="shared" si="57"/>
        <v/>
      </c>
      <c r="K772" t="str">
        <f>IF(OR($F772="",$J772="",$J772="نامعتبر"),"",LEFT($J772,4)&amp;MID($J772,6,2)&amp;RIGHT($J772,2)&amp;$N772&amp;"|"&amp;"2"&amp;RIGHT("00000"&amp;767,5))</f>
        <v/>
      </c>
      <c r="L772" t="str">
        <f t="shared" si="58"/>
        <v/>
      </c>
      <c r="M772" t="str">
        <f t="shared" si="59"/>
        <v/>
      </c>
      <c r="N772" t="str">
        <f>IF($F772="","",IF(Sync!$AF772="","0000",IF(AND(ISNUMBER(Sync!$AF772),Sync!$AF772&gt;=0,Sync!$AF772&lt;1),RIGHT("00"&amp;HOUR(Sync!$AF772),2)&amp;RIGHT("00"&amp;MINUTE(Sync!$AF772),2),IFERROR(RIGHT("00"&amp;VALUE(LEFT(Sync!$AF772,FIND(":",Sync!$AF772)-1)),2)&amp;RIGHT("00"&amp;VALUE(MID(Sync!$AF772,FIND(":",Sync!$AF772)+1,2)),2),"0000"))))</f>
        <v/>
      </c>
    </row>
    <row r="773" spans="1:14" x14ac:dyDescent="0.2">
      <c r="A773" t="str">
        <f>IF(OR(Calc!$E777="",Calc!$E777="نامعتبر",Calc!$G777=""),"",Calc!$G777)</f>
        <v/>
      </c>
      <c r="B773" t="str">
        <f>IF($A773="","",LEFT(Calc!$E777,4)&amp;MID(Calc!$E777,6,2)&amp;RIGHT(Calc!$E777,2)&amp;Calc!$Q777&amp;"|"&amp;"1"&amp;RIGHT("00000"&amp;768,5))</f>
        <v/>
      </c>
      <c r="C773" t="str">
        <f t="shared" si="55"/>
        <v/>
      </c>
      <c r="D773" t="str">
        <f t="shared" si="56"/>
        <v/>
      </c>
      <c r="F773" t="str">
        <f>IF(Sync!$AH773="","",IF(LEFT(UPPER(TRIM(Sync!$AH773)),2)="SL",UPPER(TRIM(Sync!$AH773)),""))</f>
        <v/>
      </c>
      <c r="G773" t="str">
        <f>IF($F773="","",IF(Sync!$AE773="","",IF(ISNUMBER(Sync!$AE773),IF(AND(Sync!$AE773&gt;=10000101,Sync!$AE773&lt;=99991231),INT(Sync!$AE773/10000),""),IFERROR(VALUE(TRIM(LEFT(Sync!$AE773,FIND("/",Sync!$AE773)-1))),""))))</f>
        <v/>
      </c>
      <c r="H773" t="str">
        <f>IF(OR($F773="",$G773=""),"",IF(ISNUMBER(Sync!$AE773),INT(MOD(Sync!$AE773,10000)/100),IFERROR(VALUE(TRIM(LEFT(MID(Sync!$AE773,FIND("/",Sync!$AE773)+1,20),FIND("/",MID(Sync!$AE773,FIND("/",Sync!$AE773)+1,20))-1))),"")))</f>
        <v/>
      </c>
      <c r="I773" t="str">
        <f>IF(OR($F773="",$G773=""),"",IF(ISNUMBER(Sync!$AE773),MOD(Sync!$AE773,100),IFERROR(VALUE(TRIM(MID(MID(Sync!$AE773,FIND("/",Sync!$AE773)+1,20),FIND("/",MID(Sync!$AE773,FIND("/",Sync!$AE773)+1,20))+1,20))),"")))</f>
        <v/>
      </c>
      <c r="J773" t="str">
        <f t="shared" si="57"/>
        <v/>
      </c>
      <c r="K773" t="str">
        <f>IF(OR($F773="",$J773="",$J773="نامعتبر"),"",LEFT($J773,4)&amp;MID($J773,6,2)&amp;RIGHT($J773,2)&amp;$N773&amp;"|"&amp;"2"&amp;RIGHT("00000"&amp;768,5))</f>
        <v/>
      </c>
      <c r="L773" t="str">
        <f t="shared" si="58"/>
        <v/>
      </c>
      <c r="M773" t="str">
        <f t="shared" si="59"/>
        <v/>
      </c>
      <c r="N773" t="str">
        <f>IF($F773="","",IF(Sync!$AF773="","0000",IF(AND(ISNUMBER(Sync!$AF773),Sync!$AF773&gt;=0,Sync!$AF773&lt;1),RIGHT("00"&amp;HOUR(Sync!$AF773),2)&amp;RIGHT("00"&amp;MINUTE(Sync!$AF773),2),IFERROR(RIGHT("00"&amp;VALUE(LEFT(Sync!$AF773,FIND(":",Sync!$AF773)-1)),2)&amp;RIGHT("00"&amp;VALUE(MID(Sync!$AF773,FIND(":",Sync!$AF773)+1,2)),2),"0000"))))</f>
        <v/>
      </c>
    </row>
    <row r="774" spans="1:14" x14ac:dyDescent="0.2">
      <c r="A774" t="str">
        <f>IF(OR(Calc!$E778="",Calc!$E778="نامعتبر",Calc!$G778=""),"",Calc!$G778)</f>
        <v/>
      </c>
      <c r="B774" t="str">
        <f>IF($A774="","",LEFT(Calc!$E778,4)&amp;MID(Calc!$E778,6,2)&amp;RIGHT(Calc!$E778,2)&amp;Calc!$Q778&amp;"|"&amp;"1"&amp;RIGHT("00000"&amp;769,5))</f>
        <v/>
      </c>
      <c r="C774" t="str">
        <f t="shared" ref="C774:C837" si="60">IF($B774="","",COUNTIFS(LdgSellerA,$A774,LdgKeyA,"&lt;"&amp;$B774)+COUNTIFS(LdgSellerB,$A774,LdgKeyB,"&lt;"&amp;$B774)+1)</f>
        <v/>
      </c>
      <c r="D774" t="str">
        <f t="shared" ref="D774:D837" si="61">IF($C774="","",$A774&amp;"|"&amp;RIGHT("000000"&amp;$C774,6))</f>
        <v/>
      </c>
      <c r="F774" t="str">
        <f>IF(Sync!$AH774="","",IF(LEFT(UPPER(TRIM(Sync!$AH774)),2)="SL",UPPER(TRIM(Sync!$AH774)),""))</f>
        <v/>
      </c>
      <c r="G774" t="str">
        <f>IF($F774="","",IF(Sync!$AE774="","",IF(ISNUMBER(Sync!$AE774),IF(AND(Sync!$AE774&gt;=10000101,Sync!$AE774&lt;=99991231),INT(Sync!$AE774/10000),""),IFERROR(VALUE(TRIM(LEFT(Sync!$AE774,FIND("/",Sync!$AE774)-1))),""))))</f>
        <v/>
      </c>
      <c r="H774" t="str">
        <f>IF(OR($F774="",$G774=""),"",IF(ISNUMBER(Sync!$AE774),INT(MOD(Sync!$AE774,10000)/100),IFERROR(VALUE(TRIM(LEFT(MID(Sync!$AE774,FIND("/",Sync!$AE774)+1,20),FIND("/",MID(Sync!$AE774,FIND("/",Sync!$AE774)+1,20))-1))),"")))</f>
        <v/>
      </c>
      <c r="I774" t="str">
        <f>IF(OR($F774="",$G774=""),"",IF(ISNUMBER(Sync!$AE774),MOD(Sync!$AE774,100),IFERROR(VALUE(TRIM(MID(MID(Sync!$AE774,FIND("/",Sync!$AE774)+1,20),FIND("/",MID(Sync!$AE774,FIND("/",Sync!$AE774)+1,20))+1,20))),"")))</f>
        <v/>
      </c>
      <c r="J774" t="str">
        <f t="shared" ref="J774:J837" si="62">IF($F774="","",IF(OR($G774="",$H774="",$I774="",$G774&lt;1300,$G774&gt;1500,$H774&lt;1,$H774&gt;12,$I774&lt;1,$I774&gt;31),"نامعتبر",RIGHT("0000"&amp;$G774,4)&amp;"/"&amp;RIGHT("00"&amp;$H774,2)&amp;"/"&amp;RIGHT("00"&amp;$I774,2)))</f>
        <v/>
      </c>
      <c r="K774" t="str">
        <f>IF(OR($F774="",$J774="",$J774="نامعتبر"),"",LEFT($J774,4)&amp;MID($J774,6,2)&amp;RIGHT($J774,2)&amp;$N774&amp;"|"&amp;"2"&amp;RIGHT("00000"&amp;769,5))</f>
        <v/>
      </c>
      <c r="L774" t="str">
        <f t="shared" ref="L774:L837" si="63">IF($K774="","",COUNTIFS(LdgSellerA,$F774,LdgKeyA,"&lt;"&amp;$K774)+COUNTIFS(LdgSellerB,$F774,LdgKeyB,"&lt;"&amp;$K774)+1)</f>
        <v/>
      </c>
      <c r="M774" t="str">
        <f t="shared" ref="M774:M837" si="64">IF($L774="","",$F774&amp;"|"&amp;RIGHT("000000"&amp;$L774,6))</f>
        <v/>
      </c>
      <c r="N774" t="str">
        <f>IF($F774="","",IF(Sync!$AF774="","0000",IF(AND(ISNUMBER(Sync!$AF774),Sync!$AF774&gt;=0,Sync!$AF774&lt;1),RIGHT("00"&amp;HOUR(Sync!$AF774),2)&amp;RIGHT("00"&amp;MINUTE(Sync!$AF774),2),IFERROR(RIGHT("00"&amp;VALUE(LEFT(Sync!$AF774,FIND(":",Sync!$AF774)-1)),2)&amp;RIGHT("00"&amp;VALUE(MID(Sync!$AF774,FIND(":",Sync!$AF774)+1,2)),2),"0000"))))</f>
        <v/>
      </c>
    </row>
    <row r="775" spans="1:14" x14ac:dyDescent="0.2">
      <c r="A775" t="str">
        <f>IF(OR(Calc!$E779="",Calc!$E779="نامعتبر",Calc!$G779=""),"",Calc!$G779)</f>
        <v/>
      </c>
      <c r="B775" t="str">
        <f>IF($A775="","",LEFT(Calc!$E779,4)&amp;MID(Calc!$E779,6,2)&amp;RIGHT(Calc!$E779,2)&amp;Calc!$Q779&amp;"|"&amp;"1"&amp;RIGHT("00000"&amp;770,5))</f>
        <v/>
      </c>
      <c r="C775" t="str">
        <f t="shared" si="60"/>
        <v/>
      </c>
      <c r="D775" t="str">
        <f t="shared" si="61"/>
        <v/>
      </c>
      <c r="F775" t="str">
        <f>IF(Sync!$AH775="","",IF(LEFT(UPPER(TRIM(Sync!$AH775)),2)="SL",UPPER(TRIM(Sync!$AH775)),""))</f>
        <v/>
      </c>
      <c r="G775" t="str">
        <f>IF($F775="","",IF(Sync!$AE775="","",IF(ISNUMBER(Sync!$AE775),IF(AND(Sync!$AE775&gt;=10000101,Sync!$AE775&lt;=99991231),INT(Sync!$AE775/10000),""),IFERROR(VALUE(TRIM(LEFT(Sync!$AE775,FIND("/",Sync!$AE775)-1))),""))))</f>
        <v/>
      </c>
      <c r="H775" t="str">
        <f>IF(OR($F775="",$G775=""),"",IF(ISNUMBER(Sync!$AE775),INT(MOD(Sync!$AE775,10000)/100),IFERROR(VALUE(TRIM(LEFT(MID(Sync!$AE775,FIND("/",Sync!$AE775)+1,20),FIND("/",MID(Sync!$AE775,FIND("/",Sync!$AE775)+1,20))-1))),"")))</f>
        <v/>
      </c>
      <c r="I775" t="str">
        <f>IF(OR($F775="",$G775=""),"",IF(ISNUMBER(Sync!$AE775),MOD(Sync!$AE775,100),IFERROR(VALUE(TRIM(MID(MID(Sync!$AE775,FIND("/",Sync!$AE775)+1,20),FIND("/",MID(Sync!$AE775,FIND("/",Sync!$AE775)+1,20))+1,20))),"")))</f>
        <v/>
      </c>
      <c r="J775" t="str">
        <f t="shared" si="62"/>
        <v/>
      </c>
      <c r="K775" t="str">
        <f>IF(OR($F775="",$J775="",$J775="نامعتبر"),"",LEFT($J775,4)&amp;MID($J775,6,2)&amp;RIGHT($J775,2)&amp;$N775&amp;"|"&amp;"2"&amp;RIGHT("00000"&amp;770,5))</f>
        <v/>
      </c>
      <c r="L775" t="str">
        <f t="shared" si="63"/>
        <v/>
      </c>
      <c r="M775" t="str">
        <f t="shared" si="64"/>
        <v/>
      </c>
      <c r="N775" t="str">
        <f>IF($F775="","",IF(Sync!$AF775="","0000",IF(AND(ISNUMBER(Sync!$AF775),Sync!$AF775&gt;=0,Sync!$AF775&lt;1),RIGHT("00"&amp;HOUR(Sync!$AF775),2)&amp;RIGHT("00"&amp;MINUTE(Sync!$AF775),2),IFERROR(RIGHT("00"&amp;VALUE(LEFT(Sync!$AF775,FIND(":",Sync!$AF775)-1)),2)&amp;RIGHT("00"&amp;VALUE(MID(Sync!$AF775,FIND(":",Sync!$AF775)+1,2)),2),"0000"))))</f>
        <v/>
      </c>
    </row>
    <row r="776" spans="1:14" x14ac:dyDescent="0.2">
      <c r="A776" t="str">
        <f>IF(OR(Calc!$E780="",Calc!$E780="نامعتبر",Calc!$G780=""),"",Calc!$G780)</f>
        <v/>
      </c>
      <c r="B776" t="str">
        <f>IF($A776="","",LEFT(Calc!$E780,4)&amp;MID(Calc!$E780,6,2)&amp;RIGHT(Calc!$E780,2)&amp;Calc!$Q780&amp;"|"&amp;"1"&amp;RIGHT("00000"&amp;771,5))</f>
        <v/>
      </c>
      <c r="C776" t="str">
        <f t="shared" si="60"/>
        <v/>
      </c>
      <c r="D776" t="str">
        <f t="shared" si="61"/>
        <v/>
      </c>
      <c r="F776" t="str">
        <f>IF(Sync!$AH776="","",IF(LEFT(UPPER(TRIM(Sync!$AH776)),2)="SL",UPPER(TRIM(Sync!$AH776)),""))</f>
        <v/>
      </c>
      <c r="G776" t="str">
        <f>IF($F776="","",IF(Sync!$AE776="","",IF(ISNUMBER(Sync!$AE776),IF(AND(Sync!$AE776&gt;=10000101,Sync!$AE776&lt;=99991231),INT(Sync!$AE776/10000),""),IFERROR(VALUE(TRIM(LEFT(Sync!$AE776,FIND("/",Sync!$AE776)-1))),""))))</f>
        <v/>
      </c>
      <c r="H776" t="str">
        <f>IF(OR($F776="",$G776=""),"",IF(ISNUMBER(Sync!$AE776),INT(MOD(Sync!$AE776,10000)/100),IFERROR(VALUE(TRIM(LEFT(MID(Sync!$AE776,FIND("/",Sync!$AE776)+1,20),FIND("/",MID(Sync!$AE776,FIND("/",Sync!$AE776)+1,20))-1))),"")))</f>
        <v/>
      </c>
      <c r="I776" t="str">
        <f>IF(OR($F776="",$G776=""),"",IF(ISNUMBER(Sync!$AE776),MOD(Sync!$AE776,100),IFERROR(VALUE(TRIM(MID(MID(Sync!$AE776,FIND("/",Sync!$AE776)+1,20),FIND("/",MID(Sync!$AE776,FIND("/",Sync!$AE776)+1,20))+1,20))),"")))</f>
        <v/>
      </c>
      <c r="J776" t="str">
        <f t="shared" si="62"/>
        <v/>
      </c>
      <c r="K776" t="str">
        <f>IF(OR($F776="",$J776="",$J776="نامعتبر"),"",LEFT($J776,4)&amp;MID($J776,6,2)&amp;RIGHT($J776,2)&amp;$N776&amp;"|"&amp;"2"&amp;RIGHT("00000"&amp;771,5))</f>
        <v/>
      </c>
      <c r="L776" t="str">
        <f t="shared" si="63"/>
        <v/>
      </c>
      <c r="M776" t="str">
        <f t="shared" si="64"/>
        <v/>
      </c>
      <c r="N776" t="str">
        <f>IF($F776="","",IF(Sync!$AF776="","0000",IF(AND(ISNUMBER(Sync!$AF776),Sync!$AF776&gt;=0,Sync!$AF776&lt;1),RIGHT("00"&amp;HOUR(Sync!$AF776),2)&amp;RIGHT("00"&amp;MINUTE(Sync!$AF776),2),IFERROR(RIGHT("00"&amp;VALUE(LEFT(Sync!$AF776,FIND(":",Sync!$AF776)-1)),2)&amp;RIGHT("00"&amp;VALUE(MID(Sync!$AF776,FIND(":",Sync!$AF776)+1,2)),2),"0000"))))</f>
        <v/>
      </c>
    </row>
    <row r="777" spans="1:14" x14ac:dyDescent="0.2">
      <c r="A777" t="str">
        <f>IF(OR(Calc!$E781="",Calc!$E781="نامعتبر",Calc!$G781=""),"",Calc!$G781)</f>
        <v/>
      </c>
      <c r="B777" t="str">
        <f>IF($A777="","",LEFT(Calc!$E781,4)&amp;MID(Calc!$E781,6,2)&amp;RIGHT(Calc!$E781,2)&amp;Calc!$Q781&amp;"|"&amp;"1"&amp;RIGHT("00000"&amp;772,5))</f>
        <v/>
      </c>
      <c r="C777" t="str">
        <f t="shared" si="60"/>
        <v/>
      </c>
      <c r="D777" t="str">
        <f t="shared" si="61"/>
        <v/>
      </c>
      <c r="F777" t="str">
        <f>IF(Sync!$AH777="","",IF(LEFT(UPPER(TRIM(Sync!$AH777)),2)="SL",UPPER(TRIM(Sync!$AH777)),""))</f>
        <v/>
      </c>
      <c r="G777" t="str">
        <f>IF($F777="","",IF(Sync!$AE777="","",IF(ISNUMBER(Sync!$AE777),IF(AND(Sync!$AE777&gt;=10000101,Sync!$AE777&lt;=99991231),INT(Sync!$AE777/10000),""),IFERROR(VALUE(TRIM(LEFT(Sync!$AE777,FIND("/",Sync!$AE777)-1))),""))))</f>
        <v/>
      </c>
      <c r="H777" t="str">
        <f>IF(OR($F777="",$G777=""),"",IF(ISNUMBER(Sync!$AE777),INT(MOD(Sync!$AE777,10000)/100),IFERROR(VALUE(TRIM(LEFT(MID(Sync!$AE777,FIND("/",Sync!$AE777)+1,20),FIND("/",MID(Sync!$AE777,FIND("/",Sync!$AE777)+1,20))-1))),"")))</f>
        <v/>
      </c>
      <c r="I777" t="str">
        <f>IF(OR($F777="",$G777=""),"",IF(ISNUMBER(Sync!$AE777),MOD(Sync!$AE777,100),IFERROR(VALUE(TRIM(MID(MID(Sync!$AE777,FIND("/",Sync!$AE777)+1,20),FIND("/",MID(Sync!$AE777,FIND("/",Sync!$AE777)+1,20))+1,20))),"")))</f>
        <v/>
      </c>
      <c r="J777" t="str">
        <f t="shared" si="62"/>
        <v/>
      </c>
      <c r="K777" t="str">
        <f>IF(OR($F777="",$J777="",$J777="نامعتبر"),"",LEFT($J777,4)&amp;MID($J777,6,2)&amp;RIGHT($J777,2)&amp;$N777&amp;"|"&amp;"2"&amp;RIGHT("00000"&amp;772,5))</f>
        <v/>
      </c>
      <c r="L777" t="str">
        <f t="shared" si="63"/>
        <v/>
      </c>
      <c r="M777" t="str">
        <f t="shared" si="64"/>
        <v/>
      </c>
      <c r="N777" t="str">
        <f>IF($F777="","",IF(Sync!$AF777="","0000",IF(AND(ISNUMBER(Sync!$AF777),Sync!$AF777&gt;=0,Sync!$AF777&lt;1),RIGHT("00"&amp;HOUR(Sync!$AF777),2)&amp;RIGHT("00"&amp;MINUTE(Sync!$AF777),2),IFERROR(RIGHT("00"&amp;VALUE(LEFT(Sync!$AF777,FIND(":",Sync!$AF777)-1)),2)&amp;RIGHT("00"&amp;VALUE(MID(Sync!$AF777,FIND(":",Sync!$AF777)+1,2)),2),"0000"))))</f>
        <v/>
      </c>
    </row>
    <row r="778" spans="1:14" x14ac:dyDescent="0.2">
      <c r="A778" t="str">
        <f>IF(OR(Calc!$E782="",Calc!$E782="نامعتبر",Calc!$G782=""),"",Calc!$G782)</f>
        <v/>
      </c>
      <c r="B778" t="str">
        <f>IF($A778="","",LEFT(Calc!$E782,4)&amp;MID(Calc!$E782,6,2)&amp;RIGHT(Calc!$E782,2)&amp;Calc!$Q782&amp;"|"&amp;"1"&amp;RIGHT("00000"&amp;773,5))</f>
        <v/>
      </c>
      <c r="C778" t="str">
        <f t="shared" si="60"/>
        <v/>
      </c>
      <c r="D778" t="str">
        <f t="shared" si="61"/>
        <v/>
      </c>
      <c r="F778" t="str">
        <f>IF(Sync!$AH778="","",IF(LEFT(UPPER(TRIM(Sync!$AH778)),2)="SL",UPPER(TRIM(Sync!$AH778)),""))</f>
        <v/>
      </c>
      <c r="G778" t="str">
        <f>IF($F778="","",IF(Sync!$AE778="","",IF(ISNUMBER(Sync!$AE778),IF(AND(Sync!$AE778&gt;=10000101,Sync!$AE778&lt;=99991231),INT(Sync!$AE778/10000),""),IFERROR(VALUE(TRIM(LEFT(Sync!$AE778,FIND("/",Sync!$AE778)-1))),""))))</f>
        <v/>
      </c>
      <c r="H778" t="str">
        <f>IF(OR($F778="",$G778=""),"",IF(ISNUMBER(Sync!$AE778),INT(MOD(Sync!$AE778,10000)/100),IFERROR(VALUE(TRIM(LEFT(MID(Sync!$AE778,FIND("/",Sync!$AE778)+1,20),FIND("/",MID(Sync!$AE778,FIND("/",Sync!$AE778)+1,20))-1))),"")))</f>
        <v/>
      </c>
      <c r="I778" t="str">
        <f>IF(OR($F778="",$G778=""),"",IF(ISNUMBER(Sync!$AE778),MOD(Sync!$AE778,100),IFERROR(VALUE(TRIM(MID(MID(Sync!$AE778,FIND("/",Sync!$AE778)+1,20),FIND("/",MID(Sync!$AE778,FIND("/",Sync!$AE778)+1,20))+1,20))),"")))</f>
        <v/>
      </c>
      <c r="J778" t="str">
        <f t="shared" si="62"/>
        <v/>
      </c>
      <c r="K778" t="str">
        <f>IF(OR($F778="",$J778="",$J778="نامعتبر"),"",LEFT($J778,4)&amp;MID($J778,6,2)&amp;RIGHT($J778,2)&amp;$N778&amp;"|"&amp;"2"&amp;RIGHT("00000"&amp;773,5))</f>
        <v/>
      </c>
      <c r="L778" t="str">
        <f t="shared" si="63"/>
        <v/>
      </c>
      <c r="M778" t="str">
        <f t="shared" si="64"/>
        <v/>
      </c>
      <c r="N778" t="str">
        <f>IF($F778="","",IF(Sync!$AF778="","0000",IF(AND(ISNUMBER(Sync!$AF778),Sync!$AF778&gt;=0,Sync!$AF778&lt;1),RIGHT("00"&amp;HOUR(Sync!$AF778),2)&amp;RIGHT("00"&amp;MINUTE(Sync!$AF778),2),IFERROR(RIGHT("00"&amp;VALUE(LEFT(Sync!$AF778,FIND(":",Sync!$AF778)-1)),2)&amp;RIGHT("00"&amp;VALUE(MID(Sync!$AF778,FIND(":",Sync!$AF778)+1,2)),2),"0000"))))</f>
        <v/>
      </c>
    </row>
    <row r="779" spans="1:14" x14ac:dyDescent="0.2">
      <c r="A779" t="str">
        <f>IF(OR(Calc!$E783="",Calc!$E783="نامعتبر",Calc!$G783=""),"",Calc!$G783)</f>
        <v/>
      </c>
      <c r="B779" t="str">
        <f>IF($A779="","",LEFT(Calc!$E783,4)&amp;MID(Calc!$E783,6,2)&amp;RIGHT(Calc!$E783,2)&amp;Calc!$Q783&amp;"|"&amp;"1"&amp;RIGHT("00000"&amp;774,5))</f>
        <v/>
      </c>
      <c r="C779" t="str">
        <f t="shared" si="60"/>
        <v/>
      </c>
      <c r="D779" t="str">
        <f t="shared" si="61"/>
        <v/>
      </c>
      <c r="F779" t="str">
        <f>IF(Sync!$AH779="","",IF(LEFT(UPPER(TRIM(Sync!$AH779)),2)="SL",UPPER(TRIM(Sync!$AH779)),""))</f>
        <v/>
      </c>
      <c r="G779" t="str">
        <f>IF($F779="","",IF(Sync!$AE779="","",IF(ISNUMBER(Sync!$AE779),IF(AND(Sync!$AE779&gt;=10000101,Sync!$AE779&lt;=99991231),INT(Sync!$AE779/10000),""),IFERROR(VALUE(TRIM(LEFT(Sync!$AE779,FIND("/",Sync!$AE779)-1))),""))))</f>
        <v/>
      </c>
      <c r="H779" t="str">
        <f>IF(OR($F779="",$G779=""),"",IF(ISNUMBER(Sync!$AE779),INT(MOD(Sync!$AE779,10000)/100),IFERROR(VALUE(TRIM(LEFT(MID(Sync!$AE779,FIND("/",Sync!$AE779)+1,20),FIND("/",MID(Sync!$AE779,FIND("/",Sync!$AE779)+1,20))-1))),"")))</f>
        <v/>
      </c>
      <c r="I779" t="str">
        <f>IF(OR($F779="",$G779=""),"",IF(ISNUMBER(Sync!$AE779),MOD(Sync!$AE779,100),IFERROR(VALUE(TRIM(MID(MID(Sync!$AE779,FIND("/",Sync!$AE779)+1,20),FIND("/",MID(Sync!$AE779,FIND("/",Sync!$AE779)+1,20))+1,20))),"")))</f>
        <v/>
      </c>
      <c r="J779" t="str">
        <f t="shared" si="62"/>
        <v/>
      </c>
      <c r="K779" t="str">
        <f>IF(OR($F779="",$J779="",$J779="نامعتبر"),"",LEFT($J779,4)&amp;MID($J779,6,2)&amp;RIGHT($J779,2)&amp;$N779&amp;"|"&amp;"2"&amp;RIGHT("00000"&amp;774,5))</f>
        <v/>
      </c>
      <c r="L779" t="str">
        <f t="shared" si="63"/>
        <v/>
      </c>
      <c r="M779" t="str">
        <f t="shared" si="64"/>
        <v/>
      </c>
      <c r="N779" t="str">
        <f>IF($F779="","",IF(Sync!$AF779="","0000",IF(AND(ISNUMBER(Sync!$AF779),Sync!$AF779&gt;=0,Sync!$AF779&lt;1),RIGHT("00"&amp;HOUR(Sync!$AF779),2)&amp;RIGHT("00"&amp;MINUTE(Sync!$AF779),2),IFERROR(RIGHT("00"&amp;VALUE(LEFT(Sync!$AF779,FIND(":",Sync!$AF779)-1)),2)&amp;RIGHT("00"&amp;VALUE(MID(Sync!$AF779,FIND(":",Sync!$AF779)+1,2)),2),"0000"))))</f>
        <v/>
      </c>
    </row>
    <row r="780" spans="1:14" x14ac:dyDescent="0.2">
      <c r="A780" t="str">
        <f>IF(OR(Calc!$E784="",Calc!$E784="نامعتبر",Calc!$G784=""),"",Calc!$G784)</f>
        <v/>
      </c>
      <c r="B780" t="str">
        <f>IF($A780="","",LEFT(Calc!$E784,4)&amp;MID(Calc!$E784,6,2)&amp;RIGHT(Calc!$E784,2)&amp;Calc!$Q784&amp;"|"&amp;"1"&amp;RIGHT("00000"&amp;775,5))</f>
        <v/>
      </c>
      <c r="C780" t="str">
        <f t="shared" si="60"/>
        <v/>
      </c>
      <c r="D780" t="str">
        <f t="shared" si="61"/>
        <v/>
      </c>
      <c r="F780" t="str">
        <f>IF(Sync!$AH780="","",IF(LEFT(UPPER(TRIM(Sync!$AH780)),2)="SL",UPPER(TRIM(Sync!$AH780)),""))</f>
        <v/>
      </c>
      <c r="G780" t="str">
        <f>IF($F780="","",IF(Sync!$AE780="","",IF(ISNUMBER(Sync!$AE780),IF(AND(Sync!$AE780&gt;=10000101,Sync!$AE780&lt;=99991231),INT(Sync!$AE780/10000),""),IFERROR(VALUE(TRIM(LEFT(Sync!$AE780,FIND("/",Sync!$AE780)-1))),""))))</f>
        <v/>
      </c>
      <c r="H780" t="str">
        <f>IF(OR($F780="",$G780=""),"",IF(ISNUMBER(Sync!$AE780),INT(MOD(Sync!$AE780,10000)/100),IFERROR(VALUE(TRIM(LEFT(MID(Sync!$AE780,FIND("/",Sync!$AE780)+1,20),FIND("/",MID(Sync!$AE780,FIND("/",Sync!$AE780)+1,20))-1))),"")))</f>
        <v/>
      </c>
      <c r="I780" t="str">
        <f>IF(OR($F780="",$G780=""),"",IF(ISNUMBER(Sync!$AE780),MOD(Sync!$AE780,100),IFERROR(VALUE(TRIM(MID(MID(Sync!$AE780,FIND("/",Sync!$AE780)+1,20),FIND("/",MID(Sync!$AE780,FIND("/",Sync!$AE780)+1,20))+1,20))),"")))</f>
        <v/>
      </c>
      <c r="J780" t="str">
        <f t="shared" si="62"/>
        <v/>
      </c>
      <c r="K780" t="str">
        <f>IF(OR($F780="",$J780="",$J780="نامعتبر"),"",LEFT($J780,4)&amp;MID($J780,6,2)&amp;RIGHT($J780,2)&amp;$N780&amp;"|"&amp;"2"&amp;RIGHT("00000"&amp;775,5))</f>
        <v/>
      </c>
      <c r="L780" t="str">
        <f t="shared" si="63"/>
        <v/>
      </c>
      <c r="M780" t="str">
        <f t="shared" si="64"/>
        <v/>
      </c>
      <c r="N780" t="str">
        <f>IF($F780="","",IF(Sync!$AF780="","0000",IF(AND(ISNUMBER(Sync!$AF780),Sync!$AF780&gt;=0,Sync!$AF780&lt;1),RIGHT("00"&amp;HOUR(Sync!$AF780),2)&amp;RIGHT("00"&amp;MINUTE(Sync!$AF780),2),IFERROR(RIGHT("00"&amp;VALUE(LEFT(Sync!$AF780,FIND(":",Sync!$AF780)-1)),2)&amp;RIGHT("00"&amp;VALUE(MID(Sync!$AF780,FIND(":",Sync!$AF780)+1,2)),2),"0000"))))</f>
        <v/>
      </c>
    </row>
    <row r="781" spans="1:14" x14ac:dyDescent="0.2">
      <c r="A781" t="str">
        <f>IF(OR(Calc!$E785="",Calc!$E785="نامعتبر",Calc!$G785=""),"",Calc!$G785)</f>
        <v/>
      </c>
      <c r="B781" t="str">
        <f>IF($A781="","",LEFT(Calc!$E785,4)&amp;MID(Calc!$E785,6,2)&amp;RIGHT(Calc!$E785,2)&amp;Calc!$Q785&amp;"|"&amp;"1"&amp;RIGHT("00000"&amp;776,5))</f>
        <v/>
      </c>
      <c r="C781" t="str">
        <f t="shared" si="60"/>
        <v/>
      </c>
      <c r="D781" t="str">
        <f t="shared" si="61"/>
        <v/>
      </c>
      <c r="F781" t="str">
        <f>IF(Sync!$AH781="","",IF(LEFT(UPPER(TRIM(Sync!$AH781)),2)="SL",UPPER(TRIM(Sync!$AH781)),""))</f>
        <v/>
      </c>
      <c r="G781" t="str">
        <f>IF($F781="","",IF(Sync!$AE781="","",IF(ISNUMBER(Sync!$AE781),IF(AND(Sync!$AE781&gt;=10000101,Sync!$AE781&lt;=99991231),INT(Sync!$AE781/10000),""),IFERROR(VALUE(TRIM(LEFT(Sync!$AE781,FIND("/",Sync!$AE781)-1))),""))))</f>
        <v/>
      </c>
      <c r="H781" t="str">
        <f>IF(OR($F781="",$G781=""),"",IF(ISNUMBER(Sync!$AE781),INT(MOD(Sync!$AE781,10000)/100),IFERROR(VALUE(TRIM(LEFT(MID(Sync!$AE781,FIND("/",Sync!$AE781)+1,20),FIND("/",MID(Sync!$AE781,FIND("/",Sync!$AE781)+1,20))-1))),"")))</f>
        <v/>
      </c>
      <c r="I781" t="str">
        <f>IF(OR($F781="",$G781=""),"",IF(ISNUMBER(Sync!$AE781),MOD(Sync!$AE781,100),IFERROR(VALUE(TRIM(MID(MID(Sync!$AE781,FIND("/",Sync!$AE781)+1,20),FIND("/",MID(Sync!$AE781,FIND("/",Sync!$AE781)+1,20))+1,20))),"")))</f>
        <v/>
      </c>
      <c r="J781" t="str">
        <f t="shared" si="62"/>
        <v/>
      </c>
      <c r="K781" t="str">
        <f>IF(OR($F781="",$J781="",$J781="نامعتبر"),"",LEFT($J781,4)&amp;MID($J781,6,2)&amp;RIGHT($J781,2)&amp;$N781&amp;"|"&amp;"2"&amp;RIGHT("00000"&amp;776,5))</f>
        <v/>
      </c>
      <c r="L781" t="str">
        <f t="shared" si="63"/>
        <v/>
      </c>
      <c r="M781" t="str">
        <f t="shared" si="64"/>
        <v/>
      </c>
      <c r="N781" t="str">
        <f>IF($F781="","",IF(Sync!$AF781="","0000",IF(AND(ISNUMBER(Sync!$AF781),Sync!$AF781&gt;=0,Sync!$AF781&lt;1),RIGHT("00"&amp;HOUR(Sync!$AF781),2)&amp;RIGHT("00"&amp;MINUTE(Sync!$AF781),2),IFERROR(RIGHT("00"&amp;VALUE(LEFT(Sync!$AF781,FIND(":",Sync!$AF781)-1)),2)&amp;RIGHT("00"&amp;VALUE(MID(Sync!$AF781,FIND(":",Sync!$AF781)+1,2)),2),"0000"))))</f>
        <v/>
      </c>
    </row>
    <row r="782" spans="1:14" x14ac:dyDescent="0.2">
      <c r="A782" t="str">
        <f>IF(OR(Calc!$E786="",Calc!$E786="نامعتبر",Calc!$G786=""),"",Calc!$G786)</f>
        <v/>
      </c>
      <c r="B782" t="str">
        <f>IF($A782="","",LEFT(Calc!$E786,4)&amp;MID(Calc!$E786,6,2)&amp;RIGHT(Calc!$E786,2)&amp;Calc!$Q786&amp;"|"&amp;"1"&amp;RIGHT("00000"&amp;777,5))</f>
        <v/>
      </c>
      <c r="C782" t="str">
        <f t="shared" si="60"/>
        <v/>
      </c>
      <c r="D782" t="str">
        <f t="shared" si="61"/>
        <v/>
      </c>
      <c r="F782" t="str">
        <f>IF(Sync!$AH782="","",IF(LEFT(UPPER(TRIM(Sync!$AH782)),2)="SL",UPPER(TRIM(Sync!$AH782)),""))</f>
        <v/>
      </c>
      <c r="G782" t="str">
        <f>IF($F782="","",IF(Sync!$AE782="","",IF(ISNUMBER(Sync!$AE782),IF(AND(Sync!$AE782&gt;=10000101,Sync!$AE782&lt;=99991231),INT(Sync!$AE782/10000),""),IFERROR(VALUE(TRIM(LEFT(Sync!$AE782,FIND("/",Sync!$AE782)-1))),""))))</f>
        <v/>
      </c>
      <c r="H782" t="str">
        <f>IF(OR($F782="",$G782=""),"",IF(ISNUMBER(Sync!$AE782),INT(MOD(Sync!$AE782,10000)/100),IFERROR(VALUE(TRIM(LEFT(MID(Sync!$AE782,FIND("/",Sync!$AE782)+1,20),FIND("/",MID(Sync!$AE782,FIND("/",Sync!$AE782)+1,20))-1))),"")))</f>
        <v/>
      </c>
      <c r="I782" t="str">
        <f>IF(OR($F782="",$G782=""),"",IF(ISNUMBER(Sync!$AE782),MOD(Sync!$AE782,100),IFERROR(VALUE(TRIM(MID(MID(Sync!$AE782,FIND("/",Sync!$AE782)+1,20),FIND("/",MID(Sync!$AE782,FIND("/",Sync!$AE782)+1,20))+1,20))),"")))</f>
        <v/>
      </c>
      <c r="J782" t="str">
        <f t="shared" si="62"/>
        <v/>
      </c>
      <c r="K782" t="str">
        <f>IF(OR($F782="",$J782="",$J782="نامعتبر"),"",LEFT($J782,4)&amp;MID($J782,6,2)&amp;RIGHT($J782,2)&amp;$N782&amp;"|"&amp;"2"&amp;RIGHT("00000"&amp;777,5))</f>
        <v/>
      </c>
      <c r="L782" t="str">
        <f t="shared" si="63"/>
        <v/>
      </c>
      <c r="M782" t="str">
        <f t="shared" si="64"/>
        <v/>
      </c>
      <c r="N782" t="str">
        <f>IF($F782="","",IF(Sync!$AF782="","0000",IF(AND(ISNUMBER(Sync!$AF782),Sync!$AF782&gt;=0,Sync!$AF782&lt;1),RIGHT("00"&amp;HOUR(Sync!$AF782),2)&amp;RIGHT("00"&amp;MINUTE(Sync!$AF782),2),IFERROR(RIGHT("00"&amp;VALUE(LEFT(Sync!$AF782,FIND(":",Sync!$AF782)-1)),2)&amp;RIGHT("00"&amp;VALUE(MID(Sync!$AF782,FIND(":",Sync!$AF782)+1,2)),2),"0000"))))</f>
        <v/>
      </c>
    </row>
    <row r="783" spans="1:14" x14ac:dyDescent="0.2">
      <c r="A783" t="str">
        <f>IF(OR(Calc!$E787="",Calc!$E787="نامعتبر",Calc!$G787=""),"",Calc!$G787)</f>
        <v/>
      </c>
      <c r="B783" t="str">
        <f>IF($A783="","",LEFT(Calc!$E787,4)&amp;MID(Calc!$E787,6,2)&amp;RIGHT(Calc!$E787,2)&amp;Calc!$Q787&amp;"|"&amp;"1"&amp;RIGHT("00000"&amp;778,5))</f>
        <v/>
      </c>
      <c r="C783" t="str">
        <f t="shared" si="60"/>
        <v/>
      </c>
      <c r="D783" t="str">
        <f t="shared" si="61"/>
        <v/>
      </c>
      <c r="F783" t="str">
        <f>IF(Sync!$AH783="","",IF(LEFT(UPPER(TRIM(Sync!$AH783)),2)="SL",UPPER(TRIM(Sync!$AH783)),""))</f>
        <v/>
      </c>
      <c r="G783" t="str">
        <f>IF($F783="","",IF(Sync!$AE783="","",IF(ISNUMBER(Sync!$AE783),IF(AND(Sync!$AE783&gt;=10000101,Sync!$AE783&lt;=99991231),INT(Sync!$AE783/10000),""),IFERROR(VALUE(TRIM(LEFT(Sync!$AE783,FIND("/",Sync!$AE783)-1))),""))))</f>
        <v/>
      </c>
      <c r="H783" t="str">
        <f>IF(OR($F783="",$G783=""),"",IF(ISNUMBER(Sync!$AE783),INT(MOD(Sync!$AE783,10000)/100),IFERROR(VALUE(TRIM(LEFT(MID(Sync!$AE783,FIND("/",Sync!$AE783)+1,20),FIND("/",MID(Sync!$AE783,FIND("/",Sync!$AE783)+1,20))-1))),"")))</f>
        <v/>
      </c>
      <c r="I783" t="str">
        <f>IF(OR($F783="",$G783=""),"",IF(ISNUMBER(Sync!$AE783),MOD(Sync!$AE783,100),IFERROR(VALUE(TRIM(MID(MID(Sync!$AE783,FIND("/",Sync!$AE783)+1,20),FIND("/",MID(Sync!$AE783,FIND("/",Sync!$AE783)+1,20))+1,20))),"")))</f>
        <v/>
      </c>
      <c r="J783" t="str">
        <f t="shared" si="62"/>
        <v/>
      </c>
      <c r="K783" t="str">
        <f>IF(OR($F783="",$J783="",$J783="نامعتبر"),"",LEFT($J783,4)&amp;MID($J783,6,2)&amp;RIGHT($J783,2)&amp;$N783&amp;"|"&amp;"2"&amp;RIGHT("00000"&amp;778,5))</f>
        <v/>
      </c>
      <c r="L783" t="str">
        <f t="shared" si="63"/>
        <v/>
      </c>
      <c r="M783" t="str">
        <f t="shared" si="64"/>
        <v/>
      </c>
      <c r="N783" t="str">
        <f>IF($F783="","",IF(Sync!$AF783="","0000",IF(AND(ISNUMBER(Sync!$AF783),Sync!$AF783&gt;=0,Sync!$AF783&lt;1),RIGHT("00"&amp;HOUR(Sync!$AF783),2)&amp;RIGHT("00"&amp;MINUTE(Sync!$AF783),2),IFERROR(RIGHT("00"&amp;VALUE(LEFT(Sync!$AF783,FIND(":",Sync!$AF783)-1)),2)&amp;RIGHT("00"&amp;VALUE(MID(Sync!$AF783,FIND(":",Sync!$AF783)+1,2)),2),"0000"))))</f>
        <v/>
      </c>
    </row>
    <row r="784" spans="1:14" x14ac:dyDescent="0.2">
      <c r="A784" t="str">
        <f>IF(OR(Calc!$E788="",Calc!$E788="نامعتبر",Calc!$G788=""),"",Calc!$G788)</f>
        <v/>
      </c>
      <c r="B784" t="str">
        <f>IF($A784="","",LEFT(Calc!$E788,4)&amp;MID(Calc!$E788,6,2)&amp;RIGHT(Calc!$E788,2)&amp;Calc!$Q788&amp;"|"&amp;"1"&amp;RIGHT("00000"&amp;779,5))</f>
        <v/>
      </c>
      <c r="C784" t="str">
        <f t="shared" si="60"/>
        <v/>
      </c>
      <c r="D784" t="str">
        <f t="shared" si="61"/>
        <v/>
      </c>
      <c r="F784" t="str">
        <f>IF(Sync!$AH784="","",IF(LEFT(UPPER(TRIM(Sync!$AH784)),2)="SL",UPPER(TRIM(Sync!$AH784)),""))</f>
        <v/>
      </c>
      <c r="G784" t="str">
        <f>IF($F784="","",IF(Sync!$AE784="","",IF(ISNUMBER(Sync!$AE784),IF(AND(Sync!$AE784&gt;=10000101,Sync!$AE784&lt;=99991231),INT(Sync!$AE784/10000),""),IFERROR(VALUE(TRIM(LEFT(Sync!$AE784,FIND("/",Sync!$AE784)-1))),""))))</f>
        <v/>
      </c>
      <c r="H784" t="str">
        <f>IF(OR($F784="",$G784=""),"",IF(ISNUMBER(Sync!$AE784),INT(MOD(Sync!$AE784,10000)/100),IFERROR(VALUE(TRIM(LEFT(MID(Sync!$AE784,FIND("/",Sync!$AE784)+1,20),FIND("/",MID(Sync!$AE784,FIND("/",Sync!$AE784)+1,20))-1))),"")))</f>
        <v/>
      </c>
      <c r="I784" t="str">
        <f>IF(OR($F784="",$G784=""),"",IF(ISNUMBER(Sync!$AE784),MOD(Sync!$AE784,100),IFERROR(VALUE(TRIM(MID(MID(Sync!$AE784,FIND("/",Sync!$AE784)+1,20),FIND("/",MID(Sync!$AE784,FIND("/",Sync!$AE784)+1,20))+1,20))),"")))</f>
        <v/>
      </c>
      <c r="J784" t="str">
        <f t="shared" si="62"/>
        <v/>
      </c>
      <c r="K784" t="str">
        <f>IF(OR($F784="",$J784="",$J784="نامعتبر"),"",LEFT($J784,4)&amp;MID($J784,6,2)&amp;RIGHT($J784,2)&amp;$N784&amp;"|"&amp;"2"&amp;RIGHT("00000"&amp;779,5))</f>
        <v/>
      </c>
      <c r="L784" t="str">
        <f t="shared" si="63"/>
        <v/>
      </c>
      <c r="M784" t="str">
        <f t="shared" si="64"/>
        <v/>
      </c>
      <c r="N784" t="str">
        <f>IF($F784="","",IF(Sync!$AF784="","0000",IF(AND(ISNUMBER(Sync!$AF784),Sync!$AF784&gt;=0,Sync!$AF784&lt;1),RIGHT("00"&amp;HOUR(Sync!$AF784),2)&amp;RIGHT("00"&amp;MINUTE(Sync!$AF784),2),IFERROR(RIGHT("00"&amp;VALUE(LEFT(Sync!$AF784,FIND(":",Sync!$AF784)-1)),2)&amp;RIGHT("00"&amp;VALUE(MID(Sync!$AF784,FIND(":",Sync!$AF784)+1,2)),2),"0000"))))</f>
        <v/>
      </c>
    </row>
    <row r="785" spans="1:14" x14ac:dyDescent="0.2">
      <c r="A785" t="str">
        <f>IF(OR(Calc!$E789="",Calc!$E789="نامعتبر",Calc!$G789=""),"",Calc!$G789)</f>
        <v/>
      </c>
      <c r="B785" t="str">
        <f>IF($A785="","",LEFT(Calc!$E789,4)&amp;MID(Calc!$E789,6,2)&amp;RIGHT(Calc!$E789,2)&amp;Calc!$Q789&amp;"|"&amp;"1"&amp;RIGHT("00000"&amp;780,5))</f>
        <v/>
      </c>
      <c r="C785" t="str">
        <f t="shared" si="60"/>
        <v/>
      </c>
      <c r="D785" t="str">
        <f t="shared" si="61"/>
        <v/>
      </c>
      <c r="F785" t="str">
        <f>IF(Sync!$AH785="","",IF(LEFT(UPPER(TRIM(Sync!$AH785)),2)="SL",UPPER(TRIM(Sync!$AH785)),""))</f>
        <v/>
      </c>
      <c r="G785" t="str">
        <f>IF($F785="","",IF(Sync!$AE785="","",IF(ISNUMBER(Sync!$AE785),IF(AND(Sync!$AE785&gt;=10000101,Sync!$AE785&lt;=99991231),INT(Sync!$AE785/10000),""),IFERROR(VALUE(TRIM(LEFT(Sync!$AE785,FIND("/",Sync!$AE785)-1))),""))))</f>
        <v/>
      </c>
      <c r="H785" t="str">
        <f>IF(OR($F785="",$G785=""),"",IF(ISNUMBER(Sync!$AE785),INT(MOD(Sync!$AE785,10000)/100),IFERROR(VALUE(TRIM(LEFT(MID(Sync!$AE785,FIND("/",Sync!$AE785)+1,20),FIND("/",MID(Sync!$AE785,FIND("/",Sync!$AE785)+1,20))-1))),"")))</f>
        <v/>
      </c>
      <c r="I785" t="str">
        <f>IF(OR($F785="",$G785=""),"",IF(ISNUMBER(Sync!$AE785),MOD(Sync!$AE785,100),IFERROR(VALUE(TRIM(MID(MID(Sync!$AE785,FIND("/",Sync!$AE785)+1,20),FIND("/",MID(Sync!$AE785,FIND("/",Sync!$AE785)+1,20))+1,20))),"")))</f>
        <v/>
      </c>
      <c r="J785" t="str">
        <f t="shared" si="62"/>
        <v/>
      </c>
      <c r="K785" t="str">
        <f>IF(OR($F785="",$J785="",$J785="نامعتبر"),"",LEFT($J785,4)&amp;MID($J785,6,2)&amp;RIGHT($J785,2)&amp;$N785&amp;"|"&amp;"2"&amp;RIGHT("00000"&amp;780,5))</f>
        <v/>
      </c>
      <c r="L785" t="str">
        <f t="shared" si="63"/>
        <v/>
      </c>
      <c r="M785" t="str">
        <f t="shared" si="64"/>
        <v/>
      </c>
      <c r="N785" t="str">
        <f>IF($F785="","",IF(Sync!$AF785="","0000",IF(AND(ISNUMBER(Sync!$AF785),Sync!$AF785&gt;=0,Sync!$AF785&lt;1),RIGHT("00"&amp;HOUR(Sync!$AF785),2)&amp;RIGHT("00"&amp;MINUTE(Sync!$AF785),2),IFERROR(RIGHT("00"&amp;VALUE(LEFT(Sync!$AF785,FIND(":",Sync!$AF785)-1)),2)&amp;RIGHT("00"&amp;VALUE(MID(Sync!$AF785,FIND(":",Sync!$AF785)+1,2)),2),"0000"))))</f>
        <v/>
      </c>
    </row>
    <row r="786" spans="1:14" x14ac:dyDescent="0.2">
      <c r="A786" t="str">
        <f>IF(OR(Calc!$E790="",Calc!$E790="نامعتبر",Calc!$G790=""),"",Calc!$G790)</f>
        <v/>
      </c>
      <c r="B786" t="str">
        <f>IF($A786="","",LEFT(Calc!$E790,4)&amp;MID(Calc!$E790,6,2)&amp;RIGHT(Calc!$E790,2)&amp;Calc!$Q790&amp;"|"&amp;"1"&amp;RIGHT("00000"&amp;781,5))</f>
        <v/>
      </c>
      <c r="C786" t="str">
        <f t="shared" si="60"/>
        <v/>
      </c>
      <c r="D786" t="str">
        <f t="shared" si="61"/>
        <v/>
      </c>
      <c r="F786" t="str">
        <f>IF(Sync!$AH786="","",IF(LEFT(UPPER(TRIM(Sync!$AH786)),2)="SL",UPPER(TRIM(Sync!$AH786)),""))</f>
        <v/>
      </c>
      <c r="G786" t="str">
        <f>IF($F786="","",IF(Sync!$AE786="","",IF(ISNUMBER(Sync!$AE786),IF(AND(Sync!$AE786&gt;=10000101,Sync!$AE786&lt;=99991231),INT(Sync!$AE786/10000),""),IFERROR(VALUE(TRIM(LEFT(Sync!$AE786,FIND("/",Sync!$AE786)-1))),""))))</f>
        <v/>
      </c>
      <c r="H786" t="str">
        <f>IF(OR($F786="",$G786=""),"",IF(ISNUMBER(Sync!$AE786),INT(MOD(Sync!$AE786,10000)/100),IFERROR(VALUE(TRIM(LEFT(MID(Sync!$AE786,FIND("/",Sync!$AE786)+1,20),FIND("/",MID(Sync!$AE786,FIND("/",Sync!$AE786)+1,20))-1))),"")))</f>
        <v/>
      </c>
      <c r="I786" t="str">
        <f>IF(OR($F786="",$G786=""),"",IF(ISNUMBER(Sync!$AE786),MOD(Sync!$AE786,100),IFERROR(VALUE(TRIM(MID(MID(Sync!$AE786,FIND("/",Sync!$AE786)+1,20),FIND("/",MID(Sync!$AE786,FIND("/",Sync!$AE786)+1,20))+1,20))),"")))</f>
        <v/>
      </c>
      <c r="J786" t="str">
        <f t="shared" si="62"/>
        <v/>
      </c>
      <c r="K786" t="str">
        <f>IF(OR($F786="",$J786="",$J786="نامعتبر"),"",LEFT($J786,4)&amp;MID($J786,6,2)&amp;RIGHT($J786,2)&amp;$N786&amp;"|"&amp;"2"&amp;RIGHT("00000"&amp;781,5))</f>
        <v/>
      </c>
      <c r="L786" t="str">
        <f t="shared" si="63"/>
        <v/>
      </c>
      <c r="M786" t="str">
        <f t="shared" si="64"/>
        <v/>
      </c>
      <c r="N786" t="str">
        <f>IF($F786="","",IF(Sync!$AF786="","0000",IF(AND(ISNUMBER(Sync!$AF786),Sync!$AF786&gt;=0,Sync!$AF786&lt;1),RIGHT("00"&amp;HOUR(Sync!$AF786),2)&amp;RIGHT("00"&amp;MINUTE(Sync!$AF786),2),IFERROR(RIGHT("00"&amp;VALUE(LEFT(Sync!$AF786,FIND(":",Sync!$AF786)-1)),2)&amp;RIGHT("00"&amp;VALUE(MID(Sync!$AF786,FIND(":",Sync!$AF786)+1,2)),2),"0000"))))</f>
        <v/>
      </c>
    </row>
    <row r="787" spans="1:14" x14ac:dyDescent="0.2">
      <c r="A787" t="str">
        <f>IF(OR(Calc!$E791="",Calc!$E791="نامعتبر",Calc!$G791=""),"",Calc!$G791)</f>
        <v/>
      </c>
      <c r="B787" t="str">
        <f>IF($A787="","",LEFT(Calc!$E791,4)&amp;MID(Calc!$E791,6,2)&amp;RIGHT(Calc!$E791,2)&amp;Calc!$Q791&amp;"|"&amp;"1"&amp;RIGHT("00000"&amp;782,5))</f>
        <v/>
      </c>
      <c r="C787" t="str">
        <f t="shared" si="60"/>
        <v/>
      </c>
      <c r="D787" t="str">
        <f t="shared" si="61"/>
        <v/>
      </c>
      <c r="F787" t="str">
        <f>IF(Sync!$AH787="","",IF(LEFT(UPPER(TRIM(Sync!$AH787)),2)="SL",UPPER(TRIM(Sync!$AH787)),""))</f>
        <v/>
      </c>
      <c r="G787" t="str">
        <f>IF($F787="","",IF(Sync!$AE787="","",IF(ISNUMBER(Sync!$AE787),IF(AND(Sync!$AE787&gt;=10000101,Sync!$AE787&lt;=99991231),INT(Sync!$AE787/10000),""),IFERROR(VALUE(TRIM(LEFT(Sync!$AE787,FIND("/",Sync!$AE787)-1))),""))))</f>
        <v/>
      </c>
      <c r="H787" t="str">
        <f>IF(OR($F787="",$G787=""),"",IF(ISNUMBER(Sync!$AE787),INT(MOD(Sync!$AE787,10000)/100),IFERROR(VALUE(TRIM(LEFT(MID(Sync!$AE787,FIND("/",Sync!$AE787)+1,20),FIND("/",MID(Sync!$AE787,FIND("/",Sync!$AE787)+1,20))-1))),"")))</f>
        <v/>
      </c>
      <c r="I787" t="str">
        <f>IF(OR($F787="",$G787=""),"",IF(ISNUMBER(Sync!$AE787),MOD(Sync!$AE787,100),IFERROR(VALUE(TRIM(MID(MID(Sync!$AE787,FIND("/",Sync!$AE787)+1,20),FIND("/",MID(Sync!$AE787,FIND("/",Sync!$AE787)+1,20))+1,20))),"")))</f>
        <v/>
      </c>
      <c r="J787" t="str">
        <f t="shared" si="62"/>
        <v/>
      </c>
      <c r="K787" t="str">
        <f>IF(OR($F787="",$J787="",$J787="نامعتبر"),"",LEFT($J787,4)&amp;MID($J787,6,2)&amp;RIGHT($J787,2)&amp;$N787&amp;"|"&amp;"2"&amp;RIGHT("00000"&amp;782,5))</f>
        <v/>
      </c>
      <c r="L787" t="str">
        <f t="shared" si="63"/>
        <v/>
      </c>
      <c r="M787" t="str">
        <f t="shared" si="64"/>
        <v/>
      </c>
      <c r="N787" t="str">
        <f>IF($F787="","",IF(Sync!$AF787="","0000",IF(AND(ISNUMBER(Sync!$AF787),Sync!$AF787&gt;=0,Sync!$AF787&lt;1),RIGHT("00"&amp;HOUR(Sync!$AF787),2)&amp;RIGHT("00"&amp;MINUTE(Sync!$AF787),2),IFERROR(RIGHT("00"&amp;VALUE(LEFT(Sync!$AF787,FIND(":",Sync!$AF787)-1)),2)&amp;RIGHT("00"&amp;VALUE(MID(Sync!$AF787,FIND(":",Sync!$AF787)+1,2)),2),"0000"))))</f>
        <v/>
      </c>
    </row>
    <row r="788" spans="1:14" x14ac:dyDescent="0.2">
      <c r="A788" t="str">
        <f>IF(OR(Calc!$E792="",Calc!$E792="نامعتبر",Calc!$G792=""),"",Calc!$G792)</f>
        <v/>
      </c>
      <c r="B788" t="str">
        <f>IF($A788="","",LEFT(Calc!$E792,4)&amp;MID(Calc!$E792,6,2)&amp;RIGHT(Calc!$E792,2)&amp;Calc!$Q792&amp;"|"&amp;"1"&amp;RIGHT("00000"&amp;783,5))</f>
        <v/>
      </c>
      <c r="C788" t="str">
        <f t="shared" si="60"/>
        <v/>
      </c>
      <c r="D788" t="str">
        <f t="shared" si="61"/>
        <v/>
      </c>
      <c r="F788" t="str">
        <f>IF(Sync!$AH788="","",IF(LEFT(UPPER(TRIM(Sync!$AH788)),2)="SL",UPPER(TRIM(Sync!$AH788)),""))</f>
        <v/>
      </c>
      <c r="G788" t="str">
        <f>IF($F788="","",IF(Sync!$AE788="","",IF(ISNUMBER(Sync!$AE788),IF(AND(Sync!$AE788&gt;=10000101,Sync!$AE788&lt;=99991231),INT(Sync!$AE788/10000),""),IFERROR(VALUE(TRIM(LEFT(Sync!$AE788,FIND("/",Sync!$AE788)-1))),""))))</f>
        <v/>
      </c>
      <c r="H788" t="str">
        <f>IF(OR($F788="",$G788=""),"",IF(ISNUMBER(Sync!$AE788),INT(MOD(Sync!$AE788,10000)/100),IFERROR(VALUE(TRIM(LEFT(MID(Sync!$AE788,FIND("/",Sync!$AE788)+1,20),FIND("/",MID(Sync!$AE788,FIND("/",Sync!$AE788)+1,20))-1))),"")))</f>
        <v/>
      </c>
      <c r="I788" t="str">
        <f>IF(OR($F788="",$G788=""),"",IF(ISNUMBER(Sync!$AE788),MOD(Sync!$AE788,100),IFERROR(VALUE(TRIM(MID(MID(Sync!$AE788,FIND("/",Sync!$AE788)+1,20),FIND("/",MID(Sync!$AE788,FIND("/",Sync!$AE788)+1,20))+1,20))),"")))</f>
        <v/>
      </c>
      <c r="J788" t="str">
        <f t="shared" si="62"/>
        <v/>
      </c>
      <c r="K788" t="str">
        <f>IF(OR($F788="",$J788="",$J788="نامعتبر"),"",LEFT($J788,4)&amp;MID($J788,6,2)&amp;RIGHT($J788,2)&amp;$N788&amp;"|"&amp;"2"&amp;RIGHT("00000"&amp;783,5))</f>
        <v/>
      </c>
      <c r="L788" t="str">
        <f t="shared" si="63"/>
        <v/>
      </c>
      <c r="M788" t="str">
        <f t="shared" si="64"/>
        <v/>
      </c>
      <c r="N788" t="str">
        <f>IF($F788="","",IF(Sync!$AF788="","0000",IF(AND(ISNUMBER(Sync!$AF788),Sync!$AF788&gt;=0,Sync!$AF788&lt;1),RIGHT("00"&amp;HOUR(Sync!$AF788),2)&amp;RIGHT("00"&amp;MINUTE(Sync!$AF788),2),IFERROR(RIGHT("00"&amp;VALUE(LEFT(Sync!$AF788,FIND(":",Sync!$AF788)-1)),2)&amp;RIGHT("00"&amp;VALUE(MID(Sync!$AF788,FIND(":",Sync!$AF788)+1,2)),2),"0000"))))</f>
        <v/>
      </c>
    </row>
    <row r="789" spans="1:14" x14ac:dyDescent="0.2">
      <c r="A789" t="str">
        <f>IF(OR(Calc!$E793="",Calc!$E793="نامعتبر",Calc!$G793=""),"",Calc!$G793)</f>
        <v/>
      </c>
      <c r="B789" t="str">
        <f>IF($A789="","",LEFT(Calc!$E793,4)&amp;MID(Calc!$E793,6,2)&amp;RIGHT(Calc!$E793,2)&amp;Calc!$Q793&amp;"|"&amp;"1"&amp;RIGHT("00000"&amp;784,5))</f>
        <v/>
      </c>
      <c r="C789" t="str">
        <f t="shared" si="60"/>
        <v/>
      </c>
      <c r="D789" t="str">
        <f t="shared" si="61"/>
        <v/>
      </c>
      <c r="F789" t="str">
        <f>IF(Sync!$AH789="","",IF(LEFT(UPPER(TRIM(Sync!$AH789)),2)="SL",UPPER(TRIM(Sync!$AH789)),""))</f>
        <v/>
      </c>
      <c r="G789" t="str">
        <f>IF($F789="","",IF(Sync!$AE789="","",IF(ISNUMBER(Sync!$AE789),IF(AND(Sync!$AE789&gt;=10000101,Sync!$AE789&lt;=99991231),INT(Sync!$AE789/10000),""),IFERROR(VALUE(TRIM(LEFT(Sync!$AE789,FIND("/",Sync!$AE789)-1))),""))))</f>
        <v/>
      </c>
      <c r="H789" t="str">
        <f>IF(OR($F789="",$G789=""),"",IF(ISNUMBER(Sync!$AE789),INT(MOD(Sync!$AE789,10000)/100),IFERROR(VALUE(TRIM(LEFT(MID(Sync!$AE789,FIND("/",Sync!$AE789)+1,20),FIND("/",MID(Sync!$AE789,FIND("/",Sync!$AE789)+1,20))-1))),"")))</f>
        <v/>
      </c>
      <c r="I789" t="str">
        <f>IF(OR($F789="",$G789=""),"",IF(ISNUMBER(Sync!$AE789),MOD(Sync!$AE789,100),IFERROR(VALUE(TRIM(MID(MID(Sync!$AE789,FIND("/",Sync!$AE789)+1,20),FIND("/",MID(Sync!$AE789,FIND("/",Sync!$AE789)+1,20))+1,20))),"")))</f>
        <v/>
      </c>
      <c r="J789" t="str">
        <f t="shared" si="62"/>
        <v/>
      </c>
      <c r="K789" t="str">
        <f>IF(OR($F789="",$J789="",$J789="نامعتبر"),"",LEFT($J789,4)&amp;MID($J789,6,2)&amp;RIGHT($J789,2)&amp;$N789&amp;"|"&amp;"2"&amp;RIGHT("00000"&amp;784,5))</f>
        <v/>
      </c>
      <c r="L789" t="str">
        <f t="shared" si="63"/>
        <v/>
      </c>
      <c r="M789" t="str">
        <f t="shared" si="64"/>
        <v/>
      </c>
      <c r="N789" t="str">
        <f>IF($F789="","",IF(Sync!$AF789="","0000",IF(AND(ISNUMBER(Sync!$AF789),Sync!$AF789&gt;=0,Sync!$AF789&lt;1),RIGHT("00"&amp;HOUR(Sync!$AF789),2)&amp;RIGHT("00"&amp;MINUTE(Sync!$AF789),2),IFERROR(RIGHT("00"&amp;VALUE(LEFT(Sync!$AF789,FIND(":",Sync!$AF789)-1)),2)&amp;RIGHT("00"&amp;VALUE(MID(Sync!$AF789,FIND(":",Sync!$AF789)+1,2)),2),"0000"))))</f>
        <v/>
      </c>
    </row>
    <row r="790" spans="1:14" x14ac:dyDescent="0.2">
      <c r="A790" t="str">
        <f>IF(OR(Calc!$E794="",Calc!$E794="نامعتبر",Calc!$G794=""),"",Calc!$G794)</f>
        <v/>
      </c>
      <c r="B790" t="str">
        <f>IF($A790="","",LEFT(Calc!$E794,4)&amp;MID(Calc!$E794,6,2)&amp;RIGHT(Calc!$E794,2)&amp;Calc!$Q794&amp;"|"&amp;"1"&amp;RIGHT("00000"&amp;785,5))</f>
        <v/>
      </c>
      <c r="C790" t="str">
        <f t="shared" si="60"/>
        <v/>
      </c>
      <c r="D790" t="str">
        <f t="shared" si="61"/>
        <v/>
      </c>
      <c r="F790" t="str">
        <f>IF(Sync!$AH790="","",IF(LEFT(UPPER(TRIM(Sync!$AH790)),2)="SL",UPPER(TRIM(Sync!$AH790)),""))</f>
        <v/>
      </c>
      <c r="G790" t="str">
        <f>IF($F790="","",IF(Sync!$AE790="","",IF(ISNUMBER(Sync!$AE790),IF(AND(Sync!$AE790&gt;=10000101,Sync!$AE790&lt;=99991231),INT(Sync!$AE790/10000),""),IFERROR(VALUE(TRIM(LEFT(Sync!$AE790,FIND("/",Sync!$AE790)-1))),""))))</f>
        <v/>
      </c>
      <c r="H790" t="str">
        <f>IF(OR($F790="",$G790=""),"",IF(ISNUMBER(Sync!$AE790),INT(MOD(Sync!$AE790,10000)/100),IFERROR(VALUE(TRIM(LEFT(MID(Sync!$AE790,FIND("/",Sync!$AE790)+1,20),FIND("/",MID(Sync!$AE790,FIND("/",Sync!$AE790)+1,20))-1))),"")))</f>
        <v/>
      </c>
      <c r="I790" t="str">
        <f>IF(OR($F790="",$G790=""),"",IF(ISNUMBER(Sync!$AE790),MOD(Sync!$AE790,100),IFERROR(VALUE(TRIM(MID(MID(Sync!$AE790,FIND("/",Sync!$AE790)+1,20),FIND("/",MID(Sync!$AE790,FIND("/",Sync!$AE790)+1,20))+1,20))),"")))</f>
        <v/>
      </c>
      <c r="J790" t="str">
        <f t="shared" si="62"/>
        <v/>
      </c>
      <c r="K790" t="str">
        <f>IF(OR($F790="",$J790="",$J790="نامعتبر"),"",LEFT($J790,4)&amp;MID($J790,6,2)&amp;RIGHT($J790,2)&amp;$N790&amp;"|"&amp;"2"&amp;RIGHT("00000"&amp;785,5))</f>
        <v/>
      </c>
      <c r="L790" t="str">
        <f t="shared" si="63"/>
        <v/>
      </c>
      <c r="M790" t="str">
        <f t="shared" si="64"/>
        <v/>
      </c>
      <c r="N790" t="str">
        <f>IF($F790="","",IF(Sync!$AF790="","0000",IF(AND(ISNUMBER(Sync!$AF790),Sync!$AF790&gt;=0,Sync!$AF790&lt;1),RIGHT("00"&amp;HOUR(Sync!$AF790),2)&amp;RIGHT("00"&amp;MINUTE(Sync!$AF790),2),IFERROR(RIGHT("00"&amp;VALUE(LEFT(Sync!$AF790,FIND(":",Sync!$AF790)-1)),2)&amp;RIGHT("00"&amp;VALUE(MID(Sync!$AF790,FIND(":",Sync!$AF790)+1,2)),2),"0000"))))</f>
        <v/>
      </c>
    </row>
    <row r="791" spans="1:14" x14ac:dyDescent="0.2">
      <c r="A791" t="str">
        <f>IF(OR(Calc!$E795="",Calc!$E795="نامعتبر",Calc!$G795=""),"",Calc!$G795)</f>
        <v/>
      </c>
      <c r="B791" t="str">
        <f>IF($A791="","",LEFT(Calc!$E795,4)&amp;MID(Calc!$E795,6,2)&amp;RIGHT(Calc!$E795,2)&amp;Calc!$Q795&amp;"|"&amp;"1"&amp;RIGHT("00000"&amp;786,5))</f>
        <v/>
      </c>
      <c r="C791" t="str">
        <f t="shared" si="60"/>
        <v/>
      </c>
      <c r="D791" t="str">
        <f t="shared" si="61"/>
        <v/>
      </c>
      <c r="F791" t="str">
        <f>IF(Sync!$AH791="","",IF(LEFT(UPPER(TRIM(Sync!$AH791)),2)="SL",UPPER(TRIM(Sync!$AH791)),""))</f>
        <v/>
      </c>
      <c r="G791" t="str">
        <f>IF($F791="","",IF(Sync!$AE791="","",IF(ISNUMBER(Sync!$AE791),IF(AND(Sync!$AE791&gt;=10000101,Sync!$AE791&lt;=99991231),INT(Sync!$AE791/10000),""),IFERROR(VALUE(TRIM(LEFT(Sync!$AE791,FIND("/",Sync!$AE791)-1))),""))))</f>
        <v/>
      </c>
      <c r="H791" t="str">
        <f>IF(OR($F791="",$G791=""),"",IF(ISNUMBER(Sync!$AE791),INT(MOD(Sync!$AE791,10000)/100),IFERROR(VALUE(TRIM(LEFT(MID(Sync!$AE791,FIND("/",Sync!$AE791)+1,20),FIND("/",MID(Sync!$AE791,FIND("/",Sync!$AE791)+1,20))-1))),"")))</f>
        <v/>
      </c>
      <c r="I791" t="str">
        <f>IF(OR($F791="",$G791=""),"",IF(ISNUMBER(Sync!$AE791),MOD(Sync!$AE791,100),IFERROR(VALUE(TRIM(MID(MID(Sync!$AE791,FIND("/",Sync!$AE791)+1,20),FIND("/",MID(Sync!$AE791,FIND("/",Sync!$AE791)+1,20))+1,20))),"")))</f>
        <v/>
      </c>
      <c r="J791" t="str">
        <f t="shared" si="62"/>
        <v/>
      </c>
      <c r="K791" t="str">
        <f>IF(OR($F791="",$J791="",$J791="نامعتبر"),"",LEFT($J791,4)&amp;MID($J791,6,2)&amp;RIGHT($J791,2)&amp;$N791&amp;"|"&amp;"2"&amp;RIGHT("00000"&amp;786,5))</f>
        <v/>
      </c>
      <c r="L791" t="str">
        <f t="shared" si="63"/>
        <v/>
      </c>
      <c r="M791" t="str">
        <f t="shared" si="64"/>
        <v/>
      </c>
      <c r="N791" t="str">
        <f>IF($F791="","",IF(Sync!$AF791="","0000",IF(AND(ISNUMBER(Sync!$AF791),Sync!$AF791&gt;=0,Sync!$AF791&lt;1),RIGHT("00"&amp;HOUR(Sync!$AF791),2)&amp;RIGHT("00"&amp;MINUTE(Sync!$AF791),2),IFERROR(RIGHT("00"&amp;VALUE(LEFT(Sync!$AF791,FIND(":",Sync!$AF791)-1)),2)&amp;RIGHT("00"&amp;VALUE(MID(Sync!$AF791,FIND(":",Sync!$AF791)+1,2)),2),"0000"))))</f>
        <v/>
      </c>
    </row>
    <row r="792" spans="1:14" x14ac:dyDescent="0.2">
      <c r="A792" t="str">
        <f>IF(OR(Calc!$E796="",Calc!$E796="نامعتبر",Calc!$G796=""),"",Calc!$G796)</f>
        <v/>
      </c>
      <c r="B792" t="str">
        <f>IF($A792="","",LEFT(Calc!$E796,4)&amp;MID(Calc!$E796,6,2)&amp;RIGHT(Calc!$E796,2)&amp;Calc!$Q796&amp;"|"&amp;"1"&amp;RIGHT("00000"&amp;787,5))</f>
        <v/>
      </c>
      <c r="C792" t="str">
        <f t="shared" si="60"/>
        <v/>
      </c>
      <c r="D792" t="str">
        <f t="shared" si="61"/>
        <v/>
      </c>
      <c r="F792" t="str">
        <f>IF(Sync!$AH792="","",IF(LEFT(UPPER(TRIM(Sync!$AH792)),2)="SL",UPPER(TRIM(Sync!$AH792)),""))</f>
        <v/>
      </c>
      <c r="G792" t="str">
        <f>IF($F792="","",IF(Sync!$AE792="","",IF(ISNUMBER(Sync!$AE792),IF(AND(Sync!$AE792&gt;=10000101,Sync!$AE792&lt;=99991231),INT(Sync!$AE792/10000),""),IFERROR(VALUE(TRIM(LEFT(Sync!$AE792,FIND("/",Sync!$AE792)-1))),""))))</f>
        <v/>
      </c>
      <c r="H792" t="str">
        <f>IF(OR($F792="",$G792=""),"",IF(ISNUMBER(Sync!$AE792),INT(MOD(Sync!$AE792,10000)/100),IFERROR(VALUE(TRIM(LEFT(MID(Sync!$AE792,FIND("/",Sync!$AE792)+1,20),FIND("/",MID(Sync!$AE792,FIND("/",Sync!$AE792)+1,20))-1))),"")))</f>
        <v/>
      </c>
      <c r="I792" t="str">
        <f>IF(OR($F792="",$G792=""),"",IF(ISNUMBER(Sync!$AE792),MOD(Sync!$AE792,100),IFERROR(VALUE(TRIM(MID(MID(Sync!$AE792,FIND("/",Sync!$AE792)+1,20),FIND("/",MID(Sync!$AE792,FIND("/",Sync!$AE792)+1,20))+1,20))),"")))</f>
        <v/>
      </c>
      <c r="J792" t="str">
        <f t="shared" si="62"/>
        <v/>
      </c>
      <c r="K792" t="str">
        <f>IF(OR($F792="",$J792="",$J792="نامعتبر"),"",LEFT($J792,4)&amp;MID($J792,6,2)&amp;RIGHT($J792,2)&amp;$N792&amp;"|"&amp;"2"&amp;RIGHT("00000"&amp;787,5))</f>
        <v/>
      </c>
      <c r="L792" t="str">
        <f t="shared" si="63"/>
        <v/>
      </c>
      <c r="M792" t="str">
        <f t="shared" si="64"/>
        <v/>
      </c>
      <c r="N792" t="str">
        <f>IF($F792="","",IF(Sync!$AF792="","0000",IF(AND(ISNUMBER(Sync!$AF792),Sync!$AF792&gt;=0,Sync!$AF792&lt;1),RIGHT("00"&amp;HOUR(Sync!$AF792),2)&amp;RIGHT("00"&amp;MINUTE(Sync!$AF792),2),IFERROR(RIGHT("00"&amp;VALUE(LEFT(Sync!$AF792,FIND(":",Sync!$AF792)-1)),2)&amp;RIGHT("00"&amp;VALUE(MID(Sync!$AF792,FIND(":",Sync!$AF792)+1,2)),2),"0000"))))</f>
        <v/>
      </c>
    </row>
    <row r="793" spans="1:14" x14ac:dyDescent="0.2">
      <c r="A793" t="str">
        <f>IF(OR(Calc!$E797="",Calc!$E797="نامعتبر",Calc!$G797=""),"",Calc!$G797)</f>
        <v/>
      </c>
      <c r="B793" t="str">
        <f>IF($A793="","",LEFT(Calc!$E797,4)&amp;MID(Calc!$E797,6,2)&amp;RIGHT(Calc!$E797,2)&amp;Calc!$Q797&amp;"|"&amp;"1"&amp;RIGHT("00000"&amp;788,5))</f>
        <v/>
      </c>
      <c r="C793" t="str">
        <f t="shared" si="60"/>
        <v/>
      </c>
      <c r="D793" t="str">
        <f t="shared" si="61"/>
        <v/>
      </c>
      <c r="F793" t="str">
        <f>IF(Sync!$AH793="","",IF(LEFT(UPPER(TRIM(Sync!$AH793)),2)="SL",UPPER(TRIM(Sync!$AH793)),""))</f>
        <v/>
      </c>
      <c r="G793" t="str">
        <f>IF($F793="","",IF(Sync!$AE793="","",IF(ISNUMBER(Sync!$AE793),IF(AND(Sync!$AE793&gt;=10000101,Sync!$AE793&lt;=99991231),INT(Sync!$AE793/10000),""),IFERROR(VALUE(TRIM(LEFT(Sync!$AE793,FIND("/",Sync!$AE793)-1))),""))))</f>
        <v/>
      </c>
      <c r="H793" t="str">
        <f>IF(OR($F793="",$G793=""),"",IF(ISNUMBER(Sync!$AE793),INT(MOD(Sync!$AE793,10000)/100),IFERROR(VALUE(TRIM(LEFT(MID(Sync!$AE793,FIND("/",Sync!$AE793)+1,20),FIND("/",MID(Sync!$AE793,FIND("/",Sync!$AE793)+1,20))-1))),"")))</f>
        <v/>
      </c>
      <c r="I793" t="str">
        <f>IF(OR($F793="",$G793=""),"",IF(ISNUMBER(Sync!$AE793),MOD(Sync!$AE793,100),IFERROR(VALUE(TRIM(MID(MID(Sync!$AE793,FIND("/",Sync!$AE793)+1,20),FIND("/",MID(Sync!$AE793,FIND("/",Sync!$AE793)+1,20))+1,20))),"")))</f>
        <v/>
      </c>
      <c r="J793" t="str">
        <f t="shared" si="62"/>
        <v/>
      </c>
      <c r="K793" t="str">
        <f>IF(OR($F793="",$J793="",$J793="نامعتبر"),"",LEFT($J793,4)&amp;MID($J793,6,2)&amp;RIGHT($J793,2)&amp;$N793&amp;"|"&amp;"2"&amp;RIGHT("00000"&amp;788,5))</f>
        <v/>
      </c>
      <c r="L793" t="str">
        <f t="shared" si="63"/>
        <v/>
      </c>
      <c r="M793" t="str">
        <f t="shared" si="64"/>
        <v/>
      </c>
      <c r="N793" t="str">
        <f>IF($F793="","",IF(Sync!$AF793="","0000",IF(AND(ISNUMBER(Sync!$AF793),Sync!$AF793&gt;=0,Sync!$AF793&lt;1),RIGHT("00"&amp;HOUR(Sync!$AF793),2)&amp;RIGHT("00"&amp;MINUTE(Sync!$AF793),2),IFERROR(RIGHT("00"&amp;VALUE(LEFT(Sync!$AF793,FIND(":",Sync!$AF793)-1)),2)&amp;RIGHT("00"&amp;VALUE(MID(Sync!$AF793,FIND(":",Sync!$AF793)+1,2)),2),"0000"))))</f>
        <v/>
      </c>
    </row>
    <row r="794" spans="1:14" x14ac:dyDescent="0.2">
      <c r="A794" t="str">
        <f>IF(OR(Calc!$E798="",Calc!$E798="نامعتبر",Calc!$G798=""),"",Calc!$G798)</f>
        <v/>
      </c>
      <c r="B794" t="str">
        <f>IF($A794="","",LEFT(Calc!$E798,4)&amp;MID(Calc!$E798,6,2)&amp;RIGHT(Calc!$E798,2)&amp;Calc!$Q798&amp;"|"&amp;"1"&amp;RIGHT("00000"&amp;789,5))</f>
        <v/>
      </c>
      <c r="C794" t="str">
        <f t="shared" si="60"/>
        <v/>
      </c>
      <c r="D794" t="str">
        <f t="shared" si="61"/>
        <v/>
      </c>
      <c r="F794" t="str">
        <f>IF(Sync!$AH794="","",IF(LEFT(UPPER(TRIM(Sync!$AH794)),2)="SL",UPPER(TRIM(Sync!$AH794)),""))</f>
        <v/>
      </c>
      <c r="G794" t="str">
        <f>IF($F794="","",IF(Sync!$AE794="","",IF(ISNUMBER(Sync!$AE794),IF(AND(Sync!$AE794&gt;=10000101,Sync!$AE794&lt;=99991231),INT(Sync!$AE794/10000),""),IFERROR(VALUE(TRIM(LEFT(Sync!$AE794,FIND("/",Sync!$AE794)-1))),""))))</f>
        <v/>
      </c>
      <c r="H794" t="str">
        <f>IF(OR($F794="",$G794=""),"",IF(ISNUMBER(Sync!$AE794),INT(MOD(Sync!$AE794,10000)/100),IFERROR(VALUE(TRIM(LEFT(MID(Sync!$AE794,FIND("/",Sync!$AE794)+1,20),FIND("/",MID(Sync!$AE794,FIND("/",Sync!$AE794)+1,20))-1))),"")))</f>
        <v/>
      </c>
      <c r="I794" t="str">
        <f>IF(OR($F794="",$G794=""),"",IF(ISNUMBER(Sync!$AE794),MOD(Sync!$AE794,100),IFERROR(VALUE(TRIM(MID(MID(Sync!$AE794,FIND("/",Sync!$AE794)+1,20),FIND("/",MID(Sync!$AE794,FIND("/",Sync!$AE794)+1,20))+1,20))),"")))</f>
        <v/>
      </c>
      <c r="J794" t="str">
        <f t="shared" si="62"/>
        <v/>
      </c>
      <c r="K794" t="str">
        <f>IF(OR($F794="",$J794="",$J794="نامعتبر"),"",LEFT($J794,4)&amp;MID($J794,6,2)&amp;RIGHT($J794,2)&amp;$N794&amp;"|"&amp;"2"&amp;RIGHT("00000"&amp;789,5))</f>
        <v/>
      </c>
      <c r="L794" t="str">
        <f t="shared" si="63"/>
        <v/>
      </c>
      <c r="M794" t="str">
        <f t="shared" si="64"/>
        <v/>
      </c>
      <c r="N794" t="str">
        <f>IF($F794="","",IF(Sync!$AF794="","0000",IF(AND(ISNUMBER(Sync!$AF794),Sync!$AF794&gt;=0,Sync!$AF794&lt;1),RIGHT("00"&amp;HOUR(Sync!$AF794),2)&amp;RIGHT("00"&amp;MINUTE(Sync!$AF794),2),IFERROR(RIGHT("00"&amp;VALUE(LEFT(Sync!$AF794,FIND(":",Sync!$AF794)-1)),2)&amp;RIGHT("00"&amp;VALUE(MID(Sync!$AF794,FIND(":",Sync!$AF794)+1,2)),2),"0000"))))</f>
        <v/>
      </c>
    </row>
    <row r="795" spans="1:14" x14ac:dyDescent="0.2">
      <c r="A795" t="str">
        <f>IF(OR(Calc!$E799="",Calc!$E799="نامعتبر",Calc!$G799=""),"",Calc!$G799)</f>
        <v/>
      </c>
      <c r="B795" t="str">
        <f>IF($A795="","",LEFT(Calc!$E799,4)&amp;MID(Calc!$E799,6,2)&amp;RIGHT(Calc!$E799,2)&amp;Calc!$Q799&amp;"|"&amp;"1"&amp;RIGHT("00000"&amp;790,5))</f>
        <v/>
      </c>
      <c r="C795" t="str">
        <f t="shared" si="60"/>
        <v/>
      </c>
      <c r="D795" t="str">
        <f t="shared" si="61"/>
        <v/>
      </c>
      <c r="F795" t="str">
        <f>IF(Sync!$AH795="","",IF(LEFT(UPPER(TRIM(Sync!$AH795)),2)="SL",UPPER(TRIM(Sync!$AH795)),""))</f>
        <v/>
      </c>
      <c r="G795" t="str">
        <f>IF($F795="","",IF(Sync!$AE795="","",IF(ISNUMBER(Sync!$AE795),IF(AND(Sync!$AE795&gt;=10000101,Sync!$AE795&lt;=99991231),INT(Sync!$AE795/10000),""),IFERROR(VALUE(TRIM(LEFT(Sync!$AE795,FIND("/",Sync!$AE795)-1))),""))))</f>
        <v/>
      </c>
      <c r="H795" t="str">
        <f>IF(OR($F795="",$G795=""),"",IF(ISNUMBER(Sync!$AE795),INT(MOD(Sync!$AE795,10000)/100),IFERROR(VALUE(TRIM(LEFT(MID(Sync!$AE795,FIND("/",Sync!$AE795)+1,20),FIND("/",MID(Sync!$AE795,FIND("/",Sync!$AE795)+1,20))-1))),"")))</f>
        <v/>
      </c>
      <c r="I795" t="str">
        <f>IF(OR($F795="",$G795=""),"",IF(ISNUMBER(Sync!$AE795),MOD(Sync!$AE795,100),IFERROR(VALUE(TRIM(MID(MID(Sync!$AE795,FIND("/",Sync!$AE795)+1,20),FIND("/",MID(Sync!$AE795,FIND("/",Sync!$AE795)+1,20))+1,20))),"")))</f>
        <v/>
      </c>
      <c r="J795" t="str">
        <f t="shared" si="62"/>
        <v/>
      </c>
      <c r="K795" t="str">
        <f>IF(OR($F795="",$J795="",$J795="نامعتبر"),"",LEFT($J795,4)&amp;MID($J795,6,2)&amp;RIGHT($J795,2)&amp;$N795&amp;"|"&amp;"2"&amp;RIGHT("00000"&amp;790,5))</f>
        <v/>
      </c>
      <c r="L795" t="str">
        <f t="shared" si="63"/>
        <v/>
      </c>
      <c r="M795" t="str">
        <f t="shared" si="64"/>
        <v/>
      </c>
      <c r="N795" t="str">
        <f>IF($F795="","",IF(Sync!$AF795="","0000",IF(AND(ISNUMBER(Sync!$AF795),Sync!$AF795&gt;=0,Sync!$AF795&lt;1),RIGHT("00"&amp;HOUR(Sync!$AF795),2)&amp;RIGHT("00"&amp;MINUTE(Sync!$AF795),2),IFERROR(RIGHT("00"&amp;VALUE(LEFT(Sync!$AF795,FIND(":",Sync!$AF795)-1)),2)&amp;RIGHT("00"&amp;VALUE(MID(Sync!$AF795,FIND(":",Sync!$AF795)+1,2)),2),"0000"))))</f>
        <v/>
      </c>
    </row>
    <row r="796" spans="1:14" x14ac:dyDescent="0.2">
      <c r="A796" t="str">
        <f>IF(OR(Calc!$E800="",Calc!$E800="نامعتبر",Calc!$G800=""),"",Calc!$G800)</f>
        <v/>
      </c>
      <c r="B796" t="str">
        <f>IF($A796="","",LEFT(Calc!$E800,4)&amp;MID(Calc!$E800,6,2)&amp;RIGHT(Calc!$E800,2)&amp;Calc!$Q800&amp;"|"&amp;"1"&amp;RIGHT("00000"&amp;791,5))</f>
        <v/>
      </c>
      <c r="C796" t="str">
        <f t="shared" si="60"/>
        <v/>
      </c>
      <c r="D796" t="str">
        <f t="shared" si="61"/>
        <v/>
      </c>
      <c r="F796" t="str">
        <f>IF(Sync!$AH796="","",IF(LEFT(UPPER(TRIM(Sync!$AH796)),2)="SL",UPPER(TRIM(Sync!$AH796)),""))</f>
        <v/>
      </c>
      <c r="G796" t="str">
        <f>IF($F796="","",IF(Sync!$AE796="","",IF(ISNUMBER(Sync!$AE796),IF(AND(Sync!$AE796&gt;=10000101,Sync!$AE796&lt;=99991231),INT(Sync!$AE796/10000),""),IFERROR(VALUE(TRIM(LEFT(Sync!$AE796,FIND("/",Sync!$AE796)-1))),""))))</f>
        <v/>
      </c>
      <c r="H796" t="str">
        <f>IF(OR($F796="",$G796=""),"",IF(ISNUMBER(Sync!$AE796),INT(MOD(Sync!$AE796,10000)/100),IFERROR(VALUE(TRIM(LEFT(MID(Sync!$AE796,FIND("/",Sync!$AE796)+1,20),FIND("/",MID(Sync!$AE796,FIND("/",Sync!$AE796)+1,20))-1))),"")))</f>
        <v/>
      </c>
      <c r="I796" t="str">
        <f>IF(OR($F796="",$G796=""),"",IF(ISNUMBER(Sync!$AE796),MOD(Sync!$AE796,100),IFERROR(VALUE(TRIM(MID(MID(Sync!$AE796,FIND("/",Sync!$AE796)+1,20),FIND("/",MID(Sync!$AE796,FIND("/",Sync!$AE796)+1,20))+1,20))),"")))</f>
        <v/>
      </c>
      <c r="J796" t="str">
        <f t="shared" si="62"/>
        <v/>
      </c>
      <c r="K796" t="str">
        <f>IF(OR($F796="",$J796="",$J796="نامعتبر"),"",LEFT($J796,4)&amp;MID($J796,6,2)&amp;RIGHT($J796,2)&amp;$N796&amp;"|"&amp;"2"&amp;RIGHT("00000"&amp;791,5))</f>
        <v/>
      </c>
      <c r="L796" t="str">
        <f t="shared" si="63"/>
        <v/>
      </c>
      <c r="M796" t="str">
        <f t="shared" si="64"/>
        <v/>
      </c>
      <c r="N796" t="str">
        <f>IF($F796="","",IF(Sync!$AF796="","0000",IF(AND(ISNUMBER(Sync!$AF796),Sync!$AF796&gt;=0,Sync!$AF796&lt;1),RIGHT("00"&amp;HOUR(Sync!$AF796),2)&amp;RIGHT("00"&amp;MINUTE(Sync!$AF796),2),IFERROR(RIGHT("00"&amp;VALUE(LEFT(Sync!$AF796,FIND(":",Sync!$AF796)-1)),2)&amp;RIGHT("00"&amp;VALUE(MID(Sync!$AF796,FIND(":",Sync!$AF796)+1,2)),2),"0000"))))</f>
        <v/>
      </c>
    </row>
    <row r="797" spans="1:14" x14ac:dyDescent="0.2">
      <c r="A797" t="str">
        <f>IF(OR(Calc!$E801="",Calc!$E801="نامعتبر",Calc!$G801=""),"",Calc!$G801)</f>
        <v/>
      </c>
      <c r="B797" t="str">
        <f>IF($A797="","",LEFT(Calc!$E801,4)&amp;MID(Calc!$E801,6,2)&amp;RIGHT(Calc!$E801,2)&amp;Calc!$Q801&amp;"|"&amp;"1"&amp;RIGHT("00000"&amp;792,5))</f>
        <v/>
      </c>
      <c r="C797" t="str">
        <f t="shared" si="60"/>
        <v/>
      </c>
      <c r="D797" t="str">
        <f t="shared" si="61"/>
        <v/>
      </c>
      <c r="F797" t="str">
        <f>IF(Sync!$AH797="","",IF(LEFT(UPPER(TRIM(Sync!$AH797)),2)="SL",UPPER(TRIM(Sync!$AH797)),""))</f>
        <v/>
      </c>
      <c r="G797" t="str">
        <f>IF($F797="","",IF(Sync!$AE797="","",IF(ISNUMBER(Sync!$AE797),IF(AND(Sync!$AE797&gt;=10000101,Sync!$AE797&lt;=99991231),INT(Sync!$AE797/10000),""),IFERROR(VALUE(TRIM(LEFT(Sync!$AE797,FIND("/",Sync!$AE797)-1))),""))))</f>
        <v/>
      </c>
      <c r="H797" t="str">
        <f>IF(OR($F797="",$G797=""),"",IF(ISNUMBER(Sync!$AE797),INT(MOD(Sync!$AE797,10000)/100),IFERROR(VALUE(TRIM(LEFT(MID(Sync!$AE797,FIND("/",Sync!$AE797)+1,20),FIND("/",MID(Sync!$AE797,FIND("/",Sync!$AE797)+1,20))-1))),"")))</f>
        <v/>
      </c>
      <c r="I797" t="str">
        <f>IF(OR($F797="",$G797=""),"",IF(ISNUMBER(Sync!$AE797),MOD(Sync!$AE797,100),IFERROR(VALUE(TRIM(MID(MID(Sync!$AE797,FIND("/",Sync!$AE797)+1,20),FIND("/",MID(Sync!$AE797,FIND("/",Sync!$AE797)+1,20))+1,20))),"")))</f>
        <v/>
      </c>
      <c r="J797" t="str">
        <f t="shared" si="62"/>
        <v/>
      </c>
      <c r="K797" t="str">
        <f>IF(OR($F797="",$J797="",$J797="نامعتبر"),"",LEFT($J797,4)&amp;MID($J797,6,2)&amp;RIGHT($J797,2)&amp;$N797&amp;"|"&amp;"2"&amp;RIGHT("00000"&amp;792,5))</f>
        <v/>
      </c>
      <c r="L797" t="str">
        <f t="shared" si="63"/>
        <v/>
      </c>
      <c r="M797" t="str">
        <f t="shared" si="64"/>
        <v/>
      </c>
      <c r="N797" t="str">
        <f>IF($F797="","",IF(Sync!$AF797="","0000",IF(AND(ISNUMBER(Sync!$AF797),Sync!$AF797&gt;=0,Sync!$AF797&lt;1),RIGHT("00"&amp;HOUR(Sync!$AF797),2)&amp;RIGHT("00"&amp;MINUTE(Sync!$AF797),2),IFERROR(RIGHT("00"&amp;VALUE(LEFT(Sync!$AF797,FIND(":",Sync!$AF797)-1)),2)&amp;RIGHT("00"&amp;VALUE(MID(Sync!$AF797,FIND(":",Sync!$AF797)+1,2)),2),"0000"))))</f>
        <v/>
      </c>
    </row>
    <row r="798" spans="1:14" x14ac:dyDescent="0.2">
      <c r="A798" t="str">
        <f>IF(OR(Calc!$E802="",Calc!$E802="نامعتبر",Calc!$G802=""),"",Calc!$G802)</f>
        <v/>
      </c>
      <c r="B798" t="str">
        <f>IF($A798="","",LEFT(Calc!$E802,4)&amp;MID(Calc!$E802,6,2)&amp;RIGHT(Calc!$E802,2)&amp;Calc!$Q802&amp;"|"&amp;"1"&amp;RIGHT("00000"&amp;793,5))</f>
        <v/>
      </c>
      <c r="C798" t="str">
        <f t="shared" si="60"/>
        <v/>
      </c>
      <c r="D798" t="str">
        <f t="shared" si="61"/>
        <v/>
      </c>
      <c r="F798" t="str">
        <f>IF(Sync!$AH798="","",IF(LEFT(UPPER(TRIM(Sync!$AH798)),2)="SL",UPPER(TRIM(Sync!$AH798)),""))</f>
        <v/>
      </c>
      <c r="G798" t="str">
        <f>IF($F798="","",IF(Sync!$AE798="","",IF(ISNUMBER(Sync!$AE798),IF(AND(Sync!$AE798&gt;=10000101,Sync!$AE798&lt;=99991231),INT(Sync!$AE798/10000),""),IFERROR(VALUE(TRIM(LEFT(Sync!$AE798,FIND("/",Sync!$AE798)-1))),""))))</f>
        <v/>
      </c>
      <c r="H798" t="str">
        <f>IF(OR($F798="",$G798=""),"",IF(ISNUMBER(Sync!$AE798),INT(MOD(Sync!$AE798,10000)/100),IFERROR(VALUE(TRIM(LEFT(MID(Sync!$AE798,FIND("/",Sync!$AE798)+1,20),FIND("/",MID(Sync!$AE798,FIND("/",Sync!$AE798)+1,20))-1))),"")))</f>
        <v/>
      </c>
      <c r="I798" t="str">
        <f>IF(OR($F798="",$G798=""),"",IF(ISNUMBER(Sync!$AE798),MOD(Sync!$AE798,100),IFERROR(VALUE(TRIM(MID(MID(Sync!$AE798,FIND("/",Sync!$AE798)+1,20),FIND("/",MID(Sync!$AE798,FIND("/",Sync!$AE798)+1,20))+1,20))),"")))</f>
        <v/>
      </c>
      <c r="J798" t="str">
        <f t="shared" si="62"/>
        <v/>
      </c>
      <c r="K798" t="str">
        <f>IF(OR($F798="",$J798="",$J798="نامعتبر"),"",LEFT($J798,4)&amp;MID($J798,6,2)&amp;RIGHT($J798,2)&amp;$N798&amp;"|"&amp;"2"&amp;RIGHT("00000"&amp;793,5))</f>
        <v/>
      </c>
      <c r="L798" t="str">
        <f t="shared" si="63"/>
        <v/>
      </c>
      <c r="M798" t="str">
        <f t="shared" si="64"/>
        <v/>
      </c>
      <c r="N798" t="str">
        <f>IF($F798="","",IF(Sync!$AF798="","0000",IF(AND(ISNUMBER(Sync!$AF798),Sync!$AF798&gt;=0,Sync!$AF798&lt;1),RIGHT("00"&amp;HOUR(Sync!$AF798),2)&amp;RIGHT("00"&amp;MINUTE(Sync!$AF798),2),IFERROR(RIGHT("00"&amp;VALUE(LEFT(Sync!$AF798,FIND(":",Sync!$AF798)-1)),2)&amp;RIGHT("00"&amp;VALUE(MID(Sync!$AF798,FIND(":",Sync!$AF798)+1,2)),2),"0000"))))</f>
        <v/>
      </c>
    </row>
    <row r="799" spans="1:14" x14ac:dyDescent="0.2">
      <c r="A799" t="str">
        <f>IF(OR(Calc!$E803="",Calc!$E803="نامعتبر",Calc!$G803=""),"",Calc!$G803)</f>
        <v/>
      </c>
      <c r="B799" t="str">
        <f>IF($A799="","",LEFT(Calc!$E803,4)&amp;MID(Calc!$E803,6,2)&amp;RIGHT(Calc!$E803,2)&amp;Calc!$Q803&amp;"|"&amp;"1"&amp;RIGHT("00000"&amp;794,5))</f>
        <v/>
      </c>
      <c r="C799" t="str">
        <f t="shared" si="60"/>
        <v/>
      </c>
      <c r="D799" t="str">
        <f t="shared" si="61"/>
        <v/>
      </c>
      <c r="F799" t="str">
        <f>IF(Sync!$AH799="","",IF(LEFT(UPPER(TRIM(Sync!$AH799)),2)="SL",UPPER(TRIM(Sync!$AH799)),""))</f>
        <v/>
      </c>
      <c r="G799" t="str">
        <f>IF($F799="","",IF(Sync!$AE799="","",IF(ISNUMBER(Sync!$AE799),IF(AND(Sync!$AE799&gt;=10000101,Sync!$AE799&lt;=99991231),INT(Sync!$AE799/10000),""),IFERROR(VALUE(TRIM(LEFT(Sync!$AE799,FIND("/",Sync!$AE799)-1))),""))))</f>
        <v/>
      </c>
      <c r="H799" t="str">
        <f>IF(OR($F799="",$G799=""),"",IF(ISNUMBER(Sync!$AE799),INT(MOD(Sync!$AE799,10000)/100),IFERROR(VALUE(TRIM(LEFT(MID(Sync!$AE799,FIND("/",Sync!$AE799)+1,20),FIND("/",MID(Sync!$AE799,FIND("/",Sync!$AE799)+1,20))-1))),"")))</f>
        <v/>
      </c>
      <c r="I799" t="str">
        <f>IF(OR($F799="",$G799=""),"",IF(ISNUMBER(Sync!$AE799),MOD(Sync!$AE799,100),IFERROR(VALUE(TRIM(MID(MID(Sync!$AE799,FIND("/",Sync!$AE799)+1,20),FIND("/",MID(Sync!$AE799,FIND("/",Sync!$AE799)+1,20))+1,20))),"")))</f>
        <v/>
      </c>
      <c r="J799" t="str">
        <f t="shared" si="62"/>
        <v/>
      </c>
      <c r="K799" t="str">
        <f>IF(OR($F799="",$J799="",$J799="نامعتبر"),"",LEFT($J799,4)&amp;MID($J799,6,2)&amp;RIGHT($J799,2)&amp;$N799&amp;"|"&amp;"2"&amp;RIGHT("00000"&amp;794,5))</f>
        <v/>
      </c>
      <c r="L799" t="str">
        <f t="shared" si="63"/>
        <v/>
      </c>
      <c r="M799" t="str">
        <f t="shared" si="64"/>
        <v/>
      </c>
      <c r="N799" t="str">
        <f>IF($F799="","",IF(Sync!$AF799="","0000",IF(AND(ISNUMBER(Sync!$AF799),Sync!$AF799&gt;=0,Sync!$AF799&lt;1),RIGHT("00"&amp;HOUR(Sync!$AF799),2)&amp;RIGHT("00"&amp;MINUTE(Sync!$AF799),2),IFERROR(RIGHT("00"&amp;VALUE(LEFT(Sync!$AF799,FIND(":",Sync!$AF799)-1)),2)&amp;RIGHT("00"&amp;VALUE(MID(Sync!$AF799,FIND(":",Sync!$AF799)+1,2)),2),"0000"))))</f>
        <v/>
      </c>
    </row>
    <row r="800" spans="1:14" x14ac:dyDescent="0.2">
      <c r="A800" t="str">
        <f>IF(OR(Calc!$E804="",Calc!$E804="نامعتبر",Calc!$G804=""),"",Calc!$G804)</f>
        <v/>
      </c>
      <c r="B800" t="str">
        <f>IF($A800="","",LEFT(Calc!$E804,4)&amp;MID(Calc!$E804,6,2)&amp;RIGHT(Calc!$E804,2)&amp;Calc!$Q804&amp;"|"&amp;"1"&amp;RIGHT("00000"&amp;795,5))</f>
        <v/>
      </c>
      <c r="C800" t="str">
        <f t="shared" si="60"/>
        <v/>
      </c>
      <c r="D800" t="str">
        <f t="shared" si="61"/>
        <v/>
      </c>
      <c r="F800" t="str">
        <f>IF(Sync!$AH800="","",IF(LEFT(UPPER(TRIM(Sync!$AH800)),2)="SL",UPPER(TRIM(Sync!$AH800)),""))</f>
        <v/>
      </c>
      <c r="G800" t="str">
        <f>IF($F800="","",IF(Sync!$AE800="","",IF(ISNUMBER(Sync!$AE800),IF(AND(Sync!$AE800&gt;=10000101,Sync!$AE800&lt;=99991231),INT(Sync!$AE800/10000),""),IFERROR(VALUE(TRIM(LEFT(Sync!$AE800,FIND("/",Sync!$AE800)-1))),""))))</f>
        <v/>
      </c>
      <c r="H800" t="str">
        <f>IF(OR($F800="",$G800=""),"",IF(ISNUMBER(Sync!$AE800),INT(MOD(Sync!$AE800,10000)/100),IFERROR(VALUE(TRIM(LEFT(MID(Sync!$AE800,FIND("/",Sync!$AE800)+1,20),FIND("/",MID(Sync!$AE800,FIND("/",Sync!$AE800)+1,20))-1))),"")))</f>
        <v/>
      </c>
      <c r="I800" t="str">
        <f>IF(OR($F800="",$G800=""),"",IF(ISNUMBER(Sync!$AE800),MOD(Sync!$AE800,100),IFERROR(VALUE(TRIM(MID(MID(Sync!$AE800,FIND("/",Sync!$AE800)+1,20),FIND("/",MID(Sync!$AE800,FIND("/",Sync!$AE800)+1,20))+1,20))),"")))</f>
        <v/>
      </c>
      <c r="J800" t="str">
        <f t="shared" si="62"/>
        <v/>
      </c>
      <c r="K800" t="str">
        <f>IF(OR($F800="",$J800="",$J800="نامعتبر"),"",LEFT($J800,4)&amp;MID($J800,6,2)&amp;RIGHT($J800,2)&amp;$N800&amp;"|"&amp;"2"&amp;RIGHT("00000"&amp;795,5))</f>
        <v/>
      </c>
      <c r="L800" t="str">
        <f t="shared" si="63"/>
        <v/>
      </c>
      <c r="M800" t="str">
        <f t="shared" si="64"/>
        <v/>
      </c>
      <c r="N800" t="str">
        <f>IF($F800="","",IF(Sync!$AF800="","0000",IF(AND(ISNUMBER(Sync!$AF800),Sync!$AF800&gt;=0,Sync!$AF800&lt;1),RIGHT("00"&amp;HOUR(Sync!$AF800),2)&amp;RIGHT("00"&amp;MINUTE(Sync!$AF800),2),IFERROR(RIGHT("00"&amp;VALUE(LEFT(Sync!$AF800,FIND(":",Sync!$AF800)-1)),2)&amp;RIGHT("00"&amp;VALUE(MID(Sync!$AF800,FIND(":",Sync!$AF800)+1,2)),2),"0000"))))</f>
        <v/>
      </c>
    </row>
    <row r="801" spans="1:14" x14ac:dyDescent="0.2">
      <c r="A801" t="str">
        <f>IF(OR(Calc!$E805="",Calc!$E805="نامعتبر",Calc!$G805=""),"",Calc!$G805)</f>
        <v/>
      </c>
      <c r="B801" t="str">
        <f>IF($A801="","",LEFT(Calc!$E805,4)&amp;MID(Calc!$E805,6,2)&amp;RIGHT(Calc!$E805,2)&amp;Calc!$Q805&amp;"|"&amp;"1"&amp;RIGHT("00000"&amp;796,5))</f>
        <v/>
      </c>
      <c r="C801" t="str">
        <f t="shared" si="60"/>
        <v/>
      </c>
      <c r="D801" t="str">
        <f t="shared" si="61"/>
        <v/>
      </c>
      <c r="F801" t="str">
        <f>IF(Sync!$AH801="","",IF(LEFT(UPPER(TRIM(Sync!$AH801)),2)="SL",UPPER(TRIM(Sync!$AH801)),""))</f>
        <v/>
      </c>
      <c r="G801" t="str">
        <f>IF($F801="","",IF(Sync!$AE801="","",IF(ISNUMBER(Sync!$AE801),IF(AND(Sync!$AE801&gt;=10000101,Sync!$AE801&lt;=99991231),INT(Sync!$AE801/10000),""),IFERROR(VALUE(TRIM(LEFT(Sync!$AE801,FIND("/",Sync!$AE801)-1))),""))))</f>
        <v/>
      </c>
      <c r="H801" t="str">
        <f>IF(OR($F801="",$G801=""),"",IF(ISNUMBER(Sync!$AE801),INT(MOD(Sync!$AE801,10000)/100),IFERROR(VALUE(TRIM(LEFT(MID(Sync!$AE801,FIND("/",Sync!$AE801)+1,20),FIND("/",MID(Sync!$AE801,FIND("/",Sync!$AE801)+1,20))-1))),"")))</f>
        <v/>
      </c>
      <c r="I801" t="str">
        <f>IF(OR($F801="",$G801=""),"",IF(ISNUMBER(Sync!$AE801),MOD(Sync!$AE801,100),IFERROR(VALUE(TRIM(MID(MID(Sync!$AE801,FIND("/",Sync!$AE801)+1,20),FIND("/",MID(Sync!$AE801,FIND("/",Sync!$AE801)+1,20))+1,20))),"")))</f>
        <v/>
      </c>
      <c r="J801" t="str">
        <f t="shared" si="62"/>
        <v/>
      </c>
      <c r="K801" t="str">
        <f>IF(OR($F801="",$J801="",$J801="نامعتبر"),"",LEFT($J801,4)&amp;MID($J801,6,2)&amp;RIGHT($J801,2)&amp;$N801&amp;"|"&amp;"2"&amp;RIGHT("00000"&amp;796,5))</f>
        <v/>
      </c>
      <c r="L801" t="str">
        <f t="shared" si="63"/>
        <v/>
      </c>
      <c r="M801" t="str">
        <f t="shared" si="64"/>
        <v/>
      </c>
      <c r="N801" t="str">
        <f>IF($F801="","",IF(Sync!$AF801="","0000",IF(AND(ISNUMBER(Sync!$AF801),Sync!$AF801&gt;=0,Sync!$AF801&lt;1),RIGHT("00"&amp;HOUR(Sync!$AF801),2)&amp;RIGHT("00"&amp;MINUTE(Sync!$AF801),2),IFERROR(RIGHT("00"&amp;VALUE(LEFT(Sync!$AF801,FIND(":",Sync!$AF801)-1)),2)&amp;RIGHT("00"&amp;VALUE(MID(Sync!$AF801,FIND(":",Sync!$AF801)+1,2)),2),"0000"))))</f>
        <v/>
      </c>
    </row>
    <row r="802" spans="1:14" x14ac:dyDescent="0.2">
      <c r="A802" t="str">
        <f>IF(OR(Calc!$E806="",Calc!$E806="نامعتبر",Calc!$G806=""),"",Calc!$G806)</f>
        <v/>
      </c>
      <c r="B802" t="str">
        <f>IF($A802="","",LEFT(Calc!$E806,4)&amp;MID(Calc!$E806,6,2)&amp;RIGHT(Calc!$E806,2)&amp;Calc!$Q806&amp;"|"&amp;"1"&amp;RIGHT("00000"&amp;797,5))</f>
        <v/>
      </c>
      <c r="C802" t="str">
        <f t="shared" si="60"/>
        <v/>
      </c>
      <c r="D802" t="str">
        <f t="shared" si="61"/>
        <v/>
      </c>
      <c r="F802" t="str">
        <f>IF(Sync!$AH802="","",IF(LEFT(UPPER(TRIM(Sync!$AH802)),2)="SL",UPPER(TRIM(Sync!$AH802)),""))</f>
        <v/>
      </c>
      <c r="G802" t="str">
        <f>IF($F802="","",IF(Sync!$AE802="","",IF(ISNUMBER(Sync!$AE802),IF(AND(Sync!$AE802&gt;=10000101,Sync!$AE802&lt;=99991231),INT(Sync!$AE802/10000),""),IFERROR(VALUE(TRIM(LEFT(Sync!$AE802,FIND("/",Sync!$AE802)-1))),""))))</f>
        <v/>
      </c>
      <c r="H802" t="str">
        <f>IF(OR($F802="",$G802=""),"",IF(ISNUMBER(Sync!$AE802),INT(MOD(Sync!$AE802,10000)/100),IFERROR(VALUE(TRIM(LEFT(MID(Sync!$AE802,FIND("/",Sync!$AE802)+1,20),FIND("/",MID(Sync!$AE802,FIND("/",Sync!$AE802)+1,20))-1))),"")))</f>
        <v/>
      </c>
      <c r="I802" t="str">
        <f>IF(OR($F802="",$G802=""),"",IF(ISNUMBER(Sync!$AE802),MOD(Sync!$AE802,100),IFERROR(VALUE(TRIM(MID(MID(Sync!$AE802,FIND("/",Sync!$AE802)+1,20),FIND("/",MID(Sync!$AE802,FIND("/",Sync!$AE802)+1,20))+1,20))),"")))</f>
        <v/>
      </c>
      <c r="J802" t="str">
        <f t="shared" si="62"/>
        <v/>
      </c>
      <c r="K802" t="str">
        <f>IF(OR($F802="",$J802="",$J802="نامعتبر"),"",LEFT($J802,4)&amp;MID($J802,6,2)&amp;RIGHT($J802,2)&amp;$N802&amp;"|"&amp;"2"&amp;RIGHT("00000"&amp;797,5))</f>
        <v/>
      </c>
      <c r="L802" t="str">
        <f t="shared" si="63"/>
        <v/>
      </c>
      <c r="M802" t="str">
        <f t="shared" si="64"/>
        <v/>
      </c>
      <c r="N802" t="str">
        <f>IF($F802="","",IF(Sync!$AF802="","0000",IF(AND(ISNUMBER(Sync!$AF802),Sync!$AF802&gt;=0,Sync!$AF802&lt;1),RIGHT("00"&amp;HOUR(Sync!$AF802),2)&amp;RIGHT("00"&amp;MINUTE(Sync!$AF802),2),IFERROR(RIGHT("00"&amp;VALUE(LEFT(Sync!$AF802,FIND(":",Sync!$AF802)-1)),2)&amp;RIGHT("00"&amp;VALUE(MID(Sync!$AF802,FIND(":",Sync!$AF802)+1,2)),2),"0000"))))</f>
        <v/>
      </c>
    </row>
    <row r="803" spans="1:14" x14ac:dyDescent="0.2">
      <c r="A803" t="str">
        <f>IF(OR(Calc!$E807="",Calc!$E807="نامعتبر",Calc!$G807=""),"",Calc!$G807)</f>
        <v/>
      </c>
      <c r="B803" t="str">
        <f>IF($A803="","",LEFT(Calc!$E807,4)&amp;MID(Calc!$E807,6,2)&amp;RIGHT(Calc!$E807,2)&amp;Calc!$Q807&amp;"|"&amp;"1"&amp;RIGHT("00000"&amp;798,5))</f>
        <v/>
      </c>
      <c r="C803" t="str">
        <f t="shared" si="60"/>
        <v/>
      </c>
      <c r="D803" t="str">
        <f t="shared" si="61"/>
        <v/>
      </c>
      <c r="F803" t="str">
        <f>IF(Sync!$AH803="","",IF(LEFT(UPPER(TRIM(Sync!$AH803)),2)="SL",UPPER(TRIM(Sync!$AH803)),""))</f>
        <v/>
      </c>
      <c r="G803" t="str">
        <f>IF($F803="","",IF(Sync!$AE803="","",IF(ISNUMBER(Sync!$AE803),IF(AND(Sync!$AE803&gt;=10000101,Sync!$AE803&lt;=99991231),INT(Sync!$AE803/10000),""),IFERROR(VALUE(TRIM(LEFT(Sync!$AE803,FIND("/",Sync!$AE803)-1))),""))))</f>
        <v/>
      </c>
      <c r="H803" t="str">
        <f>IF(OR($F803="",$G803=""),"",IF(ISNUMBER(Sync!$AE803),INT(MOD(Sync!$AE803,10000)/100),IFERROR(VALUE(TRIM(LEFT(MID(Sync!$AE803,FIND("/",Sync!$AE803)+1,20),FIND("/",MID(Sync!$AE803,FIND("/",Sync!$AE803)+1,20))-1))),"")))</f>
        <v/>
      </c>
      <c r="I803" t="str">
        <f>IF(OR($F803="",$G803=""),"",IF(ISNUMBER(Sync!$AE803),MOD(Sync!$AE803,100),IFERROR(VALUE(TRIM(MID(MID(Sync!$AE803,FIND("/",Sync!$AE803)+1,20),FIND("/",MID(Sync!$AE803,FIND("/",Sync!$AE803)+1,20))+1,20))),"")))</f>
        <v/>
      </c>
      <c r="J803" t="str">
        <f t="shared" si="62"/>
        <v/>
      </c>
      <c r="K803" t="str">
        <f>IF(OR($F803="",$J803="",$J803="نامعتبر"),"",LEFT($J803,4)&amp;MID($J803,6,2)&amp;RIGHT($J803,2)&amp;$N803&amp;"|"&amp;"2"&amp;RIGHT("00000"&amp;798,5))</f>
        <v/>
      </c>
      <c r="L803" t="str">
        <f t="shared" si="63"/>
        <v/>
      </c>
      <c r="M803" t="str">
        <f t="shared" si="64"/>
        <v/>
      </c>
      <c r="N803" t="str">
        <f>IF($F803="","",IF(Sync!$AF803="","0000",IF(AND(ISNUMBER(Sync!$AF803),Sync!$AF803&gt;=0,Sync!$AF803&lt;1),RIGHT("00"&amp;HOUR(Sync!$AF803),2)&amp;RIGHT("00"&amp;MINUTE(Sync!$AF803),2),IFERROR(RIGHT("00"&amp;VALUE(LEFT(Sync!$AF803,FIND(":",Sync!$AF803)-1)),2)&amp;RIGHT("00"&amp;VALUE(MID(Sync!$AF803,FIND(":",Sync!$AF803)+1,2)),2),"0000"))))</f>
        <v/>
      </c>
    </row>
    <row r="804" spans="1:14" x14ac:dyDescent="0.2">
      <c r="A804" t="str">
        <f>IF(OR(Calc!$E808="",Calc!$E808="نامعتبر",Calc!$G808=""),"",Calc!$G808)</f>
        <v/>
      </c>
      <c r="B804" t="str">
        <f>IF($A804="","",LEFT(Calc!$E808,4)&amp;MID(Calc!$E808,6,2)&amp;RIGHT(Calc!$E808,2)&amp;Calc!$Q808&amp;"|"&amp;"1"&amp;RIGHT("00000"&amp;799,5))</f>
        <v/>
      </c>
      <c r="C804" t="str">
        <f t="shared" si="60"/>
        <v/>
      </c>
      <c r="D804" t="str">
        <f t="shared" si="61"/>
        <v/>
      </c>
      <c r="F804" t="str">
        <f>IF(Sync!$AH804="","",IF(LEFT(UPPER(TRIM(Sync!$AH804)),2)="SL",UPPER(TRIM(Sync!$AH804)),""))</f>
        <v/>
      </c>
      <c r="G804" t="str">
        <f>IF($F804="","",IF(Sync!$AE804="","",IF(ISNUMBER(Sync!$AE804),IF(AND(Sync!$AE804&gt;=10000101,Sync!$AE804&lt;=99991231),INT(Sync!$AE804/10000),""),IFERROR(VALUE(TRIM(LEFT(Sync!$AE804,FIND("/",Sync!$AE804)-1))),""))))</f>
        <v/>
      </c>
      <c r="H804" t="str">
        <f>IF(OR($F804="",$G804=""),"",IF(ISNUMBER(Sync!$AE804),INT(MOD(Sync!$AE804,10000)/100),IFERROR(VALUE(TRIM(LEFT(MID(Sync!$AE804,FIND("/",Sync!$AE804)+1,20),FIND("/",MID(Sync!$AE804,FIND("/",Sync!$AE804)+1,20))-1))),"")))</f>
        <v/>
      </c>
      <c r="I804" t="str">
        <f>IF(OR($F804="",$G804=""),"",IF(ISNUMBER(Sync!$AE804),MOD(Sync!$AE804,100),IFERROR(VALUE(TRIM(MID(MID(Sync!$AE804,FIND("/",Sync!$AE804)+1,20),FIND("/",MID(Sync!$AE804,FIND("/",Sync!$AE804)+1,20))+1,20))),"")))</f>
        <v/>
      </c>
      <c r="J804" t="str">
        <f t="shared" si="62"/>
        <v/>
      </c>
      <c r="K804" t="str">
        <f>IF(OR($F804="",$J804="",$J804="نامعتبر"),"",LEFT($J804,4)&amp;MID($J804,6,2)&amp;RIGHT($J804,2)&amp;$N804&amp;"|"&amp;"2"&amp;RIGHT("00000"&amp;799,5))</f>
        <v/>
      </c>
      <c r="L804" t="str">
        <f t="shared" si="63"/>
        <v/>
      </c>
      <c r="M804" t="str">
        <f t="shared" si="64"/>
        <v/>
      </c>
      <c r="N804" t="str">
        <f>IF($F804="","",IF(Sync!$AF804="","0000",IF(AND(ISNUMBER(Sync!$AF804),Sync!$AF804&gt;=0,Sync!$AF804&lt;1),RIGHT("00"&amp;HOUR(Sync!$AF804),2)&amp;RIGHT("00"&amp;MINUTE(Sync!$AF804),2),IFERROR(RIGHT("00"&amp;VALUE(LEFT(Sync!$AF804,FIND(":",Sync!$AF804)-1)),2)&amp;RIGHT("00"&amp;VALUE(MID(Sync!$AF804,FIND(":",Sync!$AF804)+1,2)),2),"0000"))))</f>
        <v/>
      </c>
    </row>
    <row r="805" spans="1:14" x14ac:dyDescent="0.2">
      <c r="A805" t="str">
        <f>IF(OR(Calc!$E809="",Calc!$E809="نامعتبر",Calc!$G809=""),"",Calc!$G809)</f>
        <v/>
      </c>
      <c r="B805" t="str">
        <f>IF($A805="","",LEFT(Calc!$E809,4)&amp;MID(Calc!$E809,6,2)&amp;RIGHT(Calc!$E809,2)&amp;Calc!$Q809&amp;"|"&amp;"1"&amp;RIGHT("00000"&amp;800,5))</f>
        <v/>
      </c>
      <c r="C805" t="str">
        <f t="shared" si="60"/>
        <v/>
      </c>
      <c r="D805" t="str">
        <f t="shared" si="61"/>
        <v/>
      </c>
      <c r="F805" t="str">
        <f>IF(Sync!$AH805="","",IF(LEFT(UPPER(TRIM(Sync!$AH805)),2)="SL",UPPER(TRIM(Sync!$AH805)),""))</f>
        <v/>
      </c>
      <c r="G805" t="str">
        <f>IF($F805="","",IF(Sync!$AE805="","",IF(ISNUMBER(Sync!$AE805),IF(AND(Sync!$AE805&gt;=10000101,Sync!$AE805&lt;=99991231),INT(Sync!$AE805/10000),""),IFERROR(VALUE(TRIM(LEFT(Sync!$AE805,FIND("/",Sync!$AE805)-1))),""))))</f>
        <v/>
      </c>
      <c r="H805" t="str">
        <f>IF(OR($F805="",$G805=""),"",IF(ISNUMBER(Sync!$AE805),INT(MOD(Sync!$AE805,10000)/100),IFERROR(VALUE(TRIM(LEFT(MID(Sync!$AE805,FIND("/",Sync!$AE805)+1,20),FIND("/",MID(Sync!$AE805,FIND("/",Sync!$AE805)+1,20))-1))),"")))</f>
        <v/>
      </c>
      <c r="I805" t="str">
        <f>IF(OR($F805="",$G805=""),"",IF(ISNUMBER(Sync!$AE805),MOD(Sync!$AE805,100),IFERROR(VALUE(TRIM(MID(MID(Sync!$AE805,FIND("/",Sync!$AE805)+1,20),FIND("/",MID(Sync!$AE805,FIND("/",Sync!$AE805)+1,20))+1,20))),"")))</f>
        <v/>
      </c>
      <c r="J805" t="str">
        <f t="shared" si="62"/>
        <v/>
      </c>
      <c r="K805" t="str">
        <f>IF(OR($F805="",$J805="",$J805="نامعتبر"),"",LEFT($J805,4)&amp;MID($J805,6,2)&amp;RIGHT($J805,2)&amp;$N805&amp;"|"&amp;"2"&amp;RIGHT("00000"&amp;800,5))</f>
        <v/>
      </c>
      <c r="L805" t="str">
        <f t="shared" si="63"/>
        <v/>
      </c>
      <c r="M805" t="str">
        <f t="shared" si="64"/>
        <v/>
      </c>
      <c r="N805" t="str">
        <f>IF($F805="","",IF(Sync!$AF805="","0000",IF(AND(ISNUMBER(Sync!$AF805),Sync!$AF805&gt;=0,Sync!$AF805&lt;1),RIGHT("00"&amp;HOUR(Sync!$AF805),2)&amp;RIGHT("00"&amp;MINUTE(Sync!$AF805),2),IFERROR(RIGHT("00"&amp;VALUE(LEFT(Sync!$AF805,FIND(":",Sync!$AF805)-1)),2)&amp;RIGHT("00"&amp;VALUE(MID(Sync!$AF805,FIND(":",Sync!$AF805)+1,2)),2),"0000"))))</f>
        <v/>
      </c>
    </row>
    <row r="806" spans="1:14" x14ac:dyDescent="0.2">
      <c r="A806" t="str">
        <f>IF(OR(Calc!$E810="",Calc!$E810="نامعتبر",Calc!$G810=""),"",Calc!$G810)</f>
        <v/>
      </c>
      <c r="B806" t="str">
        <f>IF($A806="","",LEFT(Calc!$E810,4)&amp;MID(Calc!$E810,6,2)&amp;RIGHT(Calc!$E810,2)&amp;Calc!$Q810&amp;"|"&amp;"1"&amp;RIGHT("00000"&amp;801,5))</f>
        <v/>
      </c>
      <c r="C806" t="str">
        <f t="shared" si="60"/>
        <v/>
      </c>
      <c r="D806" t="str">
        <f t="shared" si="61"/>
        <v/>
      </c>
      <c r="F806" t="str">
        <f>IF(Sync!$AH806="","",IF(LEFT(UPPER(TRIM(Sync!$AH806)),2)="SL",UPPER(TRIM(Sync!$AH806)),""))</f>
        <v/>
      </c>
      <c r="G806" t="str">
        <f>IF($F806="","",IF(Sync!$AE806="","",IF(ISNUMBER(Sync!$AE806),IF(AND(Sync!$AE806&gt;=10000101,Sync!$AE806&lt;=99991231),INT(Sync!$AE806/10000),""),IFERROR(VALUE(TRIM(LEFT(Sync!$AE806,FIND("/",Sync!$AE806)-1))),""))))</f>
        <v/>
      </c>
      <c r="H806" t="str">
        <f>IF(OR($F806="",$G806=""),"",IF(ISNUMBER(Sync!$AE806),INT(MOD(Sync!$AE806,10000)/100),IFERROR(VALUE(TRIM(LEFT(MID(Sync!$AE806,FIND("/",Sync!$AE806)+1,20),FIND("/",MID(Sync!$AE806,FIND("/",Sync!$AE806)+1,20))-1))),"")))</f>
        <v/>
      </c>
      <c r="I806" t="str">
        <f>IF(OR($F806="",$G806=""),"",IF(ISNUMBER(Sync!$AE806),MOD(Sync!$AE806,100),IFERROR(VALUE(TRIM(MID(MID(Sync!$AE806,FIND("/",Sync!$AE806)+1,20),FIND("/",MID(Sync!$AE806,FIND("/",Sync!$AE806)+1,20))+1,20))),"")))</f>
        <v/>
      </c>
      <c r="J806" t="str">
        <f t="shared" si="62"/>
        <v/>
      </c>
      <c r="K806" t="str">
        <f>IF(OR($F806="",$J806="",$J806="نامعتبر"),"",LEFT($J806,4)&amp;MID($J806,6,2)&amp;RIGHT($J806,2)&amp;$N806&amp;"|"&amp;"2"&amp;RIGHT("00000"&amp;801,5))</f>
        <v/>
      </c>
      <c r="L806" t="str">
        <f t="shared" si="63"/>
        <v/>
      </c>
      <c r="M806" t="str">
        <f t="shared" si="64"/>
        <v/>
      </c>
      <c r="N806" t="str">
        <f>IF($F806="","",IF(Sync!$AF806="","0000",IF(AND(ISNUMBER(Sync!$AF806),Sync!$AF806&gt;=0,Sync!$AF806&lt;1),RIGHT("00"&amp;HOUR(Sync!$AF806),2)&amp;RIGHT("00"&amp;MINUTE(Sync!$AF806),2),IFERROR(RIGHT("00"&amp;VALUE(LEFT(Sync!$AF806,FIND(":",Sync!$AF806)-1)),2)&amp;RIGHT("00"&amp;VALUE(MID(Sync!$AF806,FIND(":",Sync!$AF806)+1,2)),2),"0000"))))</f>
        <v/>
      </c>
    </row>
    <row r="807" spans="1:14" x14ac:dyDescent="0.2">
      <c r="A807" t="str">
        <f>IF(OR(Calc!$E811="",Calc!$E811="نامعتبر",Calc!$G811=""),"",Calc!$G811)</f>
        <v/>
      </c>
      <c r="B807" t="str">
        <f>IF($A807="","",LEFT(Calc!$E811,4)&amp;MID(Calc!$E811,6,2)&amp;RIGHT(Calc!$E811,2)&amp;Calc!$Q811&amp;"|"&amp;"1"&amp;RIGHT("00000"&amp;802,5))</f>
        <v/>
      </c>
      <c r="C807" t="str">
        <f t="shared" si="60"/>
        <v/>
      </c>
      <c r="D807" t="str">
        <f t="shared" si="61"/>
        <v/>
      </c>
      <c r="F807" t="str">
        <f>IF(Sync!$AH807="","",IF(LEFT(UPPER(TRIM(Sync!$AH807)),2)="SL",UPPER(TRIM(Sync!$AH807)),""))</f>
        <v/>
      </c>
      <c r="G807" t="str">
        <f>IF($F807="","",IF(Sync!$AE807="","",IF(ISNUMBER(Sync!$AE807),IF(AND(Sync!$AE807&gt;=10000101,Sync!$AE807&lt;=99991231),INT(Sync!$AE807/10000),""),IFERROR(VALUE(TRIM(LEFT(Sync!$AE807,FIND("/",Sync!$AE807)-1))),""))))</f>
        <v/>
      </c>
      <c r="H807" t="str">
        <f>IF(OR($F807="",$G807=""),"",IF(ISNUMBER(Sync!$AE807),INT(MOD(Sync!$AE807,10000)/100),IFERROR(VALUE(TRIM(LEFT(MID(Sync!$AE807,FIND("/",Sync!$AE807)+1,20),FIND("/",MID(Sync!$AE807,FIND("/",Sync!$AE807)+1,20))-1))),"")))</f>
        <v/>
      </c>
      <c r="I807" t="str">
        <f>IF(OR($F807="",$G807=""),"",IF(ISNUMBER(Sync!$AE807),MOD(Sync!$AE807,100),IFERROR(VALUE(TRIM(MID(MID(Sync!$AE807,FIND("/",Sync!$AE807)+1,20),FIND("/",MID(Sync!$AE807,FIND("/",Sync!$AE807)+1,20))+1,20))),"")))</f>
        <v/>
      </c>
      <c r="J807" t="str">
        <f t="shared" si="62"/>
        <v/>
      </c>
      <c r="K807" t="str">
        <f>IF(OR($F807="",$J807="",$J807="نامعتبر"),"",LEFT($J807,4)&amp;MID($J807,6,2)&amp;RIGHT($J807,2)&amp;$N807&amp;"|"&amp;"2"&amp;RIGHT("00000"&amp;802,5))</f>
        <v/>
      </c>
      <c r="L807" t="str">
        <f t="shared" si="63"/>
        <v/>
      </c>
      <c r="M807" t="str">
        <f t="shared" si="64"/>
        <v/>
      </c>
      <c r="N807" t="str">
        <f>IF($F807="","",IF(Sync!$AF807="","0000",IF(AND(ISNUMBER(Sync!$AF807),Sync!$AF807&gt;=0,Sync!$AF807&lt;1),RIGHT("00"&amp;HOUR(Sync!$AF807),2)&amp;RIGHT("00"&amp;MINUTE(Sync!$AF807),2),IFERROR(RIGHT("00"&amp;VALUE(LEFT(Sync!$AF807,FIND(":",Sync!$AF807)-1)),2)&amp;RIGHT("00"&amp;VALUE(MID(Sync!$AF807,FIND(":",Sync!$AF807)+1,2)),2),"0000"))))</f>
        <v/>
      </c>
    </row>
    <row r="808" spans="1:14" x14ac:dyDescent="0.2">
      <c r="A808" t="str">
        <f>IF(OR(Calc!$E812="",Calc!$E812="نامعتبر",Calc!$G812=""),"",Calc!$G812)</f>
        <v/>
      </c>
      <c r="B808" t="str">
        <f>IF($A808="","",LEFT(Calc!$E812,4)&amp;MID(Calc!$E812,6,2)&amp;RIGHT(Calc!$E812,2)&amp;Calc!$Q812&amp;"|"&amp;"1"&amp;RIGHT("00000"&amp;803,5))</f>
        <v/>
      </c>
      <c r="C808" t="str">
        <f t="shared" si="60"/>
        <v/>
      </c>
      <c r="D808" t="str">
        <f t="shared" si="61"/>
        <v/>
      </c>
      <c r="F808" t="str">
        <f>IF(Sync!$AH808="","",IF(LEFT(UPPER(TRIM(Sync!$AH808)),2)="SL",UPPER(TRIM(Sync!$AH808)),""))</f>
        <v/>
      </c>
      <c r="G808" t="str">
        <f>IF($F808="","",IF(Sync!$AE808="","",IF(ISNUMBER(Sync!$AE808),IF(AND(Sync!$AE808&gt;=10000101,Sync!$AE808&lt;=99991231),INT(Sync!$AE808/10000),""),IFERROR(VALUE(TRIM(LEFT(Sync!$AE808,FIND("/",Sync!$AE808)-1))),""))))</f>
        <v/>
      </c>
      <c r="H808" t="str">
        <f>IF(OR($F808="",$G808=""),"",IF(ISNUMBER(Sync!$AE808),INT(MOD(Sync!$AE808,10000)/100),IFERROR(VALUE(TRIM(LEFT(MID(Sync!$AE808,FIND("/",Sync!$AE808)+1,20),FIND("/",MID(Sync!$AE808,FIND("/",Sync!$AE808)+1,20))-1))),"")))</f>
        <v/>
      </c>
      <c r="I808" t="str">
        <f>IF(OR($F808="",$G808=""),"",IF(ISNUMBER(Sync!$AE808),MOD(Sync!$AE808,100),IFERROR(VALUE(TRIM(MID(MID(Sync!$AE808,FIND("/",Sync!$AE808)+1,20),FIND("/",MID(Sync!$AE808,FIND("/",Sync!$AE808)+1,20))+1,20))),"")))</f>
        <v/>
      </c>
      <c r="J808" t="str">
        <f t="shared" si="62"/>
        <v/>
      </c>
      <c r="K808" t="str">
        <f>IF(OR($F808="",$J808="",$J808="نامعتبر"),"",LEFT($J808,4)&amp;MID($J808,6,2)&amp;RIGHT($J808,2)&amp;$N808&amp;"|"&amp;"2"&amp;RIGHT("00000"&amp;803,5))</f>
        <v/>
      </c>
      <c r="L808" t="str">
        <f t="shared" si="63"/>
        <v/>
      </c>
      <c r="M808" t="str">
        <f t="shared" si="64"/>
        <v/>
      </c>
      <c r="N808" t="str">
        <f>IF($F808="","",IF(Sync!$AF808="","0000",IF(AND(ISNUMBER(Sync!$AF808),Sync!$AF808&gt;=0,Sync!$AF808&lt;1),RIGHT("00"&amp;HOUR(Sync!$AF808),2)&amp;RIGHT("00"&amp;MINUTE(Sync!$AF808),2),IFERROR(RIGHT("00"&amp;VALUE(LEFT(Sync!$AF808,FIND(":",Sync!$AF808)-1)),2)&amp;RIGHT("00"&amp;VALUE(MID(Sync!$AF808,FIND(":",Sync!$AF808)+1,2)),2),"0000"))))</f>
        <v/>
      </c>
    </row>
    <row r="809" spans="1:14" x14ac:dyDescent="0.2">
      <c r="A809" t="str">
        <f>IF(OR(Calc!$E813="",Calc!$E813="نامعتبر",Calc!$G813=""),"",Calc!$G813)</f>
        <v/>
      </c>
      <c r="B809" t="str">
        <f>IF($A809="","",LEFT(Calc!$E813,4)&amp;MID(Calc!$E813,6,2)&amp;RIGHT(Calc!$E813,2)&amp;Calc!$Q813&amp;"|"&amp;"1"&amp;RIGHT("00000"&amp;804,5))</f>
        <v/>
      </c>
      <c r="C809" t="str">
        <f t="shared" si="60"/>
        <v/>
      </c>
      <c r="D809" t="str">
        <f t="shared" si="61"/>
        <v/>
      </c>
      <c r="F809" t="str">
        <f>IF(Sync!$AH809="","",IF(LEFT(UPPER(TRIM(Sync!$AH809)),2)="SL",UPPER(TRIM(Sync!$AH809)),""))</f>
        <v/>
      </c>
      <c r="G809" t="str">
        <f>IF($F809="","",IF(Sync!$AE809="","",IF(ISNUMBER(Sync!$AE809),IF(AND(Sync!$AE809&gt;=10000101,Sync!$AE809&lt;=99991231),INT(Sync!$AE809/10000),""),IFERROR(VALUE(TRIM(LEFT(Sync!$AE809,FIND("/",Sync!$AE809)-1))),""))))</f>
        <v/>
      </c>
      <c r="H809" t="str">
        <f>IF(OR($F809="",$G809=""),"",IF(ISNUMBER(Sync!$AE809),INT(MOD(Sync!$AE809,10000)/100),IFERROR(VALUE(TRIM(LEFT(MID(Sync!$AE809,FIND("/",Sync!$AE809)+1,20),FIND("/",MID(Sync!$AE809,FIND("/",Sync!$AE809)+1,20))-1))),"")))</f>
        <v/>
      </c>
      <c r="I809" t="str">
        <f>IF(OR($F809="",$G809=""),"",IF(ISNUMBER(Sync!$AE809),MOD(Sync!$AE809,100),IFERROR(VALUE(TRIM(MID(MID(Sync!$AE809,FIND("/",Sync!$AE809)+1,20),FIND("/",MID(Sync!$AE809,FIND("/",Sync!$AE809)+1,20))+1,20))),"")))</f>
        <v/>
      </c>
      <c r="J809" t="str">
        <f t="shared" si="62"/>
        <v/>
      </c>
      <c r="K809" t="str">
        <f>IF(OR($F809="",$J809="",$J809="نامعتبر"),"",LEFT($J809,4)&amp;MID($J809,6,2)&amp;RIGHT($J809,2)&amp;$N809&amp;"|"&amp;"2"&amp;RIGHT("00000"&amp;804,5))</f>
        <v/>
      </c>
      <c r="L809" t="str">
        <f t="shared" si="63"/>
        <v/>
      </c>
      <c r="M809" t="str">
        <f t="shared" si="64"/>
        <v/>
      </c>
      <c r="N809" t="str">
        <f>IF($F809="","",IF(Sync!$AF809="","0000",IF(AND(ISNUMBER(Sync!$AF809),Sync!$AF809&gt;=0,Sync!$AF809&lt;1),RIGHT("00"&amp;HOUR(Sync!$AF809),2)&amp;RIGHT("00"&amp;MINUTE(Sync!$AF809),2),IFERROR(RIGHT("00"&amp;VALUE(LEFT(Sync!$AF809,FIND(":",Sync!$AF809)-1)),2)&amp;RIGHT("00"&amp;VALUE(MID(Sync!$AF809,FIND(":",Sync!$AF809)+1,2)),2),"0000"))))</f>
        <v/>
      </c>
    </row>
    <row r="810" spans="1:14" x14ac:dyDescent="0.2">
      <c r="A810" t="str">
        <f>IF(OR(Calc!$E814="",Calc!$E814="نامعتبر",Calc!$G814=""),"",Calc!$G814)</f>
        <v/>
      </c>
      <c r="B810" t="str">
        <f>IF($A810="","",LEFT(Calc!$E814,4)&amp;MID(Calc!$E814,6,2)&amp;RIGHT(Calc!$E814,2)&amp;Calc!$Q814&amp;"|"&amp;"1"&amp;RIGHT("00000"&amp;805,5))</f>
        <v/>
      </c>
      <c r="C810" t="str">
        <f t="shared" si="60"/>
        <v/>
      </c>
      <c r="D810" t="str">
        <f t="shared" si="61"/>
        <v/>
      </c>
      <c r="F810" t="str">
        <f>IF(Sync!$AH810="","",IF(LEFT(UPPER(TRIM(Sync!$AH810)),2)="SL",UPPER(TRIM(Sync!$AH810)),""))</f>
        <v/>
      </c>
      <c r="G810" t="str">
        <f>IF($F810="","",IF(Sync!$AE810="","",IF(ISNUMBER(Sync!$AE810),IF(AND(Sync!$AE810&gt;=10000101,Sync!$AE810&lt;=99991231),INT(Sync!$AE810/10000),""),IFERROR(VALUE(TRIM(LEFT(Sync!$AE810,FIND("/",Sync!$AE810)-1))),""))))</f>
        <v/>
      </c>
      <c r="H810" t="str">
        <f>IF(OR($F810="",$G810=""),"",IF(ISNUMBER(Sync!$AE810),INT(MOD(Sync!$AE810,10000)/100),IFERROR(VALUE(TRIM(LEFT(MID(Sync!$AE810,FIND("/",Sync!$AE810)+1,20),FIND("/",MID(Sync!$AE810,FIND("/",Sync!$AE810)+1,20))-1))),"")))</f>
        <v/>
      </c>
      <c r="I810" t="str">
        <f>IF(OR($F810="",$G810=""),"",IF(ISNUMBER(Sync!$AE810),MOD(Sync!$AE810,100),IFERROR(VALUE(TRIM(MID(MID(Sync!$AE810,FIND("/",Sync!$AE810)+1,20),FIND("/",MID(Sync!$AE810,FIND("/",Sync!$AE810)+1,20))+1,20))),"")))</f>
        <v/>
      </c>
      <c r="J810" t="str">
        <f t="shared" si="62"/>
        <v/>
      </c>
      <c r="K810" t="str">
        <f>IF(OR($F810="",$J810="",$J810="نامعتبر"),"",LEFT($J810,4)&amp;MID($J810,6,2)&amp;RIGHT($J810,2)&amp;$N810&amp;"|"&amp;"2"&amp;RIGHT("00000"&amp;805,5))</f>
        <v/>
      </c>
      <c r="L810" t="str">
        <f t="shared" si="63"/>
        <v/>
      </c>
      <c r="M810" t="str">
        <f t="shared" si="64"/>
        <v/>
      </c>
      <c r="N810" t="str">
        <f>IF($F810="","",IF(Sync!$AF810="","0000",IF(AND(ISNUMBER(Sync!$AF810),Sync!$AF810&gt;=0,Sync!$AF810&lt;1),RIGHT("00"&amp;HOUR(Sync!$AF810),2)&amp;RIGHT("00"&amp;MINUTE(Sync!$AF810),2),IFERROR(RIGHT("00"&amp;VALUE(LEFT(Sync!$AF810,FIND(":",Sync!$AF810)-1)),2)&amp;RIGHT("00"&amp;VALUE(MID(Sync!$AF810,FIND(":",Sync!$AF810)+1,2)),2),"0000"))))</f>
        <v/>
      </c>
    </row>
    <row r="811" spans="1:14" x14ac:dyDescent="0.2">
      <c r="A811" t="str">
        <f>IF(OR(Calc!$E815="",Calc!$E815="نامعتبر",Calc!$G815=""),"",Calc!$G815)</f>
        <v/>
      </c>
      <c r="B811" t="str">
        <f>IF($A811="","",LEFT(Calc!$E815,4)&amp;MID(Calc!$E815,6,2)&amp;RIGHT(Calc!$E815,2)&amp;Calc!$Q815&amp;"|"&amp;"1"&amp;RIGHT("00000"&amp;806,5))</f>
        <v/>
      </c>
      <c r="C811" t="str">
        <f t="shared" si="60"/>
        <v/>
      </c>
      <c r="D811" t="str">
        <f t="shared" si="61"/>
        <v/>
      </c>
      <c r="F811" t="str">
        <f>IF(Sync!$AH811="","",IF(LEFT(UPPER(TRIM(Sync!$AH811)),2)="SL",UPPER(TRIM(Sync!$AH811)),""))</f>
        <v/>
      </c>
      <c r="G811" t="str">
        <f>IF($F811="","",IF(Sync!$AE811="","",IF(ISNUMBER(Sync!$AE811),IF(AND(Sync!$AE811&gt;=10000101,Sync!$AE811&lt;=99991231),INT(Sync!$AE811/10000),""),IFERROR(VALUE(TRIM(LEFT(Sync!$AE811,FIND("/",Sync!$AE811)-1))),""))))</f>
        <v/>
      </c>
      <c r="H811" t="str">
        <f>IF(OR($F811="",$G811=""),"",IF(ISNUMBER(Sync!$AE811),INT(MOD(Sync!$AE811,10000)/100),IFERROR(VALUE(TRIM(LEFT(MID(Sync!$AE811,FIND("/",Sync!$AE811)+1,20),FIND("/",MID(Sync!$AE811,FIND("/",Sync!$AE811)+1,20))-1))),"")))</f>
        <v/>
      </c>
      <c r="I811" t="str">
        <f>IF(OR($F811="",$G811=""),"",IF(ISNUMBER(Sync!$AE811),MOD(Sync!$AE811,100),IFERROR(VALUE(TRIM(MID(MID(Sync!$AE811,FIND("/",Sync!$AE811)+1,20),FIND("/",MID(Sync!$AE811,FIND("/",Sync!$AE811)+1,20))+1,20))),"")))</f>
        <v/>
      </c>
      <c r="J811" t="str">
        <f t="shared" si="62"/>
        <v/>
      </c>
      <c r="K811" t="str">
        <f>IF(OR($F811="",$J811="",$J811="نامعتبر"),"",LEFT($J811,4)&amp;MID($J811,6,2)&amp;RIGHT($J811,2)&amp;$N811&amp;"|"&amp;"2"&amp;RIGHT("00000"&amp;806,5))</f>
        <v/>
      </c>
      <c r="L811" t="str">
        <f t="shared" si="63"/>
        <v/>
      </c>
      <c r="M811" t="str">
        <f t="shared" si="64"/>
        <v/>
      </c>
      <c r="N811" t="str">
        <f>IF($F811="","",IF(Sync!$AF811="","0000",IF(AND(ISNUMBER(Sync!$AF811),Sync!$AF811&gt;=0,Sync!$AF811&lt;1),RIGHT("00"&amp;HOUR(Sync!$AF811),2)&amp;RIGHT("00"&amp;MINUTE(Sync!$AF811),2),IFERROR(RIGHT("00"&amp;VALUE(LEFT(Sync!$AF811,FIND(":",Sync!$AF811)-1)),2)&amp;RIGHT("00"&amp;VALUE(MID(Sync!$AF811,FIND(":",Sync!$AF811)+1,2)),2),"0000"))))</f>
        <v/>
      </c>
    </row>
    <row r="812" spans="1:14" x14ac:dyDescent="0.2">
      <c r="A812" t="str">
        <f>IF(OR(Calc!$E816="",Calc!$E816="نامعتبر",Calc!$G816=""),"",Calc!$G816)</f>
        <v/>
      </c>
      <c r="B812" t="str">
        <f>IF($A812="","",LEFT(Calc!$E816,4)&amp;MID(Calc!$E816,6,2)&amp;RIGHT(Calc!$E816,2)&amp;Calc!$Q816&amp;"|"&amp;"1"&amp;RIGHT("00000"&amp;807,5))</f>
        <v/>
      </c>
      <c r="C812" t="str">
        <f t="shared" si="60"/>
        <v/>
      </c>
      <c r="D812" t="str">
        <f t="shared" si="61"/>
        <v/>
      </c>
      <c r="F812" t="str">
        <f>IF(Sync!$AH812="","",IF(LEFT(UPPER(TRIM(Sync!$AH812)),2)="SL",UPPER(TRIM(Sync!$AH812)),""))</f>
        <v/>
      </c>
      <c r="G812" t="str">
        <f>IF($F812="","",IF(Sync!$AE812="","",IF(ISNUMBER(Sync!$AE812),IF(AND(Sync!$AE812&gt;=10000101,Sync!$AE812&lt;=99991231),INT(Sync!$AE812/10000),""),IFERROR(VALUE(TRIM(LEFT(Sync!$AE812,FIND("/",Sync!$AE812)-1))),""))))</f>
        <v/>
      </c>
      <c r="H812" t="str">
        <f>IF(OR($F812="",$G812=""),"",IF(ISNUMBER(Sync!$AE812),INT(MOD(Sync!$AE812,10000)/100),IFERROR(VALUE(TRIM(LEFT(MID(Sync!$AE812,FIND("/",Sync!$AE812)+1,20),FIND("/",MID(Sync!$AE812,FIND("/",Sync!$AE812)+1,20))-1))),"")))</f>
        <v/>
      </c>
      <c r="I812" t="str">
        <f>IF(OR($F812="",$G812=""),"",IF(ISNUMBER(Sync!$AE812),MOD(Sync!$AE812,100),IFERROR(VALUE(TRIM(MID(MID(Sync!$AE812,FIND("/",Sync!$AE812)+1,20),FIND("/",MID(Sync!$AE812,FIND("/",Sync!$AE812)+1,20))+1,20))),"")))</f>
        <v/>
      </c>
      <c r="J812" t="str">
        <f t="shared" si="62"/>
        <v/>
      </c>
      <c r="K812" t="str">
        <f>IF(OR($F812="",$J812="",$J812="نامعتبر"),"",LEFT($J812,4)&amp;MID($J812,6,2)&amp;RIGHT($J812,2)&amp;$N812&amp;"|"&amp;"2"&amp;RIGHT("00000"&amp;807,5))</f>
        <v/>
      </c>
      <c r="L812" t="str">
        <f t="shared" si="63"/>
        <v/>
      </c>
      <c r="M812" t="str">
        <f t="shared" si="64"/>
        <v/>
      </c>
      <c r="N812" t="str">
        <f>IF($F812="","",IF(Sync!$AF812="","0000",IF(AND(ISNUMBER(Sync!$AF812),Sync!$AF812&gt;=0,Sync!$AF812&lt;1),RIGHT("00"&amp;HOUR(Sync!$AF812),2)&amp;RIGHT("00"&amp;MINUTE(Sync!$AF812),2),IFERROR(RIGHT("00"&amp;VALUE(LEFT(Sync!$AF812,FIND(":",Sync!$AF812)-1)),2)&amp;RIGHT("00"&amp;VALUE(MID(Sync!$AF812,FIND(":",Sync!$AF812)+1,2)),2),"0000"))))</f>
        <v/>
      </c>
    </row>
    <row r="813" spans="1:14" x14ac:dyDescent="0.2">
      <c r="A813" t="str">
        <f>IF(OR(Calc!$E817="",Calc!$E817="نامعتبر",Calc!$G817=""),"",Calc!$G817)</f>
        <v/>
      </c>
      <c r="B813" t="str">
        <f>IF($A813="","",LEFT(Calc!$E817,4)&amp;MID(Calc!$E817,6,2)&amp;RIGHT(Calc!$E817,2)&amp;Calc!$Q817&amp;"|"&amp;"1"&amp;RIGHT("00000"&amp;808,5))</f>
        <v/>
      </c>
      <c r="C813" t="str">
        <f t="shared" si="60"/>
        <v/>
      </c>
      <c r="D813" t="str">
        <f t="shared" si="61"/>
        <v/>
      </c>
      <c r="F813" t="str">
        <f>IF(Sync!$AH813="","",IF(LEFT(UPPER(TRIM(Sync!$AH813)),2)="SL",UPPER(TRIM(Sync!$AH813)),""))</f>
        <v/>
      </c>
      <c r="G813" t="str">
        <f>IF($F813="","",IF(Sync!$AE813="","",IF(ISNUMBER(Sync!$AE813),IF(AND(Sync!$AE813&gt;=10000101,Sync!$AE813&lt;=99991231),INT(Sync!$AE813/10000),""),IFERROR(VALUE(TRIM(LEFT(Sync!$AE813,FIND("/",Sync!$AE813)-1))),""))))</f>
        <v/>
      </c>
      <c r="H813" t="str">
        <f>IF(OR($F813="",$G813=""),"",IF(ISNUMBER(Sync!$AE813),INT(MOD(Sync!$AE813,10000)/100),IFERROR(VALUE(TRIM(LEFT(MID(Sync!$AE813,FIND("/",Sync!$AE813)+1,20),FIND("/",MID(Sync!$AE813,FIND("/",Sync!$AE813)+1,20))-1))),"")))</f>
        <v/>
      </c>
      <c r="I813" t="str">
        <f>IF(OR($F813="",$G813=""),"",IF(ISNUMBER(Sync!$AE813),MOD(Sync!$AE813,100),IFERROR(VALUE(TRIM(MID(MID(Sync!$AE813,FIND("/",Sync!$AE813)+1,20),FIND("/",MID(Sync!$AE813,FIND("/",Sync!$AE813)+1,20))+1,20))),"")))</f>
        <v/>
      </c>
      <c r="J813" t="str">
        <f t="shared" si="62"/>
        <v/>
      </c>
      <c r="K813" t="str">
        <f>IF(OR($F813="",$J813="",$J813="نامعتبر"),"",LEFT($J813,4)&amp;MID($J813,6,2)&amp;RIGHT($J813,2)&amp;$N813&amp;"|"&amp;"2"&amp;RIGHT("00000"&amp;808,5))</f>
        <v/>
      </c>
      <c r="L813" t="str">
        <f t="shared" si="63"/>
        <v/>
      </c>
      <c r="M813" t="str">
        <f t="shared" si="64"/>
        <v/>
      </c>
      <c r="N813" t="str">
        <f>IF($F813="","",IF(Sync!$AF813="","0000",IF(AND(ISNUMBER(Sync!$AF813),Sync!$AF813&gt;=0,Sync!$AF813&lt;1),RIGHT("00"&amp;HOUR(Sync!$AF813),2)&amp;RIGHT("00"&amp;MINUTE(Sync!$AF813),2),IFERROR(RIGHT("00"&amp;VALUE(LEFT(Sync!$AF813,FIND(":",Sync!$AF813)-1)),2)&amp;RIGHT("00"&amp;VALUE(MID(Sync!$AF813,FIND(":",Sync!$AF813)+1,2)),2),"0000"))))</f>
        <v/>
      </c>
    </row>
    <row r="814" spans="1:14" x14ac:dyDescent="0.2">
      <c r="A814" t="str">
        <f>IF(OR(Calc!$E818="",Calc!$E818="نامعتبر",Calc!$G818=""),"",Calc!$G818)</f>
        <v/>
      </c>
      <c r="B814" t="str">
        <f>IF($A814="","",LEFT(Calc!$E818,4)&amp;MID(Calc!$E818,6,2)&amp;RIGHT(Calc!$E818,2)&amp;Calc!$Q818&amp;"|"&amp;"1"&amp;RIGHT("00000"&amp;809,5))</f>
        <v/>
      </c>
      <c r="C814" t="str">
        <f t="shared" si="60"/>
        <v/>
      </c>
      <c r="D814" t="str">
        <f t="shared" si="61"/>
        <v/>
      </c>
      <c r="F814" t="str">
        <f>IF(Sync!$AH814="","",IF(LEFT(UPPER(TRIM(Sync!$AH814)),2)="SL",UPPER(TRIM(Sync!$AH814)),""))</f>
        <v/>
      </c>
      <c r="G814" t="str">
        <f>IF($F814="","",IF(Sync!$AE814="","",IF(ISNUMBER(Sync!$AE814),IF(AND(Sync!$AE814&gt;=10000101,Sync!$AE814&lt;=99991231),INT(Sync!$AE814/10000),""),IFERROR(VALUE(TRIM(LEFT(Sync!$AE814,FIND("/",Sync!$AE814)-1))),""))))</f>
        <v/>
      </c>
      <c r="H814" t="str">
        <f>IF(OR($F814="",$G814=""),"",IF(ISNUMBER(Sync!$AE814),INT(MOD(Sync!$AE814,10000)/100),IFERROR(VALUE(TRIM(LEFT(MID(Sync!$AE814,FIND("/",Sync!$AE814)+1,20),FIND("/",MID(Sync!$AE814,FIND("/",Sync!$AE814)+1,20))-1))),"")))</f>
        <v/>
      </c>
      <c r="I814" t="str">
        <f>IF(OR($F814="",$G814=""),"",IF(ISNUMBER(Sync!$AE814),MOD(Sync!$AE814,100),IFERROR(VALUE(TRIM(MID(MID(Sync!$AE814,FIND("/",Sync!$AE814)+1,20),FIND("/",MID(Sync!$AE814,FIND("/",Sync!$AE814)+1,20))+1,20))),"")))</f>
        <v/>
      </c>
      <c r="J814" t="str">
        <f t="shared" si="62"/>
        <v/>
      </c>
      <c r="K814" t="str">
        <f>IF(OR($F814="",$J814="",$J814="نامعتبر"),"",LEFT($J814,4)&amp;MID($J814,6,2)&amp;RIGHT($J814,2)&amp;$N814&amp;"|"&amp;"2"&amp;RIGHT("00000"&amp;809,5))</f>
        <v/>
      </c>
      <c r="L814" t="str">
        <f t="shared" si="63"/>
        <v/>
      </c>
      <c r="M814" t="str">
        <f t="shared" si="64"/>
        <v/>
      </c>
      <c r="N814" t="str">
        <f>IF($F814="","",IF(Sync!$AF814="","0000",IF(AND(ISNUMBER(Sync!$AF814),Sync!$AF814&gt;=0,Sync!$AF814&lt;1),RIGHT("00"&amp;HOUR(Sync!$AF814),2)&amp;RIGHT("00"&amp;MINUTE(Sync!$AF814),2),IFERROR(RIGHT("00"&amp;VALUE(LEFT(Sync!$AF814,FIND(":",Sync!$AF814)-1)),2)&amp;RIGHT("00"&amp;VALUE(MID(Sync!$AF814,FIND(":",Sync!$AF814)+1,2)),2),"0000"))))</f>
        <v/>
      </c>
    </row>
    <row r="815" spans="1:14" x14ac:dyDescent="0.2">
      <c r="A815" t="str">
        <f>IF(OR(Calc!$E819="",Calc!$E819="نامعتبر",Calc!$G819=""),"",Calc!$G819)</f>
        <v/>
      </c>
      <c r="B815" t="str">
        <f>IF($A815="","",LEFT(Calc!$E819,4)&amp;MID(Calc!$E819,6,2)&amp;RIGHT(Calc!$E819,2)&amp;Calc!$Q819&amp;"|"&amp;"1"&amp;RIGHT("00000"&amp;810,5))</f>
        <v/>
      </c>
      <c r="C815" t="str">
        <f t="shared" si="60"/>
        <v/>
      </c>
      <c r="D815" t="str">
        <f t="shared" si="61"/>
        <v/>
      </c>
      <c r="F815" t="str">
        <f>IF(Sync!$AH815="","",IF(LEFT(UPPER(TRIM(Sync!$AH815)),2)="SL",UPPER(TRIM(Sync!$AH815)),""))</f>
        <v/>
      </c>
      <c r="G815" t="str">
        <f>IF($F815="","",IF(Sync!$AE815="","",IF(ISNUMBER(Sync!$AE815),IF(AND(Sync!$AE815&gt;=10000101,Sync!$AE815&lt;=99991231),INT(Sync!$AE815/10000),""),IFERROR(VALUE(TRIM(LEFT(Sync!$AE815,FIND("/",Sync!$AE815)-1))),""))))</f>
        <v/>
      </c>
      <c r="H815" t="str">
        <f>IF(OR($F815="",$G815=""),"",IF(ISNUMBER(Sync!$AE815),INT(MOD(Sync!$AE815,10000)/100),IFERROR(VALUE(TRIM(LEFT(MID(Sync!$AE815,FIND("/",Sync!$AE815)+1,20),FIND("/",MID(Sync!$AE815,FIND("/",Sync!$AE815)+1,20))-1))),"")))</f>
        <v/>
      </c>
      <c r="I815" t="str">
        <f>IF(OR($F815="",$G815=""),"",IF(ISNUMBER(Sync!$AE815),MOD(Sync!$AE815,100),IFERROR(VALUE(TRIM(MID(MID(Sync!$AE815,FIND("/",Sync!$AE815)+1,20),FIND("/",MID(Sync!$AE815,FIND("/",Sync!$AE815)+1,20))+1,20))),"")))</f>
        <v/>
      </c>
      <c r="J815" t="str">
        <f t="shared" si="62"/>
        <v/>
      </c>
      <c r="K815" t="str">
        <f>IF(OR($F815="",$J815="",$J815="نامعتبر"),"",LEFT($J815,4)&amp;MID($J815,6,2)&amp;RIGHT($J815,2)&amp;$N815&amp;"|"&amp;"2"&amp;RIGHT("00000"&amp;810,5))</f>
        <v/>
      </c>
      <c r="L815" t="str">
        <f t="shared" si="63"/>
        <v/>
      </c>
      <c r="M815" t="str">
        <f t="shared" si="64"/>
        <v/>
      </c>
      <c r="N815" t="str">
        <f>IF($F815="","",IF(Sync!$AF815="","0000",IF(AND(ISNUMBER(Sync!$AF815),Sync!$AF815&gt;=0,Sync!$AF815&lt;1),RIGHT("00"&amp;HOUR(Sync!$AF815),2)&amp;RIGHT("00"&amp;MINUTE(Sync!$AF815),2),IFERROR(RIGHT("00"&amp;VALUE(LEFT(Sync!$AF815,FIND(":",Sync!$AF815)-1)),2)&amp;RIGHT("00"&amp;VALUE(MID(Sync!$AF815,FIND(":",Sync!$AF815)+1,2)),2),"0000"))))</f>
        <v/>
      </c>
    </row>
    <row r="816" spans="1:14" x14ac:dyDescent="0.2">
      <c r="A816" t="str">
        <f>IF(OR(Calc!$E820="",Calc!$E820="نامعتبر",Calc!$G820=""),"",Calc!$G820)</f>
        <v/>
      </c>
      <c r="B816" t="str">
        <f>IF($A816="","",LEFT(Calc!$E820,4)&amp;MID(Calc!$E820,6,2)&amp;RIGHT(Calc!$E820,2)&amp;Calc!$Q820&amp;"|"&amp;"1"&amp;RIGHT("00000"&amp;811,5))</f>
        <v/>
      </c>
      <c r="C816" t="str">
        <f t="shared" si="60"/>
        <v/>
      </c>
      <c r="D816" t="str">
        <f t="shared" si="61"/>
        <v/>
      </c>
      <c r="F816" t="str">
        <f>IF(Sync!$AH816="","",IF(LEFT(UPPER(TRIM(Sync!$AH816)),2)="SL",UPPER(TRIM(Sync!$AH816)),""))</f>
        <v/>
      </c>
      <c r="G816" t="str">
        <f>IF($F816="","",IF(Sync!$AE816="","",IF(ISNUMBER(Sync!$AE816),IF(AND(Sync!$AE816&gt;=10000101,Sync!$AE816&lt;=99991231),INT(Sync!$AE816/10000),""),IFERROR(VALUE(TRIM(LEFT(Sync!$AE816,FIND("/",Sync!$AE816)-1))),""))))</f>
        <v/>
      </c>
      <c r="H816" t="str">
        <f>IF(OR($F816="",$G816=""),"",IF(ISNUMBER(Sync!$AE816),INT(MOD(Sync!$AE816,10000)/100),IFERROR(VALUE(TRIM(LEFT(MID(Sync!$AE816,FIND("/",Sync!$AE816)+1,20),FIND("/",MID(Sync!$AE816,FIND("/",Sync!$AE816)+1,20))-1))),"")))</f>
        <v/>
      </c>
      <c r="I816" t="str">
        <f>IF(OR($F816="",$G816=""),"",IF(ISNUMBER(Sync!$AE816),MOD(Sync!$AE816,100),IFERROR(VALUE(TRIM(MID(MID(Sync!$AE816,FIND("/",Sync!$AE816)+1,20),FIND("/",MID(Sync!$AE816,FIND("/",Sync!$AE816)+1,20))+1,20))),"")))</f>
        <v/>
      </c>
      <c r="J816" t="str">
        <f t="shared" si="62"/>
        <v/>
      </c>
      <c r="K816" t="str">
        <f>IF(OR($F816="",$J816="",$J816="نامعتبر"),"",LEFT($J816,4)&amp;MID($J816,6,2)&amp;RIGHT($J816,2)&amp;$N816&amp;"|"&amp;"2"&amp;RIGHT("00000"&amp;811,5))</f>
        <v/>
      </c>
      <c r="L816" t="str">
        <f t="shared" si="63"/>
        <v/>
      </c>
      <c r="M816" t="str">
        <f t="shared" si="64"/>
        <v/>
      </c>
      <c r="N816" t="str">
        <f>IF($F816="","",IF(Sync!$AF816="","0000",IF(AND(ISNUMBER(Sync!$AF816),Sync!$AF816&gt;=0,Sync!$AF816&lt;1),RIGHT("00"&amp;HOUR(Sync!$AF816),2)&amp;RIGHT("00"&amp;MINUTE(Sync!$AF816),2),IFERROR(RIGHT("00"&amp;VALUE(LEFT(Sync!$AF816,FIND(":",Sync!$AF816)-1)),2)&amp;RIGHT("00"&amp;VALUE(MID(Sync!$AF816,FIND(":",Sync!$AF816)+1,2)),2),"0000"))))</f>
        <v/>
      </c>
    </row>
    <row r="817" spans="1:14" x14ac:dyDescent="0.2">
      <c r="A817" t="str">
        <f>IF(OR(Calc!$E821="",Calc!$E821="نامعتبر",Calc!$G821=""),"",Calc!$G821)</f>
        <v/>
      </c>
      <c r="B817" t="str">
        <f>IF($A817="","",LEFT(Calc!$E821,4)&amp;MID(Calc!$E821,6,2)&amp;RIGHT(Calc!$E821,2)&amp;Calc!$Q821&amp;"|"&amp;"1"&amp;RIGHT("00000"&amp;812,5))</f>
        <v/>
      </c>
      <c r="C817" t="str">
        <f t="shared" si="60"/>
        <v/>
      </c>
      <c r="D817" t="str">
        <f t="shared" si="61"/>
        <v/>
      </c>
      <c r="F817" t="str">
        <f>IF(Sync!$AH817="","",IF(LEFT(UPPER(TRIM(Sync!$AH817)),2)="SL",UPPER(TRIM(Sync!$AH817)),""))</f>
        <v/>
      </c>
      <c r="G817" t="str">
        <f>IF($F817="","",IF(Sync!$AE817="","",IF(ISNUMBER(Sync!$AE817),IF(AND(Sync!$AE817&gt;=10000101,Sync!$AE817&lt;=99991231),INT(Sync!$AE817/10000),""),IFERROR(VALUE(TRIM(LEFT(Sync!$AE817,FIND("/",Sync!$AE817)-1))),""))))</f>
        <v/>
      </c>
      <c r="H817" t="str">
        <f>IF(OR($F817="",$G817=""),"",IF(ISNUMBER(Sync!$AE817),INT(MOD(Sync!$AE817,10000)/100),IFERROR(VALUE(TRIM(LEFT(MID(Sync!$AE817,FIND("/",Sync!$AE817)+1,20),FIND("/",MID(Sync!$AE817,FIND("/",Sync!$AE817)+1,20))-1))),"")))</f>
        <v/>
      </c>
      <c r="I817" t="str">
        <f>IF(OR($F817="",$G817=""),"",IF(ISNUMBER(Sync!$AE817),MOD(Sync!$AE817,100),IFERROR(VALUE(TRIM(MID(MID(Sync!$AE817,FIND("/",Sync!$AE817)+1,20),FIND("/",MID(Sync!$AE817,FIND("/",Sync!$AE817)+1,20))+1,20))),"")))</f>
        <v/>
      </c>
      <c r="J817" t="str">
        <f t="shared" si="62"/>
        <v/>
      </c>
      <c r="K817" t="str">
        <f>IF(OR($F817="",$J817="",$J817="نامعتبر"),"",LEFT($J817,4)&amp;MID($J817,6,2)&amp;RIGHT($J817,2)&amp;$N817&amp;"|"&amp;"2"&amp;RIGHT("00000"&amp;812,5))</f>
        <v/>
      </c>
      <c r="L817" t="str">
        <f t="shared" si="63"/>
        <v/>
      </c>
      <c r="M817" t="str">
        <f t="shared" si="64"/>
        <v/>
      </c>
      <c r="N817" t="str">
        <f>IF($F817="","",IF(Sync!$AF817="","0000",IF(AND(ISNUMBER(Sync!$AF817),Sync!$AF817&gt;=0,Sync!$AF817&lt;1),RIGHT("00"&amp;HOUR(Sync!$AF817),2)&amp;RIGHT("00"&amp;MINUTE(Sync!$AF817),2),IFERROR(RIGHT("00"&amp;VALUE(LEFT(Sync!$AF817,FIND(":",Sync!$AF817)-1)),2)&amp;RIGHT("00"&amp;VALUE(MID(Sync!$AF817,FIND(":",Sync!$AF817)+1,2)),2),"0000"))))</f>
        <v/>
      </c>
    </row>
    <row r="818" spans="1:14" x14ac:dyDescent="0.2">
      <c r="A818" t="str">
        <f>IF(OR(Calc!$E822="",Calc!$E822="نامعتبر",Calc!$G822=""),"",Calc!$G822)</f>
        <v/>
      </c>
      <c r="B818" t="str">
        <f>IF($A818="","",LEFT(Calc!$E822,4)&amp;MID(Calc!$E822,6,2)&amp;RIGHT(Calc!$E822,2)&amp;Calc!$Q822&amp;"|"&amp;"1"&amp;RIGHT("00000"&amp;813,5))</f>
        <v/>
      </c>
      <c r="C818" t="str">
        <f t="shared" si="60"/>
        <v/>
      </c>
      <c r="D818" t="str">
        <f t="shared" si="61"/>
        <v/>
      </c>
      <c r="F818" t="str">
        <f>IF(Sync!$AH818="","",IF(LEFT(UPPER(TRIM(Sync!$AH818)),2)="SL",UPPER(TRIM(Sync!$AH818)),""))</f>
        <v/>
      </c>
      <c r="G818" t="str">
        <f>IF($F818="","",IF(Sync!$AE818="","",IF(ISNUMBER(Sync!$AE818),IF(AND(Sync!$AE818&gt;=10000101,Sync!$AE818&lt;=99991231),INT(Sync!$AE818/10000),""),IFERROR(VALUE(TRIM(LEFT(Sync!$AE818,FIND("/",Sync!$AE818)-1))),""))))</f>
        <v/>
      </c>
      <c r="H818" t="str">
        <f>IF(OR($F818="",$G818=""),"",IF(ISNUMBER(Sync!$AE818),INT(MOD(Sync!$AE818,10000)/100),IFERROR(VALUE(TRIM(LEFT(MID(Sync!$AE818,FIND("/",Sync!$AE818)+1,20),FIND("/",MID(Sync!$AE818,FIND("/",Sync!$AE818)+1,20))-1))),"")))</f>
        <v/>
      </c>
      <c r="I818" t="str">
        <f>IF(OR($F818="",$G818=""),"",IF(ISNUMBER(Sync!$AE818),MOD(Sync!$AE818,100),IFERROR(VALUE(TRIM(MID(MID(Sync!$AE818,FIND("/",Sync!$AE818)+1,20),FIND("/",MID(Sync!$AE818,FIND("/",Sync!$AE818)+1,20))+1,20))),"")))</f>
        <v/>
      </c>
      <c r="J818" t="str">
        <f t="shared" si="62"/>
        <v/>
      </c>
      <c r="K818" t="str">
        <f>IF(OR($F818="",$J818="",$J818="نامعتبر"),"",LEFT($J818,4)&amp;MID($J818,6,2)&amp;RIGHT($J818,2)&amp;$N818&amp;"|"&amp;"2"&amp;RIGHT("00000"&amp;813,5))</f>
        <v/>
      </c>
      <c r="L818" t="str">
        <f t="shared" si="63"/>
        <v/>
      </c>
      <c r="M818" t="str">
        <f t="shared" si="64"/>
        <v/>
      </c>
      <c r="N818" t="str">
        <f>IF($F818="","",IF(Sync!$AF818="","0000",IF(AND(ISNUMBER(Sync!$AF818),Sync!$AF818&gt;=0,Sync!$AF818&lt;1),RIGHT("00"&amp;HOUR(Sync!$AF818),2)&amp;RIGHT("00"&amp;MINUTE(Sync!$AF818),2),IFERROR(RIGHT("00"&amp;VALUE(LEFT(Sync!$AF818,FIND(":",Sync!$AF818)-1)),2)&amp;RIGHT("00"&amp;VALUE(MID(Sync!$AF818,FIND(":",Sync!$AF818)+1,2)),2),"0000"))))</f>
        <v/>
      </c>
    </row>
    <row r="819" spans="1:14" x14ac:dyDescent="0.2">
      <c r="A819" t="str">
        <f>IF(OR(Calc!$E823="",Calc!$E823="نامعتبر",Calc!$G823=""),"",Calc!$G823)</f>
        <v/>
      </c>
      <c r="B819" t="str">
        <f>IF($A819="","",LEFT(Calc!$E823,4)&amp;MID(Calc!$E823,6,2)&amp;RIGHT(Calc!$E823,2)&amp;Calc!$Q823&amp;"|"&amp;"1"&amp;RIGHT("00000"&amp;814,5))</f>
        <v/>
      </c>
      <c r="C819" t="str">
        <f t="shared" si="60"/>
        <v/>
      </c>
      <c r="D819" t="str">
        <f t="shared" si="61"/>
        <v/>
      </c>
      <c r="F819" t="str">
        <f>IF(Sync!$AH819="","",IF(LEFT(UPPER(TRIM(Sync!$AH819)),2)="SL",UPPER(TRIM(Sync!$AH819)),""))</f>
        <v/>
      </c>
      <c r="G819" t="str">
        <f>IF($F819="","",IF(Sync!$AE819="","",IF(ISNUMBER(Sync!$AE819),IF(AND(Sync!$AE819&gt;=10000101,Sync!$AE819&lt;=99991231),INT(Sync!$AE819/10000),""),IFERROR(VALUE(TRIM(LEFT(Sync!$AE819,FIND("/",Sync!$AE819)-1))),""))))</f>
        <v/>
      </c>
      <c r="H819" t="str">
        <f>IF(OR($F819="",$G819=""),"",IF(ISNUMBER(Sync!$AE819),INT(MOD(Sync!$AE819,10000)/100),IFERROR(VALUE(TRIM(LEFT(MID(Sync!$AE819,FIND("/",Sync!$AE819)+1,20),FIND("/",MID(Sync!$AE819,FIND("/",Sync!$AE819)+1,20))-1))),"")))</f>
        <v/>
      </c>
      <c r="I819" t="str">
        <f>IF(OR($F819="",$G819=""),"",IF(ISNUMBER(Sync!$AE819),MOD(Sync!$AE819,100),IFERROR(VALUE(TRIM(MID(MID(Sync!$AE819,FIND("/",Sync!$AE819)+1,20),FIND("/",MID(Sync!$AE819,FIND("/",Sync!$AE819)+1,20))+1,20))),"")))</f>
        <v/>
      </c>
      <c r="J819" t="str">
        <f t="shared" si="62"/>
        <v/>
      </c>
      <c r="K819" t="str">
        <f>IF(OR($F819="",$J819="",$J819="نامعتبر"),"",LEFT($J819,4)&amp;MID($J819,6,2)&amp;RIGHT($J819,2)&amp;$N819&amp;"|"&amp;"2"&amp;RIGHT("00000"&amp;814,5))</f>
        <v/>
      </c>
      <c r="L819" t="str">
        <f t="shared" si="63"/>
        <v/>
      </c>
      <c r="M819" t="str">
        <f t="shared" si="64"/>
        <v/>
      </c>
      <c r="N819" t="str">
        <f>IF($F819="","",IF(Sync!$AF819="","0000",IF(AND(ISNUMBER(Sync!$AF819),Sync!$AF819&gt;=0,Sync!$AF819&lt;1),RIGHT("00"&amp;HOUR(Sync!$AF819),2)&amp;RIGHT("00"&amp;MINUTE(Sync!$AF819),2),IFERROR(RIGHT("00"&amp;VALUE(LEFT(Sync!$AF819,FIND(":",Sync!$AF819)-1)),2)&amp;RIGHT("00"&amp;VALUE(MID(Sync!$AF819,FIND(":",Sync!$AF819)+1,2)),2),"0000"))))</f>
        <v/>
      </c>
    </row>
    <row r="820" spans="1:14" x14ac:dyDescent="0.2">
      <c r="A820" t="str">
        <f>IF(OR(Calc!$E824="",Calc!$E824="نامعتبر",Calc!$G824=""),"",Calc!$G824)</f>
        <v/>
      </c>
      <c r="B820" t="str">
        <f>IF($A820="","",LEFT(Calc!$E824,4)&amp;MID(Calc!$E824,6,2)&amp;RIGHT(Calc!$E824,2)&amp;Calc!$Q824&amp;"|"&amp;"1"&amp;RIGHT("00000"&amp;815,5))</f>
        <v/>
      </c>
      <c r="C820" t="str">
        <f t="shared" si="60"/>
        <v/>
      </c>
      <c r="D820" t="str">
        <f t="shared" si="61"/>
        <v/>
      </c>
      <c r="F820" t="str">
        <f>IF(Sync!$AH820="","",IF(LEFT(UPPER(TRIM(Sync!$AH820)),2)="SL",UPPER(TRIM(Sync!$AH820)),""))</f>
        <v/>
      </c>
      <c r="G820" t="str">
        <f>IF($F820="","",IF(Sync!$AE820="","",IF(ISNUMBER(Sync!$AE820),IF(AND(Sync!$AE820&gt;=10000101,Sync!$AE820&lt;=99991231),INT(Sync!$AE820/10000),""),IFERROR(VALUE(TRIM(LEFT(Sync!$AE820,FIND("/",Sync!$AE820)-1))),""))))</f>
        <v/>
      </c>
      <c r="H820" t="str">
        <f>IF(OR($F820="",$G820=""),"",IF(ISNUMBER(Sync!$AE820),INT(MOD(Sync!$AE820,10000)/100),IFERROR(VALUE(TRIM(LEFT(MID(Sync!$AE820,FIND("/",Sync!$AE820)+1,20),FIND("/",MID(Sync!$AE820,FIND("/",Sync!$AE820)+1,20))-1))),"")))</f>
        <v/>
      </c>
      <c r="I820" t="str">
        <f>IF(OR($F820="",$G820=""),"",IF(ISNUMBER(Sync!$AE820),MOD(Sync!$AE820,100),IFERROR(VALUE(TRIM(MID(MID(Sync!$AE820,FIND("/",Sync!$AE820)+1,20),FIND("/",MID(Sync!$AE820,FIND("/",Sync!$AE820)+1,20))+1,20))),"")))</f>
        <v/>
      </c>
      <c r="J820" t="str">
        <f t="shared" si="62"/>
        <v/>
      </c>
      <c r="K820" t="str">
        <f>IF(OR($F820="",$J820="",$J820="نامعتبر"),"",LEFT($J820,4)&amp;MID($J820,6,2)&amp;RIGHT($J820,2)&amp;$N820&amp;"|"&amp;"2"&amp;RIGHT("00000"&amp;815,5))</f>
        <v/>
      </c>
      <c r="L820" t="str">
        <f t="shared" si="63"/>
        <v/>
      </c>
      <c r="M820" t="str">
        <f t="shared" si="64"/>
        <v/>
      </c>
      <c r="N820" t="str">
        <f>IF($F820="","",IF(Sync!$AF820="","0000",IF(AND(ISNUMBER(Sync!$AF820),Sync!$AF820&gt;=0,Sync!$AF820&lt;1),RIGHT("00"&amp;HOUR(Sync!$AF820),2)&amp;RIGHT("00"&amp;MINUTE(Sync!$AF820),2),IFERROR(RIGHT("00"&amp;VALUE(LEFT(Sync!$AF820,FIND(":",Sync!$AF820)-1)),2)&amp;RIGHT("00"&amp;VALUE(MID(Sync!$AF820,FIND(":",Sync!$AF820)+1,2)),2),"0000"))))</f>
        <v/>
      </c>
    </row>
    <row r="821" spans="1:14" x14ac:dyDescent="0.2">
      <c r="A821" t="str">
        <f>IF(OR(Calc!$E825="",Calc!$E825="نامعتبر",Calc!$G825=""),"",Calc!$G825)</f>
        <v/>
      </c>
      <c r="B821" t="str">
        <f>IF($A821="","",LEFT(Calc!$E825,4)&amp;MID(Calc!$E825,6,2)&amp;RIGHT(Calc!$E825,2)&amp;Calc!$Q825&amp;"|"&amp;"1"&amp;RIGHT("00000"&amp;816,5))</f>
        <v/>
      </c>
      <c r="C821" t="str">
        <f t="shared" si="60"/>
        <v/>
      </c>
      <c r="D821" t="str">
        <f t="shared" si="61"/>
        <v/>
      </c>
      <c r="F821" t="str">
        <f>IF(Sync!$AH821="","",IF(LEFT(UPPER(TRIM(Sync!$AH821)),2)="SL",UPPER(TRIM(Sync!$AH821)),""))</f>
        <v/>
      </c>
      <c r="G821" t="str">
        <f>IF($F821="","",IF(Sync!$AE821="","",IF(ISNUMBER(Sync!$AE821),IF(AND(Sync!$AE821&gt;=10000101,Sync!$AE821&lt;=99991231),INT(Sync!$AE821/10000),""),IFERROR(VALUE(TRIM(LEFT(Sync!$AE821,FIND("/",Sync!$AE821)-1))),""))))</f>
        <v/>
      </c>
      <c r="H821" t="str">
        <f>IF(OR($F821="",$G821=""),"",IF(ISNUMBER(Sync!$AE821),INT(MOD(Sync!$AE821,10000)/100),IFERROR(VALUE(TRIM(LEFT(MID(Sync!$AE821,FIND("/",Sync!$AE821)+1,20),FIND("/",MID(Sync!$AE821,FIND("/",Sync!$AE821)+1,20))-1))),"")))</f>
        <v/>
      </c>
      <c r="I821" t="str">
        <f>IF(OR($F821="",$G821=""),"",IF(ISNUMBER(Sync!$AE821),MOD(Sync!$AE821,100),IFERROR(VALUE(TRIM(MID(MID(Sync!$AE821,FIND("/",Sync!$AE821)+1,20),FIND("/",MID(Sync!$AE821,FIND("/",Sync!$AE821)+1,20))+1,20))),"")))</f>
        <v/>
      </c>
      <c r="J821" t="str">
        <f t="shared" si="62"/>
        <v/>
      </c>
      <c r="K821" t="str">
        <f>IF(OR($F821="",$J821="",$J821="نامعتبر"),"",LEFT($J821,4)&amp;MID($J821,6,2)&amp;RIGHT($J821,2)&amp;$N821&amp;"|"&amp;"2"&amp;RIGHT("00000"&amp;816,5))</f>
        <v/>
      </c>
      <c r="L821" t="str">
        <f t="shared" si="63"/>
        <v/>
      </c>
      <c r="M821" t="str">
        <f t="shared" si="64"/>
        <v/>
      </c>
      <c r="N821" t="str">
        <f>IF($F821="","",IF(Sync!$AF821="","0000",IF(AND(ISNUMBER(Sync!$AF821),Sync!$AF821&gt;=0,Sync!$AF821&lt;1),RIGHT("00"&amp;HOUR(Sync!$AF821),2)&amp;RIGHT("00"&amp;MINUTE(Sync!$AF821),2),IFERROR(RIGHT("00"&amp;VALUE(LEFT(Sync!$AF821,FIND(":",Sync!$AF821)-1)),2)&amp;RIGHT("00"&amp;VALUE(MID(Sync!$AF821,FIND(":",Sync!$AF821)+1,2)),2),"0000"))))</f>
        <v/>
      </c>
    </row>
    <row r="822" spans="1:14" x14ac:dyDescent="0.2">
      <c r="A822" t="str">
        <f>IF(OR(Calc!$E826="",Calc!$E826="نامعتبر",Calc!$G826=""),"",Calc!$G826)</f>
        <v/>
      </c>
      <c r="B822" t="str">
        <f>IF($A822="","",LEFT(Calc!$E826,4)&amp;MID(Calc!$E826,6,2)&amp;RIGHT(Calc!$E826,2)&amp;Calc!$Q826&amp;"|"&amp;"1"&amp;RIGHT("00000"&amp;817,5))</f>
        <v/>
      </c>
      <c r="C822" t="str">
        <f t="shared" si="60"/>
        <v/>
      </c>
      <c r="D822" t="str">
        <f t="shared" si="61"/>
        <v/>
      </c>
      <c r="F822" t="str">
        <f>IF(Sync!$AH822="","",IF(LEFT(UPPER(TRIM(Sync!$AH822)),2)="SL",UPPER(TRIM(Sync!$AH822)),""))</f>
        <v/>
      </c>
      <c r="G822" t="str">
        <f>IF($F822="","",IF(Sync!$AE822="","",IF(ISNUMBER(Sync!$AE822),IF(AND(Sync!$AE822&gt;=10000101,Sync!$AE822&lt;=99991231),INT(Sync!$AE822/10000),""),IFERROR(VALUE(TRIM(LEFT(Sync!$AE822,FIND("/",Sync!$AE822)-1))),""))))</f>
        <v/>
      </c>
      <c r="H822" t="str">
        <f>IF(OR($F822="",$G822=""),"",IF(ISNUMBER(Sync!$AE822),INT(MOD(Sync!$AE822,10000)/100),IFERROR(VALUE(TRIM(LEFT(MID(Sync!$AE822,FIND("/",Sync!$AE822)+1,20),FIND("/",MID(Sync!$AE822,FIND("/",Sync!$AE822)+1,20))-1))),"")))</f>
        <v/>
      </c>
      <c r="I822" t="str">
        <f>IF(OR($F822="",$G822=""),"",IF(ISNUMBER(Sync!$AE822),MOD(Sync!$AE822,100),IFERROR(VALUE(TRIM(MID(MID(Sync!$AE822,FIND("/",Sync!$AE822)+1,20),FIND("/",MID(Sync!$AE822,FIND("/",Sync!$AE822)+1,20))+1,20))),"")))</f>
        <v/>
      </c>
      <c r="J822" t="str">
        <f t="shared" si="62"/>
        <v/>
      </c>
      <c r="K822" t="str">
        <f>IF(OR($F822="",$J822="",$J822="نامعتبر"),"",LEFT($J822,4)&amp;MID($J822,6,2)&amp;RIGHT($J822,2)&amp;$N822&amp;"|"&amp;"2"&amp;RIGHT("00000"&amp;817,5))</f>
        <v/>
      </c>
      <c r="L822" t="str">
        <f t="shared" si="63"/>
        <v/>
      </c>
      <c r="M822" t="str">
        <f t="shared" si="64"/>
        <v/>
      </c>
      <c r="N822" t="str">
        <f>IF($F822="","",IF(Sync!$AF822="","0000",IF(AND(ISNUMBER(Sync!$AF822),Sync!$AF822&gt;=0,Sync!$AF822&lt;1),RIGHT("00"&amp;HOUR(Sync!$AF822),2)&amp;RIGHT("00"&amp;MINUTE(Sync!$AF822),2),IFERROR(RIGHT("00"&amp;VALUE(LEFT(Sync!$AF822,FIND(":",Sync!$AF822)-1)),2)&amp;RIGHT("00"&amp;VALUE(MID(Sync!$AF822,FIND(":",Sync!$AF822)+1,2)),2),"0000"))))</f>
        <v/>
      </c>
    </row>
    <row r="823" spans="1:14" x14ac:dyDescent="0.2">
      <c r="A823" t="str">
        <f>IF(OR(Calc!$E827="",Calc!$E827="نامعتبر",Calc!$G827=""),"",Calc!$G827)</f>
        <v/>
      </c>
      <c r="B823" t="str">
        <f>IF($A823="","",LEFT(Calc!$E827,4)&amp;MID(Calc!$E827,6,2)&amp;RIGHT(Calc!$E827,2)&amp;Calc!$Q827&amp;"|"&amp;"1"&amp;RIGHT("00000"&amp;818,5))</f>
        <v/>
      </c>
      <c r="C823" t="str">
        <f t="shared" si="60"/>
        <v/>
      </c>
      <c r="D823" t="str">
        <f t="shared" si="61"/>
        <v/>
      </c>
      <c r="F823" t="str">
        <f>IF(Sync!$AH823="","",IF(LEFT(UPPER(TRIM(Sync!$AH823)),2)="SL",UPPER(TRIM(Sync!$AH823)),""))</f>
        <v/>
      </c>
      <c r="G823" t="str">
        <f>IF($F823="","",IF(Sync!$AE823="","",IF(ISNUMBER(Sync!$AE823),IF(AND(Sync!$AE823&gt;=10000101,Sync!$AE823&lt;=99991231),INT(Sync!$AE823/10000),""),IFERROR(VALUE(TRIM(LEFT(Sync!$AE823,FIND("/",Sync!$AE823)-1))),""))))</f>
        <v/>
      </c>
      <c r="H823" t="str">
        <f>IF(OR($F823="",$G823=""),"",IF(ISNUMBER(Sync!$AE823),INT(MOD(Sync!$AE823,10000)/100),IFERROR(VALUE(TRIM(LEFT(MID(Sync!$AE823,FIND("/",Sync!$AE823)+1,20),FIND("/",MID(Sync!$AE823,FIND("/",Sync!$AE823)+1,20))-1))),"")))</f>
        <v/>
      </c>
      <c r="I823" t="str">
        <f>IF(OR($F823="",$G823=""),"",IF(ISNUMBER(Sync!$AE823),MOD(Sync!$AE823,100),IFERROR(VALUE(TRIM(MID(MID(Sync!$AE823,FIND("/",Sync!$AE823)+1,20),FIND("/",MID(Sync!$AE823,FIND("/",Sync!$AE823)+1,20))+1,20))),"")))</f>
        <v/>
      </c>
      <c r="J823" t="str">
        <f t="shared" si="62"/>
        <v/>
      </c>
      <c r="K823" t="str">
        <f>IF(OR($F823="",$J823="",$J823="نامعتبر"),"",LEFT($J823,4)&amp;MID($J823,6,2)&amp;RIGHT($J823,2)&amp;$N823&amp;"|"&amp;"2"&amp;RIGHT("00000"&amp;818,5))</f>
        <v/>
      </c>
      <c r="L823" t="str">
        <f t="shared" si="63"/>
        <v/>
      </c>
      <c r="M823" t="str">
        <f t="shared" si="64"/>
        <v/>
      </c>
      <c r="N823" t="str">
        <f>IF($F823="","",IF(Sync!$AF823="","0000",IF(AND(ISNUMBER(Sync!$AF823),Sync!$AF823&gt;=0,Sync!$AF823&lt;1),RIGHT("00"&amp;HOUR(Sync!$AF823),2)&amp;RIGHT("00"&amp;MINUTE(Sync!$AF823),2),IFERROR(RIGHT("00"&amp;VALUE(LEFT(Sync!$AF823,FIND(":",Sync!$AF823)-1)),2)&amp;RIGHT("00"&amp;VALUE(MID(Sync!$AF823,FIND(":",Sync!$AF823)+1,2)),2),"0000"))))</f>
        <v/>
      </c>
    </row>
    <row r="824" spans="1:14" x14ac:dyDescent="0.2">
      <c r="A824" t="str">
        <f>IF(OR(Calc!$E828="",Calc!$E828="نامعتبر",Calc!$G828=""),"",Calc!$G828)</f>
        <v/>
      </c>
      <c r="B824" t="str">
        <f>IF($A824="","",LEFT(Calc!$E828,4)&amp;MID(Calc!$E828,6,2)&amp;RIGHT(Calc!$E828,2)&amp;Calc!$Q828&amp;"|"&amp;"1"&amp;RIGHT("00000"&amp;819,5))</f>
        <v/>
      </c>
      <c r="C824" t="str">
        <f t="shared" si="60"/>
        <v/>
      </c>
      <c r="D824" t="str">
        <f t="shared" si="61"/>
        <v/>
      </c>
      <c r="F824" t="str">
        <f>IF(Sync!$AH824="","",IF(LEFT(UPPER(TRIM(Sync!$AH824)),2)="SL",UPPER(TRIM(Sync!$AH824)),""))</f>
        <v/>
      </c>
      <c r="G824" t="str">
        <f>IF($F824="","",IF(Sync!$AE824="","",IF(ISNUMBER(Sync!$AE824),IF(AND(Sync!$AE824&gt;=10000101,Sync!$AE824&lt;=99991231),INT(Sync!$AE824/10000),""),IFERROR(VALUE(TRIM(LEFT(Sync!$AE824,FIND("/",Sync!$AE824)-1))),""))))</f>
        <v/>
      </c>
      <c r="H824" t="str">
        <f>IF(OR($F824="",$G824=""),"",IF(ISNUMBER(Sync!$AE824),INT(MOD(Sync!$AE824,10000)/100),IFERROR(VALUE(TRIM(LEFT(MID(Sync!$AE824,FIND("/",Sync!$AE824)+1,20),FIND("/",MID(Sync!$AE824,FIND("/",Sync!$AE824)+1,20))-1))),"")))</f>
        <v/>
      </c>
      <c r="I824" t="str">
        <f>IF(OR($F824="",$G824=""),"",IF(ISNUMBER(Sync!$AE824),MOD(Sync!$AE824,100),IFERROR(VALUE(TRIM(MID(MID(Sync!$AE824,FIND("/",Sync!$AE824)+1,20),FIND("/",MID(Sync!$AE824,FIND("/",Sync!$AE824)+1,20))+1,20))),"")))</f>
        <v/>
      </c>
      <c r="J824" t="str">
        <f t="shared" si="62"/>
        <v/>
      </c>
      <c r="K824" t="str">
        <f>IF(OR($F824="",$J824="",$J824="نامعتبر"),"",LEFT($J824,4)&amp;MID($J824,6,2)&amp;RIGHT($J824,2)&amp;$N824&amp;"|"&amp;"2"&amp;RIGHT("00000"&amp;819,5))</f>
        <v/>
      </c>
      <c r="L824" t="str">
        <f t="shared" si="63"/>
        <v/>
      </c>
      <c r="M824" t="str">
        <f t="shared" si="64"/>
        <v/>
      </c>
      <c r="N824" t="str">
        <f>IF($F824="","",IF(Sync!$AF824="","0000",IF(AND(ISNUMBER(Sync!$AF824),Sync!$AF824&gt;=0,Sync!$AF824&lt;1),RIGHT("00"&amp;HOUR(Sync!$AF824),2)&amp;RIGHT("00"&amp;MINUTE(Sync!$AF824),2),IFERROR(RIGHT("00"&amp;VALUE(LEFT(Sync!$AF824,FIND(":",Sync!$AF824)-1)),2)&amp;RIGHT("00"&amp;VALUE(MID(Sync!$AF824,FIND(":",Sync!$AF824)+1,2)),2),"0000"))))</f>
        <v/>
      </c>
    </row>
    <row r="825" spans="1:14" x14ac:dyDescent="0.2">
      <c r="A825" t="str">
        <f>IF(OR(Calc!$E829="",Calc!$E829="نامعتبر",Calc!$G829=""),"",Calc!$G829)</f>
        <v/>
      </c>
      <c r="B825" t="str">
        <f>IF($A825="","",LEFT(Calc!$E829,4)&amp;MID(Calc!$E829,6,2)&amp;RIGHT(Calc!$E829,2)&amp;Calc!$Q829&amp;"|"&amp;"1"&amp;RIGHT("00000"&amp;820,5))</f>
        <v/>
      </c>
      <c r="C825" t="str">
        <f t="shared" si="60"/>
        <v/>
      </c>
      <c r="D825" t="str">
        <f t="shared" si="61"/>
        <v/>
      </c>
      <c r="F825" t="str">
        <f>IF(Sync!$AH825="","",IF(LEFT(UPPER(TRIM(Sync!$AH825)),2)="SL",UPPER(TRIM(Sync!$AH825)),""))</f>
        <v/>
      </c>
      <c r="G825" t="str">
        <f>IF($F825="","",IF(Sync!$AE825="","",IF(ISNUMBER(Sync!$AE825),IF(AND(Sync!$AE825&gt;=10000101,Sync!$AE825&lt;=99991231),INT(Sync!$AE825/10000),""),IFERROR(VALUE(TRIM(LEFT(Sync!$AE825,FIND("/",Sync!$AE825)-1))),""))))</f>
        <v/>
      </c>
      <c r="H825" t="str">
        <f>IF(OR($F825="",$G825=""),"",IF(ISNUMBER(Sync!$AE825),INT(MOD(Sync!$AE825,10000)/100),IFERROR(VALUE(TRIM(LEFT(MID(Sync!$AE825,FIND("/",Sync!$AE825)+1,20),FIND("/",MID(Sync!$AE825,FIND("/",Sync!$AE825)+1,20))-1))),"")))</f>
        <v/>
      </c>
      <c r="I825" t="str">
        <f>IF(OR($F825="",$G825=""),"",IF(ISNUMBER(Sync!$AE825),MOD(Sync!$AE825,100),IFERROR(VALUE(TRIM(MID(MID(Sync!$AE825,FIND("/",Sync!$AE825)+1,20),FIND("/",MID(Sync!$AE825,FIND("/",Sync!$AE825)+1,20))+1,20))),"")))</f>
        <v/>
      </c>
      <c r="J825" t="str">
        <f t="shared" si="62"/>
        <v/>
      </c>
      <c r="K825" t="str">
        <f>IF(OR($F825="",$J825="",$J825="نامعتبر"),"",LEFT($J825,4)&amp;MID($J825,6,2)&amp;RIGHT($J825,2)&amp;$N825&amp;"|"&amp;"2"&amp;RIGHT("00000"&amp;820,5))</f>
        <v/>
      </c>
      <c r="L825" t="str">
        <f t="shared" si="63"/>
        <v/>
      </c>
      <c r="M825" t="str">
        <f t="shared" si="64"/>
        <v/>
      </c>
      <c r="N825" t="str">
        <f>IF($F825="","",IF(Sync!$AF825="","0000",IF(AND(ISNUMBER(Sync!$AF825),Sync!$AF825&gt;=0,Sync!$AF825&lt;1),RIGHT("00"&amp;HOUR(Sync!$AF825),2)&amp;RIGHT("00"&amp;MINUTE(Sync!$AF825),2),IFERROR(RIGHT("00"&amp;VALUE(LEFT(Sync!$AF825,FIND(":",Sync!$AF825)-1)),2)&amp;RIGHT("00"&amp;VALUE(MID(Sync!$AF825,FIND(":",Sync!$AF825)+1,2)),2),"0000"))))</f>
        <v/>
      </c>
    </row>
    <row r="826" spans="1:14" x14ac:dyDescent="0.2">
      <c r="A826" t="str">
        <f>IF(OR(Calc!$E830="",Calc!$E830="نامعتبر",Calc!$G830=""),"",Calc!$G830)</f>
        <v/>
      </c>
      <c r="B826" t="str">
        <f>IF($A826="","",LEFT(Calc!$E830,4)&amp;MID(Calc!$E830,6,2)&amp;RIGHT(Calc!$E830,2)&amp;Calc!$Q830&amp;"|"&amp;"1"&amp;RIGHT("00000"&amp;821,5))</f>
        <v/>
      </c>
      <c r="C826" t="str">
        <f t="shared" si="60"/>
        <v/>
      </c>
      <c r="D826" t="str">
        <f t="shared" si="61"/>
        <v/>
      </c>
      <c r="F826" t="str">
        <f>IF(Sync!$AH826="","",IF(LEFT(UPPER(TRIM(Sync!$AH826)),2)="SL",UPPER(TRIM(Sync!$AH826)),""))</f>
        <v/>
      </c>
      <c r="G826" t="str">
        <f>IF($F826="","",IF(Sync!$AE826="","",IF(ISNUMBER(Sync!$AE826),IF(AND(Sync!$AE826&gt;=10000101,Sync!$AE826&lt;=99991231),INT(Sync!$AE826/10000),""),IFERROR(VALUE(TRIM(LEFT(Sync!$AE826,FIND("/",Sync!$AE826)-1))),""))))</f>
        <v/>
      </c>
      <c r="H826" t="str">
        <f>IF(OR($F826="",$G826=""),"",IF(ISNUMBER(Sync!$AE826),INT(MOD(Sync!$AE826,10000)/100),IFERROR(VALUE(TRIM(LEFT(MID(Sync!$AE826,FIND("/",Sync!$AE826)+1,20),FIND("/",MID(Sync!$AE826,FIND("/",Sync!$AE826)+1,20))-1))),"")))</f>
        <v/>
      </c>
      <c r="I826" t="str">
        <f>IF(OR($F826="",$G826=""),"",IF(ISNUMBER(Sync!$AE826),MOD(Sync!$AE826,100),IFERROR(VALUE(TRIM(MID(MID(Sync!$AE826,FIND("/",Sync!$AE826)+1,20),FIND("/",MID(Sync!$AE826,FIND("/",Sync!$AE826)+1,20))+1,20))),"")))</f>
        <v/>
      </c>
      <c r="J826" t="str">
        <f t="shared" si="62"/>
        <v/>
      </c>
      <c r="K826" t="str">
        <f>IF(OR($F826="",$J826="",$J826="نامعتبر"),"",LEFT($J826,4)&amp;MID($J826,6,2)&amp;RIGHT($J826,2)&amp;$N826&amp;"|"&amp;"2"&amp;RIGHT("00000"&amp;821,5))</f>
        <v/>
      </c>
      <c r="L826" t="str">
        <f t="shared" si="63"/>
        <v/>
      </c>
      <c r="M826" t="str">
        <f t="shared" si="64"/>
        <v/>
      </c>
      <c r="N826" t="str">
        <f>IF($F826="","",IF(Sync!$AF826="","0000",IF(AND(ISNUMBER(Sync!$AF826),Sync!$AF826&gt;=0,Sync!$AF826&lt;1),RIGHT("00"&amp;HOUR(Sync!$AF826),2)&amp;RIGHT("00"&amp;MINUTE(Sync!$AF826),2),IFERROR(RIGHT("00"&amp;VALUE(LEFT(Sync!$AF826,FIND(":",Sync!$AF826)-1)),2)&amp;RIGHT("00"&amp;VALUE(MID(Sync!$AF826,FIND(":",Sync!$AF826)+1,2)),2),"0000"))))</f>
        <v/>
      </c>
    </row>
    <row r="827" spans="1:14" x14ac:dyDescent="0.2">
      <c r="A827" t="str">
        <f>IF(OR(Calc!$E831="",Calc!$E831="نامعتبر",Calc!$G831=""),"",Calc!$G831)</f>
        <v/>
      </c>
      <c r="B827" t="str">
        <f>IF($A827="","",LEFT(Calc!$E831,4)&amp;MID(Calc!$E831,6,2)&amp;RIGHT(Calc!$E831,2)&amp;Calc!$Q831&amp;"|"&amp;"1"&amp;RIGHT("00000"&amp;822,5))</f>
        <v/>
      </c>
      <c r="C827" t="str">
        <f t="shared" si="60"/>
        <v/>
      </c>
      <c r="D827" t="str">
        <f t="shared" si="61"/>
        <v/>
      </c>
      <c r="F827" t="str">
        <f>IF(Sync!$AH827="","",IF(LEFT(UPPER(TRIM(Sync!$AH827)),2)="SL",UPPER(TRIM(Sync!$AH827)),""))</f>
        <v/>
      </c>
      <c r="G827" t="str">
        <f>IF($F827="","",IF(Sync!$AE827="","",IF(ISNUMBER(Sync!$AE827),IF(AND(Sync!$AE827&gt;=10000101,Sync!$AE827&lt;=99991231),INT(Sync!$AE827/10000),""),IFERROR(VALUE(TRIM(LEFT(Sync!$AE827,FIND("/",Sync!$AE827)-1))),""))))</f>
        <v/>
      </c>
      <c r="H827" t="str">
        <f>IF(OR($F827="",$G827=""),"",IF(ISNUMBER(Sync!$AE827),INT(MOD(Sync!$AE827,10000)/100),IFERROR(VALUE(TRIM(LEFT(MID(Sync!$AE827,FIND("/",Sync!$AE827)+1,20),FIND("/",MID(Sync!$AE827,FIND("/",Sync!$AE827)+1,20))-1))),"")))</f>
        <v/>
      </c>
      <c r="I827" t="str">
        <f>IF(OR($F827="",$G827=""),"",IF(ISNUMBER(Sync!$AE827),MOD(Sync!$AE827,100),IFERROR(VALUE(TRIM(MID(MID(Sync!$AE827,FIND("/",Sync!$AE827)+1,20),FIND("/",MID(Sync!$AE827,FIND("/",Sync!$AE827)+1,20))+1,20))),"")))</f>
        <v/>
      </c>
      <c r="J827" t="str">
        <f t="shared" si="62"/>
        <v/>
      </c>
      <c r="K827" t="str">
        <f>IF(OR($F827="",$J827="",$J827="نامعتبر"),"",LEFT($J827,4)&amp;MID($J827,6,2)&amp;RIGHT($J827,2)&amp;$N827&amp;"|"&amp;"2"&amp;RIGHT("00000"&amp;822,5))</f>
        <v/>
      </c>
      <c r="L827" t="str">
        <f t="shared" si="63"/>
        <v/>
      </c>
      <c r="M827" t="str">
        <f t="shared" si="64"/>
        <v/>
      </c>
      <c r="N827" t="str">
        <f>IF($F827="","",IF(Sync!$AF827="","0000",IF(AND(ISNUMBER(Sync!$AF827),Sync!$AF827&gt;=0,Sync!$AF827&lt;1),RIGHT("00"&amp;HOUR(Sync!$AF827),2)&amp;RIGHT("00"&amp;MINUTE(Sync!$AF827),2),IFERROR(RIGHT("00"&amp;VALUE(LEFT(Sync!$AF827,FIND(":",Sync!$AF827)-1)),2)&amp;RIGHT("00"&amp;VALUE(MID(Sync!$AF827,FIND(":",Sync!$AF827)+1,2)),2),"0000"))))</f>
        <v/>
      </c>
    </row>
    <row r="828" spans="1:14" x14ac:dyDescent="0.2">
      <c r="A828" t="str">
        <f>IF(OR(Calc!$E832="",Calc!$E832="نامعتبر",Calc!$G832=""),"",Calc!$G832)</f>
        <v/>
      </c>
      <c r="B828" t="str">
        <f>IF($A828="","",LEFT(Calc!$E832,4)&amp;MID(Calc!$E832,6,2)&amp;RIGHT(Calc!$E832,2)&amp;Calc!$Q832&amp;"|"&amp;"1"&amp;RIGHT("00000"&amp;823,5))</f>
        <v/>
      </c>
      <c r="C828" t="str">
        <f t="shared" si="60"/>
        <v/>
      </c>
      <c r="D828" t="str">
        <f t="shared" si="61"/>
        <v/>
      </c>
      <c r="F828" t="str">
        <f>IF(Sync!$AH828="","",IF(LEFT(UPPER(TRIM(Sync!$AH828)),2)="SL",UPPER(TRIM(Sync!$AH828)),""))</f>
        <v/>
      </c>
      <c r="G828" t="str">
        <f>IF($F828="","",IF(Sync!$AE828="","",IF(ISNUMBER(Sync!$AE828),IF(AND(Sync!$AE828&gt;=10000101,Sync!$AE828&lt;=99991231),INT(Sync!$AE828/10000),""),IFERROR(VALUE(TRIM(LEFT(Sync!$AE828,FIND("/",Sync!$AE828)-1))),""))))</f>
        <v/>
      </c>
      <c r="H828" t="str">
        <f>IF(OR($F828="",$G828=""),"",IF(ISNUMBER(Sync!$AE828),INT(MOD(Sync!$AE828,10000)/100),IFERROR(VALUE(TRIM(LEFT(MID(Sync!$AE828,FIND("/",Sync!$AE828)+1,20),FIND("/",MID(Sync!$AE828,FIND("/",Sync!$AE828)+1,20))-1))),"")))</f>
        <v/>
      </c>
      <c r="I828" t="str">
        <f>IF(OR($F828="",$G828=""),"",IF(ISNUMBER(Sync!$AE828),MOD(Sync!$AE828,100),IFERROR(VALUE(TRIM(MID(MID(Sync!$AE828,FIND("/",Sync!$AE828)+1,20),FIND("/",MID(Sync!$AE828,FIND("/",Sync!$AE828)+1,20))+1,20))),"")))</f>
        <v/>
      </c>
      <c r="J828" t="str">
        <f t="shared" si="62"/>
        <v/>
      </c>
      <c r="K828" t="str">
        <f>IF(OR($F828="",$J828="",$J828="نامعتبر"),"",LEFT($J828,4)&amp;MID($J828,6,2)&amp;RIGHT($J828,2)&amp;$N828&amp;"|"&amp;"2"&amp;RIGHT("00000"&amp;823,5))</f>
        <v/>
      </c>
      <c r="L828" t="str">
        <f t="shared" si="63"/>
        <v/>
      </c>
      <c r="M828" t="str">
        <f t="shared" si="64"/>
        <v/>
      </c>
      <c r="N828" t="str">
        <f>IF($F828="","",IF(Sync!$AF828="","0000",IF(AND(ISNUMBER(Sync!$AF828),Sync!$AF828&gt;=0,Sync!$AF828&lt;1),RIGHT("00"&amp;HOUR(Sync!$AF828),2)&amp;RIGHT("00"&amp;MINUTE(Sync!$AF828),2),IFERROR(RIGHT("00"&amp;VALUE(LEFT(Sync!$AF828,FIND(":",Sync!$AF828)-1)),2)&amp;RIGHT("00"&amp;VALUE(MID(Sync!$AF828,FIND(":",Sync!$AF828)+1,2)),2),"0000"))))</f>
        <v/>
      </c>
    </row>
    <row r="829" spans="1:14" x14ac:dyDescent="0.2">
      <c r="A829" t="str">
        <f>IF(OR(Calc!$E833="",Calc!$E833="نامعتبر",Calc!$G833=""),"",Calc!$G833)</f>
        <v/>
      </c>
      <c r="B829" t="str">
        <f>IF($A829="","",LEFT(Calc!$E833,4)&amp;MID(Calc!$E833,6,2)&amp;RIGHT(Calc!$E833,2)&amp;Calc!$Q833&amp;"|"&amp;"1"&amp;RIGHT("00000"&amp;824,5))</f>
        <v/>
      </c>
      <c r="C829" t="str">
        <f t="shared" si="60"/>
        <v/>
      </c>
      <c r="D829" t="str">
        <f t="shared" si="61"/>
        <v/>
      </c>
      <c r="F829" t="str">
        <f>IF(Sync!$AH829="","",IF(LEFT(UPPER(TRIM(Sync!$AH829)),2)="SL",UPPER(TRIM(Sync!$AH829)),""))</f>
        <v/>
      </c>
      <c r="G829" t="str">
        <f>IF($F829="","",IF(Sync!$AE829="","",IF(ISNUMBER(Sync!$AE829),IF(AND(Sync!$AE829&gt;=10000101,Sync!$AE829&lt;=99991231),INT(Sync!$AE829/10000),""),IFERROR(VALUE(TRIM(LEFT(Sync!$AE829,FIND("/",Sync!$AE829)-1))),""))))</f>
        <v/>
      </c>
      <c r="H829" t="str">
        <f>IF(OR($F829="",$G829=""),"",IF(ISNUMBER(Sync!$AE829),INT(MOD(Sync!$AE829,10000)/100),IFERROR(VALUE(TRIM(LEFT(MID(Sync!$AE829,FIND("/",Sync!$AE829)+1,20),FIND("/",MID(Sync!$AE829,FIND("/",Sync!$AE829)+1,20))-1))),"")))</f>
        <v/>
      </c>
      <c r="I829" t="str">
        <f>IF(OR($F829="",$G829=""),"",IF(ISNUMBER(Sync!$AE829),MOD(Sync!$AE829,100),IFERROR(VALUE(TRIM(MID(MID(Sync!$AE829,FIND("/",Sync!$AE829)+1,20),FIND("/",MID(Sync!$AE829,FIND("/",Sync!$AE829)+1,20))+1,20))),"")))</f>
        <v/>
      </c>
      <c r="J829" t="str">
        <f t="shared" si="62"/>
        <v/>
      </c>
      <c r="K829" t="str">
        <f>IF(OR($F829="",$J829="",$J829="نامعتبر"),"",LEFT($J829,4)&amp;MID($J829,6,2)&amp;RIGHT($J829,2)&amp;$N829&amp;"|"&amp;"2"&amp;RIGHT("00000"&amp;824,5))</f>
        <v/>
      </c>
      <c r="L829" t="str">
        <f t="shared" si="63"/>
        <v/>
      </c>
      <c r="M829" t="str">
        <f t="shared" si="64"/>
        <v/>
      </c>
      <c r="N829" t="str">
        <f>IF($F829="","",IF(Sync!$AF829="","0000",IF(AND(ISNUMBER(Sync!$AF829),Sync!$AF829&gt;=0,Sync!$AF829&lt;1),RIGHT("00"&amp;HOUR(Sync!$AF829),2)&amp;RIGHT("00"&amp;MINUTE(Sync!$AF829),2),IFERROR(RIGHT("00"&amp;VALUE(LEFT(Sync!$AF829,FIND(":",Sync!$AF829)-1)),2)&amp;RIGHT("00"&amp;VALUE(MID(Sync!$AF829,FIND(":",Sync!$AF829)+1,2)),2),"0000"))))</f>
        <v/>
      </c>
    </row>
    <row r="830" spans="1:14" x14ac:dyDescent="0.2">
      <c r="A830" t="str">
        <f>IF(OR(Calc!$E834="",Calc!$E834="نامعتبر",Calc!$G834=""),"",Calc!$G834)</f>
        <v/>
      </c>
      <c r="B830" t="str">
        <f>IF($A830="","",LEFT(Calc!$E834,4)&amp;MID(Calc!$E834,6,2)&amp;RIGHT(Calc!$E834,2)&amp;Calc!$Q834&amp;"|"&amp;"1"&amp;RIGHT("00000"&amp;825,5))</f>
        <v/>
      </c>
      <c r="C830" t="str">
        <f t="shared" si="60"/>
        <v/>
      </c>
      <c r="D830" t="str">
        <f t="shared" si="61"/>
        <v/>
      </c>
      <c r="F830" t="str">
        <f>IF(Sync!$AH830="","",IF(LEFT(UPPER(TRIM(Sync!$AH830)),2)="SL",UPPER(TRIM(Sync!$AH830)),""))</f>
        <v/>
      </c>
      <c r="G830" t="str">
        <f>IF($F830="","",IF(Sync!$AE830="","",IF(ISNUMBER(Sync!$AE830),IF(AND(Sync!$AE830&gt;=10000101,Sync!$AE830&lt;=99991231),INT(Sync!$AE830/10000),""),IFERROR(VALUE(TRIM(LEFT(Sync!$AE830,FIND("/",Sync!$AE830)-1))),""))))</f>
        <v/>
      </c>
      <c r="H830" t="str">
        <f>IF(OR($F830="",$G830=""),"",IF(ISNUMBER(Sync!$AE830),INT(MOD(Sync!$AE830,10000)/100),IFERROR(VALUE(TRIM(LEFT(MID(Sync!$AE830,FIND("/",Sync!$AE830)+1,20),FIND("/",MID(Sync!$AE830,FIND("/",Sync!$AE830)+1,20))-1))),"")))</f>
        <v/>
      </c>
      <c r="I830" t="str">
        <f>IF(OR($F830="",$G830=""),"",IF(ISNUMBER(Sync!$AE830),MOD(Sync!$AE830,100),IFERROR(VALUE(TRIM(MID(MID(Sync!$AE830,FIND("/",Sync!$AE830)+1,20),FIND("/",MID(Sync!$AE830,FIND("/",Sync!$AE830)+1,20))+1,20))),"")))</f>
        <v/>
      </c>
      <c r="J830" t="str">
        <f t="shared" si="62"/>
        <v/>
      </c>
      <c r="K830" t="str">
        <f>IF(OR($F830="",$J830="",$J830="نامعتبر"),"",LEFT($J830,4)&amp;MID($J830,6,2)&amp;RIGHT($J830,2)&amp;$N830&amp;"|"&amp;"2"&amp;RIGHT("00000"&amp;825,5))</f>
        <v/>
      </c>
      <c r="L830" t="str">
        <f t="shared" si="63"/>
        <v/>
      </c>
      <c r="M830" t="str">
        <f t="shared" si="64"/>
        <v/>
      </c>
      <c r="N830" t="str">
        <f>IF($F830="","",IF(Sync!$AF830="","0000",IF(AND(ISNUMBER(Sync!$AF830),Sync!$AF830&gt;=0,Sync!$AF830&lt;1),RIGHT("00"&amp;HOUR(Sync!$AF830),2)&amp;RIGHT("00"&amp;MINUTE(Sync!$AF830),2),IFERROR(RIGHT("00"&amp;VALUE(LEFT(Sync!$AF830,FIND(":",Sync!$AF830)-1)),2)&amp;RIGHT("00"&amp;VALUE(MID(Sync!$AF830,FIND(":",Sync!$AF830)+1,2)),2),"0000"))))</f>
        <v/>
      </c>
    </row>
    <row r="831" spans="1:14" x14ac:dyDescent="0.2">
      <c r="A831" t="str">
        <f>IF(OR(Calc!$E835="",Calc!$E835="نامعتبر",Calc!$G835=""),"",Calc!$G835)</f>
        <v/>
      </c>
      <c r="B831" t="str">
        <f>IF($A831="","",LEFT(Calc!$E835,4)&amp;MID(Calc!$E835,6,2)&amp;RIGHT(Calc!$E835,2)&amp;Calc!$Q835&amp;"|"&amp;"1"&amp;RIGHT("00000"&amp;826,5))</f>
        <v/>
      </c>
      <c r="C831" t="str">
        <f t="shared" si="60"/>
        <v/>
      </c>
      <c r="D831" t="str">
        <f t="shared" si="61"/>
        <v/>
      </c>
      <c r="F831" t="str">
        <f>IF(Sync!$AH831="","",IF(LEFT(UPPER(TRIM(Sync!$AH831)),2)="SL",UPPER(TRIM(Sync!$AH831)),""))</f>
        <v/>
      </c>
      <c r="G831" t="str">
        <f>IF($F831="","",IF(Sync!$AE831="","",IF(ISNUMBER(Sync!$AE831),IF(AND(Sync!$AE831&gt;=10000101,Sync!$AE831&lt;=99991231),INT(Sync!$AE831/10000),""),IFERROR(VALUE(TRIM(LEFT(Sync!$AE831,FIND("/",Sync!$AE831)-1))),""))))</f>
        <v/>
      </c>
      <c r="H831" t="str">
        <f>IF(OR($F831="",$G831=""),"",IF(ISNUMBER(Sync!$AE831),INT(MOD(Sync!$AE831,10000)/100),IFERROR(VALUE(TRIM(LEFT(MID(Sync!$AE831,FIND("/",Sync!$AE831)+1,20),FIND("/",MID(Sync!$AE831,FIND("/",Sync!$AE831)+1,20))-1))),"")))</f>
        <v/>
      </c>
      <c r="I831" t="str">
        <f>IF(OR($F831="",$G831=""),"",IF(ISNUMBER(Sync!$AE831),MOD(Sync!$AE831,100),IFERROR(VALUE(TRIM(MID(MID(Sync!$AE831,FIND("/",Sync!$AE831)+1,20),FIND("/",MID(Sync!$AE831,FIND("/",Sync!$AE831)+1,20))+1,20))),"")))</f>
        <v/>
      </c>
      <c r="J831" t="str">
        <f t="shared" si="62"/>
        <v/>
      </c>
      <c r="K831" t="str">
        <f>IF(OR($F831="",$J831="",$J831="نامعتبر"),"",LEFT($J831,4)&amp;MID($J831,6,2)&amp;RIGHT($J831,2)&amp;$N831&amp;"|"&amp;"2"&amp;RIGHT("00000"&amp;826,5))</f>
        <v/>
      </c>
      <c r="L831" t="str">
        <f t="shared" si="63"/>
        <v/>
      </c>
      <c r="M831" t="str">
        <f t="shared" si="64"/>
        <v/>
      </c>
      <c r="N831" t="str">
        <f>IF($F831="","",IF(Sync!$AF831="","0000",IF(AND(ISNUMBER(Sync!$AF831),Sync!$AF831&gt;=0,Sync!$AF831&lt;1),RIGHT("00"&amp;HOUR(Sync!$AF831),2)&amp;RIGHT("00"&amp;MINUTE(Sync!$AF831),2),IFERROR(RIGHT("00"&amp;VALUE(LEFT(Sync!$AF831,FIND(":",Sync!$AF831)-1)),2)&amp;RIGHT("00"&amp;VALUE(MID(Sync!$AF831,FIND(":",Sync!$AF831)+1,2)),2),"0000"))))</f>
        <v/>
      </c>
    </row>
    <row r="832" spans="1:14" x14ac:dyDescent="0.2">
      <c r="A832" t="str">
        <f>IF(OR(Calc!$E836="",Calc!$E836="نامعتبر",Calc!$G836=""),"",Calc!$G836)</f>
        <v/>
      </c>
      <c r="B832" t="str">
        <f>IF($A832="","",LEFT(Calc!$E836,4)&amp;MID(Calc!$E836,6,2)&amp;RIGHT(Calc!$E836,2)&amp;Calc!$Q836&amp;"|"&amp;"1"&amp;RIGHT("00000"&amp;827,5))</f>
        <v/>
      </c>
      <c r="C832" t="str">
        <f t="shared" si="60"/>
        <v/>
      </c>
      <c r="D832" t="str">
        <f t="shared" si="61"/>
        <v/>
      </c>
      <c r="F832" t="str">
        <f>IF(Sync!$AH832="","",IF(LEFT(UPPER(TRIM(Sync!$AH832)),2)="SL",UPPER(TRIM(Sync!$AH832)),""))</f>
        <v/>
      </c>
      <c r="G832" t="str">
        <f>IF($F832="","",IF(Sync!$AE832="","",IF(ISNUMBER(Sync!$AE832),IF(AND(Sync!$AE832&gt;=10000101,Sync!$AE832&lt;=99991231),INT(Sync!$AE832/10000),""),IFERROR(VALUE(TRIM(LEFT(Sync!$AE832,FIND("/",Sync!$AE832)-1))),""))))</f>
        <v/>
      </c>
      <c r="H832" t="str">
        <f>IF(OR($F832="",$G832=""),"",IF(ISNUMBER(Sync!$AE832),INT(MOD(Sync!$AE832,10000)/100),IFERROR(VALUE(TRIM(LEFT(MID(Sync!$AE832,FIND("/",Sync!$AE832)+1,20),FIND("/",MID(Sync!$AE832,FIND("/",Sync!$AE832)+1,20))-1))),"")))</f>
        <v/>
      </c>
      <c r="I832" t="str">
        <f>IF(OR($F832="",$G832=""),"",IF(ISNUMBER(Sync!$AE832),MOD(Sync!$AE832,100),IFERROR(VALUE(TRIM(MID(MID(Sync!$AE832,FIND("/",Sync!$AE832)+1,20),FIND("/",MID(Sync!$AE832,FIND("/",Sync!$AE832)+1,20))+1,20))),"")))</f>
        <v/>
      </c>
      <c r="J832" t="str">
        <f t="shared" si="62"/>
        <v/>
      </c>
      <c r="K832" t="str">
        <f>IF(OR($F832="",$J832="",$J832="نامعتبر"),"",LEFT($J832,4)&amp;MID($J832,6,2)&amp;RIGHT($J832,2)&amp;$N832&amp;"|"&amp;"2"&amp;RIGHT("00000"&amp;827,5))</f>
        <v/>
      </c>
      <c r="L832" t="str">
        <f t="shared" si="63"/>
        <v/>
      </c>
      <c r="M832" t="str">
        <f t="shared" si="64"/>
        <v/>
      </c>
      <c r="N832" t="str">
        <f>IF($F832="","",IF(Sync!$AF832="","0000",IF(AND(ISNUMBER(Sync!$AF832),Sync!$AF832&gt;=0,Sync!$AF832&lt;1),RIGHT("00"&amp;HOUR(Sync!$AF832),2)&amp;RIGHT("00"&amp;MINUTE(Sync!$AF832),2),IFERROR(RIGHT("00"&amp;VALUE(LEFT(Sync!$AF832,FIND(":",Sync!$AF832)-1)),2)&amp;RIGHT("00"&amp;VALUE(MID(Sync!$AF832,FIND(":",Sync!$AF832)+1,2)),2),"0000"))))</f>
        <v/>
      </c>
    </row>
    <row r="833" spans="1:14" x14ac:dyDescent="0.2">
      <c r="A833" t="str">
        <f>IF(OR(Calc!$E837="",Calc!$E837="نامعتبر",Calc!$G837=""),"",Calc!$G837)</f>
        <v/>
      </c>
      <c r="B833" t="str">
        <f>IF($A833="","",LEFT(Calc!$E837,4)&amp;MID(Calc!$E837,6,2)&amp;RIGHT(Calc!$E837,2)&amp;Calc!$Q837&amp;"|"&amp;"1"&amp;RIGHT("00000"&amp;828,5))</f>
        <v/>
      </c>
      <c r="C833" t="str">
        <f t="shared" si="60"/>
        <v/>
      </c>
      <c r="D833" t="str">
        <f t="shared" si="61"/>
        <v/>
      </c>
      <c r="F833" t="str">
        <f>IF(Sync!$AH833="","",IF(LEFT(UPPER(TRIM(Sync!$AH833)),2)="SL",UPPER(TRIM(Sync!$AH833)),""))</f>
        <v/>
      </c>
      <c r="G833" t="str">
        <f>IF($F833="","",IF(Sync!$AE833="","",IF(ISNUMBER(Sync!$AE833),IF(AND(Sync!$AE833&gt;=10000101,Sync!$AE833&lt;=99991231),INT(Sync!$AE833/10000),""),IFERROR(VALUE(TRIM(LEFT(Sync!$AE833,FIND("/",Sync!$AE833)-1))),""))))</f>
        <v/>
      </c>
      <c r="H833" t="str">
        <f>IF(OR($F833="",$G833=""),"",IF(ISNUMBER(Sync!$AE833),INT(MOD(Sync!$AE833,10000)/100),IFERROR(VALUE(TRIM(LEFT(MID(Sync!$AE833,FIND("/",Sync!$AE833)+1,20),FIND("/",MID(Sync!$AE833,FIND("/",Sync!$AE833)+1,20))-1))),"")))</f>
        <v/>
      </c>
      <c r="I833" t="str">
        <f>IF(OR($F833="",$G833=""),"",IF(ISNUMBER(Sync!$AE833),MOD(Sync!$AE833,100),IFERROR(VALUE(TRIM(MID(MID(Sync!$AE833,FIND("/",Sync!$AE833)+1,20),FIND("/",MID(Sync!$AE833,FIND("/",Sync!$AE833)+1,20))+1,20))),"")))</f>
        <v/>
      </c>
      <c r="J833" t="str">
        <f t="shared" si="62"/>
        <v/>
      </c>
      <c r="K833" t="str">
        <f>IF(OR($F833="",$J833="",$J833="نامعتبر"),"",LEFT($J833,4)&amp;MID($J833,6,2)&amp;RIGHT($J833,2)&amp;$N833&amp;"|"&amp;"2"&amp;RIGHT("00000"&amp;828,5))</f>
        <v/>
      </c>
      <c r="L833" t="str">
        <f t="shared" si="63"/>
        <v/>
      </c>
      <c r="M833" t="str">
        <f t="shared" si="64"/>
        <v/>
      </c>
      <c r="N833" t="str">
        <f>IF($F833="","",IF(Sync!$AF833="","0000",IF(AND(ISNUMBER(Sync!$AF833),Sync!$AF833&gt;=0,Sync!$AF833&lt;1),RIGHT("00"&amp;HOUR(Sync!$AF833),2)&amp;RIGHT("00"&amp;MINUTE(Sync!$AF833),2),IFERROR(RIGHT("00"&amp;VALUE(LEFT(Sync!$AF833,FIND(":",Sync!$AF833)-1)),2)&amp;RIGHT("00"&amp;VALUE(MID(Sync!$AF833,FIND(":",Sync!$AF833)+1,2)),2),"0000"))))</f>
        <v/>
      </c>
    </row>
    <row r="834" spans="1:14" x14ac:dyDescent="0.2">
      <c r="A834" t="str">
        <f>IF(OR(Calc!$E838="",Calc!$E838="نامعتبر",Calc!$G838=""),"",Calc!$G838)</f>
        <v/>
      </c>
      <c r="B834" t="str">
        <f>IF($A834="","",LEFT(Calc!$E838,4)&amp;MID(Calc!$E838,6,2)&amp;RIGHT(Calc!$E838,2)&amp;Calc!$Q838&amp;"|"&amp;"1"&amp;RIGHT("00000"&amp;829,5))</f>
        <v/>
      </c>
      <c r="C834" t="str">
        <f t="shared" si="60"/>
        <v/>
      </c>
      <c r="D834" t="str">
        <f t="shared" si="61"/>
        <v/>
      </c>
      <c r="F834" t="str">
        <f>IF(Sync!$AH834="","",IF(LEFT(UPPER(TRIM(Sync!$AH834)),2)="SL",UPPER(TRIM(Sync!$AH834)),""))</f>
        <v/>
      </c>
      <c r="G834" t="str">
        <f>IF($F834="","",IF(Sync!$AE834="","",IF(ISNUMBER(Sync!$AE834),IF(AND(Sync!$AE834&gt;=10000101,Sync!$AE834&lt;=99991231),INT(Sync!$AE834/10000),""),IFERROR(VALUE(TRIM(LEFT(Sync!$AE834,FIND("/",Sync!$AE834)-1))),""))))</f>
        <v/>
      </c>
      <c r="H834" t="str">
        <f>IF(OR($F834="",$G834=""),"",IF(ISNUMBER(Sync!$AE834),INT(MOD(Sync!$AE834,10000)/100),IFERROR(VALUE(TRIM(LEFT(MID(Sync!$AE834,FIND("/",Sync!$AE834)+1,20),FIND("/",MID(Sync!$AE834,FIND("/",Sync!$AE834)+1,20))-1))),"")))</f>
        <v/>
      </c>
      <c r="I834" t="str">
        <f>IF(OR($F834="",$G834=""),"",IF(ISNUMBER(Sync!$AE834),MOD(Sync!$AE834,100),IFERROR(VALUE(TRIM(MID(MID(Sync!$AE834,FIND("/",Sync!$AE834)+1,20),FIND("/",MID(Sync!$AE834,FIND("/",Sync!$AE834)+1,20))+1,20))),"")))</f>
        <v/>
      </c>
      <c r="J834" t="str">
        <f t="shared" si="62"/>
        <v/>
      </c>
      <c r="K834" t="str">
        <f>IF(OR($F834="",$J834="",$J834="نامعتبر"),"",LEFT($J834,4)&amp;MID($J834,6,2)&amp;RIGHT($J834,2)&amp;$N834&amp;"|"&amp;"2"&amp;RIGHT("00000"&amp;829,5))</f>
        <v/>
      </c>
      <c r="L834" t="str">
        <f t="shared" si="63"/>
        <v/>
      </c>
      <c r="M834" t="str">
        <f t="shared" si="64"/>
        <v/>
      </c>
      <c r="N834" t="str">
        <f>IF($F834="","",IF(Sync!$AF834="","0000",IF(AND(ISNUMBER(Sync!$AF834),Sync!$AF834&gt;=0,Sync!$AF834&lt;1),RIGHT("00"&amp;HOUR(Sync!$AF834),2)&amp;RIGHT("00"&amp;MINUTE(Sync!$AF834),2),IFERROR(RIGHT("00"&amp;VALUE(LEFT(Sync!$AF834,FIND(":",Sync!$AF834)-1)),2)&amp;RIGHT("00"&amp;VALUE(MID(Sync!$AF834,FIND(":",Sync!$AF834)+1,2)),2),"0000"))))</f>
        <v/>
      </c>
    </row>
    <row r="835" spans="1:14" x14ac:dyDescent="0.2">
      <c r="A835" t="str">
        <f>IF(OR(Calc!$E839="",Calc!$E839="نامعتبر",Calc!$G839=""),"",Calc!$G839)</f>
        <v/>
      </c>
      <c r="B835" t="str">
        <f>IF($A835="","",LEFT(Calc!$E839,4)&amp;MID(Calc!$E839,6,2)&amp;RIGHT(Calc!$E839,2)&amp;Calc!$Q839&amp;"|"&amp;"1"&amp;RIGHT("00000"&amp;830,5))</f>
        <v/>
      </c>
      <c r="C835" t="str">
        <f t="shared" si="60"/>
        <v/>
      </c>
      <c r="D835" t="str">
        <f t="shared" si="61"/>
        <v/>
      </c>
      <c r="F835" t="str">
        <f>IF(Sync!$AH835="","",IF(LEFT(UPPER(TRIM(Sync!$AH835)),2)="SL",UPPER(TRIM(Sync!$AH835)),""))</f>
        <v/>
      </c>
      <c r="G835" t="str">
        <f>IF($F835="","",IF(Sync!$AE835="","",IF(ISNUMBER(Sync!$AE835),IF(AND(Sync!$AE835&gt;=10000101,Sync!$AE835&lt;=99991231),INT(Sync!$AE835/10000),""),IFERROR(VALUE(TRIM(LEFT(Sync!$AE835,FIND("/",Sync!$AE835)-1))),""))))</f>
        <v/>
      </c>
      <c r="H835" t="str">
        <f>IF(OR($F835="",$G835=""),"",IF(ISNUMBER(Sync!$AE835),INT(MOD(Sync!$AE835,10000)/100),IFERROR(VALUE(TRIM(LEFT(MID(Sync!$AE835,FIND("/",Sync!$AE835)+1,20),FIND("/",MID(Sync!$AE835,FIND("/",Sync!$AE835)+1,20))-1))),"")))</f>
        <v/>
      </c>
      <c r="I835" t="str">
        <f>IF(OR($F835="",$G835=""),"",IF(ISNUMBER(Sync!$AE835),MOD(Sync!$AE835,100),IFERROR(VALUE(TRIM(MID(MID(Sync!$AE835,FIND("/",Sync!$AE835)+1,20),FIND("/",MID(Sync!$AE835,FIND("/",Sync!$AE835)+1,20))+1,20))),"")))</f>
        <v/>
      </c>
      <c r="J835" t="str">
        <f t="shared" si="62"/>
        <v/>
      </c>
      <c r="K835" t="str">
        <f>IF(OR($F835="",$J835="",$J835="نامعتبر"),"",LEFT($J835,4)&amp;MID($J835,6,2)&amp;RIGHT($J835,2)&amp;$N835&amp;"|"&amp;"2"&amp;RIGHT("00000"&amp;830,5))</f>
        <v/>
      </c>
      <c r="L835" t="str">
        <f t="shared" si="63"/>
        <v/>
      </c>
      <c r="M835" t="str">
        <f t="shared" si="64"/>
        <v/>
      </c>
      <c r="N835" t="str">
        <f>IF($F835="","",IF(Sync!$AF835="","0000",IF(AND(ISNUMBER(Sync!$AF835),Sync!$AF835&gt;=0,Sync!$AF835&lt;1),RIGHT("00"&amp;HOUR(Sync!$AF835),2)&amp;RIGHT("00"&amp;MINUTE(Sync!$AF835),2),IFERROR(RIGHT("00"&amp;VALUE(LEFT(Sync!$AF835,FIND(":",Sync!$AF835)-1)),2)&amp;RIGHT("00"&amp;VALUE(MID(Sync!$AF835,FIND(":",Sync!$AF835)+1,2)),2),"0000"))))</f>
        <v/>
      </c>
    </row>
    <row r="836" spans="1:14" x14ac:dyDescent="0.2">
      <c r="A836" t="str">
        <f>IF(OR(Calc!$E840="",Calc!$E840="نامعتبر",Calc!$G840=""),"",Calc!$G840)</f>
        <v/>
      </c>
      <c r="B836" t="str">
        <f>IF($A836="","",LEFT(Calc!$E840,4)&amp;MID(Calc!$E840,6,2)&amp;RIGHT(Calc!$E840,2)&amp;Calc!$Q840&amp;"|"&amp;"1"&amp;RIGHT("00000"&amp;831,5))</f>
        <v/>
      </c>
      <c r="C836" t="str">
        <f t="shared" si="60"/>
        <v/>
      </c>
      <c r="D836" t="str">
        <f t="shared" si="61"/>
        <v/>
      </c>
      <c r="F836" t="str">
        <f>IF(Sync!$AH836="","",IF(LEFT(UPPER(TRIM(Sync!$AH836)),2)="SL",UPPER(TRIM(Sync!$AH836)),""))</f>
        <v/>
      </c>
      <c r="G836" t="str">
        <f>IF($F836="","",IF(Sync!$AE836="","",IF(ISNUMBER(Sync!$AE836),IF(AND(Sync!$AE836&gt;=10000101,Sync!$AE836&lt;=99991231),INT(Sync!$AE836/10000),""),IFERROR(VALUE(TRIM(LEFT(Sync!$AE836,FIND("/",Sync!$AE836)-1))),""))))</f>
        <v/>
      </c>
      <c r="H836" t="str">
        <f>IF(OR($F836="",$G836=""),"",IF(ISNUMBER(Sync!$AE836),INT(MOD(Sync!$AE836,10000)/100),IFERROR(VALUE(TRIM(LEFT(MID(Sync!$AE836,FIND("/",Sync!$AE836)+1,20),FIND("/",MID(Sync!$AE836,FIND("/",Sync!$AE836)+1,20))-1))),"")))</f>
        <v/>
      </c>
      <c r="I836" t="str">
        <f>IF(OR($F836="",$G836=""),"",IF(ISNUMBER(Sync!$AE836),MOD(Sync!$AE836,100),IFERROR(VALUE(TRIM(MID(MID(Sync!$AE836,FIND("/",Sync!$AE836)+1,20),FIND("/",MID(Sync!$AE836,FIND("/",Sync!$AE836)+1,20))+1,20))),"")))</f>
        <v/>
      </c>
      <c r="J836" t="str">
        <f t="shared" si="62"/>
        <v/>
      </c>
      <c r="K836" t="str">
        <f>IF(OR($F836="",$J836="",$J836="نامعتبر"),"",LEFT($J836,4)&amp;MID($J836,6,2)&amp;RIGHT($J836,2)&amp;$N836&amp;"|"&amp;"2"&amp;RIGHT("00000"&amp;831,5))</f>
        <v/>
      </c>
      <c r="L836" t="str">
        <f t="shared" si="63"/>
        <v/>
      </c>
      <c r="M836" t="str">
        <f t="shared" si="64"/>
        <v/>
      </c>
      <c r="N836" t="str">
        <f>IF($F836="","",IF(Sync!$AF836="","0000",IF(AND(ISNUMBER(Sync!$AF836),Sync!$AF836&gt;=0,Sync!$AF836&lt;1),RIGHT("00"&amp;HOUR(Sync!$AF836),2)&amp;RIGHT("00"&amp;MINUTE(Sync!$AF836),2),IFERROR(RIGHT("00"&amp;VALUE(LEFT(Sync!$AF836,FIND(":",Sync!$AF836)-1)),2)&amp;RIGHT("00"&amp;VALUE(MID(Sync!$AF836,FIND(":",Sync!$AF836)+1,2)),2),"0000"))))</f>
        <v/>
      </c>
    </row>
    <row r="837" spans="1:14" x14ac:dyDescent="0.2">
      <c r="A837" t="str">
        <f>IF(OR(Calc!$E841="",Calc!$E841="نامعتبر",Calc!$G841=""),"",Calc!$G841)</f>
        <v/>
      </c>
      <c r="B837" t="str">
        <f>IF($A837="","",LEFT(Calc!$E841,4)&amp;MID(Calc!$E841,6,2)&amp;RIGHT(Calc!$E841,2)&amp;Calc!$Q841&amp;"|"&amp;"1"&amp;RIGHT("00000"&amp;832,5))</f>
        <v/>
      </c>
      <c r="C837" t="str">
        <f t="shared" si="60"/>
        <v/>
      </c>
      <c r="D837" t="str">
        <f t="shared" si="61"/>
        <v/>
      </c>
      <c r="F837" t="str">
        <f>IF(Sync!$AH837="","",IF(LEFT(UPPER(TRIM(Sync!$AH837)),2)="SL",UPPER(TRIM(Sync!$AH837)),""))</f>
        <v/>
      </c>
      <c r="G837" t="str">
        <f>IF($F837="","",IF(Sync!$AE837="","",IF(ISNUMBER(Sync!$AE837),IF(AND(Sync!$AE837&gt;=10000101,Sync!$AE837&lt;=99991231),INT(Sync!$AE837/10000),""),IFERROR(VALUE(TRIM(LEFT(Sync!$AE837,FIND("/",Sync!$AE837)-1))),""))))</f>
        <v/>
      </c>
      <c r="H837" t="str">
        <f>IF(OR($F837="",$G837=""),"",IF(ISNUMBER(Sync!$AE837),INT(MOD(Sync!$AE837,10000)/100),IFERROR(VALUE(TRIM(LEFT(MID(Sync!$AE837,FIND("/",Sync!$AE837)+1,20),FIND("/",MID(Sync!$AE837,FIND("/",Sync!$AE837)+1,20))-1))),"")))</f>
        <v/>
      </c>
      <c r="I837" t="str">
        <f>IF(OR($F837="",$G837=""),"",IF(ISNUMBER(Sync!$AE837),MOD(Sync!$AE837,100),IFERROR(VALUE(TRIM(MID(MID(Sync!$AE837,FIND("/",Sync!$AE837)+1,20),FIND("/",MID(Sync!$AE837,FIND("/",Sync!$AE837)+1,20))+1,20))),"")))</f>
        <v/>
      </c>
      <c r="J837" t="str">
        <f t="shared" si="62"/>
        <v/>
      </c>
      <c r="K837" t="str">
        <f>IF(OR($F837="",$J837="",$J837="نامعتبر"),"",LEFT($J837,4)&amp;MID($J837,6,2)&amp;RIGHT($J837,2)&amp;$N837&amp;"|"&amp;"2"&amp;RIGHT("00000"&amp;832,5))</f>
        <v/>
      </c>
      <c r="L837" t="str">
        <f t="shared" si="63"/>
        <v/>
      </c>
      <c r="M837" t="str">
        <f t="shared" si="64"/>
        <v/>
      </c>
      <c r="N837" t="str">
        <f>IF($F837="","",IF(Sync!$AF837="","0000",IF(AND(ISNUMBER(Sync!$AF837),Sync!$AF837&gt;=0,Sync!$AF837&lt;1),RIGHT("00"&amp;HOUR(Sync!$AF837),2)&amp;RIGHT("00"&amp;MINUTE(Sync!$AF837),2),IFERROR(RIGHT("00"&amp;VALUE(LEFT(Sync!$AF837,FIND(":",Sync!$AF837)-1)),2)&amp;RIGHT("00"&amp;VALUE(MID(Sync!$AF837,FIND(":",Sync!$AF837)+1,2)),2),"0000"))))</f>
        <v/>
      </c>
    </row>
    <row r="838" spans="1:14" x14ac:dyDescent="0.2">
      <c r="A838" t="str">
        <f>IF(OR(Calc!$E842="",Calc!$E842="نامعتبر",Calc!$G842=""),"",Calc!$G842)</f>
        <v/>
      </c>
      <c r="B838" t="str">
        <f>IF($A838="","",LEFT(Calc!$E842,4)&amp;MID(Calc!$E842,6,2)&amp;RIGHT(Calc!$E842,2)&amp;Calc!$Q842&amp;"|"&amp;"1"&amp;RIGHT("00000"&amp;833,5))</f>
        <v/>
      </c>
      <c r="C838" t="str">
        <f t="shared" ref="C838:C901" si="65">IF($B838="","",COUNTIFS(LdgSellerA,$A838,LdgKeyA,"&lt;"&amp;$B838)+COUNTIFS(LdgSellerB,$A838,LdgKeyB,"&lt;"&amp;$B838)+1)</f>
        <v/>
      </c>
      <c r="D838" t="str">
        <f t="shared" ref="D838:D901" si="66">IF($C838="","",$A838&amp;"|"&amp;RIGHT("000000"&amp;$C838,6))</f>
        <v/>
      </c>
      <c r="F838" t="str">
        <f>IF(Sync!$AH838="","",IF(LEFT(UPPER(TRIM(Sync!$AH838)),2)="SL",UPPER(TRIM(Sync!$AH838)),""))</f>
        <v/>
      </c>
      <c r="G838" t="str">
        <f>IF($F838="","",IF(Sync!$AE838="","",IF(ISNUMBER(Sync!$AE838),IF(AND(Sync!$AE838&gt;=10000101,Sync!$AE838&lt;=99991231),INT(Sync!$AE838/10000),""),IFERROR(VALUE(TRIM(LEFT(Sync!$AE838,FIND("/",Sync!$AE838)-1))),""))))</f>
        <v/>
      </c>
      <c r="H838" t="str">
        <f>IF(OR($F838="",$G838=""),"",IF(ISNUMBER(Sync!$AE838),INT(MOD(Sync!$AE838,10000)/100),IFERROR(VALUE(TRIM(LEFT(MID(Sync!$AE838,FIND("/",Sync!$AE838)+1,20),FIND("/",MID(Sync!$AE838,FIND("/",Sync!$AE838)+1,20))-1))),"")))</f>
        <v/>
      </c>
      <c r="I838" t="str">
        <f>IF(OR($F838="",$G838=""),"",IF(ISNUMBER(Sync!$AE838),MOD(Sync!$AE838,100),IFERROR(VALUE(TRIM(MID(MID(Sync!$AE838,FIND("/",Sync!$AE838)+1,20),FIND("/",MID(Sync!$AE838,FIND("/",Sync!$AE838)+1,20))+1,20))),"")))</f>
        <v/>
      </c>
      <c r="J838" t="str">
        <f t="shared" ref="J838:J901" si="67">IF($F838="","",IF(OR($G838="",$H838="",$I838="",$G838&lt;1300,$G838&gt;1500,$H838&lt;1,$H838&gt;12,$I838&lt;1,$I838&gt;31),"نامعتبر",RIGHT("0000"&amp;$G838,4)&amp;"/"&amp;RIGHT("00"&amp;$H838,2)&amp;"/"&amp;RIGHT("00"&amp;$I838,2)))</f>
        <v/>
      </c>
      <c r="K838" t="str">
        <f>IF(OR($F838="",$J838="",$J838="نامعتبر"),"",LEFT($J838,4)&amp;MID($J838,6,2)&amp;RIGHT($J838,2)&amp;$N838&amp;"|"&amp;"2"&amp;RIGHT("00000"&amp;833,5))</f>
        <v/>
      </c>
      <c r="L838" t="str">
        <f t="shared" ref="L838:L901" si="68">IF($K838="","",COUNTIFS(LdgSellerA,$F838,LdgKeyA,"&lt;"&amp;$K838)+COUNTIFS(LdgSellerB,$F838,LdgKeyB,"&lt;"&amp;$K838)+1)</f>
        <v/>
      </c>
      <c r="M838" t="str">
        <f t="shared" ref="M838:M901" si="69">IF($L838="","",$F838&amp;"|"&amp;RIGHT("000000"&amp;$L838,6))</f>
        <v/>
      </c>
      <c r="N838" t="str">
        <f>IF($F838="","",IF(Sync!$AF838="","0000",IF(AND(ISNUMBER(Sync!$AF838),Sync!$AF838&gt;=0,Sync!$AF838&lt;1),RIGHT("00"&amp;HOUR(Sync!$AF838),2)&amp;RIGHT("00"&amp;MINUTE(Sync!$AF838),2),IFERROR(RIGHT("00"&amp;VALUE(LEFT(Sync!$AF838,FIND(":",Sync!$AF838)-1)),2)&amp;RIGHT("00"&amp;VALUE(MID(Sync!$AF838,FIND(":",Sync!$AF838)+1,2)),2),"0000"))))</f>
        <v/>
      </c>
    </row>
    <row r="839" spans="1:14" x14ac:dyDescent="0.2">
      <c r="A839" t="str">
        <f>IF(OR(Calc!$E843="",Calc!$E843="نامعتبر",Calc!$G843=""),"",Calc!$G843)</f>
        <v/>
      </c>
      <c r="B839" t="str">
        <f>IF($A839="","",LEFT(Calc!$E843,4)&amp;MID(Calc!$E843,6,2)&amp;RIGHT(Calc!$E843,2)&amp;Calc!$Q843&amp;"|"&amp;"1"&amp;RIGHT("00000"&amp;834,5))</f>
        <v/>
      </c>
      <c r="C839" t="str">
        <f t="shared" si="65"/>
        <v/>
      </c>
      <c r="D839" t="str">
        <f t="shared" si="66"/>
        <v/>
      </c>
      <c r="F839" t="str">
        <f>IF(Sync!$AH839="","",IF(LEFT(UPPER(TRIM(Sync!$AH839)),2)="SL",UPPER(TRIM(Sync!$AH839)),""))</f>
        <v/>
      </c>
      <c r="G839" t="str">
        <f>IF($F839="","",IF(Sync!$AE839="","",IF(ISNUMBER(Sync!$AE839),IF(AND(Sync!$AE839&gt;=10000101,Sync!$AE839&lt;=99991231),INT(Sync!$AE839/10000),""),IFERROR(VALUE(TRIM(LEFT(Sync!$AE839,FIND("/",Sync!$AE839)-1))),""))))</f>
        <v/>
      </c>
      <c r="H839" t="str">
        <f>IF(OR($F839="",$G839=""),"",IF(ISNUMBER(Sync!$AE839),INT(MOD(Sync!$AE839,10000)/100),IFERROR(VALUE(TRIM(LEFT(MID(Sync!$AE839,FIND("/",Sync!$AE839)+1,20),FIND("/",MID(Sync!$AE839,FIND("/",Sync!$AE839)+1,20))-1))),"")))</f>
        <v/>
      </c>
      <c r="I839" t="str">
        <f>IF(OR($F839="",$G839=""),"",IF(ISNUMBER(Sync!$AE839),MOD(Sync!$AE839,100),IFERROR(VALUE(TRIM(MID(MID(Sync!$AE839,FIND("/",Sync!$AE839)+1,20),FIND("/",MID(Sync!$AE839,FIND("/",Sync!$AE839)+1,20))+1,20))),"")))</f>
        <v/>
      </c>
      <c r="J839" t="str">
        <f t="shared" si="67"/>
        <v/>
      </c>
      <c r="K839" t="str">
        <f>IF(OR($F839="",$J839="",$J839="نامعتبر"),"",LEFT($J839,4)&amp;MID($J839,6,2)&amp;RIGHT($J839,2)&amp;$N839&amp;"|"&amp;"2"&amp;RIGHT("00000"&amp;834,5))</f>
        <v/>
      </c>
      <c r="L839" t="str">
        <f t="shared" si="68"/>
        <v/>
      </c>
      <c r="M839" t="str">
        <f t="shared" si="69"/>
        <v/>
      </c>
      <c r="N839" t="str">
        <f>IF($F839="","",IF(Sync!$AF839="","0000",IF(AND(ISNUMBER(Sync!$AF839),Sync!$AF839&gt;=0,Sync!$AF839&lt;1),RIGHT("00"&amp;HOUR(Sync!$AF839),2)&amp;RIGHT("00"&amp;MINUTE(Sync!$AF839),2),IFERROR(RIGHT("00"&amp;VALUE(LEFT(Sync!$AF839,FIND(":",Sync!$AF839)-1)),2)&amp;RIGHT("00"&amp;VALUE(MID(Sync!$AF839,FIND(":",Sync!$AF839)+1,2)),2),"0000"))))</f>
        <v/>
      </c>
    </row>
    <row r="840" spans="1:14" x14ac:dyDescent="0.2">
      <c r="A840" t="str">
        <f>IF(OR(Calc!$E844="",Calc!$E844="نامعتبر",Calc!$G844=""),"",Calc!$G844)</f>
        <v/>
      </c>
      <c r="B840" t="str">
        <f>IF($A840="","",LEFT(Calc!$E844,4)&amp;MID(Calc!$E844,6,2)&amp;RIGHT(Calc!$E844,2)&amp;Calc!$Q844&amp;"|"&amp;"1"&amp;RIGHT("00000"&amp;835,5))</f>
        <v/>
      </c>
      <c r="C840" t="str">
        <f t="shared" si="65"/>
        <v/>
      </c>
      <c r="D840" t="str">
        <f t="shared" si="66"/>
        <v/>
      </c>
      <c r="F840" t="str">
        <f>IF(Sync!$AH840="","",IF(LEFT(UPPER(TRIM(Sync!$AH840)),2)="SL",UPPER(TRIM(Sync!$AH840)),""))</f>
        <v/>
      </c>
      <c r="G840" t="str">
        <f>IF($F840="","",IF(Sync!$AE840="","",IF(ISNUMBER(Sync!$AE840),IF(AND(Sync!$AE840&gt;=10000101,Sync!$AE840&lt;=99991231),INT(Sync!$AE840/10000),""),IFERROR(VALUE(TRIM(LEFT(Sync!$AE840,FIND("/",Sync!$AE840)-1))),""))))</f>
        <v/>
      </c>
      <c r="H840" t="str">
        <f>IF(OR($F840="",$G840=""),"",IF(ISNUMBER(Sync!$AE840),INT(MOD(Sync!$AE840,10000)/100),IFERROR(VALUE(TRIM(LEFT(MID(Sync!$AE840,FIND("/",Sync!$AE840)+1,20),FIND("/",MID(Sync!$AE840,FIND("/",Sync!$AE840)+1,20))-1))),"")))</f>
        <v/>
      </c>
      <c r="I840" t="str">
        <f>IF(OR($F840="",$G840=""),"",IF(ISNUMBER(Sync!$AE840),MOD(Sync!$AE840,100),IFERROR(VALUE(TRIM(MID(MID(Sync!$AE840,FIND("/",Sync!$AE840)+1,20),FIND("/",MID(Sync!$AE840,FIND("/",Sync!$AE840)+1,20))+1,20))),"")))</f>
        <v/>
      </c>
      <c r="J840" t="str">
        <f t="shared" si="67"/>
        <v/>
      </c>
      <c r="K840" t="str">
        <f>IF(OR($F840="",$J840="",$J840="نامعتبر"),"",LEFT($J840,4)&amp;MID($J840,6,2)&amp;RIGHT($J840,2)&amp;$N840&amp;"|"&amp;"2"&amp;RIGHT("00000"&amp;835,5))</f>
        <v/>
      </c>
      <c r="L840" t="str">
        <f t="shared" si="68"/>
        <v/>
      </c>
      <c r="M840" t="str">
        <f t="shared" si="69"/>
        <v/>
      </c>
      <c r="N840" t="str">
        <f>IF($F840="","",IF(Sync!$AF840="","0000",IF(AND(ISNUMBER(Sync!$AF840),Sync!$AF840&gt;=0,Sync!$AF840&lt;1),RIGHT("00"&amp;HOUR(Sync!$AF840),2)&amp;RIGHT("00"&amp;MINUTE(Sync!$AF840),2),IFERROR(RIGHT("00"&amp;VALUE(LEFT(Sync!$AF840,FIND(":",Sync!$AF840)-1)),2)&amp;RIGHT("00"&amp;VALUE(MID(Sync!$AF840,FIND(":",Sync!$AF840)+1,2)),2),"0000"))))</f>
        <v/>
      </c>
    </row>
    <row r="841" spans="1:14" x14ac:dyDescent="0.2">
      <c r="A841" t="str">
        <f>IF(OR(Calc!$E845="",Calc!$E845="نامعتبر",Calc!$G845=""),"",Calc!$G845)</f>
        <v/>
      </c>
      <c r="B841" t="str">
        <f>IF($A841="","",LEFT(Calc!$E845,4)&amp;MID(Calc!$E845,6,2)&amp;RIGHT(Calc!$E845,2)&amp;Calc!$Q845&amp;"|"&amp;"1"&amp;RIGHT("00000"&amp;836,5))</f>
        <v/>
      </c>
      <c r="C841" t="str">
        <f t="shared" si="65"/>
        <v/>
      </c>
      <c r="D841" t="str">
        <f t="shared" si="66"/>
        <v/>
      </c>
      <c r="F841" t="str">
        <f>IF(Sync!$AH841="","",IF(LEFT(UPPER(TRIM(Sync!$AH841)),2)="SL",UPPER(TRIM(Sync!$AH841)),""))</f>
        <v/>
      </c>
      <c r="G841" t="str">
        <f>IF($F841="","",IF(Sync!$AE841="","",IF(ISNUMBER(Sync!$AE841),IF(AND(Sync!$AE841&gt;=10000101,Sync!$AE841&lt;=99991231),INT(Sync!$AE841/10000),""),IFERROR(VALUE(TRIM(LEFT(Sync!$AE841,FIND("/",Sync!$AE841)-1))),""))))</f>
        <v/>
      </c>
      <c r="H841" t="str">
        <f>IF(OR($F841="",$G841=""),"",IF(ISNUMBER(Sync!$AE841),INT(MOD(Sync!$AE841,10000)/100),IFERROR(VALUE(TRIM(LEFT(MID(Sync!$AE841,FIND("/",Sync!$AE841)+1,20),FIND("/",MID(Sync!$AE841,FIND("/",Sync!$AE841)+1,20))-1))),"")))</f>
        <v/>
      </c>
      <c r="I841" t="str">
        <f>IF(OR($F841="",$G841=""),"",IF(ISNUMBER(Sync!$AE841),MOD(Sync!$AE841,100),IFERROR(VALUE(TRIM(MID(MID(Sync!$AE841,FIND("/",Sync!$AE841)+1,20),FIND("/",MID(Sync!$AE841,FIND("/",Sync!$AE841)+1,20))+1,20))),"")))</f>
        <v/>
      </c>
      <c r="J841" t="str">
        <f t="shared" si="67"/>
        <v/>
      </c>
      <c r="K841" t="str">
        <f>IF(OR($F841="",$J841="",$J841="نامعتبر"),"",LEFT($J841,4)&amp;MID($J841,6,2)&amp;RIGHT($J841,2)&amp;$N841&amp;"|"&amp;"2"&amp;RIGHT("00000"&amp;836,5))</f>
        <v/>
      </c>
      <c r="L841" t="str">
        <f t="shared" si="68"/>
        <v/>
      </c>
      <c r="M841" t="str">
        <f t="shared" si="69"/>
        <v/>
      </c>
      <c r="N841" t="str">
        <f>IF($F841="","",IF(Sync!$AF841="","0000",IF(AND(ISNUMBER(Sync!$AF841),Sync!$AF841&gt;=0,Sync!$AF841&lt;1),RIGHT("00"&amp;HOUR(Sync!$AF841),2)&amp;RIGHT("00"&amp;MINUTE(Sync!$AF841),2),IFERROR(RIGHT("00"&amp;VALUE(LEFT(Sync!$AF841,FIND(":",Sync!$AF841)-1)),2)&amp;RIGHT("00"&amp;VALUE(MID(Sync!$AF841,FIND(":",Sync!$AF841)+1,2)),2),"0000"))))</f>
        <v/>
      </c>
    </row>
    <row r="842" spans="1:14" x14ac:dyDescent="0.2">
      <c r="A842" t="str">
        <f>IF(OR(Calc!$E846="",Calc!$E846="نامعتبر",Calc!$G846=""),"",Calc!$G846)</f>
        <v/>
      </c>
      <c r="B842" t="str">
        <f>IF($A842="","",LEFT(Calc!$E846,4)&amp;MID(Calc!$E846,6,2)&amp;RIGHT(Calc!$E846,2)&amp;Calc!$Q846&amp;"|"&amp;"1"&amp;RIGHT("00000"&amp;837,5))</f>
        <v/>
      </c>
      <c r="C842" t="str">
        <f t="shared" si="65"/>
        <v/>
      </c>
      <c r="D842" t="str">
        <f t="shared" si="66"/>
        <v/>
      </c>
      <c r="F842" t="str">
        <f>IF(Sync!$AH842="","",IF(LEFT(UPPER(TRIM(Sync!$AH842)),2)="SL",UPPER(TRIM(Sync!$AH842)),""))</f>
        <v/>
      </c>
      <c r="G842" t="str">
        <f>IF($F842="","",IF(Sync!$AE842="","",IF(ISNUMBER(Sync!$AE842),IF(AND(Sync!$AE842&gt;=10000101,Sync!$AE842&lt;=99991231),INT(Sync!$AE842/10000),""),IFERROR(VALUE(TRIM(LEFT(Sync!$AE842,FIND("/",Sync!$AE842)-1))),""))))</f>
        <v/>
      </c>
      <c r="H842" t="str">
        <f>IF(OR($F842="",$G842=""),"",IF(ISNUMBER(Sync!$AE842),INT(MOD(Sync!$AE842,10000)/100),IFERROR(VALUE(TRIM(LEFT(MID(Sync!$AE842,FIND("/",Sync!$AE842)+1,20),FIND("/",MID(Sync!$AE842,FIND("/",Sync!$AE842)+1,20))-1))),"")))</f>
        <v/>
      </c>
      <c r="I842" t="str">
        <f>IF(OR($F842="",$G842=""),"",IF(ISNUMBER(Sync!$AE842),MOD(Sync!$AE842,100),IFERROR(VALUE(TRIM(MID(MID(Sync!$AE842,FIND("/",Sync!$AE842)+1,20),FIND("/",MID(Sync!$AE842,FIND("/",Sync!$AE842)+1,20))+1,20))),"")))</f>
        <v/>
      </c>
      <c r="J842" t="str">
        <f t="shared" si="67"/>
        <v/>
      </c>
      <c r="K842" t="str">
        <f>IF(OR($F842="",$J842="",$J842="نامعتبر"),"",LEFT($J842,4)&amp;MID($J842,6,2)&amp;RIGHT($J842,2)&amp;$N842&amp;"|"&amp;"2"&amp;RIGHT("00000"&amp;837,5))</f>
        <v/>
      </c>
      <c r="L842" t="str">
        <f t="shared" si="68"/>
        <v/>
      </c>
      <c r="M842" t="str">
        <f t="shared" si="69"/>
        <v/>
      </c>
      <c r="N842" t="str">
        <f>IF($F842="","",IF(Sync!$AF842="","0000",IF(AND(ISNUMBER(Sync!$AF842),Sync!$AF842&gt;=0,Sync!$AF842&lt;1),RIGHT("00"&amp;HOUR(Sync!$AF842),2)&amp;RIGHT("00"&amp;MINUTE(Sync!$AF842),2),IFERROR(RIGHT("00"&amp;VALUE(LEFT(Sync!$AF842,FIND(":",Sync!$AF842)-1)),2)&amp;RIGHT("00"&amp;VALUE(MID(Sync!$AF842,FIND(":",Sync!$AF842)+1,2)),2),"0000"))))</f>
        <v/>
      </c>
    </row>
    <row r="843" spans="1:14" x14ac:dyDescent="0.2">
      <c r="A843" t="str">
        <f>IF(OR(Calc!$E847="",Calc!$E847="نامعتبر",Calc!$G847=""),"",Calc!$G847)</f>
        <v/>
      </c>
      <c r="B843" t="str">
        <f>IF($A843="","",LEFT(Calc!$E847,4)&amp;MID(Calc!$E847,6,2)&amp;RIGHT(Calc!$E847,2)&amp;Calc!$Q847&amp;"|"&amp;"1"&amp;RIGHT("00000"&amp;838,5))</f>
        <v/>
      </c>
      <c r="C843" t="str">
        <f t="shared" si="65"/>
        <v/>
      </c>
      <c r="D843" t="str">
        <f t="shared" si="66"/>
        <v/>
      </c>
      <c r="F843" t="str">
        <f>IF(Sync!$AH843="","",IF(LEFT(UPPER(TRIM(Sync!$AH843)),2)="SL",UPPER(TRIM(Sync!$AH843)),""))</f>
        <v/>
      </c>
      <c r="G843" t="str">
        <f>IF($F843="","",IF(Sync!$AE843="","",IF(ISNUMBER(Sync!$AE843),IF(AND(Sync!$AE843&gt;=10000101,Sync!$AE843&lt;=99991231),INT(Sync!$AE843/10000),""),IFERROR(VALUE(TRIM(LEFT(Sync!$AE843,FIND("/",Sync!$AE843)-1))),""))))</f>
        <v/>
      </c>
      <c r="H843" t="str">
        <f>IF(OR($F843="",$G843=""),"",IF(ISNUMBER(Sync!$AE843),INT(MOD(Sync!$AE843,10000)/100),IFERROR(VALUE(TRIM(LEFT(MID(Sync!$AE843,FIND("/",Sync!$AE843)+1,20),FIND("/",MID(Sync!$AE843,FIND("/",Sync!$AE843)+1,20))-1))),"")))</f>
        <v/>
      </c>
      <c r="I843" t="str">
        <f>IF(OR($F843="",$G843=""),"",IF(ISNUMBER(Sync!$AE843),MOD(Sync!$AE843,100),IFERROR(VALUE(TRIM(MID(MID(Sync!$AE843,FIND("/",Sync!$AE843)+1,20),FIND("/",MID(Sync!$AE843,FIND("/",Sync!$AE843)+1,20))+1,20))),"")))</f>
        <v/>
      </c>
      <c r="J843" t="str">
        <f t="shared" si="67"/>
        <v/>
      </c>
      <c r="K843" t="str">
        <f>IF(OR($F843="",$J843="",$J843="نامعتبر"),"",LEFT($J843,4)&amp;MID($J843,6,2)&amp;RIGHT($J843,2)&amp;$N843&amp;"|"&amp;"2"&amp;RIGHT("00000"&amp;838,5))</f>
        <v/>
      </c>
      <c r="L843" t="str">
        <f t="shared" si="68"/>
        <v/>
      </c>
      <c r="M843" t="str">
        <f t="shared" si="69"/>
        <v/>
      </c>
      <c r="N843" t="str">
        <f>IF($F843="","",IF(Sync!$AF843="","0000",IF(AND(ISNUMBER(Sync!$AF843),Sync!$AF843&gt;=0,Sync!$AF843&lt;1),RIGHT("00"&amp;HOUR(Sync!$AF843),2)&amp;RIGHT("00"&amp;MINUTE(Sync!$AF843),2),IFERROR(RIGHT("00"&amp;VALUE(LEFT(Sync!$AF843,FIND(":",Sync!$AF843)-1)),2)&amp;RIGHT("00"&amp;VALUE(MID(Sync!$AF843,FIND(":",Sync!$AF843)+1,2)),2),"0000"))))</f>
        <v/>
      </c>
    </row>
    <row r="844" spans="1:14" x14ac:dyDescent="0.2">
      <c r="A844" t="str">
        <f>IF(OR(Calc!$E848="",Calc!$E848="نامعتبر",Calc!$G848=""),"",Calc!$G848)</f>
        <v/>
      </c>
      <c r="B844" t="str">
        <f>IF($A844="","",LEFT(Calc!$E848,4)&amp;MID(Calc!$E848,6,2)&amp;RIGHT(Calc!$E848,2)&amp;Calc!$Q848&amp;"|"&amp;"1"&amp;RIGHT("00000"&amp;839,5))</f>
        <v/>
      </c>
      <c r="C844" t="str">
        <f t="shared" si="65"/>
        <v/>
      </c>
      <c r="D844" t="str">
        <f t="shared" si="66"/>
        <v/>
      </c>
      <c r="F844" t="str">
        <f>IF(Sync!$AH844="","",IF(LEFT(UPPER(TRIM(Sync!$AH844)),2)="SL",UPPER(TRIM(Sync!$AH844)),""))</f>
        <v/>
      </c>
      <c r="G844" t="str">
        <f>IF($F844="","",IF(Sync!$AE844="","",IF(ISNUMBER(Sync!$AE844),IF(AND(Sync!$AE844&gt;=10000101,Sync!$AE844&lt;=99991231),INT(Sync!$AE844/10000),""),IFERROR(VALUE(TRIM(LEFT(Sync!$AE844,FIND("/",Sync!$AE844)-1))),""))))</f>
        <v/>
      </c>
      <c r="H844" t="str">
        <f>IF(OR($F844="",$G844=""),"",IF(ISNUMBER(Sync!$AE844),INT(MOD(Sync!$AE844,10000)/100),IFERROR(VALUE(TRIM(LEFT(MID(Sync!$AE844,FIND("/",Sync!$AE844)+1,20),FIND("/",MID(Sync!$AE844,FIND("/",Sync!$AE844)+1,20))-1))),"")))</f>
        <v/>
      </c>
      <c r="I844" t="str">
        <f>IF(OR($F844="",$G844=""),"",IF(ISNUMBER(Sync!$AE844),MOD(Sync!$AE844,100),IFERROR(VALUE(TRIM(MID(MID(Sync!$AE844,FIND("/",Sync!$AE844)+1,20),FIND("/",MID(Sync!$AE844,FIND("/",Sync!$AE844)+1,20))+1,20))),"")))</f>
        <v/>
      </c>
      <c r="J844" t="str">
        <f t="shared" si="67"/>
        <v/>
      </c>
      <c r="K844" t="str">
        <f>IF(OR($F844="",$J844="",$J844="نامعتبر"),"",LEFT($J844,4)&amp;MID($J844,6,2)&amp;RIGHT($J844,2)&amp;$N844&amp;"|"&amp;"2"&amp;RIGHT("00000"&amp;839,5))</f>
        <v/>
      </c>
      <c r="L844" t="str">
        <f t="shared" si="68"/>
        <v/>
      </c>
      <c r="M844" t="str">
        <f t="shared" si="69"/>
        <v/>
      </c>
      <c r="N844" t="str">
        <f>IF($F844="","",IF(Sync!$AF844="","0000",IF(AND(ISNUMBER(Sync!$AF844),Sync!$AF844&gt;=0,Sync!$AF844&lt;1),RIGHT("00"&amp;HOUR(Sync!$AF844),2)&amp;RIGHT("00"&amp;MINUTE(Sync!$AF844),2),IFERROR(RIGHT("00"&amp;VALUE(LEFT(Sync!$AF844,FIND(":",Sync!$AF844)-1)),2)&amp;RIGHT("00"&amp;VALUE(MID(Sync!$AF844,FIND(":",Sync!$AF844)+1,2)),2),"0000"))))</f>
        <v/>
      </c>
    </row>
    <row r="845" spans="1:14" x14ac:dyDescent="0.2">
      <c r="A845" t="str">
        <f>IF(OR(Calc!$E849="",Calc!$E849="نامعتبر",Calc!$G849=""),"",Calc!$G849)</f>
        <v/>
      </c>
      <c r="B845" t="str">
        <f>IF($A845="","",LEFT(Calc!$E849,4)&amp;MID(Calc!$E849,6,2)&amp;RIGHT(Calc!$E849,2)&amp;Calc!$Q849&amp;"|"&amp;"1"&amp;RIGHT("00000"&amp;840,5))</f>
        <v/>
      </c>
      <c r="C845" t="str">
        <f t="shared" si="65"/>
        <v/>
      </c>
      <c r="D845" t="str">
        <f t="shared" si="66"/>
        <v/>
      </c>
      <c r="F845" t="str">
        <f>IF(Sync!$AH845="","",IF(LEFT(UPPER(TRIM(Sync!$AH845)),2)="SL",UPPER(TRIM(Sync!$AH845)),""))</f>
        <v/>
      </c>
      <c r="G845" t="str">
        <f>IF($F845="","",IF(Sync!$AE845="","",IF(ISNUMBER(Sync!$AE845),IF(AND(Sync!$AE845&gt;=10000101,Sync!$AE845&lt;=99991231),INT(Sync!$AE845/10000),""),IFERROR(VALUE(TRIM(LEFT(Sync!$AE845,FIND("/",Sync!$AE845)-1))),""))))</f>
        <v/>
      </c>
      <c r="H845" t="str">
        <f>IF(OR($F845="",$G845=""),"",IF(ISNUMBER(Sync!$AE845),INT(MOD(Sync!$AE845,10000)/100),IFERROR(VALUE(TRIM(LEFT(MID(Sync!$AE845,FIND("/",Sync!$AE845)+1,20),FIND("/",MID(Sync!$AE845,FIND("/",Sync!$AE845)+1,20))-1))),"")))</f>
        <v/>
      </c>
      <c r="I845" t="str">
        <f>IF(OR($F845="",$G845=""),"",IF(ISNUMBER(Sync!$AE845),MOD(Sync!$AE845,100),IFERROR(VALUE(TRIM(MID(MID(Sync!$AE845,FIND("/",Sync!$AE845)+1,20),FIND("/",MID(Sync!$AE845,FIND("/",Sync!$AE845)+1,20))+1,20))),"")))</f>
        <v/>
      </c>
      <c r="J845" t="str">
        <f t="shared" si="67"/>
        <v/>
      </c>
      <c r="K845" t="str">
        <f>IF(OR($F845="",$J845="",$J845="نامعتبر"),"",LEFT($J845,4)&amp;MID($J845,6,2)&amp;RIGHT($J845,2)&amp;$N845&amp;"|"&amp;"2"&amp;RIGHT("00000"&amp;840,5))</f>
        <v/>
      </c>
      <c r="L845" t="str">
        <f t="shared" si="68"/>
        <v/>
      </c>
      <c r="M845" t="str">
        <f t="shared" si="69"/>
        <v/>
      </c>
      <c r="N845" t="str">
        <f>IF($F845="","",IF(Sync!$AF845="","0000",IF(AND(ISNUMBER(Sync!$AF845),Sync!$AF845&gt;=0,Sync!$AF845&lt;1),RIGHT("00"&amp;HOUR(Sync!$AF845),2)&amp;RIGHT("00"&amp;MINUTE(Sync!$AF845),2),IFERROR(RIGHT("00"&amp;VALUE(LEFT(Sync!$AF845,FIND(":",Sync!$AF845)-1)),2)&amp;RIGHT("00"&amp;VALUE(MID(Sync!$AF845,FIND(":",Sync!$AF845)+1,2)),2),"0000"))))</f>
        <v/>
      </c>
    </row>
    <row r="846" spans="1:14" x14ac:dyDescent="0.2">
      <c r="A846" t="str">
        <f>IF(OR(Calc!$E850="",Calc!$E850="نامعتبر",Calc!$G850=""),"",Calc!$G850)</f>
        <v/>
      </c>
      <c r="B846" t="str">
        <f>IF($A846="","",LEFT(Calc!$E850,4)&amp;MID(Calc!$E850,6,2)&amp;RIGHT(Calc!$E850,2)&amp;Calc!$Q850&amp;"|"&amp;"1"&amp;RIGHT("00000"&amp;841,5))</f>
        <v/>
      </c>
      <c r="C846" t="str">
        <f t="shared" si="65"/>
        <v/>
      </c>
      <c r="D846" t="str">
        <f t="shared" si="66"/>
        <v/>
      </c>
      <c r="F846" t="str">
        <f>IF(Sync!$AH846="","",IF(LEFT(UPPER(TRIM(Sync!$AH846)),2)="SL",UPPER(TRIM(Sync!$AH846)),""))</f>
        <v/>
      </c>
      <c r="G846" t="str">
        <f>IF($F846="","",IF(Sync!$AE846="","",IF(ISNUMBER(Sync!$AE846),IF(AND(Sync!$AE846&gt;=10000101,Sync!$AE846&lt;=99991231),INT(Sync!$AE846/10000),""),IFERROR(VALUE(TRIM(LEFT(Sync!$AE846,FIND("/",Sync!$AE846)-1))),""))))</f>
        <v/>
      </c>
      <c r="H846" t="str">
        <f>IF(OR($F846="",$G846=""),"",IF(ISNUMBER(Sync!$AE846),INT(MOD(Sync!$AE846,10000)/100),IFERROR(VALUE(TRIM(LEFT(MID(Sync!$AE846,FIND("/",Sync!$AE846)+1,20),FIND("/",MID(Sync!$AE846,FIND("/",Sync!$AE846)+1,20))-1))),"")))</f>
        <v/>
      </c>
      <c r="I846" t="str">
        <f>IF(OR($F846="",$G846=""),"",IF(ISNUMBER(Sync!$AE846),MOD(Sync!$AE846,100),IFERROR(VALUE(TRIM(MID(MID(Sync!$AE846,FIND("/",Sync!$AE846)+1,20),FIND("/",MID(Sync!$AE846,FIND("/",Sync!$AE846)+1,20))+1,20))),"")))</f>
        <v/>
      </c>
      <c r="J846" t="str">
        <f t="shared" si="67"/>
        <v/>
      </c>
      <c r="K846" t="str">
        <f>IF(OR($F846="",$J846="",$J846="نامعتبر"),"",LEFT($J846,4)&amp;MID($J846,6,2)&amp;RIGHT($J846,2)&amp;$N846&amp;"|"&amp;"2"&amp;RIGHT("00000"&amp;841,5))</f>
        <v/>
      </c>
      <c r="L846" t="str">
        <f t="shared" si="68"/>
        <v/>
      </c>
      <c r="M846" t="str">
        <f t="shared" si="69"/>
        <v/>
      </c>
      <c r="N846" t="str">
        <f>IF($F846="","",IF(Sync!$AF846="","0000",IF(AND(ISNUMBER(Sync!$AF846),Sync!$AF846&gt;=0,Sync!$AF846&lt;1),RIGHT("00"&amp;HOUR(Sync!$AF846),2)&amp;RIGHT("00"&amp;MINUTE(Sync!$AF846),2),IFERROR(RIGHT("00"&amp;VALUE(LEFT(Sync!$AF846,FIND(":",Sync!$AF846)-1)),2)&amp;RIGHT("00"&amp;VALUE(MID(Sync!$AF846,FIND(":",Sync!$AF846)+1,2)),2),"0000"))))</f>
        <v/>
      </c>
    </row>
    <row r="847" spans="1:14" x14ac:dyDescent="0.2">
      <c r="A847" t="str">
        <f>IF(OR(Calc!$E851="",Calc!$E851="نامعتبر",Calc!$G851=""),"",Calc!$G851)</f>
        <v/>
      </c>
      <c r="B847" t="str">
        <f>IF($A847="","",LEFT(Calc!$E851,4)&amp;MID(Calc!$E851,6,2)&amp;RIGHT(Calc!$E851,2)&amp;Calc!$Q851&amp;"|"&amp;"1"&amp;RIGHT("00000"&amp;842,5))</f>
        <v/>
      </c>
      <c r="C847" t="str">
        <f t="shared" si="65"/>
        <v/>
      </c>
      <c r="D847" t="str">
        <f t="shared" si="66"/>
        <v/>
      </c>
      <c r="F847" t="str">
        <f>IF(Sync!$AH847="","",IF(LEFT(UPPER(TRIM(Sync!$AH847)),2)="SL",UPPER(TRIM(Sync!$AH847)),""))</f>
        <v/>
      </c>
      <c r="G847" t="str">
        <f>IF($F847="","",IF(Sync!$AE847="","",IF(ISNUMBER(Sync!$AE847),IF(AND(Sync!$AE847&gt;=10000101,Sync!$AE847&lt;=99991231),INT(Sync!$AE847/10000),""),IFERROR(VALUE(TRIM(LEFT(Sync!$AE847,FIND("/",Sync!$AE847)-1))),""))))</f>
        <v/>
      </c>
      <c r="H847" t="str">
        <f>IF(OR($F847="",$G847=""),"",IF(ISNUMBER(Sync!$AE847),INT(MOD(Sync!$AE847,10000)/100),IFERROR(VALUE(TRIM(LEFT(MID(Sync!$AE847,FIND("/",Sync!$AE847)+1,20),FIND("/",MID(Sync!$AE847,FIND("/",Sync!$AE847)+1,20))-1))),"")))</f>
        <v/>
      </c>
      <c r="I847" t="str">
        <f>IF(OR($F847="",$G847=""),"",IF(ISNUMBER(Sync!$AE847),MOD(Sync!$AE847,100),IFERROR(VALUE(TRIM(MID(MID(Sync!$AE847,FIND("/",Sync!$AE847)+1,20),FIND("/",MID(Sync!$AE847,FIND("/",Sync!$AE847)+1,20))+1,20))),"")))</f>
        <v/>
      </c>
      <c r="J847" t="str">
        <f t="shared" si="67"/>
        <v/>
      </c>
      <c r="K847" t="str">
        <f>IF(OR($F847="",$J847="",$J847="نامعتبر"),"",LEFT($J847,4)&amp;MID($J847,6,2)&amp;RIGHT($J847,2)&amp;$N847&amp;"|"&amp;"2"&amp;RIGHT("00000"&amp;842,5))</f>
        <v/>
      </c>
      <c r="L847" t="str">
        <f t="shared" si="68"/>
        <v/>
      </c>
      <c r="M847" t="str">
        <f t="shared" si="69"/>
        <v/>
      </c>
      <c r="N847" t="str">
        <f>IF($F847="","",IF(Sync!$AF847="","0000",IF(AND(ISNUMBER(Sync!$AF847),Sync!$AF847&gt;=0,Sync!$AF847&lt;1),RIGHT("00"&amp;HOUR(Sync!$AF847),2)&amp;RIGHT("00"&amp;MINUTE(Sync!$AF847),2),IFERROR(RIGHT("00"&amp;VALUE(LEFT(Sync!$AF847,FIND(":",Sync!$AF847)-1)),2)&amp;RIGHT("00"&amp;VALUE(MID(Sync!$AF847,FIND(":",Sync!$AF847)+1,2)),2),"0000"))))</f>
        <v/>
      </c>
    </row>
    <row r="848" spans="1:14" x14ac:dyDescent="0.2">
      <c r="A848" t="str">
        <f>IF(OR(Calc!$E852="",Calc!$E852="نامعتبر",Calc!$G852=""),"",Calc!$G852)</f>
        <v/>
      </c>
      <c r="B848" t="str">
        <f>IF($A848="","",LEFT(Calc!$E852,4)&amp;MID(Calc!$E852,6,2)&amp;RIGHT(Calc!$E852,2)&amp;Calc!$Q852&amp;"|"&amp;"1"&amp;RIGHT("00000"&amp;843,5))</f>
        <v/>
      </c>
      <c r="C848" t="str">
        <f t="shared" si="65"/>
        <v/>
      </c>
      <c r="D848" t="str">
        <f t="shared" si="66"/>
        <v/>
      </c>
      <c r="F848" t="str">
        <f>IF(Sync!$AH848="","",IF(LEFT(UPPER(TRIM(Sync!$AH848)),2)="SL",UPPER(TRIM(Sync!$AH848)),""))</f>
        <v/>
      </c>
      <c r="G848" t="str">
        <f>IF($F848="","",IF(Sync!$AE848="","",IF(ISNUMBER(Sync!$AE848),IF(AND(Sync!$AE848&gt;=10000101,Sync!$AE848&lt;=99991231),INT(Sync!$AE848/10000),""),IFERROR(VALUE(TRIM(LEFT(Sync!$AE848,FIND("/",Sync!$AE848)-1))),""))))</f>
        <v/>
      </c>
      <c r="H848" t="str">
        <f>IF(OR($F848="",$G848=""),"",IF(ISNUMBER(Sync!$AE848),INT(MOD(Sync!$AE848,10000)/100),IFERROR(VALUE(TRIM(LEFT(MID(Sync!$AE848,FIND("/",Sync!$AE848)+1,20),FIND("/",MID(Sync!$AE848,FIND("/",Sync!$AE848)+1,20))-1))),"")))</f>
        <v/>
      </c>
      <c r="I848" t="str">
        <f>IF(OR($F848="",$G848=""),"",IF(ISNUMBER(Sync!$AE848),MOD(Sync!$AE848,100),IFERROR(VALUE(TRIM(MID(MID(Sync!$AE848,FIND("/",Sync!$AE848)+1,20),FIND("/",MID(Sync!$AE848,FIND("/",Sync!$AE848)+1,20))+1,20))),"")))</f>
        <v/>
      </c>
      <c r="J848" t="str">
        <f t="shared" si="67"/>
        <v/>
      </c>
      <c r="K848" t="str">
        <f>IF(OR($F848="",$J848="",$J848="نامعتبر"),"",LEFT($J848,4)&amp;MID($J848,6,2)&amp;RIGHT($J848,2)&amp;$N848&amp;"|"&amp;"2"&amp;RIGHT("00000"&amp;843,5))</f>
        <v/>
      </c>
      <c r="L848" t="str">
        <f t="shared" si="68"/>
        <v/>
      </c>
      <c r="M848" t="str">
        <f t="shared" si="69"/>
        <v/>
      </c>
      <c r="N848" t="str">
        <f>IF($F848="","",IF(Sync!$AF848="","0000",IF(AND(ISNUMBER(Sync!$AF848),Sync!$AF848&gt;=0,Sync!$AF848&lt;1),RIGHT("00"&amp;HOUR(Sync!$AF848),2)&amp;RIGHT("00"&amp;MINUTE(Sync!$AF848),2),IFERROR(RIGHT("00"&amp;VALUE(LEFT(Sync!$AF848,FIND(":",Sync!$AF848)-1)),2)&amp;RIGHT("00"&amp;VALUE(MID(Sync!$AF848,FIND(":",Sync!$AF848)+1,2)),2),"0000"))))</f>
        <v/>
      </c>
    </row>
    <row r="849" spans="1:14" x14ac:dyDescent="0.2">
      <c r="A849" t="str">
        <f>IF(OR(Calc!$E853="",Calc!$E853="نامعتبر",Calc!$G853=""),"",Calc!$G853)</f>
        <v/>
      </c>
      <c r="B849" t="str">
        <f>IF($A849="","",LEFT(Calc!$E853,4)&amp;MID(Calc!$E853,6,2)&amp;RIGHT(Calc!$E853,2)&amp;Calc!$Q853&amp;"|"&amp;"1"&amp;RIGHT("00000"&amp;844,5))</f>
        <v/>
      </c>
      <c r="C849" t="str">
        <f t="shared" si="65"/>
        <v/>
      </c>
      <c r="D849" t="str">
        <f t="shared" si="66"/>
        <v/>
      </c>
      <c r="F849" t="str">
        <f>IF(Sync!$AH849="","",IF(LEFT(UPPER(TRIM(Sync!$AH849)),2)="SL",UPPER(TRIM(Sync!$AH849)),""))</f>
        <v/>
      </c>
      <c r="G849" t="str">
        <f>IF($F849="","",IF(Sync!$AE849="","",IF(ISNUMBER(Sync!$AE849),IF(AND(Sync!$AE849&gt;=10000101,Sync!$AE849&lt;=99991231),INT(Sync!$AE849/10000),""),IFERROR(VALUE(TRIM(LEFT(Sync!$AE849,FIND("/",Sync!$AE849)-1))),""))))</f>
        <v/>
      </c>
      <c r="H849" t="str">
        <f>IF(OR($F849="",$G849=""),"",IF(ISNUMBER(Sync!$AE849),INT(MOD(Sync!$AE849,10000)/100),IFERROR(VALUE(TRIM(LEFT(MID(Sync!$AE849,FIND("/",Sync!$AE849)+1,20),FIND("/",MID(Sync!$AE849,FIND("/",Sync!$AE849)+1,20))-1))),"")))</f>
        <v/>
      </c>
      <c r="I849" t="str">
        <f>IF(OR($F849="",$G849=""),"",IF(ISNUMBER(Sync!$AE849),MOD(Sync!$AE849,100),IFERROR(VALUE(TRIM(MID(MID(Sync!$AE849,FIND("/",Sync!$AE849)+1,20),FIND("/",MID(Sync!$AE849,FIND("/",Sync!$AE849)+1,20))+1,20))),"")))</f>
        <v/>
      </c>
      <c r="J849" t="str">
        <f t="shared" si="67"/>
        <v/>
      </c>
      <c r="K849" t="str">
        <f>IF(OR($F849="",$J849="",$J849="نامعتبر"),"",LEFT($J849,4)&amp;MID($J849,6,2)&amp;RIGHT($J849,2)&amp;$N849&amp;"|"&amp;"2"&amp;RIGHT("00000"&amp;844,5))</f>
        <v/>
      </c>
      <c r="L849" t="str">
        <f t="shared" si="68"/>
        <v/>
      </c>
      <c r="M849" t="str">
        <f t="shared" si="69"/>
        <v/>
      </c>
      <c r="N849" t="str">
        <f>IF($F849="","",IF(Sync!$AF849="","0000",IF(AND(ISNUMBER(Sync!$AF849),Sync!$AF849&gt;=0,Sync!$AF849&lt;1),RIGHT("00"&amp;HOUR(Sync!$AF849),2)&amp;RIGHT("00"&amp;MINUTE(Sync!$AF849),2),IFERROR(RIGHT("00"&amp;VALUE(LEFT(Sync!$AF849,FIND(":",Sync!$AF849)-1)),2)&amp;RIGHT("00"&amp;VALUE(MID(Sync!$AF849,FIND(":",Sync!$AF849)+1,2)),2),"0000"))))</f>
        <v/>
      </c>
    </row>
    <row r="850" spans="1:14" x14ac:dyDescent="0.2">
      <c r="A850" t="str">
        <f>IF(OR(Calc!$E854="",Calc!$E854="نامعتبر",Calc!$G854=""),"",Calc!$G854)</f>
        <v/>
      </c>
      <c r="B850" t="str">
        <f>IF($A850="","",LEFT(Calc!$E854,4)&amp;MID(Calc!$E854,6,2)&amp;RIGHT(Calc!$E854,2)&amp;Calc!$Q854&amp;"|"&amp;"1"&amp;RIGHT("00000"&amp;845,5))</f>
        <v/>
      </c>
      <c r="C850" t="str">
        <f t="shared" si="65"/>
        <v/>
      </c>
      <c r="D850" t="str">
        <f t="shared" si="66"/>
        <v/>
      </c>
      <c r="F850" t="str">
        <f>IF(Sync!$AH850="","",IF(LEFT(UPPER(TRIM(Sync!$AH850)),2)="SL",UPPER(TRIM(Sync!$AH850)),""))</f>
        <v/>
      </c>
      <c r="G850" t="str">
        <f>IF($F850="","",IF(Sync!$AE850="","",IF(ISNUMBER(Sync!$AE850),IF(AND(Sync!$AE850&gt;=10000101,Sync!$AE850&lt;=99991231),INT(Sync!$AE850/10000),""),IFERROR(VALUE(TRIM(LEFT(Sync!$AE850,FIND("/",Sync!$AE850)-1))),""))))</f>
        <v/>
      </c>
      <c r="H850" t="str">
        <f>IF(OR($F850="",$G850=""),"",IF(ISNUMBER(Sync!$AE850),INT(MOD(Sync!$AE850,10000)/100),IFERROR(VALUE(TRIM(LEFT(MID(Sync!$AE850,FIND("/",Sync!$AE850)+1,20),FIND("/",MID(Sync!$AE850,FIND("/",Sync!$AE850)+1,20))-1))),"")))</f>
        <v/>
      </c>
      <c r="I850" t="str">
        <f>IF(OR($F850="",$G850=""),"",IF(ISNUMBER(Sync!$AE850),MOD(Sync!$AE850,100),IFERROR(VALUE(TRIM(MID(MID(Sync!$AE850,FIND("/",Sync!$AE850)+1,20),FIND("/",MID(Sync!$AE850,FIND("/",Sync!$AE850)+1,20))+1,20))),"")))</f>
        <v/>
      </c>
      <c r="J850" t="str">
        <f t="shared" si="67"/>
        <v/>
      </c>
      <c r="K850" t="str">
        <f>IF(OR($F850="",$J850="",$J850="نامعتبر"),"",LEFT($J850,4)&amp;MID($J850,6,2)&amp;RIGHT($J850,2)&amp;$N850&amp;"|"&amp;"2"&amp;RIGHT("00000"&amp;845,5))</f>
        <v/>
      </c>
      <c r="L850" t="str">
        <f t="shared" si="68"/>
        <v/>
      </c>
      <c r="M850" t="str">
        <f t="shared" si="69"/>
        <v/>
      </c>
      <c r="N850" t="str">
        <f>IF($F850="","",IF(Sync!$AF850="","0000",IF(AND(ISNUMBER(Sync!$AF850),Sync!$AF850&gt;=0,Sync!$AF850&lt;1),RIGHT("00"&amp;HOUR(Sync!$AF850),2)&amp;RIGHT("00"&amp;MINUTE(Sync!$AF850),2),IFERROR(RIGHT("00"&amp;VALUE(LEFT(Sync!$AF850,FIND(":",Sync!$AF850)-1)),2)&amp;RIGHT("00"&amp;VALUE(MID(Sync!$AF850,FIND(":",Sync!$AF850)+1,2)),2),"0000"))))</f>
        <v/>
      </c>
    </row>
    <row r="851" spans="1:14" x14ac:dyDescent="0.2">
      <c r="A851" t="str">
        <f>IF(OR(Calc!$E855="",Calc!$E855="نامعتبر",Calc!$G855=""),"",Calc!$G855)</f>
        <v/>
      </c>
      <c r="B851" t="str">
        <f>IF($A851="","",LEFT(Calc!$E855,4)&amp;MID(Calc!$E855,6,2)&amp;RIGHT(Calc!$E855,2)&amp;Calc!$Q855&amp;"|"&amp;"1"&amp;RIGHT("00000"&amp;846,5))</f>
        <v/>
      </c>
      <c r="C851" t="str">
        <f t="shared" si="65"/>
        <v/>
      </c>
      <c r="D851" t="str">
        <f t="shared" si="66"/>
        <v/>
      </c>
      <c r="F851" t="str">
        <f>IF(Sync!$AH851="","",IF(LEFT(UPPER(TRIM(Sync!$AH851)),2)="SL",UPPER(TRIM(Sync!$AH851)),""))</f>
        <v/>
      </c>
      <c r="G851" t="str">
        <f>IF($F851="","",IF(Sync!$AE851="","",IF(ISNUMBER(Sync!$AE851),IF(AND(Sync!$AE851&gt;=10000101,Sync!$AE851&lt;=99991231),INT(Sync!$AE851/10000),""),IFERROR(VALUE(TRIM(LEFT(Sync!$AE851,FIND("/",Sync!$AE851)-1))),""))))</f>
        <v/>
      </c>
      <c r="H851" t="str">
        <f>IF(OR($F851="",$G851=""),"",IF(ISNUMBER(Sync!$AE851),INT(MOD(Sync!$AE851,10000)/100),IFERROR(VALUE(TRIM(LEFT(MID(Sync!$AE851,FIND("/",Sync!$AE851)+1,20),FIND("/",MID(Sync!$AE851,FIND("/",Sync!$AE851)+1,20))-1))),"")))</f>
        <v/>
      </c>
      <c r="I851" t="str">
        <f>IF(OR($F851="",$G851=""),"",IF(ISNUMBER(Sync!$AE851),MOD(Sync!$AE851,100),IFERROR(VALUE(TRIM(MID(MID(Sync!$AE851,FIND("/",Sync!$AE851)+1,20),FIND("/",MID(Sync!$AE851,FIND("/",Sync!$AE851)+1,20))+1,20))),"")))</f>
        <v/>
      </c>
      <c r="J851" t="str">
        <f t="shared" si="67"/>
        <v/>
      </c>
      <c r="K851" t="str">
        <f>IF(OR($F851="",$J851="",$J851="نامعتبر"),"",LEFT($J851,4)&amp;MID($J851,6,2)&amp;RIGHT($J851,2)&amp;$N851&amp;"|"&amp;"2"&amp;RIGHT("00000"&amp;846,5))</f>
        <v/>
      </c>
      <c r="L851" t="str">
        <f t="shared" si="68"/>
        <v/>
      </c>
      <c r="M851" t="str">
        <f t="shared" si="69"/>
        <v/>
      </c>
      <c r="N851" t="str">
        <f>IF($F851="","",IF(Sync!$AF851="","0000",IF(AND(ISNUMBER(Sync!$AF851),Sync!$AF851&gt;=0,Sync!$AF851&lt;1),RIGHT("00"&amp;HOUR(Sync!$AF851),2)&amp;RIGHT("00"&amp;MINUTE(Sync!$AF851),2),IFERROR(RIGHT("00"&amp;VALUE(LEFT(Sync!$AF851,FIND(":",Sync!$AF851)-1)),2)&amp;RIGHT("00"&amp;VALUE(MID(Sync!$AF851,FIND(":",Sync!$AF851)+1,2)),2),"0000"))))</f>
        <v/>
      </c>
    </row>
    <row r="852" spans="1:14" x14ac:dyDescent="0.2">
      <c r="A852" t="str">
        <f>IF(OR(Calc!$E856="",Calc!$E856="نامعتبر",Calc!$G856=""),"",Calc!$G856)</f>
        <v/>
      </c>
      <c r="B852" t="str">
        <f>IF($A852="","",LEFT(Calc!$E856,4)&amp;MID(Calc!$E856,6,2)&amp;RIGHT(Calc!$E856,2)&amp;Calc!$Q856&amp;"|"&amp;"1"&amp;RIGHT("00000"&amp;847,5))</f>
        <v/>
      </c>
      <c r="C852" t="str">
        <f t="shared" si="65"/>
        <v/>
      </c>
      <c r="D852" t="str">
        <f t="shared" si="66"/>
        <v/>
      </c>
      <c r="F852" t="str">
        <f>IF(Sync!$AH852="","",IF(LEFT(UPPER(TRIM(Sync!$AH852)),2)="SL",UPPER(TRIM(Sync!$AH852)),""))</f>
        <v/>
      </c>
      <c r="G852" t="str">
        <f>IF($F852="","",IF(Sync!$AE852="","",IF(ISNUMBER(Sync!$AE852),IF(AND(Sync!$AE852&gt;=10000101,Sync!$AE852&lt;=99991231),INT(Sync!$AE852/10000),""),IFERROR(VALUE(TRIM(LEFT(Sync!$AE852,FIND("/",Sync!$AE852)-1))),""))))</f>
        <v/>
      </c>
      <c r="H852" t="str">
        <f>IF(OR($F852="",$G852=""),"",IF(ISNUMBER(Sync!$AE852),INT(MOD(Sync!$AE852,10000)/100),IFERROR(VALUE(TRIM(LEFT(MID(Sync!$AE852,FIND("/",Sync!$AE852)+1,20),FIND("/",MID(Sync!$AE852,FIND("/",Sync!$AE852)+1,20))-1))),"")))</f>
        <v/>
      </c>
      <c r="I852" t="str">
        <f>IF(OR($F852="",$G852=""),"",IF(ISNUMBER(Sync!$AE852),MOD(Sync!$AE852,100),IFERROR(VALUE(TRIM(MID(MID(Sync!$AE852,FIND("/",Sync!$AE852)+1,20),FIND("/",MID(Sync!$AE852,FIND("/",Sync!$AE852)+1,20))+1,20))),"")))</f>
        <v/>
      </c>
      <c r="J852" t="str">
        <f t="shared" si="67"/>
        <v/>
      </c>
      <c r="K852" t="str">
        <f>IF(OR($F852="",$J852="",$J852="نامعتبر"),"",LEFT($J852,4)&amp;MID($J852,6,2)&amp;RIGHT($J852,2)&amp;$N852&amp;"|"&amp;"2"&amp;RIGHT("00000"&amp;847,5))</f>
        <v/>
      </c>
      <c r="L852" t="str">
        <f t="shared" si="68"/>
        <v/>
      </c>
      <c r="M852" t="str">
        <f t="shared" si="69"/>
        <v/>
      </c>
      <c r="N852" t="str">
        <f>IF($F852="","",IF(Sync!$AF852="","0000",IF(AND(ISNUMBER(Sync!$AF852),Sync!$AF852&gt;=0,Sync!$AF852&lt;1),RIGHT("00"&amp;HOUR(Sync!$AF852),2)&amp;RIGHT("00"&amp;MINUTE(Sync!$AF852),2),IFERROR(RIGHT("00"&amp;VALUE(LEFT(Sync!$AF852,FIND(":",Sync!$AF852)-1)),2)&amp;RIGHT("00"&amp;VALUE(MID(Sync!$AF852,FIND(":",Sync!$AF852)+1,2)),2),"0000"))))</f>
        <v/>
      </c>
    </row>
    <row r="853" spans="1:14" x14ac:dyDescent="0.2">
      <c r="A853" t="str">
        <f>IF(OR(Calc!$E857="",Calc!$E857="نامعتبر",Calc!$G857=""),"",Calc!$G857)</f>
        <v/>
      </c>
      <c r="B853" t="str">
        <f>IF($A853="","",LEFT(Calc!$E857,4)&amp;MID(Calc!$E857,6,2)&amp;RIGHT(Calc!$E857,2)&amp;Calc!$Q857&amp;"|"&amp;"1"&amp;RIGHT("00000"&amp;848,5))</f>
        <v/>
      </c>
      <c r="C853" t="str">
        <f t="shared" si="65"/>
        <v/>
      </c>
      <c r="D853" t="str">
        <f t="shared" si="66"/>
        <v/>
      </c>
      <c r="F853" t="str">
        <f>IF(Sync!$AH853="","",IF(LEFT(UPPER(TRIM(Sync!$AH853)),2)="SL",UPPER(TRIM(Sync!$AH853)),""))</f>
        <v/>
      </c>
      <c r="G853" t="str">
        <f>IF($F853="","",IF(Sync!$AE853="","",IF(ISNUMBER(Sync!$AE853),IF(AND(Sync!$AE853&gt;=10000101,Sync!$AE853&lt;=99991231),INT(Sync!$AE853/10000),""),IFERROR(VALUE(TRIM(LEFT(Sync!$AE853,FIND("/",Sync!$AE853)-1))),""))))</f>
        <v/>
      </c>
      <c r="H853" t="str">
        <f>IF(OR($F853="",$G853=""),"",IF(ISNUMBER(Sync!$AE853),INT(MOD(Sync!$AE853,10000)/100),IFERROR(VALUE(TRIM(LEFT(MID(Sync!$AE853,FIND("/",Sync!$AE853)+1,20),FIND("/",MID(Sync!$AE853,FIND("/",Sync!$AE853)+1,20))-1))),"")))</f>
        <v/>
      </c>
      <c r="I853" t="str">
        <f>IF(OR($F853="",$G853=""),"",IF(ISNUMBER(Sync!$AE853),MOD(Sync!$AE853,100),IFERROR(VALUE(TRIM(MID(MID(Sync!$AE853,FIND("/",Sync!$AE853)+1,20),FIND("/",MID(Sync!$AE853,FIND("/",Sync!$AE853)+1,20))+1,20))),"")))</f>
        <v/>
      </c>
      <c r="J853" t="str">
        <f t="shared" si="67"/>
        <v/>
      </c>
      <c r="K853" t="str">
        <f>IF(OR($F853="",$J853="",$J853="نامعتبر"),"",LEFT($J853,4)&amp;MID($J853,6,2)&amp;RIGHT($J853,2)&amp;$N853&amp;"|"&amp;"2"&amp;RIGHT("00000"&amp;848,5))</f>
        <v/>
      </c>
      <c r="L853" t="str">
        <f t="shared" si="68"/>
        <v/>
      </c>
      <c r="M853" t="str">
        <f t="shared" si="69"/>
        <v/>
      </c>
      <c r="N853" t="str">
        <f>IF($F853="","",IF(Sync!$AF853="","0000",IF(AND(ISNUMBER(Sync!$AF853),Sync!$AF853&gt;=0,Sync!$AF853&lt;1),RIGHT("00"&amp;HOUR(Sync!$AF853),2)&amp;RIGHT("00"&amp;MINUTE(Sync!$AF853),2),IFERROR(RIGHT("00"&amp;VALUE(LEFT(Sync!$AF853,FIND(":",Sync!$AF853)-1)),2)&amp;RIGHT("00"&amp;VALUE(MID(Sync!$AF853,FIND(":",Sync!$AF853)+1,2)),2),"0000"))))</f>
        <v/>
      </c>
    </row>
    <row r="854" spans="1:14" x14ac:dyDescent="0.2">
      <c r="A854" t="str">
        <f>IF(OR(Calc!$E858="",Calc!$E858="نامعتبر",Calc!$G858=""),"",Calc!$G858)</f>
        <v/>
      </c>
      <c r="B854" t="str">
        <f>IF($A854="","",LEFT(Calc!$E858,4)&amp;MID(Calc!$E858,6,2)&amp;RIGHT(Calc!$E858,2)&amp;Calc!$Q858&amp;"|"&amp;"1"&amp;RIGHT("00000"&amp;849,5))</f>
        <v/>
      </c>
      <c r="C854" t="str">
        <f t="shared" si="65"/>
        <v/>
      </c>
      <c r="D854" t="str">
        <f t="shared" si="66"/>
        <v/>
      </c>
      <c r="F854" t="str">
        <f>IF(Sync!$AH854="","",IF(LEFT(UPPER(TRIM(Sync!$AH854)),2)="SL",UPPER(TRIM(Sync!$AH854)),""))</f>
        <v/>
      </c>
      <c r="G854" t="str">
        <f>IF($F854="","",IF(Sync!$AE854="","",IF(ISNUMBER(Sync!$AE854),IF(AND(Sync!$AE854&gt;=10000101,Sync!$AE854&lt;=99991231),INT(Sync!$AE854/10000),""),IFERROR(VALUE(TRIM(LEFT(Sync!$AE854,FIND("/",Sync!$AE854)-1))),""))))</f>
        <v/>
      </c>
      <c r="H854" t="str">
        <f>IF(OR($F854="",$G854=""),"",IF(ISNUMBER(Sync!$AE854),INT(MOD(Sync!$AE854,10000)/100),IFERROR(VALUE(TRIM(LEFT(MID(Sync!$AE854,FIND("/",Sync!$AE854)+1,20),FIND("/",MID(Sync!$AE854,FIND("/",Sync!$AE854)+1,20))-1))),"")))</f>
        <v/>
      </c>
      <c r="I854" t="str">
        <f>IF(OR($F854="",$G854=""),"",IF(ISNUMBER(Sync!$AE854),MOD(Sync!$AE854,100),IFERROR(VALUE(TRIM(MID(MID(Sync!$AE854,FIND("/",Sync!$AE854)+1,20),FIND("/",MID(Sync!$AE854,FIND("/",Sync!$AE854)+1,20))+1,20))),"")))</f>
        <v/>
      </c>
      <c r="J854" t="str">
        <f t="shared" si="67"/>
        <v/>
      </c>
      <c r="K854" t="str">
        <f>IF(OR($F854="",$J854="",$J854="نامعتبر"),"",LEFT($J854,4)&amp;MID($J854,6,2)&amp;RIGHT($J854,2)&amp;$N854&amp;"|"&amp;"2"&amp;RIGHT("00000"&amp;849,5))</f>
        <v/>
      </c>
      <c r="L854" t="str">
        <f t="shared" si="68"/>
        <v/>
      </c>
      <c r="M854" t="str">
        <f t="shared" si="69"/>
        <v/>
      </c>
      <c r="N854" t="str">
        <f>IF($F854="","",IF(Sync!$AF854="","0000",IF(AND(ISNUMBER(Sync!$AF854),Sync!$AF854&gt;=0,Sync!$AF854&lt;1),RIGHT("00"&amp;HOUR(Sync!$AF854),2)&amp;RIGHT("00"&amp;MINUTE(Sync!$AF854),2),IFERROR(RIGHT("00"&amp;VALUE(LEFT(Sync!$AF854,FIND(":",Sync!$AF854)-1)),2)&amp;RIGHT("00"&amp;VALUE(MID(Sync!$AF854,FIND(":",Sync!$AF854)+1,2)),2),"0000"))))</f>
        <v/>
      </c>
    </row>
    <row r="855" spans="1:14" x14ac:dyDescent="0.2">
      <c r="A855" t="str">
        <f>IF(OR(Calc!$E859="",Calc!$E859="نامعتبر",Calc!$G859=""),"",Calc!$G859)</f>
        <v/>
      </c>
      <c r="B855" t="str">
        <f>IF($A855="","",LEFT(Calc!$E859,4)&amp;MID(Calc!$E859,6,2)&amp;RIGHT(Calc!$E859,2)&amp;Calc!$Q859&amp;"|"&amp;"1"&amp;RIGHT("00000"&amp;850,5))</f>
        <v/>
      </c>
      <c r="C855" t="str">
        <f t="shared" si="65"/>
        <v/>
      </c>
      <c r="D855" t="str">
        <f t="shared" si="66"/>
        <v/>
      </c>
      <c r="F855" t="str">
        <f>IF(Sync!$AH855="","",IF(LEFT(UPPER(TRIM(Sync!$AH855)),2)="SL",UPPER(TRIM(Sync!$AH855)),""))</f>
        <v/>
      </c>
      <c r="G855" t="str">
        <f>IF($F855="","",IF(Sync!$AE855="","",IF(ISNUMBER(Sync!$AE855),IF(AND(Sync!$AE855&gt;=10000101,Sync!$AE855&lt;=99991231),INT(Sync!$AE855/10000),""),IFERROR(VALUE(TRIM(LEFT(Sync!$AE855,FIND("/",Sync!$AE855)-1))),""))))</f>
        <v/>
      </c>
      <c r="H855" t="str">
        <f>IF(OR($F855="",$G855=""),"",IF(ISNUMBER(Sync!$AE855),INT(MOD(Sync!$AE855,10000)/100),IFERROR(VALUE(TRIM(LEFT(MID(Sync!$AE855,FIND("/",Sync!$AE855)+1,20),FIND("/",MID(Sync!$AE855,FIND("/",Sync!$AE855)+1,20))-1))),"")))</f>
        <v/>
      </c>
      <c r="I855" t="str">
        <f>IF(OR($F855="",$G855=""),"",IF(ISNUMBER(Sync!$AE855),MOD(Sync!$AE855,100),IFERROR(VALUE(TRIM(MID(MID(Sync!$AE855,FIND("/",Sync!$AE855)+1,20),FIND("/",MID(Sync!$AE855,FIND("/",Sync!$AE855)+1,20))+1,20))),"")))</f>
        <v/>
      </c>
      <c r="J855" t="str">
        <f t="shared" si="67"/>
        <v/>
      </c>
      <c r="K855" t="str">
        <f>IF(OR($F855="",$J855="",$J855="نامعتبر"),"",LEFT($J855,4)&amp;MID($J855,6,2)&amp;RIGHT($J855,2)&amp;$N855&amp;"|"&amp;"2"&amp;RIGHT("00000"&amp;850,5))</f>
        <v/>
      </c>
      <c r="L855" t="str">
        <f t="shared" si="68"/>
        <v/>
      </c>
      <c r="M855" t="str">
        <f t="shared" si="69"/>
        <v/>
      </c>
      <c r="N855" t="str">
        <f>IF($F855="","",IF(Sync!$AF855="","0000",IF(AND(ISNUMBER(Sync!$AF855),Sync!$AF855&gt;=0,Sync!$AF855&lt;1),RIGHT("00"&amp;HOUR(Sync!$AF855),2)&amp;RIGHT("00"&amp;MINUTE(Sync!$AF855),2),IFERROR(RIGHT("00"&amp;VALUE(LEFT(Sync!$AF855,FIND(":",Sync!$AF855)-1)),2)&amp;RIGHT("00"&amp;VALUE(MID(Sync!$AF855,FIND(":",Sync!$AF855)+1,2)),2),"0000"))))</f>
        <v/>
      </c>
    </row>
    <row r="856" spans="1:14" x14ac:dyDescent="0.2">
      <c r="A856" t="str">
        <f>IF(OR(Calc!$E860="",Calc!$E860="نامعتبر",Calc!$G860=""),"",Calc!$G860)</f>
        <v/>
      </c>
      <c r="B856" t="str">
        <f>IF($A856="","",LEFT(Calc!$E860,4)&amp;MID(Calc!$E860,6,2)&amp;RIGHT(Calc!$E860,2)&amp;Calc!$Q860&amp;"|"&amp;"1"&amp;RIGHT("00000"&amp;851,5))</f>
        <v/>
      </c>
      <c r="C856" t="str">
        <f t="shared" si="65"/>
        <v/>
      </c>
      <c r="D856" t="str">
        <f t="shared" si="66"/>
        <v/>
      </c>
      <c r="F856" t="str">
        <f>IF(Sync!$AH856="","",IF(LEFT(UPPER(TRIM(Sync!$AH856)),2)="SL",UPPER(TRIM(Sync!$AH856)),""))</f>
        <v/>
      </c>
      <c r="G856" t="str">
        <f>IF($F856="","",IF(Sync!$AE856="","",IF(ISNUMBER(Sync!$AE856),IF(AND(Sync!$AE856&gt;=10000101,Sync!$AE856&lt;=99991231),INT(Sync!$AE856/10000),""),IFERROR(VALUE(TRIM(LEFT(Sync!$AE856,FIND("/",Sync!$AE856)-1))),""))))</f>
        <v/>
      </c>
      <c r="H856" t="str">
        <f>IF(OR($F856="",$G856=""),"",IF(ISNUMBER(Sync!$AE856),INT(MOD(Sync!$AE856,10000)/100),IFERROR(VALUE(TRIM(LEFT(MID(Sync!$AE856,FIND("/",Sync!$AE856)+1,20),FIND("/",MID(Sync!$AE856,FIND("/",Sync!$AE856)+1,20))-1))),"")))</f>
        <v/>
      </c>
      <c r="I856" t="str">
        <f>IF(OR($F856="",$G856=""),"",IF(ISNUMBER(Sync!$AE856),MOD(Sync!$AE856,100),IFERROR(VALUE(TRIM(MID(MID(Sync!$AE856,FIND("/",Sync!$AE856)+1,20),FIND("/",MID(Sync!$AE856,FIND("/",Sync!$AE856)+1,20))+1,20))),"")))</f>
        <v/>
      </c>
      <c r="J856" t="str">
        <f t="shared" si="67"/>
        <v/>
      </c>
      <c r="K856" t="str">
        <f>IF(OR($F856="",$J856="",$J856="نامعتبر"),"",LEFT($J856,4)&amp;MID($J856,6,2)&amp;RIGHT($J856,2)&amp;$N856&amp;"|"&amp;"2"&amp;RIGHT("00000"&amp;851,5))</f>
        <v/>
      </c>
      <c r="L856" t="str">
        <f t="shared" si="68"/>
        <v/>
      </c>
      <c r="M856" t="str">
        <f t="shared" si="69"/>
        <v/>
      </c>
      <c r="N856" t="str">
        <f>IF($F856="","",IF(Sync!$AF856="","0000",IF(AND(ISNUMBER(Sync!$AF856),Sync!$AF856&gt;=0,Sync!$AF856&lt;1),RIGHT("00"&amp;HOUR(Sync!$AF856),2)&amp;RIGHT("00"&amp;MINUTE(Sync!$AF856),2),IFERROR(RIGHT("00"&amp;VALUE(LEFT(Sync!$AF856,FIND(":",Sync!$AF856)-1)),2)&amp;RIGHT("00"&amp;VALUE(MID(Sync!$AF856,FIND(":",Sync!$AF856)+1,2)),2),"0000"))))</f>
        <v/>
      </c>
    </row>
    <row r="857" spans="1:14" x14ac:dyDescent="0.2">
      <c r="A857" t="str">
        <f>IF(OR(Calc!$E861="",Calc!$E861="نامعتبر",Calc!$G861=""),"",Calc!$G861)</f>
        <v/>
      </c>
      <c r="B857" t="str">
        <f>IF($A857="","",LEFT(Calc!$E861,4)&amp;MID(Calc!$E861,6,2)&amp;RIGHT(Calc!$E861,2)&amp;Calc!$Q861&amp;"|"&amp;"1"&amp;RIGHT("00000"&amp;852,5))</f>
        <v/>
      </c>
      <c r="C857" t="str">
        <f t="shared" si="65"/>
        <v/>
      </c>
      <c r="D857" t="str">
        <f t="shared" si="66"/>
        <v/>
      </c>
      <c r="F857" t="str">
        <f>IF(Sync!$AH857="","",IF(LEFT(UPPER(TRIM(Sync!$AH857)),2)="SL",UPPER(TRIM(Sync!$AH857)),""))</f>
        <v/>
      </c>
      <c r="G857" t="str">
        <f>IF($F857="","",IF(Sync!$AE857="","",IF(ISNUMBER(Sync!$AE857),IF(AND(Sync!$AE857&gt;=10000101,Sync!$AE857&lt;=99991231),INT(Sync!$AE857/10000),""),IFERROR(VALUE(TRIM(LEFT(Sync!$AE857,FIND("/",Sync!$AE857)-1))),""))))</f>
        <v/>
      </c>
      <c r="H857" t="str">
        <f>IF(OR($F857="",$G857=""),"",IF(ISNUMBER(Sync!$AE857),INT(MOD(Sync!$AE857,10000)/100),IFERROR(VALUE(TRIM(LEFT(MID(Sync!$AE857,FIND("/",Sync!$AE857)+1,20),FIND("/",MID(Sync!$AE857,FIND("/",Sync!$AE857)+1,20))-1))),"")))</f>
        <v/>
      </c>
      <c r="I857" t="str">
        <f>IF(OR($F857="",$G857=""),"",IF(ISNUMBER(Sync!$AE857),MOD(Sync!$AE857,100),IFERROR(VALUE(TRIM(MID(MID(Sync!$AE857,FIND("/",Sync!$AE857)+1,20),FIND("/",MID(Sync!$AE857,FIND("/",Sync!$AE857)+1,20))+1,20))),"")))</f>
        <v/>
      </c>
      <c r="J857" t="str">
        <f t="shared" si="67"/>
        <v/>
      </c>
      <c r="K857" t="str">
        <f>IF(OR($F857="",$J857="",$J857="نامعتبر"),"",LEFT($J857,4)&amp;MID($J857,6,2)&amp;RIGHT($J857,2)&amp;$N857&amp;"|"&amp;"2"&amp;RIGHT("00000"&amp;852,5))</f>
        <v/>
      </c>
      <c r="L857" t="str">
        <f t="shared" si="68"/>
        <v/>
      </c>
      <c r="M857" t="str">
        <f t="shared" si="69"/>
        <v/>
      </c>
      <c r="N857" t="str">
        <f>IF($F857="","",IF(Sync!$AF857="","0000",IF(AND(ISNUMBER(Sync!$AF857),Sync!$AF857&gt;=0,Sync!$AF857&lt;1),RIGHT("00"&amp;HOUR(Sync!$AF857),2)&amp;RIGHT("00"&amp;MINUTE(Sync!$AF857),2),IFERROR(RIGHT("00"&amp;VALUE(LEFT(Sync!$AF857,FIND(":",Sync!$AF857)-1)),2)&amp;RIGHT("00"&amp;VALUE(MID(Sync!$AF857,FIND(":",Sync!$AF857)+1,2)),2),"0000"))))</f>
        <v/>
      </c>
    </row>
    <row r="858" spans="1:14" x14ac:dyDescent="0.2">
      <c r="A858" t="str">
        <f>IF(OR(Calc!$E862="",Calc!$E862="نامعتبر",Calc!$G862=""),"",Calc!$G862)</f>
        <v/>
      </c>
      <c r="B858" t="str">
        <f>IF($A858="","",LEFT(Calc!$E862,4)&amp;MID(Calc!$E862,6,2)&amp;RIGHT(Calc!$E862,2)&amp;Calc!$Q862&amp;"|"&amp;"1"&amp;RIGHT("00000"&amp;853,5))</f>
        <v/>
      </c>
      <c r="C858" t="str">
        <f t="shared" si="65"/>
        <v/>
      </c>
      <c r="D858" t="str">
        <f t="shared" si="66"/>
        <v/>
      </c>
      <c r="F858" t="str">
        <f>IF(Sync!$AH858="","",IF(LEFT(UPPER(TRIM(Sync!$AH858)),2)="SL",UPPER(TRIM(Sync!$AH858)),""))</f>
        <v/>
      </c>
      <c r="G858" t="str">
        <f>IF($F858="","",IF(Sync!$AE858="","",IF(ISNUMBER(Sync!$AE858),IF(AND(Sync!$AE858&gt;=10000101,Sync!$AE858&lt;=99991231),INT(Sync!$AE858/10000),""),IFERROR(VALUE(TRIM(LEFT(Sync!$AE858,FIND("/",Sync!$AE858)-1))),""))))</f>
        <v/>
      </c>
      <c r="H858" t="str">
        <f>IF(OR($F858="",$G858=""),"",IF(ISNUMBER(Sync!$AE858),INT(MOD(Sync!$AE858,10000)/100),IFERROR(VALUE(TRIM(LEFT(MID(Sync!$AE858,FIND("/",Sync!$AE858)+1,20),FIND("/",MID(Sync!$AE858,FIND("/",Sync!$AE858)+1,20))-1))),"")))</f>
        <v/>
      </c>
      <c r="I858" t="str">
        <f>IF(OR($F858="",$G858=""),"",IF(ISNUMBER(Sync!$AE858),MOD(Sync!$AE858,100),IFERROR(VALUE(TRIM(MID(MID(Sync!$AE858,FIND("/",Sync!$AE858)+1,20),FIND("/",MID(Sync!$AE858,FIND("/",Sync!$AE858)+1,20))+1,20))),"")))</f>
        <v/>
      </c>
      <c r="J858" t="str">
        <f t="shared" si="67"/>
        <v/>
      </c>
      <c r="K858" t="str">
        <f>IF(OR($F858="",$J858="",$J858="نامعتبر"),"",LEFT($J858,4)&amp;MID($J858,6,2)&amp;RIGHT($J858,2)&amp;$N858&amp;"|"&amp;"2"&amp;RIGHT("00000"&amp;853,5))</f>
        <v/>
      </c>
      <c r="L858" t="str">
        <f t="shared" si="68"/>
        <v/>
      </c>
      <c r="M858" t="str">
        <f t="shared" si="69"/>
        <v/>
      </c>
      <c r="N858" t="str">
        <f>IF($F858="","",IF(Sync!$AF858="","0000",IF(AND(ISNUMBER(Sync!$AF858),Sync!$AF858&gt;=0,Sync!$AF858&lt;1),RIGHT("00"&amp;HOUR(Sync!$AF858),2)&amp;RIGHT("00"&amp;MINUTE(Sync!$AF858),2),IFERROR(RIGHT("00"&amp;VALUE(LEFT(Sync!$AF858,FIND(":",Sync!$AF858)-1)),2)&amp;RIGHT("00"&amp;VALUE(MID(Sync!$AF858,FIND(":",Sync!$AF858)+1,2)),2),"0000"))))</f>
        <v/>
      </c>
    </row>
    <row r="859" spans="1:14" x14ac:dyDescent="0.2">
      <c r="A859" t="str">
        <f>IF(OR(Calc!$E863="",Calc!$E863="نامعتبر",Calc!$G863=""),"",Calc!$G863)</f>
        <v/>
      </c>
      <c r="B859" t="str">
        <f>IF($A859="","",LEFT(Calc!$E863,4)&amp;MID(Calc!$E863,6,2)&amp;RIGHT(Calc!$E863,2)&amp;Calc!$Q863&amp;"|"&amp;"1"&amp;RIGHT("00000"&amp;854,5))</f>
        <v/>
      </c>
      <c r="C859" t="str">
        <f t="shared" si="65"/>
        <v/>
      </c>
      <c r="D859" t="str">
        <f t="shared" si="66"/>
        <v/>
      </c>
      <c r="F859" t="str">
        <f>IF(Sync!$AH859="","",IF(LEFT(UPPER(TRIM(Sync!$AH859)),2)="SL",UPPER(TRIM(Sync!$AH859)),""))</f>
        <v/>
      </c>
      <c r="G859" t="str">
        <f>IF($F859="","",IF(Sync!$AE859="","",IF(ISNUMBER(Sync!$AE859),IF(AND(Sync!$AE859&gt;=10000101,Sync!$AE859&lt;=99991231),INT(Sync!$AE859/10000),""),IFERROR(VALUE(TRIM(LEFT(Sync!$AE859,FIND("/",Sync!$AE859)-1))),""))))</f>
        <v/>
      </c>
      <c r="H859" t="str">
        <f>IF(OR($F859="",$G859=""),"",IF(ISNUMBER(Sync!$AE859),INT(MOD(Sync!$AE859,10000)/100),IFERROR(VALUE(TRIM(LEFT(MID(Sync!$AE859,FIND("/",Sync!$AE859)+1,20),FIND("/",MID(Sync!$AE859,FIND("/",Sync!$AE859)+1,20))-1))),"")))</f>
        <v/>
      </c>
      <c r="I859" t="str">
        <f>IF(OR($F859="",$G859=""),"",IF(ISNUMBER(Sync!$AE859),MOD(Sync!$AE859,100),IFERROR(VALUE(TRIM(MID(MID(Sync!$AE859,FIND("/",Sync!$AE859)+1,20),FIND("/",MID(Sync!$AE859,FIND("/",Sync!$AE859)+1,20))+1,20))),"")))</f>
        <v/>
      </c>
      <c r="J859" t="str">
        <f t="shared" si="67"/>
        <v/>
      </c>
      <c r="K859" t="str">
        <f>IF(OR($F859="",$J859="",$J859="نامعتبر"),"",LEFT($J859,4)&amp;MID($J859,6,2)&amp;RIGHT($J859,2)&amp;$N859&amp;"|"&amp;"2"&amp;RIGHT("00000"&amp;854,5))</f>
        <v/>
      </c>
      <c r="L859" t="str">
        <f t="shared" si="68"/>
        <v/>
      </c>
      <c r="M859" t="str">
        <f t="shared" si="69"/>
        <v/>
      </c>
      <c r="N859" t="str">
        <f>IF($F859="","",IF(Sync!$AF859="","0000",IF(AND(ISNUMBER(Sync!$AF859),Sync!$AF859&gt;=0,Sync!$AF859&lt;1),RIGHT("00"&amp;HOUR(Sync!$AF859),2)&amp;RIGHT("00"&amp;MINUTE(Sync!$AF859),2),IFERROR(RIGHT("00"&amp;VALUE(LEFT(Sync!$AF859,FIND(":",Sync!$AF859)-1)),2)&amp;RIGHT("00"&amp;VALUE(MID(Sync!$AF859,FIND(":",Sync!$AF859)+1,2)),2),"0000"))))</f>
        <v/>
      </c>
    </row>
    <row r="860" spans="1:14" x14ac:dyDescent="0.2">
      <c r="A860" t="str">
        <f>IF(OR(Calc!$E864="",Calc!$E864="نامعتبر",Calc!$G864=""),"",Calc!$G864)</f>
        <v/>
      </c>
      <c r="B860" t="str">
        <f>IF($A860="","",LEFT(Calc!$E864,4)&amp;MID(Calc!$E864,6,2)&amp;RIGHT(Calc!$E864,2)&amp;Calc!$Q864&amp;"|"&amp;"1"&amp;RIGHT("00000"&amp;855,5))</f>
        <v/>
      </c>
      <c r="C860" t="str">
        <f t="shared" si="65"/>
        <v/>
      </c>
      <c r="D860" t="str">
        <f t="shared" si="66"/>
        <v/>
      </c>
      <c r="F860" t="str">
        <f>IF(Sync!$AH860="","",IF(LEFT(UPPER(TRIM(Sync!$AH860)),2)="SL",UPPER(TRIM(Sync!$AH860)),""))</f>
        <v/>
      </c>
      <c r="G860" t="str">
        <f>IF($F860="","",IF(Sync!$AE860="","",IF(ISNUMBER(Sync!$AE860),IF(AND(Sync!$AE860&gt;=10000101,Sync!$AE860&lt;=99991231),INT(Sync!$AE860/10000),""),IFERROR(VALUE(TRIM(LEFT(Sync!$AE860,FIND("/",Sync!$AE860)-1))),""))))</f>
        <v/>
      </c>
      <c r="H860" t="str">
        <f>IF(OR($F860="",$G860=""),"",IF(ISNUMBER(Sync!$AE860),INT(MOD(Sync!$AE860,10000)/100),IFERROR(VALUE(TRIM(LEFT(MID(Sync!$AE860,FIND("/",Sync!$AE860)+1,20),FIND("/",MID(Sync!$AE860,FIND("/",Sync!$AE860)+1,20))-1))),"")))</f>
        <v/>
      </c>
      <c r="I860" t="str">
        <f>IF(OR($F860="",$G860=""),"",IF(ISNUMBER(Sync!$AE860),MOD(Sync!$AE860,100),IFERROR(VALUE(TRIM(MID(MID(Sync!$AE860,FIND("/",Sync!$AE860)+1,20),FIND("/",MID(Sync!$AE860,FIND("/",Sync!$AE860)+1,20))+1,20))),"")))</f>
        <v/>
      </c>
      <c r="J860" t="str">
        <f t="shared" si="67"/>
        <v/>
      </c>
      <c r="K860" t="str">
        <f>IF(OR($F860="",$J860="",$J860="نامعتبر"),"",LEFT($J860,4)&amp;MID($J860,6,2)&amp;RIGHT($J860,2)&amp;$N860&amp;"|"&amp;"2"&amp;RIGHT("00000"&amp;855,5))</f>
        <v/>
      </c>
      <c r="L860" t="str">
        <f t="shared" si="68"/>
        <v/>
      </c>
      <c r="M860" t="str">
        <f t="shared" si="69"/>
        <v/>
      </c>
      <c r="N860" t="str">
        <f>IF($F860="","",IF(Sync!$AF860="","0000",IF(AND(ISNUMBER(Sync!$AF860),Sync!$AF860&gt;=0,Sync!$AF860&lt;1),RIGHT("00"&amp;HOUR(Sync!$AF860),2)&amp;RIGHT("00"&amp;MINUTE(Sync!$AF860),2),IFERROR(RIGHT("00"&amp;VALUE(LEFT(Sync!$AF860,FIND(":",Sync!$AF860)-1)),2)&amp;RIGHT("00"&amp;VALUE(MID(Sync!$AF860,FIND(":",Sync!$AF860)+1,2)),2),"0000"))))</f>
        <v/>
      </c>
    </row>
    <row r="861" spans="1:14" x14ac:dyDescent="0.2">
      <c r="A861" t="str">
        <f>IF(OR(Calc!$E865="",Calc!$E865="نامعتبر",Calc!$G865=""),"",Calc!$G865)</f>
        <v/>
      </c>
      <c r="B861" t="str">
        <f>IF($A861="","",LEFT(Calc!$E865,4)&amp;MID(Calc!$E865,6,2)&amp;RIGHT(Calc!$E865,2)&amp;Calc!$Q865&amp;"|"&amp;"1"&amp;RIGHT("00000"&amp;856,5))</f>
        <v/>
      </c>
      <c r="C861" t="str">
        <f t="shared" si="65"/>
        <v/>
      </c>
      <c r="D861" t="str">
        <f t="shared" si="66"/>
        <v/>
      </c>
      <c r="F861" t="str">
        <f>IF(Sync!$AH861="","",IF(LEFT(UPPER(TRIM(Sync!$AH861)),2)="SL",UPPER(TRIM(Sync!$AH861)),""))</f>
        <v/>
      </c>
      <c r="G861" t="str">
        <f>IF($F861="","",IF(Sync!$AE861="","",IF(ISNUMBER(Sync!$AE861),IF(AND(Sync!$AE861&gt;=10000101,Sync!$AE861&lt;=99991231),INT(Sync!$AE861/10000),""),IFERROR(VALUE(TRIM(LEFT(Sync!$AE861,FIND("/",Sync!$AE861)-1))),""))))</f>
        <v/>
      </c>
      <c r="H861" t="str">
        <f>IF(OR($F861="",$G861=""),"",IF(ISNUMBER(Sync!$AE861),INT(MOD(Sync!$AE861,10000)/100),IFERROR(VALUE(TRIM(LEFT(MID(Sync!$AE861,FIND("/",Sync!$AE861)+1,20),FIND("/",MID(Sync!$AE861,FIND("/",Sync!$AE861)+1,20))-1))),"")))</f>
        <v/>
      </c>
      <c r="I861" t="str">
        <f>IF(OR($F861="",$G861=""),"",IF(ISNUMBER(Sync!$AE861),MOD(Sync!$AE861,100),IFERROR(VALUE(TRIM(MID(MID(Sync!$AE861,FIND("/",Sync!$AE861)+1,20),FIND("/",MID(Sync!$AE861,FIND("/",Sync!$AE861)+1,20))+1,20))),"")))</f>
        <v/>
      </c>
      <c r="J861" t="str">
        <f t="shared" si="67"/>
        <v/>
      </c>
      <c r="K861" t="str">
        <f>IF(OR($F861="",$J861="",$J861="نامعتبر"),"",LEFT($J861,4)&amp;MID($J861,6,2)&amp;RIGHT($J861,2)&amp;$N861&amp;"|"&amp;"2"&amp;RIGHT("00000"&amp;856,5))</f>
        <v/>
      </c>
      <c r="L861" t="str">
        <f t="shared" si="68"/>
        <v/>
      </c>
      <c r="M861" t="str">
        <f t="shared" si="69"/>
        <v/>
      </c>
      <c r="N861" t="str">
        <f>IF($F861="","",IF(Sync!$AF861="","0000",IF(AND(ISNUMBER(Sync!$AF861),Sync!$AF861&gt;=0,Sync!$AF861&lt;1),RIGHT("00"&amp;HOUR(Sync!$AF861),2)&amp;RIGHT("00"&amp;MINUTE(Sync!$AF861),2),IFERROR(RIGHT("00"&amp;VALUE(LEFT(Sync!$AF861,FIND(":",Sync!$AF861)-1)),2)&amp;RIGHT("00"&amp;VALUE(MID(Sync!$AF861,FIND(":",Sync!$AF861)+1,2)),2),"0000"))))</f>
        <v/>
      </c>
    </row>
    <row r="862" spans="1:14" x14ac:dyDescent="0.2">
      <c r="A862" t="str">
        <f>IF(OR(Calc!$E866="",Calc!$E866="نامعتبر",Calc!$G866=""),"",Calc!$G866)</f>
        <v/>
      </c>
      <c r="B862" t="str">
        <f>IF($A862="","",LEFT(Calc!$E866,4)&amp;MID(Calc!$E866,6,2)&amp;RIGHT(Calc!$E866,2)&amp;Calc!$Q866&amp;"|"&amp;"1"&amp;RIGHT("00000"&amp;857,5))</f>
        <v/>
      </c>
      <c r="C862" t="str">
        <f t="shared" si="65"/>
        <v/>
      </c>
      <c r="D862" t="str">
        <f t="shared" si="66"/>
        <v/>
      </c>
      <c r="F862" t="str">
        <f>IF(Sync!$AH862="","",IF(LEFT(UPPER(TRIM(Sync!$AH862)),2)="SL",UPPER(TRIM(Sync!$AH862)),""))</f>
        <v/>
      </c>
      <c r="G862" t="str">
        <f>IF($F862="","",IF(Sync!$AE862="","",IF(ISNUMBER(Sync!$AE862),IF(AND(Sync!$AE862&gt;=10000101,Sync!$AE862&lt;=99991231),INT(Sync!$AE862/10000),""),IFERROR(VALUE(TRIM(LEFT(Sync!$AE862,FIND("/",Sync!$AE862)-1))),""))))</f>
        <v/>
      </c>
      <c r="H862" t="str">
        <f>IF(OR($F862="",$G862=""),"",IF(ISNUMBER(Sync!$AE862),INT(MOD(Sync!$AE862,10000)/100),IFERROR(VALUE(TRIM(LEFT(MID(Sync!$AE862,FIND("/",Sync!$AE862)+1,20),FIND("/",MID(Sync!$AE862,FIND("/",Sync!$AE862)+1,20))-1))),"")))</f>
        <v/>
      </c>
      <c r="I862" t="str">
        <f>IF(OR($F862="",$G862=""),"",IF(ISNUMBER(Sync!$AE862),MOD(Sync!$AE862,100),IFERROR(VALUE(TRIM(MID(MID(Sync!$AE862,FIND("/",Sync!$AE862)+1,20),FIND("/",MID(Sync!$AE862,FIND("/",Sync!$AE862)+1,20))+1,20))),"")))</f>
        <v/>
      </c>
      <c r="J862" t="str">
        <f t="shared" si="67"/>
        <v/>
      </c>
      <c r="K862" t="str">
        <f>IF(OR($F862="",$J862="",$J862="نامعتبر"),"",LEFT($J862,4)&amp;MID($J862,6,2)&amp;RIGHT($J862,2)&amp;$N862&amp;"|"&amp;"2"&amp;RIGHT("00000"&amp;857,5))</f>
        <v/>
      </c>
      <c r="L862" t="str">
        <f t="shared" si="68"/>
        <v/>
      </c>
      <c r="M862" t="str">
        <f t="shared" si="69"/>
        <v/>
      </c>
      <c r="N862" t="str">
        <f>IF($F862="","",IF(Sync!$AF862="","0000",IF(AND(ISNUMBER(Sync!$AF862),Sync!$AF862&gt;=0,Sync!$AF862&lt;1),RIGHT("00"&amp;HOUR(Sync!$AF862),2)&amp;RIGHT("00"&amp;MINUTE(Sync!$AF862),2),IFERROR(RIGHT("00"&amp;VALUE(LEFT(Sync!$AF862,FIND(":",Sync!$AF862)-1)),2)&amp;RIGHT("00"&amp;VALUE(MID(Sync!$AF862,FIND(":",Sync!$AF862)+1,2)),2),"0000"))))</f>
        <v/>
      </c>
    </row>
    <row r="863" spans="1:14" x14ac:dyDescent="0.2">
      <c r="A863" t="str">
        <f>IF(OR(Calc!$E867="",Calc!$E867="نامعتبر",Calc!$G867=""),"",Calc!$G867)</f>
        <v/>
      </c>
      <c r="B863" t="str">
        <f>IF($A863="","",LEFT(Calc!$E867,4)&amp;MID(Calc!$E867,6,2)&amp;RIGHT(Calc!$E867,2)&amp;Calc!$Q867&amp;"|"&amp;"1"&amp;RIGHT("00000"&amp;858,5))</f>
        <v/>
      </c>
      <c r="C863" t="str">
        <f t="shared" si="65"/>
        <v/>
      </c>
      <c r="D863" t="str">
        <f t="shared" si="66"/>
        <v/>
      </c>
      <c r="F863" t="str">
        <f>IF(Sync!$AH863="","",IF(LEFT(UPPER(TRIM(Sync!$AH863)),2)="SL",UPPER(TRIM(Sync!$AH863)),""))</f>
        <v/>
      </c>
      <c r="G863" t="str">
        <f>IF($F863="","",IF(Sync!$AE863="","",IF(ISNUMBER(Sync!$AE863),IF(AND(Sync!$AE863&gt;=10000101,Sync!$AE863&lt;=99991231),INT(Sync!$AE863/10000),""),IFERROR(VALUE(TRIM(LEFT(Sync!$AE863,FIND("/",Sync!$AE863)-1))),""))))</f>
        <v/>
      </c>
      <c r="H863" t="str">
        <f>IF(OR($F863="",$G863=""),"",IF(ISNUMBER(Sync!$AE863),INT(MOD(Sync!$AE863,10000)/100),IFERROR(VALUE(TRIM(LEFT(MID(Sync!$AE863,FIND("/",Sync!$AE863)+1,20),FIND("/",MID(Sync!$AE863,FIND("/",Sync!$AE863)+1,20))-1))),"")))</f>
        <v/>
      </c>
      <c r="I863" t="str">
        <f>IF(OR($F863="",$G863=""),"",IF(ISNUMBER(Sync!$AE863),MOD(Sync!$AE863,100),IFERROR(VALUE(TRIM(MID(MID(Sync!$AE863,FIND("/",Sync!$AE863)+1,20),FIND("/",MID(Sync!$AE863,FIND("/",Sync!$AE863)+1,20))+1,20))),"")))</f>
        <v/>
      </c>
      <c r="J863" t="str">
        <f t="shared" si="67"/>
        <v/>
      </c>
      <c r="K863" t="str">
        <f>IF(OR($F863="",$J863="",$J863="نامعتبر"),"",LEFT($J863,4)&amp;MID($J863,6,2)&amp;RIGHT($J863,2)&amp;$N863&amp;"|"&amp;"2"&amp;RIGHT("00000"&amp;858,5))</f>
        <v/>
      </c>
      <c r="L863" t="str">
        <f t="shared" si="68"/>
        <v/>
      </c>
      <c r="M863" t="str">
        <f t="shared" si="69"/>
        <v/>
      </c>
      <c r="N863" t="str">
        <f>IF($F863="","",IF(Sync!$AF863="","0000",IF(AND(ISNUMBER(Sync!$AF863),Sync!$AF863&gt;=0,Sync!$AF863&lt;1),RIGHT("00"&amp;HOUR(Sync!$AF863),2)&amp;RIGHT("00"&amp;MINUTE(Sync!$AF863),2),IFERROR(RIGHT("00"&amp;VALUE(LEFT(Sync!$AF863,FIND(":",Sync!$AF863)-1)),2)&amp;RIGHT("00"&amp;VALUE(MID(Sync!$AF863,FIND(":",Sync!$AF863)+1,2)),2),"0000"))))</f>
        <v/>
      </c>
    </row>
    <row r="864" spans="1:14" x14ac:dyDescent="0.2">
      <c r="A864" t="str">
        <f>IF(OR(Calc!$E868="",Calc!$E868="نامعتبر",Calc!$G868=""),"",Calc!$G868)</f>
        <v/>
      </c>
      <c r="B864" t="str">
        <f>IF($A864="","",LEFT(Calc!$E868,4)&amp;MID(Calc!$E868,6,2)&amp;RIGHT(Calc!$E868,2)&amp;Calc!$Q868&amp;"|"&amp;"1"&amp;RIGHT("00000"&amp;859,5))</f>
        <v/>
      </c>
      <c r="C864" t="str">
        <f t="shared" si="65"/>
        <v/>
      </c>
      <c r="D864" t="str">
        <f t="shared" si="66"/>
        <v/>
      </c>
      <c r="F864" t="str">
        <f>IF(Sync!$AH864="","",IF(LEFT(UPPER(TRIM(Sync!$AH864)),2)="SL",UPPER(TRIM(Sync!$AH864)),""))</f>
        <v/>
      </c>
      <c r="G864" t="str">
        <f>IF($F864="","",IF(Sync!$AE864="","",IF(ISNUMBER(Sync!$AE864),IF(AND(Sync!$AE864&gt;=10000101,Sync!$AE864&lt;=99991231),INT(Sync!$AE864/10000),""),IFERROR(VALUE(TRIM(LEFT(Sync!$AE864,FIND("/",Sync!$AE864)-1))),""))))</f>
        <v/>
      </c>
      <c r="H864" t="str">
        <f>IF(OR($F864="",$G864=""),"",IF(ISNUMBER(Sync!$AE864),INT(MOD(Sync!$AE864,10000)/100),IFERROR(VALUE(TRIM(LEFT(MID(Sync!$AE864,FIND("/",Sync!$AE864)+1,20),FIND("/",MID(Sync!$AE864,FIND("/",Sync!$AE864)+1,20))-1))),"")))</f>
        <v/>
      </c>
      <c r="I864" t="str">
        <f>IF(OR($F864="",$G864=""),"",IF(ISNUMBER(Sync!$AE864),MOD(Sync!$AE864,100),IFERROR(VALUE(TRIM(MID(MID(Sync!$AE864,FIND("/",Sync!$AE864)+1,20),FIND("/",MID(Sync!$AE864,FIND("/",Sync!$AE864)+1,20))+1,20))),"")))</f>
        <v/>
      </c>
      <c r="J864" t="str">
        <f t="shared" si="67"/>
        <v/>
      </c>
      <c r="K864" t="str">
        <f>IF(OR($F864="",$J864="",$J864="نامعتبر"),"",LEFT($J864,4)&amp;MID($J864,6,2)&amp;RIGHT($J864,2)&amp;$N864&amp;"|"&amp;"2"&amp;RIGHT("00000"&amp;859,5))</f>
        <v/>
      </c>
      <c r="L864" t="str">
        <f t="shared" si="68"/>
        <v/>
      </c>
      <c r="M864" t="str">
        <f t="shared" si="69"/>
        <v/>
      </c>
      <c r="N864" t="str">
        <f>IF($F864="","",IF(Sync!$AF864="","0000",IF(AND(ISNUMBER(Sync!$AF864),Sync!$AF864&gt;=0,Sync!$AF864&lt;1),RIGHT("00"&amp;HOUR(Sync!$AF864),2)&amp;RIGHT("00"&amp;MINUTE(Sync!$AF864),2),IFERROR(RIGHT("00"&amp;VALUE(LEFT(Sync!$AF864,FIND(":",Sync!$AF864)-1)),2)&amp;RIGHT("00"&amp;VALUE(MID(Sync!$AF864,FIND(":",Sync!$AF864)+1,2)),2),"0000"))))</f>
        <v/>
      </c>
    </row>
    <row r="865" spans="1:14" x14ac:dyDescent="0.2">
      <c r="A865" t="str">
        <f>IF(OR(Calc!$E869="",Calc!$E869="نامعتبر",Calc!$G869=""),"",Calc!$G869)</f>
        <v/>
      </c>
      <c r="B865" t="str">
        <f>IF($A865="","",LEFT(Calc!$E869,4)&amp;MID(Calc!$E869,6,2)&amp;RIGHT(Calc!$E869,2)&amp;Calc!$Q869&amp;"|"&amp;"1"&amp;RIGHT("00000"&amp;860,5))</f>
        <v/>
      </c>
      <c r="C865" t="str">
        <f t="shared" si="65"/>
        <v/>
      </c>
      <c r="D865" t="str">
        <f t="shared" si="66"/>
        <v/>
      </c>
      <c r="F865" t="str">
        <f>IF(Sync!$AH865="","",IF(LEFT(UPPER(TRIM(Sync!$AH865)),2)="SL",UPPER(TRIM(Sync!$AH865)),""))</f>
        <v/>
      </c>
      <c r="G865" t="str">
        <f>IF($F865="","",IF(Sync!$AE865="","",IF(ISNUMBER(Sync!$AE865),IF(AND(Sync!$AE865&gt;=10000101,Sync!$AE865&lt;=99991231),INT(Sync!$AE865/10000),""),IFERROR(VALUE(TRIM(LEFT(Sync!$AE865,FIND("/",Sync!$AE865)-1))),""))))</f>
        <v/>
      </c>
      <c r="H865" t="str">
        <f>IF(OR($F865="",$G865=""),"",IF(ISNUMBER(Sync!$AE865),INT(MOD(Sync!$AE865,10000)/100),IFERROR(VALUE(TRIM(LEFT(MID(Sync!$AE865,FIND("/",Sync!$AE865)+1,20),FIND("/",MID(Sync!$AE865,FIND("/",Sync!$AE865)+1,20))-1))),"")))</f>
        <v/>
      </c>
      <c r="I865" t="str">
        <f>IF(OR($F865="",$G865=""),"",IF(ISNUMBER(Sync!$AE865),MOD(Sync!$AE865,100),IFERROR(VALUE(TRIM(MID(MID(Sync!$AE865,FIND("/",Sync!$AE865)+1,20),FIND("/",MID(Sync!$AE865,FIND("/",Sync!$AE865)+1,20))+1,20))),"")))</f>
        <v/>
      </c>
      <c r="J865" t="str">
        <f t="shared" si="67"/>
        <v/>
      </c>
      <c r="K865" t="str">
        <f>IF(OR($F865="",$J865="",$J865="نامعتبر"),"",LEFT($J865,4)&amp;MID($J865,6,2)&amp;RIGHT($J865,2)&amp;$N865&amp;"|"&amp;"2"&amp;RIGHT("00000"&amp;860,5))</f>
        <v/>
      </c>
      <c r="L865" t="str">
        <f t="shared" si="68"/>
        <v/>
      </c>
      <c r="M865" t="str">
        <f t="shared" si="69"/>
        <v/>
      </c>
      <c r="N865" t="str">
        <f>IF($F865="","",IF(Sync!$AF865="","0000",IF(AND(ISNUMBER(Sync!$AF865),Sync!$AF865&gt;=0,Sync!$AF865&lt;1),RIGHT("00"&amp;HOUR(Sync!$AF865),2)&amp;RIGHT("00"&amp;MINUTE(Sync!$AF865),2),IFERROR(RIGHT("00"&amp;VALUE(LEFT(Sync!$AF865,FIND(":",Sync!$AF865)-1)),2)&amp;RIGHT("00"&amp;VALUE(MID(Sync!$AF865,FIND(":",Sync!$AF865)+1,2)),2),"0000"))))</f>
        <v/>
      </c>
    </row>
    <row r="866" spans="1:14" x14ac:dyDescent="0.2">
      <c r="A866" t="str">
        <f>IF(OR(Calc!$E870="",Calc!$E870="نامعتبر",Calc!$G870=""),"",Calc!$G870)</f>
        <v/>
      </c>
      <c r="B866" t="str">
        <f>IF($A866="","",LEFT(Calc!$E870,4)&amp;MID(Calc!$E870,6,2)&amp;RIGHT(Calc!$E870,2)&amp;Calc!$Q870&amp;"|"&amp;"1"&amp;RIGHT("00000"&amp;861,5))</f>
        <v/>
      </c>
      <c r="C866" t="str">
        <f t="shared" si="65"/>
        <v/>
      </c>
      <c r="D866" t="str">
        <f t="shared" si="66"/>
        <v/>
      </c>
      <c r="F866" t="str">
        <f>IF(Sync!$AH866="","",IF(LEFT(UPPER(TRIM(Sync!$AH866)),2)="SL",UPPER(TRIM(Sync!$AH866)),""))</f>
        <v/>
      </c>
      <c r="G866" t="str">
        <f>IF($F866="","",IF(Sync!$AE866="","",IF(ISNUMBER(Sync!$AE866),IF(AND(Sync!$AE866&gt;=10000101,Sync!$AE866&lt;=99991231),INT(Sync!$AE866/10000),""),IFERROR(VALUE(TRIM(LEFT(Sync!$AE866,FIND("/",Sync!$AE866)-1))),""))))</f>
        <v/>
      </c>
      <c r="H866" t="str">
        <f>IF(OR($F866="",$G866=""),"",IF(ISNUMBER(Sync!$AE866),INT(MOD(Sync!$AE866,10000)/100),IFERROR(VALUE(TRIM(LEFT(MID(Sync!$AE866,FIND("/",Sync!$AE866)+1,20),FIND("/",MID(Sync!$AE866,FIND("/",Sync!$AE866)+1,20))-1))),"")))</f>
        <v/>
      </c>
      <c r="I866" t="str">
        <f>IF(OR($F866="",$G866=""),"",IF(ISNUMBER(Sync!$AE866),MOD(Sync!$AE866,100),IFERROR(VALUE(TRIM(MID(MID(Sync!$AE866,FIND("/",Sync!$AE866)+1,20),FIND("/",MID(Sync!$AE866,FIND("/",Sync!$AE866)+1,20))+1,20))),"")))</f>
        <v/>
      </c>
      <c r="J866" t="str">
        <f t="shared" si="67"/>
        <v/>
      </c>
      <c r="K866" t="str">
        <f>IF(OR($F866="",$J866="",$J866="نامعتبر"),"",LEFT($J866,4)&amp;MID($J866,6,2)&amp;RIGHT($J866,2)&amp;$N866&amp;"|"&amp;"2"&amp;RIGHT("00000"&amp;861,5))</f>
        <v/>
      </c>
      <c r="L866" t="str">
        <f t="shared" si="68"/>
        <v/>
      </c>
      <c r="M866" t="str">
        <f t="shared" si="69"/>
        <v/>
      </c>
      <c r="N866" t="str">
        <f>IF($F866="","",IF(Sync!$AF866="","0000",IF(AND(ISNUMBER(Sync!$AF866),Sync!$AF866&gt;=0,Sync!$AF866&lt;1),RIGHT("00"&amp;HOUR(Sync!$AF866),2)&amp;RIGHT("00"&amp;MINUTE(Sync!$AF866),2),IFERROR(RIGHT("00"&amp;VALUE(LEFT(Sync!$AF866,FIND(":",Sync!$AF866)-1)),2)&amp;RIGHT("00"&amp;VALUE(MID(Sync!$AF866,FIND(":",Sync!$AF866)+1,2)),2),"0000"))))</f>
        <v/>
      </c>
    </row>
    <row r="867" spans="1:14" x14ac:dyDescent="0.2">
      <c r="A867" t="str">
        <f>IF(OR(Calc!$E871="",Calc!$E871="نامعتبر",Calc!$G871=""),"",Calc!$G871)</f>
        <v/>
      </c>
      <c r="B867" t="str">
        <f>IF($A867="","",LEFT(Calc!$E871,4)&amp;MID(Calc!$E871,6,2)&amp;RIGHT(Calc!$E871,2)&amp;Calc!$Q871&amp;"|"&amp;"1"&amp;RIGHT("00000"&amp;862,5))</f>
        <v/>
      </c>
      <c r="C867" t="str">
        <f t="shared" si="65"/>
        <v/>
      </c>
      <c r="D867" t="str">
        <f t="shared" si="66"/>
        <v/>
      </c>
      <c r="F867" t="str">
        <f>IF(Sync!$AH867="","",IF(LEFT(UPPER(TRIM(Sync!$AH867)),2)="SL",UPPER(TRIM(Sync!$AH867)),""))</f>
        <v/>
      </c>
      <c r="G867" t="str">
        <f>IF($F867="","",IF(Sync!$AE867="","",IF(ISNUMBER(Sync!$AE867),IF(AND(Sync!$AE867&gt;=10000101,Sync!$AE867&lt;=99991231),INT(Sync!$AE867/10000),""),IFERROR(VALUE(TRIM(LEFT(Sync!$AE867,FIND("/",Sync!$AE867)-1))),""))))</f>
        <v/>
      </c>
      <c r="H867" t="str">
        <f>IF(OR($F867="",$G867=""),"",IF(ISNUMBER(Sync!$AE867),INT(MOD(Sync!$AE867,10000)/100),IFERROR(VALUE(TRIM(LEFT(MID(Sync!$AE867,FIND("/",Sync!$AE867)+1,20),FIND("/",MID(Sync!$AE867,FIND("/",Sync!$AE867)+1,20))-1))),"")))</f>
        <v/>
      </c>
      <c r="I867" t="str">
        <f>IF(OR($F867="",$G867=""),"",IF(ISNUMBER(Sync!$AE867),MOD(Sync!$AE867,100),IFERROR(VALUE(TRIM(MID(MID(Sync!$AE867,FIND("/",Sync!$AE867)+1,20),FIND("/",MID(Sync!$AE867,FIND("/",Sync!$AE867)+1,20))+1,20))),"")))</f>
        <v/>
      </c>
      <c r="J867" t="str">
        <f t="shared" si="67"/>
        <v/>
      </c>
      <c r="K867" t="str">
        <f>IF(OR($F867="",$J867="",$J867="نامعتبر"),"",LEFT($J867,4)&amp;MID($J867,6,2)&amp;RIGHT($J867,2)&amp;$N867&amp;"|"&amp;"2"&amp;RIGHT("00000"&amp;862,5))</f>
        <v/>
      </c>
      <c r="L867" t="str">
        <f t="shared" si="68"/>
        <v/>
      </c>
      <c r="M867" t="str">
        <f t="shared" si="69"/>
        <v/>
      </c>
      <c r="N867" t="str">
        <f>IF($F867="","",IF(Sync!$AF867="","0000",IF(AND(ISNUMBER(Sync!$AF867),Sync!$AF867&gt;=0,Sync!$AF867&lt;1),RIGHT("00"&amp;HOUR(Sync!$AF867),2)&amp;RIGHT("00"&amp;MINUTE(Sync!$AF867),2),IFERROR(RIGHT("00"&amp;VALUE(LEFT(Sync!$AF867,FIND(":",Sync!$AF867)-1)),2)&amp;RIGHT("00"&amp;VALUE(MID(Sync!$AF867,FIND(":",Sync!$AF867)+1,2)),2),"0000"))))</f>
        <v/>
      </c>
    </row>
    <row r="868" spans="1:14" x14ac:dyDescent="0.2">
      <c r="A868" t="str">
        <f>IF(OR(Calc!$E872="",Calc!$E872="نامعتبر",Calc!$G872=""),"",Calc!$G872)</f>
        <v/>
      </c>
      <c r="B868" t="str">
        <f>IF($A868="","",LEFT(Calc!$E872,4)&amp;MID(Calc!$E872,6,2)&amp;RIGHT(Calc!$E872,2)&amp;Calc!$Q872&amp;"|"&amp;"1"&amp;RIGHT("00000"&amp;863,5))</f>
        <v/>
      </c>
      <c r="C868" t="str">
        <f t="shared" si="65"/>
        <v/>
      </c>
      <c r="D868" t="str">
        <f t="shared" si="66"/>
        <v/>
      </c>
      <c r="F868" t="str">
        <f>IF(Sync!$AH868="","",IF(LEFT(UPPER(TRIM(Sync!$AH868)),2)="SL",UPPER(TRIM(Sync!$AH868)),""))</f>
        <v/>
      </c>
      <c r="G868" t="str">
        <f>IF($F868="","",IF(Sync!$AE868="","",IF(ISNUMBER(Sync!$AE868),IF(AND(Sync!$AE868&gt;=10000101,Sync!$AE868&lt;=99991231),INT(Sync!$AE868/10000),""),IFERROR(VALUE(TRIM(LEFT(Sync!$AE868,FIND("/",Sync!$AE868)-1))),""))))</f>
        <v/>
      </c>
      <c r="H868" t="str">
        <f>IF(OR($F868="",$G868=""),"",IF(ISNUMBER(Sync!$AE868),INT(MOD(Sync!$AE868,10000)/100),IFERROR(VALUE(TRIM(LEFT(MID(Sync!$AE868,FIND("/",Sync!$AE868)+1,20),FIND("/",MID(Sync!$AE868,FIND("/",Sync!$AE868)+1,20))-1))),"")))</f>
        <v/>
      </c>
      <c r="I868" t="str">
        <f>IF(OR($F868="",$G868=""),"",IF(ISNUMBER(Sync!$AE868),MOD(Sync!$AE868,100),IFERROR(VALUE(TRIM(MID(MID(Sync!$AE868,FIND("/",Sync!$AE868)+1,20),FIND("/",MID(Sync!$AE868,FIND("/",Sync!$AE868)+1,20))+1,20))),"")))</f>
        <v/>
      </c>
      <c r="J868" t="str">
        <f t="shared" si="67"/>
        <v/>
      </c>
      <c r="K868" t="str">
        <f>IF(OR($F868="",$J868="",$J868="نامعتبر"),"",LEFT($J868,4)&amp;MID($J868,6,2)&amp;RIGHT($J868,2)&amp;$N868&amp;"|"&amp;"2"&amp;RIGHT("00000"&amp;863,5))</f>
        <v/>
      </c>
      <c r="L868" t="str">
        <f t="shared" si="68"/>
        <v/>
      </c>
      <c r="M868" t="str">
        <f t="shared" si="69"/>
        <v/>
      </c>
      <c r="N868" t="str">
        <f>IF($F868="","",IF(Sync!$AF868="","0000",IF(AND(ISNUMBER(Sync!$AF868),Sync!$AF868&gt;=0,Sync!$AF868&lt;1),RIGHT("00"&amp;HOUR(Sync!$AF868),2)&amp;RIGHT("00"&amp;MINUTE(Sync!$AF868),2),IFERROR(RIGHT("00"&amp;VALUE(LEFT(Sync!$AF868,FIND(":",Sync!$AF868)-1)),2)&amp;RIGHT("00"&amp;VALUE(MID(Sync!$AF868,FIND(":",Sync!$AF868)+1,2)),2),"0000"))))</f>
        <v/>
      </c>
    </row>
    <row r="869" spans="1:14" x14ac:dyDescent="0.2">
      <c r="A869" t="str">
        <f>IF(OR(Calc!$E873="",Calc!$E873="نامعتبر",Calc!$G873=""),"",Calc!$G873)</f>
        <v/>
      </c>
      <c r="B869" t="str">
        <f>IF($A869="","",LEFT(Calc!$E873,4)&amp;MID(Calc!$E873,6,2)&amp;RIGHT(Calc!$E873,2)&amp;Calc!$Q873&amp;"|"&amp;"1"&amp;RIGHT("00000"&amp;864,5))</f>
        <v/>
      </c>
      <c r="C869" t="str">
        <f t="shared" si="65"/>
        <v/>
      </c>
      <c r="D869" t="str">
        <f t="shared" si="66"/>
        <v/>
      </c>
      <c r="F869" t="str">
        <f>IF(Sync!$AH869="","",IF(LEFT(UPPER(TRIM(Sync!$AH869)),2)="SL",UPPER(TRIM(Sync!$AH869)),""))</f>
        <v/>
      </c>
      <c r="G869" t="str">
        <f>IF($F869="","",IF(Sync!$AE869="","",IF(ISNUMBER(Sync!$AE869),IF(AND(Sync!$AE869&gt;=10000101,Sync!$AE869&lt;=99991231),INT(Sync!$AE869/10000),""),IFERROR(VALUE(TRIM(LEFT(Sync!$AE869,FIND("/",Sync!$AE869)-1))),""))))</f>
        <v/>
      </c>
      <c r="H869" t="str">
        <f>IF(OR($F869="",$G869=""),"",IF(ISNUMBER(Sync!$AE869),INT(MOD(Sync!$AE869,10000)/100),IFERROR(VALUE(TRIM(LEFT(MID(Sync!$AE869,FIND("/",Sync!$AE869)+1,20),FIND("/",MID(Sync!$AE869,FIND("/",Sync!$AE869)+1,20))-1))),"")))</f>
        <v/>
      </c>
      <c r="I869" t="str">
        <f>IF(OR($F869="",$G869=""),"",IF(ISNUMBER(Sync!$AE869),MOD(Sync!$AE869,100),IFERROR(VALUE(TRIM(MID(MID(Sync!$AE869,FIND("/",Sync!$AE869)+1,20),FIND("/",MID(Sync!$AE869,FIND("/",Sync!$AE869)+1,20))+1,20))),"")))</f>
        <v/>
      </c>
      <c r="J869" t="str">
        <f t="shared" si="67"/>
        <v/>
      </c>
      <c r="K869" t="str">
        <f>IF(OR($F869="",$J869="",$J869="نامعتبر"),"",LEFT($J869,4)&amp;MID($J869,6,2)&amp;RIGHT($J869,2)&amp;$N869&amp;"|"&amp;"2"&amp;RIGHT("00000"&amp;864,5))</f>
        <v/>
      </c>
      <c r="L869" t="str">
        <f t="shared" si="68"/>
        <v/>
      </c>
      <c r="M869" t="str">
        <f t="shared" si="69"/>
        <v/>
      </c>
      <c r="N869" t="str">
        <f>IF($F869="","",IF(Sync!$AF869="","0000",IF(AND(ISNUMBER(Sync!$AF869),Sync!$AF869&gt;=0,Sync!$AF869&lt;1),RIGHT("00"&amp;HOUR(Sync!$AF869),2)&amp;RIGHT("00"&amp;MINUTE(Sync!$AF869),2),IFERROR(RIGHT("00"&amp;VALUE(LEFT(Sync!$AF869,FIND(":",Sync!$AF869)-1)),2)&amp;RIGHT("00"&amp;VALUE(MID(Sync!$AF869,FIND(":",Sync!$AF869)+1,2)),2),"0000"))))</f>
        <v/>
      </c>
    </row>
    <row r="870" spans="1:14" x14ac:dyDescent="0.2">
      <c r="A870" t="str">
        <f>IF(OR(Calc!$E874="",Calc!$E874="نامعتبر",Calc!$G874=""),"",Calc!$G874)</f>
        <v/>
      </c>
      <c r="B870" t="str">
        <f>IF($A870="","",LEFT(Calc!$E874,4)&amp;MID(Calc!$E874,6,2)&amp;RIGHT(Calc!$E874,2)&amp;Calc!$Q874&amp;"|"&amp;"1"&amp;RIGHT("00000"&amp;865,5))</f>
        <v/>
      </c>
      <c r="C870" t="str">
        <f t="shared" si="65"/>
        <v/>
      </c>
      <c r="D870" t="str">
        <f t="shared" si="66"/>
        <v/>
      </c>
      <c r="F870" t="str">
        <f>IF(Sync!$AH870="","",IF(LEFT(UPPER(TRIM(Sync!$AH870)),2)="SL",UPPER(TRIM(Sync!$AH870)),""))</f>
        <v/>
      </c>
      <c r="G870" t="str">
        <f>IF($F870="","",IF(Sync!$AE870="","",IF(ISNUMBER(Sync!$AE870),IF(AND(Sync!$AE870&gt;=10000101,Sync!$AE870&lt;=99991231),INT(Sync!$AE870/10000),""),IFERROR(VALUE(TRIM(LEFT(Sync!$AE870,FIND("/",Sync!$AE870)-1))),""))))</f>
        <v/>
      </c>
      <c r="H870" t="str">
        <f>IF(OR($F870="",$G870=""),"",IF(ISNUMBER(Sync!$AE870),INT(MOD(Sync!$AE870,10000)/100),IFERROR(VALUE(TRIM(LEFT(MID(Sync!$AE870,FIND("/",Sync!$AE870)+1,20),FIND("/",MID(Sync!$AE870,FIND("/",Sync!$AE870)+1,20))-1))),"")))</f>
        <v/>
      </c>
      <c r="I870" t="str">
        <f>IF(OR($F870="",$G870=""),"",IF(ISNUMBER(Sync!$AE870),MOD(Sync!$AE870,100),IFERROR(VALUE(TRIM(MID(MID(Sync!$AE870,FIND("/",Sync!$AE870)+1,20),FIND("/",MID(Sync!$AE870,FIND("/",Sync!$AE870)+1,20))+1,20))),"")))</f>
        <v/>
      </c>
      <c r="J870" t="str">
        <f t="shared" si="67"/>
        <v/>
      </c>
      <c r="K870" t="str">
        <f>IF(OR($F870="",$J870="",$J870="نامعتبر"),"",LEFT($J870,4)&amp;MID($J870,6,2)&amp;RIGHT($J870,2)&amp;$N870&amp;"|"&amp;"2"&amp;RIGHT("00000"&amp;865,5))</f>
        <v/>
      </c>
      <c r="L870" t="str">
        <f t="shared" si="68"/>
        <v/>
      </c>
      <c r="M870" t="str">
        <f t="shared" si="69"/>
        <v/>
      </c>
      <c r="N870" t="str">
        <f>IF($F870="","",IF(Sync!$AF870="","0000",IF(AND(ISNUMBER(Sync!$AF870),Sync!$AF870&gt;=0,Sync!$AF870&lt;1),RIGHT("00"&amp;HOUR(Sync!$AF870),2)&amp;RIGHT("00"&amp;MINUTE(Sync!$AF870),2),IFERROR(RIGHT("00"&amp;VALUE(LEFT(Sync!$AF870,FIND(":",Sync!$AF870)-1)),2)&amp;RIGHT("00"&amp;VALUE(MID(Sync!$AF870,FIND(":",Sync!$AF870)+1,2)),2),"0000"))))</f>
        <v/>
      </c>
    </row>
    <row r="871" spans="1:14" x14ac:dyDescent="0.2">
      <c r="A871" t="str">
        <f>IF(OR(Calc!$E875="",Calc!$E875="نامعتبر",Calc!$G875=""),"",Calc!$G875)</f>
        <v/>
      </c>
      <c r="B871" t="str">
        <f>IF($A871="","",LEFT(Calc!$E875,4)&amp;MID(Calc!$E875,6,2)&amp;RIGHT(Calc!$E875,2)&amp;Calc!$Q875&amp;"|"&amp;"1"&amp;RIGHT("00000"&amp;866,5))</f>
        <v/>
      </c>
      <c r="C871" t="str">
        <f t="shared" si="65"/>
        <v/>
      </c>
      <c r="D871" t="str">
        <f t="shared" si="66"/>
        <v/>
      </c>
      <c r="F871" t="str">
        <f>IF(Sync!$AH871="","",IF(LEFT(UPPER(TRIM(Sync!$AH871)),2)="SL",UPPER(TRIM(Sync!$AH871)),""))</f>
        <v/>
      </c>
      <c r="G871" t="str">
        <f>IF($F871="","",IF(Sync!$AE871="","",IF(ISNUMBER(Sync!$AE871),IF(AND(Sync!$AE871&gt;=10000101,Sync!$AE871&lt;=99991231),INT(Sync!$AE871/10000),""),IFERROR(VALUE(TRIM(LEFT(Sync!$AE871,FIND("/",Sync!$AE871)-1))),""))))</f>
        <v/>
      </c>
      <c r="H871" t="str">
        <f>IF(OR($F871="",$G871=""),"",IF(ISNUMBER(Sync!$AE871),INT(MOD(Sync!$AE871,10000)/100),IFERROR(VALUE(TRIM(LEFT(MID(Sync!$AE871,FIND("/",Sync!$AE871)+1,20),FIND("/",MID(Sync!$AE871,FIND("/",Sync!$AE871)+1,20))-1))),"")))</f>
        <v/>
      </c>
      <c r="I871" t="str">
        <f>IF(OR($F871="",$G871=""),"",IF(ISNUMBER(Sync!$AE871),MOD(Sync!$AE871,100),IFERROR(VALUE(TRIM(MID(MID(Sync!$AE871,FIND("/",Sync!$AE871)+1,20),FIND("/",MID(Sync!$AE871,FIND("/",Sync!$AE871)+1,20))+1,20))),"")))</f>
        <v/>
      </c>
      <c r="J871" t="str">
        <f t="shared" si="67"/>
        <v/>
      </c>
      <c r="K871" t="str">
        <f>IF(OR($F871="",$J871="",$J871="نامعتبر"),"",LEFT($J871,4)&amp;MID($J871,6,2)&amp;RIGHT($J871,2)&amp;$N871&amp;"|"&amp;"2"&amp;RIGHT("00000"&amp;866,5))</f>
        <v/>
      </c>
      <c r="L871" t="str">
        <f t="shared" si="68"/>
        <v/>
      </c>
      <c r="M871" t="str">
        <f t="shared" si="69"/>
        <v/>
      </c>
      <c r="N871" t="str">
        <f>IF($F871="","",IF(Sync!$AF871="","0000",IF(AND(ISNUMBER(Sync!$AF871),Sync!$AF871&gt;=0,Sync!$AF871&lt;1),RIGHT("00"&amp;HOUR(Sync!$AF871),2)&amp;RIGHT("00"&amp;MINUTE(Sync!$AF871),2),IFERROR(RIGHT("00"&amp;VALUE(LEFT(Sync!$AF871,FIND(":",Sync!$AF871)-1)),2)&amp;RIGHT("00"&amp;VALUE(MID(Sync!$AF871,FIND(":",Sync!$AF871)+1,2)),2),"0000"))))</f>
        <v/>
      </c>
    </row>
    <row r="872" spans="1:14" x14ac:dyDescent="0.2">
      <c r="A872" t="str">
        <f>IF(OR(Calc!$E876="",Calc!$E876="نامعتبر",Calc!$G876=""),"",Calc!$G876)</f>
        <v/>
      </c>
      <c r="B872" t="str">
        <f>IF($A872="","",LEFT(Calc!$E876,4)&amp;MID(Calc!$E876,6,2)&amp;RIGHT(Calc!$E876,2)&amp;Calc!$Q876&amp;"|"&amp;"1"&amp;RIGHT("00000"&amp;867,5))</f>
        <v/>
      </c>
      <c r="C872" t="str">
        <f t="shared" si="65"/>
        <v/>
      </c>
      <c r="D872" t="str">
        <f t="shared" si="66"/>
        <v/>
      </c>
      <c r="F872" t="str">
        <f>IF(Sync!$AH872="","",IF(LEFT(UPPER(TRIM(Sync!$AH872)),2)="SL",UPPER(TRIM(Sync!$AH872)),""))</f>
        <v/>
      </c>
      <c r="G872" t="str">
        <f>IF($F872="","",IF(Sync!$AE872="","",IF(ISNUMBER(Sync!$AE872),IF(AND(Sync!$AE872&gt;=10000101,Sync!$AE872&lt;=99991231),INT(Sync!$AE872/10000),""),IFERROR(VALUE(TRIM(LEFT(Sync!$AE872,FIND("/",Sync!$AE872)-1))),""))))</f>
        <v/>
      </c>
      <c r="H872" t="str">
        <f>IF(OR($F872="",$G872=""),"",IF(ISNUMBER(Sync!$AE872),INT(MOD(Sync!$AE872,10000)/100),IFERROR(VALUE(TRIM(LEFT(MID(Sync!$AE872,FIND("/",Sync!$AE872)+1,20),FIND("/",MID(Sync!$AE872,FIND("/",Sync!$AE872)+1,20))-1))),"")))</f>
        <v/>
      </c>
      <c r="I872" t="str">
        <f>IF(OR($F872="",$G872=""),"",IF(ISNUMBER(Sync!$AE872),MOD(Sync!$AE872,100),IFERROR(VALUE(TRIM(MID(MID(Sync!$AE872,FIND("/",Sync!$AE872)+1,20),FIND("/",MID(Sync!$AE872,FIND("/",Sync!$AE872)+1,20))+1,20))),"")))</f>
        <v/>
      </c>
      <c r="J872" t="str">
        <f t="shared" si="67"/>
        <v/>
      </c>
      <c r="K872" t="str">
        <f>IF(OR($F872="",$J872="",$J872="نامعتبر"),"",LEFT($J872,4)&amp;MID($J872,6,2)&amp;RIGHT($J872,2)&amp;$N872&amp;"|"&amp;"2"&amp;RIGHT("00000"&amp;867,5))</f>
        <v/>
      </c>
      <c r="L872" t="str">
        <f t="shared" si="68"/>
        <v/>
      </c>
      <c r="M872" t="str">
        <f t="shared" si="69"/>
        <v/>
      </c>
      <c r="N872" t="str">
        <f>IF($F872="","",IF(Sync!$AF872="","0000",IF(AND(ISNUMBER(Sync!$AF872),Sync!$AF872&gt;=0,Sync!$AF872&lt;1),RIGHT("00"&amp;HOUR(Sync!$AF872),2)&amp;RIGHT("00"&amp;MINUTE(Sync!$AF872),2),IFERROR(RIGHT("00"&amp;VALUE(LEFT(Sync!$AF872,FIND(":",Sync!$AF872)-1)),2)&amp;RIGHT("00"&amp;VALUE(MID(Sync!$AF872,FIND(":",Sync!$AF872)+1,2)),2),"0000"))))</f>
        <v/>
      </c>
    </row>
    <row r="873" spans="1:14" x14ac:dyDescent="0.2">
      <c r="A873" t="str">
        <f>IF(OR(Calc!$E877="",Calc!$E877="نامعتبر",Calc!$G877=""),"",Calc!$G877)</f>
        <v/>
      </c>
      <c r="B873" t="str">
        <f>IF($A873="","",LEFT(Calc!$E877,4)&amp;MID(Calc!$E877,6,2)&amp;RIGHT(Calc!$E877,2)&amp;Calc!$Q877&amp;"|"&amp;"1"&amp;RIGHT("00000"&amp;868,5))</f>
        <v/>
      </c>
      <c r="C873" t="str">
        <f t="shared" si="65"/>
        <v/>
      </c>
      <c r="D873" t="str">
        <f t="shared" si="66"/>
        <v/>
      </c>
      <c r="F873" t="str">
        <f>IF(Sync!$AH873="","",IF(LEFT(UPPER(TRIM(Sync!$AH873)),2)="SL",UPPER(TRIM(Sync!$AH873)),""))</f>
        <v/>
      </c>
      <c r="G873" t="str">
        <f>IF($F873="","",IF(Sync!$AE873="","",IF(ISNUMBER(Sync!$AE873),IF(AND(Sync!$AE873&gt;=10000101,Sync!$AE873&lt;=99991231),INT(Sync!$AE873/10000),""),IFERROR(VALUE(TRIM(LEFT(Sync!$AE873,FIND("/",Sync!$AE873)-1))),""))))</f>
        <v/>
      </c>
      <c r="H873" t="str">
        <f>IF(OR($F873="",$G873=""),"",IF(ISNUMBER(Sync!$AE873),INT(MOD(Sync!$AE873,10000)/100),IFERROR(VALUE(TRIM(LEFT(MID(Sync!$AE873,FIND("/",Sync!$AE873)+1,20),FIND("/",MID(Sync!$AE873,FIND("/",Sync!$AE873)+1,20))-1))),"")))</f>
        <v/>
      </c>
      <c r="I873" t="str">
        <f>IF(OR($F873="",$G873=""),"",IF(ISNUMBER(Sync!$AE873),MOD(Sync!$AE873,100),IFERROR(VALUE(TRIM(MID(MID(Sync!$AE873,FIND("/",Sync!$AE873)+1,20),FIND("/",MID(Sync!$AE873,FIND("/",Sync!$AE873)+1,20))+1,20))),"")))</f>
        <v/>
      </c>
      <c r="J873" t="str">
        <f t="shared" si="67"/>
        <v/>
      </c>
      <c r="K873" t="str">
        <f>IF(OR($F873="",$J873="",$J873="نامعتبر"),"",LEFT($J873,4)&amp;MID($J873,6,2)&amp;RIGHT($J873,2)&amp;$N873&amp;"|"&amp;"2"&amp;RIGHT("00000"&amp;868,5))</f>
        <v/>
      </c>
      <c r="L873" t="str">
        <f t="shared" si="68"/>
        <v/>
      </c>
      <c r="M873" t="str">
        <f t="shared" si="69"/>
        <v/>
      </c>
      <c r="N873" t="str">
        <f>IF($F873="","",IF(Sync!$AF873="","0000",IF(AND(ISNUMBER(Sync!$AF873),Sync!$AF873&gt;=0,Sync!$AF873&lt;1),RIGHT("00"&amp;HOUR(Sync!$AF873),2)&amp;RIGHT("00"&amp;MINUTE(Sync!$AF873),2),IFERROR(RIGHT("00"&amp;VALUE(LEFT(Sync!$AF873,FIND(":",Sync!$AF873)-1)),2)&amp;RIGHT("00"&amp;VALUE(MID(Sync!$AF873,FIND(":",Sync!$AF873)+1,2)),2),"0000"))))</f>
        <v/>
      </c>
    </row>
    <row r="874" spans="1:14" x14ac:dyDescent="0.2">
      <c r="A874" t="str">
        <f>IF(OR(Calc!$E878="",Calc!$E878="نامعتبر",Calc!$G878=""),"",Calc!$G878)</f>
        <v/>
      </c>
      <c r="B874" t="str">
        <f>IF($A874="","",LEFT(Calc!$E878,4)&amp;MID(Calc!$E878,6,2)&amp;RIGHT(Calc!$E878,2)&amp;Calc!$Q878&amp;"|"&amp;"1"&amp;RIGHT("00000"&amp;869,5))</f>
        <v/>
      </c>
      <c r="C874" t="str">
        <f t="shared" si="65"/>
        <v/>
      </c>
      <c r="D874" t="str">
        <f t="shared" si="66"/>
        <v/>
      </c>
      <c r="F874" t="str">
        <f>IF(Sync!$AH874="","",IF(LEFT(UPPER(TRIM(Sync!$AH874)),2)="SL",UPPER(TRIM(Sync!$AH874)),""))</f>
        <v/>
      </c>
      <c r="G874" t="str">
        <f>IF($F874="","",IF(Sync!$AE874="","",IF(ISNUMBER(Sync!$AE874),IF(AND(Sync!$AE874&gt;=10000101,Sync!$AE874&lt;=99991231),INT(Sync!$AE874/10000),""),IFERROR(VALUE(TRIM(LEFT(Sync!$AE874,FIND("/",Sync!$AE874)-1))),""))))</f>
        <v/>
      </c>
      <c r="H874" t="str">
        <f>IF(OR($F874="",$G874=""),"",IF(ISNUMBER(Sync!$AE874),INT(MOD(Sync!$AE874,10000)/100),IFERROR(VALUE(TRIM(LEFT(MID(Sync!$AE874,FIND("/",Sync!$AE874)+1,20),FIND("/",MID(Sync!$AE874,FIND("/",Sync!$AE874)+1,20))-1))),"")))</f>
        <v/>
      </c>
      <c r="I874" t="str">
        <f>IF(OR($F874="",$G874=""),"",IF(ISNUMBER(Sync!$AE874),MOD(Sync!$AE874,100),IFERROR(VALUE(TRIM(MID(MID(Sync!$AE874,FIND("/",Sync!$AE874)+1,20),FIND("/",MID(Sync!$AE874,FIND("/",Sync!$AE874)+1,20))+1,20))),"")))</f>
        <v/>
      </c>
      <c r="J874" t="str">
        <f t="shared" si="67"/>
        <v/>
      </c>
      <c r="K874" t="str">
        <f>IF(OR($F874="",$J874="",$J874="نامعتبر"),"",LEFT($J874,4)&amp;MID($J874,6,2)&amp;RIGHT($J874,2)&amp;$N874&amp;"|"&amp;"2"&amp;RIGHT("00000"&amp;869,5))</f>
        <v/>
      </c>
      <c r="L874" t="str">
        <f t="shared" si="68"/>
        <v/>
      </c>
      <c r="M874" t="str">
        <f t="shared" si="69"/>
        <v/>
      </c>
      <c r="N874" t="str">
        <f>IF($F874="","",IF(Sync!$AF874="","0000",IF(AND(ISNUMBER(Sync!$AF874),Sync!$AF874&gt;=0,Sync!$AF874&lt;1),RIGHT("00"&amp;HOUR(Sync!$AF874),2)&amp;RIGHT("00"&amp;MINUTE(Sync!$AF874),2),IFERROR(RIGHT("00"&amp;VALUE(LEFT(Sync!$AF874,FIND(":",Sync!$AF874)-1)),2)&amp;RIGHT("00"&amp;VALUE(MID(Sync!$AF874,FIND(":",Sync!$AF874)+1,2)),2),"0000"))))</f>
        <v/>
      </c>
    </row>
    <row r="875" spans="1:14" x14ac:dyDescent="0.2">
      <c r="A875" t="str">
        <f>IF(OR(Calc!$E879="",Calc!$E879="نامعتبر",Calc!$G879=""),"",Calc!$G879)</f>
        <v/>
      </c>
      <c r="B875" t="str">
        <f>IF($A875="","",LEFT(Calc!$E879,4)&amp;MID(Calc!$E879,6,2)&amp;RIGHT(Calc!$E879,2)&amp;Calc!$Q879&amp;"|"&amp;"1"&amp;RIGHT("00000"&amp;870,5))</f>
        <v/>
      </c>
      <c r="C875" t="str">
        <f t="shared" si="65"/>
        <v/>
      </c>
      <c r="D875" t="str">
        <f t="shared" si="66"/>
        <v/>
      </c>
      <c r="F875" t="str">
        <f>IF(Sync!$AH875="","",IF(LEFT(UPPER(TRIM(Sync!$AH875)),2)="SL",UPPER(TRIM(Sync!$AH875)),""))</f>
        <v/>
      </c>
      <c r="G875" t="str">
        <f>IF($F875="","",IF(Sync!$AE875="","",IF(ISNUMBER(Sync!$AE875),IF(AND(Sync!$AE875&gt;=10000101,Sync!$AE875&lt;=99991231),INT(Sync!$AE875/10000),""),IFERROR(VALUE(TRIM(LEFT(Sync!$AE875,FIND("/",Sync!$AE875)-1))),""))))</f>
        <v/>
      </c>
      <c r="H875" t="str">
        <f>IF(OR($F875="",$G875=""),"",IF(ISNUMBER(Sync!$AE875),INT(MOD(Sync!$AE875,10000)/100),IFERROR(VALUE(TRIM(LEFT(MID(Sync!$AE875,FIND("/",Sync!$AE875)+1,20),FIND("/",MID(Sync!$AE875,FIND("/",Sync!$AE875)+1,20))-1))),"")))</f>
        <v/>
      </c>
      <c r="I875" t="str">
        <f>IF(OR($F875="",$G875=""),"",IF(ISNUMBER(Sync!$AE875),MOD(Sync!$AE875,100),IFERROR(VALUE(TRIM(MID(MID(Sync!$AE875,FIND("/",Sync!$AE875)+1,20),FIND("/",MID(Sync!$AE875,FIND("/",Sync!$AE875)+1,20))+1,20))),"")))</f>
        <v/>
      </c>
      <c r="J875" t="str">
        <f t="shared" si="67"/>
        <v/>
      </c>
      <c r="K875" t="str">
        <f>IF(OR($F875="",$J875="",$J875="نامعتبر"),"",LEFT($J875,4)&amp;MID($J875,6,2)&amp;RIGHT($J875,2)&amp;$N875&amp;"|"&amp;"2"&amp;RIGHT("00000"&amp;870,5))</f>
        <v/>
      </c>
      <c r="L875" t="str">
        <f t="shared" si="68"/>
        <v/>
      </c>
      <c r="M875" t="str">
        <f t="shared" si="69"/>
        <v/>
      </c>
      <c r="N875" t="str">
        <f>IF($F875="","",IF(Sync!$AF875="","0000",IF(AND(ISNUMBER(Sync!$AF875),Sync!$AF875&gt;=0,Sync!$AF875&lt;1),RIGHT("00"&amp;HOUR(Sync!$AF875),2)&amp;RIGHT("00"&amp;MINUTE(Sync!$AF875),2),IFERROR(RIGHT("00"&amp;VALUE(LEFT(Sync!$AF875,FIND(":",Sync!$AF875)-1)),2)&amp;RIGHT("00"&amp;VALUE(MID(Sync!$AF875,FIND(":",Sync!$AF875)+1,2)),2),"0000"))))</f>
        <v/>
      </c>
    </row>
    <row r="876" spans="1:14" x14ac:dyDescent="0.2">
      <c r="A876" t="str">
        <f>IF(OR(Calc!$E880="",Calc!$E880="نامعتبر",Calc!$G880=""),"",Calc!$G880)</f>
        <v/>
      </c>
      <c r="B876" t="str">
        <f>IF($A876="","",LEFT(Calc!$E880,4)&amp;MID(Calc!$E880,6,2)&amp;RIGHT(Calc!$E880,2)&amp;Calc!$Q880&amp;"|"&amp;"1"&amp;RIGHT("00000"&amp;871,5))</f>
        <v/>
      </c>
      <c r="C876" t="str">
        <f t="shared" si="65"/>
        <v/>
      </c>
      <c r="D876" t="str">
        <f t="shared" si="66"/>
        <v/>
      </c>
      <c r="F876" t="str">
        <f>IF(Sync!$AH876="","",IF(LEFT(UPPER(TRIM(Sync!$AH876)),2)="SL",UPPER(TRIM(Sync!$AH876)),""))</f>
        <v/>
      </c>
      <c r="G876" t="str">
        <f>IF($F876="","",IF(Sync!$AE876="","",IF(ISNUMBER(Sync!$AE876),IF(AND(Sync!$AE876&gt;=10000101,Sync!$AE876&lt;=99991231),INT(Sync!$AE876/10000),""),IFERROR(VALUE(TRIM(LEFT(Sync!$AE876,FIND("/",Sync!$AE876)-1))),""))))</f>
        <v/>
      </c>
      <c r="H876" t="str">
        <f>IF(OR($F876="",$G876=""),"",IF(ISNUMBER(Sync!$AE876),INT(MOD(Sync!$AE876,10000)/100),IFERROR(VALUE(TRIM(LEFT(MID(Sync!$AE876,FIND("/",Sync!$AE876)+1,20),FIND("/",MID(Sync!$AE876,FIND("/",Sync!$AE876)+1,20))-1))),"")))</f>
        <v/>
      </c>
      <c r="I876" t="str">
        <f>IF(OR($F876="",$G876=""),"",IF(ISNUMBER(Sync!$AE876),MOD(Sync!$AE876,100),IFERROR(VALUE(TRIM(MID(MID(Sync!$AE876,FIND("/",Sync!$AE876)+1,20),FIND("/",MID(Sync!$AE876,FIND("/",Sync!$AE876)+1,20))+1,20))),"")))</f>
        <v/>
      </c>
      <c r="J876" t="str">
        <f t="shared" si="67"/>
        <v/>
      </c>
      <c r="K876" t="str">
        <f>IF(OR($F876="",$J876="",$J876="نامعتبر"),"",LEFT($J876,4)&amp;MID($J876,6,2)&amp;RIGHT($J876,2)&amp;$N876&amp;"|"&amp;"2"&amp;RIGHT("00000"&amp;871,5))</f>
        <v/>
      </c>
      <c r="L876" t="str">
        <f t="shared" si="68"/>
        <v/>
      </c>
      <c r="M876" t="str">
        <f t="shared" si="69"/>
        <v/>
      </c>
      <c r="N876" t="str">
        <f>IF($F876="","",IF(Sync!$AF876="","0000",IF(AND(ISNUMBER(Sync!$AF876),Sync!$AF876&gt;=0,Sync!$AF876&lt;1),RIGHT("00"&amp;HOUR(Sync!$AF876),2)&amp;RIGHT("00"&amp;MINUTE(Sync!$AF876),2),IFERROR(RIGHT("00"&amp;VALUE(LEFT(Sync!$AF876,FIND(":",Sync!$AF876)-1)),2)&amp;RIGHT("00"&amp;VALUE(MID(Sync!$AF876,FIND(":",Sync!$AF876)+1,2)),2),"0000"))))</f>
        <v/>
      </c>
    </row>
    <row r="877" spans="1:14" x14ac:dyDescent="0.2">
      <c r="A877" t="str">
        <f>IF(OR(Calc!$E881="",Calc!$E881="نامعتبر",Calc!$G881=""),"",Calc!$G881)</f>
        <v/>
      </c>
      <c r="B877" t="str">
        <f>IF($A877="","",LEFT(Calc!$E881,4)&amp;MID(Calc!$E881,6,2)&amp;RIGHT(Calc!$E881,2)&amp;Calc!$Q881&amp;"|"&amp;"1"&amp;RIGHT("00000"&amp;872,5))</f>
        <v/>
      </c>
      <c r="C877" t="str">
        <f t="shared" si="65"/>
        <v/>
      </c>
      <c r="D877" t="str">
        <f t="shared" si="66"/>
        <v/>
      </c>
      <c r="F877" t="str">
        <f>IF(Sync!$AH877="","",IF(LEFT(UPPER(TRIM(Sync!$AH877)),2)="SL",UPPER(TRIM(Sync!$AH877)),""))</f>
        <v/>
      </c>
      <c r="G877" t="str">
        <f>IF($F877="","",IF(Sync!$AE877="","",IF(ISNUMBER(Sync!$AE877),IF(AND(Sync!$AE877&gt;=10000101,Sync!$AE877&lt;=99991231),INT(Sync!$AE877/10000),""),IFERROR(VALUE(TRIM(LEFT(Sync!$AE877,FIND("/",Sync!$AE877)-1))),""))))</f>
        <v/>
      </c>
      <c r="H877" t="str">
        <f>IF(OR($F877="",$G877=""),"",IF(ISNUMBER(Sync!$AE877),INT(MOD(Sync!$AE877,10000)/100),IFERROR(VALUE(TRIM(LEFT(MID(Sync!$AE877,FIND("/",Sync!$AE877)+1,20),FIND("/",MID(Sync!$AE877,FIND("/",Sync!$AE877)+1,20))-1))),"")))</f>
        <v/>
      </c>
      <c r="I877" t="str">
        <f>IF(OR($F877="",$G877=""),"",IF(ISNUMBER(Sync!$AE877),MOD(Sync!$AE877,100),IFERROR(VALUE(TRIM(MID(MID(Sync!$AE877,FIND("/",Sync!$AE877)+1,20),FIND("/",MID(Sync!$AE877,FIND("/",Sync!$AE877)+1,20))+1,20))),"")))</f>
        <v/>
      </c>
      <c r="J877" t="str">
        <f t="shared" si="67"/>
        <v/>
      </c>
      <c r="K877" t="str">
        <f>IF(OR($F877="",$J877="",$J877="نامعتبر"),"",LEFT($J877,4)&amp;MID($J877,6,2)&amp;RIGHT($J877,2)&amp;$N877&amp;"|"&amp;"2"&amp;RIGHT("00000"&amp;872,5))</f>
        <v/>
      </c>
      <c r="L877" t="str">
        <f t="shared" si="68"/>
        <v/>
      </c>
      <c r="M877" t="str">
        <f t="shared" si="69"/>
        <v/>
      </c>
      <c r="N877" t="str">
        <f>IF($F877="","",IF(Sync!$AF877="","0000",IF(AND(ISNUMBER(Sync!$AF877),Sync!$AF877&gt;=0,Sync!$AF877&lt;1),RIGHT("00"&amp;HOUR(Sync!$AF877),2)&amp;RIGHT("00"&amp;MINUTE(Sync!$AF877),2),IFERROR(RIGHT("00"&amp;VALUE(LEFT(Sync!$AF877,FIND(":",Sync!$AF877)-1)),2)&amp;RIGHT("00"&amp;VALUE(MID(Sync!$AF877,FIND(":",Sync!$AF877)+1,2)),2),"0000"))))</f>
        <v/>
      </c>
    </row>
    <row r="878" spans="1:14" x14ac:dyDescent="0.2">
      <c r="A878" t="str">
        <f>IF(OR(Calc!$E882="",Calc!$E882="نامعتبر",Calc!$G882=""),"",Calc!$G882)</f>
        <v/>
      </c>
      <c r="B878" t="str">
        <f>IF($A878="","",LEFT(Calc!$E882,4)&amp;MID(Calc!$E882,6,2)&amp;RIGHT(Calc!$E882,2)&amp;Calc!$Q882&amp;"|"&amp;"1"&amp;RIGHT("00000"&amp;873,5))</f>
        <v/>
      </c>
      <c r="C878" t="str">
        <f t="shared" si="65"/>
        <v/>
      </c>
      <c r="D878" t="str">
        <f t="shared" si="66"/>
        <v/>
      </c>
      <c r="F878" t="str">
        <f>IF(Sync!$AH878="","",IF(LEFT(UPPER(TRIM(Sync!$AH878)),2)="SL",UPPER(TRIM(Sync!$AH878)),""))</f>
        <v/>
      </c>
      <c r="G878" t="str">
        <f>IF($F878="","",IF(Sync!$AE878="","",IF(ISNUMBER(Sync!$AE878),IF(AND(Sync!$AE878&gt;=10000101,Sync!$AE878&lt;=99991231),INT(Sync!$AE878/10000),""),IFERROR(VALUE(TRIM(LEFT(Sync!$AE878,FIND("/",Sync!$AE878)-1))),""))))</f>
        <v/>
      </c>
      <c r="H878" t="str">
        <f>IF(OR($F878="",$G878=""),"",IF(ISNUMBER(Sync!$AE878),INT(MOD(Sync!$AE878,10000)/100),IFERROR(VALUE(TRIM(LEFT(MID(Sync!$AE878,FIND("/",Sync!$AE878)+1,20),FIND("/",MID(Sync!$AE878,FIND("/",Sync!$AE878)+1,20))-1))),"")))</f>
        <v/>
      </c>
      <c r="I878" t="str">
        <f>IF(OR($F878="",$G878=""),"",IF(ISNUMBER(Sync!$AE878),MOD(Sync!$AE878,100),IFERROR(VALUE(TRIM(MID(MID(Sync!$AE878,FIND("/",Sync!$AE878)+1,20),FIND("/",MID(Sync!$AE878,FIND("/",Sync!$AE878)+1,20))+1,20))),"")))</f>
        <v/>
      </c>
      <c r="J878" t="str">
        <f t="shared" si="67"/>
        <v/>
      </c>
      <c r="K878" t="str">
        <f>IF(OR($F878="",$J878="",$J878="نامعتبر"),"",LEFT($J878,4)&amp;MID($J878,6,2)&amp;RIGHT($J878,2)&amp;$N878&amp;"|"&amp;"2"&amp;RIGHT("00000"&amp;873,5))</f>
        <v/>
      </c>
      <c r="L878" t="str">
        <f t="shared" si="68"/>
        <v/>
      </c>
      <c r="M878" t="str">
        <f t="shared" si="69"/>
        <v/>
      </c>
      <c r="N878" t="str">
        <f>IF($F878="","",IF(Sync!$AF878="","0000",IF(AND(ISNUMBER(Sync!$AF878),Sync!$AF878&gt;=0,Sync!$AF878&lt;1),RIGHT("00"&amp;HOUR(Sync!$AF878),2)&amp;RIGHT("00"&amp;MINUTE(Sync!$AF878),2),IFERROR(RIGHT("00"&amp;VALUE(LEFT(Sync!$AF878,FIND(":",Sync!$AF878)-1)),2)&amp;RIGHT("00"&amp;VALUE(MID(Sync!$AF878,FIND(":",Sync!$AF878)+1,2)),2),"0000"))))</f>
        <v/>
      </c>
    </row>
    <row r="879" spans="1:14" x14ac:dyDescent="0.2">
      <c r="A879" t="str">
        <f>IF(OR(Calc!$E883="",Calc!$E883="نامعتبر",Calc!$G883=""),"",Calc!$G883)</f>
        <v/>
      </c>
      <c r="B879" t="str">
        <f>IF($A879="","",LEFT(Calc!$E883,4)&amp;MID(Calc!$E883,6,2)&amp;RIGHT(Calc!$E883,2)&amp;Calc!$Q883&amp;"|"&amp;"1"&amp;RIGHT("00000"&amp;874,5))</f>
        <v/>
      </c>
      <c r="C879" t="str">
        <f t="shared" si="65"/>
        <v/>
      </c>
      <c r="D879" t="str">
        <f t="shared" si="66"/>
        <v/>
      </c>
      <c r="F879" t="str">
        <f>IF(Sync!$AH879="","",IF(LEFT(UPPER(TRIM(Sync!$AH879)),2)="SL",UPPER(TRIM(Sync!$AH879)),""))</f>
        <v/>
      </c>
      <c r="G879" t="str">
        <f>IF($F879="","",IF(Sync!$AE879="","",IF(ISNUMBER(Sync!$AE879),IF(AND(Sync!$AE879&gt;=10000101,Sync!$AE879&lt;=99991231),INT(Sync!$AE879/10000),""),IFERROR(VALUE(TRIM(LEFT(Sync!$AE879,FIND("/",Sync!$AE879)-1))),""))))</f>
        <v/>
      </c>
      <c r="H879" t="str">
        <f>IF(OR($F879="",$G879=""),"",IF(ISNUMBER(Sync!$AE879),INT(MOD(Sync!$AE879,10000)/100),IFERROR(VALUE(TRIM(LEFT(MID(Sync!$AE879,FIND("/",Sync!$AE879)+1,20),FIND("/",MID(Sync!$AE879,FIND("/",Sync!$AE879)+1,20))-1))),"")))</f>
        <v/>
      </c>
      <c r="I879" t="str">
        <f>IF(OR($F879="",$G879=""),"",IF(ISNUMBER(Sync!$AE879),MOD(Sync!$AE879,100),IFERROR(VALUE(TRIM(MID(MID(Sync!$AE879,FIND("/",Sync!$AE879)+1,20),FIND("/",MID(Sync!$AE879,FIND("/",Sync!$AE879)+1,20))+1,20))),"")))</f>
        <v/>
      </c>
      <c r="J879" t="str">
        <f t="shared" si="67"/>
        <v/>
      </c>
      <c r="K879" t="str">
        <f>IF(OR($F879="",$J879="",$J879="نامعتبر"),"",LEFT($J879,4)&amp;MID($J879,6,2)&amp;RIGHT($J879,2)&amp;$N879&amp;"|"&amp;"2"&amp;RIGHT("00000"&amp;874,5))</f>
        <v/>
      </c>
      <c r="L879" t="str">
        <f t="shared" si="68"/>
        <v/>
      </c>
      <c r="M879" t="str">
        <f t="shared" si="69"/>
        <v/>
      </c>
      <c r="N879" t="str">
        <f>IF($F879="","",IF(Sync!$AF879="","0000",IF(AND(ISNUMBER(Sync!$AF879),Sync!$AF879&gt;=0,Sync!$AF879&lt;1),RIGHT("00"&amp;HOUR(Sync!$AF879),2)&amp;RIGHT("00"&amp;MINUTE(Sync!$AF879),2),IFERROR(RIGHT("00"&amp;VALUE(LEFT(Sync!$AF879,FIND(":",Sync!$AF879)-1)),2)&amp;RIGHT("00"&amp;VALUE(MID(Sync!$AF879,FIND(":",Sync!$AF879)+1,2)),2),"0000"))))</f>
        <v/>
      </c>
    </row>
    <row r="880" spans="1:14" x14ac:dyDescent="0.2">
      <c r="A880" t="str">
        <f>IF(OR(Calc!$E884="",Calc!$E884="نامعتبر",Calc!$G884=""),"",Calc!$G884)</f>
        <v/>
      </c>
      <c r="B880" t="str">
        <f>IF($A880="","",LEFT(Calc!$E884,4)&amp;MID(Calc!$E884,6,2)&amp;RIGHT(Calc!$E884,2)&amp;Calc!$Q884&amp;"|"&amp;"1"&amp;RIGHT("00000"&amp;875,5))</f>
        <v/>
      </c>
      <c r="C880" t="str">
        <f t="shared" si="65"/>
        <v/>
      </c>
      <c r="D880" t="str">
        <f t="shared" si="66"/>
        <v/>
      </c>
      <c r="F880" t="str">
        <f>IF(Sync!$AH880="","",IF(LEFT(UPPER(TRIM(Sync!$AH880)),2)="SL",UPPER(TRIM(Sync!$AH880)),""))</f>
        <v/>
      </c>
      <c r="G880" t="str">
        <f>IF($F880="","",IF(Sync!$AE880="","",IF(ISNUMBER(Sync!$AE880),IF(AND(Sync!$AE880&gt;=10000101,Sync!$AE880&lt;=99991231),INT(Sync!$AE880/10000),""),IFERROR(VALUE(TRIM(LEFT(Sync!$AE880,FIND("/",Sync!$AE880)-1))),""))))</f>
        <v/>
      </c>
      <c r="H880" t="str">
        <f>IF(OR($F880="",$G880=""),"",IF(ISNUMBER(Sync!$AE880),INT(MOD(Sync!$AE880,10000)/100),IFERROR(VALUE(TRIM(LEFT(MID(Sync!$AE880,FIND("/",Sync!$AE880)+1,20),FIND("/",MID(Sync!$AE880,FIND("/",Sync!$AE880)+1,20))-1))),"")))</f>
        <v/>
      </c>
      <c r="I880" t="str">
        <f>IF(OR($F880="",$G880=""),"",IF(ISNUMBER(Sync!$AE880),MOD(Sync!$AE880,100),IFERROR(VALUE(TRIM(MID(MID(Sync!$AE880,FIND("/",Sync!$AE880)+1,20),FIND("/",MID(Sync!$AE880,FIND("/",Sync!$AE880)+1,20))+1,20))),"")))</f>
        <v/>
      </c>
      <c r="J880" t="str">
        <f t="shared" si="67"/>
        <v/>
      </c>
      <c r="K880" t="str">
        <f>IF(OR($F880="",$J880="",$J880="نامعتبر"),"",LEFT($J880,4)&amp;MID($J880,6,2)&amp;RIGHT($J880,2)&amp;$N880&amp;"|"&amp;"2"&amp;RIGHT("00000"&amp;875,5))</f>
        <v/>
      </c>
      <c r="L880" t="str">
        <f t="shared" si="68"/>
        <v/>
      </c>
      <c r="M880" t="str">
        <f t="shared" si="69"/>
        <v/>
      </c>
      <c r="N880" t="str">
        <f>IF($F880="","",IF(Sync!$AF880="","0000",IF(AND(ISNUMBER(Sync!$AF880),Sync!$AF880&gt;=0,Sync!$AF880&lt;1),RIGHT("00"&amp;HOUR(Sync!$AF880),2)&amp;RIGHT("00"&amp;MINUTE(Sync!$AF880),2),IFERROR(RIGHT("00"&amp;VALUE(LEFT(Sync!$AF880,FIND(":",Sync!$AF880)-1)),2)&amp;RIGHT("00"&amp;VALUE(MID(Sync!$AF880,FIND(":",Sync!$AF880)+1,2)),2),"0000"))))</f>
        <v/>
      </c>
    </row>
    <row r="881" spans="1:14" x14ac:dyDescent="0.2">
      <c r="A881" t="str">
        <f>IF(OR(Calc!$E885="",Calc!$E885="نامعتبر",Calc!$G885=""),"",Calc!$G885)</f>
        <v/>
      </c>
      <c r="B881" t="str">
        <f>IF($A881="","",LEFT(Calc!$E885,4)&amp;MID(Calc!$E885,6,2)&amp;RIGHT(Calc!$E885,2)&amp;Calc!$Q885&amp;"|"&amp;"1"&amp;RIGHT("00000"&amp;876,5))</f>
        <v/>
      </c>
      <c r="C881" t="str">
        <f t="shared" si="65"/>
        <v/>
      </c>
      <c r="D881" t="str">
        <f t="shared" si="66"/>
        <v/>
      </c>
      <c r="F881" t="str">
        <f>IF(Sync!$AH881="","",IF(LEFT(UPPER(TRIM(Sync!$AH881)),2)="SL",UPPER(TRIM(Sync!$AH881)),""))</f>
        <v/>
      </c>
      <c r="G881" t="str">
        <f>IF($F881="","",IF(Sync!$AE881="","",IF(ISNUMBER(Sync!$AE881),IF(AND(Sync!$AE881&gt;=10000101,Sync!$AE881&lt;=99991231),INT(Sync!$AE881/10000),""),IFERROR(VALUE(TRIM(LEFT(Sync!$AE881,FIND("/",Sync!$AE881)-1))),""))))</f>
        <v/>
      </c>
      <c r="H881" t="str">
        <f>IF(OR($F881="",$G881=""),"",IF(ISNUMBER(Sync!$AE881),INT(MOD(Sync!$AE881,10000)/100),IFERROR(VALUE(TRIM(LEFT(MID(Sync!$AE881,FIND("/",Sync!$AE881)+1,20),FIND("/",MID(Sync!$AE881,FIND("/",Sync!$AE881)+1,20))-1))),"")))</f>
        <v/>
      </c>
      <c r="I881" t="str">
        <f>IF(OR($F881="",$G881=""),"",IF(ISNUMBER(Sync!$AE881),MOD(Sync!$AE881,100),IFERROR(VALUE(TRIM(MID(MID(Sync!$AE881,FIND("/",Sync!$AE881)+1,20),FIND("/",MID(Sync!$AE881,FIND("/",Sync!$AE881)+1,20))+1,20))),"")))</f>
        <v/>
      </c>
      <c r="J881" t="str">
        <f t="shared" si="67"/>
        <v/>
      </c>
      <c r="K881" t="str">
        <f>IF(OR($F881="",$J881="",$J881="نامعتبر"),"",LEFT($J881,4)&amp;MID($J881,6,2)&amp;RIGHT($J881,2)&amp;$N881&amp;"|"&amp;"2"&amp;RIGHT("00000"&amp;876,5))</f>
        <v/>
      </c>
      <c r="L881" t="str">
        <f t="shared" si="68"/>
        <v/>
      </c>
      <c r="M881" t="str">
        <f t="shared" si="69"/>
        <v/>
      </c>
      <c r="N881" t="str">
        <f>IF($F881="","",IF(Sync!$AF881="","0000",IF(AND(ISNUMBER(Sync!$AF881),Sync!$AF881&gt;=0,Sync!$AF881&lt;1),RIGHT("00"&amp;HOUR(Sync!$AF881),2)&amp;RIGHT("00"&amp;MINUTE(Sync!$AF881),2),IFERROR(RIGHT("00"&amp;VALUE(LEFT(Sync!$AF881,FIND(":",Sync!$AF881)-1)),2)&amp;RIGHT("00"&amp;VALUE(MID(Sync!$AF881,FIND(":",Sync!$AF881)+1,2)),2),"0000"))))</f>
        <v/>
      </c>
    </row>
    <row r="882" spans="1:14" x14ac:dyDescent="0.2">
      <c r="A882" t="str">
        <f>IF(OR(Calc!$E886="",Calc!$E886="نامعتبر",Calc!$G886=""),"",Calc!$G886)</f>
        <v/>
      </c>
      <c r="B882" t="str">
        <f>IF($A882="","",LEFT(Calc!$E886,4)&amp;MID(Calc!$E886,6,2)&amp;RIGHT(Calc!$E886,2)&amp;Calc!$Q886&amp;"|"&amp;"1"&amp;RIGHT("00000"&amp;877,5))</f>
        <v/>
      </c>
      <c r="C882" t="str">
        <f t="shared" si="65"/>
        <v/>
      </c>
      <c r="D882" t="str">
        <f t="shared" si="66"/>
        <v/>
      </c>
      <c r="F882" t="str">
        <f>IF(Sync!$AH882="","",IF(LEFT(UPPER(TRIM(Sync!$AH882)),2)="SL",UPPER(TRIM(Sync!$AH882)),""))</f>
        <v/>
      </c>
      <c r="G882" t="str">
        <f>IF($F882="","",IF(Sync!$AE882="","",IF(ISNUMBER(Sync!$AE882),IF(AND(Sync!$AE882&gt;=10000101,Sync!$AE882&lt;=99991231),INT(Sync!$AE882/10000),""),IFERROR(VALUE(TRIM(LEFT(Sync!$AE882,FIND("/",Sync!$AE882)-1))),""))))</f>
        <v/>
      </c>
      <c r="H882" t="str">
        <f>IF(OR($F882="",$G882=""),"",IF(ISNUMBER(Sync!$AE882),INT(MOD(Sync!$AE882,10000)/100),IFERROR(VALUE(TRIM(LEFT(MID(Sync!$AE882,FIND("/",Sync!$AE882)+1,20),FIND("/",MID(Sync!$AE882,FIND("/",Sync!$AE882)+1,20))-1))),"")))</f>
        <v/>
      </c>
      <c r="I882" t="str">
        <f>IF(OR($F882="",$G882=""),"",IF(ISNUMBER(Sync!$AE882),MOD(Sync!$AE882,100),IFERROR(VALUE(TRIM(MID(MID(Sync!$AE882,FIND("/",Sync!$AE882)+1,20),FIND("/",MID(Sync!$AE882,FIND("/",Sync!$AE882)+1,20))+1,20))),"")))</f>
        <v/>
      </c>
      <c r="J882" t="str">
        <f t="shared" si="67"/>
        <v/>
      </c>
      <c r="K882" t="str">
        <f>IF(OR($F882="",$J882="",$J882="نامعتبر"),"",LEFT($J882,4)&amp;MID($J882,6,2)&amp;RIGHT($J882,2)&amp;$N882&amp;"|"&amp;"2"&amp;RIGHT("00000"&amp;877,5))</f>
        <v/>
      </c>
      <c r="L882" t="str">
        <f t="shared" si="68"/>
        <v/>
      </c>
      <c r="M882" t="str">
        <f t="shared" si="69"/>
        <v/>
      </c>
      <c r="N882" t="str">
        <f>IF($F882="","",IF(Sync!$AF882="","0000",IF(AND(ISNUMBER(Sync!$AF882),Sync!$AF882&gt;=0,Sync!$AF882&lt;1),RIGHT("00"&amp;HOUR(Sync!$AF882),2)&amp;RIGHT("00"&amp;MINUTE(Sync!$AF882),2),IFERROR(RIGHT("00"&amp;VALUE(LEFT(Sync!$AF882,FIND(":",Sync!$AF882)-1)),2)&amp;RIGHT("00"&amp;VALUE(MID(Sync!$AF882,FIND(":",Sync!$AF882)+1,2)),2),"0000"))))</f>
        <v/>
      </c>
    </row>
    <row r="883" spans="1:14" x14ac:dyDescent="0.2">
      <c r="A883" t="str">
        <f>IF(OR(Calc!$E887="",Calc!$E887="نامعتبر",Calc!$G887=""),"",Calc!$G887)</f>
        <v/>
      </c>
      <c r="B883" t="str">
        <f>IF($A883="","",LEFT(Calc!$E887,4)&amp;MID(Calc!$E887,6,2)&amp;RIGHT(Calc!$E887,2)&amp;Calc!$Q887&amp;"|"&amp;"1"&amp;RIGHT("00000"&amp;878,5))</f>
        <v/>
      </c>
      <c r="C883" t="str">
        <f t="shared" si="65"/>
        <v/>
      </c>
      <c r="D883" t="str">
        <f t="shared" si="66"/>
        <v/>
      </c>
      <c r="F883" t="str">
        <f>IF(Sync!$AH883="","",IF(LEFT(UPPER(TRIM(Sync!$AH883)),2)="SL",UPPER(TRIM(Sync!$AH883)),""))</f>
        <v/>
      </c>
      <c r="G883" t="str">
        <f>IF($F883="","",IF(Sync!$AE883="","",IF(ISNUMBER(Sync!$AE883),IF(AND(Sync!$AE883&gt;=10000101,Sync!$AE883&lt;=99991231),INT(Sync!$AE883/10000),""),IFERROR(VALUE(TRIM(LEFT(Sync!$AE883,FIND("/",Sync!$AE883)-1))),""))))</f>
        <v/>
      </c>
      <c r="H883" t="str">
        <f>IF(OR($F883="",$G883=""),"",IF(ISNUMBER(Sync!$AE883),INT(MOD(Sync!$AE883,10000)/100),IFERROR(VALUE(TRIM(LEFT(MID(Sync!$AE883,FIND("/",Sync!$AE883)+1,20),FIND("/",MID(Sync!$AE883,FIND("/",Sync!$AE883)+1,20))-1))),"")))</f>
        <v/>
      </c>
      <c r="I883" t="str">
        <f>IF(OR($F883="",$G883=""),"",IF(ISNUMBER(Sync!$AE883),MOD(Sync!$AE883,100),IFERROR(VALUE(TRIM(MID(MID(Sync!$AE883,FIND("/",Sync!$AE883)+1,20),FIND("/",MID(Sync!$AE883,FIND("/",Sync!$AE883)+1,20))+1,20))),"")))</f>
        <v/>
      </c>
      <c r="J883" t="str">
        <f t="shared" si="67"/>
        <v/>
      </c>
      <c r="K883" t="str">
        <f>IF(OR($F883="",$J883="",$J883="نامعتبر"),"",LEFT($J883,4)&amp;MID($J883,6,2)&amp;RIGHT($J883,2)&amp;$N883&amp;"|"&amp;"2"&amp;RIGHT("00000"&amp;878,5))</f>
        <v/>
      </c>
      <c r="L883" t="str">
        <f t="shared" si="68"/>
        <v/>
      </c>
      <c r="M883" t="str">
        <f t="shared" si="69"/>
        <v/>
      </c>
      <c r="N883" t="str">
        <f>IF($F883="","",IF(Sync!$AF883="","0000",IF(AND(ISNUMBER(Sync!$AF883),Sync!$AF883&gt;=0,Sync!$AF883&lt;1),RIGHT("00"&amp;HOUR(Sync!$AF883),2)&amp;RIGHT("00"&amp;MINUTE(Sync!$AF883),2),IFERROR(RIGHT("00"&amp;VALUE(LEFT(Sync!$AF883,FIND(":",Sync!$AF883)-1)),2)&amp;RIGHT("00"&amp;VALUE(MID(Sync!$AF883,FIND(":",Sync!$AF883)+1,2)),2),"0000"))))</f>
        <v/>
      </c>
    </row>
    <row r="884" spans="1:14" x14ac:dyDescent="0.2">
      <c r="A884" t="str">
        <f>IF(OR(Calc!$E888="",Calc!$E888="نامعتبر",Calc!$G888=""),"",Calc!$G888)</f>
        <v/>
      </c>
      <c r="B884" t="str">
        <f>IF($A884="","",LEFT(Calc!$E888,4)&amp;MID(Calc!$E888,6,2)&amp;RIGHT(Calc!$E888,2)&amp;Calc!$Q888&amp;"|"&amp;"1"&amp;RIGHT("00000"&amp;879,5))</f>
        <v/>
      </c>
      <c r="C884" t="str">
        <f t="shared" si="65"/>
        <v/>
      </c>
      <c r="D884" t="str">
        <f t="shared" si="66"/>
        <v/>
      </c>
      <c r="F884" t="str">
        <f>IF(Sync!$AH884="","",IF(LEFT(UPPER(TRIM(Sync!$AH884)),2)="SL",UPPER(TRIM(Sync!$AH884)),""))</f>
        <v/>
      </c>
      <c r="G884" t="str">
        <f>IF($F884="","",IF(Sync!$AE884="","",IF(ISNUMBER(Sync!$AE884),IF(AND(Sync!$AE884&gt;=10000101,Sync!$AE884&lt;=99991231),INT(Sync!$AE884/10000),""),IFERROR(VALUE(TRIM(LEFT(Sync!$AE884,FIND("/",Sync!$AE884)-1))),""))))</f>
        <v/>
      </c>
      <c r="H884" t="str">
        <f>IF(OR($F884="",$G884=""),"",IF(ISNUMBER(Sync!$AE884),INT(MOD(Sync!$AE884,10000)/100),IFERROR(VALUE(TRIM(LEFT(MID(Sync!$AE884,FIND("/",Sync!$AE884)+1,20),FIND("/",MID(Sync!$AE884,FIND("/",Sync!$AE884)+1,20))-1))),"")))</f>
        <v/>
      </c>
      <c r="I884" t="str">
        <f>IF(OR($F884="",$G884=""),"",IF(ISNUMBER(Sync!$AE884),MOD(Sync!$AE884,100),IFERROR(VALUE(TRIM(MID(MID(Sync!$AE884,FIND("/",Sync!$AE884)+1,20),FIND("/",MID(Sync!$AE884,FIND("/",Sync!$AE884)+1,20))+1,20))),"")))</f>
        <v/>
      </c>
      <c r="J884" t="str">
        <f t="shared" si="67"/>
        <v/>
      </c>
      <c r="K884" t="str">
        <f>IF(OR($F884="",$J884="",$J884="نامعتبر"),"",LEFT($J884,4)&amp;MID($J884,6,2)&amp;RIGHT($J884,2)&amp;$N884&amp;"|"&amp;"2"&amp;RIGHT("00000"&amp;879,5))</f>
        <v/>
      </c>
      <c r="L884" t="str">
        <f t="shared" si="68"/>
        <v/>
      </c>
      <c r="M884" t="str">
        <f t="shared" si="69"/>
        <v/>
      </c>
      <c r="N884" t="str">
        <f>IF($F884="","",IF(Sync!$AF884="","0000",IF(AND(ISNUMBER(Sync!$AF884),Sync!$AF884&gt;=0,Sync!$AF884&lt;1),RIGHT("00"&amp;HOUR(Sync!$AF884),2)&amp;RIGHT("00"&amp;MINUTE(Sync!$AF884),2),IFERROR(RIGHT("00"&amp;VALUE(LEFT(Sync!$AF884,FIND(":",Sync!$AF884)-1)),2)&amp;RIGHT("00"&amp;VALUE(MID(Sync!$AF884,FIND(":",Sync!$AF884)+1,2)),2),"0000"))))</f>
        <v/>
      </c>
    </row>
    <row r="885" spans="1:14" x14ac:dyDescent="0.2">
      <c r="A885" t="str">
        <f>IF(OR(Calc!$E889="",Calc!$E889="نامعتبر",Calc!$G889=""),"",Calc!$G889)</f>
        <v/>
      </c>
      <c r="B885" t="str">
        <f>IF($A885="","",LEFT(Calc!$E889,4)&amp;MID(Calc!$E889,6,2)&amp;RIGHT(Calc!$E889,2)&amp;Calc!$Q889&amp;"|"&amp;"1"&amp;RIGHT("00000"&amp;880,5))</f>
        <v/>
      </c>
      <c r="C885" t="str">
        <f t="shared" si="65"/>
        <v/>
      </c>
      <c r="D885" t="str">
        <f t="shared" si="66"/>
        <v/>
      </c>
      <c r="F885" t="str">
        <f>IF(Sync!$AH885="","",IF(LEFT(UPPER(TRIM(Sync!$AH885)),2)="SL",UPPER(TRIM(Sync!$AH885)),""))</f>
        <v/>
      </c>
      <c r="G885" t="str">
        <f>IF($F885="","",IF(Sync!$AE885="","",IF(ISNUMBER(Sync!$AE885),IF(AND(Sync!$AE885&gt;=10000101,Sync!$AE885&lt;=99991231),INT(Sync!$AE885/10000),""),IFERROR(VALUE(TRIM(LEFT(Sync!$AE885,FIND("/",Sync!$AE885)-1))),""))))</f>
        <v/>
      </c>
      <c r="H885" t="str">
        <f>IF(OR($F885="",$G885=""),"",IF(ISNUMBER(Sync!$AE885),INT(MOD(Sync!$AE885,10000)/100),IFERROR(VALUE(TRIM(LEFT(MID(Sync!$AE885,FIND("/",Sync!$AE885)+1,20),FIND("/",MID(Sync!$AE885,FIND("/",Sync!$AE885)+1,20))-1))),"")))</f>
        <v/>
      </c>
      <c r="I885" t="str">
        <f>IF(OR($F885="",$G885=""),"",IF(ISNUMBER(Sync!$AE885),MOD(Sync!$AE885,100),IFERROR(VALUE(TRIM(MID(MID(Sync!$AE885,FIND("/",Sync!$AE885)+1,20),FIND("/",MID(Sync!$AE885,FIND("/",Sync!$AE885)+1,20))+1,20))),"")))</f>
        <v/>
      </c>
      <c r="J885" t="str">
        <f t="shared" si="67"/>
        <v/>
      </c>
      <c r="K885" t="str">
        <f>IF(OR($F885="",$J885="",$J885="نامعتبر"),"",LEFT($J885,4)&amp;MID($J885,6,2)&amp;RIGHT($J885,2)&amp;$N885&amp;"|"&amp;"2"&amp;RIGHT("00000"&amp;880,5))</f>
        <v/>
      </c>
      <c r="L885" t="str">
        <f t="shared" si="68"/>
        <v/>
      </c>
      <c r="M885" t="str">
        <f t="shared" si="69"/>
        <v/>
      </c>
      <c r="N885" t="str">
        <f>IF($F885="","",IF(Sync!$AF885="","0000",IF(AND(ISNUMBER(Sync!$AF885),Sync!$AF885&gt;=0,Sync!$AF885&lt;1),RIGHT("00"&amp;HOUR(Sync!$AF885),2)&amp;RIGHT("00"&amp;MINUTE(Sync!$AF885),2),IFERROR(RIGHT("00"&amp;VALUE(LEFT(Sync!$AF885,FIND(":",Sync!$AF885)-1)),2)&amp;RIGHT("00"&amp;VALUE(MID(Sync!$AF885,FIND(":",Sync!$AF885)+1,2)),2),"0000"))))</f>
        <v/>
      </c>
    </row>
    <row r="886" spans="1:14" x14ac:dyDescent="0.2">
      <c r="A886" t="str">
        <f>IF(OR(Calc!$E890="",Calc!$E890="نامعتبر",Calc!$G890=""),"",Calc!$G890)</f>
        <v/>
      </c>
      <c r="B886" t="str">
        <f>IF($A886="","",LEFT(Calc!$E890,4)&amp;MID(Calc!$E890,6,2)&amp;RIGHT(Calc!$E890,2)&amp;Calc!$Q890&amp;"|"&amp;"1"&amp;RIGHT("00000"&amp;881,5))</f>
        <v/>
      </c>
      <c r="C886" t="str">
        <f t="shared" si="65"/>
        <v/>
      </c>
      <c r="D886" t="str">
        <f t="shared" si="66"/>
        <v/>
      </c>
      <c r="F886" t="str">
        <f>IF(Sync!$AH886="","",IF(LEFT(UPPER(TRIM(Sync!$AH886)),2)="SL",UPPER(TRIM(Sync!$AH886)),""))</f>
        <v/>
      </c>
      <c r="G886" t="str">
        <f>IF($F886="","",IF(Sync!$AE886="","",IF(ISNUMBER(Sync!$AE886),IF(AND(Sync!$AE886&gt;=10000101,Sync!$AE886&lt;=99991231),INT(Sync!$AE886/10000),""),IFERROR(VALUE(TRIM(LEFT(Sync!$AE886,FIND("/",Sync!$AE886)-1))),""))))</f>
        <v/>
      </c>
      <c r="H886" t="str">
        <f>IF(OR($F886="",$G886=""),"",IF(ISNUMBER(Sync!$AE886),INT(MOD(Sync!$AE886,10000)/100),IFERROR(VALUE(TRIM(LEFT(MID(Sync!$AE886,FIND("/",Sync!$AE886)+1,20),FIND("/",MID(Sync!$AE886,FIND("/",Sync!$AE886)+1,20))-1))),"")))</f>
        <v/>
      </c>
      <c r="I886" t="str">
        <f>IF(OR($F886="",$G886=""),"",IF(ISNUMBER(Sync!$AE886),MOD(Sync!$AE886,100),IFERROR(VALUE(TRIM(MID(MID(Sync!$AE886,FIND("/",Sync!$AE886)+1,20),FIND("/",MID(Sync!$AE886,FIND("/",Sync!$AE886)+1,20))+1,20))),"")))</f>
        <v/>
      </c>
      <c r="J886" t="str">
        <f t="shared" si="67"/>
        <v/>
      </c>
      <c r="K886" t="str">
        <f>IF(OR($F886="",$J886="",$J886="نامعتبر"),"",LEFT($J886,4)&amp;MID($J886,6,2)&amp;RIGHT($J886,2)&amp;$N886&amp;"|"&amp;"2"&amp;RIGHT("00000"&amp;881,5))</f>
        <v/>
      </c>
      <c r="L886" t="str">
        <f t="shared" si="68"/>
        <v/>
      </c>
      <c r="M886" t="str">
        <f t="shared" si="69"/>
        <v/>
      </c>
      <c r="N886" t="str">
        <f>IF($F886="","",IF(Sync!$AF886="","0000",IF(AND(ISNUMBER(Sync!$AF886),Sync!$AF886&gt;=0,Sync!$AF886&lt;1),RIGHT("00"&amp;HOUR(Sync!$AF886),2)&amp;RIGHT("00"&amp;MINUTE(Sync!$AF886),2),IFERROR(RIGHT("00"&amp;VALUE(LEFT(Sync!$AF886,FIND(":",Sync!$AF886)-1)),2)&amp;RIGHT("00"&amp;VALUE(MID(Sync!$AF886,FIND(":",Sync!$AF886)+1,2)),2),"0000"))))</f>
        <v/>
      </c>
    </row>
    <row r="887" spans="1:14" x14ac:dyDescent="0.2">
      <c r="A887" t="str">
        <f>IF(OR(Calc!$E891="",Calc!$E891="نامعتبر",Calc!$G891=""),"",Calc!$G891)</f>
        <v/>
      </c>
      <c r="B887" t="str">
        <f>IF($A887="","",LEFT(Calc!$E891,4)&amp;MID(Calc!$E891,6,2)&amp;RIGHT(Calc!$E891,2)&amp;Calc!$Q891&amp;"|"&amp;"1"&amp;RIGHT("00000"&amp;882,5))</f>
        <v/>
      </c>
      <c r="C887" t="str">
        <f t="shared" si="65"/>
        <v/>
      </c>
      <c r="D887" t="str">
        <f t="shared" si="66"/>
        <v/>
      </c>
      <c r="F887" t="str">
        <f>IF(Sync!$AH887="","",IF(LEFT(UPPER(TRIM(Sync!$AH887)),2)="SL",UPPER(TRIM(Sync!$AH887)),""))</f>
        <v/>
      </c>
      <c r="G887" t="str">
        <f>IF($F887="","",IF(Sync!$AE887="","",IF(ISNUMBER(Sync!$AE887),IF(AND(Sync!$AE887&gt;=10000101,Sync!$AE887&lt;=99991231),INT(Sync!$AE887/10000),""),IFERROR(VALUE(TRIM(LEFT(Sync!$AE887,FIND("/",Sync!$AE887)-1))),""))))</f>
        <v/>
      </c>
      <c r="H887" t="str">
        <f>IF(OR($F887="",$G887=""),"",IF(ISNUMBER(Sync!$AE887),INT(MOD(Sync!$AE887,10000)/100),IFERROR(VALUE(TRIM(LEFT(MID(Sync!$AE887,FIND("/",Sync!$AE887)+1,20),FIND("/",MID(Sync!$AE887,FIND("/",Sync!$AE887)+1,20))-1))),"")))</f>
        <v/>
      </c>
      <c r="I887" t="str">
        <f>IF(OR($F887="",$G887=""),"",IF(ISNUMBER(Sync!$AE887),MOD(Sync!$AE887,100),IFERROR(VALUE(TRIM(MID(MID(Sync!$AE887,FIND("/",Sync!$AE887)+1,20),FIND("/",MID(Sync!$AE887,FIND("/",Sync!$AE887)+1,20))+1,20))),"")))</f>
        <v/>
      </c>
      <c r="J887" t="str">
        <f t="shared" si="67"/>
        <v/>
      </c>
      <c r="K887" t="str">
        <f>IF(OR($F887="",$J887="",$J887="نامعتبر"),"",LEFT($J887,4)&amp;MID($J887,6,2)&amp;RIGHT($J887,2)&amp;$N887&amp;"|"&amp;"2"&amp;RIGHT("00000"&amp;882,5))</f>
        <v/>
      </c>
      <c r="L887" t="str">
        <f t="shared" si="68"/>
        <v/>
      </c>
      <c r="M887" t="str">
        <f t="shared" si="69"/>
        <v/>
      </c>
      <c r="N887" t="str">
        <f>IF($F887="","",IF(Sync!$AF887="","0000",IF(AND(ISNUMBER(Sync!$AF887),Sync!$AF887&gt;=0,Sync!$AF887&lt;1),RIGHT("00"&amp;HOUR(Sync!$AF887),2)&amp;RIGHT("00"&amp;MINUTE(Sync!$AF887),2),IFERROR(RIGHT("00"&amp;VALUE(LEFT(Sync!$AF887,FIND(":",Sync!$AF887)-1)),2)&amp;RIGHT("00"&amp;VALUE(MID(Sync!$AF887,FIND(":",Sync!$AF887)+1,2)),2),"0000"))))</f>
        <v/>
      </c>
    </row>
    <row r="888" spans="1:14" x14ac:dyDescent="0.2">
      <c r="A888" t="str">
        <f>IF(OR(Calc!$E892="",Calc!$E892="نامعتبر",Calc!$G892=""),"",Calc!$G892)</f>
        <v/>
      </c>
      <c r="B888" t="str">
        <f>IF($A888="","",LEFT(Calc!$E892,4)&amp;MID(Calc!$E892,6,2)&amp;RIGHT(Calc!$E892,2)&amp;Calc!$Q892&amp;"|"&amp;"1"&amp;RIGHT("00000"&amp;883,5))</f>
        <v/>
      </c>
      <c r="C888" t="str">
        <f t="shared" si="65"/>
        <v/>
      </c>
      <c r="D888" t="str">
        <f t="shared" si="66"/>
        <v/>
      </c>
      <c r="F888" t="str">
        <f>IF(Sync!$AH888="","",IF(LEFT(UPPER(TRIM(Sync!$AH888)),2)="SL",UPPER(TRIM(Sync!$AH888)),""))</f>
        <v/>
      </c>
      <c r="G888" t="str">
        <f>IF($F888="","",IF(Sync!$AE888="","",IF(ISNUMBER(Sync!$AE888),IF(AND(Sync!$AE888&gt;=10000101,Sync!$AE888&lt;=99991231),INT(Sync!$AE888/10000),""),IFERROR(VALUE(TRIM(LEFT(Sync!$AE888,FIND("/",Sync!$AE888)-1))),""))))</f>
        <v/>
      </c>
      <c r="H888" t="str">
        <f>IF(OR($F888="",$G888=""),"",IF(ISNUMBER(Sync!$AE888),INT(MOD(Sync!$AE888,10000)/100),IFERROR(VALUE(TRIM(LEFT(MID(Sync!$AE888,FIND("/",Sync!$AE888)+1,20),FIND("/",MID(Sync!$AE888,FIND("/",Sync!$AE888)+1,20))-1))),"")))</f>
        <v/>
      </c>
      <c r="I888" t="str">
        <f>IF(OR($F888="",$G888=""),"",IF(ISNUMBER(Sync!$AE888),MOD(Sync!$AE888,100),IFERROR(VALUE(TRIM(MID(MID(Sync!$AE888,FIND("/",Sync!$AE888)+1,20),FIND("/",MID(Sync!$AE888,FIND("/",Sync!$AE888)+1,20))+1,20))),"")))</f>
        <v/>
      </c>
      <c r="J888" t="str">
        <f t="shared" si="67"/>
        <v/>
      </c>
      <c r="K888" t="str">
        <f>IF(OR($F888="",$J888="",$J888="نامعتبر"),"",LEFT($J888,4)&amp;MID($J888,6,2)&amp;RIGHT($J888,2)&amp;$N888&amp;"|"&amp;"2"&amp;RIGHT("00000"&amp;883,5))</f>
        <v/>
      </c>
      <c r="L888" t="str">
        <f t="shared" si="68"/>
        <v/>
      </c>
      <c r="M888" t="str">
        <f t="shared" si="69"/>
        <v/>
      </c>
      <c r="N888" t="str">
        <f>IF($F888="","",IF(Sync!$AF888="","0000",IF(AND(ISNUMBER(Sync!$AF888),Sync!$AF888&gt;=0,Sync!$AF888&lt;1),RIGHT("00"&amp;HOUR(Sync!$AF888),2)&amp;RIGHT("00"&amp;MINUTE(Sync!$AF888),2),IFERROR(RIGHT("00"&amp;VALUE(LEFT(Sync!$AF888,FIND(":",Sync!$AF888)-1)),2)&amp;RIGHT("00"&amp;VALUE(MID(Sync!$AF888,FIND(":",Sync!$AF888)+1,2)),2),"0000"))))</f>
        <v/>
      </c>
    </row>
    <row r="889" spans="1:14" x14ac:dyDescent="0.2">
      <c r="A889" t="str">
        <f>IF(OR(Calc!$E893="",Calc!$E893="نامعتبر",Calc!$G893=""),"",Calc!$G893)</f>
        <v/>
      </c>
      <c r="B889" t="str">
        <f>IF($A889="","",LEFT(Calc!$E893,4)&amp;MID(Calc!$E893,6,2)&amp;RIGHT(Calc!$E893,2)&amp;Calc!$Q893&amp;"|"&amp;"1"&amp;RIGHT("00000"&amp;884,5))</f>
        <v/>
      </c>
      <c r="C889" t="str">
        <f t="shared" si="65"/>
        <v/>
      </c>
      <c r="D889" t="str">
        <f t="shared" si="66"/>
        <v/>
      </c>
      <c r="F889" t="str">
        <f>IF(Sync!$AH889="","",IF(LEFT(UPPER(TRIM(Sync!$AH889)),2)="SL",UPPER(TRIM(Sync!$AH889)),""))</f>
        <v/>
      </c>
      <c r="G889" t="str">
        <f>IF($F889="","",IF(Sync!$AE889="","",IF(ISNUMBER(Sync!$AE889),IF(AND(Sync!$AE889&gt;=10000101,Sync!$AE889&lt;=99991231),INT(Sync!$AE889/10000),""),IFERROR(VALUE(TRIM(LEFT(Sync!$AE889,FIND("/",Sync!$AE889)-1))),""))))</f>
        <v/>
      </c>
      <c r="H889" t="str">
        <f>IF(OR($F889="",$G889=""),"",IF(ISNUMBER(Sync!$AE889),INT(MOD(Sync!$AE889,10000)/100),IFERROR(VALUE(TRIM(LEFT(MID(Sync!$AE889,FIND("/",Sync!$AE889)+1,20),FIND("/",MID(Sync!$AE889,FIND("/",Sync!$AE889)+1,20))-1))),"")))</f>
        <v/>
      </c>
      <c r="I889" t="str">
        <f>IF(OR($F889="",$G889=""),"",IF(ISNUMBER(Sync!$AE889),MOD(Sync!$AE889,100),IFERROR(VALUE(TRIM(MID(MID(Sync!$AE889,FIND("/",Sync!$AE889)+1,20),FIND("/",MID(Sync!$AE889,FIND("/",Sync!$AE889)+1,20))+1,20))),"")))</f>
        <v/>
      </c>
      <c r="J889" t="str">
        <f t="shared" si="67"/>
        <v/>
      </c>
      <c r="K889" t="str">
        <f>IF(OR($F889="",$J889="",$J889="نامعتبر"),"",LEFT($J889,4)&amp;MID($J889,6,2)&amp;RIGHT($J889,2)&amp;$N889&amp;"|"&amp;"2"&amp;RIGHT("00000"&amp;884,5))</f>
        <v/>
      </c>
      <c r="L889" t="str">
        <f t="shared" si="68"/>
        <v/>
      </c>
      <c r="M889" t="str">
        <f t="shared" si="69"/>
        <v/>
      </c>
      <c r="N889" t="str">
        <f>IF($F889="","",IF(Sync!$AF889="","0000",IF(AND(ISNUMBER(Sync!$AF889),Sync!$AF889&gt;=0,Sync!$AF889&lt;1),RIGHT("00"&amp;HOUR(Sync!$AF889),2)&amp;RIGHT("00"&amp;MINUTE(Sync!$AF889),2),IFERROR(RIGHT("00"&amp;VALUE(LEFT(Sync!$AF889,FIND(":",Sync!$AF889)-1)),2)&amp;RIGHT("00"&amp;VALUE(MID(Sync!$AF889,FIND(":",Sync!$AF889)+1,2)),2),"0000"))))</f>
        <v/>
      </c>
    </row>
    <row r="890" spans="1:14" x14ac:dyDescent="0.2">
      <c r="A890" t="str">
        <f>IF(OR(Calc!$E894="",Calc!$E894="نامعتبر",Calc!$G894=""),"",Calc!$G894)</f>
        <v/>
      </c>
      <c r="B890" t="str">
        <f>IF($A890="","",LEFT(Calc!$E894,4)&amp;MID(Calc!$E894,6,2)&amp;RIGHT(Calc!$E894,2)&amp;Calc!$Q894&amp;"|"&amp;"1"&amp;RIGHT("00000"&amp;885,5))</f>
        <v/>
      </c>
      <c r="C890" t="str">
        <f t="shared" si="65"/>
        <v/>
      </c>
      <c r="D890" t="str">
        <f t="shared" si="66"/>
        <v/>
      </c>
      <c r="F890" t="str">
        <f>IF(Sync!$AH890="","",IF(LEFT(UPPER(TRIM(Sync!$AH890)),2)="SL",UPPER(TRIM(Sync!$AH890)),""))</f>
        <v/>
      </c>
      <c r="G890" t="str">
        <f>IF($F890="","",IF(Sync!$AE890="","",IF(ISNUMBER(Sync!$AE890),IF(AND(Sync!$AE890&gt;=10000101,Sync!$AE890&lt;=99991231),INT(Sync!$AE890/10000),""),IFERROR(VALUE(TRIM(LEFT(Sync!$AE890,FIND("/",Sync!$AE890)-1))),""))))</f>
        <v/>
      </c>
      <c r="H890" t="str">
        <f>IF(OR($F890="",$G890=""),"",IF(ISNUMBER(Sync!$AE890),INT(MOD(Sync!$AE890,10000)/100),IFERROR(VALUE(TRIM(LEFT(MID(Sync!$AE890,FIND("/",Sync!$AE890)+1,20),FIND("/",MID(Sync!$AE890,FIND("/",Sync!$AE890)+1,20))-1))),"")))</f>
        <v/>
      </c>
      <c r="I890" t="str">
        <f>IF(OR($F890="",$G890=""),"",IF(ISNUMBER(Sync!$AE890),MOD(Sync!$AE890,100),IFERROR(VALUE(TRIM(MID(MID(Sync!$AE890,FIND("/",Sync!$AE890)+1,20),FIND("/",MID(Sync!$AE890,FIND("/",Sync!$AE890)+1,20))+1,20))),"")))</f>
        <v/>
      </c>
      <c r="J890" t="str">
        <f t="shared" si="67"/>
        <v/>
      </c>
      <c r="K890" t="str">
        <f>IF(OR($F890="",$J890="",$J890="نامعتبر"),"",LEFT($J890,4)&amp;MID($J890,6,2)&amp;RIGHT($J890,2)&amp;$N890&amp;"|"&amp;"2"&amp;RIGHT("00000"&amp;885,5))</f>
        <v/>
      </c>
      <c r="L890" t="str">
        <f t="shared" si="68"/>
        <v/>
      </c>
      <c r="M890" t="str">
        <f t="shared" si="69"/>
        <v/>
      </c>
      <c r="N890" t="str">
        <f>IF($F890="","",IF(Sync!$AF890="","0000",IF(AND(ISNUMBER(Sync!$AF890),Sync!$AF890&gt;=0,Sync!$AF890&lt;1),RIGHT("00"&amp;HOUR(Sync!$AF890),2)&amp;RIGHT("00"&amp;MINUTE(Sync!$AF890),2),IFERROR(RIGHT("00"&amp;VALUE(LEFT(Sync!$AF890,FIND(":",Sync!$AF890)-1)),2)&amp;RIGHT("00"&amp;VALUE(MID(Sync!$AF890,FIND(":",Sync!$AF890)+1,2)),2),"0000"))))</f>
        <v/>
      </c>
    </row>
    <row r="891" spans="1:14" x14ac:dyDescent="0.2">
      <c r="A891" t="str">
        <f>IF(OR(Calc!$E895="",Calc!$E895="نامعتبر",Calc!$G895=""),"",Calc!$G895)</f>
        <v/>
      </c>
      <c r="B891" t="str">
        <f>IF($A891="","",LEFT(Calc!$E895,4)&amp;MID(Calc!$E895,6,2)&amp;RIGHT(Calc!$E895,2)&amp;Calc!$Q895&amp;"|"&amp;"1"&amp;RIGHT("00000"&amp;886,5))</f>
        <v/>
      </c>
      <c r="C891" t="str">
        <f t="shared" si="65"/>
        <v/>
      </c>
      <c r="D891" t="str">
        <f t="shared" si="66"/>
        <v/>
      </c>
      <c r="F891" t="str">
        <f>IF(Sync!$AH891="","",IF(LEFT(UPPER(TRIM(Sync!$AH891)),2)="SL",UPPER(TRIM(Sync!$AH891)),""))</f>
        <v/>
      </c>
      <c r="G891" t="str">
        <f>IF($F891="","",IF(Sync!$AE891="","",IF(ISNUMBER(Sync!$AE891),IF(AND(Sync!$AE891&gt;=10000101,Sync!$AE891&lt;=99991231),INT(Sync!$AE891/10000),""),IFERROR(VALUE(TRIM(LEFT(Sync!$AE891,FIND("/",Sync!$AE891)-1))),""))))</f>
        <v/>
      </c>
      <c r="H891" t="str">
        <f>IF(OR($F891="",$G891=""),"",IF(ISNUMBER(Sync!$AE891),INT(MOD(Sync!$AE891,10000)/100),IFERROR(VALUE(TRIM(LEFT(MID(Sync!$AE891,FIND("/",Sync!$AE891)+1,20),FIND("/",MID(Sync!$AE891,FIND("/",Sync!$AE891)+1,20))-1))),"")))</f>
        <v/>
      </c>
      <c r="I891" t="str">
        <f>IF(OR($F891="",$G891=""),"",IF(ISNUMBER(Sync!$AE891),MOD(Sync!$AE891,100),IFERROR(VALUE(TRIM(MID(MID(Sync!$AE891,FIND("/",Sync!$AE891)+1,20),FIND("/",MID(Sync!$AE891,FIND("/",Sync!$AE891)+1,20))+1,20))),"")))</f>
        <v/>
      </c>
      <c r="J891" t="str">
        <f t="shared" si="67"/>
        <v/>
      </c>
      <c r="K891" t="str">
        <f>IF(OR($F891="",$J891="",$J891="نامعتبر"),"",LEFT($J891,4)&amp;MID($J891,6,2)&amp;RIGHT($J891,2)&amp;$N891&amp;"|"&amp;"2"&amp;RIGHT("00000"&amp;886,5))</f>
        <v/>
      </c>
      <c r="L891" t="str">
        <f t="shared" si="68"/>
        <v/>
      </c>
      <c r="M891" t="str">
        <f t="shared" si="69"/>
        <v/>
      </c>
      <c r="N891" t="str">
        <f>IF($F891="","",IF(Sync!$AF891="","0000",IF(AND(ISNUMBER(Sync!$AF891),Sync!$AF891&gt;=0,Sync!$AF891&lt;1),RIGHT("00"&amp;HOUR(Sync!$AF891),2)&amp;RIGHT("00"&amp;MINUTE(Sync!$AF891),2),IFERROR(RIGHT("00"&amp;VALUE(LEFT(Sync!$AF891,FIND(":",Sync!$AF891)-1)),2)&amp;RIGHT("00"&amp;VALUE(MID(Sync!$AF891,FIND(":",Sync!$AF891)+1,2)),2),"0000"))))</f>
        <v/>
      </c>
    </row>
    <row r="892" spans="1:14" x14ac:dyDescent="0.2">
      <c r="A892" t="str">
        <f>IF(OR(Calc!$E896="",Calc!$E896="نامعتبر",Calc!$G896=""),"",Calc!$G896)</f>
        <v/>
      </c>
      <c r="B892" t="str">
        <f>IF($A892="","",LEFT(Calc!$E896,4)&amp;MID(Calc!$E896,6,2)&amp;RIGHT(Calc!$E896,2)&amp;Calc!$Q896&amp;"|"&amp;"1"&amp;RIGHT("00000"&amp;887,5))</f>
        <v/>
      </c>
      <c r="C892" t="str">
        <f t="shared" si="65"/>
        <v/>
      </c>
      <c r="D892" t="str">
        <f t="shared" si="66"/>
        <v/>
      </c>
      <c r="F892" t="str">
        <f>IF(Sync!$AH892="","",IF(LEFT(UPPER(TRIM(Sync!$AH892)),2)="SL",UPPER(TRIM(Sync!$AH892)),""))</f>
        <v/>
      </c>
      <c r="G892" t="str">
        <f>IF($F892="","",IF(Sync!$AE892="","",IF(ISNUMBER(Sync!$AE892),IF(AND(Sync!$AE892&gt;=10000101,Sync!$AE892&lt;=99991231),INT(Sync!$AE892/10000),""),IFERROR(VALUE(TRIM(LEFT(Sync!$AE892,FIND("/",Sync!$AE892)-1))),""))))</f>
        <v/>
      </c>
      <c r="H892" t="str">
        <f>IF(OR($F892="",$G892=""),"",IF(ISNUMBER(Sync!$AE892),INT(MOD(Sync!$AE892,10000)/100),IFERROR(VALUE(TRIM(LEFT(MID(Sync!$AE892,FIND("/",Sync!$AE892)+1,20),FIND("/",MID(Sync!$AE892,FIND("/",Sync!$AE892)+1,20))-1))),"")))</f>
        <v/>
      </c>
      <c r="I892" t="str">
        <f>IF(OR($F892="",$G892=""),"",IF(ISNUMBER(Sync!$AE892),MOD(Sync!$AE892,100),IFERROR(VALUE(TRIM(MID(MID(Sync!$AE892,FIND("/",Sync!$AE892)+1,20),FIND("/",MID(Sync!$AE892,FIND("/",Sync!$AE892)+1,20))+1,20))),"")))</f>
        <v/>
      </c>
      <c r="J892" t="str">
        <f t="shared" si="67"/>
        <v/>
      </c>
      <c r="K892" t="str">
        <f>IF(OR($F892="",$J892="",$J892="نامعتبر"),"",LEFT($J892,4)&amp;MID($J892,6,2)&amp;RIGHT($J892,2)&amp;$N892&amp;"|"&amp;"2"&amp;RIGHT("00000"&amp;887,5))</f>
        <v/>
      </c>
      <c r="L892" t="str">
        <f t="shared" si="68"/>
        <v/>
      </c>
      <c r="M892" t="str">
        <f t="shared" si="69"/>
        <v/>
      </c>
      <c r="N892" t="str">
        <f>IF($F892="","",IF(Sync!$AF892="","0000",IF(AND(ISNUMBER(Sync!$AF892),Sync!$AF892&gt;=0,Sync!$AF892&lt;1),RIGHT("00"&amp;HOUR(Sync!$AF892),2)&amp;RIGHT("00"&amp;MINUTE(Sync!$AF892),2),IFERROR(RIGHT("00"&amp;VALUE(LEFT(Sync!$AF892,FIND(":",Sync!$AF892)-1)),2)&amp;RIGHT("00"&amp;VALUE(MID(Sync!$AF892,FIND(":",Sync!$AF892)+1,2)),2),"0000"))))</f>
        <v/>
      </c>
    </row>
    <row r="893" spans="1:14" x14ac:dyDescent="0.2">
      <c r="A893" t="str">
        <f>IF(OR(Calc!$E897="",Calc!$E897="نامعتبر",Calc!$G897=""),"",Calc!$G897)</f>
        <v/>
      </c>
      <c r="B893" t="str">
        <f>IF($A893="","",LEFT(Calc!$E897,4)&amp;MID(Calc!$E897,6,2)&amp;RIGHT(Calc!$E897,2)&amp;Calc!$Q897&amp;"|"&amp;"1"&amp;RIGHT("00000"&amp;888,5))</f>
        <v/>
      </c>
      <c r="C893" t="str">
        <f t="shared" si="65"/>
        <v/>
      </c>
      <c r="D893" t="str">
        <f t="shared" si="66"/>
        <v/>
      </c>
      <c r="F893" t="str">
        <f>IF(Sync!$AH893="","",IF(LEFT(UPPER(TRIM(Sync!$AH893)),2)="SL",UPPER(TRIM(Sync!$AH893)),""))</f>
        <v/>
      </c>
      <c r="G893" t="str">
        <f>IF($F893="","",IF(Sync!$AE893="","",IF(ISNUMBER(Sync!$AE893),IF(AND(Sync!$AE893&gt;=10000101,Sync!$AE893&lt;=99991231),INT(Sync!$AE893/10000),""),IFERROR(VALUE(TRIM(LEFT(Sync!$AE893,FIND("/",Sync!$AE893)-1))),""))))</f>
        <v/>
      </c>
      <c r="H893" t="str">
        <f>IF(OR($F893="",$G893=""),"",IF(ISNUMBER(Sync!$AE893),INT(MOD(Sync!$AE893,10000)/100),IFERROR(VALUE(TRIM(LEFT(MID(Sync!$AE893,FIND("/",Sync!$AE893)+1,20),FIND("/",MID(Sync!$AE893,FIND("/",Sync!$AE893)+1,20))-1))),"")))</f>
        <v/>
      </c>
      <c r="I893" t="str">
        <f>IF(OR($F893="",$G893=""),"",IF(ISNUMBER(Sync!$AE893),MOD(Sync!$AE893,100),IFERROR(VALUE(TRIM(MID(MID(Sync!$AE893,FIND("/",Sync!$AE893)+1,20),FIND("/",MID(Sync!$AE893,FIND("/",Sync!$AE893)+1,20))+1,20))),"")))</f>
        <v/>
      </c>
      <c r="J893" t="str">
        <f t="shared" si="67"/>
        <v/>
      </c>
      <c r="K893" t="str">
        <f>IF(OR($F893="",$J893="",$J893="نامعتبر"),"",LEFT($J893,4)&amp;MID($J893,6,2)&amp;RIGHT($J893,2)&amp;$N893&amp;"|"&amp;"2"&amp;RIGHT("00000"&amp;888,5))</f>
        <v/>
      </c>
      <c r="L893" t="str">
        <f t="shared" si="68"/>
        <v/>
      </c>
      <c r="M893" t="str">
        <f t="shared" si="69"/>
        <v/>
      </c>
      <c r="N893" t="str">
        <f>IF($F893="","",IF(Sync!$AF893="","0000",IF(AND(ISNUMBER(Sync!$AF893),Sync!$AF893&gt;=0,Sync!$AF893&lt;1),RIGHT("00"&amp;HOUR(Sync!$AF893),2)&amp;RIGHT("00"&amp;MINUTE(Sync!$AF893),2),IFERROR(RIGHT("00"&amp;VALUE(LEFT(Sync!$AF893,FIND(":",Sync!$AF893)-1)),2)&amp;RIGHT("00"&amp;VALUE(MID(Sync!$AF893,FIND(":",Sync!$AF893)+1,2)),2),"0000"))))</f>
        <v/>
      </c>
    </row>
    <row r="894" spans="1:14" x14ac:dyDescent="0.2">
      <c r="A894" t="str">
        <f>IF(OR(Calc!$E898="",Calc!$E898="نامعتبر",Calc!$G898=""),"",Calc!$G898)</f>
        <v/>
      </c>
      <c r="B894" t="str">
        <f>IF($A894="","",LEFT(Calc!$E898,4)&amp;MID(Calc!$E898,6,2)&amp;RIGHT(Calc!$E898,2)&amp;Calc!$Q898&amp;"|"&amp;"1"&amp;RIGHT("00000"&amp;889,5))</f>
        <v/>
      </c>
      <c r="C894" t="str">
        <f t="shared" si="65"/>
        <v/>
      </c>
      <c r="D894" t="str">
        <f t="shared" si="66"/>
        <v/>
      </c>
      <c r="F894" t="str">
        <f>IF(Sync!$AH894="","",IF(LEFT(UPPER(TRIM(Sync!$AH894)),2)="SL",UPPER(TRIM(Sync!$AH894)),""))</f>
        <v/>
      </c>
      <c r="G894" t="str">
        <f>IF($F894="","",IF(Sync!$AE894="","",IF(ISNUMBER(Sync!$AE894),IF(AND(Sync!$AE894&gt;=10000101,Sync!$AE894&lt;=99991231),INT(Sync!$AE894/10000),""),IFERROR(VALUE(TRIM(LEFT(Sync!$AE894,FIND("/",Sync!$AE894)-1))),""))))</f>
        <v/>
      </c>
      <c r="H894" t="str">
        <f>IF(OR($F894="",$G894=""),"",IF(ISNUMBER(Sync!$AE894),INT(MOD(Sync!$AE894,10000)/100),IFERROR(VALUE(TRIM(LEFT(MID(Sync!$AE894,FIND("/",Sync!$AE894)+1,20),FIND("/",MID(Sync!$AE894,FIND("/",Sync!$AE894)+1,20))-1))),"")))</f>
        <v/>
      </c>
      <c r="I894" t="str">
        <f>IF(OR($F894="",$G894=""),"",IF(ISNUMBER(Sync!$AE894),MOD(Sync!$AE894,100),IFERROR(VALUE(TRIM(MID(MID(Sync!$AE894,FIND("/",Sync!$AE894)+1,20),FIND("/",MID(Sync!$AE894,FIND("/",Sync!$AE894)+1,20))+1,20))),"")))</f>
        <v/>
      </c>
      <c r="J894" t="str">
        <f t="shared" si="67"/>
        <v/>
      </c>
      <c r="K894" t="str">
        <f>IF(OR($F894="",$J894="",$J894="نامعتبر"),"",LEFT($J894,4)&amp;MID($J894,6,2)&amp;RIGHT($J894,2)&amp;$N894&amp;"|"&amp;"2"&amp;RIGHT("00000"&amp;889,5))</f>
        <v/>
      </c>
      <c r="L894" t="str">
        <f t="shared" si="68"/>
        <v/>
      </c>
      <c r="M894" t="str">
        <f t="shared" si="69"/>
        <v/>
      </c>
      <c r="N894" t="str">
        <f>IF($F894="","",IF(Sync!$AF894="","0000",IF(AND(ISNUMBER(Sync!$AF894),Sync!$AF894&gt;=0,Sync!$AF894&lt;1),RIGHT("00"&amp;HOUR(Sync!$AF894),2)&amp;RIGHT("00"&amp;MINUTE(Sync!$AF894),2),IFERROR(RIGHT("00"&amp;VALUE(LEFT(Sync!$AF894,FIND(":",Sync!$AF894)-1)),2)&amp;RIGHT("00"&amp;VALUE(MID(Sync!$AF894,FIND(":",Sync!$AF894)+1,2)),2),"0000"))))</f>
        <v/>
      </c>
    </row>
    <row r="895" spans="1:14" x14ac:dyDescent="0.2">
      <c r="A895" t="str">
        <f>IF(OR(Calc!$E899="",Calc!$E899="نامعتبر",Calc!$G899=""),"",Calc!$G899)</f>
        <v/>
      </c>
      <c r="B895" t="str">
        <f>IF($A895="","",LEFT(Calc!$E899,4)&amp;MID(Calc!$E899,6,2)&amp;RIGHT(Calc!$E899,2)&amp;Calc!$Q899&amp;"|"&amp;"1"&amp;RIGHT("00000"&amp;890,5))</f>
        <v/>
      </c>
      <c r="C895" t="str">
        <f t="shared" si="65"/>
        <v/>
      </c>
      <c r="D895" t="str">
        <f t="shared" si="66"/>
        <v/>
      </c>
      <c r="F895" t="str">
        <f>IF(Sync!$AH895="","",IF(LEFT(UPPER(TRIM(Sync!$AH895)),2)="SL",UPPER(TRIM(Sync!$AH895)),""))</f>
        <v/>
      </c>
      <c r="G895" t="str">
        <f>IF($F895="","",IF(Sync!$AE895="","",IF(ISNUMBER(Sync!$AE895),IF(AND(Sync!$AE895&gt;=10000101,Sync!$AE895&lt;=99991231),INT(Sync!$AE895/10000),""),IFERROR(VALUE(TRIM(LEFT(Sync!$AE895,FIND("/",Sync!$AE895)-1))),""))))</f>
        <v/>
      </c>
      <c r="H895" t="str">
        <f>IF(OR($F895="",$G895=""),"",IF(ISNUMBER(Sync!$AE895),INT(MOD(Sync!$AE895,10000)/100),IFERROR(VALUE(TRIM(LEFT(MID(Sync!$AE895,FIND("/",Sync!$AE895)+1,20),FIND("/",MID(Sync!$AE895,FIND("/",Sync!$AE895)+1,20))-1))),"")))</f>
        <v/>
      </c>
      <c r="I895" t="str">
        <f>IF(OR($F895="",$G895=""),"",IF(ISNUMBER(Sync!$AE895),MOD(Sync!$AE895,100),IFERROR(VALUE(TRIM(MID(MID(Sync!$AE895,FIND("/",Sync!$AE895)+1,20),FIND("/",MID(Sync!$AE895,FIND("/",Sync!$AE895)+1,20))+1,20))),"")))</f>
        <v/>
      </c>
      <c r="J895" t="str">
        <f t="shared" si="67"/>
        <v/>
      </c>
      <c r="K895" t="str">
        <f>IF(OR($F895="",$J895="",$J895="نامعتبر"),"",LEFT($J895,4)&amp;MID($J895,6,2)&amp;RIGHT($J895,2)&amp;$N895&amp;"|"&amp;"2"&amp;RIGHT("00000"&amp;890,5))</f>
        <v/>
      </c>
      <c r="L895" t="str">
        <f t="shared" si="68"/>
        <v/>
      </c>
      <c r="M895" t="str">
        <f t="shared" si="69"/>
        <v/>
      </c>
      <c r="N895" t="str">
        <f>IF($F895="","",IF(Sync!$AF895="","0000",IF(AND(ISNUMBER(Sync!$AF895),Sync!$AF895&gt;=0,Sync!$AF895&lt;1),RIGHT("00"&amp;HOUR(Sync!$AF895),2)&amp;RIGHT("00"&amp;MINUTE(Sync!$AF895),2),IFERROR(RIGHT("00"&amp;VALUE(LEFT(Sync!$AF895,FIND(":",Sync!$AF895)-1)),2)&amp;RIGHT("00"&amp;VALUE(MID(Sync!$AF895,FIND(":",Sync!$AF895)+1,2)),2),"0000"))))</f>
        <v/>
      </c>
    </row>
    <row r="896" spans="1:14" x14ac:dyDescent="0.2">
      <c r="A896" t="str">
        <f>IF(OR(Calc!$E900="",Calc!$E900="نامعتبر",Calc!$G900=""),"",Calc!$G900)</f>
        <v/>
      </c>
      <c r="B896" t="str">
        <f>IF($A896="","",LEFT(Calc!$E900,4)&amp;MID(Calc!$E900,6,2)&amp;RIGHT(Calc!$E900,2)&amp;Calc!$Q900&amp;"|"&amp;"1"&amp;RIGHT("00000"&amp;891,5))</f>
        <v/>
      </c>
      <c r="C896" t="str">
        <f t="shared" si="65"/>
        <v/>
      </c>
      <c r="D896" t="str">
        <f t="shared" si="66"/>
        <v/>
      </c>
      <c r="F896" t="str">
        <f>IF(Sync!$AH896="","",IF(LEFT(UPPER(TRIM(Sync!$AH896)),2)="SL",UPPER(TRIM(Sync!$AH896)),""))</f>
        <v/>
      </c>
      <c r="G896" t="str">
        <f>IF($F896="","",IF(Sync!$AE896="","",IF(ISNUMBER(Sync!$AE896),IF(AND(Sync!$AE896&gt;=10000101,Sync!$AE896&lt;=99991231),INT(Sync!$AE896/10000),""),IFERROR(VALUE(TRIM(LEFT(Sync!$AE896,FIND("/",Sync!$AE896)-1))),""))))</f>
        <v/>
      </c>
      <c r="H896" t="str">
        <f>IF(OR($F896="",$G896=""),"",IF(ISNUMBER(Sync!$AE896),INT(MOD(Sync!$AE896,10000)/100),IFERROR(VALUE(TRIM(LEFT(MID(Sync!$AE896,FIND("/",Sync!$AE896)+1,20),FIND("/",MID(Sync!$AE896,FIND("/",Sync!$AE896)+1,20))-1))),"")))</f>
        <v/>
      </c>
      <c r="I896" t="str">
        <f>IF(OR($F896="",$G896=""),"",IF(ISNUMBER(Sync!$AE896),MOD(Sync!$AE896,100),IFERROR(VALUE(TRIM(MID(MID(Sync!$AE896,FIND("/",Sync!$AE896)+1,20),FIND("/",MID(Sync!$AE896,FIND("/",Sync!$AE896)+1,20))+1,20))),"")))</f>
        <v/>
      </c>
      <c r="J896" t="str">
        <f t="shared" si="67"/>
        <v/>
      </c>
      <c r="K896" t="str">
        <f>IF(OR($F896="",$J896="",$J896="نامعتبر"),"",LEFT($J896,4)&amp;MID($J896,6,2)&amp;RIGHT($J896,2)&amp;$N896&amp;"|"&amp;"2"&amp;RIGHT("00000"&amp;891,5))</f>
        <v/>
      </c>
      <c r="L896" t="str">
        <f t="shared" si="68"/>
        <v/>
      </c>
      <c r="M896" t="str">
        <f t="shared" si="69"/>
        <v/>
      </c>
      <c r="N896" t="str">
        <f>IF($F896="","",IF(Sync!$AF896="","0000",IF(AND(ISNUMBER(Sync!$AF896),Sync!$AF896&gt;=0,Sync!$AF896&lt;1),RIGHT("00"&amp;HOUR(Sync!$AF896),2)&amp;RIGHT("00"&amp;MINUTE(Sync!$AF896),2),IFERROR(RIGHT("00"&amp;VALUE(LEFT(Sync!$AF896,FIND(":",Sync!$AF896)-1)),2)&amp;RIGHT("00"&amp;VALUE(MID(Sync!$AF896,FIND(":",Sync!$AF896)+1,2)),2),"0000"))))</f>
        <v/>
      </c>
    </row>
    <row r="897" spans="1:14" x14ac:dyDescent="0.2">
      <c r="A897" t="str">
        <f>IF(OR(Calc!$E901="",Calc!$E901="نامعتبر",Calc!$G901=""),"",Calc!$G901)</f>
        <v/>
      </c>
      <c r="B897" t="str">
        <f>IF($A897="","",LEFT(Calc!$E901,4)&amp;MID(Calc!$E901,6,2)&amp;RIGHT(Calc!$E901,2)&amp;Calc!$Q901&amp;"|"&amp;"1"&amp;RIGHT("00000"&amp;892,5))</f>
        <v/>
      </c>
      <c r="C897" t="str">
        <f t="shared" si="65"/>
        <v/>
      </c>
      <c r="D897" t="str">
        <f t="shared" si="66"/>
        <v/>
      </c>
      <c r="F897" t="str">
        <f>IF(Sync!$AH897="","",IF(LEFT(UPPER(TRIM(Sync!$AH897)),2)="SL",UPPER(TRIM(Sync!$AH897)),""))</f>
        <v/>
      </c>
      <c r="G897" t="str">
        <f>IF($F897="","",IF(Sync!$AE897="","",IF(ISNUMBER(Sync!$AE897),IF(AND(Sync!$AE897&gt;=10000101,Sync!$AE897&lt;=99991231),INT(Sync!$AE897/10000),""),IFERROR(VALUE(TRIM(LEFT(Sync!$AE897,FIND("/",Sync!$AE897)-1))),""))))</f>
        <v/>
      </c>
      <c r="H897" t="str">
        <f>IF(OR($F897="",$G897=""),"",IF(ISNUMBER(Sync!$AE897),INT(MOD(Sync!$AE897,10000)/100),IFERROR(VALUE(TRIM(LEFT(MID(Sync!$AE897,FIND("/",Sync!$AE897)+1,20),FIND("/",MID(Sync!$AE897,FIND("/",Sync!$AE897)+1,20))-1))),"")))</f>
        <v/>
      </c>
      <c r="I897" t="str">
        <f>IF(OR($F897="",$G897=""),"",IF(ISNUMBER(Sync!$AE897),MOD(Sync!$AE897,100),IFERROR(VALUE(TRIM(MID(MID(Sync!$AE897,FIND("/",Sync!$AE897)+1,20),FIND("/",MID(Sync!$AE897,FIND("/",Sync!$AE897)+1,20))+1,20))),"")))</f>
        <v/>
      </c>
      <c r="J897" t="str">
        <f t="shared" si="67"/>
        <v/>
      </c>
      <c r="K897" t="str">
        <f>IF(OR($F897="",$J897="",$J897="نامعتبر"),"",LEFT($J897,4)&amp;MID($J897,6,2)&amp;RIGHT($J897,2)&amp;$N897&amp;"|"&amp;"2"&amp;RIGHT("00000"&amp;892,5))</f>
        <v/>
      </c>
      <c r="L897" t="str">
        <f t="shared" si="68"/>
        <v/>
      </c>
      <c r="M897" t="str">
        <f t="shared" si="69"/>
        <v/>
      </c>
      <c r="N897" t="str">
        <f>IF($F897="","",IF(Sync!$AF897="","0000",IF(AND(ISNUMBER(Sync!$AF897),Sync!$AF897&gt;=0,Sync!$AF897&lt;1),RIGHT("00"&amp;HOUR(Sync!$AF897),2)&amp;RIGHT("00"&amp;MINUTE(Sync!$AF897),2),IFERROR(RIGHT("00"&amp;VALUE(LEFT(Sync!$AF897,FIND(":",Sync!$AF897)-1)),2)&amp;RIGHT("00"&amp;VALUE(MID(Sync!$AF897,FIND(":",Sync!$AF897)+1,2)),2),"0000"))))</f>
        <v/>
      </c>
    </row>
    <row r="898" spans="1:14" x14ac:dyDescent="0.2">
      <c r="A898" t="str">
        <f>IF(OR(Calc!$E902="",Calc!$E902="نامعتبر",Calc!$G902=""),"",Calc!$G902)</f>
        <v/>
      </c>
      <c r="B898" t="str">
        <f>IF($A898="","",LEFT(Calc!$E902,4)&amp;MID(Calc!$E902,6,2)&amp;RIGHT(Calc!$E902,2)&amp;Calc!$Q902&amp;"|"&amp;"1"&amp;RIGHT("00000"&amp;893,5))</f>
        <v/>
      </c>
      <c r="C898" t="str">
        <f t="shared" si="65"/>
        <v/>
      </c>
      <c r="D898" t="str">
        <f t="shared" si="66"/>
        <v/>
      </c>
      <c r="F898" t="str">
        <f>IF(Sync!$AH898="","",IF(LEFT(UPPER(TRIM(Sync!$AH898)),2)="SL",UPPER(TRIM(Sync!$AH898)),""))</f>
        <v/>
      </c>
      <c r="G898" t="str">
        <f>IF($F898="","",IF(Sync!$AE898="","",IF(ISNUMBER(Sync!$AE898),IF(AND(Sync!$AE898&gt;=10000101,Sync!$AE898&lt;=99991231),INT(Sync!$AE898/10000),""),IFERROR(VALUE(TRIM(LEFT(Sync!$AE898,FIND("/",Sync!$AE898)-1))),""))))</f>
        <v/>
      </c>
      <c r="H898" t="str">
        <f>IF(OR($F898="",$G898=""),"",IF(ISNUMBER(Sync!$AE898),INT(MOD(Sync!$AE898,10000)/100),IFERROR(VALUE(TRIM(LEFT(MID(Sync!$AE898,FIND("/",Sync!$AE898)+1,20),FIND("/",MID(Sync!$AE898,FIND("/",Sync!$AE898)+1,20))-1))),"")))</f>
        <v/>
      </c>
      <c r="I898" t="str">
        <f>IF(OR($F898="",$G898=""),"",IF(ISNUMBER(Sync!$AE898),MOD(Sync!$AE898,100),IFERROR(VALUE(TRIM(MID(MID(Sync!$AE898,FIND("/",Sync!$AE898)+1,20),FIND("/",MID(Sync!$AE898,FIND("/",Sync!$AE898)+1,20))+1,20))),"")))</f>
        <v/>
      </c>
      <c r="J898" t="str">
        <f t="shared" si="67"/>
        <v/>
      </c>
      <c r="K898" t="str">
        <f>IF(OR($F898="",$J898="",$J898="نامعتبر"),"",LEFT($J898,4)&amp;MID($J898,6,2)&amp;RIGHT($J898,2)&amp;$N898&amp;"|"&amp;"2"&amp;RIGHT("00000"&amp;893,5))</f>
        <v/>
      </c>
      <c r="L898" t="str">
        <f t="shared" si="68"/>
        <v/>
      </c>
      <c r="M898" t="str">
        <f t="shared" si="69"/>
        <v/>
      </c>
      <c r="N898" t="str">
        <f>IF($F898="","",IF(Sync!$AF898="","0000",IF(AND(ISNUMBER(Sync!$AF898),Sync!$AF898&gt;=0,Sync!$AF898&lt;1),RIGHT("00"&amp;HOUR(Sync!$AF898),2)&amp;RIGHT("00"&amp;MINUTE(Sync!$AF898),2),IFERROR(RIGHT("00"&amp;VALUE(LEFT(Sync!$AF898,FIND(":",Sync!$AF898)-1)),2)&amp;RIGHT("00"&amp;VALUE(MID(Sync!$AF898,FIND(":",Sync!$AF898)+1,2)),2),"0000"))))</f>
        <v/>
      </c>
    </row>
    <row r="899" spans="1:14" x14ac:dyDescent="0.2">
      <c r="A899" t="str">
        <f>IF(OR(Calc!$E903="",Calc!$E903="نامعتبر",Calc!$G903=""),"",Calc!$G903)</f>
        <v/>
      </c>
      <c r="B899" t="str">
        <f>IF($A899="","",LEFT(Calc!$E903,4)&amp;MID(Calc!$E903,6,2)&amp;RIGHT(Calc!$E903,2)&amp;Calc!$Q903&amp;"|"&amp;"1"&amp;RIGHT("00000"&amp;894,5))</f>
        <v/>
      </c>
      <c r="C899" t="str">
        <f t="shared" si="65"/>
        <v/>
      </c>
      <c r="D899" t="str">
        <f t="shared" si="66"/>
        <v/>
      </c>
      <c r="F899" t="str">
        <f>IF(Sync!$AH899="","",IF(LEFT(UPPER(TRIM(Sync!$AH899)),2)="SL",UPPER(TRIM(Sync!$AH899)),""))</f>
        <v/>
      </c>
      <c r="G899" t="str">
        <f>IF($F899="","",IF(Sync!$AE899="","",IF(ISNUMBER(Sync!$AE899),IF(AND(Sync!$AE899&gt;=10000101,Sync!$AE899&lt;=99991231),INT(Sync!$AE899/10000),""),IFERROR(VALUE(TRIM(LEFT(Sync!$AE899,FIND("/",Sync!$AE899)-1))),""))))</f>
        <v/>
      </c>
      <c r="H899" t="str">
        <f>IF(OR($F899="",$G899=""),"",IF(ISNUMBER(Sync!$AE899),INT(MOD(Sync!$AE899,10000)/100),IFERROR(VALUE(TRIM(LEFT(MID(Sync!$AE899,FIND("/",Sync!$AE899)+1,20),FIND("/",MID(Sync!$AE899,FIND("/",Sync!$AE899)+1,20))-1))),"")))</f>
        <v/>
      </c>
      <c r="I899" t="str">
        <f>IF(OR($F899="",$G899=""),"",IF(ISNUMBER(Sync!$AE899),MOD(Sync!$AE899,100),IFERROR(VALUE(TRIM(MID(MID(Sync!$AE899,FIND("/",Sync!$AE899)+1,20),FIND("/",MID(Sync!$AE899,FIND("/",Sync!$AE899)+1,20))+1,20))),"")))</f>
        <v/>
      </c>
      <c r="J899" t="str">
        <f t="shared" si="67"/>
        <v/>
      </c>
      <c r="K899" t="str">
        <f>IF(OR($F899="",$J899="",$J899="نامعتبر"),"",LEFT($J899,4)&amp;MID($J899,6,2)&amp;RIGHT($J899,2)&amp;$N899&amp;"|"&amp;"2"&amp;RIGHT("00000"&amp;894,5))</f>
        <v/>
      </c>
      <c r="L899" t="str">
        <f t="shared" si="68"/>
        <v/>
      </c>
      <c r="M899" t="str">
        <f t="shared" si="69"/>
        <v/>
      </c>
      <c r="N899" t="str">
        <f>IF($F899="","",IF(Sync!$AF899="","0000",IF(AND(ISNUMBER(Sync!$AF899),Sync!$AF899&gt;=0,Sync!$AF899&lt;1),RIGHT("00"&amp;HOUR(Sync!$AF899),2)&amp;RIGHT("00"&amp;MINUTE(Sync!$AF899),2),IFERROR(RIGHT("00"&amp;VALUE(LEFT(Sync!$AF899,FIND(":",Sync!$AF899)-1)),2)&amp;RIGHT("00"&amp;VALUE(MID(Sync!$AF899,FIND(":",Sync!$AF899)+1,2)),2),"0000"))))</f>
        <v/>
      </c>
    </row>
    <row r="900" spans="1:14" x14ac:dyDescent="0.2">
      <c r="A900" t="str">
        <f>IF(OR(Calc!$E904="",Calc!$E904="نامعتبر",Calc!$G904=""),"",Calc!$G904)</f>
        <v/>
      </c>
      <c r="B900" t="str">
        <f>IF($A900="","",LEFT(Calc!$E904,4)&amp;MID(Calc!$E904,6,2)&amp;RIGHT(Calc!$E904,2)&amp;Calc!$Q904&amp;"|"&amp;"1"&amp;RIGHT("00000"&amp;895,5))</f>
        <v/>
      </c>
      <c r="C900" t="str">
        <f t="shared" si="65"/>
        <v/>
      </c>
      <c r="D900" t="str">
        <f t="shared" si="66"/>
        <v/>
      </c>
      <c r="F900" t="str">
        <f>IF(Sync!$AH900="","",IF(LEFT(UPPER(TRIM(Sync!$AH900)),2)="SL",UPPER(TRIM(Sync!$AH900)),""))</f>
        <v/>
      </c>
      <c r="G900" t="str">
        <f>IF($F900="","",IF(Sync!$AE900="","",IF(ISNUMBER(Sync!$AE900),IF(AND(Sync!$AE900&gt;=10000101,Sync!$AE900&lt;=99991231),INT(Sync!$AE900/10000),""),IFERROR(VALUE(TRIM(LEFT(Sync!$AE900,FIND("/",Sync!$AE900)-1))),""))))</f>
        <v/>
      </c>
      <c r="H900" t="str">
        <f>IF(OR($F900="",$G900=""),"",IF(ISNUMBER(Sync!$AE900),INT(MOD(Sync!$AE900,10000)/100),IFERROR(VALUE(TRIM(LEFT(MID(Sync!$AE900,FIND("/",Sync!$AE900)+1,20),FIND("/",MID(Sync!$AE900,FIND("/",Sync!$AE900)+1,20))-1))),"")))</f>
        <v/>
      </c>
      <c r="I900" t="str">
        <f>IF(OR($F900="",$G900=""),"",IF(ISNUMBER(Sync!$AE900),MOD(Sync!$AE900,100),IFERROR(VALUE(TRIM(MID(MID(Sync!$AE900,FIND("/",Sync!$AE900)+1,20),FIND("/",MID(Sync!$AE900,FIND("/",Sync!$AE900)+1,20))+1,20))),"")))</f>
        <v/>
      </c>
      <c r="J900" t="str">
        <f t="shared" si="67"/>
        <v/>
      </c>
      <c r="K900" t="str">
        <f>IF(OR($F900="",$J900="",$J900="نامعتبر"),"",LEFT($J900,4)&amp;MID($J900,6,2)&amp;RIGHT($J900,2)&amp;$N900&amp;"|"&amp;"2"&amp;RIGHT("00000"&amp;895,5))</f>
        <v/>
      </c>
      <c r="L900" t="str">
        <f t="shared" si="68"/>
        <v/>
      </c>
      <c r="M900" t="str">
        <f t="shared" si="69"/>
        <v/>
      </c>
      <c r="N900" t="str">
        <f>IF($F900="","",IF(Sync!$AF900="","0000",IF(AND(ISNUMBER(Sync!$AF900),Sync!$AF900&gt;=0,Sync!$AF900&lt;1),RIGHT("00"&amp;HOUR(Sync!$AF900),2)&amp;RIGHT("00"&amp;MINUTE(Sync!$AF900),2),IFERROR(RIGHT("00"&amp;VALUE(LEFT(Sync!$AF900,FIND(":",Sync!$AF900)-1)),2)&amp;RIGHT("00"&amp;VALUE(MID(Sync!$AF900,FIND(":",Sync!$AF900)+1,2)),2),"0000"))))</f>
        <v/>
      </c>
    </row>
    <row r="901" spans="1:14" x14ac:dyDescent="0.2">
      <c r="A901" t="str">
        <f>IF(OR(Calc!$E905="",Calc!$E905="نامعتبر",Calc!$G905=""),"",Calc!$G905)</f>
        <v/>
      </c>
      <c r="B901" t="str">
        <f>IF($A901="","",LEFT(Calc!$E905,4)&amp;MID(Calc!$E905,6,2)&amp;RIGHT(Calc!$E905,2)&amp;Calc!$Q905&amp;"|"&amp;"1"&amp;RIGHT("00000"&amp;896,5))</f>
        <v/>
      </c>
      <c r="C901" t="str">
        <f t="shared" si="65"/>
        <v/>
      </c>
      <c r="D901" t="str">
        <f t="shared" si="66"/>
        <v/>
      </c>
      <c r="F901" t="str">
        <f>IF(Sync!$AH901="","",IF(LEFT(UPPER(TRIM(Sync!$AH901)),2)="SL",UPPER(TRIM(Sync!$AH901)),""))</f>
        <v/>
      </c>
      <c r="G901" t="str">
        <f>IF($F901="","",IF(Sync!$AE901="","",IF(ISNUMBER(Sync!$AE901),IF(AND(Sync!$AE901&gt;=10000101,Sync!$AE901&lt;=99991231),INT(Sync!$AE901/10000),""),IFERROR(VALUE(TRIM(LEFT(Sync!$AE901,FIND("/",Sync!$AE901)-1))),""))))</f>
        <v/>
      </c>
      <c r="H901" t="str">
        <f>IF(OR($F901="",$G901=""),"",IF(ISNUMBER(Sync!$AE901),INT(MOD(Sync!$AE901,10000)/100),IFERROR(VALUE(TRIM(LEFT(MID(Sync!$AE901,FIND("/",Sync!$AE901)+1,20),FIND("/",MID(Sync!$AE901,FIND("/",Sync!$AE901)+1,20))-1))),"")))</f>
        <v/>
      </c>
      <c r="I901" t="str">
        <f>IF(OR($F901="",$G901=""),"",IF(ISNUMBER(Sync!$AE901),MOD(Sync!$AE901,100),IFERROR(VALUE(TRIM(MID(MID(Sync!$AE901,FIND("/",Sync!$AE901)+1,20),FIND("/",MID(Sync!$AE901,FIND("/",Sync!$AE901)+1,20))+1,20))),"")))</f>
        <v/>
      </c>
      <c r="J901" t="str">
        <f t="shared" si="67"/>
        <v/>
      </c>
      <c r="K901" t="str">
        <f>IF(OR($F901="",$J901="",$J901="نامعتبر"),"",LEFT($J901,4)&amp;MID($J901,6,2)&amp;RIGHT($J901,2)&amp;$N901&amp;"|"&amp;"2"&amp;RIGHT("00000"&amp;896,5))</f>
        <v/>
      </c>
      <c r="L901" t="str">
        <f t="shared" si="68"/>
        <v/>
      </c>
      <c r="M901" t="str">
        <f t="shared" si="69"/>
        <v/>
      </c>
      <c r="N901" t="str">
        <f>IF($F901="","",IF(Sync!$AF901="","0000",IF(AND(ISNUMBER(Sync!$AF901),Sync!$AF901&gt;=0,Sync!$AF901&lt;1),RIGHT("00"&amp;HOUR(Sync!$AF901),2)&amp;RIGHT("00"&amp;MINUTE(Sync!$AF901),2),IFERROR(RIGHT("00"&amp;VALUE(LEFT(Sync!$AF901,FIND(":",Sync!$AF901)-1)),2)&amp;RIGHT("00"&amp;VALUE(MID(Sync!$AF901,FIND(":",Sync!$AF901)+1,2)),2),"0000"))))</f>
        <v/>
      </c>
    </row>
    <row r="902" spans="1:14" x14ac:dyDescent="0.2">
      <c r="A902" t="str">
        <f>IF(OR(Calc!$E906="",Calc!$E906="نامعتبر",Calc!$G906=""),"",Calc!$G906)</f>
        <v/>
      </c>
      <c r="B902" t="str">
        <f>IF($A902="","",LEFT(Calc!$E906,4)&amp;MID(Calc!$E906,6,2)&amp;RIGHT(Calc!$E906,2)&amp;Calc!$Q906&amp;"|"&amp;"1"&amp;RIGHT("00000"&amp;897,5))</f>
        <v/>
      </c>
      <c r="C902" t="str">
        <f t="shared" ref="C902:C965" si="70">IF($B902="","",COUNTIFS(LdgSellerA,$A902,LdgKeyA,"&lt;"&amp;$B902)+COUNTIFS(LdgSellerB,$A902,LdgKeyB,"&lt;"&amp;$B902)+1)</f>
        <v/>
      </c>
      <c r="D902" t="str">
        <f t="shared" ref="D902:D965" si="71">IF($C902="","",$A902&amp;"|"&amp;RIGHT("000000"&amp;$C902,6))</f>
        <v/>
      </c>
      <c r="F902" t="str">
        <f>IF(Sync!$AH902="","",IF(LEFT(UPPER(TRIM(Sync!$AH902)),2)="SL",UPPER(TRIM(Sync!$AH902)),""))</f>
        <v/>
      </c>
      <c r="G902" t="str">
        <f>IF($F902="","",IF(Sync!$AE902="","",IF(ISNUMBER(Sync!$AE902),IF(AND(Sync!$AE902&gt;=10000101,Sync!$AE902&lt;=99991231),INT(Sync!$AE902/10000),""),IFERROR(VALUE(TRIM(LEFT(Sync!$AE902,FIND("/",Sync!$AE902)-1))),""))))</f>
        <v/>
      </c>
      <c r="H902" t="str">
        <f>IF(OR($F902="",$G902=""),"",IF(ISNUMBER(Sync!$AE902),INT(MOD(Sync!$AE902,10000)/100),IFERROR(VALUE(TRIM(LEFT(MID(Sync!$AE902,FIND("/",Sync!$AE902)+1,20),FIND("/",MID(Sync!$AE902,FIND("/",Sync!$AE902)+1,20))-1))),"")))</f>
        <v/>
      </c>
      <c r="I902" t="str">
        <f>IF(OR($F902="",$G902=""),"",IF(ISNUMBER(Sync!$AE902),MOD(Sync!$AE902,100),IFERROR(VALUE(TRIM(MID(MID(Sync!$AE902,FIND("/",Sync!$AE902)+1,20),FIND("/",MID(Sync!$AE902,FIND("/",Sync!$AE902)+1,20))+1,20))),"")))</f>
        <v/>
      </c>
      <c r="J902" t="str">
        <f t="shared" ref="J902:J965" si="72">IF($F902="","",IF(OR($G902="",$H902="",$I902="",$G902&lt;1300,$G902&gt;1500,$H902&lt;1,$H902&gt;12,$I902&lt;1,$I902&gt;31),"نامعتبر",RIGHT("0000"&amp;$G902,4)&amp;"/"&amp;RIGHT("00"&amp;$H902,2)&amp;"/"&amp;RIGHT("00"&amp;$I902,2)))</f>
        <v/>
      </c>
      <c r="K902" t="str">
        <f>IF(OR($F902="",$J902="",$J902="نامعتبر"),"",LEFT($J902,4)&amp;MID($J902,6,2)&amp;RIGHT($J902,2)&amp;$N902&amp;"|"&amp;"2"&amp;RIGHT("00000"&amp;897,5))</f>
        <v/>
      </c>
      <c r="L902" t="str">
        <f t="shared" ref="L902:L965" si="73">IF($K902="","",COUNTIFS(LdgSellerA,$F902,LdgKeyA,"&lt;"&amp;$K902)+COUNTIFS(LdgSellerB,$F902,LdgKeyB,"&lt;"&amp;$K902)+1)</f>
        <v/>
      </c>
      <c r="M902" t="str">
        <f t="shared" ref="M902:M965" si="74">IF($L902="","",$F902&amp;"|"&amp;RIGHT("000000"&amp;$L902,6))</f>
        <v/>
      </c>
      <c r="N902" t="str">
        <f>IF($F902="","",IF(Sync!$AF902="","0000",IF(AND(ISNUMBER(Sync!$AF902),Sync!$AF902&gt;=0,Sync!$AF902&lt;1),RIGHT("00"&amp;HOUR(Sync!$AF902),2)&amp;RIGHT("00"&amp;MINUTE(Sync!$AF902),2),IFERROR(RIGHT("00"&amp;VALUE(LEFT(Sync!$AF902,FIND(":",Sync!$AF902)-1)),2)&amp;RIGHT("00"&amp;VALUE(MID(Sync!$AF902,FIND(":",Sync!$AF902)+1,2)),2),"0000"))))</f>
        <v/>
      </c>
    </row>
    <row r="903" spans="1:14" x14ac:dyDescent="0.2">
      <c r="A903" t="str">
        <f>IF(OR(Calc!$E907="",Calc!$E907="نامعتبر",Calc!$G907=""),"",Calc!$G907)</f>
        <v/>
      </c>
      <c r="B903" t="str">
        <f>IF($A903="","",LEFT(Calc!$E907,4)&amp;MID(Calc!$E907,6,2)&amp;RIGHT(Calc!$E907,2)&amp;Calc!$Q907&amp;"|"&amp;"1"&amp;RIGHT("00000"&amp;898,5))</f>
        <v/>
      </c>
      <c r="C903" t="str">
        <f t="shared" si="70"/>
        <v/>
      </c>
      <c r="D903" t="str">
        <f t="shared" si="71"/>
        <v/>
      </c>
      <c r="F903" t="str">
        <f>IF(Sync!$AH903="","",IF(LEFT(UPPER(TRIM(Sync!$AH903)),2)="SL",UPPER(TRIM(Sync!$AH903)),""))</f>
        <v/>
      </c>
      <c r="G903" t="str">
        <f>IF($F903="","",IF(Sync!$AE903="","",IF(ISNUMBER(Sync!$AE903),IF(AND(Sync!$AE903&gt;=10000101,Sync!$AE903&lt;=99991231),INT(Sync!$AE903/10000),""),IFERROR(VALUE(TRIM(LEFT(Sync!$AE903,FIND("/",Sync!$AE903)-1))),""))))</f>
        <v/>
      </c>
      <c r="H903" t="str">
        <f>IF(OR($F903="",$G903=""),"",IF(ISNUMBER(Sync!$AE903),INT(MOD(Sync!$AE903,10000)/100),IFERROR(VALUE(TRIM(LEFT(MID(Sync!$AE903,FIND("/",Sync!$AE903)+1,20),FIND("/",MID(Sync!$AE903,FIND("/",Sync!$AE903)+1,20))-1))),"")))</f>
        <v/>
      </c>
      <c r="I903" t="str">
        <f>IF(OR($F903="",$G903=""),"",IF(ISNUMBER(Sync!$AE903),MOD(Sync!$AE903,100),IFERROR(VALUE(TRIM(MID(MID(Sync!$AE903,FIND("/",Sync!$AE903)+1,20),FIND("/",MID(Sync!$AE903,FIND("/",Sync!$AE903)+1,20))+1,20))),"")))</f>
        <v/>
      </c>
      <c r="J903" t="str">
        <f t="shared" si="72"/>
        <v/>
      </c>
      <c r="K903" t="str">
        <f>IF(OR($F903="",$J903="",$J903="نامعتبر"),"",LEFT($J903,4)&amp;MID($J903,6,2)&amp;RIGHT($J903,2)&amp;$N903&amp;"|"&amp;"2"&amp;RIGHT("00000"&amp;898,5))</f>
        <v/>
      </c>
      <c r="L903" t="str">
        <f t="shared" si="73"/>
        <v/>
      </c>
      <c r="M903" t="str">
        <f t="shared" si="74"/>
        <v/>
      </c>
      <c r="N903" t="str">
        <f>IF($F903="","",IF(Sync!$AF903="","0000",IF(AND(ISNUMBER(Sync!$AF903),Sync!$AF903&gt;=0,Sync!$AF903&lt;1),RIGHT("00"&amp;HOUR(Sync!$AF903),2)&amp;RIGHT("00"&amp;MINUTE(Sync!$AF903),2),IFERROR(RIGHT("00"&amp;VALUE(LEFT(Sync!$AF903,FIND(":",Sync!$AF903)-1)),2)&amp;RIGHT("00"&amp;VALUE(MID(Sync!$AF903,FIND(":",Sync!$AF903)+1,2)),2),"0000"))))</f>
        <v/>
      </c>
    </row>
    <row r="904" spans="1:14" x14ac:dyDescent="0.2">
      <c r="A904" t="str">
        <f>IF(OR(Calc!$E908="",Calc!$E908="نامعتبر",Calc!$G908=""),"",Calc!$G908)</f>
        <v/>
      </c>
      <c r="B904" t="str">
        <f>IF($A904="","",LEFT(Calc!$E908,4)&amp;MID(Calc!$E908,6,2)&amp;RIGHT(Calc!$E908,2)&amp;Calc!$Q908&amp;"|"&amp;"1"&amp;RIGHT("00000"&amp;899,5))</f>
        <v/>
      </c>
      <c r="C904" t="str">
        <f t="shared" si="70"/>
        <v/>
      </c>
      <c r="D904" t="str">
        <f t="shared" si="71"/>
        <v/>
      </c>
      <c r="F904" t="str">
        <f>IF(Sync!$AH904="","",IF(LEFT(UPPER(TRIM(Sync!$AH904)),2)="SL",UPPER(TRIM(Sync!$AH904)),""))</f>
        <v/>
      </c>
      <c r="G904" t="str">
        <f>IF($F904="","",IF(Sync!$AE904="","",IF(ISNUMBER(Sync!$AE904),IF(AND(Sync!$AE904&gt;=10000101,Sync!$AE904&lt;=99991231),INT(Sync!$AE904/10000),""),IFERROR(VALUE(TRIM(LEFT(Sync!$AE904,FIND("/",Sync!$AE904)-1))),""))))</f>
        <v/>
      </c>
      <c r="H904" t="str">
        <f>IF(OR($F904="",$G904=""),"",IF(ISNUMBER(Sync!$AE904),INT(MOD(Sync!$AE904,10000)/100),IFERROR(VALUE(TRIM(LEFT(MID(Sync!$AE904,FIND("/",Sync!$AE904)+1,20),FIND("/",MID(Sync!$AE904,FIND("/",Sync!$AE904)+1,20))-1))),"")))</f>
        <v/>
      </c>
      <c r="I904" t="str">
        <f>IF(OR($F904="",$G904=""),"",IF(ISNUMBER(Sync!$AE904),MOD(Sync!$AE904,100),IFERROR(VALUE(TRIM(MID(MID(Sync!$AE904,FIND("/",Sync!$AE904)+1,20),FIND("/",MID(Sync!$AE904,FIND("/",Sync!$AE904)+1,20))+1,20))),"")))</f>
        <v/>
      </c>
      <c r="J904" t="str">
        <f t="shared" si="72"/>
        <v/>
      </c>
      <c r="K904" t="str">
        <f>IF(OR($F904="",$J904="",$J904="نامعتبر"),"",LEFT($J904,4)&amp;MID($J904,6,2)&amp;RIGHT($J904,2)&amp;$N904&amp;"|"&amp;"2"&amp;RIGHT("00000"&amp;899,5))</f>
        <v/>
      </c>
      <c r="L904" t="str">
        <f t="shared" si="73"/>
        <v/>
      </c>
      <c r="M904" t="str">
        <f t="shared" si="74"/>
        <v/>
      </c>
      <c r="N904" t="str">
        <f>IF($F904="","",IF(Sync!$AF904="","0000",IF(AND(ISNUMBER(Sync!$AF904),Sync!$AF904&gt;=0,Sync!$AF904&lt;1),RIGHT("00"&amp;HOUR(Sync!$AF904),2)&amp;RIGHT("00"&amp;MINUTE(Sync!$AF904),2),IFERROR(RIGHT("00"&amp;VALUE(LEFT(Sync!$AF904,FIND(":",Sync!$AF904)-1)),2)&amp;RIGHT("00"&amp;VALUE(MID(Sync!$AF904,FIND(":",Sync!$AF904)+1,2)),2),"0000"))))</f>
        <v/>
      </c>
    </row>
    <row r="905" spans="1:14" x14ac:dyDescent="0.2">
      <c r="A905" t="str">
        <f>IF(OR(Calc!$E909="",Calc!$E909="نامعتبر",Calc!$G909=""),"",Calc!$G909)</f>
        <v/>
      </c>
      <c r="B905" t="str">
        <f>IF($A905="","",LEFT(Calc!$E909,4)&amp;MID(Calc!$E909,6,2)&amp;RIGHT(Calc!$E909,2)&amp;Calc!$Q909&amp;"|"&amp;"1"&amp;RIGHT("00000"&amp;900,5))</f>
        <v/>
      </c>
      <c r="C905" t="str">
        <f t="shared" si="70"/>
        <v/>
      </c>
      <c r="D905" t="str">
        <f t="shared" si="71"/>
        <v/>
      </c>
      <c r="F905" t="str">
        <f>IF(Sync!$AH905="","",IF(LEFT(UPPER(TRIM(Sync!$AH905)),2)="SL",UPPER(TRIM(Sync!$AH905)),""))</f>
        <v/>
      </c>
      <c r="G905" t="str">
        <f>IF($F905="","",IF(Sync!$AE905="","",IF(ISNUMBER(Sync!$AE905),IF(AND(Sync!$AE905&gt;=10000101,Sync!$AE905&lt;=99991231),INT(Sync!$AE905/10000),""),IFERROR(VALUE(TRIM(LEFT(Sync!$AE905,FIND("/",Sync!$AE905)-1))),""))))</f>
        <v/>
      </c>
      <c r="H905" t="str">
        <f>IF(OR($F905="",$G905=""),"",IF(ISNUMBER(Sync!$AE905),INT(MOD(Sync!$AE905,10000)/100),IFERROR(VALUE(TRIM(LEFT(MID(Sync!$AE905,FIND("/",Sync!$AE905)+1,20),FIND("/",MID(Sync!$AE905,FIND("/",Sync!$AE905)+1,20))-1))),"")))</f>
        <v/>
      </c>
      <c r="I905" t="str">
        <f>IF(OR($F905="",$G905=""),"",IF(ISNUMBER(Sync!$AE905),MOD(Sync!$AE905,100),IFERROR(VALUE(TRIM(MID(MID(Sync!$AE905,FIND("/",Sync!$AE905)+1,20),FIND("/",MID(Sync!$AE905,FIND("/",Sync!$AE905)+1,20))+1,20))),"")))</f>
        <v/>
      </c>
      <c r="J905" t="str">
        <f t="shared" si="72"/>
        <v/>
      </c>
      <c r="K905" t="str">
        <f>IF(OR($F905="",$J905="",$J905="نامعتبر"),"",LEFT($J905,4)&amp;MID($J905,6,2)&amp;RIGHT($J905,2)&amp;$N905&amp;"|"&amp;"2"&amp;RIGHT("00000"&amp;900,5))</f>
        <v/>
      </c>
      <c r="L905" t="str">
        <f t="shared" si="73"/>
        <v/>
      </c>
      <c r="M905" t="str">
        <f t="shared" si="74"/>
        <v/>
      </c>
      <c r="N905" t="str">
        <f>IF($F905="","",IF(Sync!$AF905="","0000",IF(AND(ISNUMBER(Sync!$AF905),Sync!$AF905&gt;=0,Sync!$AF905&lt;1),RIGHT("00"&amp;HOUR(Sync!$AF905),2)&amp;RIGHT("00"&amp;MINUTE(Sync!$AF905),2),IFERROR(RIGHT("00"&amp;VALUE(LEFT(Sync!$AF905,FIND(":",Sync!$AF905)-1)),2)&amp;RIGHT("00"&amp;VALUE(MID(Sync!$AF905,FIND(":",Sync!$AF905)+1,2)),2),"0000"))))</f>
        <v/>
      </c>
    </row>
    <row r="906" spans="1:14" x14ac:dyDescent="0.2">
      <c r="A906" t="str">
        <f>IF(OR(Calc!$E910="",Calc!$E910="نامعتبر",Calc!$G910=""),"",Calc!$G910)</f>
        <v/>
      </c>
      <c r="B906" t="str">
        <f>IF($A906="","",LEFT(Calc!$E910,4)&amp;MID(Calc!$E910,6,2)&amp;RIGHT(Calc!$E910,2)&amp;Calc!$Q910&amp;"|"&amp;"1"&amp;RIGHT("00000"&amp;901,5))</f>
        <v/>
      </c>
      <c r="C906" t="str">
        <f t="shared" si="70"/>
        <v/>
      </c>
      <c r="D906" t="str">
        <f t="shared" si="71"/>
        <v/>
      </c>
      <c r="F906" t="str">
        <f>IF(Sync!$AH906="","",IF(LEFT(UPPER(TRIM(Sync!$AH906)),2)="SL",UPPER(TRIM(Sync!$AH906)),""))</f>
        <v/>
      </c>
      <c r="G906" t="str">
        <f>IF($F906="","",IF(Sync!$AE906="","",IF(ISNUMBER(Sync!$AE906),IF(AND(Sync!$AE906&gt;=10000101,Sync!$AE906&lt;=99991231),INT(Sync!$AE906/10000),""),IFERROR(VALUE(TRIM(LEFT(Sync!$AE906,FIND("/",Sync!$AE906)-1))),""))))</f>
        <v/>
      </c>
      <c r="H906" t="str">
        <f>IF(OR($F906="",$G906=""),"",IF(ISNUMBER(Sync!$AE906),INT(MOD(Sync!$AE906,10000)/100),IFERROR(VALUE(TRIM(LEFT(MID(Sync!$AE906,FIND("/",Sync!$AE906)+1,20),FIND("/",MID(Sync!$AE906,FIND("/",Sync!$AE906)+1,20))-1))),"")))</f>
        <v/>
      </c>
      <c r="I906" t="str">
        <f>IF(OR($F906="",$G906=""),"",IF(ISNUMBER(Sync!$AE906),MOD(Sync!$AE906,100),IFERROR(VALUE(TRIM(MID(MID(Sync!$AE906,FIND("/",Sync!$AE906)+1,20),FIND("/",MID(Sync!$AE906,FIND("/",Sync!$AE906)+1,20))+1,20))),"")))</f>
        <v/>
      </c>
      <c r="J906" t="str">
        <f t="shared" si="72"/>
        <v/>
      </c>
      <c r="K906" t="str">
        <f>IF(OR($F906="",$J906="",$J906="نامعتبر"),"",LEFT($J906,4)&amp;MID($J906,6,2)&amp;RIGHT($J906,2)&amp;$N906&amp;"|"&amp;"2"&amp;RIGHT("00000"&amp;901,5))</f>
        <v/>
      </c>
      <c r="L906" t="str">
        <f t="shared" si="73"/>
        <v/>
      </c>
      <c r="M906" t="str">
        <f t="shared" si="74"/>
        <v/>
      </c>
      <c r="N906" t="str">
        <f>IF($F906="","",IF(Sync!$AF906="","0000",IF(AND(ISNUMBER(Sync!$AF906),Sync!$AF906&gt;=0,Sync!$AF906&lt;1),RIGHT("00"&amp;HOUR(Sync!$AF906),2)&amp;RIGHT("00"&amp;MINUTE(Sync!$AF906),2),IFERROR(RIGHT("00"&amp;VALUE(LEFT(Sync!$AF906,FIND(":",Sync!$AF906)-1)),2)&amp;RIGHT("00"&amp;VALUE(MID(Sync!$AF906,FIND(":",Sync!$AF906)+1,2)),2),"0000"))))</f>
        <v/>
      </c>
    </row>
    <row r="907" spans="1:14" x14ac:dyDescent="0.2">
      <c r="A907" t="str">
        <f>IF(OR(Calc!$E911="",Calc!$E911="نامعتبر",Calc!$G911=""),"",Calc!$G911)</f>
        <v/>
      </c>
      <c r="B907" t="str">
        <f>IF($A907="","",LEFT(Calc!$E911,4)&amp;MID(Calc!$E911,6,2)&amp;RIGHT(Calc!$E911,2)&amp;Calc!$Q911&amp;"|"&amp;"1"&amp;RIGHT("00000"&amp;902,5))</f>
        <v/>
      </c>
      <c r="C907" t="str">
        <f t="shared" si="70"/>
        <v/>
      </c>
      <c r="D907" t="str">
        <f t="shared" si="71"/>
        <v/>
      </c>
      <c r="F907" t="str">
        <f>IF(Sync!$AH907="","",IF(LEFT(UPPER(TRIM(Sync!$AH907)),2)="SL",UPPER(TRIM(Sync!$AH907)),""))</f>
        <v/>
      </c>
      <c r="G907" t="str">
        <f>IF($F907="","",IF(Sync!$AE907="","",IF(ISNUMBER(Sync!$AE907),IF(AND(Sync!$AE907&gt;=10000101,Sync!$AE907&lt;=99991231),INT(Sync!$AE907/10000),""),IFERROR(VALUE(TRIM(LEFT(Sync!$AE907,FIND("/",Sync!$AE907)-1))),""))))</f>
        <v/>
      </c>
      <c r="H907" t="str">
        <f>IF(OR($F907="",$G907=""),"",IF(ISNUMBER(Sync!$AE907),INT(MOD(Sync!$AE907,10000)/100),IFERROR(VALUE(TRIM(LEFT(MID(Sync!$AE907,FIND("/",Sync!$AE907)+1,20),FIND("/",MID(Sync!$AE907,FIND("/",Sync!$AE907)+1,20))-1))),"")))</f>
        <v/>
      </c>
      <c r="I907" t="str">
        <f>IF(OR($F907="",$G907=""),"",IF(ISNUMBER(Sync!$AE907),MOD(Sync!$AE907,100),IFERROR(VALUE(TRIM(MID(MID(Sync!$AE907,FIND("/",Sync!$AE907)+1,20),FIND("/",MID(Sync!$AE907,FIND("/",Sync!$AE907)+1,20))+1,20))),"")))</f>
        <v/>
      </c>
      <c r="J907" t="str">
        <f t="shared" si="72"/>
        <v/>
      </c>
      <c r="K907" t="str">
        <f>IF(OR($F907="",$J907="",$J907="نامعتبر"),"",LEFT($J907,4)&amp;MID($J907,6,2)&amp;RIGHT($J907,2)&amp;$N907&amp;"|"&amp;"2"&amp;RIGHT("00000"&amp;902,5))</f>
        <v/>
      </c>
      <c r="L907" t="str">
        <f t="shared" si="73"/>
        <v/>
      </c>
      <c r="M907" t="str">
        <f t="shared" si="74"/>
        <v/>
      </c>
      <c r="N907" t="str">
        <f>IF($F907="","",IF(Sync!$AF907="","0000",IF(AND(ISNUMBER(Sync!$AF907),Sync!$AF907&gt;=0,Sync!$AF907&lt;1),RIGHT("00"&amp;HOUR(Sync!$AF907),2)&amp;RIGHT("00"&amp;MINUTE(Sync!$AF907),2),IFERROR(RIGHT("00"&amp;VALUE(LEFT(Sync!$AF907,FIND(":",Sync!$AF907)-1)),2)&amp;RIGHT("00"&amp;VALUE(MID(Sync!$AF907,FIND(":",Sync!$AF907)+1,2)),2),"0000"))))</f>
        <v/>
      </c>
    </row>
    <row r="908" spans="1:14" x14ac:dyDescent="0.2">
      <c r="A908" t="str">
        <f>IF(OR(Calc!$E912="",Calc!$E912="نامعتبر",Calc!$G912=""),"",Calc!$G912)</f>
        <v/>
      </c>
      <c r="B908" t="str">
        <f>IF($A908="","",LEFT(Calc!$E912,4)&amp;MID(Calc!$E912,6,2)&amp;RIGHT(Calc!$E912,2)&amp;Calc!$Q912&amp;"|"&amp;"1"&amp;RIGHT("00000"&amp;903,5))</f>
        <v/>
      </c>
      <c r="C908" t="str">
        <f t="shared" si="70"/>
        <v/>
      </c>
      <c r="D908" t="str">
        <f t="shared" si="71"/>
        <v/>
      </c>
      <c r="F908" t="str">
        <f>IF(Sync!$AH908="","",IF(LEFT(UPPER(TRIM(Sync!$AH908)),2)="SL",UPPER(TRIM(Sync!$AH908)),""))</f>
        <v/>
      </c>
      <c r="G908" t="str">
        <f>IF($F908="","",IF(Sync!$AE908="","",IF(ISNUMBER(Sync!$AE908),IF(AND(Sync!$AE908&gt;=10000101,Sync!$AE908&lt;=99991231),INT(Sync!$AE908/10000),""),IFERROR(VALUE(TRIM(LEFT(Sync!$AE908,FIND("/",Sync!$AE908)-1))),""))))</f>
        <v/>
      </c>
      <c r="H908" t="str">
        <f>IF(OR($F908="",$G908=""),"",IF(ISNUMBER(Sync!$AE908),INT(MOD(Sync!$AE908,10000)/100),IFERROR(VALUE(TRIM(LEFT(MID(Sync!$AE908,FIND("/",Sync!$AE908)+1,20),FIND("/",MID(Sync!$AE908,FIND("/",Sync!$AE908)+1,20))-1))),"")))</f>
        <v/>
      </c>
      <c r="I908" t="str">
        <f>IF(OR($F908="",$G908=""),"",IF(ISNUMBER(Sync!$AE908),MOD(Sync!$AE908,100),IFERROR(VALUE(TRIM(MID(MID(Sync!$AE908,FIND("/",Sync!$AE908)+1,20),FIND("/",MID(Sync!$AE908,FIND("/",Sync!$AE908)+1,20))+1,20))),"")))</f>
        <v/>
      </c>
      <c r="J908" t="str">
        <f t="shared" si="72"/>
        <v/>
      </c>
      <c r="K908" t="str">
        <f>IF(OR($F908="",$J908="",$J908="نامعتبر"),"",LEFT($J908,4)&amp;MID($J908,6,2)&amp;RIGHT($J908,2)&amp;$N908&amp;"|"&amp;"2"&amp;RIGHT("00000"&amp;903,5))</f>
        <v/>
      </c>
      <c r="L908" t="str">
        <f t="shared" si="73"/>
        <v/>
      </c>
      <c r="M908" t="str">
        <f t="shared" si="74"/>
        <v/>
      </c>
      <c r="N908" t="str">
        <f>IF($F908="","",IF(Sync!$AF908="","0000",IF(AND(ISNUMBER(Sync!$AF908),Sync!$AF908&gt;=0,Sync!$AF908&lt;1),RIGHT("00"&amp;HOUR(Sync!$AF908),2)&amp;RIGHT("00"&amp;MINUTE(Sync!$AF908),2),IFERROR(RIGHT("00"&amp;VALUE(LEFT(Sync!$AF908,FIND(":",Sync!$AF908)-1)),2)&amp;RIGHT("00"&amp;VALUE(MID(Sync!$AF908,FIND(":",Sync!$AF908)+1,2)),2),"0000"))))</f>
        <v/>
      </c>
    </row>
    <row r="909" spans="1:14" x14ac:dyDescent="0.2">
      <c r="A909" t="str">
        <f>IF(OR(Calc!$E913="",Calc!$E913="نامعتبر",Calc!$G913=""),"",Calc!$G913)</f>
        <v/>
      </c>
      <c r="B909" t="str">
        <f>IF($A909="","",LEFT(Calc!$E913,4)&amp;MID(Calc!$E913,6,2)&amp;RIGHT(Calc!$E913,2)&amp;Calc!$Q913&amp;"|"&amp;"1"&amp;RIGHT("00000"&amp;904,5))</f>
        <v/>
      </c>
      <c r="C909" t="str">
        <f t="shared" si="70"/>
        <v/>
      </c>
      <c r="D909" t="str">
        <f t="shared" si="71"/>
        <v/>
      </c>
      <c r="F909" t="str">
        <f>IF(Sync!$AH909="","",IF(LEFT(UPPER(TRIM(Sync!$AH909)),2)="SL",UPPER(TRIM(Sync!$AH909)),""))</f>
        <v/>
      </c>
      <c r="G909" t="str">
        <f>IF($F909="","",IF(Sync!$AE909="","",IF(ISNUMBER(Sync!$AE909),IF(AND(Sync!$AE909&gt;=10000101,Sync!$AE909&lt;=99991231),INT(Sync!$AE909/10000),""),IFERROR(VALUE(TRIM(LEFT(Sync!$AE909,FIND("/",Sync!$AE909)-1))),""))))</f>
        <v/>
      </c>
      <c r="H909" t="str">
        <f>IF(OR($F909="",$G909=""),"",IF(ISNUMBER(Sync!$AE909),INT(MOD(Sync!$AE909,10000)/100),IFERROR(VALUE(TRIM(LEFT(MID(Sync!$AE909,FIND("/",Sync!$AE909)+1,20),FIND("/",MID(Sync!$AE909,FIND("/",Sync!$AE909)+1,20))-1))),"")))</f>
        <v/>
      </c>
      <c r="I909" t="str">
        <f>IF(OR($F909="",$G909=""),"",IF(ISNUMBER(Sync!$AE909),MOD(Sync!$AE909,100),IFERROR(VALUE(TRIM(MID(MID(Sync!$AE909,FIND("/",Sync!$AE909)+1,20),FIND("/",MID(Sync!$AE909,FIND("/",Sync!$AE909)+1,20))+1,20))),"")))</f>
        <v/>
      </c>
      <c r="J909" t="str">
        <f t="shared" si="72"/>
        <v/>
      </c>
      <c r="K909" t="str">
        <f>IF(OR($F909="",$J909="",$J909="نامعتبر"),"",LEFT($J909,4)&amp;MID($J909,6,2)&amp;RIGHT($J909,2)&amp;$N909&amp;"|"&amp;"2"&amp;RIGHT("00000"&amp;904,5))</f>
        <v/>
      </c>
      <c r="L909" t="str">
        <f t="shared" si="73"/>
        <v/>
      </c>
      <c r="M909" t="str">
        <f t="shared" si="74"/>
        <v/>
      </c>
      <c r="N909" t="str">
        <f>IF($F909="","",IF(Sync!$AF909="","0000",IF(AND(ISNUMBER(Sync!$AF909),Sync!$AF909&gt;=0,Sync!$AF909&lt;1),RIGHT("00"&amp;HOUR(Sync!$AF909),2)&amp;RIGHT("00"&amp;MINUTE(Sync!$AF909),2),IFERROR(RIGHT("00"&amp;VALUE(LEFT(Sync!$AF909,FIND(":",Sync!$AF909)-1)),2)&amp;RIGHT("00"&amp;VALUE(MID(Sync!$AF909,FIND(":",Sync!$AF909)+1,2)),2),"0000"))))</f>
        <v/>
      </c>
    </row>
    <row r="910" spans="1:14" x14ac:dyDescent="0.2">
      <c r="A910" t="str">
        <f>IF(OR(Calc!$E914="",Calc!$E914="نامعتبر",Calc!$G914=""),"",Calc!$G914)</f>
        <v/>
      </c>
      <c r="B910" t="str">
        <f>IF($A910="","",LEFT(Calc!$E914,4)&amp;MID(Calc!$E914,6,2)&amp;RIGHT(Calc!$E914,2)&amp;Calc!$Q914&amp;"|"&amp;"1"&amp;RIGHT("00000"&amp;905,5))</f>
        <v/>
      </c>
      <c r="C910" t="str">
        <f t="shared" si="70"/>
        <v/>
      </c>
      <c r="D910" t="str">
        <f t="shared" si="71"/>
        <v/>
      </c>
      <c r="F910" t="str">
        <f>IF(Sync!$AH910="","",IF(LEFT(UPPER(TRIM(Sync!$AH910)),2)="SL",UPPER(TRIM(Sync!$AH910)),""))</f>
        <v/>
      </c>
      <c r="G910" t="str">
        <f>IF($F910="","",IF(Sync!$AE910="","",IF(ISNUMBER(Sync!$AE910),IF(AND(Sync!$AE910&gt;=10000101,Sync!$AE910&lt;=99991231),INT(Sync!$AE910/10000),""),IFERROR(VALUE(TRIM(LEFT(Sync!$AE910,FIND("/",Sync!$AE910)-1))),""))))</f>
        <v/>
      </c>
      <c r="H910" t="str">
        <f>IF(OR($F910="",$G910=""),"",IF(ISNUMBER(Sync!$AE910),INT(MOD(Sync!$AE910,10000)/100),IFERROR(VALUE(TRIM(LEFT(MID(Sync!$AE910,FIND("/",Sync!$AE910)+1,20),FIND("/",MID(Sync!$AE910,FIND("/",Sync!$AE910)+1,20))-1))),"")))</f>
        <v/>
      </c>
      <c r="I910" t="str">
        <f>IF(OR($F910="",$G910=""),"",IF(ISNUMBER(Sync!$AE910),MOD(Sync!$AE910,100),IFERROR(VALUE(TRIM(MID(MID(Sync!$AE910,FIND("/",Sync!$AE910)+1,20),FIND("/",MID(Sync!$AE910,FIND("/",Sync!$AE910)+1,20))+1,20))),"")))</f>
        <v/>
      </c>
      <c r="J910" t="str">
        <f t="shared" si="72"/>
        <v/>
      </c>
      <c r="K910" t="str">
        <f>IF(OR($F910="",$J910="",$J910="نامعتبر"),"",LEFT($J910,4)&amp;MID($J910,6,2)&amp;RIGHT($J910,2)&amp;$N910&amp;"|"&amp;"2"&amp;RIGHT("00000"&amp;905,5))</f>
        <v/>
      </c>
      <c r="L910" t="str">
        <f t="shared" si="73"/>
        <v/>
      </c>
      <c r="M910" t="str">
        <f t="shared" si="74"/>
        <v/>
      </c>
      <c r="N910" t="str">
        <f>IF($F910="","",IF(Sync!$AF910="","0000",IF(AND(ISNUMBER(Sync!$AF910),Sync!$AF910&gt;=0,Sync!$AF910&lt;1),RIGHT("00"&amp;HOUR(Sync!$AF910),2)&amp;RIGHT("00"&amp;MINUTE(Sync!$AF910),2),IFERROR(RIGHT("00"&amp;VALUE(LEFT(Sync!$AF910,FIND(":",Sync!$AF910)-1)),2)&amp;RIGHT("00"&amp;VALUE(MID(Sync!$AF910,FIND(":",Sync!$AF910)+1,2)),2),"0000"))))</f>
        <v/>
      </c>
    </row>
    <row r="911" spans="1:14" x14ac:dyDescent="0.2">
      <c r="A911" t="str">
        <f>IF(OR(Calc!$E915="",Calc!$E915="نامعتبر",Calc!$G915=""),"",Calc!$G915)</f>
        <v/>
      </c>
      <c r="B911" t="str">
        <f>IF($A911="","",LEFT(Calc!$E915,4)&amp;MID(Calc!$E915,6,2)&amp;RIGHT(Calc!$E915,2)&amp;Calc!$Q915&amp;"|"&amp;"1"&amp;RIGHT("00000"&amp;906,5))</f>
        <v/>
      </c>
      <c r="C911" t="str">
        <f t="shared" si="70"/>
        <v/>
      </c>
      <c r="D911" t="str">
        <f t="shared" si="71"/>
        <v/>
      </c>
      <c r="F911" t="str">
        <f>IF(Sync!$AH911="","",IF(LEFT(UPPER(TRIM(Sync!$AH911)),2)="SL",UPPER(TRIM(Sync!$AH911)),""))</f>
        <v/>
      </c>
      <c r="G911" t="str">
        <f>IF($F911="","",IF(Sync!$AE911="","",IF(ISNUMBER(Sync!$AE911),IF(AND(Sync!$AE911&gt;=10000101,Sync!$AE911&lt;=99991231),INT(Sync!$AE911/10000),""),IFERROR(VALUE(TRIM(LEFT(Sync!$AE911,FIND("/",Sync!$AE911)-1))),""))))</f>
        <v/>
      </c>
      <c r="H911" t="str">
        <f>IF(OR($F911="",$G911=""),"",IF(ISNUMBER(Sync!$AE911),INT(MOD(Sync!$AE911,10000)/100),IFERROR(VALUE(TRIM(LEFT(MID(Sync!$AE911,FIND("/",Sync!$AE911)+1,20),FIND("/",MID(Sync!$AE911,FIND("/",Sync!$AE911)+1,20))-1))),"")))</f>
        <v/>
      </c>
      <c r="I911" t="str">
        <f>IF(OR($F911="",$G911=""),"",IF(ISNUMBER(Sync!$AE911),MOD(Sync!$AE911,100),IFERROR(VALUE(TRIM(MID(MID(Sync!$AE911,FIND("/",Sync!$AE911)+1,20),FIND("/",MID(Sync!$AE911,FIND("/",Sync!$AE911)+1,20))+1,20))),"")))</f>
        <v/>
      </c>
      <c r="J911" t="str">
        <f t="shared" si="72"/>
        <v/>
      </c>
      <c r="K911" t="str">
        <f>IF(OR($F911="",$J911="",$J911="نامعتبر"),"",LEFT($J911,4)&amp;MID($J911,6,2)&amp;RIGHT($J911,2)&amp;$N911&amp;"|"&amp;"2"&amp;RIGHT("00000"&amp;906,5))</f>
        <v/>
      </c>
      <c r="L911" t="str">
        <f t="shared" si="73"/>
        <v/>
      </c>
      <c r="M911" t="str">
        <f t="shared" si="74"/>
        <v/>
      </c>
      <c r="N911" t="str">
        <f>IF($F911="","",IF(Sync!$AF911="","0000",IF(AND(ISNUMBER(Sync!$AF911),Sync!$AF911&gt;=0,Sync!$AF911&lt;1),RIGHT("00"&amp;HOUR(Sync!$AF911),2)&amp;RIGHT("00"&amp;MINUTE(Sync!$AF911),2),IFERROR(RIGHT("00"&amp;VALUE(LEFT(Sync!$AF911,FIND(":",Sync!$AF911)-1)),2)&amp;RIGHT("00"&amp;VALUE(MID(Sync!$AF911,FIND(":",Sync!$AF911)+1,2)),2),"0000"))))</f>
        <v/>
      </c>
    </row>
    <row r="912" spans="1:14" x14ac:dyDescent="0.2">
      <c r="A912" t="str">
        <f>IF(OR(Calc!$E916="",Calc!$E916="نامعتبر",Calc!$G916=""),"",Calc!$G916)</f>
        <v/>
      </c>
      <c r="B912" t="str">
        <f>IF($A912="","",LEFT(Calc!$E916,4)&amp;MID(Calc!$E916,6,2)&amp;RIGHT(Calc!$E916,2)&amp;Calc!$Q916&amp;"|"&amp;"1"&amp;RIGHT("00000"&amp;907,5))</f>
        <v/>
      </c>
      <c r="C912" t="str">
        <f t="shared" si="70"/>
        <v/>
      </c>
      <c r="D912" t="str">
        <f t="shared" si="71"/>
        <v/>
      </c>
      <c r="F912" t="str">
        <f>IF(Sync!$AH912="","",IF(LEFT(UPPER(TRIM(Sync!$AH912)),2)="SL",UPPER(TRIM(Sync!$AH912)),""))</f>
        <v/>
      </c>
      <c r="G912" t="str">
        <f>IF($F912="","",IF(Sync!$AE912="","",IF(ISNUMBER(Sync!$AE912),IF(AND(Sync!$AE912&gt;=10000101,Sync!$AE912&lt;=99991231),INT(Sync!$AE912/10000),""),IFERROR(VALUE(TRIM(LEFT(Sync!$AE912,FIND("/",Sync!$AE912)-1))),""))))</f>
        <v/>
      </c>
      <c r="H912" t="str">
        <f>IF(OR($F912="",$G912=""),"",IF(ISNUMBER(Sync!$AE912),INT(MOD(Sync!$AE912,10000)/100),IFERROR(VALUE(TRIM(LEFT(MID(Sync!$AE912,FIND("/",Sync!$AE912)+1,20),FIND("/",MID(Sync!$AE912,FIND("/",Sync!$AE912)+1,20))-1))),"")))</f>
        <v/>
      </c>
      <c r="I912" t="str">
        <f>IF(OR($F912="",$G912=""),"",IF(ISNUMBER(Sync!$AE912),MOD(Sync!$AE912,100),IFERROR(VALUE(TRIM(MID(MID(Sync!$AE912,FIND("/",Sync!$AE912)+1,20),FIND("/",MID(Sync!$AE912,FIND("/",Sync!$AE912)+1,20))+1,20))),"")))</f>
        <v/>
      </c>
      <c r="J912" t="str">
        <f t="shared" si="72"/>
        <v/>
      </c>
      <c r="K912" t="str">
        <f>IF(OR($F912="",$J912="",$J912="نامعتبر"),"",LEFT($J912,4)&amp;MID($J912,6,2)&amp;RIGHT($J912,2)&amp;$N912&amp;"|"&amp;"2"&amp;RIGHT("00000"&amp;907,5))</f>
        <v/>
      </c>
      <c r="L912" t="str">
        <f t="shared" si="73"/>
        <v/>
      </c>
      <c r="M912" t="str">
        <f t="shared" si="74"/>
        <v/>
      </c>
      <c r="N912" t="str">
        <f>IF($F912="","",IF(Sync!$AF912="","0000",IF(AND(ISNUMBER(Sync!$AF912),Sync!$AF912&gt;=0,Sync!$AF912&lt;1),RIGHT("00"&amp;HOUR(Sync!$AF912),2)&amp;RIGHT("00"&amp;MINUTE(Sync!$AF912),2),IFERROR(RIGHT("00"&amp;VALUE(LEFT(Sync!$AF912,FIND(":",Sync!$AF912)-1)),2)&amp;RIGHT("00"&amp;VALUE(MID(Sync!$AF912,FIND(":",Sync!$AF912)+1,2)),2),"0000"))))</f>
        <v/>
      </c>
    </row>
    <row r="913" spans="1:14" x14ac:dyDescent="0.2">
      <c r="A913" t="str">
        <f>IF(OR(Calc!$E917="",Calc!$E917="نامعتبر",Calc!$G917=""),"",Calc!$G917)</f>
        <v/>
      </c>
      <c r="B913" t="str">
        <f>IF($A913="","",LEFT(Calc!$E917,4)&amp;MID(Calc!$E917,6,2)&amp;RIGHT(Calc!$E917,2)&amp;Calc!$Q917&amp;"|"&amp;"1"&amp;RIGHT("00000"&amp;908,5))</f>
        <v/>
      </c>
      <c r="C913" t="str">
        <f t="shared" si="70"/>
        <v/>
      </c>
      <c r="D913" t="str">
        <f t="shared" si="71"/>
        <v/>
      </c>
      <c r="F913" t="str">
        <f>IF(Sync!$AH913="","",IF(LEFT(UPPER(TRIM(Sync!$AH913)),2)="SL",UPPER(TRIM(Sync!$AH913)),""))</f>
        <v/>
      </c>
      <c r="G913" t="str">
        <f>IF($F913="","",IF(Sync!$AE913="","",IF(ISNUMBER(Sync!$AE913),IF(AND(Sync!$AE913&gt;=10000101,Sync!$AE913&lt;=99991231),INT(Sync!$AE913/10000),""),IFERROR(VALUE(TRIM(LEFT(Sync!$AE913,FIND("/",Sync!$AE913)-1))),""))))</f>
        <v/>
      </c>
      <c r="H913" t="str">
        <f>IF(OR($F913="",$G913=""),"",IF(ISNUMBER(Sync!$AE913),INT(MOD(Sync!$AE913,10000)/100),IFERROR(VALUE(TRIM(LEFT(MID(Sync!$AE913,FIND("/",Sync!$AE913)+1,20),FIND("/",MID(Sync!$AE913,FIND("/",Sync!$AE913)+1,20))-1))),"")))</f>
        <v/>
      </c>
      <c r="I913" t="str">
        <f>IF(OR($F913="",$G913=""),"",IF(ISNUMBER(Sync!$AE913),MOD(Sync!$AE913,100),IFERROR(VALUE(TRIM(MID(MID(Sync!$AE913,FIND("/",Sync!$AE913)+1,20),FIND("/",MID(Sync!$AE913,FIND("/",Sync!$AE913)+1,20))+1,20))),"")))</f>
        <v/>
      </c>
      <c r="J913" t="str">
        <f t="shared" si="72"/>
        <v/>
      </c>
      <c r="K913" t="str">
        <f>IF(OR($F913="",$J913="",$J913="نامعتبر"),"",LEFT($J913,4)&amp;MID($J913,6,2)&amp;RIGHT($J913,2)&amp;$N913&amp;"|"&amp;"2"&amp;RIGHT("00000"&amp;908,5))</f>
        <v/>
      </c>
      <c r="L913" t="str">
        <f t="shared" si="73"/>
        <v/>
      </c>
      <c r="M913" t="str">
        <f t="shared" si="74"/>
        <v/>
      </c>
      <c r="N913" t="str">
        <f>IF($F913="","",IF(Sync!$AF913="","0000",IF(AND(ISNUMBER(Sync!$AF913),Sync!$AF913&gt;=0,Sync!$AF913&lt;1),RIGHT("00"&amp;HOUR(Sync!$AF913),2)&amp;RIGHT("00"&amp;MINUTE(Sync!$AF913),2),IFERROR(RIGHT("00"&amp;VALUE(LEFT(Sync!$AF913,FIND(":",Sync!$AF913)-1)),2)&amp;RIGHT("00"&amp;VALUE(MID(Sync!$AF913,FIND(":",Sync!$AF913)+1,2)),2),"0000"))))</f>
        <v/>
      </c>
    </row>
    <row r="914" spans="1:14" x14ac:dyDescent="0.2">
      <c r="A914" t="str">
        <f>IF(OR(Calc!$E918="",Calc!$E918="نامعتبر",Calc!$G918=""),"",Calc!$G918)</f>
        <v/>
      </c>
      <c r="B914" t="str">
        <f>IF($A914="","",LEFT(Calc!$E918,4)&amp;MID(Calc!$E918,6,2)&amp;RIGHT(Calc!$E918,2)&amp;Calc!$Q918&amp;"|"&amp;"1"&amp;RIGHT("00000"&amp;909,5))</f>
        <v/>
      </c>
      <c r="C914" t="str">
        <f t="shared" si="70"/>
        <v/>
      </c>
      <c r="D914" t="str">
        <f t="shared" si="71"/>
        <v/>
      </c>
      <c r="F914" t="str">
        <f>IF(Sync!$AH914="","",IF(LEFT(UPPER(TRIM(Sync!$AH914)),2)="SL",UPPER(TRIM(Sync!$AH914)),""))</f>
        <v/>
      </c>
      <c r="G914" t="str">
        <f>IF($F914="","",IF(Sync!$AE914="","",IF(ISNUMBER(Sync!$AE914),IF(AND(Sync!$AE914&gt;=10000101,Sync!$AE914&lt;=99991231),INT(Sync!$AE914/10000),""),IFERROR(VALUE(TRIM(LEFT(Sync!$AE914,FIND("/",Sync!$AE914)-1))),""))))</f>
        <v/>
      </c>
      <c r="H914" t="str">
        <f>IF(OR($F914="",$G914=""),"",IF(ISNUMBER(Sync!$AE914),INT(MOD(Sync!$AE914,10000)/100),IFERROR(VALUE(TRIM(LEFT(MID(Sync!$AE914,FIND("/",Sync!$AE914)+1,20),FIND("/",MID(Sync!$AE914,FIND("/",Sync!$AE914)+1,20))-1))),"")))</f>
        <v/>
      </c>
      <c r="I914" t="str">
        <f>IF(OR($F914="",$G914=""),"",IF(ISNUMBER(Sync!$AE914),MOD(Sync!$AE914,100),IFERROR(VALUE(TRIM(MID(MID(Sync!$AE914,FIND("/",Sync!$AE914)+1,20),FIND("/",MID(Sync!$AE914,FIND("/",Sync!$AE914)+1,20))+1,20))),"")))</f>
        <v/>
      </c>
      <c r="J914" t="str">
        <f t="shared" si="72"/>
        <v/>
      </c>
      <c r="K914" t="str">
        <f>IF(OR($F914="",$J914="",$J914="نامعتبر"),"",LEFT($J914,4)&amp;MID($J914,6,2)&amp;RIGHT($J914,2)&amp;$N914&amp;"|"&amp;"2"&amp;RIGHT("00000"&amp;909,5))</f>
        <v/>
      </c>
      <c r="L914" t="str">
        <f t="shared" si="73"/>
        <v/>
      </c>
      <c r="M914" t="str">
        <f t="shared" si="74"/>
        <v/>
      </c>
      <c r="N914" t="str">
        <f>IF($F914="","",IF(Sync!$AF914="","0000",IF(AND(ISNUMBER(Sync!$AF914),Sync!$AF914&gt;=0,Sync!$AF914&lt;1),RIGHT("00"&amp;HOUR(Sync!$AF914),2)&amp;RIGHT("00"&amp;MINUTE(Sync!$AF914),2),IFERROR(RIGHT("00"&amp;VALUE(LEFT(Sync!$AF914,FIND(":",Sync!$AF914)-1)),2)&amp;RIGHT("00"&amp;VALUE(MID(Sync!$AF914,FIND(":",Sync!$AF914)+1,2)),2),"0000"))))</f>
        <v/>
      </c>
    </row>
    <row r="915" spans="1:14" x14ac:dyDescent="0.2">
      <c r="A915" t="str">
        <f>IF(OR(Calc!$E919="",Calc!$E919="نامعتبر",Calc!$G919=""),"",Calc!$G919)</f>
        <v/>
      </c>
      <c r="B915" t="str">
        <f>IF($A915="","",LEFT(Calc!$E919,4)&amp;MID(Calc!$E919,6,2)&amp;RIGHT(Calc!$E919,2)&amp;Calc!$Q919&amp;"|"&amp;"1"&amp;RIGHT("00000"&amp;910,5))</f>
        <v/>
      </c>
      <c r="C915" t="str">
        <f t="shared" si="70"/>
        <v/>
      </c>
      <c r="D915" t="str">
        <f t="shared" si="71"/>
        <v/>
      </c>
      <c r="F915" t="str">
        <f>IF(Sync!$AH915="","",IF(LEFT(UPPER(TRIM(Sync!$AH915)),2)="SL",UPPER(TRIM(Sync!$AH915)),""))</f>
        <v/>
      </c>
      <c r="G915" t="str">
        <f>IF($F915="","",IF(Sync!$AE915="","",IF(ISNUMBER(Sync!$AE915),IF(AND(Sync!$AE915&gt;=10000101,Sync!$AE915&lt;=99991231),INT(Sync!$AE915/10000),""),IFERROR(VALUE(TRIM(LEFT(Sync!$AE915,FIND("/",Sync!$AE915)-1))),""))))</f>
        <v/>
      </c>
      <c r="H915" t="str">
        <f>IF(OR($F915="",$G915=""),"",IF(ISNUMBER(Sync!$AE915),INT(MOD(Sync!$AE915,10000)/100),IFERROR(VALUE(TRIM(LEFT(MID(Sync!$AE915,FIND("/",Sync!$AE915)+1,20),FIND("/",MID(Sync!$AE915,FIND("/",Sync!$AE915)+1,20))-1))),"")))</f>
        <v/>
      </c>
      <c r="I915" t="str">
        <f>IF(OR($F915="",$G915=""),"",IF(ISNUMBER(Sync!$AE915),MOD(Sync!$AE915,100),IFERROR(VALUE(TRIM(MID(MID(Sync!$AE915,FIND("/",Sync!$AE915)+1,20),FIND("/",MID(Sync!$AE915,FIND("/",Sync!$AE915)+1,20))+1,20))),"")))</f>
        <v/>
      </c>
      <c r="J915" t="str">
        <f t="shared" si="72"/>
        <v/>
      </c>
      <c r="K915" t="str">
        <f>IF(OR($F915="",$J915="",$J915="نامعتبر"),"",LEFT($J915,4)&amp;MID($J915,6,2)&amp;RIGHT($J915,2)&amp;$N915&amp;"|"&amp;"2"&amp;RIGHT("00000"&amp;910,5))</f>
        <v/>
      </c>
      <c r="L915" t="str">
        <f t="shared" si="73"/>
        <v/>
      </c>
      <c r="M915" t="str">
        <f t="shared" si="74"/>
        <v/>
      </c>
      <c r="N915" t="str">
        <f>IF($F915="","",IF(Sync!$AF915="","0000",IF(AND(ISNUMBER(Sync!$AF915),Sync!$AF915&gt;=0,Sync!$AF915&lt;1),RIGHT("00"&amp;HOUR(Sync!$AF915),2)&amp;RIGHT("00"&amp;MINUTE(Sync!$AF915),2),IFERROR(RIGHT("00"&amp;VALUE(LEFT(Sync!$AF915,FIND(":",Sync!$AF915)-1)),2)&amp;RIGHT("00"&amp;VALUE(MID(Sync!$AF915,FIND(":",Sync!$AF915)+1,2)),2),"0000"))))</f>
        <v/>
      </c>
    </row>
    <row r="916" spans="1:14" x14ac:dyDescent="0.2">
      <c r="A916" t="str">
        <f>IF(OR(Calc!$E920="",Calc!$E920="نامعتبر",Calc!$G920=""),"",Calc!$G920)</f>
        <v/>
      </c>
      <c r="B916" t="str">
        <f>IF($A916="","",LEFT(Calc!$E920,4)&amp;MID(Calc!$E920,6,2)&amp;RIGHT(Calc!$E920,2)&amp;Calc!$Q920&amp;"|"&amp;"1"&amp;RIGHT("00000"&amp;911,5))</f>
        <v/>
      </c>
      <c r="C916" t="str">
        <f t="shared" si="70"/>
        <v/>
      </c>
      <c r="D916" t="str">
        <f t="shared" si="71"/>
        <v/>
      </c>
      <c r="F916" t="str">
        <f>IF(Sync!$AH916="","",IF(LEFT(UPPER(TRIM(Sync!$AH916)),2)="SL",UPPER(TRIM(Sync!$AH916)),""))</f>
        <v/>
      </c>
      <c r="G916" t="str">
        <f>IF($F916="","",IF(Sync!$AE916="","",IF(ISNUMBER(Sync!$AE916),IF(AND(Sync!$AE916&gt;=10000101,Sync!$AE916&lt;=99991231),INT(Sync!$AE916/10000),""),IFERROR(VALUE(TRIM(LEFT(Sync!$AE916,FIND("/",Sync!$AE916)-1))),""))))</f>
        <v/>
      </c>
      <c r="H916" t="str">
        <f>IF(OR($F916="",$G916=""),"",IF(ISNUMBER(Sync!$AE916),INT(MOD(Sync!$AE916,10000)/100),IFERROR(VALUE(TRIM(LEFT(MID(Sync!$AE916,FIND("/",Sync!$AE916)+1,20),FIND("/",MID(Sync!$AE916,FIND("/",Sync!$AE916)+1,20))-1))),"")))</f>
        <v/>
      </c>
      <c r="I916" t="str">
        <f>IF(OR($F916="",$G916=""),"",IF(ISNUMBER(Sync!$AE916),MOD(Sync!$AE916,100),IFERROR(VALUE(TRIM(MID(MID(Sync!$AE916,FIND("/",Sync!$AE916)+1,20),FIND("/",MID(Sync!$AE916,FIND("/",Sync!$AE916)+1,20))+1,20))),"")))</f>
        <v/>
      </c>
      <c r="J916" t="str">
        <f t="shared" si="72"/>
        <v/>
      </c>
      <c r="K916" t="str">
        <f>IF(OR($F916="",$J916="",$J916="نامعتبر"),"",LEFT($J916,4)&amp;MID($J916,6,2)&amp;RIGHT($J916,2)&amp;$N916&amp;"|"&amp;"2"&amp;RIGHT("00000"&amp;911,5))</f>
        <v/>
      </c>
      <c r="L916" t="str">
        <f t="shared" si="73"/>
        <v/>
      </c>
      <c r="M916" t="str">
        <f t="shared" si="74"/>
        <v/>
      </c>
      <c r="N916" t="str">
        <f>IF($F916="","",IF(Sync!$AF916="","0000",IF(AND(ISNUMBER(Sync!$AF916),Sync!$AF916&gt;=0,Sync!$AF916&lt;1),RIGHT("00"&amp;HOUR(Sync!$AF916),2)&amp;RIGHT("00"&amp;MINUTE(Sync!$AF916),2),IFERROR(RIGHT("00"&amp;VALUE(LEFT(Sync!$AF916,FIND(":",Sync!$AF916)-1)),2)&amp;RIGHT("00"&amp;VALUE(MID(Sync!$AF916,FIND(":",Sync!$AF916)+1,2)),2),"0000"))))</f>
        <v/>
      </c>
    </row>
    <row r="917" spans="1:14" x14ac:dyDescent="0.2">
      <c r="A917" t="str">
        <f>IF(OR(Calc!$E921="",Calc!$E921="نامعتبر",Calc!$G921=""),"",Calc!$G921)</f>
        <v/>
      </c>
      <c r="B917" t="str">
        <f>IF($A917="","",LEFT(Calc!$E921,4)&amp;MID(Calc!$E921,6,2)&amp;RIGHT(Calc!$E921,2)&amp;Calc!$Q921&amp;"|"&amp;"1"&amp;RIGHT("00000"&amp;912,5))</f>
        <v/>
      </c>
      <c r="C917" t="str">
        <f t="shared" si="70"/>
        <v/>
      </c>
      <c r="D917" t="str">
        <f t="shared" si="71"/>
        <v/>
      </c>
      <c r="F917" t="str">
        <f>IF(Sync!$AH917="","",IF(LEFT(UPPER(TRIM(Sync!$AH917)),2)="SL",UPPER(TRIM(Sync!$AH917)),""))</f>
        <v/>
      </c>
      <c r="G917" t="str">
        <f>IF($F917="","",IF(Sync!$AE917="","",IF(ISNUMBER(Sync!$AE917),IF(AND(Sync!$AE917&gt;=10000101,Sync!$AE917&lt;=99991231),INT(Sync!$AE917/10000),""),IFERROR(VALUE(TRIM(LEFT(Sync!$AE917,FIND("/",Sync!$AE917)-1))),""))))</f>
        <v/>
      </c>
      <c r="H917" t="str">
        <f>IF(OR($F917="",$G917=""),"",IF(ISNUMBER(Sync!$AE917),INT(MOD(Sync!$AE917,10000)/100),IFERROR(VALUE(TRIM(LEFT(MID(Sync!$AE917,FIND("/",Sync!$AE917)+1,20),FIND("/",MID(Sync!$AE917,FIND("/",Sync!$AE917)+1,20))-1))),"")))</f>
        <v/>
      </c>
      <c r="I917" t="str">
        <f>IF(OR($F917="",$G917=""),"",IF(ISNUMBER(Sync!$AE917),MOD(Sync!$AE917,100),IFERROR(VALUE(TRIM(MID(MID(Sync!$AE917,FIND("/",Sync!$AE917)+1,20),FIND("/",MID(Sync!$AE917,FIND("/",Sync!$AE917)+1,20))+1,20))),"")))</f>
        <v/>
      </c>
      <c r="J917" t="str">
        <f t="shared" si="72"/>
        <v/>
      </c>
      <c r="K917" t="str">
        <f>IF(OR($F917="",$J917="",$J917="نامعتبر"),"",LEFT($J917,4)&amp;MID($J917,6,2)&amp;RIGHT($J917,2)&amp;$N917&amp;"|"&amp;"2"&amp;RIGHT("00000"&amp;912,5))</f>
        <v/>
      </c>
      <c r="L917" t="str">
        <f t="shared" si="73"/>
        <v/>
      </c>
      <c r="M917" t="str">
        <f t="shared" si="74"/>
        <v/>
      </c>
      <c r="N917" t="str">
        <f>IF($F917="","",IF(Sync!$AF917="","0000",IF(AND(ISNUMBER(Sync!$AF917),Sync!$AF917&gt;=0,Sync!$AF917&lt;1),RIGHT("00"&amp;HOUR(Sync!$AF917),2)&amp;RIGHT("00"&amp;MINUTE(Sync!$AF917),2),IFERROR(RIGHT("00"&amp;VALUE(LEFT(Sync!$AF917,FIND(":",Sync!$AF917)-1)),2)&amp;RIGHT("00"&amp;VALUE(MID(Sync!$AF917,FIND(":",Sync!$AF917)+1,2)),2),"0000"))))</f>
        <v/>
      </c>
    </row>
    <row r="918" spans="1:14" x14ac:dyDescent="0.2">
      <c r="A918" t="str">
        <f>IF(OR(Calc!$E922="",Calc!$E922="نامعتبر",Calc!$G922=""),"",Calc!$G922)</f>
        <v/>
      </c>
      <c r="B918" t="str">
        <f>IF($A918="","",LEFT(Calc!$E922,4)&amp;MID(Calc!$E922,6,2)&amp;RIGHT(Calc!$E922,2)&amp;Calc!$Q922&amp;"|"&amp;"1"&amp;RIGHT("00000"&amp;913,5))</f>
        <v/>
      </c>
      <c r="C918" t="str">
        <f t="shared" si="70"/>
        <v/>
      </c>
      <c r="D918" t="str">
        <f t="shared" si="71"/>
        <v/>
      </c>
      <c r="F918" t="str">
        <f>IF(Sync!$AH918="","",IF(LEFT(UPPER(TRIM(Sync!$AH918)),2)="SL",UPPER(TRIM(Sync!$AH918)),""))</f>
        <v/>
      </c>
      <c r="G918" t="str">
        <f>IF($F918="","",IF(Sync!$AE918="","",IF(ISNUMBER(Sync!$AE918),IF(AND(Sync!$AE918&gt;=10000101,Sync!$AE918&lt;=99991231),INT(Sync!$AE918/10000),""),IFERROR(VALUE(TRIM(LEFT(Sync!$AE918,FIND("/",Sync!$AE918)-1))),""))))</f>
        <v/>
      </c>
      <c r="H918" t="str">
        <f>IF(OR($F918="",$G918=""),"",IF(ISNUMBER(Sync!$AE918),INT(MOD(Sync!$AE918,10000)/100),IFERROR(VALUE(TRIM(LEFT(MID(Sync!$AE918,FIND("/",Sync!$AE918)+1,20),FIND("/",MID(Sync!$AE918,FIND("/",Sync!$AE918)+1,20))-1))),"")))</f>
        <v/>
      </c>
      <c r="I918" t="str">
        <f>IF(OR($F918="",$G918=""),"",IF(ISNUMBER(Sync!$AE918),MOD(Sync!$AE918,100),IFERROR(VALUE(TRIM(MID(MID(Sync!$AE918,FIND("/",Sync!$AE918)+1,20),FIND("/",MID(Sync!$AE918,FIND("/",Sync!$AE918)+1,20))+1,20))),"")))</f>
        <v/>
      </c>
      <c r="J918" t="str">
        <f t="shared" si="72"/>
        <v/>
      </c>
      <c r="K918" t="str">
        <f>IF(OR($F918="",$J918="",$J918="نامعتبر"),"",LEFT($J918,4)&amp;MID($J918,6,2)&amp;RIGHT($J918,2)&amp;$N918&amp;"|"&amp;"2"&amp;RIGHT("00000"&amp;913,5))</f>
        <v/>
      </c>
      <c r="L918" t="str">
        <f t="shared" si="73"/>
        <v/>
      </c>
      <c r="M918" t="str">
        <f t="shared" si="74"/>
        <v/>
      </c>
      <c r="N918" t="str">
        <f>IF($F918="","",IF(Sync!$AF918="","0000",IF(AND(ISNUMBER(Sync!$AF918),Sync!$AF918&gt;=0,Sync!$AF918&lt;1),RIGHT("00"&amp;HOUR(Sync!$AF918),2)&amp;RIGHT("00"&amp;MINUTE(Sync!$AF918),2),IFERROR(RIGHT("00"&amp;VALUE(LEFT(Sync!$AF918,FIND(":",Sync!$AF918)-1)),2)&amp;RIGHT("00"&amp;VALUE(MID(Sync!$AF918,FIND(":",Sync!$AF918)+1,2)),2),"0000"))))</f>
        <v/>
      </c>
    </row>
    <row r="919" spans="1:14" x14ac:dyDescent="0.2">
      <c r="A919" t="str">
        <f>IF(OR(Calc!$E923="",Calc!$E923="نامعتبر",Calc!$G923=""),"",Calc!$G923)</f>
        <v/>
      </c>
      <c r="B919" t="str">
        <f>IF($A919="","",LEFT(Calc!$E923,4)&amp;MID(Calc!$E923,6,2)&amp;RIGHT(Calc!$E923,2)&amp;Calc!$Q923&amp;"|"&amp;"1"&amp;RIGHT("00000"&amp;914,5))</f>
        <v/>
      </c>
      <c r="C919" t="str">
        <f t="shared" si="70"/>
        <v/>
      </c>
      <c r="D919" t="str">
        <f t="shared" si="71"/>
        <v/>
      </c>
      <c r="F919" t="str">
        <f>IF(Sync!$AH919="","",IF(LEFT(UPPER(TRIM(Sync!$AH919)),2)="SL",UPPER(TRIM(Sync!$AH919)),""))</f>
        <v/>
      </c>
      <c r="G919" t="str">
        <f>IF($F919="","",IF(Sync!$AE919="","",IF(ISNUMBER(Sync!$AE919),IF(AND(Sync!$AE919&gt;=10000101,Sync!$AE919&lt;=99991231),INT(Sync!$AE919/10000),""),IFERROR(VALUE(TRIM(LEFT(Sync!$AE919,FIND("/",Sync!$AE919)-1))),""))))</f>
        <v/>
      </c>
      <c r="H919" t="str">
        <f>IF(OR($F919="",$G919=""),"",IF(ISNUMBER(Sync!$AE919),INT(MOD(Sync!$AE919,10000)/100),IFERROR(VALUE(TRIM(LEFT(MID(Sync!$AE919,FIND("/",Sync!$AE919)+1,20),FIND("/",MID(Sync!$AE919,FIND("/",Sync!$AE919)+1,20))-1))),"")))</f>
        <v/>
      </c>
      <c r="I919" t="str">
        <f>IF(OR($F919="",$G919=""),"",IF(ISNUMBER(Sync!$AE919),MOD(Sync!$AE919,100),IFERROR(VALUE(TRIM(MID(MID(Sync!$AE919,FIND("/",Sync!$AE919)+1,20),FIND("/",MID(Sync!$AE919,FIND("/",Sync!$AE919)+1,20))+1,20))),"")))</f>
        <v/>
      </c>
      <c r="J919" t="str">
        <f t="shared" si="72"/>
        <v/>
      </c>
      <c r="K919" t="str">
        <f>IF(OR($F919="",$J919="",$J919="نامعتبر"),"",LEFT($J919,4)&amp;MID($J919,6,2)&amp;RIGHT($J919,2)&amp;$N919&amp;"|"&amp;"2"&amp;RIGHT("00000"&amp;914,5))</f>
        <v/>
      </c>
      <c r="L919" t="str">
        <f t="shared" si="73"/>
        <v/>
      </c>
      <c r="M919" t="str">
        <f t="shared" si="74"/>
        <v/>
      </c>
      <c r="N919" t="str">
        <f>IF($F919="","",IF(Sync!$AF919="","0000",IF(AND(ISNUMBER(Sync!$AF919),Sync!$AF919&gt;=0,Sync!$AF919&lt;1),RIGHT("00"&amp;HOUR(Sync!$AF919),2)&amp;RIGHT("00"&amp;MINUTE(Sync!$AF919),2),IFERROR(RIGHT("00"&amp;VALUE(LEFT(Sync!$AF919,FIND(":",Sync!$AF919)-1)),2)&amp;RIGHT("00"&amp;VALUE(MID(Sync!$AF919,FIND(":",Sync!$AF919)+1,2)),2),"0000"))))</f>
        <v/>
      </c>
    </row>
    <row r="920" spans="1:14" x14ac:dyDescent="0.2">
      <c r="A920" t="str">
        <f>IF(OR(Calc!$E924="",Calc!$E924="نامعتبر",Calc!$G924=""),"",Calc!$G924)</f>
        <v/>
      </c>
      <c r="B920" t="str">
        <f>IF($A920="","",LEFT(Calc!$E924,4)&amp;MID(Calc!$E924,6,2)&amp;RIGHT(Calc!$E924,2)&amp;Calc!$Q924&amp;"|"&amp;"1"&amp;RIGHT("00000"&amp;915,5))</f>
        <v/>
      </c>
      <c r="C920" t="str">
        <f t="shared" si="70"/>
        <v/>
      </c>
      <c r="D920" t="str">
        <f t="shared" si="71"/>
        <v/>
      </c>
      <c r="F920" t="str">
        <f>IF(Sync!$AH920="","",IF(LEFT(UPPER(TRIM(Sync!$AH920)),2)="SL",UPPER(TRIM(Sync!$AH920)),""))</f>
        <v/>
      </c>
      <c r="G920" t="str">
        <f>IF($F920="","",IF(Sync!$AE920="","",IF(ISNUMBER(Sync!$AE920),IF(AND(Sync!$AE920&gt;=10000101,Sync!$AE920&lt;=99991231),INT(Sync!$AE920/10000),""),IFERROR(VALUE(TRIM(LEFT(Sync!$AE920,FIND("/",Sync!$AE920)-1))),""))))</f>
        <v/>
      </c>
      <c r="H920" t="str">
        <f>IF(OR($F920="",$G920=""),"",IF(ISNUMBER(Sync!$AE920),INT(MOD(Sync!$AE920,10000)/100),IFERROR(VALUE(TRIM(LEFT(MID(Sync!$AE920,FIND("/",Sync!$AE920)+1,20),FIND("/",MID(Sync!$AE920,FIND("/",Sync!$AE920)+1,20))-1))),"")))</f>
        <v/>
      </c>
      <c r="I920" t="str">
        <f>IF(OR($F920="",$G920=""),"",IF(ISNUMBER(Sync!$AE920),MOD(Sync!$AE920,100),IFERROR(VALUE(TRIM(MID(MID(Sync!$AE920,FIND("/",Sync!$AE920)+1,20),FIND("/",MID(Sync!$AE920,FIND("/",Sync!$AE920)+1,20))+1,20))),"")))</f>
        <v/>
      </c>
      <c r="J920" t="str">
        <f t="shared" si="72"/>
        <v/>
      </c>
      <c r="K920" t="str">
        <f>IF(OR($F920="",$J920="",$J920="نامعتبر"),"",LEFT($J920,4)&amp;MID($J920,6,2)&amp;RIGHT($J920,2)&amp;$N920&amp;"|"&amp;"2"&amp;RIGHT("00000"&amp;915,5))</f>
        <v/>
      </c>
      <c r="L920" t="str">
        <f t="shared" si="73"/>
        <v/>
      </c>
      <c r="M920" t="str">
        <f t="shared" si="74"/>
        <v/>
      </c>
      <c r="N920" t="str">
        <f>IF($F920="","",IF(Sync!$AF920="","0000",IF(AND(ISNUMBER(Sync!$AF920),Sync!$AF920&gt;=0,Sync!$AF920&lt;1),RIGHT("00"&amp;HOUR(Sync!$AF920),2)&amp;RIGHT("00"&amp;MINUTE(Sync!$AF920),2),IFERROR(RIGHT("00"&amp;VALUE(LEFT(Sync!$AF920,FIND(":",Sync!$AF920)-1)),2)&amp;RIGHT("00"&amp;VALUE(MID(Sync!$AF920,FIND(":",Sync!$AF920)+1,2)),2),"0000"))))</f>
        <v/>
      </c>
    </row>
    <row r="921" spans="1:14" x14ac:dyDescent="0.2">
      <c r="A921" t="str">
        <f>IF(OR(Calc!$E925="",Calc!$E925="نامعتبر",Calc!$G925=""),"",Calc!$G925)</f>
        <v/>
      </c>
      <c r="B921" t="str">
        <f>IF($A921="","",LEFT(Calc!$E925,4)&amp;MID(Calc!$E925,6,2)&amp;RIGHT(Calc!$E925,2)&amp;Calc!$Q925&amp;"|"&amp;"1"&amp;RIGHT("00000"&amp;916,5))</f>
        <v/>
      </c>
      <c r="C921" t="str">
        <f t="shared" si="70"/>
        <v/>
      </c>
      <c r="D921" t="str">
        <f t="shared" si="71"/>
        <v/>
      </c>
      <c r="F921" t="str">
        <f>IF(Sync!$AH921="","",IF(LEFT(UPPER(TRIM(Sync!$AH921)),2)="SL",UPPER(TRIM(Sync!$AH921)),""))</f>
        <v/>
      </c>
      <c r="G921" t="str">
        <f>IF($F921="","",IF(Sync!$AE921="","",IF(ISNUMBER(Sync!$AE921),IF(AND(Sync!$AE921&gt;=10000101,Sync!$AE921&lt;=99991231),INT(Sync!$AE921/10000),""),IFERROR(VALUE(TRIM(LEFT(Sync!$AE921,FIND("/",Sync!$AE921)-1))),""))))</f>
        <v/>
      </c>
      <c r="H921" t="str">
        <f>IF(OR($F921="",$G921=""),"",IF(ISNUMBER(Sync!$AE921),INT(MOD(Sync!$AE921,10000)/100),IFERROR(VALUE(TRIM(LEFT(MID(Sync!$AE921,FIND("/",Sync!$AE921)+1,20),FIND("/",MID(Sync!$AE921,FIND("/",Sync!$AE921)+1,20))-1))),"")))</f>
        <v/>
      </c>
      <c r="I921" t="str">
        <f>IF(OR($F921="",$G921=""),"",IF(ISNUMBER(Sync!$AE921),MOD(Sync!$AE921,100),IFERROR(VALUE(TRIM(MID(MID(Sync!$AE921,FIND("/",Sync!$AE921)+1,20),FIND("/",MID(Sync!$AE921,FIND("/",Sync!$AE921)+1,20))+1,20))),"")))</f>
        <v/>
      </c>
      <c r="J921" t="str">
        <f t="shared" si="72"/>
        <v/>
      </c>
      <c r="K921" t="str">
        <f>IF(OR($F921="",$J921="",$J921="نامعتبر"),"",LEFT($J921,4)&amp;MID($J921,6,2)&amp;RIGHT($J921,2)&amp;$N921&amp;"|"&amp;"2"&amp;RIGHT("00000"&amp;916,5))</f>
        <v/>
      </c>
      <c r="L921" t="str">
        <f t="shared" si="73"/>
        <v/>
      </c>
      <c r="M921" t="str">
        <f t="shared" si="74"/>
        <v/>
      </c>
      <c r="N921" t="str">
        <f>IF($F921="","",IF(Sync!$AF921="","0000",IF(AND(ISNUMBER(Sync!$AF921),Sync!$AF921&gt;=0,Sync!$AF921&lt;1),RIGHT("00"&amp;HOUR(Sync!$AF921),2)&amp;RIGHT("00"&amp;MINUTE(Sync!$AF921),2),IFERROR(RIGHT("00"&amp;VALUE(LEFT(Sync!$AF921,FIND(":",Sync!$AF921)-1)),2)&amp;RIGHT("00"&amp;VALUE(MID(Sync!$AF921,FIND(":",Sync!$AF921)+1,2)),2),"0000"))))</f>
        <v/>
      </c>
    </row>
    <row r="922" spans="1:14" x14ac:dyDescent="0.2">
      <c r="A922" t="str">
        <f>IF(OR(Calc!$E926="",Calc!$E926="نامعتبر",Calc!$G926=""),"",Calc!$G926)</f>
        <v/>
      </c>
      <c r="B922" t="str">
        <f>IF($A922="","",LEFT(Calc!$E926,4)&amp;MID(Calc!$E926,6,2)&amp;RIGHT(Calc!$E926,2)&amp;Calc!$Q926&amp;"|"&amp;"1"&amp;RIGHT("00000"&amp;917,5))</f>
        <v/>
      </c>
      <c r="C922" t="str">
        <f t="shared" si="70"/>
        <v/>
      </c>
      <c r="D922" t="str">
        <f t="shared" si="71"/>
        <v/>
      </c>
      <c r="F922" t="str">
        <f>IF(Sync!$AH922="","",IF(LEFT(UPPER(TRIM(Sync!$AH922)),2)="SL",UPPER(TRIM(Sync!$AH922)),""))</f>
        <v/>
      </c>
      <c r="G922" t="str">
        <f>IF($F922="","",IF(Sync!$AE922="","",IF(ISNUMBER(Sync!$AE922),IF(AND(Sync!$AE922&gt;=10000101,Sync!$AE922&lt;=99991231),INT(Sync!$AE922/10000),""),IFERROR(VALUE(TRIM(LEFT(Sync!$AE922,FIND("/",Sync!$AE922)-1))),""))))</f>
        <v/>
      </c>
      <c r="H922" t="str">
        <f>IF(OR($F922="",$G922=""),"",IF(ISNUMBER(Sync!$AE922),INT(MOD(Sync!$AE922,10000)/100),IFERROR(VALUE(TRIM(LEFT(MID(Sync!$AE922,FIND("/",Sync!$AE922)+1,20),FIND("/",MID(Sync!$AE922,FIND("/",Sync!$AE922)+1,20))-1))),"")))</f>
        <v/>
      </c>
      <c r="I922" t="str">
        <f>IF(OR($F922="",$G922=""),"",IF(ISNUMBER(Sync!$AE922),MOD(Sync!$AE922,100),IFERROR(VALUE(TRIM(MID(MID(Sync!$AE922,FIND("/",Sync!$AE922)+1,20),FIND("/",MID(Sync!$AE922,FIND("/",Sync!$AE922)+1,20))+1,20))),"")))</f>
        <v/>
      </c>
      <c r="J922" t="str">
        <f t="shared" si="72"/>
        <v/>
      </c>
      <c r="K922" t="str">
        <f>IF(OR($F922="",$J922="",$J922="نامعتبر"),"",LEFT($J922,4)&amp;MID($J922,6,2)&amp;RIGHT($J922,2)&amp;$N922&amp;"|"&amp;"2"&amp;RIGHT("00000"&amp;917,5))</f>
        <v/>
      </c>
      <c r="L922" t="str">
        <f t="shared" si="73"/>
        <v/>
      </c>
      <c r="M922" t="str">
        <f t="shared" si="74"/>
        <v/>
      </c>
      <c r="N922" t="str">
        <f>IF($F922="","",IF(Sync!$AF922="","0000",IF(AND(ISNUMBER(Sync!$AF922),Sync!$AF922&gt;=0,Sync!$AF922&lt;1),RIGHT("00"&amp;HOUR(Sync!$AF922),2)&amp;RIGHT("00"&amp;MINUTE(Sync!$AF922),2),IFERROR(RIGHT("00"&amp;VALUE(LEFT(Sync!$AF922,FIND(":",Sync!$AF922)-1)),2)&amp;RIGHT("00"&amp;VALUE(MID(Sync!$AF922,FIND(":",Sync!$AF922)+1,2)),2),"0000"))))</f>
        <v/>
      </c>
    </row>
    <row r="923" spans="1:14" x14ac:dyDescent="0.2">
      <c r="A923" t="str">
        <f>IF(OR(Calc!$E927="",Calc!$E927="نامعتبر",Calc!$G927=""),"",Calc!$G927)</f>
        <v/>
      </c>
      <c r="B923" t="str">
        <f>IF($A923="","",LEFT(Calc!$E927,4)&amp;MID(Calc!$E927,6,2)&amp;RIGHT(Calc!$E927,2)&amp;Calc!$Q927&amp;"|"&amp;"1"&amp;RIGHT("00000"&amp;918,5))</f>
        <v/>
      </c>
      <c r="C923" t="str">
        <f t="shared" si="70"/>
        <v/>
      </c>
      <c r="D923" t="str">
        <f t="shared" si="71"/>
        <v/>
      </c>
      <c r="F923" t="str">
        <f>IF(Sync!$AH923="","",IF(LEFT(UPPER(TRIM(Sync!$AH923)),2)="SL",UPPER(TRIM(Sync!$AH923)),""))</f>
        <v/>
      </c>
      <c r="G923" t="str">
        <f>IF($F923="","",IF(Sync!$AE923="","",IF(ISNUMBER(Sync!$AE923),IF(AND(Sync!$AE923&gt;=10000101,Sync!$AE923&lt;=99991231),INT(Sync!$AE923/10000),""),IFERROR(VALUE(TRIM(LEFT(Sync!$AE923,FIND("/",Sync!$AE923)-1))),""))))</f>
        <v/>
      </c>
      <c r="H923" t="str">
        <f>IF(OR($F923="",$G923=""),"",IF(ISNUMBER(Sync!$AE923),INT(MOD(Sync!$AE923,10000)/100),IFERROR(VALUE(TRIM(LEFT(MID(Sync!$AE923,FIND("/",Sync!$AE923)+1,20),FIND("/",MID(Sync!$AE923,FIND("/",Sync!$AE923)+1,20))-1))),"")))</f>
        <v/>
      </c>
      <c r="I923" t="str">
        <f>IF(OR($F923="",$G923=""),"",IF(ISNUMBER(Sync!$AE923),MOD(Sync!$AE923,100),IFERROR(VALUE(TRIM(MID(MID(Sync!$AE923,FIND("/",Sync!$AE923)+1,20),FIND("/",MID(Sync!$AE923,FIND("/",Sync!$AE923)+1,20))+1,20))),"")))</f>
        <v/>
      </c>
      <c r="J923" t="str">
        <f t="shared" si="72"/>
        <v/>
      </c>
      <c r="K923" t="str">
        <f>IF(OR($F923="",$J923="",$J923="نامعتبر"),"",LEFT($J923,4)&amp;MID($J923,6,2)&amp;RIGHT($J923,2)&amp;$N923&amp;"|"&amp;"2"&amp;RIGHT("00000"&amp;918,5))</f>
        <v/>
      </c>
      <c r="L923" t="str">
        <f t="shared" si="73"/>
        <v/>
      </c>
      <c r="M923" t="str">
        <f t="shared" si="74"/>
        <v/>
      </c>
      <c r="N923" t="str">
        <f>IF($F923="","",IF(Sync!$AF923="","0000",IF(AND(ISNUMBER(Sync!$AF923),Sync!$AF923&gt;=0,Sync!$AF923&lt;1),RIGHT("00"&amp;HOUR(Sync!$AF923),2)&amp;RIGHT("00"&amp;MINUTE(Sync!$AF923),2),IFERROR(RIGHT("00"&amp;VALUE(LEFT(Sync!$AF923,FIND(":",Sync!$AF923)-1)),2)&amp;RIGHT("00"&amp;VALUE(MID(Sync!$AF923,FIND(":",Sync!$AF923)+1,2)),2),"0000"))))</f>
        <v/>
      </c>
    </row>
    <row r="924" spans="1:14" x14ac:dyDescent="0.2">
      <c r="A924" t="str">
        <f>IF(OR(Calc!$E928="",Calc!$E928="نامعتبر",Calc!$G928=""),"",Calc!$G928)</f>
        <v/>
      </c>
      <c r="B924" t="str">
        <f>IF($A924="","",LEFT(Calc!$E928,4)&amp;MID(Calc!$E928,6,2)&amp;RIGHT(Calc!$E928,2)&amp;Calc!$Q928&amp;"|"&amp;"1"&amp;RIGHT("00000"&amp;919,5))</f>
        <v/>
      </c>
      <c r="C924" t="str">
        <f t="shared" si="70"/>
        <v/>
      </c>
      <c r="D924" t="str">
        <f t="shared" si="71"/>
        <v/>
      </c>
      <c r="F924" t="str">
        <f>IF(Sync!$AH924="","",IF(LEFT(UPPER(TRIM(Sync!$AH924)),2)="SL",UPPER(TRIM(Sync!$AH924)),""))</f>
        <v/>
      </c>
      <c r="G924" t="str">
        <f>IF($F924="","",IF(Sync!$AE924="","",IF(ISNUMBER(Sync!$AE924),IF(AND(Sync!$AE924&gt;=10000101,Sync!$AE924&lt;=99991231),INT(Sync!$AE924/10000),""),IFERROR(VALUE(TRIM(LEFT(Sync!$AE924,FIND("/",Sync!$AE924)-1))),""))))</f>
        <v/>
      </c>
      <c r="H924" t="str">
        <f>IF(OR($F924="",$G924=""),"",IF(ISNUMBER(Sync!$AE924),INT(MOD(Sync!$AE924,10000)/100),IFERROR(VALUE(TRIM(LEFT(MID(Sync!$AE924,FIND("/",Sync!$AE924)+1,20),FIND("/",MID(Sync!$AE924,FIND("/",Sync!$AE924)+1,20))-1))),"")))</f>
        <v/>
      </c>
      <c r="I924" t="str">
        <f>IF(OR($F924="",$G924=""),"",IF(ISNUMBER(Sync!$AE924),MOD(Sync!$AE924,100),IFERROR(VALUE(TRIM(MID(MID(Sync!$AE924,FIND("/",Sync!$AE924)+1,20),FIND("/",MID(Sync!$AE924,FIND("/",Sync!$AE924)+1,20))+1,20))),"")))</f>
        <v/>
      </c>
      <c r="J924" t="str">
        <f t="shared" si="72"/>
        <v/>
      </c>
      <c r="K924" t="str">
        <f>IF(OR($F924="",$J924="",$J924="نامعتبر"),"",LEFT($J924,4)&amp;MID($J924,6,2)&amp;RIGHT($J924,2)&amp;$N924&amp;"|"&amp;"2"&amp;RIGHT("00000"&amp;919,5))</f>
        <v/>
      </c>
      <c r="L924" t="str">
        <f t="shared" si="73"/>
        <v/>
      </c>
      <c r="M924" t="str">
        <f t="shared" si="74"/>
        <v/>
      </c>
      <c r="N924" t="str">
        <f>IF($F924="","",IF(Sync!$AF924="","0000",IF(AND(ISNUMBER(Sync!$AF924),Sync!$AF924&gt;=0,Sync!$AF924&lt;1),RIGHT("00"&amp;HOUR(Sync!$AF924),2)&amp;RIGHT("00"&amp;MINUTE(Sync!$AF924),2),IFERROR(RIGHT("00"&amp;VALUE(LEFT(Sync!$AF924,FIND(":",Sync!$AF924)-1)),2)&amp;RIGHT("00"&amp;VALUE(MID(Sync!$AF924,FIND(":",Sync!$AF924)+1,2)),2),"0000"))))</f>
        <v/>
      </c>
    </row>
    <row r="925" spans="1:14" x14ac:dyDescent="0.2">
      <c r="A925" t="str">
        <f>IF(OR(Calc!$E929="",Calc!$E929="نامعتبر",Calc!$G929=""),"",Calc!$G929)</f>
        <v/>
      </c>
      <c r="B925" t="str">
        <f>IF($A925="","",LEFT(Calc!$E929,4)&amp;MID(Calc!$E929,6,2)&amp;RIGHT(Calc!$E929,2)&amp;Calc!$Q929&amp;"|"&amp;"1"&amp;RIGHT("00000"&amp;920,5))</f>
        <v/>
      </c>
      <c r="C925" t="str">
        <f t="shared" si="70"/>
        <v/>
      </c>
      <c r="D925" t="str">
        <f t="shared" si="71"/>
        <v/>
      </c>
      <c r="F925" t="str">
        <f>IF(Sync!$AH925="","",IF(LEFT(UPPER(TRIM(Sync!$AH925)),2)="SL",UPPER(TRIM(Sync!$AH925)),""))</f>
        <v/>
      </c>
      <c r="G925" t="str">
        <f>IF($F925="","",IF(Sync!$AE925="","",IF(ISNUMBER(Sync!$AE925),IF(AND(Sync!$AE925&gt;=10000101,Sync!$AE925&lt;=99991231),INT(Sync!$AE925/10000),""),IFERROR(VALUE(TRIM(LEFT(Sync!$AE925,FIND("/",Sync!$AE925)-1))),""))))</f>
        <v/>
      </c>
      <c r="H925" t="str">
        <f>IF(OR($F925="",$G925=""),"",IF(ISNUMBER(Sync!$AE925),INT(MOD(Sync!$AE925,10000)/100),IFERROR(VALUE(TRIM(LEFT(MID(Sync!$AE925,FIND("/",Sync!$AE925)+1,20),FIND("/",MID(Sync!$AE925,FIND("/",Sync!$AE925)+1,20))-1))),"")))</f>
        <v/>
      </c>
      <c r="I925" t="str">
        <f>IF(OR($F925="",$G925=""),"",IF(ISNUMBER(Sync!$AE925),MOD(Sync!$AE925,100),IFERROR(VALUE(TRIM(MID(MID(Sync!$AE925,FIND("/",Sync!$AE925)+1,20),FIND("/",MID(Sync!$AE925,FIND("/",Sync!$AE925)+1,20))+1,20))),"")))</f>
        <v/>
      </c>
      <c r="J925" t="str">
        <f t="shared" si="72"/>
        <v/>
      </c>
      <c r="K925" t="str">
        <f>IF(OR($F925="",$J925="",$J925="نامعتبر"),"",LEFT($J925,4)&amp;MID($J925,6,2)&amp;RIGHT($J925,2)&amp;$N925&amp;"|"&amp;"2"&amp;RIGHT("00000"&amp;920,5))</f>
        <v/>
      </c>
      <c r="L925" t="str">
        <f t="shared" si="73"/>
        <v/>
      </c>
      <c r="M925" t="str">
        <f t="shared" si="74"/>
        <v/>
      </c>
      <c r="N925" t="str">
        <f>IF($F925="","",IF(Sync!$AF925="","0000",IF(AND(ISNUMBER(Sync!$AF925),Sync!$AF925&gt;=0,Sync!$AF925&lt;1),RIGHT("00"&amp;HOUR(Sync!$AF925),2)&amp;RIGHT("00"&amp;MINUTE(Sync!$AF925),2),IFERROR(RIGHT("00"&amp;VALUE(LEFT(Sync!$AF925,FIND(":",Sync!$AF925)-1)),2)&amp;RIGHT("00"&amp;VALUE(MID(Sync!$AF925,FIND(":",Sync!$AF925)+1,2)),2),"0000"))))</f>
        <v/>
      </c>
    </row>
    <row r="926" spans="1:14" x14ac:dyDescent="0.2">
      <c r="A926" t="str">
        <f>IF(OR(Calc!$E930="",Calc!$E930="نامعتبر",Calc!$G930=""),"",Calc!$G930)</f>
        <v/>
      </c>
      <c r="B926" t="str">
        <f>IF($A926="","",LEFT(Calc!$E930,4)&amp;MID(Calc!$E930,6,2)&amp;RIGHT(Calc!$E930,2)&amp;Calc!$Q930&amp;"|"&amp;"1"&amp;RIGHT("00000"&amp;921,5))</f>
        <v/>
      </c>
      <c r="C926" t="str">
        <f t="shared" si="70"/>
        <v/>
      </c>
      <c r="D926" t="str">
        <f t="shared" si="71"/>
        <v/>
      </c>
      <c r="F926" t="str">
        <f>IF(Sync!$AH926="","",IF(LEFT(UPPER(TRIM(Sync!$AH926)),2)="SL",UPPER(TRIM(Sync!$AH926)),""))</f>
        <v/>
      </c>
      <c r="G926" t="str">
        <f>IF($F926="","",IF(Sync!$AE926="","",IF(ISNUMBER(Sync!$AE926),IF(AND(Sync!$AE926&gt;=10000101,Sync!$AE926&lt;=99991231),INT(Sync!$AE926/10000),""),IFERROR(VALUE(TRIM(LEFT(Sync!$AE926,FIND("/",Sync!$AE926)-1))),""))))</f>
        <v/>
      </c>
      <c r="H926" t="str">
        <f>IF(OR($F926="",$G926=""),"",IF(ISNUMBER(Sync!$AE926),INT(MOD(Sync!$AE926,10000)/100),IFERROR(VALUE(TRIM(LEFT(MID(Sync!$AE926,FIND("/",Sync!$AE926)+1,20),FIND("/",MID(Sync!$AE926,FIND("/",Sync!$AE926)+1,20))-1))),"")))</f>
        <v/>
      </c>
      <c r="I926" t="str">
        <f>IF(OR($F926="",$G926=""),"",IF(ISNUMBER(Sync!$AE926),MOD(Sync!$AE926,100),IFERROR(VALUE(TRIM(MID(MID(Sync!$AE926,FIND("/",Sync!$AE926)+1,20),FIND("/",MID(Sync!$AE926,FIND("/",Sync!$AE926)+1,20))+1,20))),"")))</f>
        <v/>
      </c>
      <c r="J926" t="str">
        <f t="shared" si="72"/>
        <v/>
      </c>
      <c r="K926" t="str">
        <f>IF(OR($F926="",$J926="",$J926="نامعتبر"),"",LEFT($J926,4)&amp;MID($J926,6,2)&amp;RIGHT($J926,2)&amp;$N926&amp;"|"&amp;"2"&amp;RIGHT("00000"&amp;921,5))</f>
        <v/>
      </c>
      <c r="L926" t="str">
        <f t="shared" si="73"/>
        <v/>
      </c>
      <c r="M926" t="str">
        <f t="shared" si="74"/>
        <v/>
      </c>
      <c r="N926" t="str">
        <f>IF($F926="","",IF(Sync!$AF926="","0000",IF(AND(ISNUMBER(Sync!$AF926),Sync!$AF926&gt;=0,Sync!$AF926&lt;1),RIGHT("00"&amp;HOUR(Sync!$AF926),2)&amp;RIGHT("00"&amp;MINUTE(Sync!$AF926),2),IFERROR(RIGHT("00"&amp;VALUE(LEFT(Sync!$AF926,FIND(":",Sync!$AF926)-1)),2)&amp;RIGHT("00"&amp;VALUE(MID(Sync!$AF926,FIND(":",Sync!$AF926)+1,2)),2),"0000"))))</f>
        <v/>
      </c>
    </row>
    <row r="927" spans="1:14" x14ac:dyDescent="0.2">
      <c r="A927" t="str">
        <f>IF(OR(Calc!$E931="",Calc!$E931="نامعتبر",Calc!$G931=""),"",Calc!$G931)</f>
        <v/>
      </c>
      <c r="B927" t="str">
        <f>IF($A927="","",LEFT(Calc!$E931,4)&amp;MID(Calc!$E931,6,2)&amp;RIGHT(Calc!$E931,2)&amp;Calc!$Q931&amp;"|"&amp;"1"&amp;RIGHT("00000"&amp;922,5))</f>
        <v/>
      </c>
      <c r="C927" t="str">
        <f t="shared" si="70"/>
        <v/>
      </c>
      <c r="D927" t="str">
        <f t="shared" si="71"/>
        <v/>
      </c>
      <c r="F927" t="str">
        <f>IF(Sync!$AH927="","",IF(LEFT(UPPER(TRIM(Sync!$AH927)),2)="SL",UPPER(TRIM(Sync!$AH927)),""))</f>
        <v/>
      </c>
      <c r="G927" t="str">
        <f>IF($F927="","",IF(Sync!$AE927="","",IF(ISNUMBER(Sync!$AE927),IF(AND(Sync!$AE927&gt;=10000101,Sync!$AE927&lt;=99991231),INT(Sync!$AE927/10000),""),IFERROR(VALUE(TRIM(LEFT(Sync!$AE927,FIND("/",Sync!$AE927)-1))),""))))</f>
        <v/>
      </c>
      <c r="H927" t="str">
        <f>IF(OR($F927="",$G927=""),"",IF(ISNUMBER(Sync!$AE927),INT(MOD(Sync!$AE927,10000)/100),IFERROR(VALUE(TRIM(LEFT(MID(Sync!$AE927,FIND("/",Sync!$AE927)+1,20),FIND("/",MID(Sync!$AE927,FIND("/",Sync!$AE927)+1,20))-1))),"")))</f>
        <v/>
      </c>
      <c r="I927" t="str">
        <f>IF(OR($F927="",$G927=""),"",IF(ISNUMBER(Sync!$AE927),MOD(Sync!$AE927,100),IFERROR(VALUE(TRIM(MID(MID(Sync!$AE927,FIND("/",Sync!$AE927)+1,20),FIND("/",MID(Sync!$AE927,FIND("/",Sync!$AE927)+1,20))+1,20))),"")))</f>
        <v/>
      </c>
      <c r="J927" t="str">
        <f t="shared" si="72"/>
        <v/>
      </c>
      <c r="K927" t="str">
        <f>IF(OR($F927="",$J927="",$J927="نامعتبر"),"",LEFT($J927,4)&amp;MID($J927,6,2)&amp;RIGHT($J927,2)&amp;$N927&amp;"|"&amp;"2"&amp;RIGHT("00000"&amp;922,5))</f>
        <v/>
      </c>
      <c r="L927" t="str">
        <f t="shared" si="73"/>
        <v/>
      </c>
      <c r="M927" t="str">
        <f t="shared" si="74"/>
        <v/>
      </c>
      <c r="N927" t="str">
        <f>IF($F927="","",IF(Sync!$AF927="","0000",IF(AND(ISNUMBER(Sync!$AF927),Sync!$AF927&gt;=0,Sync!$AF927&lt;1),RIGHT("00"&amp;HOUR(Sync!$AF927),2)&amp;RIGHT("00"&amp;MINUTE(Sync!$AF927),2),IFERROR(RIGHT("00"&amp;VALUE(LEFT(Sync!$AF927,FIND(":",Sync!$AF927)-1)),2)&amp;RIGHT("00"&amp;VALUE(MID(Sync!$AF927,FIND(":",Sync!$AF927)+1,2)),2),"0000"))))</f>
        <v/>
      </c>
    </row>
    <row r="928" spans="1:14" x14ac:dyDescent="0.2">
      <c r="A928" t="str">
        <f>IF(OR(Calc!$E932="",Calc!$E932="نامعتبر",Calc!$G932=""),"",Calc!$G932)</f>
        <v/>
      </c>
      <c r="B928" t="str">
        <f>IF($A928="","",LEFT(Calc!$E932,4)&amp;MID(Calc!$E932,6,2)&amp;RIGHT(Calc!$E932,2)&amp;Calc!$Q932&amp;"|"&amp;"1"&amp;RIGHT("00000"&amp;923,5))</f>
        <v/>
      </c>
      <c r="C928" t="str">
        <f t="shared" si="70"/>
        <v/>
      </c>
      <c r="D928" t="str">
        <f t="shared" si="71"/>
        <v/>
      </c>
      <c r="F928" t="str">
        <f>IF(Sync!$AH928="","",IF(LEFT(UPPER(TRIM(Sync!$AH928)),2)="SL",UPPER(TRIM(Sync!$AH928)),""))</f>
        <v/>
      </c>
      <c r="G928" t="str">
        <f>IF($F928="","",IF(Sync!$AE928="","",IF(ISNUMBER(Sync!$AE928),IF(AND(Sync!$AE928&gt;=10000101,Sync!$AE928&lt;=99991231),INT(Sync!$AE928/10000),""),IFERROR(VALUE(TRIM(LEFT(Sync!$AE928,FIND("/",Sync!$AE928)-1))),""))))</f>
        <v/>
      </c>
      <c r="H928" t="str">
        <f>IF(OR($F928="",$G928=""),"",IF(ISNUMBER(Sync!$AE928),INT(MOD(Sync!$AE928,10000)/100),IFERROR(VALUE(TRIM(LEFT(MID(Sync!$AE928,FIND("/",Sync!$AE928)+1,20),FIND("/",MID(Sync!$AE928,FIND("/",Sync!$AE928)+1,20))-1))),"")))</f>
        <v/>
      </c>
      <c r="I928" t="str">
        <f>IF(OR($F928="",$G928=""),"",IF(ISNUMBER(Sync!$AE928),MOD(Sync!$AE928,100),IFERROR(VALUE(TRIM(MID(MID(Sync!$AE928,FIND("/",Sync!$AE928)+1,20),FIND("/",MID(Sync!$AE928,FIND("/",Sync!$AE928)+1,20))+1,20))),"")))</f>
        <v/>
      </c>
      <c r="J928" t="str">
        <f t="shared" si="72"/>
        <v/>
      </c>
      <c r="K928" t="str">
        <f>IF(OR($F928="",$J928="",$J928="نامعتبر"),"",LEFT($J928,4)&amp;MID($J928,6,2)&amp;RIGHT($J928,2)&amp;$N928&amp;"|"&amp;"2"&amp;RIGHT("00000"&amp;923,5))</f>
        <v/>
      </c>
      <c r="L928" t="str">
        <f t="shared" si="73"/>
        <v/>
      </c>
      <c r="M928" t="str">
        <f t="shared" si="74"/>
        <v/>
      </c>
      <c r="N928" t="str">
        <f>IF($F928="","",IF(Sync!$AF928="","0000",IF(AND(ISNUMBER(Sync!$AF928),Sync!$AF928&gt;=0,Sync!$AF928&lt;1),RIGHT("00"&amp;HOUR(Sync!$AF928),2)&amp;RIGHT("00"&amp;MINUTE(Sync!$AF928),2),IFERROR(RIGHT("00"&amp;VALUE(LEFT(Sync!$AF928,FIND(":",Sync!$AF928)-1)),2)&amp;RIGHT("00"&amp;VALUE(MID(Sync!$AF928,FIND(":",Sync!$AF928)+1,2)),2),"0000"))))</f>
        <v/>
      </c>
    </row>
    <row r="929" spans="1:14" x14ac:dyDescent="0.2">
      <c r="A929" t="str">
        <f>IF(OR(Calc!$E933="",Calc!$E933="نامعتبر",Calc!$G933=""),"",Calc!$G933)</f>
        <v/>
      </c>
      <c r="B929" t="str">
        <f>IF($A929="","",LEFT(Calc!$E933,4)&amp;MID(Calc!$E933,6,2)&amp;RIGHT(Calc!$E933,2)&amp;Calc!$Q933&amp;"|"&amp;"1"&amp;RIGHT("00000"&amp;924,5))</f>
        <v/>
      </c>
      <c r="C929" t="str">
        <f t="shared" si="70"/>
        <v/>
      </c>
      <c r="D929" t="str">
        <f t="shared" si="71"/>
        <v/>
      </c>
      <c r="F929" t="str">
        <f>IF(Sync!$AH929="","",IF(LEFT(UPPER(TRIM(Sync!$AH929)),2)="SL",UPPER(TRIM(Sync!$AH929)),""))</f>
        <v/>
      </c>
      <c r="G929" t="str">
        <f>IF($F929="","",IF(Sync!$AE929="","",IF(ISNUMBER(Sync!$AE929),IF(AND(Sync!$AE929&gt;=10000101,Sync!$AE929&lt;=99991231),INT(Sync!$AE929/10000),""),IFERROR(VALUE(TRIM(LEFT(Sync!$AE929,FIND("/",Sync!$AE929)-1))),""))))</f>
        <v/>
      </c>
      <c r="H929" t="str">
        <f>IF(OR($F929="",$G929=""),"",IF(ISNUMBER(Sync!$AE929),INT(MOD(Sync!$AE929,10000)/100),IFERROR(VALUE(TRIM(LEFT(MID(Sync!$AE929,FIND("/",Sync!$AE929)+1,20),FIND("/",MID(Sync!$AE929,FIND("/",Sync!$AE929)+1,20))-1))),"")))</f>
        <v/>
      </c>
      <c r="I929" t="str">
        <f>IF(OR($F929="",$G929=""),"",IF(ISNUMBER(Sync!$AE929),MOD(Sync!$AE929,100),IFERROR(VALUE(TRIM(MID(MID(Sync!$AE929,FIND("/",Sync!$AE929)+1,20),FIND("/",MID(Sync!$AE929,FIND("/",Sync!$AE929)+1,20))+1,20))),"")))</f>
        <v/>
      </c>
      <c r="J929" t="str">
        <f t="shared" si="72"/>
        <v/>
      </c>
      <c r="K929" t="str">
        <f>IF(OR($F929="",$J929="",$J929="نامعتبر"),"",LEFT($J929,4)&amp;MID($J929,6,2)&amp;RIGHT($J929,2)&amp;$N929&amp;"|"&amp;"2"&amp;RIGHT("00000"&amp;924,5))</f>
        <v/>
      </c>
      <c r="L929" t="str">
        <f t="shared" si="73"/>
        <v/>
      </c>
      <c r="M929" t="str">
        <f t="shared" si="74"/>
        <v/>
      </c>
      <c r="N929" t="str">
        <f>IF($F929="","",IF(Sync!$AF929="","0000",IF(AND(ISNUMBER(Sync!$AF929),Sync!$AF929&gt;=0,Sync!$AF929&lt;1),RIGHT("00"&amp;HOUR(Sync!$AF929),2)&amp;RIGHT("00"&amp;MINUTE(Sync!$AF929),2),IFERROR(RIGHT("00"&amp;VALUE(LEFT(Sync!$AF929,FIND(":",Sync!$AF929)-1)),2)&amp;RIGHT("00"&amp;VALUE(MID(Sync!$AF929,FIND(":",Sync!$AF929)+1,2)),2),"0000"))))</f>
        <v/>
      </c>
    </row>
    <row r="930" spans="1:14" x14ac:dyDescent="0.2">
      <c r="A930" t="str">
        <f>IF(OR(Calc!$E934="",Calc!$E934="نامعتبر",Calc!$G934=""),"",Calc!$G934)</f>
        <v/>
      </c>
      <c r="B930" t="str">
        <f>IF($A930="","",LEFT(Calc!$E934,4)&amp;MID(Calc!$E934,6,2)&amp;RIGHT(Calc!$E934,2)&amp;Calc!$Q934&amp;"|"&amp;"1"&amp;RIGHT("00000"&amp;925,5))</f>
        <v/>
      </c>
      <c r="C930" t="str">
        <f t="shared" si="70"/>
        <v/>
      </c>
      <c r="D930" t="str">
        <f t="shared" si="71"/>
        <v/>
      </c>
      <c r="F930" t="str">
        <f>IF(Sync!$AH930="","",IF(LEFT(UPPER(TRIM(Sync!$AH930)),2)="SL",UPPER(TRIM(Sync!$AH930)),""))</f>
        <v/>
      </c>
      <c r="G930" t="str">
        <f>IF($F930="","",IF(Sync!$AE930="","",IF(ISNUMBER(Sync!$AE930),IF(AND(Sync!$AE930&gt;=10000101,Sync!$AE930&lt;=99991231),INT(Sync!$AE930/10000),""),IFERROR(VALUE(TRIM(LEFT(Sync!$AE930,FIND("/",Sync!$AE930)-1))),""))))</f>
        <v/>
      </c>
      <c r="H930" t="str">
        <f>IF(OR($F930="",$G930=""),"",IF(ISNUMBER(Sync!$AE930),INT(MOD(Sync!$AE930,10000)/100),IFERROR(VALUE(TRIM(LEFT(MID(Sync!$AE930,FIND("/",Sync!$AE930)+1,20),FIND("/",MID(Sync!$AE930,FIND("/",Sync!$AE930)+1,20))-1))),"")))</f>
        <v/>
      </c>
      <c r="I930" t="str">
        <f>IF(OR($F930="",$G930=""),"",IF(ISNUMBER(Sync!$AE930),MOD(Sync!$AE930,100),IFERROR(VALUE(TRIM(MID(MID(Sync!$AE930,FIND("/",Sync!$AE930)+1,20),FIND("/",MID(Sync!$AE930,FIND("/",Sync!$AE930)+1,20))+1,20))),"")))</f>
        <v/>
      </c>
      <c r="J930" t="str">
        <f t="shared" si="72"/>
        <v/>
      </c>
      <c r="K930" t="str">
        <f>IF(OR($F930="",$J930="",$J930="نامعتبر"),"",LEFT($J930,4)&amp;MID($J930,6,2)&amp;RIGHT($J930,2)&amp;$N930&amp;"|"&amp;"2"&amp;RIGHT("00000"&amp;925,5))</f>
        <v/>
      </c>
      <c r="L930" t="str">
        <f t="shared" si="73"/>
        <v/>
      </c>
      <c r="M930" t="str">
        <f t="shared" si="74"/>
        <v/>
      </c>
      <c r="N930" t="str">
        <f>IF($F930="","",IF(Sync!$AF930="","0000",IF(AND(ISNUMBER(Sync!$AF930),Sync!$AF930&gt;=0,Sync!$AF930&lt;1),RIGHT("00"&amp;HOUR(Sync!$AF930),2)&amp;RIGHT("00"&amp;MINUTE(Sync!$AF930),2),IFERROR(RIGHT("00"&amp;VALUE(LEFT(Sync!$AF930,FIND(":",Sync!$AF930)-1)),2)&amp;RIGHT("00"&amp;VALUE(MID(Sync!$AF930,FIND(":",Sync!$AF930)+1,2)),2),"0000"))))</f>
        <v/>
      </c>
    </row>
    <row r="931" spans="1:14" x14ac:dyDescent="0.2">
      <c r="A931" t="str">
        <f>IF(OR(Calc!$E935="",Calc!$E935="نامعتبر",Calc!$G935=""),"",Calc!$G935)</f>
        <v/>
      </c>
      <c r="B931" t="str">
        <f>IF($A931="","",LEFT(Calc!$E935,4)&amp;MID(Calc!$E935,6,2)&amp;RIGHT(Calc!$E935,2)&amp;Calc!$Q935&amp;"|"&amp;"1"&amp;RIGHT("00000"&amp;926,5))</f>
        <v/>
      </c>
      <c r="C931" t="str">
        <f t="shared" si="70"/>
        <v/>
      </c>
      <c r="D931" t="str">
        <f t="shared" si="71"/>
        <v/>
      </c>
      <c r="F931" t="str">
        <f>IF(Sync!$AH931="","",IF(LEFT(UPPER(TRIM(Sync!$AH931)),2)="SL",UPPER(TRIM(Sync!$AH931)),""))</f>
        <v/>
      </c>
      <c r="G931" t="str">
        <f>IF($F931="","",IF(Sync!$AE931="","",IF(ISNUMBER(Sync!$AE931),IF(AND(Sync!$AE931&gt;=10000101,Sync!$AE931&lt;=99991231),INT(Sync!$AE931/10000),""),IFERROR(VALUE(TRIM(LEFT(Sync!$AE931,FIND("/",Sync!$AE931)-1))),""))))</f>
        <v/>
      </c>
      <c r="H931" t="str">
        <f>IF(OR($F931="",$G931=""),"",IF(ISNUMBER(Sync!$AE931),INT(MOD(Sync!$AE931,10000)/100),IFERROR(VALUE(TRIM(LEFT(MID(Sync!$AE931,FIND("/",Sync!$AE931)+1,20),FIND("/",MID(Sync!$AE931,FIND("/",Sync!$AE931)+1,20))-1))),"")))</f>
        <v/>
      </c>
      <c r="I931" t="str">
        <f>IF(OR($F931="",$G931=""),"",IF(ISNUMBER(Sync!$AE931),MOD(Sync!$AE931,100),IFERROR(VALUE(TRIM(MID(MID(Sync!$AE931,FIND("/",Sync!$AE931)+1,20),FIND("/",MID(Sync!$AE931,FIND("/",Sync!$AE931)+1,20))+1,20))),"")))</f>
        <v/>
      </c>
      <c r="J931" t="str">
        <f t="shared" si="72"/>
        <v/>
      </c>
      <c r="K931" t="str">
        <f>IF(OR($F931="",$J931="",$J931="نامعتبر"),"",LEFT($J931,4)&amp;MID($J931,6,2)&amp;RIGHT($J931,2)&amp;$N931&amp;"|"&amp;"2"&amp;RIGHT("00000"&amp;926,5))</f>
        <v/>
      </c>
      <c r="L931" t="str">
        <f t="shared" si="73"/>
        <v/>
      </c>
      <c r="M931" t="str">
        <f t="shared" si="74"/>
        <v/>
      </c>
      <c r="N931" t="str">
        <f>IF($F931="","",IF(Sync!$AF931="","0000",IF(AND(ISNUMBER(Sync!$AF931),Sync!$AF931&gt;=0,Sync!$AF931&lt;1),RIGHT("00"&amp;HOUR(Sync!$AF931),2)&amp;RIGHT("00"&amp;MINUTE(Sync!$AF931),2),IFERROR(RIGHT("00"&amp;VALUE(LEFT(Sync!$AF931,FIND(":",Sync!$AF931)-1)),2)&amp;RIGHT("00"&amp;VALUE(MID(Sync!$AF931,FIND(":",Sync!$AF931)+1,2)),2),"0000"))))</f>
        <v/>
      </c>
    </row>
    <row r="932" spans="1:14" x14ac:dyDescent="0.2">
      <c r="A932" t="str">
        <f>IF(OR(Calc!$E936="",Calc!$E936="نامعتبر",Calc!$G936=""),"",Calc!$G936)</f>
        <v/>
      </c>
      <c r="B932" t="str">
        <f>IF($A932="","",LEFT(Calc!$E936,4)&amp;MID(Calc!$E936,6,2)&amp;RIGHT(Calc!$E936,2)&amp;Calc!$Q936&amp;"|"&amp;"1"&amp;RIGHT("00000"&amp;927,5))</f>
        <v/>
      </c>
      <c r="C932" t="str">
        <f t="shared" si="70"/>
        <v/>
      </c>
      <c r="D932" t="str">
        <f t="shared" si="71"/>
        <v/>
      </c>
      <c r="F932" t="str">
        <f>IF(Sync!$AH932="","",IF(LEFT(UPPER(TRIM(Sync!$AH932)),2)="SL",UPPER(TRIM(Sync!$AH932)),""))</f>
        <v/>
      </c>
      <c r="G932" t="str">
        <f>IF($F932="","",IF(Sync!$AE932="","",IF(ISNUMBER(Sync!$AE932),IF(AND(Sync!$AE932&gt;=10000101,Sync!$AE932&lt;=99991231),INT(Sync!$AE932/10000),""),IFERROR(VALUE(TRIM(LEFT(Sync!$AE932,FIND("/",Sync!$AE932)-1))),""))))</f>
        <v/>
      </c>
      <c r="H932" t="str">
        <f>IF(OR($F932="",$G932=""),"",IF(ISNUMBER(Sync!$AE932),INT(MOD(Sync!$AE932,10000)/100),IFERROR(VALUE(TRIM(LEFT(MID(Sync!$AE932,FIND("/",Sync!$AE932)+1,20),FIND("/",MID(Sync!$AE932,FIND("/",Sync!$AE932)+1,20))-1))),"")))</f>
        <v/>
      </c>
      <c r="I932" t="str">
        <f>IF(OR($F932="",$G932=""),"",IF(ISNUMBER(Sync!$AE932),MOD(Sync!$AE932,100),IFERROR(VALUE(TRIM(MID(MID(Sync!$AE932,FIND("/",Sync!$AE932)+1,20),FIND("/",MID(Sync!$AE932,FIND("/",Sync!$AE932)+1,20))+1,20))),"")))</f>
        <v/>
      </c>
      <c r="J932" t="str">
        <f t="shared" si="72"/>
        <v/>
      </c>
      <c r="K932" t="str">
        <f>IF(OR($F932="",$J932="",$J932="نامعتبر"),"",LEFT($J932,4)&amp;MID($J932,6,2)&amp;RIGHT($J932,2)&amp;$N932&amp;"|"&amp;"2"&amp;RIGHT("00000"&amp;927,5))</f>
        <v/>
      </c>
      <c r="L932" t="str">
        <f t="shared" si="73"/>
        <v/>
      </c>
      <c r="M932" t="str">
        <f t="shared" si="74"/>
        <v/>
      </c>
      <c r="N932" t="str">
        <f>IF($F932="","",IF(Sync!$AF932="","0000",IF(AND(ISNUMBER(Sync!$AF932),Sync!$AF932&gt;=0,Sync!$AF932&lt;1),RIGHT("00"&amp;HOUR(Sync!$AF932),2)&amp;RIGHT("00"&amp;MINUTE(Sync!$AF932),2),IFERROR(RIGHT("00"&amp;VALUE(LEFT(Sync!$AF932,FIND(":",Sync!$AF932)-1)),2)&amp;RIGHT("00"&amp;VALUE(MID(Sync!$AF932,FIND(":",Sync!$AF932)+1,2)),2),"0000"))))</f>
        <v/>
      </c>
    </row>
    <row r="933" spans="1:14" x14ac:dyDescent="0.2">
      <c r="A933" t="str">
        <f>IF(OR(Calc!$E937="",Calc!$E937="نامعتبر",Calc!$G937=""),"",Calc!$G937)</f>
        <v/>
      </c>
      <c r="B933" t="str">
        <f>IF($A933="","",LEFT(Calc!$E937,4)&amp;MID(Calc!$E937,6,2)&amp;RIGHT(Calc!$E937,2)&amp;Calc!$Q937&amp;"|"&amp;"1"&amp;RIGHT("00000"&amp;928,5))</f>
        <v/>
      </c>
      <c r="C933" t="str">
        <f t="shared" si="70"/>
        <v/>
      </c>
      <c r="D933" t="str">
        <f t="shared" si="71"/>
        <v/>
      </c>
      <c r="F933" t="str">
        <f>IF(Sync!$AH933="","",IF(LEFT(UPPER(TRIM(Sync!$AH933)),2)="SL",UPPER(TRIM(Sync!$AH933)),""))</f>
        <v/>
      </c>
      <c r="G933" t="str">
        <f>IF($F933="","",IF(Sync!$AE933="","",IF(ISNUMBER(Sync!$AE933),IF(AND(Sync!$AE933&gt;=10000101,Sync!$AE933&lt;=99991231),INT(Sync!$AE933/10000),""),IFERROR(VALUE(TRIM(LEFT(Sync!$AE933,FIND("/",Sync!$AE933)-1))),""))))</f>
        <v/>
      </c>
      <c r="H933" t="str">
        <f>IF(OR($F933="",$G933=""),"",IF(ISNUMBER(Sync!$AE933),INT(MOD(Sync!$AE933,10000)/100),IFERROR(VALUE(TRIM(LEFT(MID(Sync!$AE933,FIND("/",Sync!$AE933)+1,20),FIND("/",MID(Sync!$AE933,FIND("/",Sync!$AE933)+1,20))-1))),"")))</f>
        <v/>
      </c>
      <c r="I933" t="str">
        <f>IF(OR($F933="",$G933=""),"",IF(ISNUMBER(Sync!$AE933),MOD(Sync!$AE933,100),IFERROR(VALUE(TRIM(MID(MID(Sync!$AE933,FIND("/",Sync!$AE933)+1,20),FIND("/",MID(Sync!$AE933,FIND("/",Sync!$AE933)+1,20))+1,20))),"")))</f>
        <v/>
      </c>
      <c r="J933" t="str">
        <f t="shared" si="72"/>
        <v/>
      </c>
      <c r="K933" t="str">
        <f>IF(OR($F933="",$J933="",$J933="نامعتبر"),"",LEFT($J933,4)&amp;MID($J933,6,2)&amp;RIGHT($J933,2)&amp;$N933&amp;"|"&amp;"2"&amp;RIGHT("00000"&amp;928,5))</f>
        <v/>
      </c>
      <c r="L933" t="str">
        <f t="shared" si="73"/>
        <v/>
      </c>
      <c r="M933" t="str">
        <f t="shared" si="74"/>
        <v/>
      </c>
      <c r="N933" t="str">
        <f>IF($F933="","",IF(Sync!$AF933="","0000",IF(AND(ISNUMBER(Sync!$AF933),Sync!$AF933&gt;=0,Sync!$AF933&lt;1),RIGHT("00"&amp;HOUR(Sync!$AF933),2)&amp;RIGHT("00"&amp;MINUTE(Sync!$AF933),2),IFERROR(RIGHT("00"&amp;VALUE(LEFT(Sync!$AF933,FIND(":",Sync!$AF933)-1)),2)&amp;RIGHT("00"&amp;VALUE(MID(Sync!$AF933,FIND(":",Sync!$AF933)+1,2)),2),"0000"))))</f>
        <v/>
      </c>
    </row>
    <row r="934" spans="1:14" x14ac:dyDescent="0.2">
      <c r="A934" t="str">
        <f>IF(OR(Calc!$E938="",Calc!$E938="نامعتبر",Calc!$G938=""),"",Calc!$G938)</f>
        <v/>
      </c>
      <c r="B934" t="str">
        <f>IF($A934="","",LEFT(Calc!$E938,4)&amp;MID(Calc!$E938,6,2)&amp;RIGHT(Calc!$E938,2)&amp;Calc!$Q938&amp;"|"&amp;"1"&amp;RIGHT("00000"&amp;929,5))</f>
        <v/>
      </c>
      <c r="C934" t="str">
        <f t="shared" si="70"/>
        <v/>
      </c>
      <c r="D934" t="str">
        <f t="shared" si="71"/>
        <v/>
      </c>
      <c r="F934" t="str">
        <f>IF(Sync!$AH934="","",IF(LEFT(UPPER(TRIM(Sync!$AH934)),2)="SL",UPPER(TRIM(Sync!$AH934)),""))</f>
        <v/>
      </c>
      <c r="G934" t="str">
        <f>IF($F934="","",IF(Sync!$AE934="","",IF(ISNUMBER(Sync!$AE934),IF(AND(Sync!$AE934&gt;=10000101,Sync!$AE934&lt;=99991231),INT(Sync!$AE934/10000),""),IFERROR(VALUE(TRIM(LEFT(Sync!$AE934,FIND("/",Sync!$AE934)-1))),""))))</f>
        <v/>
      </c>
      <c r="H934" t="str">
        <f>IF(OR($F934="",$G934=""),"",IF(ISNUMBER(Sync!$AE934),INT(MOD(Sync!$AE934,10000)/100),IFERROR(VALUE(TRIM(LEFT(MID(Sync!$AE934,FIND("/",Sync!$AE934)+1,20),FIND("/",MID(Sync!$AE934,FIND("/",Sync!$AE934)+1,20))-1))),"")))</f>
        <v/>
      </c>
      <c r="I934" t="str">
        <f>IF(OR($F934="",$G934=""),"",IF(ISNUMBER(Sync!$AE934),MOD(Sync!$AE934,100),IFERROR(VALUE(TRIM(MID(MID(Sync!$AE934,FIND("/",Sync!$AE934)+1,20),FIND("/",MID(Sync!$AE934,FIND("/",Sync!$AE934)+1,20))+1,20))),"")))</f>
        <v/>
      </c>
      <c r="J934" t="str">
        <f t="shared" si="72"/>
        <v/>
      </c>
      <c r="K934" t="str">
        <f>IF(OR($F934="",$J934="",$J934="نامعتبر"),"",LEFT($J934,4)&amp;MID($J934,6,2)&amp;RIGHT($J934,2)&amp;$N934&amp;"|"&amp;"2"&amp;RIGHT("00000"&amp;929,5))</f>
        <v/>
      </c>
      <c r="L934" t="str">
        <f t="shared" si="73"/>
        <v/>
      </c>
      <c r="M934" t="str">
        <f t="shared" si="74"/>
        <v/>
      </c>
      <c r="N934" t="str">
        <f>IF($F934="","",IF(Sync!$AF934="","0000",IF(AND(ISNUMBER(Sync!$AF934),Sync!$AF934&gt;=0,Sync!$AF934&lt;1),RIGHT("00"&amp;HOUR(Sync!$AF934),2)&amp;RIGHT("00"&amp;MINUTE(Sync!$AF934),2),IFERROR(RIGHT("00"&amp;VALUE(LEFT(Sync!$AF934,FIND(":",Sync!$AF934)-1)),2)&amp;RIGHT("00"&amp;VALUE(MID(Sync!$AF934,FIND(":",Sync!$AF934)+1,2)),2),"0000"))))</f>
        <v/>
      </c>
    </row>
    <row r="935" spans="1:14" x14ac:dyDescent="0.2">
      <c r="A935" t="str">
        <f>IF(OR(Calc!$E939="",Calc!$E939="نامعتبر",Calc!$G939=""),"",Calc!$G939)</f>
        <v/>
      </c>
      <c r="B935" t="str">
        <f>IF($A935="","",LEFT(Calc!$E939,4)&amp;MID(Calc!$E939,6,2)&amp;RIGHT(Calc!$E939,2)&amp;Calc!$Q939&amp;"|"&amp;"1"&amp;RIGHT("00000"&amp;930,5))</f>
        <v/>
      </c>
      <c r="C935" t="str">
        <f t="shared" si="70"/>
        <v/>
      </c>
      <c r="D935" t="str">
        <f t="shared" si="71"/>
        <v/>
      </c>
      <c r="F935" t="str">
        <f>IF(Sync!$AH935="","",IF(LEFT(UPPER(TRIM(Sync!$AH935)),2)="SL",UPPER(TRIM(Sync!$AH935)),""))</f>
        <v/>
      </c>
      <c r="G935" t="str">
        <f>IF($F935="","",IF(Sync!$AE935="","",IF(ISNUMBER(Sync!$AE935),IF(AND(Sync!$AE935&gt;=10000101,Sync!$AE935&lt;=99991231),INT(Sync!$AE935/10000),""),IFERROR(VALUE(TRIM(LEFT(Sync!$AE935,FIND("/",Sync!$AE935)-1))),""))))</f>
        <v/>
      </c>
      <c r="H935" t="str">
        <f>IF(OR($F935="",$G935=""),"",IF(ISNUMBER(Sync!$AE935),INT(MOD(Sync!$AE935,10000)/100),IFERROR(VALUE(TRIM(LEFT(MID(Sync!$AE935,FIND("/",Sync!$AE935)+1,20),FIND("/",MID(Sync!$AE935,FIND("/",Sync!$AE935)+1,20))-1))),"")))</f>
        <v/>
      </c>
      <c r="I935" t="str">
        <f>IF(OR($F935="",$G935=""),"",IF(ISNUMBER(Sync!$AE935),MOD(Sync!$AE935,100),IFERROR(VALUE(TRIM(MID(MID(Sync!$AE935,FIND("/",Sync!$AE935)+1,20),FIND("/",MID(Sync!$AE935,FIND("/",Sync!$AE935)+1,20))+1,20))),"")))</f>
        <v/>
      </c>
      <c r="J935" t="str">
        <f t="shared" si="72"/>
        <v/>
      </c>
      <c r="K935" t="str">
        <f>IF(OR($F935="",$J935="",$J935="نامعتبر"),"",LEFT($J935,4)&amp;MID($J935,6,2)&amp;RIGHT($J935,2)&amp;$N935&amp;"|"&amp;"2"&amp;RIGHT("00000"&amp;930,5))</f>
        <v/>
      </c>
      <c r="L935" t="str">
        <f t="shared" si="73"/>
        <v/>
      </c>
      <c r="M935" t="str">
        <f t="shared" si="74"/>
        <v/>
      </c>
      <c r="N935" t="str">
        <f>IF($F935="","",IF(Sync!$AF935="","0000",IF(AND(ISNUMBER(Sync!$AF935),Sync!$AF935&gt;=0,Sync!$AF935&lt;1),RIGHT("00"&amp;HOUR(Sync!$AF935),2)&amp;RIGHT("00"&amp;MINUTE(Sync!$AF935),2),IFERROR(RIGHT("00"&amp;VALUE(LEFT(Sync!$AF935,FIND(":",Sync!$AF935)-1)),2)&amp;RIGHT("00"&amp;VALUE(MID(Sync!$AF935,FIND(":",Sync!$AF935)+1,2)),2),"0000"))))</f>
        <v/>
      </c>
    </row>
    <row r="936" spans="1:14" x14ac:dyDescent="0.2">
      <c r="A936" t="str">
        <f>IF(OR(Calc!$E940="",Calc!$E940="نامعتبر",Calc!$G940=""),"",Calc!$G940)</f>
        <v/>
      </c>
      <c r="B936" t="str">
        <f>IF($A936="","",LEFT(Calc!$E940,4)&amp;MID(Calc!$E940,6,2)&amp;RIGHT(Calc!$E940,2)&amp;Calc!$Q940&amp;"|"&amp;"1"&amp;RIGHT("00000"&amp;931,5))</f>
        <v/>
      </c>
      <c r="C936" t="str">
        <f t="shared" si="70"/>
        <v/>
      </c>
      <c r="D936" t="str">
        <f t="shared" si="71"/>
        <v/>
      </c>
      <c r="F936" t="str">
        <f>IF(Sync!$AH936="","",IF(LEFT(UPPER(TRIM(Sync!$AH936)),2)="SL",UPPER(TRIM(Sync!$AH936)),""))</f>
        <v/>
      </c>
      <c r="G936" t="str">
        <f>IF($F936="","",IF(Sync!$AE936="","",IF(ISNUMBER(Sync!$AE936),IF(AND(Sync!$AE936&gt;=10000101,Sync!$AE936&lt;=99991231),INT(Sync!$AE936/10000),""),IFERROR(VALUE(TRIM(LEFT(Sync!$AE936,FIND("/",Sync!$AE936)-1))),""))))</f>
        <v/>
      </c>
      <c r="H936" t="str">
        <f>IF(OR($F936="",$G936=""),"",IF(ISNUMBER(Sync!$AE936),INT(MOD(Sync!$AE936,10000)/100),IFERROR(VALUE(TRIM(LEFT(MID(Sync!$AE936,FIND("/",Sync!$AE936)+1,20),FIND("/",MID(Sync!$AE936,FIND("/",Sync!$AE936)+1,20))-1))),"")))</f>
        <v/>
      </c>
      <c r="I936" t="str">
        <f>IF(OR($F936="",$G936=""),"",IF(ISNUMBER(Sync!$AE936),MOD(Sync!$AE936,100),IFERROR(VALUE(TRIM(MID(MID(Sync!$AE936,FIND("/",Sync!$AE936)+1,20),FIND("/",MID(Sync!$AE936,FIND("/",Sync!$AE936)+1,20))+1,20))),"")))</f>
        <v/>
      </c>
      <c r="J936" t="str">
        <f t="shared" si="72"/>
        <v/>
      </c>
      <c r="K936" t="str">
        <f>IF(OR($F936="",$J936="",$J936="نامعتبر"),"",LEFT($J936,4)&amp;MID($J936,6,2)&amp;RIGHT($J936,2)&amp;$N936&amp;"|"&amp;"2"&amp;RIGHT("00000"&amp;931,5))</f>
        <v/>
      </c>
      <c r="L936" t="str">
        <f t="shared" si="73"/>
        <v/>
      </c>
      <c r="M936" t="str">
        <f t="shared" si="74"/>
        <v/>
      </c>
      <c r="N936" t="str">
        <f>IF($F936="","",IF(Sync!$AF936="","0000",IF(AND(ISNUMBER(Sync!$AF936),Sync!$AF936&gt;=0,Sync!$AF936&lt;1),RIGHT("00"&amp;HOUR(Sync!$AF936),2)&amp;RIGHT("00"&amp;MINUTE(Sync!$AF936),2),IFERROR(RIGHT("00"&amp;VALUE(LEFT(Sync!$AF936,FIND(":",Sync!$AF936)-1)),2)&amp;RIGHT("00"&amp;VALUE(MID(Sync!$AF936,FIND(":",Sync!$AF936)+1,2)),2),"0000"))))</f>
        <v/>
      </c>
    </row>
    <row r="937" spans="1:14" x14ac:dyDescent="0.2">
      <c r="A937" t="str">
        <f>IF(OR(Calc!$E941="",Calc!$E941="نامعتبر",Calc!$G941=""),"",Calc!$G941)</f>
        <v/>
      </c>
      <c r="B937" t="str">
        <f>IF($A937="","",LEFT(Calc!$E941,4)&amp;MID(Calc!$E941,6,2)&amp;RIGHT(Calc!$E941,2)&amp;Calc!$Q941&amp;"|"&amp;"1"&amp;RIGHT("00000"&amp;932,5))</f>
        <v/>
      </c>
      <c r="C937" t="str">
        <f t="shared" si="70"/>
        <v/>
      </c>
      <c r="D937" t="str">
        <f t="shared" si="71"/>
        <v/>
      </c>
      <c r="F937" t="str">
        <f>IF(Sync!$AH937="","",IF(LEFT(UPPER(TRIM(Sync!$AH937)),2)="SL",UPPER(TRIM(Sync!$AH937)),""))</f>
        <v/>
      </c>
      <c r="G937" t="str">
        <f>IF($F937="","",IF(Sync!$AE937="","",IF(ISNUMBER(Sync!$AE937),IF(AND(Sync!$AE937&gt;=10000101,Sync!$AE937&lt;=99991231),INT(Sync!$AE937/10000),""),IFERROR(VALUE(TRIM(LEFT(Sync!$AE937,FIND("/",Sync!$AE937)-1))),""))))</f>
        <v/>
      </c>
      <c r="H937" t="str">
        <f>IF(OR($F937="",$G937=""),"",IF(ISNUMBER(Sync!$AE937),INT(MOD(Sync!$AE937,10000)/100),IFERROR(VALUE(TRIM(LEFT(MID(Sync!$AE937,FIND("/",Sync!$AE937)+1,20),FIND("/",MID(Sync!$AE937,FIND("/",Sync!$AE937)+1,20))-1))),"")))</f>
        <v/>
      </c>
      <c r="I937" t="str">
        <f>IF(OR($F937="",$G937=""),"",IF(ISNUMBER(Sync!$AE937),MOD(Sync!$AE937,100),IFERROR(VALUE(TRIM(MID(MID(Sync!$AE937,FIND("/",Sync!$AE937)+1,20),FIND("/",MID(Sync!$AE937,FIND("/",Sync!$AE937)+1,20))+1,20))),"")))</f>
        <v/>
      </c>
      <c r="J937" t="str">
        <f t="shared" si="72"/>
        <v/>
      </c>
      <c r="K937" t="str">
        <f>IF(OR($F937="",$J937="",$J937="نامعتبر"),"",LEFT($J937,4)&amp;MID($J937,6,2)&amp;RIGHT($J937,2)&amp;$N937&amp;"|"&amp;"2"&amp;RIGHT("00000"&amp;932,5))</f>
        <v/>
      </c>
      <c r="L937" t="str">
        <f t="shared" si="73"/>
        <v/>
      </c>
      <c r="M937" t="str">
        <f t="shared" si="74"/>
        <v/>
      </c>
      <c r="N937" t="str">
        <f>IF($F937="","",IF(Sync!$AF937="","0000",IF(AND(ISNUMBER(Sync!$AF937),Sync!$AF937&gt;=0,Sync!$AF937&lt;1),RIGHT("00"&amp;HOUR(Sync!$AF937),2)&amp;RIGHT("00"&amp;MINUTE(Sync!$AF937),2),IFERROR(RIGHT("00"&amp;VALUE(LEFT(Sync!$AF937,FIND(":",Sync!$AF937)-1)),2)&amp;RIGHT("00"&amp;VALUE(MID(Sync!$AF937,FIND(":",Sync!$AF937)+1,2)),2),"0000"))))</f>
        <v/>
      </c>
    </row>
    <row r="938" spans="1:14" x14ac:dyDescent="0.2">
      <c r="A938" t="str">
        <f>IF(OR(Calc!$E942="",Calc!$E942="نامعتبر",Calc!$G942=""),"",Calc!$G942)</f>
        <v/>
      </c>
      <c r="B938" t="str">
        <f>IF($A938="","",LEFT(Calc!$E942,4)&amp;MID(Calc!$E942,6,2)&amp;RIGHT(Calc!$E942,2)&amp;Calc!$Q942&amp;"|"&amp;"1"&amp;RIGHT("00000"&amp;933,5))</f>
        <v/>
      </c>
      <c r="C938" t="str">
        <f t="shared" si="70"/>
        <v/>
      </c>
      <c r="D938" t="str">
        <f t="shared" si="71"/>
        <v/>
      </c>
      <c r="F938" t="str">
        <f>IF(Sync!$AH938="","",IF(LEFT(UPPER(TRIM(Sync!$AH938)),2)="SL",UPPER(TRIM(Sync!$AH938)),""))</f>
        <v/>
      </c>
      <c r="G938" t="str">
        <f>IF($F938="","",IF(Sync!$AE938="","",IF(ISNUMBER(Sync!$AE938),IF(AND(Sync!$AE938&gt;=10000101,Sync!$AE938&lt;=99991231),INT(Sync!$AE938/10000),""),IFERROR(VALUE(TRIM(LEFT(Sync!$AE938,FIND("/",Sync!$AE938)-1))),""))))</f>
        <v/>
      </c>
      <c r="H938" t="str">
        <f>IF(OR($F938="",$G938=""),"",IF(ISNUMBER(Sync!$AE938),INT(MOD(Sync!$AE938,10000)/100),IFERROR(VALUE(TRIM(LEFT(MID(Sync!$AE938,FIND("/",Sync!$AE938)+1,20),FIND("/",MID(Sync!$AE938,FIND("/",Sync!$AE938)+1,20))-1))),"")))</f>
        <v/>
      </c>
      <c r="I938" t="str">
        <f>IF(OR($F938="",$G938=""),"",IF(ISNUMBER(Sync!$AE938),MOD(Sync!$AE938,100),IFERROR(VALUE(TRIM(MID(MID(Sync!$AE938,FIND("/",Sync!$AE938)+1,20),FIND("/",MID(Sync!$AE938,FIND("/",Sync!$AE938)+1,20))+1,20))),"")))</f>
        <v/>
      </c>
      <c r="J938" t="str">
        <f t="shared" si="72"/>
        <v/>
      </c>
      <c r="K938" t="str">
        <f>IF(OR($F938="",$J938="",$J938="نامعتبر"),"",LEFT($J938,4)&amp;MID($J938,6,2)&amp;RIGHT($J938,2)&amp;$N938&amp;"|"&amp;"2"&amp;RIGHT("00000"&amp;933,5))</f>
        <v/>
      </c>
      <c r="L938" t="str">
        <f t="shared" si="73"/>
        <v/>
      </c>
      <c r="M938" t="str">
        <f t="shared" si="74"/>
        <v/>
      </c>
      <c r="N938" t="str">
        <f>IF($F938="","",IF(Sync!$AF938="","0000",IF(AND(ISNUMBER(Sync!$AF938),Sync!$AF938&gt;=0,Sync!$AF938&lt;1),RIGHT("00"&amp;HOUR(Sync!$AF938),2)&amp;RIGHT("00"&amp;MINUTE(Sync!$AF938),2),IFERROR(RIGHT("00"&amp;VALUE(LEFT(Sync!$AF938,FIND(":",Sync!$AF938)-1)),2)&amp;RIGHT("00"&amp;VALUE(MID(Sync!$AF938,FIND(":",Sync!$AF938)+1,2)),2),"0000"))))</f>
        <v/>
      </c>
    </row>
    <row r="939" spans="1:14" x14ac:dyDescent="0.2">
      <c r="A939" t="str">
        <f>IF(OR(Calc!$E943="",Calc!$E943="نامعتبر",Calc!$G943=""),"",Calc!$G943)</f>
        <v/>
      </c>
      <c r="B939" t="str">
        <f>IF($A939="","",LEFT(Calc!$E943,4)&amp;MID(Calc!$E943,6,2)&amp;RIGHT(Calc!$E943,2)&amp;Calc!$Q943&amp;"|"&amp;"1"&amp;RIGHT("00000"&amp;934,5))</f>
        <v/>
      </c>
      <c r="C939" t="str">
        <f t="shared" si="70"/>
        <v/>
      </c>
      <c r="D939" t="str">
        <f t="shared" si="71"/>
        <v/>
      </c>
      <c r="F939" t="str">
        <f>IF(Sync!$AH939="","",IF(LEFT(UPPER(TRIM(Sync!$AH939)),2)="SL",UPPER(TRIM(Sync!$AH939)),""))</f>
        <v/>
      </c>
      <c r="G939" t="str">
        <f>IF($F939="","",IF(Sync!$AE939="","",IF(ISNUMBER(Sync!$AE939),IF(AND(Sync!$AE939&gt;=10000101,Sync!$AE939&lt;=99991231),INT(Sync!$AE939/10000),""),IFERROR(VALUE(TRIM(LEFT(Sync!$AE939,FIND("/",Sync!$AE939)-1))),""))))</f>
        <v/>
      </c>
      <c r="H939" t="str">
        <f>IF(OR($F939="",$G939=""),"",IF(ISNUMBER(Sync!$AE939),INT(MOD(Sync!$AE939,10000)/100),IFERROR(VALUE(TRIM(LEFT(MID(Sync!$AE939,FIND("/",Sync!$AE939)+1,20),FIND("/",MID(Sync!$AE939,FIND("/",Sync!$AE939)+1,20))-1))),"")))</f>
        <v/>
      </c>
      <c r="I939" t="str">
        <f>IF(OR($F939="",$G939=""),"",IF(ISNUMBER(Sync!$AE939),MOD(Sync!$AE939,100),IFERROR(VALUE(TRIM(MID(MID(Sync!$AE939,FIND("/",Sync!$AE939)+1,20),FIND("/",MID(Sync!$AE939,FIND("/",Sync!$AE939)+1,20))+1,20))),"")))</f>
        <v/>
      </c>
      <c r="J939" t="str">
        <f t="shared" si="72"/>
        <v/>
      </c>
      <c r="K939" t="str">
        <f>IF(OR($F939="",$J939="",$J939="نامعتبر"),"",LEFT($J939,4)&amp;MID($J939,6,2)&amp;RIGHT($J939,2)&amp;$N939&amp;"|"&amp;"2"&amp;RIGHT("00000"&amp;934,5))</f>
        <v/>
      </c>
      <c r="L939" t="str">
        <f t="shared" si="73"/>
        <v/>
      </c>
      <c r="M939" t="str">
        <f t="shared" si="74"/>
        <v/>
      </c>
      <c r="N939" t="str">
        <f>IF($F939="","",IF(Sync!$AF939="","0000",IF(AND(ISNUMBER(Sync!$AF939),Sync!$AF939&gt;=0,Sync!$AF939&lt;1),RIGHT("00"&amp;HOUR(Sync!$AF939),2)&amp;RIGHT("00"&amp;MINUTE(Sync!$AF939),2),IFERROR(RIGHT("00"&amp;VALUE(LEFT(Sync!$AF939,FIND(":",Sync!$AF939)-1)),2)&amp;RIGHT("00"&amp;VALUE(MID(Sync!$AF939,FIND(":",Sync!$AF939)+1,2)),2),"0000"))))</f>
        <v/>
      </c>
    </row>
    <row r="940" spans="1:14" x14ac:dyDescent="0.2">
      <c r="A940" t="str">
        <f>IF(OR(Calc!$E944="",Calc!$E944="نامعتبر",Calc!$G944=""),"",Calc!$G944)</f>
        <v/>
      </c>
      <c r="B940" t="str">
        <f>IF($A940="","",LEFT(Calc!$E944,4)&amp;MID(Calc!$E944,6,2)&amp;RIGHT(Calc!$E944,2)&amp;Calc!$Q944&amp;"|"&amp;"1"&amp;RIGHT("00000"&amp;935,5))</f>
        <v/>
      </c>
      <c r="C940" t="str">
        <f t="shared" si="70"/>
        <v/>
      </c>
      <c r="D940" t="str">
        <f t="shared" si="71"/>
        <v/>
      </c>
      <c r="F940" t="str">
        <f>IF(Sync!$AH940="","",IF(LEFT(UPPER(TRIM(Sync!$AH940)),2)="SL",UPPER(TRIM(Sync!$AH940)),""))</f>
        <v/>
      </c>
      <c r="G940" t="str">
        <f>IF($F940="","",IF(Sync!$AE940="","",IF(ISNUMBER(Sync!$AE940),IF(AND(Sync!$AE940&gt;=10000101,Sync!$AE940&lt;=99991231),INT(Sync!$AE940/10000),""),IFERROR(VALUE(TRIM(LEFT(Sync!$AE940,FIND("/",Sync!$AE940)-1))),""))))</f>
        <v/>
      </c>
      <c r="H940" t="str">
        <f>IF(OR($F940="",$G940=""),"",IF(ISNUMBER(Sync!$AE940),INT(MOD(Sync!$AE940,10000)/100),IFERROR(VALUE(TRIM(LEFT(MID(Sync!$AE940,FIND("/",Sync!$AE940)+1,20),FIND("/",MID(Sync!$AE940,FIND("/",Sync!$AE940)+1,20))-1))),"")))</f>
        <v/>
      </c>
      <c r="I940" t="str">
        <f>IF(OR($F940="",$G940=""),"",IF(ISNUMBER(Sync!$AE940),MOD(Sync!$AE940,100),IFERROR(VALUE(TRIM(MID(MID(Sync!$AE940,FIND("/",Sync!$AE940)+1,20),FIND("/",MID(Sync!$AE940,FIND("/",Sync!$AE940)+1,20))+1,20))),"")))</f>
        <v/>
      </c>
      <c r="J940" t="str">
        <f t="shared" si="72"/>
        <v/>
      </c>
      <c r="K940" t="str">
        <f>IF(OR($F940="",$J940="",$J940="نامعتبر"),"",LEFT($J940,4)&amp;MID($J940,6,2)&amp;RIGHT($J940,2)&amp;$N940&amp;"|"&amp;"2"&amp;RIGHT("00000"&amp;935,5))</f>
        <v/>
      </c>
      <c r="L940" t="str">
        <f t="shared" si="73"/>
        <v/>
      </c>
      <c r="M940" t="str">
        <f t="shared" si="74"/>
        <v/>
      </c>
      <c r="N940" t="str">
        <f>IF($F940="","",IF(Sync!$AF940="","0000",IF(AND(ISNUMBER(Sync!$AF940),Sync!$AF940&gt;=0,Sync!$AF940&lt;1),RIGHT("00"&amp;HOUR(Sync!$AF940),2)&amp;RIGHT("00"&amp;MINUTE(Sync!$AF940),2),IFERROR(RIGHT("00"&amp;VALUE(LEFT(Sync!$AF940,FIND(":",Sync!$AF940)-1)),2)&amp;RIGHT("00"&amp;VALUE(MID(Sync!$AF940,FIND(":",Sync!$AF940)+1,2)),2),"0000"))))</f>
        <v/>
      </c>
    </row>
    <row r="941" spans="1:14" x14ac:dyDescent="0.2">
      <c r="A941" t="str">
        <f>IF(OR(Calc!$E945="",Calc!$E945="نامعتبر",Calc!$G945=""),"",Calc!$G945)</f>
        <v/>
      </c>
      <c r="B941" t="str">
        <f>IF($A941="","",LEFT(Calc!$E945,4)&amp;MID(Calc!$E945,6,2)&amp;RIGHT(Calc!$E945,2)&amp;Calc!$Q945&amp;"|"&amp;"1"&amp;RIGHT("00000"&amp;936,5))</f>
        <v/>
      </c>
      <c r="C941" t="str">
        <f t="shared" si="70"/>
        <v/>
      </c>
      <c r="D941" t="str">
        <f t="shared" si="71"/>
        <v/>
      </c>
      <c r="F941" t="str">
        <f>IF(Sync!$AH941="","",IF(LEFT(UPPER(TRIM(Sync!$AH941)),2)="SL",UPPER(TRIM(Sync!$AH941)),""))</f>
        <v/>
      </c>
      <c r="G941" t="str">
        <f>IF($F941="","",IF(Sync!$AE941="","",IF(ISNUMBER(Sync!$AE941),IF(AND(Sync!$AE941&gt;=10000101,Sync!$AE941&lt;=99991231),INT(Sync!$AE941/10000),""),IFERROR(VALUE(TRIM(LEFT(Sync!$AE941,FIND("/",Sync!$AE941)-1))),""))))</f>
        <v/>
      </c>
      <c r="H941" t="str">
        <f>IF(OR($F941="",$G941=""),"",IF(ISNUMBER(Sync!$AE941),INT(MOD(Sync!$AE941,10000)/100),IFERROR(VALUE(TRIM(LEFT(MID(Sync!$AE941,FIND("/",Sync!$AE941)+1,20),FIND("/",MID(Sync!$AE941,FIND("/",Sync!$AE941)+1,20))-1))),"")))</f>
        <v/>
      </c>
      <c r="I941" t="str">
        <f>IF(OR($F941="",$G941=""),"",IF(ISNUMBER(Sync!$AE941),MOD(Sync!$AE941,100),IFERROR(VALUE(TRIM(MID(MID(Sync!$AE941,FIND("/",Sync!$AE941)+1,20),FIND("/",MID(Sync!$AE941,FIND("/",Sync!$AE941)+1,20))+1,20))),"")))</f>
        <v/>
      </c>
      <c r="J941" t="str">
        <f t="shared" si="72"/>
        <v/>
      </c>
      <c r="K941" t="str">
        <f>IF(OR($F941="",$J941="",$J941="نامعتبر"),"",LEFT($J941,4)&amp;MID($J941,6,2)&amp;RIGHT($J941,2)&amp;$N941&amp;"|"&amp;"2"&amp;RIGHT("00000"&amp;936,5))</f>
        <v/>
      </c>
      <c r="L941" t="str">
        <f t="shared" si="73"/>
        <v/>
      </c>
      <c r="M941" t="str">
        <f t="shared" si="74"/>
        <v/>
      </c>
      <c r="N941" t="str">
        <f>IF($F941="","",IF(Sync!$AF941="","0000",IF(AND(ISNUMBER(Sync!$AF941),Sync!$AF941&gt;=0,Sync!$AF941&lt;1),RIGHT("00"&amp;HOUR(Sync!$AF941),2)&amp;RIGHT("00"&amp;MINUTE(Sync!$AF941),2),IFERROR(RIGHT("00"&amp;VALUE(LEFT(Sync!$AF941,FIND(":",Sync!$AF941)-1)),2)&amp;RIGHT("00"&amp;VALUE(MID(Sync!$AF941,FIND(":",Sync!$AF941)+1,2)),2),"0000"))))</f>
        <v/>
      </c>
    </row>
    <row r="942" spans="1:14" x14ac:dyDescent="0.2">
      <c r="A942" t="str">
        <f>IF(OR(Calc!$E946="",Calc!$E946="نامعتبر",Calc!$G946=""),"",Calc!$G946)</f>
        <v/>
      </c>
      <c r="B942" t="str">
        <f>IF($A942="","",LEFT(Calc!$E946,4)&amp;MID(Calc!$E946,6,2)&amp;RIGHT(Calc!$E946,2)&amp;Calc!$Q946&amp;"|"&amp;"1"&amp;RIGHT("00000"&amp;937,5))</f>
        <v/>
      </c>
      <c r="C942" t="str">
        <f t="shared" si="70"/>
        <v/>
      </c>
      <c r="D942" t="str">
        <f t="shared" si="71"/>
        <v/>
      </c>
      <c r="F942" t="str">
        <f>IF(Sync!$AH942="","",IF(LEFT(UPPER(TRIM(Sync!$AH942)),2)="SL",UPPER(TRIM(Sync!$AH942)),""))</f>
        <v/>
      </c>
      <c r="G942" t="str">
        <f>IF($F942="","",IF(Sync!$AE942="","",IF(ISNUMBER(Sync!$AE942),IF(AND(Sync!$AE942&gt;=10000101,Sync!$AE942&lt;=99991231),INT(Sync!$AE942/10000),""),IFERROR(VALUE(TRIM(LEFT(Sync!$AE942,FIND("/",Sync!$AE942)-1))),""))))</f>
        <v/>
      </c>
      <c r="H942" t="str">
        <f>IF(OR($F942="",$G942=""),"",IF(ISNUMBER(Sync!$AE942),INT(MOD(Sync!$AE942,10000)/100),IFERROR(VALUE(TRIM(LEFT(MID(Sync!$AE942,FIND("/",Sync!$AE942)+1,20),FIND("/",MID(Sync!$AE942,FIND("/",Sync!$AE942)+1,20))-1))),"")))</f>
        <v/>
      </c>
      <c r="I942" t="str">
        <f>IF(OR($F942="",$G942=""),"",IF(ISNUMBER(Sync!$AE942),MOD(Sync!$AE942,100),IFERROR(VALUE(TRIM(MID(MID(Sync!$AE942,FIND("/",Sync!$AE942)+1,20),FIND("/",MID(Sync!$AE942,FIND("/",Sync!$AE942)+1,20))+1,20))),"")))</f>
        <v/>
      </c>
      <c r="J942" t="str">
        <f t="shared" si="72"/>
        <v/>
      </c>
      <c r="K942" t="str">
        <f>IF(OR($F942="",$J942="",$J942="نامعتبر"),"",LEFT($J942,4)&amp;MID($J942,6,2)&amp;RIGHT($J942,2)&amp;$N942&amp;"|"&amp;"2"&amp;RIGHT("00000"&amp;937,5))</f>
        <v/>
      </c>
      <c r="L942" t="str">
        <f t="shared" si="73"/>
        <v/>
      </c>
      <c r="M942" t="str">
        <f t="shared" si="74"/>
        <v/>
      </c>
      <c r="N942" t="str">
        <f>IF($F942="","",IF(Sync!$AF942="","0000",IF(AND(ISNUMBER(Sync!$AF942),Sync!$AF942&gt;=0,Sync!$AF942&lt;1),RIGHT("00"&amp;HOUR(Sync!$AF942),2)&amp;RIGHT("00"&amp;MINUTE(Sync!$AF942),2),IFERROR(RIGHT("00"&amp;VALUE(LEFT(Sync!$AF942,FIND(":",Sync!$AF942)-1)),2)&amp;RIGHT("00"&amp;VALUE(MID(Sync!$AF942,FIND(":",Sync!$AF942)+1,2)),2),"0000"))))</f>
        <v/>
      </c>
    </row>
    <row r="943" spans="1:14" x14ac:dyDescent="0.2">
      <c r="A943" t="str">
        <f>IF(OR(Calc!$E947="",Calc!$E947="نامعتبر",Calc!$G947=""),"",Calc!$G947)</f>
        <v/>
      </c>
      <c r="B943" t="str">
        <f>IF($A943="","",LEFT(Calc!$E947,4)&amp;MID(Calc!$E947,6,2)&amp;RIGHT(Calc!$E947,2)&amp;Calc!$Q947&amp;"|"&amp;"1"&amp;RIGHT("00000"&amp;938,5))</f>
        <v/>
      </c>
      <c r="C943" t="str">
        <f t="shared" si="70"/>
        <v/>
      </c>
      <c r="D943" t="str">
        <f t="shared" si="71"/>
        <v/>
      </c>
      <c r="F943" t="str">
        <f>IF(Sync!$AH943="","",IF(LEFT(UPPER(TRIM(Sync!$AH943)),2)="SL",UPPER(TRIM(Sync!$AH943)),""))</f>
        <v/>
      </c>
      <c r="G943" t="str">
        <f>IF($F943="","",IF(Sync!$AE943="","",IF(ISNUMBER(Sync!$AE943),IF(AND(Sync!$AE943&gt;=10000101,Sync!$AE943&lt;=99991231),INT(Sync!$AE943/10000),""),IFERROR(VALUE(TRIM(LEFT(Sync!$AE943,FIND("/",Sync!$AE943)-1))),""))))</f>
        <v/>
      </c>
      <c r="H943" t="str">
        <f>IF(OR($F943="",$G943=""),"",IF(ISNUMBER(Sync!$AE943),INT(MOD(Sync!$AE943,10000)/100),IFERROR(VALUE(TRIM(LEFT(MID(Sync!$AE943,FIND("/",Sync!$AE943)+1,20),FIND("/",MID(Sync!$AE943,FIND("/",Sync!$AE943)+1,20))-1))),"")))</f>
        <v/>
      </c>
      <c r="I943" t="str">
        <f>IF(OR($F943="",$G943=""),"",IF(ISNUMBER(Sync!$AE943),MOD(Sync!$AE943,100),IFERROR(VALUE(TRIM(MID(MID(Sync!$AE943,FIND("/",Sync!$AE943)+1,20),FIND("/",MID(Sync!$AE943,FIND("/",Sync!$AE943)+1,20))+1,20))),"")))</f>
        <v/>
      </c>
      <c r="J943" t="str">
        <f t="shared" si="72"/>
        <v/>
      </c>
      <c r="K943" t="str">
        <f>IF(OR($F943="",$J943="",$J943="نامعتبر"),"",LEFT($J943,4)&amp;MID($J943,6,2)&amp;RIGHT($J943,2)&amp;$N943&amp;"|"&amp;"2"&amp;RIGHT("00000"&amp;938,5))</f>
        <v/>
      </c>
      <c r="L943" t="str">
        <f t="shared" si="73"/>
        <v/>
      </c>
      <c r="M943" t="str">
        <f t="shared" si="74"/>
        <v/>
      </c>
      <c r="N943" t="str">
        <f>IF($F943="","",IF(Sync!$AF943="","0000",IF(AND(ISNUMBER(Sync!$AF943),Sync!$AF943&gt;=0,Sync!$AF943&lt;1),RIGHT("00"&amp;HOUR(Sync!$AF943),2)&amp;RIGHT("00"&amp;MINUTE(Sync!$AF943),2),IFERROR(RIGHT("00"&amp;VALUE(LEFT(Sync!$AF943,FIND(":",Sync!$AF943)-1)),2)&amp;RIGHT("00"&amp;VALUE(MID(Sync!$AF943,FIND(":",Sync!$AF943)+1,2)),2),"0000"))))</f>
        <v/>
      </c>
    </row>
    <row r="944" spans="1:14" x14ac:dyDescent="0.2">
      <c r="A944" t="str">
        <f>IF(OR(Calc!$E948="",Calc!$E948="نامعتبر",Calc!$G948=""),"",Calc!$G948)</f>
        <v/>
      </c>
      <c r="B944" t="str">
        <f>IF($A944="","",LEFT(Calc!$E948,4)&amp;MID(Calc!$E948,6,2)&amp;RIGHT(Calc!$E948,2)&amp;Calc!$Q948&amp;"|"&amp;"1"&amp;RIGHT("00000"&amp;939,5))</f>
        <v/>
      </c>
      <c r="C944" t="str">
        <f t="shared" si="70"/>
        <v/>
      </c>
      <c r="D944" t="str">
        <f t="shared" si="71"/>
        <v/>
      </c>
      <c r="F944" t="str">
        <f>IF(Sync!$AH944="","",IF(LEFT(UPPER(TRIM(Sync!$AH944)),2)="SL",UPPER(TRIM(Sync!$AH944)),""))</f>
        <v/>
      </c>
      <c r="G944" t="str">
        <f>IF($F944="","",IF(Sync!$AE944="","",IF(ISNUMBER(Sync!$AE944),IF(AND(Sync!$AE944&gt;=10000101,Sync!$AE944&lt;=99991231),INT(Sync!$AE944/10000),""),IFERROR(VALUE(TRIM(LEFT(Sync!$AE944,FIND("/",Sync!$AE944)-1))),""))))</f>
        <v/>
      </c>
      <c r="H944" t="str">
        <f>IF(OR($F944="",$G944=""),"",IF(ISNUMBER(Sync!$AE944),INT(MOD(Sync!$AE944,10000)/100),IFERROR(VALUE(TRIM(LEFT(MID(Sync!$AE944,FIND("/",Sync!$AE944)+1,20),FIND("/",MID(Sync!$AE944,FIND("/",Sync!$AE944)+1,20))-1))),"")))</f>
        <v/>
      </c>
      <c r="I944" t="str">
        <f>IF(OR($F944="",$G944=""),"",IF(ISNUMBER(Sync!$AE944),MOD(Sync!$AE944,100),IFERROR(VALUE(TRIM(MID(MID(Sync!$AE944,FIND("/",Sync!$AE944)+1,20),FIND("/",MID(Sync!$AE944,FIND("/",Sync!$AE944)+1,20))+1,20))),"")))</f>
        <v/>
      </c>
      <c r="J944" t="str">
        <f t="shared" si="72"/>
        <v/>
      </c>
      <c r="K944" t="str">
        <f>IF(OR($F944="",$J944="",$J944="نامعتبر"),"",LEFT($J944,4)&amp;MID($J944,6,2)&amp;RIGHT($J944,2)&amp;$N944&amp;"|"&amp;"2"&amp;RIGHT("00000"&amp;939,5))</f>
        <v/>
      </c>
      <c r="L944" t="str">
        <f t="shared" si="73"/>
        <v/>
      </c>
      <c r="M944" t="str">
        <f t="shared" si="74"/>
        <v/>
      </c>
      <c r="N944" t="str">
        <f>IF($F944="","",IF(Sync!$AF944="","0000",IF(AND(ISNUMBER(Sync!$AF944),Sync!$AF944&gt;=0,Sync!$AF944&lt;1),RIGHT("00"&amp;HOUR(Sync!$AF944),2)&amp;RIGHT("00"&amp;MINUTE(Sync!$AF944),2),IFERROR(RIGHT("00"&amp;VALUE(LEFT(Sync!$AF944,FIND(":",Sync!$AF944)-1)),2)&amp;RIGHT("00"&amp;VALUE(MID(Sync!$AF944,FIND(":",Sync!$AF944)+1,2)),2),"0000"))))</f>
        <v/>
      </c>
    </row>
    <row r="945" spans="1:14" x14ac:dyDescent="0.2">
      <c r="A945" t="str">
        <f>IF(OR(Calc!$E949="",Calc!$E949="نامعتبر",Calc!$G949=""),"",Calc!$G949)</f>
        <v/>
      </c>
      <c r="B945" t="str">
        <f>IF($A945="","",LEFT(Calc!$E949,4)&amp;MID(Calc!$E949,6,2)&amp;RIGHT(Calc!$E949,2)&amp;Calc!$Q949&amp;"|"&amp;"1"&amp;RIGHT("00000"&amp;940,5))</f>
        <v/>
      </c>
      <c r="C945" t="str">
        <f t="shared" si="70"/>
        <v/>
      </c>
      <c r="D945" t="str">
        <f t="shared" si="71"/>
        <v/>
      </c>
      <c r="F945" t="str">
        <f>IF(Sync!$AH945="","",IF(LEFT(UPPER(TRIM(Sync!$AH945)),2)="SL",UPPER(TRIM(Sync!$AH945)),""))</f>
        <v/>
      </c>
      <c r="G945" t="str">
        <f>IF($F945="","",IF(Sync!$AE945="","",IF(ISNUMBER(Sync!$AE945),IF(AND(Sync!$AE945&gt;=10000101,Sync!$AE945&lt;=99991231),INT(Sync!$AE945/10000),""),IFERROR(VALUE(TRIM(LEFT(Sync!$AE945,FIND("/",Sync!$AE945)-1))),""))))</f>
        <v/>
      </c>
      <c r="H945" t="str">
        <f>IF(OR($F945="",$G945=""),"",IF(ISNUMBER(Sync!$AE945),INT(MOD(Sync!$AE945,10000)/100),IFERROR(VALUE(TRIM(LEFT(MID(Sync!$AE945,FIND("/",Sync!$AE945)+1,20),FIND("/",MID(Sync!$AE945,FIND("/",Sync!$AE945)+1,20))-1))),"")))</f>
        <v/>
      </c>
      <c r="I945" t="str">
        <f>IF(OR($F945="",$G945=""),"",IF(ISNUMBER(Sync!$AE945),MOD(Sync!$AE945,100),IFERROR(VALUE(TRIM(MID(MID(Sync!$AE945,FIND("/",Sync!$AE945)+1,20),FIND("/",MID(Sync!$AE945,FIND("/",Sync!$AE945)+1,20))+1,20))),"")))</f>
        <v/>
      </c>
      <c r="J945" t="str">
        <f t="shared" si="72"/>
        <v/>
      </c>
      <c r="K945" t="str">
        <f>IF(OR($F945="",$J945="",$J945="نامعتبر"),"",LEFT($J945,4)&amp;MID($J945,6,2)&amp;RIGHT($J945,2)&amp;$N945&amp;"|"&amp;"2"&amp;RIGHT("00000"&amp;940,5))</f>
        <v/>
      </c>
      <c r="L945" t="str">
        <f t="shared" si="73"/>
        <v/>
      </c>
      <c r="M945" t="str">
        <f t="shared" si="74"/>
        <v/>
      </c>
      <c r="N945" t="str">
        <f>IF($F945="","",IF(Sync!$AF945="","0000",IF(AND(ISNUMBER(Sync!$AF945),Sync!$AF945&gt;=0,Sync!$AF945&lt;1),RIGHT("00"&amp;HOUR(Sync!$AF945),2)&amp;RIGHT("00"&amp;MINUTE(Sync!$AF945),2),IFERROR(RIGHT("00"&amp;VALUE(LEFT(Sync!$AF945,FIND(":",Sync!$AF945)-1)),2)&amp;RIGHT("00"&amp;VALUE(MID(Sync!$AF945,FIND(":",Sync!$AF945)+1,2)),2),"0000"))))</f>
        <v/>
      </c>
    </row>
    <row r="946" spans="1:14" x14ac:dyDescent="0.2">
      <c r="A946" t="str">
        <f>IF(OR(Calc!$E950="",Calc!$E950="نامعتبر",Calc!$G950=""),"",Calc!$G950)</f>
        <v/>
      </c>
      <c r="B946" t="str">
        <f>IF($A946="","",LEFT(Calc!$E950,4)&amp;MID(Calc!$E950,6,2)&amp;RIGHT(Calc!$E950,2)&amp;Calc!$Q950&amp;"|"&amp;"1"&amp;RIGHT("00000"&amp;941,5))</f>
        <v/>
      </c>
      <c r="C946" t="str">
        <f t="shared" si="70"/>
        <v/>
      </c>
      <c r="D946" t="str">
        <f t="shared" si="71"/>
        <v/>
      </c>
      <c r="F946" t="str">
        <f>IF(Sync!$AH946="","",IF(LEFT(UPPER(TRIM(Sync!$AH946)),2)="SL",UPPER(TRIM(Sync!$AH946)),""))</f>
        <v/>
      </c>
      <c r="G946" t="str">
        <f>IF($F946="","",IF(Sync!$AE946="","",IF(ISNUMBER(Sync!$AE946),IF(AND(Sync!$AE946&gt;=10000101,Sync!$AE946&lt;=99991231),INT(Sync!$AE946/10000),""),IFERROR(VALUE(TRIM(LEFT(Sync!$AE946,FIND("/",Sync!$AE946)-1))),""))))</f>
        <v/>
      </c>
      <c r="H946" t="str">
        <f>IF(OR($F946="",$G946=""),"",IF(ISNUMBER(Sync!$AE946),INT(MOD(Sync!$AE946,10000)/100),IFERROR(VALUE(TRIM(LEFT(MID(Sync!$AE946,FIND("/",Sync!$AE946)+1,20),FIND("/",MID(Sync!$AE946,FIND("/",Sync!$AE946)+1,20))-1))),"")))</f>
        <v/>
      </c>
      <c r="I946" t="str">
        <f>IF(OR($F946="",$G946=""),"",IF(ISNUMBER(Sync!$AE946),MOD(Sync!$AE946,100),IFERROR(VALUE(TRIM(MID(MID(Sync!$AE946,FIND("/",Sync!$AE946)+1,20),FIND("/",MID(Sync!$AE946,FIND("/",Sync!$AE946)+1,20))+1,20))),"")))</f>
        <v/>
      </c>
      <c r="J946" t="str">
        <f t="shared" si="72"/>
        <v/>
      </c>
      <c r="K946" t="str">
        <f>IF(OR($F946="",$J946="",$J946="نامعتبر"),"",LEFT($J946,4)&amp;MID($J946,6,2)&amp;RIGHT($J946,2)&amp;$N946&amp;"|"&amp;"2"&amp;RIGHT("00000"&amp;941,5))</f>
        <v/>
      </c>
      <c r="L946" t="str">
        <f t="shared" si="73"/>
        <v/>
      </c>
      <c r="M946" t="str">
        <f t="shared" si="74"/>
        <v/>
      </c>
      <c r="N946" t="str">
        <f>IF($F946="","",IF(Sync!$AF946="","0000",IF(AND(ISNUMBER(Sync!$AF946),Sync!$AF946&gt;=0,Sync!$AF946&lt;1),RIGHT("00"&amp;HOUR(Sync!$AF946),2)&amp;RIGHT("00"&amp;MINUTE(Sync!$AF946),2),IFERROR(RIGHT("00"&amp;VALUE(LEFT(Sync!$AF946,FIND(":",Sync!$AF946)-1)),2)&amp;RIGHT("00"&amp;VALUE(MID(Sync!$AF946,FIND(":",Sync!$AF946)+1,2)),2),"0000"))))</f>
        <v/>
      </c>
    </row>
    <row r="947" spans="1:14" x14ac:dyDescent="0.2">
      <c r="A947" t="str">
        <f>IF(OR(Calc!$E951="",Calc!$E951="نامعتبر",Calc!$G951=""),"",Calc!$G951)</f>
        <v/>
      </c>
      <c r="B947" t="str">
        <f>IF($A947="","",LEFT(Calc!$E951,4)&amp;MID(Calc!$E951,6,2)&amp;RIGHT(Calc!$E951,2)&amp;Calc!$Q951&amp;"|"&amp;"1"&amp;RIGHT("00000"&amp;942,5))</f>
        <v/>
      </c>
      <c r="C947" t="str">
        <f t="shared" si="70"/>
        <v/>
      </c>
      <c r="D947" t="str">
        <f t="shared" si="71"/>
        <v/>
      </c>
      <c r="F947" t="str">
        <f>IF(Sync!$AH947="","",IF(LEFT(UPPER(TRIM(Sync!$AH947)),2)="SL",UPPER(TRIM(Sync!$AH947)),""))</f>
        <v/>
      </c>
      <c r="G947" t="str">
        <f>IF($F947="","",IF(Sync!$AE947="","",IF(ISNUMBER(Sync!$AE947),IF(AND(Sync!$AE947&gt;=10000101,Sync!$AE947&lt;=99991231),INT(Sync!$AE947/10000),""),IFERROR(VALUE(TRIM(LEFT(Sync!$AE947,FIND("/",Sync!$AE947)-1))),""))))</f>
        <v/>
      </c>
      <c r="H947" t="str">
        <f>IF(OR($F947="",$G947=""),"",IF(ISNUMBER(Sync!$AE947),INT(MOD(Sync!$AE947,10000)/100),IFERROR(VALUE(TRIM(LEFT(MID(Sync!$AE947,FIND("/",Sync!$AE947)+1,20),FIND("/",MID(Sync!$AE947,FIND("/",Sync!$AE947)+1,20))-1))),"")))</f>
        <v/>
      </c>
      <c r="I947" t="str">
        <f>IF(OR($F947="",$G947=""),"",IF(ISNUMBER(Sync!$AE947),MOD(Sync!$AE947,100),IFERROR(VALUE(TRIM(MID(MID(Sync!$AE947,FIND("/",Sync!$AE947)+1,20),FIND("/",MID(Sync!$AE947,FIND("/",Sync!$AE947)+1,20))+1,20))),"")))</f>
        <v/>
      </c>
      <c r="J947" t="str">
        <f t="shared" si="72"/>
        <v/>
      </c>
      <c r="K947" t="str">
        <f>IF(OR($F947="",$J947="",$J947="نامعتبر"),"",LEFT($J947,4)&amp;MID($J947,6,2)&amp;RIGHT($J947,2)&amp;$N947&amp;"|"&amp;"2"&amp;RIGHT("00000"&amp;942,5))</f>
        <v/>
      </c>
      <c r="L947" t="str">
        <f t="shared" si="73"/>
        <v/>
      </c>
      <c r="M947" t="str">
        <f t="shared" si="74"/>
        <v/>
      </c>
      <c r="N947" t="str">
        <f>IF($F947="","",IF(Sync!$AF947="","0000",IF(AND(ISNUMBER(Sync!$AF947),Sync!$AF947&gt;=0,Sync!$AF947&lt;1),RIGHT("00"&amp;HOUR(Sync!$AF947),2)&amp;RIGHT("00"&amp;MINUTE(Sync!$AF947),2),IFERROR(RIGHT("00"&amp;VALUE(LEFT(Sync!$AF947,FIND(":",Sync!$AF947)-1)),2)&amp;RIGHT("00"&amp;VALUE(MID(Sync!$AF947,FIND(":",Sync!$AF947)+1,2)),2),"0000"))))</f>
        <v/>
      </c>
    </row>
    <row r="948" spans="1:14" x14ac:dyDescent="0.2">
      <c r="A948" t="str">
        <f>IF(OR(Calc!$E952="",Calc!$E952="نامعتبر",Calc!$G952=""),"",Calc!$G952)</f>
        <v/>
      </c>
      <c r="B948" t="str">
        <f>IF($A948="","",LEFT(Calc!$E952,4)&amp;MID(Calc!$E952,6,2)&amp;RIGHT(Calc!$E952,2)&amp;Calc!$Q952&amp;"|"&amp;"1"&amp;RIGHT("00000"&amp;943,5))</f>
        <v/>
      </c>
      <c r="C948" t="str">
        <f t="shared" si="70"/>
        <v/>
      </c>
      <c r="D948" t="str">
        <f t="shared" si="71"/>
        <v/>
      </c>
      <c r="F948" t="str">
        <f>IF(Sync!$AH948="","",IF(LEFT(UPPER(TRIM(Sync!$AH948)),2)="SL",UPPER(TRIM(Sync!$AH948)),""))</f>
        <v/>
      </c>
      <c r="G948" t="str">
        <f>IF($F948="","",IF(Sync!$AE948="","",IF(ISNUMBER(Sync!$AE948),IF(AND(Sync!$AE948&gt;=10000101,Sync!$AE948&lt;=99991231),INT(Sync!$AE948/10000),""),IFERROR(VALUE(TRIM(LEFT(Sync!$AE948,FIND("/",Sync!$AE948)-1))),""))))</f>
        <v/>
      </c>
      <c r="H948" t="str">
        <f>IF(OR($F948="",$G948=""),"",IF(ISNUMBER(Sync!$AE948),INT(MOD(Sync!$AE948,10000)/100),IFERROR(VALUE(TRIM(LEFT(MID(Sync!$AE948,FIND("/",Sync!$AE948)+1,20),FIND("/",MID(Sync!$AE948,FIND("/",Sync!$AE948)+1,20))-1))),"")))</f>
        <v/>
      </c>
      <c r="I948" t="str">
        <f>IF(OR($F948="",$G948=""),"",IF(ISNUMBER(Sync!$AE948),MOD(Sync!$AE948,100),IFERROR(VALUE(TRIM(MID(MID(Sync!$AE948,FIND("/",Sync!$AE948)+1,20),FIND("/",MID(Sync!$AE948,FIND("/",Sync!$AE948)+1,20))+1,20))),"")))</f>
        <v/>
      </c>
      <c r="J948" t="str">
        <f t="shared" si="72"/>
        <v/>
      </c>
      <c r="K948" t="str">
        <f>IF(OR($F948="",$J948="",$J948="نامعتبر"),"",LEFT($J948,4)&amp;MID($J948,6,2)&amp;RIGHT($J948,2)&amp;$N948&amp;"|"&amp;"2"&amp;RIGHT("00000"&amp;943,5))</f>
        <v/>
      </c>
      <c r="L948" t="str">
        <f t="shared" si="73"/>
        <v/>
      </c>
      <c r="M948" t="str">
        <f t="shared" si="74"/>
        <v/>
      </c>
      <c r="N948" t="str">
        <f>IF($F948="","",IF(Sync!$AF948="","0000",IF(AND(ISNUMBER(Sync!$AF948),Sync!$AF948&gt;=0,Sync!$AF948&lt;1),RIGHT("00"&amp;HOUR(Sync!$AF948),2)&amp;RIGHT("00"&amp;MINUTE(Sync!$AF948),2),IFERROR(RIGHT("00"&amp;VALUE(LEFT(Sync!$AF948,FIND(":",Sync!$AF948)-1)),2)&amp;RIGHT("00"&amp;VALUE(MID(Sync!$AF948,FIND(":",Sync!$AF948)+1,2)),2),"0000"))))</f>
        <v/>
      </c>
    </row>
    <row r="949" spans="1:14" x14ac:dyDescent="0.2">
      <c r="A949" t="str">
        <f>IF(OR(Calc!$E953="",Calc!$E953="نامعتبر",Calc!$G953=""),"",Calc!$G953)</f>
        <v/>
      </c>
      <c r="B949" t="str">
        <f>IF($A949="","",LEFT(Calc!$E953,4)&amp;MID(Calc!$E953,6,2)&amp;RIGHT(Calc!$E953,2)&amp;Calc!$Q953&amp;"|"&amp;"1"&amp;RIGHT("00000"&amp;944,5))</f>
        <v/>
      </c>
      <c r="C949" t="str">
        <f t="shared" si="70"/>
        <v/>
      </c>
      <c r="D949" t="str">
        <f t="shared" si="71"/>
        <v/>
      </c>
      <c r="F949" t="str">
        <f>IF(Sync!$AH949="","",IF(LEFT(UPPER(TRIM(Sync!$AH949)),2)="SL",UPPER(TRIM(Sync!$AH949)),""))</f>
        <v/>
      </c>
      <c r="G949" t="str">
        <f>IF($F949="","",IF(Sync!$AE949="","",IF(ISNUMBER(Sync!$AE949),IF(AND(Sync!$AE949&gt;=10000101,Sync!$AE949&lt;=99991231),INT(Sync!$AE949/10000),""),IFERROR(VALUE(TRIM(LEFT(Sync!$AE949,FIND("/",Sync!$AE949)-1))),""))))</f>
        <v/>
      </c>
      <c r="H949" t="str">
        <f>IF(OR($F949="",$G949=""),"",IF(ISNUMBER(Sync!$AE949),INT(MOD(Sync!$AE949,10000)/100),IFERROR(VALUE(TRIM(LEFT(MID(Sync!$AE949,FIND("/",Sync!$AE949)+1,20),FIND("/",MID(Sync!$AE949,FIND("/",Sync!$AE949)+1,20))-1))),"")))</f>
        <v/>
      </c>
      <c r="I949" t="str">
        <f>IF(OR($F949="",$G949=""),"",IF(ISNUMBER(Sync!$AE949),MOD(Sync!$AE949,100),IFERROR(VALUE(TRIM(MID(MID(Sync!$AE949,FIND("/",Sync!$AE949)+1,20),FIND("/",MID(Sync!$AE949,FIND("/",Sync!$AE949)+1,20))+1,20))),"")))</f>
        <v/>
      </c>
      <c r="J949" t="str">
        <f t="shared" si="72"/>
        <v/>
      </c>
      <c r="K949" t="str">
        <f>IF(OR($F949="",$J949="",$J949="نامعتبر"),"",LEFT($J949,4)&amp;MID($J949,6,2)&amp;RIGHT($J949,2)&amp;$N949&amp;"|"&amp;"2"&amp;RIGHT("00000"&amp;944,5))</f>
        <v/>
      </c>
      <c r="L949" t="str">
        <f t="shared" si="73"/>
        <v/>
      </c>
      <c r="M949" t="str">
        <f t="shared" si="74"/>
        <v/>
      </c>
      <c r="N949" t="str">
        <f>IF($F949="","",IF(Sync!$AF949="","0000",IF(AND(ISNUMBER(Sync!$AF949),Sync!$AF949&gt;=0,Sync!$AF949&lt;1),RIGHT("00"&amp;HOUR(Sync!$AF949),2)&amp;RIGHT("00"&amp;MINUTE(Sync!$AF949),2),IFERROR(RIGHT("00"&amp;VALUE(LEFT(Sync!$AF949,FIND(":",Sync!$AF949)-1)),2)&amp;RIGHT("00"&amp;VALUE(MID(Sync!$AF949,FIND(":",Sync!$AF949)+1,2)),2),"0000"))))</f>
        <v/>
      </c>
    </row>
    <row r="950" spans="1:14" x14ac:dyDescent="0.2">
      <c r="A950" t="str">
        <f>IF(OR(Calc!$E954="",Calc!$E954="نامعتبر",Calc!$G954=""),"",Calc!$G954)</f>
        <v/>
      </c>
      <c r="B950" t="str">
        <f>IF($A950="","",LEFT(Calc!$E954,4)&amp;MID(Calc!$E954,6,2)&amp;RIGHT(Calc!$E954,2)&amp;Calc!$Q954&amp;"|"&amp;"1"&amp;RIGHT("00000"&amp;945,5))</f>
        <v/>
      </c>
      <c r="C950" t="str">
        <f t="shared" si="70"/>
        <v/>
      </c>
      <c r="D950" t="str">
        <f t="shared" si="71"/>
        <v/>
      </c>
      <c r="F950" t="str">
        <f>IF(Sync!$AH950="","",IF(LEFT(UPPER(TRIM(Sync!$AH950)),2)="SL",UPPER(TRIM(Sync!$AH950)),""))</f>
        <v/>
      </c>
      <c r="G950" t="str">
        <f>IF($F950="","",IF(Sync!$AE950="","",IF(ISNUMBER(Sync!$AE950),IF(AND(Sync!$AE950&gt;=10000101,Sync!$AE950&lt;=99991231),INT(Sync!$AE950/10000),""),IFERROR(VALUE(TRIM(LEFT(Sync!$AE950,FIND("/",Sync!$AE950)-1))),""))))</f>
        <v/>
      </c>
      <c r="H950" t="str">
        <f>IF(OR($F950="",$G950=""),"",IF(ISNUMBER(Sync!$AE950),INT(MOD(Sync!$AE950,10000)/100),IFERROR(VALUE(TRIM(LEFT(MID(Sync!$AE950,FIND("/",Sync!$AE950)+1,20),FIND("/",MID(Sync!$AE950,FIND("/",Sync!$AE950)+1,20))-1))),"")))</f>
        <v/>
      </c>
      <c r="I950" t="str">
        <f>IF(OR($F950="",$G950=""),"",IF(ISNUMBER(Sync!$AE950),MOD(Sync!$AE950,100),IFERROR(VALUE(TRIM(MID(MID(Sync!$AE950,FIND("/",Sync!$AE950)+1,20),FIND("/",MID(Sync!$AE950,FIND("/",Sync!$AE950)+1,20))+1,20))),"")))</f>
        <v/>
      </c>
      <c r="J950" t="str">
        <f t="shared" si="72"/>
        <v/>
      </c>
      <c r="K950" t="str">
        <f>IF(OR($F950="",$J950="",$J950="نامعتبر"),"",LEFT($J950,4)&amp;MID($J950,6,2)&amp;RIGHT($J950,2)&amp;$N950&amp;"|"&amp;"2"&amp;RIGHT("00000"&amp;945,5))</f>
        <v/>
      </c>
      <c r="L950" t="str">
        <f t="shared" si="73"/>
        <v/>
      </c>
      <c r="M950" t="str">
        <f t="shared" si="74"/>
        <v/>
      </c>
      <c r="N950" t="str">
        <f>IF($F950="","",IF(Sync!$AF950="","0000",IF(AND(ISNUMBER(Sync!$AF950),Sync!$AF950&gt;=0,Sync!$AF950&lt;1),RIGHT("00"&amp;HOUR(Sync!$AF950),2)&amp;RIGHT("00"&amp;MINUTE(Sync!$AF950),2),IFERROR(RIGHT("00"&amp;VALUE(LEFT(Sync!$AF950,FIND(":",Sync!$AF950)-1)),2)&amp;RIGHT("00"&amp;VALUE(MID(Sync!$AF950,FIND(":",Sync!$AF950)+1,2)),2),"0000"))))</f>
        <v/>
      </c>
    </row>
    <row r="951" spans="1:14" x14ac:dyDescent="0.2">
      <c r="A951" t="str">
        <f>IF(OR(Calc!$E955="",Calc!$E955="نامعتبر",Calc!$G955=""),"",Calc!$G955)</f>
        <v/>
      </c>
      <c r="B951" t="str">
        <f>IF($A951="","",LEFT(Calc!$E955,4)&amp;MID(Calc!$E955,6,2)&amp;RIGHT(Calc!$E955,2)&amp;Calc!$Q955&amp;"|"&amp;"1"&amp;RIGHT("00000"&amp;946,5))</f>
        <v/>
      </c>
      <c r="C951" t="str">
        <f t="shared" si="70"/>
        <v/>
      </c>
      <c r="D951" t="str">
        <f t="shared" si="71"/>
        <v/>
      </c>
      <c r="F951" t="str">
        <f>IF(Sync!$AH951="","",IF(LEFT(UPPER(TRIM(Sync!$AH951)),2)="SL",UPPER(TRIM(Sync!$AH951)),""))</f>
        <v/>
      </c>
      <c r="G951" t="str">
        <f>IF($F951="","",IF(Sync!$AE951="","",IF(ISNUMBER(Sync!$AE951),IF(AND(Sync!$AE951&gt;=10000101,Sync!$AE951&lt;=99991231),INT(Sync!$AE951/10000),""),IFERROR(VALUE(TRIM(LEFT(Sync!$AE951,FIND("/",Sync!$AE951)-1))),""))))</f>
        <v/>
      </c>
      <c r="H951" t="str">
        <f>IF(OR($F951="",$G951=""),"",IF(ISNUMBER(Sync!$AE951),INT(MOD(Sync!$AE951,10000)/100),IFERROR(VALUE(TRIM(LEFT(MID(Sync!$AE951,FIND("/",Sync!$AE951)+1,20),FIND("/",MID(Sync!$AE951,FIND("/",Sync!$AE951)+1,20))-1))),"")))</f>
        <v/>
      </c>
      <c r="I951" t="str">
        <f>IF(OR($F951="",$G951=""),"",IF(ISNUMBER(Sync!$AE951),MOD(Sync!$AE951,100),IFERROR(VALUE(TRIM(MID(MID(Sync!$AE951,FIND("/",Sync!$AE951)+1,20),FIND("/",MID(Sync!$AE951,FIND("/",Sync!$AE951)+1,20))+1,20))),"")))</f>
        <v/>
      </c>
      <c r="J951" t="str">
        <f t="shared" si="72"/>
        <v/>
      </c>
      <c r="K951" t="str">
        <f>IF(OR($F951="",$J951="",$J951="نامعتبر"),"",LEFT($J951,4)&amp;MID($J951,6,2)&amp;RIGHT($J951,2)&amp;$N951&amp;"|"&amp;"2"&amp;RIGHT("00000"&amp;946,5))</f>
        <v/>
      </c>
      <c r="L951" t="str">
        <f t="shared" si="73"/>
        <v/>
      </c>
      <c r="M951" t="str">
        <f t="shared" si="74"/>
        <v/>
      </c>
      <c r="N951" t="str">
        <f>IF($F951="","",IF(Sync!$AF951="","0000",IF(AND(ISNUMBER(Sync!$AF951),Sync!$AF951&gt;=0,Sync!$AF951&lt;1),RIGHT("00"&amp;HOUR(Sync!$AF951),2)&amp;RIGHT("00"&amp;MINUTE(Sync!$AF951),2),IFERROR(RIGHT("00"&amp;VALUE(LEFT(Sync!$AF951,FIND(":",Sync!$AF951)-1)),2)&amp;RIGHT("00"&amp;VALUE(MID(Sync!$AF951,FIND(":",Sync!$AF951)+1,2)),2),"0000"))))</f>
        <v/>
      </c>
    </row>
    <row r="952" spans="1:14" x14ac:dyDescent="0.2">
      <c r="A952" t="str">
        <f>IF(OR(Calc!$E956="",Calc!$E956="نامعتبر",Calc!$G956=""),"",Calc!$G956)</f>
        <v/>
      </c>
      <c r="B952" t="str">
        <f>IF($A952="","",LEFT(Calc!$E956,4)&amp;MID(Calc!$E956,6,2)&amp;RIGHT(Calc!$E956,2)&amp;Calc!$Q956&amp;"|"&amp;"1"&amp;RIGHT("00000"&amp;947,5))</f>
        <v/>
      </c>
      <c r="C952" t="str">
        <f t="shared" si="70"/>
        <v/>
      </c>
      <c r="D952" t="str">
        <f t="shared" si="71"/>
        <v/>
      </c>
      <c r="F952" t="str">
        <f>IF(Sync!$AH952="","",IF(LEFT(UPPER(TRIM(Sync!$AH952)),2)="SL",UPPER(TRIM(Sync!$AH952)),""))</f>
        <v/>
      </c>
      <c r="G952" t="str">
        <f>IF($F952="","",IF(Sync!$AE952="","",IF(ISNUMBER(Sync!$AE952),IF(AND(Sync!$AE952&gt;=10000101,Sync!$AE952&lt;=99991231),INT(Sync!$AE952/10000),""),IFERROR(VALUE(TRIM(LEFT(Sync!$AE952,FIND("/",Sync!$AE952)-1))),""))))</f>
        <v/>
      </c>
      <c r="H952" t="str">
        <f>IF(OR($F952="",$G952=""),"",IF(ISNUMBER(Sync!$AE952),INT(MOD(Sync!$AE952,10000)/100),IFERROR(VALUE(TRIM(LEFT(MID(Sync!$AE952,FIND("/",Sync!$AE952)+1,20),FIND("/",MID(Sync!$AE952,FIND("/",Sync!$AE952)+1,20))-1))),"")))</f>
        <v/>
      </c>
      <c r="I952" t="str">
        <f>IF(OR($F952="",$G952=""),"",IF(ISNUMBER(Sync!$AE952),MOD(Sync!$AE952,100),IFERROR(VALUE(TRIM(MID(MID(Sync!$AE952,FIND("/",Sync!$AE952)+1,20),FIND("/",MID(Sync!$AE952,FIND("/",Sync!$AE952)+1,20))+1,20))),"")))</f>
        <v/>
      </c>
      <c r="J952" t="str">
        <f t="shared" si="72"/>
        <v/>
      </c>
      <c r="K952" t="str">
        <f>IF(OR($F952="",$J952="",$J952="نامعتبر"),"",LEFT($J952,4)&amp;MID($J952,6,2)&amp;RIGHT($J952,2)&amp;$N952&amp;"|"&amp;"2"&amp;RIGHT("00000"&amp;947,5))</f>
        <v/>
      </c>
      <c r="L952" t="str">
        <f t="shared" si="73"/>
        <v/>
      </c>
      <c r="M952" t="str">
        <f t="shared" si="74"/>
        <v/>
      </c>
      <c r="N952" t="str">
        <f>IF($F952="","",IF(Sync!$AF952="","0000",IF(AND(ISNUMBER(Sync!$AF952),Sync!$AF952&gt;=0,Sync!$AF952&lt;1),RIGHT("00"&amp;HOUR(Sync!$AF952),2)&amp;RIGHT("00"&amp;MINUTE(Sync!$AF952),2),IFERROR(RIGHT("00"&amp;VALUE(LEFT(Sync!$AF952,FIND(":",Sync!$AF952)-1)),2)&amp;RIGHT("00"&amp;VALUE(MID(Sync!$AF952,FIND(":",Sync!$AF952)+1,2)),2),"0000"))))</f>
        <v/>
      </c>
    </row>
    <row r="953" spans="1:14" x14ac:dyDescent="0.2">
      <c r="A953" t="str">
        <f>IF(OR(Calc!$E957="",Calc!$E957="نامعتبر",Calc!$G957=""),"",Calc!$G957)</f>
        <v/>
      </c>
      <c r="B953" t="str">
        <f>IF($A953="","",LEFT(Calc!$E957,4)&amp;MID(Calc!$E957,6,2)&amp;RIGHT(Calc!$E957,2)&amp;Calc!$Q957&amp;"|"&amp;"1"&amp;RIGHT("00000"&amp;948,5))</f>
        <v/>
      </c>
      <c r="C953" t="str">
        <f t="shared" si="70"/>
        <v/>
      </c>
      <c r="D953" t="str">
        <f t="shared" si="71"/>
        <v/>
      </c>
      <c r="F953" t="str">
        <f>IF(Sync!$AH953="","",IF(LEFT(UPPER(TRIM(Sync!$AH953)),2)="SL",UPPER(TRIM(Sync!$AH953)),""))</f>
        <v/>
      </c>
      <c r="G953" t="str">
        <f>IF($F953="","",IF(Sync!$AE953="","",IF(ISNUMBER(Sync!$AE953),IF(AND(Sync!$AE953&gt;=10000101,Sync!$AE953&lt;=99991231),INT(Sync!$AE953/10000),""),IFERROR(VALUE(TRIM(LEFT(Sync!$AE953,FIND("/",Sync!$AE953)-1))),""))))</f>
        <v/>
      </c>
      <c r="H953" t="str">
        <f>IF(OR($F953="",$G953=""),"",IF(ISNUMBER(Sync!$AE953),INT(MOD(Sync!$AE953,10000)/100),IFERROR(VALUE(TRIM(LEFT(MID(Sync!$AE953,FIND("/",Sync!$AE953)+1,20),FIND("/",MID(Sync!$AE953,FIND("/",Sync!$AE953)+1,20))-1))),"")))</f>
        <v/>
      </c>
      <c r="I953" t="str">
        <f>IF(OR($F953="",$G953=""),"",IF(ISNUMBER(Sync!$AE953),MOD(Sync!$AE953,100),IFERROR(VALUE(TRIM(MID(MID(Sync!$AE953,FIND("/",Sync!$AE953)+1,20),FIND("/",MID(Sync!$AE953,FIND("/",Sync!$AE953)+1,20))+1,20))),"")))</f>
        <v/>
      </c>
      <c r="J953" t="str">
        <f t="shared" si="72"/>
        <v/>
      </c>
      <c r="K953" t="str">
        <f>IF(OR($F953="",$J953="",$J953="نامعتبر"),"",LEFT($J953,4)&amp;MID($J953,6,2)&amp;RIGHT($J953,2)&amp;$N953&amp;"|"&amp;"2"&amp;RIGHT("00000"&amp;948,5))</f>
        <v/>
      </c>
      <c r="L953" t="str">
        <f t="shared" si="73"/>
        <v/>
      </c>
      <c r="M953" t="str">
        <f t="shared" si="74"/>
        <v/>
      </c>
      <c r="N953" t="str">
        <f>IF($F953="","",IF(Sync!$AF953="","0000",IF(AND(ISNUMBER(Sync!$AF953),Sync!$AF953&gt;=0,Sync!$AF953&lt;1),RIGHT("00"&amp;HOUR(Sync!$AF953),2)&amp;RIGHT("00"&amp;MINUTE(Sync!$AF953),2),IFERROR(RIGHT("00"&amp;VALUE(LEFT(Sync!$AF953,FIND(":",Sync!$AF953)-1)),2)&amp;RIGHT("00"&amp;VALUE(MID(Sync!$AF953,FIND(":",Sync!$AF953)+1,2)),2),"0000"))))</f>
        <v/>
      </c>
    </row>
    <row r="954" spans="1:14" x14ac:dyDescent="0.2">
      <c r="A954" t="str">
        <f>IF(OR(Calc!$E958="",Calc!$E958="نامعتبر",Calc!$G958=""),"",Calc!$G958)</f>
        <v/>
      </c>
      <c r="B954" t="str">
        <f>IF($A954="","",LEFT(Calc!$E958,4)&amp;MID(Calc!$E958,6,2)&amp;RIGHT(Calc!$E958,2)&amp;Calc!$Q958&amp;"|"&amp;"1"&amp;RIGHT("00000"&amp;949,5))</f>
        <v/>
      </c>
      <c r="C954" t="str">
        <f t="shared" si="70"/>
        <v/>
      </c>
      <c r="D954" t="str">
        <f t="shared" si="71"/>
        <v/>
      </c>
      <c r="F954" t="str">
        <f>IF(Sync!$AH954="","",IF(LEFT(UPPER(TRIM(Sync!$AH954)),2)="SL",UPPER(TRIM(Sync!$AH954)),""))</f>
        <v/>
      </c>
      <c r="G954" t="str">
        <f>IF($F954="","",IF(Sync!$AE954="","",IF(ISNUMBER(Sync!$AE954),IF(AND(Sync!$AE954&gt;=10000101,Sync!$AE954&lt;=99991231),INT(Sync!$AE954/10000),""),IFERROR(VALUE(TRIM(LEFT(Sync!$AE954,FIND("/",Sync!$AE954)-1))),""))))</f>
        <v/>
      </c>
      <c r="H954" t="str">
        <f>IF(OR($F954="",$G954=""),"",IF(ISNUMBER(Sync!$AE954),INT(MOD(Sync!$AE954,10000)/100),IFERROR(VALUE(TRIM(LEFT(MID(Sync!$AE954,FIND("/",Sync!$AE954)+1,20),FIND("/",MID(Sync!$AE954,FIND("/",Sync!$AE954)+1,20))-1))),"")))</f>
        <v/>
      </c>
      <c r="I954" t="str">
        <f>IF(OR($F954="",$G954=""),"",IF(ISNUMBER(Sync!$AE954),MOD(Sync!$AE954,100),IFERROR(VALUE(TRIM(MID(MID(Sync!$AE954,FIND("/",Sync!$AE954)+1,20),FIND("/",MID(Sync!$AE954,FIND("/",Sync!$AE954)+1,20))+1,20))),"")))</f>
        <v/>
      </c>
      <c r="J954" t="str">
        <f t="shared" si="72"/>
        <v/>
      </c>
      <c r="K954" t="str">
        <f>IF(OR($F954="",$J954="",$J954="نامعتبر"),"",LEFT($J954,4)&amp;MID($J954,6,2)&amp;RIGHT($J954,2)&amp;$N954&amp;"|"&amp;"2"&amp;RIGHT("00000"&amp;949,5))</f>
        <v/>
      </c>
      <c r="L954" t="str">
        <f t="shared" si="73"/>
        <v/>
      </c>
      <c r="M954" t="str">
        <f t="shared" si="74"/>
        <v/>
      </c>
      <c r="N954" t="str">
        <f>IF($F954="","",IF(Sync!$AF954="","0000",IF(AND(ISNUMBER(Sync!$AF954),Sync!$AF954&gt;=0,Sync!$AF954&lt;1),RIGHT("00"&amp;HOUR(Sync!$AF954),2)&amp;RIGHT("00"&amp;MINUTE(Sync!$AF954),2),IFERROR(RIGHT("00"&amp;VALUE(LEFT(Sync!$AF954,FIND(":",Sync!$AF954)-1)),2)&amp;RIGHT("00"&amp;VALUE(MID(Sync!$AF954,FIND(":",Sync!$AF954)+1,2)),2),"0000"))))</f>
        <v/>
      </c>
    </row>
    <row r="955" spans="1:14" x14ac:dyDescent="0.2">
      <c r="A955" t="str">
        <f>IF(OR(Calc!$E959="",Calc!$E959="نامعتبر",Calc!$G959=""),"",Calc!$G959)</f>
        <v/>
      </c>
      <c r="B955" t="str">
        <f>IF($A955="","",LEFT(Calc!$E959,4)&amp;MID(Calc!$E959,6,2)&amp;RIGHT(Calc!$E959,2)&amp;Calc!$Q959&amp;"|"&amp;"1"&amp;RIGHT("00000"&amp;950,5))</f>
        <v/>
      </c>
      <c r="C955" t="str">
        <f t="shared" si="70"/>
        <v/>
      </c>
      <c r="D955" t="str">
        <f t="shared" si="71"/>
        <v/>
      </c>
      <c r="F955" t="str">
        <f>IF(Sync!$AH955="","",IF(LEFT(UPPER(TRIM(Sync!$AH955)),2)="SL",UPPER(TRIM(Sync!$AH955)),""))</f>
        <v/>
      </c>
      <c r="G955" t="str">
        <f>IF($F955="","",IF(Sync!$AE955="","",IF(ISNUMBER(Sync!$AE955),IF(AND(Sync!$AE955&gt;=10000101,Sync!$AE955&lt;=99991231),INT(Sync!$AE955/10000),""),IFERROR(VALUE(TRIM(LEFT(Sync!$AE955,FIND("/",Sync!$AE955)-1))),""))))</f>
        <v/>
      </c>
      <c r="H955" t="str">
        <f>IF(OR($F955="",$G955=""),"",IF(ISNUMBER(Sync!$AE955),INT(MOD(Sync!$AE955,10000)/100),IFERROR(VALUE(TRIM(LEFT(MID(Sync!$AE955,FIND("/",Sync!$AE955)+1,20),FIND("/",MID(Sync!$AE955,FIND("/",Sync!$AE955)+1,20))-1))),"")))</f>
        <v/>
      </c>
      <c r="I955" t="str">
        <f>IF(OR($F955="",$G955=""),"",IF(ISNUMBER(Sync!$AE955),MOD(Sync!$AE955,100),IFERROR(VALUE(TRIM(MID(MID(Sync!$AE955,FIND("/",Sync!$AE955)+1,20),FIND("/",MID(Sync!$AE955,FIND("/",Sync!$AE955)+1,20))+1,20))),"")))</f>
        <v/>
      </c>
      <c r="J955" t="str">
        <f t="shared" si="72"/>
        <v/>
      </c>
      <c r="K955" t="str">
        <f>IF(OR($F955="",$J955="",$J955="نامعتبر"),"",LEFT($J955,4)&amp;MID($J955,6,2)&amp;RIGHT($J955,2)&amp;$N955&amp;"|"&amp;"2"&amp;RIGHT("00000"&amp;950,5))</f>
        <v/>
      </c>
      <c r="L955" t="str">
        <f t="shared" si="73"/>
        <v/>
      </c>
      <c r="M955" t="str">
        <f t="shared" si="74"/>
        <v/>
      </c>
      <c r="N955" t="str">
        <f>IF($F955="","",IF(Sync!$AF955="","0000",IF(AND(ISNUMBER(Sync!$AF955),Sync!$AF955&gt;=0,Sync!$AF955&lt;1),RIGHT("00"&amp;HOUR(Sync!$AF955),2)&amp;RIGHT("00"&amp;MINUTE(Sync!$AF955),2),IFERROR(RIGHT("00"&amp;VALUE(LEFT(Sync!$AF955,FIND(":",Sync!$AF955)-1)),2)&amp;RIGHT("00"&amp;VALUE(MID(Sync!$AF955,FIND(":",Sync!$AF955)+1,2)),2),"0000"))))</f>
        <v/>
      </c>
    </row>
    <row r="956" spans="1:14" x14ac:dyDescent="0.2">
      <c r="A956" t="str">
        <f>IF(OR(Calc!$E960="",Calc!$E960="نامعتبر",Calc!$G960=""),"",Calc!$G960)</f>
        <v/>
      </c>
      <c r="B956" t="str">
        <f>IF($A956="","",LEFT(Calc!$E960,4)&amp;MID(Calc!$E960,6,2)&amp;RIGHT(Calc!$E960,2)&amp;Calc!$Q960&amp;"|"&amp;"1"&amp;RIGHT("00000"&amp;951,5))</f>
        <v/>
      </c>
      <c r="C956" t="str">
        <f t="shared" si="70"/>
        <v/>
      </c>
      <c r="D956" t="str">
        <f t="shared" si="71"/>
        <v/>
      </c>
      <c r="F956" t="str">
        <f>IF(Sync!$AH956="","",IF(LEFT(UPPER(TRIM(Sync!$AH956)),2)="SL",UPPER(TRIM(Sync!$AH956)),""))</f>
        <v/>
      </c>
      <c r="G956" t="str">
        <f>IF($F956="","",IF(Sync!$AE956="","",IF(ISNUMBER(Sync!$AE956),IF(AND(Sync!$AE956&gt;=10000101,Sync!$AE956&lt;=99991231),INT(Sync!$AE956/10000),""),IFERROR(VALUE(TRIM(LEFT(Sync!$AE956,FIND("/",Sync!$AE956)-1))),""))))</f>
        <v/>
      </c>
      <c r="H956" t="str">
        <f>IF(OR($F956="",$G956=""),"",IF(ISNUMBER(Sync!$AE956),INT(MOD(Sync!$AE956,10000)/100),IFERROR(VALUE(TRIM(LEFT(MID(Sync!$AE956,FIND("/",Sync!$AE956)+1,20),FIND("/",MID(Sync!$AE956,FIND("/",Sync!$AE956)+1,20))-1))),"")))</f>
        <v/>
      </c>
      <c r="I956" t="str">
        <f>IF(OR($F956="",$G956=""),"",IF(ISNUMBER(Sync!$AE956),MOD(Sync!$AE956,100),IFERROR(VALUE(TRIM(MID(MID(Sync!$AE956,FIND("/",Sync!$AE956)+1,20),FIND("/",MID(Sync!$AE956,FIND("/",Sync!$AE956)+1,20))+1,20))),"")))</f>
        <v/>
      </c>
      <c r="J956" t="str">
        <f t="shared" si="72"/>
        <v/>
      </c>
      <c r="K956" t="str">
        <f>IF(OR($F956="",$J956="",$J956="نامعتبر"),"",LEFT($J956,4)&amp;MID($J956,6,2)&amp;RIGHT($J956,2)&amp;$N956&amp;"|"&amp;"2"&amp;RIGHT("00000"&amp;951,5))</f>
        <v/>
      </c>
      <c r="L956" t="str">
        <f t="shared" si="73"/>
        <v/>
      </c>
      <c r="M956" t="str">
        <f t="shared" si="74"/>
        <v/>
      </c>
      <c r="N956" t="str">
        <f>IF($F956="","",IF(Sync!$AF956="","0000",IF(AND(ISNUMBER(Sync!$AF956),Sync!$AF956&gt;=0,Sync!$AF956&lt;1),RIGHT("00"&amp;HOUR(Sync!$AF956),2)&amp;RIGHT("00"&amp;MINUTE(Sync!$AF956),2),IFERROR(RIGHT("00"&amp;VALUE(LEFT(Sync!$AF956,FIND(":",Sync!$AF956)-1)),2)&amp;RIGHT("00"&amp;VALUE(MID(Sync!$AF956,FIND(":",Sync!$AF956)+1,2)),2),"0000"))))</f>
        <v/>
      </c>
    </row>
    <row r="957" spans="1:14" x14ac:dyDescent="0.2">
      <c r="A957" t="str">
        <f>IF(OR(Calc!$E961="",Calc!$E961="نامعتبر",Calc!$G961=""),"",Calc!$G961)</f>
        <v/>
      </c>
      <c r="B957" t="str">
        <f>IF($A957="","",LEFT(Calc!$E961,4)&amp;MID(Calc!$E961,6,2)&amp;RIGHT(Calc!$E961,2)&amp;Calc!$Q961&amp;"|"&amp;"1"&amp;RIGHT("00000"&amp;952,5))</f>
        <v/>
      </c>
      <c r="C957" t="str">
        <f t="shared" si="70"/>
        <v/>
      </c>
      <c r="D957" t="str">
        <f t="shared" si="71"/>
        <v/>
      </c>
      <c r="F957" t="str">
        <f>IF(Sync!$AH957="","",IF(LEFT(UPPER(TRIM(Sync!$AH957)),2)="SL",UPPER(TRIM(Sync!$AH957)),""))</f>
        <v/>
      </c>
      <c r="G957" t="str">
        <f>IF($F957="","",IF(Sync!$AE957="","",IF(ISNUMBER(Sync!$AE957),IF(AND(Sync!$AE957&gt;=10000101,Sync!$AE957&lt;=99991231),INT(Sync!$AE957/10000),""),IFERROR(VALUE(TRIM(LEFT(Sync!$AE957,FIND("/",Sync!$AE957)-1))),""))))</f>
        <v/>
      </c>
      <c r="H957" t="str">
        <f>IF(OR($F957="",$G957=""),"",IF(ISNUMBER(Sync!$AE957),INT(MOD(Sync!$AE957,10000)/100),IFERROR(VALUE(TRIM(LEFT(MID(Sync!$AE957,FIND("/",Sync!$AE957)+1,20),FIND("/",MID(Sync!$AE957,FIND("/",Sync!$AE957)+1,20))-1))),"")))</f>
        <v/>
      </c>
      <c r="I957" t="str">
        <f>IF(OR($F957="",$G957=""),"",IF(ISNUMBER(Sync!$AE957),MOD(Sync!$AE957,100),IFERROR(VALUE(TRIM(MID(MID(Sync!$AE957,FIND("/",Sync!$AE957)+1,20),FIND("/",MID(Sync!$AE957,FIND("/",Sync!$AE957)+1,20))+1,20))),"")))</f>
        <v/>
      </c>
      <c r="J957" t="str">
        <f t="shared" si="72"/>
        <v/>
      </c>
      <c r="K957" t="str">
        <f>IF(OR($F957="",$J957="",$J957="نامعتبر"),"",LEFT($J957,4)&amp;MID($J957,6,2)&amp;RIGHT($J957,2)&amp;$N957&amp;"|"&amp;"2"&amp;RIGHT("00000"&amp;952,5))</f>
        <v/>
      </c>
      <c r="L957" t="str">
        <f t="shared" si="73"/>
        <v/>
      </c>
      <c r="M957" t="str">
        <f t="shared" si="74"/>
        <v/>
      </c>
      <c r="N957" t="str">
        <f>IF($F957="","",IF(Sync!$AF957="","0000",IF(AND(ISNUMBER(Sync!$AF957),Sync!$AF957&gt;=0,Sync!$AF957&lt;1),RIGHT("00"&amp;HOUR(Sync!$AF957),2)&amp;RIGHT("00"&amp;MINUTE(Sync!$AF957),2),IFERROR(RIGHT("00"&amp;VALUE(LEFT(Sync!$AF957,FIND(":",Sync!$AF957)-1)),2)&amp;RIGHT("00"&amp;VALUE(MID(Sync!$AF957,FIND(":",Sync!$AF957)+1,2)),2),"0000"))))</f>
        <v/>
      </c>
    </row>
    <row r="958" spans="1:14" x14ac:dyDescent="0.2">
      <c r="A958" t="str">
        <f>IF(OR(Calc!$E962="",Calc!$E962="نامعتبر",Calc!$G962=""),"",Calc!$G962)</f>
        <v/>
      </c>
      <c r="B958" t="str">
        <f>IF($A958="","",LEFT(Calc!$E962,4)&amp;MID(Calc!$E962,6,2)&amp;RIGHT(Calc!$E962,2)&amp;Calc!$Q962&amp;"|"&amp;"1"&amp;RIGHT("00000"&amp;953,5))</f>
        <v/>
      </c>
      <c r="C958" t="str">
        <f t="shared" si="70"/>
        <v/>
      </c>
      <c r="D958" t="str">
        <f t="shared" si="71"/>
        <v/>
      </c>
      <c r="F958" t="str">
        <f>IF(Sync!$AH958="","",IF(LEFT(UPPER(TRIM(Sync!$AH958)),2)="SL",UPPER(TRIM(Sync!$AH958)),""))</f>
        <v/>
      </c>
      <c r="G958" t="str">
        <f>IF($F958="","",IF(Sync!$AE958="","",IF(ISNUMBER(Sync!$AE958),IF(AND(Sync!$AE958&gt;=10000101,Sync!$AE958&lt;=99991231),INT(Sync!$AE958/10000),""),IFERROR(VALUE(TRIM(LEFT(Sync!$AE958,FIND("/",Sync!$AE958)-1))),""))))</f>
        <v/>
      </c>
      <c r="H958" t="str">
        <f>IF(OR($F958="",$G958=""),"",IF(ISNUMBER(Sync!$AE958),INT(MOD(Sync!$AE958,10000)/100),IFERROR(VALUE(TRIM(LEFT(MID(Sync!$AE958,FIND("/",Sync!$AE958)+1,20),FIND("/",MID(Sync!$AE958,FIND("/",Sync!$AE958)+1,20))-1))),"")))</f>
        <v/>
      </c>
      <c r="I958" t="str">
        <f>IF(OR($F958="",$G958=""),"",IF(ISNUMBER(Sync!$AE958),MOD(Sync!$AE958,100),IFERROR(VALUE(TRIM(MID(MID(Sync!$AE958,FIND("/",Sync!$AE958)+1,20),FIND("/",MID(Sync!$AE958,FIND("/",Sync!$AE958)+1,20))+1,20))),"")))</f>
        <v/>
      </c>
      <c r="J958" t="str">
        <f t="shared" si="72"/>
        <v/>
      </c>
      <c r="K958" t="str">
        <f>IF(OR($F958="",$J958="",$J958="نامعتبر"),"",LEFT($J958,4)&amp;MID($J958,6,2)&amp;RIGHT($J958,2)&amp;$N958&amp;"|"&amp;"2"&amp;RIGHT("00000"&amp;953,5))</f>
        <v/>
      </c>
      <c r="L958" t="str">
        <f t="shared" si="73"/>
        <v/>
      </c>
      <c r="M958" t="str">
        <f t="shared" si="74"/>
        <v/>
      </c>
      <c r="N958" t="str">
        <f>IF($F958="","",IF(Sync!$AF958="","0000",IF(AND(ISNUMBER(Sync!$AF958),Sync!$AF958&gt;=0,Sync!$AF958&lt;1),RIGHT("00"&amp;HOUR(Sync!$AF958),2)&amp;RIGHT("00"&amp;MINUTE(Sync!$AF958),2),IFERROR(RIGHT("00"&amp;VALUE(LEFT(Sync!$AF958,FIND(":",Sync!$AF958)-1)),2)&amp;RIGHT("00"&amp;VALUE(MID(Sync!$AF958,FIND(":",Sync!$AF958)+1,2)),2),"0000"))))</f>
        <v/>
      </c>
    </row>
    <row r="959" spans="1:14" x14ac:dyDescent="0.2">
      <c r="A959" t="str">
        <f>IF(OR(Calc!$E963="",Calc!$E963="نامعتبر",Calc!$G963=""),"",Calc!$G963)</f>
        <v/>
      </c>
      <c r="B959" t="str">
        <f>IF($A959="","",LEFT(Calc!$E963,4)&amp;MID(Calc!$E963,6,2)&amp;RIGHT(Calc!$E963,2)&amp;Calc!$Q963&amp;"|"&amp;"1"&amp;RIGHT("00000"&amp;954,5))</f>
        <v/>
      </c>
      <c r="C959" t="str">
        <f t="shared" si="70"/>
        <v/>
      </c>
      <c r="D959" t="str">
        <f t="shared" si="71"/>
        <v/>
      </c>
      <c r="F959" t="str">
        <f>IF(Sync!$AH959="","",IF(LEFT(UPPER(TRIM(Sync!$AH959)),2)="SL",UPPER(TRIM(Sync!$AH959)),""))</f>
        <v/>
      </c>
      <c r="G959" t="str">
        <f>IF($F959="","",IF(Sync!$AE959="","",IF(ISNUMBER(Sync!$AE959),IF(AND(Sync!$AE959&gt;=10000101,Sync!$AE959&lt;=99991231),INT(Sync!$AE959/10000),""),IFERROR(VALUE(TRIM(LEFT(Sync!$AE959,FIND("/",Sync!$AE959)-1))),""))))</f>
        <v/>
      </c>
      <c r="H959" t="str">
        <f>IF(OR($F959="",$G959=""),"",IF(ISNUMBER(Sync!$AE959),INT(MOD(Sync!$AE959,10000)/100),IFERROR(VALUE(TRIM(LEFT(MID(Sync!$AE959,FIND("/",Sync!$AE959)+1,20),FIND("/",MID(Sync!$AE959,FIND("/",Sync!$AE959)+1,20))-1))),"")))</f>
        <v/>
      </c>
      <c r="I959" t="str">
        <f>IF(OR($F959="",$G959=""),"",IF(ISNUMBER(Sync!$AE959),MOD(Sync!$AE959,100),IFERROR(VALUE(TRIM(MID(MID(Sync!$AE959,FIND("/",Sync!$AE959)+1,20),FIND("/",MID(Sync!$AE959,FIND("/",Sync!$AE959)+1,20))+1,20))),"")))</f>
        <v/>
      </c>
      <c r="J959" t="str">
        <f t="shared" si="72"/>
        <v/>
      </c>
      <c r="K959" t="str">
        <f>IF(OR($F959="",$J959="",$J959="نامعتبر"),"",LEFT($J959,4)&amp;MID($J959,6,2)&amp;RIGHT($J959,2)&amp;$N959&amp;"|"&amp;"2"&amp;RIGHT("00000"&amp;954,5))</f>
        <v/>
      </c>
      <c r="L959" t="str">
        <f t="shared" si="73"/>
        <v/>
      </c>
      <c r="M959" t="str">
        <f t="shared" si="74"/>
        <v/>
      </c>
      <c r="N959" t="str">
        <f>IF($F959="","",IF(Sync!$AF959="","0000",IF(AND(ISNUMBER(Sync!$AF959),Sync!$AF959&gt;=0,Sync!$AF959&lt;1),RIGHT("00"&amp;HOUR(Sync!$AF959),2)&amp;RIGHT("00"&amp;MINUTE(Sync!$AF959),2),IFERROR(RIGHT("00"&amp;VALUE(LEFT(Sync!$AF959,FIND(":",Sync!$AF959)-1)),2)&amp;RIGHT("00"&amp;VALUE(MID(Sync!$AF959,FIND(":",Sync!$AF959)+1,2)),2),"0000"))))</f>
        <v/>
      </c>
    </row>
    <row r="960" spans="1:14" x14ac:dyDescent="0.2">
      <c r="A960" t="str">
        <f>IF(OR(Calc!$E964="",Calc!$E964="نامعتبر",Calc!$G964=""),"",Calc!$G964)</f>
        <v/>
      </c>
      <c r="B960" t="str">
        <f>IF($A960="","",LEFT(Calc!$E964,4)&amp;MID(Calc!$E964,6,2)&amp;RIGHT(Calc!$E964,2)&amp;Calc!$Q964&amp;"|"&amp;"1"&amp;RIGHT("00000"&amp;955,5))</f>
        <v/>
      </c>
      <c r="C960" t="str">
        <f t="shared" si="70"/>
        <v/>
      </c>
      <c r="D960" t="str">
        <f t="shared" si="71"/>
        <v/>
      </c>
      <c r="F960" t="str">
        <f>IF(Sync!$AH960="","",IF(LEFT(UPPER(TRIM(Sync!$AH960)),2)="SL",UPPER(TRIM(Sync!$AH960)),""))</f>
        <v/>
      </c>
      <c r="G960" t="str">
        <f>IF($F960="","",IF(Sync!$AE960="","",IF(ISNUMBER(Sync!$AE960),IF(AND(Sync!$AE960&gt;=10000101,Sync!$AE960&lt;=99991231),INT(Sync!$AE960/10000),""),IFERROR(VALUE(TRIM(LEFT(Sync!$AE960,FIND("/",Sync!$AE960)-1))),""))))</f>
        <v/>
      </c>
      <c r="H960" t="str">
        <f>IF(OR($F960="",$G960=""),"",IF(ISNUMBER(Sync!$AE960),INT(MOD(Sync!$AE960,10000)/100),IFERROR(VALUE(TRIM(LEFT(MID(Sync!$AE960,FIND("/",Sync!$AE960)+1,20),FIND("/",MID(Sync!$AE960,FIND("/",Sync!$AE960)+1,20))-1))),"")))</f>
        <v/>
      </c>
      <c r="I960" t="str">
        <f>IF(OR($F960="",$G960=""),"",IF(ISNUMBER(Sync!$AE960),MOD(Sync!$AE960,100),IFERROR(VALUE(TRIM(MID(MID(Sync!$AE960,FIND("/",Sync!$AE960)+1,20),FIND("/",MID(Sync!$AE960,FIND("/",Sync!$AE960)+1,20))+1,20))),"")))</f>
        <v/>
      </c>
      <c r="J960" t="str">
        <f t="shared" si="72"/>
        <v/>
      </c>
      <c r="K960" t="str">
        <f>IF(OR($F960="",$J960="",$J960="نامعتبر"),"",LEFT($J960,4)&amp;MID($J960,6,2)&amp;RIGHT($J960,2)&amp;$N960&amp;"|"&amp;"2"&amp;RIGHT("00000"&amp;955,5))</f>
        <v/>
      </c>
      <c r="L960" t="str">
        <f t="shared" si="73"/>
        <v/>
      </c>
      <c r="M960" t="str">
        <f t="shared" si="74"/>
        <v/>
      </c>
      <c r="N960" t="str">
        <f>IF($F960="","",IF(Sync!$AF960="","0000",IF(AND(ISNUMBER(Sync!$AF960),Sync!$AF960&gt;=0,Sync!$AF960&lt;1),RIGHT("00"&amp;HOUR(Sync!$AF960),2)&amp;RIGHT("00"&amp;MINUTE(Sync!$AF960),2),IFERROR(RIGHT("00"&amp;VALUE(LEFT(Sync!$AF960,FIND(":",Sync!$AF960)-1)),2)&amp;RIGHT("00"&amp;VALUE(MID(Sync!$AF960,FIND(":",Sync!$AF960)+1,2)),2),"0000"))))</f>
        <v/>
      </c>
    </row>
    <row r="961" spans="1:14" x14ac:dyDescent="0.2">
      <c r="A961" t="str">
        <f>IF(OR(Calc!$E965="",Calc!$E965="نامعتبر",Calc!$G965=""),"",Calc!$G965)</f>
        <v/>
      </c>
      <c r="B961" t="str">
        <f>IF($A961="","",LEFT(Calc!$E965,4)&amp;MID(Calc!$E965,6,2)&amp;RIGHT(Calc!$E965,2)&amp;Calc!$Q965&amp;"|"&amp;"1"&amp;RIGHT("00000"&amp;956,5))</f>
        <v/>
      </c>
      <c r="C961" t="str">
        <f t="shared" si="70"/>
        <v/>
      </c>
      <c r="D961" t="str">
        <f t="shared" si="71"/>
        <v/>
      </c>
      <c r="F961" t="str">
        <f>IF(Sync!$AH961="","",IF(LEFT(UPPER(TRIM(Sync!$AH961)),2)="SL",UPPER(TRIM(Sync!$AH961)),""))</f>
        <v/>
      </c>
      <c r="G961" t="str">
        <f>IF($F961="","",IF(Sync!$AE961="","",IF(ISNUMBER(Sync!$AE961),IF(AND(Sync!$AE961&gt;=10000101,Sync!$AE961&lt;=99991231),INT(Sync!$AE961/10000),""),IFERROR(VALUE(TRIM(LEFT(Sync!$AE961,FIND("/",Sync!$AE961)-1))),""))))</f>
        <v/>
      </c>
      <c r="H961" t="str">
        <f>IF(OR($F961="",$G961=""),"",IF(ISNUMBER(Sync!$AE961),INT(MOD(Sync!$AE961,10000)/100),IFERROR(VALUE(TRIM(LEFT(MID(Sync!$AE961,FIND("/",Sync!$AE961)+1,20),FIND("/",MID(Sync!$AE961,FIND("/",Sync!$AE961)+1,20))-1))),"")))</f>
        <v/>
      </c>
      <c r="I961" t="str">
        <f>IF(OR($F961="",$G961=""),"",IF(ISNUMBER(Sync!$AE961),MOD(Sync!$AE961,100),IFERROR(VALUE(TRIM(MID(MID(Sync!$AE961,FIND("/",Sync!$AE961)+1,20),FIND("/",MID(Sync!$AE961,FIND("/",Sync!$AE961)+1,20))+1,20))),"")))</f>
        <v/>
      </c>
      <c r="J961" t="str">
        <f t="shared" si="72"/>
        <v/>
      </c>
      <c r="K961" t="str">
        <f>IF(OR($F961="",$J961="",$J961="نامعتبر"),"",LEFT($J961,4)&amp;MID($J961,6,2)&amp;RIGHT($J961,2)&amp;$N961&amp;"|"&amp;"2"&amp;RIGHT("00000"&amp;956,5))</f>
        <v/>
      </c>
      <c r="L961" t="str">
        <f t="shared" si="73"/>
        <v/>
      </c>
      <c r="M961" t="str">
        <f t="shared" si="74"/>
        <v/>
      </c>
      <c r="N961" t="str">
        <f>IF($F961="","",IF(Sync!$AF961="","0000",IF(AND(ISNUMBER(Sync!$AF961),Sync!$AF961&gt;=0,Sync!$AF961&lt;1),RIGHT("00"&amp;HOUR(Sync!$AF961),2)&amp;RIGHT("00"&amp;MINUTE(Sync!$AF961),2),IFERROR(RIGHT("00"&amp;VALUE(LEFT(Sync!$AF961,FIND(":",Sync!$AF961)-1)),2)&amp;RIGHT("00"&amp;VALUE(MID(Sync!$AF961,FIND(":",Sync!$AF961)+1,2)),2),"0000"))))</f>
        <v/>
      </c>
    </row>
    <row r="962" spans="1:14" x14ac:dyDescent="0.2">
      <c r="A962" t="str">
        <f>IF(OR(Calc!$E966="",Calc!$E966="نامعتبر",Calc!$G966=""),"",Calc!$G966)</f>
        <v/>
      </c>
      <c r="B962" t="str">
        <f>IF($A962="","",LEFT(Calc!$E966,4)&amp;MID(Calc!$E966,6,2)&amp;RIGHT(Calc!$E966,2)&amp;Calc!$Q966&amp;"|"&amp;"1"&amp;RIGHT("00000"&amp;957,5))</f>
        <v/>
      </c>
      <c r="C962" t="str">
        <f t="shared" si="70"/>
        <v/>
      </c>
      <c r="D962" t="str">
        <f t="shared" si="71"/>
        <v/>
      </c>
      <c r="F962" t="str">
        <f>IF(Sync!$AH962="","",IF(LEFT(UPPER(TRIM(Sync!$AH962)),2)="SL",UPPER(TRIM(Sync!$AH962)),""))</f>
        <v/>
      </c>
      <c r="G962" t="str">
        <f>IF($F962="","",IF(Sync!$AE962="","",IF(ISNUMBER(Sync!$AE962),IF(AND(Sync!$AE962&gt;=10000101,Sync!$AE962&lt;=99991231),INT(Sync!$AE962/10000),""),IFERROR(VALUE(TRIM(LEFT(Sync!$AE962,FIND("/",Sync!$AE962)-1))),""))))</f>
        <v/>
      </c>
      <c r="H962" t="str">
        <f>IF(OR($F962="",$G962=""),"",IF(ISNUMBER(Sync!$AE962),INT(MOD(Sync!$AE962,10000)/100),IFERROR(VALUE(TRIM(LEFT(MID(Sync!$AE962,FIND("/",Sync!$AE962)+1,20),FIND("/",MID(Sync!$AE962,FIND("/",Sync!$AE962)+1,20))-1))),"")))</f>
        <v/>
      </c>
      <c r="I962" t="str">
        <f>IF(OR($F962="",$G962=""),"",IF(ISNUMBER(Sync!$AE962),MOD(Sync!$AE962,100),IFERROR(VALUE(TRIM(MID(MID(Sync!$AE962,FIND("/",Sync!$AE962)+1,20),FIND("/",MID(Sync!$AE962,FIND("/",Sync!$AE962)+1,20))+1,20))),"")))</f>
        <v/>
      </c>
      <c r="J962" t="str">
        <f t="shared" si="72"/>
        <v/>
      </c>
      <c r="K962" t="str">
        <f>IF(OR($F962="",$J962="",$J962="نامعتبر"),"",LEFT($J962,4)&amp;MID($J962,6,2)&amp;RIGHT($J962,2)&amp;$N962&amp;"|"&amp;"2"&amp;RIGHT("00000"&amp;957,5))</f>
        <v/>
      </c>
      <c r="L962" t="str">
        <f t="shared" si="73"/>
        <v/>
      </c>
      <c r="M962" t="str">
        <f t="shared" si="74"/>
        <v/>
      </c>
      <c r="N962" t="str">
        <f>IF($F962="","",IF(Sync!$AF962="","0000",IF(AND(ISNUMBER(Sync!$AF962),Sync!$AF962&gt;=0,Sync!$AF962&lt;1),RIGHT("00"&amp;HOUR(Sync!$AF962),2)&amp;RIGHT("00"&amp;MINUTE(Sync!$AF962),2),IFERROR(RIGHT("00"&amp;VALUE(LEFT(Sync!$AF962,FIND(":",Sync!$AF962)-1)),2)&amp;RIGHT("00"&amp;VALUE(MID(Sync!$AF962,FIND(":",Sync!$AF962)+1,2)),2),"0000"))))</f>
        <v/>
      </c>
    </row>
    <row r="963" spans="1:14" x14ac:dyDescent="0.2">
      <c r="A963" t="str">
        <f>IF(OR(Calc!$E967="",Calc!$E967="نامعتبر",Calc!$G967=""),"",Calc!$G967)</f>
        <v/>
      </c>
      <c r="B963" t="str">
        <f>IF($A963="","",LEFT(Calc!$E967,4)&amp;MID(Calc!$E967,6,2)&amp;RIGHT(Calc!$E967,2)&amp;Calc!$Q967&amp;"|"&amp;"1"&amp;RIGHT("00000"&amp;958,5))</f>
        <v/>
      </c>
      <c r="C963" t="str">
        <f t="shared" si="70"/>
        <v/>
      </c>
      <c r="D963" t="str">
        <f t="shared" si="71"/>
        <v/>
      </c>
      <c r="F963" t="str">
        <f>IF(Sync!$AH963="","",IF(LEFT(UPPER(TRIM(Sync!$AH963)),2)="SL",UPPER(TRIM(Sync!$AH963)),""))</f>
        <v/>
      </c>
      <c r="G963" t="str">
        <f>IF($F963="","",IF(Sync!$AE963="","",IF(ISNUMBER(Sync!$AE963),IF(AND(Sync!$AE963&gt;=10000101,Sync!$AE963&lt;=99991231),INT(Sync!$AE963/10000),""),IFERROR(VALUE(TRIM(LEFT(Sync!$AE963,FIND("/",Sync!$AE963)-1))),""))))</f>
        <v/>
      </c>
      <c r="H963" t="str">
        <f>IF(OR($F963="",$G963=""),"",IF(ISNUMBER(Sync!$AE963),INT(MOD(Sync!$AE963,10000)/100),IFERROR(VALUE(TRIM(LEFT(MID(Sync!$AE963,FIND("/",Sync!$AE963)+1,20),FIND("/",MID(Sync!$AE963,FIND("/",Sync!$AE963)+1,20))-1))),"")))</f>
        <v/>
      </c>
      <c r="I963" t="str">
        <f>IF(OR($F963="",$G963=""),"",IF(ISNUMBER(Sync!$AE963),MOD(Sync!$AE963,100),IFERROR(VALUE(TRIM(MID(MID(Sync!$AE963,FIND("/",Sync!$AE963)+1,20),FIND("/",MID(Sync!$AE963,FIND("/",Sync!$AE963)+1,20))+1,20))),"")))</f>
        <v/>
      </c>
      <c r="J963" t="str">
        <f t="shared" si="72"/>
        <v/>
      </c>
      <c r="K963" t="str">
        <f>IF(OR($F963="",$J963="",$J963="نامعتبر"),"",LEFT($J963,4)&amp;MID($J963,6,2)&amp;RIGHT($J963,2)&amp;$N963&amp;"|"&amp;"2"&amp;RIGHT("00000"&amp;958,5))</f>
        <v/>
      </c>
      <c r="L963" t="str">
        <f t="shared" si="73"/>
        <v/>
      </c>
      <c r="M963" t="str">
        <f t="shared" si="74"/>
        <v/>
      </c>
      <c r="N963" t="str">
        <f>IF($F963="","",IF(Sync!$AF963="","0000",IF(AND(ISNUMBER(Sync!$AF963),Sync!$AF963&gt;=0,Sync!$AF963&lt;1),RIGHT("00"&amp;HOUR(Sync!$AF963),2)&amp;RIGHT("00"&amp;MINUTE(Sync!$AF963),2),IFERROR(RIGHT("00"&amp;VALUE(LEFT(Sync!$AF963,FIND(":",Sync!$AF963)-1)),2)&amp;RIGHT("00"&amp;VALUE(MID(Sync!$AF963,FIND(":",Sync!$AF963)+1,2)),2),"0000"))))</f>
        <v/>
      </c>
    </row>
    <row r="964" spans="1:14" x14ac:dyDescent="0.2">
      <c r="A964" t="str">
        <f>IF(OR(Calc!$E968="",Calc!$E968="نامعتبر",Calc!$G968=""),"",Calc!$G968)</f>
        <v/>
      </c>
      <c r="B964" t="str">
        <f>IF($A964="","",LEFT(Calc!$E968,4)&amp;MID(Calc!$E968,6,2)&amp;RIGHT(Calc!$E968,2)&amp;Calc!$Q968&amp;"|"&amp;"1"&amp;RIGHT("00000"&amp;959,5))</f>
        <v/>
      </c>
      <c r="C964" t="str">
        <f t="shared" si="70"/>
        <v/>
      </c>
      <c r="D964" t="str">
        <f t="shared" si="71"/>
        <v/>
      </c>
      <c r="F964" t="str">
        <f>IF(Sync!$AH964="","",IF(LEFT(UPPER(TRIM(Sync!$AH964)),2)="SL",UPPER(TRIM(Sync!$AH964)),""))</f>
        <v/>
      </c>
      <c r="G964" t="str">
        <f>IF($F964="","",IF(Sync!$AE964="","",IF(ISNUMBER(Sync!$AE964),IF(AND(Sync!$AE964&gt;=10000101,Sync!$AE964&lt;=99991231),INT(Sync!$AE964/10000),""),IFERROR(VALUE(TRIM(LEFT(Sync!$AE964,FIND("/",Sync!$AE964)-1))),""))))</f>
        <v/>
      </c>
      <c r="H964" t="str">
        <f>IF(OR($F964="",$G964=""),"",IF(ISNUMBER(Sync!$AE964),INT(MOD(Sync!$AE964,10000)/100),IFERROR(VALUE(TRIM(LEFT(MID(Sync!$AE964,FIND("/",Sync!$AE964)+1,20),FIND("/",MID(Sync!$AE964,FIND("/",Sync!$AE964)+1,20))-1))),"")))</f>
        <v/>
      </c>
      <c r="I964" t="str">
        <f>IF(OR($F964="",$G964=""),"",IF(ISNUMBER(Sync!$AE964),MOD(Sync!$AE964,100),IFERROR(VALUE(TRIM(MID(MID(Sync!$AE964,FIND("/",Sync!$AE964)+1,20),FIND("/",MID(Sync!$AE964,FIND("/",Sync!$AE964)+1,20))+1,20))),"")))</f>
        <v/>
      </c>
      <c r="J964" t="str">
        <f t="shared" si="72"/>
        <v/>
      </c>
      <c r="K964" t="str">
        <f>IF(OR($F964="",$J964="",$J964="نامعتبر"),"",LEFT($J964,4)&amp;MID($J964,6,2)&amp;RIGHT($J964,2)&amp;$N964&amp;"|"&amp;"2"&amp;RIGHT("00000"&amp;959,5))</f>
        <v/>
      </c>
      <c r="L964" t="str">
        <f t="shared" si="73"/>
        <v/>
      </c>
      <c r="M964" t="str">
        <f t="shared" si="74"/>
        <v/>
      </c>
      <c r="N964" t="str">
        <f>IF($F964="","",IF(Sync!$AF964="","0000",IF(AND(ISNUMBER(Sync!$AF964),Sync!$AF964&gt;=0,Sync!$AF964&lt;1),RIGHT("00"&amp;HOUR(Sync!$AF964),2)&amp;RIGHT("00"&amp;MINUTE(Sync!$AF964),2),IFERROR(RIGHT("00"&amp;VALUE(LEFT(Sync!$AF964,FIND(":",Sync!$AF964)-1)),2)&amp;RIGHT("00"&amp;VALUE(MID(Sync!$AF964,FIND(":",Sync!$AF964)+1,2)),2),"0000"))))</f>
        <v/>
      </c>
    </row>
    <row r="965" spans="1:14" x14ac:dyDescent="0.2">
      <c r="A965" t="str">
        <f>IF(OR(Calc!$E969="",Calc!$E969="نامعتبر",Calc!$G969=""),"",Calc!$G969)</f>
        <v/>
      </c>
      <c r="B965" t="str">
        <f>IF($A965="","",LEFT(Calc!$E969,4)&amp;MID(Calc!$E969,6,2)&amp;RIGHT(Calc!$E969,2)&amp;Calc!$Q969&amp;"|"&amp;"1"&amp;RIGHT("00000"&amp;960,5))</f>
        <v/>
      </c>
      <c r="C965" t="str">
        <f t="shared" si="70"/>
        <v/>
      </c>
      <c r="D965" t="str">
        <f t="shared" si="71"/>
        <v/>
      </c>
      <c r="F965" t="str">
        <f>IF(Sync!$AH965="","",IF(LEFT(UPPER(TRIM(Sync!$AH965)),2)="SL",UPPER(TRIM(Sync!$AH965)),""))</f>
        <v/>
      </c>
      <c r="G965" t="str">
        <f>IF($F965="","",IF(Sync!$AE965="","",IF(ISNUMBER(Sync!$AE965),IF(AND(Sync!$AE965&gt;=10000101,Sync!$AE965&lt;=99991231),INT(Sync!$AE965/10000),""),IFERROR(VALUE(TRIM(LEFT(Sync!$AE965,FIND("/",Sync!$AE965)-1))),""))))</f>
        <v/>
      </c>
      <c r="H965" t="str">
        <f>IF(OR($F965="",$G965=""),"",IF(ISNUMBER(Sync!$AE965),INT(MOD(Sync!$AE965,10000)/100),IFERROR(VALUE(TRIM(LEFT(MID(Sync!$AE965,FIND("/",Sync!$AE965)+1,20),FIND("/",MID(Sync!$AE965,FIND("/",Sync!$AE965)+1,20))-1))),"")))</f>
        <v/>
      </c>
      <c r="I965" t="str">
        <f>IF(OR($F965="",$G965=""),"",IF(ISNUMBER(Sync!$AE965),MOD(Sync!$AE965,100),IFERROR(VALUE(TRIM(MID(MID(Sync!$AE965,FIND("/",Sync!$AE965)+1,20),FIND("/",MID(Sync!$AE965,FIND("/",Sync!$AE965)+1,20))+1,20))),"")))</f>
        <v/>
      </c>
      <c r="J965" t="str">
        <f t="shared" si="72"/>
        <v/>
      </c>
      <c r="K965" t="str">
        <f>IF(OR($F965="",$J965="",$J965="نامعتبر"),"",LEFT($J965,4)&amp;MID($J965,6,2)&amp;RIGHT($J965,2)&amp;$N965&amp;"|"&amp;"2"&amp;RIGHT("00000"&amp;960,5))</f>
        <v/>
      </c>
      <c r="L965" t="str">
        <f t="shared" si="73"/>
        <v/>
      </c>
      <c r="M965" t="str">
        <f t="shared" si="74"/>
        <v/>
      </c>
      <c r="N965" t="str">
        <f>IF($F965="","",IF(Sync!$AF965="","0000",IF(AND(ISNUMBER(Sync!$AF965),Sync!$AF965&gt;=0,Sync!$AF965&lt;1),RIGHT("00"&amp;HOUR(Sync!$AF965),2)&amp;RIGHT("00"&amp;MINUTE(Sync!$AF965),2),IFERROR(RIGHT("00"&amp;VALUE(LEFT(Sync!$AF965,FIND(":",Sync!$AF965)-1)),2)&amp;RIGHT("00"&amp;VALUE(MID(Sync!$AF965,FIND(":",Sync!$AF965)+1,2)),2),"0000"))))</f>
        <v/>
      </c>
    </row>
    <row r="966" spans="1:14" x14ac:dyDescent="0.2">
      <c r="A966" t="str">
        <f>IF(OR(Calc!$E970="",Calc!$E970="نامعتبر",Calc!$G970=""),"",Calc!$G970)</f>
        <v/>
      </c>
      <c r="B966" t="str">
        <f>IF($A966="","",LEFT(Calc!$E970,4)&amp;MID(Calc!$E970,6,2)&amp;RIGHT(Calc!$E970,2)&amp;Calc!$Q970&amp;"|"&amp;"1"&amp;RIGHT("00000"&amp;961,5))</f>
        <v/>
      </c>
      <c r="C966" t="str">
        <f t="shared" ref="C966:C1029" si="75">IF($B966="","",COUNTIFS(LdgSellerA,$A966,LdgKeyA,"&lt;"&amp;$B966)+COUNTIFS(LdgSellerB,$A966,LdgKeyB,"&lt;"&amp;$B966)+1)</f>
        <v/>
      </c>
      <c r="D966" t="str">
        <f t="shared" ref="D966:D1029" si="76">IF($C966="","",$A966&amp;"|"&amp;RIGHT("000000"&amp;$C966,6))</f>
        <v/>
      </c>
      <c r="F966" t="str">
        <f>IF(Sync!$AH966="","",IF(LEFT(UPPER(TRIM(Sync!$AH966)),2)="SL",UPPER(TRIM(Sync!$AH966)),""))</f>
        <v/>
      </c>
      <c r="G966" t="str">
        <f>IF($F966="","",IF(Sync!$AE966="","",IF(ISNUMBER(Sync!$AE966),IF(AND(Sync!$AE966&gt;=10000101,Sync!$AE966&lt;=99991231),INT(Sync!$AE966/10000),""),IFERROR(VALUE(TRIM(LEFT(Sync!$AE966,FIND("/",Sync!$AE966)-1))),""))))</f>
        <v/>
      </c>
      <c r="H966" t="str">
        <f>IF(OR($F966="",$G966=""),"",IF(ISNUMBER(Sync!$AE966),INT(MOD(Sync!$AE966,10000)/100),IFERROR(VALUE(TRIM(LEFT(MID(Sync!$AE966,FIND("/",Sync!$AE966)+1,20),FIND("/",MID(Sync!$AE966,FIND("/",Sync!$AE966)+1,20))-1))),"")))</f>
        <v/>
      </c>
      <c r="I966" t="str">
        <f>IF(OR($F966="",$G966=""),"",IF(ISNUMBER(Sync!$AE966),MOD(Sync!$AE966,100),IFERROR(VALUE(TRIM(MID(MID(Sync!$AE966,FIND("/",Sync!$AE966)+1,20),FIND("/",MID(Sync!$AE966,FIND("/",Sync!$AE966)+1,20))+1,20))),"")))</f>
        <v/>
      </c>
      <c r="J966" t="str">
        <f t="shared" ref="J966:J1029" si="77">IF($F966="","",IF(OR($G966="",$H966="",$I966="",$G966&lt;1300,$G966&gt;1500,$H966&lt;1,$H966&gt;12,$I966&lt;1,$I966&gt;31),"نامعتبر",RIGHT("0000"&amp;$G966,4)&amp;"/"&amp;RIGHT("00"&amp;$H966,2)&amp;"/"&amp;RIGHT("00"&amp;$I966,2)))</f>
        <v/>
      </c>
      <c r="K966" t="str">
        <f>IF(OR($F966="",$J966="",$J966="نامعتبر"),"",LEFT($J966,4)&amp;MID($J966,6,2)&amp;RIGHT($J966,2)&amp;$N966&amp;"|"&amp;"2"&amp;RIGHT("00000"&amp;961,5))</f>
        <v/>
      </c>
      <c r="L966" t="str">
        <f t="shared" ref="L966:L1029" si="78">IF($K966="","",COUNTIFS(LdgSellerA,$F966,LdgKeyA,"&lt;"&amp;$K966)+COUNTIFS(LdgSellerB,$F966,LdgKeyB,"&lt;"&amp;$K966)+1)</f>
        <v/>
      </c>
      <c r="M966" t="str">
        <f t="shared" ref="M966:M1029" si="79">IF($L966="","",$F966&amp;"|"&amp;RIGHT("000000"&amp;$L966,6))</f>
        <v/>
      </c>
      <c r="N966" t="str">
        <f>IF($F966="","",IF(Sync!$AF966="","0000",IF(AND(ISNUMBER(Sync!$AF966),Sync!$AF966&gt;=0,Sync!$AF966&lt;1),RIGHT("00"&amp;HOUR(Sync!$AF966),2)&amp;RIGHT("00"&amp;MINUTE(Sync!$AF966),2),IFERROR(RIGHT("00"&amp;VALUE(LEFT(Sync!$AF966,FIND(":",Sync!$AF966)-1)),2)&amp;RIGHT("00"&amp;VALUE(MID(Sync!$AF966,FIND(":",Sync!$AF966)+1,2)),2),"0000"))))</f>
        <v/>
      </c>
    </row>
    <row r="967" spans="1:14" x14ac:dyDescent="0.2">
      <c r="A967" t="str">
        <f>IF(OR(Calc!$E971="",Calc!$E971="نامعتبر",Calc!$G971=""),"",Calc!$G971)</f>
        <v/>
      </c>
      <c r="B967" t="str">
        <f>IF($A967="","",LEFT(Calc!$E971,4)&amp;MID(Calc!$E971,6,2)&amp;RIGHT(Calc!$E971,2)&amp;Calc!$Q971&amp;"|"&amp;"1"&amp;RIGHT("00000"&amp;962,5))</f>
        <v/>
      </c>
      <c r="C967" t="str">
        <f t="shared" si="75"/>
        <v/>
      </c>
      <c r="D967" t="str">
        <f t="shared" si="76"/>
        <v/>
      </c>
      <c r="F967" t="str">
        <f>IF(Sync!$AH967="","",IF(LEFT(UPPER(TRIM(Sync!$AH967)),2)="SL",UPPER(TRIM(Sync!$AH967)),""))</f>
        <v/>
      </c>
      <c r="G967" t="str">
        <f>IF($F967="","",IF(Sync!$AE967="","",IF(ISNUMBER(Sync!$AE967),IF(AND(Sync!$AE967&gt;=10000101,Sync!$AE967&lt;=99991231),INT(Sync!$AE967/10000),""),IFERROR(VALUE(TRIM(LEFT(Sync!$AE967,FIND("/",Sync!$AE967)-1))),""))))</f>
        <v/>
      </c>
      <c r="H967" t="str">
        <f>IF(OR($F967="",$G967=""),"",IF(ISNUMBER(Sync!$AE967),INT(MOD(Sync!$AE967,10000)/100),IFERROR(VALUE(TRIM(LEFT(MID(Sync!$AE967,FIND("/",Sync!$AE967)+1,20),FIND("/",MID(Sync!$AE967,FIND("/",Sync!$AE967)+1,20))-1))),"")))</f>
        <v/>
      </c>
      <c r="I967" t="str">
        <f>IF(OR($F967="",$G967=""),"",IF(ISNUMBER(Sync!$AE967),MOD(Sync!$AE967,100),IFERROR(VALUE(TRIM(MID(MID(Sync!$AE967,FIND("/",Sync!$AE967)+1,20),FIND("/",MID(Sync!$AE967,FIND("/",Sync!$AE967)+1,20))+1,20))),"")))</f>
        <v/>
      </c>
      <c r="J967" t="str">
        <f t="shared" si="77"/>
        <v/>
      </c>
      <c r="K967" t="str">
        <f>IF(OR($F967="",$J967="",$J967="نامعتبر"),"",LEFT($J967,4)&amp;MID($J967,6,2)&amp;RIGHT($J967,2)&amp;$N967&amp;"|"&amp;"2"&amp;RIGHT("00000"&amp;962,5))</f>
        <v/>
      </c>
      <c r="L967" t="str">
        <f t="shared" si="78"/>
        <v/>
      </c>
      <c r="M967" t="str">
        <f t="shared" si="79"/>
        <v/>
      </c>
      <c r="N967" t="str">
        <f>IF($F967="","",IF(Sync!$AF967="","0000",IF(AND(ISNUMBER(Sync!$AF967),Sync!$AF967&gt;=0,Sync!$AF967&lt;1),RIGHT("00"&amp;HOUR(Sync!$AF967),2)&amp;RIGHT("00"&amp;MINUTE(Sync!$AF967),2),IFERROR(RIGHT("00"&amp;VALUE(LEFT(Sync!$AF967,FIND(":",Sync!$AF967)-1)),2)&amp;RIGHT("00"&amp;VALUE(MID(Sync!$AF967,FIND(":",Sync!$AF967)+1,2)),2),"0000"))))</f>
        <v/>
      </c>
    </row>
    <row r="968" spans="1:14" x14ac:dyDescent="0.2">
      <c r="A968" t="str">
        <f>IF(OR(Calc!$E972="",Calc!$E972="نامعتبر",Calc!$G972=""),"",Calc!$G972)</f>
        <v/>
      </c>
      <c r="B968" t="str">
        <f>IF($A968="","",LEFT(Calc!$E972,4)&amp;MID(Calc!$E972,6,2)&amp;RIGHT(Calc!$E972,2)&amp;Calc!$Q972&amp;"|"&amp;"1"&amp;RIGHT("00000"&amp;963,5))</f>
        <v/>
      </c>
      <c r="C968" t="str">
        <f t="shared" si="75"/>
        <v/>
      </c>
      <c r="D968" t="str">
        <f t="shared" si="76"/>
        <v/>
      </c>
      <c r="F968" t="str">
        <f>IF(Sync!$AH968="","",IF(LEFT(UPPER(TRIM(Sync!$AH968)),2)="SL",UPPER(TRIM(Sync!$AH968)),""))</f>
        <v/>
      </c>
      <c r="G968" t="str">
        <f>IF($F968="","",IF(Sync!$AE968="","",IF(ISNUMBER(Sync!$AE968),IF(AND(Sync!$AE968&gt;=10000101,Sync!$AE968&lt;=99991231),INT(Sync!$AE968/10000),""),IFERROR(VALUE(TRIM(LEFT(Sync!$AE968,FIND("/",Sync!$AE968)-1))),""))))</f>
        <v/>
      </c>
      <c r="H968" t="str">
        <f>IF(OR($F968="",$G968=""),"",IF(ISNUMBER(Sync!$AE968),INT(MOD(Sync!$AE968,10000)/100),IFERROR(VALUE(TRIM(LEFT(MID(Sync!$AE968,FIND("/",Sync!$AE968)+1,20),FIND("/",MID(Sync!$AE968,FIND("/",Sync!$AE968)+1,20))-1))),"")))</f>
        <v/>
      </c>
      <c r="I968" t="str">
        <f>IF(OR($F968="",$G968=""),"",IF(ISNUMBER(Sync!$AE968),MOD(Sync!$AE968,100),IFERROR(VALUE(TRIM(MID(MID(Sync!$AE968,FIND("/",Sync!$AE968)+1,20),FIND("/",MID(Sync!$AE968,FIND("/",Sync!$AE968)+1,20))+1,20))),"")))</f>
        <v/>
      </c>
      <c r="J968" t="str">
        <f t="shared" si="77"/>
        <v/>
      </c>
      <c r="K968" t="str">
        <f>IF(OR($F968="",$J968="",$J968="نامعتبر"),"",LEFT($J968,4)&amp;MID($J968,6,2)&amp;RIGHT($J968,2)&amp;$N968&amp;"|"&amp;"2"&amp;RIGHT("00000"&amp;963,5))</f>
        <v/>
      </c>
      <c r="L968" t="str">
        <f t="shared" si="78"/>
        <v/>
      </c>
      <c r="M968" t="str">
        <f t="shared" si="79"/>
        <v/>
      </c>
      <c r="N968" t="str">
        <f>IF($F968="","",IF(Sync!$AF968="","0000",IF(AND(ISNUMBER(Sync!$AF968),Sync!$AF968&gt;=0,Sync!$AF968&lt;1),RIGHT("00"&amp;HOUR(Sync!$AF968),2)&amp;RIGHT("00"&amp;MINUTE(Sync!$AF968),2),IFERROR(RIGHT("00"&amp;VALUE(LEFT(Sync!$AF968,FIND(":",Sync!$AF968)-1)),2)&amp;RIGHT("00"&amp;VALUE(MID(Sync!$AF968,FIND(":",Sync!$AF968)+1,2)),2),"0000"))))</f>
        <v/>
      </c>
    </row>
    <row r="969" spans="1:14" x14ac:dyDescent="0.2">
      <c r="A969" t="str">
        <f>IF(OR(Calc!$E973="",Calc!$E973="نامعتبر",Calc!$G973=""),"",Calc!$G973)</f>
        <v/>
      </c>
      <c r="B969" t="str">
        <f>IF($A969="","",LEFT(Calc!$E973,4)&amp;MID(Calc!$E973,6,2)&amp;RIGHT(Calc!$E973,2)&amp;Calc!$Q973&amp;"|"&amp;"1"&amp;RIGHT("00000"&amp;964,5))</f>
        <v/>
      </c>
      <c r="C969" t="str">
        <f t="shared" si="75"/>
        <v/>
      </c>
      <c r="D969" t="str">
        <f t="shared" si="76"/>
        <v/>
      </c>
      <c r="F969" t="str">
        <f>IF(Sync!$AH969="","",IF(LEFT(UPPER(TRIM(Sync!$AH969)),2)="SL",UPPER(TRIM(Sync!$AH969)),""))</f>
        <v/>
      </c>
      <c r="G969" t="str">
        <f>IF($F969="","",IF(Sync!$AE969="","",IF(ISNUMBER(Sync!$AE969),IF(AND(Sync!$AE969&gt;=10000101,Sync!$AE969&lt;=99991231),INT(Sync!$AE969/10000),""),IFERROR(VALUE(TRIM(LEFT(Sync!$AE969,FIND("/",Sync!$AE969)-1))),""))))</f>
        <v/>
      </c>
      <c r="H969" t="str">
        <f>IF(OR($F969="",$G969=""),"",IF(ISNUMBER(Sync!$AE969),INT(MOD(Sync!$AE969,10000)/100),IFERROR(VALUE(TRIM(LEFT(MID(Sync!$AE969,FIND("/",Sync!$AE969)+1,20),FIND("/",MID(Sync!$AE969,FIND("/",Sync!$AE969)+1,20))-1))),"")))</f>
        <v/>
      </c>
      <c r="I969" t="str">
        <f>IF(OR($F969="",$G969=""),"",IF(ISNUMBER(Sync!$AE969),MOD(Sync!$AE969,100),IFERROR(VALUE(TRIM(MID(MID(Sync!$AE969,FIND("/",Sync!$AE969)+1,20),FIND("/",MID(Sync!$AE969,FIND("/",Sync!$AE969)+1,20))+1,20))),"")))</f>
        <v/>
      </c>
      <c r="J969" t="str">
        <f t="shared" si="77"/>
        <v/>
      </c>
      <c r="K969" t="str">
        <f>IF(OR($F969="",$J969="",$J969="نامعتبر"),"",LEFT($J969,4)&amp;MID($J969,6,2)&amp;RIGHT($J969,2)&amp;$N969&amp;"|"&amp;"2"&amp;RIGHT("00000"&amp;964,5))</f>
        <v/>
      </c>
      <c r="L969" t="str">
        <f t="shared" si="78"/>
        <v/>
      </c>
      <c r="M969" t="str">
        <f t="shared" si="79"/>
        <v/>
      </c>
      <c r="N969" t="str">
        <f>IF($F969="","",IF(Sync!$AF969="","0000",IF(AND(ISNUMBER(Sync!$AF969),Sync!$AF969&gt;=0,Sync!$AF969&lt;1),RIGHT("00"&amp;HOUR(Sync!$AF969),2)&amp;RIGHT("00"&amp;MINUTE(Sync!$AF969),2),IFERROR(RIGHT("00"&amp;VALUE(LEFT(Sync!$AF969,FIND(":",Sync!$AF969)-1)),2)&amp;RIGHT("00"&amp;VALUE(MID(Sync!$AF969,FIND(":",Sync!$AF969)+1,2)),2),"0000"))))</f>
        <v/>
      </c>
    </row>
    <row r="970" spans="1:14" x14ac:dyDescent="0.2">
      <c r="A970" t="str">
        <f>IF(OR(Calc!$E974="",Calc!$E974="نامعتبر",Calc!$G974=""),"",Calc!$G974)</f>
        <v/>
      </c>
      <c r="B970" t="str">
        <f>IF($A970="","",LEFT(Calc!$E974,4)&amp;MID(Calc!$E974,6,2)&amp;RIGHT(Calc!$E974,2)&amp;Calc!$Q974&amp;"|"&amp;"1"&amp;RIGHT("00000"&amp;965,5))</f>
        <v/>
      </c>
      <c r="C970" t="str">
        <f t="shared" si="75"/>
        <v/>
      </c>
      <c r="D970" t="str">
        <f t="shared" si="76"/>
        <v/>
      </c>
      <c r="F970" t="str">
        <f>IF(Sync!$AH970="","",IF(LEFT(UPPER(TRIM(Sync!$AH970)),2)="SL",UPPER(TRIM(Sync!$AH970)),""))</f>
        <v/>
      </c>
      <c r="G970" t="str">
        <f>IF($F970="","",IF(Sync!$AE970="","",IF(ISNUMBER(Sync!$AE970),IF(AND(Sync!$AE970&gt;=10000101,Sync!$AE970&lt;=99991231),INT(Sync!$AE970/10000),""),IFERROR(VALUE(TRIM(LEFT(Sync!$AE970,FIND("/",Sync!$AE970)-1))),""))))</f>
        <v/>
      </c>
      <c r="H970" t="str">
        <f>IF(OR($F970="",$G970=""),"",IF(ISNUMBER(Sync!$AE970),INT(MOD(Sync!$AE970,10000)/100),IFERROR(VALUE(TRIM(LEFT(MID(Sync!$AE970,FIND("/",Sync!$AE970)+1,20),FIND("/",MID(Sync!$AE970,FIND("/",Sync!$AE970)+1,20))-1))),"")))</f>
        <v/>
      </c>
      <c r="I970" t="str">
        <f>IF(OR($F970="",$G970=""),"",IF(ISNUMBER(Sync!$AE970),MOD(Sync!$AE970,100),IFERROR(VALUE(TRIM(MID(MID(Sync!$AE970,FIND("/",Sync!$AE970)+1,20),FIND("/",MID(Sync!$AE970,FIND("/",Sync!$AE970)+1,20))+1,20))),"")))</f>
        <v/>
      </c>
      <c r="J970" t="str">
        <f t="shared" si="77"/>
        <v/>
      </c>
      <c r="K970" t="str">
        <f>IF(OR($F970="",$J970="",$J970="نامعتبر"),"",LEFT($J970,4)&amp;MID($J970,6,2)&amp;RIGHT($J970,2)&amp;$N970&amp;"|"&amp;"2"&amp;RIGHT("00000"&amp;965,5))</f>
        <v/>
      </c>
      <c r="L970" t="str">
        <f t="shared" si="78"/>
        <v/>
      </c>
      <c r="M970" t="str">
        <f t="shared" si="79"/>
        <v/>
      </c>
      <c r="N970" t="str">
        <f>IF($F970="","",IF(Sync!$AF970="","0000",IF(AND(ISNUMBER(Sync!$AF970),Sync!$AF970&gt;=0,Sync!$AF970&lt;1),RIGHT("00"&amp;HOUR(Sync!$AF970),2)&amp;RIGHT("00"&amp;MINUTE(Sync!$AF970),2),IFERROR(RIGHT("00"&amp;VALUE(LEFT(Sync!$AF970,FIND(":",Sync!$AF970)-1)),2)&amp;RIGHT("00"&amp;VALUE(MID(Sync!$AF970,FIND(":",Sync!$AF970)+1,2)),2),"0000"))))</f>
        <v/>
      </c>
    </row>
    <row r="971" spans="1:14" x14ac:dyDescent="0.2">
      <c r="A971" t="str">
        <f>IF(OR(Calc!$E975="",Calc!$E975="نامعتبر",Calc!$G975=""),"",Calc!$G975)</f>
        <v/>
      </c>
      <c r="B971" t="str">
        <f>IF($A971="","",LEFT(Calc!$E975,4)&amp;MID(Calc!$E975,6,2)&amp;RIGHT(Calc!$E975,2)&amp;Calc!$Q975&amp;"|"&amp;"1"&amp;RIGHT("00000"&amp;966,5))</f>
        <v/>
      </c>
      <c r="C971" t="str">
        <f t="shared" si="75"/>
        <v/>
      </c>
      <c r="D971" t="str">
        <f t="shared" si="76"/>
        <v/>
      </c>
      <c r="F971" t="str">
        <f>IF(Sync!$AH971="","",IF(LEFT(UPPER(TRIM(Sync!$AH971)),2)="SL",UPPER(TRIM(Sync!$AH971)),""))</f>
        <v/>
      </c>
      <c r="G971" t="str">
        <f>IF($F971="","",IF(Sync!$AE971="","",IF(ISNUMBER(Sync!$AE971),IF(AND(Sync!$AE971&gt;=10000101,Sync!$AE971&lt;=99991231),INT(Sync!$AE971/10000),""),IFERROR(VALUE(TRIM(LEFT(Sync!$AE971,FIND("/",Sync!$AE971)-1))),""))))</f>
        <v/>
      </c>
      <c r="H971" t="str">
        <f>IF(OR($F971="",$G971=""),"",IF(ISNUMBER(Sync!$AE971),INT(MOD(Sync!$AE971,10000)/100),IFERROR(VALUE(TRIM(LEFT(MID(Sync!$AE971,FIND("/",Sync!$AE971)+1,20),FIND("/",MID(Sync!$AE971,FIND("/",Sync!$AE971)+1,20))-1))),"")))</f>
        <v/>
      </c>
      <c r="I971" t="str">
        <f>IF(OR($F971="",$G971=""),"",IF(ISNUMBER(Sync!$AE971),MOD(Sync!$AE971,100),IFERROR(VALUE(TRIM(MID(MID(Sync!$AE971,FIND("/",Sync!$AE971)+1,20),FIND("/",MID(Sync!$AE971,FIND("/",Sync!$AE971)+1,20))+1,20))),"")))</f>
        <v/>
      </c>
      <c r="J971" t="str">
        <f t="shared" si="77"/>
        <v/>
      </c>
      <c r="K971" t="str">
        <f>IF(OR($F971="",$J971="",$J971="نامعتبر"),"",LEFT($J971,4)&amp;MID($J971,6,2)&amp;RIGHT($J971,2)&amp;$N971&amp;"|"&amp;"2"&amp;RIGHT("00000"&amp;966,5))</f>
        <v/>
      </c>
      <c r="L971" t="str">
        <f t="shared" si="78"/>
        <v/>
      </c>
      <c r="M971" t="str">
        <f t="shared" si="79"/>
        <v/>
      </c>
      <c r="N971" t="str">
        <f>IF($F971="","",IF(Sync!$AF971="","0000",IF(AND(ISNUMBER(Sync!$AF971),Sync!$AF971&gt;=0,Sync!$AF971&lt;1),RIGHT("00"&amp;HOUR(Sync!$AF971),2)&amp;RIGHT("00"&amp;MINUTE(Sync!$AF971),2),IFERROR(RIGHT("00"&amp;VALUE(LEFT(Sync!$AF971,FIND(":",Sync!$AF971)-1)),2)&amp;RIGHT("00"&amp;VALUE(MID(Sync!$AF971,FIND(":",Sync!$AF971)+1,2)),2),"0000"))))</f>
        <v/>
      </c>
    </row>
    <row r="972" spans="1:14" x14ac:dyDescent="0.2">
      <c r="A972" t="str">
        <f>IF(OR(Calc!$E976="",Calc!$E976="نامعتبر",Calc!$G976=""),"",Calc!$G976)</f>
        <v/>
      </c>
      <c r="B972" t="str">
        <f>IF($A972="","",LEFT(Calc!$E976,4)&amp;MID(Calc!$E976,6,2)&amp;RIGHT(Calc!$E976,2)&amp;Calc!$Q976&amp;"|"&amp;"1"&amp;RIGHT("00000"&amp;967,5))</f>
        <v/>
      </c>
      <c r="C972" t="str">
        <f t="shared" si="75"/>
        <v/>
      </c>
      <c r="D972" t="str">
        <f t="shared" si="76"/>
        <v/>
      </c>
      <c r="F972" t="str">
        <f>IF(Sync!$AH972="","",IF(LEFT(UPPER(TRIM(Sync!$AH972)),2)="SL",UPPER(TRIM(Sync!$AH972)),""))</f>
        <v/>
      </c>
      <c r="G972" t="str">
        <f>IF($F972="","",IF(Sync!$AE972="","",IF(ISNUMBER(Sync!$AE972),IF(AND(Sync!$AE972&gt;=10000101,Sync!$AE972&lt;=99991231),INT(Sync!$AE972/10000),""),IFERROR(VALUE(TRIM(LEFT(Sync!$AE972,FIND("/",Sync!$AE972)-1))),""))))</f>
        <v/>
      </c>
      <c r="H972" t="str">
        <f>IF(OR($F972="",$G972=""),"",IF(ISNUMBER(Sync!$AE972),INT(MOD(Sync!$AE972,10000)/100),IFERROR(VALUE(TRIM(LEFT(MID(Sync!$AE972,FIND("/",Sync!$AE972)+1,20),FIND("/",MID(Sync!$AE972,FIND("/",Sync!$AE972)+1,20))-1))),"")))</f>
        <v/>
      </c>
      <c r="I972" t="str">
        <f>IF(OR($F972="",$G972=""),"",IF(ISNUMBER(Sync!$AE972),MOD(Sync!$AE972,100),IFERROR(VALUE(TRIM(MID(MID(Sync!$AE972,FIND("/",Sync!$AE972)+1,20),FIND("/",MID(Sync!$AE972,FIND("/",Sync!$AE972)+1,20))+1,20))),"")))</f>
        <v/>
      </c>
      <c r="J972" t="str">
        <f t="shared" si="77"/>
        <v/>
      </c>
      <c r="K972" t="str">
        <f>IF(OR($F972="",$J972="",$J972="نامعتبر"),"",LEFT($J972,4)&amp;MID($J972,6,2)&amp;RIGHT($J972,2)&amp;$N972&amp;"|"&amp;"2"&amp;RIGHT("00000"&amp;967,5))</f>
        <v/>
      </c>
      <c r="L972" t="str">
        <f t="shared" si="78"/>
        <v/>
      </c>
      <c r="M972" t="str">
        <f t="shared" si="79"/>
        <v/>
      </c>
      <c r="N972" t="str">
        <f>IF($F972="","",IF(Sync!$AF972="","0000",IF(AND(ISNUMBER(Sync!$AF972),Sync!$AF972&gt;=0,Sync!$AF972&lt;1),RIGHT("00"&amp;HOUR(Sync!$AF972),2)&amp;RIGHT("00"&amp;MINUTE(Sync!$AF972),2),IFERROR(RIGHT("00"&amp;VALUE(LEFT(Sync!$AF972,FIND(":",Sync!$AF972)-1)),2)&amp;RIGHT("00"&amp;VALUE(MID(Sync!$AF972,FIND(":",Sync!$AF972)+1,2)),2),"0000"))))</f>
        <v/>
      </c>
    </row>
    <row r="973" spans="1:14" x14ac:dyDescent="0.2">
      <c r="A973" t="str">
        <f>IF(OR(Calc!$E977="",Calc!$E977="نامعتبر",Calc!$G977=""),"",Calc!$G977)</f>
        <v/>
      </c>
      <c r="B973" t="str">
        <f>IF($A973="","",LEFT(Calc!$E977,4)&amp;MID(Calc!$E977,6,2)&amp;RIGHT(Calc!$E977,2)&amp;Calc!$Q977&amp;"|"&amp;"1"&amp;RIGHT("00000"&amp;968,5))</f>
        <v/>
      </c>
      <c r="C973" t="str">
        <f t="shared" si="75"/>
        <v/>
      </c>
      <c r="D973" t="str">
        <f t="shared" si="76"/>
        <v/>
      </c>
      <c r="F973" t="str">
        <f>IF(Sync!$AH973="","",IF(LEFT(UPPER(TRIM(Sync!$AH973)),2)="SL",UPPER(TRIM(Sync!$AH973)),""))</f>
        <v/>
      </c>
      <c r="G973" t="str">
        <f>IF($F973="","",IF(Sync!$AE973="","",IF(ISNUMBER(Sync!$AE973),IF(AND(Sync!$AE973&gt;=10000101,Sync!$AE973&lt;=99991231),INT(Sync!$AE973/10000),""),IFERROR(VALUE(TRIM(LEFT(Sync!$AE973,FIND("/",Sync!$AE973)-1))),""))))</f>
        <v/>
      </c>
      <c r="H973" t="str">
        <f>IF(OR($F973="",$G973=""),"",IF(ISNUMBER(Sync!$AE973),INT(MOD(Sync!$AE973,10000)/100),IFERROR(VALUE(TRIM(LEFT(MID(Sync!$AE973,FIND("/",Sync!$AE973)+1,20),FIND("/",MID(Sync!$AE973,FIND("/",Sync!$AE973)+1,20))-1))),"")))</f>
        <v/>
      </c>
      <c r="I973" t="str">
        <f>IF(OR($F973="",$G973=""),"",IF(ISNUMBER(Sync!$AE973),MOD(Sync!$AE973,100),IFERROR(VALUE(TRIM(MID(MID(Sync!$AE973,FIND("/",Sync!$AE973)+1,20),FIND("/",MID(Sync!$AE973,FIND("/",Sync!$AE973)+1,20))+1,20))),"")))</f>
        <v/>
      </c>
      <c r="J973" t="str">
        <f t="shared" si="77"/>
        <v/>
      </c>
      <c r="K973" t="str">
        <f>IF(OR($F973="",$J973="",$J973="نامعتبر"),"",LEFT($J973,4)&amp;MID($J973,6,2)&amp;RIGHT($J973,2)&amp;$N973&amp;"|"&amp;"2"&amp;RIGHT("00000"&amp;968,5))</f>
        <v/>
      </c>
      <c r="L973" t="str">
        <f t="shared" si="78"/>
        <v/>
      </c>
      <c r="M973" t="str">
        <f t="shared" si="79"/>
        <v/>
      </c>
      <c r="N973" t="str">
        <f>IF($F973="","",IF(Sync!$AF973="","0000",IF(AND(ISNUMBER(Sync!$AF973),Sync!$AF973&gt;=0,Sync!$AF973&lt;1),RIGHT("00"&amp;HOUR(Sync!$AF973),2)&amp;RIGHT("00"&amp;MINUTE(Sync!$AF973),2),IFERROR(RIGHT("00"&amp;VALUE(LEFT(Sync!$AF973,FIND(":",Sync!$AF973)-1)),2)&amp;RIGHT("00"&amp;VALUE(MID(Sync!$AF973,FIND(":",Sync!$AF973)+1,2)),2),"0000"))))</f>
        <v/>
      </c>
    </row>
    <row r="974" spans="1:14" x14ac:dyDescent="0.2">
      <c r="A974" t="str">
        <f>IF(OR(Calc!$E978="",Calc!$E978="نامعتبر",Calc!$G978=""),"",Calc!$G978)</f>
        <v/>
      </c>
      <c r="B974" t="str">
        <f>IF($A974="","",LEFT(Calc!$E978,4)&amp;MID(Calc!$E978,6,2)&amp;RIGHT(Calc!$E978,2)&amp;Calc!$Q978&amp;"|"&amp;"1"&amp;RIGHT("00000"&amp;969,5))</f>
        <v/>
      </c>
      <c r="C974" t="str">
        <f t="shared" si="75"/>
        <v/>
      </c>
      <c r="D974" t="str">
        <f t="shared" si="76"/>
        <v/>
      </c>
      <c r="F974" t="str">
        <f>IF(Sync!$AH974="","",IF(LEFT(UPPER(TRIM(Sync!$AH974)),2)="SL",UPPER(TRIM(Sync!$AH974)),""))</f>
        <v/>
      </c>
      <c r="G974" t="str">
        <f>IF($F974="","",IF(Sync!$AE974="","",IF(ISNUMBER(Sync!$AE974),IF(AND(Sync!$AE974&gt;=10000101,Sync!$AE974&lt;=99991231),INT(Sync!$AE974/10000),""),IFERROR(VALUE(TRIM(LEFT(Sync!$AE974,FIND("/",Sync!$AE974)-1))),""))))</f>
        <v/>
      </c>
      <c r="H974" t="str">
        <f>IF(OR($F974="",$G974=""),"",IF(ISNUMBER(Sync!$AE974),INT(MOD(Sync!$AE974,10000)/100),IFERROR(VALUE(TRIM(LEFT(MID(Sync!$AE974,FIND("/",Sync!$AE974)+1,20),FIND("/",MID(Sync!$AE974,FIND("/",Sync!$AE974)+1,20))-1))),"")))</f>
        <v/>
      </c>
      <c r="I974" t="str">
        <f>IF(OR($F974="",$G974=""),"",IF(ISNUMBER(Sync!$AE974),MOD(Sync!$AE974,100),IFERROR(VALUE(TRIM(MID(MID(Sync!$AE974,FIND("/",Sync!$AE974)+1,20),FIND("/",MID(Sync!$AE974,FIND("/",Sync!$AE974)+1,20))+1,20))),"")))</f>
        <v/>
      </c>
      <c r="J974" t="str">
        <f t="shared" si="77"/>
        <v/>
      </c>
      <c r="K974" t="str">
        <f>IF(OR($F974="",$J974="",$J974="نامعتبر"),"",LEFT($J974,4)&amp;MID($J974,6,2)&amp;RIGHT($J974,2)&amp;$N974&amp;"|"&amp;"2"&amp;RIGHT("00000"&amp;969,5))</f>
        <v/>
      </c>
      <c r="L974" t="str">
        <f t="shared" si="78"/>
        <v/>
      </c>
      <c r="M974" t="str">
        <f t="shared" si="79"/>
        <v/>
      </c>
      <c r="N974" t="str">
        <f>IF($F974="","",IF(Sync!$AF974="","0000",IF(AND(ISNUMBER(Sync!$AF974),Sync!$AF974&gt;=0,Sync!$AF974&lt;1),RIGHT("00"&amp;HOUR(Sync!$AF974),2)&amp;RIGHT("00"&amp;MINUTE(Sync!$AF974),2),IFERROR(RIGHT("00"&amp;VALUE(LEFT(Sync!$AF974,FIND(":",Sync!$AF974)-1)),2)&amp;RIGHT("00"&amp;VALUE(MID(Sync!$AF974,FIND(":",Sync!$AF974)+1,2)),2),"0000"))))</f>
        <v/>
      </c>
    </row>
    <row r="975" spans="1:14" x14ac:dyDescent="0.2">
      <c r="A975" t="str">
        <f>IF(OR(Calc!$E979="",Calc!$E979="نامعتبر",Calc!$G979=""),"",Calc!$G979)</f>
        <v/>
      </c>
      <c r="B975" t="str">
        <f>IF($A975="","",LEFT(Calc!$E979,4)&amp;MID(Calc!$E979,6,2)&amp;RIGHT(Calc!$E979,2)&amp;Calc!$Q979&amp;"|"&amp;"1"&amp;RIGHT("00000"&amp;970,5))</f>
        <v/>
      </c>
      <c r="C975" t="str">
        <f t="shared" si="75"/>
        <v/>
      </c>
      <c r="D975" t="str">
        <f t="shared" si="76"/>
        <v/>
      </c>
      <c r="F975" t="str">
        <f>IF(Sync!$AH975="","",IF(LEFT(UPPER(TRIM(Sync!$AH975)),2)="SL",UPPER(TRIM(Sync!$AH975)),""))</f>
        <v/>
      </c>
      <c r="G975" t="str">
        <f>IF($F975="","",IF(Sync!$AE975="","",IF(ISNUMBER(Sync!$AE975),IF(AND(Sync!$AE975&gt;=10000101,Sync!$AE975&lt;=99991231),INT(Sync!$AE975/10000),""),IFERROR(VALUE(TRIM(LEFT(Sync!$AE975,FIND("/",Sync!$AE975)-1))),""))))</f>
        <v/>
      </c>
      <c r="H975" t="str">
        <f>IF(OR($F975="",$G975=""),"",IF(ISNUMBER(Sync!$AE975),INT(MOD(Sync!$AE975,10000)/100),IFERROR(VALUE(TRIM(LEFT(MID(Sync!$AE975,FIND("/",Sync!$AE975)+1,20),FIND("/",MID(Sync!$AE975,FIND("/",Sync!$AE975)+1,20))-1))),"")))</f>
        <v/>
      </c>
      <c r="I975" t="str">
        <f>IF(OR($F975="",$G975=""),"",IF(ISNUMBER(Sync!$AE975),MOD(Sync!$AE975,100),IFERROR(VALUE(TRIM(MID(MID(Sync!$AE975,FIND("/",Sync!$AE975)+1,20),FIND("/",MID(Sync!$AE975,FIND("/",Sync!$AE975)+1,20))+1,20))),"")))</f>
        <v/>
      </c>
      <c r="J975" t="str">
        <f t="shared" si="77"/>
        <v/>
      </c>
      <c r="K975" t="str">
        <f>IF(OR($F975="",$J975="",$J975="نامعتبر"),"",LEFT($J975,4)&amp;MID($J975,6,2)&amp;RIGHT($J975,2)&amp;$N975&amp;"|"&amp;"2"&amp;RIGHT("00000"&amp;970,5))</f>
        <v/>
      </c>
      <c r="L975" t="str">
        <f t="shared" si="78"/>
        <v/>
      </c>
      <c r="M975" t="str">
        <f t="shared" si="79"/>
        <v/>
      </c>
      <c r="N975" t="str">
        <f>IF($F975="","",IF(Sync!$AF975="","0000",IF(AND(ISNUMBER(Sync!$AF975),Sync!$AF975&gt;=0,Sync!$AF975&lt;1),RIGHT("00"&amp;HOUR(Sync!$AF975),2)&amp;RIGHT("00"&amp;MINUTE(Sync!$AF975),2),IFERROR(RIGHT("00"&amp;VALUE(LEFT(Sync!$AF975,FIND(":",Sync!$AF975)-1)),2)&amp;RIGHT("00"&amp;VALUE(MID(Sync!$AF975,FIND(":",Sync!$AF975)+1,2)),2),"0000"))))</f>
        <v/>
      </c>
    </row>
    <row r="976" spans="1:14" x14ac:dyDescent="0.2">
      <c r="A976" t="str">
        <f>IF(OR(Calc!$E980="",Calc!$E980="نامعتبر",Calc!$G980=""),"",Calc!$G980)</f>
        <v/>
      </c>
      <c r="B976" t="str">
        <f>IF($A976="","",LEFT(Calc!$E980,4)&amp;MID(Calc!$E980,6,2)&amp;RIGHT(Calc!$E980,2)&amp;Calc!$Q980&amp;"|"&amp;"1"&amp;RIGHT("00000"&amp;971,5))</f>
        <v/>
      </c>
      <c r="C976" t="str">
        <f t="shared" si="75"/>
        <v/>
      </c>
      <c r="D976" t="str">
        <f t="shared" si="76"/>
        <v/>
      </c>
      <c r="F976" t="str">
        <f>IF(Sync!$AH976="","",IF(LEFT(UPPER(TRIM(Sync!$AH976)),2)="SL",UPPER(TRIM(Sync!$AH976)),""))</f>
        <v/>
      </c>
      <c r="G976" t="str">
        <f>IF($F976="","",IF(Sync!$AE976="","",IF(ISNUMBER(Sync!$AE976),IF(AND(Sync!$AE976&gt;=10000101,Sync!$AE976&lt;=99991231),INT(Sync!$AE976/10000),""),IFERROR(VALUE(TRIM(LEFT(Sync!$AE976,FIND("/",Sync!$AE976)-1))),""))))</f>
        <v/>
      </c>
      <c r="H976" t="str">
        <f>IF(OR($F976="",$G976=""),"",IF(ISNUMBER(Sync!$AE976),INT(MOD(Sync!$AE976,10000)/100),IFERROR(VALUE(TRIM(LEFT(MID(Sync!$AE976,FIND("/",Sync!$AE976)+1,20),FIND("/",MID(Sync!$AE976,FIND("/",Sync!$AE976)+1,20))-1))),"")))</f>
        <v/>
      </c>
      <c r="I976" t="str">
        <f>IF(OR($F976="",$G976=""),"",IF(ISNUMBER(Sync!$AE976),MOD(Sync!$AE976,100),IFERROR(VALUE(TRIM(MID(MID(Sync!$AE976,FIND("/",Sync!$AE976)+1,20),FIND("/",MID(Sync!$AE976,FIND("/",Sync!$AE976)+1,20))+1,20))),"")))</f>
        <v/>
      </c>
      <c r="J976" t="str">
        <f t="shared" si="77"/>
        <v/>
      </c>
      <c r="K976" t="str">
        <f>IF(OR($F976="",$J976="",$J976="نامعتبر"),"",LEFT($J976,4)&amp;MID($J976,6,2)&amp;RIGHT($J976,2)&amp;$N976&amp;"|"&amp;"2"&amp;RIGHT("00000"&amp;971,5))</f>
        <v/>
      </c>
      <c r="L976" t="str">
        <f t="shared" si="78"/>
        <v/>
      </c>
      <c r="M976" t="str">
        <f t="shared" si="79"/>
        <v/>
      </c>
      <c r="N976" t="str">
        <f>IF($F976="","",IF(Sync!$AF976="","0000",IF(AND(ISNUMBER(Sync!$AF976),Sync!$AF976&gt;=0,Sync!$AF976&lt;1),RIGHT("00"&amp;HOUR(Sync!$AF976),2)&amp;RIGHT("00"&amp;MINUTE(Sync!$AF976),2),IFERROR(RIGHT("00"&amp;VALUE(LEFT(Sync!$AF976,FIND(":",Sync!$AF976)-1)),2)&amp;RIGHT("00"&amp;VALUE(MID(Sync!$AF976,FIND(":",Sync!$AF976)+1,2)),2),"0000"))))</f>
        <v/>
      </c>
    </row>
    <row r="977" spans="1:14" x14ac:dyDescent="0.2">
      <c r="A977" t="str">
        <f>IF(OR(Calc!$E981="",Calc!$E981="نامعتبر",Calc!$G981=""),"",Calc!$G981)</f>
        <v/>
      </c>
      <c r="B977" t="str">
        <f>IF($A977="","",LEFT(Calc!$E981,4)&amp;MID(Calc!$E981,6,2)&amp;RIGHT(Calc!$E981,2)&amp;Calc!$Q981&amp;"|"&amp;"1"&amp;RIGHT("00000"&amp;972,5))</f>
        <v/>
      </c>
      <c r="C977" t="str">
        <f t="shared" si="75"/>
        <v/>
      </c>
      <c r="D977" t="str">
        <f t="shared" si="76"/>
        <v/>
      </c>
      <c r="F977" t="str">
        <f>IF(Sync!$AH977="","",IF(LEFT(UPPER(TRIM(Sync!$AH977)),2)="SL",UPPER(TRIM(Sync!$AH977)),""))</f>
        <v/>
      </c>
      <c r="G977" t="str">
        <f>IF($F977="","",IF(Sync!$AE977="","",IF(ISNUMBER(Sync!$AE977),IF(AND(Sync!$AE977&gt;=10000101,Sync!$AE977&lt;=99991231),INT(Sync!$AE977/10000),""),IFERROR(VALUE(TRIM(LEFT(Sync!$AE977,FIND("/",Sync!$AE977)-1))),""))))</f>
        <v/>
      </c>
      <c r="H977" t="str">
        <f>IF(OR($F977="",$G977=""),"",IF(ISNUMBER(Sync!$AE977),INT(MOD(Sync!$AE977,10000)/100),IFERROR(VALUE(TRIM(LEFT(MID(Sync!$AE977,FIND("/",Sync!$AE977)+1,20),FIND("/",MID(Sync!$AE977,FIND("/",Sync!$AE977)+1,20))-1))),"")))</f>
        <v/>
      </c>
      <c r="I977" t="str">
        <f>IF(OR($F977="",$G977=""),"",IF(ISNUMBER(Sync!$AE977),MOD(Sync!$AE977,100),IFERROR(VALUE(TRIM(MID(MID(Sync!$AE977,FIND("/",Sync!$AE977)+1,20),FIND("/",MID(Sync!$AE977,FIND("/",Sync!$AE977)+1,20))+1,20))),"")))</f>
        <v/>
      </c>
      <c r="J977" t="str">
        <f t="shared" si="77"/>
        <v/>
      </c>
      <c r="K977" t="str">
        <f>IF(OR($F977="",$J977="",$J977="نامعتبر"),"",LEFT($J977,4)&amp;MID($J977,6,2)&amp;RIGHT($J977,2)&amp;$N977&amp;"|"&amp;"2"&amp;RIGHT("00000"&amp;972,5))</f>
        <v/>
      </c>
      <c r="L977" t="str">
        <f t="shared" si="78"/>
        <v/>
      </c>
      <c r="M977" t="str">
        <f t="shared" si="79"/>
        <v/>
      </c>
      <c r="N977" t="str">
        <f>IF($F977="","",IF(Sync!$AF977="","0000",IF(AND(ISNUMBER(Sync!$AF977),Sync!$AF977&gt;=0,Sync!$AF977&lt;1),RIGHT("00"&amp;HOUR(Sync!$AF977),2)&amp;RIGHT("00"&amp;MINUTE(Sync!$AF977),2),IFERROR(RIGHT("00"&amp;VALUE(LEFT(Sync!$AF977,FIND(":",Sync!$AF977)-1)),2)&amp;RIGHT("00"&amp;VALUE(MID(Sync!$AF977,FIND(":",Sync!$AF977)+1,2)),2),"0000"))))</f>
        <v/>
      </c>
    </row>
    <row r="978" spans="1:14" x14ac:dyDescent="0.2">
      <c r="A978" t="str">
        <f>IF(OR(Calc!$E982="",Calc!$E982="نامعتبر",Calc!$G982=""),"",Calc!$G982)</f>
        <v/>
      </c>
      <c r="B978" t="str">
        <f>IF($A978="","",LEFT(Calc!$E982,4)&amp;MID(Calc!$E982,6,2)&amp;RIGHT(Calc!$E982,2)&amp;Calc!$Q982&amp;"|"&amp;"1"&amp;RIGHT("00000"&amp;973,5))</f>
        <v/>
      </c>
      <c r="C978" t="str">
        <f t="shared" si="75"/>
        <v/>
      </c>
      <c r="D978" t="str">
        <f t="shared" si="76"/>
        <v/>
      </c>
      <c r="F978" t="str">
        <f>IF(Sync!$AH978="","",IF(LEFT(UPPER(TRIM(Sync!$AH978)),2)="SL",UPPER(TRIM(Sync!$AH978)),""))</f>
        <v/>
      </c>
      <c r="G978" t="str">
        <f>IF($F978="","",IF(Sync!$AE978="","",IF(ISNUMBER(Sync!$AE978),IF(AND(Sync!$AE978&gt;=10000101,Sync!$AE978&lt;=99991231),INT(Sync!$AE978/10000),""),IFERROR(VALUE(TRIM(LEFT(Sync!$AE978,FIND("/",Sync!$AE978)-1))),""))))</f>
        <v/>
      </c>
      <c r="H978" t="str">
        <f>IF(OR($F978="",$G978=""),"",IF(ISNUMBER(Sync!$AE978),INT(MOD(Sync!$AE978,10000)/100),IFERROR(VALUE(TRIM(LEFT(MID(Sync!$AE978,FIND("/",Sync!$AE978)+1,20),FIND("/",MID(Sync!$AE978,FIND("/",Sync!$AE978)+1,20))-1))),"")))</f>
        <v/>
      </c>
      <c r="I978" t="str">
        <f>IF(OR($F978="",$G978=""),"",IF(ISNUMBER(Sync!$AE978),MOD(Sync!$AE978,100),IFERROR(VALUE(TRIM(MID(MID(Sync!$AE978,FIND("/",Sync!$AE978)+1,20),FIND("/",MID(Sync!$AE978,FIND("/",Sync!$AE978)+1,20))+1,20))),"")))</f>
        <v/>
      </c>
      <c r="J978" t="str">
        <f t="shared" si="77"/>
        <v/>
      </c>
      <c r="K978" t="str">
        <f>IF(OR($F978="",$J978="",$J978="نامعتبر"),"",LEFT($J978,4)&amp;MID($J978,6,2)&amp;RIGHT($J978,2)&amp;$N978&amp;"|"&amp;"2"&amp;RIGHT("00000"&amp;973,5))</f>
        <v/>
      </c>
      <c r="L978" t="str">
        <f t="shared" si="78"/>
        <v/>
      </c>
      <c r="M978" t="str">
        <f t="shared" si="79"/>
        <v/>
      </c>
      <c r="N978" t="str">
        <f>IF($F978="","",IF(Sync!$AF978="","0000",IF(AND(ISNUMBER(Sync!$AF978),Sync!$AF978&gt;=0,Sync!$AF978&lt;1),RIGHT("00"&amp;HOUR(Sync!$AF978),2)&amp;RIGHT("00"&amp;MINUTE(Sync!$AF978),2),IFERROR(RIGHT("00"&amp;VALUE(LEFT(Sync!$AF978,FIND(":",Sync!$AF978)-1)),2)&amp;RIGHT("00"&amp;VALUE(MID(Sync!$AF978,FIND(":",Sync!$AF978)+1,2)),2),"0000"))))</f>
        <v/>
      </c>
    </row>
    <row r="979" spans="1:14" x14ac:dyDescent="0.2">
      <c r="A979" t="str">
        <f>IF(OR(Calc!$E983="",Calc!$E983="نامعتبر",Calc!$G983=""),"",Calc!$G983)</f>
        <v/>
      </c>
      <c r="B979" t="str">
        <f>IF($A979="","",LEFT(Calc!$E983,4)&amp;MID(Calc!$E983,6,2)&amp;RIGHT(Calc!$E983,2)&amp;Calc!$Q983&amp;"|"&amp;"1"&amp;RIGHT("00000"&amp;974,5))</f>
        <v/>
      </c>
      <c r="C979" t="str">
        <f t="shared" si="75"/>
        <v/>
      </c>
      <c r="D979" t="str">
        <f t="shared" si="76"/>
        <v/>
      </c>
      <c r="F979" t="str">
        <f>IF(Sync!$AH979="","",IF(LEFT(UPPER(TRIM(Sync!$AH979)),2)="SL",UPPER(TRIM(Sync!$AH979)),""))</f>
        <v/>
      </c>
      <c r="G979" t="str">
        <f>IF($F979="","",IF(Sync!$AE979="","",IF(ISNUMBER(Sync!$AE979),IF(AND(Sync!$AE979&gt;=10000101,Sync!$AE979&lt;=99991231),INT(Sync!$AE979/10000),""),IFERROR(VALUE(TRIM(LEFT(Sync!$AE979,FIND("/",Sync!$AE979)-1))),""))))</f>
        <v/>
      </c>
      <c r="H979" t="str">
        <f>IF(OR($F979="",$G979=""),"",IF(ISNUMBER(Sync!$AE979),INT(MOD(Sync!$AE979,10000)/100),IFERROR(VALUE(TRIM(LEFT(MID(Sync!$AE979,FIND("/",Sync!$AE979)+1,20),FIND("/",MID(Sync!$AE979,FIND("/",Sync!$AE979)+1,20))-1))),"")))</f>
        <v/>
      </c>
      <c r="I979" t="str">
        <f>IF(OR($F979="",$G979=""),"",IF(ISNUMBER(Sync!$AE979),MOD(Sync!$AE979,100),IFERROR(VALUE(TRIM(MID(MID(Sync!$AE979,FIND("/",Sync!$AE979)+1,20),FIND("/",MID(Sync!$AE979,FIND("/",Sync!$AE979)+1,20))+1,20))),"")))</f>
        <v/>
      </c>
      <c r="J979" t="str">
        <f t="shared" si="77"/>
        <v/>
      </c>
      <c r="K979" t="str">
        <f>IF(OR($F979="",$J979="",$J979="نامعتبر"),"",LEFT($J979,4)&amp;MID($J979,6,2)&amp;RIGHT($J979,2)&amp;$N979&amp;"|"&amp;"2"&amp;RIGHT("00000"&amp;974,5))</f>
        <v/>
      </c>
      <c r="L979" t="str">
        <f t="shared" si="78"/>
        <v/>
      </c>
      <c r="M979" t="str">
        <f t="shared" si="79"/>
        <v/>
      </c>
      <c r="N979" t="str">
        <f>IF($F979="","",IF(Sync!$AF979="","0000",IF(AND(ISNUMBER(Sync!$AF979),Sync!$AF979&gt;=0,Sync!$AF979&lt;1),RIGHT("00"&amp;HOUR(Sync!$AF979),2)&amp;RIGHT("00"&amp;MINUTE(Sync!$AF979),2),IFERROR(RIGHT("00"&amp;VALUE(LEFT(Sync!$AF979,FIND(":",Sync!$AF979)-1)),2)&amp;RIGHT("00"&amp;VALUE(MID(Sync!$AF979,FIND(":",Sync!$AF979)+1,2)),2),"0000"))))</f>
        <v/>
      </c>
    </row>
    <row r="980" spans="1:14" x14ac:dyDescent="0.2">
      <c r="A980" t="str">
        <f>IF(OR(Calc!$E984="",Calc!$E984="نامعتبر",Calc!$G984=""),"",Calc!$G984)</f>
        <v/>
      </c>
      <c r="B980" t="str">
        <f>IF($A980="","",LEFT(Calc!$E984,4)&amp;MID(Calc!$E984,6,2)&amp;RIGHT(Calc!$E984,2)&amp;Calc!$Q984&amp;"|"&amp;"1"&amp;RIGHT("00000"&amp;975,5))</f>
        <v/>
      </c>
      <c r="C980" t="str">
        <f t="shared" si="75"/>
        <v/>
      </c>
      <c r="D980" t="str">
        <f t="shared" si="76"/>
        <v/>
      </c>
      <c r="F980" t="str">
        <f>IF(Sync!$AH980="","",IF(LEFT(UPPER(TRIM(Sync!$AH980)),2)="SL",UPPER(TRIM(Sync!$AH980)),""))</f>
        <v/>
      </c>
      <c r="G980" t="str">
        <f>IF($F980="","",IF(Sync!$AE980="","",IF(ISNUMBER(Sync!$AE980),IF(AND(Sync!$AE980&gt;=10000101,Sync!$AE980&lt;=99991231),INT(Sync!$AE980/10000),""),IFERROR(VALUE(TRIM(LEFT(Sync!$AE980,FIND("/",Sync!$AE980)-1))),""))))</f>
        <v/>
      </c>
      <c r="H980" t="str">
        <f>IF(OR($F980="",$G980=""),"",IF(ISNUMBER(Sync!$AE980),INT(MOD(Sync!$AE980,10000)/100),IFERROR(VALUE(TRIM(LEFT(MID(Sync!$AE980,FIND("/",Sync!$AE980)+1,20),FIND("/",MID(Sync!$AE980,FIND("/",Sync!$AE980)+1,20))-1))),"")))</f>
        <v/>
      </c>
      <c r="I980" t="str">
        <f>IF(OR($F980="",$G980=""),"",IF(ISNUMBER(Sync!$AE980),MOD(Sync!$AE980,100),IFERROR(VALUE(TRIM(MID(MID(Sync!$AE980,FIND("/",Sync!$AE980)+1,20),FIND("/",MID(Sync!$AE980,FIND("/",Sync!$AE980)+1,20))+1,20))),"")))</f>
        <v/>
      </c>
      <c r="J980" t="str">
        <f t="shared" si="77"/>
        <v/>
      </c>
      <c r="K980" t="str">
        <f>IF(OR($F980="",$J980="",$J980="نامعتبر"),"",LEFT($J980,4)&amp;MID($J980,6,2)&amp;RIGHT($J980,2)&amp;$N980&amp;"|"&amp;"2"&amp;RIGHT("00000"&amp;975,5))</f>
        <v/>
      </c>
      <c r="L980" t="str">
        <f t="shared" si="78"/>
        <v/>
      </c>
      <c r="M980" t="str">
        <f t="shared" si="79"/>
        <v/>
      </c>
      <c r="N980" t="str">
        <f>IF($F980="","",IF(Sync!$AF980="","0000",IF(AND(ISNUMBER(Sync!$AF980),Sync!$AF980&gt;=0,Sync!$AF980&lt;1),RIGHT("00"&amp;HOUR(Sync!$AF980),2)&amp;RIGHT("00"&amp;MINUTE(Sync!$AF980),2),IFERROR(RIGHT("00"&amp;VALUE(LEFT(Sync!$AF980,FIND(":",Sync!$AF980)-1)),2)&amp;RIGHT("00"&amp;VALUE(MID(Sync!$AF980,FIND(":",Sync!$AF980)+1,2)),2),"0000"))))</f>
        <v/>
      </c>
    </row>
    <row r="981" spans="1:14" x14ac:dyDescent="0.2">
      <c r="A981" t="str">
        <f>IF(OR(Calc!$E985="",Calc!$E985="نامعتبر",Calc!$G985=""),"",Calc!$G985)</f>
        <v/>
      </c>
      <c r="B981" t="str">
        <f>IF($A981="","",LEFT(Calc!$E985,4)&amp;MID(Calc!$E985,6,2)&amp;RIGHT(Calc!$E985,2)&amp;Calc!$Q985&amp;"|"&amp;"1"&amp;RIGHT("00000"&amp;976,5))</f>
        <v/>
      </c>
      <c r="C981" t="str">
        <f t="shared" si="75"/>
        <v/>
      </c>
      <c r="D981" t="str">
        <f t="shared" si="76"/>
        <v/>
      </c>
      <c r="F981" t="str">
        <f>IF(Sync!$AH981="","",IF(LEFT(UPPER(TRIM(Sync!$AH981)),2)="SL",UPPER(TRIM(Sync!$AH981)),""))</f>
        <v/>
      </c>
      <c r="G981" t="str">
        <f>IF($F981="","",IF(Sync!$AE981="","",IF(ISNUMBER(Sync!$AE981),IF(AND(Sync!$AE981&gt;=10000101,Sync!$AE981&lt;=99991231),INT(Sync!$AE981/10000),""),IFERROR(VALUE(TRIM(LEFT(Sync!$AE981,FIND("/",Sync!$AE981)-1))),""))))</f>
        <v/>
      </c>
      <c r="H981" t="str">
        <f>IF(OR($F981="",$G981=""),"",IF(ISNUMBER(Sync!$AE981),INT(MOD(Sync!$AE981,10000)/100),IFERROR(VALUE(TRIM(LEFT(MID(Sync!$AE981,FIND("/",Sync!$AE981)+1,20),FIND("/",MID(Sync!$AE981,FIND("/",Sync!$AE981)+1,20))-1))),"")))</f>
        <v/>
      </c>
      <c r="I981" t="str">
        <f>IF(OR($F981="",$G981=""),"",IF(ISNUMBER(Sync!$AE981),MOD(Sync!$AE981,100),IFERROR(VALUE(TRIM(MID(MID(Sync!$AE981,FIND("/",Sync!$AE981)+1,20),FIND("/",MID(Sync!$AE981,FIND("/",Sync!$AE981)+1,20))+1,20))),"")))</f>
        <v/>
      </c>
      <c r="J981" t="str">
        <f t="shared" si="77"/>
        <v/>
      </c>
      <c r="K981" t="str">
        <f>IF(OR($F981="",$J981="",$J981="نامعتبر"),"",LEFT($J981,4)&amp;MID($J981,6,2)&amp;RIGHT($J981,2)&amp;$N981&amp;"|"&amp;"2"&amp;RIGHT("00000"&amp;976,5))</f>
        <v/>
      </c>
      <c r="L981" t="str">
        <f t="shared" si="78"/>
        <v/>
      </c>
      <c r="M981" t="str">
        <f t="shared" si="79"/>
        <v/>
      </c>
      <c r="N981" t="str">
        <f>IF($F981="","",IF(Sync!$AF981="","0000",IF(AND(ISNUMBER(Sync!$AF981),Sync!$AF981&gt;=0,Sync!$AF981&lt;1),RIGHT("00"&amp;HOUR(Sync!$AF981),2)&amp;RIGHT("00"&amp;MINUTE(Sync!$AF981),2),IFERROR(RIGHT("00"&amp;VALUE(LEFT(Sync!$AF981,FIND(":",Sync!$AF981)-1)),2)&amp;RIGHT("00"&amp;VALUE(MID(Sync!$AF981,FIND(":",Sync!$AF981)+1,2)),2),"0000"))))</f>
        <v/>
      </c>
    </row>
    <row r="982" spans="1:14" x14ac:dyDescent="0.2">
      <c r="A982" t="str">
        <f>IF(OR(Calc!$E986="",Calc!$E986="نامعتبر",Calc!$G986=""),"",Calc!$G986)</f>
        <v/>
      </c>
      <c r="B982" t="str">
        <f>IF($A982="","",LEFT(Calc!$E986,4)&amp;MID(Calc!$E986,6,2)&amp;RIGHT(Calc!$E986,2)&amp;Calc!$Q986&amp;"|"&amp;"1"&amp;RIGHT("00000"&amp;977,5))</f>
        <v/>
      </c>
      <c r="C982" t="str">
        <f t="shared" si="75"/>
        <v/>
      </c>
      <c r="D982" t="str">
        <f t="shared" si="76"/>
        <v/>
      </c>
      <c r="F982" t="str">
        <f>IF(Sync!$AH982="","",IF(LEFT(UPPER(TRIM(Sync!$AH982)),2)="SL",UPPER(TRIM(Sync!$AH982)),""))</f>
        <v/>
      </c>
      <c r="G982" t="str">
        <f>IF($F982="","",IF(Sync!$AE982="","",IF(ISNUMBER(Sync!$AE982),IF(AND(Sync!$AE982&gt;=10000101,Sync!$AE982&lt;=99991231),INT(Sync!$AE982/10000),""),IFERROR(VALUE(TRIM(LEFT(Sync!$AE982,FIND("/",Sync!$AE982)-1))),""))))</f>
        <v/>
      </c>
      <c r="H982" t="str">
        <f>IF(OR($F982="",$G982=""),"",IF(ISNUMBER(Sync!$AE982),INT(MOD(Sync!$AE982,10000)/100),IFERROR(VALUE(TRIM(LEFT(MID(Sync!$AE982,FIND("/",Sync!$AE982)+1,20),FIND("/",MID(Sync!$AE982,FIND("/",Sync!$AE982)+1,20))-1))),"")))</f>
        <v/>
      </c>
      <c r="I982" t="str">
        <f>IF(OR($F982="",$G982=""),"",IF(ISNUMBER(Sync!$AE982),MOD(Sync!$AE982,100),IFERROR(VALUE(TRIM(MID(MID(Sync!$AE982,FIND("/",Sync!$AE982)+1,20),FIND("/",MID(Sync!$AE982,FIND("/",Sync!$AE982)+1,20))+1,20))),"")))</f>
        <v/>
      </c>
      <c r="J982" t="str">
        <f t="shared" si="77"/>
        <v/>
      </c>
      <c r="K982" t="str">
        <f>IF(OR($F982="",$J982="",$J982="نامعتبر"),"",LEFT($J982,4)&amp;MID($J982,6,2)&amp;RIGHT($J982,2)&amp;$N982&amp;"|"&amp;"2"&amp;RIGHT("00000"&amp;977,5))</f>
        <v/>
      </c>
      <c r="L982" t="str">
        <f t="shared" si="78"/>
        <v/>
      </c>
      <c r="M982" t="str">
        <f t="shared" si="79"/>
        <v/>
      </c>
      <c r="N982" t="str">
        <f>IF($F982="","",IF(Sync!$AF982="","0000",IF(AND(ISNUMBER(Sync!$AF982),Sync!$AF982&gt;=0,Sync!$AF982&lt;1),RIGHT("00"&amp;HOUR(Sync!$AF982),2)&amp;RIGHT("00"&amp;MINUTE(Sync!$AF982),2),IFERROR(RIGHT("00"&amp;VALUE(LEFT(Sync!$AF982,FIND(":",Sync!$AF982)-1)),2)&amp;RIGHT("00"&amp;VALUE(MID(Sync!$AF982,FIND(":",Sync!$AF982)+1,2)),2),"0000"))))</f>
        <v/>
      </c>
    </row>
    <row r="983" spans="1:14" x14ac:dyDescent="0.2">
      <c r="A983" t="str">
        <f>IF(OR(Calc!$E987="",Calc!$E987="نامعتبر",Calc!$G987=""),"",Calc!$G987)</f>
        <v/>
      </c>
      <c r="B983" t="str">
        <f>IF($A983="","",LEFT(Calc!$E987,4)&amp;MID(Calc!$E987,6,2)&amp;RIGHT(Calc!$E987,2)&amp;Calc!$Q987&amp;"|"&amp;"1"&amp;RIGHT("00000"&amp;978,5))</f>
        <v/>
      </c>
      <c r="C983" t="str">
        <f t="shared" si="75"/>
        <v/>
      </c>
      <c r="D983" t="str">
        <f t="shared" si="76"/>
        <v/>
      </c>
      <c r="F983" t="str">
        <f>IF(Sync!$AH983="","",IF(LEFT(UPPER(TRIM(Sync!$AH983)),2)="SL",UPPER(TRIM(Sync!$AH983)),""))</f>
        <v/>
      </c>
      <c r="G983" t="str">
        <f>IF($F983="","",IF(Sync!$AE983="","",IF(ISNUMBER(Sync!$AE983),IF(AND(Sync!$AE983&gt;=10000101,Sync!$AE983&lt;=99991231),INT(Sync!$AE983/10000),""),IFERROR(VALUE(TRIM(LEFT(Sync!$AE983,FIND("/",Sync!$AE983)-1))),""))))</f>
        <v/>
      </c>
      <c r="H983" t="str">
        <f>IF(OR($F983="",$G983=""),"",IF(ISNUMBER(Sync!$AE983),INT(MOD(Sync!$AE983,10000)/100),IFERROR(VALUE(TRIM(LEFT(MID(Sync!$AE983,FIND("/",Sync!$AE983)+1,20),FIND("/",MID(Sync!$AE983,FIND("/",Sync!$AE983)+1,20))-1))),"")))</f>
        <v/>
      </c>
      <c r="I983" t="str">
        <f>IF(OR($F983="",$G983=""),"",IF(ISNUMBER(Sync!$AE983),MOD(Sync!$AE983,100),IFERROR(VALUE(TRIM(MID(MID(Sync!$AE983,FIND("/",Sync!$AE983)+1,20),FIND("/",MID(Sync!$AE983,FIND("/",Sync!$AE983)+1,20))+1,20))),"")))</f>
        <v/>
      </c>
      <c r="J983" t="str">
        <f t="shared" si="77"/>
        <v/>
      </c>
      <c r="K983" t="str">
        <f>IF(OR($F983="",$J983="",$J983="نامعتبر"),"",LEFT($J983,4)&amp;MID($J983,6,2)&amp;RIGHT($J983,2)&amp;$N983&amp;"|"&amp;"2"&amp;RIGHT("00000"&amp;978,5))</f>
        <v/>
      </c>
      <c r="L983" t="str">
        <f t="shared" si="78"/>
        <v/>
      </c>
      <c r="M983" t="str">
        <f t="shared" si="79"/>
        <v/>
      </c>
      <c r="N983" t="str">
        <f>IF($F983="","",IF(Sync!$AF983="","0000",IF(AND(ISNUMBER(Sync!$AF983),Sync!$AF983&gt;=0,Sync!$AF983&lt;1),RIGHT("00"&amp;HOUR(Sync!$AF983),2)&amp;RIGHT("00"&amp;MINUTE(Sync!$AF983),2),IFERROR(RIGHT("00"&amp;VALUE(LEFT(Sync!$AF983,FIND(":",Sync!$AF983)-1)),2)&amp;RIGHT("00"&amp;VALUE(MID(Sync!$AF983,FIND(":",Sync!$AF983)+1,2)),2),"0000"))))</f>
        <v/>
      </c>
    </row>
    <row r="984" spans="1:14" x14ac:dyDescent="0.2">
      <c r="A984" t="str">
        <f>IF(OR(Calc!$E988="",Calc!$E988="نامعتبر",Calc!$G988=""),"",Calc!$G988)</f>
        <v/>
      </c>
      <c r="B984" t="str">
        <f>IF($A984="","",LEFT(Calc!$E988,4)&amp;MID(Calc!$E988,6,2)&amp;RIGHT(Calc!$E988,2)&amp;Calc!$Q988&amp;"|"&amp;"1"&amp;RIGHT("00000"&amp;979,5))</f>
        <v/>
      </c>
      <c r="C984" t="str">
        <f t="shared" si="75"/>
        <v/>
      </c>
      <c r="D984" t="str">
        <f t="shared" si="76"/>
        <v/>
      </c>
      <c r="F984" t="str">
        <f>IF(Sync!$AH984="","",IF(LEFT(UPPER(TRIM(Sync!$AH984)),2)="SL",UPPER(TRIM(Sync!$AH984)),""))</f>
        <v/>
      </c>
      <c r="G984" t="str">
        <f>IF($F984="","",IF(Sync!$AE984="","",IF(ISNUMBER(Sync!$AE984),IF(AND(Sync!$AE984&gt;=10000101,Sync!$AE984&lt;=99991231),INT(Sync!$AE984/10000),""),IFERROR(VALUE(TRIM(LEFT(Sync!$AE984,FIND("/",Sync!$AE984)-1))),""))))</f>
        <v/>
      </c>
      <c r="H984" t="str">
        <f>IF(OR($F984="",$G984=""),"",IF(ISNUMBER(Sync!$AE984),INT(MOD(Sync!$AE984,10000)/100),IFERROR(VALUE(TRIM(LEFT(MID(Sync!$AE984,FIND("/",Sync!$AE984)+1,20),FIND("/",MID(Sync!$AE984,FIND("/",Sync!$AE984)+1,20))-1))),"")))</f>
        <v/>
      </c>
      <c r="I984" t="str">
        <f>IF(OR($F984="",$G984=""),"",IF(ISNUMBER(Sync!$AE984),MOD(Sync!$AE984,100),IFERROR(VALUE(TRIM(MID(MID(Sync!$AE984,FIND("/",Sync!$AE984)+1,20),FIND("/",MID(Sync!$AE984,FIND("/",Sync!$AE984)+1,20))+1,20))),"")))</f>
        <v/>
      </c>
      <c r="J984" t="str">
        <f t="shared" si="77"/>
        <v/>
      </c>
      <c r="K984" t="str">
        <f>IF(OR($F984="",$J984="",$J984="نامعتبر"),"",LEFT($J984,4)&amp;MID($J984,6,2)&amp;RIGHT($J984,2)&amp;$N984&amp;"|"&amp;"2"&amp;RIGHT("00000"&amp;979,5))</f>
        <v/>
      </c>
      <c r="L984" t="str">
        <f t="shared" si="78"/>
        <v/>
      </c>
      <c r="M984" t="str">
        <f t="shared" si="79"/>
        <v/>
      </c>
      <c r="N984" t="str">
        <f>IF($F984="","",IF(Sync!$AF984="","0000",IF(AND(ISNUMBER(Sync!$AF984),Sync!$AF984&gt;=0,Sync!$AF984&lt;1),RIGHT("00"&amp;HOUR(Sync!$AF984),2)&amp;RIGHT("00"&amp;MINUTE(Sync!$AF984),2),IFERROR(RIGHT("00"&amp;VALUE(LEFT(Sync!$AF984,FIND(":",Sync!$AF984)-1)),2)&amp;RIGHT("00"&amp;VALUE(MID(Sync!$AF984,FIND(":",Sync!$AF984)+1,2)),2),"0000"))))</f>
        <v/>
      </c>
    </row>
    <row r="985" spans="1:14" x14ac:dyDescent="0.2">
      <c r="A985" t="str">
        <f>IF(OR(Calc!$E989="",Calc!$E989="نامعتبر",Calc!$G989=""),"",Calc!$G989)</f>
        <v/>
      </c>
      <c r="B985" t="str">
        <f>IF($A985="","",LEFT(Calc!$E989,4)&amp;MID(Calc!$E989,6,2)&amp;RIGHT(Calc!$E989,2)&amp;Calc!$Q989&amp;"|"&amp;"1"&amp;RIGHT("00000"&amp;980,5))</f>
        <v/>
      </c>
      <c r="C985" t="str">
        <f t="shared" si="75"/>
        <v/>
      </c>
      <c r="D985" t="str">
        <f t="shared" si="76"/>
        <v/>
      </c>
      <c r="F985" t="str">
        <f>IF(Sync!$AH985="","",IF(LEFT(UPPER(TRIM(Sync!$AH985)),2)="SL",UPPER(TRIM(Sync!$AH985)),""))</f>
        <v/>
      </c>
      <c r="G985" t="str">
        <f>IF($F985="","",IF(Sync!$AE985="","",IF(ISNUMBER(Sync!$AE985),IF(AND(Sync!$AE985&gt;=10000101,Sync!$AE985&lt;=99991231),INT(Sync!$AE985/10000),""),IFERROR(VALUE(TRIM(LEFT(Sync!$AE985,FIND("/",Sync!$AE985)-1))),""))))</f>
        <v/>
      </c>
      <c r="H985" t="str">
        <f>IF(OR($F985="",$G985=""),"",IF(ISNUMBER(Sync!$AE985),INT(MOD(Sync!$AE985,10000)/100),IFERROR(VALUE(TRIM(LEFT(MID(Sync!$AE985,FIND("/",Sync!$AE985)+1,20),FIND("/",MID(Sync!$AE985,FIND("/",Sync!$AE985)+1,20))-1))),"")))</f>
        <v/>
      </c>
      <c r="I985" t="str">
        <f>IF(OR($F985="",$G985=""),"",IF(ISNUMBER(Sync!$AE985),MOD(Sync!$AE985,100),IFERROR(VALUE(TRIM(MID(MID(Sync!$AE985,FIND("/",Sync!$AE985)+1,20),FIND("/",MID(Sync!$AE985,FIND("/",Sync!$AE985)+1,20))+1,20))),"")))</f>
        <v/>
      </c>
      <c r="J985" t="str">
        <f t="shared" si="77"/>
        <v/>
      </c>
      <c r="K985" t="str">
        <f>IF(OR($F985="",$J985="",$J985="نامعتبر"),"",LEFT($J985,4)&amp;MID($J985,6,2)&amp;RIGHT($J985,2)&amp;$N985&amp;"|"&amp;"2"&amp;RIGHT("00000"&amp;980,5))</f>
        <v/>
      </c>
      <c r="L985" t="str">
        <f t="shared" si="78"/>
        <v/>
      </c>
      <c r="M985" t="str">
        <f t="shared" si="79"/>
        <v/>
      </c>
      <c r="N985" t="str">
        <f>IF($F985="","",IF(Sync!$AF985="","0000",IF(AND(ISNUMBER(Sync!$AF985),Sync!$AF985&gt;=0,Sync!$AF985&lt;1),RIGHT("00"&amp;HOUR(Sync!$AF985),2)&amp;RIGHT("00"&amp;MINUTE(Sync!$AF985),2),IFERROR(RIGHT("00"&amp;VALUE(LEFT(Sync!$AF985,FIND(":",Sync!$AF985)-1)),2)&amp;RIGHT("00"&amp;VALUE(MID(Sync!$AF985,FIND(":",Sync!$AF985)+1,2)),2),"0000"))))</f>
        <v/>
      </c>
    </row>
    <row r="986" spans="1:14" x14ac:dyDescent="0.2">
      <c r="A986" t="str">
        <f>IF(OR(Calc!$E990="",Calc!$E990="نامعتبر",Calc!$G990=""),"",Calc!$G990)</f>
        <v/>
      </c>
      <c r="B986" t="str">
        <f>IF($A986="","",LEFT(Calc!$E990,4)&amp;MID(Calc!$E990,6,2)&amp;RIGHT(Calc!$E990,2)&amp;Calc!$Q990&amp;"|"&amp;"1"&amp;RIGHT("00000"&amp;981,5))</f>
        <v/>
      </c>
      <c r="C986" t="str">
        <f t="shared" si="75"/>
        <v/>
      </c>
      <c r="D986" t="str">
        <f t="shared" si="76"/>
        <v/>
      </c>
      <c r="F986" t="str">
        <f>IF(Sync!$AH986="","",IF(LEFT(UPPER(TRIM(Sync!$AH986)),2)="SL",UPPER(TRIM(Sync!$AH986)),""))</f>
        <v/>
      </c>
      <c r="G986" t="str">
        <f>IF($F986="","",IF(Sync!$AE986="","",IF(ISNUMBER(Sync!$AE986),IF(AND(Sync!$AE986&gt;=10000101,Sync!$AE986&lt;=99991231),INT(Sync!$AE986/10000),""),IFERROR(VALUE(TRIM(LEFT(Sync!$AE986,FIND("/",Sync!$AE986)-1))),""))))</f>
        <v/>
      </c>
      <c r="H986" t="str">
        <f>IF(OR($F986="",$G986=""),"",IF(ISNUMBER(Sync!$AE986),INT(MOD(Sync!$AE986,10000)/100),IFERROR(VALUE(TRIM(LEFT(MID(Sync!$AE986,FIND("/",Sync!$AE986)+1,20),FIND("/",MID(Sync!$AE986,FIND("/",Sync!$AE986)+1,20))-1))),"")))</f>
        <v/>
      </c>
      <c r="I986" t="str">
        <f>IF(OR($F986="",$G986=""),"",IF(ISNUMBER(Sync!$AE986),MOD(Sync!$AE986,100),IFERROR(VALUE(TRIM(MID(MID(Sync!$AE986,FIND("/",Sync!$AE986)+1,20),FIND("/",MID(Sync!$AE986,FIND("/",Sync!$AE986)+1,20))+1,20))),"")))</f>
        <v/>
      </c>
      <c r="J986" t="str">
        <f t="shared" si="77"/>
        <v/>
      </c>
      <c r="K986" t="str">
        <f>IF(OR($F986="",$J986="",$J986="نامعتبر"),"",LEFT($J986,4)&amp;MID($J986,6,2)&amp;RIGHT($J986,2)&amp;$N986&amp;"|"&amp;"2"&amp;RIGHT("00000"&amp;981,5))</f>
        <v/>
      </c>
      <c r="L986" t="str">
        <f t="shared" si="78"/>
        <v/>
      </c>
      <c r="M986" t="str">
        <f t="shared" si="79"/>
        <v/>
      </c>
      <c r="N986" t="str">
        <f>IF($F986="","",IF(Sync!$AF986="","0000",IF(AND(ISNUMBER(Sync!$AF986),Sync!$AF986&gt;=0,Sync!$AF986&lt;1),RIGHT("00"&amp;HOUR(Sync!$AF986),2)&amp;RIGHT("00"&amp;MINUTE(Sync!$AF986),2),IFERROR(RIGHT("00"&amp;VALUE(LEFT(Sync!$AF986,FIND(":",Sync!$AF986)-1)),2)&amp;RIGHT("00"&amp;VALUE(MID(Sync!$AF986,FIND(":",Sync!$AF986)+1,2)),2),"0000"))))</f>
        <v/>
      </c>
    </row>
    <row r="987" spans="1:14" x14ac:dyDescent="0.2">
      <c r="A987" t="str">
        <f>IF(OR(Calc!$E991="",Calc!$E991="نامعتبر",Calc!$G991=""),"",Calc!$G991)</f>
        <v/>
      </c>
      <c r="B987" t="str">
        <f>IF($A987="","",LEFT(Calc!$E991,4)&amp;MID(Calc!$E991,6,2)&amp;RIGHT(Calc!$E991,2)&amp;Calc!$Q991&amp;"|"&amp;"1"&amp;RIGHT("00000"&amp;982,5))</f>
        <v/>
      </c>
      <c r="C987" t="str">
        <f t="shared" si="75"/>
        <v/>
      </c>
      <c r="D987" t="str">
        <f t="shared" si="76"/>
        <v/>
      </c>
      <c r="F987" t="str">
        <f>IF(Sync!$AH987="","",IF(LEFT(UPPER(TRIM(Sync!$AH987)),2)="SL",UPPER(TRIM(Sync!$AH987)),""))</f>
        <v/>
      </c>
      <c r="G987" t="str">
        <f>IF($F987="","",IF(Sync!$AE987="","",IF(ISNUMBER(Sync!$AE987),IF(AND(Sync!$AE987&gt;=10000101,Sync!$AE987&lt;=99991231),INT(Sync!$AE987/10000),""),IFERROR(VALUE(TRIM(LEFT(Sync!$AE987,FIND("/",Sync!$AE987)-1))),""))))</f>
        <v/>
      </c>
      <c r="H987" t="str">
        <f>IF(OR($F987="",$G987=""),"",IF(ISNUMBER(Sync!$AE987),INT(MOD(Sync!$AE987,10000)/100),IFERROR(VALUE(TRIM(LEFT(MID(Sync!$AE987,FIND("/",Sync!$AE987)+1,20),FIND("/",MID(Sync!$AE987,FIND("/",Sync!$AE987)+1,20))-1))),"")))</f>
        <v/>
      </c>
      <c r="I987" t="str">
        <f>IF(OR($F987="",$G987=""),"",IF(ISNUMBER(Sync!$AE987),MOD(Sync!$AE987,100),IFERROR(VALUE(TRIM(MID(MID(Sync!$AE987,FIND("/",Sync!$AE987)+1,20),FIND("/",MID(Sync!$AE987,FIND("/",Sync!$AE987)+1,20))+1,20))),"")))</f>
        <v/>
      </c>
      <c r="J987" t="str">
        <f t="shared" si="77"/>
        <v/>
      </c>
      <c r="K987" t="str">
        <f>IF(OR($F987="",$J987="",$J987="نامعتبر"),"",LEFT($J987,4)&amp;MID($J987,6,2)&amp;RIGHT($J987,2)&amp;$N987&amp;"|"&amp;"2"&amp;RIGHT("00000"&amp;982,5))</f>
        <v/>
      </c>
      <c r="L987" t="str">
        <f t="shared" si="78"/>
        <v/>
      </c>
      <c r="M987" t="str">
        <f t="shared" si="79"/>
        <v/>
      </c>
      <c r="N987" t="str">
        <f>IF($F987="","",IF(Sync!$AF987="","0000",IF(AND(ISNUMBER(Sync!$AF987),Sync!$AF987&gt;=0,Sync!$AF987&lt;1),RIGHT("00"&amp;HOUR(Sync!$AF987),2)&amp;RIGHT("00"&amp;MINUTE(Sync!$AF987),2),IFERROR(RIGHT("00"&amp;VALUE(LEFT(Sync!$AF987,FIND(":",Sync!$AF987)-1)),2)&amp;RIGHT("00"&amp;VALUE(MID(Sync!$AF987,FIND(":",Sync!$AF987)+1,2)),2),"0000"))))</f>
        <v/>
      </c>
    </row>
    <row r="988" spans="1:14" x14ac:dyDescent="0.2">
      <c r="A988" t="str">
        <f>IF(OR(Calc!$E992="",Calc!$E992="نامعتبر",Calc!$G992=""),"",Calc!$G992)</f>
        <v/>
      </c>
      <c r="B988" t="str">
        <f>IF($A988="","",LEFT(Calc!$E992,4)&amp;MID(Calc!$E992,6,2)&amp;RIGHT(Calc!$E992,2)&amp;Calc!$Q992&amp;"|"&amp;"1"&amp;RIGHT("00000"&amp;983,5))</f>
        <v/>
      </c>
      <c r="C988" t="str">
        <f t="shared" si="75"/>
        <v/>
      </c>
      <c r="D988" t="str">
        <f t="shared" si="76"/>
        <v/>
      </c>
      <c r="F988" t="str">
        <f>IF(Sync!$AH988="","",IF(LEFT(UPPER(TRIM(Sync!$AH988)),2)="SL",UPPER(TRIM(Sync!$AH988)),""))</f>
        <v/>
      </c>
      <c r="G988" t="str">
        <f>IF($F988="","",IF(Sync!$AE988="","",IF(ISNUMBER(Sync!$AE988),IF(AND(Sync!$AE988&gt;=10000101,Sync!$AE988&lt;=99991231),INT(Sync!$AE988/10000),""),IFERROR(VALUE(TRIM(LEFT(Sync!$AE988,FIND("/",Sync!$AE988)-1))),""))))</f>
        <v/>
      </c>
      <c r="H988" t="str">
        <f>IF(OR($F988="",$G988=""),"",IF(ISNUMBER(Sync!$AE988),INT(MOD(Sync!$AE988,10000)/100),IFERROR(VALUE(TRIM(LEFT(MID(Sync!$AE988,FIND("/",Sync!$AE988)+1,20),FIND("/",MID(Sync!$AE988,FIND("/",Sync!$AE988)+1,20))-1))),"")))</f>
        <v/>
      </c>
      <c r="I988" t="str">
        <f>IF(OR($F988="",$G988=""),"",IF(ISNUMBER(Sync!$AE988),MOD(Sync!$AE988,100),IFERROR(VALUE(TRIM(MID(MID(Sync!$AE988,FIND("/",Sync!$AE988)+1,20),FIND("/",MID(Sync!$AE988,FIND("/",Sync!$AE988)+1,20))+1,20))),"")))</f>
        <v/>
      </c>
      <c r="J988" t="str">
        <f t="shared" si="77"/>
        <v/>
      </c>
      <c r="K988" t="str">
        <f>IF(OR($F988="",$J988="",$J988="نامعتبر"),"",LEFT($J988,4)&amp;MID($J988,6,2)&amp;RIGHT($J988,2)&amp;$N988&amp;"|"&amp;"2"&amp;RIGHT("00000"&amp;983,5))</f>
        <v/>
      </c>
      <c r="L988" t="str">
        <f t="shared" si="78"/>
        <v/>
      </c>
      <c r="M988" t="str">
        <f t="shared" si="79"/>
        <v/>
      </c>
      <c r="N988" t="str">
        <f>IF($F988="","",IF(Sync!$AF988="","0000",IF(AND(ISNUMBER(Sync!$AF988),Sync!$AF988&gt;=0,Sync!$AF988&lt;1),RIGHT("00"&amp;HOUR(Sync!$AF988),2)&amp;RIGHT("00"&amp;MINUTE(Sync!$AF988),2),IFERROR(RIGHT("00"&amp;VALUE(LEFT(Sync!$AF988,FIND(":",Sync!$AF988)-1)),2)&amp;RIGHT("00"&amp;VALUE(MID(Sync!$AF988,FIND(":",Sync!$AF988)+1,2)),2),"0000"))))</f>
        <v/>
      </c>
    </row>
    <row r="989" spans="1:14" x14ac:dyDescent="0.2">
      <c r="A989" t="str">
        <f>IF(OR(Calc!$E993="",Calc!$E993="نامعتبر",Calc!$G993=""),"",Calc!$G993)</f>
        <v/>
      </c>
      <c r="B989" t="str">
        <f>IF($A989="","",LEFT(Calc!$E993,4)&amp;MID(Calc!$E993,6,2)&amp;RIGHT(Calc!$E993,2)&amp;Calc!$Q993&amp;"|"&amp;"1"&amp;RIGHT("00000"&amp;984,5))</f>
        <v/>
      </c>
      <c r="C989" t="str">
        <f t="shared" si="75"/>
        <v/>
      </c>
      <c r="D989" t="str">
        <f t="shared" si="76"/>
        <v/>
      </c>
      <c r="F989" t="str">
        <f>IF(Sync!$AH989="","",IF(LEFT(UPPER(TRIM(Sync!$AH989)),2)="SL",UPPER(TRIM(Sync!$AH989)),""))</f>
        <v/>
      </c>
      <c r="G989" t="str">
        <f>IF($F989="","",IF(Sync!$AE989="","",IF(ISNUMBER(Sync!$AE989),IF(AND(Sync!$AE989&gt;=10000101,Sync!$AE989&lt;=99991231),INT(Sync!$AE989/10000),""),IFERROR(VALUE(TRIM(LEFT(Sync!$AE989,FIND("/",Sync!$AE989)-1))),""))))</f>
        <v/>
      </c>
      <c r="H989" t="str">
        <f>IF(OR($F989="",$G989=""),"",IF(ISNUMBER(Sync!$AE989),INT(MOD(Sync!$AE989,10000)/100),IFERROR(VALUE(TRIM(LEFT(MID(Sync!$AE989,FIND("/",Sync!$AE989)+1,20),FIND("/",MID(Sync!$AE989,FIND("/",Sync!$AE989)+1,20))-1))),"")))</f>
        <v/>
      </c>
      <c r="I989" t="str">
        <f>IF(OR($F989="",$G989=""),"",IF(ISNUMBER(Sync!$AE989),MOD(Sync!$AE989,100),IFERROR(VALUE(TRIM(MID(MID(Sync!$AE989,FIND("/",Sync!$AE989)+1,20),FIND("/",MID(Sync!$AE989,FIND("/",Sync!$AE989)+1,20))+1,20))),"")))</f>
        <v/>
      </c>
      <c r="J989" t="str">
        <f t="shared" si="77"/>
        <v/>
      </c>
      <c r="K989" t="str">
        <f>IF(OR($F989="",$J989="",$J989="نامعتبر"),"",LEFT($J989,4)&amp;MID($J989,6,2)&amp;RIGHT($J989,2)&amp;$N989&amp;"|"&amp;"2"&amp;RIGHT("00000"&amp;984,5))</f>
        <v/>
      </c>
      <c r="L989" t="str">
        <f t="shared" si="78"/>
        <v/>
      </c>
      <c r="M989" t="str">
        <f t="shared" si="79"/>
        <v/>
      </c>
      <c r="N989" t="str">
        <f>IF($F989="","",IF(Sync!$AF989="","0000",IF(AND(ISNUMBER(Sync!$AF989),Sync!$AF989&gt;=0,Sync!$AF989&lt;1),RIGHT("00"&amp;HOUR(Sync!$AF989),2)&amp;RIGHT("00"&amp;MINUTE(Sync!$AF989),2),IFERROR(RIGHT("00"&amp;VALUE(LEFT(Sync!$AF989,FIND(":",Sync!$AF989)-1)),2)&amp;RIGHT("00"&amp;VALUE(MID(Sync!$AF989,FIND(":",Sync!$AF989)+1,2)),2),"0000"))))</f>
        <v/>
      </c>
    </row>
    <row r="990" spans="1:14" x14ac:dyDescent="0.2">
      <c r="A990" t="str">
        <f>IF(OR(Calc!$E994="",Calc!$E994="نامعتبر",Calc!$G994=""),"",Calc!$G994)</f>
        <v/>
      </c>
      <c r="B990" t="str">
        <f>IF($A990="","",LEFT(Calc!$E994,4)&amp;MID(Calc!$E994,6,2)&amp;RIGHT(Calc!$E994,2)&amp;Calc!$Q994&amp;"|"&amp;"1"&amp;RIGHT("00000"&amp;985,5))</f>
        <v/>
      </c>
      <c r="C990" t="str">
        <f t="shared" si="75"/>
        <v/>
      </c>
      <c r="D990" t="str">
        <f t="shared" si="76"/>
        <v/>
      </c>
      <c r="F990" t="str">
        <f>IF(Sync!$AH990="","",IF(LEFT(UPPER(TRIM(Sync!$AH990)),2)="SL",UPPER(TRIM(Sync!$AH990)),""))</f>
        <v/>
      </c>
      <c r="G990" t="str">
        <f>IF($F990="","",IF(Sync!$AE990="","",IF(ISNUMBER(Sync!$AE990),IF(AND(Sync!$AE990&gt;=10000101,Sync!$AE990&lt;=99991231),INT(Sync!$AE990/10000),""),IFERROR(VALUE(TRIM(LEFT(Sync!$AE990,FIND("/",Sync!$AE990)-1))),""))))</f>
        <v/>
      </c>
      <c r="H990" t="str">
        <f>IF(OR($F990="",$G990=""),"",IF(ISNUMBER(Sync!$AE990),INT(MOD(Sync!$AE990,10000)/100),IFERROR(VALUE(TRIM(LEFT(MID(Sync!$AE990,FIND("/",Sync!$AE990)+1,20),FIND("/",MID(Sync!$AE990,FIND("/",Sync!$AE990)+1,20))-1))),"")))</f>
        <v/>
      </c>
      <c r="I990" t="str">
        <f>IF(OR($F990="",$G990=""),"",IF(ISNUMBER(Sync!$AE990),MOD(Sync!$AE990,100),IFERROR(VALUE(TRIM(MID(MID(Sync!$AE990,FIND("/",Sync!$AE990)+1,20),FIND("/",MID(Sync!$AE990,FIND("/",Sync!$AE990)+1,20))+1,20))),"")))</f>
        <v/>
      </c>
      <c r="J990" t="str">
        <f t="shared" si="77"/>
        <v/>
      </c>
      <c r="K990" t="str">
        <f>IF(OR($F990="",$J990="",$J990="نامعتبر"),"",LEFT($J990,4)&amp;MID($J990,6,2)&amp;RIGHT($J990,2)&amp;$N990&amp;"|"&amp;"2"&amp;RIGHT("00000"&amp;985,5))</f>
        <v/>
      </c>
      <c r="L990" t="str">
        <f t="shared" si="78"/>
        <v/>
      </c>
      <c r="M990" t="str">
        <f t="shared" si="79"/>
        <v/>
      </c>
      <c r="N990" t="str">
        <f>IF($F990="","",IF(Sync!$AF990="","0000",IF(AND(ISNUMBER(Sync!$AF990),Sync!$AF990&gt;=0,Sync!$AF990&lt;1),RIGHT("00"&amp;HOUR(Sync!$AF990),2)&amp;RIGHT("00"&amp;MINUTE(Sync!$AF990),2),IFERROR(RIGHT("00"&amp;VALUE(LEFT(Sync!$AF990,FIND(":",Sync!$AF990)-1)),2)&amp;RIGHT("00"&amp;VALUE(MID(Sync!$AF990,FIND(":",Sync!$AF990)+1,2)),2),"0000"))))</f>
        <v/>
      </c>
    </row>
    <row r="991" spans="1:14" x14ac:dyDescent="0.2">
      <c r="A991" t="str">
        <f>IF(OR(Calc!$E995="",Calc!$E995="نامعتبر",Calc!$G995=""),"",Calc!$G995)</f>
        <v/>
      </c>
      <c r="B991" t="str">
        <f>IF($A991="","",LEFT(Calc!$E995,4)&amp;MID(Calc!$E995,6,2)&amp;RIGHT(Calc!$E995,2)&amp;Calc!$Q995&amp;"|"&amp;"1"&amp;RIGHT("00000"&amp;986,5))</f>
        <v/>
      </c>
      <c r="C991" t="str">
        <f t="shared" si="75"/>
        <v/>
      </c>
      <c r="D991" t="str">
        <f t="shared" si="76"/>
        <v/>
      </c>
      <c r="F991" t="str">
        <f>IF(Sync!$AH991="","",IF(LEFT(UPPER(TRIM(Sync!$AH991)),2)="SL",UPPER(TRIM(Sync!$AH991)),""))</f>
        <v/>
      </c>
      <c r="G991" t="str">
        <f>IF($F991="","",IF(Sync!$AE991="","",IF(ISNUMBER(Sync!$AE991),IF(AND(Sync!$AE991&gt;=10000101,Sync!$AE991&lt;=99991231),INT(Sync!$AE991/10000),""),IFERROR(VALUE(TRIM(LEFT(Sync!$AE991,FIND("/",Sync!$AE991)-1))),""))))</f>
        <v/>
      </c>
      <c r="H991" t="str">
        <f>IF(OR($F991="",$G991=""),"",IF(ISNUMBER(Sync!$AE991),INT(MOD(Sync!$AE991,10000)/100),IFERROR(VALUE(TRIM(LEFT(MID(Sync!$AE991,FIND("/",Sync!$AE991)+1,20),FIND("/",MID(Sync!$AE991,FIND("/",Sync!$AE991)+1,20))-1))),"")))</f>
        <v/>
      </c>
      <c r="I991" t="str">
        <f>IF(OR($F991="",$G991=""),"",IF(ISNUMBER(Sync!$AE991),MOD(Sync!$AE991,100),IFERROR(VALUE(TRIM(MID(MID(Sync!$AE991,FIND("/",Sync!$AE991)+1,20),FIND("/",MID(Sync!$AE991,FIND("/",Sync!$AE991)+1,20))+1,20))),"")))</f>
        <v/>
      </c>
      <c r="J991" t="str">
        <f t="shared" si="77"/>
        <v/>
      </c>
      <c r="K991" t="str">
        <f>IF(OR($F991="",$J991="",$J991="نامعتبر"),"",LEFT($J991,4)&amp;MID($J991,6,2)&amp;RIGHT($J991,2)&amp;$N991&amp;"|"&amp;"2"&amp;RIGHT("00000"&amp;986,5))</f>
        <v/>
      </c>
      <c r="L991" t="str">
        <f t="shared" si="78"/>
        <v/>
      </c>
      <c r="M991" t="str">
        <f t="shared" si="79"/>
        <v/>
      </c>
      <c r="N991" t="str">
        <f>IF($F991="","",IF(Sync!$AF991="","0000",IF(AND(ISNUMBER(Sync!$AF991),Sync!$AF991&gt;=0,Sync!$AF991&lt;1),RIGHT("00"&amp;HOUR(Sync!$AF991),2)&amp;RIGHT("00"&amp;MINUTE(Sync!$AF991),2),IFERROR(RIGHT("00"&amp;VALUE(LEFT(Sync!$AF991,FIND(":",Sync!$AF991)-1)),2)&amp;RIGHT("00"&amp;VALUE(MID(Sync!$AF991,FIND(":",Sync!$AF991)+1,2)),2),"0000"))))</f>
        <v/>
      </c>
    </row>
    <row r="992" spans="1:14" x14ac:dyDescent="0.2">
      <c r="A992" t="str">
        <f>IF(OR(Calc!$E996="",Calc!$E996="نامعتبر",Calc!$G996=""),"",Calc!$G996)</f>
        <v/>
      </c>
      <c r="B992" t="str">
        <f>IF($A992="","",LEFT(Calc!$E996,4)&amp;MID(Calc!$E996,6,2)&amp;RIGHT(Calc!$E996,2)&amp;Calc!$Q996&amp;"|"&amp;"1"&amp;RIGHT("00000"&amp;987,5))</f>
        <v/>
      </c>
      <c r="C992" t="str">
        <f t="shared" si="75"/>
        <v/>
      </c>
      <c r="D992" t="str">
        <f t="shared" si="76"/>
        <v/>
      </c>
      <c r="F992" t="str">
        <f>IF(Sync!$AH992="","",IF(LEFT(UPPER(TRIM(Sync!$AH992)),2)="SL",UPPER(TRIM(Sync!$AH992)),""))</f>
        <v/>
      </c>
      <c r="G992" t="str">
        <f>IF($F992="","",IF(Sync!$AE992="","",IF(ISNUMBER(Sync!$AE992),IF(AND(Sync!$AE992&gt;=10000101,Sync!$AE992&lt;=99991231),INT(Sync!$AE992/10000),""),IFERROR(VALUE(TRIM(LEFT(Sync!$AE992,FIND("/",Sync!$AE992)-1))),""))))</f>
        <v/>
      </c>
      <c r="H992" t="str">
        <f>IF(OR($F992="",$G992=""),"",IF(ISNUMBER(Sync!$AE992),INT(MOD(Sync!$AE992,10000)/100),IFERROR(VALUE(TRIM(LEFT(MID(Sync!$AE992,FIND("/",Sync!$AE992)+1,20),FIND("/",MID(Sync!$AE992,FIND("/",Sync!$AE992)+1,20))-1))),"")))</f>
        <v/>
      </c>
      <c r="I992" t="str">
        <f>IF(OR($F992="",$G992=""),"",IF(ISNUMBER(Sync!$AE992),MOD(Sync!$AE992,100),IFERROR(VALUE(TRIM(MID(MID(Sync!$AE992,FIND("/",Sync!$AE992)+1,20),FIND("/",MID(Sync!$AE992,FIND("/",Sync!$AE992)+1,20))+1,20))),"")))</f>
        <v/>
      </c>
      <c r="J992" t="str">
        <f t="shared" si="77"/>
        <v/>
      </c>
      <c r="K992" t="str">
        <f>IF(OR($F992="",$J992="",$J992="نامعتبر"),"",LEFT($J992,4)&amp;MID($J992,6,2)&amp;RIGHT($J992,2)&amp;$N992&amp;"|"&amp;"2"&amp;RIGHT("00000"&amp;987,5))</f>
        <v/>
      </c>
      <c r="L992" t="str">
        <f t="shared" si="78"/>
        <v/>
      </c>
      <c r="M992" t="str">
        <f t="shared" si="79"/>
        <v/>
      </c>
      <c r="N992" t="str">
        <f>IF($F992="","",IF(Sync!$AF992="","0000",IF(AND(ISNUMBER(Sync!$AF992),Sync!$AF992&gt;=0,Sync!$AF992&lt;1),RIGHT("00"&amp;HOUR(Sync!$AF992),2)&amp;RIGHT("00"&amp;MINUTE(Sync!$AF992),2),IFERROR(RIGHT("00"&amp;VALUE(LEFT(Sync!$AF992,FIND(":",Sync!$AF992)-1)),2)&amp;RIGHT("00"&amp;VALUE(MID(Sync!$AF992,FIND(":",Sync!$AF992)+1,2)),2),"0000"))))</f>
        <v/>
      </c>
    </row>
    <row r="993" spans="1:14" x14ac:dyDescent="0.2">
      <c r="A993" t="str">
        <f>IF(OR(Calc!$E997="",Calc!$E997="نامعتبر",Calc!$G997=""),"",Calc!$G997)</f>
        <v/>
      </c>
      <c r="B993" t="str">
        <f>IF($A993="","",LEFT(Calc!$E997,4)&amp;MID(Calc!$E997,6,2)&amp;RIGHT(Calc!$E997,2)&amp;Calc!$Q997&amp;"|"&amp;"1"&amp;RIGHT("00000"&amp;988,5))</f>
        <v/>
      </c>
      <c r="C993" t="str">
        <f t="shared" si="75"/>
        <v/>
      </c>
      <c r="D993" t="str">
        <f t="shared" si="76"/>
        <v/>
      </c>
      <c r="F993" t="str">
        <f>IF(Sync!$AH993="","",IF(LEFT(UPPER(TRIM(Sync!$AH993)),2)="SL",UPPER(TRIM(Sync!$AH993)),""))</f>
        <v/>
      </c>
      <c r="G993" t="str">
        <f>IF($F993="","",IF(Sync!$AE993="","",IF(ISNUMBER(Sync!$AE993),IF(AND(Sync!$AE993&gt;=10000101,Sync!$AE993&lt;=99991231),INT(Sync!$AE993/10000),""),IFERROR(VALUE(TRIM(LEFT(Sync!$AE993,FIND("/",Sync!$AE993)-1))),""))))</f>
        <v/>
      </c>
      <c r="H993" t="str">
        <f>IF(OR($F993="",$G993=""),"",IF(ISNUMBER(Sync!$AE993),INT(MOD(Sync!$AE993,10000)/100),IFERROR(VALUE(TRIM(LEFT(MID(Sync!$AE993,FIND("/",Sync!$AE993)+1,20),FIND("/",MID(Sync!$AE993,FIND("/",Sync!$AE993)+1,20))-1))),"")))</f>
        <v/>
      </c>
      <c r="I993" t="str">
        <f>IF(OR($F993="",$G993=""),"",IF(ISNUMBER(Sync!$AE993),MOD(Sync!$AE993,100),IFERROR(VALUE(TRIM(MID(MID(Sync!$AE993,FIND("/",Sync!$AE993)+1,20),FIND("/",MID(Sync!$AE993,FIND("/",Sync!$AE993)+1,20))+1,20))),"")))</f>
        <v/>
      </c>
      <c r="J993" t="str">
        <f t="shared" si="77"/>
        <v/>
      </c>
      <c r="K993" t="str">
        <f>IF(OR($F993="",$J993="",$J993="نامعتبر"),"",LEFT($J993,4)&amp;MID($J993,6,2)&amp;RIGHT($J993,2)&amp;$N993&amp;"|"&amp;"2"&amp;RIGHT("00000"&amp;988,5))</f>
        <v/>
      </c>
      <c r="L993" t="str">
        <f t="shared" si="78"/>
        <v/>
      </c>
      <c r="M993" t="str">
        <f t="shared" si="79"/>
        <v/>
      </c>
      <c r="N993" t="str">
        <f>IF($F993="","",IF(Sync!$AF993="","0000",IF(AND(ISNUMBER(Sync!$AF993),Sync!$AF993&gt;=0,Sync!$AF993&lt;1),RIGHT("00"&amp;HOUR(Sync!$AF993),2)&amp;RIGHT("00"&amp;MINUTE(Sync!$AF993),2),IFERROR(RIGHT("00"&amp;VALUE(LEFT(Sync!$AF993,FIND(":",Sync!$AF993)-1)),2)&amp;RIGHT("00"&amp;VALUE(MID(Sync!$AF993,FIND(":",Sync!$AF993)+1,2)),2),"0000"))))</f>
        <v/>
      </c>
    </row>
    <row r="994" spans="1:14" x14ac:dyDescent="0.2">
      <c r="A994" t="str">
        <f>IF(OR(Calc!$E998="",Calc!$E998="نامعتبر",Calc!$G998=""),"",Calc!$G998)</f>
        <v/>
      </c>
      <c r="B994" t="str">
        <f>IF($A994="","",LEFT(Calc!$E998,4)&amp;MID(Calc!$E998,6,2)&amp;RIGHT(Calc!$E998,2)&amp;Calc!$Q998&amp;"|"&amp;"1"&amp;RIGHT("00000"&amp;989,5))</f>
        <v/>
      </c>
      <c r="C994" t="str">
        <f t="shared" si="75"/>
        <v/>
      </c>
      <c r="D994" t="str">
        <f t="shared" si="76"/>
        <v/>
      </c>
      <c r="F994" t="str">
        <f>IF(Sync!$AH994="","",IF(LEFT(UPPER(TRIM(Sync!$AH994)),2)="SL",UPPER(TRIM(Sync!$AH994)),""))</f>
        <v/>
      </c>
      <c r="G994" t="str">
        <f>IF($F994="","",IF(Sync!$AE994="","",IF(ISNUMBER(Sync!$AE994),IF(AND(Sync!$AE994&gt;=10000101,Sync!$AE994&lt;=99991231),INT(Sync!$AE994/10000),""),IFERROR(VALUE(TRIM(LEFT(Sync!$AE994,FIND("/",Sync!$AE994)-1))),""))))</f>
        <v/>
      </c>
      <c r="H994" t="str">
        <f>IF(OR($F994="",$G994=""),"",IF(ISNUMBER(Sync!$AE994),INT(MOD(Sync!$AE994,10000)/100),IFERROR(VALUE(TRIM(LEFT(MID(Sync!$AE994,FIND("/",Sync!$AE994)+1,20),FIND("/",MID(Sync!$AE994,FIND("/",Sync!$AE994)+1,20))-1))),"")))</f>
        <v/>
      </c>
      <c r="I994" t="str">
        <f>IF(OR($F994="",$G994=""),"",IF(ISNUMBER(Sync!$AE994),MOD(Sync!$AE994,100),IFERROR(VALUE(TRIM(MID(MID(Sync!$AE994,FIND("/",Sync!$AE994)+1,20),FIND("/",MID(Sync!$AE994,FIND("/",Sync!$AE994)+1,20))+1,20))),"")))</f>
        <v/>
      </c>
      <c r="J994" t="str">
        <f t="shared" si="77"/>
        <v/>
      </c>
      <c r="K994" t="str">
        <f>IF(OR($F994="",$J994="",$J994="نامعتبر"),"",LEFT($J994,4)&amp;MID($J994,6,2)&amp;RIGHT($J994,2)&amp;$N994&amp;"|"&amp;"2"&amp;RIGHT("00000"&amp;989,5))</f>
        <v/>
      </c>
      <c r="L994" t="str">
        <f t="shared" si="78"/>
        <v/>
      </c>
      <c r="M994" t="str">
        <f t="shared" si="79"/>
        <v/>
      </c>
      <c r="N994" t="str">
        <f>IF($F994="","",IF(Sync!$AF994="","0000",IF(AND(ISNUMBER(Sync!$AF994),Sync!$AF994&gt;=0,Sync!$AF994&lt;1),RIGHT("00"&amp;HOUR(Sync!$AF994),2)&amp;RIGHT("00"&amp;MINUTE(Sync!$AF994),2),IFERROR(RIGHT("00"&amp;VALUE(LEFT(Sync!$AF994,FIND(":",Sync!$AF994)-1)),2)&amp;RIGHT("00"&amp;VALUE(MID(Sync!$AF994,FIND(":",Sync!$AF994)+1,2)),2),"0000"))))</f>
        <v/>
      </c>
    </row>
    <row r="995" spans="1:14" x14ac:dyDescent="0.2">
      <c r="A995" t="str">
        <f>IF(OR(Calc!$E999="",Calc!$E999="نامعتبر",Calc!$G999=""),"",Calc!$G999)</f>
        <v/>
      </c>
      <c r="B995" t="str">
        <f>IF($A995="","",LEFT(Calc!$E999,4)&amp;MID(Calc!$E999,6,2)&amp;RIGHT(Calc!$E999,2)&amp;Calc!$Q999&amp;"|"&amp;"1"&amp;RIGHT("00000"&amp;990,5))</f>
        <v/>
      </c>
      <c r="C995" t="str">
        <f t="shared" si="75"/>
        <v/>
      </c>
      <c r="D995" t="str">
        <f t="shared" si="76"/>
        <v/>
      </c>
      <c r="F995" t="str">
        <f>IF(Sync!$AH995="","",IF(LEFT(UPPER(TRIM(Sync!$AH995)),2)="SL",UPPER(TRIM(Sync!$AH995)),""))</f>
        <v/>
      </c>
      <c r="G995" t="str">
        <f>IF($F995="","",IF(Sync!$AE995="","",IF(ISNUMBER(Sync!$AE995),IF(AND(Sync!$AE995&gt;=10000101,Sync!$AE995&lt;=99991231),INT(Sync!$AE995/10000),""),IFERROR(VALUE(TRIM(LEFT(Sync!$AE995,FIND("/",Sync!$AE995)-1))),""))))</f>
        <v/>
      </c>
      <c r="H995" t="str">
        <f>IF(OR($F995="",$G995=""),"",IF(ISNUMBER(Sync!$AE995),INT(MOD(Sync!$AE995,10000)/100),IFERROR(VALUE(TRIM(LEFT(MID(Sync!$AE995,FIND("/",Sync!$AE995)+1,20),FIND("/",MID(Sync!$AE995,FIND("/",Sync!$AE995)+1,20))-1))),"")))</f>
        <v/>
      </c>
      <c r="I995" t="str">
        <f>IF(OR($F995="",$G995=""),"",IF(ISNUMBER(Sync!$AE995),MOD(Sync!$AE995,100),IFERROR(VALUE(TRIM(MID(MID(Sync!$AE995,FIND("/",Sync!$AE995)+1,20),FIND("/",MID(Sync!$AE995,FIND("/",Sync!$AE995)+1,20))+1,20))),"")))</f>
        <v/>
      </c>
      <c r="J995" t="str">
        <f t="shared" si="77"/>
        <v/>
      </c>
      <c r="K995" t="str">
        <f>IF(OR($F995="",$J995="",$J995="نامعتبر"),"",LEFT($J995,4)&amp;MID($J995,6,2)&amp;RIGHT($J995,2)&amp;$N995&amp;"|"&amp;"2"&amp;RIGHT("00000"&amp;990,5))</f>
        <v/>
      </c>
      <c r="L995" t="str">
        <f t="shared" si="78"/>
        <v/>
      </c>
      <c r="M995" t="str">
        <f t="shared" si="79"/>
        <v/>
      </c>
      <c r="N995" t="str">
        <f>IF($F995="","",IF(Sync!$AF995="","0000",IF(AND(ISNUMBER(Sync!$AF995),Sync!$AF995&gt;=0,Sync!$AF995&lt;1),RIGHT("00"&amp;HOUR(Sync!$AF995),2)&amp;RIGHT("00"&amp;MINUTE(Sync!$AF995),2),IFERROR(RIGHT("00"&amp;VALUE(LEFT(Sync!$AF995,FIND(":",Sync!$AF995)-1)),2)&amp;RIGHT("00"&amp;VALUE(MID(Sync!$AF995,FIND(":",Sync!$AF995)+1,2)),2),"0000"))))</f>
        <v/>
      </c>
    </row>
    <row r="996" spans="1:14" x14ac:dyDescent="0.2">
      <c r="A996" t="str">
        <f>IF(OR(Calc!$E1000="",Calc!$E1000="نامعتبر",Calc!$G1000=""),"",Calc!$G1000)</f>
        <v/>
      </c>
      <c r="B996" t="str">
        <f>IF($A996="","",LEFT(Calc!$E1000,4)&amp;MID(Calc!$E1000,6,2)&amp;RIGHT(Calc!$E1000,2)&amp;Calc!$Q1000&amp;"|"&amp;"1"&amp;RIGHT("00000"&amp;991,5))</f>
        <v/>
      </c>
      <c r="C996" t="str">
        <f t="shared" si="75"/>
        <v/>
      </c>
      <c r="D996" t="str">
        <f t="shared" si="76"/>
        <v/>
      </c>
      <c r="F996" t="str">
        <f>IF(Sync!$AH996="","",IF(LEFT(UPPER(TRIM(Sync!$AH996)),2)="SL",UPPER(TRIM(Sync!$AH996)),""))</f>
        <v/>
      </c>
      <c r="G996" t="str">
        <f>IF($F996="","",IF(Sync!$AE996="","",IF(ISNUMBER(Sync!$AE996),IF(AND(Sync!$AE996&gt;=10000101,Sync!$AE996&lt;=99991231),INT(Sync!$AE996/10000),""),IFERROR(VALUE(TRIM(LEFT(Sync!$AE996,FIND("/",Sync!$AE996)-1))),""))))</f>
        <v/>
      </c>
      <c r="H996" t="str">
        <f>IF(OR($F996="",$G996=""),"",IF(ISNUMBER(Sync!$AE996),INT(MOD(Sync!$AE996,10000)/100),IFERROR(VALUE(TRIM(LEFT(MID(Sync!$AE996,FIND("/",Sync!$AE996)+1,20),FIND("/",MID(Sync!$AE996,FIND("/",Sync!$AE996)+1,20))-1))),"")))</f>
        <v/>
      </c>
      <c r="I996" t="str">
        <f>IF(OR($F996="",$G996=""),"",IF(ISNUMBER(Sync!$AE996),MOD(Sync!$AE996,100),IFERROR(VALUE(TRIM(MID(MID(Sync!$AE996,FIND("/",Sync!$AE996)+1,20),FIND("/",MID(Sync!$AE996,FIND("/",Sync!$AE996)+1,20))+1,20))),"")))</f>
        <v/>
      </c>
      <c r="J996" t="str">
        <f t="shared" si="77"/>
        <v/>
      </c>
      <c r="K996" t="str">
        <f>IF(OR($F996="",$J996="",$J996="نامعتبر"),"",LEFT($J996,4)&amp;MID($J996,6,2)&amp;RIGHT($J996,2)&amp;$N996&amp;"|"&amp;"2"&amp;RIGHT("00000"&amp;991,5))</f>
        <v/>
      </c>
      <c r="L996" t="str">
        <f t="shared" si="78"/>
        <v/>
      </c>
      <c r="M996" t="str">
        <f t="shared" si="79"/>
        <v/>
      </c>
      <c r="N996" t="str">
        <f>IF($F996="","",IF(Sync!$AF996="","0000",IF(AND(ISNUMBER(Sync!$AF996),Sync!$AF996&gt;=0,Sync!$AF996&lt;1),RIGHT("00"&amp;HOUR(Sync!$AF996),2)&amp;RIGHT("00"&amp;MINUTE(Sync!$AF996),2),IFERROR(RIGHT("00"&amp;VALUE(LEFT(Sync!$AF996,FIND(":",Sync!$AF996)-1)),2)&amp;RIGHT("00"&amp;VALUE(MID(Sync!$AF996,FIND(":",Sync!$AF996)+1,2)),2),"0000"))))</f>
        <v/>
      </c>
    </row>
    <row r="997" spans="1:14" x14ac:dyDescent="0.2">
      <c r="A997" t="str">
        <f>IF(OR(Calc!$E1001="",Calc!$E1001="نامعتبر",Calc!$G1001=""),"",Calc!$G1001)</f>
        <v/>
      </c>
      <c r="B997" t="str">
        <f>IF($A997="","",LEFT(Calc!$E1001,4)&amp;MID(Calc!$E1001,6,2)&amp;RIGHT(Calc!$E1001,2)&amp;Calc!$Q1001&amp;"|"&amp;"1"&amp;RIGHT("00000"&amp;992,5))</f>
        <v/>
      </c>
      <c r="C997" t="str">
        <f t="shared" si="75"/>
        <v/>
      </c>
      <c r="D997" t="str">
        <f t="shared" si="76"/>
        <v/>
      </c>
      <c r="F997" t="str">
        <f>IF(Sync!$AH997="","",IF(LEFT(UPPER(TRIM(Sync!$AH997)),2)="SL",UPPER(TRIM(Sync!$AH997)),""))</f>
        <v/>
      </c>
      <c r="G997" t="str">
        <f>IF($F997="","",IF(Sync!$AE997="","",IF(ISNUMBER(Sync!$AE997),IF(AND(Sync!$AE997&gt;=10000101,Sync!$AE997&lt;=99991231),INT(Sync!$AE997/10000),""),IFERROR(VALUE(TRIM(LEFT(Sync!$AE997,FIND("/",Sync!$AE997)-1))),""))))</f>
        <v/>
      </c>
      <c r="H997" t="str">
        <f>IF(OR($F997="",$G997=""),"",IF(ISNUMBER(Sync!$AE997),INT(MOD(Sync!$AE997,10000)/100),IFERROR(VALUE(TRIM(LEFT(MID(Sync!$AE997,FIND("/",Sync!$AE997)+1,20),FIND("/",MID(Sync!$AE997,FIND("/",Sync!$AE997)+1,20))-1))),"")))</f>
        <v/>
      </c>
      <c r="I997" t="str">
        <f>IF(OR($F997="",$G997=""),"",IF(ISNUMBER(Sync!$AE997),MOD(Sync!$AE997,100),IFERROR(VALUE(TRIM(MID(MID(Sync!$AE997,FIND("/",Sync!$AE997)+1,20),FIND("/",MID(Sync!$AE997,FIND("/",Sync!$AE997)+1,20))+1,20))),"")))</f>
        <v/>
      </c>
      <c r="J997" t="str">
        <f t="shared" si="77"/>
        <v/>
      </c>
      <c r="K997" t="str">
        <f>IF(OR($F997="",$J997="",$J997="نامعتبر"),"",LEFT($J997,4)&amp;MID($J997,6,2)&amp;RIGHT($J997,2)&amp;$N997&amp;"|"&amp;"2"&amp;RIGHT("00000"&amp;992,5))</f>
        <v/>
      </c>
      <c r="L997" t="str">
        <f t="shared" si="78"/>
        <v/>
      </c>
      <c r="M997" t="str">
        <f t="shared" si="79"/>
        <v/>
      </c>
      <c r="N997" t="str">
        <f>IF($F997="","",IF(Sync!$AF997="","0000",IF(AND(ISNUMBER(Sync!$AF997),Sync!$AF997&gt;=0,Sync!$AF997&lt;1),RIGHT("00"&amp;HOUR(Sync!$AF997),2)&amp;RIGHT("00"&amp;MINUTE(Sync!$AF997),2),IFERROR(RIGHT("00"&amp;VALUE(LEFT(Sync!$AF997,FIND(":",Sync!$AF997)-1)),2)&amp;RIGHT("00"&amp;VALUE(MID(Sync!$AF997,FIND(":",Sync!$AF997)+1,2)),2),"0000"))))</f>
        <v/>
      </c>
    </row>
    <row r="998" spans="1:14" x14ac:dyDescent="0.2">
      <c r="A998" t="str">
        <f>IF(OR(Calc!$E1002="",Calc!$E1002="نامعتبر",Calc!$G1002=""),"",Calc!$G1002)</f>
        <v/>
      </c>
      <c r="B998" t="str">
        <f>IF($A998="","",LEFT(Calc!$E1002,4)&amp;MID(Calc!$E1002,6,2)&amp;RIGHT(Calc!$E1002,2)&amp;Calc!$Q1002&amp;"|"&amp;"1"&amp;RIGHT("00000"&amp;993,5))</f>
        <v/>
      </c>
      <c r="C998" t="str">
        <f t="shared" si="75"/>
        <v/>
      </c>
      <c r="D998" t="str">
        <f t="shared" si="76"/>
        <v/>
      </c>
      <c r="F998" t="str">
        <f>IF(Sync!$AH998="","",IF(LEFT(UPPER(TRIM(Sync!$AH998)),2)="SL",UPPER(TRIM(Sync!$AH998)),""))</f>
        <v/>
      </c>
      <c r="G998" t="str">
        <f>IF($F998="","",IF(Sync!$AE998="","",IF(ISNUMBER(Sync!$AE998),IF(AND(Sync!$AE998&gt;=10000101,Sync!$AE998&lt;=99991231),INT(Sync!$AE998/10000),""),IFERROR(VALUE(TRIM(LEFT(Sync!$AE998,FIND("/",Sync!$AE998)-1))),""))))</f>
        <v/>
      </c>
      <c r="H998" t="str">
        <f>IF(OR($F998="",$G998=""),"",IF(ISNUMBER(Sync!$AE998),INT(MOD(Sync!$AE998,10000)/100),IFERROR(VALUE(TRIM(LEFT(MID(Sync!$AE998,FIND("/",Sync!$AE998)+1,20),FIND("/",MID(Sync!$AE998,FIND("/",Sync!$AE998)+1,20))-1))),"")))</f>
        <v/>
      </c>
      <c r="I998" t="str">
        <f>IF(OR($F998="",$G998=""),"",IF(ISNUMBER(Sync!$AE998),MOD(Sync!$AE998,100),IFERROR(VALUE(TRIM(MID(MID(Sync!$AE998,FIND("/",Sync!$AE998)+1,20),FIND("/",MID(Sync!$AE998,FIND("/",Sync!$AE998)+1,20))+1,20))),"")))</f>
        <v/>
      </c>
      <c r="J998" t="str">
        <f t="shared" si="77"/>
        <v/>
      </c>
      <c r="K998" t="str">
        <f>IF(OR($F998="",$J998="",$J998="نامعتبر"),"",LEFT($J998,4)&amp;MID($J998,6,2)&amp;RIGHT($J998,2)&amp;$N998&amp;"|"&amp;"2"&amp;RIGHT("00000"&amp;993,5))</f>
        <v/>
      </c>
      <c r="L998" t="str">
        <f t="shared" si="78"/>
        <v/>
      </c>
      <c r="M998" t="str">
        <f t="shared" si="79"/>
        <v/>
      </c>
      <c r="N998" t="str">
        <f>IF($F998="","",IF(Sync!$AF998="","0000",IF(AND(ISNUMBER(Sync!$AF998),Sync!$AF998&gt;=0,Sync!$AF998&lt;1),RIGHT("00"&amp;HOUR(Sync!$AF998),2)&amp;RIGHT("00"&amp;MINUTE(Sync!$AF998),2),IFERROR(RIGHT("00"&amp;VALUE(LEFT(Sync!$AF998,FIND(":",Sync!$AF998)-1)),2)&amp;RIGHT("00"&amp;VALUE(MID(Sync!$AF998,FIND(":",Sync!$AF998)+1,2)),2),"0000"))))</f>
        <v/>
      </c>
    </row>
    <row r="999" spans="1:14" x14ac:dyDescent="0.2">
      <c r="A999" t="str">
        <f>IF(OR(Calc!$E1003="",Calc!$E1003="نامعتبر",Calc!$G1003=""),"",Calc!$G1003)</f>
        <v/>
      </c>
      <c r="B999" t="str">
        <f>IF($A999="","",LEFT(Calc!$E1003,4)&amp;MID(Calc!$E1003,6,2)&amp;RIGHT(Calc!$E1003,2)&amp;Calc!$Q1003&amp;"|"&amp;"1"&amp;RIGHT("00000"&amp;994,5))</f>
        <v/>
      </c>
      <c r="C999" t="str">
        <f t="shared" si="75"/>
        <v/>
      </c>
      <c r="D999" t="str">
        <f t="shared" si="76"/>
        <v/>
      </c>
      <c r="F999" t="str">
        <f>IF(Sync!$AH999="","",IF(LEFT(UPPER(TRIM(Sync!$AH999)),2)="SL",UPPER(TRIM(Sync!$AH999)),""))</f>
        <v/>
      </c>
      <c r="G999" t="str">
        <f>IF($F999="","",IF(Sync!$AE999="","",IF(ISNUMBER(Sync!$AE999),IF(AND(Sync!$AE999&gt;=10000101,Sync!$AE999&lt;=99991231),INT(Sync!$AE999/10000),""),IFERROR(VALUE(TRIM(LEFT(Sync!$AE999,FIND("/",Sync!$AE999)-1))),""))))</f>
        <v/>
      </c>
      <c r="H999" t="str">
        <f>IF(OR($F999="",$G999=""),"",IF(ISNUMBER(Sync!$AE999),INT(MOD(Sync!$AE999,10000)/100),IFERROR(VALUE(TRIM(LEFT(MID(Sync!$AE999,FIND("/",Sync!$AE999)+1,20),FIND("/",MID(Sync!$AE999,FIND("/",Sync!$AE999)+1,20))-1))),"")))</f>
        <v/>
      </c>
      <c r="I999" t="str">
        <f>IF(OR($F999="",$G999=""),"",IF(ISNUMBER(Sync!$AE999),MOD(Sync!$AE999,100),IFERROR(VALUE(TRIM(MID(MID(Sync!$AE999,FIND("/",Sync!$AE999)+1,20),FIND("/",MID(Sync!$AE999,FIND("/",Sync!$AE999)+1,20))+1,20))),"")))</f>
        <v/>
      </c>
      <c r="J999" t="str">
        <f t="shared" si="77"/>
        <v/>
      </c>
      <c r="K999" t="str">
        <f>IF(OR($F999="",$J999="",$J999="نامعتبر"),"",LEFT($J999,4)&amp;MID($J999,6,2)&amp;RIGHT($J999,2)&amp;$N999&amp;"|"&amp;"2"&amp;RIGHT("00000"&amp;994,5))</f>
        <v/>
      </c>
      <c r="L999" t="str">
        <f t="shared" si="78"/>
        <v/>
      </c>
      <c r="M999" t="str">
        <f t="shared" si="79"/>
        <v/>
      </c>
      <c r="N999" t="str">
        <f>IF($F999="","",IF(Sync!$AF999="","0000",IF(AND(ISNUMBER(Sync!$AF999),Sync!$AF999&gt;=0,Sync!$AF999&lt;1),RIGHT("00"&amp;HOUR(Sync!$AF999),2)&amp;RIGHT("00"&amp;MINUTE(Sync!$AF999),2),IFERROR(RIGHT("00"&amp;VALUE(LEFT(Sync!$AF999,FIND(":",Sync!$AF999)-1)),2)&amp;RIGHT("00"&amp;VALUE(MID(Sync!$AF999,FIND(":",Sync!$AF999)+1,2)),2),"0000"))))</f>
        <v/>
      </c>
    </row>
    <row r="1000" spans="1:14" x14ac:dyDescent="0.2">
      <c r="A1000" t="str">
        <f>IF(OR(Calc!$E1004="",Calc!$E1004="نامعتبر",Calc!$G1004=""),"",Calc!$G1004)</f>
        <v/>
      </c>
      <c r="B1000" t="str">
        <f>IF($A1000="","",LEFT(Calc!$E1004,4)&amp;MID(Calc!$E1004,6,2)&amp;RIGHT(Calc!$E1004,2)&amp;Calc!$Q1004&amp;"|"&amp;"1"&amp;RIGHT("00000"&amp;995,5))</f>
        <v/>
      </c>
      <c r="C1000" t="str">
        <f t="shared" si="75"/>
        <v/>
      </c>
      <c r="D1000" t="str">
        <f t="shared" si="76"/>
        <v/>
      </c>
      <c r="F1000" t="str">
        <f>IF(Sync!$AH1000="","",IF(LEFT(UPPER(TRIM(Sync!$AH1000)),2)="SL",UPPER(TRIM(Sync!$AH1000)),""))</f>
        <v/>
      </c>
      <c r="G1000" t="str">
        <f>IF($F1000="","",IF(Sync!$AE1000="","",IF(ISNUMBER(Sync!$AE1000),IF(AND(Sync!$AE1000&gt;=10000101,Sync!$AE1000&lt;=99991231),INT(Sync!$AE1000/10000),""),IFERROR(VALUE(TRIM(LEFT(Sync!$AE1000,FIND("/",Sync!$AE1000)-1))),""))))</f>
        <v/>
      </c>
      <c r="H1000" t="str">
        <f>IF(OR($F1000="",$G1000=""),"",IF(ISNUMBER(Sync!$AE1000),INT(MOD(Sync!$AE1000,10000)/100),IFERROR(VALUE(TRIM(LEFT(MID(Sync!$AE1000,FIND("/",Sync!$AE1000)+1,20),FIND("/",MID(Sync!$AE1000,FIND("/",Sync!$AE1000)+1,20))-1))),"")))</f>
        <v/>
      </c>
      <c r="I1000" t="str">
        <f>IF(OR($F1000="",$G1000=""),"",IF(ISNUMBER(Sync!$AE1000),MOD(Sync!$AE1000,100),IFERROR(VALUE(TRIM(MID(MID(Sync!$AE1000,FIND("/",Sync!$AE1000)+1,20),FIND("/",MID(Sync!$AE1000,FIND("/",Sync!$AE1000)+1,20))+1,20))),"")))</f>
        <v/>
      </c>
      <c r="J1000" t="str">
        <f t="shared" si="77"/>
        <v/>
      </c>
      <c r="K1000" t="str">
        <f>IF(OR($F1000="",$J1000="",$J1000="نامعتبر"),"",LEFT($J1000,4)&amp;MID($J1000,6,2)&amp;RIGHT($J1000,2)&amp;$N1000&amp;"|"&amp;"2"&amp;RIGHT("00000"&amp;995,5))</f>
        <v/>
      </c>
      <c r="L1000" t="str">
        <f t="shared" si="78"/>
        <v/>
      </c>
      <c r="M1000" t="str">
        <f t="shared" si="79"/>
        <v/>
      </c>
      <c r="N1000" t="str">
        <f>IF($F1000="","",IF(Sync!$AF1000="","0000",IF(AND(ISNUMBER(Sync!$AF1000),Sync!$AF1000&gt;=0,Sync!$AF1000&lt;1),RIGHT("00"&amp;HOUR(Sync!$AF1000),2)&amp;RIGHT("00"&amp;MINUTE(Sync!$AF1000),2),IFERROR(RIGHT("00"&amp;VALUE(LEFT(Sync!$AF1000,FIND(":",Sync!$AF1000)-1)),2)&amp;RIGHT("00"&amp;VALUE(MID(Sync!$AF1000,FIND(":",Sync!$AF1000)+1,2)),2),"0000"))))</f>
        <v/>
      </c>
    </row>
    <row r="1001" spans="1:14" x14ac:dyDescent="0.2">
      <c r="A1001" t="str">
        <f>IF(OR(Calc!$E1005="",Calc!$E1005="نامعتبر",Calc!$G1005=""),"",Calc!$G1005)</f>
        <v/>
      </c>
      <c r="B1001" t="str">
        <f>IF($A1001="","",LEFT(Calc!$E1005,4)&amp;MID(Calc!$E1005,6,2)&amp;RIGHT(Calc!$E1005,2)&amp;Calc!$Q1005&amp;"|"&amp;"1"&amp;RIGHT("00000"&amp;996,5))</f>
        <v/>
      </c>
      <c r="C1001" t="str">
        <f t="shared" si="75"/>
        <v/>
      </c>
      <c r="D1001" t="str">
        <f t="shared" si="76"/>
        <v/>
      </c>
      <c r="F1001" t="str">
        <f>IF(Sync!$AH1001="","",IF(LEFT(UPPER(TRIM(Sync!$AH1001)),2)="SL",UPPER(TRIM(Sync!$AH1001)),""))</f>
        <v/>
      </c>
      <c r="G1001" t="str">
        <f>IF($F1001="","",IF(Sync!$AE1001="","",IF(ISNUMBER(Sync!$AE1001),IF(AND(Sync!$AE1001&gt;=10000101,Sync!$AE1001&lt;=99991231),INT(Sync!$AE1001/10000),""),IFERROR(VALUE(TRIM(LEFT(Sync!$AE1001,FIND("/",Sync!$AE1001)-1))),""))))</f>
        <v/>
      </c>
      <c r="H1001" t="str">
        <f>IF(OR($F1001="",$G1001=""),"",IF(ISNUMBER(Sync!$AE1001),INT(MOD(Sync!$AE1001,10000)/100),IFERROR(VALUE(TRIM(LEFT(MID(Sync!$AE1001,FIND("/",Sync!$AE1001)+1,20),FIND("/",MID(Sync!$AE1001,FIND("/",Sync!$AE1001)+1,20))-1))),"")))</f>
        <v/>
      </c>
      <c r="I1001" t="str">
        <f>IF(OR($F1001="",$G1001=""),"",IF(ISNUMBER(Sync!$AE1001),MOD(Sync!$AE1001,100),IFERROR(VALUE(TRIM(MID(MID(Sync!$AE1001,FIND("/",Sync!$AE1001)+1,20),FIND("/",MID(Sync!$AE1001,FIND("/",Sync!$AE1001)+1,20))+1,20))),"")))</f>
        <v/>
      </c>
      <c r="J1001" t="str">
        <f t="shared" si="77"/>
        <v/>
      </c>
      <c r="K1001" t="str">
        <f>IF(OR($F1001="",$J1001="",$J1001="نامعتبر"),"",LEFT($J1001,4)&amp;MID($J1001,6,2)&amp;RIGHT($J1001,2)&amp;$N1001&amp;"|"&amp;"2"&amp;RIGHT("00000"&amp;996,5))</f>
        <v/>
      </c>
      <c r="L1001" t="str">
        <f t="shared" si="78"/>
        <v/>
      </c>
      <c r="M1001" t="str">
        <f t="shared" si="79"/>
        <v/>
      </c>
      <c r="N1001" t="str">
        <f>IF($F1001="","",IF(Sync!$AF1001="","0000",IF(AND(ISNUMBER(Sync!$AF1001),Sync!$AF1001&gt;=0,Sync!$AF1001&lt;1),RIGHT("00"&amp;HOUR(Sync!$AF1001),2)&amp;RIGHT("00"&amp;MINUTE(Sync!$AF1001),2),IFERROR(RIGHT("00"&amp;VALUE(LEFT(Sync!$AF1001,FIND(":",Sync!$AF1001)-1)),2)&amp;RIGHT("00"&amp;VALUE(MID(Sync!$AF1001,FIND(":",Sync!$AF1001)+1,2)),2),"0000"))))</f>
        <v/>
      </c>
    </row>
    <row r="1002" spans="1:14" x14ac:dyDescent="0.2">
      <c r="A1002" t="str">
        <f>IF(OR(Calc!$E1006="",Calc!$E1006="نامعتبر",Calc!$G1006=""),"",Calc!$G1006)</f>
        <v/>
      </c>
      <c r="B1002" t="str">
        <f>IF($A1002="","",LEFT(Calc!$E1006,4)&amp;MID(Calc!$E1006,6,2)&amp;RIGHT(Calc!$E1006,2)&amp;Calc!$Q1006&amp;"|"&amp;"1"&amp;RIGHT("00000"&amp;997,5))</f>
        <v/>
      </c>
      <c r="C1002" t="str">
        <f t="shared" si="75"/>
        <v/>
      </c>
      <c r="D1002" t="str">
        <f t="shared" si="76"/>
        <v/>
      </c>
      <c r="F1002" t="str">
        <f>IF(Sync!$AH1002="","",IF(LEFT(UPPER(TRIM(Sync!$AH1002)),2)="SL",UPPER(TRIM(Sync!$AH1002)),""))</f>
        <v/>
      </c>
      <c r="G1002" t="str">
        <f>IF($F1002="","",IF(Sync!$AE1002="","",IF(ISNUMBER(Sync!$AE1002),IF(AND(Sync!$AE1002&gt;=10000101,Sync!$AE1002&lt;=99991231),INT(Sync!$AE1002/10000),""),IFERROR(VALUE(TRIM(LEFT(Sync!$AE1002,FIND("/",Sync!$AE1002)-1))),""))))</f>
        <v/>
      </c>
      <c r="H1002" t="str">
        <f>IF(OR($F1002="",$G1002=""),"",IF(ISNUMBER(Sync!$AE1002),INT(MOD(Sync!$AE1002,10000)/100),IFERROR(VALUE(TRIM(LEFT(MID(Sync!$AE1002,FIND("/",Sync!$AE1002)+1,20),FIND("/",MID(Sync!$AE1002,FIND("/",Sync!$AE1002)+1,20))-1))),"")))</f>
        <v/>
      </c>
      <c r="I1002" t="str">
        <f>IF(OR($F1002="",$G1002=""),"",IF(ISNUMBER(Sync!$AE1002),MOD(Sync!$AE1002,100),IFERROR(VALUE(TRIM(MID(MID(Sync!$AE1002,FIND("/",Sync!$AE1002)+1,20),FIND("/",MID(Sync!$AE1002,FIND("/",Sync!$AE1002)+1,20))+1,20))),"")))</f>
        <v/>
      </c>
      <c r="J1002" t="str">
        <f t="shared" si="77"/>
        <v/>
      </c>
      <c r="K1002" t="str">
        <f>IF(OR($F1002="",$J1002="",$J1002="نامعتبر"),"",LEFT($J1002,4)&amp;MID($J1002,6,2)&amp;RIGHT($J1002,2)&amp;$N1002&amp;"|"&amp;"2"&amp;RIGHT("00000"&amp;997,5))</f>
        <v/>
      </c>
      <c r="L1002" t="str">
        <f t="shared" si="78"/>
        <v/>
      </c>
      <c r="M1002" t="str">
        <f t="shared" si="79"/>
        <v/>
      </c>
      <c r="N1002" t="str">
        <f>IF($F1002="","",IF(Sync!$AF1002="","0000",IF(AND(ISNUMBER(Sync!$AF1002),Sync!$AF1002&gt;=0,Sync!$AF1002&lt;1),RIGHT("00"&amp;HOUR(Sync!$AF1002),2)&amp;RIGHT("00"&amp;MINUTE(Sync!$AF1002),2),IFERROR(RIGHT("00"&amp;VALUE(LEFT(Sync!$AF1002,FIND(":",Sync!$AF1002)-1)),2)&amp;RIGHT("00"&amp;VALUE(MID(Sync!$AF1002,FIND(":",Sync!$AF1002)+1,2)),2),"0000"))))</f>
        <v/>
      </c>
    </row>
    <row r="1003" spans="1:14" x14ac:dyDescent="0.2">
      <c r="A1003" t="str">
        <f>IF(OR(Calc!$E1007="",Calc!$E1007="نامعتبر",Calc!$G1007=""),"",Calc!$G1007)</f>
        <v/>
      </c>
      <c r="B1003" t="str">
        <f>IF($A1003="","",LEFT(Calc!$E1007,4)&amp;MID(Calc!$E1007,6,2)&amp;RIGHT(Calc!$E1007,2)&amp;Calc!$Q1007&amp;"|"&amp;"1"&amp;RIGHT("00000"&amp;998,5))</f>
        <v/>
      </c>
      <c r="C1003" t="str">
        <f t="shared" si="75"/>
        <v/>
      </c>
      <c r="D1003" t="str">
        <f t="shared" si="76"/>
        <v/>
      </c>
      <c r="F1003" t="str">
        <f>IF(Sync!$AH1003="","",IF(LEFT(UPPER(TRIM(Sync!$AH1003)),2)="SL",UPPER(TRIM(Sync!$AH1003)),""))</f>
        <v/>
      </c>
      <c r="G1003" t="str">
        <f>IF($F1003="","",IF(Sync!$AE1003="","",IF(ISNUMBER(Sync!$AE1003),IF(AND(Sync!$AE1003&gt;=10000101,Sync!$AE1003&lt;=99991231),INT(Sync!$AE1003/10000),""),IFERROR(VALUE(TRIM(LEFT(Sync!$AE1003,FIND("/",Sync!$AE1003)-1))),""))))</f>
        <v/>
      </c>
      <c r="H1003" t="str">
        <f>IF(OR($F1003="",$G1003=""),"",IF(ISNUMBER(Sync!$AE1003),INT(MOD(Sync!$AE1003,10000)/100),IFERROR(VALUE(TRIM(LEFT(MID(Sync!$AE1003,FIND("/",Sync!$AE1003)+1,20),FIND("/",MID(Sync!$AE1003,FIND("/",Sync!$AE1003)+1,20))-1))),"")))</f>
        <v/>
      </c>
      <c r="I1003" t="str">
        <f>IF(OR($F1003="",$G1003=""),"",IF(ISNUMBER(Sync!$AE1003),MOD(Sync!$AE1003,100),IFERROR(VALUE(TRIM(MID(MID(Sync!$AE1003,FIND("/",Sync!$AE1003)+1,20),FIND("/",MID(Sync!$AE1003,FIND("/",Sync!$AE1003)+1,20))+1,20))),"")))</f>
        <v/>
      </c>
      <c r="J1003" t="str">
        <f t="shared" si="77"/>
        <v/>
      </c>
      <c r="K1003" t="str">
        <f>IF(OR($F1003="",$J1003="",$J1003="نامعتبر"),"",LEFT($J1003,4)&amp;MID($J1003,6,2)&amp;RIGHT($J1003,2)&amp;$N1003&amp;"|"&amp;"2"&amp;RIGHT("00000"&amp;998,5))</f>
        <v/>
      </c>
      <c r="L1003" t="str">
        <f t="shared" si="78"/>
        <v/>
      </c>
      <c r="M1003" t="str">
        <f t="shared" si="79"/>
        <v/>
      </c>
      <c r="N1003" t="str">
        <f>IF($F1003="","",IF(Sync!$AF1003="","0000",IF(AND(ISNUMBER(Sync!$AF1003),Sync!$AF1003&gt;=0,Sync!$AF1003&lt;1),RIGHT("00"&amp;HOUR(Sync!$AF1003),2)&amp;RIGHT("00"&amp;MINUTE(Sync!$AF1003),2),IFERROR(RIGHT("00"&amp;VALUE(LEFT(Sync!$AF1003,FIND(":",Sync!$AF1003)-1)),2)&amp;RIGHT("00"&amp;VALUE(MID(Sync!$AF1003,FIND(":",Sync!$AF1003)+1,2)),2),"0000"))))</f>
        <v/>
      </c>
    </row>
    <row r="1004" spans="1:14" x14ac:dyDescent="0.2">
      <c r="A1004" t="str">
        <f>IF(OR(Calc!$E1008="",Calc!$E1008="نامعتبر",Calc!$G1008=""),"",Calc!$G1008)</f>
        <v/>
      </c>
      <c r="B1004" t="str">
        <f>IF($A1004="","",LEFT(Calc!$E1008,4)&amp;MID(Calc!$E1008,6,2)&amp;RIGHT(Calc!$E1008,2)&amp;Calc!$Q1008&amp;"|"&amp;"1"&amp;RIGHT("00000"&amp;999,5))</f>
        <v/>
      </c>
      <c r="C1004" t="str">
        <f t="shared" si="75"/>
        <v/>
      </c>
      <c r="D1004" t="str">
        <f t="shared" si="76"/>
        <v/>
      </c>
      <c r="F1004" t="str">
        <f>IF(Sync!$AH1004="","",IF(LEFT(UPPER(TRIM(Sync!$AH1004)),2)="SL",UPPER(TRIM(Sync!$AH1004)),""))</f>
        <v/>
      </c>
      <c r="G1004" t="str">
        <f>IF($F1004="","",IF(Sync!$AE1004="","",IF(ISNUMBER(Sync!$AE1004),IF(AND(Sync!$AE1004&gt;=10000101,Sync!$AE1004&lt;=99991231),INT(Sync!$AE1004/10000),""),IFERROR(VALUE(TRIM(LEFT(Sync!$AE1004,FIND("/",Sync!$AE1004)-1))),""))))</f>
        <v/>
      </c>
      <c r="H1004" t="str">
        <f>IF(OR($F1004="",$G1004=""),"",IF(ISNUMBER(Sync!$AE1004),INT(MOD(Sync!$AE1004,10000)/100),IFERROR(VALUE(TRIM(LEFT(MID(Sync!$AE1004,FIND("/",Sync!$AE1004)+1,20),FIND("/",MID(Sync!$AE1004,FIND("/",Sync!$AE1004)+1,20))-1))),"")))</f>
        <v/>
      </c>
      <c r="I1004" t="str">
        <f>IF(OR($F1004="",$G1004=""),"",IF(ISNUMBER(Sync!$AE1004),MOD(Sync!$AE1004,100),IFERROR(VALUE(TRIM(MID(MID(Sync!$AE1004,FIND("/",Sync!$AE1004)+1,20),FIND("/",MID(Sync!$AE1004,FIND("/",Sync!$AE1004)+1,20))+1,20))),"")))</f>
        <v/>
      </c>
      <c r="J1004" t="str">
        <f t="shared" si="77"/>
        <v/>
      </c>
      <c r="K1004" t="str">
        <f>IF(OR($F1004="",$J1004="",$J1004="نامعتبر"),"",LEFT($J1004,4)&amp;MID($J1004,6,2)&amp;RIGHT($J1004,2)&amp;$N1004&amp;"|"&amp;"2"&amp;RIGHT("00000"&amp;999,5))</f>
        <v/>
      </c>
      <c r="L1004" t="str">
        <f t="shared" si="78"/>
        <v/>
      </c>
      <c r="M1004" t="str">
        <f t="shared" si="79"/>
        <v/>
      </c>
      <c r="N1004" t="str">
        <f>IF($F1004="","",IF(Sync!$AF1004="","0000",IF(AND(ISNUMBER(Sync!$AF1004),Sync!$AF1004&gt;=0,Sync!$AF1004&lt;1),RIGHT("00"&amp;HOUR(Sync!$AF1004),2)&amp;RIGHT("00"&amp;MINUTE(Sync!$AF1004),2),IFERROR(RIGHT("00"&amp;VALUE(LEFT(Sync!$AF1004,FIND(":",Sync!$AF1004)-1)),2)&amp;RIGHT("00"&amp;VALUE(MID(Sync!$AF1004,FIND(":",Sync!$AF1004)+1,2)),2),"0000"))))</f>
        <v/>
      </c>
    </row>
    <row r="1005" spans="1:14" x14ac:dyDescent="0.2">
      <c r="A1005" t="str">
        <f>IF(OR(Calc!$E1009="",Calc!$E1009="نامعتبر",Calc!$G1009=""),"",Calc!$G1009)</f>
        <v/>
      </c>
      <c r="B1005" t="str">
        <f>IF($A1005="","",LEFT(Calc!$E1009,4)&amp;MID(Calc!$E1009,6,2)&amp;RIGHT(Calc!$E1009,2)&amp;Calc!$Q1009&amp;"|"&amp;"1"&amp;RIGHT("00000"&amp;1000,5))</f>
        <v/>
      </c>
      <c r="C1005" t="str">
        <f t="shared" si="75"/>
        <v/>
      </c>
      <c r="D1005" t="str">
        <f t="shared" si="76"/>
        <v/>
      </c>
      <c r="F1005" t="str">
        <f>IF(Sync!$AH1005="","",IF(LEFT(UPPER(TRIM(Sync!$AH1005)),2)="SL",UPPER(TRIM(Sync!$AH1005)),""))</f>
        <v/>
      </c>
      <c r="G1005" t="str">
        <f>IF($F1005="","",IF(Sync!$AE1005="","",IF(ISNUMBER(Sync!$AE1005),IF(AND(Sync!$AE1005&gt;=10000101,Sync!$AE1005&lt;=99991231),INT(Sync!$AE1005/10000),""),IFERROR(VALUE(TRIM(LEFT(Sync!$AE1005,FIND("/",Sync!$AE1005)-1))),""))))</f>
        <v/>
      </c>
      <c r="H1005" t="str">
        <f>IF(OR($F1005="",$G1005=""),"",IF(ISNUMBER(Sync!$AE1005),INT(MOD(Sync!$AE1005,10000)/100),IFERROR(VALUE(TRIM(LEFT(MID(Sync!$AE1005,FIND("/",Sync!$AE1005)+1,20),FIND("/",MID(Sync!$AE1005,FIND("/",Sync!$AE1005)+1,20))-1))),"")))</f>
        <v/>
      </c>
      <c r="I1005" t="str">
        <f>IF(OR($F1005="",$G1005=""),"",IF(ISNUMBER(Sync!$AE1005),MOD(Sync!$AE1005,100),IFERROR(VALUE(TRIM(MID(MID(Sync!$AE1005,FIND("/",Sync!$AE1005)+1,20),FIND("/",MID(Sync!$AE1005,FIND("/",Sync!$AE1005)+1,20))+1,20))),"")))</f>
        <v/>
      </c>
      <c r="J1005" t="str">
        <f t="shared" si="77"/>
        <v/>
      </c>
      <c r="K1005" t="str">
        <f>IF(OR($F1005="",$J1005="",$J1005="نامعتبر"),"",LEFT($J1005,4)&amp;MID($J1005,6,2)&amp;RIGHT($J1005,2)&amp;$N1005&amp;"|"&amp;"2"&amp;RIGHT("00000"&amp;1000,5))</f>
        <v/>
      </c>
      <c r="L1005" t="str">
        <f t="shared" si="78"/>
        <v/>
      </c>
      <c r="M1005" t="str">
        <f t="shared" si="79"/>
        <v/>
      </c>
      <c r="N1005" t="str">
        <f>IF($F1005="","",IF(Sync!$AF1005="","0000",IF(AND(ISNUMBER(Sync!$AF1005),Sync!$AF1005&gt;=0,Sync!$AF1005&lt;1),RIGHT("00"&amp;HOUR(Sync!$AF1005),2)&amp;RIGHT("00"&amp;MINUTE(Sync!$AF1005),2),IFERROR(RIGHT("00"&amp;VALUE(LEFT(Sync!$AF1005,FIND(":",Sync!$AF1005)-1)),2)&amp;RIGHT("00"&amp;VALUE(MID(Sync!$AF1005,FIND(":",Sync!$AF1005)+1,2)),2),"0000"))))</f>
        <v/>
      </c>
    </row>
    <row r="1006" spans="1:14" x14ac:dyDescent="0.2">
      <c r="A1006" t="str">
        <f>IF(OR(Calc!$E1010="",Calc!$E1010="نامعتبر",Calc!$G1010=""),"",Calc!$G1010)</f>
        <v/>
      </c>
      <c r="B1006" t="str">
        <f>IF($A1006="","",LEFT(Calc!$E1010,4)&amp;MID(Calc!$E1010,6,2)&amp;RIGHT(Calc!$E1010,2)&amp;Calc!$Q1010&amp;"|"&amp;"1"&amp;RIGHT("00000"&amp;1001,5))</f>
        <v/>
      </c>
      <c r="C1006" t="str">
        <f t="shared" si="75"/>
        <v/>
      </c>
      <c r="D1006" t="str">
        <f t="shared" si="76"/>
        <v/>
      </c>
      <c r="F1006" t="str">
        <f>IF(Sync!$AH1006="","",IF(LEFT(UPPER(TRIM(Sync!$AH1006)),2)="SL",UPPER(TRIM(Sync!$AH1006)),""))</f>
        <v/>
      </c>
      <c r="G1006" t="str">
        <f>IF($F1006="","",IF(Sync!$AE1006="","",IF(ISNUMBER(Sync!$AE1006),IF(AND(Sync!$AE1006&gt;=10000101,Sync!$AE1006&lt;=99991231),INT(Sync!$AE1006/10000),""),IFERROR(VALUE(TRIM(LEFT(Sync!$AE1006,FIND("/",Sync!$AE1006)-1))),""))))</f>
        <v/>
      </c>
      <c r="H1006" t="str">
        <f>IF(OR($F1006="",$G1006=""),"",IF(ISNUMBER(Sync!$AE1006),INT(MOD(Sync!$AE1006,10000)/100),IFERROR(VALUE(TRIM(LEFT(MID(Sync!$AE1006,FIND("/",Sync!$AE1006)+1,20),FIND("/",MID(Sync!$AE1006,FIND("/",Sync!$AE1006)+1,20))-1))),"")))</f>
        <v/>
      </c>
      <c r="I1006" t="str">
        <f>IF(OR($F1006="",$G1006=""),"",IF(ISNUMBER(Sync!$AE1006),MOD(Sync!$AE1006,100),IFERROR(VALUE(TRIM(MID(MID(Sync!$AE1006,FIND("/",Sync!$AE1006)+1,20),FIND("/",MID(Sync!$AE1006,FIND("/",Sync!$AE1006)+1,20))+1,20))),"")))</f>
        <v/>
      </c>
      <c r="J1006" t="str">
        <f t="shared" si="77"/>
        <v/>
      </c>
      <c r="K1006" t="str">
        <f>IF(OR($F1006="",$J1006="",$J1006="نامعتبر"),"",LEFT($J1006,4)&amp;MID($J1006,6,2)&amp;RIGHT($J1006,2)&amp;$N1006&amp;"|"&amp;"2"&amp;RIGHT("00000"&amp;1001,5))</f>
        <v/>
      </c>
      <c r="L1006" t="str">
        <f t="shared" si="78"/>
        <v/>
      </c>
      <c r="M1006" t="str">
        <f t="shared" si="79"/>
        <v/>
      </c>
      <c r="N1006" t="str">
        <f>IF($F1006="","",IF(Sync!$AF1006="","0000",IF(AND(ISNUMBER(Sync!$AF1006),Sync!$AF1006&gt;=0,Sync!$AF1006&lt;1),RIGHT("00"&amp;HOUR(Sync!$AF1006),2)&amp;RIGHT("00"&amp;MINUTE(Sync!$AF1006),2),IFERROR(RIGHT("00"&amp;VALUE(LEFT(Sync!$AF1006,FIND(":",Sync!$AF1006)-1)),2)&amp;RIGHT("00"&amp;VALUE(MID(Sync!$AF1006,FIND(":",Sync!$AF1006)+1,2)),2),"0000"))))</f>
        <v/>
      </c>
    </row>
    <row r="1007" spans="1:14" x14ac:dyDescent="0.2">
      <c r="A1007" t="str">
        <f>IF(OR(Calc!$E1011="",Calc!$E1011="نامعتبر",Calc!$G1011=""),"",Calc!$G1011)</f>
        <v/>
      </c>
      <c r="B1007" t="str">
        <f>IF($A1007="","",LEFT(Calc!$E1011,4)&amp;MID(Calc!$E1011,6,2)&amp;RIGHT(Calc!$E1011,2)&amp;Calc!$Q1011&amp;"|"&amp;"1"&amp;RIGHT("00000"&amp;1002,5))</f>
        <v/>
      </c>
      <c r="C1007" t="str">
        <f t="shared" si="75"/>
        <v/>
      </c>
      <c r="D1007" t="str">
        <f t="shared" si="76"/>
        <v/>
      </c>
      <c r="F1007" t="str">
        <f>IF(Sync!$AH1007="","",IF(LEFT(UPPER(TRIM(Sync!$AH1007)),2)="SL",UPPER(TRIM(Sync!$AH1007)),""))</f>
        <v/>
      </c>
      <c r="G1007" t="str">
        <f>IF($F1007="","",IF(Sync!$AE1007="","",IF(ISNUMBER(Sync!$AE1007),IF(AND(Sync!$AE1007&gt;=10000101,Sync!$AE1007&lt;=99991231),INT(Sync!$AE1007/10000),""),IFERROR(VALUE(TRIM(LEFT(Sync!$AE1007,FIND("/",Sync!$AE1007)-1))),""))))</f>
        <v/>
      </c>
      <c r="H1007" t="str">
        <f>IF(OR($F1007="",$G1007=""),"",IF(ISNUMBER(Sync!$AE1007),INT(MOD(Sync!$AE1007,10000)/100),IFERROR(VALUE(TRIM(LEFT(MID(Sync!$AE1007,FIND("/",Sync!$AE1007)+1,20),FIND("/",MID(Sync!$AE1007,FIND("/",Sync!$AE1007)+1,20))-1))),"")))</f>
        <v/>
      </c>
      <c r="I1007" t="str">
        <f>IF(OR($F1007="",$G1007=""),"",IF(ISNUMBER(Sync!$AE1007),MOD(Sync!$AE1007,100),IFERROR(VALUE(TRIM(MID(MID(Sync!$AE1007,FIND("/",Sync!$AE1007)+1,20),FIND("/",MID(Sync!$AE1007,FIND("/",Sync!$AE1007)+1,20))+1,20))),"")))</f>
        <v/>
      </c>
      <c r="J1007" t="str">
        <f t="shared" si="77"/>
        <v/>
      </c>
      <c r="K1007" t="str">
        <f>IF(OR($F1007="",$J1007="",$J1007="نامعتبر"),"",LEFT($J1007,4)&amp;MID($J1007,6,2)&amp;RIGHT($J1007,2)&amp;$N1007&amp;"|"&amp;"2"&amp;RIGHT("00000"&amp;1002,5))</f>
        <v/>
      </c>
      <c r="L1007" t="str">
        <f t="shared" si="78"/>
        <v/>
      </c>
      <c r="M1007" t="str">
        <f t="shared" si="79"/>
        <v/>
      </c>
      <c r="N1007" t="str">
        <f>IF($F1007="","",IF(Sync!$AF1007="","0000",IF(AND(ISNUMBER(Sync!$AF1007),Sync!$AF1007&gt;=0,Sync!$AF1007&lt;1),RIGHT("00"&amp;HOUR(Sync!$AF1007),2)&amp;RIGHT("00"&amp;MINUTE(Sync!$AF1007),2),IFERROR(RIGHT("00"&amp;VALUE(LEFT(Sync!$AF1007,FIND(":",Sync!$AF1007)-1)),2)&amp;RIGHT("00"&amp;VALUE(MID(Sync!$AF1007,FIND(":",Sync!$AF1007)+1,2)),2),"0000"))))</f>
        <v/>
      </c>
    </row>
    <row r="1008" spans="1:14" x14ac:dyDescent="0.2">
      <c r="A1008" t="str">
        <f>IF(OR(Calc!$E1012="",Calc!$E1012="نامعتبر",Calc!$G1012=""),"",Calc!$G1012)</f>
        <v/>
      </c>
      <c r="B1008" t="str">
        <f>IF($A1008="","",LEFT(Calc!$E1012,4)&amp;MID(Calc!$E1012,6,2)&amp;RIGHT(Calc!$E1012,2)&amp;Calc!$Q1012&amp;"|"&amp;"1"&amp;RIGHT("00000"&amp;1003,5))</f>
        <v/>
      </c>
      <c r="C1008" t="str">
        <f t="shared" si="75"/>
        <v/>
      </c>
      <c r="D1008" t="str">
        <f t="shared" si="76"/>
        <v/>
      </c>
      <c r="F1008" t="str">
        <f>IF(Sync!$AH1008="","",IF(LEFT(UPPER(TRIM(Sync!$AH1008)),2)="SL",UPPER(TRIM(Sync!$AH1008)),""))</f>
        <v/>
      </c>
      <c r="G1008" t="str">
        <f>IF($F1008="","",IF(Sync!$AE1008="","",IF(ISNUMBER(Sync!$AE1008),IF(AND(Sync!$AE1008&gt;=10000101,Sync!$AE1008&lt;=99991231),INT(Sync!$AE1008/10000),""),IFERROR(VALUE(TRIM(LEFT(Sync!$AE1008,FIND("/",Sync!$AE1008)-1))),""))))</f>
        <v/>
      </c>
      <c r="H1008" t="str">
        <f>IF(OR($F1008="",$G1008=""),"",IF(ISNUMBER(Sync!$AE1008),INT(MOD(Sync!$AE1008,10000)/100),IFERROR(VALUE(TRIM(LEFT(MID(Sync!$AE1008,FIND("/",Sync!$AE1008)+1,20),FIND("/",MID(Sync!$AE1008,FIND("/",Sync!$AE1008)+1,20))-1))),"")))</f>
        <v/>
      </c>
      <c r="I1008" t="str">
        <f>IF(OR($F1008="",$G1008=""),"",IF(ISNUMBER(Sync!$AE1008),MOD(Sync!$AE1008,100),IFERROR(VALUE(TRIM(MID(MID(Sync!$AE1008,FIND("/",Sync!$AE1008)+1,20),FIND("/",MID(Sync!$AE1008,FIND("/",Sync!$AE1008)+1,20))+1,20))),"")))</f>
        <v/>
      </c>
      <c r="J1008" t="str">
        <f t="shared" si="77"/>
        <v/>
      </c>
      <c r="K1008" t="str">
        <f>IF(OR($F1008="",$J1008="",$J1008="نامعتبر"),"",LEFT($J1008,4)&amp;MID($J1008,6,2)&amp;RIGHT($J1008,2)&amp;$N1008&amp;"|"&amp;"2"&amp;RIGHT("00000"&amp;1003,5))</f>
        <v/>
      </c>
      <c r="L1008" t="str">
        <f t="shared" si="78"/>
        <v/>
      </c>
      <c r="M1008" t="str">
        <f t="shared" si="79"/>
        <v/>
      </c>
      <c r="N1008" t="str">
        <f>IF($F1008="","",IF(Sync!$AF1008="","0000",IF(AND(ISNUMBER(Sync!$AF1008),Sync!$AF1008&gt;=0,Sync!$AF1008&lt;1),RIGHT("00"&amp;HOUR(Sync!$AF1008),2)&amp;RIGHT("00"&amp;MINUTE(Sync!$AF1008),2),IFERROR(RIGHT("00"&amp;VALUE(LEFT(Sync!$AF1008,FIND(":",Sync!$AF1008)-1)),2)&amp;RIGHT("00"&amp;VALUE(MID(Sync!$AF1008,FIND(":",Sync!$AF1008)+1,2)),2),"0000"))))</f>
        <v/>
      </c>
    </row>
    <row r="1009" spans="1:14" x14ac:dyDescent="0.2">
      <c r="A1009" t="str">
        <f>IF(OR(Calc!$E1013="",Calc!$E1013="نامعتبر",Calc!$G1013=""),"",Calc!$G1013)</f>
        <v/>
      </c>
      <c r="B1009" t="str">
        <f>IF($A1009="","",LEFT(Calc!$E1013,4)&amp;MID(Calc!$E1013,6,2)&amp;RIGHT(Calc!$E1013,2)&amp;Calc!$Q1013&amp;"|"&amp;"1"&amp;RIGHT("00000"&amp;1004,5))</f>
        <v/>
      </c>
      <c r="C1009" t="str">
        <f t="shared" si="75"/>
        <v/>
      </c>
      <c r="D1009" t="str">
        <f t="shared" si="76"/>
        <v/>
      </c>
      <c r="F1009" t="str">
        <f>IF(Sync!$AH1009="","",IF(LEFT(UPPER(TRIM(Sync!$AH1009)),2)="SL",UPPER(TRIM(Sync!$AH1009)),""))</f>
        <v/>
      </c>
      <c r="G1009" t="str">
        <f>IF($F1009="","",IF(Sync!$AE1009="","",IF(ISNUMBER(Sync!$AE1009),IF(AND(Sync!$AE1009&gt;=10000101,Sync!$AE1009&lt;=99991231),INT(Sync!$AE1009/10000),""),IFERROR(VALUE(TRIM(LEFT(Sync!$AE1009,FIND("/",Sync!$AE1009)-1))),""))))</f>
        <v/>
      </c>
      <c r="H1009" t="str">
        <f>IF(OR($F1009="",$G1009=""),"",IF(ISNUMBER(Sync!$AE1009),INT(MOD(Sync!$AE1009,10000)/100),IFERROR(VALUE(TRIM(LEFT(MID(Sync!$AE1009,FIND("/",Sync!$AE1009)+1,20),FIND("/",MID(Sync!$AE1009,FIND("/",Sync!$AE1009)+1,20))-1))),"")))</f>
        <v/>
      </c>
      <c r="I1009" t="str">
        <f>IF(OR($F1009="",$G1009=""),"",IF(ISNUMBER(Sync!$AE1009),MOD(Sync!$AE1009,100),IFERROR(VALUE(TRIM(MID(MID(Sync!$AE1009,FIND("/",Sync!$AE1009)+1,20),FIND("/",MID(Sync!$AE1009,FIND("/",Sync!$AE1009)+1,20))+1,20))),"")))</f>
        <v/>
      </c>
      <c r="J1009" t="str">
        <f t="shared" si="77"/>
        <v/>
      </c>
      <c r="K1009" t="str">
        <f>IF(OR($F1009="",$J1009="",$J1009="نامعتبر"),"",LEFT($J1009,4)&amp;MID($J1009,6,2)&amp;RIGHT($J1009,2)&amp;$N1009&amp;"|"&amp;"2"&amp;RIGHT("00000"&amp;1004,5))</f>
        <v/>
      </c>
      <c r="L1009" t="str">
        <f t="shared" si="78"/>
        <v/>
      </c>
      <c r="M1009" t="str">
        <f t="shared" si="79"/>
        <v/>
      </c>
      <c r="N1009" t="str">
        <f>IF($F1009="","",IF(Sync!$AF1009="","0000",IF(AND(ISNUMBER(Sync!$AF1009),Sync!$AF1009&gt;=0,Sync!$AF1009&lt;1),RIGHT("00"&amp;HOUR(Sync!$AF1009),2)&amp;RIGHT("00"&amp;MINUTE(Sync!$AF1009),2),IFERROR(RIGHT("00"&amp;VALUE(LEFT(Sync!$AF1009,FIND(":",Sync!$AF1009)-1)),2)&amp;RIGHT("00"&amp;VALUE(MID(Sync!$AF1009,FIND(":",Sync!$AF1009)+1,2)),2),"0000"))))</f>
        <v/>
      </c>
    </row>
    <row r="1010" spans="1:14" x14ac:dyDescent="0.2">
      <c r="A1010" t="str">
        <f>IF(OR(Calc!$E1014="",Calc!$E1014="نامعتبر",Calc!$G1014=""),"",Calc!$G1014)</f>
        <v/>
      </c>
      <c r="B1010" t="str">
        <f>IF($A1010="","",LEFT(Calc!$E1014,4)&amp;MID(Calc!$E1014,6,2)&amp;RIGHT(Calc!$E1014,2)&amp;Calc!$Q1014&amp;"|"&amp;"1"&amp;RIGHT("00000"&amp;1005,5))</f>
        <v/>
      </c>
      <c r="C1010" t="str">
        <f t="shared" si="75"/>
        <v/>
      </c>
      <c r="D1010" t="str">
        <f t="shared" si="76"/>
        <v/>
      </c>
      <c r="F1010" t="str">
        <f>IF(Sync!$AH1010="","",IF(LEFT(UPPER(TRIM(Sync!$AH1010)),2)="SL",UPPER(TRIM(Sync!$AH1010)),""))</f>
        <v/>
      </c>
      <c r="G1010" t="str">
        <f>IF($F1010="","",IF(Sync!$AE1010="","",IF(ISNUMBER(Sync!$AE1010),IF(AND(Sync!$AE1010&gt;=10000101,Sync!$AE1010&lt;=99991231),INT(Sync!$AE1010/10000),""),IFERROR(VALUE(TRIM(LEFT(Sync!$AE1010,FIND("/",Sync!$AE1010)-1))),""))))</f>
        <v/>
      </c>
      <c r="H1010" t="str">
        <f>IF(OR($F1010="",$G1010=""),"",IF(ISNUMBER(Sync!$AE1010),INT(MOD(Sync!$AE1010,10000)/100),IFERROR(VALUE(TRIM(LEFT(MID(Sync!$AE1010,FIND("/",Sync!$AE1010)+1,20),FIND("/",MID(Sync!$AE1010,FIND("/",Sync!$AE1010)+1,20))-1))),"")))</f>
        <v/>
      </c>
      <c r="I1010" t="str">
        <f>IF(OR($F1010="",$G1010=""),"",IF(ISNUMBER(Sync!$AE1010),MOD(Sync!$AE1010,100),IFERROR(VALUE(TRIM(MID(MID(Sync!$AE1010,FIND("/",Sync!$AE1010)+1,20),FIND("/",MID(Sync!$AE1010,FIND("/",Sync!$AE1010)+1,20))+1,20))),"")))</f>
        <v/>
      </c>
      <c r="J1010" t="str">
        <f t="shared" si="77"/>
        <v/>
      </c>
      <c r="K1010" t="str">
        <f>IF(OR($F1010="",$J1010="",$J1010="نامعتبر"),"",LEFT($J1010,4)&amp;MID($J1010,6,2)&amp;RIGHT($J1010,2)&amp;$N1010&amp;"|"&amp;"2"&amp;RIGHT("00000"&amp;1005,5))</f>
        <v/>
      </c>
      <c r="L1010" t="str">
        <f t="shared" si="78"/>
        <v/>
      </c>
      <c r="M1010" t="str">
        <f t="shared" si="79"/>
        <v/>
      </c>
      <c r="N1010" t="str">
        <f>IF($F1010="","",IF(Sync!$AF1010="","0000",IF(AND(ISNUMBER(Sync!$AF1010),Sync!$AF1010&gt;=0,Sync!$AF1010&lt;1),RIGHT("00"&amp;HOUR(Sync!$AF1010),2)&amp;RIGHT("00"&amp;MINUTE(Sync!$AF1010),2),IFERROR(RIGHT("00"&amp;VALUE(LEFT(Sync!$AF1010,FIND(":",Sync!$AF1010)-1)),2)&amp;RIGHT("00"&amp;VALUE(MID(Sync!$AF1010,FIND(":",Sync!$AF1010)+1,2)),2),"0000"))))</f>
        <v/>
      </c>
    </row>
    <row r="1011" spans="1:14" x14ac:dyDescent="0.2">
      <c r="A1011" t="str">
        <f>IF(OR(Calc!$E1015="",Calc!$E1015="نامعتبر",Calc!$G1015=""),"",Calc!$G1015)</f>
        <v/>
      </c>
      <c r="B1011" t="str">
        <f>IF($A1011="","",LEFT(Calc!$E1015,4)&amp;MID(Calc!$E1015,6,2)&amp;RIGHT(Calc!$E1015,2)&amp;Calc!$Q1015&amp;"|"&amp;"1"&amp;RIGHT("00000"&amp;1006,5))</f>
        <v/>
      </c>
      <c r="C1011" t="str">
        <f t="shared" si="75"/>
        <v/>
      </c>
      <c r="D1011" t="str">
        <f t="shared" si="76"/>
        <v/>
      </c>
      <c r="F1011" t="str">
        <f>IF(Sync!$AH1011="","",IF(LEFT(UPPER(TRIM(Sync!$AH1011)),2)="SL",UPPER(TRIM(Sync!$AH1011)),""))</f>
        <v/>
      </c>
      <c r="G1011" t="str">
        <f>IF($F1011="","",IF(Sync!$AE1011="","",IF(ISNUMBER(Sync!$AE1011),IF(AND(Sync!$AE1011&gt;=10000101,Sync!$AE1011&lt;=99991231),INT(Sync!$AE1011/10000),""),IFERROR(VALUE(TRIM(LEFT(Sync!$AE1011,FIND("/",Sync!$AE1011)-1))),""))))</f>
        <v/>
      </c>
      <c r="H1011" t="str">
        <f>IF(OR($F1011="",$G1011=""),"",IF(ISNUMBER(Sync!$AE1011),INT(MOD(Sync!$AE1011,10000)/100),IFERROR(VALUE(TRIM(LEFT(MID(Sync!$AE1011,FIND("/",Sync!$AE1011)+1,20),FIND("/",MID(Sync!$AE1011,FIND("/",Sync!$AE1011)+1,20))-1))),"")))</f>
        <v/>
      </c>
      <c r="I1011" t="str">
        <f>IF(OR($F1011="",$G1011=""),"",IF(ISNUMBER(Sync!$AE1011),MOD(Sync!$AE1011,100),IFERROR(VALUE(TRIM(MID(MID(Sync!$AE1011,FIND("/",Sync!$AE1011)+1,20),FIND("/",MID(Sync!$AE1011,FIND("/",Sync!$AE1011)+1,20))+1,20))),"")))</f>
        <v/>
      </c>
      <c r="J1011" t="str">
        <f t="shared" si="77"/>
        <v/>
      </c>
      <c r="K1011" t="str">
        <f>IF(OR($F1011="",$J1011="",$J1011="نامعتبر"),"",LEFT($J1011,4)&amp;MID($J1011,6,2)&amp;RIGHT($J1011,2)&amp;$N1011&amp;"|"&amp;"2"&amp;RIGHT("00000"&amp;1006,5))</f>
        <v/>
      </c>
      <c r="L1011" t="str">
        <f t="shared" si="78"/>
        <v/>
      </c>
      <c r="M1011" t="str">
        <f t="shared" si="79"/>
        <v/>
      </c>
      <c r="N1011" t="str">
        <f>IF($F1011="","",IF(Sync!$AF1011="","0000",IF(AND(ISNUMBER(Sync!$AF1011),Sync!$AF1011&gt;=0,Sync!$AF1011&lt;1),RIGHT("00"&amp;HOUR(Sync!$AF1011),2)&amp;RIGHT("00"&amp;MINUTE(Sync!$AF1011),2),IFERROR(RIGHT("00"&amp;VALUE(LEFT(Sync!$AF1011,FIND(":",Sync!$AF1011)-1)),2)&amp;RIGHT("00"&amp;VALUE(MID(Sync!$AF1011,FIND(":",Sync!$AF1011)+1,2)),2),"0000"))))</f>
        <v/>
      </c>
    </row>
    <row r="1012" spans="1:14" x14ac:dyDescent="0.2">
      <c r="A1012" t="str">
        <f>IF(OR(Calc!$E1016="",Calc!$E1016="نامعتبر",Calc!$G1016=""),"",Calc!$G1016)</f>
        <v/>
      </c>
      <c r="B1012" t="str">
        <f>IF($A1012="","",LEFT(Calc!$E1016,4)&amp;MID(Calc!$E1016,6,2)&amp;RIGHT(Calc!$E1016,2)&amp;Calc!$Q1016&amp;"|"&amp;"1"&amp;RIGHT("00000"&amp;1007,5))</f>
        <v/>
      </c>
      <c r="C1012" t="str">
        <f t="shared" si="75"/>
        <v/>
      </c>
      <c r="D1012" t="str">
        <f t="shared" si="76"/>
        <v/>
      </c>
      <c r="F1012" t="str">
        <f>IF(Sync!$AH1012="","",IF(LEFT(UPPER(TRIM(Sync!$AH1012)),2)="SL",UPPER(TRIM(Sync!$AH1012)),""))</f>
        <v/>
      </c>
      <c r="G1012" t="str">
        <f>IF($F1012="","",IF(Sync!$AE1012="","",IF(ISNUMBER(Sync!$AE1012),IF(AND(Sync!$AE1012&gt;=10000101,Sync!$AE1012&lt;=99991231),INT(Sync!$AE1012/10000),""),IFERROR(VALUE(TRIM(LEFT(Sync!$AE1012,FIND("/",Sync!$AE1012)-1))),""))))</f>
        <v/>
      </c>
      <c r="H1012" t="str">
        <f>IF(OR($F1012="",$G1012=""),"",IF(ISNUMBER(Sync!$AE1012),INT(MOD(Sync!$AE1012,10000)/100),IFERROR(VALUE(TRIM(LEFT(MID(Sync!$AE1012,FIND("/",Sync!$AE1012)+1,20),FIND("/",MID(Sync!$AE1012,FIND("/",Sync!$AE1012)+1,20))-1))),"")))</f>
        <v/>
      </c>
      <c r="I1012" t="str">
        <f>IF(OR($F1012="",$G1012=""),"",IF(ISNUMBER(Sync!$AE1012),MOD(Sync!$AE1012,100),IFERROR(VALUE(TRIM(MID(MID(Sync!$AE1012,FIND("/",Sync!$AE1012)+1,20),FIND("/",MID(Sync!$AE1012,FIND("/",Sync!$AE1012)+1,20))+1,20))),"")))</f>
        <v/>
      </c>
      <c r="J1012" t="str">
        <f t="shared" si="77"/>
        <v/>
      </c>
      <c r="K1012" t="str">
        <f>IF(OR($F1012="",$J1012="",$J1012="نامعتبر"),"",LEFT($J1012,4)&amp;MID($J1012,6,2)&amp;RIGHT($J1012,2)&amp;$N1012&amp;"|"&amp;"2"&amp;RIGHT("00000"&amp;1007,5))</f>
        <v/>
      </c>
      <c r="L1012" t="str">
        <f t="shared" si="78"/>
        <v/>
      </c>
      <c r="M1012" t="str">
        <f t="shared" si="79"/>
        <v/>
      </c>
      <c r="N1012" t="str">
        <f>IF($F1012="","",IF(Sync!$AF1012="","0000",IF(AND(ISNUMBER(Sync!$AF1012),Sync!$AF1012&gt;=0,Sync!$AF1012&lt;1),RIGHT("00"&amp;HOUR(Sync!$AF1012),2)&amp;RIGHT("00"&amp;MINUTE(Sync!$AF1012),2),IFERROR(RIGHT("00"&amp;VALUE(LEFT(Sync!$AF1012,FIND(":",Sync!$AF1012)-1)),2)&amp;RIGHT("00"&amp;VALUE(MID(Sync!$AF1012,FIND(":",Sync!$AF1012)+1,2)),2),"0000"))))</f>
        <v/>
      </c>
    </row>
    <row r="1013" spans="1:14" x14ac:dyDescent="0.2">
      <c r="A1013" t="str">
        <f>IF(OR(Calc!$E1017="",Calc!$E1017="نامعتبر",Calc!$G1017=""),"",Calc!$G1017)</f>
        <v/>
      </c>
      <c r="B1013" t="str">
        <f>IF($A1013="","",LEFT(Calc!$E1017,4)&amp;MID(Calc!$E1017,6,2)&amp;RIGHT(Calc!$E1017,2)&amp;Calc!$Q1017&amp;"|"&amp;"1"&amp;RIGHT("00000"&amp;1008,5))</f>
        <v/>
      </c>
      <c r="C1013" t="str">
        <f t="shared" si="75"/>
        <v/>
      </c>
      <c r="D1013" t="str">
        <f t="shared" si="76"/>
        <v/>
      </c>
      <c r="F1013" t="str">
        <f>IF(Sync!$AH1013="","",IF(LEFT(UPPER(TRIM(Sync!$AH1013)),2)="SL",UPPER(TRIM(Sync!$AH1013)),""))</f>
        <v/>
      </c>
      <c r="G1013" t="str">
        <f>IF($F1013="","",IF(Sync!$AE1013="","",IF(ISNUMBER(Sync!$AE1013),IF(AND(Sync!$AE1013&gt;=10000101,Sync!$AE1013&lt;=99991231),INT(Sync!$AE1013/10000),""),IFERROR(VALUE(TRIM(LEFT(Sync!$AE1013,FIND("/",Sync!$AE1013)-1))),""))))</f>
        <v/>
      </c>
      <c r="H1013" t="str">
        <f>IF(OR($F1013="",$G1013=""),"",IF(ISNUMBER(Sync!$AE1013),INT(MOD(Sync!$AE1013,10000)/100),IFERROR(VALUE(TRIM(LEFT(MID(Sync!$AE1013,FIND("/",Sync!$AE1013)+1,20),FIND("/",MID(Sync!$AE1013,FIND("/",Sync!$AE1013)+1,20))-1))),"")))</f>
        <v/>
      </c>
      <c r="I1013" t="str">
        <f>IF(OR($F1013="",$G1013=""),"",IF(ISNUMBER(Sync!$AE1013),MOD(Sync!$AE1013,100),IFERROR(VALUE(TRIM(MID(MID(Sync!$AE1013,FIND("/",Sync!$AE1013)+1,20),FIND("/",MID(Sync!$AE1013,FIND("/",Sync!$AE1013)+1,20))+1,20))),"")))</f>
        <v/>
      </c>
      <c r="J1013" t="str">
        <f t="shared" si="77"/>
        <v/>
      </c>
      <c r="K1013" t="str">
        <f>IF(OR($F1013="",$J1013="",$J1013="نامعتبر"),"",LEFT($J1013,4)&amp;MID($J1013,6,2)&amp;RIGHT($J1013,2)&amp;$N1013&amp;"|"&amp;"2"&amp;RIGHT("00000"&amp;1008,5))</f>
        <v/>
      </c>
      <c r="L1013" t="str">
        <f t="shared" si="78"/>
        <v/>
      </c>
      <c r="M1013" t="str">
        <f t="shared" si="79"/>
        <v/>
      </c>
      <c r="N1013" t="str">
        <f>IF($F1013="","",IF(Sync!$AF1013="","0000",IF(AND(ISNUMBER(Sync!$AF1013),Sync!$AF1013&gt;=0,Sync!$AF1013&lt;1),RIGHT("00"&amp;HOUR(Sync!$AF1013),2)&amp;RIGHT("00"&amp;MINUTE(Sync!$AF1013),2),IFERROR(RIGHT("00"&amp;VALUE(LEFT(Sync!$AF1013,FIND(":",Sync!$AF1013)-1)),2)&amp;RIGHT("00"&amp;VALUE(MID(Sync!$AF1013,FIND(":",Sync!$AF1013)+1,2)),2),"0000"))))</f>
        <v/>
      </c>
    </row>
    <row r="1014" spans="1:14" x14ac:dyDescent="0.2">
      <c r="A1014" t="str">
        <f>IF(OR(Calc!$E1018="",Calc!$E1018="نامعتبر",Calc!$G1018=""),"",Calc!$G1018)</f>
        <v/>
      </c>
      <c r="B1014" t="str">
        <f>IF($A1014="","",LEFT(Calc!$E1018,4)&amp;MID(Calc!$E1018,6,2)&amp;RIGHT(Calc!$E1018,2)&amp;Calc!$Q1018&amp;"|"&amp;"1"&amp;RIGHT("00000"&amp;1009,5))</f>
        <v/>
      </c>
      <c r="C1014" t="str">
        <f t="shared" si="75"/>
        <v/>
      </c>
      <c r="D1014" t="str">
        <f t="shared" si="76"/>
        <v/>
      </c>
      <c r="F1014" t="str">
        <f>IF(Sync!$AH1014="","",IF(LEFT(UPPER(TRIM(Sync!$AH1014)),2)="SL",UPPER(TRIM(Sync!$AH1014)),""))</f>
        <v/>
      </c>
      <c r="G1014" t="str">
        <f>IF($F1014="","",IF(Sync!$AE1014="","",IF(ISNUMBER(Sync!$AE1014),IF(AND(Sync!$AE1014&gt;=10000101,Sync!$AE1014&lt;=99991231),INT(Sync!$AE1014/10000),""),IFERROR(VALUE(TRIM(LEFT(Sync!$AE1014,FIND("/",Sync!$AE1014)-1))),""))))</f>
        <v/>
      </c>
      <c r="H1014" t="str">
        <f>IF(OR($F1014="",$G1014=""),"",IF(ISNUMBER(Sync!$AE1014),INT(MOD(Sync!$AE1014,10000)/100),IFERROR(VALUE(TRIM(LEFT(MID(Sync!$AE1014,FIND("/",Sync!$AE1014)+1,20),FIND("/",MID(Sync!$AE1014,FIND("/",Sync!$AE1014)+1,20))-1))),"")))</f>
        <v/>
      </c>
      <c r="I1014" t="str">
        <f>IF(OR($F1014="",$G1014=""),"",IF(ISNUMBER(Sync!$AE1014),MOD(Sync!$AE1014,100),IFERROR(VALUE(TRIM(MID(MID(Sync!$AE1014,FIND("/",Sync!$AE1014)+1,20),FIND("/",MID(Sync!$AE1014,FIND("/",Sync!$AE1014)+1,20))+1,20))),"")))</f>
        <v/>
      </c>
      <c r="J1014" t="str">
        <f t="shared" si="77"/>
        <v/>
      </c>
      <c r="K1014" t="str">
        <f>IF(OR($F1014="",$J1014="",$J1014="نامعتبر"),"",LEFT($J1014,4)&amp;MID($J1014,6,2)&amp;RIGHT($J1014,2)&amp;$N1014&amp;"|"&amp;"2"&amp;RIGHT("00000"&amp;1009,5))</f>
        <v/>
      </c>
      <c r="L1014" t="str">
        <f t="shared" si="78"/>
        <v/>
      </c>
      <c r="M1014" t="str">
        <f t="shared" si="79"/>
        <v/>
      </c>
      <c r="N1014" t="str">
        <f>IF($F1014="","",IF(Sync!$AF1014="","0000",IF(AND(ISNUMBER(Sync!$AF1014),Sync!$AF1014&gt;=0,Sync!$AF1014&lt;1),RIGHT("00"&amp;HOUR(Sync!$AF1014),2)&amp;RIGHT("00"&amp;MINUTE(Sync!$AF1014),2),IFERROR(RIGHT("00"&amp;VALUE(LEFT(Sync!$AF1014,FIND(":",Sync!$AF1014)-1)),2)&amp;RIGHT("00"&amp;VALUE(MID(Sync!$AF1014,FIND(":",Sync!$AF1014)+1,2)),2),"0000"))))</f>
        <v/>
      </c>
    </row>
    <row r="1015" spans="1:14" x14ac:dyDescent="0.2">
      <c r="A1015" t="str">
        <f>IF(OR(Calc!$E1019="",Calc!$E1019="نامعتبر",Calc!$G1019=""),"",Calc!$G1019)</f>
        <v/>
      </c>
      <c r="B1015" t="str">
        <f>IF($A1015="","",LEFT(Calc!$E1019,4)&amp;MID(Calc!$E1019,6,2)&amp;RIGHT(Calc!$E1019,2)&amp;Calc!$Q1019&amp;"|"&amp;"1"&amp;RIGHT("00000"&amp;1010,5))</f>
        <v/>
      </c>
      <c r="C1015" t="str">
        <f t="shared" si="75"/>
        <v/>
      </c>
      <c r="D1015" t="str">
        <f t="shared" si="76"/>
        <v/>
      </c>
      <c r="F1015" t="str">
        <f>IF(Sync!$AH1015="","",IF(LEFT(UPPER(TRIM(Sync!$AH1015)),2)="SL",UPPER(TRIM(Sync!$AH1015)),""))</f>
        <v/>
      </c>
      <c r="G1015" t="str">
        <f>IF($F1015="","",IF(Sync!$AE1015="","",IF(ISNUMBER(Sync!$AE1015),IF(AND(Sync!$AE1015&gt;=10000101,Sync!$AE1015&lt;=99991231),INT(Sync!$AE1015/10000),""),IFERROR(VALUE(TRIM(LEFT(Sync!$AE1015,FIND("/",Sync!$AE1015)-1))),""))))</f>
        <v/>
      </c>
      <c r="H1015" t="str">
        <f>IF(OR($F1015="",$G1015=""),"",IF(ISNUMBER(Sync!$AE1015),INT(MOD(Sync!$AE1015,10000)/100),IFERROR(VALUE(TRIM(LEFT(MID(Sync!$AE1015,FIND("/",Sync!$AE1015)+1,20),FIND("/",MID(Sync!$AE1015,FIND("/",Sync!$AE1015)+1,20))-1))),"")))</f>
        <v/>
      </c>
      <c r="I1015" t="str">
        <f>IF(OR($F1015="",$G1015=""),"",IF(ISNUMBER(Sync!$AE1015),MOD(Sync!$AE1015,100),IFERROR(VALUE(TRIM(MID(MID(Sync!$AE1015,FIND("/",Sync!$AE1015)+1,20),FIND("/",MID(Sync!$AE1015,FIND("/",Sync!$AE1015)+1,20))+1,20))),"")))</f>
        <v/>
      </c>
      <c r="J1015" t="str">
        <f t="shared" si="77"/>
        <v/>
      </c>
      <c r="K1015" t="str">
        <f>IF(OR($F1015="",$J1015="",$J1015="نامعتبر"),"",LEFT($J1015,4)&amp;MID($J1015,6,2)&amp;RIGHT($J1015,2)&amp;$N1015&amp;"|"&amp;"2"&amp;RIGHT("00000"&amp;1010,5))</f>
        <v/>
      </c>
      <c r="L1015" t="str">
        <f t="shared" si="78"/>
        <v/>
      </c>
      <c r="M1015" t="str">
        <f t="shared" si="79"/>
        <v/>
      </c>
      <c r="N1015" t="str">
        <f>IF($F1015="","",IF(Sync!$AF1015="","0000",IF(AND(ISNUMBER(Sync!$AF1015),Sync!$AF1015&gt;=0,Sync!$AF1015&lt;1),RIGHT("00"&amp;HOUR(Sync!$AF1015),2)&amp;RIGHT("00"&amp;MINUTE(Sync!$AF1015),2),IFERROR(RIGHT("00"&amp;VALUE(LEFT(Sync!$AF1015,FIND(":",Sync!$AF1015)-1)),2)&amp;RIGHT("00"&amp;VALUE(MID(Sync!$AF1015,FIND(":",Sync!$AF1015)+1,2)),2),"0000"))))</f>
        <v/>
      </c>
    </row>
    <row r="1016" spans="1:14" x14ac:dyDescent="0.2">
      <c r="A1016" t="str">
        <f>IF(OR(Calc!$E1020="",Calc!$E1020="نامعتبر",Calc!$G1020=""),"",Calc!$G1020)</f>
        <v/>
      </c>
      <c r="B1016" t="str">
        <f>IF($A1016="","",LEFT(Calc!$E1020,4)&amp;MID(Calc!$E1020,6,2)&amp;RIGHT(Calc!$E1020,2)&amp;Calc!$Q1020&amp;"|"&amp;"1"&amp;RIGHT("00000"&amp;1011,5))</f>
        <v/>
      </c>
      <c r="C1016" t="str">
        <f t="shared" si="75"/>
        <v/>
      </c>
      <c r="D1016" t="str">
        <f t="shared" si="76"/>
        <v/>
      </c>
      <c r="F1016" t="str">
        <f>IF(Sync!$AH1016="","",IF(LEFT(UPPER(TRIM(Sync!$AH1016)),2)="SL",UPPER(TRIM(Sync!$AH1016)),""))</f>
        <v/>
      </c>
      <c r="G1016" t="str">
        <f>IF($F1016="","",IF(Sync!$AE1016="","",IF(ISNUMBER(Sync!$AE1016),IF(AND(Sync!$AE1016&gt;=10000101,Sync!$AE1016&lt;=99991231),INT(Sync!$AE1016/10000),""),IFERROR(VALUE(TRIM(LEFT(Sync!$AE1016,FIND("/",Sync!$AE1016)-1))),""))))</f>
        <v/>
      </c>
      <c r="H1016" t="str">
        <f>IF(OR($F1016="",$G1016=""),"",IF(ISNUMBER(Sync!$AE1016),INT(MOD(Sync!$AE1016,10000)/100),IFERROR(VALUE(TRIM(LEFT(MID(Sync!$AE1016,FIND("/",Sync!$AE1016)+1,20),FIND("/",MID(Sync!$AE1016,FIND("/",Sync!$AE1016)+1,20))-1))),"")))</f>
        <v/>
      </c>
      <c r="I1016" t="str">
        <f>IF(OR($F1016="",$G1016=""),"",IF(ISNUMBER(Sync!$AE1016),MOD(Sync!$AE1016,100),IFERROR(VALUE(TRIM(MID(MID(Sync!$AE1016,FIND("/",Sync!$AE1016)+1,20),FIND("/",MID(Sync!$AE1016,FIND("/",Sync!$AE1016)+1,20))+1,20))),"")))</f>
        <v/>
      </c>
      <c r="J1016" t="str">
        <f t="shared" si="77"/>
        <v/>
      </c>
      <c r="K1016" t="str">
        <f>IF(OR($F1016="",$J1016="",$J1016="نامعتبر"),"",LEFT($J1016,4)&amp;MID($J1016,6,2)&amp;RIGHT($J1016,2)&amp;$N1016&amp;"|"&amp;"2"&amp;RIGHT("00000"&amp;1011,5))</f>
        <v/>
      </c>
      <c r="L1016" t="str">
        <f t="shared" si="78"/>
        <v/>
      </c>
      <c r="M1016" t="str">
        <f t="shared" si="79"/>
        <v/>
      </c>
      <c r="N1016" t="str">
        <f>IF($F1016="","",IF(Sync!$AF1016="","0000",IF(AND(ISNUMBER(Sync!$AF1016),Sync!$AF1016&gt;=0,Sync!$AF1016&lt;1),RIGHT("00"&amp;HOUR(Sync!$AF1016),2)&amp;RIGHT("00"&amp;MINUTE(Sync!$AF1016),2),IFERROR(RIGHT("00"&amp;VALUE(LEFT(Sync!$AF1016,FIND(":",Sync!$AF1016)-1)),2)&amp;RIGHT("00"&amp;VALUE(MID(Sync!$AF1016,FIND(":",Sync!$AF1016)+1,2)),2),"0000"))))</f>
        <v/>
      </c>
    </row>
    <row r="1017" spans="1:14" x14ac:dyDescent="0.2">
      <c r="A1017" t="str">
        <f>IF(OR(Calc!$E1021="",Calc!$E1021="نامعتبر",Calc!$G1021=""),"",Calc!$G1021)</f>
        <v/>
      </c>
      <c r="B1017" t="str">
        <f>IF($A1017="","",LEFT(Calc!$E1021,4)&amp;MID(Calc!$E1021,6,2)&amp;RIGHT(Calc!$E1021,2)&amp;Calc!$Q1021&amp;"|"&amp;"1"&amp;RIGHT("00000"&amp;1012,5))</f>
        <v/>
      </c>
      <c r="C1017" t="str">
        <f t="shared" si="75"/>
        <v/>
      </c>
      <c r="D1017" t="str">
        <f t="shared" si="76"/>
        <v/>
      </c>
      <c r="F1017" t="str">
        <f>IF(Sync!$AH1017="","",IF(LEFT(UPPER(TRIM(Sync!$AH1017)),2)="SL",UPPER(TRIM(Sync!$AH1017)),""))</f>
        <v/>
      </c>
      <c r="G1017" t="str">
        <f>IF($F1017="","",IF(Sync!$AE1017="","",IF(ISNUMBER(Sync!$AE1017),IF(AND(Sync!$AE1017&gt;=10000101,Sync!$AE1017&lt;=99991231),INT(Sync!$AE1017/10000),""),IFERROR(VALUE(TRIM(LEFT(Sync!$AE1017,FIND("/",Sync!$AE1017)-1))),""))))</f>
        <v/>
      </c>
      <c r="H1017" t="str">
        <f>IF(OR($F1017="",$G1017=""),"",IF(ISNUMBER(Sync!$AE1017),INT(MOD(Sync!$AE1017,10000)/100),IFERROR(VALUE(TRIM(LEFT(MID(Sync!$AE1017,FIND("/",Sync!$AE1017)+1,20),FIND("/",MID(Sync!$AE1017,FIND("/",Sync!$AE1017)+1,20))-1))),"")))</f>
        <v/>
      </c>
      <c r="I1017" t="str">
        <f>IF(OR($F1017="",$G1017=""),"",IF(ISNUMBER(Sync!$AE1017),MOD(Sync!$AE1017,100),IFERROR(VALUE(TRIM(MID(MID(Sync!$AE1017,FIND("/",Sync!$AE1017)+1,20),FIND("/",MID(Sync!$AE1017,FIND("/",Sync!$AE1017)+1,20))+1,20))),"")))</f>
        <v/>
      </c>
      <c r="J1017" t="str">
        <f t="shared" si="77"/>
        <v/>
      </c>
      <c r="K1017" t="str">
        <f>IF(OR($F1017="",$J1017="",$J1017="نامعتبر"),"",LEFT($J1017,4)&amp;MID($J1017,6,2)&amp;RIGHT($J1017,2)&amp;$N1017&amp;"|"&amp;"2"&amp;RIGHT("00000"&amp;1012,5))</f>
        <v/>
      </c>
      <c r="L1017" t="str">
        <f t="shared" si="78"/>
        <v/>
      </c>
      <c r="M1017" t="str">
        <f t="shared" si="79"/>
        <v/>
      </c>
      <c r="N1017" t="str">
        <f>IF($F1017="","",IF(Sync!$AF1017="","0000",IF(AND(ISNUMBER(Sync!$AF1017),Sync!$AF1017&gt;=0,Sync!$AF1017&lt;1),RIGHT("00"&amp;HOUR(Sync!$AF1017),2)&amp;RIGHT("00"&amp;MINUTE(Sync!$AF1017),2),IFERROR(RIGHT("00"&amp;VALUE(LEFT(Sync!$AF1017,FIND(":",Sync!$AF1017)-1)),2)&amp;RIGHT("00"&amp;VALUE(MID(Sync!$AF1017,FIND(":",Sync!$AF1017)+1,2)),2),"0000"))))</f>
        <v/>
      </c>
    </row>
    <row r="1018" spans="1:14" x14ac:dyDescent="0.2">
      <c r="A1018" t="str">
        <f>IF(OR(Calc!$E1022="",Calc!$E1022="نامعتبر",Calc!$G1022=""),"",Calc!$G1022)</f>
        <v/>
      </c>
      <c r="B1018" t="str">
        <f>IF($A1018="","",LEFT(Calc!$E1022,4)&amp;MID(Calc!$E1022,6,2)&amp;RIGHT(Calc!$E1022,2)&amp;Calc!$Q1022&amp;"|"&amp;"1"&amp;RIGHT("00000"&amp;1013,5))</f>
        <v/>
      </c>
      <c r="C1018" t="str">
        <f t="shared" si="75"/>
        <v/>
      </c>
      <c r="D1018" t="str">
        <f t="shared" si="76"/>
        <v/>
      </c>
      <c r="F1018" t="str">
        <f>IF(Sync!$AH1018="","",IF(LEFT(UPPER(TRIM(Sync!$AH1018)),2)="SL",UPPER(TRIM(Sync!$AH1018)),""))</f>
        <v/>
      </c>
      <c r="G1018" t="str">
        <f>IF($F1018="","",IF(Sync!$AE1018="","",IF(ISNUMBER(Sync!$AE1018),IF(AND(Sync!$AE1018&gt;=10000101,Sync!$AE1018&lt;=99991231),INT(Sync!$AE1018/10000),""),IFERROR(VALUE(TRIM(LEFT(Sync!$AE1018,FIND("/",Sync!$AE1018)-1))),""))))</f>
        <v/>
      </c>
      <c r="H1018" t="str">
        <f>IF(OR($F1018="",$G1018=""),"",IF(ISNUMBER(Sync!$AE1018),INT(MOD(Sync!$AE1018,10000)/100),IFERROR(VALUE(TRIM(LEFT(MID(Sync!$AE1018,FIND("/",Sync!$AE1018)+1,20),FIND("/",MID(Sync!$AE1018,FIND("/",Sync!$AE1018)+1,20))-1))),"")))</f>
        <v/>
      </c>
      <c r="I1018" t="str">
        <f>IF(OR($F1018="",$G1018=""),"",IF(ISNUMBER(Sync!$AE1018),MOD(Sync!$AE1018,100),IFERROR(VALUE(TRIM(MID(MID(Sync!$AE1018,FIND("/",Sync!$AE1018)+1,20),FIND("/",MID(Sync!$AE1018,FIND("/",Sync!$AE1018)+1,20))+1,20))),"")))</f>
        <v/>
      </c>
      <c r="J1018" t="str">
        <f t="shared" si="77"/>
        <v/>
      </c>
      <c r="K1018" t="str">
        <f>IF(OR($F1018="",$J1018="",$J1018="نامعتبر"),"",LEFT($J1018,4)&amp;MID($J1018,6,2)&amp;RIGHT($J1018,2)&amp;$N1018&amp;"|"&amp;"2"&amp;RIGHT("00000"&amp;1013,5))</f>
        <v/>
      </c>
      <c r="L1018" t="str">
        <f t="shared" si="78"/>
        <v/>
      </c>
      <c r="M1018" t="str">
        <f t="shared" si="79"/>
        <v/>
      </c>
      <c r="N1018" t="str">
        <f>IF($F1018="","",IF(Sync!$AF1018="","0000",IF(AND(ISNUMBER(Sync!$AF1018),Sync!$AF1018&gt;=0,Sync!$AF1018&lt;1),RIGHT("00"&amp;HOUR(Sync!$AF1018),2)&amp;RIGHT("00"&amp;MINUTE(Sync!$AF1018),2),IFERROR(RIGHT("00"&amp;VALUE(LEFT(Sync!$AF1018,FIND(":",Sync!$AF1018)-1)),2)&amp;RIGHT("00"&amp;VALUE(MID(Sync!$AF1018,FIND(":",Sync!$AF1018)+1,2)),2),"0000"))))</f>
        <v/>
      </c>
    </row>
    <row r="1019" spans="1:14" x14ac:dyDescent="0.2">
      <c r="A1019" t="str">
        <f>IF(OR(Calc!$E1023="",Calc!$E1023="نامعتبر",Calc!$G1023=""),"",Calc!$G1023)</f>
        <v/>
      </c>
      <c r="B1019" t="str">
        <f>IF($A1019="","",LEFT(Calc!$E1023,4)&amp;MID(Calc!$E1023,6,2)&amp;RIGHT(Calc!$E1023,2)&amp;Calc!$Q1023&amp;"|"&amp;"1"&amp;RIGHT("00000"&amp;1014,5))</f>
        <v/>
      </c>
      <c r="C1019" t="str">
        <f t="shared" si="75"/>
        <v/>
      </c>
      <c r="D1019" t="str">
        <f t="shared" si="76"/>
        <v/>
      </c>
      <c r="F1019" t="str">
        <f>IF(Sync!$AH1019="","",IF(LEFT(UPPER(TRIM(Sync!$AH1019)),2)="SL",UPPER(TRIM(Sync!$AH1019)),""))</f>
        <v/>
      </c>
      <c r="G1019" t="str">
        <f>IF($F1019="","",IF(Sync!$AE1019="","",IF(ISNUMBER(Sync!$AE1019),IF(AND(Sync!$AE1019&gt;=10000101,Sync!$AE1019&lt;=99991231),INT(Sync!$AE1019/10000),""),IFERROR(VALUE(TRIM(LEFT(Sync!$AE1019,FIND("/",Sync!$AE1019)-1))),""))))</f>
        <v/>
      </c>
      <c r="H1019" t="str">
        <f>IF(OR($F1019="",$G1019=""),"",IF(ISNUMBER(Sync!$AE1019),INT(MOD(Sync!$AE1019,10000)/100),IFERROR(VALUE(TRIM(LEFT(MID(Sync!$AE1019,FIND("/",Sync!$AE1019)+1,20),FIND("/",MID(Sync!$AE1019,FIND("/",Sync!$AE1019)+1,20))-1))),"")))</f>
        <v/>
      </c>
      <c r="I1019" t="str">
        <f>IF(OR($F1019="",$G1019=""),"",IF(ISNUMBER(Sync!$AE1019),MOD(Sync!$AE1019,100),IFERROR(VALUE(TRIM(MID(MID(Sync!$AE1019,FIND("/",Sync!$AE1019)+1,20),FIND("/",MID(Sync!$AE1019,FIND("/",Sync!$AE1019)+1,20))+1,20))),"")))</f>
        <v/>
      </c>
      <c r="J1019" t="str">
        <f t="shared" si="77"/>
        <v/>
      </c>
      <c r="K1019" t="str">
        <f>IF(OR($F1019="",$J1019="",$J1019="نامعتبر"),"",LEFT($J1019,4)&amp;MID($J1019,6,2)&amp;RIGHT($J1019,2)&amp;$N1019&amp;"|"&amp;"2"&amp;RIGHT("00000"&amp;1014,5))</f>
        <v/>
      </c>
      <c r="L1019" t="str">
        <f t="shared" si="78"/>
        <v/>
      </c>
      <c r="M1019" t="str">
        <f t="shared" si="79"/>
        <v/>
      </c>
      <c r="N1019" t="str">
        <f>IF($F1019="","",IF(Sync!$AF1019="","0000",IF(AND(ISNUMBER(Sync!$AF1019),Sync!$AF1019&gt;=0,Sync!$AF1019&lt;1),RIGHT("00"&amp;HOUR(Sync!$AF1019),2)&amp;RIGHT("00"&amp;MINUTE(Sync!$AF1019),2),IFERROR(RIGHT("00"&amp;VALUE(LEFT(Sync!$AF1019,FIND(":",Sync!$AF1019)-1)),2)&amp;RIGHT("00"&amp;VALUE(MID(Sync!$AF1019,FIND(":",Sync!$AF1019)+1,2)),2),"0000"))))</f>
        <v/>
      </c>
    </row>
    <row r="1020" spans="1:14" x14ac:dyDescent="0.2">
      <c r="A1020" t="str">
        <f>IF(OR(Calc!$E1024="",Calc!$E1024="نامعتبر",Calc!$G1024=""),"",Calc!$G1024)</f>
        <v/>
      </c>
      <c r="B1020" t="str">
        <f>IF($A1020="","",LEFT(Calc!$E1024,4)&amp;MID(Calc!$E1024,6,2)&amp;RIGHT(Calc!$E1024,2)&amp;Calc!$Q1024&amp;"|"&amp;"1"&amp;RIGHT("00000"&amp;1015,5))</f>
        <v/>
      </c>
      <c r="C1020" t="str">
        <f t="shared" si="75"/>
        <v/>
      </c>
      <c r="D1020" t="str">
        <f t="shared" si="76"/>
        <v/>
      </c>
      <c r="F1020" t="str">
        <f>IF(Sync!$AH1020="","",IF(LEFT(UPPER(TRIM(Sync!$AH1020)),2)="SL",UPPER(TRIM(Sync!$AH1020)),""))</f>
        <v/>
      </c>
      <c r="G1020" t="str">
        <f>IF($F1020="","",IF(Sync!$AE1020="","",IF(ISNUMBER(Sync!$AE1020),IF(AND(Sync!$AE1020&gt;=10000101,Sync!$AE1020&lt;=99991231),INT(Sync!$AE1020/10000),""),IFERROR(VALUE(TRIM(LEFT(Sync!$AE1020,FIND("/",Sync!$AE1020)-1))),""))))</f>
        <v/>
      </c>
      <c r="H1020" t="str">
        <f>IF(OR($F1020="",$G1020=""),"",IF(ISNUMBER(Sync!$AE1020),INT(MOD(Sync!$AE1020,10000)/100),IFERROR(VALUE(TRIM(LEFT(MID(Sync!$AE1020,FIND("/",Sync!$AE1020)+1,20),FIND("/",MID(Sync!$AE1020,FIND("/",Sync!$AE1020)+1,20))-1))),"")))</f>
        <v/>
      </c>
      <c r="I1020" t="str">
        <f>IF(OR($F1020="",$G1020=""),"",IF(ISNUMBER(Sync!$AE1020),MOD(Sync!$AE1020,100),IFERROR(VALUE(TRIM(MID(MID(Sync!$AE1020,FIND("/",Sync!$AE1020)+1,20),FIND("/",MID(Sync!$AE1020,FIND("/",Sync!$AE1020)+1,20))+1,20))),"")))</f>
        <v/>
      </c>
      <c r="J1020" t="str">
        <f t="shared" si="77"/>
        <v/>
      </c>
      <c r="K1020" t="str">
        <f>IF(OR($F1020="",$J1020="",$J1020="نامعتبر"),"",LEFT($J1020,4)&amp;MID($J1020,6,2)&amp;RIGHT($J1020,2)&amp;$N1020&amp;"|"&amp;"2"&amp;RIGHT("00000"&amp;1015,5))</f>
        <v/>
      </c>
      <c r="L1020" t="str">
        <f t="shared" si="78"/>
        <v/>
      </c>
      <c r="M1020" t="str">
        <f t="shared" si="79"/>
        <v/>
      </c>
      <c r="N1020" t="str">
        <f>IF($F1020="","",IF(Sync!$AF1020="","0000",IF(AND(ISNUMBER(Sync!$AF1020),Sync!$AF1020&gt;=0,Sync!$AF1020&lt;1),RIGHT("00"&amp;HOUR(Sync!$AF1020),2)&amp;RIGHT("00"&amp;MINUTE(Sync!$AF1020),2),IFERROR(RIGHT("00"&amp;VALUE(LEFT(Sync!$AF1020,FIND(":",Sync!$AF1020)-1)),2)&amp;RIGHT("00"&amp;VALUE(MID(Sync!$AF1020,FIND(":",Sync!$AF1020)+1,2)),2),"0000"))))</f>
        <v/>
      </c>
    </row>
    <row r="1021" spans="1:14" x14ac:dyDescent="0.2">
      <c r="A1021" t="str">
        <f>IF(OR(Calc!$E1025="",Calc!$E1025="نامعتبر",Calc!$G1025=""),"",Calc!$G1025)</f>
        <v/>
      </c>
      <c r="B1021" t="str">
        <f>IF($A1021="","",LEFT(Calc!$E1025,4)&amp;MID(Calc!$E1025,6,2)&amp;RIGHT(Calc!$E1025,2)&amp;Calc!$Q1025&amp;"|"&amp;"1"&amp;RIGHT("00000"&amp;1016,5))</f>
        <v/>
      </c>
      <c r="C1021" t="str">
        <f t="shared" si="75"/>
        <v/>
      </c>
      <c r="D1021" t="str">
        <f t="shared" si="76"/>
        <v/>
      </c>
      <c r="F1021" t="str">
        <f>IF(Sync!$AH1021="","",IF(LEFT(UPPER(TRIM(Sync!$AH1021)),2)="SL",UPPER(TRIM(Sync!$AH1021)),""))</f>
        <v/>
      </c>
      <c r="G1021" t="str">
        <f>IF($F1021="","",IF(Sync!$AE1021="","",IF(ISNUMBER(Sync!$AE1021),IF(AND(Sync!$AE1021&gt;=10000101,Sync!$AE1021&lt;=99991231),INT(Sync!$AE1021/10000),""),IFERROR(VALUE(TRIM(LEFT(Sync!$AE1021,FIND("/",Sync!$AE1021)-1))),""))))</f>
        <v/>
      </c>
      <c r="H1021" t="str">
        <f>IF(OR($F1021="",$G1021=""),"",IF(ISNUMBER(Sync!$AE1021),INT(MOD(Sync!$AE1021,10000)/100),IFERROR(VALUE(TRIM(LEFT(MID(Sync!$AE1021,FIND("/",Sync!$AE1021)+1,20),FIND("/",MID(Sync!$AE1021,FIND("/",Sync!$AE1021)+1,20))-1))),"")))</f>
        <v/>
      </c>
      <c r="I1021" t="str">
        <f>IF(OR($F1021="",$G1021=""),"",IF(ISNUMBER(Sync!$AE1021),MOD(Sync!$AE1021,100),IFERROR(VALUE(TRIM(MID(MID(Sync!$AE1021,FIND("/",Sync!$AE1021)+1,20),FIND("/",MID(Sync!$AE1021,FIND("/",Sync!$AE1021)+1,20))+1,20))),"")))</f>
        <v/>
      </c>
      <c r="J1021" t="str">
        <f t="shared" si="77"/>
        <v/>
      </c>
      <c r="K1021" t="str">
        <f>IF(OR($F1021="",$J1021="",$J1021="نامعتبر"),"",LEFT($J1021,4)&amp;MID($J1021,6,2)&amp;RIGHT($J1021,2)&amp;$N1021&amp;"|"&amp;"2"&amp;RIGHT("00000"&amp;1016,5))</f>
        <v/>
      </c>
      <c r="L1021" t="str">
        <f t="shared" si="78"/>
        <v/>
      </c>
      <c r="M1021" t="str">
        <f t="shared" si="79"/>
        <v/>
      </c>
      <c r="N1021" t="str">
        <f>IF($F1021="","",IF(Sync!$AF1021="","0000",IF(AND(ISNUMBER(Sync!$AF1021),Sync!$AF1021&gt;=0,Sync!$AF1021&lt;1),RIGHT("00"&amp;HOUR(Sync!$AF1021),2)&amp;RIGHT("00"&amp;MINUTE(Sync!$AF1021),2),IFERROR(RIGHT("00"&amp;VALUE(LEFT(Sync!$AF1021,FIND(":",Sync!$AF1021)-1)),2)&amp;RIGHT("00"&amp;VALUE(MID(Sync!$AF1021,FIND(":",Sync!$AF1021)+1,2)),2),"0000"))))</f>
        <v/>
      </c>
    </row>
    <row r="1022" spans="1:14" x14ac:dyDescent="0.2">
      <c r="A1022" t="str">
        <f>IF(OR(Calc!$E1026="",Calc!$E1026="نامعتبر",Calc!$G1026=""),"",Calc!$G1026)</f>
        <v/>
      </c>
      <c r="B1022" t="str">
        <f>IF($A1022="","",LEFT(Calc!$E1026,4)&amp;MID(Calc!$E1026,6,2)&amp;RIGHT(Calc!$E1026,2)&amp;Calc!$Q1026&amp;"|"&amp;"1"&amp;RIGHT("00000"&amp;1017,5))</f>
        <v/>
      </c>
      <c r="C1022" t="str">
        <f t="shared" si="75"/>
        <v/>
      </c>
      <c r="D1022" t="str">
        <f t="shared" si="76"/>
        <v/>
      </c>
      <c r="F1022" t="str">
        <f>IF(Sync!$AH1022="","",IF(LEFT(UPPER(TRIM(Sync!$AH1022)),2)="SL",UPPER(TRIM(Sync!$AH1022)),""))</f>
        <v/>
      </c>
      <c r="G1022" t="str">
        <f>IF($F1022="","",IF(Sync!$AE1022="","",IF(ISNUMBER(Sync!$AE1022),IF(AND(Sync!$AE1022&gt;=10000101,Sync!$AE1022&lt;=99991231),INT(Sync!$AE1022/10000),""),IFERROR(VALUE(TRIM(LEFT(Sync!$AE1022,FIND("/",Sync!$AE1022)-1))),""))))</f>
        <v/>
      </c>
      <c r="H1022" t="str">
        <f>IF(OR($F1022="",$G1022=""),"",IF(ISNUMBER(Sync!$AE1022),INT(MOD(Sync!$AE1022,10000)/100),IFERROR(VALUE(TRIM(LEFT(MID(Sync!$AE1022,FIND("/",Sync!$AE1022)+1,20),FIND("/",MID(Sync!$AE1022,FIND("/",Sync!$AE1022)+1,20))-1))),"")))</f>
        <v/>
      </c>
      <c r="I1022" t="str">
        <f>IF(OR($F1022="",$G1022=""),"",IF(ISNUMBER(Sync!$AE1022),MOD(Sync!$AE1022,100),IFERROR(VALUE(TRIM(MID(MID(Sync!$AE1022,FIND("/",Sync!$AE1022)+1,20),FIND("/",MID(Sync!$AE1022,FIND("/",Sync!$AE1022)+1,20))+1,20))),"")))</f>
        <v/>
      </c>
      <c r="J1022" t="str">
        <f t="shared" si="77"/>
        <v/>
      </c>
      <c r="K1022" t="str">
        <f>IF(OR($F1022="",$J1022="",$J1022="نامعتبر"),"",LEFT($J1022,4)&amp;MID($J1022,6,2)&amp;RIGHT($J1022,2)&amp;$N1022&amp;"|"&amp;"2"&amp;RIGHT("00000"&amp;1017,5))</f>
        <v/>
      </c>
      <c r="L1022" t="str">
        <f t="shared" si="78"/>
        <v/>
      </c>
      <c r="M1022" t="str">
        <f t="shared" si="79"/>
        <v/>
      </c>
      <c r="N1022" t="str">
        <f>IF($F1022="","",IF(Sync!$AF1022="","0000",IF(AND(ISNUMBER(Sync!$AF1022),Sync!$AF1022&gt;=0,Sync!$AF1022&lt;1),RIGHT("00"&amp;HOUR(Sync!$AF1022),2)&amp;RIGHT("00"&amp;MINUTE(Sync!$AF1022),2),IFERROR(RIGHT("00"&amp;VALUE(LEFT(Sync!$AF1022,FIND(":",Sync!$AF1022)-1)),2)&amp;RIGHT("00"&amp;VALUE(MID(Sync!$AF1022,FIND(":",Sync!$AF1022)+1,2)),2),"0000"))))</f>
        <v/>
      </c>
    </row>
    <row r="1023" spans="1:14" x14ac:dyDescent="0.2">
      <c r="A1023" t="str">
        <f>IF(OR(Calc!$E1027="",Calc!$E1027="نامعتبر",Calc!$G1027=""),"",Calc!$G1027)</f>
        <v/>
      </c>
      <c r="B1023" t="str">
        <f>IF($A1023="","",LEFT(Calc!$E1027,4)&amp;MID(Calc!$E1027,6,2)&amp;RIGHT(Calc!$E1027,2)&amp;Calc!$Q1027&amp;"|"&amp;"1"&amp;RIGHT("00000"&amp;1018,5))</f>
        <v/>
      </c>
      <c r="C1023" t="str">
        <f t="shared" si="75"/>
        <v/>
      </c>
      <c r="D1023" t="str">
        <f t="shared" si="76"/>
        <v/>
      </c>
      <c r="F1023" t="str">
        <f>IF(Sync!$AH1023="","",IF(LEFT(UPPER(TRIM(Sync!$AH1023)),2)="SL",UPPER(TRIM(Sync!$AH1023)),""))</f>
        <v/>
      </c>
      <c r="G1023" t="str">
        <f>IF($F1023="","",IF(Sync!$AE1023="","",IF(ISNUMBER(Sync!$AE1023),IF(AND(Sync!$AE1023&gt;=10000101,Sync!$AE1023&lt;=99991231),INT(Sync!$AE1023/10000),""),IFERROR(VALUE(TRIM(LEFT(Sync!$AE1023,FIND("/",Sync!$AE1023)-1))),""))))</f>
        <v/>
      </c>
      <c r="H1023" t="str">
        <f>IF(OR($F1023="",$G1023=""),"",IF(ISNUMBER(Sync!$AE1023),INT(MOD(Sync!$AE1023,10000)/100),IFERROR(VALUE(TRIM(LEFT(MID(Sync!$AE1023,FIND("/",Sync!$AE1023)+1,20),FIND("/",MID(Sync!$AE1023,FIND("/",Sync!$AE1023)+1,20))-1))),"")))</f>
        <v/>
      </c>
      <c r="I1023" t="str">
        <f>IF(OR($F1023="",$G1023=""),"",IF(ISNUMBER(Sync!$AE1023),MOD(Sync!$AE1023,100),IFERROR(VALUE(TRIM(MID(MID(Sync!$AE1023,FIND("/",Sync!$AE1023)+1,20),FIND("/",MID(Sync!$AE1023,FIND("/",Sync!$AE1023)+1,20))+1,20))),"")))</f>
        <v/>
      </c>
      <c r="J1023" t="str">
        <f t="shared" si="77"/>
        <v/>
      </c>
      <c r="K1023" t="str">
        <f>IF(OR($F1023="",$J1023="",$J1023="نامعتبر"),"",LEFT($J1023,4)&amp;MID($J1023,6,2)&amp;RIGHT($J1023,2)&amp;$N1023&amp;"|"&amp;"2"&amp;RIGHT("00000"&amp;1018,5))</f>
        <v/>
      </c>
      <c r="L1023" t="str">
        <f t="shared" si="78"/>
        <v/>
      </c>
      <c r="M1023" t="str">
        <f t="shared" si="79"/>
        <v/>
      </c>
      <c r="N1023" t="str">
        <f>IF($F1023="","",IF(Sync!$AF1023="","0000",IF(AND(ISNUMBER(Sync!$AF1023),Sync!$AF1023&gt;=0,Sync!$AF1023&lt;1),RIGHT("00"&amp;HOUR(Sync!$AF1023),2)&amp;RIGHT("00"&amp;MINUTE(Sync!$AF1023),2),IFERROR(RIGHT("00"&amp;VALUE(LEFT(Sync!$AF1023,FIND(":",Sync!$AF1023)-1)),2)&amp;RIGHT("00"&amp;VALUE(MID(Sync!$AF1023,FIND(":",Sync!$AF1023)+1,2)),2),"0000"))))</f>
        <v/>
      </c>
    </row>
    <row r="1024" spans="1:14" x14ac:dyDescent="0.2">
      <c r="A1024" t="str">
        <f>IF(OR(Calc!$E1028="",Calc!$E1028="نامعتبر",Calc!$G1028=""),"",Calc!$G1028)</f>
        <v/>
      </c>
      <c r="B1024" t="str">
        <f>IF($A1024="","",LEFT(Calc!$E1028,4)&amp;MID(Calc!$E1028,6,2)&amp;RIGHT(Calc!$E1028,2)&amp;Calc!$Q1028&amp;"|"&amp;"1"&amp;RIGHT("00000"&amp;1019,5))</f>
        <v/>
      </c>
      <c r="C1024" t="str">
        <f t="shared" si="75"/>
        <v/>
      </c>
      <c r="D1024" t="str">
        <f t="shared" si="76"/>
        <v/>
      </c>
      <c r="F1024" t="str">
        <f>IF(Sync!$AH1024="","",IF(LEFT(UPPER(TRIM(Sync!$AH1024)),2)="SL",UPPER(TRIM(Sync!$AH1024)),""))</f>
        <v/>
      </c>
      <c r="G1024" t="str">
        <f>IF($F1024="","",IF(Sync!$AE1024="","",IF(ISNUMBER(Sync!$AE1024),IF(AND(Sync!$AE1024&gt;=10000101,Sync!$AE1024&lt;=99991231),INT(Sync!$AE1024/10000),""),IFERROR(VALUE(TRIM(LEFT(Sync!$AE1024,FIND("/",Sync!$AE1024)-1))),""))))</f>
        <v/>
      </c>
      <c r="H1024" t="str">
        <f>IF(OR($F1024="",$G1024=""),"",IF(ISNUMBER(Sync!$AE1024),INT(MOD(Sync!$AE1024,10000)/100),IFERROR(VALUE(TRIM(LEFT(MID(Sync!$AE1024,FIND("/",Sync!$AE1024)+1,20),FIND("/",MID(Sync!$AE1024,FIND("/",Sync!$AE1024)+1,20))-1))),"")))</f>
        <v/>
      </c>
      <c r="I1024" t="str">
        <f>IF(OR($F1024="",$G1024=""),"",IF(ISNUMBER(Sync!$AE1024),MOD(Sync!$AE1024,100),IFERROR(VALUE(TRIM(MID(MID(Sync!$AE1024,FIND("/",Sync!$AE1024)+1,20),FIND("/",MID(Sync!$AE1024,FIND("/",Sync!$AE1024)+1,20))+1,20))),"")))</f>
        <v/>
      </c>
      <c r="J1024" t="str">
        <f t="shared" si="77"/>
        <v/>
      </c>
      <c r="K1024" t="str">
        <f>IF(OR($F1024="",$J1024="",$J1024="نامعتبر"),"",LEFT($J1024,4)&amp;MID($J1024,6,2)&amp;RIGHT($J1024,2)&amp;$N1024&amp;"|"&amp;"2"&amp;RIGHT("00000"&amp;1019,5))</f>
        <v/>
      </c>
      <c r="L1024" t="str">
        <f t="shared" si="78"/>
        <v/>
      </c>
      <c r="M1024" t="str">
        <f t="shared" si="79"/>
        <v/>
      </c>
      <c r="N1024" t="str">
        <f>IF($F1024="","",IF(Sync!$AF1024="","0000",IF(AND(ISNUMBER(Sync!$AF1024),Sync!$AF1024&gt;=0,Sync!$AF1024&lt;1),RIGHT("00"&amp;HOUR(Sync!$AF1024),2)&amp;RIGHT("00"&amp;MINUTE(Sync!$AF1024),2),IFERROR(RIGHT("00"&amp;VALUE(LEFT(Sync!$AF1024,FIND(":",Sync!$AF1024)-1)),2)&amp;RIGHT("00"&amp;VALUE(MID(Sync!$AF1024,FIND(":",Sync!$AF1024)+1,2)),2),"0000"))))</f>
        <v/>
      </c>
    </row>
    <row r="1025" spans="1:14" x14ac:dyDescent="0.2">
      <c r="A1025" t="str">
        <f>IF(OR(Calc!$E1029="",Calc!$E1029="نامعتبر",Calc!$G1029=""),"",Calc!$G1029)</f>
        <v/>
      </c>
      <c r="B1025" t="str">
        <f>IF($A1025="","",LEFT(Calc!$E1029,4)&amp;MID(Calc!$E1029,6,2)&amp;RIGHT(Calc!$E1029,2)&amp;Calc!$Q1029&amp;"|"&amp;"1"&amp;RIGHT("00000"&amp;1020,5))</f>
        <v/>
      </c>
      <c r="C1025" t="str">
        <f t="shared" si="75"/>
        <v/>
      </c>
      <c r="D1025" t="str">
        <f t="shared" si="76"/>
        <v/>
      </c>
      <c r="F1025" t="str">
        <f>IF(Sync!$AH1025="","",IF(LEFT(UPPER(TRIM(Sync!$AH1025)),2)="SL",UPPER(TRIM(Sync!$AH1025)),""))</f>
        <v/>
      </c>
      <c r="G1025" t="str">
        <f>IF($F1025="","",IF(Sync!$AE1025="","",IF(ISNUMBER(Sync!$AE1025),IF(AND(Sync!$AE1025&gt;=10000101,Sync!$AE1025&lt;=99991231),INT(Sync!$AE1025/10000),""),IFERROR(VALUE(TRIM(LEFT(Sync!$AE1025,FIND("/",Sync!$AE1025)-1))),""))))</f>
        <v/>
      </c>
      <c r="H1025" t="str">
        <f>IF(OR($F1025="",$G1025=""),"",IF(ISNUMBER(Sync!$AE1025),INT(MOD(Sync!$AE1025,10000)/100),IFERROR(VALUE(TRIM(LEFT(MID(Sync!$AE1025,FIND("/",Sync!$AE1025)+1,20),FIND("/",MID(Sync!$AE1025,FIND("/",Sync!$AE1025)+1,20))-1))),"")))</f>
        <v/>
      </c>
      <c r="I1025" t="str">
        <f>IF(OR($F1025="",$G1025=""),"",IF(ISNUMBER(Sync!$AE1025),MOD(Sync!$AE1025,100),IFERROR(VALUE(TRIM(MID(MID(Sync!$AE1025,FIND("/",Sync!$AE1025)+1,20),FIND("/",MID(Sync!$AE1025,FIND("/",Sync!$AE1025)+1,20))+1,20))),"")))</f>
        <v/>
      </c>
      <c r="J1025" t="str">
        <f t="shared" si="77"/>
        <v/>
      </c>
      <c r="K1025" t="str">
        <f>IF(OR($F1025="",$J1025="",$J1025="نامعتبر"),"",LEFT($J1025,4)&amp;MID($J1025,6,2)&amp;RIGHT($J1025,2)&amp;$N1025&amp;"|"&amp;"2"&amp;RIGHT("00000"&amp;1020,5))</f>
        <v/>
      </c>
      <c r="L1025" t="str">
        <f t="shared" si="78"/>
        <v/>
      </c>
      <c r="M1025" t="str">
        <f t="shared" si="79"/>
        <v/>
      </c>
      <c r="N1025" t="str">
        <f>IF($F1025="","",IF(Sync!$AF1025="","0000",IF(AND(ISNUMBER(Sync!$AF1025),Sync!$AF1025&gt;=0,Sync!$AF1025&lt;1),RIGHT("00"&amp;HOUR(Sync!$AF1025),2)&amp;RIGHT("00"&amp;MINUTE(Sync!$AF1025),2),IFERROR(RIGHT("00"&amp;VALUE(LEFT(Sync!$AF1025,FIND(":",Sync!$AF1025)-1)),2)&amp;RIGHT("00"&amp;VALUE(MID(Sync!$AF1025,FIND(":",Sync!$AF1025)+1,2)),2),"0000"))))</f>
        <v/>
      </c>
    </row>
    <row r="1026" spans="1:14" x14ac:dyDescent="0.2">
      <c r="A1026" t="str">
        <f>IF(OR(Calc!$E1030="",Calc!$E1030="نامعتبر",Calc!$G1030=""),"",Calc!$G1030)</f>
        <v/>
      </c>
      <c r="B1026" t="str">
        <f>IF($A1026="","",LEFT(Calc!$E1030,4)&amp;MID(Calc!$E1030,6,2)&amp;RIGHT(Calc!$E1030,2)&amp;Calc!$Q1030&amp;"|"&amp;"1"&amp;RIGHT("00000"&amp;1021,5))</f>
        <v/>
      </c>
      <c r="C1026" t="str">
        <f t="shared" si="75"/>
        <v/>
      </c>
      <c r="D1026" t="str">
        <f t="shared" si="76"/>
        <v/>
      </c>
      <c r="F1026" t="str">
        <f>IF(Sync!$AH1026="","",IF(LEFT(UPPER(TRIM(Sync!$AH1026)),2)="SL",UPPER(TRIM(Sync!$AH1026)),""))</f>
        <v/>
      </c>
      <c r="G1026" t="str">
        <f>IF($F1026="","",IF(Sync!$AE1026="","",IF(ISNUMBER(Sync!$AE1026),IF(AND(Sync!$AE1026&gt;=10000101,Sync!$AE1026&lt;=99991231),INT(Sync!$AE1026/10000),""),IFERROR(VALUE(TRIM(LEFT(Sync!$AE1026,FIND("/",Sync!$AE1026)-1))),""))))</f>
        <v/>
      </c>
      <c r="H1026" t="str">
        <f>IF(OR($F1026="",$G1026=""),"",IF(ISNUMBER(Sync!$AE1026),INT(MOD(Sync!$AE1026,10000)/100),IFERROR(VALUE(TRIM(LEFT(MID(Sync!$AE1026,FIND("/",Sync!$AE1026)+1,20),FIND("/",MID(Sync!$AE1026,FIND("/",Sync!$AE1026)+1,20))-1))),"")))</f>
        <v/>
      </c>
      <c r="I1026" t="str">
        <f>IF(OR($F1026="",$G1026=""),"",IF(ISNUMBER(Sync!$AE1026),MOD(Sync!$AE1026,100),IFERROR(VALUE(TRIM(MID(MID(Sync!$AE1026,FIND("/",Sync!$AE1026)+1,20),FIND("/",MID(Sync!$AE1026,FIND("/",Sync!$AE1026)+1,20))+1,20))),"")))</f>
        <v/>
      </c>
      <c r="J1026" t="str">
        <f t="shared" si="77"/>
        <v/>
      </c>
      <c r="K1026" t="str">
        <f>IF(OR($F1026="",$J1026="",$J1026="نامعتبر"),"",LEFT($J1026,4)&amp;MID($J1026,6,2)&amp;RIGHT($J1026,2)&amp;$N1026&amp;"|"&amp;"2"&amp;RIGHT("00000"&amp;1021,5))</f>
        <v/>
      </c>
      <c r="L1026" t="str">
        <f t="shared" si="78"/>
        <v/>
      </c>
      <c r="M1026" t="str">
        <f t="shared" si="79"/>
        <v/>
      </c>
      <c r="N1026" t="str">
        <f>IF($F1026="","",IF(Sync!$AF1026="","0000",IF(AND(ISNUMBER(Sync!$AF1026),Sync!$AF1026&gt;=0,Sync!$AF1026&lt;1),RIGHT("00"&amp;HOUR(Sync!$AF1026),2)&amp;RIGHT("00"&amp;MINUTE(Sync!$AF1026),2),IFERROR(RIGHT("00"&amp;VALUE(LEFT(Sync!$AF1026,FIND(":",Sync!$AF1026)-1)),2)&amp;RIGHT("00"&amp;VALUE(MID(Sync!$AF1026,FIND(":",Sync!$AF1026)+1,2)),2),"0000"))))</f>
        <v/>
      </c>
    </row>
    <row r="1027" spans="1:14" x14ac:dyDescent="0.2">
      <c r="A1027" t="str">
        <f>IF(OR(Calc!$E1031="",Calc!$E1031="نامعتبر",Calc!$G1031=""),"",Calc!$G1031)</f>
        <v/>
      </c>
      <c r="B1027" t="str">
        <f>IF($A1027="","",LEFT(Calc!$E1031,4)&amp;MID(Calc!$E1031,6,2)&amp;RIGHT(Calc!$E1031,2)&amp;Calc!$Q1031&amp;"|"&amp;"1"&amp;RIGHT("00000"&amp;1022,5))</f>
        <v/>
      </c>
      <c r="C1027" t="str">
        <f t="shared" si="75"/>
        <v/>
      </c>
      <c r="D1027" t="str">
        <f t="shared" si="76"/>
        <v/>
      </c>
      <c r="F1027" t="str">
        <f>IF(Sync!$AH1027="","",IF(LEFT(UPPER(TRIM(Sync!$AH1027)),2)="SL",UPPER(TRIM(Sync!$AH1027)),""))</f>
        <v/>
      </c>
      <c r="G1027" t="str">
        <f>IF($F1027="","",IF(Sync!$AE1027="","",IF(ISNUMBER(Sync!$AE1027),IF(AND(Sync!$AE1027&gt;=10000101,Sync!$AE1027&lt;=99991231),INT(Sync!$AE1027/10000),""),IFERROR(VALUE(TRIM(LEFT(Sync!$AE1027,FIND("/",Sync!$AE1027)-1))),""))))</f>
        <v/>
      </c>
      <c r="H1027" t="str">
        <f>IF(OR($F1027="",$G1027=""),"",IF(ISNUMBER(Sync!$AE1027),INT(MOD(Sync!$AE1027,10000)/100),IFERROR(VALUE(TRIM(LEFT(MID(Sync!$AE1027,FIND("/",Sync!$AE1027)+1,20),FIND("/",MID(Sync!$AE1027,FIND("/",Sync!$AE1027)+1,20))-1))),"")))</f>
        <v/>
      </c>
      <c r="I1027" t="str">
        <f>IF(OR($F1027="",$G1027=""),"",IF(ISNUMBER(Sync!$AE1027),MOD(Sync!$AE1027,100),IFERROR(VALUE(TRIM(MID(MID(Sync!$AE1027,FIND("/",Sync!$AE1027)+1,20),FIND("/",MID(Sync!$AE1027,FIND("/",Sync!$AE1027)+1,20))+1,20))),"")))</f>
        <v/>
      </c>
      <c r="J1027" t="str">
        <f t="shared" si="77"/>
        <v/>
      </c>
      <c r="K1027" t="str">
        <f>IF(OR($F1027="",$J1027="",$J1027="نامعتبر"),"",LEFT($J1027,4)&amp;MID($J1027,6,2)&amp;RIGHT($J1027,2)&amp;$N1027&amp;"|"&amp;"2"&amp;RIGHT("00000"&amp;1022,5))</f>
        <v/>
      </c>
      <c r="L1027" t="str">
        <f t="shared" si="78"/>
        <v/>
      </c>
      <c r="M1027" t="str">
        <f t="shared" si="79"/>
        <v/>
      </c>
      <c r="N1027" t="str">
        <f>IF($F1027="","",IF(Sync!$AF1027="","0000",IF(AND(ISNUMBER(Sync!$AF1027),Sync!$AF1027&gt;=0,Sync!$AF1027&lt;1),RIGHT("00"&amp;HOUR(Sync!$AF1027),2)&amp;RIGHT("00"&amp;MINUTE(Sync!$AF1027),2),IFERROR(RIGHT("00"&amp;VALUE(LEFT(Sync!$AF1027,FIND(":",Sync!$AF1027)-1)),2)&amp;RIGHT("00"&amp;VALUE(MID(Sync!$AF1027,FIND(":",Sync!$AF1027)+1,2)),2),"0000"))))</f>
        <v/>
      </c>
    </row>
    <row r="1028" spans="1:14" x14ac:dyDescent="0.2">
      <c r="A1028" t="str">
        <f>IF(OR(Calc!$E1032="",Calc!$E1032="نامعتبر",Calc!$G1032=""),"",Calc!$G1032)</f>
        <v/>
      </c>
      <c r="B1028" t="str">
        <f>IF($A1028="","",LEFT(Calc!$E1032,4)&amp;MID(Calc!$E1032,6,2)&amp;RIGHT(Calc!$E1032,2)&amp;Calc!$Q1032&amp;"|"&amp;"1"&amp;RIGHT("00000"&amp;1023,5))</f>
        <v/>
      </c>
      <c r="C1028" t="str">
        <f t="shared" si="75"/>
        <v/>
      </c>
      <c r="D1028" t="str">
        <f t="shared" si="76"/>
        <v/>
      </c>
      <c r="F1028" t="str">
        <f>IF(Sync!$AH1028="","",IF(LEFT(UPPER(TRIM(Sync!$AH1028)),2)="SL",UPPER(TRIM(Sync!$AH1028)),""))</f>
        <v/>
      </c>
      <c r="G1028" t="str">
        <f>IF($F1028="","",IF(Sync!$AE1028="","",IF(ISNUMBER(Sync!$AE1028),IF(AND(Sync!$AE1028&gt;=10000101,Sync!$AE1028&lt;=99991231),INT(Sync!$AE1028/10000),""),IFERROR(VALUE(TRIM(LEFT(Sync!$AE1028,FIND("/",Sync!$AE1028)-1))),""))))</f>
        <v/>
      </c>
      <c r="H1028" t="str">
        <f>IF(OR($F1028="",$G1028=""),"",IF(ISNUMBER(Sync!$AE1028),INT(MOD(Sync!$AE1028,10000)/100),IFERROR(VALUE(TRIM(LEFT(MID(Sync!$AE1028,FIND("/",Sync!$AE1028)+1,20),FIND("/",MID(Sync!$AE1028,FIND("/",Sync!$AE1028)+1,20))-1))),"")))</f>
        <v/>
      </c>
      <c r="I1028" t="str">
        <f>IF(OR($F1028="",$G1028=""),"",IF(ISNUMBER(Sync!$AE1028),MOD(Sync!$AE1028,100),IFERROR(VALUE(TRIM(MID(MID(Sync!$AE1028,FIND("/",Sync!$AE1028)+1,20),FIND("/",MID(Sync!$AE1028,FIND("/",Sync!$AE1028)+1,20))+1,20))),"")))</f>
        <v/>
      </c>
      <c r="J1028" t="str">
        <f t="shared" si="77"/>
        <v/>
      </c>
      <c r="K1028" t="str">
        <f>IF(OR($F1028="",$J1028="",$J1028="نامعتبر"),"",LEFT($J1028,4)&amp;MID($J1028,6,2)&amp;RIGHT($J1028,2)&amp;$N1028&amp;"|"&amp;"2"&amp;RIGHT("00000"&amp;1023,5))</f>
        <v/>
      </c>
      <c r="L1028" t="str">
        <f t="shared" si="78"/>
        <v/>
      </c>
      <c r="M1028" t="str">
        <f t="shared" si="79"/>
        <v/>
      </c>
      <c r="N1028" t="str">
        <f>IF($F1028="","",IF(Sync!$AF1028="","0000",IF(AND(ISNUMBER(Sync!$AF1028),Sync!$AF1028&gt;=0,Sync!$AF1028&lt;1),RIGHT("00"&amp;HOUR(Sync!$AF1028),2)&amp;RIGHT("00"&amp;MINUTE(Sync!$AF1028),2),IFERROR(RIGHT("00"&amp;VALUE(LEFT(Sync!$AF1028,FIND(":",Sync!$AF1028)-1)),2)&amp;RIGHT("00"&amp;VALUE(MID(Sync!$AF1028,FIND(":",Sync!$AF1028)+1,2)),2),"0000"))))</f>
        <v/>
      </c>
    </row>
    <row r="1029" spans="1:14" x14ac:dyDescent="0.2">
      <c r="A1029" t="str">
        <f>IF(OR(Calc!$E1033="",Calc!$E1033="نامعتبر",Calc!$G1033=""),"",Calc!$G1033)</f>
        <v/>
      </c>
      <c r="B1029" t="str">
        <f>IF($A1029="","",LEFT(Calc!$E1033,4)&amp;MID(Calc!$E1033,6,2)&amp;RIGHT(Calc!$E1033,2)&amp;Calc!$Q1033&amp;"|"&amp;"1"&amp;RIGHT("00000"&amp;1024,5))</f>
        <v/>
      </c>
      <c r="C1029" t="str">
        <f t="shared" si="75"/>
        <v/>
      </c>
      <c r="D1029" t="str">
        <f t="shared" si="76"/>
        <v/>
      </c>
      <c r="F1029" t="str">
        <f>IF(Sync!$AH1029="","",IF(LEFT(UPPER(TRIM(Sync!$AH1029)),2)="SL",UPPER(TRIM(Sync!$AH1029)),""))</f>
        <v/>
      </c>
      <c r="G1029" t="str">
        <f>IF($F1029="","",IF(Sync!$AE1029="","",IF(ISNUMBER(Sync!$AE1029),IF(AND(Sync!$AE1029&gt;=10000101,Sync!$AE1029&lt;=99991231),INT(Sync!$AE1029/10000),""),IFERROR(VALUE(TRIM(LEFT(Sync!$AE1029,FIND("/",Sync!$AE1029)-1))),""))))</f>
        <v/>
      </c>
      <c r="H1029" t="str">
        <f>IF(OR($F1029="",$G1029=""),"",IF(ISNUMBER(Sync!$AE1029),INT(MOD(Sync!$AE1029,10000)/100),IFERROR(VALUE(TRIM(LEFT(MID(Sync!$AE1029,FIND("/",Sync!$AE1029)+1,20),FIND("/",MID(Sync!$AE1029,FIND("/",Sync!$AE1029)+1,20))-1))),"")))</f>
        <v/>
      </c>
      <c r="I1029" t="str">
        <f>IF(OR($F1029="",$G1029=""),"",IF(ISNUMBER(Sync!$AE1029),MOD(Sync!$AE1029,100),IFERROR(VALUE(TRIM(MID(MID(Sync!$AE1029,FIND("/",Sync!$AE1029)+1,20),FIND("/",MID(Sync!$AE1029,FIND("/",Sync!$AE1029)+1,20))+1,20))),"")))</f>
        <v/>
      </c>
      <c r="J1029" t="str">
        <f t="shared" si="77"/>
        <v/>
      </c>
      <c r="K1029" t="str">
        <f>IF(OR($F1029="",$J1029="",$J1029="نامعتبر"),"",LEFT($J1029,4)&amp;MID($J1029,6,2)&amp;RIGHT($J1029,2)&amp;$N1029&amp;"|"&amp;"2"&amp;RIGHT("00000"&amp;1024,5))</f>
        <v/>
      </c>
      <c r="L1029" t="str">
        <f t="shared" si="78"/>
        <v/>
      </c>
      <c r="M1029" t="str">
        <f t="shared" si="79"/>
        <v/>
      </c>
      <c r="N1029" t="str">
        <f>IF($F1029="","",IF(Sync!$AF1029="","0000",IF(AND(ISNUMBER(Sync!$AF1029),Sync!$AF1029&gt;=0,Sync!$AF1029&lt;1),RIGHT("00"&amp;HOUR(Sync!$AF1029),2)&amp;RIGHT("00"&amp;MINUTE(Sync!$AF1029),2),IFERROR(RIGHT("00"&amp;VALUE(LEFT(Sync!$AF1029,FIND(":",Sync!$AF1029)-1)),2)&amp;RIGHT("00"&amp;VALUE(MID(Sync!$AF1029,FIND(":",Sync!$AF1029)+1,2)),2),"0000"))))</f>
        <v/>
      </c>
    </row>
    <row r="1030" spans="1:14" x14ac:dyDescent="0.2">
      <c r="A1030" t="str">
        <f>IF(OR(Calc!$E1034="",Calc!$E1034="نامعتبر",Calc!$G1034=""),"",Calc!$G1034)</f>
        <v/>
      </c>
      <c r="B1030" t="str">
        <f>IF($A1030="","",LEFT(Calc!$E1034,4)&amp;MID(Calc!$E1034,6,2)&amp;RIGHT(Calc!$E1034,2)&amp;Calc!$Q1034&amp;"|"&amp;"1"&amp;RIGHT("00000"&amp;1025,5))</f>
        <v/>
      </c>
      <c r="C1030" t="str">
        <f t="shared" ref="C1030:C1093" si="80">IF($B1030="","",COUNTIFS(LdgSellerA,$A1030,LdgKeyA,"&lt;"&amp;$B1030)+COUNTIFS(LdgSellerB,$A1030,LdgKeyB,"&lt;"&amp;$B1030)+1)</f>
        <v/>
      </c>
      <c r="D1030" t="str">
        <f t="shared" ref="D1030:D1093" si="81">IF($C1030="","",$A1030&amp;"|"&amp;RIGHT("000000"&amp;$C1030,6))</f>
        <v/>
      </c>
      <c r="F1030" t="str">
        <f>IF(Sync!$AH1030="","",IF(LEFT(UPPER(TRIM(Sync!$AH1030)),2)="SL",UPPER(TRIM(Sync!$AH1030)),""))</f>
        <v/>
      </c>
      <c r="G1030" t="str">
        <f>IF($F1030="","",IF(Sync!$AE1030="","",IF(ISNUMBER(Sync!$AE1030),IF(AND(Sync!$AE1030&gt;=10000101,Sync!$AE1030&lt;=99991231),INT(Sync!$AE1030/10000),""),IFERROR(VALUE(TRIM(LEFT(Sync!$AE1030,FIND("/",Sync!$AE1030)-1))),""))))</f>
        <v/>
      </c>
      <c r="H1030" t="str">
        <f>IF(OR($F1030="",$G1030=""),"",IF(ISNUMBER(Sync!$AE1030),INT(MOD(Sync!$AE1030,10000)/100),IFERROR(VALUE(TRIM(LEFT(MID(Sync!$AE1030,FIND("/",Sync!$AE1030)+1,20),FIND("/",MID(Sync!$AE1030,FIND("/",Sync!$AE1030)+1,20))-1))),"")))</f>
        <v/>
      </c>
      <c r="I1030" t="str">
        <f>IF(OR($F1030="",$G1030=""),"",IF(ISNUMBER(Sync!$AE1030),MOD(Sync!$AE1030,100),IFERROR(VALUE(TRIM(MID(MID(Sync!$AE1030,FIND("/",Sync!$AE1030)+1,20),FIND("/",MID(Sync!$AE1030,FIND("/",Sync!$AE1030)+1,20))+1,20))),"")))</f>
        <v/>
      </c>
      <c r="J1030" t="str">
        <f t="shared" ref="J1030:J1093" si="82">IF($F1030="","",IF(OR($G1030="",$H1030="",$I1030="",$G1030&lt;1300,$G1030&gt;1500,$H1030&lt;1,$H1030&gt;12,$I1030&lt;1,$I1030&gt;31),"نامعتبر",RIGHT("0000"&amp;$G1030,4)&amp;"/"&amp;RIGHT("00"&amp;$H1030,2)&amp;"/"&amp;RIGHT("00"&amp;$I1030,2)))</f>
        <v/>
      </c>
      <c r="K1030" t="str">
        <f>IF(OR($F1030="",$J1030="",$J1030="نامعتبر"),"",LEFT($J1030,4)&amp;MID($J1030,6,2)&amp;RIGHT($J1030,2)&amp;$N1030&amp;"|"&amp;"2"&amp;RIGHT("00000"&amp;1025,5))</f>
        <v/>
      </c>
      <c r="L1030" t="str">
        <f t="shared" ref="L1030:L1093" si="83">IF($K1030="","",COUNTIFS(LdgSellerA,$F1030,LdgKeyA,"&lt;"&amp;$K1030)+COUNTIFS(LdgSellerB,$F1030,LdgKeyB,"&lt;"&amp;$K1030)+1)</f>
        <v/>
      </c>
      <c r="M1030" t="str">
        <f t="shared" ref="M1030:M1093" si="84">IF($L1030="","",$F1030&amp;"|"&amp;RIGHT("000000"&amp;$L1030,6))</f>
        <v/>
      </c>
      <c r="N1030" t="str">
        <f>IF($F1030="","",IF(Sync!$AF1030="","0000",IF(AND(ISNUMBER(Sync!$AF1030),Sync!$AF1030&gt;=0,Sync!$AF1030&lt;1),RIGHT("00"&amp;HOUR(Sync!$AF1030),2)&amp;RIGHT("00"&amp;MINUTE(Sync!$AF1030),2),IFERROR(RIGHT("00"&amp;VALUE(LEFT(Sync!$AF1030,FIND(":",Sync!$AF1030)-1)),2)&amp;RIGHT("00"&amp;VALUE(MID(Sync!$AF1030,FIND(":",Sync!$AF1030)+1,2)),2),"0000"))))</f>
        <v/>
      </c>
    </row>
    <row r="1031" spans="1:14" x14ac:dyDescent="0.2">
      <c r="A1031" t="str">
        <f>IF(OR(Calc!$E1035="",Calc!$E1035="نامعتبر",Calc!$G1035=""),"",Calc!$G1035)</f>
        <v/>
      </c>
      <c r="B1031" t="str">
        <f>IF($A1031="","",LEFT(Calc!$E1035,4)&amp;MID(Calc!$E1035,6,2)&amp;RIGHT(Calc!$E1035,2)&amp;Calc!$Q1035&amp;"|"&amp;"1"&amp;RIGHT("00000"&amp;1026,5))</f>
        <v/>
      </c>
      <c r="C1031" t="str">
        <f t="shared" si="80"/>
        <v/>
      </c>
      <c r="D1031" t="str">
        <f t="shared" si="81"/>
        <v/>
      </c>
      <c r="F1031" t="str">
        <f>IF(Sync!$AH1031="","",IF(LEFT(UPPER(TRIM(Sync!$AH1031)),2)="SL",UPPER(TRIM(Sync!$AH1031)),""))</f>
        <v/>
      </c>
      <c r="G1031" t="str">
        <f>IF($F1031="","",IF(Sync!$AE1031="","",IF(ISNUMBER(Sync!$AE1031),IF(AND(Sync!$AE1031&gt;=10000101,Sync!$AE1031&lt;=99991231),INT(Sync!$AE1031/10000),""),IFERROR(VALUE(TRIM(LEFT(Sync!$AE1031,FIND("/",Sync!$AE1031)-1))),""))))</f>
        <v/>
      </c>
      <c r="H1031" t="str">
        <f>IF(OR($F1031="",$G1031=""),"",IF(ISNUMBER(Sync!$AE1031),INT(MOD(Sync!$AE1031,10000)/100),IFERROR(VALUE(TRIM(LEFT(MID(Sync!$AE1031,FIND("/",Sync!$AE1031)+1,20),FIND("/",MID(Sync!$AE1031,FIND("/",Sync!$AE1031)+1,20))-1))),"")))</f>
        <v/>
      </c>
      <c r="I1031" t="str">
        <f>IF(OR($F1031="",$G1031=""),"",IF(ISNUMBER(Sync!$AE1031),MOD(Sync!$AE1031,100),IFERROR(VALUE(TRIM(MID(MID(Sync!$AE1031,FIND("/",Sync!$AE1031)+1,20),FIND("/",MID(Sync!$AE1031,FIND("/",Sync!$AE1031)+1,20))+1,20))),"")))</f>
        <v/>
      </c>
      <c r="J1031" t="str">
        <f t="shared" si="82"/>
        <v/>
      </c>
      <c r="K1031" t="str">
        <f>IF(OR($F1031="",$J1031="",$J1031="نامعتبر"),"",LEFT($J1031,4)&amp;MID($J1031,6,2)&amp;RIGHT($J1031,2)&amp;$N1031&amp;"|"&amp;"2"&amp;RIGHT("00000"&amp;1026,5))</f>
        <v/>
      </c>
      <c r="L1031" t="str">
        <f t="shared" si="83"/>
        <v/>
      </c>
      <c r="M1031" t="str">
        <f t="shared" si="84"/>
        <v/>
      </c>
      <c r="N1031" t="str">
        <f>IF($F1031="","",IF(Sync!$AF1031="","0000",IF(AND(ISNUMBER(Sync!$AF1031),Sync!$AF1031&gt;=0,Sync!$AF1031&lt;1),RIGHT("00"&amp;HOUR(Sync!$AF1031),2)&amp;RIGHT("00"&amp;MINUTE(Sync!$AF1031),2),IFERROR(RIGHT("00"&amp;VALUE(LEFT(Sync!$AF1031,FIND(":",Sync!$AF1031)-1)),2)&amp;RIGHT("00"&amp;VALUE(MID(Sync!$AF1031,FIND(":",Sync!$AF1031)+1,2)),2),"0000"))))</f>
        <v/>
      </c>
    </row>
    <row r="1032" spans="1:14" x14ac:dyDescent="0.2">
      <c r="A1032" t="str">
        <f>IF(OR(Calc!$E1036="",Calc!$E1036="نامعتبر",Calc!$G1036=""),"",Calc!$G1036)</f>
        <v/>
      </c>
      <c r="B1032" t="str">
        <f>IF($A1032="","",LEFT(Calc!$E1036,4)&amp;MID(Calc!$E1036,6,2)&amp;RIGHT(Calc!$E1036,2)&amp;Calc!$Q1036&amp;"|"&amp;"1"&amp;RIGHT("00000"&amp;1027,5))</f>
        <v/>
      </c>
      <c r="C1032" t="str">
        <f t="shared" si="80"/>
        <v/>
      </c>
      <c r="D1032" t="str">
        <f t="shared" si="81"/>
        <v/>
      </c>
      <c r="F1032" t="str">
        <f>IF(Sync!$AH1032="","",IF(LEFT(UPPER(TRIM(Sync!$AH1032)),2)="SL",UPPER(TRIM(Sync!$AH1032)),""))</f>
        <v/>
      </c>
      <c r="G1032" t="str">
        <f>IF($F1032="","",IF(Sync!$AE1032="","",IF(ISNUMBER(Sync!$AE1032),IF(AND(Sync!$AE1032&gt;=10000101,Sync!$AE1032&lt;=99991231),INT(Sync!$AE1032/10000),""),IFERROR(VALUE(TRIM(LEFT(Sync!$AE1032,FIND("/",Sync!$AE1032)-1))),""))))</f>
        <v/>
      </c>
      <c r="H1032" t="str">
        <f>IF(OR($F1032="",$G1032=""),"",IF(ISNUMBER(Sync!$AE1032),INT(MOD(Sync!$AE1032,10000)/100),IFERROR(VALUE(TRIM(LEFT(MID(Sync!$AE1032,FIND("/",Sync!$AE1032)+1,20),FIND("/",MID(Sync!$AE1032,FIND("/",Sync!$AE1032)+1,20))-1))),"")))</f>
        <v/>
      </c>
      <c r="I1032" t="str">
        <f>IF(OR($F1032="",$G1032=""),"",IF(ISNUMBER(Sync!$AE1032),MOD(Sync!$AE1032,100),IFERROR(VALUE(TRIM(MID(MID(Sync!$AE1032,FIND("/",Sync!$AE1032)+1,20),FIND("/",MID(Sync!$AE1032,FIND("/",Sync!$AE1032)+1,20))+1,20))),"")))</f>
        <v/>
      </c>
      <c r="J1032" t="str">
        <f t="shared" si="82"/>
        <v/>
      </c>
      <c r="K1032" t="str">
        <f>IF(OR($F1032="",$J1032="",$J1032="نامعتبر"),"",LEFT($J1032,4)&amp;MID($J1032,6,2)&amp;RIGHT($J1032,2)&amp;$N1032&amp;"|"&amp;"2"&amp;RIGHT("00000"&amp;1027,5))</f>
        <v/>
      </c>
      <c r="L1032" t="str">
        <f t="shared" si="83"/>
        <v/>
      </c>
      <c r="M1032" t="str">
        <f t="shared" si="84"/>
        <v/>
      </c>
      <c r="N1032" t="str">
        <f>IF($F1032="","",IF(Sync!$AF1032="","0000",IF(AND(ISNUMBER(Sync!$AF1032),Sync!$AF1032&gt;=0,Sync!$AF1032&lt;1),RIGHT("00"&amp;HOUR(Sync!$AF1032),2)&amp;RIGHT("00"&amp;MINUTE(Sync!$AF1032),2),IFERROR(RIGHT("00"&amp;VALUE(LEFT(Sync!$AF1032,FIND(":",Sync!$AF1032)-1)),2)&amp;RIGHT("00"&amp;VALUE(MID(Sync!$AF1032,FIND(":",Sync!$AF1032)+1,2)),2),"0000"))))</f>
        <v/>
      </c>
    </row>
    <row r="1033" spans="1:14" x14ac:dyDescent="0.2">
      <c r="A1033" t="str">
        <f>IF(OR(Calc!$E1037="",Calc!$E1037="نامعتبر",Calc!$G1037=""),"",Calc!$G1037)</f>
        <v/>
      </c>
      <c r="B1033" t="str">
        <f>IF($A1033="","",LEFT(Calc!$E1037,4)&amp;MID(Calc!$E1037,6,2)&amp;RIGHT(Calc!$E1037,2)&amp;Calc!$Q1037&amp;"|"&amp;"1"&amp;RIGHT("00000"&amp;1028,5))</f>
        <v/>
      </c>
      <c r="C1033" t="str">
        <f t="shared" si="80"/>
        <v/>
      </c>
      <c r="D1033" t="str">
        <f t="shared" si="81"/>
        <v/>
      </c>
      <c r="F1033" t="str">
        <f>IF(Sync!$AH1033="","",IF(LEFT(UPPER(TRIM(Sync!$AH1033)),2)="SL",UPPER(TRIM(Sync!$AH1033)),""))</f>
        <v/>
      </c>
      <c r="G1033" t="str">
        <f>IF($F1033="","",IF(Sync!$AE1033="","",IF(ISNUMBER(Sync!$AE1033),IF(AND(Sync!$AE1033&gt;=10000101,Sync!$AE1033&lt;=99991231),INT(Sync!$AE1033/10000),""),IFERROR(VALUE(TRIM(LEFT(Sync!$AE1033,FIND("/",Sync!$AE1033)-1))),""))))</f>
        <v/>
      </c>
      <c r="H1033" t="str">
        <f>IF(OR($F1033="",$G1033=""),"",IF(ISNUMBER(Sync!$AE1033),INT(MOD(Sync!$AE1033,10000)/100),IFERROR(VALUE(TRIM(LEFT(MID(Sync!$AE1033,FIND("/",Sync!$AE1033)+1,20),FIND("/",MID(Sync!$AE1033,FIND("/",Sync!$AE1033)+1,20))-1))),"")))</f>
        <v/>
      </c>
      <c r="I1033" t="str">
        <f>IF(OR($F1033="",$G1033=""),"",IF(ISNUMBER(Sync!$AE1033),MOD(Sync!$AE1033,100),IFERROR(VALUE(TRIM(MID(MID(Sync!$AE1033,FIND("/",Sync!$AE1033)+1,20),FIND("/",MID(Sync!$AE1033,FIND("/",Sync!$AE1033)+1,20))+1,20))),"")))</f>
        <v/>
      </c>
      <c r="J1033" t="str">
        <f t="shared" si="82"/>
        <v/>
      </c>
      <c r="K1033" t="str">
        <f>IF(OR($F1033="",$J1033="",$J1033="نامعتبر"),"",LEFT($J1033,4)&amp;MID($J1033,6,2)&amp;RIGHT($J1033,2)&amp;$N1033&amp;"|"&amp;"2"&amp;RIGHT("00000"&amp;1028,5))</f>
        <v/>
      </c>
      <c r="L1033" t="str">
        <f t="shared" si="83"/>
        <v/>
      </c>
      <c r="M1033" t="str">
        <f t="shared" si="84"/>
        <v/>
      </c>
      <c r="N1033" t="str">
        <f>IF($F1033="","",IF(Sync!$AF1033="","0000",IF(AND(ISNUMBER(Sync!$AF1033),Sync!$AF1033&gt;=0,Sync!$AF1033&lt;1),RIGHT("00"&amp;HOUR(Sync!$AF1033),2)&amp;RIGHT("00"&amp;MINUTE(Sync!$AF1033),2),IFERROR(RIGHT("00"&amp;VALUE(LEFT(Sync!$AF1033,FIND(":",Sync!$AF1033)-1)),2)&amp;RIGHT("00"&amp;VALUE(MID(Sync!$AF1033,FIND(":",Sync!$AF1033)+1,2)),2),"0000"))))</f>
        <v/>
      </c>
    </row>
    <row r="1034" spans="1:14" x14ac:dyDescent="0.2">
      <c r="A1034" t="str">
        <f>IF(OR(Calc!$E1038="",Calc!$E1038="نامعتبر",Calc!$G1038=""),"",Calc!$G1038)</f>
        <v/>
      </c>
      <c r="B1034" t="str">
        <f>IF($A1034="","",LEFT(Calc!$E1038,4)&amp;MID(Calc!$E1038,6,2)&amp;RIGHT(Calc!$E1038,2)&amp;Calc!$Q1038&amp;"|"&amp;"1"&amp;RIGHT("00000"&amp;1029,5))</f>
        <v/>
      </c>
      <c r="C1034" t="str">
        <f t="shared" si="80"/>
        <v/>
      </c>
      <c r="D1034" t="str">
        <f t="shared" si="81"/>
        <v/>
      </c>
      <c r="F1034" t="str">
        <f>IF(Sync!$AH1034="","",IF(LEFT(UPPER(TRIM(Sync!$AH1034)),2)="SL",UPPER(TRIM(Sync!$AH1034)),""))</f>
        <v/>
      </c>
      <c r="G1034" t="str">
        <f>IF($F1034="","",IF(Sync!$AE1034="","",IF(ISNUMBER(Sync!$AE1034),IF(AND(Sync!$AE1034&gt;=10000101,Sync!$AE1034&lt;=99991231),INT(Sync!$AE1034/10000),""),IFERROR(VALUE(TRIM(LEFT(Sync!$AE1034,FIND("/",Sync!$AE1034)-1))),""))))</f>
        <v/>
      </c>
      <c r="H1034" t="str">
        <f>IF(OR($F1034="",$G1034=""),"",IF(ISNUMBER(Sync!$AE1034),INT(MOD(Sync!$AE1034,10000)/100),IFERROR(VALUE(TRIM(LEFT(MID(Sync!$AE1034,FIND("/",Sync!$AE1034)+1,20),FIND("/",MID(Sync!$AE1034,FIND("/",Sync!$AE1034)+1,20))-1))),"")))</f>
        <v/>
      </c>
      <c r="I1034" t="str">
        <f>IF(OR($F1034="",$G1034=""),"",IF(ISNUMBER(Sync!$AE1034),MOD(Sync!$AE1034,100),IFERROR(VALUE(TRIM(MID(MID(Sync!$AE1034,FIND("/",Sync!$AE1034)+1,20),FIND("/",MID(Sync!$AE1034,FIND("/",Sync!$AE1034)+1,20))+1,20))),"")))</f>
        <v/>
      </c>
      <c r="J1034" t="str">
        <f t="shared" si="82"/>
        <v/>
      </c>
      <c r="K1034" t="str">
        <f>IF(OR($F1034="",$J1034="",$J1034="نامعتبر"),"",LEFT($J1034,4)&amp;MID($J1034,6,2)&amp;RIGHT($J1034,2)&amp;$N1034&amp;"|"&amp;"2"&amp;RIGHT("00000"&amp;1029,5))</f>
        <v/>
      </c>
      <c r="L1034" t="str">
        <f t="shared" si="83"/>
        <v/>
      </c>
      <c r="M1034" t="str">
        <f t="shared" si="84"/>
        <v/>
      </c>
      <c r="N1034" t="str">
        <f>IF($F1034="","",IF(Sync!$AF1034="","0000",IF(AND(ISNUMBER(Sync!$AF1034),Sync!$AF1034&gt;=0,Sync!$AF1034&lt;1),RIGHT("00"&amp;HOUR(Sync!$AF1034),2)&amp;RIGHT("00"&amp;MINUTE(Sync!$AF1034),2),IFERROR(RIGHT("00"&amp;VALUE(LEFT(Sync!$AF1034,FIND(":",Sync!$AF1034)-1)),2)&amp;RIGHT("00"&amp;VALUE(MID(Sync!$AF1034,FIND(":",Sync!$AF1034)+1,2)),2),"0000"))))</f>
        <v/>
      </c>
    </row>
    <row r="1035" spans="1:14" x14ac:dyDescent="0.2">
      <c r="A1035" t="str">
        <f>IF(OR(Calc!$E1039="",Calc!$E1039="نامعتبر",Calc!$G1039=""),"",Calc!$G1039)</f>
        <v/>
      </c>
      <c r="B1035" t="str">
        <f>IF($A1035="","",LEFT(Calc!$E1039,4)&amp;MID(Calc!$E1039,6,2)&amp;RIGHT(Calc!$E1039,2)&amp;Calc!$Q1039&amp;"|"&amp;"1"&amp;RIGHT("00000"&amp;1030,5))</f>
        <v/>
      </c>
      <c r="C1035" t="str">
        <f t="shared" si="80"/>
        <v/>
      </c>
      <c r="D1035" t="str">
        <f t="shared" si="81"/>
        <v/>
      </c>
      <c r="F1035" t="str">
        <f>IF(Sync!$AH1035="","",IF(LEFT(UPPER(TRIM(Sync!$AH1035)),2)="SL",UPPER(TRIM(Sync!$AH1035)),""))</f>
        <v/>
      </c>
      <c r="G1035" t="str">
        <f>IF($F1035="","",IF(Sync!$AE1035="","",IF(ISNUMBER(Sync!$AE1035),IF(AND(Sync!$AE1035&gt;=10000101,Sync!$AE1035&lt;=99991231),INT(Sync!$AE1035/10000),""),IFERROR(VALUE(TRIM(LEFT(Sync!$AE1035,FIND("/",Sync!$AE1035)-1))),""))))</f>
        <v/>
      </c>
      <c r="H1035" t="str">
        <f>IF(OR($F1035="",$G1035=""),"",IF(ISNUMBER(Sync!$AE1035),INT(MOD(Sync!$AE1035,10000)/100),IFERROR(VALUE(TRIM(LEFT(MID(Sync!$AE1035,FIND("/",Sync!$AE1035)+1,20),FIND("/",MID(Sync!$AE1035,FIND("/",Sync!$AE1035)+1,20))-1))),"")))</f>
        <v/>
      </c>
      <c r="I1035" t="str">
        <f>IF(OR($F1035="",$G1035=""),"",IF(ISNUMBER(Sync!$AE1035),MOD(Sync!$AE1035,100),IFERROR(VALUE(TRIM(MID(MID(Sync!$AE1035,FIND("/",Sync!$AE1035)+1,20),FIND("/",MID(Sync!$AE1035,FIND("/",Sync!$AE1035)+1,20))+1,20))),"")))</f>
        <v/>
      </c>
      <c r="J1035" t="str">
        <f t="shared" si="82"/>
        <v/>
      </c>
      <c r="K1035" t="str">
        <f>IF(OR($F1035="",$J1035="",$J1035="نامعتبر"),"",LEFT($J1035,4)&amp;MID($J1035,6,2)&amp;RIGHT($J1035,2)&amp;$N1035&amp;"|"&amp;"2"&amp;RIGHT("00000"&amp;1030,5))</f>
        <v/>
      </c>
      <c r="L1035" t="str">
        <f t="shared" si="83"/>
        <v/>
      </c>
      <c r="M1035" t="str">
        <f t="shared" si="84"/>
        <v/>
      </c>
      <c r="N1035" t="str">
        <f>IF($F1035="","",IF(Sync!$AF1035="","0000",IF(AND(ISNUMBER(Sync!$AF1035),Sync!$AF1035&gt;=0,Sync!$AF1035&lt;1),RIGHT("00"&amp;HOUR(Sync!$AF1035),2)&amp;RIGHT("00"&amp;MINUTE(Sync!$AF1035),2),IFERROR(RIGHT("00"&amp;VALUE(LEFT(Sync!$AF1035,FIND(":",Sync!$AF1035)-1)),2)&amp;RIGHT("00"&amp;VALUE(MID(Sync!$AF1035,FIND(":",Sync!$AF1035)+1,2)),2),"0000"))))</f>
        <v/>
      </c>
    </row>
    <row r="1036" spans="1:14" x14ac:dyDescent="0.2">
      <c r="A1036" t="str">
        <f>IF(OR(Calc!$E1040="",Calc!$E1040="نامعتبر",Calc!$G1040=""),"",Calc!$G1040)</f>
        <v/>
      </c>
      <c r="B1036" t="str">
        <f>IF($A1036="","",LEFT(Calc!$E1040,4)&amp;MID(Calc!$E1040,6,2)&amp;RIGHT(Calc!$E1040,2)&amp;Calc!$Q1040&amp;"|"&amp;"1"&amp;RIGHT("00000"&amp;1031,5))</f>
        <v/>
      </c>
      <c r="C1036" t="str">
        <f t="shared" si="80"/>
        <v/>
      </c>
      <c r="D1036" t="str">
        <f t="shared" si="81"/>
        <v/>
      </c>
      <c r="F1036" t="str">
        <f>IF(Sync!$AH1036="","",IF(LEFT(UPPER(TRIM(Sync!$AH1036)),2)="SL",UPPER(TRIM(Sync!$AH1036)),""))</f>
        <v/>
      </c>
      <c r="G1036" t="str">
        <f>IF($F1036="","",IF(Sync!$AE1036="","",IF(ISNUMBER(Sync!$AE1036),IF(AND(Sync!$AE1036&gt;=10000101,Sync!$AE1036&lt;=99991231),INT(Sync!$AE1036/10000),""),IFERROR(VALUE(TRIM(LEFT(Sync!$AE1036,FIND("/",Sync!$AE1036)-1))),""))))</f>
        <v/>
      </c>
      <c r="H1036" t="str">
        <f>IF(OR($F1036="",$G1036=""),"",IF(ISNUMBER(Sync!$AE1036),INT(MOD(Sync!$AE1036,10000)/100),IFERROR(VALUE(TRIM(LEFT(MID(Sync!$AE1036,FIND("/",Sync!$AE1036)+1,20),FIND("/",MID(Sync!$AE1036,FIND("/",Sync!$AE1036)+1,20))-1))),"")))</f>
        <v/>
      </c>
      <c r="I1036" t="str">
        <f>IF(OR($F1036="",$G1036=""),"",IF(ISNUMBER(Sync!$AE1036),MOD(Sync!$AE1036,100),IFERROR(VALUE(TRIM(MID(MID(Sync!$AE1036,FIND("/",Sync!$AE1036)+1,20),FIND("/",MID(Sync!$AE1036,FIND("/",Sync!$AE1036)+1,20))+1,20))),"")))</f>
        <v/>
      </c>
      <c r="J1036" t="str">
        <f t="shared" si="82"/>
        <v/>
      </c>
      <c r="K1036" t="str">
        <f>IF(OR($F1036="",$J1036="",$J1036="نامعتبر"),"",LEFT($J1036,4)&amp;MID($J1036,6,2)&amp;RIGHT($J1036,2)&amp;$N1036&amp;"|"&amp;"2"&amp;RIGHT("00000"&amp;1031,5))</f>
        <v/>
      </c>
      <c r="L1036" t="str">
        <f t="shared" si="83"/>
        <v/>
      </c>
      <c r="M1036" t="str">
        <f t="shared" si="84"/>
        <v/>
      </c>
      <c r="N1036" t="str">
        <f>IF($F1036="","",IF(Sync!$AF1036="","0000",IF(AND(ISNUMBER(Sync!$AF1036),Sync!$AF1036&gt;=0,Sync!$AF1036&lt;1),RIGHT("00"&amp;HOUR(Sync!$AF1036),2)&amp;RIGHT("00"&amp;MINUTE(Sync!$AF1036),2),IFERROR(RIGHT("00"&amp;VALUE(LEFT(Sync!$AF1036,FIND(":",Sync!$AF1036)-1)),2)&amp;RIGHT("00"&amp;VALUE(MID(Sync!$AF1036,FIND(":",Sync!$AF1036)+1,2)),2),"0000"))))</f>
        <v/>
      </c>
    </row>
    <row r="1037" spans="1:14" x14ac:dyDescent="0.2">
      <c r="A1037" t="str">
        <f>IF(OR(Calc!$E1041="",Calc!$E1041="نامعتبر",Calc!$G1041=""),"",Calc!$G1041)</f>
        <v/>
      </c>
      <c r="B1037" t="str">
        <f>IF($A1037="","",LEFT(Calc!$E1041,4)&amp;MID(Calc!$E1041,6,2)&amp;RIGHT(Calc!$E1041,2)&amp;Calc!$Q1041&amp;"|"&amp;"1"&amp;RIGHT("00000"&amp;1032,5))</f>
        <v/>
      </c>
      <c r="C1037" t="str">
        <f t="shared" si="80"/>
        <v/>
      </c>
      <c r="D1037" t="str">
        <f t="shared" si="81"/>
        <v/>
      </c>
      <c r="F1037" t="str">
        <f>IF(Sync!$AH1037="","",IF(LEFT(UPPER(TRIM(Sync!$AH1037)),2)="SL",UPPER(TRIM(Sync!$AH1037)),""))</f>
        <v/>
      </c>
      <c r="G1037" t="str">
        <f>IF($F1037="","",IF(Sync!$AE1037="","",IF(ISNUMBER(Sync!$AE1037),IF(AND(Sync!$AE1037&gt;=10000101,Sync!$AE1037&lt;=99991231),INT(Sync!$AE1037/10000),""),IFERROR(VALUE(TRIM(LEFT(Sync!$AE1037,FIND("/",Sync!$AE1037)-1))),""))))</f>
        <v/>
      </c>
      <c r="H1037" t="str">
        <f>IF(OR($F1037="",$G1037=""),"",IF(ISNUMBER(Sync!$AE1037),INT(MOD(Sync!$AE1037,10000)/100),IFERROR(VALUE(TRIM(LEFT(MID(Sync!$AE1037,FIND("/",Sync!$AE1037)+1,20),FIND("/",MID(Sync!$AE1037,FIND("/",Sync!$AE1037)+1,20))-1))),"")))</f>
        <v/>
      </c>
      <c r="I1037" t="str">
        <f>IF(OR($F1037="",$G1037=""),"",IF(ISNUMBER(Sync!$AE1037),MOD(Sync!$AE1037,100),IFERROR(VALUE(TRIM(MID(MID(Sync!$AE1037,FIND("/",Sync!$AE1037)+1,20),FIND("/",MID(Sync!$AE1037,FIND("/",Sync!$AE1037)+1,20))+1,20))),"")))</f>
        <v/>
      </c>
      <c r="J1037" t="str">
        <f t="shared" si="82"/>
        <v/>
      </c>
      <c r="K1037" t="str">
        <f>IF(OR($F1037="",$J1037="",$J1037="نامعتبر"),"",LEFT($J1037,4)&amp;MID($J1037,6,2)&amp;RIGHT($J1037,2)&amp;$N1037&amp;"|"&amp;"2"&amp;RIGHT("00000"&amp;1032,5))</f>
        <v/>
      </c>
      <c r="L1037" t="str">
        <f t="shared" si="83"/>
        <v/>
      </c>
      <c r="M1037" t="str">
        <f t="shared" si="84"/>
        <v/>
      </c>
      <c r="N1037" t="str">
        <f>IF($F1037="","",IF(Sync!$AF1037="","0000",IF(AND(ISNUMBER(Sync!$AF1037),Sync!$AF1037&gt;=0,Sync!$AF1037&lt;1),RIGHT("00"&amp;HOUR(Sync!$AF1037),2)&amp;RIGHT("00"&amp;MINUTE(Sync!$AF1037),2),IFERROR(RIGHT("00"&amp;VALUE(LEFT(Sync!$AF1037,FIND(":",Sync!$AF1037)-1)),2)&amp;RIGHT("00"&amp;VALUE(MID(Sync!$AF1037,FIND(":",Sync!$AF1037)+1,2)),2),"0000"))))</f>
        <v/>
      </c>
    </row>
    <row r="1038" spans="1:14" x14ac:dyDescent="0.2">
      <c r="A1038" t="str">
        <f>IF(OR(Calc!$E1042="",Calc!$E1042="نامعتبر",Calc!$G1042=""),"",Calc!$G1042)</f>
        <v/>
      </c>
      <c r="B1038" t="str">
        <f>IF($A1038="","",LEFT(Calc!$E1042,4)&amp;MID(Calc!$E1042,6,2)&amp;RIGHT(Calc!$E1042,2)&amp;Calc!$Q1042&amp;"|"&amp;"1"&amp;RIGHT("00000"&amp;1033,5))</f>
        <v/>
      </c>
      <c r="C1038" t="str">
        <f t="shared" si="80"/>
        <v/>
      </c>
      <c r="D1038" t="str">
        <f t="shared" si="81"/>
        <v/>
      </c>
      <c r="F1038" t="str">
        <f>IF(Sync!$AH1038="","",IF(LEFT(UPPER(TRIM(Sync!$AH1038)),2)="SL",UPPER(TRIM(Sync!$AH1038)),""))</f>
        <v/>
      </c>
      <c r="G1038" t="str">
        <f>IF($F1038="","",IF(Sync!$AE1038="","",IF(ISNUMBER(Sync!$AE1038),IF(AND(Sync!$AE1038&gt;=10000101,Sync!$AE1038&lt;=99991231),INT(Sync!$AE1038/10000),""),IFERROR(VALUE(TRIM(LEFT(Sync!$AE1038,FIND("/",Sync!$AE1038)-1))),""))))</f>
        <v/>
      </c>
      <c r="H1038" t="str">
        <f>IF(OR($F1038="",$G1038=""),"",IF(ISNUMBER(Sync!$AE1038),INT(MOD(Sync!$AE1038,10000)/100),IFERROR(VALUE(TRIM(LEFT(MID(Sync!$AE1038,FIND("/",Sync!$AE1038)+1,20),FIND("/",MID(Sync!$AE1038,FIND("/",Sync!$AE1038)+1,20))-1))),"")))</f>
        <v/>
      </c>
      <c r="I1038" t="str">
        <f>IF(OR($F1038="",$G1038=""),"",IF(ISNUMBER(Sync!$AE1038),MOD(Sync!$AE1038,100),IFERROR(VALUE(TRIM(MID(MID(Sync!$AE1038,FIND("/",Sync!$AE1038)+1,20),FIND("/",MID(Sync!$AE1038,FIND("/",Sync!$AE1038)+1,20))+1,20))),"")))</f>
        <v/>
      </c>
      <c r="J1038" t="str">
        <f t="shared" si="82"/>
        <v/>
      </c>
      <c r="K1038" t="str">
        <f>IF(OR($F1038="",$J1038="",$J1038="نامعتبر"),"",LEFT($J1038,4)&amp;MID($J1038,6,2)&amp;RIGHT($J1038,2)&amp;$N1038&amp;"|"&amp;"2"&amp;RIGHT("00000"&amp;1033,5))</f>
        <v/>
      </c>
      <c r="L1038" t="str">
        <f t="shared" si="83"/>
        <v/>
      </c>
      <c r="M1038" t="str">
        <f t="shared" si="84"/>
        <v/>
      </c>
      <c r="N1038" t="str">
        <f>IF($F1038="","",IF(Sync!$AF1038="","0000",IF(AND(ISNUMBER(Sync!$AF1038),Sync!$AF1038&gt;=0,Sync!$AF1038&lt;1),RIGHT("00"&amp;HOUR(Sync!$AF1038),2)&amp;RIGHT("00"&amp;MINUTE(Sync!$AF1038),2),IFERROR(RIGHT("00"&amp;VALUE(LEFT(Sync!$AF1038,FIND(":",Sync!$AF1038)-1)),2)&amp;RIGHT("00"&amp;VALUE(MID(Sync!$AF1038,FIND(":",Sync!$AF1038)+1,2)),2),"0000"))))</f>
        <v/>
      </c>
    </row>
    <row r="1039" spans="1:14" x14ac:dyDescent="0.2">
      <c r="A1039" t="str">
        <f>IF(OR(Calc!$E1043="",Calc!$E1043="نامعتبر",Calc!$G1043=""),"",Calc!$G1043)</f>
        <v/>
      </c>
      <c r="B1039" t="str">
        <f>IF($A1039="","",LEFT(Calc!$E1043,4)&amp;MID(Calc!$E1043,6,2)&amp;RIGHT(Calc!$E1043,2)&amp;Calc!$Q1043&amp;"|"&amp;"1"&amp;RIGHT("00000"&amp;1034,5))</f>
        <v/>
      </c>
      <c r="C1039" t="str">
        <f t="shared" si="80"/>
        <v/>
      </c>
      <c r="D1039" t="str">
        <f t="shared" si="81"/>
        <v/>
      </c>
      <c r="F1039" t="str">
        <f>IF(Sync!$AH1039="","",IF(LEFT(UPPER(TRIM(Sync!$AH1039)),2)="SL",UPPER(TRIM(Sync!$AH1039)),""))</f>
        <v/>
      </c>
      <c r="G1039" t="str">
        <f>IF($F1039="","",IF(Sync!$AE1039="","",IF(ISNUMBER(Sync!$AE1039),IF(AND(Sync!$AE1039&gt;=10000101,Sync!$AE1039&lt;=99991231),INT(Sync!$AE1039/10000),""),IFERROR(VALUE(TRIM(LEFT(Sync!$AE1039,FIND("/",Sync!$AE1039)-1))),""))))</f>
        <v/>
      </c>
      <c r="H1039" t="str">
        <f>IF(OR($F1039="",$G1039=""),"",IF(ISNUMBER(Sync!$AE1039),INT(MOD(Sync!$AE1039,10000)/100),IFERROR(VALUE(TRIM(LEFT(MID(Sync!$AE1039,FIND("/",Sync!$AE1039)+1,20),FIND("/",MID(Sync!$AE1039,FIND("/",Sync!$AE1039)+1,20))-1))),"")))</f>
        <v/>
      </c>
      <c r="I1039" t="str">
        <f>IF(OR($F1039="",$G1039=""),"",IF(ISNUMBER(Sync!$AE1039),MOD(Sync!$AE1039,100),IFERROR(VALUE(TRIM(MID(MID(Sync!$AE1039,FIND("/",Sync!$AE1039)+1,20),FIND("/",MID(Sync!$AE1039,FIND("/",Sync!$AE1039)+1,20))+1,20))),"")))</f>
        <v/>
      </c>
      <c r="J1039" t="str">
        <f t="shared" si="82"/>
        <v/>
      </c>
      <c r="K1039" t="str">
        <f>IF(OR($F1039="",$J1039="",$J1039="نامعتبر"),"",LEFT($J1039,4)&amp;MID($J1039,6,2)&amp;RIGHT($J1039,2)&amp;$N1039&amp;"|"&amp;"2"&amp;RIGHT("00000"&amp;1034,5))</f>
        <v/>
      </c>
      <c r="L1039" t="str">
        <f t="shared" si="83"/>
        <v/>
      </c>
      <c r="M1039" t="str">
        <f t="shared" si="84"/>
        <v/>
      </c>
      <c r="N1039" t="str">
        <f>IF($F1039="","",IF(Sync!$AF1039="","0000",IF(AND(ISNUMBER(Sync!$AF1039),Sync!$AF1039&gt;=0,Sync!$AF1039&lt;1),RIGHT("00"&amp;HOUR(Sync!$AF1039),2)&amp;RIGHT("00"&amp;MINUTE(Sync!$AF1039),2),IFERROR(RIGHT("00"&amp;VALUE(LEFT(Sync!$AF1039,FIND(":",Sync!$AF1039)-1)),2)&amp;RIGHT("00"&amp;VALUE(MID(Sync!$AF1039,FIND(":",Sync!$AF1039)+1,2)),2),"0000"))))</f>
        <v/>
      </c>
    </row>
    <row r="1040" spans="1:14" x14ac:dyDescent="0.2">
      <c r="A1040" t="str">
        <f>IF(OR(Calc!$E1044="",Calc!$E1044="نامعتبر",Calc!$G1044=""),"",Calc!$G1044)</f>
        <v/>
      </c>
      <c r="B1040" t="str">
        <f>IF($A1040="","",LEFT(Calc!$E1044,4)&amp;MID(Calc!$E1044,6,2)&amp;RIGHT(Calc!$E1044,2)&amp;Calc!$Q1044&amp;"|"&amp;"1"&amp;RIGHT("00000"&amp;1035,5))</f>
        <v/>
      </c>
      <c r="C1040" t="str">
        <f t="shared" si="80"/>
        <v/>
      </c>
      <c r="D1040" t="str">
        <f t="shared" si="81"/>
        <v/>
      </c>
      <c r="F1040" t="str">
        <f>IF(Sync!$AH1040="","",IF(LEFT(UPPER(TRIM(Sync!$AH1040)),2)="SL",UPPER(TRIM(Sync!$AH1040)),""))</f>
        <v/>
      </c>
      <c r="G1040" t="str">
        <f>IF($F1040="","",IF(Sync!$AE1040="","",IF(ISNUMBER(Sync!$AE1040),IF(AND(Sync!$AE1040&gt;=10000101,Sync!$AE1040&lt;=99991231),INT(Sync!$AE1040/10000),""),IFERROR(VALUE(TRIM(LEFT(Sync!$AE1040,FIND("/",Sync!$AE1040)-1))),""))))</f>
        <v/>
      </c>
      <c r="H1040" t="str">
        <f>IF(OR($F1040="",$G1040=""),"",IF(ISNUMBER(Sync!$AE1040),INT(MOD(Sync!$AE1040,10000)/100),IFERROR(VALUE(TRIM(LEFT(MID(Sync!$AE1040,FIND("/",Sync!$AE1040)+1,20),FIND("/",MID(Sync!$AE1040,FIND("/",Sync!$AE1040)+1,20))-1))),"")))</f>
        <v/>
      </c>
      <c r="I1040" t="str">
        <f>IF(OR($F1040="",$G1040=""),"",IF(ISNUMBER(Sync!$AE1040),MOD(Sync!$AE1040,100),IFERROR(VALUE(TRIM(MID(MID(Sync!$AE1040,FIND("/",Sync!$AE1040)+1,20),FIND("/",MID(Sync!$AE1040,FIND("/",Sync!$AE1040)+1,20))+1,20))),"")))</f>
        <v/>
      </c>
      <c r="J1040" t="str">
        <f t="shared" si="82"/>
        <v/>
      </c>
      <c r="K1040" t="str">
        <f>IF(OR($F1040="",$J1040="",$J1040="نامعتبر"),"",LEFT($J1040,4)&amp;MID($J1040,6,2)&amp;RIGHT($J1040,2)&amp;$N1040&amp;"|"&amp;"2"&amp;RIGHT("00000"&amp;1035,5))</f>
        <v/>
      </c>
      <c r="L1040" t="str">
        <f t="shared" si="83"/>
        <v/>
      </c>
      <c r="M1040" t="str">
        <f t="shared" si="84"/>
        <v/>
      </c>
      <c r="N1040" t="str">
        <f>IF($F1040="","",IF(Sync!$AF1040="","0000",IF(AND(ISNUMBER(Sync!$AF1040),Sync!$AF1040&gt;=0,Sync!$AF1040&lt;1),RIGHT("00"&amp;HOUR(Sync!$AF1040),2)&amp;RIGHT("00"&amp;MINUTE(Sync!$AF1040),2),IFERROR(RIGHT("00"&amp;VALUE(LEFT(Sync!$AF1040,FIND(":",Sync!$AF1040)-1)),2)&amp;RIGHT("00"&amp;VALUE(MID(Sync!$AF1040,FIND(":",Sync!$AF1040)+1,2)),2),"0000"))))</f>
        <v/>
      </c>
    </row>
    <row r="1041" spans="1:14" x14ac:dyDescent="0.2">
      <c r="A1041" t="str">
        <f>IF(OR(Calc!$E1045="",Calc!$E1045="نامعتبر",Calc!$G1045=""),"",Calc!$G1045)</f>
        <v/>
      </c>
      <c r="B1041" t="str">
        <f>IF($A1041="","",LEFT(Calc!$E1045,4)&amp;MID(Calc!$E1045,6,2)&amp;RIGHT(Calc!$E1045,2)&amp;Calc!$Q1045&amp;"|"&amp;"1"&amp;RIGHT("00000"&amp;1036,5))</f>
        <v/>
      </c>
      <c r="C1041" t="str">
        <f t="shared" si="80"/>
        <v/>
      </c>
      <c r="D1041" t="str">
        <f t="shared" si="81"/>
        <v/>
      </c>
      <c r="F1041" t="str">
        <f>IF(Sync!$AH1041="","",IF(LEFT(UPPER(TRIM(Sync!$AH1041)),2)="SL",UPPER(TRIM(Sync!$AH1041)),""))</f>
        <v/>
      </c>
      <c r="G1041" t="str">
        <f>IF($F1041="","",IF(Sync!$AE1041="","",IF(ISNUMBER(Sync!$AE1041),IF(AND(Sync!$AE1041&gt;=10000101,Sync!$AE1041&lt;=99991231),INT(Sync!$AE1041/10000),""),IFERROR(VALUE(TRIM(LEFT(Sync!$AE1041,FIND("/",Sync!$AE1041)-1))),""))))</f>
        <v/>
      </c>
      <c r="H1041" t="str">
        <f>IF(OR($F1041="",$G1041=""),"",IF(ISNUMBER(Sync!$AE1041),INT(MOD(Sync!$AE1041,10000)/100),IFERROR(VALUE(TRIM(LEFT(MID(Sync!$AE1041,FIND("/",Sync!$AE1041)+1,20),FIND("/",MID(Sync!$AE1041,FIND("/",Sync!$AE1041)+1,20))-1))),"")))</f>
        <v/>
      </c>
      <c r="I1041" t="str">
        <f>IF(OR($F1041="",$G1041=""),"",IF(ISNUMBER(Sync!$AE1041),MOD(Sync!$AE1041,100),IFERROR(VALUE(TRIM(MID(MID(Sync!$AE1041,FIND("/",Sync!$AE1041)+1,20),FIND("/",MID(Sync!$AE1041,FIND("/",Sync!$AE1041)+1,20))+1,20))),"")))</f>
        <v/>
      </c>
      <c r="J1041" t="str">
        <f t="shared" si="82"/>
        <v/>
      </c>
      <c r="K1041" t="str">
        <f>IF(OR($F1041="",$J1041="",$J1041="نامعتبر"),"",LEFT($J1041,4)&amp;MID($J1041,6,2)&amp;RIGHT($J1041,2)&amp;$N1041&amp;"|"&amp;"2"&amp;RIGHT("00000"&amp;1036,5))</f>
        <v/>
      </c>
      <c r="L1041" t="str">
        <f t="shared" si="83"/>
        <v/>
      </c>
      <c r="M1041" t="str">
        <f t="shared" si="84"/>
        <v/>
      </c>
      <c r="N1041" t="str">
        <f>IF($F1041="","",IF(Sync!$AF1041="","0000",IF(AND(ISNUMBER(Sync!$AF1041),Sync!$AF1041&gt;=0,Sync!$AF1041&lt;1),RIGHT("00"&amp;HOUR(Sync!$AF1041),2)&amp;RIGHT("00"&amp;MINUTE(Sync!$AF1041),2),IFERROR(RIGHT("00"&amp;VALUE(LEFT(Sync!$AF1041,FIND(":",Sync!$AF1041)-1)),2)&amp;RIGHT("00"&amp;VALUE(MID(Sync!$AF1041,FIND(":",Sync!$AF1041)+1,2)),2),"0000"))))</f>
        <v/>
      </c>
    </row>
    <row r="1042" spans="1:14" x14ac:dyDescent="0.2">
      <c r="A1042" t="str">
        <f>IF(OR(Calc!$E1046="",Calc!$E1046="نامعتبر",Calc!$G1046=""),"",Calc!$G1046)</f>
        <v/>
      </c>
      <c r="B1042" t="str">
        <f>IF($A1042="","",LEFT(Calc!$E1046,4)&amp;MID(Calc!$E1046,6,2)&amp;RIGHT(Calc!$E1046,2)&amp;Calc!$Q1046&amp;"|"&amp;"1"&amp;RIGHT("00000"&amp;1037,5))</f>
        <v/>
      </c>
      <c r="C1042" t="str">
        <f t="shared" si="80"/>
        <v/>
      </c>
      <c r="D1042" t="str">
        <f t="shared" si="81"/>
        <v/>
      </c>
      <c r="F1042" t="str">
        <f>IF(Sync!$AH1042="","",IF(LEFT(UPPER(TRIM(Sync!$AH1042)),2)="SL",UPPER(TRIM(Sync!$AH1042)),""))</f>
        <v/>
      </c>
      <c r="G1042" t="str">
        <f>IF($F1042="","",IF(Sync!$AE1042="","",IF(ISNUMBER(Sync!$AE1042),IF(AND(Sync!$AE1042&gt;=10000101,Sync!$AE1042&lt;=99991231),INT(Sync!$AE1042/10000),""),IFERROR(VALUE(TRIM(LEFT(Sync!$AE1042,FIND("/",Sync!$AE1042)-1))),""))))</f>
        <v/>
      </c>
      <c r="H1042" t="str">
        <f>IF(OR($F1042="",$G1042=""),"",IF(ISNUMBER(Sync!$AE1042),INT(MOD(Sync!$AE1042,10000)/100),IFERROR(VALUE(TRIM(LEFT(MID(Sync!$AE1042,FIND("/",Sync!$AE1042)+1,20),FIND("/",MID(Sync!$AE1042,FIND("/",Sync!$AE1042)+1,20))-1))),"")))</f>
        <v/>
      </c>
      <c r="I1042" t="str">
        <f>IF(OR($F1042="",$G1042=""),"",IF(ISNUMBER(Sync!$AE1042),MOD(Sync!$AE1042,100),IFERROR(VALUE(TRIM(MID(MID(Sync!$AE1042,FIND("/",Sync!$AE1042)+1,20),FIND("/",MID(Sync!$AE1042,FIND("/",Sync!$AE1042)+1,20))+1,20))),"")))</f>
        <v/>
      </c>
      <c r="J1042" t="str">
        <f t="shared" si="82"/>
        <v/>
      </c>
      <c r="K1042" t="str">
        <f>IF(OR($F1042="",$J1042="",$J1042="نامعتبر"),"",LEFT($J1042,4)&amp;MID($J1042,6,2)&amp;RIGHT($J1042,2)&amp;$N1042&amp;"|"&amp;"2"&amp;RIGHT("00000"&amp;1037,5))</f>
        <v/>
      </c>
      <c r="L1042" t="str">
        <f t="shared" si="83"/>
        <v/>
      </c>
      <c r="M1042" t="str">
        <f t="shared" si="84"/>
        <v/>
      </c>
      <c r="N1042" t="str">
        <f>IF($F1042="","",IF(Sync!$AF1042="","0000",IF(AND(ISNUMBER(Sync!$AF1042),Sync!$AF1042&gt;=0,Sync!$AF1042&lt;1),RIGHT("00"&amp;HOUR(Sync!$AF1042),2)&amp;RIGHT("00"&amp;MINUTE(Sync!$AF1042),2),IFERROR(RIGHT("00"&amp;VALUE(LEFT(Sync!$AF1042,FIND(":",Sync!$AF1042)-1)),2)&amp;RIGHT("00"&amp;VALUE(MID(Sync!$AF1042,FIND(":",Sync!$AF1042)+1,2)),2),"0000"))))</f>
        <v/>
      </c>
    </row>
    <row r="1043" spans="1:14" x14ac:dyDescent="0.2">
      <c r="A1043" t="str">
        <f>IF(OR(Calc!$E1047="",Calc!$E1047="نامعتبر",Calc!$G1047=""),"",Calc!$G1047)</f>
        <v/>
      </c>
      <c r="B1043" t="str">
        <f>IF($A1043="","",LEFT(Calc!$E1047,4)&amp;MID(Calc!$E1047,6,2)&amp;RIGHT(Calc!$E1047,2)&amp;Calc!$Q1047&amp;"|"&amp;"1"&amp;RIGHT("00000"&amp;1038,5))</f>
        <v/>
      </c>
      <c r="C1043" t="str">
        <f t="shared" si="80"/>
        <v/>
      </c>
      <c r="D1043" t="str">
        <f t="shared" si="81"/>
        <v/>
      </c>
      <c r="F1043" t="str">
        <f>IF(Sync!$AH1043="","",IF(LEFT(UPPER(TRIM(Sync!$AH1043)),2)="SL",UPPER(TRIM(Sync!$AH1043)),""))</f>
        <v/>
      </c>
      <c r="G1043" t="str">
        <f>IF($F1043="","",IF(Sync!$AE1043="","",IF(ISNUMBER(Sync!$AE1043),IF(AND(Sync!$AE1043&gt;=10000101,Sync!$AE1043&lt;=99991231),INT(Sync!$AE1043/10000),""),IFERROR(VALUE(TRIM(LEFT(Sync!$AE1043,FIND("/",Sync!$AE1043)-1))),""))))</f>
        <v/>
      </c>
      <c r="H1043" t="str">
        <f>IF(OR($F1043="",$G1043=""),"",IF(ISNUMBER(Sync!$AE1043),INT(MOD(Sync!$AE1043,10000)/100),IFERROR(VALUE(TRIM(LEFT(MID(Sync!$AE1043,FIND("/",Sync!$AE1043)+1,20),FIND("/",MID(Sync!$AE1043,FIND("/",Sync!$AE1043)+1,20))-1))),"")))</f>
        <v/>
      </c>
      <c r="I1043" t="str">
        <f>IF(OR($F1043="",$G1043=""),"",IF(ISNUMBER(Sync!$AE1043),MOD(Sync!$AE1043,100),IFERROR(VALUE(TRIM(MID(MID(Sync!$AE1043,FIND("/",Sync!$AE1043)+1,20),FIND("/",MID(Sync!$AE1043,FIND("/",Sync!$AE1043)+1,20))+1,20))),"")))</f>
        <v/>
      </c>
      <c r="J1043" t="str">
        <f t="shared" si="82"/>
        <v/>
      </c>
      <c r="K1043" t="str">
        <f>IF(OR($F1043="",$J1043="",$J1043="نامعتبر"),"",LEFT($J1043,4)&amp;MID($J1043,6,2)&amp;RIGHT($J1043,2)&amp;$N1043&amp;"|"&amp;"2"&amp;RIGHT("00000"&amp;1038,5))</f>
        <v/>
      </c>
      <c r="L1043" t="str">
        <f t="shared" si="83"/>
        <v/>
      </c>
      <c r="M1043" t="str">
        <f t="shared" si="84"/>
        <v/>
      </c>
      <c r="N1043" t="str">
        <f>IF($F1043="","",IF(Sync!$AF1043="","0000",IF(AND(ISNUMBER(Sync!$AF1043),Sync!$AF1043&gt;=0,Sync!$AF1043&lt;1),RIGHT("00"&amp;HOUR(Sync!$AF1043),2)&amp;RIGHT("00"&amp;MINUTE(Sync!$AF1043),2),IFERROR(RIGHT("00"&amp;VALUE(LEFT(Sync!$AF1043,FIND(":",Sync!$AF1043)-1)),2)&amp;RIGHT("00"&amp;VALUE(MID(Sync!$AF1043,FIND(":",Sync!$AF1043)+1,2)),2),"0000"))))</f>
        <v/>
      </c>
    </row>
    <row r="1044" spans="1:14" x14ac:dyDescent="0.2">
      <c r="A1044" t="str">
        <f>IF(OR(Calc!$E1048="",Calc!$E1048="نامعتبر",Calc!$G1048=""),"",Calc!$G1048)</f>
        <v/>
      </c>
      <c r="B1044" t="str">
        <f>IF($A1044="","",LEFT(Calc!$E1048,4)&amp;MID(Calc!$E1048,6,2)&amp;RIGHT(Calc!$E1048,2)&amp;Calc!$Q1048&amp;"|"&amp;"1"&amp;RIGHT("00000"&amp;1039,5))</f>
        <v/>
      </c>
      <c r="C1044" t="str">
        <f t="shared" si="80"/>
        <v/>
      </c>
      <c r="D1044" t="str">
        <f t="shared" si="81"/>
        <v/>
      </c>
      <c r="F1044" t="str">
        <f>IF(Sync!$AH1044="","",IF(LEFT(UPPER(TRIM(Sync!$AH1044)),2)="SL",UPPER(TRIM(Sync!$AH1044)),""))</f>
        <v/>
      </c>
      <c r="G1044" t="str">
        <f>IF($F1044="","",IF(Sync!$AE1044="","",IF(ISNUMBER(Sync!$AE1044),IF(AND(Sync!$AE1044&gt;=10000101,Sync!$AE1044&lt;=99991231),INT(Sync!$AE1044/10000),""),IFERROR(VALUE(TRIM(LEFT(Sync!$AE1044,FIND("/",Sync!$AE1044)-1))),""))))</f>
        <v/>
      </c>
      <c r="H1044" t="str">
        <f>IF(OR($F1044="",$G1044=""),"",IF(ISNUMBER(Sync!$AE1044),INT(MOD(Sync!$AE1044,10000)/100),IFERROR(VALUE(TRIM(LEFT(MID(Sync!$AE1044,FIND("/",Sync!$AE1044)+1,20),FIND("/",MID(Sync!$AE1044,FIND("/",Sync!$AE1044)+1,20))-1))),"")))</f>
        <v/>
      </c>
      <c r="I1044" t="str">
        <f>IF(OR($F1044="",$G1044=""),"",IF(ISNUMBER(Sync!$AE1044),MOD(Sync!$AE1044,100),IFERROR(VALUE(TRIM(MID(MID(Sync!$AE1044,FIND("/",Sync!$AE1044)+1,20),FIND("/",MID(Sync!$AE1044,FIND("/",Sync!$AE1044)+1,20))+1,20))),"")))</f>
        <v/>
      </c>
      <c r="J1044" t="str">
        <f t="shared" si="82"/>
        <v/>
      </c>
      <c r="K1044" t="str">
        <f>IF(OR($F1044="",$J1044="",$J1044="نامعتبر"),"",LEFT($J1044,4)&amp;MID($J1044,6,2)&amp;RIGHT($J1044,2)&amp;$N1044&amp;"|"&amp;"2"&amp;RIGHT("00000"&amp;1039,5))</f>
        <v/>
      </c>
      <c r="L1044" t="str">
        <f t="shared" si="83"/>
        <v/>
      </c>
      <c r="M1044" t="str">
        <f t="shared" si="84"/>
        <v/>
      </c>
      <c r="N1044" t="str">
        <f>IF($F1044="","",IF(Sync!$AF1044="","0000",IF(AND(ISNUMBER(Sync!$AF1044),Sync!$AF1044&gt;=0,Sync!$AF1044&lt;1),RIGHT("00"&amp;HOUR(Sync!$AF1044),2)&amp;RIGHT("00"&amp;MINUTE(Sync!$AF1044),2),IFERROR(RIGHT("00"&amp;VALUE(LEFT(Sync!$AF1044,FIND(":",Sync!$AF1044)-1)),2)&amp;RIGHT("00"&amp;VALUE(MID(Sync!$AF1044,FIND(":",Sync!$AF1044)+1,2)),2),"0000"))))</f>
        <v/>
      </c>
    </row>
    <row r="1045" spans="1:14" x14ac:dyDescent="0.2">
      <c r="A1045" t="str">
        <f>IF(OR(Calc!$E1049="",Calc!$E1049="نامعتبر",Calc!$G1049=""),"",Calc!$G1049)</f>
        <v/>
      </c>
      <c r="B1045" t="str">
        <f>IF($A1045="","",LEFT(Calc!$E1049,4)&amp;MID(Calc!$E1049,6,2)&amp;RIGHT(Calc!$E1049,2)&amp;Calc!$Q1049&amp;"|"&amp;"1"&amp;RIGHT("00000"&amp;1040,5))</f>
        <v/>
      </c>
      <c r="C1045" t="str">
        <f t="shared" si="80"/>
        <v/>
      </c>
      <c r="D1045" t="str">
        <f t="shared" si="81"/>
        <v/>
      </c>
      <c r="F1045" t="str">
        <f>IF(Sync!$AH1045="","",IF(LEFT(UPPER(TRIM(Sync!$AH1045)),2)="SL",UPPER(TRIM(Sync!$AH1045)),""))</f>
        <v/>
      </c>
      <c r="G1045" t="str">
        <f>IF($F1045="","",IF(Sync!$AE1045="","",IF(ISNUMBER(Sync!$AE1045),IF(AND(Sync!$AE1045&gt;=10000101,Sync!$AE1045&lt;=99991231),INT(Sync!$AE1045/10000),""),IFERROR(VALUE(TRIM(LEFT(Sync!$AE1045,FIND("/",Sync!$AE1045)-1))),""))))</f>
        <v/>
      </c>
      <c r="H1045" t="str">
        <f>IF(OR($F1045="",$G1045=""),"",IF(ISNUMBER(Sync!$AE1045),INT(MOD(Sync!$AE1045,10000)/100),IFERROR(VALUE(TRIM(LEFT(MID(Sync!$AE1045,FIND("/",Sync!$AE1045)+1,20),FIND("/",MID(Sync!$AE1045,FIND("/",Sync!$AE1045)+1,20))-1))),"")))</f>
        <v/>
      </c>
      <c r="I1045" t="str">
        <f>IF(OR($F1045="",$G1045=""),"",IF(ISNUMBER(Sync!$AE1045),MOD(Sync!$AE1045,100),IFERROR(VALUE(TRIM(MID(MID(Sync!$AE1045,FIND("/",Sync!$AE1045)+1,20),FIND("/",MID(Sync!$AE1045,FIND("/",Sync!$AE1045)+1,20))+1,20))),"")))</f>
        <v/>
      </c>
      <c r="J1045" t="str">
        <f t="shared" si="82"/>
        <v/>
      </c>
      <c r="K1045" t="str">
        <f>IF(OR($F1045="",$J1045="",$J1045="نامعتبر"),"",LEFT($J1045,4)&amp;MID($J1045,6,2)&amp;RIGHT($J1045,2)&amp;$N1045&amp;"|"&amp;"2"&amp;RIGHT("00000"&amp;1040,5))</f>
        <v/>
      </c>
      <c r="L1045" t="str">
        <f t="shared" si="83"/>
        <v/>
      </c>
      <c r="M1045" t="str">
        <f t="shared" si="84"/>
        <v/>
      </c>
      <c r="N1045" t="str">
        <f>IF($F1045="","",IF(Sync!$AF1045="","0000",IF(AND(ISNUMBER(Sync!$AF1045),Sync!$AF1045&gt;=0,Sync!$AF1045&lt;1),RIGHT("00"&amp;HOUR(Sync!$AF1045),2)&amp;RIGHT("00"&amp;MINUTE(Sync!$AF1045),2),IFERROR(RIGHT("00"&amp;VALUE(LEFT(Sync!$AF1045,FIND(":",Sync!$AF1045)-1)),2)&amp;RIGHT("00"&amp;VALUE(MID(Sync!$AF1045,FIND(":",Sync!$AF1045)+1,2)),2),"0000"))))</f>
        <v/>
      </c>
    </row>
    <row r="1046" spans="1:14" x14ac:dyDescent="0.2">
      <c r="A1046" t="str">
        <f>IF(OR(Calc!$E1050="",Calc!$E1050="نامعتبر",Calc!$G1050=""),"",Calc!$G1050)</f>
        <v/>
      </c>
      <c r="B1046" t="str">
        <f>IF($A1046="","",LEFT(Calc!$E1050,4)&amp;MID(Calc!$E1050,6,2)&amp;RIGHT(Calc!$E1050,2)&amp;Calc!$Q1050&amp;"|"&amp;"1"&amp;RIGHT("00000"&amp;1041,5))</f>
        <v/>
      </c>
      <c r="C1046" t="str">
        <f t="shared" si="80"/>
        <v/>
      </c>
      <c r="D1046" t="str">
        <f t="shared" si="81"/>
        <v/>
      </c>
      <c r="F1046" t="str">
        <f>IF(Sync!$AH1046="","",IF(LEFT(UPPER(TRIM(Sync!$AH1046)),2)="SL",UPPER(TRIM(Sync!$AH1046)),""))</f>
        <v/>
      </c>
      <c r="G1046" t="str">
        <f>IF($F1046="","",IF(Sync!$AE1046="","",IF(ISNUMBER(Sync!$AE1046),IF(AND(Sync!$AE1046&gt;=10000101,Sync!$AE1046&lt;=99991231),INT(Sync!$AE1046/10000),""),IFERROR(VALUE(TRIM(LEFT(Sync!$AE1046,FIND("/",Sync!$AE1046)-1))),""))))</f>
        <v/>
      </c>
      <c r="H1046" t="str">
        <f>IF(OR($F1046="",$G1046=""),"",IF(ISNUMBER(Sync!$AE1046),INT(MOD(Sync!$AE1046,10000)/100),IFERROR(VALUE(TRIM(LEFT(MID(Sync!$AE1046,FIND("/",Sync!$AE1046)+1,20),FIND("/",MID(Sync!$AE1046,FIND("/",Sync!$AE1046)+1,20))-1))),"")))</f>
        <v/>
      </c>
      <c r="I1046" t="str">
        <f>IF(OR($F1046="",$G1046=""),"",IF(ISNUMBER(Sync!$AE1046),MOD(Sync!$AE1046,100),IFERROR(VALUE(TRIM(MID(MID(Sync!$AE1046,FIND("/",Sync!$AE1046)+1,20),FIND("/",MID(Sync!$AE1046,FIND("/",Sync!$AE1046)+1,20))+1,20))),"")))</f>
        <v/>
      </c>
      <c r="J1046" t="str">
        <f t="shared" si="82"/>
        <v/>
      </c>
      <c r="K1046" t="str">
        <f>IF(OR($F1046="",$J1046="",$J1046="نامعتبر"),"",LEFT($J1046,4)&amp;MID($J1046,6,2)&amp;RIGHT($J1046,2)&amp;$N1046&amp;"|"&amp;"2"&amp;RIGHT("00000"&amp;1041,5))</f>
        <v/>
      </c>
      <c r="L1046" t="str">
        <f t="shared" si="83"/>
        <v/>
      </c>
      <c r="M1046" t="str">
        <f t="shared" si="84"/>
        <v/>
      </c>
      <c r="N1046" t="str">
        <f>IF($F1046="","",IF(Sync!$AF1046="","0000",IF(AND(ISNUMBER(Sync!$AF1046),Sync!$AF1046&gt;=0,Sync!$AF1046&lt;1),RIGHT("00"&amp;HOUR(Sync!$AF1046),2)&amp;RIGHT("00"&amp;MINUTE(Sync!$AF1046),2),IFERROR(RIGHT("00"&amp;VALUE(LEFT(Sync!$AF1046,FIND(":",Sync!$AF1046)-1)),2)&amp;RIGHT("00"&amp;VALUE(MID(Sync!$AF1046,FIND(":",Sync!$AF1046)+1,2)),2),"0000"))))</f>
        <v/>
      </c>
    </row>
    <row r="1047" spans="1:14" x14ac:dyDescent="0.2">
      <c r="A1047" t="str">
        <f>IF(OR(Calc!$E1051="",Calc!$E1051="نامعتبر",Calc!$G1051=""),"",Calc!$G1051)</f>
        <v/>
      </c>
      <c r="B1047" t="str">
        <f>IF($A1047="","",LEFT(Calc!$E1051,4)&amp;MID(Calc!$E1051,6,2)&amp;RIGHT(Calc!$E1051,2)&amp;Calc!$Q1051&amp;"|"&amp;"1"&amp;RIGHT("00000"&amp;1042,5))</f>
        <v/>
      </c>
      <c r="C1047" t="str">
        <f t="shared" si="80"/>
        <v/>
      </c>
      <c r="D1047" t="str">
        <f t="shared" si="81"/>
        <v/>
      </c>
      <c r="F1047" t="str">
        <f>IF(Sync!$AH1047="","",IF(LEFT(UPPER(TRIM(Sync!$AH1047)),2)="SL",UPPER(TRIM(Sync!$AH1047)),""))</f>
        <v/>
      </c>
      <c r="G1047" t="str">
        <f>IF($F1047="","",IF(Sync!$AE1047="","",IF(ISNUMBER(Sync!$AE1047),IF(AND(Sync!$AE1047&gt;=10000101,Sync!$AE1047&lt;=99991231),INT(Sync!$AE1047/10000),""),IFERROR(VALUE(TRIM(LEFT(Sync!$AE1047,FIND("/",Sync!$AE1047)-1))),""))))</f>
        <v/>
      </c>
      <c r="H1047" t="str">
        <f>IF(OR($F1047="",$G1047=""),"",IF(ISNUMBER(Sync!$AE1047),INT(MOD(Sync!$AE1047,10000)/100),IFERROR(VALUE(TRIM(LEFT(MID(Sync!$AE1047,FIND("/",Sync!$AE1047)+1,20),FIND("/",MID(Sync!$AE1047,FIND("/",Sync!$AE1047)+1,20))-1))),"")))</f>
        <v/>
      </c>
      <c r="I1047" t="str">
        <f>IF(OR($F1047="",$G1047=""),"",IF(ISNUMBER(Sync!$AE1047),MOD(Sync!$AE1047,100),IFERROR(VALUE(TRIM(MID(MID(Sync!$AE1047,FIND("/",Sync!$AE1047)+1,20),FIND("/",MID(Sync!$AE1047,FIND("/",Sync!$AE1047)+1,20))+1,20))),"")))</f>
        <v/>
      </c>
      <c r="J1047" t="str">
        <f t="shared" si="82"/>
        <v/>
      </c>
      <c r="K1047" t="str">
        <f>IF(OR($F1047="",$J1047="",$J1047="نامعتبر"),"",LEFT($J1047,4)&amp;MID($J1047,6,2)&amp;RIGHT($J1047,2)&amp;$N1047&amp;"|"&amp;"2"&amp;RIGHT("00000"&amp;1042,5))</f>
        <v/>
      </c>
      <c r="L1047" t="str">
        <f t="shared" si="83"/>
        <v/>
      </c>
      <c r="M1047" t="str">
        <f t="shared" si="84"/>
        <v/>
      </c>
      <c r="N1047" t="str">
        <f>IF($F1047="","",IF(Sync!$AF1047="","0000",IF(AND(ISNUMBER(Sync!$AF1047),Sync!$AF1047&gt;=0,Sync!$AF1047&lt;1),RIGHT("00"&amp;HOUR(Sync!$AF1047),2)&amp;RIGHT("00"&amp;MINUTE(Sync!$AF1047),2),IFERROR(RIGHT("00"&amp;VALUE(LEFT(Sync!$AF1047,FIND(":",Sync!$AF1047)-1)),2)&amp;RIGHT("00"&amp;VALUE(MID(Sync!$AF1047,FIND(":",Sync!$AF1047)+1,2)),2),"0000"))))</f>
        <v/>
      </c>
    </row>
    <row r="1048" spans="1:14" x14ac:dyDescent="0.2">
      <c r="A1048" t="str">
        <f>IF(OR(Calc!$E1052="",Calc!$E1052="نامعتبر",Calc!$G1052=""),"",Calc!$G1052)</f>
        <v/>
      </c>
      <c r="B1048" t="str">
        <f>IF($A1048="","",LEFT(Calc!$E1052,4)&amp;MID(Calc!$E1052,6,2)&amp;RIGHT(Calc!$E1052,2)&amp;Calc!$Q1052&amp;"|"&amp;"1"&amp;RIGHT("00000"&amp;1043,5))</f>
        <v/>
      </c>
      <c r="C1048" t="str">
        <f t="shared" si="80"/>
        <v/>
      </c>
      <c r="D1048" t="str">
        <f t="shared" si="81"/>
        <v/>
      </c>
      <c r="F1048" t="str">
        <f>IF(Sync!$AH1048="","",IF(LEFT(UPPER(TRIM(Sync!$AH1048)),2)="SL",UPPER(TRIM(Sync!$AH1048)),""))</f>
        <v/>
      </c>
      <c r="G1048" t="str">
        <f>IF($F1048="","",IF(Sync!$AE1048="","",IF(ISNUMBER(Sync!$AE1048),IF(AND(Sync!$AE1048&gt;=10000101,Sync!$AE1048&lt;=99991231),INT(Sync!$AE1048/10000),""),IFERROR(VALUE(TRIM(LEFT(Sync!$AE1048,FIND("/",Sync!$AE1048)-1))),""))))</f>
        <v/>
      </c>
      <c r="H1048" t="str">
        <f>IF(OR($F1048="",$G1048=""),"",IF(ISNUMBER(Sync!$AE1048),INT(MOD(Sync!$AE1048,10000)/100),IFERROR(VALUE(TRIM(LEFT(MID(Sync!$AE1048,FIND("/",Sync!$AE1048)+1,20),FIND("/",MID(Sync!$AE1048,FIND("/",Sync!$AE1048)+1,20))-1))),"")))</f>
        <v/>
      </c>
      <c r="I1048" t="str">
        <f>IF(OR($F1048="",$G1048=""),"",IF(ISNUMBER(Sync!$AE1048),MOD(Sync!$AE1048,100),IFERROR(VALUE(TRIM(MID(MID(Sync!$AE1048,FIND("/",Sync!$AE1048)+1,20),FIND("/",MID(Sync!$AE1048,FIND("/",Sync!$AE1048)+1,20))+1,20))),"")))</f>
        <v/>
      </c>
      <c r="J1048" t="str">
        <f t="shared" si="82"/>
        <v/>
      </c>
      <c r="K1048" t="str">
        <f>IF(OR($F1048="",$J1048="",$J1048="نامعتبر"),"",LEFT($J1048,4)&amp;MID($J1048,6,2)&amp;RIGHT($J1048,2)&amp;$N1048&amp;"|"&amp;"2"&amp;RIGHT("00000"&amp;1043,5))</f>
        <v/>
      </c>
      <c r="L1048" t="str">
        <f t="shared" si="83"/>
        <v/>
      </c>
      <c r="M1048" t="str">
        <f t="shared" si="84"/>
        <v/>
      </c>
      <c r="N1048" t="str">
        <f>IF($F1048="","",IF(Sync!$AF1048="","0000",IF(AND(ISNUMBER(Sync!$AF1048),Sync!$AF1048&gt;=0,Sync!$AF1048&lt;1),RIGHT("00"&amp;HOUR(Sync!$AF1048),2)&amp;RIGHT("00"&amp;MINUTE(Sync!$AF1048),2),IFERROR(RIGHT("00"&amp;VALUE(LEFT(Sync!$AF1048,FIND(":",Sync!$AF1048)-1)),2)&amp;RIGHT("00"&amp;VALUE(MID(Sync!$AF1048,FIND(":",Sync!$AF1048)+1,2)),2),"0000"))))</f>
        <v/>
      </c>
    </row>
    <row r="1049" spans="1:14" x14ac:dyDescent="0.2">
      <c r="A1049" t="str">
        <f>IF(OR(Calc!$E1053="",Calc!$E1053="نامعتبر",Calc!$G1053=""),"",Calc!$G1053)</f>
        <v/>
      </c>
      <c r="B1049" t="str">
        <f>IF($A1049="","",LEFT(Calc!$E1053,4)&amp;MID(Calc!$E1053,6,2)&amp;RIGHT(Calc!$E1053,2)&amp;Calc!$Q1053&amp;"|"&amp;"1"&amp;RIGHT("00000"&amp;1044,5))</f>
        <v/>
      </c>
      <c r="C1049" t="str">
        <f t="shared" si="80"/>
        <v/>
      </c>
      <c r="D1049" t="str">
        <f t="shared" si="81"/>
        <v/>
      </c>
      <c r="F1049" t="str">
        <f>IF(Sync!$AH1049="","",IF(LEFT(UPPER(TRIM(Sync!$AH1049)),2)="SL",UPPER(TRIM(Sync!$AH1049)),""))</f>
        <v/>
      </c>
      <c r="G1049" t="str">
        <f>IF($F1049="","",IF(Sync!$AE1049="","",IF(ISNUMBER(Sync!$AE1049),IF(AND(Sync!$AE1049&gt;=10000101,Sync!$AE1049&lt;=99991231),INT(Sync!$AE1049/10000),""),IFERROR(VALUE(TRIM(LEFT(Sync!$AE1049,FIND("/",Sync!$AE1049)-1))),""))))</f>
        <v/>
      </c>
      <c r="H1049" t="str">
        <f>IF(OR($F1049="",$G1049=""),"",IF(ISNUMBER(Sync!$AE1049),INT(MOD(Sync!$AE1049,10000)/100),IFERROR(VALUE(TRIM(LEFT(MID(Sync!$AE1049,FIND("/",Sync!$AE1049)+1,20),FIND("/",MID(Sync!$AE1049,FIND("/",Sync!$AE1049)+1,20))-1))),"")))</f>
        <v/>
      </c>
      <c r="I1049" t="str">
        <f>IF(OR($F1049="",$G1049=""),"",IF(ISNUMBER(Sync!$AE1049),MOD(Sync!$AE1049,100),IFERROR(VALUE(TRIM(MID(MID(Sync!$AE1049,FIND("/",Sync!$AE1049)+1,20),FIND("/",MID(Sync!$AE1049,FIND("/",Sync!$AE1049)+1,20))+1,20))),"")))</f>
        <v/>
      </c>
      <c r="J1049" t="str">
        <f t="shared" si="82"/>
        <v/>
      </c>
      <c r="K1049" t="str">
        <f>IF(OR($F1049="",$J1049="",$J1049="نامعتبر"),"",LEFT($J1049,4)&amp;MID($J1049,6,2)&amp;RIGHT($J1049,2)&amp;$N1049&amp;"|"&amp;"2"&amp;RIGHT("00000"&amp;1044,5))</f>
        <v/>
      </c>
      <c r="L1049" t="str">
        <f t="shared" si="83"/>
        <v/>
      </c>
      <c r="M1049" t="str">
        <f t="shared" si="84"/>
        <v/>
      </c>
      <c r="N1049" t="str">
        <f>IF($F1049="","",IF(Sync!$AF1049="","0000",IF(AND(ISNUMBER(Sync!$AF1049),Sync!$AF1049&gt;=0,Sync!$AF1049&lt;1),RIGHT("00"&amp;HOUR(Sync!$AF1049),2)&amp;RIGHT("00"&amp;MINUTE(Sync!$AF1049),2),IFERROR(RIGHT("00"&amp;VALUE(LEFT(Sync!$AF1049,FIND(":",Sync!$AF1049)-1)),2)&amp;RIGHT("00"&amp;VALUE(MID(Sync!$AF1049,FIND(":",Sync!$AF1049)+1,2)),2),"0000"))))</f>
        <v/>
      </c>
    </row>
    <row r="1050" spans="1:14" x14ac:dyDescent="0.2">
      <c r="A1050" t="str">
        <f>IF(OR(Calc!$E1054="",Calc!$E1054="نامعتبر",Calc!$G1054=""),"",Calc!$G1054)</f>
        <v/>
      </c>
      <c r="B1050" t="str">
        <f>IF($A1050="","",LEFT(Calc!$E1054,4)&amp;MID(Calc!$E1054,6,2)&amp;RIGHT(Calc!$E1054,2)&amp;Calc!$Q1054&amp;"|"&amp;"1"&amp;RIGHT("00000"&amp;1045,5))</f>
        <v/>
      </c>
      <c r="C1050" t="str">
        <f t="shared" si="80"/>
        <v/>
      </c>
      <c r="D1050" t="str">
        <f t="shared" si="81"/>
        <v/>
      </c>
      <c r="F1050" t="str">
        <f>IF(Sync!$AH1050="","",IF(LEFT(UPPER(TRIM(Sync!$AH1050)),2)="SL",UPPER(TRIM(Sync!$AH1050)),""))</f>
        <v/>
      </c>
      <c r="G1050" t="str">
        <f>IF($F1050="","",IF(Sync!$AE1050="","",IF(ISNUMBER(Sync!$AE1050),IF(AND(Sync!$AE1050&gt;=10000101,Sync!$AE1050&lt;=99991231),INT(Sync!$AE1050/10000),""),IFERROR(VALUE(TRIM(LEFT(Sync!$AE1050,FIND("/",Sync!$AE1050)-1))),""))))</f>
        <v/>
      </c>
      <c r="H1050" t="str">
        <f>IF(OR($F1050="",$G1050=""),"",IF(ISNUMBER(Sync!$AE1050),INT(MOD(Sync!$AE1050,10000)/100),IFERROR(VALUE(TRIM(LEFT(MID(Sync!$AE1050,FIND("/",Sync!$AE1050)+1,20),FIND("/",MID(Sync!$AE1050,FIND("/",Sync!$AE1050)+1,20))-1))),"")))</f>
        <v/>
      </c>
      <c r="I1050" t="str">
        <f>IF(OR($F1050="",$G1050=""),"",IF(ISNUMBER(Sync!$AE1050),MOD(Sync!$AE1050,100),IFERROR(VALUE(TRIM(MID(MID(Sync!$AE1050,FIND("/",Sync!$AE1050)+1,20),FIND("/",MID(Sync!$AE1050,FIND("/",Sync!$AE1050)+1,20))+1,20))),"")))</f>
        <v/>
      </c>
      <c r="J1050" t="str">
        <f t="shared" si="82"/>
        <v/>
      </c>
      <c r="K1050" t="str">
        <f>IF(OR($F1050="",$J1050="",$J1050="نامعتبر"),"",LEFT($J1050,4)&amp;MID($J1050,6,2)&amp;RIGHT($J1050,2)&amp;$N1050&amp;"|"&amp;"2"&amp;RIGHT("00000"&amp;1045,5))</f>
        <v/>
      </c>
      <c r="L1050" t="str">
        <f t="shared" si="83"/>
        <v/>
      </c>
      <c r="M1050" t="str">
        <f t="shared" si="84"/>
        <v/>
      </c>
      <c r="N1050" t="str">
        <f>IF($F1050="","",IF(Sync!$AF1050="","0000",IF(AND(ISNUMBER(Sync!$AF1050),Sync!$AF1050&gt;=0,Sync!$AF1050&lt;1),RIGHT("00"&amp;HOUR(Sync!$AF1050),2)&amp;RIGHT("00"&amp;MINUTE(Sync!$AF1050),2),IFERROR(RIGHT("00"&amp;VALUE(LEFT(Sync!$AF1050,FIND(":",Sync!$AF1050)-1)),2)&amp;RIGHT("00"&amp;VALUE(MID(Sync!$AF1050,FIND(":",Sync!$AF1050)+1,2)),2),"0000"))))</f>
        <v/>
      </c>
    </row>
    <row r="1051" spans="1:14" x14ac:dyDescent="0.2">
      <c r="A1051" t="str">
        <f>IF(OR(Calc!$E1055="",Calc!$E1055="نامعتبر",Calc!$G1055=""),"",Calc!$G1055)</f>
        <v/>
      </c>
      <c r="B1051" t="str">
        <f>IF($A1051="","",LEFT(Calc!$E1055,4)&amp;MID(Calc!$E1055,6,2)&amp;RIGHT(Calc!$E1055,2)&amp;Calc!$Q1055&amp;"|"&amp;"1"&amp;RIGHT("00000"&amp;1046,5))</f>
        <v/>
      </c>
      <c r="C1051" t="str">
        <f t="shared" si="80"/>
        <v/>
      </c>
      <c r="D1051" t="str">
        <f t="shared" si="81"/>
        <v/>
      </c>
      <c r="F1051" t="str">
        <f>IF(Sync!$AH1051="","",IF(LEFT(UPPER(TRIM(Sync!$AH1051)),2)="SL",UPPER(TRIM(Sync!$AH1051)),""))</f>
        <v/>
      </c>
      <c r="G1051" t="str">
        <f>IF($F1051="","",IF(Sync!$AE1051="","",IF(ISNUMBER(Sync!$AE1051),IF(AND(Sync!$AE1051&gt;=10000101,Sync!$AE1051&lt;=99991231),INT(Sync!$AE1051/10000),""),IFERROR(VALUE(TRIM(LEFT(Sync!$AE1051,FIND("/",Sync!$AE1051)-1))),""))))</f>
        <v/>
      </c>
      <c r="H1051" t="str">
        <f>IF(OR($F1051="",$G1051=""),"",IF(ISNUMBER(Sync!$AE1051),INT(MOD(Sync!$AE1051,10000)/100),IFERROR(VALUE(TRIM(LEFT(MID(Sync!$AE1051,FIND("/",Sync!$AE1051)+1,20),FIND("/",MID(Sync!$AE1051,FIND("/",Sync!$AE1051)+1,20))-1))),"")))</f>
        <v/>
      </c>
      <c r="I1051" t="str">
        <f>IF(OR($F1051="",$G1051=""),"",IF(ISNUMBER(Sync!$AE1051),MOD(Sync!$AE1051,100),IFERROR(VALUE(TRIM(MID(MID(Sync!$AE1051,FIND("/",Sync!$AE1051)+1,20),FIND("/",MID(Sync!$AE1051,FIND("/",Sync!$AE1051)+1,20))+1,20))),"")))</f>
        <v/>
      </c>
      <c r="J1051" t="str">
        <f t="shared" si="82"/>
        <v/>
      </c>
      <c r="K1051" t="str">
        <f>IF(OR($F1051="",$J1051="",$J1051="نامعتبر"),"",LEFT($J1051,4)&amp;MID($J1051,6,2)&amp;RIGHT($J1051,2)&amp;$N1051&amp;"|"&amp;"2"&amp;RIGHT("00000"&amp;1046,5))</f>
        <v/>
      </c>
      <c r="L1051" t="str">
        <f t="shared" si="83"/>
        <v/>
      </c>
      <c r="M1051" t="str">
        <f t="shared" si="84"/>
        <v/>
      </c>
      <c r="N1051" t="str">
        <f>IF($F1051="","",IF(Sync!$AF1051="","0000",IF(AND(ISNUMBER(Sync!$AF1051),Sync!$AF1051&gt;=0,Sync!$AF1051&lt;1),RIGHT("00"&amp;HOUR(Sync!$AF1051),2)&amp;RIGHT("00"&amp;MINUTE(Sync!$AF1051),2),IFERROR(RIGHT("00"&amp;VALUE(LEFT(Sync!$AF1051,FIND(":",Sync!$AF1051)-1)),2)&amp;RIGHT("00"&amp;VALUE(MID(Sync!$AF1051,FIND(":",Sync!$AF1051)+1,2)),2),"0000"))))</f>
        <v/>
      </c>
    </row>
    <row r="1052" spans="1:14" x14ac:dyDescent="0.2">
      <c r="A1052" t="str">
        <f>IF(OR(Calc!$E1056="",Calc!$E1056="نامعتبر",Calc!$G1056=""),"",Calc!$G1056)</f>
        <v/>
      </c>
      <c r="B1052" t="str">
        <f>IF($A1052="","",LEFT(Calc!$E1056,4)&amp;MID(Calc!$E1056,6,2)&amp;RIGHT(Calc!$E1056,2)&amp;Calc!$Q1056&amp;"|"&amp;"1"&amp;RIGHT("00000"&amp;1047,5))</f>
        <v/>
      </c>
      <c r="C1052" t="str">
        <f t="shared" si="80"/>
        <v/>
      </c>
      <c r="D1052" t="str">
        <f t="shared" si="81"/>
        <v/>
      </c>
      <c r="F1052" t="str">
        <f>IF(Sync!$AH1052="","",IF(LEFT(UPPER(TRIM(Sync!$AH1052)),2)="SL",UPPER(TRIM(Sync!$AH1052)),""))</f>
        <v/>
      </c>
      <c r="G1052" t="str">
        <f>IF($F1052="","",IF(Sync!$AE1052="","",IF(ISNUMBER(Sync!$AE1052),IF(AND(Sync!$AE1052&gt;=10000101,Sync!$AE1052&lt;=99991231),INT(Sync!$AE1052/10000),""),IFERROR(VALUE(TRIM(LEFT(Sync!$AE1052,FIND("/",Sync!$AE1052)-1))),""))))</f>
        <v/>
      </c>
      <c r="H1052" t="str">
        <f>IF(OR($F1052="",$G1052=""),"",IF(ISNUMBER(Sync!$AE1052),INT(MOD(Sync!$AE1052,10000)/100),IFERROR(VALUE(TRIM(LEFT(MID(Sync!$AE1052,FIND("/",Sync!$AE1052)+1,20),FIND("/",MID(Sync!$AE1052,FIND("/",Sync!$AE1052)+1,20))-1))),"")))</f>
        <v/>
      </c>
      <c r="I1052" t="str">
        <f>IF(OR($F1052="",$G1052=""),"",IF(ISNUMBER(Sync!$AE1052),MOD(Sync!$AE1052,100),IFERROR(VALUE(TRIM(MID(MID(Sync!$AE1052,FIND("/",Sync!$AE1052)+1,20),FIND("/",MID(Sync!$AE1052,FIND("/",Sync!$AE1052)+1,20))+1,20))),"")))</f>
        <v/>
      </c>
      <c r="J1052" t="str">
        <f t="shared" si="82"/>
        <v/>
      </c>
      <c r="K1052" t="str">
        <f>IF(OR($F1052="",$J1052="",$J1052="نامعتبر"),"",LEFT($J1052,4)&amp;MID($J1052,6,2)&amp;RIGHT($J1052,2)&amp;$N1052&amp;"|"&amp;"2"&amp;RIGHT("00000"&amp;1047,5))</f>
        <v/>
      </c>
      <c r="L1052" t="str">
        <f t="shared" si="83"/>
        <v/>
      </c>
      <c r="M1052" t="str">
        <f t="shared" si="84"/>
        <v/>
      </c>
      <c r="N1052" t="str">
        <f>IF($F1052="","",IF(Sync!$AF1052="","0000",IF(AND(ISNUMBER(Sync!$AF1052),Sync!$AF1052&gt;=0,Sync!$AF1052&lt;1),RIGHT("00"&amp;HOUR(Sync!$AF1052),2)&amp;RIGHT("00"&amp;MINUTE(Sync!$AF1052),2),IFERROR(RIGHT("00"&amp;VALUE(LEFT(Sync!$AF1052,FIND(":",Sync!$AF1052)-1)),2)&amp;RIGHT("00"&amp;VALUE(MID(Sync!$AF1052,FIND(":",Sync!$AF1052)+1,2)),2),"0000"))))</f>
        <v/>
      </c>
    </row>
    <row r="1053" spans="1:14" x14ac:dyDescent="0.2">
      <c r="A1053" t="str">
        <f>IF(OR(Calc!$E1057="",Calc!$E1057="نامعتبر",Calc!$G1057=""),"",Calc!$G1057)</f>
        <v/>
      </c>
      <c r="B1053" t="str">
        <f>IF($A1053="","",LEFT(Calc!$E1057,4)&amp;MID(Calc!$E1057,6,2)&amp;RIGHT(Calc!$E1057,2)&amp;Calc!$Q1057&amp;"|"&amp;"1"&amp;RIGHT("00000"&amp;1048,5))</f>
        <v/>
      </c>
      <c r="C1053" t="str">
        <f t="shared" si="80"/>
        <v/>
      </c>
      <c r="D1053" t="str">
        <f t="shared" si="81"/>
        <v/>
      </c>
      <c r="F1053" t="str">
        <f>IF(Sync!$AH1053="","",IF(LEFT(UPPER(TRIM(Sync!$AH1053)),2)="SL",UPPER(TRIM(Sync!$AH1053)),""))</f>
        <v/>
      </c>
      <c r="G1053" t="str">
        <f>IF($F1053="","",IF(Sync!$AE1053="","",IF(ISNUMBER(Sync!$AE1053),IF(AND(Sync!$AE1053&gt;=10000101,Sync!$AE1053&lt;=99991231),INT(Sync!$AE1053/10000),""),IFERROR(VALUE(TRIM(LEFT(Sync!$AE1053,FIND("/",Sync!$AE1053)-1))),""))))</f>
        <v/>
      </c>
      <c r="H1053" t="str">
        <f>IF(OR($F1053="",$G1053=""),"",IF(ISNUMBER(Sync!$AE1053),INT(MOD(Sync!$AE1053,10000)/100),IFERROR(VALUE(TRIM(LEFT(MID(Sync!$AE1053,FIND("/",Sync!$AE1053)+1,20),FIND("/",MID(Sync!$AE1053,FIND("/",Sync!$AE1053)+1,20))-1))),"")))</f>
        <v/>
      </c>
      <c r="I1053" t="str">
        <f>IF(OR($F1053="",$G1053=""),"",IF(ISNUMBER(Sync!$AE1053),MOD(Sync!$AE1053,100),IFERROR(VALUE(TRIM(MID(MID(Sync!$AE1053,FIND("/",Sync!$AE1053)+1,20),FIND("/",MID(Sync!$AE1053,FIND("/",Sync!$AE1053)+1,20))+1,20))),"")))</f>
        <v/>
      </c>
      <c r="J1053" t="str">
        <f t="shared" si="82"/>
        <v/>
      </c>
      <c r="K1053" t="str">
        <f>IF(OR($F1053="",$J1053="",$J1053="نامعتبر"),"",LEFT($J1053,4)&amp;MID($J1053,6,2)&amp;RIGHT($J1053,2)&amp;$N1053&amp;"|"&amp;"2"&amp;RIGHT("00000"&amp;1048,5))</f>
        <v/>
      </c>
      <c r="L1053" t="str">
        <f t="shared" si="83"/>
        <v/>
      </c>
      <c r="M1053" t="str">
        <f t="shared" si="84"/>
        <v/>
      </c>
      <c r="N1053" t="str">
        <f>IF($F1053="","",IF(Sync!$AF1053="","0000",IF(AND(ISNUMBER(Sync!$AF1053),Sync!$AF1053&gt;=0,Sync!$AF1053&lt;1),RIGHT("00"&amp;HOUR(Sync!$AF1053),2)&amp;RIGHT("00"&amp;MINUTE(Sync!$AF1053),2),IFERROR(RIGHT("00"&amp;VALUE(LEFT(Sync!$AF1053,FIND(":",Sync!$AF1053)-1)),2)&amp;RIGHT("00"&amp;VALUE(MID(Sync!$AF1053,FIND(":",Sync!$AF1053)+1,2)),2),"0000"))))</f>
        <v/>
      </c>
    </row>
    <row r="1054" spans="1:14" x14ac:dyDescent="0.2">
      <c r="A1054" t="str">
        <f>IF(OR(Calc!$E1058="",Calc!$E1058="نامعتبر",Calc!$G1058=""),"",Calc!$G1058)</f>
        <v/>
      </c>
      <c r="B1054" t="str">
        <f>IF($A1054="","",LEFT(Calc!$E1058,4)&amp;MID(Calc!$E1058,6,2)&amp;RIGHT(Calc!$E1058,2)&amp;Calc!$Q1058&amp;"|"&amp;"1"&amp;RIGHT("00000"&amp;1049,5))</f>
        <v/>
      </c>
      <c r="C1054" t="str">
        <f t="shared" si="80"/>
        <v/>
      </c>
      <c r="D1054" t="str">
        <f t="shared" si="81"/>
        <v/>
      </c>
      <c r="F1054" t="str">
        <f>IF(Sync!$AH1054="","",IF(LEFT(UPPER(TRIM(Sync!$AH1054)),2)="SL",UPPER(TRIM(Sync!$AH1054)),""))</f>
        <v/>
      </c>
      <c r="G1054" t="str">
        <f>IF($F1054="","",IF(Sync!$AE1054="","",IF(ISNUMBER(Sync!$AE1054),IF(AND(Sync!$AE1054&gt;=10000101,Sync!$AE1054&lt;=99991231),INT(Sync!$AE1054/10000),""),IFERROR(VALUE(TRIM(LEFT(Sync!$AE1054,FIND("/",Sync!$AE1054)-1))),""))))</f>
        <v/>
      </c>
      <c r="H1054" t="str">
        <f>IF(OR($F1054="",$G1054=""),"",IF(ISNUMBER(Sync!$AE1054),INT(MOD(Sync!$AE1054,10000)/100),IFERROR(VALUE(TRIM(LEFT(MID(Sync!$AE1054,FIND("/",Sync!$AE1054)+1,20),FIND("/",MID(Sync!$AE1054,FIND("/",Sync!$AE1054)+1,20))-1))),"")))</f>
        <v/>
      </c>
      <c r="I1054" t="str">
        <f>IF(OR($F1054="",$G1054=""),"",IF(ISNUMBER(Sync!$AE1054),MOD(Sync!$AE1054,100),IFERROR(VALUE(TRIM(MID(MID(Sync!$AE1054,FIND("/",Sync!$AE1054)+1,20),FIND("/",MID(Sync!$AE1054,FIND("/",Sync!$AE1054)+1,20))+1,20))),"")))</f>
        <v/>
      </c>
      <c r="J1054" t="str">
        <f t="shared" si="82"/>
        <v/>
      </c>
      <c r="K1054" t="str">
        <f>IF(OR($F1054="",$J1054="",$J1054="نامعتبر"),"",LEFT($J1054,4)&amp;MID($J1054,6,2)&amp;RIGHT($J1054,2)&amp;$N1054&amp;"|"&amp;"2"&amp;RIGHT("00000"&amp;1049,5))</f>
        <v/>
      </c>
      <c r="L1054" t="str">
        <f t="shared" si="83"/>
        <v/>
      </c>
      <c r="M1054" t="str">
        <f t="shared" si="84"/>
        <v/>
      </c>
      <c r="N1054" t="str">
        <f>IF($F1054="","",IF(Sync!$AF1054="","0000",IF(AND(ISNUMBER(Sync!$AF1054),Sync!$AF1054&gt;=0,Sync!$AF1054&lt;1),RIGHT("00"&amp;HOUR(Sync!$AF1054),2)&amp;RIGHT("00"&amp;MINUTE(Sync!$AF1054),2),IFERROR(RIGHT("00"&amp;VALUE(LEFT(Sync!$AF1054,FIND(":",Sync!$AF1054)-1)),2)&amp;RIGHT("00"&amp;VALUE(MID(Sync!$AF1054,FIND(":",Sync!$AF1054)+1,2)),2),"0000"))))</f>
        <v/>
      </c>
    </row>
    <row r="1055" spans="1:14" x14ac:dyDescent="0.2">
      <c r="A1055" t="str">
        <f>IF(OR(Calc!$E1059="",Calc!$E1059="نامعتبر",Calc!$G1059=""),"",Calc!$G1059)</f>
        <v/>
      </c>
      <c r="B1055" t="str">
        <f>IF($A1055="","",LEFT(Calc!$E1059,4)&amp;MID(Calc!$E1059,6,2)&amp;RIGHT(Calc!$E1059,2)&amp;Calc!$Q1059&amp;"|"&amp;"1"&amp;RIGHT("00000"&amp;1050,5))</f>
        <v/>
      </c>
      <c r="C1055" t="str">
        <f t="shared" si="80"/>
        <v/>
      </c>
      <c r="D1055" t="str">
        <f t="shared" si="81"/>
        <v/>
      </c>
      <c r="F1055" t="str">
        <f>IF(Sync!$AH1055="","",IF(LEFT(UPPER(TRIM(Sync!$AH1055)),2)="SL",UPPER(TRIM(Sync!$AH1055)),""))</f>
        <v/>
      </c>
      <c r="G1055" t="str">
        <f>IF($F1055="","",IF(Sync!$AE1055="","",IF(ISNUMBER(Sync!$AE1055),IF(AND(Sync!$AE1055&gt;=10000101,Sync!$AE1055&lt;=99991231),INT(Sync!$AE1055/10000),""),IFERROR(VALUE(TRIM(LEFT(Sync!$AE1055,FIND("/",Sync!$AE1055)-1))),""))))</f>
        <v/>
      </c>
      <c r="H1055" t="str">
        <f>IF(OR($F1055="",$G1055=""),"",IF(ISNUMBER(Sync!$AE1055),INT(MOD(Sync!$AE1055,10000)/100),IFERROR(VALUE(TRIM(LEFT(MID(Sync!$AE1055,FIND("/",Sync!$AE1055)+1,20),FIND("/",MID(Sync!$AE1055,FIND("/",Sync!$AE1055)+1,20))-1))),"")))</f>
        <v/>
      </c>
      <c r="I1055" t="str">
        <f>IF(OR($F1055="",$G1055=""),"",IF(ISNUMBER(Sync!$AE1055),MOD(Sync!$AE1055,100),IFERROR(VALUE(TRIM(MID(MID(Sync!$AE1055,FIND("/",Sync!$AE1055)+1,20),FIND("/",MID(Sync!$AE1055,FIND("/",Sync!$AE1055)+1,20))+1,20))),"")))</f>
        <v/>
      </c>
      <c r="J1055" t="str">
        <f t="shared" si="82"/>
        <v/>
      </c>
      <c r="K1055" t="str">
        <f>IF(OR($F1055="",$J1055="",$J1055="نامعتبر"),"",LEFT($J1055,4)&amp;MID($J1055,6,2)&amp;RIGHT($J1055,2)&amp;$N1055&amp;"|"&amp;"2"&amp;RIGHT("00000"&amp;1050,5))</f>
        <v/>
      </c>
      <c r="L1055" t="str">
        <f t="shared" si="83"/>
        <v/>
      </c>
      <c r="M1055" t="str">
        <f t="shared" si="84"/>
        <v/>
      </c>
      <c r="N1055" t="str">
        <f>IF($F1055="","",IF(Sync!$AF1055="","0000",IF(AND(ISNUMBER(Sync!$AF1055),Sync!$AF1055&gt;=0,Sync!$AF1055&lt;1),RIGHT("00"&amp;HOUR(Sync!$AF1055),2)&amp;RIGHT("00"&amp;MINUTE(Sync!$AF1055),2),IFERROR(RIGHT("00"&amp;VALUE(LEFT(Sync!$AF1055,FIND(":",Sync!$AF1055)-1)),2)&amp;RIGHT("00"&amp;VALUE(MID(Sync!$AF1055,FIND(":",Sync!$AF1055)+1,2)),2),"0000"))))</f>
        <v/>
      </c>
    </row>
    <row r="1056" spans="1:14" x14ac:dyDescent="0.2">
      <c r="A1056" t="str">
        <f>IF(OR(Calc!$E1060="",Calc!$E1060="نامعتبر",Calc!$G1060=""),"",Calc!$G1060)</f>
        <v/>
      </c>
      <c r="B1056" t="str">
        <f>IF($A1056="","",LEFT(Calc!$E1060,4)&amp;MID(Calc!$E1060,6,2)&amp;RIGHT(Calc!$E1060,2)&amp;Calc!$Q1060&amp;"|"&amp;"1"&amp;RIGHT("00000"&amp;1051,5))</f>
        <v/>
      </c>
      <c r="C1056" t="str">
        <f t="shared" si="80"/>
        <v/>
      </c>
      <c r="D1056" t="str">
        <f t="shared" si="81"/>
        <v/>
      </c>
      <c r="F1056" t="str">
        <f>IF(Sync!$AH1056="","",IF(LEFT(UPPER(TRIM(Sync!$AH1056)),2)="SL",UPPER(TRIM(Sync!$AH1056)),""))</f>
        <v/>
      </c>
      <c r="G1056" t="str">
        <f>IF($F1056="","",IF(Sync!$AE1056="","",IF(ISNUMBER(Sync!$AE1056),IF(AND(Sync!$AE1056&gt;=10000101,Sync!$AE1056&lt;=99991231),INT(Sync!$AE1056/10000),""),IFERROR(VALUE(TRIM(LEFT(Sync!$AE1056,FIND("/",Sync!$AE1056)-1))),""))))</f>
        <v/>
      </c>
      <c r="H1056" t="str">
        <f>IF(OR($F1056="",$G1056=""),"",IF(ISNUMBER(Sync!$AE1056),INT(MOD(Sync!$AE1056,10000)/100),IFERROR(VALUE(TRIM(LEFT(MID(Sync!$AE1056,FIND("/",Sync!$AE1056)+1,20),FIND("/",MID(Sync!$AE1056,FIND("/",Sync!$AE1056)+1,20))-1))),"")))</f>
        <v/>
      </c>
      <c r="I1056" t="str">
        <f>IF(OR($F1056="",$G1056=""),"",IF(ISNUMBER(Sync!$AE1056),MOD(Sync!$AE1056,100),IFERROR(VALUE(TRIM(MID(MID(Sync!$AE1056,FIND("/",Sync!$AE1056)+1,20),FIND("/",MID(Sync!$AE1056,FIND("/",Sync!$AE1056)+1,20))+1,20))),"")))</f>
        <v/>
      </c>
      <c r="J1056" t="str">
        <f t="shared" si="82"/>
        <v/>
      </c>
      <c r="K1056" t="str">
        <f>IF(OR($F1056="",$J1056="",$J1056="نامعتبر"),"",LEFT($J1056,4)&amp;MID($J1056,6,2)&amp;RIGHT($J1056,2)&amp;$N1056&amp;"|"&amp;"2"&amp;RIGHT("00000"&amp;1051,5))</f>
        <v/>
      </c>
      <c r="L1056" t="str">
        <f t="shared" si="83"/>
        <v/>
      </c>
      <c r="M1056" t="str">
        <f t="shared" si="84"/>
        <v/>
      </c>
      <c r="N1056" t="str">
        <f>IF($F1056="","",IF(Sync!$AF1056="","0000",IF(AND(ISNUMBER(Sync!$AF1056),Sync!$AF1056&gt;=0,Sync!$AF1056&lt;1),RIGHT("00"&amp;HOUR(Sync!$AF1056),2)&amp;RIGHT("00"&amp;MINUTE(Sync!$AF1056),2),IFERROR(RIGHT("00"&amp;VALUE(LEFT(Sync!$AF1056,FIND(":",Sync!$AF1056)-1)),2)&amp;RIGHT("00"&amp;VALUE(MID(Sync!$AF1056,FIND(":",Sync!$AF1056)+1,2)),2),"0000"))))</f>
        <v/>
      </c>
    </row>
    <row r="1057" spans="1:14" x14ac:dyDescent="0.2">
      <c r="A1057" t="str">
        <f>IF(OR(Calc!$E1061="",Calc!$E1061="نامعتبر",Calc!$G1061=""),"",Calc!$G1061)</f>
        <v/>
      </c>
      <c r="B1057" t="str">
        <f>IF($A1057="","",LEFT(Calc!$E1061,4)&amp;MID(Calc!$E1061,6,2)&amp;RIGHT(Calc!$E1061,2)&amp;Calc!$Q1061&amp;"|"&amp;"1"&amp;RIGHT("00000"&amp;1052,5))</f>
        <v/>
      </c>
      <c r="C1057" t="str">
        <f t="shared" si="80"/>
        <v/>
      </c>
      <c r="D1057" t="str">
        <f t="shared" si="81"/>
        <v/>
      </c>
      <c r="F1057" t="str">
        <f>IF(Sync!$AH1057="","",IF(LEFT(UPPER(TRIM(Sync!$AH1057)),2)="SL",UPPER(TRIM(Sync!$AH1057)),""))</f>
        <v/>
      </c>
      <c r="G1057" t="str">
        <f>IF($F1057="","",IF(Sync!$AE1057="","",IF(ISNUMBER(Sync!$AE1057),IF(AND(Sync!$AE1057&gt;=10000101,Sync!$AE1057&lt;=99991231),INT(Sync!$AE1057/10000),""),IFERROR(VALUE(TRIM(LEFT(Sync!$AE1057,FIND("/",Sync!$AE1057)-1))),""))))</f>
        <v/>
      </c>
      <c r="H1057" t="str">
        <f>IF(OR($F1057="",$G1057=""),"",IF(ISNUMBER(Sync!$AE1057),INT(MOD(Sync!$AE1057,10000)/100),IFERROR(VALUE(TRIM(LEFT(MID(Sync!$AE1057,FIND("/",Sync!$AE1057)+1,20),FIND("/",MID(Sync!$AE1057,FIND("/",Sync!$AE1057)+1,20))-1))),"")))</f>
        <v/>
      </c>
      <c r="I1057" t="str">
        <f>IF(OR($F1057="",$G1057=""),"",IF(ISNUMBER(Sync!$AE1057),MOD(Sync!$AE1057,100),IFERROR(VALUE(TRIM(MID(MID(Sync!$AE1057,FIND("/",Sync!$AE1057)+1,20),FIND("/",MID(Sync!$AE1057,FIND("/",Sync!$AE1057)+1,20))+1,20))),"")))</f>
        <v/>
      </c>
      <c r="J1057" t="str">
        <f t="shared" si="82"/>
        <v/>
      </c>
      <c r="K1057" t="str">
        <f>IF(OR($F1057="",$J1057="",$J1057="نامعتبر"),"",LEFT($J1057,4)&amp;MID($J1057,6,2)&amp;RIGHT($J1057,2)&amp;$N1057&amp;"|"&amp;"2"&amp;RIGHT("00000"&amp;1052,5))</f>
        <v/>
      </c>
      <c r="L1057" t="str">
        <f t="shared" si="83"/>
        <v/>
      </c>
      <c r="M1057" t="str">
        <f t="shared" si="84"/>
        <v/>
      </c>
      <c r="N1057" t="str">
        <f>IF($F1057="","",IF(Sync!$AF1057="","0000",IF(AND(ISNUMBER(Sync!$AF1057),Sync!$AF1057&gt;=0,Sync!$AF1057&lt;1),RIGHT("00"&amp;HOUR(Sync!$AF1057),2)&amp;RIGHT("00"&amp;MINUTE(Sync!$AF1057),2),IFERROR(RIGHT("00"&amp;VALUE(LEFT(Sync!$AF1057,FIND(":",Sync!$AF1057)-1)),2)&amp;RIGHT("00"&amp;VALUE(MID(Sync!$AF1057,FIND(":",Sync!$AF1057)+1,2)),2),"0000"))))</f>
        <v/>
      </c>
    </row>
    <row r="1058" spans="1:14" x14ac:dyDescent="0.2">
      <c r="A1058" t="str">
        <f>IF(OR(Calc!$E1062="",Calc!$E1062="نامعتبر",Calc!$G1062=""),"",Calc!$G1062)</f>
        <v/>
      </c>
      <c r="B1058" t="str">
        <f>IF($A1058="","",LEFT(Calc!$E1062,4)&amp;MID(Calc!$E1062,6,2)&amp;RIGHT(Calc!$E1062,2)&amp;Calc!$Q1062&amp;"|"&amp;"1"&amp;RIGHT("00000"&amp;1053,5))</f>
        <v/>
      </c>
      <c r="C1058" t="str">
        <f t="shared" si="80"/>
        <v/>
      </c>
      <c r="D1058" t="str">
        <f t="shared" si="81"/>
        <v/>
      </c>
      <c r="F1058" t="str">
        <f>IF(Sync!$AH1058="","",IF(LEFT(UPPER(TRIM(Sync!$AH1058)),2)="SL",UPPER(TRIM(Sync!$AH1058)),""))</f>
        <v/>
      </c>
      <c r="G1058" t="str">
        <f>IF($F1058="","",IF(Sync!$AE1058="","",IF(ISNUMBER(Sync!$AE1058),IF(AND(Sync!$AE1058&gt;=10000101,Sync!$AE1058&lt;=99991231),INT(Sync!$AE1058/10000),""),IFERROR(VALUE(TRIM(LEFT(Sync!$AE1058,FIND("/",Sync!$AE1058)-1))),""))))</f>
        <v/>
      </c>
      <c r="H1058" t="str">
        <f>IF(OR($F1058="",$G1058=""),"",IF(ISNUMBER(Sync!$AE1058),INT(MOD(Sync!$AE1058,10000)/100),IFERROR(VALUE(TRIM(LEFT(MID(Sync!$AE1058,FIND("/",Sync!$AE1058)+1,20),FIND("/",MID(Sync!$AE1058,FIND("/",Sync!$AE1058)+1,20))-1))),"")))</f>
        <v/>
      </c>
      <c r="I1058" t="str">
        <f>IF(OR($F1058="",$G1058=""),"",IF(ISNUMBER(Sync!$AE1058),MOD(Sync!$AE1058,100),IFERROR(VALUE(TRIM(MID(MID(Sync!$AE1058,FIND("/",Sync!$AE1058)+1,20),FIND("/",MID(Sync!$AE1058,FIND("/",Sync!$AE1058)+1,20))+1,20))),"")))</f>
        <v/>
      </c>
      <c r="J1058" t="str">
        <f t="shared" si="82"/>
        <v/>
      </c>
      <c r="K1058" t="str">
        <f>IF(OR($F1058="",$J1058="",$J1058="نامعتبر"),"",LEFT($J1058,4)&amp;MID($J1058,6,2)&amp;RIGHT($J1058,2)&amp;$N1058&amp;"|"&amp;"2"&amp;RIGHT("00000"&amp;1053,5))</f>
        <v/>
      </c>
      <c r="L1058" t="str">
        <f t="shared" si="83"/>
        <v/>
      </c>
      <c r="M1058" t="str">
        <f t="shared" si="84"/>
        <v/>
      </c>
      <c r="N1058" t="str">
        <f>IF($F1058="","",IF(Sync!$AF1058="","0000",IF(AND(ISNUMBER(Sync!$AF1058),Sync!$AF1058&gt;=0,Sync!$AF1058&lt;1),RIGHT("00"&amp;HOUR(Sync!$AF1058),2)&amp;RIGHT("00"&amp;MINUTE(Sync!$AF1058),2),IFERROR(RIGHT("00"&amp;VALUE(LEFT(Sync!$AF1058,FIND(":",Sync!$AF1058)-1)),2)&amp;RIGHT("00"&amp;VALUE(MID(Sync!$AF1058,FIND(":",Sync!$AF1058)+1,2)),2),"0000"))))</f>
        <v/>
      </c>
    </row>
    <row r="1059" spans="1:14" x14ac:dyDescent="0.2">
      <c r="A1059" t="str">
        <f>IF(OR(Calc!$E1063="",Calc!$E1063="نامعتبر",Calc!$G1063=""),"",Calc!$G1063)</f>
        <v/>
      </c>
      <c r="B1059" t="str">
        <f>IF($A1059="","",LEFT(Calc!$E1063,4)&amp;MID(Calc!$E1063,6,2)&amp;RIGHT(Calc!$E1063,2)&amp;Calc!$Q1063&amp;"|"&amp;"1"&amp;RIGHT("00000"&amp;1054,5))</f>
        <v/>
      </c>
      <c r="C1059" t="str">
        <f t="shared" si="80"/>
        <v/>
      </c>
      <c r="D1059" t="str">
        <f t="shared" si="81"/>
        <v/>
      </c>
      <c r="F1059" t="str">
        <f>IF(Sync!$AH1059="","",IF(LEFT(UPPER(TRIM(Sync!$AH1059)),2)="SL",UPPER(TRIM(Sync!$AH1059)),""))</f>
        <v/>
      </c>
      <c r="G1059" t="str">
        <f>IF($F1059="","",IF(Sync!$AE1059="","",IF(ISNUMBER(Sync!$AE1059),IF(AND(Sync!$AE1059&gt;=10000101,Sync!$AE1059&lt;=99991231),INT(Sync!$AE1059/10000),""),IFERROR(VALUE(TRIM(LEFT(Sync!$AE1059,FIND("/",Sync!$AE1059)-1))),""))))</f>
        <v/>
      </c>
      <c r="H1059" t="str">
        <f>IF(OR($F1059="",$G1059=""),"",IF(ISNUMBER(Sync!$AE1059),INT(MOD(Sync!$AE1059,10000)/100),IFERROR(VALUE(TRIM(LEFT(MID(Sync!$AE1059,FIND("/",Sync!$AE1059)+1,20),FIND("/",MID(Sync!$AE1059,FIND("/",Sync!$AE1059)+1,20))-1))),"")))</f>
        <v/>
      </c>
      <c r="I1059" t="str">
        <f>IF(OR($F1059="",$G1059=""),"",IF(ISNUMBER(Sync!$AE1059),MOD(Sync!$AE1059,100),IFERROR(VALUE(TRIM(MID(MID(Sync!$AE1059,FIND("/",Sync!$AE1059)+1,20),FIND("/",MID(Sync!$AE1059,FIND("/",Sync!$AE1059)+1,20))+1,20))),"")))</f>
        <v/>
      </c>
      <c r="J1059" t="str">
        <f t="shared" si="82"/>
        <v/>
      </c>
      <c r="K1059" t="str">
        <f>IF(OR($F1059="",$J1059="",$J1059="نامعتبر"),"",LEFT($J1059,4)&amp;MID($J1059,6,2)&amp;RIGHT($J1059,2)&amp;$N1059&amp;"|"&amp;"2"&amp;RIGHT("00000"&amp;1054,5))</f>
        <v/>
      </c>
      <c r="L1059" t="str">
        <f t="shared" si="83"/>
        <v/>
      </c>
      <c r="M1059" t="str">
        <f t="shared" si="84"/>
        <v/>
      </c>
      <c r="N1059" t="str">
        <f>IF($F1059="","",IF(Sync!$AF1059="","0000",IF(AND(ISNUMBER(Sync!$AF1059),Sync!$AF1059&gt;=0,Sync!$AF1059&lt;1),RIGHT("00"&amp;HOUR(Sync!$AF1059),2)&amp;RIGHT("00"&amp;MINUTE(Sync!$AF1059),2),IFERROR(RIGHT("00"&amp;VALUE(LEFT(Sync!$AF1059,FIND(":",Sync!$AF1059)-1)),2)&amp;RIGHT("00"&amp;VALUE(MID(Sync!$AF1059,FIND(":",Sync!$AF1059)+1,2)),2),"0000"))))</f>
        <v/>
      </c>
    </row>
    <row r="1060" spans="1:14" x14ac:dyDescent="0.2">
      <c r="A1060" t="str">
        <f>IF(OR(Calc!$E1064="",Calc!$E1064="نامعتبر",Calc!$G1064=""),"",Calc!$G1064)</f>
        <v/>
      </c>
      <c r="B1060" t="str">
        <f>IF($A1060="","",LEFT(Calc!$E1064,4)&amp;MID(Calc!$E1064,6,2)&amp;RIGHT(Calc!$E1064,2)&amp;Calc!$Q1064&amp;"|"&amp;"1"&amp;RIGHT("00000"&amp;1055,5))</f>
        <v/>
      </c>
      <c r="C1060" t="str">
        <f t="shared" si="80"/>
        <v/>
      </c>
      <c r="D1060" t="str">
        <f t="shared" si="81"/>
        <v/>
      </c>
      <c r="F1060" t="str">
        <f>IF(Sync!$AH1060="","",IF(LEFT(UPPER(TRIM(Sync!$AH1060)),2)="SL",UPPER(TRIM(Sync!$AH1060)),""))</f>
        <v/>
      </c>
      <c r="G1060" t="str">
        <f>IF($F1060="","",IF(Sync!$AE1060="","",IF(ISNUMBER(Sync!$AE1060),IF(AND(Sync!$AE1060&gt;=10000101,Sync!$AE1060&lt;=99991231),INT(Sync!$AE1060/10000),""),IFERROR(VALUE(TRIM(LEFT(Sync!$AE1060,FIND("/",Sync!$AE1060)-1))),""))))</f>
        <v/>
      </c>
      <c r="H1060" t="str">
        <f>IF(OR($F1060="",$G1060=""),"",IF(ISNUMBER(Sync!$AE1060),INT(MOD(Sync!$AE1060,10000)/100),IFERROR(VALUE(TRIM(LEFT(MID(Sync!$AE1060,FIND("/",Sync!$AE1060)+1,20),FIND("/",MID(Sync!$AE1060,FIND("/",Sync!$AE1060)+1,20))-1))),"")))</f>
        <v/>
      </c>
      <c r="I1060" t="str">
        <f>IF(OR($F1060="",$G1060=""),"",IF(ISNUMBER(Sync!$AE1060),MOD(Sync!$AE1060,100),IFERROR(VALUE(TRIM(MID(MID(Sync!$AE1060,FIND("/",Sync!$AE1060)+1,20),FIND("/",MID(Sync!$AE1060,FIND("/",Sync!$AE1060)+1,20))+1,20))),"")))</f>
        <v/>
      </c>
      <c r="J1060" t="str">
        <f t="shared" si="82"/>
        <v/>
      </c>
      <c r="K1060" t="str">
        <f>IF(OR($F1060="",$J1060="",$J1060="نامعتبر"),"",LEFT($J1060,4)&amp;MID($J1060,6,2)&amp;RIGHT($J1060,2)&amp;$N1060&amp;"|"&amp;"2"&amp;RIGHT("00000"&amp;1055,5))</f>
        <v/>
      </c>
      <c r="L1060" t="str">
        <f t="shared" si="83"/>
        <v/>
      </c>
      <c r="M1060" t="str">
        <f t="shared" si="84"/>
        <v/>
      </c>
      <c r="N1060" t="str">
        <f>IF($F1060="","",IF(Sync!$AF1060="","0000",IF(AND(ISNUMBER(Sync!$AF1060),Sync!$AF1060&gt;=0,Sync!$AF1060&lt;1),RIGHT("00"&amp;HOUR(Sync!$AF1060),2)&amp;RIGHT("00"&amp;MINUTE(Sync!$AF1060),2),IFERROR(RIGHT("00"&amp;VALUE(LEFT(Sync!$AF1060,FIND(":",Sync!$AF1060)-1)),2)&amp;RIGHT("00"&amp;VALUE(MID(Sync!$AF1060,FIND(":",Sync!$AF1060)+1,2)),2),"0000"))))</f>
        <v/>
      </c>
    </row>
    <row r="1061" spans="1:14" x14ac:dyDescent="0.2">
      <c r="A1061" t="str">
        <f>IF(OR(Calc!$E1065="",Calc!$E1065="نامعتبر",Calc!$G1065=""),"",Calc!$G1065)</f>
        <v/>
      </c>
      <c r="B1061" t="str">
        <f>IF($A1061="","",LEFT(Calc!$E1065,4)&amp;MID(Calc!$E1065,6,2)&amp;RIGHT(Calc!$E1065,2)&amp;Calc!$Q1065&amp;"|"&amp;"1"&amp;RIGHT("00000"&amp;1056,5))</f>
        <v/>
      </c>
      <c r="C1061" t="str">
        <f t="shared" si="80"/>
        <v/>
      </c>
      <c r="D1061" t="str">
        <f t="shared" si="81"/>
        <v/>
      </c>
      <c r="F1061" t="str">
        <f>IF(Sync!$AH1061="","",IF(LEFT(UPPER(TRIM(Sync!$AH1061)),2)="SL",UPPER(TRIM(Sync!$AH1061)),""))</f>
        <v/>
      </c>
      <c r="G1061" t="str">
        <f>IF($F1061="","",IF(Sync!$AE1061="","",IF(ISNUMBER(Sync!$AE1061),IF(AND(Sync!$AE1061&gt;=10000101,Sync!$AE1061&lt;=99991231),INT(Sync!$AE1061/10000),""),IFERROR(VALUE(TRIM(LEFT(Sync!$AE1061,FIND("/",Sync!$AE1061)-1))),""))))</f>
        <v/>
      </c>
      <c r="H1061" t="str">
        <f>IF(OR($F1061="",$G1061=""),"",IF(ISNUMBER(Sync!$AE1061),INT(MOD(Sync!$AE1061,10000)/100),IFERROR(VALUE(TRIM(LEFT(MID(Sync!$AE1061,FIND("/",Sync!$AE1061)+1,20),FIND("/",MID(Sync!$AE1061,FIND("/",Sync!$AE1061)+1,20))-1))),"")))</f>
        <v/>
      </c>
      <c r="I1061" t="str">
        <f>IF(OR($F1061="",$G1061=""),"",IF(ISNUMBER(Sync!$AE1061),MOD(Sync!$AE1061,100),IFERROR(VALUE(TRIM(MID(MID(Sync!$AE1061,FIND("/",Sync!$AE1061)+1,20),FIND("/",MID(Sync!$AE1061,FIND("/",Sync!$AE1061)+1,20))+1,20))),"")))</f>
        <v/>
      </c>
      <c r="J1061" t="str">
        <f t="shared" si="82"/>
        <v/>
      </c>
      <c r="K1061" t="str">
        <f>IF(OR($F1061="",$J1061="",$J1061="نامعتبر"),"",LEFT($J1061,4)&amp;MID($J1061,6,2)&amp;RIGHT($J1061,2)&amp;$N1061&amp;"|"&amp;"2"&amp;RIGHT("00000"&amp;1056,5))</f>
        <v/>
      </c>
      <c r="L1061" t="str">
        <f t="shared" si="83"/>
        <v/>
      </c>
      <c r="M1061" t="str">
        <f t="shared" si="84"/>
        <v/>
      </c>
      <c r="N1061" t="str">
        <f>IF($F1061="","",IF(Sync!$AF1061="","0000",IF(AND(ISNUMBER(Sync!$AF1061),Sync!$AF1061&gt;=0,Sync!$AF1061&lt;1),RIGHT("00"&amp;HOUR(Sync!$AF1061),2)&amp;RIGHT("00"&amp;MINUTE(Sync!$AF1061),2),IFERROR(RIGHT("00"&amp;VALUE(LEFT(Sync!$AF1061,FIND(":",Sync!$AF1061)-1)),2)&amp;RIGHT("00"&amp;VALUE(MID(Sync!$AF1061,FIND(":",Sync!$AF1061)+1,2)),2),"0000"))))</f>
        <v/>
      </c>
    </row>
    <row r="1062" spans="1:14" x14ac:dyDescent="0.2">
      <c r="A1062" t="str">
        <f>IF(OR(Calc!$E1066="",Calc!$E1066="نامعتبر",Calc!$G1066=""),"",Calc!$G1066)</f>
        <v/>
      </c>
      <c r="B1062" t="str">
        <f>IF($A1062="","",LEFT(Calc!$E1066,4)&amp;MID(Calc!$E1066,6,2)&amp;RIGHT(Calc!$E1066,2)&amp;Calc!$Q1066&amp;"|"&amp;"1"&amp;RIGHT("00000"&amp;1057,5))</f>
        <v/>
      </c>
      <c r="C1062" t="str">
        <f t="shared" si="80"/>
        <v/>
      </c>
      <c r="D1062" t="str">
        <f t="shared" si="81"/>
        <v/>
      </c>
      <c r="F1062" t="str">
        <f>IF(Sync!$AH1062="","",IF(LEFT(UPPER(TRIM(Sync!$AH1062)),2)="SL",UPPER(TRIM(Sync!$AH1062)),""))</f>
        <v/>
      </c>
      <c r="G1062" t="str">
        <f>IF($F1062="","",IF(Sync!$AE1062="","",IF(ISNUMBER(Sync!$AE1062),IF(AND(Sync!$AE1062&gt;=10000101,Sync!$AE1062&lt;=99991231),INT(Sync!$AE1062/10000),""),IFERROR(VALUE(TRIM(LEFT(Sync!$AE1062,FIND("/",Sync!$AE1062)-1))),""))))</f>
        <v/>
      </c>
      <c r="H1062" t="str">
        <f>IF(OR($F1062="",$G1062=""),"",IF(ISNUMBER(Sync!$AE1062),INT(MOD(Sync!$AE1062,10000)/100),IFERROR(VALUE(TRIM(LEFT(MID(Sync!$AE1062,FIND("/",Sync!$AE1062)+1,20),FIND("/",MID(Sync!$AE1062,FIND("/",Sync!$AE1062)+1,20))-1))),"")))</f>
        <v/>
      </c>
      <c r="I1062" t="str">
        <f>IF(OR($F1062="",$G1062=""),"",IF(ISNUMBER(Sync!$AE1062),MOD(Sync!$AE1062,100),IFERROR(VALUE(TRIM(MID(MID(Sync!$AE1062,FIND("/",Sync!$AE1062)+1,20),FIND("/",MID(Sync!$AE1062,FIND("/",Sync!$AE1062)+1,20))+1,20))),"")))</f>
        <v/>
      </c>
      <c r="J1062" t="str">
        <f t="shared" si="82"/>
        <v/>
      </c>
      <c r="K1062" t="str">
        <f>IF(OR($F1062="",$J1062="",$J1062="نامعتبر"),"",LEFT($J1062,4)&amp;MID($J1062,6,2)&amp;RIGHT($J1062,2)&amp;$N1062&amp;"|"&amp;"2"&amp;RIGHT("00000"&amp;1057,5))</f>
        <v/>
      </c>
      <c r="L1062" t="str">
        <f t="shared" si="83"/>
        <v/>
      </c>
      <c r="M1062" t="str">
        <f t="shared" si="84"/>
        <v/>
      </c>
      <c r="N1062" t="str">
        <f>IF($F1062="","",IF(Sync!$AF1062="","0000",IF(AND(ISNUMBER(Sync!$AF1062),Sync!$AF1062&gt;=0,Sync!$AF1062&lt;1),RIGHT("00"&amp;HOUR(Sync!$AF1062),2)&amp;RIGHT("00"&amp;MINUTE(Sync!$AF1062),2),IFERROR(RIGHT("00"&amp;VALUE(LEFT(Sync!$AF1062,FIND(":",Sync!$AF1062)-1)),2)&amp;RIGHT("00"&amp;VALUE(MID(Sync!$AF1062,FIND(":",Sync!$AF1062)+1,2)),2),"0000"))))</f>
        <v/>
      </c>
    </row>
    <row r="1063" spans="1:14" x14ac:dyDescent="0.2">
      <c r="A1063" t="str">
        <f>IF(OR(Calc!$E1067="",Calc!$E1067="نامعتبر",Calc!$G1067=""),"",Calc!$G1067)</f>
        <v/>
      </c>
      <c r="B1063" t="str">
        <f>IF($A1063="","",LEFT(Calc!$E1067,4)&amp;MID(Calc!$E1067,6,2)&amp;RIGHT(Calc!$E1067,2)&amp;Calc!$Q1067&amp;"|"&amp;"1"&amp;RIGHT("00000"&amp;1058,5))</f>
        <v/>
      </c>
      <c r="C1063" t="str">
        <f t="shared" si="80"/>
        <v/>
      </c>
      <c r="D1063" t="str">
        <f t="shared" si="81"/>
        <v/>
      </c>
      <c r="F1063" t="str">
        <f>IF(Sync!$AH1063="","",IF(LEFT(UPPER(TRIM(Sync!$AH1063)),2)="SL",UPPER(TRIM(Sync!$AH1063)),""))</f>
        <v/>
      </c>
      <c r="G1063" t="str">
        <f>IF($F1063="","",IF(Sync!$AE1063="","",IF(ISNUMBER(Sync!$AE1063),IF(AND(Sync!$AE1063&gt;=10000101,Sync!$AE1063&lt;=99991231),INT(Sync!$AE1063/10000),""),IFERROR(VALUE(TRIM(LEFT(Sync!$AE1063,FIND("/",Sync!$AE1063)-1))),""))))</f>
        <v/>
      </c>
      <c r="H1063" t="str">
        <f>IF(OR($F1063="",$G1063=""),"",IF(ISNUMBER(Sync!$AE1063),INT(MOD(Sync!$AE1063,10000)/100),IFERROR(VALUE(TRIM(LEFT(MID(Sync!$AE1063,FIND("/",Sync!$AE1063)+1,20),FIND("/",MID(Sync!$AE1063,FIND("/",Sync!$AE1063)+1,20))-1))),"")))</f>
        <v/>
      </c>
      <c r="I1063" t="str">
        <f>IF(OR($F1063="",$G1063=""),"",IF(ISNUMBER(Sync!$AE1063),MOD(Sync!$AE1063,100),IFERROR(VALUE(TRIM(MID(MID(Sync!$AE1063,FIND("/",Sync!$AE1063)+1,20),FIND("/",MID(Sync!$AE1063,FIND("/",Sync!$AE1063)+1,20))+1,20))),"")))</f>
        <v/>
      </c>
      <c r="J1063" t="str">
        <f t="shared" si="82"/>
        <v/>
      </c>
      <c r="K1063" t="str">
        <f>IF(OR($F1063="",$J1063="",$J1063="نامعتبر"),"",LEFT($J1063,4)&amp;MID($J1063,6,2)&amp;RIGHT($J1063,2)&amp;$N1063&amp;"|"&amp;"2"&amp;RIGHT("00000"&amp;1058,5))</f>
        <v/>
      </c>
      <c r="L1063" t="str">
        <f t="shared" si="83"/>
        <v/>
      </c>
      <c r="M1063" t="str">
        <f t="shared" si="84"/>
        <v/>
      </c>
      <c r="N1063" t="str">
        <f>IF($F1063="","",IF(Sync!$AF1063="","0000",IF(AND(ISNUMBER(Sync!$AF1063),Sync!$AF1063&gt;=0,Sync!$AF1063&lt;1),RIGHT("00"&amp;HOUR(Sync!$AF1063),2)&amp;RIGHT("00"&amp;MINUTE(Sync!$AF1063),2),IFERROR(RIGHT("00"&amp;VALUE(LEFT(Sync!$AF1063,FIND(":",Sync!$AF1063)-1)),2)&amp;RIGHT("00"&amp;VALUE(MID(Sync!$AF1063,FIND(":",Sync!$AF1063)+1,2)),2),"0000"))))</f>
        <v/>
      </c>
    </row>
    <row r="1064" spans="1:14" x14ac:dyDescent="0.2">
      <c r="A1064" t="str">
        <f>IF(OR(Calc!$E1068="",Calc!$E1068="نامعتبر",Calc!$G1068=""),"",Calc!$G1068)</f>
        <v/>
      </c>
      <c r="B1064" t="str">
        <f>IF($A1064="","",LEFT(Calc!$E1068,4)&amp;MID(Calc!$E1068,6,2)&amp;RIGHT(Calc!$E1068,2)&amp;Calc!$Q1068&amp;"|"&amp;"1"&amp;RIGHT("00000"&amp;1059,5))</f>
        <v/>
      </c>
      <c r="C1064" t="str">
        <f t="shared" si="80"/>
        <v/>
      </c>
      <c r="D1064" t="str">
        <f t="shared" si="81"/>
        <v/>
      </c>
      <c r="F1064" t="str">
        <f>IF(Sync!$AH1064="","",IF(LEFT(UPPER(TRIM(Sync!$AH1064)),2)="SL",UPPER(TRIM(Sync!$AH1064)),""))</f>
        <v/>
      </c>
      <c r="G1064" t="str">
        <f>IF($F1064="","",IF(Sync!$AE1064="","",IF(ISNUMBER(Sync!$AE1064),IF(AND(Sync!$AE1064&gt;=10000101,Sync!$AE1064&lt;=99991231),INT(Sync!$AE1064/10000),""),IFERROR(VALUE(TRIM(LEFT(Sync!$AE1064,FIND("/",Sync!$AE1064)-1))),""))))</f>
        <v/>
      </c>
      <c r="H1064" t="str">
        <f>IF(OR($F1064="",$G1064=""),"",IF(ISNUMBER(Sync!$AE1064),INT(MOD(Sync!$AE1064,10000)/100),IFERROR(VALUE(TRIM(LEFT(MID(Sync!$AE1064,FIND("/",Sync!$AE1064)+1,20),FIND("/",MID(Sync!$AE1064,FIND("/",Sync!$AE1064)+1,20))-1))),"")))</f>
        <v/>
      </c>
      <c r="I1064" t="str">
        <f>IF(OR($F1064="",$G1064=""),"",IF(ISNUMBER(Sync!$AE1064),MOD(Sync!$AE1064,100),IFERROR(VALUE(TRIM(MID(MID(Sync!$AE1064,FIND("/",Sync!$AE1064)+1,20),FIND("/",MID(Sync!$AE1064,FIND("/",Sync!$AE1064)+1,20))+1,20))),"")))</f>
        <v/>
      </c>
      <c r="J1064" t="str">
        <f t="shared" si="82"/>
        <v/>
      </c>
      <c r="K1064" t="str">
        <f>IF(OR($F1064="",$J1064="",$J1064="نامعتبر"),"",LEFT($J1064,4)&amp;MID($J1064,6,2)&amp;RIGHT($J1064,2)&amp;$N1064&amp;"|"&amp;"2"&amp;RIGHT("00000"&amp;1059,5))</f>
        <v/>
      </c>
      <c r="L1064" t="str">
        <f t="shared" si="83"/>
        <v/>
      </c>
      <c r="M1064" t="str">
        <f t="shared" si="84"/>
        <v/>
      </c>
      <c r="N1064" t="str">
        <f>IF($F1064="","",IF(Sync!$AF1064="","0000",IF(AND(ISNUMBER(Sync!$AF1064),Sync!$AF1064&gt;=0,Sync!$AF1064&lt;1),RIGHT("00"&amp;HOUR(Sync!$AF1064),2)&amp;RIGHT("00"&amp;MINUTE(Sync!$AF1064),2),IFERROR(RIGHT("00"&amp;VALUE(LEFT(Sync!$AF1064,FIND(":",Sync!$AF1064)-1)),2)&amp;RIGHT("00"&amp;VALUE(MID(Sync!$AF1064,FIND(":",Sync!$AF1064)+1,2)),2),"0000"))))</f>
        <v/>
      </c>
    </row>
    <row r="1065" spans="1:14" x14ac:dyDescent="0.2">
      <c r="A1065" t="str">
        <f>IF(OR(Calc!$E1069="",Calc!$E1069="نامعتبر",Calc!$G1069=""),"",Calc!$G1069)</f>
        <v/>
      </c>
      <c r="B1065" t="str">
        <f>IF($A1065="","",LEFT(Calc!$E1069,4)&amp;MID(Calc!$E1069,6,2)&amp;RIGHT(Calc!$E1069,2)&amp;Calc!$Q1069&amp;"|"&amp;"1"&amp;RIGHT("00000"&amp;1060,5))</f>
        <v/>
      </c>
      <c r="C1065" t="str">
        <f t="shared" si="80"/>
        <v/>
      </c>
      <c r="D1065" t="str">
        <f t="shared" si="81"/>
        <v/>
      </c>
      <c r="F1065" t="str">
        <f>IF(Sync!$AH1065="","",IF(LEFT(UPPER(TRIM(Sync!$AH1065)),2)="SL",UPPER(TRIM(Sync!$AH1065)),""))</f>
        <v/>
      </c>
      <c r="G1065" t="str">
        <f>IF($F1065="","",IF(Sync!$AE1065="","",IF(ISNUMBER(Sync!$AE1065),IF(AND(Sync!$AE1065&gt;=10000101,Sync!$AE1065&lt;=99991231),INT(Sync!$AE1065/10000),""),IFERROR(VALUE(TRIM(LEFT(Sync!$AE1065,FIND("/",Sync!$AE1065)-1))),""))))</f>
        <v/>
      </c>
      <c r="H1065" t="str">
        <f>IF(OR($F1065="",$G1065=""),"",IF(ISNUMBER(Sync!$AE1065),INT(MOD(Sync!$AE1065,10000)/100),IFERROR(VALUE(TRIM(LEFT(MID(Sync!$AE1065,FIND("/",Sync!$AE1065)+1,20),FIND("/",MID(Sync!$AE1065,FIND("/",Sync!$AE1065)+1,20))-1))),"")))</f>
        <v/>
      </c>
      <c r="I1065" t="str">
        <f>IF(OR($F1065="",$G1065=""),"",IF(ISNUMBER(Sync!$AE1065),MOD(Sync!$AE1065,100),IFERROR(VALUE(TRIM(MID(MID(Sync!$AE1065,FIND("/",Sync!$AE1065)+1,20),FIND("/",MID(Sync!$AE1065,FIND("/",Sync!$AE1065)+1,20))+1,20))),"")))</f>
        <v/>
      </c>
      <c r="J1065" t="str">
        <f t="shared" si="82"/>
        <v/>
      </c>
      <c r="K1065" t="str">
        <f>IF(OR($F1065="",$J1065="",$J1065="نامعتبر"),"",LEFT($J1065,4)&amp;MID($J1065,6,2)&amp;RIGHT($J1065,2)&amp;$N1065&amp;"|"&amp;"2"&amp;RIGHT("00000"&amp;1060,5))</f>
        <v/>
      </c>
      <c r="L1065" t="str">
        <f t="shared" si="83"/>
        <v/>
      </c>
      <c r="M1065" t="str">
        <f t="shared" si="84"/>
        <v/>
      </c>
      <c r="N1065" t="str">
        <f>IF($F1065="","",IF(Sync!$AF1065="","0000",IF(AND(ISNUMBER(Sync!$AF1065),Sync!$AF1065&gt;=0,Sync!$AF1065&lt;1),RIGHT("00"&amp;HOUR(Sync!$AF1065),2)&amp;RIGHT("00"&amp;MINUTE(Sync!$AF1065),2),IFERROR(RIGHT("00"&amp;VALUE(LEFT(Sync!$AF1065,FIND(":",Sync!$AF1065)-1)),2)&amp;RIGHT("00"&amp;VALUE(MID(Sync!$AF1065,FIND(":",Sync!$AF1065)+1,2)),2),"0000"))))</f>
        <v/>
      </c>
    </row>
    <row r="1066" spans="1:14" x14ac:dyDescent="0.2">
      <c r="A1066" t="str">
        <f>IF(OR(Calc!$E1070="",Calc!$E1070="نامعتبر",Calc!$G1070=""),"",Calc!$G1070)</f>
        <v/>
      </c>
      <c r="B1066" t="str">
        <f>IF($A1066="","",LEFT(Calc!$E1070,4)&amp;MID(Calc!$E1070,6,2)&amp;RIGHT(Calc!$E1070,2)&amp;Calc!$Q1070&amp;"|"&amp;"1"&amp;RIGHT("00000"&amp;1061,5))</f>
        <v/>
      </c>
      <c r="C1066" t="str">
        <f t="shared" si="80"/>
        <v/>
      </c>
      <c r="D1066" t="str">
        <f t="shared" si="81"/>
        <v/>
      </c>
      <c r="F1066" t="str">
        <f>IF(Sync!$AH1066="","",IF(LEFT(UPPER(TRIM(Sync!$AH1066)),2)="SL",UPPER(TRIM(Sync!$AH1066)),""))</f>
        <v/>
      </c>
      <c r="G1066" t="str">
        <f>IF($F1066="","",IF(Sync!$AE1066="","",IF(ISNUMBER(Sync!$AE1066),IF(AND(Sync!$AE1066&gt;=10000101,Sync!$AE1066&lt;=99991231),INT(Sync!$AE1066/10000),""),IFERROR(VALUE(TRIM(LEFT(Sync!$AE1066,FIND("/",Sync!$AE1066)-1))),""))))</f>
        <v/>
      </c>
      <c r="H1066" t="str">
        <f>IF(OR($F1066="",$G1066=""),"",IF(ISNUMBER(Sync!$AE1066),INT(MOD(Sync!$AE1066,10000)/100),IFERROR(VALUE(TRIM(LEFT(MID(Sync!$AE1066,FIND("/",Sync!$AE1066)+1,20),FIND("/",MID(Sync!$AE1066,FIND("/",Sync!$AE1066)+1,20))-1))),"")))</f>
        <v/>
      </c>
      <c r="I1066" t="str">
        <f>IF(OR($F1066="",$G1066=""),"",IF(ISNUMBER(Sync!$AE1066),MOD(Sync!$AE1066,100),IFERROR(VALUE(TRIM(MID(MID(Sync!$AE1066,FIND("/",Sync!$AE1066)+1,20),FIND("/",MID(Sync!$AE1066,FIND("/",Sync!$AE1066)+1,20))+1,20))),"")))</f>
        <v/>
      </c>
      <c r="J1066" t="str">
        <f t="shared" si="82"/>
        <v/>
      </c>
      <c r="K1066" t="str">
        <f>IF(OR($F1066="",$J1066="",$J1066="نامعتبر"),"",LEFT($J1066,4)&amp;MID($J1066,6,2)&amp;RIGHT($J1066,2)&amp;$N1066&amp;"|"&amp;"2"&amp;RIGHT("00000"&amp;1061,5))</f>
        <v/>
      </c>
      <c r="L1066" t="str">
        <f t="shared" si="83"/>
        <v/>
      </c>
      <c r="M1066" t="str">
        <f t="shared" si="84"/>
        <v/>
      </c>
      <c r="N1066" t="str">
        <f>IF($F1066="","",IF(Sync!$AF1066="","0000",IF(AND(ISNUMBER(Sync!$AF1066),Sync!$AF1066&gt;=0,Sync!$AF1066&lt;1),RIGHT("00"&amp;HOUR(Sync!$AF1066),2)&amp;RIGHT("00"&amp;MINUTE(Sync!$AF1066),2),IFERROR(RIGHT("00"&amp;VALUE(LEFT(Sync!$AF1066,FIND(":",Sync!$AF1066)-1)),2)&amp;RIGHT("00"&amp;VALUE(MID(Sync!$AF1066,FIND(":",Sync!$AF1066)+1,2)),2),"0000"))))</f>
        <v/>
      </c>
    </row>
    <row r="1067" spans="1:14" x14ac:dyDescent="0.2">
      <c r="A1067" t="str">
        <f>IF(OR(Calc!$E1071="",Calc!$E1071="نامعتبر",Calc!$G1071=""),"",Calc!$G1071)</f>
        <v/>
      </c>
      <c r="B1067" t="str">
        <f>IF($A1067="","",LEFT(Calc!$E1071,4)&amp;MID(Calc!$E1071,6,2)&amp;RIGHT(Calc!$E1071,2)&amp;Calc!$Q1071&amp;"|"&amp;"1"&amp;RIGHT("00000"&amp;1062,5))</f>
        <v/>
      </c>
      <c r="C1067" t="str">
        <f t="shared" si="80"/>
        <v/>
      </c>
      <c r="D1067" t="str">
        <f t="shared" si="81"/>
        <v/>
      </c>
      <c r="F1067" t="str">
        <f>IF(Sync!$AH1067="","",IF(LEFT(UPPER(TRIM(Sync!$AH1067)),2)="SL",UPPER(TRIM(Sync!$AH1067)),""))</f>
        <v/>
      </c>
      <c r="G1067" t="str">
        <f>IF($F1067="","",IF(Sync!$AE1067="","",IF(ISNUMBER(Sync!$AE1067),IF(AND(Sync!$AE1067&gt;=10000101,Sync!$AE1067&lt;=99991231),INT(Sync!$AE1067/10000),""),IFERROR(VALUE(TRIM(LEFT(Sync!$AE1067,FIND("/",Sync!$AE1067)-1))),""))))</f>
        <v/>
      </c>
      <c r="H1067" t="str">
        <f>IF(OR($F1067="",$G1067=""),"",IF(ISNUMBER(Sync!$AE1067),INT(MOD(Sync!$AE1067,10000)/100),IFERROR(VALUE(TRIM(LEFT(MID(Sync!$AE1067,FIND("/",Sync!$AE1067)+1,20),FIND("/",MID(Sync!$AE1067,FIND("/",Sync!$AE1067)+1,20))-1))),"")))</f>
        <v/>
      </c>
      <c r="I1067" t="str">
        <f>IF(OR($F1067="",$G1067=""),"",IF(ISNUMBER(Sync!$AE1067),MOD(Sync!$AE1067,100),IFERROR(VALUE(TRIM(MID(MID(Sync!$AE1067,FIND("/",Sync!$AE1067)+1,20),FIND("/",MID(Sync!$AE1067,FIND("/",Sync!$AE1067)+1,20))+1,20))),"")))</f>
        <v/>
      </c>
      <c r="J1067" t="str">
        <f t="shared" si="82"/>
        <v/>
      </c>
      <c r="K1067" t="str">
        <f>IF(OR($F1067="",$J1067="",$J1067="نامعتبر"),"",LEFT($J1067,4)&amp;MID($J1067,6,2)&amp;RIGHT($J1067,2)&amp;$N1067&amp;"|"&amp;"2"&amp;RIGHT("00000"&amp;1062,5))</f>
        <v/>
      </c>
      <c r="L1067" t="str">
        <f t="shared" si="83"/>
        <v/>
      </c>
      <c r="M1067" t="str">
        <f t="shared" si="84"/>
        <v/>
      </c>
      <c r="N1067" t="str">
        <f>IF($F1067="","",IF(Sync!$AF1067="","0000",IF(AND(ISNUMBER(Sync!$AF1067),Sync!$AF1067&gt;=0,Sync!$AF1067&lt;1),RIGHT("00"&amp;HOUR(Sync!$AF1067),2)&amp;RIGHT("00"&amp;MINUTE(Sync!$AF1067),2),IFERROR(RIGHT("00"&amp;VALUE(LEFT(Sync!$AF1067,FIND(":",Sync!$AF1067)-1)),2)&amp;RIGHT("00"&amp;VALUE(MID(Sync!$AF1067,FIND(":",Sync!$AF1067)+1,2)),2),"0000"))))</f>
        <v/>
      </c>
    </row>
    <row r="1068" spans="1:14" x14ac:dyDescent="0.2">
      <c r="A1068" t="str">
        <f>IF(OR(Calc!$E1072="",Calc!$E1072="نامعتبر",Calc!$G1072=""),"",Calc!$G1072)</f>
        <v/>
      </c>
      <c r="B1068" t="str">
        <f>IF($A1068="","",LEFT(Calc!$E1072,4)&amp;MID(Calc!$E1072,6,2)&amp;RIGHT(Calc!$E1072,2)&amp;Calc!$Q1072&amp;"|"&amp;"1"&amp;RIGHT("00000"&amp;1063,5))</f>
        <v/>
      </c>
      <c r="C1068" t="str">
        <f t="shared" si="80"/>
        <v/>
      </c>
      <c r="D1068" t="str">
        <f t="shared" si="81"/>
        <v/>
      </c>
      <c r="F1068" t="str">
        <f>IF(Sync!$AH1068="","",IF(LEFT(UPPER(TRIM(Sync!$AH1068)),2)="SL",UPPER(TRIM(Sync!$AH1068)),""))</f>
        <v/>
      </c>
      <c r="G1068" t="str">
        <f>IF($F1068="","",IF(Sync!$AE1068="","",IF(ISNUMBER(Sync!$AE1068),IF(AND(Sync!$AE1068&gt;=10000101,Sync!$AE1068&lt;=99991231),INT(Sync!$AE1068/10000),""),IFERROR(VALUE(TRIM(LEFT(Sync!$AE1068,FIND("/",Sync!$AE1068)-1))),""))))</f>
        <v/>
      </c>
      <c r="H1068" t="str">
        <f>IF(OR($F1068="",$G1068=""),"",IF(ISNUMBER(Sync!$AE1068),INT(MOD(Sync!$AE1068,10000)/100),IFERROR(VALUE(TRIM(LEFT(MID(Sync!$AE1068,FIND("/",Sync!$AE1068)+1,20),FIND("/",MID(Sync!$AE1068,FIND("/",Sync!$AE1068)+1,20))-1))),"")))</f>
        <v/>
      </c>
      <c r="I1068" t="str">
        <f>IF(OR($F1068="",$G1068=""),"",IF(ISNUMBER(Sync!$AE1068),MOD(Sync!$AE1068,100),IFERROR(VALUE(TRIM(MID(MID(Sync!$AE1068,FIND("/",Sync!$AE1068)+1,20),FIND("/",MID(Sync!$AE1068,FIND("/",Sync!$AE1068)+1,20))+1,20))),"")))</f>
        <v/>
      </c>
      <c r="J1068" t="str">
        <f t="shared" si="82"/>
        <v/>
      </c>
      <c r="K1068" t="str">
        <f>IF(OR($F1068="",$J1068="",$J1068="نامعتبر"),"",LEFT($J1068,4)&amp;MID($J1068,6,2)&amp;RIGHT($J1068,2)&amp;$N1068&amp;"|"&amp;"2"&amp;RIGHT("00000"&amp;1063,5))</f>
        <v/>
      </c>
      <c r="L1068" t="str">
        <f t="shared" si="83"/>
        <v/>
      </c>
      <c r="M1068" t="str">
        <f t="shared" si="84"/>
        <v/>
      </c>
      <c r="N1068" t="str">
        <f>IF($F1068="","",IF(Sync!$AF1068="","0000",IF(AND(ISNUMBER(Sync!$AF1068),Sync!$AF1068&gt;=0,Sync!$AF1068&lt;1),RIGHT("00"&amp;HOUR(Sync!$AF1068),2)&amp;RIGHT("00"&amp;MINUTE(Sync!$AF1068),2),IFERROR(RIGHT("00"&amp;VALUE(LEFT(Sync!$AF1068,FIND(":",Sync!$AF1068)-1)),2)&amp;RIGHT("00"&amp;VALUE(MID(Sync!$AF1068,FIND(":",Sync!$AF1068)+1,2)),2),"0000"))))</f>
        <v/>
      </c>
    </row>
    <row r="1069" spans="1:14" x14ac:dyDescent="0.2">
      <c r="A1069" t="str">
        <f>IF(OR(Calc!$E1073="",Calc!$E1073="نامعتبر",Calc!$G1073=""),"",Calc!$G1073)</f>
        <v/>
      </c>
      <c r="B1069" t="str">
        <f>IF($A1069="","",LEFT(Calc!$E1073,4)&amp;MID(Calc!$E1073,6,2)&amp;RIGHT(Calc!$E1073,2)&amp;Calc!$Q1073&amp;"|"&amp;"1"&amp;RIGHT("00000"&amp;1064,5))</f>
        <v/>
      </c>
      <c r="C1069" t="str">
        <f t="shared" si="80"/>
        <v/>
      </c>
      <c r="D1069" t="str">
        <f t="shared" si="81"/>
        <v/>
      </c>
      <c r="F1069" t="str">
        <f>IF(Sync!$AH1069="","",IF(LEFT(UPPER(TRIM(Sync!$AH1069)),2)="SL",UPPER(TRIM(Sync!$AH1069)),""))</f>
        <v/>
      </c>
      <c r="G1069" t="str">
        <f>IF($F1069="","",IF(Sync!$AE1069="","",IF(ISNUMBER(Sync!$AE1069),IF(AND(Sync!$AE1069&gt;=10000101,Sync!$AE1069&lt;=99991231),INT(Sync!$AE1069/10000),""),IFERROR(VALUE(TRIM(LEFT(Sync!$AE1069,FIND("/",Sync!$AE1069)-1))),""))))</f>
        <v/>
      </c>
      <c r="H1069" t="str">
        <f>IF(OR($F1069="",$G1069=""),"",IF(ISNUMBER(Sync!$AE1069),INT(MOD(Sync!$AE1069,10000)/100),IFERROR(VALUE(TRIM(LEFT(MID(Sync!$AE1069,FIND("/",Sync!$AE1069)+1,20),FIND("/",MID(Sync!$AE1069,FIND("/",Sync!$AE1069)+1,20))-1))),"")))</f>
        <v/>
      </c>
      <c r="I1069" t="str">
        <f>IF(OR($F1069="",$G1069=""),"",IF(ISNUMBER(Sync!$AE1069),MOD(Sync!$AE1069,100),IFERROR(VALUE(TRIM(MID(MID(Sync!$AE1069,FIND("/",Sync!$AE1069)+1,20),FIND("/",MID(Sync!$AE1069,FIND("/",Sync!$AE1069)+1,20))+1,20))),"")))</f>
        <v/>
      </c>
      <c r="J1069" t="str">
        <f t="shared" si="82"/>
        <v/>
      </c>
      <c r="K1069" t="str">
        <f>IF(OR($F1069="",$J1069="",$J1069="نامعتبر"),"",LEFT($J1069,4)&amp;MID($J1069,6,2)&amp;RIGHT($J1069,2)&amp;$N1069&amp;"|"&amp;"2"&amp;RIGHT("00000"&amp;1064,5))</f>
        <v/>
      </c>
      <c r="L1069" t="str">
        <f t="shared" si="83"/>
        <v/>
      </c>
      <c r="M1069" t="str">
        <f t="shared" si="84"/>
        <v/>
      </c>
      <c r="N1069" t="str">
        <f>IF($F1069="","",IF(Sync!$AF1069="","0000",IF(AND(ISNUMBER(Sync!$AF1069),Sync!$AF1069&gt;=0,Sync!$AF1069&lt;1),RIGHT("00"&amp;HOUR(Sync!$AF1069),2)&amp;RIGHT("00"&amp;MINUTE(Sync!$AF1069),2),IFERROR(RIGHT("00"&amp;VALUE(LEFT(Sync!$AF1069,FIND(":",Sync!$AF1069)-1)),2)&amp;RIGHT("00"&amp;VALUE(MID(Sync!$AF1069,FIND(":",Sync!$AF1069)+1,2)),2),"0000"))))</f>
        <v/>
      </c>
    </row>
    <row r="1070" spans="1:14" x14ac:dyDescent="0.2">
      <c r="A1070" t="str">
        <f>IF(OR(Calc!$E1074="",Calc!$E1074="نامعتبر",Calc!$G1074=""),"",Calc!$G1074)</f>
        <v/>
      </c>
      <c r="B1070" t="str">
        <f>IF($A1070="","",LEFT(Calc!$E1074,4)&amp;MID(Calc!$E1074,6,2)&amp;RIGHT(Calc!$E1074,2)&amp;Calc!$Q1074&amp;"|"&amp;"1"&amp;RIGHT("00000"&amp;1065,5))</f>
        <v/>
      </c>
      <c r="C1070" t="str">
        <f t="shared" si="80"/>
        <v/>
      </c>
      <c r="D1070" t="str">
        <f t="shared" si="81"/>
        <v/>
      </c>
      <c r="F1070" t="str">
        <f>IF(Sync!$AH1070="","",IF(LEFT(UPPER(TRIM(Sync!$AH1070)),2)="SL",UPPER(TRIM(Sync!$AH1070)),""))</f>
        <v/>
      </c>
      <c r="G1070" t="str">
        <f>IF($F1070="","",IF(Sync!$AE1070="","",IF(ISNUMBER(Sync!$AE1070),IF(AND(Sync!$AE1070&gt;=10000101,Sync!$AE1070&lt;=99991231),INT(Sync!$AE1070/10000),""),IFERROR(VALUE(TRIM(LEFT(Sync!$AE1070,FIND("/",Sync!$AE1070)-1))),""))))</f>
        <v/>
      </c>
      <c r="H1070" t="str">
        <f>IF(OR($F1070="",$G1070=""),"",IF(ISNUMBER(Sync!$AE1070),INT(MOD(Sync!$AE1070,10000)/100),IFERROR(VALUE(TRIM(LEFT(MID(Sync!$AE1070,FIND("/",Sync!$AE1070)+1,20),FIND("/",MID(Sync!$AE1070,FIND("/",Sync!$AE1070)+1,20))-1))),"")))</f>
        <v/>
      </c>
      <c r="I1070" t="str">
        <f>IF(OR($F1070="",$G1070=""),"",IF(ISNUMBER(Sync!$AE1070),MOD(Sync!$AE1070,100),IFERROR(VALUE(TRIM(MID(MID(Sync!$AE1070,FIND("/",Sync!$AE1070)+1,20),FIND("/",MID(Sync!$AE1070,FIND("/",Sync!$AE1070)+1,20))+1,20))),"")))</f>
        <v/>
      </c>
      <c r="J1070" t="str">
        <f t="shared" si="82"/>
        <v/>
      </c>
      <c r="K1070" t="str">
        <f>IF(OR($F1070="",$J1070="",$J1070="نامعتبر"),"",LEFT($J1070,4)&amp;MID($J1070,6,2)&amp;RIGHT($J1070,2)&amp;$N1070&amp;"|"&amp;"2"&amp;RIGHT("00000"&amp;1065,5))</f>
        <v/>
      </c>
      <c r="L1070" t="str">
        <f t="shared" si="83"/>
        <v/>
      </c>
      <c r="M1070" t="str">
        <f t="shared" si="84"/>
        <v/>
      </c>
      <c r="N1070" t="str">
        <f>IF($F1070="","",IF(Sync!$AF1070="","0000",IF(AND(ISNUMBER(Sync!$AF1070),Sync!$AF1070&gt;=0,Sync!$AF1070&lt;1),RIGHT("00"&amp;HOUR(Sync!$AF1070),2)&amp;RIGHT("00"&amp;MINUTE(Sync!$AF1070),2),IFERROR(RIGHT("00"&amp;VALUE(LEFT(Sync!$AF1070,FIND(":",Sync!$AF1070)-1)),2)&amp;RIGHT("00"&amp;VALUE(MID(Sync!$AF1070,FIND(":",Sync!$AF1070)+1,2)),2),"0000"))))</f>
        <v/>
      </c>
    </row>
    <row r="1071" spans="1:14" x14ac:dyDescent="0.2">
      <c r="A1071" t="str">
        <f>IF(OR(Calc!$E1075="",Calc!$E1075="نامعتبر",Calc!$G1075=""),"",Calc!$G1075)</f>
        <v/>
      </c>
      <c r="B1071" t="str">
        <f>IF($A1071="","",LEFT(Calc!$E1075,4)&amp;MID(Calc!$E1075,6,2)&amp;RIGHT(Calc!$E1075,2)&amp;Calc!$Q1075&amp;"|"&amp;"1"&amp;RIGHT("00000"&amp;1066,5))</f>
        <v/>
      </c>
      <c r="C1071" t="str">
        <f t="shared" si="80"/>
        <v/>
      </c>
      <c r="D1071" t="str">
        <f t="shared" si="81"/>
        <v/>
      </c>
      <c r="F1071" t="str">
        <f>IF(Sync!$AH1071="","",IF(LEFT(UPPER(TRIM(Sync!$AH1071)),2)="SL",UPPER(TRIM(Sync!$AH1071)),""))</f>
        <v/>
      </c>
      <c r="G1071" t="str">
        <f>IF($F1071="","",IF(Sync!$AE1071="","",IF(ISNUMBER(Sync!$AE1071),IF(AND(Sync!$AE1071&gt;=10000101,Sync!$AE1071&lt;=99991231),INT(Sync!$AE1071/10000),""),IFERROR(VALUE(TRIM(LEFT(Sync!$AE1071,FIND("/",Sync!$AE1071)-1))),""))))</f>
        <v/>
      </c>
      <c r="H1071" t="str">
        <f>IF(OR($F1071="",$G1071=""),"",IF(ISNUMBER(Sync!$AE1071),INT(MOD(Sync!$AE1071,10000)/100),IFERROR(VALUE(TRIM(LEFT(MID(Sync!$AE1071,FIND("/",Sync!$AE1071)+1,20),FIND("/",MID(Sync!$AE1071,FIND("/",Sync!$AE1071)+1,20))-1))),"")))</f>
        <v/>
      </c>
      <c r="I1071" t="str">
        <f>IF(OR($F1071="",$G1071=""),"",IF(ISNUMBER(Sync!$AE1071),MOD(Sync!$AE1071,100),IFERROR(VALUE(TRIM(MID(MID(Sync!$AE1071,FIND("/",Sync!$AE1071)+1,20),FIND("/",MID(Sync!$AE1071,FIND("/",Sync!$AE1071)+1,20))+1,20))),"")))</f>
        <v/>
      </c>
      <c r="J1071" t="str">
        <f t="shared" si="82"/>
        <v/>
      </c>
      <c r="K1071" t="str">
        <f>IF(OR($F1071="",$J1071="",$J1071="نامعتبر"),"",LEFT($J1071,4)&amp;MID($J1071,6,2)&amp;RIGHT($J1071,2)&amp;$N1071&amp;"|"&amp;"2"&amp;RIGHT("00000"&amp;1066,5))</f>
        <v/>
      </c>
      <c r="L1071" t="str">
        <f t="shared" si="83"/>
        <v/>
      </c>
      <c r="M1071" t="str">
        <f t="shared" si="84"/>
        <v/>
      </c>
      <c r="N1071" t="str">
        <f>IF($F1071="","",IF(Sync!$AF1071="","0000",IF(AND(ISNUMBER(Sync!$AF1071),Sync!$AF1071&gt;=0,Sync!$AF1071&lt;1),RIGHT("00"&amp;HOUR(Sync!$AF1071),2)&amp;RIGHT("00"&amp;MINUTE(Sync!$AF1071),2),IFERROR(RIGHT("00"&amp;VALUE(LEFT(Sync!$AF1071,FIND(":",Sync!$AF1071)-1)),2)&amp;RIGHT("00"&amp;VALUE(MID(Sync!$AF1071,FIND(":",Sync!$AF1071)+1,2)),2),"0000"))))</f>
        <v/>
      </c>
    </row>
    <row r="1072" spans="1:14" x14ac:dyDescent="0.2">
      <c r="A1072" t="str">
        <f>IF(OR(Calc!$E1076="",Calc!$E1076="نامعتبر",Calc!$G1076=""),"",Calc!$G1076)</f>
        <v/>
      </c>
      <c r="B1072" t="str">
        <f>IF($A1072="","",LEFT(Calc!$E1076,4)&amp;MID(Calc!$E1076,6,2)&amp;RIGHT(Calc!$E1076,2)&amp;Calc!$Q1076&amp;"|"&amp;"1"&amp;RIGHT("00000"&amp;1067,5))</f>
        <v/>
      </c>
      <c r="C1072" t="str">
        <f t="shared" si="80"/>
        <v/>
      </c>
      <c r="D1072" t="str">
        <f t="shared" si="81"/>
        <v/>
      </c>
      <c r="F1072" t="str">
        <f>IF(Sync!$AH1072="","",IF(LEFT(UPPER(TRIM(Sync!$AH1072)),2)="SL",UPPER(TRIM(Sync!$AH1072)),""))</f>
        <v/>
      </c>
      <c r="G1072" t="str">
        <f>IF($F1072="","",IF(Sync!$AE1072="","",IF(ISNUMBER(Sync!$AE1072),IF(AND(Sync!$AE1072&gt;=10000101,Sync!$AE1072&lt;=99991231),INT(Sync!$AE1072/10000),""),IFERROR(VALUE(TRIM(LEFT(Sync!$AE1072,FIND("/",Sync!$AE1072)-1))),""))))</f>
        <v/>
      </c>
      <c r="H1072" t="str">
        <f>IF(OR($F1072="",$G1072=""),"",IF(ISNUMBER(Sync!$AE1072),INT(MOD(Sync!$AE1072,10000)/100),IFERROR(VALUE(TRIM(LEFT(MID(Sync!$AE1072,FIND("/",Sync!$AE1072)+1,20),FIND("/",MID(Sync!$AE1072,FIND("/",Sync!$AE1072)+1,20))-1))),"")))</f>
        <v/>
      </c>
      <c r="I1072" t="str">
        <f>IF(OR($F1072="",$G1072=""),"",IF(ISNUMBER(Sync!$AE1072),MOD(Sync!$AE1072,100),IFERROR(VALUE(TRIM(MID(MID(Sync!$AE1072,FIND("/",Sync!$AE1072)+1,20),FIND("/",MID(Sync!$AE1072,FIND("/",Sync!$AE1072)+1,20))+1,20))),"")))</f>
        <v/>
      </c>
      <c r="J1072" t="str">
        <f t="shared" si="82"/>
        <v/>
      </c>
      <c r="K1072" t="str">
        <f>IF(OR($F1072="",$J1072="",$J1072="نامعتبر"),"",LEFT($J1072,4)&amp;MID($J1072,6,2)&amp;RIGHT($J1072,2)&amp;$N1072&amp;"|"&amp;"2"&amp;RIGHT("00000"&amp;1067,5))</f>
        <v/>
      </c>
      <c r="L1072" t="str">
        <f t="shared" si="83"/>
        <v/>
      </c>
      <c r="M1072" t="str">
        <f t="shared" si="84"/>
        <v/>
      </c>
      <c r="N1072" t="str">
        <f>IF($F1072="","",IF(Sync!$AF1072="","0000",IF(AND(ISNUMBER(Sync!$AF1072),Sync!$AF1072&gt;=0,Sync!$AF1072&lt;1),RIGHT("00"&amp;HOUR(Sync!$AF1072),2)&amp;RIGHT("00"&amp;MINUTE(Sync!$AF1072),2),IFERROR(RIGHT("00"&amp;VALUE(LEFT(Sync!$AF1072,FIND(":",Sync!$AF1072)-1)),2)&amp;RIGHT("00"&amp;VALUE(MID(Sync!$AF1072,FIND(":",Sync!$AF1072)+1,2)),2),"0000"))))</f>
        <v/>
      </c>
    </row>
    <row r="1073" spans="1:14" x14ac:dyDescent="0.2">
      <c r="A1073" t="str">
        <f>IF(OR(Calc!$E1077="",Calc!$E1077="نامعتبر",Calc!$G1077=""),"",Calc!$G1077)</f>
        <v/>
      </c>
      <c r="B1073" t="str">
        <f>IF($A1073="","",LEFT(Calc!$E1077,4)&amp;MID(Calc!$E1077,6,2)&amp;RIGHT(Calc!$E1077,2)&amp;Calc!$Q1077&amp;"|"&amp;"1"&amp;RIGHT("00000"&amp;1068,5))</f>
        <v/>
      </c>
      <c r="C1073" t="str">
        <f t="shared" si="80"/>
        <v/>
      </c>
      <c r="D1073" t="str">
        <f t="shared" si="81"/>
        <v/>
      </c>
      <c r="F1073" t="str">
        <f>IF(Sync!$AH1073="","",IF(LEFT(UPPER(TRIM(Sync!$AH1073)),2)="SL",UPPER(TRIM(Sync!$AH1073)),""))</f>
        <v/>
      </c>
      <c r="G1073" t="str">
        <f>IF($F1073="","",IF(Sync!$AE1073="","",IF(ISNUMBER(Sync!$AE1073),IF(AND(Sync!$AE1073&gt;=10000101,Sync!$AE1073&lt;=99991231),INT(Sync!$AE1073/10000),""),IFERROR(VALUE(TRIM(LEFT(Sync!$AE1073,FIND("/",Sync!$AE1073)-1))),""))))</f>
        <v/>
      </c>
      <c r="H1073" t="str">
        <f>IF(OR($F1073="",$G1073=""),"",IF(ISNUMBER(Sync!$AE1073),INT(MOD(Sync!$AE1073,10000)/100),IFERROR(VALUE(TRIM(LEFT(MID(Sync!$AE1073,FIND("/",Sync!$AE1073)+1,20),FIND("/",MID(Sync!$AE1073,FIND("/",Sync!$AE1073)+1,20))-1))),"")))</f>
        <v/>
      </c>
      <c r="I1073" t="str">
        <f>IF(OR($F1073="",$G1073=""),"",IF(ISNUMBER(Sync!$AE1073),MOD(Sync!$AE1073,100),IFERROR(VALUE(TRIM(MID(MID(Sync!$AE1073,FIND("/",Sync!$AE1073)+1,20),FIND("/",MID(Sync!$AE1073,FIND("/",Sync!$AE1073)+1,20))+1,20))),"")))</f>
        <v/>
      </c>
      <c r="J1073" t="str">
        <f t="shared" si="82"/>
        <v/>
      </c>
      <c r="K1073" t="str">
        <f>IF(OR($F1073="",$J1073="",$J1073="نامعتبر"),"",LEFT($J1073,4)&amp;MID($J1073,6,2)&amp;RIGHT($J1073,2)&amp;$N1073&amp;"|"&amp;"2"&amp;RIGHT("00000"&amp;1068,5))</f>
        <v/>
      </c>
      <c r="L1073" t="str">
        <f t="shared" si="83"/>
        <v/>
      </c>
      <c r="M1073" t="str">
        <f t="shared" si="84"/>
        <v/>
      </c>
      <c r="N1073" t="str">
        <f>IF($F1073="","",IF(Sync!$AF1073="","0000",IF(AND(ISNUMBER(Sync!$AF1073),Sync!$AF1073&gt;=0,Sync!$AF1073&lt;1),RIGHT("00"&amp;HOUR(Sync!$AF1073),2)&amp;RIGHT("00"&amp;MINUTE(Sync!$AF1073),2),IFERROR(RIGHT("00"&amp;VALUE(LEFT(Sync!$AF1073,FIND(":",Sync!$AF1073)-1)),2)&amp;RIGHT("00"&amp;VALUE(MID(Sync!$AF1073,FIND(":",Sync!$AF1073)+1,2)),2),"0000"))))</f>
        <v/>
      </c>
    </row>
    <row r="1074" spans="1:14" x14ac:dyDescent="0.2">
      <c r="A1074" t="str">
        <f>IF(OR(Calc!$E1078="",Calc!$E1078="نامعتبر",Calc!$G1078=""),"",Calc!$G1078)</f>
        <v/>
      </c>
      <c r="B1074" t="str">
        <f>IF($A1074="","",LEFT(Calc!$E1078,4)&amp;MID(Calc!$E1078,6,2)&amp;RIGHT(Calc!$E1078,2)&amp;Calc!$Q1078&amp;"|"&amp;"1"&amp;RIGHT("00000"&amp;1069,5))</f>
        <v/>
      </c>
      <c r="C1074" t="str">
        <f t="shared" si="80"/>
        <v/>
      </c>
      <c r="D1074" t="str">
        <f t="shared" si="81"/>
        <v/>
      </c>
      <c r="F1074" t="str">
        <f>IF(Sync!$AH1074="","",IF(LEFT(UPPER(TRIM(Sync!$AH1074)),2)="SL",UPPER(TRIM(Sync!$AH1074)),""))</f>
        <v/>
      </c>
      <c r="G1074" t="str">
        <f>IF($F1074="","",IF(Sync!$AE1074="","",IF(ISNUMBER(Sync!$AE1074),IF(AND(Sync!$AE1074&gt;=10000101,Sync!$AE1074&lt;=99991231),INT(Sync!$AE1074/10000),""),IFERROR(VALUE(TRIM(LEFT(Sync!$AE1074,FIND("/",Sync!$AE1074)-1))),""))))</f>
        <v/>
      </c>
      <c r="H1074" t="str">
        <f>IF(OR($F1074="",$G1074=""),"",IF(ISNUMBER(Sync!$AE1074),INT(MOD(Sync!$AE1074,10000)/100),IFERROR(VALUE(TRIM(LEFT(MID(Sync!$AE1074,FIND("/",Sync!$AE1074)+1,20),FIND("/",MID(Sync!$AE1074,FIND("/",Sync!$AE1074)+1,20))-1))),"")))</f>
        <v/>
      </c>
      <c r="I1074" t="str">
        <f>IF(OR($F1074="",$G1074=""),"",IF(ISNUMBER(Sync!$AE1074),MOD(Sync!$AE1074,100),IFERROR(VALUE(TRIM(MID(MID(Sync!$AE1074,FIND("/",Sync!$AE1074)+1,20),FIND("/",MID(Sync!$AE1074,FIND("/",Sync!$AE1074)+1,20))+1,20))),"")))</f>
        <v/>
      </c>
      <c r="J1074" t="str">
        <f t="shared" si="82"/>
        <v/>
      </c>
      <c r="K1074" t="str">
        <f>IF(OR($F1074="",$J1074="",$J1074="نامعتبر"),"",LEFT($J1074,4)&amp;MID($J1074,6,2)&amp;RIGHT($J1074,2)&amp;$N1074&amp;"|"&amp;"2"&amp;RIGHT("00000"&amp;1069,5))</f>
        <v/>
      </c>
      <c r="L1074" t="str">
        <f t="shared" si="83"/>
        <v/>
      </c>
      <c r="M1074" t="str">
        <f t="shared" si="84"/>
        <v/>
      </c>
      <c r="N1074" t="str">
        <f>IF($F1074="","",IF(Sync!$AF1074="","0000",IF(AND(ISNUMBER(Sync!$AF1074),Sync!$AF1074&gt;=0,Sync!$AF1074&lt;1),RIGHT("00"&amp;HOUR(Sync!$AF1074),2)&amp;RIGHT("00"&amp;MINUTE(Sync!$AF1074),2),IFERROR(RIGHT("00"&amp;VALUE(LEFT(Sync!$AF1074,FIND(":",Sync!$AF1074)-1)),2)&amp;RIGHT("00"&amp;VALUE(MID(Sync!$AF1074,FIND(":",Sync!$AF1074)+1,2)),2),"0000"))))</f>
        <v/>
      </c>
    </row>
    <row r="1075" spans="1:14" x14ac:dyDescent="0.2">
      <c r="A1075" t="str">
        <f>IF(OR(Calc!$E1079="",Calc!$E1079="نامعتبر",Calc!$G1079=""),"",Calc!$G1079)</f>
        <v/>
      </c>
      <c r="B1075" t="str">
        <f>IF($A1075="","",LEFT(Calc!$E1079,4)&amp;MID(Calc!$E1079,6,2)&amp;RIGHT(Calc!$E1079,2)&amp;Calc!$Q1079&amp;"|"&amp;"1"&amp;RIGHT("00000"&amp;1070,5))</f>
        <v/>
      </c>
      <c r="C1075" t="str">
        <f t="shared" si="80"/>
        <v/>
      </c>
      <c r="D1075" t="str">
        <f t="shared" si="81"/>
        <v/>
      </c>
      <c r="F1075" t="str">
        <f>IF(Sync!$AH1075="","",IF(LEFT(UPPER(TRIM(Sync!$AH1075)),2)="SL",UPPER(TRIM(Sync!$AH1075)),""))</f>
        <v/>
      </c>
      <c r="G1075" t="str">
        <f>IF($F1075="","",IF(Sync!$AE1075="","",IF(ISNUMBER(Sync!$AE1075),IF(AND(Sync!$AE1075&gt;=10000101,Sync!$AE1075&lt;=99991231),INT(Sync!$AE1075/10000),""),IFERROR(VALUE(TRIM(LEFT(Sync!$AE1075,FIND("/",Sync!$AE1075)-1))),""))))</f>
        <v/>
      </c>
      <c r="H1075" t="str">
        <f>IF(OR($F1075="",$G1075=""),"",IF(ISNUMBER(Sync!$AE1075),INT(MOD(Sync!$AE1075,10000)/100),IFERROR(VALUE(TRIM(LEFT(MID(Sync!$AE1075,FIND("/",Sync!$AE1075)+1,20),FIND("/",MID(Sync!$AE1075,FIND("/",Sync!$AE1075)+1,20))-1))),"")))</f>
        <v/>
      </c>
      <c r="I1075" t="str">
        <f>IF(OR($F1075="",$G1075=""),"",IF(ISNUMBER(Sync!$AE1075),MOD(Sync!$AE1075,100),IFERROR(VALUE(TRIM(MID(MID(Sync!$AE1075,FIND("/",Sync!$AE1075)+1,20),FIND("/",MID(Sync!$AE1075,FIND("/",Sync!$AE1075)+1,20))+1,20))),"")))</f>
        <v/>
      </c>
      <c r="J1075" t="str">
        <f t="shared" si="82"/>
        <v/>
      </c>
      <c r="K1075" t="str">
        <f>IF(OR($F1075="",$J1075="",$J1075="نامعتبر"),"",LEFT($J1075,4)&amp;MID($J1075,6,2)&amp;RIGHT($J1075,2)&amp;$N1075&amp;"|"&amp;"2"&amp;RIGHT("00000"&amp;1070,5))</f>
        <v/>
      </c>
      <c r="L1075" t="str">
        <f t="shared" si="83"/>
        <v/>
      </c>
      <c r="M1075" t="str">
        <f t="shared" si="84"/>
        <v/>
      </c>
      <c r="N1075" t="str">
        <f>IF($F1075="","",IF(Sync!$AF1075="","0000",IF(AND(ISNUMBER(Sync!$AF1075),Sync!$AF1075&gt;=0,Sync!$AF1075&lt;1),RIGHT("00"&amp;HOUR(Sync!$AF1075),2)&amp;RIGHT("00"&amp;MINUTE(Sync!$AF1075),2),IFERROR(RIGHT("00"&amp;VALUE(LEFT(Sync!$AF1075,FIND(":",Sync!$AF1075)-1)),2)&amp;RIGHT("00"&amp;VALUE(MID(Sync!$AF1075,FIND(":",Sync!$AF1075)+1,2)),2),"0000"))))</f>
        <v/>
      </c>
    </row>
    <row r="1076" spans="1:14" x14ac:dyDescent="0.2">
      <c r="A1076" t="str">
        <f>IF(OR(Calc!$E1080="",Calc!$E1080="نامعتبر",Calc!$G1080=""),"",Calc!$G1080)</f>
        <v/>
      </c>
      <c r="B1076" t="str">
        <f>IF($A1076="","",LEFT(Calc!$E1080,4)&amp;MID(Calc!$E1080,6,2)&amp;RIGHT(Calc!$E1080,2)&amp;Calc!$Q1080&amp;"|"&amp;"1"&amp;RIGHT("00000"&amp;1071,5))</f>
        <v/>
      </c>
      <c r="C1076" t="str">
        <f t="shared" si="80"/>
        <v/>
      </c>
      <c r="D1076" t="str">
        <f t="shared" si="81"/>
        <v/>
      </c>
      <c r="F1076" t="str">
        <f>IF(Sync!$AH1076="","",IF(LEFT(UPPER(TRIM(Sync!$AH1076)),2)="SL",UPPER(TRIM(Sync!$AH1076)),""))</f>
        <v/>
      </c>
      <c r="G1076" t="str">
        <f>IF($F1076="","",IF(Sync!$AE1076="","",IF(ISNUMBER(Sync!$AE1076),IF(AND(Sync!$AE1076&gt;=10000101,Sync!$AE1076&lt;=99991231),INT(Sync!$AE1076/10000),""),IFERROR(VALUE(TRIM(LEFT(Sync!$AE1076,FIND("/",Sync!$AE1076)-1))),""))))</f>
        <v/>
      </c>
      <c r="H1076" t="str">
        <f>IF(OR($F1076="",$G1076=""),"",IF(ISNUMBER(Sync!$AE1076),INT(MOD(Sync!$AE1076,10000)/100),IFERROR(VALUE(TRIM(LEFT(MID(Sync!$AE1076,FIND("/",Sync!$AE1076)+1,20),FIND("/",MID(Sync!$AE1076,FIND("/",Sync!$AE1076)+1,20))-1))),"")))</f>
        <v/>
      </c>
      <c r="I1076" t="str">
        <f>IF(OR($F1076="",$G1076=""),"",IF(ISNUMBER(Sync!$AE1076),MOD(Sync!$AE1076,100),IFERROR(VALUE(TRIM(MID(MID(Sync!$AE1076,FIND("/",Sync!$AE1076)+1,20),FIND("/",MID(Sync!$AE1076,FIND("/",Sync!$AE1076)+1,20))+1,20))),"")))</f>
        <v/>
      </c>
      <c r="J1076" t="str">
        <f t="shared" si="82"/>
        <v/>
      </c>
      <c r="K1076" t="str">
        <f>IF(OR($F1076="",$J1076="",$J1076="نامعتبر"),"",LEFT($J1076,4)&amp;MID($J1076,6,2)&amp;RIGHT($J1076,2)&amp;$N1076&amp;"|"&amp;"2"&amp;RIGHT("00000"&amp;1071,5))</f>
        <v/>
      </c>
      <c r="L1076" t="str">
        <f t="shared" si="83"/>
        <v/>
      </c>
      <c r="M1076" t="str">
        <f t="shared" si="84"/>
        <v/>
      </c>
      <c r="N1076" t="str">
        <f>IF($F1076="","",IF(Sync!$AF1076="","0000",IF(AND(ISNUMBER(Sync!$AF1076),Sync!$AF1076&gt;=0,Sync!$AF1076&lt;1),RIGHT("00"&amp;HOUR(Sync!$AF1076),2)&amp;RIGHT("00"&amp;MINUTE(Sync!$AF1076),2),IFERROR(RIGHT("00"&amp;VALUE(LEFT(Sync!$AF1076,FIND(":",Sync!$AF1076)-1)),2)&amp;RIGHT("00"&amp;VALUE(MID(Sync!$AF1076,FIND(":",Sync!$AF1076)+1,2)),2),"0000"))))</f>
        <v/>
      </c>
    </row>
    <row r="1077" spans="1:14" x14ac:dyDescent="0.2">
      <c r="A1077" t="str">
        <f>IF(OR(Calc!$E1081="",Calc!$E1081="نامعتبر",Calc!$G1081=""),"",Calc!$G1081)</f>
        <v/>
      </c>
      <c r="B1077" t="str">
        <f>IF($A1077="","",LEFT(Calc!$E1081,4)&amp;MID(Calc!$E1081,6,2)&amp;RIGHT(Calc!$E1081,2)&amp;Calc!$Q1081&amp;"|"&amp;"1"&amp;RIGHT("00000"&amp;1072,5))</f>
        <v/>
      </c>
      <c r="C1077" t="str">
        <f t="shared" si="80"/>
        <v/>
      </c>
      <c r="D1077" t="str">
        <f t="shared" si="81"/>
        <v/>
      </c>
      <c r="F1077" t="str">
        <f>IF(Sync!$AH1077="","",IF(LEFT(UPPER(TRIM(Sync!$AH1077)),2)="SL",UPPER(TRIM(Sync!$AH1077)),""))</f>
        <v/>
      </c>
      <c r="G1077" t="str">
        <f>IF($F1077="","",IF(Sync!$AE1077="","",IF(ISNUMBER(Sync!$AE1077),IF(AND(Sync!$AE1077&gt;=10000101,Sync!$AE1077&lt;=99991231),INT(Sync!$AE1077/10000),""),IFERROR(VALUE(TRIM(LEFT(Sync!$AE1077,FIND("/",Sync!$AE1077)-1))),""))))</f>
        <v/>
      </c>
      <c r="H1077" t="str">
        <f>IF(OR($F1077="",$G1077=""),"",IF(ISNUMBER(Sync!$AE1077),INT(MOD(Sync!$AE1077,10000)/100),IFERROR(VALUE(TRIM(LEFT(MID(Sync!$AE1077,FIND("/",Sync!$AE1077)+1,20),FIND("/",MID(Sync!$AE1077,FIND("/",Sync!$AE1077)+1,20))-1))),"")))</f>
        <v/>
      </c>
      <c r="I1077" t="str">
        <f>IF(OR($F1077="",$G1077=""),"",IF(ISNUMBER(Sync!$AE1077),MOD(Sync!$AE1077,100),IFERROR(VALUE(TRIM(MID(MID(Sync!$AE1077,FIND("/",Sync!$AE1077)+1,20),FIND("/",MID(Sync!$AE1077,FIND("/",Sync!$AE1077)+1,20))+1,20))),"")))</f>
        <v/>
      </c>
      <c r="J1077" t="str">
        <f t="shared" si="82"/>
        <v/>
      </c>
      <c r="K1077" t="str">
        <f>IF(OR($F1077="",$J1077="",$J1077="نامعتبر"),"",LEFT($J1077,4)&amp;MID($J1077,6,2)&amp;RIGHT($J1077,2)&amp;$N1077&amp;"|"&amp;"2"&amp;RIGHT("00000"&amp;1072,5))</f>
        <v/>
      </c>
      <c r="L1077" t="str">
        <f t="shared" si="83"/>
        <v/>
      </c>
      <c r="M1077" t="str">
        <f t="shared" si="84"/>
        <v/>
      </c>
      <c r="N1077" t="str">
        <f>IF($F1077="","",IF(Sync!$AF1077="","0000",IF(AND(ISNUMBER(Sync!$AF1077),Sync!$AF1077&gt;=0,Sync!$AF1077&lt;1),RIGHT("00"&amp;HOUR(Sync!$AF1077),2)&amp;RIGHT("00"&amp;MINUTE(Sync!$AF1077),2),IFERROR(RIGHT("00"&amp;VALUE(LEFT(Sync!$AF1077,FIND(":",Sync!$AF1077)-1)),2)&amp;RIGHT("00"&amp;VALUE(MID(Sync!$AF1077,FIND(":",Sync!$AF1077)+1,2)),2),"0000"))))</f>
        <v/>
      </c>
    </row>
    <row r="1078" spans="1:14" x14ac:dyDescent="0.2">
      <c r="A1078" t="str">
        <f>IF(OR(Calc!$E1082="",Calc!$E1082="نامعتبر",Calc!$G1082=""),"",Calc!$G1082)</f>
        <v/>
      </c>
      <c r="B1078" t="str">
        <f>IF($A1078="","",LEFT(Calc!$E1082,4)&amp;MID(Calc!$E1082,6,2)&amp;RIGHT(Calc!$E1082,2)&amp;Calc!$Q1082&amp;"|"&amp;"1"&amp;RIGHT("00000"&amp;1073,5))</f>
        <v/>
      </c>
      <c r="C1078" t="str">
        <f t="shared" si="80"/>
        <v/>
      </c>
      <c r="D1078" t="str">
        <f t="shared" si="81"/>
        <v/>
      </c>
      <c r="F1078" t="str">
        <f>IF(Sync!$AH1078="","",IF(LEFT(UPPER(TRIM(Sync!$AH1078)),2)="SL",UPPER(TRIM(Sync!$AH1078)),""))</f>
        <v/>
      </c>
      <c r="G1078" t="str">
        <f>IF($F1078="","",IF(Sync!$AE1078="","",IF(ISNUMBER(Sync!$AE1078),IF(AND(Sync!$AE1078&gt;=10000101,Sync!$AE1078&lt;=99991231),INT(Sync!$AE1078/10000),""),IFERROR(VALUE(TRIM(LEFT(Sync!$AE1078,FIND("/",Sync!$AE1078)-1))),""))))</f>
        <v/>
      </c>
      <c r="H1078" t="str">
        <f>IF(OR($F1078="",$G1078=""),"",IF(ISNUMBER(Sync!$AE1078),INT(MOD(Sync!$AE1078,10000)/100),IFERROR(VALUE(TRIM(LEFT(MID(Sync!$AE1078,FIND("/",Sync!$AE1078)+1,20),FIND("/",MID(Sync!$AE1078,FIND("/",Sync!$AE1078)+1,20))-1))),"")))</f>
        <v/>
      </c>
      <c r="I1078" t="str">
        <f>IF(OR($F1078="",$G1078=""),"",IF(ISNUMBER(Sync!$AE1078),MOD(Sync!$AE1078,100),IFERROR(VALUE(TRIM(MID(MID(Sync!$AE1078,FIND("/",Sync!$AE1078)+1,20),FIND("/",MID(Sync!$AE1078,FIND("/",Sync!$AE1078)+1,20))+1,20))),"")))</f>
        <v/>
      </c>
      <c r="J1078" t="str">
        <f t="shared" si="82"/>
        <v/>
      </c>
      <c r="K1078" t="str">
        <f>IF(OR($F1078="",$J1078="",$J1078="نامعتبر"),"",LEFT($J1078,4)&amp;MID($J1078,6,2)&amp;RIGHT($J1078,2)&amp;$N1078&amp;"|"&amp;"2"&amp;RIGHT("00000"&amp;1073,5))</f>
        <v/>
      </c>
      <c r="L1078" t="str">
        <f t="shared" si="83"/>
        <v/>
      </c>
      <c r="M1078" t="str">
        <f t="shared" si="84"/>
        <v/>
      </c>
      <c r="N1078" t="str">
        <f>IF($F1078="","",IF(Sync!$AF1078="","0000",IF(AND(ISNUMBER(Sync!$AF1078),Sync!$AF1078&gt;=0,Sync!$AF1078&lt;1),RIGHT("00"&amp;HOUR(Sync!$AF1078),2)&amp;RIGHT("00"&amp;MINUTE(Sync!$AF1078),2),IFERROR(RIGHT("00"&amp;VALUE(LEFT(Sync!$AF1078,FIND(":",Sync!$AF1078)-1)),2)&amp;RIGHT("00"&amp;VALUE(MID(Sync!$AF1078,FIND(":",Sync!$AF1078)+1,2)),2),"0000"))))</f>
        <v/>
      </c>
    </row>
    <row r="1079" spans="1:14" x14ac:dyDescent="0.2">
      <c r="A1079" t="str">
        <f>IF(OR(Calc!$E1083="",Calc!$E1083="نامعتبر",Calc!$G1083=""),"",Calc!$G1083)</f>
        <v/>
      </c>
      <c r="B1079" t="str">
        <f>IF($A1079="","",LEFT(Calc!$E1083,4)&amp;MID(Calc!$E1083,6,2)&amp;RIGHT(Calc!$E1083,2)&amp;Calc!$Q1083&amp;"|"&amp;"1"&amp;RIGHT("00000"&amp;1074,5))</f>
        <v/>
      </c>
      <c r="C1079" t="str">
        <f t="shared" si="80"/>
        <v/>
      </c>
      <c r="D1079" t="str">
        <f t="shared" si="81"/>
        <v/>
      </c>
      <c r="F1079" t="str">
        <f>IF(Sync!$AH1079="","",IF(LEFT(UPPER(TRIM(Sync!$AH1079)),2)="SL",UPPER(TRIM(Sync!$AH1079)),""))</f>
        <v/>
      </c>
      <c r="G1079" t="str">
        <f>IF($F1079="","",IF(Sync!$AE1079="","",IF(ISNUMBER(Sync!$AE1079),IF(AND(Sync!$AE1079&gt;=10000101,Sync!$AE1079&lt;=99991231),INT(Sync!$AE1079/10000),""),IFERROR(VALUE(TRIM(LEFT(Sync!$AE1079,FIND("/",Sync!$AE1079)-1))),""))))</f>
        <v/>
      </c>
      <c r="H1079" t="str">
        <f>IF(OR($F1079="",$G1079=""),"",IF(ISNUMBER(Sync!$AE1079),INT(MOD(Sync!$AE1079,10000)/100),IFERROR(VALUE(TRIM(LEFT(MID(Sync!$AE1079,FIND("/",Sync!$AE1079)+1,20),FIND("/",MID(Sync!$AE1079,FIND("/",Sync!$AE1079)+1,20))-1))),"")))</f>
        <v/>
      </c>
      <c r="I1079" t="str">
        <f>IF(OR($F1079="",$G1079=""),"",IF(ISNUMBER(Sync!$AE1079),MOD(Sync!$AE1079,100),IFERROR(VALUE(TRIM(MID(MID(Sync!$AE1079,FIND("/",Sync!$AE1079)+1,20),FIND("/",MID(Sync!$AE1079,FIND("/",Sync!$AE1079)+1,20))+1,20))),"")))</f>
        <v/>
      </c>
      <c r="J1079" t="str">
        <f t="shared" si="82"/>
        <v/>
      </c>
      <c r="K1079" t="str">
        <f>IF(OR($F1079="",$J1079="",$J1079="نامعتبر"),"",LEFT($J1079,4)&amp;MID($J1079,6,2)&amp;RIGHT($J1079,2)&amp;$N1079&amp;"|"&amp;"2"&amp;RIGHT("00000"&amp;1074,5))</f>
        <v/>
      </c>
      <c r="L1079" t="str">
        <f t="shared" si="83"/>
        <v/>
      </c>
      <c r="M1079" t="str">
        <f t="shared" si="84"/>
        <v/>
      </c>
      <c r="N1079" t="str">
        <f>IF($F1079="","",IF(Sync!$AF1079="","0000",IF(AND(ISNUMBER(Sync!$AF1079),Sync!$AF1079&gt;=0,Sync!$AF1079&lt;1),RIGHT("00"&amp;HOUR(Sync!$AF1079),2)&amp;RIGHT("00"&amp;MINUTE(Sync!$AF1079),2),IFERROR(RIGHT("00"&amp;VALUE(LEFT(Sync!$AF1079,FIND(":",Sync!$AF1079)-1)),2)&amp;RIGHT("00"&amp;VALUE(MID(Sync!$AF1079,FIND(":",Sync!$AF1079)+1,2)),2),"0000"))))</f>
        <v/>
      </c>
    </row>
    <row r="1080" spans="1:14" x14ac:dyDescent="0.2">
      <c r="A1080" t="str">
        <f>IF(OR(Calc!$E1084="",Calc!$E1084="نامعتبر",Calc!$G1084=""),"",Calc!$G1084)</f>
        <v/>
      </c>
      <c r="B1080" t="str">
        <f>IF($A1080="","",LEFT(Calc!$E1084,4)&amp;MID(Calc!$E1084,6,2)&amp;RIGHT(Calc!$E1084,2)&amp;Calc!$Q1084&amp;"|"&amp;"1"&amp;RIGHT("00000"&amp;1075,5))</f>
        <v/>
      </c>
      <c r="C1080" t="str">
        <f t="shared" si="80"/>
        <v/>
      </c>
      <c r="D1080" t="str">
        <f t="shared" si="81"/>
        <v/>
      </c>
      <c r="F1080" t="str">
        <f>IF(Sync!$AH1080="","",IF(LEFT(UPPER(TRIM(Sync!$AH1080)),2)="SL",UPPER(TRIM(Sync!$AH1080)),""))</f>
        <v/>
      </c>
      <c r="G1080" t="str">
        <f>IF($F1080="","",IF(Sync!$AE1080="","",IF(ISNUMBER(Sync!$AE1080),IF(AND(Sync!$AE1080&gt;=10000101,Sync!$AE1080&lt;=99991231),INT(Sync!$AE1080/10000),""),IFERROR(VALUE(TRIM(LEFT(Sync!$AE1080,FIND("/",Sync!$AE1080)-1))),""))))</f>
        <v/>
      </c>
      <c r="H1080" t="str">
        <f>IF(OR($F1080="",$G1080=""),"",IF(ISNUMBER(Sync!$AE1080),INT(MOD(Sync!$AE1080,10000)/100),IFERROR(VALUE(TRIM(LEFT(MID(Sync!$AE1080,FIND("/",Sync!$AE1080)+1,20),FIND("/",MID(Sync!$AE1080,FIND("/",Sync!$AE1080)+1,20))-1))),"")))</f>
        <v/>
      </c>
      <c r="I1080" t="str">
        <f>IF(OR($F1080="",$G1080=""),"",IF(ISNUMBER(Sync!$AE1080),MOD(Sync!$AE1080,100),IFERROR(VALUE(TRIM(MID(MID(Sync!$AE1080,FIND("/",Sync!$AE1080)+1,20),FIND("/",MID(Sync!$AE1080,FIND("/",Sync!$AE1080)+1,20))+1,20))),"")))</f>
        <v/>
      </c>
      <c r="J1080" t="str">
        <f t="shared" si="82"/>
        <v/>
      </c>
      <c r="K1080" t="str">
        <f>IF(OR($F1080="",$J1080="",$J1080="نامعتبر"),"",LEFT($J1080,4)&amp;MID($J1080,6,2)&amp;RIGHT($J1080,2)&amp;$N1080&amp;"|"&amp;"2"&amp;RIGHT("00000"&amp;1075,5))</f>
        <v/>
      </c>
      <c r="L1080" t="str">
        <f t="shared" si="83"/>
        <v/>
      </c>
      <c r="M1080" t="str">
        <f t="shared" si="84"/>
        <v/>
      </c>
      <c r="N1080" t="str">
        <f>IF($F1080="","",IF(Sync!$AF1080="","0000",IF(AND(ISNUMBER(Sync!$AF1080),Sync!$AF1080&gt;=0,Sync!$AF1080&lt;1),RIGHT("00"&amp;HOUR(Sync!$AF1080),2)&amp;RIGHT("00"&amp;MINUTE(Sync!$AF1080),2),IFERROR(RIGHT("00"&amp;VALUE(LEFT(Sync!$AF1080,FIND(":",Sync!$AF1080)-1)),2)&amp;RIGHT("00"&amp;VALUE(MID(Sync!$AF1080,FIND(":",Sync!$AF1080)+1,2)),2),"0000"))))</f>
        <v/>
      </c>
    </row>
    <row r="1081" spans="1:14" x14ac:dyDescent="0.2">
      <c r="A1081" t="str">
        <f>IF(OR(Calc!$E1085="",Calc!$E1085="نامعتبر",Calc!$G1085=""),"",Calc!$G1085)</f>
        <v/>
      </c>
      <c r="B1081" t="str">
        <f>IF($A1081="","",LEFT(Calc!$E1085,4)&amp;MID(Calc!$E1085,6,2)&amp;RIGHT(Calc!$E1085,2)&amp;Calc!$Q1085&amp;"|"&amp;"1"&amp;RIGHT("00000"&amp;1076,5))</f>
        <v/>
      </c>
      <c r="C1081" t="str">
        <f t="shared" si="80"/>
        <v/>
      </c>
      <c r="D1081" t="str">
        <f t="shared" si="81"/>
        <v/>
      </c>
      <c r="F1081" t="str">
        <f>IF(Sync!$AH1081="","",IF(LEFT(UPPER(TRIM(Sync!$AH1081)),2)="SL",UPPER(TRIM(Sync!$AH1081)),""))</f>
        <v/>
      </c>
      <c r="G1081" t="str">
        <f>IF($F1081="","",IF(Sync!$AE1081="","",IF(ISNUMBER(Sync!$AE1081),IF(AND(Sync!$AE1081&gt;=10000101,Sync!$AE1081&lt;=99991231),INT(Sync!$AE1081/10000),""),IFERROR(VALUE(TRIM(LEFT(Sync!$AE1081,FIND("/",Sync!$AE1081)-1))),""))))</f>
        <v/>
      </c>
      <c r="H1081" t="str">
        <f>IF(OR($F1081="",$G1081=""),"",IF(ISNUMBER(Sync!$AE1081),INT(MOD(Sync!$AE1081,10000)/100),IFERROR(VALUE(TRIM(LEFT(MID(Sync!$AE1081,FIND("/",Sync!$AE1081)+1,20),FIND("/",MID(Sync!$AE1081,FIND("/",Sync!$AE1081)+1,20))-1))),"")))</f>
        <v/>
      </c>
      <c r="I1081" t="str">
        <f>IF(OR($F1081="",$G1081=""),"",IF(ISNUMBER(Sync!$AE1081),MOD(Sync!$AE1081,100),IFERROR(VALUE(TRIM(MID(MID(Sync!$AE1081,FIND("/",Sync!$AE1081)+1,20),FIND("/",MID(Sync!$AE1081,FIND("/",Sync!$AE1081)+1,20))+1,20))),"")))</f>
        <v/>
      </c>
      <c r="J1081" t="str">
        <f t="shared" si="82"/>
        <v/>
      </c>
      <c r="K1081" t="str">
        <f>IF(OR($F1081="",$J1081="",$J1081="نامعتبر"),"",LEFT($J1081,4)&amp;MID($J1081,6,2)&amp;RIGHT($J1081,2)&amp;$N1081&amp;"|"&amp;"2"&amp;RIGHT("00000"&amp;1076,5))</f>
        <v/>
      </c>
      <c r="L1081" t="str">
        <f t="shared" si="83"/>
        <v/>
      </c>
      <c r="M1081" t="str">
        <f t="shared" si="84"/>
        <v/>
      </c>
      <c r="N1081" t="str">
        <f>IF($F1081="","",IF(Sync!$AF1081="","0000",IF(AND(ISNUMBER(Sync!$AF1081),Sync!$AF1081&gt;=0,Sync!$AF1081&lt;1),RIGHT("00"&amp;HOUR(Sync!$AF1081),2)&amp;RIGHT("00"&amp;MINUTE(Sync!$AF1081),2),IFERROR(RIGHT("00"&amp;VALUE(LEFT(Sync!$AF1081,FIND(":",Sync!$AF1081)-1)),2)&amp;RIGHT("00"&amp;VALUE(MID(Sync!$AF1081,FIND(":",Sync!$AF1081)+1,2)),2),"0000"))))</f>
        <v/>
      </c>
    </row>
    <row r="1082" spans="1:14" x14ac:dyDescent="0.2">
      <c r="A1082" t="str">
        <f>IF(OR(Calc!$E1086="",Calc!$E1086="نامعتبر",Calc!$G1086=""),"",Calc!$G1086)</f>
        <v/>
      </c>
      <c r="B1082" t="str">
        <f>IF($A1082="","",LEFT(Calc!$E1086,4)&amp;MID(Calc!$E1086,6,2)&amp;RIGHT(Calc!$E1086,2)&amp;Calc!$Q1086&amp;"|"&amp;"1"&amp;RIGHT("00000"&amp;1077,5))</f>
        <v/>
      </c>
      <c r="C1082" t="str">
        <f t="shared" si="80"/>
        <v/>
      </c>
      <c r="D1082" t="str">
        <f t="shared" si="81"/>
        <v/>
      </c>
      <c r="F1082" t="str">
        <f>IF(Sync!$AH1082="","",IF(LEFT(UPPER(TRIM(Sync!$AH1082)),2)="SL",UPPER(TRIM(Sync!$AH1082)),""))</f>
        <v/>
      </c>
      <c r="G1082" t="str">
        <f>IF($F1082="","",IF(Sync!$AE1082="","",IF(ISNUMBER(Sync!$AE1082),IF(AND(Sync!$AE1082&gt;=10000101,Sync!$AE1082&lt;=99991231),INT(Sync!$AE1082/10000),""),IFERROR(VALUE(TRIM(LEFT(Sync!$AE1082,FIND("/",Sync!$AE1082)-1))),""))))</f>
        <v/>
      </c>
      <c r="H1082" t="str">
        <f>IF(OR($F1082="",$G1082=""),"",IF(ISNUMBER(Sync!$AE1082),INT(MOD(Sync!$AE1082,10000)/100),IFERROR(VALUE(TRIM(LEFT(MID(Sync!$AE1082,FIND("/",Sync!$AE1082)+1,20),FIND("/",MID(Sync!$AE1082,FIND("/",Sync!$AE1082)+1,20))-1))),"")))</f>
        <v/>
      </c>
      <c r="I1082" t="str">
        <f>IF(OR($F1082="",$G1082=""),"",IF(ISNUMBER(Sync!$AE1082),MOD(Sync!$AE1082,100),IFERROR(VALUE(TRIM(MID(MID(Sync!$AE1082,FIND("/",Sync!$AE1082)+1,20),FIND("/",MID(Sync!$AE1082,FIND("/",Sync!$AE1082)+1,20))+1,20))),"")))</f>
        <v/>
      </c>
      <c r="J1082" t="str">
        <f t="shared" si="82"/>
        <v/>
      </c>
      <c r="K1082" t="str">
        <f>IF(OR($F1082="",$J1082="",$J1082="نامعتبر"),"",LEFT($J1082,4)&amp;MID($J1082,6,2)&amp;RIGHT($J1082,2)&amp;$N1082&amp;"|"&amp;"2"&amp;RIGHT("00000"&amp;1077,5))</f>
        <v/>
      </c>
      <c r="L1082" t="str">
        <f t="shared" si="83"/>
        <v/>
      </c>
      <c r="M1082" t="str">
        <f t="shared" si="84"/>
        <v/>
      </c>
      <c r="N1082" t="str">
        <f>IF($F1082="","",IF(Sync!$AF1082="","0000",IF(AND(ISNUMBER(Sync!$AF1082),Sync!$AF1082&gt;=0,Sync!$AF1082&lt;1),RIGHT("00"&amp;HOUR(Sync!$AF1082),2)&amp;RIGHT("00"&amp;MINUTE(Sync!$AF1082),2),IFERROR(RIGHT("00"&amp;VALUE(LEFT(Sync!$AF1082,FIND(":",Sync!$AF1082)-1)),2)&amp;RIGHT("00"&amp;VALUE(MID(Sync!$AF1082,FIND(":",Sync!$AF1082)+1,2)),2),"0000"))))</f>
        <v/>
      </c>
    </row>
    <row r="1083" spans="1:14" x14ac:dyDescent="0.2">
      <c r="A1083" t="str">
        <f>IF(OR(Calc!$E1087="",Calc!$E1087="نامعتبر",Calc!$G1087=""),"",Calc!$G1087)</f>
        <v/>
      </c>
      <c r="B1083" t="str">
        <f>IF($A1083="","",LEFT(Calc!$E1087,4)&amp;MID(Calc!$E1087,6,2)&amp;RIGHT(Calc!$E1087,2)&amp;Calc!$Q1087&amp;"|"&amp;"1"&amp;RIGHT("00000"&amp;1078,5))</f>
        <v/>
      </c>
      <c r="C1083" t="str">
        <f t="shared" si="80"/>
        <v/>
      </c>
      <c r="D1083" t="str">
        <f t="shared" si="81"/>
        <v/>
      </c>
      <c r="F1083" t="str">
        <f>IF(Sync!$AH1083="","",IF(LEFT(UPPER(TRIM(Sync!$AH1083)),2)="SL",UPPER(TRIM(Sync!$AH1083)),""))</f>
        <v/>
      </c>
      <c r="G1083" t="str">
        <f>IF($F1083="","",IF(Sync!$AE1083="","",IF(ISNUMBER(Sync!$AE1083),IF(AND(Sync!$AE1083&gt;=10000101,Sync!$AE1083&lt;=99991231),INT(Sync!$AE1083/10000),""),IFERROR(VALUE(TRIM(LEFT(Sync!$AE1083,FIND("/",Sync!$AE1083)-1))),""))))</f>
        <v/>
      </c>
      <c r="H1083" t="str">
        <f>IF(OR($F1083="",$G1083=""),"",IF(ISNUMBER(Sync!$AE1083),INT(MOD(Sync!$AE1083,10000)/100),IFERROR(VALUE(TRIM(LEFT(MID(Sync!$AE1083,FIND("/",Sync!$AE1083)+1,20),FIND("/",MID(Sync!$AE1083,FIND("/",Sync!$AE1083)+1,20))-1))),"")))</f>
        <v/>
      </c>
      <c r="I1083" t="str">
        <f>IF(OR($F1083="",$G1083=""),"",IF(ISNUMBER(Sync!$AE1083),MOD(Sync!$AE1083,100),IFERROR(VALUE(TRIM(MID(MID(Sync!$AE1083,FIND("/",Sync!$AE1083)+1,20),FIND("/",MID(Sync!$AE1083,FIND("/",Sync!$AE1083)+1,20))+1,20))),"")))</f>
        <v/>
      </c>
      <c r="J1083" t="str">
        <f t="shared" si="82"/>
        <v/>
      </c>
      <c r="K1083" t="str">
        <f>IF(OR($F1083="",$J1083="",$J1083="نامعتبر"),"",LEFT($J1083,4)&amp;MID($J1083,6,2)&amp;RIGHT($J1083,2)&amp;$N1083&amp;"|"&amp;"2"&amp;RIGHT("00000"&amp;1078,5))</f>
        <v/>
      </c>
      <c r="L1083" t="str">
        <f t="shared" si="83"/>
        <v/>
      </c>
      <c r="M1083" t="str">
        <f t="shared" si="84"/>
        <v/>
      </c>
      <c r="N1083" t="str">
        <f>IF($F1083="","",IF(Sync!$AF1083="","0000",IF(AND(ISNUMBER(Sync!$AF1083),Sync!$AF1083&gt;=0,Sync!$AF1083&lt;1),RIGHT("00"&amp;HOUR(Sync!$AF1083),2)&amp;RIGHT("00"&amp;MINUTE(Sync!$AF1083),2),IFERROR(RIGHT("00"&amp;VALUE(LEFT(Sync!$AF1083,FIND(":",Sync!$AF1083)-1)),2)&amp;RIGHT("00"&amp;VALUE(MID(Sync!$AF1083,FIND(":",Sync!$AF1083)+1,2)),2),"0000"))))</f>
        <v/>
      </c>
    </row>
    <row r="1084" spans="1:14" x14ac:dyDescent="0.2">
      <c r="A1084" t="str">
        <f>IF(OR(Calc!$E1088="",Calc!$E1088="نامعتبر",Calc!$G1088=""),"",Calc!$G1088)</f>
        <v/>
      </c>
      <c r="B1084" t="str">
        <f>IF($A1084="","",LEFT(Calc!$E1088,4)&amp;MID(Calc!$E1088,6,2)&amp;RIGHT(Calc!$E1088,2)&amp;Calc!$Q1088&amp;"|"&amp;"1"&amp;RIGHT("00000"&amp;1079,5))</f>
        <v/>
      </c>
      <c r="C1084" t="str">
        <f t="shared" si="80"/>
        <v/>
      </c>
      <c r="D1084" t="str">
        <f t="shared" si="81"/>
        <v/>
      </c>
      <c r="F1084" t="str">
        <f>IF(Sync!$AH1084="","",IF(LEFT(UPPER(TRIM(Sync!$AH1084)),2)="SL",UPPER(TRIM(Sync!$AH1084)),""))</f>
        <v/>
      </c>
      <c r="G1084" t="str">
        <f>IF($F1084="","",IF(Sync!$AE1084="","",IF(ISNUMBER(Sync!$AE1084),IF(AND(Sync!$AE1084&gt;=10000101,Sync!$AE1084&lt;=99991231),INT(Sync!$AE1084/10000),""),IFERROR(VALUE(TRIM(LEFT(Sync!$AE1084,FIND("/",Sync!$AE1084)-1))),""))))</f>
        <v/>
      </c>
      <c r="H1084" t="str">
        <f>IF(OR($F1084="",$G1084=""),"",IF(ISNUMBER(Sync!$AE1084),INT(MOD(Sync!$AE1084,10000)/100),IFERROR(VALUE(TRIM(LEFT(MID(Sync!$AE1084,FIND("/",Sync!$AE1084)+1,20),FIND("/",MID(Sync!$AE1084,FIND("/",Sync!$AE1084)+1,20))-1))),"")))</f>
        <v/>
      </c>
      <c r="I1084" t="str">
        <f>IF(OR($F1084="",$G1084=""),"",IF(ISNUMBER(Sync!$AE1084),MOD(Sync!$AE1084,100),IFERROR(VALUE(TRIM(MID(MID(Sync!$AE1084,FIND("/",Sync!$AE1084)+1,20),FIND("/",MID(Sync!$AE1084,FIND("/",Sync!$AE1084)+1,20))+1,20))),"")))</f>
        <v/>
      </c>
      <c r="J1084" t="str">
        <f t="shared" si="82"/>
        <v/>
      </c>
      <c r="K1084" t="str">
        <f>IF(OR($F1084="",$J1084="",$J1084="نامعتبر"),"",LEFT($J1084,4)&amp;MID($J1084,6,2)&amp;RIGHT($J1084,2)&amp;$N1084&amp;"|"&amp;"2"&amp;RIGHT("00000"&amp;1079,5))</f>
        <v/>
      </c>
      <c r="L1084" t="str">
        <f t="shared" si="83"/>
        <v/>
      </c>
      <c r="M1084" t="str">
        <f t="shared" si="84"/>
        <v/>
      </c>
      <c r="N1084" t="str">
        <f>IF($F1084="","",IF(Sync!$AF1084="","0000",IF(AND(ISNUMBER(Sync!$AF1084),Sync!$AF1084&gt;=0,Sync!$AF1084&lt;1),RIGHT("00"&amp;HOUR(Sync!$AF1084),2)&amp;RIGHT("00"&amp;MINUTE(Sync!$AF1084),2),IFERROR(RIGHT("00"&amp;VALUE(LEFT(Sync!$AF1084,FIND(":",Sync!$AF1084)-1)),2)&amp;RIGHT("00"&amp;VALUE(MID(Sync!$AF1084,FIND(":",Sync!$AF1084)+1,2)),2),"0000"))))</f>
        <v/>
      </c>
    </row>
    <row r="1085" spans="1:14" x14ac:dyDescent="0.2">
      <c r="A1085" t="str">
        <f>IF(OR(Calc!$E1089="",Calc!$E1089="نامعتبر",Calc!$G1089=""),"",Calc!$G1089)</f>
        <v/>
      </c>
      <c r="B1085" t="str">
        <f>IF($A1085="","",LEFT(Calc!$E1089,4)&amp;MID(Calc!$E1089,6,2)&amp;RIGHT(Calc!$E1089,2)&amp;Calc!$Q1089&amp;"|"&amp;"1"&amp;RIGHT("00000"&amp;1080,5))</f>
        <v/>
      </c>
      <c r="C1085" t="str">
        <f t="shared" si="80"/>
        <v/>
      </c>
      <c r="D1085" t="str">
        <f t="shared" si="81"/>
        <v/>
      </c>
      <c r="F1085" t="str">
        <f>IF(Sync!$AH1085="","",IF(LEFT(UPPER(TRIM(Sync!$AH1085)),2)="SL",UPPER(TRIM(Sync!$AH1085)),""))</f>
        <v/>
      </c>
      <c r="G1085" t="str">
        <f>IF($F1085="","",IF(Sync!$AE1085="","",IF(ISNUMBER(Sync!$AE1085),IF(AND(Sync!$AE1085&gt;=10000101,Sync!$AE1085&lt;=99991231),INT(Sync!$AE1085/10000),""),IFERROR(VALUE(TRIM(LEFT(Sync!$AE1085,FIND("/",Sync!$AE1085)-1))),""))))</f>
        <v/>
      </c>
      <c r="H1085" t="str">
        <f>IF(OR($F1085="",$G1085=""),"",IF(ISNUMBER(Sync!$AE1085),INT(MOD(Sync!$AE1085,10000)/100),IFERROR(VALUE(TRIM(LEFT(MID(Sync!$AE1085,FIND("/",Sync!$AE1085)+1,20),FIND("/",MID(Sync!$AE1085,FIND("/",Sync!$AE1085)+1,20))-1))),"")))</f>
        <v/>
      </c>
      <c r="I1085" t="str">
        <f>IF(OR($F1085="",$G1085=""),"",IF(ISNUMBER(Sync!$AE1085),MOD(Sync!$AE1085,100),IFERROR(VALUE(TRIM(MID(MID(Sync!$AE1085,FIND("/",Sync!$AE1085)+1,20),FIND("/",MID(Sync!$AE1085,FIND("/",Sync!$AE1085)+1,20))+1,20))),"")))</f>
        <v/>
      </c>
      <c r="J1085" t="str">
        <f t="shared" si="82"/>
        <v/>
      </c>
      <c r="K1085" t="str">
        <f>IF(OR($F1085="",$J1085="",$J1085="نامعتبر"),"",LEFT($J1085,4)&amp;MID($J1085,6,2)&amp;RIGHT($J1085,2)&amp;$N1085&amp;"|"&amp;"2"&amp;RIGHT("00000"&amp;1080,5))</f>
        <v/>
      </c>
      <c r="L1085" t="str">
        <f t="shared" si="83"/>
        <v/>
      </c>
      <c r="M1085" t="str">
        <f t="shared" si="84"/>
        <v/>
      </c>
      <c r="N1085" t="str">
        <f>IF($F1085="","",IF(Sync!$AF1085="","0000",IF(AND(ISNUMBER(Sync!$AF1085),Sync!$AF1085&gt;=0,Sync!$AF1085&lt;1),RIGHT("00"&amp;HOUR(Sync!$AF1085),2)&amp;RIGHT("00"&amp;MINUTE(Sync!$AF1085),2),IFERROR(RIGHT("00"&amp;VALUE(LEFT(Sync!$AF1085,FIND(":",Sync!$AF1085)-1)),2)&amp;RIGHT("00"&amp;VALUE(MID(Sync!$AF1085,FIND(":",Sync!$AF1085)+1,2)),2),"0000"))))</f>
        <v/>
      </c>
    </row>
    <row r="1086" spans="1:14" x14ac:dyDescent="0.2">
      <c r="A1086" t="str">
        <f>IF(OR(Calc!$E1090="",Calc!$E1090="نامعتبر",Calc!$G1090=""),"",Calc!$G1090)</f>
        <v/>
      </c>
      <c r="B1086" t="str">
        <f>IF($A1086="","",LEFT(Calc!$E1090,4)&amp;MID(Calc!$E1090,6,2)&amp;RIGHT(Calc!$E1090,2)&amp;Calc!$Q1090&amp;"|"&amp;"1"&amp;RIGHT("00000"&amp;1081,5))</f>
        <v/>
      </c>
      <c r="C1086" t="str">
        <f t="shared" si="80"/>
        <v/>
      </c>
      <c r="D1086" t="str">
        <f t="shared" si="81"/>
        <v/>
      </c>
      <c r="F1086" t="str">
        <f>IF(Sync!$AH1086="","",IF(LEFT(UPPER(TRIM(Sync!$AH1086)),2)="SL",UPPER(TRIM(Sync!$AH1086)),""))</f>
        <v/>
      </c>
      <c r="G1086" t="str">
        <f>IF($F1086="","",IF(Sync!$AE1086="","",IF(ISNUMBER(Sync!$AE1086),IF(AND(Sync!$AE1086&gt;=10000101,Sync!$AE1086&lt;=99991231),INT(Sync!$AE1086/10000),""),IFERROR(VALUE(TRIM(LEFT(Sync!$AE1086,FIND("/",Sync!$AE1086)-1))),""))))</f>
        <v/>
      </c>
      <c r="H1086" t="str">
        <f>IF(OR($F1086="",$G1086=""),"",IF(ISNUMBER(Sync!$AE1086),INT(MOD(Sync!$AE1086,10000)/100),IFERROR(VALUE(TRIM(LEFT(MID(Sync!$AE1086,FIND("/",Sync!$AE1086)+1,20),FIND("/",MID(Sync!$AE1086,FIND("/",Sync!$AE1086)+1,20))-1))),"")))</f>
        <v/>
      </c>
      <c r="I1086" t="str">
        <f>IF(OR($F1086="",$G1086=""),"",IF(ISNUMBER(Sync!$AE1086),MOD(Sync!$AE1086,100),IFERROR(VALUE(TRIM(MID(MID(Sync!$AE1086,FIND("/",Sync!$AE1086)+1,20),FIND("/",MID(Sync!$AE1086,FIND("/",Sync!$AE1086)+1,20))+1,20))),"")))</f>
        <v/>
      </c>
      <c r="J1086" t="str">
        <f t="shared" si="82"/>
        <v/>
      </c>
      <c r="K1086" t="str">
        <f>IF(OR($F1086="",$J1086="",$J1086="نامعتبر"),"",LEFT($J1086,4)&amp;MID($J1086,6,2)&amp;RIGHT($J1086,2)&amp;$N1086&amp;"|"&amp;"2"&amp;RIGHT("00000"&amp;1081,5))</f>
        <v/>
      </c>
      <c r="L1086" t="str">
        <f t="shared" si="83"/>
        <v/>
      </c>
      <c r="M1086" t="str">
        <f t="shared" si="84"/>
        <v/>
      </c>
      <c r="N1086" t="str">
        <f>IF($F1086="","",IF(Sync!$AF1086="","0000",IF(AND(ISNUMBER(Sync!$AF1086),Sync!$AF1086&gt;=0,Sync!$AF1086&lt;1),RIGHT("00"&amp;HOUR(Sync!$AF1086),2)&amp;RIGHT("00"&amp;MINUTE(Sync!$AF1086),2),IFERROR(RIGHT("00"&amp;VALUE(LEFT(Sync!$AF1086,FIND(":",Sync!$AF1086)-1)),2)&amp;RIGHT("00"&amp;VALUE(MID(Sync!$AF1086,FIND(":",Sync!$AF1086)+1,2)),2),"0000"))))</f>
        <v/>
      </c>
    </row>
    <row r="1087" spans="1:14" x14ac:dyDescent="0.2">
      <c r="A1087" t="str">
        <f>IF(OR(Calc!$E1091="",Calc!$E1091="نامعتبر",Calc!$G1091=""),"",Calc!$G1091)</f>
        <v/>
      </c>
      <c r="B1087" t="str">
        <f>IF($A1087="","",LEFT(Calc!$E1091,4)&amp;MID(Calc!$E1091,6,2)&amp;RIGHT(Calc!$E1091,2)&amp;Calc!$Q1091&amp;"|"&amp;"1"&amp;RIGHT("00000"&amp;1082,5))</f>
        <v/>
      </c>
      <c r="C1087" t="str">
        <f t="shared" si="80"/>
        <v/>
      </c>
      <c r="D1087" t="str">
        <f t="shared" si="81"/>
        <v/>
      </c>
      <c r="F1087" t="str">
        <f>IF(Sync!$AH1087="","",IF(LEFT(UPPER(TRIM(Sync!$AH1087)),2)="SL",UPPER(TRIM(Sync!$AH1087)),""))</f>
        <v/>
      </c>
      <c r="G1087" t="str">
        <f>IF($F1087="","",IF(Sync!$AE1087="","",IF(ISNUMBER(Sync!$AE1087),IF(AND(Sync!$AE1087&gt;=10000101,Sync!$AE1087&lt;=99991231),INT(Sync!$AE1087/10000),""),IFERROR(VALUE(TRIM(LEFT(Sync!$AE1087,FIND("/",Sync!$AE1087)-1))),""))))</f>
        <v/>
      </c>
      <c r="H1087" t="str">
        <f>IF(OR($F1087="",$G1087=""),"",IF(ISNUMBER(Sync!$AE1087),INT(MOD(Sync!$AE1087,10000)/100),IFERROR(VALUE(TRIM(LEFT(MID(Sync!$AE1087,FIND("/",Sync!$AE1087)+1,20),FIND("/",MID(Sync!$AE1087,FIND("/",Sync!$AE1087)+1,20))-1))),"")))</f>
        <v/>
      </c>
      <c r="I1087" t="str">
        <f>IF(OR($F1087="",$G1087=""),"",IF(ISNUMBER(Sync!$AE1087),MOD(Sync!$AE1087,100),IFERROR(VALUE(TRIM(MID(MID(Sync!$AE1087,FIND("/",Sync!$AE1087)+1,20),FIND("/",MID(Sync!$AE1087,FIND("/",Sync!$AE1087)+1,20))+1,20))),"")))</f>
        <v/>
      </c>
      <c r="J1087" t="str">
        <f t="shared" si="82"/>
        <v/>
      </c>
      <c r="K1087" t="str">
        <f>IF(OR($F1087="",$J1087="",$J1087="نامعتبر"),"",LEFT($J1087,4)&amp;MID($J1087,6,2)&amp;RIGHT($J1087,2)&amp;$N1087&amp;"|"&amp;"2"&amp;RIGHT("00000"&amp;1082,5))</f>
        <v/>
      </c>
      <c r="L1087" t="str">
        <f t="shared" si="83"/>
        <v/>
      </c>
      <c r="M1087" t="str">
        <f t="shared" si="84"/>
        <v/>
      </c>
      <c r="N1087" t="str">
        <f>IF($F1087="","",IF(Sync!$AF1087="","0000",IF(AND(ISNUMBER(Sync!$AF1087),Sync!$AF1087&gt;=0,Sync!$AF1087&lt;1),RIGHT("00"&amp;HOUR(Sync!$AF1087),2)&amp;RIGHT("00"&amp;MINUTE(Sync!$AF1087),2),IFERROR(RIGHT("00"&amp;VALUE(LEFT(Sync!$AF1087,FIND(":",Sync!$AF1087)-1)),2)&amp;RIGHT("00"&amp;VALUE(MID(Sync!$AF1087,FIND(":",Sync!$AF1087)+1,2)),2),"0000"))))</f>
        <v/>
      </c>
    </row>
    <row r="1088" spans="1:14" x14ac:dyDescent="0.2">
      <c r="A1088" t="str">
        <f>IF(OR(Calc!$E1092="",Calc!$E1092="نامعتبر",Calc!$G1092=""),"",Calc!$G1092)</f>
        <v/>
      </c>
      <c r="B1088" t="str">
        <f>IF($A1088="","",LEFT(Calc!$E1092,4)&amp;MID(Calc!$E1092,6,2)&amp;RIGHT(Calc!$E1092,2)&amp;Calc!$Q1092&amp;"|"&amp;"1"&amp;RIGHT("00000"&amp;1083,5))</f>
        <v/>
      </c>
      <c r="C1088" t="str">
        <f t="shared" si="80"/>
        <v/>
      </c>
      <c r="D1088" t="str">
        <f t="shared" si="81"/>
        <v/>
      </c>
      <c r="F1088" t="str">
        <f>IF(Sync!$AH1088="","",IF(LEFT(UPPER(TRIM(Sync!$AH1088)),2)="SL",UPPER(TRIM(Sync!$AH1088)),""))</f>
        <v/>
      </c>
      <c r="G1088" t="str">
        <f>IF($F1088="","",IF(Sync!$AE1088="","",IF(ISNUMBER(Sync!$AE1088),IF(AND(Sync!$AE1088&gt;=10000101,Sync!$AE1088&lt;=99991231),INT(Sync!$AE1088/10000),""),IFERROR(VALUE(TRIM(LEFT(Sync!$AE1088,FIND("/",Sync!$AE1088)-1))),""))))</f>
        <v/>
      </c>
      <c r="H1088" t="str">
        <f>IF(OR($F1088="",$G1088=""),"",IF(ISNUMBER(Sync!$AE1088),INT(MOD(Sync!$AE1088,10000)/100),IFERROR(VALUE(TRIM(LEFT(MID(Sync!$AE1088,FIND("/",Sync!$AE1088)+1,20),FIND("/",MID(Sync!$AE1088,FIND("/",Sync!$AE1088)+1,20))-1))),"")))</f>
        <v/>
      </c>
      <c r="I1088" t="str">
        <f>IF(OR($F1088="",$G1088=""),"",IF(ISNUMBER(Sync!$AE1088),MOD(Sync!$AE1088,100),IFERROR(VALUE(TRIM(MID(MID(Sync!$AE1088,FIND("/",Sync!$AE1088)+1,20),FIND("/",MID(Sync!$AE1088,FIND("/",Sync!$AE1088)+1,20))+1,20))),"")))</f>
        <v/>
      </c>
      <c r="J1088" t="str">
        <f t="shared" si="82"/>
        <v/>
      </c>
      <c r="K1088" t="str">
        <f>IF(OR($F1088="",$J1088="",$J1088="نامعتبر"),"",LEFT($J1088,4)&amp;MID($J1088,6,2)&amp;RIGHT($J1088,2)&amp;$N1088&amp;"|"&amp;"2"&amp;RIGHT("00000"&amp;1083,5))</f>
        <v/>
      </c>
      <c r="L1088" t="str">
        <f t="shared" si="83"/>
        <v/>
      </c>
      <c r="M1088" t="str">
        <f t="shared" si="84"/>
        <v/>
      </c>
      <c r="N1088" t="str">
        <f>IF($F1088="","",IF(Sync!$AF1088="","0000",IF(AND(ISNUMBER(Sync!$AF1088),Sync!$AF1088&gt;=0,Sync!$AF1088&lt;1),RIGHT("00"&amp;HOUR(Sync!$AF1088),2)&amp;RIGHT("00"&amp;MINUTE(Sync!$AF1088),2),IFERROR(RIGHT("00"&amp;VALUE(LEFT(Sync!$AF1088,FIND(":",Sync!$AF1088)-1)),2)&amp;RIGHT("00"&amp;VALUE(MID(Sync!$AF1088,FIND(":",Sync!$AF1088)+1,2)),2),"0000"))))</f>
        <v/>
      </c>
    </row>
    <row r="1089" spans="1:14" x14ac:dyDescent="0.2">
      <c r="A1089" t="str">
        <f>IF(OR(Calc!$E1093="",Calc!$E1093="نامعتبر",Calc!$G1093=""),"",Calc!$G1093)</f>
        <v/>
      </c>
      <c r="B1089" t="str">
        <f>IF($A1089="","",LEFT(Calc!$E1093,4)&amp;MID(Calc!$E1093,6,2)&amp;RIGHT(Calc!$E1093,2)&amp;Calc!$Q1093&amp;"|"&amp;"1"&amp;RIGHT("00000"&amp;1084,5))</f>
        <v/>
      </c>
      <c r="C1089" t="str">
        <f t="shared" si="80"/>
        <v/>
      </c>
      <c r="D1089" t="str">
        <f t="shared" si="81"/>
        <v/>
      </c>
      <c r="F1089" t="str">
        <f>IF(Sync!$AH1089="","",IF(LEFT(UPPER(TRIM(Sync!$AH1089)),2)="SL",UPPER(TRIM(Sync!$AH1089)),""))</f>
        <v/>
      </c>
      <c r="G1089" t="str">
        <f>IF($F1089="","",IF(Sync!$AE1089="","",IF(ISNUMBER(Sync!$AE1089),IF(AND(Sync!$AE1089&gt;=10000101,Sync!$AE1089&lt;=99991231),INT(Sync!$AE1089/10000),""),IFERROR(VALUE(TRIM(LEFT(Sync!$AE1089,FIND("/",Sync!$AE1089)-1))),""))))</f>
        <v/>
      </c>
      <c r="H1089" t="str">
        <f>IF(OR($F1089="",$G1089=""),"",IF(ISNUMBER(Sync!$AE1089),INT(MOD(Sync!$AE1089,10000)/100),IFERROR(VALUE(TRIM(LEFT(MID(Sync!$AE1089,FIND("/",Sync!$AE1089)+1,20),FIND("/",MID(Sync!$AE1089,FIND("/",Sync!$AE1089)+1,20))-1))),"")))</f>
        <v/>
      </c>
      <c r="I1089" t="str">
        <f>IF(OR($F1089="",$G1089=""),"",IF(ISNUMBER(Sync!$AE1089),MOD(Sync!$AE1089,100),IFERROR(VALUE(TRIM(MID(MID(Sync!$AE1089,FIND("/",Sync!$AE1089)+1,20),FIND("/",MID(Sync!$AE1089,FIND("/",Sync!$AE1089)+1,20))+1,20))),"")))</f>
        <v/>
      </c>
      <c r="J1089" t="str">
        <f t="shared" si="82"/>
        <v/>
      </c>
      <c r="K1089" t="str">
        <f>IF(OR($F1089="",$J1089="",$J1089="نامعتبر"),"",LEFT($J1089,4)&amp;MID($J1089,6,2)&amp;RIGHT($J1089,2)&amp;$N1089&amp;"|"&amp;"2"&amp;RIGHT("00000"&amp;1084,5))</f>
        <v/>
      </c>
      <c r="L1089" t="str">
        <f t="shared" si="83"/>
        <v/>
      </c>
      <c r="M1089" t="str">
        <f t="shared" si="84"/>
        <v/>
      </c>
      <c r="N1089" t="str">
        <f>IF($F1089="","",IF(Sync!$AF1089="","0000",IF(AND(ISNUMBER(Sync!$AF1089),Sync!$AF1089&gt;=0,Sync!$AF1089&lt;1),RIGHT("00"&amp;HOUR(Sync!$AF1089),2)&amp;RIGHT("00"&amp;MINUTE(Sync!$AF1089),2),IFERROR(RIGHT("00"&amp;VALUE(LEFT(Sync!$AF1089,FIND(":",Sync!$AF1089)-1)),2)&amp;RIGHT("00"&amp;VALUE(MID(Sync!$AF1089,FIND(":",Sync!$AF1089)+1,2)),2),"0000"))))</f>
        <v/>
      </c>
    </row>
    <row r="1090" spans="1:14" x14ac:dyDescent="0.2">
      <c r="A1090" t="str">
        <f>IF(OR(Calc!$E1094="",Calc!$E1094="نامعتبر",Calc!$G1094=""),"",Calc!$G1094)</f>
        <v/>
      </c>
      <c r="B1090" t="str">
        <f>IF($A1090="","",LEFT(Calc!$E1094,4)&amp;MID(Calc!$E1094,6,2)&amp;RIGHT(Calc!$E1094,2)&amp;Calc!$Q1094&amp;"|"&amp;"1"&amp;RIGHT("00000"&amp;1085,5))</f>
        <v/>
      </c>
      <c r="C1090" t="str">
        <f t="shared" si="80"/>
        <v/>
      </c>
      <c r="D1090" t="str">
        <f t="shared" si="81"/>
        <v/>
      </c>
      <c r="F1090" t="str">
        <f>IF(Sync!$AH1090="","",IF(LEFT(UPPER(TRIM(Sync!$AH1090)),2)="SL",UPPER(TRIM(Sync!$AH1090)),""))</f>
        <v/>
      </c>
      <c r="G1090" t="str">
        <f>IF($F1090="","",IF(Sync!$AE1090="","",IF(ISNUMBER(Sync!$AE1090),IF(AND(Sync!$AE1090&gt;=10000101,Sync!$AE1090&lt;=99991231),INT(Sync!$AE1090/10000),""),IFERROR(VALUE(TRIM(LEFT(Sync!$AE1090,FIND("/",Sync!$AE1090)-1))),""))))</f>
        <v/>
      </c>
      <c r="H1090" t="str">
        <f>IF(OR($F1090="",$G1090=""),"",IF(ISNUMBER(Sync!$AE1090),INT(MOD(Sync!$AE1090,10000)/100),IFERROR(VALUE(TRIM(LEFT(MID(Sync!$AE1090,FIND("/",Sync!$AE1090)+1,20),FIND("/",MID(Sync!$AE1090,FIND("/",Sync!$AE1090)+1,20))-1))),"")))</f>
        <v/>
      </c>
      <c r="I1090" t="str">
        <f>IF(OR($F1090="",$G1090=""),"",IF(ISNUMBER(Sync!$AE1090),MOD(Sync!$AE1090,100),IFERROR(VALUE(TRIM(MID(MID(Sync!$AE1090,FIND("/",Sync!$AE1090)+1,20),FIND("/",MID(Sync!$AE1090,FIND("/",Sync!$AE1090)+1,20))+1,20))),"")))</f>
        <v/>
      </c>
      <c r="J1090" t="str">
        <f t="shared" si="82"/>
        <v/>
      </c>
      <c r="K1090" t="str">
        <f>IF(OR($F1090="",$J1090="",$J1090="نامعتبر"),"",LEFT($J1090,4)&amp;MID($J1090,6,2)&amp;RIGHT($J1090,2)&amp;$N1090&amp;"|"&amp;"2"&amp;RIGHT("00000"&amp;1085,5))</f>
        <v/>
      </c>
      <c r="L1090" t="str">
        <f t="shared" si="83"/>
        <v/>
      </c>
      <c r="M1090" t="str">
        <f t="shared" si="84"/>
        <v/>
      </c>
      <c r="N1090" t="str">
        <f>IF($F1090="","",IF(Sync!$AF1090="","0000",IF(AND(ISNUMBER(Sync!$AF1090),Sync!$AF1090&gt;=0,Sync!$AF1090&lt;1),RIGHT("00"&amp;HOUR(Sync!$AF1090),2)&amp;RIGHT("00"&amp;MINUTE(Sync!$AF1090),2),IFERROR(RIGHT("00"&amp;VALUE(LEFT(Sync!$AF1090,FIND(":",Sync!$AF1090)-1)),2)&amp;RIGHT("00"&amp;VALUE(MID(Sync!$AF1090,FIND(":",Sync!$AF1090)+1,2)),2),"0000"))))</f>
        <v/>
      </c>
    </row>
    <row r="1091" spans="1:14" x14ac:dyDescent="0.2">
      <c r="A1091" t="str">
        <f>IF(OR(Calc!$E1095="",Calc!$E1095="نامعتبر",Calc!$G1095=""),"",Calc!$G1095)</f>
        <v/>
      </c>
      <c r="B1091" t="str">
        <f>IF($A1091="","",LEFT(Calc!$E1095,4)&amp;MID(Calc!$E1095,6,2)&amp;RIGHT(Calc!$E1095,2)&amp;Calc!$Q1095&amp;"|"&amp;"1"&amp;RIGHT("00000"&amp;1086,5))</f>
        <v/>
      </c>
      <c r="C1091" t="str">
        <f t="shared" si="80"/>
        <v/>
      </c>
      <c r="D1091" t="str">
        <f t="shared" si="81"/>
        <v/>
      </c>
      <c r="F1091" t="str">
        <f>IF(Sync!$AH1091="","",IF(LEFT(UPPER(TRIM(Sync!$AH1091)),2)="SL",UPPER(TRIM(Sync!$AH1091)),""))</f>
        <v/>
      </c>
      <c r="G1091" t="str">
        <f>IF($F1091="","",IF(Sync!$AE1091="","",IF(ISNUMBER(Sync!$AE1091),IF(AND(Sync!$AE1091&gt;=10000101,Sync!$AE1091&lt;=99991231),INT(Sync!$AE1091/10000),""),IFERROR(VALUE(TRIM(LEFT(Sync!$AE1091,FIND("/",Sync!$AE1091)-1))),""))))</f>
        <v/>
      </c>
      <c r="H1091" t="str">
        <f>IF(OR($F1091="",$G1091=""),"",IF(ISNUMBER(Sync!$AE1091),INT(MOD(Sync!$AE1091,10000)/100),IFERROR(VALUE(TRIM(LEFT(MID(Sync!$AE1091,FIND("/",Sync!$AE1091)+1,20),FIND("/",MID(Sync!$AE1091,FIND("/",Sync!$AE1091)+1,20))-1))),"")))</f>
        <v/>
      </c>
      <c r="I1091" t="str">
        <f>IF(OR($F1091="",$G1091=""),"",IF(ISNUMBER(Sync!$AE1091),MOD(Sync!$AE1091,100),IFERROR(VALUE(TRIM(MID(MID(Sync!$AE1091,FIND("/",Sync!$AE1091)+1,20),FIND("/",MID(Sync!$AE1091,FIND("/",Sync!$AE1091)+1,20))+1,20))),"")))</f>
        <v/>
      </c>
      <c r="J1091" t="str">
        <f t="shared" si="82"/>
        <v/>
      </c>
      <c r="K1091" t="str">
        <f>IF(OR($F1091="",$J1091="",$J1091="نامعتبر"),"",LEFT($J1091,4)&amp;MID($J1091,6,2)&amp;RIGHT($J1091,2)&amp;$N1091&amp;"|"&amp;"2"&amp;RIGHT("00000"&amp;1086,5))</f>
        <v/>
      </c>
      <c r="L1091" t="str">
        <f t="shared" si="83"/>
        <v/>
      </c>
      <c r="M1091" t="str">
        <f t="shared" si="84"/>
        <v/>
      </c>
      <c r="N1091" t="str">
        <f>IF($F1091="","",IF(Sync!$AF1091="","0000",IF(AND(ISNUMBER(Sync!$AF1091),Sync!$AF1091&gt;=0,Sync!$AF1091&lt;1),RIGHT("00"&amp;HOUR(Sync!$AF1091),2)&amp;RIGHT("00"&amp;MINUTE(Sync!$AF1091),2),IFERROR(RIGHT("00"&amp;VALUE(LEFT(Sync!$AF1091,FIND(":",Sync!$AF1091)-1)),2)&amp;RIGHT("00"&amp;VALUE(MID(Sync!$AF1091,FIND(":",Sync!$AF1091)+1,2)),2),"0000"))))</f>
        <v/>
      </c>
    </row>
    <row r="1092" spans="1:14" x14ac:dyDescent="0.2">
      <c r="A1092" t="str">
        <f>IF(OR(Calc!$E1096="",Calc!$E1096="نامعتبر",Calc!$G1096=""),"",Calc!$G1096)</f>
        <v/>
      </c>
      <c r="B1092" t="str">
        <f>IF($A1092="","",LEFT(Calc!$E1096,4)&amp;MID(Calc!$E1096,6,2)&amp;RIGHT(Calc!$E1096,2)&amp;Calc!$Q1096&amp;"|"&amp;"1"&amp;RIGHT("00000"&amp;1087,5))</f>
        <v/>
      </c>
      <c r="C1092" t="str">
        <f t="shared" si="80"/>
        <v/>
      </c>
      <c r="D1092" t="str">
        <f t="shared" si="81"/>
        <v/>
      </c>
      <c r="F1092" t="str">
        <f>IF(Sync!$AH1092="","",IF(LEFT(UPPER(TRIM(Sync!$AH1092)),2)="SL",UPPER(TRIM(Sync!$AH1092)),""))</f>
        <v/>
      </c>
      <c r="G1092" t="str">
        <f>IF($F1092="","",IF(Sync!$AE1092="","",IF(ISNUMBER(Sync!$AE1092),IF(AND(Sync!$AE1092&gt;=10000101,Sync!$AE1092&lt;=99991231),INT(Sync!$AE1092/10000),""),IFERROR(VALUE(TRIM(LEFT(Sync!$AE1092,FIND("/",Sync!$AE1092)-1))),""))))</f>
        <v/>
      </c>
      <c r="H1092" t="str">
        <f>IF(OR($F1092="",$G1092=""),"",IF(ISNUMBER(Sync!$AE1092),INT(MOD(Sync!$AE1092,10000)/100),IFERROR(VALUE(TRIM(LEFT(MID(Sync!$AE1092,FIND("/",Sync!$AE1092)+1,20),FIND("/",MID(Sync!$AE1092,FIND("/",Sync!$AE1092)+1,20))-1))),"")))</f>
        <v/>
      </c>
      <c r="I1092" t="str">
        <f>IF(OR($F1092="",$G1092=""),"",IF(ISNUMBER(Sync!$AE1092),MOD(Sync!$AE1092,100),IFERROR(VALUE(TRIM(MID(MID(Sync!$AE1092,FIND("/",Sync!$AE1092)+1,20),FIND("/",MID(Sync!$AE1092,FIND("/",Sync!$AE1092)+1,20))+1,20))),"")))</f>
        <v/>
      </c>
      <c r="J1092" t="str">
        <f t="shared" si="82"/>
        <v/>
      </c>
      <c r="K1092" t="str">
        <f>IF(OR($F1092="",$J1092="",$J1092="نامعتبر"),"",LEFT($J1092,4)&amp;MID($J1092,6,2)&amp;RIGHT($J1092,2)&amp;$N1092&amp;"|"&amp;"2"&amp;RIGHT("00000"&amp;1087,5))</f>
        <v/>
      </c>
      <c r="L1092" t="str">
        <f t="shared" si="83"/>
        <v/>
      </c>
      <c r="M1092" t="str">
        <f t="shared" si="84"/>
        <v/>
      </c>
      <c r="N1092" t="str">
        <f>IF($F1092="","",IF(Sync!$AF1092="","0000",IF(AND(ISNUMBER(Sync!$AF1092),Sync!$AF1092&gt;=0,Sync!$AF1092&lt;1),RIGHT("00"&amp;HOUR(Sync!$AF1092),2)&amp;RIGHT("00"&amp;MINUTE(Sync!$AF1092),2),IFERROR(RIGHT("00"&amp;VALUE(LEFT(Sync!$AF1092,FIND(":",Sync!$AF1092)-1)),2)&amp;RIGHT("00"&amp;VALUE(MID(Sync!$AF1092,FIND(":",Sync!$AF1092)+1,2)),2),"0000"))))</f>
        <v/>
      </c>
    </row>
    <row r="1093" spans="1:14" x14ac:dyDescent="0.2">
      <c r="A1093" t="str">
        <f>IF(OR(Calc!$E1097="",Calc!$E1097="نامعتبر",Calc!$G1097=""),"",Calc!$G1097)</f>
        <v/>
      </c>
      <c r="B1093" t="str">
        <f>IF($A1093="","",LEFT(Calc!$E1097,4)&amp;MID(Calc!$E1097,6,2)&amp;RIGHT(Calc!$E1097,2)&amp;Calc!$Q1097&amp;"|"&amp;"1"&amp;RIGHT("00000"&amp;1088,5))</f>
        <v/>
      </c>
      <c r="C1093" t="str">
        <f t="shared" si="80"/>
        <v/>
      </c>
      <c r="D1093" t="str">
        <f t="shared" si="81"/>
        <v/>
      </c>
      <c r="F1093" t="str">
        <f>IF(Sync!$AH1093="","",IF(LEFT(UPPER(TRIM(Sync!$AH1093)),2)="SL",UPPER(TRIM(Sync!$AH1093)),""))</f>
        <v/>
      </c>
      <c r="G1093" t="str">
        <f>IF($F1093="","",IF(Sync!$AE1093="","",IF(ISNUMBER(Sync!$AE1093),IF(AND(Sync!$AE1093&gt;=10000101,Sync!$AE1093&lt;=99991231),INT(Sync!$AE1093/10000),""),IFERROR(VALUE(TRIM(LEFT(Sync!$AE1093,FIND("/",Sync!$AE1093)-1))),""))))</f>
        <v/>
      </c>
      <c r="H1093" t="str">
        <f>IF(OR($F1093="",$G1093=""),"",IF(ISNUMBER(Sync!$AE1093),INT(MOD(Sync!$AE1093,10000)/100),IFERROR(VALUE(TRIM(LEFT(MID(Sync!$AE1093,FIND("/",Sync!$AE1093)+1,20),FIND("/",MID(Sync!$AE1093,FIND("/",Sync!$AE1093)+1,20))-1))),"")))</f>
        <v/>
      </c>
      <c r="I1093" t="str">
        <f>IF(OR($F1093="",$G1093=""),"",IF(ISNUMBER(Sync!$AE1093),MOD(Sync!$AE1093,100),IFERROR(VALUE(TRIM(MID(MID(Sync!$AE1093,FIND("/",Sync!$AE1093)+1,20),FIND("/",MID(Sync!$AE1093,FIND("/",Sync!$AE1093)+1,20))+1,20))),"")))</f>
        <v/>
      </c>
      <c r="J1093" t="str">
        <f t="shared" si="82"/>
        <v/>
      </c>
      <c r="K1093" t="str">
        <f>IF(OR($F1093="",$J1093="",$J1093="نامعتبر"),"",LEFT($J1093,4)&amp;MID($J1093,6,2)&amp;RIGHT($J1093,2)&amp;$N1093&amp;"|"&amp;"2"&amp;RIGHT("00000"&amp;1088,5))</f>
        <v/>
      </c>
      <c r="L1093" t="str">
        <f t="shared" si="83"/>
        <v/>
      </c>
      <c r="M1093" t="str">
        <f t="shared" si="84"/>
        <v/>
      </c>
      <c r="N1093" t="str">
        <f>IF($F1093="","",IF(Sync!$AF1093="","0000",IF(AND(ISNUMBER(Sync!$AF1093),Sync!$AF1093&gt;=0,Sync!$AF1093&lt;1),RIGHT("00"&amp;HOUR(Sync!$AF1093),2)&amp;RIGHT("00"&amp;MINUTE(Sync!$AF1093),2),IFERROR(RIGHT("00"&amp;VALUE(LEFT(Sync!$AF1093,FIND(":",Sync!$AF1093)-1)),2)&amp;RIGHT("00"&amp;VALUE(MID(Sync!$AF1093,FIND(":",Sync!$AF1093)+1,2)),2),"0000"))))</f>
        <v/>
      </c>
    </row>
    <row r="1094" spans="1:14" x14ac:dyDescent="0.2">
      <c r="A1094" t="str">
        <f>IF(OR(Calc!$E1098="",Calc!$E1098="نامعتبر",Calc!$G1098=""),"",Calc!$G1098)</f>
        <v/>
      </c>
      <c r="B1094" t="str">
        <f>IF($A1094="","",LEFT(Calc!$E1098,4)&amp;MID(Calc!$E1098,6,2)&amp;RIGHT(Calc!$E1098,2)&amp;Calc!$Q1098&amp;"|"&amp;"1"&amp;RIGHT("00000"&amp;1089,5))</f>
        <v/>
      </c>
      <c r="C1094" t="str">
        <f t="shared" ref="C1094:C1157" si="85">IF($B1094="","",COUNTIFS(LdgSellerA,$A1094,LdgKeyA,"&lt;"&amp;$B1094)+COUNTIFS(LdgSellerB,$A1094,LdgKeyB,"&lt;"&amp;$B1094)+1)</f>
        <v/>
      </c>
      <c r="D1094" t="str">
        <f t="shared" ref="D1094:D1157" si="86">IF($C1094="","",$A1094&amp;"|"&amp;RIGHT("000000"&amp;$C1094,6))</f>
        <v/>
      </c>
      <c r="F1094" t="str">
        <f>IF(Sync!$AH1094="","",IF(LEFT(UPPER(TRIM(Sync!$AH1094)),2)="SL",UPPER(TRIM(Sync!$AH1094)),""))</f>
        <v/>
      </c>
      <c r="G1094" t="str">
        <f>IF($F1094="","",IF(Sync!$AE1094="","",IF(ISNUMBER(Sync!$AE1094),IF(AND(Sync!$AE1094&gt;=10000101,Sync!$AE1094&lt;=99991231),INT(Sync!$AE1094/10000),""),IFERROR(VALUE(TRIM(LEFT(Sync!$AE1094,FIND("/",Sync!$AE1094)-1))),""))))</f>
        <v/>
      </c>
      <c r="H1094" t="str">
        <f>IF(OR($F1094="",$G1094=""),"",IF(ISNUMBER(Sync!$AE1094),INT(MOD(Sync!$AE1094,10000)/100),IFERROR(VALUE(TRIM(LEFT(MID(Sync!$AE1094,FIND("/",Sync!$AE1094)+1,20),FIND("/",MID(Sync!$AE1094,FIND("/",Sync!$AE1094)+1,20))-1))),"")))</f>
        <v/>
      </c>
      <c r="I1094" t="str">
        <f>IF(OR($F1094="",$G1094=""),"",IF(ISNUMBER(Sync!$AE1094),MOD(Sync!$AE1094,100),IFERROR(VALUE(TRIM(MID(MID(Sync!$AE1094,FIND("/",Sync!$AE1094)+1,20),FIND("/",MID(Sync!$AE1094,FIND("/",Sync!$AE1094)+1,20))+1,20))),"")))</f>
        <v/>
      </c>
      <c r="J1094" t="str">
        <f t="shared" ref="J1094:J1157" si="87">IF($F1094="","",IF(OR($G1094="",$H1094="",$I1094="",$G1094&lt;1300,$G1094&gt;1500,$H1094&lt;1,$H1094&gt;12,$I1094&lt;1,$I1094&gt;31),"نامعتبر",RIGHT("0000"&amp;$G1094,4)&amp;"/"&amp;RIGHT("00"&amp;$H1094,2)&amp;"/"&amp;RIGHT("00"&amp;$I1094,2)))</f>
        <v/>
      </c>
      <c r="K1094" t="str">
        <f>IF(OR($F1094="",$J1094="",$J1094="نامعتبر"),"",LEFT($J1094,4)&amp;MID($J1094,6,2)&amp;RIGHT($J1094,2)&amp;$N1094&amp;"|"&amp;"2"&amp;RIGHT("00000"&amp;1089,5))</f>
        <v/>
      </c>
      <c r="L1094" t="str">
        <f t="shared" ref="L1094:L1157" si="88">IF($K1094="","",COUNTIFS(LdgSellerA,$F1094,LdgKeyA,"&lt;"&amp;$K1094)+COUNTIFS(LdgSellerB,$F1094,LdgKeyB,"&lt;"&amp;$K1094)+1)</f>
        <v/>
      </c>
      <c r="M1094" t="str">
        <f t="shared" ref="M1094:M1157" si="89">IF($L1094="","",$F1094&amp;"|"&amp;RIGHT("000000"&amp;$L1094,6))</f>
        <v/>
      </c>
      <c r="N1094" t="str">
        <f>IF($F1094="","",IF(Sync!$AF1094="","0000",IF(AND(ISNUMBER(Sync!$AF1094),Sync!$AF1094&gt;=0,Sync!$AF1094&lt;1),RIGHT("00"&amp;HOUR(Sync!$AF1094),2)&amp;RIGHT("00"&amp;MINUTE(Sync!$AF1094),2),IFERROR(RIGHT("00"&amp;VALUE(LEFT(Sync!$AF1094,FIND(":",Sync!$AF1094)-1)),2)&amp;RIGHT("00"&amp;VALUE(MID(Sync!$AF1094,FIND(":",Sync!$AF1094)+1,2)),2),"0000"))))</f>
        <v/>
      </c>
    </row>
    <row r="1095" spans="1:14" x14ac:dyDescent="0.2">
      <c r="A1095" t="str">
        <f>IF(OR(Calc!$E1099="",Calc!$E1099="نامعتبر",Calc!$G1099=""),"",Calc!$G1099)</f>
        <v/>
      </c>
      <c r="B1095" t="str">
        <f>IF($A1095="","",LEFT(Calc!$E1099,4)&amp;MID(Calc!$E1099,6,2)&amp;RIGHT(Calc!$E1099,2)&amp;Calc!$Q1099&amp;"|"&amp;"1"&amp;RIGHT("00000"&amp;1090,5))</f>
        <v/>
      </c>
      <c r="C1095" t="str">
        <f t="shared" si="85"/>
        <v/>
      </c>
      <c r="D1095" t="str">
        <f t="shared" si="86"/>
        <v/>
      </c>
      <c r="F1095" t="str">
        <f>IF(Sync!$AH1095="","",IF(LEFT(UPPER(TRIM(Sync!$AH1095)),2)="SL",UPPER(TRIM(Sync!$AH1095)),""))</f>
        <v/>
      </c>
      <c r="G1095" t="str">
        <f>IF($F1095="","",IF(Sync!$AE1095="","",IF(ISNUMBER(Sync!$AE1095),IF(AND(Sync!$AE1095&gt;=10000101,Sync!$AE1095&lt;=99991231),INT(Sync!$AE1095/10000),""),IFERROR(VALUE(TRIM(LEFT(Sync!$AE1095,FIND("/",Sync!$AE1095)-1))),""))))</f>
        <v/>
      </c>
      <c r="H1095" t="str">
        <f>IF(OR($F1095="",$G1095=""),"",IF(ISNUMBER(Sync!$AE1095),INT(MOD(Sync!$AE1095,10000)/100),IFERROR(VALUE(TRIM(LEFT(MID(Sync!$AE1095,FIND("/",Sync!$AE1095)+1,20),FIND("/",MID(Sync!$AE1095,FIND("/",Sync!$AE1095)+1,20))-1))),"")))</f>
        <v/>
      </c>
      <c r="I1095" t="str">
        <f>IF(OR($F1095="",$G1095=""),"",IF(ISNUMBER(Sync!$AE1095),MOD(Sync!$AE1095,100),IFERROR(VALUE(TRIM(MID(MID(Sync!$AE1095,FIND("/",Sync!$AE1095)+1,20),FIND("/",MID(Sync!$AE1095,FIND("/",Sync!$AE1095)+1,20))+1,20))),"")))</f>
        <v/>
      </c>
      <c r="J1095" t="str">
        <f t="shared" si="87"/>
        <v/>
      </c>
      <c r="K1095" t="str">
        <f>IF(OR($F1095="",$J1095="",$J1095="نامعتبر"),"",LEFT($J1095,4)&amp;MID($J1095,6,2)&amp;RIGHT($J1095,2)&amp;$N1095&amp;"|"&amp;"2"&amp;RIGHT("00000"&amp;1090,5))</f>
        <v/>
      </c>
      <c r="L1095" t="str">
        <f t="shared" si="88"/>
        <v/>
      </c>
      <c r="M1095" t="str">
        <f t="shared" si="89"/>
        <v/>
      </c>
      <c r="N1095" t="str">
        <f>IF($F1095="","",IF(Sync!$AF1095="","0000",IF(AND(ISNUMBER(Sync!$AF1095),Sync!$AF1095&gt;=0,Sync!$AF1095&lt;1),RIGHT("00"&amp;HOUR(Sync!$AF1095),2)&amp;RIGHT("00"&amp;MINUTE(Sync!$AF1095),2),IFERROR(RIGHT("00"&amp;VALUE(LEFT(Sync!$AF1095,FIND(":",Sync!$AF1095)-1)),2)&amp;RIGHT("00"&amp;VALUE(MID(Sync!$AF1095,FIND(":",Sync!$AF1095)+1,2)),2),"0000"))))</f>
        <v/>
      </c>
    </row>
    <row r="1096" spans="1:14" x14ac:dyDescent="0.2">
      <c r="A1096" t="str">
        <f>IF(OR(Calc!$E1100="",Calc!$E1100="نامعتبر",Calc!$G1100=""),"",Calc!$G1100)</f>
        <v/>
      </c>
      <c r="B1096" t="str">
        <f>IF($A1096="","",LEFT(Calc!$E1100,4)&amp;MID(Calc!$E1100,6,2)&amp;RIGHT(Calc!$E1100,2)&amp;Calc!$Q1100&amp;"|"&amp;"1"&amp;RIGHT("00000"&amp;1091,5))</f>
        <v/>
      </c>
      <c r="C1096" t="str">
        <f t="shared" si="85"/>
        <v/>
      </c>
      <c r="D1096" t="str">
        <f t="shared" si="86"/>
        <v/>
      </c>
      <c r="F1096" t="str">
        <f>IF(Sync!$AH1096="","",IF(LEFT(UPPER(TRIM(Sync!$AH1096)),2)="SL",UPPER(TRIM(Sync!$AH1096)),""))</f>
        <v/>
      </c>
      <c r="G1096" t="str">
        <f>IF($F1096="","",IF(Sync!$AE1096="","",IF(ISNUMBER(Sync!$AE1096),IF(AND(Sync!$AE1096&gt;=10000101,Sync!$AE1096&lt;=99991231),INT(Sync!$AE1096/10000),""),IFERROR(VALUE(TRIM(LEFT(Sync!$AE1096,FIND("/",Sync!$AE1096)-1))),""))))</f>
        <v/>
      </c>
      <c r="H1096" t="str">
        <f>IF(OR($F1096="",$G1096=""),"",IF(ISNUMBER(Sync!$AE1096),INT(MOD(Sync!$AE1096,10000)/100),IFERROR(VALUE(TRIM(LEFT(MID(Sync!$AE1096,FIND("/",Sync!$AE1096)+1,20),FIND("/",MID(Sync!$AE1096,FIND("/",Sync!$AE1096)+1,20))-1))),"")))</f>
        <v/>
      </c>
      <c r="I1096" t="str">
        <f>IF(OR($F1096="",$G1096=""),"",IF(ISNUMBER(Sync!$AE1096),MOD(Sync!$AE1096,100),IFERROR(VALUE(TRIM(MID(MID(Sync!$AE1096,FIND("/",Sync!$AE1096)+1,20),FIND("/",MID(Sync!$AE1096,FIND("/",Sync!$AE1096)+1,20))+1,20))),"")))</f>
        <v/>
      </c>
      <c r="J1096" t="str">
        <f t="shared" si="87"/>
        <v/>
      </c>
      <c r="K1096" t="str">
        <f>IF(OR($F1096="",$J1096="",$J1096="نامعتبر"),"",LEFT($J1096,4)&amp;MID($J1096,6,2)&amp;RIGHT($J1096,2)&amp;$N1096&amp;"|"&amp;"2"&amp;RIGHT("00000"&amp;1091,5))</f>
        <v/>
      </c>
      <c r="L1096" t="str">
        <f t="shared" si="88"/>
        <v/>
      </c>
      <c r="M1096" t="str">
        <f t="shared" si="89"/>
        <v/>
      </c>
      <c r="N1096" t="str">
        <f>IF($F1096="","",IF(Sync!$AF1096="","0000",IF(AND(ISNUMBER(Sync!$AF1096),Sync!$AF1096&gt;=0,Sync!$AF1096&lt;1),RIGHT("00"&amp;HOUR(Sync!$AF1096),2)&amp;RIGHT("00"&amp;MINUTE(Sync!$AF1096),2),IFERROR(RIGHT("00"&amp;VALUE(LEFT(Sync!$AF1096,FIND(":",Sync!$AF1096)-1)),2)&amp;RIGHT("00"&amp;VALUE(MID(Sync!$AF1096,FIND(":",Sync!$AF1096)+1,2)),2),"0000"))))</f>
        <v/>
      </c>
    </row>
    <row r="1097" spans="1:14" x14ac:dyDescent="0.2">
      <c r="A1097" t="str">
        <f>IF(OR(Calc!$E1101="",Calc!$E1101="نامعتبر",Calc!$G1101=""),"",Calc!$G1101)</f>
        <v/>
      </c>
      <c r="B1097" t="str">
        <f>IF($A1097="","",LEFT(Calc!$E1101,4)&amp;MID(Calc!$E1101,6,2)&amp;RIGHT(Calc!$E1101,2)&amp;Calc!$Q1101&amp;"|"&amp;"1"&amp;RIGHT("00000"&amp;1092,5))</f>
        <v/>
      </c>
      <c r="C1097" t="str">
        <f t="shared" si="85"/>
        <v/>
      </c>
      <c r="D1097" t="str">
        <f t="shared" si="86"/>
        <v/>
      </c>
      <c r="F1097" t="str">
        <f>IF(Sync!$AH1097="","",IF(LEFT(UPPER(TRIM(Sync!$AH1097)),2)="SL",UPPER(TRIM(Sync!$AH1097)),""))</f>
        <v/>
      </c>
      <c r="G1097" t="str">
        <f>IF($F1097="","",IF(Sync!$AE1097="","",IF(ISNUMBER(Sync!$AE1097),IF(AND(Sync!$AE1097&gt;=10000101,Sync!$AE1097&lt;=99991231),INT(Sync!$AE1097/10000),""),IFERROR(VALUE(TRIM(LEFT(Sync!$AE1097,FIND("/",Sync!$AE1097)-1))),""))))</f>
        <v/>
      </c>
      <c r="H1097" t="str">
        <f>IF(OR($F1097="",$G1097=""),"",IF(ISNUMBER(Sync!$AE1097),INT(MOD(Sync!$AE1097,10000)/100),IFERROR(VALUE(TRIM(LEFT(MID(Sync!$AE1097,FIND("/",Sync!$AE1097)+1,20),FIND("/",MID(Sync!$AE1097,FIND("/",Sync!$AE1097)+1,20))-1))),"")))</f>
        <v/>
      </c>
      <c r="I1097" t="str">
        <f>IF(OR($F1097="",$G1097=""),"",IF(ISNUMBER(Sync!$AE1097),MOD(Sync!$AE1097,100),IFERROR(VALUE(TRIM(MID(MID(Sync!$AE1097,FIND("/",Sync!$AE1097)+1,20),FIND("/",MID(Sync!$AE1097,FIND("/",Sync!$AE1097)+1,20))+1,20))),"")))</f>
        <v/>
      </c>
      <c r="J1097" t="str">
        <f t="shared" si="87"/>
        <v/>
      </c>
      <c r="K1097" t="str">
        <f>IF(OR($F1097="",$J1097="",$J1097="نامعتبر"),"",LEFT($J1097,4)&amp;MID($J1097,6,2)&amp;RIGHT($J1097,2)&amp;$N1097&amp;"|"&amp;"2"&amp;RIGHT("00000"&amp;1092,5))</f>
        <v/>
      </c>
      <c r="L1097" t="str">
        <f t="shared" si="88"/>
        <v/>
      </c>
      <c r="M1097" t="str">
        <f t="shared" si="89"/>
        <v/>
      </c>
      <c r="N1097" t="str">
        <f>IF($F1097="","",IF(Sync!$AF1097="","0000",IF(AND(ISNUMBER(Sync!$AF1097),Sync!$AF1097&gt;=0,Sync!$AF1097&lt;1),RIGHT("00"&amp;HOUR(Sync!$AF1097),2)&amp;RIGHT("00"&amp;MINUTE(Sync!$AF1097),2),IFERROR(RIGHT("00"&amp;VALUE(LEFT(Sync!$AF1097,FIND(":",Sync!$AF1097)-1)),2)&amp;RIGHT("00"&amp;VALUE(MID(Sync!$AF1097,FIND(":",Sync!$AF1097)+1,2)),2),"0000"))))</f>
        <v/>
      </c>
    </row>
    <row r="1098" spans="1:14" x14ac:dyDescent="0.2">
      <c r="A1098" t="str">
        <f>IF(OR(Calc!$E1102="",Calc!$E1102="نامعتبر",Calc!$G1102=""),"",Calc!$G1102)</f>
        <v/>
      </c>
      <c r="B1098" t="str">
        <f>IF($A1098="","",LEFT(Calc!$E1102,4)&amp;MID(Calc!$E1102,6,2)&amp;RIGHT(Calc!$E1102,2)&amp;Calc!$Q1102&amp;"|"&amp;"1"&amp;RIGHT("00000"&amp;1093,5))</f>
        <v/>
      </c>
      <c r="C1098" t="str">
        <f t="shared" si="85"/>
        <v/>
      </c>
      <c r="D1098" t="str">
        <f t="shared" si="86"/>
        <v/>
      </c>
      <c r="F1098" t="str">
        <f>IF(Sync!$AH1098="","",IF(LEFT(UPPER(TRIM(Sync!$AH1098)),2)="SL",UPPER(TRIM(Sync!$AH1098)),""))</f>
        <v/>
      </c>
      <c r="G1098" t="str">
        <f>IF($F1098="","",IF(Sync!$AE1098="","",IF(ISNUMBER(Sync!$AE1098),IF(AND(Sync!$AE1098&gt;=10000101,Sync!$AE1098&lt;=99991231),INT(Sync!$AE1098/10000),""),IFERROR(VALUE(TRIM(LEFT(Sync!$AE1098,FIND("/",Sync!$AE1098)-1))),""))))</f>
        <v/>
      </c>
      <c r="H1098" t="str">
        <f>IF(OR($F1098="",$G1098=""),"",IF(ISNUMBER(Sync!$AE1098),INT(MOD(Sync!$AE1098,10000)/100),IFERROR(VALUE(TRIM(LEFT(MID(Sync!$AE1098,FIND("/",Sync!$AE1098)+1,20),FIND("/",MID(Sync!$AE1098,FIND("/",Sync!$AE1098)+1,20))-1))),"")))</f>
        <v/>
      </c>
      <c r="I1098" t="str">
        <f>IF(OR($F1098="",$G1098=""),"",IF(ISNUMBER(Sync!$AE1098),MOD(Sync!$AE1098,100),IFERROR(VALUE(TRIM(MID(MID(Sync!$AE1098,FIND("/",Sync!$AE1098)+1,20),FIND("/",MID(Sync!$AE1098,FIND("/",Sync!$AE1098)+1,20))+1,20))),"")))</f>
        <v/>
      </c>
      <c r="J1098" t="str">
        <f t="shared" si="87"/>
        <v/>
      </c>
      <c r="K1098" t="str">
        <f>IF(OR($F1098="",$J1098="",$J1098="نامعتبر"),"",LEFT($J1098,4)&amp;MID($J1098,6,2)&amp;RIGHT($J1098,2)&amp;$N1098&amp;"|"&amp;"2"&amp;RIGHT("00000"&amp;1093,5))</f>
        <v/>
      </c>
      <c r="L1098" t="str">
        <f t="shared" si="88"/>
        <v/>
      </c>
      <c r="M1098" t="str">
        <f t="shared" si="89"/>
        <v/>
      </c>
      <c r="N1098" t="str">
        <f>IF($F1098="","",IF(Sync!$AF1098="","0000",IF(AND(ISNUMBER(Sync!$AF1098),Sync!$AF1098&gt;=0,Sync!$AF1098&lt;1),RIGHT("00"&amp;HOUR(Sync!$AF1098),2)&amp;RIGHT("00"&amp;MINUTE(Sync!$AF1098),2),IFERROR(RIGHT("00"&amp;VALUE(LEFT(Sync!$AF1098,FIND(":",Sync!$AF1098)-1)),2)&amp;RIGHT("00"&amp;VALUE(MID(Sync!$AF1098,FIND(":",Sync!$AF1098)+1,2)),2),"0000"))))</f>
        <v/>
      </c>
    </row>
    <row r="1099" spans="1:14" x14ac:dyDescent="0.2">
      <c r="A1099" t="str">
        <f>IF(OR(Calc!$E1103="",Calc!$E1103="نامعتبر",Calc!$G1103=""),"",Calc!$G1103)</f>
        <v/>
      </c>
      <c r="B1099" t="str">
        <f>IF($A1099="","",LEFT(Calc!$E1103,4)&amp;MID(Calc!$E1103,6,2)&amp;RIGHT(Calc!$E1103,2)&amp;Calc!$Q1103&amp;"|"&amp;"1"&amp;RIGHT("00000"&amp;1094,5))</f>
        <v/>
      </c>
      <c r="C1099" t="str">
        <f t="shared" si="85"/>
        <v/>
      </c>
      <c r="D1099" t="str">
        <f t="shared" si="86"/>
        <v/>
      </c>
      <c r="F1099" t="str">
        <f>IF(Sync!$AH1099="","",IF(LEFT(UPPER(TRIM(Sync!$AH1099)),2)="SL",UPPER(TRIM(Sync!$AH1099)),""))</f>
        <v/>
      </c>
      <c r="G1099" t="str">
        <f>IF($F1099="","",IF(Sync!$AE1099="","",IF(ISNUMBER(Sync!$AE1099),IF(AND(Sync!$AE1099&gt;=10000101,Sync!$AE1099&lt;=99991231),INT(Sync!$AE1099/10000),""),IFERROR(VALUE(TRIM(LEFT(Sync!$AE1099,FIND("/",Sync!$AE1099)-1))),""))))</f>
        <v/>
      </c>
      <c r="H1099" t="str">
        <f>IF(OR($F1099="",$G1099=""),"",IF(ISNUMBER(Sync!$AE1099),INT(MOD(Sync!$AE1099,10000)/100),IFERROR(VALUE(TRIM(LEFT(MID(Sync!$AE1099,FIND("/",Sync!$AE1099)+1,20),FIND("/",MID(Sync!$AE1099,FIND("/",Sync!$AE1099)+1,20))-1))),"")))</f>
        <v/>
      </c>
      <c r="I1099" t="str">
        <f>IF(OR($F1099="",$G1099=""),"",IF(ISNUMBER(Sync!$AE1099),MOD(Sync!$AE1099,100),IFERROR(VALUE(TRIM(MID(MID(Sync!$AE1099,FIND("/",Sync!$AE1099)+1,20),FIND("/",MID(Sync!$AE1099,FIND("/",Sync!$AE1099)+1,20))+1,20))),"")))</f>
        <v/>
      </c>
      <c r="J1099" t="str">
        <f t="shared" si="87"/>
        <v/>
      </c>
      <c r="K1099" t="str">
        <f>IF(OR($F1099="",$J1099="",$J1099="نامعتبر"),"",LEFT($J1099,4)&amp;MID($J1099,6,2)&amp;RIGHT($J1099,2)&amp;$N1099&amp;"|"&amp;"2"&amp;RIGHT("00000"&amp;1094,5))</f>
        <v/>
      </c>
      <c r="L1099" t="str">
        <f t="shared" si="88"/>
        <v/>
      </c>
      <c r="M1099" t="str">
        <f t="shared" si="89"/>
        <v/>
      </c>
      <c r="N1099" t="str">
        <f>IF($F1099="","",IF(Sync!$AF1099="","0000",IF(AND(ISNUMBER(Sync!$AF1099),Sync!$AF1099&gt;=0,Sync!$AF1099&lt;1),RIGHT("00"&amp;HOUR(Sync!$AF1099),2)&amp;RIGHT("00"&amp;MINUTE(Sync!$AF1099),2),IFERROR(RIGHT("00"&amp;VALUE(LEFT(Sync!$AF1099,FIND(":",Sync!$AF1099)-1)),2)&amp;RIGHT("00"&amp;VALUE(MID(Sync!$AF1099,FIND(":",Sync!$AF1099)+1,2)),2),"0000"))))</f>
        <v/>
      </c>
    </row>
    <row r="1100" spans="1:14" x14ac:dyDescent="0.2">
      <c r="A1100" t="str">
        <f>IF(OR(Calc!$E1104="",Calc!$E1104="نامعتبر",Calc!$G1104=""),"",Calc!$G1104)</f>
        <v/>
      </c>
      <c r="B1100" t="str">
        <f>IF($A1100="","",LEFT(Calc!$E1104,4)&amp;MID(Calc!$E1104,6,2)&amp;RIGHT(Calc!$E1104,2)&amp;Calc!$Q1104&amp;"|"&amp;"1"&amp;RIGHT("00000"&amp;1095,5))</f>
        <v/>
      </c>
      <c r="C1100" t="str">
        <f t="shared" si="85"/>
        <v/>
      </c>
      <c r="D1100" t="str">
        <f t="shared" si="86"/>
        <v/>
      </c>
      <c r="F1100" t="str">
        <f>IF(Sync!$AH1100="","",IF(LEFT(UPPER(TRIM(Sync!$AH1100)),2)="SL",UPPER(TRIM(Sync!$AH1100)),""))</f>
        <v/>
      </c>
      <c r="G1100" t="str">
        <f>IF($F1100="","",IF(Sync!$AE1100="","",IF(ISNUMBER(Sync!$AE1100),IF(AND(Sync!$AE1100&gt;=10000101,Sync!$AE1100&lt;=99991231),INT(Sync!$AE1100/10000),""),IFERROR(VALUE(TRIM(LEFT(Sync!$AE1100,FIND("/",Sync!$AE1100)-1))),""))))</f>
        <v/>
      </c>
      <c r="H1100" t="str">
        <f>IF(OR($F1100="",$G1100=""),"",IF(ISNUMBER(Sync!$AE1100),INT(MOD(Sync!$AE1100,10000)/100),IFERROR(VALUE(TRIM(LEFT(MID(Sync!$AE1100,FIND("/",Sync!$AE1100)+1,20),FIND("/",MID(Sync!$AE1100,FIND("/",Sync!$AE1100)+1,20))-1))),"")))</f>
        <v/>
      </c>
      <c r="I1100" t="str">
        <f>IF(OR($F1100="",$G1100=""),"",IF(ISNUMBER(Sync!$AE1100),MOD(Sync!$AE1100,100),IFERROR(VALUE(TRIM(MID(MID(Sync!$AE1100,FIND("/",Sync!$AE1100)+1,20),FIND("/",MID(Sync!$AE1100,FIND("/",Sync!$AE1100)+1,20))+1,20))),"")))</f>
        <v/>
      </c>
      <c r="J1100" t="str">
        <f t="shared" si="87"/>
        <v/>
      </c>
      <c r="K1100" t="str">
        <f>IF(OR($F1100="",$J1100="",$J1100="نامعتبر"),"",LEFT($J1100,4)&amp;MID($J1100,6,2)&amp;RIGHT($J1100,2)&amp;$N1100&amp;"|"&amp;"2"&amp;RIGHT("00000"&amp;1095,5))</f>
        <v/>
      </c>
      <c r="L1100" t="str">
        <f t="shared" si="88"/>
        <v/>
      </c>
      <c r="M1100" t="str">
        <f t="shared" si="89"/>
        <v/>
      </c>
      <c r="N1100" t="str">
        <f>IF($F1100="","",IF(Sync!$AF1100="","0000",IF(AND(ISNUMBER(Sync!$AF1100),Sync!$AF1100&gt;=0,Sync!$AF1100&lt;1),RIGHT("00"&amp;HOUR(Sync!$AF1100),2)&amp;RIGHT("00"&amp;MINUTE(Sync!$AF1100),2),IFERROR(RIGHT("00"&amp;VALUE(LEFT(Sync!$AF1100,FIND(":",Sync!$AF1100)-1)),2)&amp;RIGHT("00"&amp;VALUE(MID(Sync!$AF1100,FIND(":",Sync!$AF1100)+1,2)),2),"0000"))))</f>
        <v/>
      </c>
    </row>
    <row r="1101" spans="1:14" x14ac:dyDescent="0.2">
      <c r="A1101" t="str">
        <f>IF(OR(Calc!$E1105="",Calc!$E1105="نامعتبر",Calc!$G1105=""),"",Calc!$G1105)</f>
        <v/>
      </c>
      <c r="B1101" t="str">
        <f>IF($A1101="","",LEFT(Calc!$E1105,4)&amp;MID(Calc!$E1105,6,2)&amp;RIGHT(Calc!$E1105,2)&amp;Calc!$Q1105&amp;"|"&amp;"1"&amp;RIGHT("00000"&amp;1096,5))</f>
        <v/>
      </c>
      <c r="C1101" t="str">
        <f t="shared" si="85"/>
        <v/>
      </c>
      <c r="D1101" t="str">
        <f t="shared" si="86"/>
        <v/>
      </c>
      <c r="F1101" t="str">
        <f>IF(Sync!$AH1101="","",IF(LEFT(UPPER(TRIM(Sync!$AH1101)),2)="SL",UPPER(TRIM(Sync!$AH1101)),""))</f>
        <v/>
      </c>
      <c r="G1101" t="str">
        <f>IF($F1101="","",IF(Sync!$AE1101="","",IF(ISNUMBER(Sync!$AE1101),IF(AND(Sync!$AE1101&gt;=10000101,Sync!$AE1101&lt;=99991231),INT(Sync!$AE1101/10000),""),IFERROR(VALUE(TRIM(LEFT(Sync!$AE1101,FIND("/",Sync!$AE1101)-1))),""))))</f>
        <v/>
      </c>
      <c r="H1101" t="str">
        <f>IF(OR($F1101="",$G1101=""),"",IF(ISNUMBER(Sync!$AE1101),INT(MOD(Sync!$AE1101,10000)/100),IFERROR(VALUE(TRIM(LEFT(MID(Sync!$AE1101,FIND("/",Sync!$AE1101)+1,20),FIND("/",MID(Sync!$AE1101,FIND("/",Sync!$AE1101)+1,20))-1))),"")))</f>
        <v/>
      </c>
      <c r="I1101" t="str">
        <f>IF(OR($F1101="",$G1101=""),"",IF(ISNUMBER(Sync!$AE1101),MOD(Sync!$AE1101,100),IFERROR(VALUE(TRIM(MID(MID(Sync!$AE1101,FIND("/",Sync!$AE1101)+1,20),FIND("/",MID(Sync!$AE1101,FIND("/",Sync!$AE1101)+1,20))+1,20))),"")))</f>
        <v/>
      </c>
      <c r="J1101" t="str">
        <f t="shared" si="87"/>
        <v/>
      </c>
      <c r="K1101" t="str">
        <f>IF(OR($F1101="",$J1101="",$J1101="نامعتبر"),"",LEFT($J1101,4)&amp;MID($J1101,6,2)&amp;RIGHT($J1101,2)&amp;$N1101&amp;"|"&amp;"2"&amp;RIGHT("00000"&amp;1096,5))</f>
        <v/>
      </c>
      <c r="L1101" t="str">
        <f t="shared" si="88"/>
        <v/>
      </c>
      <c r="M1101" t="str">
        <f t="shared" si="89"/>
        <v/>
      </c>
      <c r="N1101" t="str">
        <f>IF($F1101="","",IF(Sync!$AF1101="","0000",IF(AND(ISNUMBER(Sync!$AF1101),Sync!$AF1101&gt;=0,Sync!$AF1101&lt;1),RIGHT("00"&amp;HOUR(Sync!$AF1101),2)&amp;RIGHT("00"&amp;MINUTE(Sync!$AF1101),2),IFERROR(RIGHT("00"&amp;VALUE(LEFT(Sync!$AF1101,FIND(":",Sync!$AF1101)-1)),2)&amp;RIGHT("00"&amp;VALUE(MID(Sync!$AF1101,FIND(":",Sync!$AF1101)+1,2)),2),"0000"))))</f>
        <v/>
      </c>
    </row>
    <row r="1102" spans="1:14" x14ac:dyDescent="0.2">
      <c r="A1102" t="str">
        <f>IF(OR(Calc!$E1106="",Calc!$E1106="نامعتبر",Calc!$G1106=""),"",Calc!$G1106)</f>
        <v/>
      </c>
      <c r="B1102" t="str">
        <f>IF($A1102="","",LEFT(Calc!$E1106,4)&amp;MID(Calc!$E1106,6,2)&amp;RIGHT(Calc!$E1106,2)&amp;Calc!$Q1106&amp;"|"&amp;"1"&amp;RIGHT("00000"&amp;1097,5))</f>
        <v/>
      </c>
      <c r="C1102" t="str">
        <f t="shared" si="85"/>
        <v/>
      </c>
      <c r="D1102" t="str">
        <f t="shared" si="86"/>
        <v/>
      </c>
      <c r="F1102" t="str">
        <f>IF(Sync!$AH1102="","",IF(LEFT(UPPER(TRIM(Sync!$AH1102)),2)="SL",UPPER(TRIM(Sync!$AH1102)),""))</f>
        <v/>
      </c>
      <c r="G1102" t="str">
        <f>IF($F1102="","",IF(Sync!$AE1102="","",IF(ISNUMBER(Sync!$AE1102),IF(AND(Sync!$AE1102&gt;=10000101,Sync!$AE1102&lt;=99991231),INT(Sync!$AE1102/10000),""),IFERROR(VALUE(TRIM(LEFT(Sync!$AE1102,FIND("/",Sync!$AE1102)-1))),""))))</f>
        <v/>
      </c>
      <c r="H1102" t="str">
        <f>IF(OR($F1102="",$G1102=""),"",IF(ISNUMBER(Sync!$AE1102),INT(MOD(Sync!$AE1102,10000)/100),IFERROR(VALUE(TRIM(LEFT(MID(Sync!$AE1102,FIND("/",Sync!$AE1102)+1,20),FIND("/",MID(Sync!$AE1102,FIND("/",Sync!$AE1102)+1,20))-1))),"")))</f>
        <v/>
      </c>
      <c r="I1102" t="str">
        <f>IF(OR($F1102="",$G1102=""),"",IF(ISNUMBER(Sync!$AE1102),MOD(Sync!$AE1102,100),IFERROR(VALUE(TRIM(MID(MID(Sync!$AE1102,FIND("/",Sync!$AE1102)+1,20),FIND("/",MID(Sync!$AE1102,FIND("/",Sync!$AE1102)+1,20))+1,20))),"")))</f>
        <v/>
      </c>
      <c r="J1102" t="str">
        <f t="shared" si="87"/>
        <v/>
      </c>
      <c r="K1102" t="str">
        <f>IF(OR($F1102="",$J1102="",$J1102="نامعتبر"),"",LEFT($J1102,4)&amp;MID($J1102,6,2)&amp;RIGHT($J1102,2)&amp;$N1102&amp;"|"&amp;"2"&amp;RIGHT("00000"&amp;1097,5))</f>
        <v/>
      </c>
      <c r="L1102" t="str">
        <f t="shared" si="88"/>
        <v/>
      </c>
      <c r="M1102" t="str">
        <f t="shared" si="89"/>
        <v/>
      </c>
      <c r="N1102" t="str">
        <f>IF($F1102="","",IF(Sync!$AF1102="","0000",IF(AND(ISNUMBER(Sync!$AF1102),Sync!$AF1102&gt;=0,Sync!$AF1102&lt;1),RIGHT("00"&amp;HOUR(Sync!$AF1102),2)&amp;RIGHT("00"&amp;MINUTE(Sync!$AF1102),2),IFERROR(RIGHT("00"&amp;VALUE(LEFT(Sync!$AF1102,FIND(":",Sync!$AF1102)-1)),2)&amp;RIGHT("00"&amp;VALUE(MID(Sync!$AF1102,FIND(":",Sync!$AF1102)+1,2)),2),"0000"))))</f>
        <v/>
      </c>
    </row>
    <row r="1103" spans="1:14" x14ac:dyDescent="0.2">
      <c r="A1103" t="str">
        <f>IF(OR(Calc!$E1107="",Calc!$E1107="نامعتبر",Calc!$G1107=""),"",Calc!$G1107)</f>
        <v/>
      </c>
      <c r="B1103" t="str">
        <f>IF($A1103="","",LEFT(Calc!$E1107,4)&amp;MID(Calc!$E1107,6,2)&amp;RIGHT(Calc!$E1107,2)&amp;Calc!$Q1107&amp;"|"&amp;"1"&amp;RIGHT("00000"&amp;1098,5))</f>
        <v/>
      </c>
      <c r="C1103" t="str">
        <f t="shared" si="85"/>
        <v/>
      </c>
      <c r="D1103" t="str">
        <f t="shared" si="86"/>
        <v/>
      </c>
      <c r="F1103" t="str">
        <f>IF(Sync!$AH1103="","",IF(LEFT(UPPER(TRIM(Sync!$AH1103)),2)="SL",UPPER(TRIM(Sync!$AH1103)),""))</f>
        <v/>
      </c>
      <c r="G1103" t="str">
        <f>IF($F1103="","",IF(Sync!$AE1103="","",IF(ISNUMBER(Sync!$AE1103),IF(AND(Sync!$AE1103&gt;=10000101,Sync!$AE1103&lt;=99991231),INT(Sync!$AE1103/10000),""),IFERROR(VALUE(TRIM(LEFT(Sync!$AE1103,FIND("/",Sync!$AE1103)-1))),""))))</f>
        <v/>
      </c>
      <c r="H1103" t="str">
        <f>IF(OR($F1103="",$G1103=""),"",IF(ISNUMBER(Sync!$AE1103),INT(MOD(Sync!$AE1103,10000)/100),IFERROR(VALUE(TRIM(LEFT(MID(Sync!$AE1103,FIND("/",Sync!$AE1103)+1,20),FIND("/",MID(Sync!$AE1103,FIND("/",Sync!$AE1103)+1,20))-1))),"")))</f>
        <v/>
      </c>
      <c r="I1103" t="str">
        <f>IF(OR($F1103="",$G1103=""),"",IF(ISNUMBER(Sync!$AE1103),MOD(Sync!$AE1103,100),IFERROR(VALUE(TRIM(MID(MID(Sync!$AE1103,FIND("/",Sync!$AE1103)+1,20),FIND("/",MID(Sync!$AE1103,FIND("/",Sync!$AE1103)+1,20))+1,20))),"")))</f>
        <v/>
      </c>
      <c r="J1103" t="str">
        <f t="shared" si="87"/>
        <v/>
      </c>
      <c r="K1103" t="str">
        <f>IF(OR($F1103="",$J1103="",$J1103="نامعتبر"),"",LEFT($J1103,4)&amp;MID($J1103,6,2)&amp;RIGHT($J1103,2)&amp;$N1103&amp;"|"&amp;"2"&amp;RIGHT("00000"&amp;1098,5))</f>
        <v/>
      </c>
      <c r="L1103" t="str">
        <f t="shared" si="88"/>
        <v/>
      </c>
      <c r="M1103" t="str">
        <f t="shared" si="89"/>
        <v/>
      </c>
      <c r="N1103" t="str">
        <f>IF($F1103="","",IF(Sync!$AF1103="","0000",IF(AND(ISNUMBER(Sync!$AF1103),Sync!$AF1103&gt;=0,Sync!$AF1103&lt;1),RIGHT("00"&amp;HOUR(Sync!$AF1103),2)&amp;RIGHT("00"&amp;MINUTE(Sync!$AF1103),2),IFERROR(RIGHT("00"&amp;VALUE(LEFT(Sync!$AF1103,FIND(":",Sync!$AF1103)-1)),2)&amp;RIGHT("00"&amp;VALUE(MID(Sync!$AF1103,FIND(":",Sync!$AF1103)+1,2)),2),"0000"))))</f>
        <v/>
      </c>
    </row>
    <row r="1104" spans="1:14" x14ac:dyDescent="0.2">
      <c r="A1104" t="str">
        <f>IF(OR(Calc!$E1108="",Calc!$E1108="نامعتبر",Calc!$G1108=""),"",Calc!$G1108)</f>
        <v/>
      </c>
      <c r="B1104" t="str">
        <f>IF($A1104="","",LEFT(Calc!$E1108,4)&amp;MID(Calc!$E1108,6,2)&amp;RIGHT(Calc!$E1108,2)&amp;Calc!$Q1108&amp;"|"&amp;"1"&amp;RIGHT("00000"&amp;1099,5))</f>
        <v/>
      </c>
      <c r="C1104" t="str">
        <f t="shared" si="85"/>
        <v/>
      </c>
      <c r="D1104" t="str">
        <f t="shared" si="86"/>
        <v/>
      </c>
      <c r="F1104" t="str">
        <f>IF(Sync!$AH1104="","",IF(LEFT(UPPER(TRIM(Sync!$AH1104)),2)="SL",UPPER(TRIM(Sync!$AH1104)),""))</f>
        <v/>
      </c>
      <c r="G1104" t="str">
        <f>IF($F1104="","",IF(Sync!$AE1104="","",IF(ISNUMBER(Sync!$AE1104),IF(AND(Sync!$AE1104&gt;=10000101,Sync!$AE1104&lt;=99991231),INT(Sync!$AE1104/10000),""),IFERROR(VALUE(TRIM(LEFT(Sync!$AE1104,FIND("/",Sync!$AE1104)-1))),""))))</f>
        <v/>
      </c>
      <c r="H1104" t="str">
        <f>IF(OR($F1104="",$G1104=""),"",IF(ISNUMBER(Sync!$AE1104),INT(MOD(Sync!$AE1104,10000)/100),IFERROR(VALUE(TRIM(LEFT(MID(Sync!$AE1104,FIND("/",Sync!$AE1104)+1,20),FIND("/",MID(Sync!$AE1104,FIND("/",Sync!$AE1104)+1,20))-1))),"")))</f>
        <v/>
      </c>
      <c r="I1104" t="str">
        <f>IF(OR($F1104="",$G1104=""),"",IF(ISNUMBER(Sync!$AE1104),MOD(Sync!$AE1104,100),IFERROR(VALUE(TRIM(MID(MID(Sync!$AE1104,FIND("/",Sync!$AE1104)+1,20),FIND("/",MID(Sync!$AE1104,FIND("/",Sync!$AE1104)+1,20))+1,20))),"")))</f>
        <v/>
      </c>
      <c r="J1104" t="str">
        <f t="shared" si="87"/>
        <v/>
      </c>
      <c r="K1104" t="str">
        <f>IF(OR($F1104="",$J1104="",$J1104="نامعتبر"),"",LEFT($J1104,4)&amp;MID($J1104,6,2)&amp;RIGHT($J1104,2)&amp;$N1104&amp;"|"&amp;"2"&amp;RIGHT("00000"&amp;1099,5))</f>
        <v/>
      </c>
      <c r="L1104" t="str">
        <f t="shared" si="88"/>
        <v/>
      </c>
      <c r="M1104" t="str">
        <f t="shared" si="89"/>
        <v/>
      </c>
      <c r="N1104" t="str">
        <f>IF($F1104="","",IF(Sync!$AF1104="","0000",IF(AND(ISNUMBER(Sync!$AF1104),Sync!$AF1104&gt;=0,Sync!$AF1104&lt;1),RIGHT("00"&amp;HOUR(Sync!$AF1104),2)&amp;RIGHT("00"&amp;MINUTE(Sync!$AF1104),2),IFERROR(RIGHT("00"&amp;VALUE(LEFT(Sync!$AF1104,FIND(":",Sync!$AF1104)-1)),2)&amp;RIGHT("00"&amp;VALUE(MID(Sync!$AF1104,FIND(":",Sync!$AF1104)+1,2)),2),"0000"))))</f>
        <v/>
      </c>
    </row>
    <row r="1105" spans="1:14" x14ac:dyDescent="0.2">
      <c r="A1105" t="str">
        <f>IF(OR(Calc!$E1109="",Calc!$E1109="نامعتبر",Calc!$G1109=""),"",Calc!$G1109)</f>
        <v/>
      </c>
      <c r="B1105" t="str">
        <f>IF($A1105="","",LEFT(Calc!$E1109,4)&amp;MID(Calc!$E1109,6,2)&amp;RIGHT(Calc!$E1109,2)&amp;Calc!$Q1109&amp;"|"&amp;"1"&amp;RIGHT("00000"&amp;1100,5))</f>
        <v/>
      </c>
      <c r="C1105" t="str">
        <f t="shared" si="85"/>
        <v/>
      </c>
      <c r="D1105" t="str">
        <f t="shared" si="86"/>
        <v/>
      </c>
      <c r="F1105" t="str">
        <f>IF(Sync!$AH1105="","",IF(LEFT(UPPER(TRIM(Sync!$AH1105)),2)="SL",UPPER(TRIM(Sync!$AH1105)),""))</f>
        <v/>
      </c>
      <c r="G1105" t="str">
        <f>IF($F1105="","",IF(Sync!$AE1105="","",IF(ISNUMBER(Sync!$AE1105),IF(AND(Sync!$AE1105&gt;=10000101,Sync!$AE1105&lt;=99991231),INT(Sync!$AE1105/10000),""),IFERROR(VALUE(TRIM(LEFT(Sync!$AE1105,FIND("/",Sync!$AE1105)-1))),""))))</f>
        <v/>
      </c>
      <c r="H1105" t="str">
        <f>IF(OR($F1105="",$G1105=""),"",IF(ISNUMBER(Sync!$AE1105),INT(MOD(Sync!$AE1105,10000)/100),IFERROR(VALUE(TRIM(LEFT(MID(Sync!$AE1105,FIND("/",Sync!$AE1105)+1,20),FIND("/",MID(Sync!$AE1105,FIND("/",Sync!$AE1105)+1,20))-1))),"")))</f>
        <v/>
      </c>
      <c r="I1105" t="str">
        <f>IF(OR($F1105="",$G1105=""),"",IF(ISNUMBER(Sync!$AE1105),MOD(Sync!$AE1105,100),IFERROR(VALUE(TRIM(MID(MID(Sync!$AE1105,FIND("/",Sync!$AE1105)+1,20),FIND("/",MID(Sync!$AE1105,FIND("/",Sync!$AE1105)+1,20))+1,20))),"")))</f>
        <v/>
      </c>
      <c r="J1105" t="str">
        <f t="shared" si="87"/>
        <v/>
      </c>
      <c r="K1105" t="str">
        <f>IF(OR($F1105="",$J1105="",$J1105="نامعتبر"),"",LEFT($J1105,4)&amp;MID($J1105,6,2)&amp;RIGHT($J1105,2)&amp;$N1105&amp;"|"&amp;"2"&amp;RIGHT("00000"&amp;1100,5))</f>
        <v/>
      </c>
      <c r="L1105" t="str">
        <f t="shared" si="88"/>
        <v/>
      </c>
      <c r="M1105" t="str">
        <f t="shared" si="89"/>
        <v/>
      </c>
      <c r="N1105" t="str">
        <f>IF($F1105="","",IF(Sync!$AF1105="","0000",IF(AND(ISNUMBER(Sync!$AF1105),Sync!$AF1105&gt;=0,Sync!$AF1105&lt;1),RIGHT("00"&amp;HOUR(Sync!$AF1105),2)&amp;RIGHT("00"&amp;MINUTE(Sync!$AF1105),2),IFERROR(RIGHT("00"&amp;VALUE(LEFT(Sync!$AF1105,FIND(":",Sync!$AF1105)-1)),2)&amp;RIGHT("00"&amp;VALUE(MID(Sync!$AF1105,FIND(":",Sync!$AF1105)+1,2)),2),"0000"))))</f>
        <v/>
      </c>
    </row>
    <row r="1106" spans="1:14" x14ac:dyDescent="0.2">
      <c r="A1106" t="str">
        <f>IF(OR(Calc!$E1110="",Calc!$E1110="نامعتبر",Calc!$G1110=""),"",Calc!$G1110)</f>
        <v/>
      </c>
      <c r="B1106" t="str">
        <f>IF($A1106="","",LEFT(Calc!$E1110,4)&amp;MID(Calc!$E1110,6,2)&amp;RIGHT(Calc!$E1110,2)&amp;Calc!$Q1110&amp;"|"&amp;"1"&amp;RIGHT("00000"&amp;1101,5))</f>
        <v/>
      </c>
      <c r="C1106" t="str">
        <f t="shared" si="85"/>
        <v/>
      </c>
      <c r="D1106" t="str">
        <f t="shared" si="86"/>
        <v/>
      </c>
      <c r="F1106" t="str">
        <f>IF(Sync!$AH1106="","",IF(LEFT(UPPER(TRIM(Sync!$AH1106)),2)="SL",UPPER(TRIM(Sync!$AH1106)),""))</f>
        <v/>
      </c>
      <c r="G1106" t="str">
        <f>IF($F1106="","",IF(Sync!$AE1106="","",IF(ISNUMBER(Sync!$AE1106),IF(AND(Sync!$AE1106&gt;=10000101,Sync!$AE1106&lt;=99991231),INT(Sync!$AE1106/10000),""),IFERROR(VALUE(TRIM(LEFT(Sync!$AE1106,FIND("/",Sync!$AE1106)-1))),""))))</f>
        <v/>
      </c>
      <c r="H1106" t="str">
        <f>IF(OR($F1106="",$G1106=""),"",IF(ISNUMBER(Sync!$AE1106),INT(MOD(Sync!$AE1106,10000)/100),IFERROR(VALUE(TRIM(LEFT(MID(Sync!$AE1106,FIND("/",Sync!$AE1106)+1,20),FIND("/",MID(Sync!$AE1106,FIND("/",Sync!$AE1106)+1,20))-1))),"")))</f>
        <v/>
      </c>
      <c r="I1106" t="str">
        <f>IF(OR($F1106="",$G1106=""),"",IF(ISNUMBER(Sync!$AE1106),MOD(Sync!$AE1106,100),IFERROR(VALUE(TRIM(MID(MID(Sync!$AE1106,FIND("/",Sync!$AE1106)+1,20),FIND("/",MID(Sync!$AE1106,FIND("/",Sync!$AE1106)+1,20))+1,20))),"")))</f>
        <v/>
      </c>
      <c r="J1106" t="str">
        <f t="shared" si="87"/>
        <v/>
      </c>
      <c r="K1106" t="str">
        <f>IF(OR($F1106="",$J1106="",$J1106="نامعتبر"),"",LEFT($J1106,4)&amp;MID($J1106,6,2)&amp;RIGHT($J1106,2)&amp;$N1106&amp;"|"&amp;"2"&amp;RIGHT("00000"&amp;1101,5))</f>
        <v/>
      </c>
      <c r="L1106" t="str">
        <f t="shared" si="88"/>
        <v/>
      </c>
      <c r="M1106" t="str">
        <f t="shared" si="89"/>
        <v/>
      </c>
      <c r="N1106" t="str">
        <f>IF($F1106="","",IF(Sync!$AF1106="","0000",IF(AND(ISNUMBER(Sync!$AF1106),Sync!$AF1106&gt;=0,Sync!$AF1106&lt;1),RIGHT("00"&amp;HOUR(Sync!$AF1106),2)&amp;RIGHT("00"&amp;MINUTE(Sync!$AF1106),2),IFERROR(RIGHT("00"&amp;VALUE(LEFT(Sync!$AF1106,FIND(":",Sync!$AF1106)-1)),2)&amp;RIGHT("00"&amp;VALUE(MID(Sync!$AF1106,FIND(":",Sync!$AF1106)+1,2)),2),"0000"))))</f>
        <v/>
      </c>
    </row>
    <row r="1107" spans="1:14" x14ac:dyDescent="0.2">
      <c r="A1107" t="str">
        <f>IF(OR(Calc!$E1111="",Calc!$E1111="نامعتبر",Calc!$G1111=""),"",Calc!$G1111)</f>
        <v/>
      </c>
      <c r="B1107" t="str">
        <f>IF($A1107="","",LEFT(Calc!$E1111,4)&amp;MID(Calc!$E1111,6,2)&amp;RIGHT(Calc!$E1111,2)&amp;Calc!$Q1111&amp;"|"&amp;"1"&amp;RIGHT("00000"&amp;1102,5))</f>
        <v/>
      </c>
      <c r="C1107" t="str">
        <f t="shared" si="85"/>
        <v/>
      </c>
      <c r="D1107" t="str">
        <f t="shared" si="86"/>
        <v/>
      </c>
      <c r="F1107" t="str">
        <f>IF(Sync!$AH1107="","",IF(LEFT(UPPER(TRIM(Sync!$AH1107)),2)="SL",UPPER(TRIM(Sync!$AH1107)),""))</f>
        <v/>
      </c>
      <c r="G1107" t="str">
        <f>IF($F1107="","",IF(Sync!$AE1107="","",IF(ISNUMBER(Sync!$AE1107),IF(AND(Sync!$AE1107&gt;=10000101,Sync!$AE1107&lt;=99991231),INT(Sync!$AE1107/10000),""),IFERROR(VALUE(TRIM(LEFT(Sync!$AE1107,FIND("/",Sync!$AE1107)-1))),""))))</f>
        <v/>
      </c>
      <c r="H1107" t="str">
        <f>IF(OR($F1107="",$G1107=""),"",IF(ISNUMBER(Sync!$AE1107),INT(MOD(Sync!$AE1107,10000)/100),IFERROR(VALUE(TRIM(LEFT(MID(Sync!$AE1107,FIND("/",Sync!$AE1107)+1,20),FIND("/",MID(Sync!$AE1107,FIND("/",Sync!$AE1107)+1,20))-1))),"")))</f>
        <v/>
      </c>
      <c r="I1107" t="str">
        <f>IF(OR($F1107="",$G1107=""),"",IF(ISNUMBER(Sync!$AE1107),MOD(Sync!$AE1107,100),IFERROR(VALUE(TRIM(MID(MID(Sync!$AE1107,FIND("/",Sync!$AE1107)+1,20),FIND("/",MID(Sync!$AE1107,FIND("/",Sync!$AE1107)+1,20))+1,20))),"")))</f>
        <v/>
      </c>
      <c r="J1107" t="str">
        <f t="shared" si="87"/>
        <v/>
      </c>
      <c r="K1107" t="str">
        <f>IF(OR($F1107="",$J1107="",$J1107="نامعتبر"),"",LEFT($J1107,4)&amp;MID($J1107,6,2)&amp;RIGHT($J1107,2)&amp;$N1107&amp;"|"&amp;"2"&amp;RIGHT("00000"&amp;1102,5))</f>
        <v/>
      </c>
      <c r="L1107" t="str">
        <f t="shared" si="88"/>
        <v/>
      </c>
      <c r="M1107" t="str">
        <f t="shared" si="89"/>
        <v/>
      </c>
      <c r="N1107" t="str">
        <f>IF($F1107="","",IF(Sync!$AF1107="","0000",IF(AND(ISNUMBER(Sync!$AF1107),Sync!$AF1107&gt;=0,Sync!$AF1107&lt;1),RIGHT("00"&amp;HOUR(Sync!$AF1107),2)&amp;RIGHT("00"&amp;MINUTE(Sync!$AF1107),2),IFERROR(RIGHT("00"&amp;VALUE(LEFT(Sync!$AF1107,FIND(":",Sync!$AF1107)-1)),2)&amp;RIGHT("00"&amp;VALUE(MID(Sync!$AF1107,FIND(":",Sync!$AF1107)+1,2)),2),"0000"))))</f>
        <v/>
      </c>
    </row>
    <row r="1108" spans="1:14" x14ac:dyDescent="0.2">
      <c r="A1108" t="str">
        <f>IF(OR(Calc!$E1112="",Calc!$E1112="نامعتبر",Calc!$G1112=""),"",Calc!$G1112)</f>
        <v/>
      </c>
      <c r="B1108" t="str">
        <f>IF($A1108="","",LEFT(Calc!$E1112,4)&amp;MID(Calc!$E1112,6,2)&amp;RIGHT(Calc!$E1112,2)&amp;Calc!$Q1112&amp;"|"&amp;"1"&amp;RIGHT("00000"&amp;1103,5))</f>
        <v/>
      </c>
      <c r="C1108" t="str">
        <f t="shared" si="85"/>
        <v/>
      </c>
      <c r="D1108" t="str">
        <f t="shared" si="86"/>
        <v/>
      </c>
      <c r="F1108" t="str">
        <f>IF(Sync!$AH1108="","",IF(LEFT(UPPER(TRIM(Sync!$AH1108)),2)="SL",UPPER(TRIM(Sync!$AH1108)),""))</f>
        <v/>
      </c>
      <c r="G1108" t="str">
        <f>IF($F1108="","",IF(Sync!$AE1108="","",IF(ISNUMBER(Sync!$AE1108),IF(AND(Sync!$AE1108&gt;=10000101,Sync!$AE1108&lt;=99991231),INT(Sync!$AE1108/10000),""),IFERROR(VALUE(TRIM(LEFT(Sync!$AE1108,FIND("/",Sync!$AE1108)-1))),""))))</f>
        <v/>
      </c>
      <c r="H1108" t="str">
        <f>IF(OR($F1108="",$G1108=""),"",IF(ISNUMBER(Sync!$AE1108),INT(MOD(Sync!$AE1108,10000)/100),IFERROR(VALUE(TRIM(LEFT(MID(Sync!$AE1108,FIND("/",Sync!$AE1108)+1,20),FIND("/",MID(Sync!$AE1108,FIND("/",Sync!$AE1108)+1,20))-1))),"")))</f>
        <v/>
      </c>
      <c r="I1108" t="str">
        <f>IF(OR($F1108="",$G1108=""),"",IF(ISNUMBER(Sync!$AE1108),MOD(Sync!$AE1108,100),IFERROR(VALUE(TRIM(MID(MID(Sync!$AE1108,FIND("/",Sync!$AE1108)+1,20),FIND("/",MID(Sync!$AE1108,FIND("/",Sync!$AE1108)+1,20))+1,20))),"")))</f>
        <v/>
      </c>
      <c r="J1108" t="str">
        <f t="shared" si="87"/>
        <v/>
      </c>
      <c r="K1108" t="str">
        <f>IF(OR($F1108="",$J1108="",$J1108="نامعتبر"),"",LEFT($J1108,4)&amp;MID($J1108,6,2)&amp;RIGHT($J1108,2)&amp;$N1108&amp;"|"&amp;"2"&amp;RIGHT("00000"&amp;1103,5))</f>
        <v/>
      </c>
      <c r="L1108" t="str">
        <f t="shared" si="88"/>
        <v/>
      </c>
      <c r="M1108" t="str">
        <f t="shared" si="89"/>
        <v/>
      </c>
      <c r="N1108" t="str">
        <f>IF($F1108="","",IF(Sync!$AF1108="","0000",IF(AND(ISNUMBER(Sync!$AF1108),Sync!$AF1108&gt;=0,Sync!$AF1108&lt;1),RIGHT("00"&amp;HOUR(Sync!$AF1108),2)&amp;RIGHT("00"&amp;MINUTE(Sync!$AF1108),2),IFERROR(RIGHT("00"&amp;VALUE(LEFT(Sync!$AF1108,FIND(":",Sync!$AF1108)-1)),2)&amp;RIGHT("00"&amp;VALUE(MID(Sync!$AF1108,FIND(":",Sync!$AF1108)+1,2)),2),"0000"))))</f>
        <v/>
      </c>
    </row>
    <row r="1109" spans="1:14" x14ac:dyDescent="0.2">
      <c r="A1109" t="str">
        <f>IF(OR(Calc!$E1113="",Calc!$E1113="نامعتبر",Calc!$G1113=""),"",Calc!$G1113)</f>
        <v/>
      </c>
      <c r="B1109" t="str">
        <f>IF($A1109="","",LEFT(Calc!$E1113,4)&amp;MID(Calc!$E1113,6,2)&amp;RIGHT(Calc!$E1113,2)&amp;Calc!$Q1113&amp;"|"&amp;"1"&amp;RIGHT("00000"&amp;1104,5))</f>
        <v/>
      </c>
      <c r="C1109" t="str">
        <f t="shared" si="85"/>
        <v/>
      </c>
      <c r="D1109" t="str">
        <f t="shared" si="86"/>
        <v/>
      </c>
      <c r="F1109" t="str">
        <f>IF(Sync!$AH1109="","",IF(LEFT(UPPER(TRIM(Sync!$AH1109)),2)="SL",UPPER(TRIM(Sync!$AH1109)),""))</f>
        <v/>
      </c>
      <c r="G1109" t="str">
        <f>IF($F1109="","",IF(Sync!$AE1109="","",IF(ISNUMBER(Sync!$AE1109),IF(AND(Sync!$AE1109&gt;=10000101,Sync!$AE1109&lt;=99991231),INT(Sync!$AE1109/10000),""),IFERROR(VALUE(TRIM(LEFT(Sync!$AE1109,FIND("/",Sync!$AE1109)-1))),""))))</f>
        <v/>
      </c>
      <c r="H1109" t="str">
        <f>IF(OR($F1109="",$G1109=""),"",IF(ISNUMBER(Sync!$AE1109),INT(MOD(Sync!$AE1109,10000)/100),IFERROR(VALUE(TRIM(LEFT(MID(Sync!$AE1109,FIND("/",Sync!$AE1109)+1,20),FIND("/",MID(Sync!$AE1109,FIND("/",Sync!$AE1109)+1,20))-1))),"")))</f>
        <v/>
      </c>
      <c r="I1109" t="str">
        <f>IF(OR($F1109="",$G1109=""),"",IF(ISNUMBER(Sync!$AE1109),MOD(Sync!$AE1109,100),IFERROR(VALUE(TRIM(MID(MID(Sync!$AE1109,FIND("/",Sync!$AE1109)+1,20),FIND("/",MID(Sync!$AE1109,FIND("/",Sync!$AE1109)+1,20))+1,20))),"")))</f>
        <v/>
      </c>
      <c r="J1109" t="str">
        <f t="shared" si="87"/>
        <v/>
      </c>
      <c r="K1109" t="str">
        <f>IF(OR($F1109="",$J1109="",$J1109="نامعتبر"),"",LEFT($J1109,4)&amp;MID($J1109,6,2)&amp;RIGHT($J1109,2)&amp;$N1109&amp;"|"&amp;"2"&amp;RIGHT("00000"&amp;1104,5))</f>
        <v/>
      </c>
      <c r="L1109" t="str">
        <f t="shared" si="88"/>
        <v/>
      </c>
      <c r="M1109" t="str">
        <f t="shared" si="89"/>
        <v/>
      </c>
      <c r="N1109" t="str">
        <f>IF($F1109="","",IF(Sync!$AF1109="","0000",IF(AND(ISNUMBER(Sync!$AF1109),Sync!$AF1109&gt;=0,Sync!$AF1109&lt;1),RIGHT("00"&amp;HOUR(Sync!$AF1109),2)&amp;RIGHT("00"&amp;MINUTE(Sync!$AF1109),2),IFERROR(RIGHT("00"&amp;VALUE(LEFT(Sync!$AF1109,FIND(":",Sync!$AF1109)-1)),2)&amp;RIGHT("00"&amp;VALUE(MID(Sync!$AF1109,FIND(":",Sync!$AF1109)+1,2)),2),"0000"))))</f>
        <v/>
      </c>
    </row>
    <row r="1110" spans="1:14" x14ac:dyDescent="0.2">
      <c r="A1110" t="str">
        <f>IF(OR(Calc!$E1114="",Calc!$E1114="نامعتبر",Calc!$G1114=""),"",Calc!$G1114)</f>
        <v/>
      </c>
      <c r="B1110" t="str">
        <f>IF($A1110="","",LEFT(Calc!$E1114,4)&amp;MID(Calc!$E1114,6,2)&amp;RIGHT(Calc!$E1114,2)&amp;Calc!$Q1114&amp;"|"&amp;"1"&amp;RIGHT("00000"&amp;1105,5))</f>
        <v/>
      </c>
      <c r="C1110" t="str">
        <f t="shared" si="85"/>
        <v/>
      </c>
      <c r="D1110" t="str">
        <f t="shared" si="86"/>
        <v/>
      </c>
      <c r="F1110" t="str">
        <f>IF(Sync!$AH1110="","",IF(LEFT(UPPER(TRIM(Sync!$AH1110)),2)="SL",UPPER(TRIM(Sync!$AH1110)),""))</f>
        <v/>
      </c>
      <c r="G1110" t="str">
        <f>IF($F1110="","",IF(Sync!$AE1110="","",IF(ISNUMBER(Sync!$AE1110),IF(AND(Sync!$AE1110&gt;=10000101,Sync!$AE1110&lt;=99991231),INT(Sync!$AE1110/10000),""),IFERROR(VALUE(TRIM(LEFT(Sync!$AE1110,FIND("/",Sync!$AE1110)-1))),""))))</f>
        <v/>
      </c>
      <c r="H1110" t="str">
        <f>IF(OR($F1110="",$G1110=""),"",IF(ISNUMBER(Sync!$AE1110),INT(MOD(Sync!$AE1110,10000)/100),IFERROR(VALUE(TRIM(LEFT(MID(Sync!$AE1110,FIND("/",Sync!$AE1110)+1,20),FIND("/",MID(Sync!$AE1110,FIND("/",Sync!$AE1110)+1,20))-1))),"")))</f>
        <v/>
      </c>
      <c r="I1110" t="str">
        <f>IF(OR($F1110="",$G1110=""),"",IF(ISNUMBER(Sync!$AE1110),MOD(Sync!$AE1110,100),IFERROR(VALUE(TRIM(MID(MID(Sync!$AE1110,FIND("/",Sync!$AE1110)+1,20),FIND("/",MID(Sync!$AE1110,FIND("/",Sync!$AE1110)+1,20))+1,20))),"")))</f>
        <v/>
      </c>
      <c r="J1110" t="str">
        <f t="shared" si="87"/>
        <v/>
      </c>
      <c r="K1110" t="str">
        <f>IF(OR($F1110="",$J1110="",$J1110="نامعتبر"),"",LEFT($J1110,4)&amp;MID($J1110,6,2)&amp;RIGHT($J1110,2)&amp;$N1110&amp;"|"&amp;"2"&amp;RIGHT("00000"&amp;1105,5))</f>
        <v/>
      </c>
      <c r="L1110" t="str">
        <f t="shared" si="88"/>
        <v/>
      </c>
      <c r="M1110" t="str">
        <f t="shared" si="89"/>
        <v/>
      </c>
      <c r="N1110" t="str">
        <f>IF($F1110="","",IF(Sync!$AF1110="","0000",IF(AND(ISNUMBER(Sync!$AF1110),Sync!$AF1110&gt;=0,Sync!$AF1110&lt;1),RIGHT("00"&amp;HOUR(Sync!$AF1110),2)&amp;RIGHT("00"&amp;MINUTE(Sync!$AF1110),2),IFERROR(RIGHT("00"&amp;VALUE(LEFT(Sync!$AF1110,FIND(":",Sync!$AF1110)-1)),2)&amp;RIGHT("00"&amp;VALUE(MID(Sync!$AF1110,FIND(":",Sync!$AF1110)+1,2)),2),"0000"))))</f>
        <v/>
      </c>
    </row>
    <row r="1111" spans="1:14" x14ac:dyDescent="0.2">
      <c r="A1111" t="str">
        <f>IF(OR(Calc!$E1115="",Calc!$E1115="نامعتبر",Calc!$G1115=""),"",Calc!$G1115)</f>
        <v/>
      </c>
      <c r="B1111" t="str">
        <f>IF($A1111="","",LEFT(Calc!$E1115,4)&amp;MID(Calc!$E1115,6,2)&amp;RIGHT(Calc!$E1115,2)&amp;Calc!$Q1115&amp;"|"&amp;"1"&amp;RIGHT("00000"&amp;1106,5))</f>
        <v/>
      </c>
      <c r="C1111" t="str">
        <f t="shared" si="85"/>
        <v/>
      </c>
      <c r="D1111" t="str">
        <f t="shared" si="86"/>
        <v/>
      </c>
      <c r="F1111" t="str">
        <f>IF(Sync!$AH1111="","",IF(LEFT(UPPER(TRIM(Sync!$AH1111)),2)="SL",UPPER(TRIM(Sync!$AH1111)),""))</f>
        <v/>
      </c>
      <c r="G1111" t="str">
        <f>IF($F1111="","",IF(Sync!$AE1111="","",IF(ISNUMBER(Sync!$AE1111),IF(AND(Sync!$AE1111&gt;=10000101,Sync!$AE1111&lt;=99991231),INT(Sync!$AE1111/10000),""),IFERROR(VALUE(TRIM(LEFT(Sync!$AE1111,FIND("/",Sync!$AE1111)-1))),""))))</f>
        <v/>
      </c>
      <c r="H1111" t="str">
        <f>IF(OR($F1111="",$G1111=""),"",IF(ISNUMBER(Sync!$AE1111),INT(MOD(Sync!$AE1111,10000)/100),IFERROR(VALUE(TRIM(LEFT(MID(Sync!$AE1111,FIND("/",Sync!$AE1111)+1,20),FIND("/",MID(Sync!$AE1111,FIND("/",Sync!$AE1111)+1,20))-1))),"")))</f>
        <v/>
      </c>
      <c r="I1111" t="str">
        <f>IF(OR($F1111="",$G1111=""),"",IF(ISNUMBER(Sync!$AE1111),MOD(Sync!$AE1111,100),IFERROR(VALUE(TRIM(MID(MID(Sync!$AE1111,FIND("/",Sync!$AE1111)+1,20),FIND("/",MID(Sync!$AE1111,FIND("/",Sync!$AE1111)+1,20))+1,20))),"")))</f>
        <v/>
      </c>
      <c r="J1111" t="str">
        <f t="shared" si="87"/>
        <v/>
      </c>
      <c r="K1111" t="str">
        <f>IF(OR($F1111="",$J1111="",$J1111="نامعتبر"),"",LEFT($J1111,4)&amp;MID($J1111,6,2)&amp;RIGHT($J1111,2)&amp;$N1111&amp;"|"&amp;"2"&amp;RIGHT("00000"&amp;1106,5))</f>
        <v/>
      </c>
      <c r="L1111" t="str">
        <f t="shared" si="88"/>
        <v/>
      </c>
      <c r="M1111" t="str">
        <f t="shared" si="89"/>
        <v/>
      </c>
      <c r="N1111" t="str">
        <f>IF($F1111="","",IF(Sync!$AF1111="","0000",IF(AND(ISNUMBER(Sync!$AF1111),Sync!$AF1111&gt;=0,Sync!$AF1111&lt;1),RIGHT("00"&amp;HOUR(Sync!$AF1111),2)&amp;RIGHT("00"&amp;MINUTE(Sync!$AF1111),2),IFERROR(RIGHT("00"&amp;VALUE(LEFT(Sync!$AF1111,FIND(":",Sync!$AF1111)-1)),2)&amp;RIGHT("00"&amp;VALUE(MID(Sync!$AF1111,FIND(":",Sync!$AF1111)+1,2)),2),"0000"))))</f>
        <v/>
      </c>
    </row>
    <row r="1112" spans="1:14" x14ac:dyDescent="0.2">
      <c r="A1112" t="str">
        <f>IF(OR(Calc!$E1116="",Calc!$E1116="نامعتبر",Calc!$G1116=""),"",Calc!$G1116)</f>
        <v/>
      </c>
      <c r="B1112" t="str">
        <f>IF($A1112="","",LEFT(Calc!$E1116,4)&amp;MID(Calc!$E1116,6,2)&amp;RIGHT(Calc!$E1116,2)&amp;Calc!$Q1116&amp;"|"&amp;"1"&amp;RIGHT("00000"&amp;1107,5))</f>
        <v/>
      </c>
      <c r="C1112" t="str">
        <f t="shared" si="85"/>
        <v/>
      </c>
      <c r="D1112" t="str">
        <f t="shared" si="86"/>
        <v/>
      </c>
      <c r="F1112" t="str">
        <f>IF(Sync!$AH1112="","",IF(LEFT(UPPER(TRIM(Sync!$AH1112)),2)="SL",UPPER(TRIM(Sync!$AH1112)),""))</f>
        <v/>
      </c>
      <c r="G1112" t="str">
        <f>IF($F1112="","",IF(Sync!$AE1112="","",IF(ISNUMBER(Sync!$AE1112),IF(AND(Sync!$AE1112&gt;=10000101,Sync!$AE1112&lt;=99991231),INT(Sync!$AE1112/10000),""),IFERROR(VALUE(TRIM(LEFT(Sync!$AE1112,FIND("/",Sync!$AE1112)-1))),""))))</f>
        <v/>
      </c>
      <c r="H1112" t="str">
        <f>IF(OR($F1112="",$G1112=""),"",IF(ISNUMBER(Sync!$AE1112),INT(MOD(Sync!$AE1112,10000)/100),IFERROR(VALUE(TRIM(LEFT(MID(Sync!$AE1112,FIND("/",Sync!$AE1112)+1,20),FIND("/",MID(Sync!$AE1112,FIND("/",Sync!$AE1112)+1,20))-1))),"")))</f>
        <v/>
      </c>
      <c r="I1112" t="str">
        <f>IF(OR($F1112="",$G1112=""),"",IF(ISNUMBER(Sync!$AE1112),MOD(Sync!$AE1112,100),IFERROR(VALUE(TRIM(MID(MID(Sync!$AE1112,FIND("/",Sync!$AE1112)+1,20),FIND("/",MID(Sync!$AE1112,FIND("/",Sync!$AE1112)+1,20))+1,20))),"")))</f>
        <v/>
      </c>
      <c r="J1112" t="str">
        <f t="shared" si="87"/>
        <v/>
      </c>
      <c r="K1112" t="str">
        <f>IF(OR($F1112="",$J1112="",$J1112="نامعتبر"),"",LEFT($J1112,4)&amp;MID($J1112,6,2)&amp;RIGHT($J1112,2)&amp;$N1112&amp;"|"&amp;"2"&amp;RIGHT("00000"&amp;1107,5))</f>
        <v/>
      </c>
      <c r="L1112" t="str">
        <f t="shared" si="88"/>
        <v/>
      </c>
      <c r="M1112" t="str">
        <f t="shared" si="89"/>
        <v/>
      </c>
      <c r="N1112" t="str">
        <f>IF($F1112="","",IF(Sync!$AF1112="","0000",IF(AND(ISNUMBER(Sync!$AF1112),Sync!$AF1112&gt;=0,Sync!$AF1112&lt;1),RIGHT("00"&amp;HOUR(Sync!$AF1112),2)&amp;RIGHT("00"&amp;MINUTE(Sync!$AF1112),2),IFERROR(RIGHT("00"&amp;VALUE(LEFT(Sync!$AF1112,FIND(":",Sync!$AF1112)-1)),2)&amp;RIGHT("00"&amp;VALUE(MID(Sync!$AF1112,FIND(":",Sync!$AF1112)+1,2)),2),"0000"))))</f>
        <v/>
      </c>
    </row>
    <row r="1113" spans="1:14" x14ac:dyDescent="0.2">
      <c r="A1113" t="str">
        <f>IF(OR(Calc!$E1117="",Calc!$E1117="نامعتبر",Calc!$G1117=""),"",Calc!$G1117)</f>
        <v/>
      </c>
      <c r="B1113" t="str">
        <f>IF($A1113="","",LEFT(Calc!$E1117,4)&amp;MID(Calc!$E1117,6,2)&amp;RIGHT(Calc!$E1117,2)&amp;Calc!$Q1117&amp;"|"&amp;"1"&amp;RIGHT("00000"&amp;1108,5))</f>
        <v/>
      </c>
      <c r="C1113" t="str">
        <f t="shared" si="85"/>
        <v/>
      </c>
      <c r="D1113" t="str">
        <f t="shared" si="86"/>
        <v/>
      </c>
      <c r="F1113" t="str">
        <f>IF(Sync!$AH1113="","",IF(LEFT(UPPER(TRIM(Sync!$AH1113)),2)="SL",UPPER(TRIM(Sync!$AH1113)),""))</f>
        <v/>
      </c>
      <c r="G1113" t="str">
        <f>IF($F1113="","",IF(Sync!$AE1113="","",IF(ISNUMBER(Sync!$AE1113),IF(AND(Sync!$AE1113&gt;=10000101,Sync!$AE1113&lt;=99991231),INT(Sync!$AE1113/10000),""),IFERROR(VALUE(TRIM(LEFT(Sync!$AE1113,FIND("/",Sync!$AE1113)-1))),""))))</f>
        <v/>
      </c>
      <c r="H1113" t="str">
        <f>IF(OR($F1113="",$G1113=""),"",IF(ISNUMBER(Sync!$AE1113),INT(MOD(Sync!$AE1113,10000)/100),IFERROR(VALUE(TRIM(LEFT(MID(Sync!$AE1113,FIND("/",Sync!$AE1113)+1,20),FIND("/",MID(Sync!$AE1113,FIND("/",Sync!$AE1113)+1,20))-1))),"")))</f>
        <v/>
      </c>
      <c r="I1113" t="str">
        <f>IF(OR($F1113="",$G1113=""),"",IF(ISNUMBER(Sync!$AE1113),MOD(Sync!$AE1113,100),IFERROR(VALUE(TRIM(MID(MID(Sync!$AE1113,FIND("/",Sync!$AE1113)+1,20),FIND("/",MID(Sync!$AE1113,FIND("/",Sync!$AE1113)+1,20))+1,20))),"")))</f>
        <v/>
      </c>
      <c r="J1113" t="str">
        <f t="shared" si="87"/>
        <v/>
      </c>
      <c r="K1113" t="str">
        <f>IF(OR($F1113="",$J1113="",$J1113="نامعتبر"),"",LEFT($J1113,4)&amp;MID($J1113,6,2)&amp;RIGHT($J1113,2)&amp;$N1113&amp;"|"&amp;"2"&amp;RIGHT("00000"&amp;1108,5))</f>
        <v/>
      </c>
      <c r="L1113" t="str">
        <f t="shared" si="88"/>
        <v/>
      </c>
      <c r="M1113" t="str">
        <f t="shared" si="89"/>
        <v/>
      </c>
      <c r="N1113" t="str">
        <f>IF($F1113="","",IF(Sync!$AF1113="","0000",IF(AND(ISNUMBER(Sync!$AF1113),Sync!$AF1113&gt;=0,Sync!$AF1113&lt;1),RIGHT("00"&amp;HOUR(Sync!$AF1113),2)&amp;RIGHT("00"&amp;MINUTE(Sync!$AF1113),2),IFERROR(RIGHT("00"&amp;VALUE(LEFT(Sync!$AF1113,FIND(":",Sync!$AF1113)-1)),2)&amp;RIGHT("00"&amp;VALUE(MID(Sync!$AF1113,FIND(":",Sync!$AF1113)+1,2)),2),"0000"))))</f>
        <v/>
      </c>
    </row>
    <row r="1114" spans="1:14" x14ac:dyDescent="0.2">
      <c r="A1114" t="str">
        <f>IF(OR(Calc!$E1118="",Calc!$E1118="نامعتبر",Calc!$G1118=""),"",Calc!$G1118)</f>
        <v/>
      </c>
      <c r="B1114" t="str">
        <f>IF($A1114="","",LEFT(Calc!$E1118,4)&amp;MID(Calc!$E1118,6,2)&amp;RIGHT(Calc!$E1118,2)&amp;Calc!$Q1118&amp;"|"&amp;"1"&amp;RIGHT("00000"&amp;1109,5))</f>
        <v/>
      </c>
      <c r="C1114" t="str">
        <f t="shared" si="85"/>
        <v/>
      </c>
      <c r="D1114" t="str">
        <f t="shared" si="86"/>
        <v/>
      </c>
      <c r="F1114" t="str">
        <f>IF(Sync!$AH1114="","",IF(LEFT(UPPER(TRIM(Sync!$AH1114)),2)="SL",UPPER(TRIM(Sync!$AH1114)),""))</f>
        <v/>
      </c>
      <c r="G1114" t="str">
        <f>IF($F1114="","",IF(Sync!$AE1114="","",IF(ISNUMBER(Sync!$AE1114),IF(AND(Sync!$AE1114&gt;=10000101,Sync!$AE1114&lt;=99991231),INT(Sync!$AE1114/10000),""),IFERROR(VALUE(TRIM(LEFT(Sync!$AE1114,FIND("/",Sync!$AE1114)-1))),""))))</f>
        <v/>
      </c>
      <c r="H1114" t="str">
        <f>IF(OR($F1114="",$G1114=""),"",IF(ISNUMBER(Sync!$AE1114),INT(MOD(Sync!$AE1114,10000)/100),IFERROR(VALUE(TRIM(LEFT(MID(Sync!$AE1114,FIND("/",Sync!$AE1114)+1,20),FIND("/",MID(Sync!$AE1114,FIND("/",Sync!$AE1114)+1,20))-1))),"")))</f>
        <v/>
      </c>
      <c r="I1114" t="str">
        <f>IF(OR($F1114="",$G1114=""),"",IF(ISNUMBER(Sync!$AE1114),MOD(Sync!$AE1114,100),IFERROR(VALUE(TRIM(MID(MID(Sync!$AE1114,FIND("/",Sync!$AE1114)+1,20),FIND("/",MID(Sync!$AE1114,FIND("/",Sync!$AE1114)+1,20))+1,20))),"")))</f>
        <v/>
      </c>
      <c r="J1114" t="str">
        <f t="shared" si="87"/>
        <v/>
      </c>
      <c r="K1114" t="str">
        <f>IF(OR($F1114="",$J1114="",$J1114="نامعتبر"),"",LEFT($J1114,4)&amp;MID($J1114,6,2)&amp;RIGHT($J1114,2)&amp;$N1114&amp;"|"&amp;"2"&amp;RIGHT("00000"&amp;1109,5))</f>
        <v/>
      </c>
      <c r="L1114" t="str">
        <f t="shared" si="88"/>
        <v/>
      </c>
      <c r="M1114" t="str">
        <f t="shared" si="89"/>
        <v/>
      </c>
      <c r="N1114" t="str">
        <f>IF($F1114="","",IF(Sync!$AF1114="","0000",IF(AND(ISNUMBER(Sync!$AF1114),Sync!$AF1114&gt;=0,Sync!$AF1114&lt;1),RIGHT("00"&amp;HOUR(Sync!$AF1114),2)&amp;RIGHT("00"&amp;MINUTE(Sync!$AF1114),2),IFERROR(RIGHT("00"&amp;VALUE(LEFT(Sync!$AF1114,FIND(":",Sync!$AF1114)-1)),2)&amp;RIGHT("00"&amp;VALUE(MID(Sync!$AF1114,FIND(":",Sync!$AF1114)+1,2)),2),"0000"))))</f>
        <v/>
      </c>
    </row>
    <row r="1115" spans="1:14" x14ac:dyDescent="0.2">
      <c r="A1115" t="str">
        <f>IF(OR(Calc!$E1119="",Calc!$E1119="نامعتبر",Calc!$G1119=""),"",Calc!$G1119)</f>
        <v/>
      </c>
      <c r="B1115" t="str">
        <f>IF($A1115="","",LEFT(Calc!$E1119,4)&amp;MID(Calc!$E1119,6,2)&amp;RIGHT(Calc!$E1119,2)&amp;Calc!$Q1119&amp;"|"&amp;"1"&amp;RIGHT("00000"&amp;1110,5))</f>
        <v/>
      </c>
      <c r="C1115" t="str">
        <f t="shared" si="85"/>
        <v/>
      </c>
      <c r="D1115" t="str">
        <f t="shared" si="86"/>
        <v/>
      </c>
      <c r="F1115" t="str">
        <f>IF(Sync!$AH1115="","",IF(LEFT(UPPER(TRIM(Sync!$AH1115)),2)="SL",UPPER(TRIM(Sync!$AH1115)),""))</f>
        <v/>
      </c>
      <c r="G1115" t="str">
        <f>IF($F1115="","",IF(Sync!$AE1115="","",IF(ISNUMBER(Sync!$AE1115),IF(AND(Sync!$AE1115&gt;=10000101,Sync!$AE1115&lt;=99991231),INT(Sync!$AE1115/10000),""),IFERROR(VALUE(TRIM(LEFT(Sync!$AE1115,FIND("/",Sync!$AE1115)-1))),""))))</f>
        <v/>
      </c>
      <c r="H1115" t="str">
        <f>IF(OR($F1115="",$G1115=""),"",IF(ISNUMBER(Sync!$AE1115),INT(MOD(Sync!$AE1115,10000)/100),IFERROR(VALUE(TRIM(LEFT(MID(Sync!$AE1115,FIND("/",Sync!$AE1115)+1,20),FIND("/",MID(Sync!$AE1115,FIND("/",Sync!$AE1115)+1,20))-1))),"")))</f>
        <v/>
      </c>
      <c r="I1115" t="str">
        <f>IF(OR($F1115="",$G1115=""),"",IF(ISNUMBER(Sync!$AE1115),MOD(Sync!$AE1115,100),IFERROR(VALUE(TRIM(MID(MID(Sync!$AE1115,FIND("/",Sync!$AE1115)+1,20),FIND("/",MID(Sync!$AE1115,FIND("/",Sync!$AE1115)+1,20))+1,20))),"")))</f>
        <v/>
      </c>
      <c r="J1115" t="str">
        <f t="shared" si="87"/>
        <v/>
      </c>
      <c r="K1115" t="str">
        <f>IF(OR($F1115="",$J1115="",$J1115="نامعتبر"),"",LEFT($J1115,4)&amp;MID($J1115,6,2)&amp;RIGHT($J1115,2)&amp;$N1115&amp;"|"&amp;"2"&amp;RIGHT("00000"&amp;1110,5))</f>
        <v/>
      </c>
      <c r="L1115" t="str">
        <f t="shared" si="88"/>
        <v/>
      </c>
      <c r="M1115" t="str">
        <f t="shared" si="89"/>
        <v/>
      </c>
      <c r="N1115" t="str">
        <f>IF($F1115="","",IF(Sync!$AF1115="","0000",IF(AND(ISNUMBER(Sync!$AF1115),Sync!$AF1115&gt;=0,Sync!$AF1115&lt;1),RIGHT("00"&amp;HOUR(Sync!$AF1115),2)&amp;RIGHT("00"&amp;MINUTE(Sync!$AF1115),2),IFERROR(RIGHT("00"&amp;VALUE(LEFT(Sync!$AF1115,FIND(":",Sync!$AF1115)-1)),2)&amp;RIGHT("00"&amp;VALUE(MID(Sync!$AF1115,FIND(":",Sync!$AF1115)+1,2)),2),"0000"))))</f>
        <v/>
      </c>
    </row>
    <row r="1116" spans="1:14" x14ac:dyDescent="0.2">
      <c r="A1116" t="str">
        <f>IF(OR(Calc!$E1120="",Calc!$E1120="نامعتبر",Calc!$G1120=""),"",Calc!$G1120)</f>
        <v/>
      </c>
      <c r="B1116" t="str">
        <f>IF($A1116="","",LEFT(Calc!$E1120,4)&amp;MID(Calc!$E1120,6,2)&amp;RIGHT(Calc!$E1120,2)&amp;Calc!$Q1120&amp;"|"&amp;"1"&amp;RIGHT("00000"&amp;1111,5))</f>
        <v/>
      </c>
      <c r="C1116" t="str">
        <f t="shared" si="85"/>
        <v/>
      </c>
      <c r="D1116" t="str">
        <f t="shared" si="86"/>
        <v/>
      </c>
      <c r="F1116" t="str">
        <f>IF(Sync!$AH1116="","",IF(LEFT(UPPER(TRIM(Sync!$AH1116)),2)="SL",UPPER(TRIM(Sync!$AH1116)),""))</f>
        <v/>
      </c>
      <c r="G1116" t="str">
        <f>IF($F1116="","",IF(Sync!$AE1116="","",IF(ISNUMBER(Sync!$AE1116),IF(AND(Sync!$AE1116&gt;=10000101,Sync!$AE1116&lt;=99991231),INT(Sync!$AE1116/10000),""),IFERROR(VALUE(TRIM(LEFT(Sync!$AE1116,FIND("/",Sync!$AE1116)-1))),""))))</f>
        <v/>
      </c>
      <c r="H1116" t="str">
        <f>IF(OR($F1116="",$G1116=""),"",IF(ISNUMBER(Sync!$AE1116),INT(MOD(Sync!$AE1116,10000)/100),IFERROR(VALUE(TRIM(LEFT(MID(Sync!$AE1116,FIND("/",Sync!$AE1116)+1,20),FIND("/",MID(Sync!$AE1116,FIND("/",Sync!$AE1116)+1,20))-1))),"")))</f>
        <v/>
      </c>
      <c r="I1116" t="str">
        <f>IF(OR($F1116="",$G1116=""),"",IF(ISNUMBER(Sync!$AE1116),MOD(Sync!$AE1116,100),IFERROR(VALUE(TRIM(MID(MID(Sync!$AE1116,FIND("/",Sync!$AE1116)+1,20),FIND("/",MID(Sync!$AE1116,FIND("/",Sync!$AE1116)+1,20))+1,20))),"")))</f>
        <v/>
      </c>
      <c r="J1116" t="str">
        <f t="shared" si="87"/>
        <v/>
      </c>
      <c r="K1116" t="str">
        <f>IF(OR($F1116="",$J1116="",$J1116="نامعتبر"),"",LEFT($J1116,4)&amp;MID($J1116,6,2)&amp;RIGHT($J1116,2)&amp;$N1116&amp;"|"&amp;"2"&amp;RIGHT("00000"&amp;1111,5))</f>
        <v/>
      </c>
      <c r="L1116" t="str">
        <f t="shared" si="88"/>
        <v/>
      </c>
      <c r="M1116" t="str">
        <f t="shared" si="89"/>
        <v/>
      </c>
      <c r="N1116" t="str">
        <f>IF($F1116="","",IF(Sync!$AF1116="","0000",IF(AND(ISNUMBER(Sync!$AF1116),Sync!$AF1116&gt;=0,Sync!$AF1116&lt;1),RIGHT("00"&amp;HOUR(Sync!$AF1116),2)&amp;RIGHT("00"&amp;MINUTE(Sync!$AF1116),2),IFERROR(RIGHT("00"&amp;VALUE(LEFT(Sync!$AF1116,FIND(":",Sync!$AF1116)-1)),2)&amp;RIGHT("00"&amp;VALUE(MID(Sync!$AF1116,FIND(":",Sync!$AF1116)+1,2)),2),"0000"))))</f>
        <v/>
      </c>
    </row>
    <row r="1117" spans="1:14" x14ac:dyDescent="0.2">
      <c r="A1117" t="str">
        <f>IF(OR(Calc!$E1121="",Calc!$E1121="نامعتبر",Calc!$G1121=""),"",Calc!$G1121)</f>
        <v/>
      </c>
      <c r="B1117" t="str">
        <f>IF($A1117="","",LEFT(Calc!$E1121,4)&amp;MID(Calc!$E1121,6,2)&amp;RIGHT(Calc!$E1121,2)&amp;Calc!$Q1121&amp;"|"&amp;"1"&amp;RIGHT("00000"&amp;1112,5))</f>
        <v/>
      </c>
      <c r="C1117" t="str">
        <f t="shared" si="85"/>
        <v/>
      </c>
      <c r="D1117" t="str">
        <f t="shared" si="86"/>
        <v/>
      </c>
      <c r="F1117" t="str">
        <f>IF(Sync!$AH1117="","",IF(LEFT(UPPER(TRIM(Sync!$AH1117)),2)="SL",UPPER(TRIM(Sync!$AH1117)),""))</f>
        <v/>
      </c>
      <c r="G1117" t="str">
        <f>IF($F1117="","",IF(Sync!$AE1117="","",IF(ISNUMBER(Sync!$AE1117),IF(AND(Sync!$AE1117&gt;=10000101,Sync!$AE1117&lt;=99991231),INT(Sync!$AE1117/10000),""),IFERROR(VALUE(TRIM(LEFT(Sync!$AE1117,FIND("/",Sync!$AE1117)-1))),""))))</f>
        <v/>
      </c>
      <c r="H1117" t="str">
        <f>IF(OR($F1117="",$G1117=""),"",IF(ISNUMBER(Sync!$AE1117),INT(MOD(Sync!$AE1117,10000)/100),IFERROR(VALUE(TRIM(LEFT(MID(Sync!$AE1117,FIND("/",Sync!$AE1117)+1,20),FIND("/",MID(Sync!$AE1117,FIND("/",Sync!$AE1117)+1,20))-1))),"")))</f>
        <v/>
      </c>
      <c r="I1117" t="str">
        <f>IF(OR($F1117="",$G1117=""),"",IF(ISNUMBER(Sync!$AE1117),MOD(Sync!$AE1117,100),IFERROR(VALUE(TRIM(MID(MID(Sync!$AE1117,FIND("/",Sync!$AE1117)+1,20),FIND("/",MID(Sync!$AE1117,FIND("/",Sync!$AE1117)+1,20))+1,20))),"")))</f>
        <v/>
      </c>
      <c r="J1117" t="str">
        <f t="shared" si="87"/>
        <v/>
      </c>
      <c r="K1117" t="str">
        <f>IF(OR($F1117="",$J1117="",$J1117="نامعتبر"),"",LEFT($J1117,4)&amp;MID($J1117,6,2)&amp;RIGHT($J1117,2)&amp;$N1117&amp;"|"&amp;"2"&amp;RIGHT("00000"&amp;1112,5))</f>
        <v/>
      </c>
      <c r="L1117" t="str">
        <f t="shared" si="88"/>
        <v/>
      </c>
      <c r="M1117" t="str">
        <f t="shared" si="89"/>
        <v/>
      </c>
      <c r="N1117" t="str">
        <f>IF($F1117="","",IF(Sync!$AF1117="","0000",IF(AND(ISNUMBER(Sync!$AF1117),Sync!$AF1117&gt;=0,Sync!$AF1117&lt;1),RIGHT("00"&amp;HOUR(Sync!$AF1117),2)&amp;RIGHT("00"&amp;MINUTE(Sync!$AF1117),2),IFERROR(RIGHT("00"&amp;VALUE(LEFT(Sync!$AF1117,FIND(":",Sync!$AF1117)-1)),2)&amp;RIGHT("00"&amp;VALUE(MID(Sync!$AF1117,FIND(":",Sync!$AF1117)+1,2)),2),"0000"))))</f>
        <v/>
      </c>
    </row>
    <row r="1118" spans="1:14" x14ac:dyDescent="0.2">
      <c r="A1118" t="str">
        <f>IF(OR(Calc!$E1122="",Calc!$E1122="نامعتبر",Calc!$G1122=""),"",Calc!$G1122)</f>
        <v/>
      </c>
      <c r="B1118" t="str">
        <f>IF($A1118="","",LEFT(Calc!$E1122,4)&amp;MID(Calc!$E1122,6,2)&amp;RIGHT(Calc!$E1122,2)&amp;Calc!$Q1122&amp;"|"&amp;"1"&amp;RIGHT("00000"&amp;1113,5))</f>
        <v/>
      </c>
      <c r="C1118" t="str">
        <f t="shared" si="85"/>
        <v/>
      </c>
      <c r="D1118" t="str">
        <f t="shared" si="86"/>
        <v/>
      </c>
      <c r="F1118" t="str">
        <f>IF(Sync!$AH1118="","",IF(LEFT(UPPER(TRIM(Sync!$AH1118)),2)="SL",UPPER(TRIM(Sync!$AH1118)),""))</f>
        <v/>
      </c>
      <c r="G1118" t="str">
        <f>IF($F1118="","",IF(Sync!$AE1118="","",IF(ISNUMBER(Sync!$AE1118),IF(AND(Sync!$AE1118&gt;=10000101,Sync!$AE1118&lt;=99991231),INT(Sync!$AE1118/10000),""),IFERROR(VALUE(TRIM(LEFT(Sync!$AE1118,FIND("/",Sync!$AE1118)-1))),""))))</f>
        <v/>
      </c>
      <c r="H1118" t="str">
        <f>IF(OR($F1118="",$G1118=""),"",IF(ISNUMBER(Sync!$AE1118),INT(MOD(Sync!$AE1118,10000)/100),IFERROR(VALUE(TRIM(LEFT(MID(Sync!$AE1118,FIND("/",Sync!$AE1118)+1,20),FIND("/",MID(Sync!$AE1118,FIND("/",Sync!$AE1118)+1,20))-1))),"")))</f>
        <v/>
      </c>
      <c r="I1118" t="str">
        <f>IF(OR($F1118="",$G1118=""),"",IF(ISNUMBER(Sync!$AE1118),MOD(Sync!$AE1118,100),IFERROR(VALUE(TRIM(MID(MID(Sync!$AE1118,FIND("/",Sync!$AE1118)+1,20),FIND("/",MID(Sync!$AE1118,FIND("/",Sync!$AE1118)+1,20))+1,20))),"")))</f>
        <v/>
      </c>
      <c r="J1118" t="str">
        <f t="shared" si="87"/>
        <v/>
      </c>
      <c r="K1118" t="str">
        <f>IF(OR($F1118="",$J1118="",$J1118="نامعتبر"),"",LEFT($J1118,4)&amp;MID($J1118,6,2)&amp;RIGHT($J1118,2)&amp;$N1118&amp;"|"&amp;"2"&amp;RIGHT("00000"&amp;1113,5))</f>
        <v/>
      </c>
      <c r="L1118" t="str">
        <f t="shared" si="88"/>
        <v/>
      </c>
      <c r="M1118" t="str">
        <f t="shared" si="89"/>
        <v/>
      </c>
      <c r="N1118" t="str">
        <f>IF($F1118="","",IF(Sync!$AF1118="","0000",IF(AND(ISNUMBER(Sync!$AF1118),Sync!$AF1118&gt;=0,Sync!$AF1118&lt;1),RIGHT("00"&amp;HOUR(Sync!$AF1118),2)&amp;RIGHT("00"&amp;MINUTE(Sync!$AF1118),2),IFERROR(RIGHT("00"&amp;VALUE(LEFT(Sync!$AF1118,FIND(":",Sync!$AF1118)-1)),2)&amp;RIGHT("00"&amp;VALUE(MID(Sync!$AF1118,FIND(":",Sync!$AF1118)+1,2)),2),"0000"))))</f>
        <v/>
      </c>
    </row>
    <row r="1119" spans="1:14" x14ac:dyDescent="0.2">
      <c r="A1119" t="str">
        <f>IF(OR(Calc!$E1123="",Calc!$E1123="نامعتبر",Calc!$G1123=""),"",Calc!$G1123)</f>
        <v/>
      </c>
      <c r="B1119" t="str">
        <f>IF($A1119="","",LEFT(Calc!$E1123,4)&amp;MID(Calc!$E1123,6,2)&amp;RIGHT(Calc!$E1123,2)&amp;Calc!$Q1123&amp;"|"&amp;"1"&amp;RIGHT("00000"&amp;1114,5))</f>
        <v/>
      </c>
      <c r="C1119" t="str">
        <f t="shared" si="85"/>
        <v/>
      </c>
      <c r="D1119" t="str">
        <f t="shared" si="86"/>
        <v/>
      </c>
      <c r="F1119" t="str">
        <f>IF(Sync!$AH1119="","",IF(LEFT(UPPER(TRIM(Sync!$AH1119)),2)="SL",UPPER(TRIM(Sync!$AH1119)),""))</f>
        <v/>
      </c>
      <c r="G1119" t="str">
        <f>IF($F1119="","",IF(Sync!$AE1119="","",IF(ISNUMBER(Sync!$AE1119),IF(AND(Sync!$AE1119&gt;=10000101,Sync!$AE1119&lt;=99991231),INT(Sync!$AE1119/10000),""),IFERROR(VALUE(TRIM(LEFT(Sync!$AE1119,FIND("/",Sync!$AE1119)-1))),""))))</f>
        <v/>
      </c>
      <c r="H1119" t="str">
        <f>IF(OR($F1119="",$G1119=""),"",IF(ISNUMBER(Sync!$AE1119),INT(MOD(Sync!$AE1119,10000)/100),IFERROR(VALUE(TRIM(LEFT(MID(Sync!$AE1119,FIND("/",Sync!$AE1119)+1,20),FIND("/",MID(Sync!$AE1119,FIND("/",Sync!$AE1119)+1,20))-1))),"")))</f>
        <v/>
      </c>
      <c r="I1119" t="str">
        <f>IF(OR($F1119="",$G1119=""),"",IF(ISNUMBER(Sync!$AE1119),MOD(Sync!$AE1119,100),IFERROR(VALUE(TRIM(MID(MID(Sync!$AE1119,FIND("/",Sync!$AE1119)+1,20),FIND("/",MID(Sync!$AE1119,FIND("/",Sync!$AE1119)+1,20))+1,20))),"")))</f>
        <v/>
      </c>
      <c r="J1119" t="str">
        <f t="shared" si="87"/>
        <v/>
      </c>
      <c r="K1119" t="str">
        <f>IF(OR($F1119="",$J1119="",$J1119="نامعتبر"),"",LEFT($J1119,4)&amp;MID($J1119,6,2)&amp;RIGHT($J1119,2)&amp;$N1119&amp;"|"&amp;"2"&amp;RIGHT("00000"&amp;1114,5))</f>
        <v/>
      </c>
      <c r="L1119" t="str">
        <f t="shared" si="88"/>
        <v/>
      </c>
      <c r="M1119" t="str">
        <f t="shared" si="89"/>
        <v/>
      </c>
      <c r="N1119" t="str">
        <f>IF($F1119="","",IF(Sync!$AF1119="","0000",IF(AND(ISNUMBER(Sync!$AF1119),Sync!$AF1119&gt;=0,Sync!$AF1119&lt;1),RIGHT("00"&amp;HOUR(Sync!$AF1119),2)&amp;RIGHT("00"&amp;MINUTE(Sync!$AF1119),2),IFERROR(RIGHT("00"&amp;VALUE(LEFT(Sync!$AF1119,FIND(":",Sync!$AF1119)-1)),2)&amp;RIGHT("00"&amp;VALUE(MID(Sync!$AF1119,FIND(":",Sync!$AF1119)+1,2)),2),"0000"))))</f>
        <v/>
      </c>
    </row>
    <row r="1120" spans="1:14" x14ac:dyDescent="0.2">
      <c r="A1120" t="str">
        <f>IF(OR(Calc!$E1124="",Calc!$E1124="نامعتبر",Calc!$G1124=""),"",Calc!$G1124)</f>
        <v/>
      </c>
      <c r="B1120" t="str">
        <f>IF($A1120="","",LEFT(Calc!$E1124,4)&amp;MID(Calc!$E1124,6,2)&amp;RIGHT(Calc!$E1124,2)&amp;Calc!$Q1124&amp;"|"&amp;"1"&amp;RIGHT("00000"&amp;1115,5))</f>
        <v/>
      </c>
      <c r="C1120" t="str">
        <f t="shared" si="85"/>
        <v/>
      </c>
      <c r="D1120" t="str">
        <f t="shared" si="86"/>
        <v/>
      </c>
      <c r="F1120" t="str">
        <f>IF(Sync!$AH1120="","",IF(LEFT(UPPER(TRIM(Sync!$AH1120)),2)="SL",UPPER(TRIM(Sync!$AH1120)),""))</f>
        <v/>
      </c>
      <c r="G1120" t="str">
        <f>IF($F1120="","",IF(Sync!$AE1120="","",IF(ISNUMBER(Sync!$AE1120),IF(AND(Sync!$AE1120&gt;=10000101,Sync!$AE1120&lt;=99991231),INT(Sync!$AE1120/10000),""),IFERROR(VALUE(TRIM(LEFT(Sync!$AE1120,FIND("/",Sync!$AE1120)-1))),""))))</f>
        <v/>
      </c>
      <c r="H1120" t="str">
        <f>IF(OR($F1120="",$G1120=""),"",IF(ISNUMBER(Sync!$AE1120),INT(MOD(Sync!$AE1120,10000)/100),IFERROR(VALUE(TRIM(LEFT(MID(Sync!$AE1120,FIND("/",Sync!$AE1120)+1,20),FIND("/",MID(Sync!$AE1120,FIND("/",Sync!$AE1120)+1,20))-1))),"")))</f>
        <v/>
      </c>
      <c r="I1120" t="str">
        <f>IF(OR($F1120="",$G1120=""),"",IF(ISNUMBER(Sync!$AE1120),MOD(Sync!$AE1120,100),IFERROR(VALUE(TRIM(MID(MID(Sync!$AE1120,FIND("/",Sync!$AE1120)+1,20),FIND("/",MID(Sync!$AE1120,FIND("/",Sync!$AE1120)+1,20))+1,20))),"")))</f>
        <v/>
      </c>
      <c r="J1120" t="str">
        <f t="shared" si="87"/>
        <v/>
      </c>
      <c r="K1120" t="str">
        <f>IF(OR($F1120="",$J1120="",$J1120="نامعتبر"),"",LEFT($J1120,4)&amp;MID($J1120,6,2)&amp;RIGHT($J1120,2)&amp;$N1120&amp;"|"&amp;"2"&amp;RIGHT("00000"&amp;1115,5))</f>
        <v/>
      </c>
      <c r="L1120" t="str">
        <f t="shared" si="88"/>
        <v/>
      </c>
      <c r="M1120" t="str">
        <f t="shared" si="89"/>
        <v/>
      </c>
      <c r="N1120" t="str">
        <f>IF($F1120="","",IF(Sync!$AF1120="","0000",IF(AND(ISNUMBER(Sync!$AF1120),Sync!$AF1120&gt;=0,Sync!$AF1120&lt;1),RIGHT("00"&amp;HOUR(Sync!$AF1120),2)&amp;RIGHT("00"&amp;MINUTE(Sync!$AF1120),2),IFERROR(RIGHT("00"&amp;VALUE(LEFT(Sync!$AF1120,FIND(":",Sync!$AF1120)-1)),2)&amp;RIGHT("00"&amp;VALUE(MID(Sync!$AF1120,FIND(":",Sync!$AF1120)+1,2)),2),"0000"))))</f>
        <v/>
      </c>
    </row>
    <row r="1121" spans="1:14" x14ac:dyDescent="0.2">
      <c r="A1121" t="str">
        <f>IF(OR(Calc!$E1125="",Calc!$E1125="نامعتبر",Calc!$G1125=""),"",Calc!$G1125)</f>
        <v/>
      </c>
      <c r="B1121" t="str">
        <f>IF($A1121="","",LEFT(Calc!$E1125,4)&amp;MID(Calc!$E1125,6,2)&amp;RIGHT(Calc!$E1125,2)&amp;Calc!$Q1125&amp;"|"&amp;"1"&amp;RIGHT("00000"&amp;1116,5))</f>
        <v/>
      </c>
      <c r="C1121" t="str">
        <f t="shared" si="85"/>
        <v/>
      </c>
      <c r="D1121" t="str">
        <f t="shared" si="86"/>
        <v/>
      </c>
      <c r="F1121" t="str">
        <f>IF(Sync!$AH1121="","",IF(LEFT(UPPER(TRIM(Sync!$AH1121)),2)="SL",UPPER(TRIM(Sync!$AH1121)),""))</f>
        <v/>
      </c>
      <c r="G1121" t="str">
        <f>IF($F1121="","",IF(Sync!$AE1121="","",IF(ISNUMBER(Sync!$AE1121),IF(AND(Sync!$AE1121&gt;=10000101,Sync!$AE1121&lt;=99991231),INT(Sync!$AE1121/10000),""),IFERROR(VALUE(TRIM(LEFT(Sync!$AE1121,FIND("/",Sync!$AE1121)-1))),""))))</f>
        <v/>
      </c>
      <c r="H1121" t="str">
        <f>IF(OR($F1121="",$G1121=""),"",IF(ISNUMBER(Sync!$AE1121),INT(MOD(Sync!$AE1121,10000)/100),IFERROR(VALUE(TRIM(LEFT(MID(Sync!$AE1121,FIND("/",Sync!$AE1121)+1,20),FIND("/",MID(Sync!$AE1121,FIND("/",Sync!$AE1121)+1,20))-1))),"")))</f>
        <v/>
      </c>
      <c r="I1121" t="str">
        <f>IF(OR($F1121="",$G1121=""),"",IF(ISNUMBER(Sync!$AE1121),MOD(Sync!$AE1121,100),IFERROR(VALUE(TRIM(MID(MID(Sync!$AE1121,FIND("/",Sync!$AE1121)+1,20),FIND("/",MID(Sync!$AE1121,FIND("/",Sync!$AE1121)+1,20))+1,20))),"")))</f>
        <v/>
      </c>
      <c r="J1121" t="str">
        <f t="shared" si="87"/>
        <v/>
      </c>
      <c r="K1121" t="str">
        <f>IF(OR($F1121="",$J1121="",$J1121="نامعتبر"),"",LEFT($J1121,4)&amp;MID($J1121,6,2)&amp;RIGHT($J1121,2)&amp;$N1121&amp;"|"&amp;"2"&amp;RIGHT("00000"&amp;1116,5))</f>
        <v/>
      </c>
      <c r="L1121" t="str">
        <f t="shared" si="88"/>
        <v/>
      </c>
      <c r="M1121" t="str">
        <f t="shared" si="89"/>
        <v/>
      </c>
      <c r="N1121" t="str">
        <f>IF($F1121="","",IF(Sync!$AF1121="","0000",IF(AND(ISNUMBER(Sync!$AF1121),Sync!$AF1121&gt;=0,Sync!$AF1121&lt;1),RIGHT("00"&amp;HOUR(Sync!$AF1121),2)&amp;RIGHT("00"&amp;MINUTE(Sync!$AF1121),2),IFERROR(RIGHT("00"&amp;VALUE(LEFT(Sync!$AF1121,FIND(":",Sync!$AF1121)-1)),2)&amp;RIGHT("00"&amp;VALUE(MID(Sync!$AF1121,FIND(":",Sync!$AF1121)+1,2)),2),"0000"))))</f>
        <v/>
      </c>
    </row>
    <row r="1122" spans="1:14" x14ac:dyDescent="0.2">
      <c r="A1122" t="str">
        <f>IF(OR(Calc!$E1126="",Calc!$E1126="نامعتبر",Calc!$G1126=""),"",Calc!$G1126)</f>
        <v/>
      </c>
      <c r="B1122" t="str">
        <f>IF($A1122="","",LEFT(Calc!$E1126,4)&amp;MID(Calc!$E1126,6,2)&amp;RIGHT(Calc!$E1126,2)&amp;Calc!$Q1126&amp;"|"&amp;"1"&amp;RIGHT("00000"&amp;1117,5))</f>
        <v/>
      </c>
      <c r="C1122" t="str">
        <f t="shared" si="85"/>
        <v/>
      </c>
      <c r="D1122" t="str">
        <f t="shared" si="86"/>
        <v/>
      </c>
      <c r="F1122" t="str">
        <f>IF(Sync!$AH1122="","",IF(LEFT(UPPER(TRIM(Sync!$AH1122)),2)="SL",UPPER(TRIM(Sync!$AH1122)),""))</f>
        <v/>
      </c>
      <c r="G1122" t="str">
        <f>IF($F1122="","",IF(Sync!$AE1122="","",IF(ISNUMBER(Sync!$AE1122),IF(AND(Sync!$AE1122&gt;=10000101,Sync!$AE1122&lt;=99991231),INT(Sync!$AE1122/10000),""),IFERROR(VALUE(TRIM(LEFT(Sync!$AE1122,FIND("/",Sync!$AE1122)-1))),""))))</f>
        <v/>
      </c>
      <c r="H1122" t="str">
        <f>IF(OR($F1122="",$G1122=""),"",IF(ISNUMBER(Sync!$AE1122),INT(MOD(Sync!$AE1122,10000)/100),IFERROR(VALUE(TRIM(LEFT(MID(Sync!$AE1122,FIND("/",Sync!$AE1122)+1,20),FIND("/",MID(Sync!$AE1122,FIND("/",Sync!$AE1122)+1,20))-1))),"")))</f>
        <v/>
      </c>
      <c r="I1122" t="str">
        <f>IF(OR($F1122="",$G1122=""),"",IF(ISNUMBER(Sync!$AE1122),MOD(Sync!$AE1122,100),IFERROR(VALUE(TRIM(MID(MID(Sync!$AE1122,FIND("/",Sync!$AE1122)+1,20),FIND("/",MID(Sync!$AE1122,FIND("/",Sync!$AE1122)+1,20))+1,20))),"")))</f>
        <v/>
      </c>
      <c r="J1122" t="str">
        <f t="shared" si="87"/>
        <v/>
      </c>
      <c r="K1122" t="str">
        <f>IF(OR($F1122="",$J1122="",$J1122="نامعتبر"),"",LEFT($J1122,4)&amp;MID($J1122,6,2)&amp;RIGHT($J1122,2)&amp;$N1122&amp;"|"&amp;"2"&amp;RIGHT("00000"&amp;1117,5))</f>
        <v/>
      </c>
      <c r="L1122" t="str">
        <f t="shared" si="88"/>
        <v/>
      </c>
      <c r="M1122" t="str">
        <f t="shared" si="89"/>
        <v/>
      </c>
      <c r="N1122" t="str">
        <f>IF($F1122="","",IF(Sync!$AF1122="","0000",IF(AND(ISNUMBER(Sync!$AF1122),Sync!$AF1122&gt;=0,Sync!$AF1122&lt;1),RIGHT("00"&amp;HOUR(Sync!$AF1122),2)&amp;RIGHT("00"&amp;MINUTE(Sync!$AF1122),2),IFERROR(RIGHT("00"&amp;VALUE(LEFT(Sync!$AF1122,FIND(":",Sync!$AF1122)-1)),2)&amp;RIGHT("00"&amp;VALUE(MID(Sync!$AF1122,FIND(":",Sync!$AF1122)+1,2)),2),"0000"))))</f>
        <v/>
      </c>
    </row>
    <row r="1123" spans="1:14" x14ac:dyDescent="0.2">
      <c r="A1123" t="str">
        <f>IF(OR(Calc!$E1127="",Calc!$E1127="نامعتبر",Calc!$G1127=""),"",Calc!$G1127)</f>
        <v/>
      </c>
      <c r="B1123" t="str">
        <f>IF($A1123="","",LEFT(Calc!$E1127,4)&amp;MID(Calc!$E1127,6,2)&amp;RIGHT(Calc!$E1127,2)&amp;Calc!$Q1127&amp;"|"&amp;"1"&amp;RIGHT("00000"&amp;1118,5))</f>
        <v/>
      </c>
      <c r="C1123" t="str">
        <f t="shared" si="85"/>
        <v/>
      </c>
      <c r="D1123" t="str">
        <f t="shared" si="86"/>
        <v/>
      </c>
      <c r="F1123" t="str">
        <f>IF(Sync!$AH1123="","",IF(LEFT(UPPER(TRIM(Sync!$AH1123)),2)="SL",UPPER(TRIM(Sync!$AH1123)),""))</f>
        <v/>
      </c>
      <c r="G1123" t="str">
        <f>IF($F1123="","",IF(Sync!$AE1123="","",IF(ISNUMBER(Sync!$AE1123),IF(AND(Sync!$AE1123&gt;=10000101,Sync!$AE1123&lt;=99991231),INT(Sync!$AE1123/10000),""),IFERROR(VALUE(TRIM(LEFT(Sync!$AE1123,FIND("/",Sync!$AE1123)-1))),""))))</f>
        <v/>
      </c>
      <c r="H1123" t="str">
        <f>IF(OR($F1123="",$G1123=""),"",IF(ISNUMBER(Sync!$AE1123),INT(MOD(Sync!$AE1123,10000)/100),IFERROR(VALUE(TRIM(LEFT(MID(Sync!$AE1123,FIND("/",Sync!$AE1123)+1,20),FIND("/",MID(Sync!$AE1123,FIND("/",Sync!$AE1123)+1,20))-1))),"")))</f>
        <v/>
      </c>
      <c r="I1123" t="str">
        <f>IF(OR($F1123="",$G1123=""),"",IF(ISNUMBER(Sync!$AE1123),MOD(Sync!$AE1123,100),IFERROR(VALUE(TRIM(MID(MID(Sync!$AE1123,FIND("/",Sync!$AE1123)+1,20),FIND("/",MID(Sync!$AE1123,FIND("/",Sync!$AE1123)+1,20))+1,20))),"")))</f>
        <v/>
      </c>
      <c r="J1123" t="str">
        <f t="shared" si="87"/>
        <v/>
      </c>
      <c r="K1123" t="str">
        <f>IF(OR($F1123="",$J1123="",$J1123="نامعتبر"),"",LEFT($J1123,4)&amp;MID($J1123,6,2)&amp;RIGHT($J1123,2)&amp;$N1123&amp;"|"&amp;"2"&amp;RIGHT("00000"&amp;1118,5))</f>
        <v/>
      </c>
      <c r="L1123" t="str">
        <f t="shared" si="88"/>
        <v/>
      </c>
      <c r="M1123" t="str">
        <f t="shared" si="89"/>
        <v/>
      </c>
      <c r="N1123" t="str">
        <f>IF($F1123="","",IF(Sync!$AF1123="","0000",IF(AND(ISNUMBER(Sync!$AF1123),Sync!$AF1123&gt;=0,Sync!$AF1123&lt;1),RIGHT("00"&amp;HOUR(Sync!$AF1123),2)&amp;RIGHT("00"&amp;MINUTE(Sync!$AF1123),2),IFERROR(RIGHT("00"&amp;VALUE(LEFT(Sync!$AF1123,FIND(":",Sync!$AF1123)-1)),2)&amp;RIGHT("00"&amp;VALUE(MID(Sync!$AF1123,FIND(":",Sync!$AF1123)+1,2)),2),"0000"))))</f>
        <v/>
      </c>
    </row>
    <row r="1124" spans="1:14" x14ac:dyDescent="0.2">
      <c r="A1124" t="str">
        <f>IF(OR(Calc!$E1128="",Calc!$E1128="نامعتبر",Calc!$G1128=""),"",Calc!$G1128)</f>
        <v/>
      </c>
      <c r="B1124" t="str">
        <f>IF($A1124="","",LEFT(Calc!$E1128,4)&amp;MID(Calc!$E1128,6,2)&amp;RIGHT(Calc!$E1128,2)&amp;Calc!$Q1128&amp;"|"&amp;"1"&amp;RIGHT("00000"&amp;1119,5))</f>
        <v/>
      </c>
      <c r="C1124" t="str">
        <f t="shared" si="85"/>
        <v/>
      </c>
      <c r="D1124" t="str">
        <f t="shared" si="86"/>
        <v/>
      </c>
      <c r="F1124" t="str">
        <f>IF(Sync!$AH1124="","",IF(LEFT(UPPER(TRIM(Sync!$AH1124)),2)="SL",UPPER(TRIM(Sync!$AH1124)),""))</f>
        <v/>
      </c>
      <c r="G1124" t="str">
        <f>IF($F1124="","",IF(Sync!$AE1124="","",IF(ISNUMBER(Sync!$AE1124),IF(AND(Sync!$AE1124&gt;=10000101,Sync!$AE1124&lt;=99991231),INT(Sync!$AE1124/10000),""),IFERROR(VALUE(TRIM(LEFT(Sync!$AE1124,FIND("/",Sync!$AE1124)-1))),""))))</f>
        <v/>
      </c>
      <c r="H1124" t="str">
        <f>IF(OR($F1124="",$G1124=""),"",IF(ISNUMBER(Sync!$AE1124),INT(MOD(Sync!$AE1124,10000)/100),IFERROR(VALUE(TRIM(LEFT(MID(Sync!$AE1124,FIND("/",Sync!$AE1124)+1,20),FIND("/",MID(Sync!$AE1124,FIND("/",Sync!$AE1124)+1,20))-1))),"")))</f>
        <v/>
      </c>
      <c r="I1124" t="str">
        <f>IF(OR($F1124="",$G1124=""),"",IF(ISNUMBER(Sync!$AE1124),MOD(Sync!$AE1124,100),IFERROR(VALUE(TRIM(MID(MID(Sync!$AE1124,FIND("/",Sync!$AE1124)+1,20),FIND("/",MID(Sync!$AE1124,FIND("/",Sync!$AE1124)+1,20))+1,20))),"")))</f>
        <v/>
      </c>
      <c r="J1124" t="str">
        <f t="shared" si="87"/>
        <v/>
      </c>
      <c r="K1124" t="str">
        <f>IF(OR($F1124="",$J1124="",$J1124="نامعتبر"),"",LEFT($J1124,4)&amp;MID($J1124,6,2)&amp;RIGHT($J1124,2)&amp;$N1124&amp;"|"&amp;"2"&amp;RIGHT("00000"&amp;1119,5))</f>
        <v/>
      </c>
      <c r="L1124" t="str">
        <f t="shared" si="88"/>
        <v/>
      </c>
      <c r="M1124" t="str">
        <f t="shared" si="89"/>
        <v/>
      </c>
      <c r="N1124" t="str">
        <f>IF($F1124="","",IF(Sync!$AF1124="","0000",IF(AND(ISNUMBER(Sync!$AF1124),Sync!$AF1124&gt;=0,Sync!$AF1124&lt;1),RIGHT("00"&amp;HOUR(Sync!$AF1124),2)&amp;RIGHT("00"&amp;MINUTE(Sync!$AF1124),2),IFERROR(RIGHT("00"&amp;VALUE(LEFT(Sync!$AF1124,FIND(":",Sync!$AF1124)-1)),2)&amp;RIGHT("00"&amp;VALUE(MID(Sync!$AF1124,FIND(":",Sync!$AF1124)+1,2)),2),"0000"))))</f>
        <v/>
      </c>
    </row>
    <row r="1125" spans="1:14" x14ac:dyDescent="0.2">
      <c r="A1125" t="str">
        <f>IF(OR(Calc!$E1129="",Calc!$E1129="نامعتبر",Calc!$G1129=""),"",Calc!$G1129)</f>
        <v/>
      </c>
      <c r="B1125" t="str">
        <f>IF($A1125="","",LEFT(Calc!$E1129,4)&amp;MID(Calc!$E1129,6,2)&amp;RIGHT(Calc!$E1129,2)&amp;Calc!$Q1129&amp;"|"&amp;"1"&amp;RIGHT("00000"&amp;1120,5))</f>
        <v/>
      </c>
      <c r="C1125" t="str">
        <f t="shared" si="85"/>
        <v/>
      </c>
      <c r="D1125" t="str">
        <f t="shared" si="86"/>
        <v/>
      </c>
      <c r="F1125" t="str">
        <f>IF(Sync!$AH1125="","",IF(LEFT(UPPER(TRIM(Sync!$AH1125)),2)="SL",UPPER(TRIM(Sync!$AH1125)),""))</f>
        <v/>
      </c>
      <c r="G1125" t="str">
        <f>IF($F1125="","",IF(Sync!$AE1125="","",IF(ISNUMBER(Sync!$AE1125),IF(AND(Sync!$AE1125&gt;=10000101,Sync!$AE1125&lt;=99991231),INT(Sync!$AE1125/10000),""),IFERROR(VALUE(TRIM(LEFT(Sync!$AE1125,FIND("/",Sync!$AE1125)-1))),""))))</f>
        <v/>
      </c>
      <c r="H1125" t="str">
        <f>IF(OR($F1125="",$G1125=""),"",IF(ISNUMBER(Sync!$AE1125),INT(MOD(Sync!$AE1125,10000)/100),IFERROR(VALUE(TRIM(LEFT(MID(Sync!$AE1125,FIND("/",Sync!$AE1125)+1,20),FIND("/",MID(Sync!$AE1125,FIND("/",Sync!$AE1125)+1,20))-1))),"")))</f>
        <v/>
      </c>
      <c r="I1125" t="str">
        <f>IF(OR($F1125="",$G1125=""),"",IF(ISNUMBER(Sync!$AE1125),MOD(Sync!$AE1125,100),IFERROR(VALUE(TRIM(MID(MID(Sync!$AE1125,FIND("/",Sync!$AE1125)+1,20),FIND("/",MID(Sync!$AE1125,FIND("/",Sync!$AE1125)+1,20))+1,20))),"")))</f>
        <v/>
      </c>
      <c r="J1125" t="str">
        <f t="shared" si="87"/>
        <v/>
      </c>
      <c r="K1125" t="str">
        <f>IF(OR($F1125="",$J1125="",$J1125="نامعتبر"),"",LEFT($J1125,4)&amp;MID($J1125,6,2)&amp;RIGHT($J1125,2)&amp;$N1125&amp;"|"&amp;"2"&amp;RIGHT("00000"&amp;1120,5))</f>
        <v/>
      </c>
      <c r="L1125" t="str">
        <f t="shared" si="88"/>
        <v/>
      </c>
      <c r="M1125" t="str">
        <f t="shared" si="89"/>
        <v/>
      </c>
      <c r="N1125" t="str">
        <f>IF($F1125="","",IF(Sync!$AF1125="","0000",IF(AND(ISNUMBER(Sync!$AF1125),Sync!$AF1125&gt;=0,Sync!$AF1125&lt;1),RIGHT("00"&amp;HOUR(Sync!$AF1125),2)&amp;RIGHT("00"&amp;MINUTE(Sync!$AF1125),2),IFERROR(RIGHT("00"&amp;VALUE(LEFT(Sync!$AF1125,FIND(":",Sync!$AF1125)-1)),2)&amp;RIGHT("00"&amp;VALUE(MID(Sync!$AF1125,FIND(":",Sync!$AF1125)+1,2)),2),"0000"))))</f>
        <v/>
      </c>
    </row>
    <row r="1126" spans="1:14" x14ac:dyDescent="0.2">
      <c r="A1126" t="str">
        <f>IF(OR(Calc!$E1130="",Calc!$E1130="نامعتبر",Calc!$G1130=""),"",Calc!$G1130)</f>
        <v/>
      </c>
      <c r="B1126" t="str">
        <f>IF($A1126="","",LEFT(Calc!$E1130,4)&amp;MID(Calc!$E1130,6,2)&amp;RIGHT(Calc!$E1130,2)&amp;Calc!$Q1130&amp;"|"&amp;"1"&amp;RIGHT("00000"&amp;1121,5))</f>
        <v/>
      </c>
      <c r="C1126" t="str">
        <f t="shared" si="85"/>
        <v/>
      </c>
      <c r="D1126" t="str">
        <f t="shared" si="86"/>
        <v/>
      </c>
      <c r="F1126" t="str">
        <f>IF(Sync!$AH1126="","",IF(LEFT(UPPER(TRIM(Sync!$AH1126)),2)="SL",UPPER(TRIM(Sync!$AH1126)),""))</f>
        <v/>
      </c>
      <c r="G1126" t="str">
        <f>IF($F1126="","",IF(Sync!$AE1126="","",IF(ISNUMBER(Sync!$AE1126),IF(AND(Sync!$AE1126&gt;=10000101,Sync!$AE1126&lt;=99991231),INT(Sync!$AE1126/10000),""),IFERROR(VALUE(TRIM(LEFT(Sync!$AE1126,FIND("/",Sync!$AE1126)-1))),""))))</f>
        <v/>
      </c>
      <c r="H1126" t="str">
        <f>IF(OR($F1126="",$G1126=""),"",IF(ISNUMBER(Sync!$AE1126),INT(MOD(Sync!$AE1126,10000)/100),IFERROR(VALUE(TRIM(LEFT(MID(Sync!$AE1126,FIND("/",Sync!$AE1126)+1,20),FIND("/",MID(Sync!$AE1126,FIND("/",Sync!$AE1126)+1,20))-1))),"")))</f>
        <v/>
      </c>
      <c r="I1126" t="str">
        <f>IF(OR($F1126="",$G1126=""),"",IF(ISNUMBER(Sync!$AE1126),MOD(Sync!$AE1126,100),IFERROR(VALUE(TRIM(MID(MID(Sync!$AE1126,FIND("/",Sync!$AE1126)+1,20),FIND("/",MID(Sync!$AE1126,FIND("/",Sync!$AE1126)+1,20))+1,20))),"")))</f>
        <v/>
      </c>
      <c r="J1126" t="str">
        <f t="shared" si="87"/>
        <v/>
      </c>
      <c r="K1126" t="str">
        <f>IF(OR($F1126="",$J1126="",$J1126="نامعتبر"),"",LEFT($J1126,4)&amp;MID($J1126,6,2)&amp;RIGHT($J1126,2)&amp;$N1126&amp;"|"&amp;"2"&amp;RIGHT("00000"&amp;1121,5))</f>
        <v/>
      </c>
      <c r="L1126" t="str">
        <f t="shared" si="88"/>
        <v/>
      </c>
      <c r="M1126" t="str">
        <f t="shared" si="89"/>
        <v/>
      </c>
      <c r="N1126" t="str">
        <f>IF($F1126="","",IF(Sync!$AF1126="","0000",IF(AND(ISNUMBER(Sync!$AF1126),Sync!$AF1126&gt;=0,Sync!$AF1126&lt;1),RIGHT("00"&amp;HOUR(Sync!$AF1126),2)&amp;RIGHT("00"&amp;MINUTE(Sync!$AF1126),2),IFERROR(RIGHT("00"&amp;VALUE(LEFT(Sync!$AF1126,FIND(":",Sync!$AF1126)-1)),2)&amp;RIGHT("00"&amp;VALUE(MID(Sync!$AF1126,FIND(":",Sync!$AF1126)+1,2)),2),"0000"))))</f>
        <v/>
      </c>
    </row>
    <row r="1127" spans="1:14" x14ac:dyDescent="0.2">
      <c r="A1127" t="str">
        <f>IF(OR(Calc!$E1131="",Calc!$E1131="نامعتبر",Calc!$G1131=""),"",Calc!$G1131)</f>
        <v/>
      </c>
      <c r="B1127" t="str">
        <f>IF($A1127="","",LEFT(Calc!$E1131,4)&amp;MID(Calc!$E1131,6,2)&amp;RIGHT(Calc!$E1131,2)&amp;Calc!$Q1131&amp;"|"&amp;"1"&amp;RIGHT("00000"&amp;1122,5))</f>
        <v/>
      </c>
      <c r="C1127" t="str">
        <f t="shared" si="85"/>
        <v/>
      </c>
      <c r="D1127" t="str">
        <f t="shared" si="86"/>
        <v/>
      </c>
      <c r="F1127" t="str">
        <f>IF(Sync!$AH1127="","",IF(LEFT(UPPER(TRIM(Sync!$AH1127)),2)="SL",UPPER(TRIM(Sync!$AH1127)),""))</f>
        <v/>
      </c>
      <c r="G1127" t="str">
        <f>IF($F1127="","",IF(Sync!$AE1127="","",IF(ISNUMBER(Sync!$AE1127),IF(AND(Sync!$AE1127&gt;=10000101,Sync!$AE1127&lt;=99991231),INT(Sync!$AE1127/10000),""),IFERROR(VALUE(TRIM(LEFT(Sync!$AE1127,FIND("/",Sync!$AE1127)-1))),""))))</f>
        <v/>
      </c>
      <c r="H1127" t="str">
        <f>IF(OR($F1127="",$G1127=""),"",IF(ISNUMBER(Sync!$AE1127),INT(MOD(Sync!$AE1127,10000)/100),IFERROR(VALUE(TRIM(LEFT(MID(Sync!$AE1127,FIND("/",Sync!$AE1127)+1,20),FIND("/",MID(Sync!$AE1127,FIND("/",Sync!$AE1127)+1,20))-1))),"")))</f>
        <v/>
      </c>
      <c r="I1127" t="str">
        <f>IF(OR($F1127="",$G1127=""),"",IF(ISNUMBER(Sync!$AE1127),MOD(Sync!$AE1127,100),IFERROR(VALUE(TRIM(MID(MID(Sync!$AE1127,FIND("/",Sync!$AE1127)+1,20),FIND("/",MID(Sync!$AE1127,FIND("/",Sync!$AE1127)+1,20))+1,20))),"")))</f>
        <v/>
      </c>
      <c r="J1127" t="str">
        <f t="shared" si="87"/>
        <v/>
      </c>
      <c r="K1127" t="str">
        <f>IF(OR($F1127="",$J1127="",$J1127="نامعتبر"),"",LEFT($J1127,4)&amp;MID($J1127,6,2)&amp;RIGHT($J1127,2)&amp;$N1127&amp;"|"&amp;"2"&amp;RIGHT("00000"&amp;1122,5))</f>
        <v/>
      </c>
      <c r="L1127" t="str">
        <f t="shared" si="88"/>
        <v/>
      </c>
      <c r="M1127" t="str">
        <f t="shared" si="89"/>
        <v/>
      </c>
      <c r="N1127" t="str">
        <f>IF($F1127="","",IF(Sync!$AF1127="","0000",IF(AND(ISNUMBER(Sync!$AF1127),Sync!$AF1127&gt;=0,Sync!$AF1127&lt;1),RIGHT("00"&amp;HOUR(Sync!$AF1127),2)&amp;RIGHT("00"&amp;MINUTE(Sync!$AF1127),2),IFERROR(RIGHT("00"&amp;VALUE(LEFT(Sync!$AF1127,FIND(":",Sync!$AF1127)-1)),2)&amp;RIGHT("00"&amp;VALUE(MID(Sync!$AF1127,FIND(":",Sync!$AF1127)+1,2)),2),"0000"))))</f>
        <v/>
      </c>
    </row>
    <row r="1128" spans="1:14" x14ac:dyDescent="0.2">
      <c r="A1128" t="str">
        <f>IF(OR(Calc!$E1132="",Calc!$E1132="نامعتبر",Calc!$G1132=""),"",Calc!$G1132)</f>
        <v/>
      </c>
      <c r="B1128" t="str">
        <f>IF($A1128="","",LEFT(Calc!$E1132,4)&amp;MID(Calc!$E1132,6,2)&amp;RIGHT(Calc!$E1132,2)&amp;Calc!$Q1132&amp;"|"&amp;"1"&amp;RIGHT("00000"&amp;1123,5))</f>
        <v/>
      </c>
      <c r="C1128" t="str">
        <f t="shared" si="85"/>
        <v/>
      </c>
      <c r="D1128" t="str">
        <f t="shared" si="86"/>
        <v/>
      </c>
      <c r="F1128" t="str">
        <f>IF(Sync!$AH1128="","",IF(LEFT(UPPER(TRIM(Sync!$AH1128)),2)="SL",UPPER(TRIM(Sync!$AH1128)),""))</f>
        <v/>
      </c>
      <c r="G1128" t="str">
        <f>IF($F1128="","",IF(Sync!$AE1128="","",IF(ISNUMBER(Sync!$AE1128),IF(AND(Sync!$AE1128&gt;=10000101,Sync!$AE1128&lt;=99991231),INT(Sync!$AE1128/10000),""),IFERROR(VALUE(TRIM(LEFT(Sync!$AE1128,FIND("/",Sync!$AE1128)-1))),""))))</f>
        <v/>
      </c>
      <c r="H1128" t="str">
        <f>IF(OR($F1128="",$G1128=""),"",IF(ISNUMBER(Sync!$AE1128),INT(MOD(Sync!$AE1128,10000)/100),IFERROR(VALUE(TRIM(LEFT(MID(Sync!$AE1128,FIND("/",Sync!$AE1128)+1,20),FIND("/",MID(Sync!$AE1128,FIND("/",Sync!$AE1128)+1,20))-1))),"")))</f>
        <v/>
      </c>
      <c r="I1128" t="str">
        <f>IF(OR($F1128="",$G1128=""),"",IF(ISNUMBER(Sync!$AE1128),MOD(Sync!$AE1128,100),IFERROR(VALUE(TRIM(MID(MID(Sync!$AE1128,FIND("/",Sync!$AE1128)+1,20),FIND("/",MID(Sync!$AE1128,FIND("/",Sync!$AE1128)+1,20))+1,20))),"")))</f>
        <v/>
      </c>
      <c r="J1128" t="str">
        <f t="shared" si="87"/>
        <v/>
      </c>
      <c r="K1128" t="str">
        <f>IF(OR($F1128="",$J1128="",$J1128="نامعتبر"),"",LEFT($J1128,4)&amp;MID($J1128,6,2)&amp;RIGHT($J1128,2)&amp;$N1128&amp;"|"&amp;"2"&amp;RIGHT("00000"&amp;1123,5))</f>
        <v/>
      </c>
      <c r="L1128" t="str">
        <f t="shared" si="88"/>
        <v/>
      </c>
      <c r="M1128" t="str">
        <f t="shared" si="89"/>
        <v/>
      </c>
      <c r="N1128" t="str">
        <f>IF($F1128="","",IF(Sync!$AF1128="","0000",IF(AND(ISNUMBER(Sync!$AF1128),Sync!$AF1128&gt;=0,Sync!$AF1128&lt;1),RIGHT("00"&amp;HOUR(Sync!$AF1128),2)&amp;RIGHT("00"&amp;MINUTE(Sync!$AF1128),2),IFERROR(RIGHT("00"&amp;VALUE(LEFT(Sync!$AF1128,FIND(":",Sync!$AF1128)-1)),2)&amp;RIGHT("00"&amp;VALUE(MID(Sync!$AF1128,FIND(":",Sync!$AF1128)+1,2)),2),"0000"))))</f>
        <v/>
      </c>
    </row>
    <row r="1129" spans="1:14" x14ac:dyDescent="0.2">
      <c r="A1129" t="str">
        <f>IF(OR(Calc!$E1133="",Calc!$E1133="نامعتبر",Calc!$G1133=""),"",Calc!$G1133)</f>
        <v/>
      </c>
      <c r="B1129" t="str">
        <f>IF($A1129="","",LEFT(Calc!$E1133,4)&amp;MID(Calc!$E1133,6,2)&amp;RIGHT(Calc!$E1133,2)&amp;Calc!$Q1133&amp;"|"&amp;"1"&amp;RIGHT("00000"&amp;1124,5))</f>
        <v/>
      </c>
      <c r="C1129" t="str">
        <f t="shared" si="85"/>
        <v/>
      </c>
      <c r="D1129" t="str">
        <f t="shared" si="86"/>
        <v/>
      </c>
      <c r="F1129" t="str">
        <f>IF(Sync!$AH1129="","",IF(LEFT(UPPER(TRIM(Sync!$AH1129)),2)="SL",UPPER(TRIM(Sync!$AH1129)),""))</f>
        <v/>
      </c>
      <c r="G1129" t="str">
        <f>IF($F1129="","",IF(Sync!$AE1129="","",IF(ISNUMBER(Sync!$AE1129),IF(AND(Sync!$AE1129&gt;=10000101,Sync!$AE1129&lt;=99991231),INT(Sync!$AE1129/10000),""),IFERROR(VALUE(TRIM(LEFT(Sync!$AE1129,FIND("/",Sync!$AE1129)-1))),""))))</f>
        <v/>
      </c>
      <c r="H1129" t="str">
        <f>IF(OR($F1129="",$G1129=""),"",IF(ISNUMBER(Sync!$AE1129),INT(MOD(Sync!$AE1129,10000)/100),IFERROR(VALUE(TRIM(LEFT(MID(Sync!$AE1129,FIND("/",Sync!$AE1129)+1,20),FIND("/",MID(Sync!$AE1129,FIND("/",Sync!$AE1129)+1,20))-1))),"")))</f>
        <v/>
      </c>
      <c r="I1129" t="str">
        <f>IF(OR($F1129="",$G1129=""),"",IF(ISNUMBER(Sync!$AE1129),MOD(Sync!$AE1129,100),IFERROR(VALUE(TRIM(MID(MID(Sync!$AE1129,FIND("/",Sync!$AE1129)+1,20),FIND("/",MID(Sync!$AE1129,FIND("/",Sync!$AE1129)+1,20))+1,20))),"")))</f>
        <v/>
      </c>
      <c r="J1129" t="str">
        <f t="shared" si="87"/>
        <v/>
      </c>
      <c r="K1129" t="str">
        <f>IF(OR($F1129="",$J1129="",$J1129="نامعتبر"),"",LEFT($J1129,4)&amp;MID($J1129,6,2)&amp;RIGHT($J1129,2)&amp;$N1129&amp;"|"&amp;"2"&amp;RIGHT("00000"&amp;1124,5))</f>
        <v/>
      </c>
      <c r="L1129" t="str">
        <f t="shared" si="88"/>
        <v/>
      </c>
      <c r="M1129" t="str">
        <f t="shared" si="89"/>
        <v/>
      </c>
      <c r="N1129" t="str">
        <f>IF($F1129="","",IF(Sync!$AF1129="","0000",IF(AND(ISNUMBER(Sync!$AF1129),Sync!$AF1129&gt;=0,Sync!$AF1129&lt;1),RIGHT("00"&amp;HOUR(Sync!$AF1129),2)&amp;RIGHT("00"&amp;MINUTE(Sync!$AF1129),2),IFERROR(RIGHT("00"&amp;VALUE(LEFT(Sync!$AF1129,FIND(":",Sync!$AF1129)-1)),2)&amp;RIGHT("00"&amp;VALUE(MID(Sync!$AF1129,FIND(":",Sync!$AF1129)+1,2)),2),"0000"))))</f>
        <v/>
      </c>
    </row>
    <row r="1130" spans="1:14" x14ac:dyDescent="0.2">
      <c r="A1130" t="str">
        <f>IF(OR(Calc!$E1134="",Calc!$E1134="نامعتبر",Calc!$G1134=""),"",Calc!$G1134)</f>
        <v/>
      </c>
      <c r="B1130" t="str">
        <f>IF($A1130="","",LEFT(Calc!$E1134,4)&amp;MID(Calc!$E1134,6,2)&amp;RIGHT(Calc!$E1134,2)&amp;Calc!$Q1134&amp;"|"&amp;"1"&amp;RIGHT("00000"&amp;1125,5))</f>
        <v/>
      </c>
      <c r="C1130" t="str">
        <f t="shared" si="85"/>
        <v/>
      </c>
      <c r="D1130" t="str">
        <f t="shared" si="86"/>
        <v/>
      </c>
      <c r="F1130" t="str">
        <f>IF(Sync!$AH1130="","",IF(LEFT(UPPER(TRIM(Sync!$AH1130)),2)="SL",UPPER(TRIM(Sync!$AH1130)),""))</f>
        <v/>
      </c>
      <c r="G1130" t="str">
        <f>IF($F1130="","",IF(Sync!$AE1130="","",IF(ISNUMBER(Sync!$AE1130),IF(AND(Sync!$AE1130&gt;=10000101,Sync!$AE1130&lt;=99991231),INT(Sync!$AE1130/10000),""),IFERROR(VALUE(TRIM(LEFT(Sync!$AE1130,FIND("/",Sync!$AE1130)-1))),""))))</f>
        <v/>
      </c>
      <c r="H1130" t="str">
        <f>IF(OR($F1130="",$G1130=""),"",IF(ISNUMBER(Sync!$AE1130),INT(MOD(Sync!$AE1130,10000)/100),IFERROR(VALUE(TRIM(LEFT(MID(Sync!$AE1130,FIND("/",Sync!$AE1130)+1,20),FIND("/",MID(Sync!$AE1130,FIND("/",Sync!$AE1130)+1,20))-1))),"")))</f>
        <v/>
      </c>
      <c r="I1130" t="str">
        <f>IF(OR($F1130="",$G1130=""),"",IF(ISNUMBER(Sync!$AE1130),MOD(Sync!$AE1130,100),IFERROR(VALUE(TRIM(MID(MID(Sync!$AE1130,FIND("/",Sync!$AE1130)+1,20),FIND("/",MID(Sync!$AE1130,FIND("/",Sync!$AE1130)+1,20))+1,20))),"")))</f>
        <v/>
      </c>
      <c r="J1130" t="str">
        <f t="shared" si="87"/>
        <v/>
      </c>
      <c r="K1130" t="str">
        <f>IF(OR($F1130="",$J1130="",$J1130="نامعتبر"),"",LEFT($J1130,4)&amp;MID($J1130,6,2)&amp;RIGHT($J1130,2)&amp;$N1130&amp;"|"&amp;"2"&amp;RIGHT("00000"&amp;1125,5))</f>
        <v/>
      </c>
      <c r="L1130" t="str">
        <f t="shared" si="88"/>
        <v/>
      </c>
      <c r="M1130" t="str">
        <f t="shared" si="89"/>
        <v/>
      </c>
      <c r="N1130" t="str">
        <f>IF($F1130="","",IF(Sync!$AF1130="","0000",IF(AND(ISNUMBER(Sync!$AF1130),Sync!$AF1130&gt;=0,Sync!$AF1130&lt;1),RIGHT("00"&amp;HOUR(Sync!$AF1130),2)&amp;RIGHT("00"&amp;MINUTE(Sync!$AF1130),2),IFERROR(RIGHT("00"&amp;VALUE(LEFT(Sync!$AF1130,FIND(":",Sync!$AF1130)-1)),2)&amp;RIGHT("00"&amp;VALUE(MID(Sync!$AF1130,FIND(":",Sync!$AF1130)+1,2)),2),"0000"))))</f>
        <v/>
      </c>
    </row>
    <row r="1131" spans="1:14" x14ac:dyDescent="0.2">
      <c r="A1131" t="str">
        <f>IF(OR(Calc!$E1135="",Calc!$E1135="نامعتبر",Calc!$G1135=""),"",Calc!$G1135)</f>
        <v/>
      </c>
      <c r="B1131" t="str">
        <f>IF($A1131="","",LEFT(Calc!$E1135,4)&amp;MID(Calc!$E1135,6,2)&amp;RIGHT(Calc!$E1135,2)&amp;Calc!$Q1135&amp;"|"&amp;"1"&amp;RIGHT("00000"&amp;1126,5))</f>
        <v/>
      </c>
      <c r="C1131" t="str">
        <f t="shared" si="85"/>
        <v/>
      </c>
      <c r="D1131" t="str">
        <f t="shared" si="86"/>
        <v/>
      </c>
      <c r="F1131" t="str">
        <f>IF(Sync!$AH1131="","",IF(LEFT(UPPER(TRIM(Sync!$AH1131)),2)="SL",UPPER(TRIM(Sync!$AH1131)),""))</f>
        <v/>
      </c>
      <c r="G1131" t="str">
        <f>IF($F1131="","",IF(Sync!$AE1131="","",IF(ISNUMBER(Sync!$AE1131),IF(AND(Sync!$AE1131&gt;=10000101,Sync!$AE1131&lt;=99991231),INT(Sync!$AE1131/10000),""),IFERROR(VALUE(TRIM(LEFT(Sync!$AE1131,FIND("/",Sync!$AE1131)-1))),""))))</f>
        <v/>
      </c>
      <c r="H1131" t="str">
        <f>IF(OR($F1131="",$G1131=""),"",IF(ISNUMBER(Sync!$AE1131),INT(MOD(Sync!$AE1131,10000)/100),IFERROR(VALUE(TRIM(LEFT(MID(Sync!$AE1131,FIND("/",Sync!$AE1131)+1,20),FIND("/",MID(Sync!$AE1131,FIND("/",Sync!$AE1131)+1,20))-1))),"")))</f>
        <v/>
      </c>
      <c r="I1131" t="str">
        <f>IF(OR($F1131="",$G1131=""),"",IF(ISNUMBER(Sync!$AE1131),MOD(Sync!$AE1131,100),IFERROR(VALUE(TRIM(MID(MID(Sync!$AE1131,FIND("/",Sync!$AE1131)+1,20),FIND("/",MID(Sync!$AE1131,FIND("/",Sync!$AE1131)+1,20))+1,20))),"")))</f>
        <v/>
      </c>
      <c r="J1131" t="str">
        <f t="shared" si="87"/>
        <v/>
      </c>
      <c r="K1131" t="str">
        <f>IF(OR($F1131="",$J1131="",$J1131="نامعتبر"),"",LEFT($J1131,4)&amp;MID($J1131,6,2)&amp;RIGHT($J1131,2)&amp;$N1131&amp;"|"&amp;"2"&amp;RIGHT("00000"&amp;1126,5))</f>
        <v/>
      </c>
      <c r="L1131" t="str">
        <f t="shared" si="88"/>
        <v/>
      </c>
      <c r="M1131" t="str">
        <f t="shared" si="89"/>
        <v/>
      </c>
      <c r="N1131" t="str">
        <f>IF($F1131="","",IF(Sync!$AF1131="","0000",IF(AND(ISNUMBER(Sync!$AF1131),Sync!$AF1131&gt;=0,Sync!$AF1131&lt;1),RIGHT("00"&amp;HOUR(Sync!$AF1131),2)&amp;RIGHT("00"&amp;MINUTE(Sync!$AF1131),2),IFERROR(RIGHT("00"&amp;VALUE(LEFT(Sync!$AF1131,FIND(":",Sync!$AF1131)-1)),2)&amp;RIGHT("00"&amp;VALUE(MID(Sync!$AF1131,FIND(":",Sync!$AF1131)+1,2)),2),"0000"))))</f>
        <v/>
      </c>
    </row>
    <row r="1132" spans="1:14" x14ac:dyDescent="0.2">
      <c r="A1132" t="str">
        <f>IF(OR(Calc!$E1136="",Calc!$E1136="نامعتبر",Calc!$G1136=""),"",Calc!$G1136)</f>
        <v/>
      </c>
      <c r="B1132" t="str">
        <f>IF($A1132="","",LEFT(Calc!$E1136,4)&amp;MID(Calc!$E1136,6,2)&amp;RIGHT(Calc!$E1136,2)&amp;Calc!$Q1136&amp;"|"&amp;"1"&amp;RIGHT("00000"&amp;1127,5))</f>
        <v/>
      </c>
      <c r="C1132" t="str">
        <f t="shared" si="85"/>
        <v/>
      </c>
      <c r="D1132" t="str">
        <f t="shared" si="86"/>
        <v/>
      </c>
      <c r="F1132" t="str">
        <f>IF(Sync!$AH1132="","",IF(LEFT(UPPER(TRIM(Sync!$AH1132)),2)="SL",UPPER(TRIM(Sync!$AH1132)),""))</f>
        <v/>
      </c>
      <c r="G1132" t="str">
        <f>IF($F1132="","",IF(Sync!$AE1132="","",IF(ISNUMBER(Sync!$AE1132),IF(AND(Sync!$AE1132&gt;=10000101,Sync!$AE1132&lt;=99991231),INT(Sync!$AE1132/10000),""),IFERROR(VALUE(TRIM(LEFT(Sync!$AE1132,FIND("/",Sync!$AE1132)-1))),""))))</f>
        <v/>
      </c>
      <c r="H1132" t="str">
        <f>IF(OR($F1132="",$G1132=""),"",IF(ISNUMBER(Sync!$AE1132),INT(MOD(Sync!$AE1132,10000)/100),IFERROR(VALUE(TRIM(LEFT(MID(Sync!$AE1132,FIND("/",Sync!$AE1132)+1,20),FIND("/",MID(Sync!$AE1132,FIND("/",Sync!$AE1132)+1,20))-1))),"")))</f>
        <v/>
      </c>
      <c r="I1132" t="str">
        <f>IF(OR($F1132="",$G1132=""),"",IF(ISNUMBER(Sync!$AE1132),MOD(Sync!$AE1132,100),IFERROR(VALUE(TRIM(MID(MID(Sync!$AE1132,FIND("/",Sync!$AE1132)+1,20),FIND("/",MID(Sync!$AE1132,FIND("/",Sync!$AE1132)+1,20))+1,20))),"")))</f>
        <v/>
      </c>
      <c r="J1132" t="str">
        <f t="shared" si="87"/>
        <v/>
      </c>
      <c r="K1132" t="str">
        <f>IF(OR($F1132="",$J1132="",$J1132="نامعتبر"),"",LEFT($J1132,4)&amp;MID($J1132,6,2)&amp;RIGHT($J1132,2)&amp;$N1132&amp;"|"&amp;"2"&amp;RIGHT("00000"&amp;1127,5))</f>
        <v/>
      </c>
      <c r="L1132" t="str">
        <f t="shared" si="88"/>
        <v/>
      </c>
      <c r="M1132" t="str">
        <f t="shared" si="89"/>
        <v/>
      </c>
      <c r="N1132" t="str">
        <f>IF($F1132="","",IF(Sync!$AF1132="","0000",IF(AND(ISNUMBER(Sync!$AF1132),Sync!$AF1132&gt;=0,Sync!$AF1132&lt;1),RIGHT("00"&amp;HOUR(Sync!$AF1132),2)&amp;RIGHT("00"&amp;MINUTE(Sync!$AF1132),2),IFERROR(RIGHT("00"&amp;VALUE(LEFT(Sync!$AF1132,FIND(":",Sync!$AF1132)-1)),2)&amp;RIGHT("00"&amp;VALUE(MID(Sync!$AF1132,FIND(":",Sync!$AF1132)+1,2)),2),"0000"))))</f>
        <v/>
      </c>
    </row>
    <row r="1133" spans="1:14" x14ac:dyDescent="0.2">
      <c r="A1133" t="str">
        <f>IF(OR(Calc!$E1137="",Calc!$E1137="نامعتبر",Calc!$G1137=""),"",Calc!$G1137)</f>
        <v/>
      </c>
      <c r="B1133" t="str">
        <f>IF($A1133="","",LEFT(Calc!$E1137,4)&amp;MID(Calc!$E1137,6,2)&amp;RIGHT(Calc!$E1137,2)&amp;Calc!$Q1137&amp;"|"&amp;"1"&amp;RIGHT("00000"&amp;1128,5))</f>
        <v/>
      </c>
      <c r="C1133" t="str">
        <f t="shared" si="85"/>
        <v/>
      </c>
      <c r="D1133" t="str">
        <f t="shared" si="86"/>
        <v/>
      </c>
      <c r="F1133" t="str">
        <f>IF(Sync!$AH1133="","",IF(LEFT(UPPER(TRIM(Sync!$AH1133)),2)="SL",UPPER(TRIM(Sync!$AH1133)),""))</f>
        <v/>
      </c>
      <c r="G1133" t="str">
        <f>IF($F1133="","",IF(Sync!$AE1133="","",IF(ISNUMBER(Sync!$AE1133),IF(AND(Sync!$AE1133&gt;=10000101,Sync!$AE1133&lt;=99991231),INT(Sync!$AE1133/10000),""),IFERROR(VALUE(TRIM(LEFT(Sync!$AE1133,FIND("/",Sync!$AE1133)-1))),""))))</f>
        <v/>
      </c>
      <c r="H1133" t="str">
        <f>IF(OR($F1133="",$G1133=""),"",IF(ISNUMBER(Sync!$AE1133),INT(MOD(Sync!$AE1133,10000)/100),IFERROR(VALUE(TRIM(LEFT(MID(Sync!$AE1133,FIND("/",Sync!$AE1133)+1,20),FIND("/",MID(Sync!$AE1133,FIND("/",Sync!$AE1133)+1,20))-1))),"")))</f>
        <v/>
      </c>
      <c r="I1133" t="str">
        <f>IF(OR($F1133="",$G1133=""),"",IF(ISNUMBER(Sync!$AE1133),MOD(Sync!$AE1133,100),IFERROR(VALUE(TRIM(MID(MID(Sync!$AE1133,FIND("/",Sync!$AE1133)+1,20),FIND("/",MID(Sync!$AE1133,FIND("/",Sync!$AE1133)+1,20))+1,20))),"")))</f>
        <v/>
      </c>
      <c r="J1133" t="str">
        <f t="shared" si="87"/>
        <v/>
      </c>
      <c r="K1133" t="str">
        <f>IF(OR($F1133="",$J1133="",$J1133="نامعتبر"),"",LEFT($J1133,4)&amp;MID($J1133,6,2)&amp;RIGHT($J1133,2)&amp;$N1133&amp;"|"&amp;"2"&amp;RIGHT("00000"&amp;1128,5))</f>
        <v/>
      </c>
      <c r="L1133" t="str">
        <f t="shared" si="88"/>
        <v/>
      </c>
      <c r="M1133" t="str">
        <f t="shared" si="89"/>
        <v/>
      </c>
      <c r="N1133" t="str">
        <f>IF($F1133="","",IF(Sync!$AF1133="","0000",IF(AND(ISNUMBER(Sync!$AF1133),Sync!$AF1133&gt;=0,Sync!$AF1133&lt;1),RIGHT("00"&amp;HOUR(Sync!$AF1133),2)&amp;RIGHT("00"&amp;MINUTE(Sync!$AF1133),2),IFERROR(RIGHT("00"&amp;VALUE(LEFT(Sync!$AF1133,FIND(":",Sync!$AF1133)-1)),2)&amp;RIGHT("00"&amp;VALUE(MID(Sync!$AF1133,FIND(":",Sync!$AF1133)+1,2)),2),"0000"))))</f>
        <v/>
      </c>
    </row>
    <row r="1134" spans="1:14" x14ac:dyDescent="0.2">
      <c r="A1134" t="str">
        <f>IF(OR(Calc!$E1138="",Calc!$E1138="نامعتبر",Calc!$G1138=""),"",Calc!$G1138)</f>
        <v/>
      </c>
      <c r="B1134" t="str">
        <f>IF($A1134="","",LEFT(Calc!$E1138,4)&amp;MID(Calc!$E1138,6,2)&amp;RIGHT(Calc!$E1138,2)&amp;Calc!$Q1138&amp;"|"&amp;"1"&amp;RIGHT("00000"&amp;1129,5))</f>
        <v/>
      </c>
      <c r="C1134" t="str">
        <f t="shared" si="85"/>
        <v/>
      </c>
      <c r="D1134" t="str">
        <f t="shared" si="86"/>
        <v/>
      </c>
      <c r="F1134" t="str">
        <f>IF(Sync!$AH1134="","",IF(LEFT(UPPER(TRIM(Sync!$AH1134)),2)="SL",UPPER(TRIM(Sync!$AH1134)),""))</f>
        <v/>
      </c>
      <c r="G1134" t="str">
        <f>IF($F1134="","",IF(Sync!$AE1134="","",IF(ISNUMBER(Sync!$AE1134),IF(AND(Sync!$AE1134&gt;=10000101,Sync!$AE1134&lt;=99991231),INT(Sync!$AE1134/10000),""),IFERROR(VALUE(TRIM(LEFT(Sync!$AE1134,FIND("/",Sync!$AE1134)-1))),""))))</f>
        <v/>
      </c>
      <c r="H1134" t="str">
        <f>IF(OR($F1134="",$G1134=""),"",IF(ISNUMBER(Sync!$AE1134),INT(MOD(Sync!$AE1134,10000)/100),IFERROR(VALUE(TRIM(LEFT(MID(Sync!$AE1134,FIND("/",Sync!$AE1134)+1,20),FIND("/",MID(Sync!$AE1134,FIND("/",Sync!$AE1134)+1,20))-1))),"")))</f>
        <v/>
      </c>
      <c r="I1134" t="str">
        <f>IF(OR($F1134="",$G1134=""),"",IF(ISNUMBER(Sync!$AE1134),MOD(Sync!$AE1134,100),IFERROR(VALUE(TRIM(MID(MID(Sync!$AE1134,FIND("/",Sync!$AE1134)+1,20),FIND("/",MID(Sync!$AE1134,FIND("/",Sync!$AE1134)+1,20))+1,20))),"")))</f>
        <v/>
      </c>
      <c r="J1134" t="str">
        <f t="shared" si="87"/>
        <v/>
      </c>
      <c r="K1134" t="str">
        <f>IF(OR($F1134="",$J1134="",$J1134="نامعتبر"),"",LEFT($J1134,4)&amp;MID($J1134,6,2)&amp;RIGHT($J1134,2)&amp;$N1134&amp;"|"&amp;"2"&amp;RIGHT("00000"&amp;1129,5))</f>
        <v/>
      </c>
      <c r="L1134" t="str">
        <f t="shared" si="88"/>
        <v/>
      </c>
      <c r="M1134" t="str">
        <f t="shared" si="89"/>
        <v/>
      </c>
      <c r="N1134" t="str">
        <f>IF($F1134="","",IF(Sync!$AF1134="","0000",IF(AND(ISNUMBER(Sync!$AF1134),Sync!$AF1134&gt;=0,Sync!$AF1134&lt;1),RIGHT("00"&amp;HOUR(Sync!$AF1134),2)&amp;RIGHT("00"&amp;MINUTE(Sync!$AF1134),2),IFERROR(RIGHT("00"&amp;VALUE(LEFT(Sync!$AF1134,FIND(":",Sync!$AF1134)-1)),2)&amp;RIGHT("00"&amp;VALUE(MID(Sync!$AF1134,FIND(":",Sync!$AF1134)+1,2)),2),"0000"))))</f>
        <v/>
      </c>
    </row>
    <row r="1135" spans="1:14" x14ac:dyDescent="0.2">
      <c r="A1135" t="str">
        <f>IF(OR(Calc!$E1139="",Calc!$E1139="نامعتبر",Calc!$G1139=""),"",Calc!$G1139)</f>
        <v/>
      </c>
      <c r="B1135" t="str">
        <f>IF($A1135="","",LEFT(Calc!$E1139,4)&amp;MID(Calc!$E1139,6,2)&amp;RIGHT(Calc!$E1139,2)&amp;Calc!$Q1139&amp;"|"&amp;"1"&amp;RIGHT("00000"&amp;1130,5))</f>
        <v/>
      </c>
      <c r="C1135" t="str">
        <f t="shared" si="85"/>
        <v/>
      </c>
      <c r="D1135" t="str">
        <f t="shared" si="86"/>
        <v/>
      </c>
      <c r="F1135" t="str">
        <f>IF(Sync!$AH1135="","",IF(LEFT(UPPER(TRIM(Sync!$AH1135)),2)="SL",UPPER(TRIM(Sync!$AH1135)),""))</f>
        <v/>
      </c>
      <c r="G1135" t="str">
        <f>IF($F1135="","",IF(Sync!$AE1135="","",IF(ISNUMBER(Sync!$AE1135),IF(AND(Sync!$AE1135&gt;=10000101,Sync!$AE1135&lt;=99991231),INT(Sync!$AE1135/10000),""),IFERROR(VALUE(TRIM(LEFT(Sync!$AE1135,FIND("/",Sync!$AE1135)-1))),""))))</f>
        <v/>
      </c>
      <c r="H1135" t="str">
        <f>IF(OR($F1135="",$G1135=""),"",IF(ISNUMBER(Sync!$AE1135),INT(MOD(Sync!$AE1135,10000)/100),IFERROR(VALUE(TRIM(LEFT(MID(Sync!$AE1135,FIND("/",Sync!$AE1135)+1,20),FIND("/",MID(Sync!$AE1135,FIND("/",Sync!$AE1135)+1,20))-1))),"")))</f>
        <v/>
      </c>
      <c r="I1135" t="str">
        <f>IF(OR($F1135="",$G1135=""),"",IF(ISNUMBER(Sync!$AE1135),MOD(Sync!$AE1135,100),IFERROR(VALUE(TRIM(MID(MID(Sync!$AE1135,FIND("/",Sync!$AE1135)+1,20),FIND("/",MID(Sync!$AE1135,FIND("/",Sync!$AE1135)+1,20))+1,20))),"")))</f>
        <v/>
      </c>
      <c r="J1135" t="str">
        <f t="shared" si="87"/>
        <v/>
      </c>
      <c r="K1135" t="str">
        <f>IF(OR($F1135="",$J1135="",$J1135="نامعتبر"),"",LEFT($J1135,4)&amp;MID($J1135,6,2)&amp;RIGHT($J1135,2)&amp;$N1135&amp;"|"&amp;"2"&amp;RIGHT("00000"&amp;1130,5))</f>
        <v/>
      </c>
      <c r="L1135" t="str">
        <f t="shared" si="88"/>
        <v/>
      </c>
      <c r="M1135" t="str">
        <f t="shared" si="89"/>
        <v/>
      </c>
      <c r="N1135" t="str">
        <f>IF($F1135="","",IF(Sync!$AF1135="","0000",IF(AND(ISNUMBER(Sync!$AF1135),Sync!$AF1135&gt;=0,Sync!$AF1135&lt;1),RIGHT("00"&amp;HOUR(Sync!$AF1135),2)&amp;RIGHT("00"&amp;MINUTE(Sync!$AF1135),2),IFERROR(RIGHT("00"&amp;VALUE(LEFT(Sync!$AF1135,FIND(":",Sync!$AF1135)-1)),2)&amp;RIGHT("00"&amp;VALUE(MID(Sync!$AF1135,FIND(":",Sync!$AF1135)+1,2)),2),"0000"))))</f>
        <v/>
      </c>
    </row>
    <row r="1136" spans="1:14" x14ac:dyDescent="0.2">
      <c r="A1136" t="str">
        <f>IF(OR(Calc!$E1140="",Calc!$E1140="نامعتبر",Calc!$G1140=""),"",Calc!$G1140)</f>
        <v/>
      </c>
      <c r="B1136" t="str">
        <f>IF($A1136="","",LEFT(Calc!$E1140,4)&amp;MID(Calc!$E1140,6,2)&amp;RIGHT(Calc!$E1140,2)&amp;Calc!$Q1140&amp;"|"&amp;"1"&amp;RIGHT("00000"&amp;1131,5))</f>
        <v/>
      </c>
      <c r="C1136" t="str">
        <f t="shared" si="85"/>
        <v/>
      </c>
      <c r="D1136" t="str">
        <f t="shared" si="86"/>
        <v/>
      </c>
      <c r="F1136" t="str">
        <f>IF(Sync!$AH1136="","",IF(LEFT(UPPER(TRIM(Sync!$AH1136)),2)="SL",UPPER(TRIM(Sync!$AH1136)),""))</f>
        <v/>
      </c>
      <c r="G1136" t="str">
        <f>IF($F1136="","",IF(Sync!$AE1136="","",IF(ISNUMBER(Sync!$AE1136),IF(AND(Sync!$AE1136&gt;=10000101,Sync!$AE1136&lt;=99991231),INT(Sync!$AE1136/10000),""),IFERROR(VALUE(TRIM(LEFT(Sync!$AE1136,FIND("/",Sync!$AE1136)-1))),""))))</f>
        <v/>
      </c>
      <c r="H1136" t="str">
        <f>IF(OR($F1136="",$G1136=""),"",IF(ISNUMBER(Sync!$AE1136),INT(MOD(Sync!$AE1136,10000)/100),IFERROR(VALUE(TRIM(LEFT(MID(Sync!$AE1136,FIND("/",Sync!$AE1136)+1,20),FIND("/",MID(Sync!$AE1136,FIND("/",Sync!$AE1136)+1,20))-1))),"")))</f>
        <v/>
      </c>
      <c r="I1136" t="str">
        <f>IF(OR($F1136="",$G1136=""),"",IF(ISNUMBER(Sync!$AE1136),MOD(Sync!$AE1136,100),IFERROR(VALUE(TRIM(MID(MID(Sync!$AE1136,FIND("/",Sync!$AE1136)+1,20),FIND("/",MID(Sync!$AE1136,FIND("/",Sync!$AE1136)+1,20))+1,20))),"")))</f>
        <v/>
      </c>
      <c r="J1136" t="str">
        <f t="shared" si="87"/>
        <v/>
      </c>
      <c r="K1136" t="str">
        <f>IF(OR($F1136="",$J1136="",$J1136="نامعتبر"),"",LEFT($J1136,4)&amp;MID($J1136,6,2)&amp;RIGHT($J1136,2)&amp;$N1136&amp;"|"&amp;"2"&amp;RIGHT("00000"&amp;1131,5))</f>
        <v/>
      </c>
      <c r="L1136" t="str">
        <f t="shared" si="88"/>
        <v/>
      </c>
      <c r="M1136" t="str">
        <f t="shared" si="89"/>
        <v/>
      </c>
      <c r="N1136" t="str">
        <f>IF($F1136="","",IF(Sync!$AF1136="","0000",IF(AND(ISNUMBER(Sync!$AF1136),Sync!$AF1136&gt;=0,Sync!$AF1136&lt;1),RIGHT("00"&amp;HOUR(Sync!$AF1136),2)&amp;RIGHT("00"&amp;MINUTE(Sync!$AF1136),2),IFERROR(RIGHT("00"&amp;VALUE(LEFT(Sync!$AF1136,FIND(":",Sync!$AF1136)-1)),2)&amp;RIGHT("00"&amp;VALUE(MID(Sync!$AF1136,FIND(":",Sync!$AF1136)+1,2)),2),"0000"))))</f>
        <v/>
      </c>
    </row>
    <row r="1137" spans="1:14" x14ac:dyDescent="0.2">
      <c r="A1137" t="str">
        <f>IF(OR(Calc!$E1141="",Calc!$E1141="نامعتبر",Calc!$G1141=""),"",Calc!$G1141)</f>
        <v/>
      </c>
      <c r="B1137" t="str">
        <f>IF($A1137="","",LEFT(Calc!$E1141,4)&amp;MID(Calc!$E1141,6,2)&amp;RIGHT(Calc!$E1141,2)&amp;Calc!$Q1141&amp;"|"&amp;"1"&amp;RIGHT("00000"&amp;1132,5))</f>
        <v/>
      </c>
      <c r="C1137" t="str">
        <f t="shared" si="85"/>
        <v/>
      </c>
      <c r="D1137" t="str">
        <f t="shared" si="86"/>
        <v/>
      </c>
      <c r="F1137" t="str">
        <f>IF(Sync!$AH1137="","",IF(LEFT(UPPER(TRIM(Sync!$AH1137)),2)="SL",UPPER(TRIM(Sync!$AH1137)),""))</f>
        <v/>
      </c>
      <c r="G1137" t="str">
        <f>IF($F1137="","",IF(Sync!$AE1137="","",IF(ISNUMBER(Sync!$AE1137),IF(AND(Sync!$AE1137&gt;=10000101,Sync!$AE1137&lt;=99991231),INT(Sync!$AE1137/10000),""),IFERROR(VALUE(TRIM(LEFT(Sync!$AE1137,FIND("/",Sync!$AE1137)-1))),""))))</f>
        <v/>
      </c>
      <c r="H1137" t="str">
        <f>IF(OR($F1137="",$G1137=""),"",IF(ISNUMBER(Sync!$AE1137),INT(MOD(Sync!$AE1137,10000)/100),IFERROR(VALUE(TRIM(LEFT(MID(Sync!$AE1137,FIND("/",Sync!$AE1137)+1,20),FIND("/",MID(Sync!$AE1137,FIND("/",Sync!$AE1137)+1,20))-1))),"")))</f>
        <v/>
      </c>
      <c r="I1137" t="str">
        <f>IF(OR($F1137="",$G1137=""),"",IF(ISNUMBER(Sync!$AE1137),MOD(Sync!$AE1137,100),IFERROR(VALUE(TRIM(MID(MID(Sync!$AE1137,FIND("/",Sync!$AE1137)+1,20),FIND("/",MID(Sync!$AE1137,FIND("/",Sync!$AE1137)+1,20))+1,20))),"")))</f>
        <v/>
      </c>
      <c r="J1137" t="str">
        <f t="shared" si="87"/>
        <v/>
      </c>
      <c r="K1137" t="str">
        <f>IF(OR($F1137="",$J1137="",$J1137="نامعتبر"),"",LEFT($J1137,4)&amp;MID($J1137,6,2)&amp;RIGHT($J1137,2)&amp;$N1137&amp;"|"&amp;"2"&amp;RIGHT("00000"&amp;1132,5))</f>
        <v/>
      </c>
      <c r="L1137" t="str">
        <f t="shared" si="88"/>
        <v/>
      </c>
      <c r="M1137" t="str">
        <f t="shared" si="89"/>
        <v/>
      </c>
      <c r="N1137" t="str">
        <f>IF($F1137="","",IF(Sync!$AF1137="","0000",IF(AND(ISNUMBER(Sync!$AF1137),Sync!$AF1137&gt;=0,Sync!$AF1137&lt;1),RIGHT("00"&amp;HOUR(Sync!$AF1137),2)&amp;RIGHT("00"&amp;MINUTE(Sync!$AF1137),2),IFERROR(RIGHT("00"&amp;VALUE(LEFT(Sync!$AF1137,FIND(":",Sync!$AF1137)-1)),2)&amp;RIGHT("00"&amp;VALUE(MID(Sync!$AF1137,FIND(":",Sync!$AF1137)+1,2)),2),"0000"))))</f>
        <v/>
      </c>
    </row>
    <row r="1138" spans="1:14" x14ac:dyDescent="0.2">
      <c r="A1138" t="str">
        <f>IF(OR(Calc!$E1142="",Calc!$E1142="نامعتبر",Calc!$G1142=""),"",Calc!$G1142)</f>
        <v/>
      </c>
      <c r="B1138" t="str">
        <f>IF($A1138="","",LEFT(Calc!$E1142,4)&amp;MID(Calc!$E1142,6,2)&amp;RIGHT(Calc!$E1142,2)&amp;Calc!$Q1142&amp;"|"&amp;"1"&amp;RIGHT("00000"&amp;1133,5))</f>
        <v/>
      </c>
      <c r="C1138" t="str">
        <f t="shared" si="85"/>
        <v/>
      </c>
      <c r="D1138" t="str">
        <f t="shared" si="86"/>
        <v/>
      </c>
      <c r="F1138" t="str">
        <f>IF(Sync!$AH1138="","",IF(LEFT(UPPER(TRIM(Sync!$AH1138)),2)="SL",UPPER(TRIM(Sync!$AH1138)),""))</f>
        <v/>
      </c>
      <c r="G1138" t="str">
        <f>IF($F1138="","",IF(Sync!$AE1138="","",IF(ISNUMBER(Sync!$AE1138),IF(AND(Sync!$AE1138&gt;=10000101,Sync!$AE1138&lt;=99991231),INT(Sync!$AE1138/10000),""),IFERROR(VALUE(TRIM(LEFT(Sync!$AE1138,FIND("/",Sync!$AE1138)-1))),""))))</f>
        <v/>
      </c>
      <c r="H1138" t="str">
        <f>IF(OR($F1138="",$G1138=""),"",IF(ISNUMBER(Sync!$AE1138),INT(MOD(Sync!$AE1138,10000)/100),IFERROR(VALUE(TRIM(LEFT(MID(Sync!$AE1138,FIND("/",Sync!$AE1138)+1,20),FIND("/",MID(Sync!$AE1138,FIND("/",Sync!$AE1138)+1,20))-1))),"")))</f>
        <v/>
      </c>
      <c r="I1138" t="str">
        <f>IF(OR($F1138="",$G1138=""),"",IF(ISNUMBER(Sync!$AE1138),MOD(Sync!$AE1138,100),IFERROR(VALUE(TRIM(MID(MID(Sync!$AE1138,FIND("/",Sync!$AE1138)+1,20),FIND("/",MID(Sync!$AE1138,FIND("/",Sync!$AE1138)+1,20))+1,20))),"")))</f>
        <v/>
      </c>
      <c r="J1138" t="str">
        <f t="shared" si="87"/>
        <v/>
      </c>
      <c r="K1138" t="str">
        <f>IF(OR($F1138="",$J1138="",$J1138="نامعتبر"),"",LEFT($J1138,4)&amp;MID($J1138,6,2)&amp;RIGHT($J1138,2)&amp;$N1138&amp;"|"&amp;"2"&amp;RIGHT("00000"&amp;1133,5))</f>
        <v/>
      </c>
      <c r="L1138" t="str">
        <f t="shared" si="88"/>
        <v/>
      </c>
      <c r="M1138" t="str">
        <f t="shared" si="89"/>
        <v/>
      </c>
      <c r="N1138" t="str">
        <f>IF($F1138="","",IF(Sync!$AF1138="","0000",IF(AND(ISNUMBER(Sync!$AF1138),Sync!$AF1138&gt;=0,Sync!$AF1138&lt;1),RIGHT("00"&amp;HOUR(Sync!$AF1138),2)&amp;RIGHT("00"&amp;MINUTE(Sync!$AF1138),2),IFERROR(RIGHT("00"&amp;VALUE(LEFT(Sync!$AF1138,FIND(":",Sync!$AF1138)-1)),2)&amp;RIGHT("00"&amp;VALUE(MID(Sync!$AF1138,FIND(":",Sync!$AF1138)+1,2)),2),"0000"))))</f>
        <v/>
      </c>
    </row>
    <row r="1139" spans="1:14" x14ac:dyDescent="0.2">
      <c r="A1139" t="str">
        <f>IF(OR(Calc!$E1143="",Calc!$E1143="نامعتبر",Calc!$G1143=""),"",Calc!$G1143)</f>
        <v/>
      </c>
      <c r="B1139" t="str">
        <f>IF($A1139="","",LEFT(Calc!$E1143,4)&amp;MID(Calc!$E1143,6,2)&amp;RIGHT(Calc!$E1143,2)&amp;Calc!$Q1143&amp;"|"&amp;"1"&amp;RIGHT("00000"&amp;1134,5))</f>
        <v/>
      </c>
      <c r="C1139" t="str">
        <f t="shared" si="85"/>
        <v/>
      </c>
      <c r="D1139" t="str">
        <f t="shared" si="86"/>
        <v/>
      </c>
      <c r="F1139" t="str">
        <f>IF(Sync!$AH1139="","",IF(LEFT(UPPER(TRIM(Sync!$AH1139)),2)="SL",UPPER(TRIM(Sync!$AH1139)),""))</f>
        <v/>
      </c>
      <c r="G1139" t="str">
        <f>IF($F1139="","",IF(Sync!$AE1139="","",IF(ISNUMBER(Sync!$AE1139),IF(AND(Sync!$AE1139&gt;=10000101,Sync!$AE1139&lt;=99991231),INT(Sync!$AE1139/10000),""),IFERROR(VALUE(TRIM(LEFT(Sync!$AE1139,FIND("/",Sync!$AE1139)-1))),""))))</f>
        <v/>
      </c>
      <c r="H1139" t="str">
        <f>IF(OR($F1139="",$G1139=""),"",IF(ISNUMBER(Sync!$AE1139),INT(MOD(Sync!$AE1139,10000)/100),IFERROR(VALUE(TRIM(LEFT(MID(Sync!$AE1139,FIND("/",Sync!$AE1139)+1,20),FIND("/",MID(Sync!$AE1139,FIND("/",Sync!$AE1139)+1,20))-1))),"")))</f>
        <v/>
      </c>
      <c r="I1139" t="str">
        <f>IF(OR($F1139="",$G1139=""),"",IF(ISNUMBER(Sync!$AE1139),MOD(Sync!$AE1139,100),IFERROR(VALUE(TRIM(MID(MID(Sync!$AE1139,FIND("/",Sync!$AE1139)+1,20),FIND("/",MID(Sync!$AE1139,FIND("/",Sync!$AE1139)+1,20))+1,20))),"")))</f>
        <v/>
      </c>
      <c r="J1139" t="str">
        <f t="shared" si="87"/>
        <v/>
      </c>
      <c r="K1139" t="str">
        <f>IF(OR($F1139="",$J1139="",$J1139="نامعتبر"),"",LEFT($J1139,4)&amp;MID($J1139,6,2)&amp;RIGHT($J1139,2)&amp;$N1139&amp;"|"&amp;"2"&amp;RIGHT("00000"&amp;1134,5))</f>
        <v/>
      </c>
      <c r="L1139" t="str">
        <f t="shared" si="88"/>
        <v/>
      </c>
      <c r="M1139" t="str">
        <f t="shared" si="89"/>
        <v/>
      </c>
      <c r="N1139" t="str">
        <f>IF($F1139="","",IF(Sync!$AF1139="","0000",IF(AND(ISNUMBER(Sync!$AF1139),Sync!$AF1139&gt;=0,Sync!$AF1139&lt;1),RIGHT("00"&amp;HOUR(Sync!$AF1139),2)&amp;RIGHT("00"&amp;MINUTE(Sync!$AF1139),2),IFERROR(RIGHT("00"&amp;VALUE(LEFT(Sync!$AF1139,FIND(":",Sync!$AF1139)-1)),2)&amp;RIGHT("00"&amp;VALUE(MID(Sync!$AF1139,FIND(":",Sync!$AF1139)+1,2)),2),"0000"))))</f>
        <v/>
      </c>
    </row>
    <row r="1140" spans="1:14" x14ac:dyDescent="0.2">
      <c r="A1140" t="str">
        <f>IF(OR(Calc!$E1144="",Calc!$E1144="نامعتبر",Calc!$G1144=""),"",Calc!$G1144)</f>
        <v/>
      </c>
      <c r="B1140" t="str">
        <f>IF($A1140="","",LEFT(Calc!$E1144,4)&amp;MID(Calc!$E1144,6,2)&amp;RIGHT(Calc!$E1144,2)&amp;Calc!$Q1144&amp;"|"&amp;"1"&amp;RIGHT("00000"&amp;1135,5))</f>
        <v/>
      </c>
      <c r="C1140" t="str">
        <f t="shared" si="85"/>
        <v/>
      </c>
      <c r="D1140" t="str">
        <f t="shared" si="86"/>
        <v/>
      </c>
      <c r="F1140" t="str">
        <f>IF(Sync!$AH1140="","",IF(LEFT(UPPER(TRIM(Sync!$AH1140)),2)="SL",UPPER(TRIM(Sync!$AH1140)),""))</f>
        <v/>
      </c>
      <c r="G1140" t="str">
        <f>IF($F1140="","",IF(Sync!$AE1140="","",IF(ISNUMBER(Sync!$AE1140),IF(AND(Sync!$AE1140&gt;=10000101,Sync!$AE1140&lt;=99991231),INT(Sync!$AE1140/10000),""),IFERROR(VALUE(TRIM(LEFT(Sync!$AE1140,FIND("/",Sync!$AE1140)-1))),""))))</f>
        <v/>
      </c>
      <c r="H1140" t="str">
        <f>IF(OR($F1140="",$G1140=""),"",IF(ISNUMBER(Sync!$AE1140),INT(MOD(Sync!$AE1140,10000)/100),IFERROR(VALUE(TRIM(LEFT(MID(Sync!$AE1140,FIND("/",Sync!$AE1140)+1,20),FIND("/",MID(Sync!$AE1140,FIND("/",Sync!$AE1140)+1,20))-1))),"")))</f>
        <v/>
      </c>
      <c r="I1140" t="str">
        <f>IF(OR($F1140="",$G1140=""),"",IF(ISNUMBER(Sync!$AE1140),MOD(Sync!$AE1140,100),IFERROR(VALUE(TRIM(MID(MID(Sync!$AE1140,FIND("/",Sync!$AE1140)+1,20),FIND("/",MID(Sync!$AE1140,FIND("/",Sync!$AE1140)+1,20))+1,20))),"")))</f>
        <v/>
      </c>
      <c r="J1140" t="str">
        <f t="shared" si="87"/>
        <v/>
      </c>
      <c r="K1140" t="str">
        <f>IF(OR($F1140="",$J1140="",$J1140="نامعتبر"),"",LEFT($J1140,4)&amp;MID($J1140,6,2)&amp;RIGHT($J1140,2)&amp;$N1140&amp;"|"&amp;"2"&amp;RIGHT("00000"&amp;1135,5))</f>
        <v/>
      </c>
      <c r="L1140" t="str">
        <f t="shared" si="88"/>
        <v/>
      </c>
      <c r="M1140" t="str">
        <f t="shared" si="89"/>
        <v/>
      </c>
      <c r="N1140" t="str">
        <f>IF($F1140="","",IF(Sync!$AF1140="","0000",IF(AND(ISNUMBER(Sync!$AF1140),Sync!$AF1140&gt;=0,Sync!$AF1140&lt;1),RIGHT("00"&amp;HOUR(Sync!$AF1140),2)&amp;RIGHT("00"&amp;MINUTE(Sync!$AF1140),2),IFERROR(RIGHT("00"&amp;VALUE(LEFT(Sync!$AF1140,FIND(":",Sync!$AF1140)-1)),2)&amp;RIGHT("00"&amp;VALUE(MID(Sync!$AF1140,FIND(":",Sync!$AF1140)+1,2)),2),"0000"))))</f>
        <v/>
      </c>
    </row>
    <row r="1141" spans="1:14" x14ac:dyDescent="0.2">
      <c r="A1141" t="str">
        <f>IF(OR(Calc!$E1145="",Calc!$E1145="نامعتبر",Calc!$G1145=""),"",Calc!$G1145)</f>
        <v/>
      </c>
      <c r="B1141" t="str">
        <f>IF($A1141="","",LEFT(Calc!$E1145,4)&amp;MID(Calc!$E1145,6,2)&amp;RIGHT(Calc!$E1145,2)&amp;Calc!$Q1145&amp;"|"&amp;"1"&amp;RIGHT("00000"&amp;1136,5))</f>
        <v/>
      </c>
      <c r="C1141" t="str">
        <f t="shared" si="85"/>
        <v/>
      </c>
      <c r="D1141" t="str">
        <f t="shared" si="86"/>
        <v/>
      </c>
      <c r="F1141" t="str">
        <f>IF(Sync!$AH1141="","",IF(LEFT(UPPER(TRIM(Sync!$AH1141)),2)="SL",UPPER(TRIM(Sync!$AH1141)),""))</f>
        <v/>
      </c>
      <c r="G1141" t="str">
        <f>IF($F1141="","",IF(Sync!$AE1141="","",IF(ISNUMBER(Sync!$AE1141),IF(AND(Sync!$AE1141&gt;=10000101,Sync!$AE1141&lt;=99991231),INT(Sync!$AE1141/10000),""),IFERROR(VALUE(TRIM(LEFT(Sync!$AE1141,FIND("/",Sync!$AE1141)-1))),""))))</f>
        <v/>
      </c>
      <c r="H1141" t="str">
        <f>IF(OR($F1141="",$G1141=""),"",IF(ISNUMBER(Sync!$AE1141),INT(MOD(Sync!$AE1141,10000)/100),IFERROR(VALUE(TRIM(LEFT(MID(Sync!$AE1141,FIND("/",Sync!$AE1141)+1,20),FIND("/",MID(Sync!$AE1141,FIND("/",Sync!$AE1141)+1,20))-1))),"")))</f>
        <v/>
      </c>
      <c r="I1141" t="str">
        <f>IF(OR($F1141="",$G1141=""),"",IF(ISNUMBER(Sync!$AE1141),MOD(Sync!$AE1141,100),IFERROR(VALUE(TRIM(MID(MID(Sync!$AE1141,FIND("/",Sync!$AE1141)+1,20),FIND("/",MID(Sync!$AE1141,FIND("/",Sync!$AE1141)+1,20))+1,20))),"")))</f>
        <v/>
      </c>
      <c r="J1141" t="str">
        <f t="shared" si="87"/>
        <v/>
      </c>
      <c r="K1141" t="str">
        <f>IF(OR($F1141="",$J1141="",$J1141="نامعتبر"),"",LEFT($J1141,4)&amp;MID($J1141,6,2)&amp;RIGHT($J1141,2)&amp;$N1141&amp;"|"&amp;"2"&amp;RIGHT("00000"&amp;1136,5))</f>
        <v/>
      </c>
      <c r="L1141" t="str">
        <f t="shared" si="88"/>
        <v/>
      </c>
      <c r="M1141" t="str">
        <f t="shared" si="89"/>
        <v/>
      </c>
      <c r="N1141" t="str">
        <f>IF($F1141="","",IF(Sync!$AF1141="","0000",IF(AND(ISNUMBER(Sync!$AF1141),Sync!$AF1141&gt;=0,Sync!$AF1141&lt;1),RIGHT("00"&amp;HOUR(Sync!$AF1141),2)&amp;RIGHT("00"&amp;MINUTE(Sync!$AF1141),2),IFERROR(RIGHT("00"&amp;VALUE(LEFT(Sync!$AF1141,FIND(":",Sync!$AF1141)-1)),2)&amp;RIGHT("00"&amp;VALUE(MID(Sync!$AF1141,FIND(":",Sync!$AF1141)+1,2)),2),"0000"))))</f>
        <v/>
      </c>
    </row>
    <row r="1142" spans="1:14" x14ac:dyDescent="0.2">
      <c r="A1142" t="str">
        <f>IF(OR(Calc!$E1146="",Calc!$E1146="نامعتبر",Calc!$G1146=""),"",Calc!$G1146)</f>
        <v/>
      </c>
      <c r="B1142" t="str">
        <f>IF($A1142="","",LEFT(Calc!$E1146,4)&amp;MID(Calc!$E1146,6,2)&amp;RIGHT(Calc!$E1146,2)&amp;Calc!$Q1146&amp;"|"&amp;"1"&amp;RIGHT("00000"&amp;1137,5))</f>
        <v/>
      </c>
      <c r="C1142" t="str">
        <f t="shared" si="85"/>
        <v/>
      </c>
      <c r="D1142" t="str">
        <f t="shared" si="86"/>
        <v/>
      </c>
      <c r="F1142" t="str">
        <f>IF(Sync!$AH1142="","",IF(LEFT(UPPER(TRIM(Sync!$AH1142)),2)="SL",UPPER(TRIM(Sync!$AH1142)),""))</f>
        <v/>
      </c>
      <c r="G1142" t="str">
        <f>IF($F1142="","",IF(Sync!$AE1142="","",IF(ISNUMBER(Sync!$AE1142),IF(AND(Sync!$AE1142&gt;=10000101,Sync!$AE1142&lt;=99991231),INT(Sync!$AE1142/10000),""),IFERROR(VALUE(TRIM(LEFT(Sync!$AE1142,FIND("/",Sync!$AE1142)-1))),""))))</f>
        <v/>
      </c>
      <c r="H1142" t="str">
        <f>IF(OR($F1142="",$G1142=""),"",IF(ISNUMBER(Sync!$AE1142),INT(MOD(Sync!$AE1142,10000)/100),IFERROR(VALUE(TRIM(LEFT(MID(Sync!$AE1142,FIND("/",Sync!$AE1142)+1,20),FIND("/",MID(Sync!$AE1142,FIND("/",Sync!$AE1142)+1,20))-1))),"")))</f>
        <v/>
      </c>
      <c r="I1142" t="str">
        <f>IF(OR($F1142="",$G1142=""),"",IF(ISNUMBER(Sync!$AE1142),MOD(Sync!$AE1142,100),IFERROR(VALUE(TRIM(MID(MID(Sync!$AE1142,FIND("/",Sync!$AE1142)+1,20),FIND("/",MID(Sync!$AE1142,FIND("/",Sync!$AE1142)+1,20))+1,20))),"")))</f>
        <v/>
      </c>
      <c r="J1142" t="str">
        <f t="shared" si="87"/>
        <v/>
      </c>
      <c r="K1142" t="str">
        <f>IF(OR($F1142="",$J1142="",$J1142="نامعتبر"),"",LEFT($J1142,4)&amp;MID($J1142,6,2)&amp;RIGHT($J1142,2)&amp;$N1142&amp;"|"&amp;"2"&amp;RIGHT("00000"&amp;1137,5))</f>
        <v/>
      </c>
      <c r="L1142" t="str">
        <f t="shared" si="88"/>
        <v/>
      </c>
      <c r="M1142" t="str">
        <f t="shared" si="89"/>
        <v/>
      </c>
      <c r="N1142" t="str">
        <f>IF($F1142="","",IF(Sync!$AF1142="","0000",IF(AND(ISNUMBER(Sync!$AF1142),Sync!$AF1142&gt;=0,Sync!$AF1142&lt;1),RIGHT("00"&amp;HOUR(Sync!$AF1142),2)&amp;RIGHT("00"&amp;MINUTE(Sync!$AF1142),2),IFERROR(RIGHT("00"&amp;VALUE(LEFT(Sync!$AF1142,FIND(":",Sync!$AF1142)-1)),2)&amp;RIGHT("00"&amp;VALUE(MID(Sync!$AF1142,FIND(":",Sync!$AF1142)+1,2)),2),"0000"))))</f>
        <v/>
      </c>
    </row>
    <row r="1143" spans="1:14" x14ac:dyDescent="0.2">
      <c r="A1143" t="str">
        <f>IF(OR(Calc!$E1147="",Calc!$E1147="نامعتبر",Calc!$G1147=""),"",Calc!$G1147)</f>
        <v/>
      </c>
      <c r="B1143" t="str">
        <f>IF($A1143="","",LEFT(Calc!$E1147,4)&amp;MID(Calc!$E1147,6,2)&amp;RIGHT(Calc!$E1147,2)&amp;Calc!$Q1147&amp;"|"&amp;"1"&amp;RIGHT("00000"&amp;1138,5))</f>
        <v/>
      </c>
      <c r="C1143" t="str">
        <f t="shared" si="85"/>
        <v/>
      </c>
      <c r="D1143" t="str">
        <f t="shared" si="86"/>
        <v/>
      </c>
      <c r="F1143" t="str">
        <f>IF(Sync!$AH1143="","",IF(LEFT(UPPER(TRIM(Sync!$AH1143)),2)="SL",UPPER(TRIM(Sync!$AH1143)),""))</f>
        <v/>
      </c>
      <c r="G1143" t="str">
        <f>IF($F1143="","",IF(Sync!$AE1143="","",IF(ISNUMBER(Sync!$AE1143),IF(AND(Sync!$AE1143&gt;=10000101,Sync!$AE1143&lt;=99991231),INT(Sync!$AE1143/10000),""),IFERROR(VALUE(TRIM(LEFT(Sync!$AE1143,FIND("/",Sync!$AE1143)-1))),""))))</f>
        <v/>
      </c>
      <c r="H1143" t="str">
        <f>IF(OR($F1143="",$G1143=""),"",IF(ISNUMBER(Sync!$AE1143),INT(MOD(Sync!$AE1143,10000)/100),IFERROR(VALUE(TRIM(LEFT(MID(Sync!$AE1143,FIND("/",Sync!$AE1143)+1,20),FIND("/",MID(Sync!$AE1143,FIND("/",Sync!$AE1143)+1,20))-1))),"")))</f>
        <v/>
      </c>
      <c r="I1143" t="str">
        <f>IF(OR($F1143="",$G1143=""),"",IF(ISNUMBER(Sync!$AE1143),MOD(Sync!$AE1143,100),IFERROR(VALUE(TRIM(MID(MID(Sync!$AE1143,FIND("/",Sync!$AE1143)+1,20),FIND("/",MID(Sync!$AE1143,FIND("/",Sync!$AE1143)+1,20))+1,20))),"")))</f>
        <v/>
      </c>
      <c r="J1143" t="str">
        <f t="shared" si="87"/>
        <v/>
      </c>
      <c r="K1143" t="str">
        <f>IF(OR($F1143="",$J1143="",$J1143="نامعتبر"),"",LEFT($J1143,4)&amp;MID($J1143,6,2)&amp;RIGHT($J1143,2)&amp;$N1143&amp;"|"&amp;"2"&amp;RIGHT("00000"&amp;1138,5))</f>
        <v/>
      </c>
      <c r="L1143" t="str">
        <f t="shared" si="88"/>
        <v/>
      </c>
      <c r="M1143" t="str">
        <f t="shared" si="89"/>
        <v/>
      </c>
      <c r="N1143" t="str">
        <f>IF($F1143="","",IF(Sync!$AF1143="","0000",IF(AND(ISNUMBER(Sync!$AF1143),Sync!$AF1143&gt;=0,Sync!$AF1143&lt;1),RIGHT("00"&amp;HOUR(Sync!$AF1143),2)&amp;RIGHT("00"&amp;MINUTE(Sync!$AF1143),2),IFERROR(RIGHT("00"&amp;VALUE(LEFT(Sync!$AF1143,FIND(":",Sync!$AF1143)-1)),2)&amp;RIGHT("00"&amp;VALUE(MID(Sync!$AF1143,FIND(":",Sync!$AF1143)+1,2)),2),"0000"))))</f>
        <v/>
      </c>
    </row>
    <row r="1144" spans="1:14" x14ac:dyDescent="0.2">
      <c r="A1144" t="str">
        <f>IF(OR(Calc!$E1148="",Calc!$E1148="نامعتبر",Calc!$G1148=""),"",Calc!$G1148)</f>
        <v/>
      </c>
      <c r="B1144" t="str">
        <f>IF($A1144="","",LEFT(Calc!$E1148,4)&amp;MID(Calc!$E1148,6,2)&amp;RIGHT(Calc!$E1148,2)&amp;Calc!$Q1148&amp;"|"&amp;"1"&amp;RIGHT("00000"&amp;1139,5))</f>
        <v/>
      </c>
      <c r="C1144" t="str">
        <f t="shared" si="85"/>
        <v/>
      </c>
      <c r="D1144" t="str">
        <f t="shared" si="86"/>
        <v/>
      </c>
      <c r="F1144" t="str">
        <f>IF(Sync!$AH1144="","",IF(LEFT(UPPER(TRIM(Sync!$AH1144)),2)="SL",UPPER(TRIM(Sync!$AH1144)),""))</f>
        <v/>
      </c>
      <c r="G1144" t="str">
        <f>IF($F1144="","",IF(Sync!$AE1144="","",IF(ISNUMBER(Sync!$AE1144),IF(AND(Sync!$AE1144&gt;=10000101,Sync!$AE1144&lt;=99991231),INT(Sync!$AE1144/10000),""),IFERROR(VALUE(TRIM(LEFT(Sync!$AE1144,FIND("/",Sync!$AE1144)-1))),""))))</f>
        <v/>
      </c>
      <c r="H1144" t="str">
        <f>IF(OR($F1144="",$G1144=""),"",IF(ISNUMBER(Sync!$AE1144),INT(MOD(Sync!$AE1144,10000)/100),IFERROR(VALUE(TRIM(LEFT(MID(Sync!$AE1144,FIND("/",Sync!$AE1144)+1,20),FIND("/",MID(Sync!$AE1144,FIND("/",Sync!$AE1144)+1,20))-1))),"")))</f>
        <v/>
      </c>
      <c r="I1144" t="str">
        <f>IF(OR($F1144="",$G1144=""),"",IF(ISNUMBER(Sync!$AE1144),MOD(Sync!$AE1144,100),IFERROR(VALUE(TRIM(MID(MID(Sync!$AE1144,FIND("/",Sync!$AE1144)+1,20),FIND("/",MID(Sync!$AE1144,FIND("/",Sync!$AE1144)+1,20))+1,20))),"")))</f>
        <v/>
      </c>
      <c r="J1144" t="str">
        <f t="shared" si="87"/>
        <v/>
      </c>
      <c r="K1144" t="str">
        <f>IF(OR($F1144="",$J1144="",$J1144="نامعتبر"),"",LEFT($J1144,4)&amp;MID($J1144,6,2)&amp;RIGHT($J1144,2)&amp;$N1144&amp;"|"&amp;"2"&amp;RIGHT("00000"&amp;1139,5))</f>
        <v/>
      </c>
      <c r="L1144" t="str">
        <f t="shared" si="88"/>
        <v/>
      </c>
      <c r="M1144" t="str">
        <f t="shared" si="89"/>
        <v/>
      </c>
      <c r="N1144" t="str">
        <f>IF($F1144="","",IF(Sync!$AF1144="","0000",IF(AND(ISNUMBER(Sync!$AF1144),Sync!$AF1144&gt;=0,Sync!$AF1144&lt;1),RIGHT("00"&amp;HOUR(Sync!$AF1144),2)&amp;RIGHT("00"&amp;MINUTE(Sync!$AF1144),2),IFERROR(RIGHT("00"&amp;VALUE(LEFT(Sync!$AF1144,FIND(":",Sync!$AF1144)-1)),2)&amp;RIGHT("00"&amp;VALUE(MID(Sync!$AF1144,FIND(":",Sync!$AF1144)+1,2)),2),"0000"))))</f>
        <v/>
      </c>
    </row>
    <row r="1145" spans="1:14" x14ac:dyDescent="0.2">
      <c r="A1145" t="str">
        <f>IF(OR(Calc!$E1149="",Calc!$E1149="نامعتبر",Calc!$G1149=""),"",Calc!$G1149)</f>
        <v/>
      </c>
      <c r="B1145" t="str">
        <f>IF($A1145="","",LEFT(Calc!$E1149,4)&amp;MID(Calc!$E1149,6,2)&amp;RIGHT(Calc!$E1149,2)&amp;Calc!$Q1149&amp;"|"&amp;"1"&amp;RIGHT("00000"&amp;1140,5))</f>
        <v/>
      </c>
      <c r="C1145" t="str">
        <f t="shared" si="85"/>
        <v/>
      </c>
      <c r="D1145" t="str">
        <f t="shared" si="86"/>
        <v/>
      </c>
      <c r="F1145" t="str">
        <f>IF(Sync!$AH1145="","",IF(LEFT(UPPER(TRIM(Sync!$AH1145)),2)="SL",UPPER(TRIM(Sync!$AH1145)),""))</f>
        <v/>
      </c>
      <c r="G1145" t="str">
        <f>IF($F1145="","",IF(Sync!$AE1145="","",IF(ISNUMBER(Sync!$AE1145),IF(AND(Sync!$AE1145&gt;=10000101,Sync!$AE1145&lt;=99991231),INT(Sync!$AE1145/10000),""),IFERROR(VALUE(TRIM(LEFT(Sync!$AE1145,FIND("/",Sync!$AE1145)-1))),""))))</f>
        <v/>
      </c>
      <c r="H1145" t="str">
        <f>IF(OR($F1145="",$G1145=""),"",IF(ISNUMBER(Sync!$AE1145),INT(MOD(Sync!$AE1145,10000)/100),IFERROR(VALUE(TRIM(LEFT(MID(Sync!$AE1145,FIND("/",Sync!$AE1145)+1,20),FIND("/",MID(Sync!$AE1145,FIND("/",Sync!$AE1145)+1,20))-1))),"")))</f>
        <v/>
      </c>
      <c r="I1145" t="str">
        <f>IF(OR($F1145="",$G1145=""),"",IF(ISNUMBER(Sync!$AE1145),MOD(Sync!$AE1145,100),IFERROR(VALUE(TRIM(MID(MID(Sync!$AE1145,FIND("/",Sync!$AE1145)+1,20),FIND("/",MID(Sync!$AE1145,FIND("/",Sync!$AE1145)+1,20))+1,20))),"")))</f>
        <v/>
      </c>
      <c r="J1145" t="str">
        <f t="shared" si="87"/>
        <v/>
      </c>
      <c r="K1145" t="str">
        <f>IF(OR($F1145="",$J1145="",$J1145="نامعتبر"),"",LEFT($J1145,4)&amp;MID($J1145,6,2)&amp;RIGHT($J1145,2)&amp;$N1145&amp;"|"&amp;"2"&amp;RIGHT("00000"&amp;1140,5))</f>
        <v/>
      </c>
      <c r="L1145" t="str">
        <f t="shared" si="88"/>
        <v/>
      </c>
      <c r="M1145" t="str">
        <f t="shared" si="89"/>
        <v/>
      </c>
      <c r="N1145" t="str">
        <f>IF($F1145="","",IF(Sync!$AF1145="","0000",IF(AND(ISNUMBER(Sync!$AF1145),Sync!$AF1145&gt;=0,Sync!$AF1145&lt;1),RIGHT("00"&amp;HOUR(Sync!$AF1145),2)&amp;RIGHT("00"&amp;MINUTE(Sync!$AF1145),2),IFERROR(RIGHT("00"&amp;VALUE(LEFT(Sync!$AF1145,FIND(":",Sync!$AF1145)-1)),2)&amp;RIGHT("00"&amp;VALUE(MID(Sync!$AF1145,FIND(":",Sync!$AF1145)+1,2)),2),"0000"))))</f>
        <v/>
      </c>
    </row>
    <row r="1146" spans="1:14" x14ac:dyDescent="0.2">
      <c r="A1146" t="str">
        <f>IF(OR(Calc!$E1150="",Calc!$E1150="نامعتبر",Calc!$G1150=""),"",Calc!$G1150)</f>
        <v/>
      </c>
      <c r="B1146" t="str">
        <f>IF($A1146="","",LEFT(Calc!$E1150,4)&amp;MID(Calc!$E1150,6,2)&amp;RIGHT(Calc!$E1150,2)&amp;Calc!$Q1150&amp;"|"&amp;"1"&amp;RIGHT("00000"&amp;1141,5))</f>
        <v/>
      </c>
      <c r="C1146" t="str">
        <f t="shared" si="85"/>
        <v/>
      </c>
      <c r="D1146" t="str">
        <f t="shared" si="86"/>
        <v/>
      </c>
      <c r="F1146" t="str">
        <f>IF(Sync!$AH1146="","",IF(LEFT(UPPER(TRIM(Sync!$AH1146)),2)="SL",UPPER(TRIM(Sync!$AH1146)),""))</f>
        <v/>
      </c>
      <c r="G1146" t="str">
        <f>IF($F1146="","",IF(Sync!$AE1146="","",IF(ISNUMBER(Sync!$AE1146),IF(AND(Sync!$AE1146&gt;=10000101,Sync!$AE1146&lt;=99991231),INT(Sync!$AE1146/10000),""),IFERROR(VALUE(TRIM(LEFT(Sync!$AE1146,FIND("/",Sync!$AE1146)-1))),""))))</f>
        <v/>
      </c>
      <c r="H1146" t="str">
        <f>IF(OR($F1146="",$G1146=""),"",IF(ISNUMBER(Sync!$AE1146),INT(MOD(Sync!$AE1146,10000)/100),IFERROR(VALUE(TRIM(LEFT(MID(Sync!$AE1146,FIND("/",Sync!$AE1146)+1,20),FIND("/",MID(Sync!$AE1146,FIND("/",Sync!$AE1146)+1,20))-1))),"")))</f>
        <v/>
      </c>
      <c r="I1146" t="str">
        <f>IF(OR($F1146="",$G1146=""),"",IF(ISNUMBER(Sync!$AE1146),MOD(Sync!$AE1146,100),IFERROR(VALUE(TRIM(MID(MID(Sync!$AE1146,FIND("/",Sync!$AE1146)+1,20),FIND("/",MID(Sync!$AE1146,FIND("/",Sync!$AE1146)+1,20))+1,20))),"")))</f>
        <v/>
      </c>
      <c r="J1146" t="str">
        <f t="shared" si="87"/>
        <v/>
      </c>
      <c r="K1146" t="str">
        <f>IF(OR($F1146="",$J1146="",$J1146="نامعتبر"),"",LEFT($J1146,4)&amp;MID($J1146,6,2)&amp;RIGHT($J1146,2)&amp;$N1146&amp;"|"&amp;"2"&amp;RIGHT("00000"&amp;1141,5))</f>
        <v/>
      </c>
      <c r="L1146" t="str">
        <f t="shared" si="88"/>
        <v/>
      </c>
      <c r="M1146" t="str">
        <f t="shared" si="89"/>
        <v/>
      </c>
      <c r="N1146" t="str">
        <f>IF($F1146="","",IF(Sync!$AF1146="","0000",IF(AND(ISNUMBER(Sync!$AF1146),Sync!$AF1146&gt;=0,Sync!$AF1146&lt;1),RIGHT("00"&amp;HOUR(Sync!$AF1146),2)&amp;RIGHT("00"&amp;MINUTE(Sync!$AF1146),2),IFERROR(RIGHT("00"&amp;VALUE(LEFT(Sync!$AF1146,FIND(":",Sync!$AF1146)-1)),2)&amp;RIGHT("00"&amp;VALUE(MID(Sync!$AF1146,FIND(":",Sync!$AF1146)+1,2)),2),"0000"))))</f>
        <v/>
      </c>
    </row>
    <row r="1147" spans="1:14" x14ac:dyDescent="0.2">
      <c r="A1147" t="str">
        <f>IF(OR(Calc!$E1151="",Calc!$E1151="نامعتبر",Calc!$G1151=""),"",Calc!$G1151)</f>
        <v/>
      </c>
      <c r="B1147" t="str">
        <f>IF($A1147="","",LEFT(Calc!$E1151,4)&amp;MID(Calc!$E1151,6,2)&amp;RIGHT(Calc!$E1151,2)&amp;Calc!$Q1151&amp;"|"&amp;"1"&amp;RIGHT("00000"&amp;1142,5))</f>
        <v/>
      </c>
      <c r="C1147" t="str">
        <f t="shared" si="85"/>
        <v/>
      </c>
      <c r="D1147" t="str">
        <f t="shared" si="86"/>
        <v/>
      </c>
      <c r="F1147" t="str">
        <f>IF(Sync!$AH1147="","",IF(LEFT(UPPER(TRIM(Sync!$AH1147)),2)="SL",UPPER(TRIM(Sync!$AH1147)),""))</f>
        <v/>
      </c>
      <c r="G1147" t="str">
        <f>IF($F1147="","",IF(Sync!$AE1147="","",IF(ISNUMBER(Sync!$AE1147),IF(AND(Sync!$AE1147&gt;=10000101,Sync!$AE1147&lt;=99991231),INT(Sync!$AE1147/10000),""),IFERROR(VALUE(TRIM(LEFT(Sync!$AE1147,FIND("/",Sync!$AE1147)-1))),""))))</f>
        <v/>
      </c>
      <c r="H1147" t="str">
        <f>IF(OR($F1147="",$G1147=""),"",IF(ISNUMBER(Sync!$AE1147),INT(MOD(Sync!$AE1147,10000)/100),IFERROR(VALUE(TRIM(LEFT(MID(Sync!$AE1147,FIND("/",Sync!$AE1147)+1,20),FIND("/",MID(Sync!$AE1147,FIND("/",Sync!$AE1147)+1,20))-1))),"")))</f>
        <v/>
      </c>
      <c r="I1147" t="str">
        <f>IF(OR($F1147="",$G1147=""),"",IF(ISNUMBER(Sync!$AE1147),MOD(Sync!$AE1147,100),IFERROR(VALUE(TRIM(MID(MID(Sync!$AE1147,FIND("/",Sync!$AE1147)+1,20),FIND("/",MID(Sync!$AE1147,FIND("/",Sync!$AE1147)+1,20))+1,20))),"")))</f>
        <v/>
      </c>
      <c r="J1147" t="str">
        <f t="shared" si="87"/>
        <v/>
      </c>
      <c r="K1147" t="str">
        <f>IF(OR($F1147="",$J1147="",$J1147="نامعتبر"),"",LEFT($J1147,4)&amp;MID($J1147,6,2)&amp;RIGHT($J1147,2)&amp;$N1147&amp;"|"&amp;"2"&amp;RIGHT("00000"&amp;1142,5))</f>
        <v/>
      </c>
      <c r="L1147" t="str">
        <f t="shared" si="88"/>
        <v/>
      </c>
      <c r="M1147" t="str">
        <f t="shared" si="89"/>
        <v/>
      </c>
      <c r="N1147" t="str">
        <f>IF($F1147="","",IF(Sync!$AF1147="","0000",IF(AND(ISNUMBER(Sync!$AF1147),Sync!$AF1147&gt;=0,Sync!$AF1147&lt;1),RIGHT("00"&amp;HOUR(Sync!$AF1147),2)&amp;RIGHT("00"&amp;MINUTE(Sync!$AF1147),2),IFERROR(RIGHT("00"&amp;VALUE(LEFT(Sync!$AF1147,FIND(":",Sync!$AF1147)-1)),2)&amp;RIGHT("00"&amp;VALUE(MID(Sync!$AF1147,FIND(":",Sync!$AF1147)+1,2)),2),"0000"))))</f>
        <v/>
      </c>
    </row>
    <row r="1148" spans="1:14" x14ac:dyDescent="0.2">
      <c r="A1148" t="str">
        <f>IF(OR(Calc!$E1152="",Calc!$E1152="نامعتبر",Calc!$G1152=""),"",Calc!$G1152)</f>
        <v/>
      </c>
      <c r="B1148" t="str">
        <f>IF($A1148="","",LEFT(Calc!$E1152,4)&amp;MID(Calc!$E1152,6,2)&amp;RIGHT(Calc!$E1152,2)&amp;Calc!$Q1152&amp;"|"&amp;"1"&amp;RIGHT("00000"&amp;1143,5))</f>
        <v/>
      </c>
      <c r="C1148" t="str">
        <f t="shared" si="85"/>
        <v/>
      </c>
      <c r="D1148" t="str">
        <f t="shared" si="86"/>
        <v/>
      </c>
      <c r="F1148" t="str">
        <f>IF(Sync!$AH1148="","",IF(LEFT(UPPER(TRIM(Sync!$AH1148)),2)="SL",UPPER(TRIM(Sync!$AH1148)),""))</f>
        <v/>
      </c>
      <c r="G1148" t="str">
        <f>IF($F1148="","",IF(Sync!$AE1148="","",IF(ISNUMBER(Sync!$AE1148),IF(AND(Sync!$AE1148&gt;=10000101,Sync!$AE1148&lt;=99991231),INT(Sync!$AE1148/10000),""),IFERROR(VALUE(TRIM(LEFT(Sync!$AE1148,FIND("/",Sync!$AE1148)-1))),""))))</f>
        <v/>
      </c>
      <c r="H1148" t="str">
        <f>IF(OR($F1148="",$G1148=""),"",IF(ISNUMBER(Sync!$AE1148),INT(MOD(Sync!$AE1148,10000)/100),IFERROR(VALUE(TRIM(LEFT(MID(Sync!$AE1148,FIND("/",Sync!$AE1148)+1,20),FIND("/",MID(Sync!$AE1148,FIND("/",Sync!$AE1148)+1,20))-1))),"")))</f>
        <v/>
      </c>
      <c r="I1148" t="str">
        <f>IF(OR($F1148="",$G1148=""),"",IF(ISNUMBER(Sync!$AE1148),MOD(Sync!$AE1148,100),IFERROR(VALUE(TRIM(MID(MID(Sync!$AE1148,FIND("/",Sync!$AE1148)+1,20),FIND("/",MID(Sync!$AE1148,FIND("/",Sync!$AE1148)+1,20))+1,20))),"")))</f>
        <v/>
      </c>
      <c r="J1148" t="str">
        <f t="shared" si="87"/>
        <v/>
      </c>
      <c r="K1148" t="str">
        <f>IF(OR($F1148="",$J1148="",$J1148="نامعتبر"),"",LEFT($J1148,4)&amp;MID($J1148,6,2)&amp;RIGHT($J1148,2)&amp;$N1148&amp;"|"&amp;"2"&amp;RIGHT("00000"&amp;1143,5))</f>
        <v/>
      </c>
      <c r="L1148" t="str">
        <f t="shared" si="88"/>
        <v/>
      </c>
      <c r="M1148" t="str">
        <f t="shared" si="89"/>
        <v/>
      </c>
      <c r="N1148" t="str">
        <f>IF($F1148="","",IF(Sync!$AF1148="","0000",IF(AND(ISNUMBER(Sync!$AF1148),Sync!$AF1148&gt;=0,Sync!$AF1148&lt;1),RIGHT("00"&amp;HOUR(Sync!$AF1148),2)&amp;RIGHT("00"&amp;MINUTE(Sync!$AF1148),2),IFERROR(RIGHT("00"&amp;VALUE(LEFT(Sync!$AF1148,FIND(":",Sync!$AF1148)-1)),2)&amp;RIGHT("00"&amp;VALUE(MID(Sync!$AF1148,FIND(":",Sync!$AF1148)+1,2)),2),"0000"))))</f>
        <v/>
      </c>
    </row>
    <row r="1149" spans="1:14" x14ac:dyDescent="0.2">
      <c r="A1149" t="str">
        <f>IF(OR(Calc!$E1153="",Calc!$E1153="نامعتبر",Calc!$G1153=""),"",Calc!$G1153)</f>
        <v/>
      </c>
      <c r="B1149" t="str">
        <f>IF($A1149="","",LEFT(Calc!$E1153,4)&amp;MID(Calc!$E1153,6,2)&amp;RIGHT(Calc!$E1153,2)&amp;Calc!$Q1153&amp;"|"&amp;"1"&amp;RIGHT("00000"&amp;1144,5))</f>
        <v/>
      </c>
      <c r="C1149" t="str">
        <f t="shared" si="85"/>
        <v/>
      </c>
      <c r="D1149" t="str">
        <f t="shared" si="86"/>
        <v/>
      </c>
      <c r="F1149" t="str">
        <f>IF(Sync!$AH1149="","",IF(LEFT(UPPER(TRIM(Sync!$AH1149)),2)="SL",UPPER(TRIM(Sync!$AH1149)),""))</f>
        <v/>
      </c>
      <c r="G1149" t="str">
        <f>IF($F1149="","",IF(Sync!$AE1149="","",IF(ISNUMBER(Sync!$AE1149),IF(AND(Sync!$AE1149&gt;=10000101,Sync!$AE1149&lt;=99991231),INT(Sync!$AE1149/10000),""),IFERROR(VALUE(TRIM(LEFT(Sync!$AE1149,FIND("/",Sync!$AE1149)-1))),""))))</f>
        <v/>
      </c>
      <c r="H1149" t="str">
        <f>IF(OR($F1149="",$G1149=""),"",IF(ISNUMBER(Sync!$AE1149),INT(MOD(Sync!$AE1149,10000)/100),IFERROR(VALUE(TRIM(LEFT(MID(Sync!$AE1149,FIND("/",Sync!$AE1149)+1,20),FIND("/",MID(Sync!$AE1149,FIND("/",Sync!$AE1149)+1,20))-1))),"")))</f>
        <v/>
      </c>
      <c r="I1149" t="str">
        <f>IF(OR($F1149="",$G1149=""),"",IF(ISNUMBER(Sync!$AE1149),MOD(Sync!$AE1149,100),IFERROR(VALUE(TRIM(MID(MID(Sync!$AE1149,FIND("/",Sync!$AE1149)+1,20),FIND("/",MID(Sync!$AE1149,FIND("/",Sync!$AE1149)+1,20))+1,20))),"")))</f>
        <v/>
      </c>
      <c r="J1149" t="str">
        <f t="shared" si="87"/>
        <v/>
      </c>
      <c r="K1149" t="str">
        <f>IF(OR($F1149="",$J1149="",$J1149="نامعتبر"),"",LEFT($J1149,4)&amp;MID($J1149,6,2)&amp;RIGHT($J1149,2)&amp;$N1149&amp;"|"&amp;"2"&amp;RIGHT("00000"&amp;1144,5))</f>
        <v/>
      </c>
      <c r="L1149" t="str">
        <f t="shared" si="88"/>
        <v/>
      </c>
      <c r="M1149" t="str">
        <f t="shared" si="89"/>
        <v/>
      </c>
      <c r="N1149" t="str">
        <f>IF($F1149="","",IF(Sync!$AF1149="","0000",IF(AND(ISNUMBER(Sync!$AF1149),Sync!$AF1149&gt;=0,Sync!$AF1149&lt;1),RIGHT("00"&amp;HOUR(Sync!$AF1149),2)&amp;RIGHT("00"&amp;MINUTE(Sync!$AF1149),2),IFERROR(RIGHT("00"&amp;VALUE(LEFT(Sync!$AF1149,FIND(":",Sync!$AF1149)-1)),2)&amp;RIGHT("00"&amp;VALUE(MID(Sync!$AF1149,FIND(":",Sync!$AF1149)+1,2)),2),"0000"))))</f>
        <v/>
      </c>
    </row>
    <row r="1150" spans="1:14" x14ac:dyDescent="0.2">
      <c r="A1150" t="str">
        <f>IF(OR(Calc!$E1154="",Calc!$E1154="نامعتبر",Calc!$G1154=""),"",Calc!$G1154)</f>
        <v/>
      </c>
      <c r="B1150" t="str">
        <f>IF($A1150="","",LEFT(Calc!$E1154,4)&amp;MID(Calc!$E1154,6,2)&amp;RIGHT(Calc!$E1154,2)&amp;Calc!$Q1154&amp;"|"&amp;"1"&amp;RIGHT("00000"&amp;1145,5))</f>
        <v/>
      </c>
      <c r="C1150" t="str">
        <f t="shared" si="85"/>
        <v/>
      </c>
      <c r="D1150" t="str">
        <f t="shared" si="86"/>
        <v/>
      </c>
      <c r="F1150" t="str">
        <f>IF(Sync!$AH1150="","",IF(LEFT(UPPER(TRIM(Sync!$AH1150)),2)="SL",UPPER(TRIM(Sync!$AH1150)),""))</f>
        <v/>
      </c>
      <c r="G1150" t="str">
        <f>IF($F1150="","",IF(Sync!$AE1150="","",IF(ISNUMBER(Sync!$AE1150),IF(AND(Sync!$AE1150&gt;=10000101,Sync!$AE1150&lt;=99991231),INT(Sync!$AE1150/10000),""),IFERROR(VALUE(TRIM(LEFT(Sync!$AE1150,FIND("/",Sync!$AE1150)-1))),""))))</f>
        <v/>
      </c>
      <c r="H1150" t="str">
        <f>IF(OR($F1150="",$G1150=""),"",IF(ISNUMBER(Sync!$AE1150),INT(MOD(Sync!$AE1150,10000)/100),IFERROR(VALUE(TRIM(LEFT(MID(Sync!$AE1150,FIND("/",Sync!$AE1150)+1,20),FIND("/",MID(Sync!$AE1150,FIND("/",Sync!$AE1150)+1,20))-1))),"")))</f>
        <v/>
      </c>
      <c r="I1150" t="str">
        <f>IF(OR($F1150="",$G1150=""),"",IF(ISNUMBER(Sync!$AE1150),MOD(Sync!$AE1150,100),IFERROR(VALUE(TRIM(MID(MID(Sync!$AE1150,FIND("/",Sync!$AE1150)+1,20),FIND("/",MID(Sync!$AE1150,FIND("/",Sync!$AE1150)+1,20))+1,20))),"")))</f>
        <v/>
      </c>
      <c r="J1150" t="str">
        <f t="shared" si="87"/>
        <v/>
      </c>
      <c r="K1150" t="str">
        <f>IF(OR($F1150="",$J1150="",$J1150="نامعتبر"),"",LEFT($J1150,4)&amp;MID($J1150,6,2)&amp;RIGHT($J1150,2)&amp;$N1150&amp;"|"&amp;"2"&amp;RIGHT("00000"&amp;1145,5))</f>
        <v/>
      </c>
      <c r="L1150" t="str">
        <f t="shared" si="88"/>
        <v/>
      </c>
      <c r="M1150" t="str">
        <f t="shared" si="89"/>
        <v/>
      </c>
      <c r="N1150" t="str">
        <f>IF($F1150="","",IF(Sync!$AF1150="","0000",IF(AND(ISNUMBER(Sync!$AF1150),Sync!$AF1150&gt;=0,Sync!$AF1150&lt;1),RIGHT("00"&amp;HOUR(Sync!$AF1150),2)&amp;RIGHT("00"&amp;MINUTE(Sync!$AF1150),2),IFERROR(RIGHT("00"&amp;VALUE(LEFT(Sync!$AF1150,FIND(":",Sync!$AF1150)-1)),2)&amp;RIGHT("00"&amp;VALUE(MID(Sync!$AF1150,FIND(":",Sync!$AF1150)+1,2)),2),"0000"))))</f>
        <v/>
      </c>
    </row>
    <row r="1151" spans="1:14" x14ac:dyDescent="0.2">
      <c r="A1151" t="str">
        <f>IF(OR(Calc!$E1155="",Calc!$E1155="نامعتبر",Calc!$G1155=""),"",Calc!$G1155)</f>
        <v/>
      </c>
      <c r="B1151" t="str">
        <f>IF($A1151="","",LEFT(Calc!$E1155,4)&amp;MID(Calc!$E1155,6,2)&amp;RIGHT(Calc!$E1155,2)&amp;Calc!$Q1155&amp;"|"&amp;"1"&amp;RIGHT("00000"&amp;1146,5))</f>
        <v/>
      </c>
      <c r="C1151" t="str">
        <f t="shared" si="85"/>
        <v/>
      </c>
      <c r="D1151" t="str">
        <f t="shared" si="86"/>
        <v/>
      </c>
      <c r="F1151" t="str">
        <f>IF(Sync!$AH1151="","",IF(LEFT(UPPER(TRIM(Sync!$AH1151)),2)="SL",UPPER(TRIM(Sync!$AH1151)),""))</f>
        <v/>
      </c>
      <c r="G1151" t="str">
        <f>IF($F1151="","",IF(Sync!$AE1151="","",IF(ISNUMBER(Sync!$AE1151),IF(AND(Sync!$AE1151&gt;=10000101,Sync!$AE1151&lt;=99991231),INT(Sync!$AE1151/10000),""),IFERROR(VALUE(TRIM(LEFT(Sync!$AE1151,FIND("/",Sync!$AE1151)-1))),""))))</f>
        <v/>
      </c>
      <c r="H1151" t="str">
        <f>IF(OR($F1151="",$G1151=""),"",IF(ISNUMBER(Sync!$AE1151),INT(MOD(Sync!$AE1151,10000)/100),IFERROR(VALUE(TRIM(LEFT(MID(Sync!$AE1151,FIND("/",Sync!$AE1151)+1,20),FIND("/",MID(Sync!$AE1151,FIND("/",Sync!$AE1151)+1,20))-1))),"")))</f>
        <v/>
      </c>
      <c r="I1151" t="str">
        <f>IF(OR($F1151="",$G1151=""),"",IF(ISNUMBER(Sync!$AE1151),MOD(Sync!$AE1151,100),IFERROR(VALUE(TRIM(MID(MID(Sync!$AE1151,FIND("/",Sync!$AE1151)+1,20),FIND("/",MID(Sync!$AE1151,FIND("/",Sync!$AE1151)+1,20))+1,20))),"")))</f>
        <v/>
      </c>
      <c r="J1151" t="str">
        <f t="shared" si="87"/>
        <v/>
      </c>
      <c r="K1151" t="str">
        <f>IF(OR($F1151="",$J1151="",$J1151="نامعتبر"),"",LEFT($J1151,4)&amp;MID($J1151,6,2)&amp;RIGHT($J1151,2)&amp;$N1151&amp;"|"&amp;"2"&amp;RIGHT("00000"&amp;1146,5))</f>
        <v/>
      </c>
      <c r="L1151" t="str">
        <f t="shared" si="88"/>
        <v/>
      </c>
      <c r="M1151" t="str">
        <f t="shared" si="89"/>
        <v/>
      </c>
      <c r="N1151" t="str">
        <f>IF($F1151="","",IF(Sync!$AF1151="","0000",IF(AND(ISNUMBER(Sync!$AF1151),Sync!$AF1151&gt;=0,Sync!$AF1151&lt;1),RIGHT("00"&amp;HOUR(Sync!$AF1151),2)&amp;RIGHT("00"&amp;MINUTE(Sync!$AF1151),2),IFERROR(RIGHT("00"&amp;VALUE(LEFT(Sync!$AF1151,FIND(":",Sync!$AF1151)-1)),2)&amp;RIGHT("00"&amp;VALUE(MID(Sync!$AF1151,FIND(":",Sync!$AF1151)+1,2)),2),"0000"))))</f>
        <v/>
      </c>
    </row>
    <row r="1152" spans="1:14" x14ac:dyDescent="0.2">
      <c r="A1152" t="str">
        <f>IF(OR(Calc!$E1156="",Calc!$E1156="نامعتبر",Calc!$G1156=""),"",Calc!$G1156)</f>
        <v/>
      </c>
      <c r="B1152" t="str">
        <f>IF($A1152="","",LEFT(Calc!$E1156,4)&amp;MID(Calc!$E1156,6,2)&amp;RIGHT(Calc!$E1156,2)&amp;Calc!$Q1156&amp;"|"&amp;"1"&amp;RIGHT("00000"&amp;1147,5))</f>
        <v/>
      </c>
      <c r="C1152" t="str">
        <f t="shared" si="85"/>
        <v/>
      </c>
      <c r="D1152" t="str">
        <f t="shared" si="86"/>
        <v/>
      </c>
      <c r="F1152" t="str">
        <f>IF(Sync!$AH1152="","",IF(LEFT(UPPER(TRIM(Sync!$AH1152)),2)="SL",UPPER(TRIM(Sync!$AH1152)),""))</f>
        <v/>
      </c>
      <c r="G1152" t="str">
        <f>IF($F1152="","",IF(Sync!$AE1152="","",IF(ISNUMBER(Sync!$AE1152),IF(AND(Sync!$AE1152&gt;=10000101,Sync!$AE1152&lt;=99991231),INT(Sync!$AE1152/10000),""),IFERROR(VALUE(TRIM(LEFT(Sync!$AE1152,FIND("/",Sync!$AE1152)-1))),""))))</f>
        <v/>
      </c>
      <c r="H1152" t="str">
        <f>IF(OR($F1152="",$G1152=""),"",IF(ISNUMBER(Sync!$AE1152),INT(MOD(Sync!$AE1152,10000)/100),IFERROR(VALUE(TRIM(LEFT(MID(Sync!$AE1152,FIND("/",Sync!$AE1152)+1,20),FIND("/",MID(Sync!$AE1152,FIND("/",Sync!$AE1152)+1,20))-1))),"")))</f>
        <v/>
      </c>
      <c r="I1152" t="str">
        <f>IF(OR($F1152="",$G1152=""),"",IF(ISNUMBER(Sync!$AE1152),MOD(Sync!$AE1152,100),IFERROR(VALUE(TRIM(MID(MID(Sync!$AE1152,FIND("/",Sync!$AE1152)+1,20),FIND("/",MID(Sync!$AE1152,FIND("/",Sync!$AE1152)+1,20))+1,20))),"")))</f>
        <v/>
      </c>
      <c r="J1152" t="str">
        <f t="shared" si="87"/>
        <v/>
      </c>
      <c r="K1152" t="str">
        <f>IF(OR($F1152="",$J1152="",$J1152="نامعتبر"),"",LEFT($J1152,4)&amp;MID($J1152,6,2)&amp;RIGHT($J1152,2)&amp;$N1152&amp;"|"&amp;"2"&amp;RIGHT("00000"&amp;1147,5))</f>
        <v/>
      </c>
      <c r="L1152" t="str">
        <f t="shared" si="88"/>
        <v/>
      </c>
      <c r="M1152" t="str">
        <f t="shared" si="89"/>
        <v/>
      </c>
      <c r="N1152" t="str">
        <f>IF($F1152="","",IF(Sync!$AF1152="","0000",IF(AND(ISNUMBER(Sync!$AF1152),Sync!$AF1152&gt;=0,Sync!$AF1152&lt;1),RIGHT("00"&amp;HOUR(Sync!$AF1152),2)&amp;RIGHT("00"&amp;MINUTE(Sync!$AF1152),2),IFERROR(RIGHT("00"&amp;VALUE(LEFT(Sync!$AF1152,FIND(":",Sync!$AF1152)-1)),2)&amp;RIGHT("00"&amp;VALUE(MID(Sync!$AF1152,FIND(":",Sync!$AF1152)+1,2)),2),"0000"))))</f>
        <v/>
      </c>
    </row>
    <row r="1153" spans="1:14" x14ac:dyDescent="0.2">
      <c r="A1153" t="str">
        <f>IF(OR(Calc!$E1157="",Calc!$E1157="نامعتبر",Calc!$G1157=""),"",Calc!$G1157)</f>
        <v/>
      </c>
      <c r="B1153" t="str">
        <f>IF($A1153="","",LEFT(Calc!$E1157,4)&amp;MID(Calc!$E1157,6,2)&amp;RIGHT(Calc!$E1157,2)&amp;Calc!$Q1157&amp;"|"&amp;"1"&amp;RIGHT("00000"&amp;1148,5))</f>
        <v/>
      </c>
      <c r="C1153" t="str">
        <f t="shared" si="85"/>
        <v/>
      </c>
      <c r="D1153" t="str">
        <f t="shared" si="86"/>
        <v/>
      </c>
      <c r="F1153" t="str">
        <f>IF(Sync!$AH1153="","",IF(LEFT(UPPER(TRIM(Sync!$AH1153)),2)="SL",UPPER(TRIM(Sync!$AH1153)),""))</f>
        <v/>
      </c>
      <c r="G1153" t="str">
        <f>IF($F1153="","",IF(Sync!$AE1153="","",IF(ISNUMBER(Sync!$AE1153),IF(AND(Sync!$AE1153&gt;=10000101,Sync!$AE1153&lt;=99991231),INT(Sync!$AE1153/10000),""),IFERROR(VALUE(TRIM(LEFT(Sync!$AE1153,FIND("/",Sync!$AE1153)-1))),""))))</f>
        <v/>
      </c>
      <c r="H1153" t="str">
        <f>IF(OR($F1153="",$G1153=""),"",IF(ISNUMBER(Sync!$AE1153),INT(MOD(Sync!$AE1153,10000)/100),IFERROR(VALUE(TRIM(LEFT(MID(Sync!$AE1153,FIND("/",Sync!$AE1153)+1,20),FIND("/",MID(Sync!$AE1153,FIND("/",Sync!$AE1153)+1,20))-1))),"")))</f>
        <v/>
      </c>
      <c r="I1153" t="str">
        <f>IF(OR($F1153="",$G1153=""),"",IF(ISNUMBER(Sync!$AE1153),MOD(Sync!$AE1153,100),IFERROR(VALUE(TRIM(MID(MID(Sync!$AE1153,FIND("/",Sync!$AE1153)+1,20),FIND("/",MID(Sync!$AE1153,FIND("/",Sync!$AE1153)+1,20))+1,20))),"")))</f>
        <v/>
      </c>
      <c r="J1153" t="str">
        <f t="shared" si="87"/>
        <v/>
      </c>
      <c r="K1153" t="str">
        <f>IF(OR($F1153="",$J1153="",$J1153="نامعتبر"),"",LEFT($J1153,4)&amp;MID($J1153,6,2)&amp;RIGHT($J1153,2)&amp;$N1153&amp;"|"&amp;"2"&amp;RIGHT("00000"&amp;1148,5))</f>
        <v/>
      </c>
      <c r="L1153" t="str">
        <f t="shared" si="88"/>
        <v/>
      </c>
      <c r="M1153" t="str">
        <f t="shared" si="89"/>
        <v/>
      </c>
      <c r="N1153" t="str">
        <f>IF($F1153="","",IF(Sync!$AF1153="","0000",IF(AND(ISNUMBER(Sync!$AF1153),Sync!$AF1153&gt;=0,Sync!$AF1153&lt;1),RIGHT("00"&amp;HOUR(Sync!$AF1153),2)&amp;RIGHT("00"&amp;MINUTE(Sync!$AF1153),2),IFERROR(RIGHT("00"&amp;VALUE(LEFT(Sync!$AF1153,FIND(":",Sync!$AF1153)-1)),2)&amp;RIGHT("00"&amp;VALUE(MID(Sync!$AF1153,FIND(":",Sync!$AF1153)+1,2)),2),"0000"))))</f>
        <v/>
      </c>
    </row>
    <row r="1154" spans="1:14" x14ac:dyDescent="0.2">
      <c r="A1154" t="str">
        <f>IF(OR(Calc!$E1158="",Calc!$E1158="نامعتبر",Calc!$G1158=""),"",Calc!$G1158)</f>
        <v/>
      </c>
      <c r="B1154" t="str">
        <f>IF($A1154="","",LEFT(Calc!$E1158,4)&amp;MID(Calc!$E1158,6,2)&amp;RIGHT(Calc!$E1158,2)&amp;Calc!$Q1158&amp;"|"&amp;"1"&amp;RIGHT("00000"&amp;1149,5))</f>
        <v/>
      </c>
      <c r="C1154" t="str">
        <f t="shared" si="85"/>
        <v/>
      </c>
      <c r="D1154" t="str">
        <f t="shared" si="86"/>
        <v/>
      </c>
      <c r="F1154" t="str">
        <f>IF(Sync!$AH1154="","",IF(LEFT(UPPER(TRIM(Sync!$AH1154)),2)="SL",UPPER(TRIM(Sync!$AH1154)),""))</f>
        <v/>
      </c>
      <c r="G1154" t="str">
        <f>IF($F1154="","",IF(Sync!$AE1154="","",IF(ISNUMBER(Sync!$AE1154),IF(AND(Sync!$AE1154&gt;=10000101,Sync!$AE1154&lt;=99991231),INT(Sync!$AE1154/10000),""),IFERROR(VALUE(TRIM(LEFT(Sync!$AE1154,FIND("/",Sync!$AE1154)-1))),""))))</f>
        <v/>
      </c>
      <c r="H1154" t="str">
        <f>IF(OR($F1154="",$G1154=""),"",IF(ISNUMBER(Sync!$AE1154),INT(MOD(Sync!$AE1154,10000)/100),IFERROR(VALUE(TRIM(LEFT(MID(Sync!$AE1154,FIND("/",Sync!$AE1154)+1,20),FIND("/",MID(Sync!$AE1154,FIND("/",Sync!$AE1154)+1,20))-1))),"")))</f>
        <v/>
      </c>
      <c r="I1154" t="str">
        <f>IF(OR($F1154="",$G1154=""),"",IF(ISNUMBER(Sync!$AE1154),MOD(Sync!$AE1154,100),IFERROR(VALUE(TRIM(MID(MID(Sync!$AE1154,FIND("/",Sync!$AE1154)+1,20),FIND("/",MID(Sync!$AE1154,FIND("/",Sync!$AE1154)+1,20))+1,20))),"")))</f>
        <v/>
      </c>
      <c r="J1154" t="str">
        <f t="shared" si="87"/>
        <v/>
      </c>
      <c r="K1154" t="str">
        <f>IF(OR($F1154="",$J1154="",$J1154="نامعتبر"),"",LEFT($J1154,4)&amp;MID($J1154,6,2)&amp;RIGHT($J1154,2)&amp;$N1154&amp;"|"&amp;"2"&amp;RIGHT("00000"&amp;1149,5))</f>
        <v/>
      </c>
      <c r="L1154" t="str">
        <f t="shared" si="88"/>
        <v/>
      </c>
      <c r="M1154" t="str">
        <f t="shared" si="89"/>
        <v/>
      </c>
      <c r="N1154" t="str">
        <f>IF($F1154="","",IF(Sync!$AF1154="","0000",IF(AND(ISNUMBER(Sync!$AF1154),Sync!$AF1154&gt;=0,Sync!$AF1154&lt;1),RIGHT("00"&amp;HOUR(Sync!$AF1154),2)&amp;RIGHT("00"&amp;MINUTE(Sync!$AF1154),2),IFERROR(RIGHT("00"&amp;VALUE(LEFT(Sync!$AF1154,FIND(":",Sync!$AF1154)-1)),2)&amp;RIGHT("00"&amp;VALUE(MID(Sync!$AF1154,FIND(":",Sync!$AF1154)+1,2)),2),"0000"))))</f>
        <v/>
      </c>
    </row>
    <row r="1155" spans="1:14" x14ac:dyDescent="0.2">
      <c r="A1155" t="str">
        <f>IF(OR(Calc!$E1159="",Calc!$E1159="نامعتبر",Calc!$G1159=""),"",Calc!$G1159)</f>
        <v/>
      </c>
      <c r="B1155" t="str">
        <f>IF($A1155="","",LEFT(Calc!$E1159,4)&amp;MID(Calc!$E1159,6,2)&amp;RIGHT(Calc!$E1159,2)&amp;Calc!$Q1159&amp;"|"&amp;"1"&amp;RIGHT("00000"&amp;1150,5))</f>
        <v/>
      </c>
      <c r="C1155" t="str">
        <f t="shared" si="85"/>
        <v/>
      </c>
      <c r="D1155" t="str">
        <f t="shared" si="86"/>
        <v/>
      </c>
      <c r="F1155" t="str">
        <f>IF(Sync!$AH1155="","",IF(LEFT(UPPER(TRIM(Sync!$AH1155)),2)="SL",UPPER(TRIM(Sync!$AH1155)),""))</f>
        <v/>
      </c>
      <c r="G1155" t="str">
        <f>IF($F1155="","",IF(Sync!$AE1155="","",IF(ISNUMBER(Sync!$AE1155),IF(AND(Sync!$AE1155&gt;=10000101,Sync!$AE1155&lt;=99991231),INT(Sync!$AE1155/10000),""),IFERROR(VALUE(TRIM(LEFT(Sync!$AE1155,FIND("/",Sync!$AE1155)-1))),""))))</f>
        <v/>
      </c>
      <c r="H1155" t="str">
        <f>IF(OR($F1155="",$G1155=""),"",IF(ISNUMBER(Sync!$AE1155),INT(MOD(Sync!$AE1155,10000)/100),IFERROR(VALUE(TRIM(LEFT(MID(Sync!$AE1155,FIND("/",Sync!$AE1155)+1,20),FIND("/",MID(Sync!$AE1155,FIND("/",Sync!$AE1155)+1,20))-1))),"")))</f>
        <v/>
      </c>
      <c r="I1155" t="str">
        <f>IF(OR($F1155="",$G1155=""),"",IF(ISNUMBER(Sync!$AE1155),MOD(Sync!$AE1155,100),IFERROR(VALUE(TRIM(MID(MID(Sync!$AE1155,FIND("/",Sync!$AE1155)+1,20),FIND("/",MID(Sync!$AE1155,FIND("/",Sync!$AE1155)+1,20))+1,20))),"")))</f>
        <v/>
      </c>
      <c r="J1155" t="str">
        <f t="shared" si="87"/>
        <v/>
      </c>
      <c r="K1155" t="str">
        <f>IF(OR($F1155="",$J1155="",$J1155="نامعتبر"),"",LEFT($J1155,4)&amp;MID($J1155,6,2)&amp;RIGHT($J1155,2)&amp;$N1155&amp;"|"&amp;"2"&amp;RIGHT("00000"&amp;1150,5))</f>
        <v/>
      </c>
      <c r="L1155" t="str">
        <f t="shared" si="88"/>
        <v/>
      </c>
      <c r="M1155" t="str">
        <f t="shared" si="89"/>
        <v/>
      </c>
      <c r="N1155" t="str">
        <f>IF($F1155="","",IF(Sync!$AF1155="","0000",IF(AND(ISNUMBER(Sync!$AF1155),Sync!$AF1155&gt;=0,Sync!$AF1155&lt;1),RIGHT("00"&amp;HOUR(Sync!$AF1155),2)&amp;RIGHT("00"&amp;MINUTE(Sync!$AF1155),2),IFERROR(RIGHT("00"&amp;VALUE(LEFT(Sync!$AF1155,FIND(":",Sync!$AF1155)-1)),2)&amp;RIGHT("00"&amp;VALUE(MID(Sync!$AF1155,FIND(":",Sync!$AF1155)+1,2)),2),"0000"))))</f>
        <v/>
      </c>
    </row>
    <row r="1156" spans="1:14" x14ac:dyDescent="0.2">
      <c r="A1156" t="str">
        <f>IF(OR(Calc!$E1160="",Calc!$E1160="نامعتبر",Calc!$G1160=""),"",Calc!$G1160)</f>
        <v/>
      </c>
      <c r="B1156" t="str">
        <f>IF($A1156="","",LEFT(Calc!$E1160,4)&amp;MID(Calc!$E1160,6,2)&amp;RIGHT(Calc!$E1160,2)&amp;Calc!$Q1160&amp;"|"&amp;"1"&amp;RIGHT("00000"&amp;1151,5))</f>
        <v/>
      </c>
      <c r="C1156" t="str">
        <f t="shared" si="85"/>
        <v/>
      </c>
      <c r="D1156" t="str">
        <f t="shared" si="86"/>
        <v/>
      </c>
      <c r="F1156" t="str">
        <f>IF(Sync!$AH1156="","",IF(LEFT(UPPER(TRIM(Sync!$AH1156)),2)="SL",UPPER(TRIM(Sync!$AH1156)),""))</f>
        <v/>
      </c>
      <c r="G1156" t="str">
        <f>IF($F1156="","",IF(Sync!$AE1156="","",IF(ISNUMBER(Sync!$AE1156),IF(AND(Sync!$AE1156&gt;=10000101,Sync!$AE1156&lt;=99991231),INT(Sync!$AE1156/10000),""),IFERROR(VALUE(TRIM(LEFT(Sync!$AE1156,FIND("/",Sync!$AE1156)-1))),""))))</f>
        <v/>
      </c>
      <c r="H1156" t="str">
        <f>IF(OR($F1156="",$G1156=""),"",IF(ISNUMBER(Sync!$AE1156),INT(MOD(Sync!$AE1156,10000)/100),IFERROR(VALUE(TRIM(LEFT(MID(Sync!$AE1156,FIND("/",Sync!$AE1156)+1,20),FIND("/",MID(Sync!$AE1156,FIND("/",Sync!$AE1156)+1,20))-1))),"")))</f>
        <v/>
      </c>
      <c r="I1156" t="str">
        <f>IF(OR($F1156="",$G1156=""),"",IF(ISNUMBER(Sync!$AE1156),MOD(Sync!$AE1156,100),IFERROR(VALUE(TRIM(MID(MID(Sync!$AE1156,FIND("/",Sync!$AE1156)+1,20),FIND("/",MID(Sync!$AE1156,FIND("/",Sync!$AE1156)+1,20))+1,20))),"")))</f>
        <v/>
      </c>
      <c r="J1156" t="str">
        <f t="shared" si="87"/>
        <v/>
      </c>
      <c r="K1156" t="str">
        <f>IF(OR($F1156="",$J1156="",$J1156="نامعتبر"),"",LEFT($J1156,4)&amp;MID($J1156,6,2)&amp;RIGHT($J1156,2)&amp;$N1156&amp;"|"&amp;"2"&amp;RIGHT("00000"&amp;1151,5))</f>
        <v/>
      </c>
      <c r="L1156" t="str">
        <f t="shared" si="88"/>
        <v/>
      </c>
      <c r="M1156" t="str">
        <f t="shared" si="89"/>
        <v/>
      </c>
      <c r="N1156" t="str">
        <f>IF($F1156="","",IF(Sync!$AF1156="","0000",IF(AND(ISNUMBER(Sync!$AF1156),Sync!$AF1156&gt;=0,Sync!$AF1156&lt;1),RIGHT("00"&amp;HOUR(Sync!$AF1156),2)&amp;RIGHT("00"&amp;MINUTE(Sync!$AF1156),2),IFERROR(RIGHT("00"&amp;VALUE(LEFT(Sync!$AF1156,FIND(":",Sync!$AF1156)-1)),2)&amp;RIGHT("00"&amp;VALUE(MID(Sync!$AF1156,FIND(":",Sync!$AF1156)+1,2)),2),"0000"))))</f>
        <v/>
      </c>
    </row>
    <row r="1157" spans="1:14" x14ac:dyDescent="0.2">
      <c r="A1157" t="str">
        <f>IF(OR(Calc!$E1161="",Calc!$E1161="نامعتبر",Calc!$G1161=""),"",Calc!$G1161)</f>
        <v/>
      </c>
      <c r="B1157" t="str">
        <f>IF($A1157="","",LEFT(Calc!$E1161,4)&amp;MID(Calc!$E1161,6,2)&amp;RIGHT(Calc!$E1161,2)&amp;Calc!$Q1161&amp;"|"&amp;"1"&amp;RIGHT("00000"&amp;1152,5))</f>
        <v/>
      </c>
      <c r="C1157" t="str">
        <f t="shared" si="85"/>
        <v/>
      </c>
      <c r="D1157" t="str">
        <f t="shared" si="86"/>
        <v/>
      </c>
      <c r="F1157" t="str">
        <f>IF(Sync!$AH1157="","",IF(LEFT(UPPER(TRIM(Sync!$AH1157)),2)="SL",UPPER(TRIM(Sync!$AH1157)),""))</f>
        <v/>
      </c>
      <c r="G1157" t="str">
        <f>IF($F1157="","",IF(Sync!$AE1157="","",IF(ISNUMBER(Sync!$AE1157),IF(AND(Sync!$AE1157&gt;=10000101,Sync!$AE1157&lt;=99991231),INT(Sync!$AE1157/10000),""),IFERROR(VALUE(TRIM(LEFT(Sync!$AE1157,FIND("/",Sync!$AE1157)-1))),""))))</f>
        <v/>
      </c>
      <c r="H1157" t="str">
        <f>IF(OR($F1157="",$G1157=""),"",IF(ISNUMBER(Sync!$AE1157),INT(MOD(Sync!$AE1157,10000)/100),IFERROR(VALUE(TRIM(LEFT(MID(Sync!$AE1157,FIND("/",Sync!$AE1157)+1,20),FIND("/",MID(Sync!$AE1157,FIND("/",Sync!$AE1157)+1,20))-1))),"")))</f>
        <v/>
      </c>
      <c r="I1157" t="str">
        <f>IF(OR($F1157="",$G1157=""),"",IF(ISNUMBER(Sync!$AE1157),MOD(Sync!$AE1157,100),IFERROR(VALUE(TRIM(MID(MID(Sync!$AE1157,FIND("/",Sync!$AE1157)+1,20),FIND("/",MID(Sync!$AE1157,FIND("/",Sync!$AE1157)+1,20))+1,20))),"")))</f>
        <v/>
      </c>
      <c r="J1157" t="str">
        <f t="shared" si="87"/>
        <v/>
      </c>
      <c r="K1157" t="str">
        <f>IF(OR($F1157="",$J1157="",$J1157="نامعتبر"),"",LEFT($J1157,4)&amp;MID($J1157,6,2)&amp;RIGHT($J1157,2)&amp;$N1157&amp;"|"&amp;"2"&amp;RIGHT("00000"&amp;1152,5))</f>
        <v/>
      </c>
      <c r="L1157" t="str">
        <f t="shared" si="88"/>
        <v/>
      </c>
      <c r="M1157" t="str">
        <f t="shared" si="89"/>
        <v/>
      </c>
      <c r="N1157" t="str">
        <f>IF($F1157="","",IF(Sync!$AF1157="","0000",IF(AND(ISNUMBER(Sync!$AF1157),Sync!$AF1157&gt;=0,Sync!$AF1157&lt;1),RIGHT("00"&amp;HOUR(Sync!$AF1157),2)&amp;RIGHT("00"&amp;MINUTE(Sync!$AF1157),2),IFERROR(RIGHT("00"&amp;VALUE(LEFT(Sync!$AF1157,FIND(":",Sync!$AF1157)-1)),2)&amp;RIGHT("00"&amp;VALUE(MID(Sync!$AF1157,FIND(":",Sync!$AF1157)+1,2)),2),"0000"))))</f>
        <v/>
      </c>
    </row>
    <row r="1158" spans="1:14" x14ac:dyDescent="0.2">
      <c r="A1158" t="str">
        <f>IF(OR(Calc!$E1162="",Calc!$E1162="نامعتبر",Calc!$G1162=""),"",Calc!$G1162)</f>
        <v/>
      </c>
      <c r="B1158" t="str">
        <f>IF($A1158="","",LEFT(Calc!$E1162,4)&amp;MID(Calc!$E1162,6,2)&amp;RIGHT(Calc!$E1162,2)&amp;Calc!$Q1162&amp;"|"&amp;"1"&amp;RIGHT("00000"&amp;1153,5))</f>
        <v/>
      </c>
      <c r="C1158" t="str">
        <f t="shared" ref="C1158:C1221" si="90">IF($B1158="","",COUNTIFS(LdgSellerA,$A1158,LdgKeyA,"&lt;"&amp;$B1158)+COUNTIFS(LdgSellerB,$A1158,LdgKeyB,"&lt;"&amp;$B1158)+1)</f>
        <v/>
      </c>
      <c r="D1158" t="str">
        <f t="shared" ref="D1158:D1221" si="91">IF($C1158="","",$A1158&amp;"|"&amp;RIGHT("000000"&amp;$C1158,6))</f>
        <v/>
      </c>
      <c r="F1158" t="str">
        <f>IF(Sync!$AH1158="","",IF(LEFT(UPPER(TRIM(Sync!$AH1158)),2)="SL",UPPER(TRIM(Sync!$AH1158)),""))</f>
        <v/>
      </c>
      <c r="G1158" t="str">
        <f>IF($F1158="","",IF(Sync!$AE1158="","",IF(ISNUMBER(Sync!$AE1158),IF(AND(Sync!$AE1158&gt;=10000101,Sync!$AE1158&lt;=99991231),INT(Sync!$AE1158/10000),""),IFERROR(VALUE(TRIM(LEFT(Sync!$AE1158,FIND("/",Sync!$AE1158)-1))),""))))</f>
        <v/>
      </c>
      <c r="H1158" t="str">
        <f>IF(OR($F1158="",$G1158=""),"",IF(ISNUMBER(Sync!$AE1158),INT(MOD(Sync!$AE1158,10000)/100),IFERROR(VALUE(TRIM(LEFT(MID(Sync!$AE1158,FIND("/",Sync!$AE1158)+1,20),FIND("/",MID(Sync!$AE1158,FIND("/",Sync!$AE1158)+1,20))-1))),"")))</f>
        <v/>
      </c>
      <c r="I1158" t="str">
        <f>IF(OR($F1158="",$G1158=""),"",IF(ISNUMBER(Sync!$AE1158),MOD(Sync!$AE1158,100),IFERROR(VALUE(TRIM(MID(MID(Sync!$AE1158,FIND("/",Sync!$AE1158)+1,20),FIND("/",MID(Sync!$AE1158,FIND("/",Sync!$AE1158)+1,20))+1,20))),"")))</f>
        <v/>
      </c>
      <c r="J1158" t="str">
        <f t="shared" ref="J1158:J1221" si="92">IF($F1158="","",IF(OR($G1158="",$H1158="",$I1158="",$G1158&lt;1300,$G1158&gt;1500,$H1158&lt;1,$H1158&gt;12,$I1158&lt;1,$I1158&gt;31),"نامعتبر",RIGHT("0000"&amp;$G1158,4)&amp;"/"&amp;RIGHT("00"&amp;$H1158,2)&amp;"/"&amp;RIGHT("00"&amp;$I1158,2)))</f>
        <v/>
      </c>
      <c r="K1158" t="str">
        <f>IF(OR($F1158="",$J1158="",$J1158="نامعتبر"),"",LEFT($J1158,4)&amp;MID($J1158,6,2)&amp;RIGHT($J1158,2)&amp;$N1158&amp;"|"&amp;"2"&amp;RIGHT("00000"&amp;1153,5))</f>
        <v/>
      </c>
      <c r="L1158" t="str">
        <f t="shared" ref="L1158:L1221" si="93">IF($K1158="","",COUNTIFS(LdgSellerA,$F1158,LdgKeyA,"&lt;"&amp;$K1158)+COUNTIFS(LdgSellerB,$F1158,LdgKeyB,"&lt;"&amp;$K1158)+1)</f>
        <v/>
      </c>
      <c r="M1158" t="str">
        <f t="shared" ref="M1158:M1221" si="94">IF($L1158="","",$F1158&amp;"|"&amp;RIGHT("000000"&amp;$L1158,6))</f>
        <v/>
      </c>
      <c r="N1158" t="str">
        <f>IF($F1158="","",IF(Sync!$AF1158="","0000",IF(AND(ISNUMBER(Sync!$AF1158),Sync!$AF1158&gt;=0,Sync!$AF1158&lt;1),RIGHT("00"&amp;HOUR(Sync!$AF1158),2)&amp;RIGHT("00"&amp;MINUTE(Sync!$AF1158),2),IFERROR(RIGHT("00"&amp;VALUE(LEFT(Sync!$AF1158,FIND(":",Sync!$AF1158)-1)),2)&amp;RIGHT("00"&amp;VALUE(MID(Sync!$AF1158,FIND(":",Sync!$AF1158)+1,2)),2),"0000"))))</f>
        <v/>
      </c>
    </row>
    <row r="1159" spans="1:14" x14ac:dyDescent="0.2">
      <c r="A1159" t="str">
        <f>IF(OR(Calc!$E1163="",Calc!$E1163="نامعتبر",Calc!$G1163=""),"",Calc!$G1163)</f>
        <v/>
      </c>
      <c r="B1159" t="str">
        <f>IF($A1159="","",LEFT(Calc!$E1163,4)&amp;MID(Calc!$E1163,6,2)&amp;RIGHT(Calc!$E1163,2)&amp;Calc!$Q1163&amp;"|"&amp;"1"&amp;RIGHT("00000"&amp;1154,5))</f>
        <v/>
      </c>
      <c r="C1159" t="str">
        <f t="shared" si="90"/>
        <v/>
      </c>
      <c r="D1159" t="str">
        <f t="shared" si="91"/>
        <v/>
      </c>
      <c r="F1159" t="str">
        <f>IF(Sync!$AH1159="","",IF(LEFT(UPPER(TRIM(Sync!$AH1159)),2)="SL",UPPER(TRIM(Sync!$AH1159)),""))</f>
        <v/>
      </c>
      <c r="G1159" t="str">
        <f>IF($F1159="","",IF(Sync!$AE1159="","",IF(ISNUMBER(Sync!$AE1159),IF(AND(Sync!$AE1159&gt;=10000101,Sync!$AE1159&lt;=99991231),INT(Sync!$AE1159/10000),""),IFERROR(VALUE(TRIM(LEFT(Sync!$AE1159,FIND("/",Sync!$AE1159)-1))),""))))</f>
        <v/>
      </c>
      <c r="H1159" t="str">
        <f>IF(OR($F1159="",$G1159=""),"",IF(ISNUMBER(Sync!$AE1159),INT(MOD(Sync!$AE1159,10000)/100),IFERROR(VALUE(TRIM(LEFT(MID(Sync!$AE1159,FIND("/",Sync!$AE1159)+1,20),FIND("/",MID(Sync!$AE1159,FIND("/",Sync!$AE1159)+1,20))-1))),"")))</f>
        <v/>
      </c>
      <c r="I1159" t="str">
        <f>IF(OR($F1159="",$G1159=""),"",IF(ISNUMBER(Sync!$AE1159),MOD(Sync!$AE1159,100),IFERROR(VALUE(TRIM(MID(MID(Sync!$AE1159,FIND("/",Sync!$AE1159)+1,20),FIND("/",MID(Sync!$AE1159,FIND("/",Sync!$AE1159)+1,20))+1,20))),"")))</f>
        <v/>
      </c>
      <c r="J1159" t="str">
        <f t="shared" si="92"/>
        <v/>
      </c>
      <c r="K1159" t="str">
        <f>IF(OR($F1159="",$J1159="",$J1159="نامعتبر"),"",LEFT($J1159,4)&amp;MID($J1159,6,2)&amp;RIGHT($J1159,2)&amp;$N1159&amp;"|"&amp;"2"&amp;RIGHT("00000"&amp;1154,5))</f>
        <v/>
      </c>
      <c r="L1159" t="str">
        <f t="shared" si="93"/>
        <v/>
      </c>
      <c r="M1159" t="str">
        <f t="shared" si="94"/>
        <v/>
      </c>
      <c r="N1159" t="str">
        <f>IF($F1159="","",IF(Sync!$AF1159="","0000",IF(AND(ISNUMBER(Sync!$AF1159),Sync!$AF1159&gt;=0,Sync!$AF1159&lt;1),RIGHT("00"&amp;HOUR(Sync!$AF1159),2)&amp;RIGHT("00"&amp;MINUTE(Sync!$AF1159),2),IFERROR(RIGHT("00"&amp;VALUE(LEFT(Sync!$AF1159,FIND(":",Sync!$AF1159)-1)),2)&amp;RIGHT("00"&amp;VALUE(MID(Sync!$AF1159,FIND(":",Sync!$AF1159)+1,2)),2),"0000"))))</f>
        <v/>
      </c>
    </row>
    <row r="1160" spans="1:14" x14ac:dyDescent="0.2">
      <c r="A1160" t="str">
        <f>IF(OR(Calc!$E1164="",Calc!$E1164="نامعتبر",Calc!$G1164=""),"",Calc!$G1164)</f>
        <v/>
      </c>
      <c r="B1160" t="str">
        <f>IF($A1160="","",LEFT(Calc!$E1164,4)&amp;MID(Calc!$E1164,6,2)&amp;RIGHT(Calc!$E1164,2)&amp;Calc!$Q1164&amp;"|"&amp;"1"&amp;RIGHT("00000"&amp;1155,5))</f>
        <v/>
      </c>
      <c r="C1160" t="str">
        <f t="shared" si="90"/>
        <v/>
      </c>
      <c r="D1160" t="str">
        <f t="shared" si="91"/>
        <v/>
      </c>
      <c r="F1160" t="str">
        <f>IF(Sync!$AH1160="","",IF(LEFT(UPPER(TRIM(Sync!$AH1160)),2)="SL",UPPER(TRIM(Sync!$AH1160)),""))</f>
        <v/>
      </c>
      <c r="G1160" t="str">
        <f>IF($F1160="","",IF(Sync!$AE1160="","",IF(ISNUMBER(Sync!$AE1160),IF(AND(Sync!$AE1160&gt;=10000101,Sync!$AE1160&lt;=99991231),INT(Sync!$AE1160/10000),""),IFERROR(VALUE(TRIM(LEFT(Sync!$AE1160,FIND("/",Sync!$AE1160)-1))),""))))</f>
        <v/>
      </c>
      <c r="H1160" t="str">
        <f>IF(OR($F1160="",$G1160=""),"",IF(ISNUMBER(Sync!$AE1160),INT(MOD(Sync!$AE1160,10000)/100),IFERROR(VALUE(TRIM(LEFT(MID(Sync!$AE1160,FIND("/",Sync!$AE1160)+1,20),FIND("/",MID(Sync!$AE1160,FIND("/",Sync!$AE1160)+1,20))-1))),"")))</f>
        <v/>
      </c>
      <c r="I1160" t="str">
        <f>IF(OR($F1160="",$G1160=""),"",IF(ISNUMBER(Sync!$AE1160),MOD(Sync!$AE1160,100),IFERROR(VALUE(TRIM(MID(MID(Sync!$AE1160,FIND("/",Sync!$AE1160)+1,20),FIND("/",MID(Sync!$AE1160,FIND("/",Sync!$AE1160)+1,20))+1,20))),"")))</f>
        <v/>
      </c>
      <c r="J1160" t="str">
        <f t="shared" si="92"/>
        <v/>
      </c>
      <c r="K1160" t="str">
        <f>IF(OR($F1160="",$J1160="",$J1160="نامعتبر"),"",LEFT($J1160,4)&amp;MID($J1160,6,2)&amp;RIGHT($J1160,2)&amp;$N1160&amp;"|"&amp;"2"&amp;RIGHT("00000"&amp;1155,5))</f>
        <v/>
      </c>
      <c r="L1160" t="str">
        <f t="shared" si="93"/>
        <v/>
      </c>
      <c r="M1160" t="str">
        <f t="shared" si="94"/>
        <v/>
      </c>
      <c r="N1160" t="str">
        <f>IF($F1160="","",IF(Sync!$AF1160="","0000",IF(AND(ISNUMBER(Sync!$AF1160),Sync!$AF1160&gt;=0,Sync!$AF1160&lt;1),RIGHT("00"&amp;HOUR(Sync!$AF1160),2)&amp;RIGHT("00"&amp;MINUTE(Sync!$AF1160),2),IFERROR(RIGHT("00"&amp;VALUE(LEFT(Sync!$AF1160,FIND(":",Sync!$AF1160)-1)),2)&amp;RIGHT("00"&amp;VALUE(MID(Sync!$AF1160,FIND(":",Sync!$AF1160)+1,2)),2),"0000"))))</f>
        <v/>
      </c>
    </row>
    <row r="1161" spans="1:14" x14ac:dyDescent="0.2">
      <c r="A1161" t="str">
        <f>IF(OR(Calc!$E1165="",Calc!$E1165="نامعتبر",Calc!$G1165=""),"",Calc!$G1165)</f>
        <v/>
      </c>
      <c r="B1161" t="str">
        <f>IF($A1161="","",LEFT(Calc!$E1165,4)&amp;MID(Calc!$E1165,6,2)&amp;RIGHT(Calc!$E1165,2)&amp;Calc!$Q1165&amp;"|"&amp;"1"&amp;RIGHT("00000"&amp;1156,5))</f>
        <v/>
      </c>
      <c r="C1161" t="str">
        <f t="shared" si="90"/>
        <v/>
      </c>
      <c r="D1161" t="str">
        <f t="shared" si="91"/>
        <v/>
      </c>
      <c r="F1161" t="str">
        <f>IF(Sync!$AH1161="","",IF(LEFT(UPPER(TRIM(Sync!$AH1161)),2)="SL",UPPER(TRIM(Sync!$AH1161)),""))</f>
        <v/>
      </c>
      <c r="G1161" t="str">
        <f>IF($F1161="","",IF(Sync!$AE1161="","",IF(ISNUMBER(Sync!$AE1161),IF(AND(Sync!$AE1161&gt;=10000101,Sync!$AE1161&lt;=99991231),INT(Sync!$AE1161/10000),""),IFERROR(VALUE(TRIM(LEFT(Sync!$AE1161,FIND("/",Sync!$AE1161)-1))),""))))</f>
        <v/>
      </c>
      <c r="H1161" t="str">
        <f>IF(OR($F1161="",$G1161=""),"",IF(ISNUMBER(Sync!$AE1161),INT(MOD(Sync!$AE1161,10000)/100),IFERROR(VALUE(TRIM(LEFT(MID(Sync!$AE1161,FIND("/",Sync!$AE1161)+1,20),FIND("/",MID(Sync!$AE1161,FIND("/",Sync!$AE1161)+1,20))-1))),"")))</f>
        <v/>
      </c>
      <c r="I1161" t="str">
        <f>IF(OR($F1161="",$G1161=""),"",IF(ISNUMBER(Sync!$AE1161),MOD(Sync!$AE1161,100),IFERROR(VALUE(TRIM(MID(MID(Sync!$AE1161,FIND("/",Sync!$AE1161)+1,20),FIND("/",MID(Sync!$AE1161,FIND("/",Sync!$AE1161)+1,20))+1,20))),"")))</f>
        <v/>
      </c>
      <c r="J1161" t="str">
        <f t="shared" si="92"/>
        <v/>
      </c>
      <c r="K1161" t="str">
        <f>IF(OR($F1161="",$J1161="",$J1161="نامعتبر"),"",LEFT($J1161,4)&amp;MID($J1161,6,2)&amp;RIGHT($J1161,2)&amp;$N1161&amp;"|"&amp;"2"&amp;RIGHT("00000"&amp;1156,5))</f>
        <v/>
      </c>
      <c r="L1161" t="str">
        <f t="shared" si="93"/>
        <v/>
      </c>
      <c r="M1161" t="str">
        <f t="shared" si="94"/>
        <v/>
      </c>
      <c r="N1161" t="str">
        <f>IF($F1161="","",IF(Sync!$AF1161="","0000",IF(AND(ISNUMBER(Sync!$AF1161),Sync!$AF1161&gt;=0,Sync!$AF1161&lt;1),RIGHT("00"&amp;HOUR(Sync!$AF1161),2)&amp;RIGHT("00"&amp;MINUTE(Sync!$AF1161),2),IFERROR(RIGHT("00"&amp;VALUE(LEFT(Sync!$AF1161,FIND(":",Sync!$AF1161)-1)),2)&amp;RIGHT("00"&amp;VALUE(MID(Sync!$AF1161,FIND(":",Sync!$AF1161)+1,2)),2),"0000"))))</f>
        <v/>
      </c>
    </row>
    <row r="1162" spans="1:14" x14ac:dyDescent="0.2">
      <c r="A1162" t="str">
        <f>IF(OR(Calc!$E1166="",Calc!$E1166="نامعتبر",Calc!$G1166=""),"",Calc!$G1166)</f>
        <v/>
      </c>
      <c r="B1162" t="str">
        <f>IF($A1162="","",LEFT(Calc!$E1166,4)&amp;MID(Calc!$E1166,6,2)&amp;RIGHT(Calc!$E1166,2)&amp;Calc!$Q1166&amp;"|"&amp;"1"&amp;RIGHT("00000"&amp;1157,5))</f>
        <v/>
      </c>
      <c r="C1162" t="str">
        <f t="shared" si="90"/>
        <v/>
      </c>
      <c r="D1162" t="str">
        <f t="shared" si="91"/>
        <v/>
      </c>
      <c r="F1162" t="str">
        <f>IF(Sync!$AH1162="","",IF(LEFT(UPPER(TRIM(Sync!$AH1162)),2)="SL",UPPER(TRIM(Sync!$AH1162)),""))</f>
        <v/>
      </c>
      <c r="G1162" t="str">
        <f>IF($F1162="","",IF(Sync!$AE1162="","",IF(ISNUMBER(Sync!$AE1162),IF(AND(Sync!$AE1162&gt;=10000101,Sync!$AE1162&lt;=99991231),INT(Sync!$AE1162/10000),""),IFERROR(VALUE(TRIM(LEFT(Sync!$AE1162,FIND("/",Sync!$AE1162)-1))),""))))</f>
        <v/>
      </c>
      <c r="H1162" t="str">
        <f>IF(OR($F1162="",$G1162=""),"",IF(ISNUMBER(Sync!$AE1162),INT(MOD(Sync!$AE1162,10000)/100),IFERROR(VALUE(TRIM(LEFT(MID(Sync!$AE1162,FIND("/",Sync!$AE1162)+1,20),FIND("/",MID(Sync!$AE1162,FIND("/",Sync!$AE1162)+1,20))-1))),"")))</f>
        <v/>
      </c>
      <c r="I1162" t="str">
        <f>IF(OR($F1162="",$G1162=""),"",IF(ISNUMBER(Sync!$AE1162),MOD(Sync!$AE1162,100),IFERROR(VALUE(TRIM(MID(MID(Sync!$AE1162,FIND("/",Sync!$AE1162)+1,20),FIND("/",MID(Sync!$AE1162,FIND("/",Sync!$AE1162)+1,20))+1,20))),"")))</f>
        <v/>
      </c>
      <c r="J1162" t="str">
        <f t="shared" si="92"/>
        <v/>
      </c>
      <c r="K1162" t="str">
        <f>IF(OR($F1162="",$J1162="",$J1162="نامعتبر"),"",LEFT($J1162,4)&amp;MID($J1162,6,2)&amp;RIGHT($J1162,2)&amp;$N1162&amp;"|"&amp;"2"&amp;RIGHT("00000"&amp;1157,5))</f>
        <v/>
      </c>
      <c r="L1162" t="str">
        <f t="shared" si="93"/>
        <v/>
      </c>
      <c r="M1162" t="str">
        <f t="shared" si="94"/>
        <v/>
      </c>
      <c r="N1162" t="str">
        <f>IF($F1162="","",IF(Sync!$AF1162="","0000",IF(AND(ISNUMBER(Sync!$AF1162),Sync!$AF1162&gt;=0,Sync!$AF1162&lt;1),RIGHT("00"&amp;HOUR(Sync!$AF1162),2)&amp;RIGHT("00"&amp;MINUTE(Sync!$AF1162),2),IFERROR(RIGHT("00"&amp;VALUE(LEFT(Sync!$AF1162,FIND(":",Sync!$AF1162)-1)),2)&amp;RIGHT("00"&amp;VALUE(MID(Sync!$AF1162,FIND(":",Sync!$AF1162)+1,2)),2),"0000"))))</f>
        <v/>
      </c>
    </row>
    <row r="1163" spans="1:14" x14ac:dyDescent="0.2">
      <c r="A1163" t="str">
        <f>IF(OR(Calc!$E1167="",Calc!$E1167="نامعتبر",Calc!$G1167=""),"",Calc!$G1167)</f>
        <v/>
      </c>
      <c r="B1163" t="str">
        <f>IF($A1163="","",LEFT(Calc!$E1167,4)&amp;MID(Calc!$E1167,6,2)&amp;RIGHT(Calc!$E1167,2)&amp;Calc!$Q1167&amp;"|"&amp;"1"&amp;RIGHT("00000"&amp;1158,5))</f>
        <v/>
      </c>
      <c r="C1163" t="str">
        <f t="shared" si="90"/>
        <v/>
      </c>
      <c r="D1163" t="str">
        <f t="shared" si="91"/>
        <v/>
      </c>
      <c r="F1163" t="str">
        <f>IF(Sync!$AH1163="","",IF(LEFT(UPPER(TRIM(Sync!$AH1163)),2)="SL",UPPER(TRIM(Sync!$AH1163)),""))</f>
        <v/>
      </c>
      <c r="G1163" t="str">
        <f>IF($F1163="","",IF(Sync!$AE1163="","",IF(ISNUMBER(Sync!$AE1163),IF(AND(Sync!$AE1163&gt;=10000101,Sync!$AE1163&lt;=99991231),INT(Sync!$AE1163/10000),""),IFERROR(VALUE(TRIM(LEFT(Sync!$AE1163,FIND("/",Sync!$AE1163)-1))),""))))</f>
        <v/>
      </c>
      <c r="H1163" t="str">
        <f>IF(OR($F1163="",$G1163=""),"",IF(ISNUMBER(Sync!$AE1163),INT(MOD(Sync!$AE1163,10000)/100),IFERROR(VALUE(TRIM(LEFT(MID(Sync!$AE1163,FIND("/",Sync!$AE1163)+1,20),FIND("/",MID(Sync!$AE1163,FIND("/",Sync!$AE1163)+1,20))-1))),"")))</f>
        <v/>
      </c>
      <c r="I1163" t="str">
        <f>IF(OR($F1163="",$G1163=""),"",IF(ISNUMBER(Sync!$AE1163),MOD(Sync!$AE1163,100),IFERROR(VALUE(TRIM(MID(MID(Sync!$AE1163,FIND("/",Sync!$AE1163)+1,20),FIND("/",MID(Sync!$AE1163,FIND("/",Sync!$AE1163)+1,20))+1,20))),"")))</f>
        <v/>
      </c>
      <c r="J1163" t="str">
        <f t="shared" si="92"/>
        <v/>
      </c>
      <c r="K1163" t="str">
        <f>IF(OR($F1163="",$J1163="",$J1163="نامعتبر"),"",LEFT($J1163,4)&amp;MID($J1163,6,2)&amp;RIGHT($J1163,2)&amp;$N1163&amp;"|"&amp;"2"&amp;RIGHT("00000"&amp;1158,5))</f>
        <v/>
      </c>
      <c r="L1163" t="str">
        <f t="shared" si="93"/>
        <v/>
      </c>
      <c r="M1163" t="str">
        <f t="shared" si="94"/>
        <v/>
      </c>
      <c r="N1163" t="str">
        <f>IF($F1163="","",IF(Sync!$AF1163="","0000",IF(AND(ISNUMBER(Sync!$AF1163),Sync!$AF1163&gt;=0,Sync!$AF1163&lt;1),RIGHT("00"&amp;HOUR(Sync!$AF1163),2)&amp;RIGHT("00"&amp;MINUTE(Sync!$AF1163),2),IFERROR(RIGHT("00"&amp;VALUE(LEFT(Sync!$AF1163,FIND(":",Sync!$AF1163)-1)),2)&amp;RIGHT("00"&amp;VALUE(MID(Sync!$AF1163,FIND(":",Sync!$AF1163)+1,2)),2),"0000"))))</f>
        <v/>
      </c>
    </row>
    <row r="1164" spans="1:14" x14ac:dyDescent="0.2">
      <c r="A1164" t="str">
        <f>IF(OR(Calc!$E1168="",Calc!$E1168="نامعتبر",Calc!$G1168=""),"",Calc!$G1168)</f>
        <v/>
      </c>
      <c r="B1164" t="str">
        <f>IF($A1164="","",LEFT(Calc!$E1168,4)&amp;MID(Calc!$E1168,6,2)&amp;RIGHT(Calc!$E1168,2)&amp;Calc!$Q1168&amp;"|"&amp;"1"&amp;RIGHT("00000"&amp;1159,5))</f>
        <v/>
      </c>
      <c r="C1164" t="str">
        <f t="shared" si="90"/>
        <v/>
      </c>
      <c r="D1164" t="str">
        <f t="shared" si="91"/>
        <v/>
      </c>
      <c r="F1164" t="str">
        <f>IF(Sync!$AH1164="","",IF(LEFT(UPPER(TRIM(Sync!$AH1164)),2)="SL",UPPER(TRIM(Sync!$AH1164)),""))</f>
        <v/>
      </c>
      <c r="G1164" t="str">
        <f>IF($F1164="","",IF(Sync!$AE1164="","",IF(ISNUMBER(Sync!$AE1164),IF(AND(Sync!$AE1164&gt;=10000101,Sync!$AE1164&lt;=99991231),INT(Sync!$AE1164/10000),""),IFERROR(VALUE(TRIM(LEFT(Sync!$AE1164,FIND("/",Sync!$AE1164)-1))),""))))</f>
        <v/>
      </c>
      <c r="H1164" t="str">
        <f>IF(OR($F1164="",$G1164=""),"",IF(ISNUMBER(Sync!$AE1164),INT(MOD(Sync!$AE1164,10000)/100),IFERROR(VALUE(TRIM(LEFT(MID(Sync!$AE1164,FIND("/",Sync!$AE1164)+1,20),FIND("/",MID(Sync!$AE1164,FIND("/",Sync!$AE1164)+1,20))-1))),"")))</f>
        <v/>
      </c>
      <c r="I1164" t="str">
        <f>IF(OR($F1164="",$G1164=""),"",IF(ISNUMBER(Sync!$AE1164),MOD(Sync!$AE1164,100),IFERROR(VALUE(TRIM(MID(MID(Sync!$AE1164,FIND("/",Sync!$AE1164)+1,20),FIND("/",MID(Sync!$AE1164,FIND("/",Sync!$AE1164)+1,20))+1,20))),"")))</f>
        <v/>
      </c>
      <c r="J1164" t="str">
        <f t="shared" si="92"/>
        <v/>
      </c>
      <c r="K1164" t="str">
        <f>IF(OR($F1164="",$J1164="",$J1164="نامعتبر"),"",LEFT($J1164,4)&amp;MID($J1164,6,2)&amp;RIGHT($J1164,2)&amp;$N1164&amp;"|"&amp;"2"&amp;RIGHT("00000"&amp;1159,5))</f>
        <v/>
      </c>
      <c r="L1164" t="str">
        <f t="shared" si="93"/>
        <v/>
      </c>
      <c r="M1164" t="str">
        <f t="shared" si="94"/>
        <v/>
      </c>
      <c r="N1164" t="str">
        <f>IF($F1164="","",IF(Sync!$AF1164="","0000",IF(AND(ISNUMBER(Sync!$AF1164),Sync!$AF1164&gt;=0,Sync!$AF1164&lt;1),RIGHT("00"&amp;HOUR(Sync!$AF1164),2)&amp;RIGHT("00"&amp;MINUTE(Sync!$AF1164),2),IFERROR(RIGHT("00"&amp;VALUE(LEFT(Sync!$AF1164,FIND(":",Sync!$AF1164)-1)),2)&amp;RIGHT("00"&amp;VALUE(MID(Sync!$AF1164,FIND(":",Sync!$AF1164)+1,2)),2),"0000"))))</f>
        <v/>
      </c>
    </row>
    <row r="1165" spans="1:14" x14ac:dyDescent="0.2">
      <c r="A1165" t="str">
        <f>IF(OR(Calc!$E1169="",Calc!$E1169="نامعتبر",Calc!$G1169=""),"",Calc!$G1169)</f>
        <v/>
      </c>
      <c r="B1165" t="str">
        <f>IF($A1165="","",LEFT(Calc!$E1169,4)&amp;MID(Calc!$E1169,6,2)&amp;RIGHT(Calc!$E1169,2)&amp;Calc!$Q1169&amp;"|"&amp;"1"&amp;RIGHT("00000"&amp;1160,5))</f>
        <v/>
      </c>
      <c r="C1165" t="str">
        <f t="shared" si="90"/>
        <v/>
      </c>
      <c r="D1165" t="str">
        <f t="shared" si="91"/>
        <v/>
      </c>
      <c r="F1165" t="str">
        <f>IF(Sync!$AH1165="","",IF(LEFT(UPPER(TRIM(Sync!$AH1165)),2)="SL",UPPER(TRIM(Sync!$AH1165)),""))</f>
        <v/>
      </c>
      <c r="G1165" t="str">
        <f>IF($F1165="","",IF(Sync!$AE1165="","",IF(ISNUMBER(Sync!$AE1165),IF(AND(Sync!$AE1165&gt;=10000101,Sync!$AE1165&lt;=99991231),INT(Sync!$AE1165/10000),""),IFERROR(VALUE(TRIM(LEFT(Sync!$AE1165,FIND("/",Sync!$AE1165)-1))),""))))</f>
        <v/>
      </c>
      <c r="H1165" t="str">
        <f>IF(OR($F1165="",$G1165=""),"",IF(ISNUMBER(Sync!$AE1165),INT(MOD(Sync!$AE1165,10000)/100),IFERROR(VALUE(TRIM(LEFT(MID(Sync!$AE1165,FIND("/",Sync!$AE1165)+1,20),FIND("/",MID(Sync!$AE1165,FIND("/",Sync!$AE1165)+1,20))-1))),"")))</f>
        <v/>
      </c>
      <c r="I1165" t="str">
        <f>IF(OR($F1165="",$G1165=""),"",IF(ISNUMBER(Sync!$AE1165),MOD(Sync!$AE1165,100),IFERROR(VALUE(TRIM(MID(MID(Sync!$AE1165,FIND("/",Sync!$AE1165)+1,20),FIND("/",MID(Sync!$AE1165,FIND("/",Sync!$AE1165)+1,20))+1,20))),"")))</f>
        <v/>
      </c>
      <c r="J1165" t="str">
        <f t="shared" si="92"/>
        <v/>
      </c>
      <c r="K1165" t="str">
        <f>IF(OR($F1165="",$J1165="",$J1165="نامعتبر"),"",LEFT($J1165,4)&amp;MID($J1165,6,2)&amp;RIGHT($J1165,2)&amp;$N1165&amp;"|"&amp;"2"&amp;RIGHT("00000"&amp;1160,5))</f>
        <v/>
      </c>
      <c r="L1165" t="str">
        <f t="shared" si="93"/>
        <v/>
      </c>
      <c r="M1165" t="str">
        <f t="shared" si="94"/>
        <v/>
      </c>
      <c r="N1165" t="str">
        <f>IF($F1165="","",IF(Sync!$AF1165="","0000",IF(AND(ISNUMBER(Sync!$AF1165),Sync!$AF1165&gt;=0,Sync!$AF1165&lt;1),RIGHT("00"&amp;HOUR(Sync!$AF1165),2)&amp;RIGHT("00"&amp;MINUTE(Sync!$AF1165),2),IFERROR(RIGHT("00"&amp;VALUE(LEFT(Sync!$AF1165,FIND(":",Sync!$AF1165)-1)),2)&amp;RIGHT("00"&amp;VALUE(MID(Sync!$AF1165,FIND(":",Sync!$AF1165)+1,2)),2),"0000"))))</f>
        <v/>
      </c>
    </row>
    <row r="1166" spans="1:14" x14ac:dyDescent="0.2">
      <c r="A1166" t="str">
        <f>IF(OR(Calc!$E1170="",Calc!$E1170="نامعتبر",Calc!$G1170=""),"",Calc!$G1170)</f>
        <v/>
      </c>
      <c r="B1166" t="str">
        <f>IF($A1166="","",LEFT(Calc!$E1170,4)&amp;MID(Calc!$E1170,6,2)&amp;RIGHT(Calc!$E1170,2)&amp;Calc!$Q1170&amp;"|"&amp;"1"&amp;RIGHT("00000"&amp;1161,5))</f>
        <v/>
      </c>
      <c r="C1166" t="str">
        <f t="shared" si="90"/>
        <v/>
      </c>
      <c r="D1166" t="str">
        <f t="shared" si="91"/>
        <v/>
      </c>
      <c r="F1166" t="str">
        <f>IF(Sync!$AH1166="","",IF(LEFT(UPPER(TRIM(Sync!$AH1166)),2)="SL",UPPER(TRIM(Sync!$AH1166)),""))</f>
        <v/>
      </c>
      <c r="G1166" t="str">
        <f>IF($F1166="","",IF(Sync!$AE1166="","",IF(ISNUMBER(Sync!$AE1166),IF(AND(Sync!$AE1166&gt;=10000101,Sync!$AE1166&lt;=99991231),INT(Sync!$AE1166/10000),""),IFERROR(VALUE(TRIM(LEFT(Sync!$AE1166,FIND("/",Sync!$AE1166)-1))),""))))</f>
        <v/>
      </c>
      <c r="H1166" t="str">
        <f>IF(OR($F1166="",$G1166=""),"",IF(ISNUMBER(Sync!$AE1166),INT(MOD(Sync!$AE1166,10000)/100),IFERROR(VALUE(TRIM(LEFT(MID(Sync!$AE1166,FIND("/",Sync!$AE1166)+1,20),FIND("/",MID(Sync!$AE1166,FIND("/",Sync!$AE1166)+1,20))-1))),"")))</f>
        <v/>
      </c>
      <c r="I1166" t="str">
        <f>IF(OR($F1166="",$G1166=""),"",IF(ISNUMBER(Sync!$AE1166),MOD(Sync!$AE1166,100),IFERROR(VALUE(TRIM(MID(MID(Sync!$AE1166,FIND("/",Sync!$AE1166)+1,20),FIND("/",MID(Sync!$AE1166,FIND("/",Sync!$AE1166)+1,20))+1,20))),"")))</f>
        <v/>
      </c>
      <c r="J1166" t="str">
        <f t="shared" si="92"/>
        <v/>
      </c>
      <c r="K1166" t="str">
        <f>IF(OR($F1166="",$J1166="",$J1166="نامعتبر"),"",LEFT($J1166,4)&amp;MID($J1166,6,2)&amp;RIGHT($J1166,2)&amp;$N1166&amp;"|"&amp;"2"&amp;RIGHT("00000"&amp;1161,5))</f>
        <v/>
      </c>
      <c r="L1166" t="str">
        <f t="shared" si="93"/>
        <v/>
      </c>
      <c r="M1166" t="str">
        <f t="shared" si="94"/>
        <v/>
      </c>
      <c r="N1166" t="str">
        <f>IF($F1166="","",IF(Sync!$AF1166="","0000",IF(AND(ISNUMBER(Sync!$AF1166),Sync!$AF1166&gt;=0,Sync!$AF1166&lt;1),RIGHT("00"&amp;HOUR(Sync!$AF1166),2)&amp;RIGHT("00"&amp;MINUTE(Sync!$AF1166),2),IFERROR(RIGHT("00"&amp;VALUE(LEFT(Sync!$AF1166,FIND(":",Sync!$AF1166)-1)),2)&amp;RIGHT("00"&amp;VALUE(MID(Sync!$AF1166,FIND(":",Sync!$AF1166)+1,2)),2),"0000"))))</f>
        <v/>
      </c>
    </row>
    <row r="1167" spans="1:14" x14ac:dyDescent="0.2">
      <c r="A1167" t="str">
        <f>IF(OR(Calc!$E1171="",Calc!$E1171="نامعتبر",Calc!$G1171=""),"",Calc!$G1171)</f>
        <v/>
      </c>
      <c r="B1167" t="str">
        <f>IF($A1167="","",LEFT(Calc!$E1171,4)&amp;MID(Calc!$E1171,6,2)&amp;RIGHT(Calc!$E1171,2)&amp;Calc!$Q1171&amp;"|"&amp;"1"&amp;RIGHT("00000"&amp;1162,5))</f>
        <v/>
      </c>
      <c r="C1167" t="str">
        <f t="shared" si="90"/>
        <v/>
      </c>
      <c r="D1167" t="str">
        <f t="shared" si="91"/>
        <v/>
      </c>
      <c r="F1167" t="str">
        <f>IF(Sync!$AH1167="","",IF(LEFT(UPPER(TRIM(Sync!$AH1167)),2)="SL",UPPER(TRIM(Sync!$AH1167)),""))</f>
        <v/>
      </c>
      <c r="G1167" t="str">
        <f>IF($F1167="","",IF(Sync!$AE1167="","",IF(ISNUMBER(Sync!$AE1167),IF(AND(Sync!$AE1167&gt;=10000101,Sync!$AE1167&lt;=99991231),INT(Sync!$AE1167/10000),""),IFERROR(VALUE(TRIM(LEFT(Sync!$AE1167,FIND("/",Sync!$AE1167)-1))),""))))</f>
        <v/>
      </c>
      <c r="H1167" t="str">
        <f>IF(OR($F1167="",$G1167=""),"",IF(ISNUMBER(Sync!$AE1167),INT(MOD(Sync!$AE1167,10000)/100),IFERROR(VALUE(TRIM(LEFT(MID(Sync!$AE1167,FIND("/",Sync!$AE1167)+1,20),FIND("/",MID(Sync!$AE1167,FIND("/",Sync!$AE1167)+1,20))-1))),"")))</f>
        <v/>
      </c>
      <c r="I1167" t="str">
        <f>IF(OR($F1167="",$G1167=""),"",IF(ISNUMBER(Sync!$AE1167),MOD(Sync!$AE1167,100),IFERROR(VALUE(TRIM(MID(MID(Sync!$AE1167,FIND("/",Sync!$AE1167)+1,20),FIND("/",MID(Sync!$AE1167,FIND("/",Sync!$AE1167)+1,20))+1,20))),"")))</f>
        <v/>
      </c>
      <c r="J1167" t="str">
        <f t="shared" si="92"/>
        <v/>
      </c>
      <c r="K1167" t="str">
        <f>IF(OR($F1167="",$J1167="",$J1167="نامعتبر"),"",LEFT($J1167,4)&amp;MID($J1167,6,2)&amp;RIGHT($J1167,2)&amp;$N1167&amp;"|"&amp;"2"&amp;RIGHT("00000"&amp;1162,5))</f>
        <v/>
      </c>
      <c r="L1167" t="str">
        <f t="shared" si="93"/>
        <v/>
      </c>
      <c r="M1167" t="str">
        <f t="shared" si="94"/>
        <v/>
      </c>
      <c r="N1167" t="str">
        <f>IF($F1167="","",IF(Sync!$AF1167="","0000",IF(AND(ISNUMBER(Sync!$AF1167),Sync!$AF1167&gt;=0,Sync!$AF1167&lt;1),RIGHT("00"&amp;HOUR(Sync!$AF1167),2)&amp;RIGHT("00"&amp;MINUTE(Sync!$AF1167),2),IFERROR(RIGHT("00"&amp;VALUE(LEFT(Sync!$AF1167,FIND(":",Sync!$AF1167)-1)),2)&amp;RIGHT("00"&amp;VALUE(MID(Sync!$AF1167,FIND(":",Sync!$AF1167)+1,2)),2),"0000"))))</f>
        <v/>
      </c>
    </row>
    <row r="1168" spans="1:14" x14ac:dyDescent="0.2">
      <c r="A1168" t="str">
        <f>IF(OR(Calc!$E1172="",Calc!$E1172="نامعتبر",Calc!$G1172=""),"",Calc!$G1172)</f>
        <v/>
      </c>
      <c r="B1168" t="str">
        <f>IF($A1168="","",LEFT(Calc!$E1172,4)&amp;MID(Calc!$E1172,6,2)&amp;RIGHT(Calc!$E1172,2)&amp;Calc!$Q1172&amp;"|"&amp;"1"&amp;RIGHT("00000"&amp;1163,5))</f>
        <v/>
      </c>
      <c r="C1168" t="str">
        <f t="shared" si="90"/>
        <v/>
      </c>
      <c r="D1168" t="str">
        <f t="shared" si="91"/>
        <v/>
      </c>
      <c r="F1168" t="str">
        <f>IF(Sync!$AH1168="","",IF(LEFT(UPPER(TRIM(Sync!$AH1168)),2)="SL",UPPER(TRIM(Sync!$AH1168)),""))</f>
        <v/>
      </c>
      <c r="G1168" t="str">
        <f>IF($F1168="","",IF(Sync!$AE1168="","",IF(ISNUMBER(Sync!$AE1168),IF(AND(Sync!$AE1168&gt;=10000101,Sync!$AE1168&lt;=99991231),INT(Sync!$AE1168/10000),""),IFERROR(VALUE(TRIM(LEFT(Sync!$AE1168,FIND("/",Sync!$AE1168)-1))),""))))</f>
        <v/>
      </c>
      <c r="H1168" t="str">
        <f>IF(OR($F1168="",$G1168=""),"",IF(ISNUMBER(Sync!$AE1168),INT(MOD(Sync!$AE1168,10000)/100),IFERROR(VALUE(TRIM(LEFT(MID(Sync!$AE1168,FIND("/",Sync!$AE1168)+1,20),FIND("/",MID(Sync!$AE1168,FIND("/",Sync!$AE1168)+1,20))-1))),"")))</f>
        <v/>
      </c>
      <c r="I1168" t="str">
        <f>IF(OR($F1168="",$G1168=""),"",IF(ISNUMBER(Sync!$AE1168),MOD(Sync!$AE1168,100),IFERROR(VALUE(TRIM(MID(MID(Sync!$AE1168,FIND("/",Sync!$AE1168)+1,20),FIND("/",MID(Sync!$AE1168,FIND("/",Sync!$AE1168)+1,20))+1,20))),"")))</f>
        <v/>
      </c>
      <c r="J1168" t="str">
        <f t="shared" si="92"/>
        <v/>
      </c>
      <c r="K1168" t="str">
        <f>IF(OR($F1168="",$J1168="",$J1168="نامعتبر"),"",LEFT($J1168,4)&amp;MID($J1168,6,2)&amp;RIGHT($J1168,2)&amp;$N1168&amp;"|"&amp;"2"&amp;RIGHT("00000"&amp;1163,5))</f>
        <v/>
      </c>
      <c r="L1168" t="str">
        <f t="shared" si="93"/>
        <v/>
      </c>
      <c r="M1168" t="str">
        <f t="shared" si="94"/>
        <v/>
      </c>
      <c r="N1168" t="str">
        <f>IF($F1168="","",IF(Sync!$AF1168="","0000",IF(AND(ISNUMBER(Sync!$AF1168),Sync!$AF1168&gt;=0,Sync!$AF1168&lt;1),RIGHT("00"&amp;HOUR(Sync!$AF1168),2)&amp;RIGHT("00"&amp;MINUTE(Sync!$AF1168),2),IFERROR(RIGHT("00"&amp;VALUE(LEFT(Sync!$AF1168,FIND(":",Sync!$AF1168)-1)),2)&amp;RIGHT("00"&amp;VALUE(MID(Sync!$AF1168,FIND(":",Sync!$AF1168)+1,2)),2),"0000"))))</f>
        <v/>
      </c>
    </row>
    <row r="1169" spans="1:14" x14ac:dyDescent="0.2">
      <c r="A1169" t="str">
        <f>IF(OR(Calc!$E1173="",Calc!$E1173="نامعتبر",Calc!$G1173=""),"",Calc!$G1173)</f>
        <v/>
      </c>
      <c r="B1169" t="str">
        <f>IF($A1169="","",LEFT(Calc!$E1173,4)&amp;MID(Calc!$E1173,6,2)&amp;RIGHT(Calc!$E1173,2)&amp;Calc!$Q1173&amp;"|"&amp;"1"&amp;RIGHT("00000"&amp;1164,5))</f>
        <v/>
      </c>
      <c r="C1169" t="str">
        <f t="shared" si="90"/>
        <v/>
      </c>
      <c r="D1169" t="str">
        <f t="shared" si="91"/>
        <v/>
      </c>
      <c r="F1169" t="str">
        <f>IF(Sync!$AH1169="","",IF(LEFT(UPPER(TRIM(Sync!$AH1169)),2)="SL",UPPER(TRIM(Sync!$AH1169)),""))</f>
        <v/>
      </c>
      <c r="G1169" t="str">
        <f>IF($F1169="","",IF(Sync!$AE1169="","",IF(ISNUMBER(Sync!$AE1169),IF(AND(Sync!$AE1169&gt;=10000101,Sync!$AE1169&lt;=99991231),INT(Sync!$AE1169/10000),""),IFERROR(VALUE(TRIM(LEFT(Sync!$AE1169,FIND("/",Sync!$AE1169)-1))),""))))</f>
        <v/>
      </c>
      <c r="H1169" t="str">
        <f>IF(OR($F1169="",$G1169=""),"",IF(ISNUMBER(Sync!$AE1169),INT(MOD(Sync!$AE1169,10000)/100),IFERROR(VALUE(TRIM(LEFT(MID(Sync!$AE1169,FIND("/",Sync!$AE1169)+1,20),FIND("/",MID(Sync!$AE1169,FIND("/",Sync!$AE1169)+1,20))-1))),"")))</f>
        <v/>
      </c>
      <c r="I1169" t="str">
        <f>IF(OR($F1169="",$G1169=""),"",IF(ISNUMBER(Sync!$AE1169),MOD(Sync!$AE1169,100),IFERROR(VALUE(TRIM(MID(MID(Sync!$AE1169,FIND("/",Sync!$AE1169)+1,20),FIND("/",MID(Sync!$AE1169,FIND("/",Sync!$AE1169)+1,20))+1,20))),"")))</f>
        <v/>
      </c>
      <c r="J1169" t="str">
        <f t="shared" si="92"/>
        <v/>
      </c>
      <c r="K1169" t="str">
        <f>IF(OR($F1169="",$J1169="",$J1169="نامعتبر"),"",LEFT($J1169,4)&amp;MID($J1169,6,2)&amp;RIGHT($J1169,2)&amp;$N1169&amp;"|"&amp;"2"&amp;RIGHT("00000"&amp;1164,5))</f>
        <v/>
      </c>
      <c r="L1169" t="str">
        <f t="shared" si="93"/>
        <v/>
      </c>
      <c r="M1169" t="str">
        <f t="shared" si="94"/>
        <v/>
      </c>
      <c r="N1169" t="str">
        <f>IF($F1169="","",IF(Sync!$AF1169="","0000",IF(AND(ISNUMBER(Sync!$AF1169),Sync!$AF1169&gt;=0,Sync!$AF1169&lt;1),RIGHT("00"&amp;HOUR(Sync!$AF1169),2)&amp;RIGHT("00"&amp;MINUTE(Sync!$AF1169),2),IFERROR(RIGHT("00"&amp;VALUE(LEFT(Sync!$AF1169,FIND(":",Sync!$AF1169)-1)),2)&amp;RIGHT("00"&amp;VALUE(MID(Sync!$AF1169,FIND(":",Sync!$AF1169)+1,2)),2),"0000"))))</f>
        <v/>
      </c>
    </row>
    <row r="1170" spans="1:14" x14ac:dyDescent="0.2">
      <c r="A1170" t="str">
        <f>IF(OR(Calc!$E1174="",Calc!$E1174="نامعتبر",Calc!$G1174=""),"",Calc!$G1174)</f>
        <v/>
      </c>
      <c r="B1170" t="str">
        <f>IF($A1170="","",LEFT(Calc!$E1174,4)&amp;MID(Calc!$E1174,6,2)&amp;RIGHT(Calc!$E1174,2)&amp;Calc!$Q1174&amp;"|"&amp;"1"&amp;RIGHT("00000"&amp;1165,5))</f>
        <v/>
      </c>
      <c r="C1170" t="str">
        <f t="shared" si="90"/>
        <v/>
      </c>
      <c r="D1170" t="str">
        <f t="shared" si="91"/>
        <v/>
      </c>
      <c r="F1170" t="str">
        <f>IF(Sync!$AH1170="","",IF(LEFT(UPPER(TRIM(Sync!$AH1170)),2)="SL",UPPER(TRIM(Sync!$AH1170)),""))</f>
        <v/>
      </c>
      <c r="G1170" t="str">
        <f>IF($F1170="","",IF(Sync!$AE1170="","",IF(ISNUMBER(Sync!$AE1170),IF(AND(Sync!$AE1170&gt;=10000101,Sync!$AE1170&lt;=99991231),INT(Sync!$AE1170/10000),""),IFERROR(VALUE(TRIM(LEFT(Sync!$AE1170,FIND("/",Sync!$AE1170)-1))),""))))</f>
        <v/>
      </c>
      <c r="H1170" t="str">
        <f>IF(OR($F1170="",$G1170=""),"",IF(ISNUMBER(Sync!$AE1170),INT(MOD(Sync!$AE1170,10000)/100),IFERROR(VALUE(TRIM(LEFT(MID(Sync!$AE1170,FIND("/",Sync!$AE1170)+1,20),FIND("/",MID(Sync!$AE1170,FIND("/",Sync!$AE1170)+1,20))-1))),"")))</f>
        <v/>
      </c>
      <c r="I1170" t="str">
        <f>IF(OR($F1170="",$G1170=""),"",IF(ISNUMBER(Sync!$AE1170),MOD(Sync!$AE1170,100),IFERROR(VALUE(TRIM(MID(MID(Sync!$AE1170,FIND("/",Sync!$AE1170)+1,20),FIND("/",MID(Sync!$AE1170,FIND("/",Sync!$AE1170)+1,20))+1,20))),"")))</f>
        <v/>
      </c>
      <c r="J1170" t="str">
        <f t="shared" si="92"/>
        <v/>
      </c>
      <c r="K1170" t="str">
        <f>IF(OR($F1170="",$J1170="",$J1170="نامعتبر"),"",LEFT($J1170,4)&amp;MID($J1170,6,2)&amp;RIGHT($J1170,2)&amp;$N1170&amp;"|"&amp;"2"&amp;RIGHT("00000"&amp;1165,5))</f>
        <v/>
      </c>
      <c r="L1170" t="str">
        <f t="shared" si="93"/>
        <v/>
      </c>
      <c r="M1170" t="str">
        <f t="shared" si="94"/>
        <v/>
      </c>
      <c r="N1170" t="str">
        <f>IF($F1170="","",IF(Sync!$AF1170="","0000",IF(AND(ISNUMBER(Sync!$AF1170),Sync!$AF1170&gt;=0,Sync!$AF1170&lt;1),RIGHT("00"&amp;HOUR(Sync!$AF1170),2)&amp;RIGHT("00"&amp;MINUTE(Sync!$AF1170),2),IFERROR(RIGHT("00"&amp;VALUE(LEFT(Sync!$AF1170,FIND(":",Sync!$AF1170)-1)),2)&amp;RIGHT("00"&amp;VALUE(MID(Sync!$AF1170,FIND(":",Sync!$AF1170)+1,2)),2),"0000"))))</f>
        <v/>
      </c>
    </row>
    <row r="1171" spans="1:14" x14ac:dyDescent="0.2">
      <c r="A1171" t="str">
        <f>IF(OR(Calc!$E1175="",Calc!$E1175="نامعتبر",Calc!$G1175=""),"",Calc!$G1175)</f>
        <v/>
      </c>
      <c r="B1171" t="str">
        <f>IF($A1171="","",LEFT(Calc!$E1175,4)&amp;MID(Calc!$E1175,6,2)&amp;RIGHT(Calc!$E1175,2)&amp;Calc!$Q1175&amp;"|"&amp;"1"&amp;RIGHT("00000"&amp;1166,5))</f>
        <v/>
      </c>
      <c r="C1171" t="str">
        <f t="shared" si="90"/>
        <v/>
      </c>
      <c r="D1171" t="str">
        <f t="shared" si="91"/>
        <v/>
      </c>
      <c r="F1171" t="str">
        <f>IF(Sync!$AH1171="","",IF(LEFT(UPPER(TRIM(Sync!$AH1171)),2)="SL",UPPER(TRIM(Sync!$AH1171)),""))</f>
        <v/>
      </c>
      <c r="G1171" t="str">
        <f>IF($F1171="","",IF(Sync!$AE1171="","",IF(ISNUMBER(Sync!$AE1171),IF(AND(Sync!$AE1171&gt;=10000101,Sync!$AE1171&lt;=99991231),INT(Sync!$AE1171/10000),""),IFERROR(VALUE(TRIM(LEFT(Sync!$AE1171,FIND("/",Sync!$AE1171)-1))),""))))</f>
        <v/>
      </c>
      <c r="H1171" t="str">
        <f>IF(OR($F1171="",$G1171=""),"",IF(ISNUMBER(Sync!$AE1171),INT(MOD(Sync!$AE1171,10000)/100),IFERROR(VALUE(TRIM(LEFT(MID(Sync!$AE1171,FIND("/",Sync!$AE1171)+1,20),FIND("/",MID(Sync!$AE1171,FIND("/",Sync!$AE1171)+1,20))-1))),"")))</f>
        <v/>
      </c>
      <c r="I1171" t="str">
        <f>IF(OR($F1171="",$G1171=""),"",IF(ISNUMBER(Sync!$AE1171),MOD(Sync!$AE1171,100),IFERROR(VALUE(TRIM(MID(MID(Sync!$AE1171,FIND("/",Sync!$AE1171)+1,20),FIND("/",MID(Sync!$AE1171,FIND("/",Sync!$AE1171)+1,20))+1,20))),"")))</f>
        <v/>
      </c>
      <c r="J1171" t="str">
        <f t="shared" si="92"/>
        <v/>
      </c>
      <c r="K1171" t="str">
        <f>IF(OR($F1171="",$J1171="",$J1171="نامعتبر"),"",LEFT($J1171,4)&amp;MID($J1171,6,2)&amp;RIGHT($J1171,2)&amp;$N1171&amp;"|"&amp;"2"&amp;RIGHT("00000"&amp;1166,5))</f>
        <v/>
      </c>
      <c r="L1171" t="str">
        <f t="shared" si="93"/>
        <v/>
      </c>
      <c r="M1171" t="str">
        <f t="shared" si="94"/>
        <v/>
      </c>
      <c r="N1171" t="str">
        <f>IF($F1171="","",IF(Sync!$AF1171="","0000",IF(AND(ISNUMBER(Sync!$AF1171),Sync!$AF1171&gt;=0,Sync!$AF1171&lt;1),RIGHT("00"&amp;HOUR(Sync!$AF1171),2)&amp;RIGHT("00"&amp;MINUTE(Sync!$AF1171),2),IFERROR(RIGHT("00"&amp;VALUE(LEFT(Sync!$AF1171,FIND(":",Sync!$AF1171)-1)),2)&amp;RIGHT("00"&amp;VALUE(MID(Sync!$AF1171,FIND(":",Sync!$AF1171)+1,2)),2),"0000"))))</f>
        <v/>
      </c>
    </row>
    <row r="1172" spans="1:14" x14ac:dyDescent="0.2">
      <c r="A1172" t="str">
        <f>IF(OR(Calc!$E1176="",Calc!$E1176="نامعتبر",Calc!$G1176=""),"",Calc!$G1176)</f>
        <v/>
      </c>
      <c r="B1172" t="str">
        <f>IF($A1172="","",LEFT(Calc!$E1176,4)&amp;MID(Calc!$E1176,6,2)&amp;RIGHT(Calc!$E1176,2)&amp;Calc!$Q1176&amp;"|"&amp;"1"&amp;RIGHT("00000"&amp;1167,5))</f>
        <v/>
      </c>
      <c r="C1172" t="str">
        <f t="shared" si="90"/>
        <v/>
      </c>
      <c r="D1172" t="str">
        <f t="shared" si="91"/>
        <v/>
      </c>
      <c r="F1172" t="str">
        <f>IF(Sync!$AH1172="","",IF(LEFT(UPPER(TRIM(Sync!$AH1172)),2)="SL",UPPER(TRIM(Sync!$AH1172)),""))</f>
        <v/>
      </c>
      <c r="G1172" t="str">
        <f>IF($F1172="","",IF(Sync!$AE1172="","",IF(ISNUMBER(Sync!$AE1172),IF(AND(Sync!$AE1172&gt;=10000101,Sync!$AE1172&lt;=99991231),INT(Sync!$AE1172/10000),""),IFERROR(VALUE(TRIM(LEFT(Sync!$AE1172,FIND("/",Sync!$AE1172)-1))),""))))</f>
        <v/>
      </c>
      <c r="H1172" t="str">
        <f>IF(OR($F1172="",$G1172=""),"",IF(ISNUMBER(Sync!$AE1172),INT(MOD(Sync!$AE1172,10000)/100),IFERROR(VALUE(TRIM(LEFT(MID(Sync!$AE1172,FIND("/",Sync!$AE1172)+1,20),FIND("/",MID(Sync!$AE1172,FIND("/",Sync!$AE1172)+1,20))-1))),"")))</f>
        <v/>
      </c>
      <c r="I1172" t="str">
        <f>IF(OR($F1172="",$G1172=""),"",IF(ISNUMBER(Sync!$AE1172),MOD(Sync!$AE1172,100),IFERROR(VALUE(TRIM(MID(MID(Sync!$AE1172,FIND("/",Sync!$AE1172)+1,20),FIND("/",MID(Sync!$AE1172,FIND("/",Sync!$AE1172)+1,20))+1,20))),"")))</f>
        <v/>
      </c>
      <c r="J1172" t="str">
        <f t="shared" si="92"/>
        <v/>
      </c>
      <c r="K1172" t="str">
        <f>IF(OR($F1172="",$J1172="",$J1172="نامعتبر"),"",LEFT($J1172,4)&amp;MID($J1172,6,2)&amp;RIGHT($J1172,2)&amp;$N1172&amp;"|"&amp;"2"&amp;RIGHT("00000"&amp;1167,5))</f>
        <v/>
      </c>
      <c r="L1172" t="str">
        <f t="shared" si="93"/>
        <v/>
      </c>
      <c r="M1172" t="str">
        <f t="shared" si="94"/>
        <v/>
      </c>
      <c r="N1172" t="str">
        <f>IF($F1172="","",IF(Sync!$AF1172="","0000",IF(AND(ISNUMBER(Sync!$AF1172),Sync!$AF1172&gt;=0,Sync!$AF1172&lt;1),RIGHT("00"&amp;HOUR(Sync!$AF1172),2)&amp;RIGHT("00"&amp;MINUTE(Sync!$AF1172),2),IFERROR(RIGHT("00"&amp;VALUE(LEFT(Sync!$AF1172,FIND(":",Sync!$AF1172)-1)),2)&amp;RIGHT("00"&amp;VALUE(MID(Sync!$AF1172,FIND(":",Sync!$AF1172)+1,2)),2),"0000"))))</f>
        <v/>
      </c>
    </row>
    <row r="1173" spans="1:14" x14ac:dyDescent="0.2">
      <c r="A1173" t="str">
        <f>IF(OR(Calc!$E1177="",Calc!$E1177="نامعتبر",Calc!$G1177=""),"",Calc!$G1177)</f>
        <v/>
      </c>
      <c r="B1173" t="str">
        <f>IF($A1173="","",LEFT(Calc!$E1177,4)&amp;MID(Calc!$E1177,6,2)&amp;RIGHT(Calc!$E1177,2)&amp;Calc!$Q1177&amp;"|"&amp;"1"&amp;RIGHT("00000"&amp;1168,5))</f>
        <v/>
      </c>
      <c r="C1173" t="str">
        <f t="shared" si="90"/>
        <v/>
      </c>
      <c r="D1173" t="str">
        <f t="shared" si="91"/>
        <v/>
      </c>
      <c r="F1173" t="str">
        <f>IF(Sync!$AH1173="","",IF(LEFT(UPPER(TRIM(Sync!$AH1173)),2)="SL",UPPER(TRIM(Sync!$AH1173)),""))</f>
        <v/>
      </c>
      <c r="G1173" t="str">
        <f>IF($F1173="","",IF(Sync!$AE1173="","",IF(ISNUMBER(Sync!$AE1173),IF(AND(Sync!$AE1173&gt;=10000101,Sync!$AE1173&lt;=99991231),INT(Sync!$AE1173/10000),""),IFERROR(VALUE(TRIM(LEFT(Sync!$AE1173,FIND("/",Sync!$AE1173)-1))),""))))</f>
        <v/>
      </c>
      <c r="H1173" t="str">
        <f>IF(OR($F1173="",$G1173=""),"",IF(ISNUMBER(Sync!$AE1173),INT(MOD(Sync!$AE1173,10000)/100),IFERROR(VALUE(TRIM(LEFT(MID(Sync!$AE1173,FIND("/",Sync!$AE1173)+1,20),FIND("/",MID(Sync!$AE1173,FIND("/",Sync!$AE1173)+1,20))-1))),"")))</f>
        <v/>
      </c>
      <c r="I1173" t="str">
        <f>IF(OR($F1173="",$G1173=""),"",IF(ISNUMBER(Sync!$AE1173),MOD(Sync!$AE1173,100),IFERROR(VALUE(TRIM(MID(MID(Sync!$AE1173,FIND("/",Sync!$AE1173)+1,20),FIND("/",MID(Sync!$AE1173,FIND("/",Sync!$AE1173)+1,20))+1,20))),"")))</f>
        <v/>
      </c>
      <c r="J1173" t="str">
        <f t="shared" si="92"/>
        <v/>
      </c>
      <c r="K1173" t="str">
        <f>IF(OR($F1173="",$J1173="",$J1173="نامعتبر"),"",LEFT($J1173,4)&amp;MID($J1173,6,2)&amp;RIGHT($J1173,2)&amp;$N1173&amp;"|"&amp;"2"&amp;RIGHT("00000"&amp;1168,5))</f>
        <v/>
      </c>
      <c r="L1173" t="str">
        <f t="shared" si="93"/>
        <v/>
      </c>
      <c r="M1173" t="str">
        <f t="shared" si="94"/>
        <v/>
      </c>
      <c r="N1173" t="str">
        <f>IF($F1173="","",IF(Sync!$AF1173="","0000",IF(AND(ISNUMBER(Sync!$AF1173),Sync!$AF1173&gt;=0,Sync!$AF1173&lt;1),RIGHT("00"&amp;HOUR(Sync!$AF1173),2)&amp;RIGHT("00"&amp;MINUTE(Sync!$AF1173),2),IFERROR(RIGHT("00"&amp;VALUE(LEFT(Sync!$AF1173,FIND(":",Sync!$AF1173)-1)),2)&amp;RIGHT("00"&amp;VALUE(MID(Sync!$AF1173,FIND(":",Sync!$AF1173)+1,2)),2),"0000"))))</f>
        <v/>
      </c>
    </row>
    <row r="1174" spans="1:14" x14ac:dyDescent="0.2">
      <c r="A1174" t="str">
        <f>IF(OR(Calc!$E1178="",Calc!$E1178="نامعتبر",Calc!$G1178=""),"",Calc!$G1178)</f>
        <v/>
      </c>
      <c r="B1174" t="str">
        <f>IF($A1174="","",LEFT(Calc!$E1178,4)&amp;MID(Calc!$E1178,6,2)&amp;RIGHT(Calc!$E1178,2)&amp;Calc!$Q1178&amp;"|"&amp;"1"&amp;RIGHT("00000"&amp;1169,5))</f>
        <v/>
      </c>
      <c r="C1174" t="str">
        <f t="shared" si="90"/>
        <v/>
      </c>
      <c r="D1174" t="str">
        <f t="shared" si="91"/>
        <v/>
      </c>
      <c r="F1174" t="str">
        <f>IF(Sync!$AH1174="","",IF(LEFT(UPPER(TRIM(Sync!$AH1174)),2)="SL",UPPER(TRIM(Sync!$AH1174)),""))</f>
        <v/>
      </c>
      <c r="G1174" t="str">
        <f>IF($F1174="","",IF(Sync!$AE1174="","",IF(ISNUMBER(Sync!$AE1174),IF(AND(Sync!$AE1174&gt;=10000101,Sync!$AE1174&lt;=99991231),INT(Sync!$AE1174/10000),""),IFERROR(VALUE(TRIM(LEFT(Sync!$AE1174,FIND("/",Sync!$AE1174)-1))),""))))</f>
        <v/>
      </c>
      <c r="H1174" t="str">
        <f>IF(OR($F1174="",$G1174=""),"",IF(ISNUMBER(Sync!$AE1174),INT(MOD(Sync!$AE1174,10000)/100),IFERROR(VALUE(TRIM(LEFT(MID(Sync!$AE1174,FIND("/",Sync!$AE1174)+1,20),FIND("/",MID(Sync!$AE1174,FIND("/",Sync!$AE1174)+1,20))-1))),"")))</f>
        <v/>
      </c>
      <c r="I1174" t="str">
        <f>IF(OR($F1174="",$G1174=""),"",IF(ISNUMBER(Sync!$AE1174),MOD(Sync!$AE1174,100),IFERROR(VALUE(TRIM(MID(MID(Sync!$AE1174,FIND("/",Sync!$AE1174)+1,20),FIND("/",MID(Sync!$AE1174,FIND("/",Sync!$AE1174)+1,20))+1,20))),"")))</f>
        <v/>
      </c>
      <c r="J1174" t="str">
        <f t="shared" si="92"/>
        <v/>
      </c>
      <c r="K1174" t="str">
        <f>IF(OR($F1174="",$J1174="",$J1174="نامعتبر"),"",LEFT($J1174,4)&amp;MID($J1174,6,2)&amp;RIGHT($J1174,2)&amp;$N1174&amp;"|"&amp;"2"&amp;RIGHT("00000"&amp;1169,5))</f>
        <v/>
      </c>
      <c r="L1174" t="str">
        <f t="shared" si="93"/>
        <v/>
      </c>
      <c r="M1174" t="str">
        <f t="shared" si="94"/>
        <v/>
      </c>
      <c r="N1174" t="str">
        <f>IF($F1174="","",IF(Sync!$AF1174="","0000",IF(AND(ISNUMBER(Sync!$AF1174),Sync!$AF1174&gt;=0,Sync!$AF1174&lt;1),RIGHT("00"&amp;HOUR(Sync!$AF1174),2)&amp;RIGHT("00"&amp;MINUTE(Sync!$AF1174),2),IFERROR(RIGHT("00"&amp;VALUE(LEFT(Sync!$AF1174,FIND(":",Sync!$AF1174)-1)),2)&amp;RIGHT("00"&amp;VALUE(MID(Sync!$AF1174,FIND(":",Sync!$AF1174)+1,2)),2),"0000"))))</f>
        <v/>
      </c>
    </row>
    <row r="1175" spans="1:14" x14ac:dyDescent="0.2">
      <c r="A1175" t="str">
        <f>IF(OR(Calc!$E1179="",Calc!$E1179="نامعتبر",Calc!$G1179=""),"",Calc!$G1179)</f>
        <v/>
      </c>
      <c r="B1175" t="str">
        <f>IF($A1175="","",LEFT(Calc!$E1179,4)&amp;MID(Calc!$E1179,6,2)&amp;RIGHT(Calc!$E1179,2)&amp;Calc!$Q1179&amp;"|"&amp;"1"&amp;RIGHT("00000"&amp;1170,5))</f>
        <v/>
      </c>
      <c r="C1175" t="str">
        <f t="shared" si="90"/>
        <v/>
      </c>
      <c r="D1175" t="str">
        <f t="shared" si="91"/>
        <v/>
      </c>
      <c r="F1175" t="str">
        <f>IF(Sync!$AH1175="","",IF(LEFT(UPPER(TRIM(Sync!$AH1175)),2)="SL",UPPER(TRIM(Sync!$AH1175)),""))</f>
        <v/>
      </c>
      <c r="G1175" t="str">
        <f>IF($F1175="","",IF(Sync!$AE1175="","",IF(ISNUMBER(Sync!$AE1175),IF(AND(Sync!$AE1175&gt;=10000101,Sync!$AE1175&lt;=99991231),INT(Sync!$AE1175/10000),""),IFERROR(VALUE(TRIM(LEFT(Sync!$AE1175,FIND("/",Sync!$AE1175)-1))),""))))</f>
        <v/>
      </c>
      <c r="H1175" t="str">
        <f>IF(OR($F1175="",$G1175=""),"",IF(ISNUMBER(Sync!$AE1175),INT(MOD(Sync!$AE1175,10000)/100),IFERROR(VALUE(TRIM(LEFT(MID(Sync!$AE1175,FIND("/",Sync!$AE1175)+1,20),FIND("/",MID(Sync!$AE1175,FIND("/",Sync!$AE1175)+1,20))-1))),"")))</f>
        <v/>
      </c>
      <c r="I1175" t="str">
        <f>IF(OR($F1175="",$G1175=""),"",IF(ISNUMBER(Sync!$AE1175),MOD(Sync!$AE1175,100),IFERROR(VALUE(TRIM(MID(MID(Sync!$AE1175,FIND("/",Sync!$AE1175)+1,20),FIND("/",MID(Sync!$AE1175,FIND("/",Sync!$AE1175)+1,20))+1,20))),"")))</f>
        <v/>
      </c>
      <c r="J1175" t="str">
        <f t="shared" si="92"/>
        <v/>
      </c>
      <c r="K1175" t="str">
        <f>IF(OR($F1175="",$J1175="",$J1175="نامعتبر"),"",LEFT($J1175,4)&amp;MID($J1175,6,2)&amp;RIGHT($J1175,2)&amp;$N1175&amp;"|"&amp;"2"&amp;RIGHT("00000"&amp;1170,5))</f>
        <v/>
      </c>
      <c r="L1175" t="str">
        <f t="shared" si="93"/>
        <v/>
      </c>
      <c r="M1175" t="str">
        <f t="shared" si="94"/>
        <v/>
      </c>
      <c r="N1175" t="str">
        <f>IF($F1175="","",IF(Sync!$AF1175="","0000",IF(AND(ISNUMBER(Sync!$AF1175),Sync!$AF1175&gt;=0,Sync!$AF1175&lt;1),RIGHT("00"&amp;HOUR(Sync!$AF1175),2)&amp;RIGHT("00"&amp;MINUTE(Sync!$AF1175),2),IFERROR(RIGHT("00"&amp;VALUE(LEFT(Sync!$AF1175,FIND(":",Sync!$AF1175)-1)),2)&amp;RIGHT("00"&amp;VALUE(MID(Sync!$AF1175,FIND(":",Sync!$AF1175)+1,2)),2),"0000"))))</f>
        <v/>
      </c>
    </row>
    <row r="1176" spans="1:14" x14ac:dyDescent="0.2">
      <c r="A1176" t="str">
        <f>IF(OR(Calc!$E1180="",Calc!$E1180="نامعتبر",Calc!$G1180=""),"",Calc!$G1180)</f>
        <v/>
      </c>
      <c r="B1176" t="str">
        <f>IF($A1176="","",LEFT(Calc!$E1180,4)&amp;MID(Calc!$E1180,6,2)&amp;RIGHT(Calc!$E1180,2)&amp;Calc!$Q1180&amp;"|"&amp;"1"&amp;RIGHT("00000"&amp;1171,5))</f>
        <v/>
      </c>
      <c r="C1176" t="str">
        <f t="shared" si="90"/>
        <v/>
      </c>
      <c r="D1176" t="str">
        <f t="shared" si="91"/>
        <v/>
      </c>
      <c r="F1176" t="str">
        <f>IF(Sync!$AH1176="","",IF(LEFT(UPPER(TRIM(Sync!$AH1176)),2)="SL",UPPER(TRIM(Sync!$AH1176)),""))</f>
        <v/>
      </c>
      <c r="G1176" t="str">
        <f>IF($F1176="","",IF(Sync!$AE1176="","",IF(ISNUMBER(Sync!$AE1176),IF(AND(Sync!$AE1176&gt;=10000101,Sync!$AE1176&lt;=99991231),INT(Sync!$AE1176/10000),""),IFERROR(VALUE(TRIM(LEFT(Sync!$AE1176,FIND("/",Sync!$AE1176)-1))),""))))</f>
        <v/>
      </c>
      <c r="H1176" t="str">
        <f>IF(OR($F1176="",$G1176=""),"",IF(ISNUMBER(Sync!$AE1176),INT(MOD(Sync!$AE1176,10000)/100),IFERROR(VALUE(TRIM(LEFT(MID(Sync!$AE1176,FIND("/",Sync!$AE1176)+1,20),FIND("/",MID(Sync!$AE1176,FIND("/",Sync!$AE1176)+1,20))-1))),"")))</f>
        <v/>
      </c>
      <c r="I1176" t="str">
        <f>IF(OR($F1176="",$G1176=""),"",IF(ISNUMBER(Sync!$AE1176),MOD(Sync!$AE1176,100),IFERROR(VALUE(TRIM(MID(MID(Sync!$AE1176,FIND("/",Sync!$AE1176)+1,20),FIND("/",MID(Sync!$AE1176,FIND("/",Sync!$AE1176)+1,20))+1,20))),"")))</f>
        <v/>
      </c>
      <c r="J1176" t="str">
        <f t="shared" si="92"/>
        <v/>
      </c>
      <c r="K1176" t="str">
        <f>IF(OR($F1176="",$J1176="",$J1176="نامعتبر"),"",LEFT($J1176,4)&amp;MID($J1176,6,2)&amp;RIGHT($J1176,2)&amp;$N1176&amp;"|"&amp;"2"&amp;RIGHT("00000"&amp;1171,5))</f>
        <v/>
      </c>
      <c r="L1176" t="str">
        <f t="shared" si="93"/>
        <v/>
      </c>
      <c r="M1176" t="str">
        <f t="shared" si="94"/>
        <v/>
      </c>
      <c r="N1176" t="str">
        <f>IF($F1176="","",IF(Sync!$AF1176="","0000",IF(AND(ISNUMBER(Sync!$AF1176),Sync!$AF1176&gt;=0,Sync!$AF1176&lt;1),RIGHT("00"&amp;HOUR(Sync!$AF1176),2)&amp;RIGHT("00"&amp;MINUTE(Sync!$AF1176),2),IFERROR(RIGHT("00"&amp;VALUE(LEFT(Sync!$AF1176,FIND(":",Sync!$AF1176)-1)),2)&amp;RIGHT("00"&amp;VALUE(MID(Sync!$AF1176,FIND(":",Sync!$AF1176)+1,2)),2),"0000"))))</f>
        <v/>
      </c>
    </row>
    <row r="1177" spans="1:14" x14ac:dyDescent="0.2">
      <c r="A1177" t="str">
        <f>IF(OR(Calc!$E1181="",Calc!$E1181="نامعتبر",Calc!$G1181=""),"",Calc!$G1181)</f>
        <v/>
      </c>
      <c r="B1177" t="str">
        <f>IF($A1177="","",LEFT(Calc!$E1181,4)&amp;MID(Calc!$E1181,6,2)&amp;RIGHT(Calc!$E1181,2)&amp;Calc!$Q1181&amp;"|"&amp;"1"&amp;RIGHT("00000"&amp;1172,5))</f>
        <v/>
      </c>
      <c r="C1177" t="str">
        <f t="shared" si="90"/>
        <v/>
      </c>
      <c r="D1177" t="str">
        <f t="shared" si="91"/>
        <v/>
      </c>
      <c r="F1177" t="str">
        <f>IF(Sync!$AH1177="","",IF(LEFT(UPPER(TRIM(Sync!$AH1177)),2)="SL",UPPER(TRIM(Sync!$AH1177)),""))</f>
        <v/>
      </c>
      <c r="G1177" t="str">
        <f>IF($F1177="","",IF(Sync!$AE1177="","",IF(ISNUMBER(Sync!$AE1177),IF(AND(Sync!$AE1177&gt;=10000101,Sync!$AE1177&lt;=99991231),INT(Sync!$AE1177/10000),""),IFERROR(VALUE(TRIM(LEFT(Sync!$AE1177,FIND("/",Sync!$AE1177)-1))),""))))</f>
        <v/>
      </c>
      <c r="H1177" t="str">
        <f>IF(OR($F1177="",$G1177=""),"",IF(ISNUMBER(Sync!$AE1177),INT(MOD(Sync!$AE1177,10000)/100),IFERROR(VALUE(TRIM(LEFT(MID(Sync!$AE1177,FIND("/",Sync!$AE1177)+1,20),FIND("/",MID(Sync!$AE1177,FIND("/",Sync!$AE1177)+1,20))-1))),"")))</f>
        <v/>
      </c>
      <c r="I1177" t="str">
        <f>IF(OR($F1177="",$G1177=""),"",IF(ISNUMBER(Sync!$AE1177),MOD(Sync!$AE1177,100),IFERROR(VALUE(TRIM(MID(MID(Sync!$AE1177,FIND("/",Sync!$AE1177)+1,20),FIND("/",MID(Sync!$AE1177,FIND("/",Sync!$AE1177)+1,20))+1,20))),"")))</f>
        <v/>
      </c>
      <c r="J1177" t="str">
        <f t="shared" si="92"/>
        <v/>
      </c>
      <c r="K1177" t="str">
        <f>IF(OR($F1177="",$J1177="",$J1177="نامعتبر"),"",LEFT($J1177,4)&amp;MID($J1177,6,2)&amp;RIGHT($J1177,2)&amp;$N1177&amp;"|"&amp;"2"&amp;RIGHT("00000"&amp;1172,5))</f>
        <v/>
      </c>
      <c r="L1177" t="str">
        <f t="shared" si="93"/>
        <v/>
      </c>
      <c r="M1177" t="str">
        <f t="shared" si="94"/>
        <v/>
      </c>
      <c r="N1177" t="str">
        <f>IF($F1177="","",IF(Sync!$AF1177="","0000",IF(AND(ISNUMBER(Sync!$AF1177),Sync!$AF1177&gt;=0,Sync!$AF1177&lt;1),RIGHT("00"&amp;HOUR(Sync!$AF1177),2)&amp;RIGHT("00"&amp;MINUTE(Sync!$AF1177),2),IFERROR(RIGHT("00"&amp;VALUE(LEFT(Sync!$AF1177,FIND(":",Sync!$AF1177)-1)),2)&amp;RIGHT("00"&amp;VALUE(MID(Sync!$AF1177,FIND(":",Sync!$AF1177)+1,2)),2),"0000"))))</f>
        <v/>
      </c>
    </row>
    <row r="1178" spans="1:14" x14ac:dyDescent="0.2">
      <c r="A1178" t="str">
        <f>IF(OR(Calc!$E1182="",Calc!$E1182="نامعتبر",Calc!$G1182=""),"",Calc!$G1182)</f>
        <v/>
      </c>
      <c r="B1178" t="str">
        <f>IF($A1178="","",LEFT(Calc!$E1182,4)&amp;MID(Calc!$E1182,6,2)&amp;RIGHT(Calc!$E1182,2)&amp;Calc!$Q1182&amp;"|"&amp;"1"&amp;RIGHT("00000"&amp;1173,5))</f>
        <v/>
      </c>
      <c r="C1178" t="str">
        <f t="shared" si="90"/>
        <v/>
      </c>
      <c r="D1178" t="str">
        <f t="shared" si="91"/>
        <v/>
      </c>
      <c r="F1178" t="str">
        <f>IF(Sync!$AH1178="","",IF(LEFT(UPPER(TRIM(Sync!$AH1178)),2)="SL",UPPER(TRIM(Sync!$AH1178)),""))</f>
        <v/>
      </c>
      <c r="G1178" t="str">
        <f>IF($F1178="","",IF(Sync!$AE1178="","",IF(ISNUMBER(Sync!$AE1178),IF(AND(Sync!$AE1178&gt;=10000101,Sync!$AE1178&lt;=99991231),INT(Sync!$AE1178/10000),""),IFERROR(VALUE(TRIM(LEFT(Sync!$AE1178,FIND("/",Sync!$AE1178)-1))),""))))</f>
        <v/>
      </c>
      <c r="H1178" t="str">
        <f>IF(OR($F1178="",$G1178=""),"",IF(ISNUMBER(Sync!$AE1178),INT(MOD(Sync!$AE1178,10000)/100),IFERROR(VALUE(TRIM(LEFT(MID(Sync!$AE1178,FIND("/",Sync!$AE1178)+1,20),FIND("/",MID(Sync!$AE1178,FIND("/",Sync!$AE1178)+1,20))-1))),"")))</f>
        <v/>
      </c>
      <c r="I1178" t="str">
        <f>IF(OR($F1178="",$G1178=""),"",IF(ISNUMBER(Sync!$AE1178),MOD(Sync!$AE1178,100),IFERROR(VALUE(TRIM(MID(MID(Sync!$AE1178,FIND("/",Sync!$AE1178)+1,20),FIND("/",MID(Sync!$AE1178,FIND("/",Sync!$AE1178)+1,20))+1,20))),"")))</f>
        <v/>
      </c>
      <c r="J1178" t="str">
        <f t="shared" si="92"/>
        <v/>
      </c>
      <c r="K1178" t="str">
        <f>IF(OR($F1178="",$J1178="",$J1178="نامعتبر"),"",LEFT($J1178,4)&amp;MID($J1178,6,2)&amp;RIGHT($J1178,2)&amp;$N1178&amp;"|"&amp;"2"&amp;RIGHT("00000"&amp;1173,5))</f>
        <v/>
      </c>
      <c r="L1178" t="str">
        <f t="shared" si="93"/>
        <v/>
      </c>
      <c r="M1178" t="str">
        <f t="shared" si="94"/>
        <v/>
      </c>
      <c r="N1178" t="str">
        <f>IF($F1178="","",IF(Sync!$AF1178="","0000",IF(AND(ISNUMBER(Sync!$AF1178),Sync!$AF1178&gt;=0,Sync!$AF1178&lt;1),RIGHT("00"&amp;HOUR(Sync!$AF1178),2)&amp;RIGHT("00"&amp;MINUTE(Sync!$AF1178),2),IFERROR(RIGHT("00"&amp;VALUE(LEFT(Sync!$AF1178,FIND(":",Sync!$AF1178)-1)),2)&amp;RIGHT("00"&amp;VALUE(MID(Sync!$AF1178,FIND(":",Sync!$AF1178)+1,2)),2),"0000"))))</f>
        <v/>
      </c>
    </row>
    <row r="1179" spans="1:14" x14ac:dyDescent="0.2">
      <c r="A1179" t="str">
        <f>IF(OR(Calc!$E1183="",Calc!$E1183="نامعتبر",Calc!$G1183=""),"",Calc!$G1183)</f>
        <v/>
      </c>
      <c r="B1179" t="str">
        <f>IF($A1179="","",LEFT(Calc!$E1183,4)&amp;MID(Calc!$E1183,6,2)&amp;RIGHT(Calc!$E1183,2)&amp;Calc!$Q1183&amp;"|"&amp;"1"&amp;RIGHT("00000"&amp;1174,5))</f>
        <v/>
      </c>
      <c r="C1179" t="str">
        <f t="shared" si="90"/>
        <v/>
      </c>
      <c r="D1179" t="str">
        <f t="shared" si="91"/>
        <v/>
      </c>
      <c r="F1179" t="str">
        <f>IF(Sync!$AH1179="","",IF(LEFT(UPPER(TRIM(Sync!$AH1179)),2)="SL",UPPER(TRIM(Sync!$AH1179)),""))</f>
        <v/>
      </c>
      <c r="G1179" t="str">
        <f>IF($F1179="","",IF(Sync!$AE1179="","",IF(ISNUMBER(Sync!$AE1179),IF(AND(Sync!$AE1179&gt;=10000101,Sync!$AE1179&lt;=99991231),INT(Sync!$AE1179/10000),""),IFERROR(VALUE(TRIM(LEFT(Sync!$AE1179,FIND("/",Sync!$AE1179)-1))),""))))</f>
        <v/>
      </c>
      <c r="H1179" t="str">
        <f>IF(OR($F1179="",$G1179=""),"",IF(ISNUMBER(Sync!$AE1179),INT(MOD(Sync!$AE1179,10000)/100),IFERROR(VALUE(TRIM(LEFT(MID(Sync!$AE1179,FIND("/",Sync!$AE1179)+1,20),FIND("/",MID(Sync!$AE1179,FIND("/",Sync!$AE1179)+1,20))-1))),"")))</f>
        <v/>
      </c>
      <c r="I1179" t="str">
        <f>IF(OR($F1179="",$G1179=""),"",IF(ISNUMBER(Sync!$AE1179),MOD(Sync!$AE1179,100),IFERROR(VALUE(TRIM(MID(MID(Sync!$AE1179,FIND("/",Sync!$AE1179)+1,20),FIND("/",MID(Sync!$AE1179,FIND("/",Sync!$AE1179)+1,20))+1,20))),"")))</f>
        <v/>
      </c>
      <c r="J1179" t="str">
        <f t="shared" si="92"/>
        <v/>
      </c>
      <c r="K1179" t="str">
        <f>IF(OR($F1179="",$J1179="",$J1179="نامعتبر"),"",LEFT($J1179,4)&amp;MID($J1179,6,2)&amp;RIGHT($J1179,2)&amp;$N1179&amp;"|"&amp;"2"&amp;RIGHT("00000"&amp;1174,5))</f>
        <v/>
      </c>
      <c r="L1179" t="str">
        <f t="shared" si="93"/>
        <v/>
      </c>
      <c r="M1179" t="str">
        <f t="shared" si="94"/>
        <v/>
      </c>
      <c r="N1179" t="str">
        <f>IF($F1179="","",IF(Sync!$AF1179="","0000",IF(AND(ISNUMBER(Sync!$AF1179),Sync!$AF1179&gt;=0,Sync!$AF1179&lt;1),RIGHT("00"&amp;HOUR(Sync!$AF1179),2)&amp;RIGHT("00"&amp;MINUTE(Sync!$AF1179),2),IFERROR(RIGHT("00"&amp;VALUE(LEFT(Sync!$AF1179,FIND(":",Sync!$AF1179)-1)),2)&amp;RIGHT("00"&amp;VALUE(MID(Sync!$AF1179,FIND(":",Sync!$AF1179)+1,2)),2),"0000"))))</f>
        <v/>
      </c>
    </row>
    <row r="1180" spans="1:14" x14ac:dyDescent="0.2">
      <c r="A1180" t="str">
        <f>IF(OR(Calc!$E1184="",Calc!$E1184="نامعتبر",Calc!$G1184=""),"",Calc!$G1184)</f>
        <v/>
      </c>
      <c r="B1180" t="str">
        <f>IF($A1180="","",LEFT(Calc!$E1184,4)&amp;MID(Calc!$E1184,6,2)&amp;RIGHT(Calc!$E1184,2)&amp;Calc!$Q1184&amp;"|"&amp;"1"&amp;RIGHT("00000"&amp;1175,5))</f>
        <v/>
      </c>
      <c r="C1180" t="str">
        <f t="shared" si="90"/>
        <v/>
      </c>
      <c r="D1180" t="str">
        <f t="shared" si="91"/>
        <v/>
      </c>
      <c r="F1180" t="str">
        <f>IF(Sync!$AH1180="","",IF(LEFT(UPPER(TRIM(Sync!$AH1180)),2)="SL",UPPER(TRIM(Sync!$AH1180)),""))</f>
        <v/>
      </c>
      <c r="G1180" t="str">
        <f>IF($F1180="","",IF(Sync!$AE1180="","",IF(ISNUMBER(Sync!$AE1180),IF(AND(Sync!$AE1180&gt;=10000101,Sync!$AE1180&lt;=99991231),INT(Sync!$AE1180/10000),""),IFERROR(VALUE(TRIM(LEFT(Sync!$AE1180,FIND("/",Sync!$AE1180)-1))),""))))</f>
        <v/>
      </c>
      <c r="H1180" t="str">
        <f>IF(OR($F1180="",$G1180=""),"",IF(ISNUMBER(Sync!$AE1180),INT(MOD(Sync!$AE1180,10000)/100),IFERROR(VALUE(TRIM(LEFT(MID(Sync!$AE1180,FIND("/",Sync!$AE1180)+1,20),FIND("/",MID(Sync!$AE1180,FIND("/",Sync!$AE1180)+1,20))-1))),"")))</f>
        <v/>
      </c>
      <c r="I1180" t="str">
        <f>IF(OR($F1180="",$G1180=""),"",IF(ISNUMBER(Sync!$AE1180),MOD(Sync!$AE1180,100),IFERROR(VALUE(TRIM(MID(MID(Sync!$AE1180,FIND("/",Sync!$AE1180)+1,20),FIND("/",MID(Sync!$AE1180,FIND("/",Sync!$AE1180)+1,20))+1,20))),"")))</f>
        <v/>
      </c>
      <c r="J1180" t="str">
        <f t="shared" si="92"/>
        <v/>
      </c>
      <c r="K1180" t="str">
        <f>IF(OR($F1180="",$J1180="",$J1180="نامعتبر"),"",LEFT($J1180,4)&amp;MID($J1180,6,2)&amp;RIGHT($J1180,2)&amp;$N1180&amp;"|"&amp;"2"&amp;RIGHT("00000"&amp;1175,5))</f>
        <v/>
      </c>
      <c r="L1180" t="str">
        <f t="shared" si="93"/>
        <v/>
      </c>
      <c r="M1180" t="str">
        <f t="shared" si="94"/>
        <v/>
      </c>
      <c r="N1180" t="str">
        <f>IF($F1180="","",IF(Sync!$AF1180="","0000",IF(AND(ISNUMBER(Sync!$AF1180),Sync!$AF1180&gt;=0,Sync!$AF1180&lt;1),RIGHT("00"&amp;HOUR(Sync!$AF1180),2)&amp;RIGHT("00"&amp;MINUTE(Sync!$AF1180),2),IFERROR(RIGHT("00"&amp;VALUE(LEFT(Sync!$AF1180,FIND(":",Sync!$AF1180)-1)),2)&amp;RIGHT("00"&amp;VALUE(MID(Sync!$AF1180,FIND(":",Sync!$AF1180)+1,2)),2),"0000"))))</f>
        <v/>
      </c>
    </row>
    <row r="1181" spans="1:14" x14ac:dyDescent="0.2">
      <c r="A1181" t="str">
        <f>IF(OR(Calc!$E1185="",Calc!$E1185="نامعتبر",Calc!$G1185=""),"",Calc!$G1185)</f>
        <v/>
      </c>
      <c r="B1181" t="str">
        <f>IF($A1181="","",LEFT(Calc!$E1185,4)&amp;MID(Calc!$E1185,6,2)&amp;RIGHT(Calc!$E1185,2)&amp;Calc!$Q1185&amp;"|"&amp;"1"&amp;RIGHT("00000"&amp;1176,5))</f>
        <v/>
      </c>
      <c r="C1181" t="str">
        <f t="shared" si="90"/>
        <v/>
      </c>
      <c r="D1181" t="str">
        <f t="shared" si="91"/>
        <v/>
      </c>
      <c r="F1181" t="str">
        <f>IF(Sync!$AH1181="","",IF(LEFT(UPPER(TRIM(Sync!$AH1181)),2)="SL",UPPER(TRIM(Sync!$AH1181)),""))</f>
        <v/>
      </c>
      <c r="G1181" t="str">
        <f>IF($F1181="","",IF(Sync!$AE1181="","",IF(ISNUMBER(Sync!$AE1181),IF(AND(Sync!$AE1181&gt;=10000101,Sync!$AE1181&lt;=99991231),INT(Sync!$AE1181/10000),""),IFERROR(VALUE(TRIM(LEFT(Sync!$AE1181,FIND("/",Sync!$AE1181)-1))),""))))</f>
        <v/>
      </c>
      <c r="H1181" t="str">
        <f>IF(OR($F1181="",$G1181=""),"",IF(ISNUMBER(Sync!$AE1181),INT(MOD(Sync!$AE1181,10000)/100),IFERROR(VALUE(TRIM(LEFT(MID(Sync!$AE1181,FIND("/",Sync!$AE1181)+1,20),FIND("/",MID(Sync!$AE1181,FIND("/",Sync!$AE1181)+1,20))-1))),"")))</f>
        <v/>
      </c>
      <c r="I1181" t="str">
        <f>IF(OR($F1181="",$G1181=""),"",IF(ISNUMBER(Sync!$AE1181),MOD(Sync!$AE1181,100),IFERROR(VALUE(TRIM(MID(MID(Sync!$AE1181,FIND("/",Sync!$AE1181)+1,20),FIND("/",MID(Sync!$AE1181,FIND("/",Sync!$AE1181)+1,20))+1,20))),"")))</f>
        <v/>
      </c>
      <c r="J1181" t="str">
        <f t="shared" si="92"/>
        <v/>
      </c>
      <c r="K1181" t="str">
        <f>IF(OR($F1181="",$J1181="",$J1181="نامعتبر"),"",LEFT($J1181,4)&amp;MID($J1181,6,2)&amp;RIGHT($J1181,2)&amp;$N1181&amp;"|"&amp;"2"&amp;RIGHT("00000"&amp;1176,5))</f>
        <v/>
      </c>
      <c r="L1181" t="str">
        <f t="shared" si="93"/>
        <v/>
      </c>
      <c r="M1181" t="str">
        <f t="shared" si="94"/>
        <v/>
      </c>
      <c r="N1181" t="str">
        <f>IF($F1181="","",IF(Sync!$AF1181="","0000",IF(AND(ISNUMBER(Sync!$AF1181),Sync!$AF1181&gt;=0,Sync!$AF1181&lt;1),RIGHT("00"&amp;HOUR(Sync!$AF1181),2)&amp;RIGHT("00"&amp;MINUTE(Sync!$AF1181),2),IFERROR(RIGHT("00"&amp;VALUE(LEFT(Sync!$AF1181,FIND(":",Sync!$AF1181)-1)),2)&amp;RIGHT("00"&amp;VALUE(MID(Sync!$AF1181,FIND(":",Sync!$AF1181)+1,2)),2),"0000"))))</f>
        <v/>
      </c>
    </row>
    <row r="1182" spans="1:14" x14ac:dyDescent="0.2">
      <c r="A1182" t="str">
        <f>IF(OR(Calc!$E1186="",Calc!$E1186="نامعتبر",Calc!$G1186=""),"",Calc!$G1186)</f>
        <v/>
      </c>
      <c r="B1182" t="str">
        <f>IF($A1182="","",LEFT(Calc!$E1186,4)&amp;MID(Calc!$E1186,6,2)&amp;RIGHT(Calc!$E1186,2)&amp;Calc!$Q1186&amp;"|"&amp;"1"&amp;RIGHT("00000"&amp;1177,5))</f>
        <v/>
      </c>
      <c r="C1182" t="str">
        <f t="shared" si="90"/>
        <v/>
      </c>
      <c r="D1182" t="str">
        <f t="shared" si="91"/>
        <v/>
      </c>
      <c r="F1182" t="str">
        <f>IF(Sync!$AH1182="","",IF(LEFT(UPPER(TRIM(Sync!$AH1182)),2)="SL",UPPER(TRIM(Sync!$AH1182)),""))</f>
        <v/>
      </c>
      <c r="G1182" t="str">
        <f>IF($F1182="","",IF(Sync!$AE1182="","",IF(ISNUMBER(Sync!$AE1182),IF(AND(Sync!$AE1182&gt;=10000101,Sync!$AE1182&lt;=99991231),INT(Sync!$AE1182/10000),""),IFERROR(VALUE(TRIM(LEFT(Sync!$AE1182,FIND("/",Sync!$AE1182)-1))),""))))</f>
        <v/>
      </c>
      <c r="H1182" t="str">
        <f>IF(OR($F1182="",$G1182=""),"",IF(ISNUMBER(Sync!$AE1182),INT(MOD(Sync!$AE1182,10000)/100),IFERROR(VALUE(TRIM(LEFT(MID(Sync!$AE1182,FIND("/",Sync!$AE1182)+1,20),FIND("/",MID(Sync!$AE1182,FIND("/",Sync!$AE1182)+1,20))-1))),"")))</f>
        <v/>
      </c>
      <c r="I1182" t="str">
        <f>IF(OR($F1182="",$G1182=""),"",IF(ISNUMBER(Sync!$AE1182),MOD(Sync!$AE1182,100),IFERROR(VALUE(TRIM(MID(MID(Sync!$AE1182,FIND("/",Sync!$AE1182)+1,20),FIND("/",MID(Sync!$AE1182,FIND("/",Sync!$AE1182)+1,20))+1,20))),"")))</f>
        <v/>
      </c>
      <c r="J1182" t="str">
        <f t="shared" si="92"/>
        <v/>
      </c>
      <c r="K1182" t="str">
        <f>IF(OR($F1182="",$J1182="",$J1182="نامعتبر"),"",LEFT($J1182,4)&amp;MID($J1182,6,2)&amp;RIGHT($J1182,2)&amp;$N1182&amp;"|"&amp;"2"&amp;RIGHT("00000"&amp;1177,5))</f>
        <v/>
      </c>
      <c r="L1182" t="str">
        <f t="shared" si="93"/>
        <v/>
      </c>
      <c r="M1182" t="str">
        <f t="shared" si="94"/>
        <v/>
      </c>
      <c r="N1182" t="str">
        <f>IF($F1182="","",IF(Sync!$AF1182="","0000",IF(AND(ISNUMBER(Sync!$AF1182),Sync!$AF1182&gt;=0,Sync!$AF1182&lt;1),RIGHT("00"&amp;HOUR(Sync!$AF1182),2)&amp;RIGHT("00"&amp;MINUTE(Sync!$AF1182),2),IFERROR(RIGHT("00"&amp;VALUE(LEFT(Sync!$AF1182,FIND(":",Sync!$AF1182)-1)),2)&amp;RIGHT("00"&amp;VALUE(MID(Sync!$AF1182,FIND(":",Sync!$AF1182)+1,2)),2),"0000"))))</f>
        <v/>
      </c>
    </row>
    <row r="1183" spans="1:14" x14ac:dyDescent="0.2">
      <c r="A1183" t="str">
        <f>IF(OR(Calc!$E1187="",Calc!$E1187="نامعتبر",Calc!$G1187=""),"",Calc!$G1187)</f>
        <v/>
      </c>
      <c r="B1183" t="str">
        <f>IF($A1183="","",LEFT(Calc!$E1187,4)&amp;MID(Calc!$E1187,6,2)&amp;RIGHT(Calc!$E1187,2)&amp;Calc!$Q1187&amp;"|"&amp;"1"&amp;RIGHT("00000"&amp;1178,5))</f>
        <v/>
      </c>
      <c r="C1183" t="str">
        <f t="shared" si="90"/>
        <v/>
      </c>
      <c r="D1183" t="str">
        <f t="shared" si="91"/>
        <v/>
      </c>
      <c r="F1183" t="str">
        <f>IF(Sync!$AH1183="","",IF(LEFT(UPPER(TRIM(Sync!$AH1183)),2)="SL",UPPER(TRIM(Sync!$AH1183)),""))</f>
        <v/>
      </c>
      <c r="G1183" t="str">
        <f>IF($F1183="","",IF(Sync!$AE1183="","",IF(ISNUMBER(Sync!$AE1183),IF(AND(Sync!$AE1183&gt;=10000101,Sync!$AE1183&lt;=99991231),INT(Sync!$AE1183/10000),""),IFERROR(VALUE(TRIM(LEFT(Sync!$AE1183,FIND("/",Sync!$AE1183)-1))),""))))</f>
        <v/>
      </c>
      <c r="H1183" t="str">
        <f>IF(OR($F1183="",$G1183=""),"",IF(ISNUMBER(Sync!$AE1183),INT(MOD(Sync!$AE1183,10000)/100),IFERROR(VALUE(TRIM(LEFT(MID(Sync!$AE1183,FIND("/",Sync!$AE1183)+1,20),FIND("/",MID(Sync!$AE1183,FIND("/",Sync!$AE1183)+1,20))-1))),"")))</f>
        <v/>
      </c>
      <c r="I1183" t="str">
        <f>IF(OR($F1183="",$G1183=""),"",IF(ISNUMBER(Sync!$AE1183),MOD(Sync!$AE1183,100),IFERROR(VALUE(TRIM(MID(MID(Sync!$AE1183,FIND("/",Sync!$AE1183)+1,20),FIND("/",MID(Sync!$AE1183,FIND("/",Sync!$AE1183)+1,20))+1,20))),"")))</f>
        <v/>
      </c>
      <c r="J1183" t="str">
        <f t="shared" si="92"/>
        <v/>
      </c>
      <c r="K1183" t="str">
        <f>IF(OR($F1183="",$J1183="",$J1183="نامعتبر"),"",LEFT($J1183,4)&amp;MID($J1183,6,2)&amp;RIGHT($J1183,2)&amp;$N1183&amp;"|"&amp;"2"&amp;RIGHT("00000"&amp;1178,5))</f>
        <v/>
      </c>
      <c r="L1183" t="str">
        <f t="shared" si="93"/>
        <v/>
      </c>
      <c r="M1183" t="str">
        <f t="shared" si="94"/>
        <v/>
      </c>
      <c r="N1183" t="str">
        <f>IF($F1183="","",IF(Sync!$AF1183="","0000",IF(AND(ISNUMBER(Sync!$AF1183),Sync!$AF1183&gt;=0,Sync!$AF1183&lt;1),RIGHT("00"&amp;HOUR(Sync!$AF1183),2)&amp;RIGHT("00"&amp;MINUTE(Sync!$AF1183),2),IFERROR(RIGHT("00"&amp;VALUE(LEFT(Sync!$AF1183,FIND(":",Sync!$AF1183)-1)),2)&amp;RIGHT("00"&amp;VALUE(MID(Sync!$AF1183,FIND(":",Sync!$AF1183)+1,2)),2),"0000"))))</f>
        <v/>
      </c>
    </row>
    <row r="1184" spans="1:14" x14ac:dyDescent="0.2">
      <c r="A1184" t="str">
        <f>IF(OR(Calc!$E1188="",Calc!$E1188="نامعتبر",Calc!$G1188=""),"",Calc!$G1188)</f>
        <v/>
      </c>
      <c r="B1184" t="str">
        <f>IF($A1184="","",LEFT(Calc!$E1188,4)&amp;MID(Calc!$E1188,6,2)&amp;RIGHT(Calc!$E1188,2)&amp;Calc!$Q1188&amp;"|"&amp;"1"&amp;RIGHT("00000"&amp;1179,5))</f>
        <v/>
      </c>
      <c r="C1184" t="str">
        <f t="shared" si="90"/>
        <v/>
      </c>
      <c r="D1184" t="str">
        <f t="shared" si="91"/>
        <v/>
      </c>
      <c r="F1184" t="str">
        <f>IF(Sync!$AH1184="","",IF(LEFT(UPPER(TRIM(Sync!$AH1184)),2)="SL",UPPER(TRIM(Sync!$AH1184)),""))</f>
        <v/>
      </c>
      <c r="G1184" t="str">
        <f>IF($F1184="","",IF(Sync!$AE1184="","",IF(ISNUMBER(Sync!$AE1184),IF(AND(Sync!$AE1184&gt;=10000101,Sync!$AE1184&lt;=99991231),INT(Sync!$AE1184/10000),""),IFERROR(VALUE(TRIM(LEFT(Sync!$AE1184,FIND("/",Sync!$AE1184)-1))),""))))</f>
        <v/>
      </c>
      <c r="H1184" t="str">
        <f>IF(OR($F1184="",$G1184=""),"",IF(ISNUMBER(Sync!$AE1184),INT(MOD(Sync!$AE1184,10000)/100),IFERROR(VALUE(TRIM(LEFT(MID(Sync!$AE1184,FIND("/",Sync!$AE1184)+1,20),FIND("/",MID(Sync!$AE1184,FIND("/",Sync!$AE1184)+1,20))-1))),"")))</f>
        <v/>
      </c>
      <c r="I1184" t="str">
        <f>IF(OR($F1184="",$G1184=""),"",IF(ISNUMBER(Sync!$AE1184),MOD(Sync!$AE1184,100),IFERROR(VALUE(TRIM(MID(MID(Sync!$AE1184,FIND("/",Sync!$AE1184)+1,20),FIND("/",MID(Sync!$AE1184,FIND("/",Sync!$AE1184)+1,20))+1,20))),"")))</f>
        <v/>
      </c>
      <c r="J1184" t="str">
        <f t="shared" si="92"/>
        <v/>
      </c>
      <c r="K1184" t="str">
        <f>IF(OR($F1184="",$J1184="",$J1184="نامعتبر"),"",LEFT($J1184,4)&amp;MID($J1184,6,2)&amp;RIGHT($J1184,2)&amp;$N1184&amp;"|"&amp;"2"&amp;RIGHT("00000"&amp;1179,5))</f>
        <v/>
      </c>
      <c r="L1184" t="str">
        <f t="shared" si="93"/>
        <v/>
      </c>
      <c r="M1184" t="str">
        <f t="shared" si="94"/>
        <v/>
      </c>
      <c r="N1184" t="str">
        <f>IF($F1184="","",IF(Sync!$AF1184="","0000",IF(AND(ISNUMBER(Sync!$AF1184),Sync!$AF1184&gt;=0,Sync!$AF1184&lt;1),RIGHT("00"&amp;HOUR(Sync!$AF1184),2)&amp;RIGHT("00"&amp;MINUTE(Sync!$AF1184),2),IFERROR(RIGHT("00"&amp;VALUE(LEFT(Sync!$AF1184,FIND(":",Sync!$AF1184)-1)),2)&amp;RIGHT("00"&amp;VALUE(MID(Sync!$AF1184,FIND(":",Sync!$AF1184)+1,2)),2),"0000"))))</f>
        <v/>
      </c>
    </row>
    <row r="1185" spans="1:14" x14ac:dyDescent="0.2">
      <c r="A1185" t="str">
        <f>IF(OR(Calc!$E1189="",Calc!$E1189="نامعتبر",Calc!$G1189=""),"",Calc!$G1189)</f>
        <v/>
      </c>
      <c r="B1185" t="str">
        <f>IF($A1185="","",LEFT(Calc!$E1189,4)&amp;MID(Calc!$E1189,6,2)&amp;RIGHT(Calc!$E1189,2)&amp;Calc!$Q1189&amp;"|"&amp;"1"&amp;RIGHT("00000"&amp;1180,5))</f>
        <v/>
      </c>
      <c r="C1185" t="str">
        <f t="shared" si="90"/>
        <v/>
      </c>
      <c r="D1185" t="str">
        <f t="shared" si="91"/>
        <v/>
      </c>
      <c r="F1185" t="str">
        <f>IF(Sync!$AH1185="","",IF(LEFT(UPPER(TRIM(Sync!$AH1185)),2)="SL",UPPER(TRIM(Sync!$AH1185)),""))</f>
        <v/>
      </c>
      <c r="G1185" t="str">
        <f>IF($F1185="","",IF(Sync!$AE1185="","",IF(ISNUMBER(Sync!$AE1185),IF(AND(Sync!$AE1185&gt;=10000101,Sync!$AE1185&lt;=99991231),INT(Sync!$AE1185/10000),""),IFERROR(VALUE(TRIM(LEFT(Sync!$AE1185,FIND("/",Sync!$AE1185)-1))),""))))</f>
        <v/>
      </c>
      <c r="H1185" t="str">
        <f>IF(OR($F1185="",$G1185=""),"",IF(ISNUMBER(Sync!$AE1185),INT(MOD(Sync!$AE1185,10000)/100),IFERROR(VALUE(TRIM(LEFT(MID(Sync!$AE1185,FIND("/",Sync!$AE1185)+1,20),FIND("/",MID(Sync!$AE1185,FIND("/",Sync!$AE1185)+1,20))-1))),"")))</f>
        <v/>
      </c>
      <c r="I1185" t="str">
        <f>IF(OR($F1185="",$G1185=""),"",IF(ISNUMBER(Sync!$AE1185),MOD(Sync!$AE1185,100),IFERROR(VALUE(TRIM(MID(MID(Sync!$AE1185,FIND("/",Sync!$AE1185)+1,20),FIND("/",MID(Sync!$AE1185,FIND("/",Sync!$AE1185)+1,20))+1,20))),"")))</f>
        <v/>
      </c>
      <c r="J1185" t="str">
        <f t="shared" si="92"/>
        <v/>
      </c>
      <c r="K1185" t="str">
        <f>IF(OR($F1185="",$J1185="",$J1185="نامعتبر"),"",LEFT($J1185,4)&amp;MID($J1185,6,2)&amp;RIGHT($J1185,2)&amp;$N1185&amp;"|"&amp;"2"&amp;RIGHT("00000"&amp;1180,5))</f>
        <v/>
      </c>
      <c r="L1185" t="str">
        <f t="shared" si="93"/>
        <v/>
      </c>
      <c r="M1185" t="str">
        <f t="shared" si="94"/>
        <v/>
      </c>
      <c r="N1185" t="str">
        <f>IF($F1185="","",IF(Sync!$AF1185="","0000",IF(AND(ISNUMBER(Sync!$AF1185),Sync!$AF1185&gt;=0,Sync!$AF1185&lt;1),RIGHT("00"&amp;HOUR(Sync!$AF1185),2)&amp;RIGHT("00"&amp;MINUTE(Sync!$AF1185),2),IFERROR(RIGHT("00"&amp;VALUE(LEFT(Sync!$AF1185,FIND(":",Sync!$AF1185)-1)),2)&amp;RIGHT("00"&amp;VALUE(MID(Sync!$AF1185,FIND(":",Sync!$AF1185)+1,2)),2),"0000"))))</f>
        <v/>
      </c>
    </row>
    <row r="1186" spans="1:14" x14ac:dyDescent="0.2">
      <c r="A1186" t="str">
        <f>IF(OR(Calc!$E1190="",Calc!$E1190="نامعتبر",Calc!$G1190=""),"",Calc!$G1190)</f>
        <v/>
      </c>
      <c r="B1186" t="str">
        <f>IF($A1186="","",LEFT(Calc!$E1190,4)&amp;MID(Calc!$E1190,6,2)&amp;RIGHT(Calc!$E1190,2)&amp;Calc!$Q1190&amp;"|"&amp;"1"&amp;RIGHT("00000"&amp;1181,5))</f>
        <v/>
      </c>
      <c r="C1186" t="str">
        <f t="shared" si="90"/>
        <v/>
      </c>
      <c r="D1186" t="str">
        <f t="shared" si="91"/>
        <v/>
      </c>
      <c r="F1186" t="str">
        <f>IF(Sync!$AH1186="","",IF(LEFT(UPPER(TRIM(Sync!$AH1186)),2)="SL",UPPER(TRIM(Sync!$AH1186)),""))</f>
        <v/>
      </c>
      <c r="G1186" t="str">
        <f>IF($F1186="","",IF(Sync!$AE1186="","",IF(ISNUMBER(Sync!$AE1186),IF(AND(Sync!$AE1186&gt;=10000101,Sync!$AE1186&lt;=99991231),INT(Sync!$AE1186/10000),""),IFERROR(VALUE(TRIM(LEFT(Sync!$AE1186,FIND("/",Sync!$AE1186)-1))),""))))</f>
        <v/>
      </c>
      <c r="H1186" t="str">
        <f>IF(OR($F1186="",$G1186=""),"",IF(ISNUMBER(Sync!$AE1186),INT(MOD(Sync!$AE1186,10000)/100),IFERROR(VALUE(TRIM(LEFT(MID(Sync!$AE1186,FIND("/",Sync!$AE1186)+1,20),FIND("/",MID(Sync!$AE1186,FIND("/",Sync!$AE1186)+1,20))-1))),"")))</f>
        <v/>
      </c>
      <c r="I1186" t="str">
        <f>IF(OR($F1186="",$G1186=""),"",IF(ISNUMBER(Sync!$AE1186),MOD(Sync!$AE1186,100),IFERROR(VALUE(TRIM(MID(MID(Sync!$AE1186,FIND("/",Sync!$AE1186)+1,20),FIND("/",MID(Sync!$AE1186,FIND("/",Sync!$AE1186)+1,20))+1,20))),"")))</f>
        <v/>
      </c>
      <c r="J1186" t="str">
        <f t="shared" si="92"/>
        <v/>
      </c>
      <c r="K1186" t="str">
        <f>IF(OR($F1186="",$J1186="",$J1186="نامعتبر"),"",LEFT($J1186,4)&amp;MID($J1186,6,2)&amp;RIGHT($J1186,2)&amp;$N1186&amp;"|"&amp;"2"&amp;RIGHT("00000"&amp;1181,5))</f>
        <v/>
      </c>
      <c r="L1186" t="str">
        <f t="shared" si="93"/>
        <v/>
      </c>
      <c r="M1186" t="str">
        <f t="shared" si="94"/>
        <v/>
      </c>
      <c r="N1186" t="str">
        <f>IF($F1186="","",IF(Sync!$AF1186="","0000",IF(AND(ISNUMBER(Sync!$AF1186),Sync!$AF1186&gt;=0,Sync!$AF1186&lt;1),RIGHT("00"&amp;HOUR(Sync!$AF1186),2)&amp;RIGHT("00"&amp;MINUTE(Sync!$AF1186),2),IFERROR(RIGHT("00"&amp;VALUE(LEFT(Sync!$AF1186,FIND(":",Sync!$AF1186)-1)),2)&amp;RIGHT("00"&amp;VALUE(MID(Sync!$AF1186,FIND(":",Sync!$AF1186)+1,2)),2),"0000"))))</f>
        <v/>
      </c>
    </row>
    <row r="1187" spans="1:14" x14ac:dyDescent="0.2">
      <c r="A1187" t="str">
        <f>IF(OR(Calc!$E1191="",Calc!$E1191="نامعتبر",Calc!$G1191=""),"",Calc!$G1191)</f>
        <v/>
      </c>
      <c r="B1187" t="str">
        <f>IF($A1187="","",LEFT(Calc!$E1191,4)&amp;MID(Calc!$E1191,6,2)&amp;RIGHT(Calc!$E1191,2)&amp;Calc!$Q1191&amp;"|"&amp;"1"&amp;RIGHT("00000"&amp;1182,5))</f>
        <v/>
      </c>
      <c r="C1187" t="str">
        <f t="shared" si="90"/>
        <v/>
      </c>
      <c r="D1187" t="str">
        <f t="shared" si="91"/>
        <v/>
      </c>
      <c r="F1187" t="str">
        <f>IF(Sync!$AH1187="","",IF(LEFT(UPPER(TRIM(Sync!$AH1187)),2)="SL",UPPER(TRIM(Sync!$AH1187)),""))</f>
        <v/>
      </c>
      <c r="G1187" t="str">
        <f>IF($F1187="","",IF(Sync!$AE1187="","",IF(ISNUMBER(Sync!$AE1187),IF(AND(Sync!$AE1187&gt;=10000101,Sync!$AE1187&lt;=99991231),INT(Sync!$AE1187/10000),""),IFERROR(VALUE(TRIM(LEFT(Sync!$AE1187,FIND("/",Sync!$AE1187)-1))),""))))</f>
        <v/>
      </c>
      <c r="H1187" t="str">
        <f>IF(OR($F1187="",$G1187=""),"",IF(ISNUMBER(Sync!$AE1187),INT(MOD(Sync!$AE1187,10000)/100),IFERROR(VALUE(TRIM(LEFT(MID(Sync!$AE1187,FIND("/",Sync!$AE1187)+1,20),FIND("/",MID(Sync!$AE1187,FIND("/",Sync!$AE1187)+1,20))-1))),"")))</f>
        <v/>
      </c>
      <c r="I1187" t="str">
        <f>IF(OR($F1187="",$G1187=""),"",IF(ISNUMBER(Sync!$AE1187),MOD(Sync!$AE1187,100),IFERROR(VALUE(TRIM(MID(MID(Sync!$AE1187,FIND("/",Sync!$AE1187)+1,20),FIND("/",MID(Sync!$AE1187,FIND("/",Sync!$AE1187)+1,20))+1,20))),"")))</f>
        <v/>
      </c>
      <c r="J1187" t="str">
        <f t="shared" si="92"/>
        <v/>
      </c>
      <c r="K1187" t="str">
        <f>IF(OR($F1187="",$J1187="",$J1187="نامعتبر"),"",LEFT($J1187,4)&amp;MID($J1187,6,2)&amp;RIGHT($J1187,2)&amp;$N1187&amp;"|"&amp;"2"&amp;RIGHT("00000"&amp;1182,5))</f>
        <v/>
      </c>
      <c r="L1187" t="str">
        <f t="shared" si="93"/>
        <v/>
      </c>
      <c r="M1187" t="str">
        <f t="shared" si="94"/>
        <v/>
      </c>
      <c r="N1187" t="str">
        <f>IF($F1187="","",IF(Sync!$AF1187="","0000",IF(AND(ISNUMBER(Sync!$AF1187),Sync!$AF1187&gt;=0,Sync!$AF1187&lt;1),RIGHT("00"&amp;HOUR(Sync!$AF1187),2)&amp;RIGHT("00"&amp;MINUTE(Sync!$AF1187),2),IFERROR(RIGHT("00"&amp;VALUE(LEFT(Sync!$AF1187,FIND(":",Sync!$AF1187)-1)),2)&amp;RIGHT("00"&amp;VALUE(MID(Sync!$AF1187,FIND(":",Sync!$AF1187)+1,2)),2),"0000"))))</f>
        <v/>
      </c>
    </row>
    <row r="1188" spans="1:14" x14ac:dyDescent="0.2">
      <c r="A1188" t="str">
        <f>IF(OR(Calc!$E1192="",Calc!$E1192="نامعتبر",Calc!$G1192=""),"",Calc!$G1192)</f>
        <v/>
      </c>
      <c r="B1188" t="str">
        <f>IF($A1188="","",LEFT(Calc!$E1192,4)&amp;MID(Calc!$E1192,6,2)&amp;RIGHT(Calc!$E1192,2)&amp;Calc!$Q1192&amp;"|"&amp;"1"&amp;RIGHT("00000"&amp;1183,5))</f>
        <v/>
      </c>
      <c r="C1188" t="str">
        <f t="shared" si="90"/>
        <v/>
      </c>
      <c r="D1188" t="str">
        <f t="shared" si="91"/>
        <v/>
      </c>
      <c r="F1188" t="str">
        <f>IF(Sync!$AH1188="","",IF(LEFT(UPPER(TRIM(Sync!$AH1188)),2)="SL",UPPER(TRIM(Sync!$AH1188)),""))</f>
        <v/>
      </c>
      <c r="G1188" t="str">
        <f>IF($F1188="","",IF(Sync!$AE1188="","",IF(ISNUMBER(Sync!$AE1188),IF(AND(Sync!$AE1188&gt;=10000101,Sync!$AE1188&lt;=99991231),INT(Sync!$AE1188/10000),""),IFERROR(VALUE(TRIM(LEFT(Sync!$AE1188,FIND("/",Sync!$AE1188)-1))),""))))</f>
        <v/>
      </c>
      <c r="H1188" t="str">
        <f>IF(OR($F1188="",$G1188=""),"",IF(ISNUMBER(Sync!$AE1188),INT(MOD(Sync!$AE1188,10000)/100),IFERROR(VALUE(TRIM(LEFT(MID(Sync!$AE1188,FIND("/",Sync!$AE1188)+1,20),FIND("/",MID(Sync!$AE1188,FIND("/",Sync!$AE1188)+1,20))-1))),"")))</f>
        <v/>
      </c>
      <c r="I1188" t="str">
        <f>IF(OR($F1188="",$G1188=""),"",IF(ISNUMBER(Sync!$AE1188),MOD(Sync!$AE1188,100),IFERROR(VALUE(TRIM(MID(MID(Sync!$AE1188,FIND("/",Sync!$AE1188)+1,20),FIND("/",MID(Sync!$AE1188,FIND("/",Sync!$AE1188)+1,20))+1,20))),"")))</f>
        <v/>
      </c>
      <c r="J1188" t="str">
        <f t="shared" si="92"/>
        <v/>
      </c>
      <c r="K1188" t="str">
        <f>IF(OR($F1188="",$J1188="",$J1188="نامعتبر"),"",LEFT($J1188,4)&amp;MID($J1188,6,2)&amp;RIGHT($J1188,2)&amp;$N1188&amp;"|"&amp;"2"&amp;RIGHT("00000"&amp;1183,5))</f>
        <v/>
      </c>
      <c r="L1188" t="str">
        <f t="shared" si="93"/>
        <v/>
      </c>
      <c r="M1188" t="str">
        <f t="shared" si="94"/>
        <v/>
      </c>
      <c r="N1188" t="str">
        <f>IF($F1188="","",IF(Sync!$AF1188="","0000",IF(AND(ISNUMBER(Sync!$AF1188),Sync!$AF1188&gt;=0,Sync!$AF1188&lt;1),RIGHT("00"&amp;HOUR(Sync!$AF1188),2)&amp;RIGHT("00"&amp;MINUTE(Sync!$AF1188),2),IFERROR(RIGHT("00"&amp;VALUE(LEFT(Sync!$AF1188,FIND(":",Sync!$AF1188)-1)),2)&amp;RIGHT("00"&amp;VALUE(MID(Sync!$AF1188,FIND(":",Sync!$AF1188)+1,2)),2),"0000"))))</f>
        <v/>
      </c>
    </row>
    <row r="1189" spans="1:14" x14ac:dyDescent="0.2">
      <c r="A1189" t="str">
        <f>IF(OR(Calc!$E1193="",Calc!$E1193="نامعتبر",Calc!$G1193=""),"",Calc!$G1193)</f>
        <v/>
      </c>
      <c r="B1189" t="str">
        <f>IF($A1189="","",LEFT(Calc!$E1193,4)&amp;MID(Calc!$E1193,6,2)&amp;RIGHT(Calc!$E1193,2)&amp;Calc!$Q1193&amp;"|"&amp;"1"&amp;RIGHT("00000"&amp;1184,5))</f>
        <v/>
      </c>
      <c r="C1189" t="str">
        <f t="shared" si="90"/>
        <v/>
      </c>
      <c r="D1189" t="str">
        <f t="shared" si="91"/>
        <v/>
      </c>
      <c r="F1189" t="str">
        <f>IF(Sync!$AH1189="","",IF(LEFT(UPPER(TRIM(Sync!$AH1189)),2)="SL",UPPER(TRIM(Sync!$AH1189)),""))</f>
        <v/>
      </c>
      <c r="G1189" t="str">
        <f>IF($F1189="","",IF(Sync!$AE1189="","",IF(ISNUMBER(Sync!$AE1189),IF(AND(Sync!$AE1189&gt;=10000101,Sync!$AE1189&lt;=99991231),INT(Sync!$AE1189/10000),""),IFERROR(VALUE(TRIM(LEFT(Sync!$AE1189,FIND("/",Sync!$AE1189)-1))),""))))</f>
        <v/>
      </c>
      <c r="H1189" t="str">
        <f>IF(OR($F1189="",$G1189=""),"",IF(ISNUMBER(Sync!$AE1189),INT(MOD(Sync!$AE1189,10000)/100),IFERROR(VALUE(TRIM(LEFT(MID(Sync!$AE1189,FIND("/",Sync!$AE1189)+1,20),FIND("/",MID(Sync!$AE1189,FIND("/",Sync!$AE1189)+1,20))-1))),"")))</f>
        <v/>
      </c>
      <c r="I1189" t="str">
        <f>IF(OR($F1189="",$G1189=""),"",IF(ISNUMBER(Sync!$AE1189),MOD(Sync!$AE1189,100),IFERROR(VALUE(TRIM(MID(MID(Sync!$AE1189,FIND("/",Sync!$AE1189)+1,20),FIND("/",MID(Sync!$AE1189,FIND("/",Sync!$AE1189)+1,20))+1,20))),"")))</f>
        <v/>
      </c>
      <c r="J1189" t="str">
        <f t="shared" si="92"/>
        <v/>
      </c>
      <c r="K1189" t="str">
        <f>IF(OR($F1189="",$J1189="",$J1189="نامعتبر"),"",LEFT($J1189,4)&amp;MID($J1189,6,2)&amp;RIGHT($J1189,2)&amp;$N1189&amp;"|"&amp;"2"&amp;RIGHT("00000"&amp;1184,5))</f>
        <v/>
      </c>
      <c r="L1189" t="str">
        <f t="shared" si="93"/>
        <v/>
      </c>
      <c r="M1189" t="str">
        <f t="shared" si="94"/>
        <v/>
      </c>
      <c r="N1189" t="str">
        <f>IF($F1189="","",IF(Sync!$AF1189="","0000",IF(AND(ISNUMBER(Sync!$AF1189),Sync!$AF1189&gt;=0,Sync!$AF1189&lt;1),RIGHT("00"&amp;HOUR(Sync!$AF1189),2)&amp;RIGHT("00"&amp;MINUTE(Sync!$AF1189),2),IFERROR(RIGHT("00"&amp;VALUE(LEFT(Sync!$AF1189,FIND(":",Sync!$AF1189)-1)),2)&amp;RIGHT("00"&amp;VALUE(MID(Sync!$AF1189,FIND(":",Sync!$AF1189)+1,2)),2),"0000"))))</f>
        <v/>
      </c>
    </row>
    <row r="1190" spans="1:14" x14ac:dyDescent="0.2">
      <c r="A1190" t="str">
        <f>IF(OR(Calc!$E1194="",Calc!$E1194="نامعتبر",Calc!$G1194=""),"",Calc!$G1194)</f>
        <v/>
      </c>
      <c r="B1190" t="str">
        <f>IF($A1190="","",LEFT(Calc!$E1194,4)&amp;MID(Calc!$E1194,6,2)&amp;RIGHT(Calc!$E1194,2)&amp;Calc!$Q1194&amp;"|"&amp;"1"&amp;RIGHT("00000"&amp;1185,5))</f>
        <v/>
      </c>
      <c r="C1190" t="str">
        <f t="shared" si="90"/>
        <v/>
      </c>
      <c r="D1190" t="str">
        <f t="shared" si="91"/>
        <v/>
      </c>
      <c r="F1190" t="str">
        <f>IF(Sync!$AH1190="","",IF(LEFT(UPPER(TRIM(Sync!$AH1190)),2)="SL",UPPER(TRIM(Sync!$AH1190)),""))</f>
        <v/>
      </c>
      <c r="G1190" t="str">
        <f>IF($F1190="","",IF(Sync!$AE1190="","",IF(ISNUMBER(Sync!$AE1190),IF(AND(Sync!$AE1190&gt;=10000101,Sync!$AE1190&lt;=99991231),INT(Sync!$AE1190/10000),""),IFERROR(VALUE(TRIM(LEFT(Sync!$AE1190,FIND("/",Sync!$AE1190)-1))),""))))</f>
        <v/>
      </c>
      <c r="H1190" t="str">
        <f>IF(OR($F1190="",$G1190=""),"",IF(ISNUMBER(Sync!$AE1190),INT(MOD(Sync!$AE1190,10000)/100),IFERROR(VALUE(TRIM(LEFT(MID(Sync!$AE1190,FIND("/",Sync!$AE1190)+1,20),FIND("/",MID(Sync!$AE1190,FIND("/",Sync!$AE1190)+1,20))-1))),"")))</f>
        <v/>
      </c>
      <c r="I1190" t="str">
        <f>IF(OR($F1190="",$G1190=""),"",IF(ISNUMBER(Sync!$AE1190),MOD(Sync!$AE1190,100),IFERROR(VALUE(TRIM(MID(MID(Sync!$AE1190,FIND("/",Sync!$AE1190)+1,20),FIND("/",MID(Sync!$AE1190,FIND("/",Sync!$AE1190)+1,20))+1,20))),"")))</f>
        <v/>
      </c>
      <c r="J1190" t="str">
        <f t="shared" si="92"/>
        <v/>
      </c>
      <c r="K1190" t="str">
        <f>IF(OR($F1190="",$J1190="",$J1190="نامعتبر"),"",LEFT($J1190,4)&amp;MID($J1190,6,2)&amp;RIGHT($J1190,2)&amp;$N1190&amp;"|"&amp;"2"&amp;RIGHT("00000"&amp;1185,5))</f>
        <v/>
      </c>
      <c r="L1190" t="str">
        <f t="shared" si="93"/>
        <v/>
      </c>
      <c r="M1190" t="str">
        <f t="shared" si="94"/>
        <v/>
      </c>
      <c r="N1190" t="str">
        <f>IF($F1190="","",IF(Sync!$AF1190="","0000",IF(AND(ISNUMBER(Sync!$AF1190),Sync!$AF1190&gt;=0,Sync!$AF1190&lt;1),RIGHT("00"&amp;HOUR(Sync!$AF1190),2)&amp;RIGHT("00"&amp;MINUTE(Sync!$AF1190),2),IFERROR(RIGHT("00"&amp;VALUE(LEFT(Sync!$AF1190,FIND(":",Sync!$AF1190)-1)),2)&amp;RIGHT("00"&amp;VALUE(MID(Sync!$AF1190,FIND(":",Sync!$AF1190)+1,2)),2),"0000"))))</f>
        <v/>
      </c>
    </row>
    <row r="1191" spans="1:14" x14ac:dyDescent="0.2">
      <c r="A1191" t="str">
        <f>IF(OR(Calc!$E1195="",Calc!$E1195="نامعتبر",Calc!$G1195=""),"",Calc!$G1195)</f>
        <v/>
      </c>
      <c r="B1191" t="str">
        <f>IF($A1191="","",LEFT(Calc!$E1195,4)&amp;MID(Calc!$E1195,6,2)&amp;RIGHT(Calc!$E1195,2)&amp;Calc!$Q1195&amp;"|"&amp;"1"&amp;RIGHT("00000"&amp;1186,5))</f>
        <v/>
      </c>
      <c r="C1191" t="str">
        <f t="shared" si="90"/>
        <v/>
      </c>
      <c r="D1191" t="str">
        <f t="shared" si="91"/>
        <v/>
      </c>
      <c r="F1191" t="str">
        <f>IF(Sync!$AH1191="","",IF(LEFT(UPPER(TRIM(Sync!$AH1191)),2)="SL",UPPER(TRIM(Sync!$AH1191)),""))</f>
        <v/>
      </c>
      <c r="G1191" t="str">
        <f>IF($F1191="","",IF(Sync!$AE1191="","",IF(ISNUMBER(Sync!$AE1191),IF(AND(Sync!$AE1191&gt;=10000101,Sync!$AE1191&lt;=99991231),INT(Sync!$AE1191/10000),""),IFERROR(VALUE(TRIM(LEFT(Sync!$AE1191,FIND("/",Sync!$AE1191)-1))),""))))</f>
        <v/>
      </c>
      <c r="H1191" t="str">
        <f>IF(OR($F1191="",$G1191=""),"",IF(ISNUMBER(Sync!$AE1191),INT(MOD(Sync!$AE1191,10000)/100),IFERROR(VALUE(TRIM(LEFT(MID(Sync!$AE1191,FIND("/",Sync!$AE1191)+1,20),FIND("/",MID(Sync!$AE1191,FIND("/",Sync!$AE1191)+1,20))-1))),"")))</f>
        <v/>
      </c>
      <c r="I1191" t="str">
        <f>IF(OR($F1191="",$G1191=""),"",IF(ISNUMBER(Sync!$AE1191),MOD(Sync!$AE1191,100),IFERROR(VALUE(TRIM(MID(MID(Sync!$AE1191,FIND("/",Sync!$AE1191)+1,20),FIND("/",MID(Sync!$AE1191,FIND("/",Sync!$AE1191)+1,20))+1,20))),"")))</f>
        <v/>
      </c>
      <c r="J1191" t="str">
        <f t="shared" si="92"/>
        <v/>
      </c>
      <c r="K1191" t="str">
        <f>IF(OR($F1191="",$J1191="",$J1191="نامعتبر"),"",LEFT($J1191,4)&amp;MID($J1191,6,2)&amp;RIGHT($J1191,2)&amp;$N1191&amp;"|"&amp;"2"&amp;RIGHT("00000"&amp;1186,5))</f>
        <v/>
      </c>
      <c r="L1191" t="str">
        <f t="shared" si="93"/>
        <v/>
      </c>
      <c r="M1191" t="str">
        <f t="shared" si="94"/>
        <v/>
      </c>
      <c r="N1191" t="str">
        <f>IF($F1191="","",IF(Sync!$AF1191="","0000",IF(AND(ISNUMBER(Sync!$AF1191),Sync!$AF1191&gt;=0,Sync!$AF1191&lt;1),RIGHT("00"&amp;HOUR(Sync!$AF1191),2)&amp;RIGHT("00"&amp;MINUTE(Sync!$AF1191),2),IFERROR(RIGHT("00"&amp;VALUE(LEFT(Sync!$AF1191,FIND(":",Sync!$AF1191)-1)),2)&amp;RIGHT("00"&amp;VALUE(MID(Sync!$AF1191,FIND(":",Sync!$AF1191)+1,2)),2),"0000"))))</f>
        <v/>
      </c>
    </row>
    <row r="1192" spans="1:14" x14ac:dyDescent="0.2">
      <c r="A1192" t="str">
        <f>IF(OR(Calc!$E1196="",Calc!$E1196="نامعتبر",Calc!$G1196=""),"",Calc!$G1196)</f>
        <v/>
      </c>
      <c r="B1192" t="str">
        <f>IF($A1192="","",LEFT(Calc!$E1196,4)&amp;MID(Calc!$E1196,6,2)&amp;RIGHT(Calc!$E1196,2)&amp;Calc!$Q1196&amp;"|"&amp;"1"&amp;RIGHT("00000"&amp;1187,5))</f>
        <v/>
      </c>
      <c r="C1192" t="str">
        <f t="shared" si="90"/>
        <v/>
      </c>
      <c r="D1192" t="str">
        <f t="shared" si="91"/>
        <v/>
      </c>
      <c r="F1192" t="str">
        <f>IF(Sync!$AH1192="","",IF(LEFT(UPPER(TRIM(Sync!$AH1192)),2)="SL",UPPER(TRIM(Sync!$AH1192)),""))</f>
        <v/>
      </c>
      <c r="G1192" t="str">
        <f>IF($F1192="","",IF(Sync!$AE1192="","",IF(ISNUMBER(Sync!$AE1192),IF(AND(Sync!$AE1192&gt;=10000101,Sync!$AE1192&lt;=99991231),INT(Sync!$AE1192/10000),""),IFERROR(VALUE(TRIM(LEFT(Sync!$AE1192,FIND("/",Sync!$AE1192)-1))),""))))</f>
        <v/>
      </c>
      <c r="H1192" t="str">
        <f>IF(OR($F1192="",$G1192=""),"",IF(ISNUMBER(Sync!$AE1192),INT(MOD(Sync!$AE1192,10000)/100),IFERROR(VALUE(TRIM(LEFT(MID(Sync!$AE1192,FIND("/",Sync!$AE1192)+1,20),FIND("/",MID(Sync!$AE1192,FIND("/",Sync!$AE1192)+1,20))-1))),"")))</f>
        <v/>
      </c>
      <c r="I1192" t="str">
        <f>IF(OR($F1192="",$G1192=""),"",IF(ISNUMBER(Sync!$AE1192),MOD(Sync!$AE1192,100),IFERROR(VALUE(TRIM(MID(MID(Sync!$AE1192,FIND("/",Sync!$AE1192)+1,20),FIND("/",MID(Sync!$AE1192,FIND("/",Sync!$AE1192)+1,20))+1,20))),"")))</f>
        <v/>
      </c>
      <c r="J1192" t="str">
        <f t="shared" si="92"/>
        <v/>
      </c>
      <c r="K1192" t="str">
        <f>IF(OR($F1192="",$J1192="",$J1192="نامعتبر"),"",LEFT($J1192,4)&amp;MID($J1192,6,2)&amp;RIGHT($J1192,2)&amp;$N1192&amp;"|"&amp;"2"&amp;RIGHT("00000"&amp;1187,5))</f>
        <v/>
      </c>
      <c r="L1192" t="str">
        <f t="shared" si="93"/>
        <v/>
      </c>
      <c r="M1192" t="str">
        <f t="shared" si="94"/>
        <v/>
      </c>
      <c r="N1192" t="str">
        <f>IF($F1192="","",IF(Sync!$AF1192="","0000",IF(AND(ISNUMBER(Sync!$AF1192),Sync!$AF1192&gt;=0,Sync!$AF1192&lt;1),RIGHT("00"&amp;HOUR(Sync!$AF1192),2)&amp;RIGHT("00"&amp;MINUTE(Sync!$AF1192),2),IFERROR(RIGHT("00"&amp;VALUE(LEFT(Sync!$AF1192,FIND(":",Sync!$AF1192)-1)),2)&amp;RIGHT("00"&amp;VALUE(MID(Sync!$AF1192,FIND(":",Sync!$AF1192)+1,2)),2),"0000"))))</f>
        <v/>
      </c>
    </row>
    <row r="1193" spans="1:14" x14ac:dyDescent="0.2">
      <c r="A1193" t="str">
        <f>IF(OR(Calc!$E1197="",Calc!$E1197="نامعتبر",Calc!$G1197=""),"",Calc!$G1197)</f>
        <v/>
      </c>
      <c r="B1193" t="str">
        <f>IF($A1193="","",LEFT(Calc!$E1197,4)&amp;MID(Calc!$E1197,6,2)&amp;RIGHT(Calc!$E1197,2)&amp;Calc!$Q1197&amp;"|"&amp;"1"&amp;RIGHT("00000"&amp;1188,5))</f>
        <v/>
      </c>
      <c r="C1193" t="str">
        <f t="shared" si="90"/>
        <v/>
      </c>
      <c r="D1193" t="str">
        <f t="shared" si="91"/>
        <v/>
      </c>
      <c r="F1193" t="str">
        <f>IF(Sync!$AH1193="","",IF(LEFT(UPPER(TRIM(Sync!$AH1193)),2)="SL",UPPER(TRIM(Sync!$AH1193)),""))</f>
        <v/>
      </c>
      <c r="G1193" t="str">
        <f>IF($F1193="","",IF(Sync!$AE1193="","",IF(ISNUMBER(Sync!$AE1193),IF(AND(Sync!$AE1193&gt;=10000101,Sync!$AE1193&lt;=99991231),INT(Sync!$AE1193/10000),""),IFERROR(VALUE(TRIM(LEFT(Sync!$AE1193,FIND("/",Sync!$AE1193)-1))),""))))</f>
        <v/>
      </c>
      <c r="H1193" t="str">
        <f>IF(OR($F1193="",$G1193=""),"",IF(ISNUMBER(Sync!$AE1193),INT(MOD(Sync!$AE1193,10000)/100),IFERROR(VALUE(TRIM(LEFT(MID(Sync!$AE1193,FIND("/",Sync!$AE1193)+1,20),FIND("/",MID(Sync!$AE1193,FIND("/",Sync!$AE1193)+1,20))-1))),"")))</f>
        <v/>
      </c>
      <c r="I1193" t="str">
        <f>IF(OR($F1193="",$G1193=""),"",IF(ISNUMBER(Sync!$AE1193),MOD(Sync!$AE1193,100),IFERROR(VALUE(TRIM(MID(MID(Sync!$AE1193,FIND("/",Sync!$AE1193)+1,20),FIND("/",MID(Sync!$AE1193,FIND("/",Sync!$AE1193)+1,20))+1,20))),"")))</f>
        <v/>
      </c>
      <c r="J1193" t="str">
        <f t="shared" si="92"/>
        <v/>
      </c>
      <c r="K1193" t="str">
        <f>IF(OR($F1193="",$J1193="",$J1193="نامعتبر"),"",LEFT($J1193,4)&amp;MID($J1193,6,2)&amp;RIGHT($J1193,2)&amp;$N1193&amp;"|"&amp;"2"&amp;RIGHT("00000"&amp;1188,5))</f>
        <v/>
      </c>
      <c r="L1193" t="str">
        <f t="shared" si="93"/>
        <v/>
      </c>
      <c r="M1193" t="str">
        <f t="shared" si="94"/>
        <v/>
      </c>
      <c r="N1193" t="str">
        <f>IF($F1193="","",IF(Sync!$AF1193="","0000",IF(AND(ISNUMBER(Sync!$AF1193),Sync!$AF1193&gt;=0,Sync!$AF1193&lt;1),RIGHT("00"&amp;HOUR(Sync!$AF1193),2)&amp;RIGHT("00"&amp;MINUTE(Sync!$AF1193),2),IFERROR(RIGHT("00"&amp;VALUE(LEFT(Sync!$AF1193,FIND(":",Sync!$AF1193)-1)),2)&amp;RIGHT("00"&amp;VALUE(MID(Sync!$AF1193,FIND(":",Sync!$AF1193)+1,2)),2),"0000"))))</f>
        <v/>
      </c>
    </row>
    <row r="1194" spans="1:14" x14ac:dyDescent="0.2">
      <c r="A1194" t="str">
        <f>IF(OR(Calc!$E1198="",Calc!$E1198="نامعتبر",Calc!$G1198=""),"",Calc!$G1198)</f>
        <v/>
      </c>
      <c r="B1194" t="str">
        <f>IF($A1194="","",LEFT(Calc!$E1198,4)&amp;MID(Calc!$E1198,6,2)&amp;RIGHT(Calc!$E1198,2)&amp;Calc!$Q1198&amp;"|"&amp;"1"&amp;RIGHT("00000"&amp;1189,5))</f>
        <v/>
      </c>
      <c r="C1194" t="str">
        <f t="shared" si="90"/>
        <v/>
      </c>
      <c r="D1194" t="str">
        <f t="shared" si="91"/>
        <v/>
      </c>
      <c r="F1194" t="str">
        <f>IF(Sync!$AH1194="","",IF(LEFT(UPPER(TRIM(Sync!$AH1194)),2)="SL",UPPER(TRIM(Sync!$AH1194)),""))</f>
        <v/>
      </c>
      <c r="G1194" t="str">
        <f>IF($F1194="","",IF(Sync!$AE1194="","",IF(ISNUMBER(Sync!$AE1194),IF(AND(Sync!$AE1194&gt;=10000101,Sync!$AE1194&lt;=99991231),INT(Sync!$AE1194/10000),""),IFERROR(VALUE(TRIM(LEFT(Sync!$AE1194,FIND("/",Sync!$AE1194)-1))),""))))</f>
        <v/>
      </c>
      <c r="H1194" t="str">
        <f>IF(OR($F1194="",$G1194=""),"",IF(ISNUMBER(Sync!$AE1194),INT(MOD(Sync!$AE1194,10000)/100),IFERROR(VALUE(TRIM(LEFT(MID(Sync!$AE1194,FIND("/",Sync!$AE1194)+1,20),FIND("/",MID(Sync!$AE1194,FIND("/",Sync!$AE1194)+1,20))-1))),"")))</f>
        <v/>
      </c>
      <c r="I1194" t="str">
        <f>IF(OR($F1194="",$G1194=""),"",IF(ISNUMBER(Sync!$AE1194),MOD(Sync!$AE1194,100),IFERROR(VALUE(TRIM(MID(MID(Sync!$AE1194,FIND("/",Sync!$AE1194)+1,20),FIND("/",MID(Sync!$AE1194,FIND("/",Sync!$AE1194)+1,20))+1,20))),"")))</f>
        <v/>
      </c>
      <c r="J1194" t="str">
        <f t="shared" si="92"/>
        <v/>
      </c>
      <c r="K1194" t="str">
        <f>IF(OR($F1194="",$J1194="",$J1194="نامعتبر"),"",LEFT($J1194,4)&amp;MID($J1194,6,2)&amp;RIGHT($J1194,2)&amp;$N1194&amp;"|"&amp;"2"&amp;RIGHT("00000"&amp;1189,5))</f>
        <v/>
      </c>
      <c r="L1194" t="str">
        <f t="shared" si="93"/>
        <v/>
      </c>
      <c r="M1194" t="str">
        <f t="shared" si="94"/>
        <v/>
      </c>
      <c r="N1194" t="str">
        <f>IF($F1194="","",IF(Sync!$AF1194="","0000",IF(AND(ISNUMBER(Sync!$AF1194),Sync!$AF1194&gt;=0,Sync!$AF1194&lt;1),RIGHT("00"&amp;HOUR(Sync!$AF1194),2)&amp;RIGHT("00"&amp;MINUTE(Sync!$AF1194),2),IFERROR(RIGHT("00"&amp;VALUE(LEFT(Sync!$AF1194,FIND(":",Sync!$AF1194)-1)),2)&amp;RIGHT("00"&amp;VALUE(MID(Sync!$AF1194,FIND(":",Sync!$AF1194)+1,2)),2),"0000"))))</f>
        <v/>
      </c>
    </row>
    <row r="1195" spans="1:14" x14ac:dyDescent="0.2">
      <c r="A1195" t="str">
        <f>IF(OR(Calc!$E1199="",Calc!$E1199="نامعتبر",Calc!$G1199=""),"",Calc!$G1199)</f>
        <v/>
      </c>
      <c r="B1195" t="str">
        <f>IF($A1195="","",LEFT(Calc!$E1199,4)&amp;MID(Calc!$E1199,6,2)&amp;RIGHT(Calc!$E1199,2)&amp;Calc!$Q1199&amp;"|"&amp;"1"&amp;RIGHT("00000"&amp;1190,5))</f>
        <v/>
      </c>
      <c r="C1195" t="str">
        <f t="shared" si="90"/>
        <v/>
      </c>
      <c r="D1195" t="str">
        <f t="shared" si="91"/>
        <v/>
      </c>
      <c r="F1195" t="str">
        <f>IF(Sync!$AH1195="","",IF(LEFT(UPPER(TRIM(Sync!$AH1195)),2)="SL",UPPER(TRIM(Sync!$AH1195)),""))</f>
        <v/>
      </c>
      <c r="G1195" t="str">
        <f>IF($F1195="","",IF(Sync!$AE1195="","",IF(ISNUMBER(Sync!$AE1195),IF(AND(Sync!$AE1195&gt;=10000101,Sync!$AE1195&lt;=99991231),INT(Sync!$AE1195/10000),""),IFERROR(VALUE(TRIM(LEFT(Sync!$AE1195,FIND("/",Sync!$AE1195)-1))),""))))</f>
        <v/>
      </c>
      <c r="H1195" t="str">
        <f>IF(OR($F1195="",$G1195=""),"",IF(ISNUMBER(Sync!$AE1195),INT(MOD(Sync!$AE1195,10000)/100),IFERROR(VALUE(TRIM(LEFT(MID(Sync!$AE1195,FIND("/",Sync!$AE1195)+1,20),FIND("/",MID(Sync!$AE1195,FIND("/",Sync!$AE1195)+1,20))-1))),"")))</f>
        <v/>
      </c>
      <c r="I1195" t="str">
        <f>IF(OR($F1195="",$G1195=""),"",IF(ISNUMBER(Sync!$AE1195),MOD(Sync!$AE1195,100),IFERROR(VALUE(TRIM(MID(MID(Sync!$AE1195,FIND("/",Sync!$AE1195)+1,20),FIND("/",MID(Sync!$AE1195,FIND("/",Sync!$AE1195)+1,20))+1,20))),"")))</f>
        <v/>
      </c>
      <c r="J1195" t="str">
        <f t="shared" si="92"/>
        <v/>
      </c>
      <c r="K1195" t="str">
        <f>IF(OR($F1195="",$J1195="",$J1195="نامعتبر"),"",LEFT($J1195,4)&amp;MID($J1195,6,2)&amp;RIGHT($J1195,2)&amp;$N1195&amp;"|"&amp;"2"&amp;RIGHT("00000"&amp;1190,5))</f>
        <v/>
      </c>
      <c r="L1195" t="str">
        <f t="shared" si="93"/>
        <v/>
      </c>
      <c r="M1195" t="str">
        <f t="shared" si="94"/>
        <v/>
      </c>
      <c r="N1195" t="str">
        <f>IF($F1195="","",IF(Sync!$AF1195="","0000",IF(AND(ISNUMBER(Sync!$AF1195),Sync!$AF1195&gt;=0,Sync!$AF1195&lt;1),RIGHT("00"&amp;HOUR(Sync!$AF1195),2)&amp;RIGHT("00"&amp;MINUTE(Sync!$AF1195),2),IFERROR(RIGHT("00"&amp;VALUE(LEFT(Sync!$AF1195,FIND(":",Sync!$AF1195)-1)),2)&amp;RIGHT("00"&amp;VALUE(MID(Sync!$AF1195,FIND(":",Sync!$AF1195)+1,2)),2),"0000"))))</f>
        <v/>
      </c>
    </row>
    <row r="1196" spans="1:14" x14ac:dyDescent="0.2">
      <c r="A1196" t="str">
        <f>IF(OR(Calc!$E1200="",Calc!$E1200="نامعتبر",Calc!$G1200=""),"",Calc!$G1200)</f>
        <v/>
      </c>
      <c r="B1196" t="str">
        <f>IF($A1196="","",LEFT(Calc!$E1200,4)&amp;MID(Calc!$E1200,6,2)&amp;RIGHT(Calc!$E1200,2)&amp;Calc!$Q1200&amp;"|"&amp;"1"&amp;RIGHT("00000"&amp;1191,5))</f>
        <v/>
      </c>
      <c r="C1196" t="str">
        <f t="shared" si="90"/>
        <v/>
      </c>
      <c r="D1196" t="str">
        <f t="shared" si="91"/>
        <v/>
      </c>
      <c r="F1196" t="str">
        <f>IF(Sync!$AH1196="","",IF(LEFT(UPPER(TRIM(Sync!$AH1196)),2)="SL",UPPER(TRIM(Sync!$AH1196)),""))</f>
        <v/>
      </c>
      <c r="G1196" t="str">
        <f>IF($F1196="","",IF(Sync!$AE1196="","",IF(ISNUMBER(Sync!$AE1196),IF(AND(Sync!$AE1196&gt;=10000101,Sync!$AE1196&lt;=99991231),INT(Sync!$AE1196/10000),""),IFERROR(VALUE(TRIM(LEFT(Sync!$AE1196,FIND("/",Sync!$AE1196)-1))),""))))</f>
        <v/>
      </c>
      <c r="H1196" t="str">
        <f>IF(OR($F1196="",$G1196=""),"",IF(ISNUMBER(Sync!$AE1196),INT(MOD(Sync!$AE1196,10000)/100),IFERROR(VALUE(TRIM(LEFT(MID(Sync!$AE1196,FIND("/",Sync!$AE1196)+1,20),FIND("/",MID(Sync!$AE1196,FIND("/",Sync!$AE1196)+1,20))-1))),"")))</f>
        <v/>
      </c>
      <c r="I1196" t="str">
        <f>IF(OR($F1196="",$G1196=""),"",IF(ISNUMBER(Sync!$AE1196),MOD(Sync!$AE1196,100),IFERROR(VALUE(TRIM(MID(MID(Sync!$AE1196,FIND("/",Sync!$AE1196)+1,20),FIND("/",MID(Sync!$AE1196,FIND("/",Sync!$AE1196)+1,20))+1,20))),"")))</f>
        <v/>
      </c>
      <c r="J1196" t="str">
        <f t="shared" si="92"/>
        <v/>
      </c>
      <c r="K1196" t="str">
        <f>IF(OR($F1196="",$J1196="",$J1196="نامعتبر"),"",LEFT($J1196,4)&amp;MID($J1196,6,2)&amp;RIGHT($J1196,2)&amp;$N1196&amp;"|"&amp;"2"&amp;RIGHT("00000"&amp;1191,5))</f>
        <v/>
      </c>
      <c r="L1196" t="str">
        <f t="shared" si="93"/>
        <v/>
      </c>
      <c r="M1196" t="str">
        <f t="shared" si="94"/>
        <v/>
      </c>
      <c r="N1196" t="str">
        <f>IF($F1196="","",IF(Sync!$AF1196="","0000",IF(AND(ISNUMBER(Sync!$AF1196),Sync!$AF1196&gt;=0,Sync!$AF1196&lt;1),RIGHT("00"&amp;HOUR(Sync!$AF1196),2)&amp;RIGHT("00"&amp;MINUTE(Sync!$AF1196),2),IFERROR(RIGHT("00"&amp;VALUE(LEFT(Sync!$AF1196,FIND(":",Sync!$AF1196)-1)),2)&amp;RIGHT("00"&amp;VALUE(MID(Sync!$AF1196,FIND(":",Sync!$AF1196)+1,2)),2),"0000"))))</f>
        <v/>
      </c>
    </row>
    <row r="1197" spans="1:14" x14ac:dyDescent="0.2">
      <c r="A1197" t="str">
        <f>IF(OR(Calc!$E1201="",Calc!$E1201="نامعتبر",Calc!$G1201=""),"",Calc!$G1201)</f>
        <v/>
      </c>
      <c r="B1197" t="str">
        <f>IF($A1197="","",LEFT(Calc!$E1201,4)&amp;MID(Calc!$E1201,6,2)&amp;RIGHT(Calc!$E1201,2)&amp;Calc!$Q1201&amp;"|"&amp;"1"&amp;RIGHT("00000"&amp;1192,5))</f>
        <v/>
      </c>
      <c r="C1197" t="str">
        <f t="shared" si="90"/>
        <v/>
      </c>
      <c r="D1197" t="str">
        <f t="shared" si="91"/>
        <v/>
      </c>
      <c r="F1197" t="str">
        <f>IF(Sync!$AH1197="","",IF(LEFT(UPPER(TRIM(Sync!$AH1197)),2)="SL",UPPER(TRIM(Sync!$AH1197)),""))</f>
        <v/>
      </c>
      <c r="G1197" t="str">
        <f>IF($F1197="","",IF(Sync!$AE1197="","",IF(ISNUMBER(Sync!$AE1197),IF(AND(Sync!$AE1197&gt;=10000101,Sync!$AE1197&lt;=99991231),INT(Sync!$AE1197/10000),""),IFERROR(VALUE(TRIM(LEFT(Sync!$AE1197,FIND("/",Sync!$AE1197)-1))),""))))</f>
        <v/>
      </c>
      <c r="H1197" t="str">
        <f>IF(OR($F1197="",$G1197=""),"",IF(ISNUMBER(Sync!$AE1197),INT(MOD(Sync!$AE1197,10000)/100),IFERROR(VALUE(TRIM(LEFT(MID(Sync!$AE1197,FIND("/",Sync!$AE1197)+1,20),FIND("/",MID(Sync!$AE1197,FIND("/",Sync!$AE1197)+1,20))-1))),"")))</f>
        <v/>
      </c>
      <c r="I1197" t="str">
        <f>IF(OR($F1197="",$G1197=""),"",IF(ISNUMBER(Sync!$AE1197),MOD(Sync!$AE1197,100),IFERROR(VALUE(TRIM(MID(MID(Sync!$AE1197,FIND("/",Sync!$AE1197)+1,20),FIND("/",MID(Sync!$AE1197,FIND("/",Sync!$AE1197)+1,20))+1,20))),"")))</f>
        <v/>
      </c>
      <c r="J1197" t="str">
        <f t="shared" si="92"/>
        <v/>
      </c>
      <c r="K1197" t="str">
        <f>IF(OR($F1197="",$J1197="",$J1197="نامعتبر"),"",LEFT($J1197,4)&amp;MID($J1197,6,2)&amp;RIGHT($J1197,2)&amp;$N1197&amp;"|"&amp;"2"&amp;RIGHT("00000"&amp;1192,5))</f>
        <v/>
      </c>
      <c r="L1197" t="str">
        <f t="shared" si="93"/>
        <v/>
      </c>
      <c r="M1197" t="str">
        <f t="shared" si="94"/>
        <v/>
      </c>
      <c r="N1197" t="str">
        <f>IF($F1197="","",IF(Sync!$AF1197="","0000",IF(AND(ISNUMBER(Sync!$AF1197),Sync!$AF1197&gt;=0,Sync!$AF1197&lt;1),RIGHT("00"&amp;HOUR(Sync!$AF1197),2)&amp;RIGHT("00"&amp;MINUTE(Sync!$AF1197),2),IFERROR(RIGHT("00"&amp;VALUE(LEFT(Sync!$AF1197,FIND(":",Sync!$AF1197)-1)),2)&amp;RIGHT("00"&amp;VALUE(MID(Sync!$AF1197,FIND(":",Sync!$AF1197)+1,2)),2),"0000"))))</f>
        <v/>
      </c>
    </row>
    <row r="1198" spans="1:14" x14ac:dyDescent="0.2">
      <c r="A1198" t="str">
        <f>IF(OR(Calc!$E1202="",Calc!$E1202="نامعتبر",Calc!$G1202=""),"",Calc!$G1202)</f>
        <v/>
      </c>
      <c r="B1198" t="str">
        <f>IF($A1198="","",LEFT(Calc!$E1202,4)&amp;MID(Calc!$E1202,6,2)&amp;RIGHT(Calc!$E1202,2)&amp;Calc!$Q1202&amp;"|"&amp;"1"&amp;RIGHT("00000"&amp;1193,5))</f>
        <v/>
      </c>
      <c r="C1198" t="str">
        <f t="shared" si="90"/>
        <v/>
      </c>
      <c r="D1198" t="str">
        <f t="shared" si="91"/>
        <v/>
      </c>
      <c r="F1198" t="str">
        <f>IF(Sync!$AH1198="","",IF(LEFT(UPPER(TRIM(Sync!$AH1198)),2)="SL",UPPER(TRIM(Sync!$AH1198)),""))</f>
        <v/>
      </c>
      <c r="G1198" t="str">
        <f>IF($F1198="","",IF(Sync!$AE1198="","",IF(ISNUMBER(Sync!$AE1198),IF(AND(Sync!$AE1198&gt;=10000101,Sync!$AE1198&lt;=99991231),INT(Sync!$AE1198/10000),""),IFERROR(VALUE(TRIM(LEFT(Sync!$AE1198,FIND("/",Sync!$AE1198)-1))),""))))</f>
        <v/>
      </c>
      <c r="H1198" t="str">
        <f>IF(OR($F1198="",$G1198=""),"",IF(ISNUMBER(Sync!$AE1198),INT(MOD(Sync!$AE1198,10000)/100),IFERROR(VALUE(TRIM(LEFT(MID(Sync!$AE1198,FIND("/",Sync!$AE1198)+1,20),FIND("/",MID(Sync!$AE1198,FIND("/",Sync!$AE1198)+1,20))-1))),"")))</f>
        <v/>
      </c>
      <c r="I1198" t="str">
        <f>IF(OR($F1198="",$G1198=""),"",IF(ISNUMBER(Sync!$AE1198),MOD(Sync!$AE1198,100),IFERROR(VALUE(TRIM(MID(MID(Sync!$AE1198,FIND("/",Sync!$AE1198)+1,20),FIND("/",MID(Sync!$AE1198,FIND("/",Sync!$AE1198)+1,20))+1,20))),"")))</f>
        <v/>
      </c>
      <c r="J1198" t="str">
        <f t="shared" si="92"/>
        <v/>
      </c>
      <c r="K1198" t="str">
        <f>IF(OR($F1198="",$J1198="",$J1198="نامعتبر"),"",LEFT($J1198,4)&amp;MID($J1198,6,2)&amp;RIGHT($J1198,2)&amp;$N1198&amp;"|"&amp;"2"&amp;RIGHT("00000"&amp;1193,5))</f>
        <v/>
      </c>
      <c r="L1198" t="str">
        <f t="shared" si="93"/>
        <v/>
      </c>
      <c r="M1198" t="str">
        <f t="shared" si="94"/>
        <v/>
      </c>
      <c r="N1198" t="str">
        <f>IF($F1198="","",IF(Sync!$AF1198="","0000",IF(AND(ISNUMBER(Sync!$AF1198),Sync!$AF1198&gt;=0,Sync!$AF1198&lt;1),RIGHT("00"&amp;HOUR(Sync!$AF1198),2)&amp;RIGHT("00"&amp;MINUTE(Sync!$AF1198),2),IFERROR(RIGHT("00"&amp;VALUE(LEFT(Sync!$AF1198,FIND(":",Sync!$AF1198)-1)),2)&amp;RIGHT("00"&amp;VALUE(MID(Sync!$AF1198,FIND(":",Sync!$AF1198)+1,2)),2),"0000"))))</f>
        <v/>
      </c>
    </row>
    <row r="1199" spans="1:14" x14ac:dyDescent="0.2">
      <c r="A1199" t="str">
        <f>IF(OR(Calc!$E1203="",Calc!$E1203="نامعتبر",Calc!$G1203=""),"",Calc!$G1203)</f>
        <v/>
      </c>
      <c r="B1199" t="str">
        <f>IF($A1199="","",LEFT(Calc!$E1203,4)&amp;MID(Calc!$E1203,6,2)&amp;RIGHT(Calc!$E1203,2)&amp;Calc!$Q1203&amp;"|"&amp;"1"&amp;RIGHT("00000"&amp;1194,5))</f>
        <v/>
      </c>
      <c r="C1199" t="str">
        <f t="shared" si="90"/>
        <v/>
      </c>
      <c r="D1199" t="str">
        <f t="shared" si="91"/>
        <v/>
      </c>
      <c r="F1199" t="str">
        <f>IF(Sync!$AH1199="","",IF(LEFT(UPPER(TRIM(Sync!$AH1199)),2)="SL",UPPER(TRIM(Sync!$AH1199)),""))</f>
        <v/>
      </c>
      <c r="G1199" t="str">
        <f>IF($F1199="","",IF(Sync!$AE1199="","",IF(ISNUMBER(Sync!$AE1199),IF(AND(Sync!$AE1199&gt;=10000101,Sync!$AE1199&lt;=99991231),INT(Sync!$AE1199/10000),""),IFERROR(VALUE(TRIM(LEFT(Sync!$AE1199,FIND("/",Sync!$AE1199)-1))),""))))</f>
        <v/>
      </c>
      <c r="H1199" t="str">
        <f>IF(OR($F1199="",$G1199=""),"",IF(ISNUMBER(Sync!$AE1199),INT(MOD(Sync!$AE1199,10000)/100),IFERROR(VALUE(TRIM(LEFT(MID(Sync!$AE1199,FIND("/",Sync!$AE1199)+1,20),FIND("/",MID(Sync!$AE1199,FIND("/",Sync!$AE1199)+1,20))-1))),"")))</f>
        <v/>
      </c>
      <c r="I1199" t="str">
        <f>IF(OR($F1199="",$G1199=""),"",IF(ISNUMBER(Sync!$AE1199),MOD(Sync!$AE1199,100),IFERROR(VALUE(TRIM(MID(MID(Sync!$AE1199,FIND("/",Sync!$AE1199)+1,20),FIND("/",MID(Sync!$AE1199,FIND("/",Sync!$AE1199)+1,20))+1,20))),"")))</f>
        <v/>
      </c>
      <c r="J1199" t="str">
        <f t="shared" si="92"/>
        <v/>
      </c>
      <c r="K1199" t="str">
        <f>IF(OR($F1199="",$J1199="",$J1199="نامعتبر"),"",LEFT($J1199,4)&amp;MID($J1199,6,2)&amp;RIGHT($J1199,2)&amp;$N1199&amp;"|"&amp;"2"&amp;RIGHT("00000"&amp;1194,5))</f>
        <v/>
      </c>
      <c r="L1199" t="str">
        <f t="shared" si="93"/>
        <v/>
      </c>
      <c r="M1199" t="str">
        <f t="shared" si="94"/>
        <v/>
      </c>
      <c r="N1199" t="str">
        <f>IF($F1199="","",IF(Sync!$AF1199="","0000",IF(AND(ISNUMBER(Sync!$AF1199),Sync!$AF1199&gt;=0,Sync!$AF1199&lt;1),RIGHT("00"&amp;HOUR(Sync!$AF1199),2)&amp;RIGHT("00"&amp;MINUTE(Sync!$AF1199),2),IFERROR(RIGHT("00"&amp;VALUE(LEFT(Sync!$AF1199,FIND(":",Sync!$AF1199)-1)),2)&amp;RIGHT("00"&amp;VALUE(MID(Sync!$AF1199,FIND(":",Sync!$AF1199)+1,2)),2),"0000"))))</f>
        <v/>
      </c>
    </row>
    <row r="1200" spans="1:14" x14ac:dyDescent="0.2">
      <c r="A1200" t="str">
        <f>IF(OR(Calc!$E1204="",Calc!$E1204="نامعتبر",Calc!$G1204=""),"",Calc!$G1204)</f>
        <v/>
      </c>
      <c r="B1200" t="str">
        <f>IF($A1200="","",LEFT(Calc!$E1204,4)&amp;MID(Calc!$E1204,6,2)&amp;RIGHT(Calc!$E1204,2)&amp;Calc!$Q1204&amp;"|"&amp;"1"&amp;RIGHT("00000"&amp;1195,5))</f>
        <v/>
      </c>
      <c r="C1200" t="str">
        <f t="shared" si="90"/>
        <v/>
      </c>
      <c r="D1200" t="str">
        <f t="shared" si="91"/>
        <v/>
      </c>
      <c r="F1200" t="str">
        <f>IF(Sync!$AH1200="","",IF(LEFT(UPPER(TRIM(Sync!$AH1200)),2)="SL",UPPER(TRIM(Sync!$AH1200)),""))</f>
        <v/>
      </c>
      <c r="G1200" t="str">
        <f>IF($F1200="","",IF(Sync!$AE1200="","",IF(ISNUMBER(Sync!$AE1200),IF(AND(Sync!$AE1200&gt;=10000101,Sync!$AE1200&lt;=99991231),INT(Sync!$AE1200/10000),""),IFERROR(VALUE(TRIM(LEFT(Sync!$AE1200,FIND("/",Sync!$AE1200)-1))),""))))</f>
        <v/>
      </c>
      <c r="H1200" t="str">
        <f>IF(OR($F1200="",$G1200=""),"",IF(ISNUMBER(Sync!$AE1200),INT(MOD(Sync!$AE1200,10000)/100),IFERROR(VALUE(TRIM(LEFT(MID(Sync!$AE1200,FIND("/",Sync!$AE1200)+1,20),FIND("/",MID(Sync!$AE1200,FIND("/",Sync!$AE1200)+1,20))-1))),"")))</f>
        <v/>
      </c>
      <c r="I1200" t="str">
        <f>IF(OR($F1200="",$G1200=""),"",IF(ISNUMBER(Sync!$AE1200),MOD(Sync!$AE1200,100),IFERROR(VALUE(TRIM(MID(MID(Sync!$AE1200,FIND("/",Sync!$AE1200)+1,20),FIND("/",MID(Sync!$AE1200,FIND("/",Sync!$AE1200)+1,20))+1,20))),"")))</f>
        <v/>
      </c>
      <c r="J1200" t="str">
        <f t="shared" si="92"/>
        <v/>
      </c>
      <c r="K1200" t="str">
        <f>IF(OR($F1200="",$J1200="",$J1200="نامعتبر"),"",LEFT($J1200,4)&amp;MID($J1200,6,2)&amp;RIGHT($J1200,2)&amp;$N1200&amp;"|"&amp;"2"&amp;RIGHT("00000"&amp;1195,5))</f>
        <v/>
      </c>
      <c r="L1200" t="str">
        <f t="shared" si="93"/>
        <v/>
      </c>
      <c r="M1200" t="str">
        <f t="shared" si="94"/>
        <v/>
      </c>
      <c r="N1200" t="str">
        <f>IF($F1200="","",IF(Sync!$AF1200="","0000",IF(AND(ISNUMBER(Sync!$AF1200),Sync!$AF1200&gt;=0,Sync!$AF1200&lt;1),RIGHT("00"&amp;HOUR(Sync!$AF1200),2)&amp;RIGHT("00"&amp;MINUTE(Sync!$AF1200),2),IFERROR(RIGHT("00"&amp;VALUE(LEFT(Sync!$AF1200,FIND(":",Sync!$AF1200)-1)),2)&amp;RIGHT("00"&amp;VALUE(MID(Sync!$AF1200,FIND(":",Sync!$AF1200)+1,2)),2),"0000"))))</f>
        <v/>
      </c>
    </row>
    <row r="1201" spans="1:14" x14ac:dyDescent="0.2">
      <c r="A1201" t="str">
        <f>IF(OR(Calc!$E1205="",Calc!$E1205="نامعتبر",Calc!$G1205=""),"",Calc!$G1205)</f>
        <v/>
      </c>
      <c r="B1201" t="str">
        <f>IF($A1201="","",LEFT(Calc!$E1205,4)&amp;MID(Calc!$E1205,6,2)&amp;RIGHT(Calc!$E1205,2)&amp;Calc!$Q1205&amp;"|"&amp;"1"&amp;RIGHT("00000"&amp;1196,5))</f>
        <v/>
      </c>
      <c r="C1201" t="str">
        <f t="shared" si="90"/>
        <v/>
      </c>
      <c r="D1201" t="str">
        <f t="shared" si="91"/>
        <v/>
      </c>
      <c r="F1201" t="str">
        <f>IF(Sync!$AH1201="","",IF(LEFT(UPPER(TRIM(Sync!$AH1201)),2)="SL",UPPER(TRIM(Sync!$AH1201)),""))</f>
        <v/>
      </c>
      <c r="G1201" t="str">
        <f>IF($F1201="","",IF(Sync!$AE1201="","",IF(ISNUMBER(Sync!$AE1201),IF(AND(Sync!$AE1201&gt;=10000101,Sync!$AE1201&lt;=99991231),INT(Sync!$AE1201/10000),""),IFERROR(VALUE(TRIM(LEFT(Sync!$AE1201,FIND("/",Sync!$AE1201)-1))),""))))</f>
        <v/>
      </c>
      <c r="H1201" t="str">
        <f>IF(OR($F1201="",$G1201=""),"",IF(ISNUMBER(Sync!$AE1201),INT(MOD(Sync!$AE1201,10000)/100),IFERROR(VALUE(TRIM(LEFT(MID(Sync!$AE1201,FIND("/",Sync!$AE1201)+1,20),FIND("/",MID(Sync!$AE1201,FIND("/",Sync!$AE1201)+1,20))-1))),"")))</f>
        <v/>
      </c>
      <c r="I1201" t="str">
        <f>IF(OR($F1201="",$G1201=""),"",IF(ISNUMBER(Sync!$AE1201),MOD(Sync!$AE1201,100),IFERROR(VALUE(TRIM(MID(MID(Sync!$AE1201,FIND("/",Sync!$AE1201)+1,20),FIND("/",MID(Sync!$AE1201,FIND("/",Sync!$AE1201)+1,20))+1,20))),"")))</f>
        <v/>
      </c>
      <c r="J1201" t="str">
        <f t="shared" si="92"/>
        <v/>
      </c>
      <c r="K1201" t="str">
        <f>IF(OR($F1201="",$J1201="",$J1201="نامعتبر"),"",LEFT($J1201,4)&amp;MID($J1201,6,2)&amp;RIGHT($J1201,2)&amp;$N1201&amp;"|"&amp;"2"&amp;RIGHT("00000"&amp;1196,5))</f>
        <v/>
      </c>
      <c r="L1201" t="str">
        <f t="shared" si="93"/>
        <v/>
      </c>
      <c r="M1201" t="str">
        <f t="shared" si="94"/>
        <v/>
      </c>
      <c r="N1201" t="str">
        <f>IF($F1201="","",IF(Sync!$AF1201="","0000",IF(AND(ISNUMBER(Sync!$AF1201),Sync!$AF1201&gt;=0,Sync!$AF1201&lt;1),RIGHT("00"&amp;HOUR(Sync!$AF1201),2)&amp;RIGHT("00"&amp;MINUTE(Sync!$AF1201),2),IFERROR(RIGHT("00"&amp;VALUE(LEFT(Sync!$AF1201,FIND(":",Sync!$AF1201)-1)),2)&amp;RIGHT("00"&amp;VALUE(MID(Sync!$AF1201,FIND(":",Sync!$AF1201)+1,2)),2),"0000"))))</f>
        <v/>
      </c>
    </row>
    <row r="1202" spans="1:14" x14ac:dyDescent="0.2">
      <c r="A1202" t="str">
        <f>IF(OR(Calc!$E1206="",Calc!$E1206="نامعتبر",Calc!$G1206=""),"",Calc!$G1206)</f>
        <v/>
      </c>
      <c r="B1202" t="str">
        <f>IF($A1202="","",LEFT(Calc!$E1206,4)&amp;MID(Calc!$E1206,6,2)&amp;RIGHT(Calc!$E1206,2)&amp;Calc!$Q1206&amp;"|"&amp;"1"&amp;RIGHT("00000"&amp;1197,5))</f>
        <v/>
      </c>
      <c r="C1202" t="str">
        <f t="shared" si="90"/>
        <v/>
      </c>
      <c r="D1202" t="str">
        <f t="shared" si="91"/>
        <v/>
      </c>
      <c r="F1202" t="str">
        <f>IF(Sync!$AH1202="","",IF(LEFT(UPPER(TRIM(Sync!$AH1202)),2)="SL",UPPER(TRIM(Sync!$AH1202)),""))</f>
        <v/>
      </c>
      <c r="G1202" t="str">
        <f>IF($F1202="","",IF(Sync!$AE1202="","",IF(ISNUMBER(Sync!$AE1202),IF(AND(Sync!$AE1202&gt;=10000101,Sync!$AE1202&lt;=99991231),INT(Sync!$AE1202/10000),""),IFERROR(VALUE(TRIM(LEFT(Sync!$AE1202,FIND("/",Sync!$AE1202)-1))),""))))</f>
        <v/>
      </c>
      <c r="H1202" t="str">
        <f>IF(OR($F1202="",$G1202=""),"",IF(ISNUMBER(Sync!$AE1202),INT(MOD(Sync!$AE1202,10000)/100),IFERROR(VALUE(TRIM(LEFT(MID(Sync!$AE1202,FIND("/",Sync!$AE1202)+1,20),FIND("/",MID(Sync!$AE1202,FIND("/",Sync!$AE1202)+1,20))-1))),"")))</f>
        <v/>
      </c>
      <c r="I1202" t="str">
        <f>IF(OR($F1202="",$G1202=""),"",IF(ISNUMBER(Sync!$AE1202),MOD(Sync!$AE1202,100),IFERROR(VALUE(TRIM(MID(MID(Sync!$AE1202,FIND("/",Sync!$AE1202)+1,20),FIND("/",MID(Sync!$AE1202,FIND("/",Sync!$AE1202)+1,20))+1,20))),"")))</f>
        <v/>
      </c>
      <c r="J1202" t="str">
        <f t="shared" si="92"/>
        <v/>
      </c>
      <c r="K1202" t="str">
        <f>IF(OR($F1202="",$J1202="",$J1202="نامعتبر"),"",LEFT($J1202,4)&amp;MID($J1202,6,2)&amp;RIGHT($J1202,2)&amp;$N1202&amp;"|"&amp;"2"&amp;RIGHT("00000"&amp;1197,5))</f>
        <v/>
      </c>
      <c r="L1202" t="str">
        <f t="shared" si="93"/>
        <v/>
      </c>
      <c r="M1202" t="str">
        <f t="shared" si="94"/>
        <v/>
      </c>
      <c r="N1202" t="str">
        <f>IF($F1202="","",IF(Sync!$AF1202="","0000",IF(AND(ISNUMBER(Sync!$AF1202),Sync!$AF1202&gt;=0,Sync!$AF1202&lt;1),RIGHT("00"&amp;HOUR(Sync!$AF1202),2)&amp;RIGHT("00"&amp;MINUTE(Sync!$AF1202),2),IFERROR(RIGHT("00"&amp;VALUE(LEFT(Sync!$AF1202,FIND(":",Sync!$AF1202)-1)),2)&amp;RIGHT("00"&amp;VALUE(MID(Sync!$AF1202,FIND(":",Sync!$AF1202)+1,2)),2),"0000"))))</f>
        <v/>
      </c>
    </row>
    <row r="1203" spans="1:14" x14ac:dyDescent="0.2">
      <c r="A1203" t="str">
        <f>IF(OR(Calc!$E1207="",Calc!$E1207="نامعتبر",Calc!$G1207=""),"",Calc!$G1207)</f>
        <v/>
      </c>
      <c r="B1203" t="str">
        <f>IF($A1203="","",LEFT(Calc!$E1207,4)&amp;MID(Calc!$E1207,6,2)&amp;RIGHT(Calc!$E1207,2)&amp;Calc!$Q1207&amp;"|"&amp;"1"&amp;RIGHT("00000"&amp;1198,5))</f>
        <v/>
      </c>
      <c r="C1203" t="str">
        <f t="shared" si="90"/>
        <v/>
      </c>
      <c r="D1203" t="str">
        <f t="shared" si="91"/>
        <v/>
      </c>
      <c r="F1203" t="str">
        <f>IF(Sync!$AH1203="","",IF(LEFT(UPPER(TRIM(Sync!$AH1203)),2)="SL",UPPER(TRIM(Sync!$AH1203)),""))</f>
        <v/>
      </c>
      <c r="G1203" t="str">
        <f>IF($F1203="","",IF(Sync!$AE1203="","",IF(ISNUMBER(Sync!$AE1203),IF(AND(Sync!$AE1203&gt;=10000101,Sync!$AE1203&lt;=99991231),INT(Sync!$AE1203/10000),""),IFERROR(VALUE(TRIM(LEFT(Sync!$AE1203,FIND("/",Sync!$AE1203)-1))),""))))</f>
        <v/>
      </c>
      <c r="H1203" t="str">
        <f>IF(OR($F1203="",$G1203=""),"",IF(ISNUMBER(Sync!$AE1203),INT(MOD(Sync!$AE1203,10000)/100),IFERROR(VALUE(TRIM(LEFT(MID(Sync!$AE1203,FIND("/",Sync!$AE1203)+1,20),FIND("/",MID(Sync!$AE1203,FIND("/",Sync!$AE1203)+1,20))-1))),"")))</f>
        <v/>
      </c>
      <c r="I1203" t="str">
        <f>IF(OR($F1203="",$G1203=""),"",IF(ISNUMBER(Sync!$AE1203),MOD(Sync!$AE1203,100),IFERROR(VALUE(TRIM(MID(MID(Sync!$AE1203,FIND("/",Sync!$AE1203)+1,20),FIND("/",MID(Sync!$AE1203,FIND("/",Sync!$AE1203)+1,20))+1,20))),"")))</f>
        <v/>
      </c>
      <c r="J1203" t="str">
        <f t="shared" si="92"/>
        <v/>
      </c>
      <c r="K1203" t="str">
        <f>IF(OR($F1203="",$J1203="",$J1203="نامعتبر"),"",LEFT($J1203,4)&amp;MID($J1203,6,2)&amp;RIGHT($J1203,2)&amp;$N1203&amp;"|"&amp;"2"&amp;RIGHT("00000"&amp;1198,5))</f>
        <v/>
      </c>
      <c r="L1203" t="str">
        <f t="shared" si="93"/>
        <v/>
      </c>
      <c r="M1203" t="str">
        <f t="shared" si="94"/>
        <v/>
      </c>
      <c r="N1203" t="str">
        <f>IF($F1203="","",IF(Sync!$AF1203="","0000",IF(AND(ISNUMBER(Sync!$AF1203),Sync!$AF1203&gt;=0,Sync!$AF1203&lt;1),RIGHT("00"&amp;HOUR(Sync!$AF1203),2)&amp;RIGHT("00"&amp;MINUTE(Sync!$AF1203),2),IFERROR(RIGHT("00"&amp;VALUE(LEFT(Sync!$AF1203,FIND(":",Sync!$AF1203)-1)),2)&amp;RIGHT("00"&amp;VALUE(MID(Sync!$AF1203,FIND(":",Sync!$AF1203)+1,2)),2),"0000"))))</f>
        <v/>
      </c>
    </row>
    <row r="1204" spans="1:14" x14ac:dyDescent="0.2">
      <c r="A1204" t="str">
        <f>IF(OR(Calc!$E1208="",Calc!$E1208="نامعتبر",Calc!$G1208=""),"",Calc!$G1208)</f>
        <v/>
      </c>
      <c r="B1204" t="str">
        <f>IF($A1204="","",LEFT(Calc!$E1208,4)&amp;MID(Calc!$E1208,6,2)&amp;RIGHT(Calc!$E1208,2)&amp;Calc!$Q1208&amp;"|"&amp;"1"&amp;RIGHT("00000"&amp;1199,5))</f>
        <v/>
      </c>
      <c r="C1204" t="str">
        <f t="shared" si="90"/>
        <v/>
      </c>
      <c r="D1204" t="str">
        <f t="shared" si="91"/>
        <v/>
      </c>
      <c r="F1204" t="str">
        <f>IF(Sync!$AH1204="","",IF(LEFT(UPPER(TRIM(Sync!$AH1204)),2)="SL",UPPER(TRIM(Sync!$AH1204)),""))</f>
        <v/>
      </c>
      <c r="G1204" t="str">
        <f>IF($F1204="","",IF(Sync!$AE1204="","",IF(ISNUMBER(Sync!$AE1204),IF(AND(Sync!$AE1204&gt;=10000101,Sync!$AE1204&lt;=99991231),INT(Sync!$AE1204/10000),""),IFERROR(VALUE(TRIM(LEFT(Sync!$AE1204,FIND("/",Sync!$AE1204)-1))),""))))</f>
        <v/>
      </c>
      <c r="H1204" t="str">
        <f>IF(OR($F1204="",$G1204=""),"",IF(ISNUMBER(Sync!$AE1204),INT(MOD(Sync!$AE1204,10000)/100),IFERROR(VALUE(TRIM(LEFT(MID(Sync!$AE1204,FIND("/",Sync!$AE1204)+1,20),FIND("/",MID(Sync!$AE1204,FIND("/",Sync!$AE1204)+1,20))-1))),"")))</f>
        <v/>
      </c>
      <c r="I1204" t="str">
        <f>IF(OR($F1204="",$G1204=""),"",IF(ISNUMBER(Sync!$AE1204),MOD(Sync!$AE1204,100),IFERROR(VALUE(TRIM(MID(MID(Sync!$AE1204,FIND("/",Sync!$AE1204)+1,20),FIND("/",MID(Sync!$AE1204,FIND("/",Sync!$AE1204)+1,20))+1,20))),"")))</f>
        <v/>
      </c>
      <c r="J1204" t="str">
        <f t="shared" si="92"/>
        <v/>
      </c>
      <c r="K1204" t="str">
        <f>IF(OR($F1204="",$J1204="",$J1204="نامعتبر"),"",LEFT($J1204,4)&amp;MID($J1204,6,2)&amp;RIGHT($J1204,2)&amp;$N1204&amp;"|"&amp;"2"&amp;RIGHT("00000"&amp;1199,5))</f>
        <v/>
      </c>
      <c r="L1204" t="str">
        <f t="shared" si="93"/>
        <v/>
      </c>
      <c r="M1204" t="str">
        <f t="shared" si="94"/>
        <v/>
      </c>
      <c r="N1204" t="str">
        <f>IF($F1204="","",IF(Sync!$AF1204="","0000",IF(AND(ISNUMBER(Sync!$AF1204),Sync!$AF1204&gt;=0,Sync!$AF1204&lt;1),RIGHT("00"&amp;HOUR(Sync!$AF1204),2)&amp;RIGHT("00"&amp;MINUTE(Sync!$AF1204),2),IFERROR(RIGHT("00"&amp;VALUE(LEFT(Sync!$AF1204,FIND(":",Sync!$AF1204)-1)),2)&amp;RIGHT("00"&amp;VALUE(MID(Sync!$AF1204,FIND(":",Sync!$AF1204)+1,2)),2),"0000"))))</f>
        <v/>
      </c>
    </row>
    <row r="1205" spans="1:14" x14ac:dyDescent="0.2">
      <c r="A1205" t="str">
        <f>IF(OR(Calc!$E1209="",Calc!$E1209="نامعتبر",Calc!$G1209=""),"",Calc!$G1209)</f>
        <v/>
      </c>
      <c r="B1205" t="str">
        <f>IF($A1205="","",LEFT(Calc!$E1209,4)&amp;MID(Calc!$E1209,6,2)&amp;RIGHT(Calc!$E1209,2)&amp;Calc!$Q1209&amp;"|"&amp;"1"&amp;RIGHT("00000"&amp;1200,5))</f>
        <v/>
      </c>
      <c r="C1205" t="str">
        <f t="shared" si="90"/>
        <v/>
      </c>
      <c r="D1205" t="str">
        <f t="shared" si="91"/>
        <v/>
      </c>
      <c r="F1205" t="str">
        <f>IF(Sync!$AH1205="","",IF(LEFT(UPPER(TRIM(Sync!$AH1205)),2)="SL",UPPER(TRIM(Sync!$AH1205)),""))</f>
        <v/>
      </c>
      <c r="G1205" t="str">
        <f>IF($F1205="","",IF(Sync!$AE1205="","",IF(ISNUMBER(Sync!$AE1205),IF(AND(Sync!$AE1205&gt;=10000101,Sync!$AE1205&lt;=99991231),INT(Sync!$AE1205/10000),""),IFERROR(VALUE(TRIM(LEFT(Sync!$AE1205,FIND("/",Sync!$AE1205)-1))),""))))</f>
        <v/>
      </c>
      <c r="H1205" t="str">
        <f>IF(OR($F1205="",$G1205=""),"",IF(ISNUMBER(Sync!$AE1205),INT(MOD(Sync!$AE1205,10000)/100),IFERROR(VALUE(TRIM(LEFT(MID(Sync!$AE1205,FIND("/",Sync!$AE1205)+1,20),FIND("/",MID(Sync!$AE1205,FIND("/",Sync!$AE1205)+1,20))-1))),"")))</f>
        <v/>
      </c>
      <c r="I1205" t="str">
        <f>IF(OR($F1205="",$G1205=""),"",IF(ISNUMBER(Sync!$AE1205),MOD(Sync!$AE1205,100),IFERROR(VALUE(TRIM(MID(MID(Sync!$AE1205,FIND("/",Sync!$AE1205)+1,20),FIND("/",MID(Sync!$AE1205,FIND("/",Sync!$AE1205)+1,20))+1,20))),"")))</f>
        <v/>
      </c>
      <c r="J1205" t="str">
        <f t="shared" si="92"/>
        <v/>
      </c>
      <c r="K1205" t="str">
        <f>IF(OR($F1205="",$J1205="",$J1205="نامعتبر"),"",LEFT($J1205,4)&amp;MID($J1205,6,2)&amp;RIGHT($J1205,2)&amp;$N1205&amp;"|"&amp;"2"&amp;RIGHT("00000"&amp;1200,5))</f>
        <v/>
      </c>
      <c r="L1205" t="str">
        <f t="shared" si="93"/>
        <v/>
      </c>
      <c r="M1205" t="str">
        <f t="shared" si="94"/>
        <v/>
      </c>
      <c r="N1205" t="str">
        <f>IF($F1205="","",IF(Sync!$AF1205="","0000",IF(AND(ISNUMBER(Sync!$AF1205),Sync!$AF1205&gt;=0,Sync!$AF1205&lt;1),RIGHT("00"&amp;HOUR(Sync!$AF1205),2)&amp;RIGHT("00"&amp;MINUTE(Sync!$AF1205),2),IFERROR(RIGHT("00"&amp;VALUE(LEFT(Sync!$AF1205,FIND(":",Sync!$AF1205)-1)),2)&amp;RIGHT("00"&amp;VALUE(MID(Sync!$AF1205,FIND(":",Sync!$AF1205)+1,2)),2),"0000"))))</f>
        <v/>
      </c>
    </row>
    <row r="1206" spans="1:14" x14ac:dyDescent="0.2">
      <c r="A1206" t="str">
        <f>IF(OR(Calc!$E1210="",Calc!$E1210="نامعتبر",Calc!$G1210=""),"",Calc!$G1210)</f>
        <v/>
      </c>
      <c r="B1206" t="str">
        <f>IF($A1206="","",LEFT(Calc!$E1210,4)&amp;MID(Calc!$E1210,6,2)&amp;RIGHT(Calc!$E1210,2)&amp;Calc!$Q1210&amp;"|"&amp;"1"&amp;RIGHT("00000"&amp;1201,5))</f>
        <v/>
      </c>
      <c r="C1206" t="str">
        <f t="shared" si="90"/>
        <v/>
      </c>
      <c r="D1206" t="str">
        <f t="shared" si="91"/>
        <v/>
      </c>
      <c r="F1206" t="str">
        <f>IF(Sync!$AH1206="","",IF(LEFT(UPPER(TRIM(Sync!$AH1206)),2)="SL",UPPER(TRIM(Sync!$AH1206)),""))</f>
        <v/>
      </c>
      <c r="G1206" t="str">
        <f>IF($F1206="","",IF(Sync!$AE1206="","",IF(ISNUMBER(Sync!$AE1206),IF(AND(Sync!$AE1206&gt;=10000101,Sync!$AE1206&lt;=99991231),INT(Sync!$AE1206/10000),""),IFERROR(VALUE(TRIM(LEFT(Sync!$AE1206,FIND("/",Sync!$AE1206)-1))),""))))</f>
        <v/>
      </c>
      <c r="H1206" t="str">
        <f>IF(OR($F1206="",$G1206=""),"",IF(ISNUMBER(Sync!$AE1206),INT(MOD(Sync!$AE1206,10000)/100),IFERROR(VALUE(TRIM(LEFT(MID(Sync!$AE1206,FIND("/",Sync!$AE1206)+1,20),FIND("/",MID(Sync!$AE1206,FIND("/",Sync!$AE1206)+1,20))-1))),"")))</f>
        <v/>
      </c>
      <c r="I1206" t="str">
        <f>IF(OR($F1206="",$G1206=""),"",IF(ISNUMBER(Sync!$AE1206),MOD(Sync!$AE1206,100),IFERROR(VALUE(TRIM(MID(MID(Sync!$AE1206,FIND("/",Sync!$AE1206)+1,20),FIND("/",MID(Sync!$AE1206,FIND("/",Sync!$AE1206)+1,20))+1,20))),"")))</f>
        <v/>
      </c>
      <c r="J1206" t="str">
        <f t="shared" si="92"/>
        <v/>
      </c>
      <c r="K1206" t="str">
        <f>IF(OR($F1206="",$J1206="",$J1206="نامعتبر"),"",LEFT($J1206,4)&amp;MID($J1206,6,2)&amp;RIGHT($J1206,2)&amp;$N1206&amp;"|"&amp;"2"&amp;RIGHT("00000"&amp;1201,5))</f>
        <v/>
      </c>
      <c r="L1206" t="str">
        <f t="shared" si="93"/>
        <v/>
      </c>
      <c r="M1206" t="str">
        <f t="shared" si="94"/>
        <v/>
      </c>
      <c r="N1206" t="str">
        <f>IF($F1206="","",IF(Sync!$AF1206="","0000",IF(AND(ISNUMBER(Sync!$AF1206),Sync!$AF1206&gt;=0,Sync!$AF1206&lt;1),RIGHT("00"&amp;HOUR(Sync!$AF1206),2)&amp;RIGHT("00"&amp;MINUTE(Sync!$AF1206),2),IFERROR(RIGHT("00"&amp;VALUE(LEFT(Sync!$AF1206,FIND(":",Sync!$AF1206)-1)),2)&amp;RIGHT("00"&amp;VALUE(MID(Sync!$AF1206,FIND(":",Sync!$AF1206)+1,2)),2),"0000"))))</f>
        <v/>
      </c>
    </row>
    <row r="1207" spans="1:14" x14ac:dyDescent="0.2">
      <c r="A1207" t="str">
        <f>IF(OR(Calc!$E1211="",Calc!$E1211="نامعتبر",Calc!$G1211=""),"",Calc!$G1211)</f>
        <v/>
      </c>
      <c r="B1207" t="str">
        <f>IF($A1207="","",LEFT(Calc!$E1211,4)&amp;MID(Calc!$E1211,6,2)&amp;RIGHT(Calc!$E1211,2)&amp;Calc!$Q1211&amp;"|"&amp;"1"&amp;RIGHT("00000"&amp;1202,5))</f>
        <v/>
      </c>
      <c r="C1207" t="str">
        <f t="shared" si="90"/>
        <v/>
      </c>
      <c r="D1207" t="str">
        <f t="shared" si="91"/>
        <v/>
      </c>
      <c r="F1207" t="str">
        <f>IF(Sync!$AH1207="","",IF(LEFT(UPPER(TRIM(Sync!$AH1207)),2)="SL",UPPER(TRIM(Sync!$AH1207)),""))</f>
        <v/>
      </c>
      <c r="G1207" t="str">
        <f>IF($F1207="","",IF(Sync!$AE1207="","",IF(ISNUMBER(Sync!$AE1207),IF(AND(Sync!$AE1207&gt;=10000101,Sync!$AE1207&lt;=99991231),INT(Sync!$AE1207/10000),""),IFERROR(VALUE(TRIM(LEFT(Sync!$AE1207,FIND("/",Sync!$AE1207)-1))),""))))</f>
        <v/>
      </c>
      <c r="H1207" t="str">
        <f>IF(OR($F1207="",$G1207=""),"",IF(ISNUMBER(Sync!$AE1207),INT(MOD(Sync!$AE1207,10000)/100),IFERROR(VALUE(TRIM(LEFT(MID(Sync!$AE1207,FIND("/",Sync!$AE1207)+1,20),FIND("/",MID(Sync!$AE1207,FIND("/",Sync!$AE1207)+1,20))-1))),"")))</f>
        <v/>
      </c>
      <c r="I1207" t="str">
        <f>IF(OR($F1207="",$G1207=""),"",IF(ISNUMBER(Sync!$AE1207),MOD(Sync!$AE1207,100),IFERROR(VALUE(TRIM(MID(MID(Sync!$AE1207,FIND("/",Sync!$AE1207)+1,20),FIND("/",MID(Sync!$AE1207,FIND("/",Sync!$AE1207)+1,20))+1,20))),"")))</f>
        <v/>
      </c>
      <c r="J1207" t="str">
        <f t="shared" si="92"/>
        <v/>
      </c>
      <c r="K1207" t="str">
        <f>IF(OR($F1207="",$J1207="",$J1207="نامعتبر"),"",LEFT($J1207,4)&amp;MID($J1207,6,2)&amp;RIGHT($J1207,2)&amp;$N1207&amp;"|"&amp;"2"&amp;RIGHT("00000"&amp;1202,5))</f>
        <v/>
      </c>
      <c r="L1207" t="str">
        <f t="shared" si="93"/>
        <v/>
      </c>
      <c r="M1207" t="str">
        <f t="shared" si="94"/>
        <v/>
      </c>
      <c r="N1207" t="str">
        <f>IF($F1207="","",IF(Sync!$AF1207="","0000",IF(AND(ISNUMBER(Sync!$AF1207),Sync!$AF1207&gt;=0,Sync!$AF1207&lt;1),RIGHT("00"&amp;HOUR(Sync!$AF1207),2)&amp;RIGHT("00"&amp;MINUTE(Sync!$AF1207),2),IFERROR(RIGHT("00"&amp;VALUE(LEFT(Sync!$AF1207,FIND(":",Sync!$AF1207)-1)),2)&amp;RIGHT("00"&amp;VALUE(MID(Sync!$AF1207,FIND(":",Sync!$AF1207)+1,2)),2),"0000"))))</f>
        <v/>
      </c>
    </row>
    <row r="1208" spans="1:14" x14ac:dyDescent="0.2">
      <c r="A1208" t="str">
        <f>IF(OR(Calc!$E1212="",Calc!$E1212="نامعتبر",Calc!$G1212=""),"",Calc!$G1212)</f>
        <v/>
      </c>
      <c r="B1208" t="str">
        <f>IF($A1208="","",LEFT(Calc!$E1212,4)&amp;MID(Calc!$E1212,6,2)&amp;RIGHT(Calc!$E1212,2)&amp;Calc!$Q1212&amp;"|"&amp;"1"&amp;RIGHT("00000"&amp;1203,5))</f>
        <v/>
      </c>
      <c r="C1208" t="str">
        <f t="shared" si="90"/>
        <v/>
      </c>
      <c r="D1208" t="str">
        <f t="shared" si="91"/>
        <v/>
      </c>
      <c r="F1208" t="str">
        <f>IF(Sync!$AH1208="","",IF(LEFT(UPPER(TRIM(Sync!$AH1208)),2)="SL",UPPER(TRIM(Sync!$AH1208)),""))</f>
        <v/>
      </c>
      <c r="G1208" t="str">
        <f>IF($F1208="","",IF(Sync!$AE1208="","",IF(ISNUMBER(Sync!$AE1208),IF(AND(Sync!$AE1208&gt;=10000101,Sync!$AE1208&lt;=99991231),INT(Sync!$AE1208/10000),""),IFERROR(VALUE(TRIM(LEFT(Sync!$AE1208,FIND("/",Sync!$AE1208)-1))),""))))</f>
        <v/>
      </c>
      <c r="H1208" t="str">
        <f>IF(OR($F1208="",$G1208=""),"",IF(ISNUMBER(Sync!$AE1208),INT(MOD(Sync!$AE1208,10000)/100),IFERROR(VALUE(TRIM(LEFT(MID(Sync!$AE1208,FIND("/",Sync!$AE1208)+1,20),FIND("/",MID(Sync!$AE1208,FIND("/",Sync!$AE1208)+1,20))-1))),"")))</f>
        <v/>
      </c>
      <c r="I1208" t="str">
        <f>IF(OR($F1208="",$G1208=""),"",IF(ISNUMBER(Sync!$AE1208),MOD(Sync!$AE1208,100),IFERROR(VALUE(TRIM(MID(MID(Sync!$AE1208,FIND("/",Sync!$AE1208)+1,20),FIND("/",MID(Sync!$AE1208,FIND("/",Sync!$AE1208)+1,20))+1,20))),"")))</f>
        <v/>
      </c>
      <c r="J1208" t="str">
        <f t="shared" si="92"/>
        <v/>
      </c>
      <c r="K1208" t="str">
        <f>IF(OR($F1208="",$J1208="",$J1208="نامعتبر"),"",LEFT($J1208,4)&amp;MID($J1208,6,2)&amp;RIGHT($J1208,2)&amp;$N1208&amp;"|"&amp;"2"&amp;RIGHT("00000"&amp;1203,5))</f>
        <v/>
      </c>
      <c r="L1208" t="str">
        <f t="shared" si="93"/>
        <v/>
      </c>
      <c r="M1208" t="str">
        <f t="shared" si="94"/>
        <v/>
      </c>
      <c r="N1208" t="str">
        <f>IF($F1208="","",IF(Sync!$AF1208="","0000",IF(AND(ISNUMBER(Sync!$AF1208),Sync!$AF1208&gt;=0,Sync!$AF1208&lt;1),RIGHT("00"&amp;HOUR(Sync!$AF1208),2)&amp;RIGHT("00"&amp;MINUTE(Sync!$AF1208),2),IFERROR(RIGHT("00"&amp;VALUE(LEFT(Sync!$AF1208,FIND(":",Sync!$AF1208)-1)),2)&amp;RIGHT("00"&amp;VALUE(MID(Sync!$AF1208,FIND(":",Sync!$AF1208)+1,2)),2),"0000"))))</f>
        <v/>
      </c>
    </row>
    <row r="1209" spans="1:14" x14ac:dyDescent="0.2">
      <c r="A1209" t="str">
        <f>IF(OR(Calc!$E1213="",Calc!$E1213="نامعتبر",Calc!$G1213=""),"",Calc!$G1213)</f>
        <v/>
      </c>
      <c r="B1209" t="str">
        <f>IF($A1209="","",LEFT(Calc!$E1213,4)&amp;MID(Calc!$E1213,6,2)&amp;RIGHT(Calc!$E1213,2)&amp;Calc!$Q1213&amp;"|"&amp;"1"&amp;RIGHT("00000"&amp;1204,5))</f>
        <v/>
      </c>
      <c r="C1209" t="str">
        <f t="shared" si="90"/>
        <v/>
      </c>
      <c r="D1209" t="str">
        <f t="shared" si="91"/>
        <v/>
      </c>
      <c r="F1209" t="str">
        <f>IF(Sync!$AH1209="","",IF(LEFT(UPPER(TRIM(Sync!$AH1209)),2)="SL",UPPER(TRIM(Sync!$AH1209)),""))</f>
        <v/>
      </c>
      <c r="G1209" t="str">
        <f>IF($F1209="","",IF(Sync!$AE1209="","",IF(ISNUMBER(Sync!$AE1209),IF(AND(Sync!$AE1209&gt;=10000101,Sync!$AE1209&lt;=99991231),INT(Sync!$AE1209/10000),""),IFERROR(VALUE(TRIM(LEFT(Sync!$AE1209,FIND("/",Sync!$AE1209)-1))),""))))</f>
        <v/>
      </c>
      <c r="H1209" t="str">
        <f>IF(OR($F1209="",$G1209=""),"",IF(ISNUMBER(Sync!$AE1209),INT(MOD(Sync!$AE1209,10000)/100),IFERROR(VALUE(TRIM(LEFT(MID(Sync!$AE1209,FIND("/",Sync!$AE1209)+1,20),FIND("/",MID(Sync!$AE1209,FIND("/",Sync!$AE1209)+1,20))-1))),"")))</f>
        <v/>
      </c>
      <c r="I1209" t="str">
        <f>IF(OR($F1209="",$G1209=""),"",IF(ISNUMBER(Sync!$AE1209),MOD(Sync!$AE1209,100),IFERROR(VALUE(TRIM(MID(MID(Sync!$AE1209,FIND("/",Sync!$AE1209)+1,20),FIND("/",MID(Sync!$AE1209,FIND("/",Sync!$AE1209)+1,20))+1,20))),"")))</f>
        <v/>
      </c>
      <c r="J1209" t="str">
        <f t="shared" si="92"/>
        <v/>
      </c>
      <c r="K1209" t="str">
        <f>IF(OR($F1209="",$J1209="",$J1209="نامعتبر"),"",LEFT($J1209,4)&amp;MID($J1209,6,2)&amp;RIGHT($J1209,2)&amp;$N1209&amp;"|"&amp;"2"&amp;RIGHT("00000"&amp;1204,5))</f>
        <v/>
      </c>
      <c r="L1209" t="str">
        <f t="shared" si="93"/>
        <v/>
      </c>
      <c r="M1209" t="str">
        <f t="shared" si="94"/>
        <v/>
      </c>
      <c r="N1209" t="str">
        <f>IF($F1209="","",IF(Sync!$AF1209="","0000",IF(AND(ISNUMBER(Sync!$AF1209),Sync!$AF1209&gt;=0,Sync!$AF1209&lt;1),RIGHT("00"&amp;HOUR(Sync!$AF1209),2)&amp;RIGHT("00"&amp;MINUTE(Sync!$AF1209),2),IFERROR(RIGHT("00"&amp;VALUE(LEFT(Sync!$AF1209,FIND(":",Sync!$AF1209)-1)),2)&amp;RIGHT("00"&amp;VALUE(MID(Sync!$AF1209,FIND(":",Sync!$AF1209)+1,2)),2),"0000"))))</f>
        <v/>
      </c>
    </row>
    <row r="1210" spans="1:14" x14ac:dyDescent="0.2">
      <c r="A1210" t="str">
        <f>IF(OR(Calc!$E1214="",Calc!$E1214="نامعتبر",Calc!$G1214=""),"",Calc!$G1214)</f>
        <v/>
      </c>
      <c r="B1210" t="str">
        <f>IF($A1210="","",LEFT(Calc!$E1214,4)&amp;MID(Calc!$E1214,6,2)&amp;RIGHT(Calc!$E1214,2)&amp;Calc!$Q1214&amp;"|"&amp;"1"&amp;RIGHT("00000"&amp;1205,5))</f>
        <v/>
      </c>
      <c r="C1210" t="str">
        <f t="shared" si="90"/>
        <v/>
      </c>
      <c r="D1210" t="str">
        <f t="shared" si="91"/>
        <v/>
      </c>
      <c r="F1210" t="str">
        <f>IF(Sync!$AH1210="","",IF(LEFT(UPPER(TRIM(Sync!$AH1210)),2)="SL",UPPER(TRIM(Sync!$AH1210)),""))</f>
        <v/>
      </c>
      <c r="G1210" t="str">
        <f>IF($F1210="","",IF(Sync!$AE1210="","",IF(ISNUMBER(Sync!$AE1210),IF(AND(Sync!$AE1210&gt;=10000101,Sync!$AE1210&lt;=99991231),INT(Sync!$AE1210/10000),""),IFERROR(VALUE(TRIM(LEFT(Sync!$AE1210,FIND("/",Sync!$AE1210)-1))),""))))</f>
        <v/>
      </c>
      <c r="H1210" t="str">
        <f>IF(OR($F1210="",$G1210=""),"",IF(ISNUMBER(Sync!$AE1210),INT(MOD(Sync!$AE1210,10000)/100),IFERROR(VALUE(TRIM(LEFT(MID(Sync!$AE1210,FIND("/",Sync!$AE1210)+1,20),FIND("/",MID(Sync!$AE1210,FIND("/",Sync!$AE1210)+1,20))-1))),"")))</f>
        <v/>
      </c>
      <c r="I1210" t="str">
        <f>IF(OR($F1210="",$G1210=""),"",IF(ISNUMBER(Sync!$AE1210),MOD(Sync!$AE1210,100),IFERROR(VALUE(TRIM(MID(MID(Sync!$AE1210,FIND("/",Sync!$AE1210)+1,20),FIND("/",MID(Sync!$AE1210,FIND("/",Sync!$AE1210)+1,20))+1,20))),"")))</f>
        <v/>
      </c>
      <c r="J1210" t="str">
        <f t="shared" si="92"/>
        <v/>
      </c>
      <c r="K1210" t="str">
        <f>IF(OR($F1210="",$J1210="",$J1210="نامعتبر"),"",LEFT($J1210,4)&amp;MID($J1210,6,2)&amp;RIGHT($J1210,2)&amp;$N1210&amp;"|"&amp;"2"&amp;RIGHT("00000"&amp;1205,5))</f>
        <v/>
      </c>
      <c r="L1210" t="str">
        <f t="shared" si="93"/>
        <v/>
      </c>
      <c r="M1210" t="str">
        <f t="shared" si="94"/>
        <v/>
      </c>
      <c r="N1210" t="str">
        <f>IF($F1210="","",IF(Sync!$AF1210="","0000",IF(AND(ISNUMBER(Sync!$AF1210),Sync!$AF1210&gt;=0,Sync!$AF1210&lt;1),RIGHT("00"&amp;HOUR(Sync!$AF1210),2)&amp;RIGHT("00"&amp;MINUTE(Sync!$AF1210),2),IFERROR(RIGHT("00"&amp;VALUE(LEFT(Sync!$AF1210,FIND(":",Sync!$AF1210)-1)),2)&amp;RIGHT("00"&amp;VALUE(MID(Sync!$AF1210,FIND(":",Sync!$AF1210)+1,2)),2),"0000"))))</f>
        <v/>
      </c>
    </row>
    <row r="1211" spans="1:14" x14ac:dyDescent="0.2">
      <c r="A1211" t="str">
        <f>IF(OR(Calc!$E1215="",Calc!$E1215="نامعتبر",Calc!$G1215=""),"",Calc!$G1215)</f>
        <v/>
      </c>
      <c r="B1211" t="str">
        <f>IF($A1211="","",LEFT(Calc!$E1215,4)&amp;MID(Calc!$E1215,6,2)&amp;RIGHT(Calc!$E1215,2)&amp;Calc!$Q1215&amp;"|"&amp;"1"&amp;RIGHT("00000"&amp;1206,5))</f>
        <v/>
      </c>
      <c r="C1211" t="str">
        <f t="shared" si="90"/>
        <v/>
      </c>
      <c r="D1211" t="str">
        <f t="shared" si="91"/>
        <v/>
      </c>
      <c r="F1211" t="str">
        <f>IF(Sync!$AH1211="","",IF(LEFT(UPPER(TRIM(Sync!$AH1211)),2)="SL",UPPER(TRIM(Sync!$AH1211)),""))</f>
        <v/>
      </c>
      <c r="G1211" t="str">
        <f>IF($F1211="","",IF(Sync!$AE1211="","",IF(ISNUMBER(Sync!$AE1211),IF(AND(Sync!$AE1211&gt;=10000101,Sync!$AE1211&lt;=99991231),INT(Sync!$AE1211/10000),""),IFERROR(VALUE(TRIM(LEFT(Sync!$AE1211,FIND("/",Sync!$AE1211)-1))),""))))</f>
        <v/>
      </c>
      <c r="H1211" t="str">
        <f>IF(OR($F1211="",$G1211=""),"",IF(ISNUMBER(Sync!$AE1211),INT(MOD(Sync!$AE1211,10000)/100),IFERROR(VALUE(TRIM(LEFT(MID(Sync!$AE1211,FIND("/",Sync!$AE1211)+1,20),FIND("/",MID(Sync!$AE1211,FIND("/",Sync!$AE1211)+1,20))-1))),"")))</f>
        <v/>
      </c>
      <c r="I1211" t="str">
        <f>IF(OR($F1211="",$G1211=""),"",IF(ISNUMBER(Sync!$AE1211),MOD(Sync!$AE1211,100),IFERROR(VALUE(TRIM(MID(MID(Sync!$AE1211,FIND("/",Sync!$AE1211)+1,20),FIND("/",MID(Sync!$AE1211,FIND("/",Sync!$AE1211)+1,20))+1,20))),"")))</f>
        <v/>
      </c>
      <c r="J1211" t="str">
        <f t="shared" si="92"/>
        <v/>
      </c>
      <c r="K1211" t="str">
        <f>IF(OR($F1211="",$J1211="",$J1211="نامعتبر"),"",LEFT($J1211,4)&amp;MID($J1211,6,2)&amp;RIGHT($J1211,2)&amp;$N1211&amp;"|"&amp;"2"&amp;RIGHT("00000"&amp;1206,5))</f>
        <v/>
      </c>
      <c r="L1211" t="str">
        <f t="shared" si="93"/>
        <v/>
      </c>
      <c r="M1211" t="str">
        <f t="shared" si="94"/>
        <v/>
      </c>
      <c r="N1211" t="str">
        <f>IF($F1211="","",IF(Sync!$AF1211="","0000",IF(AND(ISNUMBER(Sync!$AF1211),Sync!$AF1211&gt;=0,Sync!$AF1211&lt;1),RIGHT("00"&amp;HOUR(Sync!$AF1211),2)&amp;RIGHT("00"&amp;MINUTE(Sync!$AF1211),2),IFERROR(RIGHT("00"&amp;VALUE(LEFT(Sync!$AF1211,FIND(":",Sync!$AF1211)-1)),2)&amp;RIGHT("00"&amp;VALUE(MID(Sync!$AF1211,FIND(":",Sync!$AF1211)+1,2)),2),"0000"))))</f>
        <v/>
      </c>
    </row>
    <row r="1212" spans="1:14" x14ac:dyDescent="0.2">
      <c r="A1212" t="str">
        <f>IF(OR(Calc!$E1216="",Calc!$E1216="نامعتبر",Calc!$G1216=""),"",Calc!$G1216)</f>
        <v/>
      </c>
      <c r="B1212" t="str">
        <f>IF($A1212="","",LEFT(Calc!$E1216,4)&amp;MID(Calc!$E1216,6,2)&amp;RIGHT(Calc!$E1216,2)&amp;Calc!$Q1216&amp;"|"&amp;"1"&amp;RIGHT("00000"&amp;1207,5))</f>
        <v/>
      </c>
      <c r="C1212" t="str">
        <f t="shared" si="90"/>
        <v/>
      </c>
      <c r="D1212" t="str">
        <f t="shared" si="91"/>
        <v/>
      </c>
      <c r="F1212" t="str">
        <f>IF(Sync!$AH1212="","",IF(LEFT(UPPER(TRIM(Sync!$AH1212)),2)="SL",UPPER(TRIM(Sync!$AH1212)),""))</f>
        <v/>
      </c>
      <c r="G1212" t="str">
        <f>IF($F1212="","",IF(Sync!$AE1212="","",IF(ISNUMBER(Sync!$AE1212),IF(AND(Sync!$AE1212&gt;=10000101,Sync!$AE1212&lt;=99991231),INT(Sync!$AE1212/10000),""),IFERROR(VALUE(TRIM(LEFT(Sync!$AE1212,FIND("/",Sync!$AE1212)-1))),""))))</f>
        <v/>
      </c>
      <c r="H1212" t="str">
        <f>IF(OR($F1212="",$G1212=""),"",IF(ISNUMBER(Sync!$AE1212),INT(MOD(Sync!$AE1212,10000)/100),IFERROR(VALUE(TRIM(LEFT(MID(Sync!$AE1212,FIND("/",Sync!$AE1212)+1,20),FIND("/",MID(Sync!$AE1212,FIND("/",Sync!$AE1212)+1,20))-1))),"")))</f>
        <v/>
      </c>
      <c r="I1212" t="str">
        <f>IF(OR($F1212="",$G1212=""),"",IF(ISNUMBER(Sync!$AE1212),MOD(Sync!$AE1212,100),IFERROR(VALUE(TRIM(MID(MID(Sync!$AE1212,FIND("/",Sync!$AE1212)+1,20),FIND("/",MID(Sync!$AE1212,FIND("/",Sync!$AE1212)+1,20))+1,20))),"")))</f>
        <v/>
      </c>
      <c r="J1212" t="str">
        <f t="shared" si="92"/>
        <v/>
      </c>
      <c r="K1212" t="str">
        <f>IF(OR($F1212="",$J1212="",$J1212="نامعتبر"),"",LEFT($J1212,4)&amp;MID($J1212,6,2)&amp;RIGHT($J1212,2)&amp;$N1212&amp;"|"&amp;"2"&amp;RIGHT("00000"&amp;1207,5))</f>
        <v/>
      </c>
      <c r="L1212" t="str">
        <f t="shared" si="93"/>
        <v/>
      </c>
      <c r="M1212" t="str">
        <f t="shared" si="94"/>
        <v/>
      </c>
      <c r="N1212" t="str">
        <f>IF($F1212="","",IF(Sync!$AF1212="","0000",IF(AND(ISNUMBER(Sync!$AF1212),Sync!$AF1212&gt;=0,Sync!$AF1212&lt;1),RIGHT("00"&amp;HOUR(Sync!$AF1212),2)&amp;RIGHT("00"&amp;MINUTE(Sync!$AF1212),2),IFERROR(RIGHT("00"&amp;VALUE(LEFT(Sync!$AF1212,FIND(":",Sync!$AF1212)-1)),2)&amp;RIGHT("00"&amp;VALUE(MID(Sync!$AF1212,FIND(":",Sync!$AF1212)+1,2)),2),"0000"))))</f>
        <v/>
      </c>
    </row>
    <row r="1213" spans="1:14" x14ac:dyDescent="0.2">
      <c r="A1213" t="str">
        <f>IF(OR(Calc!$E1217="",Calc!$E1217="نامعتبر",Calc!$G1217=""),"",Calc!$G1217)</f>
        <v/>
      </c>
      <c r="B1213" t="str">
        <f>IF($A1213="","",LEFT(Calc!$E1217,4)&amp;MID(Calc!$E1217,6,2)&amp;RIGHT(Calc!$E1217,2)&amp;Calc!$Q1217&amp;"|"&amp;"1"&amp;RIGHT("00000"&amp;1208,5))</f>
        <v/>
      </c>
      <c r="C1213" t="str">
        <f t="shared" si="90"/>
        <v/>
      </c>
      <c r="D1213" t="str">
        <f t="shared" si="91"/>
        <v/>
      </c>
      <c r="F1213" t="str">
        <f>IF(Sync!$AH1213="","",IF(LEFT(UPPER(TRIM(Sync!$AH1213)),2)="SL",UPPER(TRIM(Sync!$AH1213)),""))</f>
        <v/>
      </c>
      <c r="G1213" t="str">
        <f>IF($F1213="","",IF(Sync!$AE1213="","",IF(ISNUMBER(Sync!$AE1213),IF(AND(Sync!$AE1213&gt;=10000101,Sync!$AE1213&lt;=99991231),INT(Sync!$AE1213/10000),""),IFERROR(VALUE(TRIM(LEFT(Sync!$AE1213,FIND("/",Sync!$AE1213)-1))),""))))</f>
        <v/>
      </c>
      <c r="H1213" t="str">
        <f>IF(OR($F1213="",$G1213=""),"",IF(ISNUMBER(Sync!$AE1213),INT(MOD(Sync!$AE1213,10000)/100),IFERROR(VALUE(TRIM(LEFT(MID(Sync!$AE1213,FIND("/",Sync!$AE1213)+1,20),FIND("/",MID(Sync!$AE1213,FIND("/",Sync!$AE1213)+1,20))-1))),"")))</f>
        <v/>
      </c>
      <c r="I1213" t="str">
        <f>IF(OR($F1213="",$G1213=""),"",IF(ISNUMBER(Sync!$AE1213),MOD(Sync!$AE1213,100),IFERROR(VALUE(TRIM(MID(MID(Sync!$AE1213,FIND("/",Sync!$AE1213)+1,20),FIND("/",MID(Sync!$AE1213,FIND("/",Sync!$AE1213)+1,20))+1,20))),"")))</f>
        <v/>
      </c>
      <c r="J1213" t="str">
        <f t="shared" si="92"/>
        <v/>
      </c>
      <c r="K1213" t="str">
        <f>IF(OR($F1213="",$J1213="",$J1213="نامعتبر"),"",LEFT($J1213,4)&amp;MID($J1213,6,2)&amp;RIGHT($J1213,2)&amp;$N1213&amp;"|"&amp;"2"&amp;RIGHT("00000"&amp;1208,5))</f>
        <v/>
      </c>
      <c r="L1213" t="str">
        <f t="shared" si="93"/>
        <v/>
      </c>
      <c r="M1213" t="str">
        <f t="shared" si="94"/>
        <v/>
      </c>
      <c r="N1213" t="str">
        <f>IF($F1213="","",IF(Sync!$AF1213="","0000",IF(AND(ISNUMBER(Sync!$AF1213),Sync!$AF1213&gt;=0,Sync!$AF1213&lt;1),RIGHT("00"&amp;HOUR(Sync!$AF1213),2)&amp;RIGHT("00"&amp;MINUTE(Sync!$AF1213),2),IFERROR(RIGHT("00"&amp;VALUE(LEFT(Sync!$AF1213,FIND(":",Sync!$AF1213)-1)),2)&amp;RIGHT("00"&amp;VALUE(MID(Sync!$AF1213,FIND(":",Sync!$AF1213)+1,2)),2),"0000"))))</f>
        <v/>
      </c>
    </row>
    <row r="1214" spans="1:14" x14ac:dyDescent="0.2">
      <c r="A1214" t="str">
        <f>IF(OR(Calc!$E1218="",Calc!$E1218="نامعتبر",Calc!$G1218=""),"",Calc!$G1218)</f>
        <v/>
      </c>
      <c r="B1214" t="str">
        <f>IF($A1214="","",LEFT(Calc!$E1218,4)&amp;MID(Calc!$E1218,6,2)&amp;RIGHT(Calc!$E1218,2)&amp;Calc!$Q1218&amp;"|"&amp;"1"&amp;RIGHT("00000"&amp;1209,5))</f>
        <v/>
      </c>
      <c r="C1214" t="str">
        <f t="shared" si="90"/>
        <v/>
      </c>
      <c r="D1214" t="str">
        <f t="shared" si="91"/>
        <v/>
      </c>
      <c r="F1214" t="str">
        <f>IF(Sync!$AH1214="","",IF(LEFT(UPPER(TRIM(Sync!$AH1214)),2)="SL",UPPER(TRIM(Sync!$AH1214)),""))</f>
        <v/>
      </c>
      <c r="G1214" t="str">
        <f>IF($F1214="","",IF(Sync!$AE1214="","",IF(ISNUMBER(Sync!$AE1214),IF(AND(Sync!$AE1214&gt;=10000101,Sync!$AE1214&lt;=99991231),INT(Sync!$AE1214/10000),""),IFERROR(VALUE(TRIM(LEFT(Sync!$AE1214,FIND("/",Sync!$AE1214)-1))),""))))</f>
        <v/>
      </c>
      <c r="H1214" t="str">
        <f>IF(OR($F1214="",$G1214=""),"",IF(ISNUMBER(Sync!$AE1214),INT(MOD(Sync!$AE1214,10000)/100),IFERROR(VALUE(TRIM(LEFT(MID(Sync!$AE1214,FIND("/",Sync!$AE1214)+1,20),FIND("/",MID(Sync!$AE1214,FIND("/",Sync!$AE1214)+1,20))-1))),"")))</f>
        <v/>
      </c>
      <c r="I1214" t="str">
        <f>IF(OR($F1214="",$G1214=""),"",IF(ISNUMBER(Sync!$AE1214),MOD(Sync!$AE1214,100),IFERROR(VALUE(TRIM(MID(MID(Sync!$AE1214,FIND("/",Sync!$AE1214)+1,20),FIND("/",MID(Sync!$AE1214,FIND("/",Sync!$AE1214)+1,20))+1,20))),"")))</f>
        <v/>
      </c>
      <c r="J1214" t="str">
        <f t="shared" si="92"/>
        <v/>
      </c>
      <c r="K1214" t="str">
        <f>IF(OR($F1214="",$J1214="",$J1214="نامعتبر"),"",LEFT($J1214,4)&amp;MID($J1214,6,2)&amp;RIGHT($J1214,2)&amp;$N1214&amp;"|"&amp;"2"&amp;RIGHT("00000"&amp;1209,5))</f>
        <v/>
      </c>
      <c r="L1214" t="str">
        <f t="shared" si="93"/>
        <v/>
      </c>
      <c r="M1214" t="str">
        <f t="shared" si="94"/>
        <v/>
      </c>
      <c r="N1214" t="str">
        <f>IF($F1214="","",IF(Sync!$AF1214="","0000",IF(AND(ISNUMBER(Sync!$AF1214),Sync!$AF1214&gt;=0,Sync!$AF1214&lt;1),RIGHT("00"&amp;HOUR(Sync!$AF1214),2)&amp;RIGHT("00"&amp;MINUTE(Sync!$AF1214),2),IFERROR(RIGHT("00"&amp;VALUE(LEFT(Sync!$AF1214,FIND(":",Sync!$AF1214)-1)),2)&amp;RIGHT("00"&amp;VALUE(MID(Sync!$AF1214,FIND(":",Sync!$AF1214)+1,2)),2),"0000"))))</f>
        <v/>
      </c>
    </row>
    <row r="1215" spans="1:14" x14ac:dyDescent="0.2">
      <c r="A1215" t="str">
        <f>IF(OR(Calc!$E1219="",Calc!$E1219="نامعتبر",Calc!$G1219=""),"",Calc!$G1219)</f>
        <v/>
      </c>
      <c r="B1215" t="str">
        <f>IF($A1215="","",LEFT(Calc!$E1219,4)&amp;MID(Calc!$E1219,6,2)&amp;RIGHT(Calc!$E1219,2)&amp;Calc!$Q1219&amp;"|"&amp;"1"&amp;RIGHT("00000"&amp;1210,5))</f>
        <v/>
      </c>
      <c r="C1215" t="str">
        <f t="shared" si="90"/>
        <v/>
      </c>
      <c r="D1215" t="str">
        <f t="shared" si="91"/>
        <v/>
      </c>
      <c r="F1215" t="str">
        <f>IF(Sync!$AH1215="","",IF(LEFT(UPPER(TRIM(Sync!$AH1215)),2)="SL",UPPER(TRIM(Sync!$AH1215)),""))</f>
        <v/>
      </c>
      <c r="G1215" t="str">
        <f>IF($F1215="","",IF(Sync!$AE1215="","",IF(ISNUMBER(Sync!$AE1215),IF(AND(Sync!$AE1215&gt;=10000101,Sync!$AE1215&lt;=99991231),INT(Sync!$AE1215/10000),""),IFERROR(VALUE(TRIM(LEFT(Sync!$AE1215,FIND("/",Sync!$AE1215)-1))),""))))</f>
        <v/>
      </c>
      <c r="H1215" t="str">
        <f>IF(OR($F1215="",$G1215=""),"",IF(ISNUMBER(Sync!$AE1215),INT(MOD(Sync!$AE1215,10000)/100),IFERROR(VALUE(TRIM(LEFT(MID(Sync!$AE1215,FIND("/",Sync!$AE1215)+1,20),FIND("/",MID(Sync!$AE1215,FIND("/",Sync!$AE1215)+1,20))-1))),"")))</f>
        <v/>
      </c>
      <c r="I1215" t="str">
        <f>IF(OR($F1215="",$G1215=""),"",IF(ISNUMBER(Sync!$AE1215),MOD(Sync!$AE1215,100),IFERROR(VALUE(TRIM(MID(MID(Sync!$AE1215,FIND("/",Sync!$AE1215)+1,20),FIND("/",MID(Sync!$AE1215,FIND("/",Sync!$AE1215)+1,20))+1,20))),"")))</f>
        <v/>
      </c>
      <c r="J1215" t="str">
        <f t="shared" si="92"/>
        <v/>
      </c>
      <c r="K1215" t="str">
        <f>IF(OR($F1215="",$J1215="",$J1215="نامعتبر"),"",LEFT($J1215,4)&amp;MID($J1215,6,2)&amp;RIGHT($J1215,2)&amp;$N1215&amp;"|"&amp;"2"&amp;RIGHT("00000"&amp;1210,5))</f>
        <v/>
      </c>
      <c r="L1215" t="str">
        <f t="shared" si="93"/>
        <v/>
      </c>
      <c r="M1215" t="str">
        <f t="shared" si="94"/>
        <v/>
      </c>
      <c r="N1215" t="str">
        <f>IF($F1215="","",IF(Sync!$AF1215="","0000",IF(AND(ISNUMBER(Sync!$AF1215),Sync!$AF1215&gt;=0,Sync!$AF1215&lt;1),RIGHT("00"&amp;HOUR(Sync!$AF1215),2)&amp;RIGHT("00"&amp;MINUTE(Sync!$AF1215),2),IFERROR(RIGHT("00"&amp;VALUE(LEFT(Sync!$AF1215,FIND(":",Sync!$AF1215)-1)),2)&amp;RIGHT("00"&amp;VALUE(MID(Sync!$AF1215,FIND(":",Sync!$AF1215)+1,2)),2),"0000"))))</f>
        <v/>
      </c>
    </row>
    <row r="1216" spans="1:14" x14ac:dyDescent="0.2">
      <c r="A1216" t="str">
        <f>IF(OR(Calc!$E1220="",Calc!$E1220="نامعتبر",Calc!$G1220=""),"",Calc!$G1220)</f>
        <v/>
      </c>
      <c r="B1216" t="str">
        <f>IF($A1216="","",LEFT(Calc!$E1220,4)&amp;MID(Calc!$E1220,6,2)&amp;RIGHT(Calc!$E1220,2)&amp;Calc!$Q1220&amp;"|"&amp;"1"&amp;RIGHT("00000"&amp;1211,5))</f>
        <v/>
      </c>
      <c r="C1216" t="str">
        <f t="shared" si="90"/>
        <v/>
      </c>
      <c r="D1216" t="str">
        <f t="shared" si="91"/>
        <v/>
      </c>
      <c r="F1216" t="str">
        <f>IF(Sync!$AH1216="","",IF(LEFT(UPPER(TRIM(Sync!$AH1216)),2)="SL",UPPER(TRIM(Sync!$AH1216)),""))</f>
        <v/>
      </c>
      <c r="G1216" t="str">
        <f>IF($F1216="","",IF(Sync!$AE1216="","",IF(ISNUMBER(Sync!$AE1216),IF(AND(Sync!$AE1216&gt;=10000101,Sync!$AE1216&lt;=99991231),INT(Sync!$AE1216/10000),""),IFERROR(VALUE(TRIM(LEFT(Sync!$AE1216,FIND("/",Sync!$AE1216)-1))),""))))</f>
        <v/>
      </c>
      <c r="H1216" t="str">
        <f>IF(OR($F1216="",$G1216=""),"",IF(ISNUMBER(Sync!$AE1216),INT(MOD(Sync!$AE1216,10000)/100),IFERROR(VALUE(TRIM(LEFT(MID(Sync!$AE1216,FIND("/",Sync!$AE1216)+1,20),FIND("/",MID(Sync!$AE1216,FIND("/",Sync!$AE1216)+1,20))-1))),"")))</f>
        <v/>
      </c>
      <c r="I1216" t="str">
        <f>IF(OR($F1216="",$G1216=""),"",IF(ISNUMBER(Sync!$AE1216),MOD(Sync!$AE1216,100),IFERROR(VALUE(TRIM(MID(MID(Sync!$AE1216,FIND("/",Sync!$AE1216)+1,20),FIND("/",MID(Sync!$AE1216,FIND("/",Sync!$AE1216)+1,20))+1,20))),"")))</f>
        <v/>
      </c>
      <c r="J1216" t="str">
        <f t="shared" si="92"/>
        <v/>
      </c>
      <c r="K1216" t="str">
        <f>IF(OR($F1216="",$J1216="",$J1216="نامعتبر"),"",LEFT($J1216,4)&amp;MID($J1216,6,2)&amp;RIGHT($J1216,2)&amp;$N1216&amp;"|"&amp;"2"&amp;RIGHT("00000"&amp;1211,5))</f>
        <v/>
      </c>
      <c r="L1216" t="str">
        <f t="shared" si="93"/>
        <v/>
      </c>
      <c r="M1216" t="str">
        <f t="shared" si="94"/>
        <v/>
      </c>
      <c r="N1216" t="str">
        <f>IF($F1216="","",IF(Sync!$AF1216="","0000",IF(AND(ISNUMBER(Sync!$AF1216),Sync!$AF1216&gt;=0,Sync!$AF1216&lt;1),RIGHT("00"&amp;HOUR(Sync!$AF1216),2)&amp;RIGHT("00"&amp;MINUTE(Sync!$AF1216),2),IFERROR(RIGHT("00"&amp;VALUE(LEFT(Sync!$AF1216,FIND(":",Sync!$AF1216)-1)),2)&amp;RIGHT("00"&amp;VALUE(MID(Sync!$AF1216,FIND(":",Sync!$AF1216)+1,2)),2),"0000"))))</f>
        <v/>
      </c>
    </row>
    <row r="1217" spans="1:14" x14ac:dyDescent="0.2">
      <c r="A1217" t="str">
        <f>IF(OR(Calc!$E1221="",Calc!$E1221="نامعتبر",Calc!$G1221=""),"",Calc!$G1221)</f>
        <v/>
      </c>
      <c r="B1217" t="str">
        <f>IF($A1217="","",LEFT(Calc!$E1221,4)&amp;MID(Calc!$E1221,6,2)&amp;RIGHT(Calc!$E1221,2)&amp;Calc!$Q1221&amp;"|"&amp;"1"&amp;RIGHT("00000"&amp;1212,5))</f>
        <v/>
      </c>
      <c r="C1217" t="str">
        <f t="shared" si="90"/>
        <v/>
      </c>
      <c r="D1217" t="str">
        <f t="shared" si="91"/>
        <v/>
      </c>
      <c r="F1217" t="str">
        <f>IF(Sync!$AH1217="","",IF(LEFT(UPPER(TRIM(Sync!$AH1217)),2)="SL",UPPER(TRIM(Sync!$AH1217)),""))</f>
        <v/>
      </c>
      <c r="G1217" t="str">
        <f>IF($F1217="","",IF(Sync!$AE1217="","",IF(ISNUMBER(Sync!$AE1217),IF(AND(Sync!$AE1217&gt;=10000101,Sync!$AE1217&lt;=99991231),INT(Sync!$AE1217/10000),""),IFERROR(VALUE(TRIM(LEFT(Sync!$AE1217,FIND("/",Sync!$AE1217)-1))),""))))</f>
        <v/>
      </c>
      <c r="H1217" t="str">
        <f>IF(OR($F1217="",$G1217=""),"",IF(ISNUMBER(Sync!$AE1217),INT(MOD(Sync!$AE1217,10000)/100),IFERROR(VALUE(TRIM(LEFT(MID(Sync!$AE1217,FIND("/",Sync!$AE1217)+1,20),FIND("/",MID(Sync!$AE1217,FIND("/",Sync!$AE1217)+1,20))-1))),"")))</f>
        <v/>
      </c>
      <c r="I1217" t="str">
        <f>IF(OR($F1217="",$G1217=""),"",IF(ISNUMBER(Sync!$AE1217),MOD(Sync!$AE1217,100),IFERROR(VALUE(TRIM(MID(MID(Sync!$AE1217,FIND("/",Sync!$AE1217)+1,20),FIND("/",MID(Sync!$AE1217,FIND("/",Sync!$AE1217)+1,20))+1,20))),"")))</f>
        <v/>
      </c>
      <c r="J1217" t="str">
        <f t="shared" si="92"/>
        <v/>
      </c>
      <c r="K1217" t="str">
        <f>IF(OR($F1217="",$J1217="",$J1217="نامعتبر"),"",LEFT($J1217,4)&amp;MID($J1217,6,2)&amp;RIGHT($J1217,2)&amp;$N1217&amp;"|"&amp;"2"&amp;RIGHT("00000"&amp;1212,5))</f>
        <v/>
      </c>
      <c r="L1217" t="str">
        <f t="shared" si="93"/>
        <v/>
      </c>
      <c r="M1217" t="str">
        <f t="shared" si="94"/>
        <v/>
      </c>
      <c r="N1217" t="str">
        <f>IF($F1217="","",IF(Sync!$AF1217="","0000",IF(AND(ISNUMBER(Sync!$AF1217),Sync!$AF1217&gt;=0,Sync!$AF1217&lt;1),RIGHT("00"&amp;HOUR(Sync!$AF1217),2)&amp;RIGHT("00"&amp;MINUTE(Sync!$AF1217),2),IFERROR(RIGHT("00"&amp;VALUE(LEFT(Sync!$AF1217,FIND(":",Sync!$AF1217)-1)),2)&amp;RIGHT("00"&amp;VALUE(MID(Sync!$AF1217,FIND(":",Sync!$AF1217)+1,2)),2),"0000"))))</f>
        <v/>
      </c>
    </row>
    <row r="1218" spans="1:14" x14ac:dyDescent="0.2">
      <c r="A1218" t="str">
        <f>IF(OR(Calc!$E1222="",Calc!$E1222="نامعتبر",Calc!$G1222=""),"",Calc!$G1222)</f>
        <v/>
      </c>
      <c r="B1218" t="str">
        <f>IF($A1218="","",LEFT(Calc!$E1222,4)&amp;MID(Calc!$E1222,6,2)&amp;RIGHT(Calc!$E1222,2)&amp;Calc!$Q1222&amp;"|"&amp;"1"&amp;RIGHT("00000"&amp;1213,5))</f>
        <v/>
      </c>
      <c r="C1218" t="str">
        <f t="shared" si="90"/>
        <v/>
      </c>
      <c r="D1218" t="str">
        <f t="shared" si="91"/>
        <v/>
      </c>
      <c r="F1218" t="str">
        <f>IF(Sync!$AH1218="","",IF(LEFT(UPPER(TRIM(Sync!$AH1218)),2)="SL",UPPER(TRIM(Sync!$AH1218)),""))</f>
        <v/>
      </c>
      <c r="G1218" t="str">
        <f>IF($F1218="","",IF(Sync!$AE1218="","",IF(ISNUMBER(Sync!$AE1218),IF(AND(Sync!$AE1218&gt;=10000101,Sync!$AE1218&lt;=99991231),INT(Sync!$AE1218/10000),""),IFERROR(VALUE(TRIM(LEFT(Sync!$AE1218,FIND("/",Sync!$AE1218)-1))),""))))</f>
        <v/>
      </c>
      <c r="H1218" t="str">
        <f>IF(OR($F1218="",$G1218=""),"",IF(ISNUMBER(Sync!$AE1218),INT(MOD(Sync!$AE1218,10000)/100),IFERROR(VALUE(TRIM(LEFT(MID(Sync!$AE1218,FIND("/",Sync!$AE1218)+1,20),FIND("/",MID(Sync!$AE1218,FIND("/",Sync!$AE1218)+1,20))-1))),"")))</f>
        <v/>
      </c>
      <c r="I1218" t="str">
        <f>IF(OR($F1218="",$G1218=""),"",IF(ISNUMBER(Sync!$AE1218),MOD(Sync!$AE1218,100),IFERROR(VALUE(TRIM(MID(MID(Sync!$AE1218,FIND("/",Sync!$AE1218)+1,20),FIND("/",MID(Sync!$AE1218,FIND("/",Sync!$AE1218)+1,20))+1,20))),"")))</f>
        <v/>
      </c>
      <c r="J1218" t="str">
        <f t="shared" si="92"/>
        <v/>
      </c>
      <c r="K1218" t="str">
        <f>IF(OR($F1218="",$J1218="",$J1218="نامعتبر"),"",LEFT($J1218,4)&amp;MID($J1218,6,2)&amp;RIGHT($J1218,2)&amp;$N1218&amp;"|"&amp;"2"&amp;RIGHT("00000"&amp;1213,5))</f>
        <v/>
      </c>
      <c r="L1218" t="str">
        <f t="shared" si="93"/>
        <v/>
      </c>
      <c r="M1218" t="str">
        <f t="shared" si="94"/>
        <v/>
      </c>
      <c r="N1218" t="str">
        <f>IF($F1218="","",IF(Sync!$AF1218="","0000",IF(AND(ISNUMBER(Sync!$AF1218),Sync!$AF1218&gt;=0,Sync!$AF1218&lt;1),RIGHT("00"&amp;HOUR(Sync!$AF1218),2)&amp;RIGHT("00"&amp;MINUTE(Sync!$AF1218),2),IFERROR(RIGHT("00"&amp;VALUE(LEFT(Sync!$AF1218,FIND(":",Sync!$AF1218)-1)),2)&amp;RIGHT("00"&amp;VALUE(MID(Sync!$AF1218,FIND(":",Sync!$AF1218)+1,2)),2),"0000"))))</f>
        <v/>
      </c>
    </row>
    <row r="1219" spans="1:14" x14ac:dyDescent="0.2">
      <c r="A1219" t="str">
        <f>IF(OR(Calc!$E1223="",Calc!$E1223="نامعتبر",Calc!$G1223=""),"",Calc!$G1223)</f>
        <v/>
      </c>
      <c r="B1219" t="str">
        <f>IF($A1219="","",LEFT(Calc!$E1223,4)&amp;MID(Calc!$E1223,6,2)&amp;RIGHT(Calc!$E1223,2)&amp;Calc!$Q1223&amp;"|"&amp;"1"&amp;RIGHT("00000"&amp;1214,5))</f>
        <v/>
      </c>
      <c r="C1219" t="str">
        <f t="shared" si="90"/>
        <v/>
      </c>
      <c r="D1219" t="str">
        <f t="shared" si="91"/>
        <v/>
      </c>
      <c r="F1219" t="str">
        <f>IF(Sync!$AH1219="","",IF(LEFT(UPPER(TRIM(Sync!$AH1219)),2)="SL",UPPER(TRIM(Sync!$AH1219)),""))</f>
        <v/>
      </c>
      <c r="G1219" t="str">
        <f>IF($F1219="","",IF(Sync!$AE1219="","",IF(ISNUMBER(Sync!$AE1219),IF(AND(Sync!$AE1219&gt;=10000101,Sync!$AE1219&lt;=99991231),INT(Sync!$AE1219/10000),""),IFERROR(VALUE(TRIM(LEFT(Sync!$AE1219,FIND("/",Sync!$AE1219)-1))),""))))</f>
        <v/>
      </c>
      <c r="H1219" t="str">
        <f>IF(OR($F1219="",$G1219=""),"",IF(ISNUMBER(Sync!$AE1219),INT(MOD(Sync!$AE1219,10000)/100),IFERROR(VALUE(TRIM(LEFT(MID(Sync!$AE1219,FIND("/",Sync!$AE1219)+1,20),FIND("/",MID(Sync!$AE1219,FIND("/",Sync!$AE1219)+1,20))-1))),"")))</f>
        <v/>
      </c>
      <c r="I1219" t="str">
        <f>IF(OR($F1219="",$G1219=""),"",IF(ISNUMBER(Sync!$AE1219),MOD(Sync!$AE1219,100),IFERROR(VALUE(TRIM(MID(MID(Sync!$AE1219,FIND("/",Sync!$AE1219)+1,20),FIND("/",MID(Sync!$AE1219,FIND("/",Sync!$AE1219)+1,20))+1,20))),"")))</f>
        <v/>
      </c>
      <c r="J1219" t="str">
        <f t="shared" si="92"/>
        <v/>
      </c>
      <c r="K1219" t="str">
        <f>IF(OR($F1219="",$J1219="",$J1219="نامعتبر"),"",LEFT($J1219,4)&amp;MID($J1219,6,2)&amp;RIGHT($J1219,2)&amp;$N1219&amp;"|"&amp;"2"&amp;RIGHT("00000"&amp;1214,5))</f>
        <v/>
      </c>
      <c r="L1219" t="str">
        <f t="shared" si="93"/>
        <v/>
      </c>
      <c r="M1219" t="str">
        <f t="shared" si="94"/>
        <v/>
      </c>
      <c r="N1219" t="str">
        <f>IF($F1219="","",IF(Sync!$AF1219="","0000",IF(AND(ISNUMBER(Sync!$AF1219),Sync!$AF1219&gt;=0,Sync!$AF1219&lt;1),RIGHT("00"&amp;HOUR(Sync!$AF1219),2)&amp;RIGHT("00"&amp;MINUTE(Sync!$AF1219),2),IFERROR(RIGHT("00"&amp;VALUE(LEFT(Sync!$AF1219,FIND(":",Sync!$AF1219)-1)),2)&amp;RIGHT("00"&amp;VALUE(MID(Sync!$AF1219,FIND(":",Sync!$AF1219)+1,2)),2),"0000"))))</f>
        <v/>
      </c>
    </row>
    <row r="1220" spans="1:14" x14ac:dyDescent="0.2">
      <c r="A1220" t="str">
        <f>IF(OR(Calc!$E1224="",Calc!$E1224="نامعتبر",Calc!$G1224=""),"",Calc!$G1224)</f>
        <v/>
      </c>
      <c r="B1220" t="str">
        <f>IF($A1220="","",LEFT(Calc!$E1224,4)&amp;MID(Calc!$E1224,6,2)&amp;RIGHT(Calc!$E1224,2)&amp;Calc!$Q1224&amp;"|"&amp;"1"&amp;RIGHT("00000"&amp;1215,5))</f>
        <v/>
      </c>
      <c r="C1220" t="str">
        <f t="shared" si="90"/>
        <v/>
      </c>
      <c r="D1220" t="str">
        <f t="shared" si="91"/>
        <v/>
      </c>
      <c r="F1220" t="str">
        <f>IF(Sync!$AH1220="","",IF(LEFT(UPPER(TRIM(Sync!$AH1220)),2)="SL",UPPER(TRIM(Sync!$AH1220)),""))</f>
        <v/>
      </c>
      <c r="G1220" t="str">
        <f>IF($F1220="","",IF(Sync!$AE1220="","",IF(ISNUMBER(Sync!$AE1220),IF(AND(Sync!$AE1220&gt;=10000101,Sync!$AE1220&lt;=99991231),INT(Sync!$AE1220/10000),""),IFERROR(VALUE(TRIM(LEFT(Sync!$AE1220,FIND("/",Sync!$AE1220)-1))),""))))</f>
        <v/>
      </c>
      <c r="H1220" t="str">
        <f>IF(OR($F1220="",$G1220=""),"",IF(ISNUMBER(Sync!$AE1220),INT(MOD(Sync!$AE1220,10000)/100),IFERROR(VALUE(TRIM(LEFT(MID(Sync!$AE1220,FIND("/",Sync!$AE1220)+1,20),FIND("/",MID(Sync!$AE1220,FIND("/",Sync!$AE1220)+1,20))-1))),"")))</f>
        <v/>
      </c>
      <c r="I1220" t="str">
        <f>IF(OR($F1220="",$G1220=""),"",IF(ISNUMBER(Sync!$AE1220),MOD(Sync!$AE1220,100),IFERROR(VALUE(TRIM(MID(MID(Sync!$AE1220,FIND("/",Sync!$AE1220)+1,20),FIND("/",MID(Sync!$AE1220,FIND("/",Sync!$AE1220)+1,20))+1,20))),"")))</f>
        <v/>
      </c>
      <c r="J1220" t="str">
        <f t="shared" si="92"/>
        <v/>
      </c>
      <c r="K1220" t="str">
        <f>IF(OR($F1220="",$J1220="",$J1220="نامعتبر"),"",LEFT($J1220,4)&amp;MID($J1220,6,2)&amp;RIGHT($J1220,2)&amp;$N1220&amp;"|"&amp;"2"&amp;RIGHT("00000"&amp;1215,5))</f>
        <v/>
      </c>
      <c r="L1220" t="str">
        <f t="shared" si="93"/>
        <v/>
      </c>
      <c r="M1220" t="str">
        <f t="shared" si="94"/>
        <v/>
      </c>
      <c r="N1220" t="str">
        <f>IF($F1220="","",IF(Sync!$AF1220="","0000",IF(AND(ISNUMBER(Sync!$AF1220),Sync!$AF1220&gt;=0,Sync!$AF1220&lt;1),RIGHT("00"&amp;HOUR(Sync!$AF1220),2)&amp;RIGHT("00"&amp;MINUTE(Sync!$AF1220),2),IFERROR(RIGHT("00"&amp;VALUE(LEFT(Sync!$AF1220,FIND(":",Sync!$AF1220)-1)),2)&amp;RIGHT("00"&amp;VALUE(MID(Sync!$AF1220,FIND(":",Sync!$AF1220)+1,2)),2),"0000"))))</f>
        <v/>
      </c>
    </row>
    <row r="1221" spans="1:14" x14ac:dyDescent="0.2">
      <c r="A1221" t="str">
        <f>IF(OR(Calc!$E1225="",Calc!$E1225="نامعتبر",Calc!$G1225=""),"",Calc!$G1225)</f>
        <v/>
      </c>
      <c r="B1221" t="str">
        <f>IF($A1221="","",LEFT(Calc!$E1225,4)&amp;MID(Calc!$E1225,6,2)&amp;RIGHT(Calc!$E1225,2)&amp;Calc!$Q1225&amp;"|"&amp;"1"&amp;RIGHT("00000"&amp;1216,5))</f>
        <v/>
      </c>
      <c r="C1221" t="str">
        <f t="shared" si="90"/>
        <v/>
      </c>
      <c r="D1221" t="str">
        <f t="shared" si="91"/>
        <v/>
      </c>
      <c r="F1221" t="str">
        <f>IF(Sync!$AH1221="","",IF(LEFT(UPPER(TRIM(Sync!$AH1221)),2)="SL",UPPER(TRIM(Sync!$AH1221)),""))</f>
        <v/>
      </c>
      <c r="G1221" t="str">
        <f>IF($F1221="","",IF(Sync!$AE1221="","",IF(ISNUMBER(Sync!$AE1221),IF(AND(Sync!$AE1221&gt;=10000101,Sync!$AE1221&lt;=99991231),INT(Sync!$AE1221/10000),""),IFERROR(VALUE(TRIM(LEFT(Sync!$AE1221,FIND("/",Sync!$AE1221)-1))),""))))</f>
        <v/>
      </c>
      <c r="H1221" t="str">
        <f>IF(OR($F1221="",$G1221=""),"",IF(ISNUMBER(Sync!$AE1221),INT(MOD(Sync!$AE1221,10000)/100),IFERROR(VALUE(TRIM(LEFT(MID(Sync!$AE1221,FIND("/",Sync!$AE1221)+1,20),FIND("/",MID(Sync!$AE1221,FIND("/",Sync!$AE1221)+1,20))-1))),"")))</f>
        <v/>
      </c>
      <c r="I1221" t="str">
        <f>IF(OR($F1221="",$G1221=""),"",IF(ISNUMBER(Sync!$AE1221),MOD(Sync!$AE1221,100),IFERROR(VALUE(TRIM(MID(MID(Sync!$AE1221,FIND("/",Sync!$AE1221)+1,20),FIND("/",MID(Sync!$AE1221,FIND("/",Sync!$AE1221)+1,20))+1,20))),"")))</f>
        <v/>
      </c>
      <c r="J1221" t="str">
        <f t="shared" si="92"/>
        <v/>
      </c>
      <c r="K1221" t="str">
        <f>IF(OR($F1221="",$J1221="",$J1221="نامعتبر"),"",LEFT($J1221,4)&amp;MID($J1221,6,2)&amp;RIGHT($J1221,2)&amp;$N1221&amp;"|"&amp;"2"&amp;RIGHT("00000"&amp;1216,5))</f>
        <v/>
      </c>
      <c r="L1221" t="str">
        <f t="shared" si="93"/>
        <v/>
      </c>
      <c r="M1221" t="str">
        <f t="shared" si="94"/>
        <v/>
      </c>
      <c r="N1221" t="str">
        <f>IF($F1221="","",IF(Sync!$AF1221="","0000",IF(AND(ISNUMBER(Sync!$AF1221),Sync!$AF1221&gt;=0,Sync!$AF1221&lt;1),RIGHT("00"&amp;HOUR(Sync!$AF1221),2)&amp;RIGHT("00"&amp;MINUTE(Sync!$AF1221),2),IFERROR(RIGHT("00"&amp;VALUE(LEFT(Sync!$AF1221,FIND(":",Sync!$AF1221)-1)),2)&amp;RIGHT("00"&amp;VALUE(MID(Sync!$AF1221,FIND(":",Sync!$AF1221)+1,2)),2),"0000"))))</f>
        <v/>
      </c>
    </row>
    <row r="1222" spans="1:14" x14ac:dyDescent="0.2">
      <c r="A1222" t="str">
        <f>IF(OR(Calc!$E1226="",Calc!$E1226="نامعتبر",Calc!$G1226=""),"",Calc!$G1226)</f>
        <v/>
      </c>
      <c r="B1222" t="str">
        <f>IF($A1222="","",LEFT(Calc!$E1226,4)&amp;MID(Calc!$E1226,6,2)&amp;RIGHT(Calc!$E1226,2)&amp;Calc!$Q1226&amp;"|"&amp;"1"&amp;RIGHT("00000"&amp;1217,5))</f>
        <v/>
      </c>
      <c r="C1222" t="str">
        <f t="shared" ref="C1222:C1285" si="95">IF($B1222="","",COUNTIFS(LdgSellerA,$A1222,LdgKeyA,"&lt;"&amp;$B1222)+COUNTIFS(LdgSellerB,$A1222,LdgKeyB,"&lt;"&amp;$B1222)+1)</f>
        <v/>
      </c>
      <c r="D1222" t="str">
        <f t="shared" ref="D1222:D1285" si="96">IF($C1222="","",$A1222&amp;"|"&amp;RIGHT("000000"&amp;$C1222,6))</f>
        <v/>
      </c>
      <c r="F1222" t="str">
        <f>IF(Sync!$AH1222="","",IF(LEFT(UPPER(TRIM(Sync!$AH1222)),2)="SL",UPPER(TRIM(Sync!$AH1222)),""))</f>
        <v/>
      </c>
      <c r="G1222" t="str">
        <f>IF($F1222="","",IF(Sync!$AE1222="","",IF(ISNUMBER(Sync!$AE1222),IF(AND(Sync!$AE1222&gt;=10000101,Sync!$AE1222&lt;=99991231),INT(Sync!$AE1222/10000),""),IFERROR(VALUE(TRIM(LEFT(Sync!$AE1222,FIND("/",Sync!$AE1222)-1))),""))))</f>
        <v/>
      </c>
      <c r="H1222" t="str">
        <f>IF(OR($F1222="",$G1222=""),"",IF(ISNUMBER(Sync!$AE1222),INT(MOD(Sync!$AE1222,10000)/100),IFERROR(VALUE(TRIM(LEFT(MID(Sync!$AE1222,FIND("/",Sync!$AE1222)+1,20),FIND("/",MID(Sync!$AE1222,FIND("/",Sync!$AE1222)+1,20))-1))),"")))</f>
        <v/>
      </c>
      <c r="I1222" t="str">
        <f>IF(OR($F1222="",$G1222=""),"",IF(ISNUMBER(Sync!$AE1222),MOD(Sync!$AE1222,100),IFERROR(VALUE(TRIM(MID(MID(Sync!$AE1222,FIND("/",Sync!$AE1222)+1,20),FIND("/",MID(Sync!$AE1222,FIND("/",Sync!$AE1222)+1,20))+1,20))),"")))</f>
        <v/>
      </c>
      <c r="J1222" t="str">
        <f t="shared" ref="J1222:J1285" si="97">IF($F1222="","",IF(OR($G1222="",$H1222="",$I1222="",$G1222&lt;1300,$G1222&gt;1500,$H1222&lt;1,$H1222&gt;12,$I1222&lt;1,$I1222&gt;31),"نامعتبر",RIGHT("0000"&amp;$G1222,4)&amp;"/"&amp;RIGHT("00"&amp;$H1222,2)&amp;"/"&amp;RIGHT("00"&amp;$I1222,2)))</f>
        <v/>
      </c>
      <c r="K1222" t="str">
        <f>IF(OR($F1222="",$J1222="",$J1222="نامعتبر"),"",LEFT($J1222,4)&amp;MID($J1222,6,2)&amp;RIGHT($J1222,2)&amp;$N1222&amp;"|"&amp;"2"&amp;RIGHT("00000"&amp;1217,5))</f>
        <v/>
      </c>
      <c r="L1222" t="str">
        <f t="shared" ref="L1222:L1285" si="98">IF($K1222="","",COUNTIFS(LdgSellerA,$F1222,LdgKeyA,"&lt;"&amp;$K1222)+COUNTIFS(LdgSellerB,$F1222,LdgKeyB,"&lt;"&amp;$K1222)+1)</f>
        <v/>
      </c>
      <c r="M1222" t="str">
        <f t="shared" ref="M1222:M1285" si="99">IF($L1222="","",$F1222&amp;"|"&amp;RIGHT("000000"&amp;$L1222,6))</f>
        <v/>
      </c>
      <c r="N1222" t="str">
        <f>IF($F1222="","",IF(Sync!$AF1222="","0000",IF(AND(ISNUMBER(Sync!$AF1222),Sync!$AF1222&gt;=0,Sync!$AF1222&lt;1),RIGHT("00"&amp;HOUR(Sync!$AF1222),2)&amp;RIGHT("00"&amp;MINUTE(Sync!$AF1222),2),IFERROR(RIGHT("00"&amp;VALUE(LEFT(Sync!$AF1222,FIND(":",Sync!$AF1222)-1)),2)&amp;RIGHT("00"&amp;VALUE(MID(Sync!$AF1222,FIND(":",Sync!$AF1222)+1,2)),2),"0000"))))</f>
        <v/>
      </c>
    </row>
    <row r="1223" spans="1:14" x14ac:dyDescent="0.2">
      <c r="A1223" t="str">
        <f>IF(OR(Calc!$E1227="",Calc!$E1227="نامعتبر",Calc!$G1227=""),"",Calc!$G1227)</f>
        <v/>
      </c>
      <c r="B1223" t="str">
        <f>IF($A1223="","",LEFT(Calc!$E1227,4)&amp;MID(Calc!$E1227,6,2)&amp;RIGHT(Calc!$E1227,2)&amp;Calc!$Q1227&amp;"|"&amp;"1"&amp;RIGHT("00000"&amp;1218,5))</f>
        <v/>
      </c>
      <c r="C1223" t="str">
        <f t="shared" si="95"/>
        <v/>
      </c>
      <c r="D1223" t="str">
        <f t="shared" si="96"/>
        <v/>
      </c>
      <c r="F1223" t="str">
        <f>IF(Sync!$AH1223="","",IF(LEFT(UPPER(TRIM(Sync!$AH1223)),2)="SL",UPPER(TRIM(Sync!$AH1223)),""))</f>
        <v/>
      </c>
      <c r="G1223" t="str">
        <f>IF($F1223="","",IF(Sync!$AE1223="","",IF(ISNUMBER(Sync!$AE1223),IF(AND(Sync!$AE1223&gt;=10000101,Sync!$AE1223&lt;=99991231),INT(Sync!$AE1223/10000),""),IFERROR(VALUE(TRIM(LEFT(Sync!$AE1223,FIND("/",Sync!$AE1223)-1))),""))))</f>
        <v/>
      </c>
      <c r="H1223" t="str">
        <f>IF(OR($F1223="",$G1223=""),"",IF(ISNUMBER(Sync!$AE1223),INT(MOD(Sync!$AE1223,10000)/100),IFERROR(VALUE(TRIM(LEFT(MID(Sync!$AE1223,FIND("/",Sync!$AE1223)+1,20),FIND("/",MID(Sync!$AE1223,FIND("/",Sync!$AE1223)+1,20))-1))),"")))</f>
        <v/>
      </c>
      <c r="I1223" t="str">
        <f>IF(OR($F1223="",$G1223=""),"",IF(ISNUMBER(Sync!$AE1223),MOD(Sync!$AE1223,100),IFERROR(VALUE(TRIM(MID(MID(Sync!$AE1223,FIND("/",Sync!$AE1223)+1,20),FIND("/",MID(Sync!$AE1223,FIND("/",Sync!$AE1223)+1,20))+1,20))),"")))</f>
        <v/>
      </c>
      <c r="J1223" t="str">
        <f t="shared" si="97"/>
        <v/>
      </c>
      <c r="K1223" t="str">
        <f>IF(OR($F1223="",$J1223="",$J1223="نامعتبر"),"",LEFT($J1223,4)&amp;MID($J1223,6,2)&amp;RIGHT($J1223,2)&amp;$N1223&amp;"|"&amp;"2"&amp;RIGHT("00000"&amp;1218,5))</f>
        <v/>
      </c>
      <c r="L1223" t="str">
        <f t="shared" si="98"/>
        <v/>
      </c>
      <c r="M1223" t="str">
        <f t="shared" si="99"/>
        <v/>
      </c>
      <c r="N1223" t="str">
        <f>IF($F1223="","",IF(Sync!$AF1223="","0000",IF(AND(ISNUMBER(Sync!$AF1223),Sync!$AF1223&gt;=0,Sync!$AF1223&lt;1),RIGHT("00"&amp;HOUR(Sync!$AF1223),2)&amp;RIGHT("00"&amp;MINUTE(Sync!$AF1223),2),IFERROR(RIGHT("00"&amp;VALUE(LEFT(Sync!$AF1223,FIND(":",Sync!$AF1223)-1)),2)&amp;RIGHT("00"&amp;VALUE(MID(Sync!$AF1223,FIND(":",Sync!$AF1223)+1,2)),2),"0000"))))</f>
        <v/>
      </c>
    </row>
    <row r="1224" spans="1:14" x14ac:dyDescent="0.2">
      <c r="A1224" t="str">
        <f>IF(OR(Calc!$E1228="",Calc!$E1228="نامعتبر",Calc!$G1228=""),"",Calc!$G1228)</f>
        <v/>
      </c>
      <c r="B1224" t="str">
        <f>IF($A1224="","",LEFT(Calc!$E1228,4)&amp;MID(Calc!$E1228,6,2)&amp;RIGHT(Calc!$E1228,2)&amp;Calc!$Q1228&amp;"|"&amp;"1"&amp;RIGHT("00000"&amp;1219,5))</f>
        <v/>
      </c>
      <c r="C1224" t="str">
        <f t="shared" si="95"/>
        <v/>
      </c>
      <c r="D1224" t="str">
        <f t="shared" si="96"/>
        <v/>
      </c>
      <c r="F1224" t="str">
        <f>IF(Sync!$AH1224="","",IF(LEFT(UPPER(TRIM(Sync!$AH1224)),2)="SL",UPPER(TRIM(Sync!$AH1224)),""))</f>
        <v/>
      </c>
      <c r="G1224" t="str">
        <f>IF($F1224="","",IF(Sync!$AE1224="","",IF(ISNUMBER(Sync!$AE1224),IF(AND(Sync!$AE1224&gt;=10000101,Sync!$AE1224&lt;=99991231),INT(Sync!$AE1224/10000),""),IFERROR(VALUE(TRIM(LEFT(Sync!$AE1224,FIND("/",Sync!$AE1224)-1))),""))))</f>
        <v/>
      </c>
      <c r="H1224" t="str">
        <f>IF(OR($F1224="",$G1224=""),"",IF(ISNUMBER(Sync!$AE1224),INT(MOD(Sync!$AE1224,10000)/100),IFERROR(VALUE(TRIM(LEFT(MID(Sync!$AE1224,FIND("/",Sync!$AE1224)+1,20),FIND("/",MID(Sync!$AE1224,FIND("/",Sync!$AE1224)+1,20))-1))),"")))</f>
        <v/>
      </c>
      <c r="I1224" t="str">
        <f>IF(OR($F1224="",$G1224=""),"",IF(ISNUMBER(Sync!$AE1224),MOD(Sync!$AE1224,100),IFERROR(VALUE(TRIM(MID(MID(Sync!$AE1224,FIND("/",Sync!$AE1224)+1,20),FIND("/",MID(Sync!$AE1224,FIND("/",Sync!$AE1224)+1,20))+1,20))),"")))</f>
        <v/>
      </c>
      <c r="J1224" t="str">
        <f t="shared" si="97"/>
        <v/>
      </c>
      <c r="K1224" t="str">
        <f>IF(OR($F1224="",$J1224="",$J1224="نامعتبر"),"",LEFT($J1224,4)&amp;MID($J1224,6,2)&amp;RIGHT($J1224,2)&amp;$N1224&amp;"|"&amp;"2"&amp;RIGHT("00000"&amp;1219,5))</f>
        <v/>
      </c>
      <c r="L1224" t="str">
        <f t="shared" si="98"/>
        <v/>
      </c>
      <c r="M1224" t="str">
        <f t="shared" si="99"/>
        <v/>
      </c>
      <c r="N1224" t="str">
        <f>IF($F1224="","",IF(Sync!$AF1224="","0000",IF(AND(ISNUMBER(Sync!$AF1224),Sync!$AF1224&gt;=0,Sync!$AF1224&lt;1),RIGHT("00"&amp;HOUR(Sync!$AF1224),2)&amp;RIGHT("00"&amp;MINUTE(Sync!$AF1224),2),IFERROR(RIGHT("00"&amp;VALUE(LEFT(Sync!$AF1224,FIND(":",Sync!$AF1224)-1)),2)&amp;RIGHT("00"&amp;VALUE(MID(Sync!$AF1224,FIND(":",Sync!$AF1224)+1,2)),2),"0000"))))</f>
        <v/>
      </c>
    </row>
    <row r="1225" spans="1:14" x14ac:dyDescent="0.2">
      <c r="A1225" t="str">
        <f>IF(OR(Calc!$E1229="",Calc!$E1229="نامعتبر",Calc!$G1229=""),"",Calc!$G1229)</f>
        <v/>
      </c>
      <c r="B1225" t="str">
        <f>IF($A1225="","",LEFT(Calc!$E1229,4)&amp;MID(Calc!$E1229,6,2)&amp;RIGHT(Calc!$E1229,2)&amp;Calc!$Q1229&amp;"|"&amp;"1"&amp;RIGHT("00000"&amp;1220,5))</f>
        <v/>
      </c>
      <c r="C1225" t="str">
        <f t="shared" si="95"/>
        <v/>
      </c>
      <c r="D1225" t="str">
        <f t="shared" si="96"/>
        <v/>
      </c>
      <c r="F1225" t="str">
        <f>IF(Sync!$AH1225="","",IF(LEFT(UPPER(TRIM(Sync!$AH1225)),2)="SL",UPPER(TRIM(Sync!$AH1225)),""))</f>
        <v/>
      </c>
      <c r="G1225" t="str">
        <f>IF($F1225="","",IF(Sync!$AE1225="","",IF(ISNUMBER(Sync!$AE1225),IF(AND(Sync!$AE1225&gt;=10000101,Sync!$AE1225&lt;=99991231),INT(Sync!$AE1225/10000),""),IFERROR(VALUE(TRIM(LEFT(Sync!$AE1225,FIND("/",Sync!$AE1225)-1))),""))))</f>
        <v/>
      </c>
      <c r="H1225" t="str">
        <f>IF(OR($F1225="",$G1225=""),"",IF(ISNUMBER(Sync!$AE1225),INT(MOD(Sync!$AE1225,10000)/100),IFERROR(VALUE(TRIM(LEFT(MID(Sync!$AE1225,FIND("/",Sync!$AE1225)+1,20),FIND("/",MID(Sync!$AE1225,FIND("/",Sync!$AE1225)+1,20))-1))),"")))</f>
        <v/>
      </c>
      <c r="I1225" t="str">
        <f>IF(OR($F1225="",$G1225=""),"",IF(ISNUMBER(Sync!$AE1225),MOD(Sync!$AE1225,100),IFERROR(VALUE(TRIM(MID(MID(Sync!$AE1225,FIND("/",Sync!$AE1225)+1,20),FIND("/",MID(Sync!$AE1225,FIND("/",Sync!$AE1225)+1,20))+1,20))),"")))</f>
        <v/>
      </c>
      <c r="J1225" t="str">
        <f t="shared" si="97"/>
        <v/>
      </c>
      <c r="K1225" t="str">
        <f>IF(OR($F1225="",$J1225="",$J1225="نامعتبر"),"",LEFT($J1225,4)&amp;MID($J1225,6,2)&amp;RIGHT($J1225,2)&amp;$N1225&amp;"|"&amp;"2"&amp;RIGHT("00000"&amp;1220,5))</f>
        <v/>
      </c>
      <c r="L1225" t="str">
        <f t="shared" si="98"/>
        <v/>
      </c>
      <c r="M1225" t="str">
        <f t="shared" si="99"/>
        <v/>
      </c>
      <c r="N1225" t="str">
        <f>IF($F1225="","",IF(Sync!$AF1225="","0000",IF(AND(ISNUMBER(Sync!$AF1225),Sync!$AF1225&gt;=0,Sync!$AF1225&lt;1),RIGHT("00"&amp;HOUR(Sync!$AF1225),2)&amp;RIGHT("00"&amp;MINUTE(Sync!$AF1225),2),IFERROR(RIGHT("00"&amp;VALUE(LEFT(Sync!$AF1225,FIND(":",Sync!$AF1225)-1)),2)&amp;RIGHT("00"&amp;VALUE(MID(Sync!$AF1225,FIND(":",Sync!$AF1225)+1,2)),2),"0000"))))</f>
        <v/>
      </c>
    </row>
    <row r="1226" spans="1:14" x14ac:dyDescent="0.2">
      <c r="A1226" t="str">
        <f>IF(OR(Calc!$E1230="",Calc!$E1230="نامعتبر",Calc!$G1230=""),"",Calc!$G1230)</f>
        <v/>
      </c>
      <c r="B1226" t="str">
        <f>IF($A1226="","",LEFT(Calc!$E1230,4)&amp;MID(Calc!$E1230,6,2)&amp;RIGHT(Calc!$E1230,2)&amp;Calc!$Q1230&amp;"|"&amp;"1"&amp;RIGHT("00000"&amp;1221,5))</f>
        <v/>
      </c>
      <c r="C1226" t="str">
        <f t="shared" si="95"/>
        <v/>
      </c>
      <c r="D1226" t="str">
        <f t="shared" si="96"/>
        <v/>
      </c>
      <c r="F1226" t="str">
        <f>IF(Sync!$AH1226="","",IF(LEFT(UPPER(TRIM(Sync!$AH1226)),2)="SL",UPPER(TRIM(Sync!$AH1226)),""))</f>
        <v/>
      </c>
      <c r="G1226" t="str">
        <f>IF($F1226="","",IF(Sync!$AE1226="","",IF(ISNUMBER(Sync!$AE1226),IF(AND(Sync!$AE1226&gt;=10000101,Sync!$AE1226&lt;=99991231),INT(Sync!$AE1226/10000),""),IFERROR(VALUE(TRIM(LEFT(Sync!$AE1226,FIND("/",Sync!$AE1226)-1))),""))))</f>
        <v/>
      </c>
      <c r="H1226" t="str">
        <f>IF(OR($F1226="",$G1226=""),"",IF(ISNUMBER(Sync!$AE1226),INT(MOD(Sync!$AE1226,10000)/100),IFERROR(VALUE(TRIM(LEFT(MID(Sync!$AE1226,FIND("/",Sync!$AE1226)+1,20),FIND("/",MID(Sync!$AE1226,FIND("/",Sync!$AE1226)+1,20))-1))),"")))</f>
        <v/>
      </c>
      <c r="I1226" t="str">
        <f>IF(OR($F1226="",$G1226=""),"",IF(ISNUMBER(Sync!$AE1226),MOD(Sync!$AE1226,100),IFERROR(VALUE(TRIM(MID(MID(Sync!$AE1226,FIND("/",Sync!$AE1226)+1,20),FIND("/",MID(Sync!$AE1226,FIND("/",Sync!$AE1226)+1,20))+1,20))),"")))</f>
        <v/>
      </c>
      <c r="J1226" t="str">
        <f t="shared" si="97"/>
        <v/>
      </c>
      <c r="K1226" t="str">
        <f>IF(OR($F1226="",$J1226="",$J1226="نامعتبر"),"",LEFT($J1226,4)&amp;MID($J1226,6,2)&amp;RIGHT($J1226,2)&amp;$N1226&amp;"|"&amp;"2"&amp;RIGHT("00000"&amp;1221,5))</f>
        <v/>
      </c>
      <c r="L1226" t="str">
        <f t="shared" si="98"/>
        <v/>
      </c>
      <c r="M1226" t="str">
        <f t="shared" si="99"/>
        <v/>
      </c>
      <c r="N1226" t="str">
        <f>IF($F1226="","",IF(Sync!$AF1226="","0000",IF(AND(ISNUMBER(Sync!$AF1226),Sync!$AF1226&gt;=0,Sync!$AF1226&lt;1),RIGHT("00"&amp;HOUR(Sync!$AF1226),2)&amp;RIGHT("00"&amp;MINUTE(Sync!$AF1226),2),IFERROR(RIGHT("00"&amp;VALUE(LEFT(Sync!$AF1226,FIND(":",Sync!$AF1226)-1)),2)&amp;RIGHT("00"&amp;VALUE(MID(Sync!$AF1226,FIND(":",Sync!$AF1226)+1,2)),2),"0000"))))</f>
        <v/>
      </c>
    </row>
    <row r="1227" spans="1:14" x14ac:dyDescent="0.2">
      <c r="A1227" t="str">
        <f>IF(OR(Calc!$E1231="",Calc!$E1231="نامعتبر",Calc!$G1231=""),"",Calc!$G1231)</f>
        <v/>
      </c>
      <c r="B1227" t="str">
        <f>IF($A1227="","",LEFT(Calc!$E1231,4)&amp;MID(Calc!$E1231,6,2)&amp;RIGHT(Calc!$E1231,2)&amp;Calc!$Q1231&amp;"|"&amp;"1"&amp;RIGHT("00000"&amp;1222,5))</f>
        <v/>
      </c>
      <c r="C1227" t="str">
        <f t="shared" si="95"/>
        <v/>
      </c>
      <c r="D1227" t="str">
        <f t="shared" si="96"/>
        <v/>
      </c>
      <c r="F1227" t="str">
        <f>IF(Sync!$AH1227="","",IF(LEFT(UPPER(TRIM(Sync!$AH1227)),2)="SL",UPPER(TRIM(Sync!$AH1227)),""))</f>
        <v/>
      </c>
      <c r="G1227" t="str">
        <f>IF($F1227="","",IF(Sync!$AE1227="","",IF(ISNUMBER(Sync!$AE1227),IF(AND(Sync!$AE1227&gt;=10000101,Sync!$AE1227&lt;=99991231),INT(Sync!$AE1227/10000),""),IFERROR(VALUE(TRIM(LEFT(Sync!$AE1227,FIND("/",Sync!$AE1227)-1))),""))))</f>
        <v/>
      </c>
      <c r="H1227" t="str">
        <f>IF(OR($F1227="",$G1227=""),"",IF(ISNUMBER(Sync!$AE1227),INT(MOD(Sync!$AE1227,10000)/100),IFERROR(VALUE(TRIM(LEFT(MID(Sync!$AE1227,FIND("/",Sync!$AE1227)+1,20),FIND("/",MID(Sync!$AE1227,FIND("/",Sync!$AE1227)+1,20))-1))),"")))</f>
        <v/>
      </c>
      <c r="I1227" t="str">
        <f>IF(OR($F1227="",$G1227=""),"",IF(ISNUMBER(Sync!$AE1227),MOD(Sync!$AE1227,100),IFERROR(VALUE(TRIM(MID(MID(Sync!$AE1227,FIND("/",Sync!$AE1227)+1,20),FIND("/",MID(Sync!$AE1227,FIND("/",Sync!$AE1227)+1,20))+1,20))),"")))</f>
        <v/>
      </c>
      <c r="J1227" t="str">
        <f t="shared" si="97"/>
        <v/>
      </c>
      <c r="K1227" t="str">
        <f>IF(OR($F1227="",$J1227="",$J1227="نامعتبر"),"",LEFT($J1227,4)&amp;MID($J1227,6,2)&amp;RIGHT($J1227,2)&amp;$N1227&amp;"|"&amp;"2"&amp;RIGHT("00000"&amp;1222,5))</f>
        <v/>
      </c>
      <c r="L1227" t="str">
        <f t="shared" si="98"/>
        <v/>
      </c>
      <c r="M1227" t="str">
        <f t="shared" si="99"/>
        <v/>
      </c>
      <c r="N1227" t="str">
        <f>IF($F1227="","",IF(Sync!$AF1227="","0000",IF(AND(ISNUMBER(Sync!$AF1227),Sync!$AF1227&gt;=0,Sync!$AF1227&lt;1),RIGHT("00"&amp;HOUR(Sync!$AF1227),2)&amp;RIGHT("00"&amp;MINUTE(Sync!$AF1227),2),IFERROR(RIGHT("00"&amp;VALUE(LEFT(Sync!$AF1227,FIND(":",Sync!$AF1227)-1)),2)&amp;RIGHT("00"&amp;VALUE(MID(Sync!$AF1227,FIND(":",Sync!$AF1227)+1,2)),2),"0000"))))</f>
        <v/>
      </c>
    </row>
    <row r="1228" spans="1:14" x14ac:dyDescent="0.2">
      <c r="A1228" t="str">
        <f>IF(OR(Calc!$E1232="",Calc!$E1232="نامعتبر",Calc!$G1232=""),"",Calc!$G1232)</f>
        <v/>
      </c>
      <c r="B1228" t="str">
        <f>IF($A1228="","",LEFT(Calc!$E1232,4)&amp;MID(Calc!$E1232,6,2)&amp;RIGHT(Calc!$E1232,2)&amp;Calc!$Q1232&amp;"|"&amp;"1"&amp;RIGHT("00000"&amp;1223,5))</f>
        <v/>
      </c>
      <c r="C1228" t="str">
        <f t="shared" si="95"/>
        <v/>
      </c>
      <c r="D1228" t="str">
        <f t="shared" si="96"/>
        <v/>
      </c>
      <c r="F1228" t="str">
        <f>IF(Sync!$AH1228="","",IF(LEFT(UPPER(TRIM(Sync!$AH1228)),2)="SL",UPPER(TRIM(Sync!$AH1228)),""))</f>
        <v/>
      </c>
      <c r="G1228" t="str">
        <f>IF($F1228="","",IF(Sync!$AE1228="","",IF(ISNUMBER(Sync!$AE1228),IF(AND(Sync!$AE1228&gt;=10000101,Sync!$AE1228&lt;=99991231),INT(Sync!$AE1228/10000),""),IFERROR(VALUE(TRIM(LEFT(Sync!$AE1228,FIND("/",Sync!$AE1228)-1))),""))))</f>
        <v/>
      </c>
      <c r="H1228" t="str">
        <f>IF(OR($F1228="",$G1228=""),"",IF(ISNUMBER(Sync!$AE1228),INT(MOD(Sync!$AE1228,10000)/100),IFERROR(VALUE(TRIM(LEFT(MID(Sync!$AE1228,FIND("/",Sync!$AE1228)+1,20),FIND("/",MID(Sync!$AE1228,FIND("/",Sync!$AE1228)+1,20))-1))),"")))</f>
        <v/>
      </c>
      <c r="I1228" t="str">
        <f>IF(OR($F1228="",$G1228=""),"",IF(ISNUMBER(Sync!$AE1228),MOD(Sync!$AE1228,100),IFERROR(VALUE(TRIM(MID(MID(Sync!$AE1228,FIND("/",Sync!$AE1228)+1,20),FIND("/",MID(Sync!$AE1228,FIND("/",Sync!$AE1228)+1,20))+1,20))),"")))</f>
        <v/>
      </c>
      <c r="J1228" t="str">
        <f t="shared" si="97"/>
        <v/>
      </c>
      <c r="K1228" t="str">
        <f>IF(OR($F1228="",$J1228="",$J1228="نامعتبر"),"",LEFT($J1228,4)&amp;MID($J1228,6,2)&amp;RIGHT($J1228,2)&amp;$N1228&amp;"|"&amp;"2"&amp;RIGHT("00000"&amp;1223,5))</f>
        <v/>
      </c>
      <c r="L1228" t="str">
        <f t="shared" si="98"/>
        <v/>
      </c>
      <c r="M1228" t="str">
        <f t="shared" si="99"/>
        <v/>
      </c>
      <c r="N1228" t="str">
        <f>IF($F1228="","",IF(Sync!$AF1228="","0000",IF(AND(ISNUMBER(Sync!$AF1228),Sync!$AF1228&gt;=0,Sync!$AF1228&lt;1),RIGHT("00"&amp;HOUR(Sync!$AF1228),2)&amp;RIGHT("00"&amp;MINUTE(Sync!$AF1228),2),IFERROR(RIGHT("00"&amp;VALUE(LEFT(Sync!$AF1228,FIND(":",Sync!$AF1228)-1)),2)&amp;RIGHT("00"&amp;VALUE(MID(Sync!$AF1228,FIND(":",Sync!$AF1228)+1,2)),2),"0000"))))</f>
        <v/>
      </c>
    </row>
    <row r="1229" spans="1:14" x14ac:dyDescent="0.2">
      <c r="A1229" t="str">
        <f>IF(OR(Calc!$E1233="",Calc!$E1233="نامعتبر",Calc!$G1233=""),"",Calc!$G1233)</f>
        <v/>
      </c>
      <c r="B1229" t="str">
        <f>IF($A1229="","",LEFT(Calc!$E1233,4)&amp;MID(Calc!$E1233,6,2)&amp;RIGHT(Calc!$E1233,2)&amp;Calc!$Q1233&amp;"|"&amp;"1"&amp;RIGHT("00000"&amp;1224,5))</f>
        <v/>
      </c>
      <c r="C1229" t="str">
        <f t="shared" si="95"/>
        <v/>
      </c>
      <c r="D1229" t="str">
        <f t="shared" si="96"/>
        <v/>
      </c>
      <c r="F1229" t="str">
        <f>IF(Sync!$AH1229="","",IF(LEFT(UPPER(TRIM(Sync!$AH1229)),2)="SL",UPPER(TRIM(Sync!$AH1229)),""))</f>
        <v/>
      </c>
      <c r="G1229" t="str">
        <f>IF($F1229="","",IF(Sync!$AE1229="","",IF(ISNUMBER(Sync!$AE1229),IF(AND(Sync!$AE1229&gt;=10000101,Sync!$AE1229&lt;=99991231),INT(Sync!$AE1229/10000),""),IFERROR(VALUE(TRIM(LEFT(Sync!$AE1229,FIND("/",Sync!$AE1229)-1))),""))))</f>
        <v/>
      </c>
      <c r="H1229" t="str">
        <f>IF(OR($F1229="",$G1229=""),"",IF(ISNUMBER(Sync!$AE1229),INT(MOD(Sync!$AE1229,10000)/100),IFERROR(VALUE(TRIM(LEFT(MID(Sync!$AE1229,FIND("/",Sync!$AE1229)+1,20),FIND("/",MID(Sync!$AE1229,FIND("/",Sync!$AE1229)+1,20))-1))),"")))</f>
        <v/>
      </c>
      <c r="I1229" t="str">
        <f>IF(OR($F1229="",$G1229=""),"",IF(ISNUMBER(Sync!$AE1229),MOD(Sync!$AE1229,100),IFERROR(VALUE(TRIM(MID(MID(Sync!$AE1229,FIND("/",Sync!$AE1229)+1,20),FIND("/",MID(Sync!$AE1229,FIND("/",Sync!$AE1229)+1,20))+1,20))),"")))</f>
        <v/>
      </c>
      <c r="J1229" t="str">
        <f t="shared" si="97"/>
        <v/>
      </c>
      <c r="K1229" t="str">
        <f>IF(OR($F1229="",$J1229="",$J1229="نامعتبر"),"",LEFT($J1229,4)&amp;MID($J1229,6,2)&amp;RIGHT($J1229,2)&amp;$N1229&amp;"|"&amp;"2"&amp;RIGHT("00000"&amp;1224,5))</f>
        <v/>
      </c>
      <c r="L1229" t="str">
        <f t="shared" si="98"/>
        <v/>
      </c>
      <c r="M1229" t="str">
        <f t="shared" si="99"/>
        <v/>
      </c>
      <c r="N1229" t="str">
        <f>IF($F1229="","",IF(Sync!$AF1229="","0000",IF(AND(ISNUMBER(Sync!$AF1229),Sync!$AF1229&gt;=0,Sync!$AF1229&lt;1),RIGHT("00"&amp;HOUR(Sync!$AF1229),2)&amp;RIGHT("00"&amp;MINUTE(Sync!$AF1229),2),IFERROR(RIGHT("00"&amp;VALUE(LEFT(Sync!$AF1229,FIND(":",Sync!$AF1229)-1)),2)&amp;RIGHT("00"&amp;VALUE(MID(Sync!$AF1229,FIND(":",Sync!$AF1229)+1,2)),2),"0000"))))</f>
        <v/>
      </c>
    </row>
    <row r="1230" spans="1:14" x14ac:dyDescent="0.2">
      <c r="A1230" t="str">
        <f>IF(OR(Calc!$E1234="",Calc!$E1234="نامعتبر",Calc!$G1234=""),"",Calc!$G1234)</f>
        <v/>
      </c>
      <c r="B1230" t="str">
        <f>IF($A1230="","",LEFT(Calc!$E1234,4)&amp;MID(Calc!$E1234,6,2)&amp;RIGHT(Calc!$E1234,2)&amp;Calc!$Q1234&amp;"|"&amp;"1"&amp;RIGHT("00000"&amp;1225,5))</f>
        <v/>
      </c>
      <c r="C1230" t="str">
        <f t="shared" si="95"/>
        <v/>
      </c>
      <c r="D1230" t="str">
        <f t="shared" si="96"/>
        <v/>
      </c>
      <c r="F1230" t="str">
        <f>IF(Sync!$AH1230="","",IF(LEFT(UPPER(TRIM(Sync!$AH1230)),2)="SL",UPPER(TRIM(Sync!$AH1230)),""))</f>
        <v/>
      </c>
      <c r="G1230" t="str">
        <f>IF($F1230="","",IF(Sync!$AE1230="","",IF(ISNUMBER(Sync!$AE1230),IF(AND(Sync!$AE1230&gt;=10000101,Sync!$AE1230&lt;=99991231),INT(Sync!$AE1230/10000),""),IFERROR(VALUE(TRIM(LEFT(Sync!$AE1230,FIND("/",Sync!$AE1230)-1))),""))))</f>
        <v/>
      </c>
      <c r="H1230" t="str">
        <f>IF(OR($F1230="",$G1230=""),"",IF(ISNUMBER(Sync!$AE1230),INT(MOD(Sync!$AE1230,10000)/100),IFERROR(VALUE(TRIM(LEFT(MID(Sync!$AE1230,FIND("/",Sync!$AE1230)+1,20),FIND("/",MID(Sync!$AE1230,FIND("/",Sync!$AE1230)+1,20))-1))),"")))</f>
        <v/>
      </c>
      <c r="I1230" t="str">
        <f>IF(OR($F1230="",$G1230=""),"",IF(ISNUMBER(Sync!$AE1230),MOD(Sync!$AE1230,100),IFERROR(VALUE(TRIM(MID(MID(Sync!$AE1230,FIND("/",Sync!$AE1230)+1,20),FIND("/",MID(Sync!$AE1230,FIND("/",Sync!$AE1230)+1,20))+1,20))),"")))</f>
        <v/>
      </c>
      <c r="J1230" t="str">
        <f t="shared" si="97"/>
        <v/>
      </c>
      <c r="K1230" t="str">
        <f>IF(OR($F1230="",$J1230="",$J1230="نامعتبر"),"",LEFT($J1230,4)&amp;MID($J1230,6,2)&amp;RIGHT($J1230,2)&amp;$N1230&amp;"|"&amp;"2"&amp;RIGHT("00000"&amp;1225,5))</f>
        <v/>
      </c>
      <c r="L1230" t="str">
        <f t="shared" si="98"/>
        <v/>
      </c>
      <c r="M1230" t="str">
        <f t="shared" si="99"/>
        <v/>
      </c>
      <c r="N1230" t="str">
        <f>IF($F1230="","",IF(Sync!$AF1230="","0000",IF(AND(ISNUMBER(Sync!$AF1230),Sync!$AF1230&gt;=0,Sync!$AF1230&lt;1),RIGHT("00"&amp;HOUR(Sync!$AF1230),2)&amp;RIGHT("00"&amp;MINUTE(Sync!$AF1230),2),IFERROR(RIGHT("00"&amp;VALUE(LEFT(Sync!$AF1230,FIND(":",Sync!$AF1230)-1)),2)&amp;RIGHT("00"&amp;VALUE(MID(Sync!$AF1230,FIND(":",Sync!$AF1230)+1,2)),2),"0000"))))</f>
        <v/>
      </c>
    </row>
    <row r="1231" spans="1:14" x14ac:dyDescent="0.2">
      <c r="A1231" t="str">
        <f>IF(OR(Calc!$E1235="",Calc!$E1235="نامعتبر",Calc!$G1235=""),"",Calc!$G1235)</f>
        <v/>
      </c>
      <c r="B1231" t="str">
        <f>IF($A1231="","",LEFT(Calc!$E1235,4)&amp;MID(Calc!$E1235,6,2)&amp;RIGHT(Calc!$E1235,2)&amp;Calc!$Q1235&amp;"|"&amp;"1"&amp;RIGHT("00000"&amp;1226,5))</f>
        <v/>
      </c>
      <c r="C1231" t="str">
        <f t="shared" si="95"/>
        <v/>
      </c>
      <c r="D1231" t="str">
        <f t="shared" si="96"/>
        <v/>
      </c>
      <c r="F1231" t="str">
        <f>IF(Sync!$AH1231="","",IF(LEFT(UPPER(TRIM(Sync!$AH1231)),2)="SL",UPPER(TRIM(Sync!$AH1231)),""))</f>
        <v/>
      </c>
      <c r="G1231" t="str">
        <f>IF($F1231="","",IF(Sync!$AE1231="","",IF(ISNUMBER(Sync!$AE1231),IF(AND(Sync!$AE1231&gt;=10000101,Sync!$AE1231&lt;=99991231),INT(Sync!$AE1231/10000),""),IFERROR(VALUE(TRIM(LEFT(Sync!$AE1231,FIND("/",Sync!$AE1231)-1))),""))))</f>
        <v/>
      </c>
      <c r="H1231" t="str">
        <f>IF(OR($F1231="",$G1231=""),"",IF(ISNUMBER(Sync!$AE1231),INT(MOD(Sync!$AE1231,10000)/100),IFERROR(VALUE(TRIM(LEFT(MID(Sync!$AE1231,FIND("/",Sync!$AE1231)+1,20),FIND("/",MID(Sync!$AE1231,FIND("/",Sync!$AE1231)+1,20))-1))),"")))</f>
        <v/>
      </c>
      <c r="I1231" t="str">
        <f>IF(OR($F1231="",$G1231=""),"",IF(ISNUMBER(Sync!$AE1231),MOD(Sync!$AE1231,100),IFERROR(VALUE(TRIM(MID(MID(Sync!$AE1231,FIND("/",Sync!$AE1231)+1,20),FIND("/",MID(Sync!$AE1231,FIND("/",Sync!$AE1231)+1,20))+1,20))),"")))</f>
        <v/>
      </c>
      <c r="J1231" t="str">
        <f t="shared" si="97"/>
        <v/>
      </c>
      <c r="K1231" t="str">
        <f>IF(OR($F1231="",$J1231="",$J1231="نامعتبر"),"",LEFT($J1231,4)&amp;MID($J1231,6,2)&amp;RIGHT($J1231,2)&amp;$N1231&amp;"|"&amp;"2"&amp;RIGHT("00000"&amp;1226,5))</f>
        <v/>
      </c>
      <c r="L1231" t="str">
        <f t="shared" si="98"/>
        <v/>
      </c>
      <c r="M1231" t="str">
        <f t="shared" si="99"/>
        <v/>
      </c>
      <c r="N1231" t="str">
        <f>IF($F1231="","",IF(Sync!$AF1231="","0000",IF(AND(ISNUMBER(Sync!$AF1231),Sync!$AF1231&gt;=0,Sync!$AF1231&lt;1),RIGHT("00"&amp;HOUR(Sync!$AF1231),2)&amp;RIGHT("00"&amp;MINUTE(Sync!$AF1231),2),IFERROR(RIGHT("00"&amp;VALUE(LEFT(Sync!$AF1231,FIND(":",Sync!$AF1231)-1)),2)&amp;RIGHT("00"&amp;VALUE(MID(Sync!$AF1231,FIND(":",Sync!$AF1231)+1,2)),2),"0000"))))</f>
        <v/>
      </c>
    </row>
    <row r="1232" spans="1:14" x14ac:dyDescent="0.2">
      <c r="A1232" t="str">
        <f>IF(OR(Calc!$E1236="",Calc!$E1236="نامعتبر",Calc!$G1236=""),"",Calc!$G1236)</f>
        <v/>
      </c>
      <c r="B1232" t="str">
        <f>IF($A1232="","",LEFT(Calc!$E1236,4)&amp;MID(Calc!$E1236,6,2)&amp;RIGHT(Calc!$E1236,2)&amp;Calc!$Q1236&amp;"|"&amp;"1"&amp;RIGHT("00000"&amp;1227,5))</f>
        <v/>
      </c>
      <c r="C1232" t="str">
        <f t="shared" si="95"/>
        <v/>
      </c>
      <c r="D1232" t="str">
        <f t="shared" si="96"/>
        <v/>
      </c>
      <c r="F1232" t="str">
        <f>IF(Sync!$AH1232="","",IF(LEFT(UPPER(TRIM(Sync!$AH1232)),2)="SL",UPPER(TRIM(Sync!$AH1232)),""))</f>
        <v/>
      </c>
      <c r="G1232" t="str">
        <f>IF($F1232="","",IF(Sync!$AE1232="","",IF(ISNUMBER(Sync!$AE1232),IF(AND(Sync!$AE1232&gt;=10000101,Sync!$AE1232&lt;=99991231),INT(Sync!$AE1232/10000),""),IFERROR(VALUE(TRIM(LEFT(Sync!$AE1232,FIND("/",Sync!$AE1232)-1))),""))))</f>
        <v/>
      </c>
      <c r="H1232" t="str">
        <f>IF(OR($F1232="",$G1232=""),"",IF(ISNUMBER(Sync!$AE1232),INT(MOD(Sync!$AE1232,10000)/100),IFERROR(VALUE(TRIM(LEFT(MID(Sync!$AE1232,FIND("/",Sync!$AE1232)+1,20),FIND("/",MID(Sync!$AE1232,FIND("/",Sync!$AE1232)+1,20))-1))),"")))</f>
        <v/>
      </c>
      <c r="I1232" t="str">
        <f>IF(OR($F1232="",$G1232=""),"",IF(ISNUMBER(Sync!$AE1232),MOD(Sync!$AE1232,100),IFERROR(VALUE(TRIM(MID(MID(Sync!$AE1232,FIND("/",Sync!$AE1232)+1,20),FIND("/",MID(Sync!$AE1232,FIND("/",Sync!$AE1232)+1,20))+1,20))),"")))</f>
        <v/>
      </c>
      <c r="J1232" t="str">
        <f t="shared" si="97"/>
        <v/>
      </c>
      <c r="K1232" t="str">
        <f>IF(OR($F1232="",$J1232="",$J1232="نامعتبر"),"",LEFT($J1232,4)&amp;MID($J1232,6,2)&amp;RIGHT($J1232,2)&amp;$N1232&amp;"|"&amp;"2"&amp;RIGHT("00000"&amp;1227,5))</f>
        <v/>
      </c>
      <c r="L1232" t="str">
        <f t="shared" si="98"/>
        <v/>
      </c>
      <c r="M1232" t="str">
        <f t="shared" si="99"/>
        <v/>
      </c>
      <c r="N1232" t="str">
        <f>IF($F1232="","",IF(Sync!$AF1232="","0000",IF(AND(ISNUMBER(Sync!$AF1232),Sync!$AF1232&gt;=0,Sync!$AF1232&lt;1),RIGHT("00"&amp;HOUR(Sync!$AF1232),2)&amp;RIGHT("00"&amp;MINUTE(Sync!$AF1232),2),IFERROR(RIGHT("00"&amp;VALUE(LEFT(Sync!$AF1232,FIND(":",Sync!$AF1232)-1)),2)&amp;RIGHT("00"&amp;VALUE(MID(Sync!$AF1232,FIND(":",Sync!$AF1232)+1,2)),2),"0000"))))</f>
        <v/>
      </c>
    </row>
    <row r="1233" spans="1:14" x14ac:dyDescent="0.2">
      <c r="A1233" t="str">
        <f>IF(OR(Calc!$E1237="",Calc!$E1237="نامعتبر",Calc!$G1237=""),"",Calc!$G1237)</f>
        <v/>
      </c>
      <c r="B1233" t="str">
        <f>IF($A1233="","",LEFT(Calc!$E1237,4)&amp;MID(Calc!$E1237,6,2)&amp;RIGHT(Calc!$E1237,2)&amp;Calc!$Q1237&amp;"|"&amp;"1"&amp;RIGHT("00000"&amp;1228,5))</f>
        <v/>
      </c>
      <c r="C1233" t="str">
        <f t="shared" si="95"/>
        <v/>
      </c>
      <c r="D1233" t="str">
        <f t="shared" si="96"/>
        <v/>
      </c>
      <c r="F1233" t="str">
        <f>IF(Sync!$AH1233="","",IF(LEFT(UPPER(TRIM(Sync!$AH1233)),2)="SL",UPPER(TRIM(Sync!$AH1233)),""))</f>
        <v/>
      </c>
      <c r="G1233" t="str">
        <f>IF($F1233="","",IF(Sync!$AE1233="","",IF(ISNUMBER(Sync!$AE1233),IF(AND(Sync!$AE1233&gt;=10000101,Sync!$AE1233&lt;=99991231),INT(Sync!$AE1233/10000),""),IFERROR(VALUE(TRIM(LEFT(Sync!$AE1233,FIND("/",Sync!$AE1233)-1))),""))))</f>
        <v/>
      </c>
      <c r="H1233" t="str">
        <f>IF(OR($F1233="",$G1233=""),"",IF(ISNUMBER(Sync!$AE1233),INT(MOD(Sync!$AE1233,10000)/100),IFERROR(VALUE(TRIM(LEFT(MID(Sync!$AE1233,FIND("/",Sync!$AE1233)+1,20),FIND("/",MID(Sync!$AE1233,FIND("/",Sync!$AE1233)+1,20))-1))),"")))</f>
        <v/>
      </c>
      <c r="I1233" t="str">
        <f>IF(OR($F1233="",$G1233=""),"",IF(ISNUMBER(Sync!$AE1233),MOD(Sync!$AE1233,100),IFERROR(VALUE(TRIM(MID(MID(Sync!$AE1233,FIND("/",Sync!$AE1233)+1,20),FIND("/",MID(Sync!$AE1233,FIND("/",Sync!$AE1233)+1,20))+1,20))),"")))</f>
        <v/>
      </c>
      <c r="J1233" t="str">
        <f t="shared" si="97"/>
        <v/>
      </c>
      <c r="K1233" t="str">
        <f>IF(OR($F1233="",$J1233="",$J1233="نامعتبر"),"",LEFT($J1233,4)&amp;MID($J1233,6,2)&amp;RIGHT($J1233,2)&amp;$N1233&amp;"|"&amp;"2"&amp;RIGHT("00000"&amp;1228,5))</f>
        <v/>
      </c>
      <c r="L1233" t="str">
        <f t="shared" si="98"/>
        <v/>
      </c>
      <c r="M1233" t="str">
        <f t="shared" si="99"/>
        <v/>
      </c>
      <c r="N1233" t="str">
        <f>IF($F1233="","",IF(Sync!$AF1233="","0000",IF(AND(ISNUMBER(Sync!$AF1233),Sync!$AF1233&gt;=0,Sync!$AF1233&lt;1),RIGHT("00"&amp;HOUR(Sync!$AF1233),2)&amp;RIGHT("00"&amp;MINUTE(Sync!$AF1233),2),IFERROR(RIGHT("00"&amp;VALUE(LEFT(Sync!$AF1233,FIND(":",Sync!$AF1233)-1)),2)&amp;RIGHT("00"&amp;VALUE(MID(Sync!$AF1233,FIND(":",Sync!$AF1233)+1,2)),2),"0000"))))</f>
        <v/>
      </c>
    </row>
    <row r="1234" spans="1:14" x14ac:dyDescent="0.2">
      <c r="A1234" t="str">
        <f>IF(OR(Calc!$E1238="",Calc!$E1238="نامعتبر",Calc!$G1238=""),"",Calc!$G1238)</f>
        <v/>
      </c>
      <c r="B1234" t="str">
        <f>IF($A1234="","",LEFT(Calc!$E1238,4)&amp;MID(Calc!$E1238,6,2)&amp;RIGHT(Calc!$E1238,2)&amp;Calc!$Q1238&amp;"|"&amp;"1"&amp;RIGHT("00000"&amp;1229,5))</f>
        <v/>
      </c>
      <c r="C1234" t="str">
        <f t="shared" si="95"/>
        <v/>
      </c>
      <c r="D1234" t="str">
        <f t="shared" si="96"/>
        <v/>
      </c>
      <c r="F1234" t="str">
        <f>IF(Sync!$AH1234="","",IF(LEFT(UPPER(TRIM(Sync!$AH1234)),2)="SL",UPPER(TRIM(Sync!$AH1234)),""))</f>
        <v/>
      </c>
      <c r="G1234" t="str">
        <f>IF($F1234="","",IF(Sync!$AE1234="","",IF(ISNUMBER(Sync!$AE1234),IF(AND(Sync!$AE1234&gt;=10000101,Sync!$AE1234&lt;=99991231),INT(Sync!$AE1234/10000),""),IFERROR(VALUE(TRIM(LEFT(Sync!$AE1234,FIND("/",Sync!$AE1234)-1))),""))))</f>
        <v/>
      </c>
      <c r="H1234" t="str">
        <f>IF(OR($F1234="",$G1234=""),"",IF(ISNUMBER(Sync!$AE1234),INT(MOD(Sync!$AE1234,10000)/100),IFERROR(VALUE(TRIM(LEFT(MID(Sync!$AE1234,FIND("/",Sync!$AE1234)+1,20),FIND("/",MID(Sync!$AE1234,FIND("/",Sync!$AE1234)+1,20))-1))),"")))</f>
        <v/>
      </c>
      <c r="I1234" t="str">
        <f>IF(OR($F1234="",$G1234=""),"",IF(ISNUMBER(Sync!$AE1234),MOD(Sync!$AE1234,100),IFERROR(VALUE(TRIM(MID(MID(Sync!$AE1234,FIND("/",Sync!$AE1234)+1,20),FIND("/",MID(Sync!$AE1234,FIND("/",Sync!$AE1234)+1,20))+1,20))),"")))</f>
        <v/>
      </c>
      <c r="J1234" t="str">
        <f t="shared" si="97"/>
        <v/>
      </c>
      <c r="K1234" t="str">
        <f>IF(OR($F1234="",$J1234="",$J1234="نامعتبر"),"",LEFT($J1234,4)&amp;MID($J1234,6,2)&amp;RIGHT($J1234,2)&amp;$N1234&amp;"|"&amp;"2"&amp;RIGHT("00000"&amp;1229,5))</f>
        <v/>
      </c>
      <c r="L1234" t="str">
        <f t="shared" si="98"/>
        <v/>
      </c>
      <c r="M1234" t="str">
        <f t="shared" si="99"/>
        <v/>
      </c>
      <c r="N1234" t="str">
        <f>IF($F1234="","",IF(Sync!$AF1234="","0000",IF(AND(ISNUMBER(Sync!$AF1234),Sync!$AF1234&gt;=0,Sync!$AF1234&lt;1),RIGHT("00"&amp;HOUR(Sync!$AF1234),2)&amp;RIGHT("00"&amp;MINUTE(Sync!$AF1234),2),IFERROR(RIGHT("00"&amp;VALUE(LEFT(Sync!$AF1234,FIND(":",Sync!$AF1234)-1)),2)&amp;RIGHT("00"&amp;VALUE(MID(Sync!$AF1234,FIND(":",Sync!$AF1234)+1,2)),2),"0000"))))</f>
        <v/>
      </c>
    </row>
    <row r="1235" spans="1:14" x14ac:dyDescent="0.2">
      <c r="A1235" t="str">
        <f>IF(OR(Calc!$E1239="",Calc!$E1239="نامعتبر",Calc!$G1239=""),"",Calc!$G1239)</f>
        <v/>
      </c>
      <c r="B1235" t="str">
        <f>IF($A1235="","",LEFT(Calc!$E1239,4)&amp;MID(Calc!$E1239,6,2)&amp;RIGHT(Calc!$E1239,2)&amp;Calc!$Q1239&amp;"|"&amp;"1"&amp;RIGHT("00000"&amp;1230,5))</f>
        <v/>
      </c>
      <c r="C1235" t="str">
        <f t="shared" si="95"/>
        <v/>
      </c>
      <c r="D1235" t="str">
        <f t="shared" si="96"/>
        <v/>
      </c>
      <c r="F1235" t="str">
        <f>IF(Sync!$AH1235="","",IF(LEFT(UPPER(TRIM(Sync!$AH1235)),2)="SL",UPPER(TRIM(Sync!$AH1235)),""))</f>
        <v/>
      </c>
      <c r="G1235" t="str">
        <f>IF($F1235="","",IF(Sync!$AE1235="","",IF(ISNUMBER(Sync!$AE1235),IF(AND(Sync!$AE1235&gt;=10000101,Sync!$AE1235&lt;=99991231),INT(Sync!$AE1235/10000),""),IFERROR(VALUE(TRIM(LEFT(Sync!$AE1235,FIND("/",Sync!$AE1235)-1))),""))))</f>
        <v/>
      </c>
      <c r="H1235" t="str">
        <f>IF(OR($F1235="",$G1235=""),"",IF(ISNUMBER(Sync!$AE1235),INT(MOD(Sync!$AE1235,10000)/100),IFERROR(VALUE(TRIM(LEFT(MID(Sync!$AE1235,FIND("/",Sync!$AE1235)+1,20),FIND("/",MID(Sync!$AE1235,FIND("/",Sync!$AE1235)+1,20))-1))),"")))</f>
        <v/>
      </c>
      <c r="I1235" t="str">
        <f>IF(OR($F1235="",$G1235=""),"",IF(ISNUMBER(Sync!$AE1235),MOD(Sync!$AE1235,100),IFERROR(VALUE(TRIM(MID(MID(Sync!$AE1235,FIND("/",Sync!$AE1235)+1,20),FIND("/",MID(Sync!$AE1235,FIND("/",Sync!$AE1235)+1,20))+1,20))),"")))</f>
        <v/>
      </c>
      <c r="J1235" t="str">
        <f t="shared" si="97"/>
        <v/>
      </c>
      <c r="K1235" t="str">
        <f>IF(OR($F1235="",$J1235="",$J1235="نامعتبر"),"",LEFT($J1235,4)&amp;MID($J1235,6,2)&amp;RIGHT($J1235,2)&amp;$N1235&amp;"|"&amp;"2"&amp;RIGHT("00000"&amp;1230,5))</f>
        <v/>
      </c>
      <c r="L1235" t="str">
        <f t="shared" si="98"/>
        <v/>
      </c>
      <c r="M1235" t="str">
        <f t="shared" si="99"/>
        <v/>
      </c>
      <c r="N1235" t="str">
        <f>IF($F1235="","",IF(Sync!$AF1235="","0000",IF(AND(ISNUMBER(Sync!$AF1235),Sync!$AF1235&gt;=0,Sync!$AF1235&lt;1),RIGHT("00"&amp;HOUR(Sync!$AF1235),2)&amp;RIGHT("00"&amp;MINUTE(Sync!$AF1235),2),IFERROR(RIGHT("00"&amp;VALUE(LEFT(Sync!$AF1235,FIND(":",Sync!$AF1235)-1)),2)&amp;RIGHT("00"&amp;VALUE(MID(Sync!$AF1235,FIND(":",Sync!$AF1235)+1,2)),2),"0000"))))</f>
        <v/>
      </c>
    </row>
    <row r="1236" spans="1:14" x14ac:dyDescent="0.2">
      <c r="A1236" t="str">
        <f>IF(OR(Calc!$E1240="",Calc!$E1240="نامعتبر",Calc!$G1240=""),"",Calc!$G1240)</f>
        <v/>
      </c>
      <c r="B1236" t="str">
        <f>IF($A1236="","",LEFT(Calc!$E1240,4)&amp;MID(Calc!$E1240,6,2)&amp;RIGHT(Calc!$E1240,2)&amp;Calc!$Q1240&amp;"|"&amp;"1"&amp;RIGHT("00000"&amp;1231,5))</f>
        <v/>
      </c>
      <c r="C1236" t="str">
        <f t="shared" si="95"/>
        <v/>
      </c>
      <c r="D1236" t="str">
        <f t="shared" si="96"/>
        <v/>
      </c>
      <c r="F1236" t="str">
        <f>IF(Sync!$AH1236="","",IF(LEFT(UPPER(TRIM(Sync!$AH1236)),2)="SL",UPPER(TRIM(Sync!$AH1236)),""))</f>
        <v/>
      </c>
      <c r="G1236" t="str">
        <f>IF($F1236="","",IF(Sync!$AE1236="","",IF(ISNUMBER(Sync!$AE1236),IF(AND(Sync!$AE1236&gt;=10000101,Sync!$AE1236&lt;=99991231),INT(Sync!$AE1236/10000),""),IFERROR(VALUE(TRIM(LEFT(Sync!$AE1236,FIND("/",Sync!$AE1236)-1))),""))))</f>
        <v/>
      </c>
      <c r="H1236" t="str">
        <f>IF(OR($F1236="",$G1236=""),"",IF(ISNUMBER(Sync!$AE1236),INT(MOD(Sync!$AE1236,10000)/100),IFERROR(VALUE(TRIM(LEFT(MID(Sync!$AE1236,FIND("/",Sync!$AE1236)+1,20),FIND("/",MID(Sync!$AE1236,FIND("/",Sync!$AE1236)+1,20))-1))),"")))</f>
        <v/>
      </c>
      <c r="I1236" t="str">
        <f>IF(OR($F1236="",$G1236=""),"",IF(ISNUMBER(Sync!$AE1236),MOD(Sync!$AE1236,100),IFERROR(VALUE(TRIM(MID(MID(Sync!$AE1236,FIND("/",Sync!$AE1236)+1,20),FIND("/",MID(Sync!$AE1236,FIND("/",Sync!$AE1236)+1,20))+1,20))),"")))</f>
        <v/>
      </c>
      <c r="J1236" t="str">
        <f t="shared" si="97"/>
        <v/>
      </c>
      <c r="K1236" t="str">
        <f>IF(OR($F1236="",$J1236="",$J1236="نامعتبر"),"",LEFT($J1236,4)&amp;MID($J1236,6,2)&amp;RIGHT($J1236,2)&amp;$N1236&amp;"|"&amp;"2"&amp;RIGHT("00000"&amp;1231,5))</f>
        <v/>
      </c>
      <c r="L1236" t="str">
        <f t="shared" si="98"/>
        <v/>
      </c>
      <c r="M1236" t="str">
        <f t="shared" si="99"/>
        <v/>
      </c>
      <c r="N1236" t="str">
        <f>IF($F1236="","",IF(Sync!$AF1236="","0000",IF(AND(ISNUMBER(Sync!$AF1236),Sync!$AF1236&gt;=0,Sync!$AF1236&lt;1),RIGHT("00"&amp;HOUR(Sync!$AF1236),2)&amp;RIGHT("00"&amp;MINUTE(Sync!$AF1236),2),IFERROR(RIGHT("00"&amp;VALUE(LEFT(Sync!$AF1236,FIND(":",Sync!$AF1236)-1)),2)&amp;RIGHT("00"&amp;VALUE(MID(Sync!$AF1236,FIND(":",Sync!$AF1236)+1,2)),2),"0000"))))</f>
        <v/>
      </c>
    </row>
    <row r="1237" spans="1:14" x14ac:dyDescent="0.2">
      <c r="A1237" t="str">
        <f>IF(OR(Calc!$E1241="",Calc!$E1241="نامعتبر",Calc!$G1241=""),"",Calc!$G1241)</f>
        <v/>
      </c>
      <c r="B1237" t="str">
        <f>IF($A1237="","",LEFT(Calc!$E1241,4)&amp;MID(Calc!$E1241,6,2)&amp;RIGHT(Calc!$E1241,2)&amp;Calc!$Q1241&amp;"|"&amp;"1"&amp;RIGHT("00000"&amp;1232,5))</f>
        <v/>
      </c>
      <c r="C1237" t="str">
        <f t="shared" si="95"/>
        <v/>
      </c>
      <c r="D1237" t="str">
        <f t="shared" si="96"/>
        <v/>
      </c>
      <c r="F1237" t="str">
        <f>IF(Sync!$AH1237="","",IF(LEFT(UPPER(TRIM(Sync!$AH1237)),2)="SL",UPPER(TRIM(Sync!$AH1237)),""))</f>
        <v/>
      </c>
      <c r="G1237" t="str">
        <f>IF($F1237="","",IF(Sync!$AE1237="","",IF(ISNUMBER(Sync!$AE1237),IF(AND(Sync!$AE1237&gt;=10000101,Sync!$AE1237&lt;=99991231),INT(Sync!$AE1237/10000),""),IFERROR(VALUE(TRIM(LEFT(Sync!$AE1237,FIND("/",Sync!$AE1237)-1))),""))))</f>
        <v/>
      </c>
      <c r="H1237" t="str">
        <f>IF(OR($F1237="",$G1237=""),"",IF(ISNUMBER(Sync!$AE1237),INT(MOD(Sync!$AE1237,10000)/100),IFERROR(VALUE(TRIM(LEFT(MID(Sync!$AE1237,FIND("/",Sync!$AE1237)+1,20),FIND("/",MID(Sync!$AE1237,FIND("/",Sync!$AE1237)+1,20))-1))),"")))</f>
        <v/>
      </c>
      <c r="I1237" t="str">
        <f>IF(OR($F1237="",$G1237=""),"",IF(ISNUMBER(Sync!$AE1237),MOD(Sync!$AE1237,100),IFERROR(VALUE(TRIM(MID(MID(Sync!$AE1237,FIND("/",Sync!$AE1237)+1,20),FIND("/",MID(Sync!$AE1237,FIND("/",Sync!$AE1237)+1,20))+1,20))),"")))</f>
        <v/>
      </c>
      <c r="J1237" t="str">
        <f t="shared" si="97"/>
        <v/>
      </c>
      <c r="K1237" t="str">
        <f>IF(OR($F1237="",$J1237="",$J1237="نامعتبر"),"",LEFT($J1237,4)&amp;MID($J1237,6,2)&amp;RIGHT($J1237,2)&amp;$N1237&amp;"|"&amp;"2"&amp;RIGHT("00000"&amp;1232,5))</f>
        <v/>
      </c>
      <c r="L1237" t="str">
        <f t="shared" si="98"/>
        <v/>
      </c>
      <c r="M1237" t="str">
        <f t="shared" si="99"/>
        <v/>
      </c>
      <c r="N1237" t="str">
        <f>IF($F1237="","",IF(Sync!$AF1237="","0000",IF(AND(ISNUMBER(Sync!$AF1237),Sync!$AF1237&gt;=0,Sync!$AF1237&lt;1),RIGHT("00"&amp;HOUR(Sync!$AF1237),2)&amp;RIGHT("00"&amp;MINUTE(Sync!$AF1237),2),IFERROR(RIGHT("00"&amp;VALUE(LEFT(Sync!$AF1237,FIND(":",Sync!$AF1237)-1)),2)&amp;RIGHT("00"&amp;VALUE(MID(Sync!$AF1237,FIND(":",Sync!$AF1237)+1,2)),2),"0000"))))</f>
        <v/>
      </c>
    </row>
    <row r="1238" spans="1:14" x14ac:dyDescent="0.2">
      <c r="A1238" t="str">
        <f>IF(OR(Calc!$E1242="",Calc!$E1242="نامعتبر",Calc!$G1242=""),"",Calc!$G1242)</f>
        <v/>
      </c>
      <c r="B1238" t="str">
        <f>IF($A1238="","",LEFT(Calc!$E1242,4)&amp;MID(Calc!$E1242,6,2)&amp;RIGHT(Calc!$E1242,2)&amp;Calc!$Q1242&amp;"|"&amp;"1"&amp;RIGHT("00000"&amp;1233,5))</f>
        <v/>
      </c>
      <c r="C1238" t="str">
        <f t="shared" si="95"/>
        <v/>
      </c>
      <c r="D1238" t="str">
        <f t="shared" si="96"/>
        <v/>
      </c>
      <c r="F1238" t="str">
        <f>IF(Sync!$AH1238="","",IF(LEFT(UPPER(TRIM(Sync!$AH1238)),2)="SL",UPPER(TRIM(Sync!$AH1238)),""))</f>
        <v/>
      </c>
      <c r="G1238" t="str">
        <f>IF($F1238="","",IF(Sync!$AE1238="","",IF(ISNUMBER(Sync!$AE1238),IF(AND(Sync!$AE1238&gt;=10000101,Sync!$AE1238&lt;=99991231),INT(Sync!$AE1238/10000),""),IFERROR(VALUE(TRIM(LEFT(Sync!$AE1238,FIND("/",Sync!$AE1238)-1))),""))))</f>
        <v/>
      </c>
      <c r="H1238" t="str">
        <f>IF(OR($F1238="",$G1238=""),"",IF(ISNUMBER(Sync!$AE1238),INT(MOD(Sync!$AE1238,10000)/100),IFERROR(VALUE(TRIM(LEFT(MID(Sync!$AE1238,FIND("/",Sync!$AE1238)+1,20),FIND("/",MID(Sync!$AE1238,FIND("/",Sync!$AE1238)+1,20))-1))),"")))</f>
        <v/>
      </c>
      <c r="I1238" t="str">
        <f>IF(OR($F1238="",$G1238=""),"",IF(ISNUMBER(Sync!$AE1238),MOD(Sync!$AE1238,100),IFERROR(VALUE(TRIM(MID(MID(Sync!$AE1238,FIND("/",Sync!$AE1238)+1,20),FIND("/",MID(Sync!$AE1238,FIND("/",Sync!$AE1238)+1,20))+1,20))),"")))</f>
        <v/>
      </c>
      <c r="J1238" t="str">
        <f t="shared" si="97"/>
        <v/>
      </c>
      <c r="K1238" t="str">
        <f>IF(OR($F1238="",$J1238="",$J1238="نامعتبر"),"",LEFT($J1238,4)&amp;MID($J1238,6,2)&amp;RIGHT($J1238,2)&amp;$N1238&amp;"|"&amp;"2"&amp;RIGHT("00000"&amp;1233,5))</f>
        <v/>
      </c>
      <c r="L1238" t="str">
        <f t="shared" si="98"/>
        <v/>
      </c>
      <c r="M1238" t="str">
        <f t="shared" si="99"/>
        <v/>
      </c>
      <c r="N1238" t="str">
        <f>IF($F1238="","",IF(Sync!$AF1238="","0000",IF(AND(ISNUMBER(Sync!$AF1238),Sync!$AF1238&gt;=0,Sync!$AF1238&lt;1),RIGHT("00"&amp;HOUR(Sync!$AF1238),2)&amp;RIGHT("00"&amp;MINUTE(Sync!$AF1238),2),IFERROR(RIGHT("00"&amp;VALUE(LEFT(Sync!$AF1238,FIND(":",Sync!$AF1238)-1)),2)&amp;RIGHT("00"&amp;VALUE(MID(Sync!$AF1238,FIND(":",Sync!$AF1238)+1,2)),2),"0000"))))</f>
        <v/>
      </c>
    </row>
    <row r="1239" spans="1:14" x14ac:dyDescent="0.2">
      <c r="A1239" t="str">
        <f>IF(OR(Calc!$E1243="",Calc!$E1243="نامعتبر",Calc!$G1243=""),"",Calc!$G1243)</f>
        <v/>
      </c>
      <c r="B1239" t="str">
        <f>IF($A1239="","",LEFT(Calc!$E1243,4)&amp;MID(Calc!$E1243,6,2)&amp;RIGHT(Calc!$E1243,2)&amp;Calc!$Q1243&amp;"|"&amp;"1"&amp;RIGHT("00000"&amp;1234,5))</f>
        <v/>
      </c>
      <c r="C1239" t="str">
        <f t="shared" si="95"/>
        <v/>
      </c>
      <c r="D1239" t="str">
        <f t="shared" si="96"/>
        <v/>
      </c>
      <c r="F1239" t="str">
        <f>IF(Sync!$AH1239="","",IF(LEFT(UPPER(TRIM(Sync!$AH1239)),2)="SL",UPPER(TRIM(Sync!$AH1239)),""))</f>
        <v/>
      </c>
      <c r="G1239" t="str">
        <f>IF($F1239="","",IF(Sync!$AE1239="","",IF(ISNUMBER(Sync!$AE1239),IF(AND(Sync!$AE1239&gt;=10000101,Sync!$AE1239&lt;=99991231),INT(Sync!$AE1239/10000),""),IFERROR(VALUE(TRIM(LEFT(Sync!$AE1239,FIND("/",Sync!$AE1239)-1))),""))))</f>
        <v/>
      </c>
      <c r="H1239" t="str">
        <f>IF(OR($F1239="",$G1239=""),"",IF(ISNUMBER(Sync!$AE1239),INT(MOD(Sync!$AE1239,10000)/100),IFERROR(VALUE(TRIM(LEFT(MID(Sync!$AE1239,FIND("/",Sync!$AE1239)+1,20),FIND("/",MID(Sync!$AE1239,FIND("/",Sync!$AE1239)+1,20))-1))),"")))</f>
        <v/>
      </c>
      <c r="I1239" t="str">
        <f>IF(OR($F1239="",$G1239=""),"",IF(ISNUMBER(Sync!$AE1239),MOD(Sync!$AE1239,100),IFERROR(VALUE(TRIM(MID(MID(Sync!$AE1239,FIND("/",Sync!$AE1239)+1,20),FIND("/",MID(Sync!$AE1239,FIND("/",Sync!$AE1239)+1,20))+1,20))),"")))</f>
        <v/>
      </c>
      <c r="J1239" t="str">
        <f t="shared" si="97"/>
        <v/>
      </c>
      <c r="K1239" t="str">
        <f>IF(OR($F1239="",$J1239="",$J1239="نامعتبر"),"",LEFT($J1239,4)&amp;MID($J1239,6,2)&amp;RIGHT($J1239,2)&amp;$N1239&amp;"|"&amp;"2"&amp;RIGHT("00000"&amp;1234,5))</f>
        <v/>
      </c>
      <c r="L1239" t="str">
        <f t="shared" si="98"/>
        <v/>
      </c>
      <c r="M1239" t="str">
        <f t="shared" si="99"/>
        <v/>
      </c>
      <c r="N1239" t="str">
        <f>IF($F1239="","",IF(Sync!$AF1239="","0000",IF(AND(ISNUMBER(Sync!$AF1239),Sync!$AF1239&gt;=0,Sync!$AF1239&lt;1),RIGHT("00"&amp;HOUR(Sync!$AF1239),2)&amp;RIGHT("00"&amp;MINUTE(Sync!$AF1239),2),IFERROR(RIGHT("00"&amp;VALUE(LEFT(Sync!$AF1239,FIND(":",Sync!$AF1239)-1)),2)&amp;RIGHT("00"&amp;VALUE(MID(Sync!$AF1239,FIND(":",Sync!$AF1239)+1,2)),2),"0000"))))</f>
        <v/>
      </c>
    </row>
    <row r="1240" spans="1:14" x14ac:dyDescent="0.2">
      <c r="A1240" t="str">
        <f>IF(OR(Calc!$E1244="",Calc!$E1244="نامعتبر",Calc!$G1244=""),"",Calc!$G1244)</f>
        <v/>
      </c>
      <c r="B1240" t="str">
        <f>IF($A1240="","",LEFT(Calc!$E1244,4)&amp;MID(Calc!$E1244,6,2)&amp;RIGHT(Calc!$E1244,2)&amp;Calc!$Q1244&amp;"|"&amp;"1"&amp;RIGHT("00000"&amp;1235,5))</f>
        <v/>
      </c>
      <c r="C1240" t="str">
        <f t="shared" si="95"/>
        <v/>
      </c>
      <c r="D1240" t="str">
        <f t="shared" si="96"/>
        <v/>
      </c>
      <c r="F1240" t="str">
        <f>IF(Sync!$AH1240="","",IF(LEFT(UPPER(TRIM(Sync!$AH1240)),2)="SL",UPPER(TRIM(Sync!$AH1240)),""))</f>
        <v/>
      </c>
      <c r="G1240" t="str">
        <f>IF($F1240="","",IF(Sync!$AE1240="","",IF(ISNUMBER(Sync!$AE1240),IF(AND(Sync!$AE1240&gt;=10000101,Sync!$AE1240&lt;=99991231),INT(Sync!$AE1240/10000),""),IFERROR(VALUE(TRIM(LEFT(Sync!$AE1240,FIND("/",Sync!$AE1240)-1))),""))))</f>
        <v/>
      </c>
      <c r="H1240" t="str">
        <f>IF(OR($F1240="",$G1240=""),"",IF(ISNUMBER(Sync!$AE1240),INT(MOD(Sync!$AE1240,10000)/100),IFERROR(VALUE(TRIM(LEFT(MID(Sync!$AE1240,FIND("/",Sync!$AE1240)+1,20),FIND("/",MID(Sync!$AE1240,FIND("/",Sync!$AE1240)+1,20))-1))),"")))</f>
        <v/>
      </c>
      <c r="I1240" t="str">
        <f>IF(OR($F1240="",$G1240=""),"",IF(ISNUMBER(Sync!$AE1240),MOD(Sync!$AE1240,100),IFERROR(VALUE(TRIM(MID(MID(Sync!$AE1240,FIND("/",Sync!$AE1240)+1,20),FIND("/",MID(Sync!$AE1240,FIND("/",Sync!$AE1240)+1,20))+1,20))),"")))</f>
        <v/>
      </c>
      <c r="J1240" t="str">
        <f t="shared" si="97"/>
        <v/>
      </c>
      <c r="K1240" t="str">
        <f>IF(OR($F1240="",$J1240="",$J1240="نامعتبر"),"",LEFT($J1240,4)&amp;MID($J1240,6,2)&amp;RIGHT($J1240,2)&amp;$N1240&amp;"|"&amp;"2"&amp;RIGHT("00000"&amp;1235,5))</f>
        <v/>
      </c>
      <c r="L1240" t="str">
        <f t="shared" si="98"/>
        <v/>
      </c>
      <c r="M1240" t="str">
        <f t="shared" si="99"/>
        <v/>
      </c>
      <c r="N1240" t="str">
        <f>IF($F1240="","",IF(Sync!$AF1240="","0000",IF(AND(ISNUMBER(Sync!$AF1240),Sync!$AF1240&gt;=0,Sync!$AF1240&lt;1),RIGHT("00"&amp;HOUR(Sync!$AF1240),2)&amp;RIGHT("00"&amp;MINUTE(Sync!$AF1240),2),IFERROR(RIGHT("00"&amp;VALUE(LEFT(Sync!$AF1240,FIND(":",Sync!$AF1240)-1)),2)&amp;RIGHT("00"&amp;VALUE(MID(Sync!$AF1240,FIND(":",Sync!$AF1240)+1,2)),2),"0000"))))</f>
        <v/>
      </c>
    </row>
    <row r="1241" spans="1:14" x14ac:dyDescent="0.2">
      <c r="A1241" t="str">
        <f>IF(OR(Calc!$E1245="",Calc!$E1245="نامعتبر",Calc!$G1245=""),"",Calc!$G1245)</f>
        <v/>
      </c>
      <c r="B1241" t="str">
        <f>IF($A1241="","",LEFT(Calc!$E1245,4)&amp;MID(Calc!$E1245,6,2)&amp;RIGHT(Calc!$E1245,2)&amp;Calc!$Q1245&amp;"|"&amp;"1"&amp;RIGHT("00000"&amp;1236,5))</f>
        <v/>
      </c>
      <c r="C1241" t="str">
        <f t="shared" si="95"/>
        <v/>
      </c>
      <c r="D1241" t="str">
        <f t="shared" si="96"/>
        <v/>
      </c>
      <c r="F1241" t="str">
        <f>IF(Sync!$AH1241="","",IF(LEFT(UPPER(TRIM(Sync!$AH1241)),2)="SL",UPPER(TRIM(Sync!$AH1241)),""))</f>
        <v/>
      </c>
      <c r="G1241" t="str">
        <f>IF($F1241="","",IF(Sync!$AE1241="","",IF(ISNUMBER(Sync!$AE1241),IF(AND(Sync!$AE1241&gt;=10000101,Sync!$AE1241&lt;=99991231),INT(Sync!$AE1241/10000),""),IFERROR(VALUE(TRIM(LEFT(Sync!$AE1241,FIND("/",Sync!$AE1241)-1))),""))))</f>
        <v/>
      </c>
      <c r="H1241" t="str">
        <f>IF(OR($F1241="",$G1241=""),"",IF(ISNUMBER(Sync!$AE1241),INT(MOD(Sync!$AE1241,10000)/100),IFERROR(VALUE(TRIM(LEFT(MID(Sync!$AE1241,FIND("/",Sync!$AE1241)+1,20),FIND("/",MID(Sync!$AE1241,FIND("/",Sync!$AE1241)+1,20))-1))),"")))</f>
        <v/>
      </c>
      <c r="I1241" t="str">
        <f>IF(OR($F1241="",$G1241=""),"",IF(ISNUMBER(Sync!$AE1241),MOD(Sync!$AE1241,100),IFERROR(VALUE(TRIM(MID(MID(Sync!$AE1241,FIND("/",Sync!$AE1241)+1,20),FIND("/",MID(Sync!$AE1241,FIND("/",Sync!$AE1241)+1,20))+1,20))),"")))</f>
        <v/>
      </c>
      <c r="J1241" t="str">
        <f t="shared" si="97"/>
        <v/>
      </c>
      <c r="K1241" t="str">
        <f>IF(OR($F1241="",$J1241="",$J1241="نامعتبر"),"",LEFT($J1241,4)&amp;MID($J1241,6,2)&amp;RIGHT($J1241,2)&amp;$N1241&amp;"|"&amp;"2"&amp;RIGHT("00000"&amp;1236,5))</f>
        <v/>
      </c>
      <c r="L1241" t="str">
        <f t="shared" si="98"/>
        <v/>
      </c>
      <c r="M1241" t="str">
        <f t="shared" si="99"/>
        <v/>
      </c>
      <c r="N1241" t="str">
        <f>IF($F1241="","",IF(Sync!$AF1241="","0000",IF(AND(ISNUMBER(Sync!$AF1241),Sync!$AF1241&gt;=0,Sync!$AF1241&lt;1),RIGHT("00"&amp;HOUR(Sync!$AF1241),2)&amp;RIGHT("00"&amp;MINUTE(Sync!$AF1241),2),IFERROR(RIGHT("00"&amp;VALUE(LEFT(Sync!$AF1241,FIND(":",Sync!$AF1241)-1)),2)&amp;RIGHT("00"&amp;VALUE(MID(Sync!$AF1241,FIND(":",Sync!$AF1241)+1,2)),2),"0000"))))</f>
        <v/>
      </c>
    </row>
    <row r="1242" spans="1:14" x14ac:dyDescent="0.2">
      <c r="A1242" t="str">
        <f>IF(OR(Calc!$E1246="",Calc!$E1246="نامعتبر",Calc!$G1246=""),"",Calc!$G1246)</f>
        <v/>
      </c>
      <c r="B1242" t="str">
        <f>IF($A1242="","",LEFT(Calc!$E1246,4)&amp;MID(Calc!$E1246,6,2)&amp;RIGHT(Calc!$E1246,2)&amp;Calc!$Q1246&amp;"|"&amp;"1"&amp;RIGHT("00000"&amp;1237,5))</f>
        <v/>
      </c>
      <c r="C1242" t="str">
        <f t="shared" si="95"/>
        <v/>
      </c>
      <c r="D1242" t="str">
        <f t="shared" si="96"/>
        <v/>
      </c>
      <c r="F1242" t="str">
        <f>IF(Sync!$AH1242="","",IF(LEFT(UPPER(TRIM(Sync!$AH1242)),2)="SL",UPPER(TRIM(Sync!$AH1242)),""))</f>
        <v/>
      </c>
      <c r="G1242" t="str">
        <f>IF($F1242="","",IF(Sync!$AE1242="","",IF(ISNUMBER(Sync!$AE1242),IF(AND(Sync!$AE1242&gt;=10000101,Sync!$AE1242&lt;=99991231),INT(Sync!$AE1242/10000),""),IFERROR(VALUE(TRIM(LEFT(Sync!$AE1242,FIND("/",Sync!$AE1242)-1))),""))))</f>
        <v/>
      </c>
      <c r="H1242" t="str">
        <f>IF(OR($F1242="",$G1242=""),"",IF(ISNUMBER(Sync!$AE1242),INT(MOD(Sync!$AE1242,10000)/100),IFERROR(VALUE(TRIM(LEFT(MID(Sync!$AE1242,FIND("/",Sync!$AE1242)+1,20),FIND("/",MID(Sync!$AE1242,FIND("/",Sync!$AE1242)+1,20))-1))),"")))</f>
        <v/>
      </c>
      <c r="I1242" t="str">
        <f>IF(OR($F1242="",$G1242=""),"",IF(ISNUMBER(Sync!$AE1242),MOD(Sync!$AE1242,100),IFERROR(VALUE(TRIM(MID(MID(Sync!$AE1242,FIND("/",Sync!$AE1242)+1,20),FIND("/",MID(Sync!$AE1242,FIND("/",Sync!$AE1242)+1,20))+1,20))),"")))</f>
        <v/>
      </c>
      <c r="J1242" t="str">
        <f t="shared" si="97"/>
        <v/>
      </c>
      <c r="K1242" t="str">
        <f>IF(OR($F1242="",$J1242="",$J1242="نامعتبر"),"",LEFT($J1242,4)&amp;MID($J1242,6,2)&amp;RIGHT($J1242,2)&amp;$N1242&amp;"|"&amp;"2"&amp;RIGHT("00000"&amp;1237,5))</f>
        <v/>
      </c>
      <c r="L1242" t="str">
        <f t="shared" si="98"/>
        <v/>
      </c>
      <c r="M1242" t="str">
        <f t="shared" si="99"/>
        <v/>
      </c>
      <c r="N1242" t="str">
        <f>IF($F1242="","",IF(Sync!$AF1242="","0000",IF(AND(ISNUMBER(Sync!$AF1242),Sync!$AF1242&gt;=0,Sync!$AF1242&lt;1),RIGHT("00"&amp;HOUR(Sync!$AF1242),2)&amp;RIGHT("00"&amp;MINUTE(Sync!$AF1242),2),IFERROR(RIGHT("00"&amp;VALUE(LEFT(Sync!$AF1242,FIND(":",Sync!$AF1242)-1)),2)&amp;RIGHT("00"&amp;VALUE(MID(Sync!$AF1242,FIND(":",Sync!$AF1242)+1,2)),2),"0000"))))</f>
        <v/>
      </c>
    </row>
    <row r="1243" spans="1:14" x14ac:dyDescent="0.2">
      <c r="A1243" t="str">
        <f>IF(OR(Calc!$E1247="",Calc!$E1247="نامعتبر",Calc!$G1247=""),"",Calc!$G1247)</f>
        <v/>
      </c>
      <c r="B1243" t="str">
        <f>IF($A1243="","",LEFT(Calc!$E1247,4)&amp;MID(Calc!$E1247,6,2)&amp;RIGHT(Calc!$E1247,2)&amp;Calc!$Q1247&amp;"|"&amp;"1"&amp;RIGHT("00000"&amp;1238,5))</f>
        <v/>
      </c>
      <c r="C1243" t="str">
        <f t="shared" si="95"/>
        <v/>
      </c>
      <c r="D1243" t="str">
        <f t="shared" si="96"/>
        <v/>
      </c>
      <c r="F1243" t="str">
        <f>IF(Sync!$AH1243="","",IF(LEFT(UPPER(TRIM(Sync!$AH1243)),2)="SL",UPPER(TRIM(Sync!$AH1243)),""))</f>
        <v/>
      </c>
      <c r="G1243" t="str">
        <f>IF($F1243="","",IF(Sync!$AE1243="","",IF(ISNUMBER(Sync!$AE1243),IF(AND(Sync!$AE1243&gt;=10000101,Sync!$AE1243&lt;=99991231),INT(Sync!$AE1243/10000),""),IFERROR(VALUE(TRIM(LEFT(Sync!$AE1243,FIND("/",Sync!$AE1243)-1))),""))))</f>
        <v/>
      </c>
      <c r="H1243" t="str">
        <f>IF(OR($F1243="",$G1243=""),"",IF(ISNUMBER(Sync!$AE1243),INT(MOD(Sync!$AE1243,10000)/100),IFERROR(VALUE(TRIM(LEFT(MID(Sync!$AE1243,FIND("/",Sync!$AE1243)+1,20),FIND("/",MID(Sync!$AE1243,FIND("/",Sync!$AE1243)+1,20))-1))),"")))</f>
        <v/>
      </c>
      <c r="I1243" t="str">
        <f>IF(OR($F1243="",$G1243=""),"",IF(ISNUMBER(Sync!$AE1243),MOD(Sync!$AE1243,100),IFERROR(VALUE(TRIM(MID(MID(Sync!$AE1243,FIND("/",Sync!$AE1243)+1,20),FIND("/",MID(Sync!$AE1243,FIND("/",Sync!$AE1243)+1,20))+1,20))),"")))</f>
        <v/>
      </c>
      <c r="J1243" t="str">
        <f t="shared" si="97"/>
        <v/>
      </c>
      <c r="K1243" t="str">
        <f>IF(OR($F1243="",$J1243="",$J1243="نامعتبر"),"",LEFT($J1243,4)&amp;MID($J1243,6,2)&amp;RIGHT($J1243,2)&amp;$N1243&amp;"|"&amp;"2"&amp;RIGHT("00000"&amp;1238,5))</f>
        <v/>
      </c>
      <c r="L1243" t="str">
        <f t="shared" si="98"/>
        <v/>
      </c>
      <c r="M1243" t="str">
        <f t="shared" si="99"/>
        <v/>
      </c>
      <c r="N1243" t="str">
        <f>IF($F1243="","",IF(Sync!$AF1243="","0000",IF(AND(ISNUMBER(Sync!$AF1243),Sync!$AF1243&gt;=0,Sync!$AF1243&lt;1),RIGHT("00"&amp;HOUR(Sync!$AF1243),2)&amp;RIGHT("00"&amp;MINUTE(Sync!$AF1243),2),IFERROR(RIGHT("00"&amp;VALUE(LEFT(Sync!$AF1243,FIND(":",Sync!$AF1243)-1)),2)&amp;RIGHT("00"&amp;VALUE(MID(Sync!$AF1243,FIND(":",Sync!$AF1243)+1,2)),2),"0000"))))</f>
        <v/>
      </c>
    </row>
    <row r="1244" spans="1:14" x14ac:dyDescent="0.2">
      <c r="A1244" t="str">
        <f>IF(OR(Calc!$E1248="",Calc!$E1248="نامعتبر",Calc!$G1248=""),"",Calc!$G1248)</f>
        <v/>
      </c>
      <c r="B1244" t="str">
        <f>IF($A1244="","",LEFT(Calc!$E1248,4)&amp;MID(Calc!$E1248,6,2)&amp;RIGHT(Calc!$E1248,2)&amp;Calc!$Q1248&amp;"|"&amp;"1"&amp;RIGHT("00000"&amp;1239,5))</f>
        <v/>
      </c>
      <c r="C1244" t="str">
        <f t="shared" si="95"/>
        <v/>
      </c>
      <c r="D1244" t="str">
        <f t="shared" si="96"/>
        <v/>
      </c>
      <c r="F1244" t="str">
        <f>IF(Sync!$AH1244="","",IF(LEFT(UPPER(TRIM(Sync!$AH1244)),2)="SL",UPPER(TRIM(Sync!$AH1244)),""))</f>
        <v/>
      </c>
      <c r="G1244" t="str">
        <f>IF($F1244="","",IF(Sync!$AE1244="","",IF(ISNUMBER(Sync!$AE1244),IF(AND(Sync!$AE1244&gt;=10000101,Sync!$AE1244&lt;=99991231),INT(Sync!$AE1244/10000),""),IFERROR(VALUE(TRIM(LEFT(Sync!$AE1244,FIND("/",Sync!$AE1244)-1))),""))))</f>
        <v/>
      </c>
      <c r="H1244" t="str">
        <f>IF(OR($F1244="",$G1244=""),"",IF(ISNUMBER(Sync!$AE1244),INT(MOD(Sync!$AE1244,10000)/100),IFERROR(VALUE(TRIM(LEFT(MID(Sync!$AE1244,FIND("/",Sync!$AE1244)+1,20),FIND("/",MID(Sync!$AE1244,FIND("/",Sync!$AE1244)+1,20))-1))),"")))</f>
        <v/>
      </c>
      <c r="I1244" t="str">
        <f>IF(OR($F1244="",$G1244=""),"",IF(ISNUMBER(Sync!$AE1244),MOD(Sync!$AE1244,100),IFERROR(VALUE(TRIM(MID(MID(Sync!$AE1244,FIND("/",Sync!$AE1244)+1,20),FIND("/",MID(Sync!$AE1244,FIND("/",Sync!$AE1244)+1,20))+1,20))),"")))</f>
        <v/>
      </c>
      <c r="J1244" t="str">
        <f t="shared" si="97"/>
        <v/>
      </c>
      <c r="K1244" t="str">
        <f>IF(OR($F1244="",$J1244="",$J1244="نامعتبر"),"",LEFT($J1244,4)&amp;MID($J1244,6,2)&amp;RIGHT($J1244,2)&amp;$N1244&amp;"|"&amp;"2"&amp;RIGHT("00000"&amp;1239,5))</f>
        <v/>
      </c>
      <c r="L1244" t="str">
        <f t="shared" si="98"/>
        <v/>
      </c>
      <c r="M1244" t="str">
        <f t="shared" si="99"/>
        <v/>
      </c>
      <c r="N1244" t="str">
        <f>IF($F1244="","",IF(Sync!$AF1244="","0000",IF(AND(ISNUMBER(Sync!$AF1244),Sync!$AF1244&gt;=0,Sync!$AF1244&lt;1),RIGHT("00"&amp;HOUR(Sync!$AF1244),2)&amp;RIGHT("00"&amp;MINUTE(Sync!$AF1244),2),IFERROR(RIGHT("00"&amp;VALUE(LEFT(Sync!$AF1244,FIND(":",Sync!$AF1244)-1)),2)&amp;RIGHT("00"&amp;VALUE(MID(Sync!$AF1244,FIND(":",Sync!$AF1244)+1,2)),2),"0000"))))</f>
        <v/>
      </c>
    </row>
    <row r="1245" spans="1:14" x14ac:dyDescent="0.2">
      <c r="A1245" t="str">
        <f>IF(OR(Calc!$E1249="",Calc!$E1249="نامعتبر",Calc!$G1249=""),"",Calc!$G1249)</f>
        <v/>
      </c>
      <c r="B1245" t="str">
        <f>IF($A1245="","",LEFT(Calc!$E1249,4)&amp;MID(Calc!$E1249,6,2)&amp;RIGHT(Calc!$E1249,2)&amp;Calc!$Q1249&amp;"|"&amp;"1"&amp;RIGHT("00000"&amp;1240,5))</f>
        <v/>
      </c>
      <c r="C1245" t="str">
        <f t="shared" si="95"/>
        <v/>
      </c>
      <c r="D1245" t="str">
        <f t="shared" si="96"/>
        <v/>
      </c>
      <c r="F1245" t="str">
        <f>IF(Sync!$AH1245="","",IF(LEFT(UPPER(TRIM(Sync!$AH1245)),2)="SL",UPPER(TRIM(Sync!$AH1245)),""))</f>
        <v/>
      </c>
      <c r="G1245" t="str">
        <f>IF($F1245="","",IF(Sync!$AE1245="","",IF(ISNUMBER(Sync!$AE1245),IF(AND(Sync!$AE1245&gt;=10000101,Sync!$AE1245&lt;=99991231),INT(Sync!$AE1245/10000),""),IFERROR(VALUE(TRIM(LEFT(Sync!$AE1245,FIND("/",Sync!$AE1245)-1))),""))))</f>
        <v/>
      </c>
      <c r="H1245" t="str">
        <f>IF(OR($F1245="",$G1245=""),"",IF(ISNUMBER(Sync!$AE1245),INT(MOD(Sync!$AE1245,10000)/100),IFERROR(VALUE(TRIM(LEFT(MID(Sync!$AE1245,FIND("/",Sync!$AE1245)+1,20),FIND("/",MID(Sync!$AE1245,FIND("/",Sync!$AE1245)+1,20))-1))),"")))</f>
        <v/>
      </c>
      <c r="I1245" t="str">
        <f>IF(OR($F1245="",$G1245=""),"",IF(ISNUMBER(Sync!$AE1245),MOD(Sync!$AE1245,100),IFERROR(VALUE(TRIM(MID(MID(Sync!$AE1245,FIND("/",Sync!$AE1245)+1,20),FIND("/",MID(Sync!$AE1245,FIND("/",Sync!$AE1245)+1,20))+1,20))),"")))</f>
        <v/>
      </c>
      <c r="J1245" t="str">
        <f t="shared" si="97"/>
        <v/>
      </c>
      <c r="K1245" t="str">
        <f>IF(OR($F1245="",$J1245="",$J1245="نامعتبر"),"",LEFT($J1245,4)&amp;MID($J1245,6,2)&amp;RIGHT($J1245,2)&amp;$N1245&amp;"|"&amp;"2"&amp;RIGHT("00000"&amp;1240,5))</f>
        <v/>
      </c>
      <c r="L1245" t="str">
        <f t="shared" si="98"/>
        <v/>
      </c>
      <c r="M1245" t="str">
        <f t="shared" si="99"/>
        <v/>
      </c>
      <c r="N1245" t="str">
        <f>IF($F1245="","",IF(Sync!$AF1245="","0000",IF(AND(ISNUMBER(Sync!$AF1245),Sync!$AF1245&gt;=0,Sync!$AF1245&lt;1),RIGHT("00"&amp;HOUR(Sync!$AF1245),2)&amp;RIGHT("00"&amp;MINUTE(Sync!$AF1245),2),IFERROR(RIGHT("00"&amp;VALUE(LEFT(Sync!$AF1245,FIND(":",Sync!$AF1245)-1)),2)&amp;RIGHT("00"&amp;VALUE(MID(Sync!$AF1245,FIND(":",Sync!$AF1245)+1,2)),2),"0000"))))</f>
        <v/>
      </c>
    </row>
    <row r="1246" spans="1:14" x14ac:dyDescent="0.2">
      <c r="A1246" t="str">
        <f>IF(OR(Calc!$E1250="",Calc!$E1250="نامعتبر",Calc!$G1250=""),"",Calc!$G1250)</f>
        <v/>
      </c>
      <c r="B1246" t="str">
        <f>IF($A1246="","",LEFT(Calc!$E1250,4)&amp;MID(Calc!$E1250,6,2)&amp;RIGHT(Calc!$E1250,2)&amp;Calc!$Q1250&amp;"|"&amp;"1"&amp;RIGHT("00000"&amp;1241,5))</f>
        <v/>
      </c>
      <c r="C1246" t="str">
        <f t="shared" si="95"/>
        <v/>
      </c>
      <c r="D1246" t="str">
        <f t="shared" si="96"/>
        <v/>
      </c>
      <c r="F1246" t="str">
        <f>IF(Sync!$AH1246="","",IF(LEFT(UPPER(TRIM(Sync!$AH1246)),2)="SL",UPPER(TRIM(Sync!$AH1246)),""))</f>
        <v/>
      </c>
      <c r="G1246" t="str">
        <f>IF($F1246="","",IF(Sync!$AE1246="","",IF(ISNUMBER(Sync!$AE1246),IF(AND(Sync!$AE1246&gt;=10000101,Sync!$AE1246&lt;=99991231),INT(Sync!$AE1246/10000),""),IFERROR(VALUE(TRIM(LEFT(Sync!$AE1246,FIND("/",Sync!$AE1246)-1))),""))))</f>
        <v/>
      </c>
      <c r="H1246" t="str">
        <f>IF(OR($F1246="",$G1246=""),"",IF(ISNUMBER(Sync!$AE1246),INT(MOD(Sync!$AE1246,10000)/100),IFERROR(VALUE(TRIM(LEFT(MID(Sync!$AE1246,FIND("/",Sync!$AE1246)+1,20),FIND("/",MID(Sync!$AE1246,FIND("/",Sync!$AE1246)+1,20))-1))),"")))</f>
        <v/>
      </c>
      <c r="I1246" t="str">
        <f>IF(OR($F1246="",$G1246=""),"",IF(ISNUMBER(Sync!$AE1246),MOD(Sync!$AE1246,100),IFERROR(VALUE(TRIM(MID(MID(Sync!$AE1246,FIND("/",Sync!$AE1246)+1,20),FIND("/",MID(Sync!$AE1246,FIND("/",Sync!$AE1246)+1,20))+1,20))),"")))</f>
        <v/>
      </c>
      <c r="J1246" t="str">
        <f t="shared" si="97"/>
        <v/>
      </c>
      <c r="K1246" t="str">
        <f>IF(OR($F1246="",$J1246="",$J1246="نامعتبر"),"",LEFT($J1246,4)&amp;MID($J1246,6,2)&amp;RIGHT($J1246,2)&amp;$N1246&amp;"|"&amp;"2"&amp;RIGHT("00000"&amp;1241,5))</f>
        <v/>
      </c>
      <c r="L1246" t="str">
        <f t="shared" si="98"/>
        <v/>
      </c>
      <c r="M1246" t="str">
        <f t="shared" si="99"/>
        <v/>
      </c>
      <c r="N1246" t="str">
        <f>IF($F1246="","",IF(Sync!$AF1246="","0000",IF(AND(ISNUMBER(Sync!$AF1246),Sync!$AF1246&gt;=0,Sync!$AF1246&lt;1),RIGHT("00"&amp;HOUR(Sync!$AF1246),2)&amp;RIGHT("00"&amp;MINUTE(Sync!$AF1246),2),IFERROR(RIGHT("00"&amp;VALUE(LEFT(Sync!$AF1246,FIND(":",Sync!$AF1246)-1)),2)&amp;RIGHT("00"&amp;VALUE(MID(Sync!$AF1246,FIND(":",Sync!$AF1246)+1,2)),2),"0000"))))</f>
        <v/>
      </c>
    </row>
    <row r="1247" spans="1:14" x14ac:dyDescent="0.2">
      <c r="A1247" t="str">
        <f>IF(OR(Calc!$E1251="",Calc!$E1251="نامعتبر",Calc!$G1251=""),"",Calc!$G1251)</f>
        <v/>
      </c>
      <c r="B1247" t="str">
        <f>IF($A1247="","",LEFT(Calc!$E1251,4)&amp;MID(Calc!$E1251,6,2)&amp;RIGHT(Calc!$E1251,2)&amp;Calc!$Q1251&amp;"|"&amp;"1"&amp;RIGHT("00000"&amp;1242,5))</f>
        <v/>
      </c>
      <c r="C1247" t="str">
        <f t="shared" si="95"/>
        <v/>
      </c>
      <c r="D1247" t="str">
        <f t="shared" si="96"/>
        <v/>
      </c>
      <c r="F1247" t="str">
        <f>IF(Sync!$AH1247="","",IF(LEFT(UPPER(TRIM(Sync!$AH1247)),2)="SL",UPPER(TRIM(Sync!$AH1247)),""))</f>
        <v/>
      </c>
      <c r="G1247" t="str">
        <f>IF($F1247="","",IF(Sync!$AE1247="","",IF(ISNUMBER(Sync!$AE1247),IF(AND(Sync!$AE1247&gt;=10000101,Sync!$AE1247&lt;=99991231),INT(Sync!$AE1247/10000),""),IFERROR(VALUE(TRIM(LEFT(Sync!$AE1247,FIND("/",Sync!$AE1247)-1))),""))))</f>
        <v/>
      </c>
      <c r="H1247" t="str">
        <f>IF(OR($F1247="",$G1247=""),"",IF(ISNUMBER(Sync!$AE1247),INT(MOD(Sync!$AE1247,10000)/100),IFERROR(VALUE(TRIM(LEFT(MID(Sync!$AE1247,FIND("/",Sync!$AE1247)+1,20),FIND("/",MID(Sync!$AE1247,FIND("/",Sync!$AE1247)+1,20))-1))),"")))</f>
        <v/>
      </c>
      <c r="I1247" t="str">
        <f>IF(OR($F1247="",$G1247=""),"",IF(ISNUMBER(Sync!$AE1247),MOD(Sync!$AE1247,100),IFERROR(VALUE(TRIM(MID(MID(Sync!$AE1247,FIND("/",Sync!$AE1247)+1,20),FIND("/",MID(Sync!$AE1247,FIND("/",Sync!$AE1247)+1,20))+1,20))),"")))</f>
        <v/>
      </c>
      <c r="J1247" t="str">
        <f t="shared" si="97"/>
        <v/>
      </c>
      <c r="K1247" t="str">
        <f>IF(OR($F1247="",$J1247="",$J1247="نامعتبر"),"",LEFT($J1247,4)&amp;MID($J1247,6,2)&amp;RIGHT($J1247,2)&amp;$N1247&amp;"|"&amp;"2"&amp;RIGHT("00000"&amp;1242,5))</f>
        <v/>
      </c>
      <c r="L1247" t="str">
        <f t="shared" si="98"/>
        <v/>
      </c>
      <c r="M1247" t="str">
        <f t="shared" si="99"/>
        <v/>
      </c>
      <c r="N1247" t="str">
        <f>IF($F1247="","",IF(Sync!$AF1247="","0000",IF(AND(ISNUMBER(Sync!$AF1247),Sync!$AF1247&gt;=0,Sync!$AF1247&lt;1),RIGHT("00"&amp;HOUR(Sync!$AF1247),2)&amp;RIGHT("00"&amp;MINUTE(Sync!$AF1247),2),IFERROR(RIGHT("00"&amp;VALUE(LEFT(Sync!$AF1247,FIND(":",Sync!$AF1247)-1)),2)&amp;RIGHT("00"&amp;VALUE(MID(Sync!$AF1247,FIND(":",Sync!$AF1247)+1,2)),2),"0000"))))</f>
        <v/>
      </c>
    </row>
    <row r="1248" spans="1:14" x14ac:dyDescent="0.2">
      <c r="A1248" t="str">
        <f>IF(OR(Calc!$E1252="",Calc!$E1252="نامعتبر",Calc!$G1252=""),"",Calc!$G1252)</f>
        <v/>
      </c>
      <c r="B1248" t="str">
        <f>IF($A1248="","",LEFT(Calc!$E1252,4)&amp;MID(Calc!$E1252,6,2)&amp;RIGHT(Calc!$E1252,2)&amp;Calc!$Q1252&amp;"|"&amp;"1"&amp;RIGHT("00000"&amp;1243,5))</f>
        <v/>
      </c>
      <c r="C1248" t="str">
        <f t="shared" si="95"/>
        <v/>
      </c>
      <c r="D1248" t="str">
        <f t="shared" si="96"/>
        <v/>
      </c>
      <c r="F1248" t="str">
        <f>IF(Sync!$AH1248="","",IF(LEFT(UPPER(TRIM(Sync!$AH1248)),2)="SL",UPPER(TRIM(Sync!$AH1248)),""))</f>
        <v/>
      </c>
      <c r="G1248" t="str">
        <f>IF($F1248="","",IF(Sync!$AE1248="","",IF(ISNUMBER(Sync!$AE1248),IF(AND(Sync!$AE1248&gt;=10000101,Sync!$AE1248&lt;=99991231),INT(Sync!$AE1248/10000),""),IFERROR(VALUE(TRIM(LEFT(Sync!$AE1248,FIND("/",Sync!$AE1248)-1))),""))))</f>
        <v/>
      </c>
      <c r="H1248" t="str">
        <f>IF(OR($F1248="",$G1248=""),"",IF(ISNUMBER(Sync!$AE1248),INT(MOD(Sync!$AE1248,10000)/100),IFERROR(VALUE(TRIM(LEFT(MID(Sync!$AE1248,FIND("/",Sync!$AE1248)+1,20),FIND("/",MID(Sync!$AE1248,FIND("/",Sync!$AE1248)+1,20))-1))),"")))</f>
        <v/>
      </c>
      <c r="I1248" t="str">
        <f>IF(OR($F1248="",$G1248=""),"",IF(ISNUMBER(Sync!$AE1248),MOD(Sync!$AE1248,100),IFERROR(VALUE(TRIM(MID(MID(Sync!$AE1248,FIND("/",Sync!$AE1248)+1,20),FIND("/",MID(Sync!$AE1248,FIND("/",Sync!$AE1248)+1,20))+1,20))),"")))</f>
        <v/>
      </c>
      <c r="J1248" t="str">
        <f t="shared" si="97"/>
        <v/>
      </c>
      <c r="K1248" t="str">
        <f>IF(OR($F1248="",$J1248="",$J1248="نامعتبر"),"",LEFT($J1248,4)&amp;MID($J1248,6,2)&amp;RIGHT($J1248,2)&amp;$N1248&amp;"|"&amp;"2"&amp;RIGHT("00000"&amp;1243,5))</f>
        <v/>
      </c>
      <c r="L1248" t="str">
        <f t="shared" si="98"/>
        <v/>
      </c>
      <c r="M1248" t="str">
        <f t="shared" si="99"/>
        <v/>
      </c>
      <c r="N1248" t="str">
        <f>IF($F1248="","",IF(Sync!$AF1248="","0000",IF(AND(ISNUMBER(Sync!$AF1248),Sync!$AF1248&gt;=0,Sync!$AF1248&lt;1),RIGHT("00"&amp;HOUR(Sync!$AF1248),2)&amp;RIGHT("00"&amp;MINUTE(Sync!$AF1248),2),IFERROR(RIGHT("00"&amp;VALUE(LEFT(Sync!$AF1248,FIND(":",Sync!$AF1248)-1)),2)&amp;RIGHT("00"&amp;VALUE(MID(Sync!$AF1248,FIND(":",Sync!$AF1248)+1,2)),2),"0000"))))</f>
        <v/>
      </c>
    </row>
    <row r="1249" spans="1:14" x14ac:dyDescent="0.2">
      <c r="A1249" t="str">
        <f>IF(OR(Calc!$E1253="",Calc!$E1253="نامعتبر",Calc!$G1253=""),"",Calc!$G1253)</f>
        <v/>
      </c>
      <c r="B1249" t="str">
        <f>IF($A1249="","",LEFT(Calc!$E1253,4)&amp;MID(Calc!$E1253,6,2)&amp;RIGHT(Calc!$E1253,2)&amp;Calc!$Q1253&amp;"|"&amp;"1"&amp;RIGHT("00000"&amp;1244,5))</f>
        <v/>
      </c>
      <c r="C1249" t="str">
        <f t="shared" si="95"/>
        <v/>
      </c>
      <c r="D1249" t="str">
        <f t="shared" si="96"/>
        <v/>
      </c>
      <c r="F1249" t="str">
        <f>IF(Sync!$AH1249="","",IF(LEFT(UPPER(TRIM(Sync!$AH1249)),2)="SL",UPPER(TRIM(Sync!$AH1249)),""))</f>
        <v/>
      </c>
      <c r="G1249" t="str">
        <f>IF($F1249="","",IF(Sync!$AE1249="","",IF(ISNUMBER(Sync!$AE1249),IF(AND(Sync!$AE1249&gt;=10000101,Sync!$AE1249&lt;=99991231),INT(Sync!$AE1249/10000),""),IFERROR(VALUE(TRIM(LEFT(Sync!$AE1249,FIND("/",Sync!$AE1249)-1))),""))))</f>
        <v/>
      </c>
      <c r="H1249" t="str">
        <f>IF(OR($F1249="",$G1249=""),"",IF(ISNUMBER(Sync!$AE1249),INT(MOD(Sync!$AE1249,10000)/100),IFERROR(VALUE(TRIM(LEFT(MID(Sync!$AE1249,FIND("/",Sync!$AE1249)+1,20),FIND("/",MID(Sync!$AE1249,FIND("/",Sync!$AE1249)+1,20))-1))),"")))</f>
        <v/>
      </c>
      <c r="I1249" t="str">
        <f>IF(OR($F1249="",$G1249=""),"",IF(ISNUMBER(Sync!$AE1249),MOD(Sync!$AE1249,100),IFERROR(VALUE(TRIM(MID(MID(Sync!$AE1249,FIND("/",Sync!$AE1249)+1,20),FIND("/",MID(Sync!$AE1249,FIND("/",Sync!$AE1249)+1,20))+1,20))),"")))</f>
        <v/>
      </c>
      <c r="J1249" t="str">
        <f t="shared" si="97"/>
        <v/>
      </c>
      <c r="K1249" t="str">
        <f>IF(OR($F1249="",$J1249="",$J1249="نامعتبر"),"",LEFT($J1249,4)&amp;MID($J1249,6,2)&amp;RIGHT($J1249,2)&amp;$N1249&amp;"|"&amp;"2"&amp;RIGHT("00000"&amp;1244,5))</f>
        <v/>
      </c>
      <c r="L1249" t="str">
        <f t="shared" si="98"/>
        <v/>
      </c>
      <c r="M1249" t="str">
        <f t="shared" si="99"/>
        <v/>
      </c>
      <c r="N1249" t="str">
        <f>IF($F1249="","",IF(Sync!$AF1249="","0000",IF(AND(ISNUMBER(Sync!$AF1249),Sync!$AF1249&gt;=0,Sync!$AF1249&lt;1),RIGHT("00"&amp;HOUR(Sync!$AF1249),2)&amp;RIGHT("00"&amp;MINUTE(Sync!$AF1249),2),IFERROR(RIGHT("00"&amp;VALUE(LEFT(Sync!$AF1249,FIND(":",Sync!$AF1249)-1)),2)&amp;RIGHT("00"&amp;VALUE(MID(Sync!$AF1249,FIND(":",Sync!$AF1249)+1,2)),2),"0000"))))</f>
        <v/>
      </c>
    </row>
    <row r="1250" spans="1:14" x14ac:dyDescent="0.2">
      <c r="A1250" t="str">
        <f>IF(OR(Calc!$E1254="",Calc!$E1254="نامعتبر",Calc!$G1254=""),"",Calc!$G1254)</f>
        <v/>
      </c>
      <c r="B1250" t="str">
        <f>IF($A1250="","",LEFT(Calc!$E1254,4)&amp;MID(Calc!$E1254,6,2)&amp;RIGHT(Calc!$E1254,2)&amp;Calc!$Q1254&amp;"|"&amp;"1"&amp;RIGHT("00000"&amp;1245,5))</f>
        <v/>
      </c>
      <c r="C1250" t="str">
        <f t="shared" si="95"/>
        <v/>
      </c>
      <c r="D1250" t="str">
        <f t="shared" si="96"/>
        <v/>
      </c>
      <c r="F1250" t="str">
        <f>IF(Sync!$AH1250="","",IF(LEFT(UPPER(TRIM(Sync!$AH1250)),2)="SL",UPPER(TRIM(Sync!$AH1250)),""))</f>
        <v/>
      </c>
      <c r="G1250" t="str">
        <f>IF($F1250="","",IF(Sync!$AE1250="","",IF(ISNUMBER(Sync!$AE1250),IF(AND(Sync!$AE1250&gt;=10000101,Sync!$AE1250&lt;=99991231),INT(Sync!$AE1250/10000),""),IFERROR(VALUE(TRIM(LEFT(Sync!$AE1250,FIND("/",Sync!$AE1250)-1))),""))))</f>
        <v/>
      </c>
      <c r="H1250" t="str">
        <f>IF(OR($F1250="",$G1250=""),"",IF(ISNUMBER(Sync!$AE1250),INT(MOD(Sync!$AE1250,10000)/100),IFERROR(VALUE(TRIM(LEFT(MID(Sync!$AE1250,FIND("/",Sync!$AE1250)+1,20),FIND("/",MID(Sync!$AE1250,FIND("/",Sync!$AE1250)+1,20))-1))),"")))</f>
        <v/>
      </c>
      <c r="I1250" t="str">
        <f>IF(OR($F1250="",$G1250=""),"",IF(ISNUMBER(Sync!$AE1250),MOD(Sync!$AE1250,100),IFERROR(VALUE(TRIM(MID(MID(Sync!$AE1250,FIND("/",Sync!$AE1250)+1,20),FIND("/",MID(Sync!$AE1250,FIND("/",Sync!$AE1250)+1,20))+1,20))),"")))</f>
        <v/>
      </c>
      <c r="J1250" t="str">
        <f t="shared" si="97"/>
        <v/>
      </c>
      <c r="K1250" t="str">
        <f>IF(OR($F1250="",$J1250="",$J1250="نامعتبر"),"",LEFT($J1250,4)&amp;MID($J1250,6,2)&amp;RIGHT($J1250,2)&amp;$N1250&amp;"|"&amp;"2"&amp;RIGHT("00000"&amp;1245,5))</f>
        <v/>
      </c>
      <c r="L1250" t="str">
        <f t="shared" si="98"/>
        <v/>
      </c>
      <c r="M1250" t="str">
        <f t="shared" si="99"/>
        <v/>
      </c>
      <c r="N1250" t="str">
        <f>IF($F1250="","",IF(Sync!$AF1250="","0000",IF(AND(ISNUMBER(Sync!$AF1250),Sync!$AF1250&gt;=0,Sync!$AF1250&lt;1),RIGHT("00"&amp;HOUR(Sync!$AF1250),2)&amp;RIGHT("00"&amp;MINUTE(Sync!$AF1250),2),IFERROR(RIGHT("00"&amp;VALUE(LEFT(Sync!$AF1250,FIND(":",Sync!$AF1250)-1)),2)&amp;RIGHT("00"&amp;VALUE(MID(Sync!$AF1250,FIND(":",Sync!$AF1250)+1,2)),2),"0000"))))</f>
        <v/>
      </c>
    </row>
    <row r="1251" spans="1:14" x14ac:dyDescent="0.2">
      <c r="A1251" t="str">
        <f>IF(OR(Calc!$E1255="",Calc!$E1255="نامعتبر",Calc!$G1255=""),"",Calc!$G1255)</f>
        <v/>
      </c>
      <c r="B1251" t="str">
        <f>IF($A1251="","",LEFT(Calc!$E1255,4)&amp;MID(Calc!$E1255,6,2)&amp;RIGHT(Calc!$E1255,2)&amp;Calc!$Q1255&amp;"|"&amp;"1"&amp;RIGHT("00000"&amp;1246,5))</f>
        <v/>
      </c>
      <c r="C1251" t="str">
        <f t="shared" si="95"/>
        <v/>
      </c>
      <c r="D1251" t="str">
        <f t="shared" si="96"/>
        <v/>
      </c>
      <c r="F1251" t="str">
        <f>IF(Sync!$AH1251="","",IF(LEFT(UPPER(TRIM(Sync!$AH1251)),2)="SL",UPPER(TRIM(Sync!$AH1251)),""))</f>
        <v/>
      </c>
      <c r="G1251" t="str">
        <f>IF($F1251="","",IF(Sync!$AE1251="","",IF(ISNUMBER(Sync!$AE1251),IF(AND(Sync!$AE1251&gt;=10000101,Sync!$AE1251&lt;=99991231),INT(Sync!$AE1251/10000),""),IFERROR(VALUE(TRIM(LEFT(Sync!$AE1251,FIND("/",Sync!$AE1251)-1))),""))))</f>
        <v/>
      </c>
      <c r="H1251" t="str">
        <f>IF(OR($F1251="",$G1251=""),"",IF(ISNUMBER(Sync!$AE1251),INT(MOD(Sync!$AE1251,10000)/100),IFERROR(VALUE(TRIM(LEFT(MID(Sync!$AE1251,FIND("/",Sync!$AE1251)+1,20),FIND("/",MID(Sync!$AE1251,FIND("/",Sync!$AE1251)+1,20))-1))),"")))</f>
        <v/>
      </c>
      <c r="I1251" t="str">
        <f>IF(OR($F1251="",$G1251=""),"",IF(ISNUMBER(Sync!$AE1251),MOD(Sync!$AE1251,100),IFERROR(VALUE(TRIM(MID(MID(Sync!$AE1251,FIND("/",Sync!$AE1251)+1,20),FIND("/",MID(Sync!$AE1251,FIND("/",Sync!$AE1251)+1,20))+1,20))),"")))</f>
        <v/>
      </c>
      <c r="J1251" t="str">
        <f t="shared" si="97"/>
        <v/>
      </c>
      <c r="K1251" t="str">
        <f>IF(OR($F1251="",$J1251="",$J1251="نامعتبر"),"",LEFT($J1251,4)&amp;MID($J1251,6,2)&amp;RIGHT($J1251,2)&amp;$N1251&amp;"|"&amp;"2"&amp;RIGHT("00000"&amp;1246,5))</f>
        <v/>
      </c>
      <c r="L1251" t="str">
        <f t="shared" si="98"/>
        <v/>
      </c>
      <c r="M1251" t="str">
        <f t="shared" si="99"/>
        <v/>
      </c>
      <c r="N1251" t="str">
        <f>IF($F1251="","",IF(Sync!$AF1251="","0000",IF(AND(ISNUMBER(Sync!$AF1251),Sync!$AF1251&gt;=0,Sync!$AF1251&lt;1),RIGHT("00"&amp;HOUR(Sync!$AF1251),2)&amp;RIGHT("00"&amp;MINUTE(Sync!$AF1251),2),IFERROR(RIGHT("00"&amp;VALUE(LEFT(Sync!$AF1251,FIND(":",Sync!$AF1251)-1)),2)&amp;RIGHT("00"&amp;VALUE(MID(Sync!$AF1251,FIND(":",Sync!$AF1251)+1,2)),2),"0000"))))</f>
        <v/>
      </c>
    </row>
    <row r="1252" spans="1:14" x14ac:dyDescent="0.2">
      <c r="A1252" t="str">
        <f>IF(OR(Calc!$E1256="",Calc!$E1256="نامعتبر",Calc!$G1256=""),"",Calc!$G1256)</f>
        <v/>
      </c>
      <c r="B1252" t="str">
        <f>IF($A1252="","",LEFT(Calc!$E1256,4)&amp;MID(Calc!$E1256,6,2)&amp;RIGHT(Calc!$E1256,2)&amp;Calc!$Q1256&amp;"|"&amp;"1"&amp;RIGHT("00000"&amp;1247,5))</f>
        <v/>
      </c>
      <c r="C1252" t="str">
        <f t="shared" si="95"/>
        <v/>
      </c>
      <c r="D1252" t="str">
        <f t="shared" si="96"/>
        <v/>
      </c>
      <c r="F1252" t="str">
        <f>IF(Sync!$AH1252="","",IF(LEFT(UPPER(TRIM(Sync!$AH1252)),2)="SL",UPPER(TRIM(Sync!$AH1252)),""))</f>
        <v/>
      </c>
      <c r="G1252" t="str">
        <f>IF($F1252="","",IF(Sync!$AE1252="","",IF(ISNUMBER(Sync!$AE1252),IF(AND(Sync!$AE1252&gt;=10000101,Sync!$AE1252&lt;=99991231),INT(Sync!$AE1252/10000),""),IFERROR(VALUE(TRIM(LEFT(Sync!$AE1252,FIND("/",Sync!$AE1252)-1))),""))))</f>
        <v/>
      </c>
      <c r="H1252" t="str">
        <f>IF(OR($F1252="",$G1252=""),"",IF(ISNUMBER(Sync!$AE1252),INT(MOD(Sync!$AE1252,10000)/100),IFERROR(VALUE(TRIM(LEFT(MID(Sync!$AE1252,FIND("/",Sync!$AE1252)+1,20),FIND("/",MID(Sync!$AE1252,FIND("/",Sync!$AE1252)+1,20))-1))),"")))</f>
        <v/>
      </c>
      <c r="I1252" t="str">
        <f>IF(OR($F1252="",$G1252=""),"",IF(ISNUMBER(Sync!$AE1252),MOD(Sync!$AE1252,100),IFERROR(VALUE(TRIM(MID(MID(Sync!$AE1252,FIND("/",Sync!$AE1252)+1,20),FIND("/",MID(Sync!$AE1252,FIND("/",Sync!$AE1252)+1,20))+1,20))),"")))</f>
        <v/>
      </c>
      <c r="J1252" t="str">
        <f t="shared" si="97"/>
        <v/>
      </c>
      <c r="K1252" t="str">
        <f>IF(OR($F1252="",$J1252="",$J1252="نامعتبر"),"",LEFT($J1252,4)&amp;MID($J1252,6,2)&amp;RIGHT($J1252,2)&amp;$N1252&amp;"|"&amp;"2"&amp;RIGHT("00000"&amp;1247,5))</f>
        <v/>
      </c>
      <c r="L1252" t="str">
        <f t="shared" si="98"/>
        <v/>
      </c>
      <c r="M1252" t="str">
        <f t="shared" si="99"/>
        <v/>
      </c>
      <c r="N1252" t="str">
        <f>IF($F1252="","",IF(Sync!$AF1252="","0000",IF(AND(ISNUMBER(Sync!$AF1252),Sync!$AF1252&gt;=0,Sync!$AF1252&lt;1),RIGHT("00"&amp;HOUR(Sync!$AF1252),2)&amp;RIGHT("00"&amp;MINUTE(Sync!$AF1252),2),IFERROR(RIGHT("00"&amp;VALUE(LEFT(Sync!$AF1252,FIND(":",Sync!$AF1252)-1)),2)&amp;RIGHT("00"&amp;VALUE(MID(Sync!$AF1252,FIND(":",Sync!$AF1252)+1,2)),2),"0000"))))</f>
        <v/>
      </c>
    </row>
    <row r="1253" spans="1:14" x14ac:dyDescent="0.2">
      <c r="A1253" t="str">
        <f>IF(OR(Calc!$E1257="",Calc!$E1257="نامعتبر",Calc!$G1257=""),"",Calc!$G1257)</f>
        <v/>
      </c>
      <c r="B1253" t="str">
        <f>IF($A1253="","",LEFT(Calc!$E1257,4)&amp;MID(Calc!$E1257,6,2)&amp;RIGHT(Calc!$E1257,2)&amp;Calc!$Q1257&amp;"|"&amp;"1"&amp;RIGHT("00000"&amp;1248,5))</f>
        <v/>
      </c>
      <c r="C1253" t="str">
        <f t="shared" si="95"/>
        <v/>
      </c>
      <c r="D1253" t="str">
        <f t="shared" si="96"/>
        <v/>
      </c>
      <c r="F1253" t="str">
        <f>IF(Sync!$AH1253="","",IF(LEFT(UPPER(TRIM(Sync!$AH1253)),2)="SL",UPPER(TRIM(Sync!$AH1253)),""))</f>
        <v/>
      </c>
      <c r="G1253" t="str">
        <f>IF($F1253="","",IF(Sync!$AE1253="","",IF(ISNUMBER(Sync!$AE1253),IF(AND(Sync!$AE1253&gt;=10000101,Sync!$AE1253&lt;=99991231),INT(Sync!$AE1253/10000),""),IFERROR(VALUE(TRIM(LEFT(Sync!$AE1253,FIND("/",Sync!$AE1253)-1))),""))))</f>
        <v/>
      </c>
      <c r="H1253" t="str">
        <f>IF(OR($F1253="",$G1253=""),"",IF(ISNUMBER(Sync!$AE1253),INT(MOD(Sync!$AE1253,10000)/100),IFERROR(VALUE(TRIM(LEFT(MID(Sync!$AE1253,FIND("/",Sync!$AE1253)+1,20),FIND("/",MID(Sync!$AE1253,FIND("/",Sync!$AE1253)+1,20))-1))),"")))</f>
        <v/>
      </c>
      <c r="I1253" t="str">
        <f>IF(OR($F1253="",$G1253=""),"",IF(ISNUMBER(Sync!$AE1253),MOD(Sync!$AE1253,100),IFERROR(VALUE(TRIM(MID(MID(Sync!$AE1253,FIND("/",Sync!$AE1253)+1,20),FIND("/",MID(Sync!$AE1253,FIND("/",Sync!$AE1253)+1,20))+1,20))),"")))</f>
        <v/>
      </c>
      <c r="J1253" t="str">
        <f t="shared" si="97"/>
        <v/>
      </c>
      <c r="K1253" t="str">
        <f>IF(OR($F1253="",$J1253="",$J1253="نامعتبر"),"",LEFT($J1253,4)&amp;MID($J1253,6,2)&amp;RIGHT($J1253,2)&amp;$N1253&amp;"|"&amp;"2"&amp;RIGHT("00000"&amp;1248,5))</f>
        <v/>
      </c>
      <c r="L1253" t="str">
        <f t="shared" si="98"/>
        <v/>
      </c>
      <c r="M1253" t="str">
        <f t="shared" si="99"/>
        <v/>
      </c>
      <c r="N1253" t="str">
        <f>IF($F1253="","",IF(Sync!$AF1253="","0000",IF(AND(ISNUMBER(Sync!$AF1253),Sync!$AF1253&gt;=0,Sync!$AF1253&lt;1),RIGHT("00"&amp;HOUR(Sync!$AF1253),2)&amp;RIGHT("00"&amp;MINUTE(Sync!$AF1253),2),IFERROR(RIGHT("00"&amp;VALUE(LEFT(Sync!$AF1253,FIND(":",Sync!$AF1253)-1)),2)&amp;RIGHT("00"&amp;VALUE(MID(Sync!$AF1253,FIND(":",Sync!$AF1253)+1,2)),2),"0000"))))</f>
        <v/>
      </c>
    </row>
    <row r="1254" spans="1:14" x14ac:dyDescent="0.2">
      <c r="A1254" t="str">
        <f>IF(OR(Calc!$E1258="",Calc!$E1258="نامعتبر",Calc!$G1258=""),"",Calc!$G1258)</f>
        <v/>
      </c>
      <c r="B1254" t="str">
        <f>IF($A1254="","",LEFT(Calc!$E1258,4)&amp;MID(Calc!$E1258,6,2)&amp;RIGHT(Calc!$E1258,2)&amp;Calc!$Q1258&amp;"|"&amp;"1"&amp;RIGHT("00000"&amp;1249,5))</f>
        <v/>
      </c>
      <c r="C1254" t="str">
        <f t="shared" si="95"/>
        <v/>
      </c>
      <c r="D1254" t="str">
        <f t="shared" si="96"/>
        <v/>
      </c>
      <c r="F1254" t="str">
        <f>IF(Sync!$AH1254="","",IF(LEFT(UPPER(TRIM(Sync!$AH1254)),2)="SL",UPPER(TRIM(Sync!$AH1254)),""))</f>
        <v/>
      </c>
      <c r="G1254" t="str">
        <f>IF($F1254="","",IF(Sync!$AE1254="","",IF(ISNUMBER(Sync!$AE1254),IF(AND(Sync!$AE1254&gt;=10000101,Sync!$AE1254&lt;=99991231),INT(Sync!$AE1254/10000),""),IFERROR(VALUE(TRIM(LEFT(Sync!$AE1254,FIND("/",Sync!$AE1254)-1))),""))))</f>
        <v/>
      </c>
      <c r="H1254" t="str">
        <f>IF(OR($F1254="",$G1254=""),"",IF(ISNUMBER(Sync!$AE1254),INT(MOD(Sync!$AE1254,10000)/100),IFERROR(VALUE(TRIM(LEFT(MID(Sync!$AE1254,FIND("/",Sync!$AE1254)+1,20),FIND("/",MID(Sync!$AE1254,FIND("/",Sync!$AE1254)+1,20))-1))),"")))</f>
        <v/>
      </c>
      <c r="I1254" t="str">
        <f>IF(OR($F1254="",$G1254=""),"",IF(ISNUMBER(Sync!$AE1254),MOD(Sync!$AE1254,100),IFERROR(VALUE(TRIM(MID(MID(Sync!$AE1254,FIND("/",Sync!$AE1254)+1,20),FIND("/",MID(Sync!$AE1254,FIND("/",Sync!$AE1254)+1,20))+1,20))),"")))</f>
        <v/>
      </c>
      <c r="J1254" t="str">
        <f t="shared" si="97"/>
        <v/>
      </c>
      <c r="K1254" t="str">
        <f>IF(OR($F1254="",$J1254="",$J1254="نامعتبر"),"",LEFT($J1254,4)&amp;MID($J1254,6,2)&amp;RIGHT($J1254,2)&amp;$N1254&amp;"|"&amp;"2"&amp;RIGHT("00000"&amp;1249,5))</f>
        <v/>
      </c>
      <c r="L1254" t="str">
        <f t="shared" si="98"/>
        <v/>
      </c>
      <c r="M1254" t="str">
        <f t="shared" si="99"/>
        <v/>
      </c>
      <c r="N1254" t="str">
        <f>IF($F1254="","",IF(Sync!$AF1254="","0000",IF(AND(ISNUMBER(Sync!$AF1254),Sync!$AF1254&gt;=0,Sync!$AF1254&lt;1),RIGHT("00"&amp;HOUR(Sync!$AF1254),2)&amp;RIGHT("00"&amp;MINUTE(Sync!$AF1254),2),IFERROR(RIGHT("00"&amp;VALUE(LEFT(Sync!$AF1254,FIND(":",Sync!$AF1254)-1)),2)&amp;RIGHT("00"&amp;VALUE(MID(Sync!$AF1254,FIND(":",Sync!$AF1254)+1,2)),2),"0000"))))</f>
        <v/>
      </c>
    </row>
    <row r="1255" spans="1:14" x14ac:dyDescent="0.2">
      <c r="A1255" t="str">
        <f>IF(OR(Calc!$E1259="",Calc!$E1259="نامعتبر",Calc!$G1259=""),"",Calc!$G1259)</f>
        <v/>
      </c>
      <c r="B1255" t="str">
        <f>IF($A1255="","",LEFT(Calc!$E1259,4)&amp;MID(Calc!$E1259,6,2)&amp;RIGHT(Calc!$E1259,2)&amp;Calc!$Q1259&amp;"|"&amp;"1"&amp;RIGHT("00000"&amp;1250,5))</f>
        <v/>
      </c>
      <c r="C1255" t="str">
        <f t="shared" si="95"/>
        <v/>
      </c>
      <c r="D1255" t="str">
        <f t="shared" si="96"/>
        <v/>
      </c>
      <c r="F1255" t="str">
        <f>IF(Sync!$AH1255="","",IF(LEFT(UPPER(TRIM(Sync!$AH1255)),2)="SL",UPPER(TRIM(Sync!$AH1255)),""))</f>
        <v/>
      </c>
      <c r="G1255" t="str">
        <f>IF($F1255="","",IF(Sync!$AE1255="","",IF(ISNUMBER(Sync!$AE1255),IF(AND(Sync!$AE1255&gt;=10000101,Sync!$AE1255&lt;=99991231),INT(Sync!$AE1255/10000),""),IFERROR(VALUE(TRIM(LEFT(Sync!$AE1255,FIND("/",Sync!$AE1255)-1))),""))))</f>
        <v/>
      </c>
      <c r="H1255" t="str">
        <f>IF(OR($F1255="",$G1255=""),"",IF(ISNUMBER(Sync!$AE1255),INT(MOD(Sync!$AE1255,10000)/100),IFERROR(VALUE(TRIM(LEFT(MID(Sync!$AE1255,FIND("/",Sync!$AE1255)+1,20),FIND("/",MID(Sync!$AE1255,FIND("/",Sync!$AE1255)+1,20))-1))),"")))</f>
        <v/>
      </c>
      <c r="I1255" t="str">
        <f>IF(OR($F1255="",$G1255=""),"",IF(ISNUMBER(Sync!$AE1255),MOD(Sync!$AE1255,100),IFERROR(VALUE(TRIM(MID(MID(Sync!$AE1255,FIND("/",Sync!$AE1255)+1,20),FIND("/",MID(Sync!$AE1255,FIND("/",Sync!$AE1255)+1,20))+1,20))),"")))</f>
        <v/>
      </c>
      <c r="J1255" t="str">
        <f t="shared" si="97"/>
        <v/>
      </c>
      <c r="K1255" t="str">
        <f>IF(OR($F1255="",$J1255="",$J1255="نامعتبر"),"",LEFT($J1255,4)&amp;MID($J1255,6,2)&amp;RIGHT($J1255,2)&amp;$N1255&amp;"|"&amp;"2"&amp;RIGHT("00000"&amp;1250,5))</f>
        <v/>
      </c>
      <c r="L1255" t="str">
        <f t="shared" si="98"/>
        <v/>
      </c>
      <c r="M1255" t="str">
        <f t="shared" si="99"/>
        <v/>
      </c>
      <c r="N1255" t="str">
        <f>IF($F1255="","",IF(Sync!$AF1255="","0000",IF(AND(ISNUMBER(Sync!$AF1255),Sync!$AF1255&gt;=0,Sync!$AF1255&lt;1),RIGHT("00"&amp;HOUR(Sync!$AF1255),2)&amp;RIGHT("00"&amp;MINUTE(Sync!$AF1255),2),IFERROR(RIGHT("00"&amp;VALUE(LEFT(Sync!$AF1255,FIND(":",Sync!$AF1255)-1)),2)&amp;RIGHT("00"&amp;VALUE(MID(Sync!$AF1255,FIND(":",Sync!$AF1255)+1,2)),2),"0000"))))</f>
        <v/>
      </c>
    </row>
    <row r="1256" spans="1:14" x14ac:dyDescent="0.2">
      <c r="A1256" t="str">
        <f>IF(OR(Calc!$E1260="",Calc!$E1260="نامعتبر",Calc!$G1260=""),"",Calc!$G1260)</f>
        <v/>
      </c>
      <c r="B1256" t="str">
        <f>IF($A1256="","",LEFT(Calc!$E1260,4)&amp;MID(Calc!$E1260,6,2)&amp;RIGHT(Calc!$E1260,2)&amp;Calc!$Q1260&amp;"|"&amp;"1"&amp;RIGHT("00000"&amp;1251,5))</f>
        <v/>
      </c>
      <c r="C1256" t="str">
        <f t="shared" si="95"/>
        <v/>
      </c>
      <c r="D1256" t="str">
        <f t="shared" si="96"/>
        <v/>
      </c>
      <c r="F1256" t="str">
        <f>IF(Sync!$AH1256="","",IF(LEFT(UPPER(TRIM(Sync!$AH1256)),2)="SL",UPPER(TRIM(Sync!$AH1256)),""))</f>
        <v/>
      </c>
      <c r="G1256" t="str">
        <f>IF($F1256="","",IF(Sync!$AE1256="","",IF(ISNUMBER(Sync!$AE1256),IF(AND(Sync!$AE1256&gt;=10000101,Sync!$AE1256&lt;=99991231),INT(Sync!$AE1256/10000),""),IFERROR(VALUE(TRIM(LEFT(Sync!$AE1256,FIND("/",Sync!$AE1256)-1))),""))))</f>
        <v/>
      </c>
      <c r="H1256" t="str">
        <f>IF(OR($F1256="",$G1256=""),"",IF(ISNUMBER(Sync!$AE1256),INT(MOD(Sync!$AE1256,10000)/100),IFERROR(VALUE(TRIM(LEFT(MID(Sync!$AE1256,FIND("/",Sync!$AE1256)+1,20),FIND("/",MID(Sync!$AE1256,FIND("/",Sync!$AE1256)+1,20))-1))),"")))</f>
        <v/>
      </c>
      <c r="I1256" t="str">
        <f>IF(OR($F1256="",$G1256=""),"",IF(ISNUMBER(Sync!$AE1256),MOD(Sync!$AE1256,100),IFERROR(VALUE(TRIM(MID(MID(Sync!$AE1256,FIND("/",Sync!$AE1256)+1,20),FIND("/",MID(Sync!$AE1256,FIND("/",Sync!$AE1256)+1,20))+1,20))),"")))</f>
        <v/>
      </c>
      <c r="J1256" t="str">
        <f t="shared" si="97"/>
        <v/>
      </c>
      <c r="K1256" t="str">
        <f>IF(OR($F1256="",$J1256="",$J1256="نامعتبر"),"",LEFT($J1256,4)&amp;MID($J1256,6,2)&amp;RIGHT($J1256,2)&amp;$N1256&amp;"|"&amp;"2"&amp;RIGHT("00000"&amp;1251,5))</f>
        <v/>
      </c>
      <c r="L1256" t="str">
        <f t="shared" si="98"/>
        <v/>
      </c>
      <c r="M1256" t="str">
        <f t="shared" si="99"/>
        <v/>
      </c>
      <c r="N1256" t="str">
        <f>IF($F1256="","",IF(Sync!$AF1256="","0000",IF(AND(ISNUMBER(Sync!$AF1256),Sync!$AF1256&gt;=0,Sync!$AF1256&lt;1),RIGHT("00"&amp;HOUR(Sync!$AF1256),2)&amp;RIGHT("00"&amp;MINUTE(Sync!$AF1256),2),IFERROR(RIGHT("00"&amp;VALUE(LEFT(Sync!$AF1256,FIND(":",Sync!$AF1256)-1)),2)&amp;RIGHT("00"&amp;VALUE(MID(Sync!$AF1256,FIND(":",Sync!$AF1256)+1,2)),2),"0000"))))</f>
        <v/>
      </c>
    </row>
    <row r="1257" spans="1:14" x14ac:dyDescent="0.2">
      <c r="A1257" t="str">
        <f>IF(OR(Calc!$E1261="",Calc!$E1261="نامعتبر",Calc!$G1261=""),"",Calc!$G1261)</f>
        <v/>
      </c>
      <c r="B1257" t="str">
        <f>IF($A1257="","",LEFT(Calc!$E1261,4)&amp;MID(Calc!$E1261,6,2)&amp;RIGHT(Calc!$E1261,2)&amp;Calc!$Q1261&amp;"|"&amp;"1"&amp;RIGHT("00000"&amp;1252,5))</f>
        <v/>
      </c>
      <c r="C1257" t="str">
        <f t="shared" si="95"/>
        <v/>
      </c>
      <c r="D1257" t="str">
        <f t="shared" si="96"/>
        <v/>
      </c>
      <c r="F1257" t="str">
        <f>IF(Sync!$AH1257="","",IF(LEFT(UPPER(TRIM(Sync!$AH1257)),2)="SL",UPPER(TRIM(Sync!$AH1257)),""))</f>
        <v/>
      </c>
      <c r="G1257" t="str">
        <f>IF($F1257="","",IF(Sync!$AE1257="","",IF(ISNUMBER(Sync!$AE1257),IF(AND(Sync!$AE1257&gt;=10000101,Sync!$AE1257&lt;=99991231),INT(Sync!$AE1257/10000),""),IFERROR(VALUE(TRIM(LEFT(Sync!$AE1257,FIND("/",Sync!$AE1257)-1))),""))))</f>
        <v/>
      </c>
      <c r="H1257" t="str">
        <f>IF(OR($F1257="",$G1257=""),"",IF(ISNUMBER(Sync!$AE1257),INT(MOD(Sync!$AE1257,10000)/100),IFERROR(VALUE(TRIM(LEFT(MID(Sync!$AE1257,FIND("/",Sync!$AE1257)+1,20),FIND("/",MID(Sync!$AE1257,FIND("/",Sync!$AE1257)+1,20))-1))),"")))</f>
        <v/>
      </c>
      <c r="I1257" t="str">
        <f>IF(OR($F1257="",$G1257=""),"",IF(ISNUMBER(Sync!$AE1257),MOD(Sync!$AE1257,100),IFERROR(VALUE(TRIM(MID(MID(Sync!$AE1257,FIND("/",Sync!$AE1257)+1,20),FIND("/",MID(Sync!$AE1257,FIND("/",Sync!$AE1257)+1,20))+1,20))),"")))</f>
        <v/>
      </c>
      <c r="J1257" t="str">
        <f t="shared" si="97"/>
        <v/>
      </c>
      <c r="K1257" t="str">
        <f>IF(OR($F1257="",$J1257="",$J1257="نامعتبر"),"",LEFT($J1257,4)&amp;MID($J1257,6,2)&amp;RIGHT($J1257,2)&amp;$N1257&amp;"|"&amp;"2"&amp;RIGHT("00000"&amp;1252,5))</f>
        <v/>
      </c>
      <c r="L1257" t="str">
        <f t="shared" si="98"/>
        <v/>
      </c>
      <c r="M1257" t="str">
        <f t="shared" si="99"/>
        <v/>
      </c>
      <c r="N1257" t="str">
        <f>IF($F1257="","",IF(Sync!$AF1257="","0000",IF(AND(ISNUMBER(Sync!$AF1257),Sync!$AF1257&gt;=0,Sync!$AF1257&lt;1),RIGHT("00"&amp;HOUR(Sync!$AF1257),2)&amp;RIGHT("00"&amp;MINUTE(Sync!$AF1257),2),IFERROR(RIGHT("00"&amp;VALUE(LEFT(Sync!$AF1257,FIND(":",Sync!$AF1257)-1)),2)&amp;RIGHT("00"&amp;VALUE(MID(Sync!$AF1257,FIND(":",Sync!$AF1257)+1,2)),2),"0000"))))</f>
        <v/>
      </c>
    </row>
    <row r="1258" spans="1:14" x14ac:dyDescent="0.2">
      <c r="A1258" t="str">
        <f>IF(OR(Calc!$E1262="",Calc!$E1262="نامعتبر",Calc!$G1262=""),"",Calc!$G1262)</f>
        <v/>
      </c>
      <c r="B1258" t="str">
        <f>IF($A1258="","",LEFT(Calc!$E1262,4)&amp;MID(Calc!$E1262,6,2)&amp;RIGHT(Calc!$E1262,2)&amp;Calc!$Q1262&amp;"|"&amp;"1"&amp;RIGHT("00000"&amp;1253,5))</f>
        <v/>
      </c>
      <c r="C1258" t="str">
        <f t="shared" si="95"/>
        <v/>
      </c>
      <c r="D1258" t="str">
        <f t="shared" si="96"/>
        <v/>
      </c>
      <c r="F1258" t="str">
        <f>IF(Sync!$AH1258="","",IF(LEFT(UPPER(TRIM(Sync!$AH1258)),2)="SL",UPPER(TRIM(Sync!$AH1258)),""))</f>
        <v/>
      </c>
      <c r="G1258" t="str">
        <f>IF($F1258="","",IF(Sync!$AE1258="","",IF(ISNUMBER(Sync!$AE1258),IF(AND(Sync!$AE1258&gt;=10000101,Sync!$AE1258&lt;=99991231),INT(Sync!$AE1258/10000),""),IFERROR(VALUE(TRIM(LEFT(Sync!$AE1258,FIND("/",Sync!$AE1258)-1))),""))))</f>
        <v/>
      </c>
      <c r="H1258" t="str">
        <f>IF(OR($F1258="",$G1258=""),"",IF(ISNUMBER(Sync!$AE1258),INT(MOD(Sync!$AE1258,10000)/100),IFERROR(VALUE(TRIM(LEFT(MID(Sync!$AE1258,FIND("/",Sync!$AE1258)+1,20),FIND("/",MID(Sync!$AE1258,FIND("/",Sync!$AE1258)+1,20))-1))),"")))</f>
        <v/>
      </c>
      <c r="I1258" t="str">
        <f>IF(OR($F1258="",$G1258=""),"",IF(ISNUMBER(Sync!$AE1258),MOD(Sync!$AE1258,100),IFERROR(VALUE(TRIM(MID(MID(Sync!$AE1258,FIND("/",Sync!$AE1258)+1,20),FIND("/",MID(Sync!$AE1258,FIND("/",Sync!$AE1258)+1,20))+1,20))),"")))</f>
        <v/>
      </c>
      <c r="J1258" t="str">
        <f t="shared" si="97"/>
        <v/>
      </c>
      <c r="K1258" t="str">
        <f>IF(OR($F1258="",$J1258="",$J1258="نامعتبر"),"",LEFT($J1258,4)&amp;MID($J1258,6,2)&amp;RIGHT($J1258,2)&amp;$N1258&amp;"|"&amp;"2"&amp;RIGHT("00000"&amp;1253,5))</f>
        <v/>
      </c>
      <c r="L1258" t="str">
        <f t="shared" si="98"/>
        <v/>
      </c>
      <c r="M1258" t="str">
        <f t="shared" si="99"/>
        <v/>
      </c>
      <c r="N1258" t="str">
        <f>IF($F1258="","",IF(Sync!$AF1258="","0000",IF(AND(ISNUMBER(Sync!$AF1258),Sync!$AF1258&gt;=0,Sync!$AF1258&lt;1),RIGHT("00"&amp;HOUR(Sync!$AF1258),2)&amp;RIGHT("00"&amp;MINUTE(Sync!$AF1258),2),IFERROR(RIGHT("00"&amp;VALUE(LEFT(Sync!$AF1258,FIND(":",Sync!$AF1258)-1)),2)&amp;RIGHT("00"&amp;VALUE(MID(Sync!$AF1258,FIND(":",Sync!$AF1258)+1,2)),2),"0000"))))</f>
        <v/>
      </c>
    </row>
    <row r="1259" spans="1:14" x14ac:dyDescent="0.2">
      <c r="A1259" t="str">
        <f>IF(OR(Calc!$E1263="",Calc!$E1263="نامعتبر",Calc!$G1263=""),"",Calc!$G1263)</f>
        <v/>
      </c>
      <c r="B1259" t="str">
        <f>IF($A1259="","",LEFT(Calc!$E1263,4)&amp;MID(Calc!$E1263,6,2)&amp;RIGHT(Calc!$E1263,2)&amp;Calc!$Q1263&amp;"|"&amp;"1"&amp;RIGHT("00000"&amp;1254,5))</f>
        <v/>
      </c>
      <c r="C1259" t="str">
        <f t="shared" si="95"/>
        <v/>
      </c>
      <c r="D1259" t="str">
        <f t="shared" si="96"/>
        <v/>
      </c>
      <c r="F1259" t="str">
        <f>IF(Sync!$AH1259="","",IF(LEFT(UPPER(TRIM(Sync!$AH1259)),2)="SL",UPPER(TRIM(Sync!$AH1259)),""))</f>
        <v/>
      </c>
      <c r="G1259" t="str">
        <f>IF($F1259="","",IF(Sync!$AE1259="","",IF(ISNUMBER(Sync!$AE1259),IF(AND(Sync!$AE1259&gt;=10000101,Sync!$AE1259&lt;=99991231),INT(Sync!$AE1259/10000),""),IFERROR(VALUE(TRIM(LEFT(Sync!$AE1259,FIND("/",Sync!$AE1259)-1))),""))))</f>
        <v/>
      </c>
      <c r="H1259" t="str">
        <f>IF(OR($F1259="",$G1259=""),"",IF(ISNUMBER(Sync!$AE1259),INT(MOD(Sync!$AE1259,10000)/100),IFERROR(VALUE(TRIM(LEFT(MID(Sync!$AE1259,FIND("/",Sync!$AE1259)+1,20),FIND("/",MID(Sync!$AE1259,FIND("/",Sync!$AE1259)+1,20))-1))),"")))</f>
        <v/>
      </c>
      <c r="I1259" t="str">
        <f>IF(OR($F1259="",$G1259=""),"",IF(ISNUMBER(Sync!$AE1259),MOD(Sync!$AE1259,100),IFERROR(VALUE(TRIM(MID(MID(Sync!$AE1259,FIND("/",Sync!$AE1259)+1,20),FIND("/",MID(Sync!$AE1259,FIND("/",Sync!$AE1259)+1,20))+1,20))),"")))</f>
        <v/>
      </c>
      <c r="J1259" t="str">
        <f t="shared" si="97"/>
        <v/>
      </c>
      <c r="K1259" t="str">
        <f>IF(OR($F1259="",$J1259="",$J1259="نامعتبر"),"",LEFT($J1259,4)&amp;MID($J1259,6,2)&amp;RIGHT($J1259,2)&amp;$N1259&amp;"|"&amp;"2"&amp;RIGHT("00000"&amp;1254,5))</f>
        <v/>
      </c>
      <c r="L1259" t="str">
        <f t="shared" si="98"/>
        <v/>
      </c>
      <c r="M1259" t="str">
        <f t="shared" si="99"/>
        <v/>
      </c>
      <c r="N1259" t="str">
        <f>IF($F1259="","",IF(Sync!$AF1259="","0000",IF(AND(ISNUMBER(Sync!$AF1259),Sync!$AF1259&gt;=0,Sync!$AF1259&lt;1),RIGHT("00"&amp;HOUR(Sync!$AF1259),2)&amp;RIGHT("00"&amp;MINUTE(Sync!$AF1259),2),IFERROR(RIGHT("00"&amp;VALUE(LEFT(Sync!$AF1259,FIND(":",Sync!$AF1259)-1)),2)&amp;RIGHT("00"&amp;VALUE(MID(Sync!$AF1259,FIND(":",Sync!$AF1259)+1,2)),2),"0000"))))</f>
        <v/>
      </c>
    </row>
    <row r="1260" spans="1:14" x14ac:dyDescent="0.2">
      <c r="A1260" t="str">
        <f>IF(OR(Calc!$E1264="",Calc!$E1264="نامعتبر",Calc!$G1264=""),"",Calc!$G1264)</f>
        <v/>
      </c>
      <c r="B1260" t="str">
        <f>IF($A1260="","",LEFT(Calc!$E1264,4)&amp;MID(Calc!$E1264,6,2)&amp;RIGHT(Calc!$E1264,2)&amp;Calc!$Q1264&amp;"|"&amp;"1"&amp;RIGHT("00000"&amp;1255,5))</f>
        <v/>
      </c>
      <c r="C1260" t="str">
        <f t="shared" si="95"/>
        <v/>
      </c>
      <c r="D1260" t="str">
        <f t="shared" si="96"/>
        <v/>
      </c>
      <c r="F1260" t="str">
        <f>IF(Sync!$AH1260="","",IF(LEFT(UPPER(TRIM(Sync!$AH1260)),2)="SL",UPPER(TRIM(Sync!$AH1260)),""))</f>
        <v/>
      </c>
      <c r="G1260" t="str">
        <f>IF($F1260="","",IF(Sync!$AE1260="","",IF(ISNUMBER(Sync!$AE1260),IF(AND(Sync!$AE1260&gt;=10000101,Sync!$AE1260&lt;=99991231),INT(Sync!$AE1260/10000),""),IFERROR(VALUE(TRIM(LEFT(Sync!$AE1260,FIND("/",Sync!$AE1260)-1))),""))))</f>
        <v/>
      </c>
      <c r="H1260" t="str">
        <f>IF(OR($F1260="",$G1260=""),"",IF(ISNUMBER(Sync!$AE1260),INT(MOD(Sync!$AE1260,10000)/100),IFERROR(VALUE(TRIM(LEFT(MID(Sync!$AE1260,FIND("/",Sync!$AE1260)+1,20),FIND("/",MID(Sync!$AE1260,FIND("/",Sync!$AE1260)+1,20))-1))),"")))</f>
        <v/>
      </c>
      <c r="I1260" t="str">
        <f>IF(OR($F1260="",$G1260=""),"",IF(ISNUMBER(Sync!$AE1260),MOD(Sync!$AE1260,100),IFERROR(VALUE(TRIM(MID(MID(Sync!$AE1260,FIND("/",Sync!$AE1260)+1,20),FIND("/",MID(Sync!$AE1260,FIND("/",Sync!$AE1260)+1,20))+1,20))),"")))</f>
        <v/>
      </c>
      <c r="J1260" t="str">
        <f t="shared" si="97"/>
        <v/>
      </c>
      <c r="K1260" t="str">
        <f>IF(OR($F1260="",$J1260="",$J1260="نامعتبر"),"",LEFT($J1260,4)&amp;MID($J1260,6,2)&amp;RIGHT($J1260,2)&amp;$N1260&amp;"|"&amp;"2"&amp;RIGHT("00000"&amp;1255,5))</f>
        <v/>
      </c>
      <c r="L1260" t="str">
        <f t="shared" si="98"/>
        <v/>
      </c>
      <c r="M1260" t="str">
        <f t="shared" si="99"/>
        <v/>
      </c>
      <c r="N1260" t="str">
        <f>IF($F1260="","",IF(Sync!$AF1260="","0000",IF(AND(ISNUMBER(Sync!$AF1260),Sync!$AF1260&gt;=0,Sync!$AF1260&lt;1),RIGHT("00"&amp;HOUR(Sync!$AF1260),2)&amp;RIGHT("00"&amp;MINUTE(Sync!$AF1260),2),IFERROR(RIGHT("00"&amp;VALUE(LEFT(Sync!$AF1260,FIND(":",Sync!$AF1260)-1)),2)&amp;RIGHT("00"&amp;VALUE(MID(Sync!$AF1260,FIND(":",Sync!$AF1260)+1,2)),2),"0000"))))</f>
        <v/>
      </c>
    </row>
    <row r="1261" spans="1:14" x14ac:dyDescent="0.2">
      <c r="A1261" t="str">
        <f>IF(OR(Calc!$E1265="",Calc!$E1265="نامعتبر",Calc!$G1265=""),"",Calc!$G1265)</f>
        <v/>
      </c>
      <c r="B1261" t="str">
        <f>IF($A1261="","",LEFT(Calc!$E1265,4)&amp;MID(Calc!$E1265,6,2)&amp;RIGHT(Calc!$E1265,2)&amp;Calc!$Q1265&amp;"|"&amp;"1"&amp;RIGHT("00000"&amp;1256,5))</f>
        <v/>
      </c>
      <c r="C1261" t="str">
        <f t="shared" si="95"/>
        <v/>
      </c>
      <c r="D1261" t="str">
        <f t="shared" si="96"/>
        <v/>
      </c>
      <c r="F1261" t="str">
        <f>IF(Sync!$AH1261="","",IF(LEFT(UPPER(TRIM(Sync!$AH1261)),2)="SL",UPPER(TRIM(Sync!$AH1261)),""))</f>
        <v/>
      </c>
      <c r="G1261" t="str">
        <f>IF($F1261="","",IF(Sync!$AE1261="","",IF(ISNUMBER(Sync!$AE1261),IF(AND(Sync!$AE1261&gt;=10000101,Sync!$AE1261&lt;=99991231),INT(Sync!$AE1261/10000),""),IFERROR(VALUE(TRIM(LEFT(Sync!$AE1261,FIND("/",Sync!$AE1261)-1))),""))))</f>
        <v/>
      </c>
      <c r="H1261" t="str">
        <f>IF(OR($F1261="",$G1261=""),"",IF(ISNUMBER(Sync!$AE1261),INT(MOD(Sync!$AE1261,10000)/100),IFERROR(VALUE(TRIM(LEFT(MID(Sync!$AE1261,FIND("/",Sync!$AE1261)+1,20),FIND("/",MID(Sync!$AE1261,FIND("/",Sync!$AE1261)+1,20))-1))),"")))</f>
        <v/>
      </c>
      <c r="I1261" t="str">
        <f>IF(OR($F1261="",$G1261=""),"",IF(ISNUMBER(Sync!$AE1261),MOD(Sync!$AE1261,100),IFERROR(VALUE(TRIM(MID(MID(Sync!$AE1261,FIND("/",Sync!$AE1261)+1,20),FIND("/",MID(Sync!$AE1261,FIND("/",Sync!$AE1261)+1,20))+1,20))),"")))</f>
        <v/>
      </c>
      <c r="J1261" t="str">
        <f t="shared" si="97"/>
        <v/>
      </c>
      <c r="K1261" t="str">
        <f>IF(OR($F1261="",$J1261="",$J1261="نامعتبر"),"",LEFT($J1261,4)&amp;MID($J1261,6,2)&amp;RIGHT($J1261,2)&amp;$N1261&amp;"|"&amp;"2"&amp;RIGHT("00000"&amp;1256,5))</f>
        <v/>
      </c>
      <c r="L1261" t="str">
        <f t="shared" si="98"/>
        <v/>
      </c>
      <c r="M1261" t="str">
        <f t="shared" si="99"/>
        <v/>
      </c>
      <c r="N1261" t="str">
        <f>IF($F1261="","",IF(Sync!$AF1261="","0000",IF(AND(ISNUMBER(Sync!$AF1261),Sync!$AF1261&gt;=0,Sync!$AF1261&lt;1),RIGHT("00"&amp;HOUR(Sync!$AF1261),2)&amp;RIGHT("00"&amp;MINUTE(Sync!$AF1261),2),IFERROR(RIGHT("00"&amp;VALUE(LEFT(Sync!$AF1261,FIND(":",Sync!$AF1261)-1)),2)&amp;RIGHT("00"&amp;VALUE(MID(Sync!$AF1261,FIND(":",Sync!$AF1261)+1,2)),2),"0000"))))</f>
        <v/>
      </c>
    </row>
    <row r="1262" spans="1:14" x14ac:dyDescent="0.2">
      <c r="A1262" t="str">
        <f>IF(OR(Calc!$E1266="",Calc!$E1266="نامعتبر",Calc!$G1266=""),"",Calc!$G1266)</f>
        <v/>
      </c>
      <c r="B1262" t="str">
        <f>IF($A1262="","",LEFT(Calc!$E1266,4)&amp;MID(Calc!$E1266,6,2)&amp;RIGHT(Calc!$E1266,2)&amp;Calc!$Q1266&amp;"|"&amp;"1"&amp;RIGHT("00000"&amp;1257,5))</f>
        <v/>
      </c>
      <c r="C1262" t="str">
        <f t="shared" si="95"/>
        <v/>
      </c>
      <c r="D1262" t="str">
        <f t="shared" si="96"/>
        <v/>
      </c>
      <c r="F1262" t="str">
        <f>IF(Sync!$AH1262="","",IF(LEFT(UPPER(TRIM(Sync!$AH1262)),2)="SL",UPPER(TRIM(Sync!$AH1262)),""))</f>
        <v/>
      </c>
      <c r="G1262" t="str">
        <f>IF($F1262="","",IF(Sync!$AE1262="","",IF(ISNUMBER(Sync!$AE1262),IF(AND(Sync!$AE1262&gt;=10000101,Sync!$AE1262&lt;=99991231),INT(Sync!$AE1262/10000),""),IFERROR(VALUE(TRIM(LEFT(Sync!$AE1262,FIND("/",Sync!$AE1262)-1))),""))))</f>
        <v/>
      </c>
      <c r="H1262" t="str">
        <f>IF(OR($F1262="",$G1262=""),"",IF(ISNUMBER(Sync!$AE1262),INT(MOD(Sync!$AE1262,10000)/100),IFERROR(VALUE(TRIM(LEFT(MID(Sync!$AE1262,FIND("/",Sync!$AE1262)+1,20),FIND("/",MID(Sync!$AE1262,FIND("/",Sync!$AE1262)+1,20))-1))),"")))</f>
        <v/>
      </c>
      <c r="I1262" t="str">
        <f>IF(OR($F1262="",$G1262=""),"",IF(ISNUMBER(Sync!$AE1262),MOD(Sync!$AE1262,100),IFERROR(VALUE(TRIM(MID(MID(Sync!$AE1262,FIND("/",Sync!$AE1262)+1,20),FIND("/",MID(Sync!$AE1262,FIND("/",Sync!$AE1262)+1,20))+1,20))),"")))</f>
        <v/>
      </c>
      <c r="J1262" t="str">
        <f t="shared" si="97"/>
        <v/>
      </c>
      <c r="K1262" t="str">
        <f>IF(OR($F1262="",$J1262="",$J1262="نامعتبر"),"",LEFT($J1262,4)&amp;MID($J1262,6,2)&amp;RIGHT($J1262,2)&amp;$N1262&amp;"|"&amp;"2"&amp;RIGHT("00000"&amp;1257,5))</f>
        <v/>
      </c>
      <c r="L1262" t="str">
        <f t="shared" si="98"/>
        <v/>
      </c>
      <c r="M1262" t="str">
        <f t="shared" si="99"/>
        <v/>
      </c>
      <c r="N1262" t="str">
        <f>IF($F1262="","",IF(Sync!$AF1262="","0000",IF(AND(ISNUMBER(Sync!$AF1262),Sync!$AF1262&gt;=0,Sync!$AF1262&lt;1),RIGHT("00"&amp;HOUR(Sync!$AF1262),2)&amp;RIGHT("00"&amp;MINUTE(Sync!$AF1262),2),IFERROR(RIGHT("00"&amp;VALUE(LEFT(Sync!$AF1262,FIND(":",Sync!$AF1262)-1)),2)&amp;RIGHT("00"&amp;VALUE(MID(Sync!$AF1262,FIND(":",Sync!$AF1262)+1,2)),2),"0000"))))</f>
        <v/>
      </c>
    </row>
    <row r="1263" spans="1:14" x14ac:dyDescent="0.2">
      <c r="A1263" t="str">
        <f>IF(OR(Calc!$E1267="",Calc!$E1267="نامعتبر",Calc!$G1267=""),"",Calc!$G1267)</f>
        <v/>
      </c>
      <c r="B1263" t="str">
        <f>IF($A1263="","",LEFT(Calc!$E1267,4)&amp;MID(Calc!$E1267,6,2)&amp;RIGHT(Calc!$E1267,2)&amp;Calc!$Q1267&amp;"|"&amp;"1"&amp;RIGHT("00000"&amp;1258,5))</f>
        <v/>
      </c>
      <c r="C1263" t="str">
        <f t="shared" si="95"/>
        <v/>
      </c>
      <c r="D1263" t="str">
        <f t="shared" si="96"/>
        <v/>
      </c>
      <c r="F1263" t="str">
        <f>IF(Sync!$AH1263="","",IF(LEFT(UPPER(TRIM(Sync!$AH1263)),2)="SL",UPPER(TRIM(Sync!$AH1263)),""))</f>
        <v/>
      </c>
      <c r="G1263" t="str">
        <f>IF($F1263="","",IF(Sync!$AE1263="","",IF(ISNUMBER(Sync!$AE1263),IF(AND(Sync!$AE1263&gt;=10000101,Sync!$AE1263&lt;=99991231),INT(Sync!$AE1263/10000),""),IFERROR(VALUE(TRIM(LEFT(Sync!$AE1263,FIND("/",Sync!$AE1263)-1))),""))))</f>
        <v/>
      </c>
      <c r="H1263" t="str">
        <f>IF(OR($F1263="",$G1263=""),"",IF(ISNUMBER(Sync!$AE1263),INT(MOD(Sync!$AE1263,10000)/100),IFERROR(VALUE(TRIM(LEFT(MID(Sync!$AE1263,FIND("/",Sync!$AE1263)+1,20),FIND("/",MID(Sync!$AE1263,FIND("/",Sync!$AE1263)+1,20))-1))),"")))</f>
        <v/>
      </c>
      <c r="I1263" t="str">
        <f>IF(OR($F1263="",$G1263=""),"",IF(ISNUMBER(Sync!$AE1263),MOD(Sync!$AE1263,100),IFERROR(VALUE(TRIM(MID(MID(Sync!$AE1263,FIND("/",Sync!$AE1263)+1,20),FIND("/",MID(Sync!$AE1263,FIND("/",Sync!$AE1263)+1,20))+1,20))),"")))</f>
        <v/>
      </c>
      <c r="J1263" t="str">
        <f t="shared" si="97"/>
        <v/>
      </c>
      <c r="K1263" t="str">
        <f>IF(OR($F1263="",$J1263="",$J1263="نامعتبر"),"",LEFT($J1263,4)&amp;MID($J1263,6,2)&amp;RIGHT($J1263,2)&amp;$N1263&amp;"|"&amp;"2"&amp;RIGHT("00000"&amp;1258,5))</f>
        <v/>
      </c>
      <c r="L1263" t="str">
        <f t="shared" si="98"/>
        <v/>
      </c>
      <c r="M1263" t="str">
        <f t="shared" si="99"/>
        <v/>
      </c>
      <c r="N1263" t="str">
        <f>IF($F1263="","",IF(Sync!$AF1263="","0000",IF(AND(ISNUMBER(Sync!$AF1263),Sync!$AF1263&gt;=0,Sync!$AF1263&lt;1),RIGHT("00"&amp;HOUR(Sync!$AF1263),2)&amp;RIGHT("00"&amp;MINUTE(Sync!$AF1263),2),IFERROR(RIGHT("00"&amp;VALUE(LEFT(Sync!$AF1263,FIND(":",Sync!$AF1263)-1)),2)&amp;RIGHT("00"&amp;VALUE(MID(Sync!$AF1263,FIND(":",Sync!$AF1263)+1,2)),2),"0000"))))</f>
        <v/>
      </c>
    </row>
    <row r="1264" spans="1:14" x14ac:dyDescent="0.2">
      <c r="A1264" t="str">
        <f>IF(OR(Calc!$E1268="",Calc!$E1268="نامعتبر",Calc!$G1268=""),"",Calc!$G1268)</f>
        <v/>
      </c>
      <c r="B1264" t="str">
        <f>IF($A1264="","",LEFT(Calc!$E1268,4)&amp;MID(Calc!$E1268,6,2)&amp;RIGHT(Calc!$E1268,2)&amp;Calc!$Q1268&amp;"|"&amp;"1"&amp;RIGHT("00000"&amp;1259,5))</f>
        <v/>
      </c>
      <c r="C1264" t="str">
        <f t="shared" si="95"/>
        <v/>
      </c>
      <c r="D1264" t="str">
        <f t="shared" si="96"/>
        <v/>
      </c>
      <c r="F1264" t="str">
        <f>IF(Sync!$AH1264="","",IF(LEFT(UPPER(TRIM(Sync!$AH1264)),2)="SL",UPPER(TRIM(Sync!$AH1264)),""))</f>
        <v/>
      </c>
      <c r="G1264" t="str">
        <f>IF($F1264="","",IF(Sync!$AE1264="","",IF(ISNUMBER(Sync!$AE1264),IF(AND(Sync!$AE1264&gt;=10000101,Sync!$AE1264&lt;=99991231),INT(Sync!$AE1264/10000),""),IFERROR(VALUE(TRIM(LEFT(Sync!$AE1264,FIND("/",Sync!$AE1264)-1))),""))))</f>
        <v/>
      </c>
      <c r="H1264" t="str">
        <f>IF(OR($F1264="",$G1264=""),"",IF(ISNUMBER(Sync!$AE1264),INT(MOD(Sync!$AE1264,10000)/100),IFERROR(VALUE(TRIM(LEFT(MID(Sync!$AE1264,FIND("/",Sync!$AE1264)+1,20),FIND("/",MID(Sync!$AE1264,FIND("/",Sync!$AE1264)+1,20))-1))),"")))</f>
        <v/>
      </c>
      <c r="I1264" t="str">
        <f>IF(OR($F1264="",$G1264=""),"",IF(ISNUMBER(Sync!$AE1264),MOD(Sync!$AE1264,100),IFERROR(VALUE(TRIM(MID(MID(Sync!$AE1264,FIND("/",Sync!$AE1264)+1,20),FIND("/",MID(Sync!$AE1264,FIND("/",Sync!$AE1264)+1,20))+1,20))),"")))</f>
        <v/>
      </c>
      <c r="J1264" t="str">
        <f t="shared" si="97"/>
        <v/>
      </c>
      <c r="K1264" t="str">
        <f>IF(OR($F1264="",$J1264="",$J1264="نامعتبر"),"",LEFT($J1264,4)&amp;MID($J1264,6,2)&amp;RIGHT($J1264,2)&amp;$N1264&amp;"|"&amp;"2"&amp;RIGHT("00000"&amp;1259,5))</f>
        <v/>
      </c>
      <c r="L1264" t="str">
        <f t="shared" si="98"/>
        <v/>
      </c>
      <c r="M1264" t="str">
        <f t="shared" si="99"/>
        <v/>
      </c>
      <c r="N1264" t="str">
        <f>IF($F1264="","",IF(Sync!$AF1264="","0000",IF(AND(ISNUMBER(Sync!$AF1264),Sync!$AF1264&gt;=0,Sync!$AF1264&lt;1),RIGHT("00"&amp;HOUR(Sync!$AF1264),2)&amp;RIGHT("00"&amp;MINUTE(Sync!$AF1264),2),IFERROR(RIGHT("00"&amp;VALUE(LEFT(Sync!$AF1264,FIND(":",Sync!$AF1264)-1)),2)&amp;RIGHT("00"&amp;VALUE(MID(Sync!$AF1264,FIND(":",Sync!$AF1264)+1,2)),2),"0000"))))</f>
        <v/>
      </c>
    </row>
    <row r="1265" spans="1:14" x14ac:dyDescent="0.2">
      <c r="A1265" t="str">
        <f>IF(OR(Calc!$E1269="",Calc!$E1269="نامعتبر",Calc!$G1269=""),"",Calc!$G1269)</f>
        <v/>
      </c>
      <c r="B1265" t="str">
        <f>IF($A1265="","",LEFT(Calc!$E1269,4)&amp;MID(Calc!$E1269,6,2)&amp;RIGHT(Calc!$E1269,2)&amp;Calc!$Q1269&amp;"|"&amp;"1"&amp;RIGHT("00000"&amp;1260,5))</f>
        <v/>
      </c>
      <c r="C1265" t="str">
        <f t="shared" si="95"/>
        <v/>
      </c>
      <c r="D1265" t="str">
        <f t="shared" si="96"/>
        <v/>
      </c>
      <c r="F1265" t="str">
        <f>IF(Sync!$AH1265="","",IF(LEFT(UPPER(TRIM(Sync!$AH1265)),2)="SL",UPPER(TRIM(Sync!$AH1265)),""))</f>
        <v/>
      </c>
      <c r="G1265" t="str">
        <f>IF($F1265="","",IF(Sync!$AE1265="","",IF(ISNUMBER(Sync!$AE1265),IF(AND(Sync!$AE1265&gt;=10000101,Sync!$AE1265&lt;=99991231),INT(Sync!$AE1265/10000),""),IFERROR(VALUE(TRIM(LEFT(Sync!$AE1265,FIND("/",Sync!$AE1265)-1))),""))))</f>
        <v/>
      </c>
      <c r="H1265" t="str">
        <f>IF(OR($F1265="",$G1265=""),"",IF(ISNUMBER(Sync!$AE1265),INT(MOD(Sync!$AE1265,10000)/100),IFERROR(VALUE(TRIM(LEFT(MID(Sync!$AE1265,FIND("/",Sync!$AE1265)+1,20),FIND("/",MID(Sync!$AE1265,FIND("/",Sync!$AE1265)+1,20))-1))),"")))</f>
        <v/>
      </c>
      <c r="I1265" t="str">
        <f>IF(OR($F1265="",$G1265=""),"",IF(ISNUMBER(Sync!$AE1265),MOD(Sync!$AE1265,100),IFERROR(VALUE(TRIM(MID(MID(Sync!$AE1265,FIND("/",Sync!$AE1265)+1,20),FIND("/",MID(Sync!$AE1265,FIND("/",Sync!$AE1265)+1,20))+1,20))),"")))</f>
        <v/>
      </c>
      <c r="J1265" t="str">
        <f t="shared" si="97"/>
        <v/>
      </c>
      <c r="K1265" t="str">
        <f>IF(OR($F1265="",$J1265="",$J1265="نامعتبر"),"",LEFT($J1265,4)&amp;MID($J1265,6,2)&amp;RIGHT($J1265,2)&amp;$N1265&amp;"|"&amp;"2"&amp;RIGHT("00000"&amp;1260,5))</f>
        <v/>
      </c>
      <c r="L1265" t="str">
        <f t="shared" si="98"/>
        <v/>
      </c>
      <c r="M1265" t="str">
        <f t="shared" si="99"/>
        <v/>
      </c>
      <c r="N1265" t="str">
        <f>IF($F1265="","",IF(Sync!$AF1265="","0000",IF(AND(ISNUMBER(Sync!$AF1265),Sync!$AF1265&gt;=0,Sync!$AF1265&lt;1),RIGHT("00"&amp;HOUR(Sync!$AF1265),2)&amp;RIGHT("00"&amp;MINUTE(Sync!$AF1265),2),IFERROR(RIGHT("00"&amp;VALUE(LEFT(Sync!$AF1265,FIND(":",Sync!$AF1265)-1)),2)&amp;RIGHT("00"&amp;VALUE(MID(Sync!$AF1265,FIND(":",Sync!$AF1265)+1,2)),2),"0000"))))</f>
        <v/>
      </c>
    </row>
    <row r="1266" spans="1:14" x14ac:dyDescent="0.2">
      <c r="A1266" t="str">
        <f>IF(OR(Calc!$E1270="",Calc!$E1270="نامعتبر",Calc!$G1270=""),"",Calc!$G1270)</f>
        <v/>
      </c>
      <c r="B1266" t="str">
        <f>IF($A1266="","",LEFT(Calc!$E1270,4)&amp;MID(Calc!$E1270,6,2)&amp;RIGHT(Calc!$E1270,2)&amp;Calc!$Q1270&amp;"|"&amp;"1"&amp;RIGHT("00000"&amp;1261,5))</f>
        <v/>
      </c>
      <c r="C1266" t="str">
        <f t="shared" si="95"/>
        <v/>
      </c>
      <c r="D1266" t="str">
        <f t="shared" si="96"/>
        <v/>
      </c>
      <c r="F1266" t="str">
        <f>IF(Sync!$AH1266="","",IF(LEFT(UPPER(TRIM(Sync!$AH1266)),2)="SL",UPPER(TRIM(Sync!$AH1266)),""))</f>
        <v/>
      </c>
      <c r="G1266" t="str">
        <f>IF($F1266="","",IF(Sync!$AE1266="","",IF(ISNUMBER(Sync!$AE1266),IF(AND(Sync!$AE1266&gt;=10000101,Sync!$AE1266&lt;=99991231),INT(Sync!$AE1266/10000),""),IFERROR(VALUE(TRIM(LEFT(Sync!$AE1266,FIND("/",Sync!$AE1266)-1))),""))))</f>
        <v/>
      </c>
      <c r="H1266" t="str">
        <f>IF(OR($F1266="",$G1266=""),"",IF(ISNUMBER(Sync!$AE1266),INT(MOD(Sync!$AE1266,10000)/100),IFERROR(VALUE(TRIM(LEFT(MID(Sync!$AE1266,FIND("/",Sync!$AE1266)+1,20),FIND("/",MID(Sync!$AE1266,FIND("/",Sync!$AE1266)+1,20))-1))),"")))</f>
        <v/>
      </c>
      <c r="I1266" t="str">
        <f>IF(OR($F1266="",$G1266=""),"",IF(ISNUMBER(Sync!$AE1266),MOD(Sync!$AE1266,100),IFERROR(VALUE(TRIM(MID(MID(Sync!$AE1266,FIND("/",Sync!$AE1266)+1,20),FIND("/",MID(Sync!$AE1266,FIND("/",Sync!$AE1266)+1,20))+1,20))),"")))</f>
        <v/>
      </c>
      <c r="J1266" t="str">
        <f t="shared" si="97"/>
        <v/>
      </c>
      <c r="K1266" t="str">
        <f>IF(OR($F1266="",$J1266="",$J1266="نامعتبر"),"",LEFT($J1266,4)&amp;MID($J1266,6,2)&amp;RIGHT($J1266,2)&amp;$N1266&amp;"|"&amp;"2"&amp;RIGHT("00000"&amp;1261,5))</f>
        <v/>
      </c>
      <c r="L1266" t="str">
        <f t="shared" si="98"/>
        <v/>
      </c>
      <c r="M1266" t="str">
        <f t="shared" si="99"/>
        <v/>
      </c>
      <c r="N1266" t="str">
        <f>IF($F1266="","",IF(Sync!$AF1266="","0000",IF(AND(ISNUMBER(Sync!$AF1266),Sync!$AF1266&gt;=0,Sync!$AF1266&lt;1),RIGHT("00"&amp;HOUR(Sync!$AF1266),2)&amp;RIGHT("00"&amp;MINUTE(Sync!$AF1266),2),IFERROR(RIGHT("00"&amp;VALUE(LEFT(Sync!$AF1266,FIND(":",Sync!$AF1266)-1)),2)&amp;RIGHT("00"&amp;VALUE(MID(Sync!$AF1266,FIND(":",Sync!$AF1266)+1,2)),2),"0000"))))</f>
        <v/>
      </c>
    </row>
    <row r="1267" spans="1:14" x14ac:dyDescent="0.2">
      <c r="A1267" t="str">
        <f>IF(OR(Calc!$E1271="",Calc!$E1271="نامعتبر",Calc!$G1271=""),"",Calc!$G1271)</f>
        <v/>
      </c>
      <c r="B1267" t="str">
        <f>IF($A1267="","",LEFT(Calc!$E1271,4)&amp;MID(Calc!$E1271,6,2)&amp;RIGHT(Calc!$E1271,2)&amp;Calc!$Q1271&amp;"|"&amp;"1"&amp;RIGHT("00000"&amp;1262,5))</f>
        <v/>
      </c>
      <c r="C1267" t="str">
        <f t="shared" si="95"/>
        <v/>
      </c>
      <c r="D1267" t="str">
        <f t="shared" si="96"/>
        <v/>
      </c>
      <c r="F1267" t="str">
        <f>IF(Sync!$AH1267="","",IF(LEFT(UPPER(TRIM(Sync!$AH1267)),2)="SL",UPPER(TRIM(Sync!$AH1267)),""))</f>
        <v/>
      </c>
      <c r="G1267" t="str">
        <f>IF($F1267="","",IF(Sync!$AE1267="","",IF(ISNUMBER(Sync!$AE1267),IF(AND(Sync!$AE1267&gt;=10000101,Sync!$AE1267&lt;=99991231),INT(Sync!$AE1267/10000),""),IFERROR(VALUE(TRIM(LEFT(Sync!$AE1267,FIND("/",Sync!$AE1267)-1))),""))))</f>
        <v/>
      </c>
      <c r="H1267" t="str">
        <f>IF(OR($F1267="",$G1267=""),"",IF(ISNUMBER(Sync!$AE1267),INT(MOD(Sync!$AE1267,10000)/100),IFERROR(VALUE(TRIM(LEFT(MID(Sync!$AE1267,FIND("/",Sync!$AE1267)+1,20),FIND("/",MID(Sync!$AE1267,FIND("/",Sync!$AE1267)+1,20))-1))),"")))</f>
        <v/>
      </c>
      <c r="I1267" t="str">
        <f>IF(OR($F1267="",$G1267=""),"",IF(ISNUMBER(Sync!$AE1267),MOD(Sync!$AE1267,100),IFERROR(VALUE(TRIM(MID(MID(Sync!$AE1267,FIND("/",Sync!$AE1267)+1,20),FIND("/",MID(Sync!$AE1267,FIND("/",Sync!$AE1267)+1,20))+1,20))),"")))</f>
        <v/>
      </c>
      <c r="J1267" t="str">
        <f t="shared" si="97"/>
        <v/>
      </c>
      <c r="K1267" t="str">
        <f>IF(OR($F1267="",$J1267="",$J1267="نامعتبر"),"",LEFT($J1267,4)&amp;MID($J1267,6,2)&amp;RIGHT($J1267,2)&amp;$N1267&amp;"|"&amp;"2"&amp;RIGHT("00000"&amp;1262,5))</f>
        <v/>
      </c>
      <c r="L1267" t="str">
        <f t="shared" si="98"/>
        <v/>
      </c>
      <c r="M1267" t="str">
        <f t="shared" si="99"/>
        <v/>
      </c>
      <c r="N1267" t="str">
        <f>IF($F1267="","",IF(Sync!$AF1267="","0000",IF(AND(ISNUMBER(Sync!$AF1267),Sync!$AF1267&gt;=0,Sync!$AF1267&lt;1),RIGHT("00"&amp;HOUR(Sync!$AF1267),2)&amp;RIGHT("00"&amp;MINUTE(Sync!$AF1267),2),IFERROR(RIGHT("00"&amp;VALUE(LEFT(Sync!$AF1267,FIND(":",Sync!$AF1267)-1)),2)&amp;RIGHT("00"&amp;VALUE(MID(Sync!$AF1267,FIND(":",Sync!$AF1267)+1,2)),2),"0000"))))</f>
        <v/>
      </c>
    </row>
    <row r="1268" spans="1:14" x14ac:dyDescent="0.2">
      <c r="A1268" t="str">
        <f>IF(OR(Calc!$E1272="",Calc!$E1272="نامعتبر",Calc!$G1272=""),"",Calc!$G1272)</f>
        <v/>
      </c>
      <c r="B1268" t="str">
        <f>IF($A1268="","",LEFT(Calc!$E1272,4)&amp;MID(Calc!$E1272,6,2)&amp;RIGHT(Calc!$E1272,2)&amp;Calc!$Q1272&amp;"|"&amp;"1"&amp;RIGHT("00000"&amp;1263,5))</f>
        <v/>
      </c>
      <c r="C1268" t="str">
        <f t="shared" si="95"/>
        <v/>
      </c>
      <c r="D1268" t="str">
        <f t="shared" si="96"/>
        <v/>
      </c>
      <c r="F1268" t="str">
        <f>IF(Sync!$AH1268="","",IF(LEFT(UPPER(TRIM(Sync!$AH1268)),2)="SL",UPPER(TRIM(Sync!$AH1268)),""))</f>
        <v/>
      </c>
      <c r="G1268" t="str">
        <f>IF($F1268="","",IF(Sync!$AE1268="","",IF(ISNUMBER(Sync!$AE1268),IF(AND(Sync!$AE1268&gt;=10000101,Sync!$AE1268&lt;=99991231),INT(Sync!$AE1268/10000),""),IFERROR(VALUE(TRIM(LEFT(Sync!$AE1268,FIND("/",Sync!$AE1268)-1))),""))))</f>
        <v/>
      </c>
      <c r="H1268" t="str">
        <f>IF(OR($F1268="",$G1268=""),"",IF(ISNUMBER(Sync!$AE1268),INT(MOD(Sync!$AE1268,10000)/100),IFERROR(VALUE(TRIM(LEFT(MID(Sync!$AE1268,FIND("/",Sync!$AE1268)+1,20),FIND("/",MID(Sync!$AE1268,FIND("/",Sync!$AE1268)+1,20))-1))),"")))</f>
        <v/>
      </c>
      <c r="I1268" t="str">
        <f>IF(OR($F1268="",$G1268=""),"",IF(ISNUMBER(Sync!$AE1268),MOD(Sync!$AE1268,100),IFERROR(VALUE(TRIM(MID(MID(Sync!$AE1268,FIND("/",Sync!$AE1268)+1,20),FIND("/",MID(Sync!$AE1268,FIND("/",Sync!$AE1268)+1,20))+1,20))),"")))</f>
        <v/>
      </c>
      <c r="J1268" t="str">
        <f t="shared" si="97"/>
        <v/>
      </c>
      <c r="K1268" t="str">
        <f>IF(OR($F1268="",$J1268="",$J1268="نامعتبر"),"",LEFT($J1268,4)&amp;MID($J1268,6,2)&amp;RIGHT($J1268,2)&amp;$N1268&amp;"|"&amp;"2"&amp;RIGHT("00000"&amp;1263,5))</f>
        <v/>
      </c>
      <c r="L1268" t="str">
        <f t="shared" si="98"/>
        <v/>
      </c>
      <c r="M1268" t="str">
        <f t="shared" si="99"/>
        <v/>
      </c>
      <c r="N1268" t="str">
        <f>IF($F1268="","",IF(Sync!$AF1268="","0000",IF(AND(ISNUMBER(Sync!$AF1268),Sync!$AF1268&gt;=0,Sync!$AF1268&lt;1),RIGHT("00"&amp;HOUR(Sync!$AF1268),2)&amp;RIGHT("00"&amp;MINUTE(Sync!$AF1268),2),IFERROR(RIGHT("00"&amp;VALUE(LEFT(Sync!$AF1268,FIND(":",Sync!$AF1268)-1)),2)&amp;RIGHT("00"&amp;VALUE(MID(Sync!$AF1268,FIND(":",Sync!$AF1268)+1,2)),2),"0000"))))</f>
        <v/>
      </c>
    </row>
    <row r="1269" spans="1:14" x14ac:dyDescent="0.2">
      <c r="A1269" t="str">
        <f>IF(OR(Calc!$E1273="",Calc!$E1273="نامعتبر",Calc!$G1273=""),"",Calc!$G1273)</f>
        <v/>
      </c>
      <c r="B1269" t="str">
        <f>IF($A1269="","",LEFT(Calc!$E1273,4)&amp;MID(Calc!$E1273,6,2)&amp;RIGHT(Calc!$E1273,2)&amp;Calc!$Q1273&amp;"|"&amp;"1"&amp;RIGHT("00000"&amp;1264,5))</f>
        <v/>
      </c>
      <c r="C1269" t="str">
        <f t="shared" si="95"/>
        <v/>
      </c>
      <c r="D1269" t="str">
        <f t="shared" si="96"/>
        <v/>
      </c>
      <c r="F1269" t="str">
        <f>IF(Sync!$AH1269="","",IF(LEFT(UPPER(TRIM(Sync!$AH1269)),2)="SL",UPPER(TRIM(Sync!$AH1269)),""))</f>
        <v/>
      </c>
      <c r="G1269" t="str">
        <f>IF($F1269="","",IF(Sync!$AE1269="","",IF(ISNUMBER(Sync!$AE1269),IF(AND(Sync!$AE1269&gt;=10000101,Sync!$AE1269&lt;=99991231),INT(Sync!$AE1269/10000),""),IFERROR(VALUE(TRIM(LEFT(Sync!$AE1269,FIND("/",Sync!$AE1269)-1))),""))))</f>
        <v/>
      </c>
      <c r="H1269" t="str">
        <f>IF(OR($F1269="",$G1269=""),"",IF(ISNUMBER(Sync!$AE1269),INT(MOD(Sync!$AE1269,10000)/100),IFERROR(VALUE(TRIM(LEFT(MID(Sync!$AE1269,FIND("/",Sync!$AE1269)+1,20),FIND("/",MID(Sync!$AE1269,FIND("/",Sync!$AE1269)+1,20))-1))),"")))</f>
        <v/>
      </c>
      <c r="I1269" t="str">
        <f>IF(OR($F1269="",$G1269=""),"",IF(ISNUMBER(Sync!$AE1269),MOD(Sync!$AE1269,100),IFERROR(VALUE(TRIM(MID(MID(Sync!$AE1269,FIND("/",Sync!$AE1269)+1,20),FIND("/",MID(Sync!$AE1269,FIND("/",Sync!$AE1269)+1,20))+1,20))),"")))</f>
        <v/>
      </c>
      <c r="J1269" t="str">
        <f t="shared" si="97"/>
        <v/>
      </c>
      <c r="K1269" t="str">
        <f>IF(OR($F1269="",$J1269="",$J1269="نامعتبر"),"",LEFT($J1269,4)&amp;MID($J1269,6,2)&amp;RIGHT($J1269,2)&amp;$N1269&amp;"|"&amp;"2"&amp;RIGHT("00000"&amp;1264,5))</f>
        <v/>
      </c>
      <c r="L1269" t="str">
        <f t="shared" si="98"/>
        <v/>
      </c>
      <c r="M1269" t="str">
        <f t="shared" si="99"/>
        <v/>
      </c>
      <c r="N1269" t="str">
        <f>IF($F1269="","",IF(Sync!$AF1269="","0000",IF(AND(ISNUMBER(Sync!$AF1269),Sync!$AF1269&gt;=0,Sync!$AF1269&lt;1),RIGHT("00"&amp;HOUR(Sync!$AF1269),2)&amp;RIGHT("00"&amp;MINUTE(Sync!$AF1269),2),IFERROR(RIGHT("00"&amp;VALUE(LEFT(Sync!$AF1269,FIND(":",Sync!$AF1269)-1)),2)&amp;RIGHT("00"&amp;VALUE(MID(Sync!$AF1269,FIND(":",Sync!$AF1269)+1,2)),2),"0000"))))</f>
        <v/>
      </c>
    </row>
    <row r="1270" spans="1:14" x14ac:dyDescent="0.2">
      <c r="A1270" t="str">
        <f>IF(OR(Calc!$E1274="",Calc!$E1274="نامعتبر",Calc!$G1274=""),"",Calc!$G1274)</f>
        <v/>
      </c>
      <c r="B1270" t="str">
        <f>IF($A1270="","",LEFT(Calc!$E1274,4)&amp;MID(Calc!$E1274,6,2)&amp;RIGHT(Calc!$E1274,2)&amp;Calc!$Q1274&amp;"|"&amp;"1"&amp;RIGHT("00000"&amp;1265,5))</f>
        <v/>
      </c>
      <c r="C1270" t="str">
        <f t="shared" si="95"/>
        <v/>
      </c>
      <c r="D1270" t="str">
        <f t="shared" si="96"/>
        <v/>
      </c>
      <c r="F1270" t="str">
        <f>IF(Sync!$AH1270="","",IF(LEFT(UPPER(TRIM(Sync!$AH1270)),2)="SL",UPPER(TRIM(Sync!$AH1270)),""))</f>
        <v/>
      </c>
      <c r="G1270" t="str">
        <f>IF($F1270="","",IF(Sync!$AE1270="","",IF(ISNUMBER(Sync!$AE1270),IF(AND(Sync!$AE1270&gt;=10000101,Sync!$AE1270&lt;=99991231),INT(Sync!$AE1270/10000),""),IFERROR(VALUE(TRIM(LEFT(Sync!$AE1270,FIND("/",Sync!$AE1270)-1))),""))))</f>
        <v/>
      </c>
      <c r="H1270" t="str">
        <f>IF(OR($F1270="",$G1270=""),"",IF(ISNUMBER(Sync!$AE1270),INT(MOD(Sync!$AE1270,10000)/100),IFERROR(VALUE(TRIM(LEFT(MID(Sync!$AE1270,FIND("/",Sync!$AE1270)+1,20),FIND("/",MID(Sync!$AE1270,FIND("/",Sync!$AE1270)+1,20))-1))),"")))</f>
        <v/>
      </c>
      <c r="I1270" t="str">
        <f>IF(OR($F1270="",$G1270=""),"",IF(ISNUMBER(Sync!$AE1270),MOD(Sync!$AE1270,100),IFERROR(VALUE(TRIM(MID(MID(Sync!$AE1270,FIND("/",Sync!$AE1270)+1,20),FIND("/",MID(Sync!$AE1270,FIND("/",Sync!$AE1270)+1,20))+1,20))),"")))</f>
        <v/>
      </c>
      <c r="J1270" t="str">
        <f t="shared" si="97"/>
        <v/>
      </c>
      <c r="K1270" t="str">
        <f>IF(OR($F1270="",$J1270="",$J1270="نامعتبر"),"",LEFT($J1270,4)&amp;MID($J1270,6,2)&amp;RIGHT($J1270,2)&amp;$N1270&amp;"|"&amp;"2"&amp;RIGHT("00000"&amp;1265,5))</f>
        <v/>
      </c>
      <c r="L1270" t="str">
        <f t="shared" si="98"/>
        <v/>
      </c>
      <c r="M1270" t="str">
        <f t="shared" si="99"/>
        <v/>
      </c>
      <c r="N1270" t="str">
        <f>IF($F1270="","",IF(Sync!$AF1270="","0000",IF(AND(ISNUMBER(Sync!$AF1270),Sync!$AF1270&gt;=0,Sync!$AF1270&lt;1),RIGHT("00"&amp;HOUR(Sync!$AF1270),2)&amp;RIGHT("00"&amp;MINUTE(Sync!$AF1270),2),IFERROR(RIGHT("00"&amp;VALUE(LEFT(Sync!$AF1270,FIND(":",Sync!$AF1270)-1)),2)&amp;RIGHT("00"&amp;VALUE(MID(Sync!$AF1270,FIND(":",Sync!$AF1270)+1,2)),2),"0000"))))</f>
        <v/>
      </c>
    </row>
    <row r="1271" spans="1:14" x14ac:dyDescent="0.2">
      <c r="A1271" t="str">
        <f>IF(OR(Calc!$E1275="",Calc!$E1275="نامعتبر",Calc!$G1275=""),"",Calc!$G1275)</f>
        <v/>
      </c>
      <c r="B1271" t="str">
        <f>IF($A1271="","",LEFT(Calc!$E1275,4)&amp;MID(Calc!$E1275,6,2)&amp;RIGHT(Calc!$E1275,2)&amp;Calc!$Q1275&amp;"|"&amp;"1"&amp;RIGHT("00000"&amp;1266,5))</f>
        <v/>
      </c>
      <c r="C1271" t="str">
        <f t="shared" si="95"/>
        <v/>
      </c>
      <c r="D1271" t="str">
        <f t="shared" si="96"/>
        <v/>
      </c>
      <c r="F1271" t="str">
        <f>IF(Sync!$AH1271="","",IF(LEFT(UPPER(TRIM(Sync!$AH1271)),2)="SL",UPPER(TRIM(Sync!$AH1271)),""))</f>
        <v/>
      </c>
      <c r="G1271" t="str">
        <f>IF($F1271="","",IF(Sync!$AE1271="","",IF(ISNUMBER(Sync!$AE1271),IF(AND(Sync!$AE1271&gt;=10000101,Sync!$AE1271&lt;=99991231),INT(Sync!$AE1271/10000),""),IFERROR(VALUE(TRIM(LEFT(Sync!$AE1271,FIND("/",Sync!$AE1271)-1))),""))))</f>
        <v/>
      </c>
      <c r="H1271" t="str">
        <f>IF(OR($F1271="",$G1271=""),"",IF(ISNUMBER(Sync!$AE1271),INT(MOD(Sync!$AE1271,10000)/100),IFERROR(VALUE(TRIM(LEFT(MID(Sync!$AE1271,FIND("/",Sync!$AE1271)+1,20),FIND("/",MID(Sync!$AE1271,FIND("/",Sync!$AE1271)+1,20))-1))),"")))</f>
        <v/>
      </c>
      <c r="I1271" t="str">
        <f>IF(OR($F1271="",$G1271=""),"",IF(ISNUMBER(Sync!$AE1271),MOD(Sync!$AE1271,100),IFERROR(VALUE(TRIM(MID(MID(Sync!$AE1271,FIND("/",Sync!$AE1271)+1,20),FIND("/",MID(Sync!$AE1271,FIND("/",Sync!$AE1271)+1,20))+1,20))),"")))</f>
        <v/>
      </c>
      <c r="J1271" t="str">
        <f t="shared" si="97"/>
        <v/>
      </c>
      <c r="K1271" t="str">
        <f>IF(OR($F1271="",$J1271="",$J1271="نامعتبر"),"",LEFT($J1271,4)&amp;MID($J1271,6,2)&amp;RIGHT($J1271,2)&amp;$N1271&amp;"|"&amp;"2"&amp;RIGHT("00000"&amp;1266,5))</f>
        <v/>
      </c>
      <c r="L1271" t="str">
        <f t="shared" si="98"/>
        <v/>
      </c>
      <c r="M1271" t="str">
        <f t="shared" si="99"/>
        <v/>
      </c>
      <c r="N1271" t="str">
        <f>IF($F1271="","",IF(Sync!$AF1271="","0000",IF(AND(ISNUMBER(Sync!$AF1271),Sync!$AF1271&gt;=0,Sync!$AF1271&lt;1),RIGHT("00"&amp;HOUR(Sync!$AF1271),2)&amp;RIGHT("00"&amp;MINUTE(Sync!$AF1271),2),IFERROR(RIGHT("00"&amp;VALUE(LEFT(Sync!$AF1271,FIND(":",Sync!$AF1271)-1)),2)&amp;RIGHT("00"&amp;VALUE(MID(Sync!$AF1271,FIND(":",Sync!$AF1271)+1,2)),2),"0000"))))</f>
        <v/>
      </c>
    </row>
    <row r="1272" spans="1:14" x14ac:dyDescent="0.2">
      <c r="A1272" t="str">
        <f>IF(OR(Calc!$E1276="",Calc!$E1276="نامعتبر",Calc!$G1276=""),"",Calc!$G1276)</f>
        <v/>
      </c>
      <c r="B1272" t="str">
        <f>IF($A1272="","",LEFT(Calc!$E1276,4)&amp;MID(Calc!$E1276,6,2)&amp;RIGHT(Calc!$E1276,2)&amp;Calc!$Q1276&amp;"|"&amp;"1"&amp;RIGHT("00000"&amp;1267,5))</f>
        <v/>
      </c>
      <c r="C1272" t="str">
        <f t="shared" si="95"/>
        <v/>
      </c>
      <c r="D1272" t="str">
        <f t="shared" si="96"/>
        <v/>
      </c>
      <c r="F1272" t="str">
        <f>IF(Sync!$AH1272="","",IF(LEFT(UPPER(TRIM(Sync!$AH1272)),2)="SL",UPPER(TRIM(Sync!$AH1272)),""))</f>
        <v/>
      </c>
      <c r="G1272" t="str">
        <f>IF($F1272="","",IF(Sync!$AE1272="","",IF(ISNUMBER(Sync!$AE1272),IF(AND(Sync!$AE1272&gt;=10000101,Sync!$AE1272&lt;=99991231),INT(Sync!$AE1272/10000),""),IFERROR(VALUE(TRIM(LEFT(Sync!$AE1272,FIND("/",Sync!$AE1272)-1))),""))))</f>
        <v/>
      </c>
      <c r="H1272" t="str">
        <f>IF(OR($F1272="",$G1272=""),"",IF(ISNUMBER(Sync!$AE1272),INT(MOD(Sync!$AE1272,10000)/100),IFERROR(VALUE(TRIM(LEFT(MID(Sync!$AE1272,FIND("/",Sync!$AE1272)+1,20),FIND("/",MID(Sync!$AE1272,FIND("/",Sync!$AE1272)+1,20))-1))),"")))</f>
        <v/>
      </c>
      <c r="I1272" t="str">
        <f>IF(OR($F1272="",$G1272=""),"",IF(ISNUMBER(Sync!$AE1272),MOD(Sync!$AE1272,100),IFERROR(VALUE(TRIM(MID(MID(Sync!$AE1272,FIND("/",Sync!$AE1272)+1,20),FIND("/",MID(Sync!$AE1272,FIND("/",Sync!$AE1272)+1,20))+1,20))),"")))</f>
        <v/>
      </c>
      <c r="J1272" t="str">
        <f t="shared" si="97"/>
        <v/>
      </c>
      <c r="K1272" t="str">
        <f>IF(OR($F1272="",$J1272="",$J1272="نامعتبر"),"",LEFT($J1272,4)&amp;MID($J1272,6,2)&amp;RIGHT($J1272,2)&amp;$N1272&amp;"|"&amp;"2"&amp;RIGHT("00000"&amp;1267,5))</f>
        <v/>
      </c>
      <c r="L1272" t="str">
        <f t="shared" si="98"/>
        <v/>
      </c>
      <c r="M1272" t="str">
        <f t="shared" si="99"/>
        <v/>
      </c>
      <c r="N1272" t="str">
        <f>IF($F1272="","",IF(Sync!$AF1272="","0000",IF(AND(ISNUMBER(Sync!$AF1272),Sync!$AF1272&gt;=0,Sync!$AF1272&lt;1),RIGHT("00"&amp;HOUR(Sync!$AF1272),2)&amp;RIGHT("00"&amp;MINUTE(Sync!$AF1272),2),IFERROR(RIGHT("00"&amp;VALUE(LEFT(Sync!$AF1272,FIND(":",Sync!$AF1272)-1)),2)&amp;RIGHT("00"&amp;VALUE(MID(Sync!$AF1272,FIND(":",Sync!$AF1272)+1,2)),2),"0000"))))</f>
        <v/>
      </c>
    </row>
    <row r="1273" spans="1:14" x14ac:dyDescent="0.2">
      <c r="A1273" t="str">
        <f>IF(OR(Calc!$E1277="",Calc!$E1277="نامعتبر",Calc!$G1277=""),"",Calc!$G1277)</f>
        <v/>
      </c>
      <c r="B1273" t="str">
        <f>IF($A1273="","",LEFT(Calc!$E1277,4)&amp;MID(Calc!$E1277,6,2)&amp;RIGHT(Calc!$E1277,2)&amp;Calc!$Q1277&amp;"|"&amp;"1"&amp;RIGHT("00000"&amp;1268,5))</f>
        <v/>
      </c>
      <c r="C1273" t="str">
        <f t="shared" si="95"/>
        <v/>
      </c>
      <c r="D1273" t="str">
        <f t="shared" si="96"/>
        <v/>
      </c>
      <c r="F1273" t="str">
        <f>IF(Sync!$AH1273="","",IF(LEFT(UPPER(TRIM(Sync!$AH1273)),2)="SL",UPPER(TRIM(Sync!$AH1273)),""))</f>
        <v/>
      </c>
      <c r="G1273" t="str">
        <f>IF($F1273="","",IF(Sync!$AE1273="","",IF(ISNUMBER(Sync!$AE1273),IF(AND(Sync!$AE1273&gt;=10000101,Sync!$AE1273&lt;=99991231),INT(Sync!$AE1273/10000),""),IFERROR(VALUE(TRIM(LEFT(Sync!$AE1273,FIND("/",Sync!$AE1273)-1))),""))))</f>
        <v/>
      </c>
      <c r="H1273" t="str">
        <f>IF(OR($F1273="",$G1273=""),"",IF(ISNUMBER(Sync!$AE1273),INT(MOD(Sync!$AE1273,10000)/100),IFERROR(VALUE(TRIM(LEFT(MID(Sync!$AE1273,FIND("/",Sync!$AE1273)+1,20),FIND("/",MID(Sync!$AE1273,FIND("/",Sync!$AE1273)+1,20))-1))),"")))</f>
        <v/>
      </c>
      <c r="I1273" t="str">
        <f>IF(OR($F1273="",$G1273=""),"",IF(ISNUMBER(Sync!$AE1273),MOD(Sync!$AE1273,100),IFERROR(VALUE(TRIM(MID(MID(Sync!$AE1273,FIND("/",Sync!$AE1273)+1,20),FIND("/",MID(Sync!$AE1273,FIND("/",Sync!$AE1273)+1,20))+1,20))),"")))</f>
        <v/>
      </c>
      <c r="J1273" t="str">
        <f t="shared" si="97"/>
        <v/>
      </c>
      <c r="K1273" t="str">
        <f>IF(OR($F1273="",$J1273="",$J1273="نامعتبر"),"",LEFT($J1273,4)&amp;MID($J1273,6,2)&amp;RIGHT($J1273,2)&amp;$N1273&amp;"|"&amp;"2"&amp;RIGHT("00000"&amp;1268,5))</f>
        <v/>
      </c>
      <c r="L1273" t="str">
        <f t="shared" si="98"/>
        <v/>
      </c>
      <c r="M1273" t="str">
        <f t="shared" si="99"/>
        <v/>
      </c>
      <c r="N1273" t="str">
        <f>IF($F1273="","",IF(Sync!$AF1273="","0000",IF(AND(ISNUMBER(Sync!$AF1273),Sync!$AF1273&gt;=0,Sync!$AF1273&lt;1),RIGHT("00"&amp;HOUR(Sync!$AF1273),2)&amp;RIGHT("00"&amp;MINUTE(Sync!$AF1273),2),IFERROR(RIGHT("00"&amp;VALUE(LEFT(Sync!$AF1273,FIND(":",Sync!$AF1273)-1)),2)&amp;RIGHT("00"&amp;VALUE(MID(Sync!$AF1273,FIND(":",Sync!$AF1273)+1,2)),2),"0000"))))</f>
        <v/>
      </c>
    </row>
    <row r="1274" spans="1:14" x14ac:dyDescent="0.2">
      <c r="A1274" t="str">
        <f>IF(OR(Calc!$E1278="",Calc!$E1278="نامعتبر",Calc!$G1278=""),"",Calc!$G1278)</f>
        <v/>
      </c>
      <c r="B1274" t="str">
        <f>IF($A1274="","",LEFT(Calc!$E1278,4)&amp;MID(Calc!$E1278,6,2)&amp;RIGHT(Calc!$E1278,2)&amp;Calc!$Q1278&amp;"|"&amp;"1"&amp;RIGHT("00000"&amp;1269,5))</f>
        <v/>
      </c>
      <c r="C1274" t="str">
        <f t="shared" si="95"/>
        <v/>
      </c>
      <c r="D1274" t="str">
        <f t="shared" si="96"/>
        <v/>
      </c>
      <c r="F1274" t="str">
        <f>IF(Sync!$AH1274="","",IF(LEFT(UPPER(TRIM(Sync!$AH1274)),2)="SL",UPPER(TRIM(Sync!$AH1274)),""))</f>
        <v/>
      </c>
      <c r="G1274" t="str">
        <f>IF($F1274="","",IF(Sync!$AE1274="","",IF(ISNUMBER(Sync!$AE1274),IF(AND(Sync!$AE1274&gt;=10000101,Sync!$AE1274&lt;=99991231),INT(Sync!$AE1274/10000),""),IFERROR(VALUE(TRIM(LEFT(Sync!$AE1274,FIND("/",Sync!$AE1274)-1))),""))))</f>
        <v/>
      </c>
      <c r="H1274" t="str">
        <f>IF(OR($F1274="",$G1274=""),"",IF(ISNUMBER(Sync!$AE1274),INT(MOD(Sync!$AE1274,10000)/100),IFERROR(VALUE(TRIM(LEFT(MID(Sync!$AE1274,FIND("/",Sync!$AE1274)+1,20),FIND("/",MID(Sync!$AE1274,FIND("/",Sync!$AE1274)+1,20))-1))),"")))</f>
        <v/>
      </c>
      <c r="I1274" t="str">
        <f>IF(OR($F1274="",$G1274=""),"",IF(ISNUMBER(Sync!$AE1274),MOD(Sync!$AE1274,100),IFERROR(VALUE(TRIM(MID(MID(Sync!$AE1274,FIND("/",Sync!$AE1274)+1,20),FIND("/",MID(Sync!$AE1274,FIND("/",Sync!$AE1274)+1,20))+1,20))),"")))</f>
        <v/>
      </c>
      <c r="J1274" t="str">
        <f t="shared" si="97"/>
        <v/>
      </c>
      <c r="K1274" t="str">
        <f>IF(OR($F1274="",$J1274="",$J1274="نامعتبر"),"",LEFT($J1274,4)&amp;MID($J1274,6,2)&amp;RIGHT($J1274,2)&amp;$N1274&amp;"|"&amp;"2"&amp;RIGHT("00000"&amp;1269,5))</f>
        <v/>
      </c>
      <c r="L1274" t="str">
        <f t="shared" si="98"/>
        <v/>
      </c>
      <c r="M1274" t="str">
        <f t="shared" si="99"/>
        <v/>
      </c>
      <c r="N1274" t="str">
        <f>IF($F1274="","",IF(Sync!$AF1274="","0000",IF(AND(ISNUMBER(Sync!$AF1274),Sync!$AF1274&gt;=0,Sync!$AF1274&lt;1),RIGHT("00"&amp;HOUR(Sync!$AF1274),2)&amp;RIGHT("00"&amp;MINUTE(Sync!$AF1274),2),IFERROR(RIGHT("00"&amp;VALUE(LEFT(Sync!$AF1274,FIND(":",Sync!$AF1274)-1)),2)&amp;RIGHT("00"&amp;VALUE(MID(Sync!$AF1274,FIND(":",Sync!$AF1274)+1,2)),2),"0000"))))</f>
        <v/>
      </c>
    </row>
    <row r="1275" spans="1:14" x14ac:dyDescent="0.2">
      <c r="A1275" t="str">
        <f>IF(OR(Calc!$E1279="",Calc!$E1279="نامعتبر",Calc!$G1279=""),"",Calc!$G1279)</f>
        <v/>
      </c>
      <c r="B1275" t="str">
        <f>IF($A1275="","",LEFT(Calc!$E1279,4)&amp;MID(Calc!$E1279,6,2)&amp;RIGHT(Calc!$E1279,2)&amp;Calc!$Q1279&amp;"|"&amp;"1"&amp;RIGHT("00000"&amp;1270,5))</f>
        <v/>
      </c>
      <c r="C1275" t="str">
        <f t="shared" si="95"/>
        <v/>
      </c>
      <c r="D1275" t="str">
        <f t="shared" si="96"/>
        <v/>
      </c>
      <c r="F1275" t="str">
        <f>IF(Sync!$AH1275="","",IF(LEFT(UPPER(TRIM(Sync!$AH1275)),2)="SL",UPPER(TRIM(Sync!$AH1275)),""))</f>
        <v/>
      </c>
      <c r="G1275" t="str">
        <f>IF($F1275="","",IF(Sync!$AE1275="","",IF(ISNUMBER(Sync!$AE1275),IF(AND(Sync!$AE1275&gt;=10000101,Sync!$AE1275&lt;=99991231),INT(Sync!$AE1275/10000),""),IFERROR(VALUE(TRIM(LEFT(Sync!$AE1275,FIND("/",Sync!$AE1275)-1))),""))))</f>
        <v/>
      </c>
      <c r="H1275" t="str">
        <f>IF(OR($F1275="",$G1275=""),"",IF(ISNUMBER(Sync!$AE1275),INT(MOD(Sync!$AE1275,10000)/100),IFERROR(VALUE(TRIM(LEFT(MID(Sync!$AE1275,FIND("/",Sync!$AE1275)+1,20),FIND("/",MID(Sync!$AE1275,FIND("/",Sync!$AE1275)+1,20))-1))),"")))</f>
        <v/>
      </c>
      <c r="I1275" t="str">
        <f>IF(OR($F1275="",$G1275=""),"",IF(ISNUMBER(Sync!$AE1275),MOD(Sync!$AE1275,100),IFERROR(VALUE(TRIM(MID(MID(Sync!$AE1275,FIND("/",Sync!$AE1275)+1,20),FIND("/",MID(Sync!$AE1275,FIND("/",Sync!$AE1275)+1,20))+1,20))),"")))</f>
        <v/>
      </c>
      <c r="J1275" t="str">
        <f t="shared" si="97"/>
        <v/>
      </c>
      <c r="K1275" t="str">
        <f>IF(OR($F1275="",$J1275="",$J1275="نامعتبر"),"",LEFT($J1275,4)&amp;MID($J1275,6,2)&amp;RIGHT($J1275,2)&amp;$N1275&amp;"|"&amp;"2"&amp;RIGHT("00000"&amp;1270,5))</f>
        <v/>
      </c>
      <c r="L1275" t="str">
        <f t="shared" si="98"/>
        <v/>
      </c>
      <c r="M1275" t="str">
        <f t="shared" si="99"/>
        <v/>
      </c>
      <c r="N1275" t="str">
        <f>IF($F1275="","",IF(Sync!$AF1275="","0000",IF(AND(ISNUMBER(Sync!$AF1275),Sync!$AF1275&gt;=0,Sync!$AF1275&lt;1),RIGHT("00"&amp;HOUR(Sync!$AF1275),2)&amp;RIGHT("00"&amp;MINUTE(Sync!$AF1275),2),IFERROR(RIGHT("00"&amp;VALUE(LEFT(Sync!$AF1275,FIND(":",Sync!$AF1275)-1)),2)&amp;RIGHT("00"&amp;VALUE(MID(Sync!$AF1275,FIND(":",Sync!$AF1275)+1,2)),2),"0000"))))</f>
        <v/>
      </c>
    </row>
    <row r="1276" spans="1:14" x14ac:dyDescent="0.2">
      <c r="A1276" t="str">
        <f>IF(OR(Calc!$E1280="",Calc!$E1280="نامعتبر",Calc!$G1280=""),"",Calc!$G1280)</f>
        <v/>
      </c>
      <c r="B1276" t="str">
        <f>IF($A1276="","",LEFT(Calc!$E1280,4)&amp;MID(Calc!$E1280,6,2)&amp;RIGHT(Calc!$E1280,2)&amp;Calc!$Q1280&amp;"|"&amp;"1"&amp;RIGHT("00000"&amp;1271,5))</f>
        <v/>
      </c>
      <c r="C1276" t="str">
        <f t="shared" si="95"/>
        <v/>
      </c>
      <c r="D1276" t="str">
        <f t="shared" si="96"/>
        <v/>
      </c>
      <c r="F1276" t="str">
        <f>IF(Sync!$AH1276="","",IF(LEFT(UPPER(TRIM(Sync!$AH1276)),2)="SL",UPPER(TRIM(Sync!$AH1276)),""))</f>
        <v/>
      </c>
      <c r="G1276" t="str">
        <f>IF($F1276="","",IF(Sync!$AE1276="","",IF(ISNUMBER(Sync!$AE1276),IF(AND(Sync!$AE1276&gt;=10000101,Sync!$AE1276&lt;=99991231),INT(Sync!$AE1276/10000),""),IFERROR(VALUE(TRIM(LEFT(Sync!$AE1276,FIND("/",Sync!$AE1276)-1))),""))))</f>
        <v/>
      </c>
      <c r="H1276" t="str">
        <f>IF(OR($F1276="",$G1276=""),"",IF(ISNUMBER(Sync!$AE1276),INT(MOD(Sync!$AE1276,10000)/100),IFERROR(VALUE(TRIM(LEFT(MID(Sync!$AE1276,FIND("/",Sync!$AE1276)+1,20),FIND("/",MID(Sync!$AE1276,FIND("/",Sync!$AE1276)+1,20))-1))),"")))</f>
        <v/>
      </c>
      <c r="I1276" t="str">
        <f>IF(OR($F1276="",$G1276=""),"",IF(ISNUMBER(Sync!$AE1276),MOD(Sync!$AE1276,100),IFERROR(VALUE(TRIM(MID(MID(Sync!$AE1276,FIND("/",Sync!$AE1276)+1,20),FIND("/",MID(Sync!$AE1276,FIND("/",Sync!$AE1276)+1,20))+1,20))),"")))</f>
        <v/>
      </c>
      <c r="J1276" t="str">
        <f t="shared" si="97"/>
        <v/>
      </c>
      <c r="K1276" t="str">
        <f>IF(OR($F1276="",$J1276="",$J1276="نامعتبر"),"",LEFT($J1276,4)&amp;MID($J1276,6,2)&amp;RIGHT($J1276,2)&amp;$N1276&amp;"|"&amp;"2"&amp;RIGHT("00000"&amp;1271,5))</f>
        <v/>
      </c>
      <c r="L1276" t="str">
        <f t="shared" si="98"/>
        <v/>
      </c>
      <c r="M1276" t="str">
        <f t="shared" si="99"/>
        <v/>
      </c>
      <c r="N1276" t="str">
        <f>IF($F1276="","",IF(Sync!$AF1276="","0000",IF(AND(ISNUMBER(Sync!$AF1276),Sync!$AF1276&gt;=0,Sync!$AF1276&lt;1),RIGHT("00"&amp;HOUR(Sync!$AF1276),2)&amp;RIGHT("00"&amp;MINUTE(Sync!$AF1276),2),IFERROR(RIGHT("00"&amp;VALUE(LEFT(Sync!$AF1276,FIND(":",Sync!$AF1276)-1)),2)&amp;RIGHT("00"&amp;VALUE(MID(Sync!$AF1276,FIND(":",Sync!$AF1276)+1,2)),2),"0000"))))</f>
        <v/>
      </c>
    </row>
    <row r="1277" spans="1:14" x14ac:dyDescent="0.2">
      <c r="A1277" t="str">
        <f>IF(OR(Calc!$E1281="",Calc!$E1281="نامعتبر",Calc!$G1281=""),"",Calc!$G1281)</f>
        <v/>
      </c>
      <c r="B1277" t="str">
        <f>IF($A1277="","",LEFT(Calc!$E1281,4)&amp;MID(Calc!$E1281,6,2)&amp;RIGHT(Calc!$E1281,2)&amp;Calc!$Q1281&amp;"|"&amp;"1"&amp;RIGHT("00000"&amp;1272,5))</f>
        <v/>
      </c>
      <c r="C1277" t="str">
        <f t="shared" si="95"/>
        <v/>
      </c>
      <c r="D1277" t="str">
        <f t="shared" si="96"/>
        <v/>
      </c>
      <c r="F1277" t="str">
        <f>IF(Sync!$AH1277="","",IF(LEFT(UPPER(TRIM(Sync!$AH1277)),2)="SL",UPPER(TRIM(Sync!$AH1277)),""))</f>
        <v/>
      </c>
      <c r="G1277" t="str">
        <f>IF($F1277="","",IF(Sync!$AE1277="","",IF(ISNUMBER(Sync!$AE1277),IF(AND(Sync!$AE1277&gt;=10000101,Sync!$AE1277&lt;=99991231),INT(Sync!$AE1277/10000),""),IFERROR(VALUE(TRIM(LEFT(Sync!$AE1277,FIND("/",Sync!$AE1277)-1))),""))))</f>
        <v/>
      </c>
      <c r="H1277" t="str">
        <f>IF(OR($F1277="",$G1277=""),"",IF(ISNUMBER(Sync!$AE1277),INT(MOD(Sync!$AE1277,10000)/100),IFERROR(VALUE(TRIM(LEFT(MID(Sync!$AE1277,FIND("/",Sync!$AE1277)+1,20),FIND("/",MID(Sync!$AE1277,FIND("/",Sync!$AE1277)+1,20))-1))),"")))</f>
        <v/>
      </c>
      <c r="I1277" t="str">
        <f>IF(OR($F1277="",$G1277=""),"",IF(ISNUMBER(Sync!$AE1277),MOD(Sync!$AE1277,100),IFERROR(VALUE(TRIM(MID(MID(Sync!$AE1277,FIND("/",Sync!$AE1277)+1,20),FIND("/",MID(Sync!$AE1277,FIND("/",Sync!$AE1277)+1,20))+1,20))),"")))</f>
        <v/>
      </c>
      <c r="J1277" t="str">
        <f t="shared" si="97"/>
        <v/>
      </c>
      <c r="K1277" t="str">
        <f>IF(OR($F1277="",$J1277="",$J1277="نامعتبر"),"",LEFT($J1277,4)&amp;MID($J1277,6,2)&amp;RIGHT($J1277,2)&amp;$N1277&amp;"|"&amp;"2"&amp;RIGHT("00000"&amp;1272,5))</f>
        <v/>
      </c>
      <c r="L1277" t="str">
        <f t="shared" si="98"/>
        <v/>
      </c>
      <c r="M1277" t="str">
        <f t="shared" si="99"/>
        <v/>
      </c>
      <c r="N1277" t="str">
        <f>IF($F1277="","",IF(Sync!$AF1277="","0000",IF(AND(ISNUMBER(Sync!$AF1277),Sync!$AF1277&gt;=0,Sync!$AF1277&lt;1),RIGHT("00"&amp;HOUR(Sync!$AF1277),2)&amp;RIGHT("00"&amp;MINUTE(Sync!$AF1277),2),IFERROR(RIGHT("00"&amp;VALUE(LEFT(Sync!$AF1277,FIND(":",Sync!$AF1277)-1)),2)&amp;RIGHT("00"&amp;VALUE(MID(Sync!$AF1277,FIND(":",Sync!$AF1277)+1,2)),2),"0000"))))</f>
        <v/>
      </c>
    </row>
    <row r="1278" spans="1:14" x14ac:dyDescent="0.2">
      <c r="A1278" t="str">
        <f>IF(OR(Calc!$E1282="",Calc!$E1282="نامعتبر",Calc!$G1282=""),"",Calc!$G1282)</f>
        <v/>
      </c>
      <c r="B1278" t="str">
        <f>IF($A1278="","",LEFT(Calc!$E1282,4)&amp;MID(Calc!$E1282,6,2)&amp;RIGHT(Calc!$E1282,2)&amp;Calc!$Q1282&amp;"|"&amp;"1"&amp;RIGHT("00000"&amp;1273,5))</f>
        <v/>
      </c>
      <c r="C1278" t="str">
        <f t="shared" si="95"/>
        <v/>
      </c>
      <c r="D1278" t="str">
        <f t="shared" si="96"/>
        <v/>
      </c>
      <c r="F1278" t="str">
        <f>IF(Sync!$AH1278="","",IF(LEFT(UPPER(TRIM(Sync!$AH1278)),2)="SL",UPPER(TRIM(Sync!$AH1278)),""))</f>
        <v/>
      </c>
      <c r="G1278" t="str">
        <f>IF($F1278="","",IF(Sync!$AE1278="","",IF(ISNUMBER(Sync!$AE1278),IF(AND(Sync!$AE1278&gt;=10000101,Sync!$AE1278&lt;=99991231),INT(Sync!$AE1278/10000),""),IFERROR(VALUE(TRIM(LEFT(Sync!$AE1278,FIND("/",Sync!$AE1278)-1))),""))))</f>
        <v/>
      </c>
      <c r="H1278" t="str">
        <f>IF(OR($F1278="",$G1278=""),"",IF(ISNUMBER(Sync!$AE1278),INT(MOD(Sync!$AE1278,10000)/100),IFERROR(VALUE(TRIM(LEFT(MID(Sync!$AE1278,FIND("/",Sync!$AE1278)+1,20),FIND("/",MID(Sync!$AE1278,FIND("/",Sync!$AE1278)+1,20))-1))),"")))</f>
        <v/>
      </c>
      <c r="I1278" t="str">
        <f>IF(OR($F1278="",$G1278=""),"",IF(ISNUMBER(Sync!$AE1278),MOD(Sync!$AE1278,100),IFERROR(VALUE(TRIM(MID(MID(Sync!$AE1278,FIND("/",Sync!$AE1278)+1,20),FIND("/",MID(Sync!$AE1278,FIND("/",Sync!$AE1278)+1,20))+1,20))),"")))</f>
        <v/>
      </c>
      <c r="J1278" t="str">
        <f t="shared" si="97"/>
        <v/>
      </c>
      <c r="K1278" t="str">
        <f>IF(OR($F1278="",$J1278="",$J1278="نامعتبر"),"",LEFT($J1278,4)&amp;MID($J1278,6,2)&amp;RIGHT($J1278,2)&amp;$N1278&amp;"|"&amp;"2"&amp;RIGHT("00000"&amp;1273,5))</f>
        <v/>
      </c>
      <c r="L1278" t="str">
        <f t="shared" si="98"/>
        <v/>
      </c>
      <c r="M1278" t="str">
        <f t="shared" si="99"/>
        <v/>
      </c>
      <c r="N1278" t="str">
        <f>IF($F1278="","",IF(Sync!$AF1278="","0000",IF(AND(ISNUMBER(Sync!$AF1278),Sync!$AF1278&gt;=0,Sync!$AF1278&lt;1),RIGHT("00"&amp;HOUR(Sync!$AF1278),2)&amp;RIGHT("00"&amp;MINUTE(Sync!$AF1278),2),IFERROR(RIGHT("00"&amp;VALUE(LEFT(Sync!$AF1278,FIND(":",Sync!$AF1278)-1)),2)&amp;RIGHT("00"&amp;VALUE(MID(Sync!$AF1278,FIND(":",Sync!$AF1278)+1,2)),2),"0000"))))</f>
        <v/>
      </c>
    </row>
    <row r="1279" spans="1:14" x14ac:dyDescent="0.2">
      <c r="A1279" t="str">
        <f>IF(OR(Calc!$E1283="",Calc!$E1283="نامعتبر",Calc!$G1283=""),"",Calc!$G1283)</f>
        <v/>
      </c>
      <c r="B1279" t="str">
        <f>IF($A1279="","",LEFT(Calc!$E1283,4)&amp;MID(Calc!$E1283,6,2)&amp;RIGHT(Calc!$E1283,2)&amp;Calc!$Q1283&amp;"|"&amp;"1"&amp;RIGHT("00000"&amp;1274,5))</f>
        <v/>
      </c>
      <c r="C1279" t="str">
        <f t="shared" si="95"/>
        <v/>
      </c>
      <c r="D1279" t="str">
        <f t="shared" si="96"/>
        <v/>
      </c>
      <c r="F1279" t="str">
        <f>IF(Sync!$AH1279="","",IF(LEFT(UPPER(TRIM(Sync!$AH1279)),2)="SL",UPPER(TRIM(Sync!$AH1279)),""))</f>
        <v/>
      </c>
      <c r="G1279" t="str">
        <f>IF($F1279="","",IF(Sync!$AE1279="","",IF(ISNUMBER(Sync!$AE1279),IF(AND(Sync!$AE1279&gt;=10000101,Sync!$AE1279&lt;=99991231),INT(Sync!$AE1279/10000),""),IFERROR(VALUE(TRIM(LEFT(Sync!$AE1279,FIND("/",Sync!$AE1279)-1))),""))))</f>
        <v/>
      </c>
      <c r="H1279" t="str">
        <f>IF(OR($F1279="",$G1279=""),"",IF(ISNUMBER(Sync!$AE1279),INT(MOD(Sync!$AE1279,10000)/100),IFERROR(VALUE(TRIM(LEFT(MID(Sync!$AE1279,FIND("/",Sync!$AE1279)+1,20),FIND("/",MID(Sync!$AE1279,FIND("/",Sync!$AE1279)+1,20))-1))),"")))</f>
        <v/>
      </c>
      <c r="I1279" t="str">
        <f>IF(OR($F1279="",$G1279=""),"",IF(ISNUMBER(Sync!$AE1279),MOD(Sync!$AE1279,100),IFERROR(VALUE(TRIM(MID(MID(Sync!$AE1279,FIND("/",Sync!$AE1279)+1,20),FIND("/",MID(Sync!$AE1279,FIND("/",Sync!$AE1279)+1,20))+1,20))),"")))</f>
        <v/>
      </c>
      <c r="J1279" t="str">
        <f t="shared" si="97"/>
        <v/>
      </c>
      <c r="K1279" t="str">
        <f>IF(OR($F1279="",$J1279="",$J1279="نامعتبر"),"",LEFT($J1279,4)&amp;MID($J1279,6,2)&amp;RIGHT($J1279,2)&amp;$N1279&amp;"|"&amp;"2"&amp;RIGHT("00000"&amp;1274,5))</f>
        <v/>
      </c>
      <c r="L1279" t="str">
        <f t="shared" si="98"/>
        <v/>
      </c>
      <c r="M1279" t="str">
        <f t="shared" si="99"/>
        <v/>
      </c>
      <c r="N1279" t="str">
        <f>IF($F1279="","",IF(Sync!$AF1279="","0000",IF(AND(ISNUMBER(Sync!$AF1279),Sync!$AF1279&gt;=0,Sync!$AF1279&lt;1),RIGHT("00"&amp;HOUR(Sync!$AF1279),2)&amp;RIGHT("00"&amp;MINUTE(Sync!$AF1279),2),IFERROR(RIGHT("00"&amp;VALUE(LEFT(Sync!$AF1279,FIND(":",Sync!$AF1279)-1)),2)&amp;RIGHT("00"&amp;VALUE(MID(Sync!$AF1279,FIND(":",Sync!$AF1279)+1,2)),2),"0000"))))</f>
        <v/>
      </c>
    </row>
    <row r="1280" spans="1:14" x14ac:dyDescent="0.2">
      <c r="A1280" t="str">
        <f>IF(OR(Calc!$E1284="",Calc!$E1284="نامعتبر",Calc!$G1284=""),"",Calc!$G1284)</f>
        <v/>
      </c>
      <c r="B1280" t="str">
        <f>IF($A1280="","",LEFT(Calc!$E1284,4)&amp;MID(Calc!$E1284,6,2)&amp;RIGHT(Calc!$E1284,2)&amp;Calc!$Q1284&amp;"|"&amp;"1"&amp;RIGHT("00000"&amp;1275,5))</f>
        <v/>
      </c>
      <c r="C1280" t="str">
        <f t="shared" si="95"/>
        <v/>
      </c>
      <c r="D1280" t="str">
        <f t="shared" si="96"/>
        <v/>
      </c>
      <c r="F1280" t="str">
        <f>IF(Sync!$AH1280="","",IF(LEFT(UPPER(TRIM(Sync!$AH1280)),2)="SL",UPPER(TRIM(Sync!$AH1280)),""))</f>
        <v/>
      </c>
      <c r="G1280" t="str">
        <f>IF($F1280="","",IF(Sync!$AE1280="","",IF(ISNUMBER(Sync!$AE1280),IF(AND(Sync!$AE1280&gt;=10000101,Sync!$AE1280&lt;=99991231),INT(Sync!$AE1280/10000),""),IFERROR(VALUE(TRIM(LEFT(Sync!$AE1280,FIND("/",Sync!$AE1280)-1))),""))))</f>
        <v/>
      </c>
      <c r="H1280" t="str">
        <f>IF(OR($F1280="",$G1280=""),"",IF(ISNUMBER(Sync!$AE1280),INT(MOD(Sync!$AE1280,10000)/100),IFERROR(VALUE(TRIM(LEFT(MID(Sync!$AE1280,FIND("/",Sync!$AE1280)+1,20),FIND("/",MID(Sync!$AE1280,FIND("/",Sync!$AE1280)+1,20))-1))),"")))</f>
        <v/>
      </c>
      <c r="I1280" t="str">
        <f>IF(OR($F1280="",$G1280=""),"",IF(ISNUMBER(Sync!$AE1280),MOD(Sync!$AE1280,100),IFERROR(VALUE(TRIM(MID(MID(Sync!$AE1280,FIND("/",Sync!$AE1280)+1,20),FIND("/",MID(Sync!$AE1280,FIND("/",Sync!$AE1280)+1,20))+1,20))),"")))</f>
        <v/>
      </c>
      <c r="J1280" t="str">
        <f t="shared" si="97"/>
        <v/>
      </c>
      <c r="K1280" t="str">
        <f>IF(OR($F1280="",$J1280="",$J1280="نامعتبر"),"",LEFT($J1280,4)&amp;MID($J1280,6,2)&amp;RIGHT($J1280,2)&amp;$N1280&amp;"|"&amp;"2"&amp;RIGHT("00000"&amp;1275,5))</f>
        <v/>
      </c>
      <c r="L1280" t="str">
        <f t="shared" si="98"/>
        <v/>
      </c>
      <c r="M1280" t="str">
        <f t="shared" si="99"/>
        <v/>
      </c>
      <c r="N1280" t="str">
        <f>IF($F1280="","",IF(Sync!$AF1280="","0000",IF(AND(ISNUMBER(Sync!$AF1280),Sync!$AF1280&gt;=0,Sync!$AF1280&lt;1),RIGHT("00"&amp;HOUR(Sync!$AF1280),2)&amp;RIGHT("00"&amp;MINUTE(Sync!$AF1280),2),IFERROR(RIGHT("00"&amp;VALUE(LEFT(Sync!$AF1280,FIND(":",Sync!$AF1280)-1)),2)&amp;RIGHT("00"&amp;VALUE(MID(Sync!$AF1280,FIND(":",Sync!$AF1280)+1,2)),2),"0000"))))</f>
        <v/>
      </c>
    </row>
    <row r="1281" spans="1:14" x14ac:dyDescent="0.2">
      <c r="A1281" t="str">
        <f>IF(OR(Calc!$E1285="",Calc!$E1285="نامعتبر",Calc!$G1285=""),"",Calc!$G1285)</f>
        <v/>
      </c>
      <c r="B1281" t="str">
        <f>IF($A1281="","",LEFT(Calc!$E1285,4)&amp;MID(Calc!$E1285,6,2)&amp;RIGHT(Calc!$E1285,2)&amp;Calc!$Q1285&amp;"|"&amp;"1"&amp;RIGHT("00000"&amp;1276,5))</f>
        <v/>
      </c>
      <c r="C1281" t="str">
        <f t="shared" si="95"/>
        <v/>
      </c>
      <c r="D1281" t="str">
        <f t="shared" si="96"/>
        <v/>
      </c>
      <c r="F1281" t="str">
        <f>IF(Sync!$AH1281="","",IF(LEFT(UPPER(TRIM(Sync!$AH1281)),2)="SL",UPPER(TRIM(Sync!$AH1281)),""))</f>
        <v/>
      </c>
      <c r="G1281" t="str">
        <f>IF($F1281="","",IF(Sync!$AE1281="","",IF(ISNUMBER(Sync!$AE1281),IF(AND(Sync!$AE1281&gt;=10000101,Sync!$AE1281&lt;=99991231),INT(Sync!$AE1281/10000),""),IFERROR(VALUE(TRIM(LEFT(Sync!$AE1281,FIND("/",Sync!$AE1281)-1))),""))))</f>
        <v/>
      </c>
      <c r="H1281" t="str">
        <f>IF(OR($F1281="",$G1281=""),"",IF(ISNUMBER(Sync!$AE1281),INT(MOD(Sync!$AE1281,10000)/100),IFERROR(VALUE(TRIM(LEFT(MID(Sync!$AE1281,FIND("/",Sync!$AE1281)+1,20),FIND("/",MID(Sync!$AE1281,FIND("/",Sync!$AE1281)+1,20))-1))),"")))</f>
        <v/>
      </c>
      <c r="I1281" t="str">
        <f>IF(OR($F1281="",$G1281=""),"",IF(ISNUMBER(Sync!$AE1281),MOD(Sync!$AE1281,100),IFERROR(VALUE(TRIM(MID(MID(Sync!$AE1281,FIND("/",Sync!$AE1281)+1,20),FIND("/",MID(Sync!$AE1281,FIND("/",Sync!$AE1281)+1,20))+1,20))),"")))</f>
        <v/>
      </c>
      <c r="J1281" t="str">
        <f t="shared" si="97"/>
        <v/>
      </c>
      <c r="K1281" t="str">
        <f>IF(OR($F1281="",$J1281="",$J1281="نامعتبر"),"",LEFT($J1281,4)&amp;MID($J1281,6,2)&amp;RIGHT($J1281,2)&amp;$N1281&amp;"|"&amp;"2"&amp;RIGHT("00000"&amp;1276,5))</f>
        <v/>
      </c>
      <c r="L1281" t="str">
        <f t="shared" si="98"/>
        <v/>
      </c>
      <c r="M1281" t="str">
        <f t="shared" si="99"/>
        <v/>
      </c>
      <c r="N1281" t="str">
        <f>IF($F1281="","",IF(Sync!$AF1281="","0000",IF(AND(ISNUMBER(Sync!$AF1281),Sync!$AF1281&gt;=0,Sync!$AF1281&lt;1),RIGHT("00"&amp;HOUR(Sync!$AF1281),2)&amp;RIGHT("00"&amp;MINUTE(Sync!$AF1281),2),IFERROR(RIGHT("00"&amp;VALUE(LEFT(Sync!$AF1281,FIND(":",Sync!$AF1281)-1)),2)&amp;RIGHT("00"&amp;VALUE(MID(Sync!$AF1281,FIND(":",Sync!$AF1281)+1,2)),2),"0000"))))</f>
        <v/>
      </c>
    </row>
    <row r="1282" spans="1:14" x14ac:dyDescent="0.2">
      <c r="A1282" t="str">
        <f>IF(OR(Calc!$E1286="",Calc!$E1286="نامعتبر",Calc!$G1286=""),"",Calc!$G1286)</f>
        <v/>
      </c>
      <c r="B1282" t="str">
        <f>IF($A1282="","",LEFT(Calc!$E1286,4)&amp;MID(Calc!$E1286,6,2)&amp;RIGHT(Calc!$E1286,2)&amp;Calc!$Q1286&amp;"|"&amp;"1"&amp;RIGHT("00000"&amp;1277,5))</f>
        <v/>
      </c>
      <c r="C1282" t="str">
        <f t="shared" si="95"/>
        <v/>
      </c>
      <c r="D1282" t="str">
        <f t="shared" si="96"/>
        <v/>
      </c>
      <c r="F1282" t="str">
        <f>IF(Sync!$AH1282="","",IF(LEFT(UPPER(TRIM(Sync!$AH1282)),2)="SL",UPPER(TRIM(Sync!$AH1282)),""))</f>
        <v/>
      </c>
      <c r="G1282" t="str">
        <f>IF($F1282="","",IF(Sync!$AE1282="","",IF(ISNUMBER(Sync!$AE1282),IF(AND(Sync!$AE1282&gt;=10000101,Sync!$AE1282&lt;=99991231),INT(Sync!$AE1282/10000),""),IFERROR(VALUE(TRIM(LEFT(Sync!$AE1282,FIND("/",Sync!$AE1282)-1))),""))))</f>
        <v/>
      </c>
      <c r="H1282" t="str">
        <f>IF(OR($F1282="",$G1282=""),"",IF(ISNUMBER(Sync!$AE1282),INT(MOD(Sync!$AE1282,10000)/100),IFERROR(VALUE(TRIM(LEFT(MID(Sync!$AE1282,FIND("/",Sync!$AE1282)+1,20),FIND("/",MID(Sync!$AE1282,FIND("/",Sync!$AE1282)+1,20))-1))),"")))</f>
        <v/>
      </c>
      <c r="I1282" t="str">
        <f>IF(OR($F1282="",$G1282=""),"",IF(ISNUMBER(Sync!$AE1282),MOD(Sync!$AE1282,100),IFERROR(VALUE(TRIM(MID(MID(Sync!$AE1282,FIND("/",Sync!$AE1282)+1,20),FIND("/",MID(Sync!$AE1282,FIND("/",Sync!$AE1282)+1,20))+1,20))),"")))</f>
        <v/>
      </c>
      <c r="J1282" t="str">
        <f t="shared" si="97"/>
        <v/>
      </c>
      <c r="K1282" t="str">
        <f>IF(OR($F1282="",$J1282="",$J1282="نامعتبر"),"",LEFT($J1282,4)&amp;MID($J1282,6,2)&amp;RIGHT($J1282,2)&amp;$N1282&amp;"|"&amp;"2"&amp;RIGHT("00000"&amp;1277,5))</f>
        <v/>
      </c>
      <c r="L1282" t="str">
        <f t="shared" si="98"/>
        <v/>
      </c>
      <c r="M1282" t="str">
        <f t="shared" si="99"/>
        <v/>
      </c>
      <c r="N1282" t="str">
        <f>IF($F1282="","",IF(Sync!$AF1282="","0000",IF(AND(ISNUMBER(Sync!$AF1282),Sync!$AF1282&gt;=0,Sync!$AF1282&lt;1),RIGHT("00"&amp;HOUR(Sync!$AF1282),2)&amp;RIGHT("00"&amp;MINUTE(Sync!$AF1282),2),IFERROR(RIGHT("00"&amp;VALUE(LEFT(Sync!$AF1282,FIND(":",Sync!$AF1282)-1)),2)&amp;RIGHT("00"&amp;VALUE(MID(Sync!$AF1282,FIND(":",Sync!$AF1282)+1,2)),2),"0000"))))</f>
        <v/>
      </c>
    </row>
    <row r="1283" spans="1:14" x14ac:dyDescent="0.2">
      <c r="A1283" t="str">
        <f>IF(OR(Calc!$E1287="",Calc!$E1287="نامعتبر",Calc!$G1287=""),"",Calc!$G1287)</f>
        <v/>
      </c>
      <c r="B1283" t="str">
        <f>IF($A1283="","",LEFT(Calc!$E1287,4)&amp;MID(Calc!$E1287,6,2)&amp;RIGHT(Calc!$E1287,2)&amp;Calc!$Q1287&amp;"|"&amp;"1"&amp;RIGHT("00000"&amp;1278,5))</f>
        <v/>
      </c>
      <c r="C1283" t="str">
        <f t="shared" si="95"/>
        <v/>
      </c>
      <c r="D1283" t="str">
        <f t="shared" si="96"/>
        <v/>
      </c>
      <c r="F1283" t="str">
        <f>IF(Sync!$AH1283="","",IF(LEFT(UPPER(TRIM(Sync!$AH1283)),2)="SL",UPPER(TRIM(Sync!$AH1283)),""))</f>
        <v/>
      </c>
      <c r="G1283" t="str">
        <f>IF($F1283="","",IF(Sync!$AE1283="","",IF(ISNUMBER(Sync!$AE1283),IF(AND(Sync!$AE1283&gt;=10000101,Sync!$AE1283&lt;=99991231),INT(Sync!$AE1283/10000),""),IFERROR(VALUE(TRIM(LEFT(Sync!$AE1283,FIND("/",Sync!$AE1283)-1))),""))))</f>
        <v/>
      </c>
      <c r="H1283" t="str">
        <f>IF(OR($F1283="",$G1283=""),"",IF(ISNUMBER(Sync!$AE1283),INT(MOD(Sync!$AE1283,10000)/100),IFERROR(VALUE(TRIM(LEFT(MID(Sync!$AE1283,FIND("/",Sync!$AE1283)+1,20),FIND("/",MID(Sync!$AE1283,FIND("/",Sync!$AE1283)+1,20))-1))),"")))</f>
        <v/>
      </c>
      <c r="I1283" t="str">
        <f>IF(OR($F1283="",$G1283=""),"",IF(ISNUMBER(Sync!$AE1283),MOD(Sync!$AE1283,100),IFERROR(VALUE(TRIM(MID(MID(Sync!$AE1283,FIND("/",Sync!$AE1283)+1,20),FIND("/",MID(Sync!$AE1283,FIND("/",Sync!$AE1283)+1,20))+1,20))),"")))</f>
        <v/>
      </c>
      <c r="J1283" t="str">
        <f t="shared" si="97"/>
        <v/>
      </c>
      <c r="K1283" t="str">
        <f>IF(OR($F1283="",$J1283="",$J1283="نامعتبر"),"",LEFT($J1283,4)&amp;MID($J1283,6,2)&amp;RIGHT($J1283,2)&amp;$N1283&amp;"|"&amp;"2"&amp;RIGHT("00000"&amp;1278,5))</f>
        <v/>
      </c>
      <c r="L1283" t="str">
        <f t="shared" si="98"/>
        <v/>
      </c>
      <c r="M1283" t="str">
        <f t="shared" si="99"/>
        <v/>
      </c>
      <c r="N1283" t="str">
        <f>IF($F1283="","",IF(Sync!$AF1283="","0000",IF(AND(ISNUMBER(Sync!$AF1283),Sync!$AF1283&gt;=0,Sync!$AF1283&lt;1),RIGHT("00"&amp;HOUR(Sync!$AF1283),2)&amp;RIGHT("00"&amp;MINUTE(Sync!$AF1283),2),IFERROR(RIGHT("00"&amp;VALUE(LEFT(Sync!$AF1283,FIND(":",Sync!$AF1283)-1)),2)&amp;RIGHT("00"&amp;VALUE(MID(Sync!$AF1283,FIND(":",Sync!$AF1283)+1,2)),2),"0000"))))</f>
        <v/>
      </c>
    </row>
    <row r="1284" spans="1:14" x14ac:dyDescent="0.2">
      <c r="A1284" t="str">
        <f>IF(OR(Calc!$E1288="",Calc!$E1288="نامعتبر",Calc!$G1288=""),"",Calc!$G1288)</f>
        <v/>
      </c>
      <c r="B1284" t="str">
        <f>IF($A1284="","",LEFT(Calc!$E1288,4)&amp;MID(Calc!$E1288,6,2)&amp;RIGHT(Calc!$E1288,2)&amp;Calc!$Q1288&amp;"|"&amp;"1"&amp;RIGHT("00000"&amp;1279,5))</f>
        <v/>
      </c>
      <c r="C1284" t="str">
        <f t="shared" si="95"/>
        <v/>
      </c>
      <c r="D1284" t="str">
        <f t="shared" si="96"/>
        <v/>
      </c>
      <c r="F1284" t="str">
        <f>IF(Sync!$AH1284="","",IF(LEFT(UPPER(TRIM(Sync!$AH1284)),2)="SL",UPPER(TRIM(Sync!$AH1284)),""))</f>
        <v/>
      </c>
      <c r="G1284" t="str">
        <f>IF($F1284="","",IF(Sync!$AE1284="","",IF(ISNUMBER(Sync!$AE1284),IF(AND(Sync!$AE1284&gt;=10000101,Sync!$AE1284&lt;=99991231),INT(Sync!$AE1284/10000),""),IFERROR(VALUE(TRIM(LEFT(Sync!$AE1284,FIND("/",Sync!$AE1284)-1))),""))))</f>
        <v/>
      </c>
      <c r="H1284" t="str">
        <f>IF(OR($F1284="",$G1284=""),"",IF(ISNUMBER(Sync!$AE1284),INT(MOD(Sync!$AE1284,10000)/100),IFERROR(VALUE(TRIM(LEFT(MID(Sync!$AE1284,FIND("/",Sync!$AE1284)+1,20),FIND("/",MID(Sync!$AE1284,FIND("/",Sync!$AE1284)+1,20))-1))),"")))</f>
        <v/>
      </c>
      <c r="I1284" t="str">
        <f>IF(OR($F1284="",$G1284=""),"",IF(ISNUMBER(Sync!$AE1284),MOD(Sync!$AE1284,100),IFERROR(VALUE(TRIM(MID(MID(Sync!$AE1284,FIND("/",Sync!$AE1284)+1,20),FIND("/",MID(Sync!$AE1284,FIND("/",Sync!$AE1284)+1,20))+1,20))),"")))</f>
        <v/>
      </c>
      <c r="J1284" t="str">
        <f t="shared" si="97"/>
        <v/>
      </c>
      <c r="K1284" t="str">
        <f>IF(OR($F1284="",$J1284="",$J1284="نامعتبر"),"",LEFT($J1284,4)&amp;MID($J1284,6,2)&amp;RIGHT($J1284,2)&amp;$N1284&amp;"|"&amp;"2"&amp;RIGHT("00000"&amp;1279,5))</f>
        <v/>
      </c>
      <c r="L1284" t="str">
        <f t="shared" si="98"/>
        <v/>
      </c>
      <c r="M1284" t="str">
        <f t="shared" si="99"/>
        <v/>
      </c>
      <c r="N1284" t="str">
        <f>IF($F1284="","",IF(Sync!$AF1284="","0000",IF(AND(ISNUMBER(Sync!$AF1284),Sync!$AF1284&gt;=0,Sync!$AF1284&lt;1),RIGHT("00"&amp;HOUR(Sync!$AF1284),2)&amp;RIGHT("00"&amp;MINUTE(Sync!$AF1284),2),IFERROR(RIGHT("00"&amp;VALUE(LEFT(Sync!$AF1284,FIND(":",Sync!$AF1284)-1)),2)&amp;RIGHT("00"&amp;VALUE(MID(Sync!$AF1284,FIND(":",Sync!$AF1284)+1,2)),2),"0000"))))</f>
        <v/>
      </c>
    </row>
    <row r="1285" spans="1:14" x14ac:dyDescent="0.2">
      <c r="A1285" t="str">
        <f>IF(OR(Calc!$E1289="",Calc!$E1289="نامعتبر",Calc!$G1289=""),"",Calc!$G1289)</f>
        <v/>
      </c>
      <c r="B1285" t="str">
        <f>IF($A1285="","",LEFT(Calc!$E1289,4)&amp;MID(Calc!$E1289,6,2)&amp;RIGHT(Calc!$E1289,2)&amp;Calc!$Q1289&amp;"|"&amp;"1"&amp;RIGHT("00000"&amp;1280,5))</f>
        <v/>
      </c>
      <c r="C1285" t="str">
        <f t="shared" si="95"/>
        <v/>
      </c>
      <c r="D1285" t="str">
        <f t="shared" si="96"/>
        <v/>
      </c>
      <c r="F1285" t="str">
        <f>IF(Sync!$AH1285="","",IF(LEFT(UPPER(TRIM(Sync!$AH1285)),2)="SL",UPPER(TRIM(Sync!$AH1285)),""))</f>
        <v/>
      </c>
      <c r="G1285" t="str">
        <f>IF($F1285="","",IF(Sync!$AE1285="","",IF(ISNUMBER(Sync!$AE1285),IF(AND(Sync!$AE1285&gt;=10000101,Sync!$AE1285&lt;=99991231),INT(Sync!$AE1285/10000),""),IFERROR(VALUE(TRIM(LEFT(Sync!$AE1285,FIND("/",Sync!$AE1285)-1))),""))))</f>
        <v/>
      </c>
      <c r="H1285" t="str">
        <f>IF(OR($F1285="",$G1285=""),"",IF(ISNUMBER(Sync!$AE1285),INT(MOD(Sync!$AE1285,10000)/100),IFERROR(VALUE(TRIM(LEFT(MID(Sync!$AE1285,FIND("/",Sync!$AE1285)+1,20),FIND("/",MID(Sync!$AE1285,FIND("/",Sync!$AE1285)+1,20))-1))),"")))</f>
        <v/>
      </c>
      <c r="I1285" t="str">
        <f>IF(OR($F1285="",$G1285=""),"",IF(ISNUMBER(Sync!$AE1285),MOD(Sync!$AE1285,100),IFERROR(VALUE(TRIM(MID(MID(Sync!$AE1285,FIND("/",Sync!$AE1285)+1,20),FIND("/",MID(Sync!$AE1285,FIND("/",Sync!$AE1285)+1,20))+1,20))),"")))</f>
        <v/>
      </c>
      <c r="J1285" t="str">
        <f t="shared" si="97"/>
        <v/>
      </c>
      <c r="K1285" t="str">
        <f>IF(OR($F1285="",$J1285="",$J1285="نامعتبر"),"",LEFT($J1285,4)&amp;MID($J1285,6,2)&amp;RIGHT($J1285,2)&amp;$N1285&amp;"|"&amp;"2"&amp;RIGHT("00000"&amp;1280,5))</f>
        <v/>
      </c>
      <c r="L1285" t="str">
        <f t="shared" si="98"/>
        <v/>
      </c>
      <c r="M1285" t="str">
        <f t="shared" si="99"/>
        <v/>
      </c>
      <c r="N1285" t="str">
        <f>IF($F1285="","",IF(Sync!$AF1285="","0000",IF(AND(ISNUMBER(Sync!$AF1285),Sync!$AF1285&gt;=0,Sync!$AF1285&lt;1),RIGHT("00"&amp;HOUR(Sync!$AF1285),2)&amp;RIGHT("00"&amp;MINUTE(Sync!$AF1285),2),IFERROR(RIGHT("00"&amp;VALUE(LEFT(Sync!$AF1285,FIND(":",Sync!$AF1285)-1)),2)&amp;RIGHT("00"&amp;VALUE(MID(Sync!$AF1285,FIND(":",Sync!$AF1285)+1,2)),2),"0000"))))</f>
        <v/>
      </c>
    </row>
    <row r="1286" spans="1:14" x14ac:dyDescent="0.2">
      <c r="A1286" t="str">
        <f>IF(OR(Calc!$E1290="",Calc!$E1290="نامعتبر",Calc!$G1290=""),"",Calc!$G1290)</f>
        <v/>
      </c>
      <c r="B1286" t="str">
        <f>IF($A1286="","",LEFT(Calc!$E1290,4)&amp;MID(Calc!$E1290,6,2)&amp;RIGHT(Calc!$E1290,2)&amp;Calc!$Q1290&amp;"|"&amp;"1"&amp;RIGHT("00000"&amp;1281,5))</f>
        <v/>
      </c>
      <c r="C1286" t="str">
        <f t="shared" ref="C1286:C1349" si="100">IF($B1286="","",COUNTIFS(LdgSellerA,$A1286,LdgKeyA,"&lt;"&amp;$B1286)+COUNTIFS(LdgSellerB,$A1286,LdgKeyB,"&lt;"&amp;$B1286)+1)</f>
        <v/>
      </c>
      <c r="D1286" t="str">
        <f t="shared" ref="D1286:D1349" si="101">IF($C1286="","",$A1286&amp;"|"&amp;RIGHT("000000"&amp;$C1286,6))</f>
        <v/>
      </c>
      <c r="F1286" t="str">
        <f>IF(Sync!$AH1286="","",IF(LEFT(UPPER(TRIM(Sync!$AH1286)),2)="SL",UPPER(TRIM(Sync!$AH1286)),""))</f>
        <v/>
      </c>
      <c r="G1286" t="str">
        <f>IF($F1286="","",IF(Sync!$AE1286="","",IF(ISNUMBER(Sync!$AE1286),IF(AND(Sync!$AE1286&gt;=10000101,Sync!$AE1286&lt;=99991231),INT(Sync!$AE1286/10000),""),IFERROR(VALUE(TRIM(LEFT(Sync!$AE1286,FIND("/",Sync!$AE1286)-1))),""))))</f>
        <v/>
      </c>
      <c r="H1286" t="str">
        <f>IF(OR($F1286="",$G1286=""),"",IF(ISNUMBER(Sync!$AE1286),INT(MOD(Sync!$AE1286,10000)/100),IFERROR(VALUE(TRIM(LEFT(MID(Sync!$AE1286,FIND("/",Sync!$AE1286)+1,20),FIND("/",MID(Sync!$AE1286,FIND("/",Sync!$AE1286)+1,20))-1))),"")))</f>
        <v/>
      </c>
      <c r="I1286" t="str">
        <f>IF(OR($F1286="",$G1286=""),"",IF(ISNUMBER(Sync!$AE1286),MOD(Sync!$AE1286,100),IFERROR(VALUE(TRIM(MID(MID(Sync!$AE1286,FIND("/",Sync!$AE1286)+1,20),FIND("/",MID(Sync!$AE1286,FIND("/",Sync!$AE1286)+1,20))+1,20))),"")))</f>
        <v/>
      </c>
      <c r="J1286" t="str">
        <f t="shared" ref="J1286:J1349" si="102">IF($F1286="","",IF(OR($G1286="",$H1286="",$I1286="",$G1286&lt;1300,$G1286&gt;1500,$H1286&lt;1,$H1286&gt;12,$I1286&lt;1,$I1286&gt;31),"نامعتبر",RIGHT("0000"&amp;$G1286,4)&amp;"/"&amp;RIGHT("00"&amp;$H1286,2)&amp;"/"&amp;RIGHT("00"&amp;$I1286,2)))</f>
        <v/>
      </c>
      <c r="K1286" t="str">
        <f>IF(OR($F1286="",$J1286="",$J1286="نامعتبر"),"",LEFT($J1286,4)&amp;MID($J1286,6,2)&amp;RIGHT($J1286,2)&amp;$N1286&amp;"|"&amp;"2"&amp;RIGHT("00000"&amp;1281,5))</f>
        <v/>
      </c>
      <c r="L1286" t="str">
        <f t="shared" ref="L1286:L1349" si="103">IF($K1286="","",COUNTIFS(LdgSellerA,$F1286,LdgKeyA,"&lt;"&amp;$K1286)+COUNTIFS(LdgSellerB,$F1286,LdgKeyB,"&lt;"&amp;$K1286)+1)</f>
        <v/>
      </c>
      <c r="M1286" t="str">
        <f t="shared" ref="M1286:M1349" si="104">IF($L1286="","",$F1286&amp;"|"&amp;RIGHT("000000"&amp;$L1286,6))</f>
        <v/>
      </c>
      <c r="N1286" t="str">
        <f>IF($F1286="","",IF(Sync!$AF1286="","0000",IF(AND(ISNUMBER(Sync!$AF1286),Sync!$AF1286&gt;=0,Sync!$AF1286&lt;1),RIGHT("00"&amp;HOUR(Sync!$AF1286),2)&amp;RIGHT("00"&amp;MINUTE(Sync!$AF1286),2),IFERROR(RIGHT("00"&amp;VALUE(LEFT(Sync!$AF1286,FIND(":",Sync!$AF1286)-1)),2)&amp;RIGHT("00"&amp;VALUE(MID(Sync!$AF1286,FIND(":",Sync!$AF1286)+1,2)),2),"0000"))))</f>
        <v/>
      </c>
    </row>
    <row r="1287" spans="1:14" x14ac:dyDescent="0.2">
      <c r="A1287" t="str">
        <f>IF(OR(Calc!$E1291="",Calc!$E1291="نامعتبر",Calc!$G1291=""),"",Calc!$G1291)</f>
        <v/>
      </c>
      <c r="B1287" t="str">
        <f>IF($A1287="","",LEFT(Calc!$E1291,4)&amp;MID(Calc!$E1291,6,2)&amp;RIGHT(Calc!$E1291,2)&amp;Calc!$Q1291&amp;"|"&amp;"1"&amp;RIGHT("00000"&amp;1282,5))</f>
        <v/>
      </c>
      <c r="C1287" t="str">
        <f t="shared" si="100"/>
        <v/>
      </c>
      <c r="D1287" t="str">
        <f t="shared" si="101"/>
        <v/>
      </c>
      <c r="F1287" t="str">
        <f>IF(Sync!$AH1287="","",IF(LEFT(UPPER(TRIM(Sync!$AH1287)),2)="SL",UPPER(TRIM(Sync!$AH1287)),""))</f>
        <v/>
      </c>
      <c r="G1287" t="str">
        <f>IF($F1287="","",IF(Sync!$AE1287="","",IF(ISNUMBER(Sync!$AE1287),IF(AND(Sync!$AE1287&gt;=10000101,Sync!$AE1287&lt;=99991231),INT(Sync!$AE1287/10000),""),IFERROR(VALUE(TRIM(LEFT(Sync!$AE1287,FIND("/",Sync!$AE1287)-1))),""))))</f>
        <v/>
      </c>
      <c r="H1287" t="str">
        <f>IF(OR($F1287="",$G1287=""),"",IF(ISNUMBER(Sync!$AE1287),INT(MOD(Sync!$AE1287,10000)/100),IFERROR(VALUE(TRIM(LEFT(MID(Sync!$AE1287,FIND("/",Sync!$AE1287)+1,20),FIND("/",MID(Sync!$AE1287,FIND("/",Sync!$AE1287)+1,20))-1))),"")))</f>
        <v/>
      </c>
      <c r="I1287" t="str">
        <f>IF(OR($F1287="",$G1287=""),"",IF(ISNUMBER(Sync!$AE1287),MOD(Sync!$AE1287,100),IFERROR(VALUE(TRIM(MID(MID(Sync!$AE1287,FIND("/",Sync!$AE1287)+1,20),FIND("/",MID(Sync!$AE1287,FIND("/",Sync!$AE1287)+1,20))+1,20))),"")))</f>
        <v/>
      </c>
      <c r="J1287" t="str">
        <f t="shared" si="102"/>
        <v/>
      </c>
      <c r="K1287" t="str">
        <f>IF(OR($F1287="",$J1287="",$J1287="نامعتبر"),"",LEFT($J1287,4)&amp;MID($J1287,6,2)&amp;RIGHT($J1287,2)&amp;$N1287&amp;"|"&amp;"2"&amp;RIGHT("00000"&amp;1282,5))</f>
        <v/>
      </c>
      <c r="L1287" t="str">
        <f t="shared" si="103"/>
        <v/>
      </c>
      <c r="M1287" t="str">
        <f t="shared" si="104"/>
        <v/>
      </c>
      <c r="N1287" t="str">
        <f>IF($F1287="","",IF(Sync!$AF1287="","0000",IF(AND(ISNUMBER(Sync!$AF1287),Sync!$AF1287&gt;=0,Sync!$AF1287&lt;1),RIGHT("00"&amp;HOUR(Sync!$AF1287),2)&amp;RIGHT("00"&amp;MINUTE(Sync!$AF1287),2),IFERROR(RIGHT("00"&amp;VALUE(LEFT(Sync!$AF1287,FIND(":",Sync!$AF1287)-1)),2)&amp;RIGHT("00"&amp;VALUE(MID(Sync!$AF1287,FIND(":",Sync!$AF1287)+1,2)),2),"0000"))))</f>
        <v/>
      </c>
    </row>
    <row r="1288" spans="1:14" x14ac:dyDescent="0.2">
      <c r="A1288" t="str">
        <f>IF(OR(Calc!$E1292="",Calc!$E1292="نامعتبر",Calc!$G1292=""),"",Calc!$G1292)</f>
        <v/>
      </c>
      <c r="B1288" t="str">
        <f>IF($A1288="","",LEFT(Calc!$E1292,4)&amp;MID(Calc!$E1292,6,2)&amp;RIGHT(Calc!$E1292,2)&amp;Calc!$Q1292&amp;"|"&amp;"1"&amp;RIGHT("00000"&amp;1283,5))</f>
        <v/>
      </c>
      <c r="C1288" t="str">
        <f t="shared" si="100"/>
        <v/>
      </c>
      <c r="D1288" t="str">
        <f t="shared" si="101"/>
        <v/>
      </c>
      <c r="F1288" t="str">
        <f>IF(Sync!$AH1288="","",IF(LEFT(UPPER(TRIM(Sync!$AH1288)),2)="SL",UPPER(TRIM(Sync!$AH1288)),""))</f>
        <v/>
      </c>
      <c r="G1288" t="str">
        <f>IF($F1288="","",IF(Sync!$AE1288="","",IF(ISNUMBER(Sync!$AE1288),IF(AND(Sync!$AE1288&gt;=10000101,Sync!$AE1288&lt;=99991231),INT(Sync!$AE1288/10000),""),IFERROR(VALUE(TRIM(LEFT(Sync!$AE1288,FIND("/",Sync!$AE1288)-1))),""))))</f>
        <v/>
      </c>
      <c r="H1288" t="str">
        <f>IF(OR($F1288="",$G1288=""),"",IF(ISNUMBER(Sync!$AE1288),INT(MOD(Sync!$AE1288,10000)/100),IFERROR(VALUE(TRIM(LEFT(MID(Sync!$AE1288,FIND("/",Sync!$AE1288)+1,20),FIND("/",MID(Sync!$AE1288,FIND("/",Sync!$AE1288)+1,20))-1))),"")))</f>
        <v/>
      </c>
      <c r="I1288" t="str">
        <f>IF(OR($F1288="",$G1288=""),"",IF(ISNUMBER(Sync!$AE1288),MOD(Sync!$AE1288,100),IFERROR(VALUE(TRIM(MID(MID(Sync!$AE1288,FIND("/",Sync!$AE1288)+1,20),FIND("/",MID(Sync!$AE1288,FIND("/",Sync!$AE1288)+1,20))+1,20))),"")))</f>
        <v/>
      </c>
      <c r="J1288" t="str">
        <f t="shared" si="102"/>
        <v/>
      </c>
      <c r="K1288" t="str">
        <f>IF(OR($F1288="",$J1288="",$J1288="نامعتبر"),"",LEFT($J1288,4)&amp;MID($J1288,6,2)&amp;RIGHT($J1288,2)&amp;$N1288&amp;"|"&amp;"2"&amp;RIGHT("00000"&amp;1283,5))</f>
        <v/>
      </c>
      <c r="L1288" t="str">
        <f t="shared" si="103"/>
        <v/>
      </c>
      <c r="M1288" t="str">
        <f t="shared" si="104"/>
        <v/>
      </c>
      <c r="N1288" t="str">
        <f>IF($F1288="","",IF(Sync!$AF1288="","0000",IF(AND(ISNUMBER(Sync!$AF1288),Sync!$AF1288&gt;=0,Sync!$AF1288&lt;1),RIGHT("00"&amp;HOUR(Sync!$AF1288),2)&amp;RIGHT("00"&amp;MINUTE(Sync!$AF1288),2),IFERROR(RIGHT("00"&amp;VALUE(LEFT(Sync!$AF1288,FIND(":",Sync!$AF1288)-1)),2)&amp;RIGHT("00"&amp;VALUE(MID(Sync!$AF1288,FIND(":",Sync!$AF1288)+1,2)),2),"0000"))))</f>
        <v/>
      </c>
    </row>
    <row r="1289" spans="1:14" x14ac:dyDescent="0.2">
      <c r="A1289" t="str">
        <f>IF(OR(Calc!$E1293="",Calc!$E1293="نامعتبر",Calc!$G1293=""),"",Calc!$G1293)</f>
        <v/>
      </c>
      <c r="B1289" t="str">
        <f>IF($A1289="","",LEFT(Calc!$E1293,4)&amp;MID(Calc!$E1293,6,2)&amp;RIGHT(Calc!$E1293,2)&amp;Calc!$Q1293&amp;"|"&amp;"1"&amp;RIGHT("00000"&amp;1284,5))</f>
        <v/>
      </c>
      <c r="C1289" t="str">
        <f t="shared" si="100"/>
        <v/>
      </c>
      <c r="D1289" t="str">
        <f t="shared" si="101"/>
        <v/>
      </c>
      <c r="F1289" t="str">
        <f>IF(Sync!$AH1289="","",IF(LEFT(UPPER(TRIM(Sync!$AH1289)),2)="SL",UPPER(TRIM(Sync!$AH1289)),""))</f>
        <v/>
      </c>
      <c r="G1289" t="str">
        <f>IF($F1289="","",IF(Sync!$AE1289="","",IF(ISNUMBER(Sync!$AE1289),IF(AND(Sync!$AE1289&gt;=10000101,Sync!$AE1289&lt;=99991231),INT(Sync!$AE1289/10000),""),IFERROR(VALUE(TRIM(LEFT(Sync!$AE1289,FIND("/",Sync!$AE1289)-1))),""))))</f>
        <v/>
      </c>
      <c r="H1289" t="str">
        <f>IF(OR($F1289="",$G1289=""),"",IF(ISNUMBER(Sync!$AE1289),INT(MOD(Sync!$AE1289,10000)/100),IFERROR(VALUE(TRIM(LEFT(MID(Sync!$AE1289,FIND("/",Sync!$AE1289)+1,20),FIND("/",MID(Sync!$AE1289,FIND("/",Sync!$AE1289)+1,20))-1))),"")))</f>
        <v/>
      </c>
      <c r="I1289" t="str">
        <f>IF(OR($F1289="",$G1289=""),"",IF(ISNUMBER(Sync!$AE1289),MOD(Sync!$AE1289,100),IFERROR(VALUE(TRIM(MID(MID(Sync!$AE1289,FIND("/",Sync!$AE1289)+1,20),FIND("/",MID(Sync!$AE1289,FIND("/",Sync!$AE1289)+1,20))+1,20))),"")))</f>
        <v/>
      </c>
      <c r="J1289" t="str">
        <f t="shared" si="102"/>
        <v/>
      </c>
      <c r="K1289" t="str">
        <f>IF(OR($F1289="",$J1289="",$J1289="نامعتبر"),"",LEFT($J1289,4)&amp;MID($J1289,6,2)&amp;RIGHT($J1289,2)&amp;$N1289&amp;"|"&amp;"2"&amp;RIGHT("00000"&amp;1284,5))</f>
        <v/>
      </c>
      <c r="L1289" t="str">
        <f t="shared" si="103"/>
        <v/>
      </c>
      <c r="M1289" t="str">
        <f t="shared" si="104"/>
        <v/>
      </c>
      <c r="N1289" t="str">
        <f>IF($F1289="","",IF(Sync!$AF1289="","0000",IF(AND(ISNUMBER(Sync!$AF1289),Sync!$AF1289&gt;=0,Sync!$AF1289&lt;1),RIGHT("00"&amp;HOUR(Sync!$AF1289),2)&amp;RIGHT("00"&amp;MINUTE(Sync!$AF1289),2),IFERROR(RIGHT("00"&amp;VALUE(LEFT(Sync!$AF1289,FIND(":",Sync!$AF1289)-1)),2)&amp;RIGHT("00"&amp;VALUE(MID(Sync!$AF1289,FIND(":",Sync!$AF1289)+1,2)),2),"0000"))))</f>
        <v/>
      </c>
    </row>
    <row r="1290" spans="1:14" x14ac:dyDescent="0.2">
      <c r="A1290" t="str">
        <f>IF(OR(Calc!$E1294="",Calc!$E1294="نامعتبر",Calc!$G1294=""),"",Calc!$G1294)</f>
        <v/>
      </c>
      <c r="B1290" t="str">
        <f>IF($A1290="","",LEFT(Calc!$E1294,4)&amp;MID(Calc!$E1294,6,2)&amp;RIGHT(Calc!$E1294,2)&amp;Calc!$Q1294&amp;"|"&amp;"1"&amp;RIGHT("00000"&amp;1285,5))</f>
        <v/>
      </c>
      <c r="C1290" t="str">
        <f t="shared" si="100"/>
        <v/>
      </c>
      <c r="D1290" t="str">
        <f t="shared" si="101"/>
        <v/>
      </c>
      <c r="F1290" t="str">
        <f>IF(Sync!$AH1290="","",IF(LEFT(UPPER(TRIM(Sync!$AH1290)),2)="SL",UPPER(TRIM(Sync!$AH1290)),""))</f>
        <v/>
      </c>
      <c r="G1290" t="str">
        <f>IF($F1290="","",IF(Sync!$AE1290="","",IF(ISNUMBER(Sync!$AE1290),IF(AND(Sync!$AE1290&gt;=10000101,Sync!$AE1290&lt;=99991231),INT(Sync!$AE1290/10000),""),IFERROR(VALUE(TRIM(LEFT(Sync!$AE1290,FIND("/",Sync!$AE1290)-1))),""))))</f>
        <v/>
      </c>
      <c r="H1290" t="str">
        <f>IF(OR($F1290="",$G1290=""),"",IF(ISNUMBER(Sync!$AE1290),INT(MOD(Sync!$AE1290,10000)/100),IFERROR(VALUE(TRIM(LEFT(MID(Sync!$AE1290,FIND("/",Sync!$AE1290)+1,20),FIND("/",MID(Sync!$AE1290,FIND("/",Sync!$AE1290)+1,20))-1))),"")))</f>
        <v/>
      </c>
      <c r="I1290" t="str">
        <f>IF(OR($F1290="",$G1290=""),"",IF(ISNUMBER(Sync!$AE1290),MOD(Sync!$AE1290,100),IFERROR(VALUE(TRIM(MID(MID(Sync!$AE1290,FIND("/",Sync!$AE1290)+1,20),FIND("/",MID(Sync!$AE1290,FIND("/",Sync!$AE1290)+1,20))+1,20))),"")))</f>
        <v/>
      </c>
      <c r="J1290" t="str">
        <f t="shared" si="102"/>
        <v/>
      </c>
      <c r="K1290" t="str">
        <f>IF(OR($F1290="",$J1290="",$J1290="نامعتبر"),"",LEFT($J1290,4)&amp;MID($J1290,6,2)&amp;RIGHT($J1290,2)&amp;$N1290&amp;"|"&amp;"2"&amp;RIGHT("00000"&amp;1285,5))</f>
        <v/>
      </c>
      <c r="L1290" t="str">
        <f t="shared" si="103"/>
        <v/>
      </c>
      <c r="M1290" t="str">
        <f t="shared" si="104"/>
        <v/>
      </c>
      <c r="N1290" t="str">
        <f>IF($F1290="","",IF(Sync!$AF1290="","0000",IF(AND(ISNUMBER(Sync!$AF1290),Sync!$AF1290&gt;=0,Sync!$AF1290&lt;1),RIGHT("00"&amp;HOUR(Sync!$AF1290),2)&amp;RIGHT("00"&amp;MINUTE(Sync!$AF1290),2),IFERROR(RIGHT("00"&amp;VALUE(LEFT(Sync!$AF1290,FIND(":",Sync!$AF1290)-1)),2)&amp;RIGHT("00"&amp;VALUE(MID(Sync!$AF1290,FIND(":",Sync!$AF1290)+1,2)),2),"0000"))))</f>
        <v/>
      </c>
    </row>
    <row r="1291" spans="1:14" x14ac:dyDescent="0.2">
      <c r="A1291" t="str">
        <f>IF(OR(Calc!$E1295="",Calc!$E1295="نامعتبر",Calc!$G1295=""),"",Calc!$G1295)</f>
        <v/>
      </c>
      <c r="B1291" t="str">
        <f>IF($A1291="","",LEFT(Calc!$E1295,4)&amp;MID(Calc!$E1295,6,2)&amp;RIGHT(Calc!$E1295,2)&amp;Calc!$Q1295&amp;"|"&amp;"1"&amp;RIGHT("00000"&amp;1286,5))</f>
        <v/>
      </c>
      <c r="C1291" t="str">
        <f t="shared" si="100"/>
        <v/>
      </c>
      <c r="D1291" t="str">
        <f t="shared" si="101"/>
        <v/>
      </c>
      <c r="F1291" t="str">
        <f>IF(Sync!$AH1291="","",IF(LEFT(UPPER(TRIM(Sync!$AH1291)),2)="SL",UPPER(TRIM(Sync!$AH1291)),""))</f>
        <v/>
      </c>
      <c r="G1291" t="str">
        <f>IF($F1291="","",IF(Sync!$AE1291="","",IF(ISNUMBER(Sync!$AE1291),IF(AND(Sync!$AE1291&gt;=10000101,Sync!$AE1291&lt;=99991231),INT(Sync!$AE1291/10000),""),IFERROR(VALUE(TRIM(LEFT(Sync!$AE1291,FIND("/",Sync!$AE1291)-1))),""))))</f>
        <v/>
      </c>
      <c r="H1291" t="str">
        <f>IF(OR($F1291="",$G1291=""),"",IF(ISNUMBER(Sync!$AE1291),INT(MOD(Sync!$AE1291,10000)/100),IFERROR(VALUE(TRIM(LEFT(MID(Sync!$AE1291,FIND("/",Sync!$AE1291)+1,20),FIND("/",MID(Sync!$AE1291,FIND("/",Sync!$AE1291)+1,20))-1))),"")))</f>
        <v/>
      </c>
      <c r="I1291" t="str">
        <f>IF(OR($F1291="",$G1291=""),"",IF(ISNUMBER(Sync!$AE1291),MOD(Sync!$AE1291,100),IFERROR(VALUE(TRIM(MID(MID(Sync!$AE1291,FIND("/",Sync!$AE1291)+1,20),FIND("/",MID(Sync!$AE1291,FIND("/",Sync!$AE1291)+1,20))+1,20))),"")))</f>
        <v/>
      </c>
      <c r="J1291" t="str">
        <f t="shared" si="102"/>
        <v/>
      </c>
      <c r="K1291" t="str">
        <f>IF(OR($F1291="",$J1291="",$J1291="نامعتبر"),"",LEFT($J1291,4)&amp;MID($J1291,6,2)&amp;RIGHT($J1291,2)&amp;$N1291&amp;"|"&amp;"2"&amp;RIGHT("00000"&amp;1286,5))</f>
        <v/>
      </c>
      <c r="L1291" t="str">
        <f t="shared" si="103"/>
        <v/>
      </c>
      <c r="M1291" t="str">
        <f t="shared" si="104"/>
        <v/>
      </c>
      <c r="N1291" t="str">
        <f>IF($F1291="","",IF(Sync!$AF1291="","0000",IF(AND(ISNUMBER(Sync!$AF1291),Sync!$AF1291&gt;=0,Sync!$AF1291&lt;1),RIGHT("00"&amp;HOUR(Sync!$AF1291),2)&amp;RIGHT("00"&amp;MINUTE(Sync!$AF1291),2),IFERROR(RIGHT("00"&amp;VALUE(LEFT(Sync!$AF1291,FIND(":",Sync!$AF1291)-1)),2)&amp;RIGHT("00"&amp;VALUE(MID(Sync!$AF1291,FIND(":",Sync!$AF1291)+1,2)),2),"0000"))))</f>
        <v/>
      </c>
    </row>
    <row r="1292" spans="1:14" x14ac:dyDescent="0.2">
      <c r="A1292" t="str">
        <f>IF(OR(Calc!$E1296="",Calc!$E1296="نامعتبر",Calc!$G1296=""),"",Calc!$G1296)</f>
        <v/>
      </c>
      <c r="B1292" t="str">
        <f>IF($A1292="","",LEFT(Calc!$E1296,4)&amp;MID(Calc!$E1296,6,2)&amp;RIGHT(Calc!$E1296,2)&amp;Calc!$Q1296&amp;"|"&amp;"1"&amp;RIGHT("00000"&amp;1287,5))</f>
        <v/>
      </c>
      <c r="C1292" t="str">
        <f t="shared" si="100"/>
        <v/>
      </c>
      <c r="D1292" t="str">
        <f t="shared" si="101"/>
        <v/>
      </c>
      <c r="F1292" t="str">
        <f>IF(Sync!$AH1292="","",IF(LEFT(UPPER(TRIM(Sync!$AH1292)),2)="SL",UPPER(TRIM(Sync!$AH1292)),""))</f>
        <v/>
      </c>
      <c r="G1292" t="str">
        <f>IF($F1292="","",IF(Sync!$AE1292="","",IF(ISNUMBER(Sync!$AE1292),IF(AND(Sync!$AE1292&gt;=10000101,Sync!$AE1292&lt;=99991231),INT(Sync!$AE1292/10000),""),IFERROR(VALUE(TRIM(LEFT(Sync!$AE1292,FIND("/",Sync!$AE1292)-1))),""))))</f>
        <v/>
      </c>
      <c r="H1292" t="str">
        <f>IF(OR($F1292="",$G1292=""),"",IF(ISNUMBER(Sync!$AE1292),INT(MOD(Sync!$AE1292,10000)/100),IFERROR(VALUE(TRIM(LEFT(MID(Sync!$AE1292,FIND("/",Sync!$AE1292)+1,20),FIND("/",MID(Sync!$AE1292,FIND("/",Sync!$AE1292)+1,20))-1))),"")))</f>
        <v/>
      </c>
      <c r="I1292" t="str">
        <f>IF(OR($F1292="",$G1292=""),"",IF(ISNUMBER(Sync!$AE1292),MOD(Sync!$AE1292,100),IFERROR(VALUE(TRIM(MID(MID(Sync!$AE1292,FIND("/",Sync!$AE1292)+1,20),FIND("/",MID(Sync!$AE1292,FIND("/",Sync!$AE1292)+1,20))+1,20))),"")))</f>
        <v/>
      </c>
      <c r="J1292" t="str">
        <f t="shared" si="102"/>
        <v/>
      </c>
      <c r="K1292" t="str">
        <f>IF(OR($F1292="",$J1292="",$J1292="نامعتبر"),"",LEFT($J1292,4)&amp;MID($J1292,6,2)&amp;RIGHT($J1292,2)&amp;$N1292&amp;"|"&amp;"2"&amp;RIGHT("00000"&amp;1287,5))</f>
        <v/>
      </c>
      <c r="L1292" t="str">
        <f t="shared" si="103"/>
        <v/>
      </c>
      <c r="M1292" t="str">
        <f t="shared" si="104"/>
        <v/>
      </c>
      <c r="N1292" t="str">
        <f>IF($F1292="","",IF(Sync!$AF1292="","0000",IF(AND(ISNUMBER(Sync!$AF1292),Sync!$AF1292&gt;=0,Sync!$AF1292&lt;1),RIGHT("00"&amp;HOUR(Sync!$AF1292),2)&amp;RIGHT("00"&amp;MINUTE(Sync!$AF1292),2),IFERROR(RIGHT("00"&amp;VALUE(LEFT(Sync!$AF1292,FIND(":",Sync!$AF1292)-1)),2)&amp;RIGHT("00"&amp;VALUE(MID(Sync!$AF1292,FIND(":",Sync!$AF1292)+1,2)),2),"0000"))))</f>
        <v/>
      </c>
    </row>
    <row r="1293" spans="1:14" x14ac:dyDescent="0.2">
      <c r="A1293" t="str">
        <f>IF(OR(Calc!$E1297="",Calc!$E1297="نامعتبر",Calc!$G1297=""),"",Calc!$G1297)</f>
        <v/>
      </c>
      <c r="B1293" t="str">
        <f>IF($A1293="","",LEFT(Calc!$E1297,4)&amp;MID(Calc!$E1297,6,2)&amp;RIGHT(Calc!$E1297,2)&amp;Calc!$Q1297&amp;"|"&amp;"1"&amp;RIGHT("00000"&amp;1288,5))</f>
        <v/>
      </c>
      <c r="C1293" t="str">
        <f t="shared" si="100"/>
        <v/>
      </c>
      <c r="D1293" t="str">
        <f t="shared" si="101"/>
        <v/>
      </c>
      <c r="F1293" t="str">
        <f>IF(Sync!$AH1293="","",IF(LEFT(UPPER(TRIM(Sync!$AH1293)),2)="SL",UPPER(TRIM(Sync!$AH1293)),""))</f>
        <v/>
      </c>
      <c r="G1293" t="str">
        <f>IF($F1293="","",IF(Sync!$AE1293="","",IF(ISNUMBER(Sync!$AE1293),IF(AND(Sync!$AE1293&gt;=10000101,Sync!$AE1293&lt;=99991231),INT(Sync!$AE1293/10000),""),IFERROR(VALUE(TRIM(LEFT(Sync!$AE1293,FIND("/",Sync!$AE1293)-1))),""))))</f>
        <v/>
      </c>
      <c r="H1293" t="str">
        <f>IF(OR($F1293="",$G1293=""),"",IF(ISNUMBER(Sync!$AE1293),INT(MOD(Sync!$AE1293,10000)/100),IFERROR(VALUE(TRIM(LEFT(MID(Sync!$AE1293,FIND("/",Sync!$AE1293)+1,20),FIND("/",MID(Sync!$AE1293,FIND("/",Sync!$AE1293)+1,20))-1))),"")))</f>
        <v/>
      </c>
      <c r="I1293" t="str">
        <f>IF(OR($F1293="",$G1293=""),"",IF(ISNUMBER(Sync!$AE1293),MOD(Sync!$AE1293,100),IFERROR(VALUE(TRIM(MID(MID(Sync!$AE1293,FIND("/",Sync!$AE1293)+1,20),FIND("/",MID(Sync!$AE1293,FIND("/",Sync!$AE1293)+1,20))+1,20))),"")))</f>
        <v/>
      </c>
      <c r="J1293" t="str">
        <f t="shared" si="102"/>
        <v/>
      </c>
      <c r="K1293" t="str">
        <f>IF(OR($F1293="",$J1293="",$J1293="نامعتبر"),"",LEFT($J1293,4)&amp;MID($J1293,6,2)&amp;RIGHT($J1293,2)&amp;$N1293&amp;"|"&amp;"2"&amp;RIGHT("00000"&amp;1288,5))</f>
        <v/>
      </c>
      <c r="L1293" t="str">
        <f t="shared" si="103"/>
        <v/>
      </c>
      <c r="M1293" t="str">
        <f t="shared" si="104"/>
        <v/>
      </c>
      <c r="N1293" t="str">
        <f>IF($F1293="","",IF(Sync!$AF1293="","0000",IF(AND(ISNUMBER(Sync!$AF1293),Sync!$AF1293&gt;=0,Sync!$AF1293&lt;1),RIGHT("00"&amp;HOUR(Sync!$AF1293),2)&amp;RIGHT("00"&amp;MINUTE(Sync!$AF1293),2),IFERROR(RIGHT("00"&amp;VALUE(LEFT(Sync!$AF1293,FIND(":",Sync!$AF1293)-1)),2)&amp;RIGHT("00"&amp;VALUE(MID(Sync!$AF1293,FIND(":",Sync!$AF1293)+1,2)),2),"0000"))))</f>
        <v/>
      </c>
    </row>
    <row r="1294" spans="1:14" x14ac:dyDescent="0.2">
      <c r="A1294" t="str">
        <f>IF(OR(Calc!$E1298="",Calc!$E1298="نامعتبر",Calc!$G1298=""),"",Calc!$G1298)</f>
        <v/>
      </c>
      <c r="B1294" t="str">
        <f>IF($A1294="","",LEFT(Calc!$E1298,4)&amp;MID(Calc!$E1298,6,2)&amp;RIGHT(Calc!$E1298,2)&amp;Calc!$Q1298&amp;"|"&amp;"1"&amp;RIGHT("00000"&amp;1289,5))</f>
        <v/>
      </c>
      <c r="C1294" t="str">
        <f t="shared" si="100"/>
        <v/>
      </c>
      <c r="D1294" t="str">
        <f t="shared" si="101"/>
        <v/>
      </c>
      <c r="F1294" t="str">
        <f>IF(Sync!$AH1294="","",IF(LEFT(UPPER(TRIM(Sync!$AH1294)),2)="SL",UPPER(TRIM(Sync!$AH1294)),""))</f>
        <v/>
      </c>
      <c r="G1294" t="str">
        <f>IF($F1294="","",IF(Sync!$AE1294="","",IF(ISNUMBER(Sync!$AE1294),IF(AND(Sync!$AE1294&gt;=10000101,Sync!$AE1294&lt;=99991231),INT(Sync!$AE1294/10000),""),IFERROR(VALUE(TRIM(LEFT(Sync!$AE1294,FIND("/",Sync!$AE1294)-1))),""))))</f>
        <v/>
      </c>
      <c r="H1294" t="str">
        <f>IF(OR($F1294="",$G1294=""),"",IF(ISNUMBER(Sync!$AE1294),INT(MOD(Sync!$AE1294,10000)/100),IFERROR(VALUE(TRIM(LEFT(MID(Sync!$AE1294,FIND("/",Sync!$AE1294)+1,20),FIND("/",MID(Sync!$AE1294,FIND("/",Sync!$AE1294)+1,20))-1))),"")))</f>
        <v/>
      </c>
      <c r="I1294" t="str">
        <f>IF(OR($F1294="",$G1294=""),"",IF(ISNUMBER(Sync!$AE1294),MOD(Sync!$AE1294,100),IFERROR(VALUE(TRIM(MID(MID(Sync!$AE1294,FIND("/",Sync!$AE1294)+1,20),FIND("/",MID(Sync!$AE1294,FIND("/",Sync!$AE1294)+1,20))+1,20))),"")))</f>
        <v/>
      </c>
      <c r="J1294" t="str">
        <f t="shared" si="102"/>
        <v/>
      </c>
      <c r="K1294" t="str">
        <f>IF(OR($F1294="",$J1294="",$J1294="نامعتبر"),"",LEFT($J1294,4)&amp;MID($J1294,6,2)&amp;RIGHT($J1294,2)&amp;$N1294&amp;"|"&amp;"2"&amp;RIGHT("00000"&amp;1289,5))</f>
        <v/>
      </c>
      <c r="L1294" t="str">
        <f t="shared" si="103"/>
        <v/>
      </c>
      <c r="M1294" t="str">
        <f t="shared" si="104"/>
        <v/>
      </c>
      <c r="N1294" t="str">
        <f>IF($F1294="","",IF(Sync!$AF1294="","0000",IF(AND(ISNUMBER(Sync!$AF1294),Sync!$AF1294&gt;=0,Sync!$AF1294&lt;1),RIGHT("00"&amp;HOUR(Sync!$AF1294),2)&amp;RIGHT("00"&amp;MINUTE(Sync!$AF1294),2),IFERROR(RIGHT("00"&amp;VALUE(LEFT(Sync!$AF1294,FIND(":",Sync!$AF1294)-1)),2)&amp;RIGHT("00"&amp;VALUE(MID(Sync!$AF1294,FIND(":",Sync!$AF1294)+1,2)),2),"0000"))))</f>
        <v/>
      </c>
    </row>
    <row r="1295" spans="1:14" x14ac:dyDescent="0.2">
      <c r="A1295" t="str">
        <f>IF(OR(Calc!$E1299="",Calc!$E1299="نامعتبر",Calc!$G1299=""),"",Calc!$G1299)</f>
        <v/>
      </c>
      <c r="B1295" t="str">
        <f>IF($A1295="","",LEFT(Calc!$E1299,4)&amp;MID(Calc!$E1299,6,2)&amp;RIGHT(Calc!$E1299,2)&amp;Calc!$Q1299&amp;"|"&amp;"1"&amp;RIGHT("00000"&amp;1290,5))</f>
        <v/>
      </c>
      <c r="C1295" t="str">
        <f t="shared" si="100"/>
        <v/>
      </c>
      <c r="D1295" t="str">
        <f t="shared" si="101"/>
        <v/>
      </c>
      <c r="F1295" t="str">
        <f>IF(Sync!$AH1295="","",IF(LEFT(UPPER(TRIM(Sync!$AH1295)),2)="SL",UPPER(TRIM(Sync!$AH1295)),""))</f>
        <v/>
      </c>
      <c r="G1295" t="str">
        <f>IF($F1295="","",IF(Sync!$AE1295="","",IF(ISNUMBER(Sync!$AE1295),IF(AND(Sync!$AE1295&gt;=10000101,Sync!$AE1295&lt;=99991231),INT(Sync!$AE1295/10000),""),IFERROR(VALUE(TRIM(LEFT(Sync!$AE1295,FIND("/",Sync!$AE1295)-1))),""))))</f>
        <v/>
      </c>
      <c r="H1295" t="str">
        <f>IF(OR($F1295="",$G1295=""),"",IF(ISNUMBER(Sync!$AE1295),INT(MOD(Sync!$AE1295,10000)/100),IFERROR(VALUE(TRIM(LEFT(MID(Sync!$AE1295,FIND("/",Sync!$AE1295)+1,20),FIND("/",MID(Sync!$AE1295,FIND("/",Sync!$AE1295)+1,20))-1))),"")))</f>
        <v/>
      </c>
      <c r="I1295" t="str">
        <f>IF(OR($F1295="",$G1295=""),"",IF(ISNUMBER(Sync!$AE1295),MOD(Sync!$AE1295,100),IFERROR(VALUE(TRIM(MID(MID(Sync!$AE1295,FIND("/",Sync!$AE1295)+1,20),FIND("/",MID(Sync!$AE1295,FIND("/",Sync!$AE1295)+1,20))+1,20))),"")))</f>
        <v/>
      </c>
      <c r="J1295" t="str">
        <f t="shared" si="102"/>
        <v/>
      </c>
      <c r="K1295" t="str">
        <f>IF(OR($F1295="",$J1295="",$J1295="نامعتبر"),"",LEFT($J1295,4)&amp;MID($J1295,6,2)&amp;RIGHT($J1295,2)&amp;$N1295&amp;"|"&amp;"2"&amp;RIGHT("00000"&amp;1290,5))</f>
        <v/>
      </c>
      <c r="L1295" t="str">
        <f t="shared" si="103"/>
        <v/>
      </c>
      <c r="M1295" t="str">
        <f t="shared" si="104"/>
        <v/>
      </c>
      <c r="N1295" t="str">
        <f>IF($F1295="","",IF(Sync!$AF1295="","0000",IF(AND(ISNUMBER(Sync!$AF1295),Sync!$AF1295&gt;=0,Sync!$AF1295&lt;1),RIGHT("00"&amp;HOUR(Sync!$AF1295),2)&amp;RIGHT("00"&amp;MINUTE(Sync!$AF1295),2),IFERROR(RIGHT("00"&amp;VALUE(LEFT(Sync!$AF1295,FIND(":",Sync!$AF1295)-1)),2)&amp;RIGHT("00"&amp;VALUE(MID(Sync!$AF1295,FIND(":",Sync!$AF1295)+1,2)),2),"0000"))))</f>
        <v/>
      </c>
    </row>
    <row r="1296" spans="1:14" x14ac:dyDescent="0.2">
      <c r="A1296" t="str">
        <f>IF(OR(Calc!$E1300="",Calc!$E1300="نامعتبر",Calc!$G1300=""),"",Calc!$G1300)</f>
        <v/>
      </c>
      <c r="B1296" t="str">
        <f>IF($A1296="","",LEFT(Calc!$E1300,4)&amp;MID(Calc!$E1300,6,2)&amp;RIGHT(Calc!$E1300,2)&amp;Calc!$Q1300&amp;"|"&amp;"1"&amp;RIGHT("00000"&amp;1291,5))</f>
        <v/>
      </c>
      <c r="C1296" t="str">
        <f t="shared" si="100"/>
        <v/>
      </c>
      <c r="D1296" t="str">
        <f t="shared" si="101"/>
        <v/>
      </c>
      <c r="F1296" t="str">
        <f>IF(Sync!$AH1296="","",IF(LEFT(UPPER(TRIM(Sync!$AH1296)),2)="SL",UPPER(TRIM(Sync!$AH1296)),""))</f>
        <v/>
      </c>
      <c r="G1296" t="str">
        <f>IF($F1296="","",IF(Sync!$AE1296="","",IF(ISNUMBER(Sync!$AE1296),IF(AND(Sync!$AE1296&gt;=10000101,Sync!$AE1296&lt;=99991231),INT(Sync!$AE1296/10000),""),IFERROR(VALUE(TRIM(LEFT(Sync!$AE1296,FIND("/",Sync!$AE1296)-1))),""))))</f>
        <v/>
      </c>
      <c r="H1296" t="str">
        <f>IF(OR($F1296="",$G1296=""),"",IF(ISNUMBER(Sync!$AE1296),INT(MOD(Sync!$AE1296,10000)/100),IFERROR(VALUE(TRIM(LEFT(MID(Sync!$AE1296,FIND("/",Sync!$AE1296)+1,20),FIND("/",MID(Sync!$AE1296,FIND("/",Sync!$AE1296)+1,20))-1))),"")))</f>
        <v/>
      </c>
      <c r="I1296" t="str">
        <f>IF(OR($F1296="",$G1296=""),"",IF(ISNUMBER(Sync!$AE1296),MOD(Sync!$AE1296,100),IFERROR(VALUE(TRIM(MID(MID(Sync!$AE1296,FIND("/",Sync!$AE1296)+1,20),FIND("/",MID(Sync!$AE1296,FIND("/",Sync!$AE1296)+1,20))+1,20))),"")))</f>
        <v/>
      </c>
      <c r="J1296" t="str">
        <f t="shared" si="102"/>
        <v/>
      </c>
      <c r="K1296" t="str">
        <f>IF(OR($F1296="",$J1296="",$J1296="نامعتبر"),"",LEFT($J1296,4)&amp;MID($J1296,6,2)&amp;RIGHT($J1296,2)&amp;$N1296&amp;"|"&amp;"2"&amp;RIGHT("00000"&amp;1291,5))</f>
        <v/>
      </c>
      <c r="L1296" t="str">
        <f t="shared" si="103"/>
        <v/>
      </c>
      <c r="M1296" t="str">
        <f t="shared" si="104"/>
        <v/>
      </c>
      <c r="N1296" t="str">
        <f>IF($F1296="","",IF(Sync!$AF1296="","0000",IF(AND(ISNUMBER(Sync!$AF1296),Sync!$AF1296&gt;=0,Sync!$AF1296&lt;1),RIGHT("00"&amp;HOUR(Sync!$AF1296),2)&amp;RIGHT("00"&amp;MINUTE(Sync!$AF1296),2),IFERROR(RIGHT("00"&amp;VALUE(LEFT(Sync!$AF1296,FIND(":",Sync!$AF1296)-1)),2)&amp;RIGHT("00"&amp;VALUE(MID(Sync!$AF1296,FIND(":",Sync!$AF1296)+1,2)),2),"0000"))))</f>
        <v/>
      </c>
    </row>
    <row r="1297" spans="1:14" x14ac:dyDescent="0.2">
      <c r="A1297" t="str">
        <f>IF(OR(Calc!$E1301="",Calc!$E1301="نامعتبر",Calc!$G1301=""),"",Calc!$G1301)</f>
        <v/>
      </c>
      <c r="B1297" t="str">
        <f>IF($A1297="","",LEFT(Calc!$E1301,4)&amp;MID(Calc!$E1301,6,2)&amp;RIGHT(Calc!$E1301,2)&amp;Calc!$Q1301&amp;"|"&amp;"1"&amp;RIGHT("00000"&amp;1292,5))</f>
        <v/>
      </c>
      <c r="C1297" t="str">
        <f t="shared" si="100"/>
        <v/>
      </c>
      <c r="D1297" t="str">
        <f t="shared" si="101"/>
        <v/>
      </c>
      <c r="F1297" t="str">
        <f>IF(Sync!$AH1297="","",IF(LEFT(UPPER(TRIM(Sync!$AH1297)),2)="SL",UPPER(TRIM(Sync!$AH1297)),""))</f>
        <v/>
      </c>
      <c r="G1297" t="str">
        <f>IF($F1297="","",IF(Sync!$AE1297="","",IF(ISNUMBER(Sync!$AE1297),IF(AND(Sync!$AE1297&gt;=10000101,Sync!$AE1297&lt;=99991231),INT(Sync!$AE1297/10000),""),IFERROR(VALUE(TRIM(LEFT(Sync!$AE1297,FIND("/",Sync!$AE1297)-1))),""))))</f>
        <v/>
      </c>
      <c r="H1297" t="str">
        <f>IF(OR($F1297="",$G1297=""),"",IF(ISNUMBER(Sync!$AE1297),INT(MOD(Sync!$AE1297,10000)/100),IFERROR(VALUE(TRIM(LEFT(MID(Sync!$AE1297,FIND("/",Sync!$AE1297)+1,20),FIND("/",MID(Sync!$AE1297,FIND("/",Sync!$AE1297)+1,20))-1))),"")))</f>
        <v/>
      </c>
      <c r="I1297" t="str">
        <f>IF(OR($F1297="",$G1297=""),"",IF(ISNUMBER(Sync!$AE1297),MOD(Sync!$AE1297,100),IFERROR(VALUE(TRIM(MID(MID(Sync!$AE1297,FIND("/",Sync!$AE1297)+1,20),FIND("/",MID(Sync!$AE1297,FIND("/",Sync!$AE1297)+1,20))+1,20))),"")))</f>
        <v/>
      </c>
      <c r="J1297" t="str">
        <f t="shared" si="102"/>
        <v/>
      </c>
      <c r="K1297" t="str">
        <f>IF(OR($F1297="",$J1297="",$J1297="نامعتبر"),"",LEFT($J1297,4)&amp;MID($J1297,6,2)&amp;RIGHT($J1297,2)&amp;$N1297&amp;"|"&amp;"2"&amp;RIGHT("00000"&amp;1292,5))</f>
        <v/>
      </c>
      <c r="L1297" t="str">
        <f t="shared" si="103"/>
        <v/>
      </c>
      <c r="M1297" t="str">
        <f t="shared" si="104"/>
        <v/>
      </c>
      <c r="N1297" t="str">
        <f>IF($F1297="","",IF(Sync!$AF1297="","0000",IF(AND(ISNUMBER(Sync!$AF1297),Sync!$AF1297&gt;=0,Sync!$AF1297&lt;1),RIGHT("00"&amp;HOUR(Sync!$AF1297),2)&amp;RIGHT("00"&amp;MINUTE(Sync!$AF1297),2),IFERROR(RIGHT("00"&amp;VALUE(LEFT(Sync!$AF1297,FIND(":",Sync!$AF1297)-1)),2)&amp;RIGHT("00"&amp;VALUE(MID(Sync!$AF1297,FIND(":",Sync!$AF1297)+1,2)),2),"0000"))))</f>
        <v/>
      </c>
    </row>
    <row r="1298" spans="1:14" x14ac:dyDescent="0.2">
      <c r="A1298" t="str">
        <f>IF(OR(Calc!$E1302="",Calc!$E1302="نامعتبر",Calc!$G1302=""),"",Calc!$G1302)</f>
        <v/>
      </c>
      <c r="B1298" t="str">
        <f>IF($A1298="","",LEFT(Calc!$E1302,4)&amp;MID(Calc!$E1302,6,2)&amp;RIGHT(Calc!$E1302,2)&amp;Calc!$Q1302&amp;"|"&amp;"1"&amp;RIGHT("00000"&amp;1293,5))</f>
        <v/>
      </c>
      <c r="C1298" t="str">
        <f t="shared" si="100"/>
        <v/>
      </c>
      <c r="D1298" t="str">
        <f t="shared" si="101"/>
        <v/>
      </c>
      <c r="F1298" t="str">
        <f>IF(Sync!$AH1298="","",IF(LEFT(UPPER(TRIM(Sync!$AH1298)),2)="SL",UPPER(TRIM(Sync!$AH1298)),""))</f>
        <v/>
      </c>
      <c r="G1298" t="str">
        <f>IF($F1298="","",IF(Sync!$AE1298="","",IF(ISNUMBER(Sync!$AE1298),IF(AND(Sync!$AE1298&gt;=10000101,Sync!$AE1298&lt;=99991231),INT(Sync!$AE1298/10000),""),IFERROR(VALUE(TRIM(LEFT(Sync!$AE1298,FIND("/",Sync!$AE1298)-1))),""))))</f>
        <v/>
      </c>
      <c r="H1298" t="str">
        <f>IF(OR($F1298="",$G1298=""),"",IF(ISNUMBER(Sync!$AE1298),INT(MOD(Sync!$AE1298,10000)/100),IFERROR(VALUE(TRIM(LEFT(MID(Sync!$AE1298,FIND("/",Sync!$AE1298)+1,20),FIND("/",MID(Sync!$AE1298,FIND("/",Sync!$AE1298)+1,20))-1))),"")))</f>
        <v/>
      </c>
      <c r="I1298" t="str">
        <f>IF(OR($F1298="",$G1298=""),"",IF(ISNUMBER(Sync!$AE1298),MOD(Sync!$AE1298,100),IFERROR(VALUE(TRIM(MID(MID(Sync!$AE1298,FIND("/",Sync!$AE1298)+1,20),FIND("/",MID(Sync!$AE1298,FIND("/",Sync!$AE1298)+1,20))+1,20))),"")))</f>
        <v/>
      </c>
      <c r="J1298" t="str">
        <f t="shared" si="102"/>
        <v/>
      </c>
      <c r="K1298" t="str">
        <f>IF(OR($F1298="",$J1298="",$J1298="نامعتبر"),"",LEFT($J1298,4)&amp;MID($J1298,6,2)&amp;RIGHT($J1298,2)&amp;$N1298&amp;"|"&amp;"2"&amp;RIGHT("00000"&amp;1293,5))</f>
        <v/>
      </c>
      <c r="L1298" t="str">
        <f t="shared" si="103"/>
        <v/>
      </c>
      <c r="M1298" t="str">
        <f t="shared" si="104"/>
        <v/>
      </c>
      <c r="N1298" t="str">
        <f>IF($F1298="","",IF(Sync!$AF1298="","0000",IF(AND(ISNUMBER(Sync!$AF1298),Sync!$AF1298&gt;=0,Sync!$AF1298&lt;1),RIGHT("00"&amp;HOUR(Sync!$AF1298),2)&amp;RIGHT("00"&amp;MINUTE(Sync!$AF1298),2),IFERROR(RIGHT("00"&amp;VALUE(LEFT(Sync!$AF1298,FIND(":",Sync!$AF1298)-1)),2)&amp;RIGHT("00"&amp;VALUE(MID(Sync!$AF1298,FIND(":",Sync!$AF1298)+1,2)),2),"0000"))))</f>
        <v/>
      </c>
    </row>
    <row r="1299" spans="1:14" x14ac:dyDescent="0.2">
      <c r="A1299" t="str">
        <f>IF(OR(Calc!$E1303="",Calc!$E1303="نامعتبر",Calc!$G1303=""),"",Calc!$G1303)</f>
        <v/>
      </c>
      <c r="B1299" t="str">
        <f>IF($A1299="","",LEFT(Calc!$E1303,4)&amp;MID(Calc!$E1303,6,2)&amp;RIGHT(Calc!$E1303,2)&amp;Calc!$Q1303&amp;"|"&amp;"1"&amp;RIGHT("00000"&amp;1294,5))</f>
        <v/>
      </c>
      <c r="C1299" t="str">
        <f t="shared" si="100"/>
        <v/>
      </c>
      <c r="D1299" t="str">
        <f t="shared" si="101"/>
        <v/>
      </c>
      <c r="F1299" t="str">
        <f>IF(Sync!$AH1299="","",IF(LEFT(UPPER(TRIM(Sync!$AH1299)),2)="SL",UPPER(TRIM(Sync!$AH1299)),""))</f>
        <v/>
      </c>
      <c r="G1299" t="str">
        <f>IF($F1299="","",IF(Sync!$AE1299="","",IF(ISNUMBER(Sync!$AE1299),IF(AND(Sync!$AE1299&gt;=10000101,Sync!$AE1299&lt;=99991231),INT(Sync!$AE1299/10000),""),IFERROR(VALUE(TRIM(LEFT(Sync!$AE1299,FIND("/",Sync!$AE1299)-1))),""))))</f>
        <v/>
      </c>
      <c r="H1299" t="str">
        <f>IF(OR($F1299="",$G1299=""),"",IF(ISNUMBER(Sync!$AE1299),INT(MOD(Sync!$AE1299,10000)/100),IFERROR(VALUE(TRIM(LEFT(MID(Sync!$AE1299,FIND("/",Sync!$AE1299)+1,20),FIND("/",MID(Sync!$AE1299,FIND("/",Sync!$AE1299)+1,20))-1))),"")))</f>
        <v/>
      </c>
      <c r="I1299" t="str">
        <f>IF(OR($F1299="",$G1299=""),"",IF(ISNUMBER(Sync!$AE1299),MOD(Sync!$AE1299,100),IFERROR(VALUE(TRIM(MID(MID(Sync!$AE1299,FIND("/",Sync!$AE1299)+1,20),FIND("/",MID(Sync!$AE1299,FIND("/",Sync!$AE1299)+1,20))+1,20))),"")))</f>
        <v/>
      </c>
      <c r="J1299" t="str">
        <f t="shared" si="102"/>
        <v/>
      </c>
      <c r="K1299" t="str">
        <f>IF(OR($F1299="",$J1299="",$J1299="نامعتبر"),"",LEFT($J1299,4)&amp;MID($J1299,6,2)&amp;RIGHT($J1299,2)&amp;$N1299&amp;"|"&amp;"2"&amp;RIGHT("00000"&amp;1294,5))</f>
        <v/>
      </c>
      <c r="L1299" t="str">
        <f t="shared" si="103"/>
        <v/>
      </c>
      <c r="M1299" t="str">
        <f t="shared" si="104"/>
        <v/>
      </c>
      <c r="N1299" t="str">
        <f>IF($F1299="","",IF(Sync!$AF1299="","0000",IF(AND(ISNUMBER(Sync!$AF1299),Sync!$AF1299&gt;=0,Sync!$AF1299&lt;1),RIGHT("00"&amp;HOUR(Sync!$AF1299),2)&amp;RIGHT("00"&amp;MINUTE(Sync!$AF1299),2),IFERROR(RIGHT("00"&amp;VALUE(LEFT(Sync!$AF1299,FIND(":",Sync!$AF1299)-1)),2)&amp;RIGHT("00"&amp;VALUE(MID(Sync!$AF1299,FIND(":",Sync!$AF1299)+1,2)),2),"0000"))))</f>
        <v/>
      </c>
    </row>
    <row r="1300" spans="1:14" x14ac:dyDescent="0.2">
      <c r="A1300" t="str">
        <f>IF(OR(Calc!$E1304="",Calc!$E1304="نامعتبر",Calc!$G1304=""),"",Calc!$G1304)</f>
        <v/>
      </c>
      <c r="B1300" t="str">
        <f>IF($A1300="","",LEFT(Calc!$E1304,4)&amp;MID(Calc!$E1304,6,2)&amp;RIGHT(Calc!$E1304,2)&amp;Calc!$Q1304&amp;"|"&amp;"1"&amp;RIGHT("00000"&amp;1295,5))</f>
        <v/>
      </c>
      <c r="C1300" t="str">
        <f t="shared" si="100"/>
        <v/>
      </c>
      <c r="D1300" t="str">
        <f t="shared" si="101"/>
        <v/>
      </c>
      <c r="F1300" t="str">
        <f>IF(Sync!$AH1300="","",IF(LEFT(UPPER(TRIM(Sync!$AH1300)),2)="SL",UPPER(TRIM(Sync!$AH1300)),""))</f>
        <v/>
      </c>
      <c r="G1300" t="str">
        <f>IF($F1300="","",IF(Sync!$AE1300="","",IF(ISNUMBER(Sync!$AE1300),IF(AND(Sync!$AE1300&gt;=10000101,Sync!$AE1300&lt;=99991231),INT(Sync!$AE1300/10000),""),IFERROR(VALUE(TRIM(LEFT(Sync!$AE1300,FIND("/",Sync!$AE1300)-1))),""))))</f>
        <v/>
      </c>
      <c r="H1300" t="str">
        <f>IF(OR($F1300="",$G1300=""),"",IF(ISNUMBER(Sync!$AE1300),INT(MOD(Sync!$AE1300,10000)/100),IFERROR(VALUE(TRIM(LEFT(MID(Sync!$AE1300,FIND("/",Sync!$AE1300)+1,20),FIND("/",MID(Sync!$AE1300,FIND("/",Sync!$AE1300)+1,20))-1))),"")))</f>
        <v/>
      </c>
      <c r="I1300" t="str">
        <f>IF(OR($F1300="",$G1300=""),"",IF(ISNUMBER(Sync!$AE1300),MOD(Sync!$AE1300,100),IFERROR(VALUE(TRIM(MID(MID(Sync!$AE1300,FIND("/",Sync!$AE1300)+1,20),FIND("/",MID(Sync!$AE1300,FIND("/",Sync!$AE1300)+1,20))+1,20))),"")))</f>
        <v/>
      </c>
      <c r="J1300" t="str">
        <f t="shared" si="102"/>
        <v/>
      </c>
      <c r="K1300" t="str">
        <f>IF(OR($F1300="",$J1300="",$J1300="نامعتبر"),"",LEFT($J1300,4)&amp;MID($J1300,6,2)&amp;RIGHT($J1300,2)&amp;$N1300&amp;"|"&amp;"2"&amp;RIGHT("00000"&amp;1295,5))</f>
        <v/>
      </c>
      <c r="L1300" t="str">
        <f t="shared" si="103"/>
        <v/>
      </c>
      <c r="M1300" t="str">
        <f t="shared" si="104"/>
        <v/>
      </c>
      <c r="N1300" t="str">
        <f>IF($F1300="","",IF(Sync!$AF1300="","0000",IF(AND(ISNUMBER(Sync!$AF1300),Sync!$AF1300&gt;=0,Sync!$AF1300&lt;1),RIGHT("00"&amp;HOUR(Sync!$AF1300),2)&amp;RIGHT("00"&amp;MINUTE(Sync!$AF1300),2),IFERROR(RIGHT("00"&amp;VALUE(LEFT(Sync!$AF1300,FIND(":",Sync!$AF1300)-1)),2)&amp;RIGHT("00"&amp;VALUE(MID(Sync!$AF1300,FIND(":",Sync!$AF1300)+1,2)),2),"0000"))))</f>
        <v/>
      </c>
    </row>
    <row r="1301" spans="1:14" x14ac:dyDescent="0.2">
      <c r="A1301" t="str">
        <f>IF(OR(Calc!$E1305="",Calc!$E1305="نامعتبر",Calc!$G1305=""),"",Calc!$G1305)</f>
        <v/>
      </c>
      <c r="B1301" t="str">
        <f>IF($A1301="","",LEFT(Calc!$E1305,4)&amp;MID(Calc!$E1305,6,2)&amp;RIGHT(Calc!$E1305,2)&amp;Calc!$Q1305&amp;"|"&amp;"1"&amp;RIGHT("00000"&amp;1296,5))</f>
        <v/>
      </c>
      <c r="C1301" t="str">
        <f t="shared" si="100"/>
        <v/>
      </c>
      <c r="D1301" t="str">
        <f t="shared" si="101"/>
        <v/>
      </c>
      <c r="F1301" t="str">
        <f>IF(Sync!$AH1301="","",IF(LEFT(UPPER(TRIM(Sync!$AH1301)),2)="SL",UPPER(TRIM(Sync!$AH1301)),""))</f>
        <v/>
      </c>
      <c r="G1301" t="str">
        <f>IF($F1301="","",IF(Sync!$AE1301="","",IF(ISNUMBER(Sync!$AE1301),IF(AND(Sync!$AE1301&gt;=10000101,Sync!$AE1301&lt;=99991231),INT(Sync!$AE1301/10000),""),IFERROR(VALUE(TRIM(LEFT(Sync!$AE1301,FIND("/",Sync!$AE1301)-1))),""))))</f>
        <v/>
      </c>
      <c r="H1301" t="str">
        <f>IF(OR($F1301="",$G1301=""),"",IF(ISNUMBER(Sync!$AE1301),INT(MOD(Sync!$AE1301,10000)/100),IFERROR(VALUE(TRIM(LEFT(MID(Sync!$AE1301,FIND("/",Sync!$AE1301)+1,20),FIND("/",MID(Sync!$AE1301,FIND("/",Sync!$AE1301)+1,20))-1))),"")))</f>
        <v/>
      </c>
      <c r="I1301" t="str">
        <f>IF(OR($F1301="",$G1301=""),"",IF(ISNUMBER(Sync!$AE1301),MOD(Sync!$AE1301,100),IFERROR(VALUE(TRIM(MID(MID(Sync!$AE1301,FIND("/",Sync!$AE1301)+1,20),FIND("/",MID(Sync!$AE1301,FIND("/",Sync!$AE1301)+1,20))+1,20))),"")))</f>
        <v/>
      </c>
      <c r="J1301" t="str">
        <f t="shared" si="102"/>
        <v/>
      </c>
      <c r="K1301" t="str">
        <f>IF(OR($F1301="",$J1301="",$J1301="نامعتبر"),"",LEFT($J1301,4)&amp;MID($J1301,6,2)&amp;RIGHT($J1301,2)&amp;$N1301&amp;"|"&amp;"2"&amp;RIGHT("00000"&amp;1296,5))</f>
        <v/>
      </c>
      <c r="L1301" t="str">
        <f t="shared" si="103"/>
        <v/>
      </c>
      <c r="M1301" t="str">
        <f t="shared" si="104"/>
        <v/>
      </c>
      <c r="N1301" t="str">
        <f>IF($F1301="","",IF(Sync!$AF1301="","0000",IF(AND(ISNUMBER(Sync!$AF1301),Sync!$AF1301&gt;=0,Sync!$AF1301&lt;1),RIGHT("00"&amp;HOUR(Sync!$AF1301),2)&amp;RIGHT("00"&amp;MINUTE(Sync!$AF1301),2),IFERROR(RIGHT("00"&amp;VALUE(LEFT(Sync!$AF1301,FIND(":",Sync!$AF1301)-1)),2)&amp;RIGHT("00"&amp;VALUE(MID(Sync!$AF1301,FIND(":",Sync!$AF1301)+1,2)),2),"0000"))))</f>
        <v/>
      </c>
    </row>
    <row r="1302" spans="1:14" x14ac:dyDescent="0.2">
      <c r="A1302" t="str">
        <f>IF(OR(Calc!$E1306="",Calc!$E1306="نامعتبر",Calc!$G1306=""),"",Calc!$G1306)</f>
        <v/>
      </c>
      <c r="B1302" t="str">
        <f>IF($A1302="","",LEFT(Calc!$E1306,4)&amp;MID(Calc!$E1306,6,2)&amp;RIGHT(Calc!$E1306,2)&amp;Calc!$Q1306&amp;"|"&amp;"1"&amp;RIGHT("00000"&amp;1297,5))</f>
        <v/>
      </c>
      <c r="C1302" t="str">
        <f t="shared" si="100"/>
        <v/>
      </c>
      <c r="D1302" t="str">
        <f t="shared" si="101"/>
        <v/>
      </c>
      <c r="F1302" t="str">
        <f>IF(Sync!$AH1302="","",IF(LEFT(UPPER(TRIM(Sync!$AH1302)),2)="SL",UPPER(TRIM(Sync!$AH1302)),""))</f>
        <v/>
      </c>
      <c r="G1302" t="str">
        <f>IF($F1302="","",IF(Sync!$AE1302="","",IF(ISNUMBER(Sync!$AE1302),IF(AND(Sync!$AE1302&gt;=10000101,Sync!$AE1302&lt;=99991231),INT(Sync!$AE1302/10000),""),IFERROR(VALUE(TRIM(LEFT(Sync!$AE1302,FIND("/",Sync!$AE1302)-1))),""))))</f>
        <v/>
      </c>
      <c r="H1302" t="str">
        <f>IF(OR($F1302="",$G1302=""),"",IF(ISNUMBER(Sync!$AE1302),INT(MOD(Sync!$AE1302,10000)/100),IFERROR(VALUE(TRIM(LEFT(MID(Sync!$AE1302,FIND("/",Sync!$AE1302)+1,20),FIND("/",MID(Sync!$AE1302,FIND("/",Sync!$AE1302)+1,20))-1))),"")))</f>
        <v/>
      </c>
      <c r="I1302" t="str">
        <f>IF(OR($F1302="",$G1302=""),"",IF(ISNUMBER(Sync!$AE1302),MOD(Sync!$AE1302,100),IFERROR(VALUE(TRIM(MID(MID(Sync!$AE1302,FIND("/",Sync!$AE1302)+1,20),FIND("/",MID(Sync!$AE1302,FIND("/",Sync!$AE1302)+1,20))+1,20))),"")))</f>
        <v/>
      </c>
      <c r="J1302" t="str">
        <f t="shared" si="102"/>
        <v/>
      </c>
      <c r="K1302" t="str">
        <f>IF(OR($F1302="",$J1302="",$J1302="نامعتبر"),"",LEFT($J1302,4)&amp;MID($J1302,6,2)&amp;RIGHT($J1302,2)&amp;$N1302&amp;"|"&amp;"2"&amp;RIGHT("00000"&amp;1297,5))</f>
        <v/>
      </c>
      <c r="L1302" t="str">
        <f t="shared" si="103"/>
        <v/>
      </c>
      <c r="M1302" t="str">
        <f t="shared" si="104"/>
        <v/>
      </c>
      <c r="N1302" t="str">
        <f>IF($F1302="","",IF(Sync!$AF1302="","0000",IF(AND(ISNUMBER(Sync!$AF1302),Sync!$AF1302&gt;=0,Sync!$AF1302&lt;1),RIGHT("00"&amp;HOUR(Sync!$AF1302),2)&amp;RIGHT("00"&amp;MINUTE(Sync!$AF1302),2),IFERROR(RIGHT("00"&amp;VALUE(LEFT(Sync!$AF1302,FIND(":",Sync!$AF1302)-1)),2)&amp;RIGHT("00"&amp;VALUE(MID(Sync!$AF1302,FIND(":",Sync!$AF1302)+1,2)),2),"0000"))))</f>
        <v/>
      </c>
    </row>
    <row r="1303" spans="1:14" x14ac:dyDescent="0.2">
      <c r="A1303" t="str">
        <f>IF(OR(Calc!$E1307="",Calc!$E1307="نامعتبر",Calc!$G1307=""),"",Calc!$G1307)</f>
        <v/>
      </c>
      <c r="B1303" t="str">
        <f>IF($A1303="","",LEFT(Calc!$E1307,4)&amp;MID(Calc!$E1307,6,2)&amp;RIGHT(Calc!$E1307,2)&amp;Calc!$Q1307&amp;"|"&amp;"1"&amp;RIGHT("00000"&amp;1298,5))</f>
        <v/>
      </c>
      <c r="C1303" t="str">
        <f t="shared" si="100"/>
        <v/>
      </c>
      <c r="D1303" t="str">
        <f t="shared" si="101"/>
        <v/>
      </c>
      <c r="F1303" t="str">
        <f>IF(Sync!$AH1303="","",IF(LEFT(UPPER(TRIM(Sync!$AH1303)),2)="SL",UPPER(TRIM(Sync!$AH1303)),""))</f>
        <v/>
      </c>
      <c r="G1303" t="str">
        <f>IF($F1303="","",IF(Sync!$AE1303="","",IF(ISNUMBER(Sync!$AE1303),IF(AND(Sync!$AE1303&gt;=10000101,Sync!$AE1303&lt;=99991231),INT(Sync!$AE1303/10000),""),IFERROR(VALUE(TRIM(LEFT(Sync!$AE1303,FIND("/",Sync!$AE1303)-1))),""))))</f>
        <v/>
      </c>
      <c r="H1303" t="str">
        <f>IF(OR($F1303="",$G1303=""),"",IF(ISNUMBER(Sync!$AE1303),INT(MOD(Sync!$AE1303,10000)/100),IFERROR(VALUE(TRIM(LEFT(MID(Sync!$AE1303,FIND("/",Sync!$AE1303)+1,20),FIND("/",MID(Sync!$AE1303,FIND("/",Sync!$AE1303)+1,20))-1))),"")))</f>
        <v/>
      </c>
      <c r="I1303" t="str">
        <f>IF(OR($F1303="",$G1303=""),"",IF(ISNUMBER(Sync!$AE1303),MOD(Sync!$AE1303,100),IFERROR(VALUE(TRIM(MID(MID(Sync!$AE1303,FIND("/",Sync!$AE1303)+1,20),FIND("/",MID(Sync!$AE1303,FIND("/",Sync!$AE1303)+1,20))+1,20))),"")))</f>
        <v/>
      </c>
      <c r="J1303" t="str">
        <f t="shared" si="102"/>
        <v/>
      </c>
      <c r="K1303" t="str">
        <f>IF(OR($F1303="",$J1303="",$J1303="نامعتبر"),"",LEFT($J1303,4)&amp;MID($J1303,6,2)&amp;RIGHT($J1303,2)&amp;$N1303&amp;"|"&amp;"2"&amp;RIGHT("00000"&amp;1298,5))</f>
        <v/>
      </c>
      <c r="L1303" t="str">
        <f t="shared" si="103"/>
        <v/>
      </c>
      <c r="M1303" t="str">
        <f t="shared" si="104"/>
        <v/>
      </c>
      <c r="N1303" t="str">
        <f>IF($F1303="","",IF(Sync!$AF1303="","0000",IF(AND(ISNUMBER(Sync!$AF1303),Sync!$AF1303&gt;=0,Sync!$AF1303&lt;1),RIGHT("00"&amp;HOUR(Sync!$AF1303),2)&amp;RIGHT("00"&amp;MINUTE(Sync!$AF1303),2),IFERROR(RIGHT("00"&amp;VALUE(LEFT(Sync!$AF1303,FIND(":",Sync!$AF1303)-1)),2)&amp;RIGHT("00"&amp;VALUE(MID(Sync!$AF1303,FIND(":",Sync!$AF1303)+1,2)),2),"0000"))))</f>
        <v/>
      </c>
    </row>
    <row r="1304" spans="1:14" x14ac:dyDescent="0.2">
      <c r="A1304" t="str">
        <f>IF(OR(Calc!$E1308="",Calc!$E1308="نامعتبر",Calc!$G1308=""),"",Calc!$G1308)</f>
        <v/>
      </c>
      <c r="B1304" t="str">
        <f>IF($A1304="","",LEFT(Calc!$E1308,4)&amp;MID(Calc!$E1308,6,2)&amp;RIGHT(Calc!$E1308,2)&amp;Calc!$Q1308&amp;"|"&amp;"1"&amp;RIGHT("00000"&amp;1299,5))</f>
        <v/>
      </c>
      <c r="C1304" t="str">
        <f t="shared" si="100"/>
        <v/>
      </c>
      <c r="D1304" t="str">
        <f t="shared" si="101"/>
        <v/>
      </c>
      <c r="F1304" t="str">
        <f>IF(Sync!$AH1304="","",IF(LEFT(UPPER(TRIM(Sync!$AH1304)),2)="SL",UPPER(TRIM(Sync!$AH1304)),""))</f>
        <v/>
      </c>
      <c r="G1304" t="str">
        <f>IF($F1304="","",IF(Sync!$AE1304="","",IF(ISNUMBER(Sync!$AE1304),IF(AND(Sync!$AE1304&gt;=10000101,Sync!$AE1304&lt;=99991231),INT(Sync!$AE1304/10000),""),IFERROR(VALUE(TRIM(LEFT(Sync!$AE1304,FIND("/",Sync!$AE1304)-1))),""))))</f>
        <v/>
      </c>
      <c r="H1304" t="str">
        <f>IF(OR($F1304="",$G1304=""),"",IF(ISNUMBER(Sync!$AE1304),INT(MOD(Sync!$AE1304,10000)/100),IFERROR(VALUE(TRIM(LEFT(MID(Sync!$AE1304,FIND("/",Sync!$AE1304)+1,20),FIND("/",MID(Sync!$AE1304,FIND("/",Sync!$AE1304)+1,20))-1))),"")))</f>
        <v/>
      </c>
      <c r="I1304" t="str">
        <f>IF(OR($F1304="",$G1304=""),"",IF(ISNUMBER(Sync!$AE1304),MOD(Sync!$AE1304,100),IFERROR(VALUE(TRIM(MID(MID(Sync!$AE1304,FIND("/",Sync!$AE1304)+1,20),FIND("/",MID(Sync!$AE1304,FIND("/",Sync!$AE1304)+1,20))+1,20))),"")))</f>
        <v/>
      </c>
      <c r="J1304" t="str">
        <f t="shared" si="102"/>
        <v/>
      </c>
      <c r="K1304" t="str">
        <f>IF(OR($F1304="",$J1304="",$J1304="نامعتبر"),"",LEFT($J1304,4)&amp;MID($J1304,6,2)&amp;RIGHT($J1304,2)&amp;$N1304&amp;"|"&amp;"2"&amp;RIGHT("00000"&amp;1299,5))</f>
        <v/>
      </c>
      <c r="L1304" t="str">
        <f t="shared" si="103"/>
        <v/>
      </c>
      <c r="M1304" t="str">
        <f t="shared" si="104"/>
        <v/>
      </c>
      <c r="N1304" t="str">
        <f>IF($F1304="","",IF(Sync!$AF1304="","0000",IF(AND(ISNUMBER(Sync!$AF1304),Sync!$AF1304&gt;=0,Sync!$AF1304&lt;1),RIGHT("00"&amp;HOUR(Sync!$AF1304),2)&amp;RIGHT("00"&amp;MINUTE(Sync!$AF1304),2),IFERROR(RIGHT("00"&amp;VALUE(LEFT(Sync!$AF1304,FIND(":",Sync!$AF1304)-1)),2)&amp;RIGHT("00"&amp;VALUE(MID(Sync!$AF1304,FIND(":",Sync!$AF1304)+1,2)),2),"0000"))))</f>
        <v/>
      </c>
    </row>
    <row r="1305" spans="1:14" x14ac:dyDescent="0.2">
      <c r="A1305" t="str">
        <f>IF(OR(Calc!$E1309="",Calc!$E1309="نامعتبر",Calc!$G1309=""),"",Calc!$G1309)</f>
        <v/>
      </c>
      <c r="B1305" t="str">
        <f>IF($A1305="","",LEFT(Calc!$E1309,4)&amp;MID(Calc!$E1309,6,2)&amp;RIGHT(Calc!$E1309,2)&amp;Calc!$Q1309&amp;"|"&amp;"1"&amp;RIGHT("00000"&amp;1300,5))</f>
        <v/>
      </c>
      <c r="C1305" t="str">
        <f t="shared" si="100"/>
        <v/>
      </c>
      <c r="D1305" t="str">
        <f t="shared" si="101"/>
        <v/>
      </c>
      <c r="F1305" t="str">
        <f>IF(Sync!$AH1305="","",IF(LEFT(UPPER(TRIM(Sync!$AH1305)),2)="SL",UPPER(TRIM(Sync!$AH1305)),""))</f>
        <v/>
      </c>
      <c r="G1305" t="str">
        <f>IF($F1305="","",IF(Sync!$AE1305="","",IF(ISNUMBER(Sync!$AE1305),IF(AND(Sync!$AE1305&gt;=10000101,Sync!$AE1305&lt;=99991231),INT(Sync!$AE1305/10000),""),IFERROR(VALUE(TRIM(LEFT(Sync!$AE1305,FIND("/",Sync!$AE1305)-1))),""))))</f>
        <v/>
      </c>
      <c r="H1305" t="str">
        <f>IF(OR($F1305="",$G1305=""),"",IF(ISNUMBER(Sync!$AE1305),INT(MOD(Sync!$AE1305,10000)/100),IFERROR(VALUE(TRIM(LEFT(MID(Sync!$AE1305,FIND("/",Sync!$AE1305)+1,20),FIND("/",MID(Sync!$AE1305,FIND("/",Sync!$AE1305)+1,20))-1))),"")))</f>
        <v/>
      </c>
      <c r="I1305" t="str">
        <f>IF(OR($F1305="",$G1305=""),"",IF(ISNUMBER(Sync!$AE1305),MOD(Sync!$AE1305,100),IFERROR(VALUE(TRIM(MID(MID(Sync!$AE1305,FIND("/",Sync!$AE1305)+1,20),FIND("/",MID(Sync!$AE1305,FIND("/",Sync!$AE1305)+1,20))+1,20))),"")))</f>
        <v/>
      </c>
      <c r="J1305" t="str">
        <f t="shared" si="102"/>
        <v/>
      </c>
      <c r="K1305" t="str">
        <f>IF(OR($F1305="",$J1305="",$J1305="نامعتبر"),"",LEFT($J1305,4)&amp;MID($J1305,6,2)&amp;RIGHT($J1305,2)&amp;$N1305&amp;"|"&amp;"2"&amp;RIGHT("00000"&amp;1300,5))</f>
        <v/>
      </c>
      <c r="L1305" t="str">
        <f t="shared" si="103"/>
        <v/>
      </c>
      <c r="M1305" t="str">
        <f t="shared" si="104"/>
        <v/>
      </c>
      <c r="N1305" t="str">
        <f>IF($F1305="","",IF(Sync!$AF1305="","0000",IF(AND(ISNUMBER(Sync!$AF1305),Sync!$AF1305&gt;=0,Sync!$AF1305&lt;1),RIGHT("00"&amp;HOUR(Sync!$AF1305),2)&amp;RIGHT("00"&amp;MINUTE(Sync!$AF1305),2),IFERROR(RIGHT("00"&amp;VALUE(LEFT(Sync!$AF1305,FIND(":",Sync!$AF1305)-1)),2)&amp;RIGHT("00"&amp;VALUE(MID(Sync!$AF1305,FIND(":",Sync!$AF1305)+1,2)),2),"0000"))))</f>
        <v/>
      </c>
    </row>
    <row r="1306" spans="1:14" x14ac:dyDescent="0.2">
      <c r="A1306" t="str">
        <f>IF(OR(Calc!$E1310="",Calc!$E1310="نامعتبر",Calc!$G1310=""),"",Calc!$G1310)</f>
        <v/>
      </c>
      <c r="B1306" t="str">
        <f>IF($A1306="","",LEFT(Calc!$E1310,4)&amp;MID(Calc!$E1310,6,2)&amp;RIGHT(Calc!$E1310,2)&amp;Calc!$Q1310&amp;"|"&amp;"1"&amp;RIGHT("00000"&amp;1301,5))</f>
        <v/>
      </c>
      <c r="C1306" t="str">
        <f t="shared" si="100"/>
        <v/>
      </c>
      <c r="D1306" t="str">
        <f t="shared" si="101"/>
        <v/>
      </c>
      <c r="F1306" t="str">
        <f>IF(Sync!$AH1306="","",IF(LEFT(UPPER(TRIM(Sync!$AH1306)),2)="SL",UPPER(TRIM(Sync!$AH1306)),""))</f>
        <v/>
      </c>
      <c r="G1306" t="str">
        <f>IF($F1306="","",IF(Sync!$AE1306="","",IF(ISNUMBER(Sync!$AE1306),IF(AND(Sync!$AE1306&gt;=10000101,Sync!$AE1306&lt;=99991231),INT(Sync!$AE1306/10000),""),IFERROR(VALUE(TRIM(LEFT(Sync!$AE1306,FIND("/",Sync!$AE1306)-1))),""))))</f>
        <v/>
      </c>
      <c r="H1306" t="str">
        <f>IF(OR($F1306="",$G1306=""),"",IF(ISNUMBER(Sync!$AE1306),INT(MOD(Sync!$AE1306,10000)/100),IFERROR(VALUE(TRIM(LEFT(MID(Sync!$AE1306,FIND("/",Sync!$AE1306)+1,20),FIND("/",MID(Sync!$AE1306,FIND("/",Sync!$AE1306)+1,20))-1))),"")))</f>
        <v/>
      </c>
      <c r="I1306" t="str">
        <f>IF(OR($F1306="",$G1306=""),"",IF(ISNUMBER(Sync!$AE1306),MOD(Sync!$AE1306,100),IFERROR(VALUE(TRIM(MID(MID(Sync!$AE1306,FIND("/",Sync!$AE1306)+1,20),FIND("/",MID(Sync!$AE1306,FIND("/",Sync!$AE1306)+1,20))+1,20))),"")))</f>
        <v/>
      </c>
      <c r="J1306" t="str">
        <f t="shared" si="102"/>
        <v/>
      </c>
      <c r="K1306" t="str">
        <f>IF(OR($F1306="",$J1306="",$J1306="نامعتبر"),"",LEFT($J1306,4)&amp;MID($J1306,6,2)&amp;RIGHT($J1306,2)&amp;$N1306&amp;"|"&amp;"2"&amp;RIGHT("00000"&amp;1301,5))</f>
        <v/>
      </c>
      <c r="L1306" t="str">
        <f t="shared" si="103"/>
        <v/>
      </c>
      <c r="M1306" t="str">
        <f t="shared" si="104"/>
        <v/>
      </c>
      <c r="N1306" t="str">
        <f>IF($F1306="","",IF(Sync!$AF1306="","0000",IF(AND(ISNUMBER(Sync!$AF1306),Sync!$AF1306&gt;=0,Sync!$AF1306&lt;1),RIGHT("00"&amp;HOUR(Sync!$AF1306),2)&amp;RIGHT("00"&amp;MINUTE(Sync!$AF1306),2),IFERROR(RIGHT("00"&amp;VALUE(LEFT(Sync!$AF1306,FIND(":",Sync!$AF1306)-1)),2)&amp;RIGHT("00"&amp;VALUE(MID(Sync!$AF1306,FIND(":",Sync!$AF1306)+1,2)),2),"0000"))))</f>
        <v/>
      </c>
    </row>
    <row r="1307" spans="1:14" x14ac:dyDescent="0.2">
      <c r="A1307" t="str">
        <f>IF(OR(Calc!$E1311="",Calc!$E1311="نامعتبر",Calc!$G1311=""),"",Calc!$G1311)</f>
        <v/>
      </c>
      <c r="B1307" t="str">
        <f>IF($A1307="","",LEFT(Calc!$E1311,4)&amp;MID(Calc!$E1311,6,2)&amp;RIGHT(Calc!$E1311,2)&amp;Calc!$Q1311&amp;"|"&amp;"1"&amp;RIGHT("00000"&amp;1302,5))</f>
        <v/>
      </c>
      <c r="C1307" t="str">
        <f t="shared" si="100"/>
        <v/>
      </c>
      <c r="D1307" t="str">
        <f t="shared" si="101"/>
        <v/>
      </c>
      <c r="F1307" t="str">
        <f>IF(Sync!$AH1307="","",IF(LEFT(UPPER(TRIM(Sync!$AH1307)),2)="SL",UPPER(TRIM(Sync!$AH1307)),""))</f>
        <v/>
      </c>
      <c r="G1307" t="str">
        <f>IF($F1307="","",IF(Sync!$AE1307="","",IF(ISNUMBER(Sync!$AE1307),IF(AND(Sync!$AE1307&gt;=10000101,Sync!$AE1307&lt;=99991231),INT(Sync!$AE1307/10000),""),IFERROR(VALUE(TRIM(LEFT(Sync!$AE1307,FIND("/",Sync!$AE1307)-1))),""))))</f>
        <v/>
      </c>
      <c r="H1307" t="str">
        <f>IF(OR($F1307="",$G1307=""),"",IF(ISNUMBER(Sync!$AE1307),INT(MOD(Sync!$AE1307,10000)/100),IFERROR(VALUE(TRIM(LEFT(MID(Sync!$AE1307,FIND("/",Sync!$AE1307)+1,20),FIND("/",MID(Sync!$AE1307,FIND("/",Sync!$AE1307)+1,20))-1))),"")))</f>
        <v/>
      </c>
      <c r="I1307" t="str">
        <f>IF(OR($F1307="",$G1307=""),"",IF(ISNUMBER(Sync!$AE1307),MOD(Sync!$AE1307,100),IFERROR(VALUE(TRIM(MID(MID(Sync!$AE1307,FIND("/",Sync!$AE1307)+1,20),FIND("/",MID(Sync!$AE1307,FIND("/",Sync!$AE1307)+1,20))+1,20))),"")))</f>
        <v/>
      </c>
      <c r="J1307" t="str">
        <f t="shared" si="102"/>
        <v/>
      </c>
      <c r="K1307" t="str">
        <f>IF(OR($F1307="",$J1307="",$J1307="نامعتبر"),"",LEFT($J1307,4)&amp;MID($J1307,6,2)&amp;RIGHT($J1307,2)&amp;$N1307&amp;"|"&amp;"2"&amp;RIGHT("00000"&amp;1302,5))</f>
        <v/>
      </c>
      <c r="L1307" t="str">
        <f t="shared" si="103"/>
        <v/>
      </c>
      <c r="M1307" t="str">
        <f t="shared" si="104"/>
        <v/>
      </c>
      <c r="N1307" t="str">
        <f>IF($F1307="","",IF(Sync!$AF1307="","0000",IF(AND(ISNUMBER(Sync!$AF1307),Sync!$AF1307&gt;=0,Sync!$AF1307&lt;1),RIGHT("00"&amp;HOUR(Sync!$AF1307),2)&amp;RIGHT("00"&amp;MINUTE(Sync!$AF1307),2),IFERROR(RIGHT("00"&amp;VALUE(LEFT(Sync!$AF1307,FIND(":",Sync!$AF1307)-1)),2)&amp;RIGHT("00"&amp;VALUE(MID(Sync!$AF1307,FIND(":",Sync!$AF1307)+1,2)),2),"0000"))))</f>
        <v/>
      </c>
    </row>
    <row r="1308" spans="1:14" x14ac:dyDescent="0.2">
      <c r="A1308" t="str">
        <f>IF(OR(Calc!$E1312="",Calc!$E1312="نامعتبر",Calc!$G1312=""),"",Calc!$G1312)</f>
        <v/>
      </c>
      <c r="B1308" t="str">
        <f>IF($A1308="","",LEFT(Calc!$E1312,4)&amp;MID(Calc!$E1312,6,2)&amp;RIGHT(Calc!$E1312,2)&amp;Calc!$Q1312&amp;"|"&amp;"1"&amp;RIGHT("00000"&amp;1303,5))</f>
        <v/>
      </c>
      <c r="C1308" t="str">
        <f t="shared" si="100"/>
        <v/>
      </c>
      <c r="D1308" t="str">
        <f t="shared" si="101"/>
        <v/>
      </c>
      <c r="F1308" t="str">
        <f>IF(Sync!$AH1308="","",IF(LEFT(UPPER(TRIM(Sync!$AH1308)),2)="SL",UPPER(TRIM(Sync!$AH1308)),""))</f>
        <v/>
      </c>
      <c r="G1308" t="str">
        <f>IF($F1308="","",IF(Sync!$AE1308="","",IF(ISNUMBER(Sync!$AE1308),IF(AND(Sync!$AE1308&gt;=10000101,Sync!$AE1308&lt;=99991231),INT(Sync!$AE1308/10000),""),IFERROR(VALUE(TRIM(LEFT(Sync!$AE1308,FIND("/",Sync!$AE1308)-1))),""))))</f>
        <v/>
      </c>
      <c r="H1308" t="str">
        <f>IF(OR($F1308="",$G1308=""),"",IF(ISNUMBER(Sync!$AE1308),INT(MOD(Sync!$AE1308,10000)/100),IFERROR(VALUE(TRIM(LEFT(MID(Sync!$AE1308,FIND("/",Sync!$AE1308)+1,20),FIND("/",MID(Sync!$AE1308,FIND("/",Sync!$AE1308)+1,20))-1))),"")))</f>
        <v/>
      </c>
      <c r="I1308" t="str">
        <f>IF(OR($F1308="",$G1308=""),"",IF(ISNUMBER(Sync!$AE1308),MOD(Sync!$AE1308,100),IFERROR(VALUE(TRIM(MID(MID(Sync!$AE1308,FIND("/",Sync!$AE1308)+1,20),FIND("/",MID(Sync!$AE1308,FIND("/",Sync!$AE1308)+1,20))+1,20))),"")))</f>
        <v/>
      </c>
      <c r="J1308" t="str">
        <f t="shared" si="102"/>
        <v/>
      </c>
      <c r="K1308" t="str">
        <f>IF(OR($F1308="",$J1308="",$J1308="نامعتبر"),"",LEFT($J1308,4)&amp;MID($J1308,6,2)&amp;RIGHT($J1308,2)&amp;$N1308&amp;"|"&amp;"2"&amp;RIGHT("00000"&amp;1303,5))</f>
        <v/>
      </c>
      <c r="L1308" t="str">
        <f t="shared" si="103"/>
        <v/>
      </c>
      <c r="M1308" t="str">
        <f t="shared" si="104"/>
        <v/>
      </c>
      <c r="N1308" t="str">
        <f>IF($F1308="","",IF(Sync!$AF1308="","0000",IF(AND(ISNUMBER(Sync!$AF1308),Sync!$AF1308&gt;=0,Sync!$AF1308&lt;1),RIGHT("00"&amp;HOUR(Sync!$AF1308),2)&amp;RIGHT("00"&amp;MINUTE(Sync!$AF1308),2),IFERROR(RIGHT("00"&amp;VALUE(LEFT(Sync!$AF1308,FIND(":",Sync!$AF1308)-1)),2)&amp;RIGHT("00"&amp;VALUE(MID(Sync!$AF1308,FIND(":",Sync!$AF1308)+1,2)),2),"0000"))))</f>
        <v/>
      </c>
    </row>
    <row r="1309" spans="1:14" x14ac:dyDescent="0.2">
      <c r="A1309" t="str">
        <f>IF(OR(Calc!$E1313="",Calc!$E1313="نامعتبر",Calc!$G1313=""),"",Calc!$G1313)</f>
        <v/>
      </c>
      <c r="B1309" t="str">
        <f>IF($A1309="","",LEFT(Calc!$E1313,4)&amp;MID(Calc!$E1313,6,2)&amp;RIGHT(Calc!$E1313,2)&amp;Calc!$Q1313&amp;"|"&amp;"1"&amp;RIGHT("00000"&amp;1304,5))</f>
        <v/>
      </c>
      <c r="C1309" t="str">
        <f t="shared" si="100"/>
        <v/>
      </c>
      <c r="D1309" t="str">
        <f t="shared" si="101"/>
        <v/>
      </c>
      <c r="F1309" t="str">
        <f>IF(Sync!$AH1309="","",IF(LEFT(UPPER(TRIM(Sync!$AH1309)),2)="SL",UPPER(TRIM(Sync!$AH1309)),""))</f>
        <v/>
      </c>
      <c r="G1309" t="str">
        <f>IF($F1309="","",IF(Sync!$AE1309="","",IF(ISNUMBER(Sync!$AE1309),IF(AND(Sync!$AE1309&gt;=10000101,Sync!$AE1309&lt;=99991231),INT(Sync!$AE1309/10000),""),IFERROR(VALUE(TRIM(LEFT(Sync!$AE1309,FIND("/",Sync!$AE1309)-1))),""))))</f>
        <v/>
      </c>
      <c r="H1309" t="str">
        <f>IF(OR($F1309="",$G1309=""),"",IF(ISNUMBER(Sync!$AE1309),INT(MOD(Sync!$AE1309,10000)/100),IFERROR(VALUE(TRIM(LEFT(MID(Sync!$AE1309,FIND("/",Sync!$AE1309)+1,20),FIND("/",MID(Sync!$AE1309,FIND("/",Sync!$AE1309)+1,20))-1))),"")))</f>
        <v/>
      </c>
      <c r="I1309" t="str">
        <f>IF(OR($F1309="",$G1309=""),"",IF(ISNUMBER(Sync!$AE1309),MOD(Sync!$AE1309,100),IFERROR(VALUE(TRIM(MID(MID(Sync!$AE1309,FIND("/",Sync!$AE1309)+1,20),FIND("/",MID(Sync!$AE1309,FIND("/",Sync!$AE1309)+1,20))+1,20))),"")))</f>
        <v/>
      </c>
      <c r="J1309" t="str">
        <f t="shared" si="102"/>
        <v/>
      </c>
      <c r="K1309" t="str">
        <f>IF(OR($F1309="",$J1309="",$J1309="نامعتبر"),"",LEFT($J1309,4)&amp;MID($J1309,6,2)&amp;RIGHT($J1309,2)&amp;$N1309&amp;"|"&amp;"2"&amp;RIGHT("00000"&amp;1304,5))</f>
        <v/>
      </c>
      <c r="L1309" t="str">
        <f t="shared" si="103"/>
        <v/>
      </c>
      <c r="M1309" t="str">
        <f t="shared" si="104"/>
        <v/>
      </c>
      <c r="N1309" t="str">
        <f>IF($F1309="","",IF(Sync!$AF1309="","0000",IF(AND(ISNUMBER(Sync!$AF1309),Sync!$AF1309&gt;=0,Sync!$AF1309&lt;1),RIGHT("00"&amp;HOUR(Sync!$AF1309),2)&amp;RIGHT("00"&amp;MINUTE(Sync!$AF1309),2),IFERROR(RIGHT("00"&amp;VALUE(LEFT(Sync!$AF1309,FIND(":",Sync!$AF1309)-1)),2)&amp;RIGHT("00"&amp;VALUE(MID(Sync!$AF1309,FIND(":",Sync!$AF1309)+1,2)),2),"0000"))))</f>
        <v/>
      </c>
    </row>
    <row r="1310" spans="1:14" x14ac:dyDescent="0.2">
      <c r="A1310" t="str">
        <f>IF(OR(Calc!$E1314="",Calc!$E1314="نامعتبر",Calc!$G1314=""),"",Calc!$G1314)</f>
        <v/>
      </c>
      <c r="B1310" t="str">
        <f>IF($A1310="","",LEFT(Calc!$E1314,4)&amp;MID(Calc!$E1314,6,2)&amp;RIGHT(Calc!$E1314,2)&amp;Calc!$Q1314&amp;"|"&amp;"1"&amp;RIGHT("00000"&amp;1305,5))</f>
        <v/>
      </c>
      <c r="C1310" t="str">
        <f t="shared" si="100"/>
        <v/>
      </c>
      <c r="D1310" t="str">
        <f t="shared" si="101"/>
        <v/>
      </c>
      <c r="F1310" t="str">
        <f>IF(Sync!$AH1310="","",IF(LEFT(UPPER(TRIM(Sync!$AH1310)),2)="SL",UPPER(TRIM(Sync!$AH1310)),""))</f>
        <v/>
      </c>
      <c r="G1310" t="str">
        <f>IF($F1310="","",IF(Sync!$AE1310="","",IF(ISNUMBER(Sync!$AE1310),IF(AND(Sync!$AE1310&gt;=10000101,Sync!$AE1310&lt;=99991231),INT(Sync!$AE1310/10000),""),IFERROR(VALUE(TRIM(LEFT(Sync!$AE1310,FIND("/",Sync!$AE1310)-1))),""))))</f>
        <v/>
      </c>
      <c r="H1310" t="str">
        <f>IF(OR($F1310="",$G1310=""),"",IF(ISNUMBER(Sync!$AE1310),INT(MOD(Sync!$AE1310,10000)/100),IFERROR(VALUE(TRIM(LEFT(MID(Sync!$AE1310,FIND("/",Sync!$AE1310)+1,20),FIND("/",MID(Sync!$AE1310,FIND("/",Sync!$AE1310)+1,20))-1))),"")))</f>
        <v/>
      </c>
      <c r="I1310" t="str">
        <f>IF(OR($F1310="",$G1310=""),"",IF(ISNUMBER(Sync!$AE1310),MOD(Sync!$AE1310,100),IFERROR(VALUE(TRIM(MID(MID(Sync!$AE1310,FIND("/",Sync!$AE1310)+1,20),FIND("/",MID(Sync!$AE1310,FIND("/",Sync!$AE1310)+1,20))+1,20))),"")))</f>
        <v/>
      </c>
      <c r="J1310" t="str">
        <f t="shared" si="102"/>
        <v/>
      </c>
      <c r="K1310" t="str">
        <f>IF(OR($F1310="",$J1310="",$J1310="نامعتبر"),"",LEFT($J1310,4)&amp;MID($J1310,6,2)&amp;RIGHT($J1310,2)&amp;$N1310&amp;"|"&amp;"2"&amp;RIGHT("00000"&amp;1305,5))</f>
        <v/>
      </c>
      <c r="L1310" t="str">
        <f t="shared" si="103"/>
        <v/>
      </c>
      <c r="M1310" t="str">
        <f t="shared" si="104"/>
        <v/>
      </c>
      <c r="N1310" t="str">
        <f>IF($F1310="","",IF(Sync!$AF1310="","0000",IF(AND(ISNUMBER(Sync!$AF1310),Sync!$AF1310&gt;=0,Sync!$AF1310&lt;1),RIGHT("00"&amp;HOUR(Sync!$AF1310),2)&amp;RIGHT("00"&amp;MINUTE(Sync!$AF1310),2),IFERROR(RIGHT("00"&amp;VALUE(LEFT(Sync!$AF1310,FIND(":",Sync!$AF1310)-1)),2)&amp;RIGHT("00"&amp;VALUE(MID(Sync!$AF1310,FIND(":",Sync!$AF1310)+1,2)),2),"0000"))))</f>
        <v/>
      </c>
    </row>
    <row r="1311" spans="1:14" x14ac:dyDescent="0.2">
      <c r="A1311" t="str">
        <f>IF(OR(Calc!$E1315="",Calc!$E1315="نامعتبر",Calc!$G1315=""),"",Calc!$G1315)</f>
        <v/>
      </c>
      <c r="B1311" t="str">
        <f>IF($A1311="","",LEFT(Calc!$E1315,4)&amp;MID(Calc!$E1315,6,2)&amp;RIGHT(Calc!$E1315,2)&amp;Calc!$Q1315&amp;"|"&amp;"1"&amp;RIGHT("00000"&amp;1306,5))</f>
        <v/>
      </c>
      <c r="C1311" t="str">
        <f t="shared" si="100"/>
        <v/>
      </c>
      <c r="D1311" t="str">
        <f t="shared" si="101"/>
        <v/>
      </c>
      <c r="F1311" t="str">
        <f>IF(Sync!$AH1311="","",IF(LEFT(UPPER(TRIM(Sync!$AH1311)),2)="SL",UPPER(TRIM(Sync!$AH1311)),""))</f>
        <v/>
      </c>
      <c r="G1311" t="str">
        <f>IF($F1311="","",IF(Sync!$AE1311="","",IF(ISNUMBER(Sync!$AE1311),IF(AND(Sync!$AE1311&gt;=10000101,Sync!$AE1311&lt;=99991231),INT(Sync!$AE1311/10000),""),IFERROR(VALUE(TRIM(LEFT(Sync!$AE1311,FIND("/",Sync!$AE1311)-1))),""))))</f>
        <v/>
      </c>
      <c r="H1311" t="str">
        <f>IF(OR($F1311="",$G1311=""),"",IF(ISNUMBER(Sync!$AE1311),INT(MOD(Sync!$AE1311,10000)/100),IFERROR(VALUE(TRIM(LEFT(MID(Sync!$AE1311,FIND("/",Sync!$AE1311)+1,20),FIND("/",MID(Sync!$AE1311,FIND("/",Sync!$AE1311)+1,20))-1))),"")))</f>
        <v/>
      </c>
      <c r="I1311" t="str">
        <f>IF(OR($F1311="",$G1311=""),"",IF(ISNUMBER(Sync!$AE1311),MOD(Sync!$AE1311,100),IFERROR(VALUE(TRIM(MID(MID(Sync!$AE1311,FIND("/",Sync!$AE1311)+1,20),FIND("/",MID(Sync!$AE1311,FIND("/",Sync!$AE1311)+1,20))+1,20))),"")))</f>
        <v/>
      </c>
      <c r="J1311" t="str">
        <f t="shared" si="102"/>
        <v/>
      </c>
      <c r="K1311" t="str">
        <f>IF(OR($F1311="",$J1311="",$J1311="نامعتبر"),"",LEFT($J1311,4)&amp;MID($J1311,6,2)&amp;RIGHT($J1311,2)&amp;$N1311&amp;"|"&amp;"2"&amp;RIGHT("00000"&amp;1306,5))</f>
        <v/>
      </c>
      <c r="L1311" t="str">
        <f t="shared" si="103"/>
        <v/>
      </c>
      <c r="M1311" t="str">
        <f t="shared" si="104"/>
        <v/>
      </c>
      <c r="N1311" t="str">
        <f>IF($F1311="","",IF(Sync!$AF1311="","0000",IF(AND(ISNUMBER(Sync!$AF1311),Sync!$AF1311&gt;=0,Sync!$AF1311&lt;1),RIGHT("00"&amp;HOUR(Sync!$AF1311),2)&amp;RIGHT("00"&amp;MINUTE(Sync!$AF1311),2),IFERROR(RIGHT("00"&amp;VALUE(LEFT(Sync!$AF1311,FIND(":",Sync!$AF1311)-1)),2)&amp;RIGHT("00"&amp;VALUE(MID(Sync!$AF1311,FIND(":",Sync!$AF1311)+1,2)),2),"0000"))))</f>
        <v/>
      </c>
    </row>
    <row r="1312" spans="1:14" x14ac:dyDescent="0.2">
      <c r="A1312" t="str">
        <f>IF(OR(Calc!$E1316="",Calc!$E1316="نامعتبر",Calc!$G1316=""),"",Calc!$G1316)</f>
        <v/>
      </c>
      <c r="B1312" t="str">
        <f>IF($A1312="","",LEFT(Calc!$E1316,4)&amp;MID(Calc!$E1316,6,2)&amp;RIGHT(Calc!$E1316,2)&amp;Calc!$Q1316&amp;"|"&amp;"1"&amp;RIGHT("00000"&amp;1307,5))</f>
        <v/>
      </c>
      <c r="C1312" t="str">
        <f t="shared" si="100"/>
        <v/>
      </c>
      <c r="D1312" t="str">
        <f t="shared" si="101"/>
        <v/>
      </c>
      <c r="F1312" t="str">
        <f>IF(Sync!$AH1312="","",IF(LEFT(UPPER(TRIM(Sync!$AH1312)),2)="SL",UPPER(TRIM(Sync!$AH1312)),""))</f>
        <v/>
      </c>
      <c r="G1312" t="str">
        <f>IF($F1312="","",IF(Sync!$AE1312="","",IF(ISNUMBER(Sync!$AE1312),IF(AND(Sync!$AE1312&gt;=10000101,Sync!$AE1312&lt;=99991231),INT(Sync!$AE1312/10000),""),IFERROR(VALUE(TRIM(LEFT(Sync!$AE1312,FIND("/",Sync!$AE1312)-1))),""))))</f>
        <v/>
      </c>
      <c r="H1312" t="str">
        <f>IF(OR($F1312="",$G1312=""),"",IF(ISNUMBER(Sync!$AE1312),INT(MOD(Sync!$AE1312,10000)/100),IFERROR(VALUE(TRIM(LEFT(MID(Sync!$AE1312,FIND("/",Sync!$AE1312)+1,20),FIND("/",MID(Sync!$AE1312,FIND("/",Sync!$AE1312)+1,20))-1))),"")))</f>
        <v/>
      </c>
      <c r="I1312" t="str">
        <f>IF(OR($F1312="",$G1312=""),"",IF(ISNUMBER(Sync!$AE1312),MOD(Sync!$AE1312,100),IFERROR(VALUE(TRIM(MID(MID(Sync!$AE1312,FIND("/",Sync!$AE1312)+1,20),FIND("/",MID(Sync!$AE1312,FIND("/",Sync!$AE1312)+1,20))+1,20))),"")))</f>
        <v/>
      </c>
      <c r="J1312" t="str">
        <f t="shared" si="102"/>
        <v/>
      </c>
      <c r="K1312" t="str">
        <f>IF(OR($F1312="",$J1312="",$J1312="نامعتبر"),"",LEFT($J1312,4)&amp;MID($J1312,6,2)&amp;RIGHT($J1312,2)&amp;$N1312&amp;"|"&amp;"2"&amp;RIGHT("00000"&amp;1307,5))</f>
        <v/>
      </c>
      <c r="L1312" t="str">
        <f t="shared" si="103"/>
        <v/>
      </c>
      <c r="M1312" t="str">
        <f t="shared" si="104"/>
        <v/>
      </c>
      <c r="N1312" t="str">
        <f>IF($F1312="","",IF(Sync!$AF1312="","0000",IF(AND(ISNUMBER(Sync!$AF1312),Sync!$AF1312&gt;=0,Sync!$AF1312&lt;1),RIGHT("00"&amp;HOUR(Sync!$AF1312),2)&amp;RIGHT("00"&amp;MINUTE(Sync!$AF1312),2),IFERROR(RIGHT("00"&amp;VALUE(LEFT(Sync!$AF1312,FIND(":",Sync!$AF1312)-1)),2)&amp;RIGHT("00"&amp;VALUE(MID(Sync!$AF1312,FIND(":",Sync!$AF1312)+1,2)),2),"0000"))))</f>
        <v/>
      </c>
    </row>
    <row r="1313" spans="1:14" x14ac:dyDescent="0.2">
      <c r="A1313" t="str">
        <f>IF(OR(Calc!$E1317="",Calc!$E1317="نامعتبر",Calc!$G1317=""),"",Calc!$G1317)</f>
        <v/>
      </c>
      <c r="B1313" t="str">
        <f>IF($A1313="","",LEFT(Calc!$E1317,4)&amp;MID(Calc!$E1317,6,2)&amp;RIGHT(Calc!$E1317,2)&amp;Calc!$Q1317&amp;"|"&amp;"1"&amp;RIGHT("00000"&amp;1308,5))</f>
        <v/>
      </c>
      <c r="C1313" t="str">
        <f t="shared" si="100"/>
        <v/>
      </c>
      <c r="D1313" t="str">
        <f t="shared" si="101"/>
        <v/>
      </c>
      <c r="F1313" t="str">
        <f>IF(Sync!$AH1313="","",IF(LEFT(UPPER(TRIM(Sync!$AH1313)),2)="SL",UPPER(TRIM(Sync!$AH1313)),""))</f>
        <v/>
      </c>
      <c r="G1313" t="str">
        <f>IF($F1313="","",IF(Sync!$AE1313="","",IF(ISNUMBER(Sync!$AE1313),IF(AND(Sync!$AE1313&gt;=10000101,Sync!$AE1313&lt;=99991231),INT(Sync!$AE1313/10000),""),IFERROR(VALUE(TRIM(LEFT(Sync!$AE1313,FIND("/",Sync!$AE1313)-1))),""))))</f>
        <v/>
      </c>
      <c r="H1313" t="str">
        <f>IF(OR($F1313="",$G1313=""),"",IF(ISNUMBER(Sync!$AE1313),INT(MOD(Sync!$AE1313,10000)/100),IFERROR(VALUE(TRIM(LEFT(MID(Sync!$AE1313,FIND("/",Sync!$AE1313)+1,20),FIND("/",MID(Sync!$AE1313,FIND("/",Sync!$AE1313)+1,20))-1))),"")))</f>
        <v/>
      </c>
      <c r="I1313" t="str">
        <f>IF(OR($F1313="",$G1313=""),"",IF(ISNUMBER(Sync!$AE1313),MOD(Sync!$AE1313,100),IFERROR(VALUE(TRIM(MID(MID(Sync!$AE1313,FIND("/",Sync!$AE1313)+1,20),FIND("/",MID(Sync!$AE1313,FIND("/",Sync!$AE1313)+1,20))+1,20))),"")))</f>
        <v/>
      </c>
      <c r="J1313" t="str">
        <f t="shared" si="102"/>
        <v/>
      </c>
      <c r="K1313" t="str">
        <f>IF(OR($F1313="",$J1313="",$J1313="نامعتبر"),"",LEFT($J1313,4)&amp;MID($J1313,6,2)&amp;RIGHT($J1313,2)&amp;$N1313&amp;"|"&amp;"2"&amp;RIGHT("00000"&amp;1308,5))</f>
        <v/>
      </c>
      <c r="L1313" t="str">
        <f t="shared" si="103"/>
        <v/>
      </c>
      <c r="M1313" t="str">
        <f t="shared" si="104"/>
        <v/>
      </c>
      <c r="N1313" t="str">
        <f>IF($F1313="","",IF(Sync!$AF1313="","0000",IF(AND(ISNUMBER(Sync!$AF1313),Sync!$AF1313&gt;=0,Sync!$AF1313&lt;1),RIGHT("00"&amp;HOUR(Sync!$AF1313),2)&amp;RIGHT("00"&amp;MINUTE(Sync!$AF1313),2),IFERROR(RIGHT("00"&amp;VALUE(LEFT(Sync!$AF1313,FIND(":",Sync!$AF1313)-1)),2)&amp;RIGHT("00"&amp;VALUE(MID(Sync!$AF1313,FIND(":",Sync!$AF1313)+1,2)),2),"0000"))))</f>
        <v/>
      </c>
    </row>
    <row r="1314" spans="1:14" x14ac:dyDescent="0.2">
      <c r="A1314" t="str">
        <f>IF(OR(Calc!$E1318="",Calc!$E1318="نامعتبر",Calc!$G1318=""),"",Calc!$G1318)</f>
        <v/>
      </c>
      <c r="B1314" t="str">
        <f>IF($A1314="","",LEFT(Calc!$E1318,4)&amp;MID(Calc!$E1318,6,2)&amp;RIGHT(Calc!$E1318,2)&amp;Calc!$Q1318&amp;"|"&amp;"1"&amp;RIGHT("00000"&amp;1309,5))</f>
        <v/>
      </c>
      <c r="C1314" t="str">
        <f t="shared" si="100"/>
        <v/>
      </c>
      <c r="D1314" t="str">
        <f t="shared" si="101"/>
        <v/>
      </c>
      <c r="F1314" t="str">
        <f>IF(Sync!$AH1314="","",IF(LEFT(UPPER(TRIM(Sync!$AH1314)),2)="SL",UPPER(TRIM(Sync!$AH1314)),""))</f>
        <v/>
      </c>
      <c r="G1314" t="str">
        <f>IF($F1314="","",IF(Sync!$AE1314="","",IF(ISNUMBER(Sync!$AE1314),IF(AND(Sync!$AE1314&gt;=10000101,Sync!$AE1314&lt;=99991231),INT(Sync!$AE1314/10000),""),IFERROR(VALUE(TRIM(LEFT(Sync!$AE1314,FIND("/",Sync!$AE1314)-1))),""))))</f>
        <v/>
      </c>
      <c r="H1314" t="str">
        <f>IF(OR($F1314="",$G1314=""),"",IF(ISNUMBER(Sync!$AE1314),INT(MOD(Sync!$AE1314,10000)/100),IFERROR(VALUE(TRIM(LEFT(MID(Sync!$AE1314,FIND("/",Sync!$AE1314)+1,20),FIND("/",MID(Sync!$AE1314,FIND("/",Sync!$AE1314)+1,20))-1))),"")))</f>
        <v/>
      </c>
      <c r="I1314" t="str">
        <f>IF(OR($F1314="",$G1314=""),"",IF(ISNUMBER(Sync!$AE1314),MOD(Sync!$AE1314,100),IFERROR(VALUE(TRIM(MID(MID(Sync!$AE1314,FIND("/",Sync!$AE1314)+1,20),FIND("/",MID(Sync!$AE1314,FIND("/",Sync!$AE1314)+1,20))+1,20))),"")))</f>
        <v/>
      </c>
      <c r="J1314" t="str">
        <f t="shared" si="102"/>
        <v/>
      </c>
      <c r="K1314" t="str">
        <f>IF(OR($F1314="",$J1314="",$J1314="نامعتبر"),"",LEFT($J1314,4)&amp;MID($J1314,6,2)&amp;RIGHT($J1314,2)&amp;$N1314&amp;"|"&amp;"2"&amp;RIGHT("00000"&amp;1309,5))</f>
        <v/>
      </c>
      <c r="L1314" t="str">
        <f t="shared" si="103"/>
        <v/>
      </c>
      <c r="M1314" t="str">
        <f t="shared" si="104"/>
        <v/>
      </c>
      <c r="N1314" t="str">
        <f>IF($F1314="","",IF(Sync!$AF1314="","0000",IF(AND(ISNUMBER(Sync!$AF1314),Sync!$AF1314&gt;=0,Sync!$AF1314&lt;1),RIGHT("00"&amp;HOUR(Sync!$AF1314),2)&amp;RIGHT("00"&amp;MINUTE(Sync!$AF1314),2),IFERROR(RIGHT("00"&amp;VALUE(LEFT(Sync!$AF1314,FIND(":",Sync!$AF1314)-1)),2)&amp;RIGHT("00"&amp;VALUE(MID(Sync!$AF1314,FIND(":",Sync!$AF1314)+1,2)),2),"0000"))))</f>
        <v/>
      </c>
    </row>
    <row r="1315" spans="1:14" x14ac:dyDescent="0.2">
      <c r="A1315" t="str">
        <f>IF(OR(Calc!$E1319="",Calc!$E1319="نامعتبر",Calc!$G1319=""),"",Calc!$G1319)</f>
        <v/>
      </c>
      <c r="B1315" t="str">
        <f>IF($A1315="","",LEFT(Calc!$E1319,4)&amp;MID(Calc!$E1319,6,2)&amp;RIGHT(Calc!$E1319,2)&amp;Calc!$Q1319&amp;"|"&amp;"1"&amp;RIGHT("00000"&amp;1310,5))</f>
        <v/>
      </c>
      <c r="C1315" t="str">
        <f t="shared" si="100"/>
        <v/>
      </c>
      <c r="D1315" t="str">
        <f t="shared" si="101"/>
        <v/>
      </c>
      <c r="F1315" t="str">
        <f>IF(Sync!$AH1315="","",IF(LEFT(UPPER(TRIM(Sync!$AH1315)),2)="SL",UPPER(TRIM(Sync!$AH1315)),""))</f>
        <v/>
      </c>
      <c r="G1315" t="str">
        <f>IF($F1315="","",IF(Sync!$AE1315="","",IF(ISNUMBER(Sync!$AE1315),IF(AND(Sync!$AE1315&gt;=10000101,Sync!$AE1315&lt;=99991231),INT(Sync!$AE1315/10000),""),IFERROR(VALUE(TRIM(LEFT(Sync!$AE1315,FIND("/",Sync!$AE1315)-1))),""))))</f>
        <v/>
      </c>
      <c r="H1315" t="str">
        <f>IF(OR($F1315="",$G1315=""),"",IF(ISNUMBER(Sync!$AE1315),INT(MOD(Sync!$AE1315,10000)/100),IFERROR(VALUE(TRIM(LEFT(MID(Sync!$AE1315,FIND("/",Sync!$AE1315)+1,20),FIND("/",MID(Sync!$AE1315,FIND("/",Sync!$AE1315)+1,20))-1))),"")))</f>
        <v/>
      </c>
      <c r="I1315" t="str">
        <f>IF(OR($F1315="",$G1315=""),"",IF(ISNUMBER(Sync!$AE1315),MOD(Sync!$AE1315,100),IFERROR(VALUE(TRIM(MID(MID(Sync!$AE1315,FIND("/",Sync!$AE1315)+1,20),FIND("/",MID(Sync!$AE1315,FIND("/",Sync!$AE1315)+1,20))+1,20))),"")))</f>
        <v/>
      </c>
      <c r="J1315" t="str">
        <f t="shared" si="102"/>
        <v/>
      </c>
      <c r="K1315" t="str">
        <f>IF(OR($F1315="",$J1315="",$J1315="نامعتبر"),"",LEFT($J1315,4)&amp;MID($J1315,6,2)&amp;RIGHT($J1315,2)&amp;$N1315&amp;"|"&amp;"2"&amp;RIGHT("00000"&amp;1310,5))</f>
        <v/>
      </c>
      <c r="L1315" t="str">
        <f t="shared" si="103"/>
        <v/>
      </c>
      <c r="M1315" t="str">
        <f t="shared" si="104"/>
        <v/>
      </c>
      <c r="N1315" t="str">
        <f>IF($F1315="","",IF(Sync!$AF1315="","0000",IF(AND(ISNUMBER(Sync!$AF1315),Sync!$AF1315&gt;=0,Sync!$AF1315&lt;1),RIGHT("00"&amp;HOUR(Sync!$AF1315),2)&amp;RIGHT("00"&amp;MINUTE(Sync!$AF1315),2),IFERROR(RIGHT("00"&amp;VALUE(LEFT(Sync!$AF1315,FIND(":",Sync!$AF1315)-1)),2)&amp;RIGHT("00"&amp;VALUE(MID(Sync!$AF1315,FIND(":",Sync!$AF1315)+1,2)),2),"0000"))))</f>
        <v/>
      </c>
    </row>
    <row r="1316" spans="1:14" x14ac:dyDescent="0.2">
      <c r="A1316" t="str">
        <f>IF(OR(Calc!$E1320="",Calc!$E1320="نامعتبر",Calc!$G1320=""),"",Calc!$G1320)</f>
        <v/>
      </c>
      <c r="B1316" t="str">
        <f>IF($A1316="","",LEFT(Calc!$E1320,4)&amp;MID(Calc!$E1320,6,2)&amp;RIGHT(Calc!$E1320,2)&amp;Calc!$Q1320&amp;"|"&amp;"1"&amp;RIGHT("00000"&amp;1311,5))</f>
        <v/>
      </c>
      <c r="C1316" t="str">
        <f t="shared" si="100"/>
        <v/>
      </c>
      <c r="D1316" t="str">
        <f t="shared" si="101"/>
        <v/>
      </c>
      <c r="F1316" t="str">
        <f>IF(Sync!$AH1316="","",IF(LEFT(UPPER(TRIM(Sync!$AH1316)),2)="SL",UPPER(TRIM(Sync!$AH1316)),""))</f>
        <v/>
      </c>
      <c r="G1316" t="str">
        <f>IF($F1316="","",IF(Sync!$AE1316="","",IF(ISNUMBER(Sync!$AE1316),IF(AND(Sync!$AE1316&gt;=10000101,Sync!$AE1316&lt;=99991231),INT(Sync!$AE1316/10000),""),IFERROR(VALUE(TRIM(LEFT(Sync!$AE1316,FIND("/",Sync!$AE1316)-1))),""))))</f>
        <v/>
      </c>
      <c r="H1316" t="str">
        <f>IF(OR($F1316="",$G1316=""),"",IF(ISNUMBER(Sync!$AE1316),INT(MOD(Sync!$AE1316,10000)/100),IFERROR(VALUE(TRIM(LEFT(MID(Sync!$AE1316,FIND("/",Sync!$AE1316)+1,20),FIND("/",MID(Sync!$AE1316,FIND("/",Sync!$AE1316)+1,20))-1))),"")))</f>
        <v/>
      </c>
      <c r="I1316" t="str">
        <f>IF(OR($F1316="",$G1316=""),"",IF(ISNUMBER(Sync!$AE1316),MOD(Sync!$AE1316,100),IFERROR(VALUE(TRIM(MID(MID(Sync!$AE1316,FIND("/",Sync!$AE1316)+1,20),FIND("/",MID(Sync!$AE1316,FIND("/",Sync!$AE1316)+1,20))+1,20))),"")))</f>
        <v/>
      </c>
      <c r="J1316" t="str">
        <f t="shared" si="102"/>
        <v/>
      </c>
      <c r="K1316" t="str">
        <f>IF(OR($F1316="",$J1316="",$J1316="نامعتبر"),"",LEFT($J1316,4)&amp;MID($J1316,6,2)&amp;RIGHT($J1316,2)&amp;$N1316&amp;"|"&amp;"2"&amp;RIGHT("00000"&amp;1311,5))</f>
        <v/>
      </c>
      <c r="L1316" t="str">
        <f t="shared" si="103"/>
        <v/>
      </c>
      <c r="M1316" t="str">
        <f t="shared" si="104"/>
        <v/>
      </c>
      <c r="N1316" t="str">
        <f>IF($F1316="","",IF(Sync!$AF1316="","0000",IF(AND(ISNUMBER(Sync!$AF1316),Sync!$AF1316&gt;=0,Sync!$AF1316&lt;1),RIGHT("00"&amp;HOUR(Sync!$AF1316),2)&amp;RIGHT("00"&amp;MINUTE(Sync!$AF1316),2),IFERROR(RIGHT("00"&amp;VALUE(LEFT(Sync!$AF1316,FIND(":",Sync!$AF1316)-1)),2)&amp;RIGHT("00"&amp;VALUE(MID(Sync!$AF1316,FIND(":",Sync!$AF1316)+1,2)),2),"0000"))))</f>
        <v/>
      </c>
    </row>
    <row r="1317" spans="1:14" x14ac:dyDescent="0.2">
      <c r="A1317" t="str">
        <f>IF(OR(Calc!$E1321="",Calc!$E1321="نامعتبر",Calc!$G1321=""),"",Calc!$G1321)</f>
        <v/>
      </c>
      <c r="B1317" t="str">
        <f>IF($A1317="","",LEFT(Calc!$E1321,4)&amp;MID(Calc!$E1321,6,2)&amp;RIGHT(Calc!$E1321,2)&amp;Calc!$Q1321&amp;"|"&amp;"1"&amp;RIGHT("00000"&amp;1312,5))</f>
        <v/>
      </c>
      <c r="C1317" t="str">
        <f t="shared" si="100"/>
        <v/>
      </c>
      <c r="D1317" t="str">
        <f t="shared" si="101"/>
        <v/>
      </c>
      <c r="F1317" t="str">
        <f>IF(Sync!$AH1317="","",IF(LEFT(UPPER(TRIM(Sync!$AH1317)),2)="SL",UPPER(TRIM(Sync!$AH1317)),""))</f>
        <v/>
      </c>
      <c r="G1317" t="str">
        <f>IF($F1317="","",IF(Sync!$AE1317="","",IF(ISNUMBER(Sync!$AE1317),IF(AND(Sync!$AE1317&gt;=10000101,Sync!$AE1317&lt;=99991231),INT(Sync!$AE1317/10000),""),IFERROR(VALUE(TRIM(LEFT(Sync!$AE1317,FIND("/",Sync!$AE1317)-1))),""))))</f>
        <v/>
      </c>
      <c r="H1317" t="str">
        <f>IF(OR($F1317="",$G1317=""),"",IF(ISNUMBER(Sync!$AE1317),INT(MOD(Sync!$AE1317,10000)/100),IFERROR(VALUE(TRIM(LEFT(MID(Sync!$AE1317,FIND("/",Sync!$AE1317)+1,20),FIND("/",MID(Sync!$AE1317,FIND("/",Sync!$AE1317)+1,20))-1))),"")))</f>
        <v/>
      </c>
      <c r="I1317" t="str">
        <f>IF(OR($F1317="",$G1317=""),"",IF(ISNUMBER(Sync!$AE1317),MOD(Sync!$AE1317,100),IFERROR(VALUE(TRIM(MID(MID(Sync!$AE1317,FIND("/",Sync!$AE1317)+1,20),FIND("/",MID(Sync!$AE1317,FIND("/",Sync!$AE1317)+1,20))+1,20))),"")))</f>
        <v/>
      </c>
      <c r="J1317" t="str">
        <f t="shared" si="102"/>
        <v/>
      </c>
      <c r="K1317" t="str">
        <f>IF(OR($F1317="",$J1317="",$J1317="نامعتبر"),"",LEFT($J1317,4)&amp;MID($J1317,6,2)&amp;RIGHT($J1317,2)&amp;$N1317&amp;"|"&amp;"2"&amp;RIGHT("00000"&amp;1312,5))</f>
        <v/>
      </c>
      <c r="L1317" t="str">
        <f t="shared" si="103"/>
        <v/>
      </c>
      <c r="M1317" t="str">
        <f t="shared" si="104"/>
        <v/>
      </c>
      <c r="N1317" t="str">
        <f>IF($F1317="","",IF(Sync!$AF1317="","0000",IF(AND(ISNUMBER(Sync!$AF1317),Sync!$AF1317&gt;=0,Sync!$AF1317&lt;1),RIGHT("00"&amp;HOUR(Sync!$AF1317),2)&amp;RIGHT("00"&amp;MINUTE(Sync!$AF1317),2),IFERROR(RIGHT("00"&amp;VALUE(LEFT(Sync!$AF1317,FIND(":",Sync!$AF1317)-1)),2)&amp;RIGHT("00"&amp;VALUE(MID(Sync!$AF1317,FIND(":",Sync!$AF1317)+1,2)),2),"0000"))))</f>
        <v/>
      </c>
    </row>
    <row r="1318" spans="1:14" x14ac:dyDescent="0.2">
      <c r="A1318" t="str">
        <f>IF(OR(Calc!$E1322="",Calc!$E1322="نامعتبر",Calc!$G1322=""),"",Calc!$G1322)</f>
        <v/>
      </c>
      <c r="B1318" t="str">
        <f>IF($A1318="","",LEFT(Calc!$E1322,4)&amp;MID(Calc!$E1322,6,2)&amp;RIGHT(Calc!$E1322,2)&amp;Calc!$Q1322&amp;"|"&amp;"1"&amp;RIGHT("00000"&amp;1313,5))</f>
        <v/>
      </c>
      <c r="C1318" t="str">
        <f t="shared" si="100"/>
        <v/>
      </c>
      <c r="D1318" t="str">
        <f t="shared" si="101"/>
        <v/>
      </c>
      <c r="F1318" t="str">
        <f>IF(Sync!$AH1318="","",IF(LEFT(UPPER(TRIM(Sync!$AH1318)),2)="SL",UPPER(TRIM(Sync!$AH1318)),""))</f>
        <v/>
      </c>
      <c r="G1318" t="str">
        <f>IF($F1318="","",IF(Sync!$AE1318="","",IF(ISNUMBER(Sync!$AE1318),IF(AND(Sync!$AE1318&gt;=10000101,Sync!$AE1318&lt;=99991231),INT(Sync!$AE1318/10000),""),IFERROR(VALUE(TRIM(LEFT(Sync!$AE1318,FIND("/",Sync!$AE1318)-1))),""))))</f>
        <v/>
      </c>
      <c r="H1318" t="str">
        <f>IF(OR($F1318="",$G1318=""),"",IF(ISNUMBER(Sync!$AE1318),INT(MOD(Sync!$AE1318,10000)/100),IFERROR(VALUE(TRIM(LEFT(MID(Sync!$AE1318,FIND("/",Sync!$AE1318)+1,20),FIND("/",MID(Sync!$AE1318,FIND("/",Sync!$AE1318)+1,20))-1))),"")))</f>
        <v/>
      </c>
      <c r="I1318" t="str">
        <f>IF(OR($F1318="",$G1318=""),"",IF(ISNUMBER(Sync!$AE1318),MOD(Sync!$AE1318,100),IFERROR(VALUE(TRIM(MID(MID(Sync!$AE1318,FIND("/",Sync!$AE1318)+1,20),FIND("/",MID(Sync!$AE1318,FIND("/",Sync!$AE1318)+1,20))+1,20))),"")))</f>
        <v/>
      </c>
      <c r="J1318" t="str">
        <f t="shared" si="102"/>
        <v/>
      </c>
      <c r="K1318" t="str">
        <f>IF(OR($F1318="",$J1318="",$J1318="نامعتبر"),"",LEFT($J1318,4)&amp;MID($J1318,6,2)&amp;RIGHT($J1318,2)&amp;$N1318&amp;"|"&amp;"2"&amp;RIGHT("00000"&amp;1313,5))</f>
        <v/>
      </c>
      <c r="L1318" t="str">
        <f t="shared" si="103"/>
        <v/>
      </c>
      <c r="M1318" t="str">
        <f t="shared" si="104"/>
        <v/>
      </c>
      <c r="N1318" t="str">
        <f>IF($F1318="","",IF(Sync!$AF1318="","0000",IF(AND(ISNUMBER(Sync!$AF1318),Sync!$AF1318&gt;=0,Sync!$AF1318&lt;1),RIGHT("00"&amp;HOUR(Sync!$AF1318),2)&amp;RIGHT("00"&amp;MINUTE(Sync!$AF1318),2),IFERROR(RIGHT("00"&amp;VALUE(LEFT(Sync!$AF1318,FIND(":",Sync!$AF1318)-1)),2)&amp;RIGHT("00"&amp;VALUE(MID(Sync!$AF1318,FIND(":",Sync!$AF1318)+1,2)),2),"0000"))))</f>
        <v/>
      </c>
    </row>
    <row r="1319" spans="1:14" x14ac:dyDescent="0.2">
      <c r="A1319" t="str">
        <f>IF(OR(Calc!$E1323="",Calc!$E1323="نامعتبر",Calc!$G1323=""),"",Calc!$G1323)</f>
        <v/>
      </c>
      <c r="B1319" t="str">
        <f>IF($A1319="","",LEFT(Calc!$E1323,4)&amp;MID(Calc!$E1323,6,2)&amp;RIGHT(Calc!$E1323,2)&amp;Calc!$Q1323&amp;"|"&amp;"1"&amp;RIGHT("00000"&amp;1314,5))</f>
        <v/>
      </c>
      <c r="C1319" t="str">
        <f t="shared" si="100"/>
        <v/>
      </c>
      <c r="D1319" t="str">
        <f t="shared" si="101"/>
        <v/>
      </c>
      <c r="F1319" t="str">
        <f>IF(Sync!$AH1319="","",IF(LEFT(UPPER(TRIM(Sync!$AH1319)),2)="SL",UPPER(TRIM(Sync!$AH1319)),""))</f>
        <v/>
      </c>
      <c r="G1319" t="str">
        <f>IF($F1319="","",IF(Sync!$AE1319="","",IF(ISNUMBER(Sync!$AE1319),IF(AND(Sync!$AE1319&gt;=10000101,Sync!$AE1319&lt;=99991231),INT(Sync!$AE1319/10000),""),IFERROR(VALUE(TRIM(LEFT(Sync!$AE1319,FIND("/",Sync!$AE1319)-1))),""))))</f>
        <v/>
      </c>
      <c r="H1319" t="str">
        <f>IF(OR($F1319="",$G1319=""),"",IF(ISNUMBER(Sync!$AE1319),INT(MOD(Sync!$AE1319,10000)/100),IFERROR(VALUE(TRIM(LEFT(MID(Sync!$AE1319,FIND("/",Sync!$AE1319)+1,20),FIND("/",MID(Sync!$AE1319,FIND("/",Sync!$AE1319)+1,20))-1))),"")))</f>
        <v/>
      </c>
      <c r="I1319" t="str">
        <f>IF(OR($F1319="",$G1319=""),"",IF(ISNUMBER(Sync!$AE1319),MOD(Sync!$AE1319,100),IFERROR(VALUE(TRIM(MID(MID(Sync!$AE1319,FIND("/",Sync!$AE1319)+1,20),FIND("/",MID(Sync!$AE1319,FIND("/",Sync!$AE1319)+1,20))+1,20))),"")))</f>
        <v/>
      </c>
      <c r="J1319" t="str">
        <f t="shared" si="102"/>
        <v/>
      </c>
      <c r="K1319" t="str">
        <f>IF(OR($F1319="",$J1319="",$J1319="نامعتبر"),"",LEFT($J1319,4)&amp;MID($J1319,6,2)&amp;RIGHT($J1319,2)&amp;$N1319&amp;"|"&amp;"2"&amp;RIGHT("00000"&amp;1314,5))</f>
        <v/>
      </c>
      <c r="L1319" t="str">
        <f t="shared" si="103"/>
        <v/>
      </c>
      <c r="M1319" t="str">
        <f t="shared" si="104"/>
        <v/>
      </c>
      <c r="N1319" t="str">
        <f>IF($F1319="","",IF(Sync!$AF1319="","0000",IF(AND(ISNUMBER(Sync!$AF1319),Sync!$AF1319&gt;=0,Sync!$AF1319&lt;1),RIGHT("00"&amp;HOUR(Sync!$AF1319),2)&amp;RIGHT("00"&amp;MINUTE(Sync!$AF1319),2),IFERROR(RIGHT("00"&amp;VALUE(LEFT(Sync!$AF1319,FIND(":",Sync!$AF1319)-1)),2)&amp;RIGHT("00"&amp;VALUE(MID(Sync!$AF1319,FIND(":",Sync!$AF1319)+1,2)),2),"0000"))))</f>
        <v/>
      </c>
    </row>
    <row r="1320" spans="1:14" x14ac:dyDescent="0.2">
      <c r="A1320" t="str">
        <f>IF(OR(Calc!$E1324="",Calc!$E1324="نامعتبر",Calc!$G1324=""),"",Calc!$G1324)</f>
        <v/>
      </c>
      <c r="B1320" t="str">
        <f>IF($A1320="","",LEFT(Calc!$E1324,4)&amp;MID(Calc!$E1324,6,2)&amp;RIGHT(Calc!$E1324,2)&amp;Calc!$Q1324&amp;"|"&amp;"1"&amp;RIGHT("00000"&amp;1315,5))</f>
        <v/>
      </c>
      <c r="C1320" t="str">
        <f t="shared" si="100"/>
        <v/>
      </c>
      <c r="D1320" t="str">
        <f t="shared" si="101"/>
        <v/>
      </c>
      <c r="F1320" t="str">
        <f>IF(Sync!$AH1320="","",IF(LEFT(UPPER(TRIM(Sync!$AH1320)),2)="SL",UPPER(TRIM(Sync!$AH1320)),""))</f>
        <v/>
      </c>
      <c r="G1320" t="str">
        <f>IF($F1320="","",IF(Sync!$AE1320="","",IF(ISNUMBER(Sync!$AE1320),IF(AND(Sync!$AE1320&gt;=10000101,Sync!$AE1320&lt;=99991231),INT(Sync!$AE1320/10000),""),IFERROR(VALUE(TRIM(LEFT(Sync!$AE1320,FIND("/",Sync!$AE1320)-1))),""))))</f>
        <v/>
      </c>
      <c r="H1320" t="str">
        <f>IF(OR($F1320="",$G1320=""),"",IF(ISNUMBER(Sync!$AE1320),INT(MOD(Sync!$AE1320,10000)/100),IFERROR(VALUE(TRIM(LEFT(MID(Sync!$AE1320,FIND("/",Sync!$AE1320)+1,20),FIND("/",MID(Sync!$AE1320,FIND("/",Sync!$AE1320)+1,20))-1))),"")))</f>
        <v/>
      </c>
      <c r="I1320" t="str">
        <f>IF(OR($F1320="",$G1320=""),"",IF(ISNUMBER(Sync!$AE1320),MOD(Sync!$AE1320,100),IFERROR(VALUE(TRIM(MID(MID(Sync!$AE1320,FIND("/",Sync!$AE1320)+1,20),FIND("/",MID(Sync!$AE1320,FIND("/",Sync!$AE1320)+1,20))+1,20))),"")))</f>
        <v/>
      </c>
      <c r="J1320" t="str">
        <f t="shared" si="102"/>
        <v/>
      </c>
      <c r="K1320" t="str">
        <f>IF(OR($F1320="",$J1320="",$J1320="نامعتبر"),"",LEFT($J1320,4)&amp;MID($J1320,6,2)&amp;RIGHT($J1320,2)&amp;$N1320&amp;"|"&amp;"2"&amp;RIGHT("00000"&amp;1315,5))</f>
        <v/>
      </c>
      <c r="L1320" t="str">
        <f t="shared" si="103"/>
        <v/>
      </c>
      <c r="M1320" t="str">
        <f t="shared" si="104"/>
        <v/>
      </c>
      <c r="N1320" t="str">
        <f>IF($F1320="","",IF(Sync!$AF1320="","0000",IF(AND(ISNUMBER(Sync!$AF1320),Sync!$AF1320&gt;=0,Sync!$AF1320&lt;1),RIGHT("00"&amp;HOUR(Sync!$AF1320),2)&amp;RIGHT("00"&amp;MINUTE(Sync!$AF1320),2),IFERROR(RIGHT("00"&amp;VALUE(LEFT(Sync!$AF1320,FIND(":",Sync!$AF1320)-1)),2)&amp;RIGHT("00"&amp;VALUE(MID(Sync!$AF1320,FIND(":",Sync!$AF1320)+1,2)),2),"0000"))))</f>
        <v/>
      </c>
    </row>
    <row r="1321" spans="1:14" x14ac:dyDescent="0.2">
      <c r="A1321" t="str">
        <f>IF(OR(Calc!$E1325="",Calc!$E1325="نامعتبر",Calc!$G1325=""),"",Calc!$G1325)</f>
        <v/>
      </c>
      <c r="B1321" t="str">
        <f>IF($A1321="","",LEFT(Calc!$E1325,4)&amp;MID(Calc!$E1325,6,2)&amp;RIGHT(Calc!$E1325,2)&amp;Calc!$Q1325&amp;"|"&amp;"1"&amp;RIGHT("00000"&amp;1316,5))</f>
        <v/>
      </c>
      <c r="C1321" t="str">
        <f t="shared" si="100"/>
        <v/>
      </c>
      <c r="D1321" t="str">
        <f t="shared" si="101"/>
        <v/>
      </c>
      <c r="F1321" t="str">
        <f>IF(Sync!$AH1321="","",IF(LEFT(UPPER(TRIM(Sync!$AH1321)),2)="SL",UPPER(TRIM(Sync!$AH1321)),""))</f>
        <v/>
      </c>
      <c r="G1321" t="str">
        <f>IF($F1321="","",IF(Sync!$AE1321="","",IF(ISNUMBER(Sync!$AE1321),IF(AND(Sync!$AE1321&gt;=10000101,Sync!$AE1321&lt;=99991231),INT(Sync!$AE1321/10000),""),IFERROR(VALUE(TRIM(LEFT(Sync!$AE1321,FIND("/",Sync!$AE1321)-1))),""))))</f>
        <v/>
      </c>
      <c r="H1321" t="str">
        <f>IF(OR($F1321="",$G1321=""),"",IF(ISNUMBER(Sync!$AE1321),INT(MOD(Sync!$AE1321,10000)/100),IFERROR(VALUE(TRIM(LEFT(MID(Sync!$AE1321,FIND("/",Sync!$AE1321)+1,20),FIND("/",MID(Sync!$AE1321,FIND("/",Sync!$AE1321)+1,20))-1))),"")))</f>
        <v/>
      </c>
      <c r="I1321" t="str">
        <f>IF(OR($F1321="",$G1321=""),"",IF(ISNUMBER(Sync!$AE1321),MOD(Sync!$AE1321,100),IFERROR(VALUE(TRIM(MID(MID(Sync!$AE1321,FIND("/",Sync!$AE1321)+1,20),FIND("/",MID(Sync!$AE1321,FIND("/",Sync!$AE1321)+1,20))+1,20))),"")))</f>
        <v/>
      </c>
      <c r="J1321" t="str">
        <f t="shared" si="102"/>
        <v/>
      </c>
      <c r="K1321" t="str">
        <f>IF(OR($F1321="",$J1321="",$J1321="نامعتبر"),"",LEFT($J1321,4)&amp;MID($J1321,6,2)&amp;RIGHT($J1321,2)&amp;$N1321&amp;"|"&amp;"2"&amp;RIGHT("00000"&amp;1316,5))</f>
        <v/>
      </c>
      <c r="L1321" t="str">
        <f t="shared" si="103"/>
        <v/>
      </c>
      <c r="M1321" t="str">
        <f t="shared" si="104"/>
        <v/>
      </c>
      <c r="N1321" t="str">
        <f>IF($F1321="","",IF(Sync!$AF1321="","0000",IF(AND(ISNUMBER(Sync!$AF1321),Sync!$AF1321&gt;=0,Sync!$AF1321&lt;1),RIGHT("00"&amp;HOUR(Sync!$AF1321),2)&amp;RIGHT("00"&amp;MINUTE(Sync!$AF1321),2),IFERROR(RIGHT("00"&amp;VALUE(LEFT(Sync!$AF1321,FIND(":",Sync!$AF1321)-1)),2)&amp;RIGHT("00"&amp;VALUE(MID(Sync!$AF1321,FIND(":",Sync!$AF1321)+1,2)),2),"0000"))))</f>
        <v/>
      </c>
    </row>
    <row r="1322" spans="1:14" x14ac:dyDescent="0.2">
      <c r="A1322" t="str">
        <f>IF(OR(Calc!$E1326="",Calc!$E1326="نامعتبر",Calc!$G1326=""),"",Calc!$G1326)</f>
        <v/>
      </c>
      <c r="B1322" t="str">
        <f>IF($A1322="","",LEFT(Calc!$E1326,4)&amp;MID(Calc!$E1326,6,2)&amp;RIGHT(Calc!$E1326,2)&amp;Calc!$Q1326&amp;"|"&amp;"1"&amp;RIGHT("00000"&amp;1317,5))</f>
        <v/>
      </c>
      <c r="C1322" t="str">
        <f t="shared" si="100"/>
        <v/>
      </c>
      <c r="D1322" t="str">
        <f t="shared" si="101"/>
        <v/>
      </c>
      <c r="F1322" t="str">
        <f>IF(Sync!$AH1322="","",IF(LEFT(UPPER(TRIM(Sync!$AH1322)),2)="SL",UPPER(TRIM(Sync!$AH1322)),""))</f>
        <v/>
      </c>
      <c r="G1322" t="str">
        <f>IF($F1322="","",IF(Sync!$AE1322="","",IF(ISNUMBER(Sync!$AE1322),IF(AND(Sync!$AE1322&gt;=10000101,Sync!$AE1322&lt;=99991231),INT(Sync!$AE1322/10000),""),IFERROR(VALUE(TRIM(LEFT(Sync!$AE1322,FIND("/",Sync!$AE1322)-1))),""))))</f>
        <v/>
      </c>
      <c r="H1322" t="str">
        <f>IF(OR($F1322="",$G1322=""),"",IF(ISNUMBER(Sync!$AE1322),INT(MOD(Sync!$AE1322,10000)/100),IFERROR(VALUE(TRIM(LEFT(MID(Sync!$AE1322,FIND("/",Sync!$AE1322)+1,20),FIND("/",MID(Sync!$AE1322,FIND("/",Sync!$AE1322)+1,20))-1))),"")))</f>
        <v/>
      </c>
      <c r="I1322" t="str">
        <f>IF(OR($F1322="",$G1322=""),"",IF(ISNUMBER(Sync!$AE1322),MOD(Sync!$AE1322,100),IFERROR(VALUE(TRIM(MID(MID(Sync!$AE1322,FIND("/",Sync!$AE1322)+1,20),FIND("/",MID(Sync!$AE1322,FIND("/",Sync!$AE1322)+1,20))+1,20))),"")))</f>
        <v/>
      </c>
      <c r="J1322" t="str">
        <f t="shared" si="102"/>
        <v/>
      </c>
      <c r="K1322" t="str">
        <f>IF(OR($F1322="",$J1322="",$J1322="نامعتبر"),"",LEFT($J1322,4)&amp;MID($J1322,6,2)&amp;RIGHT($J1322,2)&amp;$N1322&amp;"|"&amp;"2"&amp;RIGHT("00000"&amp;1317,5))</f>
        <v/>
      </c>
      <c r="L1322" t="str">
        <f t="shared" si="103"/>
        <v/>
      </c>
      <c r="M1322" t="str">
        <f t="shared" si="104"/>
        <v/>
      </c>
      <c r="N1322" t="str">
        <f>IF($F1322="","",IF(Sync!$AF1322="","0000",IF(AND(ISNUMBER(Sync!$AF1322),Sync!$AF1322&gt;=0,Sync!$AF1322&lt;1),RIGHT("00"&amp;HOUR(Sync!$AF1322),2)&amp;RIGHT("00"&amp;MINUTE(Sync!$AF1322),2),IFERROR(RIGHT("00"&amp;VALUE(LEFT(Sync!$AF1322,FIND(":",Sync!$AF1322)-1)),2)&amp;RIGHT("00"&amp;VALUE(MID(Sync!$AF1322,FIND(":",Sync!$AF1322)+1,2)),2),"0000"))))</f>
        <v/>
      </c>
    </row>
    <row r="1323" spans="1:14" x14ac:dyDescent="0.2">
      <c r="A1323" t="str">
        <f>IF(OR(Calc!$E1327="",Calc!$E1327="نامعتبر",Calc!$G1327=""),"",Calc!$G1327)</f>
        <v/>
      </c>
      <c r="B1323" t="str">
        <f>IF($A1323="","",LEFT(Calc!$E1327,4)&amp;MID(Calc!$E1327,6,2)&amp;RIGHT(Calc!$E1327,2)&amp;Calc!$Q1327&amp;"|"&amp;"1"&amp;RIGHT("00000"&amp;1318,5))</f>
        <v/>
      </c>
      <c r="C1323" t="str">
        <f t="shared" si="100"/>
        <v/>
      </c>
      <c r="D1323" t="str">
        <f t="shared" si="101"/>
        <v/>
      </c>
      <c r="F1323" t="str">
        <f>IF(Sync!$AH1323="","",IF(LEFT(UPPER(TRIM(Sync!$AH1323)),2)="SL",UPPER(TRIM(Sync!$AH1323)),""))</f>
        <v/>
      </c>
      <c r="G1323" t="str">
        <f>IF($F1323="","",IF(Sync!$AE1323="","",IF(ISNUMBER(Sync!$AE1323),IF(AND(Sync!$AE1323&gt;=10000101,Sync!$AE1323&lt;=99991231),INT(Sync!$AE1323/10000),""),IFERROR(VALUE(TRIM(LEFT(Sync!$AE1323,FIND("/",Sync!$AE1323)-1))),""))))</f>
        <v/>
      </c>
      <c r="H1323" t="str">
        <f>IF(OR($F1323="",$G1323=""),"",IF(ISNUMBER(Sync!$AE1323),INT(MOD(Sync!$AE1323,10000)/100),IFERROR(VALUE(TRIM(LEFT(MID(Sync!$AE1323,FIND("/",Sync!$AE1323)+1,20),FIND("/",MID(Sync!$AE1323,FIND("/",Sync!$AE1323)+1,20))-1))),"")))</f>
        <v/>
      </c>
      <c r="I1323" t="str">
        <f>IF(OR($F1323="",$G1323=""),"",IF(ISNUMBER(Sync!$AE1323),MOD(Sync!$AE1323,100),IFERROR(VALUE(TRIM(MID(MID(Sync!$AE1323,FIND("/",Sync!$AE1323)+1,20),FIND("/",MID(Sync!$AE1323,FIND("/",Sync!$AE1323)+1,20))+1,20))),"")))</f>
        <v/>
      </c>
      <c r="J1323" t="str">
        <f t="shared" si="102"/>
        <v/>
      </c>
      <c r="K1323" t="str">
        <f>IF(OR($F1323="",$J1323="",$J1323="نامعتبر"),"",LEFT($J1323,4)&amp;MID($J1323,6,2)&amp;RIGHT($J1323,2)&amp;$N1323&amp;"|"&amp;"2"&amp;RIGHT("00000"&amp;1318,5))</f>
        <v/>
      </c>
      <c r="L1323" t="str">
        <f t="shared" si="103"/>
        <v/>
      </c>
      <c r="M1323" t="str">
        <f t="shared" si="104"/>
        <v/>
      </c>
      <c r="N1323" t="str">
        <f>IF($F1323="","",IF(Sync!$AF1323="","0000",IF(AND(ISNUMBER(Sync!$AF1323),Sync!$AF1323&gt;=0,Sync!$AF1323&lt;1),RIGHT("00"&amp;HOUR(Sync!$AF1323),2)&amp;RIGHT("00"&amp;MINUTE(Sync!$AF1323),2),IFERROR(RIGHT("00"&amp;VALUE(LEFT(Sync!$AF1323,FIND(":",Sync!$AF1323)-1)),2)&amp;RIGHT("00"&amp;VALUE(MID(Sync!$AF1323,FIND(":",Sync!$AF1323)+1,2)),2),"0000"))))</f>
        <v/>
      </c>
    </row>
    <row r="1324" spans="1:14" x14ac:dyDescent="0.2">
      <c r="A1324" t="str">
        <f>IF(OR(Calc!$E1328="",Calc!$E1328="نامعتبر",Calc!$G1328=""),"",Calc!$G1328)</f>
        <v/>
      </c>
      <c r="B1324" t="str">
        <f>IF($A1324="","",LEFT(Calc!$E1328,4)&amp;MID(Calc!$E1328,6,2)&amp;RIGHT(Calc!$E1328,2)&amp;Calc!$Q1328&amp;"|"&amp;"1"&amp;RIGHT("00000"&amp;1319,5))</f>
        <v/>
      </c>
      <c r="C1324" t="str">
        <f t="shared" si="100"/>
        <v/>
      </c>
      <c r="D1324" t="str">
        <f t="shared" si="101"/>
        <v/>
      </c>
      <c r="F1324" t="str">
        <f>IF(Sync!$AH1324="","",IF(LEFT(UPPER(TRIM(Sync!$AH1324)),2)="SL",UPPER(TRIM(Sync!$AH1324)),""))</f>
        <v/>
      </c>
      <c r="G1324" t="str">
        <f>IF($F1324="","",IF(Sync!$AE1324="","",IF(ISNUMBER(Sync!$AE1324),IF(AND(Sync!$AE1324&gt;=10000101,Sync!$AE1324&lt;=99991231),INT(Sync!$AE1324/10000),""),IFERROR(VALUE(TRIM(LEFT(Sync!$AE1324,FIND("/",Sync!$AE1324)-1))),""))))</f>
        <v/>
      </c>
      <c r="H1324" t="str">
        <f>IF(OR($F1324="",$G1324=""),"",IF(ISNUMBER(Sync!$AE1324),INT(MOD(Sync!$AE1324,10000)/100),IFERROR(VALUE(TRIM(LEFT(MID(Sync!$AE1324,FIND("/",Sync!$AE1324)+1,20),FIND("/",MID(Sync!$AE1324,FIND("/",Sync!$AE1324)+1,20))-1))),"")))</f>
        <v/>
      </c>
      <c r="I1324" t="str">
        <f>IF(OR($F1324="",$G1324=""),"",IF(ISNUMBER(Sync!$AE1324),MOD(Sync!$AE1324,100),IFERROR(VALUE(TRIM(MID(MID(Sync!$AE1324,FIND("/",Sync!$AE1324)+1,20),FIND("/",MID(Sync!$AE1324,FIND("/",Sync!$AE1324)+1,20))+1,20))),"")))</f>
        <v/>
      </c>
      <c r="J1324" t="str">
        <f t="shared" si="102"/>
        <v/>
      </c>
      <c r="K1324" t="str">
        <f>IF(OR($F1324="",$J1324="",$J1324="نامعتبر"),"",LEFT($J1324,4)&amp;MID($J1324,6,2)&amp;RIGHT($J1324,2)&amp;$N1324&amp;"|"&amp;"2"&amp;RIGHT("00000"&amp;1319,5))</f>
        <v/>
      </c>
      <c r="L1324" t="str">
        <f t="shared" si="103"/>
        <v/>
      </c>
      <c r="M1324" t="str">
        <f t="shared" si="104"/>
        <v/>
      </c>
      <c r="N1324" t="str">
        <f>IF($F1324="","",IF(Sync!$AF1324="","0000",IF(AND(ISNUMBER(Sync!$AF1324),Sync!$AF1324&gt;=0,Sync!$AF1324&lt;1),RIGHT("00"&amp;HOUR(Sync!$AF1324),2)&amp;RIGHT("00"&amp;MINUTE(Sync!$AF1324),2),IFERROR(RIGHT("00"&amp;VALUE(LEFT(Sync!$AF1324,FIND(":",Sync!$AF1324)-1)),2)&amp;RIGHT("00"&amp;VALUE(MID(Sync!$AF1324,FIND(":",Sync!$AF1324)+1,2)),2),"0000"))))</f>
        <v/>
      </c>
    </row>
    <row r="1325" spans="1:14" x14ac:dyDescent="0.2">
      <c r="A1325" t="str">
        <f>IF(OR(Calc!$E1329="",Calc!$E1329="نامعتبر",Calc!$G1329=""),"",Calc!$G1329)</f>
        <v/>
      </c>
      <c r="B1325" t="str">
        <f>IF($A1325="","",LEFT(Calc!$E1329,4)&amp;MID(Calc!$E1329,6,2)&amp;RIGHT(Calc!$E1329,2)&amp;Calc!$Q1329&amp;"|"&amp;"1"&amp;RIGHT("00000"&amp;1320,5))</f>
        <v/>
      </c>
      <c r="C1325" t="str">
        <f t="shared" si="100"/>
        <v/>
      </c>
      <c r="D1325" t="str">
        <f t="shared" si="101"/>
        <v/>
      </c>
      <c r="F1325" t="str">
        <f>IF(Sync!$AH1325="","",IF(LEFT(UPPER(TRIM(Sync!$AH1325)),2)="SL",UPPER(TRIM(Sync!$AH1325)),""))</f>
        <v/>
      </c>
      <c r="G1325" t="str">
        <f>IF($F1325="","",IF(Sync!$AE1325="","",IF(ISNUMBER(Sync!$AE1325),IF(AND(Sync!$AE1325&gt;=10000101,Sync!$AE1325&lt;=99991231),INT(Sync!$AE1325/10000),""),IFERROR(VALUE(TRIM(LEFT(Sync!$AE1325,FIND("/",Sync!$AE1325)-1))),""))))</f>
        <v/>
      </c>
      <c r="H1325" t="str">
        <f>IF(OR($F1325="",$G1325=""),"",IF(ISNUMBER(Sync!$AE1325),INT(MOD(Sync!$AE1325,10000)/100),IFERROR(VALUE(TRIM(LEFT(MID(Sync!$AE1325,FIND("/",Sync!$AE1325)+1,20),FIND("/",MID(Sync!$AE1325,FIND("/",Sync!$AE1325)+1,20))-1))),"")))</f>
        <v/>
      </c>
      <c r="I1325" t="str">
        <f>IF(OR($F1325="",$G1325=""),"",IF(ISNUMBER(Sync!$AE1325),MOD(Sync!$AE1325,100),IFERROR(VALUE(TRIM(MID(MID(Sync!$AE1325,FIND("/",Sync!$AE1325)+1,20),FIND("/",MID(Sync!$AE1325,FIND("/",Sync!$AE1325)+1,20))+1,20))),"")))</f>
        <v/>
      </c>
      <c r="J1325" t="str">
        <f t="shared" si="102"/>
        <v/>
      </c>
      <c r="K1325" t="str">
        <f>IF(OR($F1325="",$J1325="",$J1325="نامعتبر"),"",LEFT($J1325,4)&amp;MID($J1325,6,2)&amp;RIGHT($J1325,2)&amp;$N1325&amp;"|"&amp;"2"&amp;RIGHT("00000"&amp;1320,5))</f>
        <v/>
      </c>
      <c r="L1325" t="str">
        <f t="shared" si="103"/>
        <v/>
      </c>
      <c r="M1325" t="str">
        <f t="shared" si="104"/>
        <v/>
      </c>
      <c r="N1325" t="str">
        <f>IF($F1325="","",IF(Sync!$AF1325="","0000",IF(AND(ISNUMBER(Sync!$AF1325),Sync!$AF1325&gt;=0,Sync!$AF1325&lt;1),RIGHT("00"&amp;HOUR(Sync!$AF1325),2)&amp;RIGHT("00"&amp;MINUTE(Sync!$AF1325),2),IFERROR(RIGHT("00"&amp;VALUE(LEFT(Sync!$AF1325,FIND(":",Sync!$AF1325)-1)),2)&amp;RIGHT("00"&amp;VALUE(MID(Sync!$AF1325,FIND(":",Sync!$AF1325)+1,2)),2),"0000"))))</f>
        <v/>
      </c>
    </row>
    <row r="1326" spans="1:14" x14ac:dyDescent="0.2">
      <c r="A1326" t="str">
        <f>IF(OR(Calc!$E1330="",Calc!$E1330="نامعتبر",Calc!$G1330=""),"",Calc!$G1330)</f>
        <v/>
      </c>
      <c r="B1326" t="str">
        <f>IF($A1326="","",LEFT(Calc!$E1330,4)&amp;MID(Calc!$E1330,6,2)&amp;RIGHT(Calc!$E1330,2)&amp;Calc!$Q1330&amp;"|"&amp;"1"&amp;RIGHT("00000"&amp;1321,5))</f>
        <v/>
      </c>
      <c r="C1326" t="str">
        <f t="shared" si="100"/>
        <v/>
      </c>
      <c r="D1326" t="str">
        <f t="shared" si="101"/>
        <v/>
      </c>
      <c r="F1326" t="str">
        <f>IF(Sync!$AH1326="","",IF(LEFT(UPPER(TRIM(Sync!$AH1326)),2)="SL",UPPER(TRIM(Sync!$AH1326)),""))</f>
        <v/>
      </c>
      <c r="G1326" t="str">
        <f>IF($F1326="","",IF(Sync!$AE1326="","",IF(ISNUMBER(Sync!$AE1326),IF(AND(Sync!$AE1326&gt;=10000101,Sync!$AE1326&lt;=99991231),INT(Sync!$AE1326/10000),""),IFERROR(VALUE(TRIM(LEFT(Sync!$AE1326,FIND("/",Sync!$AE1326)-1))),""))))</f>
        <v/>
      </c>
      <c r="H1326" t="str">
        <f>IF(OR($F1326="",$G1326=""),"",IF(ISNUMBER(Sync!$AE1326),INT(MOD(Sync!$AE1326,10000)/100),IFERROR(VALUE(TRIM(LEFT(MID(Sync!$AE1326,FIND("/",Sync!$AE1326)+1,20),FIND("/",MID(Sync!$AE1326,FIND("/",Sync!$AE1326)+1,20))-1))),"")))</f>
        <v/>
      </c>
      <c r="I1326" t="str">
        <f>IF(OR($F1326="",$G1326=""),"",IF(ISNUMBER(Sync!$AE1326),MOD(Sync!$AE1326,100),IFERROR(VALUE(TRIM(MID(MID(Sync!$AE1326,FIND("/",Sync!$AE1326)+1,20),FIND("/",MID(Sync!$AE1326,FIND("/",Sync!$AE1326)+1,20))+1,20))),"")))</f>
        <v/>
      </c>
      <c r="J1326" t="str">
        <f t="shared" si="102"/>
        <v/>
      </c>
      <c r="K1326" t="str">
        <f>IF(OR($F1326="",$J1326="",$J1326="نامعتبر"),"",LEFT($J1326,4)&amp;MID($J1326,6,2)&amp;RIGHT($J1326,2)&amp;$N1326&amp;"|"&amp;"2"&amp;RIGHT("00000"&amp;1321,5))</f>
        <v/>
      </c>
      <c r="L1326" t="str">
        <f t="shared" si="103"/>
        <v/>
      </c>
      <c r="M1326" t="str">
        <f t="shared" si="104"/>
        <v/>
      </c>
      <c r="N1326" t="str">
        <f>IF($F1326="","",IF(Sync!$AF1326="","0000",IF(AND(ISNUMBER(Sync!$AF1326),Sync!$AF1326&gt;=0,Sync!$AF1326&lt;1),RIGHT("00"&amp;HOUR(Sync!$AF1326),2)&amp;RIGHT("00"&amp;MINUTE(Sync!$AF1326),2),IFERROR(RIGHT("00"&amp;VALUE(LEFT(Sync!$AF1326,FIND(":",Sync!$AF1326)-1)),2)&amp;RIGHT("00"&amp;VALUE(MID(Sync!$AF1326,FIND(":",Sync!$AF1326)+1,2)),2),"0000"))))</f>
        <v/>
      </c>
    </row>
    <row r="1327" spans="1:14" x14ac:dyDescent="0.2">
      <c r="A1327" t="str">
        <f>IF(OR(Calc!$E1331="",Calc!$E1331="نامعتبر",Calc!$G1331=""),"",Calc!$G1331)</f>
        <v/>
      </c>
      <c r="B1327" t="str">
        <f>IF($A1327="","",LEFT(Calc!$E1331,4)&amp;MID(Calc!$E1331,6,2)&amp;RIGHT(Calc!$E1331,2)&amp;Calc!$Q1331&amp;"|"&amp;"1"&amp;RIGHT("00000"&amp;1322,5))</f>
        <v/>
      </c>
      <c r="C1327" t="str">
        <f t="shared" si="100"/>
        <v/>
      </c>
      <c r="D1327" t="str">
        <f t="shared" si="101"/>
        <v/>
      </c>
      <c r="F1327" t="str">
        <f>IF(Sync!$AH1327="","",IF(LEFT(UPPER(TRIM(Sync!$AH1327)),2)="SL",UPPER(TRIM(Sync!$AH1327)),""))</f>
        <v/>
      </c>
      <c r="G1327" t="str">
        <f>IF($F1327="","",IF(Sync!$AE1327="","",IF(ISNUMBER(Sync!$AE1327),IF(AND(Sync!$AE1327&gt;=10000101,Sync!$AE1327&lt;=99991231),INT(Sync!$AE1327/10000),""),IFERROR(VALUE(TRIM(LEFT(Sync!$AE1327,FIND("/",Sync!$AE1327)-1))),""))))</f>
        <v/>
      </c>
      <c r="H1327" t="str">
        <f>IF(OR($F1327="",$G1327=""),"",IF(ISNUMBER(Sync!$AE1327),INT(MOD(Sync!$AE1327,10000)/100),IFERROR(VALUE(TRIM(LEFT(MID(Sync!$AE1327,FIND("/",Sync!$AE1327)+1,20),FIND("/",MID(Sync!$AE1327,FIND("/",Sync!$AE1327)+1,20))-1))),"")))</f>
        <v/>
      </c>
      <c r="I1327" t="str">
        <f>IF(OR($F1327="",$G1327=""),"",IF(ISNUMBER(Sync!$AE1327),MOD(Sync!$AE1327,100),IFERROR(VALUE(TRIM(MID(MID(Sync!$AE1327,FIND("/",Sync!$AE1327)+1,20),FIND("/",MID(Sync!$AE1327,FIND("/",Sync!$AE1327)+1,20))+1,20))),"")))</f>
        <v/>
      </c>
      <c r="J1327" t="str">
        <f t="shared" si="102"/>
        <v/>
      </c>
      <c r="K1327" t="str">
        <f>IF(OR($F1327="",$J1327="",$J1327="نامعتبر"),"",LEFT($J1327,4)&amp;MID($J1327,6,2)&amp;RIGHT($J1327,2)&amp;$N1327&amp;"|"&amp;"2"&amp;RIGHT("00000"&amp;1322,5))</f>
        <v/>
      </c>
      <c r="L1327" t="str">
        <f t="shared" si="103"/>
        <v/>
      </c>
      <c r="M1327" t="str">
        <f t="shared" si="104"/>
        <v/>
      </c>
      <c r="N1327" t="str">
        <f>IF($F1327="","",IF(Sync!$AF1327="","0000",IF(AND(ISNUMBER(Sync!$AF1327),Sync!$AF1327&gt;=0,Sync!$AF1327&lt;1),RIGHT("00"&amp;HOUR(Sync!$AF1327),2)&amp;RIGHT("00"&amp;MINUTE(Sync!$AF1327),2),IFERROR(RIGHT("00"&amp;VALUE(LEFT(Sync!$AF1327,FIND(":",Sync!$AF1327)-1)),2)&amp;RIGHT("00"&amp;VALUE(MID(Sync!$AF1327,FIND(":",Sync!$AF1327)+1,2)),2),"0000"))))</f>
        <v/>
      </c>
    </row>
    <row r="1328" spans="1:14" x14ac:dyDescent="0.2">
      <c r="A1328" t="str">
        <f>IF(OR(Calc!$E1332="",Calc!$E1332="نامعتبر",Calc!$G1332=""),"",Calc!$G1332)</f>
        <v/>
      </c>
      <c r="B1328" t="str">
        <f>IF($A1328="","",LEFT(Calc!$E1332,4)&amp;MID(Calc!$E1332,6,2)&amp;RIGHT(Calc!$E1332,2)&amp;Calc!$Q1332&amp;"|"&amp;"1"&amp;RIGHT("00000"&amp;1323,5))</f>
        <v/>
      </c>
      <c r="C1328" t="str">
        <f t="shared" si="100"/>
        <v/>
      </c>
      <c r="D1328" t="str">
        <f t="shared" si="101"/>
        <v/>
      </c>
      <c r="F1328" t="str">
        <f>IF(Sync!$AH1328="","",IF(LEFT(UPPER(TRIM(Sync!$AH1328)),2)="SL",UPPER(TRIM(Sync!$AH1328)),""))</f>
        <v/>
      </c>
      <c r="G1328" t="str">
        <f>IF($F1328="","",IF(Sync!$AE1328="","",IF(ISNUMBER(Sync!$AE1328),IF(AND(Sync!$AE1328&gt;=10000101,Sync!$AE1328&lt;=99991231),INT(Sync!$AE1328/10000),""),IFERROR(VALUE(TRIM(LEFT(Sync!$AE1328,FIND("/",Sync!$AE1328)-1))),""))))</f>
        <v/>
      </c>
      <c r="H1328" t="str">
        <f>IF(OR($F1328="",$G1328=""),"",IF(ISNUMBER(Sync!$AE1328),INT(MOD(Sync!$AE1328,10000)/100),IFERROR(VALUE(TRIM(LEFT(MID(Sync!$AE1328,FIND("/",Sync!$AE1328)+1,20),FIND("/",MID(Sync!$AE1328,FIND("/",Sync!$AE1328)+1,20))-1))),"")))</f>
        <v/>
      </c>
      <c r="I1328" t="str">
        <f>IF(OR($F1328="",$G1328=""),"",IF(ISNUMBER(Sync!$AE1328),MOD(Sync!$AE1328,100),IFERROR(VALUE(TRIM(MID(MID(Sync!$AE1328,FIND("/",Sync!$AE1328)+1,20),FIND("/",MID(Sync!$AE1328,FIND("/",Sync!$AE1328)+1,20))+1,20))),"")))</f>
        <v/>
      </c>
      <c r="J1328" t="str">
        <f t="shared" si="102"/>
        <v/>
      </c>
      <c r="K1328" t="str">
        <f>IF(OR($F1328="",$J1328="",$J1328="نامعتبر"),"",LEFT($J1328,4)&amp;MID($J1328,6,2)&amp;RIGHT($J1328,2)&amp;$N1328&amp;"|"&amp;"2"&amp;RIGHT("00000"&amp;1323,5))</f>
        <v/>
      </c>
      <c r="L1328" t="str">
        <f t="shared" si="103"/>
        <v/>
      </c>
      <c r="M1328" t="str">
        <f t="shared" si="104"/>
        <v/>
      </c>
      <c r="N1328" t="str">
        <f>IF($F1328="","",IF(Sync!$AF1328="","0000",IF(AND(ISNUMBER(Sync!$AF1328),Sync!$AF1328&gt;=0,Sync!$AF1328&lt;1),RIGHT("00"&amp;HOUR(Sync!$AF1328),2)&amp;RIGHT("00"&amp;MINUTE(Sync!$AF1328),2),IFERROR(RIGHT("00"&amp;VALUE(LEFT(Sync!$AF1328,FIND(":",Sync!$AF1328)-1)),2)&amp;RIGHT("00"&amp;VALUE(MID(Sync!$AF1328,FIND(":",Sync!$AF1328)+1,2)),2),"0000"))))</f>
        <v/>
      </c>
    </row>
    <row r="1329" spans="1:14" x14ac:dyDescent="0.2">
      <c r="A1329" t="str">
        <f>IF(OR(Calc!$E1333="",Calc!$E1333="نامعتبر",Calc!$G1333=""),"",Calc!$G1333)</f>
        <v/>
      </c>
      <c r="B1329" t="str">
        <f>IF($A1329="","",LEFT(Calc!$E1333,4)&amp;MID(Calc!$E1333,6,2)&amp;RIGHT(Calc!$E1333,2)&amp;Calc!$Q1333&amp;"|"&amp;"1"&amp;RIGHT("00000"&amp;1324,5))</f>
        <v/>
      </c>
      <c r="C1329" t="str">
        <f t="shared" si="100"/>
        <v/>
      </c>
      <c r="D1329" t="str">
        <f t="shared" si="101"/>
        <v/>
      </c>
      <c r="F1329" t="str">
        <f>IF(Sync!$AH1329="","",IF(LEFT(UPPER(TRIM(Sync!$AH1329)),2)="SL",UPPER(TRIM(Sync!$AH1329)),""))</f>
        <v/>
      </c>
      <c r="G1329" t="str">
        <f>IF($F1329="","",IF(Sync!$AE1329="","",IF(ISNUMBER(Sync!$AE1329),IF(AND(Sync!$AE1329&gt;=10000101,Sync!$AE1329&lt;=99991231),INT(Sync!$AE1329/10000),""),IFERROR(VALUE(TRIM(LEFT(Sync!$AE1329,FIND("/",Sync!$AE1329)-1))),""))))</f>
        <v/>
      </c>
      <c r="H1329" t="str">
        <f>IF(OR($F1329="",$G1329=""),"",IF(ISNUMBER(Sync!$AE1329),INT(MOD(Sync!$AE1329,10000)/100),IFERROR(VALUE(TRIM(LEFT(MID(Sync!$AE1329,FIND("/",Sync!$AE1329)+1,20),FIND("/",MID(Sync!$AE1329,FIND("/",Sync!$AE1329)+1,20))-1))),"")))</f>
        <v/>
      </c>
      <c r="I1329" t="str">
        <f>IF(OR($F1329="",$G1329=""),"",IF(ISNUMBER(Sync!$AE1329),MOD(Sync!$AE1329,100),IFERROR(VALUE(TRIM(MID(MID(Sync!$AE1329,FIND("/",Sync!$AE1329)+1,20),FIND("/",MID(Sync!$AE1329,FIND("/",Sync!$AE1329)+1,20))+1,20))),"")))</f>
        <v/>
      </c>
      <c r="J1329" t="str">
        <f t="shared" si="102"/>
        <v/>
      </c>
      <c r="K1329" t="str">
        <f>IF(OR($F1329="",$J1329="",$J1329="نامعتبر"),"",LEFT($J1329,4)&amp;MID($J1329,6,2)&amp;RIGHT($J1329,2)&amp;$N1329&amp;"|"&amp;"2"&amp;RIGHT("00000"&amp;1324,5))</f>
        <v/>
      </c>
      <c r="L1329" t="str">
        <f t="shared" si="103"/>
        <v/>
      </c>
      <c r="M1329" t="str">
        <f t="shared" si="104"/>
        <v/>
      </c>
      <c r="N1329" t="str">
        <f>IF($F1329="","",IF(Sync!$AF1329="","0000",IF(AND(ISNUMBER(Sync!$AF1329),Sync!$AF1329&gt;=0,Sync!$AF1329&lt;1),RIGHT("00"&amp;HOUR(Sync!$AF1329),2)&amp;RIGHT("00"&amp;MINUTE(Sync!$AF1329),2),IFERROR(RIGHT("00"&amp;VALUE(LEFT(Sync!$AF1329,FIND(":",Sync!$AF1329)-1)),2)&amp;RIGHT("00"&amp;VALUE(MID(Sync!$AF1329,FIND(":",Sync!$AF1329)+1,2)),2),"0000"))))</f>
        <v/>
      </c>
    </row>
    <row r="1330" spans="1:14" x14ac:dyDescent="0.2">
      <c r="A1330" t="str">
        <f>IF(OR(Calc!$E1334="",Calc!$E1334="نامعتبر",Calc!$G1334=""),"",Calc!$G1334)</f>
        <v/>
      </c>
      <c r="B1330" t="str">
        <f>IF($A1330="","",LEFT(Calc!$E1334,4)&amp;MID(Calc!$E1334,6,2)&amp;RIGHT(Calc!$E1334,2)&amp;Calc!$Q1334&amp;"|"&amp;"1"&amp;RIGHT("00000"&amp;1325,5))</f>
        <v/>
      </c>
      <c r="C1330" t="str">
        <f t="shared" si="100"/>
        <v/>
      </c>
      <c r="D1330" t="str">
        <f t="shared" si="101"/>
        <v/>
      </c>
      <c r="F1330" t="str">
        <f>IF(Sync!$AH1330="","",IF(LEFT(UPPER(TRIM(Sync!$AH1330)),2)="SL",UPPER(TRIM(Sync!$AH1330)),""))</f>
        <v/>
      </c>
      <c r="G1330" t="str">
        <f>IF($F1330="","",IF(Sync!$AE1330="","",IF(ISNUMBER(Sync!$AE1330),IF(AND(Sync!$AE1330&gt;=10000101,Sync!$AE1330&lt;=99991231),INT(Sync!$AE1330/10000),""),IFERROR(VALUE(TRIM(LEFT(Sync!$AE1330,FIND("/",Sync!$AE1330)-1))),""))))</f>
        <v/>
      </c>
      <c r="H1330" t="str">
        <f>IF(OR($F1330="",$G1330=""),"",IF(ISNUMBER(Sync!$AE1330),INT(MOD(Sync!$AE1330,10000)/100),IFERROR(VALUE(TRIM(LEFT(MID(Sync!$AE1330,FIND("/",Sync!$AE1330)+1,20),FIND("/",MID(Sync!$AE1330,FIND("/",Sync!$AE1330)+1,20))-1))),"")))</f>
        <v/>
      </c>
      <c r="I1330" t="str">
        <f>IF(OR($F1330="",$G1330=""),"",IF(ISNUMBER(Sync!$AE1330),MOD(Sync!$AE1330,100),IFERROR(VALUE(TRIM(MID(MID(Sync!$AE1330,FIND("/",Sync!$AE1330)+1,20),FIND("/",MID(Sync!$AE1330,FIND("/",Sync!$AE1330)+1,20))+1,20))),"")))</f>
        <v/>
      </c>
      <c r="J1330" t="str">
        <f t="shared" si="102"/>
        <v/>
      </c>
      <c r="K1330" t="str">
        <f>IF(OR($F1330="",$J1330="",$J1330="نامعتبر"),"",LEFT($J1330,4)&amp;MID($J1330,6,2)&amp;RIGHT($J1330,2)&amp;$N1330&amp;"|"&amp;"2"&amp;RIGHT("00000"&amp;1325,5))</f>
        <v/>
      </c>
      <c r="L1330" t="str">
        <f t="shared" si="103"/>
        <v/>
      </c>
      <c r="M1330" t="str">
        <f t="shared" si="104"/>
        <v/>
      </c>
      <c r="N1330" t="str">
        <f>IF($F1330="","",IF(Sync!$AF1330="","0000",IF(AND(ISNUMBER(Sync!$AF1330),Sync!$AF1330&gt;=0,Sync!$AF1330&lt;1),RIGHT("00"&amp;HOUR(Sync!$AF1330),2)&amp;RIGHT("00"&amp;MINUTE(Sync!$AF1330),2),IFERROR(RIGHT("00"&amp;VALUE(LEFT(Sync!$AF1330,FIND(":",Sync!$AF1330)-1)),2)&amp;RIGHT("00"&amp;VALUE(MID(Sync!$AF1330,FIND(":",Sync!$AF1330)+1,2)),2),"0000"))))</f>
        <v/>
      </c>
    </row>
    <row r="1331" spans="1:14" x14ac:dyDescent="0.2">
      <c r="A1331" t="str">
        <f>IF(OR(Calc!$E1335="",Calc!$E1335="نامعتبر",Calc!$G1335=""),"",Calc!$G1335)</f>
        <v/>
      </c>
      <c r="B1331" t="str">
        <f>IF($A1331="","",LEFT(Calc!$E1335,4)&amp;MID(Calc!$E1335,6,2)&amp;RIGHT(Calc!$E1335,2)&amp;Calc!$Q1335&amp;"|"&amp;"1"&amp;RIGHT("00000"&amp;1326,5))</f>
        <v/>
      </c>
      <c r="C1331" t="str">
        <f t="shared" si="100"/>
        <v/>
      </c>
      <c r="D1331" t="str">
        <f t="shared" si="101"/>
        <v/>
      </c>
      <c r="F1331" t="str">
        <f>IF(Sync!$AH1331="","",IF(LEFT(UPPER(TRIM(Sync!$AH1331)),2)="SL",UPPER(TRIM(Sync!$AH1331)),""))</f>
        <v/>
      </c>
      <c r="G1331" t="str">
        <f>IF($F1331="","",IF(Sync!$AE1331="","",IF(ISNUMBER(Sync!$AE1331),IF(AND(Sync!$AE1331&gt;=10000101,Sync!$AE1331&lt;=99991231),INT(Sync!$AE1331/10000),""),IFERROR(VALUE(TRIM(LEFT(Sync!$AE1331,FIND("/",Sync!$AE1331)-1))),""))))</f>
        <v/>
      </c>
      <c r="H1331" t="str">
        <f>IF(OR($F1331="",$G1331=""),"",IF(ISNUMBER(Sync!$AE1331),INT(MOD(Sync!$AE1331,10000)/100),IFERROR(VALUE(TRIM(LEFT(MID(Sync!$AE1331,FIND("/",Sync!$AE1331)+1,20),FIND("/",MID(Sync!$AE1331,FIND("/",Sync!$AE1331)+1,20))-1))),"")))</f>
        <v/>
      </c>
      <c r="I1331" t="str">
        <f>IF(OR($F1331="",$G1331=""),"",IF(ISNUMBER(Sync!$AE1331),MOD(Sync!$AE1331,100),IFERROR(VALUE(TRIM(MID(MID(Sync!$AE1331,FIND("/",Sync!$AE1331)+1,20),FIND("/",MID(Sync!$AE1331,FIND("/",Sync!$AE1331)+1,20))+1,20))),"")))</f>
        <v/>
      </c>
      <c r="J1331" t="str">
        <f t="shared" si="102"/>
        <v/>
      </c>
      <c r="K1331" t="str">
        <f>IF(OR($F1331="",$J1331="",$J1331="نامعتبر"),"",LEFT($J1331,4)&amp;MID($J1331,6,2)&amp;RIGHT($J1331,2)&amp;$N1331&amp;"|"&amp;"2"&amp;RIGHT("00000"&amp;1326,5))</f>
        <v/>
      </c>
      <c r="L1331" t="str">
        <f t="shared" si="103"/>
        <v/>
      </c>
      <c r="M1331" t="str">
        <f t="shared" si="104"/>
        <v/>
      </c>
      <c r="N1331" t="str">
        <f>IF($F1331="","",IF(Sync!$AF1331="","0000",IF(AND(ISNUMBER(Sync!$AF1331),Sync!$AF1331&gt;=0,Sync!$AF1331&lt;1),RIGHT("00"&amp;HOUR(Sync!$AF1331),2)&amp;RIGHT("00"&amp;MINUTE(Sync!$AF1331),2),IFERROR(RIGHT("00"&amp;VALUE(LEFT(Sync!$AF1331,FIND(":",Sync!$AF1331)-1)),2)&amp;RIGHT("00"&amp;VALUE(MID(Sync!$AF1331,FIND(":",Sync!$AF1331)+1,2)),2),"0000"))))</f>
        <v/>
      </c>
    </row>
    <row r="1332" spans="1:14" x14ac:dyDescent="0.2">
      <c r="A1332" t="str">
        <f>IF(OR(Calc!$E1336="",Calc!$E1336="نامعتبر",Calc!$G1336=""),"",Calc!$G1336)</f>
        <v/>
      </c>
      <c r="B1332" t="str">
        <f>IF($A1332="","",LEFT(Calc!$E1336,4)&amp;MID(Calc!$E1336,6,2)&amp;RIGHT(Calc!$E1336,2)&amp;Calc!$Q1336&amp;"|"&amp;"1"&amp;RIGHT("00000"&amp;1327,5))</f>
        <v/>
      </c>
      <c r="C1332" t="str">
        <f t="shared" si="100"/>
        <v/>
      </c>
      <c r="D1332" t="str">
        <f t="shared" si="101"/>
        <v/>
      </c>
      <c r="F1332" t="str">
        <f>IF(Sync!$AH1332="","",IF(LEFT(UPPER(TRIM(Sync!$AH1332)),2)="SL",UPPER(TRIM(Sync!$AH1332)),""))</f>
        <v/>
      </c>
      <c r="G1332" t="str">
        <f>IF($F1332="","",IF(Sync!$AE1332="","",IF(ISNUMBER(Sync!$AE1332),IF(AND(Sync!$AE1332&gt;=10000101,Sync!$AE1332&lt;=99991231),INT(Sync!$AE1332/10000),""),IFERROR(VALUE(TRIM(LEFT(Sync!$AE1332,FIND("/",Sync!$AE1332)-1))),""))))</f>
        <v/>
      </c>
      <c r="H1332" t="str">
        <f>IF(OR($F1332="",$G1332=""),"",IF(ISNUMBER(Sync!$AE1332),INT(MOD(Sync!$AE1332,10000)/100),IFERROR(VALUE(TRIM(LEFT(MID(Sync!$AE1332,FIND("/",Sync!$AE1332)+1,20),FIND("/",MID(Sync!$AE1332,FIND("/",Sync!$AE1332)+1,20))-1))),"")))</f>
        <v/>
      </c>
      <c r="I1332" t="str">
        <f>IF(OR($F1332="",$G1332=""),"",IF(ISNUMBER(Sync!$AE1332),MOD(Sync!$AE1332,100),IFERROR(VALUE(TRIM(MID(MID(Sync!$AE1332,FIND("/",Sync!$AE1332)+1,20),FIND("/",MID(Sync!$AE1332,FIND("/",Sync!$AE1332)+1,20))+1,20))),"")))</f>
        <v/>
      </c>
      <c r="J1332" t="str">
        <f t="shared" si="102"/>
        <v/>
      </c>
      <c r="K1332" t="str">
        <f>IF(OR($F1332="",$J1332="",$J1332="نامعتبر"),"",LEFT($J1332,4)&amp;MID($J1332,6,2)&amp;RIGHT($J1332,2)&amp;$N1332&amp;"|"&amp;"2"&amp;RIGHT("00000"&amp;1327,5))</f>
        <v/>
      </c>
      <c r="L1332" t="str">
        <f t="shared" si="103"/>
        <v/>
      </c>
      <c r="M1332" t="str">
        <f t="shared" si="104"/>
        <v/>
      </c>
      <c r="N1332" t="str">
        <f>IF($F1332="","",IF(Sync!$AF1332="","0000",IF(AND(ISNUMBER(Sync!$AF1332),Sync!$AF1332&gt;=0,Sync!$AF1332&lt;1),RIGHT("00"&amp;HOUR(Sync!$AF1332),2)&amp;RIGHT("00"&amp;MINUTE(Sync!$AF1332),2),IFERROR(RIGHT("00"&amp;VALUE(LEFT(Sync!$AF1332,FIND(":",Sync!$AF1332)-1)),2)&amp;RIGHT("00"&amp;VALUE(MID(Sync!$AF1332,FIND(":",Sync!$AF1332)+1,2)),2),"0000"))))</f>
        <v/>
      </c>
    </row>
    <row r="1333" spans="1:14" x14ac:dyDescent="0.2">
      <c r="A1333" t="str">
        <f>IF(OR(Calc!$E1337="",Calc!$E1337="نامعتبر",Calc!$G1337=""),"",Calc!$G1337)</f>
        <v/>
      </c>
      <c r="B1333" t="str">
        <f>IF($A1333="","",LEFT(Calc!$E1337,4)&amp;MID(Calc!$E1337,6,2)&amp;RIGHT(Calc!$E1337,2)&amp;Calc!$Q1337&amp;"|"&amp;"1"&amp;RIGHT("00000"&amp;1328,5))</f>
        <v/>
      </c>
      <c r="C1333" t="str">
        <f t="shared" si="100"/>
        <v/>
      </c>
      <c r="D1333" t="str">
        <f t="shared" si="101"/>
        <v/>
      </c>
      <c r="F1333" t="str">
        <f>IF(Sync!$AH1333="","",IF(LEFT(UPPER(TRIM(Sync!$AH1333)),2)="SL",UPPER(TRIM(Sync!$AH1333)),""))</f>
        <v/>
      </c>
      <c r="G1333" t="str">
        <f>IF($F1333="","",IF(Sync!$AE1333="","",IF(ISNUMBER(Sync!$AE1333),IF(AND(Sync!$AE1333&gt;=10000101,Sync!$AE1333&lt;=99991231),INT(Sync!$AE1333/10000),""),IFERROR(VALUE(TRIM(LEFT(Sync!$AE1333,FIND("/",Sync!$AE1333)-1))),""))))</f>
        <v/>
      </c>
      <c r="H1333" t="str">
        <f>IF(OR($F1333="",$G1333=""),"",IF(ISNUMBER(Sync!$AE1333),INT(MOD(Sync!$AE1333,10000)/100),IFERROR(VALUE(TRIM(LEFT(MID(Sync!$AE1333,FIND("/",Sync!$AE1333)+1,20),FIND("/",MID(Sync!$AE1333,FIND("/",Sync!$AE1333)+1,20))-1))),"")))</f>
        <v/>
      </c>
      <c r="I1333" t="str">
        <f>IF(OR($F1333="",$G1333=""),"",IF(ISNUMBER(Sync!$AE1333),MOD(Sync!$AE1333,100),IFERROR(VALUE(TRIM(MID(MID(Sync!$AE1333,FIND("/",Sync!$AE1333)+1,20),FIND("/",MID(Sync!$AE1333,FIND("/",Sync!$AE1333)+1,20))+1,20))),"")))</f>
        <v/>
      </c>
      <c r="J1333" t="str">
        <f t="shared" si="102"/>
        <v/>
      </c>
      <c r="K1333" t="str">
        <f>IF(OR($F1333="",$J1333="",$J1333="نامعتبر"),"",LEFT($J1333,4)&amp;MID($J1333,6,2)&amp;RIGHT($J1333,2)&amp;$N1333&amp;"|"&amp;"2"&amp;RIGHT("00000"&amp;1328,5))</f>
        <v/>
      </c>
      <c r="L1333" t="str">
        <f t="shared" si="103"/>
        <v/>
      </c>
      <c r="M1333" t="str">
        <f t="shared" si="104"/>
        <v/>
      </c>
      <c r="N1333" t="str">
        <f>IF($F1333="","",IF(Sync!$AF1333="","0000",IF(AND(ISNUMBER(Sync!$AF1333),Sync!$AF1333&gt;=0,Sync!$AF1333&lt;1),RIGHT("00"&amp;HOUR(Sync!$AF1333),2)&amp;RIGHT("00"&amp;MINUTE(Sync!$AF1333),2),IFERROR(RIGHT("00"&amp;VALUE(LEFT(Sync!$AF1333,FIND(":",Sync!$AF1333)-1)),2)&amp;RIGHT("00"&amp;VALUE(MID(Sync!$AF1333,FIND(":",Sync!$AF1333)+1,2)),2),"0000"))))</f>
        <v/>
      </c>
    </row>
    <row r="1334" spans="1:14" x14ac:dyDescent="0.2">
      <c r="A1334" t="str">
        <f>IF(OR(Calc!$E1338="",Calc!$E1338="نامعتبر",Calc!$G1338=""),"",Calc!$G1338)</f>
        <v/>
      </c>
      <c r="B1334" t="str">
        <f>IF($A1334="","",LEFT(Calc!$E1338,4)&amp;MID(Calc!$E1338,6,2)&amp;RIGHT(Calc!$E1338,2)&amp;Calc!$Q1338&amp;"|"&amp;"1"&amp;RIGHT("00000"&amp;1329,5))</f>
        <v/>
      </c>
      <c r="C1334" t="str">
        <f t="shared" si="100"/>
        <v/>
      </c>
      <c r="D1334" t="str">
        <f t="shared" si="101"/>
        <v/>
      </c>
      <c r="F1334" t="str">
        <f>IF(Sync!$AH1334="","",IF(LEFT(UPPER(TRIM(Sync!$AH1334)),2)="SL",UPPER(TRIM(Sync!$AH1334)),""))</f>
        <v/>
      </c>
      <c r="G1334" t="str">
        <f>IF($F1334="","",IF(Sync!$AE1334="","",IF(ISNUMBER(Sync!$AE1334),IF(AND(Sync!$AE1334&gt;=10000101,Sync!$AE1334&lt;=99991231),INT(Sync!$AE1334/10000),""),IFERROR(VALUE(TRIM(LEFT(Sync!$AE1334,FIND("/",Sync!$AE1334)-1))),""))))</f>
        <v/>
      </c>
      <c r="H1334" t="str">
        <f>IF(OR($F1334="",$G1334=""),"",IF(ISNUMBER(Sync!$AE1334),INT(MOD(Sync!$AE1334,10000)/100),IFERROR(VALUE(TRIM(LEFT(MID(Sync!$AE1334,FIND("/",Sync!$AE1334)+1,20),FIND("/",MID(Sync!$AE1334,FIND("/",Sync!$AE1334)+1,20))-1))),"")))</f>
        <v/>
      </c>
      <c r="I1334" t="str">
        <f>IF(OR($F1334="",$G1334=""),"",IF(ISNUMBER(Sync!$AE1334),MOD(Sync!$AE1334,100),IFERROR(VALUE(TRIM(MID(MID(Sync!$AE1334,FIND("/",Sync!$AE1334)+1,20),FIND("/",MID(Sync!$AE1334,FIND("/",Sync!$AE1334)+1,20))+1,20))),"")))</f>
        <v/>
      </c>
      <c r="J1334" t="str">
        <f t="shared" si="102"/>
        <v/>
      </c>
      <c r="K1334" t="str">
        <f>IF(OR($F1334="",$J1334="",$J1334="نامعتبر"),"",LEFT($J1334,4)&amp;MID($J1334,6,2)&amp;RIGHT($J1334,2)&amp;$N1334&amp;"|"&amp;"2"&amp;RIGHT("00000"&amp;1329,5))</f>
        <v/>
      </c>
      <c r="L1334" t="str">
        <f t="shared" si="103"/>
        <v/>
      </c>
      <c r="M1334" t="str">
        <f t="shared" si="104"/>
        <v/>
      </c>
      <c r="N1334" t="str">
        <f>IF($F1334="","",IF(Sync!$AF1334="","0000",IF(AND(ISNUMBER(Sync!$AF1334),Sync!$AF1334&gt;=0,Sync!$AF1334&lt;1),RIGHT("00"&amp;HOUR(Sync!$AF1334),2)&amp;RIGHT("00"&amp;MINUTE(Sync!$AF1334),2),IFERROR(RIGHT("00"&amp;VALUE(LEFT(Sync!$AF1334,FIND(":",Sync!$AF1334)-1)),2)&amp;RIGHT("00"&amp;VALUE(MID(Sync!$AF1334,FIND(":",Sync!$AF1334)+1,2)),2),"0000"))))</f>
        <v/>
      </c>
    </row>
    <row r="1335" spans="1:14" x14ac:dyDescent="0.2">
      <c r="A1335" t="str">
        <f>IF(OR(Calc!$E1339="",Calc!$E1339="نامعتبر",Calc!$G1339=""),"",Calc!$G1339)</f>
        <v/>
      </c>
      <c r="B1335" t="str">
        <f>IF($A1335="","",LEFT(Calc!$E1339,4)&amp;MID(Calc!$E1339,6,2)&amp;RIGHT(Calc!$E1339,2)&amp;Calc!$Q1339&amp;"|"&amp;"1"&amp;RIGHT("00000"&amp;1330,5))</f>
        <v/>
      </c>
      <c r="C1335" t="str">
        <f t="shared" si="100"/>
        <v/>
      </c>
      <c r="D1335" t="str">
        <f t="shared" si="101"/>
        <v/>
      </c>
      <c r="F1335" t="str">
        <f>IF(Sync!$AH1335="","",IF(LEFT(UPPER(TRIM(Sync!$AH1335)),2)="SL",UPPER(TRIM(Sync!$AH1335)),""))</f>
        <v/>
      </c>
      <c r="G1335" t="str">
        <f>IF($F1335="","",IF(Sync!$AE1335="","",IF(ISNUMBER(Sync!$AE1335),IF(AND(Sync!$AE1335&gt;=10000101,Sync!$AE1335&lt;=99991231),INT(Sync!$AE1335/10000),""),IFERROR(VALUE(TRIM(LEFT(Sync!$AE1335,FIND("/",Sync!$AE1335)-1))),""))))</f>
        <v/>
      </c>
      <c r="H1335" t="str">
        <f>IF(OR($F1335="",$G1335=""),"",IF(ISNUMBER(Sync!$AE1335),INT(MOD(Sync!$AE1335,10000)/100),IFERROR(VALUE(TRIM(LEFT(MID(Sync!$AE1335,FIND("/",Sync!$AE1335)+1,20),FIND("/",MID(Sync!$AE1335,FIND("/",Sync!$AE1335)+1,20))-1))),"")))</f>
        <v/>
      </c>
      <c r="I1335" t="str">
        <f>IF(OR($F1335="",$G1335=""),"",IF(ISNUMBER(Sync!$AE1335),MOD(Sync!$AE1335,100),IFERROR(VALUE(TRIM(MID(MID(Sync!$AE1335,FIND("/",Sync!$AE1335)+1,20),FIND("/",MID(Sync!$AE1335,FIND("/",Sync!$AE1335)+1,20))+1,20))),"")))</f>
        <v/>
      </c>
      <c r="J1335" t="str">
        <f t="shared" si="102"/>
        <v/>
      </c>
      <c r="K1335" t="str">
        <f>IF(OR($F1335="",$J1335="",$J1335="نامعتبر"),"",LEFT($J1335,4)&amp;MID($J1335,6,2)&amp;RIGHT($J1335,2)&amp;$N1335&amp;"|"&amp;"2"&amp;RIGHT("00000"&amp;1330,5))</f>
        <v/>
      </c>
      <c r="L1335" t="str">
        <f t="shared" si="103"/>
        <v/>
      </c>
      <c r="M1335" t="str">
        <f t="shared" si="104"/>
        <v/>
      </c>
      <c r="N1335" t="str">
        <f>IF($F1335="","",IF(Sync!$AF1335="","0000",IF(AND(ISNUMBER(Sync!$AF1335),Sync!$AF1335&gt;=0,Sync!$AF1335&lt;1),RIGHT("00"&amp;HOUR(Sync!$AF1335),2)&amp;RIGHT("00"&amp;MINUTE(Sync!$AF1335),2),IFERROR(RIGHT("00"&amp;VALUE(LEFT(Sync!$AF1335,FIND(":",Sync!$AF1335)-1)),2)&amp;RIGHT("00"&amp;VALUE(MID(Sync!$AF1335,FIND(":",Sync!$AF1335)+1,2)),2),"0000"))))</f>
        <v/>
      </c>
    </row>
    <row r="1336" spans="1:14" x14ac:dyDescent="0.2">
      <c r="A1336" t="str">
        <f>IF(OR(Calc!$E1340="",Calc!$E1340="نامعتبر",Calc!$G1340=""),"",Calc!$G1340)</f>
        <v/>
      </c>
      <c r="B1336" t="str">
        <f>IF($A1336="","",LEFT(Calc!$E1340,4)&amp;MID(Calc!$E1340,6,2)&amp;RIGHT(Calc!$E1340,2)&amp;Calc!$Q1340&amp;"|"&amp;"1"&amp;RIGHT("00000"&amp;1331,5))</f>
        <v/>
      </c>
      <c r="C1336" t="str">
        <f t="shared" si="100"/>
        <v/>
      </c>
      <c r="D1336" t="str">
        <f t="shared" si="101"/>
        <v/>
      </c>
      <c r="F1336" t="str">
        <f>IF(Sync!$AH1336="","",IF(LEFT(UPPER(TRIM(Sync!$AH1336)),2)="SL",UPPER(TRIM(Sync!$AH1336)),""))</f>
        <v/>
      </c>
      <c r="G1336" t="str">
        <f>IF($F1336="","",IF(Sync!$AE1336="","",IF(ISNUMBER(Sync!$AE1336),IF(AND(Sync!$AE1336&gt;=10000101,Sync!$AE1336&lt;=99991231),INT(Sync!$AE1336/10000),""),IFERROR(VALUE(TRIM(LEFT(Sync!$AE1336,FIND("/",Sync!$AE1336)-1))),""))))</f>
        <v/>
      </c>
      <c r="H1336" t="str">
        <f>IF(OR($F1336="",$G1336=""),"",IF(ISNUMBER(Sync!$AE1336),INT(MOD(Sync!$AE1336,10000)/100),IFERROR(VALUE(TRIM(LEFT(MID(Sync!$AE1336,FIND("/",Sync!$AE1336)+1,20),FIND("/",MID(Sync!$AE1336,FIND("/",Sync!$AE1336)+1,20))-1))),"")))</f>
        <v/>
      </c>
      <c r="I1336" t="str">
        <f>IF(OR($F1336="",$G1336=""),"",IF(ISNUMBER(Sync!$AE1336),MOD(Sync!$AE1336,100),IFERROR(VALUE(TRIM(MID(MID(Sync!$AE1336,FIND("/",Sync!$AE1336)+1,20),FIND("/",MID(Sync!$AE1336,FIND("/",Sync!$AE1336)+1,20))+1,20))),"")))</f>
        <v/>
      </c>
      <c r="J1336" t="str">
        <f t="shared" si="102"/>
        <v/>
      </c>
      <c r="K1336" t="str">
        <f>IF(OR($F1336="",$J1336="",$J1336="نامعتبر"),"",LEFT($J1336,4)&amp;MID($J1336,6,2)&amp;RIGHT($J1336,2)&amp;$N1336&amp;"|"&amp;"2"&amp;RIGHT("00000"&amp;1331,5))</f>
        <v/>
      </c>
      <c r="L1336" t="str">
        <f t="shared" si="103"/>
        <v/>
      </c>
      <c r="M1336" t="str">
        <f t="shared" si="104"/>
        <v/>
      </c>
      <c r="N1336" t="str">
        <f>IF($F1336="","",IF(Sync!$AF1336="","0000",IF(AND(ISNUMBER(Sync!$AF1336),Sync!$AF1336&gt;=0,Sync!$AF1336&lt;1),RIGHT("00"&amp;HOUR(Sync!$AF1336),2)&amp;RIGHT("00"&amp;MINUTE(Sync!$AF1336),2),IFERROR(RIGHT("00"&amp;VALUE(LEFT(Sync!$AF1336,FIND(":",Sync!$AF1336)-1)),2)&amp;RIGHT("00"&amp;VALUE(MID(Sync!$AF1336,FIND(":",Sync!$AF1336)+1,2)),2),"0000"))))</f>
        <v/>
      </c>
    </row>
    <row r="1337" spans="1:14" x14ac:dyDescent="0.2">
      <c r="A1337" t="str">
        <f>IF(OR(Calc!$E1341="",Calc!$E1341="نامعتبر",Calc!$G1341=""),"",Calc!$G1341)</f>
        <v/>
      </c>
      <c r="B1337" t="str">
        <f>IF($A1337="","",LEFT(Calc!$E1341,4)&amp;MID(Calc!$E1341,6,2)&amp;RIGHT(Calc!$E1341,2)&amp;Calc!$Q1341&amp;"|"&amp;"1"&amp;RIGHT("00000"&amp;1332,5))</f>
        <v/>
      </c>
      <c r="C1337" t="str">
        <f t="shared" si="100"/>
        <v/>
      </c>
      <c r="D1337" t="str">
        <f t="shared" si="101"/>
        <v/>
      </c>
      <c r="F1337" t="str">
        <f>IF(Sync!$AH1337="","",IF(LEFT(UPPER(TRIM(Sync!$AH1337)),2)="SL",UPPER(TRIM(Sync!$AH1337)),""))</f>
        <v/>
      </c>
      <c r="G1337" t="str">
        <f>IF($F1337="","",IF(Sync!$AE1337="","",IF(ISNUMBER(Sync!$AE1337),IF(AND(Sync!$AE1337&gt;=10000101,Sync!$AE1337&lt;=99991231),INT(Sync!$AE1337/10000),""),IFERROR(VALUE(TRIM(LEFT(Sync!$AE1337,FIND("/",Sync!$AE1337)-1))),""))))</f>
        <v/>
      </c>
      <c r="H1337" t="str">
        <f>IF(OR($F1337="",$G1337=""),"",IF(ISNUMBER(Sync!$AE1337),INT(MOD(Sync!$AE1337,10000)/100),IFERROR(VALUE(TRIM(LEFT(MID(Sync!$AE1337,FIND("/",Sync!$AE1337)+1,20),FIND("/",MID(Sync!$AE1337,FIND("/",Sync!$AE1337)+1,20))-1))),"")))</f>
        <v/>
      </c>
      <c r="I1337" t="str">
        <f>IF(OR($F1337="",$G1337=""),"",IF(ISNUMBER(Sync!$AE1337),MOD(Sync!$AE1337,100),IFERROR(VALUE(TRIM(MID(MID(Sync!$AE1337,FIND("/",Sync!$AE1337)+1,20),FIND("/",MID(Sync!$AE1337,FIND("/",Sync!$AE1337)+1,20))+1,20))),"")))</f>
        <v/>
      </c>
      <c r="J1337" t="str">
        <f t="shared" si="102"/>
        <v/>
      </c>
      <c r="K1337" t="str">
        <f>IF(OR($F1337="",$J1337="",$J1337="نامعتبر"),"",LEFT($J1337,4)&amp;MID($J1337,6,2)&amp;RIGHT($J1337,2)&amp;$N1337&amp;"|"&amp;"2"&amp;RIGHT("00000"&amp;1332,5))</f>
        <v/>
      </c>
      <c r="L1337" t="str">
        <f t="shared" si="103"/>
        <v/>
      </c>
      <c r="M1337" t="str">
        <f t="shared" si="104"/>
        <v/>
      </c>
      <c r="N1337" t="str">
        <f>IF($F1337="","",IF(Sync!$AF1337="","0000",IF(AND(ISNUMBER(Sync!$AF1337),Sync!$AF1337&gt;=0,Sync!$AF1337&lt;1),RIGHT("00"&amp;HOUR(Sync!$AF1337),2)&amp;RIGHT("00"&amp;MINUTE(Sync!$AF1337),2),IFERROR(RIGHT("00"&amp;VALUE(LEFT(Sync!$AF1337,FIND(":",Sync!$AF1337)-1)),2)&amp;RIGHT("00"&amp;VALUE(MID(Sync!$AF1337,FIND(":",Sync!$AF1337)+1,2)),2),"0000"))))</f>
        <v/>
      </c>
    </row>
    <row r="1338" spans="1:14" x14ac:dyDescent="0.2">
      <c r="A1338" t="str">
        <f>IF(OR(Calc!$E1342="",Calc!$E1342="نامعتبر",Calc!$G1342=""),"",Calc!$G1342)</f>
        <v/>
      </c>
      <c r="B1338" t="str">
        <f>IF($A1338="","",LEFT(Calc!$E1342,4)&amp;MID(Calc!$E1342,6,2)&amp;RIGHT(Calc!$E1342,2)&amp;Calc!$Q1342&amp;"|"&amp;"1"&amp;RIGHT("00000"&amp;1333,5))</f>
        <v/>
      </c>
      <c r="C1338" t="str">
        <f t="shared" si="100"/>
        <v/>
      </c>
      <c r="D1338" t="str">
        <f t="shared" si="101"/>
        <v/>
      </c>
      <c r="F1338" t="str">
        <f>IF(Sync!$AH1338="","",IF(LEFT(UPPER(TRIM(Sync!$AH1338)),2)="SL",UPPER(TRIM(Sync!$AH1338)),""))</f>
        <v/>
      </c>
      <c r="G1338" t="str">
        <f>IF($F1338="","",IF(Sync!$AE1338="","",IF(ISNUMBER(Sync!$AE1338),IF(AND(Sync!$AE1338&gt;=10000101,Sync!$AE1338&lt;=99991231),INT(Sync!$AE1338/10000),""),IFERROR(VALUE(TRIM(LEFT(Sync!$AE1338,FIND("/",Sync!$AE1338)-1))),""))))</f>
        <v/>
      </c>
      <c r="H1338" t="str">
        <f>IF(OR($F1338="",$G1338=""),"",IF(ISNUMBER(Sync!$AE1338),INT(MOD(Sync!$AE1338,10000)/100),IFERROR(VALUE(TRIM(LEFT(MID(Sync!$AE1338,FIND("/",Sync!$AE1338)+1,20),FIND("/",MID(Sync!$AE1338,FIND("/",Sync!$AE1338)+1,20))-1))),"")))</f>
        <v/>
      </c>
      <c r="I1338" t="str">
        <f>IF(OR($F1338="",$G1338=""),"",IF(ISNUMBER(Sync!$AE1338),MOD(Sync!$AE1338,100),IFERROR(VALUE(TRIM(MID(MID(Sync!$AE1338,FIND("/",Sync!$AE1338)+1,20),FIND("/",MID(Sync!$AE1338,FIND("/",Sync!$AE1338)+1,20))+1,20))),"")))</f>
        <v/>
      </c>
      <c r="J1338" t="str">
        <f t="shared" si="102"/>
        <v/>
      </c>
      <c r="K1338" t="str">
        <f>IF(OR($F1338="",$J1338="",$J1338="نامعتبر"),"",LEFT($J1338,4)&amp;MID($J1338,6,2)&amp;RIGHT($J1338,2)&amp;$N1338&amp;"|"&amp;"2"&amp;RIGHT("00000"&amp;1333,5))</f>
        <v/>
      </c>
      <c r="L1338" t="str">
        <f t="shared" si="103"/>
        <v/>
      </c>
      <c r="M1338" t="str">
        <f t="shared" si="104"/>
        <v/>
      </c>
      <c r="N1338" t="str">
        <f>IF($F1338="","",IF(Sync!$AF1338="","0000",IF(AND(ISNUMBER(Sync!$AF1338),Sync!$AF1338&gt;=0,Sync!$AF1338&lt;1),RIGHT("00"&amp;HOUR(Sync!$AF1338),2)&amp;RIGHT("00"&amp;MINUTE(Sync!$AF1338),2),IFERROR(RIGHT("00"&amp;VALUE(LEFT(Sync!$AF1338,FIND(":",Sync!$AF1338)-1)),2)&amp;RIGHT("00"&amp;VALUE(MID(Sync!$AF1338,FIND(":",Sync!$AF1338)+1,2)),2),"0000"))))</f>
        <v/>
      </c>
    </row>
    <row r="1339" spans="1:14" x14ac:dyDescent="0.2">
      <c r="A1339" t="str">
        <f>IF(OR(Calc!$E1343="",Calc!$E1343="نامعتبر",Calc!$G1343=""),"",Calc!$G1343)</f>
        <v/>
      </c>
      <c r="B1339" t="str">
        <f>IF($A1339="","",LEFT(Calc!$E1343,4)&amp;MID(Calc!$E1343,6,2)&amp;RIGHT(Calc!$E1343,2)&amp;Calc!$Q1343&amp;"|"&amp;"1"&amp;RIGHT("00000"&amp;1334,5))</f>
        <v/>
      </c>
      <c r="C1339" t="str">
        <f t="shared" si="100"/>
        <v/>
      </c>
      <c r="D1339" t="str">
        <f t="shared" si="101"/>
        <v/>
      </c>
      <c r="F1339" t="str">
        <f>IF(Sync!$AH1339="","",IF(LEFT(UPPER(TRIM(Sync!$AH1339)),2)="SL",UPPER(TRIM(Sync!$AH1339)),""))</f>
        <v/>
      </c>
      <c r="G1339" t="str">
        <f>IF($F1339="","",IF(Sync!$AE1339="","",IF(ISNUMBER(Sync!$AE1339),IF(AND(Sync!$AE1339&gt;=10000101,Sync!$AE1339&lt;=99991231),INT(Sync!$AE1339/10000),""),IFERROR(VALUE(TRIM(LEFT(Sync!$AE1339,FIND("/",Sync!$AE1339)-1))),""))))</f>
        <v/>
      </c>
      <c r="H1339" t="str">
        <f>IF(OR($F1339="",$G1339=""),"",IF(ISNUMBER(Sync!$AE1339),INT(MOD(Sync!$AE1339,10000)/100),IFERROR(VALUE(TRIM(LEFT(MID(Sync!$AE1339,FIND("/",Sync!$AE1339)+1,20),FIND("/",MID(Sync!$AE1339,FIND("/",Sync!$AE1339)+1,20))-1))),"")))</f>
        <v/>
      </c>
      <c r="I1339" t="str">
        <f>IF(OR($F1339="",$G1339=""),"",IF(ISNUMBER(Sync!$AE1339),MOD(Sync!$AE1339,100),IFERROR(VALUE(TRIM(MID(MID(Sync!$AE1339,FIND("/",Sync!$AE1339)+1,20),FIND("/",MID(Sync!$AE1339,FIND("/",Sync!$AE1339)+1,20))+1,20))),"")))</f>
        <v/>
      </c>
      <c r="J1339" t="str">
        <f t="shared" si="102"/>
        <v/>
      </c>
      <c r="K1339" t="str">
        <f>IF(OR($F1339="",$J1339="",$J1339="نامعتبر"),"",LEFT($J1339,4)&amp;MID($J1339,6,2)&amp;RIGHT($J1339,2)&amp;$N1339&amp;"|"&amp;"2"&amp;RIGHT("00000"&amp;1334,5))</f>
        <v/>
      </c>
      <c r="L1339" t="str">
        <f t="shared" si="103"/>
        <v/>
      </c>
      <c r="M1339" t="str">
        <f t="shared" si="104"/>
        <v/>
      </c>
      <c r="N1339" t="str">
        <f>IF($F1339="","",IF(Sync!$AF1339="","0000",IF(AND(ISNUMBER(Sync!$AF1339),Sync!$AF1339&gt;=0,Sync!$AF1339&lt;1),RIGHT("00"&amp;HOUR(Sync!$AF1339),2)&amp;RIGHT("00"&amp;MINUTE(Sync!$AF1339),2),IFERROR(RIGHT("00"&amp;VALUE(LEFT(Sync!$AF1339,FIND(":",Sync!$AF1339)-1)),2)&amp;RIGHT("00"&amp;VALUE(MID(Sync!$AF1339,FIND(":",Sync!$AF1339)+1,2)),2),"0000"))))</f>
        <v/>
      </c>
    </row>
    <row r="1340" spans="1:14" x14ac:dyDescent="0.2">
      <c r="A1340" t="str">
        <f>IF(OR(Calc!$E1344="",Calc!$E1344="نامعتبر",Calc!$G1344=""),"",Calc!$G1344)</f>
        <v/>
      </c>
      <c r="B1340" t="str">
        <f>IF($A1340="","",LEFT(Calc!$E1344,4)&amp;MID(Calc!$E1344,6,2)&amp;RIGHT(Calc!$E1344,2)&amp;Calc!$Q1344&amp;"|"&amp;"1"&amp;RIGHT("00000"&amp;1335,5))</f>
        <v/>
      </c>
      <c r="C1340" t="str">
        <f t="shared" si="100"/>
        <v/>
      </c>
      <c r="D1340" t="str">
        <f t="shared" si="101"/>
        <v/>
      </c>
      <c r="F1340" t="str">
        <f>IF(Sync!$AH1340="","",IF(LEFT(UPPER(TRIM(Sync!$AH1340)),2)="SL",UPPER(TRIM(Sync!$AH1340)),""))</f>
        <v/>
      </c>
      <c r="G1340" t="str">
        <f>IF($F1340="","",IF(Sync!$AE1340="","",IF(ISNUMBER(Sync!$AE1340),IF(AND(Sync!$AE1340&gt;=10000101,Sync!$AE1340&lt;=99991231),INT(Sync!$AE1340/10000),""),IFERROR(VALUE(TRIM(LEFT(Sync!$AE1340,FIND("/",Sync!$AE1340)-1))),""))))</f>
        <v/>
      </c>
      <c r="H1340" t="str">
        <f>IF(OR($F1340="",$G1340=""),"",IF(ISNUMBER(Sync!$AE1340),INT(MOD(Sync!$AE1340,10000)/100),IFERROR(VALUE(TRIM(LEFT(MID(Sync!$AE1340,FIND("/",Sync!$AE1340)+1,20),FIND("/",MID(Sync!$AE1340,FIND("/",Sync!$AE1340)+1,20))-1))),"")))</f>
        <v/>
      </c>
      <c r="I1340" t="str">
        <f>IF(OR($F1340="",$G1340=""),"",IF(ISNUMBER(Sync!$AE1340),MOD(Sync!$AE1340,100),IFERROR(VALUE(TRIM(MID(MID(Sync!$AE1340,FIND("/",Sync!$AE1340)+1,20),FIND("/",MID(Sync!$AE1340,FIND("/",Sync!$AE1340)+1,20))+1,20))),"")))</f>
        <v/>
      </c>
      <c r="J1340" t="str">
        <f t="shared" si="102"/>
        <v/>
      </c>
      <c r="K1340" t="str">
        <f>IF(OR($F1340="",$J1340="",$J1340="نامعتبر"),"",LEFT($J1340,4)&amp;MID($J1340,6,2)&amp;RIGHT($J1340,2)&amp;$N1340&amp;"|"&amp;"2"&amp;RIGHT("00000"&amp;1335,5))</f>
        <v/>
      </c>
      <c r="L1340" t="str">
        <f t="shared" si="103"/>
        <v/>
      </c>
      <c r="M1340" t="str">
        <f t="shared" si="104"/>
        <v/>
      </c>
      <c r="N1340" t="str">
        <f>IF($F1340="","",IF(Sync!$AF1340="","0000",IF(AND(ISNUMBER(Sync!$AF1340),Sync!$AF1340&gt;=0,Sync!$AF1340&lt;1),RIGHT("00"&amp;HOUR(Sync!$AF1340),2)&amp;RIGHT("00"&amp;MINUTE(Sync!$AF1340),2),IFERROR(RIGHT("00"&amp;VALUE(LEFT(Sync!$AF1340,FIND(":",Sync!$AF1340)-1)),2)&amp;RIGHT("00"&amp;VALUE(MID(Sync!$AF1340,FIND(":",Sync!$AF1340)+1,2)),2),"0000"))))</f>
        <v/>
      </c>
    </row>
    <row r="1341" spans="1:14" x14ac:dyDescent="0.2">
      <c r="A1341" t="str">
        <f>IF(OR(Calc!$E1345="",Calc!$E1345="نامعتبر",Calc!$G1345=""),"",Calc!$G1345)</f>
        <v/>
      </c>
      <c r="B1341" t="str">
        <f>IF($A1341="","",LEFT(Calc!$E1345,4)&amp;MID(Calc!$E1345,6,2)&amp;RIGHT(Calc!$E1345,2)&amp;Calc!$Q1345&amp;"|"&amp;"1"&amp;RIGHT("00000"&amp;1336,5))</f>
        <v/>
      </c>
      <c r="C1341" t="str">
        <f t="shared" si="100"/>
        <v/>
      </c>
      <c r="D1341" t="str">
        <f t="shared" si="101"/>
        <v/>
      </c>
      <c r="F1341" t="str">
        <f>IF(Sync!$AH1341="","",IF(LEFT(UPPER(TRIM(Sync!$AH1341)),2)="SL",UPPER(TRIM(Sync!$AH1341)),""))</f>
        <v/>
      </c>
      <c r="G1341" t="str">
        <f>IF($F1341="","",IF(Sync!$AE1341="","",IF(ISNUMBER(Sync!$AE1341),IF(AND(Sync!$AE1341&gt;=10000101,Sync!$AE1341&lt;=99991231),INT(Sync!$AE1341/10000),""),IFERROR(VALUE(TRIM(LEFT(Sync!$AE1341,FIND("/",Sync!$AE1341)-1))),""))))</f>
        <v/>
      </c>
      <c r="H1341" t="str">
        <f>IF(OR($F1341="",$G1341=""),"",IF(ISNUMBER(Sync!$AE1341),INT(MOD(Sync!$AE1341,10000)/100),IFERROR(VALUE(TRIM(LEFT(MID(Sync!$AE1341,FIND("/",Sync!$AE1341)+1,20),FIND("/",MID(Sync!$AE1341,FIND("/",Sync!$AE1341)+1,20))-1))),"")))</f>
        <v/>
      </c>
      <c r="I1341" t="str">
        <f>IF(OR($F1341="",$G1341=""),"",IF(ISNUMBER(Sync!$AE1341),MOD(Sync!$AE1341,100),IFERROR(VALUE(TRIM(MID(MID(Sync!$AE1341,FIND("/",Sync!$AE1341)+1,20),FIND("/",MID(Sync!$AE1341,FIND("/",Sync!$AE1341)+1,20))+1,20))),"")))</f>
        <v/>
      </c>
      <c r="J1341" t="str">
        <f t="shared" si="102"/>
        <v/>
      </c>
      <c r="K1341" t="str">
        <f>IF(OR($F1341="",$J1341="",$J1341="نامعتبر"),"",LEFT($J1341,4)&amp;MID($J1341,6,2)&amp;RIGHT($J1341,2)&amp;$N1341&amp;"|"&amp;"2"&amp;RIGHT("00000"&amp;1336,5))</f>
        <v/>
      </c>
      <c r="L1341" t="str">
        <f t="shared" si="103"/>
        <v/>
      </c>
      <c r="M1341" t="str">
        <f t="shared" si="104"/>
        <v/>
      </c>
      <c r="N1341" t="str">
        <f>IF($F1341="","",IF(Sync!$AF1341="","0000",IF(AND(ISNUMBER(Sync!$AF1341),Sync!$AF1341&gt;=0,Sync!$AF1341&lt;1),RIGHT("00"&amp;HOUR(Sync!$AF1341),2)&amp;RIGHT("00"&amp;MINUTE(Sync!$AF1341),2),IFERROR(RIGHT("00"&amp;VALUE(LEFT(Sync!$AF1341,FIND(":",Sync!$AF1341)-1)),2)&amp;RIGHT("00"&amp;VALUE(MID(Sync!$AF1341,FIND(":",Sync!$AF1341)+1,2)),2),"0000"))))</f>
        <v/>
      </c>
    </row>
    <row r="1342" spans="1:14" x14ac:dyDescent="0.2">
      <c r="A1342" t="str">
        <f>IF(OR(Calc!$E1346="",Calc!$E1346="نامعتبر",Calc!$G1346=""),"",Calc!$G1346)</f>
        <v/>
      </c>
      <c r="B1342" t="str">
        <f>IF($A1342="","",LEFT(Calc!$E1346,4)&amp;MID(Calc!$E1346,6,2)&amp;RIGHT(Calc!$E1346,2)&amp;Calc!$Q1346&amp;"|"&amp;"1"&amp;RIGHT("00000"&amp;1337,5))</f>
        <v/>
      </c>
      <c r="C1342" t="str">
        <f t="shared" si="100"/>
        <v/>
      </c>
      <c r="D1342" t="str">
        <f t="shared" si="101"/>
        <v/>
      </c>
      <c r="F1342" t="str">
        <f>IF(Sync!$AH1342="","",IF(LEFT(UPPER(TRIM(Sync!$AH1342)),2)="SL",UPPER(TRIM(Sync!$AH1342)),""))</f>
        <v/>
      </c>
      <c r="G1342" t="str">
        <f>IF($F1342="","",IF(Sync!$AE1342="","",IF(ISNUMBER(Sync!$AE1342),IF(AND(Sync!$AE1342&gt;=10000101,Sync!$AE1342&lt;=99991231),INT(Sync!$AE1342/10000),""),IFERROR(VALUE(TRIM(LEFT(Sync!$AE1342,FIND("/",Sync!$AE1342)-1))),""))))</f>
        <v/>
      </c>
      <c r="H1342" t="str">
        <f>IF(OR($F1342="",$G1342=""),"",IF(ISNUMBER(Sync!$AE1342),INT(MOD(Sync!$AE1342,10000)/100),IFERROR(VALUE(TRIM(LEFT(MID(Sync!$AE1342,FIND("/",Sync!$AE1342)+1,20),FIND("/",MID(Sync!$AE1342,FIND("/",Sync!$AE1342)+1,20))-1))),"")))</f>
        <v/>
      </c>
      <c r="I1342" t="str">
        <f>IF(OR($F1342="",$G1342=""),"",IF(ISNUMBER(Sync!$AE1342),MOD(Sync!$AE1342,100),IFERROR(VALUE(TRIM(MID(MID(Sync!$AE1342,FIND("/",Sync!$AE1342)+1,20),FIND("/",MID(Sync!$AE1342,FIND("/",Sync!$AE1342)+1,20))+1,20))),"")))</f>
        <v/>
      </c>
      <c r="J1342" t="str">
        <f t="shared" si="102"/>
        <v/>
      </c>
      <c r="K1342" t="str">
        <f>IF(OR($F1342="",$J1342="",$J1342="نامعتبر"),"",LEFT($J1342,4)&amp;MID($J1342,6,2)&amp;RIGHT($J1342,2)&amp;$N1342&amp;"|"&amp;"2"&amp;RIGHT("00000"&amp;1337,5))</f>
        <v/>
      </c>
      <c r="L1342" t="str">
        <f t="shared" si="103"/>
        <v/>
      </c>
      <c r="M1342" t="str">
        <f t="shared" si="104"/>
        <v/>
      </c>
      <c r="N1342" t="str">
        <f>IF($F1342="","",IF(Sync!$AF1342="","0000",IF(AND(ISNUMBER(Sync!$AF1342),Sync!$AF1342&gt;=0,Sync!$AF1342&lt;1),RIGHT("00"&amp;HOUR(Sync!$AF1342),2)&amp;RIGHT("00"&amp;MINUTE(Sync!$AF1342),2),IFERROR(RIGHT("00"&amp;VALUE(LEFT(Sync!$AF1342,FIND(":",Sync!$AF1342)-1)),2)&amp;RIGHT("00"&amp;VALUE(MID(Sync!$AF1342,FIND(":",Sync!$AF1342)+1,2)),2),"0000"))))</f>
        <v/>
      </c>
    </row>
    <row r="1343" spans="1:14" x14ac:dyDescent="0.2">
      <c r="A1343" t="str">
        <f>IF(OR(Calc!$E1347="",Calc!$E1347="نامعتبر",Calc!$G1347=""),"",Calc!$G1347)</f>
        <v/>
      </c>
      <c r="B1343" t="str">
        <f>IF($A1343="","",LEFT(Calc!$E1347,4)&amp;MID(Calc!$E1347,6,2)&amp;RIGHT(Calc!$E1347,2)&amp;Calc!$Q1347&amp;"|"&amp;"1"&amp;RIGHT("00000"&amp;1338,5))</f>
        <v/>
      </c>
      <c r="C1343" t="str">
        <f t="shared" si="100"/>
        <v/>
      </c>
      <c r="D1343" t="str">
        <f t="shared" si="101"/>
        <v/>
      </c>
      <c r="F1343" t="str">
        <f>IF(Sync!$AH1343="","",IF(LEFT(UPPER(TRIM(Sync!$AH1343)),2)="SL",UPPER(TRIM(Sync!$AH1343)),""))</f>
        <v/>
      </c>
      <c r="G1343" t="str">
        <f>IF($F1343="","",IF(Sync!$AE1343="","",IF(ISNUMBER(Sync!$AE1343),IF(AND(Sync!$AE1343&gt;=10000101,Sync!$AE1343&lt;=99991231),INT(Sync!$AE1343/10000),""),IFERROR(VALUE(TRIM(LEFT(Sync!$AE1343,FIND("/",Sync!$AE1343)-1))),""))))</f>
        <v/>
      </c>
      <c r="H1343" t="str">
        <f>IF(OR($F1343="",$G1343=""),"",IF(ISNUMBER(Sync!$AE1343),INT(MOD(Sync!$AE1343,10000)/100),IFERROR(VALUE(TRIM(LEFT(MID(Sync!$AE1343,FIND("/",Sync!$AE1343)+1,20),FIND("/",MID(Sync!$AE1343,FIND("/",Sync!$AE1343)+1,20))-1))),"")))</f>
        <v/>
      </c>
      <c r="I1343" t="str">
        <f>IF(OR($F1343="",$G1343=""),"",IF(ISNUMBER(Sync!$AE1343),MOD(Sync!$AE1343,100),IFERROR(VALUE(TRIM(MID(MID(Sync!$AE1343,FIND("/",Sync!$AE1343)+1,20),FIND("/",MID(Sync!$AE1343,FIND("/",Sync!$AE1343)+1,20))+1,20))),"")))</f>
        <v/>
      </c>
      <c r="J1343" t="str">
        <f t="shared" si="102"/>
        <v/>
      </c>
      <c r="K1343" t="str">
        <f>IF(OR($F1343="",$J1343="",$J1343="نامعتبر"),"",LEFT($J1343,4)&amp;MID($J1343,6,2)&amp;RIGHT($J1343,2)&amp;$N1343&amp;"|"&amp;"2"&amp;RIGHT("00000"&amp;1338,5))</f>
        <v/>
      </c>
      <c r="L1343" t="str">
        <f t="shared" si="103"/>
        <v/>
      </c>
      <c r="M1343" t="str">
        <f t="shared" si="104"/>
        <v/>
      </c>
      <c r="N1343" t="str">
        <f>IF($F1343="","",IF(Sync!$AF1343="","0000",IF(AND(ISNUMBER(Sync!$AF1343),Sync!$AF1343&gt;=0,Sync!$AF1343&lt;1),RIGHT("00"&amp;HOUR(Sync!$AF1343),2)&amp;RIGHT("00"&amp;MINUTE(Sync!$AF1343),2),IFERROR(RIGHT("00"&amp;VALUE(LEFT(Sync!$AF1343,FIND(":",Sync!$AF1343)-1)),2)&amp;RIGHT("00"&amp;VALUE(MID(Sync!$AF1343,FIND(":",Sync!$AF1343)+1,2)),2),"0000"))))</f>
        <v/>
      </c>
    </row>
    <row r="1344" spans="1:14" x14ac:dyDescent="0.2">
      <c r="A1344" t="str">
        <f>IF(OR(Calc!$E1348="",Calc!$E1348="نامعتبر",Calc!$G1348=""),"",Calc!$G1348)</f>
        <v/>
      </c>
      <c r="B1344" t="str">
        <f>IF($A1344="","",LEFT(Calc!$E1348,4)&amp;MID(Calc!$E1348,6,2)&amp;RIGHT(Calc!$E1348,2)&amp;Calc!$Q1348&amp;"|"&amp;"1"&amp;RIGHT("00000"&amp;1339,5))</f>
        <v/>
      </c>
      <c r="C1344" t="str">
        <f t="shared" si="100"/>
        <v/>
      </c>
      <c r="D1344" t="str">
        <f t="shared" si="101"/>
        <v/>
      </c>
      <c r="F1344" t="str">
        <f>IF(Sync!$AH1344="","",IF(LEFT(UPPER(TRIM(Sync!$AH1344)),2)="SL",UPPER(TRIM(Sync!$AH1344)),""))</f>
        <v/>
      </c>
      <c r="G1344" t="str">
        <f>IF($F1344="","",IF(Sync!$AE1344="","",IF(ISNUMBER(Sync!$AE1344),IF(AND(Sync!$AE1344&gt;=10000101,Sync!$AE1344&lt;=99991231),INT(Sync!$AE1344/10000),""),IFERROR(VALUE(TRIM(LEFT(Sync!$AE1344,FIND("/",Sync!$AE1344)-1))),""))))</f>
        <v/>
      </c>
      <c r="H1344" t="str">
        <f>IF(OR($F1344="",$G1344=""),"",IF(ISNUMBER(Sync!$AE1344),INT(MOD(Sync!$AE1344,10000)/100),IFERROR(VALUE(TRIM(LEFT(MID(Sync!$AE1344,FIND("/",Sync!$AE1344)+1,20),FIND("/",MID(Sync!$AE1344,FIND("/",Sync!$AE1344)+1,20))-1))),"")))</f>
        <v/>
      </c>
      <c r="I1344" t="str">
        <f>IF(OR($F1344="",$G1344=""),"",IF(ISNUMBER(Sync!$AE1344),MOD(Sync!$AE1344,100),IFERROR(VALUE(TRIM(MID(MID(Sync!$AE1344,FIND("/",Sync!$AE1344)+1,20),FIND("/",MID(Sync!$AE1344,FIND("/",Sync!$AE1344)+1,20))+1,20))),"")))</f>
        <v/>
      </c>
      <c r="J1344" t="str">
        <f t="shared" si="102"/>
        <v/>
      </c>
      <c r="K1344" t="str">
        <f>IF(OR($F1344="",$J1344="",$J1344="نامعتبر"),"",LEFT($J1344,4)&amp;MID($J1344,6,2)&amp;RIGHT($J1344,2)&amp;$N1344&amp;"|"&amp;"2"&amp;RIGHT("00000"&amp;1339,5))</f>
        <v/>
      </c>
      <c r="L1344" t="str">
        <f t="shared" si="103"/>
        <v/>
      </c>
      <c r="M1344" t="str">
        <f t="shared" si="104"/>
        <v/>
      </c>
      <c r="N1344" t="str">
        <f>IF($F1344="","",IF(Sync!$AF1344="","0000",IF(AND(ISNUMBER(Sync!$AF1344),Sync!$AF1344&gt;=0,Sync!$AF1344&lt;1),RIGHT("00"&amp;HOUR(Sync!$AF1344),2)&amp;RIGHT("00"&amp;MINUTE(Sync!$AF1344),2),IFERROR(RIGHT("00"&amp;VALUE(LEFT(Sync!$AF1344,FIND(":",Sync!$AF1344)-1)),2)&amp;RIGHT("00"&amp;VALUE(MID(Sync!$AF1344,FIND(":",Sync!$AF1344)+1,2)),2),"0000"))))</f>
        <v/>
      </c>
    </row>
    <row r="1345" spans="1:14" x14ac:dyDescent="0.2">
      <c r="A1345" t="str">
        <f>IF(OR(Calc!$E1349="",Calc!$E1349="نامعتبر",Calc!$G1349=""),"",Calc!$G1349)</f>
        <v/>
      </c>
      <c r="B1345" t="str">
        <f>IF($A1345="","",LEFT(Calc!$E1349,4)&amp;MID(Calc!$E1349,6,2)&amp;RIGHT(Calc!$E1349,2)&amp;Calc!$Q1349&amp;"|"&amp;"1"&amp;RIGHT("00000"&amp;1340,5))</f>
        <v/>
      </c>
      <c r="C1345" t="str">
        <f t="shared" si="100"/>
        <v/>
      </c>
      <c r="D1345" t="str">
        <f t="shared" si="101"/>
        <v/>
      </c>
      <c r="F1345" t="str">
        <f>IF(Sync!$AH1345="","",IF(LEFT(UPPER(TRIM(Sync!$AH1345)),2)="SL",UPPER(TRIM(Sync!$AH1345)),""))</f>
        <v/>
      </c>
      <c r="G1345" t="str">
        <f>IF($F1345="","",IF(Sync!$AE1345="","",IF(ISNUMBER(Sync!$AE1345),IF(AND(Sync!$AE1345&gt;=10000101,Sync!$AE1345&lt;=99991231),INT(Sync!$AE1345/10000),""),IFERROR(VALUE(TRIM(LEFT(Sync!$AE1345,FIND("/",Sync!$AE1345)-1))),""))))</f>
        <v/>
      </c>
      <c r="H1345" t="str">
        <f>IF(OR($F1345="",$G1345=""),"",IF(ISNUMBER(Sync!$AE1345),INT(MOD(Sync!$AE1345,10000)/100),IFERROR(VALUE(TRIM(LEFT(MID(Sync!$AE1345,FIND("/",Sync!$AE1345)+1,20),FIND("/",MID(Sync!$AE1345,FIND("/",Sync!$AE1345)+1,20))-1))),"")))</f>
        <v/>
      </c>
      <c r="I1345" t="str">
        <f>IF(OR($F1345="",$G1345=""),"",IF(ISNUMBER(Sync!$AE1345),MOD(Sync!$AE1345,100),IFERROR(VALUE(TRIM(MID(MID(Sync!$AE1345,FIND("/",Sync!$AE1345)+1,20),FIND("/",MID(Sync!$AE1345,FIND("/",Sync!$AE1345)+1,20))+1,20))),"")))</f>
        <v/>
      </c>
      <c r="J1345" t="str">
        <f t="shared" si="102"/>
        <v/>
      </c>
      <c r="K1345" t="str">
        <f>IF(OR($F1345="",$J1345="",$J1345="نامعتبر"),"",LEFT($J1345,4)&amp;MID($J1345,6,2)&amp;RIGHT($J1345,2)&amp;$N1345&amp;"|"&amp;"2"&amp;RIGHT("00000"&amp;1340,5))</f>
        <v/>
      </c>
      <c r="L1345" t="str">
        <f t="shared" si="103"/>
        <v/>
      </c>
      <c r="M1345" t="str">
        <f t="shared" si="104"/>
        <v/>
      </c>
      <c r="N1345" t="str">
        <f>IF($F1345="","",IF(Sync!$AF1345="","0000",IF(AND(ISNUMBER(Sync!$AF1345),Sync!$AF1345&gt;=0,Sync!$AF1345&lt;1),RIGHT("00"&amp;HOUR(Sync!$AF1345),2)&amp;RIGHT("00"&amp;MINUTE(Sync!$AF1345),2),IFERROR(RIGHT("00"&amp;VALUE(LEFT(Sync!$AF1345,FIND(":",Sync!$AF1345)-1)),2)&amp;RIGHT("00"&amp;VALUE(MID(Sync!$AF1345,FIND(":",Sync!$AF1345)+1,2)),2),"0000"))))</f>
        <v/>
      </c>
    </row>
    <row r="1346" spans="1:14" x14ac:dyDescent="0.2">
      <c r="A1346" t="str">
        <f>IF(OR(Calc!$E1350="",Calc!$E1350="نامعتبر",Calc!$G1350=""),"",Calc!$G1350)</f>
        <v/>
      </c>
      <c r="B1346" t="str">
        <f>IF($A1346="","",LEFT(Calc!$E1350,4)&amp;MID(Calc!$E1350,6,2)&amp;RIGHT(Calc!$E1350,2)&amp;Calc!$Q1350&amp;"|"&amp;"1"&amp;RIGHT("00000"&amp;1341,5))</f>
        <v/>
      </c>
      <c r="C1346" t="str">
        <f t="shared" si="100"/>
        <v/>
      </c>
      <c r="D1346" t="str">
        <f t="shared" si="101"/>
        <v/>
      </c>
      <c r="F1346" t="str">
        <f>IF(Sync!$AH1346="","",IF(LEFT(UPPER(TRIM(Sync!$AH1346)),2)="SL",UPPER(TRIM(Sync!$AH1346)),""))</f>
        <v/>
      </c>
      <c r="G1346" t="str">
        <f>IF($F1346="","",IF(Sync!$AE1346="","",IF(ISNUMBER(Sync!$AE1346),IF(AND(Sync!$AE1346&gt;=10000101,Sync!$AE1346&lt;=99991231),INT(Sync!$AE1346/10000),""),IFERROR(VALUE(TRIM(LEFT(Sync!$AE1346,FIND("/",Sync!$AE1346)-1))),""))))</f>
        <v/>
      </c>
      <c r="H1346" t="str">
        <f>IF(OR($F1346="",$G1346=""),"",IF(ISNUMBER(Sync!$AE1346),INT(MOD(Sync!$AE1346,10000)/100),IFERROR(VALUE(TRIM(LEFT(MID(Sync!$AE1346,FIND("/",Sync!$AE1346)+1,20),FIND("/",MID(Sync!$AE1346,FIND("/",Sync!$AE1346)+1,20))-1))),"")))</f>
        <v/>
      </c>
      <c r="I1346" t="str">
        <f>IF(OR($F1346="",$G1346=""),"",IF(ISNUMBER(Sync!$AE1346),MOD(Sync!$AE1346,100),IFERROR(VALUE(TRIM(MID(MID(Sync!$AE1346,FIND("/",Sync!$AE1346)+1,20),FIND("/",MID(Sync!$AE1346,FIND("/",Sync!$AE1346)+1,20))+1,20))),"")))</f>
        <v/>
      </c>
      <c r="J1346" t="str">
        <f t="shared" si="102"/>
        <v/>
      </c>
      <c r="K1346" t="str">
        <f>IF(OR($F1346="",$J1346="",$J1346="نامعتبر"),"",LEFT($J1346,4)&amp;MID($J1346,6,2)&amp;RIGHT($J1346,2)&amp;$N1346&amp;"|"&amp;"2"&amp;RIGHT("00000"&amp;1341,5))</f>
        <v/>
      </c>
      <c r="L1346" t="str">
        <f t="shared" si="103"/>
        <v/>
      </c>
      <c r="M1346" t="str">
        <f t="shared" si="104"/>
        <v/>
      </c>
      <c r="N1346" t="str">
        <f>IF($F1346="","",IF(Sync!$AF1346="","0000",IF(AND(ISNUMBER(Sync!$AF1346),Sync!$AF1346&gt;=0,Sync!$AF1346&lt;1),RIGHT("00"&amp;HOUR(Sync!$AF1346),2)&amp;RIGHT("00"&amp;MINUTE(Sync!$AF1346),2),IFERROR(RIGHT("00"&amp;VALUE(LEFT(Sync!$AF1346,FIND(":",Sync!$AF1346)-1)),2)&amp;RIGHT("00"&amp;VALUE(MID(Sync!$AF1346,FIND(":",Sync!$AF1346)+1,2)),2),"0000"))))</f>
        <v/>
      </c>
    </row>
    <row r="1347" spans="1:14" x14ac:dyDescent="0.2">
      <c r="A1347" t="str">
        <f>IF(OR(Calc!$E1351="",Calc!$E1351="نامعتبر",Calc!$G1351=""),"",Calc!$G1351)</f>
        <v/>
      </c>
      <c r="B1347" t="str">
        <f>IF($A1347="","",LEFT(Calc!$E1351,4)&amp;MID(Calc!$E1351,6,2)&amp;RIGHT(Calc!$E1351,2)&amp;Calc!$Q1351&amp;"|"&amp;"1"&amp;RIGHT("00000"&amp;1342,5))</f>
        <v/>
      </c>
      <c r="C1347" t="str">
        <f t="shared" si="100"/>
        <v/>
      </c>
      <c r="D1347" t="str">
        <f t="shared" si="101"/>
        <v/>
      </c>
      <c r="F1347" t="str">
        <f>IF(Sync!$AH1347="","",IF(LEFT(UPPER(TRIM(Sync!$AH1347)),2)="SL",UPPER(TRIM(Sync!$AH1347)),""))</f>
        <v/>
      </c>
      <c r="G1347" t="str">
        <f>IF($F1347="","",IF(Sync!$AE1347="","",IF(ISNUMBER(Sync!$AE1347),IF(AND(Sync!$AE1347&gt;=10000101,Sync!$AE1347&lt;=99991231),INT(Sync!$AE1347/10000),""),IFERROR(VALUE(TRIM(LEFT(Sync!$AE1347,FIND("/",Sync!$AE1347)-1))),""))))</f>
        <v/>
      </c>
      <c r="H1347" t="str">
        <f>IF(OR($F1347="",$G1347=""),"",IF(ISNUMBER(Sync!$AE1347),INT(MOD(Sync!$AE1347,10000)/100),IFERROR(VALUE(TRIM(LEFT(MID(Sync!$AE1347,FIND("/",Sync!$AE1347)+1,20),FIND("/",MID(Sync!$AE1347,FIND("/",Sync!$AE1347)+1,20))-1))),"")))</f>
        <v/>
      </c>
      <c r="I1347" t="str">
        <f>IF(OR($F1347="",$G1347=""),"",IF(ISNUMBER(Sync!$AE1347),MOD(Sync!$AE1347,100),IFERROR(VALUE(TRIM(MID(MID(Sync!$AE1347,FIND("/",Sync!$AE1347)+1,20),FIND("/",MID(Sync!$AE1347,FIND("/",Sync!$AE1347)+1,20))+1,20))),"")))</f>
        <v/>
      </c>
      <c r="J1347" t="str">
        <f t="shared" si="102"/>
        <v/>
      </c>
      <c r="K1347" t="str">
        <f>IF(OR($F1347="",$J1347="",$J1347="نامعتبر"),"",LEFT($J1347,4)&amp;MID($J1347,6,2)&amp;RIGHT($J1347,2)&amp;$N1347&amp;"|"&amp;"2"&amp;RIGHT("00000"&amp;1342,5))</f>
        <v/>
      </c>
      <c r="L1347" t="str">
        <f t="shared" si="103"/>
        <v/>
      </c>
      <c r="M1347" t="str">
        <f t="shared" si="104"/>
        <v/>
      </c>
      <c r="N1347" t="str">
        <f>IF($F1347="","",IF(Sync!$AF1347="","0000",IF(AND(ISNUMBER(Sync!$AF1347),Sync!$AF1347&gt;=0,Sync!$AF1347&lt;1),RIGHT("00"&amp;HOUR(Sync!$AF1347),2)&amp;RIGHT("00"&amp;MINUTE(Sync!$AF1347),2),IFERROR(RIGHT("00"&amp;VALUE(LEFT(Sync!$AF1347,FIND(":",Sync!$AF1347)-1)),2)&amp;RIGHT("00"&amp;VALUE(MID(Sync!$AF1347,FIND(":",Sync!$AF1347)+1,2)),2),"0000"))))</f>
        <v/>
      </c>
    </row>
    <row r="1348" spans="1:14" x14ac:dyDescent="0.2">
      <c r="A1348" t="str">
        <f>IF(OR(Calc!$E1352="",Calc!$E1352="نامعتبر",Calc!$G1352=""),"",Calc!$G1352)</f>
        <v/>
      </c>
      <c r="B1348" t="str">
        <f>IF($A1348="","",LEFT(Calc!$E1352,4)&amp;MID(Calc!$E1352,6,2)&amp;RIGHT(Calc!$E1352,2)&amp;Calc!$Q1352&amp;"|"&amp;"1"&amp;RIGHT("00000"&amp;1343,5))</f>
        <v/>
      </c>
      <c r="C1348" t="str">
        <f t="shared" si="100"/>
        <v/>
      </c>
      <c r="D1348" t="str">
        <f t="shared" si="101"/>
        <v/>
      </c>
      <c r="F1348" t="str">
        <f>IF(Sync!$AH1348="","",IF(LEFT(UPPER(TRIM(Sync!$AH1348)),2)="SL",UPPER(TRIM(Sync!$AH1348)),""))</f>
        <v/>
      </c>
      <c r="G1348" t="str">
        <f>IF($F1348="","",IF(Sync!$AE1348="","",IF(ISNUMBER(Sync!$AE1348),IF(AND(Sync!$AE1348&gt;=10000101,Sync!$AE1348&lt;=99991231),INT(Sync!$AE1348/10000),""),IFERROR(VALUE(TRIM(LEFT(Sync!$AE1348,FIND("/",Sync!$AE1348)-1))),""))))</f>
        <v/>
      </c>
      <c r="H1348" t="str">
        <f>IF(OR($F1348="",$G1348=""),"",IF(ISNUMBER(Sync!$AE1348),INT(MOD(Sync!$AE1348,10000)/100),IFERROR(VALUE(TRIM(LEFT(MID(Sync!$AE1348,FIND("/",Sync!$AE1348)+1,20),FIND("/",MID(Sync!$AE1348,FIND("/",Sync!$AE1348)+1,20))-1))),"")))</f>
        <v/>
      </c>
      <c r="I1348" t="str">
        <f>IF(OR($F1348="",$G1348=""),"",IF(ISNUMBER(Sync!$AE1348),MOD(Sync!$AE1348,100),IFERROR(VALUE(TRIM(MID(MID(Sync!$AE1348,FIND("/",Sync!$AE1348)+1,20),FIND("/",MID(Sync!$AE1348,FIND("/",Sync!$AE1348)+1,20))+1,20))),"")))</f>
        <v/>
      </c>
      <c r="J1348" t="str">
        <f t="shared" si="102"/>
        <v/>
      </c>
      <c r="K1348" t="str">
        <f>IF(OR($F1348="",$J1348="",$J1348="نامعتبر"),"",LEFT($J1348,4)&amp;MID($J1348,6,2)&amp;RIGHT($J1348,2)&amp;$N1348&amp;"|"&amp;"2"&amp;RIGHT("00000"&amp;1343,5))</f>
        <v/>
      </c>
      <c r="L1348" t="str">
        <f t="shared" si="103"/>
        <v/>
      </c>
      <c r="M1348" t="str">
        <f t="shared" si="104"/>
        <v/>
      </c>
      <c r="N1348" t="str">
        <f>IF($F1348="","",IF(Sync!$AF1348="","0000",IF(AND(ISNUMBER(Sync!$AF1348),Sync!$AF1348&gt;=0,Sync!$AF1348&lt;1),RIGHT("00"&amp;HOUR(Sync!$AF1348),2)&amp;RIGHT("00"&amp;MINUTE(Sync!$AF1348),2),IFERROR(RIGHT("00"&amp;VALUE(LEFT(Sync!$AF1348,FIND(":",Sync!$AF1348)-1)),2)&amp;RIGHT("00"&amp;VALUE(MID(Sync!$AF1348,FIND(":",Sync!$AF1348)+1,2)),2),"0000"))))</f>
        <v/>
      </c>
    </row>
    <row r="1349" spans="1:14" x14ac:dyDescent="0.2">
      <c r="A1349" t="str">
        <f>IF(OR(Calc!$E1353="",Calc!$E1353="نامعتبر",Calc!$G1353=""),"",Calc!$G1353)</f>
        <v/>
      </c>
      <c r="B1349" t="str">
        <f>IF($A1349="","",LEFT(Calc!$E1353,4)&amp;MID(Calc!$E1353,6,2)&amp;RIGHT(Calc!$E1353,2)&amp;Calc!$Q1353&amp;"|"&amp;"1"&amp;RIGHT("00000"&amp;1344,5))</f>
        <v/>
      </c>
      <c r="C1349" t="str">
        <f t="shared" si="100"/>
        <v/>
      </c>
      <c r="D1349" t="str">
        <f t="shared" si="101"/>
        <v/>
      </c>
      <c r="F1349" t="str">
        <f>IF(Sync!$AH1349="","",IF(LEFT(UPPER(TRIM(Sync!$AH1349)),2)="SL",UPPER(TRIM(Sync!$AH1349)),""))</f>
        <v/>
      </c>
      <c r="G1349" t="str">
        <f>IF($F1349="","",IF(Sync!$AE1349="","",IF(ISNUMBER(Sync!$AE1349),IF(AND(Sync!$AE1349&gt;=10000101,Sync!$AE1349&lt;=99991231),INT(Sync!$AE1349/10000),""),IFERROR(VALUE(TRIM(LEFT(Sync!$AE1349,FIND("/",Sync!$AE1349)-1))),""))))</f>
        <v/>
      </c>
      <c r="H1349" t="str">
        <f>IF(OR($F1349="",$G1349=""),"",IF(ISNUMBER(Sync!$AE1349),INT(MOD(Sync!$AE1349,10000)/100),IFERROR(VALUE(TRIM(LEFT(MID(Sync!$AE1349,FIND("/",Sync!$AE1349)+1,20),FIND("/",MID(Sync!$AE1349,FIND("/",Sync!$AE1349)+1,20))-1))),"")))</f>
        <v/>
      </c>
      <c r="I1349" t="str">
        <f>IF(OR($F1349="",$G1349=""),"",IF(ISNUMBER(Sync!$AE1349),MOD(Sync!$AE1349,100),IFERROR(VALUE(TRIM(MID(MID(Sync!$AE1349,FIND("/",Sync!$AE1349)+1,20),FIND("/",MID(Sync!$AE1349,FIND("/",Sync!$AE1349)+1,20))+1,20))),"")))</f>
        <v/>
      </c>
      <c r="J1349" t="str">
        <f t="shared" si="102"/>
        <v/>
      </c>
      <c r="K1349" t="str">
        <f>IF(OR($F1349="",$J1349="",$J1349="نامعتبر"),"",LEFT($J1349,4)&amp;MID($J1349,6,2)&amp;RIGHT($J1349,2)&amp;$N1349&amp;"|"&amp;"2"&amp;RIGHT("00000"&amp;1344,5))</f>
        <v/>
      </c>
      <c r="L1349" t="str">
        <f t="shared" si="103"/>
        <v/>
      </c>
      <c r="M1349" t="str">
        <f t="shared" si="104"/>
        <v/>
      </c>
      <c r="N1349" t="str">
        <f>IF($F1349="","",IF(Sync!$AF1349="","0000",IF(AND(ISNUMBER(Sync!$AF1349),Sync!$AF1349&gt;=0,Sync!$AF1349&lt;1),RIGHT("00"&amp;HOUR(Sync!$AF1349),2)&amp;RIGHT("00"&amp;MINUTE(Sync!$AF1349),2),IFERROR(RIGHT("00"&amp;VALUE(LEFT(Sync!$AF1349,FIND(":",Sync!$AF1349)-1)),2)&amp;RIGHT("00"&amp;VALUE(MID(Sync!$AF1349,FIND(":",Sync!$AF1349)+1,2)),2),"0000"))))</f>
        <v/>
      </c>
    </row>
    <row r="1350" spans="1:14" x14ac:dyDescent="0.2">
      <c r="A1350" t="str">
        <f>IF(OR(Calc!$E1354="",Calc!$E1354="نامعتبر",Calc!$G1354=""),"",Calc!$G1354)</f>
        <v/>
      </c>
      <c r="B1350" t="str">
        <f>IF($A1350="","",LEFT(Calc!$E1354,4)&amp;MID(Calc!$E1354,6,2)&amp;RIGHT(Calc!$E1354,2)&amp;Calc!$Q1354&amp;"|"&amp;"1"&amp;RIGHT("00000"&amp;1345,5))</f>
        <v/>
      </c>
      <c r="C1350" t="str">
        <f t="shared" ref="C1350:C1413" si="105">IF($B1350="","",COUNTIFS(LdgSellerA,$A1350,LdgKeyA,"&lt;"&amp;$B1350)+COUNTIFS(LdgSellerB,$A1350,LdgKeyB,"&lt;"&amp;$B1350)+1)</f>
        <v/>
      </c>
      <c r="D1350" t="str">
        <f t="shared" ref="D1350:D1413" si="106">IF($C1350="","",$A1350&amp;"|"&amp;RIGHT("000000"&amp;$C1350,6))</f>
        <v/>
      </c>
      <c r="F1350" t="str">
        <f>IF(Sync!$AH1350="","",IF(LEFT(UPPER(TRIM(Sync!$AH1350)),2)="SL",UPPER(TRIM(Sync!$AH1350)),""))</f>
        <v/>
      </c>
      <c r="G1350" t="str">
        <f>IF($F1350="","",IF(Sync!$AE1350="","",IF(ISNUMBER(Sync!$AE1350),IF(AND(Sync!$AE1350&gt;=10000101,Sync!$AE1350&lt;=99991231),INT(Sync!$AE1350/10000),""),IFERROR(VALUE(TRIM(LEFT(Sync!$AE1350,FIND("/",Sync!$AE1350)-1))),""))))</f>
        <v/>
      </c>
      <c r="H1350" t="str">
        <f>IF(OR($F1350="",$G1350=""),"",IF(ISNUMBER(Sync!$AE1350),INT(MOD(Sync!$AE1350,10000)/100),IFERROR(VALUE(TRIM(LEFT(MID(Sync!$AE1350,FIND("/",Sync!$AE1350)+1,20),FIND("/",MID(Sync!$AE1350,FIND("/",Sync!$AE1350)+1,20))-1))),"")))</f>
        <v/>
      </c>
      <c r="I1350" t="str">
        <f>IF(OR($F1350="",$G1350=""),"",IF(ISNUMBER(Sync!$AE1350),MOD(Sync!$AE1350,100),IFERROR(VALUE(TRIM(MID(MID(Sync!$AE1350,FIND("/",Sync!$AE1350)+1,20),FIND("/",MID(Sync!$AE1350,FIND("/",Sync!$AE1350)+1,20))+1,20))),"")))</f>
        <v/>
      </c>
      <c r="J1350" t="str">
        <f t="shared" ref="J1350:J1413" si="107">IF($F1350="","",IF(OR($G1350="",$H1350="",$I1350="",$G1350&lt;1300,$G1350&gt;1500,$H1350&lt;1,$H1350&gt;12,$I1350&lt;1,$I1350&gt;31),"نامعتبر",RIGHT("0000"&amp;$G1350,4)&amp;"/"&amp;RIGHT("00"&amp;$H1350,2)&amp;"/"&amp;RIGHT("00"&amp;$I1350,2)))</f>
        <v/>
      </c>
      <c r="K1350" t="str">
        <f>IF(OR($F1350="",$J1350="",$J1350="نامعتبر"),"",LEFT($J1350,4)&amp;MID($J1350,6,2)&amp;RIGHT($J1350,2)&amp;$N1350&amp;"|"&amp;"2"&amp;RIGHT("00000"&amp;1345,5))</f>
        <v/>
      </c>
      <c r="L1350" t="str">
        <f t="shared" ref="L1350:L1413" si="108">IF($K1350="","",COUNTIFS(LdgSellerA,$F1350,LdgKeyA,"&lt;"&amp;$K1350)+COUNTIFS(LdgSellerB,$F1350,LdgKeyB,"&lt;"&amp;$K1350)+1)</f>
        <v/>
      </c>
      <c r="M1350" t="str">
        <f t="shared" ref="M1350:M1413" si="109">IF($L1350="","",$F1350&amp;"|"&amp;RIGHT("000000"&amp;$L1350,6))</f>
        <v/>
      </c>
      <c r="N1350" t="str">
        <f>IF($F1350="","",IF(Sync!$AF1350="","0000",IF(AND(ISNUMBER(Sync!$AF1350),Sync!$AF1350&gt;=0,Sync!$AF1350&lt;1),RIGHT("00"&amp;HOUR(Sync!$AF1350),2)&amp;RIGHT("00"&amp;MINUTE(Sync!$AF1350),2),IFERROR(RIGHT("00"&amp;VALUE(LEFT(Sync!$AF1350,FIND(":",Sync!$AF1350)-1)),2)&amp;RIGHT("00"&amp;VALUE(MID(Sync!$AF1350,FIND(":",Sync!$AF1350)+1,2)),2),"0000"))))</f>
        <v/>
      </c>
    </row>
    <row r="1351" spans="1:14" x14ac:dyDescent="0.2">
      <c r="A1351" t="str">
        <f>IF(OR(Calc!$E1355="",Calc!$E1355="نامعتبر",Calc!$G1355=""),"",Calc!$G1355)</f>
        <v/>
      </c>
      <c r="B1351" t="str">
        <f>IF($A1351="","",LEFT(Calc!$E1355,4)&amp;MID(Calc!$E1355,6,2)&amp;RIGHT(Calc!$E1355,2)&amp;Calc!$Q1355&amp;"|"&amp;"1"&amp;RIGHT("00000"&amp;1346,5))</f>
        <v/>
      </c>
      <c r="C1351" t="str">
        <f t="shared" si="105"/>
        <v/>
      </c>
      <c r="D1351" t="str">
        <f t="shared" si="106"/>
        <v/>
      </c>
      <c r="F1351" t="str">
        <f>IF(Sync!$AH1351="","",IF(LEFT(UPPER(TRIM(Sync!$AH1351)),2)="SL",UPPER(TRIM(Sync!$AH1351)),""))</f>
        <v/>
      </c>
      <c r="G1351" t="str">
        <f>IF($F1351="","",IF(Sync!$AE1351="","",IF(ISNUMBER(Sync!$AE1351),IF(AND(Sync!$AE1351&gt;=10000101,Sync!$AE1351&lt;=99991231),INT(Sync!$AE1351/10000),""),IFERROR(VALUE(TRIM(LEFT(Sync!$AE1351,FIND("/",Sync!$AE1351)-1))),""))))</f>
        <v/>
      </c>
      <c r="H1351" t="str">
        <f>IF(OR($F1351="",$G1351=""),"",IF(ISNUMBER(Sync!$AE1351),INT(MOD(Sync!$AE1351,10000)/100),IFERROR(VALUE(TRIM(LEFT(MID(Sync!$AE1351,FIND("/",Sync!$AE1351)+1,20),FIND("/",MID(Sync!$AE1351,FIND("/",Sync!$AE1351)+1,20))-1))),"")))</f>
        <v/>
      </c>
      <c r="I1351" t="str">
        <f>IF(OR($F1351="",$G1351=""),"",IF(ISNUMBER(Sync!$AE1351),MOD(Sync!$AE1351,100),IFERROR(VALUE(TRIM(MID(MID(Sync!$AE1351,FIND("/",Sync!$AE1351)+1,20),FIND("/",MID(Sync!$AE1351,FIND("/",Sync!$AE1351)+1,20))+1,20))),"")))</f>
        <v/>
      </c>
      <c r="J1351" t="str">
        <f t="shared" si="107"/>
        <v/>
      </c>
      <c r="K1351" t="str">
        <f>IF(OR($F1351="",$J1351="",$J1351="نامعتبر"),"",LEFT($J1351,4)&amp;MID($J1351,6,2)&amp;RIGHT($J1351,2)&amp;$N1351&amp;"|"&amp;"2"&amp;RIGHT("00000"&amp;1346,5))</f>
        <v/>
      </c>
      <c r="L1351" t="str">
        <f t="shared" si="108"/>
        <v/>
      </c>
      <c r="M1351" t="str">
        <f t="shared" si="109"/>
        <v/>
      </c>
      <c r="N1351" t="str">
        <f>IF($F1351="","",IF(Sync!$AF1351="","0000",IF(AND(ISNUMBER(Sync!$AF1351),Sync!$AF1351&gt;=0,Sync!$AF1351&lt;1),RIGHT("00"&amp;HOUR(Sync!$AF1351),2)&amp;RIGHT("00"&amp;MINUTE(Sync!$AF1351),2),IFERROR(RIGHT("00"&amp;VALUE(LEFT(Sync!$AF1351,FIND(":",Sync!$AF1351)-1)),2)&amp;RIGHT("00"&amp;VALUE(MID(Sync!$AF1351,FIND(":",Sync!$AF1351)+1,2)),2),"0000"))))</f>
        <v/>
      </c>
    </row>
    <row r="1352" spans="1:14" x14ac:dyDescent="0.2">
      <c r="A1352" t="str">
        <f>IF(OR(Calc!$E1356="",Calc!$E1356="نامعتبر",Calc!$G1356=""),"",Calc!$G1356)</f>
        <v/>
      </c>
      <c r="B1352" t="str">
        <f>IF($A1352="","",LEFT(Calc!$E1356,4)&amp;MID(Calc!$E1356,6,2)&amp;RIGHT(Calc!$E1356,2)&amp;Calc!$Q1356&amp;"|"&amp;"1"&amp;RIGHT("00000"&amp;1347,5))</f>
        <v/>
      </c>
      <c r="C1352" t="str">
        <f t="shared" si="105"/>
        <v/>
      </c>
      <c r="D1352" t="str">
        <f t="shared" si="106"/>
        <v/>
      </c>
      <c r="F1352" t="str">
        <f>IF(Sync!$AH1352="","",IF(LEFT(UPPER(TRIM(Sync!$AH1352)),2)="SL",UPPER(TRIM(Sync!$AH1352)),""))</f>
        <v/>
      </c>
      <c r="G1352" t="str">
        <f>IF($F1352="","",IF(Sync!$AE1352="","",IF(ISNUMBER(Sync!$AE1352),IF(AND(Sync!$AE1352&gt;=10000101,Sync!$AE1352&lt;=99991231),INT(Sync!$AE1352/10000),""),IFERROR(VALUE(TRIM(LEFT(Sync!$AE1352,FIND("/",Sync!$AE1352)-1))),""))))</f>
        <v/>
      </c>
      <c r="H1352" t="str">
        <f>IF(OR($F1352="",$G1352=""),"",IF(ISNUMBER(Sync!$AE1352),INT(MOD(Sync!$AE1352,10000)/100),IFERROR(VALUE(TRIM(LEFT(MID(Sync!$AE1352,FIND("/",Sync!$AE1352)+1,20),FIND("/",MID(Sync!$AE1352,FIND("/",Sync!$AE1352)+1,20))-1))),"")))</f>
        <v/>
      </c>
      <c r="I1352" t="str">
        <f>IF(OR($F1352="",$G1352=""),"",IF(ISNUMBER(Sync!$AE1352),MOD(Sync!$AE1352,100),IFERROR(VALUE(TRIM(MID(MID(Sync!$AE1352,FIND("/",Sync!$AE1352)+1,20),FIND("/",MID(Sync!$AE1352,FIND("/",Sync!$AE1352)+1,20))+1,20))),"")))</f>
        <v/>
      </c>
      <c r="J1352" t="str">
        <f t="shared" si="107"/>
        <v/>
      </c>
      <c r="K1352" t="str">
        <f>IF(OR($F1352="",$J1352="",$J1352="نامعتبر"),"",LEFT($J1352,4)&amp;MID($J1352,6,2)&amp;RIGHT($J1352,2)&amp;$N1352&amp;"|"&amp;"2"&amp;RIGHT("00000"&amp;1347,5))</f>
        <v/>
      </c>
      <c r="L1352" t="str">
        <f t="shared" si="108"/>
        <v/>
      </c>
      <c r="M1352" t="str">
        <f t="shared" si="109"/>
        <v/>
      </c>
      <c r="N1352" t="str">
        <f>IF($F1352="","",IF(Sync!$AF1352="","0000",IF(AND(ISNUMBER(Sync!$AF1352),Sync!$AF1352&gt;=0,Sync!$AF1352&lt;1),RIGHT("00"&amp;HOUR(Sync!$AF1352),2)&amp;RIGHT("00"&amp;MINUTE(Sync!$AF1352),2),IFERROR(RIGHT("00"&amp;VALUE(LEFT(Sync!$AF1352,FIND(":",Sync!$AF1352)-1)),2)&amp;RIGHT("00"&amp;VALUE(MID(Sync!$AF1352,FIND(":",Sync!$AF1352)+1,2)),2),"0000"))))</f>
        <v/>
      </c>
    </row>
    <row r="1353" spans="1:14" x14ac:dyDescent="0.2">
      <c r="A1353" t="str">
        <f>IF(OR(Calc!$E1357="",Calc!$E1357="نامعتبر",Calc!$G1357=""),"",Calc!$G1357)</f>
        <v/>
      </c>
      <c r="B1353" t="str">
        <f>IF($A1353="","",LEFT(Calc!$E1357,4)&amp;MID(Calc!$E1357,6,2)&amp;RIGHT(Calc!$E1357,2)&amp;Calc!$Q1357&amp;"|"&amp;"1"&amp;RIGHT("00000"&amp;1348,5))</f>
        <v/>
      </c>
      <c r="C1353" t="str">
        <f t="shared" si="105"/>
        <v/>
      </c>
      <c r="D1353" t="str">
        <f t="shared" si="106"/>
        <v/>
      </c>
      <c r="F1353" t="str">
        <f>IF(Sync!$AH1353="","",IF(LEFT(UPPER(TRIM(Sync!$AH1353)),2)="SL",UPPER(TRIM(Sync!$AH1353)),""))</f>
        <v/>
      </c>
      <c r="G1353" t="str">
        <f>IF($F1353="","",IF(Sync!$AE1353="","",IF(ISNUMBER(Sync!$AE1353),IF(AND(Sync!$AE1353&gt;=10000101,Sync!$AE1353&lt;=99991231),INT(Sync!$AE1353/10000),""),IFERROR(VALUE(TRIM(LEFT(Sync!$AE1353,FIND("/",Sync!$AE1353)-1))),""))))</f>
        <v/>
      </c>
      <c r="H1353" t="str">
        <f>IF(OR($F1353="",$G1353=""),"",IF(ISNUMBER(Sync!$AE1353),INT(MOD(Sync!$AE1353,10000)/100),IFERROR(VALUE(TRIM(LEFT(MID(Sync!$AE1353,FIND("/",Sync!$AE1353)+1,20),FIND("/",MID(Sync!$AE1353,FIND("/",Sync!$AE1353)+1,20))-1))),"")))</f>
        <v/>
      </c>
      <c r="I1353" t="str">
        <f>IF(OR($F1353="",$G1353=""),"",IF(ISNUMBER(Sync!$AE1353),MOD(Sync!$AE1353,100),IFERROR(VALUE(TRIM(MID(MID(Sync!$AE1353,FIND("/",Sync!$AE1353)+1,20),FIND("/",MID(Sync!$AE1353,FIND("/",Sync!$AE1353)+1,20))+1,20))),"")))</f>
        <v/>
      </c>
      <c r="J1353" t="str">
        <f t="shared" si="107"/>
        <v/>
      </c>
      <c r="K1353" t="str">
        <f>IF(OR($F1353="",$J1353="",$J1353="نامعتبر"),"",LEFT($J1353,4)&amp;MID($J1353,6,2)&amp;RIGHT($J1353,2)&amp;$N1353&amp;"|"&amp;"2"&amp;RIGHT("00000"&amp;1348,5))</f>
        <v/>
      </c>
      <c r="L1353" t="str">
        <f t="shared" si="108"/>
        <v/>
      </c>
      <c r="M1353" t="str">
        <f t="shared" si="109"/>
        <v/>
      </c>
      <c r="N1353" t="str">
        <f>IF($F1353="","",IF(Sync!$AF1353="","0000",IF(AND(ISNUMBER(Sync!$AF1353),Sync!$AF1353&gt;=0,Sync!$AF1353&lt;1),RIGHT("00"&amp;HOUR(Sync!$AF1353),2)&amp;RIGHT("00"&amp;MINUTE(Sync!$AF1353),2),IFERROR(RIGHT("00"&amp;VALUE(LEFT(Sync!$AF1353,FIND(":",Sync!$AF1353)-1)),2)&amp;RIGHT("00"&amp;VALUE(MID(Sync!$AF1353,FIND(":",Sync!$AF1353)+1,2)),2),"0000"))))</f>
        <v/>
      </c>
    </row>
    <row r="1354" spans="1:14" x14ac:dyDescent="0.2">
      <c r="A1354" t="str">
        <f>IF(OR(Calc!$E1358="",Calc!$E1358="نامعتبر",Calc!$G1358=""),"",Calc!$G1358)</f>
        <v/>
      </c>
      <c r="B1354" t="str">
        <f>IF($A1354="","",LEFT(Calc!$E1358,4)&amp;MID(Calc!$E1358,6,2)&amp;RIGHT(Calc!$E1358,2)&amp;Calc!$Q1358&amp;"|"&amp;"1"&amp;RIGHT("00000"&amp;1349,5))</f>
        <v/>
      </c>
      <c r="C1354" t="str">
        <f t="shared" si="105"/>
        <v/>
      </c>
      <c r="D1354" t="str">
        <f t="shared" si="106"/>
        <v/>
      </c>
      <c r="F1354" t="str">
        <f>IF(Sync!$AH1354="","",IF(LEFT(UPPER(TRIM(Sync!$AH1354)),2)="SL",UPPER(TRIM(Sync!$AH1354)),""))</f>
        <v/>
      </c>
      <c r="G1354" t="str">
        <f>IF($F1354="","",IF(Sync!$AE1354="","",IF(ISNUMBER(Sync!$AE1354),IF(AND(Sync!$AE1354&gt;=10000101,Sync!$AE1354&lt;=99991231),INT(Sync!$AE1354/10000),""),IFERROR(VALUE(TRIM(LEFT(Sync!$AE1354,FIND("/",Sync!$AE1354)-1))),""))))</f>
        <v/>
      </c>
      <c r="H1354" t="str">
        <f>IF(OR($F1354="",$G1354=""),"",IF(ISNUMBER(Sync!$AE1354),INT(MOD(Sync!$AE1354,10000)/100),IFERROR(VALUE(TRIM(LEFT(MID(Sync!$AE1354,FIND("/",Sync!$AE1354)+1,20),FIND("/",MID(Sync!$AE1354,FIND("/",Sync!$AE1354)+1,20))-1))),"")))</f>
        <v/>
      </c>
      <c r="I1354" t="str">
        <f>IF(OR($F1354="",$G1354=""),"",IF(ISNUMBER(Sync!$AE1354),MOD(Sync!$AE1354,100),IFERROR(VALUE(TRIM(MID(MID(Sync!$AE1354,FIND("/",Sync!$AE1354)+1,20),FIND("/",MID(Sync!$AE1354,FIND("/",Sync!$AE1354)+1,20))+1,20))),"")))</f>
        <v/>
      </c>
      <c r="J1354" t="str">
        <f t="shared" si="107"/>
        <v/>
      </c>
      <c r="K1354" t="str">
        <f>IF(OR($F1354="",$J1354="",$J1354="نامعتبر"),"",LEFT($J1354,4)&amp;MID($J1354,6,2)&amp;RIGHT($J1354,2)&amp;$N1354&amp;"|"&amp;"2"&amp;RIGHT("00000"&amp;1349,5))</f>
        <v/>
      </c>
      <c r="L1354" t="str">
        <f t="shared" si="108"/>
        <v/>
      </c>
      <c r="M1354" t="str">
        <f t="shared" si="109"/>
        <v/>
      </c>
      <c r="N1354" t="str">
        <f>IF($F1354="","",IF(Sync!$AF1354="","0000",IF(AND(ISNUMBER(Sync!$AF1354),Sync!$AF1354&gt;=0,Sync!$AF1354&lt;1),RIGHT("00"&amp;HOUR(Sync!$AF1354),2)&amp;RIGHT("00"&amp;MINUTE(Sync!$AF1354),2),IFERROR(RIGHT("00"&amp;VALUE(LEFT(Sync!$AF1354,FIND(":",Sync!$AF1354)-1)),2)&amp;RIGHT("00"&amp;VALUE(MID(Sync!$AF1354,FIND(":",Sync!$AF1354)+1,2)),2),"0000"))))</f>
        <v/>
      </c>
    </row>
    <row r="1355" spans="1:14" x14ac:dyDescent="0.2">
      <c r="A1355" t="str">
        <f>IF(OR(Calc!$E1359="",Calc!$E1359="نامعتبر",Calc!$G1359=""),"",Calc!$G1359)</f>
        <v/>
      </c>
      <c r="B1355" t="str">
        <f>IF($A1355="","",LEFT(Calc!$E1359,4)&amp;MID(Calc!$E1359,6,2)&amp;RIGHT(Calc!$E1359,2)&amp;Calc!$Q1359&amp;"|"&amp;"1"&amp;RIGHT("00000"&amp;1350,5))</f>
        <v/>
      </c>
      <c r="C1355" t="str">
        <f t="shared" si="105"/>
        <v/>
      </c>
      <c r="D1355" t="str">
        <f t="shared" si="106"/>
        <v/>
      </c>
      <c r="F1355" t="str">
        <f>IF(Sync!$AH1355="","",IF(LEFT(UPPER(TRIM(Sync!$AH1355)),2)="SL",UPPER(TRIM(Sync!$AH1355)),""))</f>
        <v/>
      </c>
      <c r="G1355" t="str">
        <f>IF($F1355="","",IF(Sync!$AE1355="","",IF(ISNUMBER(Sync!$AE1355),IF(AND(Sync!$AE1355&gt;=10000101,Sync!$AE1355&lt;=99991231),INT(Sync!$AE1355/10000),""),IFERROR(VALUE(TRIM(LEFT(Sync!$AE1355,FIND("/",Sync!$AE1355)-1))),""))))</f>
        <v/>
      </c>
      <c r="H1355" t="str">
        <f>IF(OR($F1355="",$G1355=""),"",IF(ISNUMBER(Sync!$AE1355),INT(MOD(Sync!$AE1355,10000)/100),IFERROR(VALUE(TRIM(LEFT(MID(Sync!$AE1355,FIND("/",Sync!$AE1355)+1,20),FIND("/",MID(Sync!$AE1355,FIND("/",Sync!$AE1355)+1,20))-1))),"")))</f>
        <v/>
      </c>
      <c r="I1355" t="str">
        <f>IF(OR($F1355="",$G1355=""),"",IF(ISNUMBER(Sync!$AE1355),MOD(Sync!$AE1355,100),IFERROR(VALUE(TRIM(MID(MID(Sync!$AE1355,FIND("/",Sync!$AE1355)+1,20),FIND("/",MID(Sync!$AE1355,FIND("/",Sync!$AE1355)+1,20))+1,20))),"")))</f>
        <v/>
      </c>
      <c r="J1355" t="str">
        <f t="shared" si="107"/>
        <v/>
      </c>
      <c r="K1355" t="str">
        <f>IF(OR($F1355="",$J1355="",$J1355="نامعتبر"),"",LEFT($J1355,4)&amp;MID($J1355,6,2)&amp;RIGHT($J1355,2)&amp;$N1355&amp;"|"&amp;"2"&amp;RIGHT("00000"&amp;1350,5))</f>
        <v/>
      </c>
      <c r="L1355" t="str">
        <f t="shared" si="108"/>
        <v/>
      </c>
      <c r="M1355" t="str">
        <f t="shared" si="109"/>
        <v/>
      </c>
      <c r="N1355" t="str">
        <f>IF($F1355="","",IF(Sync!$AF1355="","0000",IF(AND(ISNUMBER(Sync!$AF1355),Sync!$AF1355&gt;=0,Sync!$AF1355&lt;1),RIGHT("00"&amp;HOUR(Sync!$AF1355),2)&amp;RIGHT("00"&amp;MINUTE(Sync!$AF1355),2),IFERROR(RIGHT("00"&amp;VALUE(LEFT(Sync!$AF1355,FIND(":",Sync!$AF1355)-1)),2)&amp;RIGHT("00"&amp;VALUE(MID(Sync!$AF1355,FIND(":",Sync!$AF1355)+1,2)),2),"0000"))))</f>
        <v/>
      </c>
    </row>
    <row r="1356" spans="1:14" x14ac:dyDescent="0.2">
      <c r="A1356" t="str">
        <f>IF(OR(Calc!$E1360="",Calc!$E1360="نامعتبر",Calc!$G1360=""),"",Calc!$G1360)</f>
        <v/>
      </c>
      <c r="B1356" t="str">
        <f>IF($A1356="","",LEFT(Calc!$E1360,4)&amp;MID(Calc!$E1360,6,2)&amp;RIGHT(Calc!$E1360,2)&amp;Calc!$Q1360&amp;"|"&amp;"1"&amp;RIGHT("00000"&amp;1351,5))</f>
        <v/>
      </c>
      <c r="C1356" t="str">
        <f t="shared" si="105"/>
        <v/>
      </c>
      <c r="D1356" t="str">
        <f t="shared" si="106"/>
        <v/>
      </c>
      <c r="F1356" t="str">
        <f>IF(Sync!$AH1356="","",IF(LEFT(UPPER(TRIM(Sync!$AH1356)),2)="SL",UPPER(TRIM(Sync!$AH1356)),""))</f>
        <v/>
      </c>
      <c r="G1356" t="str">
        <f>IF($F1356="","",IF(Sync!$AE1356="","",IF(ISNUMBER(Sync!$AE1356),IF(AND(Sync!$AE1356&gt;=10000101,Sync!$AE1356&lt;=99991231),INT(Sync!$AE1356/10000),""),IFERROR(VALUE(TRIM(LEFT(Sync!$AE1356,FIND("/",Sync!$AE1356)-1))),""))))</f>
        <v/>
      </c>
      <c r="H1356" t="str">
        <f>IF(OR($F1356="",$G1356=""),"",IF(ISNUMBER(Sync!$AE1356),INT(MOD(Sync!$AE1356,10000)/100),IFERROR(VALUE(TRIM(LEFT(MID(Sync!$AE1356,FIND("/",Sync!$AE1356)+1,20),FIND("/",MID(Sync!$AE1356,FIND("/",Sync!$AE1356)+1,20))-1))),"")))</f>
        <v/>
      </c>
      <c r="I1356" t="str">
        <f>IF(OR($F1356="",$G1356=""),"",IF(ISNUMBER(Sync!$AE1356),MOD(Sync!$AE1356,100),IFERROR(VALUE(TRIM(MID(MID(Sync!$AE1356,FIND("/",Sync!$AE1356)+1,20),FIND("/",MID(Sync!$AE1356,FIND("/",Sync!$AE1356)+1,20))+1,20))),"")))</f>
        <v/>
      </c>
      <c r="J1356" t="str">
        <f t="shared" si="107"/>
        <v/>
      </c>
      <c r="K1356" t="str">
        <f>IF(OR($F1356="",$J1356="",$J1356="نامعتبر"),"",LEFT($J1356,4)&amp;MID($J1356,6,2)&amp;RIGHT($J1356,2)&amp;$N1356&amp;"|"&amp;"2"&amp;RIGHT("00000"&amp;1351,5))</f>
        <v/>
      </c>
      <c r="L1356" t="str">
        <f t="shared" si="108"/>
        <v/>
      </c>
      <c r="M1356" t="str">
        <f t="shared" si="109"/>
        <v/>
      </c>
      <c r="N1356" t="str">
        <f>IF($F1356="","",IF(Sync!$AF1356="","0000",IF(AND(ISNUMBER(Sync!$AF1356),Sync!$AF1356&gt;=0,Sync!$AF1356&lt;1),RIGHT("00"&amp;HOUR(Sync!$AF1356),2)&amp;RIGHT("00"&amp;MINUTE(Sync!$AF1356),2),IFERROR(RIGHT("00"&amp;VALUE(LEFT(Sync!$AF1356,FIND(":",Sync!$AF1356)-1)),2)&amp;RIGHT("00"&amp;VALUE(MID(Sync!$AF1356,FIND(":",Sync!$AF1356)+1,2)),2),"0000"))))</f>
        <v/>
      </c>
    </row>
    <row r="1357" spans="1:14" x14ac:dyDescent="0.2">
      <c r="A1357" t="str">
        <f>IF(OR(Calc!$E1361="",Calc!$E1361="نامعتبر",Calc!$G1361=""),"",Calc!$G1361)</f>
        <v/>
      </c>
      <c r="B1357" t="str">
        <f>IF($A1357="","",LEFT(Calc!$E1361,4)&amp;MID(Calc!$E1361,6,2)&amp;RIGHT(Calc!$E1361,2)&amp;Calc!$Q1361&amp;"|"&amp;"1"&amp;RIGHT("00000"&amp;1352,5))</f>
        <v/>
      </c>
      <c r="C1357" t="str">
        <f t="shared" si="105"/>
        <v/>
      </c>
      <c r="D1357" t="str">
        <f t="shared" si="106"/>
        <v/>
      </c>
      <c r="F1357" t="str">
        <f>IF(Sync!$AH1357="","",IF(LEFT(UPPER(TRIM(Sync!$AH1357)),2)="SL",UPPER(TRIM(Sync!$AH1357)),""))</f>
        <v/>
      </c>
      <c r="G1357" t="str">
        <f>IF($F1357="","",IF(Sync!$AE1357="","",IF(ISNUMBER(Sync!$AE1357),IF(AND(Sync!$AE1357&gt;=10000101,Sync!$AE1357&lt;=99991231),INT(Sync!$AE1357/10000),""),IFERROR(VALUE(TRIM(LEFT(Sync!$AE1357,FIND("/",Sync!$AE1357)-1))),""))))</f>
        <v/>
      </c>
      <c r="H1357" t="str">
        <f>IF(OR($F1357="",$G1357=""),"",IF(ISNUMBER(Sync!$AE1357),INT(MOD(Sync!$AE1357,10000)/100),IFERROR(VALUE(TRIM(LEFT(MID(Sync!$AE1357,FIND("/",Sync!$AE1357)+1,20),FIND("/",MID(Sync!$AE1357,FIND("/",Sync!$AE1357)+1,20))-1))),"")))</f>
        <v/>
      </c>
      <c r="I1357" t="str">
        <f>IF(OR($F1357="",$G1357=""),"",IF(ISNUMBER(Sync!$AE1357),MOD(Sync!$AE1357,100),IFERROR(VALUE(TRIM(MID(MID(Sync!$AE1357,FIND("/",Sync!$AE1357)+1,20),FIND("/",MID(Sync!$AE1357,FIND("/",Sync!$AE1357)+1,20))+1,20))),"")))</f>
        <v/>
      </c>
      <c r="J1357" t="str">
        <f t="shared" si="107"/>
        <v/>
      </c>
      <c r="K1357" t="str">
        <f>IF(OR($F1357="",$J1357="",$J1357="نامعتبر"),"",LEFT($J1357,4)&amp;MID($J1357,6,2)&amp;RIGHT($J1357,2)&amp;$N1357&amp;"|"&amp;"2"&amp;RIGHT("00000"&amp;1352,5))</f>
        <v/>
      </c>
      <c r="L1357" t="str">
        <f t="shared" si="108"/>
        <v/>
      </c>
      <c r="M1357" t="str">
        <f t="shared" si="109"/>
        <v/>
      </c>
      <c r="N1357" t="str">
        <f>IF($F1357="","",IF(Sync!$AF1357="","0000",IF(AND(ISNUMBER(Sync!$AF1357),Sync!$AF1357&gt;=0,Sync!$AF1357&lt;1),RIGHT("00"&amp;HOUR(Sync!$AF1357),2)&amp;RIGHT("00"&amp;MINUTE(Sync!$AF1357),2),IFERROR(RIGHT("00"&amp;VALUE(LEFT(Sync!$AF1357,FIND(":",Sync!$AF1357)-1)),2)&amp;RIGHT("00"&amp;VALUE(MID(Sync!$AF1357,FIND(":",Sync!$AF1357)+1,2)),2),"0000"))))</f>
        <v/>
      </c>
    </row>
    <row r="1358" spans="1:14" x14ac:dyDescent="0.2">
      <c r="A1358" t="str">
        <f>IF(OR(Calc!$E1362="",Calc!$E1362="نامعتبر",Calc!$G1362=""),"",Calc!$G1362)</f>
        <v/>
      </c>
      <c r="B1358" t="str">
        <f>IF($A1358="","",LEFT(Calc!$E1362,4)&amp;MID(Calc!$E1362,6,2)&amp;RIGHT(Calc!$E1362,2)&amp;Calc!$Q1362&amp;"|"&amp;"1"&amp;RIGHT("00000"&amp;1353,5))</f>
        <v/>
      </c>
      <c r="C1358" t="str">
        <f t="shared" si="105"/>
        <v/>
      </c>
      <c r="D1358" t="str">
        <f t="shared" si="106"/>
        <v/>
      </c>
      <c r="F1358" t="str">
        <f>IF(Sync!$AH1358="","",IF(LEFT(UPPER(TRIM(Sync!$AH1358)),2)="SL",UPPER(TRIM(Sync!$AH1358)),""))</f>
        <v/>
      </c>
      <c r="G1358" t="str">
        <f>IF($F1358="","",IF(Sync!$AE1358="","",IF(ISNUMBER(Sync!$AE1358),IF(AND(Sync!$AE1358&gt;=10000101,Sync!$AE1358&lt;=99991231),INT(Sync!$AE1358/10000),""),IFERROR(VALUE(TRIM(LEFT(Sync!$AE1358,FIND("/",Sync!$AE1358)-1))),""))))</f>
        <v/>
      </c>
      <c r="H1358" t="str">
        <f>IF(OR($F1358="",$G1358=""),"",IF(ISNUMBER(Sync!$AE1358),INT(MOD(Sync!$AE1358,10000)/100),IFERROR(VALUE(TRIM(LEFT(MID(Sync!$AE1358,FIND("/",Sync!$AE1358)+1,20),FIND("/",MID(Sync!$AE1358,FIND("/",Sync!$AE1358)+1,20))-1))),"")))</f>
        <v/>
      </c>
      <c r="I1358" t="str">
        <f>IF(OR($F1358="",$G1358=""),"",IF(ISNUMBER(Sync!$AE1358),MOD(Sync!$AE1358,100),IFERROR(VALUE(TRIM(MID(MID(Sync!$AE1358,FIND("/",Sync!$AE1358)+1,20),FIND("/",MID(Sync!$AE1358,FIND("/",Sync!$AE1358)+1,20))+1,20))),"")))</f>
        <v/>
      </c>
      <c r="J1358" t="str">
        <f t="shared" si="107"/>
        <v/>
      </c>
      <c r="K1358" t="str">
        <f>IF(OR($F1358="",$J1358="",$J1358="نامعتبر"),"",LEFT($J1358,4)&amp;MID($J1358,6,2)&amp;RIGHT($J1358,2)&amp;$N1358&amp;"|"&amp;"2"&amp;RIGHT("00000"&amp;1353,5))</f>
        <v/>
      </c>
      <c r="L1358" t="str">
        <f t="shared" si="108"/>
        <v/>
      </c>
      <c r="M1358" t="str">
        <f t="shared" si="109"/>
        <v/>
      </c>
      <c r="N1358" t="str">
        <f>IF($F1358="","",IF(Sync!$AF1358="","0000",IF(AND(ISNUMBER(Sync!$AF1358),Sync!$AF1358&gt;=0,Sync!$AF1358&lt;1),RIGHT("00"&amp;HOUR(Sync!$AF1358),2)&amp;RIGHT("00"&amp;MINUTE(Sync!$AF1358),2),IFERROR(RIGHT("00"&amp;VALUE(LEFT(Sync!$AF1358,FIND(":",Sync!$AF1358)-1)),2)&amp;RIGHT("00"&amp;VALUE(MID(Sync!$AF1358,FIND(":",Sync!$AF1358)+1,2)),2),"0000"))))</f>
        <v/>
      </c>
    </row>
    <row r="1359" spans="1:14" x14ac:dyDescent="0.2">
      <c r="A1359" t="str">
        <f>IF(OR(Calc!$E1363="",Calc!$E1363="نامعتبر",Calc!$G1363=""),"",Calc!$G1363)</f>
        <v/>
      </c>
      <c r="B1359" t="str">
        <f>IF($A1359="","",LEFT(Calc!$E1363,4)&amp;MID(Calc!$E1363,6,2)&amp;RIGHT(Calc!$E1363,2)&amp;Calc!$Q1363&amp;"|"&amp;"1"&amp;RIGHT("00000"&amp;1354,5))</f>
        <v/>
      </c>
      <c r="C1359" t="str">
        <f t="shared" si="105"/>
        <v/>
      </c>
      <c r="D1359" t="str">
        <f t="shared" si="106"/>
        <v/>
      </c>
      <c r="F1359" t="str">
        <f>IF(Sync!$AH1359="","",IF(LEFT(UPPER(TRIM(Sync!$AH1359)),2)="SL",UPPER(TRIM(Sync!$AH1359)),""))</f>
        <v/>
      </c>
      <c r="G1359" t="str">
        <f>IF($F1359="","",IF(Sync!$AE1359="","",IF(ISNUMBER(Sync!$AE1359),IF(AND(Sync!$AE1359&gt;=10000101,Sync!$AE1359&lt;=99991231),INT(Sync!$AE1359/10000),""),IFERROR(VALUE(TRIM(LEFT(Sync!$AE1359,FIND("/",Sync!$AE1359)-1))),""))))</f>
        <v/>
      </c>
      <c r="H1359" t="str">
        <f>IF(OR($F1359="",$G1359=""),"",IF(ISNUMBER(Sync!$AE1359),INT(MOD(Sync!$AE1359,10000)/100),IFERROR(VALUE(TRIM(LEFT(MID(Sync!$AE1359,FIND("/",Sync!$AE1359)+1,20),FIND("/",MID(Sync!$AE1359,FIND("/",Sync!$AE1359)+1,20))-1))),"")))</f>
        <v/>
      </c>
      <c r="I1359" t="str">
        <f>IF(OR($F1359="",$G1359=""),"",IF(ISNUMBER(Sync!$AE1359),MOD(Sync!$AE1359,100),IFERROR(VALUE(TRIM(MID(MID(Sync!$AE1359,FIND("/",Sync!$AE1359)+1,20),FIND("/",MID(Sync!$AE1359,FIND("/",Sync!$AE1359)+1,20))+1,20))),"")))</f>
        <v/>
      </c>
      <c r="J1359" t="str">
        <f t="shared" si="107"/>
        <v/>
      </c>
      <c r="K1359" t="str">
        <f>IF(OR($F1359="",$J1359="",$J1359="نامعتبر"),"",LEFT($J1359,4)&amp;MID($J1359,6,2)&amp;RIGHT($J1359,2)&amp;$N1359&amp;"|"&amp;"2"&amp;RIGHT("00000"&amp;1354,5))</f>
        <v/>
      </c>
      <c r="L1359" t="str">
        <f t="shared" si="108"/>
        <v/>
      </c>
      <c r="M1359" t="str">
        <f t="shared" si="109"/>
        <v/>
      </c>
      <c r="N1359" t="str">
        <f>IF($F1359="","",IF(Sync!$AF1359="","0000",IF(AND(ISNUMBER(Sync!$AF1359),Sync!$AF1359&gt;=0,Sync!$AF1359&lt;1),RIGHT("00"&amp;HOUR(Sync!$AF1359),2)&amp;RIGHT("00"&amp;MINUTE(Sync!$AF1359),2),IFERROR(RIGHT("00"&amp;VALUE(LEFT(Sync!$AF1359,FIND(":",Sync!$AF1359)-1)),2)&amp;RIGHT("00"&amp;VALUE(MID(Sync!$AF1359,FIND(":",Sync!$AF1359)+1,2)),2),"0000"))))</f>
        <v/>
      </c>
    </row>
    <row r="1360" spans="1:14" x14ac:dyDescent="0.2">
      <c r="A1360" t="str">
        <f>IF(OR(Calc!$E1364="",Calc!$E1364="نامعتبر",Calc!$G1364=""),"",Calc!$G1364)</f>
        <v/>
      </c>
      <c r="B1360" t="str">
        <f>IF($A1360="","",LEFT(Calc!$E1364,4)&amp;MID(Calc!$E1364,6,2)&amp;RIGHT(Calc!$E1364,2)&amp;Calc!$Q1364&amp;"|"&amp;"1"&amp;RIGHT("00000"&amp;1355,5))</f>
        <v/>
      </c>
      <c r="C1360" t="str">
        <f t="shared" si="105"/>
        <v/>
      </c>
      <c r="D1360" t="str">
        <f t="shared" si="106"/>
        <v/>
      </c>
      <c r="F1360" t="str">
        <f>IF(Sync!$AH1360="","",IF(LEFT(UPPER(TRIM(Sync!$AH1360)),2)="SL",UPPER(TRIM(Sync!$AH1360)),""))</f>
        <v/>
      </c>
      <c r="G1360" t="str">
        <f>IF($F1360="","",IF(Sync!$AE1360="","",IF(ISNUMBER(Sync!$AE1360),IF(AND(Sync!$AE1360&gt;=10000101,Sync!$AE1360&lt;=99991231),INT(Sync!$AE1360/10000),""),IFERROR(VALUE(TRIM(LEFT(Sync!$AE1360,FIND("/",Sync!$AE1360)-1))),""))))</f>
        <v/>
      </c>
      <c r="H1360" t="str">
        <f>IF(OR($F1360="",$G1360=""),"",IF(ISNUMBER(Sync!$AE1360),INT(MOD(Sync!$AE1360,10000)/100),IFERROR(VALUE(TRIM(LEFT(MID(Sync!$AE1360,FIND("/",Sync!$AE1360)+1,20),FIND("/",MID(Sync!$AE1360,FIND("/",Sync!$AE1360)+1,20))-1))),"")))</f>
        <v/>
      </c>
      <c r="I1360" t="str">
        <f>IF(OR($F1360="",$G1360=""),"",IF(ISNUMBER(Sync!$AE1360),MOD(Sync!$AE1360,100),IFERROR(VALUE(TRIM(MID(MID(Sync!$AE1360,FIND("/",Sync!$AE1360)+1,20),FIND("/",MID(Sync!$AE1360,FIND("/",Sync!$AE1360)+1,20))+1,20))),"")))</f>
        <v/>
      </c>
      <c r="J1360" t="str">
        <f t="shared" si="107"/>
        <v/>
      </c>
      <c r="K1360" t="str">
        <f>IF(OR($F1360="",$J1360="",$J1360="نامعتبر"),"",LEFT($J1360,4)&amp;MID($J1360,6,2)&amp;RIGHT($J1360,2)&amp;$N1360&amp;"|"&amp;"2"&amp;RIGHT("00000"&amp;1355,5))</f>
        <v/>
      </c>
      <c r="L1360" t="str">
        <f t="shared" si="108"/>
        <v/>
      </c>
      <c r="M1360" t="str">
        <f t="shared" si="109"/>
        <v/>
      </c>
      <c r="N1360" t="str">
        <f>IF($F1360="","",IF(Sync!$AF1360="","0000",IF(AND(ISNUMBER(Sync!$AF1360),Sync!$AF1360&gt;=0,Sync!$AF1360&lt;1),RIGHT("00"&amp;HOUR(Sync!$AF1360),2)&amp;RIGHT("00"&amp;MINUTE(Sync!$AF1360),2),IFERROR(RIGHT("00"&amp;VALUE(LEFT(Sync!$AF1360,FIND(":",Sync!$AF1360)-1)),2)&amp;RIGHT("00"&amp;VALUE(MID(Sync!$AF1360,FIND(":",Sync!$AF1360)+1,2)),2),"0000"))))</f>
        <v/>
      </c>
    </row>
    <row r="1361" spans="1:14" x14ac:dyDescent="0.2">
      <c r="A1361" t="str">
        <f>IF(OR(Calc!$E1365="",Calc!$E1365="نامعتبر",Calc!$G1365=""),"",Calc!$G1365)</f>
        <v/>
      </c>
      <c r="B1361" t="str">
        <f>IF($A1361="","",LEFT(Calc!$E1365,4)&amp;MID(Calc!$E1365,6,2)&amp;RIGHT(Calc!$E1365,2)&amp;Calc!$Q1365&amp;"|"&amp;"1"&amp;RIGHT("00000"&amp;1356,5))</f>
        <v/>
      </c>
      <c r="C1361" t="str">
        <f t="shared" si="105"/>
        <v/>
      </c>
      <c r="D1361" t="str">
        <f t="shared" si="106"/>
        <v/>
      </c>
      <c r="F1361" t="str">
        <f>IF(Sync!$AH1361="","",IF(LEFT(UPPER(TRIM(Sync!$AH1361)),2)="SL",UPPER(TRIM(Sync!$AH1361)),""))</f>
        <v/>
      </c>
      <c r="G1361" t="str">
        <f>IF($F1361="","",IF(Sync!$AE1361="","",IF(ISNUMBER(Sync!$AE1361),IF(AND(Sync!$AE1361&gt;=10000101,Sync!$AE1361&lt;=99991231),INT(Sync!$AE1361/10000),""),IFERROR(VALUE(TRIM(LEFT(Sync!$AE1361,FIND("/",Sync!$AE1361)-1))),""))))</f>
        <v/>
      </c>
      <c r="H1361" t="str">
        <f>IF(OR($F1361="",$G1361=""),"",IF(ISNUMBER(Sync!$AE1361),INT(MOD(Sync!$AE1361,10000)/100),IFERROR(VALUE(TRIM(LEFT(MID(Sync!$AE1361,FIND("/",Sync!$AE1361)+1,20),FIND("/",MID(Sync!$AE1361,FIND("/",Sync!$AE1361)+1,20))-1))),"")))</f>
        <v/>
      </c>
      <c r="I1361" t="str">
        <f>IF(OR($F1361="",$G1361=""),"",IF(ISNUMBER(Sync!$AE1361),MOD(Sync!$AE1361,100),IFERROR(VALUE(TRIM(MID(MID(Sync!$AE1361,FIND("/",Sync!$AE1361)+1,20),FIND("/",MID(Sync!$AE1361,FIND("/",Sync!$AE1361)+1,20))+1,20))),"")))</f>
        <v/>
      </c>
      <c r="J1361" t="str">
        <f t="shared" si="107"/>
        <v/>
      </c>
      <c r="K1361" t="str">
        <f>IF(OR($F1361="",$J1361="",$J1361="نامعتبر"),"",LEFT($J1361,4)&amp;MID($J1361,6,2)&amp;RIGHT($J1361,2)&amp;$N1361&amp;"|"&amp;"2"&amp;RIGHT("00000"&amp;1356,5))</f>
        <v/>
      </c>
      <c r="L1361" t="str">
        <f t="shared" si="108"/>
        <v/>
      </c>
      <c r="M1361" t="str">
        <f t="shared" si="109"/>
        <v/>
      </c>
      <c r="N1361" t="str">
        <f>IF($F1361="","",IF(Sync!$AF1361="","0000",IF(AND(ISNUMBER(Sync!$AF1361),Sync!$AF1361&gt;=0,Sync!$AF1361&lt;1),RIGHT("00"&amp;HOUR(Sync!$AF1361),2)&amp;RIGHT("00"&amp;MINUTE(Sync!$AF1361),2),IFERROR(RIGHT("00"&amp;VALUE(LEFT(Sync!$AF1361,FIND(":",Sync!$AF1361)-1)),2)&amp;RIGHT("00"&amp;VALUE(MID(Sync!$AF1361,FIND(":",Sync!$AF1361)+1,2)),2),"0000"))))</f>
        <v/>
      </c>
    </row>
    <row r="1362" spans="1:14" x14ac:dyDescent="0.2">
      <c r="A1362" t="str">
        <f>IF(OR(Calc!$E1366="",Calc!$E1366="نامعتبر",Calc!$G1366=""),"",Calc!$G1366)</f>
        <v/>
      </c>
      <c r="B1362" t="str">
        <f>IF($A1362="","",LEFT(Calc!$E1366,4)&amp;MID(Calc!$E1366,6,2)&amp;RIGHT(Calc!$E1366,2)&amp;Calc!$Q1366&amp;"|"&amp;"1"&amp;RIGHT("00000"&amp;1357,5))</f>
        <v/>
      </c>
      <c r="C1362" t="str">
        <f t="shared" si="105"/>
        <v/>
      </c>
      <c r="D1362" t="str">
        <f t="shared" si="106"/>
        <v/>
      </c>
      <c r="F1362" t="str">
        <f>IF(Sync!$AH1362="","",IF(LEFT(UPPER(TRIM(Sync!$AH1362)),2)="SL",UPPER(TRIM(Sync!$AH1362)),""))</f>
        <v/>
      </c>
      <c r="G1362" t="str">
        <f>IF($F1362="","",IF(Sync!$AE1362="","",IF(ISNUMBER(Sync!$AE1362),IF(AND(Sync!$AE1362&gt;=10000101,Sync!$AE1362&lt;=99991231),INT(Sync!$AE1362/10000),""),IFERROR(VALUE(TRIM(LEFT(Sync!$AE1362,FIND("/",Sync!$AE1362)-1))),""))))</f>
        <v/>
      </c>
      <c r="H1362" t="str">
        <f>IF(OR($F1362="",$G1362=""),"",IF(ISNUMBER(Sync!$AE1362),INT(MOD(Sync!$AE1362,10000)/100),IFERROR(VALUE(TRIM(LEFT(MID(Sync!$AE1362,FIND("/",Sync!$AE1362)+1,20),FIND("/",MID(Sync!$AE1362,FIND("/",Sync!$AE1362)+1,20))-1))),"")))</f>
        <v/>
      </c>
      <c r="I1362" t="str">
        <f>IF(OR($F1362="",$G1362=""),"",IF(ISNUMBER(Sync!$AE1362),MOD(Sync!$AE1362,100),IFERROR(VALUE(TRIM(MID(MID(Sync!$AE1362,FIND("/",Sync!$AE1362)+1,20),FIND("/",MID(Sync!$AE1362,FIND("/",Sync!$AE1362)+1,20))+1,20))),"")))</f>
        <v/>
      </c>
      <c r="J1362" t="str">
        <f t="shared" si="107"/>
        <v/>
      </c>
      <c r="K1362" t="str">
        <f>IF(OR($F1362="",$J1362="",$J1362="نامعتبر"),"",LEFT($J1362,4)&amp;MID($J1362,6,2)&amp;RIGHT($J1362,2)&amp;$N1362&amp;"|"&amp;"2"&amp;RIGHT("00000"&amp;1357,5))</f>
        <v/>
      </c>
      <c r="L1362" t="str">
        <f t="shared" si="108"/>
        <v/>
      </c>
      <c r="M1362" t="str">
        <f t="shared" si="109"/>
        <v/>
      </c>
      <c r="N1362" t="str">
        <f>IF($F1362="","",IF(Sync!$AF1362="","0000",IF(AND(ISNUMBER(Sync!$AF1362),Sync!$AF1362&gt;=0,Sync!$AF1362&lt;1),RIGHT("00"&amp;HOUR(Sync!$AF1362),2)&amp;RIGHT("00"&amp;MINUTE(Sync!$AF1362),2),IFERROR(RIGHT("00"&amp;VALUE(LEFT(Sync!$AF1362,FIND(":",Sync!$AF1362)-1)),2)&amp;RIGHT("00"&amp;VALUE(MID(Sync!$AF1362,FIND(":",Sync!$AF1362)+1,2)),2),"0000"))))</f>
        <v/>
      </c>
    </row>
    <row r="1363" spans="1:14" x14ac:dyDescent="0.2">
      <c r="A1363" t="str">
        <f>IF(OR(Calc!$E1367="",Calc!$E1367="نامعتبر",Calc!$G1367=""),"",Calc!$G1367)</f>
        <v/>
      </c>
      <c r="B1363" t="str">
        <f>IF($A1363="","",LEFT(Calc!$E1367,4)&amp;MID(Calc!$E1367,6,2)&amp;RIGHT(Calc!$E1367,2)&amp;Calc!$Q1367&amp;"|"&amp;"1"&amp;RIGHT("00000"&amp;1358,5))</f>
        <v/>
      </c>
      <c r="C1363" t="str">
        <f t="shared" si="105"/>
        <v/>
      </c>
      <c r="D1363" t="str">
        <f t="shared" si="106"/>
        <v/>
      </c>
      <c r="F1363" t="str">
        <f>IF(Sync!$AH1363="","",IF(LEFT(UPPER(TRIM(Sync!$AH1363)),2)="SL",UPPER(TRIM(Sync!$AH1363)),""))</f>
        <v/>
      </c>
      <c r="G1363" t="str">
        <f>IF($F1363="","",IF(Sync!$AE1363="","",IF(ISNUMBER(Sync!$AE1363),IF(AND(Sync!$AE1363&gt;=10000101,Sync!$AE1363&lt;=99991231),INT(Sync!$AE1363/10000),""),IFERROR(VALUE(TRIM(LEFT(Sync!$AE1363,FIND("/",Sync!$AE1363)-1))),""))))</f>
        <v/>
      </c>
      <c r="H1363" t="str">
        <f>IF(OR($F1363="",$G1363=""),"",IF(ISNUMBER(Sync!$AE1363),INT(MOD(Sync!$AE1363,10000)/100),IFERROR(VALUE(TRIM(LEFT(MID(Sync!$AE1363,FIND("/",Sync!$AE1363)+1,20),FIND("/",MID(Sync!$AE1363,FIND("/",Sync!$AE1363)+1,20))-1))),"")))</f>
        <v/>
      </c>
      <c r="I1363" t="str">
        <f>IF(OR($F1363="",$G1363=""),"",IF(ISNUMBER(Sync!$AE1363),MOD(Sync!$AE1363,100),IFERROR(VALUE(TRIM(MID(MID(Sync!$AE1363,FIND("/",Sync!$AE1363)+1,20),FIND("/",MID(Sync!$AE1363,FIND("/",Sync!$AE1363)+1,20))+1,20))),"")))</f>
        <v/>
      </c>
      <c r="J1363" t="str">
        <f t="shared" si="107"/>
        <v/>
      </c>
      <c r="K1363" t="str">
        <f>IF(OR($F1363="",$J1363="",$J1363="نامعتبر"),"",LEFT($J1363,4)&amp;MID($J1363,6,2)&amp;RIGHT($J1363,2)&amp;$N1363&amp;"|"&amp;"2"&amp;RIGHT("00000"&amp;1358,5))</f>
        <v/>
      </c>
      <c r="L1363" t="str">
        <f t="shared" si="108"/>
        <v/>
      </c>
      <c r="M1363" t="str">
        <f t="shared" si="109"/>
        <v/>
      </c>
      <c r="N1363" t="str">
        <f>IF($F1363="","",IF(Sync!$AF1363="","0000",IF(AND(ISNUMBER(Sync!$AF1363),Sync!$AF1363&gt;=0,Sync!$AF1363&lt;1),RIGHT("00"&amp;HOUR(Sync!$AF1363),2)&amp;RIGHT("00"&amp;MINUTE(Sync!$AF1363),2),IFERROR(RIGHT("00"&amp;VALUE(LEFT(Sync!$AF1363,FIND(":",Sync!$AF1363)-1)),2)&amp;RIGHT("00"&amp;VALUE(MID(Sync!$AF1363,FIND(":",Sync!$AF1363)+1,2)),2),"0000"))))</f>
        <v/>
      </c>
    </row>
    <row r="1364" spans="1:14" x14ac:dyDescent="0.2">
      <c r="A1364" t="str">
        <f>IF(OR(Calc!$E1368="",Calc!$E1368="نامعتبر",Calc!$G1368=""),"",Calc!$G1368)</f>
        <v/>
      </c>
      <c r="B1364" t="str">
        <f>IF($A1364="","",LEFT(Calc!$E1368,4)&amp;MID(Calc!$E1368,6,2)&amp;RIGHT(Calc!$E1368,2)&amp;Calc!$Q1368&amp;"|"&amp;"1"&amp;RIGHT("00000"&amp;1359,5))</f>
        <v/>
      </c>
      <c r="C1364" t="str">
        <f t="shared" si="105"/>
        <v/>
      </c>
      <c r="D1364" t="str">
        <f t="shared" si="106"/>
        <v/>
      </c>
      <c r="F1364" t="str">
        <f>IF(Sync!$AH1364="","",IF(LEFT(UPPER(TRIM(Sync!$AH1364)),2)="SL",UPPER(TRIM(Sync!$AH1364)),""))</f>
        <v/>
      </c>
      <c r="G1364" t="str">
        <f>IF($F1364="","",IF(Sync!$AE1364="","",IF(ISNUMBER(Sync!$AE1364),IF(AND(Sync!$AE1364&gt;=10000101,Sync!$AE1364&lt;=99991231),INT(Sync!$AE1364/10000),""),IFERROR(VALUE(TRIM(LEFT(Sync!$AE1364,FIND("/",Sync!$AE1364)-1))),""))))</f>
        <v/>
      </c>
      <c r="H1364" t="str">
        <f>IF(OR($F1364="",$G1364=""),"",IF(ISNUMBER(Sync!$AE1364),INT(MOD(Sync!$AE1364,10000)/100),IFERROR(VALUE(TRIM(LEFT(MID(Sync!$AE1364,FIND("/",Sync!$AE1364)+1,20),FIND("/",MID(Sync!$AE1364,FIND("/",Sync!$AE1364)+1,20))-1))),"")))</f>
        <v/>
      </c>
      <c r="I1364" t="str">
        <f>IF(OR($F1364="",$G1364=""),"",IF(ISNUMBER(Sync!$AE1364),MOD(Sync!$AE1364,100),IFERROR(VALUE(TRIM(MID(MID(Sync!$AE1364,FIND("/",Sync!$AE1364)+1,20),FIND("/",MID(Sync!$AE1364,FIND("/",Sync!$AE1364)+1,20))+1,20))),"")))</f>
        <v/>
      </c>
      <c r="J1364" t="str">
        <f t="shared" si="107"/>
        <v/>
      </c>
      <c r="K1364" t="str">
        <f>IF(OR($F1364="",$J1364="",$J1364="نامعتبر"),"",LEFT($J1364,4)&amp;MID($J1364,6,2)&amp;RIGHT($J1364,2)&amp;$N1364&amp;"|"&amp;"2"&amp;RIGHT("00000"&amp;1359,5))</f>
        <v/>
      </c>
      <c r="L1364" t="str">
        <f t="shared" si="108"/>
        <v/>
      </c>
      <c r="M1364" t="str">
        <f t="shared" si="109"/>
        <v/>
      </c>
      <c r="N1364" t="str">
        <f>IF($F1364="","",IF(Sync!$AF1364="","0000",IF(AND(ISNUMBER(Sync!$AF1364),Sync!$AF1364&gt;=0,Sync!$AF1364&lt;1),RIGHT("00"&amp;HOUR(Sync!$AF1364),2)&amp;RIGHT("00"&amp;MINUTE(Sync!$AF1364),2),IFERROR(RIGHT("00"&amp;VALUE(LEFT(Sync!$AF1364,FIND(":",Sync!$AF1364)-1)),2)&amp;RIGHT("00"&amp;VALUE(MID(Sync!$AF1364,FIND(":",Sync!$AF1364)+1,2)),2),"0000"))))</f>
        <v/>
      </c>
    </row>
    <row r="1365" spans="1:14" x14ac:dyDescent="0.2">
      <c r="A1365" t="str">
        <f>IF(OR(Calc!$E1369="",Calc!$E1369="نامعتبر",Calc!$G1369=""),"",Calc!$G1369)</f>
        <v/>
      </c>
      <c r="B1365" t="str">
        <f>IF($A1365="","",LEFT(Calc!$E1369,4)&amp;MID(Calc!$E1369,6,2)&amp;RIGHT(Calc!$E1369,2)&amp;Calc!$Q1369&amp;"|"&amp;"1"&amp;RIGHT("00000"&amp;1360,5))</f>
        <v/>
      </c>
      <c r="C1365" t="str">
        <f t="shared" si="105"/>
        <v/>
      </c>
      <c r="D1365" t="str">
        <f t="shared" si="106"/>
        <v/>
      </c>
      <c r="F1365" t="str">
        <f>IF(Sync!$AH1365="","",IF(LEFT(UPPER(TRIM(Sync!$AH1365)),2)="SL",UPPER(TRIM(Sync!$AH1365)),""))</f>
        <v/>
      </c>
      <c r="G1365" t="str">
        <f>IF($F1365="","",IF(Sync!$AE1365="","",IF(ISNUMBER(Sync!$AE1365),IF(AND(Sync!$AE1365&gt;=10000101,Sync!$AE1365&lt;=99991231),INT(Sync!$AE1365/10000),""),IFERROR(VALUE(TRIM(LEFT(Sync!$AE1365,FIND("/",Sync!$AE1365)-1))),""))))</f>
        <v/>
      </c>
      <c r="H1365" t="str">
        <f>IF(OR($F1365="",$G1365=""),"",IF(ISNUMBER(Sync!$AE1365),INT(MOD(Sync!$AE1365,10000)/100),IFERROR(VALUE(TRIM(LEFT(MID(Sync!$AE1365,FIND("/",Sync!$AE1365)+1,20),FIND("/",MID(Sync!$AE1365,FIND("/",Sync!$AE1365)+1,20))-1))),"")))</f>
        <v/>
      </c>
      <c r="I1365" t="str">
        <f>IF(OR($F1365="",$G1365=""),"",IF(ISNUMBER(Sync!$AE1365),MOD(Sync!$AE1365,100),IFERROR(VALUE(TRIM(MID(MID(Sync!$AE1365,FIND("/",Sync!$AE1365)+1,20),FIND("/",MID(Sync!$AE1365,FIND("/",Sync!$AE1365)+1,20))+1,20))),"")))</f>
        <v/>
      </c>
      <c r="J1365" t="str">
        <f t="shared" si="107"/>
        <v/>
      </c>
      <c r="K1365" t="str">
        <f>IF(OR($F1365="",$J1365="",$J1365="نامعتبر"),"",LEFT($J1365,4)&amp;MID($J1365,6,2)&amp;RIGHT($J1365,2)&amp;$N1365&amp;"|"&amp;"2"&amp;RIGHT("00000"&amp;1360,5))</f>
        <v/>
      </c>
      <c r="L1365" t="str">
        <f t="shared" si="108"/>
        <v/>
      </c>
      <c r="M1365" t="str">
        <f t="shared" si="109"/>
        <v/>
      </c>
      <c r="N1365" t="str">
        <f>IF($F1365="","",IF(Sync!$AF1365="","0000",IF(AND(ISNUMBER(Sync!$AF1365),Sync!$AF1365&gt;=0,Sync!$AF1365&lt;1),RIGHT("00"&amp;HOUR(Sync!$AF1365),2)&amp;RIGHT("00"&amp;MINUTE(Sync!$AF1365),2),IFERROR(RIGHT("00"&amp;VALUE(LEFT(Sync!$AF1365,FIND(":",Sync!$AF1365)-1)),2)&amp;RIGHT("00"&amp;VALUE(MID(Sync!$AF1365,FIND(":",Sync!$AF1365)+1,2)),2),"0000"))))</f>
        <v/>
      </c>
    </row>
    <row r="1366" spans="1:14" x14ac:dyDescent="0.2">
      <c r="A1366" t="str">
        <f>IF(OR(Calc!$E1370="",Calc!$E1370="نامعتبر",Calc!$G1370=""),"",Calc!$G1370)</f>
        <v/>
      </c>
      <c r="B1366" t="str">
        <f>IF($A1366="","",LEFT(Calc!$E1370,4)&amp;MID(Calc!$E1370,6,2)&amp;RIGHT(Calc!$E1370,2)&amp;Calc!$Q1370&amp;"|"&amp;"1"&amp;RIGHT("00000"&amp;1361,5))</f>
        <v/>
      </c>
      <c r="C1366" t="str">
        <f t="shared" si="105"/>
        <v/>
      </c>
      <c r="D1366" t="str">
        <f t="shared" si="106"/>
        <v/>
      </c>
      <c r="F1366" t="str">
        <f>IF(Sync!$AH1366="","",IF(LEFT(UPPER(TRIM(Sync!$AH1366)),2)="SL",UPPER(TRIM(Sync!$AH1366)),""))</f>
        <v/>
      </c>
      <c r="G1366" t="str">
        <f>IF($F1366="","",IF(Sync!$AE1366="","",IF(ISNUMBER(Sync!$AE1366),IF(AND(Sync!$AE1366&gt;=10000101,Sync!$AE1366&lt;=99991231),INT(Sync!$AE1366/10000),""),IFERROR(VALUE(TRIM(LEFT(Sync!$AE1366,FIND("/",Sync!$AE1366)-1))),""))))</f>
        <v/>
      </c>
      <c r="H1366" t="str">
        <f>IF(OR($F1366="",$G1366=""),"",IF(ISNUMBER(Sync!$AE1366),INT(MOD(Sync!$AE1366,10000)/100),IFERROR(VALUE(TRIM(LEFT(MID(Sync!$AE1366,FIND("/",Sync!$AE1366)+1,20),FIND("/",MID(Sync!$AE1366,FIND("/",Sync!$AE1366)+1,20))-1))),"")))</f>
        <v/>
      </c>
      <c r="I1366" t="str">
        <f>IF(OR($F1366="",$G1366=""),"",IF(ISNUMBER(Sync!$AE1366),MOD(Sync!$AE1366,100),IFERROR(VALUE(TRIM(MID(MID(Sync!$AE1366,FIND("/",Sync!$AE1366)+1,20),FIND("/",MID(Sync!$AE1366,FIND("/",Sync!$AE1366)+1,20))+1,20))),"")))</f>
        <v/>
      </c>
      <c r="J1366" t="str">
        <f t="shared" si="107"/>
        <v/>
      </c>
      <c r="K1366" t="str">
        <f>IF(OR($F1366="",$J1366="",$J1366="نامعتبر"),"",LEFT($J1366,4)&amp;MID($J1366,6,2)&amp;RIGHT($J1366,2)&amp;$N1366&amp;"|"&amp;"2"&amp;RIGHT("00000"&amp;1361,5))</f>
        <v/>
      </c>
      <c r="L1366" t="str">
        <f t="shared" si="108"/>
        <v/>
      </c>
      <c r="M1366" t="str">
        <f t="shared" si="109"/>
        <v/>
      </c>
      <c r="N1366" t="str">
        <f>IF($F1366="","",IF(Sync!$AF1366="","0000",IF(AND(ISNUMBER(Sync!$AF1366),Sync!$AF1366&gt;=0,Sync!$AF1366&lt;1),RIGHT("00"&amp;HOUR(Sync!$AF1366),2)&amp;RIGHT("00"&amp;MINUTE(Sync!$AF1366),2),IFERROR(RIGHT("00"&amp;VALUE(LEFT(Sync!$AF1366,FIND(":",Sync!$AF1366)-1)),2)&amp;RIGHT("00"&amp;VALUE(MID(Sync!$AF1366,FIND(":",Sync!$AF1366)+1,2)),2),"0000"))))</f>
        <v/>
      </c>
    </row>
    <row r="1367" spans="1:14" x14ac:dyDescent="0.2">
      <c r="A1367" t="str">
        <f>IF(OR(Calc!$E1371="",Calc!$E1371="نامعتبر",Calc!$G1371=""),"",Calc!$G1371)</f>
        <v/>
      </c>
      <c r="B1367" t="str">
        <f>IF($A1367="","",LEFT(Calc!$E1371,4)&amp;MID(Calc!$E1371,6,2)&amp;RIGHT(Calc!$E1371,2)&amp;Calc!$Q1371&amp;"|"&amp;"1"&amp;RIGHT("00000"&amp;1362,5))</f>
        <v/>
      </c>
      <c r="C1367" t="str">
        <f t="shared" si="105"/>
        <v/>
      </c>
      <c r="D1367" t="str">
        <f t="shared" si="106"/>
        <v/>
      </c>
      <c r="F1367" t="str">
        <f>IF(Sync!$AH1367="","",IF(LEFT(UPPER(TRIM(Sync!$AH1367)),2)="SL",UPPER(TRIM(Sync!$AH1367)),""))</f>
        <v/>
      </c>
      <c r="G1367" t="str">
        <f>IF($F1367="","",IF(Sync!$AE1367="","",IF(ISNUMBER(Sync!$AE1367),IF(AND(Sync!$AE1367&gt;=10000101,Sync!$AE1367&lt;=99991231),INT(Sync!$AE1367/10000),""),IFERROR(VALUE(TRIM(LEFT(Sync!$AE1367,FIND("/",Sync!$AE1367)-1))),""))))</f>
        <v/>
      </c>
      <c r="H1367" t="str">
        <f>IF(OR($F1367="",$G1367=""),"",IF(ISNUMBER(Sync!$AE1367),INT(MOD(Sync!$AE1367,10000)/100),IFERROR(VALUE(TRIM(LEFT(MID(Sync!$AE1367,FIND("/",Sync!$AE1367)+1,20),FIND("/",MID(Sync!$AE1367,FIND("/",Sync!$AE1367)+1,20))-1))),"")))</f>
        <v/>
      </c>
      <c r="I1367" t="str">
        <f>IF(OR($F1367="",$G1367=""),"",IF(ISNUMBER(Sync!$AE1367),MOD(Sync!$AE1367,100),IFERROR(VALUE(TRIM(MID(MID(Sync!$AE1367,FIND("/",Sync!$AE1367)+1,20),FIND("/",MID(Sync!$AE1367,FIND("/",Sync!$AE1367)+1,20))+1,20))),"")))</f>
        <v/>
      </c>
      <c r="J1367" t="str">
        <f t="shared" si="107"/>
        <v/>
      </c>
      <c r="K1367" t="str">
        <f>IF(OR($F1367="",$J1367="",$J1367="نامعتبر"),"",LEFT($J1367,4)&amp;MID($J1367,6,2)&amp;RIGHT($J1367,2)&amp;$N1367&amp;"|"&amp;"2"&amp;RIGHT("00000"&amp;1362,5))</f>
        <v/>
      </c>
      <c r="L1367" t="str">
        <f t="shared" si="108"/>
        <v/>
      </c>
      <c r="M1367" t="str">
        <f t="shared" si="109"/>
        <v/>
      </c>
      <c r="N1367" t="str">
        <f>IF($F1367="","",IF(Sync!$AF1367="","0000",IF(AND(ISNUMBER(Sync!$AF1367),Sync!$AF1367&gt;=0,Sync!$AF1367&lt;1),RIGHT("00"&amp;HOUR(Sync!$AF1367),2)&amp;RIGHT("00"&amp;MINUTE(Sync!$AF1367),2),IFERROR(RIGHT("00"&amp;VALUE(LEFT(Sync!$AF1367,FIND(":",Sync!$AF1367)-1)),2)&amp;RIGHT("00"&amp;VALUE(MID(Sync!$AF1367,FIND(":",Sync!$AF1367)+1,2)),2),"0000"))))</f>
        <v/>
      </c>
    </row>
    <row r="1368" spans="1:14" x14ac:dyDescent="0.2">
      <c r="A1368" t="str">
        <f>IF(OR(Calc!$E1372="",Calc!$E1372="نامعتبر",Calc!$G1372=""),"",Calc!$G1372)</f>
        <v/>
      </c>
      <c r="B1368" t="str">
        <f>IF($A1368="","",LEFT(Calc!$E1372,4)&amp;MID(Calc!$E1372,6,2)&amp;RIGHT(Calc!$E1372,2)&amp;Calc!$Q1372&amp;"|"&amp;"1"&amp;RIGHT("00000"&amp;1363,5))</f>
        <v/>
      </c>
      <c r="C1368" t="str">
        <f t="shared" si="105"/>
        <v/>
      </c>
      <c r="D1368" t="str">
        <f t="shared" si="106"/>
        <v/>
      </c>
      <c r="F1368" t="str">
        <f>IF(Sync!$AH1368="","",IF(LEFT(UPPER(TRIM(Sync!$AH1368)),2)="SL",UPPER(TRIM(Sync!$AH1368)),""))</f>
        <v/>
      </c>
      <c r="G1368" t="str">
        <f>IF($F1368="","",IF(Sync!$AE1368="","",IF(ISNUMBER(Sync!$AE1368),IF(AND(Sync!$AE1368&gt;=10000101,Sync!$AE1368&lt;=99991231),INT(Sync!$AE1368/10000),""),IFERROR(VALUE(TRIM(LEFT(Sync!$AE1368,FIND("/",Sync!$AE1368)-1))),""))))</f>
        <v/>
      </c>
      <c r="H1368" t="str">
        <f>IF(OR($F1368="",$G1368=""),"",IF(ISNUMBER(Sync!$AE1368),INT(MOD(Sync!$AE1368,10000)/100),IFERROR(VALUE(TRIM(LEFT(MID(Sync!$AE1368,FIND("/",Sync!$AE1368)+1,20),FIND("/",MID(Sync!$AE1368,FIND("/",Sync!$AE1368)+1,20))-1))),"")))</f>
        <v/>
      </c>
      <c r="I1368" t="str">
        <f>IF(OR($F1368="",$G1368=""),"",IF(ISNUMBER(Sync!$AE1368),MOD(Sync!$AE1368,100),IFERROR(VALUE(TRIM(MID(MID(Sync!$AE1368,FIND("/",Sync!$AE1368)+1,20),FIND("/",MID(Sync!$AE1368,FIND("/",Sync!$AE1368)+1,20))+1,20))),"")))</f>
        <v/>
      </c>
      <c r="J1368" t="str">
        <f t="shared" si="107"/>
        <v/>
      </c>
      <c r="K1368" t="str">
        <f>IF(OR($F1368="",$J1368="",$J1368="نامعتبر"),"",LEFT($J1368,4)&amp;MID($J1368,6,2)&amp;RIGHT($J1368,2)&amp;$N1368&amp;"|"&amp;"2"&amp;RIGHT("00000"&amp;1363,5))</f>
        <v/>
      </c>
      <c r="L1368" t="str">
        <f t="shared" si="108"/>
        <v/>
      </c>
      <c r="M1368" t="str">
        <f t="shared" si="109"/>
        <v/>
      </c>
      <c r="N1368" t="str">
        <f>IF($F1368="","",IF(Sync!$AF1368="","0000",IF(AND(ISNUMBER(Sync!$AF1368),Sync!$AF1368&gt;=0,Sync!$AF1368&lt;1),RIGHT("00"&amp;HOUR(Sync!$AF1368),2)&amp;RIGHT("00"&amp;MINUTE(Sync!$AF1368),2),IFERROR(RIGHT("00"&amp;VALUE(LEFT(Sync!$AF1368,FIND(":",Sync!$AF1368)-1)),2)&amp;RIGHT("00"&amp;VALUE(MID(Sync!$AF1368,FIND(":",Sync!$AF1368)+1,2)),2),"0000"))))</f>
        <v/>
      </c>
    </row>
    <row r="1369" spans="1:14" x14ac:dyDescent="0.2">
      <c r="A1369" t="str">
        <f>IF(OR(Calc!$E1373="",Calc!$E1373="نامعتبر",Calc!$G1373=""),"",Calc!$G1373)</f>
        <v/>
      </c>
      <c r="B1369" t="str">
        <f>IF($A1369="","",LEFT(Calc!$E1373,4)&amp;MID(Calc!$E1373,6,2)&amp;RIGHT(Calc!$E1373,2)&amp;Calc!$Q1373&amp;"|"&amp;"1"&amp;RIGHT("00000"&amp;1364,5))</f>
        <v/>
      </c>
      <c r="C1369" t="str">
        <f t="shared" si="105"/>
        <v/>
      </c>
      <c r="D1369" t="str">
        <f t="shared" si="106"/>
        <v/>
      </c>
      <c r="F1369" t="str">
        <f>IF(Sync!$AH1369="","",IF(LEFT(UPPER(TRIM(Sync!$AH1369)),2)="SL",UPPER(TRIM(Sync!$AH1369)),""))</f>
        <v/>
      </c>
      <c r="G1369" t="str">
        <f>IF($F1369="","",IF(Sync!$AE1369="","",IF(ISNUMBER(Sync!$AE1369),IF(AND(Sync!$AE1369&gt;=10000101,Sync!$AE1369&lt;=99991231),INT(Sync!$AE1369/10000),""),IFERROR(VALUE(TRIM(LEFT(Sync!$AE1369,FIND("/",Sync!$AE1369)-1))),""))))</f>
        <v/>
      </c>
      <c r="H1369" t="str">
        <f>IF(OR($F1369="",$G1369=""),"",IF(ISNUMBER(Sync!$AE1369),INT(MOD(Sync!$AE1369,10000)/100),IFERROR(VALUE(TRIM(LEFT(MID(Sync!$AE1369,FIND("/",Sync!$AE1369)+1,20),FIND("/",MID(Sync!$AE1369,FIND("/",Sync!$AE1369)+1,20))-1))),"")))</f>
        <v/>
      </c>
      <c r="I1369" t="str">
        <f>IF(OR($F1369="",$G1369=""),"",IF(ISNUMBER(Sync!$AE1369),MOD(Sync!$AE1369,100),IFERROR(VALUE(TRIM(MID(MID(Sync!$AE1369,FIND("/",Sync!$AE1369)+1,20),FIND("/",MID(Sync!$AE1369,FIND("/",Sync!$AE1369)+1,20))+1,20))),"")))</f>
        <v/>
      </c>
      <c r="J1369" t="str">
        <f t="shared" si="107"/>
        <v/>
      </c>
      <c r="K1369" t="str">
        <f>IF(OR($F1369="",$J1369="",$J1369="نامعتبر"),"",LEFT($J1369,4)&amp;MID($J1369,6,2)&amp;RIGHT($J1369,2)&amp;$N1369&amp;"|"&amp;"2"&amp;RIGHT("00000"&amp;1364,5))</f>
        <v/>
      </c>
      <c r="L1369" t="str">
        <f t="shared" si="108"/>
        <v/>
      </c>
      <c r="M1369" t="str">
        <f t="shared" si="109"/>
        <v/>
      </c>
      <c r="N1369" t="str">
        <f>IF($F1369="","",IF(Sync!$AF1369="","0000",IF(AND(ISNUMBER(Sync!$AF1369),Sync!$AF1369&gt;=0,Sync!$AF1369&lt;1),RIGHT("00"&amp;HOUR(Sync!$AF1369),2)&amp;RIGHT("00"&amp;MINUTE(Sync!$AF1369),2),IFERROR(RIGHT("00"&amp;VALUE(LEFT(Sync!$AF1369,FIND(":",Sync!$AF1369)-1)),2)&amp;RIGHT("00"&amp;VALUE(MID(Sync!$AF1369,FIND(":",Sync!$AF1369)+1,2)),2),"0000"))))</f>
        <v/>
      </c>
    </row>
    <row r="1370" spans="1:14" x14ac:dyDescent="0.2">
      <c r="A1370" t="str">
        <f>IF(OR(Calc!$E1374="",Calc!$E1374="نامعتبر",Calc!$G1374=""),"",Calc!$G1374)</f>
        <v/>
      </c>
      <c r="B1370" t="str">
        <f>IF($A1370="","",LEFT(Calc!$E1374,4)&amp;MID(Calc!$E1374,6,2)&amp;RIGHT(Calc!$E1374,2)&amp;Calc!$Q1374&amp;"|"&amp;"1"&amp;RIGHT("00000"&amp;1365,5))</f>
        <v/>
      </c>
      <c r="C1370" t="str">
        <f t="shared" si="105"/>
        <v/>
      </c>
      <c r="D1370" t="str">
        <f t="shared" si="106"/>
        <v/>
      </c>
      <c r="F1370" t="str">
        <f>IF(Sync!$AH1370="","",IF(LEFT(UPPER(TRIM(Sync!$AH1370)),2)="SL",UPPER(TRIM(Sync!$AH1370)),""))</f>
        <v/>
      </c>
      <c r="G1370" t="str">
        <f>IF($F1370="","",IF(Sync!$AE1370="","",IF(ISNUMBER(Sync!$AE1370),IF(AND(Sync!$AE1370&gt;=10000101,Sync!$AE1370&lt;=99991231),INT(Sync!$AE1370/10000),""),IFERROR(VALUE(TRIM(LEFT(Sync!$AE1370,FIND("/",Sync!$AE1370)-1))),""))))</f>
        <v/>
      </c>
      <c r="H1370" t="str">
        <f>IF(OR($F1370="",$G1370=""),"",IF(ISNUMBER(Sync!$AE1370),INT(MOD(Sync!$AE1370,10000)/100),IFERROR(VALUE(TRIM(LEFT(MID(Sync!$AE1370,FIND("/",Sync!$AE1370)+1,20),FIND("/",MID(Sync!$AE1370,FIND("/",Sync!$AE1370)+1,20))-1))),"")))</f>
        <v/>
      </c>
      <c r="I1370" t="str">
        <f>IF(OR($F1370="",$G1370=""),"",IF(ISNUMBER(Sync!$AE1370),MOD(Sync!$AE1370,100),IFERROR(VALUE(TRIM(MID(MID(Sync!$AE1370,FIND("/",Sync!$AE1370)+1,20),FIND("/",MID(Sync!$AE1370,FIND("/",Sync!$AE1370)+1,20))+1,20))),"")))</f>
        <v/>
      </c>
      <c r="J1370" t="str">
        <f t="shared" si="107"/>
        <v/>
      </c>
      <c r="K1370" t="str">
        <f>IF(OR($F1370="",$J1370="",$J1370="نامعتبر"),"",LEFT($J1370,4)&amp;MID($J1370,6,2)&amp;RIGHT($J1370,2)&amp;$N1370&amp;"|"&amp;"2"&amp;RIGHT("00000"&amp;1365,5))</f>
        <v/>
      </c>
      <c r="L1370" t="str">
        <f t="shared" si="108"/>
        <v/>
      </c>
      <c r="M1370" t="str">
        <f t="shared" si="109"/>
        <v/>
      </c>
      <c r="N1370" t="str">
        <f>IF($F1370="","",IF(Sync!$AF1370="","0000",IF(AND(ISNUMBER(Sync!$AF1370),Sync!$AF1370&gt;=0,Sync!$AF1370&lt;1),RIGHT("00"&amp;HOUR(Sync!$AF1370),2)&amp;RIGHT("00"&amp;MINUTE(Sync!$AF1370),2),IFERROR(RIGHT("00"&amp;VALUE(LEFT(Sync!$AF1370,FIND(":",Sync!$AF1370)-1)),2)&amp;RIGHT("00"&amp;VALUE(MID(Sync!$AF1370,FIND(":",Sync!$AF1370)+1,2)),2),"0000"))))</f>
        <v/>
      </c>
    </row>
    <row r="1371" spans="1:14" x14ac:dyDescent="0.2">
      <c r="A1371" t="str">
        <f>IF(OR(Calc!$E1375="",Calc!$E1375="نامعتبر",Calc!$G1375=""),"",Calc!$G1375)</f>
        <v/>
      </c>
      <c r="B1371" t="str">
        <f>IF($A1371="","",LEFT(Calc!$E1375,4)&amp;MID(Calc!$E1375,6,2)&amp;RIGHT(Calc!$E1375,2)&amp;Calc!$Q1375&amp;"|"&amp;"1"&amp;RIGHT("00000"&amp;1366,5))</f>
        <v/>
      </c>
      <c r="C1371" t="str">
        <f t="shared" si="105"/>
        <v/>
      </c>
      <c r="D1371" t="str">
        <f t="shared" si="106"/>
        <v/>
      </c>
      <c r="F1371" t="str">
        <f>IF(Sync!$AH1371="","",IF(LEFT(UPPER(TRIM(Sync!$AH1371)),2)="SL",UPPER(TRIM(Sync!$AH1371)),""))</f>
        <v/>
      </c>
      <c r="G1371" t="str">
        <f>IF($F1371="","",IF(Sync!$AE1371="","",IF(ISNUMBER(Sync!$AE1371),IF(AND(Sync!$AE1371&gt;=10000101,Sync!$AE1371&lt;=99991231),INT(Sync!$AE1371/10000),""),IFERROR(VALUE(TRIM(LEFT(Sync!$AE1371,FIND("/",Sync!$AE1371)-1))),""))))</f>
        <v/>
      </c>
      <c r="H1371" t="str">
        <f>IF(OR($F1371="",$G1371=""),"",IF(ISNUMBER(Sync!$AE1371),INT(MOD(Sync!$AE1371,10000)/100),IFERROR(VALUE(TRIM(LEFT(MID(Sync!$AE1371,FIND("/",Sync!$AE1371)+1,20),FIND("/",MID(Sync!$AE1371,FIND("/",Sync!$AE1371)+1,20))-1))),"")))</f>
        <v/>
      </c>
      <c r="I1371" t="str">
        <f>IF(OR($F1371="",$G1371=""),"",IF(ISNUMBER(Sync!$AE1371),MOD(Sync!$AE1371,100),IFERROR(VALUE(TRIM(MID(MID(Sync!$AE1371,FIND("/",Sync!$AE1371)+1,20),FIND("/",MID(Sync!$AE1371,FIND("/",Sync!$AE1371)+1,20))+1,20))),"")))</f>
        <v/>
      </c>
      <c r="J1371" t="str">
        <f t="shared" si="107"/>
        <v/>
      </c>
      <c r="K1371" t="str">
        <f>IF(OR($F1371="",$J1371="",$J1371="نامعتبر"),"",LEFT($J1371,4)&amp;MID($J1371,6,2)&amp;RIGHT($J1371,2)&amp;$N1371&amp;"|"&amp;"2"&amp;RIGHT("00000"&amp;1366,5))</f>
        <v/>
      </c>
      <c r="L1371" t="str">
        <f t="shared" si="108"/>
        <v/>
      </c>
      <c r="M1371" t="str">
        <f t="shared" si="109"/>
        <v/>
      </c>
      <c r="N1371" t="str">
        <f>IF($F1371="","",IF(Sync!$AF1371="","0000",IF(AND(ISNUMBER(Sync!$AF1371),Sync!$AF1371&gt;=0,Sync!$AF1371&lt;1),RIGHT("00"&amp;HOUR(Sync!$AF1371),2)&amp;RIGHT("00"&amp;MINUTE(Sync!$AF1371),2),IFERROR(RIGHT("00"&amp;VALUE(LEFT(Sync!$AF1371,FIND(":",Sync!$AF1371)-1)),2)&amp;RIGHT("00"&amp;VALUE(MID(Sync!$AF1371,FIND(":",Sync!$AF1371)+1,2)),2),"0000"))))</f>
        <v/>
      </c>
    </row>
    <row r="1372" spans="1:14" x14ac:dyDescent="0.2">
      <c r="A1372" t="str">
        <f>IF(OR(Calc!$E1376="",Calc!$E1376="نامعتبر",Calc!$G1376=""),"",Calc!$G1376)</f>
        <v/>
      </c>
      <c r="B1372" t="str">
        <f>IF($A1372="","",LEFT(Calc!$E1376,4)&amp;MID(Calc!$E1376,6,2)&amp;RIGHT(Calc!$E1376,2)&amp;Calc!$Q1376&amp;"|"&amp;"1"&amp;RIGHT("00000"&amp;1367,5))</f>
        <v/>
      </c>
      <c r="C1372" t="str">
        <f t="shared" si="105"/>
        <v/>
      </c>
      <c r="D1372" t="str">
        <f t="shared" si="106"/>
        <v/>
      </c>
      <c r="F1372" t="str">
        <f>IF(Sync!$AH1372="","",IF(LEFT(UPPER(TRIM(Sync!$AH1372)),2)="SL",UPPER(TRIM(Sync!$AH1372)),""))</f>
        <v/>
      </c>
      <c r="G1372" t="str">
        <f>IF($F1372="","",IF(Sync!$AE1372="","",IF(ISNUMBER(Sync!$AE1372),IF(AND(Sync!$AE1372&gt;=10000101,Sync!$AE1372&lt;=99991231),INT(Sync!$AE1372/10000),""),IFERROR(VALUE(TRIM(LEFT(Sync!$AE1372,FIND("/",Sync!$AE1372)-1))),""))))</f>
        <v/>
      </c>
      <c r="H1372" t="str">
        <f>IF(OR($F1372="",$G1372=""),"",IF(ISNUMBER(Sync!$AE1372),INT(MOD(Sync!$AE1372,10000)/100),IFERROR(VALUE(TRIM(LEFT(MID(Sync!$AE1372,FIND("/",Sync!$AE1372)+1,20),FIND("/",MID(Sync!$AE1372,FIND("/",Sync!$AE1372)+1,20))-1))),"")))</f>
        <v/>
      </c>
      <c r="I1372" t="str">
        <f>IF(OR($F1372="",$G1372=""),"",IF(ISNUMBER(Sync!$AE1372),MOD(Sync!$AE1372,100),IFERROR(VALUE(TRIM(MID(MID(Sync!$AE1372,FIND("/",Sync!$AE1372)+1,20),FIND("/",MID(Sync!$AE1372,FIND("/",Sync!$AE1372)+1,20))+1,20))),"")))</f>
        <v/>
      </c>
      <c r="J1372" t="str">
        <f t="shared" si="107"/>
        <v/>
      </c>
      <c r="K1372" t="str">
        <f>IF(OR($F1372="",$J1372="",$J1372="نامعتبر"),"",LEFT($J1372,4)&amp;MID($J1372,6,2)&amp;RIGHT($J1372,2)&amp;$N1372&amp;"|"&amp;"2"&amp;RIGHT("00000"&amp;1367,5))</f>
        <v/>
      </c>
      <c r="L1372" t="str">
        <f t="shared" si="108"/>
        <v/>
      </c>
      <c r="M1372" t="str">
        <f t="shared" si="109"/>
        <v/>
      </c>
      <c r="N1372" t="str">
        <f>IF($F1372="","",IF(Sync!$AF1372="","0000",IF(AND(ISNUMBER(Sync!$AF1372),Sync!$AF1372&gt;=0,Sync!$AF1372&lt;1),RIGHT("00"&amp;HOUR(Sync!$AF1372),2)&amp;RIGHT("00"&amp;MINUTE(Sync!$AF1372),2),IFERROR(RIGHT("00"&amp;VALUE(LEFT(Sync!$AF1372,FIND(":",Sync!$AF1372)-1)),2)&amp;RIGHT("00"&amp;VALUE(MID(Sync!$AF1372,FIND(":",Sync!$AF1372)+1,2)),2),"0000"))))</f>
        <v/>
      </c>
    </row>
    <row r="1373" spans="1:14" x14ac:dyDescent="0.2">
      <c r="A1373" t="str">
        <f>IF(OR(Calc!$E1377="",Calc!$E1377="نامعتبر",Calc!$G1377=""),"",Calc!$G1377)</f>
        <v/>
      </c>
      <c r="B1373" t="str">
        <f>IF($A1373="","",LEFT(Calc!$E1377,4)&amp;MID(Calc!$E1377,6,2)&amp;RIGHT(Calc!$E1377,2)&amp;Calc!$Q1377&amp;"|"&amp;"1"&amp;RIGHT("00000"&amp;1368,5))</f>
        <v/>
      </c>
      <c r="C1373" t="str">
        <f t="shared" si="105"/>
        <v/>
      </c>
      <c r="D1373" t="str">
        <f t="shared" si="106"/>
        <v/>
      </c>
      <c r="F1373" t="str">
        <f>IF(Sync!$AH1373="","",IF(LEFT(UPPER(TRIM(Sync!$AH1373)),2)="SL",UPPER(TRIM(Sync!$AH1373)),""))</f>
        <v/>
      </c>
      <c r="G1373" t="str">
        <f>IF($F1373="","",IF(Sync!$AE1373="","",IF(ISNUMBER(Sync!$AE1373),IF(AND(Sync!$AE1373&gt;=10000101,Sync!$AE1373&lt;=99991231),INT(Sync!$AE1373/10000),""),IFERROR(VALUE(TRIM(LEFT(Sync!$AE1373,FIND("/",Sync!$AE1373)-1))),""))))</f>
        <v/>
      </c>
      <c r="H1373" t="str">
        <f>IF(OR($F1373="",$G1373=""),"",IF(ISNUMBER(Sync!$AE1373),INT(MOD(Sync!$AE1373,10000)/100),IFERROR(VALUE(TRIM(LEFT(MID(Sync!$AE1373,FIND("/",Sync!$AE1373)+1,20),FIND("/",MID(Sync!$AE1373,FIND("/",Sync!$AE1373)+1,20))-1))),"")))</f>
        <v/>
      </c>
      <c r="I1373" t="str">
        <f>IF(OR($F1373="",$G1373=""),"",IF(ISNUMBER(Sync!$AE1373),MOD(Sync!$AE1373,100),IFERROR(VALUE(TRIM(MID(MID(Sync!$AE1373,FIND("/",Sync!$AE1373)+1,20),FIND("/",MID(Sync!$AE1373,FIND("/",Sync!$AE1373)+1,20))+1,20))),"")))</f>
        <v/>
      </c>
      <c r="J1373" t="str">
        <f t="shared" si="107"/>
        <v/>
      </c>
      <c r="K1373" t="str">
        <f>IF(OR($F1373="",$J1373="",$J1373="نامعتبر"),"",LEFT($J1373,4)&amp;MID($J1373,6,2)&amp;RIGHT($J1373,2)&amp;$N1373&amp;"|"&amp;"2"&amp;RIGHT("00000"&amp;1368,5))</f>
        <v/>
      </c>
      <c r="L1373" t="str">
        <f t="shared" si="108"/>
        <v/>
      </c>
      <c r="M1373" t="str">
        <f t="shared" si="109"/>
        <v/>
      </c>
      <c r="N1373" t="str">
        <f>IF($F1373="","",IF(Sync!$AF1373="","0000",IF(AND(ISNUMBER(Sync!$AF1373),Sync!$AF1373&gt;=0,Sync!$AF1373&lt;1),RIGHT("00"&amp;HOUR(Sync!$AF1373),2)&amp;RIGHT("00"&amp;MINUTE(Sync!$AF1373),2),IFERROR(RIGHT("00"&amp;VALUE(LEFT(Sync!$AF1373,FIND(":",Sync!$AF1373)-1)),2)&amp;RIGHT("00"&amp;VALUE(MID(Sync!$AF1373,FIND(":",Sync!$AF1373)+1,2)),2),"0000"))))</f>
        <v/>
      </c>
    </row>
    <row r="1374" spans="1:14" x14ac:dyDescent="0.2">
      <c r="A1374" t="str">
        <f>IF(OR(Calc!$E1378="",Calc!$E1378="نامعتبر",Calc!$G1378=""),"",Calc!$G1378)</f>
        <v/>
      </c>
      <c r="B1374" t="str">
        <f>IF($A1374="","",LEFT(Calc!$E1378,4)&amp;MID(Calc!$E1378,6,2)&amp;RIGHT(Calc!$E1378,2)&amp;Calc!$Q1378&amp;"|"&amp;"1"&amp;RIGHT("00000"&amp;1369,5))</f>
        <v/>
      </c>
      <c r="C1374" t="str">
        <f t="shared" si="105"/>
        <v/>
      </c>
      <c r="D1374" t="str">
        <f t="shared" si="106"/>
        <v/>
      </c>
      <c r="F1374" t="str">
        <f>IF(Sync!$AH1374="","",IF(LEFT(UPPER(TRIM(Sync!$AH1374)),2)="SL",UPPER(TRIM(Sync!$AH1374)),""))</f>
        <v/>
      </c>
      <c r="G1374" t="str">
        <f>IF($F1374="","",IF(Sync!$AE1374="","",IF(ISNUMBER(Sync!$AE1374),IF(AND(Sync!$AE1374&gt;=10000101,Sync!$AE1374&lt;=99991231),INT(Sync!$AE1374/10000),""),IFERROR(VALUE(TRIM(LEFT(Sync!$AE1374,FIND("/",Sync!$AE1374)-1))),""))))</f>
        <v/>
      </c>
      <c r="H1374" t="str">
        <f>IF(OR($F1374="",$G1374=""),"",IF(ISNUMBER(Sync!$AE1374),INT(MOD(Sync!$AE1374,10000)/100),IFERROR(VALUE(TRIM(LEFT(MID(Sync!$AE1374,FIND("/",Sync!$AE1374)+1,20),FIND("/",MID(Sync!$AE1374,FIND("/",Sync!$AE1374)+1,20))-1))),"")))</f>
        <v/>
      </c>
      <c r="I1374" t="str">
        <f>IF(OR($F1374="",$G1374=""),"",IF(ISNUMBER(Sync!$AE1374),MOD(Sync!$AE1374,100),IFERROR(VALUE(TRIM(MID(MID(Sync!$AE1374,FIND("/",Sync!$AE1374)+1,20),FIND("/",MID(Sync!$AE1374,FIND("/",Sync!$AE1374)+1,20))+1,20))),"")))</f>
        <v/>
      </c>
      <c r="J1374" t="str">
        <f t="shared" si="107"/>
        <v/>
      </c>
      <c r="K1374" t="str">
        <f>IF(OR($F1374="",$J1374="",$J1374="نامعتبر"),"",LEFT($J1374,4)&amp;MID($J1374,6,2)&amp;RIGHT($J1374,2)&amp;$N1374&amp;"|"&amp;"2"&amp;RIGHT("00000"&amp;1369,5))</f>
        <v/>
      </c>
      <c r="L1374" t="str">
        <f t="shared" si="108"/>
        <v/>
      </c>
      <c r="M1374" t="str">
        <f t="shared" si="109"/>
        <v/>
      </c>
      <c r="N1374" t="str">
        <f>IF($F1374="","",IF(Sync!$AF1374="","0000",IF(AND(ISNUMBER(Sync!$AF1374),Sync!$AF1374&gt;=0,Sync!$AF1374&lt;1),RIGHT("00"&amp;HOUR(Sync!$AF1374),2)&amp;RIGHT("00"&amp;MINUTE(Sync!$AF1374),2),IFERROR(RIGHT("00"&amp;VALUE(LEFT(Sync!$AF1374,FIND(":",Sync!$AF1374)-1)),2)&amp;RIGHT("00"&amp;VALUE(MID(Sync!$AF1374,FIND(":",Sync!$AF1374)+1,2)),2),"0000"))))</f>
        <v/>
      </c>
    </row>
    <row r="1375" spans="1:14" x14ac:dyDescent="0.2">
      <c r="A1375" t="str">
        <f>IF(OR(Calc!$E1379="",Calc!$E1379="نامعتبر",Calc!$G1379=""),"",Calc!$G1379)</f>
        <v/>
      </c>
      <c r="B1375" t="str">
        <f>IF($A1375="","",LEFT(Calc!$E1379,4)&amp;MID(Calc!$E1379,6,2)&amp;RIGHT(Calc!$E1379,2)&amp;Calc!$Q1379&amp;"|"&amp;"1"&amp;RIGHT("00000"&amp;1370,5))</f>
        <v/>
      </c>
      <c r="C1375" t="str">
        <f t="shared" si="105"/>
        <v/>
      </c>
      <c r="D1375" t="str">
        <f t="shared" si="106"/>
        <v/>
      </c>
      <c r="F1375" t="str">
        <f>IF(Sync!$AH1375="","",IF(LEFT(UPPER(TRIM(Sync!$AH1375)),2)="SL",UPPER(TRIM(Sync!$AH1375)),""))</f>
        <v/>
      </c>
      <c r="G1375" t="str">
        <f>IF($F1375="","",IF(Sync!$AE1375="","",IF(ISNUMBER(Sync!$AE1375),IF(AND(Sync!$AE1375&gt;=10000101,Sync!$AE1375&lt;=99991231),INT(Sync!$AE1375/10000),""),IFERROR(VALUE(TRIM(LEFT(Sync!$AE1375,FIND("/",Sync!$AE1375)-1))),""))))</f>
        <v/>
      </c>
      <c r="H1375" t="str">
        <f>IF(OR($F1375="",$G1375=""),"",IF(ISNUMBER(Sync!$AE1375),INT(MOD(Sync!$AE1375,10000)/100),IFERROR(VALUE(TRIM(LEFT(MID(Sync!$AE1375,FIND("/",Sync!$AE1375)+1,20),FIND("/",MID(Sync!$AE1375,FIND("/",Sync!$AE1375)+1,20))-1))),"")))</f>
        <v/>
      </c>
      <c r="I1375" t="str">
        <f>IF(OR($F1375="",$G1375=""),"",IF(ISNUMBER(Sync!$AE1375),MOD(Sync!$AE1375,100),IFERROR(VALUE(TRIM(MID(MID(Sync!$AE1375,FIND("/",Sync!$AE1375)+1,20),FIND("/",MID(Sync!$AE1375,FIND("/",Sync!$AE1375)+1,20))+1,20))),"")))</f>
        <v/>
      </c>
      <c r="J1375" t="str">
        <f t="shared" si="107"/>
        <v/>
      </c>
      <c r="K1375" t="str">
        <f>IF(OR($F1375="",$J1375="",$J1375="نامعتبر"),"",LEFT($J1375,4)&amp;MID($J1375,6,2)&amp;RIGHT($J1375,2)&amp;$N1375&amp;"|"&amp;"2"&amp;RIGHT("00000"&amp;1370,5))</f>
        <v/>
      </c>
      <c r="L1375" t="str">
        <f t="shared" si="108"/>
        <v/>
      </c>
      <c r="M1375" t="str">
        <f t="shared" si="109"/>
        <v/>
      </c>
      <c r="N1375" t="str">
        <f>IF($F1375="","",IF(Sync!$AF1375="","0000",IF(AND(ISNUMBER(Sync!$AF1375),Sync!$AF1375&gt;=0,Sync!$AF1375&lt;1),RIGHT("00"&amp;HOUR(Sync!$AF1375),2)&amp;RIGHT("00"&amp;MINUTE(Sync!$AF1375),2),IFERROR(RIGHT("00"&amp;VALUE(LEFT(Sync!$AF1375,FIND(":",Sync!$AF1375)-1)),2)&amp;RIGHT("00"&amp;VALUE(MID(Sync!$AF1375,FIND(":",Sync!$AF1375)+1,2)),2),"0000"))))</f>
        <v/>
      </c>
    </row>
    <row r="1376" spans="1:14" x14ac:dyDescent="0.2">
      <c r="A1376" t="str">
        <f>IF(OR(Calc!$E1380="",Calc!$E1380="نامعتبر",Calc!$G1380=""),"",Calc!$G1380)</f>
        <v/>
      </c>
      <c r="B1376" t="str">
        <f>IF($A1376="","",LEFT(Calc!$E1380,4)&amp;MID(Calc!$E1380,6,2)&amp;RIGHT(Calc!$E1380,2)&amp;Calc!$Q1380&amp;"|"&amp;"1"&amp;RIGHT("00000"&amp;1371,5))</f>
        <v/>
      </c>
      <c r="C1376" t="str">
        <f t="shared" si="105"/>
        <v/>
      </c>
      <c r="D1376" t="str">
        <f t="shared" si="106"/>
        <v/>
      </c>
      <c r="F1376" t="str">
        <f>IF(Sync!$AH1376="","",IF(LEFT(UPPER(TRIM(Sync!$AH1376)),2)="SL",UPPER(TRIM(Sync!$AH1376)),""))</f>
        <v/>
      </c>
      <c r="G1376" t="str">
        <f>IF($F1376="","",IF(Sync!$AE1376="","",IF(ISNUMBER(Sync!$AE1376),IF(AND(Sync!$AE1376&gt;=10000101,Sync!$AE1376&lt;=99991231),INT(Sync!$AE1376/10000),""),IFERROR(VALUE(TRIM(LEFT(Sync!$AE1376,FIND("/",Sync!$AE1376)-1))),""))))</f>
        <v/>
      </c>
      <c r="H1376" t="str">
        <f>IF(OR($F1376="",$G1376=""),"",IF(ISNUMBER(Sync!$AE1376),INT(MOD(Sync!$AE1376,10000)/100),IFERROR(VALUE(TRIM(LEFT(MID(Sync!$AE1376,FIND("/",Sync!$AE1376)+1,20),FIND("/",MID(Sync!$AE1376,FIND("/",Sync!$AE1376)+1,20))-1))),"")))</f>
        <v/>
      </c>
      <c r="I1376" t="str">
        <f>IF(OR($F1376="",$G1376=""),"",IF(ISNUMBER(Sync!$AE1376),MOD(Sync!$AE1376,100),IFERROR(VALUE(TRIM(MID(MID(Sync!$AE1376,FIND("/",Sync!$AE1376)+1,20),FIND("/",MID(Sync!$AE1376,FIND("/",Sync!$AE1376)+1,20))+1,20))),"")))</f>
        <v/>
      </c>
      <c r="J1376" t="str">
        <f t="shared" si="107"/>
        <v/>
      </c>
      <c r="K1376" t="str">
        <f>IF(OR($F1376="",$J1376="",$J1376="نامعتبر"),"",LEFT($J1376,4)&amp;MID($J1376,6,2)&amp;RIGHT($J1376,2)&amp;$N1376&amp;"|"&amp;"2"&amp;RIGHT("00000"&amp;1371,5))</f>
        <v/>
      </c>
      <c r="L1376" t="str">
        <f t="shared" si="108"/>
        <v/>
      </c>
      <c r="M1376" t="str">
        <f t="shared" si="109"/>
        <v/>
      </c>
      <c r="N1376" t="str">
        <f>IF($F1376="","",IF(Sync!$AF1376="","0000",IF(AND(ISNUMBER(Sync!$AF1376),Sync!$AF1376&gt;=0,Sync!$AF1376&lt;1),RIGHT("00"&amp;HOUR(Sync!$AF1376),2)&amp;RIGHT("00"&amp;MINUTE(Sync!$AF1376),2),IFERROR(RIGHT("00"&amp;VALUE(LEFT(Sync!$AF1376,FIND(":",Sync!$AF1376)-1)),2)&amp;RIGHT("00"&amp;VALUE(MID(Sync!$AF1376,FIND(":",Sync!$AF1376)+1,2)),2),"0000"))))</f>
        <v/>
      </c>
    </row>
    <row r="1377" spans="1:14" x14ac:dyDescent="0.2">
      <c r="A1377" t="str">
        <f>IF(OR(Calc!$E1381="",Calc!$E1381="نامعتبر",Calc!$G1381=""),"",Calc!$G1381)</f>
        <v/>
      </c>
      <c r="B1377" t="str">
        <f>IF($A1377="","",LEFT(Calc!$E1381,4)&amp;MID(Calc!$E1381,6,2)&amp;RIGHT(Calc!$E1381,2)&amp;Calc!$Q1381&amp;"|"&amp;"1"&amp;RIGHT("00000"&amp;1372,5))</f>
        <v/>
      </c>
      <c r="C1377" t="str">
        <f t="shared" si="105"/>
        <v/>
      </c>
      <c r="D1377" t="str">
        <f t="shared" si="106"/>
        <v/>
      </c>
      <c r="F1377" t="str">
        <f>IF(Sync!$AH1377="","",IF(LEFT(UPPER(TRIM(Sync!$AH1377)),2)="SL",UPPER(TRIM(Sync!$AH1377)),""))</f>
        <v/>
      </c>
      <c r="G1377" t="str">
        <f>IF($F1377="","",IF(Sync!$AE1377="","",IF(ISNUMBER(Sync!$AE1377),IF(AND(Sync!$AE1377&gt;=10000101,Sync!$AE1377&lt;=99991231),INT(Sync!$AE1377/10000),""),IFERROR(VALUE(TRIM(LEFT(Sync!$AE1377,FIND("/",Sync!$AE1377)-1))),""))))</f>
        <v/>
      </c>
      <c r="H1377" t="str">
        <f>IF(OR($F1377="",$G1377=""),"",IF(ISNUMBER(Sync!$AE1377),INT(MOD(Sync!$AE1377,10000)/100),IFERROR(VALUE(TRIM(LEFT(MID(Sync!$AE1377,FIND("/",Sync!$AE1377)+1,20),FIND("/",MID(Sync!$AE1377,FIND("/",Sync!$AE1377)+1,20))-1))),"")))</f>
        <v/>
      </c>
      <c r="I1377" t="str">
        <f>IF(OR($F1377="",$G1377=""),"",IF(ISNUMBER(Sync!$AE1377),MOD(Sync!$AE1377,100),IFERROR(VALUE(TRIM(MID(MID(Sync!$AE1377,FIND("/",Sync!$AE1377)+1,20),FIND("/",MID(Sync!$AE1377,FIND("/",Sync!$AE1377)+1,20))+1,20))),"")))</f>
        <v/>
      </c>
      <c r="J1377" t="str">
        <f t="shared" si="107"/>
        <v/>
      </c>
      <c r="K1377" t="str">
        <f>IF(OR($F1377="",$J1377="",$J1377="نامعتبر"),"",LEFT($J1377,4)&amp;MID($J1377,6,2)&amp;RIGHT($J1377,2)&amp;$N1377&amp;"|"&amp;"2"&amp;RIGHT("00000"&amp;1372,5))</f>
        <v/>
      </c>
      <c r="L1377" t="str">
        <f t="shared" si="108"/>
        <v/>
      </c>
      <c r="M1377" t="str">
        <f t="shared" si="109"/>
        <v/>
      </c>
      <c r="N1377" t="str">
        <f>IF($F1377="","",IF(Sync!$AF1377="","0000",IF(AND(ISNUMBER(Sync!$AF1377),Sync!$AF1377&gt;=0,Sync!$AF1377&lt;1),RIGHT("00"&amp;HOUR(Sync!$AF1377),2)&amp;RIGHT("00"&amp;MINUTE(Sync!$AF1377),2),IFERROR(RIGHT("00"&amp;VALUE(LEFT(Sync!$AF1377,FIND(":",Sync!$AF1377)-1)),2)&amp;RIGHT("00"&amp;VALUE(MID(Sync!$AF1377,FIND(":",Sync!$AF1377)+1,2)),2),"0000"))))</f>
        <v/>
      </c>
    </row>
    <row r="1378" spans="1:14" x14ac:dyDescent="0.2">
      <c r="A1378" t="str">
        <f>IF(OR(Calc!$E1382="",Calc!$E1382="نامعتبر",Calc!$G1382=""),"",Calc!$G1382)</f>
        <v/>
      </c>
      <c r="B1378" t="str">
        <f>IF($A1378="","",LEFT(Calc!$E1382,4)&amp;MID(Calc!$E1382,6,2)&amp;RIGHT(Calc!$E1382,2)&amp;Calc!$Q1382&amp;"|"&amp;"1"&amp;RIGHT("00000"&amp;1373,5))</f>
        <v/>
      </c>
      <c r="C1378" t="str">
        <f t="shared" si="105"/>
        <v/>
      </c>
      <c r="D1378" t="str">
        <f t="shared" si="106"/>
        <v/>
      </c>
      <c r="F1378" t="str">
        <f>IF(Sync!$AH1378="","",IF(LEFT(UPPER(TRIM(Sync!$AH1378)),2)="SL",UPPER(TRIM(Sync!$AH1378)),""))</f>
        <v/>
      </c>
      <c r="G1378" t="str">
        <f>IF($F1378="","",IF(Sync!$AE1378="","",IF(ISNUMBER(Sync!$AE1378),IF(AND(Sync!$AE1378&gt;=10000101,Sync!$AE1378&lt;=99991231),INT(Sync!$AE1378/10000),""),IFERROR(VALUE(TRIM(LEFT(Sync!$AE1378,FIND("/",Sync!$AE1378)-1))),""))))</f>
        <v/>
      </c>
      <c r="H1378" t="str">
        <f>IF(OR($F1378="",$G1378=""),"",IF(ISNUMBER(Sync!$AE1378),INT(MOD(Sync!$AE1378,10000)/100),IFERROR(VALUE(TRIM(LEFT(MID(Sync!$AE1378,FIND("/",Sync!$AE1378)+1,20),FIND("/",MID(Sync!$AE1378,FIND("/",Sync!$AE1378)+1,20))-1))),"")))</f>
        <v/>
      </c>
      <c r="I1378" t="str">
        <f>IF(OR($F1378="",$G1378=""),"",IF(ISNUMBER(Sync!$AE1378),MOD(Sync!$AE1378,100),IFERROR(VALUE(TRIM(MID(MID(Sync!$AE1378,FIND("/",Sync!$AE1378)+1,20),FIND("/",MID(Sync!$AE1378,FIND("/",Sync!$AE1378)+1,20))+1,20))),"")))</f>
        <v/>
      </c>
      <c r="J1378" t="str">
        <f t="shared" si="107"/>
        <v/>
      </c>
      <c r="K1378" t="str">
        <f>IF(OR($F1378="",$J1378="",$J1378="نامعتبر"),"",LEFT($J1378,4)&amp;MID($J1378,6,2)&amp;RIGHT($J1378,2)&amp;$N1378&amp;"|"&amp;"2"&amp;RIGHT("00000"&amp;1373,5))</f>
        <v/>
      </c>
      <c r="L1378" t="str">
        <f t="shared" si="108"/>
        <v/>
      </c>
      <c r="M1378" t="str">
        <f t="shared" si="109"/>
        <v/>
      </c>
      <c r="N1378" t="str">
        <f>IF($F1378="","",IF(Sync!$AF1378="","0000",IF(AND(ISNUMBER(Sync!$AF1378),Sync!$AF1378&gt;=0,Sync!$AF1378&lt;1),RIGHT("00"&amp;HOUR(Sync!$AF1378),2)&amp;RIGHT("00"&amp;MINUTE(Sync!$AF1378),2),IFERROR(RIGHT("00"&amp;VALUE(LEFT(Sync!$AF1378,FIND(":",Sync!$AF1378)-1)),2)&amp;RIGHT("00"&amp;VALUE(MID(Sync!$AF1378,FIND(":",Sync!$AF1378)+1,2)),2),"0000"))))</f>
        <v/>
      </c>
    </row>
    <row r="1379" spans="1:14" x14ac:dyDescent="0.2">
      <c r="A1379" t="str">
        <f>IF(OR(Calc!$E1383="",Calc!$E1383="نامعتبر",Calc!$G1383=""),"",Calc!$G1383)</f>
        <v/>
      </c>
      <c r="B1379" t="str">
        <f>IF($A1379="","",LEFT(Calc!$E1383,4)&amp;MID(Calc!$E1383,6,2)&amp;RIGHT(Calc!$E1383,2)&amp;Calc!$Q1383&amp;"|"&amp;"1"&amp;RIGHT("00000"&amp;1374,5))</f>
        <v/>
      </c>
      <c r="C1379" t="str">
        <f t="shared" si="105"/>
        <v/>
      </c>
      <c r="D1379" t="str">
        <f t="shared" si="106"/>
        <v/>
      </c>
      <c r="F1379" t="str">
        <f>IF(Sync!$AH1379="","",IF(LEFT(UPPER(TRIM(Sync!$AH1379)),2)="SL",UPPER(TRIM(Sync!$AH1379)),""))</f>
        <v/>
      </c>
      <c r="G1379" t="str">
        <f>IF($F1379="","",IF(Sync!$AE1379="","",IF(ISNUMBER(Sync!$AE1379),IF(AND(Sync!$AE1379&gt;=10000101,Sync!$AE1379&lt;=99991231),INT(Sync!$AE1379/10000),""),IFERROR(VALUE(TRIM(LEFT(Sync!$AE1379,FIND("/",Sync!$AE1379)-1))),""))))</f>
        <v/>
      </c>
      <c r="H1379" t="str">
        <f>IF(OR($F1379="",$G1379=""),"",IF(ISNUMBER(Sync!$AE1379),INT(MOD(Sync!$AE1379,10000)/100),IFERROR(VALUE(TRIM(LEFT(MID(Sync!$AE1379,FIND("/",Sync!$AE1379)+1,20),FIND("/",MID(Sync!$AE1379,FIND("/",Sync!$AE1379)+1,20))-1))),"")))</f>
        <v/>
      </c>
      <c r="I1379" t="str">
        <f>IF(OR($F1379="",$G1379=""),"",IF(ISNUMBER(Sync!$AE1379),MOD(Sync!$AE1379,100),IFERROR(VALUE(TRIM(MID(MID(Sync!$AE1379,FIND("/",Sync!$AE1379)+1,20),FIND("/",MID(Sync!$AE1379,FIND("/",Sync!$AE1379)+1,20))+1,20))),"")))</f>
        <v/>
      </c>
      <c r="J1379" t="str">
        <f t="shared" si="107"/>
        <v/>
      </c>
      <c r="K1379" t="str">
        <f>IF(OR($F1379="",$J1379="",$J1379="نامعتبر"),"",LEFT($J1379,4)&amp;MID($J1379,6,2)&amp;RIGHT($J1379,2)&amp;$N1379&amp;"|"&amp;"2"&amp;RIGHT("00000"&amp;1374,5))</f>
        <v/>
      </c>
      <c r="L1379" t="str">
        <f t="shared" si="108"/>
        <v/>
      </c>
      <c r="M1379" t="str">
        <f t="shared" si="109"/>
        <v/>
      </c>
      <c r="N1379" t="str">
        <f>IF($F1379="","",IF(Sync!$AF1379="","0000",IF(AND(ISNUMBER(Sync!$AF1379),Sync!$AF1379&gt;=0,Sync!$AF1379&lt;1),RIGHT("00"&amp;HOUR(Sync!$AF1379),2)&amp;RIGHT("00"&amp;MINUTE(Sync!$AF1379),2),IFERROR(RIGHT("00"&amp;VALUE(LEFT(Sync!$AF1379,FIND(":",Sync!$AF1379)-1)),2)&amp;RIGHT("00"&amp;VALUE(MID(Sync!$AF1379,FIND(":",Sync!$AF1379)+1,2)),2),"0000"))))</f>
        <v/>
      </c>
    </row>
    <row r="1380" spans="1:14" x14ac:dyDescent="0.2">
      <c r="A1380" t="str">
        <f>IF(OR(Calc!$E1384="",Calc!$E1384="نامعتبر",Calc!$G1384=""),"",Calc!$G1384)</f>
        <v/>
      </c>
      <c r="B1380" t="str">
        <f>IF($A1380="","",LEFT(Calc!$E1384,4)&amp;MID(Calc!$E1384,6,2)&amp;RIGHT(Calc!$E1384,2)&amp;Calc!$Q1384&amp;"|"&amp;"1"&amp;RIGHT("00000"&amp;1375,5))</f>
        <v/>
      </c>
      <c r="C1380" t="str">
        <f t="shared" si="105"/>
        <v/>
      </c>
      <c r="D1380" t="str">
        <f t="shared" si="106"/>
        <v/>
      </c>
      <c r="F1380" t="str">
        <f>IF(Sync!$AH1380="","",IF(LEFT(UPPER(TRIM(Sync!$AH1380)),2)="SL",UPPER(TRIM(Sync!$AH1380)),""))</f>
        <v/>
      </c>
      <c r="G1380" t="str">
        <f>IF($F1380="","",IF(Sync!$AE1380="","",IF(ISNUMBER(Sync!$AE1380),IF(AND(Sync!$AE1380&gt;=10000101,Sync!$AE1380&lt;=99991231),INT(Sync!$AE1380/10000),""),IFERROR(VALUE(TRIM(LEFT(Sync!$AE1380,FIND("/",Sync!$AE1380)-1))),""))))</f>
        <v/>
      </c>
      <c r="H1380" t="str">
        <f>IF(OR($F1380="",$G1380=""),"",IF(ISNUMBER(Sync!$AE1380),INT(MOD(Sync!$AE1380,10000)/100),IFERROR(VALUE(TRIM(LEFT(MID(Sync!$AE1380,FIND("/",Sync!$AE1380)+1,20),FIND("/",MID(Sync!$AE1380,FIND("/",Sync!$AE1380)+1,20))-1))),"")))</f>
        <v/>
      </c>
      <c r="I1380" t="str">
        <f>IF(OR($F1380="",$G1380=""),"",IF(ISNUMBER(Sync!$AE1380),MOD(Sync!$AE1380,100),IFERROR(VALUE(TRIM(MID(MID(Sync!$AE1380,FIND("/",Sync!$AE1380)+1,20),FIND("/",MID(Sync!$AE1380,FIND("/",Sync!$AE1380)+1,20))+1,20))),"")))</f>
        <v/>
      </c>
      <c r="J1380" t="str">
        <f t="shared" si="107"/>
        <v/>
      </c>
      <c r="K1380" t="str">
        <f>IF(OR($F1380="",$J1380="",$J1380="نامعتبر"),"",LEFT($J1380,4)&amp;MID($J1380,6,2)&amp;RIGHT($J1380,2)&amp;$N1380&amp;"|"&amp;"2"&amp;RIGHT("00000"&amp;1375,5))</f>
        <v/>
      </c>
      <c r="L1380" t="str">
        <f t="shared" si="108"/>
        <v/>
      </c>
      <c r="M1380" t="str">
        <f t="shared" si="109"/>
        <v/>
      </c>
      <c r="N1380" t="str">
        <f>IF($F1380="","",IF(Sync!$AF1380="","0000",IF(AND(ISNUMBER(Sync!$AF1380),Sync!$AF1380&gt;=0,Sync!$AF1380&lt;1),RIGHT("00"&amp;HOUR(Sync!$AF1380),2)&amp;RIGHT("00"&amp;MINUTE(Sync!$AF1380),2),IFERROR(RIGHT("00"&amp;VALUE(LEFT(Sync!$AF1380,FIND(":",Sync!$AF1380)-1)),2)&amp;RIGHT("00"&amp;VALUE(MID(Sync!$AF1380,FIND(":",Sync!$AF1380)+1,2)),2),"0000"))))</f>
        <v/>
      </c>
    </row>
    <row r="1381" spans="1:14" x14ac:dyDescent="0.2">
      <c r="A1381" t="str">
        <f>IF(OR(Calc!$E1385="",Calc!$E1385="نامعتبر",Calc!$G1385=""),"",Calc!$G1385)</f>
        <v/>
      </c>
      <c r="B1381" t="str">
        <f>IF($A1381="","",LEFT(Calc!$E1385,4)&amp;MID(Calc!$E1385,6,2)&amp;RIGHT(Calc!$E1385,2)&amp;Calc!$Q1385&amp;"|"&amp;"1"&amp;RIGHT("00000"&amp;1376,5))</f>
        <v/>
      </c>
      <c r="C1381" t="str">
        <f t="shared" si="105"/>
        <v/>
      </c>
      <c r="D1381" t="str">
        <f t="shared" si="106"/>
        <v/>
      </c>
      <c r="F1381" t="str">
        <f>IF(Sync!$AH1381="","",IF(LEFT(UPPER(TRIM(Sync!$AH1381)),2)="SL",UPPER(TRIM(Sync!$AH1381)),""))</f>
        <v/>
      </c>
      <c r="G1381" t="str">
        <f>IF($F1381="","",IF(Sync!$AE1381="","",IF(ISNUMBER(Sync!$AE1381),IF(AND(Sync!$AE1381&gt;=10000101,Sync!$AE1381&lt;=99991231),INT(Sync!$AE1381/10000),""),IFERROR(VALUE(TRIM(LEFT(Sync!$AE1381,FIND("/",Sync!$AE1381)-1))),""))))</f>
        <v/>
      </c>
      <c r="H1381" t="str">
        <f>IF(OR($F1381="",$G1381=""),"",IF(ISNUMBER(Sync!$AE1381),INT(MOD(Sync!$AE1381,10000)/100),IFERROR(VALUE(TRIM(LEFT(MID(Sync!$AE1381,FIND("/",Sync!$AE1381)+1,20),FIND("/",MID(Sync!$AE1381,FIND("/",Sync!$AE1381)+1,20))-1))),"")))</f>
        <v/>
      </c>
      <c r="I1381" t="str">
        <f>IF(OR($F1381="",$G1381=""),"",IF(ISNUMBER(Sync!$AE1381),MOD(Sync!$AE1381,100),IFERROR(VALUE(TRIM(MID(MID(Sync!$AE1381,FIND("/",Sync!$AE1381)+1,20),FIND("/",MID(Sync!$AE1381,FIND("/",Sync!$AE1381)+1,20))+1,20))),"")))</f>
        <v/>
      </c>
      <c r="J1381" t="str">
        <f t="shared" si="107"/>
        <v/>
      </c>
      <c r="K1381" t="str">
        <f>IF(OR($F1381="",$J1381="",$J1381="نامعتبر"),"",LEFT($J1381,4)&amp;MID($J1381,6,2)&amp;RIGHT($J1381,2)&amp;$N1381&amp;"|"&amp;"2"&amp;RIGHT("00000"&amp;1376,5))</f>
        <v/>
      </c>
      <c r="L1381" t="str">
        <f t="shared" si="108"/>
        <v/>
      </c>
      <c r="M1381" t="str">
        <f t="shared" si="109"/>
        <v/>
      </c>
      <c r="N1381" t="str">
        <f>IF($F1381="","",IF(Sync!$AF1381="","0000",IF(AND(ISNUMBER(Sync!$AF1381),Sync!$AF1381&gt;=0,Sync!$AF1381&lt;1),RIGHT("00"&amp;HOUR(Sync!$AF1381),2)&amp;RIGHT("00"&amp;MINUTE(Sync!$AF1381),2),IFERROR(RIGHT("00"&amp;VALUE(LEFT(Sync!$AF1381,FIND(":",Sync!$AF1381)-1)),2)&amp;RIGHT("00"&amp;VALUE(MID(Sync!$AF1381,FIND(":",Sync!$AF1381)+1,2)),2),"0000"))))</f>
        <v/>
      </c>
    </row>
    <row r="1382" spans="1:14" x14ac:dyDescent="0.2">
      <c r="A1382" t="str">
        <f>IF(OR(Calc!$E1386="",Calc!$E1386="نامعتبر",Calc!$G1386=""),"",Calc!$G1386)</f>
        <v/>
      </c>
      <c r="B1382" t="str">
        <f>IF($A1382="","",LEFT(Calc!$E1386,4)&amp;MID(Calc!$E1386,6,2)&amp;RIGHT(Calc!$E1386,2)&amp;Calc!$Q1386&amp;"|"&amp;"1"&amp;RIGHT("00000"&amp;1377,5))</f>
        <v/>
      </c>
      <c r="C1382" t="str">
        <f t="shared" si="105"/>
        <v/>
      </c>
      <c r="D1382" t="str">
        <f t="shared" si="106"/>
        <v/>
      </c>
      <c r="F1382" t="str">
        <f>IF(Sync!$AH1382="","",IF(LEFT(UPPER(TRIM(Sync!$AH1382)),2)="SL",UPPER(TRIM(Sync!$AH1382)),""))</f>
        <v/>
      </c>
      <c r="G1382" t="str">
        <f>IF($F1382="","",IF(Sync!$AE1382="","",IF(ISNUMBER(Sync!$AE1382),IF(AND(Sync!$AE1382&gt;=10000101,Sync!$AE1382&lt;=99991231),INT(Sync!$AE1382/10000),""),IFERROR(VALUE(TRIM(LEFT(Sync!$AE1382,FIND("/",Sync!$AE1382)-1))),""))))</f>
        <v/>
      </c>
      <c r="H1382" t="str">
        <f>IF(OR($F1382="",$G1382=""),"",IF(ISNUMBER(Sync!$AE1382),INT(MOD(Sync!$AE1382,10000)/100),IFERROR(VALUE(TRIM(LEFT(MID(Sync!$AE1382,FIND("/",Sync!$AE1382)+1,20),FIND("/",MID(Sync!$AE1382,FIND("/",Sync!$AE1382)+1,20))-1))),"")))</f>
        <v/>
      </c>
      <c r="I1382" t="str">
        <f>IF(OR($F1382="",$G1382=""),"",IF(ISNUMBER(Sync!$AE1382),MOD(Sync!$AE1382,100),IFERROR(VALUE(TRIM(MID(MID(Sync!$AE1382,FIND("/",Sync!$AE1382)+1,20),FIND("/",MID(Sync!$AE1382,FIND("/",Sync!$AE1382)+1,20))+1,20))),"")))</f>
        <v/>
      </c>
      <c r="J1382" t="str">
        <f t="shared" si="107"/>
        <v/>
      </c>
      <c r="K1382" t="str">
        <f>IF(OR($F1382="",$J1382="",$J1382="نامعتبر"),"",LEFT($J1382,4)&amp;MID($J1382,6,2)&amp;RIGHT($J1382,2)&amp;$N1382&amp;"|"&amp;"2"&amp;RIGHT("00000"&amp;1377,5))</f>
        <v/>
      </c>
      <c r="L1382" t="str">
        <f t="shared" si="108"/>
        <v/>
      </c>
      <c r="M1382" t="str">
        <f t="shared" si="109"/>
        <v/>
      </c>
      <c r="N1382" t="str">
        <f>IF($F1382="","",IF(Sync!$AF1382="","0000",IF(AND(ISNUMBER(Sync!$AF1382),Sync!$AF1382&gt;=0,Sync!$AF1382&lt;1),RIGHT("00"&amp;HOUR(Sync!$AF1382),2)&amp;RIGHT("00"&amp;MINUTE(Sync!$AF1382),2),IFERROR(RIGHT("00"&amp;VALUE(LEFT(Sync!$AF1382,FIND(":",Sync!$AF1382)-1)),2)&amp;RIGHT("00"&amp;VALUE(MID(Sync!$AF1382,FIND(":",Sync!$AF1382)+1,2)),2),"0000"))))</f>
        <v/>
      </c>
    </row>
    <row r="1383" spans="1:14" x14ac:dyDescent="0.2">
      <c r="A1383" t="str">
        <f>IF(OR(Calc!$E1387="",Calc!$E1387="نامعتبر",Calc!$G1387=""),"",Calc!$G1387)</f>
        <v/>
      </c>
      <c r="B1383" t="str">
        <f>IF($A1383="","",LEFT(Calc!$E1387,4)&amp;MID(Calc!$E1387,6,2)&amp;RIGHT(Calc!$E1387,2)&amp;Calc!$Q1387&amp;"|"&amp;"1"&amp;RIGHT("00000"&amp;1378,5))</f>
        <v/>
      </c>
      <c r="C1383" t="str">
        <f t="shared" si="105"/>
        <v/>
      </c>
      <c r="D1383" t="str">
        <f t="shared" si="106"/>
        <v/>
      </c>
      <c r="F1383" t="str">
        <f>IF(Sync!$AH1383="","",IF(LEFT(UPPER(TRIM(Sync!$AH1383)),2)="SL",UPPER(TRIM(Sync!$AH1383)),""))</f>
        <v/>
      </c>
      <c r="G1383" t="str">
        <f>IF($F1383="","",IF(Sync!$AE1383="","",IF(ISNUMBER(Sync!$AE1383),IF(AND(Sync!$AE1383&gt;=10000101,Sync!$AE1383&lt;=99991231),INT(Sync!$AE1383/10000),""),IFERROR(VALUE(TRIM(LEFT(Sync!$AE1383,FIND("/",Sync!$AE1383)-1))),""))))</f>
        <v/>
      </c>
      <c r="H1383" t="str">
        <f>IF(OR($F1383="",$G1383=""),"",IF(ISNUMBER(Sync!$AE1383),INT(MOD(Sync!$AE1383,10000)/100),IFERROR(VALUE(TRIM(LEFT(MID(Sync!$AE1383,FIND("/",Sync!$AE1383)+1,20),FIND("/",MID(Sync!$AE1383,FIND("/",Sync!$AE1383)+1,20))-1))),"")))</f>
        <v/>
      </c>
      <c r="I1383" t="str">
        <f>IF(OR($F1383="",$G1383=""),"",IF(ISNUMBER(Sync!$AE1383),MOD(Sync!$AE1383,100),IFERROR(VALUE(TRIM(MID(MID(Sync!$AE1383,FIND("/",Sync!$AE1383)+1,20),FIND("/",MID(Sync!$AE1383,FIND("/",Sync!$AE1383)+1,20))+1,20))),"")))</f>
        <v/>
      </c>
      <c r="J1383" t="str">
        <f t="shared" si="107"/>
        <v/>
      </c>
      <c r="K1383" t="str">
        <f>IF(OR($F1383="",$J1383="",$J1383="نامعتبر"),"",LEFT($J1383,4)&amp;MID($J1383,6,2)&amp;RIGHT($J1383,2)&amp;$N1383&amp;"|"&amp;"2"&amp;RIGHT("00000"&amp;1378,5))</f>
        <v/>
      </c>
      <c r="L1383" t="str">
        <f t="shared" si="108"/>
        <v/>
      </c>
      <c r="M1383" t="str">
        <f t="shared" si="109"/>
        <v/>
      </c>
      <c r="N1383" t="str">
        <f>IF($F1383="","",IF(Sync!$AF1383="","0000",IF(AND(ISNUMBER(Sync!$AF1383),Sync!$AF1383&gt;=0,Sync!$AF1383&lt;1),RIGHT("00"&amp;HOUR(Sync!$AF1383),2)&amp;RIGHT("00"&amp;MINUTE(Sync!$AF1383),2),IFERROR(RIGHT("00"&amp;VALUE(LEFT(Sync!$AF1383,FIND(":",Sync!$AF1383)-1)),2)&amp;RIGHT("00"&amp;VALUE(MID(Sync!$AF1383,FIND(":",Sync!$AF1383)+1,2)),2),"0000"))))</f>
        <v/>
      </c>
    </row>
    <row r="1384" spans="1:14" x14ac:dyDescent="0.2">
      <c r="A1384" t="str">
        <f>IF(OR(Calc!$E1388="",Calc!$E1388="نامعتبر",Calc!$G1388=""),"",Calc!$G1388)</f>
        <v/>
      </c>
      <c r="B1384" t="str">
        <f>IF($A1384="","",LEFT(Calc!$E1388,4)&amp;MID(Calc!$E1388,6,2)&amp;RIGHT(Calc!$E1388,2)&amp;Calc!$Q1388&amp;"|"&amp;"1"&amp;RIGHT("00000"&amp;1379,5))</f>
        <v/>
      </c>
      <c r="C1384" t="str">
        <f t="shared" si="105"/>
        <v/>
      </c>
      <c r="D1384" t="str">
        <f t="shared" si="106"/>
        <v/>
      </c>
      <c r="F1384" t="str">
        <f>IF(Sync!$AH1384="","",IF(LEFT(UPPER(TRIM(Sync!$AH1384)),2)="SL",UPPER(TRIM(Sync!$AH1384)),""))</f>
        <v/>
      </c>
      <c r="G1384" t="str">
        <f>IF($F1384="","",IF(Sync!$AE1384="","",IF(ISNUMBER(Sync!$AE1384),IF(AND(Sync!$AE1384&gt;=10000101,Sync!$AE1384&lt;=99991231),INT(Sync!$AE1384/10000),""),IFERROR(VALUE(TRIM(LEFT(Sync!$AE1384,FIND("/",Sync!$AE1384)-1))),""))))</f>
        <v/>
      </c>
      <c r="H1384" t="str">
        <f>IF(OR($F1384="",$G1384=""),"",IF(ISNUMBER(Sync!$AE1384),INT(MOD(Sync!$AE1384,10000)/100),IFERROR(VALUE(TRIM(LEFT(MID(Sync!$AE1384,FIND("/",Sync!$AE1384)+1,20),FIND("/",MID(Sync!$AE1384,FIND("/",Sync!$AE1384)+1,20))-1))),"")))</f>
        <v/>
      </c>
      <c r="I1384" t="str">
        <f>IF(OR($F1384="",$G1384=""),"",IF(ISNUMBER(Sync!$AE1384),MOD(Sync!$AE1384,100),IFERROR(VALUE(TRIM(MID(MID(Sync!$AE1384,FIND("/",Sync!$AE1384)+1,20),FIND("/",MID(Sync!$AE1384,FIND("/",Sync!$AE1384)+1,20))+1,20))),"")))</f>
        <v/>
      </c>
      <c r="J1384" t="str">
        <f t="shared" si="107"/>
        <v/>
      </c>
      <c r="K1384" t="str">
        <f>IF(OR($F1384="",$J1384="",$J1384="نامعتبر"),"",LEFT($J1384,4)&amp;MID($J1384,6,2)&amp;RIGHT($J1384,2)&amp;$N1384&amp;"|"&amp;"2"&amp;RIGHT("00000"&amp;1379,5))</f>
        <v/>
      </c>
      <c r="L1384" t="str">
        <f t="shared" si="108"/>
        <v/>
      </c>
      <c r="M1384" t="str">
        <f t="shared" si="109"/>
        <v/>
      </c>
      <c r="N1384" t="str">
        <f>IF($F1384="","",IF(Sync!$AF1384="","0000",IF(AND(ISNUMBER(Sync!$AF1384),Sync!$AF1384&gt;=0,Sync!$AF1384&lt;1),RIGHT("00"&amp;HOUR(Sync!$AF1384),2)&amp;RIGHT("00"&amp;MINUTE(Sync!$AF1384),2),IFERROR(RIGHT("00"&amp;VALUE(LEFT(Sync!$AF1384,FIND(":",Sync!$AF1384)-1)),2)&amp;RIGHT("00"&amp;VALUE(MID(Sync!$AF1384,FIND(":",Sync!$AF1384)+1,2)),2),"0000"))))</f>
        <v/>
      </c>
    </row>
    <row r="1385" spans="1:14" x14ac:dyDescent="0.2">
      <c r="A1385" t="str">
        <f>IF(OR(Calc!$E1389="",Calc!$E1389="نامعتبر",Calc!$G1389=""),"",Calc!$G1389)</f>
        <v/>
      </c>
      <c r="B1385" t="str">
        <f>IF($A1385="","",LEFT(Calc!$E1389,4)&amp;MID(Calc!$E1389,6,2)&amp;RIGHT(Calc!$E1389,2)&amp;Calc!$Q1389&amp;"|"&amp;"1"&amp;RIGHT("00000"&amp;1380,5))</f>
        <v/>
      </c>
      <c r="C1385" t="str">
        <f t="shared" si="105"/>
        <v/>
      </c>
      <c r="D1385" t="str">
        <f t="shared" si="106"/>
        <v/>
      </c>
      <c r="F1385" t="str">
        <f>IF(Sync!$AH1385="","",IF(LEFT(UPPER(TRIM(Sync!$AH1385)),2)="SL",UPPER(TRIM(Sync!$AH1385)),""))</f>
        <v/>
      </c>
      <c r="G1385" t="str">
        <f>IF($F1385="","",IF(Sync!$AE1385="","",IF(ISNUMBER(Sync!$AE1385),IF(AND(Sync!$AE1385&gt;=10000101,Sync!$AE1385&lt;=99991231),INT(Sync!$AE1385/10000),""),IFERROR(VALUE(TRIM(LEFT(Sync!$AE1385,FIND("/",Sync!$AE1385)-1))),""))))</f>
        <v/>
      </c>
      <c r="H1385" t="str">
        <f>IF(OR($F1385="",$G1385=""),"",IF(ISNUMBER(Sync!$AE1385),INT(MOD(Sync!$AE1385,10000)/100),IFERROR(VALUE(TRIM(LEFT(MID(Sync!$AE1385,FIND("/",Sync!$AE1385)+1,20),FIND("/",MID(Sync!$AE1385,FIND("/",Sync!$AE1385)+1,20))-1))),"")))</f>
        <v/>
      </c>
      <c r="I1385" t="str">
        <f>IF(OR($F1385="",$G1385=""),"",IF(ISNUMBER(Sync!$AE1385),MOD(Sync!$AE1385,100),IFERROR(VALUE(TRIM(MID(MID(Sync!$AE1385,FIND("/",Sync!$AE1385)+1,20),FIND("/",MID(Sync!$AE1385,FIND("/",Sync!$AE1385)+1,20))+1,20))),"")))</f>
        <v/>
      </c>
      <c r="J1385" t="str">
        <f t="shared" si="107"/>
        <v/>
      </c>
      <c r="K1385" t="str">
        <f>IF(OR($F1385="",$J1385="",$J1385="نامعتبر"),"",LEFT($J1385,4)&amp;MID($J1385,6,2)&amp;RIGHT($J1385,2)&amp;$N1385&amp;"|"&amp;"2"&amp;RIGHT("00000"&amp;1380,5))</f>
        <v/>
      </c>
      <c r="L1385" t="str">
        <f t="shared" si="108"/>
        <v/>
      </c>
      <c r="M1385" t="str">
        <f t="shared" si="109"/>
        <v/>
      </c>
      <c r="N1385" t="str">
        <f>IF($F1385="","",IF(Sync!$AF1385="","0000",IF(AND(ISNUMBER(Sync!$AF1385),Sync!$AF1385&gt;=0,Sync!$AF1385&lt;1),RIGHT("00"&amp;HOUR(Sync!$AF1385),2)&amp;RIGHT("00"&amp;MINUTE(Sync!$AF1385),2),IFERROR(RIGHT("00"&amp;VALUE(LEFT(Sync!$AF1385,FIND(":",Sync!$AF1385)-1)),2)&amp;RIGHT("00"&amp;VALUE(MID(Sync!$AF1385,FIND(":",Sync!$AF1385)+1,2)),2),"0000"))))</f>
        <v/>
      </c>
    </row>
    <row r="1386" spans="1:14" x14ac:dyDescent="0.2">
      <c r="A1386" t="str">
        <f>IF(OR(Calc!$E1390="",Calc!$E1390="نامعتبر",Calc!$G1390=""),"",Calc!$G1390)</f>
        <v/>
      </c>
      <c r="B1386" t="str">
        <f>IF($A1386="","",LEFT(Calc!$E1390,4)&amp;MID(Calc!$E1390,6,2)&amp;RIGHT(Calc!$E1390,2)&amp;Calc!$Q1390&amp;"|"&amp;"1"&amp;RIGHT("00000"&amp;1381,5))</f>
        <v/>
      </c>
      <c r="C1386" t="str">
        <f t="shared" si="105"/>
        <v/>
      </c>
      <c r="D1386" t="str">
        <f t="shared" si="106"/>
        <v/>
      </c>
      <c r="F1386" t="str">
        <f>IF(Sync!$AH1386="","",IF(LEFT(UPPER(TRIM(Sync!$AH1386)),2)="SL",UPPER(TRIM(Sync!$AH1386)),""))</f>
        <v/>
      </c>
      <c r="G1386" t="str">
        <f>IF($F1386="","",IF(Sync!$AE1386="","",IF(ISNUMBER(Sync!$AE1386),IF(AND(Sync!$AE1386&gt;=10000101,Sync!$AE1386&lt;=99991231),INT(Sync!$AE1386/10000),""),IFERROR(VALUE(TRIM(LEFT(Sync!$AE1386,FIND("/",Sync!$AE1386)-1))),""))))</f>
        <v/>
      </c>
      <c r="H1386" t="str">
        <f>IF(OR($F1386="",$G1386=""),"",IF(ISNUMBER(Sync!$AE1386),INT(MOD(Sync!$AE1386,10000)/100),IFERROR(VALUE(TRIM(LEFT(MID(Sync!$AE1386,FIND("/",Sync!$AE1386)+1,20),FIND("/",MID(Sync!$AE1386,FIND("/",Sync!$AE1386)+1,20))-1))),"")))</f>
        <v/>
      </c>
      <c r="I1386" t="str">
        <f>IF(OR($F1386="",$G1386=""),"",IF(ISNUMBER(Sync!$AE1386),MOD(Sync!$AE1386,100),IFERROR(VALUE(TRIM(MID(MID(Sync!$AE1386,FIND("/",Sync!$AE1386)+1,20),FIND("/",MID(Sync!$AE1386,FIND("/",Sync!$AE1386)+1,20))+1,20))),"")))</f>
        <v/>
      </c>
      <c r="J1386" t="str">
        <f t="shared" si="107"/>
        <v/>
      </c>
      <c r="K1386" t="str">
        <f>IF(OR($F1386="",$J1386="",$J1386="نامعتبر"),"",LEFT($J1386,4)&amp;MID($J1386,6,2)&amp;RIGHT($J1386,2)&amp;$N1386&amp;"|"&amp;"2"&amp;RIGHT("00000"&amp;1381,5))</f>
        <v/>
      </c>
      <c r="L1386" t="str">
        <f t="shared" si="108"/>
        <v/>
      </c>
      <c r="M1386" t="str">
        <f t="shared" si="109"/>
        <v/>
      </c>
      <c r="N1386" t="str">
        <f>IF($F1386="","",IF(Sync!$AF1386="","0000",IF(AND(ISNUMBER(Sync!$AF1386),Sync!$AF1386&gt;=0,Sync!$AF1386&lt;1),RIGHT("00"&amp;HOUR(Sync!$AF1386),2)&amp;RIGHT("00"&amp;MINUTE(Sync!$AF1386),2),IFERROR(RIGHT("00"&amp;VALUE(LEFT(Sync!$AF1386,FIND(":",Sync!$AF1386)-1)),2)&amp;RIGHT("00"&amp;VALUE(MID(Sync!$AF1386,FIND(":",Sync!$AF1386)+1,2)),2),"0000"))))</f>
        <v/>
      </c>
    </row>
    <row r="1387" spans="1:14" x14ac:dyDescent="0.2">
      <c r="A1387" t="str">
        <f>IF(OR(Calc!$E1391="",Calc!$E1391="نامعتبر",Calc!$G1391=""),"",Calc!$G1391)</f>
        <v/>
      </c>
      <c r="B1387" t="str">
        <f>IF($A1387="","",LEFT(Calc!$E1391,4)&amp;MID(Calc!$E1391,6,2)&amp;RIGHT(Calc!$E1391,2)&amp;Calc!$Q1391&amp;"|"&amp;"1"&amp;RIGHT("00000"&amp;1382,5))</f>
        <v/>
      </c>
      <c r="C1387" t="str">
        <f t="shared" si="105"/>
        <v/>
      </c>
      <c r="D1387" t="str">
        <f t="shared" si="106"/>
        <v/>
      </c>
      <c r="F1387" t="str">
        <f>IF(Sync!$AH1387="","",IF(LEFT(UPPER(TRIM(Sync!$AH1387)),2)="SL",UPPER(TRIM(Sync!$AH1387)),""))</f>
        <v/>
      </c>
      <c r="G1387" t="str">
        <f>IF($F1387="","",IF(Sync!$AE1387="","",IF(ISNUMBER(Sync!$AE1387),IF(AND(Sync!$AE1387&gt;=10000101,Sync!$AE1387&lt;=99991231),INT(Sync!$AE1387/10000),""),IFERROR(VALUE(TRIM(LEFT(Sync!$AE1387,FIND("/",Sync!$AE1387)-1))),""))))</f>
        <v/>
      </c>
      <c r="H1387" t="str">
        <f>IF(OR($F1387="",$G1387=""),"",IF(ISNUMBER(Sync!$AE1387),INT(MOD(Sync!$AE1387,10000)/100),IFERROR(VALUE(TRIM(LEFT(MID(Sync!$AE1387,FIND("/",Sync!$AE1387)+1,20),FIND("/",MID(Sync!$AE1387,FIND("/",Sync!$AE1387)+1,20))-1))),"")))</f>
        <v/>
      </c>
      <c r="I1387" t="str">
        <f>IF(OR($F1387="",$G1387=""),"",IF(ISNUMBER(Sync!$AE1387),MOD(Sync!$AE1387,100),IFERROR(VALUE(TRIM(MID(MID(Sync!$AE1387,FIND("/",Sync!$AE1387)+1,20),FIND("/",MID(Sync!$AE1387,FIND("/",Sync!$AE1387)+1,20))+1,20))),"")))</f>
        <v/>
      </c>
      <c r="J1387" t="str">
        <f t="shared" si="107"/>
        <v/>
      </c>
      <c r="K1387" t="str">
        <f>IF(OR($F1387="",$J1387="",$J1387="نامعتبر"),"",LEFT($J1387,4)&amp;MID($J1387,6,2)&amp;RIGHT($J1387,2)&amp;$N1387&amp;"|"&amp;"2"&amp;RIGHT("00000"&amp;1382,5))</f>
        <v/>
      </c>
      <c r="L1387" t="str">
        <f t="shared" si="108"/>
        <v/>
      </c>
      <c r="M1387" t="str">
        <f t="shared" si="109"/>
        <v/>
      </c>
      <c r="N1387" t="str">
        <f>IF($F1387="","",IF(Sync!$AF1387="","0000",IF(AND(ISNUMBER(Sync!$AF1387),Sync!$AF1387&gt;=0,Sync!$AF1387&lt;1),RIGHT("00"&amp;HOUR(Sync!$AF1387),2)&amp;RIGHT("00"&amp;MINUTE(Sync!$AF1387),2),IFERROR(RIGHT("00"&amp;VALUE(LEFT(Sync!$AF1387,FIND(":",Sync!$AF1387)-1)),2)&amp;RIGHT("00"&amp;VALUE(MID(Sync!$AF1387,FIND(":",Sync!$AF1387)+1,2)),2),"0000"))))</f>
        <v/>
      </c>
    </row>
    <row r="1388" spans="1:14" x14ac:dyDescent="0.2">
      <c r="A1388" t="str">
        <f>IF(OR(Calc!$E1392="",Calc!$E1392="نامعتبر",Calc!$G1392=""),"",Calc!$G1392)</f>
        <v/>
      </c>
      <c r="B1388" t="str">
        <f>IF($A1388="","",LEFT(Calc!$E1392,4)&amp;MID(Calc!$E1392,6,2)&amp;RIGHT(Calc!$E1392,2)&amp;Calc!$Q1392&amp;"|"&amp;"1"&amp;RIGHT("00000"&amp;1383,5))</f>
        <v/>
      </c>
      <c r="C1388" t="str">
        <f t="shared" si="105"/>
        <v/>
      </c>
      <c r="D1388" t="str">
        <f t="shared" si="106"/>
        <v/>
      </c>
      <c r="F1388" t="str">
        <f>IF(Sync!$AH1388="","",IF(LEFT(UPPER(TRIM(Sync!$AH1388)),2)="SL",UPPER(TRIM(Sync!$AH1388)),""))</f>
        <v/>
      </c>
      <c r="G1388" t="str">
        <f>IF($F1388="","",IF(Sync!$AE1388="","",IF(ISNUMBER(Sync!$AE1388),IF(AND(Sync!$AE1388&gt;=10000101,Sync!$AE1388&lt;=99991231),INT(Sync!$AE1388/10000),""),IFERROR(VALUE(TRIM(LEFT(Sync!$AE1388,FIND("/",Sync!$AE1388)-1))),""))))</f>
        <v/>
      </c>
      <c r="H1388" t="str">
        <f>IF(OR($F1388="",$G1388=""),"",IF(ISNUMBER(Sync!$AE1388),INT(MOD(Sync!$AE1388,10000)/100),IFERROR(VALUE(TRIM(LEFT(MID(Sync!$AE1388,FIND("/",Sync!$AE1388)+1,20),FIND("/",MID(Sync!$AE1388,FIND("/",Sync!$AE1388)+1,20))-1))),"")))</f>
        <v/>
      </c>
      <c r="I1388" t="str">
        <f>IF(OR($F1388="",$G1388=""),"",IF(ISNUMBER(Sync!$AE1388),MOD(Sync!$AE1388,100),IFERROR(VALUE(TRIM(MID(MID(Sync!$AE1388,FIND("/",Sync!$AE1388)+1,20),FIND("/",MID(Sync!$AE1388,FIND("/",Sync!$AE1388)+1,20))+1,20))),"")))</f>
        <v/>
      </c>
      <c r="J1388" t="str">
        <f t="shared" si="107"/>
        <v/>
      </c>
      <c r="K1388" t="str">
        <f>IF(OR($F1388="",$J1388="",$J1388="نامعتبر"),"",LEFT($J1388,4)&amp;MID($J1388,6,2)&amp;RIGHT($J1388,2)&amp;$N1388&amp;"|"&amp;"2"&amp;RIGHT("00000"&amp;1383,5))</f>
        <v/>
      </c>
      <c r="L1388" t="str">
        <f t="shared" si="108"/>
        <v/>
      </c>
      <c r="M1388" t="str">
        <f t="shared" si="109"/>
        <v/>
      </c>
      <c r="N1388" t="str">
        <f>IF($F1388="","",IF(Sync!$AF1388="","0000",IF(AND(ISNUMBER(Sync!$AF1388),Sync!$AF1388&gt;=0,Sync!$AF1388&lt;1),RIGHT("00"&amp;HOUR(Sync!$AF1388),2)&amp;RIGHT("00"&amp;MINUTE(Sync!$AF1388),2),IFERROR(RIGHT("00"&amp;VALUE(LEFT(Sync!$AF1388,FIND(":",Sync!$AF1388)-1)),2)&amp;RIGHT("00"&amp;VALUE(MID(Sync!$AF1388,FIND(":",Sync!$AF1388)+1,2)),2),"0000"))))</f>
        <v/>
      </c>
    </row>
    <row r="1389" spans="1:14" x14ac:dyDescent="0.2">
      <c r="A1389" t="str">
        <f>IF(OR(Calc!$E1393="",Calc!$E1393="نامعتبر",Calc!$G1393=""),"",Calc!$G1393)</f>
        <v/>
      </c>
      <c r="B1389" t="str">
        <f>IF($A1389="","",LEFT(Calc!$E1393,4)&amp;MID(Calc!$E1393,6,2)&amp;RIGHT(Calc!$E1393,2)&amp;Calc!$Q1393&amp;"|"&amp;"1"&amp;RIGHT("00000"&amp;1384,5))</f>
        <v/>
      </c>
      <c r="C1389" t="str">
        <f t="shared" si="105"/>
        <v/>
      </c>
      <c r="D1389" t="str">
        <f t="shared" si="106"/>
        <v/>
      </c>
      <c r="F1389" t="str">
        <f>IF(Sync!$AH1389="","",IF(LEFT(UPPER(TRIM(Sync!$AH1389)),2)="SL",UPPER(TRIM(Sync!$AH1389)),""))</f>
        <v/>
      </c>
      <c r="G1389" t="str">
        <f>IF($F1389="","",IF(Sync!$AE1389="","",IF(ISNUMBER(Sync!$AE1389),IF(AND(Sync!$AE1389&gt;=10000101,Sync!$AE1389&lt;=99991231),INT(Sync!$AE1389/10000),""),IFERROR(VALUE(TRIM(LEFT(Sync!$AE1389,FIND("/",Sync!$AE1389)-1))),""))))</f>
        <v/>
      </c>
      <c r="H1389" t="str">
        <f>IF(OR($F1389="",$G1389=""),"",IF(ISNUMBER(Sync!$AE1389),INT(MOD(Sync!$AE1389,10000)/100),IFERROR(VALUE(TRIM(LEFT(MID(Sync!$AE1389,FIND("/",Sync!$AE1389)+1,20),FIND("/",MID(Sync!$AE1389,FIND("/",Sync!$AE1389)+1,20))-1))),"")))</f>
        <v/>
      </c>
      <c r="I1389" t="str">
        <f>IF(OR($F1389="",$G1389=""),"",IF(ISNUMBER(Sync!$AE1389),MOD(Sync!$AE1389,100),IFERROR(VALUE(TRIM(MID(MID(Sync!$AE1389,FIND("/",Sync!$AE1389)+1,20),FIND("/",MID(Sync!$AE1389,FIND("/",Sync!$AE1389)+1,20))+1,20))),"")))</f>
        <v/>
      </c>
      <c r="J1389" t="str">
        <f t="shared" si="107"/>
        <v/>
      </c>
      <c r="K1389" t="str">
        <f>IF(OR($F1389="",$J1389="",$J1389="نامعتبر"),"",LEFT($J1389,4)&amp;MID($J1389,6,2)&amp;RIGHT($J1389,2)&amp;$N1389&amp;"|"&amp;"2"&amp;RIGHT("00000"&amp;1384,5))</f>
        <v/>
      </c>
      <c r="L1389" t="str">
        <f t="shared" si="108"/>
        <v/>
      </c>
      <c r="M1389" t="str">
        <f t="shared" si="109"/>
        <v/>
      </c>
      <c r="N1389" t="str">
        <f>IF($F1389="","",IF(Sync!$AF1389="","0000",IF(AND(ISNUMBER(Sync!$AF1389),Sync!$AF1389&gt;=0,Sync!$AF1389&lt;1),RIGHT("00"&amp;HOUR(Sync!$AF1389),2)&amp;RIGHT("00"&amp;MINUTE(Sync!$AF1389),2),IFERROR(RIGHT("00"&amp;VALUE(LEFT(Sync!$AF1389,FIND(":",Sync!$AF1389)-1)),2)&amp;RIGHT("00"&amp;VALUE(MID(Sync!$AF1389,FIND(":",Sync!$AF1389)+1,2)),2),"0000"))))</f>
        <v/>
      </c>
    </row>
    <row r="1390" spans="1:14" x14ac:dyDescent="0.2">
      <c r="A1390" t="str">
        <f>IF(OR(Calc!$E1394="",Calc!$E1394="نامعتبر",Calc!$G1394=""),"",Calc!$G1394)</f>
        <v/>
      </c>
      <c r="B1390" t="str">
        <f>IF($A1390="","",LEFT(Calc!$E1394,4)&amp;MID(Calc!$E1394,6,2)&amp;RIGHT(Calc!$E1394,2)&amp;Calc!$Q1394&amp;"|"&amp;"1"&amp;RIGHT("00000"&amp;1385,5))</f>
        <v/>
      </c>
      <c r="C1390" t="str">
        <f t="shared" si="105"/>
        <v/>
      </c>
      <c r="D1390" t="str">
        <f t="shared" si="106"/>
        <v/>
      </c>
      <c r="F1390" t="str">
        <f>IF(Sync!$AH1390="","",IF(LEFT(UPPER(TRIM(Sync!$AH1390)),2)="SL",UPPER(TRIM(Sync!$AH1390)),""))</f>
        <v/>
      </c>
      <c r="G1390" t="str">
        <f>IF($F1390="","",IF(Sync!$AE1390="","",IF(ISNUMBER(Sync!$AE1390),IF(AND(Sync!$AE1390&gt;=10000101,Sync!$AE1390&lt;=99991231),INT(Sync!$AE1390/10000),""),IFERROR(VALUE(TRIM(LEFT(Sync!$AE1390,FIND("/",Sync!$AE1390)-1))),""))))</f>
        <v/>
      </c>
      <c r="H1390" t="str">
        <f>IF(OR($F1390="",$G1390=""),"",IF(ISNUMBER(Sync!$AE1390),INT(MOD(Sync!$AE1390,10000)/100),IFERROR(VALUE(TRIM(LEFT(MID(Sync!$AE1390,FIND("/",Sync!$AE1390)+1,20),FIND("/",MID(Sync!$AE1390,FIND("/",Sync!$AE1390)+1,20))-1))),"")))</f>
        <v/>
      </c>
      <c r="I1390" t="str">
        <f>IF(OR($F1390="",$G1390=""),"",IF(ISNUMBER(Sync!$AE1390),MOD(Sync!$AE1390,100),IFERROR(VALUE(TRIM(MID(MID(Sync!$AE1390,FIND("/",Sync!$AE1390)+1,20),FIND("/",MID(Sync!$AE1390,FIND("/",Sync!$AE1390)+1,20))+1,20))),"")))</f>
        <v/>
      </c>
      <c r="J1390" t="str">
        <f t="shared" si="107"/>
        <v/>
      </c>
      <c r="K1390" t="str">
        <f>IF(OR($F1390="",$J1390="",$J1390="نامعتبر"),"",LEFT($J1390,4)&amp;MID($J1390,6,2)&amp;RIGHT($J1390,2)&amp;$N1390&amp;"|"&amp;"2"&amp;RIGHT("00000"&amp;1385,5))</f>
        <v/>
      </c>
      <c r="L1390" t="str">
        <f t="shared" si="108"/>
        <v/>
      </c>
      <c r="M1390" t="str">
        <f t="shared" si="109"/>
        <v/>
      </c>
      <c r="N1390" t="str">
        <f>IF($F1390="","",IF(Sync!$AF1390="","0000",IF(AND(ISNUMBER(Sync!$AF1390),Sync!$AF1390&gt;=0,Sync!$AF1390&lt;1),RIGHT("00"&amp;HOUR(Sync!$AF1390),2)&amp;RIGHT("00"&amp;MINUTE(Sync!$AF1390),2),IFERROR(RIGHT("00"&amp;VALUE(LEFT(Sync!$AF1390,FIND(":",Sync!$AF1390)-1)),2)&amp;RIGHT("00"&amp;VALUE(MID(Sync!$AF1390,FIND(":",Sync!$AF1390)+1,2)),2),"0000"))))</f>
        <v/>
      </c>
    </row>
    <row r="1391" spans="1:14" x14ac:dyDescent="0.2">
      <c r="A1391" t="str">
        <f>IF(OR(Calc!$E1395="",Calc!$E1395="نامعتبر",Calc!$G1395=""),"",Calc!$G1395)</f>
        <v/>
      </c>
      <c r="B1391" t="str">
        <f>IF($A1391="","",LEFT(Calc!$E1395,4)&amp;MID(Calc!$E1395,6,2)&amp;RIGHT(Calc!$E1395,2)&amp;Calc!$Q1395&amp;"|"&amp;"1"&amp;RIGHT("00000"&amp;1386,5))</f>
        <v/>
      </c>
      <c r="C1391" t="str">
        <f t="shared" si="105"/>
        <v/>
      </c>
      <c r="D1391" t="str">
        <f t="shared" si="106"/>
        <v/>
      </c>
      <c r="F1391" t="str">
        <f>IF(Sync!$AH1391="","",IF(LEFT(UPPER(TRIM(Sync!$AH1391)),2)="SL",UPPER(TRIM(Sync!$AH1391)),""))</f>
        <v/>
      </c>
      <c r="G1391" t="str">
        <f>IF($F1391="","",IF(Sync!$AE1391="","",IF(ISNUMBER(Sync!$AE1391),IF(AND(Sync!$AE1391&gt;=10000101,Sync!$AE1391&lt;=99991231),INT(Sync!$AE1391/10000),""),IFERROR(VALUE(TRIM(LEFT(Sync!$AE1391,FIND("/",Sync!$AE1391)-1))),""))))</f>
        <v/>
      </c>
      <c r="H1391" t="str">
        <f>IF(OR($F1391="",$G1391=""),"",IF(ISNUMBER(Sync!$AE1391),INT(MOD(Sync!$AE1391,10000)/100),IFERROR(VALUE(TRIM(LEFT(MID(Sync!$AE1391,FIND("/",Sync!$AE1391)+1,20),FIND("/",MID(Sync!$AE1391,FIND("/",Sync!$AE1391)+1,20))-1))),"")))</f>
        <v/>
      </c>
      <c r="I1391" t="str">
        <f>IF(OR($F1391="",$G1391=""),"",IF(ISNUMBER(Sync!$AE1391),MOD(Sync!$AE1391,100),IFERROR(VALUE(TRIM(MID(MID(Sync!$AE1391,FIND("/",Sync!$AE1391)+1,20),FIND("/",MID(Sync!$AE1391,FIND("/",Sync!$AE1391)+1,20))+1,20))),"")))</f>
        <v/>
      </c>
      <c r="J1391" t="str">
        <f t="shared" si="107"/>
        <v/>
      </c>
      <c r="K1391" t="str">
        <f>IF(OR($F1391="",$J1391="",$J1391="نامعتبر"),"",LEFT($J1391,4)&amp;MID($J1391,6,2)&amp;RIGHT($J1391,2)&amp;$N1391&amp;"|"&amp;"2"&amp;RIGHT("00000"&amp;1386,5))</f>
        <v/>
      </c>
      <c r="L1391" t="str">
        <f t="shared" si="108"/>
        <v/>
      </c>
      <c r="M1391" t="str">
        <f t="shared" si="109"/>
        <v/>
      </c>
      <c r="N1391" t="str">
        <f>IF($F1391="","",IF(Sync!$AF1391="","0000",IF(AND(ISNUMBER(Sync!$AF1391),Sync!$AF1391&gt;=0,Sync!$AF1391&lt;1),RIGHT("00"&amp;HOUR(Sync!$AF1391),2)&amp;RIGHT("00"&amp;MINUTE(Sync!$AF1391),2),IFERROR(RIGHT("00"&amp;VALUE(LEFT(Sync!$AF1391,FIND(":",Sync!$AF1391)-1)),2)&amp;RIGHT("00"&amp;VALUE(MID(Sync!$AF1391,FIND(":",Sync!$AF1391)+1,2)),2),"0000"))))</f>
        <v/>
      </c>
    </row>
    <row r="1392" spans="1:14" x14ac:dyDescent="0.2">
      <c r="A1392" t="str">
        <f>IF(OR(Calc!$E1396="",Calc!$E1396="نامعتبر",Calc!$G1396=""),"",Calc!$G1396)</f>
        <v/>
      </c>
      <c r="B1392" t="str">
        <f>IF($A1392="","",LEFT(Calc!$E1396,4)&amp;MID(Calc!$E1396,6,2)&amp;RIGHT(Calc!$E1396,2)&amp;Calc!$Q1396&amp;"|"&amp;"1"&amp;RIGHT("00000"&amp;1387,5))</f>
        <v/>
      </c>
      <c r="C1392" t="str">
        <f t="shared" si="105"/>
        <v/>
      </c>
      <c r="D1392" t="str">
        <f t="shared" si="106"/>
        <v/>
      </c>
      <c r="F1392" t="str">
        <f>IF(Sync!$AH1392="","",IF(LEFT(UPPER(TRIM(Sync!$AH1392)),2)="SL",UPPER(TRIM(Sync!$AH1392)),""))</f>
        <v/>
      </c>
      <c r="G1392" t="str">
        <f>IF($F1392="","",IF(Sync!$AE1392="","",IF(ISNUMBER(Sync!$AE1392),IF(AND(Sync!$AE1392&gt;=10000101,Sync!$AE1392&lt;=99991231),INT(Sync!$AE1392/10000),""),IFERROR(VALUE(TRIM(LEFT(Sync!$AE1392,FIND("/",Sync!$AE1392)-1))),""))))</f>
        <v/>
      </c>
      <c r="H1392" t="str">
        <f>IF(OR($F1392="",$G1392=""),"",IF(ISNUMBER(Sync!$AE1392),INT(MOD(Sync!$AE1392,10000)/100),IFERROR(VALUE(TRIM(LEFT(MID(Sync!$AE1392,FIND("/",Sync!$AE1392)+1,20),FIND("/",MID(Sync!$AE1392,FIND("/",Sync!$AE1392)+1,20))-1))),"")))</f>
        <v/>
      </c>
      <c r="I1392" t="str">
        <f>IF(OR($F1392="",$G1392=""),"",IF(ISNUMBER(Sync!$AE1392),MOD(Sync!$AE1392,100),IFERROR(VALUE(TRIM(MID(MID(Sync!$AE1392,FIND("/",Sync!$AE1392)+1,20),FIND("/",MID(Sync!$AE1392,FIND("/",Sync!$AE1392)+1,20))+1,20))),"")))</f>
        <v/>
      </c>
      <c r="J1392" t="str">
        <f t="shared" si="107"/>
        <v/>
      </c>
      <c r="K1392" t="str">
        <f>IF(OR($F1392="",$J1392="",$J1392="نامعتبر"),"",LEFT($J1392,4)&amp;MID($J1392,6,2)&amp;RIGHT($J1392,2)&amp;$N1392&amp;"|"&amp;"2"&amp;RIGHT("00000"&amp;1387,5))</f>
        <v/>
      </c>
      <c r="L1392" t="str">
        <f t="shared" si="108"/>
        <v/>
      </c>
      <c r="M1392" t="str">
        <f t="shared" si="109"/>
        <v/>
      </c>
      <c r="N1392" t="str">
        <f>IF($F1392="","",IF(Sync!$AF1392="","0000",IF(AND(ISNUMBER(Sync!$AF1392),Sync!$AF1392&gt;=0,Sync!$AF1392&lt;1),RIGHT("00"&amp;HOUR(Sync!$AF1392),2)&amp;RIGHT("00"&amp;MINUTE(Sync!$AF1392),2),IFERROR(RIGHT("00"&amp;VALUE(LEFT(Sync!$AF1392,FIND(":",Sync!$AF1392)-1)),2)&amp;RIGHT("00"&amp;VALUE(MID(Sync!$AF1392,FIND(":",Sync!$AF1392)+1,2)),2),"0000"))))</f>
        <v/>
      </c>
    </row>
    <row r="1393" spans="1:14" x14ac:dyDescent="0.2">
      <c r="A1393" t="str">
        <f>IF(OR(Calc!$E1397="",Calc!$E1397="نامعتبر",Calc!$G1397=""),"",Calc!$G1397)</f>
        <v/>
      </c>
      <c r="B1393" t="str">
        <f>IF($A1393="","",LEFT(Calc!$E1397,4)&amp;MID(Calc!$E1397,6,2)&amp;RIGHT(Calc!$E1397,2)&amp;Calc!$Q1397&amp;"|"&amp;"1"&amp;RIGHT("00000"&amp;1388,5))</f>
        <v/>
      </c>
      <c r="C1393" t="str">
        <f t="shared" si="105"/>
        <v/>
      </c>
      <c r="D1393" t="str">
        <f t="shared" si="106"/>
        <v/>
      </c>
      <c r="F1393" t="str">
        <f>IF(Sync!$AH1393="","",IF(LEFT(UPPER(TRIM(Sync!$AH1393)),2)="SL",UPPER(TRIM(Sync!$AH1393)),""))</f>
        <v/>
      </c>
      <c r="G1393" t="str">
        <f>IF($F1393="","",IF(Sync!$AE1393="","",IF(ISNUMBER(Sync!$AE1393),IF(AND(Sync!$AE1393&gt;=10000101,Sync!$AE1393&lt;=99991231),INT(Sync!$AE1393/10000),""),IFERROR(VALUE(TRIM(LEFT(Sync!$AE1393,FIND("/",Sync!$AE1393)-1))),""))))</f>
        <v/>
      </c>
      <c r="H1393" t="str">
        <f>IF(OR($F1393="",$G1393=""),"",IF(ISNUMBER(Sync!$AE1393),INT(MOD(Sync!$AE1393,10000)/100),IFERROR(VALUE(TRIM(LEFT(MID(Sync!$AE1393,FIND("/",Sync!$AE1393)+1,20),FIND("/",MID(Sync!$AE1393,FIND("/",Sync!$AE1393)+1,20))-1))),"")))</f>
        <v/>
      </c>
      <c r="I1393" t="str">
        <f>IF(OR($F1393="",$G1393=""),"",IF(ISNUMBER(Sync!$AE1393),MOD(Sync!$AE1393,100),IFERROR(VALUE(TRIM(MID(MID(Sync!$AE1393,FIND("/",Sync!$AE1393)+1,20),FIND("/",MID(Sync!$AE1393,FIND("/",Sync!$AE1393)+1,20))+1,20))),"")))</f>
        <v/>
      </c>
      <c r="J1393" t="str">
        <f t="shared" si="107"/>
        <v/>
      </c>
      <c r="K1393" t="str">
        <f>IF(OR($F1393="",$J1393="",$J1393="نامعتبر"),"",LEFT($J1393,4)&amp;MID($J1393,6,2)&amp;RIGHT($J1393,2)&amp;$N1393&amp;"|"&amp;"2"&amp;RIGHT("00000"&amp;1388,5))</f>
        <v/>
      </c>
      <c r="L1393" t="str">
        <f t="shared" si="108"/>
        <v/>
      </c>
      <c r="M1393" t="str">
        <f t="shared" si="109"/>
        <v/>
      </c>
      <c r="N1393" t="str">
        <f>IF($F1393="","",IF(Sync!$AF1393="","0000",IF(AND(ISNUMBER(Sync!$AF1393),Sync!$AF1393&gt;=0,Sync!$AF1393&lt;1),RIGHT("00"&amp;HOUR(Sync!$AF1393),2)&amp;RIGHT("00"&amp;MINUTE(Sync!$AF1393),2),IFERROR(RIGHT("00"&amp;VALUE(LEFT(Sync!$AF1393,FIND(":",Sync!$AF1393)-1)),2)&amp;RIGHT("00"&amp;VALUE(MID(Sync!$AF1393,FIND(":",Sync!$AF1393)+1,2)),2),"0000"))))</f>
        <v/>
      </c>
    </row>
    <row r="1394" spans="1:14" x14ac:dyDescent="0.2">
      <c r="A1394" t="str">
        <f>IF(OR(Calc!$E1398="",Calc!$E1398="نامعتبر",Calc!$G1398=""),"",Calc!$G1398)</f>
        <v/>
      </c>
      <c r="B1394" t="str">
        <f>IF($A1394="","",LEFT(Calc!$E1398,4)&amp;MID(Calc!$E1398,6,2)&amp;RIGHT(Calc!$E1398,2)&amp;Calc!$Q1398&amp;"|"&amp;"1"&amp;RIGHT("00000"&amp;1389,5))</f>
        <v/>
      </c>
      <c r="C1394" t="str">
        <f t="shared" si="105"/>
        <v/>
      </c>
      <c r="D1394" t="str">
        <f t="shared" si="106"/>
        <v/>
      </c>
      <c r="F1394" t="str">
        <f>IF(Sync!$AH1394="","",IF(LEFT(UPPER(TRIM(Sync!$AH1394)),2)="SL",UPPER(TRIM(Sync!$AH1394)),""))</f>
        <v/>
      </c>
      <c r="G1394" t="str">
        <f>IF($F1394="","",IF(Sync!$AE1394="","",IF(ISNUMBER(Sync!$AE1394),IF(AND(Sync!$AE1394&gt;=10000101,Sync!$AE1394&lt;=99991231),INT(Sync!$AE1394/10000),""),IFERROR(VALUE(TRIM(LEFT(Sync!$AE1394,FIND("/",Sync!$AE1394)-1))),""))))</f>
        <v/>
      </c>
      <c r="H1394" t="str">
        <f>IF(OR($F1394="",$G1394=""),"",IF(ISNUMBER(Sync!$AE1394),INT(MOD(Sync!$AE1394,10000)/100),IFERROR(VALUE(TRIM(LEFT(MID(Sync!$AE1394,FIND("/",Sync!$AE1394)+1,20),FIND("/",MID(Sync!$AE1394,FIND("/",Sync!$AE1394)+1,20))-1))),"")))</f>
        <v/>
      </c>
      <c r="I1394" t="str">
        <f>IF(OR($F1394="",$G1394=""),"",IF(ISNUMBER(Sync!$AE1394),MOD(Sync!$AE1394,100),IFERROR(VALUE(TRIM(MID(MID(Sync!$AE1394,FIND("/",Sync!$AE1394)+1,20),FIND("/",MID(Sync!$AE1394,FIND("/",Sync!$AE1394)+1,20))+1,20))),"")))</f>
        <v/>
      </c>
      <c r="J1394" t="str">
        <f t="shared" si="107"/>
        <v/>
      </c>
      <c r="K1394" t="str">
        <f>IF(OR($F1394="",$J1394="",$J1394="نامعتبر"),"",LEFT($J1394,4)&amp;MID($J1394,6,2)&amp;RIGHT($J1394,2)&amp;$N1394&amp;"|"&amp;"2"&amp;RIGHT("00000"&amp;1389,5))</f>
        <v/>
      </c>
      <c r="L1394" t="str">
        <f t="shared" si="108"/>
        <v/>
      </c>
      <c r="M1394" t="str">
        <f t="shared" si="109"/>
        <v/>
      </c>
      <c r="N1394" t="str">
        <f>IF($F1394="","",IF(Sync!$AF1394="","0000",IF(AND(ISNUMBER(Sync!$AF1394),Sync!$AF1394&gt;=0,Sync!$AF1394&lt;1),RIGHT("00"&amp;HOUR(Sync!$AF1394),2)&amp;RIGHT("00"&amp;MINUTE(Sync!$AF1394),2),IFERROR(RIGHT("00"&amp;VALUE(LEFT(Sync!$AF1394,FIND(":",Sync!$AF1394)-1)),2)&amp;RIGHT("00"&amp;VALUE(MID(Sync!$AF1394,FIND(":",Sync!$AF1394)+1,2)),2),"0000"))))</f>
        <v/>
      </c>
    </row>
    <row r="1395" spans="1:14" x14ac:dyDescent="0.2">
      <c r="A1395" t="str">
        <f>IF(OR(Calc!$E1399="",Calc!$E1399="نامعتبر",Calc!$G1399=""),"",Calc!$G1399)</f>
        <v/>
      </c>
      <c r="B1395" t="str">
        <f>IF($A1395="","",LEFT(Calc!$E1399,4)&amp;MID(Calc!$E1399,6,2)&amp;RIGHT(Calc!$E1399,2)&amp;Calc!$Q1399&amp;"|"&amp;"1"&amp;RIGHT("00000"&amp;1390,5))</f>
        <v/>
      </c>
      <c r="C1395" t="str">
        <f t="shared" si="105"/>
        <v/>
      </c>
      <c r="D1395" t="str">
        <f t="shared" si="106"/>
        <v/>
      </c>
      <c r="F1395" t="str">
        <f>IF(Sync!$AH1395="","",IF(LEFT(UPPER(TRIM(Sync!$AH1395)),2)="SL",UPPER(TRIM(Sync!$AH1395)),""))</f>
        <v/>
      </c>
      <c r="G1395" t="str">
        <f>IF($F1395="","",IF(Sync!$AE1395="","",IF(ISNUMBER(Sync!$AE1395),IF(AND(Sync!$AE1395&gt;=10000101,Sync!$AE1395&lt;=99991231),INT(Sync!$AE1395/10000),""),IFERROR(VALUE(TRIM(LEFT(Sync!$AE1395,FIND("/",Sync!$AE1395)-1))),""))))</f>
        <v/>
      </c>
      <c r="H1395" t="str">
        <f>IF(OR($F1395="",$G1395=""),"",IF(ISNUMBER(Sync!$AE1395),INT(MOD(Sync!$AE1395,10000)/100),IFERROR(VALUE(TRIM(LEFT(MID(Sync!$AE1395,FIND("/",Sync!$AE1395)+1,20),FIND("/",MID(Sync!$AE1395,FIND("/",Sync!$AE1395)+1,20))-1))),"")))</f>
        <v/>
      </c>
      <c r="I1395" t="str">
        <f>IF(OR($F1395="",$G1395=""),"",IF(ISNUMBER(Sync!$AE1395),MOD(Sync!$AE1395,100),IFERROR(VALUE(TRIM(MID(MID(Sync!$AE1395,FIND("/",Sync!$AE1395)+1,20),FIND("/",MID(Sync!$AE1395,FIND("/",Sync!$AE1395)+1,20))+1,20))),"")))</f>
        <v/>
      </c>
      <c r="J1395" t="str">
        <f t="shared" si="107"/>
        <v/>
      </c>
      <c r="K1395" t="str">
        <f>IF(OR($F1395="",$J1395="",$J1395="نامعتبر"),"",LEFT($J1395,4)&amp;MID($J1395,6,2)&amp;RIGHT($J1395,2)&amp;$N1395&amp;"|"&amp;"2"&amp;RIGHT("00000"&amp;1390,5))</f>
        <v/>
      </c>
      <c r="L1395" t="str">
        <f t="shared" si="108"/>
        <v/>
      </c>
      <c r="M1395" t="str">
        <f t="shared" si="109"/>
        <v/>
      </c>
      <c r="N1395" t="str">
        <f>IF($F1395="","",IF(Sync!$AF1395="","0000",IF(AND(ISNUMBER(Sync!$AF1395),Sync!$AF1395&gt;=0,Sync!$AF1395&lt;1),RIGHT("00"&amp;HOUR(Sync!$AF1395),2)&amp;RIGHT("00"&amp;MINUTE(Sync!$AF1395),2),IFERROR(RIGHT("00"&amp;VALUE(LEFT(Sync!$AF1395,FIND(":",Sync!$AF1395)-1)),2)&amp;RIGHT("00"&amp;VALUE(MID(Sync!$AF1395,FIND(":",Sync!$AF1395)+1,2)),2),"0000"))))</f>
        <v/>
      </c>
    </row>
    <row r="1396" spans="1:14" x14ac:dyDescent="0.2">
      <c r="A1396" t="str">
        <f>IF(OR(Calc!$E1400="",Calc!$E1400="نامعتبر",Calc!$G1400=""),"",Calc!$G1400)</f>
        <v/>
      </c>
      <c r="B1396" t="str">
        <f>IF($A1396="","",LEFT(Calc!$E1400,4)&amp;MID(Calc!$E1400,6,2)&amp;RIGHT(Calc!$E1400,2)&amp;Calc!$Q1400&amp;"|"&amp;"1"&amp;RIGHT("00000"&amp;1391,5))</f>
        <v/>
      </c>
      <c r="C1396" t="str">
        <f t="shared" si="105"/>
        <v/>
      </c>
      <c r="D1396" t="str">
        <f t="shared" si="106"/>
        <v/>
      </c>
      <c r="F1396" t="str">
        <f>IF(Sync!$AH1396="","",IF(LEFT(UPPER(TRIM(Sync!$AH1396)),2)="SL",UPPER(TRIM(Sync!$AH1396)),""))</f>
        <v/>
      </c>
      <c r="G1396" t="str">
        <f>IF($F1396="","",IF(Sync!$AE1396="","",IF(ISNUMBER(Sync!$AE1396),IF(AND(Sync!$AE1396&gt;=10000101,Sync!$AE1396&lt;=99991231),INT(Sync!$AE1396/10000),""),IFERROR(VALUE(TRIM(LEFT(Sync!$AE1396,FIND("/",Sync!$AE1396)-1))),""))))</f>
        <v/>
      </c>
      <c r="H1396" t="str">
        <f>IF(OR($F1396="",$G1396=""),"",IF(ISNUMBER(Sync!$AE1396),INT(MOD(Sync!$AE1396,10000)/100),IFERROR(VALUE(TRIM(LEFT(MID(Sync!$AE1396,FIND("/",Sync!$AE1396)+1,20),FIND("/",MID(Sync!$AE1396,FIND("/",Sync!$AE1396)+1,20))-1))),"")))</f>
        <v/>
      </c>
      <c r="I1396" t="str">
        <f>IF(OR($F1396="",$G1396=""),"",IF(ISNUMBER(Sync!$AE1396),MOD(Sync!$AE1396,100),IFERROR(VALUE(TRIM(MID(MID(Sync!$AE1396,FIND("/",Sync!$AE1396)+1,20),FIND("/",MID(Sync!$AE1396,FIND("/",Sync!$AE1396)+1,20))+1,20))),"")))</f>
        <v/>
      </c>
      <c r="J1396" t="str">
        <f t="shared" si="107"/>
        <v/>
      </c>
      <c r="K1396" t="str">
        <f>IF(OR($F1396="",$J1396="",$J1396="نامعتبر"),"",LEFT($J1396,4)&amp;MID($J1396,6,2)&amp;RIGHT($J1396,2)&amp;$N1396&amp;"|"&amp;"2"&amp;RIGHT("00000"&amp;1391,5))</f>
        <v/>
      </c>
      <c r="L1396" t="str">
        <f t="shared" si="108"/>
        <v/>
      </c>
      <c r="M1396" t="str">
        <f t="shared" si="109"/>
        <v/>
      </c>
      <c r="N1396" t="str">
        <f>IF($F1396="","",IF(Sync!$AF1396="","0000",IF(AND(ISNUMBER(Sync!$AF1396),Sync!$AF1396&gt;=0,Sync!$AF1396&lt;1),RIGHT("00"&amp;HOUR(Sync!$AF1396),2)&amp;RIGHT("00"&amp;MINUTE(Sync!$AF1396),2),IFERROR(RIGHT("00"&amp;VALUE(LEFT(Sync!$AF1396,FIND(":",Sync!$AF1396)-1)),2)&amp;RIGHT("00"&amp;VALUE(MID(Sync!$AF1396,FIND(":",Sync!$AF1396)+1,2)),2),"0000"))))</f>
        <v/>
      </c>
    </row>
    <row r="1397" spans="1:14" x14ac:dyDescent="0.2">
      <c r="A1397" t="str">
        <f>IF(OR(Calc!$E1401="",Calc!$E1401="نامعتبر",Calc!$G1401=""),"",Calc!$G1401)</f>
        <v/>
      </c>
      <c r="B1397" t="str">
        <f>IF($A1397="","",LEFT(Calc!$E1401,4)&amp;MID(Calc!$E1401,6,2)&amp;RIGHT(Calc!$E1401,2)&amp;Calc!$Q1401&amp;"|"&amp;"1"&amp;RIGHT("00000"&amp;1392,5))</f>
        <v/>
      </c>
      <c r="C1397" t="str">
        <f t="shared" si="105"/>
        <v/>
      </c>
      <c r="D1397" t="str">
        <f t="shared" si="106"/>
        <v/>
      </c>
      <c r="F1397" t="str">
        <f>IF(Sync!$AH1397="","",IF(LEFT(UPPER(TRIM(Sync!$AH1397)),2)="SL",UPPER(TRIM(Sync!$AH1397)),""))</f>
        <v/>
      </c>
      <c r="G1397" t="str">
        <f>IF($F1397="","",IF(Sync!$AE1397="","",IF(ISNUMBER(Sync!$AE1397),IF(AND(Sync!$AE1397&gt;=10000101,Sync!$AE1397&lt;=99991231),INT(Sync!$AE1397/10000),""),IFERROR(VALUE(TRIM(LEFT(Sync!$AE1397,FIND("/",Sync!$AE1397)-1))),""))))</f>
        <v/>
      </c>
      <c r="H1397" t="str">
        <f>IF(OR($F1397="",$G1397=""),"",IF(ISNUMBER(Sync!$AE1397),INT(MOD(Sync!$AE1397,10000)/100),IFERROR(VALUE(TRIM(LEFT(MID(Sync!$AE1397,FIND("/",Sync!$AE1397)+1,20),FIND("/",MID(Sync!$AE1397,FIND("/",Sync!$AE1397)+1,20))-1))),"")))</f>
        <v/>
      </c>
      <c r="I1397" t="str">
        <f>IF(OR($F1397="",$G1397=""),"",IF(ISNUMBER(Sync!$AE1397),MOD(Sync!$AE1397,100),IFERROR(VALUE(TRIM(MID(MID(Sync!$AE1397,FIND("/",Sync!$AE1397)+1,20),FIND("/",MID(Sync!$AE1397,FIND("/",Sync!$AE1397)+1,20))+1,20))),"")))</f>
        <v/>
      </c>
      <c r="J1397" t="str">
        <f t="shared" si="107"/>
        <v/>
      </c>
      <c r="K1397" t="str">
        <f>IF(OR($F1397="",$J1397="",$J1397="نامعتبر"),"",LEFT($J1397,4)&amp;MID($J1397,6,2)&amp;RIGHT($J1397,2)&amp;$N1397&amp;"|"&amp;"2"&amp;RIGHT("00000"&amp;1392,5))</f>
        <v/>
      </c>
      <c r="L1397" t="str">
        <f t="shared" si="108"/>
        <v/>
      </c>
      <c r="M1397" t="str">
        <f t="shared" si="109"/>
        <v/>
      </c>
      <c r="N1397" t="str">
        <f>IF($F1397="","",IF(Sync!$AF1397="","0000",IF(AND(ISNUMBER(Sync!$AF1397),Sync!$AF1397&gt;=0,Sync!$AF1397&lt;1),RIGHT("00"&amp;HOUR(Sync!$AF1397),2)&amp;RIGHT("00"&amp;MINUTE(Sync!$AF1397),2),IFERROR(RIGHT("00"&amp;VALUE(LEFT(Sync!$AF1397,FIND(":",Sync!$AF1397)-1)),2)&amp;RIGHT("00"&amp;VALUE(MID(Sync!$AF1397,FIND(":",Sync!$AF1397)+1,2)),2),"0000"))))</f>
        <v/>
      </c>
    </row>
    <row r="1398" spans="1:14" x14ac:dyDescent="0.2">
      <c r="A1398" t="str">
        <f>IF(OR(Calc!$E1402="",Calc!$E1402="نامعتبر",Calc!$G1402=""),"",Calc!$G1402)</f>
        <v/>
      </c>
      <c r="B1398" t="str">
        <f>IF($A1398="","",LEFT(Calc!$E1402,4)&amp;MID(Calc!$E1402,6,2)&amp;RIGHT(Calc!$E1402,2)&amp;Calc!$Q1402&amp;"|"&amp;"1"&amp;RIGHT("00000"&amp;1393,5))</f>
        <v/>
      </c>
      <c r="C1398" t="str">
        <f t="shared" si="105"/>
        <v/>
      </c>
      <c r="D1398" t="str">
        <f t="shared" si="106"/>
        <v/>
      </c>
      <c r="F1398" t="str">
        <f>IF(Sync!$AH1398="","",IF(LEFT(UPPER(TRIM(Sync!$AH1398)),2)="SL",UPPER(TRIM(Sync!$AH1398)),""))</f>
        <v/>
      </c>
      <c r="G1398" t="str">
        <f>IF($F1398="","",IF(Sync!$AE1398="","",IF(ISNUMBER(Sync!$AE1398),IF(AND(Sync!$AE1398&gt;=10000101,Sync!$AE1398&lt;=99991231),INT(Sync!$AE1398/10000),""),IFERROR(VALUE(TRIM(LEFT(Sync!$AE1398,FIND("/",Sync!$AE1398)-1))),""))))</f>
        <v/>
      </c>
      <c r="H1398" t="str">
        <f>IF(OR($F1398="",$G1398=""),"",IF(ISNUMBER(Sync!$AE1398),INT(MOD(Sync!$AE1398,10000)/100),IFERROR(VALUE(TRIM(LEFT(MID(Sync!$AE1398,FIND("/",Sync!$AE1398)+1,20),FIND("/",MID(Sync!$AE1398,FIND("/",Sync!$AE1398)+1,20))-1))),"")))</f>
        <v/>
      </c>
      <c r="I1398" t="str">
        <f>IF(OR($F1398="",$G1398=""),"",IF(ISNUMBER(Sync!$AE1398),MOD(Sync!$AE1398,100),IFERROR(VALUE(TRIM(MID(MID(Sync!$AE1398,FIND("/",Sync!$AE1398)+1,20),FIND("/",MID(Sync!$AE1398,FIND("/",Sync!$AE1398)+1,20))+1,20))),"")))</f>
        <v/>
      </c>
      <c r="J1398" t="str">
        <f t="shared" si="107"/>
        <v/>
      </c>
      <c r="K1398" t="str">
        <f>IF(OR($F1398="",$J1398="",$J1398="نامعتبر"),"",LEFT($J1398,4)&amp;MID($J1398,6,2)&amp;RIGHT($J1398,2)&amp;$N1398&amp;"|"&amp;"2"&amp;RIGHT("00000"&amp;1393,5))</f>
        <v/>
      </c>
      <c r="L1398" t="str">
        <f t="shared" si="108"/>
        <v/>
      </c>
      <c r="M1398" t="str">
        <f t="shared" si="109"/>
        <v/>
      </c>
      <c r="N1398" t="str">
        <f>IF($F1398="","",IF(Sync!$AF1398="","0000",IF(AND(ISNUMBER(Sync!$AF1398),Sync!$AF1398&gt;=0,Sync!$AF1398&lt;1),RIGHT("00"&amp;HOUR(Sync!$AF1398),2)&amp;RIGHT("00"&amp;MINUTE(Sync!$AF1398),2),IFERROR(RIGHT("00"&amp;VALUE(LEFT(Sync!$AF1398,FIND(":",Sync!$AF1398)-1)),2)&amp;RIGHT("00"&amp;VALUE(MID(Sync!$AF1398,FIND(":",Sync!$AF1398)+1,2)),2),"0000"))))</f>
        <v/>
      </c>
    </row>
    <row r="1399" spans="1:14" x14ac:dyDescent="0.2">
      <c r="A1399" t="str">
        <f>IF(OR(Calc!$E1403="",Calc!$E1403="نامعتبر",Calc!$G1403=""),"",Calc!$G1403)</f>
        <v/>
      </c>
      <c r="B1399" t="str">
        <f>IF($A1399="","",LEFT(Calc!$E1403,4)&amp;MID(Calc!$E1403,6,2)&amp;RIGHT(Calc!$E1403,2)&amp;Calc!$Q1403&amp;"|"&amp;"1"&amp;RIGHT("00000"&amp;1394,5))</f>
        <v/>
      </c>
      <c r="C1399" t="str">
        <f t="shared" si="105"/>
        <v/>
      </c>
      <c r="D1399" t="str">
        <f t="shared" si="106"/>
        <v/>
      </c>
      <c r="F1399" t="str">
        <f>IF(Sync!$AH1399="","",IF(LEFT(UPPER(TRIM(Sync!$AH1399)),2)="SL",UPPER(TRIM(Sync!$AH1399)),""))</f>
        <v/>
      </c>
      <c r="G1399" t="str">
        <f>IF($F1399="","",IF(Sync!$AE1399="","",IF(ISNUMBER(Sync!$AE1399),IF(AND(Sync!$AE1399&gt;=10000101,Sync!$AE1399&lt;=99991231),INT(Sync!$AE1399/10000),""),IFERROR(VALUE(TRIM(LEFT(Sync!$AE1399,FIND("/",Sync!$AE1399)-1))),""))))</f>
        <v/>
      </c>
      <c r="H1399" t="str">
        <f>IF(OR($F1399="",$G1399=""),"",IF(ISNUMBER(Sync!$AE1399),INT(MOD(Sync!$AE1399,10000)/100),IFERROR(VALUE(TRIM(LEFT(MID(Sync!$AE1399,FIND("/",Sync!$AE1399)+1,20),FIND("/",MID(Sync!$AE1399,FIND("/",Sync!$AE1399)+1,20))-1))),"")))</f>
        <v/>
      </c>
      <c r="I1399" t="str">
        <f>IF(OR($F1399="",$G1399=""),"",IF(ISNUMBER(Sync!$AE1399),MOD(Sync!$AE1399,100),IFERROR(VALUE(TRIM(MID(MID(Sync!$AE1399,FIND("/",Sync!$AE1399)+1,20),FIND("/",MID(Sync!$AE1399,FIND("/",Sync!$AE1399)+1,20))+1,20))),"")))</f>
        <v/>
      </c>
      <c r="J1399" t="str">
        <f t="shared" si="107"/>
        <v/>
      </c>
      <c r="K1399" t="str">
        <f>IF(OR($F1399="",$J1399="",$J1399="نامعتبر"),"",LEFT($J1399,4)&amp;MID($J1399,6,2)&amp;RIGHT($J1399,2)&amp;$N1399&amp;"|"&amp;"2"&amp;RIGHT("00000"&amp;1394,5))</f>
        <v/>
      </c>
      <c r="L1399" t="str">
        <f t="shared" si="108"/>
        <v/>
      </c>
      <c r="M1399" t="str">
        <f t="shared" si="109"/>
        <v/>
      </c>
      <c r="N1399" t="str">
        <f>IF($F1399="","",IF(Sync!$AF1399="","0000",IF(AND(ISNUMBER(Sync!$AF1399),Sync!$AF1399&gt;=0,Sync!$AF1399&lt;1),RIGHT("00"&amp;HOUR(Sync!$AF1399),2)&amp;RIGHT("00"&amp;MINUTE(Sync!$AF1399),2),IFERROR(RIGHT("00"&amp;VALUE(LEFT(Sync!$AF1399,FIND(":",Sync!$AF1399)-1)),2)&amp;RIGHT("00"&amp;VALUE(MID(Sync!$AF1399,FIND(":",Sync!$AF1399)+1,2)),2),"0000"))))</f>
        <v/>
      </c>
    </row>
    <row r="1400" spans="1:14" x14ac:dyDescent="0.2">
      <c r="A1400" t="str">
        <f>IF(OR(Calc!$E1404="",Calc!$E1404="نامعتبر",Calc!$G1404=""),"",Calc!$G1404)</f>
        <v/>
      </c>
      <c r="B1400" t="str">
        <f>IF($A1400="","",LEFT(Calc!$E1404,4)&amp;MID(Calc!$E1404,6,2)&amp;RIGHT(Calc!$E1404,2)&amp;Calc!$Q1404&amp;"|"&amp;"1"&amp;RIGHT("00000"&amp;1395,5))</f>
        <v/>
      </c>
      <c r="C1400" t="str">
        <f t="shared" si="105"/>
        <v/>
      </c>
      <c r="D1400" t="str">
        <f t="shared" si="106"/>
        <v/>
      </c>
      <c r="F1400" t="str">
        <f>IF(Sync!$AH1400="","",IF(LEFT(UPPER(TRIM(Sync!$AH1400)),2)="SL",UPPER(TRIM(Sync!$AH1400)),""))</f>
        <v/>
      </c>
      <c r="G1400" t="str">
        <f>IF($F1400="","",IF(Sync!$AE1400="","",IF(ISNUMBER(Sync!$AE1400),IF(AND(Sync!$AE1400&gt;=10000101,Sync!$AE1400&lt;=99991231),INT(Sync!$AE1400/10000),""),IFERROR(VALUE(TRIM(LEFT(Sync!$AE1400,FIND("/",Sync!$AE1400)-1))),""))))</f>
        <v/>
      </c>
      <c r="H1400" t="str">
        <f>IF(OR($F1400="",$G1400=""),"",IF(ISNUMBER(Sync!$AE1400),INT(MOD(Sync!$AE1400,10000)/100),IFERROR(VALUE(TRIM(LEFT(MID(Sync!$AE1400,FIND("/",Sync!$AE1400)+1,20),FIND("/",MID(Sync!$AE1400,FIND("/",Sync!$AE1400)+1,20))-1))),"")))</f>
        <v/>
      </c>
      <c r="I1400" t="str">
        <f>IF(OR($F1400="",$G1400=""),"",IF(ISNUMBER(Sync!$AE1400),MOD(Sync!$AE1400,100),IFERROR(VALUE(TRIM(MID(MID(Sync!$AE1400,FIND("/",Sync!$AE1400)+1,20),FIND("/",MID(Sync!$AE1400,FIND("/",Sync!$AE1400)+1,20))+1,20))),"")))</f>
        <v/>
      </c>
      <c r="J1400" t="str">
        <f t="shared" si="107"/>
        <v/>
      </c>
      <c r="K1400" t="str">
        <f>IF(OR($F1400="",$J1400="",$J1400="نامعتبر"),"",LEFT($J1400,4)&amp;MID($J1400,6,2)&amp;RIGHT($J1400,2)&amp;$N1400&amp;"|"&amp;"2"&amp;RIGHT("00000"&amp;1395,5))</f>
        <v/>
      </c>
      <c r="L1400" t="str">
        <f t="shared" si="108"/>
        <v/>
      </c>
      <c r="M1400" t="str">
        <f t="shared" si="109"/>
        <v/>
      </c>
      <c r="N1400" t="str">
        <f>IF($F1400="","",IF(Sync!$AF1400="","0000",IF(AND(ISNUMBER(Sync!$AF1400),Sync!$AF1400&gt;=0,Sync!$AF1400&lt;1),RIGHT("00"&amp;HOUR(Sync!$AF1400),2)&amp;RIGHT("00"&amp;MINUTE(Sync!$AF1400),2),IFERROR(RIGHT("00"&amp;VALUE(LEFT(Sync!$AF1400,FIND(":",Sync!$AF1400)-1)),2)&amp;RIGHT("00"&amp;VALUE(MID(Sync!$AF1400,FIND(":",Sync!$AF1400)+1,2)),2),"0000"))))</f>
        <v/>
      </c>
    </row>
    <row r="1401" spans="1:14" x14ac:dyDescent="0.2">
      <c r="A1401" t="str">
        <f>IF(OR(Calc!$E1405="",Calc!$E1405="نامعتبر",Calc!$G1405=""),"",Calc!$G1405)</f>
        <v/>
      </c>
      <c r="B1401" t="str">
        <f>IF($A1401="","",LEFT(Calc!$E1405,4)&amp;MID(Calc!$E1405,6,2)&amp;RIGHT(Calc!$E1405,2)&amp;Calc!$Q1405&amp;"|"&amp;"1"&amp;RIGHT("00000"&amp;1396,5))</f>
        <v/>
      </c>
      <c r="C1401" t="str">
        <f t="shared" si="105"/>
        <v/>
      </c>
      <c r="D1401" t="str">
        <f t="shared" si="106"/>
        <v/>
      </c>
      <c r="F1401" t="str">
        <f>IF(Sync!$AH1401="","",IF(LEFT(UPPER(TRIM(Sync!$AH1401)),2)="SL",UPPER(TRIM(Sync!$AH1401)),""))</f>
        <v/>
      </c>
      <c r="G1401" t="str">
        <f>IF($F1401="","",IF(Sync!$AE1401="","",IF(ISNUMBER(Sync!$AE1401),IF(AND(Sync!$AE1401&gt;=10000101,Sync!$AE1401&lt;=99991231),INT(Sync!$AE1401/10000),""),IFERROR(VALUE(TRIM(LEFT(Sync!$AE1401,FIND("/",Sync!$AE1401)-1))),""))))</f>
        <v/>
      </c>
      <c r="H1401" t="str">
        <f>IF(OR($F1401="",$G1401=""),"",IF(ISNUMBER(Sync!$AE1401),INT(MOD(Sync!$AE1401,10000)/100),IFERROR(VALUE(TRIM(LEFT(MID(Sync!$AE1401,FIND("/",Sync!$AE1401)+1,20),FIND("/",MID(Sync!$AE1401,FIND("/",Sync!$AE1401)+1,20))-1))),"")))</f>
        <v/>
      </c>
      <c r="I1401" t="str">
        <f>IF(OR($F1401="",$G1401=""),"",IF(ISNUMBER(Sync!$AE1401),MOD(Sync!$AE1401,100),IFERROR(VALUE(TRIM(MID(MID(Sync!$AE1401,FIND("/",Sync!$AE1401)+1,20),FIND("/",MID(Sync!$AE1401,FIND("/",Sync!$AE1401)+1,20))+1,20))),"")))</f>
        <v/>
      </c>
      <c r="J1401" t="str">
        <f t="shared" si="107"/>
        <v/>
      </c>
      <c r="K1401" t="str">
        <f>IF(OR($F1401="",$J1401="",$J1401="نامعتبر"),"",LEFT($J1401,4)&amp;MID($J1401,6,2)&amp;RIGHT($J1401,2)&amp;$N1401&amp;"|"&amp;"2"&amp;RIGHT("00000"&amp;1396,5))</f>
        <v/>
      </c>
      <c r="L1401" t="str">
        <f t="shared" si="108"/>
        <v/>
      </c>
      <c r="M1401" t="str">
        <f t="shared" si="109"/>
        <v/>
      </c>
      <c r="N1401" t="str">
        <f>IF($F1401="","",IF(Sync!$AF1401="","0000",IF(AND(ISNUMBER(Sync!$AF1401),Sync!$AF1401&gt;=0,Sync!$AF1401&lt;1),RIGHT("00"&amp;HOUR(Sync!$AF1401),2)&amp;RIGHT("00"&amp;MINUTE(Sync!$AF1401),2),IFERROR(RIGHT("00"&amp;VALUE(LEFT(Sync!$AF1401,FIND(":",Sync!$AF1401)-1)),2)&amp;RIGHT("00"&amp;VALUE(MID(Sync!$AF1401,FIND(":",Sync!$AF1401)+1,2)),2),"0000"))))</f>
        <v/>
      </c>
    </row>
    <row r="1402" spans="1:14" x14ac:dyDescent="0.2">
      <c r="A1402" t="str">
        <f>IF(OR(Calc!$E1406="",Calc!$E1406="نامعتبر",Calc!$G1406=""),"",Calc!$G1406)</f>
        <v/>
      </c>
      <c r="B1402" t="str">
        <f>IF($A1402="","",LEFT(Calc!$E1406,4)&amp;MID(Calc!$E1406,6,2)&amp;RIGHT(Calc!$E1406,2)&amp;Calc!$Q1406&amp;"|"&amp;"1"&amp;RIGHT("00000"&amp;1397,5))</f>
        <v/>
      </c>
      <c r="C1402" t="str">
        <f t="shared" si="105"/>
        <v/>
      </c>
      <c r="D1402" t="str">
        <f t="shared" si="106"/>
        <v/>
      </c>
      <c r="F1402" t="str">
        <f>IF(Sync!$AH1402="","",IF(LEFT(UPPER(TRIM(Sync!$AH1402)),2)="SL",UPPER(TRIM(Sync!$AH1402)),""))</f>
        <v/>
      </c>
      <c r="G1402" t="str">
        <f>IF($F1402="","",IF(Sync!$AE1402="","",IF(ISNUMBER(Sync!$AE1402),IF(AND(Sync!$AE1402&gt;=10000101,Sync!$AE1402&lt;=99991231),INT(Sync!$AE1402/10000),""),IFERROR(VALUE(TRIM(LEFT(Sync!$AE1402,FIND("/",Sync!$AE1402)-1))),""))))</f>
        <v/>
      </c>
      <c r="H1402" t="str">
        <f>IF(OR($F1402="",$G1402=""),"",IF(ISNUMBER(Sync!$AE1402),INT(MOD(Sync!$AE1402,10000)/100),IFERROR(VALUE(TRIM(LEFT(MID(Sync!$AE1402,FIND("/",Sync!$AE1402)+1,20),FIND("/",MID(Sync!$AE1402,FIND("/",Sync!$AE1402)+1,20))-1))),"")))</f>
        <v/>
      </c>
      <c r="I1402" t="str">
        <f>IF(OR($F1402="",$G1402=""),"",IF(ISNUMBER(Sync!$AE1402),MOD(Sync!$AE1402,100),IFERROR(VALUE(TRIM(MID(MID(Sync!$AE1402,FIND("/",Sync!$AE1402)+1,20),FIND("/",MID(Sync!$AE1402,FIND("/",Sync!$AE1402)+1,20))+1,20))),"")))</f>
        <v/>
      </c>
      <c r="J1402" t="str">
        <f t="shared" si="107"/>
        <v/>
      </c>
      <c r="K1402" t="str">
        <f>IF(OR($F1402="",$J1402="",$J1402="نامعتبر"),"",LEFT($J1402,4)&amp;MID($J1402,6,2)&amp;RIGHT($J1402,2)&amp;$N1402&amp;"|"&amp;"2"&amp;RIGHT("00000"&amp;1397,5))</f>
        <v/>
      </c>
      <c r="L1402" t="str">
        <f t="shared" si="108"/>
        <v/>
      </c>
      <c r="M1402" t="str">
        <f t="shared" si="109"/>
        <v/>
      </c>
      <c r="N1402" t="str">
        <f>IF($F1402="","",IF(Sync!$AF1402="","0000",IF(AND(ISNUMBER(Sync!$AF1402),Sync!$AF1402&gt;=0,Sync!$AF1402&lt;1),RIGHT("00"&amp;HOUR(Sync!$AF1402),2)&amp;RIGHT("00"&amp;MINUTE(Sync!$AF1402),2),IFERROR(RIGHT("00"&amp;VALUE(LEFT(Sync!$AF1402,FIND(":",Sync!$AF1402)-1)),2)&amp;RIGHT("00"&amp;VALUE(MID(Sync!$AF1402,FIND(":",Sync!$AF1402)+1,2)),2),"0000"))))</f>
        <v/>
      </c>
    </row>
    <row r="1403" spans="1:14" x14ac:dyDescent="0.2">
      <c r="A1403" t="str">
        <f>IF(OR(Calc!$E1407="",Calc!$E1407="نامعتبر",Calc!$G1407=""),"",Calc!$G1407)</f>
        <v/>
      </c>
      <c r="B1403" t="str">
        <f>IF($A1403="","",LEFT(Calc!$E1407,4)&amp;MID(Calc!$E1407,6,2)&amp;RIGHT(Calc!$E1407,2)&amp;Calc!$Q1407&amp;"|"&amp;"1"&amp;RIGHT("00000"&amp;1398,5))</f>
        <v/>
      </c>
      <c r="C1403" t="str">
        <f t="shared" si="105"/>
        <v/>
      </c>
      <c r="D1403" t="str">
        <f t="shared" si="106"/>
        <v/>
      </c>
      <c r="F1403" t="str">
        <f>IF(Sync!$AH1403="","",IF(LEFT(UPPER(TRIM(Sync!$AH1403)),2)="SL",UPPER(TRIM(Sync!$AH1403)),""))</f>
        <v/>
      </c>
      <c r="G1403" t="str">
        <f>IF($F1403="","",IF(Sync!$AE1403="","",IF(ISNUMBER(Sync!$AE1403),IF(AND(Sync!$AE1403&gt;=10000101,Sync!$AE1403&lt;=99991231),INT(Sync!$AE1403/10000),""),IFERROR(VALUE(TRIM(LEFT(Sync!$AE1403,FIND("/",Sync!$AE1403)-1))),""))))</f>
        <v/>
      </c>
      <c r="H1403" t="str">
        <f>IF(OR($F1403="",$G1403=""),"",IF(ISNUMBER(Sync!$AE1403),INT(MOD(Sync!$AE1403,10000)/100),IFERROR(VALUE(TRIM(LEFT(MID(Sync!$AE1403,FIND("/",Sync!$AE1403)+1,20),FIND("/",MID(Sync!$AE1403,FIND("/",Sync!$AE1403)+1,20))-1))),"")))</f>
        <v/>
      </c>
      <c r="I1403" t="str">
        <f>IF(OR($F1403="",$G1403=""),"",IF(ISNUMBER(Sync!$AE1403),MOD(Sync!$AE1403,100),IFERROR(VALUE(TRIM(MID(MID(Sync!$AE1403,FIND("/",Sync!$AE1403)+1,20),FIND("/",MID(Sync!$AE1403,FIND("/",Sync!$AE1403)+1,20))+1,20))),"")))</f>
        <v/>
      </c>
      <c r="J1403" t="str">
        <f t="shared" si="107"/>
        <v/>
      </c>
      <c r="K1403" t="str">
        <f>IF(OR($F1403="",$J1403="",$J1403="نامعتبر"),"",LEFT($J1403,4)&amp;MID($J1403,6,2)&amp;RIGHT($J1403,2)&amp;$N1403&amp;"|"&amp;"2"&amp;RIGHT("00000"&amp;1398,5))</f>
        <v/>
      </c>
      <c r="L1403" t="str">
        <f t="shared" si="108"/>
        <v/>
      </c>
      <c r="M1403" t="str">
        <f t="shared" si="109"/>
        <v/>
      </c>
      <c r="N1403" t="str">
        <f>IF($F1403="","",IF(Sync!$AF1403="","0000",IF(AND(ISNUMBER(Sync!$AF1403),Sync!$AF1403&gt;=0,Sync!$AF1403&lt;1),RIGHT("00"&amp;HOUR(Sync!$AF1403),2)&amp;RIGHT("00"&amp;MINUTE(Sync!$AF1403),2),IFERROR(RIGHT("00"&amp;VALUE(LEFT(Sync!$AF1403,FIND(":",Sync!$AF1403)-1)),2)&amp;RIGHT("00"&amp;VALUE(MID(Sync!$AF1403,FIND(":",Sync!$AF1403)+1,2)),2),"0000"))))</f>
        <v/>
      </c>
    </row>
    <row r="1404" spans="1:14" x14ac:dyDescent="0.2">
      <c r="A1404" t="str">
        <f>IF(OR(Calc!$E1408="",Calc!$E1408="نامعتبر",Calc!$G1408=""),"",Calc!$G1408)</f>
        <v/>
      </c>
      <c r="B1404" t="str">
        <f>IF($A1404="","",LEFT(Calc!$E1408,4)&amp;MID(Calc!$E1408,6,2)&amp;RIGHT(Calc!$E1408,2)&amp;Calc!$Q1408&amp;"|"&amp;"1"&amp;RIGHT("00000"&amp;1399,5))</f>
        <v/>
      </c>
      <c r="C1404" t="str">
        <f t="shared" si="105"/>
        <v/>
      </c>
      <c r="D1404" t="str">
        <f t="shared" si="106"/>
        <v/>
      </c>
      <c r="F1404" t="str">
        <f>IF(Sync!$AH1404="","",IF(LEFT(UPPER(TRIM(Sync!$AH1404)),2)="SL",UPPER(TRIM(Sync!$AH1404)),""))</f>
        <v/>
      </c>
      <c r="G1404" t="str">
        <f>IF($F1404="","",IF(Sync!$AE1404="","",IF(ISNUMBER(Sync!$AE1404),IF(AND(Sync!$AE1404&gt;=10000101,Sync!$AE1404&lt;=99991231),INT(Sync!$AE1404/10000),""),IFERROR(VALUE(TRIM(LEFT(Sync!$AE1404,FIND("/",Sync!$AE1404)-1))),""))))</f>
        <v/>
      </c>
      <c r="H1404" t="str">
        <f>IF(OR($F1404="",$G1404=""),"",IF(ISNUMBER(Sync!$AE1404),INT(MOD(Sync!$AE1404,10000)/100),IFERROR(VALUE(TRIM(LEFT(MID(Sync!$AE1404,FIND("/",Sync!$AE1404)+1,20),FIND("/",MID(Sync!$AE1404,FIND("/",Sync!$AE1404)+1,20))-1))),"")))</f>
        <v/>
      </c>
      <c r="I1404" t="str">
        <f>IF(OR($F1404="",$G1404=""),"",IF(ISNUMBER(Sync!$AE1404),MOD(Sync!$AE1404,100),IFERROR(VALUE(TRIM(MID(MID(Sync!$AE1404,FIND("/",Sync!$AE1404)+1,20),FIND("/",MID(Sync!$AE1404,FIND("/",Sync!$AE1404)+1,20))+1,20))),"")))</f>
        <v/>
      </c>
      <c r="J1404" t="str">
        <f t="shared" si="107"/>
        <v/>
      </c>
      <c r="K1404" t="str">
        <f>IF(OR($F1404="",$J1404="",$J1404="نامعتبر"),"",LEFT($J1404,4)&amp;MID($J1404,6,2)&amp;RIGHT($J1404,2)&amp;$N1404&amp;"|"&amp;"2"&amp;RIGHT("00000"&amp;1399,5))</f>
        <v/>
      </c>
      <c r="L1404" t="str">
        <f t="shared" si="108"/>
        <v/>
      </c>
      <c r="M1404" t="str">
        <f t="shared" si="109"/>
        <v/>
      </c>
      <c r="N1404" t="str">
        <f>IF($F1404="","",IF(Sync!$AF1404="","0000",IF(AND(ISNUMBER(Sync!$AF1404),Sync!$AF1404&gt;=0,Sync!$AF1404&lt;1),RIGHT("00"&amp;HOUR(Sync!$AF1404),2)&amp;RIGHT("00"&amp;MINUTE(Sync!$AF1404),2),IFERROR(RIGHT("00"&amp;VALUE(LEFT(Sync!$AF1404,FIND(":",Sync!$AF1404)-1)),2)&amp;RIGHT("00"&amp;VALUE(MID(Sync!$AF1404,FIND(":",Sync!$AF1404)+1,2)),2),"0000"))))</f>
        <v/>
      </c>
    </row>
    <row r="1405" spans="1:14" x14ac:dyDescent="0.2">
      <c r="A1405" t="str">
        <f>IF(OR(Calc!$E1409="",Calc!$E1409="نامعتبر",Calc!$G1409=""),"",Calc!$G1409)</f>
        <v/>
      </c>
      <c r="B1405" t="str">
        <f>IF($A1405="","",LEFT(Calc!$E1409,4)&amp;MID(Calc!$E1409,6,2)&amp;RIGHT(Calc!$E1409,2)&amp;Calc!$Q1409&amp;"|"&amp;"1"&amp;RIGHT("00000"&amp;1400,5))</f>
        <v/>
      </c>
      <c r="C1405" t="str">
        <f t="shared" si="105"/>
        <v/>
      </c>
      <c r="D1405" t="str">
        <f t="shared" si="106"/>
        <v/>
      </c>
      <c r="F1405" t="str">
        <f>IF(Sync!$AH1405="","",IF(LEFT(UPPER(TRIM(Sync!$AH1405)),2)="SL",UPPER(TRIM(Sync!$AH1405)),""))</f>
        <v/>
      </c>
      <c r="G1405" t="str">
        <f>IF($F1405="","",IF(Sync!$AE1405="","",IF(ISNUMBER(Sync!$AE1405),IF(AND(Sync!$AE1405&gt;=10000101,Sync!$AE1405&lt;=99991231),INT(Sync!$AE1405/10000),""),IFERROR(VALUE(TRIM(LEFT(Sync!$AE1405,FIND("/",Sync!$AE1405)-1))),""))))</f>
        <v/>
      </c>
      <c r="H1405" t="str">
        <f>IF(OR($F1405="",$G1405=""),"",IF(ISNUMBER(Sync!$AE1405),INT(MOD(Sync!$AE1405,10000)/100),IFERROR(VALUE(TRIM(LEFT(MID(Sync!$AE1405,FIND("/",Sync!$AE1405)+1,20),FIND("/",MID(Sync!$AE1405,FIND("/",Sync!$AE1405)+1,20))-1))),"")))</f>
        <v/>
      </c>
      <c r="I1405" t="str">
        <f>IF(OR($F1405="",$G1405=""),"",IF(ISNUMBER(Sync!$AE1405),MOD(Sync!$AE1405,100),IFERROR(VALUE(TRIM(MID(MID(Sync!$AE1405,FIND("/",Sync!$AE1405)+1,20),FIND("/",MID(Sync!$AE1405,FIND("/",Sync!$AE1405)+1,20))+1,20))),"")))</f>
        <v/>
      </c>
      <c r="J1405" t="str">
        <f t="shared" si="107"/>
        <v/>
      </c>
      <c r="K1405" t="str">
        <f>IF(OR($F1405="",$J1405="",$J1405="نامعتبر"),"",LEFT($J1405,4)&amp;MID($J1405,6,2)&amp;RIGHT($J1405,2)&amp;$N1405&amp;"|"&amp;"2"&amp;RIGHT("00000"&amp;1400,5))</f>
        <v/>
      </c>
      <c r="L1405" t="str">
        <f t="shared" si="108"/>
        <v/>
      </c>
      <c r="M1405" t="str">
        <f t="shared" si="109"/>
        <v/>
      </c>
      <c r="N1405" t="str">
        <f>IF($F1405="","",IF(Sync!$AF1405="","0000",IF(AND(ISNUMBER(Sync!$AF1405),Sync!$AF1405&gt;=0,Sync!$AF1405&lt;1),RIGHT("00"&amp;HOUR(Sync!$AF1405),2)&amp;RIGHT("00"&amp;MINUTE(Sync!$AF1405),2),IFERROR(RIGHT("00"&amp;VALUE(LEFT(Sync!$AF1405,FIND(":",Sync!$AF1405)-1)),2)&amp;RIGHT("00"&amp;VALUE(MID(Sync!$AF1405,FIND(":",Sync!$AF1405)+1,2)),2),"0000"))))</f>
        <v/>
      </c>
    </row>
    <row r="1406" spans="1:14" x14ac:dyDescent="0.2">
      <c r="A1406" t="str">
        <f>IF(OR(Calc!$E1410="",Calc!$E1410="نامعتبر",Calc!$G1410=""),"",Calc!$G1410)</f>
        <v/>
      </c>
      <c r="B1406" t="str">
        <f>IF($A1406="","",LEFT(Calc!$E1410,4)&amp;MID(Calc!$E1410,6,2)&amp;RIGHT(Calc!$E1410,2)&amp;Calc!$Q1410&amp;"|"&amp;"1"&amp;RIGHT("00000"&amp;1401,5))</f>
        <v/>
      </c>
      <c r="C1406" t="str">
        <f t="shared" si="105"/>
        <v/>
      </c>
      <c r="D1406" t="str">
        <f t="shared" si="106"/>
        <v/>
      </c>
      <c r="F1406" t="str">
        <f>IF(Sync!$AH1406="","",IF(LEFT(UPPER(TRIM(Sync!$AH1406)),2)="SL",UPPER(TRIM(Sync!$AH1406)),""))</f>
        <v/>
      </c>
      <c r="G1406" t="str">
        <f>IF($F1406="","",IF(Sync!$AE1406="","",IF(ISNUMBER(Sync!$AE1406),IF(AND(Sync!$AE1406&gt;=10000101,Sync!$AE1406&lt;=99991231),INT(Sync!$AE1406/10000),""),IFERROR(VALUE(TRIM(LEFT(Sync!$AE1406,FIND("/",Sync!$AE1406)-1))),""))))</f>
        <v/>
      </c>
      <c r="H1406" t="str">
        <f>IF(OR($F1406="",$G1406=""),"",IF(ISNUMBER(Sync!$AE1406),INT(MOD(Sync!$AE1406,10000)/100),IFERROR(VALUE(TRIM(LEFT(MID(Sync!$AE1406,FIND("/",Sync!$AE1406)+1,20),FIND("/",MID(Sync!$AE1406,FIND("/",Sync!$AE1406)+1,20))-1))),"")))</f>
        <v/>
      </c>
      <c r="I1406" t="str">
        <f>IF(OR($F1406="",$G1406=""),"",IF(ISNUMBER(Sync!$AE1406),MOD(Sync!$AE1406,100),IFERROR(VALUE(TRIM(MID(MID(Sync!$AE1406,FIND("/",Sync!$AE1406)+1,20),FIND("/",MID(Sync!$AE1406,FIND("/",Sync!$AE1406)+1,20))+1,20))),"")))</f>
        <v/>
      </c>
      <c r="J1406" t="str">
        <f t="shared" si="107"/>
        <v/>
      </c>
      <c r="K1406" t="str">
        <f>IF(OR($F1406="",$J1406="",$J1406="نامعتبر"),"",LEFT($J1406,4)&amp;MID($J1406,6,2)&amp;RIGHT($J1406,2)&amp;$N1406&amp;"|"&amp;"2"&amp;RIGHT("00000"&amp;1401,5))</f>
        <v/>
      </c>
      <c r="L1406" t="str">
        <f t="shared" si="108"/>
        <v/>
      </c>
      <c r="M1406" t="str">
        <f t="shared" si="109"/>
        <v/>
      </c>
      <c r="N1406" t="str">
        <f>IF($F1406="","",IF(Sync!$AF1406="","0000",IF(AND(ISNUMBER(Sync!$AF1406),Sync!$AF1406&gt;=0,Sync!$AF1406&lt;1),RIGHT("00"&amp;HOUR(Sync!$AF1406),2)&amp;RIGHT("00"&amp;MINUTE(Sync!$AF1406),2),IFERROR(RIGHT("00"&amp;VALUE(LEFT(Sync!$AF1406,FIND(":",Sync!$AF1406)-1)),2)&amp;RIGHT("00"&amp;VALUE(MID(Sync!$AF1406,FIND(":",Sync!$AF1406)+1,2)),2),"0000"))))</f>
        <v/>
      </c>
    </row>
    <row r="1407" spans="1:14" x14ac:dyDescent="0.2">
      <c r="A1407" t="str">
        <f>IF(OR(Calc!$E1411="",Calc!$E1411="نامعتبر",Calc!$G1411=""),"",Calc!$G1411)</f>
        <v/>
      </c>
      <c r="B1407" t="str">
        <f>IF($A1407="","",LEFT(Calc!$E1411,4)&amp;MID(Calc!$E1411,6,2)&amp;RIGHT(Calc!$E1411,2)&amp;Calc!$Q1411&amp;"|"&amp;"1"&amp;RIGHT("00000"&amp;1402,5))</f>
        <v/>
      </c>
      <c r="C1407" t="str">
        <f t="shared" si="105"/>
        <v/>
      </c>
      <c r="D1407" t="str">
        <f t="shared" si="106"/>
        <v/>
      </c>
      <c r="F1407" t="str">
        <f>IF(Sync!$AH1407="","",IF(LEFT(UPPER(TRIM(Sync!$AH1407)),2)="SL",UPPER(TRIM(Sync!$AH1407)),""))</f>
        <v/>
      </c>
      <c r="G1407" t="str">
        <f>IF($F1407="","",IF(Sync!$AE1407="","",IF(ISNUMBER(Sync!$AE1407),IF(AND(Sync!$AE1407&gt;=10000101,Sync!$AE1407&lt;=99991231),INT(Sync!$AE1407/10000),""),IFERROR(VALUE(TRIM(LEFT(Sync!$AE1407,FIND("/",Sync!$AE1407)-1))),""))))</f>
        <v/>
      </c>
      <c r="H1407" t="str">
        <f>IF(OR($F1407="",$G1407=""),"",IF(ISNUMBER(Sync!$AE1407),INT(MOD(Sync!$AE1407,10000)/100),IFERROR(VALUE(TRIM(LEFT(MID(Sync!$AE1407,FIND("/",Sync!$AE1407)+1,20),FIND("/",MID(Sync!$AE1407,FIND("/",Sync!$AE1407)+1,20))-1))),"")))</f>
        <v/>
      </c>
      <c r="I1407" t="str">
        <f>IF(OR($F1407="",$G1407=""),"",IF(ISNUMBER(Sync!$AE1407),MOD(Sync!$AE1407,100),IFERROR(VALUE(TRIM(MID(MID(Sync!$AE1407,FIND("/",Sync!$AE1407)+1,20),FIND("/",MID(Sync!$AE1407,FIND("/",Sync!$AE1407)+1,20))+1,20))),"")))</f>
        <v/>
      </c>
      <c r="J1407" t="str">
        <f t="shared" si="107"/>
        <v/>
      </c>
      <c r="K1407" t="str">
        <f>IF(OR($F1407="",$J1407="",$J1407="نامعتبر"),"",LEFT($J1407,4)&amp;MID($J1407,6,2)&amp;RIGHT($J1407,2)&amp;$N1407&amp;"|"&amp;"2"&amp;RIGHT("00000"&amp;1402,5))</f>
        <v/>
      </c>
      <c r="L1407" t="str">
        <f t="shared" si="108"/>
        <v/>
      </c>
      <c r="M1407" t="str">
        <f t="shared" si="109"/>
        <v/>
      </c>
      <c r="N1407" t="str">
        <f>IF($F1407="","",IF(Sync!$AF1407="","0000",IF(AND(ISNUMBER(Sync!$AF1407),Sync!$AF1407&gt;=0,Sync!$AF1407&lt;1),RIGHT("00"&amp;HOUR(Sync!$AF1407),2)&amp;RIGHT("00"&amp;MINUTE(Sync!$AF1407),2),IFERROR(RIGHT("00"&amp;VALUE(LEFT(Sync!$AF1407,FIND(":",Sync!$AF1407)-1)),2)&amp;RIGHT("00"&amp;VALUE(MID(Sync!$AF1407,FIND(":",Sync!$AF1407)+1,2)),2),"0000"))))</f>
        <v/>
      </c>
    </row>
    <row r="1408" spans="1:14" x14ac:dyDescent="0.2">
      <c r="A1408" t="str">
        <f>IF(OR(Calc!$E1412="",Calc!$E1412="نامعتبر",Calc!$G1412=""),"",Calc!$G1412)</f>
        <v/>
      </c>
      <c r="B1408" t="str">
        <f>IF($A1408="","",LEFT(Calc!$E1412,4)&amp;MID(Calc!$E1412,6,2)&amp;RIGHT(Calc!$E1412,2)&amp;Calc!$Q1412&amp;"|"&amp;"1"&amp;RIGHT("00000"&amp;1403,5))</f>
        <v/>
      </c>
      <c r="C1408" t="str">
        <f t="shared" si="105"/>
        <v/>
      </c>
      <c r="D1408" t="str">
        <f t="shared" si="106"/>
        <v/>
      </c>
      <c r="F1408" t="str">
        <f>IF(Sync!$AH1408="","",IF(LEFT(UPPER(TRIM(Sync!$AH1408)),2)="SL",UPPER(TRIM(Sync!$AH1408)),""))</f>
        <v/>
      </c>
      <c r="G1408" t="str">
        <f>IF($F1408="","",IF(Sync!$AE1408="","",IF(ISNUMBER(Sync!$AE1408),IF(AND(Sync!$AE1408&gt;=10000101,Sync!$AE1408&lt;=99991231),INT(Sync!$AE1408/10000),""),IFERROR(VALUE(TRIM(LEFT(Sync!$AE1408,FIND("/",Sync!$AE1408)-1))),""))))</f>
        <v/>
      </c>
      <c r="H1408" t="str">
        <f>IF(OR($F1408="",$G1408=""),"",IF(ISNUMBER(Sync!$AE1408),INT(MOD(Sync!$AE1408,10000)/100),IFERROR(VALUE(TRIM(LEFT(MID(Sync!$AE1408,FIND("/",Sync!$AE1408)+1,20),FIND("/",MID(Sync!$AE1408,FIND("/",Sync!$AE1408)+1,20))-1))),"")))</f>
        <v/>
      </c>
      <c r="I1408" t="str">
        <f>IF(OR($F1408="",$G1408=""),"",IF(ISNUMBER(Sync!$AE1408),MOD(Sync!$AE1408,100),IFERROR(VALUE(TRIM(MID(MID(Sync!$AE1408,FIND("/",Sync!$AE1408)+1,20),FIND("/",MID(Sync!$AE1408,FIND("/",Sync!$AE1408)+1,20))+1,20))),"")))</f>
        <v/>
      </c>
      <c r="J1408" t="str">
        <f t="shared" si="107"/>
        <v/>
      </c>
      <c r="K1408" t="str">
        <f>IF(OR($F1408="",$J1408="",$J1408="نامعتبر"),"",LEFT($J1408,4)&amp;MID($J1408,6,2)&amp;RIGHT($J1408,2)&amp;$N1408&amp;"|"&amp;"2"&amp;RIGHT("00000"&amp;1403,5))</f>
        <v/>
      </c>
      <c r="L1408" t="str">
        <f t="shared" si="108"/>
        <v/>
      </c>
      <c r="M1408" t="str">
        <f t="shared" si="109"/>
        <v/>
      </c>
      <c r="N1408" t="str">
        <f>IF($F1408="","",IF(Sync!$AF1408="","0000",IF(AND(ISNUMBER(Sync!$AF1408),Sync!$AF1408&gt;=0,Sync!$AF1408&lt;1),RIGHT("00"&amp;HOUR(Sync!$AF1408),2)&amp;RIGHT("00"&amp;MINUTE(Sync!$AF1408),2),IFERROR(RIGHT("00"&amp;VALUE(LEFT(Sync!$AF1408,FIND(":",Sync!$AF1408)-1)),2)&amp;RIGHT("00"&amp;VALUE(MID(Sync!$AF1408,FIND(":",Sync!$AF1408)+1,2)),2),"0000"))))</f>
        <v/>
      </c>
    </row>
    <row r="1409" spans="1:14" x14ac:dyDescent="0.2">
      <c r="A1409" t="str">
        <f>IF(OR(Calc!$E1413="",Calc!$E1413="نامعتبر",Calc!$G1413=""),"",Calc!$G1413)</f>
        <v/>
      </c>
      <c r="B1409" t="str">
        <f>IF($A1409="","",LEFT(Calc!$E1413,4)&amp;MID(Calc!$E1413,6,2)&amp;RIGHT(Calc!$E1413,2)&amp;Calc!$Q1413&amp;"|"&amp;"1"&amp;RIGHT("00000"&amp;1404,5))</f>
        <v/>
      </c>
      <c r="C1409" t="str">
        <f t="shared" si="105"/>
        <v/>
      </c>
      <c r="D1409" t="str">
        <f t="shared" si="106"/>
        <v/>
      </c>
      <c r="F1409" t="str">
        <f>IF(Sync!$AH1409="","",IF(LEFT(UPPER(TRIM(Sync!$AH1409)),2)="SL",UPPER(TRIM(Sync!$AH1409)),""))</f>
        <v/>
      </c>
      <c r="G1409" t="str">
        <f>IF($F1409="","",IF(Sync!$AE1409="","",IF(ISNUMBER(Sync!$AE1409),IF(AND(Sync!$AE1409&gt;=10000101,Sync!$AE1409&lt;=99991231),INT(Sync!$AE1409/10000),""),IFERROR(VALUE(TRIM(LEFT(Sync!$AE1409,FIND("/",Sync!$AE1409)-1))),""))))</f>
        <v/>
      </c>
      <c r="H1409" t="str">
        <f>IF(OR($F1409="",$G1409=""),"",IF(ISNUMBER(Sync!$AE1409),INT(MOD(Sync!$AE1409,10000)/100),IFERROR(VALUE(TRIM(LEFT(MID(Sync!$AE1409,FIND("/",Sync!$AE1409)+1,20),FIND("/",MID(Sync!$AE1409,FIND("/",Sync!$AE1409)+1,20))-1))),"")))</f>
        <v/>
      </c>
      <c r="I1409" t="str">
        <f>IF(OR($F1409="",$G1409=""),"",IF(ISNUMBER(Sync!$AE1409),MOD(Sync!$AE1409,100),IFERROR(VALUE(TRIM(MID(MID(Sync!$AE1409,FIND("/",Sync!$AE1409)+1,20),FIND("/",MID(Sync!$AE1409,FIND("/",Sync!$AE1409)+1,20))+1,20))),"")))</f>
        <v/>
      </c>
      <c r="J1409" t="str">
        <f t="shared" si="107"/>
        <v/>
      </c>
      <c r="K1409" t="str">
        <f>IF(OR($F1409="",$J1409="",$J1409="نامعتبر"),"",LEFT($J1409,4)&amp;MID($J1409,6,2)&amp;RIGHT($J1409,2)&amp;$N1409&amp;"|"&amp;"2"&amp;RIGHT("00000"&amp;1404,5))</f>
        <v/>
      </c>
      <c r="L1409" t="str">
        <f t="shared" si="108"/>
        <v/>
      </c>
      <c r="M1409" t="str">
        <f t="shared" si="109"/>
        <v/>
      </c>
      <c r="N1409" t="str">
        <f>IF($F1409="","",IF(Sync!$AF1409="","0000",IF(AND(ISNUMBER(Sync!$AF1409),Sync!$AF1409&gt;=0,Sync!$AF1409&lt;1),RIGHT("00"&amp;HOUR(Sync!$AF1409),2)&amp;RIGHT("00"&amp;MINUTE(Sync!$AF1409),2),IFERROR(RIGHT("00"&amp;VALUE(LEFT(Sync!$AF1409,FIND(":",Sync!$AF1409)-1)),2)&amp;RIGHT("00"&amp;VALUE(MID(Sync!$AF1409,FIND(":",Sync!$AF1409)+1,2)),2),"0000"))))</f>
        <v/>
      </c>
    </row>
    <row r="1410" spans="1:14" x14ac:dyDescent="0.2">
      <c r="A1410" t="str">
        <f>IF(OR(Calc!$E1414="",Calc!$E1414="نامعتبر",Calc!$G1414=""),"",Calc!$G1414)</f>
        <v/>
      </c>
      <c r="B1410" t="str">
        <f>IF($A1410="","",LEFT(Calc!$E1414,4)&amp;MID(Calc!$E1414,6,2)&amp;RIGHT(Calc!$E1414,2)&amp;Calc!$Q1414&amp;"|"&amp;"1"&amp;RIGHT("00000"&amp;1405,5))</f>
        <v/>
      </c>
      <c r="C1410" t="str">
        <f t="shared" si="105"/>
        <v/>
      </c>
      <c r="D1410" t="str">
        <f t="shared" si="106"/>
        <v/>
      </c>
      <c r="F1410" t="str">
        <f>IF(Sync!$AH1410="","",IF(LEFT(UPPER(TRIM(Sync!$AH1410)),2)="SL",UPPER(TRIM(Sync!$AH1410)),""))</f>
        <v/>
      </c>
      <c r="G1410" t="str">
        <f>IF($F1410="","",IF(Sync!$AE1410="","",IF(ISNUMBER(Sync!$AE1410),IF(AND(Sync!$AE1410&gt;=10000101,Sync!$AE1410&lt;=99991231),INT(Sync!$AE1410/10000),""),IFERROR(VALUE(TRIM(LEFT(Sync!$AE1410,FIND("/",Sync!$AE1410)-1))),""))))</f>
        <v/>
      </c>
      <c r="H1410" t="str">
        <f>IF(OR($F1410="",$G1410=""),"",IF(ISNUMBER(Sync!$AE1410),INT(MOD(Sync!$AE1410,10000)/100),IFERROR(VALUE(TRIM(LEFT(MID(Sync!$AE1410,FIND("/",Sync!$AE1410)+1,20),FIND("/",MID(Sync!$AE1410,FIND("/",Sync!$AE1410)+1,20))-1))),"")))</f>
        <v/>
      </c>
      <c r="I1410" t="str">
        <f>IF(OR($F1410="",$G1410=""),"",IF(ISNUMBER(Sync!$AE1410),MOD(Sync!$AE1410,100),IFERROR(VALUE(TRIM(MID(MID(Sync!$AE1410,FIND("/",Sync!$AE1410)+1,20),FIND("/",MID(Sync!$AE1410,FIND("/",Sync!$AE1410)+1,20))+1,20))),"")))</f>
        <v/>
      </c>
      <c r="J1410" t="str">
        <f t="shared" si="107"/>
        <v/>
      </c>
      <c r="K1410" t="str">
        <f>IF(OR($F1410="",$J1410="",$J1410="نامعتبر"),"",LEFT($J1410,4)&amp;MID($J1410,6,2)&amp;RIGHT($J1410,2)&amp;$N1410&amp;"|"&amp;"2"&amp;RIGHT("00000"&amp;1405,5))</f>
        <v/>
      </c>
      <c r="L1410" t="str">
        <f t="shared" si="108"/>
        <v/>
      </c>
      <c r="M1410" t="str">
        <f t="shared" si="109"/>
        <v/>
      </c>
      <c r="N1410" t="str">
        <f>IF($F1410="","",IF(Sync!$AF1410="","0000",IF(AND(ISNUMBER(Sync!$AF1410),Sync!$AF1410&gt;=0,Sync!$AF1410&lt;1),RIGHT("00"&amp;HOUR(Sync!$AF1410),2)&amp;RIGHT("00"&amp;MINUTE(Sync!$AF1410),2),IFERROR(RIGHT("00"&amp;VALUE(LEFT(Sync!$AF1410,FIND(":",Sync!$AF1410)-1)),2)&amp;RIGHT("00"&amp;VALUE(MID(Sync!$AF1410,FIND(":",Sync!$AF1410)+1,2)),2),"0000"))))</f>
        <v/>
      </c>
    </row>
    <row r="1411" spans="1:14" x14ac:dyDescent="0.2">
      <c r="A1411" t="str">
        <f>IF(OR(Calc!$E1415="",Calc!$E1415="نامعتبر",Calc!$G1415=""),"",Calc!$G1415)</f>
        <v/>
      </c>
      <c r="B1411" t="str">
        <f>IF($A1411="","",LEFT(Calc!$E1415,4)&amp;MID(Calc!$E1415,6,2)&amp;RIGHT(Calc!$E1415,2)&amp;Calc!$Q1415&amp;"|"&amp;"1"&amp;RIGHT("00000"&amp;1406,5))</f>
        <v/>
      </c>
      <c r="C1411" t="str">
        <f t="shared" si="105"/>
        <v/>
      </c>
      <c r="D1411" t="str">
        <f t="shared" si="106"/>
        <v/>
      </c>
      <c r="F1411" t="str">
        <f>IF(Sync!$AH1411="","",IF(LEFT(UPPER(TRIM(Sync!$AH1411)),2)="SL",UPPER(TRIM(Sync!$AH1411)),""))</f>
        <v/>
      </c>
      <c r="G1411" t="str">
        <f>IF($F1411="","",IF(Sync!$AE1411="","",IF(ISNUMBER(Sync!$AE1411),IF(AND(Sync!$AE1411&gt;=10000101,Sync!$AE1411&lt;=99991231),INT(Sync!$AE1411/10000),""),IFERROR(VALUE(TRIM(LEFT(Sync!$AE1411,FIND("/",Sync!$AE1411)-1))),""))))</f>
        <v/>
      </c>
      <c r="H1411" t="str">
        <f>IF(OR($F1411="",$G1411=""),"",IF(ISNUMBER(Sync!$AE1411),INT(MOD(Sync!$AE1411,10000)/100),IFERROR(VALUE(TRIM(LEFT(MID(Sync!$AE1411,FIND("/",Sync!$AE1411)+1,20),FIND("/",MID(Sync!$AE1411,FIND("/",Sync!$AE1411)+1,20))-1))),"")))</f>
        <v/>
      </c>
      <c r="I1411" t="str">
        <f>IF(OR($F1411="",$G1411=""),"",IF(ISNUMBER(Sync!$AE1411),MOD(Sync!$AE1411,100),IFERROR(VALUE(TRIM(MID(MID(Sync!$AE1411,FIND("/",Sync!$AE1411)+1,20),FIND("/",MID(Sync!$AE1411,FIND("/",Sync!$AE1411)+1,20))+1,20))),"")))</f>
        <v/>
      </c>
      <c r="J1411" t="str">
        <f t="shared" si="107"/>
        <v/>
      </c>
      <c r="K1411" t="str">
        <f>IF(OR($F1411="",$J1411="",$J1411="نامعتبر"),"",LEFT($J1411,4)&amp;MID($J1411,6,2)&amp;RIGHT($J1411,2)&amp;$N1411&amp;"|"&amp;"2"&amp;RIGHT("00000"&amp;1406,5))</f>
        <v/>
      </c>
      <c r="L1411" t="str">
        <f t="shared" si="108"/>
        <v/>
      </c>
      <c r="M1411" t="str">
        <f t="shared" si="109"/>
        <v/>
      </c>
      <c r="N1411" t="str">
        <f>IF($F1411="","",IF(Sync!$AF1411="","0000",IF(AND(ISNUMBER(Sync!$AF1411),Sync!$AF1411&gt;=0,Sync!$AF1411&lt;1),RIGHT("00"&amp;HOUR(Sync!$AF1411),2)&amp;RIGHT("00"&amp;MINUTE(Sync!$AF1411),2),IFERROR(RIGHT("00"&amp;VALUE(LEFT(Sync!$AF1411,FIND(":",Sync!$AF1411)-1)),2)&amp;RIGHT("00"&amp;VALUE(MID(Sync!$AF1411,FIND(":",Sync!$AF1411)+1,2)),2),"0000"))))</f>
        <v/>
      </c>
    </row>
    <row r="1412" spans="1:14" x14ac:dyDescent="0.2">
      <c r="A1412" t="str">
        <f>IF(OR(Calc!$E1416="",Calc!$E1416="نامعتبر",Calc!$G1416=""),"",Calc!$G1416)</f>
        <v/>
      </c>
      <c r="B1412" t="str">
        <f>IF($A1412="","",LEFT(Calc!$E1416,4)&amp;MID(Calc!$E1416,6,2)&amp;RIGHT(Calc!$E1416,2)&amp;Calc!$Q1416&amp;"|"&amp;"1"&amp;RIGHT("00000"&amp;1407,5))</f>
        <v/>
      </c>
      <c r="C1412" t="str">
        <f t="shared" si="105"/>
        <v/>
      </c>
      <c r="D1412" t="str">
        <f t="shared" si="106"/>
        <v/>
      </c>
      <c r="F1412" t="str">
        <f>IF(Sync!$AH1412="","",IF(LEFT(UPPER(TRIM(Sync!$AH1412)),2)="SL",UPPER(TRIM(Sync!$AH1412)),""))</f>
        <v/>
      </c>
      <c r="G1412" t="str">
        <f>IF($F1412="","",IF(Sync!$AE1412="","",IF(ISNUMBER(Sync!$AE1412),IF(AND(Sync!$AE1412&gt;=10000101,Sync!$AE1412&lt;=99991231),INT(Sync!$AE1412/10000),""),IFERROR(VALUE(TRIM(LEFT(Sync!$AE1412,FIND("/",Sync!$AE1412)-1))),""))))</f>
        <v/>
      </c>
      <c r="H1412" t="str">
        <f>IF(OR($F1412="",$G1412=""),"",IF(ISNUMBER(Sync!$AE1412),INT(MOD(Sync!$AE1412,10000)/100),IFERROR(VALUE(TRIM(LEFT(MID(Sync!$AE1412,FIND("/",Sync!$AE1412)+1,20),FIND("/",MID(Sync!$AE1412,FIND("/",Sync!$AE1412)+1,20))-1))),"")))</f>
        <v/>
      </c>
      <c r="I1412" t="str">
        <f>IF(OR($F1412="",$G1412=""),"",IF(ISNUMBER(Sync!$AE1412),MOD(Sync!$AE1412,100),IFERROR(VALUE(TRIM(MID(MID(Sync!$AE1412,FIND("/",Sync!$AE1412)+1,20),FIND("/",MID(Sync!$AE1412,FIND("/",Sync!$AE1412)+1,20))+1,20))),"")))</f>
        <v/>
      </c>
      <c r="J1412" t="str">
        <f t="shared" si="107"/>
        <v/>
      </c>
      <c r="K1412" t="str">
        <f>IF(OR($F1412="",$J1412="",$J1412="نامعتبر"),"",LEFT($J1412,4)&amp;MID($J1412,6,2)&amp;RIGHT($J1412,2)&amp;$N1412&amp;"|"&amp;"2"&amp;RIGHT("00000"&amp;1407,5))</f>
        <v/>
      </c>
      <c r="L1412" t="str">
        <f t="shared" si="108"/>
        <v/>
      </c>
      <c r="M1412" t="str">
        <f t="shared" si="109"/>
        <v/>
      </c>
      <c r="N1412" t="str">
        <f>IF($F1412="","",IF(Sync!$AF1412="","0000",IF(AND(ISNUMBER(Sync!$AF1412),Sync!$AF1412&gt;=0,Sync!$AF1412&lt;1),RIGHT("00"&amp;HOUR(Sync!$AF1412),2)&amp;RIGHT("00"&amp;MINUTE(Sync!$AF1412),2),IFERROR(RIGHT("00"&amp;VALUE(LEFT(Sync!$AF1412,FIND(":",Sync!$AF1412)-1)),2)&amp;RIGHT("00"&amp;VALUE(MID(Sync!$AF1412,FIND(":",Sync!$AF1412)+1,2)),2),"0000"))))</f>
        <v/>
      </c>
    </row>
    <row r="1413" spans="1:14" x14ac:dyDescent="0.2">
      <c r="A1413" t="str">
        <f>IF(OR(Calc!$E1417="",Calc!$E1417="نامعتبر",Calc!$G1417=""),"",Calc!$G1417)</f>
        <v/>
      </c>
      <c r="B1413" t="str">
        <f>IF($A1413="","",LEFT(Calc!$E1417,4)&amp;MID(Calc!$E1417,6,2)&amp;RIGHT(Calc!$E1417,2)&amp;Calc!$Q1417&amp;"|"&amp;"1"&amp;RIGHT("00000"&amp;1408,5))</f>
        <v/>
      </c>
      <c r="C1413" t="str">
        <f t="shared" si="105"/>
        <v/>
      </c>
      <c r="D1413" t="str">
        <f t="shared" si="106"/>
        <v/>
      </c>
      <c r="F1413" t="str">
        <f>IF(Sync!$AH1413="","",IF(LEFT(UPPER(TRIM(Sync!$AH1413)),2)="SL",UPPER(TRIM(Sync!$AH1413)),""))</f>
        <v/>
      </c>
      <c r="G1413" t="str">
        <f>IF($F1413="","",IF(Sync!$AE1413="","",IF(ISNUMBER(Sync!$AE1413),IF(AND(Sync!$AE1413&gt;=10000101,Sync!$AE1413&lt;=99991231),INT(Sync!$AE1413/10000),""),IFERROR(VALUE(TRIM(LEFT(Sync!$AE1413,FIND("/",Sync!$AE1413)-1))),""))))</f>
        <v/>
      </c>
      <c r="H1413" t="str">
        <f>IF(OR($F1413="",$G1413=""),"",IF(ISNUMBER(Sync!$AE1413),INT(MOD(Sync!$AE1413,10000)/100),IFERROR(VALUE(TRIM(LEFT(MID(Sync!$AE1413,FIND("/",Sync!$AE1413)+1,20),FIND("/",MID(Sync!$AE1413,FIND("/",Sync!$AE1413)+1,20))-1))),"")))</f>
        <v/>
      </c>
      <c r="I1413" t="str">
        <f>IF(OR($F1413="",$G1413=""),"",IF(ISNUMBER(Sync!$AE1413),MOD(Sync!$AE1413,100),IFERROR(VALUE(TRIM(MID(MID(Sync!$AE1413,FIND("/",Sync!$AE1413)+1,20),FIND("/",MID(Sync!$AE1413,FIND("/",Sync!$AE1413)+1,20))+1,20))),"")))</f>
        <v/>
      </c>
      <c r="J1413" t="str">
        <f t="shared" si="107"/>
        <v/>
      </c>
      <c r="K1413" t="str">
        <f>IF(OR($F1413="",$J1413="",$J1413="نامعتبر"),"",LEFT($J1413,4)&amp;MID($J1413,6,2)&amp;RIGHT($J1413,2)&amp;$N1413&amp;"|"&amp;"2"&amp;RIGHT("00000"&amp;1408,5))</f>
        <v/>
      </c>
      <c r="L1413" t="str">
        <f t="shared" si="108"/>
        <v/>
      </c>
      <c r="M1413" t="str">
        <f t="shared" si="109"/>
        <v/>
      </c>
      <c r="N1413" t="str">
        <f>IF($F1413="","",IF(Sync!$AF1413="","0000",IF(AND(ISNUMBER(Sync!$AF1413),Sync!$AF1413&gt;=0,Sync!$AF1413&lt;1),RIGHT("00"&amp;HOUR(Sync!$AF1413),2)&amp;RIGHT("00"&amp;MINUTE(Sync!$AF1413),2),IFERROR(RIGHT("00"&amp;VALUE(LEFT(Sync!$AF1413,FIND(":",Sync!$AF1413)-1)),2)&amp;RIGHT("00"&amp;VALUE(MID(Sync!$AF1413,FIND(":",Sync!$AF1413)+1,2)),2),"0000"))))</f>
        <v/>
      </c>
    </row>
    <row r="1414" spans="1:14" x14ac:dyDescent="0.2">
      <c r="A1414" t="str">
        <f>IF(OR(Calc!$E1418="",Calc!$E1418="نامعتبر",Calc!$G1418=""),"",Calc!$G1418)</f>
        <v/>
      </c>
      <c r="B1414" t="str">
        <f>IF($A1414="","",LEFT(Calc!$E1418,4)&amp;MID(Calc!$E1418,6,2)&amp;RIGHT(Calc!$E1418,2)&amp;Calc!$Q1418&amp;"|"&amp;"1"&amp;RIGHT("00000"&amp;1409,5))</f>
        <v/>
      </c>
      <c r="C1414" t="str">
        <f t="shared" ref="C1414:C1477" si="110">IF($B1414="","",COUNTIFS(LdgSellerA,$A1414,LdgKeyA,"&lt;"&amp;$B1414)+COUNTIFS(LdgSellerB,$A1414,LdgKeyB,"&lt;"&amp;$B1414)+1)</f>
        <v/>
      </c>
      <c r="D1414" t="str">
        <f t="shared" ref="D1414:D1477" si="111">IF($C1414="","",$A1414&amp;"|"&amp;RIGHT("000000"&amp;$C1414,6))</f>
        <v/>
      </c>
      <c r="F1414" t="str">
        <f>IF(Sync!$AH1414="","",IF(LEFT(UPPER(TRIM(Sync!$AH1414)),2)="SL",UPPER(TRIM(Sync!$AH1414)),""))</f>
        <v/>
      </c>
      <c r="G1414" t="str">
        <f>IF($F1414="","",IF(Sync!$AE1414="","",IF(ISNUMBER(Sync!$AE1414),IF(AND(Sync!$AE1414&gt;=10000101,Sync!$AE1414&lt;=99991231),INT(Sync!$AE1414/10000),""),IFERROR(VALUE(TRIM(LEFT(Sync!$AE1414,FIND("/",Sync!$AE1414)-1))),""))))</f>
        <v/>
      </c>
      <c r="H1414" t="str">
        <f>IF(OR($F1414="",$G1414=""),"",IF(ISNUMBER(Sync!$AE1414),INT(MOD(Sync!$AE1414,10000)/100),IFERROR(VALUE(TRIM(LEFT(MID(Sync!$AE1414,FIND("/",Sync!$AE1414)+1,20),FIND("/",MID(Sync!$AE1414,FIND("/",Sync!$AE1414)+1,20))-1))),"")))</f>
        <v/>
      </c>
      <c r="I1414" t="str">
        <f>IF(OR($F1414="",$G1414=""),"",IF(ISNUMBER(Sync!$AE1414),MOD(Sync!$AE1414,100),IFERROR(VALUE(TRIM(MID(MID(Sync!$AE1414,FIND("/",Sync!$AE1414)+1,20),FIND("/",MID(Sync!$AE1414,FIND("/",Sync!$AE1414)+1,20))+1,20))),"")))</f>
        <v/>
      </c>
      <c r="J1414" t="str">
        <f t="shared" ref="J1414:J1477" si="112">IF($F1414="","",IF(OR($G1414="",$H1414="",$I1414="",$G1414&lt;1300,$G1414&gt;1500,$H1414&lt;1,$H1414&gt;12,$I1414&lt;1,$I1414&gt;31),"نامعتبر",RIGHT("0000"&amp;$G1414,4)&amp;"/"&amp;RIGHT("00"&amp;$H1414,2)&amp;"/"&amp;RIGHT("00"&amp;$I1414,2)))</f>
        <v/>
      </c>
      <c r="K1414" t="str">
        <f>IF(OR($F1414="",$J1414="",$J1414="نامعتبر"),"",LEFT($J1414,4)&amp;MID($J1414,6,2)&amp;RIGHT($J1414,2)&amp;$N1414&amp;"|"&amp;"2"&amp;RIGHT("00000"&amp;1409,5))</f>
        <v/>
      </c>
      <c r="L1414" t="str">
        <f t="shared" ref="L1414:L1477" si="113">IF($K1414="","",COUNTIFS(LdgSellerA,$F1414,LdgKeyA,"&lt;"&amp;$K1414)+COUNTIFS(LdgSellerB,$F1414,LdgKeyB,"&lt;"&amp;$K1414)+1)</f>
        <v/>
      </c>
      <c r="M1414" t="str">
        <f t="shared" ref="M1414:M1477" si="114">IF($L1414="","",$F1414&amp;"|"&amp;RIGHT("000000"&amp;$L1414,6))</f>
        <v/>
      </c>
      <c r="N1414" t="str">
        <f>IF($F1414="","",IF(Sync!$AF1414="","0000",IF(AND(ISNUMBER(Sync!$AF1414),Sync!$AF1414&gt;=0,Sync!$AF1414&lt;1),RIGHT("00"&amp;HOUR(Sync!$AF1414),2)&amp;RIGHT("00"&amp;MINUTE(Sync!$AF1414),2),IFERROR(RIGHT("00"&amp;VALUE(LEFT(Sync!$AF1414,FIND(":",Sync!$AF1414)-1)),2)&amp;RIGHT("00"&amp;VALUE(MID(Sync!$AF1414,FIND(":",Sync!$AF1414)+1,2)),2),"0000"))))</f>
        <v/>
      </c>
    </row>
    <row r="1415" spans="1:14" x14ac:dyDescent="0.2">
      <c r="A1415" t="str">
        <f>IF(OR(Calc!$E1419="",Calc!$E1419="نامعتبر",Calc!$G1419=""),"",Calc!$G1419)</f>
        <v/>
      </c>
      <c r="B1415" t="str">
        <f>IF($A1415="","",LEFT(Calc!$E1419,4)&amp;MID(Calc!$E1419,6,2)&amp;RIGHT(Calc!$E1419,2)&amp;Calc!$Q1419&amp;"|"&amp;"1"&amp;RIGHT("00000"&amp;1410,5))</f>
        <v/>
      </c>
      <c r="C1415" t="str">
        <f t="shared" si="110"/>
        <v/>
      </c>
      <c r="D1415" t="str">
        <f t="shared" si="111"/>
        <v/>
      </c>
      <c r="F1415" t="str">
        <f>IF(Sync!$AH1415="","",IF(LEFT(UPPER(TRIM(Sync!$AH1415)),2)="SL",UPPER(TRIM(Sync!$AH1415)),""))</f>
        <v/>
      </c>
      <c r="G1415" t="str">
        <f>IF($F1415="","",IF(Sync!$AE1415="","",IF(ISNUMBER(Sync!$AE1415),IF(AND(Sync!$AE1415&gt;=10000101,Sync!$AE1415&lt;=99991231),INT(Sync!$AE1415/10000),""),IFERROR(VALUE(TRIM(LEFT(Sync!$AE1415,FIND("/",Sync!$AE1415)-1))),""))))</f>
        <v/>
      </c>
      <c r="H1415" t="str">
        <f>IF(OR($F1415="",$G1415=""),"",IF(ISNUMBER(Sync!$AE1415),INT(MOD(Sync!$AE1415,10000)/100),IFERROR(VALUE(TRIM(LEFT(MID(Sync!$AE1415,FIND("/",Sync!$AE1415)+1,20),FIND("/",MID(Sync!$AE1415,FIND("/",Sync!$AE1415)+1,20))-1))),"")))</f>
        <v/>
      </c>
      <c r="I1415" t="str">
        <f>IF(OR($F1415="",$G1415=""),"",IF(ISNUMBER(Sync!$AE1415),MOD(Sync!$AE1415,100),IFERROR(VALUE(TRIM(MID(MID(Sync!$AE1415,FIND("/",Sync!$AE1415)+1,20),FIND("/",MID(Sync!$AE1415,FIND("/",Sync!$AE1415)+1,20))+1,20))),"")))</f>
        <v/>
      </c>
      <c r="J1415" t="str">
        <f t="shared" si="112"/>
        <v/>
      </c>
      <c r="K1415" t="str">
        <f>IF(OR($F1415="",$J1415="",$J1415="نامعتبر"),"",LEFT($J1415,4)&amp;MID($J1415,6,2)&amp;RIGHT($J1415,2)&amp;$N1415&amp;"|"&amp;"2"&amp;RIGHT("00000"&amp;1410,5))</f>
        <v/>
      </c>
      <c r="L1415" t="str">
        <f t="shared" si="113"/>
        <v/>
      </c>
      <c r="M1415" t="str">
        <f t="shared" si="114"/>
        <v/>
      </c>
      <c r="N1415" t="str">
        <f>IF($F1415="","",IF(Sync!$AF1415="","0000",IF(AND(ISNUMBER(Sync!$AF1415),Sync!$AF1415&gt;=0,Sync!$AF1415&lt;1),RIGHT("00"&amp;HOUR(Sync!$AF1415),2)&amp;RIGHT("00"&amp;MINUTE(Sync!$AF1415),2),IFERROR(RIGHT("00"&amp;VALUE(LEFT(Sync!$AF1415,FIND(":",Sync!$AF1415)-1)),2)&amp;RIGHT("00"&amp;VALUE(MID(Sync!$AF1415,FIND(":",Sync!$AF1415)+1,2)),2),"0000"))))</f>
        <v/>
      </c>
    </row>
    <row r="1416" spans="1:14" x14ac:dyDescent="0.2">
      <c r="A1416" t="str">
        <f>IF(OR(Calc!$E1420="",Calc!$E1420="نامعتبر",Calc!$G1420=""),"",Calc!$G1420)</f>
        <v/>
      </c>
      <c r="B1416" t="str">
        <f>IF($A1416="","",LEFT(Calc!$E1420,4)&amp;MID(Calc!$E1420,6,2)&amp;RIGHT(Calc!$E1420,2)&amp;Calc!$Q1420&amp;"|"&amp;"1"&amp;RIGHT("00000"&amp;1411,5))</f>
        <v/>
      </c>
      <c r="C1416" t="str">
        <f t="shared" si="110"/>
        <v/>
      </c>
      <c r="D1416" t="str">
        <f t="shared" si="111"/>
        <v/>
      </c>
      <c r="F1416" t="str">
        <f>IF(Sync!$AH1416="","",IF(LEFT(UPPER(TRIM(Sync!$AH1416)),2)="SL",UPPER(TRIM(Sync!$AH1416)),""))</f>
        <v/>
      </c>
      <c r="G1416" t="str">
        <f>IF($F1416="","",IF(Sync!$AE1416="","",IF(ISNUMBER(Sync!$AE1416),IF(AND(Sync!$AE1416&gt;=10000101,Sync!$AE1416&lt;=99991231),INT(Sync!$AE1416/10000),""),IFERROR(VALUE(TRIM(LEFT(Sync!$AE1416,FIND("/",Sync!$AE1416)-1))),""))))</f>
        <v/>
      </c>
      <c r="H1416" t="str">
        <f>IF(OR($F1416="",$G1416=""),"",IF(ISNUMBER(Sync!$AE1416),INT(MOD(Sync!$AE1416,10000)/100),IFERROR(VALUE(TRIM(LEFT(MID(Sync!$AE1416,FIND("/",Sync!$AE1416)+1,20),FIND("/",MID(Sync!$AE1416,FIND("/",Sync!$AE1416)+1,20))-1))),"")))</f>
        <v/>
      </c>
      <c r="I1416" t="str">
        <f>IF(OR($F1416="",$G1416=""),"",IF(ISNUMBER(Sync!$AE1416),MOD(Sync!$AE1416,100),IFERROR(VALUE(TRIM(MID(MID(Sync!$AE1416,FIND("/",Sync!$AE1416)+1,20),FIND("/",MID(Sync!$AE1416,FIND("/",Sync!$AE1416)+1,20))+1,20))),"")))</f>
        <v/>
      </c>
      <c r="J1416" t="str">
        <f t="shared" si="112"/>
        <v/>
      </c>
      <c r="K1416" t="str">
        <f>IF(OR($F1416="",$J1416="",$J1416="نامعتبر"),"",LEFT($J1416,4)&amp;MID($J1416,6,2)&amp;RIGHT($J1416,2)&amp;$N1416&amp;"|"&amp;"2"&amp;RIGHT("00000"&amp;1411,5))</f>
        <v/>
      </c>
      <c r="L1416" t="str">
        <f t="shared" si="113"/>
        <v/>
      </c>
      <c r="M1416" t="str">
        <f t="shared" si="114"/>
        <v/>
      </c>
      <c r="N1416" t="str">
        <f>IF($F1416="","",IF(Sync!$AF1416="","0000",IF(AND(ISNUMBER(Sync!$AF1416),Sync!$AF1416&gt;=0,Sync!$AF1416&lt;1),RIGHT("00"&amp;HOUR(Sync!$AF1416),2)&amp;RIGHT("00"&amp;MINUTE(Sync!$AF1416),2),IFERROR(RIGHT("00"&amp;VALUE(LEFT(Sync!$AF1416,FIND(":",Sync!$AF1416)-1)),2)&amp;RIGHT("00"&amp;VALUE(MID(Sync!$AF1416,FIND(":",Sync!$AF1416)+1,2)),2),"0000"))))</f>
        <v/>
      </c>
    </row>
    <row r="1417" spans="1:14" x14ac:dyDescent="0.2">
      <c r="A1417" t="str">
        <f>IF(OR(Calc!$E1421="",Calc!$E1421="نامعتبر",Calc!$G1421=""),"",Calc!$G1421)</f>
        <v/>
      </c>
      <c r="B1417" t="str">
        <f>IF($A1417="","",LEFT(Calc!$E1421,4)&amp;MID(Calc!$E1421,6,2)&amp;RIGHT(Calc!$E1421,2)&amp;Calc!$Q1421&amp;"|"&amp;"1"&amp;RIGHT("00000"&amp;1412,5))</f>
        <v/>
      </c>
      <c r="C1417" t="str">
        <f t="shared" si="110"/>
        <v/>
      </c>
      <c r="D1417" t="str">
        <f t="shared" si="111"/>
        <v/>
      </c>
      <c r="F1417" t="str">
        <f>IF(Sync!$AH1417="","",IF(LEFT(UPPER(TRIM(Sync!$AH1417)),2)="SL",UPPER(TRIM(Sync!$AH1417)),""))</f>
        <v/>
      </c>
      <c r="G1417" t="str">
        <f>IF($F1417="","",IF(Sync!$AE1417="","",IF(ISNUMBER(Sync!$AE1417),IF(AND(Sync!$AE1417&gt;=10000101,Sync!$AE1417&lt;=99991231),INT(Sync!$AE1417/10000),""),IFERROR(VALUE(TRIM(LEFT(Sync!$AE1417,FIND("/",Sync!$AE1417)-1))),""))))</f>
        <v/>
      </c>
      <c r="H1417" t="str">
        <f>IF(OR($F1417="",$G1417=""),"",IF(ISNUMBER(Sync!$AE1417),INT(MOD(Sync!$AE1417,10000)/100),IFERROR(VALUE(TRIM(LEFT(MID(Sync!$AE1417,FIND("/",Sync!$AE1417)+1,20),FIND("/",MID(Sync!$AE1417,FIND("/",Sync!$AE1417)+1,20))-1))),"")))</f>
        <v/>
      </c>
      <c r="I1417" t="str">
        <f>IF(OR($F1417="",$G1417=""),"",IF(ISNUMBER(Sync!$AE1417),MOD(Sync!$AE1417,100),IFERROR(VALUE(TRIM(MID(MID(Sync!$AE1417,FIND("/",Sync!$AE1417)+1,20),FIND("/",MID(Sync!$AE1417,FIND("/",Sync!$AE1417)+1,20))+1,20))),"")))</f>
        <v/>
      </c>
      <c r="J1417" t="str">
        <f t="shared" si="112"/>
        <v/>
      </c>
      <c r="K1417" t="str">
        <f>IF(OR($F1417="",$J1417="",$J1417="نامعتبر"),"",LEFT($J1417,4)&amp;MID($J1417,6,2)&amp;RIGHT($J1417,2)&amp;$N1417&amp;"|"&amp;"2"&amp;RIGHT("00000"&amp;1412,5))</f>
        <v/>
      </c>
      <c r="L1417" t="str">
        <f t="shared" si="113"/>
        <v/>
      </c>
      <c r="M1417" t="str">
        <f t="shared" si="114"/>
        <v/>
      </c>
      <c r="N1417" t="str">
        <f>IF($F1417="","",IF(Sync!$AF1417="","0000",IF(AND(ISNUMBER(Sync!$AF1417),Sync!$AF1417&gt;=0,Sync!$AF1417&lt;1),RIGHT("00"&amp;HOUR(Sync!$AF1417),2)&amp;RIGHT("00"&amp;MINUTE(Sync!$AF1417),2),IFERROR(RIGHT("00"&amp;VALUE(LEFT(Sync!$AF1417,FIND(":",Sync!$AF1417)-1)),2)&amp;RIGHT("00"&amp;VALUE(MID(Sync!$AF1417,FIND(":",Sync!$AF1417)+1,2)),2),"0000"))))</f>
        <v/>
      </c>
    </row>
    <row r="1418" spans="1:14" x14ac:dyDescent="0.2">
      <c r="A1418" t="str">
        <f>IF(OR(Calc!$E1422="",Calc!$E1422="نامعتبر",Calc!$G1422=""),"",Calc!$G1422)</f>
        <v/>
      </c>
      <c r="B1418" t="str">
        <f>IF($A1418="","",LEFT(Calc!$E1422,4)&amp;MID(Calc!$E1422,6,2)&amp;RIGHT(Calc!$E1422,2)&amp;Calc!$Q1422&amp;"|"&amp;"1"&amp;RIGHT("00000"&amp;1413,5))</f>
        <v/>
      </c>
      <c r="C1418" t="str">
        <f t="shared" si="110"/>
        <v/>
      </c>
      <c r="D1418" t="str">
        <f t="shared" si="111"/>
        <v/>
      </c>
      <c r="F1418" t="str">
        <f>IF(Sync!$AH1418="","",IF(LEFT(UPPER(TRIM(Sync!$AH1418)),2)="SL",UPPER(TRIM(Sync!$AH1418)),""))</f>
        <v/>
      </c>
      <c r="G1418" t="str">
        <f>IF($F1418="","",IF(Sync!$AE1418="","",IF(ISNUMBER(Sync!$AE1418),IF(AND(Sync!$AE1418&gt;=10000101,Sync!$AE1418&lt;=99991231),INT(Sync!$AE1418/10000),""),IFERROR(VALUE(TRIM(LEFT(Sync!$AE1418,FIND("/",Sync!$AE1418)-1))),""))))</f>
        <v/>
      </c>
      <c r="H1418" t="str">
        <f>IF(OR($F1418="",$G1418=""),"",IF(ISNUMBER(Sync!$AE1418),INT(MOD(Sync!$AE1418,10000)/100),IFERROR(VALUE(TRIM(LEFT(MID(Sync!$AE1418,FIND("/",Sync!$AE1418)+1,20),FIND("/",MID(Sync!$AE1418,FIND("/",Sync!$AE1418)+1,20))-1))),"")))</f>
        <v/>
      </c>
      <c r="I1418" t="str">
        <f>IF(OR($F1418="",$G1418=""),"",IF(ISNUMBER(Sync!$AE1418),MOD(Sync!$AE1418,100),IFERROR(VALUE(TRIM(MID(MID(Sync!$AE1418,FIND("/",Sync!$AE1418)+1,20),FIND("/",MID(Sync!$AE1418,FIND("/",Sync!$AE1418)+1,20))+1,20))),"")))</f>
        <v/>
      </c>
      <c r="J1418" t="str">
        <f t="shared" si="112"/>
        <v/>
      </c>
      <c r="K1418" t="str">
        <f>IF(OR($F1418="",$J1418="",$J1418="نامعتبر"),"",LEFT($J1418,4)&amp;MID($J1418,6,2)&amp;RIGHT($J1418,2)&amp;$N1418&amp;"|"&amp;"2"&amp;RIGHT("00000"&amp;1413,5))</f>
        <v/>
      </c>
      <c r="L1418" t="str">
        <f t="shared" si="113"/>
        <v/>
      </c>
      <c r="M1418" t="str">
        <f t="shared" si="114"/>
        <v/>
      </c>
      <c r="N1418" t="str">
        <f>IF($F1418="","",IF(Sync!$AF1418="","0000",IF(AND(ISNUMBER(Sync!$AF1418),Sync!$AF1418&gt;=0,Sync!$AF1418&lt;1),RIGHT("00"&amp;HOUR(Sync!$AF1418),2)&amp;RIGHT("00"&amp;MINUTE(Sync!$AF1418),2),IFERROR(RIGHT("00"&amp;VALUE(LEFT(Sync!$AF1418,FIND(":",Sync!$AF1418)-1)),2)&amp;RIGHT("00"&amp;VALUE(MID(Sync!$AF1418,FIND(":",Sync!$AF1418)+1,2)),2),"0000"))))</f>
        <v/>
      </c>
    </row>
    <row r="1419" spans="1:14" x14ac:dyDescent="0.2">
      <c r="A1419" t="str">
        <f>IF(OR(Calc!$E1423="",Calc!$E1423="نامعتبر",Calc!$G1423=""),"",Calc!$G1423)</f>
        <v/>
      </c>
      <c r="B1419" t="str">
        <f>IF($A1419="","",LEFT(Calc!$E1423,4)&amp;MID(Calc!$E1423,6,2)&amp;RIGHT(Calc!$E1423,2)&amp;Calc!$Q1423&amp;"|"&amp;"1"&amp;RIGHT("00000"&amp;1414,5))</f>
        <v/>
      </c>
      <c r="C1419" t="str">
        <f t="shared" si="110"/>
        <v/>
      </c>
      <c r="D1419" t="str">
        <f t="shared" si="111"/>
        <v/>
      </c>
      <c r="F1419" t="str">
        <f>IF(Sync!$AH1419="","",IF(LEFT(UPPER(TRIM(Sync!$AH1419)),2)="SL",UPPER(TRIM(Sync!$AH1419)),""))</f>
        <v/>
      </c>
      <c r="G1419" t="str">
        <f>IF($F1419="","",IF(Sync!$AE1419="","",IF(ISNUMBER(Sync!$AE1419),IF(AND(Sync!$AE1419&gt;=10000101,Sync!$AE1419&lt;=99991231),INT(Sync!$AE1419/10000),""),IFERROR(VALUE(TRIM(LEFT(Sync!$AE1419,FIND("/",Sync!$AE1419)-1))),""))))</f>
        <v/>
      </c>
      <c r="H1419" t="str">
        <f>IF(OR($F1419="",$G1419=""),"",IF(ISNUMBER(Sync!$AE1419),INT(MOD(Sync!$AE1419,10000)/100),IFERROR(VALUE(TRIM(LEFT(MID(Sync!$AE1419,FIND("/",Sync!$AE1419)+1,20),FIND("/",MID(Sync!$AE1419,FIND("/",Sync!$AE1419)+1,20))-1))),"")))</f>
        <v/>
      </c>
      <c r="I1419" t="str">
        <f>IF(OR($F1419="",$G1419=""),"",IF(ISNUMBER(Sync!$AE1419),MOD(Sync!$AE1419,100),IFERROR(VALUE(TRIM(MID(MID(Sync!$AE1419,FIND("/",Sync!$AE1419)+1,20),FIND("/",MID(Sync!$AE1419,FIND("/",Sync!$AE1419)+1,20))+1,20))),"")))</f>
        <v/>
      </c>
      <c r="J1419" t="str">
        <f t="shared" si="112"/>
        <v/>
      </c>
      <c r="K1419" t="str">
        <f>IF(OR($F1419="",$J1419="",$J1419="نامعتبر"),"",LEFT($J1419,4)&amp;MID($J1419,6,2)&amp;RIGHT($J1419,2)&amp;$N1419&amp;"|"&amp;"2"&amp;RIGHT("00000"&amp;1414,5))</f>
        <v/>
      </c>
      <c r="L1419" t="str">
        <f t="shared" si="113"/>
        <v/>
      </c>
      <c r="M1419" t="str">
        <f t="shared" si="114"/>
        <v/>
      </c>
      <c r="N1419" t="str">
        <f>IF($F1419="","",IF(Sync!$AF1419="","0000",IF(AND(ISNUMBER(Sync!$AF1419),Sync!$AF1419&gt;=0,Sync!$AF1419&lt;1),RIGHT("00"&amp;HOUR(Sync!$AF1419),2)&amp;RIGHT("00"&amp;MINUTE(Sync!$AF1419),2),IFERROR(RIGHT("00"&amp;VALUE(LEFT(Sync!$AF1419,FIND(":",Sync!$AF1419)-1)),2)&amp;RIGHT("00"&amp;VALUE(MID(Sync!$AF1419,FIND(":",Sync!$AF1419)+1,2)),2),"0000"))))</f>
        <v/>
      </c>
    </row>
    <row r="1420" spans="1:14" x14ac:dyDescent="0.2">
      <c r="A1420" t="str">
        <f>IF(OR(Calc!$E1424="",Calc!$E1424="نامعتبر",Calc!$G1424=""),"",Calc!$G1424)</f>
        <v/>
      </c>
      <c r="B1420" t="str">
        <f>IF($A1420="","",LEFT(Calc!$E1424,4)&amp;MID(Calc!$E1424,6,2)&amp;RIGHT(Calc!$E1424,2)&amp;Calc!$Q1424&amp;"|"&amp;"1"&amp;RIGHT("00000"&amp;1415,5))</f>
        <v/>
      </c>
      <c r="C1420" t="str">
        <f t="shared" si="110"/>
        <v/>
      </c>
      <c r="D1420" t="str">
        <f t="shared" si="111"/>
        <v/>
      </c>
      <c r="F1420" t="str">
        <f>IF(Sync!$AH1420="","",IF(LEFT(UPPER(TRIM(Sync!$AH1420)),2)="SL",UPPER(TRIM(Sync!$AH1420)),""))</f>
        <v/>
      </c>
      <c r="G1420" t="str">
        <f>IF($F1420="","",IF(Sync!$AE1420="","",IF(ISNUMBER(Sync!$AE1420),IF(AND(Sync!$AE1420&gt;=10000101,Sync!$AE1420&lt;=99991231),INT(Sync!$AE1420/10000),""),IFERROR(VALUE(TRIM(LEFT(Sync!$AE1420,FIND("/",Sync!$AE1420)-1))),""))))</f>
        <v/>
      </c>
      <c r="H1420" t="str">
        <f>IF(OR($F1420="",$G1420=""),"",IF(ISNUMBER(Sync!$AE1420),INT(MOD(Sync!$AE1420,10000)/100),IFERROR(VALUE(TRIM(LEFT(MID(Sync!$AE1420,FIND("/",Sync!$AE1420)+1,20),FIND("/",MID(Sync!$AE1420,FIND("/",Sync!$AE1420)+1,20))-1))),"")))</f>
        <v/>
      </c>
      <c r="I1420" t="str">
        <f>IF(OR($F1420="",$G1420=""),"",IF(ISNUMBER(Sync!$AE1420),MOD(Sync!$AE1420,100),IFERROR(VALUE(TRIM(MID(MID(Sync!$AE1420,FIND("/",Sync!$AE1420)+1,20),FIND("/",MID(Sync!$AE1420,FIND("/",Sync!$AE1420)+1,20))+1,20))),"")))</f>
        <v/>
      </c>
      <c r="J1420" t="str">
        <f t="shared" si="112"/>
        <v/>
      </c>
      <c r="K1420" t="str">
        <f>IF(OR($F1420="",$J1420="",$J1420="نامعتبر"),"",LEFT($J1420,4)&amp;MID($J1420,6,2)&amp;RIGHT($J1420,2)&amp;$N1420&amp;"|"&amp;"2"&amp;RIGHT("00000"&amp;1415,5))</f>
        <v/>
      </c>
      <c r="L1420" t="str">
        <f t="shared" si="113"/>
        <v/>
      </c>
      <c r="M1420" t="str">
        <f t="shared" si="114"/>
        <v/>
      </c>
      <c r="N1420" t="str">
        <f>IF($F1420="","",IF(Sync!$AF1420="","0000",IF(AND(ISNUMBER(Sync!$AF1420),Sync!$AF1420&gt;=0,Sync!$AF1420&lt;1),RIGHT("00"&amp;HOUR(Sync!$AF1420),2)&amp;RIGHT("00"&amp;MINUTE(Sync!$AF1420),2),IFERROR(RIGHT("00"&amp;VALUE(LEFT(Sync!$AF1420,FIND(":",Sync!$AF1420)-1)),2)&amp;RIGHT("00"&amp;VALUE(MID(Sync!$AF1420,FIND(":",Sync!$AF1420)+1,2)),2),"0000"))))</f>
        <v/>
      </c>
    </row>
    <row r="1421" spans="1:14" x14ac:dyDescent="0.2">
      <c r="A1421" t="str">
        <f>IF(OR(Calc!$E1425="",Calc!$E1425="نامعتبر",Calc!$G1425=""),"",Calc!$G1425)</f>
        <v/>
      </c>
      <c r="B1421" t="str">
        <f>IF($A1421="","",LEFT(Calc!$E1425,4)&amp;MID(Calc!$E1425,6,2)&amp;RIGHT(Calc!$E1425,2)&amp;Calc!$Q1425&amp;"|"&amp;"1"&amp;RIGHT("00000"&amp;1416,5))</f>
        <v/>
      </c>
      <c r="C1421" t="str">
        <f t="shared" si="110"/>
        <v/>
      </c>
      <c r="D1421" t="str">
        <f t="shared" si="111"/>
        <v/>
      </c>
      <c r="F1421" t="str">
        <f>IF(Sync!$AH1421="","",IF(LEFT(UPPER(TRIM(Sync!$AH1421)),2)="SL",UPPER(TRIM(Sync!$AH1421)),""))</f>
        <v/>
      </c>
      <c r="G1421" t="str">
        <f>IF($F1421="","",IF(Sync!$AE1421="","",IF(ISNUMBER(Sync!$AE1421),IF(AND(Sync!$AE1421&gt;=10000101,Sync!$AE1421&lt;=99991231),INT(Sync!$AE1421/10000),""),IFERROR(VALUE(TRIM(LEFT(Sync!$AE1421,FIND("/",Sync!$AE1421)-1))),""))))</f>
        <v/>
      </c>
      <c r="H1421" t="str">
        <f>IF(OR($F1421="",$G1421=""),"",IF(ISNUMBER(Sync!$AE1421),INT(MOD(Sync!$AE1421,10000)/100),IFERROR(VALUE(TRIM(LEFT(MID(Sync!$AE1421,FIND("/",Sync!$AE1421)+1,20),FIND("/",MID(Sync!$AE1421,FIND("/",Sync!$AE1421)+1,20))-1))),"")))</f>
        <v/>
      </c>
      <c r="I1421" t="str">
        <f>IF(OR($F1421="",$G1421=""),"",IF(ISNUMBER(Sync!$AE1421),MOD(Sync!$AE1421,100),IFERROR(VALUE(TRIM(MID(MID(Sync!$AE1421,FIND("/",Sync!$AE1421)+1,20),FIND("/",MID(Sync!$AE1421,FIND("/",Sync!$AE1421)+1,20))+1,20))),"")))</f>
        <v/>
      </c>
      <c r="J1421" t="str">
        <f t="shared" si="112"/>
        <v/>
      </c>
      <c r="K1421" t="str">
        <f>IF(OR($F1421="",$J1421="",$J1421="نامعتبر"),"",LEFT($J1421,4)&amp;MID($J1421,6,2)&amp;RIGHT($J1421,2)&amp;$N1421&amp;"|"&amp;"2"&amp;RIGHT("00000"&amp;1416,5))</f>
        <v/>
      </c>
      <c r="L1421" t="str">
        <f t="shared" si="113"/>
        <v/>
      </c>
      <c r="M1421" t="str">
        <f t="shared" si="114"/>
        <v/>
      </c>
      <c r="N1421" t="str">
        <f>IF($F1421="","",IF(Sync!$AF1421="","0000",IF(AND(ISNUMBER(Sync!$AF1421),Sync!$AF1421&gt;=0,Sync!$AF1421&lt;1),RIGHT("00"&amp;HOUR(Sync!$AF1421),2)&amp;RIGHT("00"&amp;MINUTE(Sync!$AF1421),2),IFERROR(RIGHT("00"&amp;VALUE(LEFT(Sync!$AF1421,FIND(":",Sync!$AF1421)-1)),2)&amp;RIGHT("00"&amp;VALUE(MID(Sync!$AF1421,FIND(":",Sync!$AF1421)+1,2)),2),"0000"))))</f>
        <v/>
      </c>
    </row>
    <row r="1422" spans="1:14" x14ac:dyDescent="0.2">
      <c r="A1422" t="str">
        <f>IF(OR(Calc!$E1426="",Calc!$E1426="نامعتبر",Calc!$G1426=""),"",Calc!$G1426)</f>
        <v/>
      </c>
      <c r="B1422" t="str">
        <f>IF($A1422="","",LEFT(Calc!$E1426,4)&amp;MID(Calc!$E1426,6,2)&amp;RIGHT(Calc!$E1426,2)&amp;Calc!$Q1426&amp;"|"&amp;"1"&amp;RIGHT("00000"&amp;1417,5))</f>
        <v/>
      </c>
      <c r="C1422" t="str">
        <f t="shared" si="110"/>
        <v/>
      </c>
      <c r="D1422" t="str">
        <f t="shared" si="111"/>
        <v/>
      </c>
      <c r="F1422" t="str">
        <f>IF(Sync!$AH1422="","",IF(LEFT(UPPER(TRIM(Sync!$AH1422)),2)="SL",UPPER(TRIM(Sync!$AH1422)),""))</f>
        <v/>
      </c>
      <c r="G1422" t="str">
        <f>IF($F1422="","",IF(Sync!$AE1422="","",IF(ISNUMBER(Sync!$AE1422),IF(AND(Sync!$AE1422&gt;=10000101,Sync!$AE1422&lt;=99991231),INT(Sync!$AE1422/10000),""),IFERROR(VALUE(TRIM(LEFT(Sync!$AE1422,FIND("/",Sync!$AE1422)-1))),""))))</f>
        <v/>
      </c>
      <c r="H1422" t="str">
        <f>IF(OR($F1422="",$G1422=""),"",IF(ISNUMBER(Sync!$AE1422),INT(MOD(Sync!$AE1422,10000)/100),IFERROR(VALUE(TRIM(LEFT(MID(Sync!$AE1422,FIND("/",Sync!$AE1422)+1,20),FIND("/",MID(Sync!$AE1422,FIND("/",Sync!$AE1422)+1,20))-1))),"")))</f>
        <v/>
      </c>
      <c r="I1422" t="str">
        <f>IF(OR($F1422="",$G1422=""),"",IF(ISNUMBER(Sync!$AE1422),MOD(Sync!$AE1422,100),IFERROR(VALUE(TRIM(MID(MID(Sync!$AE1422,FIND("/",Sync!$AE1422)+1,20),FIND("/",MID(Sync!$AE1422,FIND("/",Sync!$AE1422)+1,20))+1,20))),"")))</f>
        <v/>
      </c>
      <c r="J1422" t="str">
        <f t="shared" si="112"/>
        <v/>
      </c>
      <c r="K1422" t="str">
        <f>IF(OR($F1422="",$J1422="",$J1422="نامعتبر"),"",LEFT($J1422,4)&amp;MID($J1422,6,2)&amp;RIGHT($J1422,2)&amp;$N1422&amp;"|"&amp;"2"&amp;RIGHT("00000"&amp;1417,5))</f>
        <v/>
      </c>
      <c r="L1422" t="str">
        <f t="shared" si="113"/>
        <v/>
      </c>
      <c r="M1422" t="str">
        <f t="shared" si="114"/>
        <v/>
      </c>
      <c r="N1422" t="str">
        <f>IF($F1422="","",IF(Sync!$AF1422="","0000",IF(AND(ISNUMBER(Sync!$AF1422),Sync!$AF1422&gt;=0,Sync!$AF1422&lt;1),RIGHT("00"&amp;HOUR(Sync!$AF1422),2)&amp;RIGHT("00"&amp;MINUTE(Sync!$AF1422),2),IFERROR(RIGHT("00"&amp;VALUE(LEFT(Sync!$AF1422,FIND(":",Sync!$AF1422)-1)),2)&amp;RIGHT("00"&amp;VALUE(MID(Sync!$AF1422,FIND(":",Sync!$AF1422)+1,2)),2),"0000"))))</f>
        <v/>
      </c>
    </row>
    <row r="1423" spans="1:14" x14ac:dyDescent="0.2">
      <c r="A1423" t="str">
        <f>IF(OR(Calc!$E1427="",Calc!$E1427="نامعتبر",Calc!$G1427=""),"",Calc!$G1427)</f>
        <v/>
      </c>
      <c r="B1423" t="str">
        <f>IF($A1423="","",LEFT(Calc!$E1427,4)&amp;MID(Calc!$E1427,6,2)&amp;RIGHT(Calc!$E1427,2)&amp;Calc!$Q1427&amp;"|"&amp;"1"&amp;RIGHT("00000"&amp;1418,5))</f>
        <v/>
      </c>
      <c r="C1423" t="str">
        <f t="shared" si="110"/>
        <v/>
      </c>
      <c r="D1423" t="str">
        <f t="shared" si="111"/>
        <v/>
      </c>
      <c r="F1423" t="str">
        <f>IF(Sync!$AH1423="","",IF(LEFT(UPPER(TRIM(Sync!$AH1423)),2)="SL",UPPER(TRIM(Sync!$AH1423)),""))</f>
        <v/>
      </c>
      <c r="G1423" t="str">
        <f>IF($F1423="","",IF(Sync!$AE1423="","",IF(ISNUMBER(Sync!$AE1423),IF(AND(Sync!$AE1423&gt;=10000101,Sync!$AE1423&lt;=99991231),INT(Sync!$AE1423/10000),""),IFERROR(VALUE(TRIM(LEFT(Sync!$AE1423,FIND("/",Sync!$AE1423)-1))),""))))</f>
        <v/>
      </c>
      <c r="H1423" t="str">
        <f>IF(OR($F1423="",$G1423=""),"",IF(ISNUMBER(Sync!$AE1423),INT(MOD(Sync!$AE1423,10000)/100),IFERROR(VALUE(TRIM(LEFT(MID(Sync!$AE1423,FIND("/",Sync!$AE1423)+1,20),FIND("/",MID(Sync!$AE1423,FIND("/",Sync!$AE1423)+1,20))-1))),"")))</f>
        <v/>
      </c>
      <c r="I1423" t="str">
        <f>IF(OR($F1423="",$G1423=""),"",IF(ISNUMBER(Sync!$AE1423),MOD(Sync!$AE1423,100),IFERROR(VALUE(TRIM(MID(MID(Sync!$AE1423,FIND("/",Sync!$AE1423)+1,20),FIND("/",MID(Sync!$AE1423,FIND("/",Sync!$AE1423)+1,20))+1,20))),"")))</f>
        <v/>
      </c>
      <c r="J1423" t="str">
        <f t="shared" si="112"/>
        <v/>
      </c>
      <c r="K1423" t="str">
        <f>IF(OR($F1423="",$J1423="",$J1423="نامعتبر"),"",LEFT($J1423,4)&amp;MID($J1423,6,2)&amp;RIGHT($J1423,2)&amp;$N1423&amp;"|"&amp;"2"&amp;RIGHT("00000"&amp;1418,5))</f>
        <v/>
      </c>
      <c r="L1423" t="str">
        <f t="shared" si="113"/>
        <v/>
      </c>
      <c r="M1423" t="str">
        <f t="shared" si="114"/>
        <v/>
      </c>
      <c r="N1423" t="str">
        <f>IF($F1423="","",IF(Sync!$AF1423="","0000",IF(AND(ISNUMBER(Sync!$AF1423),Sync!$AF1423&gt;=0,Sync!$AF1423&lt;1),RIGHT("00"&amp;HOUR(Sync!$AF1423),2)&amp;RIGHT("00"&amp;MINUTE(Sync!$AF1423),2),IFERROR(RIGHT("00"&amp;VALUE(LEFT(Sync!$AF1423,FIND(":",Sync!$AF1423)-1)),2)&amp;RIGHT("00"&amp;VALUE(MID(Sync!$AF1423,FIND(":",Sync!$AF1423)+1,2)),2),"0000"))))</f>
        <v/>
      </c>
    </row>
    <row r="1424" spans="1:14" x14ac:dyDescent="0.2">
      <c r="A1424" t="str">
        <f>IF(OR(Calc!$E1428="",Calc!$E1428="نامعتبر",Calc!$G1428=""),"",Calc!$G1428)</f>
        <v/>
      </c>
      <c r="B1424" t="str">
        <f>IF($A1424="","",LEFT(Calc!$E1428,4)&amp;MID(Calc!$E1428,6,2)&amp;RIGHT(Calc!$E1428,2)&amp;Calc!$Q1428&amp;"|"&amp;"1"&amp;RIGHT("00000"&amp;1419,5))</f>
        <v/>
      </c>
      <c r="C1424" t="str">
        <f t="shared" si="110"/>
        <v/>
      </c>
      <c r="D1424" t="str">
        <f t="shared" si="111"/>
        <v/>
      </c>
      <c r="F1424" t="str">
        <f>IF(Sync!$AH1424="","",IF(LEFT(UPPER(TRIM(Sync!$AH1424)),2)="SL",UPPER(TRIM(Sync!$AH1424)),""))</f>
        <v/>
      </c>
      <c r="G1424" t="str">
        <f>IF($F1424="","",IF(Sync!$AE1424="","",IF(ISNUMBER(Sync!$AE1424),IF(AND(Sync!$AE1424&gt;=10000101,Sync!$AE1424&lt;=99991231),INT(Sync!$AE1424/10000),""),IFERROR(VALUE(TRIM(LEFT(Sync!$AE1424,FIND("/",Sync!$AE1424)-1))),""))))</f>
        <v/>
      </c>
      <c r="H1424" t="str">
        <f>IF(OR($F1424="",$G1424=""),"",IF(ISNUMBER(Sync!$AE1424),INT(MOD(Sync!$AE1424,10000)/100),IFERROR(VALUE(TRIM(LEFT(MID(Sync!$AE1424,FIND("/",Sync!$AE1424)+1,20),FIND("/",MID(Sync!$AE1424,FIND("/",Sync!$AE1424)+1,20))-1))),"")))</f>
        <v/>
      </c>
      <c r="I1424" t="str">
        <f>IF(OR($F1424="",$G1424=""),"",IF(ISNUMBER(Sync!$AE1424),MOD(Sync!$AE1424,100),IFERROR(VALUE(TRIM(MID(MID(Sync!$AE1424,FIND("/",Sync!$AE1424)+1,20),FIND("/",MID(Sync!$AE1424,FIND("/",Sync!$AE1424)+1,20))+1,20))),"")))</f>
        <v/>
      </c>
      <c r="J1424" t="str">
        <f t="shared" si="112"/>
        <v/>
      </c>
      <c r="K1424" t="str">
        <f>IF(OR($F1424="",$J1424="",$J1424="نامعتبر"),"",LEFT($J1424,4)&amp;MID($J1424,6,2)&amp;RIGHT($J1424,2)&amp;$N1424&amp;"|"&amp;"2"&amp;RIGHT("00000"&amp;1419,5))</f>
        <v/>
      </c>
      <c r="L1424" t="str">
        <f t="shared" si="113"/>
        <v/>
      </c>
      <c r="M1424" t="str">
        <f t="shared" si="114"/>
        <v/>
      </c>
      <c r="N1424" t="str">
        <f>IF($F1424="","",IF(Sync!$AF1424="","0000",IF(AND(ISNUMBER(Sync!$AF1424),Sync!$AF1424&gt;=0,Sync!$AF1424&lt;1),RIGHT("00"&amp;HOUR(Sync!$AF1424),2)&amp;RIGHT("00"&amp;MINUTE(Sync!$AF1424),2),IFERROR(RIGHT("00"&amp;VALUE(LEFT(Sync!$AF1424,FIND(":",Sync!$AF1424)-1)),2)&amp;RIGHT("00"&amp;VALUE(MID(Sync!$AF1424,FIND(":",Sync!$AF1424)+1,2)),2),"0000"))))</f>
        <v/>
      </c>
    </row>
    <row r="1425" spans="1:14" x14ac:dyDescent="0.2">
      <c r="A1425" t="str">
        <f>IF(OR(Calc!$E1429="",Calc!$E1429="نامعتبر",Calc!$G1429=""),"",Calc!$G1429)</f>
        <v/>
      </c>
      <c r="B1425" t="str">
        <f>IF($A1425="","",LEFT(Calc!$E1429,4)&amp;MID(Calc!$E1429,6,2)&amp;RIGHT(Calc!$E1429,2)&amp;Calc!$Q1429&amp;"|"&amp;"1"&amp;RIGHT("00000"&amp;1420,5))</f>
        <v/>
      </c>
      <c r="C1425" t="str">
        <f t="shared" si="110"/>
        <v/>
      </c>
      <c r="D1425" t="str">
        <f t="shared" si="111"/>
        <v/>
      </c>
      <c r="F1425" t="str">
        <f>IF(Sync!$AH1425="","",IF(LEFT(UPPER(TRIM(Sync!$AH1425)),2)="SL",UPPER(TRIM(Sync!$AH1425)),""))</f>
        <v/>
      </c>
      <c r="G1425" t="str">
        <f>IF($F1425="","",IF(Sync!$AE1425="","",IF(ISNUMBER(Sync!$AE1425),IF(AND(Sync!$AE1425&gt;=10000101,Sync!$AE1425&lt;=99991231),INT(Sync!$AE1425/10000),""),IFERROR(VALUE(TRIM(LEFT(Sync!$AE1425,FIND("/",Sync!$AE1425)-1))),""))))</f>
        <v/>
      </c>
      <c r="H1425" t="str">
        <f>IF(OR($F1425="",$G1425=""),"",IF(ISNUMBER(Sync!$AE1425),INT(MOD(Sync!$AE1425,10000)/100),IFERROR(VALUE(TRIM(LEFT(MID(Sync!$AE1425,FIND("/",Sync!$AE1425)+1,20),FIND("/",MID(Sync!$AE1425,FIND("/",Sync!$AE1425)+1,20))-1))),"")))</f>
        <v/>
      </c>
      <c r="I1425" t="str">
        <f>IF(OR($F1425="",$G1425=""),"",IF(ISNUMBER(Sync!$AE1425),MOD(Sync!$AE1425,100),IFERROR(VALUE(TRIM(MID(MID(Sync!$AE1425,FIND("/",Sync!$AE1425)+1,20),FIND("/",MID(Sync!$AE1425,FIND("/",Sync!$AE1425)+1,20))+1,20))),"")))</f>
        <v/>
      </c>
      <c r="J1425" t="str">
        <f t="shared" si="112"/>
        <v/>
      </c>
      <c r="K1425" t="str">
        <f>IF(OR($F1425="",$J1425="",$J1425="نامعتبر"),"",LEFT($J1425,4)&amp;MID($J1425,6,2)&amp;RIGHT($J1425,2)&amp;$N1425&amp;"|"&amp;"2"&amp;RIGHT("00000"&amp;1420,5))</f>
        <v/>
      </c>
      <c r="L1425" t="str">
        <f t="shared" si="113"/>
        <v/>
      </c>
      <c r="M1425" t="str">
        <f t="shared" si="114"/>
        <v/>
      </c>
      <c r="N1425" t="str">
        <f>IF($F1425="","",IF(Sync!$AF1425="","0000",IF(AND(ISNUMBER(Sync!$AF1425),Sync!$AF1425&gt;=0,Sync!$AF1425&lt;1),RIGHT("00"&amp;HOUR(Sync!$AF1425),2)&amp;RIGHT("00"&amp;MINUTE(Sync!$AF1425),2),IFERROR(RIGHT("00"&amp;VALUE(LEFT(Sync!$AF1425,FIND(":",Sync!$AF1425)-1)),2)&amp;RIGHT("00"&amp;VALUE(MID(Sync!$AF1425,FIND(":",Sync!$AF1425)+1,2)),2),"0000"))))</f>
        <v/>
      </c>
    </row>
    <row r="1426" spans="1:14" x14ac:dyDescent="0.2">
      <c r="A1426" t="str">
        <f>IF(OR(Calc!$E1430="",Calc!$E1430="نامعتبر",Calc!$G1430=""),"",Calc!$G1430)</f>
        <v/>
      </c>
      <c r="B1426" t="str">
        <f>IF($A1426="","",LEFT(Calc!$E1430,4)&amp;MID(Calc!$E1430,6,2)&amp;RIGHT(Calc!$E1430,2)&amp;Calc!$Q1430&amp;"|"&amp;"1"&amp;RIGHT("00000"&amp;1421,5))</f>
        <v/>
      </c>
      <c r="C1426" t="str">
        <f t="shared" si="110"/>
        <v/>
      </c>
      <c r="D1426" t="str">
        <f t="shared" si="111"/>
        <v/>
      </c>
      <c r="F1426" t="str">
        <f>IF(Sync!$AH1426="","",IF(LEFT(UPPER(TRIM(Sync!$AH1426)),2)="SL",UPPER(TRIM(Sync!$AH1426)),""))</f>
        <v/>
      </c>
      <c r="G1426" t="str">
        <f>IF($F1426="","",IF(Sync!$AE1426="","",IF(ISNUMBER(Sync!$AE1426),IF(AND(Sync!$AE1426&gt;=10000101,Sync!$AE1426&lt;=99991231),INT(Sync!$AE1426/10000),""),IFERROR(VALUE(TRIM(LEFT(Sync!$AE1426,FIND("/",Sync!$AE1426)-1))),""))))</f>
        <v/>
      </c>
      <c r="H1426" t="str">
        <f>IF(OR($F1426="",$G1426=""),"",IF(ISNUMBER(Sync!$AE1426),INT(MOD(Sync!$AE1426,10000)/100),IFERROR(VALUE(TRIM(LEFT(MID(Sync!$AE1426,FIND("/",Sync!$AE1426)+1,20),FIND("/",MID(Sync!$AE1426,FIND("/",Sync!$AE1426)+1,20))-1))),"")))</f>
        <v/>
      </c>
      <c r="I1426" t="str">
        <f>IF(OR($F1426="",$G1426=""),"",IF(ISNUMBER(Sync!$AE1426),MOD(Sync!$AE1426,100),IFERROR(VALUE(TRIM(MID(MID(Sync!$AE1426,FIND("/",Sync!$AE1426)+1,20),FIND("/",MID(Sync!$AE1426,FIND("/",Sync!$AE1426)+1,20))+1,20))),"")))</f>
        <v/>
      </c>
      <c r="J1426" t="str">
        <f t="shared" si="112"/>
        <v/>
      </c>
      <c r="K1426" t="str">
        <f>IF(OR($F1426="",$J1426="",$J1426="نامعتبر"),"",LEFT($J1426,4)&amp;MID($J1426,6,2)&amp;RIGHT($J1426,2)&amp;$N1426&amp;"|"&amp;"2"&amp;RIGHT("00000"&amp;1421,5))</f>
        <v/>
      </c>
      <c r="L1426" t="str">
        <f t="shared" si="113"/>
        <v/>
      </c>
      <c r="M1426" t="str">
        <f t="shared" si="114"/>
        <v/>
      </c>
      <c r="N1426" t="str">
        <f>IF($F1426="","",IF(Sync!$AF1426="","0000",IF(AND(ISNUMBER(Sync!$AF1426),Sync!$AF1426&gt;=0,Sync!$AF1426&lt;1),RIGHT("00"&amp;HOUR(Sync!$AF1426),2)&amp;RIGHT("00"&amp;MINUTE(Sync!$AF1426),2),IFERROR(RIGHT("00"&amp;VALUE(LEFT(Sync!$AF1426,FIND(":",Sync!$AF1426)-1)),2)&amp;RIGHT("00"&amp;VALUE(MID(Sync!$AF1426,FIND(":",Sync!$AF1426)+1,2)),2),"0000"))))</f>
        <v/>
      </c>
    </row>
    <row r="1427" spans="1:14" x14ac:dyDescent="0.2">
      <c r="A1427" t="str">
        <f>IF(OR(Calc!$E1431="",Calc!$E1431="نامعتبر",Calc!$G1431=""),"",Calc!$G1431)</f>
        <v/>
      </c>
      <c r="B1427" t="str">
        <f>IF($A1427="","",LEFT(Calc!$E1431,4)&amp;MID(Calc!$E1431,6,2)&amp;RIGHT(Calc!$E1431,2)&amp;Calc!$Q1431&amp;"|"&amp;"1"&amp;RIGHT("00000"&amp;1422,5))</f>
        <v/>
      </c>
      <c r="C1427" t="str">
        <f t="shared" si="110"/>
        <v/>
      </c>
      <c r="D1427" t="str">
        <f t="shared" si="111"/>
        <v/>
      </c>
      <c r="F1427" t="str">
        <f>IF(Sync!$AH1427="","",IF(LEFT(UPPER(TRIM(Sync!$AH1427)),2)="SL",UPPER(TRIM(Sync!$AH1427)),""))</f>
        <v/>
      </c>
      <c r="G1427" t="str">
        <f>IF($F1427="","",IF(Sync!$AE1427="","",IF(ISNUMBER(Sync!$AE1427),IF(AND(Sync!$AE1427&gt;=10000101,Sync!$AE1427&lt;=99991231),INT(Sync!$AE1427/10000),""),IFERROR(VALUE(TRIM(LEFT(Sync!$AE1427,FIND("/",Sync!$AE1427)-1))),""))))</f>
        <v/>
      </c>
      <c r="H1427" t="str">
        <f>IF(OR($F1427="",$G1427=""),"",IF(ISNUMBER(Sync!$AE1427),INT(MOD(Sync!$AE1427,10000)/100),IFERROR(VALUE(TRIM(LEFT(MID(Sync!$AE1427,FIND("/",Sync!$AE1427)+1,20),FIND("/",MID(Sync!$AE1427,FIND("/",Sync!$AE1427)+1,20))-1))),"")))</f>
        <v/>
      </c>
      <c r="I1427" t="str">
        <f>IF(OR($F1427="",$G1427=""),"",IF(ISNUMBER(Sync!$AE1427),MOD(Sync!$AE1427,100),IFERROR(VALUE(TRIM(MID(MID(Sync!$AE1427,FIND("/",Sync!$AE1427)+1,20),FIND("/",MID(Sync!$AE1427,FIND("/",Sync!$AE1427)+1,20))+1,20))),"")))</f>
        <v/>
      </c>
      <c r="J1427" t="str">
        <f t="shared" si="112"/>
        <v/>
      </c>
      <c r="K1427" t="str">
        <f>IF(OR($F1427="",$J1427="",$J1427="نامعتبر"),"",LEFT($J1427,4)&amp;MID($J1427,6,2)&amp;RIGHT($J1427,2)&amp;$N1427&amp;"|"&amp;"2"&amp;RIGHT("00000"&amp;1422,5))</f>
        <v/>
      </c>
      <c r="L1427" t="str">
        <f t="shared" si="113"/>
        <v/>
      </c>
      <c r="M1427" t="str">
        <f t="shared" si="114"/>
        <v/>
      </c>
      <c r="N1427" t="str">
        <f>IF($F1427="","",IF(Sync!$AF1427="","0000",IF(AND(ISNUMBER(Sync!$AF1427),Sync!$AF1427&gt;=0,Sync!$AF1427&lt;1),RIGHT("00"&amp;HOUR(Sync!$AF1427),2)&amp;RIGHT("00"&amp;MINUTE(Sync!$AF1427),2),IFERROR(RIGHT("00"&amp;VALUE(LEFT(Sync!$AF1427,FIND(":",Sync!$AF1427)-1)),2)&amp;RIGHT("00"&amp;VALUE(MID(Sync!$AF1427,FIND(":",Sync!$AF1427)+1,2)),2),"0000"))))</f>
        <v/>
      </c>
    </row>
    <row r="1428" spans="1:14" x14ac:dyDescent="0.2">
      <c r="A1428" t="str">
        <f>IF(OR(Calc!$E1432="",Calc!$E1432="نامعتبر",Calc!$G1432=""),"",Calc!$G1432)</f>
        <v/>
      </c>
      <c r="B1428" t="str">
        <f>IF($A1428="","",LEFT(Calc!$E1432,4)&amp;MID(Calc!$E1432,6,2)&amp;RIGHT(Calc!$E1432,2)&amp;Calc!$Q1432&amp;"|"&amp;"1"&amp;RIGHT("00000"&amp;1423,5))</f>
        <v/>
      </c>
      <c r="C1428" t="str">
        <f t="shared" si="110"/>
        <v/>
      </c>
      <c r="D1428" t="str">
        <f t="shared" si="111"/>
        <v/>
      </c>
      <c r="F1428" t="str">
        <f>IF(Sync!$AH1428="","",IF(LEFT(UPPER(TRIM(Sync!$AH1428)),2)="SL",UPPER(TRIM(Sync!$AH1428)),""))</f>
        <v/>
      </c>
      <c r="G1428" t="str">
        <f>IF($F1428="","",IF(Sync!$AE1428="","",IF(ISNUMBER(Sync!$AE1428),IF(AND(Sync!$AE1428&gt;=10000101,Sync!$AE1428&lt;=99991231),INT(Sync!$AE1428/10000),""),IFERROR(VALUE(TRIM(LEFT(Sync!$AE1428,FIND("/",Sync!$AE1428)-1))),""))))</f>
        <v/>
      </c>
      <c r="H1428" t="str">
        <f>IF(OR($F1428="",$G1428=""),"",IF(ISNUMBER(Sync!$AE1428),INT(MOD(Sync!$AE1428,10000)/100),IFERROR(VALUE(TRIM(LEFT(MID(Sync!$AE1428,FIND("/",Sync!$AE1428)+1,20),FIND("/",MID(Sync!$AE1428,FIND("/",Sync!$AE1428)+1,20))-1))),"")))</f>
        <v/>
      </c>
      <c r="I1428" t="str">
        <f>IF(OR($F1428="",$G1428=""),"",IF(ISNUMBER(Sync!$AE1428),MOD(Sync!$AE1428,100),IFERROR(VALUE(TRIM(MID(MID(Sync!$AE1428,FIND("/",Sync!$AE1428)+1,20),FIND("/",MID(Sync!$AE1428,FIND("/",Sync!$AE1428)+1,20))+1,20))),"")))</f>
        <v/>
      </c>
      <c r="J1428" t="str">
        <f t="shared" si="112"/>
        <v/>
      </c>
      <c r="K1428" t="str">
        <f>IF(OR($F1428="",$J1428="",$J1428="نامعتبر"),"",LEFT($J1428,4)&amp;MID($J1428,6,2)&amp;RIGHT($J1428,2)&amp;$N1428&amp;"|"&amp;"2"&amp;RIGHT("00000"&amp;1423,5))</f>
        <v/>
      </c>
      <c r="L1428" t="str">
        <f t="shared" si="113"/>
        <v/>
      </c>
      <c r="M1428" t="str">
        <f t="shared" si="114"/>
        <v/>
      </c>
      <c r="N1428" t="str">
        <f>IF($F1428="","",IF(Sync!$AF1428="","0000",IF(AND(ISNUMBER(Sync!$AF1428),Sync!$AF1428&gt;=0,Sync!$AF1428&lt;1),RIGHT("00"&amp;HOUR(Sync!$AF1428),2)&amp;RIGHT("00"&amp;MINUTE(Sync!$AF1428),2),IFERROR(RIGHT("00"&amp;VALUE(LEFT(Sync!$AF1428,FIND(":",Sync!$AF1428)-1)),2)&amp;RIGHT("00"&amp;VALUE(MID(Sync!$AF1428,FIND(":",Sync!$AF1428)+1,2)),2),"0000"))))</f>
        <v/>
      </c>
    </row>
    <row r="1429" spans="1:14" x14ac:dyDescent="0.2">
      <c r="A1429" t="str">
        <f>IF(OR(Calc!$E1433="",Calc!$E1433="نامعتبر",Calc!$G1433=""),"",Calc!$G1433)</f>
        <v/>
      </c>
      <c r="B1429" t="str">
        <f>IF($A1429="","",LEFT(Calc!$E1433,4)&amp;MID(Calc!$E1433,6,2)&amp;RIGHT(Calc!$E1433,2)&amp;Calc!$Q1433&amp;"|"&amp;"1"&amp;RIGHT("00000"&amp;1424,5))</f>
        <v/>
      </c>
      <c r="C1429" t="str">
        <f t="shared" si="110"/>
        <v/>
      </c>
      <c r="D1429" t="str">
        <f t="shared" si="111"/>
        <v/>
      </c>
      <c r="F1429" t="str">
        <f>IF(Sync!$AH1429="","",IF(LEFT(UPPER(TRIM(Sync!$AH1429)),2)="SL",UPPER(TRIM(Sync!$AH1429)),""))</f>
        <v/>
      </c>
      <c r="G1429" t="str">
        <f>IF($F1429="","",IF(Sync!$AE1429="","",IF(ISNUMBER(Sync!$AE1429),IF(AND(Sync!$AE1429&gt;=10000101,Sync!$AE1429&lt;=99991231),INT(Sync!$AE1429/10000),""),IFERROR(VALUE(TRIM(LEFT(Sync!$AE1429,FIND("/",Sync!$AE1429)-1))),""))))</f>
        <v/>
      </c>
      <c r="H1429" t="str">
        <f>IF(OR($F1429="",$G1429=""),"",IF(ISNUMBER(Sync!$AE1429),INT(MOD(Sync!$AE1429,10000)/100),IFERROR(VALUE(TRIM(LEFT(MID(Sync!$AE1429,FIND("/",Sync!$AE1429)+1,20),FIND("/",MID(Sync!$AE1429,FIND("/",Sync!$AE1429)+1,20))-1))),"")))</f>
        <v/>
      </c>
      <c r="I1429" t="str">
        <f>IF(OR($F1429="",$G1429=""),"",IF(ISNUMBER(Sync!$AE1429),MOD(Sync!$AE1429,100),IFERROR(VALUE(TRIM(MID(MID(Sync!$AE1429,FIND("/",Sync!$AE1429)+1,20),FIND("/",MID(Sync!$AE1429,FIND("/",Sync!$AE1429)+1,20))+1,20))),"")))</f>
        <v/>
      </c>
      <c r="J1429" t="str">
        <f t="shared" si="112"/>
        <v/>
      </c>
      <c r="K1429" t="str">
        <f>IF(OR($F1429="",$J1429="",$J1429="نامعتبر"),"",LEFT($J1429,4)&amp;MID($J1429,6,2)&amp;RIGHT($J1429,2)&amp;$N1429&amp;"|"&amp;"2"&amp;RIGHT("00000"&amp;1424,5))</f>
        <v/>
      </c>
      <c r="L1429" t="str">
        <f t="shared" si="113"/>
        <v/>
      </c>
      <c r="M1429" t="str">
        <f t="shared" si="114"/>
        <v/>
      </c>
      <c r="N1429" t="str">
        <f>IF($F1429="","",IF(Sync!$AF1429="","0000",IF(AND(ISNUMBER(Sync!$AF1429),Sync!$AF1429&gt;=0,Sync!$AF1429&lt;1),RIGHT("00"&amp;HOUR(Sync!$AF1429),2)&amp;RIGHT("00"&amp;MINUTE(Sync!$AF1429),2),IFERROR(RIGHT("00"&amp;VALUE(LEFT(Sync!$AF1429,FIND(":",Sync!$AF1429)-1)),2)&amp;RIGHT("00"&amp;VALUE(MID(Sync!$AF1429,FIND(":",Sync!$AF1429)+1,2)),2),"0000"))))</f>
        <v/>
      </c>
    </row>
    <row r="1430" spans="1:14" x14ac:dyDescent="0.2">
      <c r="A1430" t="str">
        <f>IF(OR(Calc!$E1434="",Calc!$E1434="نامعتبر",Calc!$G1434=""),"",Calc!$G1434)</f>
        <v/>
      </c>
      <c r="B1430" t="str">
        <f>IF($A1430="","",LEFT(Calc!$E1434,4)&amp;MID(Calc!$E1434,6,2)&amp;RIGHT(Calc!$E1434,2)&amp;Calc!$Q1434&amp;"|"&amp;"1"&amp;RIGHT("00000"&amp;1425,5))</f>
        <v/>
      </c>
      <c r="C1430" t="str">
        <f t="shared" si="110"/>
        <v/>
      </c>
      <c r="D1430" t="str">
        <f t="shared" si="111"/>
        <v/>
      </c>
      <c r="F1430" t="str">
        <f>IF(Sync!$AH1430="","",IF(LEFT(UPPER(TRIM(Sync!$AH1430)),2)="SL",UPPER(TRIM(Sync!$AH1430)),""))</f>
        <v/>
      </c>
      <c r="G1430" t="str">
        <f>IF($F1430="","",IF(Sync!$AE1430="","",IF(ISNUMBER(Sync!$AE1430),IF(AND(Sync!$AE1430&gt;=10000101,Sync!$AE1430&lt;=99991231),INT(Sync!$AE1430/10000),""),IFERROR(VALUE(TRIM(LEFT(Sync!$AE1430,FIND("/",Sync!$AE1430)-1))),""))))</f>
        <v/>
      </c>
      <c r="H1430" t="str">
        <f>IF(OR($F1430="",$G1430=""),"",IF(ISNUMBER(Sync!$AE1430),INT(MOD(Sync!$AE1430,10000)/100),IFERROR(VALUE(TRIM(LEFT(MID(Sync!$AE1430,FIND("/",Sync!$AE1430)+1,20),FIND("/",MID(Sync!$AE1430,FIND("/",Sync!$AE1430)+1,20))-1))),"")))</f>
        <v/>
      </c>
      <c r="I1430" t="str">
        <f>IF(OR($F1430="",$G1430=""),"",IF(ISNUMBER(Sync!$AE1430),MOD(Sync!$AE1430,100),IFERROR(VALUE(TRIM(MID(MID(Sync!$AE1430,FIND("/",Sync!$AE1430)+1,20),FIND("/",MID(Sync!$AE1430,FIND("/",Sync!$AE1430)+1,20))+1,20))),"")))</f>
        <v/>
      </c>
      <c r="J1430" t="str">
        <f t="shared" si="112"/>
        <v/>
      </c>
      <c r="K1430" t="str">
        <f>IF(OR($F1430="",$J1430="",$J1430="نامعتبر"),"",LEFT($J1430,4)&amp;MID($J1430,6,2)&amp;RIGHT($J1430,2)&amp;$N1430&amp;"|"&amp;"2"&amp;RIGHT("00000"&amp;1425,5))</f>
        <v/>
      </c>
      <c r="L1430" t="str">
        <f t="shared" si="113"/>
        <v/>
      </c>
      <c r="M1430" t="str">
        <f t="shared" si="114"/>
        <v/>
      </c>
      <c r="N1430" t="str">
        <f>IF($F1430="","",IF(Sync!$AF1430="","0000",IF(AND(ISNUMBER(Sync!$AF1430),Sync!$AF1430&gt;=0,Sync!$AF1430&lt;1),RIGHT("00"&amp;HOUR(Sync!$AF1430),2)&amp;RIGHT("00"&amp;MINUTE(Sync!$AF1430),2),IFERROR(RIGHT("00"&amp;VALUE(LEFT(Sync!$AF1430,FIND(":",Sync!$AF1430)-1)),2)&amp;RIGHT("00"&amp;VALUE(MID(Sync!$AF1430,FIND(":",Sync!$AF1430)+1,2)),2),"0000"))))</f>
        <v/>
      </c>
    </row>
    <row r="1431" spans="1:14" x14ac:dyDescent="0.2">
      <c r="A1431" t="str">
        <f>IF(OR(Calc!$E1435="",Calc!$E1435="نامعتبر",Calc!$G1435=""),"",Calc!$G1435)</f>
        <v/>
      </c>
      <c r="B1431" t="str">
        <f>IF($A1431="","",LEFT(Calc!$E1435,4)&amp;MID(Calc!$E1435,6,2)&amp;RIGHT(Calc!$E1435,2)&amp;Calc!$Q1435&amp;"|"&amp;"1"&amp;RIGHT("00000"&amp;1426,5))</f>
        <v/>
      </c>
      <c r="C1431" t="str">
        <f t="shared" si="110"/>
        <v/>
      </c>
      <c r="D1431" t="str">
        <f t="shared" si="111"/>
        <v/>
      </c>
      <c r="F1431" t="str">
        <f>IF(Sync!$AH1431="","",IF(LEFT(UPPER(TRIM(Sync!$AH1431)),2)="SL",UPPER(TRIM(Sync!$AH1431)),""))</f>
        <v/>
      </c>
      <c r="G1431" t="str">
        <f>IF($F1431="","",IF(Sync!$AE1431="","",IF(ISNUMBER(Sync!$AE1431),IF(AND(Sync!$AE1431&gt;=10000101,Sync!$AE1431&lt;=99991231),INT(Sync!$AE1431/10000),""),IFERROR(VALUE(TRIM(LEFT(Sync!$AE1431,FIND("/",Sync!$AE1431)-1))),""))))</f>
        <v/>
      </c>
      <c r="H1431" t="str">
        <f>IF(OR($F1431="",$G1431=""),"",IF(ISNUMBER(Sync!$AE1431),INT(MOD(Sync!$AE1431,10000)/100),IFERROR(VALUE(TRIM(LEFT(MID(Sync!$AE1431,FIND("/",Sync!$AE1431)+1,20),FIND("/",MID(Sync!$AE1431,FIND("/",Sync!$AE1431)+1,20))-1))),"")))</f>
        <v/>
      </c>
      <c r="I1431" t="str">
        <f>IF(OR($F1431="",$G1431=""),"",IF(ISNUMBER(Sync!$AE1431),MOD(Sync!$AE1431,100),IFERROR(VALUE(TRIM(MID(MID(Sync!$AE1431,FIND("/",Sync!$AE1431)+1,20),FIND("/",MID(Sync!$AE1431,FIND("/",Sync!$AE1431)+1,20))+1,20))),"")))</f>
        <v/>
      </c>
      <c r="J1431" t="str">
        <f t="shared" si="112"/>
        <v/>
      </c>
      <c r="K1431" t="str">
        <f>IF(OR($F1431="",$J1431="",$J1431="نامعتبر"),"",LEFT($J1431,4)&amp;MID($J1431,6,2)&amp;RIGHT($J1431,2)&amp;$N1431&amp;"|"&amp;"2"&amp;RIGHT("00000"&amp;1426,5))</f>
        <v/>
      </c>
      <c r="L1431" t="str">
        <f t="shared" si="113"/>
        <v/>
      </c>
      <c r="M1431" t="str">
        <f t="shared" si="114"/>
        <v/>
      </c>
      <c r="N1431" t="str">
        <f>IF($F1431="","",IF(Sync!$AF1431="","0000",IF(AND(ISNUMBER(Sync!$AF1431),Sync!$AF1431&gt;=0,Sync!$AF1431&lt;1),RIGHT("00"&amp;HOUR(Sync!$AF1431),2)&amp;RIGHT("00"&amp;MINUTE(Sync!$AF1431),2),IFERROR(RIGHT("00"&amp;VALUE(LEFT(Sync!$AF1431,FIND(":",Sync!$AF1431)-1)),2)&amp;RIGHT("00"&amp;VALUE(MID(Sync!$AF1431,FIND(":",Sync!$AF1431)+1,2)),2),"0000"))))</f>
        <v/>
      </c>
    </row>
    <row r="1432" spans="1:14" x14ac:dyDescent="0.2">
      <c r="A1432" t="str">
        <f>IF(OR(Calc!$E1436="",Calc!$E1436="نامعتبر",Calc!$G1436=""),"",Calc!$G1436)</f>
        <v/>
      </c>
      <c r="B1432" t="str">
        <f>IF($A1432="","",LEFT(Calc!$E1436,4)&amp;MID(Calc!$E1436,6,2)&amp;RIGHT(Calc!$E1436,2)&amp;Calc!$Q1436&amp;"|"&amp;"1"&amp;RIGHT("00000"&amp;1427,5))</f>
        <v/>
      </c>
      <c r="C1432" t="str">
        <f t="shared" si="110"/>
        <v/>
      </c>
      <c r="D1432" t="str">
        <f t="shared" si="111"/>
        <v/>
      </c>
      <c r="F1432" t="str">
        <f>IF(Sync!$AH1432="","",IF(LEFT(UPPER(TRIM(Sync!$AH1432)),2)="SL",UPPER(TRIM(Sync!$AH1432)),""))</f>
        <v/>
      </c>
      <c r="G1432" t="str">
        <f>IF($F1432="","",IF(Sync!$AE1432="","",IF(ISNUMBER(Sync!$AE1432),IF(AND(Sync!$AE1432&gt;=10000101,Sync!$AE1432&lt;=99991231),INT(Sync!$AE1432/10000),""),IFERROR(VALUE(TRIM(LEFT(Sync!$AE1432,FIND("/",Sync!$AE1432)-1))),""))))</f>
        <v/>
      </c>
      <c r="H1432" t="str">
        <f>IF(OR($F1432="",$G1432=""),"",IF(ISNUMBER(Sync!$AE1432),INT(MOD(Sync!$AE1432,10000)/100),IFERROR(VALUE(TRIM(LEFT(MID(Sync!$AE1432,FIND("/",Sync!$AE1432)+1,20),FIND("/",MID(Sync!$AE1432,FIND("/",Sync!$AE1432)+1,20))-1))),"")))</f>
        <v/>
      </c>
      <c r="I1432" t="str">
        <f>IF(OR($F1432="",$G1432=""),"",IF(ISNUMBER(Sync!$AE1432),MOD(Sync!$AE1432,100),IFERROR(VALUE(TRIM(MID(MID(Sync!$AE1432,FIND("/",Sync!$AE1432)+1,20),FIND("/",MID(Sync!$AE1432,FIND("/",Sync!$AE1432)+1,20))+1,20))),"")))</f>
        <v/>
      </c>
      <c r="J1432" t="str">
        <f t="shared" si="112"/>
        <v/>
      </c>
      <c r="K1432" t="str">
        <f>IF(OR($F1432="",$J1432="",$J1432="نامعتبر"),"",LEFT($J1432,4)&amp;MID($J1432,6,2)&amp;RIGHT($J1432,2)&amp;$N1432&amp;"|"&amp;"2"&amp;RIGHT("00000"&amp;1427,5))</f>
        <v/>
      </c>
      <c r="L1432" t="str">
        <f t="shared" si="113"/>
        <v/>
      </c>
      <c r="M1432" t="str">
        <f t="shared" si="114"/>
        <v/>
      </c>
      <c r="N1432" t="str">
        <f>IF($F1432="","",IF(Sync!$AF1432="","0000",IF(AND(ISNUMBER(Sync!$AF1432),Sync!$AF1432&gt;=0,Sync!$AF1432&lt;1),RIGHT("00"&amp;HOUR(Sync!$AF1432),2)&amp;RIGHT("00"&amp;MINUTE(Sync!$AF1432),2),IFERROR(RIGHT("00"&amp;VALUE(LEFT(Sync!$AF1432,FIND(":",Sync!$AF1432)-1)),2)&amp;RIGHT("00"&amp;VALUE(MID(Sync!$AF1432,FIND(":",Sync!$AF1432)+1,2)),2),"0000"))))</f>
        <v/>
      </c>
    </row>
    <row r="1433" spans="1:14" x14ac:dyDescent="0.2">
      <c r="A1433" t="str">
        <f>IF(OR(Calc!$E1437="",Calc!$E1437="نامعتبر",Calc!$G1437=""),"",Calc!$G1437)</f>
        <v/>
      </c>
      <c r="B1433" t="str">
        <f>IF($A1433="","",LEFT(Calc!$E1437,4)&amp;MID(Calc!$E1437,6,2)&amp;RIGHT(Calc!$E1437,2)&amp;Calc!$Q1437&amp;"|"&amp;"1"&amp;RIGHT("00000"&amp;1428,5))</f>
        <v/>
      </c>
      <c r="C1433" t="str">
        <f t="shared" si="110"/>
        <v/>
      </c>
      <c r="D1433" t="str">
        <f t="shared" si="111"/>
        <v/>
      </c>
      <c r="F1433" t="str">
        <f>IF(Sync!$AH1433="","",IF(LEFT(UPPER(TRIM(Sync!$AH1433)),2)="SL",UPPER(TRIM(Sync!$AH1433)),""))</f>
        <v/>
      </c>
      <c r="G1433" t="str">
        <f>IF($F1433="","",IF(Sync!$AE1433="","",IF(ISNUMBER(Sync!$AE1433),IF(AND(Sync!$AE1433&gt;=10000101,Sync!$AE1433&lt;=99991231),INT(Sync!$AE1433/10000),""),IFERROR(VALUE(TRIM(LEFT(Sync!$AE1433,FIND("/",Sync!$AE1433)-1))),""))))</f>
        <v/>
      </c>
      <c r="H1433" t="str">
        <f>IF(OR($F1433="",$G1433=""),"",IF(ISNUMBER(Sync!$AE1433),INT(MOD(Sync!$AE1433,10000)/100),IFERROR(VALUE(TRIM(LEFT(MID(Sync!$AE1433,FIND("/",Sync!$AE1433)+1,20),FIND("/",MID(Sync!$AE1433,FIND("/",Sync!$AE1433)+1,20))-1))),"")))</f>
        <v/>
      </c>
      <c r="I1433" t="str">
        <f>IF(OR($F1433="",$G1433=""),"",IF(ISNUMBER(Sync!$AE1433),MOD(Sync!$AE1433,100),IFERROR(VALUE(TRIM(MID(MID(Sync!$AE1433,FIND("/",Sync!$AE1433)+1,20),FIND("/",MID(Sync!$AE1433,FIND("/",Sync!$AE1433)+1,20))+1,20))),"")))</f>
        <v/>
      </c>
      <c r="J1433" t="str">
        <f t="shared" si="112"/>
        <v/>
      </c>
      <c r="K1433" t="str">
        <f>IF(OR($F1433="",$J1433="",$J1433="نامعتبر"),"",LEFT($J1433,4)&amp;MID($J1433,6,2)&amp;RIGHT($J1433,2)&amp;$N1433&amp;"|"&amp;"2"&amp;RIGHT("00000"&amp;1428,5))</f>
        <v/>
      </c>
      <c r="L1433" t="str">
        <f t="shared" si="113"/>
        <v/>
      </c>
      <c r="M1433" t="str">
        <f t="shared" si="114"/>
        <v/>
      </c>
      <c r="N1433" t="str">
        <f>IF($F1433="","",IF(Sync!$AF1433="","0000",IF(AND(ISNUMBER(Sync!$AF1433),Sync!$AF1433&gt;=0,Sync!$AF1433&lt;1),RIGHT("00"&amp;HOUR(Sync!$AF1433),2)&amp;RIGHT("00"&amp;MINUTE(Sync!$AF1433),2),IFERROR(RIGHT("00"&amp;VALUE(LEFT(Sync!$AF1433,FIND(":",Sync!$AF1433)-1)),2)&amp;RIGHT("00"&amp;VALUE(MID(Sync!$AF1433,FIND(":",Sync!$AF1433)+1,2)),2),"0000"))))</f>
        <v/>
      </c>
    </row>
    <row r="1434" spans="1:14" x14ac:dyDescent="0.2">
      <c r="A1434" t="str">
        <f>IF(OR(Calc!$E1438="",Calc!$E1438="نامعتبر",Calc!$G1438=""),"",Calc!$G1438)</f>
        <v/>
      </c>
      <c r="B1434" t="str">
        <f>IF($A1434="","",LEFT(Calc!$E1438,4)&amp;MID(Calc!$E1438,6,2)&amp;RIGHT(Calc!$E1438,2)&amp;Calc!$Q1438&amp;"|"&amp;"1"&amp;RIGHT("00000"&amp;1429,5))</f>
        <v/>
      </c>
      <c r="C1434" t="str">
        <f t="shared" si="110"/>
        <v/>
      </c>
      <c r="D1434" t="str">
        <f t="shared" si="111"/>
        <v/>
      </c>
      <c r="F1434" t="str">
        <f>IF(Sync!$AH1434="","",IF(LEFT(UPPER(TRIM(Sync!$AH1434)),2)="SL",UPPER(TRIM(Sync!$AH1434)),""))</f>
        <v/>
      </c>
      <c r="G1434" t="str">
        <f>IF($F1434="","",IF(Sync!$AE1434="","",IF(ISNUMBER(Sync!$AE1434),IF(AND(Sync!$AE1434&gt;=10000101,Sync!$AE1434&lt;=99991231),INT(Sync!$AE1434/10000),""),IFERROR(VALUE(TRIM(LEFT(Sync!$AE1434,FIND("/",Sync!$AE1434)-1))),""))))</f>
        <v/>
      </c>
      <c r="H1434" t="str">
        <f>IF(OR($F1434="",$G1434=""),"",IF(ISNUMBER(Sync!$AE1434),INT(MOD(Sync!$AE1434,10000)/100),IFERROR(VALUE(TRIM(LEFT(MID(Sync!$AE1434,FIND("/",Sync!$AE1434)+1,20),FIND("/",MID(Sync!$AE1434,FIND("/",Sync!$AE1434)+1,20))-1))),"")))</f>
        <v/>
      </c>
      <c r="I1434" t="str">
        <f>IF(OR($F1434="",$G1434=""),"",IF(ISNUMBER(Sync!$AE1434),MOD(Sync!$AE1434,100),IFERROR(VALUE(TRIM(MID(MID(Sync!$AE1434,FIND("/",Sync!$AE1434)+1,20),FIND("/",MID(Sync!$AE1434,FIND("/",Sync!$AE1434)+1,20))+1,20))),"")))</f>
        <v/>
      </c>
      <c r="J1434" t="str">
        <f t="shared" si="112"/>
        <v/>
      </c>
      <c r="K1434" t="str">
        <f>IF(OR($F1434="",$J1434="",$J1434="نامعتبر"),"",LEFT($J1434,4)&amp;MID($J1434,6,2)&amp;RIGHT($J1434,2)&amp;$N1434&amp;"|"&amp;"2"&amp;RIGHT("00000"&amp;1429,5))</f>
        <v/>
      </c>
      <c r="L1434" t="str">
        <f t="shared" si="113"/>
        <v/>
      </c>
      <c r="M1434" t="str">
        <f t="shared" si="114"/>
        <v/>
      </c>
      <c r="N1434" t="str">
        <f>IF($F1434="","",IF(Sync!$AF1434="","0000",IF(AND(ISNUMBER(Sync!$AF1434),Sync!$AF1434&gt;=0,Sync!$AF1434&lt;1),RIGHT("00"&amp;HOUR(Sync!$AF1434),2)&amp;RIGHT("00"&amp;MINUTE(Sync!$AF1434),2),IFERROR(RIGHT("00"&amp;VALUE(LEFT(Sync!$AF1434,FIND(":",Sync!$AF1434)-1)),2)&amp;RIGHT("00"&amp;VALUE(MID(Sync!$AF1434,FIND(":",Sync!$AF1434)+1,2)),2),"0000"))))</f>
        <v/>
      </c>
    </row>
    <row r="1435" spans="1:14" x14ac:dyDescent="0.2">
      <c r="A1435" t="str">
        <f>IF(OR(Calc!$E1439="",Calc!$E1439="نامعتبر",Calc!$G1439=""),"",Calc!$G1439)</f>
        <v/>
      </c>
      <c r="B1435" t="str">
        <f>IF($A1435="","",LEFT(Calc!$E1439,4)&amp;MID(Calc!$E1439,6,2)&amp;RIGHT(Calc!$E1439,2)&amp;Calc!$Q1439&amp;"|"&amp;"1"&amp;RIGHT("00000"&amp;1430,5))</f>
        <v/>
      </c>
      <c r="C1435" t="str">
        <f t="shared" si="110"/>
        <v/>
      </c>
      <c r="D1435" t="str">
        <f t="shared" si="111"/>
        <v/>
      </c>
      <c r="F1435" t="str">
        <f>IF(Sync!$AH1435="","",IF(LEFT(UPPER(TRIM(Sync!$AH1435)),2)="SL",UPPER(TRIM(Sync!$AH1435)),""))</f>
        <v/>
      </c>
      <c r="G1435" t="str">
        <f>IF($F1435="","",IF(Sync!$AE1435="","",IF(ISNUMBER(Sync!$AE1435),IF(AND(Sync!$AE1435&gt;=10000101,Sync!$AE1435&lt;=99991231),INT(Sync!$AE1435/10000),""),IFERROR(VALUE(TRIM(LEFT(Sync!$AE1435,FIND("/",Sync!$AE1435)-1))),""))))</f>
        <v/>
      </c>
      <c r="H1435" t="str">
        <f>IF(OR($F1435="",$G1435=""),"",IF(ISNUMBER(Sync!$AE1435),INT(MOD(Sync!$AE1435,10000)/100),IFERROR(VALUE(TRIM(LEFT(MID(Sync!$AE1435,FIND("/",Sync!$AE1435)+1,20),FIND("/",MID(Sync!$AE1435,FIND("/",Sync!$AE1435)+1,20))-1))),"")))</f>
        <v/>
      </c>
      <c r="I1435" t="str">
        <f>IF(OR($F1435="",$G1435=""),"",IF(ISNUMBER(Sync!$AE1435),MOD(Sync!$AE1435,100),IFERROR(VALUE(TRIM(MID(MID(Sync!$AE1435,FIND("/",Sync!$AE1435)+1,20),FIND("/",MID(Sync!$AE1435,FIND("/",Sync!$AE1435)+1,20))+1,20))),"")))</f>
        <v/>
      </c>
      <c r="J1435" t="str">
        <f t="shared" si="112"/>
        <v/>
      </c>
      <c r="K1435" t="str">
        <f>IF(OR($F1435="",$J1435="",$J1435="نامعتبر"),"",LEFT($J1435,4)&amp;MID($J1435,6,2)&amp;RIGHT($J1435,2)&amp;$N1435&amp;"|"&amp;"2"&amp;RIGHT("00000"&amp;1430,5))</f>
        <v/>
      </c>
      <c r="L1435" t="str">
        <f t="shared" si="113"/>
        <v/>
      </c>
      <c r="M1435" t="str">
        <f t="shared" si="114"/>
        <v/>
      </c>
      <c r="N1435" t="str">
        <f>IF($F1435="","",IF(Sync!$AF1435="","0000",IF(AND(ISNUMBER(Sync!$AF1435),Sync!$AF1435&gt;=0,Sync!$AF1435&lt;1),RIGHT("00"&amp;HOUR(Sync!$AF1435),2)&amp;RIGHT("00"&amp;MINUTE(Sync!$AF1435),2),IFERROR(RIGHT("00"&amp;VALUE(LEFT(Sync!$AF1435,FIND(":",Sync!$AF1435)-1)),2)&amp;RIGHT("00"&amp;VALUE(MID(Sync!$AF1435,FIND(":",Sync!$AF1435)+1,2)),2),"0000"))))</f>
        <v/>
      </c>
    </row>
    <row r="1436" spans="1:14" x14ac:dyDescent="0.2">
      <c r="A1436" t="str">
        <f>IF(OR(Calc!$E1440="",Calc!$E1440="نامعتبر",Calc!$G1440=""),"",Calc!$G1440)</f>
        <v/>
      </c>
      <c r="B1436" t="str">
        <f>IF($A1436="","",LEFT(Calc!$E1440,4)&amp;MID(Calc!$E1440,6,2)&amp;RIGHT(Calc!$E1440,2)&amp;Calc!$Q1440&amp;"|"&amp;"1"&amp;RIGHT("00000"&amp;1431,5))</f>
        <v/>
      </c>
      <c r="C1436" t="str">
        <f t="shared" si="110"/>
        <v/>
      </c>
      <c r="D1436" t="str">
        <f t="shared" si="111"/>
        <v/>
      </c>
      <c r="F1436" t="str">
        <f>IF(Sync!$AH1436="","",IF(LEFT(UPPER(TRIM(Sync!$AH1436)),2)="SL",UPPER(TRIM(Sync!$AH1436)),""))</f>
        <v/>
      </c>
      <c r="G1436" t="str">
        <f>IF($F1436="","",IF(Sync!$AE1436="","",IF(ISNUMBER(Sync!$AE1436),IF(AND(Sync!$AE1436&gt;=10000101,Sync!$AE1436&lt;=99991231),INT(Sync!$AE1436/10000),""),IFERROR(VALUE(TRIM(LEFT(Sync!$AE1436,FIND("/",Sync!$AE1436)-1))),""))))</f>
        <v/>
      </c>
      <c r="H1436" t="str">
        <f>IF(OR($F1436="",$G1436=""),"",IF(ISNUMBER(Sync!$AE1436),INT(MOD(Sync!$AE1436,10000)/100),IFERROR(VALUE(TRIM(LEFT(MID(Sync!$AE1436,FIND("/",Sync!$AE1436)+1,20),FIND("/",MID(Sync!$AE1436,FIND("/",Sync!$AE1436)+1,20))-1))),"")))</f>
        <v/>
      </c>
      <c r="I1436" t="str">
        <f>IF(OR($F1436="",$G1436=""),"",IF(ISNUMBER(Sync!$AE1436),MOD(Sync!$AE1436,100),IFERROR(VALUE(TRIM(MID(MID(Sync!$AE1436,FIND("/",Sync!$AE1436)+1,20),FIND("/",MID(Sync!$AE1436,FIND("/",Sync!$AE1436)+1,20))+1,20))),"")))</f>
        <v/>
      </c>
      <c r="J1436" t="str">
        <f t="shared" si="112"/>
        <v/>
      </c>
      <c r="K1436" t="str">
        <f>IF(OR($F1436="",$J1436="",$J1436="نامعتبر"),"",LEFT($J1436,4)&amp;MID($J1436,6,2)&amp;RIGHT($J1436,2)&amp;$N1436&amp;"|"&amp;"2"&amp;RIGHT("00000"&amp;1431,5))</f>
        <v/>
      </c>
      <c r="L1436" t="str">
        <f t="shared" si="113"/>
        <v/>
      </c>
      <c r="M1436" t="str">
        <f t="shared" si="114"/>
        <v/>
      </c>
      <c r="N1436" t="str">
        <f>IF($F1436="","",IF(Sync!$AF1436="","0000",IF(AND(ISNUMBER(Sync!$AF1436),Sync!$AF1436&gt;=0,Sync!$AF1436&lt;1),RIGHT("00"&amp;HOUR(Sync!$AF1436),2)&amp;RIGHT("00"&amp;MINUTE(Sync!$AF1436),2),IFERROR(RIGHT("00"&amp;VALUE(LEFT(Sync!$AF1436,FIND(":",Sync!$AF1436)-1)),2)&amp;RIGHT("00"&amp;VALUE(MID(Sync!$AF1436,FIND(":",Sync!$AF1436)+1,2)),2),"0000"))))</f>
        <v/>
      </c>
    </row>
    <row r="1437" spans="1:14" x14ac:dyDescent="0.2">
      <c r="A1437" t="str">
        <f>IF(OR(Calc!$E1441="",Calc!$E1441="نامعتبر",Calc!$G1441=""),"",Calc!$G1441)</f>
        <v/>
      </c>
      <c r="B1437" t="str">
        <f>IF($A1437="","",LEFT(Calc!$E1441,4)&amp;MID(Calc!$E1441,6,2)&amp;RIGHT(Calc!$E1441,2)&amp;Calc!$Q1441&amp;"|"&amp;"1"&amp;RIGHT("00000"&amp;1432,5))</f>
        <v/>
      </c>
      <c r="C1437" t="str">
        <f t="shared" si="110"/>
        <v/>
      </c>
      <c r="D1437" t="str">
        <f t="shared" si="111"/>
        <v/>
      </c>
      <c r="F1437" t="str">
        <f>IF(Sync!$AH1437="","",IF(LEFT(UPPER(TRIM(Sync!$AH1437)),2)="SL",UPPER(TRIM(Sync!$AH1437)),""))</f>
        <v/>
      </c>
      <c r="G1437" t="str">
        <f>IF($F1437="","",IF(Sync!$AE1437="","",IF(ISNUMBER(Sync!$AE1437),IF(AND(Sync!$AE1437&gt;=10000101,Sync!$AE1437&lt;=99991231),INT(Sync!$AE1437/10000),""),IFERROR(VALUE(TRIM(LEFT(Sync!$AE1437,FIND("/",Sync!$AE1437)-1))),""))))</f>
        <v/>
      </c>
      <c r="H1437" t="str">
        <f>IF(OR($F1437="",$G1437=""),"",IF(ISNUMBER(Sync!$AE1437),INT(MOD(Sync!$AE1437,10000)/100),IFERROR(VALUE(TRIM(LEFT(MID(Sync!$AE1437,FIND("/",Sync!$AE1437)+1,20),FIND("/",MID(Sync!$AE1437,FIND("/",Sync!$AE1437)+1,20))-1))),"")))</f>
        <v/>
      </c>
      <c r="I1437" t="str">
        <f>IF(OR($F1437="",$G1437=""),"",IF(ISNUMBER(Sync!$AE1437),MOD(Sync!$AE1437,100),IFERROR(VALUE(TRIM(MID(MID(Sync!$AE1437,FIND("/",Sync!$AE1437)+1,20),FIND("/",MID(Sync!$AE1437,FIND("/",Sync!$AE1437)+1,20))+1,20))),"")))</f>
        <v/>
      </c>
      <c r="J1437" t="str">
        <f t="shared" si="112"/>
        <v/>
      </c>
      <c r="K1437" t="str">
        <f>IF(OR($F1437="",$J1437="",$J1437="نامعتبر"),"",LEFT($J1437,4)&amp;MID($J1437,6,2)&amp;RIGHT($J1437,2)&amp;$N1437&amp;"|"&amp;"2"&amp;RIGHT("00000"&amp;1432,5))</f>
        <v/>
      </c>
      <c r="L1437" t="str">
        <f t="shared" si="113"/>
        <v/>
      </c>
      <c r="M1437" t="str">
        <f t="shared" si="114"/>
        <v/>
      </c>
      <c r="N1437" t="str">
        <f>IF($F1437="","",IF(Sync!$AF1437="","0000",IF(AND(ISNUMBER(Sync!$AF1437),Sync!$AF1437&gt;=0,Sync!$AF1437&lt;1),RIGHT("00"&amp;HOUR(Sync!$AF1437),2)&amp;RIGHT("00"&amp;MINUTE(Sync!$AF1437),2),IFERROR(RIGHT("00"&amp;VALUE(LEFT(Sync!$AF1437,FIND(":",Sync!$AF1437)-1)),2)&amp;RIGHT("00"&amp;VALUE(MID(Sync!$AF1437,FIND(":",Sync!$AF1437)+1,2)),2),"0000"))))</f>
        <v/>
      </c>
    </row>
    <row r="1438" spans="1:14" x14ac:dyDescent="0.2">
      <c r="A1438" t="str">
        <f>IF(OR(Calc!$E1442="",Calc!$E1442="نامعتبر",Calc!$G1442=""),"",Calc!$G1442)</f>
        <v/>
      </c>
      <c r="B1438" t="str">
        <f>IF($A1438="","",LEFT(Calc!$E1442,4)&amp;MID(Calc!$E1442,6,2)&amp;RIGHT(Calc!$E1442,2)&amp;Calc!$Q1442&amp;"|"&amp;"1"&amp;RIGHT("00000"&amp;1433,5))</f>
        <v/>
      </c>
      <c r="C1438" t="str">
        <f t="shared" si="110"/>
        <v/>
      </c>
      <c r="D1438" t="str">
        <f t="shared" si="111"/>
        <v/>
      </c>
      <c r="F1438" t="str">
        <f>IF(Sync!$AH1438="","",IF(LEFT(UPPER(TRIM(Sync!$AH1438)),2)="SL",UPPER(TRIM(Sync!$AH1438)),""))</f>
        <v/>
      </c>
      <c r="G1438" t="str">
        <f>IF($F1438="","",IF(Sync!$AE1438="","",IF(ISNUMBER(Sync!$AE1438),IF(AND(Sync!$AE1438&gt;=10000101,Sync!$AE1438&lt;=99991231),INT(Sync!$AE1438/10000),""),IFERROR(VALUE(TRIM(LEFT(Sync!$AE1438,FIND("/",Sync!$AE1438)-1))),""))))</f>
        <v/>
      </c>
      <c r="H1438" t="str">
        <f>IF(OR($F1438="",$G1438=""),"",IF(ISNUMBER(Sync!$AE1438),INT(MOD(Sync!$AE1438,10000)/100),IFERROR(VALUE(TRIM(LEFT(MID(Sync!$AE1438,FIND("/",Sync!$AE1438)+1,20),FIND("/",MID(Sync!$AE1438,FIND("/",Sync!$AE1438)+1,20))-1))),"")))</f>
        <v/>
      </c>
      <c r="I1438" t="str">
        <f>IF(OR($F1438="",$G1438=""),"",IF(ISNUMBER(Sync!$AE1438),MOD(Sync!$AE1438,100),IFERROR(VALUE(TRIM(MID(MID(Sync!$AE1438,FIND("/",Sync!$AE1438)+1,20),FIND("/",MID(Sync!$AE1438,FIND("/",Sync!$AE1438)+1,20))+1,20))),"")))</f>
        <v/>
      </c>
      <c r="J1438" t="str">
        <f t="shared" si="112"/>
        <v/>
      </c>
      <c r="K1438" t="str">
        <f>IF(OR($F1438="",$J1438="",$J1438="نامعتبر"),"",LEFT($J1438,4)&amp;MID($J1438,6,2)&amp;RIGHT($J1438,2)&amp;$N1438&amp;"|"&amp;"2"&amp;RIGHT("00000"&amp;1433,5))</f>
        <v/>
      </c>
      <c r="L1438" t="str">
        <f t="shared" si="113"/>
        <v/>
      </c>
      <c r="M1438" t="str">
        <f t="shared" si="114"/>
        <v/>
      </c>
      <c r="N1438" t="str">
        <f>IF($F1438="","",IF(Sync!$AF1438="","0000",IF(AND(ISNUMBER(Sync!$AF1438),Sync!$AF1438&gt;=0,Sync!$AF1438&lt;1),RIGHT("00"&amp;HOUR(Sync!$AF1438),2)&amp;RIGHT("00"&amp;MINUTE(Sync!$AF1438),2),IFERROR(RIGHT("00"&amp;VALUE(LEFT(Sync!$AF1438,FIND(":",Sync!$AF1438)-1)),2)&amp;RIGHT("00"&amp;VALUE(MID(Sync!$AF1438,FIND(":",Sync!$AF1438)+1,2)),2),"0000"))))</f>
        <v/>
      </c>
    </row>
    <row r="1439" spans="1:14" x14ac:dyDescent="0.2">
      <c r="A1439" t="str">
        <f>IF(OR(Calc!$E1443="",Calc!$E1443="نامعتبر",Calc!$G1443=""),"",Calc!$G1443)</f>
        <v/>
      </c>
      <c r="B1439" t="str">
        <f>IF($A1439="","",LEFT(Calc!$E1443,4)&amp;MID(Calc!$E1443,6,2)&amp;RIGHT(Calc!$E1443,2)&amp;Calc!$Q1443&amp;"|"&amp;"1"&amp;RIGHT("00000"&amp;1434,5))</f>
        <v/>
      </c>
      <c r="C1439" t="str">
        <f t="shared" si="110"/>
        <v/>
      </c>
      <c r="D1439" t="str">
        <f t="shared" si="111"/>
        <v/>
      </c>
      <c r="F1439" t="str">
        <f>IF(Sync!$AH1439="","",IF(LEFT(UPPER(TRIM(Sync!$AH1439)),2)="SL",UPPER(TRIM(Sync!$AH1439)),""))</f>
        <v/>
      </c>
      <c r="G1439" t="str">
        <f>IF($F1439="","",IF(Sync!$AE1439="","",IF(ISNUMBER(Sync!$AE1439),IF(AND(Sync!$AE1439&gt;=10000101,Sync!$AE1439&lt;=99991231),INT(Sync!$AE1439/10000),""),IFERROR(VALUE(TRIM(LEFT(Sync!$AE1439,FIND("/",Sync!$AE1439)-1))),""))))</f>
        <v/>
      </c>
      <c r="H1439" t="str">
        <f>IF(OR($F1439="",$G1439=""),"",IF(ISNUMBER(Sync!$AE1439),INT(MOD(Sync!$AE1439,10000)/100),IFERROR(VALUE(TRIM(LEFT(MID(Sync!$AE1439,FIND("/",Sync!$AE1439)+1,20),FIND("/",MID(Sync!$AE1439,FIND("/",Sync!$AE1439)+1,20))-1))),"")))</f>
        <v/>
      </c>
      <c r="I1439" t="str">
        <f>IF(OR($F1439="",$G1439=""),"",IF(ISNUMBER(Sync!$AE1439),MOD(Sync!$AE1439,100),IFERROR(VALUE(TRIM(MID(MID(Sync!$AE1439,FIND("/",Sync!$AE1439)+1,20),FIND("/",MID(Sync!$AE1439,FIND("/",Sync!$AE1439)+1,20))+1,20))),"")))</f>
        <v/>
      </c>
      <c r="J1439" t="str">
        <f t="shared" si="112"/>
        <v/>
      </c>
      <c r="K1439" t="str">
        <f>IF(OR($F1439="",$J1439="",$J1439="نامعتبر"),"",LEFT($J1439,4)&amp;MID($J1439,6,2)&amp;RIGHT($J1439,2)&amp;$N1439&amp;"|"&amp;"2"&amp;RIGHT("00000"&amp;1434,5))</f>
        <v/>
      </c>
      <c r="L1439" t="str">
        <f t="shared" si="113"/>
        <v/>
      </c>
      <c r="M1439" t="str">
        <f t="shared" si="114"/>
        <v/>
      </c>
      <c r="N1439" t="str">
        <f>IF($F1439="","",IF(Sync!$AF1439="","0000",IF(AND(ISNUMBER(Sync!$AF1439),Sync!$AF1439&gt;=0,Sync!$AF1439&lt;1),RIGHT("00"&amp;HOUR(Sync!$AF1439),2)&amp;RIGHT("00"&amp;MINUTE(Sync!$AF1439),2),IFERROR(RIGHT("00"&amp;VALUE(LEFT(Sync!$AF1439,FIND(":",Sync!$AF1439)-1)),2)&amp;RIGHT("00"&amp;VALUE(MID(Sync!$AF1439,FIND(":",Sync!$AF1439)+1,2)),2),"0000"))))</f>
        <v/>
      </c>
    </row>
    <row r="1440" spans="1:14" x14ac:dyDescent="0.2">
      <c r="A1440" t="str">
        <f>IF(OR(Calc!$E1444="",Calc!$E1444="نامعتبر",Calc!$G1444=""),"",Calc!$G1444)</f>
        <v/>
      </c>
      <c r="B1440" t="str">
        <f>IF($A1440="","",LEFT(Calc!$E1444,4)&amp;MID(Calc!$E1444,6,2)&amp;RIGHT(Calc!$E1444,2)&amp;Calc!$Q1444&amp;"|"&amp;"1"&amp;RIGHT("00000"&amp;1435,5))</f>
        <v/>
      </c>
      <c r="C1440" t="str">
        <f t="shared" si="110"/>
        <v/>
      </c>
      <c r="D1440" t="str">
        <f t="shared" si="111"/>
        <v/>
      </c>
      <c r="F1440" t="str">
        <f>IF(Sync!$AH1440="","",IF(LEFT(UPPER(TRIM(Sync!$AH1440)),2)="SL",UPPER(TRIM(Sync!$AH1440)),""))</f>
        <v/>
      </c>
      <c r="G1440" t="str">
        <f>IF($F1440="","",IF(Sync!$AE1440="","",IF(ISNUMBER(Sync!$AE1440),IF(AND(Sync!$AE1440&gt;=10000101,Sync!$AE1440&lt;=99991231),INT(Sync!$AE1440/10000),""),IFERROR(VALUE(TRIM(LEFT(Sync!$AE1440,FIND("/",Sync!$AE1440)-1))),""))))</f>
        <v/>
      </c>
      <c r="H1440" t="str">
        <f>IF(OR($F1440="",$G1440=""),"",IF(ISNUMBER(Sync!$AE1440),INT(MOD(Sync!$AE1440,10000)/100),IFERROR(VALUE(TRIM(LEFT(MID(Sync!$AE1440,FIND("/",Sync!$AE1440)+1,20),FIND("/",MID(Sync!$AE1440,FIND("/",Sync!$AE1440)+1,20))-1))),"")))</f>
        <v/>
      </c>
      <c r="I1440" t="str">
        <f>IF(OR($F1440="",$G1440=""),"",IF(ISNUMBER(Sync!$AE1440),MOD(Sync!$AE1440,100),IFERROR(VALUE(TRIM(MID(MID(Sync!$AE1440,FIND("/",Sync!$AE1440)+1,20),FIND("/",MID(Sync!$AE1440,FIND("/",Sync!$AE1440)+1,20))+1,20))),"")))</f>
        <v/>
      </c>
      <c r="J1440" t="str">
        <f t="shared" si="112"/>
        <v/>
      </c>
      <c r="K1440" t="str">
        <f>IF(OR($F1440="",$J1440="",$J1440="نامعتبر"),"",LEFT($J1440,4)&amp;MID($J1440,6,2)&amp;RIGHT($J1440,2)&amp;$N1440&amp;"|"&amp;"2"&amp;RIGHT("00000"&amp;1435,5))</f>
        <v/>
      </c>
      <c r="L1440" t="str">
        <f t="shared" si="113"/>
        <v/>
      </c>
      <c r="M1440" t="str">
        <f t="shared" si="114"/>
        <v/>
      </c>
      <c r="N1440" t="str">
        <f>IF($F1440="","",IF(Sync!$AF1440="","0000",IF(AND(ISNUMBER(Sync!$AF1440),Sync!$AF1440&gt;=0,Sync!$AF1440&lt;1),RIGHT("00"&amp;HOUR(Sync!$AF1440),2)&amp;RIGHT("00"&amp;MINUTE(Sync!$AF1440),2),IFERROR(RIGHT("00"&amp;VALUE(LEFT(Sync!$AF1440,FIND(":",Sync!$AF1440)-1)),2)&amp;RIGHT("00"&amp;VALUE(MID(Sync!$AF1440,FIND(":",Sync!$AF1440)+1,2)),2),"0000"))))</f>
        <v/>
      </c>
    </row>
    <row r="1441" spans="1:14" x14ac:dyDescent="0.2">
      <c r="A1441" t="str">
        <f>IF(OR(Calc!$E1445="",Calc!$E1445="نامعتبر",Calc!$G1445=""),"",Calc!$G1445)</f>
        <v/>
      </c>
      <c r="B1441" t="str">
        <f>IF($A1441="","",LEFT(Calc!$E1445,4)&amp;MID(Calc!$E1445,6,2)&amp;RIGHT(Calc!$E1445,2)&amp;Calc!$Q1445&amp;"|"&amp;"1"&amp;RIGHT("00000"&amp;1436,5))</f>
        <v/>
      </c>
      <c r="C1441" t="str">
        <f t="shared" si="110"/>
        <v/>
      </c>
      <c r="D1441" t="str">
        <f t="shared" si="111"/>
        <v/>
      </c>
      <c r="F1441" t="str">
        <f>IF(Sync!$AH1441="","",IF(LEFT(UPPER(TRIM(Sync!$AH1441)),2)="SL",UPPER(TRIM(Sync!$AH1441)),""))</f>
        <v/>
      </c>
      <c r="G1441" t="str">
        <f>IF($F1441="","",IF(Sync!$AE1441="","",IF(ISNUMBER(Sync!$AE1441),IF(AND(Sync!$AE1441&gt;=10000101,Sync!$AE1441&lt;=99991231),INT(Sync!$AE1441/10000),""),IFERROR(VALUE(TRIM(LEFT(Sync!$AE1441,FIND("/",Sync!$AE1441)-1))),""))))</f>
        <v/>
      </c>
      <c r="H1441" t="str">
        <f>IF(OR($F1441="",$G1441=""),"",IF(ISNUMBER(Sync!$AE1441),INT(MOD(Sync!$AE1441,10000)/100),IFERROR(VALUE(TRIM(LEFT(MID(Sync!$AE1441,FIND("/",Sync!$AE1441)+1,20),FIND("/",MID(Sync!$AE1441,FIND("/",Sync!$AE1441)+1,20))-1))),"")))</f>
        <v/>
      </c>
      <c r="I1441" t="str">
        <f>IF(OR($F1441="",$G1441=""),"",IF(ISNUMBER(Sync!$AE1441),MOD(Sync!$AE1441,100),IFERROR(VALUE(TRIM(MID(MID(Sync!$AE1441,FIND("/",Sync!$AE1441)+1,20),FIND("/",MID(Sync!$AE1441,FIND("/",Sync!$AE1441)+1,20))+1,20))),"")))</f>
        <v/>
      </c>
      <c r="J1441" t="str">
        <f t="shared" si="112"/>
        <v/>
      </c>
      <c r="K1441" t="str">
        <f>IF(OR($F1441="",$J1441="",$J1441="نامعتبر"),"",LEFT($J1441,4)&amp;MID($J1441,6,2)&amp;RIGHT($J1441,2)&amp;$N1441&amp;"|"&amp;"2"&amp;RIGHT("00000"&amp;1436,5))</f>
        <v/>
      </c>
      <c r="L1441" t="str">
        <f t="shared" si="113"/>
        <v/>
      </c>
      <c r="M1441" t="str">
        <f t="shared" si="114"/>
        <v/>
      </c>
      <c r="N1441" t="str">
        <f>IF($F1441="","",IF(Sync!$AF1441="","0000",IF(AND(ISNUMBER(Sync!$AF1441),Sync!$AF1441&gt;=0,Sync!$AF1441&lt;1),RIGHT("00"&amp;HOUR(Sync!$AF1441),2)&amp;RIGHT("00"&amp;MINUTE(Sync!$AF1441),2),IFERROR(RIGHT("00"&amp;VALUE(LEFT(Sync!$AF1441,FIND(":",Sync!$AF1441)-1)),2)&amp;RIGHT("00"&amp;VALUE(MID(Sync!$AF1441,FIND(":",Sync!$AF1441)+1,2)),2),"0000"))))</f>
        <v/>
      </c>
    </row>
    <row r="1442" spans="1:14" x14ac:dyDescent="0.2">
      <c r="A1442" t="str">
        <f>IF(OR(Calc!$E1446="",Calc!$E1446="نامعتبر",Calc!$G1446=""),"",Calc!$G1446)</f>
        <v/>
      </c>
      <c r="B1442" t="str">
        <f>IF($A1442="","",LEFT(Calc!$E1446,4)&amp;MID(Calc!$E1446,6,2)&amp;RIGHT(Calc!$E1446,2)&amp;Calc!$Q1446&amp;"|"&amp;"1"&amp;RIGHT("00000"&amp;1437,5))</f>
        <v/>
      </c>
      <c r="C1442" t="str">
        <f t="shared" si="110"/>
        <v/>
      </c>
      <c r="D1442" t="str">
        <f t="shared" si="111"/>
        <v/>
      </c>
      <c r="F1442" t="str">
        <f>IF(Sync!$AH1442="","",IF(LEFT(UPPER(TRIM(Sync!$AH1442)),2)="SL",UPPER(TRIM(Sync!$AH1442)),""))</f>
        <v/>
      </c>
      <c r="G1442" t="str">
        <f>IF($F1442="","",IF(Sync!$AE1442="","",IF(ISNUMBER(Sync!$AE1442),IF(AND(Sync!$AE1442&gt;=10000101,Sync!$AE1442&lt;=99991231),INT(Sync!$AE1442/10000),""),IFERROR(VALUE(TRIM(LEFT(Sync!$AE1442,FIND("/",Sync!$AE1442)-1))),""))))</f>
        <v/>
      </c>
      <c r="H1442" t="str">
        <f>IF(OR($F1442="",$G1442=""),"",IF(ISNUMBER(Sync!$AE1442),INT(MOD(Sync!$AE1442,10000)/100),IFERROR(VALUE(TRIM(LEFT(MID(Sync!$AE1442,FIND("/",Sync!$AE1442)+1,20),FIND("/",MID(Sync!$AE1442,FIND("/",Sync!$AE1442)+1,20))-1))),"")))</f>
        <v/>
      </c>
      <c r="I1442" t="str">
        <f>IF(OR($F1442="",$G1442=""),"",IF(ISNUMBER(Sync!$AE1442),MOD(Sync!$AE1442,100),IFERROR(VALUE(TRIM(MID(MID(Sync!$AE1442,FIND("/",Sync!$AE1442)+1,20),FIND("/",MID(Sync!$AE1442,FIND("/",Sync!$AE1442)+1,20))+1,20))),"")))</f>
        <v/>
      </c>
      <c r="J1442" t="str">
        <f t="shared" si="112"/>
        <v/>
      </c>
      <c r="K1442" t="str">
        <f>IF(OR($F1442="",$J1442="",$J1442="نامعتبر"),"",LEFT($J1442,4)&amp;MID($J1442,6,2)&amp;RIGHT($J1442,2)&amp;$N1442&amp;"|"&amp;"2"&amp;RIGHT("00000"&amp;1437,5))</f>
        <v/>
      </c>
      <c r="L1442" t="str">
        <f t="shared" si="113"/>
        <v/>
      </c>
      <c r="M1442" t="str">
        <f t="shared" si="114"/>
        <v/>
      </c>
      <c r="N1442" t="str">
        <f>IF($F1442="","",IF(Sync!$AF1442="","0000",IF(AND(ISNUMBER(Sync!$AF1442),Sync!$AF1442&gt;=0,Sync!$AF1442&lt;1),RIGHT("00"&amp;HOUR(Sync!$AF1442),2)&amp;RIGHT("00"&amp;MINUTE(Sync!$AF1442),2),IFERROR(RIGHT("00"&amp;VALUE(LEFT(Sync!$AF1442,FIND(":",Sync!$AF1442)-1)),2)&amp;RIGHT("00"&amp;VALUE(MID(Sync!$AF1442,FIND(":",Sync!$AF1442)+1,2)),2),"0000"))))</f>
        <v/>
      </c>
    </row>
    <row r="1443" spans="1:14" x14ac:dyDescent="0.2">
      <c r="A1443" t="str">
        <f>IF(OR(Calc!$E1447="",Calc!$E1447="نامعتبر",Calc!$G1447=""),"",Calc!$G1447)</f>
        <v/>
      </c>
      <c r="B1443" t="str">
        <f>IF($A1443="","",LEFT(Calc!$E1447,4)&amp;MID(Calc!$E1447,6,2)&amp;RIGHT(Calc!$E1447,2)&amp;Calc!$Q1447&amp;"|"&amp;"1"&amp;RIGHT("00000"&amp;1438,5))</f>
        <v/>
      </c>
      <c r="C1443" t="str">
        <f t="shared" si="110"/>
        <v/>
      </c>
      <c r="D1443" t="str">
        <f t="shared" si="111"/>
        <v/>
      </c>
      <c r="F1443" t="str">
        <f>IF(Sync!$AH1443="","",IF(LEFT(UPPER(TRIM(Sync!$AH1443)),2)="SL",UPPER(TRIM(Sync!$AH1443)),""))</f>
        <v/>
      </c>
      <c r="G1443" t="str">
        <f>IF($F1443="","",IF(Sync!$AE1443="","",IF(ISNUMBER(Sync!$AE1443),IF(AND(Sync!$AE1443&gt;=10000101,Sync!$AE1443&lt;=99991231),INT(Sync!$AE1443/10000),""),IFERROR(VALUE(TRIM(LEFT(Sync!$AE1443,FIND("/",Sync!$AE1443)-1))),""))))</f>
        <v/>
      </c>
      <c r="H1443" t="str">
        <f>IF(OR($F1443="",$G1443=""),"",IF(ISNUMBER(Sync!$AE1443),INT(MOD(Sync!$AE1443,10000)/100),IFERROR(VALUE(TRIM(LEFT(MID(Sync!$AE1443,FIND("/",Sync!$AE1443)+1,20),FIND("/",MID(Sync!$AE1443,FIND("/",Sync!$AE1443)+1,20))-1))),"")))</f>
        <v/>
      </c>
      <c r="I1443" t="str">
        <f>IF(OR($F1443="",$G1443=""),"",IF(ISNUMBER(Sync!$AE1443),MOD(Sync!$AE1443,100),IFERROR(VALUE(TRIM(MID(MID(Sync!$AE1443,FIND("/",Sync!$AE1443)+1,20),FIND("/",MID(Sync!$AE1443,FIND("/",Sync!$AE1443)+1,20))+1,20))),"")))</f>
        <v/>
      </c>
      <c r="J1443" t="str">
        <f t="shared" si="112"/>
        <v/>
      </c>
      <c r="K1443" t="str">
        <f>IF(OR($F1443="",$J1443="",$J1443="نامعتبر"),"",LEFT($J1443,4)&amp;MID($J1443,6,2)&amp;RIGHT($J1443,2)&amp;$N1443&amp;"|"&amp;"2"&amp;RIGHT("00000"&amp;1438,5))</f>
        <v/>
      </c>
      <c r="L1443" t="str">
        <f t="shared" si="113"/>
        <v/>
      </c>
      <c r="M1443" t="str">
        <f t="shared" si="114"/>
        <v/>
      </c>
      <c r="N1443" t="str">
        <f>IF($F1443="","",IF(Sync!$AF1443="","0000",IF(AND(ISNUMBER(Sync!$AF1443),Sync!$AF1443&gt;=0,Sync!$AF1443&lt;1),RIGHT("00"&amp;HOUR(Sync!$AF1443),2)&amp;RIGHT("00"&amp;MINUTE(Sync!$AF1443),2),IFERROR(RIGHT("00"&amp;VALUE(LEFT(Sync!$AF1443,FIND(":",Sync!$AF1443)-1)),2)&amp;RIGHT("00"&amp;VALUE(MID(Sync!$AF1443,FIND(":",Sync!$AF1443)+1,2)),2),"0000"))))</f>
        <v/>
      </c>
    </row>
    <row r="1444" spans="1:14" x14ac:dyDescent="0.2">
      <c r="A1444" t="str">
        <f>IF(OR(Calc!$E1448="",Calc!$E1448="نامعتبر",Calc!$G1448=""),"",Calc!$G1448)</f>
        <v/>
      </c>
      <c r="B1444" t="str">
        <f>IF($A1444="","",LEFT(Calc!$E1448,4)&amp;MID(Calc!$E1448,6,2)&amp;RIGHT(Calc!$E1448,2)&amp;Calc!$Q1448&amp;"|"&amp;"1"&amp;RIGHT("00000"&amp;1439,5))</f>
        <v/>
      </c>
      <c r="C1444" t="str">
        <f t="shared" si="110"/>
        <v/>
      </c>
      <c r="D1444" t="str">
        <f t="shared" si="111"/>
        <v/>
      </c>
      <c r="F1444" t="str">
        <f>IF(Sync!$AH1444="","",IF(LEFT(UPPER(TRIM(Sync!$AH1444)),2)="SL",UPPER(TRIM(Sync!$AH1444)),""))</f>
        <v/>
      </c>
      <c r="G1444" t="str">
        <f>IF($F1444="","",IF(Sync!$AE1444="","",IF(ISNUMBER(Sync!$AE1444),IF(AND(Sync!$AE1444&gt;=10000101,Sync!$AE1444&lt;=99991231),INT(Sync!$AE1444/10000),""),IFERROR(VALUE(TRIM(LEFT(Sync!$AE1444,FIND("/",Sync!$AE1444)-1))),""))))</f>
        <v/>
      </c>
      <c r="H1444" t="str">
        <f>IF(OR($F1444="",$G1444=""),"",IF(ISNUMBER(Sync!$AE1444),INT(MOD(Sync!$AE1444,10000)/100),IFERROR(VALUE(TRIM(LEFT(MID(Sync!$AE1444,FIND("/",Sync!$AE1444)+1,20),FIND("/",MID(Sync!$AE1444,FIND("/",Sync!$AE1444)+1,20))-1))),"")))</f>
        <v/>
      </c>
      <c r="I1444" t="str">
        <f>IF(OR($F1444="",$G1444=""),"",IF(ISNUMBER(Sync!$AE1444),MOD(Sync!$AE1444,100),IFERROR(VALUE(TRIM(MID(MID(Sync!$AE1444,FIND("/",Sync!$AE1444)+1,20),FIND("/",MID(Sync!$AE1444,FIND("/",Sync!$AE1444)+1,20))+1,20))),"")))</f>
        <v/>
      </c>
      <c r="J1444" t="str">
        <f t="shared" si="112"/>
        <v/>
      </c>
      <c r="K1444" t="str">
        <f>IF(OR($F1444="",$J1444="",$J1444="نامعتبر"),"",LEFT($J1444,4)&amp;MID($J1444,6,2)&amp;RIGHT($J1444,2)&amp;$N1444&amp;"|"&amp;"2"&amp;RIGHT("00000"&amp;1439,5))</f>
        <v/>
      </c>
      <c r="L1444" t="str">
        <f t="shared" si="113"/>
        <v/>
      </c>
      <c r="M1444" t="str">
        <f t="shared" si="114"/>
        <v/>
      </c>
      <c r="N1444" t="str">
        <f>IF($F1444="","",IF(Sync!$AF1444="","0000",IF(AND(ISNUMBER(Sync!$AF1444),Sync!$AF1444&gt;=0,Sync!$AF1444&lt;1),RIGHT("00"&amp;HOUR(Sync!$AF1444),2)&amp;RIGHT("00"&amp;MINUTE(Sync!$AF1444),2),IFERROR(RIGHT("00"&amp;VALUE(LEFT(Sync!$AF1444,FIND(":",Sync!$AF1444)-1)),2)&amp;RIGHT("00"&amp;VALUE(MID(Sync!$AF1444,FIND(":",Sync!$AF1444)+1,2)),2),"0000"))))</f>
        <v/>
      </c>
    </row>
    <row r="1445" spans="1:14" x14ac:dyDescent="0.2">
      <c r="A1445" t="str">
        <f>IF(OR(Calc!$E1449="",Calc!$E1449="نامعتبر",Calc!$G1449=""),"",Calc!$G1449)</f>
        <v/>
      </c>
      <c r="B1445" t="str">
        <f>IF($A1445="","",LEFT(Calc!$E1449,4)&amp;MID(Calc!$E1449,6,2)&amp;RIGHT(Calc!$E1449,2)&amp;Calc!$Q1449&amp;"|"&amp;"1"&amp;RIGHT("00000"&amp;1440,5))</f>
        <v/>
      </c>
      <c r="C1445" t="str">
        <f t="shared" si="110"/>
        <v/>
      </c>
      <c r="D1445" t="str">
        <f t="shared" si="111"/>
        <v/>
      </c>
      <c r="F1445" t="str">
        <f>IF(Sync!$AH1445="","",IF(LEFT(UPPER(TRIM(Sync!$AH1445)),2)="SL",UPPER(TRIM(Sync!$AH1445)),""))</f>
        <v/>
      </c>
      <c r="G1445" t="str">
        <f>IF($F1445="","",IF(Sync!$AE1445="","",IF(ISNUMBER(Sync!$AE1445),IF(AND(Sync!$AE1445&gt;=10000101,Sync!$AE1445&lt;=99991231),INT(Sync!$AE1445/10000),""),IFERROR(VALUE(TRIM(LEFT(Sync!$AE1445,FIND("/",Sync!$AE1445)-1))),""))))</f>
        <v/>
      </c>
      <c r="H1445" t="str">
        <f>IF(OR($F1445="",$G1445=""),"",IF(ISNUMBER(Sync!$AE1445),INT(MOD(Sync!$AE1445,10000)/100),IFERROR(VALUE(TRIM(LEFT(MID(Sync!$AE1445,FIND("/",Sync!$AE1445)+1,20),FIND("/",MID(Sync!$AE1445,FIND("/",Sync!$AE1445)+1,20))-1))),"")))</f>
        <v/>
      </c>
      <c r="I1445" t="str">
        <f>IF(OR($F1445="",$G1445=""),"",IF(ISNUMBER(Sync!$AE1445),MOD(Sync!$AE1445,100),IFERROR(VALUE(TRIM(MID(MID(Sync!$AE1445,FIND("/",Sync!$AE1445)+1,20),FIND("/",MID(Sync!$AE1445,FIND("/",Sync!$AE1445)+1,20))+1,20))),"")))</f>
        <v/>
      </c>
      <c r="J1445" t="str">
        <f t="shared" si="112"/>
        <v/>
      </c>
      <c r="K1445" t="str">
        <f>IF(OR($F1445="",$J1445="",$J1445="نامعتبر"),"",LEFT($J1445,4)&amp;MID($J1445,6,2)&amp;RIGHT($J1445,2)&amp;$N1445&amp;"|"&amp;"2"&amp;RIGHT("00000"&amp;1440,5))</f>
        <v/>
      </c>
      <c r="L1445" t="str">
        <f t="shared" si="113"/>
        <v/>
      </c>
      <c r="M1445" t="str">
        <f t="shared" si="114"/>
        <v/>
      </c>
      <c r="N1445" t="str">
        <f>IF($F1445="","",IF(Sync!$AF1445="","0000",IF(AND(ISNUMBER(Sync!$AF1445),Sync!$AF1445&gt;=0,Sync!$AF1445&lt;1),RIGHT("00"&amp;HOUR(Sync!$AF1445),2)&amp;RIGHT("00"&amp;MINUTE(Sync!$AF1445),2),IFERROR(RIGHT("00"&amp;VALUE(LEFT(Sync!$AF1445,FIND(":",Sync!$AF1445)-1)),2)&amp;RIGHT("00"&amp;VALUE(MID(Sync!$AF1445,FIND(":",Sync!$AF1445)+1,2)),2),"0000"))))</f>
        <v/>
      </c>
    </row>
    <row r="1446" spans="1:14" x14ac:dyDescent="0.2">
      <c r="A1446" t="str">
        <f>IF(OR(Calc!$E1450="",Calc!$E1450="نامعتبر",Calc!$G1450=""),"",Calc!$G1450)</f>
        <v/>
      </c>
      <c r="B1446" t="str">
        <f>IF($A1446="","",LEFT(Calc!$E1450,4)&amp;MID(Calc!$E1450,6,2)&amp;RIGHT(Calc!$E1450,2)&amp;Calc!$Q1450&amp;"|"&amp;"1"&amp;RIGHT("00000"&amp;1441,5))</f>
        <v/>
      </c>
      <c r="C1446" t="str">
        <f t="shared" si="110"/>
        <v/>
      </c>
      <c r="D1446" t="str">
        <f t="shared" si="111"/>
        <v/>
      </c>
      <c r="F1446" t="str">
        <f>IF(Sync!$AH1446="","",IF(LEFT(UPPER(TRIM(Sync!$AH1446)),2)="SL",UPPER(TRIM(Sync!$AH1446)),""))</f>
        <v/>
      </c>
      <c r="G1446" t="str">
        <f>IF($F1446="","",IF(Sync!$AE1446="","",IF(ISNUMBER(Sync!$AE1446),IF(AND(Sync!$AE1446&gt;=10000101,Sync!$AE1446&lt;=99991231),INT(Sync!$AE1446/10000),""),IFERROR(VALUE(TRIM(LEFT(Sync!$AE1446,FIND("/",Sync!$AE1446)-1))),""))))</f>
        <v/>
      </c>
      <c r="H1446" t="str">
        <f>IF(OR($F1446="",$G1446=""),"",IF(ISNUMBER(Sync!$AE1446),INT(MOD(Sync!$AE1446,10000)/100),IFERROR(VALUE(TRIM(LEFT(MID(Sync!$AE1446,FIND("/",Sync!$AE1446)+1,20),FIND("/",MID(Sync!$AE1446,FIND("/",Sync!$AE1446)+1,20))-1))),"")))</f>
        <v/>
      </c>
      <c r="I1446" t="str">
        <f>IF(OR($F1446="",$G1446=""),"",IF(ISNUMBER(Sync!$AE1446),MOD(Sync!$AE1446,100),IFERROR(VALUE(TRIM(MID(MID(Sync!$AE1446,FIND("/",Sync!$AE1446)+1,20),FIND("/",MID(Sync!$AE1446,FIND("/",Sync!$AE1446)+1,20))+1,20))),"")))</f>
        <v/>
      </c>
      <c r="J1446" t="str">
        <f t="shared" si="112"/>
        <v/>
      </c>
      <c r="K1446" t="str">
        <f>IF(OR($F1446="",$J1446="",$J1446="نامعتبر"),"",LEFT($J1446,4)&amp;MID($J1446,6,2)&amp;RIGHT($J1446,2)&amp;$N1446&amp;"|"&amp;"2"&amp;RIGHT("00000"&amp;1441,5))</f>
        <v/>
      </c>
      <c r="L1446" t="str">
        <f t="shared" si="113"/>
        <v/>
      </c>
      <c r="M1446" t="str">
        <f t="shared" si="114"/>
        <v/>
      </c>
      <c r="N1446" t="str">
        <f>IF($F1446="","",IF(Sync!$AF1446="","0000",IF(AND(ISNUMBER(Sync!$AF1446),Sync!$AF1446&gt;=0,Sync!$AF1446&lt;1),RIGHT("00"&amp;HOUR(Sync!$AF1446),2)&amp;RIGHT("00"&amp;MINUTE(Sync!$AF1446),2),IFERROR(RIGHT("00"&amp;VALUE(LEFT(Sync!$AF1446,FIND(":",Sync!$AF1446)-1)),2)&amp;RIGHT("00"&amp;VALUE(MID(Sync!$AF1446,FIND(":",Sync!$AF1446)+1,2)),2),"0000"))))</f>
        <v/>
      </c>
    </row>
    <row r="1447" spans="1:14" x14ac:dyDescent="0.2">
      <c r="A1447" t="str">
        <f>IF(OR(Calc!$E1451="",Calc!$E1451="نامعتبر",Calc!$G1451=""),"",Calc!$G1451)</f>
        <v/>
      </c>
      <c r="B1447" t="str">
        <f>IF($A1447="","",LEFT(Calc!$E1451,4)&amp;MID(Calc!$E1451,6,2)&amp;RIGHT(Calc!$E1451,2)&amp;Calc!$Q1451&amp;"|"&amp;"1"&amp;RIGHT("00000"&amp;1442,5))</f>
        <v/>
      </c>
      <c r="C1447" t="str">
        <f t="shared" si="110"/>
        <v/>
      </c>
      <c r="D1447" t="str">
        <f t="shared" si="111"/>
        <v/>
      </c>
      <c r="F1447" t="str">
        <f>IF(Sync!$AH1447="","",IF(LEFT(UPPER(TRIM(Sync!$AH1447)),2)="SL",UPPER(TRIM(Sync!$AH1447)),""))</f>
        <v/>
      </c>
      <c r="G1447" t="str">
        <f>IF($F1447="","",IF(Sync!$AE1447="","",IF(ISNUMBER(Sync!$AE1447),IF(AND(Sync!$AE1447&gt;=10000101,Sync!$AE1447&lt;=99991231),INT(Sync!$AE1447/10000),""),IFERROR(VALUE(TRIM(LEFT(Sync!$AE1447,FIND("/",Sync!$AE1447)-1))),""))))</f>
        <v/>
      </c>
      <c r="H1447" t="str">
        <f>IF(OR($F1447="",$G1447=""),"",IF(ISNUMBER(Sync!$AE1447),INT(MOD(Sync!$AE1447,10000)/100),IFERROR(VALUE(TRIM(LEFT(MID(Sync!$AE1447,FIND("/",Sync!$AE1447)+1,20),FIND("/",MID(Sync!$AE1447,FIND("/",Sync!$AE1447)+1,20))-1))),"")))</f>
        <v/>
      </c>
      <c r="I1447" t="str">
        <f>IF(OR($F1447="",$G1447=""),"",IF(ISNUMBER(Sync!$AE1447),MOD(Sync!$AE1447,100),IFERROR(VALUE(TRIM(MID(MID(Sync!$AE1447,FIND("/",Sync!$AE1447)+1,20),FIND("/",MID(Sync!$AE1447,FIND("/",Sync!$AE1447)+1,20))+1,20))),"")))</f>
        <v/>
      </c>
      <c r="J1447" t="str">
        <f t="shared" si="112"/>
        <v/>
      </c>
      <c r="K1447" t="str">
        <f>IF(OR($F1447="",$J1447="",$J1447="نامعتبر"),"",LEFT($J1447,4)&amp;MID($J1447,6,2)&amp;RIGHT($J1447,2)&amp;$N1447&amp;"|"&amp;"2"&amp;RIGHT("00000"&amp;1442,5))</f>
        <v/>
      </c>
      <c r="L1447" t="str">
        <f t="shared" si="113"/>
        <v/>
      </c>
      <c r="M1447" t="str">
        <f t="shared" si="114"/>
        <v/>
      </c>
      <c r="N1447" t="str">
        <f>IF($F1447="","",IF(Sync!$AF1447="","0000",IF(AND(ISNUMBER(Sync!$AF1447),Sync!$AF1447&gt;=0,Sync!$AF1447&lt;1),RIGHT("00"&amp;HOUR(Sync!$AF1447),2)&amp;RIGHT("00"&amp;MINUTE(Sync!$AF1447),2),IFERROR(RIGHT("00"&amp;VALUE(LEFT(Sync!$AF1447,FIND(":",Sync!$AF1447)-1)),2)&amp;RIGHT("00"&amp;VALUE(MID(Sync!$AF1447,FIND(":",Sync!$AF1447)+1,2)),2),"0000"))))</f>
        <v/>
      </c>
    </row>
    <row r="1448" spans="1:14" x14ac:dyDescent="0.2">
      <c r="A1448" t="str">
        <f>IF(OR(Calc!$E1452="",Calc!$E1452="نامعتبر",Calc!$G1452=""),"",Calc!$G1452)</f>
        <v/>
      </c>
      <c r="B1448" t="str">
        <f>IF($A1448="","",LEFT(Calc!$E1452,4)&amp;MID(Calc!$E1452,6,2)&amp;RIGHT(Calc!$E1452,2)&amp;Calc!$Q1452&amp;"|"&amp;"1"&amp;RIGHT("00000"&amp;1443,5))</f>
        <v/>
      </c>
      <c r="C1448" t="str">
        <f t="shared" si="110"/>
        <v/>
      </c>
      <c r="D1448" t="str">
        <f t="shared" si="111"/>
        <v/>
      </c>
      <c r="F1448" t="str">
        <f>IF(Sync!$AH1448="","",IF(LEFT(UPPER(TRIM(Sync!$AH1448)),2)="SL",UPPER(TRIM(Sync!$AH1448)),""))</f>
        <v/>
      </c>
      <c r="G1448" t="str">
        <f>IF($F1448="","",IF(Sync!$AE1448="","",IF(ISNUMBER(Sync!$AE1448),IF(AND(Sync!$AE1448&gt;=10000101,Sync!$AE1448&lt;=99991231),INT(Sync!$AE1448/10000),""),IFERROR(VALUE(TRIM(LEFT(Sync!$AE1448,FIND("/",Sync!$AE1448)-1))),""))))</f>
        <v/>
      </c>
      <c r="H1448" t="str">
        <f>IF(OR($F1448="",$G1448=""),"",IF(ISNUMBER(Sync!$AE1448),INT(MOD(Sync!$AE1448,10000)/100),IFERROR(VALUE(TRIM(LEFT(MID(Sync!$AE1448,FIND("/",Sync!$AE1448)+1,20),FIND("/",MID(Sync!$AE1448,FIND("/",Sync!$AE1448)+1,20))-1))),"")))</f>
        <v/>
      </c>
      <c r="I1448" t="str">
        <f>IF(OR($F1448="",$G1448=""),"",IF(ISNUMBER(Sync!$AE1448),MOD(Sync!$AE1448,100),IFERROR(VALUE(TRIM(MID(MID(Sync!$AE1448,FIND("/",Sync!$AE1448)+1,20),FIND("/",MID(Sync!$AE1448,FIND("/",Sync!$AE1448)+1,20))+1,20))),"")))</f>
        <v/>
      </c>
      <c r="J1448" t="str">
        <f t="shared" si="112"/>
        <v/>
      </c>
      <c r="K1448" t="str">
        <f>IF(OR($F1448="",$J1448="",$J1448="نامعتبر"),"",LEFT($J1448,4)&amp;MID($J1448,6,2)&amp;RIGHT($J1448,2)&amp;$N1448&amp;"|"&amp;"2"&amp;RIGHT("00000"&amp;1443,5))</f>
        <v/>
      </c>
      <c r="L1448" t="str">
        <f t="shared" si="113"/>
        <v/>
      </c>
      <c r="M1448" t="str">
        <f t="shared" si="114"/>
        <v/>
      </c>
      <c r="N1448" t="str">
        <f>IF($F1448="","",IF(Sync!$AF1448="","0000",IF(AND(ISNUMBER(Sync!$AF1448),Sync!$AF1448&gt;=0,Sync!$AF1448&lt;1),RIGHT("00"&amp;HOUR(Sync!$AF1448),2)&amp;RIGHT("00"&amp;MINUTE(Sync!$AF1448),2),IFERROR(RIGHT("00"&amp;VALUE(LEFT(Sync!$AF1448,FIND(":",Sync!$AF1448)-1)),2)&amp;RIGHT("00"&amp;VALUE(MID(Sync!$AF1448,FIND(":",Sync!$AF1448)+1,2)),2),"0000"))))</f>
        <v/>
      </c>
    </row>
    <row r="1449" spans="1:14" x14ac:dyDescent="0.2">
      <c r="A1449" t="str">
        <f>IF(OR(Calc!$E1453="",Calc!$E1453="نامعتبر",Calc!$G1453=""),"",Calc!$G1453)</f>
        <v/>
      </c>
      <c r="B1449" t="str">
        <f>IF($A1449="","",LEFT(Calc!$E1453,4)&amp;MID(Calc!$E1453,6,2)&amp;RIGHT(Calc!$E1453,2)&amp;Calc!$Q1453&amp;"|"&amp;"1"&amp;RIGHT("00000"&amp;1444,5))</f>
        <v/>
      </c>
      <c r="C1449" t="str">
        <f t="shared" si="110"/>
        <v/>
      </c>
      <c r="D1449" t="str">
        <f t="shared" si="111"/>
        <v/>
      </c>
      <c r="F1449" t="str">
        <f>IF(Sync!$AH1449="","",IF(LEFT(UPPER(TRIM(Sync!$AH1449)),2)="SL",UPPER(TRIM(Sync!$AH1449)),""))</f>
        <v/>
      </c>
      <c r="G1449" t="str">
        <f>IF($F1449="","",IF(Sync!$AE1449="","",IF(ISNUMBER(Sync!$AE1449),IF(AND(Sync!$AE1449&gt;=10000101,Sync!$AE1449&lt;=99991231),INT(Sync!$AE1449/10000),""),IFERROR(VALUE(TRIM(LEFT(Sync!$AE1449,FIND("/",Sync!$AE1449)-1))),""))))</f>
        <v/>
      </c>
      <c r="H1449" t="str">
        <f>IF(OR($F1449="",$G1449=""),"",IF(ISNUMBER(Sync!$AE1449),INT(MOD(Sync!$AE1449,10000)/100),IFERROR(VALUE(TRIM(LEFT(MID(Sync!$AE1449,FIND("/",Sync!$AE1449)+1,20),FIND("/",MID(Sync!$AE1449,FIND("/",Sync!$AE1449)+1,20))-1))),"")))</f>
        <v/>
      </c>
      <c r="I1449" t="str">
        <f>IF(OR($F1449="",$G1449=""),"",IF(ISNUMBER(Sync!$AE1449),MOD(Sync!$AE1449,100),IFERROR(VALUE(TRIM(MID(MID(Sync!$AE1449,FIND("/",Sync!$AE1449)+1,20),FIND("/",MID(Sync!$AE1449,FIND("/",Sync!$AE1449)+1,20))+1,20))),"")))</f>
        <v/>
      </c>
      <c r="J1449" t="str">
        <f t="shared" si="112"/>
        <v/>
      </c>
      <c r="K1449" t="str">
        <f>IF(OR($F1449="",$J1449="",$J1449="نامعتبر"),"",LEFT($J1449,4)&amp;MID($J1449,6,2)&amp;RIGHT($J1449,2)&amp;$N1449&amp;"|"&amp;"2"&amp;RIGHT("00000"&amp;1444,5))</f>
        <v/>
      </c>
      <c r="L1449" t="str">
        <f t="shared" si="113"/>
        <v/>
      </c>
      <c r="M1449" t="str">
        <f t="shared" si="114"/>
        <v/>
      </c>
      <c r="N1449" t="str">
        <f>IF($F1449="","",IF(Sync!$AF1449="","0000",IF(AND(ISNUMBER(Sync!$AF1449),Sync!$AF1449&gt;=0,Sync!$AF1449&lt;1),RIGHT("00"&amp;HOUR(Sync!$AF1449),2)&amp;RIGHT("00"&amp;MINUTE(Sync!$AF1449),2),IFERROR(RIGHT("00"&amp;VALUE(LEFT(Sync!$AF1449,FIND(":",Sync!$AF1449)-1)),2)&amp;RIGHT("00"&amp;VALUE(MID(Sync!$AF1449,FIND(":",Sync!$AF1449)+1,2)),2),"0000"))))</f>
        <v/>
      </c>
    </row>
    <row r="1450" spans="1:14" x14ac:dyDescent="0.2">
      <c r="A1450" t="str">
        <f>IF(OR(Calc!$E1454="",Calc!$E1454="نامعتبر",Calc!$G1454=""),"",Calc!$G1454)</f>
        <v/>
      </c>
      <c r="B1450" t="str">
        <f>IF($A1450="","",LEFT(Calc!$E1454,4)&amp;MID(Calc!$E1454,6,2)&amp;RIGHT(Calc!$E1454,2)&amp;Calc!$Q1454&amp;"|"&amp;"1"&amp;RIGHT("00000"&amp;1445,5))</f>
        <v/>
      </c>
      <c r="C1450" t="str">
        <f t="shared" si="110"/>
        <v/>
      </c>
      <c r="D1450" t="str">
        <f t="shared" si="111"/>
        <v/>
      </c>
      <c r="F1450" t="str">
        <f>IF(Sync!$AH1450="","",IF(LEFT(UPPER(TRIM(Sync!$AH1450)),2)="SL",UPPER(TRIM(Sync!$AH1450)),""))</f>
        <v/>
      </c>
      <c r="G1450" t="str">
        <f>IF($F1450="","",IF(Sync!$AE1450="","",IF(ISNUMBER(Sync!$AE1450),IF(AND(Sync!$AE1450&gt;=10000101,Sync!$AE1450&lt;=99991231),INT(Sync!$AE1450/10000),""),IFERROR(VALUE(TRIM(LEFT(Sync!$AE1450,FIND("/",Sync!$AE1450)-1))),""))))</f>
        <v/>
      </c>
      <c r="H1450" t="str">
        <f>IF(OR($F1450="",$G1450=""),"",IF(ISNUMBER(Sync!$AE1450),INT(MOD(Sync!$AE1450,10000)/100),IFERROR(VALUE(TRIM(LEFT(MID(Sync!$AE1450,FIND("/",Sync!$AE1450)+1,20),FIND("/",MID(Sync!$AE1450,FIND("/",Sync!$AE1450)+1,20))-1))),"")))</f>
        <v/>
      </c>
      <c r="I1450" t="str">
        <f>IF(OR($F1450="",$G1450=""),"",IF(ISNUMBER(Sync!$AE1450),MOD(Sync!$AE1450,100),IFERROR(VALUE(TRIM(MID(MID(Sync!$AE1450,FIND("/",Sync!$AE1450)+1,20),FIND("/",MID(Sync!$AE1450,FIND("/",Sync!$AE1450)+1,20))+1,20))),"")))</f>
        <v/>
      </c>
      <c r="J1450" t="str">
        <f t="shared" si="112"/>
        <v/>
      </c>
      <c r="K1450" t="str">
        <f>IF(OR($F1450="",$J1450="",$J1450="نامعتبر"),"",LEFT($J1450,4)&amp;MID($J1450,6,2)&amp;RIGHT($J1450,2)&amp;$N1450&amp;"|"&amp;"2"&amp;RIGHT("00000"&amp;1445,5))</f>
        <v/>
      </c>
      <c r="L1450" t="str">
        <f t="shared" si="113"/>
        <v/>
      </c>
      <c r="M1450" t="str">
        <f t="shared" si="114"/>
        <v/>
      </c>
      <c r="N1450" t="str">
        <f>IF($F1450="","",IF(Sync!$AF1450="","0000",IF(AND(ISNUMBER(Sync!$AF1450),Sync!$AF1450&gt;=0,Sync!$AF1450&lt;1),RIGHT("00"&amp;HOUR(Sync!$AF1450),2)&amp;RIGHT("00"&amp;MINUTE(Sync!$AF1450),2),IFERROR(RIGHT("00"&amp;VALUE(LEFT(Sync!$AF1450,FIND(":",Sync!$AF1450)-1)),2)&amp;RIGHT("00"&amp;VALUE(MID(Sync!$AF1450,FIND(":",Sync!$AF1450)+1,2)),2),"0000"))))</f>
        <v/>
      </c>
    </row>
    <row r="1451" spans="1:14" x14ac:dyDescent="0.2">
      <c r="A1451" t="str">
        <f>IF(OR(Calc!$E1455="",Calc!$E1455="نامعتبر",Calc!$G1455=""),"",Calc!$G1455)</f>
        <v/>
      </c>
      <c r="B1451" t="str">
        <f>IF($A1451="","",LEFT(Calc!$E1455,4)&amp;MID(Calc!$E1455,6,2)&amp;RIGHT(Calc!$E1455,2)&amp;Calc!$Q1455&amp;"|"&amp;"1"&amp;RIGHT("00000"&amp;1446,5))</f>
        <v/>
      </c>
      <c r="C1451" t="str">
        <f t="shared" si="110"/>
        <v/>
      </c>
      <c r="D1451" t="str">
        <f t="shared" si="111"/>
        <v/>
      </c>
      <c r="F1451" t="str">
        <f>IF(Sync!$AH1451="","",IF(LEFT(UPPER(TRIM(Sync!$AH1451)),2)="SL",UPPER(TRIM(Sync!$AH1451)),""))</f>
        <v/>
      </c>
      <c r="G1451" t="str">
        <f>IF($F1451="","",IF(Sync!$AE1451="","",IF(ISNUMBER(Sync!$AE1451),IF(AND(Sync!$AE1451&gt;=10000101,Sync!$AE1451&lt;=99991231),INT(Sync!$AE1451/10000),""),IFERROR(VALUE(TRIM(LEFT(Sync!$AE1451,FIND("/",Sync!$AE1451)-1))),""))))</f>
        <v/>
      </c>
      <c r="H1451" t="str">
        <f>IF(OR($F1451="",$G1451=""),"",IF(ISNUMBER(Sync!$AE1451),INT(MOD(Sync!$AE1451,10000)/100),IFERROR(VALUE(TRIM(LEFT(MID(Sync!$AE1451,FIND("/",Sync!$AE1451)+1,20),FIND("/",MID(Sync!$AE1451,FIND("/",Sync!$AE1451)+1,20))-1))),"")))</f>
        <v/>
      </c>
      <c r="I1451" t="str">
        <f>IF(OR($F1451="",$G1451=""),"",IF(ISNUMBER(Sync!$AE1451),MOD(Sync!$AE1451,100),IFERROR(VALUE(TRIM(MID(MID(Sync!$AE1451,FIND("/",Sync!$AE1451)+1,20),FIND("/",MID(Sync!$AE1451,FIND("/",Sync!$AE1451)+1,20))+1,20))),"")))</f>
        <v/>
      </c>
      <c r="J1451" t="str">
        <f t="shared" si="112"/>
        <v/>
      </c>
      <c r="K1451" t="str">
        <f>IF(OR($F1451="",$J1451="",$J1451="نامعتبر"),"",LEFT($J1451,4)&amp;MID($J1451,6,2)&amp;RIGHT($J1451,2)&amp;$N1451&amp;"|"&amp;"2"&amp;RIGHT("00000"&amp;1446,5))</f>
        <v/>
      </c>
      <c r="L1451" t="str">
        <f t="shared" si="113"/>
        <v/>
      </c>
      <c r="M1451" t="str">
        <f t="shared" si="114"/>
        <v/>
      </c>
      <c r="N1451" t="str">
        <f>IF($F1451="","",IF(Sync!$AF1451="","0000",IF(AND(ISNUMBER(Sync!$AF1451),Sync!$AF1451&gt;=0,Sync!$AF1451&lt;1),RIGHT("00"&amp;HOUR(Sync!$AF1451),2)&amp;RIGHT("00"&amp;MINUTE(Sync!$AF1451),2),IFERROR(RIGHT("00"&amp;VALUE(LEFT(Sync!$AF1451,FIND(":",Sync!$AF1451)-1)),2)&amp;RIGHT("00"&amp;VALUE(MID(Sync!$AF1451,FIND(":",Sync!$AF1451)+1,2)),2),"0000"))))</f>
        <v/>
      </c>
    </row>
    <row r="1452" spans="1:14" x14ac:dyDescent="0.2">
      <c r="A1452" t="str">
        <f>IF(OR(Calc!$E1456="",Calc!$E1456="نامعتبر",Calc!$G1456=""),"",Calc!$G1456)</f>
        <v/>
      </c>
      <c r="B1452" t="str">
        <f>IF($A1452="","",LEFT(Calc!$E1456,4)&amp;MID(Calc!$E1456,6,2)&amp;RIGHT(Calc!$E1456,2)&amp;Calc!$Q1456&amp;"|"&amp;"1"&amp;RIGHT("00000"&amp;1447,5))</f>
        <v/>
      </c>
      <c r="C1452" t="str">
        <f t="shared" si="110"/>
        <v/>
      </c>
      <c r="D1452" t="str">
        <f t="shared" si="111"/>
        <v/>
      </c>
      <c r="F1452" t="str">
        <f>IF(Sync!$AH1452="","",IF(LEFT(UPPER(TRIM(Sync!$AH1452)),2)="SL",UPPER(TRIM(Sync!$AH1452)),""))</f>
        <v/>
      </c>
      <c r="G1452" t="str">
        <f>IF($F1452="","",IF(Sync!$AE1452="","",IF(ISNUMBER(Sync!$AE1452),IF(AND(Sync!$AE1452&gt;=10000101,Sync!$AE1452&lt;=99991231),INT(Sync!$AE1452/10000),""),IFERROR(VALUE(TRIM(LEFT(Sync!$AE1452,FIND("/",Sync!$AE1452)-1))),""))))</f>
        <v/>
      </c>
      <c r="H1452" t="str">
        <f>IF(OR($F1452="",$G1452=""),"",IF(ISNUMBER(Sync!$AE1452),INT(MOD(Sync!$AE1452,10000)/100),IFERROR(VALUE(TRIM(LEFT(MID(Sync!$AE1452,FIND("/",Sync!$AE1452)+1,20),FIND("/",MID(Sync!$AE1452,FIND("/",Sync!$AE1452)+1,20))-1))),"")))</f>
        <v/>
      </c>
      <c r="I1452" t="str">
        <f>IF(OR($F1452="",$G1452=""),"",IF(ISNUMBER(Sync!$AE1452),MOD(Sync!$AE1452,100),IFERROR(VALUE(TRIM(MID(MID(Sync!$AE1452,FIND("/",Sync!$AE1452)+1,20),FIND("/",MID(Sync!$AE1452,FIND("/",Sync!$AE1452)+1,20))+1,20))),"")))</f>
        <v/>
      </c>
      <c r="J1452" t="str">
        <f t="shared" si="112"/>
        <v/>
      </c>
      <c r="K1452" t="str">
        <f>IF(OR($F1452="",$J1452="",$J1452="نامعتبر"),"",LEFT($J1452,4)&amp;MID($J1452,6,2)&amp;RIGHT($J1452,2)&amp;$N1452&amp;"|"&amp;"2"&amp;RIGHT("00000"&amp;1447,5))</f>
        <v/>
      </c>
      <c r="L1452" t="str">
        <f t="shared" si="113"/>
        <v/>
      </c>
      <c r="M1452" t="str">
        <f t="shared" si="114"/>
        <v/>
      </c>
      <c r="N1452" t="str">
        <f>IF($F1452="","",IF(Sync!$AF1452="","0000",IF(AND(ISNUMBER(Sync!$AF1452),Sync!$AF1452&gt;=0,Sync!$AF1452&lt;1),RIGHT("00"&amp;HOUR(Sync!$AF1452),2)&amp;RIGHT("00"&amp;MINUTE(Sync!$AF1452),2),IFERROR(RIGHT("00"&amp;VALUE(LEFT(Sync!$AF1452,FIND(":",Sync!$AF1452)-1)),2)&amp;RIGHT("00"&amp;VALUE(MID(Sync!$AF1452,FIND(":",Sync!$AF1452)+1,2)),2),"0000"))))</f>
        <v/>
      </c>
    </row>
    <row r="1453" spans="1:14" x14ac:dyDescent="0.2">
      <c r="A1453" t="str">
        <f>IF(OR(Calc!$E1457="",Calc!$E1457="نامعتبر",Calc!$G1457=""),"",Calc!$G1457)</f>
        <v/>
      </c>
      <c r="B1453" t="str">
        <f>IF($A1453="","",LEFT(Calc!$E1457,4)&amp;MID(Calc!$E1457,6,2)&amp;RIGHT(Calc!$E1457,2)&amp;Calc!$Q1457&amp;"|"&amp;"1"&amp;RIGHT("00000"&amp;1448,5))</f>
        <v/>
      </c>
      <c r="C1453" t="str">
        <f t="shared" si="110"/>
        <v/>
      </c>
      <c r="D1453" t="str">
        <f t="shared" si="111"/>
        <v/>
      </c>
      <c r="F1453" t="str">
        <f>IF(Sync!$AH1453="","",IF(LEFT(UPPER(TRIM(Sync!$AH1453)),2)="SL",UPPER(TRIM(Sync!$AH1453)),""))</f>
        <v/>
      </c>
      <c r="G1453" t="str">
        <f>IF($F1453="","",IF(Sync!$AE1453="","",IF(ISNUMBER(Sync!$AE1453),IF(AND(Sync!$AE1453&gt;=10000101,Sync!$AE1453&lt;=99991231),INT(Sync!$AE1453/10000),""),IFERROR(VALUE(TRIM(LEFT(Sync!$AE1453,FIND("/",Sync!$AE1453)-1))),""))))</f>
        <v/>
      </c>
      <c r="H1453" t="str">
        <f>IF(OR($F1453="",$G1453=""),"",IF(ISNUMBER(Sync!$AE1453),INT(MOD(Sync!$AE1453,10000)/100),IFERROR(VALUE(TRIM(LEFT(MID(Sync!$AE1453,FIND("/",Sync!$AE1453)+1,20),FIND("/",MID(Sync!$AE1453,FIND("/",Sync!$AE1453)+1,20))-1))),"")))</f>
        <v/>
      </c>
      <c r="I1453" t="str">
        <f>IF(OR($F1453="",$G1453=""),"",IF(ISNUMBER(Sync!$AE1453),MOD(Sync!$AE1453,100),IFERROR(VALUE(TRIM(MID(MID(Sync!$AE1453,FIND("/",Sync!$AE1453)+1,20),FIND("/",MID(Sync!$AE1453,FIND("/",Sync!$AE1453)+1,20))+1,20))),"")))</f>
        <v/>
      </c>
      <c r="J1453" t="str">
        <f t="shared" si="112"/>
        <v/>
      </c>
      <c r="K1453" t="str">
        <f>IF(OR($F1453="",$J1453="",$J1453="نامعتبر"),"",LEFT($J1453,4)&amp;MID($J1453,6,2)&amp;RIGHT($J1453,2)&amp;$N1453&amp;"|"&amp;"2"&amp;RIGHT("00000"&amp;1448,5))</f>
        <v/>
      </c>
      <c r="L1453" t="str">
        <f t="shared" si="113"/>
        <v/>
      </c>
      <c r="M1453" t="str">
        <f t="shared" si="114"/>
        <v/>
      </c>
      <c r="N1453" t="str">
        <f>IF($F1453="","",IF(Sync!$AF1453="","0000",IF(AND(ISNUMBER(Sync!$AF1453),Sync!$AF1453&gt;=0,Sync!$AF1453&lt;1),RIGHT("00"&amp;HOUR(Sync!$AF1453),2)&amp;RIGHT("00"&amp;MINUTE(Sync!$AF1453),2),IFERROR(RIGHT("00"&amp;VALUE(LEFT(Sync!$AF1453,FIND(":",Sync!$AF1453)-1)),2)&amp;RIGHT("00"&amp;VALUE(MID(Sync!$AF1453,FIND(":",Sync!$AF1453)+1,2)),2),"0000"))))</f>
        <v/>
      </c>
    </row>
    <row r="1454" spans="1:14" x14ac:dyDescent="0.2">
      <c r="A1454" t="str">
        <f>IF(OR(Calc!$E1458="",Calc!$E1458="نامعتبر",Calc!$G1458=""),"",Calc!$G1458)</f>
        <v/>
      </c>
      <c r="B1454" t="str">
        <f>IF($A1454="","",LEFT(Calc!$E1458,4)&amp;MID(Calc!$E1458,6,2)&amp;RIGHT(Calc!$E1458,2)&amp;Calc!$Q1458&amp;"|"&amp;"1"&amp;RIGHT("00000"&amp;1449,5))</f>
        <v/>
      </c>
      <c r="C1454" t="str">
        <f t="shared" si="110"/>
        <v/>
      </c>
      <c r="D1454" t="str">
        <f t="shared" si="111"/>
        <v/>
      </c>
      <c r="F1454" t="str">
        <f>IF(Sync!$AH1454="","",IF(LEFT(UPPER(TRIM(Sync!$AH1454)),2)="SL",UPPER(TRIM(Sync!$AH1454)),""))</f>
        <v/>
      </c>
      <c r="G1454" t="str">
        <f>IF($F1454="","",IF(Sync!$AE1454="","",IF(ISNUMBER(Sync!$AE1454),IF(AND(Sync!$AE1454&gt;=10000101,Sync!$AE1454&lt;=99991231),INT(Sync!$AE1454/10000),""),IFERROR(VALUE(TRIM(LEFT(Sync!$AE1454,FIND("/",Sync!$AE1454)-1))),""))))</f>
        <v/>
      </c>
      <c r="H1454" t="str">
        <f>IF(OR($F1454="",$G1454=""),"",IF(ISNUMBER(Sync!$AE1454),INT(MOD(Sync!$AE1454,10000)/100),IFERROR(VALUE(TRIM(LEFT(MID(Sync!$AE1454,FIND("/",Sync!$AE1454)+1,20),FIND("/",MID(Sync!$AE1454,FIND("/",Sync!$AE1454)+1,20))-1))),"")))</f>
        <v/>
      </c>
      <c r="I1454" t="str">
        <f>IF(OR($F1454="",$G1454=""),"",IF(ISNUMBER(Sync!$AE1454),MOD(Sync!$AE1454,100),IFERROR(VALUE(TRIM(MID(MID(Sync!$AE1454,FIND("/",Sync!$AE1454)+1,20),FIND("/",MID(Sync!$AE1454,FIND("/",Sync!$AE1454)+1,20))+1,20))),"")))</f>
        <v/>
      </c>
      <c r="J1454" t="str">
        <f t="shared" si="112"/>
        <v/>
      </c>
      <c r="K1454" t="str">
        <f>IF(OR($F1454="",$J1454="",$J1454="نامعتبر"),"",LEFT($J1454,4)&amp;MID($J1454,6,2)&amp;RIGHT($J1454,2)&amp;$N1454&amp;"|"&amp;"2"&amp;RIGHT("00000"&amp;1449,5))</f>
        <v/>
      </c>
      <c r="L1454" t="str">
        <f t="shared" si="113"/>
        <v/>
      </c>
      <c r="M1454" t="str">
        <f t="shared" si="114"/>
        <v/>
      </c>
      <c r="N1454" t="str">
        <f>IF($F1454="","",IF(Sync!$AF1454="","0000",IF(AND(ISNUMBER(Sync!$AF1454),Sync!$AF1454&gt;=0,Sync!$AF1454&lt;1),RIGHT("00"&amp;HOUR(Sync!$AF1454),2)&amp;RIGHT("00"&amp;MINUTE(Sync!$AF1454),2),IFERROR(RIGHT("00"&amp;VALUE(LEFT(Sync!$AF1454,FIND(":",Sync!$AF1454)-1)),2)&amp;RIGHT("00"&amp;VALUE(MID(Sync!$AF1454,FIND(":",Sync!$AF1454)+1,2)),2),"0000"))))</f>
        <v/>
      </c>
    </row>
    <row r="1455" spans="1:14" x14ac:dyDescent="0.2">
      <c r="A1455" t="str">
        <f>IF(OR(Calc!$E1459="",Calc!$E1459="نامعتبر",Calc!$G1459=""),"",Calc!$G1459)</f>
        <v/>
      </c>
      <c r="B1455" t="str">
        <f>IF($A1455="","",LEFT(Calc!$E1459,4)&amp;MID(Calc!$E1459,6,2)&amp;RIGHT(Calc!$E1459,2)&amp;Calc!$Q1459&amp;"|"&amp;"1"&amp;RIGHT("00000"&amp;1450,5))</f>
        <v/>
      </c>
      <c r="C1455" t="str">
        <f t="shared" si="110"/>
        <v/>
      </c>
      <c r="D1455" t="str">
        <f t="shared" si="111"/>
        <v/>
      </c>
      <c r="F1455" t="str">
        <f>IF(Sync!$AH1455="","",IF(LEFT(UPPER(TRIM(Sync!$AH1455)),2)="SL",UPPER(TRIM(Sync!$AH1455)),""))</f>
        <v/>
      </c>
      <c r="G1455" t="str">
        <f>IF($F1455="","",IF(Sync!$AE1455="","",IF(ISNUMBER(Sync!$AE1455),IF(AND(Sync!$AE1455&gt;=10000101,Sync!$AE1455&lt;=99991231),INT(Sync!$AE1455/10000),""),IFERROR(VALUE(TRIM(LEFT(Sync!$AE1455,FIND("/",Sync!$AE1455)-1))),""))))</f>
        <v/>
      </c>
      <c r="H1455" t="str">
        <f>IF(OR($F1455="",$G1455=""),"",IF(ISNUMBER(Sync!$AE1455),INT(MOD(Sync!$AE1455,10000)/100),IFERROR(VALUE(TRIM(LEFT(MID(Sync!$AE1455,FIND("/",Sync!$AE1455)+1,20),FIND("/",MID(Sync!$AE1455,FIND("/",Sync!$AE1455)+1,20))-1))),"")))</f>
        <v/>
      </c>
      <c r="I1455" t="str">
        <f>IF(OR($F1455="",$G1455=""),"",IF(ISNUMBER(Sync!$AE1455),MOD(Sync!$AE1455,100),IFERROR(VALUE(TRIM(MID(MID(Sync!$AE1455,FIND("/",Sync!$AE1455)+1,20),FIND("/",MID(Sync!$AE1455,FIND("/",Sync!$AE1455)+1,20))+1,20))),"")))</f>
        <v/>
      </c>
      <c r="J1455" t="str">
        <f t="shared" si="112"/>
        <v/>
      </c>
      <c r="K1455" t="str">
        <f>IF(OR($F1455="",$J1455="",$J1455="نامعتبر"),"",LEFT($J1455,4)&amp;MID($J1455,6,2)&amp;RIGHT($J1455,2)&amp;$N1455&amp;"|"&amp;"2"&amp;RIGHT("00000"&amp;1450,5))</f>
        <v/>
      </c>
      <c r="L1455" t="str">
        <f t="shared" si="113"/>
        <v/>
      </c>
      <c r="M1455" t="str">
        <f t="shared" si="114"/>
        <v/>
      </c>
      <c r="N1455" t="str">
        <f>IF($F1455="","",IF(Sync!$AF1455="","0000",IF(AND(ISNUMBER(Sync!$AF1455),Sync!$AF1455&gt;=0,Sync!$AF1455&lt;1),RIGHT("00"&amp;HOUR(Sync!$AF1455),2)&amp;RIGHT("00"&amp;MINUTE(Sync!$AF1455),2),IFERROR(RIGHT("00"&amp;VALUE(LEFT(Sync!$AF1455,FIND(":",Sync!$AF1455)-1)),2)&amp;RIGHT("00"&amp;VALUE(MID(Sync!$AF1455,FIND(":",Sync!$AF1455)+1,2)),2),"0000"))))</f>
        <v/>
      </c>
    </row>
    <row r="1456" spans="1:14" x14ac:dyDescent="0.2">
      <c r="A1456" t="str">
        <f>IF(OR(Calc!$E1460="",Calc!$E1460="نامعتبر",Calc!$G1460=""),"",Calc!$G1460)</f>
        <v/>
      </c>
      <c r="B1456" t="str">
        <f>IF($A1456="","",LEFT(Calc!$E1460,4)&amp;MID(Calc!$E1460,6,2)&amp;RIGHT(Calc!$E1460,2)&amp;Calc!$Q1460&amp;"|"&amp;"1"&amp;RIGHT("00000"&amp;1451,5))</f>
        <v/>
      </c>
      <c r="C1456" t="str">
        <f t="shared" si="110"/>
        <v/>
      </c>
      <c r="D1456" t="str">
        <f t="shared" si="111"/>
        <v/>
      </c>
      <c r="F1456" t="str">
        <f>IF(Sync!$AH1456="","",IF(LEFT(UPPER(TRIM(Sync!$AH1456)),2)="SL",UPPER(TRIM(Sync!$AH1456)),""))</f>
        <v/>
      </c>
      <c r="G1456" t="str">
        <f>IF($F1456="","",IF(Sync!$AE1456="","",IF(ISNUMBER(Sync!$AE1456),IF(AND(Sync!$AE1456&gt;=10000101,Sync!$AE1456&lt;=99991231),INT(Sync!$AE1456/10000),""),IFERROR(VALUE(TRIM(LEFT(Sync!$AE1456,FIND("/",Sync!$AE1456)-1))),""))))</f>
        <v/>
      </c>
      <c r="H1456" t="str">
        <f>IF(OR($F1456="",$G1456=""),"",IF(ISNUMBER(Sync!$AE1456),INT(MOD(Sync!$AE1456,10000)/100),IFERROR(VALUE(TRIM(LEFT(MID(Sync!$AE1456,FIND("/",Sync!$AE1456)+1,20),FIND("/",MID(Sync!$AE1456,FIND("/",Sync!$AE1456)+1,20))-1))),"")))</f>
        <v/>
      </c>
      <c r="I1456" t="str">
        <f>IF(OR($F1456="",$G1456=""),"",IF(ISNUMBER(Sync!$AE1456),MOD(Sync!$AE1456,100),IFERROR(VALUE(TRIM(MID(MID(Sync!$AE1456,FIND("/",Sync!$AE1456)+1,20),FIND("/",MID(Sync!$AE1456,FIND("/",Sync!$AE1456)+1,20))+1,20))),"")))</f>
        <v/>
      </c>
      <c r="J1456" t="str">
        <f t="shared" si="112"/>
        <v/>
      </c>
      <c r="K1456" t="str">
        <f>IF(OR($F1456="",$J1456="",$J1456="نامعتبر"),"",LEFT($J1456,4)&amp;MID($J1456,6,2)&amp;RIGHT($J1456,2)&amp;$N1456&amp;"|"&amp;"2"&amp;RIGHT("00000"&amp;1451,5))</f>
        <v/>
      </c>
      <c r="L1456" t="str">
        <f t="shared" si="113"/>
        <v/>
      </c>
      <c r="M1456" t="str">
        <f t="shared" si="114"/>
        <v/>
      </c>
      <c r="N1456" t="str">
        <f>IF($F1456="","",IF(Sync!$AF1456="","0000",IF(AND(ISNUMBER(Sync!$AF1456),Sync!$AF1456&gt;=0,Sync!$AF1456&lt;1),RIGHT("00"&amp;HOUR(Sync!$AF1456),2)&amp;RIGHT("00"&amp;MINUTE(Sync!$AF1456),2),IFERROR(RIGHT("00"&amp;VALUE(LEFT(Sync!$AF1456,FIND(":",Sync!$AF1456)-1)),2)&amp;RIGHT("00"&amp;VALUE(MID(Sync!$AF1456,FIND(":",Sync!$AF1456)+1,2)),2),"0000"))))</f>
        <v/>
      </c>
    </row>
    <row r="1457" spans="1:14" x14ac:dyDescent="0.2">
      <c r="A1457" t="str">
        <f>IF(OR(Calc!$E1461="",Calc!$E1461="نامعتبر",Calc!$G1461=""),"",Calc!$G1461)</f>
        <v/>
      </c>
      <c r="B1457" t="str">
        <f>IF($A1457="","",LEFT(Calc!$E1461,4)&amp;MID(Calc!$E1461,6,2)&amp;RIGHT(Calc!$E1461,2)&amp;Calc!$Q1461&amp;"|"&amp;"1"&amp;RIGHT("00000"&amp;1452,5))</f>
        <v/>
      </c>
      <c r="C1457" t="str">
        <f t="shared" si="110"/>
        <v/>
      </c>
      <c r="D1457" t="str">
        <f t="shared" si="111"/>
        <v/>
      </c>
      <c r="F1457" t="str">
        <f>IF(Sync!$AH1457="","",IF(LEFT(UPPER(TRIM(Sync!$AH1457)),2)="SL",UPPER(TRIM(Sync!$AH1457)),""))</f>
        <v/>
      </c>
      <c r="G1457" t="str">
        <f>IF($F1457="","",IF(Sync!$AE1457="","",IF(ISNUMBER(Sync!$AE1457),IF(AND(Sync!$AE1457&gt;=10000101,Sync!$AE1457&lt;=99991231),INT(Sync!$AE1457/10000),""),IFERROR(VALUE(TRIM(LEFT(Sync!$AE1457,FIND("/",Sync!$AE1457)-1))),""))))</f>
        <v/>
      </c>
      <c r="H1457" t="str">
        <f>IF(OR($F1457="",$G1457=""),"",IF(ISNUMBER(Sync!$AE1457),INT(MOD(Sync!$AE1457,10000)/100),IFERROR(VALUE(TRIM(LEFT(MID(Sync!$AE1457,FIND("/",Sync!$AE1457)+1,20),FIND("/",MID(Sync!$AE1457,FIND("/",Sync!$AE1457)+1,20))-1))),"")))</f>
        <v/>
      </c>
      <c r="I1457" t="str">
        <f>IF(OR($F1457="",$G1457=""),"",IF(ISNUMBER(Sync!$AE1457),MOD(Sync!$AE1457,100),IFERROR(VALUE(TRIM(MID(MID(Sync!$AE1457,FIND("/",Sync!$AE1457)+1,20),FIND("/",MID(Sync!$AE1457,FIND("/",Sync!$AE1457)+1,20))+1,20))),"")))</f>
        <v/>
      </c>
      <c r="J1457" t="str">
        <f t="shared" si="112"/>
        <v/>
      </c>
      <c r="K1457" t="str">
        <f>IF(OR($F1457="",$J1457="",$J1457="نامعتبر"),"",LEFT($J1457,4)&amp;MID($J1457,6,2)&amp;RIGHT($J1457,2)&amp;$N1457&amp;"|"&amp;"2"&amp;RIGHT("00000"&amp;1452,5))</f>
        <v/>
      </c>
      <c r="L1457" t="str">
        <f t="shared" si="113"/>
        <v/>
      </c>
      <c r="M1457" t="str">
        <f t="shared" si="114"/>
        <v/>
      </c>
      <c r="N1457" t="str">
        <f>IF($F1457="","",IF(Sync!$AF1457="","0000",IF(AND(ISNUMBER(Sync!$AF1457),Sync!$AF1457&gt;=0,Sync!$AF1457&lt;1),RIGHT("00"&amp;HOUR(Sync!$AF1457),2)&amp;RIGHT("00"&amp;MINUTE(Sync!$AF1457),2),IFERROR(RIGHT("00"&amp;VALUE(LEFT(Sync!$AF1457,FIND(":",Sync!$AF1457)-1)),2)&amp;RIGHT("00"&amp;VALUE(MID(Sync!$AF1457,FIND(":",Sync!$AF1457)+1,2)),2),"0000"))))</f>
        <v/>
      </c>
    </row>
    <row r="1458" spans="1:14" x14ac:dyDescent="0.2">
      <c r="A1458" t="str">
        <f>IF(OR(Calc!$E1462="",Calc!$E1462="نامعتبر",Calc!$G1462=""),"",Calc!$G1462)</f>
        <v/>
      </c>
      <c r="B1458" t="str">
        <f>IF($A1458="","",LEFT(Calc!$E1462,4)&amp;MID(Calc!$E1462,6,2)&amp;RIGHT(Calc!$E1462,2)&amp;Calc!$Q1462&amp;"|"&amp;"1"&amp;RIGHT("00000"&amp;1453,5))</f>
        <v/>
      </c>
      <c r="C1458" t="str">
        <f t="shared" si="110"/>
        <v/>
      </c>
      <c r="D1458" t="str">
        <f t="shared" si="111"/>
        <v/>
      </c>
      <c r="F1458" t="str">
        <f>IF(Sync!$AH1458="","",IF(LEFT(UPPER(TRIM(Sync!$AH1458)),2)="SL",UPPER(TRIM(Sync!$AH1458)),""))</f>
        <v/>
      </c>
      <c r="G1458" t="str">
        <f>IF($F1458="","",IF(Sync!$AE1458="","",IF(ISNUMBER(Sync!$AE1458),IF(AND(Sync!$AE1458&gt;=10000101,Sync!$AE1458&lt;=99991231),INT(Sync!$AE1458/10000),""),IFERROR(VALUE(TRIM(LEFT(Sync!$AE1458,FIND("/",Sync!$AE1458)-1))),""))))</f>
        <v/>
      </c>
      <c r="H1458" t="str">
        <f>IF(OR($F1458="",$G1458=""),"",IF(ISNUMBER(Sync!$AE1458),INT(MOD(Sync!$AE1458,10000)/100),IFERROR(VALUE(TRIM(LEFT(MID(Sync!$AE1458,FIND("/",Sync!$AE1458)+1,20),FIND("/",MID(Sync!$AE1458,FIND("/",Sync!$AE1458)+1,20))-1))),"")))</f>
        <v/>
      </c>
      <c r="I1458" t="str">
        <f>IF(OR($F1458="",$G1458=""),"",IF(ISNUMBER(Sync!$AE1458),MOD(Sync!$AE1458,100),IFERROR(VALUE(TRIM(MID(MID(Sync!$AE1458,FIND("/",Sync!$AE1458)+1,20),FIND("/",MID(Sync!$AE1458,FIND("/",Sync!$AE1458)+1,20))+1,20))),"")))</f>
        <v/>
      </c>
      <c r="J1458" t="str">
        <f t="shared" si="112"/>
        <v/>
      </c>
      <c r="K1458" t="str">
        <f>IF(OR($F1458="",$J1458="",$J1458="نامعتبر"),"",LEFT($J1458,4)&amp;MID($J1458,6,2)&amp;RIGHT($J1458,2)&amp;$N1458&amp;"|"&amp;"2"&amp;RIGHT("00000"&amp;1453,5))</f>
        <v/>
      </c>
      <c r="L1458" t="str">
        <f t="shared" si="113"/>
        <v/>
      </c>
      <c r="M1458" t="str">
        <f t="shared" si="114"/>
        <v/>
      </c>
      <c r="N1458" t="str">
        <f>IF($F1458="","",IF(Sync!$AF1458="","0000",IF(AND(ISNUMBER(Sync!$AF1458),Sync!$AF1458&gt;=0,Sync!$AF1458&lt;1),RIGHT("00"&amp;HOUR(Sync!$AF1458),2)&amp;RIGHT("00"&amp;MINUTE(Sync!$AF1458),2),IFERROR(RIGHT("00"&amp;VALUE(LEFT(Sync!$AF1458,FIND(":",Sync!$AF1458)-1)),2)&amp;RIGHT("00"&amp;VALUE(MID(Sync!$AF1458,FIND(":",Sync!$AF1458)+1,2)),2),"0000"))))</f>
        <v/>
      </c>
    </row>
    <row r="1459" spans="1:14" x14ac:dyDescent="0.2">
      <c r="A1459" t="str">
        <f>IF(OR(Calc!$E1463="",Calc!$E1463="نامعتبر",Calc!$G1463=""),"",Calc!$G1463)</f>
        <v/>
      </c>
      <c r="B1459" t="str">
        <f>IF($A1459="","",LEFT(Calc!$E1463,4)&amp;MID(Calc!$E1463,6,2)&amp;RIGHT(Calc!$E1463,2)&amp;Calc!$Q1463&amp;"|"&amp;"1"&amp;RIGHT("00000"&amp;1454,5))</f>
        <v/>
      </c>
      <c r="C1459" t="str">
        <f t="shared" si="110"/>
        <v/>
      </c>
      <c r="D1459" t="str">
        <f t="shared" si="111"/>
        <v/>
      </c>
      <c r="F1459" t="str">
        <f>IF(Sync!$AH1459="","",IF(LEFT(UPPER(TRIM(Sync!$AH1459)),2)="SL",UPPER(TRIM(Sync!$AH1459)),""))</f>
        <v/>
      </c>
      <c r="G1459" t="str">
        <f>IF($F1459="","",IF(Sync!$AE1459="","",IF(ISNUMBER(Sync!$AE1459),IF(AND(Sync!$AE1459&gt;=10000101,Sync!$AE1459&lt;=99991231),INT(Sync!$AE1459/10000),""),IFERROR(VALUE(TRIM(LEFT(Sync!$AE1459,FIND("/",Sync!$AE1459)-1))),""))))</f>
        <v/>
      </c>
      <c r="H1459" t="str">
        <f>IF(OR($F1459="",$G1459=""),"",IF(ISNUMBER(Sync!$AE1459),INT(MOD(Sync!$AE1459,10000)/100),IFERROR(VALUE(TRIM(LEFT(MID(Sync!$AE1459,FIND("/",Sync!$AE1459)+1,20),FIND("/",MID(Sync!$AE1459,FIND("/",Sync!$AE1459)+1,20))-1))),"")))</f>
        <v/>
      </c>
      <c r="I1459" t="str">
        <f>IF(OR($F1459="",$G1459=""),"",IF(ISNUMBER(Sync!$AE1459),MOD(Sync!$AE1459,100),IFERROR(VALUE(TRIM(MID(MID(Sync!$AE1459,FIND("/",Sync!$AE1459)+1,20),FIND("/",MID(Sync!$AE1459,FIND("/",Sync!$AE1459)+1,20))+1,20))),"")))</f>
        <v/>
      </c>
      <c r="J1459" t="str">
        <f t="shared" si="112"/>
        <v/>
      </c>
      <c r="K1459" t="str">
        <f>IF(OR($F1459="",$J1459="",$J1459="نامعتبر"),"",LEFT($J1459,4)&amp;MID($J1459,6,2)&amp;RIGHT($J1459,2)&amp;$N1459&amp;"|"&amp;"2"&amp;RIGHT("00000"&amp;1454,5))</f>
        <v/>
      </c>
      <c r="L1459" t="str">
        <f t="shared" si="113"/>
        <v/>
      </c>
      <c r="M1459" t="str">
        <f t="shared" si="114"/>
        <v/>
      </c>
      <c r="N1459" t="str">
        <f>IF($F1459="","",IF(Sync!$AF1459="","0000",IF(AND(ISNUMBER(Sync!$AF1459),Sync!$AF1459&gt;=0,Sync!$AF1459&lt;1),RIGHT("00"&amp;HOUR(Sync!$AF1459),2)&amp;RIGHT("00"&amp;MINUTE(Sync!$AF1459),2),IFERROR(RIGHT("00"&amp;VALUE(LEFT(Sync!$AF1459,FIND(":",Sync!$AF1459)-1)),2)&amp;RIGHT("00"&amp;VALUE(MID(Sync!$AF1459,FIND(":",Sync!$AF1459)+1,2)),2),"0000"))))</f>
        <v/>
      </c>
    </row>
    <row r="1460" spans="1:14" x14ac:dyDescent="0.2">
      <c r="A1460" t="str">
        <f>IF(OR(Calc!$E1464="",Calc!$E1464="نامعتبر",Calc!$G1464=""),"",Calc!$G1464)</f>
        <v/>
      </c>
      <c r="B1460" t="str">
        <f>IF($A1460="","",LEFT(Calc!$E1464,4)&amp;MID(Calc!$E1464,6,2)&amp;RIGHT(Calc!$E1464,2)&amp;Calc!$Q1464&amp;"|"&amp;"1"&amp;RIGHT("00000"&amp;1455,5))</f>
        <v/>
      </c>
      <c r="C1460" t="str">
        <f t="shared" si="110"/>
        <v/>
      </c>
      <c r="D1460" t="str">
        <f t="shared" si="111"/>
        <v/>
      </c>
      <c r="F1460" t="str">
        <f>IF(Sync!$AH1460="","",IF(LEFT(UPPER(TRIM(Sync!$AH1460)),2)="SL",UPPER(TRIM(Sync!$AH1460)),""))</f>
        <v/>
      </c>
      <c r="G1460" t="str">
        <f>IF($F1460="","",IF(Sync!$AE1460="","",IF(ISNUMBER(Sync!$AE1460),IF(AND(Sync!$AE1460&gt;=10000101,Sync!$AE1460&lt;=99991231),INT(Sync!$AE1460/10000),""),IFERROR(VALUE(TRIM(LEFT(Sync!$AE1460,FIND("/",Sync!$AE1460)-1))),""))))</f>
        <v/>
      </c>
      <c r="H1460" t="str">
        <f>IF(OR($F1460="",$G1460=""),"",IF(ISNUMBER(Sync!$AE1460),INT(MOD(Sync!$AE1460,10000)/100),IFERROR(VALUE(TRIM(LEFT(MID(Sync!$AE1460,FIND("/",Sync!$AE1460)+1,20),FIND("/",MID(Sync!$AE1460,FIND("/",Sync!$AE1460)+1,20))-1))),"")))</f>
        <v/>
      </c>
      <c r="I1460" t="str">
        <f>IF(OR($F1460="",$G1460=""),"",IF(ISNUMBER(Sync!$AE1460),MOD(Sync!$AE1460,100),IFERROR(VALUE(TRIM(MID(MID(Sync!$AE1460,FIND("/",Sync!$AE1460)+1,20),FIND("/",MID(Sync!$AE1460,FIND("/",Sync!$AE1460)+1,20))+1,20))),"")))</f>
        <v/>
      </c>
      <c r="J1460" t="str">
        <f t="shared" si="112"/>
        <v/>
      </c>
      <c r="K1460" t="str">
        <f>IF(OR($F1460="",$J1460="",$J1460="نامعتبر"),"",LEFT($J1460,4)&amp;MID($J1460,6,2)&amp;RIGHT($J1460,2)&amp;$N1460&amp;"|"&amp;"2"&amp;RIGHT("00000"&amp;1455,5))</f>
        <v/>
      </c>
      <c r="L1460" t="str">
        <f t="shared" si="113"/>
        <v/>
      </c>
      <c r="M1460" t="str">
        <f t="shared" si="114"/>
        <v/>
      </c>
      <c r="N1460" t="str">
        <f>IF($F1460="","",IF(Sync!$AF1460="","0000",IF(AND(ISNUMBER(Sync!$AF1460),Sync!$AF1460&gt;=0,Sync!$AF1460&lt;1),RIGHT("00"&amp;HOUR(Sync!$AF1460),2)&amp;RIGHT("00"&amp;MINUTE(Sync!$AF1460),2),IFERROR(RIGHT("00"&amp;VALUE(LEFT(Sync!$AF1460,FIND(":",Sync!$AF1460)-1)),2)&amp;RIGHT("00"&amp;VALUE(MID(Sync!$AF1460,FIND(":",Sync!$AF1460)+1,2)),2),"0000"))))</f>
        <v/>
      </c>
    </row>
    <row r="1461" spans="1:14" x14ac:dyDescent="0.2">
      <c r="A1461" t="str">
        <f>IF(OR(Calc!$E1465="",Calc!$E1465="نامعتبر",Calc!$G1465=""),"",Calc!$G1465)</f>
        <v/>
      </c>
      <c r="B1461" t="str">
        <f>IF($A1461="","",LEFT(Calc!$E1465,4)&amp;MID(Calc!$E1465,6,2)&amp;RIGHT(Calc!$E1465,2)&amp;Calc!$Q1465&amp;"|"&amp;"1"&amp;RIGHT("00000"&amp;1456,5))</f>
        <v/>
      </c>
      <c r="C1461" t="str">
        <f t="shared" si="110"/>
        <v/>
      </c>
      <c r="D1461" t="str">
        <f t="shared" si="111"/>
        <v/>
      </c>
      <c r="F1461" t="str">
        <f>IF(Sync!$AH1461="","",IF(LEFT(UPPER(TRIM(Sync!$AH1461)),2)="SL",UPPER(TRIM(Sync!$AH1461)),""))</f>
        <v/>
      </c>
      <c r="G1461" t="str">
        <f>IF($F1461="","",IF(Sync!$AE1461="","",IF(ISNUMBER(Sync!$AE1461),IF(AND(Sync!$AE1461&gt;=10000101,Sync!$AE1461&lt;=99991231),INT(Sync!$AE1461/10000),""),IFERROR(VALUE(TRIM(LEFT(Sync!$AE1461,FIND("/",Sync!$AE1461)-1))),""))))</f>
        <v/>
      </c>
      <c r="H1461" t="str">
        <f>IF(OR($F1461="",$G1461=""),"",IF(ISNUMBER(Sync!$AE1461),INT(MOD(Sync!$AE1461,10000)/100),IFERROR(VALUE(TRIM(LEFT(MID(Sync!$AE1461,FIND("/",Sync!$AE1461)+1,20),FIND("/",MID(Sync!$AE1461,FIND("/",Sync!$AE1461)+1,20))-1))),"")))</f>
        <v/>
      </c>
      <c r="I1461" t="str">
        <f>IF(OR($F1461="",$G1461=""),"",IF(ISNUMBER(Sync!$AE1461),MOD(Sync!$AE1461,100),IFERROR(VALUE(TRIM(MID(MID(Sync!$AE1461,FIND("/",Sync!$AE1461)+1,20),FIND("/",MID(Sync!$AE1461,FIND("/",Sync!$AE1461)+1,20))+1,20))),"")))</f>
        <v/>
      </c>
      <c r="J1461" t="str">
        <f t="shared" si="112"/>
        <v/>
      </c>
      <c r="K1461" t="str">
        <f>IF(OR($F1461="",$J1461="",$J1461="نامعتبر"),"",LEFT($J1461,4)&amp;MID($J1461,6,2)&amp;RIGHT($J1461,2)&amp;$N1461&amp;"|"&amp;"2"&amp;RIGHT("00000"&amp;1456,5))</f>
        <v/>
      </c>
      <c r="L1461" t="str">
        <f t="shared" si="113"/>
        <v/>
      </c>
      <c r="M1461" t="str">
        <f t="shared" si="114"/>
        <v/>
      </c>
      <c r="N1461" t="str">
        <f>IF($F1461="","",IF(Sync!$AF1461="","0000",IF(AND(ISNUMBER(Sync!$AF1461),Sync!$AF1461&gt;=0,Sync!$AF1461&lt;1),RIGHT("00"&amp;HOUR(Sync!$AF1461),2)&amp;RIGHT("00"&amp;MINUTE(Sync!$AF1461),2),IFERROR(RIGHT("00"&amp;VALUE(LEFT(Sync!$AF1461,FIND(":",Sync!$AF1461)-1)),2)&amp;RIGHT("00"&amp;VALUE(MID(Sync!$AF1461,FIND(":",Sync!$AF1461)+1,2)),2),"0000"))))</f>
        <v/>
      </c>
    </row>
    <row r="1462" spans="1:14" x14ac:dyDescent="0.2">
      <c r="A1462" t="str">
        <f>IF(OR(Calc!$E1466="",Calc!$E1466="نامعتبر",Calc!$G1466=""),"",Calc!$G1466)</f>
        <v/>
      </c>
      <c r="B1462" t="str">
        <f>IF($A1462="","",LEFT(Calc!$E1466,4)&amp;MID(Calc!$E1466,6,2)&amp;RIGHT(Calc!$E1466,2)&amp;Calc!$Q1466&amp;"|"&amp;"1"&amp;RIGHT("00000"&amp;1457,5))</f>
        <v/>
      </c>
      <c r="C1462" t="str">
        <f t="shared" si="110"/>
        <v/>
      </c>
      <c r="D1462" t="str">
        <f t="shared" si="111"/>
        <v/>
      </c>
      <c r="F1462" t="str">
        <f>IF(Sync!$AH1462="","",IF(LEFT(UPPER(TRIM(Sync!$AH1462)),2)="SL",UPPER(TRIM(Sync!$AH1462)),""))</f>
        <v/>
      </c>
      <c r="G1462" t="str">
        <f>IF($F1462="","",IF(Sync!$AE1462="","",IF(ISNUMBER(Sync!$AE1462),IF(AND(Sync!$AE1462&gt;=10000101,Sync!$AE1462&lt;=99991231),INT(Sync!$AE1462/10000),""),IFERROR(VALUE(TRIM(LEFT(Sync!$AE1462,FIND("/",Sync!$AE1462)-1))),""))))</f>
        <v/>
      </c>
      <c r="H1462" t="str">
        <f>IF(OR($F1462="",$G1462=""),"",IF(ISNUMBER(Sync!$AE1462),INT(MOD(Sync!$AE1462,10000)/100),IFERROR(VALUE(TRIM(LEFT(MID(Sync!$AE1462,FIND("/",Sync!$AE1462)+1,20),FIND("/",MID(Sync!$AE1462,FIND("/",Sync!$AE1462)+1,20))-1))),"")))</f>
        <v/>
      </c>
      <c r="I1462" t="str">
        <f>IF(OR($F1462="",$G1462=""),"",IF(ISNUMBER(Sync!$AE1462),MOD(Sync!$AE1462,100),IFERROR(VALUE(TRIM(MID(MID(Sync!$AE1462,FIND("/",Sync!$AE1462)+1,20),FIND("/",MID(Sync!$AE1462,FIND("/",Sync!$AE1462)+1,20))+1,20))),"")))</f>
        <v/>
      </c>
      <c r="J1462" t="str">
        <f t="shared" si="112"/>
        <v/>
      </c>
      <c r="K1462" t="str">
        <f>IF(OR($F1462="",$J1462="",$J1462="نامعتبر"),"",LEFT($J1462,4)&amp;MID($J1462,6,2)&amp;RIGHT($J1462,2)&amp;$N1462&amp;"|"&amp;"2"&amp;RIGHT("00000"&amp;1457,5))</f>
        <v/>
      </c>
      <c r="L1462" t="str">
        <f t="shared" si="113"/>
        <v/>
      </c>
      <c r="M1462" t="str">
        <f t="shared" si="114"/>
        <v/>
      </c>
      <c r="N1462" t="str">
        <f>IF($F1462="","",IF(Sync!$AF1462="","0000",IF(AND(ISNUMBER(Sync!$AF1462),Sync!$AF1462&gt;=0,Sync!$AF1462&lt;1),RIGHT("00"&amp;HOUR(Sync!$AF1462),2)&amp;RIGHT("00"&amp;MINUTE(Sync!$AF1462),2),IFERROR(RIGHT("00"&amp;VALUE(LEFT(Sync!$AF1462,FIND(":",Sync!$AF1462)-1)),2)&amp;RIGHT("00"&amp;VALUE(MID(Sync!$AF1462,FIND(":",Sync!$AF1462)+1,2)),2),"0000"))))</f>
        <v/>
      </c>
    </row>
    <row r="1463" spans="1:14" x14ac:dyDescent="0.2">
      <c r="A1463" t="str">
        <f>IF(OR(Calc!$E1467="",Calc!$E1467="نامعتبر",Calc!$G1467=""),"",Calc!$G1467)</f>
        <v/>
      </c>
      <c r="B1463" t="str">
        <f>IF($A1463="","",LEFT(Calc!$E1467,4)&amp;MID(Calc!$E1467,6,2)&amp;RIGHT(Calc!$E1467,2)&amp;Calc!$Q1467&amp;"|"&amp;"1"&amp;RIGHT("00000"&amp;1458,5))</f>
        <v/>
      </c>
      <c r="C1463" t="str">
        <f t="shared" si="110"/>
        <v/>
      </c>
      <c r="D1463" t="str">
        <f t="shared" si="111"/>
        <v/>
      </c>
      <c r="F1463" t="str">
        <f>IF(Sync!$AH1463="","",IF(LEFT(UPPER(TRIM(Sync!$AH1463)),2)="SL",UPPER(TRIM(Sync!$AH1463)),""))</f>
        <v/>
      </c>
      <c r="G1463" t="str">
        <f>IF($F1463="","",IF(Sync!$AE1463="","",IF(ISNUMBER(Sync!$AE1463),IF(AND(Sync!$AE1463&gt;=10000101,Sync!$AE1463&lt;=99991231),INT(Sync!$AE1463/10000),""),IFERROR(VALUE(TRIM(LEFT(Sync!$AE1463,FIND("/",Sync!$AE1463)-1))),""))))</f>
        <v/>
      </c>
      <c r="H1463" t="str">
        <f>IF(OR($F1463="",$G1463=""),"",IF(ISNUMBER(Sync!$AE1463),INT(MOD(Sync!$AE1463,10000)/100),IFERROR(VALUE(TRIM(LEFT(MID(Sync!$AE1463,FIND("/",Sync!$AE1463)+1,20),FIND("/",MID(Sync!$AE1463,FIND("/",Sync!$AE1463)+1,20))-1))),"")))</f>
        <v/>
      </c>
      <c r="I1463" t="str">
        <f>IF(OR($F1463="",$G1463=""),"",IF(ISNUMBER(Sync!$AE1463),MOD(Sync!$AE1463,100),IFERROR(VALUE(TRIM(MID(MID(Sync!$AE1463,FIND("/",Sync!$AE1463)+1,20),FIND("/",MID(Sync!$AE1463,FIND("/",Sync!$AE1463)+1,20))+1,20))),"")))</f>
        <v/>
      </c>
      <c r="J1463" t="str">
        <f t="shared" si="112"/>
        <v/>
      </c>
      <c r="K1463" t="str">
        <f>IF(OR($F1463="",$J1463="",$J1463="نامعتبر"),"",LEFT($J1463,4)&amp;MID($J1463,6,2)&amp;RIGHT($J1463,2)&amp;$N1463&amp;"|"&amp;"2"&amp;RIGHT("00000"&amp;1458,5))</f>
        <v/>
      </c>
      <c r="L1463" t="str">
        <f t="shared" si="113"/>
        <v/>
      </c>
      <c r="M1463" t="str">
        <f t="shared" si="114"/>
        <v/>
      </c>
      <c r="N1463" t="str">
        <f>IF($F1463="","",IF(Sync!$AF1463="","0000",IF(AND(ISNUMBER(Sync!$AF1463),Sync!$AF1463&gt;=0,Sync!$AF1463&lt;1),RIGHT("00"&amp;HOUR(Sync!$AF1463),2)&amp;RIGHT("00"&amp;MINUTE(Sync!$AF1463),2),IFERROR(RIGHT("00"&amp;VALUE(LEFT(Sync!$AF1463,FIND(":",Sync!$AF1463)-1)),2)&amp;RIGHT("00"&amp;VALUE(MID(Sync!$AF1463,FIND(":",Sync!$AF1463)+1,2)),2),"0000"))))</f>
        <v/>
      </c>
    </row>
    <row r="1464" spans="1:14" x14ac:dyDescent="0.2">
      <c r="A1464" t="str">
        <f>IF(OR(Calc!$E1468="",Calc!$E1468="نامعتبر",Calc!$G1468=""),"",Calc!$G1468)</f>
        <v/>
      </c>
      <c r="B1464" t="str">
        <f>IF($A1464="","",LEFT(Calc!$E1468,4)&amp;MID(Calc!$E1468,6,2)&amp;RIGHT(Calc!$E1468,2)&amp;Calc!$Q1468&amp;"|"&amp;"1"&amp;RIGHT("00000"&amp;1459,5))</f>
        <v/>
      </c>
      <c r="C1464" t="str">
        <f t="shared" si="110"/>
        <v/>
      </c>
      <c r="D1464" t="str">
        <f t="shared" si="111"/>
        <v/>
      </c>
      <c r="F1464" t="str">
        <f>IF(Sync!$AH1464="","",IF(LEFT(UPPER(TRIM(Sync!$AH1464)),2)="SL",UPPER(TRIM(Sync!$AH1464)),""))</f>
        <v/>
      </c>
      <c r="G1464" t="str">
        <f>IF($F1464="","",IF(Sync!$AE1464="","",IF(ISNUMBER(Sync!$AE1464),IF(AND(Sync!$AE1464&gt;=10000101,Sync!$AE1464&lt;=99991231),INT(Sync!$AE1464/10000),""),IFERROR(VALUE(TRIM(LEFT(Sync!$AE1464,FIND("/",Sync!$AE1464)-1))),""))))</f>
        <v/>
      </c>
      <c r="H1464" t="str">
        <f>IF(OR($F1464="",$G1464=""),"",IF(ISNUMBER(Sync!$AE1464),INT(MOD(Sync!$AE1464,10000)/100),IFERROR(VALUE(TRIM(LEFT(MID(Sync!$AE1464,FIND("/",Sync!$AE1464)+1,20),FIND("/",MID(Sync!$AE1464,FIND("/",Sync!$AE1464)+1,20))-1))),"")))</f>
        <v/>
      </c>
      <c r="I1464" t="str">
        <f>IF(OR($F1464="",$G1464=""),"",IF(ISNUMBER(Sync!$AE1464),MOD(Sync!$AE1464,100),IFERROR(VALUE(TRIM(MID(MID(Sync!$AE1464,FIND("/",Sync!$AE1464)+1,20),FIND("/",MID(Sync!$AE1464,FIND("/",Sync!$AE1464)+1,20))+1,20))),"")))</f>
        <v/>
      </c>
      <c r="J1464" t="str">
        <f t="shared" si="112"/>
        <v/>
      </c>
      <c r="K1464" t="str">
        <f>IF(OR($F1464="",$J1464="",$J1464="نامعتبر"),"",LEFT($J1464,4)&amp;MID($J1464,6,2)&amp;RIGHT($J1464,2)&amp;$N1464&amp;"|"&amp;"2"&amp;RIGHT("00000"&amp;1459,5))</f>
        <v/>
      </c>
      <c r="L1464" t="str">
        <f t="shared" si="113"/>
        <v/>
      </c>
      <c r="M1464" t="str">
        <f t="shared" si="114"/>
        <v/>
      </c>
      <c r="N1464" t="str">
        <f>IF($F1464="","",IF(Sync!$AF1464="","0000",IF(AND(ISNUMBER(Sync!$AF1464),Sync!$AF1464&gt;=0,Sync!$AF1464&lt;1),RIGHT("00"&amp;HOUR(Sync!$AF1464),2)&amp;RIGHT("00"&amp;MINUTE(Sync!$AF1464),2),IFERROR(RIGHT("00"&amp;VALUE(LEFT(Sync!$AF1464,FIND(":",Sync!$AF1464)-1)),2)&amp;RIGHT("00"&amp;VALUE(MID(Sync!$AF1464,FIND(":",Sync!$AF1464)+1,2)),2),"0000"))))</f>
        <v/>
      </c>
    </row>
    <row r="1465" spans="1:14" x14ac:dyDescent="0.2">
      <c r="A1465" t="str">
        <f>IF(OR(Calc!$E1469="",Calc!$E1469="نامعتبر",Calc!$G1469=""),"",Calc!$G1469)</f>
        <v/>
      </c>
      <c r="B1465" t="str">
        <f>IF($A1465="","",LEFT(Calc!$E1469,4)&amp;MID(Calc!$E1469,6,2)&amp;RIGHT(Calc!$E1469,2)&amp;Calc!$Q1469&amp;"|"&amp;"1"&amp;RIGHT("00000"&amp;1460,5))</f>
        <v/>
      </c>
      <c r="C1465" t="str">
        <f t="shared" si="110"/>
        <v/>
      </c>
      <c r="D1465" t="str">
        <f t="shared" si="111"/>
        <v/>
      </c>
      <c r="F1465" t="str">
        <f>IF(Sync!$AH1465="","",IF(LEFT(UPPER(TRIM(Sync!$AH1465)),2)="SL",UPPER(TRIM(Sync!$AH1465)),""))</f>
        <v/>
      </c>
      <c r="G1465" t="str">
        <f>IF($F1465="","",IF(Sync!$AE1465="","",IF(ISNUMBER(Sync!$AE1465),IF(AND(Sync!$AE1465&gt;=10000101,Sync!$AE1465&lt;=99991231),INT(Sync!$AE1465/10000),""),IFERROR(VALUE(TRIM(LEFT(Sync!$AE1465,FIND("/",Sync!$AE1465)-1))),""))))</f>
        <v/>
      </c>
      <c r="H1465" t="str">
        <f>IF(OR($F1465="",$G1465=""),"",IF(ISNUMBER(Sync!$AE1465),INT(MOD(Sync!$AE1465,10000)/100),IFERROR(VALUE(TRIM(LEFT(MID(Sync!$AE1465,FIND("/",Sync!$AE1465)+1,20),FIND("/",MID(Sync!$AE1465,FIND("/",Sync!$AE1465)+1,20))-1))),"")))</f>
        <v/>
      </c>
      <c r="I1465" t="str">
        <f>IF(OR($F1465="",$G1465=""),"",IF(ISNUMBER(Sync!$AE1465),MOD(Sync!$AE1465,100),IFERROR(VALUE(TRIM(MID(MID(Sync!$AE1465,FIND("/",Sync!$AE1465)+1,20),FIND("/",MID(Sync!$AE1465,FIND("/",Sync!$AE1465)+1,20))+1,20))),"")))</f>
        <v/>
      </c>
      <c r="J1465" t="str">
        <f t="shared" si="112"/>
        <v/>
      </c>
      <c r="K1465" t="str">
        <f>IF(OR($F1465="",$J1465="",$J1465="نامعتبر"),"",LEFT($J1465,4)&amp;MID($J1465,6,2)&amp;RIGHT($J1465,2)&amp;$N1465&amp;"|"&amp;"2"&amp;RIGHT("00000"&amp;1460,5))</f>
        <v/>
      </c>
      <c r="L1465" t="str">
        <f t="shared" si="113"/>
        <v/>
      </c>
      <c r="M1465" t="str">
        <f t="shared" si="114"/>
        <v/>
      </c>
      <c r="N1465" t="str">
        <f>IF($F1465="","",IF(Sync!$AF1465="","0000",IF(AND(ISNUMBER(Sync!$AF1465),Sync!$AF1465&gt;=0,Sync!$AF1465&lt;1),RIGHT("00"&amp;HOUR(Sync!$AF1465),2)&amp;RIGHT("00"&amp;MINUTE(Sync!$AF1465),2),IFERROR(RIGHT("00"&amp;VALUE(LEFT(Sync!$AF1465,FIND(":",Sync!$AF1465)-1)),2)&amp;RIGHT("00"&amp;VALUE(MID(Sync!$AF1465,FIND(":",Sync!$AF1465)+1,2)),2),"0000"))))</f>
        <v/>
      </c>
    </row>
    <row r="1466" spans="1:14" x14ac:dyDescent="0.2">
      <c r="A1466" t="str">
        <f>IF(OR(Calc!$E1470="",Calc!$E1470="نامعتبر",Calc!$G1470=""),"",Calc!$G1470)</f>
        <v/>
      </c>
      <c r="B1466" t="str">
        <f>IF($A1466="","",LEFT(Calc!$E1470,4)&amp;MID(Calc!$E1470,6,2)&amp;RIGHT(Calc!$E1470,2)&amp;Calc!$Q1470&amp;"|"&amp;"1"&amp;RIGHT("00000"&amp;1461,5))</f>
        <v/>
      </c>
      <c r="C1466" t="str">
        <f t="shared" si="110"/>
        <v/>
      </c>
      <c r="D1466" t="str">
        <f t="shared" si="111"/>
        <v/>
      </c>
      <c r="F1466" t="str">
        <f>IF(Sync!$AH1466="","",IF(LEFT(UPPER(TRIM(Sync!$AH1466)),2)="SL",UPPER(TRIM(Sync!$AH1466)),""))</f>
        <v/>
      </c>
      <c r="G1466" t="str">
        <f>IF($F1466="","",IF(Sync!$AE1466="","",IF(ISNUMBER(Sync!$AE1466),IF(AND(Sync!$AE1466&gt;=10000101,Sync!$AE1466&lt;=99991231),INT(Sync!$AE1466/10000),""),IFERROR(VALUE(TRIM(LEFT(Sync!$AE1466,FIND("/",Sync!$AE1466)-1))),""))))</f>
        <v/>
      </c>
      <c r="H1466" t="str">
        <f>IF(OR($F1466="",$G1466=""),"",IF(ISNUMBER(Sync!$AE1466),INT(MOD(Sync!$AE1466,10000)/100),IFERROR(VALUE(TRIM(LEFT(MID(Sync!$AE1466,FIND("/",Sync!$AE1466)+1,20),FIND("/",MID(Sync!$AE1466,FIND("/",Sync!$AE1466)+1,20))-1))),"")))</f>
        <v/>
      </c>
      <c r="I1466" t="str">
        <f>IF(OR($F1466="",$G1466=""),"",IF(ISNUMBER(Sync!$AE1466),MOD(Sync!$AE1466,100),IFERROR(VALUE(TRIM(MID(MID(Sync!$AE1466,FIND("/",Sync!$AE1466)+1,20),FIND("/",MID(Sync!$AE1466,FIND("/",Sync!$AE1466)+1,20))+1,20))),"")))</f>
        <v/>
      </c>
      <c r="J1466" t="str">
        <f t="shared" si="112"/>
        <v/>
      </c>
      <c r="K1466" t="str">
        <f>IF(OR($F1466="",$J1466="",$J1466="نامعتبر"),"",LEFT($J1466,4)&amp;MID($J1466,6,2)&amp;RIGHT($J1466,2)&amp;$N1466&amp;"|"&amp;"2"&amp;RIGHT("00000"&amp;1461,5))</f>
        <v/>
      </c>
      <c r="L1466" t="str">
        <f t="shared" si="113"/>
        <v/>
      </c>
      <c r="M1466" t="str">
        <f t="shared" si="114"/>
        <v/>
      </c>
      <c r="N1466" t="str">
        <f>IF($F1466="","",IF(Sync!$AF1466="","0000",IF(AND(ISNUMBER(Sync!$AF1466),Sync!$AF1466&gt;=0,Sync!$AF1466&lt;1),RIGHT("00"&amp;HOUR(Sync!$AF1466),2)&amp;RIGHT("00"&amp;MINUTE(Sync!$AF1466),2),IFERROR(RIGHT("00"&amp;VALUE(LEFT(Sync!$AF1466,FIND(":",Sync!$AF1466)-1)),2)&amp;RIGHT("00"&amp;VALUE(MID(Sync!$AF1466,FIND(":",Sync!$AF1466)+1,2)),2),"0000"))))</f>
        <v/>
      </c>
    </row>
    <row r="1467" spans="1:14" x14ac:dyDescent="0.2">
      <c r="A1467" t="str">
        <f>IF(OR(Calc!$E1471="",Calc!$E1471="نامعتبر",Calc!$G1471=""),"",Calc!$G1471)</f>
        <v/>
      </c>
      <c r="B1467" t="str">
        <f>IF($A1467="","",LEFT(Calc!$E1471,4)&amp;MID(Calc!$E1471,6,2)&amp;RIGHT(Calc!$E1471,2)&amp;Calc!$Q1471&amp;"|"&amp;"1"&amp;RIGHT("00000"&amp;1462,5))</f>
        <v/>
      </c>
      <c r="C1467" t="str">
        <f t="shared" si="110"/>
        <v/>
      </c>
      <c r="D1467" t="str">
        <f t="shared" si="111"/>
        <v/>
      </c>
      <c r="F1467" t="str">
        <f>IF(Sync!$AH1467="","",IF(LEFT(UPPER(TRIM(Sync!$AH1467)),2)="SL",UPPER(TRIM(Sync!$AH1467)),""))</f>
        <v/>
      </c>
      <c r="G1467" t="str">
        <f>IF($F1467="","",IF(Sync!$AE1467="","",IF(ISNUMBER(Sync!$AE1467),IF(AND(Sync!$AE1467&gt;=10000101,Sync!$AE1467&lt;=99991231),INT(Sync!$AE1467/10000),""),IFERROR(VALUE(TRIM(LEFT(Sync!$AE1467,FIND("/",Sync!$AE1467)-1))),""))))</f>
        <v/>
      </c>
      <c r="H1467" t="str">
        <f>IF(OR($F1467="",$G1467=""),"",IF(ISNUMBER(Sync!$AE1467),INT(MOD(Sync!$AE1467,10000)/100),IFERROR(VALUE(TRIM(LEFT(MID(Sync!$AE1467,FIND("/",Sync!$AE1467)+1,20),FIND("/",MID(Sync!$AE1467,FIND("/",Sync!$AE1467)+1,20))-1))),"")))</f>
        <v/>
      </c>
      <c r="I1467" t="str">
        <f>IF(OR($F1467="",$G1467=""),"",IF(ISNUMBER(Sync!$AE1467),MOD(Sync!$AE1467,100),IFERROR(VALUE(TRIM(MID(MID(Sync!$AE1467,FIND("/",Sync!$AE1467)+1,20),FIND("/",MID(Sync!$AE1467,FIND("/",Sync!$AE1467)+1,20))+1,20))),"")))</f>
        <v/>
      </c>
      <c r="J1467" t="str">
        <f t="shared" si="112"/>
        <v/>
      </c>
      <c r="K1467" t="str">
        <f>IF(OR($F1467="",$J1467="",$J1467="نامعتبر"),"",LEFT($J1467,4)&amp;MID($J1467,6,2)&amp;RIGHT($J1467,2)&amp;$N1467&amp;"|"&amp;"2"&amp;RIGHT("00000"&amp;1462,5))</f>
        <v/>
      </c>
      <c r="L1467" t="str">
        <f t="shared" si="113"/>
        <v/>
      </c>
      <c r="M1467" t="str">
        <f t="shared" si="114"/>
        <v/>
      </c>
      <c r="N1467" t="str">
        <f>IF($F1467="","",IF(Sync!$AF1467="","0000",IF(AND(ISNUMBER(Sync!$AF1467),Sync!$AF1467&gt;=0,Sync!$AF1467&lt;1),RIGHT("00"&amp;HOUR(Sync!$AF1467),2)&amp;RIGHT("00"&amp;MINUTE(Sync!$AF1467),2),IFERROR(RIGHT("00"&amp;VALUE(LEFT(Sync!$AF1467,FIND(":",Sync!$AF1467)-1)),2)&amp;RIGHT("00"&amp;VALUE(MID(Sync!$AF1467,FIND(":",Sync!$AF1467)+1,2)),2),"0000"))))</f>
        <v/>
      </c>
    </row>
    <row r="1468" spans="1:14" x14ac:dyDescent="0.2">
      <c r="A1468" t="str">
        <f>IF(OR(Calc!$E1472="",Calc!$E1472="نامعتبر",Calc!$G1472=""),"",Calc!$G1472)</f>
        <v/>
      </c>
      <c r="B1468" t="str">
        <f>IF($A1468="","",LEFT(Calc!$E1472,4)&amp;MID(Calc!$E1472,6,2)&amp;RIGHT(Calc!$E1472,2)&amp;Calc!$Q1472&amp;"|"&amp;"1"&amp;RIGHT("00000"&amp;1463,5))</f>
        <v/>
      </c>
      <c r="C1468" t="str">
        <f t="shared" si="110"/>
        <v/>
      </c>
      <c r="D1468" t="str">
        <f t="shared" si="111"/>
        <v/>
      </c>
      <c r="F1468" t="str">
        <f>IF(Sync!$AH1468="","",IF(LEFT(UPPER(TRIM(Sync!$AH1468)),2)="SL",UPPER(TRIM(Sync!$AH1468)),""))</f>
        <v/>
      </c>
      <c r="G1468" t="str">
        <f>IF($F1468="","",IF(Sync!$AE1468="","",IF(ISNUMBER(Sync!$AE1468),IF(AND(Sync!$AE1468&gt;=10000101,Sync!$AE1468&lt;=99991231),INT(Sync!$AE1468/10000),""),IFERROR(VALUE(TRIM(LEFT(Sync!$AE1468,FIND("/",Sync!$AE1468)-1))),""))))</f>
        <v/>
      </c>
      <c r="H1468" t="str">
        <f>IF(OR($F1468="",$G1468=""),"",IF(ISNUMBER(Sync!$AE1468),INT(MOD(Sync!$AE1468,10000)/100),IFERROR(VALUE(TRIM(LEFT(MID(Sync!$AE1468,FIND("/",Sync!$AE1468)+1,20),FIND("/",MID(Sync!$AE1468,FIND("/",Sync!$AE1468)+1,20))-1))),"")))</f>
        <v/>
      </c>
      <c r="I1468" t="str">
        <f>IF(OR($F1468="",$G1468=""),"",IF(ISNUMBER(Sync!$AE1468),MOD(Sync!$AE1468,100),IFERROR(VALUE(TRIM(MID(MID(Sync!$AE1468,FIND("/",Sync!$AE1468)+1,20),FIND("/",MID(Sync!$AE1468,FIND("/",Sync!$AE1468)+1,20))+1,20))),"")))</f>
        <v/>
      </c>
      <c r="J1468" t="str">
        <f t="shared" si="112"/>
        <v/>
      </c>
      <c r="K1468" t="str">
        <f>IF(OR($F1468="",$J1468="",$J1468="نامعتبر"),"",LEFT($J1468,4)&amp;MID($J1468,6,2)&amp;RIGHT($J1468,2)&amp;$N1468&amp;"|"&amp;"2"&amp;RIGHT("00000"&amp;1463,5))</f>
        <v/>
      </c>
      <c r="L1468" t="str">
        <f t="shared" si="113"/>
        <v/>
      </c>
      <c r="M1468" t="str">
        <f t="shared" si="114"/>
        <v/>
      </c>
      <c r="N1468" t="str">
        <f>IF($F1468="","",IF(Sync!$AF1468="","0000",IF(AND(ISNUMBER(Sync!$AF1468),Sync!$AF1468&gt;=0,Sync!$AF1468&lt;1),RIGHT("00"&amp;HOUR(Sync!$AF1468),2)&amp;RIGHT("00"&amp;MINUTE(Sync!$AF1468),2),IFERROR(RIGHT("00"&amp;VALUE(LEFT(Sync!$AF1468,FIND(":",Sync!$AF1468)-1)),2)&amp;RIGHT("00"&amp;VALUE(MID(Sync!$AF1468,FIND(":",Sync!$AF1468)+1,2)),2),"0000"))))</f>
        <v/>
      </c>
    </row>
    <row r="1469" spans="1:14" x14ac:dyDescent="0.2">
      <c r="A1469" t="str">
        <f>IF(OR(Calc!$E1473="",Calc!$E1473="نامعتبر",Calc!$G1473=""),"",Calc!$G1473)</f>
        <v/>
      </c>
      <c r="B1469" t="str">
        <f>IF($A1469="","",LEFT(Calc!$E1473,4)&amp;MID(Calc!$E1473,6,2)&amp;RIGHT(Calc!$E1473,2)&amp;Calc!$Q1473&amp;"|"&amp;"1"&amp;RIGHT("00000"&amp;1464,5))</f>
        <v/>
      </c>
      <c r="C1469" t="str">
        <f t="shared" si="110"/>
        <v/>
      </c>
      <c r="D1469" t="str">
        <f t="shared" si="111"/>
        <v/>
      </c>
      <c r="F1469" t="str">
        <f>IF(Sync!$AH1469="","",IF(LEFT(UPPER(TRIM(Sync!$AH1469)),2)="SL",UPPER(TRIM(Sync!$AH1469)),""))</f>
        <v/>
      </c>
      <c r="G1469" t="str">
        <f>IF($F1469="","",IF(Sync!$AE1469="","",IF(ISNUMBER(Sync!$AE1469),IF(AND(Sync!$AE1469&gt;=10000101,Sync!$AE1469&lt;=99991231),INT(Sync!$AE1469/10000),""),IFERROR(VALUE(TRIM(LEFT(Sync!$AE1469,FIND("/",Sync!$AE1469)-1))),""))))</f>
        <v/>
      </c>
      <c r="H1469" t="str">
        <f>IF(OR($F1469="",$G1469=""),"",IF(ISNUMBER(Sync!$AE1469),INT(MOD(Sync!$AE1469,10000)/100),IFERROR(VALUE(TRIM(LEFT(MID(Sync!$AE1469,FIND("/",Sync!$AE1469)+1,20),FIND("/",MID(Sync!$AE1469,FIND("/",Sync!$AE1469)+1,20))-1))),"")))</f>
        <v/>
      </c>
      <c r="I1469" t="str">
        <f>IF(OR($F1469="",$G1469=""),"",IF(ISNUMBER(Sync!$AE1469),MOD(Sync!$AE1469,100),IFERROR(VALUE(TRIM(MID(MID(Sync!$AE1469,FIND("/",Sync!$AE1469)+1,20),FIND("/",MID(Sync!$AE1469,FIND("/",Sync!$AE1469)+1,20))+1,20))),"")))</f>
        <v/>
      </c>
      <c r="J1469" t="str">
        <f t="shared" si="112"/>
        <v/>
      </c>
      <c r="K1469" t="str">
        <f>IF(OR($F1469="",$J1469="",$J1469="نامعتبر"),"",LEFT($J1469,4)&amp;MID($J1469,6,2)&amp;RIGHT($J1469,2)&amp;$N1469&amp;"|"&amp;"2"&amp;RIGHT("00000"&amp;1464,5))</f>
        <v/>
      </c>
      <c r="L1469" t="str">
        <f t="shared" si="113"/>
        <v/>
      </c>
      <c r="M1469" t="str">
        <f t="shared" si="114"/>
        <v/>
      </c>
      <c r="N1469" t="str">
        <f>IF($F1469="","",IF(Sync!$AF1469="","0000",IF(AND(ISNUMBER(Sync!$AF1469),Sync!$AF1469&gt;=0,Sync!$AF1469&lt;1),RIGHT("00"&amp;HOUR(Sync!$AF1469),2)&amp;RIGHT("00"&amp;MINUTE(Sync!$AF1469),2),IFERROR(RIGHT("00"&amp;VALUE(LEFT(Sync!$AF1469,FIND(":",Sync!$AF1469)-1)),2)&amp;RIGHT("00"&amp;VALUE(MID(Sync!$AF1469,FIND(":",Sync!$AF1469)+1,2)),2),"0000"))))</f>
        <v/>
      </c>
    </row>
    <row r="1470" spans="1:14" x14ac:dyDescent="0.2">
      <c r="A1470" t="str">
        <f>IF(OR(Calc!$E1474="",Calc!$E1474="نامعتبر",Calc!$G1474=""),"",Calc!$G1474)</f>
        <v/>
      </c>
      <c r="B1470" t="str">
        <f>IF($A1470="","",LEFT(Calc!$E1474,4)&amp;MID(Calc!$E1474,6,2)&amp;RIGHT(Calc!$E1474,2)&amp;Calc!$Q1474&amp;"|"&amp;"1"&amp;RIGHT("00000"&amp;1465,5))</f>
        <v/>
      </c>
      <c r="C1470" t="str">
        <f t="shared" si="110"/>
        <v/>
      </c>
      <c r="D1470" t="str">
        <f t="shared" si="111"/>
        <v/>
      </c>
      <c r="F1470" t="str">
        <f>IF(Sync!$AH1470="","",IF(LEFT(UPPER(TRIM(Sync!$AH1470)),2)="SL",UPPER(TRIM(Sync!$AH1470)),""))</f>
        <v/>
      </c>
      <c r="G1470" t="str">
        <f>IF($F1470="","",IF(Sync!$AE1470="","",IF(ISNUMBER(Sync!$AE1470),IF(AND(Sync!$AE1470&gt;=10000101,Sync!$AE1470&lt;=99991231),INT(Sync!$AE1470/10000),""),IFERROR(VALUE(TRIM(LEFT(Sync!$AE1470,FIND("/",Sync!$AE1470)-1))),""))))</f>
        <v/>
      </c>
      <c r="H1470" t="str">
        <f>IF(OR($F1470="",$G1470=""),"",IF(ISNUMBER(Sync!$AE1470),INT(MOD(Sync!$AE1470,10000)/100),IFERROR(VALUE(TRIM(LEFT(MID(Sync!$AE1470,FIND("/",Sync!$AE1470)+1,20),FIND("/",MID(Sync!$AE1470,FIND("/",Sync!$AE1470)+1,20))-1))),"")))</f>
        <v/>
      </c>
      <c r="I1470" t="str">
        <f>IF(OR($F1470="",$G1470=""),"",IF(ISNUMBER(Sync!$AE1470),MOD(Sync!$AE1470,100),IFERROR(VALUE(TRIM(MID(MID(Sync!$AE1470,FIND("/",Sync!$AE1470)+1,20),FIND("/",MID(Sync!$AE1470,FIND("/",Sync!$AE1470)+1,20))+1,20))),"")))</f>
        <v/>
      </c>
      <c r="J1470" t="str">
        <f t="shared" si="112"/>
        <v/>
      </c>
      <c r="K1470" t="str">
        <f>IF(OR($F1470="",$J1470="",$J1470="نامعتبر"),"",LEFT($J1470,4)&amp;MID($J1470,6,2)&amp;RIGHT($J1470,2)&amp;$N1470&amp;"|"&amp;"2"&amp;RIGHT("00000"&amp;1465,5))</f>
        <v/>
      </c>
      <c r="L1470" t="str">
        <f t="shared" si="113"/>
        <v/>
      </c>
      <c r="M1470" t="str">
        <f t="shared" si="114"/>
        <v/>
      </c>
      <c r="N1470" t="str">
        <f>IF($F1470="","",IF(Sync!$AF1470="","0000",IF(AND(ISNUMBER(Sync!$AF1470),Sync!$AF1470&gt;=0,Sync!$AF1470&lt;1),RIGHT("00"&amp;HOUR(Sync!$AF1470),2)&amp;RIGHT("00"&amp;MINUTE(Sync!$AF1470),2),IFERROR(RIGHT("00"&amp;VALUE(LEFT(Sync!$AF1470,FIND(":",Sync!$AF1470)-1)),2)&amp;RIGHT("00"&amp;VALUE(MID(Sync!$AF1470,FIND(":",Sync!$AF1470)+1,2)),2),"0000"))))</f>
        <v/>
      </c>
    </row>
    <row r="1471" spans="1:14" x14ac:dyDescent="0.2">
      <c r="A1471" t="str">
        <f>IF(OR(Calc!$E1475="",Calc!$E1475="نامعتبر",Calc!$G1475=""),"",Calc!$G1475)</f>
        <v/>
      </c>
      <c r="B1471" t="str">
        <f>IF($A1471="","",LEFT(Calc!$E1475,4)&amp;MID(Calc!$E1475,6,2)&amp;RIGHT(Calc!$E1475,2)&amp;Calc!$Q1475&amp;"|"&amp;"1"&amp;RIGHT("00000"&amp;1466,5))</f>
        <v/>
      </c>
      <c r="C1471" t="str">
        <f t="shared" si="110"/>
        <v/>
      </c>
      <c r="D1471" t="str">
        <f t="shared" si="111"/>
        <v/>
      </c>
      <c r="F1471" t="str">
        <f>IF(Sync!$AH1471="","",IF(LEFT(UPPER(TRIM(Sync!$AH1471)),2)="SL",UPPER(TRIM(Sync!$AH1471)),""))</f>
        <v/>
      </c>
      <c r="G1471" t="str">
        <f>IF($F1471="","",IF(Sync!$AE1471="","",IF(ISNUMBER(Sync!$AE1471),IF(AND(Sync!$AE1471&gt;=10000101,Sync!$AE1471&lt;=99991231),INT(Sync!$AE1471/10000),""),IFERROR(VALUE(TRIM(LEFT(Sync!$AE1471,FIND("/",Sync!$AE1471)-1))),""))))</f>
        <v/>
      </c>
      <c r="H1471" t="str">
        <f>IF(OR($F1471="",$G1471=""),"",IF(ISNUMBER(Sync!$AE1471),INT(MOD(Sync!$AE1471,10000)/100),IFERROR(VALUE(TRIM(LEFT(MID(Sync!$AE1471,FIND("/",Sync!$AE1471)+1,20),FIND("/",MID(Sync!$AE1471,FIND("/",Sync!$AE1471)+1,20))-1))),"")))</f>
        <v/>
      </c>
      <c r="I1471" t="str">
        <f>IF(OR($F1471="",$G1471=""),"",IF(ISNUMBER(Sync!$AE1471),MOD(Sync!$AE1471,100),IFERROR(VALUE(TRIM(MID(MID(Sync!$AE1471,FIND("/",Sync!$AE1471)+1,20),FIND("/",MID(Sync!$AE1471,FIND("/",Sync!$AE1471)+1,20))+1,20))),"")))</f>
        <v/>
      </c>
      <c r="J1471" t="str">
        <f t="shared" si="112"/>
        <v/>
      </c>
      <c r="K1471" t="str">
        <f>IF(OR($F1471="",$J1471="",$J1471="نامعتبر"),"",LEFT($J1471,4)&amp;MID($J1471,6,2)&amp;RIGHT($J1471,2)&amp;$N1471&amp;"|"&amp;"2"&amp;RIGHT("00000"&amp;1466,5))</f>
        <v/>
      </c>
      <c r="L1471" t="str">
        <f t="shared" si="113"/>
        <v/>
      </c>
      <c r="M1471" t="str">
        <f t="shared" si="114"/>
        <v/>
      </c>
      <c r="N1471" t="str">
        <f>IF($F1471="","",IF(Sync!$AF1471="","0000",IF(AND(ISNUMBER(Sync!$AF1471),Sync!$AF1471&gt;=0,Sync!$AF1471&lt;1),RIGHT("00"&amp;HOUR(Sync!$AF1471),2)&amp;RIGHT("00"&amp;MINUTE(Sync!$AF1471),2),IFERROR(RIGHT("00"&amp;VALUE(LEFT(Sync!$AF1471,FIND(":",Sync!$AF1471)-1)),2)&amp;RIGHT("00"&amp;VALUE(MID(Sync!$AF1471,FIND(":",Sync!$AF1471)+1,2)),2),"0000"))))</f>
        <v/>
      </c>
    </row>
    <row r="1472" spans="1:14" x14ac:dyDescent="0.2">
      <c r="A1472" t="str">
        <f>IF(OR(Calc!$E1476="",Calc!$E1476="نامعتبر",Calc!$G1476=""),"",Calc!$G1476)</f>
        <v/>
      </c>
      <c r="B1472" t="str">
        <f>IF($A1472="","",LEFT(Calc!$E1476,4)&amp;MID(Calc!$E1476,6,2)&amp;RIGHT(Calc!$E1476,2)&amp;Calc!$Q1476&amp;"|"&amp;"1"&amp;RIGHT("00000"&amp;1467,5))</f>
        <v/>
      </c>
      <c r="C1472" t="str">
        <f t="shared" si="110"/>
        <v/>
      </c>
      <c r="D1472" t="str">
        <f t="shared" si="111"/>
        <v/>
      </c>
      <c r="F1472" t="str">
        <f>IF(Sync!$AH1472="","",IF(LEFT(UPPER(TRIM(Sync!$AH1472)),2)="SL",UPPER(TRIM(Sync!$AH1472)),""))</f>
        <v/>
      </c>
      <c r="G1472" t="str">
        <f>IF($F1472="","",IF(Sync!$AE1472="","",IF(ISNUMBER(Sync!$AE1472),IF(AND(Sync!$AE1472&gt;=10000101,Sync!$AE1472&lt;=99991231),INT(Sync!$AE1472/10000),""),IFERROR(VALUE(TRIM(LEFT(Sync!$AE1472,FIND("/",Sync!$AE1472)-1))),""))))</f>
        <v/>
      </c>
      <c r="H1472" t="str">
        <f>IF(OR($F1472="",$G1472=""),"",IF(ISNUMBER(Sync!$AE1472),INT(MOD(Sync!$AE1472,10000)/100),IFERROR(VALUE(TRIM(LEFT(MID(Sync!$AE1472,FIND("/",Sync!$AE1472)+1,20),FIND("/",MID(Sync!$AE1472,FIND("/",Sync!$AE1472)+1,20))-1))),"")))</f>
        <v/>
      </c>
      <c r="I1472" t="str">
        <f>IF(OR($F1472="",$G1472=""),"",IF(ISNUMBER(Sync!$AE1472),MOD(Sync!$AE1472,100),IFERROR(VALUE(TRIM(MID(MID(Sync!$AE1472,FIND("/",Sync!$AE1472)+1,20),FIND("/",MID(Sync!$AE1472,FIND("/",Sync!$AE1472)+1,20))+1,20))),"")))</f>
        <v/>
      </c>
      <c r="J1472" t="str">
        <f t="shared" si="112"/>
        <v/>
      </c>
      <c r="K1472" t="str">
        <f>IF(OR($F1472="",$J1472="",$J1472="نامعتبر"),"",LEFT($J1472,4)&amp;MID($J1472,6,2)&amp;RIGHT($J1472,2)&amp;$N1472&amp;"|"&amp;"2"&amp;RIGHT("00000"&amp;1467,5))</f>
        <v/>
      </c>
      <c r="L1472" t="str">
        <f t="shared" si="113"/>
        <v/>
      </c>
      <c r="M1472" t="str">
        <f t="shared" si="114"/>
        <v/>
      </c>
      <c r="N1472" t="str">
        <f>IF($F1472="","",IF(Sync!$AF1472="","0000",IF(AND(ISNUMBER(Sync!$AF1472),Sync!$AF1472&gt;=0,Sync!$AF1472&lt;1),RIGHT("00"&amp;HOUR(Sync!$AF1472),2)&amp;RIGHT("00"&amp;MINUTE(Sync!$AF1472),2),IFERROR(RIGHT("00"&amp;VALUE(LEFT(Sync!$AF1472,FIND(":",Sync!$AF1472)-1)),2)&amp;RIGHT("00"&amp;VALUE(MID(Sync!$AF1472,FIND(":",Sync!$AF1472)+1,2)),2),"0000"))))</f>
        <v/>
      </c>
    </row>
    <row r="1473" spans="1:14" x14ac:dyDescent="0.2">
      <c r="A1473" t="str">
        <f>IF(OR(Calc!$E1477="",Calc!$E1477="نامعتبر",Calc!$G1477=""),"",Calc!$G1477)</f>
        <v/>
      </c>
      <c r="B1473" t="str">
        <f>IF($A1473="","",LEFT(Calc!$E1477,4)&amp;MID(Calc!$E1477,6,2)&amp;RIGHT(Calc!$E1477,2)&amp;Calc!$Q1477&amp;"|"&amp;"1"&amp;RIGHT("00000"&amp;1468,5))</f>
        <v/>
      </c>
      <c r="C1473" t="str">
        <f t="shared" si="110"/>
        <v/>
      </c>
      <c r="D1473" t="str">
        <f t="shared" si="111"/>
        <v/>
      </c>
      <c r="F1473" t="str">
        <f>IF(Sync!$AH1473="","",IF(LEFT(UPPER(TRIM(Sync!$AH1473)),2)="SL",UPPER(TRIM(Sync!$AH1473)),""))</f>
        <v/>
      </c>
      <c r="G1473" t="str">
        <f>IF($F1473="","",IF(Sync!$AE1473="","",IF(ISNUMBER(Sync!$AE1473),IF(AND(Sync!$AE1473&gt;=10000101,Sync!$AE1473&lt;=99991231),INT(Sync!$AE1473/10000),""),IFERROR(VALUE(TRIM(LEFT(Sync!$AE1473,FIND("/",Sync!$AE1473)-1))),""))))</f>
        <v/>
      </c>
      <c r="H1473" t="str">
        <f>IF(OR($F1473="",$G1473=""),"",IF(ISNUMBER(Sync!$AE1473),INT(MOD(Sync!$AE1473,10000)/100),IFERROR(VALUE(TRIM(LEFT(MID(Sync!$AE1473,FIND("/",Sync!$AE1473)+1,20),FIND("/",MID(Sync!$AE1473,FIND("/",Sync!$AE1473)+1,20))-1))),"")))</f>
        <v/>
      </c>
      <c r="I1473" t="str">
        <f>IF(OR($F1473="",$G1473=""),"",IF(ISNUMBER(Sync!$AE1473),MOD(Sync!$AE1473,100),IFERROR(VALUE(TRIM(MID(MID(Sync!$AE1473,FIND("/",Sync!$AE1473)+1,20),FIND("/",MID(Sync!$AE1473,FIND("/",Sync!$AE1473)+1,20))+1,20))),"")))</f>
        <v/>
      </c>
      <c r="J1473" t="str">
        <f t="shared" si="112"/>
        <v/>
      </c>
      <c r="K1473" t="str">
        <f>IF(OR($F1473="",$J1473="",$J1473="نامعتبر"),"",LEFT($J1473,4)&amp;MID($J1473,6,2)&amp;RIGHT($J1473,2)&amp;$N1473&amp;"|"&amp;"2"&amp;RIGHT("00000"&amp;1468,5))</f>
        <v/>
      </c>
      <c r="L1473" t="str">
        <f t="shared" si="113"/>
        <v/>
      </c>
      <c r="M1473" t="str">
        <f t="shared" si="114"/>
        <v/>
      </c>
      <c r="N1473" t="str">
        <f>IF($F1473="","",IF(Sync!$AF1473="","0000",IF(AND(ISNUMBER(Sync!$AF1473),Sync!$AF1473&gt;=0,Sync!$AF1473&lt;1),RIGHT("00"&amp;HOUR(Sync!$AF1473),2)&amp;RIGHT("00"&amp;MINUTE(Sync!$AF1473),2),IFERROR(RIGHT("00"&amp;VALUE(LEFT(Sync!$AF1473,FIND(":",Sync!$AF1473)-1)),2)&amp;RIGHT("00"&amp;VALUE(MID(Sync!$AF1473,FIND(":",Sync!$AF1473)+1,2)),2),"0000"))))</f>
        <v/>
      </c>
    </row>
    <row r="1474" spans="1:14" x14ac:dyDescent="0.2">
      <c r="A1474" t="str">
        <f>IF(OR(Calc!$E1478="",Calc!$E1478="نامعتبر",Calc!$G1478=""),"",Calc!$G1478)</f>
        <v/>
      </c>
      <c r="B1474" t="str">
        <f>IF($A1474="","",LEFT(Calc!$E1478,4)&amp;MID(Calc!$E1478,6,2)&amp;RIGHT(Calc!$E1478,2)&amp;Calc!$Q1478&amp;"|"&amp;"1"&amp;RIGHT("00000"&amp;1469,5))</f>
        <v/>
      </c>
      <c r="C1474" t="str">
        <f t="shared" si="110"/>
        <v/>
      </c>
      <c r="D1474" t="str">
        <f t="shared" si="111"/>
        <v/>
      </c>
      <c r="F1474" t="str">
        <f>IF(Sync!$AH1474="","",IF(LEFT(UPPER(TRIM(Sync!$AH1474)),2)="SL",UPPER(TRIM(Sync!$AH1474)),""))</f>
        <v/>
      </c>
      <c r="G1474" t="str">
        <f>IF($F1474="","",IF(Sync!$AE1474="","",IF(ISNUMBER(Sync!$AE1474),IF(AND(Sync!$AE1474&gt;=10000101,Sync!$AE1474&lt;=99991231),INT(Sync!$AE1474/10000),""),IFERROR(VALUE(TRIM(LEFT(Sync!$AE1474,FIND("/",Sync!$AE1474)-1))),""))))</f>
        <v/>
      </c>
      <c r="H1474" t="str">
        <f>IF(OR($F1474="",$G1474=""),"",IF(ISNUMBER(Sync!$AE1474),INT(MOD(Sync!$AE1474,10000)/100),IFERROR(VALUE(TRIM(LEFT(MID(Sync!$AE1474,FIND("/",Sync!$AE1474)+1,20),FIND("/",MID(Sync!$AE1474,FIND("/",Sync!$AE1474)+1,20))-1))),"")))</f>
        <v/>
      </c>
      <c r="I1474" t="str">
        <f>IF(OR($F1474="",$G1474=""),"",IF(ISNUMBER(Sync!$AE1474),MOD(Sync!$AE1474,100),IFERROR(VALUE(TRIM(MID(MID(Sync!$AE1474,FIND("/",Sync!$AE1474)+1,20),FIND("/",MID(Sync!$AE1474,FIND("/",Sync!$AE1474)+1,20))+1,20))),"")))</f>
        <v/>
      </c>
      <c r="J1474" t="str">
        <f t="shared" si="112"/>
        <v/>
      </c>
      <c r="K1474" t="str">
        <f>IF(OR($F1474="",$J1474="",$J1474="نامعتبر"),"",LEFT($J1474,4)&amp;MID($J1474,6,2)&amp;RIGHT($J1474,2)&amp;$N1474&amp;"|"&amp;"2"&amp;RIGHT("00000"&amp;1469,5))</f>
        <v/>
      </c>
      <c r="L1474" t="str">
        <f t="shared" si="113"/>
        <v/>
      </c>
      <c r="M1474" t="str">
        <f t="shared" si="114"/>
        <v/>
      </c>
      <c r="N1474" t="str">
        <f>IF($F1474="","",IF(Sync!$AF1474="","0000",IF(AND(ISNUMBER(Sync!$AF1474),Sync!$AF1474&gt;=0,Sync!$AF1474&lt;1),RIGHT("00"&amp;HOUR(Sync!$AF1474),2)&amp;RIGHT("00"&amp;MINUTE(Sync!$AF1474),2),IFERROR(RIGHT("00"&amp;VALUE(LEFT(Sync!$AF1474,FIND(":",Sync!$AF1474)-1)),2)&amp;RIGHT("00"&amp;VALUE(MID(Sync!$AF1474,FIND(":",Sync!$AF1474)+1,2)),2),"0000"))))</f>
        <v/>
      </c>
    </row>
    <row r="1475" spans="1:14" x14ac:dyDescent="0.2">
      <c r="A1475" t="str">
        <f>IF(OR(Calc!$E1479="",Calc!$E1479="نامعتبر",Calc!$G1479=""),"",Calc!$G1479)</f>
        <v/>
      </c>
      <c r="B1475" t="str">
        <f>IF($A1475="","",LEFT(Calc!$E1479,4)&amp;MID(Calc!$E1479,6,2)&amp;RIGHT(Calc!$E1479,2)&amp;Calc!$Q1479&amp;"|"&amp;"1"&amp;RIGHT("00000"&amp;1470,5))</f>
        <v/>
      </c>
      <c r="C1475" t="str">
        <f t="shared" si="110"/>
        <v/>
      </c>
      <c r="D1475" t="str">
        <f t="shared" si="111"/>
        <v/>
      </c>
      <c r="F1475" t="str">
        <f>IF(Sync!$AH1475="","",IF(LEFT(UPPER(TRIM(Sync!$AH1475)),2)="SL",UPPER(TRIM(Sync!$AH1475)),""))</f>
        <v/>
      </c>
      <c r="G1475" t="str">
        <f>IF($F1475="","",IF(Sync!$AE1475="","",IF(ISNUMBER(Sync!$AE1475),IF(AND(Sync!$AE1475&gt;=10000101,Sync!$AE1475&lt;=99991231),INT(Sync!$AE1475/10000),""),IFERROR(VALUE(TRIM(LEFT(Sync!$AE1475,FIND("/",Sync!$AE1475)-1))),""))))</f>
        <v/>
      </c>
      <c r="H1475" t="str">
        <f>IF(OR($F1475="",$G1475=""),"",IF(ISNUMBER(Sync!$AE1475),INT(MOD(Sync!$AE1475,10000)/100),IFERROR(VALUE(TRIM(LEFT(MID(Sync!$AE1475,FIND("/",Sync!$AE1475)+1,20),FIND("/",MID(Sync!$AE1475,FIND("/",Sync!$AE1475)+1,20))-1))),"")))</f>
        <v/>
      </c>
      <c r="I1475" t="str">
        <f>IF(OR($F1475="",$G1475=""),"",IF(ISNUMBER(Sync!$AE1475),MOD(Sync!$AE1475,100),IFERROR(VALUE(TRIM(MID(MID(Sync!$AE1475,FIND("/",Sync!$AE1475)+1,20),FIND("/",MID(Sync!$AE1475,FIND("/",Sync!$AE1475)+1,20))+1,20))),"")))</f>
        <v/>
      </c>
      <c r="J1475" t="str">
        <f t="shared" si="112"/>
        <v/>
      </c>
      <c r="K1475" t="str">
        <f>IF(OR($F1475="",$J1475="",$J1475="نامعتبر"),"",LEFT($J1475,4)&amp;MID($J1475,6,2)&amp;RIGHT($J1475,2)&amp;$N1475&amp;"|"&amp;"2"&amp;RIGHT("00000"&amp;1470,5))</f>
        <v/>
      </c>
      <c r="L1475" t="str">
        <f t="shared" si="113"/>
        <v/>
      </c>
      <c r="M1475" t="str">
        <f t="shared" si="114"/>
        <v/>
      </c>
      <c r="N1475" t="str">
        <f>IF($F1475="","",IF(Sync!$AF1475="","0000",IF(AND(ISNUMBER(Sync!$AF1475),Sync!$AF1475&gt;=0,Sync!$AF1475&lt;1),RIGHT("00"&amp;HOUR(Sync!$AF1475),2)&amp;RIGHT("00"&amp;MINUTE(Sync!$AF1475),2),IFERROR(RIGHT("00"&amp;VALUE(LEFT(Sync!$AF1475,FIND(":",Sync!$AF1475)-1)),2)&amp;RIGHT("00"&amp;VALUE(MID(Sync!$AF1475,FIND(":",Sync!$AF1475)+1,2)),2),"0000"))))</f>
        <v/>
      </c>
    </row>
    <row r="1476" spans="1:14" x14ac:dyDescent="0.2">
      <c r="A1476" t="str">
        <f>IF(OR(Calc!$E1480="",Calc!$E1480="نامعتبر",Calc!$G1480=""),"",Calc!$G1480)</f>
        <v/>
      </c>
      <c r="B1476" t="str">
        <f>IF($A1476="","",LEFT(Calc!$E1480,4)&amp;MID(Calc!$E1480,6,2)&amp;RIGHT(Calc!$E1480,2)&amp;Calc!$Q1480&amp;"|"&amp;"1"&amp;RIGHT("00000"&amp;1471,5))</f>
        <v/>
      </c>
      <c r="C1476" t="str">
        <f t="shared" si="110"/>
        <v/>
      </c>
      <c r="D1476" t="str">
        <f t="shared" si="111"/>
        <v/>
      </c>
      <c r="F1476" t="str">
        <f>IF(Sync!$AH1476="","",IF(LEFT(UPPER(TRIM(Sync!$AH1476)),2)="SL",UPPER(TRIM(Sync!$AH1476)),""))</f>
        <v/>
      </c>
      <c r="G1476" t="str">
        <f>IF($F1476="","",IF(Sync!$AE1476="","",IF(ISNUMBER(Sync!$AE1476),IF(AND(Sync!$AE1476&gt;=10000101,Sync!$AE1476&lt;=99991231),INT(Sync!$AE1476/10000),""),IFERROR(VALUE(TRIM(LEFT(Sync!$AE1476,FIND("/",Sync!$AE1476)-1))),""))))</f>
        <v/>
      </c>
      <c r="H1476" t="str">
        <f>IF(OR($F1476="",$G1476=""),"",IF(ISNUMBER(Sync!$AE1476),INT(MOD(Sync!$AE1476,10000)/100),IFERROR(VALUE(TRIM(LEFT(MID(Sync!$AE1476,FIND("/",Sync!$AE1476)+1,20),FIND("/",MID(Sync!$AE1476,FIND("/",Sync!$AE1476)+1,20))-1))),"")))</f>
        <v/>
      </c>
      <c r="I1476" t="str">
        <f>IF(OR($F1476="",$G1476=""),"",IF(ISNUMBER(Sync!$AE1476),MOD(Sync!$AE1476,100),IFERROR(VALUE(TRIM(MID(MID(Sync!$AE1476,FIND("/",Sync!$AE1476)+1,20),FIND("/",MID(Sync!$AE1476,FIND("/",Sync!$AE1476)+1,20))+1,20))),"")))</f>
        <v/>
      </c>
      <c r="J1476" t="str">
        <f t="shared" si="112"/>
        <v/>
      </c>
      <c r="K1476" t="str">
        <f>IF(OR($F1476="",$J1476="",$J1476="نامعتبر"),"",LEFT($J1476,4)&amp;MID($J1476,6,2)&amp;RIGHT($J1476,2)&amp;$N1476&amp;"|"&amp;"2"&amp;RIGHT("00000"&amp;1471,5))</f>
        <v/>
      </c>
      <c r="L1476" t="str">
        <f t="shared" si="113"/>
        <v/>
      </c>
      <c r="M1476" t="str">
        <f t="shared" si="114"/>
        <v/>
      </c>
      <c r="N1476" t="str">
        <f>IF($F1476="","",IF(Sync!$AF1476="","0000",IF(AND(ISNUMBER(Sync!$AF1476),Sync!$AF1476&gt;=0,Sync!$AF1476&lt;1),RIGHT("00"&amp;HOUR(Sync!$AF1476),2)&amp;RIGHT("00"&amp;MINUTE(Sync!$AF1476),2),IFERROR(RIGHT("00"&amp;VALUE(LEFT(Sync!$AF1476,FIND(":",Sync!$AF1476)-1)),2)&amp;RIGHT("00"&amp;VALUE(MID(Sync!$AF1476,FIND(":",Sync!$AF1476)+1,2)),2),"0000"))))</f>
        <v/>
      </c>
    </row>
    <row r="1477" spans="1:14" x14ac:dyDescent="0.2">
      <c r="A1477" t="str">
        <f>IF(OR(Calc!$E1481="",Calc!$E1481="نامعتبر",Calc!$G1481=""),"",Calc!$G1481)</f>
        <v/>
      </c>
      <c r="B1477" t="str">
        <f>IF($A1477="","",LEFT(Calc!$E1481,4)&amp;MID(Calc!$E1481,6,2)&amp;RIGHT(Calc!$E1481,2)&amp;Calc!$Q1481&amp;"|"&amp;"1"&amp;RIGHT("00000"&amp;1472,5))</f>
        <v/>
      </c>
      <c r="C1477" t="str">
        <f t="shared" si="110"/>
        <v/>
      </c>
      <c r="D1477" t="str">
        <f t="shared" si="111"/>
        <v/>
      </c>
      <c r="F1477" t="str">
        <f>IF(Sync!$AH1477="","",IF(LEFT(UPPER(TRIM(Sync!$AH1477)),2)="SL",UPPER(TRIM(Sync!$AH1477)),""))</f>
        <v/>
      </c>
      <c r="G1477" t="str">
        <f>IF($F1477="","",IF(Sync!$AE1477="","",IF(ISNUMBER(Sync!$AE1477),IF(AND(Sync!$AE1477&gt;=10000101,Sync!$AE1477&lt;=99991231),INT(Sync!$AE1477/10000),""),IFERROR(VALUE(TRIM(LEFT(Sync!$AE1477,FIND("/",Sync!$AE1477)-1))),""))))</f>
        <v/>
      </c>
      <c r="H1477" t="str">
        <f>IF(OR($F1477="",$G1477=""),"",IF(ISNUMBER(Sync!$AE1477),INT(MOD(Sync!$AE1477,10000)/100),IFERROR(VALUE(TRIM(LEFT(MID(Sync!$AE1477,FIND("/",Sync!$AE1477)+1,20),FIND("/",MID(Sync!$AE1477,FIND("/",Sync!$AE1477)+1,20))-1))),"")))</f>
        <v/>
      </c>
      <c r="I1477" t="str">
        <f>IF(OR($F1477="",$G1477=""),"",IF(ISNUMBER(Sync!$AE1477),MOD(Sync!$AE1477,100),IFERROR(VALUE(TRIM(MID(MID(Sync!$AE1477,FIND("/",Sync!$AE1477)+1,20),FIND("/",MID(Sync!$AE1477,FIND("/",Sync!$AE1477)+1,20))+1,20))),"")))</f>
        <v/>
      </c>
      <c r="J1477" t="str">
        <f t="shared" si="112"/>
        <v/>
      </c>
      <c r="K1477" t="str">
        <f>IF(OR($F1477="",$J1477="",$J1477="نامعتبر"),"",LEFT($J1477,4)&amp;MID($J1477,6,2)&amp;RIGHT($J1477,2)&amp;$N1477&amp;"|"&amp;"2"&amp;RIGHT("00000"&amp;1472,5))</f>
        <v/>
      </c>
      <c r="L1477" t="str">
        <f t="shared" si="113"/>
        <v/>
      </c>
      <c r="M1477" t="str">
        <f t="shared" si="114"/>
        <v/>
      </c>
      <c r="N1477" t="str">
        <f>IF($F1477="","",IF(Sync!$AF1477="","0000",IF(AND(ISNUMBER(Sync!$AF1477),Sync!$AF1477&gt;=0,Sync!$AF1477&lt;1),RIGHT("00"&amp;HOUR(Sync!$AF1477),2)&amp;RIGHT("00"&amp;MINUTE(Sync!$AF1477),2),IFERROR(RIGHT("00"&amp;VALUE(LEFT(Sync!$AF1477,FIND(":",Sync!$AF1477)-1)),2)&amp;RIGHT("00"&amp;VALUE(MID(Sync!$AF1477,FIND(":",Sync!$AF1477)+1,2)),2),"0000"))))</f>
        <v/>
      </c>
    </row>
    <row r="1478" spans="1:14" x14ac:dyDescent="0.2">
      <c r="A1478" t="str">
        <f>IF(OR(Calc!$E1482="",Calc!$E1482="نامعتبر",Calc!$G1482=""),"",Calc!$G1482)</f>
        <v/>
      </c>
      <c r="B1478" t="str">
        <f>IF($A1478="","",LEFT(Calc!$E1482,4)&amp;MID(Calc!$E1482,6,2)&amp;RIGHT(Calc!$E1482,2)&amp;Calc!$Q1482&amp;"|"&amp;"1"&amp;RIGHT("00000"&amp;1473,5))</f>
        <v/>
      </c>
      <c r="C1478" t="str">
        <f t="shared" ref="C1478:C1541" si="115">IF($B1478="","",COUNTIFS(LdgSellerA,$A1478,LdgKeyA,"&lt;"&amp;$B1478)+COUNTIFS(LdgSellerB,$A1478,LdgKeyB,"&lt;"&amp;$B1478)+1)</f>
        <v/>
      </c>
      <c r="D1478" t="str">
        <f t="shared" ref="D1478:D1541" si="116">IF($C1478="","",$A1478&amp;"|"&amp;RIGHT("000000"&amp;$C1478,6))</f>
        <v/>
      </c>
      <c r="F1478" t="str">
        <f>IF(Sync!$AH1478="","",IF(LEFT(UPPER(TRIM(Sync!$AH1478)),2)="SL",UPPER(TRIM(Sync!$AH1478)),""))</f>
        <v/>
      </c>
      <c r="G1478" t="str">
        <f>IF($F1478="","",IF(Sync!$AE1478="","",IF(ISNUMBER(Sync!$AE1478),IF(AND(Sync!$AE1478&gt;=10000101,Sync!$AE1478&lt;=99991231),INT(Sync!$AE1478/10000),""),IFERROR(VALUE(TRIM(LEFT(Sync!$AE1478,FIND("/",Sync!$AE1478)-1))),""))))</f>
        <v/>
      </c>
      <c r="H1478" t="str">
        <f>IF(OR($F1478="",$G1478=""),"",IF(ISNUMBER(Sync!$AE1478),INT(MOD(Sync!$AE1478,10000)/100),IFERROR(VALUE(TRIM(LEFT(MID(Sync!$AE1478,FIND("/",Sync!$AE1478)+1,20),FIND("/",MID(Sync!$AE1478,FIND("/",Sync!$AE1478)+1,20))-1))),"")))</f>
        <v/>
      </c>
      <c r="I1478" t="str">
        <f>IF(OR($F1478="",$G1478=""),"",IF(ISNUMBER(Sync!$AE1478),MOD(Sync!$AE1478,100),IFERROR(VALUE(TRIM(MID(MID(Sync!$AE1478,FIND("/",Sync!$AE1478)+1,20),FIND("/",MID(Sync!$AE1478,FIND("/",Sync!$AE1478)+1,20))+1,20))),"")))</f>
        <v/>
      </c>
      <c r="J1478" t="str">
        <f t="shared" ref="J1478:J1541" si="117">IF($F1478="","",IF(OR($G1478="",$H1478="",$I1478="",$G1478&lt;1300,$G1478&gt;1500,$H1478&lt;1,$H1478&gt;12,$I1478&lt;1,$I1478&gt;31),"نامعتبر",RIGHT("0000"&amp;$G1478,4)&amp;"/"&amp;RIGHT("00"&amp;$H1478,2)&amp;"/"&amp;RIGHT("00"&amp;$I1478,2)))</f>
        <v/>
      </c>
      <c r="K1478" t="str">
        <f>IF(OR($F1478="",$J1478="",$J1478="نامعتبر"),"",LEFT($J1478,4)&amp;MID($J1478,6,2)&amp;RIGHT($J1478,2)&amp;$N1478&amp;"|"&amp;"2"&amp;RIGHT("00000"&amp;1473,5))</f>
        <v/>
      </c>
      <c r="L1478" t="str">
        <f t="shared" ref="L1478:L1541" si="118">IF($K1478="","",COUNTIFS(LdgSellerA,$F1478,LdgKeyA,"&lt;"&amp;$K1478)+COUNTIFS(LdgSellerB,$F1478,LdgKeyB,"&lt;"&amp;$K1478)+1)</f>
        <v/>
      </c>
      <c r="M1478" t="str">
        <f t="shared" ref="M1478:M1541" si="119">IF($L1478="","",$F1478&amp;"|"&amp;RIGHT("000000"&amp;$L1478,6))</f>
        <v/>
      </c>
      <c r="N1478" t="str">
        <f>IF($F1478="","",IF(Sync!$AF1478="","0000",IF(AND(ISNUMBER(Sync!$AF1478),Sync!$AF1478&gt;=0,Sync!$AF1478&lt;1),RIGHT("00"&amp;HOUR(Sync!$AF1478),2)&amp;RIGHT("00"&amp;MINUTE(Sync!$AF1478),2),IFERROR(RIGHT("00"&amp;VALUE(LEFT(Sync!$AF1478,FIND(":",Sync!$AF1478)-1)),2)&amp;RIGHT("00"&amp;VALUE(MID(Sync!$AF1478,FIND(":",Sync!$AF1478)+1,2)),2),"0000"))))</f>
        <v/>
      </c>
    </row>
    <row r="1479" spans="1:14" x14ac:dyDescent="0.2">
      <c r="A1479" t="str">
        <f>IF(OR(Calc!$E1483="",Calc!$E1483="نامعتبر",Calc!$G1483=""),"",Calc!$G1483)</f>
        <v/>
      </c>
      <c r="B1479" t="str">
        <f>IF($A1479="","",LEFT(Calc!$E1483,4)&amp;MID(Calc!$E1483,6,2)&amp;RIGHT(Calc!$E1483,2)&amp;Calc!$Q1483&amp;"|"&amp;"1"&amp;RIGHT("00000"&amp;1474,5))</f>
        <v/>
      </c>
      <c r="C1479" t="str">
        <f t="shared" si="115"/>
        <v/>
      </c>
      <c r="D1479" t="str">
        <f t="shared" si="116"/>
        <v/>
      </c>
      <c r="F1479" t="str">
        <f>IF(Sync!$AH1479="","",IF(LEFT(UPPER(TRIM(Sync!$AH1479)),2)="SL",UPPER(TRIM(Sync!$AH1479)),""))</f>
        <v/>
      </c>
      <c r="G1479" t="str">
        <f>IF($F1479="","",IF(Sync!$AE1479="","",IF(ISNUMBER(Sync!$AE1479),IF(AND(Sync!$AE1479&gt;=10000101,Sync!$AE1479&lt;=99991231),INT(Sync!$AE1479/10000),""),IFERROR(VALUE(TRIM(LEFT(Sync!$AE1479,FIND("/",Sync!$AE1479)-1))),""))))</f>
        <v/>
      </c>
      <c r="H1479" t="str">
        <f>IF(OR($F1479="",$G1479=""),"",IF(ISNUMBER(Sync!$AE1479),INT(MOD(Sync!$AE1479,10000)/100),IFERROR(VALUE(TRIM(LEFT(MID(Sync!$AE1479,FIND("/",Sync!$AE1479)+1,20),FIND("/",MID(Sync!$AE1479,FIND("/",Sync!$AE1479)+1,20))-1))),"")))</f>
        <v/>
      </c>
      <c r="I1479" t="str">
        <f>IF(OR($F1479="",$G1479=""),"",IF(ISNUMBER(Sync!$AE1479),MOD(Sync!$AE1479,100),IFERROR(VALUE(TRIM(MID(MID(Sync!$AE1479,FIND("/",Sync!$AE1479)+1,20),FIND("/",MID(Sync!$AE1479,FIND("/",Sync!$AE1479)+1,20))+1,20))),"")))</f>
        <v/>
      </c>
      <c r="J1479" t="str">
        <f t="shared" si="117"/>
        <v/>
      </c>
      <c r="K1479" t="str">
        <f>IF(OR($F1479="",$J1479="",$J1479="نامعتبر"),"",LEFT($J1479,4)&amp;MID($J1479,6,2)&amp;RIGHT($J1479,2)&amp;$N1479&amp;"|"&amp;"2"&amp;RIGHT("00000"&amp;1474,5))</f>
        <v/>
      </c>
      <c r="L1479" t="str">
        <f t="shared" si="118"/>
        <v/>
      </c>
      <c r="M1479" t="str">
        <f t="shared" si="119"/>
        <v/>
      </c>
      <c r="N1479" t="str">
        <f>IF($F1479="","",IF(Sync!$AF1479="","0000",IF(AND(ISNUMBER(Sync!$AF1479),Sync!$AF1479&gt;=0,Sync!$AF1479&lt;1),RIGHT("00"&amp;HOUR(Sync!$AF1479),2)&amp;RIGHT("00"&amp;MINUTE(Sync!$AF1479),2),IFERROR(RIGHT("00"&amp;VALUE(LEFT(Sync!$AF1479,FIND(":",Sync!$AF1479)-1)),2)&amp;RIGHT("00"&amp;VALUE(MID(Sync!$AF1479,FIND(":",Sync!$AF1479)+1,2)),2),"0000"))))</f>
        <v/>
      </c>
    </row>
    <row r="1480" spans="1:14" x14ac:dyDescent="0.2">
      <c r="A1480" t="str">
        <f>IF(OR(Calc!$E1484="",Calc!$E1484="نامعتبر",Calc!$G1484=""),"",Calc!$G1484)</f>
        <v/>
      </c>
      <c r="B1480" t="str">
        <f>IF($A1480="","",LEFT(Calc!$E1484,4)&amp;MID(Calc!$E1484,6,2)&amp;RIGHT(Calc!$E1484,2)&amp;Calc!$Q1484&amp;"|"&amp;"1"&amp;RIGHT("00000"&amp;1475,5))</f>
        <v/>
      </c>
      <c r="C1480" t="str">
        <f t="shared" si="115"/>
        <v/>
      </c>
      <c r="D1480" t="str">
        <f t="shared" si="116"/>
        <v/>
      </c>
      <c r="F1480" t="str">
        <f>IF(Sync!$AH1480="","",IF(LEFT(UPPER(TRIM(Sync!$AH1480)),2)="SL",UPPER(TRIM(Sync!$AH1480)),""))</f>
        <v/>
      </c>
      <c r="G1480" t="str">
        <f>IF($F1480="","",IF(Sync!$AE1480="","",IF(ISNUMBER(Sync!$AE1480),IF(AND(Sync!$AE1480&gt;=10000101,Sync!$AE1480&lt;=99991231),INT(Sync!$AE1480/10000),""),IFERROR(VALUE(TRIM(LEFT(Sync!$AE1480,FIND("/",Sync!$AE1480)-1))),""))))</f>
        <v/>
      </c>
      <c r="H1480" t="str">
        <f>IF(OR($F1480="",$G1480=""),"",IF(ISNUMBER(Sync!$AE1480),INT(MOD(Sync!$AE1480,10000)/100),IFERROR(VALUE(TRIM(LEFT(MID(Sync!$AE1480,FIND("/",Sync!$AE1480)+1,20),FIND("/",MID(Sync!$AE1480,FIND("/",Sync!$AE1480)+1,20))-1))),"")))</f>
        <v/>
      </c>
      <c r="I1480" t="str">
        <f>IF(OR($F1480="",$G1480=""),"",IF(ISNUMBER(Sync!$AE1480),MOD(Sync!$AE1480,100),IFERROR(VALUE(TRIM(MID(MID(Sync!$AE1480,FIND("/",Sync!$AE1480)+1,20),FIND("/",MID(Sync!$AE1480,FIND("/",Sync!$AE1480)+1,20))+1,20))),"")))</f>
        <v/>
      </c>
      <c r="J1480" t="str">
        <f t="shared" si="117"/>
        <v/>
      </c>
      <c r="K1480" t="str">
        <f>IF(OR($F1480="",$J1480="",$J1480="نامعتبر"),"",LEFT($J1480,4)&amp;MID($J1480,6,2)&amp;RIGHT($J1480,2)&amp;$N1480&amp;"|"&amp;"2"&amp;RIGHT("00000"&amp;1475,5))</f>
        <v/>
      </c>
      <c r="L1480" t="str">
        <f t="shared" si="118"/>
        <v/>
      </c>
      <c r="M1480" t="str">
        <f t="shared" si="119"/>
        <v/>
      </c>
      <c r="N1480" t="str">
        <f>IF($F1480="","",IF(Sync!$AF1480="","0000",IF(AND(ISNUMBER(Sync!$AF1480),Sync!$AF1480&gt;=0,Sync!$AF1480&lt;1),RIGHT("00"&amp;HOUR(Sync!$AF1480),2)&amp;RIGHT("00"&amp;MINUTE(Sync!$AF1480),2),IFERROR(RIGHT("00"&amp;VALUE(LEFT(Sync!$AF1480,FIND(":",Sync!$AF1480)-1)),2)&amp;RIGHT("00"&amp;VALUE(MID(Sync!$AF1480,FIND(":",Sync!$AF1480)+1,2)),2),"0000"))))</f>
        <v/>
      </c>
    </row>
    <row r="1481" spans="1:14" x14ac:dyDescent="0.2">
      <c r="A1481" t="str">
        <f>IF(OR(Calc!$E1485="",Calc!$E1485="نامعتبر",Calc!$G1485=""),"",Calc!$G1485)</f>
        <v/>
      </c>
      <c r="B1481" t="str">
        <f>IF($A1481="","",LEFT(Calc!$E1485,4)&amp;MID(Calc!$E1485,6,2)&amp;RIGHT(Calc!$E1485,2)&amp;Calc!$Q1485&amp;"|"&amp;"1"&amp;RIGHT("00000"&amp;1476,5))</f>
        <v/>
      </c>
      <c r="C1481" t="str">
        <f t="shared" si="115"/>
        <v/>
      </c>
      <c r="D1481" t="str">
        <f t="shared" si="116"/>
        <v/>
      </c>
      <c r="F1481" t="str">
        <f>IF(Sync!$AH1481="","",IF(LEFT(UPPER(TRIM(Sync!$AH1481)),2)="SL",UPPER(TRIM(Sync!$AH1481)),""))</f>
        <v/>
      </c>
      <c r="G1481" t="str">
        <f>IF($F1481="","",IF(Sync!$AE1481="","",IF(ISNUMBER(Sync!$AE1481),IF(AND(Sync!$AE1481&gt;=10000101,Sync!$AE1481&lt;=99991231),INT(Sync!$AE1481/10000),""),IFERROR(VALUE(TRIM(LEFT(Sync!$AE1481,FIND("/",Sync!$AE1481)-1))),""))))</f>
        <v/>
      </c>
      <c r="H1481" t="str">
        <f>IF(OR($F1481="",$G1481=""),"",IF(ISNUMBER(Sync!$AE1481),INT(MOD(Sync!$AE1481,10000)/100),IFERROR(VALUE(TRIM(LEFT(MID(Sync!$AE1481,FIND("/",Sync!$AE1481)+1,20),FIND("/",MID(Sync!$AE1481,FIND("/",Sync!$AE1481)+1,20))-1))),"")))</f>
        <v/>
      </c>
      <c r="I1481" t="str">
        <f>IF(OR($F1481="",$G1481=""),"",IF(ISNUMBER(Sync!$AE1481),MOD(Sync!$AE1481,100),IFERROR(VALUE(TRIM(MID(MID(Sync!$AE1481,FIND("/",Sync!$AE1481)+1,20),FIND("/",MID(Sync!$AE1481,FIND("/",Sync!$AE1481)+1,20))+1,20))),"")))</f>
        <v/>
      </c>
      <c r="J1481" t="str">
        <f t="shared" si="117"/>
        <v/>
      </c>
      <c r="K1481" t="str">
        <f>IF(OR($F1481="",$J1481="",$J1481="نامعتبر"),"",LEFT($J1481,4)&amp;MID($J1481,6,2)&amp;RIGHT($J1481,2)&amp;$N1481&amp;"|"&amp;"2"&amp;RIGHT("00000"&amp;1476,5))</f>
        <v/>
      </c>
      <c r="L1481" t="str">
        <f t="shared" si="118"/>
        <v/>
      </c>
      <c r="M1481" t="str">
        <f t="shared" si="119"/>
        <v/>
      </c>
      <c r="N1481" t="str">
        <f>IF($F1481="","",IF(Sync!$AF1481="","0000",IF(AND(ISNUMBER(Sync!$AF1481),Sync!$AF1481&gt;=0,Sync!$AF1481&lt;1),RIGHT("00"&amp;HOUR(Sync!$AF1481),2)&amp;RIGHT("00"&amp;MINUTE(Sync!$AF1481),2),IFERROR(RIGHT("00"&amp;VALUE(LEFT(Sync!$AF1481,FIND(":",Sync!$AF1481)-1)),2)&amp;RIGHT("00"&amp;VALUE(MID(Sync!$AF1481,FIND(":",Sync!$AF1481)+1,2)),2),"0000"))))</f>
        <v/>
      </c>
    </row>
    <row r="1482" spans="1:14" x14ac:dyDescent="0.2">
      <c r="A1482" t="str">
        <f>IF(OR(Calc!$E1486="",Calc!$E1486="نامعتبر",Calc!$G1486=""),"",Calc!$G1486)</f>
        <v/>
      </c>
      <c r="B1482" t="str">
        <f>IF($A1482="","",LEFT(Calc!$E1486,4)&amp;MID(Calc!$E1486,6,2)&amp;RIGHT(Calc!$E1486,2)&amp;Calc!$Q1486&amp;"|"&amp;"1"&amp;RIGHT("00000"&amp;1477,5))</f>
        <v/>
      </c>
      <c r="C1482" t="str">
        <f t="shared" si="115"/>
        <v/>
      </c>
      <c r="D1482" t="str">
        <f t="shared" si="116"/>
        <v/>
      </c>
      <c r="F1482" t="str">
        <f>IF(Sync!$AH1482="","",IF(LEFT(UPPER(TRIM(Sync!$AH1482)),2)="SL",UPPER(TRIM(Sync!$AH1482)),""))</f>
        <v/>
      </c>
      <c r="G1482" t="str">
        <f>IF($F1482="","",IF(Sync!$AE1482="","",IF(ISNUMBER(Sync!$AE1482),IF(AND(Sync!$AE1482&gt;=10000101,Sync!$AE1482&lt;=99991231),INT(Sync!$AE1482/10000),""),IFERROR(VALUE(TRIM(LEFT(Sync!$AE1482,FIND("/",Sync!$AE1482)-1))),""))))</f>
        <v/>
      </c>
      <c r="H1482" t="str">
        <f>IF(OR($F1482="",$G1482=""),"",IF(ISNUMBER(Sync!$AE1482),INT(MOD(Sync!$AE1482,10000)/100),IFERROR(VALUE(TRIM(LEFT(MID(Sync!$AE1482,FIND("/",Sync!$AE1482)+1,20),FIND("/",MID(Sync!$AE1482,FIND("/",Sync!$AE1482)+1,20))-1))),"")))</f>
        <v/>
      </c>
      <c r="I1482" t="str">
        <f>IF(OR($F1482="",$G1482=""),"",IF(ISNUMBER(Sync!$AE1482),MOD(Sync!$AE1482,100),IFERROR(VALUE(TRIM(MID(MID(Sync!$AE1482,FIND("/",Sync!$AE1482)+1,20),FIND("/",MID(Sync!$AE1482,FIND("/",Sync!$AE1482)+1,20))+1,20))),"")))</f>
        <v/>
      </c>
      <c r="J1482" t="str">
        <f t="shared" si="117"/>
        <v/>
      </c>
      <c r="K1482" t="str">
        <f>IF(OR($F1482="",$J1482="",$J1482="نامعتبر"),"",LEFT($J1482,4)&amp;MID($J1482,6,2)&amp;RIGHT($J1482,2)&amp;$N1482&amp;"|"&amp;"2"&amp;RIGHT("00000"&amp;1477,5))</f>
        <v/>
      </c>
      <c r="L1482" t="str">
        <f t="shared" si="118"/>
        <v/>
      </c>
      <c r="M1482" t="str">
        <f t="shared" si="119"/>
        <v/>
      </c>
      <c r="N1482" t="str">
        <f>IF($F1482="","",IF(Sync!$AF1482="","0000",IF(AND(ISNUMBER(Sync!$AF1482),Sync!$AF1482&gt;=0,Sync!$AF1482&lt;1),RIGHT("00"&amp;HOUR(Sync!$AF1482),2)&amp;RIGHT("00"&amp;MINUTE(Sync!$AF1482),2),IFERROR(RIGHT("00"&amp;VALUE(LEFT(Sync!$AF1482,FIND(":",Sync!$AF1482)-1)),2)&amp;RIGHT("00"&amp;VALUE(MID(Sync!$AF1482,FIND(":",Sync!$AF1482)+1,2)),2),"0000"))))</f>
        <v/>
      </c>
    </row>
    <row r="1483" spans="1:14" x14ac:dyDescent="0.2">
      <c r="A1483" t="str">
        <f>IF(OR(Calc!$E1487="",Calc!$E1487="نامعتبر",Calc!$G1487=""),"",Calc!$G1487)</f>
        <v/>
      </c>
      <c r="B1483" t="str">
        <f>IF($A1483="","",LEFT(Calc!$E1487,4)&amp;MID(Calc!$E1487,6,2)&amp;RIGHT(Calc!$E1487,2)&amp;Calc!$Q1487&amp;"|"&amp;"1"&amp;RIGHT("00000"&amp;1478,5))</f>
        <v/>
      </c>
      <c r="C1483" t="str">
        <f t="shared" si="115"/>
        <v/>
      </c>
      <c r="D1483" t="str">
        <f t="shared" si="116"/>
        <v/>
      </c>
      <c r="F1483" t="str">
        <f>IF(Sync!$AH1483="","",IF(LEFT(UPPER(TRIM(Sync!$AH1483)),2)="SL",UPPER(TRIM(Sync!$AH1483)),""))</f>
        <v/>
      </c>
      <c r="G1483" t="str">
        <f>IF($F1483="","",IF(Sync!$AE1483="","",IF(ISNUMBER(Sync!$AE1483),IF(AND(Sync!$AE1483&gt;=10000101,Sync!$AE1483&lt;=99991231),INT(Sync!$AE1483/10000),""),IFERROR(VALUE(TRIM(LEFT(Sync!$AE1483,FIND("/",Sync!$AE1483)-1))),""))))</f>
        <v/>
      </c>
      <c r="H1483" t="str">
        <f>IF(OR($F1483="",$G1483=""),"",IF(ISNUMBER(Sync!$AE1483),INT(MOD(Sync!$AE1483,10000)/100),IFERROR(VALUE(TRIM(LEFT(MID(Sync!$AE1483,FIND("/",Sync!$AE1483)+1,20),FIND("/",MID(Sync!$AE1483,FIND("/",Sync!$AE1483)+1,20))-1))),"")))</f>
        <v/>
      </c>
      <c r="I1483" t="str">
        <f>IF(OR($F1483="",$G1483=""),"",IF(ISNUMBER(Sync!$AE1483),MOD(Sync!$AE1483,100),IFERROR(VALUE(TRIM(MID(MID(Sync!$AE1483,FIND("/",Sync!$AE1483)+1,20),FIND("/",MID(Sync!$AE1483,FIND("/",Sync!$AE1483)+1,20))+1,20))),"")))</f>
        <v/>
      </c>
      <c r="J1483" t="str">
        <f t="shared" si="117"/>
        <v/>
      </c>
      <c r="K1483" t="str">
        <f>IF(OR($F1483="",$J1483="",$J1483="نامعتبر"),"",LEFT($J1483,4)&amp;MID($J1483,6,2)&amp;RIGHT($J1483,2)&amp;$N1483&amp;"|"&amp;"2"&amp;RIGHT("00000"&amp;1478,5))</f>
        <v/>
      </c>
      <c r="L1483" t="str">
        <f t="shared" si="118"/>
        <v/>
      </c>
      <c r="M1483" t="str">
        <f t="shared" si="119"/>
        <v/>
      </c>
      <c r="N1483" t="str">
        <f>IF($F1483="","",IF(Sync!$AF1483="","0000",IF(AND(ISNUMBER(Sync!$AF1483),Sync!$AF1483&gt;=0,Sync!$AF1483&lt;1),RIGHT("00"&amp;HOUR(Sync!$AF1483),2)&amp;RIGHT("00"&amp;MINUTE(Sync!$AF1483),2),IFERROR(RIGHT("00"&amp;VALUE(LEFT(Sync!$AF1483,FIND(":",Sync!$AF1483)-1)),2)&amp;RIGHT("00"&amp;VALUE(MID(Sync!$AF1483,FIND(":",Sync!$AF1483)+1,2)),2),"0000"))))</f>
        <v/>
      </c>
    </row>
    <row r="1484" spans="1:14" x14ac:dyDescent="0.2">
      <c r="A1484" t="str">
        <f>IF(OR(Calc!$E1488="",Calc!$E1488="نامعتبر",Calc!$G1488=""),"",Calc!$G1488)</f>
        <v/>
      </c>
      <c r="B1484" t="str">
        <f>IF($A1484="","",LEFT(Calc!$E1488,4)&amp;MID(Calc!$E1488,6,2)&amp;RIGHT(Calc!$E1488,2)&amp;Calc!$Q1488&amp;"|"&amp;"1"&amp;RIGHT("00000"&amp;1479,5))</f>
        <v/>
      </c>
      <c r="C1484" t="str">
        <f t="shared" si="115"/>
        <v/>
      </c>
      <c r="D1484" t="str">
        <f t="shared" si="116"/>
        <v/>
      </c>
      <c r="F1484" t="str">
        <f>IF(Sync!$AH1484="","",IF(LEFT(UPPER(TRIM(Sync!$AH1484)),2)="SL",UPPER(TRIM(Sync!$AH1484)),""))</f>
        <v/>
      </c>
      <c r="G1484" t="str">
        <f>IF($F1484="","",IF(Sync!$AE1484="","",IF(ISNUMBER(Sync!$AE1484),IF(AND(Sync!$AE1484&gt;=10000101,Sync!$AE1484&lt;=99991231),INT(Sync!$AE1484/10000),""),IFERROR(VALUE(TRIM(LEFT(Sync!$AE1484,FIND("/",Sync!$AE1484)-1))),""))))</f>
        <v/>
      </c>
      <c r="H1484" t="str">
        <f>IF(OR($F1484="",$G1484=""),"",IF(ISNUMBER(Sync!$AE1484),INT(MOD(Sync!$AE1484,10000)/100),IFERROR(VALUE(TRIM(LEFT(MID(Sync!$AE1484,FIND("/",Sync!$AE1484)+1,20),FIND("/",MID(Sync!$AE1484,FIND("/",Sync!$AE1484)+1,20))-1))),"")))</f>
        <v/>
      </c>
      <c r="I1484" t="str">
        <f>IF(OR($F1484="",$G1484=""),"",IF(ISNUMBER(Sync!$AE1484),MOD(Sync!$AE1484,100),IFERROR(VALUE(TRIM(MID(MID(Sync!$AE1484,FIND("/",Sync!$AE1484)+1,20),FIND("/",MID(Sync!$AE1484,FIND("/",Sync!$AE1484)+1,20))+1,20))),"")))</f>
        <v/>
      </c>
      <c r="J1484" t="str">
        <f t="shared" si="117"/>
        <v/>
      </c>
      <c r="K1484" t="str">
        <f>IF(OR($F1484="",$J1484="",$J1484="نامعتبر"),"",LEFT($J1484,4)&amp;MID($J1484,6,2)&amp;RIGHT($J1484,2)&amp;$N1484&amp;"|"&amp;"2"&amp;RIGHT("00000"&amp;1479,5))</f>
        <v/>
      </c>
      <c r="L1484" t="str">
        <f t="shared" si="118"/>
        <v/>
      </c>
      <c r="M1484" t="str">
        <f t="shared" si="119"/>
        <v/>
      </c>
      <c r="N1484" t="str">
        <f>IF($F1484="","",IF(Sync!$AF1484="","0000",IF(AND(ISNUMBER(Sync!$AF1484),Sync!$AF1484&gt;=0,Sync!$AF1484&lt;1),RIGHT("00"&amp;HOUR(Sync!$AF1484),2)&amp;RIGHT("00"&amp;MINUTE(Sync!$AF1484),2),IFERROR(RIGHT("00"&amp;VALUE(LEFT(Sync!$AF1484,FIND(":",Sync!$AF1484)-1)),2)&amp;RIGHT("00"&amp;VALUE(MID(Sync!$AF1484,FIND(":",Sync!$AF1484)+1,2)),2),"0000"))))</f>
        <v/>
      </c>
    </row>
    <row r="1485" spans="1:14" x14ac:dyDescent="0.2">
      <c r="A1485" t="str">
        <f>IF(OR(Calc!$E1489="",Calc!$E1489="نامعتبر",Calc!$G1489=""),"",Calc!$G1489)</f>
        <v/>
      </c>
      <c r="B1485" t="str">
        <f>IF($A1485="","",LEFT(Calc!$E1489,4)&amp;MID(Calc!$E1489,6,2)&amp;RIGHT(Calc!$E1489,2)&amp;Calc!$Q1489&amp;"|"&amp;"1"&amp;RIGHT("00000"&amp;1480,5))</f>
        <v/>
      </c>
      <c r="C1485" t="str">
        <f t="shared" si="115"/>
        <v/>
      </c>
      <c r="D1485" t="str">
        <f t="shared" si="116"/>
        <v/>
      </c>
      <c r="F1485" t="str">
        <f>IF(Sync!$AH1485="","",IF(LEFT(UPPER(TRIM(Sync!$AH1485)),2)="SL",UPPER(TRIM(Sync!$AH1485)),""))</f>
        <v/>
      </c>
      <c r="G1485" t="str">
        <f>IF($F1485="","",IF(Sync!$AE1485="","",IF(ISNUMBER(Sync!$AE1485),IF(AND(Sync!$AE1485&gt;=10000101,Sync!$AE1485&lt;=99991231),INT(Sync!$AE1485/10000),""),IFERROR(VALUE(TRIM(LEFT(Sync!$AE1485,FIND("/",Sync!$AE1485)-1))),""))))</f>
        <v/>
      </c>
      <c r="H1485" t="str">
        <f>IF(OR($F1485="",$G1485=""),"",IF(ISNUMBER(Sync!$AE1485),INT(MOD(Sync!$AE1485,10000)/100),IFERROR(VALUE(TRIM(LEFT(MID(Sync!$AE1485,FIND("/",Sync!$AE1485)+1,20),FIND("/",MID(Sync!$AE1485,FIND("/",Sync!$AE1485)+1,20))-1))),"")))</f>
        <v/>
      </c>
      <c r="I1485" t="str">
        <f>IF(OR($F1485="",$G1485=""),"",IF(ISNUMBER(Sync!$AE1485),MOD(Sync!$AE1485,100),IFERROR(VALUE(TRIM(MID(MID(Sync!$AE1485,FIND("/",Sync!$AE1485)+1,20),FIND("/",MID(Sync!$AE1485,FIND("/",Sync!$AE1485)+1,20))+1,20))),"")))</f>
        <v/>
      </c>
      <c r="J1485" t="str">
        <f t="shared" si="117"/>
        <v/>
      </c>
      <c r="K1485" t="str">
        <f>IF(OR($F1485="",$J1485="",$J1485="نامعتبر"),"",LEFT($J1485,4)&amp;MID($J1485,6,2)&amp;RIGHT($J1485,2)&amp;$N1485&amp;"|"&amp;"2"&amp;RIGHT("00000"&amp;1480,5))</f>
        <v/>
      </c>
      <c r="L1485" t="str">
        <f t="shared" si="118"/>
        <v/>
      </c>
      <c r="M1485" t="str">
        <f t="shared" si="119"/>
        <v/>
      </c>
      <c r="N1485" t="str">
        <f>IF($F1485="","",IF(Sync!$AF1485="","0000",IF(AND(ISNUMBER(Sync!$AF1485),Sync!$AF1485&gt;=0,Sync!$AF1485&lt;1),RIGHT("00"&amp;HOUR(Sync!$AF1485),2)&amp;RIGHT("00"&amp;MINUTE(Sync!$AF1485),2),IFERROR(RIGHT("00"&amp;VALUE(LEFT(Sync!$AF1485,FIND(":",Sync!$AF1485)-1)),2)&amp;RIGHT("00"&amp;VALUE(MID(Sync!$AF1485,FIND(":",Sync!$AF1485)+1,2)),2),"0000"))))</f>
        <v/>
      </c>
    </row>
    <row r="1486" spans="1:14" x14ac:dyDescent="0.2">
      <c r="A1486" t="str">
        <f>IF(OR(Calc!$E1490="",Calc!$E1490="نامعتبر",Calc!$G1490=""),"",Calc!$G1490)</f>
        <v/>
      </c>
      <c r="B1486" t="str">
        <f>IF($A1486="","",LEFT(Calc!$E1490,4)&amp;MID(Calc!$E1490,6,2)&amp;RIGHT(Calc!$E1490,2)&amp;Calc!$Q1490&amp;"|"&amp;"1"&amp;RIGHT("00000"&amp;1481,5))</f>
        <v/>
      </c>
      <c r="C1486" t="str">
        <f t="shared" si="115"/>
        <v/>
      </c>
      <c r="D1486" t="str">
        <f t="shared" si="116"/>
        <v/>
      </c>
      <c r="F1486" t="str">
        <f>IF(Sync!$AH1486="","",IF(LEFT(UPPER(TRIM(Sync!$AH1486)),2)="SL",UPPER(TRIM(Sync!$AH1486)),""))</f>
        <v/>
      </c>
      <c r="G1486" t="str">
        <f>IF($F1486="","",IF(Sync!$AE1486="","",IF(ISNUMBER(Sync!$AE1486),IF(AND(Sync!$AE1486&gt;=10000101,Sync!$AE1486&lt;=99991231),INT(Sync!$AE1486/10000),""),IFERROR(VALUE(TRIM(LEFT(Sync!$AE1486,FIND("/",Sync!$AE1486)-1))),""))))</f>
        <v/>
      </c>
      <c r="H1486" t="str">
        <f>IF(OR($F1486="",$G1486=""),"",IF(ISNUMBER(Sync!$AE1486),INT(MOD(Sync!$AE1486,10000)/100),IFERROR(VALUE(TRIM(LEFT(MID(Sync!$AE1486,FIND("/",Sync!$AE1486)+1,20),FIND("/",MID(Sync!$AE1486,FIND("/",Sync!$AE1486)+1,20))-1))),"")))</f>
        <v/>
      </c>
      <c r="I1486" t="str">
        <f>IF(OR($F1486="",$G1486=""),"",IF(ISNUMBER(Sync!$AE1486),MOD(Sync!$AE1486,100),IFERROR(VALUE(TRIM(MID(MID(Sync!$AE1486,FIND("/",Sync!$AE1486)+1,20),FIND("/",MID(Sync!$AE1486,FIND("/",Sync!$AE1486)+1,20))+1,20))),"")))</f>
        <v/>
      </c>
      <c r="J1486" t="str">
        <f t="shared" si="117"/>
        <v/>
      </c>
      <c r="K1486" t="str">
        <f>IF(OR($F1486="",$J1486="",$J1486="نامعتبر"),"",LEFT($J1486,4)&amp;MID($J1486,6,2)&amp;RIGHT($J1486,2)&amp;$N1486&amp;"|"&amp;"2"&amp;RIGHT("00000"&amp;1481,5))</f>
        <v/>
      </c>
      <c r="L1486" t="str">
        <f t="shared" si="118"/>
        <v/>
      </c>
      <c r="M1486" t="str">
        <f t="shared" si="119"/>
        <v/>
      </c>
      <c r="N1486" t="str">
        <f>IF($F1486="","",IF(Sync!$AF1486="","0000",IF(AND(ISNUMBER(Sync!$AF1486),Sync!$AF1486&gt;=0,Sync!$AF1486&lt;1),RIGHT("00"&amp;HOUR(Sync!$AF1486),2)&amp;RIGHT("00"&amp;MINUTE(Sync!$AF1486),2),IFERROR(RIGHT("00"&amp;VALUE(LEFT(Sync!$AF1486,FIND(":",Sync!$AF1486)-1)),2)&amp;RIGHT("00"&amp;VALUE(MID(Sync!$AF1486,FIND(":",Sync!$AF1486)+1,2)),2),"0000"))))</f>
        <v/>
      </c>
    </row>
    <row r="1487" spans="1:14" x14ac:dyDescent="0.2">
      <c r="A1487" t="str">
        <f>IF(OR(Calc!$E1491="",Calc!$E1491="نامعتبر",Calc!$G1491=""),"",Calc!$G1491)</f>
        <v/>
      </c>
      <c r="B1487" t="str">
        <f>IF($A1487="","",LEFT(Calc!$E1491,4)&amp;MID(Calc!$E1491,6,2)&amp;RIGHT(Calc!$E1491,2)&amp;Calc!$Q1491&amp;"|"&amp;"1"&amp;RIGHT("00000"&amp;1482,5))</f>
        <v/>
      </c>
      <c r="C1487" t="str">
        <f t="shared" si="115"/>
        <v/>
      </c>
      <c r="D1487" t="str">
        <f t="shared" si="116"/>
        <v/>
      </c>
      <c r="F1487" t="str">
        <f>IF(Sync!$AH1487="","",IF(LEFT(UPPER(TRIM(Sync!$AH1487)),2)="SL",UPPER(TRIM(Sync!$AH1487)),""))</f>
        <v/>
      </c>
      <c r="G1487" t="str">
        <f>IF($F1487="","",IF(Sync!$AE1487="","",IF(ISNUMBER(Sync!$AE1487),IF(AND(Sync!$AE1487&gt;=10000101,Sync!$AE1487&lt;=99991231),INT(Sync!$AE1487/10000),""),IFERROR(VALUE(TRIM(LEFT(Sync!$AE1487,FIND("/",Sync!$AE1487)-1))),""))))</f>
        <v/>
      </c>
      <c r="H1487" t="str">
        <f>IF(OR($F1487="",$G1487=""),"",IF(ISNUMBER(Sync!$AE1487),INT(MOD(Sync!$AE1487,10000)/100),IFERROR(VALUE(TRIM(LEFT(MID(Sync!$AE1487,FIND("/",Sync!$AE1487)+1,20),FIND("/",MID(Sync!$AE1487,FIND("/",Sync!$AE1487)+1,20))-1))),"")))</f>
        <v/>
      </c>
      <c r="I1487" t="str">
        <f>IF(OR($F1487="",$G1487=""),"",IF(ISNUMBER(Sync!$AE1487),MOD(Sync!$AE1487,100),IFERROR(VALUE(TRIM(MID(MID(Sync!$AE1487,FIND("/",Sync!$AE1487)+1,20),FIND("/",MID(Sync!$AE1487,FIND("/",Sync!$AE1487)+1,20))+1,20))),"")))</f>
        <v/>
      </c>
      <c r="J1487" t="str">
        <f t="shared" si="117"/>
        <v/>
      </c>
      <c r="K1487" t="str">
        <f>IF(OR($F1487="",$J1487="",$J1487="نامعتبر"),"",LEFT($J1487,4)&amp;MID($J1487,6,2)&amp;RIGHT($J1487,2)&amp;$N1487&amp;"|"&amp;"2"&amp;RIGHT("00000"&amp;1482,5))</f>
        <v/>
      </c>
      <c r="L1487" t="str">
        <f t="shared" si="118"/>
        <v/>
      </c>
      <c r="M1487" t="str">
        <f t="shared" si="119"/>
        <v/>
      </c>
      <c r="N1487" t="str">
        <f>IF($F1487="","",IF(Sync!$AF1487="","0000",IF(AND(ISNUMBER(Sync!$AF1487),Sync!$AF1487&gt;=0,Sync!$AF1487&lt;1),RIGHT("00"&amp;HOUR(Sync!$AF1487),2)&amp;RIGHT("00"&amp;MINUTE(Sync!$AF1487),2),IFERROR(RIGHT("00"&amp;VALUE(LEFT(Sync!$AF1487,FIND(":",Sync!$AF1487)-1)),2)&amp;RIGHT("00"&amp;VALUE(MID(Sync!$AF1487,FIND(":",Sync!$AF1487)+1,2)),2),"0000"))))</f>
        <v/>
      </c>
    </row>
    <row r="1488" spans="1:14" x14ac:dyDescent="0.2">
      <c r="A1488" t="str">
        <f>IF(OR(Calc!$E1492="",Calc!$E1492="نامعتبر",Calc!$G1492=""),"",Calc!$G1492)</f>
        <v/>
      </c>
      <c r="B1488" t="str">
        <f>IF($A1488="","",LEFT(Calc!$E1492,4)&amp;MID(Calc!$E1492,6,2)&amp;RIGHT(Calc!$E1492,2)&amp;Calc!$Q1492&amp;"|"&amp;"1"&amp;RIGHT("00000"&amp;1483,5))</f>
        <v/>
      </c>
      <c r="C1488" t="str">
        <f t="shared" si="115"/>
        <v/>
      </c>
      <c r="D1488" t="str">
        <f t="shared" si="116"/>
        <v/>
      </c>
      <c r="F1488" t="str">
        <f>IF(Sync!$AH1488="","",IF(LEFT(UPPER(TRIM(Sync!$AH1488)),2)="SL",UPPER(TRIM(Sync!$AH1488)),""))</f>
        <v/>
      </c>
      <c r="G1488" t="str">
        <f>IF($F1488="","",IF(Sync!$AE1488="","",IF(ISNUMBER(Sync!$AE1488),IF(AND(Sync!$AE1488&gt;=10000101,Sync!$AE1488&lt;=99991231),INT(Sync!$AE1488/10000),""),IFERROR(VALUE(TRIM(LEFT(Sync!$AE1488,FIND("/",Sync!$AE1488)-1))),""))))</f>
        <v/>
      </c>
      <c r="H1488" t="str">
        <f>IF(OR($F1488="",$G1488=""),"",IF(ISNUMBER(Sync!$AE1488),INT(MOD(Sync!$AE1488,10000)/100),IFERROR(VALUE(TRIM(LEFT(MID(Sync!$AE1488,FIND("/",Sync!$AE1488)+1,20),FIND("/",MID(Sync!$AE1488,FIND("/",Sync!$AE1488)+1,20))-1))),"")))</f>
        <v/>
      </c>
      <c r="I1488" t="str">
        <f>IF(OR($F1488="",$G1488=""),"",IF(ISNUMBER(Sync!$AE1488),MOD(Sync!$AE1488,100),IFERROR(VALUE(TRIM(MID(MID(Sync!$AE1488,FIND("/",Sync!$AE1488)+1,20),FIND("/",MID(Sync!$AE1488,FIND("/",Sync!$AE1488)+1,20))+1,20))),"")))</f>
        <v/>
      </c>
      <c r="J1488" t="str">
        <f t="shared" si="117"/>
        <v/>
      </c>
      <c r="K1488" t="str">
        <f>IF(OR($F1488="",$J1488="",$J1488="نامعتبر"),"",LEFT($J1488,4)&amp;MID($J1488,6,2)&amp;RIGHT($J1488,2)&amp;$N1488&amp;"|"&amp;"2"&amp;RIGHT("00000"&amp;1483,5))</f>
        <v/>
      </c>
      <c r="L1488" t="str">
        <f t="shared" si="118"/>
        <v/>
      </c>
      <c r="M1488" t="str">
        <f t="shared" si="119"/>
        <v/>
      </c>
      <c r="N1488" t="str">
        <f>IF($F1488="","",IF(Sync!$AF1488="","0000",IF(AND(ISNUMBER(Sync!$AF1488),Sync!$AF1488&gt;=0,Sync!$AF1488&lt;1),RIGHT("00"&amp;HOUR(Sync!$AF1488),2)&amp;RIGHT("00"&amp;MINUTE(Sync!$AF1488),2),IFERROR(RIGHT("00"&amp;VALUE(LEFT(Sync!$AF1488,FIND(":",Sync!$AF1488)-1)),2)&amp;RIGHT("00"&amp;VALUE(MID(Sync!$AF1488,FIND(":",Sync!$AF1488)+1,2)),2),"0000"))))</f>
        <v/>
      </c>
    </row>
    <row r="1489" spans="1:14" x14ac:dyDescent="0.2">
      <c r="A1489" t="str">
        <f>IF(OR(Calc!$E1493="",Calc!$E1493="نامعتبر",Calc!$G1493=""),"",Calc!$G1493)</f>
        <v/>
      </c>
      <c r="B1489" t="str">
        <f>IF($A1489="","",LEFT(Calc!$E1493,4)&amp;MID(Calc!$E1493,6,2)&amp;RIGHT(Calc!$E1493,2)&amp;Calc!$Q1493&amp;"|"&amp;"1"&amp;RIGHT("00000"&amp;1484,5))</f>
        <v/>
      </c>
      <c r="C1489" t="str">
        <f t="shared" si="115"/>
        <v/>
      </c>
      <c r="D1489" t="str">
        <f t="shared" si="116"/>
        <v/>
      </c>
      <c r="F1489" t="str">
        <f>IF(Sync!$AH1489="","",IF(LEFT(UPPER(TRIM(Sync!$AH1489)),2)="SL",UPPER(TRIM(Sync!$AH1489)),""))</f>
        <v/>
      </c>
      <c r="G1489" t="str">
        <f>IF($F1489="","",IF(Sync!$AE1489="","",IF(ISNUMBER(Sync!$AE1489),IF(AND(Sync!$AE1489&gt;=10000101,Sync!$AE1489&lt;=99991231),INT(Sync!$AE1489/10000),""),IFERROR(VALUE(TRIM(LEFT(Sync!$AE1489,FIND("/",Sync!$AE1489)-1))),""))))</f>
        <v/>
      </c>
      <c r="H1489" t="str">
        <f>IF(OR($F1489="",$G1489=""),"",IF(ISNUMBER(Sync!$AE1489),INT(MOD(Sync!$AE1489,10000)/100),IFERROR(VALUE(TRIM(LEFT(MID(Sync!$AE1489,FIND("/",Sync!$AE1489)+1,20),FIND("/",MID(Sync!$AE1489,FIND("/",Sync!$AE1489)+1,20))-1))),"")))</f>
        <v/>
      </c>
      <c r="I1489" t="str">
        <f>IF(OR($F1489="",$G1489=""),"",IF(ISNUMBER(Sync!$AE1489),MOD(Sync!$AE1489,100),IFERROR(VALUE(TRIM(MID(MID(Sync!$AE1489,FIND("/",Sync!$AE1489)+1,20),FIND("/",MID(Sync!$AE1489,FIND("/",Sync!$AE1489)+1,20))+1,20))),"")))</f>
        <v/>
      </c>
      <c r="J1489" t="str">
        <f t="shared" si="117"/>
        <v/>
      </c>
      <c r="K1489" t="str">
        <f>IF(OR($F1489="",$J1489="",$J1489="نامعتبر"),"",LEFT($J1489,4)&amp;MID($J1489,6,2)&amp;RIGHT($J1489,2)&amp;$N1489&amp;"|"&amp;"2"&amp;RIGHT("00000"&amp;1484,5))</f>
        <v/>
      </c>
      <c r="L1489" t="str">
        <f t="shared" si="118"/>
        <v/>
      </c>
      <c r="M1489" t="str">
        <f t="shared" si="119"/>
        <v/>
      </c>
      <c r="N1489" t="str">
        <f>IF($F1489="","",IF(Sync!$AF1489="","0000",IF(AND(ISNUMBER(Sync!$AF1489),Sync!$AF1489&gt;=0,Sync!$AF1489&lt;1),RIGHT("00"&amp;HOUR(Sync!$AF1489),2)&amp;RIGHT("00"&amp;MINUTE(Sync!$AF1489),2),IFERROR(RIGHT("00"&amp;VALUE(LEFT(Sync!$AF1489,FIND(":",Sync!$AF1489)-1)),2)&amp;RIGHT("00"&amp;VALUE(MID(Sync!$AF1489,FIND(":",Sync!$AF1489)+1,2)),2),"0000"))))</f>
        <v/>
      </c>
    </row>
    <row r="1490" spans="1:14" x14ac:dyDescent="0.2">
      <c r="A1490" t="str">
        <f>IF(OR(Calc!$E1494="",Calc!$E1494="نامعتبر",Calc!$G1494=""),"",Calc!$G1494)</f>
        <v/>
      </c>
      <c r="B1490" t="str">
        <f>IF($A1490="","",LEFT(Calc!$E1494,4)&amp;MID(Calc!$E1494,6,2)&amp;RIGHT(Calc!$E1494,2)&amp;Calc!$Q1494&amp;"|"&amp;"1"&amp;RIGHT("00000"&amp;1485,5))</f>
        <v/>
      </c>
      <c r="C1490" t="str">
        <f t="shared" si="115"/>
        <v/>
      </c>
      <c r="D1490" t="str">
        <f t="shared" si="116"/>
        <v/>
      </c>
      <c r="F1490" t="str">
        <f>IF(Sync!$AH1490="","",IF(LEFT(UPPER(TRIM(Sync!$AH1490)),2)="SL",UPPER(TRIM(Sync!$AH1490)),""))</f>
        <v/>
      </c>
      <c r="G1490" t="str">
        <f>IF($F1490="","",IF(Sync!$AE1490="","",IF(ISNUMBER(Sync!$AE1490),IF(AND(Sync!$AE1490&gt;=10000101,Sync!$AE1490&lt;=99991231),INT(Sync!$AE1490/10000),""),IFERROR(VALUE(TRIM(LEFT(Sync!$AE1490,FIND("/",Sync!$AE1490)-1))),""))))</f>
        <v/>
      </c>
      <c r="H1490" t="str">
        <f>IF(OR($F1490="",$G1490=""),"",IF(ISNUMBER(Sync!$AE1490),INT(MOD(Sync!$AE1490,10000)/100),IFERROR(VALUE(TRIM(LEFT(MID(Sync!$AE1490,FIND("/",Sync!$AE1490)+1,20),FIND("/",MID(Sync!$AE1490,FIND("/",Sync!$AE1490)+1,20))-1))),"")))</f>
        <v/>
      </c>
      <c r="I1490" t="str">
        <f>IF(OR($F1490="",$G1490=""),"",IF(ISNUMBER(Sync!$AE1490),MOD(Sync!$AE1490,100),IFERROR(VALUE(TRIM(MID(MID(Sync!$AE1490,FIND("/",Sync!$AE1490)+1,20),FIND("/",MID(Sync!$AE1490,FIND("/",Sync!$AE1490)+1,20))+1,20))),"")))</f>
        <v/>
      </c>
      <c r="J1490" t="str">
        <f t="shared" si="117"/>
        <v/>
      </c>
      <c r="K1490" t="str">
        <f>IF(OR($F1490="",$J1490="",$J1490="نامعتبر"),"",LEFT($J1490,4)&amp;MID($J1490,6,2)&amp;RIGHT($J1490,2)&amp;$N1490&amp;"|"&amp;"2"&amp;RIGHT("00000"&amp;1485,5))</f>
        <v/>
      </c>
      <c r="L1490" t="str">
        <f t="shared" si="118"/>
        <v/>
      </c>
      <c r="M1490" t="str">
        <f t="shared" si="119"/>
        <v/>
      </c>
      <c r="N1490" t="str">
        <f>IF($F1490="","",IF(Sync!$AF1490="","0000",IF(AND(ISNUMBER(Sync!$AF1490),Sync!$AF1490&gt;=0,Sync!$AF1490&lt;1),RIGHT("00"&amp;HOUR(Sync!$AF1490),2)&amp;RIGHT("00"&amp;MINUTE(Sync!$AF1490),2),IFERROR(RIGHT("00"&amp;VALUE(LEFT(Sync!$AF1490,FIND(":",Sync!$AF1490)-1)),2)&amp;RIGHT("00"&amp;VALUE(MID(Sync!$AF1490,FIND(":",Sync!$AF1490)+1,2)),2),"0000"))))</f>
        <v/>
      </c>
    </row>
    <row r="1491" spans="1:14" x14ac:dyDescent="0.2">
      <c r="A1491" t="str">
        <f>IF(OR(Calc!$E1495="",Calc!$E1495="نامعتبر",Calc!$G1495=""),"",Calc!$G1495)</f>
        <v/>
      </c>
      <c r="B1491" t="str">
        <f>IF($A1491="","",LEFT(Calc!$E1495,4)&amp;MID(Calc!$E1495,6,2)&amp;RIGHT(Calc!$E1495,2)&amp;Calc!$Q1495&amp;"|"&amp;"1"&amp;RIGHT("00000"&amp;1486,5))</f>
        <v/>
      </c>
      <c r="C1491" t="str">
        <f t="shared" si="115"/>
        <v/>
      </c>
      <c r="D1491" t="str">
        <f t="shared" si="116"/>
        <v/>
      </c>
      <c r="F1491" t="str">
        <f>IF(Sync!$AH1491="","",IF(LEFT(UPPER(TRIM(Sync!$AH1491)),2)="SL",UPPER(TRIM(Sync!$AH1491)),""))</f>
        <v/>
      </c>
      <c r="G1491" t="str">
        <f>IF($F1491="","",IF(Sync!$AE1491="","",IF(ISNUMBER(Sync!$AE1491),IF(AND(Sync!$AE1491&gt;=10000101,Sync!$AE1491&lt;=99991231),INT(Sync!$AE1491/10000),""),IFERROR(VALUE(TRIM(LEFT(Sync!$AE1491,FIND("/",Sync!$AE1491)-1))),""))))</f>
        <v/>
      </c>
      <c r="H1491" t="str">
        <f>IF(OR($F1491="",$G1491=""),"",IF(ISNUMBER(Sync!$AE1491),INT(MOD(Sync!$AE1491,10000)/100),IFERROR(VALUE(TRIM(LEFT(MID(Sync!$AE1491,FIND("/",Sync!$AE1491)+1,20),FIND("/",MID(Sync!$AE1491,FIND("/",Sync!$AE1491)+1,20))-1))),"")))</f>
        <v/>
      </c>
      <c r="I1491" t="str">
        <f>IF(OR($F1491="",$G1491=""),"",IF(ISNUMBER(Sync!$AE1491),MOD(Sync!$AE1491,100),IFERROR(VALUE(TRIM(MID(MID(Sync!$AE1491,FIND("/",Sync!$AE1491)+1,20),FIND("/",MID(Sync!$AE1491,FIND("/",Sync!$AE1491)+1,20))+1,20))),"")))</f>
        <v/>
      </c>
      <c r="J1491" t="str">
        <f t="shared" si="117"/>
        <v/>
      </c>
      <c r="K1491" t="str">
        <f>IF(OR($F1491="",$J1491="",$J1491="نامعتبر"),"",LEFT($J1491,4)&amp;MID($J1491,6,2)&amp;RIGHT($J1491,2)&amp;$N1491&amp;"|"&amp;"2"&amp;RIGHT("00000"&amp;1486,5))</f>
        <v/>
      </c>
      <c r="L1491" t="str">
        <f t="shared" si="118"/>
        <v/>
      </c>
      <c r="M1491" t="str">
        <f t="shared" si="119"/>
        <v/>
      </c>
      <c r="N1491" t="str">
        <f>IF($F1491="","",IF(Sync!$AF1491="","0000",IF(AND(ISNUMBER(Sync!$AF1491),Sync!$AF1491&gt;=0,Sync!$AF1491&lt;1),RIGHT("00"&amp;HOUR(Sync!$AF1491),2)&amp;RIGHT("00"&amp;MINUTE(Sync!$AF1491),2),IFERROR(RIGHT("00"&amp;VALUE(LEFT(Sync!$AF1491,FIND(":",Sync!$AF1491)-1)),2)&amp;RIGHT("00"&amp;VALUE(MID(Sync!$AF1491,FIND(":",Sync!$AF1491)+1,2)),2),"0000"))))</f>
        <v/>
      </c>
    </row>
    <row r="1492" spans="1:14" x14ac:dyDescent="0.2">
      <c r="A1492" t="str">
        <f>IF(OR(Calc!$E1496="",Calc!$E1496="نامعتبر",Calc!$G1496=""),"",Calc!$G1496)</f>
        <v/>
      </c>
      <c r="B1492" t="str">
        <f>IF($A1492="","",LEFT(Calc!$E1496,4)&amp;MID(Calc!$E1496,6,2)&amp;RIGHT(Calc!$E1496,2)&amp;Calc!$Q1496&amp;"|"&amp;"1"&amp;RIGHT("00000"&amp;1487,5))</f>
        <v/>
      </c>
      <c r="C1492" t="str">
        <f t="shared" si="115"/>
        <v/>
      </c>
      <c r="D1492" t="str">
        <f t="shared" si="116"/>
        <v/>
      </c>
      <c r="F1492" t="str">
        <f>IF(Sync!$AH1492="","",IF(LEFT(UPPER(TRIM(Sync!$AH1492)),2)="SL",UPPER(TRIM(Sync!$AH1492)),""))</f>
        <v/>
      </c>
      <c r="G1492" t="str">
        <f>IF($F1492="","",IF(Sync!$AE1492="","",IF(ISNUMBER(Sync!$AE1492),IF(AND(Sync!$AE1492&gt;=10000101,Sync!$AE1492&lt;=99991231),INT(Sync!$AE1492/10000),""),IFERROR(VALUE(TRIM(LEFT(Sync!$AE1492,FIND("/",Sync!$AE1492)-1))),""))))</f>
        <v/>
      </c>
      <c r="H1492" t="str">
        <f>IF(OR($F1492="",$G1492=""),"",IF(ISNUMBER(Sync!$AE1492),INT(MOD(Sync!$AE1492,10000)/100),IFERROR(VALUE(TRIM(LEFT(MID(Sync!$AE1492,FIND("/",Sync!$AE1492)+1,20),FIND("/",MID(Sync!$AE1492,FIND("/",Sync!$AE1492)+1,20))-1))),"")))</f>
        <v/>
      </c>
      <c r="I1492" t="str">
        <f>IF(OR($F1492="",$G1492=""),"",IF(ISNUMBER(Sync!$AE1492),MOD(Sync!$AE1492,100),IFERROR(VALUE(TRIM(MID(MID(Sync!$AE1492,FIND("/",Sync!$AE1492)+1,20),FIND("/",MID(Sync!$AE1492,FIND("/",Sync!$AE1492)+1,20))+1,20))),"")))</f>
        <v/>
      </c>
      <c r="J1492" t="str">
        <f t="shared" si="117"/>
        <v/>
      </c>
      <c r="K1492" t="str">
        <f>IF(OR($F1492="",$J1492="",$J1492="نامعتبر"),"",LEFT($J1492,4)&amp;MID($J1492,6,2)&amp;RIGHT($J1492,2)&amp;$N1492&amp;"|"&amp;"2"&amp;RIGHT("00000"&amp;1487,5))</f>
        <v/>
      </c>
      <c r="L1492" t="str">
        <f t="shared" si="118"/>
        <v/>
      </c>
      <c r="M1492" t="str">
        <f t="shared" si="119"/>
        <v/>
      </c>
      <c r="N1492" t="str">
        <f>IF($F1492="","",IF(Sync!$AF1492="","0000",IF(AND(ISNUMBER(Sync!$AF1492),Sync!$AF1492&gt;=0,Sync!$AF1492&lt;1),RIGHT("00"&amp;HOUR(Sync!$AF1492),2)&amp;RIGHT("00"&amp;MINUTE(Sync!$AF1492),2),IFERROR(RIGHT("00"&amp;VALUE(LEFT(Sync!$AF1492,FIND(":",Sync!$AF1492)-1)),2)&amp;RIGHT("00"&amp;VALUE(MID(Sync!$AF1492,FIND(":",Sync!$AF1492)+1,2)),2),"0000"))))</f>
        <v/>
      </c>
    </row>
    <row r="1493" spans="1:14" x14ac:dyDescent="0.2">
      <c r="A1493" t="str">
        <f>IF(OR(Calc!$E1497="",Calc!$E1497="نامعتبر",Calc!$G1497=""),"",Calc!$G1497)</f>
        <v/>
      </c>
      <c r="B1493" t="str">
        <f>IF($A1493="","",LEFT(Calc!$E1497,4)&amp;MID(Calc!$E1497,6,2)&amp;RIGHT(Calc!$E1497,2)&amp;Calc!$Q1497&amp;"|"&amp;"1"&amp;RIGHT("00000"&amp;1488,5))</f>
        <v/>
      </c>
      <c r="C1493" t="str">
        <f t="shared" si="115"/>
        <v/>
      </c>
      <c r="D1493" t="str">
        <f t="shared" si="116"/>
        <v/>
      </c>
      <c r="F1493" t="str">
        <f>IF(Sync!$AH1493="","",IF(LEFT(UPPER(TRIM(Sync!$AH1493)),2)="SL",UPPER(TRIM(Sync!$AH1493)),""))</f>
        <v/>
      </c>
      <c r="G1493" t="str">
        <f>IF($F1493="","",IF(Sync!$AE1493="","",IF(ISNUMBER(Sync!$AE1493),IF(AND(Sync!$AE1493&gt;=10000101,Sync!$AE1493&lt;=99991231),INT(Sync!$AE1493/10000),""),IFERROR(VALUE(TRIM(LEFT(Sync!$AE1493,FIND("/",Sync!$AE1493)-1))),""))))</f>
        <v/>
      </c>
      <c r="H1493" t="str">
        <f>IF(OR($F1493="",$G1493=""),"",IF(ISNUMBER(Sync!$AE1493),INT(MOD(Sync!$AE1493,10000)/100),IFERROR(VALUE(TRIM(LEFT(MID(Sync!$AE1493,FIND("/",Sync!$AE1493)+1,20),FIND("/",MID(Sync!$AE1493,FIND("/",Sync!$AE1493)+1,20))-1))),"")))</f>
        <v/>
      </c>
      <c r="I1493" t="str">
        <f>IF(OR($F1493="",$G1493=""),"",IF(ISNUMBER(Sync!$AE1493),MOD(Sync!$AE1493,100),IFERROR(VALUE(TRIM(MID(MID(Sync!$AE1493,FIND("/",Sync!$AE1493)+1,20),FIND("/",MID(Sync!$AE1493,FIND("/",Sync!$AE1493)+1,20))+1,20))),"")))</f>
        <v/>
      </c>
      <c r="J1493" t="str">
        <f t="shared" si="117"/>
        <v/>
      </c>
      <c r="K1493" t="str">
        <f>IF(OR($F1493="",$J1493="",$J1493="نامعتبر"),"",LEFT($J1493,4)&amp;MID($J1493,6,2)&amp;RIGHT($J1493,2)&amp;$N1493&amp;"|"&amp;"2"&amp;RIGHT("00000"&amp;1488,5))</f>
        <v/>
      </c>
      <c r="L1493" t="str">
        <f t="shared" si="118"/>
        <v/>
      </c>
      <c r="M1493" t="str">
        <f t="shared" si="119"/>
        <v/>
      </c>
      <c r="N1493" t="str">
        <f>IF($F1493="","",IF(Sync!$AF1493="","0000",IF(AND(ISNUMBER(Sync!$AF1493),Sync!$AF1493&gt;=0,Sync!$AF1493&lt;1),RIGHT("00"&amp;HOUR(Sync!$AF1493),2)&amp;RIGHT("00"&amp;MINUTE(Sync!$AF1493),2),IFERROR(RIGHT("00"&amp;VALUE(LEFT(Sync!$AF1493,FIND(":",Sync!$AF1493)-1)),2)&amp;RIGHT("00"&amp;VALUE(MID(Sync!$AF1493,FIND(":",Sync!$AF1493)+1,2)),2),"0000"))))</f>
        <v/>
      </c>
    </row>
    <row r="1494" spans="1:14" x14ac:dyDescent="0.2">
      <c r="A1494" t="str">
        <f>IF(OR(Calc!$E1498="",Calc!$E1498="نامعتبر",Calc!$G1498=""),"",Calc!$G1498)</f>
        <v/>
      </c>
      <c r="B1494" t="str">
        <f>IF($A1494="","",LEFT(Calc!$E1498,4)&amp;MID(Calc!$E1498,6,2)&amp;RIGHT(Calc!$E1498,2)&amp;Calc!$Q1498&amp;"|"&amp;"1"&amp;RIGHT("00000"&amp;1489,5))</f>
        <v/>
      </c>
      <c r="C1494" t="str">
        <f t="shared" si="115"/>
        <v/>
      </c>
      <c r="D1494" t="str">
        <f t="shared" si="116"/>
        <v/>
      </c>
      <c r="F1494" t="str">
        <f>IF(Sync!$AH1494="","",IF(LEFT(UPPER(TRIM(Sync!$AH1494)),2)="SL",UPPER(TRIM(Sync!$AH1494)),""))</f>
        <v/>
      </c>
      <c r="G1494" t="str">
        <f>IF($F1494="","",IF(Sync!$AE1494="","",IF(ISNUMBER(Sync!$AE1494),IF(AND(Sync!$AE1494&gt;=10000101,Sync!$AE1494&lt;=99991231),INT(Sync!$AE1494/10000),""),IFERROR(VALUE(TRIM(LEFT(Sync!$AE1494,FIND("/",Sync!$AE1494)-1))),""))))</f>
        <v/>
      </c>
      <c r="H1494" t="str">
        <f>IF(OR($F1494="",$G1494=""),"",IF(ISNUMBER(Sync!$AE1494),INT(MOD(Sync!$AE1494,10000)/100),IFERROR(VALUE(TRIM(LEFT(MID(Sync!$AE1494,FIND("/",Sync!$AE1494)+1,20),FIND("/",MID(Sync!$AE1494,FIND("/",Sync!$AE1494)+1,20))-1))),"")))</f>
        <v/>
      </c>
      <c r="I1494" t="str">
        <f>IF(OR($F1494="",$G1494=""),"",IF(ISNUMBER(Sync!$AE1494),MOD(Sync!$AE1494,100),IFERROR(VALUE(TRIM(MID(MID(Sync!$AE1494,FIND("/",Sync!$AE1494)+1,20),FIND("/",MID(Sync!$AE1494,FIND("/",Sync!$AE1494)+1,20))+1,20))),"")))</f>
        <v/>
      </c>
      <c r="J1494" t="str">
        <f t="shared" si="117"/>
        <v/>
      </c>
      <c r="K1494" t="str">
        <f>IF(OR($F1494="",$J1494="",$J1494="نامعتبر"),"",LEFT($J1494,4)&amp;MID($J1494,6,2)&amp;RIGHT($J1494,2)&amp;$N1494&amp;"|"&amp;"2"&amp;RIGHT("00000"&amp;1489,5))</f>
        <v/>
      </c>
      <c r="L1494" t="str">
        <f t="shared" si="118"/>
        <v/>
      </c>
      <c r="M1494" t="str">
        <f t="shared" si="119"/>
        <v/>
      </c>
      <c r="N1494" t="str">
        <f>IF($F1494="","",IF(Sync!$AF1494="","0000",IF(AND(ISNUMBER(Sync!$AF1494),Sync!$AF1494&gt;=0,Sync!$AF1494&lt;1),RIGHT("00"&amp;HOUR(Sync!$AF1494),2)&amp;RIGHT("00"&amp;MINUTE(Sync!$AF1494),2),IFERROR(RIGHT("00"&amp;VALUE(LEFT(Sync!$AF1494,FIND(":",Sync!$AF1494)-1)),2)&amp;RIGHT("00"&amp;VALUE(MID(Sync!$AF1494,FIND(":",Sync!$AF1494)+1,2)),2),"0000"))))</f>
        <v/>
      </c>
    </row>
    <row r="1495" spans="1:14" x14ac:dyDescent="0.2">
      <c r="A1495" t="str">
        <f>IF(OR(Calc!$E1499="",Calc!$E1499="نامعتبر",Calc!$G1499=""),"",Calc!$G1499)</f>
        <v/>
      </c>
      <c r="B1495" t="str">
        <f>IF($A1495="","",LEFT(Calc!$E1499,4)&amp;MID(Calc!$E1499,6,2)&amp;RIGHT(Calc!$E1499,2)&amp;Calc!$Q1499&amp;"|"&amp;"1"&amp;RIGHT("00000"&amp;1490,5))</f>
        <v/>
      </c>
      <c r="C1495" t="str">
        <f t="shared" si="115"/>
        <v/>
      </c>
      <c r="D1495" t="str">
        <f t="shared" si="116"/>
        <v/>
      </c>
      <c r="F1495" t="str">
        <f>IF(Sync!$AH1495="","",IF(LEFT(UPPER(TRIM(Sync!$AH1495)),2)="SL",UPPER(TRIM(Sync!$AH1495)),""))</f>
        <v/>
      </c>
      <c r="G1495" t="str">
        <f>IF($F1495="","",IF(Sync!$AE1495="","",IF(ISNUMBER(Sync!$AE1495),IF(AND(Sync!$AE1495&gt;=10000101,Sync!$AE1495&lt;=99991231),INT(Sync!$AE1495/10000),""),IFERROR(VALUE(TRIM(LEFT(Sync!$AE1495,FIND("/",Sync!$AE1495)-1))),""))))</f>
        <v/>
      </c>
      <c r="H1495" t="str">
        <f>IF(OR($F1495="",$G1495=""),"",IF(ISNUMBER(Sync!$AE1495),INT(MOD(Sync!$AE1495,10000)/100),IFERROR(VALUE(TRIM(LEFT(MID(Sync!$AE1495,FIND("/",Sync!$AE1495)+1,20),FIND("/",MID(Sync!$AE1495,FIND("/",Sync!$AE1495)+1,20))-1))),"")))</f>
        <v/>
      </c>
      <c r="I1495" t="str">
        <f>IF(OR($F1495="",$G1495=""),"",IF(ISNUMBER(Sync!$AE1495),MOD(Sync!$AE1495,100),IFERROR(VALUE(TRIM(MID(MID(Sync!$AE1495,FIND("/",Sync!$AE1495)+1,20),FIND("/",MID(Sync!$AE1495,FIND("/",Sync!$AE1495)+1,20))+1,20))),"")))</f>
        <v/>
      </c>
      <c r="J1495" t="str">
        <f t="shared" si="117"/>
        <v/>
      </c>
      <c r="K1495" t="str">
        <f>IF(OR($F1495="",$J1495="",$J1495="نامعتبر"),"",LEFT($J1495,4)&amp;MID($J1495,6,2)&amp;RIGHT($J1495,2)&amp;$N1495&amp;"|"&amp;"2"&amp;RIGHT("00000"&amp;1490,5))</f>
        <v/>
      </c>
      <c r="L1495" t="str">
        <f t="shared" si="118"/>
        <v/>
      </c>
      <c r="M1495" t="str">
        <f t="shared" si="119"/>
        <v/>
      </c>
      <c r="N1495" t="str">
        <f>IF($F1495="","",IF(Sync!$AF1495="","0000",IF(AND(ISNUMBER(Sync!$AF1495),Sync!$AF1495&gt;=0,Sync!$AF1495&lt;1),RIGHT("00"&amp;HOUR(Sync!$AF1495),2)&amp;RIGHT("00"&amp;MINUTE(Sync!$AF1495),2),IFERROR(RIGHT("00"&amp;VALUE(LEFT(Sync!$AF1495,FIND(":",Sync!$AF1495)-1)),2)&amp;RIGHT("00"&amp;VALUE(MID(Sync!$AF1495,FIND(":",Sync!$AF1495)+1,2)),2),"0000"))))</f>
        <v/>
      </c>
    </row>
    <row r="1496" spans="1:14" x14ac:dyDescent="0.2">
      <c r="A1496" t="str">
        <f>IF(OR(Calc!$E1500="",Calc!$E1500="نامعتبر",Calc!$G1500=""),"",Calc!$G1500)</f>
        <v/>
      </c>
      <c r="B1496" t="str">
        <f>IF($A1496="","",LEFT(Calc!$E1500,4)&amp;MID(Calc!$E1500,6,2)&amp;RIGHT(Calc!$E1500,2)&amp;Calc!$Q1500&amp;"|"&amp;"1"&amp;RIGHT("00000"&amp;1491,5))</f>
        <v/>
      </c>
      <c r="C1496" t="str">
        <f t="shared" si="115"/>
        <v/>
      </c>
      <c r="D1496" t="str">
        <f t="shared" si="116"/>
        <v/>
      </c>
      <c r="F1496" t="str">
        <f>IF(Sync!$AH1496="","",IF(LEFT(UPPER(TRIM(Sync!$AH1496)),2)="SL",UPPER(TRIM(Sync!$AH1496)),""))</f>
        <v/>
      </c>
      <c r="G1496" t="str">
        <f>IF($F1496="","",IF(Sync!$AE1496="","",IF(ISNUMBER(Sync!$AE1496),IF(AND(Sync!$AE1496&gt;=10000101,Sync!$AE1496&lt;=99991231),INT(Sync!$AE1496/10000),""),IFERROR(VALUE(TRIM(LEFT(Sync!$AE1496,FIND("/",Sync!$AE1496)-1))),""))))</f>
        <v/>
      </c>
      <c r="H1496" t="str">
        <f>IF(OR($F1496="",$G1496=""),"",IF(ISNUMBER(Sync!$AE1496),INT(MOD(Sync!$AE1496,10000)/100),IFERROR(VALUE(TRIM(LEFT(MID(Sync!$AE1496,FIND("/",Sync!$AE1496)+1,20),FIND("/",MID(Sync!$AE1496,FIND("/",Sync!$AE1496)+1,20))-1))),"")))</f>
        <v/>
      </c>
      <c r="I1496" t="str">
        <f>IF(OR($F1496="",$G1496=""),"",IF(ISNUMBER(Sync!$AE1496),MOD(Sync!$AE1496,100),IFERROR(VALUE(TRIM(MID(MID(Sync!$AE1496,FIND("/",Sync!$AE1496)+1,20),FIND("/",MID(Sync!$AE1496,FIND("/",Sync!$AE1496)+1,20))+1,20))),"")))</f>
        <v/>
      </c>
      <c r="J1496" t="str">
        <f t="shared" si="117"/>
        <v/>
      </c>
      <c r="K1496" t="str">
        <f>IF(OR($F1496="",$J1496="",$J1496="نامعتبر"),"",LEFT($J1496,4)&amp;MID($J1496,6,2)&amp;RIGHT($J1496,2)&amp;$N1496&amp;"|"&amp;"2"&amp;RIGHT("00000"&amp;1491,5))</f>
        <v/>
      </c>
      <c r="L1496" t="str">
        <f t="shared" si="118"/>
        <v/>
      </c>
      <c r="M1496" t="str">
        <f t="shared" si="119"/>
        <v/>
      </c>
      <c r="N1496" t="str">
        <f>IF($F1496="","",IF(Sync!$AF1496="","0000",IF(AND(ISNUMBER(Sync!$AF1496),Sync!$AF1496&gt;=0,Sync!$AF1496&lt;1),RIGHT("00"&amp;HOUR(Sync!$AF1496),2)&amp;RIGHT("00"&amp;MINUTE(Sync!$AF1496),2),IFERROR(RIGHT("00"&amp;VALUE(LEFT(Sync!$AF1496,FIND(":",Sync!$AF1496)-1)),2)&amp;RIGHT("00"&amp;VALUE(MID(Sync!$AF1496,FIND(":",Sync!$AF1496)+1,2)),2),"0000"))))</f>
        <v/>
      </c>
    </row>
    <row r="1497" spans="1:14" x14ac:dyDescent="0.2">
      <c r="A1497" t="str">
        <f>IF(OR(Calc!$E1501="",Calc!$E1501="نامعتبر",Calc!$G1501=""),"",Calc!$G1501)</f>
        <v/>
      </c>
      <c r="B1497" t="str">
        <f>IF($A1497="","",LEFT(Calc!$E1501,4)&amp;MID(Calc!$E1501,6,2)&amp;RIGHT(Calc!$E1501,2)&amp;Calc!$Q1501&amp;"|"&amp;"1"&amp;RIGHT("00000"&amp;1492,5))</f>
        <v/>
      </c>
      <c r="C1497" t="str">
        <f t="shared" si="115"/>
        <v/>
      </c>
      <c r="D1497" t="str">
        <f t="shared" si="116"/>
        <v/>
      </c>
      <c r="F1497" t="str">
        <f>IF(Sync!$AH1497="","",IF(LEFT(UPPER(TRIM(Sync!$AH1497)),2)="SL",UPPER(TRIM(Sync!$AH1497)),""))</f>
        <v/>
      </c>
      <c r="G1497" t="str">
        <f>IF($F1497="","",IF(Sync!$AE1497="","",IF(ISNUMBER(Sync!$AE1497),IF(AND(Sync!$AE1497&gt;=10000101,Sync!$AE1497&lt;=99991231),INT(Sync!$AE1497/10000),""),IFERROR(VALUE(TRIM(LEFT(Sync!$AE1497,FIND("/",Sync!$AE1497)-1))),""))))</f>
        <v/>
      </c>
      <c r="H1497" t="str">
        <f>IF(OR($F1497="",$G1497=""),"",IF(ISNUMBER(Sync!$AE1497),INT(MOD(Sync!$AE1497,10000)/100),IFERROR(VALUE(TRIM(LEFT(MID(Sync!$AE1497,FIND("/",Sync!$AE1497)+1,20),FIND("/",MID(Sync!$AE1497,FIND("/",Sync!$AE1497)+1,20))-1))),"")))</f>
        <v/>
      </c>
      <c r="I1497" t="str">
        <f>IF(OR($F1497="",$G1497=""),"",IF(ISNUMBER(Sync!$AE1497),MOD(Sync!$AE1497,100),IFERROR(VALUE(TRIM(MID(MID(Sync!$AE1497,FIND("/",Sync!$AE1497)+1,20),FIND("/",MID(Sync!$AE1497,FIND("/",Sync!$AE1497)+1,20))+1,20))),"")))</f>
        <v/>
      </c>
      <c r="J1497" t="str">
        <f t="shared" si="117"/>
        <v/>
      </c>
      <c r="K1497" t="str">
        <f>IF(OR($F1497="",$J1497="",$J1497="نامعتبر"),"",LEFT($J1497,4)&amp;MID($J1497,6,2)&amp;RIGHT($J1497,2)&amp;$N1497&amp;"|"&amp;"2"&amp;RIGHT("00000"&amp;1492,5))</f>
        <v/>
      </c>
      <c r="L1497" t="str">
        <f t="shared" si="118"/>
        <v/>
      </c>
      <c r="M1497" t="str">
        <f t="shared" si="119"/>
        <v/>
      </c>
      <c r="N1497" t="str">
        <f>IF($F1497="","",IF(Sync!$AF1497="","0000",IF(AND(ISNUMBER(Sync!$AF1497),Sync!$AF1497&gt;=0,Sync!$AF1497&lt;1),RIGHT("00"&amp;HOUR(Sync!$AF1497),2)&amp;RIGHT("00"&amp;MINUTE(Sync!$AF1497),2),IFERROR(RIGHT("00"&amp;VALUE(LEFT(Sync!$AF1497,FIND(":",Sync!$AF1497)-1)),2)&amp;RIGHT("00"&amp;VALUE(MID(Sync!$AF1497,FIND(":",Sync!$AF1497)+1,2)),2),"0000"))))</f>
        <v/>
      </c>
    </row>
    <row r="1498" spans="1:14" x14ac:dyDescent="0.2">
      <c r="A1498" t="str">
        <f>IF(OR(Calc!$E1502="",Calc!$E1502="نامعتبر",Calc!$G1502=""),"",Calc!$G1502)</f>
        <v/>
      </c>
      <c r="B1498" t="str">
        <f>IF($A1498="","",LEFT(Calc!$E1502,4)&amp;MID(Calc!$E1502,6,2)&amp;RIGHT(Calc!$E1502,2)&amp;Calc!$Q1502&amp;"|"&amp;"1"&amp;RIGHT("00000"&amp;1493,5))</f>
        <v/>
      </c>
      <c r="C1498" t="str">
        <f t="shared" si="115"/>
        <v/>
      </c>
      <c r="D1498" t="str">
        <f t="shared" si="116"/>
        <v/>
      </c>
      <c r="F1498" t="str">
        <f>IF(Sync!$AH1498="","",IF(LEFT(UPPER(TRIM(Sync!$AH1498)),2)="SL",UPPER(TRIM(Sync!$AH1498)),""))</f>
        <v/>
      </c>
      <c r="G1498" t="str">
        <f>IF($F1498="","",IF(Sync!$AE1498="","",IF(ISNUMBER(Sync!$AE1498),IF(AND(Sync!$AE1498&gt;=10000101,Sync!$AE1498&lt;=99991231),INT(Sync!$AE1498/10000),""),IFERROR(VALUE(TRIM(LEFT(Sync!$AE1498,FIND("/",Sync!$AE1498)-1))),""))))</f>
        <v/>
      </c>
      <c r="H1498" t="str">
        <f>IF(OR($F1498="",$G1498=""),"",IF(ISNUMBER(Sync!$AE1498),INT(MOD(Sync!$AE1498,10000)/100),IFERROR(VALUE(TRIM(LEFT(MID(Sync!$AE1498,FIND("/",Sync!$AE1498)+1,20),FIND("/",MID(Sync!$AE1498,FIND("/",Sync!$AE1498)+1,20))-1))),"")))</f>
        <v/>
      </c>
      <c r="I1498" t="str">
        <f>IF(OR($F1498="",$G1498=""),"",IF(ISNUMBER(Sync!$AE1498),MOD(Sync!$AE1498,100),IFERROR(VALUE(TRIM(MID(MID(Sync!$AE1498,FIND("/",Sync!$AE1498)+1,20),FIND("/",MID(Sync!$AE1498,FIND("/",Sync!$AE1498)+1,20))+1,20))),"")))</f>
        <v/>
      </c>
      <c r="J1498" t="str">
        <f t="shared" si="117"/>
        <v/>
      </c>
      <c r="K1498" t="str">
        <f>IF(OR($F1498="",$J1498="",$J1498="نامعتبر"),"",LEFT($J1498,4)&amp;MID($J1498,6,2)&amp;RIGHT($J1498,2)&amp;$N1498&amp;"|"&amp;"2"&amp;RIGHT("00000"&amp;1493,5))</f>
        <v/>
      </c>
      <c r="L1498" t="str">
        <f t="shared" si="118"/>
        <v/>
      </c>
      <c r="M1498" t="str">
        <f t="shared" si="119"/>
        <v/>
      </c>
      <c r="N1498" t="str">
        <f>IF($F1498="","",IF(Sync!$AF1498="","0000",IF(AND(ISNUMBER(Sync!$AF1498),Sync!$AF1498&gt;=0,Sync!$AF1498&lt;1),RIGHT("00"&amp;HOUR(Sync!$AF1498),2)&amp;RIGHT("00"&amp;MINUTE(Sync!$AF1498),2),IFERROR(RIGHT("00"&amp;VALUE(LEFT(Sync!$AF1498,FIND(":",Sync!$AF1498)-1)),2)&amp;RIGHT("00"&amp;VALUE(MID(Sync!$AF1498,FIND(":",Sync!$AF1498)+1,2)),2),"0000"))))</f>
        <v/>
      </c>
    </row>
    <row r="1499" spans="1:14" x14ac:dyDescent="0.2">
      <c r="A1499" t="str">
        <f>IF(OR(Calc!$E1503="",Calc!$E1503="نامعتبر",Calc!$G1503=""),"",Calc!$G1503)</f>
        <v/>
      </c>
      <c r="B1499" t="str">
        <f>IF($A1499="","",LEFT(Calc!$E1503,4)&amp;MID(Calc!$E1503,6,2)&amp;RIGHT(Calc!$E1503,2)&amp;Calc!$Q1503&amp;"|"&amp;"1"&amp;RIGHT("00000"&amp;1494,5))</f>
        <v/>
      </c>
      <c r="C1499" t="str">
        <f t="shared" si="115"/>
        <v/>
      </c>
      <c r="D1499" t="str">
        <f t="shared" si="116"/>
        <v/>
      </c>
      <c r="F1499" t="str">
        <f>IF(Sync!$AH1499="","",IF(LEFT(UPPER(TRIM(Sync!$AH1499)),2)="SL",UPPER(TRIM(Sync!$AH1499)),""))</f>
        <v/>
      </c>
      <c r="G1499" t="str">
        <f>IF($F1499="","",IF(Sync!$AE1499="","",IF(ISNUMBER(Sync!$AE1499),IF(AND(Sync!$AE1499&gt;=10000101,Sync!$AE1499&lt;=99991231),INT(Sync!$AE1499/10000),""),IFERROR(VALUE(TRIM(LEFT(Sync!$AE1499,FIND("/",Sync!$AE1499)-1))),""))))</f>
        <v/>
      </c>
      <c r="H1499" t="str">
        <f>IF(OR($F1499="",$G1499=""),"",IF(ISNUMBER(Sync!$AE1499),INT(MOD(Sync!$AE1499,10000)/100),IFERROR(VALUE(TRIM(LEFT(MID(Sync!$AE1499,FIND("/",Sync!$AE1499)+1,20),FIND("/",MID(Sync!$AE1499,FIND("/",Sync!$AE1499)+1,20))-1))),"")))</f>
        <v/>
      </c>
      <c r="I1499" t="str">
        <f>IF(OR($F1499="",$G1499=""),"",IF(ISNUMBER(Sync!$AE1499),MOD(Sync!$AE1499,100),IFERROR(VALUE(TRIM(MID(MID(Sync!$AE1499,FIND("/",Sync!$AE1499)+1,20),FIND("/",MID(Sync!$AE1499,FIND("/",Sync!$AE1499)+1,20))+1,20))),"")))</f>
        <v/>
      </c>
      <c r="J1499" t="str">
        <f t="shared" si="117"/>
        <v/>
      </c>
      <c r="K1499" t="str">
        <f>IF(OR($F1499="",$J1499="",$J1499="نامعتبر"),"",LEFT($J1499,4)&amp;MID($J1499,6,2)&amp;RIGHT($J1499,2)&amp;$N1499&amp;"|"&amp;"2"&amp;RIGHT("00000"&amp;1494,5))</f>
        <v/>
      </c>
      <c r="L1499" t="str">
        <f t="shared" si="118"/>
        <v/>
      </c>
      <c r="M1499" t="str">
        <f t="shared" si="119"/>
        <v/>
      </c>
      <c r="N1499" t="str">
        <f>IF($F1499="","",IF(Sync!$AF1499="","0000",IF(AND(ISNUMBER(Sync!$AF1499),Sync!$AF1499&gt;=0,Sync!$AF1499&lt;1),RIGHT("00"&amp;HOUR(Sync!$AF1499),2)&amp;RIGHT("00"&amp;MINUTE(Sync!$AF1499),2),IFERROR(RIGHT("00"&amp;VALUE(LEFT(Sync!$AF1499,FIND(":",Sync!$AF1499)-1)),2)&amp;RIGHT("00"&amp;VALUE(MID(Sync!$AF1499,FIND(":",Sync!$AF1499)+1,2)),2),"0000"))))</f>
        <v/>
      </c>
    </row>
    <row r="1500" spans="1:14" x14ac:dyDescent="0.2">
      <c r="A1500" t="str">
        <f>IF(OR(Calc!$E1504="",Calc!$E1504="نامعتبر",Calc!$G1504=""),"",Calc!$G1504)</f>
        <v/>
      </c>
      <c r="B1500" t="str">
        <f>IF($A1500="","",LEFT(Calc!$E1504,4)&amp;MID(Calc!$E1504,6,2)&amp;RIGHT(Calc!$E1504,2)&amp;Calc!$Q1504&amp;"|"&amp;"1"&amp;RIGHT("00000"&amp;1495,5))</f>
        <v/>
      </c>
      <c r="C1500" t="str">
        <f t="shared" si="115"/>
        <v/>
      </c>
      <c r="D1500" t="str">
        <f t="shared" si="116"/>
        <v/>
      </c>
      <c r="F1500" t="str">
        <f>IF(Sync!$AH1500="","",IF(LEFT(UPPER(TRIM(Sync!$AH1500)),2)="SL",UPPER(TRIM(Sync!$AH1500)),""))</f>
        <v/>
      </c>
      <c r="G1500" t="str">
        <f>IF($F1500="","",IF(Sync!$AE1500="","",IF(ISNUMBER(Sync!$AE1500),IF(AND(Sync!$AE1500&gt;=10000101,Sync!$AE1500&lt;=99991231),INT(Sync!$AE1500/10000),""),IFERROR(VALUE(TRIM(LEFT(Sync!$AE1500,FIND("/",Sync!$AE1500)-1))),""))))</f>
        <v/>
      </c>
      <c r="H1500" t="str">
        <f>IF(OR($F1500="",$G1500=""),"",IF(ISNUMBER(Sync!$AE1500),INT(MOD(Sync!$AE1500,10000)/100),IFERROR(VALUE(TRIM(LEFT(MID(Sync!$AE1500,FIND("/",Sync!$AE1500)+1,20),FIND("/",MID(Sync!$AE1500,FIND("/",Sync!$AE1500)+1,20))-1))),"")))</f>
        <v/>
      </c>
      <c r="I1500" t="str">
        <f>IF(OR($F1500="",$G1500=""),"",IF(ISNUMBER(Sync!$AE1500),MOD(Sync!$AE1500,100),IFERROR(VALUE(TRIM(MID(MID(Sync!$AE1500,FIND("/",Sync!$AE1500)+1,20),FIND("/",MID(Sync!$AE1500,FIND("/",Sync!$AE1500)+1,20))+1,20))),"")))</f>
        <v/>
      </c>
      <c r="J1500" t="str">
        <f t="shared" si="117"/>
        <v/>
      </c>
      <c r="K1500" t="str">
        <f>IF(OR($F1500="",$J1500="",$J1500="نامعتبر"),"",LEFT($J1500,4)&amp;MID($J1500,6,2)&amp;RIGHT($J1500,2)&amp;$N1500&amp;"|"&amp;"2"&amp;RIGHT("00000"&amp;1495,5))</f>
        <v/>
      </c>
      <c r="L1500" t="str">
        <f t="shared" si="118"/>
        <v/>
      </c>
      <c r="M1500" t="str">
        <f t="shared" si="119"/>
        <v/>
      </c>
      <c r="N1500" t="str">
        <f>IF($F1500="","",IF(Sync!$AF1500="","0000",IF(AND(ISNUMBER(Sync!$AF1500),Sync!$AF1500&gt;=0,Sync!$AF1500&lt;1),RIGHT("00"&amp;HOUR(Sync!$AF1500),2)&amp;RIGHT("00"&amp;MINUTE(Sync!$AF1500),2),IFERROR(RIGHT("00"&amp;VALUE(LEFT(Sync!$AF1500,FIND(":",Sync!$AF1500)-1)),2)&amp;RIGHT("00"&amp;VALUE(MID(Sync!$AF1500,FIND(":",Sync!$AF1500)+1,2)),2),"0000"))))</f>
        <v/>
      </c>
    </row>
    <row r="1501" spans="1:14" x14ac:dyDescent="0.2">
      <c r="A1501" t="str">
        <f>IF(OR(Calc!$E1505="",Calc!$E1505="نامعتبر",Calc!$G1505=""),"",Calc!$G1505)</f>
        <v/>
      </c>
      <c r="B1501" t="str">
        <f>IF($A1501="","",LEFT(Calc!$E1505,4)&amp;MID(Calc!$E1505,6,2)&amp;RIGHT(Calc!$E1505,2)&amp;Calc!$Q1505&amp;"|"&amp;"1"&amp;RIGHT("00000"&amp;1496,5))</f>
        <v/>
      </c>
      <c r="C1501" t="str">
        <f t="shared" si="115"/>
        <v/>
      </c>
      <c r="D1501" t="str">
        <f t="shared" si="116"/>
        <v/>
      </c>
      <c r="F1501" t="str">
        <f>IF(Sync!$AH1501="","",IF(LEFT(UPPER(TRIM(Sync!$AH1501)),2)="SL",UPPER(TRIM(Sync!$AH1501)),""))</f>
        <v/>
      </c>
      <c r="G1501" t="str">
        <f>IF($F1501="","",IF(Sync!$AE1501="","",IF(ISNUMBER(Sync!$AE1501),IF(AND(Sync!$AE1501&gt;=10000101,Sync!$AE1501&lt;=99991231),INT(Sync!$AE1501/10000),""),IFERROR(VALUE(TRIM(LEFT(Sync!$AE1501,FIND("/",Sync!$AE1501)-1))),""))))</f>
        <v/>
      </c>
      <c r="H1501" t="str">
        <f>IF(OR($F1501="",$G1501=""),"",IF(ISNUMBER(Sync!$AE1501),INT(MOD(Sync!$AE1501,10000)/100),IFERROR(VALUE(TRIM(LEFT(MID(Sync!$AE1501,FIND("/",Sync!$AE1501)+1,20),FIND("/",MID(Sync!$AE1501,FIND("/",Sync!$AE1501)+1,20))-1))),"")))</f>
        <v/>
      </c>
      <c r="I1501" t="str">
        <f>IF(OR($F1501="",$G1501=""),"",IF(ISNUMBER(Sync!$AE1501),MOD(Sync!$AE1501,100),IFERROR(VALUE(TRIM(MID(MID(Sync!$AE1501,FIND("/",Sync!$AE1501)+1,20),FIND("/",MID(Sync!$AE1501,FIND("/",Sync!$AE1501)+1,20))+1,20))),"")))</f>
        <v/>
      </c>
      <c r="J1501" t="str">
        <f t="shared" si="117"/>
        <v/>
      </c>
      <c r="K1501" t="str">
        <f>IF(OR($F1501="",$J1501="",$J1501="نامعتبر"),"",LEFT($J1501,4)&amp;MID($J1501,6,2)&amp;RIGHT($J1501,2)&amp;$N1501&amp;"|"&amp;"2"&amp;RIGHT("00000"&amp;1496,5))</f>
        <v/>
      </c>
      <c r="L1501" t="str">
        <f t="shared" si="118"/>
        <v/>
      </c>
      <c r="M1501" t="str">
        <f t="shared" si="119"/>
        <v/>
      </c>
      <c r="N1501" t="str">
        <f>IF($F1501="","",IF(Sync!$AF1501="","0000",IF(AND(ISNUMBER(Sync!$AF1501),Sync!$AF1501&gt;=0,Sync!$AF1501&lt;1),RIGHT("00"&amp;HOUR(Sync!$AF1501),2)&amp;RIGHT("00"&amp;MINUTE(Sync!$AF1501),2),IFERROR(RIGHT("00"&amp;VALUE(LEFT(Sync!$AF1501,FIND(":",Sync!$AF1501)-1)),2)&amp;RIGHT("00"&amp;VALUE(MID(Sync!$AF1501,FIND(":",Sync!$AF1501)+1,2)),2),"0000"))))</f>
        <v/>
      </c>
    </row>
    <row r="1502" spans="1:14" x14ac:dyDescent="0.2">
      <c r="A1502" t="str">
        <f>IF(OR(Calc!$E1506="",Calc!$E1506="نامعتبر",Calc!$G1506=""),"",Calc!$G1506)</f>
        <v/>
      </c>
      <c r="B1502" t="str">
        <f>IF($A1502="","",LEFT(Calc!$E1506,4)&amp;MID(Calc!$E1506,6,2)&amp;RIGHT(Calc!$E1506,2)&amp;Calc!$Q1506&amp;"|"&amp;"1"&amp;RIGHT("00000"&amp;1497,5))</f>
        <v/>
      </c>
      <c r="C1502" t="str">
        <f t="shared" si="115"/>
        <v/>
      </c>
      <c r="D1502" t="str">
        <f t="shared" si="116"/>
        <v/>
      </c>
      <c r="F1502" t="str">
        <f>IF(Sync!$AH1502="","",IF(LEFT(UPPER(TRIM(Sync!$AH1502)),2)="SL",UPPER(TRIM(Sync!$AH1502)),""))</f>
        <v/>
      </c>
      <c r="G1502" t="str">
        <f>IF($F1502="","",IF(Sync!$AE1502="","",IF(ISNUMBER(Sync!$AE1502),IF(AND(Sync!$AE1502&gt;=10000101,Sync!$AE1502&lt;=99991231),INT(Sync!$AE1502/10000),""),IFERROR(VALUE(TRIM(LEFT(Sync!$AE1502,FIND("/",Sync!$AE1502)-1))),""))))</f>
        <v/>
      </c>
      <c r="H1502" t="str">
        <f>IF(OR($F1502="",$G1502=""),"",IF(ISNUMBER(Sync!$AE1502),INT(MOD(Sync!$AE1502,10000)/100),IFERROR(VALUE(TRIM(LEFT(MID(Sync!$AE1502,FIND("/",Sync!$AE1502)+1,20),FIND("/",MID(Sync!$AE1502,FIND("/",Sync!$AE1502)+1,20))-1))),"")))</f>
        <v/>
      </c>
      <c r="I1502" t="str">
        <f>IF(OR($F1502="",$G1502=""),"",IF(ISNUMBER(Sync!$AE1502),MOD(Sync!$AE1502,100),IFERROR(VALUE(TRIM(MID(MID(Sync!$AE1502,FIND("/",Sync!$AE1502)+1,20),FIND("/",MID(Sync!$AE1502,FIND("/",Sync!$AE1502)+1,20))+1,20))),"")))</f>
        <v/>
      </c>
      <c r="J1502" t="str">
        <f t="shared" si="117"/>
        <v/>
      </c>
      <c r="K1502" t="str">
        <f>IF(OR($F1502="",$J1502="",$J1502="نامعتبر"),"",LEFT($J1502,4)&amp;MID($J1502,6,2)&amp;RIGHT($J1502,2)&amp;$N1502&amp;"|"&amp;"2"&amp;RIGHT("00000"&amp;1497,5))</f>
        <v/>
      </c>
      <c r="L1502" t="str">
        <f t="shared" si="118"/>
        <v/>
      </c>
      <c r="M1502" t="str">
        <f t="shared" si="119"/>
        <v/>
      </c>
      <c r="N1502" t="str">
        <f>IF($F1502="","",IF(Sync!$AF1502="","0000",IF(AND(ISNUMBER(Sync!$AF1502),Sync!$AF1502&gt;=0,Sync!$AF1502&lt;1),RIGHT("00"&amp;HOUR(Sync!$AF1502),2)&amp;RIGHT("00"&amp;MINUTE(Sync!$AF1502),2),IFERROR(RIGHT("00"&amp;VALUE(LEFT(Sync!$AF1502,FIND(":",Sync!$AF1502)-1)),2)&amp;RIGHT("00"&amp;VALUE(MID(Sync!$AF1502,FIND(":",Sync!$AF1502)+1,2)),2),"0000"))))</f>
        <v/>
      </c>
    </row>
    <row r="1503" spans="1:14" x14ac:dyDescent="0.2">
      <c r="A1503" t="str">
        <f>IF(OR(Calc!$E1507="",Calc!$E1507="نامعتبر",Calc!$G1507=""),"",Calc!$G1507)</f>
        <v/>
      </c>
      <c r="B1503" t="str">
        <f>IF($A1503="","",LEFT(Calc!$E1507,4)&amp;MID(Calc!$E1507,6,2)&amp;RIGHT(Calc!$E1507,2)&amp;Calc!$Q1507&amp;"|"&amp;"1"&amp;RIGHT("00000"&amp;1498,5))</f>
        <v/>
      </c>
      <c r="C1503" t="str">
        <f t="shared" si="115"/>
        <v/>
      </c>
      <c r="D1503" t="str">
        <f t="shared" si="116"/>
        <v/>
      </c>
      <c r="F1503" t="str">
        <f>IF(Sync!$AH1503="","",IF(LEFT(UPPER(TRIM(Sync!$AH1503)),2)="SL",UPPER(TRIM(Sync!$AH1503)),""))</f>
        <v/>
      </c>
      <c r="G1503" t="str">
        <f>IF($F1503="","",IF(Sync!$AE1503="","",IF(ISNUMBER(Sync!$AE1503),IF(AND(Sync!$AE1503&gt;=10000101,Sync!$AE1503&lt;=99991231),INT(Sync!$AE1503/10000),""),IFERROR(VALUE(TRIM(LEFT(Sync!$AE1503,FIND("/",Sync!$AE1503)-1))),""))))</f>
        <v/>
      </c>
      <c r="H1503" t="str">
        <f>IF(OR($F1503="",$G1503=""),"",IF(ISNUMBER(Sync!$AE1503),INT(MOD(Sync!$AE1503,10000)/100),IFERROR(VALUE(TRIM(LEFT(MID(Sync!$AE1503,FIND("/",Sync!$AE1503)+1,20),FIND("/",MID(Sync!$AE1503,FIND("/",Sync!$AE1503)+1,20))-1))),"")))</f>
        <v/>
      </c>
      <c r="I1503" t="str">
        <f>IF(OR($F1503="",$G1503=""),"",IF(ISNUMBER(Sync!$AE1503),MOD(Sync!$AE1503,100),IFERROR(VALUE(TRIM(MID(MID(Sync!$AE1503,FIND("/",Sync!$AE1503)+1,20),FIND("/",MID(Sync!$AE1503,FIND("/",Sync!$AE1503)+1,20))+1,20))),"")))</f>
        <v/>
      </c>
      <c r="J1503" t="str">
        <f t="shared" si="117"/>
        <v/>
      </c>
      <c r="K1503" t="str">
        <f>IF(OR($F1503="",$J1503="",$J1503="نامعتبر"),"",LEFT($J1503,4)&amp;MID($J1503,6,2)&amp;RIGHT($J1503,2)&amp;$N1503&amp;"|"&amp;"2"&amp;RIGHT("00000"&amp;1498,5))</f>
        <v/>
      </c>
      <c r="L1503" t="str">
        <f t="shared" si="118"/>
        <v/>
      </c>
      <c r="M1503" t="str">
        <f t="shared" si="119"/>
        <v/>
      </c>
      <c r="N1503" t="str">
        <f>IF($F1503="","",IF(Sync!$AF1503="","0000",IF(AND(ISNUMBER(Sync!$AF1503),Sync!$AF1503&gt;=0,Sync!$AF1503&lt;1),RIGHT("00"&amp;HOUR(Sync!$AF1503),2)&amp;RIGHT("00"&amp;MINUTE(Sync!$AF1503),2),IFERROR(RIGHT("00"&amp;VALUE(LEFT(Sync!$AF1503,FIND(":",Sync!$AF1503)-1)),2)&amp;RIGHT("00"&amp;VALUE(MID(Sync!$AF1503,FIND(":",Sync!$AF1503)+1,2)),2),"0000"))))</f>
        <v/>
      </c>
    </row>
    <row r="1504" spans="1:14" x14ac:dyDescent="0.2">
      <c r="A1504" t="str">
        <f>IF(OR(Calc!$E1508="",Calc!$E1508="نامعتبر",Calc!$G1508=""),"",Calc!$G1508)</f>
        <v/>
      </c>
      <c r="B1504" t="str">
        <f>IF($A1504="","",LEFT(Calc!$E1508,4)&amp;MID(Calc!$E1508,6,2)&amp;RIGHT(Calc!$E1508,2)&amp;Calc!$Q1508&amp;"|"&amp;"1"&amp;RIGHT("00000"&amp;1499,5))</f>
        <v/>
      </c>
      <c r="C1504" t="str">
        <f t="shared" si="115"/>
        <v/>
      </c>
      <c r="D1504" t="str">
        <f t="shared" si="116"/>
        <v/>
      </c>
      <c r="F1504" t="str">
        <f>IF(Sync!$AH1504="","",IF(LEFT(UPPER(TRIM(Sync!$AH1504)),2)="SL",UPPER(TRIM(Sync!$AH1504)),""))</f>
        <v/>
      </c>
      <c r="G1504" t="str">
        <f>IF($F1504="","",IF(Sync!$AE1504="","",IF(ISNUMBER(Sync!$AE1504),IF(AND(Sync!$AE1504&gt;=10000101,Sync!$AE1504&lt;=99991231),INT(Sync!$AE1504/10000),""),IFERROR(VALUE(TRIM(LEFT(Sync!$AE1504,FIND("/",Sync!$AE1504)-1))),""))))</f>
        <v/>
      </c>
      <c r="H1504" t="str">
        <f>IF(OR($F1504="",$G1504=""),"",IF(ISNUMBER(Sync!$AE1504),INT(MOD(Sync!$AE1504,10000)/100),IFERROR(VALUE(TRIM(LEFT(MID(Sync!$AE1504,FIND("/",Sync!$AE1504)+1,20),FIND("/",MID(Sync!$AE1504,FIND("/",Sync!$AE1504)+1,20))-1))),"")))</f>
        <v/>
      </c>
      <c r="I1504" t="str">
        <f>IF(OR($F1504="",$G1504=""),"",IF(ISNUMBER(Sync!$AE1504),MOD(Sync!$AE1504,100),IFERROR(VALUE(TRIM(MID(MID(Sync!$AE1504,FIND("/",Sync!$AE1504)+1,20),FIND("/",MID(Sync!$AE1504,FIND("/",Sync!$AE1504)+1,20))+1,20))),"")))</f>
        <v/>
      </c>
      <c r="J1504" t="str">
        <f t="shared" si="117"/>
        <v/>
      </c>
      <c r="K1504" t="str">
        <f>IF(OR($F1504="",$J1504="",$J1504="نامعتبر"),"",LEFT($J1504,4)&amp;MID($J1504,6,2)&amp;RIGHT($J1504,2)&amp;$N1504&amp;"|"&amp;"2"&amp;RIGHT("00000"&amp;1499,5))</f>
        <v/>
      </c>
      <c r="L1504" t="str">
        <f t="shared" si="118"/>
        <v/>
      </c>
      <c r="M1504" t="str">
        <f t="shared" si="119"/>
        <v/>
      </c>
      <c r="N1504" t="str">
        <f>IF($F1504="","",IF(Sync!$AF1504="","0000",IF(AND(ISNUMBER(Sync!$AF1504),Sync!$AF1504&gt;=0,Sync!$AF1504&lt;1),RIGHT("00"&amp;HOUR(Sync!$AF1504),2)&amp;RIGHT("00"&amp;MINUTE(Sync!$AF1504),2),IFERROR(RIGHT("00"&amp;VALUE(LEFT(Sync!$AF1504,FIND(":",Sync!$AF1504)-1)),2)&amp;RIGHT("00"&amp;VALUE(MID(Sync!$AF1504,FIND(":",Sync!$AF1504)+1,2)),2),"0000"))))</f>
        <v/>
      </c>
    </row>
    <row r="1505" spans="1:14" x14ac:dyDescent="0.2">
      <c r="A1505" t="str">
        <f>IF(OR(Calc!$E1509="",Calc!$E1509="نامعتبر",Calc!$G1509=""),"",Calc!$G1509)</f>
        <v/>
      </c>
      <c r="B1505" t="str">
        <f>IF($A1505="","",LEFT(Calc!$E1509,4)&amp;MID(Calc!$E1509,6,2)&amp;RIGHT(Calc!$E1509,2)&amp;Calc!$Q1509&amp;"|"&amp;"1"&amp;RIGHT("00000"&amp;1500,5))</f>
        <v/>
      </c>
      <c r="C1505" t="str">
        <f t="shared" si="115"/>
        <v/>
      </c>
      <c r="D1505" t="str">
        <f t="shared" si="116"/>
        <v/>
      </c>
      <c r="F1505" t="str">
        <f>IF(Sync!$AH1505="","",IF(LEFT(UPPER(TRIM(Sync!$AH1505)),2)="SL",UPPER(TRIM(Sync!$AH1505)),""))</f>
        <v/>
      </c>
      <c r="G1505" t="str">
        <f>IF($F1505="","",IF(Sync!$AE1505="","",IF(ISNUMBER(Sync!$AE1505),IF(AND(Sync!$AE1505&gt;=10000101,Sync!$AE1505&lt;=99991231),INT(Sync!$AE1505/10000),""),IFERROR(VALUE(TRIM(LEFT(Sync!$AE1505,FIND("/",Sync!$AE1505)-1))),""))))</f>
        <v/>
      </c>
      <c r="H1505" t="str">
        <f>IF(OR($F1505="",$G1505=""),"",IF(ISNUMBER(Sync!$AE1505),INT(MOD(Sync!$AE1505,10000)/100),IFERROR(VALUE(TRIM(LEFT(MID(Sync!$AE1505,FIND("/",Sync!$AE1505)+1,20),FIND("/",MID(Sync!$AE1505,FIND("/",Sync!$AE1505)+1,20))-1))),"")))</f>
        <v/>
      </c>
      <c r="I1505" t="str">
        <f>IF(OR($F1505="",$G1505=""),"",IF(ISNUMBER(Sync!$AE1505),MOD(Sync!$AE1505,100),IFERROR(VALUE(TRIM(MID(MID(Sync!$AE1505,FIND("/",Sync!$AE1505)+1,20),FIND("/",MID(Sync!$AE1505,FIND("/",Sync!$AE1505)+1,20))+1,20))),"")))</f>
        <v/>
      </c>
      <c r="J1505" t="str">
        <f t="shared" si="117"/>
        <v/>
      </c>
      <c r="K1505" t="str">
        <f>IF(OR($F1505="",$J1505="",$J1505="نامعتبر"),"",LEFT($J1505,4)&amp;MID($J1505,6,2)&amp;RIGHT($J1505,2)&amp;$N1505&amp;"|"&amp;"2"&amp;RIGHT("00000"&amp;1500,5))</f>
        <v/>
      </c>
      <c r="L1505" t="str">
        <f t="shared" si="118"/>
        <v/>
      </c>
      <c r="M1505" t="str">
        <f t="shared" si="119"/>
        <v/>
      </c>
      <c r="N1505" t="str">
        <f>IF($F1505="","",IF(Sync!$AF1505="","0000",IF(AND(ISNUMBER(Sync!$AF1505),Sync!$AF1505&gt;=0,Sync!$AF1505&lt;1),RIGHT("00"&amp;HOUR(Sync!$AF1505),2)&amp;RIGHT("00"&amp;MINUTE(Sync!$AF1505),2),IFERROR(RIGHT("00"&amp;VALUE(LEFT(Sync!$AF1505,FIND(":",Sync!$AF1505)-1)),2)&amp;RIGHT("00"&amp;VALUE(MID(Sync!$AF1505,FIND(":",Sync!$AF1505)+1,2)),2),"0000"))))</f>
        <v/>
      </c>
    </row>
    <row r="1506" spans="1:14" x14ac:dyDescent="0.2">
      <c r="A1506" t="str">
        <f>IF(OR(Calc!$E1510="",Calc!$E1510="نامعتبر",Calc!$G1510=""),"",Calc!$G1510)</f>
        <v/>
      </c>
      <c r="B1506" t="str">
        <f>IF($A1506="","",LEFT(Calc!$E1510,4)&amp;MID(Calc!$E1510,6,2)&amp;RIGHT(Calc!$E1510,2)&amp;Calc!$Q1510&amp;"|"&amp;"1"&amp;RIGHT("00000"&amp;1501,5))</f>
        <v/>
      </c>
      <c r="C1506" t="str">
        <f t="shared" si="115"/>
        <v/>
      </c>
      <c r="D1506" t="str">
        <f t="shared" si="116"/>
        <v/>
      </c>
      <c r="F1506" t="str">
        <f>IF(Sync!$AH1506="","",IF(LEFT(UPPER(TRIM(Sync!$AH1506)),2)="SL",UPPER(TRIM(Sync!$AH1506)),""))</f>
        <v/>
      </c>
      <c r="G1506" t="str">
        <f>IF($F1506="","",IF(Sync!$AE1506="","",IF(ISNUMBER(Sync!$AE1506),IF(AND(Sync!$AE1506&gt;=10000101,Sync!$AE1506&lt;=99991231),INT(Sync!$AE1506/10000),""),IFERROR(VALUE(TRIM(LEFT(Sync!$AE1506,FIND("/",Sync!$AE1506)-1))),""))))</f>
        <v/>
      </c>
      <c r="H1506" t="str">
        <f>IF(OR($F1506="",$G1506=""),"",IF(ISNUMBER(Sync!$AE1506),INT(MOD(Sync!$AE1506,10000)/100),IFERROR(VALUE(TRIM(LEFT(MID(Sync!$AE1506,FIND("/",Sync!$AE1506)+1,20),FIND("/",MID(Sync!$AE1506,FIND("/",Sync!$AE1506)+1,20))-1))),"")))</f>
        <v/>
      </c>
      <c r="I1506" t="str">
        <f>IF(OR($F1506="",$G1506=""),"",IF(ISNUMBER(Sync!$AE1506),MOD(Sync!$AE1506,100),IFERROR(VALUE(TRIM(MID(MID(Sync!$AE1506,FIND("/",Sync!$AE1506)+1,20),FIND("/",MID(Sync!$AE1506,FIND("/",Sync!$AE1506)+1,20))+1,20))),"")))</f>
        <v/>
      </c>
      <c r="J1506" t="str">
        <f t="shared" si="117"/>
        <v/>
      </c>
      <c r="K1506" t="str">
        <f>IF(OR($F1506="",$J1506="",$J1506="نامعتبر"),"",LEFT($J1506,4)&amp;MID($J1506,6,2)&amp;RIGHT($J1506,2)&amp;$N1506&amp;"|"&amp;"2"&amp;RIGHT("00000"&amp;1501,5))</f>
        <v/>
      </c>
      <c r="L1506" t="str">
        <f t="shared" si="118"/>
        <v/>
      </c>
      <c r="M1506" t="str">
        <f t="shared" si="119"/>
        <v/>
      </c>
      <c r="N1506" t="str">
        <f>IF($F1506="","",IF(Sync!$AF1506="","0000",IF(AND(ISNUMBER(Sync!$AF1506),Sync!$AF1506&gt;=0,Sync!$AF1506&lt;1),RIGHT("00"&amp;HOUR(Sync!$AF1506),2)&amp;RIGHT("00"&amp;MINUTE(Sync!$AF1506),2),IFERROR(RIGHT("00"&amp;VALUE(LEFT(Sync!$AF1506,FIND(":",Sync!$AF1506)-1)),2)&amp;RIGHT("00"&amp;VALUE(MID(Sync!$AF1506,FIND(":",Sync!$AF1506)+1,2)),2),"0000"))))</f>
        <v/>
      </c>
    </row>
    <row r="1507" spans="1:14" x14ac:dyDescent="0.2">
      <c r="A1507" t="str">
        <f>IF(OR(Calc!$E1511="",Calc!$E1511="نامعتبر",Calc!$G1511=""),"",Calc!$G1511)</f>
        <v/>
      </c>
      <c r="B1507" t="str">
        <f>IF($A1507="","",LEFT(Calc!$E1511,4)&amp;MID(Calc!$E1511,6,2)&amp;RIGHT(Calc!$E1511,2)&amp;Calc!$Q1511&amp;"|"&amp;"1"&amp;RIGHT("00000"&amp;1502,5))</f>
        <v/>
      </c>
      <c r="C1507" t="str">
        <f t="shared" si="115"/>
        <v/>
      </c>
      <c r="D1507" t="str">
        <f t="shared" si="116"/>
        <v/>
      </c>
      <c r="F1507" t="str">
        <f>IF(Sync!$AH1507="","",IF(LEFT(UPPER(TRIM(Sync!$AH1507)),2)="SL",UPPER(TRIM(Sync!$AH1507)),""))</f>
        <v/>
      </c>
      <c r="G1507" t="str">
        <f>IF($F1507="","",IF(Sync!$AE1507="","",IF(ISNUMBER(Sync!$AE1507),IF(AND(Sync!$AE1507&gt;=10000101,Sync!$AE1507&lt;=99991231),INT(Sync!$AE1507/10000),""),IFERROR(VALUE(TRIM(LEFT(Sync!$AE1507,FIND("/",Sync!$AE1507)-1))),""))))</f>
        <v/>
      </c>
      <c r="H1507" t="str">
        <f>IF(OR($F1507="",$G1507=""),"",IF(ISNUMBER(Sync!$AE1507),INT(MOD(Sync!$AE1507,10000)/100),IFERROR(VALUE(TRIM(LEFT(MID(Sync!$AE1507,FIND("/",Sync!$AE1507)+1,20),FIND("/",MID(Sync!$AE1507,FIND("/",Sync!$AE1507)+1,20))-1))),"")))</f>
        <v/>
      </c>
      <c r="I1507" t="str">
        <f>IF(OR($F1507="",$G1507=""),"",IF(ISNUMBER(Sync!$AE1507),MOD(Sync!$AE1507,100),IFERROR(VALUE(TRIM(MID(MID(Sync!$AE1507,FIND("/",Sync!$AE1507)+1,20),FIND("/",MID(Sync!$AE1507,FIND("/",Sync!$AE1507)+1,20))+1,20))),"")))</f>
        <v/>
      </c>
      <c r="J1507" t="str">
        <f t="shared" si="117"/>
        <v/>
      </c>
      <c r="K1507" t="str">
        <f>IF(OR($F1507="",$J1507="",$J1507="نامعتبر"),"",LEFT($J1507,4)&amp;MID($J1507,6,2)&amp;RIGHT($J1507,2)&amp;$N1507&amp;"|"&amp;"2"&amp;RIGHT("00000"&amp;1502,5))</f>
        <v/>
      </c>
      <c r="L1507" t="str">
        <f t="shared" si="118"/>
        <v/>
      </c>
      <c r="M1507" t="str">
        <f t="shared" si="119"/>
        <v/>
      </c>
      <c r="N1507" t="str">
        <f>IF($F1507="","",IF(Sync!$AF1507="","0000",IF(AND(ISNUMBER(Sync!$AF1507),Sync!$AF1507&gt;=0,Sync!$AF1507&lt;1),RIGHT("00"&amp;HOUR(Sync!$AF1507),2)&amp;RIGHT("00"&amp;MINUTE(Sync!$AF1507),2),IFERROR(RIGHT("00"&amp;VALUE(LEFT(Sync!$AF1507,FIND(":",Sync!$AF1507)-1)),2)&amp;RIGHT("00"&amp;VALUE(MID(Sync!$AF1507,FIND(":",Sync!$AF1507)+1,2)),2),"0000"))))</f>
        <v/>
      </c>
    </row>
    <row r="1508" spans="1:14" x14ac:dyDescent="0.2">
      <c r="A1508" t="str">
        <f>IF(OR(Calc!$E1512="",Calc!$E1512="نامعتبر",Calc!$G1512=""),"",Calc!$G1512)</f>
        <v/>
      </c>
      <c r="B1508" t="str">
        <f>IF($A1508="","",LEFT(Calc!$E1512,4)&amp;MID(Calc!$E1512,6,2)&amp;RIGHT(Calc!$E1512,2)&amp;Calc!$Q1512&amp;"|"&amp;"1"&amp;RIGHT("00000"&amp;1503,5))</f>
        <v/>
      </c>
      <c r="C1508" t="str">
        <f t="shared" si="115"/>
        <v/>
      </c>
      <c r="D1508" t="str">
        <f t="shared" si="116"/>
        <v/>
      </c>
      <c r="F1508" t="str">
        <f>IF(Sync!$AH1508="","",IF(LEFT(UPPER(TRIM(Sync!$AH1508)),2)="SL",UPPER(TRIM(Sync!$AH1508)),""))</f>
        <v/>
      </c>
      <c r="G1508" t="str">
        <f>IF($F1508="","",IF(Sync!$AE1508="","",IF(ISNUMBER(Sync!$AE1508),IF(AND(Sync!$AE1508&gt;=10000101,Sync!$AE1508&lt;=99991231),INT(Sync!$AE1508/10000),""),IFERROR(VALUE(TRIM(LEFT(Sync!$AE1508,FIND("/",Sync!$AE1508)-1))),""))))</f>
        <v/>
      </c>
      <c r="H1508" t="str">
        <f>IF(OR($F1508="",$G1508=""),"",IF(ISNUMBER(Sync!$AE1508),INT(MOD(Sync!$AE1508,10000)/100),IFERROR(VALUE(TRIM(LEFT(MID(Sync!$AE1508,FIND("/",Sync!$AE1508)+1,20),FIND("/",MID(Sync!$AE1508,FIND("/",Sync!$AE1508)+1,20))-1))),"")))</f>
        <v/>
      </c>
      <c r="I1508" t="str">
        <f>IF(OR($F1508="",$G1508=""),"",IF(ISNUMBER(Sync!$AE1508),MOD(Sync!$AE1508,100),IFERROR(VALUE(TRIM(MID(MID(Sync!$AE1508,FIND("/",Sync!$AE1508)+1,20),FIND("/",MID(Sync!$AE1508,FIND("/",Sync!$AE1508)+1,20))+1,20))),"")))</f>
        <v/>
      </c>
      <c r="J1508" t="str">
        <f t="shared" si="117"/>
        <v/>
      </c>
      <c r="K1508" t="str">
        <f>IF(OR($F1508="",$J1508="",$J1508="نامعتبر"),"",LEFT($J1508,4)&amp;MID($J1508,6,2)&amp;RIGHT($J1508,2)&amp;$N1508&amp;"|"&amp;"2"&amp;RIGHT("00000"&amp;1503,5))</f>
        <v/>
      </c>
      <c r="L1508" t="str">
        <f t="shared" si="118"/>
        <v/>
      </c>
      <c r="M1508" t="str">
        <f t="shared" si="119"/>
        <v/>
      </c>
      <c r="N1508" t="str">
        <f>IF($F1508="","",IF(Sync!$AF1508="","0000",IF(AND(ISNUMBER(Sync!$AF1508),Sync!$AF1508&gt;=0,Sync!$AF1508&lt;1),RIGHT("00"&amp;HOUR(Sync!$AF1508),2)&amp;RIGHT("00"&amp;MINUTE(Sync!$AF1508),2),IFERROR(RIGHT("00"&amp;VALUE(LEFT(Sync!$AF1508,FIND(":",Sync!$AF1508)-1)),2)&amp;RIGHT("00"&amp;VALUE(MID(Sync!$AF1508,FIND(":",Sync!$AF1508)+1,2)),2),"0000"))))</f>
        <v/>
      </c>
    </row>
    <row r="1509" spans="1:14" x14ac:dyDescent="0.2">
      <c r="A1509" t="str">
        <f>IF(OR(Calc!$E1513="",Calc!$E1513="نامعتبر",Calc!$G1513=""),"",Calc!$G1513)</f>
        <v/>
      </c>
      <c r="B1509" t="str">
        <f>IF($A1509="","",LEFT(Calc!$E1513,4)&amp;MID(Calc!$E1513,6,2)&amp;RIGHT(Calc!$E1513,2)&amp;Calc!$Q1513&amp;"|"&amp;"1"&amp;RIGHT("00000"&amp;1504,5))</f>
        <v/>
      </c>
      <c r="C1509" t="str">
        <f t="shared" si="115"/>
        <v/>
      </c>
      <c r="D1509" t="str">
        <f t="shared" si="116"/>
        <v/>
      </c>
      <c r="F1509" t="str">
        <f>IF(Sync!$AH1509="","",IF(LEFT(UPPER(TRIM(Sync!$AH1509)),2)="SL",UPPER(TRIM(Sync!$AH1509)),""))</f>
        <v/>
      </c>
      <c r="G1509" t="str">
        <f>IF($F1509="","",IF(Sync!$AE1509="","",IF(ISNUMBER(Sync!$AE1509),IF(AND(Sync!$AE1509&gt;=10000101,Sync!$AE1509&lt;=99991231),INT(Sync!$AE1509/10000),""),IFERROR(VALUE(TRIM(LEFT(Sync!$AE1509,FIND("/",Sync!$AE1509)-1))),""))))</f>
        <v/>
      </c>
      <c r="H1509" t="str">
        <f>IF(OR($F1509="",$G1509=""),"",IF(ISNUMBER(Sync!$AE1509),INT(MOD(Sync!$AE1509,10000)/100),IFERROR(VALUE(TRIM(LEFT(MID(Sync!$AE1509,FIND("/",Sync!$AE1509)+1,20),FIND("/",MID(Sync!$AE1509,FIND("/",Sync!$AE1509)+1,20))-1))),"")))</f>
        <v/>
      </c>
      <c r="I1509" t="str">
        <f>IF(OR($F1509="",$G1509=""),"",IF(ISNUMBER(Sync!$AE1509),MOD(Sync!$AE1509,100),IFERROR(VALUE(TRIM(MID(MID(Sync!$AE1509,FIND("/",Sync!$AE1509)+1,20),FIND("/",MID(Sync!$AE1509,FIND("/",Sync!$AE1509)+1,20))+1,20))),"")))</f>
        <v/>
      </c>
      <c r="J1509" t="str">
        <f t="shared" si="117"/>
        <v/>
      </c>
      <c r="K1509" t="str">
        <f>IF(OR($F1509="",$J1509="",$J1509="نامعتبر"),"",LEFT($J1509,4)&amp;MID($J1509,6,2)&amp;RIGHT($J1509,2)&amp;$N1509&amp;"|"&amp;"2"&amp;RIGHT("00000"&amp;1504,5))</f>
        <v/>
      </c>
      <c r="L1509" t="str">
        <f t="shared" si="118"/>
        <v/>
      </c>
      <c r="M1509" t="str">
        <f t="shared" si="119"/>
        <v/>
      </c>
      <c r="N1509" t="str">
        <f>IF($F1509="","",IF(Sync!$AF1509="","0000",IF(AND(ISNUMBER(Sync!$AF1509),Sync!$AF1509&gt;=0,Sync!$AF1509&lt;1),RIGHT("00"&amp;HOUR(Sync!$AF1509),2)&amp;RIGHT("00"&amp;MINUTE(Sync!$AF1509),2),IFERROR(RIGHT("00"&amp;VALUE(LEFT(Sync!$AF1509,FIND(":",Sync!$AF1509)-1)),2)&amp;RIGHT("00"&amp;VALUE(MID(Sync!$AF1509,FIND(":",Sync!$AF1509)+1,2)),2),"0000"))))</f>
        <v/>
      </c>
    </row>
    <row r="1510" spans="1:14" x14ac:dyDescent="0.2">
      <c r="A1510" t="str">
        <f>IF(OR(Calc!$E1514="",Calc!$E1514="نامعتبر",Calc!$G1514=""),"",Calc!$G1514)</f>
        <v/>
      </c>
      <c r="B1510" t="str">
        <f>IF($A1510="","",LEFT(Calc!$E1514,4)&amp;MID(Calc!$E1514,6,2)&amp;RIGHT(Calc!$E1514,2)&amp;Calc!$Q1514&amp;"|"&amp;"1"&amp;RIGHT("00000"&amp;1505,5))</f>
        <v/>
      </c>
      <c r="C1510" t="str">
        <f t="shared" si="115"/>
        <v/>
      </c>
      <c r="D1510" t="str">
        <f t="shared" si="116"/>
        <v/>
      </c>
      <c r="F1510" t="str">
        <f>IF(Sync!$AH1510="","",IF(LEFT(UPPER(TRIM(Sync!$AH1510)),2)="SL",UPPER(TRIM(Sync!$AH1510)),""))</f>
        <v/>
      </c>
      <c r="G1510" t="str">
        <f>IF($F1510="","",IF(Sync!$AE1510="","",IF(ISNUMBER(Sync!$AE1510),IF(AND(Sync!$AE1510&gt;=10000101,Sync!$AE1510&lt;=99991231),INT(Sync!$AE1510/10000),""),IFERROR(VALUE(TRIM(LEFT(Sync!$AE1510,FIND("/",Sync!$AE1510)-1))),""))))</f>
        <v/>
      </c>
      <c r="H1510" t="str">
        <f>IF(OR($F1510="",$G1510=""),"",IF(ISNUMBER(Sync!$AE1510),INT(MOD(Sync!$AE1510,10000)/100),IFERROR(VALUE(TRIM(LEFT(MID(Sync!$AE1510,FIND("/",Sync!$AE1510)+1,20),FIND("/",MID(Sync!$AE1510,FIND("/",Sync!$AE1510)+1,20))-1))),"")))</f>
        <v/>
      </c>
      <c r="I1510" t="str">
        <f>IF(OR($F1510="",$G1510=""),"",IF(ISNUMBER(Sync!$AE1510),MOD(Sync!$AE1510,100),IFERROR(VALUE(TRIM(MID(MID(Sync!$AE1510,FIND("/",Sync!$AE1510)+1,20),FIND("/",MID(Sync!$AE1510,FIND("/",Sync!$AE1510)+1,20))+1,20))),"")))</f>
        <v/>
      </c>
      <c r="J1510" t="str">
        <f t="shared" si="117"/>
        <v/>
      </c>
      <c r="K1510" t="str">
        <f>IF(OR($F1510="",$J1510="",$J1510="نامعتبر"),"",LEFT($J1510,4)&amp;MID($J1510,6,2)&amp;RIGHT($J1510,2)&amp;$N1510&amp;"|"&amp;"2"&amp;RIGHT("00000"&amp;1505,5))</f>
        <v/>
      </c>
      <c r="L1510" t="str">
        <f t="shared" si="118"/>
        <v/>
      </c>
      <c r="M1510" t="str">
        <f t="shared" si="119"/>
        <v/>
      </c>
      <c r="N1510" t="str">
        <f>IF($F1510="","",IF(Sync!$AF1510="","0000",IF(AND(ISNUMBER(Sync!$AF1510),Sync!$AF1510&gt;=0,Sync!$AF1510&lt;1),RIGHT("00"&amp;HOUR(Sync!$AF1510),2)&amp;RIGHT("00"&amp;MINUTE(Sync!$AF1510),2),IFERROR(RIGHT("00"&amp;VALUE(LEFT(Sync!$AF1510,FIND(":",Sync!$AF1510)-1)),2)&amp;RIGHT("00"&amp;VALUE(MID(Sync!$AF1510,FIND(":",Sync!$AF1510)+1,2)),2),"0000"))))</f>
        <v/>
      </c>
    </row>
    <row r="1511" spans="1:14" x14ac:dyDescent="0.2">
      <c r="A1511" t="str">
        <f>IF(OR(Calc!$E1515="",Calc!$E1515="نامعتبر",Calc!$G1515=""),"",Calc!$G1515)</f>
        <v/>
      </c>
      <c r="B1511" t="str">
        <f>IF($A1511="","",LEFT(Calc!$E1515,4)&amp;MID(Calc!$E1515,6,2)&amp;RIGHT(Calc!$E1515,2)&amp;Calc!$Q1515&amp;"|"&amp;"1"&amp;RIGHT("00000"&amp;1506,5))</f>
        <v/>
      </c>
      <c r="C1511" t="str">
        <f t="shared" si="115"/>
        <v/>
      </c>
      <c r="D1511" t="str">
        <f t="shared" si="116"/>
        <v/>
      </c>
      <c r="F1511" t="str">
        <f>IF(Sync!$AH1511="","",IF(LEFT(UPPER(TRIM(Sync!$AH1511)),2)="SL",UPPER(TRIM(Sync!$AH1511)),""))</f>
        <v/>
      </c>
      <c r="G1511" t="str">
        <f>IF($F1511="","",IF(Sync!$AE1511="","",IF(ISNUMBER(Sync!$AE1511),IF(AND(Sync!$AE1511&gt;=10000101,Sync!$AE1511&lt;=99991231),INT(Sync!$AE1511/10000),""),IFERROR(VALUE(TRIM(LEFT(Sync!$AE1511,FIND("/",Sync!$AE1511)-1))),""))))</f>
        <v/>
      </c>
      <c r="H1511" t="str">
        <f>IF(OR($F1511="",$G1511=""),"",IF(ISNUMBER(Sync!$AE1511),INT(MOD(Sync!$AE1511,10000)/100),IFERROR(VALUE(TRIM(LEFT(MID(Sync!$AE1511,FIND("/",Sync!$AE1511)+1,20),FIND("/",MID(Sync!$AE1511,FIND("/",Sync!$AE1511)+1,20))-1))),"")))</f>
        <v/>
      </c>
      <c r="I1511" t="str">
        <f>IF(OR($F1511="",$G1511=""),"",IF(ISNUMBER(Sync!$AE1511),MOD(Sync!$AE1511,100),IFERROR(VALUE(TRIM(MID(MID(Sync!$AE1511,FIND("/",Sync!$AE1511)+1,20),FIND("/",MID(Sync!$AE1511,FIND("/",Sync!$AE1511)+1,20))+1,20))),"")))</f>
        <v/>
      </c>
      <c r="J1511" t="str">
        <f t="shared" si="117"/>
        <v/>
      </c>
      <c r="K1511" t="str">
        <f>IF(OR($F1511="",$J1511="",$J1511="نامعتبر"),"",LEFT($J1511,4)&amp;MID($J1511,6,2)&amp;RIGHT($J1511,2)&amp;$N1511&amp;"|"&amp;"2"&amp;RIGHT("00000"&amp;1506,5))</f>
        <v/>
      </c>
      <c r="L1511" t="str">
        <f t="shared" si="118"/>
        <v/>
      </c>
      <c r="M1511" t="str">
        <f t="shared" si="119"/>
        <v/>
      </c>
      <c r="N1511" t="str">
        <f>IF($F1511="","",IF(Sync!$AF1511="","0000",IF(AND(ISNUMBER(Sync!$AF1511),Sync!$AF1511&gt;=0,Sync!$AF1511&lt;1),RIGHT("00"&amp;HOUR(Sync!$AF1511),2)&amp;RIGHT("00"&amp;MINUTE(Sync!$AF1511),2),IFERROR(RIGHT("00"&amp;VALUE(LEFT(Sync!$AF1511,FIND(":",Sync!$AF1511)-1)),2)&amp;RIGHT("00"&amp;VALUE(MID(Sync!$AF1511,FIND(":",Sync!$AF1511)+1,2)),2),"0000"))))</f>
        <v/>
      </c>
    </row>
    <row r="1512" spans="1:14" x14ac:dyDescent="0.2">
      <c r="A1512" t="str">
        <f>IF(OR(Calc!$E1516="",Calc!$E1516="نامعتبر",Calc!$G1516=""),"",Calc!$G1516)</f>
        <v/>
      </c>
      <c r="B1512" t="str">
        <f>IF($A1512="","",LEFT(Calc!$E1516,4)&amp;MID(Calc!$E1516,6,2)&amp;RIGHT(Calc!$E1516,2)&amp;Calc!$Q1516&amp;"|"&amp;"1"&amp;RIGHT("00000"&amp;1507,5))</f>
        <v/>
      </c>
      <c r="C1512" t="str">
        <f t="shared" si="115"/>
        <v/>
      </c>
      <c r="D1512" t="str">
        <f t="shared" si="116"/>
        <v/>
      </c>
      <c r="F1512" t="str">
        <f>IF(Sync!$AH1512="","",IF(LEFT(UPPER(TRIM(Sync!$AH1512)),2)="SL",UPPER(TRIM(Sync!$AH1512)),""))</f>
        <v/>
      </c>
      <c r="G1512" t="str">
        <f>IF($F1512="","",IF(Sync!$AE1512="","",IF(ISNUMBER(Sync!$AE1512),IF(AND(Sync!$AE1512&gt;=10000101,Sync!$AE1512&lt;=99991231),INT(Sync!$AE1512/10000),""),IFERROR(VALUE(TRIM(LEFT(Sync!$AE1512,FIND("/",Sync!$AE1512)-1))),""))))</f>
        <v/>
      </c>
      <c r="H1512" t="str">
        <f>IF(OR($F1512="",$G1512=""),"",IF(ISNUMBER(Sync!$AE1512),INT(MOD(Sync!$AE1512,10000)/100),IFERROR(VALUE(TRIM(LEFT(MID(Sync!$AE1512,FIND("/",Sync!$AE1512)+1,20),FIND("/",MID(Sync!$AE1512,FIND("/",Sync!$AE1512)+1,20))-1))),"")))</f>
        <v/>
      </c>
      <c r="I1512" t="str">
        <f>IF(OR($F1512="",$G1512=""),"",IF(ISNUMBER(Sync!$AE1512),MOD(Sync!$AE1512,100),IFERROR(VALUE(TRIM(MID(MID(Sync!$AE1512,FIND("/",Sync!$AE1512)+1,20),FIND("/",MID(Sync!$AE1512,FIND("/",Sync!$AE1512)+1,20))+1,20))),"")))</f>
        <v/>
      </c>
      <c r="J1512" t="str">
        <f t="shared" si="117"/>
        <v/>
      </c>
      <c r="K1512" t="str">
        <f>IF(OR($F1512="",$J1512="",$J1512="نامعتبر"),"",LEFT($J1512,4)&amp;MID($J1512,6,2)&amp;RIGHT($J1512,2)&amp;$N1512&amp;"|"&amp;"2"&amp;RIGHT("00000"&amp;1507,5))</f>
        <v/>
      </c>
      <c r="L1512" t="str">
        <f t="shared" si="118"/>
        <v/>
      </c>
      <c r="M1512" t="str">
        <f t="shared" si="119"/>
        <v/>
      </c>
      <c r="N1512" t="str">
        <f>IF($F1512="","",IF(Sync!$AF1512="","0000",IF(AND(ISNUMBER(Sync!$AF1512),Sync!$AF1512&gt;=0,Sync!$AF1512&lt;1),RIGHT("00"&amp;HOUR(Sync!$AF1512),2)&amp;RIGHT("00"&amp;MINUTE(Sync!$AF1512),2),IFERROR(RIGHT("00"&amp;VALUE(LEFT(Sync!$AF1512,FIND(":",Sync!$AF1512)-1)),2)&amp;RIGHT("00"&amp;VALUE(MID(Sync!$AF1512,FIND(":",Sync!$AF1512)+1,2)),2),"0000"))))</f>
        <v/>
      </c>
    </row>
    <row r="1513" spans="1:14" x14ac:dyDescent="0.2">
      <c r="A1513" t="str">
        <f>IF(OR(Calc!$E1517="",Calc!$E1517="نامعتبر",Calc!$G1517=""),"",Calc!$G1517)</f>
        <v/>
      </c>
      <c r="B1513" t="str">
        <f>IF($A1513="","",LEFT(Calc!$E1517,4)&amp;MID(Calc!$E1517,6,2)&amp;RIGHT(Calc!$E1517,2)&amp;Calc!$Q1517&amp;"|"&amp;"1"&amp;RIGHT("00000"&amp;1508,5))</f>
        <v/>
      </c>
      <c r="C1513" t="str">
        <f t="shared" si="115"/>
        <v/>
      </c>
      <c r="D1513" t="str">
        <f t="shared" si="116"/>
        <v/>
      </c>
      <c r="F1513" t="str">
        <f>IF(Sync!$AH1513="","",IF(LEFT(UPPER(TRIM(Sync!$AH1513)),2)="SL",UPPER(TRIM(Sync!$AH1513)),""))</f>
        <v/>
      </c>
      <c r="G1513" t="str">
        <f>IF($F1513="","",IF(Sync!$AE1513="","",IF(ISNUMBER(Sync!$AE1513),IF(AND(Sync!$AE1513&gt;=10000101,Sync!$AE1513&lt;=99991231),INT(Sync!$AE1513/10000),""),IFERROR(VALUE(TRIM(LEFT(Sync!$AE1513,FIND("/",Sync!$AE1513)-1))),""))))</f>
        <v/>
      </c>
      <c r="H1513" t="str">
        <f>IF(OR($F1513="",$G1513=""),"",IF(ISNUMBER(Sync!$AE1513),INT(MOD(Sync!$AE1513,10000)/100),IFERROR(VALUE(TRIM(LEFT(MID(Sync!$AE1513,FIND("/",Sync!$AE1513)+1,20),FIND("/",MID(Sync!$AE1513,FIND("/",Sync!$AE1513)+1,20))-1))),"")))</f>
        <v/>
      </c>
      <c r="I1513" t="str">
        <f>IF(OR($F1513="",$G1513=""),"",IF(ISNUMBER(Sync!$AE1513),MOD(Sync!$AE1513,100),IFERROR(VALUE(TRIM(MID(MID(Sync!$AE1513,FIND("/",Sync!$AE1513)+1,20),FIND("/",MID(Sync!$AE1513,FIND("/",Sync!$AE1513)+1,20))+1,20))),"")))</f>
        <v/>
      </c>
      <c r="J1513" t="str">
        <f t="shared" si="117"/>
        <v/>
      </c>
      <c r="K1513" t="str">
        <f>IF(OR($F1513="",$J1513="",$J1513="نامعتبر"),"",LEFT($J1513,4)&amp;MID($J1513,6,2)&amp;RIGHT($J1513,2)&amp;$N1513&amp;"|"&amp;"2"&amp;RIGHT("00000"&amp;1508,5))</f>
        <v/>
      </c>
      <c r="L1513" t="str">
        <f t="shared" si="118"/>
        <v/>
      </c>
      <c r="M1513" t="str">
        <f t="shared" si="119"/>
        <v/>
      </c>
      <c r="N1513" t="str">
        <f>IF($F1513="","",IF(Sync!$AF1513="","0000",IF(AND(ISNUMBER(Sync!$AF1513),Sync!$AF1513&gt;=0,Sync!$AF1513&lt;1),RIGHT("00"&amp;HOUR(Sync!$AF1513),2)&amp;RIGHT("00"&amp;MINUTE(Sync!$AF1513),2),IFERROR(RIGHT("00"&amp;VALUE(LEFT(Sync!$AF1513,FIND(":",Sync!$AF1513)-1)),2)&amp;RIGHT("00"&amp;VALUE(MID(Sync!$AF1513,FIND(":",Sync!$AF1513)+1,2)),2),"0000"))))</f>
        <v/>
      </c>
    </row>
    <row r="1514" spans="1:14" x14ac:dyDescent="0.2">
      <c r="A1514" t="str">
        <f>IF(OR(Calc!$E1518="",Calc!$E1518="نامعتبر",Calc!$G1518=""),"",Calc!$G1518)</f>
        <v/>
      </c>
      <c r="B1514" t="str">
        <f>IF($A1514="","",LEFT(Calc!$E1518,4)&amp;MID(Calc!$E1518,6,2)&amp;RIGHT(Calc!$E1518,2)&amp;Calc!$Q1518&amp;"|"&amp;"1"&amp;RIGHT("00000"&amp;1509,5))</f>
        <v/>
      </c>
      <c r="C1514" t="str">
        <f t="shared" si="115"/>
        <v/>
      </c>
      <c r="D1514" t="str">
        <f t="shared" si="116"/>
        <v/>
      </c>
      <c r="F1514" t="str">
        <f>IF(Sync!$AH1514="","",IF(LEFT(UPPER(TRIM(Sync!$AH1514)),2)="SL",UPPER(TRIM(Sync!$AH1514)),""))</f>
        <v/>
      </c>
      <c r="G1514" t="str">
        <f>IF($F1514="","",IF(Sync!$AE1514="","",IF(ISNUMBER(Sync!$AE1514),IF(AND(Sync!$AE1514&gt;=10000101,Sync!$AE1514&lt;=99991231),INT(Sync!$AE1514/10000),""),IFERROR(VALUE(TRIM(LEFT(Sync!$AE1514,FIND("/",Sync!$AE1514)-1))),""))))</f>
        <v/>
      </c>
      <c r="H1514" t="str">
        <f>IF(OR($F1514="",$G1514=""),"",IF(ISNUMBER(Sync!$AE1514),INT(MOD(Sync!$AE1514,10000)/100),IFERROR(VALUE(TRIM(LEFT(MID(Sync!$AE1514,FIND("/",Sync!$AE1514)+1,20),FIND("/",MID(Sync!$AE1514,FIND("/",Sync!$AE1514)+1,20))-1))),"")))</f>
        <v/>
      </c>
      <c r="I1514" t="str">
        <f>IF(OR($F1514="",$G1514=""),"",IF(ISNUMBER(Sync!$AE1514),MOD(Sync!$AE1514,100),IFERROR(VALUE(TRIM(MID(MID(Sync!$AE1514,FIND("/",Sync!$AE1514)+1,20),FIND("/",MID(Sync!$AE1514,FIND("/",Sync!$AE1514)+1,20))+1,20))),"")))</f>
        <v/>
      </c>
      <c r="J1514" t="str">
        <f t="shared" si="117"/>
        <v/>
      </c>
      <c r="K1514" t="str">
        <f>IF(OR($F1514="",$J1514="",$J1514="نامعتبر"),"",LEFT($J1514,4)&amp;MID($J1514,6,2)&amp;RIGHT($J1514,2)&amp;$N1514&amp;"|"&amp;"2"&amp;RIGHT("00000"&amp;1509,5))</f>
        <v/>
      </c>
      <c r="L1514" t="str">
        <f t="shared" si="118"/>
        <v/>
      </c>
      <c r="M1514" t="str">
        <f t="shared" si="119"/>
        <v/>
      </c>
      <c r="N1514" t="str">
        <f>IF($F1514="","",IF(Sync!$AF1514="","0000",IF(AND(ISNUMBER(Sync!$AF1514),Sync!$AF1514&gt;=0,Sync!$AF1514&lt;1),RIGHT("00"&amp;HOUR(Sync!$AF1514),2)&amp;RIGHT("00"&amp;MINUTE(Sync!$AF1514),2),IFERROR(RIGHT("00"&amp;VALUE(LEFT(Sync!$AF1514,FIND(":",Sync!$AF1514)-1)),2)&amp;RIGHT("00"&amp;VALUE(MID(Sync!$AF1514,FIND(":",Sync!$AF1514)+1,2)),2),"0000"))))</f>
        <v/>
      </c>
    </row>
    <row r="1515" spans="1:14" x14ac:dyDescent="0.2">
      <c r="A1515" t="str">
        <f>IF(OR(Calc!$E1519="",Calc!$E1519="نامعتبر",Calc!$G1519=""),"",Calc!$G1519)</f>
        <v/>
      </c>
      <c r="B1515" t="str">
        <f>IF($A1515="","",LEFT(Calc!$E1519,4)&amp;MID(Calc!$E1519,6,2)&amp;RIGHT(Calc!$E1519,2)&amp;Calc!$Q1519&amp;"|"&amp;"1"&amp;RIGHT("00000"&amp;1510,5))</f>
        <v/>
      </c>
      <c r="C1515" t="str">
        <f t="shared" si="115"/>
        <v/>
      </c>
      <c r="D1515" t="str">
        <f t="shared" si="116"/>
        <v/>
      </c>
      <c r="F1515" t="str">
        <f>IF(Sync!$AH1515="","",IF(LEFT(UPPER(TRIM(Sync!$AH1515)),2)="SL",UPPER(TRIM(Sync!$AH1515)),""))</f>
        <v/>
      </c>
      <c r="G1515" t="str">
        <f>IF($F1515="","",IF(Sync!$AE1515="","",IF(ISNUMBER(Sync!$AE1515),IF(AND(Sync!$AE1515&gt;=10000101,Sync!$AE1515&lt;=99991231),INT(Sync!$AE1515/10000),""),IFERROR(VALUE(TRIM(LEFT(Sync!$AE1515,FIND("/",Sync!$AE1515)-1))),""))))</f>
        <v/>
      </c>
      <c r="H1515" t="str">
        <f>IF(OR($F1515="",$G1515=""),"",IF(ISNUMBER(Sync!$AE1515),INT(MOD(Sync!$AE1515,10000)/100),IFERROR(VALUE(TRIM(LEFT(MID(Sync!$AE1515,FIND("/",Sync!$AE1515)+1,20),FIND("/",MID(Sync!$AE1515,FIND("/",Sync!$AE1515)+1,20))-1))),"")))</f>
        <v/>
      </c>
      <c r="I1515" t="str">
        <f>IF(OR($F1515="",$G1515=""),"",IF(ISNUMBER(Sync!$AE1515),MOD(Sync!$AE1515,100),IFERROR(VALUE(TRIM(MID(MID(Sync!$AE1515,FIND("/",Sync!$AE1515)+1,20),FIND("/",MID(Sync!$AE1515,FIND("/",Sync!$AE1515)+1,20))+1,20))),"")))</f>
        <v/>
      </c>
      <c r="J1515" t="str">
        <f t="shared" si="117"/>
        <v/>
      </c>
      <c r="K1515" t="str">
        <f>IF(OR($F1515="",$J1515="",$J1515="نامعتبر"),"",LEFT($J1515,4)&amp;MID($J1515,6,2)&amp;RIGHT($J1515,2)&amp;$N1515&amp;"|"&amp;"2"&amp;RIGHT("00000"&amp;1510,5))</f>
        <v/>
      </c>
      <c r="L1515" t="str">
        <f t="shared" si="118"/>
        <v/>
      </c>
      <c r="M1515" t="str">
        <f t="shared" si="119"/>
        <v/>
      </c>
      <c r="N1515" t="str">
        <f>IF($F1515="","",IF(Sync!$AF1515="","0000",IF(AND(ISNUMBER(Sync!$AF1515),Sync!$AF1515&gt;=0,Sync!$AF1515&lt;1),RIGHT("00"&amp;HOUR(Sync!$AF1515),2)&amp;RIGHT("00"&amp;MINUTE(Sync!$AF1515),2),IFERROR(RIGHT("00"&amp;VALUE(LEFT(Sync!$AF1515,FIND(":",Sync!$AF1515)-1)),2)&amp;RIGHT("00"&amp;VALUE(MID(Sync!$AF1515,FIND(":",Sync!$AF1515)+1,2)),2),"0000"))))</f>
        <v/>
      </c>
    </row>
    <row r="1516" spans="1:14" x14ac:dyDescent="0.2">
      <c r="A1516" t="str">
        <f>IF(OR(Calc!$E1520="",Calc!$E1520="نامعتبر",Calc!$G1520=""),"",Calc!$G1520)</f>
        <v/>
      </c>
      <c r="B1516" t="str">
        <f>IF($A1516="","",LEFT(Calc!$E1520,4)&amp;MID(Calc!$E1520,6,2)&amp;RIGHT(Calc!$E1520,2)&amp;Calc!$Q1520&amp;"|"&amp;"1"&amp;RIGHT("00000"&amp;1511,5))</f>
        <v/>
      </c>
      <c r="C1516" t="str">
        <f t="shared" si="115"/>
        <v/>
      </c>
      <c r="D1516" t="str">
        <f t="shared" si="116"/>
        <v/>
      </c>
      <c r="F1516" t="str">
        <f>IF(Sync!$AH1516="","",IF(LEFT(UPPER(TRIM(Sync!$AH1516)),2)="SL",UPPER(TRIM(Sync!$AH1516)),""))</f>
        <v/>
      </c>
      <c r="G1516" t="str">
        <f>IF($F1516="","",IF(Sync!$AE1516="","",IF(ISNUMBER(Sync!$AE1516),IF(AND(Sync!$AE1516&gt;=10000101,Sync!$AE1516&lt;=99991231),INT(Sync!$AE1516/10000),""),IFERROR(VALUE(TRIM(LEFT(Sync!$AE1516,FIND("/",Sync!$AE1516)-1))),""))))</f>
        <v/>
      </c>
      <c r="H1516" t="str">
        <f>IF(OR($F1516="",$G1516=""),"",IF(ISNUMBER(Sync!$AE1516),INT(MOD(Sync!$AE1516,10000)/100),IFERROR(VALUE(TRIM(LEFT(MID(Sync!$AE1516,FIND("/",Sync!$AE1516)+1,20),FIND("/",MID(Sync!$AE1516,FIND("/",Sync!$AE1516)+1,20))-1))),"")))</f>
        <v/>
      </c>
      <c r="I1516" t="str">
        <f>IF(OR($F1516="",$G1516=""),"",IF(ISNUMBER(Sync!$AE1516),MOD(Sync!$AE1516,100),IFERROR(VALUE(TRIM(MID(MID(Sync!$AE1516,FIND("/",Sync!$AE1516)+1,20),FIND("/",MID(Sync!$AE1516,FIND("/",Sync!$AE1516)+1,20))+1,20))),"")))</f>
        <v/>
      </c>
      <c r="J1516" t="str">
        <f t="shared" si="117"/>
        <v/>
      </c>
      <c r="K1516" t="str">
        <f>IF(OR($F1516="",$J1516="",$J1516="نامعتبر"),"",LEFT($J1516,4)&amp;MID($J1516,6,2)&amp;RIGHT($J1516,2)&amp;$N1516&amp;"|"&amp;"2"&amp;RIGHT("00000"&amp;1511,5))</f>
        <v/>
      </c>
      <c r="L1516" t="str">
        <f t="shared" si="118"/>
        <v/>
      </c>
      <c r="M1516" t="str">
        <f t="shared" si="119"/>
        <v/>
      </c>
      <c r="N1516" t="str">
        <f>IF($F1516="","",IF(Sync!$AF1516="","0000",IF(AND(ISNUMBER(Sync!$AF1516),Sync!$AF1516&gt;=0,Sync!$AF1516&lt;1),RIGHT("00"&amp;HOUR(Sync!$AF1516),2)&amp;RIGHT("00"&amp;MINUTE(Sync!$AF1516),2),IFERROR(RIGHT("00"&amp;VALUE(LEFT(Sync!$AF1516,FIND(":",Sync!$AF1516)-1)),2)&amp;RIGHT("00"&amp;VALUE(MID(Sync!$AF1516,FIND(":",Sync!$AF1516)+1,2)),2),"0000"))))</f>
        <v/>
      </c>
    </row>
    <row r="1517" spans="1:14" x14ac:dyDescent="0.2">
      <c r="A1517" t="str">
        <f>IF(OR(Calc!$E1521="",Calc!$E1521="نامعتبر",Calc!$G1521=""),"",Calc!$G1521)</f>
        <v/>
      </c>
      <c r="B1517" t="str">
        <f>IF($A1517="","",LEFT(Calc!$E1521,4)&amp;MID(Calc!$E1521,6,2)&amp;RIGHT(Calc!$E1521,2)&amp;Calc!$Q1521&amp;"|"&amp;"1"&amp;RIGHT("00000"&amp;1512,5))</f>
        <v/>
      </c>
      <c r="C1517" t="str">
        <f t="shared" si="115"/>
        <v/>
      </c>
      <c r="D1517" t="str">
        <f t="shared" si="116"/>
        <v/>
      </c>
      <c r="F1517" t="str">
        <f>IF(Sync!$AH1517="","",IF(LEFT(UPPER(TRIM(Sync!$AH1517)),2)="SL",UPPER(TRIM(Sync!$AH1517)),""))</f>
        <v/>
      </c>
      <c r="G1517" t="str">
        <f>IF($F1517="","",IF(Sync!$AE1517="","",IF(ISNUMBER(Sync!$AE1517),IF(AND(Sync!$AE1517&gt;=10000101,Sync!$AE1517&lt;=99991231),INT(Sync!$AE1517/10000),""),IFERROR(VALUE(TRIM(LEFT(Sync!$AE1517,FIND("/",Sync!$AE1517)-1))),""))))</f>
        <v/>
      </c>
      <c r="H1517" t="str">
        <f>IF(OR($F1517="",$G1517=""),"",IF(ISNUMBER(Sync!$AE1517),INT(MOD(Sync!$AE1517,10000)/100),IFERROR(VALUE(TRIM(LEFT(MID(Sync!$AE1517,FIND("/",Sync!$AE1517)+1,20),FIND("/",MID(Sync!$AE1517,FIND("/",Sync!$AE1517)+1,20))-1))),"")))</f>
        <v/>
      </c>
      <c r="I1517" t="str">
        <f>IF(OR($F1517="",$G1517=""),"",IF(ISNUMBER(Sync!$AE1517),MOD(Sync!$AE1517,100),IFERROR(VALUE(TRIM(MID(MID(Sync!$AE1517,FIND("/",Sync!$AE1517)+1,20),FIND("/",MID(Sync!$AE1517,FIND("/",Sync!$AE1517)+1,20))+1,20))),"")))</f>
        <v/>
      </c>
      <c r="J1517" t="str">
        <f t="shared" si="117"/>
        <v/>
      </c>
      <c r="K1517" t="str">
        <f>IF(OR($F1517="",$J1517="",$J1517="نامعتبر"),"",LEFT($J1517,4)&amp;MID($J1517,6,2)&amp;RIGHT($J1517,2)&amp;$N1517&amp;"|"&amp;"2"&amp;RIGHT("00000"&amp;1512,5))</f>
        <v/>
      </c>
      <c r="L1517" t="str">
        <f t="shared" si="118"/>
        <v/>
      </c>
      <c r="M1517" t="str">
        <f t="shared" si="119"/>
        <v/>
      </c>
      <c r="N1517" t="str">
        <f>IF($F1517="","",IF(Sync!$AF1517="","0000",IF(AND(ISNUMBER(Sync!$AF1517),Sync!$AF1517&gt;=0,Sync!$AF1517&lt;1),RIGHT("00"&amp;HOUR(Sync!$AF1517),2)&amp;RIGHT("00"&amp;MINUTE(Sync!$AF1517),2),IFERROR(RIGHT("00"&amp;VALUE(LEFT(Sync!$AF1517,FIND(":",Sync!$AF1517)-1)),2)&amp;RIGHT("00"&amp;VALUE(MID(Sync!$AF1517,FIND(":",Sync!$AF1517)+1,2)),2),"0000"))))</f>
        <v/>
      </c>
    </row>
    <row r="1518" spans="1:14" x14ac:dyDescent="0.2">
      <c r="A1518" t="str">
        <f>IF(OR(Calc!$E1522="",Calc!$E1522="نامعتبر",Calc!$G1522=""),"",Calc!$G1522)</f>
        <v/>
      </c>
      <c r="B1518" t="str">
        <f>IF($A1518="","",LEFT(Calc!$E1522,4)&amp;MID(Calc!$E1522,6,2)&amp;RIGHT(Calc!$E1522,2)&amp;Calc!$Q1522&amp;"|"&amp;"1"&amp;RIGHT("00000"&amp;1513,5))</f>
        <v/>
      </c>
      <c r="C1518" t="str">
        <f t="shared" si="115"/>
        <v/>
      </c>
      <c r="D1518" t="str">
        <f t="shared" si="116"/>
        <v/>
      </c>
      <c r="F1518" t="str">
        <f>IF(Sync!$AH1518="","",IF(LEFT(UPPER(TRIM(Sync!$AH1518)),2)="SL",UPPER(TRIM(Sync!$AH1518)),""))</f>
        <v/>
      </c>
      <c r="G1518" t="str">
        <f>IF($F1518="","",IF(Sync!$AE1518="","",IF(ISNUMBER(Sync!$AE1518),IF(AND(Sync!$AE1518&gt;=10000101,Sync!$AE1518&lt;=99991231),INT(Sync!$AE1518/10000),""),IFERROR(VALUE(TRIM(LEFT(Sync!$AE1518,FIND("/",Sync!$AE1518)-1))),""))))</f>
        <v/>
      </c>
      <c r="H1518" t="str">
        <f>IF(OR($F1518="",$G1518=""),"",IF(ISNUMBER(Sync!$AE1518),INT(MOD(Sync!$AE1518,10000)/100),IFERROR(VALUE(TRIM(LEFT(MID(Sync!$AE1518,FIND("/",Sync!$AE1518)+1,20),FIND("/",MID(Sync!$AE1518,FIND("/",Sync!$AE1518)+1,20))-1))),"")))</f>
        <v/>
      </c>
      <c r="I1518" t="str">
        <f>IF(OR($F1518="",$G1518=""),"",IF(ISNUMBER(Sync!$AE1518),MOD(Sync!$AE1518,100),IFERROR(VALUE(TRIM(MID(MID(Sync!$AE1518,FIND("/",Sync!$AE1518)+1,20),FIND("/",MID(Sync!$AE1518,FIND("/",Sync!$AE1518)+1,20))+1,20))),"")))</f>
        <v/>
      </c>
      <c r="J1518" t="str">
        <f t="shared" si="117"/>
        <v/>
      </c>
      <c r="K1518" t="str">
        <f>IF(OR($F1518="",$J1518="",$J1518="نامعتبر"),"",LEFT($J1518,4)&amp;MID($J1518,6,2)&amp;RIGHT($J1518,2)&amp;$N1518&amp;"|"&amp;"2"&amp;RIGHT("00000"&amp;1513,5))</f>
        <v/>
      </c>
      <c r="L1518" t="str">
        <f t="shared" si="118"/>
        <v/>
      </c>
      <c r="M1518" t="str">
        <f t="shared" si="119"/>
        <v/>
      </c>
      <c r="N1518" t="str">
        <f>IF($F1518="","",IF(Sync!$AF1518="","0000",IF(AND(ISNUMBER(Sync!$AF1518),Sync!$AF1518&gt;=0,Sync!$AF1518&lt;1),RIGHT("00"&amp;HOUR(Sync!$AF1518),2)&amp;RIGHT("00"&amp;MINUTE(Sync!$AF1518),2),IFERROR(RIGHT("00"&amp;VALUE(LEFT(Sync!$AF1518,FIND(":",Sync!$AF1518)-1)),2)&amp;RIGHT("00"&amp;VALUE(MID(Sync!$AF1518,FIND(":",Sync!$AF1518)+1,2)),2),"0000"))))</f>
        <v/>
      </c>
    </row>
    <row r="1519" spans="1:14" x14ac:dyDescent="0.2">
      <c r="A1519" t="str">
        <f>IF(OR(Calc!$E1523="",Calc!$E1523="نامعتبر",Calc!$G1523=""),"",Calc!$G1523)</f>
        <v/>
      </c>
      <c r="B1519" t="str">
        <f>IF($A1519="","",LEFT(Calc!$E1523,4)&amp;MID(Calc!$E1523,6,2)&amp;RIGHT(Calc!$E1523,2)&amp;Calc!$Q1523&amp;"|"&amp;"1"&amp;RIGHT("00000"&amp;1514,5))</f>
        <v/>
      </c>
      <c r="C1519" t="str">
        <f t="shared" si="115"/>
        <v/>
      </c>
      <c r="D1519" t="str">
        <f t="shared" si="116"/>
        <v/>
      </c>
      <c r="F1519" t="str">
        <f>IF(Sync!$AH1519="","",IF(LEFT(UPPER(TRIM(Sync!$AH1519)),2)="SL",UPPER(TRIM(Sync!$AH1519)),""))</f>
        <v/>
      </c>
      <c r="G1519" t="str">
        <f>IF($F1519="","",IF(Sync!$AE1519="","",IF(ISNUMBER(Sync!$AE1519),IF(AND(Sync!$AE1519&gt;=10000101,Sync!$AE1519&lt;=99991231),INT(Sync!$AE1519/10000),""),IFERROR(VALUE(TRIM(LEFT(Sync!$AE1519,FIND("/",Sync!$AE1519)-1))),""))))</f>
        <v/>
      </c>
      <c r="H1519" t="str">
        <f>IF(OR($F1519="",$G1519=""),"",IF(ISNUMBER(Sync!$AE1519),INT(MOD(Sync!$AE1519,10000)/100),IFERROR(VALUE(TRIM(LEFT(MID(Sync!$AE1519,FIND("/",Sync!$AE1519)+1,20),FIND("/",MID(Sync!$AE1519,FIND("/",Sync!$AE1519)+1,20))-1))),"")))</f>
        <v/>
      </c>
      <c r="I1519" t="str">
        <f>IF(OR($F1519="",$G1519=""),"",IF(ISNUMBER(Sync!$AE1519),MOD(Sync!$AE1519,100),IFERROR(VALUE(TRIM(MID(MID(Sync!$AE1519,FIND("/",Sync!$AE1519)+1,20),FIND("/",MID(Sync!$AE1519,FIND("/",Sync!$AE1519)+1,20))+1,20))),"")))</f>
        <v/>
      </c>
      <c r="J1519" t="str">
        <f t="shared" si="117"/>
        <v/>
      </c>
      <c r="K1519" t="str">
        <f>IF(OR($F1519="",$J1519="",$J1519="نامعتبر"),"",LEFT($J1519,4)&amp;MID($J1519,6,2)&amp;RIGHT($J1519,2)&amp;$N1519&amp;"|"&amp;"2"&amp;RIGHT("00000"&amp;1514,5))</f>
        <v/>
      </c>
      <c r="L1519" t="str">
        <f t="shared" si="118"/>
        <v/>
      </c>
      <c r="M1519" t="str">
        <f t="shared" si="119"/>
        <v/>
      </c>
      <c r="N1519" t="str">
        <f>IF($F1519="","",IF(Sync!$AF1519="","0000",IF(AND(ISNUMBER(Sync!$AF1519),Sync!$AF1519&gt;=0,Sync!$AF1519&lt;1),RIGHT("00"&amp;HOUR(Sync!$AF1519),2)&amp;RIGHT("00"&amp;MINUTE(Sync!$AF1519),2),IFERROR(RIGHT("00"&amp;VALUE(LEFT(Sync!$AF1519,FIND(":",Sync!$AF1519)-1)),2)&amp;RIGHT("00"&amp;VALUE(MID(Sync!$AF1519,FIND(":",Sync!$AF1519)+1,2)),2),"0000"))))</f>
        <v/>
      </c>
    </row>
    <row r="1520" spans="1:14" x14ac:dyDescent="0.2">
      <c r="A1520" t="str">
        <f>IF(OR(Calc!$E1524="",Calc!$E1524="نامعتبر",Calc!$G1524=""),"",Calc!$G1524)</f>
        <v/>
      </c>
      <c r="B1520" t="str">
        <f>IF($A1520="","",LEFT(Calc!$E1524,4)&amp;MID(Calc!$E1524,6,2)&amp;RIGHT(Calc!$E1524,2)&amp;Calc!$Q1524&amp;"|"&amp;"1"&amp;RIGHT("00000"&amp;1515,5))</f>
        <v/>
      </c>
      <c r="C1520" t="str">
        <f t="shared" si="115"/>
        <v/>
      </c>
      <c r="D1520" t="str">
        <f t="shared" si="116"/>
        <v/>
      </c>
      <c r="F1520" t="str">
        <f>IF(Sync!$AH1520="","",IF(LEFT(UPPER(TRIM(Sync!$AH1520)),2)="SL",UPPER(TRIM(Sync!$AH1520)),""))</f>
        <v/>
      </c>
      <c r="G1520" t="str">
        <f>IF($F1520="","",IF(Sync!$AE1520="","",IF(ISNUMBER(Sync!$AE1520),IF(AND(Sync!$AE1520&gt;=10000101,Sync!$AE1520&lt;=99991231),INT(Sync!$AE1520/10000),""),IFERROR(VALUE(TRIM(LEFT(Sync!$AE1520,FIND("/",Sync!$AE1520)-1))),""))))</f>
        <v/>
      </c>
      <c r="H1520" t="str">
        <f>IF(OR($F1520="",$G1520=""),"",IF(ISNUMBER(Sync!$AE1520),INT(MOD(Sync!$AE1520,10000)/100),IFERROR(VALUE(TRIM(LEFT(MID(Sync!$AE1520,FIND("/",Sync!$AE1520)+1,20),FIND("/",MID(Sync!$AE1520,FIND("/",Sync!$AE1520)+1,20))-1))),"")))</f>
        <v/>
      </c>
      <c r="I1520" t="str">
        <f>IF(OR($F1520="",$G1520=""),"",IF(ISNUMBER(Sync!$AE1520),MOD(Sync!$AE1520,100),IFERROR(VALUE(TRIM(MID(MID(Sync!$AE1520,FIND("/",Sync!$AE1520)+1,20),FIND("/",MID(Sync!$AE1520,FIND("/",Sync!$AE1520)+1,20))+1,20))),"")))</f>
        <v/>
      </c>
      <c r="J1520" t="str">
        <f t="shared" si="117"/>
        <v/>
      </c>
      <c r="K1520" t="str">
        <f>IF(OR($F1520="",$J1520="",$J1520="نامعتبر"),"",LEFT($J1520,4)&amp;MID($J1520,6,2)&amp;RIGHT($J1520,2)&amp;$N1520&amp;"|"&amp;"2"&amp;RIGHT("00000"&amp;1515,5))</f>
        <v/>
      </c>
      <c r="L1520" t="str">
        <f t="shared" si="118"/>
        <v/>
      </c>
      <c r="M1520" t="str">
        <f t="shared" si="119"/>
        <v/>
      </c>
      <c r="N1520" t="str">
        <f>IF($F1520="","",IF(Sync!$AF1520="","0000",IF(AND(ISNUMBER(Sync!$AF1520),Sync!$AF1520&gt;=0,Sync!$AF1520&lt;1),RIGHT("00"&amp;HOUR(Sync!$AF1520),2)&amp;RIGHT("00"&amp;MINUTE(Sync!$AF1520),2),IFERROR(RIGHT("00"&amp;VALUE(LEFT(Sync!$AF1520,FIND(":",Sync!$AF1520)-1)),2)&amp;RIGHT("00"&amp;VALUE(MID(Sync!$AF1520,FIND(":",Sync!$AF1520)+1,2)),2),"0000"))))</f>
        <v/>
      </c>
    </row>
    <row r="1521" spans="1:14" x14ac:dyDescent="0.2">
      <c r="A1521" t="str">
        <f>IF(OR(Calc!$E1525="",Calc!$E1525="نامعتبر",Calc!$G1525=""),"",Calc!$G1525)</f>
        <v/>
      </c>
      <c r="B1521" t="str">
        <f>IF($A1521="","",LEFT(Calc!$E1525,4)&amp;MID(Calc!$E1525,6,2)&amp;RIGHT(Calc!$E1525,2)&amp;Calc!$Q1525&amp;"|"&amp;"1"&amp;RIGHT("00000"&amp;1516,5))</f>
        <v/>
      </c>
      <c r="C1521" t="str">
        <f t="shared" si="115"/>
        <v/>
      </c>
      <c r="D1521" t="str">
        <f t="shared" si="116"/>
        <v/>
      </c>
      <c r="F1521" t="str">
        <f>IF(Sync!$AH1521="","",IF(LEFT(UPPER(TRIM(Sync!$AH1521)),2)="SL",UPPER(TRIM(Sync!$AH1521)),""))</f>
        <v/>
      </c>
      <c r="G1521" t="str">
        <f>IF($F1521="","",IF(Sync!$AE1521="","",IF(ISNUMBER(Sync!$AE1521),IF(AND(Sync!$AE1521&gt;=10000101,Sync!$AE1521&lt;=99991231),INT(Sync!$AE1521/10000),""),IFERROR(VALUE(TRIM(LEFT(Sync!$AE1521,FIND("/",Sync!$AE1521)-1))),""))))</f>
        <v/>
      </c>
      <c r="H1521" t="str">
        <f>IF(OR($F1521="",$G1521=""),"",IF(ISNUMBER(Sync!$AE1521),INT(MOD(Sync!$AE1521,10000)/100),IFERROR(VALUE(TRIM(LEFT(MID(Sync!$AE1521,FIND("/",Sync!$AE1521)+1,20),FIND("/",MID(Sync!$AE1521,FIND("/",Sync!$AE1521)+1,20))-1))),"")))</f>
        <v/>
      </c>
      <c r="I1521" t="str">
        <f>IF(OR($F1521="",$G1521=""),"",IF(ISNUMBER(Sync!$AE1521),MOD(Sync!$AE1521,100),IFERROR(VALUE(TRIM(MID(MID(Sync!$AE1521,FIND("/",Sync!$AE1521)+1,20),FIND("/",MID(Sync!$AE1521,FIND("/",Sync!$AE1521)+1,20))+1,20))),"")))</f>
        <v/>
      </c>
      <c r="J1521" t="str">
        <f t="shared" si="117"/>
        <v/>
      </c>
      <c r="K1521" t="str">
        <f>IF(OR($F1521="",$J1521="",$J1521="نامعتبر"),"",LEFT($J1521,4)&amp;MID($J1521,6,2)&amp;RIGHT($J1521,2)&amp;$N1521&amp;"|"&amp;"2"&amp;RIGHT("00000"&amp;1516,5))</f>
        <v/>
      </c>
      <c r="L1521" t="str">
        <f t="shared" si="118"/>
        <v/>
      </c>
      <c r="M1521" t="str">
        <f t="shared" si="119"/>
        <v/>
      </c>
      <c r="N1521" t="str">
        <f>IF($F1521="","",IF(Sync!$AF1521="","0000",IF(AND(ISNUMBER(Sync!$AF1521),Sync!$AF1521&gt;=0,Sync!$AF1521&lt;1),RIGHT("00"&amp;HOUR(Sync!$AF1521),2)&amp;RIGHT("00"&amp;MINUTE(Sync!$AF1521),2),IFERROR(RIGHT("00"&amp;VALUE(LEFT(Sync!$AF1521,FIND(":",Sync!$AF1521)-1)),2)&amp;RIGHT("00"&amp;VALUE(MID(Sync!$AF1521,FIND(":",Sync!$AF1521)+1,2)),2),"0000"))))</f>
        <v/>
      </c>
    </row>
    <row r="1522" spans="1:14" x14ac:dyDescent="0.2">
      <c r="A1522" t="str">
        <f>IF(OR(Calc!$E1526="",Calc!$E1526="نامعتبر",Calc!$G1526=""),"",Calc!$G1526)</f>
        <v/>
      </c>
      <c r="B1522" t="str">
        <f>IF($A1522="","",LEFT(Calc!$E1526,4)&amp;MID(Calc!$E1526,6,2)&amp;RIGHT(Calc!$E1526,2)&amp;Calc!$Q1526&amp;"|"&amp;"1"&amp;RIGHT("00000"&amp;1517,5))</f>
        <v/>
      </c>
      <c r="C1522" t="str">
        <f t="shared" si="115"/>
        <v/>
      </c>
      <c r="D1522" t="str">
        <f t="shared" si="116"/>
        <v/>
      </c>
      <c r="F1522" t="str">
        <f>IF(Sync!$AH1522="","",IF(LEFT(UPPER(TRIM(Sync!$AH1522)),2)="SL",UPPER(TRIM(Sync!$AH1522)),""))</f>
        <v/>
      </c>
      <c r="G1522" t="str">
        <f>IF($F1522="","",IF(Sync!$AE1522="","",IF(ISNUMBER(Sync!$AE1522),IF(AND(Sync!$AE1522&gt;=10000101,Sync!$AE1522&lt;=99991231),INT(Sync!$AE1522/10000),""),IFERROR(VALUE(TRIM(LEFT(Sync!$AE1522,FIND("/",Sync!$AE1522)-1))),""))))</f>
        <v/>
      </c>
      <c r="H1522" t="str">
        <f>IF(OR($F1522="",$G1522=""),"",IF(ISNUMBER(Sync!$AE1522),INT(MOD(Sync!$AE1522,10000)/100),IFERROR(VALUE(TRIM(LEFT(MID(Sync!$AE1522,FIND("/",Sync!$AE1522)+1,20),FIND("/",MID(Sync!$AE1522,FIND("/",Sync!$AE1522)+1,20))-1))),"")))</f>
        <v/>
      </c>
      <c r="I1522" t="str">
        <f>IF(OR($F1522="",$G1522=""),"",IF(ISNUMBER(Sync!$AE1522),MOD(Sync!$AE1522,100),IFERROR(VALUE(TRIM(MID(MID(Sync!$AE1522,FIND("/",Sync!$AE1522)+1,20),FIND("/",MID(Sync!$AE1522,FIND("/",Sync!$AE1522)+1,20))+1,20))),"")))</f>
        <v/>
      </c>
      <c r="J1522" t="str">
        <f t="shared" si="117"/>
        <v/>
      </c>
      <c r="K1522" t="str">
        <f>IF(OR($F1522="",$J1522="",$J1522="نامعتبر"),"",LEFT($J1522,4)&amp;MID($J1522,6,2)&amp;RIGHT($J1522,2)&amp;$N1522&amp;"|"&amp;"2"&amp;RIGHT("00000"&amp;1517,5))</f>
        <v/>
      </c>
      <c r="L1522" t="str">
        <f t="shared" si="118"/>
        <v/>
      </c>
      <c r="M1522" t="str">
        <f t="shared" si="119"/>
        <v/>
      </c>
      <c r="N1522" t="str">
        <f>IF($F1522="","",IF(Sync!$AF1522="","0000",IF(AND(ISNUMBER(Sync!$AF1522),Sync!$AF1522&gt;=0,Sync!$AF1522&lt;1),RIGHT("00"&amp;HOUR(Sync!$AF1522),2)&amp;RIGHT("00"&amp;MINUTE(Sync!$AF1522),2),IFERROR(RIGHT("00"&amp;VALUE(LEFT(Sync!$AF1522,FIND(":",Sync!$AF1522)-1)),2)&amp;RIGHT("00"&amp;VALUE(MID(Sync!$AF1522,FIND(":",Sync!$AF1522)+1,2)),2),"0000"))))</f>
        <v/>
      </c>
    </row>
    <row r="1523" spans="1:14" x14ac:dyDescent="0.2">
      <c r="A1523" t="str">
        <f>IF(OR(Calc!$E1527="",Calc!$E1527="نامعتبر",Calc!$G1527=""),"",Calc!$G1527)</f>
        <v/>
      </c>
      <c r="B1523" t="str">
        <f>IF($A1523="","",LEFT(Calc!$E1527,4)&amp;MID(Calc!$E1527,6,2)&amp;RIGHT(Calc!$E1527,2)&amp;Calc!$Q1527&amp;"|"&amp;"1"&amp;RIGHT("00000"&amp;1518,5))</f>
        <v/>
      </c>
      <c r="C1523" t="str">
        <f t="shared" si="115"/>
        <v/>
      </c>
      <c r="D1523" t="str">
        <f t="shared" si="116"/>
        <v/>
      </c>
      <c r="F1523" t="str">
        <f>IF(Sync!$AH1523="","",IF(LEFT(UPPER(TRIM(Sync!$AH1523)),2)="SL",UPPER(TRIM(Sync!$AH1523)),""))</f>
        <v/>
      </c>
      <c r="G1523" t="str">
        <f>IF($F1523="","",IF(Sync!$AE1523="","",IF(ISNUMBER(Sync!$AE1523),IF(AND(Sync!$AE1523&gt;=10000101,Sync!$AE1523&lt;=99991231),INT(Sync!$AE1523/10000),""),IFERROR(VALUE(TRIM(LEFT(Sync!$AE1523,FIND("/",Sync!$AE1523)-1))),""))))</f>
        <v/>
      </c>
      <c r="H1523" t="str">
        <f>IF(OR($F1523="",$G1523=""),"",IF(ISNUMBER(Sync!$AE1523),INT(MOD(Sync!$AE1523,10000)/100),IFERROR(VALUE(TRIM(LEFT(MID(Sync!$AE1523,FIND("/",Sync!$AE1523)+1,20),FIND("/",MID(Sync!$AE1523,FIND("/",Sync!$AE1523)+1,20))-1))),"")))</f>
        <v/>
      </c>
      <c r="I1523" t="str">
        <f>IF(OR($F1523="",$G1523=""),"",IF(ISNUMBER(Sync!$AE1523),MOD(Sync!$AE1523,100),IFERROR(VALUE(TRIM(MID(MID(Sync!$AE1523,FIND("/",Sync!$AE1523)+1,20),FIND("/",MID(Sync!$AE1523,FIND("/",Sync!$AE1523)+1,20))+1,20))),"")))</f>
        <v/>
      </c>
      <c r="J1523" t="str">
        <f t="shared" si="117"/>
        <v/>
      </c>
      <c r="K1523" t="str">
        <f>IF(OR($F1523="",$J1523="",$J1523="نامعتبر"),"",LEFT($J1523,4)&amp;MID($J1523,6,2)&amp;RIGHT($J1523,2)&amp;$N1523&amp;"|"&amp;"2"&amp;RIGHT("00000"&amp;1518,5))</f>
        <v/>
      </c>
      <c r="L1523" t="str">
        <f t="shared" si="118"/>
        <v/>
      </c>
      <c r="M1523" t="str">
        <f t="shared" si="119"/>
        <v/>
      </c>
      <c r="N1523" t="str">
        <f>IF($F1523="","",IF(Sync!$AF1523="","0000",IF(AND(ISNUMBER(Sync!$AF1523),Sync!$AF1523&gt;=0,Sync!$AF1523&lt;1),RIGHT("00"&amp;HOUR(Sync!$AF1523),2)&amp;RIGHT("00"&amp;MINUTE(Sync!$AF1523),2),IFERROR(RIGHT("00"&amp;VALUE(LEFT(Sync!$AF1523,FIND(":",Sync!$AF1523)-1)),2)&amp;RIGHT("00"&amp;VALUE(MID(Sync!$AF1523,FIND(":",Sync!$AF1523)+1,2)),2),"0000"))))</f>
        <v/>
      </c>
    </row>
    <row r="1524" spans="1:14" x14ac:dyDescent="0.2">
      <c r="A1524" t="str">
        <f>IF(OR(Calc!$E1528="",Calc!$E1528="نامعتبر",Calc!$G1528=""),"",Calc!$G1528)</f>
        <v/>
      </c>
      <c r="B1524" t="str">
        <f>IF($A1524="","",LEFT(Calc!$E1528,4)&amp;MID(Calc!$E1528,6,2)&amp;RIGHT(Calc!$E1528,2)&amp;Calc!$Q1528&amp;"|"&amp;"1"&amp;RIGHT("00000"&amp;1519,5))</f>
        <v/>
      </c>
      <c r="C1524" t="str">
        <f t="shared" si="115"/>
        <v/>
      </c>
      <c r="D1524" t="str">
        <f t="shared" si="116"/>
        <v/>
      </c>
      <c r="F1524" t="str">
        <f>IF(Sync!$AH1524="","",IF(LEFT(UPPER(TRIM(Sync!$AH1524)),2)="SL",UPPER(TRIM(Sync!$AH1524)),""))</f>
        <v/>
      </c>
      <c r="G1524" t="str">
        <f>IF($F1524="","",IF(Sync!$AE1524="","",IF(ISNUMBER(Sync!$AE1524),IF(AND(Sync!$AE1524&gt;=10000101,Sync!$AE1524&lt;=99991231),INT(Sync!$AE1524/10000),""),IFERROR(VALUE(TRIM(LEFT(Sync!$AE1524,FIND("/",Sync!$AE1524)-1))),""))))</f>
        <v/>
      </c>
      <c r="H1524" t="str">
        <f>IF(OR($F1524="",$G1524=""),"",IF(ISNUMBER(Sync!$AE1524),INT(MOD(Sync!$AE1524,10000)/100),IFERROR(VALUE(TRIM(LEFT(MID(Sync!$AE1524,FIND("/",Sync!$AE1524)+1,20),FIND("/",MID(Sync!$AE1524,FIND("/",Sync!$AE1524)+1,20))-1))),"")))</f>
        <v/>
      </c>
      <c r="I1524" t="str">
        <f>IF(OR($F1524="",$G1524=""),"",IF(ISNUMBER(Sync!$AE1524),MOD(Sync!$AE1524,100),IFERROR(VALUE(TRIM(MID(MID(Sync!$AE1524,FIND("/",Sync!$AE1524)+1,20),FIND("/",MID(Sync!$AE1524,FIND("/",Sync!$AE1524)+1,20))+1,20))),"")))</f>
        <v/>
      </c>
      <c r="J1524" t="str">
        <f t="shared" si="117"/>
        <v/>
      </c>
      <c r="K1524" t="str">
        <f>IF(OR($F1524="",$J1524="",$J1524="نامعتبر"),"",LEFT($J1524,4)&amp;MID($J1524,6,2)&amp;RIGHT($J1524,2)&amp;$N1524&amp;"|"&amp;"2"&amp;RIGHT("00000"&amp;1519,5))</f>
        <v/>
      </c>
      <c r="L1524" t="str">
        <f t="shared" si="118"/>
        <v/>
      </c>
      <c r="M1524" t="str">
        <f t="shared" si="119"/>
        <v/>
      </c>
      <c r="N1524" t="str">
        <f>IF($F1524="","",IF(Sync!$AF1524="","0000",IF(AND(ISNUMBER(Sync!$AF1524),Sync!$AF1524&gt;=0,Sync!$AF1524&lt;1),RIGHT("00"&amp;HOUR(Sync!$AF1524),2)&amp;RIGHT("00"&amp;MINUTE(Sync!$AF1524),2),IFERROR(RIGHT("00"&amp;VALUE(LEFT(Sync!$AF1524,FIND(":",Sync!$AF1524)-1)),2)&amp;RIGHT("00"&amp;VALUE(MID(Sync!$AF1524,FIND(":",Sync!$AF1524)+1,2)),2),"0000"))))</f>
        <v/>
      </c>
    </row>
    <row r="1525" spans="1:14" x14ac:dyDescent="0.2">
      <c r="A1525" t="str">
        <f>IF(OR(Calc!$E1529="",Calc!$E1529="نامعتبر",Calc!$G1529=""),"",Calc!$G1529)</f>
        <v/>
      </c>
      <c r="B1525" t="str">
        <f>IF($A1525="","",LEFT(Calc!$E1529,4)&amp;MID(Calc!$E1529,6,2)&amp;RIGHT(Calc!$E1529,2)&amp;Calc!$Q1529&amp;"|"&amp;"1"&amp;RIGHT("00000"&amp;1520,5))</f>
        <v/>
      </c>
      <c r="C1525" t="str">
        <f t="shared" si="115"/>
        <v/>
      </c>
      <c r="D1525" t="str">
        <f t="shared" si="116"/>
        <v/>
      </c>
      <c r="F1525" t="str">
        <f>IF(Sync!$AH1525="","",IF(LEFT(UPPER(TRIM(Sync!$AH1525)),2)="SL",UPPER(TRIM(Sync!$AH1525)),""))</f>
        <v/>
      </c>
      <c r="G1525" t="str">
        <f>IF($F1525="","",IF(Sync!$AE1525="","",IF(ISNUMBER(Sync!$AE1525),IF(AND(Sync!$AE1525&gt;=10000101,Sync!$AE1525&lt;=99991231),INT(Sync!$AE1525/10000),""),IFERROR(VALUE(TRIM(LEFT(Sync!$AE1525,FIND("/",Sync!$AE1525)-1))),""))))</f>
        <v/>
      </c>
      <c r="H1525" t="str">
        <f>IF(OR($F1525="",$G1525=""),"",IF(ISNUMBER(Sync!$AE1525),INT(MOD(Sync!$AE1525,10000)/100),IFERROR(VALUE(TRIM(LEFT(MID(Sync!$AE1525,FIND("/",Sync!$AE1525)+1,20),FIND("/",MID(Sync!$AE1525,FIND("/",Sync!$AE1525)+1,20))-1))),"")))</f>
        <v/>
      </c>
      <c r="I1525" t="str">
        <f>IF(OR($F1525="",$G1525=""),"",IF(ISNUMBER(Sync!$AE1525),MOD(Sync!$AE1525,100),IFERROR(VALUE(TRIM(MID(MID(Sync!$AE1525,FIND("/",Sync!$AE1525)+1,20),FIND("/",MID(Sync!$AE1525,FIND("/",Sync!$AE1525)+1,20))+1,20))),"")))</f>
        <v/>
      </c>
      <c r="J1525" t="str">
        <f t="shared" si="117"/>
        <v/>
      </c>
      <c r="K1525" t="str">
        <f>IF(OR($F1525="",$J1525="",$J1525="نامعتبر"),"",LEFT($J1525,4)&amp;MID($J1525,6,2)&amp;RIGHT($J1525,2)&amp;$N1525&amp;"|"&amp;"2"&amp;RIGHT("00000"&amp;1520,5))</f>
        <v/>
      </c>
      <c r="L1525" t="str">
        <f t="shared" si="118"/>
        <v/>
      </c>
      <c r="M1525" t="str">
        <f t="shared" si="119"/>
        <v/>
      </c>
      <c r="N1525" t="str">
        <f>IF($F1525="","",IF(Sync!$AF1525="","0000",IF(AND(ISNUMBER(Sync!$AF1525),Sync!$AF1525&gt;=0,Sync!$AF1525&lt;1),RIGHT("00"&amp;HOUR(Sync!$AF1525),2)&amp;RIGHT("00"&amp;MINUTE(Sync!$AF1525),2),IFERROR(RIGHT("00"&amp;VALUE(LEFT(Sync!$AF1525,FIND(":",Sync!$AF1525)-1)),2)&amp;RIGHT("00"&amp;VALUE(MID(Sync!$AF1525,FIND(":",Sync!$AF1525)+1,2)),2),"0000"))))</f>
        <v/>
      </c>
    </row>
    <row r="1526" spans="1:14" x14ac:dyDescent="0.2">
      <c r="A1526" t="str">
        <f>IF(OR(Calc!$E1530="",Calc!$E1530="نامعتبر",Calc!$G1530=""),"",Calc!$G1530)</f>
        <v/>
      </c>
      <c r="B1526" t="str">
        <f>IF($A1526="","",LEFT(Calc!$E1530,4)&amp;MID(Calc!$E1530,6,2)&amp;RIGHT(Calc!$E1530,2)&amp;Calc!$Q1530&amp;"|"&amp;"1"&amp;RIGHT("00000"&amp;1521,5))</f>
        <v/>
      </c>
      <c r="C1526" t="str">
        <f t="shared" si="115"/>
        <v/>
      </c>
      <c r="D1526" t="str">
        <f t="shared" si="116"/>
        <v/>
      </c>
      <c r="F1526" t="str">
        <f>IF(Sync!$AH1526="","",IF(LEFT(UPPER(TRIM(Sync!$AH1526)),2)="SL",UPPER(TRIM(Sync!$AH1526)),""))</f>
        <v/>
      </c>
      <c r="G1526" t="str">
        <f>IF($F1526="","",IF(Sync!$AE1526="","",IF(ISNUMBER(Sync!$AE1526),IF(AND(Sync!$AE1526&gt;=10000101,Sync!$AE1526&lt;=99991231),INT(Sync!$AE1526/10000),""),IFERROR(VALUE(TRIM(LEFT(Sync!$AE1526,FIND("/",Sync!$AE1526)-1))),""))))</f>
        <v/>
      </c>
      <c r="H1526" t="str">
        <f>IF(OR($F1526="",$G1526=""),"",IF(ISNUMBER(Sync!$AE1526),INT(MOD(Sync!$AE1526,10000)/100),IFERROR(VALUE(TRIM(LEFT(MID(Sync!$AE1526,FIND("/",Sync!$AE1526)+1,20),FIND("/",MID(Sync!$AE1526,FIND("/",Sync!$AE1526)+1,20))-1))),"")))</f>
        <v/>
      </c>
      <c r="I1526" t="str">
        <f>IF(OR($F1526="",$G1526=""),"",IF(ISNUMBER(Sync!$AE1526),MOD(Sync!$AE1526,100),IFERROR(VALUE(TRIM(MID(MID(Sync!$AE1526,FIND("/",Sync!$AE1526)+1,20),FIND("/",MID(Sync!$AE1526,FIND("/",Sync!$AE1526)+1,20))+1,20))),"")))</f>
        <v/>
      </c>
      <c r="J1526" t="str">
        <f t="shared" si="117"/>
        <v/>
      </c>
      <c r="K1526" t="str">
        <f>IF(OR($F1526="",$J1526="",$J1526="نامعتبر"),"",LEFT($J1526,4)&amp;MID($J1526,6,2)&amp;RIGHT($J1526,2)&amp;$N1526&amp;"|"&amp;"2"&amp;RIGHT("00000"&amp;1521,5))</f>
        <v/>
      </c>
      <c r="L1526" t="str">
        <f t="shared" si="118"/>
        <v/>
      </c>
      <c r="M1526" t="str">
        <f t="shared" si="119"/>
        <v/>
      </c>
      <c r="N1526" t="str">
        <f>IF($F1526="","",IF(Sync!$AF1526="","0000",IF(AND(ISNUMBER(Sync!$AF1526),Sync!$AF1526&gt;=0,Sync!$AF1526&lt;1),RIGHT("00"&amp;HOUR(Sync!$AF1526),2)&amp;RIGHT("00"&amp;MINUTE(Sync!$AF1526),2),IFERROR(RIGHT("00"&amp;VALUE(LEFT(Sync!$AF1526,FIND(":",Sync!$AF1526)-1)),2)&amp;RIGHT("00"&amp;VALUE(MID(Sync!$AF1526,FIND(":",Sync!$AF1526)+1,2)),2),"0000"))))</f>
        <v/>
      </c>
    </row>
    <row r="1527" spans="1:14" x14ac:dyDescent="0.2">
      <c r="A1527" t="str">
        <f>IF(OR(Calc!$E1531="",Calc!$E1531="نامعتبر",Calc!$G1531=""),"",Calc!$G1531)</f>
        <v/>
      </c>
      <c r="B1527" t="str">
        <f>IF($A1527="","",LEFT(Calc!$E1531,4)&amp;MID(Calc!$E1531,6,2)&amp;RIGHT(Calc!$E1531,2)&amp;Calc!$Q1531&amp;"|"&amp;"1"&amp;RIGHT("00000"&amp;1522,5))</f>
        <v/>
      </c>
      <c r="C1527" t="str">
        <f t="shared" si="115"/>
        <v/>
      </c>
      <c r="D1527" t="str">
        <f t="shared" si="116"/>
        <v/>
      </c>
      <c r="F1527" t="str">
        <f>IF(Sync!$AH1527="","",IF(LEFT(UPPER(TRIM(Sync!$AH1527)),2)="SL",UPPER(TRIM(Sync!$AH1527)),""))</f>
        <v/>
      </c>
      <c r="G1527" t="str">
        <f>IF($F1527="","",IF(Sync!$AE1527="","",IF(ISNUMBER(Sync!$AE1527),IF(AND(Sync!$AE1527&gt;=10000101,Sync!$AE1527&lt;=99991231),INT(Sync!$AE1527/10000),""),IFERROR(VALUE(TRIM(LEFT(Sync!$AE1527,FIND("/",Sync!$AE1527)-1))),""))))</f>
        <v/>
      </c>
      <c r="H1527" t="str">
        <f>IF(OR($F1527="",$G1527=""),"",IF(ISNUMBER(Sync!$AE1527),INT(MOD(Sync!$AE1527,10000)/100),IFERROR(VALUE(TRIM(LEFT(MID(Sync!$AE1527,FIND("/",Sync!$AE1527)+1,20),FIND("/",MID(Sync!$AE1527,FIND("/",Sync!$AE1527)+1,20))-1))),"")))</f>
        <v/>
      </c>
      <c r="I1527" t="str">
        <f>IF(OR($F1527="",$G1527=""),"",IF(ISNUMBER(Sync!$AE1527),MOD(Sync!$AE1527,100),IFERROR(VALUE(TRIM(MID(MID(Sync!$AE1527,FIND("/",Sync!$AE1527)+1,20),FIND("/",MID(Sync!$AE1527,FIND("/",Sync!$AE1527)+1,20))+1,20))),"")))</f>
        <v/>
      </c>
      <c r="J1527" t="str">
        <f t="shared" si="117"/>
        <v/>
      </c>
      <c r="K1527" t="str">
        <f>IF(OR($F1527="",$J1527="",$J1527="نامعتبر"),"",LEFT($J1527,4)&amp;MID($J1527,6,2)&amp;RIGHT($J1527,2)&amp;$N1527&amp;"|"&amp;"2"&amp;RIGHT("00000"&amp;1522,5))</f>
        <v/>
      </c>
      <c r="L1527" t="str">
        <f t="shared" si="118"/>
        <v/>
      </c>
      <c r="M1527" t="str">
        <f t="shared" si="119"/>
        <v/>
      </c>
      <c r="N1527" t="str">
        <f>IF($F1527="","",IF(Sync!$AF1527="","0000",IF(AND(ISNUMBER(Sync!$AF1527),Sync!$AF1527&gt;=0,Sync!$AF1527&lt;1),RIGHT("00"&amp;HOUR(Sync!$AF1527),2)&amp;RIGHT("00"&amp;MINUTE(Sync!$AF1527),2),IFERROR(RIGHT("00"&amp;VALUE(LEFT(Sync!$AF1527,FIND(":",Sync!$AF1527)-1)),2)&amp;RIGHT("00"&amp;VALUE(MID(Sync!$AF1527,FIND(":",Sync!$AF1527)+1,2)),2),"0000"))))</f>
        <v/>
      </c>
    </row>
    <row r="1528" spans="1:14" x14ac:dyDescent="0.2">
      <c r="A1528" t="str">
        <f>IF(OR(Calc!$E1532="",Calc!$E1532="نامعتبر",Calc!$G1532=""),"",Calc!$G1532)</f>
        <v/>
      </c>
      <c r="B1528" t="str">
        <f>IF($A1528="","",LEFT(Calc!$E1532,4)&amp;MID(Calc!$E1532,6,2)&amp;RIGHT(Calc!$E1532,2)&amp;Calc!$Q1532&amp;"|"&amp;"1"&amp;RIGHT("00000"&amp;1523,5))</f>
        <v/>
      </c>
      <c r="C1528" t="str">
        <f t="shared" si="115"/>
        <v/>
      </c>
      <c r="D1528" t="str">
        <f t="shared" si="116"/>
        <v/>
      </c>
      <c r="F1528" t="str">
        <f>IF(Sync!$AH1528="","",IF(LEFT(UPPER(TRIM(Sync!$AH1528)),2)="SL",UPPER(TRIM(Sync!$AH1528)),""))</f>
        <v/>
      </c>
      <c r="G1528" t="str">
        <f>IF($F1528="","",IF(Sync!$AE1528="","",IF(ISNUMBER(Sync!$AE1528),IF(AND(Sync!$AE1528&gt;=10000101,Sync!$AE1528&lt;=99991231),INT(Sync!$AE1528/10000),""),IFERROR(VALUE(TRIM(LEFT(Sync!$AE1528,FIND("/",Sync!$AE1528)-1))),""))))</f>
        <v/>
      </c>
      <c r="H1528" t="str">
        <f>IF(OR($F1528="",$G1528=""),"",IF(ISNUMBER(Sync!$AE1528),INT(MOD(Sync!$AE1528,10000)/100),IFERROR(VALUE(TRIM(LEFT(MID(Sync!$AE1528,FIND("/",Sync!$AE1528)+1,20),FIND("/",MID(Sync!$AE1528,FIND("/",Sync!$AE1528)+1,20))-1))),"")))</f>
        <v/>
      </c>
      <c r="I1528" t="str">
        <f>IF(OR($F1528="",$G1528=""),"",IF(ISNUMBER(Sync!$AE1528),MOD(Sync!$AE1528,100),IFERROR(VALUE(TRIM(MID(MID(Sync!$AE1528,FIND("/",Sync!$AE1528)+1,20),FIND("/",MID(Sync!$AE1528,FIND("/",Sync!$AE1528)+1,20))+1,20))),"")))</f>
        <v/>
      </c>
      <c r="J1528" t="str">
        <f t="shared" si="117"/>
        <v/>
      </c>
      <c r="K1528" t="str">
        <f>IF(OR($F1528="",$J1528="",$J1528="نامعتبر"),"",LEFT($J1528,4)&amp;MID($J1528,6,2)&amp;RIGHT($J1528,2)&amp;$N1528&amp;"|"&amp;"2"&amp;RIGHT("00000"&amp;1523,5))</f>
        <v/>
      </c>
      <c r="L1528" t="str">
        <f t="shared" si="118"/>
        <v/>
      </c>
      <c r="M1528" t="str">
        <f t="shared" si="119"/>
        <v/>
      </c>
      <c r="N1528" t="str">
        <f>IF($F1528="","",IF(Sync!$AF1528="","0000",IF(AND(ISNUMBER(Sync!$AF1528),Sync!$AF1528&gt;=0,Sync!$AF1528&lt;1),RIGHT("00"&amp;HOUR(Sync!$AF1528),2)&amp;RIGHT("00"&amp;MINUTE(Sync!$AF1528),2),IFERROR(RIGHT("00"&amp;VALUE(LEFT(Sync!$AF1528,FIND(":",Sync!$AF1528)-1)),2)&amp;RIGHT("00"&amp;VALUE(MID(Sync!$AF1528,FIND(":",Sync!$AF1528)+1,2)),2),"0000"))))</f>
        <v/>
      </c>
    </row>
    <row r="1529" spans="1:14" x14ac:dyDescent="0.2">
      <c r="A1529" t="str">
        <f>IF(OR(Calc!$E1533="",Calc!$E1533="نامعتبر",Calc!$G1533=""),"",Calc!$G1533)</f>
        <v/>
      </c>
      <c r="B1529" t="str">
        <f>IF($A1529="","",LEFT(Calc!$E1533,4)&amp;MID(Calc!$E1533,6,2)&amp;RIGHT(Calc!$E1533,2)&amp;Calc!$Q1533&amp;"|"&amp;"1"&amp;RIGHT("00000"&amp;1524,5))</f>
        <v/>
      </c>
      <c r="C1529" t="str">
        <f t="shared" si="115"/>
        <v/>
      </c>
      <c r="D1529" t="str">
        <f t="shared" si="116"/>
        <v/>
      </c>
      <c r="F1529" t="str">
        <f>IF(Sync!$AH1529="","",IF(LEFT(UPPER(TRIM(Sync!$AH1529)),2)="SL",UPPER(TRIM(Sync!$AH1529)),""))</f>
        <v/>
      </c>
      <c r="G1529" t="str">
        <f>IF($F1529="","",IF(Sync!$AE1529="","",IF(ISNUMBER(Sync!$AE1529),IF(AND(Sync!$AE1529&gt;=10000101,Sync!$AE1529&lt;=99991231),INT(Sync!$AE1529/10000),""),IFERROR(VALUE(TRIM(LEFT(Sync!$AE1529,FIND("/",Sync!$AE1529)-1))),""))))</f>
        <v/>
      </c>
      <c r="H1529" t="str">
        <f>IF(OR($F1529="",$G1529=""),"",IF(ISNUMBER(Sync!$AE1529),INT(MOD(Sync!$AE1529,10000)/100),IFERROR(VALUE(TRIM(LEFT(MID(Sync!$AE1529,FIND("/",Sync!$AE1529)+1,20),FIND("/",MID(Sync!$AE1529,FIND("/",Sync!$AE1529)+1,20))-1))),"")))</f>
        <v/>
      </c>
      <c r="I1529" t="str">
        <f>IF(OR($F1529="",$G1529=""),"",IF(ISNUMBER(Sync!$AE1529),MOD(Sync!$AE1529,100),IFERROR(VALUE(TRIM(MID(MID(Sync!$AE1529,FIND("/",Sync!$AE1529)+1,20),FIND("/",MID(Sync!$AE1529,FIND("/",Sync!$AE1529)+1,20))+1,20))),"")))</f>
        <v/>
      </c>
      <c r="J1529" t="str">
        <f t="shared" si="117"/>
        <v/>
      </c>
      <c r="K1529" t="str">
        <f>IF(OR($F1529="",$J1529="",$J1529="نامعتبر"),"",LEFT($J1529,4)&amp;MID($J1529,6,2)&amp;RIGHT($J1529,2)&amp;$N1529&amp;"|"&amp;"2"&amp;RIGHT("00000"&amp;1524,5))</f>
        <v/>
      </c>
      <c r="L1529" t="str">
        <f t="shared" si="118"/>
        <v/>
      </c>
      <c r="M1529" t="str">
        <f t="shared" si="119"/>
        <v/>
      </c>
      <c r="N1529" t="str">
        <f>IF($F1529="","",IF(Sync!$AF1529="","0000",IF(AND(ISNUMBER(Sync!$AF1529),Sync!$AF1529&gt;=0,Sync!$AF1529&lt;1),RIGHT("00"&amp;HOUR(Sync!$AF1529),2)&amp;RIGHT("00"&amp;MINUTE(Sync!$AF1529),2),IFERROR(RIGHT("00"&amp;VALUE(LEFT(Sync!$AF1529,FIND(":",Sync!$AF1529)-1)),2)&amp;RIGHT("00"&amp;VALUE(MID(Sync!$AF1529,FIND(":",Sync!$AF1529)+1,2)),2),"0000"))))</f>
        <v/>
      </c>
    </row>
    <row r="1530" spans="1:14" x14ac:dyDescent="0.2">
      <c r="A1530" t="str">
        <f>IF(OR(Calc!$E1534="",Calc!$E1534="نامعتبر",Calc!$G1534=""),"",Calc!$G1534)</f>
        <v/>
      </c>
      <c r="B1530" t="str">
        <f>IF($A1530="","",LEFT(Calc!$E1534,4)&amp;MID(Calc!$E1534,6,2)&amp;RIGHT(Calc!$E1534,2)&amp;Calc!$Q1534&amp;"|"&amp;"1"&amp;RIGHT("00000"&amp;1525,5))</f>
        <v/>
      </c>
      <c r="C1530" t="str">
        <f t="shared" si="115"/>
        <v/>
      </c>
      <c r="D1530" t="str">
        <f t="shared" si="116"/>
        <v/>
      </c>
      <c r="F1530" t="str">
        <f>IF(Sync!$AH1530="","",IF(LEFT(UPPER(TRIM(Sync!$AH1530)),2)="SL",UPPER(TRIM(Sync!$AH1530)),""))</f>
        <v/>
      </c>
      <c r="G1530" t="str">
        <f>IF($F1530="","",IF(Sync!$AE1530="","",IF(ISNUMBER(Sync!$AE1530),IF(AND(Sync!$AE1530&gt;=10000101,Sync!$AE1530&lt;=99991231),INT(Sync!$AE1530/10000),""),IFERROR(VALUE(TRIM(LEFT(Sync!$AE1530,FIND("/",Sync!$AE1530)-1))),""))))</f>
        <v/>
      </c>
      <c r="H1530" t="str">
        <f>IF(OR($F1530="",$G1530=""),"",IF(ISNUMBER(Sync!$AE1530),INT(MOD(Sync!$AE1530,10000)/100),IFERROR(VALUE(TRIM(LEFT(MID(Sync!$AE1530,FIND("/",Sync!$AE1530)+1,20),FIND("/",MID(Sync!$AE1530,FIND("/",Sync!$AE1530)+1,20))-1))),"")))</f>
        <v/>
      </c>
      <c r="I1530" t="str">
        <f>IF(OR($F1530="",$G1530=""),"",IF(ISNUMBER(Sync!$AE1530),MOD(Sync!$AE1530,100),IFERROR(VALUE(TRIM(MID(MID(Sync!$AE1530,FIND("/",Sync!$AE1530)+1,20),FIND("/",MID(Sync!$AE1530,FIND("/",Sync!$AE1530)+1,20))+1,20))),"")))</f>
        <v/>
      </c>
      <c r="J1530" t="str">
        <f t="shared" si="117"/>
        <v/>
      </c>
      <c r="K1530" t="str">
        <f>IF(OR($F1530="",$J1530="",$J1530="نامعتبر"),"",LEFT($J1530,4)&amp;MID($J1530,6,2)&amp;RIGHT($J1530,2)&amp;$N1530&amp;"|"&amp;"2"&amp;RIGHT("00000"&amp;1525,5))</f>
        <v/>
      </c>
      <c r="L1530" t="str">
        <f t="shared" si="118"/>
        <v/>
      </c>
      <c r="M1530" t="str">
        <f t="shared" si="119"/>
        <v/>
      </c>
      <c r="N1530" t="str">
        <f>IF($F1530="","",IF(Sync!$AF1530="","0000",IF(AND(ISNUMBER(Sync!$AF1530),Sync!$AF1530&gt;=0,Sync!$AF1530&lt;1),RIGHT("00"&amp;HOUR(Sync!$AF1530),2)&amp;RIGHT("00"&amp;MINUTE(Sync!$AF1530),2),IFERROR(RIGHT("00"&amp;VALUE(LEFT(Sync!$AF1530,FIND(":",Sync!$AF1530)-1)),2)&amp;RIGHT("00"&amp;VALUE(MID(Sync!$AF1530,FIND(":",Sync!$AF1530)+1,2)),2),"0000"))))</f>
        <v/>
      </c>
    </row>
    <row r="1531" spans="1:14" x14ac:dyDescent="0.2">
      <c r="A1531" t="str">
        <f>IF(OR(Calc!$E1535="",Calc!$E1535="نامعتبر",Calc!$G1535=""),"",Calc!$G1535)</f>
        <v/>
      </c>
      <c r="B1531" t="str">
        <f>IF($A1531="","",LEFT(Calc!$E1535,4)&amp;MID(Calc!$E1535,6,2)&amp;RIGHT(Calc!$E1535,2)&amp;Calc!$Q1535&amp;"|"&amp;"1"&amp;RIGHT("00000"&amp;1526,5))</f>
        <v/>
      </c>
      <c r="C1531" t="str">
        <f t="shared" si="115"/>
        <v/>
      </c>
      <c r="D1531" t="str">
        <f t="shared" si="116"/>
        <v/>
      </c>
      <c r="F1531" t="str">
        <f>IF(Sync!$AH1531="","",IF(LEFT(UPPER(TRIM(Sync!$AH1531)),2)="SL",UPPER(TRIM(Sync!$AH1531)),""))</f>
        <v/>
      </c>
      <c r="G1531" t="str">
        <f>IF($F1531="","",IF(Sync!$AE1531="","",IF(ISNUMBER(Sync!$AE1531),IF(AND(Sync!$AE1531&gt;=10000101,Sync!$AE1531&lt;=99991231),INT(Sync!$AE1531/10000),""),IFERROR(VALUE(TRIM(LEFT(Sync!$AE1531,FIND("/",Sync!$AE1531)-1))),""))))</f>
        <v/>
      </c>
      <c r="H1531" t="str">
        <f>IF(OR($F1531="",$G1531=""),"",IF(ISNUMBER(Sync!$AE1531),INT(MOD(Sync!$AE1531,10000)/100),IFERROR(VALUE(TRIM(LEFT(MID(Sync!$AE1531,FIND("/",Sync!$AE1531)+1,20),FIND("/",MID(Sync!$AE1531,FIND("/",Sync!$AE1531)+1,20))-1))),"")))</f>
        <v/>
      </c>
      <c r="I1531" t="str">
        <f>IF(OR($F1531="",$G1531=""),"",IF(ISNUMBER(Sync!$AE1531),MOD(Sync!$AE1531,100),IFERROR(VALUE(TRIM(MID(MID(Sync!$AE1531,FIND("/",Sync!$AE1531)+1,20),FIND("/",MID(Sync!$AE1531,FIND("/",Sync!$AE1531)+1,20))+1,20))),"")))</f>
        <v/>
      </c>
      <c r="J1531" t="str">
        <f t="shared" si="117"/>
        <v/>
      </c>
      <c r="K1531" t="str">
        <f>IF(OR($F1531="",$J1531="",$J1531="نامعتبر"),"",LEFT($J1531,4)&amp;MID($J1531,6,2)&amp;RIGHT($J1531,2)&amp;$N1531&amp;"|"&amp;"2"&amp;RIGHT("00000"&amp;1526,5))</f>
        <v/>
      </c>
      <c r="L1531" t="str">
        <f t="shared" si="118"/>
        <v/>
      </c>
      <c r="M1531" t="str">
        <f t="shared" si="119"/>
        <v/>
      </c>
      <c r="N1531" t="str">
        <f>IF($F1531="","",IF(Sync!$AF1531="","0000",IF(AND(ISNUMBER(Sync!$AF1531),Sync!$AF1531&gt;=0,Sync!$AF1531&lt;1),RIGHT("00"&amp;HOUR(Sync!$AF1531),2)&amp;RIGHT("00"&amp;MINUTE(Sync!$AF1531),2),IFERROR(RIGHT("00"&amp;VALUE(LEFT(Sync!$AF1531,FIND(":",Sync!$AF1531)-1)),2)&amp;RIGHT("00"&amp;VALUE(MID(Sync!$AF1531,FIND(":",Sync!$AF1531)+1,2)),2),"0000"))))</f>
        <v/>
      </c>
    </row>
    <row r="1532" spans="1:14" x14ac:dyDescent="0.2">
      <c r="A1532" t="str">
        <f>IF(OR(Calc!$E1536="",Calc!$E1536="نامعتبر",Calc!$G1536=""),"",Calc!$G1536)</f>
        <v/>
      </c>
      <c r="B1532" t="str">
        <f>IF($A1532="","",LEFT(Calc!$E1536,4)&amp;MID(Calc!$E1536,6,2)&amp;RIGHT(Calc!$E1536,2)&amp;Calc!$Q1536&amp;"|"&amp;"1"&amp;RIGHT("00000"&amp;1527,5))</f>
        <v/>
      </c>
      <c r="C1532" t="str">
        <f t="shared" si="115"/>
        <v/>
      </c>
      <c r="D1532" t="str">
        <f t="shared" si="116"/>
        <v/>
      </c>
      <c r="F1532" t="str">
        <f>IF(Sync!$AH1532="","",IF(LEFT(UPPER(TRIM(Sync!$AH1532)),2)="SL",UPPER(TRIM(Sync!$AH1532)),""))</f>
        <v/>
      </c>
      <c r="G1532" t="str">
        <f>IF($F1532="","",IF(Sync!$AE1532="","",IF(ISNUMBER(Sync!$AE1532),IF(AND(Sync!$AE1532&gt;=10000101,Sync!$AE1532&lt;=99991231),INT(Sync!$AE1532/10000),""),IFERROR(VALUE(TRIM(LEFT(Sync!$AE1532,FIND("/",Sync!$AE1532)-1))),""))))</f>
        <v/>
      </c>
      <c r="H1532" t="str">
        <f>IF(OR($F1532="",$G1532=""),"",IF(ISNUMBER(Sync!$AE1532),INT(MOD(Sync!$AE1532,10000)/100),IFERROR(VALUE(TRIM(LEFT(MID(Sync!$AE1532,FIND("/",Sync!$AE1532)+1,20),FIND("/",MID(Sync!$AE1532,FIND("/",Sync!$AE1532)+1,20))-1))),"")))</f>
        <v/>
      </c>
      <c r="I1532" t="str">
        <f>IF(OR($F1532="",$G1532=""),"",IF(ISNUMBER(Sync!$AE1532),MOD(Sync!$AE1532,100),IFERROR(VALUE(TRIM(MID(MID(Sync!$AE1532,FIND("/",Sync!$AE1532)+1,20),FIND("/",MID(Sync!$AE1532,FIND("/",Sync!$AE1532)+1,20))+1,20))),"")))</f>
        <v/>
      </c>
      <c r="J1532" t="str">
        <f t="shared" si="117"/>
        <v/>
      </c>
      <c r="K1532" t="str">
        <f>IF(OR($F1532="",$J1532="",$J1532="نامعتبر"),"",LEFT($J1532,4)&amp;MID($J1532,6,2)&amp;RIGHT($J1532,2)&amp;$N1532&amp;"|"&amp;"2"&amp;RIGHT("00000"&amp;1527,5))</f>
        <v/>
      </c>
      <c r="L1532" t="str">
        <f t="shared" si="118"/>
        <v/>
      </c>
      <c r="M1532" t="str">
        <f t="shared" si="119"/>
        <v/>
      </c>
      <c r="N1532" t="str">
        <f>IF($F1532="","",IF(Sync!$AF1532="","0000",IF(AND(ISNUMBER(Sync!$AF1532),Sync!$AF1532&gt;=0,Sync!$AF1532&lt;1),RIGHT("00"&amp;HOUR(Sync!$AF1532),2)&amp;RIGHT("00"&amp;MINUTE(Sync!$AF1532),2),IFERROR(RIGHT("00"&amp;VALUE(LEFT(Sync!$AF1532,FIND(":",Sync!$AF1532)-1)),2)&amp;RIGHT("00"&amp;VALUE(MID(Sync!$AF1532,FIND(":",Sync!$AF1532)+1,2)),2),"0000"))))</f>
        <v/>
      </c>
    </row>
    <row r="1533" spans="1:14" x14ac:dyDescent="0.2">
      <c r="A1533" t="str">
        <f>IF(OR(Calc!$E1537="",Calc!$E1537="نامعتبر",Calc!$G1537=""),"",Calc!$G1537)</f>
        <v/>
      </c>
      <c r="B1533" t="str">
        <f>IF($A1533="","",LEFT(Calc!$E1537,4)&amp;MID(Calc!$E1537,6,2)&amp;RIGHT(Calc!$E1537,2)&amp;Calc!$Q1537&amp;"|"&amp;"1"&amp;RIGHT("00000"&amp;1528,5))</f>
        <v/>
      </c>
      <c r="C1533" t="str">
        <f t="shared" si="115"/>
        <v/>
      </c>
      <c r="D1533" t="str">
        <f t="shared" si="116"/>
        <v/>
      </c>
      <c r="F1533" t="str">
        <f>IF(Sync!$AH1533="","",IF(LEFT(UPPER(TRIM(Sync!$AH1533)),2)="SL",UPPER(TRIM(Sync!$AH1533)),""))</f>
        <v/>
      </c>
      <c r="G1533" t="str">
        <f>IF($F1533="","",IF(Sync!$AE1533="","",IF(ISNUMBER(Sync!$AE1533),IF(AND(Sync!$AE1533&gt;=10000101,Sync!$AE1533&lt;=99991231),INT(Sync!$AE1533/10000),""),IFERROR(VALUE(TRIM(LEFT(Sync!$AE1533,FIND("/",Sync!$AE1533)-1))),""))))</f>
        <v/>
      </c>
      <c r="H1533" t="str">
        <f>IF(OR($F1533="",$G1533=""),"",IF(ISNUMBER(Sync!$AE1533),INT(MOD(Sync!$AE1533,10000)/100),IFERROR(VALUE(TRIM(LEFT(MID(Sync!$AE1533,FIND("/",Sync!$AE1533)+1,20),FIND("/",MID(Sync!$AE1533,FIND("/",Sync!$AE1533)+1,20))-1))),"")))</f>
        <v/>
      </c>
      <c r="I1533" t="str">
        <f>IF(OR($F1533="",$G1533=""),"",IF(ISNUMBER(Sync!$AE1533),MOD(Sync!$AE1533,100),IFERROR(VALUE(TRIM(MID(MID(Sync!$AE1533,FIND("/",Sync!$AE1533)+1,20),FIND("/",MID(Sync!$AE1533,FIND("/",Sync!$AE1533)+1,20))+1,20))),"")))</f>
        <v/>
      </c>
      <c r="J1533" t="str">
        <f t="shared" si="117"/>
        <v/>
      </c>
      <c r="K1533" t="str">
        <f>IF(OR($F1533="",$J1533="",$J1533="نامعتبر"),"",LEFT($J1533,4)&amp;MID($J1533,6,2)&amp;RIGHT($J1533,2)&amp;$N1533&amp;"|"&amp;"2"&amp;RIGHT("00000"&amp;1528,5))</f>
        <v/>
      </c>
      <c r="L1533" t="str">
        <f t="shared" si="118"/>
        <v/>
      </c>
      <c r="M1533" t="str">
        <f t="shared" si="119"/>
        <v/>
      </c>
      <c r="N1533" t="str">
        <f>IF($F1533="","",IF(Sync!$AF1533="","0000",IF(AND(ISNUMBER(Sync!$AF1533),Sync!$AF1533&gt;=0,Sync!$AF1533&lt;1),RIGHT("00"&amp;HOUR(Sync!$AF1533),2)&amp;RIGHT("00"&amp;MINUTE(Sync!$AF1533),2),IFERROR(RIGHT("00"&amp;VALUE(LEFT(Sync!$AF1533,FIND(":",Sync!$AF1533)-1)),2)&amp;RIGHT("00"&amp;VALUE(MID(Sync!$AF1533,FIND(":",Sync!$AF1533)+1,2)),2),"0000"))))</f>
        <v/>
      </c>
    </row>
    <row r="1534" spans="1:14" x14ac:dyDescent="0.2">
      <c r="A1534" t="str">
        <f>IF(OR(Calc!$E1538="",Calc!$E1538="نامعتبر",Calc!$G1538=""),"",Calc!$G1538)</f>
        <v/>
      </c>
      <c r="B1534" t="str">
        <f>IF($A1534="","",LEFT(Calc!$E1538,4)&amp;MID(Calc!$E1538,6,2)&amp;RIGHT(Calc!$E1538,2)&amp;Calc!$Q1538&amp;"|"&amp;"1"&amp;RIGHT("00000"&amp;1529,5))</f>
        <v/>
      </c>
      <c r="C1534" t="str">
        <f t="shared" si="115"/>
        <v/>
      </c>
      <c r="D1534" t="str">
        <f t="shared" si="116"/>
        <v/>
      </c>
      <c r="F1534" t="str">
        <f>IF(Sync!$AH1534="","",IF(LEFT(UPPER(TRIM(Sync!$AH1534)),2)="SL",UPPER(TRIM(Sync!$AH1534)),""))</f>
        <v/>
      </c>
      <c r="G1534" t="str">
        <f>IF($F1534="","",IF(Sync!$AE1534="","",IF(ISNUMBER(Sync!$AE1534),IF(AND(Sync!$AE1534&gt;=10000101,Sync!$AE1534&lt;=99991231),INT(Sync!$AE1534/10000),""),IFERROR(VALUE(TRIM(LEFT(Sync!$AE1534,FIND("/",Sync!$AE1534)-1))),""))))</f>
        <v/>
      </c>
      <c r="H1534" t="str">
        <f>IF(OR($F1534="",$G1534=""),"",IF(ISNUMBER(Sync!$AE1534),INT(MOD(Sync!$AE1534,10000)/100),IFERROR(VALUE(TRIM(LEFT(MID(Sync!$AE1534,FIND("/",Sync!$AE1534)+1,20),FIND("/",MID(Sync!$AE1534,FIND("/",Sync!$AE1534)+1,20))-1))),"")))</f>
        <v/>
      </c>
      <c r="I1534" t="str">
        <f>IF(OR($F1534="",$G1534=""),"",IF(ISNUMBER(Sync!$AE1534),MOD(Sync!$AE1534,100),IFERROR(VALUE(TRIM(MID(MID(Sync!$AE1534,FIND("/",Sync!$AE1534)+1,20),FIND("/",MID(Sync!$AE1534,FIND("/",Sync!$AE1534)+1,20))+1,20))),"")))</f>
        <v/>
      </c>
      <c r="J1534" t="str">
        <f t="shared" si="117"/>
        <v/>
      </c>
      <c r="K1534" t="str">
        <f>IF(OR($F1534="",$J1534="",$J1534="نامعتبر"),"",LEFT($J1534,4)&amp;MID($J1534,6,2)&amp;RIGHT($J1534,2)&amp;$N1534&amp;"|"&amp;"2"&amp;RIGHT("00000"&amp;1529,5))</f>
        <v/>
      </c>
      <c r="L1534" t="str">
        <f t="shared" si="118"/>
        <v/>
      </c>
      <c r="M1534" t="str">
        <f t="shared" si="119"/>
        <v/>
      </c>
      <c r="N1534" t="str">
        <f>IF($F1534="","",IF(Sync!$AF1534="","0000",IF(AND(ISNUMBER(Sync!$AF1534),Sync!$AF1534&gt;=0,Sync!$AF1534&lt;1),RIGHT("00"&amp;HOUR(Sync!$AF1534),2)&amp;RIGHT("00"&amp;MINUTE(Sync!$AF1534),2),IFERROR(RIGHT("00"&amp;VALUE(LEFT(Sync!$AF1534,FIND(":",Sync!$AF1534)-1)),2)&amp;RIGHT("00"&amp;VALUE(MID(Sync!$AF1534,FIND(":",Sync!$AF1534)+1,2)),2),"0000"))))</f>
        <v/>
      </c>
    </row>
    <row r="1535" spans="1:14" x14ac:dyDescent="0.2">
      <c r="A1535" t="str">
        <f>IF(OR(Calc!$E1539="",Calc!$E1539="نامعتبر",Calc!$G1539=""),"",Calc!$G1539)</f>
        <v/>
      </c>
      <c r="B1535" t="str">
        <f>IF($A1535="","",LEFT(Calc!$E1539,4)&amp;MID(Calc!$E1539,6,2)&amp;RIGHT(Calc!$E1539,2)&amp;Calc!$Q1539&amp;"|"&amp;"1"&amp;RIGHT("00000"&amp;1530,5))</f>
        <v/>
      </c>
      <c r="C1535" t="str">
        <f t="shared" si="115"/>
        <v/>
      </c>
      <c r="D1535" t="str">
        <f t="shared" si="116"/>
        <v/>
      </c>
      <c r="F1535" t="str">
        <f>IF(Sync!$AH1535="","",IF(LEFT(UPPER(TRIM(Sync!$AH1535)),2)="SL",UPPER(TRIM(Sync!$AH1535)),""))</f>
        <v/>
      </c>
      <c r="G1535" t="str">
        <f>IF($F1535="","",IF(Sync!$AE1535="","",IF(ISNUMBER(Sync!$AE1535),IF(AND(Sync!$AE1535&gt;=10000101,Sync!$AE1535&lt;=99991231),INT(Sync!$AE1535/10000),""),IFERROR(VALUE(TRIM(LEFT(Sync!$AE1535,FIND("/",Sync!$AE1535)-1))),""))))</f>
        <v/>
      </c>
      <c r="H1535" t="str">
        <f>IF(OR($F1535="",$G1535=""),"",IF(ISNUMBER(Sync!$AE1535),INT(MOD(Sync!$AE1535,10000)/100),IFERROR(VALUE(TRIM(LEFT(MID(Sync!$AE1535,FIND("/",Sync!$AE1535)+1,20),FIND("/",MID(Sync!$AE1535,FIND("/",Sync!$AE1535)+1,20))-1))),"")))</f>
        <v/>
      </c>
      <c r="I1535" t="str">
        <f>IF(OR($F1535="",$G1535=""),"",IF(ISNUMBER(Sync!$AE1535),MOD(Sync!$AE1535,100),IFERROR(VALUE(TRIM(MID(MID(Sync!$AE1535,FIND("/",Sync!$AE1535)+1,20),FIND("/",MID(Sync!$AE1535,FIND("/",Sync!$AE1535)+1,20))+1,20))),"")))</f>
        <v/>
      </c>
      <c r="J1535" t="str">
        <f t="shared" si="117"/>
        <v/>
      </c>
      <c r="K1535" t="str">
        <f>IF(OR($F1535="",$J1535="",$J1535="نامعتبر"),"",LEFT($J1535,4)&amp;MID($J1535,6,2)&amp;RIGHT($J1535,2)&amp;$N1535&amp;"|"&amp;"2"&amp;RIGHT("00000"&amp;1530,5))</f>
        <v/>
      </c>
      <c r="L1535" t="str">
        <f t="shared" si="118"/>
        <v/>
      </c>
      <c r="M1535" t="str">
        <f t="shared" si="119"/>
        <v/>
      </c>
      <c r="N1535" t="str">
        <f>IF($F1535="","",IF(Sync!$AF1535="","0000",IF(AND(ISNUMBER(Sync!$AF1535),Sync!$AF1535&gt;=0,Sync!$AF1535&lt;1),RIGHT("00"&amp;HOUR(Sync!$AF1535),2)&amp;RIGHT("00"&amp;MINUTE(Sync!$AF1535),2),IFERROR(RIGHT("00"&amp;VALUE(LEFT(Sync!$AF1535,FIND(":",Sync!$AF1535)-1)),2)&amp;RIGHT("00"&amp;VALUE(MID(Sync!$AF1535,FIND(":",Sync!$AF1535)+1,2)),2),"0000"))))</f>
        <v/>
      </c>
    </row>
    <row r="1536" spans="1:14" x14ac:dyDescent="0.2">
      <c r="A1536" t="str">
        <f>IF(OR(Calc!$E1540="",Calc!$E1540="نامعتبر",Calc!$G1540=""),"",Calc!$G1540)</f>
        <v/>
      </c>
      <c r="B1536" t="str">
        <f>IF($A1536="","",LEFT(Calc!$E1540,4)&amp;MID(Calc!$E1540,6,2)&amp;RIGHT(Calc!$E1540,2)&amp;Calc!$Q1540&amp;"|"&amp;"1"&amp;RIGHT("00000"&amp;1531,5))</f>
        <v/>
      </c>
      <c r="C1536" t="str">
        <f t="shared" si="115"/>
        <v/>
      </c>
      <c r="D1536" t="str">
        <f t="shared" si="116"/>
        <v/>
      </c>
      <c r="F1536" t="str">
        <f>IF(Sync!$AH1536="","",IF(LEFT(UPPER(TRIM(Sync!$AH1536)),2)="SL",UPPER(TRIM(Sync!$AH1536)),""))</f>
        <v/>
      </c>
      <c r="G1536" t="str">
        <f>IF($F1536="","",IF(Sync!$AE1536="","",IF(ISNUMBER(Sync!$AE1536),IF(AND(Sync!$AE1536&gt;=10000101,Sync!$AE1536&lt;=99991231),INT(Sync!$AE1536/10000),""),IFERROR(VALUE(TRIM(LEFT(Sync!$AE1536,FIND("/",Sync!$AE1536)-1))),""))))</f>
        <v/>
      </c>
      <c r="H1536" t="str">
        <f>IF(OR($F1536="",$G1536=""),"",IF(ISNUMBER(Sync!$AE1536),INT(MOD(Sync!$AE1536,10000)/100),IFERROR(VALUE(TRIM(LEFT(MID(Sync!$AE1536,FIND("/",Sync!$AE1536)+1,20),FIND("/",MID(Sync!$AE1536,FIND("/",Sync!$AE1536)+1,20))-1))),"")))</f>
        <v/>
      </c>
      <c r="I1536" t="str">
        <f>IF(OR($F1536="",$G1536=""),"",IF(ISNUMBER(Sync!$AE1536),MOD(Sync!$AE1536,100),IFERROR(VALUE(TRIM(MID(MID(Sync!$AE1536,FIND("/",Sync!$AE1536)+1,20),FIND("/",MID(Sync!$AE1536,FIND("/",Sync!$AE1536)+1,20))+1,20))),"")))</f>
        <v/>
      </c>
      <c r="J1536" t="str">
        <f t="shared" si="117"/>
        <v/>
      </c>
      <c r="K1536" t="str">
        <f>IF(OR($F1536="",$J1536="",$J1536="نامعتبر"),"",LEFT($J1536,4)&amp;MID($J1536,6,2)&amp;RIGHT($J1536,2)&amp;$N1536&amp;"|"&amp;"2"&amp;RIGHT("00000"&amp;1531,5))</f>
        <v/>
      </c>
      <c r="L1536" t="str">
        <f t="shared" si="118"/>
        <v/>
      </c>
      <c r="M1536" t="str">
        <f t="shared" si="119"/>
        <v/>
      </c>
      <c r="N1536" t="str">
        <f>IF($F1536="","",IF(Sync!$AF1536="","0000",IF(AND(ISNUMBER(Sync!$AF1536),Sync!$AF1536&gt;=0,Sync!$AF1536&lt;1),RIGHT("00"&amp;HOUR(Sync!$AF1536),2)&amp;RIGHT("00"&amp;MINUTE(Sync!$AF1536),2),IFERROR(RIGHT("00"&amp;VALUE(LEFT(Sync!$AF1536,FIND(":",Sync!$AF1536)-1)),2)&amp;RIGHT("00"&amp;VALUE(MID(Sync!$AF1536,FIND(":",Sync!$AF1536)+1,2)),2),"0000"))))</f>
        <v/>
      </c>
    </row>
    <row r="1537" spans="1:14" x14ac:dyDescent="0.2">
      <c r="A1537" t="str">
        <f>IF(OR(Calc!$E1541="",Calc!$E1541="نامعتبر",Calc!$G1541=""),"",Calc!$G1541)</f>
        <v/>
      </c>
      <c r="B1537" t="str">
        <f>IF($A1537="","",LEFT(Calc!$E1541,4)&amp;MID(Calc!$E1541,6,2)&amp;RIGHT(Calc!$E1541,2)&amp;Calc!$Q1541&amp;"|"&amp;"1"&amp;RIGHT("00000"&amp;1532,5))</f>
        <v/>
      </c>
      <c r="C1537" t="str">
        <f t="shared" si="115"/>
        <v/>
      </c>
      <c r="D1537" t="str">
        <f t="shared" si="116"/>
        <v/>
      </c>
      <c r="F1537" t="str">
        <f>IF(Sync!$AH1537="","",IF(LEFT(UPPER(TRIM(Sync!$AH1537)),2)="SL",UPPER(TRIM(Sync!$AH1537)),""))</f>
        <v/>
      </c>
      <c r="G1537" t="str">
        <f>IF($F1537="","",IF(Sync!$AE1537="","",IF(ISNUMBER(Sync!$AE1537),IF(AND(Sync!$AE1537&gt;=10000101,Sync!$AE1537&lt;=99991231),INT(Sync!$AE1537/10000),""),IFERROR(VALUE(TRIM(LEFT(Sync!$AE1537,FIND("/",Sync!$AE1537)-1))),""))))</f>
        <v/>
      </c>
      <c r="H1537" t="str">
        <f>IF(OR($F1537="",$G1537=""),"",IF(ISNUMBER(Sync!$AE1537),INT(MOD(Sync!$AE1537,10000)/100),IFERROR(VALUE(TRIM(LEFT(MID(Sync!$AE1537,FIND("/",Sync!$AE1537)+1,20),FIND("/",MID(Sync!$AE1537,FIND("/",Sync!$AE1537)+1,20))-1))),"")))</f>
        <v/>
      </c>
      <c r="I1537" t="str">
        <f>IF(OR($F1537="",$G1537=""),"",IF(ISNUMBER(Sync!$AE1537),MOD(Sync!$AE1537,100),IFERROR(VALUE(TRIM(MID(MID(Sync!$AE1537,FIND("/",Sync!$AE1537)+1,20),FIND("/",MID(Sync!$AE1537,FIND("/",Sync!$AE1537)+1,20))+1,20))),"")))</f>
        <v/>
      </c>
      <c r="J1537" t="str">
        <f t="shared" si="117"/>
        <v/>
      </c>
      <c r="K1537" t="str">
        <f>IF(OR($F1537="",$J1537="",$J1537="نامعتبر"),"",LEFT($J1537,4)&amp;MID($J1537,6,2)&amp;RIGHT($J1537,2)&amp;$N1537&amp;"|"&amp;"2"&amp;RIGHT("00000"&amp;1532,5))</f>
        <v/>
      </c>
      <c r="L1537" t="str">
        <f t="shared" si="118"/>
        <v/>
      </c>
      <c r="M1537" t="str">
        <f t="shared" si="119"/>
        <v/>
      </c>
      <c r="N1537" t="str">
        <f>IF($F1537="","",IF(Sync!$AF1537="","0000",IF(AND(ISNUMBER(Sync!$AF1537),Sync!$AF1537&gt;=0,Sync!$AF1537&lt;1),RIGHT("00"&amp;HOUR(Sync!$AF1537),2)&amp;RIGHT("00"&amp;MINUTE(Sync!$AF1537),2),IFERROR(RIGHT("00"&amp;VALUE(LEFT(Sync!$AF1537,FIND(":",Sync!$AF1537)-1)),2)&amp;RIGHT("00"&amp;VALUE(MID(Sync!$AF1537,FIND(":",Sync!$AF1537)+1,2)),2),"0000"))))</f>
        <v/>
      </c>
    </row>
    <row r="1538" spans="1:14" x14ac:dyDescent="0.2">
      <c r="A1538" t="str">
        <f>IF(OR(Calc!$E1542="",Calc!$E1542="نامعتبر",Calc!$G1542=""),"",Calc!$G1542)</f>
        <v/>
      </c>
      <c r="B1538" t="str">
        <f>IF($A1538="","",LEFT(Calc!$E1542,4)&amp;MID(Calc!$E1542,6,2)&amp;RIGHT(Calc!$E1542,2)&amp;Calc!$Q1542&amp;"|"&amp;"1"&amp;RIGHT("00000"&amp;1533,5))</f>
        <v/>
      </c>
      <c r="C1538" t="str">
        <f t="shared" si="115"/>
        <v/>
      </c>
      <c r="D1538" t="str">
        <f t="shared" si="116"/>
        <v/>
      </c>
      <c r="F1538" t="str">
        <f>IF(Sync!$AH1538="","",IF(LEFT(UPPER(TRIM(Sync!$AH1538)),2)="SL",UPPER(TRIM(Sync!$AH1538)),""))</f>
        <v/>
      </c>
      <c r="G1538" t="str">
        <f>IF($F1538="","",IF(Sync!$AE1538="","",IF(ISNUMBER(Sync!$AE1538),IF(AND(Sync!$AE1538&gt;=10000101,Sync!$AE1538&lt;=99991231),INT(Sync!$AE1538/10000),""),IFERROR(VALUE(TRIM(LEFT(Sync!$AE1538,FIND("/",Sync!$AE1538)-1))),""))))</f>
        <v/>
      </c>
      <c r="H1538" t="str">
        <f>IF(OR($F1538="",$G1538=""),"",IF(ISNUMBER(Sync!$AE1538),INT(MOD(Sync!$AE1538,10000)/100),IFERROR(VALUE(TRIM(LEFT(MID(Sync!$AE1538,FIND("/",Sync!$AE1538)+1,20),FIND("/",MID(Sync!$AE1538,FIND("/",Sync!$AE1538)+1,20))-1))),"")))</f>
        <v/>
      </c>
      <c r="I1538" t="str">
        <f>IF(OR($F1538="",$G1538=""),"",IF(ISNUMBER(Sync!$AE1538),MOD(Sync!$AE1538,100),IFERROR(VALUE(TRIM(MID(MID(Sync!$AE1538,FIND("/",Sync!$AE1538)+1,20),FIND("/",MID(Sync!$AE1538,FIND("/",Sync!$AE1538)+1,20))+1,20))),"")))</f>
        <v/>
      </c>
      <c r="J1538" t="str">
        <f t="shared" si="117"/>
        <v/>
      </c>
      <c r="K1538" t="str">
        <f>IF(OR($F1538="",$J1538="",$J1538="نامعتبر"),"",LEFT($J1538,4)&amp;MID($J1538,6,2)&amp;RIGHT($J1538,2)&amp;$N1538&amp;"|"&amp;"2"&amp;RIGHT("00000"&amp;1533,5))</f>
        <v/>
      </c>
      <c r="L1538" t="str">
        <f t="shared" si="118"/>
        <v/>
      </c>
      <c r="M1538" t="str">
        <f t="shared" si="119"/>
        <v/>
      </c>
      <c r="N1538" t="str">
        <f>IF($F1538="","",IF(Sync!$AF1538="","0000",IF(AND(ISNUMBER(Sync!$AF1538),Sync!$AF1538&gt;=0,Sync!$AF1538&lt;1),RIGHT("00"&amp;HOUR(Sync!$AF1538),2)&amp;RIGHT("00"&amp;MINUTE(Sync!$AF1538),2),IFERROR(RIGHT("00"&amp;VALUE(LEFT(Sync!$AF1538,FIND(":",Sync!$AF1538)-1)),2)&amp;RIGHT("00"&amp;VALUE(MID(Sync!$AF1538,FIND(":",Sync!$AF1538)+1,2)),2),"0000"))))</f>
        <v/>
      </c>
    </row>
    <row r="1539" spans="1:14" x14ac:dyDescent="0.2">
      <c r="A1539" t="str">
        <f>IF(OR(Calc!$E1543="",Calc!$E1543="نامعتبر",Calc!$G1543=""),"",Calc!$G1543)</f>
        <v/>
      </c>
      <c r="B1539" t="str">
        <f>IF($A1539="","",LEFT(Calc!$E1543,4)&amp;MID(Calc!$E1543,6,2)&amp;RIGHT(Calc!$E1543,2)&amp;Calc!$Q1543&amp;"|"&amp;"1"&amp;RIGHT("00000"&amp;1534,5))</f>
        <v/>
      </c>
      <c r="C1539" t="str">
        <f t="shared" si="115"/>
        <v/>
      </c>
      <c r="D1539" t="str">
        <f t="shared" si="116"/>
        <v/>
      </c>
      <c r="F1539" t="str">
        <f>IF(Sync!$AH1539="","",IF(LEFT(UPPER(TRIM(Sync!$AH1539)),2)="SL",UPPER(TRIM(Sync!$AH1539)),""))</f>
        <v/>
      </c>
      <c r="G1539" t="str">
        <f>IF($F1539="","",IF(Sync!$AE1539="","",IF(ISNUMBER(Sync!$AE1539),IF(AND(Sync!$AE1539&gt;=10000101,Sync!$AE1539&lt;=99991231),INT(Sync!$AE1539/10000),""),IFERROR(VALUE(TRIM(LEFT(Sync!$AE1539,FIND("/",Sync!$AE1539)-1))),""))))</f>
        <v/>
      </c>
      <c r="H1539" t="str">
        <f>IF(OR($F1539="",$G1539=""),"",IF(ISNUMBER(Sync!$AE1539),INT(MOD(Sync!$AE1539,10000)/100),IFERROR(VALUE(TRIM(LEFT(MID(Sync!$AE1539,FIND("/",Sync!$AE1539)+1,20),FIND("/",MID(Sync!$AE1539,FIND("/",Sync!$AE1539)+1,20))-1))),"")))</f>
        <v/>
      </c>
      <c r="I1539" t="str">
        <f>IF(OR($F1539="",$G1539=""),"",IF(ISNUMBER(Sync!$AE1539),MOD(Sync!$AE1539,100),IFERROR(VALUE(TRIM(MID(MID(Sync!$AE1539,FIND("/",Sync!$AE1539)+1,20),FIND("/",MID(Sync!$AE1539,FIND("/",Sync!$AE1539)+1,20))+1,20))),"")))</f>
        <v/>
      </c>
      <c r="J1539" t="str">
        <f t="shared" si="117"/>
        <v/>
      </c>
      <c r="K1539" t="str">
        <f>IF(OR($F1539="",$J1539="",$J1539="نامعتبر"),"",LEFT($J1539,4)&amp;MID($J1539,6,2)&amp;RIGHT($J1539,2)&amp;$N1539&amp;"|"&amp;"2"&amp;RIGHT("00000"&amp;1534,5))</f>
        <v/>
      </c>
      <c r="L1539" t="str">
        <f t="shared" si="118"/>
        <v/>
      </c>
      <c r="M1539" t="str">
        <f t="shared" si="119"/>
        <v/>
      </c>
      <c r="N1539" t="str">
        <f>IF($F1539="","",IF(Sync!$AF1539="","0000",IF(AND(ISNUMBER(Sync!$AF1539),Sync!$AF1539&gt;=0,Sync!$AF1539&lt;1),RIGHT("00"&amp;HOUR(Sync!$AF1539),2)&amp;RIGHT("00"&amp;MINUTE(Sync!$AF1539),2),IFERROR(RIGHT("00"&amp;VALUE(LEFT(Sync!$AF1539,FIND(":",Sync!$AF1539)-1)),2)&amp;RIGHT("00"&amp;VALUE(MID(Sync!$AF1539,FIND(":",Sync!$AF1539)+1,2)),2),"0000"))))</f>
        <v/>
      </c>
    </row>
    <row r="1540" spans="1:14" x14ac:dyDescent="0.2">
      <c r="A1540" t="str">
        <f>IF(OR(Calc!$E1544="",Calc!$E1544="نامعتبر",Calc!$G1544=""),"",Calc!$G1544)</f>
        <v/>
      </c>
      <c r="B1540" t="str">
        <f>IF($A1540="","",LEFT(Calc!$E1544,4)&amp;MID(Calc!$E1544,6,2)&amp;RIGHT(Calc!$E1544,2)&amp;Calc!$Q1544&amp;"|"&amp;"1"&amp;RIGHT("00000"&amp;1535,5))</f>
        <v/>
      </c>
      <c r="C1540" t="str">
        <f t="shared" si="115"/>
        <v/>
      </c>
      <c r="D1540" t="str">
        <f t="shared" si="116"/>
        <v/>
      </c>
      <c r="F1540" t="str">
        <f>IF(Sync!$AH1540="","",IF(LEFT(UPPER(TRIM(Sync!$AH1540)),2)="SL",UPPER(TRIM(Sync!$AH1540)),""))</f>
        <v/>
      </c>
      <c r="G1540" t="str">
        <f>IF($F1540="","",IF(Sync!$AE1540="","",IF(ISNUMBER(Sync!$AE1540),IF(AND(Sync!$AE1540&gt;=10000101,Sync!$AE1540&lt;=99991231),INT(Sync!$AE1540/10000),""),IFERROR(VALUE(TRIM(LEFT(Sync!$AE1540,FIND("/",Sync!$AE1540)-1))),""))))</f>
        <v/>
      </c>
      <c r="H1540" t="str">
        <f>IF(OR($F1540="",$G1540=""),"",IF(ISNUMBER(Sync!$AE1540),INT(MOD(Sync!$AE1540,10000)/100),IFERROR(VALUE(TRIM(LEFT(MID(Sync!$AE1540,FIND("/",Sync!$AE1540)+1,20),FIND("/",MID(Sync!$AE1540,FIND("/",Sync!$AE1540)+1,20))-1))),"")))</f>
        <v/>
      </c>
      <c r="I1540" t="str">
        <f>IF(OR($F1540="",$G1540=""),"",IF(ISNUMBER(Sync!$AE1540),MOD(Sync!$AE1540,100),IFERROR(VALUE(TRIM(MID(MID(Sync!$AE1540,FIND("/",Sync!$AE1540)+1,20),FIND("/",MID(Sync!$AE1540,FIND("/",Sync!$AE1540)+1,20))+1,20))),"")))</f>
        <v/>
      </c>
      <c r="J1540" t="str">
        <f t="shared" si="117"/>
        <v/>
      </c>
      <c r="K1540" t="str">
        <f>IF(OR($F1540="",$J1540="",$J1540="نامعتبر"),"",LEFT($J1540,4)&amp;MID($J1540,6,2)&amp;RIGHT($J1540,2)&amp;$N1540&amp;"|"&amp;"2"&amp;RIGHT("00000"&amp;1535,5))</f>
        <v/>
      </c>
      <c r="L1540" t="str">
        <f t="shared" si="118"/>
        <v/>
      </c>
      <c r="M1540" t="str">
        <f t="shared" si="119"/>
        <v/>
      </c>
      <c r="N1540" t="str">
        <f>IF($F1540="","",IF(Sync!$AF1540="","0000",IF(AND(ISNUMBER(Sync!$AF1540),Sync!$AF1540&gt;=0,Sync!$AF1540&lt;1),RIGHT("00"&amp;HOUR(Sync!$AF1540),2)&amp;RIGHT("00"&amp;MINUTE(Sync!$AF1540),2),IFERROR(RIGHT("00"&amp;VALUE(LEFT(Sync!$AF1540,FIND(":",Sync!$AF1540)-1)),2)&amp;RIGHT("00"&amp;VALUE(MID(Sync!$AF1540,FIND(":",Sync!$AF1540)+1,2)),2),"0000"))))</f>
        <v/>
      </c>
    </row>
    <row r="1541" spans="1:14" x14ac:dyDescent="0.2">
      <c r="A1541" t="str">
        <f>IF(OR(Calc!$E1545="",Calc!$E1545="نامعتبر",Calc!$G1545=""),"",Calc!$G1545)</f>
        <v/>
      </c>
      <c r="B1541" t="str">
        <f>IF($A1541="","",LEFT(Calc!$E1545,4)&amp;MID(Calc!$E1545,6,2)&amp;RIGHT(Calc!$E1545,2)&amp;Calc!$Q1545&amp;"|"&amp;"1"&amp;RIGHT("00000"&amp;1536,5))</f>
        <v/>
      </c>
      <c r="C1541" t="str">
        <f t="shared" si="115"/>
        <v/>
      </c>
      <c r="D1541" t="str">
        <f t="shared" si="116"/>
        <v/>
      </c>
      <c r="F1541" t="str">
        <f>IF(Sync!$AH1541="","",IF(LEFT(UPPER(TRIM(Sync!$AH1541)),2)="SL",UPPER(TRIM(Sync!$AH1541)),""))</f>
        <v/>
      </c>
      <c r="G1541" t="str">
        <f>IF($F1541="","",IF(Sync!$AE1541="","",IF(ISNUMBER(Sync!$AE1541),IF(AND(Sync!$AE1541&gt;=10000101,Sync!$AE1541&lt;=99991231),INT(Sync!$AE1541/10000),""),IFERROR(VALUE(TRIM(LEFT(Sync!$AE1541,FIND("/",Sync!$AE1541)-1))),""))))</f>
        <v/>
      </c>
      <c r="H1541" t="str">
        <f>IF(OR($F1541="",$G1541=""),"",IF(ISNUMBER(Sync!$AE1541),INT(MOD(Sync!$AE1541,10000)/100),IFERROR(VALUE(TRIM(LEFT(MID(Sync!$AE1541,FIND("/",Sync!$AE1541)+1,20),FIND("/",MID(Sync!$AE1541,FIND("/",Sync!$AE1541)+1,20))-1))),"")))</f>
        <v/>
      </c>
      <c r="I1541" t="str">
        <f>IF(OR($F1541="",$G1541=""),"",IF(ISNUMBER(Sync!$AE1541),MOD(Sync!$AE1541,100),IFERROR(VALUE(TRIM(MID(MID(Sync!$AE1541,FIND("/",Sync!$AE1541)+1,20),FIND("/",MID(Sync!$AE1541,FIND("/",Sync!$AE1541)+1,20))+1,20))),"")))</f>
        <v/>
      </c>
      <c r="J1541" t="str">
        <f t="shared" si="117"/>
        <v/>
      </c>
      <c r="K1541" t="str">
        <f>IF(OR($F1541="",$J1541="",$J1541="نامعتبر"),"",LEFT($J1541,4)&amp;MID($J1541,6,2)&amp;RIGHT($J1541,2)&amp;$N1541&amp;"|"&amp;"2"&amp;RIGHT("00000"&amp;1536,5))</f>
        <v/>
      </c>
      <c r="L1541" t="str">
        <f t="shared" si="118"/>
        <v/>
      </c>
      <c r="M1541" t="str">
        <f t="shared" si="119"/>
        <v/>
      </c>
      <c r="N1541" t="str">
        <f>IF($F1541="","",IF(Sync!$AF1541="","0000",IF(AND(ISNUMBER(Sync!$AF1541),Sync!$AF1541&gt;=0,Sync!$AF1541&lt;1),RIGHT("00"&amp;HOUR(Sync!$AF1541),2)&amp;RIGHT("00"&amp;MINUTE(Sync!$AF1541),2),IFERROR(RIGHT("00"&amp;VALUE(LEFT(Sync!$AF1541,FIND(":",Sync!$AF1541)-1)),2)&amp;RIGHT("00"&amp;VALUE(MID(Sync!$AF1541,FIND(":",Sync!$AF1541)+1,2)),2),"0000"))))</f>
        <v/>
      </c>
    </row>
    <row r="1542" spans="1:14" x14ac:dyDescent="0.2">
      <c r="A1542" t="str">
        <f>IF(OR(Calc!$E1546="",Calc!$E1546="نامعتبر",Calc!$G1546=""),"",Calc!$G1546)</f>
        <v/>
      </c>
      <c r="B1542" t="str">
        <f>IF($A1542="","",LEFT(Calc!$E1546,4)&amp;MID(Calc!$E1546,6,2)&amp;RIGHT(Calc!$E1546,2)&amp;Calc!$Q1546&amp;"|"&amp;"1"&amp;RIGHT("00000"&amp;1537,5))</f>
        <v/>
      </c>
      <c r="C1542" t="str">
        <f t="shared" ref="C1542:C1605" si="120">IF($B1542="","",COUNTIFS(LdgSellerA,$A1542,LdgKeyA,"&lt;"&amp;$B1542)+COUNTIFS(LdgSellerB,$A1542,LdgKeyB,"&lt;"&amp;$B1542)+1)</f>
        <v/>
      </c>
      <c r="D1542" t="str">
        <f t="shared" ref="D1542:D1605" si="121">IF($C1542="","",$A1542&amp;"|"&amp;RIGHT("000000"&amp;$C1542,6))</f>
        <v/>
      </c>
      <c r="F1542" t="str">
        <f>IF(Sync!$AH1542="","",IF(LEFT(UPPER(TRIM(Sync!$AH1542)),2)="SL",UPPER(TRIM(Sync!$AH1542)),""))</f>
        <v/>
      </c>
      <c r="G1542" t="str">
        <f>IF($F1542="","",IF(Sync!$AE1542="","",IF(ISNUMBER(Sync!$AE1542),IF(AND(Sync!$AE1542&gt;=10000101,Sync!$AE1542&lt;=99991231),INT(Sync!$AE1542/10000),""),IFERROR(VALUE(TRIM(LEFT(Sync!$AE1542,FIND("/",Sync!$AE1542)-1))),""))))</f>
        <v/>
      </c>
      <c r="H1542" t="str">
        <f>IF(OR($F1542="",$G1542=""),"",IF(ISNUMBER(Sync!$AE1542),INT(MOD(Sync!$AE1542,10000)/100),IFERROR(VALUE(TRIM(LEFT(MID(Sync!$AE1542,FIND("/",Sync!$AE1542)+1,20),FIND("/",MID(Sync!$AE1542,FIND("/",Sync!$AE1542)+1,20))-1))),"")))</f>
        <v/>
      </c>
      <c r="I1542" t="str">
        <f>IF(OR($F1542="",$G1542=""),"",IF(ISNUMBER(Sync!$AE1542),MOD(Sync!$AE1542,100),IFERROR(VALUE(TRIM(MID(MID(Sync!$AE1542,FIND("/",Sync!$AE1542)+1,20),FIND("/",MID(Sync!$AE1542,FIND("/",Sync!$AE1542)+1,20))+1,20))),"")))</f>
        <v/>
      </c>
      <c r="J1542" t="str">
        <f t="shared" ref="J1542:J1605" si="122">IF($F1542="","",IF(OR($G1542="",$H1542="",$I1542="",$G1542&lt;1300,$G1542&gt;1500,$H1542&lt;1,$H1542&gt;12,$I1542&lt;1,$I1542&gt;31),"نامعتبر",RIGHT("0000"&amp;$G1542,4)&amp;"/"&amp;RIGHT("00"&amp;$H1542,2)&amp;"/"&amp;RIGHT("00"&amp;$I1542,2)))</f>
        <v/>
      </c>
      <c r="K1542" t="str">
        <f>IF(OR($F1542="",$J1542="",$J1542="نامعتبر"),"",LEFT($J1542,4)&amp;MID($J1542,6,2)&amp;RIGHT($J1542,2)&amp;$N1542&amp;"|"&amp;"2"&amp;RIGHT("00000"&amp;1537,5))</f>
        <v/>
      </c>
      <c r="L1542" t="str">
        <f t="shared" ref="L1542:L1605" si="123">IF($K1542="","",COUNTIFS(LdgSellerA,$F1542,LdgKeyA,"&lt;"&amp;$K1542)+COUNTIFS(LdgSellerB,$F1542,LdgKeyB,"&lt;"&amp;$K1542)+1)</f>
        <v/>
      </c>
      <c r="M1542" t="str">
        <f t="shared" ref="M1542:M1605" si="124">IF($L1542="","",$F1542&amp;"|"&amp;RIGHT("000000"&amp;$L1542,6))</f>
        <v/>
      </c>
      <c r="N1542" t="str">
        <f>IF($F1542="","",IF(Sync!$AF1542="","0000",IF(AND(ISNUMBER(Sync!$AF1542),Sync!$AF1542&gt;=0,Sync!$AF1542&lt;1),RIGHT("00"&amp;HOUR(Sync!$AF1542),2)&amp;RIGHT("00"&amp;MINUTE(Sync!$AF1542),2),IFERROR(RIGHT("00"&amp;VALUE(LEFT(Sync!$AF1542,FIND(":",Sync!$AF1542)-1)),2)&amp;RIGHT("00"&amp;VALUE(MID(Sync!$AF1542,FIND(":",Sync!$AF1542)+1,2)),2),"0000"))))</f>
        <v/>
      </c>
    </row>
    <row r="1543" spans="1:14" x14ac:dyDescent="0.2">
      <c r="A1543" t="str">
        <f>IF(OR(Calc!$E1547="",Calc!$E1547="نامعتبر",Calc!$G1547=""),"",Calc!$G1547)</f>
        <v/>
      </c>
      <c r="B1543" t="str">
        <f>IF($A1543="","",LEFT(Calc!$E1547,4)&amp;MID(Calc!$E1547,6,2)&amp;RIGHT(Calc!$E1547,2)&amp;Calc!$Q1547&amp;"|"&amp;"1"&amp;RIGHT("00000"&amp;1538,5))</f>
        <v/>
      </c>
      <c r="C1543" t="str">
        <f t="shared" si="120"/>
        <v/>
      </c>
      <c r="D1543" t="str">
        <f t="shared" si="121"/>
        <v/>
      </c>
      <c r="F1543" t="str">
        <f>IF(Sync!$AH1543="","",IF(LEFT(UPPER(TRIM(Sync!$AH1543)),2)="SL",UPPER(TRIM(Sync!$AH1543)),""))</f>
        <v/>
      </c>
      <c r="G1543" t="str">
        <f>IF($F1543="","",IF(Sync!$AE1543="","",IF(ISNUMBER(Sync!$AE1543),IF(AND(Sync!$AE1543&gt;=10000101,Sync!$AE1543&lt;=99991231),INT(Sync!$AE1543/10000),""),IFERROR(VALUE(TRIM(LEFT(Sync!$AE1543,FIND("/",Sync!$AE1543)-1))),""))))</f>
        <v/>
      </c>
      <c r="H1543" t="str">
        <f>IF(OR($F1543="",$G1543=""),"",IF(ISNUMBER(Sync!$AE1543),INT(MOD(Sync!$AE1543,10000)/100),IFERROR(VALUE(TRIM(LEFT(MID(Sync!$AE1543,FIND("/",Sync!$AE1543)+1,20),FIND("/",MID(Sync!$AE1543,FIND("/",Sync!$AE1543)+1,20))-1))),"")))</f>
        <v/>
      </c>
      <c r="I1543" t="str">
        <f>IF(OR($F1543="",$G1543=""),"",IF(ISNUMBER(Sync!$AE1543),MOD(Sync!$AE1543,100),IFERROR(VALUE(TRIM(MID(MID(Sync!$AE1543,FIND("/",Sync!$AE1543)+1,20),FIND("/",MID(Sync!$AE1543,FIND("/",Sync!$AE1543)+1,20))+1,20))),"")))</f>
        <v/>
      </c>
      <c r="J1543" t="str">
        <f t="shared" si="122"/>
        <v/>
      </c>
      <c r="K1543" t="str">
        <f>IF(OR($F1543="",$J1543="",$J1543="نامعتبر"),"",LEFT($J1543,4)&amp;MID($J1543,6,2)&amp;RIGHT($J1543,2)&amp;$N1543&amp;"|"&amp;"2"&amp;RIGHT("00000"&amp;1538,5))</f>
        <v/>
      </c>
      <c r="L1543" t="str">
        <f t="shared" si="123"/>
        <v/>
      </c>
      <c r="M1543" t="str">
        <f t="shared" si="124"/>
        <v/>
      </c>
      <c r="N1543" t="str">
        <f>IF($F1543="","",IF(Sync!$AF1543="","0000",IF(AND(ISNUMBER(Sync!$AF1543),Sync!$AF1543&gt;=0,Sync!$AF1543&lt;1),RIGHT("00"&amp;HOUR(Sync!$AF1543),2)&amp;RIGHT("00"&amp;MINUTE(Sync!$AF1543),2),IFERROR(RIGHT("00"&amp;VALUE(LEFT(Sync!$AF1543,FIND(":",Sync!$AF1543)-1)),2)&amp;RIGHT("00"&amp;VALUE(MID(Sync!$AF1543,FIND(":",Sync!$AF1543)+1,2)),2),"0000"))))</f>
        <v/>
      </c>
    </row>
    <row r="1544" spans="1:14" x14ac:dyDescent="0.2">
      <c r="A1544" t="str">
        <f>IF(OR(Calc!$E1548="",Calc!$E1548="نامعتبر",Calc!$G1548=""),"",Calc!$G1548)</f>
        <v/>
      </c>
      <c r="B1544" t="str">
        <f>IF($A1544="","",LEFT(Calc!$E1548,4)&amp;MID(Calc!$E1548,6,2)&amp;RIGHT(Calc!$E1548,2)&amp;Calc!$Q1548&amp;"|"&amp;"1"&amp;RIGHT("00000"&amp;1539,5))</f>
        <v/>
      </c>
      <c r="C1544" t="str">
        <f t="shared" si="120"/>
        <v/>
      </c>
      <c r="D1544" t="str">
        <f t="shared" si="121"/>
        <v/>
      </c>
      <c r="F1544" t="str">
        <f>IF(Sync!$AH1544="","",IF(LEFT(UPPER(TRIM(Sync!$AH1544)),2)="SL",UPPER(TRIM(Sync!$AH1544)),""))</f>
        <v/>
      </c>
      <c r="G1544" t="str">
        <f>IF($F1544="","",IF(Sync!$AE1544="","",IF(ISNUMBER(Sync!$AE1544),IF(AND(Sync!$AE1544&gt;=10000101,Sync!$AE1544&lt;=99991231),INT(Sync!$AE1544/10000),""),IFERROR(VALUE(TRIM(LEFT(Sync!$AE1544,FIND("/",Sync!$AE1544)-1))),""))))</f>
        <v/>
      </c>
      <c r="H1544" t="str">
        <f>IF(OR($F1544="",$G1544=""),"",IF(ISNUMBER(Sync!$AE1544),INT(MOD(Sync!$AE1544,10000)/100),IFERROR(VALUE(TRIM(LEFT(MID(Sync!$AE1544,FIND("/",Sync!$AE1544)+1,20),FIND("/",MID(Sync!$AE1544,FIND("/",Sync!$AE1544)+1,20))-1))),"")))</f>
        <v/>
      </c>
      <c r="I1544" t="str">
        <f>IF(OR($F1544="",$G1544=""),"",IF(ISNUMBER(Sync!$AE1544),MOD(Sync!$AE1544,100),IFERROR(VALUE(TRIM(MID(MID(Sync!$AE1544,FIND("/",Sync!$AE1544)+1,20),FIND("/",MID(Sync!$AE1544,FIND("/",Sync!$AE1544)+1,20))+1,20))),"")))</f>
        <v/>
      </c>
      <c r="J1544" t="str">
        <f t="shared" si="122"/>
        <v/>
      </c>
      <c r="K1544" t="str">
        <f>IF(OR($F1544="",$J1544="",$J1544="نامعتبر"),"",LEFT($J1544,4)&amp;MID($J1544,6,2)&amp;RIGHT($J1544,2)&amp;$N1544&amp;"|"&amp;"2"&amp;RIGHT("00000"&amp;1539,5))</f>
        <v/>
      </c>
      <c r="L1544" t="str">
        <f t="shared" si="123"/>
        <v/>
      </c>
      <c r="M1544" t="str">
        <f t="shared" si="124"/>
        <v/>
      </c>
      <c r="N1544" t="str">
        <f>IF($F1544="","",IF(Sync!$AF1544="","0000",IF(AND(ISNUMBER(Sync!$AF1544),Sync!$AF1544&gt;=0,Sync!$AF1544&lt;1),RIGHT("00"&amp;HOUR(Sync!$AF1544),2)&amp;RIGHT("00"&amp;MINUTE(Sync!$AF1544),2),IFERROR(RIGHT("00"&amp;VALUE(LEFT(Sync!$AF1544,FIND(":",Sync!$AF1544)-1)),2)&amp;RIGHT("00"&amp;VALUE(MID(Sync!$AF1544,FIND(":",Sync!$AF1544)+1,2)),2),"0000"))))</f>
        <v/>
      </c>
    </row>
    <row r="1545" spans="1:14" x14ac:dyDescent="0.2">
      <c r="A1545" t="str">
        <f>IF(OR(Calc!$E1549="",Calc!$E1549="نامعتبر",Calc!$G1549=""),"",Calc!$G1549)</f>
        <v/>
      </c>
      <c r="B1545" t="str">
        <f>IF($A1545="","",LEFT(Calc!$E1549,4)&amp;MID(Calc!$E1549,6,2)&amp;RIGHT(Calc!$E1549,2)&amp;Calc!$Q1549&amp;"|"&amp;"1"&amp;RIGHT("00000"&amp;1540,5))</f>
        <v/>
      </c>
      <c r="C1545" t="str">
        <f t="shared" si="120"/>
        <v/>
      </c>
      <c r="D1545" t="str">
        <f t="shared" si="121"/>
        <v/>
      </c>
      <c r="F1545" t="str">
        <f>IF(Sync!$AH1545="","",IF(LEFT(UPPER(TRIM(Sync!$AH1545)),2)="SL",UPPER(TRIM(Sync!$AH1545)),""))</f>
        <v/>
      </c>
      <c r="G1545" t="str">
        <f>IF($F1545="","",IF(Sync!$AE1545="","",IF(ISNUMBER(Sync!$AE1545),IF(AND(Sync!$AE1545&gt;=10000101,Sync!$AE1545&lt;=99991231),INT(Sync!$AE1545/10000),""),IFERROR(VALUE(TRIM(LEFT(Sync!$AE1545,FIND("/",Sync!$AE1545)-1))),""))))</f>
        <v/>
      </c>
      <c r="H1545" t="str">
        <f>IF(OR($F1545="",$G1545=""),"",IF(ISNUMBER(Sync!$AE1545),INT(MOD(Sync!$AE1545,10000)/100),IFERROR(VALUE(TRIM(LEFT(MID(Sync!$AE1545,FIND("/",Sync!$AE1545)+1,20),FIND("/",MID(Sync!$AE1545,FIND("/",Sync!$AE1545)+1,20))-1))),"")))</f>
        <v/>
      </c>
      <c r="I1545" t="str">
        <f>IF(OR($F1545="",$G1545=""),"",IF(ISNUMBER(Sync!$AE1545),MOD(Sync!$AE1545,100),IFERROR(VALUE(TRIM(MID(MID(Sync!$AE1545,FIND("/",Sync!$AE1545)+1,20),FIND("/",MID(Sync!$AE1545,FIND("/",Sync!$AE1545)+1,20))+1,20))),"")))</f>
        <v/>
      </c>
      <c r="J1545" t="str">
        <f t="shared" si="122"/>
        <v/>
      </c>
      <c r="K1545" t="str">
        <f>IF(OR($F1545="",$J1545="",$J1545="نامعتبر"),"",LEFT($J1545,4)&amp;MID($J1545,6,2)&amp;RIGHT($J1545,2)&amp;$N1545&amp;"|"&amp;"2"&amp;RIGHT("00000"&amp;1540,5))</f>
        <v/>
      </c>
      <c r="L1545" t="str">
        <f t="shared" si="123"/>
        <v/>
      </c>
      <c r="M1545" t="str">
        <f t="shared" si="124"/>
        <v/>
      </c>
      <c r="N1545" t="str">
        <f>IF($F1545="","",IF(Sync!$AF1545="","0000",IF(AND(ISNUMBER(Sync!$AF1545),Sync!$AF1545&gt;=0,Sync!$AF1545&lt;1),RIGHT("00"&amp;HOUR(Sync!$AF1545),2)&amp;RIGHT("00"&amp;MINUTE(Sync!$AF1545),2),IFERROR(RIGHT("00"&amp;VALUE(LEFT(Sync!$AF1545,FIND(":",Sync!$AF1545)-1)),2)&amp;RIGHT("00"&amp;VALUE(MID(Sync!$AF1545,FIND(":",Sync!$AF1545)+1,2)),2),"0000"))))</f>
        <v/>
      </c>
    </row>
    <row r="1546" spans="1:14" x14ac:dyDescent="0.2">
      <c r="A1546" t="str">
        <f>IF(OR(Calc!$E1550="",Calc!$E1550="نامعتبر",Calc!$G1550=""),"",Calc!$G1550)</f>
        <v/>
      </c>
      <c r="B1546" t="str">
        <f>IF($A1546="","",LEFT(Calc!$E1550,4)&amp;MID(Calc!$E1550,6,2)&amp;RIGHT(Calc!$E1550,2)&amp;Calc!$Q1550&amp;"|"&amp;"1"&amp;RIGHT("00000"&amp;1541,5))</f>
        <v/>
      </c>
      <c r="C1546" t="str">
        <f t="shared" si="120"/>
        <v/>
      </c>
      <c r="D1546" t="str">
        <f t="shared" si="121"/>
        <v/>
      </c>
      <c r="F1546" t="str">
        <f>IF(Sync!$AH1546="","",IF(LEFT(UPPER(TRIM(Sync!$AH1546)),2)="SL",UPPER(TRIM(Sync!$AH1546)),""))</f>
        <v/>
      </c>
      <c r="G1546" t="str">
        <f>IF($F1546="","",IF(Sync!$AE1546="","",IF(ISNUMBER(Sync!$AE1546),IF(AND(Sync!$AE1546&gt;=10000101,Sync!$AE1546&lt;=99991231),INT(Sync!$AE1546/10000),""),IFERROR(VALUE(TRIM(LEFT(Sync!$AE1546,FIND("/",Sync!$AE1546)-1))),""))))</f>
        <v/>
      </c>
      <c r="H1546" t="str">
        <f>IF(OR($F1546="",$G1546=""),"",IF(ISNUMBER(Sync!$AE1546),INT(MOD(Sync!$AE1546,10000)/100),IFERROR(VALUE(TRIM(LEFT(MID(Sync!$AE1546,FIND("/",Sync!$AE1546)+1,20),FIND("/",MID(Sync!$AE1546,FIND("/",Sync!$AE1546)+1,20))-1))),"")))</f>
        <v/>
      </c>
      <c r="I1546" t="str">
        <f>IF(OR($F1546="",$G1546=""),"",IF(ISNUMBER(Sync!$AE1546),MOD(Sync!$AE1546,100),IFERROR(VALUE(TRIM(MID(MID(Sync!$AE1546,FIND("/",Sync!$AE1546)+1,20),FIND("/",MID(Sync!$AE1546,FIND("/",Sync!$AE1546)+1,20))+1,20))),"")))</f>
        <v/>
      </c>
      <c r="J1546" t="str">
        <f t="shared" si="122"/>
        <v/>
      </c>
      <c r="K1546" t="str">
        <f>IF(OR($F1546="",$J1546="",$J1546="نامعتبر"),"",LEFT($J1546,4)&amp;MID($J1546,6,2)&amp;RIGHT($J1546,2)&amp;$N1546&amp;"|"&amp;"2"&amp;RIGHT("00000"&amp;1541,5))</f>
        <v/>
      </c>
      <c r="L1546" t="str">
        <f t="shared" si="123"/>
        <v/>
      </c>
      <c r="M1546" t="str">
        <f t="shared" si="124"/>
        <v/>
      </c>
      <c r="N1546" t="str">
        <f>IF($F1546="","",IF(Sync!$AF1546="","0000",IF(AND(ISNUMBER(Sync!$AF1546),Sync!$AF1546&gt;=0,Sync!$AF1546&lt;1),RIGHT("00"&amp;HOUR(Sync!$AF1546),2)&amp;RIGHT("00"&amp;MINUTE(Sync!$AF1546),2),IFERROR(RIGHT("00"&amp;VALUE(LEFT(Sync!$AF1546,FIND(":",Sync!$AF1546)-1)),2)&amp;RIGHT("00"&amp;VALUE(MID(Sync!$AF1546,FIND(":",Sync!$AF1546)+1,2)),2),"0000"))))</f>
        <v/>
      </c>
    </row>
    <row r="1547" spans="1:14" x14ac:dyDescent="0.2">
      <c r="A1547" t="str">
        <f>IF(OR(Calc!$E1551="",Calc!$E1551="نامعتبر",Calc!$G1551=""),"",Calc!$G1551)</f>
        <v/>
      </c>
      <c r="B1547" t="str">
        <f>IF($A1547="","",LEFT(Calc!$E1551,4)&amp;MID(Calc!$E1551,6,2)&amp;RIGHT(Calc!$E1551,2)&amp;Calc!$Q1551&amp;"|"&amp;"1"&amp;RIGHT("00000"&amp;1542,5))</f>
        <v/>
      </c>
      <c r="C1547" t="str">
        <f t="shared" si="120"/>
        <v/>
      </c>
      <c r="D1547" t="str">
        <f t="shared" si="121"/>
        <v/>
      </c>
      <c r="F1547" t="str">
        <f>IF(Sync!$AH1547="","",IF(LEFT(UPPER(TRIM(Sync!$AH1547)),2)="SL",UPPER(TRIM(Sync!$AH1547)),""))</f>
        <v/>
      </c>
      <c r="G1547" t="str">
        <f>IF($F1547="","",IF(Sync!$AE1547="","",IF(ISNUMBER(Sync!$AE1547),IF(AND(Sync!$AE1547&gt;=10000101,Sync!$AE1547&lt;=99991231),INT(Sync!$AE1547/10000),""),IFERROR(VALUE(TRIM(LEFT(Sync!$AE1547,FIND("/",Sync!$AE1547)-1))),""))))</f>
        <v/>
      </c>
      <c r="H1547" t="str">
        <f>IF(OR($F1547="",$G1547=""),"",IF(ISNUMBER(Sync!$AE1547),INT(MOD(Sync!$AE1547,10000)/100),IFERROR(VALUE(TRIM(LEFT(MID(Sync!$AE1547,FIND("/",Sync!$AE1547)+1,20),FIND("/",MID(Sync!$AE1547,FIND("/",Sync!$AE1547)+1,20))-1))),"")))</f>
        <v/>
      </c>
      <c r="I1547" t="str">
        <f>IF(OR($F1547="",$G1547=""),"",IF(ISNUMBER(Sync!$AE1547),MOD(Sync!$AE1547,100),IFERROR(VALUE(TRIM(MID(MID(Sync!$AE1547,FIND("/",Sync!$AE1547)+1,20),FIND("/",MID(Sync!$AE1547,FIND("/",Sync!$AE1547)+1,20))+1,20))),"")))</f>
        <v/>
      </c>
      <c r="J1547" t="str">
        <f t="shared" si="122"/>
        <v/>
      </c>
      <c r="K1547" t="str">
        <f>IF(OR($F1547="",$J1547="",$J1547="نامعتبر"),"",LEFT($J1547,4)&amp;MID($J1547,6,2)&amp;RIGHT($J1547,2)&amp;$N1547&amp;"|"&amp;"2"&amp;RIGHT("00000"&amp;1542,5))</f>
        <v/>
      </c>
      <c r="L1547" t="str">
        <f t="shared" si="123"/>
        <v/>
      </c>
      <c r="M1547" t="str">
        <f t="shared" si="124"/>
        <v/>
      </c>
      <c r="N1547" t="str">
        <f>IF($F1547="","",IF(Sync!$AF1547="","0000",IF(AND(ISNUMBER(Sync!$AF1547),Sync!$AF1547&gt;=0,Sync!$AF1547&lt;1),RIGHT("00"&amp;HOUR(Sync!$AF1547),2)&amp;RIGHT("00"&amp;MINUTE(Sync!$AF1547),2),IFERROR(RIGHT("00"&amp;VALUE(LEFT(Sync!$AF1547,FIND(":",Sync!$AF1547)-1)),2)&amp;RIGHT("00"&amp;VALUE(MID(Sync!$AF1547,FIND(":",Sync!$AF1547)+1,2)),2),"0000"))))</f>
        <v/>
      </c>
    </row>
    <row r="1548" spans="1:14" x14ac:dyDescent="0.2">
      <c r="A1548" t="str">
        <f>IF(OR(Calc!$E1552="",Calc!$E1552="نامعتبر",Calc!$G1552=""),"",Calc!$G1552)</f>
        <v/>
      </c>
      <c r="B1548" t="str">
        <f>IF($A1548="","",LEFT(Calc!$E1552,4)&amp;MID(Calc!$E1552,6,2)&amp;RIGHT(Calc!$E1552,2)&amp;Calc!$Q1552&amp;"|"&amp;"1"&amp;RIGHT("00000"&amp;1543,5))</f>
        <v/>
      </c>
      <c r="C1548" t="str">
        <f t="shared" si="120"/>
        <v/>
      </c>
      <c r="D1548" t="str">
        <f t="shared" si="121"/>
        <v/>
      </c>
      <c r="F1548" t="str">
        <f>IF(Sync!$AH1548="","",IF(LEFT(UPPER(TRIM(Sync!$AH1548)),2)="SL",UPPER(TRIM(Sync!$AH1548)),""))</f>
        <v/>
      </c>
      <c r="G1548" t="str">
        <f>IF($F1548="","",IF(Sync!$AE1548="","",IF(ISNUMBER(Sync!$AE1548),IF(AND(Sync!$AE1548&gt;=10000101,Sync!$AE1548&lt;=99991231),INT(Sync!$AE1548/10000),""),IFERROR(VALUE(TRIM(LEFT(Sync!$AE1548,FIND("/",Sync!$AE1548)-1))),""))))</f>
        <v/>
      </c>
      <c r="H1548" t="str">
        <f>IF(OR($F1548="",$G1548=""),"",IF(ISNUMBER(Sync!$AE1548),INT(MOD(Sync!$AE1548,10000)/100),IFERROR(VALUE(TRIM(LEFT(MID(Sync!$AE1548,FIND("/",Sync!$AE1548)+1,20),FIND("/",MID(Sync!$AE1548,FIND("/",Sync!$AE1548)+1,20))-1))),"")))</f>
        <v/>
      </c>
      <c r="I1548" t="str">
        <f>IF(OR($F1548="",$G1548=""),"",IF(ISNUMBER(Sync!$AE1548),MOD(Sync!$AE1548,100),IFERROR(VALUE(TRIM(MID(MID(Sync!$AE1548,FIND("/",Sync!$AE1548)+1,20),FIND("/",MID(Sync!$AE1548,FIND("/",Sync!$AE1548)+1,20))+1,20))),"")))</f>
        <v/>
      </c>
      <c r="J1548" t="str">
        <f t="shared" si="122"/>
        <v/>
      </c>
      <c r="K1548" t="str">
        <f>IF(OR($F1548="",$J1548="",$J1548="نامعتبر"),"",LEFT($J1548,4)&amp;MID($J1548,6,2)&amp;RIGHT($J1548,2)&amp;$N1548&amp;"|"&amp;"2"&amp;RIGHT("00000"&amp;1543,5))</f>
        <v/>
      </c>
      <c r="L1548" t="str">
        <f t="shared" si="123"/>
        <v/>
      </c>
      <c r="M1548" t="str">
        <f t="shared" si="124"/>
        <v/>
      </c>
      <c r="N1548" t="str">
        <f>IF($F1548="","",IF(Sync!$AF1548="","0000",IF(AND(ISNUMBER(Sync!$AF1548),Sync!$AF1548&gt;=0,Sync!$AF1548&lt;1),RIGHT("00"&amp;HOUR(Sync!$AF1548),2)&amp;RIGHT("00"&amp;MINUTE(Sync!$AF1548),2),IFERROR(RIGHT("00"&amp;VALUE(LEFT(Sync!$AF1548,FIND(":",Sync!$AF1548)-1)),2)&amp;RIGHT("00"&amp;VALUE(MID(Sync!$AF1548,FIND(":",Sync!$AF1548)+1,2)),2),"0000"))))</f>
        <v/>
      </c>
    </row>
    <row r="1549" spans="1:14" x14ac:dyDescent="0.2">
      <c r="A1549" t="str">
        <f>IF(OR(Calc!$E1553="",Calc!$E1553="نامعتبر",Calc!$G1553=""),"",Calc!$G1553)</f>
        <v/>
      </c>
      <c r="B1549" t="str">
        <f>IF($A1549="","",LEFT(Calc!$E1553,4)&amp;MID(Calc!$E1553,6,2)&amp;RIGHT(Calc!$E1553,2)&amp;Calc!$Q1553&amp;"|"&amp;"1"&amp;RIGHT("00000"&amp;1544,5))</f>
        <v/>
      </c>
      <c r="C1549" t="str">
        <f t="shared" si="120"/>
        <v/>
      </c>
      <c r="D1549" t="str">
        <f t="shared" si="121"/>
        <v/>
      </c>
      <c r="F1549" t="str">
        <f>IF(Sync!$AH1549="","",IF(LEFT(UPPER(TRIM(Sync!$AH1549)),2)="SL",UPPER(TRIM(Sync!$AH1549)),""))</f>
        <v/>
      </c>
      <c r="G1549" t="str">
        <f>IF($F1549="","",IF(Sync!$AE1549="","",IF(ISNUMBER(Sync!$AE1549),IF(AND(Sync!$AE1549&gt;=10000101,Sync!$AE1549&lt;=99991231),INT(Sync!$AE1549/10000),""),IFERROR(VALUE(TRIM(LEFT(Sync!$AE1549,FIND("/",Sync!$AE1549)-1))),""))))</f>
        <v/>
      </c>
      <c r="H1549" t="str">
        <f>IF(OR($F1549="",$G1549=""),"",IF(ISNUMBER(Sync!$AE1549),INT(MOD(Sync!$AE1549,10000)/100),IFERROR(VALUE(TRIM(LEFT(MID(Sync!$AE1549,FIND("/",Sync!$AE1549)+1,20),FIND("/",MID(Sync!$AE1549,FIND("/",Sync!$AE1549)+1,20))-1))),"")))</f>
        <v/>
      </c>
      <c r="I1549" t="str">
        <f>IF(OR($F1549="",$G1549=""),"",IF(ISNUMBER(Sync!$AE1549),MOD(Sync!$AE1549,100),IFERROR(VALUE(TRIM(MID(MID(Sync!$AE1549,FIND("/",Sync!$AE1549)+1,20),FIND("/",MID(Sync!$AE1549,FIND("/",Sync!$AE1549)+1,20))+1,20))),"")))</f>
        <v/>
      </c>
      <c r="J1549" t="str">
        <f t="shared" si="122"/>
        <v/>
      </c>
      <c r="K1549" t="str">
        <f>IF(OR($F1549="",$J1549="",$J1549="نامعتبر"),"",LEFT($J1549,4)&amp;MID($J1549,6,2)&amp;RIGHT($J1549,2)&amp;$N1549&amp;"|"&amp;"2"&amp;RIGHT("00000"&amp;1544,5))</f>
        <v/>
      </c>
      <c r="L1549" t="str">
        <f t="shared" si="123"/>
        <v/>
      </c>
      <c r="M1549" t="str">
        <f t="shared" si="124"/>
        <v/>
      </c>
      <c r="N1549" t="str">
        <f>IF($F1549="","",IF(Sync!$AF1549="","0000",IF(AND(ISNUMBER(Sync!$AF1549),Sync!$AF1549&gt;=0,Sync!$AF1549&lt;1),RIGHT("00"&amp;HOUR(Sync!$AF1549),2)&amp;RIGHT("00"&amp;MINUTE(Sync!$AF1549),2),IFERROR(RIGHT("00"&amp;VALUE(LEFT(Sync!$AF1549,FIND(":",Sync!$AF1549)-1)),2)&amp;RIGHT("00"&amp;VALUE(MID(Sync!$AF1549,FIND(":",Sync!$AF1549)+1,2)),2),"0000"))))</f>
        <v/>
      </c>
    </row>
    <row r="1550" spans="1:14" x14ac:dyDescent="0.2">
      <c r="A1550" t="str">
        <f>IF(OR(Calc!$E1554="",Calc!$E1554="نامعتبر",Calc!$G1554=""),"",Calc!$G1554)</f>
        <v/>
      </c>
      <c r="B1550" t="str">
        <f>IF($A1550="","",LEFT(Calc!$E1554,4)&amp;MID(Calc!$E1554,6,2)&amp;RIGHT(Calc!$E1554,2)&amp;Calc!$Q1554&amp;"|"&amp;"1"&amp;RIGHT("00000"&amp;1545,5))</f>
        <v/>
      </c>
      <c r="C1550" t="str">
        <f t="shared" si="120"/>
        <v/>
      </c>
      <c r="D1550" t="str">
        <f t="shared" si="121"/>
        <v/>
      </c>
      <c r="F1550" t="str">
        <f>IF(Sync!$AH1550="","",IF(LEFT(UPPER(TRIM(Sync!$AH1550)),2)="SL",UPPER(TRIM(Sync!$AH1550)),""))</f>
        <v/>
      </c>
      <c r="G1550" t="str">
        <f>IF($F1550="","",IF(Sync!$AE1550="","",IF(ISNUMBER(Sync!$AE1550),IF(AND(Sync!$AE1550&gt;=10000101,Sync!$AE1550&lt;=99991231),INT(Sync!$AE1550/10000),""),IFERROR(VALUE(TRIM(LEFT(Sync!$AE1550,FIND("/",Sync!$AE1550)-1))),""))))</f>
        <v/>
      </c>
      <c r="H1550" t="str">
        <f>IF(OR($F1550="",$G1550=""),"",IF(ISNUMBER(Sync!$AE1550),INT(MOD(Sync!$AE1550,10000)/100),IFERROR(VALUE(TRIM(LEFT(MID(Sync!$AE1550,FIND("/",Sync!$AE1550)+1,20),FIND("/",MID(Sync!$AE1550,FIND("/",Sync!$AE1550)+1,20))-1))),"")))</f>
        <v/>
      </c>
      <c r="I1550" t="str">
        <f>IF(OR($F1550="",$G1550=""),"",IF(ISNUMBER(Sync!$AE1550),MOD(Sync!$AE1550,100),IFERROR(VALUE(TRIM(MID(MID(Sync!$AE1550,FIND("/",Sync!$AE1550)+1,20),FIND("/",MID(Sync!$AE1550,FIND("/",Sync!$AE1550)+1,20))+1,20))),"")))</f>
        <v/>
      </c>
      <c r="J1550" t="str">
        <f t="shared" si="122"/>
        <v/>
      </c>
      <c r="K1550" t="str">
        <f>IF(OR($F1550="",$J1550="",$J1550="نامعتبر"),"",LEFT($J1550,4)&amp;MID($J1550,6,2)&amp;RIGHT($J1550,2)&amp;$N1550&amp;"|"&amp;"2"&amp;RIGHT("00000"&amp;1545,5))</f>
        <v/>
      </c>
      <c r="L1550" t="str">
        <f t="shared" si="123"/>
        <v/>
      </c>
      <c r="M1550" t="str">
        <f t="shared" si="124"/>
        <v/>
      </c>
      <c r="N1550" t="str">
        <f>IF($F1550="","",IF(Sync!$AF1550="","0000",IF(AND(ISNUMBER(Sync!$AF1550),Sync!$AF1550&gt;=0,Sync!$AF1550&lt;1),RIGHT("00"&amp;HOUR(Sync!$AF1550),2)&amp;RIGHT("00"&amp;MINUTE(Sync!$AF1550),2),IFERROR(RIGHT("00"&amp;VALUE(LEFT(Sync!$AF1550,FIND(":",Sync!$AF1550)-1)),2)&amp;RIGHT("00"&amp;VALUE(MID(Sync!$AF1550,FIND(":",Sync!$AF1550)+1,2)),2),"0000"))))</f>
        <v/>
      </c>
    </row>
    <row r="1551" spans="1:14" x14ac:dyDescent="0.2">
      <c r="A1551" t="str">
        <f>IF(OR(Calc!$E1555="",Calc!$E1555="نامعتبر",Calc!$G1555=""),"",Calc!$G1555)</f>
        <v/>
      </c>
      <c r="B1551" t="str">
        <f>IF($A1551="","",LEFT(Calc!$E1555,4)&amp;MID(Calc!$E1555,6,2)&amp;RIGHT(Calc!$E1555,2)&amp;Calc!$Q1555&amp;"|"&amp;"1"&amp;RIGHT("00000"&amp;1546,5))</f>
        <v/>
      </c>
      <c r="C1551" t="str">
        <f t="shared" si="120"/>
        <v/>
      </c>
      <c r="D1551" t="str">
        <f t="shared" si="121"/>
        <v/>
      </c>
      <c r="F1551" t="str">
        <f>IF(Sync!$AH1551="","",IF(LEFT(UPPER(TRIM(Sync!$AH1551)),2)="SL",UPPER(TRIM(Sync!$AH1551)),""))</f>
        <v/>
      </c>
      <c r="G1551" t="str">
        <f>IF($F1551="","",IF(Sync!$AE1551="","",IF(ISNUMBER(Sync!$AE1551),IF(AND(Sync!$AE1551&gt;=10000101,Sync!$AE1551&lt;=99991231),INT(Sync!$AE1551/10000),""),IFERROR(VALUE(TRIM(LEFT(Sync!$AE1551,FIND("/",Sync!$AE1551)-1))),""))))</f>
        <v/>
      </c>
      <c r="H1551" t="str">
        <f>IF(OR($F1551="",$G1551=""),"",IF(ISNUMBER(Sync!$AE1551),INT(MOD(Sync!$AE1551,10000)/100),IFERROR(VALUE(TRIM(LEFT(MID(Sync!$AE1551,FIND("/",Sync!$AE1551)+1,20),FIND("/",MID(Sync!$AE1551,FIND("/",Sync!$AE1551)+1,20))-1))),"")))</f>
        <v/>
      </c>
      <c r="I1551" t="str">
        <f>IF(OR($F1551="",$G1551=""),"",IF(ISNUMBER(Sync!$AE1551),MOD(Sync!$AE1551,100),IFERROR(VALUE(TRIM(MID(MID(Sync!$AE1551,FIND("/",Sync!$AE1551)+1,20),FIND("/",MID(Sync!$AE1551,FIND("/",Sync!$AE1551)+1,20))+1,20))),"")))</f>
        <v/>
      </c>
      <c r="J1551" t="str">
        <f t="shared" si="122"/>
        <v/>
      </c>
      <c r="K1551" t="str">
        <f>IF(OR($F1551="",$J1551="",$J1551="نامعتبر"),"",LEFT($J1551,4)&amp;MID($J1551,6,2)&amp;RIGHT($J1551,2)&amp;$N1551&amp;"|"&amp;"2"&amp;RIGHT("00000"&amp;1546,5))</f>
        <v/>
      </c>
      <c r="L1551" t="str">
        <f t="shared" si="123"/>
        <v/>
      </c>
      <c r="M1551" t="str">
        <f t="shared" si="124"/>
        <v/>
      </c>
      <c r="N1551" t="str">
        <f>IF($F1551="","",IF(Sync!$AF1551="","0000",IF(AND(ISNUMBER(Sync!$AF1551),Sync!$AF1551&gt;=0,Sync!$AF1551&lt;1),RIGHT("00"&amp;HOUR(Sync!$AF1551),2)&amp;RIGHT("00"&amp;MINUTE(Sync!$AF1551),2),IFERROR(RIGHT("00"&amp;VALUE(LEFT(Sync!$AF1551,FIND(":",Sync!$AF1551)-1)),2)&amp;RIGHT("00"&amp;VALUE(MID(Sync!$AF1551,FIND(":",Sync!$AF1551)+1,2)),2),"0000"))))</f>
        <v/>
      </c>
    </row>
    <row r="1552" spans="1:14" x14ac:dyDescent="0.2">
      <c r="A1552" t="str">
        <f>IF(OR(Calc!$E1556="",Calc!$E1556="نامعتبر",Calc!$G1556=""),"",Calc!$G1556)</f>
        <v/>
      </c>
      <c r="B1552" t="str">
        <f>IF($A1552="","",LEFT(Calc!$E1556,4)&amp;MID(Calc!$E1556,6,2)&amp;RIGHT(Calc!$E1556,2)&amp;Calc!$Q1556&amp;"|"&amp;"1"&amp;RIGHT("00000"&amp;1547,5))</f>
        <v/>
      </c>
      <c r="C1552" t="str">
        <f t="shared" si="120"/>
        <v/>
      </c>
      <c r="D1552" t="str">
        <f t="shared" si="121"/>
        <v/>
      </c>
      <c r="F1552" t="str">
        <f>IF(Sync!$AH1552="","",IF(LEFT(UPPER(TRIM(Sync!$AH1552)),2)="SL",UPPER(TRIM(Sync!$AH1552)),""))</f>
        <v/>
      </c>
      <c r="G1552" t="str">
        <f>IF($F1552="","",IF(Sync!$AE1552="","",IF(ISNUMBER(Sync!$AE1552),IF(AND(Sync!$AE1552&gt;=10000101,Sync!$AE1552&lt;=99991231),INT(Sync!$AE1552/10000),""),IFERROR(VALUE(TRIM(LEFT(Sync!$AE1552,FIND("/",Sync!$AE1552)-1))),""))))</f>
        <v/>
      </c>
      <c r="H1552" t="str">
        <f>IF(OR($F1552="",$G1552=""),"",IF(ISNUMBER(Sync!$AE1552),INT(MOD(Sync!$AE1552,10000)/100),IFERROR(VALUE(TRIM(LEFT(MID(Sync!$AE1552,FIND("/",Sync!$AE1552)+1,20),FIND("/",MID(Sync!$AE1552,FIND("/",Sync!$AE1552)+1,20))-1))),"")))</f>
        <v/>
      </c>
      <c r="I1552" t="str">
        <f>IF(OR($F1552="",$G1552=""),"",IF(ISNUMBER(Sync!$AE1552),MOD(Sync!$AE1552,100),IFERROR(VALUE(TRIM(MID(MID(Sync!$AE1552,FIND("/",Sync!$AE1552)+1,20),FIND("/",MID(Sync!$AE1552,FIND("/",Sync!$AE1552)+1,20))+1,20))),"")))</f>
        <v/>
      </c>
      <c r="J1552" t="str">
        <f t="shared" si="122"/>
        <v/>
      </c>
      <c r="K1552" t="str">
        <f>IF(OR($F1552="",$J1552="",$J1552="نامعتبر"),"",LEFT($J1552,4)&amp;MID($J1552,6,2)&amp;RIGHT($J1552,2)&amp;$N1552&amp;"|"&amp;"2"&amp;RIGHT("00000"&amp;1547,5))</f>
        <v/>
      </c>
      <c r="L1552" t="str">
        <f t="shared" si="123"/>
        <v/>
      </c>
      <c r="M1552" t="str">
        <f t="shared" si="124"/>
        <v/>
      </c>
      <c r="N1552" t="str">
        <f>IF($F1552="","",IF(Sync!$AF1552="","0000",IF(AND(ISNUMBER(Sync!$AF1552),Sync!$AF1552&gt;=0,Sync!$AF1552&lt;1),RIGHT("00"&amp;HOUR(Sync!$AF1552),2)&amp;RIGHT("00"&amp;MINUTE(Sync!$AF1552),2),IFERROR(RIGHT("00"&amp;VALUE(LEFT(Sync!$AF1552,FIND(":",Sync!$AF1552)-1)),2)&amp;RIGHT("00"&amp;VALUE(MID(Sync!$AF1552,FIND(":",Sync!$AF1552)+1,2)),2),"0000"))))</f>
        <v/>
      </c>
    </row>
    <row r="1553" spans="1:14" x14ac:dyDescent="0.2">
      <c r="A1553" t="str">
        <f>IF(OR(Calc!$E1557="",Calc!$E1557="نامعتبر",Calc!$G1557=""),"",Calc!$G1557)</f>
        <v/>
      </c>
      <c r="B1553" t="str">
        <f>IF($A1553="","",LEFT(Calc!$E1557,4)&amp;MID(Calc!$E1557,6,2)&amp;RIGHT(Calc!$E1557,2)&amp;Calc!$Q1557&amp;"|"&amp;"1"&amp;RIGHT("00000"&amp;1548,5))</f>
        <v/>
      </c>
      <c r="C1553" t="str">
        <f t="shared" si="120"/>
        <v/>
      </c>
      <c r="D1553" t="str">
        <f t="shared" si="121"/>
        <v/>
      </c>
      <c r="F1553" t="str">
        <f>IF(Sync!$AH1553="","",IF(LEFT(UPPER(TRIM(Sync!$AH1553)),2)="SL",UPPER(TRIM(Sync!$AH1553)),""))</f>
        <v/>
      </c>
      <c r="G1553" t="str">
        <f>IF($F1553="","",IF(Sync!$AE1553="","",IF(ISNUMBER(Sync!$AE1553),IF(AND(Sync!$AE1553&gt;=10000101,Sync!$AE1553&lt;=99991231),INT(Sync!$AE1553/10000),""),IFERROR(VALUE(TRIM(LEFT(Sync!$AE1553,FIND("/",Sync!$AE1553)-1))),""))))</f>
        <v/>
      </c>
      <c r="H1553" t="str">
        <f>IF(OR($F1553="",$G1553=""),"",IF(ISNUMBER(Sync!$AE1553),INT(MOD(Sync!$AE1553,10000)/100),IFERROR(VALUE(TRIM(LEFT(MID(Sync!$AE1553,FIND("/",Sync!$AE1553)+1,20),FIND("/",MID(Sync!$AE1553,FIND("/",Sync!$AE1553)+1,20))-1))),"")))</f>
        <v/>
      </c>
      <c r="I1553" t="str">
        <f>IF(OR($F1553="",$G1553=""),"",IF(ISNUMBER(Sync!$AE1553),MOD(Sync!$AE1553,100),IFERROR(VALUE(TRIM(MID(MID(Sync!$AE1553,FIND("/",Sync!$AE1553)+1,20),FIND("/",MID(Sync!$AE1553,FIND("/",Sync!$AE1553)+1,20))+1,20))),"")))</f>
        <v/>
      </c>
      <c r="J1553" t="str">
        <f t="shared" si="122"/>
        <v/>
      </c>
      <c r="K1553" t="str">
        <f>IF(OR($F1553="",$J1553="",$J1553="نامعتبر"),"",LEFT($J1553,4)&amp;MID($J1553,6,2)&amp;RIGHT($J1553,2)&amp;$N1553&amp;"|"&amp;"2"&amp;RIGHT("00000"&amp;1548,5))</f>
        <v/>
      </c>
      <c r="L1553" t="str">
        <f t="shared" si="123"/>
        <v/>
      </c>
      <c r="M1553" t="str">
        <f t="shared" si="124"/>
        <v/>
      </c>
      <c r="N1553" t="str">
        <f>IF($F1553="","",IF(Sync!$AF1553="","0000",IF(AND(ISNUMBER(Sync!$AF1553),Sync!$AF1553&gt;=0,Sync!$AF1553&lt;1),RIGHT("00"&amp;HOUR(Sync!$AF1553),2)&amp;RIGHT("00"&amp;MINUTE(Sync!$AF1553),2),IFERROR(RIGHT("00"&amp;VALUE(LEFT(Sync!$AF1553,FIND(":",Sync!$AF1553)-1)),2)&amp;RIGHT("00"&amp;VALUE(MID(Sync!$AF1553,FIND(":",Sync!$AF1553)+1,2)),2),"0000"))))</f>
        <v/>
      </c>
    </row>
    <row r="1554" spans="1:14" x14ac:dyDescent="0.2">
      <c r="A1554" t="str">
        <f>IF(OR(Calc!$E1558="",Calc!$E1558="نامعتبر",Calc!$G1558=""),"",Calc!$G1558)</f>
        <v/>
      </c>
      <c r="B1554" t="str">
        <f>IF($A1554="","",LEFT(Calc!$E1558,4)&amp;MID(Calc!$E1558,6,2)&amp;RIGHT(Calc!$E1558,2)&amp;Calc!$Q1558&amp;"|"&amp;"1"&amp;RIGHT("00000"&amp;1549,5))</f>
        <v/>
      </c>
      <c r="C1554" t="str">
        <f t="shared" si="120"/>
        <v/>
      </c>
      <c r="D1554" t="str">
        <f t="shared" si="121"/>
        <v/>
      </c>
      <c r="F1554" t="str">
        <f>IF(Sync!$AH1554="","",IF(LEFT(UPPER(TRIM(Sync!$AH1554)),2)="SL",UPPER(TRIM(Sync!$AH1554)),""))</f>
        <v/>
      </c>
      <c r="G1554" t="str">
        <f>IF($F1554="","",IF(Sync!$AE1554="","",IF(ISNUMBER(Sync!$AE1554),IF(AND(Sync!$AE1554&gt;=10000101,Sync!$AE1554&lt;=99991231),INT(Sync!$AE1554/10000),""),IFERROR(VALUE(TRIM(LEFT(Sync!$AE1554,FIND("/",Sync!$AE1554)-1))),""))))</f>
        <v/>
      </c>
      <c r="H1554" t="str">
        <f>IF(OR($F1554="",$G1554=""),"",IF(ISNUMBER(Sync!$AE1554),INT(MOD(Sync!$AE1554,10000)/100),IFERROR(VALUE(TRIM(LEFT(MID(Sync!$AE1554,FIND("/",Sync!$AE1554)+1,20),FIND("/",MID(Sync!$AE1554,FIND("/",Sync!$AE1554)+1,20))-1))),"")))</f>
        <v/>
      </c>
      <c r="I1554" t="str">
        <f>IF(OR($F1554="",$G1554=""),"",IF(ISNUMBER(Sync!$AE1554),MOD(Sync!$AE1554,100),IFERROR(VALUE(TRIM(MID(MID(Sync!$AE1554,FIND("/",Sync!$AE1554)+1,20),FIND("/",MID(Sync!$AE1554,FIND("/",Sync!$AE1554)+1,20))+1,20))),"")))</f>
        <v/>
      </c>
      <c r="J1554" t="str">
        <f t="shared" si="122"/>
        <v/>
      </c>
      <c r="K1554" t="str">
        <f>IF(OR($F1554="",$J1554="",$J1554="نامعتبر"),"",LEFT($J1554,4)&amp;MID($J1554,6,2)&amp;RIGHT($J1554,2)&amp;$N1554&amp;"|"&amp;"2"&amp;RIGHT("00000"&amp;1549,5))</f>
        <v/>
      </c>
      <c r="L1554" t="str">
        <f t="shared" si="123"/>
        <v/>
      </c>
      <c r="M1554" t="str">
        <f t="shared" si="124"/>
        <v/>
      </c>
      <c r="N1554" t="str">
        <f>IF($F1554="","",IF(Sync!$AF1554="","0000",IF(AND(ISNUMBER(Sync!$AF1554),Sync!$AF1554&gt;=0,Sync!$AF1554&lt;1),RIGHT("00"&amp;HOUR(Sync!$AF1554),2)&amp;RIGHT("00"&amp;MINUTE(Sync!$AF1554),2),IFERROR(RIGHT("00"&amp;VALUE(LEFT(Sync!$AF1554,FIND(":",Sync!$AF1554)-1)),2)&amp;RIGHT("00"&amp;VALUE(MID(Sync!$AF1554,FIND(":",Sync!$AF1554)+1,2)),2),"0000"))))</f>
        <v/>
      </c>
    </row>
    <row r="1555" spans="1:14" x14ac:dyDescent="0.2">
      <c r="A1555" t="str">
        <f>IF(OR(Calc!$E1559="",Calc!$E1559="نامعتبر",Calc!$G1559=""),"",Calc!$G1559)</f>
        <v/>
      </c>
      <c r="B1555" t="str">
        <f>IF($A1555="","",LEFT(Calc!$E1559,4)&amp;MID(Calc!$E1559,6,2)&amp;RIGHT(Calc!$E1559,2)&amp;Calc!$Q1559&amp;"|"&amp;"1"&amp;RIGHT("00000"&amp;1550,5))</f>
        <v/>
      </c>
      <c r="C1555" t="str">
        <f t="shared" si="120"/>
        <v/>
      </c>
      <c r="D1555" t="str">
        <f t="shared" si="121"/>
        <v/>
      </c>
      <c r="F1555" t="str">
        <f>IF(Sync!$AH1555="","",IF(LEFT(UPPER(TRIM(Sync!$AH1555)),2)="SL",UPPER(TRIM(Sync!$AH1555)),""))</f>
        <v/>
      </c>
      <c r="G1555" t="str">
        <f>IF($F1555="","",IF(Sync!$AE1555="","",IF(ISNUMBER(Sync!$AE1555),IF(AND(Sync!$AE1555&gt;=10000101,Sync!$AE1555&lt;=99991231),INT(Sync!$AE1555/10000),""),IFERROR(VALUE(TRIM(LEFT(Sync!$AE1555,FIND("/",Sync!$AE1555)-1))),""))))</f>
        <v/>
      </c>
      <c r="H1555" t="str">
        <f>IF(OR($F1555="",$G1555=""),"",IF(ISNUMBER(Sync!$AE1555),INT(MOD(Sync!$AE1555,10000)/100),IFERROR(VALUE(TRIM(LEFT(MID(Sync!$AE1555,FIND("/",Sync!$AE1555)+1,20),FIND("/",MID(Sync!$AE1555,FIND("/",Sync!$AE1555)+1,20))-1))),"")))</f>
        <v/>
      </c>
      <c r="I1555" t="str">
        <f>IF(OR($F1555="",$G1555=""),"",IF(ISNUMBER(Sync!$AE1555),MOD(Sync!$AE1555,100),IFERROR(VALUE(TRIM(MID(MID(Sync!$AE1555,FIND("/",Sync!$AE1555)+1,20),FIND("/",MID(Sync!$AE1555,FIND("/",Sync!$AE1555)+1,20))+1,20))),"")))</f>
        <v/>
      </c>
      <c r="J1555" t="str">
        <f t="shared" si="122"/>
        <v/>
      </c>
      <c r="K1555" t="str">
        <f>IF(OR($F1555="",$J1555="",$J1555="نامعتبر"),"",LEFT($J1555,4)&amp;MID($J1555,6,2)&amp;RIGHT($J1555,2)&amp;$N1555&amp;"|"&amp;"2"&amp;RIGHT("00000"&amp;1550,5))</f>
        <v/>
      </c>
      <c r="L1555" t="str">
        <f t="shared" si="123"/>
        <v/>
      </c>
      <c r="M1555" t="str">
        <f t="shared" si="124"/>
        <v/>
      </c>
      <c r="N1555" t="str">
        <f>IF($F1555="","",IF(Sync!$AF1555="","0000",IF(AND(ISNUMBER(Sync!$AF1555),Sync!$AF1555&gt;=0,Sync!$AF1555&lt;1),RIGHT("00"&amp;HOUR(Sync!$AF1555),2)&amp;RIGHT("00"&amp;MINUTE(Sync!$AF1555),2),IFERROR(RIGHT("00"&amp;VALUE(LEFT(Sync!$AF1555,FIND(":",Sync!$AF1555)-1)),2)&amp;RIGHT("00"&amp;VALUE(MID(Sync!$AF1555,FIND(":",Sync!$AF1555)+1,2)),2),"0000"))))</f>
        <v/>
      </c>
    </row>
    <row r="1556" spans="1:14" x14ac:dyDescent="0.2">
      <c r="A1556" t="str">
        <f>IF(OR(Calc!$E1560="",Calc!$E1560="نامعتبر",Calc!$G1560=""),"",Calc!$G1560)</f>
        <v/>
      </c>
      <c r="B1556" t="str">
        <f>IF($A1556="","",LEFT(Calc!$E1560,4)&amp;MID(Calc!$E1560,6,2)&amp;RIGHT(Calc!$E1560,2)&amp;Calc!$Q1560&amp;"|"&amp;"1"&amp;RIGHT("00000"&amp;1551,5))</f>
        <v/>
      </c>
      <c r="C1556" t="str">
        <f t="shared" si="120"/>
        <v/>
      </c>
      <c r="D1556" t="str">
        <f t="shared" si="121"/>
        <v/>
      </c>
      <c r="F1556" t="str">
        <f>IF(Sync!$AH1556="","",IF(LEFT(UPPER(TRIM(Sync!$AH1556)),2)="SL",UPPER(TRIM(Sync!$AH1556)),""))</f>
        <v/>
      </c>
      <c r="G1556" t="str">
        <f>IF($F1556="","",IF(Sync!$AE1556="","",IF(ISNUMBER(Sync!$AE1556),IF(AND(Sync!$AE1556&gt;=10000101,Sync!$AE1556&lt;=99991231),INT(Sync!$AE1556/10000),""),IFERROR(VALUE(TRIM(LEFT(Sync!$AE1556,FIND("/",Sync!$AE1556)-1))),""))))</f>
        <v/>
      </c>
      <c r="H1556" t="str">
        <f>IF(OR($F1556="",$G1556=""),"",IF(ISNUMBER(Sync!$AE1556),INT(MOD(Sync!$AE1556,10000)/100),IFERROR(VALUE(TRIM(LEFT(MID(Sync!$AE1556,FIND("/",Sync!$AE1556)+1,20),FIND("/",MID(Sync!$AE1556,FIND("/",Sync!$AE1556)+1,20))-1))),"")))</f>
        <v/>
      </c>
      <c r="I1556" t="str">
        <f>IF(OR($F1556="",$G1556=""),"",IF(ISNUMBER(Sync!$AE1556),MOD(Sync!$AE1556,100),IFERROR(VALUE(TRIM(MID(MID(Sync!$AE1556,FIND("/",Sync!$AE1556)+1,20),FIND("/",MID(Sync!$AE1556,FIND("/",Sync!$AE1556)+1,20))+1,20))),"")))</f>
        <v/>
      </c>
      <c r="J1556" t="str">
        <f t="shared" si="122"/>
        <v/>
      </c>
      <c r="K1556" t="str">
        <f>IF(OR($F1556="",$J1556="",$J1556="نامعتبر"),"",LEFT($J1556,4)&amp;MID($J1556,6,2)&amp;RIGHT($J1556,2)&amp;$N1556&amp;"|"&amp;"2"&amp;RIGHT("00000"&amp;1551,5))</f>
        <v/>
      </c>
      <c r="L1556" t="str">
        <f t="shared" si="123"/>
        <v/>
      </c>
      <c r="M1556" t="str">
        <f t="shared" si="124"/>
        <v/>
      </c>
      <c r="N1556" t="str">
        <f>IF($F1556="","",IF(Sync!$AF1556="","0000",IF(AND(ISNUMBER(Sync!$AF1556),Sync!$AF1556&gt;=0,Sync!$AF1556&lt;1),RIGHT("00"&amp;HOUR(Sync!$AF1556),2)&amp;RIGHT("00"&amp;MINUTE(Sync!$AF1556),2),IFERROR(RIGHT("00"&amp;VALUE(LEFT(Sync!$AF1556,FIND(":",Sync!$AF1556)-1)),2)&amp;RIGHT("00"&amp;VALUE(MID(Sync!$AF1556,FIND(":",Sync!$AF1556)+1,2)),2),"0000"))))</f>
        <v/>
      </c>
    </row>
    <row r="1557" spans="1:14" x14ac:dyDescent="0.2">
      <c r="A1557" t="str">
        <f>IF(OR(Calc!$E1561="",Calc!$E1561="نامعتبر",Calc!$G1561=""),"",Calc!$G1561)</f>
        <v/>
      </c>
      <c r="B1557" t="str">
        <f>IF($A1557="","",LEFT(Calc!$E1561,4)&amp;MID(Calc!$E1561,6,2)&amp;RIGHT(Calc!$E1561,2)&amp;Calc!$Q1561&amp;"|"&amp;"1"&amp;RIGHT("00000"&amp;1552,5))</f>
        <v/>
      </c>
      <c r="C1557" t="str">
        <f t="shared" si="120"/>
        <v/>
      </c>
      <c r="D1557" t="str">
        <f t="shared" si="121"/>
        <v/>
      </c>
      <c r="F1557" t="str">
        <f>IF(Sync!$AH1557="","",IF(LEFT(UPPER(TRIM(Sync!$AH1557)),2)="SL",UPPER(TRIM(Sync!$AH1557)),""))</f>
        <v/>
      </c>
      <c r="G1557" t="str">
        <f>IF($F1557="","",IF(Sync!$AE1557="","",IF(ISNUMBER(Sync!$AE1557),IF(AND(Sync!$AE1557&gt;=10000101,Sync!$AE1557&lt;=99991231),INT(Sync!$AE1557/10000),""),IFERROR(VALUE(TRIM(LEFT(Sync!$AE1557,FIND("/",Sync!$AE1557)-1))),""))))</f>
        <v/>
      </c>
      <c r="H1557" t="str">
        <f>IF(OR($F1557="",$G1557=""),"",IF(ISNUMBER(Sync!$AE1557),INT(MOD(Sync!$AE1557,10000)/100),IFERROR(VALUE(TRIM(LEFT(MID(Sync!$AE1557,FIND("/",Sync!$AE1557)+1,20),FIND("/",MID(Sync!$AE1557,FIND("/",Sync!$AE1557)+1,20))-1))),"")))</f>
        <v/>
      </c>
      <c r="I1557" t="str">
        <f>IF(OR($F1557="",$G1557=""),"",IF(ISNUMBER(Sync!$AE1557),MOD(Sync!$AE1557,100),IFERROR(VALUE(TRIM(MID(MID(Sync!$AE1557,FIND("/",Sync!$AE1557)+1,20),FIND("/",MID(Sync!$AE1557,FIND("/",Sync!$AE1557)+1,20))+1,20))),"")))</f>
        <v/>
      </c>
      <c r="J1557" t="str">
        <f t="shared" si="122"/>
        <v/>
      </c>
      <c r="K1557" t="str">
        <f>IF(OR($F1557="",$J1557="",$J1557="نامعتبر"),"",LEFT($J1557,4)&amp;MID($J1557,6,2)&amp;RIGHT($J1557,2)&amp;$N1557&amp;"|"&amp;"2"&amp;RIGHT("00000"&amp;1552,5))</f>
        <v/>
      </c>
      <c r="L1557" t="str">
        <f t="shared" si="123"/>
        <v/>
      </c>
      <c r="M1557" t="str">
        <f t="shared" si="124"/>
        <v/>
      </c>
      <c r="N1557" t="str">
        <f>IF($F1557="","",IF(Sync!$AF1557="","0000",IF(AND(ISNUMBER(Sync!$AF1557),Sync!$AF1557&gt;=0,Sync!$AF1557&lt;1),RIGHT("00"&amp;HOUR(Sync!$AF1557),2)&amp;RIGHT("00"&amp;MINUTE(Sync!$AF1557),2),IFERROR(RIGHT("00"&amp;VALUE(LEFT(Sync!$AF1557,FIND(":",Sync!$AF1557)-1)),2)&amp;RIGHT("00"&amp;VALUE(MID(Sync!$AF1557,FIND(":",Sync!$AF1557)+1,2)),2),"0000"))))</f>
        <v/>
      </c>
    </row>
    <row r="1558" spans="1:14" x14ac:dyDescent="0.2">
      <c r="A1558" t="str">
        <f>IF(OR(Calc!$E1562="",Calc!$E1562="نامعتبر",Calc!$G1562=""),"",Calc!$G1562)</f>
        <v/>
      </c>
      <c r="B1558" t="str">
        <f>IF($A1558="","",LEFT(Calc!$E1562,4)&amp;MID(Calc!$E1562,6,2)&amp;RIGHT(Calc!$E1562,2)&amp;Calc!$Q1562&amp;"|"&amp;"1"&amp;RIGHT("00000"&amp;1553,5))</f>
        <v/>
      </c>
      <c r="C1558" t="str">
        <f t="shared" si="120"/>
        <v/>
      </c>
      <c r="D1558" t="str">
        <f t="shared" si="121"/>
        <v/>
      </c>
      <c r="F1558" t="str">
        <f>IF(Sync!$AH1558="","",IF(LEFT(UPPER(TRIM(Sync!$AH1558)),2)="SL",UPPER(TRIM(Sync!$AH1558)),""))</f>
        <v/>
      </c>
      <c r="G1558" t="str">
        <f>IF($F1558="","",IF(Sync!$AE1558="","",IF(ISNUMBER(Sync!$AE1558),IF(AND(Sync!$AE1558&gt;=10000101,Sync!$AE1558&lt;=99991231),INT(Sync!$AE1558/10000),""),IFERROR(VALUE(TRIM(LEFT(Sync!$AE1558,FIND("/",Sync!$AE1558)-1))),""))))</f>
        <v/>
      </c>
      <c r="H1558" t="str">
        <f>IF(OR($F1558="",$G1558=""),"",IF(ISNUMBER(Sync!$AE1558),INT(MOD(Sync!$AE1558,10000)/100),IFERROR(VALUE(TRIM(LEFT(MID(Sync!$AE1558,FIND("/",Sync!$AE1558)+1,20),FIND("/",MID(Sync!$AE1558,FIND("/",Sync!$AE1558)+1,20))-1))),"")))</f>
        <v/>
      </c>
      <c r="I1558" t="str">
        <f>IF(OR($F1558="",$G1558=""),"",IF(ISNUMBER(Sync!$AE1558),MOD(Sync!$AE1558,100),IFERROR(VALUE(TRIM(MID(MID(Sync!$AE1558,FIND("/",Sync!$AE1558)+1,20),FIND("/",MID(Sync!$AE1558,FIND("/",Sync!$AE1558)+1,20))+1,20))),"")))</f>
        <v/>
      </c>
      <c r="J1558" t="str">
        <f t="shared" si="122"/>
        <v/>
      </c>
      <c r="K1558" t="str">
        <f>IF(OR($F1558="",$J1558="",$J1558="نامعتبر"),"",LEFT($J1558,4)&amp;MID($J1558,6,2)&amp;RIGHT($J1558,2)&amp;$N1558&amp;"|"&amp;"2"&amp;RIGHT("00000"&amp;1553,5))</f>
        <v/>
      </c>
      <c r="L1558" t="str">
        <f t="shared" si="123"/>
        <v/>
      </c>
      <c r="M1558" t="str">
        <f t="shared" si="124"/>
        <v/>
      </c>
      <c r="N1558" t="str">
        <f>IF($F1558="","",IF(Sync!$AF1558="","0000",IF(AND(ISNUMBER(Sync!$AF1558),Sync!$AF1558&gt;=0,Sync!$AF1558&lt;1),RIGHT("00"&amp;HOUR(Sync!$AF1558),2)&amp;RIGHT("00"&amp;MINUTE(Sync!$AF1558),2),IFERROR(RIGHT("00"&amp;VALUE(LEFT(Sync!$AF1558,FIND(":",Sync!$AF1558)-1)),2)&amp;RIGHT("00"&amp;VALUE(MID(Sync!$AF1558,FIND(":",Sync!$AF1558)+1,2)),2),"0000"))))</f>
        <v/>
      </c>
    </row>
    <row r="1559" spans="1:14" x14ac:dyDescent="0.2">
      <c r="A1559" t="str">
        <f>IF(OR(Calc!$E1563="",Calc!$E1563="نامعتبر",Calc!$G1563=""),"",Calc!$G1563)</f>
        <v/>
      </c>
      <c r="B1559" t="str">
        <f>IF($A1559="","",LEFT(Calc!$E1563,4)&amp;MID(Calc!$E1563,6,2)&amp;RIGHT(Calc!$E1563,2)&amp;Calc!$Q1563&amp;"|"&amp;"1"&amp;RIGHT("00000"&amp;1554,5))</f>
        <v/>
      </c>
      <c r="C1559" t="str">
        <f t="shared" si="120"/>
        <v/>
      </c>
      <c r="D1559" t="str">
        <f t="shared" si="121"/>
        <v/>
      </c>
      <c r="F1559" t="str">
        <f>IF(Sync!$AH1559="","",IF(LEFT(UPPER(TRIM(Sync!$AH1559)),2)="SL",UPPER(TRIM(Sync!$AH1559)),""))</f>
        <v/>
      </c>
      <c r="G1559" t="str">
        <f>IF($F1559="","",IF(Sync!$AE1559="","",IF(ISNUMBER(Sync!$AE1559),IF(AND(Sync!$AE1559&gt;=10000101,Sync!$AE1559&lt;=99991231),INT(Sync!$AE1559/10000),""),IFERROR(VALUE(TRIM(LEFT(Sync!$AE1559,FIND("/",Sync!$AE1559)-1))),""))))</f>
        <v/>
      </c>
      <c r="H1559" t="str">
        <f>IF(OR($F1559="",$G1559=""),"",IF(ISNUMBER(Sync!$AE1559),INT(MOD(Sync!$AE1559,10000)/100),IFERROR(VALUE(TRIM(LEFT(MID(Sync!$AE1559,FIND("/",Sync!$AE1559)+1,20),FIND("/",MID(Sync!$AE1559,FIND("/",Sync!$AE1559)+1,20))-1))),"")))</f>
        <v/>
      </c>
      <c r="I1559" t="str">
        <f>IF(OR($F1559="",$G1559=""),"",IF(ISNUMBER(Sync!$AE1559),MOD(Sync!$AE1559,100),IFERROR(VALUE(TRIM(MID(MID(Sync!$AE1559,FIND("/",Sync!$AE1559)+1,20),FIND("/",MID(Sync!$AE1559,FIND("/",Sync!$AE1559)+1,20))+1,20))),"")))</f>
        <v/>
      </c>
      <c r="J1559" t="str">
        <f t="shared" si="122"/>
        <v/>
      </c>
      <c r="K1559" t="str">
        <f>IF(OR($F1559="",$J1559="",$J1559="نامعتبر"),"",LEFT($J1559,4)&amp;MID($J1559,6,2)&amp;RIGHT($J1559,2)&amp;$N1559&amp;"|"&amp;"2"&amp;RIGHT("00000"&amp;1554,5))</f>
        <v/>
      </c>
      <c r="L1559" t="str">
        <f t="shared" si="123"/>
        <v/>
      </c>
      <c r="M1559" t="str">
        <f t="shared" si="124"/>
        <v/>
      </c>
      <c r="N1559" t="str">
        <f>IF($F1559="","",IF(Sync!$AF1559="","0000",IF(AND(ISNUMBER(Sync!$AF1559),Sync!$AF1559&gt;=0,Sync!$AF1559&lt;1),RIGHT("00"&amp;HOUR(Sync!$AF1559),2)&amp;RIGHT("00"&amp;MINUTE(Sync!$AF1559),2),IFERROR(RIGHT("00"&amp;VALUE(LEFT(Sync!$AF1559,FIND(":",Sync!$AF1559)-1)),2)&amp;RIGHT("00"&amp;VALUE(MID(Sync!$AF1559,FIND(":",Sync!$AF1559)+1,2)),2),"0000"))))</f>
        <v/>
      </c>
    </row>
    <row r="1560" spans="1:14" x14ac:dyDescent="0.2">
      <c r="A1560" t="str">
        <f>IF(OR(Calc!$E1564="",Calc!$E1564="نامعتبر",Calc!$G1564=""),"",Calc!$G1564)</f>
        <v/>
      </c>
      <c r="B1560" t="str">
        <f>IF($A1560="","",LEFT(Calc!$E1564,4)&amp;MID(Calc!$E1564,6,2)&amp;RIGHT(Calc!$E1564,2)&amp;Calc!$Q1564&amp;"|"&amp;"1"&amp;RIGHT("00000"&amp;1555,5))</f>
        <v/>
      </c>
      <c r="C1560" t="str">
        <f t="shared" si="120"/>
        <v/>
      </c>
      <c r="D1560" t="str">
        <f t="shared" si="121"/>
        <v/>
      </c>
      <c r="F1560" t="str">
        <f>IF(Sync!$AH1560="","",IF(LEFT(UPPER(TRIM(Sync!$AH1560)),2)="SL",UPPER(TRIM(Sync!$AH1560)),""))</f>
        <v/>
      </c>
      <c r="G1560" t="str">
        <f>IF($F1560="","",IF(Sync!$AE1560="","",IF(ISNUMBER(Sync!$AE1560),IF(AND(Sync!$AE1560&gt;=10000101,Sync!$AE1560&lt;=99991231),INT(Sync!$AE1560/10000),""),IFERROR(VALUE(TRIM(LEFT(Sync!$AE1560,FIND("/",Sync!$AE1560)-1))),""))))</f>
        <v/>
      </c>
      <c r="H1560" t="str">
        <f>IF(OR($F1560="",$G1560=""),"",IF(ISNUMBER(Sync!$AE1560),INT(MOD(Sync!$AE1560,10000)/100),IFERROR(VALUE(TRIM(LEFT(MID(Sync!$AE1560,FIND("/",Sync!$AE1560)+1,20),FIND("/",MID(Sync!$AE1560,FIND("/",Sync!$AE1560)+1,20))-1))),"")))</f>
        <v/>
      </c>
      <c r="I1560" t="str">
        <f>IF(OR($F1560="",$G1560=""),"",IF(ISNUMBER(Sync!$AE1560),MOD(Sync!$AE1560,100),IFERROR(VALUE(TRIM(MID(MID(Sync!$AE1560,FIND("/",Sync!$AE1560)+1,20),FIND("/",MID(Sync!$AE1560,FIND("/",Sync!$AE1560)+1,20))+1,20))),"")))</f>
        <v/>
      </c>
      <c r="J1560" t="str">
        <f t="shared" si="122"/>
        <v/>
      </c>
      <c r="K1560" t="str">
        <f>IF(OR($F1560="",$J1560="",$J1560="نامعتبر"),"",LEFT($J1560,4)&amp;MID($J1560,6,2)&amp;RIGHT($J1560,2)&amp;$N1560&amp;"|"&amp;"2"&amp;RIGHT("00000"&amp;1555,5))</f>
        <v/>
      </c>
      <c r="L1560" t="str">
        <f t="shared" si="123"/>
        <v/>
      </c>
      <c r="M1560" t="str">
        <f t="shared" si="124"/>
        <v/>
      </c>
      <c r="N1560" t="str">
        <f>IF($F1560="","",IF(Sync!$AF1560="","0000",IF(AND(ISNUMBER(Sync!$AF1560),Sync!$AF1560&gt;=0,Sync!$AF1560&lt;1),RIGHT("00"&amp;HOUR(Sync!$AF1560),2)&amp;RIGHT("00"&amp;MINUTE(Sync!$AF1560),2),IFERROR(RIGHT("00"&amp;VALUE(LEFT(Sync!$AF1560,FIND(":",Sync!$AF1560)-1)),2)&amp;RIGHT("00"&amp;VALUE(MID(Sync!$AF1560,FIND(":",Sync!$AF1560)+1,2)),2),"0000"))))</f>
        <v/>
      </c>
    </row>
    <row r="1561" spans="1:14" x14ac:dyDescent="0.2">
      <c r="A1561" t="str">
        <f>IF(OR(Calc!$E1565="",Calc!$E1565="نامعتبر",Calc!$G1565=""),"",Calc!$G1565)</f>
        <v/>
      </c>
      <c r="B1561" t="str">
        <f>IF($A1561="","",LEFT(Calc!$E1565,4)&amp;MID(Calc!$E1565,6,2)&amp;RIGHT(Calc!$E1565,2)&amp;Calc!$Q1565&amp;"|"&amp;"1"&amp;RIGHT("00000"&amp;1556,5))</f>
        <v/>
      </c>
      <c r="C1561" t="str">
        <f t="shared" si="120"/>
        <v/>
      </c>
      <c r="D1561" t="str">
        <f t="shared" si="121"/>
        <v/>
      </c>
      <c r="F1561" t="str">
        <f>IF(Sync!$AH1561="","",IF(LEFT(UPPER(TRIM(Sync!$AH1561)),2)="SL",UPPER(TRIM(Sync!$AH1561)),""))</f>
        <v/>
      </c>
      <c r="G1561" t="str">
        <f>IF($F1561="","",IF(Sync!$AE1561="","",IF(ISNUMBER(Sync!$AE1561),IF(AND(Sync!$AE1561&gt;=10000101,Sync!$AE1561&lt;=99991231),INT(Sync!$AE1561/10000),""),IFERROR(VALUE(TRIM(LEFT(Sync!$AE1561,FIND("/",Sync!$AE1561)-1))),""))))</f>
        <v/>
      </c>
      <c r="H1561" t="str">
        <f>IF(OR($F1561="",$G1561=""),"",IF(ISNUMBER(Sync!$AE1561),INT(MOD(Sync!$AE1561,10000)/100),IFERROR(VALUE(TRIM(LEFT(MID(Sync!$AE1561,FIND("/",Sync!$AE1561)+1,20),FIND("/",MID(Sync!$AE1561,FIND("/",Sync!$AE1561)+1,20))-1))),"")))</f>
        <v/>
      </c>
      <c r="I1561" t="str">
        <f>IF(OR($F1561="",$G1561=""),"",IF(ISNUMBER(Sync!$AE1561),MOD(Sync!$AE1561,100),IFERROR(VALUE(TRIM(MID(MID(Sync!$AE1561,FIND("/",Sync!$AE1561)+1,20),FIND("/",MID(Sync!$AE1561,FIND("/",Sync!$AE1561)+1,20))+1,20))),"")))</f>
        <v/>
      </c>
      <c r="J1561" t="str">
        <f t="shared" si="122"/>
        <v/>
      </c>
      <c r="K1561" t="str">
        <f>IF(OR($F1561="",$J1561="",$J1561="نامعتبر"),"",LEFT($J1561,4)&amp;MID($J1561,6,2)&amp;RIGHT($J1561,2)&amp;$N1561&amp;"|"&amp;"2"&amp;RIGHT("00000"&amp;1556,5))</f>
        <v/>
      </c>
      <c r="L1561" t="str">
        <f t="shared" si="123"/>
        <v/>
      </c>
      <c r="M1561" t="str">
        <f t="shared" si="124"/>
        <v/>
      </c>
      <c r="N1561" t="str">
        <f>IF($F1561="","",IF(Sync!$AF1561="","0000",IF(AND(ISNUMBER(Sync!$AF1561),Sync!$AF1561&gt;=0,Sync!$AF1561&lt;1),RIGHT("00"&amp;HOUR(Sync!$AF1561),2)&amp;RIGHT("00"&amp;MINUTE(Sync!$AF1561),2),IFERROR(RIGHT("00"&amp;VALUE(LEFT(Sync!$AF1561,FIND(":",Sync!$AF1561)-1)),2)&amp;RIGHT("00"&amp;VALUE(MID(Sync!$AF1561,FIND(":",Sync!$AF1561)+1,2)),2),"0000"))))</f>
        <v/>
      </c>
    </row>
    <row r="1562" spans="1:14" x14ac:dyDescent="0.2">
      <c r="A1562" t="str">
        <f>IF(OR(Calc!$E1566="",Calc!$E1566="نامعتبر",Calc!$G1566=""),"",Calc!$G1566)</f>
        <v/>
      </c>
      <c r="B1562" t="str">
        <f>IF($A1562="","",LEFT(Calc!$E1566,4)&amp;MID(Calc!$E1566,6,2)&amp;RIGHT(Calc!$E1566,2)&amp;Calc!$Q1566&amp;"|"&amp;"1"&amp;RIGHT("00000"&amp;1557,5))</f>
        <v/>
      </c>
      <c r="C1562" t="str">
        <f t="shared" si="120"/>
        <v/>
      </c>
      <c r="D1562" t="str">
        <f t="shared" si="121"/>
        <v/>
      </c>
      <c r="F1562" t="str">
        <f>IF(Sync!$AH1562="","",IF(LEFT(UPPER(TRIM(Sync!$AH1562)),2)="SL",UPPER(TRIM(Sync!$AH1562)),""))</f>
        <v/>
      </c>
      <c r="G1562" t="str">
        <f>IF($F1562="","",IF(Sync!$AE1562="","",IF(ISNUMBER(Sync!$AE1562),IF(AND(Sync!$AE1562&gt;=10000101,Sync!$AE1562&lt;=99991231),INT(Sync!$AE1562/10000),""),IFERROR(VALUE(TRIM(LEFT(Sync!$AE1562,FIND("/",Sync!$AE1562)-1))),""))))</f>
        <v/>
      </c>
      <c r="H1562" t="str">
        <f>IF(OR($F1562="",$G1562=""),"",IF(ISNUMBER(Sync!$AE1562),INT(MOD(Sync!$AE1562,10000)/100),IFERROR(VALUE(TRIM(LEFT(MID(Sync!$AE1562,FIND("/",Sync!$AE1562)+1,20),FIND("/",MID(Sync!$AE1562,FIND("/",Sync!$AE1562)+1,20))-1))),"")))</f>
        <v/>
      </c>
      <c r="I1562" t="str">
        <f>IF(OR($F1562="",$G1562=""),"",IF(ISNUMBER(Sync!$AE1562),MOD(Sync!$AE1562,100),IFERROR(VALUE(TRIM(MID(MID(Sync!$AE1562,FIND("/",Sync!$AE1562)+1,20),FIND("/",MID(Sync!$AE1562,FIND("/",Sync!$AE1562)+1,20))+1,20))),"")))</f>
        <v/>
      </c>
      <c r="J1562" t="str">
        <f t="shared" si="122"/>
        <v/>
      </c>
      <c r="K1562" t="str">
        <f>IF(OR($F1562="",$J1562="",$J1562="نامعتبر"),"",LEFT($J1562,4)&amp;MID($J1562,6,2)&amp;RIGHT($J1562,2)&amp;$N1562&amp;"|"&amp;"2"&amp;RIGHT("00000"&amp;1557,5))</f>
        <v/>
      </c>
      <c r="L1562" t="str">
        <f t="shared" si="123"/>
        <v/>
      </c>
      <c r="M1562" t="str">
        <f t="shared" si="124"/>
        <v/>
      </c>
      <c r="N1562" t="str">
        <f>IF($F1562="","",IF(Sync!$AF1562="","0000",IF(AND(ISNUMBER(Sync!$AF1562),Sync!$AF1562&gt;=0,Sync!$AF1562&lt;1),RIGHT("00"&amp;HOUR(Sync!$AF1562),2)&amp;RIGHT("00"&amp;MINUTE(Sync!$AF1562),2),IFERROR(RIGHT("00"&amp;VALUE(LEFT(Sync!$AF1562,FIND(":",Sync!$AF1562)-1)),2)&amp;RIGHT("00"&amp;VALUE(MID(Sync!$AF1562,FIND(":",Sync!$AF1562)+1,2)),2),"0000"))))</f>
        <v/>
      </c>
    </row>
    <row r="1563" spans="1:14" x14ac:dyDescent="0.2">
      <c r="A1563" t="str">
        <f>IF(OR(Calc!$E1567="",Calc!$E1567="نامعتبر",Calc!$G1567=""),"",Calc!$G1567)</f>
        <v/>
      </c>
      <c r="B1563" t="str">
        <f>IF($A1563="","",LEFT(Calc!$E1567,4)&amp;MID(Calc!$E1567,6,2)&amp;RIGHT(Calc!$E1567,2)&amp;Calc!$Q1567&amp;"|"&amp;"1"&amp;RIGHT("00000"&amp;1558,5))</f>
        <v/>
      </c>
      <c r="C1563" t="str">
        <f t="shared" si="120"/>
        <v/>
      </c>
      <c r="D1563" t="str">
        <f t="shared" si="121"/>
        <v/>
      </c>
      <c r="F1563" t="str">
        <f>IF(Sync!$AH1563="","",IF(LEFT(UPPER(TRIM(Sync!$AH1563)),2)="SL",UPPER(TRIM(Sync!$AH1563)),""))</f>
        <v/>
      </c>
      <c r="G1563" t="str">
        <f>IF($F1563="","",IF(Sync!$AE1563="","",IF(ISNUMBER(Sync!$AE1563),IF(AND(Sync!$AE1563&gt;=10000101,Sync!$AE1563&lt;=99991231),INT(Sync!$AE1563/10000),""),IFERROR(VALUE(TRIM(LEFT(Sync!$AE1563,FIND("/",Sync!$AE1563)-1))),""))))</f>
        <v/>
      </c>
      <c r="H1563" t="str">
        <f>IF(OR($F1563="",$G1563=""),"",IF(ISNUMBER(Sync!$AE1563),INT(MOD(Sync!$AE1563,10000)/100),IFERROR(VALUE(TRIM(LEFT(MID(Sync!$AE1563,FIND("/",Sync!$AE1563)+1,20),FIND("/",MID(Sync!$AE1563,FIND("/",Sync!$AE1563)+1,20))-1))),"")))</f>
        <v/>
      </c>
      <c r="I1563" t="str">
        <f>IF(OR($F1563="",$G1563=""),"",IF(ISNUMBER(Sync!$AE1563),MOD(Sync!$AE1563,100),IFERROR(VALUE(TRIM(MID(MID(Sync!$AE1563,FIND("/",Sync!$AE1563)+1,20),FIND("/",MID(Sync!$AE1563,FIND("/",Sync!$AE1563)+1,20))+1,20))),"")))</f>
        <v/>
      </c>
      <c r="J1563" t="str">
        <f t="shared" si="122"/>
        <v/>
      </c>
      <c r="K1563" t="str">
        <f>IF(OR($F1563="",$J1563="",$J1563="نامعتبر"),"",LEFT($J1563,4)&amp;MID($J1563,6,2)&amp;RIGHT($J1563,2)&amp;$N1563&amp;"|"&amp;"2"&amp;RIGHT("00000"&amp;1558,5))</f>
        <v/>
      </c>
      <c r="L1563" t="str">
        <f t="shared" si="123"/>
        <v/>
      </c>
      <c r="M1563" t="str">
        <f t="shared" si="124"/>
        <v/>
      </c>
      <c r="N1563" t="str">
        <f>IF($F1563="","",IF(Sync!$AF1563="","0000",IF(AND(ISNUMBER(Sync!$AF1563),Sync!$AF1563&gt;=0,Sync!$AF1563&lt;1),RIGHT("00"&amp;HOUR(Sync!$AF1563),2)&amp;RIGHT("00"&amp;MINUTE(Sync!$AF1563),2),IFERROR(RIGHT("00"&amp;VALUE(LEFT(Sync!$AF1563,FIND(":",Sync!$AF1563)-1)),2)&amp;RIGHT("00"&amp;VALUE(MID(Sync!$AF1563,FIND(":",Sync!$AF1563)+1,2)),2),"0000"))))</f>
        <v/>
      </c>
    </row>
    <row r="1564" spans="1:14" x14ac:dyDescent="0.2">
      <c r="A1564" t="str">
        <f>IF(OR(Calc!$E1568="",Calc!$E1568="نامعتبر",Calc!$G1568=""),"",Calc!$G1568)</f>
        <v/>
      </c>
      <c r="B1564" t="str">
        <f>IF($A1564="","",LEFT(Calc!$E1568,4)&amp;MID(Calc!$E1568,6,2)&amp;RIGHT(Calc!$E1568,2)&amp;Calc!$Q1568&amp;"|"&amp;"1"&amp;RIGHT("00000"&amp;1559,5))</f>
        <v/>
      </c>
      <c r="C1564" t="str">
        <f t="shared" si="120"/>
        <v/>
      </c>
      <c r="D1564" t="str">
        <f t="shared" si="121"/>
        <v/>
      </c>
      <c r="F1564" t="str">
        <f>IF(Sync!$AH1564="","",IF(LEFT(UPPER(TRIM(Sync!$AH1564)),2)="SL",UPPER(TRIM(Sync!$AH1564)),""))</f>
        <v/>
      </c>
      <c r="G1564" t="str">
        <f>IF($F1564="","",IF(Sync!$AE1564="","",IF(ISNUMBER(Sync!$AE1564),IF(AND(Sync!$AE1564&gt;=10000101,Sync!$AE1564&lt;=99991231),INT(Sync!$AE1564/10000),""),IFERROR(VALUE(TRIM(LEFT(Sync!$AE1564,FIND("/",Sync!$AE1564)-1))),""))))</f>
        <v/>
      </c>
      <c r="H1564" t="str">
        <f>IF(OR($F1564="",$G1564=""),"",IF(ISNUMBER(Sync!$AE1564),INT(MOD(Sync!$AE1564,10000)/100),IFERROR(VALUE(TRIM(LEFT(MID(Sync!$AE1564,FIND("/",Sync!$AE1564)+1,20),FIND("/",MID(Sync!$AE1564,FIND("/",Sync!$AE1564)+1,20))-1))),"")))</f>
        <v/>
      </c>
      <c r="I1564" t="str">
        <f>IF(OR($F1564="",$G1564=""),"",IF(ISNUMBER(Sync!$AE1564),MOD(Sync!$AE1564,100),IFERROR(VALUE(TRIM(MID(MID(Sync!$AE1564,FIND("/",Sync!$AE1564)+1,20),FIND("/",MID(Sync!$AE1564,FIND("/",Sync!$AE1564)+1,20))+1,20))),"")))</f>
        <v/>
      </c>
      <c r="J1564" t="str">
        <f t="shared" si="122"/>
        <v/>
      </c>
      <c r="K1564" t="str">
        <f>IF(OR($F1564="",$J1564="",$J1564="نامعتبر"),"",LEFT($J1564,4)&amp;MID($J1564,6,2)&amp;RIGHT($J1564,2)&amp;$N1564&amp;"|"&amp;"2"&amp;RIGHT("00000"&amp;1559,5))</f>
        <v/>
      </c>
      <c r="L1564" t="str">
        <f t="shared" si="123"/>
        <v/>
      </c>
      <c r="M1564" t="str">
        <f t="shared" si="124"/>
        <v/>
      </c>
      <c r="N1564" t="str">
        <f>IF($F1564="","",IF(Sync!$AF1564="","0000",IF(AND(ISNUMBER(Sync!$AF1564),Sync!$AF1564&gt;=0,Sync!$AF1564&lt;1),RIGHT("00"&amp;HOUR(Sync!$AF1564),2)&amp;RIGHT("00"&amp;MINUTE(Sync!$AF1564),2),IFERROR(RIGHT("00"&amp;VALUE(LEFT(Sync!$AF1564,FIND(":",Sync!$AF1564)-1)),2)&amp;RIGHT("00"&amp;VALUE(MID(Sync!$AF1564,FIND(":",Sync!$AF1564)+1,2)),2),"0000"))))</f>
        <v/>
      </c>
    </row>
    <row r="1565" spans="1:14" x14ac:dyDescent="0.2">
      <c r="A1565" t="str">
        <f>IF(OR(Calc!$E1569="",Calc!$E1569="نامعتبر",Calc!$G1569=""),"",Calc!$G1569)</f>
        <v/>
      </c>
      <c r="B1565" t="str">
        <f>IF($A1565="","",LEFT(Calc!$E1569,4)&amp;MID(Calc!$E1569,6,2)&amp;RIGHT(Calc!$E1569,2)&amp;Calc!$Q1569&amp;"|"&amp;"1"&amp;RIGHT("00000"&amp;1560,5))</f>
        <v/>
      </c>
      <c r="C1565" t="str">
        <f t="shared" si="120"/>
        <v/>
      </c>
      <c r="D1565" t="str">
        <f t="shared" si="121"/>
        <v/>
      </c>
      <c r="F1565" t="str">
        <f>IF(Sync!$AH1565="","",IF(LEFT(UPPER(TRIM(Sync!$AH1565)),2)="SL",UPPER(TRIM(Sync!$AH1565)),""))</f>
        <v/>
      </c>
      <c r="G1565" t="str">
        <f>IF($F1565="","",IF(Sync!$AE1565="","",IF(ISNUMBER(Sync!$AE1565),IF(AND(Sync!$AE1565&gt;=10000101,Sync!$AE1565&lt;=99991231),INT(Sync!$AE1565/10000),""),IFERROR(VALUE(TRIM(LEFT(Sync!$AE1565,FIND("/",Sync!$AE1565)-1))),""))))</f>
        <v/>
      </c>
      <c r="H1565" t="str">
        <f>IF(OR($F1565="",$G1565=""),"",IF(ISNUMBER(Sync!$AE1565),INT(MOD(Sync!$AE1565,10000)/100),IFERROR(VALUE(TRIM(LEFT(MID(Sync!$AE1565,FIND("/",Sync!$AE1565)+1,20),FIND("/",MID(Sync!$AE1565,FIND("/",Sync!$AE1565)+1,20))-1))),"")))</f>
        <v/>
      </c>
      <c r="I1565" t="str">
        <f>IF(OR($F1565="",$G1565=""),"",IF(ISNUMBER(Sync!$AE1565),MOD(Sync!$AE1565,100),IFERROR(VALUE(TRIM(MID(MID(Sync!$AE1565,FIND("/",Sync!$AE1565)+1,20),FIND("/",MID(Sync!$AE1565,FIND("/",Sync!$AE1565)+1,20))+1,20))),"")))</f>
        <v/>
      </c>
      <c r="J1565" t="str">
        <f t="shared" si="122"/>
        <v/>
      </c>
      <c r="K1565" t="str">
        <f>IF(OR($F1565="",$J1565="",$J1565="نامعتبر"),"",LEFT($J1565,4)&amp;MID($J1565,6,2)&amp;RIGHT($J1565,2)&amp;$N1565&amp;"|"&amp;"2"&amp;RIGHT("00000"&amp;1560,5))</f>
        <v/>
      </c>
      <c r="L1565" t="str">
        <f t="shared" si="123"/>
        <v/>
      </c>
      <c r="M1565" t="str">
        <f t="shared" si="124"/>
        <v/>
      </c>
      <c r="N1565" t="str">
        <f>IF($F1565="","",IF(Sync!$AF1565="","0000",IF(AND(ISNUMBER(Sync!$AF1565),Sync!$AF1565&gt;=0,Sync!$AF1565&lt;1),RIGHT("00"&amp;HOUR(Sync!$AF1565),2)&amp;RIGHT("00"&amp;MINUTE(Sync!$AF1565),2),IFERROR(RIGHT("00"&amp;VALUE(LEFT(Sync!$AF1565,FIND(":",Sync!$AF1565)-1)),2)&amp;RIGHT("00"&amp;VALUE(MID(Sync!$AF1565,FIND(":",Sync!$AF1565)+1,2)),2),"0000"))))</f>
        <v/>
      </c>
    </row>
    <row r="1566" spans="1:14" x14ac:dyDescent="0.2">
      <c r="A1566" t="str">
        <f>IF(OR(Calc!$E1570="",Calc!$E1570="نامعتبر",Calc!$G1570=""),"",Calc!$G1570)</f>
        <v/>
      </c>
      <c r="B1566" t="str">
        <f>IF($A1566="","",LEFT(Calc!$E1570,4)&amp;MID(Calc!$E1570,6,2)&amp;RIGHT(Calc!$E1570,2)&amp;Calc!$Q1570&amp;"|"&amp;"1"&amp;RIGHT("00000"&amp;1561,5))</f>
        <v/>
      </c>
      <c r="C1566" t="str">
        <f t="shared" si="120"/>
        <v/>
      </c>
      <c r="D1566" t="str">
        <f t="shared" si="121"/>
        <v/>
      </c>
      <c r="F1566" t="str">
        <f>IF(Sync!$AH1566="","",IF(LEFT(UPPER(TRIM(Sync!$AH1566)),2)="SL",UPPER(TRIM(Sync!$AH1566)),""))</f>
        <v/>
      </c>
      <c r="G1566" t="str">
        <f>IF($F1566="","",IF(Sync!$AE1566="","",IF(ISNUMBER(Sync!$AE1566),IF(AND(Sync!$AE1566&gt;=10000101,Sync!$AE1566&lt;=99991231),INT(Sync!$AE1566/10000),""),IFERROR(VALUE(TRIM(LEFT(Sync!$AE1566,FIND("/",Sync!$AE1566)-1))),""))))</f>
        <v/>
      </c>
      <c r="H1566" t="str">
        <f>IF(OR($F1566="",$G1566=""),"",IF(ISNUMBER(Sync!$AE1566),INT(MOD(Sync!$AE1566,10000)/100),IFERROR(VALUE(TRIM(LEFT(MID(Sync!$AE1566,FIND("/",Sync!$AE1566)+1,20),FIND("/",MID(Sync!$AE1566,FIND("/",Sync!$AE1566)+1,20))-1))),"")))</f>
        <v/>
      </c>
      <c r="I1566" t="str">
        <f>IF(OR($F1566="",$G1566=""),"",IF(ISNUMBER(Sync!$AE1566),MOD(Sync!$AE1566,100),IFERROR(VALUE(TRIM(MID(MID(Sync!$AE1566,FIND("/",Sync!$AE1566)+1,20),FIND("/",MID(Sync!$AE1566,FIND("/",Sync!$AE1566)+1,20))+1,20))),"")))</f>
        <v/>
      </c>
      <c r="J1566" t="str">
        <f t="shared" si="122"/>
        <v/>
      </c>
      <c r="K1566" t="str">
        <f>IF(OR($F1566="",$J1566="",$J1566="نامعتبر"),"",LEFT($J1566,4)&amp;MID($J1566,6,2)&amp;RIGHT($J1566,2)&amp;$N1566&amp;"|"&amp;"2"&amp;RIGHT("00000"&amp;1561,5))</f>
        <v/>
      </c>
      <c r="L1566" t="str">
        <f t="shared" si="123"/>
        <v/>
      </c>
      <c r="M1566" t="str">
        <f t="shared" si="124"/>
        <v/>
      </c>
      <c r="N1566" t="str">
        <f>IF($F1566="","",IF(Sync!$AF1566="","0000",IF(AND(ISNUMBER(Sync!$AF1566),Sync!$AF1566&gt;=0,Sync!$AF1566&lt;1),RIGHT("00"&amp;HOUR(Sync!$AF1566),2)&amp;RIGHT("00"&amp;MINUTE(Sync!$AF1566),2),IFERROR(RIGHT("00"&amp;VALUE(LEFT(Sync!$AF1566,FIND(":",Sync!$AF1566)-1)),2)&amp;RIGHT("00"&amp;VALUE(MID(Sync!$AF1566,FIND(":",Sync!$AF1566)+1,2)),2),"0000"))))</f>
        <v/>
      </c>
    </row>
    <row r="1567" spans="1:14" x14ac:dyDescent="0.2">
      <c r="A1567" t="str">
        <f>IF(OR(Calc!$E1571="",Calc!$E1571="نامعتبر",Calc!$G1571=""),"",Calc!$G1571)</f>
        <v/>
      </c>
      <c r="B1567" t="str">
        <f>IF($A1567="","",LEFT(Calc!$E1571,4)&amp;MID(Calc!$E1571,6,2)&amp;RIGHT(Calc!$E1571,2)&amp;Calc!$Q1571&amp;"|"&amp;"1"&amp;RIGHT("00000"&amp;1562,5))</f>
        <v/>
      </c>
      <c r="C1567" t="str">
        <f t="shared" si="120"/>
        <v/>
      </c>
      <c r="D1567" t="str">
        <f t="shared" si="121"/>
        <v/>
      </c>
      <c r="F1567" t="str">
        <f>IF(Sync!$AH1567="","",IF(LEFT(UPPER(TRIM(Sync!$AH1567)),2)="SL",UPPER(TRIM(Sync!$AH1567)),""))</f>
        <v/>
      </c>
      <c r="G1567" t="str">
        <f>IF($F1567="","",IF(Sync!$AE1567="","",IF(ISNUMBER(Sync!$AE1567),IF(AND(Sync!$AE1567&gt;=10000101,Sync!$AE1567&lt;=99991231),INT(Sync!$AE1567/10000),""),IFERROR(VALUE(TRIM(LEFT(Sync!$AE1567,FIND("/",Sync!$AE1567)-1))),""))))</f>
        <v/>
      </c>
      <c r="H1567" t="str">
        <f>IF(OR($F1567="",$G1567=""),"",IF(ISNUMBER(Sync!$AE1567),INT(MOD(Sync!$AE1567,10000)/100),IFERROR(VALUE(TRIM(LEFT(MID(Sync!$AE1567,FIND("/",Sync!$AE1567)+1,20),FIND("/",MID(Sync!$AE1567,FIND("/",Sync!$AE1567)+1,20))-1))),"")))</f>
        <v/>
      </c>
      <c r="I1567" t="str">
        <f>IF(OR($F1567="",$G1567=""),"",IF(ISNUMBER(Sync!$AE1567),MOD(Sync!$AE1567,100),IFERROR(VALUE(TRIM(MID(MID(Sync!$AE1567,FIND("/",Sync!$AE1567)+1,20),FIND("/",MID(Sync!$AE1567,FIND("/",Sync!$AE1567)+1,20))+1,20))),"")))</f>
        <v/>
      </c>
      <c r="J1567" t="str">
        <f t="shared" si="122"/>
        <v/>
      </c>
      <c r="K1567" t="str">
        <f>IF(OR($F1567="",$J1567="",$J1567="نامعتبر"),"",LEFT($J1567,4)&amp;MID($J1567,6,2)&amp;RIGHT($J1567,2)&amp;$N1567&amp;"|"&amp;"2"&amp;RIGHT("00000"&amp;1562,5))</f>
        <v/>
      </c>
      <c r="L1567" t="str">
        <f t="shared" si="123"/>
        <v/>
      </c>
      <c r="M1567" t="str">
        <f t="shared" si="124"/>
        <v/>
      </c>
      <c r="N1567" t="str">
        <f>IF($F1567="","",IF(Sync!$AF1567="","0000",IF(AND(ISNUMBER(Sync!$AF1567),Sync!$AF1567&gt;=0,Sync!$AF1567&lt;1),RIGHT("00"&amp;HOUR(Sync!$AF1567),2)&amp;RIGHT("00"&amp;MINUTE(Sync!$AF1567),2),IFERROR(RIGHT("00"&amp;VALUE(LEFT(Sync!$AF1567,FIND(":",Sync!$AF1567)-1)),2)&amp;RIGHT("00"&amp;VALUE(MID(Sync!$AF1567,FIND(":",Sync!$AF1567)+1,2)),2),"0000"))))</f>
        <v/>
      </c>
    </row>
    <row r="1568" spans="1:14" x14ac:dyDescent="0.2">
      <c r="A1568" t="str">
        <f>IF(OR(Calc!$E1572="",Calc!$E1572="نامعتبر",Calc!$G1572=""),"",Calc!$G1572)</f>
        <v/>
      </c>
      <c r="B1568" t="str">
        <f>IF($A1568="","",LEFT(Calc!$E1572,4)&amp;MID(Calc!$E1572,6,2)&amp;RIGHT(Calc!$E1572,2)&amp;Calc!$Q1572&amp;"|"&amp;"1"&amp;RIGHT("00000"&amp;1563,5))</f>
        <v/>
      </c>
      <c r="C1568" t="str">
        <f t="shared" si="120"/>
        <v/>
      </c>
      <c r="D1568" t="str">
        <f t="shared" si="121"/>
        <v/>
      </c>
      <c r="F1568" t="str">
        <f>IF(Sync!$AH1568="","",IF(LEFT(UPPER(TRIM(Sync!$AH1568)),2)="SL",UPPER(TRIM(Sync!$AH1568)),""))</f>
        <v/>
      </c>
      <c r="G1568" t="str">
        <f>IF($F1568="","",IF(Sync!$AE1568="","",IF(ISNUMBER(Sync!$AE1568),IF(AND(Sync!$AE1568&gt;=10000101,Sync!$AE1568&lt;=99991231),INT(Sync!$AE1568/10000),""),IFERROR(VALUE(TRIM(LEFT(Sync!$AE1568,FIND("/",Sync!$AE1568)-1))),""))))</f>
        <v/>
      </c>
      <c r="H1568" t="str">
        <f>IF(OR($F1568="",$G1568=""),"",IF(ISNUMBER(Sync!$AE1568),INT(MOD(Sync!$AE1568,10000)/100),IFERROR(VALUE(TRIM(LEFT(MID(Sync!$AE1568,FIND("/",Sync!$AE1568)+1,20),FIND("/",MID(Sync!$AE1568,FIND("/",Sync!$AE1568)+1,20))-1))),"")))</f>
        <v/>
      </c>
      <c r="I1568" t="str">
        <f>IF(OR($F1568="",$G1568=""),"",IF(ISNUMBER(Sync!$AE1568),MOD(Sync!$AE1568,100),IFERROR(VALUE(TRIM(MID(MID(Sync!$AE1568,FIND("/",Sync!$AE1568)+1,20),FIND("/",MID(Sync!$AE1568,FIND("/",Sync!$AE1568)+1,20))+1,20))),"")))</f>
        <v/>
      </c>
      <c r="J1568" t="str">
        <f t="shared" si="122"/>
        <v/>
      </c>
      <c r="K1568" t="str">
        <f>IF(OR($F1568="",$J1568="",$J1568="نامعتبر"),"",LEFT($J1568,4)&amp;MID($J1568,6,2)&amp;RIGHT($J1568,2)&amp;$N1568&amp;"|"&amp;"2"&amp;RIGHT("00000"&amp;1563,5))</f>
        <v/>
      </c>
      <c r="L1568" t="str">
        <f t="shared" si="123"/>
        <v/>
      </c>
      <c r="M1568" t="str">
        <f t="shared" si="124"/>
        <v/>
      </c>
      <c r="N1568" t="str">
        <f>IF($F1568="","",IF(Sync!$AF1568="","0000",IF(AND(ISNUMBER(Sync!$AF1568),Sync!$AF1568&gt;=0,Sync!$AF1568&lt;1),RIGHT("00"&amp;HOUR(Sync!$AF1568),2)&amp;RIGHT("00"&amp;MINUTE(Sync!$AF1568),2),IFERROR(RIGHT("00"&amp;VALUE(LEFT(Sync!$AF1568,FIND(":",Sync!$AF1568)-1)),2)&amp;RIGHT("00"&amp;VALUE(MID(Sync!$AF1568,FIND(":",Sync!$AF1568)+1,2)),2),"0000"))))</f>
        <v/>
      </c>
    </row>
    <row r="1569" spans="1:14" x14ac:dyDescent="0.2">
      <c r="A1569" t="str">
        <f>IF(OR(Calc!$E1573="",Calc!$E1573="نامعتبر",Calc!$G1573=""),"",Calc!$G1573)</f>
        <v/>
      </c>
      <c r="B1569" t="str">
        <f>IF($A1569="","",LEFT(Calc!$E1573,4)&amp;MID(Calc!$E1573,6,2)&amp;RIGHT(Calc!$E1573,2)&amp;Calc!$Q1573&amp;"|"&amp;"1"&amp;RIGHT("00000"&amp;1564,5))</f>
        <v/>
      </c>
      <c r="C1569" t="str">
        <f t="shared" si="120"/>
        <v/>
      </c>
      <c r="D1569" t="str">
        <f t="shared" si="121"/>
        <v/>
      </c>
      <c r="F1569" t="str">
        <f>IF(Sync!$AH1569="","",IF(LEFT(UPPER(TRIM(Sync!$AH1569)),2)="SL",UPPER(TRIM(Sync!$AH1569)),""))</f>
        <v/>
      </c>
      <c r="G1569" t="str">
        <f>IF($F1569="","",IF(Sync!$AE1569="","",IF(ISNUMBER(Sync!$AE1569),IF(AND(Sync!$AE1569&gt;=10000101,Sync!$AE1569&lt;=99991231),INT(Sync!$AE1569/10000),""),IFERROR(VALUE(TRIM(LEFT(Sync!$AE1569,FIND("/",Sync!$AE1569)-1))),""))))</f>
        <v/>
      </c>
      <c r="H1569" t="str">
        <f>IF(OR($F1569="",$G1569=""),"",IF(ISNUMBER(Sync!$AE1569),INT(MOD(Sync!$AE1569,10000)/100),IFERROR(VALUE(TRIM(LEFT(MID(Sync!$AE1569,FIND("/",Sync!$AE1569)+1,20),FIND("/",MID(Sync!$AE1569,FIND("/",Sync!$AE1569)+1,20))-1))),"")))</f>
        <v/>
      </c>
      <c r="I1569" t="str">
        <f>IF(OR($F1569="",$G1569=""),"",IF(ISNUMBER(Sync!$AE1569),MOD(Sync!$AE1569,100),IFERROR(VALUE(TRIM(MID(MID(Sync!$AE1569,FIND("/",Sync!$AE1569)+1,20),FIND("/",MID(Sync!$AE1569,FIND("/",Sync!$AE1569)+1,20))+1,20))),"")))</f>
        <v/>
      </c>
      <c r="J1569" t="str">
        <f t="shared" si="122"/>
        <v/>
      </c>
      <c r="K1569" t="str">
        <f>IF(OR($F1569="",$J1569="",$J1569="نامعتبر"),"",LEFT($J1569,4)&amp;MID($J1569,6,2)&amp;RIGHT($J1569,2)&amp;$N1569&amp;"|"&amp;"2"&amp;RIGHT("00000"&amp;1564,5))</f>
        <v/>
      </c>
      <c r="L1569" t="str">
        <f t="shared" si="123"/>
        <v/>
      </c>
      <c r="M1569" t="str">
        <f t="shared" si="124"/>
        <v/>
      </c>
      <c r="N1569" t="str">
        <f>IF($F1569="","",IF(Sync!$AF1569="","0000",IF(AND(ISNUMBER(Sync!$AF1569),Sync!$AF1569&gt;=0,Sync!$AF1569&lt;1),RIGHT("00"&amp;HOUR(Sync!$AF1569),2)&amp;RIGHT("00"&amp;MINUTE(Sync!$AF1569),2),IFERROR(RIGHT("00"&amp;VALUE(LEFT(Sync!$AF1569,FIND(":",Sync!$AF1569)-1)),2)&amp;RIGHT("00"&amp;VALUE(MID(Sync!$AF1569,FIND(":",Sync!$AF1569)+1,2)),2),"0000"))))</f>
        <v/>
      </c>
    </row>
    <row r="1570" spans="1:14" x14ac:dyDescent="0.2">
      <c r="A1570" t="str">
        <f>IF(OR(Calc!$E1574="",Calc!$E1574="نامعتبر",Calc!$G1574=""),"",Calc!$G1574)</f>
        <v/>
      </c>
      <c r="B1570" t="str">
        <f>IF($A1570="","",LEFT(Calc!$E1574,4)&amp;MID(Calc!$E1574,6,2)&amp;RIGHT(Calc!$E1574,2)&amp;Calc!$Q1574&amp;"|"&amp;"1"&amp;RIGHT("00000"&amp;1565,5))</f>
        <v/>
      </c>
      <c r="C1570" t="str">
        <f t="shared" si="120"/>
        <v/>
      </c>
      <c r="D1570" t="str">
        <f t="shared" si="121"/>
        <v/>
      </c>
      <c r="F1570" t="str">
        <f>IF(Sync!$AH1570="","",IF(LEFT(UPPER(TRIM(Sync!$AH1570)),2)="SL",UPPER(TRIM(Sync!$AH1570)),""))</f>
        <v/>
      </c>
      <c r="G1570" t="str">
        <f>IF($F1570="","",IF(Sync!$AE1570="","",IF(ISNUMBER(Sync!$AE1570),IF(AND(Sync!$AE1570&gt;=10000101,Sync!$AE1570&lt;=99991231),INT(Sync!$AE1570/10000),""),IFERROR(VALUE(TRIM(LEFT(Sync!$AE1570,FIND("/",Sync!$AE1570)-1))),""))))</f>
        <v/>
      </c>
      <c r="H1570" t="str">
        <f>IF(OR($F1570="",$G1570=""),"",IF(ISNUMBER(Sync!$AE1570),INT(MOD(Sync!$AE1570,10000)/100),IFERROR(VALUE(TRIM(LEFT(MID(Sync!$AE1570,FIND("/",Sync!$AE1570)+1,20),FIND("/",MID(Sync!$AE1570,FIND("/",Sync!$AE1570)+1,20))-1))),"")))</f>
        <v/>
      </c>
      <c r="I1570" t="str">
        <f>IF(OR($F1570="",$G1570=""),"",IF(ISNUMBER(Sync!$AE1570),MOD(Sync!$AE1570,100),IFERROR(VALUE(TRIM(MID(MID(Sync!$AE1570,FIND("/",Sync!$AE1570)+1,20),FIND("/",MID(Sync!$AE1570,FIND("/",Sync!$AE1570)+1,20))+1,20))),"")))</f>
        <v/>
      </c>
      <c r="J1570" t="str">
        <f t="shared" si="122"/>
        <v/>
      </c>
      <c r="K1570" t="str">
        <f>IF(OR($F1570="",$J1570="",$J1570="نامعتبر"),"",LEFT($J1570,4)&amp;MID($J1570,6,2)&amp;RIGHT($J1570,2)&amp;$N1570&amp;"|"&amp;"2"&amp;RIGHT("00000"&amp;1565,5))</f>
        <v/>
      </c>
      <c r="L1570" t="str">
        <f t="shared" si="123"/>
        <v/>
      </c>
      <c r="M1570" t="str">
        <f t="shared" si="124"/>
        <v/>
      </c>
      <c r="N1570" t="str">
        <f>IF($F1570="","",IF(Sync!$AF1570="","0000",IF(AND(ISNUMBER(Sync!$AF1570),Sync!$AF1570&gt;=0,Sync!$AF1570&lt;1),RIGHT("00"&amp;HOUR(Sync!$AF1570),2)&amp;RIGHT("00"&amp;MINUTE(Sync!$AF1570),2),IFERROR(RIGHT("00"&amp;VALUE(LEFT(Sync!$AF1570,FIND(":",Sync!$AF1570)-1)),2)&amp;RIGHT("00"&amp;VALUE(MID(Sync!$AF1570,FIND(":",Sync!$AF1570)+1,2)),2),"0000"))))</f>
        <v/>
      </c>
    </row>
    <row r="1571" spans="1:14" x14ac:dyDescent="0.2">
      <c r="A1571" t="str">
        <f>IF(OR(Calc!$E1575="",Calc!$E1575="نامعتبر",Calc!$G1575=""),"",Calc!$G1575)</f>
        <v/>
      </c>
      <c r="B1571" t="str">
        <f>IF($A1571="","",LEFT(Calc!$E1575,4)&amp;MID(Calc!$E1575,6,2)&amp;RIGHT(Calc!$E1575,2)&amp;Calc!$Q1575&amp;"|"&amp;"1"&amp;RIGHT("00000"&amp;1566,5))</f>
        <v/>
      </c>
      <c r="C1571" t="str">
        <f t="shared" si="120"/>
        <v/>
      </c>
      <c r="D1571" t="str">
        <f t="shared" si="121"/>
        <v/>
      </c>
      <c r="F1571" t="str">
        <f>IF(Sync!$AH1571="","",IF(LEFT(UPPER(TRIM(Sync!$AH1571)),2)="SL",UPPER(TRIM(Sync!$AH1571)),""))</f>
        <v/>
      </c>
      <c r="G1571" t="str">
        <f>IF($F1571="","",IF(Sync!$AE1571="","",IF(ISNUMBER(Sync!$AE1571),IF(AND(Sync!$AE1571&gt;=10000101,Sync!$AE1571&lt;=99991231),INT(Sync!$AE1571/10000),""),IFERROR(VALUE(TRIM(LEFT(Sync!$AE1571,FIND("/",Sync!$AE1571)-1))),""))))</f>
        <v/>
      </c>
      <c r="H1571" t="str">
        <f>IF(OR($F1571="",$G1571=""),"",IF(ISNUMBER(Sync!$AE1571),INT(MOD(Sync!$AE1571,10000)/100),IFERROR(VALUE(TRIM(LEFT(MID(Sync!$AE1571,FIND("/",Sync!$AE1571)+1,20),FIND("/",MID(Sync!$AE1571,FIND("/",Sync!$AE1571)+1,20))-1))),"")))</f>
        <v/>
      </c>
      <c r="I1571" t="str">
        <f>IF(OR($F1571="",$G1571=""),"",IF(ISNUMBER(Sync!$AE1571),MOD(Sync!$AE1571,100),IFERROR(VALUE(TRIM(MID(MID(Sync!$AE1571,FIND("/",Sync!$AE1571)+1,20),FIND("/",MID(Sync!$AE1571,FIND("/",Sync!$AE1571)+1,20))+1,20))),"")))</f>
        <v/>
      </c>
      <c r="J1571" t="str">
        <f t="shared" si="122"/>
        <v/>
      </c>
      <c r="K1571" t="str">
        <f>IF(OR($F1571="",$J1571="",$J1571="نامعتبر"),"",LEFT($J1571,4)&amp;MID($J1571,6,2)&amp;RIGHT($J1571,2)&amp;$N1571&amp;"|"&amp;"2"&amp;RIGHT("00000"&amp;1566,5))</f>
        <v/>
      </c>
      <c r="L1571" t="str">
        <f t="shared" si="123"/>
        <v/>
      </c>
      <c r="M1571" t="str">
        <f t="shared" si="124"/>
        <v/>
      </c>
      <c r="N1571" t="str">
        <f>IF($F1571="","",IF(Sync!$AF1571="","0000",IF(AND(ISNUMBER(Sync!$AF1571),Sync!$AF1571&gt;=0,Sync!$AF1571&lt;1),RIGHT("00"&amp;HOUR(Sync!$AF1571),2)&amp;RIGHT("00"&amp;MINUTE(Sync!$AF1571),2),IFERROR(RIGHT("00"&amp;VALUE(LEFT(Sync!$AF1571,FIND(":",Sync!$AF1571)-1)),2)&amp;RIGHT("00"&amp;VALUE(MID(Sync!$AF1571,FIND(":",Sync!$AF1571)+1,2)),2),"0000"))))</f>
        <v/>
      </c>
    </row>
    <row r="1572" spans="1:14" x14ac:dyDescent="0.2">
      <c r="A1572" t="str">
        <f>IF(OR(Calc!$E1576="",Calc!$E1576="نامعتبر",Calc!$G1576=""),"",Calc!$G1576)</f>
        <v/>
      </c>
      <c r="B1572" t="str">
        <f>IF($A1572="","",LEFT(Calc!$E1576,4)&amp;MID(Calc!$E1576,6,2)&amp;RIGHT(Calc!$E1576,2)&amp;Calc!$Q1576&amp;"|"&amp;"1"&amp;RIGHT("00000"&amp;1567,5))</f>
        <v/>
      </c>
      <c r="C1572" t="str">
        <f t="shared" si="120"/>
        <v/>
      </c>
      <c r="D1572" t="str">
        <f t="shared" si="121"/>
        <v/>
      </c>
      <c r="F1572" t="str">
        <f>IF(Sync!$AH1572="","",IF(LEFT(UPPER(TRIM(Sync!$AH1572)),2)="SL",UPPER(TRIM(Sync!$AH1572)),""))</f>
        <v/>
      </c>
      <c r="G1572" t="str">
        <f>IF($F1572="","",IF(Sync!$AE1572="","",IF(ISNUMBER(Sync!$AE1572),IF(AND(Sync!$AE1572&gt;=10000101,Sync!$AE1572&lt;=99991231),INT(Sync!$AE1572/10000),""),IFERROR(VALUE(TRIM(LEFT(Sync!$AE1572,FIND("/",Sync!$AE1572)-1))),""))))</f>
        <v/>
      </c>
      <c r="H1572" t="str">
        <f>IF(OR($F1572="",$G1572=""),"",IF(ISNUMBER(Sync!$AE1572),INT(MOD(Sync!$AE1572,10000)/100),IFERROR(VALUE(TRIM(LEFT(MID(Sync!$AE1572,FIND("/",Sync!$AE1572)+1,20),FIND("/",MID(Sync!$AE1572,FIND("/",Sync!$AE1572)+1,20))-1))),"")))</f>
        <v/>
      </c>
      <c r="I1572" t="str">
        <f>IF(OR($F1572="",$G1572=""),"",IF(ISNUMBER(Sync!$AE1572),MOD(Sync!$AE1572,100),IFERROR(VALUE(TRIM(MID(MID(Sync!$AE1572,FIND("/",Sync!$AE1572)+1,20),FIND("/",MID(Sync!$AE1572,FIND("/",Sync!$AE1572)+1,20))+1,20))),"")))</f>
        <v/>
      </c>
      <c r="J1572" t="str">
        <f t="shared" si="122"/>
        <v/>
      </c>
      <c r="K1572" t="str">
        <f>IF(OR($F1572="",$J1572="",$J1572="نامعتبر"),"",LEFT($J1572,4)&amp;MID($J1572,6,2)&amp;RIGHT($J1572,2)&amp;$N1572&amp;"|"&amp;"2"&amp;RIGHT("00000"&amp;1567,5))</f>
        <v/>
      </c>
      <c r="L1572" t="str">
        <f t="shared" si="123"/>
        <v/>
      </c>
      <c r="M1572" t="str">
        <f t="shared" si="124"/>
        <v/>
      </c>
      <c r="N1572" t="str">
        <f>IF($F1572="","",IF(Sync!$AF1572="","0000",IF(AND(ISNUMBER(Sync!$AF1572),Sync!$AF1572&gt;=0,Sync!$AF1572&lt;1),RIGHT("00"&amp;HOUR(Sync!$AF1572),2)&amp;RIGHT("00"&amp;MINUTE(Sync!$AF1572),2),IFERROR(RIGHT("00"&amp;VALUE(LEFT(Sync!$AF1572,FIND(":",Sync!$AF1572)-1)),2)&amp;RIGHT("00"&amp;VALUE(MID(Sync!$AF1572,FIND(":",Sync!$AF1572)+1,2)),2),"0000"))))</f>
        <v/>
      </c>
    </row>
    <row r="1573" spans="1:14" x14ac:dyDescent="0.2">
      <c r="A1573" t="str">
        <f>IF(OR(Calc!$E1577="",Calc!$E1577="نامعتبر",Calc!$G1577=""),"",Calc!$G1577)</f>
        <v/>
      </c>
      <c r="B1573" t="str">
        <f>IF($A1573="","",LEFT(Calc!$E1577,4)&amp;MID(Calc!$E1577,6,2)&amp;RIGHT(Calc!$E1577,2)&amp;Calc!$Q1577&amp;"|"&amp;"1"&amp;RIGHT("00000"&amp;1568,5))</f>
        <v/>
      </c>
      <c r="C1573" t="str">
        <f t="shared" si="120"/>
        <v/>
      </c>
      <c r="D1573" t="str">
        <f t="shared" si="121"/>
        <v/>
      </c>
      <c r="F1573" t="str">
        <f>IF(Sync!$AH1573="","",IF(LEFT(UPPER(TRIM(Sync!$AH1573)),2)="SL",UPPER(TRIM(Sync!$AH1573)),""))</f>
        <v/>
      </c>
      <c r="G1573" t="str">
        <f>IF($F1573="","",IF(Sync!$AE1573="","",IF(ISNUMBER(Sync!$AE1573),IF(AND(Sync!$AE1573&gt;=10000101,Sync!$AE1573&lt;=99991231),INT(Sync!$AE1573/10000),""),IFERROR(VALUE(TRIM(LEFT(Sync!$AE1573,FIND("/",Sync!$AE1573)-1))),""))))</f>
        <v/>
      </c>
      <c r="H1573" t="str">
        <f>IF(OR($F1573="",$G1573=""),"",IF(ISNUMBER(Sync!$AE1573),INT(MOD(Sync!$AE1573,10000)/100),IFERROR(VALUE(TRIM(LEFT(MID(Sync!$AE1573,FIND("/",Sync!$AE1573)+1,20),FIND("/",MID(Sync!$AE1573,FIND("/",Sync!$AE1573)+1,20))-1))),"")))</f>
        <v/>
      </c>
      <c r="I1573" t="str">
        <f>IF(OR($F1573="",$G1573=""),"",IF(ISNUMBER(Sync!$AE1573),MOD(Sync!$AE1573,100),IFERROR(VALUE(TRIM(MID(MID(Sync!$AE1573,FIND("/",Sync!$AE1573)+1,20),FIND("/",MID(Sync!$AE1573,FIND("/",Sync!$AE1573)+1,20))+1,20))),"")))</f>
        <v/>
      </c>
      <c r="J1573" t="str">
        <f t="shared" si="122"/>
        <v/>
      </c>
      <c r="K1573" t="str">
        <f>IF(OR($F1573="",$J1573="",$J1573="نامعتبر"),"",LEFT($J1573,4)&amp;MID($J1573,6,2)&amp;RIGHT($J1573,2)&amp;$N1573&amp;"|"&amp;"2"&amp;RIGHT("00000"&amp;1568,5))</f>
        <v/>
      </c>
      <c r="L1573" t="str">
        <f t="shared" si="123"/>
        <v/>
      </c>
      <c r="M1573" t="str">
        <f t="shared" si="124"/>
        <v/>
      </c>
      <c r="N1573" t="str">
        <f>IF($F1573="","",IF(Sync!$AF1573="","0000",IF(AND(ISNUMBER(Sync!$AF1573),Sync!$AF1573&gt;=0,Sync!$AF1573&lt;1),RIGHT("00"&amp;HOUR(Sync!$AF1573),2)&amp;RIGHT("00"&amp;MINUTE(Sync!$AF1573),2),IFERROR(RIGHT("00"&amp;VALUE(LEFT(Sync!$AF1573,FIND(":",Sync!$AF1573)-1)),2)&amp;RIGHT("00"&amp;VALUE(MID(Sync!$AF1573,FIND(":",Sync!$AF1573)+1,2)),2),"0000"))))</f>
        <v/>
      </c>
    </row>
    <row r="1574" spans="1:14" x14ac:dyDescent="0.2">
      <c r="A1574" t="str">
        <f>IF(OR(Calc!$E1578="",Calc!$E1578="نامعتبر",Calc!$G1578=""),"",Calc!$G1578)</f>
        <v/>
      </c>
      <c r="B1574" t="str">
        <f>IF($A1574="","",LEFT(Calc!$E1578,4)&amp;MID(Calc!$E1578,6,2)&amp;RIGHT(Calc!$E1578,2)&amp;Calc!$Q1578&amp;"|"&amp;"1"&amp;RIGHT("00000"&amp;1569,5))</f>
        <v/>
      </c>
      <c r="C1574" t="str">
        <f t="shared" si="120"/>
        <v/>
      </c>
      <c r="D1574" t="str">
        <f t="shared" si="121"/>
        <v/>
      </c>
      <c r="F1574" t="str">
        <f>IF(Sync!$AH1574="","",IF(LEFT(UPPER(TRIM(Sync!$AH1574)),2)="SL",UPPER(TRIM(Sync!$AH1574)),""))</f>
        <v/>
      </c>
      <c r="G1574" t="str">
        <f>IF($F1574="","",IF(Sync!$AE1574="","",IF(ISNUMBER(Sync!$AE1574),IF(AND(Sync!$AE1574&gt;=10000101,Sync!$AE1574&lt;=99991231),INT(Sync!$AE1574/10000),""),IFERROR(VALUE(TRIM(LEFT(Sync!$AE1574,FIND("/",Sync!$AE1574)-1))),""))))</f>
        <v/>
      </c>
      <c r="H1574" t="str">
        <f>IF(OR($F1574="",$G1574=""),"",IF(ISNUMBER(Sync!$AE1574),INT(MOD(Sync!$AE1574,10000)/100),IFERROR(VALUE(TRIM(LEFT(MID(Sync!$AE1574,FIND("/",Sync!$AE1574)+1,20),FIND("/",MID(Sync!$AE1574,FIND("/",Sync!$AE1574)+1,20))-1))),"")))</f>
        <v/>
      </c>
      <c r="I1574" t="str">
        <f>IF(OR($F1574="",$G1574=""),"",IF(ISNUMBER(Sync!$AE1574),MOD(Sync!$AE1574,100),IFERROR(VALUE(TRIM(MID(MID(Sync!$AE1574,FIND("/",Sync!$AE1574)+1,20),FIND("/",MID(Sync!$AE1574,FIND("/",Sync!$AE1574)+1,20))+1,20))),"")))</f>
        <v/>
      </c>
      <c r="J1574" t="str">
        <f t="shared" si="122"/>
        <v/>
      </c>
      <c r="K1574" t="str">
        <f>IF(OR($F1574="",$J1574="",$J1574="نامعتبر"),"",LEFT($J1574,4)&amp;MID($J1574,6,2)&amp;RIGHT($J1574,2)&amp;$N1574&amp;"|"&amp;"2"&amp;RIGHT("00000"&amp;1569,5))</f>
        <v/>
      </c>
      <c r="L1574" t="str">
        <f t="shared" si="123"/>
        <v/>
      </c>
      <c r="M1574" t="str">
        <f t="shared" si="124"/>
        <v/>
      </c>
      <c r="N1574" t="str">
        <f>IF($F1574="","",IF(Sync!$AF1574="","0000",IF(AND(ISNUMBER(Sync!$AF1574),Sync!$AF1574&gt;=0,Sync!$AF1574&lt;1),RIGHT("00"&amp;HOUR(Sync!$AF1574),2)&amp;RIGHT("00"&amp;MINUTE(Sync!$AF1574),2),IFERROR(RIGHT("00"&amp;VALUE(LEFT(Sync!$AF1574,FIND(":",Sync!$AF1574)-1)),2)&amp;RIGHT("00"&amp;VALUE(MID(Sync!$AF1574,FIND(":",Sync!$AF1574)+1,2)),2),"0000"))))</f>
        <v/>
      </c>
    </row>
    <row r="1575" spans="1:14" x14ac:dyDescent="0.2">
      <c r="A1575" t="str">
        <f>IF(OR(Calc!$E1579="",Calc!$E1579="نامعتبر",Calc!$G1579=""),"",Calc!$G1579)</f>
        <v/>
      </c>
      <c r="B1575" t="str">
        <f>IF($A1575="","",LEFT(Calc!$E1579,4)&amp;MID(Calc!$E1579,6,2)&amp;RIGHT(Calc!$E1579,2)&amp;Calc!$Q1579&amp;"|"&amp;"1"&amp;RIGHT("00000"&amp;1570,5))</f>
        <v/>
      </c>
      <c r="C1575" t="str">
        <f t="shared" si="120"/>
        <v/>
      </c>
      <c r="D1575" t="str">
        <f t="shared" si="121"/>
        <v/>
      </c>
      <c r="F1575" t="str">
        <f>IF(Sync!$AH1575="","",IF(LEFT(UPPER(TRIM(Sync!$AH1575)),2)="SL",UPPER(TRIM(Sync!$AH1575)),""))</f>
        <v/>
      </c>
      <c r="G1575" t="str">
        <f>IF($F1575="","",IF(Sync!$AE1575="","",IF(ISNUMBER(Sync!$AE1575),IF(AND(Sync!$AE1575&gt;=10000101,Sync!$AE1575&lt;=99991231),INT(Sync!$AE1575/10000),""),IFERROR(VALUE(TRIM(LEFT(Sync!$AE1575,FIND("/",Sync!$AE1575)-1))),""))))</f>
        <v/>
      </c>
      <c r="H1575" t="str">
        <f>IF(OR($F1575="",$G1575=""),"",IF(ISNUMBER(Sync!$AE1575),INT(MOD(Sync!$AE1575,10000)/100),IFERROR(VALUE(TRIM(LEFT(MID(Sync!$AE1575,FIND("/",Sync!$AE1575)+1,20),FIND("/",MID(Sync!$AE1575,FIND("/",Sync!$AE1575)+1,20))-1))),"")))</f>
        <v/>
      </c>
      <c r="I1575" t="str">
        <f>IF(OR($F1575="",$G1575=""),"",IF(ISNUMBER(Sync!$AE1575),MOD(Sync!$AE1575,100),IFERROR(VALUE(TRIM(MID(MID(Sync!$AE1575,FIND("/",Sync!$AE1575)+1,20),FIND("/",MID(Sync!$AE1575,FIND("/",Sync!$AE1575)+1,20))+1,20))),"")))</f>
        <v/>
      </c>
      <c r="J1575" t="str">
        <f t="shared" si="122"/>
        <v/>
      </c>
      <c r="K1575" t="str">
        <f>IF(OR($F1575="",$J1575="",$J1575="نامعتبر"),"",LEFT($J1575,4)&amp;MID($J1575,6,2)&amp;RIGHT($J1575,2)&amp;$N1575&amp;"|"&amp;"2"&amp;RIGHT("00000"&amp;1570,5))</f>
        <v/>
      </c>
      <c r="L1575" t="str">
        <f t="shared" si="123"/>
        <v/>
      </c>
      <c r="M1575" t="str">
        <f t="shared" si="124"/>
        <v/>
      </c>
      <c r="N1575" t="str">
        <f>IF($F1575="","",IF(Sync!$AF1575="","0000",IF(AND(ISNUMBER(Sync!$AF1575),Sync!$AF1575&gt;=0,Sync!$AF1575&lt;1),RIGHT("00"&amp;HOUR(Sync!$AF1575),2)&amp;RIGHT("00"&amp;MINUTE(Sync!$AF1575),2),IFERROR(RIGHT("00"&amp;VALUE(LEFT(Sync!$AF1575,FIND(":",Sync!$AF1575)-1)),2)&amp;RIGHT("00"&amp;VALUE(MID(Sync!$AF1575,FIND(":",Sync!$AF1575)+1,2)),2),"0000"))))</f>
        <v/>
      </c>
    </row>
    <row r="1576" spans="1:14" x14ac:dyDescent="0.2">
      <c r="A1576" t="str">
        <f>IF(OR(Calc!$E1580="",Calc!$E1580="نامعتبر",Calc!$G1580=""),"",Calc!$G1580)</f>
        <v/>
      </c>
      <c r="B1576" t="str">
        <f>IF($A1576="","",LEFT(Calc!$E1580,4)&amp;MID(Calc!$E1580,6,2)&amp;RIGHT(Calc!$E1580,2)&amp;Calc!$Q1580&amp;"|"&amp;"1"&amp;RIGHT("00000"&amp;1571,5))</f>
        <v/>
      </c>
      <c r="C1576" t="str">
        <f t="shared" si="120"/>
        <v/>
      </c>
      <c r="D1576" t="str">
        <f t="shared" si="121"/>
        <v/>
      </c>
      <c r="F1576" t="str">
        <f>IF(Sync!$AH1576="","",IF(LEFT(UPPER(TRIM(Sync!$AH1576)),2)="SL",UPPER(TRIM(Sync!$AH1576)),""))</f>
        <v/>
      </c>
      <c r="G1576" t="str">
        <f>IF($F1576="","",IF(Sync!$AE1576="","",IF(ISNUMBER(Sync!$AE1576),IF(AND(Sync!$AE1576&gt;=10000101,Sync!$AE1576&lt;=99991231),INT(Sync!$AE1576/10000),""),IFERROR(VALUE(TRIM(LEFT(Sync!$AE1576,FIND("/",Sync!$AE1576)-1))),""))))</f>
        <v/>
      </c>
      <c r="H1576" t="str">
        <f>IF(OR($F1576="",$G1576=""),"",IF(ISNUMBER(Sync!$AE1576),INT(MOD(Sync!$AE1576,10000)/100),IFERROR(VALUE(TRIM(LEFT(MID(Sync!$AE1576,FIND("/",Sync!$AE1576)+1,20),FIND("/",MID(Sync!$AE1576,FIND("/",Sync!$AE1576)+1,20))-1))),"")))</f>
        <v/>
      </c>
      <c r="I1576" t="str">
        <f>IF(OR($F1576="",$G1576=""),"",IF(ISNUMBER(Sync!$AE1576),MOD(Sync!$AE1576,100),IFERROR(VALUE(TRIM(MID(MID(Sync!$AE1576,FIND("/",Sync!$AE1576)+1,20),FIND("/",MID(Sync!$AE1576,FIND("/",Sync!$AE1576)+1,20))+1,20))),"")))</f>
        <v/>
      </c>
      <c r="J1576" t="str">
        <f t="shared" si="122"/>
        <v/>
      </c>
      <c r="K1576" t="str">
        <f>IF(OR($F1576="",$J1576="",$J1576="نامعتبر"),"",LEFT($J1576,4)&amp;MID($J1576,6,2)&amp;RIGHT($J1576,2)&amp;$N1576&amp;"|"&amp;"2"&amp;RIGHT("00000"&amp;1571,5))</f>
        <v/>
      </c>
      <c r="L1576" t="str">
        <f t="shared" si="123"/>
        <v/>
      </c>
      <c r="M1576" t="str">
        <f t="shared" si="124"/>
        <v/>
      </c>
      <c r="N1576" t="str">
        <f>IF($F1576="","",IF(Sync!$AF1576="","0000",IF(AND(ISNUMBER(Sync!$AF1576),Sync!$AF1576&gt;=0,Sync!$AF1576&lt;1),RIGHT("00"&amp;HOUR(Sync!$AF1576),2)&amp;RIGHT("00"&amp;MINUTE(Sync!$AF1576),2),IFERROR(RIGHT("00"&amp;VALUE(LEFT(Sync!$AF1576,FIND(":",Sync!$AF1576)-1)),2)&amp;RIGHT("00"&amp;VALUE(MID(Sync!$AF1576,FIND(":",Sync!$AF1576)+1,2)),2),"0000"))))</f>
        <v/>
      </c>
    </row>
    <row r="1577" spans="1:14" x14ac:dyDescent="0.2">
      <c r="A1577" t="str">
        <f>IF(OR(Calc!$E1581="",Calc!$E1581="نامعتبر",Calc!$G1581=""),"",Calc!$G1581)</f>
        <v/>
      </c>
      <c r="B1577" t="str">
        <f>IF($A1577="","",LEFT(Calc!$E1581,4)&amp;MID(Calc!$E1581,6,2)&amp;RIGHT(Calc!$E1581,2)&amp;Calc!$Q1581&amp;"|"&amp;"1"&amp;RIGHT("00000"&amp;1572,5))</f>
        <v/>
      </c>
      <c r="C1577" t="str">
        <f t="shared" si="120"/>
        <v/>
      </c>
      <c r="D1577" t="str">
        <f t="shared" si="121"/>
        <v/>
      </c>
      <c r="F1577" t="str">
        <f>IF(Sync!$AH1577="","",IF(LEFT(UPPER(TRIM(Sync!$AH1577)),2)="SL",UPPER(TRIM(Sync!$AH1577)),""))</f>
        <v/>
      </c>
      <c r="G1577" t="str">
        <f>IF($F1577="","",IF(Sync!$AE1577="","",IF(ISNUMBER(Sync!$AE1577),IF(AND(Sync!$AE1577&gt;=10000101,Sync!$AE1577&lt;=99991231),INT(Sync!$AE1577/10000),""),IFERROR(VALUE(TRIM(LEFT(Sync!$AE1577,FIND("/",Sync!$AE1577)-1))),""))))</f>
        <v/>
      </c>
      <c r="H1577" t="str">
        <f>IF(OR($F1577="",$G1577=""),"",IF(ISNUMBER(Sync!$AE1577),INT(MOD(Sync!$AE1577,10000)/100),IFERROR(VALUE(TRIM(LEFT(MID(Sync!$AE1577,FIND("/",Sync!$AE1577)+1,20),FIND("/",MID(Sync!$AE1577,FIND("/",Sync!$AE1577)+1,20))-1))),"")))</f>
        <v/>
      </c>
      <c r="I1577" t="str">
        <f>IF(OR($F1577="",$G1577=""),"",IF(ISNUMBER(Sync!$AE1577),MOD(Sync!$AE1577,100),IFERROR(VALUE(TRIM(MID(MID(Sync!$AE1577,FIND("/",Sync!$AE1577)+1,20),FIND("/",MID(Sync!$AE1577,FIND("/",Sync!$AE1577)+1,20))+1,20))),"")))</f>
        <v/>
      </c>
      <c r="J1577" t="str">
        <f t="shared" si="122"/>
        <v/>
      </c>
      <c r="K1577" t="str">
        <f>IF(OR($F1577="",$J1577="",$J1577="نامعتبر"),"",LEFT($J1577,4)&amp;MID($J1577,6,2)&amp;RIGHT($J1577,2)&amp;$N1577&amp;"|"&amp;"2"&amp;RIGHT("00000"&amp;1572,5))</f>
        <v/>
      </c>
      <c r="L1577" t="str">
        <f t="shared" si="123"/>
        <v/>
      </c>
      <c r="M1577" t="str">
        <f t="shared" si="124"/>
        <v/>
      </c>
      <c r="N1577" t="str">
        <f>IF($F1577="","",IF(Sync!$AF1577="","0000",IF(AND(ISNUMBER(Sync!$AF1577),Sync!$AF1577&gt;=0,Sync!$AF1577&lt;1),RIGHT("00"&amp;HOUR(Sync!$AF1577),2)&amp;RIGHT("00"&amp;MINUTE(Sync!$AF1577),2),IFERROR(RIGHT("00"&amp;VALUE(LEFT(Sync!$AF1577,FIND(":",Sync!$AF1577)-1)),2)&amp;RIGHT("00"&amp;VALUE(MID(Sync!$AF1577,FIND(":",Sync!$AF1577)+1,2)),2),"0000"))))</f>
        <v/>
      </c>
    </row>
    <row r="1578" spans="1:14" x14ac:dyDescent="0.2">
      <c r="A1578" t="str">
        <f>IF(OR(Calc!$E1582="",Calc!$E1582="نامعتبر",Calc!$G1582=""),"",Calc!$G1582)</f>
        <v/>
      </c>
      <c r="B1578" t="str">
        <f>IF($A1578="","",LEFT(Calc!$E1582,4)&amp;MID(Calc!$E1582,6,2)&amp;RIGHT(Calc!$E1582,2)&amp;Calc!$Q1582&amp;"|"&amp;"1"&amp;RIGHT("00000"&amp;1573,5))</f>
        <v/>
      </c>
      <c r="C1578" t="str">
        <f t="shared" si="120"/>
        <v/>
      </c>
      <c r="D1578" t="str">
        <f t="shared" si="121"/>
        <v/>
      </c>
      <c r="F1578" t="str">
        <f>IF(Sync!$AH1578="","",IF(LEFT(UPPER(TRIM(Sync!$AH1578)),2)="SL",UPPER(TRIM(Sync!$AH1578)),""))</f>
        <v/>
      </c>
      <c r="G1578" t="str">
        <f>IF($F1578="","",IF(Sync!$AE1578="","",IF(ISNUMBER(Sync!$AE1578),IF(AND(Sync!$AE1578&gt;=10000101,Sync!$AE1578&lt;=99991231),INT(Sync!$AE1578/10000),""),IFERROR(VALUE(TRIM(LEFT(Sync!$AE1578,FIND("/",Sync!$AE1578)-1))),""))))</f>
        <v/>
      </c>
      <c r="H1578" t="str">
        <f>IF(OR($F1578="",$G1578=""),"",IF(ISNUMBER(Sync!$AE1578),INT(MOD(Sync!$AE1578,10000)/100),IFERROR(VALUE(TRIM(LEFT(MID(Sync!$AE1578,FIND("/",Sync!$AE1578)+1,20),FIND("/",MID(Sync!$AE1578,FIND("/",Sync!$AE1578)+1,20))-1))),"")))</f>
        <v/>
      </c>
      <c r="I1578" t="str">
        <f>IF(OR($F1578="",$G1578=""),"",IF(ISNUMBER(Sync!$AE1578),MOD(Sync!$AE1578,100),IFERROR(VALUE(TRIM(MID(MID(Sync!$AE1578,FIND("/",Sync!$AE1578)+1,20),FIND("/",MID(Sync!$AE1578,FIND("/",Sync!$AE1578)+1,20))+1,20))),"")))</f>
        <v/>
      </c>
      <c r="J1578" t="str">
        <f t="shared" si="122"/>
        <v/>
      </c>
      <c r="K1578" t="str">
        <f>IF(OR($F1578="",$J1578="",$J1578="نامعتبر"),"",LEFT($J1578,4)&amp;MID($J1578,6,2)&amp;RIGHT($J1578,2)&amp;$N1578&amp;"|"&amp;"2"&amp;RIGHT("00000"&amp;1573,5))</f>
        <v/>
      </c>
      <c r="L1578" t="str">
        <f t="shared" si="123"/>
        <v/>
      </c>
      <c r="M1578" t="str">
        <f t="shared" si="124"/>
        <v/>
      </c>
      <c r="N1578" t="str">
        <f>IF($F1578="","",IF(Sync!$AF1578="","0000",IF(AND(ISNUMBER(Sync!$AF1578),Sync!$AF1578&gt;=0,Sync!$AF1578&lt;1),RIGHT("00"&amp;HOUR(Sync!$AF1578),2)&amp;RIGHT("00"&amp;MINUTE(Sync!$AF1578),2),IFERROR(RIGHT("00"&amp;VALUE(LEFT(Sync!$AF1578,FIND(":",Sync!$AF1578)-1)),2)&amp;RIGHT("00"&amp;VALUE(MID(Sync!$AF1578,FIND(":",Sync!$AF1578)+1,2)),2),"0000"))))</f>
        <v/>
      </c>
    </row>
    <row r="1579" spans="1:14" x14ac:dyDescent="0.2">
      <c r="A1579" t="str">
        <f>IF(OR(Calc!$E1583="",Calc!$E1583="نامعتبر",Calc!$G1583=""),"",Calc!$G1583)</f>
        <v/>
      </c>
      <c r="B1579" t="str">
        <f>IF($A1579="","",LEFT(Calc!$E1583,4)&amp;MID(Calc!$E1583,6,2)&amp;RIGHT(Calc!$E1583,2)&amp;Calc!$Q1583&amp;"|"&amp;"1"&amp;RIGHT("00000"&amp;1574,5))</f>
        <v/>
      </c>
      <c r="C1579" t="str">
        <f t="shared" si="120"/>
        <v/>
      </c>
      <c r="D1579" t="str">
        <f t="shared" si="121"/>
        <v/>
      </c>
      <c r="F1579" t="str">
        <f>IF(Sync!$AH1579="","",IF(LEFT(UPPER(TRIM(Sync!$AH1579)),2)="SL",UPPER(TRIM(Sync!$AH1579)),""))</f>
        <v/>
      </c>
      <c r="G1579" t="str">
        <f>IF($F1579="","",IF(Sync!$AE1579="","",IF(ISNUMBER(Sync!$AE1579),IF(AND(Sync!$AE1579&gt;=10000101,Sync!$AE1579&lt;=99991231),INT(Sync!$AE1579/10000),""),IFERROR(VALUE(TRIM(LEFT(Sync!$AE1579,FIND("/",Sync!$AE1579)-1))),""))))</f>
        <v/>
      </c>
      <c r="H1579" t="str">
        <f>IF(OR($F1579="",$G1579=""),"",IF(ISNUMBER(Sync!$AE1579),INT(MOD(Sync!$AE1579,10000)/100),IFERROR(VALUE(TRIM(LEFT(MID(Sync!$AE1579,FIND("/",Sync!$AE1579)+1,20),FIND("/",MID(Sync!$AE1579,FIND("/",Sync!$AE1579)+1,20))-1))),"")))</f>
        <v/>
      </c>
      <c r="I1579" t="str">
        <f>IF(OR($F1579="",$G1579=""),"",IF(ISNUMBER(Sync!$AE1579),MOD(Sync!$AE1579,100),IFERROR(VALUE(TRIM(MID(MID(Sync!$AE1579,FIND("/",Sync!$AE1579)+1,20),FIND("/",MID(Sync!$AE1579,FIND("/",Sync!$AE1579)+1,20))+1,20))),"")))</f>
        <v/>
      </c>
      <c r="J1579" t="str">
        <f t="shared" si="122"/>
        <v/>
      </c>
      <c r="K1579" t="str">
        <f>IF(OR($F1579="",$J1579="",$J1579="نامعتبر"),"",LEFT($J1579,4)&amp;MID($J1579,6,2)&amp;RIGHT($J1579,2)&amp;$N1579&amp;"|"&amp;"2"&amp;RIGHT("00000"&amp;1574,5))</f>
        <v/>
      </c>
      <c r="L1579" t="str">
        <f t="shared" si="123"/>
        <v/>
      </c>
      <c r="M1579" t="str">
        <f t="shared" si="124"/>
        <v/>
      </c>
      <c r="N1579" t="str">
        <f>IF($F1579="","",IF(Sync!$AF1579="","0000",IF(AND(ISNUMBER(Sync!$AF1579),Sync!$AF1579&gt;=0,Sync!$AF1579&lt;1),RIGHT("00"&amp;HOUR(Sync!$AF1579),2)&amp;RIGHT("00"&amp;MINUTE(Sync!$AF1579),2),IFERROR(RIGHT("00"&amp;VALUE(LEFT(Sync!$AF1579,FIND(":",Sync!$AF1579)-1)),2)&amp;RIGHT("00"&amp;VALUE(MID(Sync!$AF1579,FIND(":",Sync!$AF1579)+1,2)),2),"0000"))))</f>
        <v/>
      </c>
    </row>
    <row r="1580" spans="1:14" x14ac:dyDescent="0.2">
      <c r="A1580" t="str">
        <f>IF(OR(Calc!$E1584="",Calc!$E1584="نامعتبر",Calc!$G1584=""),"",Calc!$G1584)</f>
        <v/>
      </c>
      <c r="B1580" t="str">
        <f>IF($A1580="","",LEFT(Calc!$E1584,4)&amp;MID(Calc!$E1584,6,2)&amp;RIGHT(Calc!$E1584,2)&amp;Calc!$Q1584&amp;"|"&amp;"1"&amp;RIGHT("00000"&amp;1575,5))</f>
        <v/>
      </c>
      <c r="C1580" t="str">
        <f t="shared" si="120"/>
        <v/>
      </c>
      <c r="D1580" t="str">
        <f t="shared" si="121"/>
        <v/>
      </c>
      <c r="F1580" t="str">
        <f>IF(Sync!$AH1580="","",IF(LEFT(UPPER(TRIM(Sync!$AH1580)),2)="SL",UPPER(TRIM(Sync!$AH1580)),""))</f>
        <v/>
      </c>
      <c r="G1580" t="str">
        <f>IF($F1580="","",IF(Sync!$AE1580="","",IF(ISNUMBER(Sync!$AE1580),IF(AND(Sync!$AE1580&gt;=10000101,Sync!$AE1580&lt;=99991231),INT(Sync!$AE1580/10000),""),IFERROR(VALUE(TRIM(LEFT(Sync!$AE1580,FIND("/",Sync!$AE1580)-1))),""))))</f>
        <v/>
      </c>
      <c r="H1580" t="str">
        <f>IF(OR($F1580="",$G1580=""),"",IF(ISNUMBER(Sync!$AE1580),INT(MOD(Sync!$AE1580,10000)/100),IFERROR(VALUE(TRIM(LEFT(MID(Sync!$AE1580,FIND("/",Sync!$AE1580)+1,20),FIND("/",MID(Sync!$AE1580,FIND("/",Sync!$AE1580)+1,20))-1))),"")))</f>
        <v/>
      </c>
      <c r="I1580" t="str">
        <f>IF(OR($F1580="",$G1580=""),"",IF(ISNUMBER(Sync!$AE1580),MOD(Sync!$AE1580,100),IFERROR(VALUE(TRIM(MID(MID(Sync!$AE1580,FIND("/",Sync!$AE1580)+1,20),FIND("/",MID(Sync!$AE1580,FIND("/",Sync!$AE1580)+1,20))+1,20))),"")))</f>
        <v/>
      </c>
      <c r="J1580" t="str">
        <f t="shared" si="122"/>
        <v/>
      </c>
      <c r="K1580" t="str">
        <f>IF(OR($F1580="",$J1580="",$J1580="نامعتبر"),"",LEFT($J1580,4)&amp;MID($J1580,6,2)&amp;RIGHT($J1580,2)&amp;$N1580&amp;"|"&amp;"2"&amp;RIGHT("00000"&amp;1575,5))</f>
        <v/>
      </c>
      <c r="L1580" t="str">
        <f t="shared" si="123"/>
        <v/>
      </c>
      <c r="M1580" t="str">
        <f t="shared" si="124"/>
        <v/>
      </c>
      <c r="N1580" t="str">
        <f>IF($F1580="","",IF(Sync!$AF1580="","0000",IF(AND(ISNUMBER(Sync!$AF1580),Sync!$AF1580&gt;=0,Sync!$AF1580&lt;1),RIGHT("00"&amp;HOUR(Sync!$AF1580),2)&amp;RIGHT("00"&amp;MINUTE(Sync!$AF1580),2),IFERROR(RIGHT("00"&amp;VALUE(LEFT(Sync!$AF1580,FIND(":",Sync!$AF1580)-1)),2)&amp;RIGHT("00"&amp;VALUE(MID(Sync!$AF1580,FIND(":",Sync!$AF1580)+1,2)),2),"0000"))))</f>
        <v/>
      </c>
    </row>
    <row r="1581" spans="1:14" x14ac:dyDescent="0.2">
      <c r="A1581" t="str">
        <f>IF(OR(Calc!$E1585="",Calc!$E1585="نامعتبر",Calc!$G1585=""),"",Calc!$G1585)</f>
        <v/>
      </c>
      <c r="B1581" t="str">
        <f>IF($A1581="","",LEFT(Calc!$E1585,4)&amp;MID(Calc!$E1585,6,2)&amp;RIGHT(Calc!$E1585,2)&amp;Calc!$Q1585&amp;"|"&amp;"1"&amp;RIGHT("00000"&amp;1576,5))</f>
        <v/>
      </c>
      <c r="C1581" t="str">
        <f t="shared" si="120"/>
        <v/>
      </c>
      <c r="D1581" t="str">
        <f t="shared" si="121"/>
        <v/>
      </c>
      <c r="F1581" t="str">
        <f>IF(Sync!$AH1581="","",IF(LEFT(UPPER(TRIM(Sync!$AH1581)),2)="SL",UPPER(TRIM(Sync!$AH1581)),""))</f>
        <v/>
      </c>
      <c r="G1581" t="str">
        <f>IF($F1581="","",IF(Sync!$AE1581="","",IF(ISNUMBER(Sync!$AE1581),IF(AND(Sync!$AE1581&gt;=10000101,Sync!$AE1581&lt;=99991231),INT(Sync!$AE1581/10000),""),IFERROR(VALUE(TRIM(LEFT(Sync!$AE1581,FIND("/",Sync!$AE1581)-1))),""))))</f>
        <v/>
      </c>
      <c r="H1581" t="str">
        <f>IF(OR($F1581="",$G1581=""),"",IF(ISNUMBER(Sync!$AE1581),INT(MOD(Sync!$AE1581,10000)/100),IFERROR(VALUE(TRIM(LEFT(MID(Sync!$AE1581,FIND("/",Sync!$AE1581)+1,20),FIND("/",MID(Sync!$AE1581,FIND("/",Sync!$AE1581)+1,20))-1))),"")))</f>
        <v/>
      </c>
      <c r="I1581" t="str">
        <f>IF(OR($F1581="",$G1581=""),"",IF(ISNUMBER(Sync!$AE1581),MOD(Sync!$AE1581,100),IFERROR(VALUE(TRIM(MID(MID(Sync!$AE1581,FIND("/",Sync!$AE1581)+1,20),FIND("/",MID(Sync!$AE1581,FIND("/",Sync!$AE1581)+1,20))+1,20))),"")))</f>
        <v/>
      </c>
      <c r="J1581" t="str">
        <f t="shared" si="122"/>
        <v/>
      </c>
      <c r="K1581" t="str">
        <f>IF(OR($F1581="",$J1581="",$J1581="نامعتبر"),"",LEFT($J1581,4)&amp;MID($J1581,6,2)&amp;RIGHT($J1581,2)&amp;$N1581&amp;"|"&amp;"2"&amp;RIGHT("00000"&amp;1576,5))</f>
        <v/>
      </c>
      <c r="L1581" t="str">
        <f t="shared" si="123"/>
        <v/>
      </c>
      <c r="M1581" t="str">
        <f t="shared" si="124"/>
        <v/>
      </c>
      <c r="N1581" t="str">
        <f>IF($F1581="","",IF(Sync!$AF1581="","0000",IF(AND(ISNUMBER(Sync!$AF1581),Sync!$AF1581&gt;=0,Sync!$AF1581&lt;1),RIGHT("00"&amp;HOUR(Sync!$AF1581),2)&amp;RIGHT("00"&amp;MINUTE(Sync!$AF1581),2),IFERROR(RIGHT("00"&amp;VALUE(LEFT(Sync!$AF1581,FIND(":",Sync!$AF1581)-1)),2)&amp;RIGHT("00"&amp;VALUE(MID(Sync!$AF1581,FIND(":",Sync!$AF1581)+1,2)),2),"0000"))))</f>
        <v/>
      </c>
    </row>
    <row r="1582" spans="1:14" x14ac:dyDescent="0.2">
      <c r="A1582" t="str">
        <f>IF(OR(Calc!$E1586="",Calc!$E1586="نامعتبر",Calc!$G1586=""),"",Calc!$G1586)</f>
        <v/>
      </c>
      <c r="B1582" t="str">
        <f>IF($A1582="","",LEFT(Calc!$E1586,4)&amp;MID(Calc!$E1586,6,2)&amp;RIGHT(Calc!$E1586,2)&amp;Calc!$Q1586&amp;"|"&amp;"1"&amp;RIGHT("00000"&amp;1577,5))</f>
        <v/>
      </c>
      <c r="C1582" t="str">
        <f t="shared" si="120"/>
        <v/>
      </c>
      <c r="D1582" t="str">
        <f t="shared" si="121"/>
        <v/>
      </c>
      <c r="F1582" t="str">
        <f>IF(Sync!$AH1582="","",IF(LEFT(UPPER(TRIM(Sync!$AH1582)),2)="SL",UPPER(TRIM(Sync!$AH1582)),""))</f>
        <v/>
      </c>
      <c r="G1582" t="str">
        <f>IF($F1582="","",IF(Sync!$AE1582="","",IF(ISNUMBER(Sync!$AE1582),IF(AND(Sync!$AE1582&gt;=10000101,Sync!$AE1582&lt;=99991231),INT(Sync!$AE1582/10000),""),IFERROR(VALUE(TRIM(LEFT(Sync!$AE1582,FIND("/",Sync!$AE1582)-1))),""))))</f>
        <v/>
      </c>
      <c r="H1582" t="str">
        <f>IF(OR($F1582="",$G1582=""),"",IF(ISNUMBER(Sync!$AE1582),INT(MOD(Sync!$AE1582,10000)/100),IFERROR(VALUE(TRIM(LEFT(MID(Sync!$AE1582,FIND("/",Sync!$AE1582)+1,20),FIND("/",MID(Sync!$AE1582,FIND("/",Sync!$AE1582)+1,20))-1))),"")))</f>
        <v/>
      </c>
      <c r="I1582" t="str">
        <f>IF(OR($F1582="",$G1582=""),"",IF(ISNUMBER(Sync!$AE1582),MOD(Sync!$AE1582,100),IFERROR(VALUE(TRIM(MID(MID(Sync!$AE1582,FIND("/",Sync!$AE1582)+1,20),FIND("/",MID(Sync!$AE1582,FIND("/",Sync!$AE1582)+1,20))+1,20))),"")))</f>
        <v/>
      </c>
      <c r="J1582" t="str">
        <f t="shared" si="122"/>
        <v/>
      </c>
      <c r="K1582" t="str">
        <f>IF(OR($F1582="",$J1582="",$J1582="نامعتبر"),"",LEFT($J1582,4)&amp;MID($J1582,6,2)&amp;RIGHT($J1582,2)&amp;$N1582&amp;"|"&amp;"2"&amp;RIGHT("00000"&amp;1577,5))</f>
        <v/>
      </c>
      <c r="L1582" t="str">
        <f t="shared" si="123"/>
        <v/>
      </c>
      <c r="M1582" t="str">
        <f t="shared" si="124"/>
        <v/>
      </c>
      <c r="N1582" t="str">
        <f>IF($F1582="","",IF(Sync!$AF1582="","0000",IF(AND(ISNUMBER(Sync!$AF1582),Sync!$AF1582&gt;=0,Sync!$AF1582&lt;1),RIGHT("00"&amp;HOUR(Sync!$AF1582),2)&amp;RIGHT("00"&amp;MINUTE(Sync!$AF1582),2),IFERROR(RIGHT("00"&amp;VALUE(LEFT(Sync!$AF1582,FIND(":",Sync!$AF1582)-1)),2)&amp;RIGHT("00"&amp;VALUE(MID(Sync!$AF1582,FIND(":",Sync!$AF1582)+1,2)),2),"0000"))))</f>
        <v/>
      </c>
    </row>
    <row r="1583" spans="1:14" x14ac:dyDescent="0.2">
      <c r="A1583" t="str">
        <f>IF(OR(Calc!$E1587="",Calc!$E1587="نامعتبر",Calc!$G1587=""),"",Calc!$G1587)</f>
        <v/>
      </c>
      <c r="B1583" t="str">
        <f>IF($A1583="","",LEFT(Calc!$E1587,4)&amp;MID(Calc!$E1587,6,2)&amp;RIGHT(Calc!$E1587,2)&amp;Calc!$Q1587&amp;"|"&amp;"1"&amp;RIGHT("00000"&amp;1578,5))</f>
        <v/>
      </c>
      <c r="C1583" t="str">
        <f t="shared" si="120"/>
        <v/>
      </c>
      <c r="D1583" t="str">
        <f t="shared" si="121"/>
        <v/>
      </c>
      <c r="F1583" t="str">
        <f>IF(Sync!$AH1583="","",IF(LEFT(UPPER(TRIM(Sync!$AH1583)),2)="SL",UPPER(TRIM(Sync!$AH1583)),""))</f>
        <v/>
      </c>
      <c r="G1583" t="str">
        <f>IF($F1583="","",IF(Sync!$AE1583="","",IF(ISNUMBER(Sync!$AE1583),IF(AND(Sync!$AE1583&gt;=10000101,Sync!$AE1583&lt;=99991231),INT(Sync!$AE1583/10000),""),IFERROR(VALUE(TRIM(LEFT(Sync!$AE1583,FIND("/",Sync!$AE1583)-1))),""))))</f>
        <v/>
      </c>
      <c r="H1583" t="str">
        <f>IF(OR($F1583="",$G1583=""),"",IF(ISNUMBER(Sync!$AE1583),INT(MOD(Sync!$AE1583,10000)/100),IFERROR(VALUE(TRIM(LEFT(MID(Sync!$AE1583,FIND("/",Sync!$AE1583)+1,20),FIND("/",MID(Sync!$AE1583,FIND("/",Sync!$AE1583)+1,20))-1))),"")))</f>
        <v/>
      </c>
      <c r="I1583" t="str">
        <f>IF(OR($F1583="",$G1583=""),"",IF(ISNUMBER(Sync!$AE1583),MOD(Sync!$AE1583,100),IFERROR(VALUE(TRIM(MID(MID(Sync!$AE1583,FIND("/",Sync!$AE1583)+1,20),FIND("/",MID(Sync!$AE1583,FIND("/",Sync!$AE1583)+1,20))+1,20))),"")))</f>
        <v/>
      </c>
      <c r="J1583" t="str">
        <f t="shared" si="122"/>
        <v/>
      </c>
      <c r="K1583" t="str">
        <f>IF(OR($F1583="",$J1583="",$J1583="نامعتبر"),"",LEFT($J1583,4)&amp;MID($J1583,6,2)&amp;RIGHT($J1583,2)&amp;$N1583&amp;"|"&amp;"2"&amp;RIGHT("00000"&amp;1578,5))</f>
        <v/>
      </c>
      <c r="L1583" t="str">
        <f t="shared" si="123"/>
        <v/>
      </c>
      <c r="M1583" t="str">
        <f t="shared" si="124"/>
        <v/>
      </c>
      <c r="N1583" t="str">
        <f>IF($F1583="","",IF(Sync!$AF1583="","0000",IF(AND(ISNUMBER(Sync!$AF1583),Sync!$AF1583&gt;=0,Sync!$AF1583&lt;1),RIGHT("00"&amp;HOUR(Sync!$AF1583),2)&amp;RIGHT("00"&amp;MINUTE(Sync!$AF1583),2),IFERROR(RIGHT("00"&amp;VALUE(LEFT(Sync!$AF1583,FIND(":",Sync!$AF1583)-1)),2)&amp;RIGHT("00"&amp;VALUE(MID(Sync!$AF1583,FIND(":",Sync!$AF1583)+1,2)),2),"0000"))))</f>
        <v/>
      </c>
    </row>
    <row r="1584" spans="1:14" x14ac:dyDescent="0.2">
      <c r="A1584" t="str">
        <f>IF(OR(Calc!$E1588="",Calc!$E1588="نامعتبر",Calc!$G1588=""),"",Calc!$G1588)</f>
        <v/>
      </c>
      <c r="B1584" t="str">
        <f>IF($A1584="","",LEFT(Calc!$E1588,4)&amp;MID(Calc!$E1588,6,2)&amp;RIGHT(Calc!$E1588,2)&amp;Calc!$Q1588&amp;"|"&amp;"1"&amp;RIGHT("00000"&amp;1579,5))</f>
        <v/>
      </c>
      <c r="C1584" t="str">
        <f t="shared" si="120"/>
        <v/>
      </c>
      <c r="D1584" t="str">
        <f t="shared" si="121"/>
        <v/>
      </c>
      <c r="F1584" t="str">
        <f>IF(Sync!$AH1584="","",IF(LEFT(UPPER(TRIM(Sync!$AH1584)),2)="SL",UPPER(TRIM(Sync!$AH1584)),""))</f>
        <v/>
      </c>
      <c r="G1584" t="str">
        <f>IF($F1584="","",IF(Sync!$AE1584="","",IF(ISNUMBER(Sync!$AE1584),IF(AND(Sync!$AE1584&gt;=10000101,Sync!$AE1584&lt;=99991231),INT(Sync!$AE1584/10000),""),IFERROR(VALUE(TRIM(LEFT(Sync!$AE1584,FIND("/",Sync!$AE1584)-1))),""))))</f>
        <v/>
      </c>
      <c r="H1584" t="str">
        <f>IF(OR($F1584="",$G1584=""),"",IF(ISNUMBER(Sync!$AE1584),INT(MOD(Sync!$AE1584,10000)/100),IFERROR(VALUE(TRIM(LEFT(MID(Sync!$AE1584,FIND("/",Sync!$AE1584)+1,20),FIND("/",MID(Sync!$AE1584,FIND("/",Sync!$AE1584)+1,20))-1))),"")))</f>
        <v/>
      </c>
      <c r="I1584" t="str">
        <f>IF(OR($F1584="",$G1584=""),"",IF(ISNUMBER(Sync!$AE1584),MOD(Sync!$AE1584,100),IFERROR(VALUE(TRIM(MID(MID(Sync!$AE1584,FIND("/",Sync!$AE1584)+1,20),FIND("/",MID(Sync!$AE1584,FIND("/",Sync!$AE1584)+1,20))+1,20))),"")))</f>
        <v/>
      </c>
      <c r="J1584" t="str">
        <f t="shared" si="122"/>
        <v/>
      </c>
      <c r="K1584" t="str">
        <f>IF(OR($F1584="",$J1584="",$J1584="نامعتبر"),"",LEFT($J1584,4)&amp;MID($J1584,6,2)&amp;RIGHT($J1584,2)&amp;$N1584&amp;"|"&amp;"2"&amp;RIGHT("00000"&amp;1579,5))</f>
        <v/>
      </c>
      <c r="L1584" t="str">
        <f t="shared" si="123"/>
        <v/>
      </c>
      <c r="M1584" t="str">
        <f t="shared" si="124"/>
        <v/>
      </c>
      <c r="N1584" t="str">
        <f>IF($F1584="","",IF(Sync!$AF1584="","0000",IF(AND(ISNUMBER(Sync!$AF1584),Sync!$AF1584&gt;=0,Sync!$AF1584&lt;1),RIGHT("00"&amp;HOUR(Sync!$AF1584),2)&amp;RIGHT("00"&amp;MINUTE(Sync!$AF1584),2),IFERROR(RIGHT("00"&amp;VALUE(LEFT(Sync!$AF1584,FIND(":",Sync!$AF1584)-1)),2)&amp;RIGHT("00"&amp;VALUE(MID(Sync!$AF1584,FIND(":",Sync!$AF1584)+1,2)),2),"0000"))))</f>
        <v/>
      </c>
    </row>
    <row r="1585" spans="1:14" x14ac:dyDescent="0.2">
      <c r="A1585" t="str">
        <f>IF(OR(Calc!$E1589="",Calc!$E1589="نامعتبر",Calc!$G1589=""),"",Calc!$G1589)</f>
        <v/>
      </c>
      <c r="B1585" t="str">
        <f>IF($A1585="","",LEFT(Calc!$E1589,4)&amp;MID(Calc!$E1589,6,2)&amp;RIGHT(Calc!$E1589,2)&amp;Calc!$Q1589&amp;"|"&amp;"1"&amp;RIGHT("00000"&amp;1580,5))</f>
        <v/>
      </c>
      <c r="C1585" t="str">
        <f t="shared" si="120"/>
        <v/>
      </c>
      <c r="D1585" t="str">
        <f t="shared" si="121"/>
        <v/>
      </c>
      <c r="F1585" t="str">
        <f>IF(Sync!$AH1585="","",IF(LEFT(UPPER(TRIM(Sync!$AH1585)),2)="SL",UPPER(TRIM(Sync!$AH1585)),""))</f>
        <v/>
      </c>
      <c r="G1585" t="str">
        <f>IF($F1585="","",IF(Sync!$AE1585="","",IF(ISNUMBER(Sync!$AE1585),IF(AND(Sync!$AE1585&gt;=10000101,Sync!$AE1585&lt;=99991231),INT(Sync!$AE1585/10000),""),IFERROR(VALUE(TRIM(LEFT(Sync!$AE1585,FIND("/",Sync!$AE1585)-1))),""))))</f>
        <v/>
      </c>
      <c r="H1585" t="str">
        <f>IF(OR($F1585="",$G1585=""),"",IF(ISNUMBER(Sync!$AE1585),INT(MOD(Sync!$AE1585,10000)/100),IFERROR(VALUE(TRIM(LEFT(MID(Sync!$AE1585,FIND("/",Sync!$AE1585)+1,20),FIND("/",MID(Sync!$AE1585,FIND("/",Sync!$AE1585)+1,20))-1))),"")))</f>
        <v/>
      </c>
      <c r="I1585" t="str">
        <f>IF(OR($F1585="",$G1585=""),"",IF(ISNUMBER(Sync!$AE1585),MOD(Sync!$AE1585,100),IFERROR(VALUE(TRIM(MID(MID(Sync!$AE1585,FIND("/",Sync!$AE1585)+1,20),FIND("/",MID(Sync!$AE1585,FIND("/",Sync!$AE1585)+1,20))+1,20))),"")))</f>
        <v/>
      </c>
      <c r="J1585" t="str">
        <f t="shared" si="122"/>
        <v/>
      </c>
      <c r="K1585" t="str">
        <f>IF(OR($F1585="",$J1585="",$J1585="نامعتبر"),"",LEFT($J1585,4)&amp;MID($J1585,6,2)&amp;RIGHT($J1585,2)&amp;$N1585&amp;"|"&amp;"2"&amp;RIGHT("00000"&amp;1580,5))</f>
        <v/>
      </c>
      <c r="L1585" t="str">
        <f t="shared" si="123"/>
        <v/>
      </c>
      <c r="M1585" t="str">
        <f t="shared" si="124"/>
        <v/>
      </c>
      <c r="N1585" t="str">
        <f>IF($F1585="","",IF(Sync!$AF1585="","0000",IF(AND(ISNUMBER(Sync!$AF1585),Sync!$AF1585&gt;=0,Sync!$AF1585&lt;1),RIGHT("00"&amp;HOUR(Sync!$AF1585),2)&amp;RIGHT("00"&amp;MINUTE(Sync!$AF1585),2),IFERROR(RIGHT("00"&amp;VALUE(LEFT(Sync!$AF1585,FIND(":",Sync!$AF1585)-1)),2)&amp;RIGHT("00"&amp;VALUE(MID(Sync!$AF1585,FIND(":",Sync!$AF1585)+1,2)),2),"0000"))))</f>
        <v/>
      </c>
    </row>
    <row r="1586" spans="1:14" x14ac:dyDescent="0.2">
      <c r="A1586" t="str">
        <f>IF(OR(Calc!$E1590="",Calc!$E1590="نامعتبر",Calc!$G1590=""),"",Calc!$G1590)</f>
        <v/>
      </c>
      <c r="B1586" t="str">
        <f>IF($A1586="","",LEFT(Calc!$E1590,4)&amp;MID(Calc!$E1590,6,2)&amp;RIGHT(Calc!$E1590,2)&amp;Calc!$Q1590&amp;"|"&amp;"1"&amp;RIGHT("00000"&amp;1581,5))</f>
        <v/>
      </c>
      <c r="C1586" t="str">
        <f t="shared" si="120"/>
        <v/>
      </c>
      <c r="D1586" t="str">
        <f t="shared" si="121"/>
        <v/>
      </c>
      <c r="F1586" t="str">
        <f>IF(Sync!$AH1586="","",IF(LEFT(UPPER(TRIM(Sync!$AH1586)),2)="SL",UPPER(TRIM(Sync!$AH1586)),""))</f>
        <v/>
      </c>
      <c r="G1586" t="str">
        <f>IF($F1586="","",IF(Sync!$AE1586="","",IF(ISNUMBER(Sync!$AE1586),IF(AND(Sync!$AE1586&gt;=10000101,Sync!$AE1586&lt;=99991231),INT(Sync!$AE1586/10000),""),IFERROR(VALUE(TRIM(LEFT(Sync!$AE1586,FIND("/",Sync!$AE1586)-1))),""))))</f>
        <v/>
      </c>
      <c r="H1586" t="str">
        <f>IF(OR($F1586="",$G1586=""),"",IF(ISNUMBER(Sync!$AE1586),INT(MOD(Sync!$AE1586,10000)/100),IFERROR(VALUE(TRIM(LEFT(MID(Sync!$AE1586,FIND("/",Sync!$AE1586)+1,20),FIND("/",MID(Sync!$AE1586,FIND("/",Sync!$AE1586)+1,20))-1))),"")))</f>
        <v/>
      </c>
      <c r="I1586" t="str">
        <f>IF(OR($F1586="",$G1586=""),"",IF(ISNUMBER(Sync!$AE1586),MOD(Sync!$AE1586,100),IFERROR(VALUE(TRIM(MID(MID(Sync!$AE1586,FIND("/",Sync!$AE1586)+1,20),FIND("/",MID(Sync!$AE1586,FIND("/",Sync!$AE1586)+1,20))+1,20))),"")))</f>
        <v/>
      </c>
      <c r="J1586" t="str">
        <f t="shared" si="122"/>
        <v/>
      </c>
      <c r="K1586" t="str">
        <f>IF(OR($F1586="",$J1586="",$J1586="نامعتبر"),"",LEFT($J1586,4)&amp;MID($J1586,6,2)&amp;RIGHT($J1586,2)&amp;$N1586&amp;"|"&amp;"2"&amp;RIGHT("00000"&amp;1581,5))</f>
        <v/>
      </c>
      <c r="L1586" t="str">
        <f t="shared" si="123"/>
        <v/>
      </c>
      <c r="M1586" t="str">
        <f t="shared" si="124"/>
        <v/>
      </c>
      <c r="N1586" t="str">
        <f>IF($F1586="","",IF(Sync!$AF1586="","0000",IF(AND(ISNUMBER(Sync!$AF1586),Sync!$AF1586&gt;=0,Sync!$AF1586&lt;1),RIGHT("00"&amp;HOUR(Sync!$AF1586),2)&amp;RIGHT("00"&amp;MINUTE(Sync!$AF1586),2),IFERROR(RIGHT("00"&amp;VALUE(LEFT(Sync!$AF1586,FIND(":",Sync!$AF1586)-1)),2)&amp;RIGHT("00"&amp;VALUE(MID(Sync!$AF1586,FIND(":",Sync!$AF1586)+1,2)),2),"0000"))))</f>
        <v/>
      </c>
    </row>
    <row r="1587" spans="1:14" x14ac:dyDescent="0.2">
      <c r="A1587" t="str">
        <f>IF(OR(Calc!$E1591="",Calc!$E1591="نامعتبر",Calc!$G1591=""),"",Calc!$G1591)</f>
        <v/>
      </c>
      <c r="B1587" t="str">
        <f>IF($A1587="","",LEFT(Calc!$E1591,4)&amp;MID(Calc!$E1591,6,2)&amp;RIGHT(Calc!$E1591,2)&amp;Calc!$Q1591&amp;"|"&amp;"1"&amp;RIGHT("00000"&amp;1582,5))</f>
        <v/>
      </c>
      <c r="C1587" t="str">
        <f t="shared" si="120"/>
        <v/>
      </c>
      <c r="D1587" t="str">
        <f t="shared" si="121"/>
        <v/>
      </c>
      <c r="F1587" t="str">
        <f>IF(Sync!$AH1587="","",IF(LEFT(UPPER(TRIM(Sync!$AH1587)),2)="SL",UPPER(TRIM(Sync!$AH1587)),""))</f>
        <v/>
      </c>
      <c r="G1587" t="str">
        <f>IF($F1587="","",IF(Sync!$AE1587="","",IF(ISNUMBER(Sync!$AE1587),IF(AND(Sync!$AE1587&gt;=10000101,Sync!$AE1587&lt;=99991231),INT(Sync!$AE1587/10000),""),IFERROR(VALUE(TRIM(LEFT(Sync!$AE1587,FIND("/",Sync!$AE1587)-1))),""))))</f>
        <v/>
      </c>
      <c r="H1587" t="str">
        <f>IF(OR($F1587="",$G1587=""),"",IF(ISNUMBER(Sync!$AE1587),INT(MOD(Sync!$AE1587,10000)/100),IFERROR(VALUE(TRIM(LEFT(MID(Sync!$AE1587,FIND("/",Sync!$AE1587)+1,20),FIND("/",MID(Sync!$AE1587,FIND("/",Sync!$AE1587)+1,20))-1))),"")))</f>
        <v/>
      </c>
      <c r="I1587" t="str">
        <f>IF(OR($F1587="",$G1587=""),"",IF(ISNUMBER(Sync!$AE1587),MOD(Sync!$AE1587,100),IFERROR(VALUE(TRIM(MID(MID(Sync!$AE1587,FIND("/",Sync!$AE1587)+1,20),FIND("/",MID(Sync!$AE1587,FIND("/",Sync!$AE1587)+1,20))+1,20))),"")))</f>
        <v/>
      </c>
      <c r="J1587" t="str">
        <f t="shared" si="122"/>
        <v/>
      </c>
      <c r="K1587" t="str">
        <f>IF(OR($F1587="",$J1587="",$J1587="نامعتبر"),"",LEFT($J1587,4)&amp;MID($J1587,6,2)&amp;RIGHT($J1587,2)&amp;$N1587&amp;"|"&amp;"2"&amp;RIGHT("00000"&amp;1582,5))</f>
        <v/>
      </c>
      <c r="L1587" t="str">
        <f t="shared" si="123"/>
        <v/>
      </c>
      <c r="M1587" t="str">
        <f t="shared" si="124"/>
        <v/>
      </c>
      <c r="N1587" t="str">
        <f>IF($F1587="","",IF(Sync!$AF1587="","0000",IF(AND(ISNUMBER(Sync!$AF1587),Sync!$AF1587&gt;=0,Sync!$AF1587&lt;1),RIGHT("00"&amp;HOUR(Sync!$AF1587),2)&amp;RIGHT("00"&amp;MINUTE(Sync!$AF1587),2),IFERROR(RIGHT("00"&amp;VALUE(LEFT(Sync!$AF1587,FIND(":",Sync!$AF1587)-1)),2)&amp;RIGHT("00"&amp;VALUE(MID(Sync!$AF1587,FIND(":",Sync!$AF1587)+1,2)),2),"0000"))))</f>
        <v/>
      </c>
    </row>
    <row r="1588" spans="1:14" x14ac:dyDescent="0.2">
      <c r="A1588" t="str">
        <f>IF(OR(Calc!$E1592="",Calc!$E1592="نامعتبر",Calc!$G1592=""),"",Calc!$G1592)</f>
        <v/>
      </c>
      <c r="B1588" t="str">
        <f>IF($A1588="","",LEFT(Calc!$E1592,4)&amp;MID(Calc!$E1592,6,2)&amp;RIGHT(Calc!$E1592,2)&amp;Calc!$Q1592&amp;"|"&amp;"1"&amp;RIGHT("00000"&amp;1583,5))</f>
        <v/>
      </c>
      <c r="C1588" t="str">
        <f t="shared" si="120"/>
        <v/>
      </c>
      <c r="D1588" t="str">
        <f t="shared" si="121"/>
        <v/>
      </c>
      <c r="F1588" t="str">
        <f>IF(Sync!$AH1588="","",IF(LEFT(UPPER(TRIM(Sync!$AH1588)),2)="SL",UPPER(TRIM(Sync!$AH1588)),""))</f>
        <v/>
      </c>
      <c r="G1588" t="str">
        <f>IF($F1588="","",IF(Sync!$AE1588="","",IF(ISNUMBER(Sync!$AE1588),IF(AND(Sync!$AE1588&gt;=10000101,Sync!$AE1588&lt;=99991231),INT(Sync!$AE1588/10000),""),IFERROR(VALUE(TRIM(LEFT(Sync!$AE1588,FIND("/",Sync!$AE1588)-1))),""))))</f>
        <v/>
      </c>
      <c r="H1588" t="str">
        <f>IF(OR($F1588="",$G1588=""),"",IF(ISNUMBER(Sync!$AE1588),INT(MOD(Sync!$AE1588,10000)/100),IFERROR(VALUE(TRIM(LEFT(MID(Sync!$AE1588,FIND("/",Sync!$AE1588)+1,20),FIND("/",MID(Sync!$AE1588,FIND("/",Sync!$AE1588)+1,20))-1))),"")))</f>
        <v/>
      </c>
      <c r="I1588" t="str">
        <f>IF(OR($F1588="",$G1588=""),"",IF(ISNUMBER(Sync!$AE1588),MOD(Sync!$AE1588,100),IFERROR(VALUE(TRIM(MID(MID(Sync!$AE1588,FIND("/",Sync!$AE1588)+1,20),FIND("/",MID(Sync!$AE1588,FIND("/",Sync!$AE1588)+1,20))+1,20))),"")))</f>
        <v/>
      </c>
      <c r="J1588" t="str">
        <f t="shared" si="122"/>
        <v/>
      </c>
      <c r="K1588" t="str">
        <f>IF(OR($F1588="",$J1588="",$J1588="نامعتبر"),"",LEFT($J1588,4)&amp;MID($J1588,6,2)&amp;RIGHT($J1588,2)&amp;$N1588&amp;"|"&amp;"2"&amp;RIGHT("00000"&amp;1583,5))</f>
        <v/>
      </c>
      <c r="L1588" t="str">
        <f t="shared" si="123"/>
        <v/>
      </c>
      <c r="M1588" t="str">
        <f t="shared" si="124"/>
        <v/>
      </c>
      <c r="N1588" t="str">
        <f>IF($F1588="","",IF(Sync!$AF1588="","0000",IF(AND(ISNUMBER(Sync!$AF1588),Sync!$AF1588&gt;=0,Sync!$AF1588&lt;1),RIGHT("00"&amp;HOUR(Sync!$AF1588),2)&amp;RIGHT("00"&amp;MINUTE(Sync!$AF1588),2),IFERROR(RIGHT("00"&amp;VALUE(LEFT(Sync!$AF1588,FIND(":",Sync!$AF1588)-1)),2)&amp;RIGHT("00"&amp;VALUE(MID(Sync!$AF1588,FIND(":",Sync!$AF1588)+1,2)),2),"0000"))))</f>
        <v/>
      </c>
    </row>
    <row r="1589" spans="1:14" x14ac:dyDescent="0.2">
      <c r="A1589" t="str">
        <f>IF(OR(Calc!$E1593="",Calc!$E1593="نامعتبر",Calc!$G1593=""),"",Calc!$G1593)</f>
        <v/>
      </c>
      <c r="B1589" t="str">
        <f>IF($A1589="","",LEFT(Calc!$E1593,4)&amp;MID(Calc!$E1593,6,2)&amp;RIGHT(Calc!$E1593,2)&amp;Calc!$Q1593&amp;"|"&amp;"1"&amp;RIGHT("00000"&amp;1584,5))</f>
        <v/>
      </c>
      <c r="C1589" t="str">
        <f t="shared" si="120"/>
        <v/>
      </c>
      <c r="D1589" t="str">
        <f t="shared" si="121"/>
        <v/>
      </c>
      <c r="F1589" t="str">
        <f>IF(Sync!$AH1589="","",IF(LEFT(UPPER(TRIM(Sync!$AH1589)),2)="SL",UPPER(TRIM(Sync!$AH1589)),""))</f>
        <v/>
      </c>
      <c r="G1589" t="str">
        <f>IF($F1589="","",IF(Sync!$AE1589="","",IF(ISNUMBER(Sync!$AE1589),IF(AND(Sync!$AE1589&gt;=10000101,Sync!$AE1589&lt;=99991231),INT(Sync!$AE1589/10000),""),IFERROR(VALUE(TRIM(LEFT(Sync!$AE1589,FIND("/",Sync!$AE1589)-1))),""))))</f>
        <v/>
      </c>
      <c r="H1589" t="str">
        <f>IF(OR($F1589="",$G1589=""),"",IF(ISNUMBER(Sync!$AE1589),INT(MOD(Sync!$AE1589,10000)/100),IFERROR(VALUE(TRIM(LEFT(MID(Sync!$AE1589,FIND("/",Sync!$AE1589)+1,20),FIND("/",MID(Sync!$AE1589,FIND("/",Sync!$AE1589)+1,20))-1))),"")))</f>
        <v/>
      </c>
      <c r="I1589" t="str">
        <f>IF(OR($F1589="",$G1589=""),"",IF(ISNUMBER(Sync!$AE1589),MOD(Sync!$AE1589,100),IFERROR(VALUE(TRIM(MID(MID(Sync!$AE1589,FIND("/",Sync!$AE1589)+1,20),FIND("/",MID(Sync!$AE1589,FIND("/",Sync!$AE1589)+1,20))+1,20))),"")))</f>
        <v/>
      </c>
      <c r="J1589" t="str">
        <f t="shared" si="122"/>
        <v/>
      </c>
      <c r="K1589" t="str">
        <f>IF(OR($F1589="",$J1589="",$J1589="نامعتبر"),"",LEFT($J1589,4)&amp;MID($J1589,6,2)&amp;RIGHT($J1589,2)&amp;$N1589&amp;"|"&amp;"2"&amp;RIGHT("00000"&amp;1584,5))</f>
        <v/>
      </c>
      <c r="L1589" t="str">
        <f t="shared" si="123"/>
        <v/>
      </c>
      <c r="M1589" t="str">
        <f t="shared" si="124"/>
        <v/>
      </c>
      <c r="N1589" t="str">
        <f>IF($F1589="","",IF(Sync!$AF1589="","0000",IF(AND(ISNUMBER(Sync!$AF1589),Sync!$AF1589&gt;=0,Sync!$AF1589&lt;1),RIGHT("00"&amp;HOUR(Sync!$AF1589),2)&amp;RIGHT("00"&amp;MINUTE(Sync!$AF1589),2),IFERROR(RIGHT("00"&amp;VALUE(LEFT(Sync!$AF1589,FIND(":",Sync!$AF1589)-1)),2)&amp;RIGHT("00"&amp;VALUE(MID(Sync!$AF1589,FIND(":",Sync!$AF1589)+1,2)),2),"0000"))))</f>
        <v/>
      </c>
    </row>
    <row r="1590" spans="1:14" x14ac:dyDescent="0.2">
      <c r="A1590" t="str">
        <f>IF(OR(Calc!$E1594="",Calc!$E1594="نامعتبر",Calc!$G1594=""),"",Calc!$G1594)</f>
        <v/>
      </c>
      <c r="B1590" t="str">
        <f>IF($A1590="","",LEFT(Calc!$E1594,4)&amp;MID(Calc!$E1594,6,2)&amp;RIGHT(Calc!$E1594,2)&amp;Calc!$Q1594&amp;"|"&amp;"1"&amp;RIGHT("00000"&amp;1585,5))</f>
        <v/>
      </c>
      <c r="C1590" t="str">
        <f t="shared" si="120"/>
        <v/>
      </c>
      <c r="D1590" t="str">
        <f t="shared" si="121"/>
        <v/>
      </c>
      <c r="F1590" t="str">
        <f>IF(Sync!$AH1590="","",IF(LEFT(UPPER(TRIM(Sync!$AH1590)),2)="SL",UPPER(TRIM(Sync!$AH1590)),""))</f>
        <v/>
      </c>
      <c r="G1590" t="str">
        <f>IF($F1590="","",IF(Sync!$AE1590="","",IF(ISNUMBER(Sync!$AE1590),IF(AND(Sync!$AE1590&gt;=10000101,Sync!$AE1590&lt;=99991231),INT(Sync!$AE1590/10000),""),IFERROR(VALUE(TRIM(LEFT(Sync!$AE1590,FIND("/",Sync!$AE1590)-1))),""))))</f>
        <v/>
      </c>
      <c r="H1590" t="str">
        <f>IF(OR($F1590="",$G1590=""),"",IF(ISNUMBER(Sync!$AE1590),INT(MOD(Sync!$AE1590,10000)/100),IFERROR(VALUE(TRIM(LEFT(MID(Sync!$AE1590,FIND("/",Sync!$AE1590)+1,20),FIND("/",MID(Sync!$AE1590,FIND("/",Sync!$AE1590)+1,20))-1))),"")))</f>
        <v/>
      </c>
      <c r="I1590" t="str">
        <f>IF(OR($F1590="",$G1590=""),"",IF(ISNUMBER(Sync!$AE1590),MOD(Sync!$AE1590,100),IFERROR(VALUE(TRIM(MID(MID(Sync!$AE1590,FIND("/",Sync!$AE1590)+1,20),FIND("/",MID(Sync!$AE1590,FIND("/",Sync!$AE1590)+1,20))+1,20))),"")))</f>
        <v/>
      </c>
      <c r="J1590" t="str">
        <f t="shared" si="122"/>
        <v/>
      </c>
      <c r="K1590" t="str">
        <f>IF(OR($F1590="",$J1590="",$J1590="نامعتبر"),"",LEFT($J1590,4)&amp;MID($J1590,6,2)&amp;RIGHT($J1590,2)&amp;$N1590&amp;"|"&amp;"2"&amp;RIGHT("00000"&amp;1585,5))</f>
        <v/>
      </c>
      <c r="L1590" t="str">
        <f t="shared" si="123"/>
        <v/>
      </c>
      <c r="M1590" t="str">
        <f t="shared" si="124"/>
        <v/>
      </c>
      <c r="N1590" t="str">
        <f>IF($F1590="","",IF(Sync!$AF1590="","0000",IF(AND(ISNUMBER(Sync!$AF1590),Sync!$AF1590&gt;=0,Sync!$AF1590&lt;1),RIGHT("00"&amp;HOUR(Sync!$AF1590),2)&amp;RIGHT("00"&amp;MINUTE(Sync!$AF1590),2),IFERROR(RIGHT("00"&amp;VALUE(LEFT(Sync!$AF1590,FIND(":",Sync!$AF1590)-1)),2)&amp;RIGHT("00"&amp;VALUE(MID(Sync!$AF1590,FIND(":",Sync!$AF1590)+1,2)),2),"0000"))))</f>
        <v/>
      </c>
    </row>
    <row r="1591" spans="1:14" x14ac:dyDescent="0.2">
      <c r="A1591" t="str">
        <f>IF(OR(Calc!$E1595="",Calc!$E1595="نامعتبر",Calc!$G1595=""),"",Calc!$G1595)</f>
        <v/>
      </c>
      <c r="B1591" t="str">
        <f>IF($A1591="","",LEFT(Calc!$E1595,4)&amp;MID(Calc!$E1595,6,2)&amp;RIGHT(Calc!$E1595,2)&amp;Calc!$Q1595&amp;"|"&amp;"1"&amp;RIGHT("00000"&amp;1586,5))</f>
        <v/>
      </c>
      <c r="C1591" t="str">
        <f t="shared" si="120"/>
        <v/>
      </c>
      <c r="D1591" t="str">
        <f t="shared" si="121"/>
        <v/>
      </c>
      <c r="F1591" t="str">
        <f>IF(Sync!$AH1591="","",IF(LEFT(UPPER(TRIM(Sync!$AH1591)),2)="SL",UPPER(TRIM(Sync!$AH1591)),""))</f>
        <v/>
      </c>
      <c r="G1591" t="str">
        <f>IF($F1591="","",IF(Sync!$AE1591="","",IF(ISNUMBER(Sync!$AE1591),IF(AND(Sync!$AE1591&gt;=10000101,Sync!$AE1591&lt;=99991231),INT(Sync!$AE1591/10000),""),IFERROR(VALUE(TRIM(LEFT(Sync!$AE1591,FIND("/",Sync!$AE1591)-1))),""))))</f>
        <v/>
      </c>
      <c r="H1591" t="str">
        <f>IF(OR($F1591="",$G1591=""),"",IF(ISNUMBER(Sync!$AE1591),INT(MOD(Sync!$AE1591,10000)/100),IFERROR(VALUE(TRIM(LEFT(MID(Sync!$AE1591,FIND("/",Sync!$AE1591)+1,20),FIND("/",MID(Sync!$AE1591,FIND("/",Sync!$AE1591)+1,20))-1))),"")))</f>
        <v/>
      </c>
      <c r="I1591" t="str">
        <f>IF(OR($F1591="",$G1591=""),"",IF(ISNUMBER(Sync!$AE1591),MOD(Sync!$AE1591,100),IFERROR(VALUE(TRIM(MID(MID(Sync!$AE1591,FIND("/",Sync!$AE1591)+1,20),FIND("/",MID(Sync!$AE1591,FIND("/",Sync!$AE1591)+1,20))+1,20))),"")))</f>
        <v/>
      </c>
      <c r="J1591" t="str">
        <f t="shared" si="122"/>
        <v/>
      </c>
      <c r="K1591" t="str">
        <f>IF(OR($F1591="",$J1591="",$J1591="نامعتبر"),"",LEFT($J1591,4)&amp;MID($J1591,6,2)&amp;RIGHT($J1591,2)&amp;$N1591&amp;"|"&amp;"2"&amp;RIGHT("00000"&amp;1586,5))</f>
        <v/>
      </c>
      <c r="L1591" t="str">
        <f t="shared" si="123"/>
        <v/>
      </c>
      <c r="M1591" t="str">
        <f t="shared" si="124"/>
        <v/>
      </c>
      <c r="N1591" t="str">
        <f>IF($F1591="","",IF(Sync!$AF1591="","0000",IF(AND(ISNUMBER(Sync!$AF1591),Sync!$AF1591&gt;=0,Sync!$AF1591&lt;1),RIGHT("00"&amp;HOUR(Sync!$AF1591),2)&amp;RIGHT("00"&amp;MINUTE(Sync!$AF1591),2),IFERROR(RIGHT("00"&amp;VALUE(LEFT(Sync!$AF1591,FIND(":",Sync!$AF1591)-1)),2)&amp;RIGHT("00"&amp;VALUE(MID(Sync!$AF1591,FIND(":",Sync!$AF1591)+1,2)),2),"0000"))))</f>
        <v/>
      </c>
    </row>
    <row r="1592" spans="1:14" x14ac:dyDescent="0.2">
      <c r="A1592" t="str">
        <f>IF(OR(Calc!$E1596="",Calc!$E1596="نامعتبر",Calc!$G1596=""),"",Calc!$G1596)</f>
        <v/>
      </c>
      <c r="B1592" t="str">
        <f>IF($A1592="","",LEFT(Calc!$E1596,4)&amp;MID(Calc!$E1596,6,2)&amp;RIGHT(Calc!$E1596,2)&amp;Calc!$Q1596&amp;"|"&amp;"1"&amp;RIGHT("00000"&amp;1587,5))</f>
        <v/>
      </c>
      <c r="C1592" t="str">
        <f t="shared" si="120"/>
        <v/>
      </c>
      <c r="D1592" t="str">
        <f t="shared" si="121"/>
        <v/>
      </c>
      <c r="F1592" t="str">
        <f>IF(Sync!$AH1592="","",IF(LEFT(UPPER(TRIM(Sync!$AH1592)),2)="SL",UPPER(TRIM(Sync!$AH1592)),""))</f>
        <v/>
      </c>
      <c r="G1592" t="str">
        <f>IF($F1592="","",IF(Sync!$AE1592="","",IF(ISNUMBER(Sync!$AE1592),IF(AND(Sync!$AE1592&gt;=10000101,Sync!$AE1592&lt;=99991231),INT(Sync!$AE1592/10000),""),IFERROR(VALUE(TRIM(LEFT(Sync!$AE1592,FIND("/",Sync!$AE1592)-1))),""))))</f>
        <v/>
      </c>
      <c r="H1592" t="str">
        <f>IF(OR($F1592="",$G1592=""),"",IF(ISNUMBER(Sync!$AE1592),INT(MOD(Sync!$AE1592,10000)/100),IFERROR(VALUE(TRIM(LEFT(MID(Sync!$AE1592,FIND("/",Sync!$AE1592)+1,20),FIND("/",MID(Sync!$AE1592,FIND("/",Sync!$AE1592)+1,20))-1))),"")))</f>
        <v/>
      </c>
      <c r="I1592" t="str">
        <f>IF(OR($F1592="",$G1592=""),"",IF(ISNUMBER(Sync!$AE1592),MOD(Sync!$AE1592,100),IFERROR(VALUE(TRIM(MID(MID(Sync!$AE1592,FIND("/",Sync!$AE1592)+1,20),FIND("/",MID(Sync!$AE1592,FIND("/",Sync!$AE1592)+1,20))+1,20))),"")))</f>
        <v/>
      </c>
      <c r="J1592" t="str">
        <f t="shared" si="122"/>
        <v/>
      </c>
      <c r="K1592" t="str">
        <f>IF(OR($F1592="",$J1592="",$J1592="نامعتبر"),"",LEFT($J1592,4)&amp;MID($J1592,6,2)&amp;RIGHT($J1592,2)&amp;$N1592&amp;"|"&amp;"2"&amp;RIGHT("00000"&amp;1587,5))</f>
        <v/>
      </c>
      <c r="L1592" t="str">
        <f t="shared" si="123"/>
        <v/>
      </c>
      <c r="M1592" t="str">
        <f t="shared" si="124"/>
        <v/>
      </c>
      <c r="N1592" t="str">
        <f>IF($F1592="","",IF(Sync!$AF1592="","0000",IF(AND(ISNUMBER(Sync!$AF1592),Sync!$AF1592&gt;=0,Sync!$AF1592&lt;1),RIGHT("00"&amp;HOUR(Sync!$AF1592),2)&amp;RIGHT("00"&amp;MINUTE(Sync!$AF1592),2),IFERROR(RIGHT("00"&amp;VALUE(LEFT(Sync!$AF1592,FIND(":",Sync!$AF1592)-1)),2)&amp;RIGHT("00"&amp;VALUE(MID(Sync!$AF1592,FIND(":",Sync!$AF1592)+1,2)),2),"0000"))))</f>
        <v/>
      </c>
    </row>
    <row r="1593" spans="1:14" x14ac:dyDescent="0.2">
      <c r="A1593" t="str">
        <f>IF(OR(Calc!$E1597="",Calc!$E1597="نامعتبر",Calc!$G1597=""),"",Calc!$G1597)</f>
        <v/>
      </c>
      <c r="B1593" t="str">
        <f>IF($A1593="","",LEFT(Calc!$E1597,4)&amp;MID(Calc!$E1597,6,2)&amp;RIGHT(Calc!$E1597,2)&amp;Calc!$Q1597&amp;"|"&amp;"1"&amp;RIGHT("00000"&amp;1588,5))</f>
        <v/>
      </c>
      <c r="C1593" t="str">
        <f t="shared" si="120"/>
        <v/>
      </c>
      <c r="D1593" t="str">
        <f t="shared" si="121"/>
        <v/>
      </c>
      <c r="F1593" t="str">
        <f>IF(Sync!$AH1593="","",IF(LEFT(UPPER(TRIM(Sync!$AH1593)),2)="SL",UPPER(TRIM(Sync!$AH1593)),""))</f>
        <v/>
      </c>
      <c r="G1593" t="str">
        <f>IF($F1593="","",IF(Sync!$AE1593="","",IF(ISNUMBER(Sync!$AE1593),IF(AND(Sync!$AE1593&gt;=10000101,Sync!$AE1593&lt;=99991231),INT(Sync!$AE1593/10000),""),IFERROR(VALUE(TRIM(LEFT(Sync!$AE1593,FIND("/",Sync!$AE1593)-1))),""))))</f>
        <v/>
      </c>
      <c r="H1593" t="str">
        <f>IF(OR($F1593="",$G1593=""),"",IF(ISNUMBER(Sync!$AE1593),INT(MOD(Sync!$AE1593,10000)/100),IFERROR(VALUE(TRIM(LEFT(MID(Sync!$AE1593,FIND("/",Sync!$AE1593)+1,20),FIND("/",MID(Sync!$AE1593,FIND("/",Sync!$AE1593)+1,20))-1))),"")))</f>
        <v/>
      </c>
      <c r="I1593" t="str">
        <f>IF(OR($F1593="",$G1593=""),"",IF(ISNUMBER(Sync!$AE1593),MOD(Sync!$AE1593,100),IFERROR(VALUE(TRIM(MID(MID(Sync!$AE1593,FIND("/",Sync!$AE1593)+1,20),FIND("/",MID(Sync!$AE1593,FIND("/",Sync!$AE1593)+1,20))+1,20))),"")))</f>
        <v/>
      </c>
      <c r="J1593" t="str">
        <f t="shared" si="122"/>
        <v/>
      </c>
      <c r="K1593" t="str">
        <f>IF(OR($F1593="",$J1593="",$J1593="نامعتبر"),"",LEFT($J1593,4)&amp;MID($J1593,6,2)&amp;RIGHT($J1593,2)&amp;$N1593&amp;"|"&amp;"2"&amp;RIGHT("00000"&amp;1588,5))</f>
        <v/>
      </c>
      <c r="L1593" t="str">
        <f t="shared" si="123"/>
        <v/>
      </c>
      <c r="M1593" t="str">
        <f t="shared" si="124"/>
        <v/>
      </c>
      <c r="N1593" t="str">
        <f>IF($F1593="","",IF(Sync!$AF1593="","0000",IF(AND(ISNUMBER(Sync!$AF1593),Sync!$AF1593&gt;=0,Sync!$AF1593&lt;1),RIGHT("00"&amp;HOUR(Sync!$AF1593),2)&amp;RIGHT("00"&amp;MINUTE(Sync!$AF1593),2),IFERROR(RIGHT("00"&amp;VALUE(LEFT(Sync!$AF1593,FIND(":",Sync!$AF1593)-1)),2)&amp;RIGHT("00"&amp;VALUE(MID(Sync!$AF1593,FIND(":",Sync!$AF1593)+1,2)),2),"0000"))))</f>
        <v/>
      </c>
    </row>
    <row r="1594" spans="1:14" x14ac:dyDescent="0.2">
      <c r="A1594" t="str">
        <f>IF(OR(Calc!$E1598="",Calc!$E1598="نامعتبر",Calc!$G1598=""),"",Calc!$G1598)</f>
        <v/>
      </c>
      <c r="B1594" t="str">
        <f>IF($A1594="","",LEFT(Calc!$E1598,4)&amp;MID(Calc!$E1598,6,2)&amp;RIGHT(Calc!$E1598,2)&amp;Calc!$Q1598&amp;"|"&amp;"1"&amp;RIGHT("00000"&amp;1589,5))</f>
        <v/>
      </c>
      <c r="C1594" t="str">
        <f t="shared" si="120"/>
        <v/>
      </c>
      <c r="D1594" t="str">
        <f t="shared" si="121"/>
        <v/>
      </c>
      <c r="F1594" t="str">
        <f>IF(Sync!$AH1594="","",IF(LEFT(UPPER(TRIM(Sync!$AH1594)),2)="SL",UPPER(TRIM(Sync!$AH1594)),""))</f>
        <v/>
      </c>
      <c r="G1594" t="str">
        <f>IF($F1594="","",IF(Sync!$AE1594="","",IF(ISNUMBER(Sync!$AE1594),IF(AND(Sync!$AE1594&gt;=10000101,Sync!$AE1594&lt;=99991231),INT(Sync!$AE1594/10000),""),IFERROR(VALUE(TRIM(LEFT(Sync!$AE1594,FIND("/",Sync!$AE1594)-1))),""))))</f>
        <v/>
      </c>
      <c r="H1594" t="str">
        <f>IF(OR($F1594="",$G1594=""),"",IF(ISNUMBER(Sync!$AE1594),INT(MOD(Sync!$AE1594,10000)/100),IFERROR(VALUE(TRIM(LEFT(MID(Sync!$AE1594,FIND("/",Sync!$AE1594)+1,20),FIND("/",MID(Sync!$AE1594,FIND("/",Sync!$AE1594)+1,20))-1))),"")))</f>
        <v/>
      </c>
      <c r="I1594" t="str">
        <f>IF(OR($F1594="",$G1594=""),"",IF(ISNUMBER(Sync!$AE1594),MOD(Sync!$AE1594,100),IFERROR(VALUE(TRIM(MID(MID(Sync!$AE1594,FIND("/",Sync!$AE1594)+1,20),FIND("/",MID(Sync!$AE1594,FIND("/",Sync!$AE1594)+1,20))+1,20))),"")))</f>
        <v/>
      </c>
      <c r="J1594" t="str">
        <f t="shared" si="122"/>
        <v/>
      </c>
      <c r="K1594" t="str">
        <f>IF(OR($F1594="",$J1594="",$J1594="نامعتبر"),"",LEFT($J1594,4)&amp;MID($J1594,6,2)&amp;RIGHT($J1594,2)&amp;$N1594&amp;"|"&amp;"2"&amp;RIGHT("00000"&amp;1589,5))</f>
        <v/>
      </c>
      <c r="L1594" t="str">
        <f t="shared" si="123"/>
        <v/>
      </c>
      <c r="M1594" t="str">
        <f t="shared" si="124"/>
        <v/>
      </c>
      <c r="N1594" t="str">
        <f>IF($F1594="","",IF(Sync!$AF1594="","0000",IF(AND(ISNUMBER(Sync!$AF1594),Sync!$AF1594&gt;=0,Sync!$AF1594&lt;1),RIGHT("00"&amp;HOUR(Sync!$AF1594),2)&amp;RIGHT("00"&amp;MINUTE(Sync!$AF1594),2),IFERROR(RIGHT("00"&amp;VALUE(LEFT(Sync!$AF1594,FIND(":",Sync!$AF1594)-1)),2)&amp;RIGHT("00"&amp;VALUE(MID(Sync!$AF1594,FIND(":",Sync!$AF1594)+1,2)),2),"0000"))))</f>
        <v/>
      </c>
    </row>
    <row r="1595" spans="1:14" x14ac:dyDescent="0.2">
      <c r="A1595" t="str">
        <f>IF(OR(Calc!$E1599="",Calc!$E1599="نامعتبر",Calc!$G1599=""),"",Calc!$G1599)</f>
        <v/>
      </c>
      <c r="B1595" t="str">
        <f>IF($A1595="","",LEFT(Calc!$E1599,4)&amp;MID(Calc!$E1599,6,2)&amp;RIGHT(Calc!$E1599,2)&amp;Calc!$Q1599&amp;"|"&amp;"1"&amp;RIGHT("00000"&amp;1590,5))</f>
        <v/>
      </c>
      <c r="C1595" t="str">
        <f t="shared" si="120"/>
        <v/>
      </c>
      <c r="D1595" t="str">
        <f t="shared" si="121"/>
        <v/>
      </c>
      <c r="F1595" t="str">
        <f>IF(Sync!$AH1595="","",IF(LEFT(UPPER(TRIM(Sync!$AH1595)),2)="SL",UPPER(TRIM(Sync!$AH1595)),""))</f>
        <v/>
      </c>
      <c r="G1595" t="str">
        <f>IF($F1595="","",IF(Sync!$AE1595="","",IF(ISNUMBER(Sync!$AE1595),IF(AND(Sync!$AE1595&gt;=10000101,Sync!$AE1595&lt;=99991231),INT(Sync!$AE1595/10000),""),IFERROR(VALUE(TRIM(LEFT(Sync!$AE1595,FIND("/",Sync!$AE1595)-1))),""))))</f>
        <v/>
      </c>
      <c r="H1595" t="str">
        <f>IF(OR($F1595="",$G1595=""),"",IF(ISNUMBER(Sync!$AE1595),INT(MOD(Sync!$AE1595,10000)/100),IFERROR(VALUE(TRIM(LEFT(MID(Sync!$AE1595,FIND("/",Sync!$AE1595)+1,20),FIND("/",MID(Sync!$AE1595,FIND("/",Sync!$AE1595)+1,20))-1))),"")))</f>
        <v/>
      </c>
      <c r="I1595" t="str">
        <f>IF(OR($F1595="",$G1595=""),"",IF(ISNUMBER(Sync!$AE1595),MOD(Sync!$AE1595,100),IFERROR(VALUE(TRIM(MID(MID(Sync!$AE1595,FIND("/",Sync!$AE1595)+1,20),FIND("/",MID(Sync!$AE1595,FIND("/",Sync!$AE1595)+1,20))+1,20))),"")))</f>
        <v/>
      </c>
      <c r="J1595" t="str">
        <f t="shared" si="122"/>
        <v/>
      </c>
      <c r="K1595" t="str">
        <f>IF(OR($F1595="",$J1595="",$J1595="نامعتبر"),"",LEFT($J1595,4)&amp;MID($J1595,6,2)&amp;RIGHT($J1595,2)&amp;$N1595&amp;"|"&amp;"2"&amp;RIGHT("00000"&amp;1590,5))</f>
        <v/>
      </c>
      <c r="L1595" t="str">
        <f t="shared" si="123"/>
        <v/>
      </c>
      <c r="M1595" t="str">
        <f t="shared" si="124"/>
        <v/>
      </c>
      <c r="N1595" t="str">
        <f>IF($F1595="","",IF(Sync!$AF1595="","0000",IF(AND(ISNUMBER(Sync!$AF1595),Sync!$AF1595&gt;=0,Sync!$AF1595&lt;1),RIGHT("00"&amp;HOUR(Sync!$AF1595),2)&amp;RIGHT("00"&amp;MINUTE(Sync!$AF1595),2),IFERROR(RIGHT("00"&amp;VALUE(LEFT(Sync!$AF1595,FIND(":",Sync!$AF1595)-1)),2)&amp;RIGHT("00"&amp;VALUE(MID(Sync!$AF1595,FIND(":",Sync!$AF1595)+1,2)),2),"0000"))))</f>
        <v/>
      </c>
    </row>
    <row r="1596" spans="1:14" x14ac:dyDescent="0.2">
      <c r="A1596" t="str">
        <f>IF(OR(Calc!$E1600="",Calc!$E1600="نامعتبر",Calc!$G1600=""),"",Calc!$G1600)</f>
        <v/>
      </c>
      <c r="B1596" t="str">
        <f>IF($A1596="","",LEFT(Calc!$E1600,4)&amp;MID(Calc!$E1600,6,2)&amp;RIGHT(Calc!$E1600,2)&amp;Calc!$Q1600&amp;"|"&amp;"1"&amp;RIGHT("00000"&amp;1591,5))</f>
        <v/>
      </c>
      <c r="C1596" t="str">
        <f t="shared" si="120"/>
        <v/>
      </c>
      <c r="D1596" t="str">
        <f t="shared" si="121"/>
        <v/>
      </c>
      <c r="F1596" t="str">
        <f>IF(Sync!$AH1596="","",IF(LEFT(UPPER(TRIM(Sync!$AH1596)),2)="SL",UPPER(TRIM(Sync!$AH1596)),""))</f>
        <v/>
      </c>
      <c r="G1596" t="str">
        <f>IF($F1596="","",IF(Sync!$AE1596="","",IF(ISNUMBER(Sync!$AE1596),IF(AND(Sync!$AE1596&gt;=10000101,Sync!$AE1596&lt;=99991231),INT(Sync!$AE1596/10000),""),IFERROR(VALUE(TRIM(LEFT(Sync!$AE1596,FIND("/",Sync!$AE1596)-1))),""))))</f>
        <v/>
      </c>
      <c r="H1596" t="str">
        <f>IF(OR($F1596="",$G1596=""),"",IF(ISNUMBER(Sync!$AE1596),INT(MOD(Sync!$AE1596,10000)/100),IFERROR(VALUE(TRIM(LEFT(MID(Sync!$AE1596,FIND("/",Sync!$AE1596)+1,20),FIND("/",MID(Sync!$AE1596,FIND("/",Sync!$AE1596)+1,20))-1))),"")))</f>
        <v/>
      </c>
      <c r="I1596" t="str">
        <f>IF(OR($F1596="",$G1596=""),"",IF(ISNUMBER(Sync!$AE1596),MOD(Sync!$AE1596,100),IFERROR(VALUE(TRIM(MID(MID(Sync!$AE1596,FIND("/",Sync!$AE1596)+1,20),FIND("/",MID(Sync!$AE1596,FIND("/",Sync!$AE1596)+1,20))+1,20))),"")))</f>
        <v/>
      </c>
      <c r="J1596" t="str">
        <f t="shared" si="122"/>
        <v/>
      </c>
      <c r="K1596" t="str">
        <f>IF(OR($F1596="",$J1596="",$J1596="نامعتبر"),"",LEFT($J1596,4)&amp;MID($J1596,6,2)&amp;RIGHT($J1596,2)&amp;$N1596&amp;"|"&amp;"2"&amp;RIGHT("00000"&amp;1591,5))</f>
        <v/>
      </c>
      <c r="L1596" t="str">
        <f t="shared" si="123"/>
        <v/>
      </c>
      <c r="M1596" t="str">
        <f t="shared" si="124"/>
        <v/>
      </c>
      <c r="N1596" t="str">
        <f>IF($F1596="","",IF(Sync!$AF1596="","0000",IF(AND(ISNUMBER(Sync!$AF1596),Sync!$AF1596&gt;=0,Sync!$AF1596&lt;1),RIGHT("00"&amp;HOUR(Sync!$AF1596),2)&amp;RIGHT("00"&amp;MINUTE(Sync!$AF1596),2),IFERROR(RIGHT("00"&amp;VALUE(LEFT(Sync!$AF1596,FIND(":",Sync!$AF1596)-1)),2)&amp;RIGHT("00"&amp;VALUE(MID(Sync!$AF1596,FIND(":",Sync!$AF1596)+1,2)),2),"0000"))))</f>
        <v/>
      </c>
    </row>
    <row r="1597" spans="1:14" x14ac:dyDescent="0.2">
      <c r="A1597" t="str">
        <f>IF(OR(Calc!$E1601="",Calc!$E1601="نامعتبر",Calc!$G1601=""),"",Calc!$G1601)</f>
        <v/>
      </c>
      <c r="B1597" t="str">
        <f>IF($A1597="","",LEFT(Calc!$E1601,4)&amp;MID(Calc!$E1601,6,2)&amp;RIGHT(Calc!$E1601,2)&amp;Calc!$Q1601&amp;"|"&amp;"1"&amp;RIGHT("00000"&amp;1592,5))</f>
        <v/>
      </c>
      <c r="C1597" t="str">
        <f t="shared" si="120"/>
        <v/>
      </c>
      <c r="D1597" t="str">
        <f t="shared" si="121"/>
        <v/>
      </c>
      <c r="F1597" t="str">
        <f>IF(Sync!$AH1597="","",IF(LEFT(UPPER(TRIM(Sync!$AH1597)),2)="SL",UPPER(TRIM(Sync!$AH1597)),""))</f>
        <v/>
      </c>
      <c r="G1597" t="str">
        <f>IF($F1597="","",IF(Sync!$AE1597="","",IF(ISNUMBER(Sync!$AE1597),IF(AND(Sync!$AE1597&gt;=10000101,Sync!$AE1597&lt;=99991231),INT(Sync!$AE1597/10000),""),IFERROR(VALUE(TRIM(LEFT(Sync!$AE1597,FIND("/",Sync!$AE1597)-1))),""))))</f>
        <v/>
      </c>
      <c r="H1597" t="str">
        <f>IF(OR($F1597="",$G1597=""),"",IF(ISNUMBER(Sync!$AE1597),INT(MOD(Sync!$AE1597,10000)/100),IFERROR(VALUE(TRIM(LEFT(MID(Sync!$AE1597,FIND("/",Sync!$AE1597)+1,20),FIND("/",MID(Sync!$AE1597,FIND("/",Sync!$AE1597)+1,20))-1))),"")))</f>
        <v/>
      </c>
      <c r="I1597" t="str">
        <f>IF(OR($F1597="",$G1597=""),"",IF(ISNUMBER(Sync!$AE1597),MOD(Sync!$AE1597,100),IFERROR(VALUE(TRIM(MID(MID(Sync!$AE1597,FIND("/",Sync!$AE1597)+1,20),FIND("/",MID(Sync!$AE1597,FIND("/",Sync!$AE1597)+1,20))+1,20))),"")))</f>
        <v/>
      </c>
      <c r="J1597" t="str">
        <f t="shared" si="122"/>
        <v/>
      </c>
      <c r="K1597" t="str">
        <f>IF(OR($F1597="",$J1597="",$J1597="نامعتبر"),"",LEFT($J1597,4)&amp;MID($J1597,6,2)&amp;RIGHT($J1597,2)&amp;$N1597&amp;"|"&amp;"2"&amp;RIGHT("00000"&amp;1592,5))</f>
        <v/>
      </c>
      <c r="L1597" t="str">
        <f t="shared" si="123"/>
        <v/>
      </c>
      <c r="M1597" t="str">
        <f t="shared" si="124"/>
        <v/>
      </c>
      <c r="N1597" t="str">
        <f>IF($F1597="","",IF(Sync!$AF1597="","0000",IF(AND(ISNUMBER(Sync!$AF1597),Sync!$AF1597&gt;=0,Sync!$AF1597&lt;1),RIGHT("00"&amp;HOUR(Sync!$AF1597),2)&amp;RIGHT("00"&amp;MINUTE(Sync!$AF1597),2),IFERROR(RIGHT("00"&amp;VALUE(LEFT(Sync!$AF1597,FIND(":",Sync!$AF1597)-1)),2)&amp;RIGHT("00"&amp;VALUE(MID(Sync!$AF1597,FIND(":",Sync!$AF1597)+1,2)),2),"0000"))))</f>
        <v/>
      </c>
    </row>
    <row r="1598" spans="1:14" x14ac:dyDescent="0.2">
      <c r="A1598" t="str">
        <f>IF(OR(Calc!$E1602="",Calc!$E1602="نامعتبر",Calc!$G1602=""),"",Calc!$G1602)</f>
        <v/>
      </c>
      <c r="B1598" t="str">
        <f>IF($A1598="","",LEFT(Calc!$E1602,4)&amp;MID(Calc!$E1602,6,2)&amp;RIGHT(Calc!$E1602,2)&amp;Calc!$Q1602&amp;"|"&amp;"1"&amp;RIGHT("00000"&amp;1593,5))</f>
        <v/>
      </c>
      <c r="C1598" t="str">
        <f t="shared" si="120"/>
        <v/>
      </c>
      <c r="D1598" t="str">
        <f t="shared" si="121"/>
        <v/>
      </c>
      <c r="F1598" t="str">
        <f>IF(Sync!$AH1598="","",IF(LEFT(UPPER(TRIM(Sync!$AH1598)),2)="SL",UPPER(TRIM(Sync!$AH1598)),""))</f>
        <v/>
      </c>
      <c r="G1598" t="str">
        <f>IF($F1598="","",IF(Sync!$AE1598="","",IF(ISNUMBER(Sync!$AE1598),IF(AND(Sync!$AE1598&gt;=10000101,Sync!$AE1598&lt;=99991231),INT(Sync!$AE1598/10000),""),IFERROR(VALUE(TRIM(LEFT(Sync!$AE1598,FIND("/",Sync!$AE1598)-1))),""))))</f>
        <v/>
      </c>
      <c r="H1598" t="str">
        <f>IF(OR($F1598="",$G1598=""),"",IF(ISNUMBER(Sync!$AE1598),INT(MOD(Sync!$AE1598,10000)/100),IFERROR(VALUE(TRIM(LEFT(MID(Sync!$AE1598,FIND("/",Sync!$AE1598)+1,20),FIND("/",MID(Sync!$AE1598,FIND("/",Sync!$AE1598)+1,20))-1))),"")))</f>
        <v/>
      </c>
      <c r="I1598" t="str">
        <f>IF(OR($F1598="",$G1598=""),"",IF(ISNUMBER(Sync!$AE1598),MOD(Sync!$AE1598,100),IFERROR(VALUE(TRIM(MID(MID(Sync!$AE1598,FIND("/",Sync!$AE1598)+1,20),FIND("/",MID(Sync!$AE1598,FIND("/",Sync!$AE1598)+1,20))+1,20))),"")))</f>
        <v/>
      </c>
      <c r="J1598" t="str">
        <f t="shared" si="122"/>
        <v/>
      </c>
      <c r="K1598" t="str">
        <f>IF(OR($F1598="",$J1598="",$J1598="نامعتبر"),"",LEFT($J1598,4)&amp;MID($J1598,6,2)&amp;RIGHT($J1598,2)&amp;$N1598&amp;"|"&amp;"2"&amp;RIGHT("00000"&amp;1593,5))</f>
        <v/>
      </c>
      <c r="L1598" t="str">
        <f t="shared" si="123"/>
        <v/>
      </c>
      <c r="M1598" t="str">
        <f t="shared" si="124"/>
        <v/>
      </c>
      <c r="N1598" t="str">
        <f>IF($F1598="","",IF(Sync!$AF1598="","0000",IF(AND(ISNUMBER(Sync!$AF1598),Sync!$AF1598&gt;=0,Sync!$AF1598&lt;1),RIGHT("00"&amp;HOUR(Sync!$AF1598),2)&amp;RIGHT("00"&amp;MINUTE(Sync!$AF1598),2),IFERROR(RIGHT("00"&amp;VALUE(LEFT(Sync!$AF1598,FIND(":",Sync!$AF1598)-1)),2)&amp;RIGHT("00"&amp;VALUE(MID(Sync!$AF1598,FIND(":",Sync!$AF1598)+1,2)),2),"0000"))))</f>
        <v/>
      </c>
    </row>
    <row r="1599" spans="1:14" x14ac:dyDescent="0.2">
      <c r="A1599" t="str">
        <f>IF(OR(Calc!$E1603="",Calc!$E1603="نامعتبر",Calc!$G1603=""),"",Calc!$G1603)</f>
        <v/>
      </c>
      <c r="B1599" t="str">
        <f>IF($A1599="","",LEFT(Calc!$E1603,4)&amp;MID(Calc!$E1603,6,2)&amp;RIGHT(Calc!$E1603,2)&amp;Calc!$Q1603&amp;"|"&amp;"1"&amp;RIGHT("00000"&amp;1594,5))</f>
        <v/>
      </c>
      <c r="C1599" t="str">
        <f t="shared" si="120"/>
        <v/>
      </c>
      <c r="D1599" t="str">
        <f t="shared" si="121"/>
        <v/>
      </c>
      <c r="F1599" t="str">
        <f>IF(Sync!$AH1599="","",IF(LEFT(UPPER(TRIM(Sync!$AH1599)),2)="SL",UPPER(TRIM(Sync!$AH1599)),""))</f>
        <v/>
      </c>
      <c r="G1599" t="str">
        <f>IF($F1599="","",IF(Sync!$AE1599="","",IF(ISNUMBER(Sync!$AE1599),IF(AND(Sync!$AE1599&gt;=10000101,Sync!$AE1599&lt;=99991231),INT(Sync!$AE1599/10000),""),IFERROR(VALUE(TRIM(LEFT(Sync!$AE1599,FIND("/",Sync!$AE1599)-1))),""))))</f>
        <v/>
      </c>
      <c r="H1599" t="str">
        <f>IF(OR($F1599="",$G1599=""),"",IF(ISNUMBER(Sync!$AE1599),INT(MOD(Sync!$AE1599,10000)/100),IFERROR(VALUE(TRIM(LEFT(MID(Sync!$AE1599,FIND("/",Sync!$AE1599)+1,20),FIND("/",MID(Sync!$AE1599,FIND("/",Sync!$AE1599)+1,20))-1))),"")))</f>
        <v/>
      </c>
      <c r="I1599" t="str">
        <f>IF(OR($F1599="",$G1599=""),"",IF(ISNUMBER(Sync!$AE1599),MOD(Sync!$AE1599,100),IFERROR(VALUE(TRIM(MID(MID(Sync!$AE1599,FIND("/",Sync!$AE1599)+1,20),FIND("/",MID(Sync!$AE1599,FIND("/",Sync!$AE1599)+1,20))+1,20))),"")))</f>
        <v/>
      </c>
      <c r="J1599" t="str">
        <f t="shared" si="122"/>
        <v/>
      </c>
      <c r="K1599" t="str">
        <f>IF(OR($F1599="",$J1599="",$J1599="نامعتبر"),"",LEFT($J1599,4)&amp;MID($J1599,6,2)&amp;RIGHT($J1599,2)&amp;$N1599&amp;"|"&amp;"2"&amp;RIGHT("00000"&amp;1594,5))</f>
        <v/>
      </c>
      <c r="L1599" t="str">
        <f t="shared" si="123"/>
        <v/>
      </c>
      <c r="M1599" t="str">
        <f t="shared" si="124"/>
        <v/>
      </c>
      <c r="N1599" t="str">
        <f>IF($F1599="","",IF(Sync!$AF1599="","0000",IF(AND(ISNUMBER(Sync!$AF1599),Sync!$AF1599&gt;=0,Sync!$AF1599&lt;1),RIGHT("00"&amp;HOUR(Sync!$AF1599),2)&amp;RIGHT("00"&amp;MINUTE(Sync!$AF1599),2),IFERROR(RIGHT("00"&amp;VALUE(LEFT(Sync!$AF1599,FIND(":",Sync!$AF1599)-1)),2)&amp;RIGHT("00"&amp;VALUE(MID(Sync!$AF1599,FIND(":",Sync!$AF1599)+1,2)),2),"0000"))))</f>
        <v/>
      </c>
    </row>
    <row r="1600" spans="1:14" x14ac:dyDescent="0.2">
      <c r="A1600" t="str">
        <f>IF(OR(Calc!$E1604="",Calc!$E1604="نامعتبر",Calc!$G1604=""),"",Calc!$G1604)</f>
        <v/>
      </c>
      <c r="B1600" t="str">
        <f>IF($A1600="","",LEFT(Calc!$E1604,4)&amp;MID(Calc!$E1604,6,2)&amp;RIGHT(Calc!$E1604,2)&amp;Calc!$Q1604&amp;"|"&amp;"1"&amp;RIGHT("00000"&amp;1595,5))</f>
        <v/>
      </c>
      <c r="C1600" t="str">
        <f t="shared" si="120"/>
        <v/>
      </c>
      <c r="D1600" t="str">
        <f t="shared" si="121"/>
        <v/>
      </c>
      <c r="F1600" t="str">
        <f>IF(Sync!$AH1600="","",IF(LEFT(UPPER(TRIM(Sync!$AH1600)),2)="SL",UPPER(TRIM(Sync!$AH1600)),""))</f>
        <v/>
      </c>
      <c r="G1600" t="str">
        <f>IF($F1600="","",IF(Sync!$AE1600="","",IF(ISNUMBER(Sync!$AE1600),IF(AND(Sync!$AE1600&gt;=10000101,Sync!$AE1600&lt;=99991231),INT(Sync!$AE1600/10000),""),IFERROR(VALUE(TRIM(LEFT(Sync!$AE1600,FIND("/",Sync!$AE1600)-1))),""))))</f>
        <v/>
      </c>
      <c r="H1600" t="str">
        <f>IF(OR($F1600="",$G1600=""),"",IF(ISNUMBER(Sync!$AE1600),INT(MOD(Sync!$AE1600,10000)/100),IFERROR(VALUE(TRIM(LEFT(MID(Sync!$AE1600,FIND("/",Sync!$AE1600)+1,20),FIND("/",MID(Sync!$AE1600,FIND("/",Sync!$AE1600)+1,20))-1))),"")))</f>
        <v/>
      </c>
      <c r="I1600" t="str">
        <f>IF(OR($F1600="",$G1600=""),"",IF(ISNUMBER(Sync!$AE1600),MOD(Sync!$AE1600,100),IFERROR(VALUE(TRIM(MID(MID(Sync!$AE1600,FIND("/",Sync!$AE1600)+1,20),FIND("/",MID(Sync!$AE1600,FIND("/",Sync!$AE1600)+1,20))+1,20))),"")))</f>
        <v/>
      </c>
      <c r="J1600" t="str">
        <f t="shared" si="122"/>
        <v/>
      </c>
      <c r="K1600" t="str">
        <f>IF(OR($F1600="",$J1600="",$J1600="نامعتبر"),"",LEFT($J1600,4)&amp;MID($J1600,6,2)&amp;RIGHT($J1600,2)&amp;$N1600&amp;"|"&amp;"2"&amp;RIGHT("00000"&amp;1595,5))</f>
        <v/>
      </c>
      <c r="L1600" t="str">
        <f t="shared" si="123"/>
        <v/>
      </c>
      <c r="M1600" t="str">
        <f t="shared" si="124"/>
        <v/>
      </c>
      <c r="N1600" t="str">
        <f>IF($F1600="","",IF(Sync!$AF1600="","0000",IF(AND(ISNUMBER(Sync!$AF1600),Sync!$AF1600&gt;=0,Sync!$AF1600&lt;1),RIGHT("00"&amp;HOUR(Sync!$AF1600),2)&amp;RIGHT("00"&amp;MINUTE(Sync!$AF1600),2),IFERROR(RIGHT("00"&amp;VALUE(LEFT(Sync!$AF1600,FIND(":",Sync!$AF1600)-1)),2)&amp;RIGHT("00"&amp;VALUE(MID(Sync!$AF1600,FIND(":",Sync!$AF1600)+1,2)),2),"0000"))))</f>
        <v/>
      </c>
    </row>
    <row r="1601" spans="1:14" x14ac:dyDescent="0.2">
      <c r="A1601" t="str">
        <f>IF(OR(Calc!$E1605="",Calc!$E1605="نامعتبر",Calc!$G1605=""),"",Calc!$G1605)</f>
        <v/>
      </c>
      <c r="B1601" t="str">
        <f>IF($A1601="","",LEFT(Calc!$E1605,4)&amp;MID(Calc!$E1605,6,2)&amp;RIGHT(Calc!$E1605,2)&amp;Calc!$Q1605&amp;"|"&amp;"1"&amp;RIGHT("00000"&amp;1596,5))</f>
        <v/>
      </c>
      <c r="C1601" t="str">
        <f t="shared" si="120"/>
        <v/>
      </c>
      <c r="D1601" t="str">
        <f t="shared" si="121"/>
        <v/>
      </c>
      <c r="F1601" t="str">
        <f>IF(Sync!$AH1601="","",IF(LEFT(UPPER(TRIM(Sync!$AH1601)),2)="SL",UPPER(TRIM(Sync!$AH1601)),""))</f>
        <v/>
      </c>
      <c r="G1601" t="str">
        <f>IF($F1601="","",IF(Sync!$AE1601="","",IF(ISNUMBER(Sync!$AE1601),IF(AND(Sync!$AE1601&gt;=10000101,Sync!$AE1601&lt;=99991231),INT(Sync!$AE1601/10000),""),IFERROR(VALUE(TRIM(LEFT(Sync!$AE1601,FIND("/",Sync!$AE1601)-1))),""))))</f>
        <v/>
      </c>
      <c r="H1601" t="str">
        <f>IF(OR($F1601="",$G1601=""),"",IF(ISNUMBER(Sync!$AE1601),INT(MOD(Sync!$AE1601,10000)/100),IFERROR(VALUE(TRIM(LEFT(MID(Sync!$AE1601,FIND("/",Sync!$AE1601)+1,20),FIND("/",MID(Sync!$AE1601,FIND("/",Sync!$AE1601)+1,20))-1))),"")))</f>
        <v/>
      </c>
      <c r="I1601" t="str">
        <f>IF(OR($F1601="",$G1601=""),"",IF(ISNUMBER(Sync!$AE1601),MOD(Sync!$AE1601,100),IFERROR(VALUE(TRIM(MID(MID(Sync!$AE1601,FIND("/",Sync!$AE1601)+1,20),FIND("/",MID(Sync!$AE1601,FIND("/",Sync!$AE1601)+1,20))+1,20))),"")))</f>
        <v/>
      </c>
      <c r="J1601" t="str">
        <f t="shared" si="122"/>
        <v/>
      </c>
      <c r="K1601" t="str">
        <f>IF(OR($F1601="",$J1601="",$J1601="نامعتبر"),"",LEFT($J1601,4)&amp;MID($J1601,6,2)&amp;RIGHT($J1601,2)&amp;$N1601&amp;"|"&amp;"2"&amp;RIGHT("00000"&amp;1596,5))</f>
        <v/>
      </c>
      <c r="L1601" t="str">
        <f t="shared" si="123"/>
        <v/>
      </c>
      <c r="M1601" t="str">
        <f t="shared" si="124"/>
        <v/>
      </c>
      <c r="N1601" t="str">
        <f>IF($F1601="","",IF(Sync!$AF1601="","0000",IF(AND(ISNUMBER(Sync!$AF1601),Sync!$AF1601&gt;=0,Sync!$AF1601&lt;1),RIGHT("00"&amp;HOUR(Sync!$AF1601),2)&amp;RIGHT("00"&amp;MINUTE(Sync!$AF1601),2),IFERROR(RIGHT("00"&amp;VALUE(LEFT(Sync!$AF1601,FIND(":",Sync!$AF1601)-1)),2)&amp;RIGHT("00"&amp;VALUE(MID(Sync!$AF1601,FIND(":",Sync!$AF1601)+1,2)),2),"0000"))))</f>
        <v/>
      </c>
    </row>
    <row r="1602" spans="1:14" x14ac:dyDescent="0.2">
      <c r="A1602" t="str">
        <f>IF(OR(Calc!$E1606="",Calc!$E1606="نامعتبر",Calc!$G1606=""),"",Calc!$G1606)</f>
        <v/>
      </c>
      <c r="B1602" t="str">
        <f>IF($A1602="","",LEFT(Calc!$E1606,4)&amp;MID(Calc!$E1606,6,2)&amp;RIGHT(Calc!$E1606,2)&amp;Calc!$Q1606&amp;"|"&amp;"1"&amp;RIGHT("00000"&amp;1597,5))</f>
        <v/>
      </c>
      <c r="C1602" t="str">
        <f t="shared" si="120"/>
        <v/>
      </c>
      <c r="D1602" t="str">
        <f t="shared" si="121"/>
        <v/>
      </c>
      <c r="F1602" t="str">
        <f>IF(Sync!$AH1602="","",IF(LEFT(UPPER(TRIM(Sync!$AH1602)),2)="SL",UPPER(TRIM(Sync!$AH1602)),""))</f>
        <v/>
      </c>
      <c r="G1602" t="str">
        <f>IF($F1602="","",IF(Sync!$AE1602="","",IF(ISNUMBER(Sync!$AE1602),IF(AND(Sync!$AE1602&gt;=10000101,Sync!$AE1602&lt;=99991231),INT(Sync!$AE1602/10000),""),IFERROR(VALUE(TRIM(LEFT(Sync!$AE1602,FIND("/",Sync!$AE1602)-1))),""))))</f>
        <v/>
      </c>
      <c r="H1602" t="str">
        <f>IF(OR($F1602="",$G1602=""),"",IF(ISNUMBER(Sync!$AE1602),INT(MOD(Sync!$AE1602,10000)/100),IFERROR(VALUE(TRIM(LEFT(MID(Sync!$AE1602,FIND("/",Sync!$AE1602)+1,20),FIND("/",MID(Sync!$AE1602,FIND("/",Sync!$AE1602)+1,20))-1))),"")))</f>
        <v/>
      </c>
      <c r="I1602" t="str">
        <f>IF(OR($F1602="",$G1602=""),"",IF(ISNUMBER(Sync!$AE1602),MOD(Sync!$AE1602,100),IFERROR(VALUE(TRIM(MID(MID(Sync!$AE1602,FIND("/",Sync!$AE1602)+1,20),FIND("/",MID(Sync!$AE1602,FIND("/",Sync!$AE1602)+1,20))+1,20))),"")))</f>
        <v/>
      </c>
      <c r="J1602" t="str">
        <f t="shared" si="122"/>
        <v/>
      </c>
      <c r="K1602" t="str">
        <f>IF(OR($F1602="",$J1602="",$J1602="نامعتبر"),"",LEFT($J1602,4)&amp;MID($J1602,6,2)&amp;RIGHT($J1602,2)&amp;$N1602&amp;"|"&amp;"2"&amp;RIGHT("00000"&amp;1597,5))</f>
        <v/>
      </c>
      <c r="L1602" t="str">
        <f t="shared" si="123"/>
        <v/>
      </c>
      <c r="M1602" t="str">
        <f t="shared" si="124"/>
        <v/>
      </c>
      <c r="N1602" t="str">
        <f>IF($F1602="","",IF(Sync!$AF1602="","0000",IF(AND(ISNUMBER(Sync!$AF1602),Sync!$AF1602&gt;=0,Sync!$AF1602&lt;1),RIGHT("00"&amp;HOUR(Sync!$AF1602),2)&amp;RIGHT("00"&amp;MINUTE(Sync!$AF1602),2),IFERROR(RIGHT("00"&amp;VALUE(LEFT(Sync!$AF1602,FIND(":",Sync!$AF1602)-1)),2)&amp;RIGHT("00"&amp;VALUE(MID(Sync!$AF1602,FIND(":",Sync!$AF1602)+1,2)),2),"0000"))))</f>
        <v/>
      </c>
    </row>
    <row r="1603" spans="1:14" x14ac:dyDescent="0.2">
      <c r="A1603" t="str">
        <f>IF(OR(Calc!$E1607="",Calc!$E1607="نامعتبر",Calc!$G1607=""),"",Calc!$G1607)</f>
        <v/>
      </c>
      <c r="B1603" t="str">
        <f>IF($A1603="","",LEFT(Calc!$E1607,4)&amp;MID(Calc!$E1607,6,2)&amp;RIGHT(Calc!$E1607,2)&amp;Calc!$Q1607&amp;"|"&amp;"1"&amp;RIGHT("00000"&amp;1598,5))</f>
        <v/>
      </c>
      <c r="C1603" t="str">
        <f t="shared" si="120"/>
        <v/>
      </c>
      <c r="D1603" t="str">
        <f t="shared" si="121"/>
        <v/>
      </c>
      <c r="F1603" t="str">
        <f>IF(Sync!$AH1603="","",IF(LEFT(UPPER(TRIM(Sync!$AH1603)),2)="SL",UPPER(TRIM(Sync!$AH1603)),""))</f>
        <v/>
      </c>
      <c r="G1603" t="str">
        <f>IF($F1603="","",IF(Sync!$AE1603="","",IF(ISNUMBER(Sync!$AE1603),IF(AND(Sync!$AE1603&gt;=10000101,Sync!$AE1603&lt;=99991231),INT(Sync!$AE1603/10000),""),IFERROR(VALUE(TRIM(LEFT(Sync!$AE1603,FIND("/",Sync!$AE1603)-1))),""))))</f>
        <v/>
      </c>
      <c r="H1603" t="str">
        <f>IF(OR($F1603="",$G1603=""),"",IF(ISNUMBER(Sync!$AE1603),INT(MOD(Sync!$AE1603,10000)/100),IFERROR(VALUE(TRIM(LEFT(MID(Sync!$AE1603,FIND("/",Sync!$AE1603)+1,20),FIND("/",MID(Sync!$AE1603,FIND("/",Sync!$AE1603)+1,20))-1))),"")))</f>
        <v/>
      </c>
      <c r="I1603" t="str">
        <f>IF(OR($F1603="",$G1603=""),"",IF(ISNUMBER(Sync!$AE1603),MOD(Sync!$AE1603,100),IFERROR(VALUE(TRIM(MID(MID(Sync!$AE1603,FIND("/",Sync!$AE1603)+1,20),FIND("/",MID(Sync!$AE1603,FIND("/",Sync!$AE1603)+1,20))+1,20))),"")))</f>
        <v/>
      </c>
      <c r="J1603" t="str">
        <f t="shared" si="122"/>
        <v/>
      </c>
      <c r="K1603" t="str">
        <f>IF(OR($F1603="",$J1603="",$J1603="نامعتبر"),"",LEFT($J1603,4)&amp;MID($J1603,6,2)&amp;RIGHT($J1603,2)&amp;$N1603&amp;"|"&amp;"2"&amp;RIGHT("00000"&amp;1598,5))</f>
        <v/>
      </c>
      <c r="L1603" t="str">
        <f t="shared" si="123"/>
        <v/>
      </c>
      <c r="M1603" t="str">
        <f t="shared" si="124"/>
        <v/>
      </c>
      <c r="N1603" t="str">
        <f>IF($F1603="","",IF(Sync!$AF1603="","0000",IF(AND(ISNUMBER(Sync!$AF1603),Sync!$AF1603&gt;=0,Sync!$AF1603&lt;1),RIGHT("00"&amp;HOUR(Sync!$AF1603),2)&amp;RIGHT("00"&amp;MINUTE(Sync!$AF1603),2),IFERROR(RIGHT("00"&amp;VALUE(LEFT(Sync!$AF1603,FIND(":",Sync!$AF1603)-1)),2)&amp;RIGHT("00"&amp;VALUE(MID(Sync!$AF1603,FIND(":",Sync!$AF1603)+1,2)),2),"0000"))))</f>
        <v/>
      </c>
    </row>
    <row r="1604" spans="1:14" x14ac:dyDescent="0.2">
      <c r="A1604" t="str">
        <f>IF(OR(Calc!$E1608="",Calc!$E1608="نامعتبر",Calc!$G1608=""),"",Calc!$G1608)</f>
        <v/>
      </c>
      <c r="B1604" t="str">
        <f>IF($A1604="","",LEFT(Calc!$E1608,4)&amp;MID(Calc!$E1608,6,2)&amp;RIGHT(Calc!$E1608,2)&amp;Calc!$Q1608&amp;"|"&amp;"1"&amp;RIGHT("00000"&amp;1599,5))</f>
        <v/>
      </c>
      <c r="C1604" t="str">
        <f t="shared" si="120"/>
        <v/>
      </c>
      <c r="D1604" t="str">
        <f t="shared" si="121"/>
        <v/>
      </c>
      <c r="F1604" t="str">
        <f>IF(Sync!$AH1604="","",IF(LEFT(UPPER(TRIM(Sync!$AH1604)),2)="SL",UPPER(TRIM(Sync!$AH1604)),""))</f>
        <v/>
      </c>
      <c r="G1604" t="str">
        <f>IF($F1604="","",IF(Sync!$AE1604="","",IF(ISNUMBER(Sync!$AE1604),IF(AND(Sync!$AE1604&gt;=10000101,Sync!$AE1604&lt;=99991231),INT(Sync!$AE1604/10000),""),IFERROR(VALUE(TRIM(LEFT(Sync!$AE1604,FIND("/",Sync!$AE1604)-1))),""))))</f>
        <v/>
      </c>
      <c r="H1604" t="str">
        <f>IF(OR($F1604="",$G1604=""),"",IF(ISNUMBER(Sync!$AE1604),INT(MOD(Sync!$AE1604,10000)/100),IFERROR(VALUE(TRIM(LEFT(MID(Sync!$AE1604,FIND("/",Sync!$AE1604)+1,20),FIND("/",MID(Sync!$AE1604,FIND("/",Sync!$AE1604)+1,20))-1))),"")))</f>
        <v/>
      </c>
      <c r="I1604" t="str">
        <f>IF(OR($F1604="",$G1604=""),"",IF(ISNUMBER(Sync!$AE1604),MOD(Sync!$AE1604,100),IFERROR(VALUE(TRIM(MID(MID(Sync!$AE1604,FIND("/",Sync!$AE1604)+1,20),FIND("/",MID(Sync!$AE1604,FIND("/",Sync!$AE1604)+1,20))+1,20))),"")))</f>
        <v/>
      </c>
      <c r="J1604" t="str">
        <f t="shared" si="122"/>
        <v/>
      </c>
      <c r="K1604" t="str">
        <f>IF(OR($F1604="",$J1604="",$J1604="نامعتبر"),"",LEFT($J1604,4)&amp;MID($J1604,6,2)&amp;RIGHT($J1604,2)&amp;$N1604&amp;"|"&amp;"2"&amp;RIGHT("00000"&amp;1599,5))</f>
        <v/>
      </c>
      <c r="L1604" t="str">
        <f t="shared" si="123"/>
        <v/>
      </c>
      <c r="M1604" t="str">
        <f t="shared" si="124"/>
        <v/>
      </c>
      <c r="N1604" t="str">
        <f>IF($F1604="","",IF(Sync!$AF1604="","0000",IF(AND(ISNUMBER(Sync!$AF1604),Sync!$AF1604&gt;=0,Sync!$AF1604&lt;1),RIGHT("00"&amp;HOUR(Sync!$AF1604),2)&amp;RIGHT("00"&amp;MINUTE(Sync!$AF1604),2),IFERROR(RIGHT("00"&amp;VALUE(LEFT(Sync!$AF1604,FIND(":",Sync!$AF1604)-1)),2)&amp;RIGHT("00"&amp;VALUE(MID(Sync!$AF1604,FIND(":",Sync!$AF1604)+1,2)),2),"0000"))))</f>
        <v/>
      </c>
    </row>
    <row r="1605" spans="1:14" x14ac:dyDescent="0.2">
      <c r="A1605" t="str">
        <f>IF(OR(Calc!$E1609="",Calc!$E1609="نامعتبر",Calc!$G1609=""),"",Calc!$G1609)</f>
        <v/>
      </c>
      <c r="B1605" t="str">
        <f>IF($A1605="","",LEFT(Calc!$E1609,4)&amp;MID(Calc!$E1609,6,2)&amp;RIGHT(Calc!$E1609,2)&amp;Calc!$Q1609&amp;"|"&amp;"1"&amp;RIGHT("00000"&amp;1600,5))</f>
        <v/>
      </c>
      <c r="C1605" t="str">
        <f t="shared" si="120"/>
        <v/>
      </c>
      <c r="D1605" t="str">
        <f t="shared" si="121"/>
        <v/>
      </c>
      <c r="F1605" t="str">
        <f>IF(Sync!$AH1605="","",IF(LEFT(UPPER(TRIM(Sync!$AH1605)),2)="SL",UPPER(TRIM(Sync!$AH1605)),""))</f>
        <v/>
      </c>
      <c r="G1605" t="str">
        <f>IF($F1605="","",IF(Sync!$AE1605="","",IF(ISNUMBER(Sync!$AE1605),IF(AND(Sync!$AE1605&gt;=10000101,Sync!$AE1605&lt;=99991231),INT(Sync!$AE1605/10000),""),IFERROR(VALUE(TRIM(LEFT(Sync!$AE1605,FIND("/",Sync!$AE1605)-1))),""))))</f>
        <v/>
      </c>
      <c r="H1605" t="str">
        <f>IF(OR($F1605="",$G1605=""),"",IF(ISNUMBER(Sync!$AE1605),INT(MOD(Sync!$AE1605,10000)/100),IFERROR(VALUE(TRIM(LEFT(MID(Sync!$AE1605,FIND("/",Sync!$AE1605)+1,20),FIND("/",MID(Sync!$AE1605,FIND("/",Sync!$AE1605)+1,20))-1))),"")))</f>
        <v/>
      </c>
      <c r="I1605" t="str">
        <f>IF(OR($F1605="",$G1605=""),"",IF(ISNUMBER(Sync!$AE1605),MOD(Sync!$AE1605,100),IFERROR(VALUE(TRIM(MID(MID(Sync!$AE1605,FIND("/",Sync!$AE1605)+1,20),FIND("/",MID(Sync!$AE1605,FIND("/",Sync!$AE1605)+1,20))+1,20))),"")))</f>
        <v/>
      </c>
      <c r="J1605" t="str">
        <f t="shared" si="122"/>
        <v/>
      </c>
      <c r="K1605" t="str">
        <f>IF(OR($F1605="",$J1605="",$J1605="نامعتبر"),"",LEFT($J1605,4)&amp;MID($J1605,6,2)&amp;RIGHT($J1605,2)&amp;$N1605&amp;"|"&amp;"2"&amp;RIGHT("00000"&amp;1600,5))</f>
        <v/>
      </c>
      <c r="L1605" t="str">
        <f t="shared" si="123"/>
        <v/>
      </c>
      <c r="M1605" t="str">
        <f t="shared" si="124"/>
        <v/>
      </c>
      <c r="N1605" t="str">
        <f>IF($F1605="","",IF(Sync!$AF1605="","0000",IF(AND(ISNUMBER(Sync!$AF1605),Sync!$AF1605&gt;=0,Sync!$AF1605&lt;1),RIGHT("00"&amp;HOUR(Sync!$AF1605),2)&amp;RIGHT("00"&amp;MINUTE(Sync!$AF1605),2),IFERROR(RIGHT("00"&amp;VALUE(LEFT(Sync!$AF1605,FIND(":",Sync!$AF1605)-1)),2)&amp;RIGHT("00"&amp;VALUE(MID(Sync!$AF1605,FIND(":",Sync!$AF1605)+1,2)),2),"0000"))))</f>
        <v/>
      </c>
    </row>
    <row r="1606" spans="1:14" x14ac:dyDescent="0.2">
      <c r="A1606" t="str">
        <f>IF(OR(Calc!$E1610="",Calc!$E1610="نامعتبر",Calc!$G1610=""),"",Calc!$G1610)</f>
        <v/>
      </c>
      <c r="B1606" t="str">
        <f>IF($A1606="","",LEFT(Calc!$E1610,4)&amp;MID(Calc!$E1610,6,2)&amp;RIGHT(Calc!$E1610,2)&amp;Calc!$Q1610&amp;"|"&amp;"1"&amp;RIGHT("00000"&amp;1601,5))</f>
        <v/>
      </c>
      <c r="C1606" t="str">
        <f t="shared" ref="C1606:C1669" si="125">IF($B1606="","",COUNTIFS(LdgSellerA,$A1606,LdgKeyA,"&lt;"&amp;$B1606)+COUNTIFS(LdgSellerB,$A1606,LdgKeyB,"&lt;"&amp;$B1606)+1)</f>
        <v/>
      </c>
      <c r="D1606" t="str">
        <f t="shared" ref="D1606:D1669" si="126">IF($C1606="","",$A1606&amp;"|"&amp;RIGHT("000000"&amp;$C1606,6))</f>
        <v/>
      </c>
      <c r="F1606" t="str">
        <f>IF(Sync!$AH1606="","",IF(LEFT(UPPER(TRIM(Sync!$AH1606)),2)="SL",UPPER(TRIM(Sync!$AH1606)),""))</f>
        <v/>
      </c>
      <c r="G1606" t="str">
        <f>IF($F1606="","",IF(Sync!$AE1606="","",IF(ISNUMBER(Sync!$AE1606),IF(AND(Sync!$AE1606&gt;=10000101,Sync!$AE1606&lt;=99991231),INT(Sync!$AE1606/10000),""),IFERROR(VALUE(TRIM(LEFT(Sync!$AE1606,FIND("/",Sync!$AE1606)-1))),""))))</f>
        <v/>
      </c>
      <c r="H1606" t="str">
        <f>IF(OR($F1606="",$G1606=""),"",IF(ISNUMBER(Sync!$AE1606),INT(MOD(Sync!$AE1606,10000)/100),IFERROR(VALUE(TRIM(LEFT(MID(Sync!$AE1606,FIND("/",Sync!$AE1606)+1,20),FIND("/",MID(Sync!$AE1606,FIND("/",Sync!$AE1606)+1,20))-1))),"")))</f>
        <v/>
      </c>
      <c r="I1606" t="str">
        <f>IF(OR($F1606="",$G1606=""),"",IF(ISNUMBER(Sync!$AE1606),MOD(Sync!$AE1606,100),IFERROR(VALUE(TRIM(MID(MID(Sync!$AE1606,FIND("/",Sync!$AE1606)+1,20),FIND("/",MID(Sync!$AE1606,FIND("/",Sync!$AE1606)+1,20))+1,20))),"")))</f>
        <v/>
      </c>
      <c r="J1606" t="str">
        <f t="shared" ref="J1606:J1669" si="127">IF($F1606="","",IF(OR($G1606="",$H1606="",$I1606="",$G1606&lt;1300,$G1606&gt;1500,$H1606&lt;1,$H1606&gt;12,$I1606&lt;1,$I1606&gt;31),"نامعتبر",RIGHT("0000"&amp;$G1606,4)&amp;"/"&amp;RIGHT("00"&amp;$H1606,2)&amp;"/"&amp;RIGHT("00"&amp;$I1606,2)))</f>
        <v/>
      </c>
      <c r="K1606" t="str">
        <f>IF(OR($F1606="",$J1606="",$J1606="نامعتبر"),"",LEFT($J1606,4)&amp;MID($J1606,6,2)&amp;RIGHT($J1606,2)&amp;$N1606&amp;"|"&amp;"2"&amp;RIGHT("00000"&amp;1601,5))</f>
        <v/>
      </c>
      <c r="L1606" t="str">
        <f t="shared" ref="L1606:L1669" si="128">IF($K1606="","",COUNTIFS(LdgSellerA,$F1606,LdgKeyA,"&lt;"&amp;$K1606)+COUNTIFS(LdgSellerB,$F1606,LdgKeyB,"&lt;"&amp;$K1606)+1)</f>
        <v/>
      </c>
      <c r="M1606" t="str">
        <f t="shared" ref="M1606:M1669" si="129">IF($L1606="","",$F1606&amp;"|"&amp;RIGHT("000000"&amp;$L1606,6))</f>
        <v/>
      </c>
      <c r="N1606" t="str">
        <f>IF($F1606="","",IF(Sync!$AF1606="","0000",IF(AND(ISNUMBER(Sync!$AF1606),Sync!$AF1606&gt;=0,Sync!$AF1606&lt;1),RIGHT("00"&amp;HOUR(Sync!$AF1606),2)&amp;RIGHT("00"&amp;MINUTE(Sync!$AF1606),2),IFERROR(RIGHT("00"&amp;VALUE(LEFT(Sync!$AF1606,FIND(":",Sync!$AF1606)-1)),2)&amp;RIGHT("00"&amp;VALUE(MID(Sync!$AF1606,FIND(":",Sync!$AF1606)+1,2)),2),"0000"))))</f>
        <v/>
      </c>
    </row>
    <row r="1607" spans="1:14" x14ac:dyDescent="0.2">
      <c r="A1607" t="str">
        <f>IF(OR(Calc!$E1611="",Calc!$E1611="نامعتبر",Calc!$G1611=""),"",Calc!$G1611)</f>
        <v/>
      </c>
      <c r="B1607" t="str">
        <f>IF($A1607="","",LEFT(Calc!$E1611,4)&amp;MID(Calc!$E1611,6,2)&amp;RIGHT(Calc!$E1611,2)&amp;Calc!$Q1611&amp;"|"&amp;"1"&amp;RIGHT("00000"&amp;1602,5))</f>
        <v/>
      </c>
      <c r="C1607" t="str">
        <f t="shared" si="125"/>
        <v/>
      </c>
      <c r="D1607" t="str">
        <f t="shared" si="126"/>
        <v/>
      </c>
      <c r="F1607" t="str">
        <f>IF(Sync!$AH1607="","",IF(LEFT(UPPER(TRIM(Sync!$AH1607)),2)="SL",UPPER(TRIM(Sync!$AH1607)),""))</f>
        <v/>
      </c>
      <c r="G1607" t="str">
        <f>IF($F1607="","",IF(Sync!$AE1607="","",IF(ISNUMBER(Sync!$AE1607),IF(AND(Sync!$AE1607&gt;=10000101,Sync!$AE1607&lt;=99991231),INT(Sync!$AE1607/10000),""),IFERROR(VALUE(TRIM(LEFT(Sync!$AE1607,FIND("/",Sync!$AE1607)-1))),""))))</f>
        <v/>
      </c>
      <c r="H1607" t="str">
        <f>IF(OR($F1607="",$G1607=""),"",IF(ISNUMBER(Sync!$AE1607),INT(MOD(Sync!$AE1607,10000)/100),IFERROR(VALUE(TRIM(LEFT(MID(Sync!$AE1607,FIND("/",Sync!$AE1607)+1,20),FIND("/",MID(Sync!$AE1607,FIND("/",Sync!$AE1607)+1,20))-1))),"")))</f>
        <v/>
      </c>
      <c r="I1607" t="str">
        <f>IF(OR($F1607="",$G1607=""),"",IF(ISNUMBER(Sync!$AE1607),MOD(Sync!$AE1607,100),IFERROR(VALUE(TRIM(MID(MID(Sync!$AE1607,FIND("/",Sync!$AE1607)+1,20),FIND("/",MID(Sync!$AE1607,FIND("/",Sync!$AE1607)+1,20))+1,20))),"")))</f>
        <v/>
      </c>
      <c r="J1607" t="str">
        <f t="shared" si="127"/>
        <v/>
      </c>
      <c r="K1607" t="str">
        <f>IF(OR($F1607="",$J1607="",$J1607="نامعتبر"),"",LEFT($J1607,4)&amp;MID($J1607,6,2)&amp;RIGHT($J1607,2)&amp;$N1607&amp;"|"&amp;"2"&amp;RIGHT("00000"&amp;1602,5))</f>
        <v/>
      </c>
      <c r="L1607" t="str">
        <f t="shared" si="128"/>
        <v/>
      </c>
      <c r="M1607" t="str">
        <f t="shared" si="129"/>
        <v/>
      </c>
      <c r="N1607" t="str">
        <f>IF($F1607="","",IF(Sync!$AF1607="","0000",IF(AND(ISNUMBER(Sync!$AF1607),Sync!$AF1607&gt;=0,Sync!$AF1607&lt;1),RIGHT("00"&amp;HOUR(Sync!$AF1607),2)&amp;RIGHT("00"&amp;MINUTE(Sync!$AF1607),2),IFERROR(RIGHT("00"&amp;VALUE(LEFT(Sync!$AF1607,FIND(":",Sync!$AF1607)-1)),2)&amp;RIGHT("00"&amp;VALUE(MID(Sync!$AF1607,FIND(":",Sync!$AF1607)+1,2)),2),"0000"))))</f>
        <v/>
      </c>
    </row>
    <row r="1608" spans="1:14" x14ac:dyDescent="0.2">
      <c r="A1608" t="str">
        <f>IF(OR(Calc!$E1612="",Calc!$E1612="نامعتبر",Calc!$G1612=""),"",Calc!$G1612)</f>
        <v/>
      </c>
      <c r="B1608" t="str">
        <f>IF($A1608="","",LEFT(Calc!$E1612,4)&amp;MID(Calc!$E1612,6,2)&amp;RIGHT(Calc!$E1612,2)&amp;Calc!$Q1612&amp;"|"&amp;"1"&amp;RIGHT("00000"&amp;1603,5))</f>
        <v/>
      </c>
      <c r="C1608" t="str">
        <f t="shared" si="125"/>
        <v/>
      </c>
      <c r="D1608" t="str">
        <f t="shared" si="126"/>
        <v/>
      </c>
      <c r="F1608" t="str">
        <f>IF(Sync!$AH1608="","",IF(LEFT(UPPER(TRIM(Sync!$AH1608)),2)="SL",UPPER(TRIM(Sync!$AH1608)),""))</f>
        <v/>
      </c>
      <c r="G1608" t="str">
        <f>IF($F1608="","",IF(Sync!$AE1608="","",IF(ISNUMBER(Sync!$AE1608),IF(AND(Sync!$AE1608&gt;=10000101,Sync!$AE1608&lt;=99991231),INT(Sync!$AE1608/10000),""),IFERROR(VALUE(TRIM(LEFT(Sync!$AE1608,FIND("/",Sync!$AE1608)-1))),""))))</f>
        <v/>
      </c>
      <c r="H1608" t="str">
        <f>IF(OR($F1608="",$G1608=""),"",IF(ISNUMBER(Sync!$AE1608),INT(MOD(Sync!$AE1608,10000)/100),IFERROR(VALUE(TRIM(LEFT(MID(Sync!$AE1608,FIND("/",Sync!$AE1608)+1,20),FIND("/",MID(Sync!$AE1608,FIND("/",Sync!$AE1608)+1,20))-1))),"")))</f>
        <v/>
      </c>
      <c r="I1608" t="str">
        <f>IF(OR($F1608="",$G1608=""),"",IF(ISNUMBER(Sync!$AE1608),MOD(Sync!$AE1608,100),IFERROR(VALUE(TRIM(MID(MID(Sync!$AE1608,FIND("/",Sync!$AE1608)+1,20),FIND("/",MID(Sync!$AE1608,FIND("/",Sync!$AE1608)+1,20))+1,20))),"")))</f>
        <v/>
      </c>
      <c r="J1608" t="str">
        <f t="shared" si="127"/>
        <v/>
      </c>
      <c r="K1608" t="str">
        <f>IF(OR($F1608="",$J1608="",$J1608="نامعتبر"),"",LEFT($J1608,4)&amp;MID($J1608,6,2)&amp;RIGHT($J1608,2)&amp;$N1608&amp;"|"&amp;"2"&amp;RIGHT("00000"&amp;1603,5))</f>
        <v/>
      </c>
      <c r="L1608" t="str">
        <f t="shared" si="128"/>
        <v/>
      </c>
      <c r="M1608" t="str">
        <f t="shared" si="129"/>
        <v/>
      </c>
      <c r="N1608" t="str">
        <f>IF($F1608="","",IF(Sync!$AF1608="","0000",IF(AND(ISNUMBER(Sync!$AF1608),Sync!$AF1608&gt;=0,Sync!$AF1608&lt;1),RIGHT("00"&amp;HOUR(Sync!$AF1608),2)&amp;RIGHT("00"&amp;MINUTE(Sync!$AF1608),2),IFERROR(RIGHT("00"&amp;VALUE(LEFT(Sync!$AF1608,FIND(":",Sync!$AF1608)-1)),2)&amp;RIGHT("00"&amp;VALUE(MID(Sync!$AF1608,FIND(":",Sync!$AF1608)+1,2)),2),"0000"))))</f>
        <v/>
      </c>
    </row>
    <row r="1609" spans="1:14" x14ac:dyDescent="0.2">
      <c r="A1609" t="str">
        <f>IF(OR(Calc!$E1613="",Calc!$E1613="نامعتبر",Calc!$G1613=""),"",Calc!$G1613)</f>
        <v/>
      </c>
      <c r="B1609" t="str">
        <f>IF($A1609="","",LEFT(Calc!$E1613,4)&amp;MID(Calc!$E1613,6,2)&amp;RIGHT(Calc!$E1613,2)&amp;Calc!$Q1613&amp;"|"&amp;"1"&amp;RIGHT("00000"&amp;1604,5))</f>
        <v/>
      </c>
      <c r="C1609" t="str">
        <f t="shared" si="125"/>
        <v/>
      </c>
      <c r="D1609" t="str">
        <f t="shared" si="126"/>
        <v/>
      </c>
      <c r="F1609" t="str">
        <f>IF(Sync!$AH1609="","",IF(LEFT(UPPER(TRIM(Sync!$AH1609)),2)="SL",UPPER(TRIM(Sync!$AH1609)),""))</f>
        <v/>
      </c>
      <c r="G1609" t="str">
        <f>IF($F1609="","",IF(Sync!$AE1609="","",IF(ISNUMBER(Sync!$AE1609),IF(AND(Sync!$AE1609&gt;=10000101,Sync!$AE1609&lt;=99991231),INT(Sync!$AE1609/10000),""),IFERROR(VALUE(TRIM(LEFT(Sync!$AE1609,FIND("/",Sync!$AE1609)-1))),""))))</f>
        <v/>
      </c>
      <c r="H1609" t="str">
        <f>IF(OR($F1609="",$G1609=""),"",IF(ISNUMBER(Sync!$AE1609),INT(MOD(Sync!$AE1609,10000)/100),IFERROR(VALUE(TRIM(LEFT(MID(Sync!$AE1609,FIND("/",Sync!$AE1609)+1,20),FIND("/",MID(Sync!$AE1609,FIND("/",Sync!$AE1609)+1,20))-1))),"")))</f>
        <v/>
      </c>
      <c r="I1609" t="str">
        <f>IF(OR($F1609="",$G1609=""),"",IF(ISNUMBER(Sync!$AE1609),MOD(Sync!$AE1609,100),IFERROR(VALUE(TRIM(MID(MID(Sync!$AE1609,FIND("/",Sync!$AE1609)+1,20),FIND("/",MID(Sync!$AE1609,FIND("/",Sync!$AE1609)+1,20))+1,20))),"")))</f>
        <v/>
      </c>
      <c r="J1609" t="str">
        <f t="shared" si="127"/>
        <v/>
      </c>
      <c r="K1609" t="str">
        <f>IF(OR($F1609="",$J1609="",$J1609="نامعتبر"),"",LEFT($J1609,4)&amp;MID($J1609,6,2)&amp;RIGHT($J1609,2)&amp;$N1609&amp;"|"&amp;"2"&amp;RIGHT("00000"&amp;1604,5))</f>
        <v/>
      </c>
      <c r="L1609" t="str">
        <f t="shared" si="128"/>
        <v/>
      </c>
      <c r="M1609" t="str">
        <f t="shared" si="129"/>
        <v/>
      </c>
      <c r="N1609" t="str">
        <f>IF($F1609="","",IF(Sync!$AF1609="","0000",IF(AND(ISNUMBER(Sync!$AF1609),Sync!$AF1609&gt;=0,Sync!$AF1609&lt;1),RIGHT("00"&amp;HOUR(Sync!$AF1609),2)&amp;RIGHT("00"&amp;MINUTE(Sync!$AF1609),2),IFERROR(RIGHT("00"&amp;VALUE(LEFT(Sync!$AF1609,FIND(":",Sync!$AF1609)-1)),2)&amp;RIGHT("00"&amp;VALUE(MID(Sync!$AF1609,FIND(":",Sync!$AF1609)+1,2)),2),"0000"))))</f>
        <v/>
      </c>
    </row>
    <row r="1610" spans="1:14" x14ac:dyDescent="0.2">
      <c r="A1610" t="str">
        <f>IF(OR(Calc!$E1614="",Calc!$E1614="نامعتبر",Calc!$G1614=""),"",Calc!$G1614)</f>
        <v/>
      </c>
      <c r="B1610" t="str">
        <f>IF($A1610="","",LEFT(Calc!$E1614,4)&amp;MID(Calc!$E1614,6,2)&amp;RIGHT(Calc!$E1614,2)&amp;Calc!$Q1614&amp;"|"&amp;"1"&amp;RIGHT("00000"&amp;1605,5))</f>
        <v/>
      </c>
      <c r="C1610" t="str">
        <f t="shared" si="125"/>
        <v/>
      </c>
      <c r="D1610" t="str">
        <f t="shared" si="126"/>
        <v/>
      </c>
      <c r="F1610" t="str">
        <f>IF(Sync!$AH1610="","",IF(LEFT(UPPER(TRIM(Sync!$AH1610)),2)="SL",UPPER(TRIM(Sync!$AH1610)),""))</f>
        <v/>
      </c>
      <c r="G1610" t="str">
        <f>IF($F1610="","",IF(Sync!$AE1610="","",IF(ISNUMBER(Sync!$AE1610),IF(AND(Sync!$AE1610&gt;=10000101,Sync!$AE1610&lt;=99991231),INT(Sync!$AE1610/10000),""),IFERROR(VALUE(TRIM(LEFT(Sync!$AE1610,FIND("/",Sync!$AE1610)-1))),""))))</f>
        <v/>
      </c>
      <c r="H1610" t="str">
        <f>IF(OR($F1610="",$G1610=""),"",IF(ISNUMBER(Sync!$AE1610),INT(MOD(Sync!$AE1610,10000)/100),IFERROR(VALUE(TRIM(LEFT(MID(Sync!$AE1610,FIND("/",Sync!$AE1610)+1,20),FIND("/",MID(Sync!$AE1610,FIND("/",Sync!$AE1610)+1,20))-1))),"")))</f>
        <v/>
      </c>
      <c r="I1610" t="str">
        <f>IF(OR($F1610="",$G1610=""),"",IF(ISNUMBER(Sync!$AE1610),MOD(Sync!$AE1610,100),IFERROR(VALUE(TRIM(MID(MID(Sync!$AE1610,FIND("/",Sync!$AE1610)+1,20),FIND("/",MID(Sync!$AE1610,FIND("/",Sync!$AE1610)+1,20))+1,20))),"")))</f>
        <v/>
      </c>
      <c r="J1610" t="str">
        <f t="shared" si="127"/>
        <v/>
      </c>
      <c r="K1610" t="str">
        <f>IF(OR($F1610="",$J1610="",$J1610="نامعتبر"),"",LEFT($J1610,4)&amp;MID($J1610,6,2)&amp;RIGHT($J1610,2)&amp;$N1610&amp;"|"&amp;"2"&amp;RIGHT("00000"&amp;1605,5))</f>
        <v/>
      </c>
      <c r="L1610" t="str">
        <f t="shared" si="128"/>
        <v/>
      </c>
      <c r="M1610" t="str">
        <f t="shared" si="129"/>
        <v/>
      </c>
      <c r="N1610" t="str">
        <f>IF($F1610="","",IF(Sync!$AF1610="","0000",IF(AND(ISNUMBER(Sync!$AF1610),Sync!$AF1610&gt;=0,Sync!$AF1610&lt;1),RIGHT("00"&amp;HOUR(Sync!$AF1610),2)&amp;RIGHT("00"&amp;MINUTE(Sync!$AF1610),2),IFERROR(RIGHT("00"&amp;VALUE(LEFT(Sync!$AF1610,FIND(":",Sync!$AF1610)-1)),2)&amp;RIGHT("00"&amp;VALUE(MID(Sync!$AF1610,FIND(":",Sync!$AF1610)+1,2)),2),"0000"))))</f>
        <v/>
      </c>
    </row>
    <row r="1611" spans="1:14" x14ac:dyDescent="0.2">
      <c r="A1611" t="str">
        <f>IF(OR(Calc!$E1615="",Calc!$E1615="نامعتبر",Calc!$G1615=""),"",Calc!$G1615)</f>
        <v/>
      </c>
      <c r="B1611" t="str">
        <f>IF($A1611="","",LEFT(Calc!$E1615,4)&amp;MID(Calc!$E1615,6,2)&amp;RIGHT(Calc!$E1615,2)&amp;Calc!$Q1615&amp;"|"&amp;"1"&amp;RIGHT("00000"&amp;1606,5))</f>
        <v/>
      </c>
      <c r="C1611" t="str">
        <f t="shared" si="125"/>
        <v/>
      </c>
      <c r="D1611" t="str">
        <f t="shared" si="126"/>
        <v/>
      </c>
      <c r="F1611" t="str">
        <f>IF(Sync!$AH1611="","",IF(LEFT(UPPER(TRIM(Sync!$AH1611)),2)="SL",UPPER(TRIM(Sync!$AH1611)),""))</f>
        <v/>
      </c>
      <c r="G1611" t="str">
        <f>IF($F1611="","",IF(Sync!$AE1611="","",IF(ISNUMBER(Sync!$AE1611),IF(AND(Sync!$AE1611&gt;=10000101,Sync!$AE1611&lt;=99991231),INT(Sync!$AE1611/10000),""),IFERROR(VALUE(TRIM(LEFT(Sync!$AE1611,FIND("/",Sync!$AE1611)-1))),""))))</f>
        <v/>
      </c>
      <c r="H1611" t="str">
        <f>IF(OR($F1611="",$G1611=""),"",IF(ISNUMBER(Sync!$AE1611),INT(MOD(Sync!$AE1611,10000)/100),IFERROR(VALUE(TRIM(LEFT(MID(Sync!$AE1611,FIND("/",Sync!$AE1611)+1,20),FIND("/",MID(Sync!$AE1611,FIND("/",Sync!$AE1611)+1,20))-1))),"")))</f>
        <v/>
      </c>
      <c r="I1611" t="str">
        <f>IF(OR($F1611="",$G1611=""),"",IF(ISNUMBER(Sync!$AE1611),MOD(Sync!$AE1611,100),IFERROR(VALUE(TRIM(MID(MID(Sync!$AE1611,FIND("/",Sync!$AE1611)+1,20),FIND("/",MID(Sync!$AE1611,FIND("/",Sync!$AE1611)+1,20))+1,20))),"")))</f>
        <v/>
      </c>
      <c r="J1611" t="str">
        <f t="shared" si="127"/>
        <v/>
      </c>
      <c r="K1611" t="str">
        <f>IF(OR($F1611="",$J1611="",$J1611="نامعتبر"),"",LEFT($J1611,4)&amp;MID($J1611,6,2)&amp;RIGHT($J1611,2)&amp;$N1611&amp;"|"&amp;"2"&amp;RIGHT("00000"&amp;1606,5))</f>
        <v/>
      </c>
      <c r="L1611" t="str">
        <f t="shared" si="128"/>
        <v/>
      </c>
      <c r="M1611" t="str">
        <f t="shared" si="129"/>
        <v/>
      </c>
      <c r="N1611" t="str">
        <f>IF($F1611="","",IF(Sync!$AF1611="","0000",IF(AND(ISNUMBER(Sync!$AF1611),Sync!$AF1611&gt;=0,Sync!$AF1611&lt;1),RIGHT("00"&amp;HOUR(Sync!$AF1611),2)&amp;RIGHT("00"&amp;MINUTE(Sync!$AF1611),2),IFERROR(RIGHT("00"&amp;VALUE(LEFT(Sync!$AF1611,FIND(":",Sync!$AF1611)-1)),2)&amp;RIGHT("00"&amp;VALUE(MID(Sync!$AF1611,FIND(":",Sync!$AF1611)+1,2)),2),"0000"))))</f>
        <v/>
      </c>
    </row>
    <row r="1612" spans="1:14" x14ac:dyDescent="0.2">
      <c r="A1612" t="str">
        <f>IF(OR(Calc!$E1616="",Calc!$E1616="نامعتبر",Calc!$G1616=""),"",Calc!$G1616)</f>
        <v/>
      </c>
      <c r="B1612" t="str">
        <f>IF($A1612="","",LEFT(Calc!$E1616,4)&amp;MID(Calc!$E1616,6,2)&amp;RIGHT(Calc!$E1616,2)&amp;Calc!$Q1616&amp;"|"&amp;"1"&amp;RIGHT("00000"&amp;1607,5))</f>
        <v/>
      </c>
      <c r="C1612" t="str">
        <f t="shared" si="125"/>
        <v/>
      </c>
      <c r="D1612" t="str">
        <f t="shared" si="126"/>
        <v/>
      </c>
      <c r="F1612" t="str">
        <f>IF(Sync!$AH1612="","",IF(LEFT(UPPER(TRIM(Sync!$AH1612)),2)="SL",UPPER(TRIM(Sync!$AH1612)),""))</f>
        <v/>
      </c>
      <c r="G1612" t="str">
        <f>IF($F1612="","",IF(Sync!$AE1612="","",IF(ISNUMBER(Sync!$AE1612),IF(AND(Sync!$AE1612&gt;=10000101,Sync!$AE1612&lt;=99991231),INT(Sync!$AE1612/10000),""),IFERROR(VALUE(TRIM(LEFT(Sync!$AE1612,FIND("/",Sync!$AE1612)-1))),""))))</f>
        <v/>
      </c>
      <c r="H1612" t="str">
        <f>IF(OR($F1612="",$G1612=""),"",IF(ISNUMBER(Sync!$AE1612),INT(MOD(Sync!$AE1612,10000)/100),IFERROR(VALUE(TRIM(LEFT(MID(Sync!$AE1612,FIND("/",Sync!$AE1612)+1,20),FIND("/",MID(Sync!$AE1612,FIND("/",Sync!$AE1612)+1,20))-1))),"")))</f>
        <v/>
      </c>
      <c r="I1612" t="str">
        <f>IF(OR($F1612="",$G1612=""),"",IF(ISNUMBER(Sync!$AE1612),MOD(Sync!$AE1612,100),IFERROR(VALUE(TRIM(MID(MID(Sync!$AE1612,FIND("/",Sync!$AE1612)+1,20),FIND("/",MID(Sync!$AE1612,FIND("/",Sync!$AE1612)+1,20))+1,20))),"")))</f>
        <v/>
      </c>
      <c r="J1612" t="str">
        <f t="shared" si="127"/>
        <v/>
      </c>
      <c r="K1612" t="str">
        <f>IF(OR($F1612="",$J1612="",$J1612="نامعتبر"),"",LEFT($J1612,4)&amp;MID($J1612,6,2)&amp;RIGHT($J1612,2)&amp;$N1612&amp;"|"&amp;"2"&amp;RIGHT("00000"&amp;1607,5))</f>
        <v/>
      </c>
      <c r="L1612" t="str">
        <f t="shared" si="128"/>
        <v/>
      </c>
      <c r="M1612" t="str">
        <f t="shared" si="129"/>
        <v/>
      </c>
      <c r="N1612" t="str">
        <f>IF($F1612="","",IF(Sync!$AF1612="","0000",IF(AND(ISNUMBER(Sync!$AF1612),Sync!$AF1612&gt;=0,Sync!$AF1612&lt;1),RIGHT("00"&amp;HOUR(Sync!$AF1612),2)&amp;RIGHT("00"&amp;MINUTE(Sync!$AF1612),2),IFERROR(RIGHT("00"&amp;VALUE(LEFT(Sync!$AF1612,FIND(":",Sync!$AF1612)-1)),2)&amp;RIGHT("00"&amp;VALUE(MID(Sync!$AF1612,FIND(":",Sync!$AF1612)+1,2)),2),"0000"))))</f>
        <v/>
      </c>
    </row>
    <row r="1613" spans="1:14" x14ac:dyDescent="0.2">
      <c r="A1613" t="str">
        <f>IF(OR(Calc!$E1617="",Calc!$E1617="نامعتبر",Calc!$G1617=""),"",Calc!$G1617)</f>
        <v/>
      </c>
      <c r="B1613" t="str">
        <f>IF($A1613="","",LEFT(Calc!$E1617,4)&amp;MID(Calc!$E1617,6,2)&amp;RIGHT(Calc!$E1617,2)&amp;Calc!$Q1617&amp;"|"&amp;"1"&amp;RIGHT("00000"&amp;1608,5))</f>
        <v/>
      </c>
      <c r="C1613" t="str">
        <f t="shared" si="125"/>
        <v/>
      </c>
      <c r="D1613" t="str">
        <f t="shared" si="126"/>
        <v/>
      </c>
      <c r="F1613" t="str">
        <f>IF(Sync!$AH1613="","",IF(LEFT(UPPER(TRIM(Sync!$AH1613)),2)="SL",UPPER(TRIM(Sync!$AH1613)),""))</f>
        <v/>
      </c>
      <c r="G1613" t="str">
        <f>IF($F1613="","",IF(Sync!$AE1613="","",IF(ISNUMBER(Sync!$AE1613),IF(AND(Sync!$AE1613&gt;=10000101,Sync!$AE1613&lt;=99991231),INT(Sync!$AE1613/10000),""),IFERROR(VALUE(TRIM(LEFT(Sync!$AE1613,FIND("/",Sync!$AE1613)-1))),""))))</f>
        <v/>
      </c>
      <c r="H1613" t="str">
        <f>IF(OR($F1613="",$G1613=""),"",IF(ISNUMBER(Sync!$AE1613),INT(MOD(Sync!$AE1613,10000)/100),IFERROR(VALUE(TRIM(LEFT(MID(Sync!$AE1613,FIND("/",Sync!$AE1613)+1,20),FIND("/",MID(Sync!$AE1613,FIND("/",Sync!$AE1613)+1,20))-1))),"")))</f>
        <v/>
      </c>
      <c r="I1613" t="str">
        <f>IF(OR($F1613="",$G1613=""),"",IF(ISNUMBER(Sync!$AE1613),MOD(Sync!$AE1613,100),IFERROR(VALUE(TRIM(MID(MID(Sync!$AE1613,FIND("/",Sync!$AE1613)+1,20),FIND("/",MID(Sync!$AE1613,FIND("/",Sync!$AE1613)+1,20))+1,20))),"")))</f>
        <v/>
      </c>
      <c r="J1613" t="str">
        <f t="shared" si="127"/>
        <v/>
      </c>
      <c r="K1613" t="str">
        <f>IF(OR($F1613="",$J1613="",$J1613="نامعتبر"),"",LEFT($J1613,4)&amp;MID($J1613,6,2)&amp;RIGHT($J1613,2)&amp;$N1613&amp;"|"&amp;"2"&amp;RIGHT("00000"&amp;1608,5))</f>
        <v/>
      </c>
      <c r="L1613" t="str">
        <f t="shared" si="128"/>
        <v/>
      </c>
      <c r="M1613" t="str">
        <f t="shared" si="129"/>
        <v/>
      </c>
      <c r="N1613" t="str">
        <f>IF($F1613="","",IF(Sync!$AF1613="","0000",IF(AND(ISNUMBER(Sync!$AF1613),Sync!$AF1613&gt;=0,Sync!$AF1613&lt;1),RIGHT("00"&amp;HOUR(Sync!$AF1613),2)&amp;RIGHT("00"&amp;MINUTE(Sync!$AF1613),2),IFERROR(RIGHT("00"&amp;VALUE(LEFT(Sync!$AF1613,FIND(":",Sync!$AF1613)-1)),2)&amp;RIGHT("00"&amp;VALUE(MID(Sync!$AF1613,FIND(":",Sync!$AF1613)+1,2)),2),"0000"))))</f>
        <v/>
      </c>
    </row>
    <row r="1614" spans="1:14" x14ac:dyDescent="0.2">
      <c r="A1614" t="str">
        <f>IF(OR(Calc!$E1618="",Calc!$E1618="نامعتبر",Calc!$G1618=""),"",Calc!$G1618)</f>
        <v/>
      </c>
      <c r="B1614" t="str">
        <f>IF($A1614="","",LEFT(Calc!$E1618,4)&amp;MID(Calc!$E1618,6,2)&amp;RIGHT(Calc!$E1618,2)&amp;Calc!$Q1618&amp;"|"&amp;"1"&amp;RIGHT("00000"&amp;1609,5))</f>
        <v/>
      </c>
      <c r="C1614" t="str">
        <f t="shared" si="125"/>
        <v/>
      </c>
      <c r="D1614" t="str">
        <f t="shared" si="126"/>
        <v/>
      </c>
      <c r="F1614" t="str">
        <f>IF(Sync!$AH1614="","",IF(LEFT(UPPER(TRIM(Sync!$AH1614)),2)="SL",UPPER(TRIM(Sync!$AH1614)),""))</f>
        <v/>
      </c>
      <c r="G1614" t="str">
        <f>IF($F1614="","",IF(Sync!$AE1614="","",IF(ISNUMBER(Sync!$AE1614),IF(AND(Sync!$AE1614&gt;=10000101,Sync!$AE1614&lt;=99991231),INT(Sync!$AE1614/10000),""),IFERROR(VALUE(TRIM(LEFT(Sync!$AE1614,FIND("/",Sync!$AE1614)-1))),""))))</f>
        <v/>
      </c>
      <c r="H1614" t="str">
        <f>IF(OR($F1614="",$G1614=""),"",IF(ISNUMBER(Sync!$AE1614),INT(MOD(Sync!$AE1614,10000)/100),IFERROR(VALUE(TRIM(LEFT(MID(Sync!$AE1614,FIND("/",Sync!$AE1614)+1,20),FIND("/",MID(Sync!$AE1614,FIND("/",Sync!$AE1614)+1,20))-1))),"")))</f>
        <v/>
      </c>
      <c r="I1614" t="str">
        <f>IF(OR($F1614="",$G1614=""),"",IF(ISNUMBER(Sync!$AE1614),MOD(Sync!$AE1614,100),IFERROR(VALUE(TRIM(MID(MID(Sync!$AE1614,FIND("/",Sync!$AE1614)+1,20),FIND("/",MID(Sync!$AE1614,FIND("/",Sync!$AE1614)+1,20))+1,20))),"")))</f>
        <v/>
      </c>
      <c r="J1614" t="str">
        <f t="shared" si="127"/>
        <v/>
      </c>
      <c r="K1614" t="str">
        <f>IF(OR($F1614="",$J1614="",$J1614="نامعتبر"),"",LEFT($J1614,4)&amp;MID($J1614,6,2)&amp;RIGHT($J1614,2)&amp;$N1614&amp;"|"&amp;"2"&amp;RIGHT("00000"&amp;1609,5))</f>
        <v/>
      </c>
      <c r="L1614" t="str">
        <f t="shared" si="128"/>
        <v/>
      </c>
      <c r="M1614" t="str">
        <f t="shared" si="129"/>
        <v/>
      </c>
      <c r="N1614" t="str">
        <f>IF($F1614="","",IF(Sync!$AF1614="","0000",IF(AND(ISNUMBER(Sync!$AF1614),Sync!$AF1614&gt;=0,Sync!$AF1614&lt;1),RIGHT("00"&amp;HOUR(Sync!$AF1614),2)&amp;RIGHT("00"&amp;MINUTE(Sync!$AF1614),2),IFERROR(RIGHT("00"&amp;VALUE(LEFT(Sync!$AF1614,FIND(":",Sync!$AF1614)-1)),2)&amp;RIGHT("00"&amp;VALUE(MID(Sync!$AF1614,FIND(":",Sync!$AF1614)+1,2)),2),"0000"))))</f>
        <v/>
      </c>
    </row>
    <row r="1615" spans="1:14" x14ac:dyDescent="0.2">
      <c r="A1615" t="str">
        <f>IF(OR(Calc!$E1619="",Calc!$E1619="نامعتبر",Calc!$G1619=""),"",Calc!$G1619)</f>
        <v/>
      </c>
      <c r="B1615" t="str">
        <f>IF($A1615="","",LEFT(Calc!$E1619,4)&amp;MID(Calc!$E1619,6,2)&amp;RIGHT(Calc!$E1619,2)&amp;Calc!$Q1619&amp;"|"&amp;"1"&amp;RIGHT("00000"&amp;1610,5))</f>
        <v/>
      </c>
      <c r="C1615" t="str">
        <f t="shared" si="125"/>
        <v/>
      </c>
      <c r="D1615" t="str">
        <f t="shared" si="126"/>
        <v/>
      </c>
      <c r="F1615" t="str">
        <f>IF(Sync!$AH1615="","",IF(LEFT(UPPER(TRIM(Sync!$AH1615)),2)="SL",UPPER(TRIM(Sync!$AH1615)),""))</f>
        <v/>
      </c>
      <c r="G1615" t="str">
        <f>IF($F1615="","",IF(Sync!$AE1615="","",IF(ISNUMBER(Sync!$AE1615),IF(AND(Sync!$AE1615&gt;=10000101,Sync!$AE1615&lt;=99991231),INT(Sync!$AE1615/10000),""),IFERROR(VALUE(TRIM(LEFT(Sync!$AE1615,FIND("/",Sync!$AE1615)-1))),""))))</f>
        <v/>
      </c>
      <c r="H1615" t="str">
        <f>IF(OR($F1615="",$G1615=""),"",IF(ISNUMBER(Sync!$AE1615),INT(MOD(Sync!$AE1615,10000)/100),IFERROR(VALUE(TRIM(LEFT(MID(Sync!$AE1615,FIND("/",Sync!$AE1615)+1,20),FIND("/",MID(Sync!$AE1615,FIND("/",Sync!$AE1615)+1,20))-1))),"")))</f>
        <v/>
      </c>
      <c r="I1615" t="str">
        <f>IF(OR($F1615="",$G1615=""),"",IF(ISNUMBER(Sync!$AE1615),MOD(Sync!$AE1615,100),IFERROR(VALUE(TRIM(MID(MID(Sync!$AE1615,FIND("/",Sync!$AE1615)+1,20),FIND("/",MID(Sync!$AE1615,FIND("/",Sync!$AE1615)+1,20))+1,20))),"")))</f>
        <v/>
      </c>
      <c r="J1615" t="str">
        <f t="shared" si="127"/>
        <v/>
      </c>
      <c r="K1615" t="str">
        <f>IF(OR($F1615="",$J1615="",$J1615="نامعتبر"),"",LEFT($J1615,4)&amp;MID($J1615,6,2)&amp;RIGHT($J1615,2)&amp;$N1615&amp;"|"&amp;"2"&amp;RIGHT("00000"&amp;1610,5))</f>
        <v/>
      </c>
      <c r="L1615" t="str">
        <f t="shared" si="128"/>
        <v/>
      </c>
      <c r="M1615" t="str">
        <f t="shared" si="129"/>
        <v/>
      </c>
      <c r="N1615" t="str">
        <f>IF($F1615="","",IF(Sync!$AF1615="","0000",IF(AND(ISNUMBER(Sync!$AF1615),Sync!$AF1615&gt;=0,Sync!$AF1615&lt;1),RIGHT("00"&amp;HOUR(Sync!$AF1615),2)&amp;RIGHT("00"&amp;MINUTE(Sync!$AF1615),2),IFERROR(RIGHT("00"&amp;VALUE(LEFT(Sync!$AF1615,FIND(":",Sync!$AF1615)-1)),2)&amp;RIGHT("00"&amp;VALUE(MID(Sync!$AF1615,FIND(":",Sync!$AF1615)+1,2)),2),"0000"))))</f>
        <v/>
      </c>
    </row>
    <row r="1616" spans="1:14" x14ac:dyDescent="0.2">
      <c r="A1616" t="str">
        <f>IF(OR(Calc!$E1620="",Calc!$E1620="نامعتبر",Calc!$G1620=""),"",Calc!$G1620)</f>
        <v/>
      </c>
      <c r="B1616" t="str">
        <f>IF($A1616="","",LEFT(Calc!$E1620,4)&amp;MID(Calc!$E1620,6,2)&amp;RIGHT(Calc!$E1620,2)&amp;Calc!$Q1620&amp;"|"&amp;"1"&amp;RIGHT("00000"&amp;1611,5))</f>
        <v/>
      </c>
      <c r="C1616" t="str">
        <f t="shared" si="125"/>
        <v/>
      </c>
      <c r="D1616" t="str">
        <f t="shared" si="126"/>
        <v/>
      </c>
      <c r="F1616" t="str">
        <f>IF(Sync!$AH1616="","",IF(LEFT(UPPER(TRIM(Sync!$AH1616)),2)="SL",UPPER(TRIM(Sync!$AH1616)),""))</f>
        <v/>
      </c>
      <c r="G1616" t="str">
        <f>IF($F1616="","",IF(Sync!$AE1616="","",IF(ISNUMBER(Sync!$AE1616),IF(AND(Sync!$AE1616&gt;=10000101,Sync!$AE1616&lt;=99991231),INT(Sync!$AE1616/10000),""),IFERROR(VALUE(TRIM(LEFT(Sync!$AE1616,FIND("/",Sync!$AE1616)-1))),""))))</f>
        <v/>
      </c>
      <c r="H1616" t="str">
        <f>IF(OR($F1616="",$G1616=""),"",IF(ISNUMBER(Sync!$AE1616),INT(MOD(Sync!$AE1616,10000)/100),IFERROR(VALUE(TRIM(LEFT(MID(Sync!$AE1616,FIND("/",Sync!$AE1616)+1,20),FIND("/",MID(Sync!$AE1616,FIND("/",Sync!$AE1616)+1,20))-1))),"")))</f>
        <v/>
      </c>
      <c r="I1616" t="str">
        <f>IF(OR($F1616="",$G1616=""),"",IF(ISNUMBER(Sync!$AE1616),MOD(Sync!$AE1616,100),IFERROR(VALUE(TRIM(MID(MID(Sync!$AE1616,FIND("/",Sync!$AE1616)+1,20),FIND("/",MID(Sync!$AE1616,FIND("/",Sync!$AE1616)+1,20))+1,20))),"")))</f>
        <v/>
      </c>
      <c r="J1616" t="str">
        <f t="shared" si="127"/>
        <v/>
      </c>
      <c r="K1616" t="str">
        <f>IF(OR($F1616="",$J1616="",$J1616="نامعتبر"),"",LEFT($J1616,4)&amp;MID($J1616,6,2)&amp;RIGHT($J1616,2)&amp;$N1616&amp;"|"&amp;"2"&amp;RIGHT("00000"&amp;1611,5))</f>
        <v/>
      </c>
      <c r="L1616" t="str">
        <f t="shared" si="128"/>
        <v/>
      </c>
      <c r="M1616" t="str">
        <f t="shared" si="129"/>
        <v/>
      </c>
      <c r="N1616" t="str">
        <f>IF($F1616="","",IF(Sync!$AF1616="","0000",IF(AND(ISNUMBER(Sync!$AF1616),Sync!$AF1616&gt;=0,Sync!$AF1616&lt;1),RIGHT("00"&amp;HOUR(Sync!$AF1616),2)&amp;RIGHT("00"&amp;MINUTE(Sync!$AF1616),2),IFERROR(RIGHT("00"&amp;VALUE(LEFT(Sync!$AF1616,FIND(":",Sync!$AF1616)-1)),2)&amp;RIGHT("00"&amp;VALUE(MID(Sync!$AF1616,FIND(":",Sync!$AF1616)+1,2)),2),"0000"))))</f>
        <v/>
      </c>
    </row>
    <row r="1617" spans="1:14" x14ac:dyDescent="0.2">
      <c r="A1617" t="str">
        <f>IF(OR(Calc!$E1621="",Calc!$E1621="نامعتبر",Calc!$G1621=""),"",Calc!$G1621)</f>
        <v/>
      </c>
      <c r="B1617" t="str">
        <f>IF($A1617="","",LEFT(Calc!$E1621,4)&amp;MID(Calc!$E1621,6,2)&amp;RIGHT(Calc!$E1621,2)&amp;Calc!$Q1621&amp;"|"&amp;"1"&amp;RIGHT("00000"&amp;1612,5))</f>
        <v/>
      </c>
      <c r="C1617" t="str">
        <f t="shared" si="125"/>
        <v/>
      </c>
      <c r="D1617" t="str">
        <f t="shared" si="126"/>
        <v/>
      </c>
      <c r="F1617" t="str">
        <f>IF(Sync!$AH1617="","",IF(LEFT(UPPER(TRIM(Sync!$AH1617)),2)="SL",UPPER(TRIM(Sync!$AH1617)),""))</f>
        <v/>
      </c>
      <c r="G1617" t="str">
        <f>IF($F1617="","",IF(Sync!$AE1617="","",IF(ISNUMBER(Sync!$AE1617),IF(AND(Sync!$AE1617&gt;=10000101,Sync!$AE1617&lt;=99991231),INT(Sync!$AE1617/10000),""),IFERROR(VALUE(TRIM(LEFT(Sync!$AE1617,FIND("/",Sync!$AE1617)-1))),""))))</f>
        <v/>
      </c>
      <c r="H1617" t="str">
        <f>IF(OR($F1617="",$G1617=""),"",IF(ISNUMBER(Sync!$AE1617),INT(MOD(Sync!$AE1617,10000)/100),IFERROR(VALUE(TRIM(LEFT(MID(Sync!$AE1617,FIND("/",Sync!$AE1617)+1,20),FIND("/",MID(Sync!$AE1617,FIND("/",Sync!$AE1617)+1,20))-1))),"")))</f>
        <v/>
      </c>
      <c r="I1617" t="str">
        <f>IF(OR($F1617="",$G1617=""),"",IF(ISNUMBER(Sync!$AE1617),MOD(Sync!$AE1617,100),IFERROR(VALUE(TRIM(MID(MID(Sync!$AE1617,FIND("/",Sync!$AE1617)+1,20),FIND("/",MID(Sync!$AE1617,FIND("/",Sync!$AE1617)+1,20))+1,20))),"")))</f>
        <v/>
      </c>
      <c r="J1617" t="str">
        <f t="shared" si="127"/>
        <v/>
      </c>
      <c r="K1617" t="str">
        <f>IF(OR($F1617="",$J1617="",$J1617="نامعتبر"),"",LEFT($J1617,4)&amp;MID($J1617,6,2)&amp;RIGHT($J1617,2)&amp;$N1617&amp;"|"&amp;"2"&amp;RIGHT("00000"&amp;1612,5))</f>
        <v/>
      </c>
      <c r="L1617" t="str">
        <f t="shared" si="128"/>
        <v/>
      </c>
      <c r="M1617" t="str">
        <f t="shared" si="129"/>
        <v/>
      </c>
      <c r="N1617" t="str">
        <f>IF($F1617="","",IF(Sync!$AF1617="","0000",IF(AND(ISNUMBER(Sync!$AF1617),Sync!$AF1617&gt;=0,Sync!$AF1617&lt;1),RIGHT("00"&amp;HOUR(Sync!$AF1617),2)&amp;RIGHT("00"&amp;MINUTE(Sync!$AF1617),2),IFERROR(RIGHT("00"&amp;VALUE(LEFT(Sync!$AF1617,FIND(":",Sync!$AF1617)-1)),2)&amp;RIGHT("00"&amp;VALUE(MID(Sync!$AF1617,FIND(":",Sync!$AF1617)+1,2)),2),"0000"))))</f>
        <v/>
      </c>
    </row>
    <row r="1618" spans="1:14" x14ac:dyDescent="0.2">
      <c r="A1618" t="str">
        <f>IF(OR(Calc!$E1622="",Calc!$E1622="نامعتبر",Calc!$G1622=""),"",Calc!$G1622)</f>
        <v/>
      </c>
      <c r="B1618" t="str">
        <f>IF($A1618="","",LEFT(Calc!$E1622,4)&amp;MID(Calc!$E1622,6,2)&amp;RIGHT(Calc!$E1622,2)&amp;Calc!$Q1622&amp;"|"&amp;"1"&amp;RIGHT("00000"&amp;1613,5))</f>
        <v/>
      </c>
      <c r="C1618" t="str">
        <f t="shared" si="125"/>
        <v/>
      </c>
      <c r="D1618" t="str">
        <f t="shared" si="126"/>
        <v/>
      </c>
      <c r="F1618" t="str">
        <f>IF(Sync!$AH1618="","",IF(LEFT(UPPER(TRIM(Sync!$AH1618)),2)="SL",UPPER(TRIM(Sync!$AH1618)),""))</f>
        <v/>
      </c>
      <c r="G1618" t="str">
        <f>IF($F1618="","",IF(Sync!$AE1618="","",IF(ISNUMBER(Sync!$AE1618),IF(AND(Sync!$AE1618&gt;=10000101,Sync!$AE1618&lt;=99991231),INT(Sync!$AE1618/10000),""),IFERROR(VALUE(TRIM(LEFT(Sync!$AE1618,FIND("/",Sync!$AE1618)-1))),""))))</f>
        <v/>
      </c>
      <c r="H1618" t="str">
        <f>IF(OR($F1618="",$G1618=""),"",IF(ISNUMBER(Sync!$AE1618),INT(MOD(Sync!$AE1618,10000)/100),IFERROR(VALUE(TRIM(LEFT(MID(Sync!$AE1618,FIND("/",Sync!$AE1618)+1,20),FIND("/",MID(Sync!$AE1618,FIND("/",Sync!$AE1618)+1,20))-1))),"")))</f>
        <v/>
      </c>
      <c r="I1618" t="str">
        <f>IF(OR($F1618="",$G1618=""),"",IF(ISNUMBER(Sync!$AE1618),MOD(Sync!$AE1618,100),IFERROR(VALUE(TRIM(MID(MID(Sync!$AE1618,FIND("/",Sync!$AE1618)+1,20),FIND("/",MID(Sync!$AE1618,FIND("/",Sync!$AE1618)+1,20))+1,20))),"")))</f>
        <v/>
      </c>
      <c r="J1618" t="str">
        <f t="shared" si="127"/>
        <v/>
      </c>
      <c r="K1618" t="str">
        <f>IF(OR($F1618="",$J1618="",$J1618="نامعتبر"),"",LEFT($J1618,4)&amp;MID($J1618,6,2)&amp;RIGHT($J1618,2)&amp;$N1618&amp;"|"&amp;"2"&amp;RIGHT("00000"&amp;1613,5))</f>
        <v/>
      </c>
      <c r="L1618" t="str">
        <f t="shared" si="128"/>
        <v/>
      </c>
      <c r="M1618" t="str">
        <f t="shared" si="129"/>
        <v/>
      </c>
      <c r="N1618" t="str">
        <f>IF($F1618="","",IF(Sync!$AF1618="","0000",IF(AND(ISNUMBER(Sync!$AF1618),Sync!$AF1618&gt;=0,Sync!$AF1618&lt;1),RIGHT("00"&amp;HOUR(Sync!$AF1618),2)&amp;RIGHT("00"&amp;MINUTE(Sync!$AF1618),2),IFERROR(RIGHT("00"&amp;VALUE(LEFT(Sync!$AF1618,FIND(":",Sync!$AF1618)-1)),2)&amp;RIGHT("00"&amp;VALUE(MID(Sync!$AF1618,FIND(":",Sync!$AF1618)+1,2)),2),"0000"))))</f>
        <v/>
      </c>
    </row>
    <row r="1619" spans="1:14" x14ac:dyDescent="0.2">
      <c r="A1619" t="str">
        <f>IF(OR(Calc!$E1623="",Calc!$E1623="نامعتبر",Calc!$G1623=""),"",Calc!$G1623)</f>
        <v/>
      </c>
      <c r="B1619" t="str">
        <f>IF($A1619="","",LEFT(Calc!$E1623,4)&amp;MID(Calc!$E1623,6,2)&amp;RIGHT(Calc!$E1623,2)&amp;Calc!$Q1623&amp;"|"&amp;"1"&amp;RIGHT("00000"&amp;1614,5))</f>
        <v/>
      </c>
      <c r="C1619" t="str">
        <f t="shared" si="125"/>
        <v/>
      </c>
      <c r="D1619" t="str">
        <f t="shared" si="126"/>
        <v/>
      </c>
      <c r="F1619" t="str">
        <f>IF(Sync!$AH1619="","",IF(LEFT(UPPER(TRIM(Sync!$AH1619)),2)="SL",UPPER(TRIM(Sync!$AH1619)),""))</f>
        <v/>
      </c>
      <c r="G1619" t="str">
        <f>IF($F1619="","",IF(Sync!$AE1619="","",IF(ISNUMBER(Sync!$AE1619),IF(AND(Sync!$AE1619&gt;=10000101,Sync!$AE1619&lt;=99991231),INT(Sync!$AE1619/10000),""),IFERROR(VALUE(TRIM(LEFT(Sync!$AE1619,FIND("/",Sync!$AE1619)-1))),""))))</f>
        <v/>
      </c>
      <c r="H1619" t="str">
        <f>IF(OR($F1619="",$G1619=""),"",IF(ISNUMBER(Sync!$AE1619),INT(MOD(Sync!$AE1619,10000)/100),IFERROR(VALUE(TRIM(LEFT(MID(Sync!$AE1619,FIND("/",Sync!$AE1619)+1,20),FIND("/",MID(Sync!$AE1619,FIND("/",Sync!$AE1619)+1,20))-1))),"")))</f>
        <v/>
      </c>
      <c r="I1619" t="str">
        <f>IF(OR($F1619="",$G1619=""),"",IF(ISNUMBER(Sync!$AE1619),MOD(Sync!$AE1619,100),IFERROR(VALUE(TRIM(MID(MID(Sync!$AE1619,FIND("/",Sync!$AE1619)+1,20),FIND("/",MID(Sync!$AE1619,FIND("/",Sync!$AE1619)+1,20))+1,20))),"")))</f>
        <v/>
      </c>
      <c r="J1619" t="str">
        <f t="shared" si="127"/>
        <v/>
      </c>
      <c r="K1619" t="str">
        <f>IF(OR($F1619="",$J1619="",$J1619="نامعتبر"),"",LEFT($J1619,4)&amp;MID($J1619,6,2)&amp;RIGHT($J1619,2)&amp;$N1619&amp;"|"&amp;"2"&amp;RIGHT("00000"&amp;1614,5))</f>
        <v/>
      </c>
      <c r="L1619" t="str">
        <f t="shared" si="128"/>
        <v/>
      </c>
      <c r="M1619" t="str">
        <f t="shared" si="129"/>
        <v/>
      </c>
      <c r="N1619" t="str">
        <f>IF($F1619="","",IF(Sync!$AF1619="","0000",IF(AND(ISNUMBER(Sync!$AF1619),Sync!$AF1619&gt;=0,Sync!$AF1619&lt;1),RIGHT("00"&amp;HOUR(Sync!$AF1619),2)&amp;RIGHT("00"&amp;MINUTE(Sync!$AF1619),2),IFERROR(RIGHT("00"&amp;VALUE(LEFT(Sync!$AF1619,FIND(":",Sync!$AF1619)-1)),2)&amp;RIGHT("00"&amp;VALUE(MID(Sync!$AF1619,FIND(":",Sync!$AF1619)+1,2)),2),"0000"))))</f>
        <v/>
      </c>
    </row>
    <row r="1620" spans="1:14" x14ac:dyDescent="0.2">
      <c r="A1620" t="str">
        <f>IF(OR(Calc!$E1624="",Calc!$E1624="نامعتبر",Calc!$G1624=""),"",Calc!$G1624)</f>
        <v/>
      </c>
      <c r="B1620" t="str">
        <f>IF($A1620="","",LEFT(Calc!$E1624,4)&amp;MID(Calc!$E1624,6,2)&amp;RIGHT(Calc!$E1624,2)&amp;Calc!$Q1624&amp;"|"&amp;"1"&amp;RIGHT("00000"&amp;1615,5))</f>
        <v/>
      </c>
      <c r="C1620" t="str">
        <f t="shared" si="125"/>
        <v/>
      </c>
      <c r="D1620" t="str">
        <f t="shared" si="126"/>
        <v/>
      </c>
      <c r="F1620" t="str">
        <f>IF(Sync!$AH1620="","",IF(LEFT(UPPER(TRIM(Sync!$AH1620)),2)="SL",UPPER(TRIM(Sync!$AH1620)),""))</f>
        <v/>
      </c>
      <c r="G1620" t="str">
        <f>IF($F1620="","",IF(Sync!$AE1620="","",IF(ISNUMBER(Sync!$AE1620),IF(AND(Sync!$AE1620&gt;=10000101,Sync!$AE1620&lt;=99991231),INT(Sync!$AE1620/10000),""),IFERROR(VALUE(TRIM(LEFT(Sync!$AE1620,FIND("/",Sync!$AE1620)-1))),""))))</f>
        <v/>
      </c>
      <c r="H1620" t="str">
        <f>IF(OR($F1620="",$G1620=""),"",IF(ISNUMBER(Sync!$AE1620),INT(MOD(Sync!$AE1620,10000)/100),IFERROR(VALUE(TRIM(LEFT(MID(Sync!$AE1620,FIND("/",Sync!$AE1620)+1,20),FIND("/",MID(Sync!$AE1620,FIND("/",Sync!$AE1620)+1,20))-1))),"")))</f>
        <v/>
      </c>
      <c r="I1620" t="str">
        <f>IF(OR($F1620="",$G1620=""),"",IF(ISNUMBER(Sync!$AE1620),MOD(Sync!$AE1620,100),IFERROR(VALUE(TRIM(MID(MID(Sync!$AE1620,FIND("/",Sync!$AE1620)+1,20),FIND("/",MID(Sync!$AE1620,FIND("/",Sync!$AE1620)+1,20))+1,20))),"")))</f>
        <v/>
      </c>
      <c r="J1620" t="str">
        <f t="shared" si="127"/>
        <v/>
      </c>
      <c r="K1620" t="str">
        <f>IF(OR($F1620="",$J1620="",$J1620="نامعتبر"),"",LEFT($J1620,4)&amp;MID($J1620,6,2)&amp;RIGHT($J1620,2)&amp;$N1620&amp;"|"&amp;"2"&amp;RIGHT("00000"&amp;1615,5))</f>
        <v/>
      </c>
      <c r="L1620" t="str">
        <f t="shared" si="128"/>
        <v/>
      </c>
      <c r="M1620" t="str">
        <f t="shared" si="129"/>
        <v/>
      </c>
      <c r="N1620" t="str">
        <f>IF($F1620="","",IF(Sync!$AF1620="","0000",IF(AND(ISNUMBER(Sync!$AF1620),Sync!$AF1620&gt;=0,Sync!$AF1620&lt;1),RIGHT("00"&amp;HOUR(Sync!$AF1620),2)&amp;RIGHT("00"&amp;MINUTE(Sync!$AF1620),2),IFERROR(RIGHT("00"&amp;VALUE(LEFT(Sync!$AF1620,FIND(":",Sync!$AF1620)-1)),2)&amp;RIGHT("00"&amp;VALUE(MID(Sync!$AF1620,FIND(":",Sync!$AF1620)+1,2)),2),"0000"))))</f>
        <v/>
      </c>
    </row>
    <row r="1621" spans="1:14" x14ac:dyDescent="0.2">
      <c r="A1621" t="str">
        <f>IF(OR(Calc!$E1625="",Calc!$E1625="نامعتبر",Calc!$G1625=""),"",Calc!$G1625)</f>
        <v/>
      </c>
      <c r="B1621" t="str">
        <f>IF($A1621="","",LEFT(Calc!$E1625,4)&amp;MID(Calc!$E1625,6,2)&amp;RIGHT(Calc!$E1625,2)&amp;Calc!$Q1625&amp;"|"&amp;"1"&amp;RIGHT("00000"&amp;1616,5))</f>
        <v/>
      </c>
      <c r="C1621" t="str">
        <f t="shared" si="125"/>
        <v/>
      </c>
      <c r="D1621" t="str">
        <f t="shared" si="126"/>
        <v/>
      </c>
      <c r="F1621" t="str">
        <f>IF(Sync!$AH1621="","",IF(LEFT(UPPER(TRIM(Sync!$AH1621)),2)="SL",UPPER(TRIM(Sync!$AH1621)),""))</f>
        <v/>
      </c>
      <c r="G1621" t="str">
        <f>IF($F1621="","",IF(Sync!$AE1621="","",IF(ISNUMBER(Sync!$AE1621),IF(AND(Sync!$AE1621&gt;=10000101,Sync!$AE1621&lt;=99991231),INT(Sync!$AE1621/10000),""),IFERROR(VALUE(TRIM(LEFT(Sync!$AE1621,FIND("/",Sync!$AE1621)-1))),""))))</f>
        <v/>
      </c>
      <c r="H1621" t="str">
        <f>IF(OR($F1621="",$G1621=""),"",IF(ISNUMBER(Sync!$AE1621),INT(MOD(Sync!$AE1621,10000)/100),IFERROR(VALUE(TRIM(LEFT(MID(Sync!$AE1621,FIND("/",Sync!$AE1621)+1,20),FIND("/",MID(Sync!$AE1621,FIND("/",Sync!$AE1621)+1,20))-1))),"")))</f>
        <v/>
      </c>
      <c r="I1621" t="str">
        <f>IF(OR($F1621="",$G1621=""),"",IF(ISNUMBER(Sync!$AE1621),MOD(Sync!$AE1621,100),IFERROR(VALUE(TRIM(MID(MID(Sync!$AE1621,FIND("/",Sync!$AE1621)+1,20),FIND("/",MID(Sync!$AE1621,FIND("/",Sync!$AE1621)+1,20))+1,20))),"")))</f>
        <v/>
      </c>
      <c r="J1621" t="str">
        <f t="shared" si="127"/>
        <v/>
      </c>
      <c r="K1621" t="str">
        <f>IF(OR($F1621="",$J1621="",$J1621="نامعتبر"),"",LEFT($J1621,4)&amp;MID($J1621,6,2)&amp;RIGHT($J1621,2)&amp;$N1621&amp;"|"&amp;"2"&amp;RIGHT("00000"&amp;1616,5))</f>
        <v/>
      </c>
      <c r="L1621" t="str">
        <f t="shared" si="128"/>
        <v/>
      </c>
      <c r="M1621" t="str">
        <f t="shared" si="129"/>
        <v/>
      </c>
      <c r="N1621" t="str">
        <f>IF($F1621="","",IF(Sync!$AF1621="","0000",IF(AND(ISNUMBER(Sync!$AF1621),Sync!$AF1621&gt;=0,Sync!$AF1621&lt;1),RIGHT("00"&amp;HOUR(Sync!$AF1621),2)&amp;RIGHT("00"&amp;MINUTE(Sync!$AF1621),2),IFERROR(RIGHT("00"&amp;VALUE(LEFT(Sync!$AF1621,FIND(":",Sync!$AF1621)-1)),2)&amp;RIGHT("00"&amp;VALUE(MID(Sync!$AF1621,FIND(":",Sync!$AF1621)+1,2)),2),"0000"))))</f>
        <v/>
      </c>
    </row>
    <row r="1622" spans="1:14" x14ac:dyDescent="0.2">
      <c r="A1622" t="str">
        <f>IF(OR(Calc!$E1626="",Calc!$E1626="نامعتبر",Calc!$G1626=""),"",Calc!$G1626)</f>
        <v/>
      </c>
      <c r="B1622" t="str">
        <f>IF($A1622="","",LEFT(Calc!$E1626,4)&amp;MID(Calc!$E1626,6,2)&amp;RIGHT(Calc!$E1626,2)&amp;Calc!$Q1626&amp;"|"&amp;"1"&amp;RIGHT("00000"&amp;1617,5))</f>
        <v/>
      </c>
      <c r="C1622" t="str">
        <f t="shared" si="125"/>
        <v/>
      </c>
      <c r="D1622" t="str">
        <f t="shared" si="126"/>
        <v/>
      </c>
      <c r="F1622" t="str">
        <f>IF(Sync!$AH1622="","",IF(LEFT(UPPER(TRIM(Sync!$AH1622)),2)="SL",UPPER(TRIM(Sync!$AH1622)),""))</f>
        <v/>
      </c>
      <c r="G1622" t="str">
        <f>IF($F1622="","",IF(Sync!$AE1622="","",IF(ISNUMBER(Sync!$AE1622),IF(AND(Sync!$AE1622&gt;=10000101,Sync!$AE1622&lt;=99991231),INT(Sync!$AE1622/10000),""),IFERROR(VALUE(TRIM(LEFT(Sync!$AE1622,FIND("/",Sync!$AE1622)-1))),""))))</f>
        <v/>
      </c>
      <c r="H1622" t="str">
        <f>IF(OR($F1622="",$G1622=""),"",IF(ISNUMBER(Sync!$AE1622),INT(MOD(Sync!$AE1622,10000)/100),IFERROR(VALUE(TRIM(LEFT(MID(Sync!$AE1622,FIND("/",Sync!$AE1622)+1,20),FIND("/",MID(Sync!$AE1622,FIND("/",Sync!$AE1622)+1,20))-1))),"")))</f>
        <v/>
      </c>
      <c r="I1622" t="str">
        <f>IF(OR($F1622="",$G1622=""),"",IF(ISNUMBER(Sync!$AE1622),MOD(Sync!$AE1622,100),IFERROR(VALUE(TRIM(MID(MID(Sync!$AE1622,FIND("/",Sync!$AE1622)+1,20),FIND("/",MID(Sync!$AE1622,FIND("/",Sync!$AE1622)+1,20))+1,20))),"")))</f>
        <v/>
      </c>
      <c r="J1622" t="str">
        <f t="shared" si="127"/>
        <v/>
      </c>
      <c r="K1622" t="str">
        <f>IF(OR($F1622="",$J1622="",$J1622="نامعتبر"),"",LEFT($J1622,4)&amp;MID($J1622,6,2)&amp;RIGHT($J1622,2)&amp;$N1622&amp;"|"&amp;"2"&amp;RIGHT("00000"&amp;1617,5))</f>
        <v/>
      </c>
      <c r="L1622" t="str">
        <f t="shared" si="128"/>
        <v/>
      </c>
      <c r="M1622" t="str">
        <f t="shared" si="129"/>
        <v/>
      </c>
      <c r="N1622" t="str">
        <f>IF($F1622="","",IF(Sync!$AF1622="","0000",IF(AND(ISNUMBER(Sync!$AF1622),Sync!$AF1622&gt;=0,Sync!$AF1622&lt;1),RIGHT("00"&amp;HOUR(Sync!$AF1622),2)&amp;RIGHT("00"&amp;MINUTE(Sync!$AF1622),2),IFERROR(RIGHT("00"&amp;VALUE(LEFT(Sync!$AF1622,FIND(":",Sync!$AF1622)-1)),2)&amp;RIGHT("00"&amp;VALUE(MID(Sync!$AF1622,FIND(":",Sync!$AF1622)+1,2)),2),"0000"))))</f>
        <v/>
      </c>
    </row>
    <row r="1623" spans="1:14" x14ac:dyDescent="0.2">
      <c r="A1623" t="str">
        <f>IF(OR(Calc!$E1627="",Calc!$E1627="نامعتبر",Calc!$G1627=""),"",Calc!$G1627)</f>
        <v/>
      </c>
      <c r="B1623" t="str">
        <f>IF($A1623="","",LEFT(Calc!$E1627,4)&amp;MID(Calc!$E1627,6,2)&amp;RIGHT(Calc!$E1627,2)&amp;Calc!$Q1627&amp;"|"&amp;"1"&amp;RIGHT("00000"&amp;1618,5))</f>
        <v/>
      </c>
      <c r="C1623" t="str">
        <f t="shared" si="125"/>
        <v/>
      </c>
      <c r="D1623" t="str">
        <f t="shared" si="126"/>
        <v/>
      </c>
      <c r="F1623" t="str">
        <f>IF(Sync!$AH1623="","",IF(LEFT(UPPER(TRIM(Sync!$AH1623)),2)="SL",UPPER(TRIM(Sync!$AH1623)),""))</f>
        <v/>
      </c>
      <c r="G1623" t="str">
        <f>IF($F1623="","",IF(Sync!$AE1623="","",IF(ISNUMBER(Sync!$AE1623),IF(AND(Sync!$AE1623&gt;=10000101,Sync!$AE1623&lt;=99991231),INT(Sync!$AE1623/10000),""),IFERROR(VALUE(TRIM(LEFT(Sync!$AE1623,FIND("/",Sync!$AE1623)-1))),""))))</f>
        <v/>
      </c>
      <c r="H1623" t="str">
        <f>IF(OR($F1623="",$G1623=""),"",IF(ISNUMBER(Sync!$AE1623),INT(MOD(Sync!$AE1623,10000)/100),IFERROR(VALUE(TRIM(LEFT(MID(Sync!$AE1623,FIND("/",Sync!$AE1623)+1,20),FIND("/",MID(Sync!$AE1623,FIND("/",Sync!$AE1623)+1,20))-1))),"")))</f>
        <v/>
      </c>
      <c r="I1623" t="str">
        <f>IF(OR($F1623="",$G1623=""),"",IF(ISNUMBER(Sync!$AE1623),MOD(Sync!$AE1623,100),IFERROR(VALUE(TRIM(MID(MID(Sync!$AE1623,FIND("/",Sync!$AE1623)+1,20),FIND("/",MID(Sync!$AE1623,FIND("/",Sync!$AE1623)+1,20))+1,20))),"")))</f>
        <v/>
      </c>
      <c r="J1623" t="str">
        <f t="shared" si="127"/>
        <v/>
      </c>
      <c r="K1623" t="str">
        <f>IF(OR($F1623="",$J1623="",$J1623="نامعتبر"),"",LEFT($J1623,4)&amp;MID($J1623,6,2)&amp;RIGHT($J1623,2)&amp;$N1623&amp;"|"&amp;"2"&amp;RIGHT("00000"&amp;1618,5))</f>
        <v/>
      </c>
      <c r="L1623" t="str">
        <f t="shared" si="128"/>
        <v/>
      </c>
      <c r="M1623" t="str">
        <f t="shared" si="129"/>
        <v/>
      </c>
      <c r="N1623" t="str">
        <f>IF($F1623="","",IF(Sync!$AF1623="","0000",IF(AND(ISNUMBER(Sync!$AF1623),Sync!$AF1623&gt;=0,Sync!$AF1623&lt;1),RIGHT("00"&amp;HOUR(Sync!$AF1623),2)&amp;RIGHT("00"&amp;MINUTE(Sync!$AF1623),2),IFERROR(RIGHT("00"&amp;VALUE(LEFT(Sync!$AF1623,FIND(":",Sync!$AF1623)-1)),2)&amp;RIGHT("00"&amp;VALUE(MID(Sync!$AF1623,FIND(":",Sync!$AF1623)+1,2)),2),"0000"))))</f>
        <v/>
      </c>
    </row>
    <row r="1624" spans="1:14" x14ac:dyDescent="0.2">
      <c r="A1624" t="str">
        <f>IF(OR(Calc!$E1628="",Calc!$E1628="نامعتبر",Calc!$G1628=""),"",Calc!$G1628)</f>
        <v/>
      </c>
      <c r="B1624" t="str">
        <f>IF($A1624="","",LEFT(Calc!$E1628,4)&amp;MID(Calc!$E1628,6,2)&amp;RIGHT(Calc!$E1628,2)&amp;Calc!$Q1628&amp;"|"&amp;"1"&amp;RIGHT("00000"&amp;1619,5))</f>
        <v/>
      </c>
      <c r="C1624" t="str">
        <f t="shared" si="125"/>
        <v/>
      </c>
      <c r="D1624" t="str">
        <f t="shared" si="126"/>
        <v/>
      </c>
      <c r="F1624" t="str">
        <f>IF(Sync!$AH1624="","",IF(LEFT(UPPER(TRIM(Sync!$AH1624)),2)="SL",UPPER(TRIM(Sync!$AH1624)),""))</f>
        <v/>
      </c>
      <c r="G1624" t="str">
        <f>IF($F1624="","",IF(Sync!$AE1624="","",IF(ISNUMBER(Sync!$AE1624),IF(AND(Sync!$AE1624&gt;=10000101,Sync!$AE1624&lt;=99991231),INT(Sync!$AE1624/10000),""),IFERROR(VALUE(TRIM(LEFT(Sync!$AE1624,FIND("/",Sync!$AE1624)-1))),""))))</f>
        <v/>
      </c>
      <c r="H1624" t="str">
        <f>IF(OR($F1624="",$G1624=""),"",IF(ISNUMBER(Sync!$AE1624),INT(MOD(Sync!$AE1624,10000)/100),IFERROR(VALUE(TRIM(LEFT(MID(Sync!$AE1624,FIND("/",Sync!$AE1624)+1,20),FIND("/",MID(Sync!$AE1624,FIND("/",Sync!$AE1624)+1,20))-1))),"")))</f>
        <v/>
      </c>
      <c r="I1624" t="str">
        <f>IF(OR($F1624="",$G1624=""),"",IF(ISNUMBER(Sync!$AE1624),MOD(Sync!$AE1624,100),IFERROR(VALUE(TRIM(MID(MID(Sync!$AE1624,FIND("/",Sync!$AE1624)+1,20),FIND("/",MID(Sync!$AE1624,FIND("/",Sync!$AE1624)+1,20))+1,20))),"")))</f>
        <v/>
      </c>
      <c r="J1624" t="str">
        <f t="shared" si="127"/>
        <v/>
      </c>
      <c r="K1624" t="str">
        <f>IF(OR($F1624="",$J1624="",$J1624="نامعتبر"),"",LEFT($J1624,4)&amp;MID($J1624,6,2)&amp;RIGHT($J1624,2)&amp;$N1624&amp;"|"&amp;"2"&amp;RIGHT("00000"&amp;1619,5))</f>
        <v/>
      </c>
      <c r="L1624" t="str">
        <f t="shared" si="128"/>
        <v/>
      </c>
      <c r="M1624" t="str">
        <f t="shared" si="129"/>
        <v/>
      </c>
      <c r="N1624" t="str">
        <f>IF($F1624="","",IF(Sync!$AF1624="","0000",IF(AND(ISNUMBER(Sync!$AF1624),Sync!$AF1624&gt;=0,Sync!$AF1624&lt;1),RIGHT("00"&amp;HOUR(Sync!$AF1624),2)&amp;RIGHT("00"&amp;MINUTE(Sync!$AF1624),2),IFERROR(RIGHT("00"&amp;VALUE(LEFT(Sync!$AF1624,FIND(":",Sync!$AF1624)-1)),2)&amp;RIGHT("00"&amp;VALUE(MID(Sync!$AF1624,FIND(":",Sync!$AF1624)+1,2)),2),"0000"))))</f>
        <v/>
      </c>
    </row>
    <row r="1625" spans="1:14" x14ac:dyDescent="0.2">
      <c r="A1625" t="str">
        <f>IF(OR(Calc!$E1629="",Calc!$E1629="نامعتبر",Calc!$G1629=""),"",Calc!$G1629)</f>
        <v/>
      </c>
      <c r="B1625" t="str">
        <f>IF($A1625="","",LEFT(Calc!$E1629,4)&amp;MID(Calc!$E1629,6,2)&amp;RIGHT(Calc!$E1629,2)&amp;Calc!$Q1629&amp;"|"&amp;"1"&amp;RIGHT("00000"&amp;1620,5))</f>
        <v/>
      </c>
      <c r="C1625" t="str">
        <f t="shared" si="125"/>
        <v/>
      </c>
      <c r="D1625" t="str">
        <f t="shared" si="126"/>
        <v/>
      </c>
      <c r="F1625" t="str">
        <f>IF(Sync!$AH1625="","",IF(LEFT(UPPER(TRIM(Sync!$AH1625)),2)="SL",UPPER(TRIM(Sync!$AH1625)),""))</f>
        <v/>
      </c>
      <c r="G1625" t="str">
        <f>IF($F1625="","",IF(Sync!$AE1625="","",IF(ISNUMBER(Sync!$AE1625),IF(AND(Sync!$AE1625&gt;=10000101,Sync!$AE1625&lt;=99991231),INT(Sync!$AE1625/10000),""),IFERROR(VALUE(TRIM(LEFT(Sync!$AE1625,FIND("/",Sync!$AE1625)-1))),""))))</f>
        <v/>
      </c>
      <c r="H1625" t="str">
        <f>IF(OR($F1625="",$G1625=""),"",IF(ISNUMBER(Sync!$AE1625),INT(MOD(Sync!$AE1625,10000)/100),IFERROR(VALUE(TRIM(LEFT(MID(Sync!$AE1625,FIND("/",Sync!$AE1625)+1,20),FIND("/",MID(Sync!$AE1625,FIND("/",Sync!$AE1625)+1,20))-1))),"")))</f>
        <v/>
      </c>
      <c r="I1625" t="str">
        <f>IF(OR($F1625="",$G1625=""),"",IF(ISNUMBER(Sync!$AE1625),MOD(Sync!$AE1625,100),IFERROR(VALUE(TRIM(MID(MID(Sync!$AE1625,FIND("/",Sync!$AE1625)+1,20),FIND("/",MID(Sync!$AE1625,FIND("/",Sync!$AE1625)+1,20))+1,20))),"")))</f>
        <v/>
      </c>
      <c r="J1625" t="str">
        <f t="shared" si="127"/>
        <v/>
      </c>
      <c r="K1625" t="str">
        <f>IF(OR($F1625="",$J1625="",$J1625="نامعتبر"),"",LEFT($J1625,4)&amp;MID($J1625,6,2)&amp;RIGHT($J1625,2)&amp;$N1625&amp;"|"&amp;"2"&amp;RIGHT("00000"&amp;1620,5))</f>
        <v/>
      </c>
      <c r="L1625" t="str">
        <f t="shared" si="128"/>
        <v/>
      </c>
      <c r="M1625" t="str">
        <f t="shared" si="129"/>
        <v/>
      </c>
      <c r="N1625" t="str">
        <f>IF($F1625="","",IF(Sync!$AF1625="","0000",IF(AND(ISNUMBER(Sync!$AF1625),Sync!$AF1625&gt;=0,Sync!$AF1625&lt;1),RIGHT("00"&amp;HOUR(Sync!$AF1625),2)&amp;RIGHT("00"&amp;MINUTE(Sync!$AF1625),2),IFERROR(RIGHT("00"&amp;VALUE(LEFT(Sync!$AF1625,FIND(":",Sync!$AF1625)-1)),2)&amp;RIGHT("00"&amp;VALUE(MID(Sync!$AF1625,FIND(":",Sync!$AF1625)+1,2)),2),"0000"))))</f>
        <v/>
      </c>
    </row>
    <row r="1626" spans="1:14" x14ac:dyDescent="0.2">
      <c r="A1626" t="str">
        <f>IF(OR(Calc!$E1630="",Calc!$E1630="نامعتبر",Calc!$G1630=""),"",Calc!$G1630)</f>
        <v/>
      </c>
      <c r="B1626" t="str">
        <f>IF($A1626="","",LEFT(Calc!$E1630,4)&amp;MID(Calc!$E1630,6,2)&amp;RIGHT(Calc!$E1630,2)&amp;Calc!$Q1630&amp;"|"&amp;"1"&amp;RIGHT("00000"&amp;1621,5))</f>
        <v/>
      </c>
      <c r="C1626" t="str">
        <f t="shared" si="125"/>
        <v/>
      </c>
      <c r="D1626" t="str">
        <f t="shared" si="126"/>
        <v/>
      </c>
      <c r="F1626" t="str">
        <f>IF(Sync!$AH1626="","",IF(LEFT(UPPER(TRIM(Sync!$AH1626)),2)="SL",UPPER(TRIM(Sync!$AH1626)),""))</f>
        <v/>
      </c>
      <c r="G1626" t="str">
        <f>IF($F1626="","",IF(Sync!$AE1626="","",IF(ISNUMBER(Sync!$AE1626),IF(AND(Sync!$AE1626&gt;=10000101,Sync!$AE1626&lt;=99991231),INT(Sync!$AE1626/10000),""),IFERROR(VALUE(TRIM(LEFT(Sync!$AE1626,FIND("/",Sync!$AE1626)-1))),""))))</f>
        <v/>
      </c>
      <c r="H1626" t="str">
        <f>IF(OR($F1626="",$G1626=""),"",IF(ISNUMBER(Sync!$AE1626),INT(MOD(Sync!$AE1626,10000)/100),IFERROR(VALUE(TRIM(LEFT(MID(Sync!$AE1626,FIND("/",Sync!$AE1626)+1,20),FIND("/",MID(Sync!$AE1626,FIND("/",Sync!$AE1626)+1,20))-1))),"")))</f>
        <v/>
      </c>
      <c r="I1626" t="str">
        <f>IF(OR($F1626="",$G1626=""),"",IF(ISNUMBER(Sync!$AE1626),MOD(Sync!$AE1626,100),IFERROR(VALUE(TRIM(MID(MID(Sync!$AE1626,FIND("/",Sync!$AE1626)+1,20),FIND("/",MID(Sync!$AE1626,FIND("/",Sync!$AE1626)+1,20))+1,20))),"")))</f>
        <v/>
      </c>
      <c r="J1626" t="str">
        <f t="shared" si="127"/>
        <v/>
      </c>
      <c r="K1626" t="str">
        <f>IF(OR($F1626="",$J1626="",$J1626="نامعتبر"),"",LEFT($J1626,4)&amp;MID($J1626,6,2)&amp;RIGHT($J1626,2)&amp;$N1626&amp;"|"&amp;"2"&amp;RIGHT("00000"&amp;1621,5))</f>
        <v/>
      </c>
      <c r="L1626" t="str">
        <f t="shared" si="128"/>
        <v/>
      </c>
      <c r="M1626" t="str">
        <f t="shared" si="129"/>
        <v/>
      </c>
      <c r="N1626" t="str">
        <f>IF($F1626="","",IF(Sync!$AF1626="","0000",IF(AND(ISNUMBER(Sync!$AF1626),Sync!$AF1626&gt;=0,Sync!$AF1626&lt;1),RIGHT("00"&amp;HOUR(Sync!$AF1626),2)&amp;RIGHT("00"&amp;MINUTE(Sync!$AF1626),2),IFERROR(RIGHT("00"&amp;VALUE(LEFT(Sync!$AF1626,FIND(":",Sync!$AF1626)-1)),2)&amp;RIGHT("00"&amp;VALUE(MID(Sync!$AF1626,FIND(":",Sync!$AF1626)+1,2)),2),"0000"))))</f>
        <v/>
      </c>
    </row>
    <row r="1627" spans="1:14" x14ac:dyDescent="0.2">
      <c r="A1627" t="str">
        <f>IF(OR(Calc!$E1631="",Calc!$E1631="نامعتبر",Calc!$G1631=""),"",Calc!$G1631)</f>
        <v/>
      </c>
      <c r="B1627" t="str">
        <f>IF($A1627="","",LEFT(Calc!$E1631,4)&amp;MID(Calc!$E1631,6,2)&amp;RIGHT(Calc!$E1631,2)&amp;Calc!$Q1631&amp;"|"&amp;"1"&amp;RIGHT("00000"&amp;1622,5))</f>
        <v/>
      </c>
      <c r="C1627" t="str">
        <f t="shared" si="125"/>
        <v/>
      </c>
      <c r="D1627" t="str">
        <f t="shared" si="126"/>
        <v/>
      </c>
      <c r="F1627" t="str">
        <f>IF(Sync!$AH1627="","",IF(LEFT(UPPER(TRIM(Sync!$AH1627)),2)="SL",UPPER(TRIM(Sync!$AH1627)),""))</f>
        <v/>
      </c>
      <c r="G1627" t="str">
        <f>IF($F1627="","",IF(Sync!$AE1627="","",IF(ISNUMBER(Sync!$AE1627),IF(AND(Sync!$AE1627&gt;=10000101,Sync!$AE1627&lt;=99991231),INT(Sync!$AE1627/10000),""),IFERROR(VALUE(TRIM(LEFT(Sync!$AE1627,FIND("/",Sync!$AE1627)-1))),""))))</f>
        <v/>
      </c>
      <c r="H1627" t="str">
        <f>IF(OR($F1627="",$G1627=""),"",IF(ISNUMBER(Sync!$AE1627),INT(MOD(Sync!$AE1627,10000)/100),IFERROR(VALUE(TRIM(LEFT(MID(Sync!$AE1627,FIND("/",Sync!$AE1627)+1,20),FIND("/",MID(Sync!$AE1627,FIND("/",Sync!$AE1627)+1,20))-1))),"")))</f>
        <v/>
      </c>
      <c r="I1627" t="str">
        <f>IF(OR($F1627="",$G1627=""),"",IF(ISNUMBER(Sync!$AE1627),MOD(Sync!$AE1627,100),IFERROR(VALUE(TRIM(MID(MID(Sync!$AE1627,FIND("/",Sync!$AE1627)+1,20),FIND("/",MID(Sync!$AE1627,FIND("/",Sync!$AE1627)+1,20))+1,20))),"")))</f>
        <v/>
      </c>
      <c r="J1627" t="str">
        <f t="shared" si="127"/>
        <v/>
      </c>
      <c r="K1627" t="str">
        <f>IF(OR($F1627="",$J1627="",$J1627="نامعتبر"),"",LEFT($J1627,4)&amp;MID($J1627,6,2)&amp;RIGHT($J1627,2)&amp;$N1627&amp;"|"&amp;"2"&amp;RIGHT("00000"&amp;1622,5))</f>
        <v/>
      </c>
      <c r="L1627" t="str">
        <f t="shared" si="128"/>
        <v/>
      </c>
      <c r="M1627" t="str">
        <f t="shared" si="129"/>
        <v/>
      </c>
      <c r="N1627" t="str">
        <f>IF($F1627="","",IF(Sync!$AF1627="","0000",IF(AND(ISNUMBER(Sync!$AF1627),Sync!$AF1627&gt;=0,Sync!$AF1627&lt;1),RIGHT("00"&amp;HOUR(Sync!$AF1627),2)&amp;RIGHT("00"&amp;MINUTE(Sync!$AF1627),2),IFERROR(RIGHT("00"&amp;VALUE(LEFT(Sync!$AF1627,FIND(":",Sync!$AF1627)-1)),2)&amp;RIGHT("00"&amp;VALUE(MID(Sync!$AF1627,FIND(":",Sync!$AF1627)+1,2)),2),"0000"))))</f>
        <v/>
      </c>
    </row>
    <row r="1628" spans="1:14" x14ac:dyDescent="0.2">
      <c r="A1628" t="str">
        <f>IF(OR(Calc!$E1632="",Calc!$E1632="نامعتبر",Calc!$G1632=""),"",Calc!$G1632)</f>
        <v/>
      </c>
      <c r="B1628" t="str">
        <f>IF($A1628="","",LEFT(Calc!$E1632,4)&amp;MID(Calc!$E1632,6,2)&amp;RIGHT(Calc!$E1632,2)&amp;Calc!$Q1632&amp;"|"&amp;"1"&amp;RIGHT("00000"&amp;1623,5))</f>
        <v/>
      </c>
      <c r="C1628" t="str">
        <f t="shared" si="125"/>
        <v/>
      </c>
      <c r="D1628" t="str">
        <f t="shared" si="126"/>
        <v/>
      </c>
      <c r="F1628" t="str">
        <f>IF(Sync!$AH1628="","",IF(LEFT(UPPER(TRIM(Sync!$AH1628)),2)="SL",UPPER(TRIM(Sync!$AH1628)),""))</f>
        <v/>
      </c>
      <c r="G1628" t="str">
        <f>IF($F1628="","",IF(Sync!$AE1628="","",IF(ISNUMBER(Sync!$AE1628),IF(AND(Sync!$AE1628&gt;=10000101,Sync!$AE1628&lt;=99991231),INT(Sync!$AE1628/10000),""),IFERROR(VALUE(TRIM(LEFT(Sync!$AE1628,FIND("/",Sync!$AE1628)-1))),""))))</f>
        <v/>
      </c>
      <c r="H1628" t="str">
        <f>IF(OR($F1628="",$G1628=""),"",IF(ISNUMBER(Sync!$AE1628),INT(MOD(Sync!$AE1628,10000)/100),IFERROR(VALUE(TRIM(LEFT(MID(Sync!$AE1628,FIND("/",Sync!$AE1628)+1,20),FIND("/",MID(Sync!$AE1628,FIND("/",Sync!$AE1628)+1,20))-1))),"")))</f>
        <v/>
      </c>
      <c r="I1628" t="str">
        <f>IF(OR($F1628="",$G1628=""),"",IF(ISNUMBER(Sync!$AE1628),MOD(Sync!$AE1628,100),IFERROR(VALUE(TRIM(MID(MID(Sync!$AE1628,FIND("/",Sync!$AE1628)+1,20),FIND("/",MID(Sync!$AE1628,FIND("/",Sync!$AE1628)+1,20))+1,20))),"")))</f>
        <v/>
      </c>
      <c r="J1628" t="str">
        <f t="shared" si="127"/>
        <v/>
      </c>
      <c r="K1628" t="str">
        <f>IF(OR($F1628="",$J1628="",$J1628="نامعتبر"),"",LEFT($J1628,4)&amp;MID($J1628,6,2)&amp;RIGHT($J1628,2)&amp;$N1628&amp;"|"&amp;"2"&amp;RIGHT("00000"&amp;1623,5))</f>
        <v/>
      </c>
      <c r="L1628" t="str">
        <f t="shared" si="128"/>
        <v/>
      </c>
      <c r="M1628" t="str">
        <f t="shared" si="129"/>
        <v/>
      </c>
      <c r="N1628" t="str">
        <f>IF($F1628="","",IF(Sync!$AF1628="","0000",IF(AND(ISNUMBER(Sync!$AF1628),Sync!$AF1628&gt;=0,Sync!$AF1628&lt;1),RIGHT("00"&amp;HOUR(Sync!$AF1628),2)&amp;RIGHT("00"&amp;MINUTE(Sync!$AF1628),2),IFERROR(RIGHT("00"&amp;VALUE(LEFT(Sync!$AF1628,FIND(":",Sync!$AF1628)-1)),2)&amp;RIGHT("00"&amp;VALUE(MID(Sync!$AF1628,FIND(":",Sync!$AF1628)+1,2)),2),"0000"))))</f>
        <v/>
      </c>
    </row>
    <row r="1629" spans="1:14" x14ac:dyDescent="0.2">
      <c r="A1629" t="str">
        <f>IF(OR(Calc!$E1633="",Calc!$E1633="نامعتبر",Calc!$G1633=""),"",Calc!$G1633)</f>
        <v/>
      </c>
      <c r="B1629" t="str">
        <f>IF($A1629="","",LEFT(Calc!$E1633,4)&amp;MID(Calc!$E1633,6,2)&amp;RIGHT(Calc!$E1633,2)&amp;Calc!$Q1633&amp;"|"&amp;"1"&amp;RIGHT("00000"&amp;1624,5))</f>
        <v/>
      </c>
      <c r="C1629" t="str">
        <f t="shared" si="125"/>
        <v/>
      </c>
      <c r="D1629" t="str">
        <f t="shared" si="126"/>
        <v/>
      </c>
      <c r="F1629" t="str">
        <f>IF(Sync!$AH1629="","",IF(LEFT(UPPER(TRIM(Sync!$AH1629)),2)="SL",UPPER(TRIM(Sync!$AH1629)),""))</f>
        <v/>
      </c>
      <c r="G1629" t="str">
        <f>IF($F1629="","",IF(Sync!$AE1629="","",IF(ISNUMBER(Sync!$AE1629),IF(AND(Sync!$AE1629&gt;=10000101,Sync!$AE1629&lt;=99991231),INT(Sync!$AE1629/10000),""),IFERROR(VALUE(TRIM(LEFT(Sync!$AE1629,FIND("/",Sync!$AE1629)-1))),""))))</f>
        <v/>
      </c>
      <c r="H1629" t="str">
        <f>IF(OR($F1629="",$G1629=""),"",IF(ISNUMBER(Sync!$AE1629),INT(MOD(Sync!$AE1629,10000)/100),IFERROR(VALUE(TRIM(LEFT(MID(Sync!$AE1629,FIND("/",Sync!$AE1629)+1,20),FIND("/",MID(Sync!$AE1629,FIND("/",Sync!$AE1629)+1,20))-1))),"")))</f>
        <v/>
      </c>
      <c r="I1629" t="str">
        <f>IF(OR($F1629="",$G1629=""),"",IF(ISNUMBER(Sync!$AE1629),MOD(Sync!$AE1629,100),IFERROR(VALUE(TRIM(MID(MID(Sync!$AE1629,FIND("/",Sync!$AE1629)+1,20),FIND("/",MID(Sync!$AE1629,FIND("/",Sync!$AE1629)+1,20))+1,20))),"")))</f>
        <v/>
      </c>
      <c r="J1629" t="str">
        <f t="shared" si="127"/>
        <v/>
      </c>
      <c r="K1629" t="str">
        <f>IF(OR($F1629="",$J1629="",$J1629="نامعتبر"),"",LEFT($J1629,4)&amp;MID($J1629,6,2)&amp;RIGHT($J1629,2)&amp;$N1629&amp;"|"&amp;"2"&amp;RIGHT("00000"&amp;1624,5))</f>
        <v/>
      </c>
      <c r="L1629" t="str">
        <f t="shared" si="128"/>
        <v/>
      </c>
      <c r="M1629" t="str">
        <f t="shared" si="129"/>
        <v/>
      </c>
      <c r="N1629" t="str">
        <f>IF($F1629="","",IF(Sync!$AF1629="","0000",IF(AND(ISNUMBER(Sync!$AF1629),Sync!$AF1629&gt;=0,Sync!$AF1629&lt;1),RIGHT("00"&amp;HOUR(Sync!$AF1629),2)&amp;RIGHT("00"&amp;MINUTE(Sync!$AF1629),2),IFERROR(RIGHT("00"&amp;VALUE(LEFT(Sync!$AF1629,FIND(":",Sync!$AF1629)-1)),2)&amp;RIGHT("00"&amp;VALUE(MID(Sync!$AF1629,FIND(":",Sync!$AF1629)+1,2)),2),"0000"))))</f>
        <v/>
      </c>
    </row>
    <row r="1630" spans="1:14" x14ac:dyDescent="0.2">
      <c r="A1630" t="str">
        <f>IF(OR(Calc!$E1634="",Calc!$E1634="نامعتبر",Calc!$G1634=""),"",Calc!$G1634)</f>
        <v/>
      </c>
      <c r="B1630" t="str">
        <f>IF($A1630="","",LEFT(Calc!$E1634,4)&amp;MID(Calc!$E1634,6,2)&amp;RIGHT(Calc!$E1634,2)&amp;Calc!$Q1634&amp;"|"&amp;"1"&amp;RIGHT("00000"&amp;1625,5))</f>
        <v/>
      </c>
      <c r="C1630" t="str">
        <f t="shared" si="125"/>
        <v/>
      </c>
      <c r="D1630" t="str">
        <f t="shared" si="126"/>
        <v/>
      </c>
      <c r="F1630" t="str">
        <f>IF(Sync!$AH1630="","",IF(LEFT(UPPER(TRIM(Sync!$AH1630)),2)="SL",UPPER(TRIM(Sync!$AH1630)),""))</f>
        <v/>
      </c>
      <c r="G1630" t="str">
        <f>IF($F1630="","",IF(Sync!$AE1630="","",IF(ISNUMBER(Sync!$AE1630),IF(AND(Sync!$AE1630&gt;=10000101,Sync!$AE1630&lt;=99991231),INT(Sync!$AE1630/10000),""),IFERROR(VALUE(TRIM(LEFT(Sync!$AE1630,FIND("/",Sync!$AE1630)-1))),""))))</f>
        <v/>
      </c>
      <c r="H1630" t="str">
        <f>IF(OR($F1630="",$G1630=""),"",IF(ISNUMBER(Sync!$AE1630),INT(MOD(Sync!$AE1630,10000)/100),IFERROR(VALUE(TRIM(LEFT(MID(Sync!$AE1630,FIND("/",Sync!$AE1630)+1,20),FIND("/",MID(Sync!$AE1630,FIND("/",Sync!$AE1630)+1,20))-1))),"")))</f>
        <v/>
      </c>
      <c r="I1630" t="str">
        <f>IF(OR($F1630="",$G1630=""),"",IF(ISNUMBER(Sync!$AE1630),MOD(Sync!$AE1630,100),IFERROR(VALUE(TRIM(MID(MID(Sync!$AE1630,FIND("/",Sync!$AE1630)+1,20),FIND("/",MID(Sync!$AE1630,FIND("/",Sync!$AE1630)+1,20))+1,20))),"")))</f>
        <v/>
      </c>
      <c r="J1630" t="str">
        <f t="shared" si="127"/>
        <v/>
      </c>
      <c r="K1630" t="str">
        <f>IF(OR($F1630="",$J1630="",$J1630="نامعتبر"),"",LEFT($J1630,4)&amp;MID($J1630,6,2)&amp;RIGHT($J1630,2)&amp;$N1630&amp;"|"&amp;"2"&amp;RIGHT("00000"&amp;1625,5))</f>
        <v/>
      </c>
      <c r="L1630" t="str">
        <f t="shared" si="128"/>
        <v/>
      </c>
      <c r="M1630" t="str">
        <f t="shared" si="129"/>
        <v/>
      </c>
      <c r="N1630" t="str">
        <f>IF($F1630="","",IF(Sync!$AF1630="","0000",IF(AND(ISNUMBER(Sync!$AF1630),Sync!$AF1630&gt;=0,Sync!$AF1630&lt;1),RIGHT("00"&amp;HOUR(Sync!$AF1630),2)&amp;RIGHT("00"&amp;MINUTE(Sync!$AF1630),2),IFERROR(RIGHT("00"&amp;VALUE(LEFT(Sync!$AF1630,FIND(":",Sync!$AF1630)-1)),2)&amp;RIGHT("00"&amp;VALUE(MID(Sync!$AF1630,FIND(":",Sync!$AF1630)+1,2)),2),"0000"))))</f>
        <v/>
      </c>
    </row>
    <row r="1631" spans="1:14" x14ac:dyDescent="0.2">
      <c r="A1631" t="str">
        <f>IF(OR(Calc!$E1635="",Calc!$E1635="نامعتبر",Calc!$G1635=""),"",Calc!$G1635)</f>
        <v/>
      </c>
      <c r="B1631" t="str">
        <f>IF($A1631="","",LEFT(Calc!$E1635,4)&amp;MID(Calc!$E1635,6,2)&amp;RIGHT(Calc!$E1635,2)&amp;Calc!$Q1635&amp;"|"&amp;"1"&amp;RIGHT("00000"&amp;1626,5))</f>
        <v/>
      </c>
      <c r="C1631" t="str">
        <f t="shared" si="125"/>
        <v/>
      </c>
      <c r="D1631" t="str">
        <f t="shared" si="126"/>
        <v/>
      </c>
      <c r="F1631" t="str">
        <f>IF(Sync!$AH1631="","",IF(LEFT(UPPER(TRIM(Sync!$AH1631)),2)="SL",UPPER(TRIM(Sync!$AH1631)),""))</f>
        <v/>
      </c>
      <c r="G1631" t="str">
        <f>IF($F1631="","",IF(Sync!$AE1631="","",IF(ISNUMBER(Sync!$AE1631),IF(AND(Sync!$AE1631&gt;=10000101,Sync!$AE1631&lt;=99991231),INT(Sync!$AE1631/10000),""),IFERROR(VALUE(TRIM(LEFT(Sync!$AE1631,FIND("/",Sync!$AE1631)-1))),""))))</f>
        <v/>
      </c>
      <c r="H1631" t="str">
        <f>IF(OR($F1631="",$G1631=""),"",IF(ISNUMBER(Sync!$AE1631),INT(MOD(Sync!$AE1631,10000)/100),IFERROR(VALUE(TRIM(LEFT(MID(Sync!$AE1631,FIND("/",Sync!$AE1631)+1,20),FIND("/",MID(Sync!$AE1631,FIND("/",Sync!$AE1631)+1,20))-1))),"")))</f>
        <v/>
      </c>
      <c r="I1631" t="str">
        <f>IF(OR($F1631="",$G1631=""),"",IF(ISNUMBER(Sync!$AE1631),MOD(Sync!$AE1631,100),IFERROR(VALUE(TRIM(MID(MID(Sync!$AE1631,FIND("/",Sync!$AE1631)+1,20),FIND("/",MID(Sync!$AE1631,FIND("/",Sync!$AE1631)+1,20))+1,20))),"")))</f>
        <v/>
      </c>
      <c r="J1631" t="str">
        <f t="shared" si="127"/>
        <v/>
      </c>
      <c r="K1631" t="str">
        <f>IF(OR($F1631="",$J1631="",$J1631="نامعتبر"),"",LEFT($J1631,4)&amp;MID($J1631,6,2)&amp;RIGHT($J1631,2)&amp;$N1631&amp;"|"&amp;"2"&amp;RIGHT("00000"&amp;1626,5))</f>
        <v/>
      </c>
      <c r="L1631" t="str">
        <f t="shared" si="128"/>
        <v/>
      </c>
      <c r="M1631" t="str">
        <f t="shared" si="129"/>
        <v/>
      </c>
      <c r="N1631" t="str">
        <f>IF($F1631="","",IF(Sync!$AF1631="","0000",IF(AND(ISNUMBER(Sync!$AF1631),Sync!$AF1631&gt;=0,Sync!$AF1631&lt;1),RIGHT("00"&amp;HOUR(Sync!$AF1631),2)&amp;RIGHT("00"&amp;MINUTE(Sync!$AF1631),2),IFERROR(RIGHT("00"&amp;VALUE(LEFT(Sync!$AF1631,FIND(":",Sync!$AF1631)-1)),2)&amp;RIGHT("00"&amp;VALUE(MID(Sync!$AF1631,FIND(":",Sync!$AF1631)+1,2)),2),"0000"))))</f>
        <v/>
      </c>
    </row>
    <row r="1632" spans="1:14" x14ac:dyDescent="0.2">
      <c r="A1632" t="str">
        <f>IF(OR(Calc!$E1636="",Calc!$E1636="نامعتبر",Calc!$G1636=""),"",Calc!$G1636)</f>
        <v/>
      </c>
      <c r="B1632" t="str">
        <f>IF($A1632="","",LEFT(Calc!$E1636,4)&amp;MID(Calc!$E1636,6,2)&amp;RIGHT(Calc!$E1636,2)&amp;Calc!$Q1636&amp;"|"&amp;"1"&amp;RIGHT("00000"&amp;1627,5))</f>
        <v/>
      </c>
      <c r="C1632" t="str">
        <f t="shared" si="125"/>
        <v/>
      </c>
      <c r="D1632" t="str">
        <f t="shared" si="126"/>
        <v/>
      </c>
      <c r="F1632" t="str">
        <f>IF(Sync!$AH1632="","",IF(LEFT(UPPER(TRIM(Sync!$AH1632)),2)="SL",UPPER(TRIM(Sync!$AH1632)),""))</f>
        <v/>
      </c>
      <c r="G1632" t="str">
        <f>IF($F1632="","",IF(Sync!$AE1632="","",IF(ISNUMBER(Sync!$AE1632),IF(AND(Sync!$AE1632&gt;=10000101,Sync!$AE1632&lt;=99991231),INT(Sync!$AE1632/10000),""),IFERROR(VALUE(TRIM(LEFT(Sync!$AE1632,FIND("/",Sync!$AE1632)-1))),""))))</f>
        <v/>
      </c>
      <c r="H1632" t="str">
        <f>IF(OR($F1632="",$G1632=""),"",IF(ISNUMBER(Sync!$AE1632),INT(MOD(Sync!$AE1632,10000)/100),IFERROR(VALUE(TRIM(LEFT(MID(Sync!$AE1632,FIND("/",Sync!$AE1632)+1,20),FIND("/",MID(Sync!$AE1632,FIND("/",Sync!$AE1632)+1,20))-1))),"")))</f>
        <v/>
      </c>
      <c r="I1632" t="str">
        <f>IF(OR($F1632="",$G1632=""),"",IF(ISNUMBER(Sync!$AE1632),MOD(Sync!$AE1632,100),IFERROR(VALUE(TRIM(MID(MID(Sync!$AE1632,FIND("/",Sync!$AE1632)+1,20),FIND("/",MID(Sync!$AE1632,FIND("/",Sync!$AE1632)+1,20))+1,20))),"")))</f>
        <v/>
      </c>
      <c r="J1632" t="str">
        <f t="shared" si="127"/>
        <v/>
      </c>
      <c r="K1632" t="str">
        <f>IF(OR($F1632="",$J1632="",$J1632="نامعتبر"),"",LEFT($J1632,4)&amp;MID($J1632,6,2)&amp;RIGHT($J1632,2)&amp;$N1632&amp;"|"&amp;"2"&amp;RIGHT("00000"&amp;1627,5))</f>
        <v/>
      </c>
      <c r="L1632" t="str">
        <f t="shared" si="128"/>
        <v/>
      </c>
      <c r="M1632" t="str">
        <f t="shared" si="129"/>
        <v/>
      </c>
      <c r="N1632" t="str">
        <f>IF($F1632="","",IF(Sync!$AF1632="","0000",IF(AND(ISNUMBER(Sync!$AF1632),Sync!$AF1632&gt;=0,Sync!$AF1632&lt;1),RIGHT("00"&amp;HOUR(Sync!$AF1632),2)&amp;RIGHT("00"&amp;MINUTE(Sync!$AF1632),2),IFERROR(RIGHT("00"&amp;VALUE(LEFT(Sync!$AF1632,FIND(":",Sync!$AF1632)-1)),2)&amp;RIGHT("00"&amp;VALUE(MID(Sync!$AF1632,FIND(":",Sync!$AF1632)+1,2)),2),"0000"))))</f>
        <v/>
      </c>
    </row>
    <row r="1633" spans="1:14" x14ac:dyDescent="0.2">
      <c r="A1633" t="str">
        <f>IF(OR(Calc!$E1637="",Calc!$E1637="نامعتبر",Calc!$G1637=""),"",Calc!$G1637)</f>
        <v/>
      </c>
      <c r="B1633" t="str">
        <f>IF($A1633="","",LEFT(Calc!$E1637,4)&amp;MID(Calc!$E1637,6,2)&amp;RIGHT(Calc!$E1637,2)&amp;Calc!$Q1637&amp;"|"&amp;"1"&amp;RIGHT("00000"&amp;1628,5))</f>
        <v/>
      </c>
      <c r="C1633" t="str">
        <f t="shared" si="125"/>
        <v/>
      </c>
      <c r="D1633" t="str">
        <f t="shared" si="126"/>
        <v/>
      </c>
      <c r="F1633" t="str">
        <f>IF(Sync!$AH1633="","",IF(LEFT(UPPER(TRIM(Sync!$AH1633)),2)="SL",UPPER(TRIM(Sync!$AH1633)),""))</f>
        <v/>
      </c>
      <c r="G1633" t="str">
        <f>IF($F1633="","",IF(Sync!$AE1633="","",IF(ISNUMBER(Sync!$AE1633),IF(AND(Sync!$AE1633&gt;=10000101,Sync!$AE1633&lt;=99991231),INT(Sync!$AE1633/10000),""),IFERROR(VALUE(TRIM(LEFT(Sync!$AE1633,FIND("/",Sync!$AE1633)-1))),""))))</f>
        <v/>
      </c>
      <c r="H1633" t="str">
        <f>IF(OR($F1633="",$G1633=""),"",IF(ISNUMBER(Sync!$AE1633),INT(MOD(Sync!$AE1633,10000)/100),IFERROR(VALUE(TRIM(LEFT(MID(Sync!$AE1633,FIND("/",Sync!$AE1633)+1,20),FIND("/",MID(Sync!$AE1633,FIND("/",Sync!$AE1633)+1,20))-1))),"")))</f>
        <v/>
      </c>
      <c r="I1633" t="str">
        <f>IF(OR($F1633="",$G1633=""),"",IF(ISNUMBER(Sync!$AE1633),MOD(Sync!$AE1633,100),IFERROR(VALUE(TRIM(MID(MID(Sync!$AE1633,FIND("/",Sync!$AE1633)+1,20),FIND("/",MID(Sync!$AE1633,FIND("/",Sync!$AE1633)+1,20))+1,20))),"")))</f>
        <v/>
      </c>
      <c r="J1633" t="str">
        <f t="shared" si="127"/>
        <v/>
      </c>
      <c r="K1633" t="str">
        <f>IF(OR($F1633="",$J1633="",$J1633="نامعتبر"),"",LEFT($J1633,4)&amp;MID($J1633,6,2)&amp;RIGHT($J1633,2)&amp;$N1633&amp;"|"&amp;"2"&amp;RIGHT("00000"&amp;1628,5))</f>
        <v/>
      </c>
      <c r="L1633" t="str">
        <f t="shared" si="128"/>
        <v/>
      </c>
      <c r="M1633" t="str">
        <f t="shared" si="129"/>
        <v/>
      </c>
      <c r="N1633" t="str">
        <f>IF($F1633="","",IF(Sync!$AF1633="","0000",IF(AND(ISNUMBER(Sync!$AF1633),Sync!$AF1633&gt;=0,Sync!$AF1633&lt;1),RIGHT("00"&amp;HOUR(Sync!$AF1633),2)&amp;RIGHT("00"&amp;MINUTE(Sync!$AF1633),2),IFERROR(RIGHT("00"&amp;VALUE(LEFT(Sync!$AF1633,FIND(":",Sync!$AF1633)-1)),2)&amp;RIGHT("00"&amp;VALUE(MID(Sync!$AF1633,FIND(":",Sync!$AF1633)+1,2)),2),"0000"))))</f>
        <v/>
      </c>
    </row>
    <row r="1634" spans="1:14" x14ac:dyDescent="0.2">
      <c r="A1634" t="str">
        <f>IF(OR(Calc!$E1638="",Calc!$E1638="نامعتبر",Calc!$G1638=""),"",Calc!$G1638)</f>
        <v/>
      </c>
      <c r="B1634" t="str">
        <f>IF($A1634="","",LEFT(Calc!$E1638,4)&amp;MID(Calc!$E1638,6,2)&amp;RIGHT(Calc!$E1638,2)&amp;Calc!$Q1638&amp;"|"&amp;"1"&amp;RIGHT("00000"&amp;1629,5))</f>
        <v/>
      </c>
      <c r="C1634" t="str">
        <f t="shared" si="125"/>
        <v/>
      </c>
      <c r="D1634" t="str">
        <f t="shared" si="126"/>
        <v/>
      </c>
      <c r="F1634" t="str">
        <f>IF(Sync!$AH1634="","",IF(LEFT(UPPER(TRIM(Sync!$AH1634)),2)="SL",UPPER(TRIM(Sync!$AH1634)),""))</f>
        <v/>
      </c>
      <c r="G1634" t="str">
        <f>IF($F1634="","",IF(Sync!$AE1634="","",IF(ISNUMBER(Sync!$AE1634),IF(AND(Sync!$AE1634&gt;=10000101,Sync!$AE1634&lt;=99991231),INT(Sync!$AE1634/10000),""),IFERROR(VALUE(TRIM(LEFT(Sync!$AE1634,FIND("/",Sync!$AE1634)-1))),""))))</f>
        <v/>
      </c>
      <c r="H1634" t="str">
        <f>IF(OR($F1634="",$G1634=""),"",IF(ISNUMBER(Sync!$AE1634),INT(MOD(Sync!$AE1634,10000)/100),IFERROR(VALUE(TRIM(LEFT(MID(Sync!$AE1634,FIND("/",Sync!$AE1634)+1,20),FIND("/",MID(Sync!$AE1634,FIND("/",Sync!$AE1634)+1,20))-1))),"")))</f>
        <v/>
      </c>
      <c r="I1634" t="str">
        <f>IF(OR($F1634="",$G1634=""),"",IF(ISNUMBER(Sync!$AE1634),MOD(Sync!$AE1634,100),IFERROR(VALUE(TRIM(MID(MID(Sync!$AE1634,FIND("/",Sync!$AE1634)+1,20),FIND("/",MID(Sync!$AE1634,FIND("/",Sync!$AE1634)+1,20))+1,20))),"")))</f>
        <v/>
      </c>
      <c r="J1634" t="str">
        <f t="shared" si="127"/>
        <v/>
      </c>
      <c r="K1634" t="str">
        <f>IF(OR($F1634="",$J1634="",$J1634="نامعتبر"),"",LEFT($J1634,4)&amp;MID($J1634,6,2)&amp;RIGHT($J1634,2)&amp;$N1634&amp;"|"&amp;"2"&amp;RIGHT("00000"&amp;1629,5))</f>
        <v/>
      </c>
      <c r="L1634" t="str">
        <f t="shared" si="128"/>
        <v/>
      </c>
      <c r="M1634" t="str">
        <f t="shared" si="129"/>
        <v/>
      </c>
      <c r="N1634" t="str">
        <f>IF($F1634="","",IF(Sync!$AF1634="","0000",IF(AND(ISNUMBER(Sync!$AF1634),Sync!$AF1634&gt;=0,Sync!$AF1634&lt;1),RIGHT("00"&amp;HOUR(Sync!$AF1634),2)&amp;RIGHT("00"&amp;MINUTE(Sync!$AF1634),2),IFERROR(RIGHT("00"&amp;VALUE(LEFT(Sync!$AF1634,FIND(":",Sync!$AF1634)-1)),2)&amp;RIGHT("00"&amp;VALUE(MID(Sync!$AF1634,FIND(":",Sync!$AF1634)+1,2)),2),"0000"))))</f>
        <v/>
      </c>
    </row>
    <row r="1635" spans="1:14" x14ac:dyDescent="0.2">
      <c r="A1635" t="str">
        <f>IF(OR(Calc!$E1639="",Calc!$E1639="نامعتبر",Calc!$G1639=""),"",Calc!$G1639)</f>
        <v/>
      </c>
      <c r="B1635" t="str">
        <f>IF($A1635="","",LEFT(Calc!$E1639,4)&amp;MID(Calc!$E1639,6,2)&amp;RIGHT(Calc!$E1639,2)&amp;Calc!$Q1639&amp;"|"&amp;"1"&amp;RIGHT("00000"&amp;1630,5))</f>
        <v/>
      </c>
      <c r="C1635" t="str">
        <f t="shared" si="125"/>
        <v/>
      </c>
      <c r="D1635" t="str">
        <f t="shared" si="126"/>
        <v/>
      </c>
      <c r="F1635" t="str">
        <f>IF(Sync!$AH1635="","",IF(LEFT(UPPER(TRIM(Sync!$AH1635)),2)="SL",UPPER(TRIM(Sync!$AH1635)),""))</f>
        <v/>
      </c>
      <c r="G1635" t="str">
        <f>IF($F1635="","",IF(Sync!$AE1635="","",IF(ISNUMBER(Sync!$AE1635),IF(AND(Sync!$AE1635&gt;=10000101,Sync!$AE1635&lt;=99991231),INT(Sync!$AE1635/10000),""),IFERROR(VALUE(TRIM(LEFT(Sync!$AE1635,FIND("/",Sync!$AE1635)-1))),""))))</f>
        <v/>
      </c>
      <c r="H1635" t="str">
        <f>IF(OR($F1635="",$G1635=""),"",IF(ISNUMBER(Sync!$AE1635),INT(MOD(Sync!$AE1635,10000)/100),IFERROR(VALUE(TRIM(LEFT(MID(Sync!$AE1635,FIND("/",Sync!$AE1635)+1,20),FIND("/",MID(Sync!$AE1635,FIND("/",Sync!$AE1635)+1,20))-1))),"")))</f>
        <v/>
      </c>
      <c r="I1635" t="str">
        <f>IF(OR($F1635="",$G1635=""),"",IF(ISNUMBER(Sync!$AE1635),MOD(Sync!$AE1635,100),IFERROR(VALUE(TRIM(MID(MID(Sync!$AE1635,FIND("/",Sync!$AE1635)+1,20),FIND("/",MID(Sync!$AE1635,FIND("/",Sync!$AE1635)+1,20))+1,20))),"")))</f>
        <v/>
      </c>
      <c r="J1635" t="str">
        <f t="shared" si="127"/>
        <v/>
      </c>
      <c r="K1635" t="str">
        <f>IF(OR($F1635="",$J1635="",$J1635="نامعتبر"),"",LEFT($J1635,4)&amp;MID($J1635,6,2)&amp;RIGHT($J1635,2)&amp;$N1635&amp;"|"&amp;"2"&amp;RIGHT("00000"&amp;1630,5))</f>
        <v/>
      </c>
      <c r="L1635" t="str">
        <f t="shared" si="128"/>
        <v/>
      </c>
      <c r="M1635" t="str">
        <f t="shared" si="129"/>
        <v/>
      </c>
      <c r="N1635" t="str">
        <f>IF($F1635="","",IF(Sync!$AF1635="","0000",IF(AND(ISNUMBER(Sync!$AF1635),Sync!$AF1635&gt;=0,Sync!$AF1635&lt;1),RIGHT("00"&amp;HOUR(Sync!$AF1635),2)&amp;RIGHT("00"&amp;MINUTE(Sync!$AF1635),2),IFERROR(RIGHT("00"&amp;VALUE(LEFT(Sync!$AF1635,FIND(":",Sync!$AF1635)-1)),2)&amp;RIGHT("00"&amp;VALUE(MID(Sync!$AF1635,FIND(":",Sync!$AF1635)+1,2)),2),"0000"))))</f>
        <v/>
      </c>
    </row>
    <row r="1636" spans="1:14" x14ac:dyDescent="0.2">
      <c r="A1636" t="str">
        <f>IF(OR(Calc!$E1640="",Calc!$E1640="نامعتبر",Calc!$G1640=""),"",Calc!$G1640)</f>
        <v/>
      </c>
      <c r="B1636" t="str">
        <f>IF($A1636="","",LEFT(Calc!$E1640,4)&amp;MID(Calc!$E1640,6,2)&amp;RIGHT(Calc!$E1640,2)&amp;Calc!$Q1640&amp;"|"&amp;"1"&amp;RIGHT("00000"&amp;1631,5))</f>
        <v/>
      </c>
      <c r="C1636" t="str">
        <f t="shared" si="125"/>
        <v/>
      </c>
      <c r="D1636" t="str">
        <f t="shared" si="126"/>
        <v/>
      </c>
      <c r="F1636" t="str">
        <f>IF(Sync!$AH1636="","",IF(LEFT(UPPER(TRIM(Sync!$AH1636)),2)="SL",UPPER(TRIM(Sync!$AH1636)),""))</f>
        <v/>
      </c>
      <c r="G1636" t="str">
        <f>IF($F1636="","",IF(Sync!$AE1636="","",IF(ISNUMBER(Sync!$AE1636),IF(AND(Sync!$AE1636&gt;=10000101,Sync!$AE1636&lt;=99991231),INT(Sync!$AE1636/10000),""),IFERROR(VALUE(TRIM(LEFT(Sync!$AE1636,FIND("/",Sync!$AE1636)-1))),""))))</f>
        <v/>
      </c>
      <c r="H1636" t="str">
        <f>IF(OR($F1636="",$G1636=""),"",IF(ISNUMBER(Sync!$AE1636),INT(MOD(Sync!$AE1636,10000)/100),IFERROR(VALUE(TRIM(LEFT(MID(Sync!$AE1636,FIND("/",Sync!$AE1636)+1,20),FIND("/",MID(Sync!$AE1636,FIND("/",Sync!$AE1636)+1,20))-1))),"")))</f>
        <v/>
      </c>
      <c r="I1636" t="str">
        <f>IF(OR($F1636="",$G1636=""),"",IF(ISNUMBER(Sync!$AE1636),MOD(Sync!$AE1636,100),IFERROR(VALUE(TRIM(MID(MID(Sync!$AE1636,FIND("/",Sync!$AE1636)+1,20),FIND("/",MID(Sync!$AE1636,FIND("/",Sync!$AE1636)+1,20))+1,20))),"")))</f>
        <v/>
      </c>
      <c r="J1636" t="str">
        <f t="shared" si="127"/>
        <v/>
      </c>
      <c r="K1636" t="str">
        <f>IF(OR($F1636="",$J1636="",$J1636="نامعتبر"),"",LEFT($J1636,4)&amp;MID($J1636,6,2)&amp;RIGHT($J1636,2)&amp;$N1636&amp;"|"&amp;"2"&amp;RIGHT("00000"&amp;1631,5))</f>
        <v/>
      </c>
      <c r="L1636" t="str">
        <f t="shared" si="128"/>
        <v/>
      </c>
      <c r="M1636" t="str">
        <f t="shared" si="129"/>
        <v/>
      </c>
      <c r="N1636" t="str">
        <f>IF($F1636="","",IF(Sync!$AF1636="","0000",IF(AND(ISNUMBER(Sync!$AF1636),Sync!$AF1636&gt;=0,Sync!$AF1636&lt;1),RIGHT("00"&amp;HOUR(Sync!$AF1636),2)&amp;RIGHT("00"&amp;MINUTE(Sync!$AF1636),2),IFERROR(RIGHT("00"&amp;VALUE(LEFT(Sync!$AF1636,FIND(":",Sync!$AF1636)-1)),2)&amp;RIGHT("00"&amp;VALUE(MID(Sync!$AF1636,FIND(":",Sync!$AF1636)+1,2)),2),"0000"))))</f>
        <v/>
      </c>
    </row>
    <row r="1637" spans="1:14" x14ac:dyDescent="0.2">
      <c r="A1637" t="str">
        <f>IF(OR(Calc!$E1641="",Calc!$E1641="نامعتبر",Calc!$G1641=""),"",Calc!$G1641)</f>
        <v/>
      </c>
      <c r="B1637" t="str">
        <f>IF($A1637="","",LEFT(Calc!$E1641,4)&amp;MID(Calc!$E1641,6,2)&amp;RIGHT(Calc!$E1641,2)&amp;Calc!$Q1641&amp;"|"&amp;"1"&amp;RIGHT("00000"&amp;1632,5))</f>
        <v/>
      </c>
      <c r="C1637" t="str">
        <f t="shared" si="125"/>
        <v/>
      </c>
      <c r="D1637" t="str">
        <f t="shared" si="126"/>
        <v/>
      </c>
      <c r="F1637" t="str">
        <f>IF(Sync!$AH1637="","",IF(LEFT(UPPER(TRIM(Sync!$AH1637)),2)="SL",UPPER(TRIM(Sync!$AH1637)),""))</f>
        <v/>
      </c>
      <c r="G1637" t="str">
        <f>IF($F1637="","",IF(Sync!$AE1637="","",IF(ISNUMBER(Sync!$AE1637),IF(AND(Sync!$AE1637&gt;=10000101,Sync!$AE1637&lt;=99991231),INT(Sync!$AE1637/10000),""),IFERROR(VALUE(TRIM(LEFT(Sync!$AE1637,FIND("/",Sync!$AE1637)-1))),""))))</f>
        <v/>
      </c>
      <c r="H1637" t="str">
        <f>IF(OR($F1637="",$G1637=""),"",IF(ISNUMBER(Sync!$AE1637),INT(MOD(Sync!$AE1637,10000)/100),IFERROR(VALUE(TRIM(LEFT(MID(Sync!$AE1637,FIND("/",Sync!$AE1637)+1,20),FIND("/",MID(Sync!$AE1637,FIND("/",Sync!$AE1637)+1,20))-1))),"")))</f>
        <v/>
      </c>
      <c r="I1637" t="str">
        <f>IF(OR($F1637="",$G1637=""),"",IF(ISNUMBER(Sync!$AE1637),MOD(Sync!$AE1637,100),IFERROR(VALUE(TRIM(MID(MID(Sync!$AE1637,FIND("/",Sync!$AE1637)+1,20),FIND("/",MID(Sync!$AE1637,FIND("/",Sync!$AE1637)+1,20))+1,20))),"")))</f>
        <v/>
      </c>
      <c r="J1637" t="str">
        <f t="shared" si="127"/>
        <v/>
      </c>
      <c r="K1637" t="str">
        <f>IF(OR($F1637="",$J1637="",$J1637="نامعتبر"),"",LEFT($J1637,4)&amp;MID($J1637,6,2)&amp;RIGHT($J1637,2)&amp;$N1637&amp;"|"&amp;"2"&amp;RIGHT("00000"&amp;1632,5))</f>
        <v/>
      </c>
      <c r="L1637" t="str">
        <f t="shared" si="128"/>
        <v/>
      </c>
      <c r="M1637" t="str">
        <f t="shared" si="129"/>
        <v/>
      </c>
      <c r="N1637" t="str">
        <f>IF($F1637="","",IF(Sync!$AF1637="","0000",IF(AND(ISNUMBER(Sync!$AF1637),Sync!$AF1637&gt;=0,Sync!$AF1637&lt;1),RIGHT("00"&amp;HOUR(Sync!$AF1637),2)&amp;RIGHT("00"&amp;MINUTE(Sync!$AF1637),2),IFERROR(RIGHT("00"&amp;VALUE(LEFT(Sync!$AF1637,FIND(":",Sync!$AF1637)-1)),2)&amp;RIGHT("00"&amp;VALUE(MID(Sync!$AF1637,FIND(":",Sync!$AF1637)+1,2)),2),"0000"))))</f>
        <v/>
      </c>
    </row>
    <row r="1638" spans="1:14" x14ac:dyDescent="0.2">
      <c r="A1638" t="str">
        <f>IF(OR(Calc!$E1642="",Calc!$E1642="نامعتبر",Calc!$G1642=""),"",Calc!$G1642)</f>
        <v/>
      </c>
      <c r="B1638" t="str">
        <f>IF($A1638="","",LEFT(Calc!$E1642,4)&amp;MID(Calc!$E1642,6,2)&amp;RIGHT(Calc!$E1642,2)&amp;Calc!$Q1642&amp;"|"&amp;"1"&amp;RIGHT("00000"&amp;1633,5))</f>
        <v/>
      </c>
      <c r="C1638" t="str">
        <f t="shared" si="125"/>
        <v/>
      </c>
      <c r="D1638" t="str">
        <f t="shared" si="126"/>
        <v/>
      </c>
      <c r="F1638" t="str">
        <f>IF(Sync!$AH1638="","",IF(LEFT(UPPER(TRIM(Sync!$AH1638)),2)="SL",UPPER(TRIM(Sync!$AH1638)),""))</f>
        <v/>
      </c>
      <c r="G1638" t="str">
        <f>IF($F1638="","",IF(Sync!$AE1638="","",IF(ISNUMBER(Sync!$AE1638),IF(AND(Sync!$AE1638&gt;=10000101,Sync!$AE1638&lt;=99991231),INT(Sync!$AE1638/10000),""),IFERROR(VALUE(TRIM(LEFT(Sync!$AE1638,FIND("/",Sync!$AE1638)-1))),""))))</f>
        <v/>
      </c>
      <c r="H1638" t="str">
        <f>IF(OR($F1638="",$G1638=""),"",IF(ISNUMBER(Sync!$AE1638),INT(MOD(Sync!$AE1638,10000)/100),IFERROR(VALUE(TRIM(LEFT(MID(Sync!$AE1638,FIND("/",Sync!$AE1638)+1,20),FIND("/",MID(Sync!$AE1638,FIND("/",Sync!$AE1638)+1,20))-1))),"")))</f>
        <v/>
      </c>
      <c r="I1638" t="str">
        <f>IF(OR($F1638="",$G1638=""),"",IF(ISNUMBER(Sync!$AE1638),MOD(Sync!$AE1638,100),IFERROR(VALUE(TRIM(MID(MID(Sync!$AE1638,FIND("/",Sync!$AE1638)+1,20),FIND("/",MID(Sync!$AE1638,FIND("/",Sync!$AE1638)+1,20))+1,20))),"")))</f>
        <v/>
      </c>
      <c r="J1638" t="str">
        <f t="shared" si="127"/>
        <v/>
      </c>
      <c r="K1638" t="str">
        <f>IF(OR($F1638="",$J1638="",$J1638="نامعتبر"),"",LEFT($J1638,4)&amp;MID($J1638,6,2)&amp;RIGHT($J1638,2)&amp;$N1638&amp;"|"&amp;"2"&amp;RIGHT("00000"&amp;1633,5))</f>
        <v/>
      </c>
      <c r="L1638" t="str">
        <f t="shared" si="128"/>
        <v/>
      </c>
      <c r="M1638" t="str">
        <f t="shared" si="129"/>
        <v/>
      </c>
      <c r="N1638" t="str">
        <f>IF($F1638="","",IF(Sync!$AF1638="","0000",IF(AND(ISNUMBER(Sync!$AF1638),Sync!$AF1638&gt;=0,Sync!$AF1638&lt;1),RIGHT("00"&amp;HOUR(Sync!$AF1638),2)&amp;RIGHT("00"&amp;MINUTE(Sync!$AF1638),2),IFERROR(RIGHT("00"&amp;VALUE(LEFT(Sync!$AF1638,FIND(":",Sync!$AF1638)-1)),2)&amp;RIGHT("00"&amp;VALUE(MID(Sync!$AF1638,FIND(":",Sync!$AF1638)+1,2)),2),"0000"))))</f>
        <v/>
      </c>
    </row>
    <row r="1639" spans="1:14" x14ac:dyDescent="0.2">
      <c r="A1639" t="str">
        <f>IF(OR(Calc!$E1643="",Calc!$E1643="نامعتبر",Calc!$G1643=""),"",Calc!$G1643)</f>
        <v/>
      </c>
      <c r="B1639" t="str">
        <f>IF($A1639="","",LEFT(Calc!$E1643,4)&amp;MID(Calc!$E1643,6,2)&amp;RIGHT(Calc!$E1643,2)&amp;Calc!$Q1643&amp;"|"&amp;"1"&amp;RIGHT("00000"&amp;1634,5))</f>
        <v/>
      </c>
      <c r="C1639" t="str">
        <f t="shared" si="125"/>
        <v/>
      </c>
      <c r="D1639" t="str">
        <f t="shared" si="126"/>
        <v/>
      </c>
      <c r="F1639" t="str">
        <f>IF(Sync!$AH1639="","",IF(LEFT(UPPER(TRIM(Sync!$AH1639)),2)="SL",UPPER(TRIM(Sync!$AH1639)),""))</f>
        <v/>
      </c>
      <c r="G1639" t="str">
        <f>IF($F1639="","",IF(Sync!$AE1639="","",IF(ISNUMBER(Sync!$AE1639),IF(AND(Sync!$AE1639&gt;=10000101,Sync!$AE1639&lt;=99991231),INT(Sync!$AE1639/10000),""),IFERROR(VALUE(TRIM(LEFT(Sync!$AE1639,FIND("/",Sync!$AE1639)-1))),""))))</f>
        <v/>
      </c>
      <c r="H1639" t="str">
        <f>IF(OR($F1639="",$G1639=""),"",IF(ISNUMBER(Sync!$AE1639),INT(MOD(Sync!$AE1639,10000)/100),IFERROR(VALUE(TRIM(LEFT(MID(Sync!$AE1639,FIND("/",Sync!$AE1639)+1,20),FIND("/",MID(Sync!$AE1639,FIND("/",Sync!$AE1639)+1,20))-1))),"")))</f>
        <v/>
      </c>
      <c r="I1639" t="str">
        <f>IF(OR($F1639="",$G1639=""),"",IF(ISNUMBER(Sync!$AE1639),MOD(Sync!$AE1639,100),IFERROR(VALUE(TRIM(MID(MID(Sync!$AE1639,FIND("/",Sync!$AE1639)+1,20),FIND("/",MID(Sync!$AE1639,FIND("/",Sync!$AE1639)+1,20))+1,20))),"")))</f>
        <v/>
      </c>
      <c r="J1639" t="str">
        <f t="shared" si="127"/>
        <v/>
      </c>
      <c r="K1639" t="str">
        <f>IF(OR($F1639="",$J1639="",$J1639="نامعتبر"),"",LEFT($J1639,4)&amp;MID($J1639,6,2)&amp;RIGHT($J1639,2)&amp;$N1639&amp;"|"&amp;"2"&amp;RIGHT("00000"&amp;1634,5))</f>
        <v/>
      </c>
      <c r="L1639" t="str">
        <f t="shared" si="128"/>
        <v/>
      </c>
      <c r="M1639" t="str">
        <f t="shared" si="129"/>
        <v/>
      </c>
      <c r="N1639" t="str">
        <f>IF($F1639="","",IF(Sync!$AF1639="","0000",IF(AND(ISNUMBER(Sync!$AF1639),Sync!$AF1639&gt;=0,Sync!$AF1639&lt;1),RIGHT("00"&amp;HOUR(Sync!$AF1639),2)&amp;RIGHT("00"&amp;MINUTE(Sync!$AF1639),2),IFERROR(RIGHT("00"&amp;VALUE(LEFT(Sync!$AF1639,FIND(":",Sync!$AF1639)-1)),2)&amp;RIGHT("00"&amp;VALUE(MID(Sync!$AF1639,FIND(":",Sync!$AF1639)+1,2)),2),"0000"))))</f>
        <v/>
      </c>
    </row>
    <row r="1640" spans="1:14" x14ac:dyDescent="0.2">
      <c r="A1640" t="str">
        <f>IF(OR(Calc!$E1644="",Calc!$E1644="نامعتبر",Calc!$G1644=""),"",Calc!$G1644)</f>
        <v/>
      </c>
      <c r="B1640" t="str">
        <f>IF($A1640="","",LEFT(Calc!$E1644,4)&amp;MID(Calc!$E1644,6,2)&amp;RIGHT(Calc!$E1644,2)&amp;Calc!$Q1644&amp;"|"&amp;"1"&amp;RIGHT("00000"&amp;1635,5))</f>
        <v/>
      </c>
      <c r="C1640" t="str">
        <f t="shared" si="125"/>
        <v/>
      </c>
      <c r="D1640" t="str">
        <f t="shared" si="126"/>
        <v/>
      </c>
      <c r="F1640" t="str">
        <f>IF(Sync!$AH1640="","",IF(LEFT(UPPER(TRIM(Sync!$AH1640)),2)="SL",UPPER(TRIM(Sync!$AH1640)),""))</f>
        <v/>
      </c>
      <c r="G1640" t="str">
        <f>IF($F1640="","",IF(Sync!$AE1640="","",IF(ISNUMBER(Sync!$AE1640),IF(AND(Sync!$AE1640&gt;=10000101,Sync!$AE1640&lt;=99991231),INT(Sync!$AE1640/10000),""),IFERROR(VALUE(TRIM(LEFT(Sync!$AE1640,FIND("/",Sync!$AE1640)-1))),""))))</f>
        <v/>
      </c>
      <c r="H1640" t="str">
        <f>IF(OR($F1640="",$G1640=""),"",IF(ISNUMBER(Sync!$AE1640),INT(MOD(Sync!$AE1640,10000)/100),IFERROR(VALUE(TRIM(LEFT(MID(Sync!$AE1640,FIND("/",Sync!$AE1640)+1,20),FIND("/",MID(Sync!$AE1640,FIND("/",Sync!$AE1640)+1,20))-1))),"")))</f>
        <v/>
      </c>
      <c r="I1640" t="str">
        <f>IF(OR($F1640="",$G1640=""),"",IF(ISNUMBER(Sync!$AE1640),MOD(Sync!$AE1640,100),IFERROR(VALUE(TRIM(MID(MID(Sync!$AE1640,FIND("/",Sync!$AE1640)+1,20),FIND("/",MID(Sync!$AE1640,FIND("/",Sync!$AE1640)+1,20))+1,20))),"")))</f>
        <v/>
      </c>
      <c r="J1640" t="str">
        <f t="shared" si="127"/>
        <v/>
      </c>
      <c r="K1640" t="str">
        <f>IF(OR($F1640="",$J1640="",$J1640="نامعتبر"),"",LEFT($J1640,4)&amp;MID($J1640,6,2)&amp;RIGHT($J1640,2)&amp;$N1640&amp;"|"&amp;"2"&amp;RIGHT("00000"&amp;1635,5))</f>
        <v/>
      </c>
      <c r="L1640" t="str">
        <f t="shared" si="128"/>
        <v/>
      </c>
      <c r="M1640" t="str">
        <f t="shared" si="129"/>
        <v/>
      </c>
      <c r="N1640" t="str">
        <f>IF($F1640="","",IF(Sync!$AF1640="","0000",IF(AND(ISNUMBER(Sync!$AF1640),Sync!$AF1640&gt;=0,Sync!$AF1640&lt;1),RIGHT("00"&amp;HOUR(Sync!$AF1640),2)&amp;RIGHT("00"&amp;MINUTE(Sync!$AF1640),2),IFERROR(RIGHT("00"&amp;VALUE(LEFT(Sync!$AF1640,FIND(":",Sync!$AF1640)-1)),2)&amp;RIGHT("00"&amp;VALUE(MID(Sync!$AF1640,FIND(":",Sync!$AF1640)+1,2)),2),"0000"))))</f>
        <v/>
      </c>
    </row>
    <row r="1641" spans="1:14" x14ac:dyDescent="0.2">
      <c r="A1641" t="str">
        <f>IF(OR(Calc!$E1645="",Calc!$E1645="نامعتبر",Calc!$G1645=""),"",Calc!$G1645)</f>
        <v/>
      </c>
      <c r="B1641" t="str">
        <f>IF($A1641="","",LEFT(Calc!$E1645,4)&amp;MID(Calc!$E1645,6,2)&amp;RIGHT(Calc!$E1645,2)&amp;Calc!$Q1645&amp;"|"&amp;"1"&amp;RIGHT("00000"&amp;1636,5))</f>
        <v/>
      </c>
      <c r="C1641" t="str">
        <f t="shared" si="125"/>
        <v/>
      </c>
      <c r="D1641" t="str">
        <f t="shared" si="126"/>
        <v/>
      </c>
      <c r="F1641" t="str">
        <f>IF(Sync!$AH1641="","",IF(LEFT(UPPER(TRIM(Sync!$AH1641)),2)="SL",UPPER(TRIM(Sync!$AH1641)),""))</f>
        <v/>
      </c>
      <c r="G1641" t="str">
        <f>IF($F1641="","",IF(Sync!$AE1641="","",IF(ISNUMBER(Sync!$AE1641),IF(AND(Sync!$AE1641&gt;=10000101,Sync!$AE1641&lt;=99991231),INT(Sync!$AE1641/10000),""),IFERROR(VALUE(TRIM(LEFT(Sync!$AE1641,FIND("/",Sync!$AE1641)-1))),""))))</f>
        <v/>
      </c>
      <c r="H1641" t="str">
        <f>IF(OR($F1641="",$G1641=""),"",IF(ISNUMBER(Sync!$AE1641),INT(MOD(Sync!$AE1641,10000)/100),IFERROR(VALUE(TRIM(LEFT(MID(Sync!$AE1641,FIND("/",Sync!$AE1641)+1,20),FIND("/",MID(Sync!$AE1641,FIND("/",Sync!$AE1641)+1,20))-1))),"")))</f>
        <v/>
      </c>
      <c r="I1641" t="str">
        <f>IF(OR($F1641="",$G1641=""),"",IF(ISNUMBER(Sync!$AE1641),MOD(Sync!$AE1641,100),IFERROR(VALUE(TRIM(MID(MID(Sync!$AE1641,FIND("/",Sync!$AE1641)+1,20),FIND("/",MID(Sync!$AE1641,FIND("/",Sync!$AE1641)+1,20))+1,20))),"")))</f>
        <v/>
      </c>
      <c r="J1641" t="str">
        <f t="shared" si="127"/>
        <v/>
      </c>
      <c r="K1641" t="str">
        <f>IF(OR($F1641="",$J1641="",$J1641="نامعتبر"),"",LEFT($J1641,4)&amp;MID($J1641,6,2)&amp;RIGHT($J1641,2)&amp;$N1641&amp;"|"&amp;"2"&amp;RIGHT("00000"&amp;1636,5))</f>
        <v/>
      </c>
      <c r="L1641" t="str">
        <f t="shared" si="128"/>
        <v/>
      </c>
      <c r="M1641" t="str">
        <f t="shared" si="129"/>
        <v/>
      </c>
      <c r="N1641" t="str">
        <f>IF($F1641="","",IF(Sync!$AF1641="","0000",IF(AND(ISNUMBER(Sync!$AF1641),Sync!$AF1641&gt;=0,Sync!$AF1641&lt;1),RIGHT("00"&amp;HOUR(Sync!$AF1641),2)&amp;RIGHT("00"&amp;MINUTE(Sync!$AF1641),2),IFERROR(RIGHT("00"&amp;VALUE(LEFT(Sync!$AF1641,FIND(":",Sync!$AF1641)-1)),2)&amp;RIGHT("00"&amp;VALUE(MID(Sync!$AF1641,FIND(":",Sync!$AF1641)+1,2)),2),"0000"))))</f>
        <v/>
      </c>
    </row>
    <row r="1642" spans="1:14" x14ac:dyDescent="0.2">
      <c r="A1642" t="str">
        <f>IF(OR(Calc!$E1646="",Calc!$E1646="نامعتبر",Calc!$G1646=""),"",Calc!$G1646)</f>
        <v/>
      </c>
      <c r="B1642" t="str">
        <f>IF($A1642="","",LEFT(Calc!$E1646,4)&amp;MID(Calc!$E1646,6,2)&amp;RIGHT(Calc!$E1646,2)&amp;Calc!$Q1646&amp;"|"&amp;"1"&amp;RIGHT("00000"&amp;1637,5))</f>
        <v/>
      </c>
      <c r="C1642" t="str">
        <f t="shared" si="125"/>
        <v/>
      </c>
      <c r="D1642" t="str">
        <f t="shared" si="126"/>
        <v/>
      </c>
      <c r="F1642" t="str">
        <f>IF(Sync!$AH1642="","",IF(LEFT(UPPER(TRIM(Sync!$AH1642)),2)="SL",UPPER(TRIM(Sync!$AH1642)),""))</f>
        <v/>
      </c>
      <c r="G1642" t="str">
        <f>IF($F1642="","",IF(Sync!$AE1642="","",IF(ISNUMBER(Sync!$AE1642),IF(AND(Sync!$AE1642&gt;=10000101,Sync!$AE1642&lt;=99991231),INT(Sync!$AE1642/10000),""),IFERROR(VALUE(TRIM(LEFT(Sync!$AE1642,FIND("/",Sync!$AE1642)-1))),""))))</f>
        <v/>
      </c>
      <c r="H1642" t="str">
        <f>IF(OR($F1642="",$G1642=""),"",IF(ISNUMBER(Sync!$AE1642),INT(MOD(Sync!$AE1642,10000)/100),IFERROR(VALUE(TRIM(LEFT(MID(Sync!$AE1642,FIND("/",Sync!$AE1642)+1,20),FIND("/",MID(Sync!$AE1642,FIND("/",Sync!$AE1642)+1,20))-1))),"")))</f>
        <v/>
      </c>
      <c r="I1642" t="str">
        <f>IF(OR($F1642="",$G1642=""),"",IF(ISNUMBER(Sync!$AE1642),MOD(Sync!$AE1642,100),IFERROR(VALUE(TRIM(MID(MID(Sync!$AE1642,FIND("/",Sync!$AE1642)+1,20),FIND("/",MID(Sync!$AE1642,FIND("/",Sync!$AE1642)+1,20))+1,20))),"")))</f>
        <v/>
      </c>
      <c r="J1642" t="str">
        <f t="shared" si="127"/>
        <v/>
      </c>
      <c r="K1642" t="str">
        <f>IF(OR($F1642="",$J1642="",$J1642="نامعتبر"),"",LEFT($J1642,4)&amp;MID($J1642,6,2)&amp;RIGHT($J1642,2)&amp;$N1642&amp;"|"&amp;"2"&amp;RIGHT("00000"&amp;1637,5))</f>
        <v/>
      </c>
      <c r="L1642" t="str">
        <f t="shared" si="128"/>
        <v/>
      </c>
      <c r="M1642" t="str">
        <f t="shared" si="129"/>
        <v/>
      </c>
      <c r="N1642" t="str">
        <f>IF($F1642="","",IF(Sync!$AF1642="","0000",IF(AND(ISNUMBER(Sync!$AF1642),Sync!$AF1642&gt;=0,Sync!$AF1642&lt;1),RIGHT("00"&amp;HOUR(Sync!$AF1642),2)&amp;RIGHT("00"&amp;MINUTE(Sync!$AF1642),2),IFERROR(RIGHT("00"&amp;VALUE(LEFT(Sync!$AF1642,FIND(":",Sync!$AF1642)-1)),2)&amp;RIGHT("00"&amp;VALUE(MID(Sync!$AF1642,FIND(":",Sync!$AF1642)+1,2)),2),"0000"))))</f>
        <v/>
      </c>
    </row>
    <row r="1643" spans="1:14" x14ac:dyDescent="0.2">
      <c r="A1643" t="str">
        <f>IF(OR(Calc!$E1647="",Calc!$E1647="نامعتبر",Calc!$G1647=""),"",Calc!$G1647)</f>
        <v/>
      </c>
      <c r="B1643" t="str">
        <f>IF($A1643="","",LEFT(Calc!$E1647,4)&amp;MID(Calc!$E1647,6,2)&amp;RIGHT(Calc!$E1647,2)&amp;Calc!$Q1647&amp;"|"&amp;"1"&amp;RIGHT("00000"&amp;1638,5))</f>
        <v/>
      </c>
      <c r="C1643" t="str">
        <f t="shared" si="125"/>
        <v/>
      </c>
      <c r="D1643" t="str">
        <f t="shared" si="126"/>
        <v/>
      </c>
      <c r="F1643" t="str">
        <f>IF(Sync!$AH1643="","",IF(LEFT(UPPER(TRIM(Sync!$AH1643)),2)="SL",UPPER(TRIM(Sync!$AH1643)),""))</f>
        <v/>
      </c>
      <c r="G1643" t="str">
        <f>IF($F1643="","",IF(Sync!$AE1643="","",IF(ISNUMBER(Sync!$AE1643),IF(AND(Sync!$AE1643&gt;=10000101,Sync!$AE1643&lt;=99991231),INT(Sync!$AE1643/10000),""),IFERROR(VALUE(TRIM(LEFT(Sync!$AE1643,FIND("/",Sync!$AE1643)-1))),""))))</f>
        <v/>
      </c>
      <c r="H1643" t="str">
        <f>IF(OR($F1643="",$G1643=""),"",IF(ISNUMBER(Sync!$AE1643),INT(MOD(Sync!$AE1643,10000)/100),IFERROR(VALUE(TRIM(LEFT(MID(Sync!$AE1643,FIND("/",Sync!$AE1643)+1,20),FIND("/",MID(Sync!$AE1643,FIND("/",Sync!$AE1643)+1,20))-1))),"")))</f>
        <v/>
      </c>
      <c r="I1643" t="str">
        <f>IF(OR($F1643="",$G1643=""),"",IF(ISNUMBER(Sync!$AE1643),MOD(Sync!$AE1643,100),IFERROR(VALUE(TRIM(MID(MID(Sync!$AE1643,FIND("/",Sync!$AE1643)+1,20),FIND("/",MID(Sync!$AE1643,FIND("/",Sync!$AE1643)+1,20))+1,20))),"")))</f>
        <v/>
      </c>
      <c r="J1643" t="str">
        <f t="shared" si="127"/>
        <v/>
      </c>
      <c r="K1643" t="str">
        <f>IF(OR($F1643="",$J1643="",$J1643="نامعتبر"),"",LEFT($J1643,4)&amp;MID($J1643,6,2)&amp;RIGHT($J1643,2)&amp;$N1643&amp;"|"&amp;"2"&amp;RIGHT("00000"&amp;1638,5))</f>
        <v/>
      </c>
      <c r="L1643" t="str">
        <f t="shared" si="128"/>
        <v/>
      </c>
      <c r="M1643" t="str">
        <f t="shared" si="129"/>
        <v/>
      </c>
      <c r="N1643" t="str">
        <f>IF($F1643="","",IF(Sync!$AF1643="","0000",IF(AND(ISNUMBER(Sync!$AF1643),Sync!$AF1643&gt;=0,Sync!$AF1643&lt;1),RIGHT("00"&amp;HOUR(Sync!$AF1643),2)&amp;RIGHT("00"&amp;MINUTE(Sync!$AF1643),2),IFERROR(RIGHT("00"&amp;VALUE(LEFT(Sync!$AF1643,FIND(":",Sync!$AF1643)-1)),2)&amp;RIGHT("00"&amp;VALUE(MID(Sync!$AF1643,FIND(":",Sync!$AF1643)+1,2)),2),"0000"))))</f>
        <v/>
      </c>
    </row>
    <row r="1644" spans="1:14" x14ac:dyDescent="0.2">
      <c r="A1644" t="str">
        <f>IF(OR(Calc!$E1648="",Calc!$E1648="نامعتبر",Calc!$G1648=""),"",Calc!$G1648)</f>
        <v/>
      </c>
      <c r="B1644" t="str">
        <f>IF($A1644="","",LEFT(Calc!$E1648,4)&amp;MID(Calc!$E1648,6,2)&amp;RIGHT(Calc!$E1648,2)&amp;Calc!$Q1648&amp;"|"&amp;"1"&amp;RIGHT("00000"&amp;1639,5))</f>
        <v/>
      </c>
      <c r="C1644" t="str">
        <f t="shared" si="125"/>
        <v/>
      </c>
      <c r="D1644" t="str">
        <f t="shared" si="126"/>
        <v/>
      </c>
      <c r="F1644" t="str">
        <f>IF(Sync!$AH1644="","",IF(LEFT(UPPER(TRIM(Sync!$AH1644)),2)="SL",UPPER(TRIM(Sync!$AH1644)),""))</f>
        <v/>
      </c>
      <c r="G1644" t="str">
        <f>IF($F1644="","",IF(Sync!$AE1644="","",IF(ISNUMBER(Sync!$AE1644),IF(AND(Sync!$AE1644&gt;=10000101,Sync!$AE1644&lt;=99991231),INT(Sync!$AE1644/10000),""),IFERROR(VALUE(TRIM(LEFT(Sync!$AE1644,FIND("/",Sync!$AE1644)-1))),""))))</f>
        <v/>
      </c>
      <c r="H1644" t="str">
        <f>IF(OR($F1644="",$G1644=""),"",IF(ISNUMBER(Sync!$AE1644),INT(MOD(Sync!$AE1644,10000)/100),IFERROR(VALUE(TRIM(LEFT(MID(Sync!$AE1644,FIND("/",Sync!$AE1644)+1,20),FIND("/",MID(Sync!$AE1644,FIND("/",Sync!$AE1644)+1,20))-1))),"")))</f>
        <v/>
      </c>
      <c r="I1644" t="str">
        <f>IF(OR($F1644="",$G1644=""),"",IF(ISNUMBER(Sync!$AE1644),MOD(Sync!$AE1644,100),IFERROR(VALUE(TRIM(MID(MID(Sync!$AE1644,FIND("/",Sync!$AE1644)+1,20),FIND("/",MID(Sync!$AE1644,FIND("/",Sync!$AE1644)+1,20))+1,20))),"")))</f>
        <v/>
      </c>
      <c r="J1644" t="str">
        <f t="shared" si="127"/>
        <v/>
      </c>
      <c r="K1644" t="str">
        <f>IF(OR($F1644="",$J1644="",$J1644="نامعتبر"),"",LEFT($J1644,4)&amp;MID($J1644,6,2)&amp;RIGHT($J1644,2)&amp;$N1644&amp;"|"&amp;"2"&amp;RIGHT("00000"&amp;1639,5))</f>
        <v/>
      </c>
      <c r="L1644" t="str">
        <f t="shared" si="128"/>
        <v/>
      </c>
      <c r="M1644" t="str">
        <f t="shared" si="129"/>
        <v/>
      </c>
      <c r="N1644" t="str">
        <f>IF($F1644="","",IF(Sync!$AF1644="","0000",IF(AND(ISNUMBER(Sync!$AF1644),Sync!$AF1644&gt;=0,Sync!$AF1644&lt;1),RIGHT("00"&amp;HOUR(Sync!$AF1644),2)&amp;RIGHT("00"&amp;MINUTE(Sync!$AF1644),2),IFERROR(RIGHT("00"&amp;VALUE(LEFT(Sync!$AF1644,FIND(":",Sync!$AF1644)-1)),2)&amp;RIGHT("00"&amp;VALUE(MID(Sync!$AF1644,FIND(":",Sync!$AF1644)+1,2)),2),"0000"))))</f>
        <v/>
      </c>
    </row>
    <row r="1645" spans="1:14" x14ac:dyDescent="0.2">
      <c r="A1645" t="str">
        <f>IF(OR(Calc!$E1649="",Calc!$E1649="نامعتبر",Calc!$G1649=""),"",Calc!$G1649)</f>
        <v/>
      </c>
      <c r="B1645" t="str">
        <f>IF($A1645="","",LEFT(Calc!$E1649,4)&amp;MID(Calc!$E1649,6,2)&amp;RIGHT(Calc!$E1649,2)&amp;Calc!$Q1649&amp;"|"&amp;"1"&amp;RIGHT("00000"&amp;1640,5))</f>
        <v/>
      </c>
      <c r="C1645" t="str">
        <f t="shared" si="125"/>
        <v/>
      </c>
      <c r="D1645" t="str">
        <f t="shared" si="126"/>
        <v/>
      </c>
      <c r="F1645" t="str">
        <f>IF(Sync!$AH1645="","",IF(LEFT(UPPER(TRIM(Sync!$AH1645)),2)="SL",UPPER(TRIM(Sync!$AH1645)),""))</f>
        <v/>
      </c>
      <c r="G1645" t="str">
        <f>IF($F1645="","",IF(Sync!$AE1645="","",IF(ISNUMBER(Sync!$AE1645),IF(AND(Sync!$AE1645&gt;=10000101,Sync!$AE1645&lt;=99991231),INT(Sync!$AE1645/10000),""),IFERROR(VALUE(TRIM(LEFT(Sync!$AE1645,FIND("/",Sync!$AE1645)-1))),""))))</f>
        <v/>
      </c>
      <c r="H1645" t="str">
        <f>IF(OR($F1645="",$G1645=""),"",IF(ISNUMBER(Sync!$AE1645),INT(MOD(Sync!$AE1645,10000)/100),IFERROR(VALUE(TRIM(LEFT(MID(Sync!$AE1645,FIND("/",Sync!$AE1645)+1,20),FIND("/",MID(Sync!$AE1645,FIND("/",Sync!$AE1645)+1,20))-1))),"")))</f>
        <v/>
      </c>
      <c r="I1645" t="str">
        <f>IF(OR($F1645="",$G1645=""),"",IF(ISNUMBER(Sync!$AE1645),MOD(Sync!$AE1645,100),IFERROR(VALUE(TRIM(MID(MID(Sync!$AE1645,FIND("/",Sync!$AE1645)+1,20),FIND("/",MID(Sync!$AE1645,FIND("/",Sync!$AE1645)+1,20))+1,20))),"")))</f>
        <v/>
      </c>
      <c r="J1645" t="str">
        <f t="shared" si="127"/>
        <v/>
      </c>
      <c r="K1645" t="str">
        <f>IF(OR($F1645="",$J1645="",$J1645="نامعتبر"),"",LEFT($J1645,4)&amp;MID($J1645,6,2)&amp;RIGHT($J1645,2)&amp;$N1645&amp;"|"&amp;"2"&amp;RIGHT("00000"&amp;1640,5))</f>
        <v/>
      </c>
      <c r="L1645" t="str">
        <f t="shared" si="128"/>
        <v/>
      </c>
      <c r="M1645" t="str">
        <f t="shared" si="129"/>
        <v/>
      </c>
      <c r="N1645" t="str">
        <f>IF($F1645="","",IF(Sync!$AF1645="","0000",IF(AND(ISNUMBER(Sync!$AF1645),Sync!$AF1645&gt;=0,Sync!$AF1645&lt;1),RIGHT("00"&amp;HOUR(Sync!$AF1645),2)&amp;RIGHT("00"&amp;MINUTE(Sync!$AF1645),2),IFERROR(RIGHT("00"&amp;VALUE(LEFT(Sync!$AF1645,FIND(":",Sync!$AF1645)-1)),2)&amp;RIGHT("00"&amp;VALUE(MID(Sync!$AF1645,FIND(":",Sync!$AF1645)+1,2)),2),"0000"))))</f>
        <v/>
      </c>
    </row>
    <row r="1646" spans="1:14" x14ac:dyDescent="0.2">
      <c r="A1646" t="str">
        <f>IF(OR(Calc!$E1650="",Calc!$E1650="نامعتبر",Calc!$G1650=""),"",Calc!$G1650)</f>
        <v/>
      </c>
      <c r="B1646" t="str">
        <f>IF($A1646="","",LEFT(Calc!$E1650,4)&amp;MID(Calc!$E1650,6,2)&amp;RIGHT(Calc!$E1650,2)&amp;Calc!$Q1650&amp;"|"&amp;"1"&amp;RIGHT("00000"&amp;1641,5))</f>
        <v/>
      </c>
      <c r="C1646" t="str">
        <f t="shared" si="125"/>
        <v/>
      </c>
      <c r="D1646" t="str">
        <f t="shared" si="126"/>
        <v/>
      </c>
      <c r="F1646" t="str">
        <f>IF(Sync!$AH1646="","",IF(LEFT(UPPER(TRIM(Sync!$AH1646)),2)="SL",UPPER(TRIM(Sync!$AH1646)),""))</f>
        <v/>
      </c>
      <c r="G1646" t="str">
        <f>IF($F1646="","",IF(Sync!$AE1646="","",IF(ISNUMBER(Sync!$AE1646),IF(AND(Sync!$AE1646&gt;=10000101,Sync!$AE1646&lt;=99991231),INT(Sync!$AE1646/10000),""),IFERROR(VALUE(TRIM(LEFT(Sync!$AE1646,FIND("/",Sync!$AE1646)-1))),""))))</f>
        <v/>
      </c>
      <c r="H1646" t="str">
        <f>IF(OR($F1646="",$G1646=""),"",IF(ISNUMBER(Sync!$AE1646),INT(MOD(Sync!$AE1646,10000)/100),IFERROR(VALUE(TRIM(LEFT(MID(Sync!$AE1646,FIND("/",Sync!$AE1646)+1,20),FIND("/",MID(Sync!$AE1646,FIND("/",Sync!$AE1646)+1,20))-1))),"")))</f>
        <v/>
      </c>
      <c r="I1646" t="str">
        <f>IF(OR($F1646="",$G1646=""),"",IF(ISNUMBER(Sync!$AE1646),MOD(Sync!$AE1646,100),IFERROR(VALUE(TRIM(MID(MID(Sync!$AE1646,FIND("/",Sync!$AE1646)+1,20),FIND("/",MID(Sync!$AE1646,FIND("/",Sync!$AE1646)+1,20))+1,20))),"")))</f>
        <v/>
      </c>
      <c r="J1646" t="str">
        <f t="shared" si="127"/>
        <v/>
      </c>
      <c r="K1646" t="str">
        <f>IF(OR($F1646="",$J1646="",$J1646="نامعتبر"),"",LEFT($J1646,4)&amp;MID($J1646,6,2)&amp;RIGHT($J1646,2)&amp;$N1646&amp;"|"&amp;"2"&amp;RIGHT("00000"&amp;1641,5))</f>
        <v/>
      </c>
      <c r="L1646" t="str">
        <f t="shared" si="128"/>
        <v/>
      </c>
      <c r="M1646" t="str">
        <f t="shared" si="129"/>
        <v/>
      </c>
      <c r="N1646" t="str">
        <f>IF($F1646="","",IF(Sync!$AF1646="","0000",IF(AND(ISNUMBER(Sync!$AF1646),Sync!$AF1646&gt;=0,Sync!$AF1646&lt;1),RIGHT("00"&amp;HOUR(Sync!$AF1646),2)&amp;RIGHT("00"&amp;MINUTE(Sync!$AF1646),2),IFERROR(RIGHT("00"&amp;VALUE(LEFT(Sync!$AF1646,FIND(":",Sync!$AF1646)-1)),2)&amp;RIGHT("00"&amp;VALUE(MID(Sync!$AF1646,FIND(":",Sync!$AF1646)+1,2)),2),"0000"))))</f>
        <v/>
      </c>
    </row>
    <row r="1647" spans="1:14" x14ac:dyDescent="0.2">
      <c r="A1647" t="str">
        <f>IF(OR(Calc!$E1651="",Calc!$E1651="نامعتبر",Calc!$G1651=""),"",Calc!$G1651)</f>
        <v/>
      </c>
      <c r="B1647" t="str">
        <f>IF($A1647="","",LEFT(Calc!$E1651,4)&amp;MID(Calc!$E1651,6,2)&amp;RIGHT(Calc!$E1651,2)&amp;Calc!$Q1651&amp;"|"&amp;"1"&amp;RIGHT("00000"&amp;1642,5))</f>
        <v/>
      </c>
      <c r="C1647" t="str">
        <f t="shared" si="125"/>
        <v/>
      </c>
      <c r="D1647" t="str">
        <f t="shared" si="126"/>
        <v/>
      </c>
      <c r="F1647" t="str">
        <f>IF(Sync!$AH1647="","",IF(LEFT(UPPER(TRIM(Sync!$AH1647)),2)="SL",UPPER(TRIM(Sync!$AH1647)),""))</f>
        <v/>
      </c>
      <c r="G1647" t="str">
        <f>IF($F1647="","",IF(Sync!$AE1647="","",IF(ISNUMBER(Sync!$AE1647),IF(AND(Sync!$AE1647&gt;=10000101,Sync!$AE1647&lt;=99991231),INT(Sync!$AE1647/10000),""),IFERROR(VALUE(TRIM(LEFT(Sync!$AE1647,FIND("/",Sync!$AE1647)-1))),""))))</f>
        <v/>
      </c>
      <c r="H1647" t="str">
        <f>IF(OR($F1647="",$G1647=""),"",IF(ISNUMBER(Sync!$AE1647),INT(MOD(Sync!$AE1647,10000)/100),IFERROR(VALUE(TRIM(LEFT(MID(Sync!$AE1647,FIND("/",Sync!$AE1647)+1,20),FIND("/",MID(Sync!$AE1647,FIND("/",Sync!$AE1647)+1,20))-1))),"")))</f>
        <v/>
      </c>
      <c r="I1647" t="str">
        <f>IF(OR($F1647="",$G1647=""),"",IF(ISNUMBER(Sync!$AE1647),MOD(Sync!$AE1647,100),IFERROR(VALUE(TRIM(MID(MID(Sync!$AE1647,FIND("/",Sync!$AE1647)+1,20),FIND("/",MID(Sync!$AE1647,FIND("/",Sync!$AE1647)+1,20))+1,20))),"")))</f>
        <v/>
      </c>
      <c r="J1647" t="str">
        <f t="shared" si="127"/>
        <v/>
      </c>
      <c r="K1647" t="str">
        <f>IF(OR($F1647="",$J1647="",$J1647="نامعتبر"),"",LEFT($J1647,4)&amp;MID($J1647,6,2)&amp;RIGHT($J1647,2)&amp;$N1647&amp;"|"&amp;"2"&amp;RIGHT("00000"&amp;1642,5))</f>
        <v/>
      </c>
      <c r="L1647" t="str">
        <f t="shared" si="128"/>
        <v/>
      </c>
      <c r="M1647" t="str">
        <f t="shared" si="129"/>
        <v/>
      </c>
      <c r="N1647" t="str">
        <f>IF($F1647="","",IF(Sync!$AF1647="","0000",IF(AND(ISNUMBER(Sync!$AF1647),Sync!$AF1647&gt;=0,Sync!$AF1647&lt;1),RIGHT("00"&amp;HOUR(Sync!$AF1647),2)&amp;RIGHT("00"&amp;MINUTE(Sync!$AF1647),2),IFERROR(RIGHT("00"&amp;VALUE(LEFT(Sync!$AF1647,FIND(":",Sync!$AF1647)-1)),2)&amp;RIGHT("00"&amp;VALUE(MID(Sync!$AF1647,FIND(":",Sync!$AF1647)+1,2)),2),"0000"))))</f>
        <v/>
      </c>
    </row>
    <row r="1648" spans="1:14" x14ac:dyDescent="0.2">
      <c r="A1648" t="str">
        <f>IF(OR(Calc!$E1652="",Calc!$E1652="نامعتبر",Calc!$G1652=""),"",Calc!$G1652)</f>
        <v/>
      </c>
      <c r="B1648" t="str">
        <f>IF($A1648="","",LEFT(Calc!$E1652,4)&amp;MID(Calc!$E1652,6,2)&amp;RIGHT(Calc!$E1652,2)&amp;Calc!$Q1652&amp;"|"&amp;"1"&amp;RIGHT("00000"&amp;1643,5))</f>
        <v/>
      </c>
      <c r="C1648" t="str">
        <f t="shared" si="125"/>
        <v/>
      </c>
      <c r="D1648" t="str">
        <f t="shared" si="126"/>
        <v/>
      </c>
      <c r="F1648" t="str">
        <f>IF(Sync!$AH1648="","",IF(LEFT(UPPER(TRIM(Sync!$AH1648)),2)="SL",UPPER(TRIM(Sync!$AH1648)),""))</f>
        <v/>
      </c>
      <c r="G1648" t="str">
        <f>IF($F1648="","",IF(Sync!$AE1648="","",IF(ISNUMBER(Sync!$AE1648),IF(AND(Sync!$AE1648&gt;=10000101,Sync!$AE1648&lt;=99991231),INT(Sync!$AE1648/10000),""),IFERROR(VALUE(TRIM(LEFT(Sync!$AE1648,FIND("/",Sync!$AE1648)-1))),""))))</f>
        <v/>
      </c>
      <c r="H1648" t="str">
        <f>IF(OR($F1648="",$G1648=""),"",IF(ISNUMBER(Sync!$AE1648),INT(MOD(Sync!$AE1648,10000)/100),IFERROR(VALUE(TRIM(LEFT(MID(Sync!$AE1648,FIND("/",Sync!$AE1648)+1,20),FIND("/",MID(Sync!$AE1648,FIND("/",Sync!$AE1648)+1,20))-1))),"")))</f>
        <v/>
      </c>
      <c r="I1648" t="str">
        <f>IF(OR($F1648="",$G1648=""),"",IF(ISNUMBER(Sync!$AE1648),MOD(Sync!$AE1648,100),IFERROR(VALUE(TRIM(MID(MID(Sync!$AE1648,FIND("/",Sync!$AE1648)+1,20),FIND("/",MID(Sync!$AE1648,FIND("/",Sync!$AE1648)+1,20))+1,20))),"")))</f>
        <v/>
      </c>
      <c r="J1648" t="str">
        <f t="shared" si="127"/>
        <v/>
      </c>
      <c r="K1648" t="str">
        <f>IF(OR($F1648="",$J1648="",$J1648="نامعتبر"),"",LEFT($J1648,4)&amp;MID($J1648,6,2)&amp;RIGHT($J1648,2)&amp;$N1648&amp;"|"&amp;"2"&amp;RIGHT("00000"&amp;1643,5))</f>
        <v/>
      </c>
      <c r="L1648" t="str">
        <f t="shared" si="128"/>
        <v/>
      </c>
      <c r="M1648" t="str">
        <f t="shared" si="129"/>
        <v/>
      </c>
      <c r="N1648" t="str">
        <f>IF($F1648="","",IF(Sync!$AF1648="","0000",IF(AND(ISNUMBER(Sync!$AF1648),Sync!$AF1648&gt;=0,Sync!$AF1648&lt;1),RIGHT("00"&amp;HOUR(Sync!$AF1648),2)&amp;RIGHT("00"&amp;MINUTE(Sync!$AF1648),2),IFERROR(RIGHT("00"&amp;VALUE(LEFT(Sync!$AF1648,FIND(":",Sync!$AF1648)-1)),2)&amp;RIGHT("00"&amp;VALUE(MID(Sync!$AF1648,FIND(":",Sync!$AF1648)+1,2)),2),"0000"))))</f>
        <v/>
      </c>
    </row>
    <row r="1649" spans="1:14" x14ac:dyDescent="0.2">
      <c r="A1649" t="str">
        <f>IF(OR(Calc!$E1653="",Calc!$E1653="نامعتبر",Calc!$G1653=""),"",Calc!$G1653)</f>
        <v/>
      </c>
      <c r="B1649" t="str">
        <f>IF($A1649="","",LEFT(Calc!$E1653,4)&amp;MID(Calc!$E1653,6,2)&amp;RIGHT(Calc!$E1653,2)&amp;Calc!$Q1653&amp;"|"&amp;"1"&amp;RIGHT("00000"&amp;1644,5))</f>
        <v/>
      </c>
      <c r="C1649" t="str">
        <f t="shared" si="125"/>
        <v/>
      </c>
      <c r="D1649" t="str">
        <f t="shared" si="126"/>
        <v/>
      </c>
      <c r="F1649" t="str">
        <f>IF(Sync!$AH1649="","",IF(LEFT(UPPER(TRIM(Sync!$AH1649)),2)="SL",UPPER(TRIM(Sync!$AH1649)),""))</f>
        <v/>
      </c>
      <c r="G1649" t="str">
        <f>IF($F1649="","",IF(Sync!$AE1649="","",IF(ISNUMBER(Sync!$AE1649),IF(AND(Sync!$AE1649&gt;=10000101,Sync!$AE1649&lt;=99991231),INT(Sync!$AE1649/10000),""),IFERROR(VALUE(TRIM(LEFT(Sync!$AE1649,FIND("/",Sync!$AE1649)-1))),""))))</f>
        <v/>
      </c>
      <c r="H1649" t="str">
        <f>IF(OR($F1649="",$G1649=""),"",IF(ISNUMBER(Sync!$AE1649),INT(MOD(Sync!$AE1649,10000)/100),IFERROR(VALUE(TRIM(LEFT(MID(Sync!$AE1649,FIND("/",Sync!$AE1649)+1,20),FIND("/",MID(Sync!$AE1649,FIND("/",Sync!$AE1649)+1,20))-1))),"")))</f>
        <v/>
      </c>
      <c r="I1649" t="str">
        <f>IF(OR($F1649="",$G1649=""),"",IF(ISNUMBER(Sync!$AE1649),MOD(Sync!$AE1649,100),IFERROR(VALUE(TRIM(MID(MID(Sync!$AE1649,FIND("/",Sync!$AE1649)+1,20),FIND("/",MID(Sync!$AE1649,FIND("/",Sync!$AE1649)+1,20))+1,20))),"")))</f>
        <v/>
      </c>
      <c r="J1649" t="str">
        <f t="shared" si="127"/>
        <v/>
      </c>
      <c r="K1649" t="str">
        <f>IF(OR($F1649="",$J1649="",$J1649="نامعتبر"),"",LEFT($J1649,4)&amp;MID($J1649,6,2)&amp;RIGHT($J1649,2)&amp;$N1649&amp;"|"&amp;"2"&amp;RIGHT("00000"&amp;1644,5))</f>
        <v/>
      </c>
      <c r="L1649" t="str">
        <f t="shared" si="128"/>
        <v/>
      </c>
      <c r="M1649" t="str">
        <f t="shared" si="129"/>
        <v/>
      </c>
      <c r="N1649" t="str">
        <f>IF($F1649="","",IF(Sync!$AF1649="","0000",IF(AND(ISNUMBER(Sync!$AF1649),Sync!$AF1649&gt;=0,Sync!$AF1649&lt;1),RIGHT("00"&amp;HOUR(Sync!$AF1649),2)&amp;RIGHT("00"&amp;MINUTE(Sync!$AF1649),2),IFERROR(RIGHT("00"&amp;VALUE(LEFT(Sync!$AF1649,FIND(":",Sync!$AF1649)-1)),2)&amp;RIGHT("00"&amp;VALUE(MID(Sync!$AF1649,FIND(":",Sync!$AF1649)+1,2)),2),"0000"))))</f>
        <v/>
      </c>
    </row>
    <row r="1650" spans="1:14" x14ac:dyDescent="0.2">
      <c r="A1650" t="str">
        <f>IF(OR(Calc!$E1654="",Calc!$E1654="نامعتبر",Calc!$G1654=""),"",Calc!$G1654)</f>
        <v/>
      </c>
      <c r="B1650" t="str">
        <f>IF($A1650="","",LEFT(Calc!$E1654,4)&amp;MID(Calc!$E1654,6,2)&amp;RIGHT(Calc!$E1654,2)&amp;Calc!$Q1654&amp;"|"&amp;"1"&amp;RIGHT("00000"&amp;1645,5))</f>
        <v/>
      </c>
      <c r="C1650" t="str">
        <f t="shared" si="125"/>
        <v/>
      </c>
      <c r="D1650" t="str">
        <f t="shared" si="126"/>
        <v/>
      </c>
      <c r="F1650" t="str">
        <f>IF(Sync!$AH1650="","",IF(LEFT(UPPER(TRIM(Sync!$AH1650)),2)="SL",UPPER(TRIM(Sync!$AH1650)),""))</f>
        <v/>
      </c>
      <c r="G1650" t="str">
        <f>IF($F1650="","",IF(Sync!$AE1650="","",IF(ISNUMBER(Sync!$AE1650),IF(AND(Sync!$AE1650&gt;=10000101,Sync!$AE1650&lt;=99991231),INT(Sync!$AE1650/10000),""),IFERROR(VALUE(TRIM(LEFT(Sync!$AE1650,FIND("/",Sync!$AE1650)-1))),""))))</f>
        <v/>
      </c>
      <c r="H1650" t="str">
        <f>IF(OR($F1650="",$G1650=""),"",IF(ISNUMBER(Sync!$AE1650),INT(MOD(Sync!$AE1650,10000)/100),IFERROR(VALUE(TRIM(LEFT(MID(Sync!$AE1650,FIND("/",Sync!$AE1650)+1,20),FIND("/",MID(Sync!$AE1650,FIND("/",Sync!$AE1650)+1,20))-1))),"")))</f>
        <v/>
      </c>
      <c r="I1650" t="str">
        <f>IF(OR($F1650="",$G1650=""),"",IF(ISNUMBER(Sync!$AE1650),MOD(Sync!$AE1650,100),IFERROR(VALUE(TRIM(MID(MID(Sync!$AE1650,FIND("/",Sync!$AE1650)+1,20),FIND("/",MID(Sync!$AE1650,FIND("/",Sync!$AE1650)+1,20))+1,20))),"")))</f>
        <v/>
      </c>
      <c r="J1650" t="str">
        <f t="shared" si="127"/>
        <v/>
      </c>
      <c r="K1650" t="str">
        <f>IF(OR($F1650="",$J1650="",$J1650="نامعتبر"),"",LEFT($J1650,4)&amp;MID($J1650,6,2)&amp;RIGHT($J1650,2)&amp;$N1650&amp;"|"&amp;"2"&amp;RIGHT("00000"&amp;1645,5))</f>
        <v/>
      </c>
      <c r="L1650" t="str">
        <f t="shared" si="128"/>
        <v/>
      </c>
      <c r="M1650" t="str">
        <f t="shared" si="129"/>
        <v/>
      </c>
      <c r="N1650" t="str">
        <f>IF($F1650="","",IF(Sync!$AF1650="","0000",IF(AND(ISNUMBER(Sync!$AF1650),Sync!$AF1650&gt;=0,Sync!$AF1650&lt;1),RIGHT("00"&amp;HOUR(Sync!$AF1650),2)&amp;RIGHT("00"&amp;MINUTE(Sync!$AF1650),2),IFERROR(RIGHT("00"&amp;VALUE(LEFT(Sync!$AF1650,FIND(":",Sync!$AF1650)-1)),2)&amp;RIGHT("00"&amp;VALUE(MID(Sync!$AF1650,FIND(":",Sync!$AF1650)+1,2)),2),"0000"))))</f>
        <v/>
      </c>
    </row>
    <row r="1651" spans="1:14" x14ac:dyDescent="0.2">
      <c r="A1651" t="str">
        <f>IF(OR(Calc!$E1655="",Calc!$E1655="نامعتبر",Calc!$G1655=""),"",Calc!$G1655)</f>
        <v/>
      </c>
      <c r="B1651" t="str">
        <f>IF($A1651="","",LEFT(Calc!$E1655,4)&amp;MID(Calc!$E1655,6,2)&amp;RIGHT(Calc!$E1655,2)&amp;Calc!$Q1655&amp;"|"&amp;"1"&amp;RIGHT("00000"&amp;1646,5))</f>
        <v/>
      </c>
      <c r="C1651" t="str">
        <f t="shared" si="125"/>
        <v/>
      </c>
      <c r="D1651" t="str">
        <f t="shared" si="126"/>
        <v/>
      </c>
      <c r="F1651" t="str">
        <f>IF(Sync!$AH1651="","",IF(LEFT(UPPER(TRIM(Sync!$AH1651)),2)="SL",UPPER(TRIM(Sync!$AH1651)),""))</f>
        <v/>
      </c>
      <c r="G1651" t="str">
        <f>IF($F1651="","",IF(Sync!$AE1651="","",IF(ISNUMBER(Sync!$AE1651),IF(AND(Sync!$AE1651&gt;=10000101,Sync!$AE1651&lt;=99991231),INT(Sync!$AE1651/10000),""),IFERROR(VALUE(TRIM(LEFT(Sync!$AE1651,FIND("/",Sync!$AE1651)-1))),""))))</f>
        <v/>
      </c>
      <c r="H1651" t="str">
        <f>IF(OR($F1651="",$G1651=""),"",IF(ISNUMBER(Sync!$AE1651),INT(MOD(Sync!$AE1651,10000)/100),IFERROR(VALUE(TRIM(LEFT(MID(Sync!$AE1651,FIND("/",Sync!$AE1651)+1,20),FIND("/",MID(Sync!$AE1651,FIND("/",Sync!$AE1651)+1,20))-1))),"")))</f>
        <v/>
      </c>
      <c r="I1651" t="str">
        <f>IF(OR($F1651="",$G1651=""),"",IF(ISNUMBER(Sync!$AE1651),MOD(Sync!$AE1651,100),IFERROR(VALUE(TRIM(MID(MID(Sync!$AE1651,FIND("/",Sync!$AE1651)+1,20),FIND("/",MID(Sync!$AE1651,FIND("/",Sync!$AE1651)+1,20))+1,20))),"")))</f>
        <v/>
      </c>
      <c r="J1651" t="str">
        <f t="shared" si="127"/>
        <v/>
      </c>
      <c r="K1651" t="str">
        <f>IF(OR($F1651="",$J1651="",$J1651="نامعتبر"),"",LEFT($J1651,4)&amp;MID($J1651,6,2)&amp;RIGHT($J1651,2)&amp;$N1651&amp;"|"&amp;"2"&amp;RIGHT("00000"&amp;1646,5))</f>
        <v/>
      </c>
      <c r="L1651" t="str">
        <f t="shared" si="128"/>
        <v/>
      </c>
      <c r="M1651" t="str">
        <f t="shared" si="129"/>
        <v/>
      </c>
      <c r="N1651" t="str">
        <f>IF($F1651="","",IF(Sync!$AF1651="","0000",IF(AND(ISNUMBER(Sync!$AF1651),Sync!$AF1651&gt;=0,Sync!$AF1651&lt;1),RIGHT("00"&amp;HOUR(Sync!$AF1651),2)&amp;RIGHT("00"&amp;MINUTE(Sync!$AF1651),2),IFERROR(RIGHT("00"&amp;VALUE(LEFT(Sync!$AF1651,FIND(":",Sync!$AF1651)-1)),2)&amp;RIGHT("00"&amp;VALUE(MID(Sync!$AF1651,FIND(":",Sync!$AF1651)+1,2)),2),"0000"))))</f>
        <v/>
      </c>
    </row>
    <row r="1652" spans="1:14" x14ac:dyDescent="0.2">
      <c r="A1652" t="str">
        <f>IF(OR(Calc!$E1656="",Calc!$E1656="نامعتبر",Calc!$G1656=""),"",Calc!$G1656)</f>
        <v/>
      </c>
      <c r="B1652" t="str">
        <f>IF($A1652="","",LEFT(Calc!$E1656,4)&amp;MID(Calc!$E1656,6,2)&amp;RIGHT(Calc!$E1656,2)&amp;Calc!$Q1656&amp;"|"&amp;"1"&amp;RIGHT("00000"&amp;1647,5))</f>
        <v/>
      </c>
      <c r="C1652" t="str">
        <f t="shared" si="125"/>
        <v/>
      </c>
      <c r="D1652" t="str">
        <f t="shared" si="126"/>
        <v/>
      </c>
      <c r="F1652" t="str">
        <f>IF(Sync!$AH1652="","",IF(LEFT(UPPER(TRIM(Sync!$AH1652)),2)="SL",UPPER(TRIM(Sync!$AH1652)),""))</f>
        <v/>
      </c>
      <c r="G1652" t="str">
        <f>IF($F1652="","",IF(Sync!$AE1652="","",IF(ISNUMBER(Sync!$AE1652),IF(AND(Sync!$AE1652&gt;=10000101,Sync!$AE1652&lt;=99991231),INT(Sync!$AE1652/10000),""),IFERROR(VALUE(TRIM(LEFT(Sync!$AE1652,FIND("/",Sync!$AE1652)-1))),""))))</f>
        <v/>
      </c>
      <c r="H1652" t="str">
        <f>IF(OR($F1652="",$G1652=""),"",IF(ISNUMBER(Sync!$AE1652),INT(MOD(Sync!$AE1652,10000)/100),IFERROR(VALUE(TRIM(LEFT(MID(Sync!$AE1652,FIND("/",Sync!$AE1652)+1,20),FIND("/",MID(Sync!$AE1652,FIND("/",Sync!$AE1652)+1,20))-1))),"")))</f>
        <v/>
      </c>
      <c r="I1652" t="str">
        <f>IF(OR($F1652="",$G1652=""),"",IF(ISNUMBER(Sync!$AE1652),MOD(Sync!$AE1652,100),IFERROR(VALUE(TRIM(MID(MID(Sync!$AE1652,FIND("/",Sync!$AE1652)+1,20),FIND("/",MID(Sync!$AE1652,FIND("/",Sync!$AE1652)+1,20))+1,20))),"")))</f>
        <v/>
      </c>
      <c r="J1652" t="str">
        <f t="shared" si="127"/>
        <v/>
      </c>
      <c r="K1652" t="str">
        <f>IF(OR($F1652="",$J1652="",$J1652="نامعتبر"),"",LEFT($J1652,4)&amp;MID($J1652,6,2)&amp;RIGHT($J1652,2)&amp;$N1652&amp;"|"&amp;"2"&amp;RIGHT("00000"&amp;1647,5))</f>
        <v/>
      </c>
      <c r="L1652" t="str">
        <f t="shared" si="128"/>
        <v/>
      </c>
      <c r="M1652" t="str">
        <f t="shared" si="129"/>
        <v/>
      </c>
      <c r="N1652" t="str">
        <f>IF($F1652="","",IF(Sync!$AF1652="","0000",IF(AND(ISNUMBER(Sync!$AF1652),Sync!$AF1652&gt;=0,Sync!$AF1652&lt;1),RIGHT("00"&amp;HOUR(Sync!$AF1652),2)&amp;RIGHT("00"&amp;MINUTE(Sync!$AF1652),2),IFERROR(RIGHT("00"&amp;VALUE(LEFT(Sync!$AF1652,FIND(":",Sync!$AF1652)-1)),2)&amp;RIGHT("00"&amp;VALUE(MID(Sync!$AF1652,FIND(":",Sync!$AF1652)+1,2)),2),"0000"))))</f>
        <v/>
      </c>
    </row>
    <row r="1653" spans="1:14" x14ac:dyDescent="0.2">
      <c r="A1653" t="str">
        <f>IF(OR(Calc!$E1657="",Calc!$E1657="نامعتبر",Calc!$G1657=""),"",Calc!$G1657)</f>
        <v/>
      </c>
      <c r="B1653" t="str">
        <f>IF($A1653="","",LEFT(Calc!$E1657,4)&amp;MID(Calc!$E1657,6,2)&amp;RIGHT(Calc!$E1657,2)&amp;Calc!$Q1657&amp;"|"&amp;"1"&amp;RIGHT("00000"&amp;1648,5))</f>
        <v/>
      </c>
      <c r="C1653" t="str">
        <f t="shared" si="125"/>
        <v/>
      </c>
      <c r="D1653" t="str">
        <f t="shared" si="126"/>
        <v/>
      </c>
      <c r="F1653" t="str">
        <f>IF(Sync!$AH1653="","",IF(LEFT(UPPER(TRIM(Sync!$AH1653)),2)="SL",UPPER(TRIM(Sync!$AH1653)),""))</f>
        <v/>
      </c>
      <c r="G1653" t="str">
        <f>IF($F1653="","",IF(Sync!$AE1653="","",IF(ISNUMBER(Sync!$AE1653),IF(AND(Sync!$AE1653&gt;=10000101,Sync!$AE1653&lt;=99991231),INT(Sync!$AE1653/10000),""),IFERROR(VALUE(TRIM(LEFT(Sync!$AE1653,FIND("/",Sync!$AE1653)-1))),""))))</f>
        <v/>
      </c>
      <c r="H1653" t="str">
        <f>IF(OR($F1653="",$G1653=""),"",IF(ISNUMBER(Sync!$AE1653),INT(MOD(Sync!$AE1653,10000)/100),IFERROR(VALUE(TRIM(LEFT(MID(Sync!$AE1653,FIND("/",Sync!$AE1653)+1,20),FIND("/",MID(Sync!$AE1653,FIND("/",Sync!$AE1653)+1,20))-1))),"")))</f>
        <v/>
      </c>
      <c r="I1653" t="str">
        <f>IF(OR($F1653="",$G1653=""),"",IF(ISNUMBER(Sync!$AE1653),MOD(Sync!$AE1653,100),IFERROR(VALUE(TRIM(MID(MID(Sync!$AE1653,FIND("/",Sync!$AE1653)+1,20),FIND("/",MID(Sync!$AE1653,FIND("/",Sync!$AE1653)+1,20))+1,20))),"")))</f>
        <v/>
      </c>
      <c r="J1653" t="str">
        <f t="shared" si="127"/>
        <v/>
      </c>
      <c r="K1653" t="str">
        <f>IF(OR($F1653="",$J1653="",$J1653="نامعتبر"),"",LEFT($J1653,4)&amp;MID($J1653,6,2)&amp;RIGHT($J1653,2)&amp;$N1653&amp;"|"&amp;"2"&amp;RIGHT("00000"&amp;1648,5))</f>
        <v/>
      </c>
      <c r="L1653" t="str">
        <f t="shared" si="128"/>
        <v/>
      </c>
      <c r="M1653" t="str">
        <f t="shared" si="129"/>
        <v/>
      </c>
      <c r="N1653" t="str">
        <f>IF($F1653="","",IF(Sync!$AF1653="","0000",IF(AND(ISNUMBER(Sync!$AF1653),Sync!$AF1653&gt;=0,Sync!$AF1653&lt;1),RIGHT("00"&amp;HOUR(Sync!$AF1653),2)&amp;RIGHT("00"&amp;MINUTE(Sync!$AF1653),2),IFERROR(RIGHT("00"&amp;VALUE(LEFT(Sync!$AF1653,FIND(":",Sync!$AF1653)-1)),2)&amp;RIGHT("00"&amp;VALUE(MID(Sync!$AF1653,FIND(":",Sync!$AF1653)+1,2)),2),"0000"))))</f>
        <v/>
      </c>
    </row>
    <row r="1654" spans="1:14" x14ac:dyDescent="0.2">
      <c r="A1654" t="str">
        <f>IF(OR(Calc!$E1658="",Calc!$E1658="نامعتبر",Calc!$G1658=""),"",Calc!$G1658)</f>
        <v/>
      </c>
      <c r="B1654" t="str">
        <f>IF($A1654="","",LEFT(Calc!$E1658,4)&amp;MID(Calc!$E1658,6,2)&amp;RIGHT(Calc!$E1658,2)&amp;Calc!$Q1658&amp;"|"&amp;"1"&amp;RIGHT("00000"&amp;1649,5))</f>
        <v/>
      </c>
      <c r="C1654" t="str">
        <f t="shared" si="125"/>
        <v/>
      </c>
      <c r="D1654" t="str">
        <f t="shared" si="126"/>
        <v/>
      </c>
      <c r="F1654" t="str">
        <f>IF(Sync!$AH1654="","",IF(LEFT(UPPER(TRIM(Sync!$AH1654)),2)="SL",UPPER(TRIM(Sync!$AH1654)),""))</f>
        <v/>
      </c>
      <c r="G1654" t="str">
        <f>IF($F1654="","",IF(Sync!$AE1654="","",IF(ISNUMBER(Sync!$AE1654),IF(AND(Sync!$AE1654&gt;=10000101,Sync!$AE1654&lt;=99991231),INT(Sync!$AE1654/10000),""),IFERROR(VALUE(TRIM(LEFT(Sync!$AE1654,FIND("/",Sync!$AE1654)-1))),""))))</f>
        <v/>
      </c>
      <c r="H1654" t="str">
        <f>IF(OR($F1654="",$G1654=""),"",IF(ISNUMBER(Sync!$AE1654),INT(MOD(Sync!$AE1654,10000)/100),IFERROR(VALUE(TRIM(LEFT(MID(Sync!$AE1654,FIND("/",Sync!$AE1654)+1,20),FIND("/",MID(Sync!$AE1654,FIND("/",Sync!$AE1654)+1,20))-1))),"")))</f>
        <v/>
      </c>
      <c r="I1654" t="str">
        <f>IF(OR($F1654="",$G1654=""),"",IF(ISNUMBER(Sync!$AE1654),MOD(Sync!$AE1654,100),IFERROR(VALUE(TRIM(MID(MID(Sync!$AE1654,FIND("/",Sync!$AE1654)+1,20),FIND("/",MID(Sync!$AE1654,FIND("/",Sync!$AE1654)+1,20))+1,20))),"")))</f>
        <v/>
      </c>
      <c r="J1654" t="str">
        <f t="shared" si="127"/>
        <v/>
      </c>
      <c r="K1654" t="str">
        <f>IF(OR($F1654="",$J1654="",$J1654="نامعتبر"),"",LEFT($J1654,4)&amp;MID($J1654,6,2)&amp;RIGHT($J1654,2)&amp;$N1654&amp;"|"&amp;"2"&amp;RIGHT("00000"&amp;1649,5))</f>
        <v/>
      </c>
      <c r="L1654" t="str">
        <f t="shared" si="128"/>
        <v/>
      </c>
      <c r="M1654" t="str">
        <f t="shared" si="129"/>
        <v/>
      </c>
      <c r="N1654" t="str">
        <f>IF($F1654="","",IF(Sync!$AF1654="","0000",IF(AND(ISNUMBER(Sync!$AF1654),Sync!$AF1654&gt;=0,Sync!$AF1654&lt;1),RIGHT("00"&amp;HOUR(Sync!$AF1654),2)&amp;RIGHT("00"&amp;MINUTE(Sync!$AF1654),2),IFERROR(RIGHT("00"&amp;VALUE(LEFT(Sync!$AF1654,FIND(":",Sync!$AF1654)-1)),2)&amp;RIGHT("00"&amp;VALUE(MID(Sync!$AF1654,FIND(":",Sync!$AF1654)+1,2)),2),"0000"))))</f>
        <v/>
      </c>
    </row>
    <row r="1655" spans="1:14" x14ac:dyDescent="0.2">
      <c r="A1655" t="str">
        <f>IF(OR(Calc!$E1659="",Calc!$E1659="نامعتبر",Calc!$G1659=""),"",Calc!$G1659)</f>
        <v/>
      </c>
      <c r="B1655" t="str">
        <f>IF($A1655="","",LEFT(Calc!$E1659,4)&amp;MID(Calc!$E1659,6,2)&amp;RIGHT(Calc!$E1659,2)&amp;Calc!$Q1659&amp;"|"&amp;"1"&amp;RIGHT("00000"&amp;1650,5))</f>
        <v/>
      </c>
      <c r="C1655" t="str">
        <f t="shared" si="125"/>
        <v/>
      </c>
      <c r="D1655" t="str">
        <f t="shared" si="126"/>
        <v/>
      </c>
      <c r="F1655" t="str">
        <f>IF(Sync!$AH1655="","",IF(LEFT(UPPER(TRIM(Sync!$AH1655)),2)="SL",UPPER(TRIM(Sync!$AH1655)),""))</f>
        <v/>
      </c>
      <c r="G1655" t="str">
        <f>IF($F1655="","",IF(Sync!$AE1655="","",IF(ISNUMBER(Sync!$AE1655),IF(AND(Sync!$AE1655&gt;=10000101,Sync!$AE1655&lt;=99991231),INT(Sync!$AE1655/10000),""),IFERROR(VALUE(TRIM(LEFT(Sync!$AE1655,FIND("/",Sync!$AE1655)-1))),""))))</f>
        <v/>
      </c>
      <c r="H1655" t="str">
        <f>IF(OR($F1655="",$G1655=""),"",IF(ISNUMBER(Sync!$AE1655),INT(MOD(Sync!$AE1655,10000)/100),IFERROR(VALUE(TRIM(LEFT(MID(Sync!$AE1655,FIND("/",Sync!$AE1655)+1,20),FIND("/",MID(Sync!$AE1655,FIND("/",Sync!$AE1655)+1,20))-1))),"")))</f>
        <v/>
      </c>
      <c r="I1655" t="str">
        <f>IF(OR($F1655="",$G1655=""),"",IF(ISNUMBER(Sync!$AE1655),MOD(Sync!$AE1655,100),IFERROR(VALUE(TRIM(MID(MID(Sync!$AE1655,FIND("/",Sync!$AE1655)+1,20),FIND("/",MID(Sync!$AE1655,FIND("/",Sync!$AE1655)+1,20))+1,20))),"")))</f>
        <v/>
      </c>
      <c r="J1655" t="str">
        <f t="shared" si="127"/>
        <v/>
      </c>
      <c r="K1655" t="str">
        <f>IF(OR($F1655="",$J1655="",$J1655="نامعتبر"),"",LEFT($J1655,4)&amp;MID($J1655,6,2)&amp;RIGHT($J1655,2)&amp;$N1655&amp;"|"&amp;"2"&amp;RIGHT("00000"&amp;1650,5))</f>
        <v/>
      </c>
      <c r="L1655" t="str">
        <f t="shared" si="128"/>
        <v/>
      </c>
      <c r="M1655" t="str">
        <f t="shared" si="129"/>
        <v/>
      </c>
      <c r="N1655" t="str">
        <f>IF($F1655="","",IF(Sync!$AF1655="","0000",IF(AND(ISNUMBER(Sync!$AF1655),Sync!$AF1655&gt;=0,Sync!$AF1655&lt;1),RIGHT("00"&amp;HOUR(Sync!$AF1655),2)&amp;RIGHT("00"&amp;MINUTE(Sync!$AF1655),2),IFERROR(RIGHT("00"&amp;VALUE(LEFT(Sync!$AF1655,FIND(":",Sync!$AF1655)-1)),2)&amp;RIGHT("00"&amp;VALUE(MID(Sync!$AF1655,FIND(":",Sync!$AF1655)+1,2)),2),"0000"))))</f>
        <v/>
      </c>
    </row>
    <row r="1656" spans="1:14" x14ac:dyDescent="0.2">
      <c r="A1656" t="str">
        <f>IF(OR(Calc!$E1660="",Calc!$E1660="نامعتبر",Calc!$G1660=""),"",Calc!$G1660)</f>
        <v/>
      </c>
      <c r="B1656" t="str">
        <f>IF($A1656="","",LEFT(Calc!$E1660,4)&amp;MID(Calc!$E1660,6,2)&amp;RIGHT(Calc!$E1660,2)&amp;Calc!$Q1660&amp;"|"&amp;"1"&amp;RIGHT("00000"&amp;1651,5))</f>
        <v/>
      </c>
      <c r="C1656" t="str">
        <f t="shared" si="125"/>
        <v/>
      </c>
      <c r="D1656" t="str">
        <f t="shared" si="126"/>
        <v/>
      </c>
      <c r="F1656" t="str">
        <f>IF(Sync!$AH1656="","",IF(LEFT(UPPER(TRIM(Sync!$AH1656)),2)="SL",UPPER(TRIM(Sync!$AH1656)),""))</f>
        <v/>
      </c>
      <c r="G1656" t="str">
        <f>IF($F1656="","",IF(Sync!$AE1656="","",IF(ISNUMBER(Sync!$AE1656),IF(AND(Sync!$AE1656&gt;=10000101,Sync!$AE1656&lt;=99991231),INT(Sync!$AE1656/10000),""),IFERROR(VALUE(TRIM(LEFT(Sync!$AE1656,FIND("/",Sync!$AE1656)-1))),""))))</f>
        <v/>
      </c>
      <c r="H1656" t="str">
        <f>IF(OR($F1656="",$G1656=""),"",IF(ISNUMBER(Sync!$AE1656),INT(MOD(Sync!$AE1656,10000)/100),IFERROR(VALUE(TRIM(LEFT(MID(Sync!$AE1656,FIND("/",Sync!$AE1656)+1,20),FIND("/",MID(Sync!$AE1656,FIND("/",Sync!$AE1656)+1,20))-1))),"")))</f>
        <v/>
      </c>
      <c r="I1656" t="str">
        <f>IF(OR($F1656="",$G1656=""),"",IF(ISNUMBER(Sync!$AE1656),MOD(Sync!$AE1656,100),IFERROR(VALUE(TRIM(MID(MID(Sync!$AE1656,FIND("/",Sync!$AE1656)+1,20),FIND("/",MID(Sync!$AE1656,FIND("/",Sync!$AE1656)+1,20))+1,20))),"")))</f>
        <v/>
      </c>
      <c r="J1656" t="str">
        <f t="shared" si="127"/>
        <v/>
      </c>
      <c r="K1656" t="str">
        <f>IF(OR($F1656="",$J1656="",$J1656="نامعتبر"),"",LEFT($J1656,4)&amp;MID($J1656,6,2)&amp;RIGHT($J1656,2)&amp;$N1656&amp;"|"&amp;"2"&amp;RIGHT("00000"&amp;1651,5))</f>
        <v/>
      </c>
      <c r="L1656" t="str">
        <f t="shared" si="128"/>
        <v/>
      </c>
      <c r="M1656" t="str">
        <f t="shared" si="129"/>
        <v/>
      </c>
      <c r="N1656" t="str">
        <f>IF($F1656="","",IF(Sync!$AF1656="","0000",IF(AND(ISNUMBER(Sync!$AF1656),Sync!$AF1656&gt;=0,Sync!$AF1656&lt;1),RIGHT("00"&amp;HOUR(Sync!$AF1656),2)&amp;RIGHT("00"&amp;MINUTE(Sync!$AF1656),2),IFERROR(RIGHT("00"&amp;VALUE(LEFT(Sync!$AF1656,FIND(":",Sync!$AF1656)-1)),2)&amp;RIGHT("00"&amp;VALUE(MID(Sync!$AF1656,FIND(":",Sync!$AF1656)+1,2)),2),"0000"))))</f>
        <v/>
      </c>
    </row>
    <row r="1657" spans="1:14" x14ac:dyDescent="0.2">
      <c r="A1657" t="str">
        <f>IF(OR(Calc!$E1661="",Calc!$E1661="نامعتبر",Calc!$G1661=""),"",Calc!$G1661)</f>
        <v/>
      </c>
      <c r="B1657" t="str">
        <f>IF($A1657="","",LEFT(Calc!$E1661,4)&amp;MID(Calc!$E1661,6,2)&amp;RIGHT(Calc!$E1661,2)&amp;Calc!$Q1661&amp;"|"&amp;"1"&amp;RIGHT("00000"&amp;1652,5))</f>
        <v/>
      </c>
      <c r="C1657" t="str">
        <f t="shared" si="125"/>
        <v/>
      </c>
      <c r="D1657" t="str">
        <f t="shared" si="126"/>
        <v/>
      </c>
      <c r="F1657" t="str">
        <f>IF(Sync!$AH1657="","",IF(LEFT(UPPER(TRIM(Sync!$AH1657)),2)="SL",UPPER(TRIM(Sync!$AH1657)),""))</f>
        <v/>
      </c>
      <c r="G1657" t="str">
        <f>IF($F1657="","",IF(Sync!$AE1657="","",IF(ISNUMBER(Sync!$AE1657),IF(AND(Sync!$AE1657&gt;=10000101,Sync!$AE1657&lt;=99991231),INT(Sync!$AE1657/10000),""),IFERROR(VALUE(TRIM(LEFT(Sync!$AE1657,FIND("/",Sync!$AE1657)-1))),""))))</f>
        <v/>
      </c>
      <c r="H1657" t="str">
        <f>IF(OR($F1657="",$G1657=""),"",IF(ISNUMBER(Sync!$AE1657),INT(MOD(Sync!$AE1657,10000)/100),IFERROR(VALUE(TRIM(LEFT(MID(Sync!$AE1657,FIND("/",Sync!$AE1657)+1,20),FIND("/",MID(Sync!$AE1657,FIND("/",Sync!$AE1657)+1,20))-1))),"")))</f>
        <v/>
      </c>
      <c r="I1657" t="str">
        <f>IF(OR($F1657="",$G1657=""),"",IF(ISNUMBER(Sync!$AE1657),MOD(Sync!$AE1657,100),IFERROR(VALUE(TRIM(MID(MID(Sync!$AE1657,FIND("/",Sync!$AE1657)+1,20),FIND("/",MID(Sync!$AE1657,FIND("/",Sync!$AE1657)+1,20))+1,20))),"")))</f>
        <v/>
      </c>
      <c r="J1657" t="str">
        <f t="shared" si="127"/>
        <v/>
      </c>
      <c r="K1657" t="str">
        <f>IF(OR($F1657="",$J1657="",$J1657="نامعتبر"),"",LEFT($J1657,4)&amp;MID($J1657,6,2)&amp;RIGHT($J1657,2)&amp;$N1657&amp;"|"&amp;"2"&amp;RIGHT("00000"&amp;1652,5))</f>
        <v/>
      </c>
      <c r="L1657" t="str">
        <f t="shared" si="128"/>
        <v/>
      </c>
      <c r="M1657" t="str">
        <f t="shared" si="129"/>
        <v/>
      </c>
      <c r="N1657" t="str">
        <f>IF($F1657="","",IF(Sync!$AF1657="","0000",IF(AND(ISNUMBER(Sync!$AF1657),Sync!$AF1657&gt;=0,Sync!$AF1657&lt;1),RIGHT("00"&amp;HOUR(Sync!$AF1657),2)&amp;RIGHT("00"&amp;MINUTE(Sync!$AF1657),2),IFERROR(RIGHT("00"&amp;VALUE(LEFT(Sync!$AF1657,FIND(":",Sync!$AF1657)-1)),2)&amp;RIGHT("00"&amp;VALUE(MID(Sync!$AF1657,FIND(":",Sync!$AF1657)+1,2)),2),"0000"))))</f>
        <v/>
      </c>
    </row>
    <row r="1658" spans="1:14" x14ac:dyDescent="0.2">
      <c r="A1658" t="str">
        <f>IF(OR(Calc!$E1662="",Calc!$E1662="نامعتبر",Calc!$G1662=""),"",Calc!$G1662)</f>
        <v/>
      </c>
      <c r="B1658" t="str">
        <f>IF($A1658="","",LEFT(Calc!$E1662,4)&amp;MID(Calc!$E1662,6,2)&amp;RIGHT(Calc!$E1662,2)&amp;Calc!$Q1662&amp;"|"&amp;"1"&amp;RIGHT("00000"&amp;1653,5))</f>
        <v/>
      </c>
      <c r="C1658" t="str">
        <f t="shared" si="125"/>
        <v/>
      </c>
      <c r="D1658" t="str">
        <f t="shared" si="126"/>
        <v/>
      </c>
      <c r="F1658" t="str">
        <f>IF(Sync!$AH1658="","",IF(LEFT(UPPER(TRIM(Sync!$AH1658)),2)="SL",UPPER(TRIM(Sync!$AH1658)),""))</f>
        <v/>
      </c>
      <c r="G1658" t="str">
        <f>IF($F1658="","",IF(Sync!$AE1658="","",IF(ISNUMBER(Sync!$AE1658),IF(AND(Sync!$AE1658&gt;=10000101,Sync!$AE1658&lt;=99991231),INT(Sync!$AE1658/10000),""),IFERROR(VALUE(TRIM(LEFT(Sync!$AE1658,FIND("/",Sync!$AE1658)-1))),""))))</f>
        <v/>
      </c>
      <c r="H1658" t="str">
        <f>IF(OR($F1658="",$G1658=""),"",IF(ISNUMBER(Sync!$AE1658),INT(MOD(Sync!$AE1658,10000)/100),IFERROR(VALUE(TRIM(LEFT(MID(Sync!$AE1658,FIND("/",Sync!$AE1658)+1,20),FIND("/",MID(Sync!$AE1658,FIND("/",Sync!$AE1658)+1,20))-1))),"")))</f>
        <v/>
      </c>
      <c r="I1658" t="str">
        <f>IF(OR($F1658="",$G1658=""),"",IF(ISNUMBER(Sync!$AE1658),MOD(Sync!$AE1658,100),IFERROR(VALUE(TRIM(MID(MID(Sync!$AE1658,FIND("/",Sync!$AE1658)+1,20),FIND("/",MID(Sync!$AE1658,FIND("/",Sync!$AE1658)+1,20))+1,20))),"")))</f>
        <v/>
      </c>
      <c r="J1658" t="str">
        <f t="shared" si="127"/>
        <v/>
      </c>
      <c r="K1658" t="str">
        <f>IF(OR($F1658="",$J1658="",$J1658="نامعتبر"),"",LEFT($J1658,4)&amp;MID($J1658,6,2)&amp;RIGHT($J1658,2)&amp;$N1658&amp;"|"&amp;"2"&amp;RIGHT("00000"&amp;1653,5))</f>
        <v/>
      </c>
      <c r="L1658" t="str">
        <f t="shared" si="128"/>
        <v/>
      </c>
      <c r="M1658" t="str">
        <f t="shared" si="129"/>
        <v/>
      </c>
      <c r="N1658" t="str">
        <f>IF($F1658="","",IF(Sync!$AF1658="","0000",IF(AND(ISNUMBER(Sync!$AF1658),Sync!$AF1658&gt;=0,Sync!$AF1658&lt;1),RIGHT("00"&amp;HOUR(Sync!$AF1658),2)&amp;RIGHT("00"&amp;MINUTE(Sync!$AF1658),2),IFERROR(RIGHT("00"&amp;VALUE(LEFT(Sync!$AF1658,FIND(":",Sync!$AF1658)-1)),2)&amp;RIGHT("00"&amp;VALUE(MID(Sync!$AF1658,FIND(":",Sync!$AF1658)+1,2)),2),"0000"))))</f>
        <v/>
      </c>
    </row>
    <row r="1659" spans="1:14" x14ac:dyDescent="0.2">
      <c r="A1659" t="str">
        <f>IF(OR(Calc!$E1663="",Calc!$E1663="نامعتبر",Calc!$G1663=""),"",Calc!$G1663)</f>
        <v/>
      </c>
      <c r="B1659" t="str">
        <f>IF($A1659="","",LEFT(Calc!$E1663,4)&amp;MID(Calc!$E1663,6,2)&amp;RIGHT(Calc!$E1663,2)&amp;Calc!$Q1663&amp;"|"&amp;"1"&amp;RIGHT("00000"&amp;1654,5))</f>
        <v/>
      </c>
      <c r="C1659" t="str">
        <f t="shared" si="125"/>
        <v/>
      </c>
      <c r="D1659" t="str">
        <f t="shared" si="126"/>
        <v/>
      </c>
      <c r="F1659" t="str">
        <f>IF(Sync!$AH1659="","",IF(LEFT(UPPER(TRIM(Sync!$AH1659)),2)="SL",UPPER(TRIM(Sync!$AH1659)),""))</f>
        <v/>
      </c>
      <c r="G1659" t="str">
        <f>IF($F1659="","",IF(Sync!$AE1659="","",IF(ISNUMBER(Sync!$AE1659),IF(AND(Sync!$AE1659&gt;=10000101,Sync!$AE1659&lt;=99991231),INT(Sync!$AE1659/10000),""),IFERROR(VALUE(TRIM(LEFT(Sync!$AE1659,FIND("/",Sync!$AE1659)-1))),""))))</f>
        <v/>
      </c>
      <c r="H1659" t="str">
        <f>IF(OR($F1659="",$G1659=""),"",IF(ISNUMBER(Sync!$AE1659),INT(MOD(Sync!$AE1659,10000)/100),IFERROR(VALUE(TRIM(LEFT(MID(Sync!$AE1659,FIND("/",Sync!$AE1659)+1,20),FIND("/",MID(Sync!$AE1659,FIND("/",Sync!$AE1659)+1,20))-1))),"")))</f>
        <v/>
      </c>
      <c r="I1659" t="str">
        <f>IF(OR($F1659="",$G1659=""),"",IF(ISNUMBER(Sync!$AE1659),MOD(Sync!$AE1659,100),IFERROR(VALUE(TRIM(MID(MID(Sync!$AE1659,FIND("/",Sync!$AE1659)+1,20),FIND("/",MID(Sync!$AE1659,FIND("/",Sync!$AE1659)+1,20))+1,20))),"")))</f>
        <v/>
      </c>
      <c r="J1659" t="str">
        <f t="shared" si="127"/>
        <v/>
      </c>
      <c r="K1659" t="str">
        <f>IF(OR($F1659="",$J1659="",$J1659="نامعتبر"),"",LEFT($J1659,4)&amp;MID($J1659,6,2)&amp;RIGHT($J1659,2)&amp;$N1659&amp;"|"&amp;"2"&amp;RIGHT("00000"&amp;1654,5))</f>
        <v/>
      </c>
      <c r="L1659" t="str">
        <f t="shared" si="128"/>
        <v/>
      </c>
      <c r="M1659" t="str">
        <f t="shared" si="129"/>
        <v/>
      </c>
      <c r="N1659" t="str">
        <f>IF($F1659="","",IF(Sync!$AF1659="","0000",IF(AND(ISNUMBER(Sync!$AF1659),Sync!$AF1659&gt;=0,Sync!$AF1659&lt;1),RIGHT("00"&amp;HOUR(Sync!$AF1659),2)&amp;RIGHT("00"&amp;MINUTE(Sync!$AF1659),2),IFERROR(RIGHT("00"&amp;VALUE(LEFT(Sync!$AF1659,FIND(":",Sync!$AF1659)-1)),2)&amp;RIGHT("00"&amp;VALUE(MID(Sync!$AF1659,FIND(":",Sync!$AF1659)+1,2)),2),"0000"))))</f>
        <v/>
      </c>
    </row>
    <row r="1660" spans="1:14" x14ac:dyDescent="0.2">
      <c r="A1660" t="str">
        <f>IF(OR(Calc!$E1664="",Calc!$E1664="نامعتبر",Calc!$G1664=""),"",Calc!$G1664)</f>
        <v/>
      </c>
      <c r="B1660" t="str">
        <f>IF($A1660="","",LEFT(Calc!$E1664,4)&amp;MID(Calc!$E1664,6,2)&amp;RIGHT(Calc!$E1664,2)&amp;Calc!$Q1664&amp;"|"&amp;"1"&amp;RIGHT("00000"&amp;1655,5))</f>
        <v/>
      </c>
      <c r="C1660" t="str">
        <f t="shared" si="125"/>
        <v/>
      </c>
      <c r="D1660" t="str">
        <f t="shared" si="126"/>
        <v/>
      </c>
      <c r="F1660" t="str">
        <f>IF(Sync!$AH1660="","",IF(LEFT(UPPER(TRIM(Sync!$AH1660)),2)="SL",UPPER(TRIM(Sync!$AH1660)),""))</f>
        <v/>
      </c>
      <c r="G1660" t="str">
        <f>IF($F1660="","",IF(Sync!$AE1660="","",IF(ISNUMBER(Sync!$AE1660),IF(AND(Sync!$AE1660&gt;=10000101,Sync!$AE1660&lt;=99991231),INT(Sync!$AE1660/10000),""),IFERROR(VALUE(TRIM(LEFT(Sync!$AE1660,FIND("/",Sync!$AE1660)-1))),""))))</f>
        <v/>
      </c>
      <c r="H1660" t="str">
        <f>IF(OR($F1660="",$G1660=""),"",IF(ISNUMBER(Sync!$AE1660),INT(MOD(Sync!$AE1660,10000)/100),IFERROR(VALUE(TRIM(LEFT(MID(Sync!$AE1660,FIND("/",Sync!$AE1660)+1,20),FIND("/",MID(Sync!$AE1660,FIND("/",Sync!$AE1660)+1,20))-1))),"")))</f>
        <v/>
      </c>
      <c r="I1660" t="str">
        <f>IF(OR($F1660="",$G1660=""),"",IF(ISNUMBER(Sync!$AE1660),MOD(Sync!$AE1660,100),IFERROR(VALUE(TRIM(MID(MID(Sync!$AE1660,FIND("/",Sync!$AE1660)+1,20),FIND("/",MID(Sync!$AE1660,FIND("/",Sync!$AE1660)+1,20))+1,20))),"")))</f>
        <v/>
      </c>
      <c r="J1660" t="str">
        <f t="shared" si="127"/>
        <v/>
      </c>
      <c r="K1660" t="str">
        <f>IF(OR($F1660="",$J1660="",$J1660="نامعتبر"),"",LEFT($J1660,4)&amp;MID($J1660,6,2)&amp;RIGHT($J1660,2)&amp;$N1660&amp;"|"&amp;"2"&amp;RIGHT("00000"&amp;1655,5))</f>
        <v/>
      </c>
      <c r="L1660" t="str">
        <f t="shared" si="128"/>
        <v/>
      </c>
      <c r="M1660" t="str">
        <f t="shared" si="129"/>
        <v/>
      </c>
      <c r="N1660" t="str">
        <f>IF($F1660="","",IF(Sync!$AF1660="","0000",IF(AND(ISNUMBER(Sync!$AF1660),Sync!$AF1660&gt;=0,Sync!$AF1660&lt;1),RIGHT("00"&amp;HOUR(Sync!$AF1660),2)&amp;RIGHT("00"&amp;MINUTE(Sync!$AF1660),2),IFERROR(RIGHT("00"&amp;VALUE(LEFT(Sync!$AF1660,FIND(":",Sync!$AF1660)-1)),2)&amp;RIGHT("00"&amp;VALUE(MID(Sync!$AF1660,FIND(":",Sync!$AF1660)+1,2)),2),"0000"))))</f>
        <v/>
      </c>
    </row>
    <row r="1661" spans="1:14" x14ac:dyDescent="0.2">
      <c r="A1661" t="str">
        <f>IF(OR(Calc!$E1665="",Calc!$E1665="نامعتبر",Calc!$G1665=""),"",Calc!$G1665)</f>
        <v/>
      </c>
      <c r="B1661" t="str">
        <f>IF($A1661="","",LEFT(Calc!$E1665,4)&amp;MID(Calc!$E1665,6,2)&amp;RIGHT(Calc!$E1665,2)&amp;Calc!$Q1665&amp;"|"&amp;"1"&amp;RIGHT("00000"&amp;1656,5))</f>
        <v/>
      </c>
      <c r="C1661" t="str">
        <f t="shared" si="125"/>
        <v/>
      </c>
      <c r="D1661" t="str">
        <f t="shared" si="126"/>
        <v/>
      </c>
      <c r="F1661" t="str">
        <f>IF(Sync!$AH1661="","",IF(LEFT(UPPER(TRIM(Sync!$AH1661)),2)="SL",UPPER(TRIM(Sync!$AH1661)),""))</f>
        <v/>
      </c>
      <c r="G1661" t="str">
        <f>IF($F1661="","",IF(Sync!$AE1661="","",IF(ISNUMBER(Sync!$AE1661),IF(AND(Sync!$AE1661&gt;=10000101,Sync!$AE1661&lt;=99991231),INT(Sync!$AE1661/10000),""),IFERROR(VALUE(TRIM(LEFT(Sync!$AE1661,FIND("/",Sync!$AE1661)-1))),""))))</f>
        <v/>
      </c>
      <c r="H1661" t="str">
        <f>IF(OR($F1661="",$G1661=""),"",IF(ISNUMBER(Sync!$AE1661),INT(MOD(Sync!$AE1661,10000)/100),IFERROR(VALUE(TRIM(LEFT(MID(Sync!$AE1661,FIND("/",Sync!$AE1661)+1,20),FIND("/",MID(Sync!$AE1661,FIND("/",Sync!$AE1661)+1,20))-1))),"")))</f>
        <v/>
      </c>
      <c r="I1661" t="str">
        <f>IF(OR($F1661="",$G1661=""),"",IF(ISNUMBER(Sync!$AE1661),MOD(Sync!$AE1661,100),IFERROR(VALUE(TRIM(MID(MID(Sync!$AE1661,FIND("/",Sync!$AE1661)+1,20),FIND("/",MID(Sync!$AE1661,FIND("/",Sync!$AE1661)+1,20))+1,20))),"")))</f>
        <v/>
      </c>
      <c r="J1661" t="str">
        <f t="shared" si="127"/>
        <v/>
      </c>
      <c r="K1661" t="str">
        <f>IF(OR($F1661="",$J1661="",$J1661="نامعتبر"),"",LEFT($J1661,4)&amp;MID($J1661,6,2)&amp;RIGHT($J1661,2)&amp;$N1661&amp;"|"&amp;"2"&amp;RIGHT("00000"&amp;1656,5))</f>
        <v/>
      </c>
      <c r="L1661" t="str">
        <f t="shared" si="128"/>
        <v/>
      </c>
      <c r="M1661" t="str">
        <f t="shared" si="129"/>
        <v/>
      </c>
      <c r="N1661" t="str">
        <f>IF($F1661="","",IF(Sync!$AF1661="","0000",IF(AND(ISNUMBER(Sync!$AF1661),Sync!$AF1661&gt;=0,Sync!$AF1661&lt;1),RIGHT("00"&amp;HOUR(Sync!$AF1661),2)&amp;RIGHT("00"&amp;MINUTE(Sync!$AF1661),2),IFERROR(RIGHT("00"&amp;VALUE(LEFT(Sync!$AF1661,FIND(":",Sync!$AF1661)-1)),2)&amp;RIGHT("00"&amp;VALUE(MID(Sync!$AF1661,FIND(":",Sync!$AF1661)+1,2)),2),"0000"))))</f>
        <v/>
      </c>
    </row>
    <row r="1662" spans="1:14" x14ac:dyDescent="0.2">
      <c r="A1662" t="str">
        <f>IF(OR(Calc!$E1666="",Calc!$E1666="نامعتبر",Calc!$G1666=""),"",Calc!$G1666)</f>
        <v/>
      </c>
      <c r="B1662" t="str">
        <f>IF($A1662="","",LEFT(Calc!$E1666,4)&amp;MID(Calc!$E1666,6,2)&amp;RIGHT(Calc!$E1666,2)&amp;Calc!$Q1666&amp;"|"&amp;"1"&amp;RIGHT("00000"&amp;1657,5))</f>
        <v/>
      </c>
      <c r="C1662" t="str">
        <f t="shared" si="125"/>
        <v/>
      </c>
      <c r="D1662" t="str">
        <f t="shared" si="126"/>
        <v/>
      </c>
      <c r="F1662" t="str">
        <f>IF(Sync!$AH1662="","",IF(LEFT(UPPER(TRIM(Sync!$AH1662)),2)="SL",UPPER(TRIM(Sync!$AH1662)),""))</f>
        <v/>
      </c>
      <c r="G1662" t="str">
        <f>IF($F1662="","",IF(Sync!$AE1662="","",IF(ISNUMBER(Sync!$AE1662),IF(AND(Sync!$AE1662&gt;=10000101,Sync!$AE1662&lt;=99991231),INT(Sync!$AE1662/10000),""),IFERROR(VALUE(TRIM(LEFT(Sync!$AE1662,FIND("/",Sync!$AE1662)-1))),""))))</f>
        <v/>
      </c>
      <c r="H1662" t="str">
        <f>IF(OR($F1662="",$G1662=""),"",IF(ISNUMBER(Sync!$AE1662),INT(MOD(Sync!$AE1662,10000)/100),IFERROR(VALUE(TRIM(LEFT(MID(Sync!$AE1662,FIND("/",Sync!$AE1662)+1,20),FIND("/",MID(Sync!$AE1662,FIND("/",Sync!$AE1662)+1,20))-1))),"")))</f>
        <v/>
      </c>
      <c r="I1662" t="str">
        <f>IF(OR($F1662="",$G1662=""),"",IF(ISNUMBER(Sync!$AE1662),MOD(Sync!$AE1662,100),IFERROR(VALUE(TRIM(MID(MID(Sync!$AE1662,FIND("/",Sync!$AE1662)+1,20),FIND("/",MID(Sync!$AE1662,FIND("/",Sync!$AE1662)+1,20))+1,20))),"")))</f>
        <v/>
      </c>
      <c r="J1662" t="str">
        <f t="shared" si="127"/>
        <v/>
      </c>
      <c r="K1662" t="str">
        <f>IF(OR($F1662="",$J1662="",$J1662="نامعتبر"),"",LEFT($J1662,4)&amp;MID($J1662,6,2)&amp;RIGHT($J1662,2)&amp;$N1662&amp;"|"&amp;"2"&amp;RIGHT("00000"&amp;1657,5))</f>
        <v/>
      </c>
      <c r="L1662" t="str">
        <f t="shared" si="128"/>
        <v/>
      </c>
      <c r="M1662" t="str">
        <f t="shared" si="129"/>
        <v/>
      </c>
      <c r="N1662" t="str">
        <f>IF($F1662="","",IF(Sync!$AF1662="","0000",IF(AND(ISNUMBER(Sync!$AF1662),Sync!$AF1662&gt;=0,Sync!$AF1662&lt;1),RIGHT("00"&amp;HOUR(Sync!$AF1662),2)&amp;RIGHT("00"&amp;MINUTE(Sync!$AF1662),2),IFERROR(RIGHT("00"&amp;VALUE(LEFT(Sync!$AF1662,FIND(":",Sync!$AF1662)-1)),2)&amp;RIGHT("00"&amp;VALUE(MID(Sync!$AF1662,FIND(":",Sync!$AF1662)+1,2)),2),"0000"))))</f>
        <v/>
      </c>
    </row>
    <row r="1663" spans="1:14" x14ac:dyDescent="0.2">
      <c r="A1663" t="str">
        <f>IF(OR(Calc!$E1667="",Calc!$E1667="نامعتبر",Calc!$G1667=""),"",Calc!$G1667)</f>
        <v/>
      </c>
      <c r="B1663" t="str">
        <f>IF($A1663="","",LEFT(Calc!$E1667,4)&amp;MID(Calc!$E1667,6,2)&amp;RIGHT(Calc!$E1667,2)&amp;Calc!$Q1667&amp;"|"&amp;"1"&amp;RIGHT("00000"&amp;1658,5))</f>
        <v/>
      </c>
      <c r="C1663" t="str">
        <f t="shared" si="125"/>
        <v/>
      </c>
      <c r="D1663" t="str">
        <f t="shared" si="126"/>
        <v/>
      </c>
      <c r="F1663" t="str">
        <f>IF(Sync!$AH1663="","",IF(LEFT(UPPER(TRIM(Sync!$AH1663)),2)="SL",UPPER(TRIM(Sync!$AH1663)),""))</f>
        <v/>
      </c>
      <c r="G1663" t="str">
        <f>IF($F1663="","",IF(Sync!$AE1663="","",IF(ISNUMBER(Sync!$AE1663),IF(AND(Sync!$AE1663&gt;=10000101,Sync!$AE1663&lt;=99991231),INT(Sync!$AE1663/10000),""),IFERROR(VALUE(TRIM(LEFT(Sync!$AE1663,FIND("/",Sync!$AE1663)-1))),""))))</f>
        <v/>
      </c>
      <c r="H1663" t="str">
        <f>IF(OR($F1663="",$G1663=""),"",IF(ISNUMBER(Sync!$AE1663),INT(MOD(Sync!$AE1663,10000)/100),IFERROR(VALUE(TRIM(LEFT(MID(Sync!$AE1663,FIND("/",Sync!$AE1663)+1,20),FIND("/",MID(Sync!$AE1663,FIND("/",Sync!$AE1663)+1,20))-1))),"")))</f>
        <v/>
      </c>
      <c r="I1663" t="str">
        <f>IF(OR($F1663="",$G1663=""),"",IF(ISNUMBER(Sync!$AE1663),MOD(Sync!$AE1663,100),IFERROR(VALUE(TRIM(MID(MID(Sync!$AE1663,FIND("/",Sync!$AE1663)+1,20),FIND("/",MID(Sync!$AE1663,FIND("/",Sync!$AE1663)+1,20))+1,20))),"")))</f>
        <v/>
      </c>
      <c r="J1663" t="str">
        <f t="shared" si="127"/>
        <v/>
      </c>
      <c r="K1663" t="str">
        <f>IF(OR($F1663="",$J1663="",$J1663="نامعتبر"),"",LEFT($J1663,4)&amp;MID($J1663,6,2)&amp;RIGHT($J1663,2)&amp;$N1663&amp;"|"&amp;"2"&amp;RIGHT("00000"&amp;1658,5))</f>
        <v/>
      </c>
      <c r="L1663" t="str">
        <f t="shared" si="128"/>
        <v/>
      </c>
      <c r="M1663" t="str">
        <f t="shared" si="129"/>
        <v/>
      </c>
      <c r="N1663" t="str">
        <f>IF($F1663="","",IF(Sync!$AF1663="","0000",IF(AND(ISNUMBER(Sync!$AF1663),Sync!$AF1663&gt;=0,Sync!$AF1663&lt;1),RIGHT("00"&amp;HOUR(Sync!$AF1663),2)&amp;RIGHT("00"&amp;MINUTE(Sync!$AF1663),2),IFERROR(RIGHT("00"&amp;VALUE(LEFT(Sync!$AF1663,FIND(":",Sync!$AF1663)-1)),2)&amp;RIGHT("00"&amp;VALUE(MID(Sync!$AF1663,FIND(":",Sync!$AF1663)+1,2)),2),"0000"))))</f>
        <v/>
      </c>
    </row>
    <row r="1664" spans="1:14" x14ac:dyDescent="0.2">
      <c r="A1664" t="str">
        <f>IF(OR(Calc!$E1668="",Calc!$E1668="نامعتبر",Calc!$G1668=""),"",Calc!$G1668)</f>
        <v/>
      </c>
      <c r="B1664" t="str">
        <f>IF($A1664="","",LEFT(Calc!$E1668,4)&amp;MID(Calc!$E1668,6,2)&amp;RIGHT(Calc!$E1668,2)&amp;Calc!$Q1668&amp;"|"&amp;"1"&amp;RIGHT("00000"&amp;1659,5))</f>
        <v/>
      </c>
      <c r="C1664" t="str">
        <f t="shared" si="125"/>
        <v/>
      </c>
      <c r="D1664" t="str">
        <f t="shared" si="126"/>
        <v/>
      </c>
      <c r="F1664" t="str">
        <f>IF(Sync!$AH1664="","",IF(LEFT(UPPER(TRIM(Sync!$AH1664)),2)="SL",UPPER(TRIM(Sync!$AH1664)),""))</f>
        <v/>
      </c>
      <c r="G1664" t="str">
        <f>IF($F1664="","",IF(Sync!$AE1664="","",IF(ISNUMBER(Sync!$AE1664),IF(AND(Sync!$AE1664&gt;=10000101,Sync!$AE1664&lt;=99991231),INT(Sync!$AE1664/10000),""),IFERROR(VALUE(TRIM(LEFT(Sync!$AE1664,FIND("/",Sync!$AE1664)-1))),""))))</f>
        <v/>
      </c>
      <c r="H1664" t="str">
        <f>IF(OR($F1664="",$G1664=""),"",IF(ISNUMBER(Sync!$AE1664),INT(MOD(Sync!$AE1664,10000)/100),IFERROR(VALUE(TRIM(LEFT(MID(Sync!$AE1664,FIND("/",Sync!$AE1664)+1,20),FIND("/",MID(Sync!$AE1664,FIND("/",Sync!$AE1664)+1,20))-1))),"")))</f>
        <v/>
      </c>
      <c r="I1664" t="str">
        <f>IF(OR($F1664="",$G1664=""),"",IF(ISNUMBER(Sync!$AE1664),MOD(Sync!$AE1664,100),IFERROR(VALUE(TRIM(MID(MID(Sync!$AE1664,FIND("/",Sync!$AE1664)+1,20),FIND("/",MID(Sync!$AE1664,FIND("/",Sync!$AE1664)+1,20))+1,20))),"")))</f>
        <v/>
      </c>
      <c r="J1664" t="str">
        <f t="shared" si="127"/>
        <v/>
      </c>
      <c r="K1664" t="str">
        <f>IF(OR($F1664="",$J1664="",$J1664="نامعتبر"),"",LEFT($J1664,4)&amp;MID($J1664,6,2)&amp;RIGHT($J1664,2)&amp;$N1664&amp;"|"&amp;"2"&amp;RIGHT("00000"&amp;1659,5))</f>
        <v/>
      </c>
      <c r="L1664" t="str">
        <f t="shared" si="128"/>
        <v/>
      </c>
      <c r="M1664" t="str">
        <f t="shared" si="129"/>
        <v/>
      </c>
      <c r="N1664" t="str">
        <f>IF($F1664="","",IF(Sync!$AF1664="","0000",IF(AND(ISNUMBER(Sync!$AF1664),Sync!$AF1664&gt;=0,Sync!$AF1664&lt;1),RIGHT("00"&amp;HOUR(Sync!$AF1664),2)&amp;RIGHT("00"&amp;MINUTE(Sync!$AF1664),2),IFERROR(RIGHT("00"&amp;VALUE(LEFT(Sync!$AF1664,FIND(":",Sync!$AF1664)-1)),2)&amp;RIGHT("00"&amp;VALUE(MID(Sync!$AF1664,FIND(":",Sync!$AF1664)+1,2)),2),"0000"))))</f>
        <v/>
      </c>
    </row>
    <row r="1665" spans="1:14" x14ac:dyDescent="0.2">
      <c r="A1665" t="str">
        <f>IF(OR(Calc!$E1669="",Calc!$E1669="نامعتبر",Calc!$G1669=""),"",Calc!$G1669)</f>
        <v/>
      </c>
      <c r="B1665" t="str">
        <f>IF($A1665="","",LEFT(Calc!$E1669,4)&amp;MID(Calc!$E1669,6,2)&amp;RIGHT(Calc!$E1669,2)&amp;Calc!$Q1669&amp;"|"&amp;"1"&amp;RIGHT("00000"&amp;1660,5))</f>
        <v/>
      </c>
      <c r="C1665" t="str">
        <f t="shared" si="125"/>
        <v/>
      </c>
      <c r="D1665" t="str">
        <f t="shared" si="126"/>
        <v/>
      </c>
      <c r="F1665" t="str">
        <f>IF(Sync!$AH1665="","",IF(LEFT(UPPER(TRIM(Sync!$AH1665)),2)="SL",UPPER(TRIM(Sync!$AH1665)),""))</f>
        <v/>
      </c>
      <c r="G1665" t="str">
        <f>IF($F1665="","",IF(Sync!$AE1665="","",IF(ISNUMBER(Sync!$AE1665),IF(AND(Sync!$AE1665&gt;=10000101,Sync!$AE1665&lt;=99991231),INT(Sync!$AE1665/10000),""),IFERROR(VALUE(TRIM(LEFT(Sync!$AE1665,FIND("/",Sync!$AE1665)-1))),""))))</f>
        <v/>
      </c>
      <c r="H1665" t="str">
        <f>IF(OR($F1665="",$G1665=""),"",IF(ISNUMBER(Sync!$AE1665),INT(MOD(Sync!$AE1665,10000)/100),IFERROR(VALUE(TRIM(LEFT(MID(Sync!$AE1665,FIND("/",Sync!$AE1665)+1,20),FIND("/",MID(Sync!$AE1665,FIND("/",Sync!$AE1665)+1,20))-1))),"")))</f>
        <v/>
      </c>
      <c r="I1665" t="str">
        <f>IF(OR($F1665="",$G1665=""),"",IF(ISNUMBER(Sync!$AE1665),MOD(Sync!$AE1665,100),IFERROR(VALUE(TRIM(MID(MID(Sync!$AE1665,FIND("/",Sync!$AE1665)+1,20),FIND("/",MID(Sync!$AE1665,FIND("/",Sync!$AE1665)+1,20))+1,20))),"")))</f>
        <v/>
      </c>
      <c r="J1665" t="str">
        <f t="shared" si="127"/>
        <v/>
      </c>
      <c r="K1665" t="str">
        <f>IF(OR($F1665="",$J1665="",$J1665="نامعتبر"),"",LEFT($J1665,4)&amp;MID($J1665,6,2)&amp;RIGHT($J1665,2)&amp;$N1665&amp;"|"&amp;"2"&amp;RIGHT("00000"&amp;1660,5))</f>
        <v/>
      </c>
      <c r="L1665" t="str">
        <f t="shared" si="128"/>
        <v/>
      </c>
      <c r="M1665" t="str">
        <f t="shared" si="129"/>
        <v/>
      </c>
      <c r="N1665" t="str">
        <f>IF($F1665="","",IF(Sync!$AF1665="","0000",IF(AND(ISNUMBER(Sync!$AF1665),Sync!$AF1665&gt;=0,Sync!$AF1665&lt;1),RIGHT("00"&amp;HOUR(Sync!$AF1665),2)&amp;RIGHT("00"&amp;MINUTE(Sync!$AF1665),2),IFERROR(RIGHT("00"&amp;VALUE(LEFT(Sync!$AF1665,FIND(":",Sync!$AF1665)-1)),2)&amp;RIGHT("00"&amp;VALUE(MID(Sync!$AF1665,FIND(":",Sync!$AF1665)+1,2)),2),"0000"))))</f>
        <v/>
      </c>
    </row>
    <row r="1666" spans="1:14" x14ac:dyDescent="0.2">
      <c r="A1666" t="str">
        <f>IF(OR(Calc!$E1670="",Calc!$E1670="نامعتبر",Calc!$G1670=""),"",Calc!$G1670)</f>
        <v/>
      </c>
      <c r="B1666" t="str">
        <f>IF($A1666="","",LEFT(Calc!$E1670,4)&amp;MID(Calc!$E1670,6,2)&amp;RIGHT(Calc!$E1670,2)&amp;Calc!$Q1670&amp;"|"&amp;"1"&amp;RIGHT("00000"&amp;1661,5))</f>
        <v/>
      </c>
      <c r="C1666" t="str">
        <f t="shared" si="125"/>
        <v/>
      </c>
      <c r="D1666" t="str">
        <f t="shared" si="126"/>
        <v/>
      </c>
      <c r="F1666" t="str">
        <f>IF(Sync!$AH1666="","",IF(LEFT(UPPER(TRIM(Sync!$AH1666)),2)="SL",UPPER(TRIM(Sync!$AH1666)),""))</f>
        <v/>
      </c>
      <c r="G1666" t="str">
        <f>IF($F1666="","",IF(Sync!$AE1666="","",IF(ISNUMBER(Sync!$AE1666),IF(AND(Sync!$AE1666&gt;=10000101,Sync!$AE1666&lt;=99991231),INT(Sync!$AE1666/10000),""),IFERROR(VALUE(TRIM(LEFT(Sync!$AE1666,FIND("/",Sync!$AE1666)-1))),""))))</f>
        <v/>
      </c>
      <c r="H1666" t="str">
        <f>IF(OR($F1666="",$G1666=""),"",IF(ISNUMBER(Sync!$AE1666),INT(MOD(Sync!$AE1666,10000)/100),IFERROR(VALUE(TRIM(LEFT(MID(Sync!$AE1666,FIND("/",Sync!$AE1666)+1,20),FIND("/",MID(Sync!$AE1666,FIND("/",Sync!$AE1666)+1,20))-1))),"")))</f>
        <v/>
      </c>
      <c r="I1666" t="str">
        <f>IF(OR($F1666="",$G1666=""),"",IF(ISNUMBER(Sync!$AE1666),MOD(Sync!$AE1666,100),IFERROR(VALUE(TRIM(MID(MID(Sync!$AE1666,FIND("/",Sync!$AE1666)+1,20),FIND("/",MID(Sync!$AE1666,FIND("/",Sync!$AE1666)+1,20))+1,20))),"")))</f>
        <v/>
      </c>
      <c r="J1666" t="str">
        <f t="shared" si="127"/>
        <v/>
      </c>
      <c r="K1666" t="str">
        <f>IF(OR($F1666="",$J1666="",$J1666="نامعتبر"),"",LEFT($J1666,4)&amp;MID($J1666,6,2)&amp;RIGHT($J1666,2)&amp;$N1666&amp;"|"&amp;"2"&amp;RIGHT("00000"&amp;1661,5))</f>
        <v/>
      </c>
      <c r="L1666" t="str">
        <f t="shared" si="128"/>
        <v/>
      </c>
      <c r="M1666" t="str">
        <f t="shared" si="129"/>
        <v/>
      </c>
      <c r="N1666" t="str">
        <f>IF($F1666="","",IF(Sync!$AF1666="","0000",IF(AND(ISNUMBER(Sync!$AF1666),Sync!$AF1666&gt;=0,Sync!$AF1666&lt;1),RIGHT("00"&amp;HOUR(Sync!$AF1666),2)&amp;RIGHT("00"&amp;MINUTE(Sync!$AF1666),2),IFERROR(RIGHT("00"&amp;VALUE(LEFT(Sync!$AF1666,FIND(":",Sync!$AF1666)-1)),2)&amp;RIGHT("00"&amp;VALUE(MID(Sync!$AF1666,FIND(":",Sync!$AF1666)+1,2)),2),"0000"))))</f>
        <v/>
      </c>
    </row>
    <row r="1667" spans="1:14" x14ac:dyDescent="0.2">
      <c r="A1667" t="str">
        <f>IF(OR(Calc!$E1671="",Calc!$E1671="نامعتبر",Calc!$G1671=""),"",Calc!$G1671)</f>
        <v/>
      </c>
      <c r="B1667" t="str">
        <f>IF($A1667="","",LEFT(Calc!$E1671,4)&amp;MID(Calc!$E1671,6,2)&amp;RIGHT(Calc!$E1671,2)&amp;Calc!$Q1671&amp;"|"&amp;"1"&amp;RIGHT("00000"&amp;1662,5))</f>
        <v/>
      </c>
      <c r="C1667" t="str">
        <f t="shared" si="125"/>
        <v/>
      </c>
      <c r="D1667" t="str">
        <f t="shared" si="126"/>
        <v/>
      </c>
      <c r="F1667" t="str">
        <f>IF(Sync!$AH1667="","",IF(LEFT(UPPER(TRIM(Sync!$AH1667)),2)="SL",UPPER(TRIM(Sync!$AH1667)),""))</f>
        <v/>
      </c>
      <c r="G1667" t="str">
        <f>IF($F1667="","",IF(Sync!$AE1667="","",IF(ISNUMBER(Sync!$AE1667),IF(AND(Sync!$AE1667&gt;=10000101,Sync!$AE1667&lt;=99991231),INT(Sync!$AE1667/10000),""),IFERROR(VALUE(TRIM(LEFT(Sync!$AE1667,FIND("/",Sync!$AE1667)-1))),""))))</f>
        <v/>
      </c>
      <c r="H1667" t="str">
        <f>IF(OR($F1667="",$G1667=""),"",IF(ISNUMBER(Sync!$AE1667),INT(MOD(Sync!$AE1667,10000)/100),IFERROR(VALUE(TRIM(LEFT(MID(Sync!$AE1667,FIND("/",Sync!$AE1667)+1,20),FIND("/",MID(Sync!$AE1667,FIND("/",Sync!$AE1667)+1,20))-1))),"")))</f>
        <v/>
      </c>
      <c r="I1667" t="str">
        <f>IF(OR($F1667="",$G1667=""),"",IF(ISNUMBER(Sync!$AE1667),MOD(Sync!$AE1667,100),IFERROR(VALUE(TRIM(MID(MID(Sync!$AE1667,FIND("/",Sync!$AE1667)+1,20),FIND("/",MID(Sync!$AE1667,FIND("/",Sync!$AE1667)+1,20))+1,20))),"")))</f>
        <v/>
      </c>
      <c r="J1667" t="str">
        <f t="shared" si="127"/>
        <v/>
      </c>
      <c r="K1667" t="str">
        <f>IF(OR($F1667="",$J1667="",$J1667="نامعتبر"),"",LEFT($J1667,4)&amp;MID($J1667,6,2)&amp;RIGHT($J1667,2)&amp;$N1667&amp;"|"&amp;"2"&amp;RIGHT("00000"&amp;1662,5))</f>
        <v/>
      </c>
      <c r="L1667" t="str">
        <f t="shared" si="128"/>
        <v/>
      </c>
      <c r="M1667" t="str">
        <f t="shared" si="129"/>
        <v/>
      </c>
      <c r="N1667" t="str">
        <f>IF($F1667="","",IF(Sync!$AF1667="","0000",IF(AND(ISNUMBER(Sync!$AF1667),Sync!$AF1667&gt;=0,Sync!$AF1667&lt;1),RIGHT("00"&amp;HOUR(Sync!$AF1667),2)&amp;RIGHT("00"&amp;MINUTE(Sync!$AF1667),2),IFERROR(RIGHT("00"&amp;VALUE(LEFT(Sync!$AF1667,FIND(":",Sync!$AF1667)-1)),2)&amp;RIGHT("00"&amp;VALUE(MID(Sync!$AF1667,FIND(":",Sync!$AF1667)+1,2)),2),"0000"))))</f>
        <v/>
      </c>
    </row>
    <row r="1668" spans="1:14" x14ac:dyDescent="0.2">
      <c r="A1668" t="str">
        <f>IF(OR(Calc!$E1672="",Calc!$E1672="نامعتبر",Calc!$G1672=""),"",Calc!$G1672)</f>
        <v/>
      </c>
      <c r="B1668" t="str">
        <f>IF($A1668="","",LEFT(Calc!$E1672,4)&amp;MID(Calc!$E1672,6,2)&amp;RIGHT(Calc!$E1672,2)&amp;Calc!$Q1672&amp;"|"&amp;"1"&amp;RIGHT("00000"&amp;1663,5))</f>
        <v/>
      </c>
      <c r="C1668" t="str">
        <f t="shared" si="125"/>
        <v/>
      </c>
      <c r="D1668" t="str">
        <f t="shared" si="126"/>
        <v/>
      </c>
      <c r="F1668" t="str">
        <f>IF(Sync!$AH1668="","",IF(LEFT(UPPER(TRIM(Sync!$AH1668)),2)="SL",UPPER(TRIM(Sync!$AH1668)),""))</f>
        <v/>
      </c>
      <c r="G1668" t="str">
        <f>IF($F1668="","",IF(Sync!$AE1668="","",IF(ISNUMBER(Sync!$AE1668),IF(AND(Sync!$AE1668&gt;=10000101,Sync!$AE1668&lt;=99991231),INT(Sync!$AE1668/10000),""),IFERROR(VALUE(TRIM(LEFT(Sync!$AE1668,FIND("/",Sync!$AE1668)-1))),""))))</f>
        <v/>
      </c>
      <c r="H1668" t="str">
        <f>IF(OR($F1668="",$G1668=""),"",IF(ISNUMBER(Sync!$AE1668),INT(MOD(Sync!$AE1668,10000)/100),IFERROR(VALUE(TRIM(LEFT(MID(Sync!$AE1668,FIND("/",Sync!$AE1668)+1,20),FIND("/",MID(Sync!$AE1668,FIND("/",Sync!$AE1668)+1,20))-1))),"")))</f>
        <v/>
      </c>
      <c r="I1668" t="str">
        <f>IF(OR($F1668="",$G1668=""),"",IF(ISNUMBER(Sync!$AE1668),MOD(Sync!$AE1668,100),IFERROR(VALUE(TRIM(MID(MID(Sync!$AE1668,FIND("/",Sync!$AE1668)+1,20),FIND("/",MID(Sync!$AE1668,FIND("/",Sync!$AE1668)+1,20))+1,20))),"")))</f>
        <v/>
      </c>
      <c r="J1668" t="str">
        <f t="shared" si="127"/>
        <v/>
      </c>
      <c r="K1668" t="str">
        <f>IF(OR($F1668="",$J1668="",$J1668="نامعتبر"),"",LEFT($J1668,4)&amp;MID($J1668,6,2)&amp;RIGHT($J1668,2)&amp;$N1668&amp;"|"&amp;"2"&amp;RIGHT("00000"&amp;1663,5))</f>
        <v/>
      </c>
      <c r="L1668" t="str">
        <f t="shared" si="128"/>
        <v/>
      </c>
      <c r="M1668" t="str">
        <f t="shared" si="129"/>
        <v/>
      </c>
      <c r="N1668" t="str">
        <f>IF($F1668="","",IF(Sync!$AF1668="","0000",IF(AND(ISNUMBER(Sync!$AF1668),Sync!$AF1668&gt;=0,Sync!$AF1668&lt;1),RIGHT("00"&amp;HOUR(Sync!$AF1668),2)&amp;RIGHT("00"&amp;MINUTE(Sync!$AF1668),2),IFERROR(RIGHT("00"&amp;VALUE(LEFT(Sync!$AF1668,FIND(":",Sync!$AF1668)-1)),2)&amp;RIGHT("00"&amp;VALUE(MID(Sync!$AF1668,FIND(":",Sync!$AF1668)+1,2)),2),"0000"))))</f>
        <v/>
      </c>
    </row>
    <row r="1669" spans="1:14" x14ac:dyDescent="0.2">
      <c r="A1669" t="str">
        <f>IF(OR(Calc!$E1673="",Calc!$E1673="نامعتبر",Calc!$G1673=""),"",Calc!$G1673)</f>
        <v/>
      </c>
      <c r="B1669" t="str">
        <f>IF($A1669="","",LEFT(Calc!$E1673,4)&amp;MID(Calc!$E1673,6,2)&amp;RIGHT(Calc!$E1673,2)&amp;Calc!$Q1673&amp;"|"&amp;"1"&amp;RIGHT("00000"&amp;1664,5))</f>
        <v/>
      </c>
      <c r="C1669" t="str">
        <f t="shared" si="125"/>
        <v/>
      </c>
      <c r="D1669" t="str">
        <f t="shared" si="126"/>
        <v/>
      </c>
      <c r="F1669" t="str">
        <f>IF(Sync!$AH1669="","",IF(LEFT(UPPER(TRIM(Sync!$AH1669)),2)="SL",UPPER(TRIM(Sync!$AH1669)),""))</f>
        <v/>
      </c>
      <c r="G1669" t="str">
        <f>IF($F1669="","",IF(Sync!$AE1669="","",IF(ISNUMBER(Sync!$AE1669),IF(AND(Sync!$AE1669&gt;=10000101,Sync!$AE1669&lt;=99991231),INT(Sync!$AE1669/10000),""),IFERROR(VALUE(TRIM(LEFT(Sync!$AE1669,FIND("/",Sync!$AE1669)-1))),""))))</f>
        <v/>
      </c>
      <c r="H1669" t="str">
        <f>IF(OR($F1669="",$G1669=""),"",IF(ISNUMBER(Sync!$AE1669),INT(MOD(Sync!$AE1669,10000)/100),IFERROR(VALUE(TRIM(LEFT(MID(Sync!$AE1669,FIND("/",Sync!$AE1669)+1,20),FIND("/",MID(Sync!$AE1669,FIND("/",Sync!$AE1669)+1,20))-1))),"")))</f>
        <v/>
      </c>
      <c r="I1669" t="str">
        <f>IF(OR($F1669="",$G1669=""),"",IF(ISNUMBER(Sync!$AE1669),MOD(Sync!$AE1669,100),IFERROR(VALUE(TRIM(MID(MID(Sync!$AE1669,FIND("/",Sync!$AE1669)+1,20),FIND("/",MID(Sync!$AE1669,FIND("/",Sync!$AE1669)+1,20))+1,20))),"")))</f>
        <v/>
      </c>
      <c r="J1669" t="str">
        <f t="shared" si="127"/>
        <v/>
      </c>
      <c r="K1669" t="str">
        <f>IF(OR($F1669="",$J1669="",$J1669="نامعتبر"),"",LEFT($J1669,4)&amp;MID($J1669,6,2)&amp;RIGHT($J1669,2)&amp;$N1669&amp;"|"&amp;"2"&amp;RIGHT("00000"&amp;1664,5))</f>
        <v/>
      </c>
      <c r="L1669" t="str">
        <f t="shared" si="128"/>
        <v/>
      </c>
      <c r="M1669" t="str">
        <f t="shared" si="129"/>
        <v/>
      </c>
      <c r="N1669" t="str">
        <f>IF($F1669="","",IF(Sync!$AF1669="","0000",IF(AND(ISNUMBER(Sync!$AF1669),Sync!$AF1669&gt;=0,Sync!$AF1669&lt;1),RIGHT("00"&amp;HOUR(Sync!$AF1669),2)&amp;RIGHT("00"&amp;MINUTE(Sync!$AF1669),2),IFERROR(RIGHT("00"&amp;VALUE(LEFT(Sync!$AF1669,FIND(":",Sync!$AF1669)-1)),2)&amp;RIGHT("00"&amp;VALUE(MID(Sync!$AF1669,FIND(":",Sync!$AF1669)+1,2)),2),"0000"))))</f>
        <v/>
      </c>
    </row>
    <row r="1670" spans="1:14" x14ac:dyDescent="0.2">
      <c r="A1670" t="str">
        <f>IF(OR(Calc!$E1674="",Calc!$E1674="نامعتبر",Calc!$G1674=""),"",Calc!$G1674)</f>
        <v/>
      </c>
      <c r="B1670" t="str">
        <f>IF($A1670="","",LEFT(Calc!$E1674,4)&amp;MID(Calc!$E1674,6,2)&amp;RIGHT(Calc!$E1674,2)&amp;Calc!$Q1674&amp;"|"&amp;"1"&amp;RIGHT("00000"&amp;1665,5))</f>
        <v/>
      </c>
      <c r="C1670" t="str">
        <f t="shared" ref="C1670:C1733" si="130">IF($B1670="","",COUNTIFS(LdgSellerA,$A1670,LdgKeyA,"&lt;"&amp;$B1670)+COUNTIFS(LdgSellerB,$A1670,LdgKeyB,"&lt;"&amp;$B1670)+1)</f>
        <v/>
      </c>
      <c r="D1670" t="str">
        <f t="shared" ref="D1670:D1733" si="131">IF($C1670="","",$A1670&amp;"|"&amp;RIGHT("000000"&amp;$C1670,6))</f>
        <v/>
      </c>
      <c r="F1670" t="str">
        <f>IF(Sync!$AH1670="","",IF(LEFT(UPPER(TRIM(Sync!$AH1670)),2)="SL",UPPER(TRIM(Sync!$AH1670)),""))</f>
        <v/>
      </c>
      <c r="G1670" t="str">
        <f>IF($F1670="","",IF(Sync!$AE1670="","",IF(ISNUMBER(Sync!$AE1670),IF(AND(Sync!$AE1670&gt;=10000101,Sync!$AE1670&lt;=99991231),INT(Sync!$AE1670/10000),""),IFERROR(VALUE(TRIM(LEFT(Sync!$AE1670,FIND("/",Sync!$AE1670)-1))),""))))</f>
        <v/>
      </c>
      <c r="H1670" t="str">
        <f>IF(OR($F1670="",$G1670=""),"",IF(ISNUMBER(Sync!$AE1670),INT(MOD(Sync!$AE1670,10000)/100),IFERROR(VALUE(TRIM(LEFT(MID(Sync!$AE1670,FIND("/",Sync!$AE1670)+1,20),FIND("/",MID(Sync!$AE1670,FIND("/",Sync!$AE1670)+1,20))-1))),"")))</f>
        <v/>
      </c>
      <c r="I1670" t="str">
        <f>IF(OR($F1670="",$G1670=""),"",IF(ISNUMBER(Sync!$AE1670),MOD(Sync!$AE1670,100),IFERROR(VALUE(TRIM(MID(MID(Sync!$AE1670,FIND("/",Sync!$AE1670)+1,20),FIND("/",MID(Sync!$AE1670,FIND("/",Sync!$AE1670)+1,20))+1,20))),"")))</f>
        <v/>
      </c>
      <c r="J1670" t="str">
        <f t="shared" ref="J1670:J1733" si="132">IF($F1670="","",IF(OR($G1670="",$H1670="",$I1670="",$G1670&lt;1300,$G1670&gt;1500,$H1670&lt;1,$H1670&gt;12,$I1670&lt;1,$I1670&gt;31),"نامعتبر",RIGHT("0000"&amp;$G1670,4)&amp;"/"&amp;RIGHT("00"&amp;$H1670,2)&amp;"/"&amp;RIGHT("00"&amp;$I1670,2)))</f>
        <v/>
      </c>
      <c r="K1670" t="str">
        <f>IF(OR($F1670="",$J1670="",$J1670="نامعتبر"),"",LEFT($J1670,4)&amp;MID($J1670,6,2)&amp;RIGHT($J1670,2)&amp;$N1670&amp;"|"&amp;"2"&amp;RIGHT("00000"&amp;1665,5))</f>
        <v/>
      </c>
      <c r="L1670" t="str">
        <f t="shared" ref="L1670:L1733" si="133">IF($K1670="","",COUNTIFS(LdgSellerA,$F1670,LdgKeyA,"&lt;"&amp;$K1670)+COUNTIFS(LdgSellerB,$F1670,LdgKeyB,"&lt;"&amp;$K1670)+1)</f>
        <v/>
      </c>
      <c r="M1670" t="str">
        <f t="shared" ref="M1670:M1733" si="134">IF($L1670="","",$F1670&amp;"|"&amp;RIGHT("000000"&amp;$L1670,6))</f>
        <v/>
      </c>
      <c r="N1670" t="str">
        <f>IF($F1670="","",IF(Sync!$AF1670="","0000",IF(AND(ISNUMBER(Sync!$AF1670),Sync!$AF1670&gt;=0,Sync!$AF1670&lt;1),RIGHT("00"&amp;HOUR(Sync!$AF1670),2)&amp;RIGHT("00"&amp;MINUTE(Sync!$AF1670),2),IFERROR(RIGHT("00"&amp;VALUE(LEFT(Sync!$AF1670,FIND(":",Sync!$AF1670)-1)),2)&amp;RIGHT("00"&amp;VALUE(MID(Sync!$AF1670,FIND(":",Sync!$AF1670)+1,2)),2),"0000"))))</f>
        <v/>
      </c>
    </row>
    <row r="1671" spans="1:14" x14ac:dyDescent="0.2">
      <c r="A1671" t="str">
        <f>IF(OR(Calc!$E1675="",Calc!$E1675="نامعتبر",Calc!$G1675=""),"",Calc!$G1675)</f>
        <v/>
      </c>
      <c r="B1671" t="str">
        <f>IF($A1671="","",LEFT(Calc!$E1675,4)&amp;MID(Calc!$E1675,6,2)&amp;RIGHT(Calc!$E1675,2)&amp;Calc!$Q1675&amp;"|"&amp;"1"&amp;RIGHT("00000"&amp;1666,5))</f>
        <v/>
      </c>
      <c r="C1671" t="str">
        <f t="shared" si="130"/>
        <v/>
      </c>
      <c r="D1671" t="str">
        <f t="shared" si="131"/>
        <v/>
      </c>
      <c r="F1671" t="str">
        <f>IF(Sync!$AH1671="","",IF(LEFT(UPPER(TRIM(Sync!$AH1671)),2)="SL",UPPER(TRIM(Sync!$AH1671)),""))</f>
        <v/>
      </c>
      <c r="G1671" t="str">
        <f>IF($F1671="","",IF(Sync!$AE1671="","",IF(ISNUMBER(Sync!$AE1671),IF(AND(Sync!$AE1671&gt;=10000101,Sync!$AE1671&lt;=99991231),INT(Sync!$AE1671/10000),""),IFERROR(VALUE(TRIM(LEFT(Sync!$AE1671,FIND("/",Sync!$AE1671)-1))),""))))</f>
        <v/>
      </c>
      <c r="H1671" t="str">
        <f>IF(OR($F1671="",$G1671=""),"",IF(ISNUMBER(Sync!$AE1671),INT(MOD(Sync!$AE1671,10000)/100),IFERROR(VALUE(TRIM(LEFT(MID(Sync!$AE1671,FIND("/",Sync!$AE1671)+1,20),FIND("/",MID(Sync!$AE1671,FIND("/",Sync!$AE1671)+1,20))-1))),"")))</f>
        <v/>
      </c>
      <c r="I1671" t="str">
        <f>IF(OR($F1671="",$G1671=""),"",IF(ISNUMBER(Sync!$AE1671),MOD(Sync!$AE1671,100),IFERROR(VALUE(TRIM(MID(MID(Sync!$AE1671,FIND("/",Sync!$AE1671)+1,20),FIND("/",MID(Sync!$AE1671,FIND("/",Sync!$AE1671)+1,20))+1,20))),"")))</f>
        <v/>
      </c>
      <c r="J1671" t="str">
        <f t="shared" si="132"/>
        <v/>
      </c>
      <c r="K1671" t="str">
        <f>IF(OR($F1671="",$J1671="",$J1671="نامعتبر"),"",LEFT($J1671,4)&amp;MID($J1671,6,2)&amp;RIGHT($J1671,2)&amp;$N1671&amp;"|"&amp;"2"&amp;RIGHT("00000"&amp;1666,5))</f>
        <v/>
      </c>
      <c r="L1671" t="str">
        <f t="shared" si="133"/>
        <v/>
      </c>
      <c r="M1671" t="str">
        <f t="shared" si="134"/>
        <v/>
      </c>
      <c r="N1671" t="str">
        <f>IF($F1671="","",IF(Sync!$AF1671="","0000",IF(AND(ISNUMBER(Sync!$AF1671),Sync!$AF1671&gt;=0,Sync!$AF1671&lt;1),RIGHT("00"&amp;HOUR(Sync!$AF1671),2)&amp;RIGHT("00"&amp;MINUTE(Sync!$AF1671),2),IFERROR(RIGHT("00"&amp;VALUE(LEFT(Sync!$AF1671,FIND(":",Sync!$AF1671)-1)),2)&amp;RIGHT("00"&amp;VALUE(MID(Sync!$AF1671,FIND(":",Sync!$AF1671)+1,2)),2),"0000"))))</f>
        <v/>
      </c>
    </row>
    <row r="1672" spans="1:14" x14ac:dyDescent="0.2">
      <c r="A1672" t="str">
        <f>IF(OR(Calc!$E1676="",Calc!$E1676="نامعتبر",Calc!$G1676=""),"",Calc!$G1676)</f>
        <v/>
      </c>
      <c r="B1672" t="str">
        <f>IF($A1672="","",LEFT(Calc!$E1676,4)&amp;MID(Calc!$E1676,6,2)&amp;RIGHT(Calc!$E1676,2)&amp;Calc!$Q1676&amp;"|"&amp;"1"&amp;RIGHT("00000"&amp;1667,5))</f>
        <v/>
      </c>
      <c r="C1672" t="str">
        <f t="shared" si="130"/>
        <v/>
      </c>
      <c r="D1672" t="str">
        <f t="shared" si="131"/>
        <v/>
      </c>
      <c r="F1672" t="str">
        <f>IF(Sync!$AH1672="","",IF(LEFT(UPPER(TRIM(Sync!$AH1672)),2)="SL",UPPER(TRIM(Sync!$AH1672)),""))</f>
        <v/>
      </c>
      <c r="G1672" t="str">
        <f>IF($F1672="","",IF(Sync!$AE1672="","",IF(ISNUMBER(Sync!$AE1672),IF(AND(Sync!$AE1672&gt;=10000101,Sync!$AE1672&lt;=99991231),INT(Sync!$AE1672/10000),""),IFERROR(VALUE(TRIM(LEFT(Sync!$AE1672,FIND("/",Sync!$AE1672)-1))),""))))</f>
        <v/>
      </c>
      <c r="H1672" t="str">
        <f>IF(OR($F1672="",$G1672=""),"",IF(ISNUMBER(Sync!$AE1672),INT(MOD(Sync!$AE1672,10000)/100),IFERROR(VALUE(TRIM(LEFT(MID(Sync!$AE1672,FIND("/",Sync!$AE1672)+1,20),FIND("/",MID(Sync!$AE1672,FIND("/",Sync!$AE1672)+1,20))-1))),"")))</f>
        <v/>
      </c>
      <c r="I1672" t="str">
        <f>IF(OR($F1672="",$G1672=""),"",IF(ISNUMBER(Sync!$AE1672),MOD(Sync!$AE1672,100),IFERROR(VALUE(TRIM(MID(MID(Sync!$AE1672,FIND("/",Sync!$AE1672)+1,20),FIND("/",MID(Sync!$AE1672,FIND("/",Sync!$AE1672)+1,20))+1,20))),"")))</f>
        <v/>
      </c>
      <c r="J1672" t="str">
        <f t="shared" si="132"/>
        <v/>
      </c>
      <c r="K1672" t="str">
        <f>IF(OR($F1672="",$J1672="",$J1672="نامعتبر"),"",LEFT($J1672,4)&amp;MID($J1672,6,2)&amp;RIGHT($J1672,2)&amp;$N1672&amp;"|"&amp;"2"&amp;RIGHT("00000"&amp;1667,5))</f>
        <v/>
      </c>
      <c r="L1672" t="str">
        <f t="shared" si="133"/>
        <v/>
      </c>
      <c r="M1672" t="str">
        <f t="shared" si="134"/>
        <v/>
      </c>
      <c r="N1672" t="str">
        <f>IF($F1672="","",IF(Sync!$AF1672="","0000",IF(AND(ISNUMBER(Sync!$AF1672),Sync!$AF1672&gt;=0,Sync!$AF1672&lt;1),RIGHT("00"&amp;HOUR(Sync!$AF1672),2)&amp;RIGHT("00"&amp;MINUTE(Sync!$AF1672),2),IFERROR(RIGHT("00"&amp;VALUE(LEFT(Sync!$AF1672,FIND(":",Sync!$AF1672)-1)),2)&amp;RIGHT("00"&amp;VALUE(MID(Sync!$AF1672,FIND(":",Sync!$AF1672)+1,2)),2),"0000"))))</f>
        <v/>
      </c>
    </row>
    <row r="1673" spans="1:14" x14ac:dyDescent="0.2">
      <c r="A1673" t="str">
        <f>IF(OR(Calc!$E1677="",Calc!$E1677="نامعتبر",Calc!$G1677=""),"",Calc!$G1677)</f>
        <v/>
      </c>
      <c r="B1673" t="str">
        <f>IF($A1673="","",LEFT(Calc!$E1677,4)&amp;MID(Calc!$E1677,6,2)&amp;RIGHT(Calc!$E1677,2)&amp;Calc!$Q1677&amp;"|"&amp;"1"&amp;RIGHT("00000"&amp;1668,5))</f>
        <v/>
      </c>
      <c r="C1673" t="str">
        <f t="shared" si="130"/>
        <v/>
      </c>
      <c r="D1673" t="str">
        <f t="shared" si="131"/>
        <v/>
      </c>
      <c r="F1673" t="str">
        <f>IF(Sync!$AH1673="","",IF(LEFT(UPPER(TRIM(Sync!$AH1673)),2)="SL",UPPER(TRIM(Sync!$AH1673)),""))</f>
        <v/>
      </c>
      <c r="G1673" t="str">
        <f>IF($F1673="","",IF(Sync!$AE1673="","",IF(ISNUMBER(Sync!$AE1673),IF(AND(Sync!$AE1673&gt;=10000101,Sync!$AE1673&lt;=99991231),INT(Sync!$AE1673/10000),""),IFERROR(VALUE(TRIM(LEFT(Sync!$AE1673,FIND("/",Sync!$AE1673)-1))),""))))</f>
        <v/>
      </c>
      <c r="H1673" t="str">
        <f>IF(OR($F1673="",$G1673=""),"",IF(ISNUMBER(Sync!$AE1673),INT(MOD(Sync!$AE1673,10000)/100),IFERROR(VALUE(TRIM(LEFT(MID(Sync!$AE1673,FIND("/",Sync!$AE1673)+1,20),FIND("/",MID(Sync!$AE1673,FIND("/",Sync!$AE1673)+1,20))-1))),"")))</f>
        <v/>
      </c>
      <c r="I1673" t="str">
        <f>IF(OR($F1673="",$G1673=""),"",IF(ISNUMBER(Sync!$AE1673),MOD(Sync!$AE1673,100),IFERROR(VALUE(TRIM(MID(MID(Sync!$AE1673,FIND("/",Sync!$AE1673)+1,20),FIND("/",MID(Sync!$AE1673,FIND("/",Sync!$AE1673)+1,20))+1,20))),"")))</f>
        <v/>
      </c>
      <c r="J1673" t="str">
        <f t="shared" si="132"/>
        <v/>
      </c>
      <c r="K1673" t="str">
        <f>IF(OR($F1673="",$J1673="",$J1673="نامعتبر"),"",LEFT($J1673,4)&amp;MID($J1673,6,2)&amp;RIGHT($J1673,2)&amp;$N1673&amp;"|"&amp;"2"&amp;RIGHT("00000"&amp;1668,5))</f>
        <v/>
      </c>
      <c r="L1673" t="str">
        <f t="shared" si="133"/>
        <v/>
      </c>
      <c r="M1673" t="str">
        <f t="shared" si="134"/>
        <v/>
      </c>
      <c r="N1673" t="str">
        <f>IF($F1673="","",IF(Sync!$AF1673="","0000",IF(AND(ISNUMBER(Sync!$AF1673),Sync!$AF1673&gt;=0,Sync!$AF1673&lt;1),RIGHT("00"&amp;HOUR(Sync!$AF1673),2)&amp;RIGHT("00"&amp;MINUTE(Sync!$AF1673),2),IFERROR(RIGHT("00"&amp;VALUE(LEFT(Sync!$AF1673,FIND(":",Sync!$AF1673)-1)),2)&amp;RIGHT("00"&amp;VALUE(MID(Sync!$AF1673,FIND(":",Sync!$AF1673)+1,2)),2),"0000"))))</f>
        <v/>
      </c>
    </row>
    <row r="1674" spans="1:14" x14ac:dyDescent="0.2">
      <c r="A1674" t="str">
        <f>IF(OR(Calc!$E1678="",Calc!$E1678="نامعتبر",Calc!$G1678=""),"",Calc!$G1678)</f>
        <v/>
      </c>
      <c r="B1674" t="str">
        <f>IF($A1674="","",LEFT(Calc!$E1678,4)&amp;MID(Calc!$E1678,6,2)&amp;RIGHT(Calc!$E1678,2)&amp;Calc!$Q1678&amp;"|"&amp;"1"&amp;RIGHT("00000"&amp;1669,5))</f>
        <v/>
      </c>
      <c r="C1674" t="str">
        <f t="shared" si="130"/>
        <v/>
      </c>
      <c r="D1674" t="str">
        <f t="shared" si="131"/>
        <v/>
      </c>
      <c r="F1674" t="str">
        <f>IF(Sync!$AH1674="","",IF(LEFT(UPPER(TRIM(Sync!$AH1674)),2)="SL",UPPER(TRIM(Sync!$AH1674)),""))</f>
        <v/>
      </c>
      <c r="G1674" t="str">
        <f>IF($F1674="","",IF(Sync!$AE1674="","",IF(ISNUMBER(Sync!$AE1674),IF(AND(Sync!$AE1674&gt;=10000101,Sync!$AE1674&lt;=99991231),INT(Sync!$AE1674/10000),""),IFERROR(VALUE(TRIM(LEFT(Sync!$AE1674,FIND("/",Sync!$AE1674)-1))),""))))</f>
        <v/>
      </c>
      <c r="H1674" t="str">
        <f>IF(OR($F1674="",$G1674=""),"",IF(ISNUMBER(Sync!$AE1674),INT(MOD(Sync!$AE1674,10000)/100),IFERROR(VALUE(TRIM(LEFT(MID(Sync!$AE1674,FIND("/",Sync!$AE1674)+1,20),FIND("/",MID(Sync!$AE1674,FIND("/",Sync!$AE1674)+1,20))-1))),"")))</f>
        <v/>
      </c>
      <c r="I1674" t="str">
        <f>IF(OR($F1674="",$G1674=""),"",IF(ISNUMBER(Sync!$AE1674),MOD(Sync!$AE1674,100),IFERROR(VALUE(TRIM(MID(MID(Sync!$AE1674,FIND("/",Sync!$AE1674)+1,20),FIND("/",MID(Sync!$AE1674,FIND("/",Sync!$AE1674)+1,20))+1,20))),"")))</f>
        <v/>
      </c>
      <c r="J1674" t="str">
        <f t="shared" si="132"/>
        <v/>
      </c>
      <c r="K1674" t="str">
        <f>IF(OR($F1674="",$J1674="",$J1674="نامعتبر"),"",LEFT($J1674,4)&amp;MID($J1674,6,2)&amp;RIGHT($J1674,2)&amp;$N1674&amp;"|"&amp;"2"&amp;RIGHT("00000"&amp;1669,5))</f>
        <v/>
      </c>
      <c r="L1674" t="str">
        <f t="shared" si="133"/>
        <v/>
      </c>
      <c r="M1674" t="str">
        <f t="shared" si="134"/>
        <v/>
      </c>
      <c r="N1674" t="str">
        <f>IF($F1674="","",IF(Sync!$AF1674="","0000",IF(AND(ISNUMBER(Sync!$AF1674),Sync!$AF1674&gt;=0,Sync!$AF1674&lt;1),RIGHT("00"&amp;HOUR(Sync!$AF1674),2)&amp;RIGHT("00"&amp;MINUTE(Sync!$AF1674),2),IFERROR(RIGHT("00"&amp;VALUE(LEFT(Sync!$AF1674,FIND(":",Sync!$AF1674)-1)),2)&amp;RIGHT("00"&amp;VALUE(MID(Sync!$AF1674,FIND(":",Sync!$AF1674)+1,2)),2),"0000"))))</f>
        <v/>
      </c>
    </row>
    <row r="1675" spans="1:14" x14ac:dyDescent="0.2">
      <c r="A1675" t="str">
        <f>IF(OR(Calc!$E1679="",Calc!$E1679="نامعتبر",Calc!$G1679=""),"",Calc!$G1679)</f>
        <v/>
      </c>
      <c r="B1675" t="str">
        <f>IF($A1675="","",LEFT(Calc!$E1679,4)&amp;MID(Calc!$E1679,6,2)&amp;RIGHT(Calc!$E1679,2)&amp;Calc!$Q1679&amp;"|"&amp;"1"&amp;RIGHT("00000"&amp;1670,5))</f>
        <v/>
      </c>
      <c r="C1675" t="str">
        <f t="shared" si="130"/>
        <v/>
      </c>
      <c r="D1675" t="str">
        <f t="shared" si="131"/>
        <v/>
      </c>
      <c r="F1675" t="str">
        <f>IF(Sync!$AH1675="","",IF(LEFT(UPPER(TRIM(Sync!$AH1675)),2)="SL",UPPER(TRIM(Sync!$AH1675)),""))</f>
        <v/>
      </c>
      <c r="G1675" t="str">
        <f>IF($F1675="","",IF(Sync!$AE1675="","",IF(ISNUMBER(Sync!$AE1675),IF(AND(Sync!$AE1675&gt;=10000101,Sync!$AE1675&lt;=99991231),INT(Sync!$AE1675/10000),""),IFERROR(VALUE(TRIM(LEFT(Sync!$AE1675,FIND("/",Sync!$AE1675)-1))),""))))</f>
        <v/>
      </c>
      <c r="H1675" t="str">
        <f>IF(OR($F1675="",$G1675=""),"",IF(ISNUMBER(Sync!$AE1675),INT(MOD(Sync!$AE1675,10000)/100),IFERROR(VALUE(TRIM(LEFT(MID(Sync!$AE1675,FIND("/",Sync!$AE1675)+1,20),FIND("/",MID(Sync!$AE1675,FIND("/",Sync!$AE1675)+1,20))-1))),"")))</f>
        <v/>
      </c>
      <c r="I1675" t="str">
        <f>IF(OR($F1675="",$G1675=""),"",IF(ISNUMBER(Sync!$AE1675),MOD(Sync!$AE1675,100),IFERROR(VALUE(TRIM(MID(MID(Sync!$AE1675,FIND("/",Sync!$AE1675)+1,20),FIND("/",MID(Sync!$AE1675,FIND("/",Sync!$AE1675)+1,20))+1,20))),"")))</f>
        <v/>
      </c>
      <c r="J1675" t="str">
        <f t="shared" si="132"/>
        <v/>
      </c>
      <c r="K1675" t="str">
        <f>IF(OR($F1675="",$J1675="",$J1675="نامعتبر"),"",LEFT($J1675,4)&amp;MID($J1675,6,2)&amp;RIGHT($J1675,2)&amp;$N1675&amp;"|"&amp;"2"&amp;RIGHT("00000"&amp;1670,5))</f>
        <v/>
      </c>
      <c r="L1675" t="str">
        <f t="shared" si="133"/>
        <v/>
      </c>
      <c r="M1675" t="str">
        <f t="shared" si="134"/>
        <v/>
      </c>
      <c r="N1675" t="str">
        <f>IF($F1675="","",IF(Sync!$AF1675="","0000",IF(AND(ISNUMBER(Sync!$AF1675),Sync!$AF1675&gt;=0,Sync!$AF1675&lt;1),RIGHT("00"&amp;HOUR(Sync!$AF1675),2)&amp;RIGHT("00"&amp;MINUTE(Sync!$AF1675),2),IFERROR(RIGHT("00"&amp;VALUE(LEFT(Sync!$AF1675,FIND(":",Sync!$AF1675)-1)),2)&amp;RIGHT("00"&amp;VALUE(MID(Sync!$AF1675,FIND(":",Sync!$AF1675)+1,2)),2),"0000"))))</f>
        <v/>
      </c>
    </row>
    <row r="1676" spans="1:14" x14ac:dyDescent="0.2">
      <c r="A1676" t="str">
        <f>IF(OR(Calc!$E1680="",Calc!$E1680="نامعتبر",Calc!$G1680=""),"",Calc!$G1680)</f>
        <v/>
      </c>
      <c r="B1676" t="str">
        <f>IF($A1676="","",LEFT(Calc!$E1680,4)&amp;MID(Calc!$E1680,6,2)&amp;RIGHT(Calc!$E1680,2)&amp;Calc!$Q1680&amp;"|"&amp;"1"&amp;RIGHT("00000"&amp;1671,5))</f>
        <v/>
      </c>
      <c r="C1676" t="str">
        <f t="shared" si="130"/>
        <v/>
      </c>
      <c r="D1676" t="str">
        <f t="shared" si="131"/>
        <v/>
      </c>
      <c r="F1676" t="str">
        <f>IF(Sync!$AH1676="","",IF(LEFT(UPPER(TRIM(Sync!$AH1676)),2)="SL",UPPER(TRIM(Sync!$AH1676)),""))</f>
        <v/>
      </c>
      <c r="G1676" t="str">
        <f>IF($F1676="","",IF(Sync!$AE1676="","",IF(ISNUMBER(Sync!$AE1676),IF(AND(Sync!$AE1676&gt;=10000101,Sync!$AE1676&lt;=99991231),INT(Sync!$AE1676/10000),""),IFERROR(VALUE(TRIM(LEFT(Sync!$AE1676,FIND("/",Sync!$AE1676)-1))),""))))</f>
        <v/>
      </c>
      <c r="H1676" t="str">
        <f>IF(OR($F1676="",$G1676=""),"",IF(ISNUMBER(Sync!$AE1676),INT(MOD(Sync!$AE1676,10000)/100),IFERROR(VALUE(TRIM(LEFT(MID(Sync!$AE1676,FIND("/",Sync!$AE1676)+1,20),FIND("/",MID(Sync!$AE1676,FIND("/",Sync!$AE1676)+1,20))-1))),"")))</f>
        <v/>
      </c>
      <c r="I1676" t="str">
        <f>IF(OR($F1676="",$G1676=""),"",IF(ISNUMBER(Sync!$AE1676),MOD(Sync!$AE1676,100),IFERROR(VALUE(TRIM(MID(MID(Sync!$AE1676,FIND("/",Sync!$AE1676)+1,20),FIND("/",MID(Sync!$AE1676,FIND("/",Sync!$AE1676)+1,20))+1,20))),"")))</f>
        <v/>
      </c>
      <c r="J1676" t="str">
        <f t="shared" si="132"/>
        <v/>
      </c>
      <c r="K1676" t="str">
        <f>IF(OR($F1676="",$J1676="",$J1676="نامعتبر"),"",LEFT($J1676,4)&amp;MID($J1676,6,2)&amp;RIGHT($J1676,2)&amp;$N1676&amp;"|"&amp;"2"&amp;RIGHT("00000"&amp;1671,5))</f>
        <v/>
      </c>
      <c r="L1676" t="str">
        <f t="shared" si="133"/>
        <v/>
      </c>
      <c r="M1676" t="str">
        <f t="shared" si="134"/>
        <v/>
      </c>
      <c r="N1676" t="str">
        <f>IF($F1676="","",IF(Sync!$AF1676="","0000",IF(AND(ISNUMBER(Sync!$AF1676),Sync!$AF1676&gt;=0,Sync!$AF1676&lt;1),RIGHT("00"&amp;HOUR(Sync!$AF1676),2)&amp;RIGHT("00"&amp;MINUTE(Sync!$AF1676),2),IFERROR(RIGHT("00"&amp;VALUE(LEFT(Sync!$AF1676,FIND(":",Sync!$AF1676)-1)),2)&amp;RIGHT("00"&amp;VALUE(MID(Sync!$AF1676,FIND(":",Sync!$AF1676)+1,2)),2),"0000"))))</f>
        <v/>
      </c>
    </row>
    <row r="1677" spans="1:14" x14ac:dyDescent="0.2">
      <c r="A1677" t="str">
        <f>IF(OR(Calc!$E1681="",Calc!$E1681="نامعتبر",Calc!$G1681=""),"",Calc!$G1681)</f>
        <v/>
      </c>
      <c r="B1677" t="str">
        <f>IF($A1677="","",LEFT(Calc!$E1681,4)&amp;MID(Calc!$E1681,6,2)&amp;RIGHT(Calc!$E1681,2)&amp;Calc!$Q1681&amp;"|"&amp;"1"&amp;RIGHT("00000"&amp;1672,5))</f>
        <v/>
      </c>
      <c r="C1677" t="str">
        <f t="shared" si="130"/>
        <v/>
      </c>
      <c r="D1677" t="str">
        <f t="shared" si="131"/>
        <v/>
      </c>
      <c r="F1677" t="str">
        <f>IF(Sync!$AH1677="","",IF(LEFT(UPPER(TRIM(Sync!$AH1677)),2)="SL",UPPER(TRIM(Sync!$AH1677)),""))</f>
        <v/>
      </c>
      <c r="G1677" t="str">
        <f>IF($F1677="","",IF(Sync!$AE1677="","",IF(ISNUMBER(Sync!$AE1677),IF(AND(Sync!$AE1677&gt;=10000101,Sync!$AE1677&lt;=99991231),INT(Sync!$AE1677/10000),""),IFERROR(VALUE(TRIM(LEFT(Sync!$AE1677,FIND("/",Sync!$AE1677)-1))),""))))</f>
        <v/>
      </c>
      <c r="H1677" t="str">
        <f>IF(OR($F1677="",$G1677=""),"",IF(ISNUMBER(Sync!$AE1677),INT(MOD(Sync!$AE1677,10000)/100),IFERROR(VALUE(TRIM(LEFT(MID(Sync!$AE1677,FIND("/",Sync!$AE1677)+1,20),FIND("/",MID(Sync!$AE1677,FIND("/",Sync!$AE1677)+1,20))-1))),"")))</f>
        <v/>
      </c>
      <c r="I1677" t="str">
        <f>IF(OR($F1677="",$G1677=""),"",IF(ISNUMBER(Sync!$AE1677),MOD(Sync!$AE1677,100),IFERROR(VALUE(TRIM(MID(MID(Sync!$AE1677,FIND("/",Sync!$AE1677)+1,20),FIND("/",MID(Sync!$AE1677,FIND("/",Sync!$AE1677)+1,20))+1,20))),"")))</f>
        <v/>
      </c>
      <c r="J1677" t="str">
        <f t="shared" si="132"/>
        <v/>
      </c>
      <c r="K1677" t="str">
        <f>IF(OR($F1677="",$J1677="",$J1677="نامعتبر"),"",LEFT($J1677,4)&amp;MID($J1677,6,2)&amp;RIGHT($J1677,2)&amp;$N1677&amp;"|"&amp;"2"&amp;RIGHT("00000"&amp;1672,5))</f>
        <v/>
      </c>
      <c r="L1677" t="str">
        <f t="shared" si="133"/>
        <v/>
      </c>
      <c r="M1677" t="str">
        <f t="shared" si="134"/>
        <v/>
      </c>
      <c r="N1677" t="str">
        <f>IF($F1677="","",IF(Sync!$AF1677="","0000",IF(AND(ISNUMBER(Sync!$AF1677),Sync!$AF1677&gt;=0,Sync!$AF1677&lt;1),RIGHT("00"&amp;HOUR(Sync!$AF1677),2)&amp;RIGHT("00"&amp;MINUTE(Sync!$AF1677),2),IFERROR(RIGHT("00"&amp;VALUE(LEFT(Sync!$AF1677,FIND(":",Sync!$AF1677)-1)),2)&amp;RIGHT("00"&amp;VALUE(MID(Sync!$AF1677,FIND(":",Sync!$AF1677)+1,2)),2),"0000"))))</f>
        <v/>
      </c>
    </row>
    <row r="1678" spans="1:14" x14ac:dyDescent="0.2">
      <c r="A1678" t="str">
        <f>IF(OR(Calc!$E1682="",Calc!$E1682="نامعتبر",Calc!$G1682=""),"",Calc!$G1682)</f>
        <v/>
      </c>
      <c r="B1678" t="str">
        <f>IF($A1678="","",LEFT(Calc!$E1682,4)&amp;MID(Calc!$E1682,6,2)&amp;RIGHT(Calc!$E1682,2)&amp;Calc!$Q1682&amp;"|"&amp;"1"&amp;RIGHT("00000"&amp;1673,5))</f>
        <v/>
      </c>
      <c r="C1678" t="str">
        <f t="shared" si="130"/>
        <v/>
      </c>
      <c r="D1678" t="str">
        <f t="shared" si="131"/>
        <v/>
      </c>
      <c r="F1678" t="str">
        <f>IF(Sync!$AH1678="","",IF(LEFT(UPPER(TRIM(Sync!$AH1678)),2)="SL",UPPER(TRIM(Sync!$AH1678)),""))</f>
        <v/>
      </c>
      <c r="G1678" t="str">
        <f>IF($F1678="","",IF(Sync!$AE1678="","",IF(ISNUMBER(Sync!$AE1678),IF(AND(Sync!$AE1678&gt;=10000101,Sync!$AE1678&lt;=99991231),INT(Sync!$AE1678/10000),""),IFERROR(VALUE(TRIM(LEFT(Sync!$AE1678,FIND("/",Sync!$AE1678)-1))),""))))</f>
        <v/>
      </c>
      <c r="H1678" t="str">
        <f>IF(OR($F1678="",$G1678=""),"",IF(ISNUMBER(Sync!$AE1678),INT(MOD(Sync!$AE1678,10000)/100),IFERROR(VALUE(TRIM(LEFT(MID(Sync!$AE1678,FIND("/",Sync!$AE1678)+1,20),FIND("/",MID(Sync!$AE1678,FIND("/",Sync!$AE1678)+1,20))-1))),"")))</f>
        <v/>
      </c>
      <c r="I1678" t="str">
        <f>IF(OR($F1678="",$G1678=""),"",IF(ISNUMBER(Sync!$AE1678),MOD(Sync!$AE1678,100),IFERROR(VALUE(TRIM(MID(MID(Sync!$AE1678,FIND("/",Sync!$AE1678)+1,20),FIND("/",MID(Sync!$AE1678,FIND("/",Sync!$AE1678)+1,20))+1,20))),"")))</f>
        <v/>
      </c>
      <c r="J1678" t="str">
        <f t="shared" si="132"/>
        <v/>
      </c>
      <c r="K1678" t="str">
        <f>IF(OR($F1678="",$J1678="",$J1678="نامعتبر"),"",LEFT($J1678,4)&amp;MID($J1678,6,2)&amp;RIGHT($J1678,2)&amp;$N1678&amp;"|"&amp;"2"&amp;RIGHT("00000"&amp;1673,5))</f>
        <v/>
      </c>
      <c r="L1678" t="str">
        <f t="shared" si="133"/>
        <v/>
      </c>
      <c r="M1678" t="str">
        <f t="shared" si="134"/>
        <v/>
      </c>
      <c r="N1678" t="str">
        <f>IF($F1678="","",IF(Sync!$AF1678="","0000",IF(AND(ISNUMBER(Sync!$AF1678),Sync!$AF1678&gt;=0,Sync!$AF1678&lt;1),RIGHT("00"&amp;HOUR(Sync!$AF1678),2)&amp;RIGHT("00"&amp;MINUTE(Sync!$AF1678),2),IFERROR(RIGHT("00"&amp;VALUE(LEFT(Sync!$AF1678,FIND(":",Sync!$AF1678)-1)),2)&amp;RIGHT("00"&amp;VALUE(MID(Sync!$AF1678,FIND(":",Sync!$AF1678)+1,2)),2),"0000"))))</f>
        <v/>
      </c>
    </row>
    <row r="1679" spans="1:14" x14ac:dyDescent="0.2">
      <c r="A1679" t="str">
        <f>IF(OR(Calc!$E1683="",Calc!$E1683="نامعتبر",Calc!$G1683=""),"",Calc!$G1683)</f>
        <v/>
      </c>
      <c r="B1679" t="str">
        <f>IF($A1679="","",LEFT(Calc!$E1683,4)&amp;MID(Calc!$E1683,6,2)&amp;RIGHT(Calc!$E1683,2)&amp;Calc!$Q1683&amp;"|"&amp;"1"&amp;RIGHT("00000"&amp;1674,5))</f>
        <v/>
      </c>
      <c r="C1679" t="str">
        <f t="shared" si="130"/>
        <v/>
      </c>
      <c r="D1679" t="str">
        <f t="shared" si="131"/>
        <v/>
      </c>
      <c r="F1679" t="str">
        <f>IF(Sync!$AH1679="","",IF(LEFT(UPPER(TRIM(Sync!$AH1679)),2)="SL",UPPER(TRIM(Sync!$AH1679)),""))</f>
        <v/>
      </c>
      <c r="G1679" t="str">
        <f>IF($F1679="","",IF(Sync!$AE1679="","",IF(ISNUMBER(Sync!$AE1679),IF(AND(Sync!$AE1679&gt;=10000101,Sync!$AE1679&lt;=99991231),INT(Sync!$AE1679/10000),""),IFERROR(VALUE(TRIM(LEFT(Sync!$AE1679,FIND("/",Sync!$AE1679)-1))),""))))</f>
        <v/>
      </c>
      <c r="H1679" t="str">
        <f>IF(OR($F1679="",$G1679=""),"",IF(ISNUMBER(Sync!$AE1679),INT(MOD(Sync!$AE1679,10000)/100),IFERROR(VALUE(TRIM(LEFT(MID(Sync!$AE1679,FIND("/",Sync!$AE1679)+1,20),FIND("/",MID(Sync!$AE1679,FIND("/",Sync!$AE1679)+1,20))-1))),"")))</f>
        <v/>
      </c>
      <c r="I1679" t="str">
        <f>IF(OR($F1679="",$G1679=""),"",IF(ISNUMBER(Sync!$AE1679),MOD(Sync!$AE1679,100),IFERROR(VALUE(TRIM(MID(MID(Sync!$AE1679,FIND("/",Sync!$AE1679)+1,20),FIND("/",MID(Sync!$AE1679,FIND("/",Sync!$AE1679)+1,20))+1,20))),"")))</f>
        <v/>
      </c>
      <c r="J1679" t="str">
        <f t="shared" si="132"/>
        <v/>
      </c>
      <c r="K1679" t="str">
        <f>IF(OR($F1679="",$J1679="",$J1679="نامعتبر"),"",LEFT($J1679,4)&amp;MID($J1679,6,2)&amp;RIGHT($J1679,2)&amp;$N1679&amp;"|"&amp;"2"&amp;RIGHT("00000"&amp;1674,5))</f>
        <v/>
      </c>
      <c r="L1679" t="str">
        <f t="shared" si="133"/>
        <v/>
      </c>
      <c r="M1679" t="str">
        <f t="shared" si="134"/>
        <v/>
      </c>
      <c r="N1679" t="str">
        <f>IF($F1679="","",IF(Sync!$AF1679="","0000",IF(AND(ISNUMBER(Sync!$AF1679),Sync!$AF1679&gt;=0,Sync!$AF1679&lt;1),RIGHT("00"&amp;HOUR(Sync!$AF1679),2)&amp;RIGHT("00"&amp;MINUTE(Sync!$AF1679),2),IFERROR(RIGHT("00"&amp;VALUE(LEFT(Sync!$AF1679,FIND(":",Sync!$AF1679)-1)),2)&amp;RIGHT("00"&amp;VALUE(MID(Sync!$AF1679,FIND(":",Sync!$AF1679)+1,2)),2),"0000"))))</f>
        <v/>
      </c>
    </row>
    <row r="1680" spans="1:14" x14ac:dyDescent="0.2">
      <c r="A1680" t="str">
        <f>IF(OR(Calc!$E1684="",Calc!$E1684="نامعتبر",Calc!$G1684=""),"",Calc!$G1684)</f>
        <v/>
      </c>
      <c r="B1680" t="str">
        <f>IF($A1680="","",LEFT(Calc!$E1684,4)&amp;MID(Calc!$E1684,6,2)&amp;RIGHT(Calc!$E1684,2)&amp;Calc!$Q1684&amp;"|"&amp;"1"&amp;RIGHT("00000"&amp;1675,5))</f>
        <v/>
      </c>
      <c r="C1680" t="str">
        <f t="shared" si="130"/>
        <v/>
      </c>
      <c r="D1680" t="str">
        <f t="shared" si="131"/>
        <v/>
      </c>
      <c r="F1680" t="str">
        <f>IF(Sync!$AH1680="","",IF(LEFT(UPPER(TRIM(Sync!$AH1680)),2)="SL",UPPER(TRIM(Sync!$AH1680)),""))</f>
        <v/>
      </c>
      <c r="G1680" t="str">
        <f>IF($F1680="","",IF(Sync!$AE1680="","",IF(ISNUMBER(Sync!$AE1680),IF(AND(Sync!$AE1680&gt;=10000101,Sync!$AE1680&lt;=99991231),INT(Sync!$AE1680/10000),""),IFERROR(VALUE(TRIM(LEFT(Sync!$AE1680,FIND("/",Sync!$AE1680)-1))),""))))</f>
        <v/>
      </c>
      <c r="H1680" t="str">
        <f>IF(OR($F1680="",$G1680=""),"",IF(ISNUMBER(Sync!$AE1680),INT(MOD(Sync!$AE1680,10000)/100),IFERROR(VALUE(TRIM(LEFT(MID(Sync!$AE1680,FIND("/",Sync!$AE1680)+1,20),FIND("/",MID(Sync!$AE1680,FIND("/",Sync!$AE1680)+1,20))-1))),"")))</f>
        <v/>
      </c>
      <c r="I1680" t="str">
        <f>IF(OR($F1680="",$G1680=""),"",IF(ISNUMBER(Sync!$AE1680),MOD(Sync!$AE1680,100),IFERROR(VALUE(TRIM(MID(MID(Sync!$AE1680,FIND("/",Sync!$AE1680)+1,20),FIND("/",MID(Sync!$AE1680,FIND("/",Sync!$AE1680)+1,20))+1,20))),"")))</f>
        <v/>
      </c>
      <c r="J1680" t="str">
        <f t="shared" si="132"/>
        <v/>
      </c>
      <c r="K1680" t="str">
        <f>IF(OR($F1680="",$J1680="",$J1680="نامعتبر"),"",LEFT($J1680,4)&amp;MID($J1680,6,2)&amp;RIGHT($J1680,2)&amp;$N1680&amp;"|"&amp;"2"&amp;RIGHT("00000"&amp;1675,5))</f>
        <v/>
      </c>
      <c r="L1680" t="str">
        <f t="shared" si="133"/>
        <v/>
      </c>
      <c r="M1680" t="str">
        <f t="shared" si="134"/>
        <v/>
      </c>
      <c r="N1680" t="str">
        <f>IF($F1680="","",IF(Sync!$AF1680="","0000",IF(AND(ISNUMBER(Sync!$AF1680),Sync!$AF1680&gt;=0,Sync!$AF1680&lt;1),RIGHT("00"&amp;HOUR(Sync!$AF1680),2)&amp;RIGHT("00"&amp;MINUTE(Sync!$AF1680),2),IFERROR(RIGHT("00"&amp;VALUE(LEFT(Sync!$AF1680,FIND(":",Sync!$AF1680)-1)),2)&amp;RIGHT("00"&amp;VALUE(MID(Sync!$AF1680,FIND(":",Sync!$AF1680)+1,2)),2),"0000"))))</f>
        <v/>
      </c>
    </row>
    <row r="1681" spans="1:14" x14ac:dyDescent="0.2">
      <c r="A1681" t="str">
        <f>IF(OR(Calc!$E1685="",Calc!$E1685="نامعتبر",Calc!$G1685=""),"",Calc!$G1685)</f>
        <v/>
      </c>
      <c r="B1681" t="str">
        <f>IF($A1681="","",LEFT(Calc!$E1685,4)&amp;MID(Calc!$E1685,6,2)&amp;RIGHT(Calc!$E1685,2)&amp;Calc!$Q1685&amp;"|"&amp;"1"&amp;RIGHT("00000"&amp;1676,5))</f>
        <v/>
      </c>
      <c r="C1681" t="str">
        <f t="shared" si="130"/>
        <v/>
      </c>
      <c r="D1681" t="str">
        <f t="shared" si="131"/>
        <v/>
      </c>
      <c r="F1681" t="str">
        <f>IF(Sync!$AH1681="","",IF(LEFT(UPPER(TRIM(Sync!$AH1681)),2)="SL",UPPER(TRIM(Sync!$AH1681)),""))</f>
        <v/>
      </c>
      <c r="G1681" t="str">
        <f>IF($F1681="","",IF(Sync!$AE1681="","",IF(ISNUMBER(Sync!$AE1681),IF(AND(Sync!$AE1681&gt;=10000101,Sync!$AE1681&lt;=99991231),INT(Sync!$AE1681/10000),""),IFERROR(VALUE(TRIM(LEFT(Sync!$AE1681,FIND("/",Sync!$AE1681)-1))),""))))</f>
        <v/>
      </c>
      <c r="H1681" t="str">
        <f>IF(OR($F1681="",$G1681=""),"",IF(ISNUMBER(Sync!$AE1681),INT(MOD(Sync!$AE1681,10000)/100),IFERROR(VALUE(TRIM(LEFT(MID(Sync!$AE1681,FIND("/",Sync!$AE1681)+1,20),FIND("/",MID(Sync!$AE1681,FIND("/",Sync!$AE1681)+1,20))-1))),"")))</f>
        <v/>
      </c>
      <c r="I1681" t="str">
        <f>IF(OR($F1681="",$G1681=""),"",IF(ISNUMBER(Sync!$AE1681),MOD(Sync!$AE1681,100),IFERROR(VALUE(TRIM(MID(MID(Sync!$AE1681,FIND("/",Sync!$AE1681)+1,20),FIND("/",MID(Sync!$AE1681,FIND("/",Sync!$AE1681)+1,20))+1,20))),"")))</f>
        <v/>
      </c>
      <c r="J1681" t="str">
        <f t="shared" si="132"/>
        <v/>
      </c>
      <c r="K1681" t="str">
        <f>IF(OR($F1681="",$J1681="",$J1681="نامعتبر"),"",LEFT($J1681,4)&amp;MID($J1681,6,2)&amp;RIGHT($J1681,2)&amp;$N1681&amp;"|"&amp;"2"&amp;RIGHT("00000"&amp;1676,5))</f>
        <v/>
      </c>
      <c r="L1681" t="str">
        <f t="shared" si="133"/>
        <v/>
      </c>
      <c r="M1681" t="str">
        <f t="shared" si="134"/>
        <v/>
      </c>
      <c r="N1681" t="str">
        <f>IF($F1681="","",IF(Sync!$AF1681="","0000",IF(AND(ISNUMBER(Sync!$AF1681),Sync!$AF1681&gt;=0,Sync!$AF1681&lt;1),RIGHT("00"&amp;HOUR(Sync!$AF1681),2)&amp;RIGHT("00"&amp;MINUTE(Sync!$AF1681),2),IFERROR(RIGHT("00"&amp;VALUE(LEFT(Sync!$AF1681,FIND(":",Sync!$AF1681)-1)),2)&amp;RIGHT("00"&amp;VALUE(MID(Sync!$AF1681,FIND(":",Sync!$AF1681)+1,2)),2),"0000"))))</f>
        <v/>
      </c>
    </row>
    <row r="1682" spans="1:14" x14ac:dyDescent="0.2">
      <c r="A1682" t="str">
        <f>IF(OR(Calc!$E1686="",Calc!$E1686="نامعتبر",Calc!$G1686=""),"",Calc!$G1686)</f>
        <v/>
      </c>
      <c r="B1682" t="str">
        <f>IF($A1682="","",LEFT(Calc!$E1686,4)&amp;MID(Calc!$E1686,6,2)&amp;RIGHT(Calc!$E1686,2)&amp;Calc!$Q1686&amp;"|"&amp;"1"&amp;RIGHT("00000"&amp;1677,5))</f>
        <v/>
      </c>
      <c r="C1682" t="str">
        <f t="shared" si="130"/>
        <v/>
      </c>
      <c r="D1682" t="str">
        <f t="shared" si="131"/>
        <v/>
      </c>
      <c r="F1682" t="str">
        <f>IF(Sync!$AH1682="","",IF(LEFT(UPPER(TRIM(Sync!$AH1682)),2)="SL",UPPER(TRIM(Sync!$AH1682)),""))</f>
        <v/>
      </c>
      <c r="G1682" t="str">
        <f>IF($F1682="","",IF(Sync!$AE1682="","",IF(ISNUMBER(Sync!$AE1682),IF(AND(Sync!$AE1682&gt;=10000101,Sync!$AE1682&lt;=99991231),INT(Sync!$AE1682/10000),""),IFERROR(VALUE(TRIM(LEFT(Sync!$AE1682,FIND("/",Sync!$AE1682)-1))),""))))</f>
        <v/>
      </c>
      <c r="H1682" t="str">
        <f>IF(OR($F1682="",$G1682=""),"",IF(ISNUMBER(Sync!$AE1682),INT(MOD(Sync!$AE1682,10000)/100),IFERROR(VALUE(TRIM(LEFT(MID(Sync!$AE1682,FIND("/",Sync!$AE1682)+1,20),FIND("/",MID(Sync!$AE1682,FIND("/",Sync!$AE1682)+1,20))-1))),"")))</f>
        <v/>
      </c>
      <c r="I1682" t="str">
        <f>IF(OR($F1682="",$G1682=""),"",IF(ISNUMBER(Sync!$AE1682),MOD(Sync!$AE1682,100),IFERROR(VALUE(TRIM(MID(MID(Sync!$AE1682,FIND("/",Sync!$AE1682)+1,20),FIND("/",MID(Sync!$AE1682,FIND("/",Sync!$AE1682)+1,20))+1,20))),"")))</f>
        <v/>
      </c>
      <c r="J1682" t="str">
        <f t="shared" si="132"/>
        <v/>
      </c>
      <c r="K1682" t="str">
        <f>IF(OR($F1682="",$J1682="",$J1682="نامعتبر"),"",LEFT($J1682,4)&amp;MID($J1682,6,2)&amp;RIGHT($J1682,2)&amp;$N1682&amp;"|"&amp;"2"&amp;RIGHT("00000"&amp;1677,5))</f>
        <v/>
      </c>
      <c r="L1682" t="str">
        <f t="shared" si="133"/>
        <v/>
      </c>
      <c r="M1682" t="str">
        <f t="shared" si="134"/>
        <v/>
      </c>
      <c r="N1682" t="str">
        <f>IF($F1682="","",IF(Sync!$AF1682="","0000",IF(AND(ISNUMBER(Sync!$AF1682),Sync!$AF1682&gt;=0,Sync!$AF1682&lt;1),RIGHT("00"&amp;HOUR(Sync!$AF1682),2)&amp;RIGHT("00"&amp;MINUTE(Sync!$AF1682),2),IFERROR(RIGHT("00"&amp;VALUE(LEFT(Sync!$AF1682,FIND(":",Sync!$AF1682)-1)),2)&amp;RIGHT("00"&amp;VALUE(MID(Sync!$AF1682,FIND(":",Sync!$AF1682)+1,2)),2),"0000"))))</f>
        <v/>
      </c>
    </row>
    <row r="1683" spans="1:14" x14ac:dyDescent="0.2">
      <c r="A1683" t="str">
        <f>IF(OR(Calc!$E1687="",Calc!$E1687="نامعتبر",Calc!$G1687=""),"",Calc!$G1687)</f>
        <v/>
      </c>
      <c r="B1683" t="str">
        <f>IF($A1683="","",LEFT(Calc!$E1687,4)&amp;MID(Calc!$E1687,6,2)&amp;RIGHT(Calc!$E1687,2)&amp;Calc!$Q1687&amp;"|"&amp;"1"&amp;RIGHT("00000"&amp;1678,5))</f>
        <v/>
      </c>
      <c r="C1683" t="str">
        <f t="shared" si="130"/>
        <v/>
      </c>
      <c r="D1683" t="str">
        <f t="shared" si="131"/>
        <v/>
      </c>
      <c r="F1683" t="str">
        <f>IF(Sync!$AH1683="","",IF(LEFT(UPPER(TRIM(Sync!$AH1683)),2)="SL",UPPER(TRIM(Sync!$AH1683)),""))</f>
        <v/>
      </c>
      <c r="G1683" t="str">
        <f>IF($F1683="","",IF(Sync!$AE1683="","",IF(ISNUMBER(Sync!$AE1683),IF(AND(Sync!$AE1683&gt;=10000101,Sync!$AE1683&lt;=99991231),INT(Sync!$AE1683/10000),""),IFERROR(VALUE(TRIM(LEFT(Sync!$AE1683,FIND("/",Sync!$AE1683)-1))),""))))</f>
        <v/>
      </c>
      <c r="H1683" t="str">
        <f>IF(OR($F1683="",$G1683=""),"",IF(ISNUMBER(Sync!$AE1683),INT(MOD(Sync!$AE1683,10000)/100),IFERROR(VALUE(TRIM(LEFT(MID(Sync!$AE1683,FIND("/",Sync!$AE1683)+1,20),FIND("/",MID(Sync!$AE1683,FIND("/",Sync!$AE1683)+1,20))-1))),"")))</f>
        <v/>
      </c>
      <c r="I1683" t="str">
        <f>IF(OR($F1683="",$G1683=""),"",IF(ISNUMBER(Sync!$AE1683),MOD(Sync!$AE1683,100),IFERROR(VALUE(TRIM(MID(MID(Sync!$AE1683,FIND("/",Sync!$AE1683)+1,20),FIND("/",MID(Sync!$AE1683,FIND("/",Sync!$AE1683)+1,20))+1,20))),"")))</f>
        <v/>
      </c>
      <c r="J1683" t="str">
        <f t="shared" si="132"/>
        <v/>
      </c>
      <c r="K1683" t="str">
        <f>IF(OR($F1683="",$J1683="",$J1683="نامعتبر"),"",LEFT($J1683,4)&amp;MID($J1683,6,2)&amp;RIGHT($J1683,2)&amp;$N1683&amp;"|"&amp;"2"&amp;RIGHT("00000"&amp;1678,5))</f>
        <v/>
      </c>
      <c r="L1683" t="str">
        <f t="shared" si="133"/>
        <v/>
      </c>
      <c r="M1683" t="str">
        <f t="shared" si="134"/>
        <v/>
      </c>
      <c r="N1683" t="str">
        <f>IF($F1683="","",IF(Sync!$AF1683="","0000",IF(AND(ISNUMBER(Sync!$AF1683),Sync!$AF1683&gt;=0,Sync!$AF1683&lt;1),RIGHT("00"&amp;HOUR(Sync!$AF1683),2)&amp;RIGHT("00"&amp;MINUTE(Sync!$AF1683),2),IFERROR(RIGHT("00"&amp;VALUE(LEFT(Sync!$AF1683,FIND(":",Sync!$AF1683)-1)),2)&amp;RIGHT("00"&amp;VALUE(MID(Sync!$AF1683,FIND(":",Sync!$AF1683)+1,2)),2),"0000"))))</f>
        <v/>
      </c>
    </row>
    <row r="1684" spans="1:14" x14ac:dyDescent="0.2">
      <c r="A1684" t="str">
        <f>IF(OR(Calc!$E1688="",Calc!$E1688="نامعتبر",Calc!$G1688=""),"",Calc!$G1688)</f>
        <v/>
      </c>
      <c r="B1684" t="str">
        <f>IF($A1684="","",LEFT(Calc!$E1688,4)&amp;MID(Calc!$E1688,6,2)&amp;RIGHT(Calc!$E1688,2)&amp;Calc!$Q1688&amp;"|"&amp;"1"&amp;RIGHT("00000"&amp;1679,5))</f>
        <v/>
      </c>
      <c r="C1684" t="str">
        <f t="shared" si="130"/>
        <v/>
      </c>
      <c r="D1684" t="str">
        <f t="shared" si="131"/>
        <v/>
      </c>
      <c r="F1684" t="str">
        <f>IF(Sync!$AH1684="","",IF(LEFT(UPPER(TRIM(Sync!$AH1684)),2)="SL",UPPER(TRIM(Sync!$AH1684)),""))</f>
        <v/>
      </c>
      <c r="G1684" t="str">
        <f>IF($F1684="","",IF(Sync!$AE1684="","",IF(ISNUMBER(Sync!$AE1684),IF(AND(Sync!$AE1684&gt;=10000101,Sync!$AE1684&lt;=99991231),INT(Sync!$AE1684/10000),""),IFERROR(VALUE(TRIM(LEFT(Sync!$AE1684,FIND("/",Sync!$AE1684)-1))),""))))</f>
        <v/>
      </c>
      <c r="H1684" t="str">
        <f>IF(OR($F1684="",$G1684=""),"",IF(ISNUMBER(Sync!$AE1684),INT(MOD(Sync!$AE1684,10000)/100),IFERROR(VALUE(TRIM(LEFT(MID(Sync!$AE1684,FIND("/",Sync!$AE1684)+1,20),FIND("/",MID(Sync!$AE1684,FIND("/",Sync!$AE1684)+1,20))-1))),"")))</f>
        <v/>
      </c>
      <c r="I1684" t="str">
        <f>IF(OR($F1684="",$G1684=""),"",IF(ISNUMBER(Sync!$AE1684),MOD(Sync!$AE1684,100),IFERROR(VALUE(TRIM(MID(MID(Sync!$AE1684,FIND("/",Sync!$AE1684)+1,20),FIND("/",MID(Sync!$AE1684,FIND("/",Sync!$AE1684)+1,20))+1,20))),"")))</f>
        <v/>
      </c>
      <c r="J1684" t="str">
        <f t="shared" si="132"/>
        <v/>
      </c>
      <c r="K1684" t="str">
        <f>IF(OR($F1684="",$J1684="",$J1684="نامعتبر"),"",LEFT($J1684,4)&amp;MID($J1684,6,2)&amp;RIGHT($J1684,2)&amp;$N1684&amp;"|"&amp;"2"&amp;RIGHT("00000"&amp;1679,5))</f>
        <v/>
      </c>
      <c r="L1684" t="str">
        <f t="shared" si="133"/>
        <v/>
      </c>
      <c r="M1684" t="str">
        <f t="shared" si="134"/>
        <v/>
      </c>
      <c r="N1684" t="str">
        <f>IF($F1684="","",IF(Sync!$AF1684="","0000",IF(AND(ISNUMBER(Sync!$AF1684),Sync!$AF1684&gt;=0,Sync!$AF1684&lt;1),RIGHT("00"&amp;HOUR(Sync!$AF1684),2)&amp;RIGHT("00"&amp;MINUTE(Sync!$AF1684),2),IFERROR(RIGHT("00"&amp;VALUE(LEFT(Sync!$AF1684,FIND(":",Sync!$AF1684)-1)),2)&amp;RIGHT("00"&amp;VALUE(MID(Sync!$AF1684,FIND(":",Sync!$AF1684)+1,2)),2),"0000"))))</f>
        <v/>
      </c>
    </row>
    <row r="1685" spans="1:14" x14ac:dyDescent="0.2">
      <c r="A1685" t="str">
        <f>IF(OR(Calc!$E1689="",Calc!$E1689="نامعتبر",Calc!$G1689=""),"",Calc!$G1689)</f>
        <v/>
      </c>
      <c r="B1685" t="str">
        <f>IF($A1685="","",LEFT(Calc!$E1689,4)&amp;MID(Calc!$E1689,6,2)&amp;RIGHT(Calc!$E1689,2)&amp;Calc!$Q1689&amp;"|"&amp;"1"&amp;RIGHT("00000"&amp;1680,5))</f>
        <v/>
      </c>
      <c r="C1685" t="str">
        <f t="shared" si="130"/>
        <v/>
      </c>
      <c r="D1685" t="str">
        <f t="shared" si="131"/>
        <v/>
      </c>
      <c r="F1685" t="str">
        <f>IF(Sync!$AH1685="","",IF(LEFT(UPPER(TRIM(Sync!$AH1685)),2)="SL",UPPER(TRIM(Sync!$AH1685)),""))</f>
        <v/>
      </c>
      <c r="G1685" t="str">
        <f>IF($F1685="","",IF(Sync!$AE1685="","",IF(ISNUMBER(Sync!$AE1685),IF(AND(Sync!$AE1685&gt;=10000101,Sync!$AE1685&lt;=99991231),INT(Sync!$AE1685/10000),""),IFERROR(VALUE(TRIM(LEFT(Sync!$AE1685,FIND("/",Sync!$AE1685)-1))),""))))</f>
        <v/>
      </c>
      <c r="H1685" t="str">
        <f>IF(OR($F1685="",$G1685=""),"",IF(ISNUMBER(Sync!$AE1685),INT(MOD(Sync!$AE1685,10000)/100),IFERROR(VALUE(TRIM(LEFT(MID(Sync!$AE1685,FIND("/",Sync!$AE1685)+1,20),FIND("/",MID(Sync!$AE1685,FIND("/",Sync!$AE1685)+1,20))-1))),"")))</f>
        <v/>
      </c>
      <c r="I1685" t="str">
        <f>IF(OR($F1685="",$G1685=""),"",IF(ISNUMBER(Sync!$AE1685),MOD(Sync!$AE1685,100),IFERROR(VALUE(TRIM(MID(MID(Sync!$AE1685,FIND("/",Sync!$AE1685)+1,20),FIND("/",MID(Sync!$AE1685,FIND("/",Sync!$AE1685)+1,20))+1,20))),"")))</f>
        <v/>
      </c>
      <c r="J1685" t="str">
        <f t="shared" si="132"/>
        <v/>
      </c>
      <c r="K1685" t="str">
        <f>IF(OR($F1685="",$J1685="",$J1685="نامعتبر"),"",LEFT($J1685,4)&amp;MID($J1685,6,2)&amp;RIGHT($J1685,2)&amp;$N1685&amp;"|"&amp;"2"&amp;RIGHT("00000"&amp;1680,5))</f>
        <v/>
      </c>
      <c r="L1685" t="str">
        <f t="shared" si="133"/>
        <v/>
      </c>
      <c r="M1685" t="str">
        <f t="shared" si="134"/>
        <v/>
      </c>
      <c r="N1685" t="str">
        <f>IF($F1685="","",IF(Sync!$AF1685="","0000",IF(AND(ISNUMBER(Sync!$AF1685),Sync!$AF1685&gt;=0,Sync!$AF1685&lt;1),RIGHT("00"&amp;HOUR(Sync!$AF1685),2)&amp;RIGHT("00"&amp;MINUTE(Sync!$AF1685),2),IFERROR(RIGHT("00"&amp;VALUE(LEFT(Sync!$AF1685,FIND(":",Sync!$AF1685)-1)),2)&amp;RIGHT("00"&amp;VALUE(MID(Sync!$AF1685,FIND(":",Sync!$AF1685)+1,2)),2),"0000"))))</f>
        <v/>
      </c>
    </row>
    <row r="1686" spans="1:14" x14ac:dyDescent="0.2">
      <c r="A1686" t="str">
        <f>IF(OR(Calc!$E1690="",Calc!$E1690="نامعتبر",Calc!$G1690=""),"",Calc!$G1690)</f>
        <v/>
      </c>
      <c r="B1686" t="str">
        <f>IF($A1686="","",LEFT(Calc!$E1690,4)&amp;MID(Calc!$E1690,6,2)&amp;RIGHT(Calc!$E1690,2)&amp;Calc!$Q1690&amp;"|"&amp;"1"&amp;RIGHT("00000"&amp;1681,5))</f>
        <v/>
      </c>
      <c r="C1686" t="str">
        <f t="shared" si="130"/>
        <v/>
      </c>
      <c r="D1686" t="str">
        <f t="shared" si="131"/>
        <v/>
      </c>
      <c r="F1686" t="str">
        <f>IF(Sync!$AH1686="","",IF(LEFT(UPPER(TRIM(Sync!$AH1686)),2)="SL",UPPER(TRIM(Sync!$AH1686)),""))</f>
        <v/>
      </c>
      <c r="G1686" t="str">
        <f>IF($F1686="","",IF(Sync!$AE1686="","",IF(ISNUMBER(Sync!$AE1686),IF(AND(Sync!$AE1686&gt;=10000101,Sync!$AE1686&lt;=99991231),INT(Sync!$AE1686/10000),""),IFERROR(VALUE(TRIM(LEFT(Sync!$AE1686,FIND("/",Sync!$AE1686)-1))),""))))</f>
        <v/>
      </c>
      <c r="H1686" t="str">
        <f>IF(OR($F1686="",$G1686=""),"",IF(ISNUMBER(Sync!$AE1686),INT(MOD(Sync!$AE1686,10000)/100),IFERROR(VALUE(TRIM(LEFT(MID(Sync!$AE1686,FIND("/",Sync!$AE1686)+1,20),FIND("/",MID(Sync!$AE1686,FIND("/",Sync!$AE1686)+1,20))-1))),"")))</f>
        <v/>
      </c>
      <c r="I1686" t="str">
        <f>IF(OR($F1686="",$G1686=""),"",IF(ISNUMBER(Sync!$AE1686),MOD(Sync!$AE1686,100),IFERROR(VALUE(TRIM(MID(MID(Sync!$AE1686,FIND("/",Sync!$AE1686)+1,20),FIND("/",MID(Sync!$AE1686,FIND("/",Sync!$AE1686)+1,20))+1,20))),"")))</f>
        <v/>
      </c>
      <c r="J1686" t="str">
        <f t="shared" si="132"/>
        <v/>
      </c>
      <c r="K1686" t="str">
        <f>IF(OR($F1686="",$J1686="",$J1686="نامعتبر"),"",LEFT($J1686,4)&amp;MID($J1686,6,2)&amp;RIGHT($J1686,2)&amp;$N1686&amp;"|"&amp;"2"&amp;RIGHT("00000"&amp;1681,5))</f>
        <v/>
      </c>
      <c r="L1686" t="str">
        <f t="shared" si="133"/>
        <v/>
      </c>
      <c r="M1686" t="str">
        <f t="shared" si="134"/>
        <v/>
      </c>
      <c r="N1686" t="str">
        <f>IF($F1686="","",IF(Sync!$AF1686="","0000",IF(AND(ISNUMBER(Sync!$AF1686),Sync!$AF1686&gt;=0,Sync!$AF1686&lt;1),RIGHT("00"&amp;HOUR(Sync!$AF1686),2)&amp;RIGHT("00"&amp;MINUTE(Sync!$AF1686),2),IFERROR(RIGHT("00"&amp;VALUE(LEFT(Sync!$AF1686,FIND(":",Sync!$AF1686)-1)),2)&amp;RIGHT("00"&amp;VALUE(MID(Sync!$AF1686,FIND(":",Sync!$AF1686)+1,2)),2),"0000"))))</f>
        <v/>
      </c>
    </row>
    <row r="1687" spans="1:14" x14ac:dyDescent="0.2">
      <c r="A1687" t="str">
        <f>IF(OR(Calc!$E1691="",Calc!$E1691="نامعتبر",Calc!$G1691=""),"",Calc!$G1691)</f>
        <v/>
      </c>
      <c r="B1687" t="str">
        <f>IF($A1687="","",LEFT(Calc!$E1691,4)&amp;MID(Calc!$E1691,6,2)&amp;RIGHT(Calc!$E1691,2)&amp;Calc!$Q1691&amp;"|"&amp;"1"&amp;RIGHT("00000"&amp;1682,5))</f>
        <v/>
      </c>
      <c r="C1687" t="str">
        <f t="shared" si="130"/>
        <v/>
      </c>
      <c r="D1687" t="str">
        <f t="shared" si="131"/>
        <v/>
      </c>
      <c r="F1687" t="str">
        <f>IF(Sync!$AH1687="","",IF(LEFT(UPPER(TRIM(Sync!$AH1687)),2)="SL",UPPER(TRIM(Sync!$AH1687)),""))</f>
        <v/>
      </c>
      <c r="G1687" t="str">
        <f>IF($F1687="","",IF(Sync!$AE1687="","",IF(ISNUMBER(Sync!$AE1687),IF(AND(Sync!$AE1687&gt;=10000101,Sync!$AE1687&lt;=99991231),INT(Sync!$AE1687/10000),""),IFERROR(VALUE(TRIM(LEFT(Sync!$AE1687,FIND("/",Sync!$AE1687)-1))),""))))</f>
        <v/>
      </c>
      <c r="H1687" t="str">
        <f>IF(OR($F1687="",$G1687=""),"",IF(ISNUMBER(Sync!$AE1687),INT(MOD(Sync!$AE1687,10000)/100),IFERROR(VALUE(TRIM(LEFT(MID(Sync!$AE1687,FIND("/",Sync!$AE1687)+1,20),FIND("/",MID(Sync!$AE1687,FIND("/",Sync!$AE1687)+1,20))-1))),"")))</f>
        <v/>
      </c>
      <c r="I1687" t="str">
        <f>IF(OR($F1687="",$G1687=""),"",IF(ISNUMBER(Sync!$AE1687),MOD(Sync!$AE1687,100),IFERROR(VALUE(TRIM(MID(MID(Sync!$AE1687,FIND("/",Sync!$AE1687)+1,20),FIND("/",MID(Sync!$AE1687,FIND("/",Sync!$AE1687)+1,20))+1,20))),"")))</f>
        <v/>
      </c>
      <c r="J1687" t="str">
        <f t="shared" si="132"/>
        <v/>
      </c>
      <c r="K1687" t="str">
        <f>IF(OR($F1687="",$J1687="",$J1687="نامعتبر"),"",LEFT($J1687,4)&amp;MID($J1687,6,2)&amp;RIGHT($J1687,2)&amp;$N1687&amp;"|"&amp;"2"&amp;RIGHT("00000"&amp;1682,5))</f>
        <v/>
      </c>
      <c r="L1687" t="str">
        <f t="shared" si="133"/>
        <v/>
      </c>
      <c r="M1687" t="str">
        <f t="shared" si="134"/>
        <v/>
      </c>
      <c r="N1687" t="str">
        <f>IF($F1687="","",IF(Sync!$AF1687="","0000",IF(AND(ISNUMBER(Sync!$AF1687),Sync!$AF1687&gt;=0,Sync!$AF1687&lt;1),RIGHT("00"&amp;HOUR(Sync!$AF1687),2)&amp;RIGHT("00"&amp;MINUTE(Sync!$AF1687),2),IFERROR(RIGHT("00"&amp;VALUE(LEFT(Sync!$AF1687,FIND(":",Sync!$AF1687)-1)),2)&amp;RIGHT("00"&amp;VALUE(MID(Sync!$AF1687,FIND(":",Sync!$AF1687)+1,2)),2),"0000"))))</f>
        <v/>
      </c>
    </row>
    <row r="1688" spans="1:14" x14ac:dyDescent="0.2">
      <c r="A1688" t="str">
        <f>IF(OR(Calc!$E1692="",Calc!$E1692="نامعتبر",Calc!$G1692=""),"",Calc!$G1692)</f>
        <v/>
      </c>
      <c r="B1688" t="str">
        <f>IF($A1688="","",LEFT(Calc!$E1692,4)&amp;MID(Calc!$E1692,6,2)&amp;RIGHT(Calc!$E1692,2)&amp;Calc!$Q1692&amp;"|"&amp;"1"&amp;RIGHT("00000"&amp;1683,5))</f>
        <v/>
      </c>
      <c r="C1688" t="str">
        <f t="shared" si="130"/>
        <v/>
      </c>
      <c r="D1688" t="str">
        <f t="shared" si="131"/>
        <v/>
      </c>
      <c r="F1688" t="str">
        <f>IF(Sync!$AH1688="","",IF(LEFT(UPPER(TRIM(Sync!$AH1688)),2)="SL",UPPER(TRIM(Sync!$AH1688)),""))</f>
        <v/>
      </c>
      <c r="G1688" t="str">
        <f>IF($F1688="","",IF(Sync!$AE1688="","",IF(ISNUMBER(Sync!$AE1688),IF(AND(Sync!$AE1688&gt;=10000101,Sync!$AE1688&lt;=99991231),INT(Sync!$AE1688/10000),""),IFERROR(VALUE(TRIM(LEFT(Sync!$AE1688,FIND("/",Sync!$AE1688)-1))),""))))</f>
        <v/>
      </c>
      <c r="H1688" t="str">
        <f>IF(OR($F1688="",$G1688=""),"",IF(ISNUMBER(Sync!$AE1688),INT(MOD(Sync!$AE1688,10000)/100),IFERROR(VALUE(TRIM(LEFT(MID(Sync!$AE1688,FIND("/",Sync!$AE1688)+1,20),FIND("/",MID(Sync!$AE1688,FIND("/",Sync!$AE1688)+1,20))-1))),"")))</f>
        <v/>
      </c>
      <c r="I1688" t="str">
        <f>IF(OR($F1688="",$G1688=""),"",IF(ISNUMBER(Sync!$AE1688),MOD(Sync!$AE1688,100),IFERROR(VALUE(TRIM(MID(MID(Sync!$AE1688,FIND("/",Sync!$AE1688)+1,20),FIND("/",MID(Sync!$AE1688,FIND("/",Sync!$AE1688)+1,20))+1,20))),"")))</f>
        <v/>
      </c>
      <c r="J1688" t="str">
        <f t="shared" si="132"/>
        <v/>
      </c>
      <c r="K1688" t="str">
        <f>IF(OR($F1688="",$J1688="",$J1688="نامعتبر"),"",LEFT($J1688,4)&amp;MID($J1688,6,2)&amp;RIGHT($J1688,2)&amp;$N1688&amp;"|"&amp;"2"&amp;RIGHT("00000"&amp;1683,5))</f>
        <v/>
      </c>
      <c r="L1688" t="str">
        <f t="shared" si="133"/>
        <v/>
      </c>
      <c r="M1688" t="str">
        <f t="shared" si="134"/>
        <v/>
      </c>
      <c r="N1688" t="str">
        <f>IF($F1688="","",IF(Sync!$AF1688="","0000",IF(AND(ISNUMBER(Sync!$AF1688),Sync!$AF1688&gt;=0,Sync!$AF1688&lt;1),RIGHT("00"&amp;HOUR(Sync!$AF1688),2)&amp;RIGHT("00"&amp;MINUTE(Sync!$AF1688),2),IFERROR(RIGHT("00"&amp;VALUE(LEFT(Sync!$AF1688,FIND(":",Sync!$AF1688)-1)),2)&amp;RIGHT("00"&amp;VALUE(MID(Sync!$AF1688,FIND(":",Sync!$AF1688)+1,2)),2),"0000"))))</f>
        <v/>
      </c>
    </row>
    <row r="1689" spans="1:14" x14ac:dyDescent="0.2">
      <c r="A1689" t="str">
        <f>IF(OR(Calc!$E1693="",Calc!$E1693="نامعتبر",Calc!$G1693=""),"",Calc!$G1693)</f>
        <v/>
      </c>
      <c r="B1689" t="str">
        <f>IF($A1689="","",LEFT(Calc!$E1693,4)&amp;MID(Calc!$E1693,6,2)&amp;RIGHT(Calc!$E1693,2)&amp;Calc!$Q1693&amp;"|"&amp;"1"&amp;RIGHT("00000"&amp;1684,5))</f>
        <v/>
      </c>
      <c r="C1689" t="str">
        <f t="shared" si="130"/>
        <v/>
      </c>
      <c r="D1689" t="str">
        <f t="shared" si="131"/>
        <v/>
      </c>
      <c r="F1689" t="str">
        <f>IF(Sync!$AH1689="","",IF(LEFT(UPPER(TRIM(Sync!$AH1689)),2)="SL",UPPER(TRIM(Sync!$AH1689)),""))</f>
        <v/>
      </c>
      <c r="G1689" t="str">
        <f>IF($F1689="","",IF(Sync!$AE1689="","",IF(ISNUMBER(Sync!$AE1689),IF(AND(Sync!$AE1689&gt;=10000101,Sync!$AE1689&lt;=99991231),INT(Sync!$AE1689/10000),""),IFERROR(VALUE(TRIM(LEFT(Sync!$AE1689,FIND("/",Sync!$AE1689)-1))),""))))</f>
        <v/>
      </c>
      <c r="H1689" t="str">
        <f>IF(OR($F1689="",$G1689=""),"",IF(ISNUMBER(Sync!$AE1689),INT(MOD(Sync!$AE1689,10000)/100),IFERROR(VALUE(TRIM(LEFT(MID(Sync!$AE1689,FIND("/",Sync!$AE1689)+1,20),FIND("/",MID(Sync!$AE1689,FIND("/",Sync!$AE1689)+1,20))-1))),"")))</f>
        <v/>
      </c>
      <c r="I1689" t="str">
        <f>IF(OR($F1689="",$G1689=""),"",IF(ISNUMBER(Sync!$AE1689),MOD(Sync!$AE1689,100),IFERROR(VALUE(TRIM(MID(MID(Sync!$AE1689,FIND("/",Sync!$AE1689)+1,20),FIND("/",MID(Sync!$AE1689,FIND("/",Sync!$AE1689)+1,20))+1,20))),"")))</f>
        <v/>
      </c>
      <c r="J1689" t="str">
        <f t="shared" si="132"/>
        <v/>
      </c>
      <c r="K1689" t="str">
        <f>IF(OR($F1689="",$J1689="",$J1689="نامعتبر"),"",LEFT($J1689,4)&amp;MID($J1689,6,2)&amp;RIGHT($J1689,2)&amp;$N1689&amp;"|"&amp;"2"&amp;RIGHT("00000"&amp;1684,5))</f>
        <v/>
      </c>
      <c r="L1689" t="str">
        <f t="shared" si="133"/>
        <v/>
      </c>
      <c r="M1689" t="str">
        <f t="shared" si="134"/>
        <v/>
      </c>
      <c r="N1689" t="str">
        <f>IF($F1689="","",IF(Sync!$AF1689="","0000",IF(AND(ISNUMBER(Sync!$AF1689),Sync!$AF1689&gt;=0,Sync!$AF1689&lt;1),RIGHT("00"&amp;HOUR(Sync!$AF1689),2)&amp;RIGHT("00"&amp;MINUTE(Sync!$AF1689),2),IFERROR(RIGHT("00"&amp;VALUE(LEFT(Sync!$AF1689,FIND(":",Sync!$AF1689)-1)),2)&amp;RIGHT("00"&amp;VALUE(MID(Sync!$AF1689,FIND(":",Sync!$AF1689)+1,2)),2),"0000"))))</f>
        <v/>
      </c>
    </row>
    <row r="1690" spans="1:14" x14ac:dyDescent="0.2">
      <c r="A1690" t="str">
        <f>IF(OR(Calc!$E1694="",Calc!$E1694="نامعتبر",Calc!$G1694=""),"",Calc!$G1694)</f>
        <v/>
      </c>
      <c r="B1690" t="str">
        <f>IF($A1690="","",LEFT(Calc!$E1694,4)&amp;MID(Calc!$E1694,6,2)&amp;RIGHT(Calc!$E1694,2)&amp;Calc!$Q1694&amp;"|"&amp;"1"&amp;RIGHT("00000"&amp;1685,5))</f>
        <v/>
      </c>
      <c r="C1690" t="str">
        <f t="shared" si="130"/>
        <v/>
      </c>
      <c r="D1690" t="str">
        <f t="shared" si="131"/>
        <v/>
      </c>
      <c r="F1690" t="str">
        <f>IF(Sync!$AH1690="","",IF(LEFT(UPPER(TRIM(Sync!$AH1690)),2)="SL",UPPER(TRIM(Sync!$AH1690)),""))</f>
        <v/>
      </c>
      <c r="G1690" t="str">
        <f>IF($F1690="","",IF(Sync!$AE1690="","",IF(ISNUMBER(Sync!$AE1690),IF(AND(Sync!$AE1690&gt;=10000101,Sync!$AE1690&lt;=99991231),INT(Sync!$AE1690/10000),""),IFERROR(VALUE(TRIM(LEFT(Sync!$AE1690,FIND("/",Sync!$AE1690)-1))),""))))</f>
        <v/>
      </c>
      <c r="H1690" t="str">
        <f>IF(OR($F1690="",$G1690=""),"",IF(ISNUMBER(Sync!$AE1690),INT(MOD(Sync!$AE1690,10000)/100),IFERROR(VALUE(TRIM(LEFT(MID(Sync!$AE1690,FIND("/",Sync!$AE1690)+1,20),FIND("/",MID(Sync!$AE1690,FIND("/",Sync!$AE1690)+1,20))-1))),"")))</f>
        <v/>
      </c>
      <c r="I1690" t="str">
        <f>IF(OR($F1690="",$G1690=""),"",IF(ISNUMBER(Sync!$AE1690),MOD(Sync!$AE1690,100),IFERROR(VALUE(TRIM(MID(MID(Sync!$AE1690,FIND("/",Sync!$AE1690)+1,20),FIND("/",MID(Sync!$AE1690,FIND("/",Sync!$AE1690)+1,20))+1,20))),"")))</f>
        <v/>
      </c>
      <c r="J1690" t="str">
        <f t="shared" si="132"/>
        <v/>
      </c>
      <c r="K1690" t="str">
        <f>IF(OR($F1690="",$J1690="",$J1690="نامعتبر"),"",LEFT($J1690,4)&amp;MID($J1690,6,2)&amp;RIGHT($J1690,2)&amp;$N1690&amp;"|"&amp;"2"&amp;RIGHT("00000"&amp;1685,5))</f>
        <v/>
      </c>
      <c r="L1690" t="str">
        <f t="shared" si="133"/>
        <v/>
      </c>
      <c r="M1690" t="str">
        <f t="shared" si="134"/>
        <v/>
      </c>
      <c r="N1690" t="str">
        <f>IF($F1690="","",IF(Sync!$AF1690="","0000",IF(AND(ISNUMBER(Sync!$AF1690),Sync!$AF1690&gt;=0,Sync!$AF1690&lt;1),RIGHT("00"&amp;HOUR(Sync!$AF1690),2)&amp;RIGHT("00"&amp;MINUTE(Sync!$AF1690),2),IFERROR(RIGHT("00"&amp;VALUE(LEFT(Sync!$AF1690,FIND(":",Sync!$AF1690)-1)),2)&amp;RIGHT("00"&amp;VALUE(MID(Sync!$AF1690,FIND(":",Sync!$AF1690)+1,2)),2),"0000"))))</f>
        <v/>
      </c>
    </row>
    <row r="1691" spans="1:14" x14ac:dyDescent="0.2">
      <c r="A1691" t="str">
        <f>IF(OR(Calc!$E1695="",Calc!$E1695="نامعتبر",Calc!$G1695=""),"",Calc!$G1695)</f>
        <v/>
      </c>
      <c r="B1691" t="str">
        <f>IF($A1691="","",LEFT(Calc!$E1695,4)&amp;MID(Calc!$E1695,6,2)&amp;RIGHT(Calc!$E1695,2)&amp;Calc!$Q1695&amp;"|"&amp;"1"&amp;RIGHT("00000"&amp;1686,5))</f>
        <v/>
      </c>
      <c r="C1691" t="str">
        <f t="shared" si="130"/>
        <v/>
      </c>
      <c r="D1691" t="str">
        <f t="shared" si="131"/>
        <v/>
      </c>
      <c r="F1691" t="str">
        <f>IF(Sync!$AH1691="","",IF(LEFT(UPPER(TRIM(Sync!$AH1691)),2)="SL",UPPER(TRIM(Sync!$AH1691)),""))</f>
        <v/>
      </c>
      <c r="G1691" t="str">
        <f>IF($F1691="","",IF(Sync!$AE1691="","",IF(ISNUMBER(Sync!$AE1691),IF(AND(Sync!$AE1691&gt;=10000101,Sync!$AE1691&lt;=99991231),INT(Sync!$AE1691/10000),""),IFERROR(VALUE(TRIM(LEFT(Sync!$AE1691,FIND("/",Sync!$AE1691)-1))),""))))</f>
        <v/>
      </c>
      <c r="H1691" t="str">
        <f>IF(OR($F1691="",$G1691=""),"",IF(ISNUMBER(Sync!$AE1691),INT(MOD(Sync!$AE1691,10000)/100),IFERROR(VALUE(TRIM(LEFT(MID(Sync!$AE1691,FIND("/",Sync!$AE1691)+1,20),FIND("/",MID(Sync!$AE1691,FIND("/",Sync!$AE1691)+1,20))-1))),"")))</f>
        <v/>
      </c>
      <c r="I1691" t="str">
        <f>IF(OR($F1691="",$G1691=""),"",IF(ISNUMBER(Sync!$AE1691),MOD(Sync!$AE1691,100),IFERROR(VALUE(TRIM(MID(MID(Sync!$AE1691,FIND("/",Sync!$AE1691)+1,20),FIND("/",MID(Sync!$AE1691,FIND("/",Sync!$AE1691)+1,20))+1,20))),"")))</f>
        <v/>
      </c>
      <c r="J1691" t="str">
        <f t="shared" si="132"/>
        <v/>
      </c>
      <c r="K1691" t="str">
        <f>IF(OR($F1691="",$J1691="",$J1691="نامعتبر"),"",LEFT($J1691,4)&amp;MID($J1691,6,2)&amp;RIGHT($J1691,2)&amp;$N1691&amp;"|"&amp;"2"&amp;RIGHT("00000"&amp;1686,5))</f>
        <v/>
      </c>
      <c r="L1691" t="str">
        <f t="shared" si="133"/>
        <v/>
      </c>
      <c r="M1691" t="str">
        <f t="shared" si="134"/>
        <v/>
      </c>
      <c r="N1691" t="str">
        <f>IF($F1691="","",IF(Sync!$AF1691="","0000",IF(AND(ISNUMBER(Sync!$AF1691),Sync!$AF1691&gt;=0,Sync!$AF1691&lt;1),RIGHT("00"&amp;HOUR(Sync!$AF1691),2)&amp;RIGHT("00"&amp;MINUTE(Sync!$AF1691),2),IFERROR(RIGHT("00"&amp;VALUE(LEFT(Sync!$AF1691,FIND(":",Sync!$AF1691)-1)),2)&amp;RIGHT("00"&amp;VALUE(MID(Sync!$AF1691,FIND(":",Sync!$AF1691)+1,2)),2),"0000"))))</f>
        <v/>
      </c>
    </row>
    <row r="1692" spans="1:14" x14ac:dyDescent="0.2">
      <c r="A1692" t="str">
        <f>IF(OR(Calc!$E1696="",Calc!$E1696="نامعتبر",Calc!$G1696=""),"",Calc!$G1696)</f>
        <v/>
      </c>
      <c r="B1692" t="str">
        <f>IF($A1692="","",LEFT(Calc!$E1696,4)&amp;MID(Calc!$E1696,6,2)&amp;RIGHT(Calc!$E1696,2)&amp;Calc!$Q1696&amp;"|"&amp;"1"&amp;RIGHT("00000"&amp;1687,5))</f>
        <v/>
      </c>
      <c r="C1692" t="str">
        <f t="shared" si="130"/>
        <v/>
      </c>
      <c r="D1692" t="str">
        <f t="shared" si="131"/>
        <v/>
      </c>
      <c r="F1692" t="str">
        <f>IF(Sync!$AH1692="","",IF(LEFT(UPPER(TRIM(Sync!$AH1692)),2)="SL",UPPER(TRIM(Sync!$AH1692)),""))</f>
        <v/>
      </c>
      <c r="G1692" t="str">
        <f>IF($F1692="","",IF(Sync!$AE1692="","",IF(ISNUMBER(Sync!$AE1692),IF(AND(Sync!$AE1692&gt;=10000101,Sync!$AE1692&lt;=99991231),INT(Sync!$AE1692/10000),""),IFERROR(VALUE(TRIM(LEFT(Sync!$AE1692,FIND("/",Sync!$AE1692)-1))),""))))</f>
        <v/>
      </c>
      <c r="H1692" t="str">
        <f>IF(OR($F1692="",$G1692=""),"",IF(ISNUMBER(Sync!$AE1692),INT(MOD(Sync!$AE1692,10000)/100),IFERROR(VALUE(TRIM(LEFT(MID(Sync!$AE1692,FIND("/",Sync!$AE1692)+1,20),FIND("/",MID(Sync!$AE1692,FIND("/",Sync!$AE1692)+1,20))-1))),"")))</f>
        <v/>
      </c>
      <c r="I1692" t="str">
        <f>IF(OR($F1692="",$G1692=""),"",IF(ISNUMBER(Sync!$AE1692),MOD(Sync!$AE1692,100),IFERROR(VALUE(TRIM(MID(MID(Sync!$AE1692,FIND("/",Sync!$AE1692)+1,20),FIND("/",MID(Sync!$AE1692,FIND("/",Sync!$AE1692)+1,20))+1,20))),"")))</f>
        <v/>
      </c>
      <c r="J1692" t="str">
        <f t="shared" si="132"/>
        <v/>
      </c>
      <c r="K1692" t="str">
        <f>IF(OR($F1692="",$J1692="",$J1692="نامعتبر"),"",LEFT($J1692,4)&amp;MID($J1692,6,2)&amp;RIGHT($J1692,2)&amp;$N1692&amp;"|"&amp;"2"&amp;RIGHT("00000"&amp;1687,5))</f>
        <v/>
      </c>
      <c r="L1692" t="str">
        <f t="shared" si="133"/>
        <v/>
      </c>
      <c r="M1692" t="str">
        <f t="shared" si="134"/>
        <v/>
      </c>
      <c r="N1692" t="str">
        <f>IF($F1692="","",IF(Sync!$AF1692="","0000",IF(AND(ISNUMBER(Sync!$AF1692),Sync!$AF1692&gt;=0,Sync!$AF1692&lt;1),RIGHT("00"&amp;HOUR(Sync!$AF1692),2)&amp;RIGHT("00"&amp;MINUTE(Sync!$AF1692),2),IFERROR(RIGHT("00"&amp;VALUE(LEFT(Sync!$AF1692,FIND(":",Sync!$AF1692)-1)),2)&amp;RIGHT("00"&amp;VALUE(MID(Sync!$AF1692,FIND(":",Sync!$AF1692)+1,2)),2),"0000"))))</f>
        <v/>
      </c>
    </row>
    <row r="1693" spans="1:14" x14ac:dyDescent="0.2">
      <c r="A1693" t="str">
        <f>IF(OR(Calc!$E1697="",Calc!$E1697="نامعتبر",Calc!$G1697=""),"",Calc!$G1697)</f>
        <v/>
      </c>
      <c r="B1693" t="str">
        <f>IF($A1693="","",LEFT(Calc!$E1697,4)&amp;MID(Calc!$E1697,6,2)&amp;RIGHT(Calc!$E1697,2)&amp;Calc!$Q1697&amp;"|"&amp;"1"&amp;RIGHT("00000"&amp;1688,5))</f>
        <v/>
      </c>
      <c r="C1693" t="str">
        <f t="shared" si="130"/>
        <v/>
      </c>
      <c r="D1693" t="str">
        <f t="shared" si="131"/>
        <v/>
      </c>
      <c r="F1693" t="str">
        <f>IF(Sync!$AH1693="","",IF(LEFT(UPPER(TRIM(Sync!$AH1693)),2)="SL",UPPER(TRIM(Sync!$AH1693)),""))</f>
        <v/>
      </c>
      <c r="G1693" t="str">
        <f>IF($F1693="","",IF(Sync!$AE1693="","",IF(ISNUMBER(Sync!$AE1693),IF(AND(Sync!$AE1693&gt;=10000101,Sync!$AE1693&lt;=99991231),INT(Sync!$AE1693/10000),""),IFERROR(VALUE(TRIM(LEFT(Sync!$AE1693,FIND("/",Sync!$AE1693)-1))),""))))</f>
        <v/>
      </c>
      <c r="H1693" t="str">
        <f>IF(OR($F1693="",$G1693=""),"",IF(ISNUMBER(Sync!$AE1693),INT(MOD(Sync!$AE1693,10000)/100),IFERROR(VALUE(TRIM(LEFT(MID(Sync!$AE1693,FIND("/",Sync!$AE1693)+1,20),FIND("/",MID(Sync!$AE1693,FIND("/",Sync!$AE1693)+1,20))-1))),"")))</f>
        <v/>
      </c>
      <c r="I1693" t="str">
        <f>IF(OR($F1693="",$G1693=""),"",IF(ISNUMBER(Sync!$AE1693),MOD(Sync!$AE1693,100),IFERROR(VALUE(TRIM(MID(MID(Sync!$AE1693,FIND("/",Sync!$AE1693)+1,20),FIND("/",MID(Sync!$AE1693,FIND("/",Sync!$AE1693)+1,20))+1,20))),"")))</f>
        <v/>
      </c>
      <c r="J1693" t="str">
        <f t="shared" si="132"/>
        <v/>
      </c>
      <c r="K1693" t="str">
        <f>IF(OR($F1693="",$J1693="",$J1693="نامعتبر"),"",LEFT($J1693,4)&amp;MID($J1693,6,2)&amp;RIGHT($J1693,2)&amp;$N1693&amp;"|"&amp;"2"&amp;RIGHT("00000"&amp;1688,5))</f>
        <v/>
      </c>
      <c r="L1693" t="str">
        <f t="shared" si="133"/>
        <v/>
      </c>
      <c r="M1693" t="str">
        <f t="shared" si="134"/>
        <v/>
      </c>
      <c r="N1693" t="str">
        <f>IF($F1693="","",IF(Sync!$AF1693="","0000",IF(AND(ISNUMBER(Sync!$AF1693),Sync!$AF1693&gt;=0,Sync!$AF1693&lt;1),RIGHT("00"&amp;HOUR(Sync!$AF1693),2)&amp;RIGHT("00"&amp;MINUTE(Sync!$AF1693),2),IFERROR(RIGHT("00"&amp;VALUE(LEFT(Sync!$AF1693,FIND(":",Sync!$AF1693)-1)),2)&amp;RIGHT("00"&amp;VALUE(MID(Sync!$AF1693,FIND(":",Sync!$AF1693)+1,2)),2),"0000"))))</f>
        <v/>
      </c>
    </row>
    <row r="1694" spans="1:14" x14ac:dyDescent="0.2">
      <c r="A1694" t="str">
        <f>IF(OR(Calc!$E1698="",Calc!$E1698="نامعتبر",Calc!$G1698=""),"",Calc!$G1698)</f>
        <v/>
      </c>
      <c r="B1694" t="str">
        <f>IF($A1694="","",LEFT(Calc!$E1698,4)&amp;MID(Calc!$E1698,6,2)&amp;RIGHT(Calc!$E1698,2)&amp;Calc!$Q1698&amp;"|"&amp;"1"&amp;RIGHT("00000"&amp;1689,5))</f>
        <v/>
      </c>
      <c r="C1694" t="str">
        <f t="shared" si="130"/>
        <v/>
      </c>
      <c r="D1694" t="str">
        <f t="shared" si="131"/>
        <v/>
      </c>
      <c r="F1694" t="str">
        <f>IF(Sync!$AH1694="","",IF(LEFT(UPPER(TRIM(Sync!$AH1694)),2)="SL",UPPER(TRIM(Sync!$AH1694)),""))</f>
        <v/>
      </c>
      <c r="G1694" t="str">
        <f>IF($F1694="","",IF(Sync!$AE1694="","",IF(ISNUMBER(Sync!$AE1694),IF(AND(Sync!$AE1694&gt;=10000101,Sync!$AE1694&lt;=99991231),INT(Sync!$AE1694/10000),""),IFERROR(VALUE(TRIM(LEFT(Sync!$AE1694,FIND("/",Sync!$AE1694)-1))),""))))</f>
        <v/>
      </c>
      <c r="H1694" t="str">
        <f>IF(OR($F1694="",$G1694=""),"",IF(ISNUMBER(Sync!$AE1694),INT(MOD(Sync!$AE1694,10000)/100),IFERROR(VALUE(TRIM(LEFT(MID(Sync!$AE1694,FIND("/",Sync!$AE1694)+1,20),FIND("/",MID(Sync!$AE1694,FIND("/",Sync!$AE1694)+1,20))-1))),"")))</f>
        <v/>
      </c>
      <c r="I1694" t="str">
        <f>IF(OR($F1694="",$G1694=""),"",IF(ISNUMBER(Sync!$AE1694),MOD(Sync!$AE1694,100),IFERROR(VALUE(TRIM(MID(MID(Sync!$AE1694,FIND("/",Sync!$AE1694)+1,20),FIND("/",MID(Sync!$AE1694,FIND("/",Sync!$AE1694)+1,20))+1,20))),"")))</f>
        <v/>
      </c>
      <c r="J1694" t="str">
        <f t="shared" si="132"/>
        <v/>
      </c>
      <c r="K1694" t="str">
        <f>IF(OR($F1694="",$J1694="",$J1694="نامعتبر"),"",LEFT($J1694,4)&amp;MID($J1694,6,2)&amp;RIGHT($J1694,2)&amp;$N1694&amp;"|"&amp;"2"&amp;RIGHT("00000"&amp;1689,5))</f>
        <v/>
      </c>
      <c r="L1694" t="str">
        <f t="shared" si="133"/>
        <v/>
      </c>
      <c r="M1694" t="str">
        <f t="shared" si="134"/>
        <v/>
      </c>
      <c r="N1694" t="str">
        <f>IF($F1694="","",IF(Sync!$AF1694="","0000",IF(AND(ISNUMBER(Sync!$AF1694),Sync!$AF1694&gt;=0,Sync!$AF1694&lt;1),RIGHT("00"&amp;HOUR(Sync!$AF1694),2)&amp;RIGHT("00"&amp;MINUTE(Sync!$AF1694),2),IFERROR(RIGHT("00"&amp;VALUE(LEFT(Sync!$AF1694,FIND(":",Sync!$AF1694)-1)),2)&amp;RIGHT("00"&amp;VALUE(MID(Sync!$AF1694,FIND(":",Sync!$AF1694)+1,2)),2),"0000"))))</f>
        <v/>
      </c>
    </row>
    <row r="1695" spans="1:14" x14ac:dyDescent="0.2">
      <c r="A1695" t="str">
        <f>IF(OR(Calc!$E1699="",Calc!$E1699="نامعتبر",Calc!$G1699=""),"",Calc!$G1699)</f>
        <v/>
      </c>
      <c r="B1695" t="str">
        <f>IF($A1695="","",LEFT(Calc!$E1699,4)&amp;MID(Calc!$E1699,6,2)&amp;RIGHT(Calc!$E1699,2)&amp;Calc!$Q1699&amp;"|"&amp;"1"&amp;RIGHT("00000"&amp;1690,5))</f>
        <v/>
      </c>
      <c r="C1695" t="str">
        <f t="shared" si="130"/>
        <v/>
      </c>
      <c r="D1695" t="str">
        <f t="shared" si="131"/>
        <v/>
      </c>
      <c r="F1695" t="str">
        <f>IF(Sync!$AH1695="","",IF(LEFT(UPPER(TRIM(Sync!$AH1695)),2)="SL",UPPER(TRIM(Sync!$AH1695)),""))</f>
        <v/>
      </c>
      <c r="G1695" t="str">
        <f>IF($F1695="","",IF(Sync!$AE1695="","",IF(ISNUMBER(Sync!$AE1695),IF(AND(Sync!$AE1695&gt;=10000101,Sync!$AE1695&lt;=99991231),INT(Sync!$AE1695/10000),""),IFERROR(VALUE(TRIM(LEFT(Sync!$AE1695,FIND("/",Sync!$AE1695)-1))),""))))</f>
        <v/>
      </c>
      <c r="H1695" t="str">
        <f>IF(OR($F1695="",$G1695=""),"",IF(ISNUMBER(Sync!$AE1695),INT(MOD(Sync!$AE1695,10000)/100),IFERROR(VALUE(TRIM(LEFT(MID(Sync!$AE1695,FIND("/",Sync!$AE1695)+1,20),FIND("/",MID(Sync!$AE1695,FIND("/",Sync!$AE1695)+1,20))-1))),"")))</f>
        <v/>
      </c>
      <c r="I1695" t="str">
        <f>IF(OR($F1695="",$G1695=""),"",IF(ISNUMBER(Sync!$AE1695),MOD(Sync!$AE1695,100),IFERROR(VALUE(TRIM(MID(MID(Sync!$AE1695,FIND("/",Sync!$AE1695)+1,20),FIND("/",MID(Sync!$AE1695,FIND("/",Sync!$AE1695)+1,20))+1,20))),"")))</f>
        <v/>
      </c>
      <c r="J1695" t="str">
        <f t="shared" si="132"/>
        <v/>
      </c>
      <c r="K1695" t="str">
        <f>IF(OR($F1695="",$J1695="",$J1695="نامعتبر"),"",LEFT($J1695,4)&amp;MID($J1695,6,2)&amp;RIGHT($J1695,2)&amp;$N1695&amp;"|"&amp;"2"&amp;RIGHT("00000"&amp;1690,5))</f>
        <v/>
      </c>
      <c r="L1695" t="str">
        <f t="shared" si="133"/>
        <v/>
      </c>
      <c r="M1695" t="str">
        <f t="shared" si="134"/>
        <v/>
      </c>
      <c r="N1695" t="str">
        <f>IF($F1695="","",IF(Sync!$AF1695="","0000",IF(AND(ISNUMBER(Sync!$AF1695),Sync!$AF1695&gt;=0,Sync!$AF1695&lt;1),RIGHT("00"&amp;HOUR(Sync!$AF1695),2)&amp;RIGHT("00"&amp;MINUTE(Sync!$AF1695),2),IFERROR(RIGHT("00"&amp;VALUE(LEFT(Sync!$AF1695,FIND(":",Sync!$AF1695)-1)),2)&amp;RIGHT("00"&amp;VALUE(MID(Sync!$AF1695,FIND(":",Sync!$AF1695)+1,2)),2),"0000"))))</f>
        <v/>
      </c>
    </row>
    <row r="1696" spans="1:14" x14ac:dyDescent="0.2">
      <c r="A1696" t="str">
        <f>IF(OR(Calc!$E1700="",Calc!$E1700="نامعتبر",Calc!$G1700=""),"",Calc!$G1700)</f>
        <v/>
      </c>
      <c r="B1696" t="str">
        <f>IF($A1696="","",LEFT(Calc!$E1700,4)&amp;MID(Calc!$E1700,6,2)&amp;RIGHT(Calc!$E1700,2)&amp;Calc!$Q1700&amp;"|"&amp;"1"&amp;RIGHT("00000"&amp;1691,5))</f>
        <v/>
      </c>
      <c r="C1696" t="str">
        <f t="shared" si="130"/>
        <v/>
      </c>
      <c r="D1696" t="str">
        <f t="shared" si="131"/>
        <v/>
      </c>
      <c r="F1696" t="str">
        <f>IF(Sync!$AH1696="","",IF(LEFT(UPPER(TRIM(Sync!$AH1696)),2)="SL",UPPER(TRIM(Sync!$AH1696)),""))</f>
        <v/>
      </c>
      <c r="G1696" t="str">
        <f>IF($F1696="","",IF(Sync!$AE1696="","",IF(ISNUMBER(Sync!$AE1696),IF(AND(Sync!$AE1696&gt;=10000101,Sync!$AE1696&lt;=99991231),INT(Sync!$AE1696/10000),""),IFERROR(VALUE(TRIM(LEFT(Sync!$AE1696,FIND("/",Sync!$AE1696)-1))),""))))</f>
        <v/>
      </c>
      <c r="H1696" t="str">
        <f>IF(OR($F1696="",$G1696=""),"",IF(ISNUMBER(Sync!$AE1696),INT(MOD(Sync!$AE1696,10000)/100),IFERROR(VALUE(TRIM(LEFT(MID(Sync!$AE1696,FIND("/",Sync!$AE1696)+1,20),FIND("/",MID(Sync!$AE1696,FIND("/",Sync!$AE1696)+1,20))-1))),"")))</f>
        <v/>
      </c>
      <c r="I1696" t="str">
        <f>IF(OR($F1696="",$G1696=""),"",IF(ISNUMBER(Sync!$AE1696),MOD(Sync!$AE1696,100),IFERROR(VALUE(TRIM(MID(MID(Sync!$AE1696,FIND("/",Sync!$AE1696)+1,20),FIND("/",MID(Sync!$AE1696,FIND("/",Sync!$AE1696)+1,20))+1,20))),"")))</f>
        <v/>
      </c>
      <c r="J1696" t="str">
        <f t="shared" si="132"/>
        <v/>
      </c>
      <c r="K1696" t="str">
        <f>IF(OR($F1696="",$J1696="",$J1696="نامعتبر"),"",LEFT($J1696,4)&amp;MID($J1696,6,2)&amp;RIGHT($J1696,2)&amp;$N1696&amp;"|"&amp;"2"&amp;RIGHT("00000"&amp;1691,5))</f>
        <v/>
      </c>
      <c r="L1696" t="str">
        <f t="shared" si="133"/>
        <v/>
      </c>
      <c r="M1696" t="str">
        <f t="shared" si="134"/>
        <v/>
      </c>
      <c r="N1696" t="str">
        <f>IF($F1696="","",IF(Sync!$AF1696="","0000",IF(AND(ISNUMBER(Sync!$AF1696),Sync!$AF1696&gt;=0,Sync!$AF1696&lt;1),RIGHT("00"&amp;HOUR(Sync!$AF1696),2)&amp;RIGHT("00"&amp;MINUTE(Sync!$AF1696),2),IFERROR(RIGHT("00"&amp;VALUE(LEFT(Sync!$AF1696,FIND(":",Sync!$AF1696)-1)),2)&amp;RIGHT("00"&amp;VALUE(MID(Sync!$AF1696,FIND(":",Sync!$AF1696)+1,2)),2),"0000"))))</f>
        <v/>
      </c>
    </row>
    <row r="1697" spans="1:14" x14ac:dyDescent="0.2">
      <c r="A1697" t="str">
        <f>IF(OR(Calc!$E1701="",Calc!$E1701="نامعتبر",Calc!$G1701=""),"",Calc!$G1701)</f>
        <v/>
      </c>
      <c r="B1697" t="str">
        <f>IF($A1697="","",LEFT(Calc!$E1701,4)&amp;MID(Calc!$E1701,6,2)&amp;RIGHT(Calc!$E1701,2)&amp;Calc!$Q1701&amp;"|"&amp;"1"&amp;RIGHT("00000"&amp;1692,5))</f>
        <v/>
      </c>
      <c r="C1697" t="str">
        <f t="shared" si="130"/>
        <v/>
      </c>
      <c r="D1697" t="str">
        <f t="shared" si="131"/>
        <v/>
      </c>
      <c r="F1697" t="str">
        <f>IF(Sync!$AH1697="","",IF(LEFT(UPPER(TRIM(Sync!$AH1697)),2)="SL",UPPER(TRIM(Sync!$AH1697)),""))</f>
        <v/>
      </c>
      <c r="G1697" t="str">
        <f>IF($F1697="","",IF(Sync!$AE1697="","",IF(ISNUMBER(Sync!$AE1697),IF(AND(Sync!$AE1697&gt;=10000101,Sync!$AE1697&lt;=99991231),INT(Sync!$AE1697/10000),""),IFERROR(VALUE(TRIM(LEFT(Sync!$AE1697,FIND("/",Sync!$AE1697)-1))),""))))</f>
        <v/>
      </c>
      <c r="H1697" t="str">
        <f>IF(OR($F1697="",$G1697=""),"",IF(ISNUMBER(Sync!$AE1697),INT(MOD(Sync!$AE1697,10000)/100),IFERROR(VALUE(TRIM(LEFT(MID(Sync!$AE1697,FIND("/",Sync!$AE1697)+1,20),FIND("/",MID(Sync!$AE1697,FIND("/",Sync!$AE1697)+1,20))-1))),"")))</f>
        <v/>
      </c>
      <c r="I1697" t="str">
        <f>IF(OR($F1697="",$G1697=""),"",IF(ISNUMBER(Sync!$AE1697),MOD(Sync!$AE1697,100),IFERROR(VALUE(TRIM(MID(MID(Sync!$AE1697,FIND("/",Sync!$AE1697)+1,20),FIND("/",MID(Sync!$AE1697,FIND("/",Sync!$AE1697)+1,20))+1,20))),"")))</f>
        <v/>
      </c>
      <c r="J1697" t="str">
        <f t="shared" si="132"/>
        <v/>
      </c>
      <c r="K1697" t="str">
        <f>IF(OR($F1697="",$J1697="",$J1697="نامعتبر"),"",LEFT($J1697,4)&amp;MID($J1697,6,2)&amp;RIGHT($J1697,2)&amp;$N1697&amp;"|"&amp;"2"&amp;RIGHT("00000"&amp;1692,5))</f>
        <v/>
      </c>
      <c r="L1697" t="str">
        <f t="shared" si="133"/>
        <v/>
      </c>
      <c r="M1697" t="str">
        <f t="shared" si="134"/>
        <v/>
      </c>
      <c r="N1697" t="str">
        <f>IF($F1697="","",IF(Sync!$AF1697="","0000",IF(AND(ISNUMBER(Sync!$AF1697),Sync!$AF1697&gt;=0,Sync!$AF1697&lt;1),RIGHT("00"&amp;HOUR(Sync!$AF1697),2)&amp;RIGHT("00"&amp;MINUTE(Sync!$AF1697),2),IFERROR(RIGHT("00"&amp;VALUE(LEFT(Sync!$AF1697,FIND(":",Sync!$AF1697)-1)),2)&amp;RIGHT("00"&amp;VALUE(MID(Sync!$AF1697,FIND(":",Sync!$AF1697)+1,2)),2),"0000"))))</f>
        <v/>
      </c>
    </row>
    <row r="1698" spans="1:14" x14ac:dyDescent="0.2">
      <c r="A1698" t="str">
        <f>IF(OR(Calc!$E1702="",Calc!$E1702="نامعتبر",Calc!$G1702=""),"",Calc!$G1702)</f>
        <v/>
      </c>
      <c r="B1698" t="str">
        <f>IF($A1698="","",LEFT(Calc!$E1702,4)&amp;MID(Calc!$E1702,6,2)&amp;RIGHT(Calc!$E1702,2)&amp;Calc!$Q1702&amp;"|"&amp;"1"&amp;RIGHT("00000"&amp;1693,5))</f>
        <v/>
      </c>
      <c r="C1698" t="str">
        <f t="shared" si="130"/>
        <v/>
      </c>
      <c r="D1698" t="str">
        <f t="shared" si="131"/>
        <v/>
      </c>
      <c r="F1698" t="str">
        <f>IF(Sync!$AH1698="","",IF(LEFT(UPPER(TRIM(Sync!$AH1698)),2)="SL",UPPER(TRIM(Sync!$AH1698)),""))</f>
        <v/>
      </c>
      <c r="G1698" t="str">
        <f>IF($F1698="","",IF(Sync!$AE1698="","",IF(ISNUMBER(Sync!$AE1698),IF(AND(Sync!$AE1698&gt;=10000101,Sync!$AE1698&lt;=99991231),INT(Sync!$AE1698/10000),""),IFERROR(VALUE(TRIM(LEFT(Sync!$AE1698,FIND("/",Sync!$AE1698)-1))),""))))</f>
        <v/>
      </c>
      <c r="H1698" t="str">
        <f>IF(OR($F1698="",$G1698=""),"",IF(ISNUMBER(Sync!$AE1698),INT(MOD(Sync!$AE1698,10000)/100),IFERROR(VALUE(TRIM(LEFT(MID(Sync!$AE1698,FIND("/",Sync!$AE1698)+1,20),FIND("/",MID(Sync!$AE1698,FIND("/",Sync!$AE1698)+1,20))-1))),"")))</f>
        <v/>
      </c>
      <c r="I1698" t="str">
        <f>IF(OR($F1698="",$G1698=""),"",IF(ISNUMBER(Sync!$AE1698),MOD(Sync!$AE1698,100),IFERROR(VALUE(TRIM(MID(MID(Sync!$AE1698,FIND("/",Sync!$AE1698)+1,20),FIND("/",MID(Sync!$AE1698,FIND("/",Sync!$AE1698)+1,20))+1,20))),"")))</f>
        <v/>
      </c>
      <c r="J1698" t="str">
        <f t="shared" si="132"/>
        <v/>
      </c>
      <c r="K1698" t="str">
        <f>IF(OR($F1698="",$J1698="",$J1698="نامعتبر"),"",LEFT($J1698,4)&amp;MID($J1698,6,2)&amp;RIGHT($J1698,2)&amp;$N1698&amp;"|"&amp;"2"&amp;RIGHT("00000"&amp;1693,5))</f>
        <v/>
      </c>
      <c r="L1698" t="str">
        <f t="shared" si="133"/>
        <v/>
      </c>
      <c r="M1698" t="str">
        <f t="shared" si="134"/>
        <v/>
      </c>
      <c r="N1698" t="str">
        <f>IF($F1698="","",IF(Sync!$AF1698="","0000",IF(AND(ISNUMBER(Sync!$AF1698),Sync!$AF1698&gt;=0,Sync!$AF1698&lt;1),RIGHT("00"&amp;HOUR(Sync!$AF1698),2)&amp;RIGHT("00"&amp;MINUTE(Sync!$AF1698),2),IFERROR(RIGHT("00"&amp;VALUE(LEFT(Sync!$AF1698,FIND(":",Sync!$AF1698)-1)),2)&amp;RIGHT("00"&amp;VALUE(MID(Sync!$AF1698,FIND(":",Sync!$AF1698)+1,2)),2),"0000"))))</f>
        <v/>
      </c>
    </row>
    <row r="1699" spans="1:14" x14ac:dyDescent="0.2">
      <c r="A1699" t="str">
        <f>IF(OR(Calc!$E1703="",Calc!$E1703="نامعتبر",Calc!$G1703=""),"",Calc!$G1703)</f>
        <v/>
      </c>
      <c r="B1699" t="str">
        <f>IF($A1699="","",LEFT(Calc!$E1703,4)&amp;MID(Calc!$E1703,6,2)&amp;RIGHT(Calc!$E1703,2)&amp;Calc!$Q1703&amp;"|"&amp;"1"&amp;RIGHT("00000"&amp;1694,5))</f>
        <v/>
      </c>
      <c r="C1699" t="str">
        <f t="shared" si="130"/>
        <v/>
      </c>
      <c r="D1699" t="str">
        <f t="shared" si="131"/>
        <v/>
      </c>
      <c r="F1699" t="str">
        <f>IF(Sync!$AH1699="","",IF(LEFT(UPPER(TRIM(Sync!$AH1699)),2)="SL",UPPER(TRIM(Sync!$AH1699)),""))</f>
        <v/>
      </c>
      <c r="G1699" t="str">
        <f>IF($F1699="","",IF(Sync!$AE1699="","",IF(ISNUMBER(Sync!$AE1699),IF(AND(Sync!$AE1699&gt;=10000101,Sync!$AE1699&lt;=99991231),INT(Sync!$AE1699/10000),""),IFERROR(VALUE(TRIM(LEFT(Sync!$AE1699,FIND("/",Sync!$AE1699)-1))),""))))</f>
        <v/>
      </c>
      <c r="H1699" t="str">
        <f>IF(OR($F1699="",$G1699=""),"",IF(ISNUMBER(Sync!$AE1699),INT(MOD(Sync!$AE1699,10000)/100),IFERROR(VALUE(TRIM(LEFT(MID(Sync!$AE1699,FIND("/",Sync!$AE1699)+1,20),FIND("/",MID(Sync!$AE1699,FIND("/",Sync!$AE1699)+1,20))-1))),"")))</f>
        <v/>
      </c>
      <c r="I1699" t="str">
        <f>IF(OR($F1699="",$G1699=""),"",IF(ISNUMBER(Sync!$AE1699),MOD(Sync!$AE1699,100),IFERROR(VALUE(TRIM(MID(MID(Sync!$AE1699,FIND("/",Sync!$AE1699)+1,20),FIND("/",MID(Sync!$AE1699,FIND("/",Sync!$AE1699)+1,20))+1,20))),"")))</f>
        <v/>
      </c>
      <c r="J1699" t="str">
        <f t="shared" si="132"/>
        <v/>
      </c>
      <c r="K1699" t="str">
        <f>IF(OR($F1699="",$J1699="",$J1699="نامعتبر"),"",LEFT($J1699,4)&amp;MID($J1699,6,2)&amp;RIGHT($J1699,2)&amp;$N1699&amp;"|"&amp;"2"&amp;RIGHT("00000"&amp;1694,5))</f>
        <v/>
      </c>
      <c r="L1699" t="str">
        <f t="shared" si="133"/>
        <v/>
      </c>
      <c r="M1699" t="str">
        <f t="shared" si="134"/>
        <v/>
      </c>
      <c r="N1699" t="str">
        <f>IF($F1699="","",IF(Sync!$AF1699="","0000",IF(AND(ISNUMBER(Sync!$AF1699),Sync!$AF1699&gt;=0,Sync!$AF1699&lt;1),RIGHT("00"&amp;HOUR(Sync!$AF1699),2)&amp;RIGHT("00"&amp;MINUTE(Sync!$AF1699),2),IFERROR(RIGHT("00"&amp;VALUE(LEFT(Sync!$AF1699,FIND(":",Sync!$AF1699)-1)),2)&amp;RIGHT("00"&amp;VALUE(MID(Sync!$AF1699,FIND(":",Sync!$AF1699)+1,2)),2),"0000"))))</f>
        <v/>
      </c>
    </row>
    <row r="1700" spans="1:14" x14ac:dyDescent="0.2">
      <c r="A1700" t="str">
        <f>IF(OR(Calc!$E1704="",Calc!$E1704="نامعتبر",Calc!$G1704=""),"",Calc!$G1704)</f>
        <v/>
      </c>
      <c r="B1700" t="str">
        <f>IF($A1700="","",LEFT(Calc!$E1704,4)&amp;MID(Calc!$E1704,6,2)&amp;RIGHT(Calc!$E1704,2)&amp;Calc!$Q1704&amp;"|"&amp;"1"&amp;RIGHT("00000"&amp;1695,5))</f>
        <v/>
      </c>
      <c r="C1700" t="str">
        <f t="shared" si="130"/>
        <v/>
      </c>
      <c r="D1700" t="str">
        <f t="shared" si="131"/>
        <v/>
      </c>
      <c r="F1700" t="str">
        <f>IF(Sync!$AH1700="","",IF(LEFT(UPPER(TRIM(Sync!$AH1700)),2)="SL",UPPER(TRIM(Sync!$AH1700)),""))</f>
        <v/>
      </c>
      <c r="G1700" t="str">
        <f>IF($F1700="","",IF(Sync!$AE1700="","",IF(ISNUMBER(Sync!$AE1700),IF(AND(Sync!$AE1700&gt;=10000101,Sync!$AE1700&lt;=99991231),INT(Sync!$AE1700/10000),""),IFERROR(VALUE(TRIM(LEFT(Sync!$AE1700,FIND("/",Sync!$AE1700)-1))),""))))</f>
        <v/>
      </c>
      <c r="H1700" t="str">
        <f>IF(OR($F1700="",$G1700=""),"",IF(ISNUMBER(Sync!$AE1700),INT(MOD(Sync!$AE1700,10000)/100),IFERROR(VALUE(TRIM(LEFT(MID(Sync!$AE1700,FIND("/",Sync!$AE1700)+1,20),FIND("/",MID(Sync!$AE1700,FIND("/",Sync!$AE1700)+1,20))-1))),"")))</f>
        <v/>
      </c>
      <c r="I1700" t="str">
        <f>IF(OR($F1700="",$G1700=""),"",IF(ISNUMBER(Sync!$AE1700),MOD(Sync!$AE1700,100),IFERROR(VALUE(TRIM(MID(MID(Sync!$AE1700,FIND("/",Sync!$AE1700)+1,20),FIND("/",MID(Sync!$AE1700,FIND("/",Sync!$AE1700)+1,20))+1,20))),"")))</f>
        <v/>
      </c>
      <c r="J1700" t="str">
        <f t="shared" si="132"/>
        <v/>
      </c>
      <c r="K1700" t="str">
        <f>IF(OR($F1700="",$J1700="",$J1700="نامعتبر"),"",LEFT($J1700,4)&amp;MID($J1700,6,2)&amp;RIGHT($J1700,2)&amp;$N1700&amp;"|"&amp;"2"&amp;RIGHT("00000"&amp;1695,5))</f>
        <v/>
      </c>
      <c r="L1700" t="str">
        <f t="shared" si="133"/>
        <v/>
      </c>
      <c r="M1700" t="str">
        <f t="shared" si="134"/>
        <v/>
      </c>
      <c r="N1700" t="str">
        <f>IF($F1700="","",IF(Sync!$AF1700="","0000",IF(AND(ISNUMBER(Sync!$AF1700),Sync!$AF1700&gt;=0,Sync!$AF1700&lt;1),RIGHT("00"&amp;HOUR(Sync!$AF1700),2)&amp;RIGHT("00"&amp;MINUTE(Sync!$AF1700),2),IFERROR(RIGHT("00"&amp;VALUE(LEFT(Sync!$AF1700,FIND(":",Sync!$AF1700)-1)),2)&amp;RIGHT("00"&amp;VALUE(MID(Sync!$AF1700,FIND(":",Sync!$AF1700)+1,2)),2),"0000"))))</f>
        <v/>
      </c>
    </row>
    <row r="1701" spans="1:14" x14ac:dyDescent="0.2">
      <c r="A1701" t="str">
        <f>IF(OR(Calc!$E1705="",Calc!$E1705="نامعتبر",Calc!$G1705=""),"",Calc!$G1705)</f>
        <v/>
      </c>
      <c r="B1701" t="str">
        <f>IF($A1701="","",LEFT(Calc!$E1705,4)&amp;MID(Calc!$E1705,6,2)&amp;RIGHT(Calc!$E1705,2)&amp;Calc!$Q1705&amp;"|"&amp;"1"&amp;RIGHT("00000"&amp;1696,5))</f>
        <v/>
      </c>
      <c r="C1701" t="str">
        <f t="shared" si="130"/>
        <v/>
      </c>
      <c r="D1701" t="str">
        <f t="shared" si="131"/>
        <v/>
      </c>
      <c r="F1701" t="str">
        <f>IF(Sync!$AH1701="","",IF(LEFT(UPPER(TRIM(Sync!$AH1701)),2)="SL",UPPER(TRIM(Sync!$AH1701)),""))</f>
        <v/>
      </c>
      <c r="G1701" t="str">
        <f>IF($F1701="","",IF(Sync!$AE1701="","",IF(ISNUMBER(Sync!$AE1701),IF(AND(Sync!$AE1701&gt;=10000101,Sync!$AE1701&lt;=99991231),INT(Sync!$AE1701/10000),""),IFERROR(VALUE(TRIM(LEFT(Sync!$AE1701,FIND("/",Sync!$AE1701)-1))),""))))</f>
        <v/>
      </c>
      <c r="H1701" t="str">
        <f>IF(OR($F1701="",$G1701=""),"",IF(ISNUMBER(Sync!$AE1701),INT(MOD(Sync!$AE1701,10000)/100),IFERROR(VALUE(TRIM(LEFT(MID(Sync!$AE1701,FIND("/",Sync!$AE1701)+1,20),FIND("/",MID(Sync!$AE1701,FIND("/",Sync!$AE1701)+1,20))-1))),"")))</f>
        <v/>
      </c>
      <c r="I1701" t="str">
        <f>IF(OR($F1701="",$G1701=""),"",IF(ISNUMBER(Sync!$AE1701),MOD(Sync!$AE1701,100),IFERROR(VALUE(TRIM(MID(MID(Sync!$AE1701,FIND("/",Sync!$AE1701)+1,20),FIND("/",MID(Sync!$AE1701,FIND("/",Sync!$AE1701)+1,20))+1,20))),"")))</f>
        <v/>
      </c>
      <c r="J1701" t="str">
        <f t="shared" si="132"/>
        <v/>
      </c>
      <c r="K1701" t="str">
        <f>IF(OR($F1701="",$J1701="",$J1701="نامعتبر"),"",LEFT($J1701,4)&amp;MID($J1701,6,2)&amp;RIGHT($J1701,2)&amp;$N1701&amp;"|"&amp;"2"&amp;RIGHT("00000"&amp;1696,5))</f>
        <v/>
      </c>
      <c r="L1701" t="str">
        <f t="shared" si="133"/>
        <v/>
      </c>
      <c r="M1701" t="str">
        <f t="shared" si="134"/>
        <v/>
      </c>
      <c r="N1701" t="str">
        <f>IF($F1701="","",IF(Sync!$AF1701="","0000",IF(AND(ISNUMBER(Sync!$AF1701),Sync!$AF1701&gt;=0,Sync!$AF1701&lt;1),RIGHT("00"&amp;HOUR(Sync!$AF1701),2)&amp;RIGHT("00"&amp;MINUTE(Sync!$AF1701),2),IFERROR(RIGHT("00"&amp;VALUE(LEFT(Sync!$AF1701,FIND(":",Sync!$AF1701)-1)),2)&amp;RIGHT("00"&amp;VALUE(MID(Sync!$AF1701,FIND(":",Sync!$AF1701)+1,2)),2),"0000"))))</f>
        <v/>
      </c>
    </row>
    <row r="1702" spans="1:14" x14ac:dyDescent="0.2">
      <c r="A1702" t="str">
        <f>IF(OR(Calc!$E1706="",Calc!$E1706="نامعتبر",Calc!$G1706=""),"",Calc!$G1706)</f>
        <v/>
      </c>
      <c r="B1702" t="str">
        <f>IF($A1702="","",LEFT(Calc!$E1706,4)&amp;MID(Calc!$E1706,6,2)&amp;RIGHT(Calc!$E1706,2)&amp;Calc!$Q1706&amp;"|"&amp;"1"&amp;RIGHT("00000"&amp;1697,5))</f>
        <v/>
      </c>
      <c r="C1702" t="str">
        <f t="shared" si="130"/>
        <v/>
      </c>
      <c r="D1702" t="str">
        <f t="shared" si="131"/>
        <v/>
      </c>
      <c r="F1702" t="str">
        <f>IF(Sync!$AH1702="","",IF(LEFT(UPPER(TRIM(Sync!$AH1702)),2)="SL",UPPER(TRIM(Sync!$AH1702)),""))</f>
        <v/>
      </c>
      <c r="G1702" t="str">
        <f>IF($F1702="","",IF(Sync!$AE1702="","",IF(ISNUMBER(Sync!$AE1702),IF(AND(Sync!$AE1702&gt;=10000101,Sync!$AE1702&lt;=99991231),INT(Sync!$AE1702/10000),""),IFERROR(VALUE(TRIM(LEFT(Sync!$AE1702,FIND("/",Sync!$AE1702)-1))),""))))</f>
        <v/>
      </c>
      <c r="H1702" t="str">
        <f>IF(OR($F1702="",$G1702=""),"",IF(ISNUMBER(Sync!$AE1702),INT(MOD(Sync!$AE1702,10000)/100),IFERROR(VALUE(TRIM(LEFT(MID(Sync!$AE1702,FIND("/",Sync!$AE1702)+1,20),FIND("/",MID(Sync!$AE1702,FIND("/",Sync!$AE1702)+1,20))-1))),"")))</f>
        <v/>
      </c>
      <c r="I1702" t="str">
        <f>IF(OR($F1702="",$G1702=""),"",IF(ISNUMBER(Sync!$AE1702),MOD(Sync!$AE1702,100),IFERROR(VALUE(TRIM(MID(MID(Sync!$AE1702,FIND("/",Sync!$AE1702)+1,20),FIND("/",MID(Sync!$AE1702,FIND("/",Sync!$AE1702)+1,20))+1,20))),"")))</f>
        <v/>
      </c>
      <c r="J1702" t="str">
        <f t="shared" si="132"/>
        <v/>
      </c>
      <c r="K1702" t="str">
        <f>IF(OR($F1702="",$J1702="",$J1702="نامعتبر"),"",LEFT($J1702,4)&amp;MID($J1702,6,2)&amp;RIGHT($J1702,2)&amp;$N1702&amp;"|"&amp;"2"&amp;RIGHT("00000"&amp;1697,5))</f>
        <v/>
      </c>
      <c r="L1702" t="str">
        <f t="shared" si="133"/>
        <v/>
      </c>
      <c r="M1702" t="str">
        <f t="shared" si="134"/>
        <v/>
      </c>
      <c r="N1702" t="str">
        <f>IF($F1702="","",IF(Sync!$AF1702="","0000",IF(AND(ISNUMBER(Sync!$AF1702),Sync!$AF1702&gt;=0,Sync!$AF1702&lt;1),RIGHT("00"&amp;HOUR(Sync!$AF1702),2)&amp;RIGHT("00"&amp;MINUTE(Sync!$AF1702),2),IFERROR(RIGHT("00"&amp;VALUE(LEFT(Sync!$AF1702,FIND(":",Sync!$AF1702)-1)),2)&amp;RIGHT("00"&amp;VALUE(MID(Sync!$AF1702,FIND(":",Sync!$AF1702)+1,2)),2),"0000"))))</f>
        <v/>
      </c>
    </row>
    <row r="1703" spans="1:14" x14ac:dyDescent="0.2">
      <c r="A1703" t="str">
        <f>IF(OR(Calc!$E1707="",Calc!$E1707="نامعتبر",Calc!$G1707=""),"",Calc!$G1707)</f>
        <v/>
      </c>
      <c r="B1703" t="str">
        <f>IF($A1703="","",LEFT(Calc!$E1707,4)&amp;MID(Calc!$E1707,6,2)&amp;RIGHT(Calc!$E1707,2)&amp;Calc!$Q1707&amp;"|"&amp;"1"&amp;RIGHT("00000"&amp;1698,5))</f>
        <v/>
      </c>
      <c r="C1703" t="str">
        <f t="shared" si="130"/>
        <v/>
      </c>
      <c r="D1703" t="str">
        <f t="shared" si="131"/>
        <v/>
      </c>
      <c r="F1703" t="str">
        <f>IF(Sync!$AH1703="","",IF(LEFT(UPPER(TRIM(Sync!$AH1703)),2)="SL",UPPER(TRIM(Sync!$AH1703)),""))</f>
        <v/>
      </c>
      <c r="G1703" t="str">
        <f>IF($F1703="","",IF(Sync!$AE1703="","",IF(ISNUMBER(Sync!$AE1703),IF(AND(Sync!$AE1703&gt;=10000101,Sync!$AE1703&lt;=99991231),INT(Sync!$AE1703/10000),""),IFERROR(VALUE(TRIM(LEFT(Sync!$AE1703,FIND("/",Sync!$AE1703)-1))),""))))</f>
        <v/>
      </c>
      <c r="H1703" t="str">
        <f>IF(OR($F1703="",$G1703=""),"",IF(ISNUMBER(Sync!$AE1703),INT(MOD(Sync!$AE1703,10000)/100),IFERROR(VALUE(TRIM(LEFT(MID(Sync!$AE1703,FIND("/",Sync!$AE1703)+1,20),FIND("/",MID(Sync!$AE1703,FIND("/",Sync!$AE1703)+1,20))-1))),"")))</f>
        <v/>
      </c>
      <c r="I1703" t="str">
        <f>IF(OR($F1703="",$G1703=""),"",IF(ISNUMBER(Sync!$AE1703),MOD(Sync!$AE1703,100),IFERROR(VALUE(TRIM(MID(MID(Sync!$AE1703,FIND("/",Sync!$AE1703)+1,20),FIND("/",MID(Sync!$AE1703,FIND("/",Sync!$AE1703)+1,20))+1,20))),"")))</f>
        <v/>
      </c>
      <c r="J1703" t="str">
        <f t="shared" si="132"/>
        <v/>
      </c>
      <c r="K1703" t="str">
        <f>IF(OR($F1703="",$J1703="",$J1703="نامعتبر"),"",LEFT($J1703,4)&amp;MID($J1703,6,2)&amp;RIGHT($J1703,2)&amp;$N1703&amp;"|"&amp;"2"&amp;RIGHT("00000"&amp;1698,5))</f>
        <v/>
      </c>
      <c r="L1703" t="str">
        <f t="shared" si="133"/>
        <v/>
      </c>
      <c r="M1703" t="str">
        <f t="shared" si="134"/>
        <v/>
      </c>
      <c r="N1703" t="str">
        <f>IF($F1703="","",IF(Sync!$AF1703="","0000",IF(AND(ISNUMBER(Sync!$AF1703),Sync!$AF1703&gt;=0,Sync!$AF1703&lt;1),RIGHT("00"&amp;HOUR(Sync!$AF1703),2)&amp;RIGHT("00"&amp;MINUTE(Sync!$AF1703),2),IFERROR(RIGHT("00"&amp;VALUE(LEFT(Sync!$AF1703,FIND(":",Sync!$AF1703)-1)),2)&amp;RIGHT("00"&amp;VALUE(MID(Sync!$AF1703,FIND(":",Sync!$AF1703)+1,2)),2),"0000"))))</f>
        <v/>
      </c>
    </row>
    <row r="1704" spans="1:14" x14ac:dyDescent="0.2">
      <c r="A1704" t="str">
        <f>IF(OR(Calc!$E1708="",Calc!$E1708="نامعتبر",Calc!$G1708=""),"",Calc!$G1708)</f>
        <v/>
      </c>
      <c r="B1704" t="str">
        <f>IF($A1704="","",LEFT(Calc!$E1708,4)&amp;MID(Calc!$E1708,6,2)&amp;RIGHT(Calc!$E1708,2)&amp;Calc!$Q1708&amp;"|"&amp;"1"&amp;RIGHT("00000"&amp;1699,5))</f>
        <v/>
      </c>
      <c r="C1704" t="str">
        <f t="shared" si="130"/>
        <v/>
      </c>
      <c r="D1704" t="str">
        <f t="shared" si="131"/>
        <v/>
      </c>
      <c r="F1704" t="str">
        <f>IF(Sync!$AH1704="","",IF(LEFT(UPPER(TRIM(Sync!$AH1704)),2)="SL",UPPER(TRIM(Sync!$AH1704)),""))</f>
        <v/>
      </c>
      <c r="G1704" t="str">
        <f>IF($F1704="","",IF(Sync!$AE1704="","",IF(ISNUMBER(Sync!$AE1704),IF(AND(Sync!$AE1704&gt;=10000101,Sync!$AE1704&lt;=99991231),INT(Sync!$AE1704/10000),""),IFERROR(VALUE(TRIM(LEFT(Sync!$AE1704,FIND("/",Sync!$AE1704)-1))),""))))</f>
        <v/>
      </c>
      <c r="H1704" t="str">
        <f>IF(OR($F1704="",$G1704=""),"",IF(ISNUMBER(Sync!$AE1704),INT(MOD(Sync!$AE1704,10000)/100),IFERROR(VALUE(TRIM(LEFT(MID(Sync!$AE1704,FIND("/",Sync!$AE1704)+1,20),FIND("/",MID(Sync!$AE1704,FIND("/",Sync!$AE1704)+1,20))-1))),"")))</f>
        <v/>
      </c>
      <c r="I1704" t="str">
        <f>IF(OR($F1704="",$G1704=""),"",IF(ISNUMBER(Sync!$AE1704),MOD(Sync!$AE1704,100),IFERROR(VALUE(TRIM(MID(MID(Sync!$AE1704,FIND("/",Sync!$AE1704)+1,20),FIND("/",MID(Sync!$AE1704,FIND("/",Sync!$AE1704)+1,20))+1,20))),"")))</f>
        <v/>
      </c>
      <c r="J1704" t="str">
        <f t="shared" si="132"/>
        <v/>
      </c>
      <c r="K1704" t="str">
        <f>IF(OR($F1704="",$J1704="",$J1704="نامعتبر"),"",LEFT($J1704,4)&amp;MID($J1704,6,2)&amp;RIGHT($J1704,2)&amp;$N1704&amp;"|"&amp;"2"&amp;RIGHT("00000"&amp;1699,5))</f>
        <v/>
      </c>
      <c r="L1704" t="str">
        <f t="shared" si="133"/>
        <v/>
      </c>
      <c r="M1704" t="str">
        <f t="shared" si="134"/>
        <v/>
      </c>
      <c r="N1704" t="str">
        <f>IF($F1704="","",IF(Sync!$AF1704="","0000",IF(AND(ISNUMBER(Sync!$AF1704),Sync!$AF1704&gt;=0,Sync!$AF1704&lt;1),RIGHT("00"&amp;HOUR(Sync!$AF1704),2)&amp;RIGHT("00"&amp;MINUTE(Sync!$AF1704),2),IFERROR(RIGHT("00"&amp;VALUE(LEFT(Sync!$AF1704,FIND(":",Sync!$AF1704)-1)),2)&amp;RIGHT("00"&amp;VALUE(MID(Sync!$AF1704,FIND(":",Sync!$AF1704)+1,2)),2),"0000"))))</f>
        <v/>
      </c>
    </row>
    <row r="1705" spans="1:14" x14ac:dyDescent="0.2">
      <c r="A1705" t="str">
        <f>IF(OR(Calc!$E1709="",Calc!$E1709="نامعتبر",Calc!$G1709=""),"",Calc!$G1709)</f>
        <v/>
      </c>
      <c r="B1705" t="str">
        <f>IF($A1705="","",LEFT(Calc!$E1709,4)&amp;MID(Calc!$E1709,6,2)&amp;RIGHT(Calc!$E1709,2)&amp;Calc!$Q1709&amp;"|"&amp;"1"&amp;RIGHT("00000"&amp;1700,5))</f>
        <v/>
      </c>
      <c r="C1705" t="str">
        <f t="shared" si="130"/>
        <v/>
      </c>
      <c r="D1705" t="str">
        <f t="shared" si="131"/>
        <v/>
      </c>
      <c r="F1705" t="str">
        <f>IF(Sync!$AH1705="","",IF(LEFT(UPPER(TRIM(Sync!$AH1705)),2)="SL",UPPER(TRIM(Sync!$AH1705)),""))</f>
        <v/>
      </c>
      <c r="G1705" t="str">
        <f>IF($F1705="","",IF(Sync!$AE1705="","",IF(ISNUMBER(Sync!$AE1705),IF(AND(Sync!$AE1705&gt;=10000101,Sync!$AE1705&lt;=99991231),INT(Sync!$AE1705/10000),""),IFERROR(VALUE(TRIM(LEFT(Sync!$AE1705,FIND("/",Sync!$AE1705)-1))),""))))</f>
        <v/>
      </c>
      <c r="H1705" t="str">
        <f>IF(OR($F1705="",$G1705=""),"",IF(ISNUMBER(Sync!$AE1705),INT(MOD(Sync!$AE1705,10000)/100),IFERROR(VALUE(TRIM(LEFT(MID(Sync!$AE1705,FIND("/",Sync!$AE1705)+1,20),FIND("/",MID(Sync!$AE1705,FIND("/",Sync!$AE1705)+1,20))-1))),"")))</f>
        <v/>
      </c>
      <c r="I1705" t="str">
        <f>IF(OR($F1705="",$G1705=""),"",IF(ISNUMBER(Sync!$AE1705),MOD(Sync!$AE1705,100),IFERROR(VALUE(TRIM(MID(MID(Sync!$AE1705,FIND("/",Sync!$AE1705)+1,20),FIND("/",MID(Sync!$AE1705,FIND("/",Sync!$AE1705)+1,20))+1,20))),"")))</f>
        <v/>
      </c>
      <c r="J1705" t="str">
        <f t="shared" si="132"/>
        <v/>
      </c>
      <c r="K1705" t="str">
        <f>IF(OR($F1705="",$J1705="",$J1705="نامعتبر"),"",LEFT($J1705,4)&amp;MID($J1705,6,2)&amp;RIGHT($J1705,2)&amp;$N1705&amp;"|"&amp;"2"&amp;RIGHT("00000"&amp;1700,5))</f>
        <v/>
      </c>
      <c r="L1705" t="str">
        <f t="shared" si="133"/>
        <v/>
      </c>
      <c r="M1705" t="str">
        <f t="shared" si="134"/>
        <v/>
      </c>
      <c r="N1705" t="str">
        <f>IF($F1705="","",IF(Sync!$AF1705="","0000",IF(AND(ISNUMBER(Sync!$AF1705),Sync!$AF1705&gt;=0,Sync!$AF1705&lt;1),RIGHT("00"&amp;HOUR(Sync!$AF1705),2)&amp;RIGHT("00"&amp;MINUTE(Sync!$AF1705),2),IFERROR(RIGHT("00"&amp;VALUE(LEFT(Sync!$AF1705,FIND(":",Sync!$AF1705)-1)),2)&amp;RIGHT("00"&amp;VALUE(MID(Sync!$AF1705,FIND(":",Sync!$AF1705)+1,2)),2),"0000"))))</f>
        <v/>
      </c>
    </row>
    <row r="1706" spans="1:14" x14ac:dyDescent="0.2">
      <c r="A1706" t="str">
        <f>IF(OR(Calc!$E1710="",Calc!$E1710="نامعتبر",Calc!$G1710=""),"",Calc!$G1710)</f>
        <v/>
      </c>
      <c r="B1706" t="str">
        <f>IF($A1706="","",LEFT(Calc!$E1710,4)&amp;MID(Calc!$E1710,6,2)&amp;RIGHT(Calc!$E1710,2)&amp;Calc!$Q1710&amp;"|"&amp;"1"&amp;RIGHT("00000"&amp;1701,5))</f>
        <v/>
      </c>
      <c r="C1706" t="str">
        <f t="shared" si="130"/>
        <v/>
      </c>
      <c r="D1706" t="str">
        <f t="shared" si="131"/>
        <v/>
      </c>
      <c r="F1706" t="str">
        <f>IF(Sync!$AH1706="","",IF(LEFT(UPPER(TRIM(Sync!$AH1706)),2)="SL",UPPER(TRIM(Sync!$AH1706)),""))</f>
        <v/>
      </c>
      <c r="G1706" t="str">
        <f>IF($F1706="","",IF(Sync!$AE1706="","",IF(ISNUMBER(Sync!$AE1706),IF(AND(Sync!$AE1706&gt;=10000101,Sync!$AE1706&lt;=99991231),INT(Sync!$AE1706/10000),""),IFERROR(VALUE(TRIM(LEFT(Sync!$AE1706,FIND("/",Sync!$AE1706)-1))),""))))</f>
        <v/>
      </c>
      <c r="H1706" t="str">
        <f>IF(OR($F1706="",$G1706=""),"",IF(ISNUMBER(Sync!$AE1706),INT(MOD(Sync!$AE1706,10000)/100),IFERROR(VALUE(TRIM(LEFT(MID(Sync!$AE1706,FIND("/",Sync!$AE1706)+1,20),FIND("/",MID(Sync!$AE1706,FIND("/",Sync!$AE1706)+1,20))-1))),"")))</f>
        <v/>
      </c>
      <c r="I1706" t="str">
        <f>IF(OR($F1706="",$G1706=""),"",IF(ISNUMBER(Sync!$AE1706),MOD(Sync!$AE1706,100),IFERROR(VALUE(TRIM(MID(MID(Sync!$AE1706,FIND("/",Sync!$AE1706)+1,20),FIND("/",MID(Sync!$AE1706,FIND("/",Sync!$AE1706)+1,20))+1,20))),"")))</f>
        <v/>
      </c>
      <c r="J1706" t="str">
        <f t="shared" si="132"/>
        <v/>
      </c>
      <c r="K1706" t="str">
        <f>IF(OR($F1706="",$J1706="",$J1706="نامعتبر"),"",LEFT($J1706,4)&amp;MID($J1706,6,2)&amp;RIGHT($J1706,2)&amp;$N1706&amp;"|"&amp;"2"&amp;RIGHT("00000"&amp;1701,5))</f>
        <v/>
      </c>
      <c r="L1706" t="str">
        <f t="shared" si="133"/>
        <v/>
      </c>
      <c r="M1706" t="str">
        <f t="shared" si="134"/>
        <v/>
      </c>
      <c r="N1706" t="str">
        <f>IF($F1706="","",IF(Sync!$AF1706="","0000",IF(AND(ISNUMBER(Sync!$AF1706),Sync!$AF1706&gt;=0,Sync!$AF1706&lt;1),RIGHT("00"&amp;HOUR(Sync!$AF1706),2)&amp;RIGHT("00"&amp;MINUTE(Sync!$AF1706),2),IFERROR(RIGHT("00"&amp;VALUE(LEFT(Sync!$AF1706,FIND(":",Sync!$AF1706)-1)),2)&amp;RIGHT("00"&amp;VALUE(MID(Sync!$AF1706,FIND(":",Sync!$AF1706)+1,2)),2),"0000"))))</f>
        <v/>
      </c>
    </row>
    <row r="1707" spans="1:14" x14ac:dyDescent="0.2">
      <c r="A1707" t="str">
        <f>IF(OR(Calc!$E1711="",Calc!$E1711="نامعتبر",Calc!$G1711=""),"",Calc!$G1711)</f>
        <v/>
      </c>
      <c r="B1707" t="str">
        <f>IF($A1707="","",LEFT(Calc!$E1711,4)&amp;MID(Calc!$E1711,6,2)&amp;RIGHT(Calc!$E1711,2)&amp;Calc!$Q1711&amp;"|"&amp;"1"&amp;RIGHT("00000"&amp;1702,5))</f>
        <v/>
      </c>
      <c r="C1707" t="str">
        <f t="shared" si="130"/>
        <v/>
      </c>
      <c r="D1707" t="str">
        <f t="shared" si="131"/>
        <v/>
      </c>
      <c r="F1707" t="str">
        <f>IF(Sync!$AH1707="","",IF(LEFT(UPPER(TRIM(Sync!$AH1707)),2)="SL",UPPER(TRIM(Sync!$AH1707)),""))</f>
        <v/>
      </c>
      <c r="G1707" t="str">
        <f>IF($F1707="","",IF(Sync!$AE1707="","",IF(ISNUMBER(Sync!$AE1707),IF(AND(Sync!$AE1707&gt;=10000101,Sync!$AE1707&lt;=99991231),INT(Sync!$AE1707/10000),""),IFERROR(VALUE(TRIM(LEFT(Sync!$AE1707,FIND("/",Sync!$AE1707)-1))),""))))</f>
        <v/>
      </c>
      <c r="H1707" t="str">
        <f>IF(OR($F1707="",$G1707=""),"",IF(ISNUMBER(Sync!$AE1707),INT(MOD(Sync!$AE1707,10000)/100),IFERROR(VALUE(TRIM(LEFT(MID(Sync!$AE1707,FIND("/",Sync!$AE1707)+1,20),FIND("/",MID(Sync!$AE1707,FIND("/",Sync!$AE1707)+1,20))-1))),"")))</f>
        <v/>
      </c>
      <c r="I1707" t="str">
        <f>IF(OR($F1707="",$G1707=""),"",IF(ISNUMBER(Sync!$AE1707),MOD(Sync!$AE1707,100),IFERROR(VALUE(TRIM(MID(MID(Sync!$AE1707,FIND("/",Sync!$AE1707)+1,20),FIND("/",MID(Sync!$AE1707,FIND("/",Sync!$AE1707)+1,20))+1,20))),"")))</f>
        <v/>
      </c>
      <c r="J1707" t="str">
        <f t="shared" si="132"/>
        <v/>
      </c>
      <c r="K1707" t="str">
        <f>IF(OR($F1707="",$J1707="",$J1707="نامعتبر"),"",LEFT($J1707,4)&amp;MID($J1707,6,2)&amp;RIGHT($J1707,2)&amp;$N1707&amp;"|"&amp;"2"&amp;RIGHT("00000"&amp;1702,5))</f>
        <v/>
      </c>
      <c r="L1707" t="str">
        <f t="shared" si="133"/>
        <v/>
      </c>
      <c r="M1707" t="str">
        <f t="shared" si="134"/>
        <v/>
      </c>
      <c r="N1707" t="str">
        <f>IF($F1707="","",IF(Sync!$AF1707="","0000",IF(AND(ISNUMBER(Sync!$AF1707),Sync!$AF1707&gt;=0,Sync!$AF1707&lt;1),RIGHT("00"&amp;HOUR(Sync!$AF1707),2)&amp;RIGHT("00"&amp;MINUTE(Sync!$AF1707),2),IFERROR(RIGHT("00"&amp;VALUE(LEFT(Sync!$AF1707,FIND(":",Sync!$AF1707)-1)),2)&amp;RIGHT("00"&amp;VALUE(MID(Sync!$AF1707,FIND(":",Sync!$AF1707)+1,2)),2),"0000"))))</f>
        <v/>
      </c>
    </row>
    <row r="1708" spans="1:14" x14ac:dyDescent="0.2">
      <c r="A1708" t="str">
        <f>IF(OR(Calc!$E1712="",Calc!$E1712="نامعتبر",Calc!$G1712=""),"",Calc!$G1712)</f>
        <v/>
      </c>
      <c r="B1708" t="str">
        <f>IF($A1708="","",LEFT(Calc!$E1712,4)&amp;MID(Calc!$E1712,6,2)&amp;RIGHT(Calc!$E1712,2)&amp;Calc!$Q1712&amp;"|"&amp;"1"&amp;RIGHT("00000"&amp;1703,5))</f>
        <v/>
      </c>
      <c r="C1708" t="str">
        <f t="shared" si="130"/>
        <v/>
      </c>
      <c r="D1708" t="str">
        <f t="shared" si="131"/>
        <v/>
      </c>
      <c r="F1708" t="str">
        <f>IF(Sync!$AH1708="","",IF(LEFT(UPPER(TRIM(Sync!$AH1708)),2)="SL",UPPER(TRIM(Sync!$AH1708)),""))</f>
        <v/>
      </c>
      <c r="G1708" t="str">
        <f>IF($F1708="","",IF(Sync!$AE1708="","",IF(ISNUMBER(Sync!$AE1708),IF(AND(Sync!$AE1708&gt;=10000101,Sync!$AE1708&lt;=99991231),INT(Sync!$AE1708/10000),""),IFERROR(VALUE(TRIM(LEFT(Sync!$AE1708,FIND("/",Sync!$AE1708)-1))),""))))</f>
        <v/>
      </c>
      <c r="H1708" t="str">
        <f>IF(OR($F1708="",$G1708=""),"",IF(ISNUMBER(Sync!$AE1708),INT(MOD(Sync!$AE1708,10000)/100),IFERROR(VALUE(TRIM(LEFT(MID(Sync!$AE1708,FIND("/",Sync!$AE1708)+1,20),FIND("/",MID(Sync!$AE1708,FIND("/",Sync!$AE1708)+1,20))-1))),"")))</f>
        <v/>
      </c>
      <c r="I1708" t="str">
        <f>IF(OR($F1708="",$G1708=""),"",IF(ISNUMBER(Sync!$AE1708),MOD(Sync!$AE1708,100),IFERROR(VALUE(TRIM(MID(MID(Sync!$AE1708,FIND("/",Sync!$AE1708)+1,20),FIND("/",MID(Sync!$AE1708,FIND("/",Sync!$AE1708)+1,20))+1,20))),"")))</f>
        <v/>
      </c>
      <c r="J1708" t="str">
        <f t="shared" si="132"/>
        <v/>
      </c>
      <c r="K1708" t="str">
        <f>IF(OR($F1708="",$J1708="",$J1708="نامعتبر"),"",LEFT($J1708,4)&amp;MID($J1708,6,2)&amp;RIGHT($J1708,2)&amp;$N1708&amp;"|"&amp;"2"&amp;RIGHT("00000"&amp;1703,5))</f>
        <v/>
      </c>
      <c r="L1708" t="str">
        <f t="shared" si="133"/>
        <v/>
      </c>
      <c r="M1708" t="str">
        <f t="shared" si="134"/>
        <v/>
      </c>
      <c r="N1708" t="str">
        <f>IF($F1708="","",IF(Sync!$AF1708="","0000",IF(AND(ISNUMBER(Sync!$AF1708),Sync!$AF1708&gt;=0,Sync!$AF1708&lt;1),RIGHT("00"&amp;HOUR(Sync!$AF1708),2)&amp;RIGHT("00"&amp;MINUTE(Sync!$AF1708),2),IFERROR(RIGHT("00"&amp;VALUE(LEFT(Sync!$AF1708,FIND(":",Sync!$AF1708)-1)),2)&amp;RIGHT("00"&amp;VALUE(MID(Sync!$AF1708,FIND(":",Sync!$AF1708)+1,2)),2),"0000"))))</f>
        <v/>
      </c>
    </row>
    <row r="1709" spans="1:14" x14ac:dyDescent="0.2">
      <c r="A1709" t="str">
        <f>IF(OR(Calc!$E1713="",Calc!$E1713="نامعتبر",Calc!$G1713=""),"",Calc!$G1713)</f>
        <v/>
      </c>
      <c r="B1709" t="str">
        <f>IF($A1709="","",LEFT(Calc!$E1713,4)&amp;MID(Calc!$E1713,6,2)&amp;RIGHT(Calc!$E1713,2)&amp;Calc!$Q1713&amp;"|"&amp;"1"&amp;RIGHT("00000"&amp;1704,5))</f>
        <v/>
      </c>
      <c r="C1709" t="str">
        <f t="shared" si="130"/>
        <v/>
      </c>
      <c r="D1709" t="str">
        <f t="shared" si="131"/>
        <v/>
      </c>
      <c r="F1709" t="str">
        <f>IF(Sync!$AH1709="","",IF(LEFT(UPPER(TRIM(Sync!$AH1709)),2)="SL",UPPER(TRIM(Sync!$AH1709)),""))</f>
        <v/>
      </c>
      <c r="G1709" t="str">
        <f>IF($F1709="","",IF(Sync!$AE1709="","",IF(ISNUMBER(Sync!$AE1709),IF(AND(Sync!$AE1709&gt;=10000101,Sync!$AE1709&lt;=99991231),INT(Sync!$AE1709/10000),""),IFERROR(VALUE(TRIM(LEFT(Sync!$AE1709,FIND("/",Sync!$AE1709)-1))),""))))</f>
        <v/>
      </c>
      <c r="H1709" t="str">
        <f>IF(OR($F1709="",$G1709=""),"",IF(ISNUMBER(Sync!$AE1709),INT(MOD(Sync!$AE1709,10000)/100),IFERROR(VALUE(TRIM(LEFT(MID(Sync!$AE1709,FIND("/",Sync!$AE1709)+1,20),FIND("/",MID(Sync!$AE1709,FIND("/",Sync!$AE1709)+1,20))-1))),"")))</f>
        <v/>
      </c>
      <c r="I1709" t="str">
        <f>IF(OR($F1709="",$G1709=""),"",IF(ISNUMBER(Sync!$AE1709),MOD(Sync!$AE1709,100),IFERROR(VALUE(TRIM(MID(MID(Sync!$AE1709,FIND("/",Sync!$AE1709)+1,20),FIND("/",MID(Sync!$AE1709,FIND("/",Sync!$AE1709)+1,20))+1,20))),"")))</f>
        <v/>
      </c>
      <c r="J1709" t="str">
        <f t="shared" si="132"/>
        <v/>
      </c>
      <c r="K1709" t="str">
        <f>IF(OR($F1709="",$J1709="",$J1709="نامعتبر"),"",LEFT($J1709,4)&amp;MID($J1709,6,2)&amp;RIGHT($J1709,2)&amp;$N1709&amp;"|"&amp;"2"&amp;RIGHT("00000"&amp;1704,5))</f>
        <v/>
      </c>
      <c r="L1709" t="str">
        <f t="shared" si="133"/>
        <v/>
      </c>
      <c r="M1709" t="str">
        <f t="shared" si="134"/>
        <v/>
      </c>
      <c r="N1709" t="str">
        <f>IF($F1709="","",IF(Sync!$AF1709="","0000",IF(AND(ISNUMBER(Sync!$AF1709),Sync!$AF1709&gt;=0,Sync!$AF1709&lt;1),RIGHT("00"&amp;HOUR(Sync!$AF1709),2)&amp;RIGHT("00"&amp;MINUTE(Sync!$AF1709),2),IFERROR(RIGHT("00"&amp;VALUE(LEFT(Sync!$AF1709,FIND(":",Sync!$AF1709)-1)),2)&amp;RIGHT("00"&amp;VALUE(MID(Sync!$AF1709,FIND(":",Sync!$AF1709)+1,2)),2),"0000"))))</f>
        <v/>
      </c>
    </row>
    <row r="1710" spans="1:14" x14ac:dyDescent="0.2">
      <c r="A1710" t="str">
        <f>IF(OR(Calc!$E1714="",Calc!$E1714="نامعتبر",Calc!$G1714=""),"",Calc!$G1714)</f>
        <v/>
      </c>
      <c r="B1710" t="str">
        <f>IF($A1710="","",LEFT(Calc!$E1714,4)&amp;MID(Calc!$E1714,6,2)&amp;RIGHT(Calc!$E1714,2)&amp;Calc!$Q1714&amp;"|"&amp;"1"&amp;RIGHT("00000"&amp;1705,5))</f>
        <v/>
      </c>
      <c r="C1710" t="str">
        <f t="shared" si="130"/>
        <v/>
      </c>
      <c r="D1710" t="str">
        <f t="shared" si="131"/>
        <v/>
      </c>
      <c r="F1710" t="str">
        <f>IF(Sync!$AH1710="","",IF(LEFT(UPPER(TRIM(Sync!$AH1710)),2)="SL",UPPER(TRIM(Sync!$AH1710)),""))</f>
        <v/>
      </c>
      <c r="G1710" t="str">
        <f>IF($F1710="","",IF(Sync!$AE1710="","",IF(ISNUMBER(Sync!$AE1710),IF(AND(Sync!$AE1710&gt;=10000101,Sync!$AE1710&lt;=99991231),INT(Sync!$AE1710/10000),""),IFERROR(VALUE(TRIM(LEFT(Sync!$AE1710,FIND("/",Sync!$AE1710)-1))),""))))</f>
        <v/>
      </c>
      <c r="H1710" t="str">
        <f>IF(OR($F1710="",$G1710=""),"",IF(ISNUMBER(Sync!$AE1710),INT(MOD(Sync!$AE1710,10000)/100),IFERROR(VALUE(TRIM(LEFT(MID(Sync!$AE1710,FIND("/",Sync!$AE1710)+1,20),FIND("/",MID(Sync!$AE1710,FIND("/",Sync!$AE1710)+1,20))-1))),"")))</f>
        <v/>
      </c>
      <c r="I1710" t="str">
        <f>IF(OR($F1710="",$G1710=""),"",IF(ISNUMBER(Sync!$AE1710),MOD(Sync!$AE1710,100),IFERROR(VALUE(TRIM(MID(MID(Sync!$AE1710,FIND("/",Sync!$AE1710)+1,20),FIND("/",MID(Sync!$AE1710,FIND("/",Sync!$AE1710)+1,20))+1,20))),"")))</f>
        <v/>
      </c>
      <c r="J1710" t="str">
        <f t="shared" si="132"/>
        <v/>
      </c>
      <c r="K1710" t="str">
        <f>IF(OR($F1710="",$J1710="",$J1710="نامعتبر"),"",LEFT($J1710,4)&amp;MID($J1710,6,2)&amp;RIGHT($J1710,2)&amp;$N1710&amp;"|"&amp;"2"&amp;RIGHT("00000"&amp;1705,5))</f>
        <v/>
      </c>
      <c r="L1710" t="str">
        <f t="shared" si="133"/>
        <v/>
      </c>
      <c r="M1710" t="str">
        <f t="shared" si="134"/>
        <v/>
      </c>
      <c r="N1710" t="str">
        <f>IF($F1710="","",IF(Sync!$AF1710="","0000",IF(AND(ISNUMBER(Sync!$AF1710),Sync!$AF1710&gt;=0,Sync!$AF1710&lt;1),RIGHT("00"&amp;HOUR(Sync!$AF1710),2)&amp;RIGHT("00"&amp;MINUTE(Sync!$AF1710),2),IFERROR(RIGHT("00"&amp;VALUE(LEFT(Sync!$AF1710,FIND(":",Sync!$AF1710)-1)),2)&amp;RIGHT("00"&amp;VALUE(MID(Sync!$AF1710,FIND(":",Sync!$AF1710)+1,2)),2),"0000"))))</f>
        <v/>
      </c>
    </row>
    <row r="1711" spans="1:14" x14ac:dyDescent="0.2">
      <c r="A1711" t="str">
        <f>IF(OR(Calc!$E1715="",Calc!$E1715="نامعتبر",Calc!$G1715=""),"",Calc!$G1715)</f>
        <v/>
      </c>
      <c r="B1711" t="str">
        <f>IF($A1711="","",LEFT(Calc!$E1715,4)&amp;MID(Calc!$E1715,6,2)&amp;RIGHT(Calc!$E1715,2)&amp;Calc!$Q1715&amp;"|"&amp;"1"&amp;RIGHT("00000"&amp;1706,5))</f>
        <v/>
      </c>
      <c r="C1711" t="str">
        <f t="shared" si="130"/>
        <v/>
      </c>
      <c r="D1711" t="str">
        <f t="shared" si="131"/>
        <v/>
      </c>
      <c r="F1711" t="str">
        <f>IF(Sync!$AH1711="","",IF(LEFT(UPPER(TRIM(Sync!$AH1711)),2)="SL",UPPER(TRIM(Sync!$AH1711)),""))</f>
        <v/>
      </c>
      <c r="G1711" t="str">
        <f>IF($F1711="","",IF(Sync!$AE1711="","",IF(ISNUMBER(Sync!$AE1711),IF(AND(Sync!$AE1711&gt;=10000101,Sync!$AE1711&lt;=99991231),INT(Sync!$AE1711/10000),""),IFERROR(VALUE(TRIM(LEFT(Sync!$AE1711,FIND("/",Sync!$AE1711)-1))),""))))</f>
        <v/>
      </c>
      <c r="H1711" t="str">
        <f>IF(OR($F1711="",$G1711=""),"",IF(ISNUMBER(Sync!$AE1711),INT(MOD(Sync!$AE1711,10000)/100),IFERROR(VALUE(TRIM(LEFT(MID(Sync!$AE1711,FIND("/",Sync!$AE1711)+1,20),FIND("/",MID(Sync!$AE1711,FIND("/",Sync!$AE1711)+1,20))-1))),"")))</f>
        <v/>
      </c>
      <c r="I1711" t="str">
        <f>IF(OR($F1711="",$G1711=""),"",IF(ISNUMBER(Sync!$AE1711),MOD(Sync!$AE1711,100),IFERROR(VALUE(TRIM(MID(MID(Sync!$AE1711,FIND("/",Sync!$AE1711)+1,20),FIND("/",MID(Sync!$AE1711,FIND("/",Sync!$AE1711)+1,20))+1,20))),"")))</f>
        <v/>
      </c>
      <c r="J1711" t="str">
        <f t="shared" si="132"/>
        <v/>
      </c>
      <c r="K1711" t="str">
        <f>IF(OR($F1711="",$J1711="",$J1711="نامعتبر"),"",LEFT($J1711,4)&amp;MID($J1711,6,2)&amp;RIGHT($J1711,2)&amp;$N1711&amp;"|"&amp;"2"&amp;RIGHT("00000"&amp;1706,5))</f>
        <v/>
      </c>
      <c r="L1711" t="str">
        <f t="shared" si="133"/>
        <v/>
      </c>
      <c r="M1711" t="str">
        <f t="shared" si="134"/>
        <v/>
      </c>
      <c r="N1711" t="str">
        <f>IF($F1711="","",IF(Sync!$AF1711="","0000",IF(AND(ISNUMBER(Sync!$AF1711),Sync!$AF1711&gt;=0,Sync!$AF1711&lt;1),RIGHT("00"&amp;HOUR(Sync!$AF1711),2)&amp;RIGHT("00"&amp;MINUTE(Sync!$AF1711),2),IFERROR(RIGHT("00"&amp;VALUE(LEFT(Sync!$AF1711,FIND(":",Sync!$AF1711)-1)),2)&amp;RIGHT("00"&amp;VALUE(MID(Sync!$AF1711,FIND(":",Sync!$AF1711)+1,2)),2),"0000"))))</f>
        <v/>
      </c>
    </row>
    <row r="1712" spans="1:14" x14ac:dyDescent="0.2">
      <c r="A1712" t="str">
        <f>IF(OR(Calc!$E1716="",Calc!$E1716="نامعتبر",Calc!$G1716=""),"",Calc!$G1716)</f>
        <v/>
      </c>
      <c r="B1712" t="str">
        <f>IF($A1712="","",LEFT(Calc!$E1716,4)&amp;MID(Calc!$E1716,6,2)&amp;RIGHT(Calc!$E1716,2)&amp;Calc!$Q1716&amp;"|"&amp;"1"&amp;RIGHT("00000"&amp;1707,5))</f>
        <v/>
      </c>
      <c r="C1712" t="str">
        <f t="shared" si="130"/>
        <v/>
      </c>
      <c r="D1712" t="str">
        <f t="shared" si="131"/>
        <v/>
      </c>
      <c r="F1712" t="str">
        <f>IF(Sync!$AH1712="","",IF(LEFT(UPPER(TRIM(Sync!$AH1712)),2)="SL",UPPER(TRIM(Sync!$AH1712)),""))</f>
        <v/>
      </c>
      <c r="G1712" t="str">
        <f>IF($F1712="","",IF(Sync!$AE1712="","",IF(ISNUMBER(Sync!$AE1712),IF(AND(Sync!$AE1712&gt;=10000101,Sync!$AE1712&lt;=99991231),INT(Sync!$AE1712/10000),""),IFERROR(VALUE(TRIM(LEFT(Sync!$AE1712,FIND("/",Sync!$AE1712)-1))),""))))</f>
        <v/>
      </c>
      <c r="H1712" t="str">
        <f>IF(OR($F1712="",$G1712=""),"",IF(ISNUMBER(Sync!$AE1712),INT(MOD(Sync!$AE1712,10000)/100),IFERROR(VALUE(TRIM(LEFT(MID(Sync!$AE1712,FIND("/",Sync!$AE1712)+1,20),FIND("/",MID(Sync!$AE1712,FIND("/",Sync!$AE1712)+1,20))-1))),"")))</f>
        <v/>
      </c>
      <c r="I1712" t="str">
        <f>IF(OR($F1712="",$G1712=""),"",IF(ISNUMBER(Sync!$AE1712),MOD(Sync!$AE1712,100),IFERROR(VALUE(TRIM(MID(MID(Sync!$AE1712,FIND("/",Sync!$AE1712)+1,20),FIND("/",MID(Sync!$AE1712,FIND("/",Sync!$AE1712)+1,20))+1,20))),"")))</f>
        <v/>
      </c>
      <c r="J1712" t="str">
        <f t="shared" si="132"/>
        <v/>
      </c>
      <c r="K1712" t="str">
        <f>IF(OR($F1712="",$J1712="",$J1712="نامعتبر"),"",LEFT($J1712,4)&amp;MID($J1712,6,2)&amp;RIGHT($J1712,2)&amp;$N1712&amp;"|"&amp;"2"&amp;RIGHT("00000"&amp;1707,5))</f>
        <v/>
      </c>
      <c r="L1712" t="str">
        <f t="shared" si="133"/>
        <v/>
      </c>
      <c r="M1712" t="str">
        <f t="shared" si="134"/>
        <v/>
      </c>
      <c r="N1712" t="str">
        <f>IF($F1712="","",IF(Sync!$AF1712="","0000",IF(AND(ISNUMBER(Sync!$AF1712),Sync!$AF1712&gt;=0,Sync!$AF1712&lt;1),RIGHT("00"&amp;HOUR(Sync!$AF1712),2)&amp;RIGHT("00"&amp;MINUTE(Sync!$AF1712),2),IFERROR(RIGHT("00"&amp;VALUE(LEFT(Sync!$AF1712,FIND(":",Sync!$AF1712)-1)),2)&amp;RIGHT("00"&amp;VALUE(MID(Sync!$AF1712,FIND(":",Sync!$AF1712)+1,2)),2),"0000"))))</f>
        <v/>
      </c>
    </row>
    <row r="1713" spans="1:14" x14ac:dyDescent="0.2">
      <c r="A1713" t="str">
        <f>IF(OR(Calc!$E1717="",Calc!$E1717="نامعتبر",Calc!$G1717=""),"",Calc!$G1717)</f>
        <v/>
      </c>
      <c r="B1713" t="str">
        <f>IF($A1713="","",LEFT(Calc!$E1717,4)&amp;MID(Calc!$E1717,6,2)&amp;RIGHT(Calc!$E1717,2)&amp;Calc!$Q1717&amp;"|"&amp;"1"&amp;RIGHT("00000"&amp;1708,5))</f>
        <v/>
      </c>
      <c r="C1713" t="str">
        <f t="shared" si="130"/>
        <v/>
      </c>
      <c r="D1713" t="str">
        <f t="shared" si="131"/>
        <v/>
      </c>
      <c r="F1713" t="str">
        <f>IF(Sync!$AH1713="","",IF(LEFT(UPPER(TRIM(Sync!$AH1713)),2)="SL",UPPER(TRIM(Sync!$AH1713)),""))</f>
        <v/>
      </c>
      <c r="G1713" t="str">
        <f>IF($F1713="","",IF(Sync!$AE1713="","",IF(ISNUMBER(Sync!$AE1713),IF(AND(Sync!$AE1713&gt;=10000101,Sync!$AE1713&lt;=99991231),INT(Sync!$AE1713/10000),""),IFERROR(VALUE(TRIM(LEFT(Sync!$AE1713,FIND("/",Sync!$AE1713)-1))),""))))</f>
        <v/>
      </c>
      <c r="H1713" t="str">
        <f>IF(OR($F1713="",$G1713=""),"",IF(ISNUMBER(Sync!$AE1713),INT(MOD(Sync!$AE1713,10000)/100),IFERROR(VALUE(TRIM(LEFT(MID(Sync!$AE1713,FIND("/",Sync!$AE1713)+1,20),FIND("/",MID(Sync!$AE1713,FIND("/",Sync!$AE1713)+1,20))-1))),"")))</f>
        <v/>
      </c>
      <c r="I1713" t="str">
        <f>IF(OR($F1713="",$G1713=""),"",IF(ISNUMBER(Sync!$AE1713),MOD(Sync!$AE1713,100),IFERROR(VALUE(TRIM(MID(MID(Sync!$AE1713,FIND("/",Sync!$AE1713)+1,20),FIND("/",MID(Sync!$AE1713,FIND("/",Sync!$AE1713)+1,20))+1,20))),"")))</f>
        <v/>
      </c>
      <c r="J1713" t="str">
        <f t="shared" si="132"/>
        <v/>
      </c>
      <c r="K1713" t="str">
        <f>IF(OR($F1713="",$J1713="",$J1713="نامعتبر"),"",LEFT($J1713,4)&amp;MID($J1713,6,2)&amp;RIGHT($J1713,2)&amp;$N1713&amp;"|"&amp;"2"&amp;RIGHT("00000"&amp;1708,5))</f>
        <v/>
      </c>
      <c r="L1713" t="str">
        <f t="shared" si="133"/>
        <v/>
      </c>
      <c r="M1713" t="str">
        <f t="shared" si="134"/>
        <v/>
      </c>
      <c r="N1713" t="str">
        <f>IF($F1713="","",IF(Sync!$AF1713="","0000",IF(AND(ISNUMBER(Sync!$AF1713),Sync!$AF1713&gt;=0,Sync!$AF1713&lt;1),RIGHT("00"&amp;HOUR(Sync!$AF1713),2)&amp;RIGHT("00"&amp;MINUTE(Sync!$AF1713),2),IFERROR(RIGHT("00"&amp;VALUE(LEFT(Sync!$AF1713,FIND(":",Sync!$AF1713)-1)),2)&amp;RIGHT("00"&amp;VALUE(MID(Sync!$AF1713,FIND(":",Sync!$AF1713)+1,2)),2),"0000"))))</f>
        <v/>
      </c>
    </row>
    <row r="1714" spans="1:14" x14ac:dyDescent="0.2">
      <c r="A1714" t="str">
        <f>IF(OR(Calc!$E1718="",Calc!$E1718="نامعتبر",Calc!$G1718=""),"",Calc!$G1718)</f>
        <v/>
      </c>
      <c r="B1714" t="str">
        <f>IF($A1714="","",LEFT(Calc!$E1718,4)&amp;MID(Calc!$E1718,6,2)&amp;RIGHT(Calc!$E1718,2)&amp;Calc!$Q1718&amp;"|"&amp;"1"&amp;RIGHT("00000"&amp;1709,5))</f>
        <v/>
      </c>
      <c r="C1714" t="str">
        <f t="shared" si="130"/>
        <v/>
      </c>
      <c r="D1714" t="str">
        <f t="shared" si="131"/>
        <v/>
      </c>
      <c r="F1714" t="str">
        <f>IF(Sync!$AH1714="","",IF(LEFT(UPPER(TRIM(Sync!$AH1714)),2)="SL",UPPER(TRIM(Sync!$AH1714)),""))</f>
        <v/>
      </c>
      <c r="G1714" t="str">
        <f>IF($F1714="","",IF(Sync!$AE1714="","",IF(ISNUMBER(Sync!$AE1714),IF(AND(Sync!$AE1714&gt;=10000101,Sync!$AE1714&lt;=99991231),INT(Sync!$AE1714/10000),""),IFERROR(VALUE(TRIM(LEFT(Sync!$AE1714,FIND("/",Sync!$AE1714)-1))),""))))</f>
        <v/>
      </c>
      <c r="H1714" t="str">
        <f>IF(OR($F1714="",$G1714=""),"",IF(ISNUMBER(Sync!$AE1714),INT(MOD(Sync!$AE1714,10000)/100),IFERROR(VALUE(TRIM(LEFT(MID(Sync!$AE1714,FIND("/",Sync!$AE1714)+1,20),FIND("/",MID(Sync!$AE1714,FIND("/",Sync!$AE1714)+1,20))-1))),"")))</f>
        <v/>
      </c>
      <c r="I1714" t="str">
        <f>IF(OR($F1714="",$G1714=""),"",IF(ISNUMBER(Sync!$AE1714),MOD(Sync!$AE1714,100),IFERROR(VALUE(TRIM(MID(MID(Sync!$AE1714,FIND("/",Sync!$AE1714)+1,20),FIND("/",MID(Sync!$AE1714,FIND("/",Sync!$AE1714)+1,20))+1,20))),"")))</f>
        <v/>
      </c>
      <c r="J1714" t="str">
        <f t="shared" si="132"/>
        <v/>
      </c>
      <c r="K1714" t="str">
        <f>IF(OR($F1714="",$J1714="",$J1714="نامعتبر"),"",LEFT($J1714,4)&amp;MID($J1714,6,2)&amp;RIGHT($J1714,2)&amp;$N1714&amp;"|"&amp;"2"&amp;RIGHT("00000"&amp;1709,5))</f>
        <v/>
      </c>
      <c r="L1714" t="str">
        <f t="shared" si="133"/>
        <v/>
      </c>
      <c r="M1714" t="str">
        <f t="shared" si="134"/>
        <v/>
      </c>
      <c r="N1714" t="str">
        <f>IF($F1714="","",IF(Sync!$AF1714="","0000",IF(AND(ISNUMBER(Sync!$AF1714),Sync!$AF1714&gt;=0,Sync!$AF1714&lt;1),RIGHT("00"&amp;HOUR(Sync!$AF1714),2)&amp;RIGHT("00"&amp;MINUTE(Sync!$AF1714),2),IFERROR(RIGHT("00"&amp;VALUE(LEFT(Sync!$AF1714,FIND(":",Sync!$AF1714)-1)),2)&amp;RIGHT("00"&amp;VALUE(MID(Sync!$AF1714,FIND(":",Sync!$AF1714)+1,2)),2),"0000"))))</f>
        <v/>
      </c>
    </row>
    <row r="1715" spans="1:14" x14ac:dyDescent="0.2">
      <c r="A1715" t="str">
        <f>IF(OR(Calc!$E1719="",Calc!$E1719="نامعتبر",Calc!$G1719=""),"",Calc!$G1719)</f>
        <v/>
      </c>
      <c r="B1715" t="str">
        <f>IF($A1715="","",LEFT(Calc!$E1719,4)&amp;MID(Calc!$E1719,6,2)&amp;RIGHT(Calc!$E1719,2)&amp;Calc!$Q1719&amp;"|"&amp;"1"&amp;RIGHT("00000"&amp;1710,5))</f>
        <v/>
      </c>
      <c r="C1715" t="str">
        <f t="shared" si="130"/>
        <v/>
      </c>
      <c r="D1715" t="str">
        <f t="shared" si="131"/>
        <v/>
      </c>
      <c r="F1715" t="str">
        <f>IF(Sync!$AH1715="","",IF(LEFT(UPPER(TRIM(Sync!$AH1715)),2)="SL",UPPER(TRIM(Sync!$AH1715)),""))</f>
        <v/>
      </c>
      <c r="G1715" t="str">
        <f>IF($F1715="","",IF(Sync!$AE1715="","",IF(ISNUMBER(Sync!$AE1715),IF(AND(Sync!$AE1715&gt;=10000101,Sync!$AE1715&lt;=99991231),INT(Sync!$AE1715/10000),""),IFERROR(VALUE(TRIM(LEFT(Sync!$AE1715,FIND("/",Sync!$AE1715)-1))),""))))</f>
        <v/>
      </c>
      <c r="H1715" t="str">
        <f>IF(OR($F1715="",$G1715=""),"",IF(ISNUMBER(Sync!$AE1715),INT(MOD(Sync!$AE1715,10000)/100),IFERROR(VALUE(TRIM(LEFT(MID(Sync!$AE1715,FIND("/",Sync!$AE1715)+1,20),FIND("/",MID(Sync!$AE1715,FIND("/",Sync!$AE1715)+1,20))-1))),"")))</f>
        <v/>
      </c>
      <c r="I1715" t="str">
        <f>IF(OR($F1715="",$G1715=""),"",IF(ISNUMBER(Sync!$AE1715),MOD(Sync!$AE1715,100),IFERROR(VALUE(TRIM(MID(MID(Sync!$AE1715,FIND("/",Sync!$AE1715)+1,20),FIND("/",MID(Sync!$AE1715,FIND("/",Sync!$AE1715)+1,20))+1,20))),"")))</f>
        <v/>
      </c>
      <c r="J1715" t="str">
        <f t="shared" si="132"/>
        <v/>
      </c>
      <c r="K1715" t="str">
        <f>IF(OR($F1715="",$J1715="",$J1715="نامعتبر"),"",LEFT($J1715,4)&amp;MID($J1715,6,2)&amp;RIGHT($J1715,2)&amp;$N1715&amp;"|"&amp;"2"&amp;RIGHT("00000"&amp;1710,5))</f>
        <v/>
      </c>
      <c r="L1715" t="str">
        <f t="shared" si="133"/>
        <v/>
      </c>
      <c r="M1715" t="str">
        <f t="shared" si="134"/>
        <v/>
      </c>
      <c r="N1715" t="str">
        <f>IF($F1715="","",IF(Sync!$AF1715="","0000",IF(AND(ISNUMBER(Sync!$AF1715),Sync!$AF1715&gt;=0,Sync!$AF1715&lt;1),RIGHT("00"&amp;HOUR(Sync!$AF1715),2)&amp;RIGHT("00"&amp;MINUTE(Sync!$AF1715),2),IFERROR(RIGHT("00"&amp;VALUE(LEFT(Sync!$AF1715,FIND(":",Sync!$AF1715)-1)),2)&amp;RIGHT("00"&amp;VALUE(MID(Sync!$AF1715,FIND(":",Sync!$AF1715)+1,2)),2),"0000"))))</f>
        <v/>
      </c>
    </row>
    <row r="1716" spans="1:14" x14ac:dyDescent="0.2">
      <c r="A1716" t="str">
        <f>IF(OR(Calc!$E1720="",Calc!$E1720="نامعتبر",Calc!$G1720=""),"",Calc!$G1720)</f>
        <v/>
      </c>
      <c r="B1716" t="str">
        <f>IF($A1716="","",LEFT(Calc!$E1720,4)&amp;MID(Calc!$E1720,6,2)&amp;RIGHT(Calc!$E1720,2)&amp;Calc!$Q1720&amp;"|"&amp;"1"&amp;RIGHT("00000"&amp;1711,5))</f>
        <v/>
      </c>
      <c r="C1716" t="str">
        <f t="shared" si="130"/>
        <v/>
      </c>
      <c r="D1716" t="str">
        <f t="shared" si="131"/>
        <v/>
      </c>
      <c r="F1716" t="str">
        <f>IF(Sync!$AH1716="","",IF(LEFT(UPPER(TRIM(Sync!$AH1716)),2)="SL",UPPER(TRIM(Sync!$AH1716)),""))</f>
        <v/>
      </c>
      <c r="G1716" t="str">
        <f>IF($F1716="","",IF(Sync!$AE1716="","",IF(ISNUMBER(Sync!$AE1716),IF(AND(Sync!$AE1716&gt;=10000101,Sync!$AE1716&lt;=99991231),INT(Sync!$AE1716/10000),""),IFERROR(VALUE(TRIM(LEFT(Sync!$AE1716,FIND("/",Sync!$AE1716)-1))),""))))</f>
        <v/>
      </c>
      <c r="H1716" t="str">
        <f>IF(OR($F1716="",$G1716=""),"",IF(ISNUMBER(Sync!$AE1716),INT(MOD(Sync!$AE1716,10000)/100),IFERROR(VALUE(TRIM(LEFT(MID(Sync!$AE1716,FIND("/",Sync!$AE1716)+1,20),FIND("/",MID(Sync!$AE1716,FIND("/",Sync!$AE1716)+1,20))-1))),"")))</f>
        <v/>
      </c>
      <c r="I1716" t="str">
        <f>IF(OR($F1716="",$G1716=""),"",IF(ISNUMBER(Sync!$AE1716),MOD(Sync!$AE1716,100),IFERROR(VALUE(TRIM(MID(MID(Sync!$AE1716,FIND("/",Sync!$AE1716)+1,20),FIND("/",MID(Sync!$AE1716,FIND("/",Sync!$AE1716)+1,20))+1,20))),"")))</f>
        <v/>
      </c>
      <c r="J1716" t="str">
        <f t="shared" si="132"/>
        <v/>
      </c>
      <c r="K1716" t="str">
        <f>IF(OR($F1716="",$J1716="",$J1716="نامعتبر"),"",LEFT($J1716,4)&amp;MID($J1716,6,2)&amp;RIGHT($J1716,2)&amp;$N1716&amp;"|"&amp;"2"&amp;RIGHT("00000"&amp;1711,5))</f>
        <v/>
      </c>
      <c r="L1716" t="str">
        <f t="shared" si="133"/>
        <v/>
      </c>
      <c r="M1716" t="str">
        <f t="shared" si="134"/>
        <v/>
      </c>
      <c r="N1716" t="str">
        <f>IF($F1716="","",IF(Sync!$AF1716="","0000",IF(AND(ISNUMBER(Sync!$AF1716),Sync!$AF1716&gt;=0,Sync!$AF1716&lt;1),RIGHT("00"&amp;HOUR(Sync!$AF1716),2)&amp;RIGHT("00"&amp;MINUTE(Sync!$AF1716),2),IFERROR(RIGHT("00"&amp;VALUE(LEFT(Sync!$AF1716,FIND(":",Sync!$AF1716)-1)),2)&amp;RIGHT("00"&amp;VALUE(MID(Sync!$AF1716,FIND(":",Sync!$AF1716)+1,2)),2),"0000"))))</f>
        <v/>
      </c>
    </row>
    <row r="1717" spans="1:14" x14ac:dyDescent="0.2">
      <c r="A1717" t="str">
        <f>IF(OR(Calc!$E1721="",Calc!$E1721="نامعتبر",Calc!$G1721=""),"",Calc!$G1721)</f>
        <v/>
      </c>
      <c r="B1717" t="str">
        <f>IF($A1717="","",LEFT(Calc!$E1721,4)&amp;MID(Calc!$E1721,6,2)&amp;RIGHT(Calc!$E1721,2)&amp;Calc!$Q1721&amp;"|"&amp;"1"&amp;RIGHT("00000"&amp;1712,5))</f>
        <v/>
      </c>
      <c r="C1717" t="str">
        <f t="shared" si="130"/>
        <v/>
      </c>
      <c r="D1717" t="str">
        <f t="shared" si="131"/>
        <v/>
      </c>
      <c r="F1717" t="str">
        <f>IF(Sync!$AH1717="","",IF(LEFT(UPPER(TRIM(Sync!$AH1717)),2)="SL",UPPER(TRIM(Sync!$AH1717)),""))</f>
        <v/>
      </c>
      <c r="G1717" t="str">
        <f>IF($F1717="","",IF(Sync!$AE1717="","",IF(ISNUMBER(Sync!$AE1717),IF(AND(Sync!$AE1717&gt;=10000101,Sync!$AE1717&lt;=99991231),INT(Sync!$AE1717/10000),""),IFERROR(VALUE(TRIM(LEFT(Sync!$AE1717,FIND("/",Sync!$AE1717)-1))),""))))</f>
        <v/>
      </c>
      <c r="H1717" t="str">
        <f>IF(OR($F1717="",$G1717=""),"",IF(ISNUMBER(Sync!$AE1717),INT(MOD(Sync!$AE1717,10000)/100),IFERROR(VALUE(TRIM(LEFT(MID(Sync!$AE1717,FIND("/",Sync!$AE1717)+1,20),FIND("/",MID(Sync!$AE1717,FIND("/",Sync!$AE1717)+1,20))-1))),"")))</f>
        <v/>
      </c>
      <c r="I1717" t="str">
        <f>IF(OR($F1717="",$G1717=""),"",IF(ISNUMBER(Sync!$AE1717),MOD(Sync!$AE1717,100),IFERROR(VALUE(TRIM(MID(MID(Sync!$AE1717,FIND("/",Sync!$AE1717)+1,20),FIND("/",MID(Sync!$AE1717,FIND("/",Sync!$AE1717)+1,20))+1,20))),"")))</f>
        <v/>
      </c>
      <c r="J1717" t="str">
        <f t="shared" si="132"/>
        <v/>
      </c>
      <c r="K1717" t="str">
        <f>IF(OR($F1717="",$J1717="",$J1717="نامعتبر"),"",LEFT($J1717,4)&amp;MID($J1717,6,2)&amp;RIGHT($J1717,2)&amp;$N1717&amp;"|"&amp;"2"&amp;RIGHT("00000"&amp;1712,5))</f>
        <v/>
      </c>
      <c r="L1717" t="str">
        <f t="shared" si="133"/>
        <v/>
      </c>
      <c r="M1717" t="str">
        <f t="shared" si="134"/>
        <v/>
      </c>
      <c r="N1717" t="str">
        <f>IF($F1717="","",IF(Sync!$AF1717="","0000",IF(AND(ISNUMBER(Sync!$AF1717),Sync!$AF1717&gt;=0,Sync!$AF1717&lt;1),RIGHT("00"&amp;HOUR(Sync!$AF1717),2)&amp;RIGHT("00"&amp;MINUTE(Sync!$AF1717),2),IFERROR(RIGHT("00"&amp;VALUE(LEFT(Sync!$AF1717,FIND(":",Sync!$AF1717)-1)),2)&amp;RIGHT("00"&amp;VALUE(MID(Sync!$AF1717,FIND(":",Sync!$AF1717)+1,2)),2),"0000"))))</f>
        <v/>
      </c>
    </row>
    <row r="1718" spans="1:14" x14ac:dyDescent="0.2">
      <c r="A1718" t="str">
        <f>IF(OR(Calc!$E1722="",Calc!$E1722="نامعتبر",Calc!$G1722=""),"",Calc!$G1722)</f>
        <v/>
      </c>
      <c r="B1718" t="str">
        <f>IF($A1718="","",LEFT(Calc!$E1722,4)&amp;MID(Calc!$E1722,6,2)&amp;RIGHT(Calc!$E1722,2)&amp;Calc!$Q1722&amp;"|"&amp;"1"&amp;RIGHT("00000"&amp;1713,5))</f>
        <v/>
      </c>
      <c r="C1718" t="str">
        <f t="shared" si="130"/>
        <v/>
      </c>
      <c r="D1718" t="str">
        <f t="shared" si="131"/>
        <v/>
      </c>
      <c r="F1718" t="str">
        <f>IF(Sync!$AH1718="","",IF(LEFT(UPPER(TRIM(Sync!$AH1718)),2)="SL",UPPER(TRIM(Sync!$AH1718)),""))</f>
        <v/>
      </c>
      <c r="G1718" t="str">
        <f>IF($F1718="","",IF(Sync!$AE1718="","",IF(ISNUMBER(Sync!$AE1718),IF(AND(Sync!$AE1718&gt;=10000101,Sync!$AE1718&lt;=99991231),INT(Sync!$AE1718/10000),""),IFERROR(VALUE(TRIM(LEFT(Sync!$AE1718,FIND("/",Sync!$AE1718)-1))),""))))</f>
        <v/>
      </c>
      <c r="H1718" t="str">
        <f>IF(OR($F1718="",$G1718=""),"",IF(ISNUMBER(Sync!$AE1718),INT(MOD(Sync!$AE1718,10000)/100),IFERROR(VALUE(TRIM(LEFT(MID(Sync!$AE1718,FIND("/",Sync!$AE1718)+1,20),FIND("/",MID(Sync!$AE1718,FIND("/",Sync!$AE1718)+1,20))-1))),"")))</f>
        <v/>
      </c>
      <c r="I1718" t="str">
        <f>IF(OR($F1718="",$G1718=""),"",IF(ISNUMBER(Sync!$AE1718),MOD(Sync!$AE1718,100),IFERROR(VALUE(TRIM(MID(MID(Sync!$AE1718,FIND("/",Sync!$AE1718)+1,20),FIND("/",MID(Sync!$AE1718,FIND("/",Sync!$AE1718)+1,20))+1,20))),"")))</f>
        <v/>
      </c>
      <c r="J1718" t="str">
        <f t="shared" si="132"/>
        <v/>
      </c>
      <c r="K1718" t="str">
        <f>IF(OR($F1718="",$J1718="",$J1718="نامعتبر"),"",LEFT($J1718,4)&amp;MID($J1718,6,2)&amp;RIGHT($J1718,2)&amp;$N1718&amp;"|"&amp;"2"&amp;RIGHT("00000"&amp;1713,5))</f>
        <v/>
      </c>
      <c r="L1718" t="str">
        <f t="shared" si="133"/>
        <v/>
      </c>
      <c r="M1718" t="str">
        <f t="shared" si="134"/>
        <v/>
      </c>
      <c r="N1718" t="str">
        <f>IF($F1718="","",IF(Sync!$AF1718="","0000",IF(AND(ISNUMBER(Sync!$AF1718),Sync!$AF1718&gt;=0,Sync!$AF1718&lt;1),RIGHT("00"&amp;HOUR(Sync!$AF1718),2)&amp;RIGHT("00"&amp;MINUTE(Sync!$AF1718),2),IFERROR(RIGHT("00"&amp;VALUE(LEFT(Sync!$AF1718,FIND(":",Sync!$AF1718)-1)),2)&amp;RIGHT("00"&amp;VALUE(MID(Sync!$AF1718,FIND(":",Sync!$AF1718)+1,2)),2),"0000"))))</f>
        <v/>
      </c>
    </row>
    <row r="1719" spans="1:14" x14ac:dyDescent="0.2">
      <c r="A1719" t="str">
        <f>IF(OR(Calc!$E1723="",Calc!$E1723="نامعتبر",Calc!$G1723=""),"",Calc!$G1723)</f>
        <v/>
      </c>
      <c r="B1719" t="str">
        <f>IF($A1719="","",LEFT(Calc!$E1723,4)&amp;MID(Calc!$E1723,6,2)&amp;RIGHT(Calc!$E1723,2)&amp;Calc!$Q1723&amp;"|"&amp;"1"&amp;RIGHT("00000"&amp;1714,5))</f>
        <v/>
      </c>
      <c r="C1719" t="str">
        <f t="shared" si="130"/>
        <v/>
      </c>
      <c r="D1719" t="str">
        <f t="shared" si="131"/>
        <v/>
      </c>
      <c r="F1719" t="str">
        <f>IF(Sync!$AH1719="","",IF(LEFT(UPPER(TRIM(Sync!$AH1719)),2)="SL",UPPER(TRIM(Sync!$AH1719)),""))</f>
        <v/>
      </c>
      <c r="G1719" t="str">
        <f>IF($F1719="","",IF(Sync!$AE1719="","",IF(ISNUMBER(Sync!$AE1719),IF(AND(Sync!$AE1719&gt;=10000101,Sync!$AE1719&lt;=99991231),INT(Sync!$AE1719/10000),""),IFERROR(VALUE(TRIM(LEFT(Sync!$AE1719,FIND("/",Sync!$AE1719)-1))),""))))</f>
        <v/>
      </c>
      <c r="H1719" t="str">
        <f>IF(OR($F1719="",$G1719=""),"",IF(ISNUMBER(Sync!$AE1719),INT(MOD(Sync!$AE1719,10000)/100),IFERROR(VALUE(TRIM(LEFT(MID(Sync!$AE1719,FIND("/",Sync!$AE1719)+1,20),FIND("/",MID(Sync!$AE1719,FIND("/",Sync!$AE1719)+1,20))-1))),"")))</f>
        <v/>
      </c>
      <c r="I1719" t="str">
        <f>IF(OR($F1719="",$G1719=""),"",IF(ISNUMBER(Sync!$AE1719),MOD(Sync!$AE1719,100),IFERROR(VALUE(TRIM(MID(MID(Sync!$AE1719,FIND("/",Sync!$AE1719)+1,20),FIND("/",MID(Sync!$AE1719,FIND("/",Sync!$AE1719)+1,20))+1,20))),"")))</f>
        <v/>
      </c>
      <c r="J1719" t="str">
        <f t="shared" si="132"/>
        <v/>
      </c>
      <c r="K1719" t="str">
        <f>IF(OR($F1719="",$J1719="",$J1719="نامعتبر"),"",LEFT($J1719,4)&amp;MID($J1719,6,2)&amp;RIGHT($J1719,2)&amp;$N1719&amp;"|"&amp;"2"&amp;RIGHT("00000"&amp;1714,5))</f>
        <v/>
      </c>
      <c r="L1719" t="str">
        <f t="shared" si="133"/>
        <v/>
      </c>
      <c r="M1719" t="str">
        <f t="shared" si="134"/>
        <v/>
      </c>
      <c r="N1719" t="str">
        <f>IF($F1719="","",IF(Sync!$AF1719="","0000",IF(AND(ISNUMBER(Sync!$AF1719),Sync!$AF1719&gt;=0,Sync!$AF1719&lt;1),RIGHT("00"&amp;HOUR(Sync!$AF1719),2)&amp;RIGHT("00"&amp;MINUTE(Sync!$AF1719),2),IFERROR(RIGHT("00"&amp;VALUE(LEFT(Sync!$AF1719,FIND(":",Sync!$AF1719)-1)),2)&amp;RIGHT("00"&amp;VALUE(MID(Sync!$AF1719,FIND(":",Sync!$AF1719)+1,2)),2),"0000"))))</f>
        <v/>
      </c>
    </row>
    <row r="1720" spans="1:14" x14ac:dyDescent="0.2">
      <c r="A1720" t="str">
        <f>IF(OR(Calc!$E1724="",Calc!$E1724="نامعتبر",Calc!$G1724=""),"",Calc!$G1724)</f>
        <v/>
      </c>
      <c r="B1720" t="str">
        <f>IF($A1720="","",LEFT(Calc!$E1724,4)&amp;MID(Calc!$E1724,6,2)&amp;RIGHT(Calc!$E1724,2)&amp;Calc!$Q1724&amp;"|"&amp;"1"&amp;RIGHT("00000"&amp;1715,5))</f>
        <v/>
      </c>
      <c r="C1720" t="str">
        <f t="shared" si="130"/>
        <v/>
      </c>
      <c r="D1720" t="str">
        <f t="shared" si="131"/>
        <v/>
      </c>
      <c r="F1720" t="str">
        <f>IF(Sync!$AH1720="","",IF(LEFT(UPPER(TRIM(Sync!$AH1720)),2)="SL",UPPER(TRIM(Sync!$AH1720)),""))</f>
        <v/>
      </c>
      <c r="G1720" t="str">
        <f>IF($F1720="","",IF(Sync!$AE1720="","",IF(ISNUMBER(Sync!$AE1720),IF(AND(Sync!$AE1720&gt;=10000101,Sync!$AE1720&lt;=99991231),INT(Sync!$AE1720/10000),""),IFERROR(VALUE(TRIM(LEFT(Sync!$AE1720,FIND("/",Sync!$AE1720)-1))),""))))</f>
        <v/>
      </c>
      <c r="H1720" t="str">
        <f>IF(OR($F1720="",$G1720=""),"",IF(ISNUMBER(Sync!$AE1720),INT(MOD(Sync!$AE1720,10000)/100),IFERROR(VALUE(TRIM(LEFT(MID(Sync!$AE1720,FIND("/",Sync!$AE1720)+1,20),FIND("/",MID(Sync!$AE1720,FIND("/",Sync!$AE1720)+1,20))-1))),"")))</f>
        <v/>
      </c>
      <c r="I1720" t="str">
        <f>IF(OR($F1720="",$G1720=""),"",IF(ISNUMBER(Sync!$AE1720),MOD(Sync!$AE1720,100),IFERROR(VALUE(TRIM(MID(MID(Sync!$AE1720,FIND("/",Sync!$AE1720)+1,20),FIND("/",MID(Sync!$AE1720,FIND("/",Sync!$AE1720)+1,20))+1,20))),"")))</f>
        <v/>
      </c>
      <c r="J1720" t="str">
        <f t="shared" si="132"/>
        <v/>
      </c>
      <c r="K1720" t="str">
        <f>IF(OR($F1720="",$J1720="",$J1720="نامعتبر"),"",LEFT($J1720,4)&amp;MID($J1720,6,2)&amp;RIGHT($J1720,2)&amp;$N1720&amp;"|"&amp;"2"&amp;RIGHT("00000"&amp;1715,5))</f>
        <v/>
      </c>
      <c r="L1720" t="str">
        <f t="shared" si="133"/>
        <v/>
      </c>
      <c r="M1720" t="str">
        <f t="shared" si="134"/>
        <v/>
      </c>
      <c r="N1720" t="str">
        <f>IF($F1720="","",IF(Sync!$AF1720="","0000",IF(AND(ISNUMBER(Sync!$AF1720),Sync!$AF1720&gt;=0,Sync!$AF1720&lt;1),RIGHT("00"&amp;HOUR(Sync!$AF1720),2)&amp;RIGHT("00"&amp;MINUTE(Sync!$AF1720),2),IFERROR(RIGHT("00"&amp;VALUE(LEFT(Sync!$AF1720,FIND(":",Sync!$AF1720)-1)),2)&amp;RIGHT("00"&amp;VALUE(MID(Sync!$AF1720,FIND(":",Sync!$AF1720)+1,2)),2),"0000"))))</f>
        <v/>
      </c>
    </row>
    <row r="1721" spans="1:14" x14ac:dyDescent="0.2">
      <c r="A1721" t="str">
        <f>IF(OR(Calc!$E1725="",Calc!$E1725="نامعتبر",Calc!$G1725=""),"",Calc!$G1725)</f>
        <v/>
      </c>
      <c r="B1721" t="str">
        <f>IF($A1721="","",LEFT(Calc!$E1725,4)&amp;MID(Calc!$E1725,6,2)&amp;RIGHT(Calc!$E1725,2)&amp;Calc!$Q1725&amp;"|"&amp;"1"&amp;RIGHT("00000"&amp;1716,5))</f>
        <v/>
      </c>
      <c r="C1721" t="str">
        <f t="shared" si="130"/>
        <v/>
      </c>
      <c r="D1721" t="str">
        <f t="shared" si="131"/>
        <v/>
      </c>
      <c r="F1721" t="str">
        <f>IF(Sync!$AH1721="","",IF(LEFT(UPPER(TRIM(Sync!$AH1721)),2)="SL",UPPER(TRIM(Sync!$AH1721)),""))</f>
        <v/>
      </c>
      <c r="G1721" t="str">
        <f>IF($F1721="","",IF(Sync!$AE1721="","",IF(ISNUMBER(Sync!$AE1721),IF(AND(Sync!$AE1721&gt;=10000101,Sync!$AE1721&lt;=99991231),INT(Sync!$AE1721/10000),""),IFERROR(VALUE(TRIM(LEFT(Sync!$AE1721,FIND("/",Sync!$AE1721)-1))),""))))</f>
        <v/>
      </c>
      <c r="H1721" t="str">
        <f>IF(OR($F1721="",$G1721=""),"",IF(ISNUMBER(Sync!$AE1721),INT(MOD(Sync!$AE1721,10000)/100),IFERROR(VALUE(TRIM(LEFT(MID(Sync!$AE1721,FIND("/",Sync!$AE1721)+1,20),FIND("/",MID(Sync!$AE1721,FIND("/",Sync!$AE1721)+1,20))-1))),"")))</f>
        <v/>
      </c>
      <c r="I1721" t="str">
        <f>IF(OR($F1721="",$G1721=""),"",IF(ISNUMBER(Sync!$AE1721),MOD(Sync!$AE1721,100),IFERROR(VALUE(TRIM(MID(MID(Sync!$AE1721,FIND("/",Sync!$AE1721)+1,20),FIND("/",MID(Sync!$AE1721,FIND("/",Sync!$AE1721)+1,20))+1,20))),"")))</f>
        <v/>
      </c>
      <c r="J1721" t="str">
        <f t="shared" si="132"/>
        <v/>
      </c>
      <c r="K1721" t="str">
        <f>IF(OR($F1721="",$J1721="",$J1721="نامعتبر"),"",LEFT($J1721,4)&amp;MID($J1721,6,2)&amp;RIGHT($J1721,2)&amp;$N1721&amp;"|"&amp;"2"&amp;RIGHT("00000"&amp;1716,5))</f>
        <v/>
      </c>
      <c r="L1721" t="str">
        <f t="shared" si="133"/>
        <v/>
      </c>
      <c r="M1721" t="str">
        <f t="shared" si="134"/>
        <v/>
      </c>
      <c r="N1721" t="str">
        <f>IF($F1721="","",IF(Sync!$AF1721="","0000",IF(AND(ISNUMBER(Sync!$AF1721),Sync!$AF1721&gt;=0,Sync!$AF1721&lt;1),RIGHT("00"&amp;HOUR(Sync!$AF1721),2)&amp;RIGHT("00"&amp;MINUTE(Sync!$AF1721),2),IFERROR(RIGHT("00"&amp;VALUE(LEFT(Sync!$AF1721,FIND(":",Sync!$AF1721)-1)),2)&amp;RIGHT("00"&amp;VALUE(MID(Sync!$AF1721,FIND(":",Sync!$AF1721)+1,2)),2),"0000"))))</f>
        <v/>
      </c>
    </row>
    <row r="1722" spans="1:14" x14ac:dyDescent="0.2">
      <c r="A1722" t="str">
        <f>IF(OR(Calc!$E1726="",Calc!$E1726="نامعتبر",Calc!$G1726=""),"",Calc!$G1726)</f>
        <v/>
      </c>
      <c r="B1722" t="str">
        <f>IF($A1722="","",LEFT(Calc!$E1726,4)&amp;MID(Calc!$E1726,6,2)&amp;RIGHT(Calc!$E1726,2)&amp;Calc!$Q1726&amp;"|"&amp;"1"&amp;RIGHT("00000"&amp;1717,5))</f>
        <v/>
      </c>
      <c r="C1722" t="str">
        <f t="shared" si="130"/>
        <v/>
      </c>
      <c r="D1722" t="str">
        <f t="shared" si="131"/>
        <v/>
      </c>
      <c r="F1722" t="str">
        <f>IF(Sync!$AH1722="","",IF(LEFT(UPPER(TRIM(Sync!$AH1722)),2)="SL",UPPER(TRIM(Sync!$AH1722)),""))</f>
        <v/>
      </c>
      <c r="G1722" t="str">
        <f>IF($F1722="","",IF(Sync!$AE1722="","",IF(ISNUMBER(Sync!$AE1722),IF(AND(Sync!$AE1722&gt;=10000101,Sync!$AE1722&lt;=99991231),INT(Sync!$AE1722/10000),""),IFERROR(VALUE(TRIM(LEFT(Sync!$AE1722,FIND("/",Sync!$AE1722)-1))),""))))</f>
        <v/>
      </c>
      <c r="H1722" t="str">
        <f>IF(OR($F1722="",$G1722=""),"",IF(ISNUMBER(Sync!$AE1722),INT(MOD(Sync!$AE1722,10000)/100),IFERROR(VALUE(TRIM(LEFT(MID(Sync!$AE1722,FIND("/",Sync!$AE1722)+1,20),FIND("/",MID(Sync!$AE1722,FIND("/",Sync!$AE1722)+1,20))-1))),"")))</f>
        <v/>
      </c>
      <c r="I1722" t="str">
        <f>IF(OR($F1722="",$G1722=""),"",IF(ISNUMBER(Sync!$AE1722),MOD(Sync!$AE1722,100),IFERROR(VALUE(TRIM(MID(MID(Sync!$AE1722,FIND("/",Sync!$AE1722)+1,20),FIND("/",MID(Sync!$AE1722,FIND("/",Sync!$AE1722)+1,20))+1,20))),"")))</f>
        <v/>
      </c>
      <c r="J1722" t="str">
        <f t="shared" si="132"/>
        <v/>
      </c>
      <c r="K1722" t="str">
        <f>IF(OR($F1722="",$J1722="",$J1722="نامعتبر"),"",LEFT($J1722,4)&amp;MID($J1722,6,2)&amp;RIGHT($J1722,2)&amp;$N1722&amp;"|"&amp;"2"&amp;RIGHT("00000"&amp;1717,5))</f>
        <v/>
      </c>
      <c r="L1722" t="str">
        <f t="shared" si="133"/>
        <v/>
      </c>
      <c r="M1722" t="str">
        <f t="shared" si="134"/>
        <v/>
      </c>
      <c r="N1722" t="str">
        <f>IF($F1722="","",IF(Sync!$AF1722="","0000",IF(AND(ISNUMBER(Sync!$AF1722),Sync!$AF1722&gt;=0,Sync!$AF1722&lt;1),RIGHT("00"&amp;HOUR(Sync!$AF1722),2)&amp;RIGHT("00"&amp;MINUTE(Sync!$AF1722),2),IFERROR(RIGHT("00"&amp;VALUE(LEFT(Sync!$AF1722,FIND(":",Sync!$AF1722)-1)),2)&amp;RIGHT("00"&amp;VALUE(MID(Sync!$AF1722,FIND(":",Sync!$AF1722)+1,2)),2),"0000"))))</f>
        <v/>
      </c>
    </row>
    <row r="1723" spans="1:14" x14ac:dyDescent="0.2">
      <c r="A1723" t="str">
        <f>IF(OR(Calc!$E1727="",Calc!$E1727="نامعتبر",Calc!$G1727=""),"",Calc!$G1727)</f>
        <v/>
      </c>
      <c r="B1723" t="str">
        <f>IF($A1723="","",LEFT(Calc!$E1727,4)&amp;MID(Calc!$E1727,6,2)&amp;RIGHT(Calc!$E1727,2)&amp;Calc!$Q1727&amp;"|"&amp;"1"&amp;RIGHT("00000"&amp;1718,5))</f>
        <v/>
      </c>
      <c r="C1723" t="str">
        <f t="shared" si="130"/>
        <v/>
      </c>
      <c r="D1723" t="str">
        <f t="shared" si="131"/>
        <v/>
      </c>
      <c r="F1723" t="str">
        <f>IF(Sync!$AH1723="","",IF(LEFT(UPPER(TRIM(Sync!$AH1723)),2)="SL",UPPER(TRIM(Sync!$AH1723)),""))</f>
        <v/>
      </c>
      <c r="G1723" t="str">
        <f>IF($F1723="","",IF(Sync!$AE1723="","",IF(ISNUMBER(Sync!$AE1723),IF(AND(Sync!$AE1723&gt;=10000101,Sync!$AE1723&lt;=99991231),INT(Sync!$AE1723/10000),""),IFERROR(VALUE(TRIM(LEFT(Sync!$AE1723,FIND("/",Sync!$AE1723)-1))),""))))</f>
        <v/>
      </c>
      <c r="H1723" t="str">
        <f>IF(OR($F1723="",$G1723=""),"",IF(ISNUMBER(Sync!$AE1723),INT(MOD(Sync!$AE1723,10000)/100),IFERROR(VALUE(TRIM(LEFT(MID(Sync!$AE1723,FIND("/",Sync!$AE1723)+1,20),FIND("/",MID(Sync!$AE1723,FIND("/",Sync!$AE1723)+1,20))-1))),"")))</f>
        <v/>
      </c>
      <c r="I1723" t="str">
        <f>IF(OR($F1723="",$G1723=""),"",IF(ISNUMBER(Sync!$AE1723),MOD(Sync!$AE1723,100),IFERROR(VALUE(TRIM(MID(MID(Sync!$AE1723,FIND("/",Sync!$AE1723)+1,20),FIND("/",MID(Sync!$AE1723,FIND("/",Sync!$AE1723)+1,20))+1,20))),"")))</f>
        <v/>
      </c>
      <c r="J1723" t="str">
        <f t="shared" si="132"/>
        <v/>
      </c>
      <c r="K1723" t="str">
        <f>IF(OR($F1723="",$J1723="",$J1723="نامعتبر"),"",LEFT($J1723,4)&amp;MID($J1723,6,2)&amp;RIGHT($J1723,2)&amp;$N1723&amp;"|"&amp;"2"&amp;RIGHT("00000"&amp;1718,5))</f>
        <v/>
      </c>
      <c r="L1723" t="str">
        <f t="shared" si="133"/>
        <v/>
      </c>
      <c r="M1723" t="str">
        <f t="shared" si="134"/>
        <v/>
      </c>
      <c r="N1723" t="str">
        <f>IF($F1723="","",IF(Sync!$AF1723="","0000",IF(AND(ISNUMBER(Sync!$AF1723),Sync!$AF1723&gt;=0,Sync!$AF1723&lt;1),RIGHT("00"&amp;HOUR(Sync!$AF1723),2)&amp;RIGHT("00"&amp;MINUTE(Sync!$AF1723),2),IFERROR(RIGHT("00"&amp;VALUE(LEFT(Sync!$AF1723,FIND(":",Sync!$AF1723)-1)),2)&amp;RIGHT("00"&amp;VALUE(MID(Sync!$AF1723,FIND(":",Sync!$AF1723)+1,2)),2),"0000"))))</f>
        <v/>
      </c>
    </row>
    <row r="1724" spans="1:14" x14ac:dyDescent="0.2">
      <c r="A1724" t="str">
        <f>IF(OR(Calc!$E1728="",Calc!$E1728="نامعتبر",Calc!$G1728=""),"",Calc!$G1728)</f>
        <v/>
      </c>
      <c r="B1724" t="str">
        <f>IF($A1724="","",LEFT(Calc!$E1728,4)&amp;MID(Calc!$E1728,6,2)&amp;RIGHT(Calc!$E1728,2)&amp;Calc!$Q1728&amp;"|"&amp;"1"&amp;RIGHT("00000"&amp;1719,5))</f>
        <v/>
      </c>
      <c r="C1724" t="str">
        <f t="shared" si="130"/>
        <v/>
      </c>
      <c r="D1724" t="str">
        <f t="shared" si="131"/>
        <v/>
      </c>
      <c r="F1724" t="str">
        <f>IF(Sync!$AH1724="","",IF(LEFT(UPPER(TRIM(Sync!$AH1724)),2)="SL",UPPER(TRIM(Sync!$AH1724)),""))</f>
        <v/>
      </c>
      <c r="G1724" t="str">
        <f>IF($F1724="","",IF(Sync!$AE1724="","",IF(ISNUMBER(Sync!$AE1724),IF(AND(Sync!$AE1724&gt;=10000101,Sync!$AE1724&lt;=99991231),INT(Sync!$AE1724/10000),""),IFERROR(VALUE(TRIM(LEFT(Sync!$AE1724,FIND("/",Sync!$AE1724)-1))),""))))</f>
        <v/>
      </c>
      <c r="H1724" t="str">
        <f>IF(OR($F1724="",$G1724=""),"",IF(ISNUMBER(Sync!$AE1724),INT(MOD(Sync!$AE1724,10000)/100),IFERROR(VALUE(TRIM(LEFT(MID(Sync!$AE1724,FIND("/",Sync!$AE1724)+1,20),FIND("/",MID(Sync!$AE1724,FIND("/",Sync!$AE1724)+1,20))-1))),"")))</f>
        <v/>
      </c>
      <c r="I1724" t="str">
        <f>IF(OR($F1724="",$G1724=""),"",IF(ISNUMBER(Sync!$AE1724),MOD(Sync!$AE1724,100),IFERROR(VALUE(TRIM(MID(MID(Sync!$AE1724,FIND("/",Sync!$AE1724)+1,20),FIND("/",MID(Sync!$AE1724,FIND("/",Sync!$AE1724)+1,20))+1,20))),"")))</f>
        <v/>
      </c>
      <c r="J1724" t="str">
        <f t="shared" si="132"/>
        <v/>
      </c>
      <c r="K1724" t="str">
        <f>IF(OR($F1724="",$J1724="",$J1724="نامعتبر"),"",LEFT($J1724,4)&amp;MID($J1724,6,2)&amp;RIGHT($J1724,2)&amp;$N1724&amp;"|"&amp;"2"&amp;RIGHT("00000"&amp;1719,5))</f>
        <v/>
      </c>
      <c r="L1724" t="str">
        <f t="shared" si="133"/>
        <v/>
      </c>
      <c r="M1724" t="str">
        <f t="shared" si="134"/>
        <v/>
      </c>
      <c r="N1724" t="str">
        <f>IF($F1724="","",IF(Sync!$AF1724="","0000",IF(AND(ISNUMBER(Sync!$AF1724),Sync!$AF1724&gt;=0,Sync!$AF1724&lt;1),RIGHT("00"&amp;HOUR(Sync!$AF1724),2)&amp;RIGHT("00"&amp;MINUTE(Sync!$AF1724),2),IFERROR(RIGHT("00"&amp;VALUE(LEFT(Sync!$AF1724,FIND(":",Sync!$AF1724)-1)),2)&amp;RIGHT("00"&amp;VALUE(MID(Sync!$AF1724,FIND(":",Sync!$AF1724)+1,2)),2),"0000"))))</f>
        <v/>
      </c>
    </row>
    <row r="1725" spans="1:14" x14ac:dyDescent="0.2">
      <c r="A1725" t="str">
        <f>IF(OR(Calc!$E1729="",Calc!$E1729="نامعتبر",Calc!$G1729=""),"",Calc!$G1729)</f>
        <v/>
      </c>
      <c r="B1725" t="str">
        <f>IF($A1725="","",LEFT(Calc!$E1729,4)&amp;MID(Calc!$E1729,6,2)&amp;RIGHT(Calc!$E1729,2)&amp;Calc!$Q1729&amp;"|"&amp;"1"&amp;RIGHT("00000"&amp;1720,5))</f>
        <v/>
      </c>
      <c r="C1725" t="str">
        <f t="shared" si="130"/>
        <v/>
      </c>
      <c r="D1725" t="str">
        <f t="shared" si="131"/>
        <v/>
      </c>
      <c r="F1725" t="str">
        <f>IF(Sync!$AH1725="","",IF(LEFT(UPPER(TRIM(Sync!$AH1725)),2)="SL",UPPER(TRIM(Sync!$AH1725)),""))</f>
        <v/>
      </c>
      <c r="G1725" t="str">
        <f>IF($F1725="","",IF(Sync!$AE1725="","",IF(ISNUMBER(Sync!$AE1725),IF(AND(Sync!$AE1725&gt;=10000101,Sync!$AE1725&lt;=99991231),INT(Sync!$AE1725/10000),""),IFERROR(VALUE(TRIM(LEFT(Sync!$AE1725,FIND("/",Sync!$AE1725)-1))),""))))</f>
        <v/>
      </c>
      <c r="H1725" t="str">
        <f>IF(OR($F1725="",$G1725=""),"",IF(ISNUMBER(Sync!$AE1725),INT(MOD(Sync!$AE1725,10000)/100),IFERROR(VALUE(TRIM(LEFT(MID(Sync!$AE1725,FIND("/",Sync!$AE1725)+1,20),FIND("/",MID(Sync!$AE1725,FIND("/",Sync!$AE1725)+1,20))-1))),"")))</f>
        <v/>
      </c>
      <c r="I1725" t="str">
        <f>IF(OR($F1725="",$G1725=""),"",IF(ISNUMBER(Sync!$AE1725),MOD(Sync!$AE1725,100),IFERROR(VALUE(TRIM(MID(MID(Sync!$AE1725,FIND("/",Sync!$AE1725)+1,20),FIND("/",MID(Sync!$AE1725,FIND("/",Sync!$AE1725)+1,20))+1,20))),"")))</f>
        <v/>
      </c>
      <c r="J1725" t="str">
        <f t="shared" si="132"/>
        <v/>
      </c>
      <c r="K1725" t="str">
        <f>IF(OR($F1725="",$J1725="",$J1725="نامعتبر"),"",LEFT($J1725,4)&amp;MID($J1725,6,2)&amp;RIGHT($J1725,2)&amp;$N1725&amp;"|"&amp;"2"&amp;RIGHT("00000"&amp;1720,5))</f>
        <v/>
      </c>
      <c r="L1725" t="str">
        <f t="shared" si="133"/>
        <v/>
      </c>
      <c r="M1725" t="str">
        <f t="shared" si="134"/>
        <v/>
      </c>
      <c r="N1725" t="str">
        <f>IF($F1725="","",IF(Sync!$AF1725="","0000",IF(AND(ISNUMBER(Sync!$AF1725),Sync!$AF1725&gt;=0,Sync!$AF1725&lt;1),RIGHT("00"&amp;HOUR(Sync!$AF1725),2)&amp;RIGHT("00"&amp;MINUTE(Sync!$AF1725),2),IFERROR(RIGHT("00"&amp;VALUE(LEFT(Sync!$AF1725,FIND(":",Sync!$AF1725)-1)),2)&amp;RIGHT("00"&amp;VALUE(MID(Sync!$AF1725,FIND(":",Sync!$AF1725)+1,2)),2),"0000"))))</f>
        <v/>
      </c>
    </row>
    <row r="1726" spans="1:14" x14ac:dyDescent="0.2">
      <c r="A1726" t="str">
        <f>IF(OR(Calc!$E1730="",Calc!$E1730="نامعتبر",Calc!$G1730=""),"",Calc!$G1730)</f>
        <v/>
      </c>
      <c r="B1726" t="str">
        <f>IF($A1726="","",LEFT(Calc!$E1730,4)&amp;MID(Calc!$E1730,6,2)&amp;RIGHT(Calc!$E1730,2)&amp;Calc!$Q1730&amp;"|"&amp;"1"&amp;RIGHT("00000"&amp;1721,5))</f>
        <v/>
      </c>
      <c r="C1726" t="str">
        <f t="shared" si="130"/>
        <v/>
      </c>
      <c r="D1726" t="str">
        <f t="shared" si="131"/>
        <v/>
      </c>
      <c r="F1726" t="str">
        <f>IF(Sync!$AH1726="","",IF(LEFT(UPPER(TRIM(Sync!$AH1726)),2)="SL",UPPER(TRIM(Sync!$AH1726)),""))</f>
        <v/>
      </c>
      <c r="G1726" t="str">
        <f>IF($F1726="","",IF(Sync!$AE1726="","",IF(ISNUMBER(Sync!$AE1726),IF(AND(Sync!$AE1726&gt;=10000101,Sync!$AE1726&lt;=99991231),INT(Sync!$AE1726/10000),""),IFERROR(VALUE(TRIM(LEFT(Sync!$AE1726,FIND("/",Sync!$AE1726)-1))),""))))</f>
        <v/>
      </c>
      <c r="H1726" t="str">
        <f>IF(OR($F1726="",$G1726=""),"",IF(ISNUMBER(Sync!$AE1726),INT(MOD(Sync!$AE1726,10000)/100),IFERROR(VALUE(TRIM(LEFT(MID(Sync!$AE1726,FIND("/",Sync!$AE1726)+1,20),FIND("/",MID(Sync!$AE1726,FIND("/",Sync!$AE1726)+1,20))-1))),"")))</f>
        <v/>
      </c>
      <c r="I1726" t="str">
        <f>IF(OR($F1726="",$G1726=""),"",IF(ISNUMBER(Sync!$AE1726),MOD(Sync!$AE1726,100),IFERROR(VALUE(TRIM(MID(MID(Sync!$AE1726,FIND("/",Sync!$AE1726)+1,20),FIND("/",MID(Sync!$AE1726,FIND("/",Sync!$AE1726)+1,20))+1,20))),"")))</f>
        <v/>
      </c>
      <c r="J1726" t="str">
        <f t="shared" si="132"/>
        <v/>
      </c>
      <c r="K1726" t="str">
        <f>IF(OR($F1726="",$J1726="",$J1726="نامعتبر"),"",LEFT($J1726,4)&amp;MID($J1726,6,2)&amp;RIGHT($J1726,2)&amp;$N1726&amp;"|"&amp;"2"&amp;RIGHT("00000"&amp;1721,5))</f>
        <v/>
      </c>
      <c r="L1726" t="str">
        <f t="shared" si="133"/>
        <v/>
      </c>
      <c r="M1726" t="str">
        <f t="shared" si="134"/>
        <v/>
      </c>
      <c r="N1726" t="str">
        <f>IF($F1726="","",IF(Sync!$AF1726="","0000",IF(AND(ISNUMBER(Sync!$AF1726),Sync!$AF1726&gt;=0,Sync!$AF1726&lt;1),RIGHT("00"&amp;HOUR(Sync!$AF1726),2)&amp;RIGHT("00"&amp;MINUTE(Sync!$AF1726),2),IFERROR(RIGHT("00"&amp;VALUE(LEFT(Sync!$AF1726,FIND(":",Sync!$AF1726)-1)),2)&amp;RIGHT("00"&amp;VALUE(MID(Sync!$AF1726,FIND(":",Sync!$AF1726)+1,2)),2),"0000"))))</f>
        <v/>
      </c>
    </row>
    <row r="1727" spans="1:14" x14ac:dyDescent="0.2">
      <c r="A1727" t="str">
        <f>IF(OR(Calc!$E1731="",Calc!$E1731="نامعتبر",Calc!$G1731=""),"",Calc!$G1731)</f>
        <v/>
      </c>
      <c r="B1727" t="str">
        <f>IF($A1727="","",LEFT(Calc!$E1731,4)&amp;MID(Calc!$E1731,6,2)&amp;RIGHT(Calc!$E1731,2)&amp;Calc!$Q1731&amp;"|"&amp;"1"&amp;RIGHT("00000"&amp;1722,5))</f>
        <v/>
      </c>
      <c r="C1727" t="str">
        <f t="shared" si="130"/>
        <v/>
      </c>
      <c r="D1727" t="str">
        <f t="shared" si="131"/>
        <v/>
      </c>
      <c r="F1727" t="str">
        <f>IF(Sync!$AH1727="","",IF(LEFT(UPPER(TRIM(Sync!$AH1727)),2)="SL",UPPER(TRIM(Sync!$AH1727)),""))</f>
        <v/>
      </c>
      <c r="G1727" t="str">
        <f>IF($F1727="","",IF(Sync!$AE1727="","",IF(ISNUMBER(Sync!$AE1727),IF(AND(Sync!$AE1727&gt;=10000101,Sync!$AE1727&lt;=99991231),INT(Sync!$AE1727/10000),""),IFERROR(VALUE(TRIM(LEFT(Sync!$AE1727,FIND("/",Sync!$AE1727)-1))),""))))</f>
        <v/>
      </c>
      <c r="H1727" t="str">
        <f>IF(OR($F1727="",$G1727=""),"",IF(ISNUMBER(Sync!$AE1727),INT(MOD(Sync!$AE1727,10000)/100),IFERROR(VALUE(TRIM(LEFT(MID(Sync!$AE1727,FIND("/",Sync!$AE1727)+1,20),FIND("/",MID(Sync!$AE1727,FIND("/",Sync!$AE1727)+1,20))-1))),"")))</f>
        <v/>
      </c>
      <c r="I1727" t="str">
        <f>IF(OR($F1727="",$G1727=""),"",IF(ISNUMBER(Sync!$AE1727),MOD(Sync!$AE1727,100),IFERROR(VALUE(TRIM(MID(MID(Sync!$AE1727,FIND("/",Sync!$AE1727)+1,20),FIND("/",MID(Sync!$AE1727,FIND("/",Sync!$AE1727)+1,20))+1,20))),"")))</f>
        <v/>
      </c>
      <c r="J1727" t="str">
        <f t="shared" si="132"/>
        <v/>
      </c>
      <c r="K1727" t="str">
        <f>IF(OR($F1727="",$J1727="",$J1727="نامعتبر"),"",LEFT($J1727,4)&amp;MID($J1727,6,2)&amp;RIGHT($J1727,2)&amp;$N1727&amp;"|"&amp;"2"&amp;RIGHT("00000"&amp;1722,5))</f>
        <v/>
      </c>
      <c r="L1727" t="str">
        <f t="shared" si="133"/>
        <v/>
      </c>
      <c r="M1727" t="str">
        <f t="shared" si="134"/>
        <v/>
      </c>
      <c r="N1727" t="str">
        <f>IF($F1727="","",IF(Sync!$AF1727="","0000",IF(AND(ISNUMBER(Sync!$AF1727),Sync!$AF1727&gt;=0,Sync!$AF1727&lt;1),RIGHT("00"&amp;HOUR(Sync!$AF1727),2)&amp;RIGHT("00"&amp;MINUTE(Sync!$AF1727),2),IFERROR(RIGHT("00"&amp;VALUE(LEFT(Sync!$AF1727,FIND(":",Sync!$AF1727)-1)),2)&amp;RIGHT("00"&amp;VALUE(MID(Sync!$AF1727,FIND(":",Sync!$AF1727)+1,2)),2),"0000"))))</f>
        <v/>
      </c>
    </row>
    <row r="1728" spans="1:14" x14ac:dyDescent="0.2">
      <c r="A1728" t="str">
        <f>IF(OR(Calc!$E1732="",Calc!$E1732="نامعتبر",Calc!$G1732=""),"",Calc!$G1732)</f>
        <v/>
      </c>
      <c r="B1728" t="str">
        <f>IF($A1728="","",LEFT(Calc!$E1732,4)&amp;MID(Calc!$E1732,6,2)&amp;RIGHT(Calc!$E1732,2)&amp;Calc!$Q1732&amp;"|"&amp;"1"&amp;RIGHT("00000"&amp;1723,5))</f>
        <v/>
      </c>
      <c r="C1728" t="str">
        <f t="shared" si="130"/>
        <v/>
      </c>
      <c r="D1728" t="str">
        <f t="shared" si="131"/>
        <v/>
      </c>
      <c r="F1728" t="str">
        <f>IF(Sync!$AH1728="","",IF(LEFT(UPPER(TRIM(Sync!$AH1728)),2)="SL",UPPER(TRIM(Sync!$AH1728)),""))</f>
        <v/>
      </c>
      <c r="G1728" t="str">
        <f>IF($F1728="","",IF(Sync!$AE1728="","",IF(ISNUMBER(Sync!$AE1728),IF(AND(Sync!$AE1728&gt;=10000101,Sync!$AE1728&lt;=99991231),INT(Sync!$AE1728/10000),""),IFERROR(VALUE(TRIM(LEFT(Sync!$AE1728,FIND("/",Sync!$AE1728)-1))),""))))</f>
        <v/>
      </c>
      <c r="H1728" t="str">
        <f>IF(OR($F1728="",$G1728=""),"",IF(ISNUMBER(Sync!$AE1728),INT(MOD(Sync!$AE1728,10000)/100),IFERROR(VALUE(TRIM(LEFT(MID(Sync!$AE1728,FIND("/",Sync!$AE1728)+1,20),FIND("/",MID(Sync!$AE1728,FIND("/",Sync!$AE1728)+1,20))-1))),"")))</f>
        <v/>
      </c>
      <c r="I1728" t="str">
        <f>IF(OR($F1728="",$G1728=""),"",IF(ISNUMBER(Sync!$AE1728),MOD(Sync!$AE1728,100),IFERROR(VALUE(TRIM(MID(MID(Sync!$AE1728,FIND("/",Sync!$AE1728)+1,20),FIND("/",MID(Sync!$AE1728,FIND("/",Sync!$AE1728)+1,20))+1,20))),"")))</f>
        <v/>
      </c>
      <c r="J1728" t="str">
        <f t="shared" si="132"/>
        <v/>
      </c>
      <c r="K1728" t="str">
        <f>IF(OR($F1728="",$J1728="",$J1728="نامعتبر"),"",LEFT($J1728,4)&amp;MID($J1728,6,2)&amp;RIGHT($J1728,2)&amp;$N1728&amp;"|"&amp;"2"&amp;RIGHT("00000"&amp;1723,5))</f>
        <v/>
      </c>
      <c r="L1728" t="str">
        <f t="shared" si="133"/>
        <v/>
      </c>
      <c r="M1728" t="str">
        <f t="shared" si="134"/>
        <v/>
      </c>
      <c r="N1728" t="str">
        <f>IF($F1728="","",IF(Sync!$AF1728="","0000",IF(AND(ISNUMBER(Sync!$AF1728),Sync!$AF1728&gt;=0,Sync!$AF1728&lt;1),RIGHT("00"&amp;HOUR(Sync!$AF1728),2)&amp;RIGHT("00"&amp;MINUTE(Sync!$AF1728),2),IFERROR(RIGHT("00"&amp;VALUE(LEFT(Sync!$AF1728,FIND(":",Sync!$AF1728)-1)),2)&amp;RIGHT("00"&amp;VALUE(MID(Sync!$AF1728,FIND(":",Sync!$AF1728)+1,2)),2),"0000"))))</f>
        <v/>
      </c>
    </row>
    <row r="1729" spans="1:14" x14ac:dyDescent="0.2">
      <c r="A1729" t="str">
        <f>IF(OR(Calc!$E1733="",Calc!$E1733="نامعتبر",Calc!$G1733=""),"",Calc!$G1733)</f>
        <v/>
      </c>
      <c r="B1729" t="str">
        <f>IF($A1729="","",LEFT(Calc!$E1733,4)&amp;MID(Calc!$E1733,6,2)&amp;RIGHT(Calc!$E1733,2)&amp;Calc!$Q1733&amp;"|"&amp;"1"&amp;RIGHT("00000"&amp;1724,5))</f>
        <v/>
      </c>
      <c r="C1729" t="str">
        <f t="shared" si="130"/>
        <v/>
      </c>
      <c r="D1729" t="str">
        <f t="shared" si="131"/>
        <v/>
      </c>
      <c r="F1729" t="str">
        <f>IF(Sync!$AH1729="","",IF(LEFT(UPPER(TRIM(Sync!$AH1729)),2)="SL",UPPER(TRIM(Sync!$AH1729)),""))</f>
        <v/>
      </c>
      <c r="G1729" t="str">
        <f>IF($F1729="","",IF(Sync!$AE1729="","",IF(ISNUMBER(Sync!$AE1729),IF(AND(Sync!$AE1729&gt;=10000101,Sync!$AE1729&lt;=99991231),INT(Sync!$AE1729/10000),""),IFERROR(VALUE(TRIM(LEFT(Sync!$AE1729,FIND("/",Sync!$AE1729)-1))),""))))</f>
        <v/>
      </c>
      <c r="H1729" t="str">
        <f>IF(OR($F1729="",$G1729=""),"",IF(ISNUMBER(Sync!$AE1729),INT(MOD(Sync!$AE1729,10000)/100),IFERROR(VALUE(TRIM(LEFT(MID(Sync!$AE1729,FIND("/",Sync!$AE1729)+1,20),FIND("/",MID(Sync!$AE1729,FIND("/",Sync!$AE1729)+1,20))-1))),"")))</f>
        <v/>
      </c>
      <c r="I1729" t="str">
        <f>IF(OR($F1729="",$G1729=""),"",IF(ISNUMBER(Sync!$AE1729),MOD(Sync!$AE1729,100),IFERROR(VALUE(TRIM(MID(MID(Sync!$AE1729,FIND("/",Sync!$AE1729)+1,20),FIND("/",MID(Sync!$AE1729,FIND("/",Sync!$AE1729)+1,20))+1,20))),"")))</f>
        <v/>
      </c>
      <c r="J1729" t="str">
        <f t="shared" si="132"/>
        <v/>
      </c>
      <c r="K1729" t="str">
        <f>IF(OR($F1729="",$J1729="",$J1729="نامعتبر"),"",LEFT($J1729,4)&amp;MID($J1729,6,2)&amp;RIGHT($J1729,2)&amp;$N1729&amp;"|"&amp;"2"&amp;RIGHT("00000"&amp;1724,5))</f>
        <v/>
      </c>
      <c r="L1729" t="str">
        <f t="shared" si="133"/>
        <v/>
      </c>
      <c r="M1729" t="str">
        <f t="shared" si="134"/>
        <v/>
      </c>
      <c r="N1729" t="str">
        <f>IF($F1729="","",IF(Sync!$AF1729="","0000",IF(AND(ISNUMBER(Sync!$AF1729),Sync!$AF1729&gt;=0,Sync!$AF1729&lt;1),RIGHT("00"&amp;HOUR(Sync!$AF1729),2)&amp;RIGHT("00"&amp;MINUTE(Sync!$AF1729),2),IFERROR(RIGHT("00"&amp;VALUE(LEFT(Sync!$AF1729,FIND(":",Sync!$AF1729)-1)),2)&amp;RIGHT("00"&amp;VALUE(MID(Sync!$AF1729,FIND(":",Sync!$AF1729)+1,2)),2),"0000"))))</f>
        <v/>
      </c>
    </row>
    <row r="1730" spans="1:14" x14ac:dyDescent="0.2">
      <c r="A1730" t="str">
        <f>IF(OR(Calc!$E1734="",Calc!$E1734="نامعتبر",Calc!$G1734=""),"",Calc!$G1734)</f>
        <v/>
      </c>
      <c r="B1730" t="str">
        <f>IF($A1730="","",LEFT(Calc!$E1734,4)&amp;MID(Calc!$E1734,6,2)&amp;RIGHT(Calc!$E1734,2)&amp;Calc!$Q1734&amp;"|"&amp;"1"&amp;RIGHT("00000"&amp;1725,5))</f>
        <v/>
      </c>
      <c r="C1730" t="str">
        <f t="shared" si="130"/>
        <v/>
      </c>
      <c r="D1730" t="str">
        <f t="shared" si="131"/>
        <v/>
      </c>
      <c r="F1730" t="str">
        <f>IF(Sync!$AH1730="","",IF(LEFT(UPPER(TRIM(Sync!$AH1730)),2)="SL",UPPER(TRIM(Sync!$AH1730)),""))</f>
        <v/>
      </c>
      <c r="G1730" t="str">
        <f>IF($F1730="","",IF(Sync!$AE1730="","",IF(ISNUMBER(Sync!$AE1730),IF(AND(Sync!$AE1730&gt;=10000101,Sync!$AE1730&lt;=99991231),INT(Sync!$AE1730/10000),""),IFERROR(VALUE(TRIM(LEFT(Sync!$AE1730,FIND("/",Sync!$AE1730)-1))),""))))</f>
        <v/>
      </c>
      <c r="H1730" t="str">
        <f>IF(OR($F1730="",$G1730=""),"",IF(ISNUMBER(Sync!$AE1730),INT(MOD(Sync!$AE1730,10000)/100),IFERROR(VALUE(TRIM(LEFT(MID(Sync!$AE1730,FIND("/",Sync!$AE1730)+1,20),FIND("/",MID(Sync!$AE1730,FIND("/",Sync!$AE1730)+1,20))-1))),"")))</f>
        <v/>
      </c>
      <c r="I1730" t="str">
        <f>IF(OR($F1730="",$G1730=""),"",IF(ISNUMBER(Sync!$AE1730),MOD(Sync!$AE1730,100),IFERROR(VALUE(TRIM(MID(MID(Sync!$AE1730,FIND("/",Sync!$AE1730)+1,20),FIND("/",MID(Sync!$AE1730,FIND("/",Sync!$AE1730)+1,20))+1,20))),"")))</f>
        <v/>
      </c>
      <c r="J1730" t="str">
        <f t="shared" si="132"/>
        <v/>
      </c>
      <c r="K1730" t="str">
        <f>IF(OR($F1730="",$J1730="",$J1730="نامعتبر"),"",LEFT($J1730,4)&amp;MID($J1730,6,2)&amp;RIGHT($J1730,2)&amp;$N1730&amp;"|"&amp;"2"&amp;RIGHT("00000"&amp;1725,5))</f>
        <v/>
      </c>
      <c r="L1730" t="str">
        <f t="shared" si="133"/>
        <v/>
      </c>
      <c r="M1730" t="str">
        <f t="shared" si="134"/>
        <v/>
      </c>
      <c r="N1730" t="str">
        <f>IF($F1730="","",IF(Sync!$AF1730="","0000",IF(AND(ISNUMBER(Sync!$AF1730),Sync!$AF1730&gt;=0,Sync!$AF1730&lt;1),RIGHT("00"&amp;HOUR(Sync!$AF1730),2)&amp;RIGHT("00"&amp;MINUTE(Sync!$AF1730),2),IFERROR(RIGHT("00"&amp;VALUE(LEFT(Sync!$AF1730,FIND(":",Sync!$AF1730)-1)),2)&amp;RIGHT("00"&amp;VALUE(MID(Sync!$AF1730,FIND(":",Sync!$AF1730)+1,2)),2),"0000"))))</f>
        <v/>
      </c>
    </row>
    <row r="1731" spans="1:14" x14ac:dyDescent="0.2">
      <c r="A1731" t="str">
        <f>IF(OR(Calc!$E1735="",Calc!$E1735="نامعتبر",Calc!$G1735=""),"",Calc!$G1735)</f>
        <v/>
      </c>
      <c r="B1731" t="str">
        <f>IF($A1731="","",LEFT(Calc!$E1735,4)&amp;MID(Calc!$E1735,6,2)&amp;RIGHT(Calc!$E1735,2)&amp;Calc!$Q1735&amp;"|"&amp;"1"&amp;RIGHT("00000"&amp;1726,5))</f>
        <v/>
      </c>
      <c r="C1731" t="str">
        <f t="shared" si="130"/>
        <v/>
      </c>
      <c r="D1731" t="str">
        <f t="shared" si="131"/>
        <v/>
      </c>
      <c r="F1731" t="str">
        <f>IF(Sync!$AH1731="","",IF(LEFT(UPPER(TRIM(Sync!$AH1731)),2)="SL",UPPER(TRIM(Sync!$AH1731)),""))</f>
        <v/>
      </c>
      <c r="G1731" t="str">
        <f>IF($F1731="","",IF(Sync!$AE1731="","",IF(ISNUMBER(Sync!$AE1731),IF(AND(Sync!$AE1731&gt;=10000101,Sync!$AE1731&lt;=99991231),INT(Sync!$AE1731/10000),""),IFERROR(VALUE(TRIM(LEFT(Sync!$AE1731,FIND("/",Sync!$AE1731)-1))),""))))</f>
        <v/>
      </c>
      <c r="H1731" t="str">
        <f>IF(OR($F1731="",$G1731=""),"",IF(ISNUMBER(Sync!$AE1731),INT(MOD(Sync!$AE1731,10000)/100),IFERROR(VALUE(TRIM(LEFT(MID(Sync!$AE1731,FIND("/",Sync!$AE1731)+1,20),FIND("/",MID(Sync!$AE1731,FIND("/",Sync!$AE1731)+1,20))-1))),"")))</f>
        <v/>
      </c>
      <c r="I1731" t="str">
        <f>IF(OR($F1731="",$G1731=""),"",IF(ISNUMBER(Sync!$AE1731),MOD(Sync!$AE1731,100),IFERROR(VALUE(TRIM(MID(MID(Sync!$AE1731,FIND("/",Sync!$AE1731)+1,20),FIND("/",MID(Sync!$AE1731,FIND("/",Sync!$AE1731)+1,20))+1,20))),"")))</f>
        <v/>
      </c>
      <c r="J1731" t="str">
        <f t="shared" si="132"/>
        <v/>
      </c>
      <c r="K1731" t="str">
        <f>IF(OR($F1731="",$J1731="",$J1731="نامعتبر"),"",LEFT($J1731,4)&amp;MID($J1731,6,2)&amp;RIGHT($J1731,2)&amp;$N1731&amp;"|"&amp;"2"&amp;RIGHT("00000"&amp;1726,5))</f>
        <v/>
      </c>
      <c r="L1731" t="str">
        <f t="shared" si="133"/>
        <v/>
      </c>
      <c r="M1731" t="str">
        <f t="shared" si="134"/>
        <v/>
      </c>
      <c r="N1731" t="str">
        <f>IF($F1731="","",IF(Sync!$AF1731="","0000",IF(AND(ISNUMBER(Sync!$AF1731),Sync!$AF1731&gt;=0,Sync!$AF1731&lt;1),RIGHT("00"&amp;HOUR(Sync!$AF1731),2)&amp;RIGHT("00"&amp;MINUTE(Sync!$AF1731),2),IFERROR(RIGHT("00"&amp;VALUE(LEFT(Sync!$AF1731,FIND(":",Sync!$AF1731)-1)),2)&amp;RIGHT("00"&amp;VALUE(MID(Sync!$AF1731,FIND(":",Sync!$AF1731)+1,2)),2),"0000"))))</f>
        <v/>
      </c>
    </row>
    <row r="1732" spans="1:14" x14ac:dyDescent="0.2">
      <c r="A1732" t="str">
        <f>IF(OR(Calc!$E1736="",Calc!$E1736="نامعتبر",Calc!$G1736=""),"",Calc!$G1736)</f>
        <v/>
      </c>
      <c r="B1732" t="str">
        <f>IF($A1732="","",LEFT(Calc!$E1736,4)&amp;MID(Calc!$E1736,6,2)&amp;RIGHT(Calc!$E1736,2)&amp;Calc!$Q1736&amp;"|"&amp;"1"&amp;RIGHT("00000"&amp;1727,5))</f>
        <v/>
      </c>
      <c r="C1732" t="str">
        <f t="shared" si="130"/>
        <v/>
      </c>
      <c r="D1732" t="str">
        <f t="shared" si="131"/>
        <v/>
      </c>
      <c r="F1732" t="str">
        <f>IF(Sync!$AH1732="","",IF(LEFT(UPPER(TRIM(Sync!$AH1732)),2)="SL",UPPER(TRIM(Sync!$AH1732)),""))</f>
        <v/>
      </c>
      <c r="G1732" t="str">
        <f>IF($F1732="","",IF(Sync!$AE1732="","",IF(ISNUMBER(Sync!$AE1732),IF(AND(Sync!$AE1732&gt;=10000101,Sync!$AE1732&lt;=99991231),INT(Sync!$AE1732/10000),""),IFERROR(VALUE(TRIM(LEFT(Sync!$AE1732,FIND("/",Sync!$AE1732)-1))),""))))</f>
        <v/>
      </c>
      <c r="H1732" t="str">
        <f>IF(OR($F1732="",$G1732=""),"",IF(ISNUMBER(Sync!$AE1732),INT(MOD(Sync!$AE1732,10000)/100),IFERROR(VALUE(TRIM(LEFT(MID(Sync!$AE1732,FIND("/",Sync!$AE1732)+1,20),FIND("/",MID(Sync!$AE1732,FIND("/",Sync!$AE1732)+1,20))-1))),"")))</f>
        <v/>
      </c>
      <c r="I1732" t="str">
        <f>IF(OR($F1732="",$G1732=""),"",IF(ISNUMBER(Sync!$AE1732),MOD(Sync!$AE1732,100),IFERROR(VALUE(TRIM(MID(MID(Sync!$AE1732,FIND("/",Sync!$AE1732)+1,20),FIND("/",MID(Sync!$AE1732,FIND("/",Sync!$AE1732)+1,20))+1,20))),"")))</f>
        <v/>
      </c>
      <c r="J1732" t="str">
        <f t="shared" si="132"/>
        <v/>
      </c>
      <c r="K1732" t="str">
        <f>IF(OR($F1732="",$J1732="",$J1732="نامعتبر"),"",LEFT($J1732,4)&amp;MID($J1732,6,2)&amp;RIGHT($J1732,2)&amp;$N1732&amp;"|"&amp;"2"&amp;RIGHT("00000"&amp;1727,5))</f>
        <v/>
      </c>
      <c r="L1732" t="str">
        <f t="shared" si="133"/>
        <v/>
      </c>
      <c r="M1732" t="str">
        <f t="shared" si="134"/>
        <v/>
      </c>
      <c r="N1732" t="str">
        <f>IF($F1732="","",IF(Sync!$AF1732="","0000",IF(AND(ISNUMBER(Sync!$AF1732),Sync!$AF1732&gt;=0,Sync!$AF1732&lt;1),RIGHT("00"&amp;HOUR(Sync!$AF1732),2)&amp;RIGHT("00"&amp;MINUTE(Sync!$AF1732),2),IFERROR(RIGHT("00"&amp;VALUE(LEFT(Sync!$AF1732,FIND(":",Sync!$AF1732)-1)),2)&amp;RIGHT("00"&amp;VALUE(MID(Sync!$AF1732,FIND(":",Sync!$AF1732)+1,2)),2),"0000"))))</f>
        <v/>
      </c>
    </row>
    <row r="1733" spans="1:14" x14ac:dyDescent="0.2">
      <c r="A1733" t="str">
        <f>IF(OR(Calc!$E1737="",Calc!$E1737="نامعتبر",Calc!$G1737=""),"",Calc!$G1737)</f>
        <v/>
      </c>
      <c r="B1733" t="str">
        <f>IF($A1733="","",LEFT(Calc!$E1737,4)&amp;MID(Calc!$E1737,6,2)&amp;RIGHT(Calc!$E1737,2)&amp;Calc!$Q1737&amp;"|"&amp;"1"&amp;RIGHT("00000"&amp;1728,5))</f>
        <v/>
      </c>
      <c r="C1733" t="str">
        <f t="shared" si="130"/>
        <v/>
      </c>
      <c r="D1733" t="str">
        <f t="shared" si="131"/>
        <v/>
      </c>
      <c r="F1733" t="str">
        <f>IF(Sync!$AH1733="","",IF(LEFT(UPPER(TRIM(Sync!$AH1733)),2)="SL",UPPER(TRIM(Sync!$AH1733)),""))</f>
        <v/>
      </c>
      <c r="G1733" t="str">
        <f>IF($F1733="","",IF(Sync!$AE1733="","",IF(ISNUMBER(Sync!$AE1733),IF(AND(Sync!$AE1733&gt;=10000101,Sync!$AE1733&lt;=99991231),INT(Sync!$AE1733/10000),""),IFERROR(VALUE(TRIM(LEFT(Sync!$AE1733,FIND("/",Sync!$AE1733)-1))),""))))</f>
        <v/>
      </c>
      <c r="H1733" t="str">
        <f>IF(OR($F1733="",$G1733=""),"",IF(ISNUMBER(Sync!$AE1733),INT(MOD(Sync!$AE1733,10000)/100),IFERROR(VALUE(TRIM(LEFT(MID(Sync!$AE1733,FIND("/",Sync!$AE1733)+1,20),FIND("/",MID(Sync!$AE1733,FIND("/",Sync!$AE1733)+1,20))-1))),"")))</f>
        <v/>
      </c>
      <c r="I1733" t="str">
        <f>IF(OR($F1733="",$G1733=""),"",IF(ISNUMBER(Sync!$AE1733),MOD(Sync!$AE1733,100),IFERROR(VALUE(TRIM(MID(MID(Sync!$AE1733,FIND("/",Sync!$AE1733)+1,20),FIND("/",MID(Sync!$AE1733,FIND("/",Sync!$AE1733)+1,20))+1,20))),"")))</f>
        <v/>
      </c>
      <c r="J1733" t="str">
        <f t="shared" si="132"/>
        <v/>
      </c>
      <c r="K1733" t="str">
        <f>IF(OR($F1733="",$J1733="",$J1733="نامعتبر"),"",LEFT($J1733,4)&amp;MID($J1733,6,2)&amp;RIGHT($J1733,2)&amp;$N1733&amp;"|"&amp;"2"&amp;RIGHT("00000"&amp;1728,5))</f>
        <v/>
      </c>
      <c r="L1733" t="str">
        <f t="shared" si="133"/>
        <v/>
      </c>
      <c r="M1733" t="str">
        <f t="shared" si="134"/>
        <v/>
      </c>
      <c r="N1733" t="str">
        <f>IF($F1733="","",IF(Sync!$AF1733="","0000",IF(AND(ISNUMBER(Sync!$AF1733),Sync!$AF1733&gt;=0,Sync!$AF1733&lt;1),RIGHT("00"&amp;HOUR(Sync!$AF1733),2)&amp;RIGHT("00"&amp;MINUTE(Sync!$AF1733),2),IFERROR(RIGHT("00"&amp;VALUE(LEFT(Sync!$AF1733,FIND(":",Sync!$AF1733)-1)),2)&amp;RIGHT("00"&amp;VALUE(MID(Sync!$AF1733,FIND(":",Sync!$AF1733)+1,2)),2),"0000"))))</f>
        <v/>
      </c>
    </row>
    <row r="1734" spans="1:14" x14ac:dyDescent="0.2">
      <c r="A1734" t="str">
        <f>IF(OR(Calc!$E1738="",Calc!$E1738="نامعتبر",Calc!$G1738=""),"",Calc!$G1738)</f>
        <v/>
      </c>
      <c r="B1734" t="str">
        <f>IF($A1734="","",LEFT(Calc!$E1738,4)&amp;MID(Calc!$E1738,6,2)&amp;RIGHT(Calc!$E1738,2)&amp;Calc!$Q1738&amp;"|"&amp;"1"&amp;RIGHT("00000"&amp;1729,5))</f>
        <v/>
      </c>
      <c r="C1734" t="str">
        <f t="shared" ref="C1734:C1797" si="135">IF($B1734="","",COUNTIFS(LdgSellerA,$A1734,LdgKeyA,"&lt;"&amp;$B1734)+COUNTIFS(LdgSellerB,$A1734,LdgKeyB,"&lt;"&amp;$B1734)+1)</f>
        <v/>
      </c>
      <c r="D1734" t="str">
        <f t="shared" ref="D1734:D1797" si="136">IF($C1734="","",$A1734&amp;"|"&amp;RIGHT("000000"&amp;$C1734,6))</f>
        <v/>
      </c>
      <c r="F1734" t="str">
        <f>IF(Sync!$AH1734="","",IF(LEFT(UPPER(TRIM(Sync!$AH1734)),2)="SL",UPPER(TRIM(Sync!$AH1734)),""))</f>
        <v/>
      </c>
      <c r="G1734" t="str">
        <f>IF($F1734="","",IF(Sync!$AE1734="","",IF(ISNUMBER(Sync!$AE1734),IF(AND(Sync!$AE1734&gt;=10000101,Sync!$AE1734&lt;=99991231),INT(Sync!$AE1734/10000),""),IFERROR(VALUE(TRIM(LEFT(Sync!$AE1734,FIND("/",Sync!$AE1734)-1))),""))))</f>
        <v/>
      </c>
      <c r="H1734" t="str">
        <f>IF(OR($F1734="",$G1734=""),"",IF(ISNUMBER(Sync!$AE1734),INT(MOD(Sync!$AE1734,10000)/100),IFERROR(VALUE(TRIM(LEFT(MID(Sync!$AE1734,FIND("/",Sync!$AE1734)+1,20),FIND("/",MID(Sync!$AE1734,FIND("/",Sync!$AE1734)+1,20))-1))),"")))</f>
        <v/>
      </c>
      <c r="I1734" t="str">
        <f>IF(OR($F1734="",$G1734=""),"",IF(ISNUMBER(Sync!$AE1734),MOD(Sync!$AE1734,100),IFERROR(VALUE(TRIM(MID(MID(Sync!$AE1734,FIND("/",Sync!$AE1734)+1,20),FIND("/",MID(Sync!$AE1734,FIND("/",Sync!$AE1734)+1,20))+1,20))),"")))</f>
        <v/>
      </c>
      <c r="J1734" t="str">
        <f t="shared" ref="J1734:J1797" si="137">IF($F1734="","",IF(OR($G1734="",$H1734="",$I1734="",$G1734&lt;1300,$G1734&gt;1500,$H1734&lt;1,$H1734&gt;12,$I1734&lt;1,$I1734&gt;31),"نامعتبر",RIGHT("0000"&amp;$G1734,4)&amp;"/"&amp;RIGHT("00"&amp;$H1734,2)&amp;"/"&amp;RIGHT("00"&amp;$I1734,2)))</f>
        <v/>
      </c>
      <c r="K1734" t="str">
        <f>IF(OR($F1734="",$J1734="",$J1734="نامعتبر"),"",LEFT($J1734,4)&amp;MID($J1734,6,2)&amp;RIGHT($J1734,2)&amp;$N1734&amp;"|"&amp;"2"&amp;RIGHT("00000"&amp;1729,5))</f>
        <v/>
      </c>
      <c r="L1734" t="str">
        <f t="shared" ref="L1734:L1797" si="138">IF($K1734="","",COUNTIFS(LdgSellerA,$F1734,LdgKeyA,"&lt;"&amp;$K1734)+COUNTIFS(LdgSellerB,$F1734,LdgKeyB,"&lt;"&amp;$K1734)+1)</f>
        <v/>
      </c>
      <c r="M1734" t="str">
        <f t="shared" ref="M1734:M1797" si="139">IF($L1734="","",$F1734&amp;"|"&amp;RIGHT("000000"&amp;$L1734,6))</f>
        <v/>
      </c>
      <c r="N1734" t="str">
        <f>IF($F1734="","",IF(Sync!$AF1734="","0000",IF(AND(ISNUMBER(Sync!$AF1734),Sync!$AF1734&gt;=0,Sync!$AF1734&lt;1),RIGHT("00"&amp;HOUR(Sync!$AF1734),2)&amp;RIGHT("00"&amp;MINUTE(Sync!$AF1734),2),IFERROR(RIGHT("00"&amp;VALUE(LEFT(Sync!$AF1734,FIND(":",Sync!$AF1734)-1)),2)&amp;RIGHT("00"&amp;VALUE(MID(Sync!$AF1734,FIND(":",Sync!$AF1734)+1,2)),2),"0000"))))</f>
        <v/>
      </c>
    </row>
    <row r="1735" spans="1:14" x14ac:dyDescent="0.2">
      <c r="A1735" t="str">
        <f>IF(OR(Calc!$E1739="",Calc!$E1739="نامعتبر",Calc!$G1739=""),"",Calc!$G1739)</f>
        <v/>
      </c>
      <c r="B1735" t="str">
        <f>IF($A1735="","",LEFT(Calc!$E1739,4)&amp;MID(Calc!$E1739,6,2)&amp;RIGHT(Calc!$E1739,2)&amp;Calc!$Q1739&amp;"|"&amp;"1"&amp;RIGHT("00000"&amp;1730,5))</f>
        <v/>
      </c>
      <c r="C1735" t="str">
        <f t="shared" si="135"/>
        <v/>
      </c>
      <c r="D1735" t="str">
        <f t="shared" si="136"/>
        <v/>
      </c>
      <c r="F1735" t="str">
        <f>IF(Sync!$AH1735="","",IF(LEFT(UPPER(TRIM(Sync!$AH1735)),2)="SL",UPPER(TRIM(Sync!$AH1735)),""))</f>
        <v/>
      </c>
      <c r="G1735" t="str">
        <f>IF($F1735="","",IF(Sync!$AE1735="","",IF(ISNUMBER(Sync!$AE1735),IF(AND(Sync!$AE1735&gt;=10000101,Sync!$AE1735&lt;=99991231),INT(Sync!$AE1735/10000),""),IFERROR(VALUE(TRIM(LEFT(Sync!$AE1735,FIND("/",Sync!$AE1735)-1))),""))))</f>
        <v/>
      </c>
      <c r="H1735" t="str">
        <f>IF(OR($F1735="",$G1735=""),"",IF(ISNUMBER(Sync!$AE1735),INT(MOD(Sync!$AE1735,10000)/100),IFERROR(VALUE(TRIM(LEFT(MID(Sync!$AE1735,FIND("/",Sync!$AE1735)+1,20),FIND("/",MID(Sync!$AE1735,FIND("/",Sync!$AE1735)+1,20))-1))),"")))</f>
        <v/>
      </c>
      <c r="I1735" t="str">
        <f>IF(OR($F1735="",$G1735=""),"",IF(ISNUMBER(Sync!$AE1735),MOD(Sync!$AE1735,100),IFERROR(VALUE(TRIM(MID(MID(Sync!$AE1735,FIND("/",Sync!$AE1735)+1,20),FIND("/",MID(Sync!$AE1735,FIND("/",Sync!$AE1735)+1,20))+1,20))),"")))</f>
        <v/>
      </c>
      <c r="J1735" t="str">
        <f t="shared" si="137"/>
        <v/>
      </c>
      <c r="K1735" t="str">
        <f>IF(OR($F1735="",$J1735="",$J1735="نامعتبر"),"",LEFT($J1735,4)&amp;MID($J1735,6,2)&amp;RIGHT($J1735,2)&amp;$N1735&amp;"|"&amp;"2"&amp;RIGHT("00000"&amp;1730,5))</f>
        <v/>
      </c>
      <c r="L1735" t="str">
        <f t="shared" si="138"/>
        <v/>
      </c>
      <c r="M1735" t="str">
        <f t="shared" si="139"/>
        <v/>
      </c>
      <c r="N1735" t="str">
        <f>IF($F1735="","",IF(Sync!$AF1735="","0000",IF(AND(ISNUMBER(Sync!$AF1735),Sync!$AF1735&gt;=0,Sync!$AF1735&lt;1),RIGHT("00"&amp;HOUR(Sync!$AF1735),2)&amp;RIGHT("00"&amp;MINUTE(Sync!$AF1735),2),IFERROR(RIGHT("00"&amp;VALUE(LEFT(Sync!$AF1735,FIND(":",Sync!$AF1735)-1)),2)&amp;RIGHT("00"&amp;VALUE(MID(Sync!$AF1735,FIND(":",Sync!$AF1735)+1,2)),2),"0000"))))</f>
        <v/>
      </c>
    </row>
    <row r="1736" spans="1:14" x14ac:dyDescent="0.2">
      <c r="A1736" t="str">
        <f>IF(OR(Calc!$E1740="",Calc!$E1740="نامعتبر",Calc!$G1740=""),"",Calc!$G1740)</f>
        <v/>
      </c>
      <c r="B1736" t="str">
        <f>IF($A1736="","",LEFT(Calc!$E1740,4)&amp;MID(Calc!$E1740,6,2)&amp;RIGHT(Calc!$E1740,2)&amp;Calc!$Q1740&amp;"|"&amp;"1"&amp;RIGHT("00000"&amp;1731,5))</f>
        <v/>
      </c>
      <c r="C1736" t="str">
        <f t="shared" si="135"/>
        <v/>
      </c>
      <c r="D1736" t="str">
        <f t="shared" si="136"/>
        <v/>
      </c>
      <c r="F1736" t="str">
        <f>IF(Sync!$AH1736="","",IF(LEFT(UPPER(TRIM(Sync!$AH1736)),2)="SL",UPPER(TRIM(Sync!$AH1736)),""))</f>
        <v/>
      </c>
      <c r="G1736" t="str">
        <f>IF($F1736="","",IF(Sync!$AE1736="","",IF(ISNUMBER(Sync!$AE1736),IF(AND(Sync!$AE1736&gt;=10000101,Sync!$AE1736&lt;=99991231),INT(Sync!$AE1736/10000),""),IFERROR(VALUE(TRIM(LEFT(Sync!$AE1736,FIND("/",Sync!$AE1736)-1))),""))))</f>
        <v/>
      </c>
      <c r="H1736" t="str">
        <f>IF(OR($F1736="",$G1736=""),"",IF(ISNUMBER(Sync!$AE1736),INT(MOD(Sync!$AE1736,10000)/100),IFERROR(VALUE(TRIM(LEFT(MID(Sync!$AE1736,FIND("/",Sync!$AE1736)+1,20),FIND("/",MID(Sync!$AE1736,FIND("/",Sync!$AE1736)+1,20))-1))),"")))</f>
        <v/>
      </c>
      <c r="I1736" t="str">
        <f>IF(OR($F1736="",$G1736=""),"",IF(ISNUMBER(Sync!$AE1736),MOD(Sync!$AE1736,100),IFERROR(VALUE(TRIM(MID(MID(Sync!$AE1736,FIND("/",Sync!$AE1736)+1,20),FIND("/",MID(Sync!$AE1736,FIND("/",Sync!$AE1736)+1,20))+1,20))),"")))</f>
        <v/>
      </c>
      <c r="J1736" t="str">
        <f t="shared" si="137"/>
        <v/>
      </c>
      <c r="K1736" t="str">
        <f>IF(OR($F1736="",$J1736="",$J1736="نامعتبر"),"",LEFT($J1736,4)&amp;MID($J1736,6,2)&amp;RIGHT($J1736,2)&amp;$N1736&amp;"|"&amp;"2"&amp;RIGHT("00000"&amp;1731,5))</f>
        <v/>
      </c>
      <c r="L1736" t="str">
        <f t="shared" si="138"/>
        <v/>
      </c>
      <c r="M1736" t="str">
        <f t="shared" si="139"/>
        <v/>
      </c>
      <c r="N1736" t="str">
        <f>IF($F1736="","",IF(Sync!$AF1736="","0000",IF(AND(ISNUMBER(Sync!$AF1736),Sync!$AF1736&gt;=0,Sync!$AF1736&lt;1),RIGHT("00"&amp;HOUR(Sync!$AF1736),2)&amp;RIGHT("00"&amp;MINUTE(Sync!$AF1736),2),IFERROR(RIGHT("00"&amp;VALUE(LEFT(Sync!$AF1736,FIND(":",Sync!$AF1736)-1)),2)&amp;RIGHT("00"&amp;VALUE(MID(Sync!$AF1736,FIND(":",Sync!$AF1736)+1,2)),2),"0000"))))</f>
        <v/>
      </c>
    </row>
    <row r="1737" spans="1:14" x14ac:dyDescent="0.2">
      <c r="A1737" t="str">
        <f>IF(OR(Calc!$E1741="",Calc!$E1741="نامعتبر",Calc!$G1741=""),"",Calc!$G1741)</f>
        <v/>
      </c>
      <c r="B1737" t="str">
        <f>IF($A1737="","",LEFT(Calc!$E1741,4)&amp;MID(Calc!$E1741,6,2)&amp;RIGHT(Calc!$E1741,2)&amp;Calc!$Q1741&amp;"|"&amp;"1"&amp;RIGHT("00000"&amp;1732,5))</f>
        <v/>
      </c>
      <c r="C1737" t="str">
        <f t="shared" si="135"/>
        <v/>
      </c>
      <c r="D1737" t="str">
        <f t="shared" si="136"/>
        <v/>
      </c>
      <c r="F1737" t="str">
        <f>IF(Sync!$AH1737="","",IF(LEFT(UPPER(TRIM(Sync!$AH1737)),2)="SL",UPPER(TRIM(Sync!$AH1737)),""))</f>
        <v/>
      </c>
      <c r="G1737" t="str">
        <f>IF($F1737="","",IF(Sync!$AE1737="","",IF(ISNUMBER(Sync!$AE1737),IF(AND(Sync!$AE1737&gt;=10000101,Sync!$AE1737&lt;=99991231),INT(Sync!$AE1737/10000),""),IFERROR(VALUE(TRIM(LEFT(Sync!$AE1737,FIND("/",Sync!$AE1737)-1))),""))))</f>
        <v/>
      </c>
      <c r="H1737" t="str">
        <f>IF(OR($F1737="",$G1737=""),"",IF(ISNUMBER(Sync!$AE1737),INT(MOD(Sync!$AE1737,10000)/100),IFERROR(VALUE(TRIM(LEFT(MID(Sync!$AE1737,FIND("/",Sync!$AE1737)+1,20),FIND("/",MID(Sync!$AE1737,FIND("/",Sync!$AE1737)+1,20))-1))),"")))</f>
        <v/>
      </c>
      <c r="I1737" t="str">
        <f>IF(OR($F1737="",$G1737=""),"",IF(ISNUMBER(Sync!$AE1737),MOD(Sync!$AE1737,100),IFERROR(VALUE(TRIM(MID(MID(Sync!$AE1737,FIND("/",Sync!$AE1737)+1,20),FIND("/",MID(Sync!$AE1737,FIND("/",Sync!$AE1737)+1,20))+1,20))),"")))</f>
        <v/>
      </c>
      <c r="J1737" t="str">
        <f t="shared" si="137"/>
        <v/>
      </c>
      <c r="K1737" t="str">
        <f>IF(OR($F1737="",$J1737="",$J1737="نامعتبر"),"",LEFT($J1737,4)&amp;MID($J1737,6,2)&amp;RIGHT($J1737,2)&amp;$N1737&amp;"|"&amp;"2"&amp;RIGHT("00000"&amp;1732,5))</f>
        <v/>
      </c>
      <c r="L1737" t="str">
        <f t="shared" si="138"/>
        <v/>
      </c>
      <c r="M1737" t="str">
        <f t="shared" si="139"/>
        <v/>
      </c>
      <c r="N1737" t="str">
        <f>IF($F1737="","",IF(Sync!$AF1737="","0000",IF(AND(ISNUMBER(Sync!$AF1737),Sync!$AF1737&gt;=0,Sync!$AF1737&lt;1),RIGHT("00"&amp;HOUR(Sync!$AF1737),2)&amp;RIGHT("00"&amp;MINUTE(Sync!$AF1737),2),IFERROR(RIGHT("00"&amp;VALUE(LEFT(Sync!$AF1737,FIND(":",Sync!$AF1737)-1)),2)&amp;RIGHT("00"&amp;VALUE(MID(Sync!$AF1737,FIND(":",Sync!$AF1737)+1,2)),2),"0000"))))</f>
        <v/>
      </c>
    </row>
    <row r="1738" spans="1:14" x14ac:dyDescent="0.2">
      <c r="A1738" t="str">
        <f>IF(OR(Calc!$E1742="",Calc!$E1742="نامعتبر",Calc!$G1742=""),"",Calc!$G1742)</f>
        <v/>
      </c>
      <c r="B1738" t="str">
        <f>IF($A1738="","",LEFT(Calc!$E1742,4)&amp;MID(Calc!$E1742,6,2)&amp;RIGHT(Calc!$E1742,2)&amp;Calc!$Q1742&amp;"|"&amp;"1"&amp;RIGHT("00000"&amp;1733,5))</f>
        <v/>
      </c>
      <c r="C1738" t="str">
        <f t="shared" si="135"/>
        <v/>
      </c>
      <c r="D1738" t="str">
        <f t="shared" si="136"/>
        <v/>
      </c>
      <c r="F1738" t="str">
        <f>IF(Sync!$AH1738="","",IF(LEFT(UPPER(TRIM(Sync!$AH1738)),2)="SL",UPPER(TRIM(Sync!$AH1738)),""))</f>
        <v/>
      </c>
      <c r="G1738" t="str">
        <f>IF($F1738="","",IF(Sync!$AE1738="","",IF(ISNUMBER(Sync!$AE1738),IF(AND(Sync!$AE1738&gt;=10000101,Sync!$AE1738&lt;=99991231),INT(Sync!$AE1738/10000),""),IFERROR(VALUE(TRIM(LEFT(Sync!$AE1738,FIND("/",Sync!$AE1738)-1))),""))))</f>
        <v/>
      </c>
      <c r="H1738" t="str">
        <f>IF(OR($F1738="",$G1738=""),"",IF(ISNUMBER(Sync!$AE1738),INT(MOD(Sync!$AE1738,10000)/100),IFERROR(VALUE(TRIM(LEFT(MID(Sync!$AE1738,FIND("/",Sync!$AE1738)+1,20),FIND("/",MID(Sync!$AE1738,FIND("/",Sync!$AE1738)+1,20))-1))),"")))</f>
        <v/>
      </c>
      <c r="I1738" t="str">
        <f>IF(OR($F1738="",$G1738=""),"",IF(ISNUMBER(Sync!$AE1738),MOD(Sync!$AE1738,100),IFERROR(VALUE(TRIM(MID(MID(Sync!$AE1738,FIND("/",Sync!$AE1738)+1,20),FIND("/",MID(Sync!$AE1738,FIND("/",Sync!$AE1738)+1,20))+1,20))),"")))</f>
        <v/>
      </c>
      <c r="J1738" t="str">
        <f t="shared" si="137"/>
        <v/>
      </c>
      <c r="K1738" t="str">
        <f>IF(OR($F1738="",$J1738="",$J1738="نامعتبر"),"",LEFT($J1738,4)&amp;MID($J1738,6,2)&amp;RIGHT($J1738,2)&amp;$N1738&amp;"|"&amp;"2"&amp;RIGHT("00000"&amp;1733,5))</f>
        <v/>
      </c>
      <c r="L1738" t="str">
        <f t="shared" si="138"/>
        <v/>
      </c>
      <c r="M1738" t="str">
        <f t="shared" si="139"/>
        <v/>
      </c>
      <c r="N1738" t="str">
        <f>IF($F1738="","",IF(Sync!$AF1738="","0000",IF(AND(ISNUMBER(Sync!$AF1738),Sync!$AF1738&gt;=0,Sync!$AF1738&lt;1),RIGHT("00"&amp;HOUR(Sync!$AF1738),2)&amp;RIGHT("00"&amp;MINUTE(Sync!$AF1738),2),IFERROR(RIGHT("00"&amp;VALUE(LEFT(Sync!$AF1738,FIND(":",Sync!$AF1738)-1)),2)&amp;RIGHT("00"&amp;VALUE(MID(Sync!$AF1738,FIND(":",Sync!$AF1738)+1,2)),2),"0000"))))</f>
        <v/>
      </c>
    </row>
    <row r="1739" spans="1:14" x14ac:dyDescent="0.2">
      <c r="A1739" t="str">
        <f>IF(OR(Calc!$E1743="",Calc!$E1743="نامعتبر",Calc!$G1743=""),"",Calc!$G1743)</f>
        <v/>
      </c>
      <c r="B1739" t="str">
        <f>IF($A1739="","",LEFT(Calc!$E1743,4)&amp;MID(Calc!$E1743,6,2)&amp;RIGHT(Calc!$E1743,2)&amp;Calc!$Q1743&amp;"|"&amp;"1"&amp;RIGHT("00000"&amp;1734,5))</f>
        <v/>
      </c>
      <c r="C1739" t="str">
        <f t="shared" si="135"/>
        <v/>
      </c>
      <c r="D1739" t="str">
        <f t="shared" si="136"/>
        <v/>
      </c>
      <c r="F1739" t="str">
        <f>IF(Sync!$AH1739="","",IF(LEFT(UPPER(TRIM(Sync!$AH1739)),2)="SL",UPPER(TRIM(Sync!$AH1739)),""))</f>
        <v/>
      </c>
      <c r="G1739" t="str">
        <f>IF($F1739="","",IF(Sync!$AE1739="","",IF(ISNUMBER(Sync!$AE1739),IF(AND(Sync!$AE1739&gt;=10000101,Sync!$AE1739&lt;=99991231),INT(Sync!$AE1739/10000),""),IFERROR(VALUE(TRIM(LEFT(Sync!$AE1739,FIND("/",Sync!$AE1739)-1))),""))))</f>
        <v/>
      </c>
      <c r="H1739" t="str">
        <f>IF(OR($F1739="",$G1739=""),"",IF(ISNUMBER(Sync!$AE1739),INT(MOD(Sync!$AE1739,10000)/100),IFERROR(VALUE(TRIM(LEFT(MID(Sync!$AE1739,FIND("/",Sync!$AE1739)+1,20),FIND("/",MID(Sync!$AE1739,FIND("/",Sync!$AE1739)+1,20))-1))),"")))</f>
        <v/>
      </c>
      <c r="I1739" t="str">
        <f>IF(OR($F1739="",$G1739=""),"",IF(ISNUMBER(Sync!$AE1739),MOD(Sync!$AE1739,100),IFERROR(VALUE(TRIM(MID(MID(Sync!$AE1739,FIND("/",Sync!$AE1739)+1,20),FIND("/",MID(Sync!$AE1739,FIND("/",Sync!$AE1739)+1,20))+1,20))),"")))</f>
        <v/>
      </c>
      <c r="J1739" t="str">
        <f t="shared" si="137"/>
        <v/>
      </c>
      <c r="K1739" t="str">
        <f>IF(OR($F1739="",$J1739="",$J1739="نامعتبر"),"",LEFT($J1739,4)&amp;MID($J1739,6,2)&amp;RIGHT($J1739,2)&amp;$N1739&amp;"|"&amp;"2"&amp;RIGHT("00000"&amp;1734,5))</f>
        <v/>
      </c>
      <c r="L1739" t="str">
        <f t="shared" si="138"/>
        <v/>
      </c>
      <c r="M1739" t="str">
        <f t="shared" si="139"/>
        <v/>
      </c>
      <c r="N1739" t="str">
        <f>IF($F1739="","",IF(Sync!$AF1739="","0000",IF(AND(ISNUMBER(Sync!$AF1739),Sync!$AF1739&gt;=0,Sync!$AF1739&lt;1),RIGHT("00"&amp;HOUR(Sync!$AF1739),2)&amp;RIGHT("00"&amp;MINUTE(Sync!$AF1739),2),IFERROR(RIGHT("00"&amp;VALUE(LEFT(Sync!$AF1739,FIND(":",Sync!$AF1739)-1)),2)&amp;RIGHT("00"&amp;VALUE(MID(Sync!$AF1739,FIND(":",Sync!$AF1739)+1,2)),2),"0000"))))</f>
        <v/>
      </c>
    </row>
    <row r="1740" spans="1:14" x14ac:dyDescent="0.2">
      <c r="A1740" t="str">
        <f>IF(OR(Calc!$E1744="",Calc!$E1744="نامعتبر",Calc!$G1744=""),"",Calc!$G1744)</f>
        <v/>
      </c>
      <c r="B1740" t="str">
        <f>IF($A1740="","",LEFT(Calc!$E1744,4)&amp;MID(Calc!$E1744,6,2)&amp;RIGHT(Calc!$E1744,2)&amp;Calc!$Q1744&amp;"|"&amp;"1"&amp;RIGHT("00000"&amp;1735,5))</f>
        <v/>
      </c>
      <c r="C1740" t="str">
        <f t="shared" si="135"/>
        <v/>
      </c>
      <c r="D1740" t="str">
        <f t="shared" si="136"/>
        <v/>
      </c>
      <c r="F1740" t="str">
        <f>IF(Sync!$AH1740="","",IF(LEFT(UPPER(TRIM(Sync!$AH1740)),2)="SL",UPPER(TRIM(Sync!$AH1740)),""))</f>
        <v/>
      </c>
      <c r="G1740" t="str">
        <f>IF($F1740="","",IF(Sync!$AE1740="","",IF(ISNUMBER(Sync!$AE1740),IF(AND(Sync!$AE1740&gt;=10000101,Sync!$AE1740&lt;=99991231),INT(Sync!$AE1740/10000),""),IFERROR(VALUE(TRIM(LEFT(Sync!$AE1740,FIND("/",Sync!$AE1740)-1))),""))))</f>
        <v/>
      </c>
      <c r="H1740" t="str">
        <f>IF(OR($F1740="",$G1740=""),"",IF(ISNUMBER(Sync!$AE1740),INT(MOD(Sync!$AE1740,10000)/100),IFERROR(VALUE(TRIM(LEFT(MID(Sync!$AE1740,FIND("/",Sync!$AE1740)+1,20),FIND("/",MID(Sync!$AE1740,FIND("/",Sync!$AE1740)+1,20))-1))),"")))</f>
        <v/>
      </c>
      <c r="I1740" t="str">
        <f>IF(OR($F1740="",$G1740=""),"",IF(ISNUMBER(Sync!$AE1740),MOD(Sync!$AE1740,100),IFERROR(VALUE(TRIM(MID(MID(Sync!$AE1740,FIND("/",Sync!$AE1740)+1,20),FIND("/",MID(Sync!$AE1740,FIND("/",Sync!$AE1740)+1,20))+1,20))),"")))</f>
        <v/>
      </c>
      <c r="J1740" t="str">
        <f t="shared" si="137"/>
        <v/>
      </c>
      <c r="K1740" t="str">
        <f>IF(OR($F1740="",$J1740="",$J1740="نامعتبر"),"",LEFT($J1740,4)&amp;MID($J1740,6,2)&amp;RIGHT($J1740,2)&amp;$N1740&amp;"|"&amp;"2"&amp;RIGHT("00000"&amp;1735,5))</f>
        <v/>
      </c>
      <c r="L1740" t="str">
        <f t="shared" si="138"/>
        <v/>
      </c>
      <c r="M1740" t="str">
        <f t="shared" si="139"/>
        <v/>
      </c>
      <c r="N1740" t="str">
        <f>IF($F1740="","",IF(Sync!$AF1740="","0000",IF(AND(ISNUMBER(Sync!$AF1740),Sync!$AF1740&gt;=0,Sync!$AF1740&lt;1),RIGHT("00"&amp;HOUR(Sync!$AF1740),2)&amp;RIGHT("00"&amp;MINUTE(Sync!$AF1740),2),IFERROR(RIGHT("00"&amp;VALUE(LEFT(Sync!$AF1740,FIND(":",Sync!$AF1740)-1)),2)&amp;RIGHT("00"&amp;VALUE(MID(Sync!$AF1740,FIND(":",Sync!$AF1740)+1,2)),2),"0000"))))</f>
        <v/>
      </c>
    </row>
    <row r="1741" spans="1:14" x14ac:dyDescent="0.2">
      <c r="A1741" t="str">
        <f>IF(OR(Calc!$E1745="",Calc!$E1745="نامعتبر",Calc!$G1745=""),"",Calc!$G1745)</f>
        <v/>
      </c>
      <c r="B1741" t="str">
        <f>IF($A1741="","",LEFT(Calc!$E1745,4)&amp;MID(Calc!$E1745,6,2)&amp;RIGHT(Calc!$E1745,2)&amp;Calc!$Q1745&amp;"|"&amp;"1"&amp;RIGHT("00000"&amp;1736,5))</f>
        <v/>
      </c>
      <c r="C1741" t="str">
        <f t="shared" si="135"/>
        <v/>
      </c>
      <c r="D1741" t="str">
        <f t="shared" si="136"/>
        <v/>
      </c>
      <c r="F1741" t="str">
        <f>IF(Sync!$AH1741="","",IF(LEFT(UPPER(TRIM(Sync!$AH1741)),2)="SL",UPPER(TRIM(Sync!$AH1741)),""))</f>
        <v/>
      </c>
      <c r="G1741" t="str">
        <f>IF($F1741="","",IF(Sync!$AE1741="","",IF(ISNUMBER(Sync!$AE1741),IF(AND(Sync!$AE1741&gt;=10000101,Sync!$AE1741&lt;=99991231),INT(Sync!$AE1741/10000),""),IFERROR(VALUE(TRIM(LEFT(Sync!$AE1741,FIND("/",Sync!$AE1741)-1))),""))))</f>
        <v/>
      </c>
      <c r="H1741" t="str">
        <f>IF(OR($F1741="",$G1741=""),"",IF(ISNUMBER(Sync!$AE1741),INT(MOD(Sync!$AE1741,10000)/100),IFERROR(VALUE(TRIM(LEFT(MID(Sync!$AE1741,FIND("/",Sync!$AE1741)+1,20),FIND("/",MID(Sync!$AE1741,FIND("/",Sync!$AE1741)+1,20))-1))),"")))</f>
        <v/>
      </c>
      <c r="I1741" t="str">
        <f>IF(OR($F1741="",$G1741=""),"",IF(ISNUMBER(Sync!$AE1741),MOD(Sync!$AE1741,100),IFERROR(VALUE(TRIM(MID(MID(Sync!$AE1741,FIND("/",Sync!$AE1741)+1,20),FIND("/",MID(Sync!$AE1741,FIND("/",Sync!$AE1741)+1,20))+1,20))),"")))</f>
        <v/>
      </c>
      <c r="J1741" t="str">
        <f t="shared" si="137"/>
        <v/>
      </c>
      <c r="K1741" t="str">
        <f>IF(OR($F1741="",$J1741="",$J1741="نامعتبر"),"",LEFT($J1741,4)&amp;MID($J1741,6,2)&amp;RIGHT($J1741,2)&amp;$N1741&amp;"|"&amp;"2"&amp;RIGHT("00000"&amp;1736,5))</f>
        <v/>
      </c>
      <c r="L1741" t="str">
        <f t="shared" si="138"/>
        <v/>
      </c>
      <c r="M1741" t="str">
        <f t="shared" si="139"/>
        <v/>
      </c>
      <c r="N1741" t="str">
        <f>IF($F1741="","",IF(Sync!$AF1741="","0000",IF(AND(ISNUMBER(Sync!$AF1741),Sync!$AF1741&gt;=0,Sync!$AF1741&lt;1),RIGHT("00"&amp;HOUR(Sync!$AF1741),2)&amp;RIGHT("00"&amp;MINUTE(Sync!$AF1741),2),IFERROR(RIGHT("00"&amp;VALUE(LEFT(Sync!$AF1741,FIND(":",Sync!$AF1741)-1)),2)&amp;RIGHT("00"&amp;VALUE(MID(Sync!$AF1741,FIND(":",Sync!$AF1741)+1,2)),2),"0000"))))</f>
        <v/>
      </c>
    </row>
    <row r="1742" spans="1:14" x14ac:dyDescent="0.2">
      <c r="A1742" t="str">
        <f>IF(OR(Calc!$E1746="",Calc!$E1746="نامعتبر",Calc!$G1746=""),"",Calc!$G1746)</f>
        <v/>
      </c>
      <c r="B1742" t="str">
        <f>IF($A1742="","",LEFT(Calc!$E1746,4)&amp;MID(Calc!$E1746,6,2)&amp;RIGHT(Calc!$E1746,2)&amp;Calc!$Q1746&amp;"|"&amp;"1"&amp;RIGHT("00000"&amp;1737,5))</f>
        <v/>
      </c>
      <c r="C1742" t="str">
        <f t="shared" si="135"/>
        <v/>
      </c>
      <c r="D1742" t="str">
        <f t="shared" si="136"/>
        <v/>
      </c>
      <c r="F1742" t="str">
        <f>IF(Sync!$AH1742="","",IF(LEFT(UPPER(TRIM(Sync!$AH1742)),2)="SL",UPPER(TRIM(Sync!$AH1742)),""))</f>
        <v/>
      </c>
      <c r="G1742" t="str">
        <f>IF($F1742="","",IF(Sync!$AE1742="","",IF(ISNUMBER(Sync!$AE1742),IF(AND(Sync!$AE1742&gt;=10000101,Sync!$AE1742&lt;=99991231),INT(Sync!$AE1742/10000),""),IFERROR(VALUE(TRIM(LEFT(Sync!$AE1742,FIND("/",Sync!$AE1742)-1))),""))))</f>
        <v/>
      </c>
      <c r="H1742" t="str">
        <f>IF(OR($F1742="",$G1742=""),"",IF(ISNUMBER(Sync!$AE1742),INT(MOD(Sync!$AE1742,10000)/100),IFERROR(VALUE(TRIM(LEFT(MID(Sync!$AE1742,FIND("/",Sync!$AE1742)+1,20),FIND("/",MID(Sync!$AE1742,FIND("/",Sync!$AE1742)+1,20))-1))),"")))</f>
        <v/>
      </c>
      <c r="I1742" t="str">
        <f>IF(OR($F1742="",$G1742=""),"",IF(ISNUMBER(Sync!$AE1742),MOD(Sync!$AE1742,100),IFERROR(VALUE(TRIM(MID(MID(Sync!$AE1742,FIND("/",Sync!$AE1742)+1,20),FIND("/",MID(Sync!$AE1742,FIND("/",Sync!$AE1742)+1,20))+1,20))),"")))</f>
        <v/>
      </c>
      <c r="J1742" t="str">
        <f t="shared" si="137"/>
        <v/>
      </c>
      <c r="K1742" t="str">
        <f>IF(OR($F1742="",$J1742="",$J1742="نامعتبر"),"",LEFT($J1742,4)&amp;MID($J1742,6,2)&amp;RIGHT($J1742,2)&amp;$N1742&amp;"|"&amp;"2"&amp;RIGHT("00000"&amp;1737,5))</f>
        <v/>
      </c>
      <c r="L1742" t="str">
        <f t="shared" si="138"/>
        <v/>
      </c>
      <c r="M1742" t="str">
        <f t="shared" si="139"/>
        <v/>
      </c>
      <c r="N1742" t="str">
        <f>IF($F1742="","",IF(Sync!$AF1742="","0000",IF(AND(ISNUMBER(Sync!$AF1742),Sync!$AF1742&gt;=0,Sync!$AF1742&lt;1),RIGHT("00"&amp;HOUR(Sync!$AF1742),2)&amp;RIGHT("00"&amp;MINUTE(Sync!$AF1742),2),IFERROR(RIGHT("00"&amp;VALUE(LEFT(Sync!$AF1742,FIND(":",Sync!$AF1742)-1)),2)&amp;RIGHT("00"&amp;VALUE(MID(Sync!$AF1742,FIND(":",Sync!$AF1742)+1,2)),2),"0000"))))</f>
        <v/>
      </c>
    </row>
    <row r="1743" spans="1:14" x14ac:dyDescent="0.2">
      <c r="A1743" t="str">
        <f>IF(OR(Calc!$E1747="",Calc!$E1747="نامعتبر",Calc!$G1747=""),"",Calc!$G1747)</f>
        <v/>
      </c>
      <c r="B1743" t="str">
        <f>IF($A1743="","",LEFT(Calc!$E1747,4)&amp;MID(Calc!$E1747,6,2)&amp;RIGHT(Calc!$E1747,2)&amp;Calc!$Q1747&amp;"|"&amp;"1"&amp;RIGHT("00000"&amp;1738,5))</f>
        <v/>
      </c>
      <c r="C1743" t="str">
        <f t="shared" si="135"/>
        <v/>
      </c>
      <c r="D1743" t="str">
        <f t="shared" si="136"/>
        <v/>
      </c>
      <c r="F1743" t="str">
        <f>IF(Sync!$AH1743="","",IF(LEFT(UPPER(TRIM(Sync!$AH1743)),2)="SL",UPPER(TRIM(Sync!$AH1743)),""))</f>
        <v/>
      </c>
      <c r="G1743" t="str">
        <f>IF($F1743="","",IF(Sync!$AE1743="","",IF(ISNUMBER(Sync!$AE1743),IF(AND(Sync!$AE1743&gt;=10000101,Sync!$AE1743&lt;=99991231),INT(Sync!$AE1743/10000),""),IFERROR(VALUE(TRIM(LEFT(Sync!$AE1743,FIND("/",Sync!$AE1743)-1))),""))))</f>
        <v/>
      </c>
      <c r="H1743" t="str">
        <f>IF(OR($F1743="",$G1743=""),"",IF(ISNUMBER(Sync!$AE1743),INT(MOD(Sync!$AE1743,10000)/100),IFERROR(VALUE(TRIM(LEFT(MID(Sync!$AE1743,FIND("/",Sync!$AE1743)+1,20),FIND("/",MID(Sync!$AE1743,FIND("/",Sync!$AE1743)+1,20))-1))),"")))</f>
        <v/>
      </c>
      <c r="I1743" t="str">
        <f>IF(OR($F1743="",$G1743=""),"",IF(ISNUMBER(Sync!$AE1743),MOD(Sync!$AE1743,100),IFERROR(VALUE(TRIM(MID(MID(Sync!$AE1743,FIND("/",Sync!$AE1743)+1,20),FIND("/",MID(Sync!$AE1743,FIND("/",Sync!$AE1743)+1,20))+1,20))),"")))</f>
        <v/>
      </c>
      <c r="J1743" t="str">
        <f t="shared" si="137"/>
        <v/>
      </c>
      <c r="K1743" t="str">
        <f>IF(OR($F1743="",$J1743="",$J1743="نامعتبر"),"",LEFT($J1743,4)&amp;MID($J1743,6,2)&amp;RIGHT($J1743,2)&amp;$N1743&amp;"|"&amp;"2"&amp;RIGHT("00000"&amp;1738,5))</f>
        <v/>
      </c>
      <c r="L1743" t="str">
        <f t="shared" si="138"/>
        <v/>
      </c>
      <c r="M1743" t="str">
        <f t="shared" si="139"/>
        <v/>
      </c>
      <c r="N1743" t="str">
        <f>IF($F1743="","",IF(Sync!$AF1743="","0000",IF(AND(ISNUMBER(Sync!$AF1743),Sync!$AF1743&gt;=0,Sync!$AF1743&lt;1),RIGHT("00"&amp;HOUR(Sync!$AF1743),2)&amp;RIGHT("00"&amp;MINUTE(Sync!$AF1743),2),IFERROR(RIGHT("00"&amp;VALUE(LEFT(Sync!$AF1743,FIND(":",Sync!$AF1743)-1)),2)&amp;RIGHT("00"&amp;VALUE(MID(Sync!$AF1743,FIND(":",Sync!$AF1743)+1,2)),2),"0000"))))</f>
        <v/>
      </c>
    </row>
    <row r="1744" spans="1:14" x14ac:dyDescent="0.2">
      <c r="A1744" t="str">
        <f>IF(OR(Calc!$E1748="",Calc!$E1748="نامعتبر",Calc!$G1748=""),"",Calc!$G1748)</f>
        <v/>
      </c>
      <c r="B1744" t="str">
        <f>IF($A1744="","",LEFT(Calc!$E1748,4)&amp;MID(Calc!$E1748,6,2)&amp;RIGHT(Calc!$E1748,2)&amp;Calc!$Q1748&amp;"|"&amp;"1"&amp;RIGHT("00000"&amp;1739,5))</f>
        <v/>
      </c>
      <c r="C1744" t="str">
        <f t="shared" si="135"/>
        <v/>
      </c>
      <c r="D1744" t="str">
        <f t="shared" si="136"/>
        <v/>
      </c>
      <c r="F1744" t="str">
        <f>IF(Sync!$AH1744="","",IF(LEFT(UPPER(TRIM(Sync!$AH1744)),2)="SL",UPPER(TRIM(Sync!$AH1744)),""))</f>
        <v/>
      </c>
      <c r="G1744" t="str">
        <f>IF($F1744="","",IF(Sync!$AE1744="","",IF(ISNUMBER(Sync!$AE1744),IF(AND(Sync!$AE1744&gt;=10000101,Sync!$AE1744&lt;=99991231),INT(Sync!$AE1744/10000),""),IFERROR(VALUE(TRIM(LEFT(Sync!$AE1744,FIND("/",Sync!$AE1744)-1))),""))))</f>
        <v/>
      </c>
      <c r="H1744" t="str">
        <f>IF(OR($F1744="",$G1744=""),"",IF(ISNUMBER(Sync!$AE1744),INT(MOD(Sync!$AE1744,10000)/100),IFERROR(VALUE(TRIM(LEFT(MID(Sync!$AE1744,FIND("/",Sync!$AE1744)+1,20),FIND("/",MID(Sync!$AE1744,FIND("/",Sync!$AE1744)+1,20))-1))),"")))</f>
        <v/>
      </c>
      <c r="I1744" t="str">
        <f>IF(OR($F1744="",$G1744=""),"",IF(ISNUMBER(Sync!$AE1744),MOD(Sync!$AE1744,100),IFERROR(VALUE(TRIM(MID(MID(Sync!$AE1744,FIND("/",Sync!$AE1744)+1,20),FIND("/",MID(Sync!$AE1744,FIND("/",Sync!$AE1744)+1,20))+1,20))),"")))</f>
        <v/>
      </c>
      <c r="J1744" t="str">
        <f t="shared" si="137"/>
        <v/>
      </c>
      <c r="K1744" t="str">
        <f>IF(OR($F1744="",$J1744="",$J1744="نامعتبر"),"",LEFT($J1744,4)&amp;MID($J1744,6,2)&amp;RIGHT($J1744,2)&amp;$N1744&amp;"|"&amp;"2"&amp;RIGHT("00000"&amp;1739,5))</f>
        <v/>
      </c>
      <c r="L1744" t="str">
        <f t="shared" si="138"/>
        <v/>
      </c>
      <c r="M1744" t="str">
        <f t="shared" si="139"/>
        <v/>
      </c>
      <c r="N1744" t="str">
        <f>IF($F1744="","",IF(Sync!$AF1744="","0000",IF(AND(ISNUMBER(Sync!$AF1744),Sync!$AF1744&gt;=0,Sync!$AF1744&lt;1),RIGHT("00"&amp;HOUR(Sync!$AF1744),2)&amp;RIGHT("00"&amp;MINUTE(Sync!$AF1744),2),IFERROR(RIGHT("00"&amp;VALUE(LEFT(Sync!$AF1744,FIND(":",Sync!$AF1744)-1)),2)&amp;RIGHT("00"&amp;VALUE(MID(Sync!$AF1744,FIND(":",Sync!$AF1744)+1,2)),2),"0000"))))</f>
        <v/>
      </c>
    </row>
    <row r="1745" spans="1:14" x14ac:dyDescent="0.2">
      <c r="A1745" t="str">
        <f>IF(OR(Calc!$E1749="",Calc!$E1749="نامعتبر",Calc!$G1749=""),"",Calc!$G1749)</f>
        <v/>
      </c>
      <c r="B1745" t="str">
        <f>IF($A1745="","",LEFT(Calc!$E1749,4)&amp;MID(Calc!$E1749,6,2)&amp;RIGHT(Calc!$E1749,2)&amp;Calc!$Q1749&amp;"|"&amp;"1"&amp;RIGHT("00000"&amp;1740,5))</f>
        <v/>
      </c>
      <c r="C1745" t="str">
        <f t="shared" si="135"/>
        <v/>
      </c>
      <c r="D1745" t="str">
        <f t="shared" si="136"/>
        <v/>
      </c>
      <c r="F1745" t="str">
        <f>IF(Sync!$AH1745="","",IF(LEFT(UPPER(TRIM(Sync!$AH1745)),2)="SL",UPPER(TRIM(Sync!$AH1745)),""))</f>
        <v/>
      </c>
      <c r="G1745" t="str">
        <f>IF($F1745="","",IF(Sync!$AE1745="","",IF(ISNUMBER(Sync!$AE1745),IF(AND(Sync!$AE1745&gt;=10000101,Sync!$AE1745&lt;=99991231),INT(Sync!$AE1745/10000),""),IFERROR(VALUE(TRIM(LEFT(Sync!$AE1745,FIND("/",Sync!$AE1745)-1))),""))))</f>
        <v/>
      </c>
      <c r="H1745" t="str">
        <f>IF(OR($F1745="",$G1745=""),"",IF(ISNUMBER(Sync!$AE1745),INT(MOD(Sync!$AE1745,10000)/100),IFERROR(VALUE(TRIM(LEFT(MID(Sync!$AE1745,FIND("/",Sync!$AE1745)+1,20),FIND("/",MID(Sync!$AE1745,FIND("/",Sync!$AE1745)+1,20))-1))),"")))</f>
        <v/>
      </c>
      <c r="I1745" t="str">
        <f>IF(OR($F1745="",$G1745=""),"",IF(ISNUMBER(Sync!$AE1745),MOD(Sync!$AE1745,100),IFERROR(VALUE(TRIM(MID(MID(Sync!$AE1745,FIND("/",Sync!$AE1745)+1,20),FIND("/",MID(Sync!$AE1745,FIND("/",Sync!$AE1745)+1,20))+1,20))),"")))</f>
        <v/>
      </c>
      <c r="J1745" t="str">
        <f t="shared" si="137"/>
        <v/>
      </c>
      <c r="K1745" t="str">
        <f>IF(OR($F1745="",$J1745="",$J1745="نامعتبر"),"",LEFT($J1745,4)&amp;MID($J1745,6,2)&amp;RIGHT($J1745,2)&amp;$N1745&amp;"|"&amp;"2"&amp;RIGHT("00000"&amp;1740,5))</f>
        <v/>
      </c>
      <c r="L1745" t="str">
        <f t="shared" si="138"/>
        <v/>
      </c>
      <c r="M1745" t="str">
        <f t="shared" si="139"/>
        <v/>
      </c>
      <c r="N1745" t="str">
        <f>IF($F1745="","",IF(Sync!$AF1745="","0000",IF(AND(ISNUMBER(Sync!$AF1745),Sync!$AF1745&gt;=0,Sync!$AF1745&lt;1),RIGHT("00"&amp;HOUR(Sync!$AF1745),2)&amp;RIGHT("00"&amp;MINUTE(Sync!$AF1745),2),IFERROR(RIGHT("00"&amp;VALUE(LEFT(Sync!$AF1745,FIND(":",Sync!$AF1745)-1)),2)&amp;RIGHT("00"&amp;VALUE(MID(Sync!$AF1745,FIND(":",Sync!$AF1745)+1,2)),2),"0000"))))</f>
        <v/>
      </c>
    </row>
    <row r="1746" spans="1:14" x14ac:dyDescent="0.2">
      <c r="A1746" t="str">
        <f>IF(OR(Calc!$E1750="",Calc!$E1750="نامعتبر",Calc!$G1750=""),"",Calc!$G1750)</f>
        <v/>
      </c>
      <c r="B1746" t="str">
        <f>IF($A1746="","",LEFT(Calc!$E1750,4)&amp;MID(Calc!$E1750,6,2)&amp;RIGHT(Calc!$E1750,2)&amp;Calc!$Q1750&amp;"|"&amp;"1"&amp;RIGHT("00000"&amp;1741,5))</f>
        <v/>
      </c>
      <c r="C1746" t="str">
        <f t="shared" si="135"/>
        <v/>
      </c>
      <c r="D1746" t="str">
        <f t="shared" si="136"/>
        <v/>
      </c>
      <c r="F1746" t="str">
        <f>IF(Sync!$AH1746="","",IF(LEFT(UPPER(TRIM(Sync!$AH1746)),2)="SL",UPPER(TRIM(Sync!$AH1746)),""))</f>
        <v/>
      </c>
      <c r="G1746" t="str">
        <f>IF($F1746="","",IF(Sync!$AE1746="","",IF(ISNUMBER(Sync!$AE1746),IF(AND(Sync!$AE1746&gt;=10000101,Sync!$AE1746&lt;=99991231),INT(Sync!$AE1746/10000),""),IFERROR(VALUE(TRIM(LEFT(Sync!$AE1746,FIND("/",Sync!$AE1746)-1))),""))))</f>
        <v/>
      </c>
      <c r="H1746" t="str">
        <f>IF(OR($F1746="",$G1746=""),"",IF(ISNUMBER(Sync!$AE1746),INT(MOD(Sync!$AE1746,10000)/100),IFERROR(VALUE(TRIM(LEFT(MID(Sync!$AE1746,FIND("/",Sync!$AE1746)+1,20),FIND("/",MID(Sync!$AE1746,FIND("/",Sync!$AE1746)+1,20))-1))),"")))</f>
        <v/>
      </c>
      <c r="I1746" t="str">
        <f>IF(OR($F1746="",$G1746=""),"",IF(ISNUMBER(Sync!$AE1746),MOD(Sync!$AE1746,100),IFERROR(VALUE(TRIM(MID(MID(Sync!$AE1746,FIND("/",Sync!$AE1746)+1,20),FIND("/",MID(Sync!$AE1746,FIND("/",Sync!$AE1746)+1,20))+1,20))),"")))</f>
        <v/>
      </c>
      <c r="J1746" t="str">
        <f t="shared" si="137"/>
        <v/>
      </c>
      <c r="K1746" t="str">
        <f>IF(OR($F1746="",$J1746="",$J1746="نامعتبر"),"",LEFT($J1746,4)&amp;MID($J1746,6,2)&amp;RIGHT($J1746,2)&amp;$N1746&amp;"|"&amp;"2"&amp;RIGHT("00000"&amp;1741,5))</f>
        <v/>
      </c>
      <c r="L1746" t="str">
        <f t="shared" si="138"/>
        <v/>
      </c>
      <c r="M1746" t="str">
        <f t="shared" si="139"/>
        <v/>
      </c>
      <c r="N1746" t="str">
        <f>IF($F1746="","",IF(Sync!$AF1746="","0000",IF(AND(ISNUMBER(Sync!$AF1746),Sync!$AF1746&gt;=0,Sync!$AF1746&lt;1),RIGHT("00"&amp;HOUR(Sync!$AF1746),2)&amp;RIGHT("00"&amp;MINUTE(Sync!$AF1746),2),IFERROR(RIGHT("00"&amp;VALUE(LEFT(Sync!$AF1746,FIND(":",Sync!$AF1746)-1)),2)&amp;RIGHT("00"&amp;VALUE(MID(Sync!$AF1746,FIND(":",Sync!$AF1746)+1,2)),2),"0000"))))</f>
        <v/>
      </c>
    </row>
    <row r="1747" spans="1:14" x14ac:dyDescent="0.2">
      <c r="A1747" t="str">
        <f>IF(OR(Calc!$E1751="",Calc!$E1751="نامعتبر",Calc!$G1751=""),"",Calc!$G1751)</f>
        <v/>
      </c>
      <c r="B1747" t="str">
        <f>IF($A1747="","",LEFT(Calc!$E1751,4)&amp;MID(Calc!$E1751,6,2)&amp;RIGHT(Calc!$E1751,2)&amp;Calc!$Q1751&amp;"|"&amp;"1"&amp;RIGHT("00000"&amp;1742,5))</f>
        <v/>
      </c>
      <c r="C1747" t="str">
        <f t="shared" si="135"/>
        <v/>
      </c>
      <c r="D1747" t="str">
        <f t="shared" si="136"/>
        <v/>
      </c>
      <c r="F1747" t="str">
        <f>IF(Sync!$AH1747="","",IF(LEFT(UPPER(TRIM(Sync!$AH1747)),2)="SL",UPPER(TRIM(Sync!$AH1747)),""))</f>
        <v/>
      </c>
      <c r="G1747" t="str">
        <f>IF($F1747="","",IF(Sync!$AE1747="","",IF(ISNUMBER(Sync!$AE1747),IF(AND(Sync!$AE1747&gt;=10000101,Sync!$AE1747&lt;=99991231),INT(Sync!$AE1747/10000),""),IFERROR(VALUE(TRIM(LEFT(Sync!$AE1747,FIND("/",Sync!$AE1747)-1))),""))))</f>
        <v/>
      </c>
      <c r="H1747" t="str">
        <f>IF(OR($F1747="",$G1747=""),"",IF(ISNUMBER(Sync!$AE1747),INT(MOD(Sync!$AE1747,10000)/100),IFERROR(VALUE(TRIM(LEFT(MID(Sync!$AE1747,FIND("/",Sync!$AE1747)+1,20),FIND("/",MID(Sync!$AE1747,FIND("/",Sync!$AE1747)+1,20))-1))),"")))</f>
        <v/>
      </c>
      <c r="I1747" t="str">
        <f>IF(OR($F1747="",$G1747=""),"",IF(ISNUMBER(Sync!$AE1747),MOD(Sync!$AE1747,100),IFERROR(VALUE(TRIM(MID(MID(Sync!$AE1747,FIND("/",Sync!$AE1747)+1,20),FIND("/",MID(Sync!$AE1747,FIND("/",Sync!$AE1747)+1,20))+1,20))),"")))</f>
        <v/>
      </c>
      <c r="J1747" t="str">
        <f t="shared" si="137"/>
        <v/>
      </c>
      <c r="K1747" t="str">
        <f>IF(OR($F1747="",$J1747="",$J1747="نامعتبر"),"",LEFT($J1747,4)&amp;MID($J1747,6,2)&amp;RIGHT($J1747,2)&amp;$N1747&amp;"|"&amp;"2"&amp;RIGHT("00000"&amp;1742,5))</f>
        <v/>
      </c>
      <c r="L1747" t="str">
        <f t="shared" si="138"/>
        <v/>
      </c>
      <c r="M1747" t="str">
        <f t="shared" si="139"/>
        <v/>
      </c>
      <c r="N1747" t="str">
        <f>IF($F1747="","",IF(Sync!$AF1747="","0000",IF(AND(ISNUMBER(Sync!$AF1747),Sync!$AF1747&gt;=0,Sync!$AF1747&lt;1),RIGHT("00"&amp;HOUR(Sync!$AF1747),2)&amp;RIGHT("00"&amp;MINUTE(Sync!$AF1747),2),IFERROR(RIGHT("00"&amp;VALUE(LEFT(Sync!$AF1747,FIND(":",Sync!$AF1747)-1)),2)&amp;RIGHT("00"&amp;VALUE(MID(Sync!$AF1747,FIND(":",Sync!$AF1747)+1,2)),2),"0000"))))</f>
        <v/>
      </c>
    </row>
    <row r="1748" spans="1:14" x14ac:dyDescent="0.2">
      <c r="A1748" t="str">
        <f>IF(OR(Calc!$E1752="",Calc!$E1752="نامعتبر",Calc!$G1752=""),"",Calc!$G1752)</f>
        <v/>
      </c>
      <c r="B1748" t="str">
        <f>IF($A1748="","",LEFT(Calc!$E1752,4)&amp;MID(Calc!$E1752,6,2)&amp;RIGHT(Calc!$E1752,2)&amp;Calc!$Q1752&amp;"|"&amp;"1"&amp;RIGHT("00000"&amp;1743,5))</f>
        <v/>
      </c>
      <c r="C1748" t="str">
        <f t="shared" si="135"/>
        <v/>
      </c>
      <c r="D1748" t="str">
        <f t="shared" si="136"/>
        <v/>
      </c>
      <c r="F1748" t="str">
        <f>IF(Sync!$AH1748="","",IF(LEFT(UPPER(TRIM(Sync!$AH1748)),2)="SL",UPPER(TRIM(Sync!$AH1748)),""))</f>
        <v/>
      </c>
      <c r="G1748" t="str">
        <f>IF($F1748="","",IF(Sync!$AE1748="","",IF(ISNUMBER(Sync!$AE1748),IF(AND(Sync!$AE1748&gt;=10000101,Sync!$AE1748&lt;=99991231),INT(Sync!$AE1748/10000),""),IFERROR(VALUE(TRIM(LEFT(Sync!$AE1748,FIND("/",Sync!$AE1748)-1))),""))))</f>
        <v/>
      </c>
      <c r="H1748" t="str">
        <f>IF(OR($F1748="",$G1748=""),"",IF(ISNUMBER(Sync!$AE1748),INT(MOD(Sync!$AE1748,10000)/100),IFERROR(VALUE(TRIM(LEFT(MID(Sync!$AE1748,FIND("/",Sync!$AE1748)+1,20),FIND("/",MID(Sync!$AE1748,FIND("/",Sync!$AE1748)+1,20))-1))),"")))</f>
        <v/>
      </c>
      <c r="I1748" t="str">
        <f>IF(OR($F1748="",$G1748=""),"",IF(ISNUMBER(Sync!$AE1748),MOD(Sync!$AE1748,100),IFERROR(VALUE(TRIM(MID(MID(Sync!$AE1748,FIND("/",Sync!$AE1748)+1,20),FIND("/",MID(Sync!$AE1748,FIND("/",Sync!$AE1748)+1,20))+1,20))),"")))</f>
        <v/>
      </c>
      <c r="J1748" t="str">
        <f t="shared" si="137"/>
        <v/>
      </c>
      <c r="K1748" t="str">
        <f>IF(OR($F1748="",$J1748="",$J1748="نامعتبر"),"",LEFT($J1748,4)&amp;MID($J1748,6,2)&amp;RIGHT($J1748,2)&amp;$N1748&amp;"|"&amp;"2"&amp;RIGHT("00000"&amp;1743,5))</f>
        <v/>
      </c>
      <c r="L1748" t="str">
        <f t="shared" si="138"/>
        <v/>
      </c>
      <c r="M1748" t="str">
        <f t="shared" si="139"/>
        <v/>
      </c>
      <c r="N1748" t="str">
        <f>IF($F1748="","",IF(Sync!$AF1748="","0000",IF(AND(ISNUMBER(Sync!$AF1748),Sync!$AF1748&gt;=0,Sync!$AF1748&lt;1),RIGHT("00"&amp;HOUR(Sync!$AF1748),2)&amp;RIGHT("00"&amp;MINUTE(Sync!$AF1748),2),IFERROR(RIGHT("00"&amp;VALUE(LEFT(Sync!$AF1748,FIND(":",Sync!$AF1748)-1)),2)&amp;RIGHT("00"&amp;VALUE(MID(Sync!$AF1748,FIND(":",Sync!$AF1748)+1,2)),2),"0000"))))</f>
        <v/>
      </c>
    </row>
    <row r="1749" spans="1:14" x14ac:dyDescent="0.2">
      <c r="A1749" t="str">
        <f>IF(OR(Calc!$E1753="",Calc!$E1753="نامعتبر",Calc!$G1753=""),"",Calc!$G1753)</f>
        <v/>
      </c>
      <c r="B1749" t="str">
        <f>IF($A1749="","",LEFT(Calc!$E1753,4)&amp;MID(Calc!$E1753,6,2)&amp;RIGHT(Calc!$E1753,2)&amp;Calc!$Q1753&amp;"|"&amp;"1"&amp;RIGHT("00000"&amp;1744,5))</f>
        <v/>
      </c>
      <c r="C1749" t="str">
        <f t="shared" si="135"/>
        <v/>
      </c>
      <c r="D1749" t="str">
        <f t="shared" si="136"/>
        <v/>
      </c>
      <c r="F1749" t="str">
        <f>IF(Sync!$AH1749="","",IF(LEFT(UPPER(TRIM(Sync!$AH1749)),2)="SL",UPPER(TRIM(Sync!$AH1749)),""))</f>
        <v/>
      </c>
      <c r="G1749" t="str">
        <f>IF($F1749="","",IF(Sync!$AE1749="","",IF(ISNUMBER(Sync!$AE1749),IF(AND(Sync!$AE1749&gt;=10000101,Sync!$AE1749&lt;=99991231),INT(Sync!$AE1749/10000),""),IFERROR(VALUE(TRIM(LEFT(Sync!$AE1749,FIND("/",Sync!$AE1749)-1))),""))))</f>
        <v/>
      </c>
      <c r="H1749" t="str">
        <f>IF(OR($F1749="",$G1749=""),"",IF(ISNUMBER(Sync!$AE1749),INT(MOD(Sync!$AE1749,10000)/100),IFERROR(VALUE(TRIM(LEFT(MID(Sync!$AE1749,FIND("/",Sync!$AE1749)+1,20),FIND("/",MID(Sync!$AE1749,FIND("/",Sync!$AE1749)+1,20))-1))),"")))</f>
        <v/>
      </c>
      <c r="I1749" t="str">
        <f>IF(OR($F1749="",$G1749=""),"",IF(ISNUMBER(Sync!$AE1749),MOD(Sync!$AE1749,100),IFERROR(VALUE(TRIM(MID(MID(Sync!$AE1749,FIND("/",Sync!$AE1749)+1,20),FIND("/",MID(Sync!$AE1749,FIND("/",Sync!$AE1749)+1,20))+1,20))),"")))</f>
        <v/>
      </c>
      <c r="J1749" t="str">
        <f t="shared" si="137"/>
        <v/>
      </c>
      <c r="K1749" t="str">
        <f>IF(OR($F1749="",$J1749="",$J1749="نامعتبر"),"",LEFT($J1749,4)&amp;MID($J1749,6,2)&amp;RIGHT($J1749,2)&amp;$N1749&amp;"|"&amp;"2"&amp;RIGHT("00000"&amp;1744,5))</f>
        <v/>
      </c>
      <c r="L1749" t="str">
        <f t="shared" si="138"/>
        <v/>
      </c>
      <c r="M1749" t="str">
        <f t="shared" si="139"/>
        <v/>
      </c>
      <c r="N1749" t="str">
        <f>IF($F1749="","",IF(Sync!$AF1749="","0000",IF(AND(ISNUMBER(Sync!$AF1749),Sync!$AF1749&gt;=0,Sync!$AF1749&lt;1),RIGHT("00"&amp;HOUR(Sync!$AF1749),2)&amp;RIGHT("00"&amp;MINUTE(Sync!$AF1749),2),IFERROR(RIGHT("00"&amp;VALUE(LEFT(Sync!$AF1749,FIND(":",Sync!$AF1749)-1)),2)&amp;RIGHT("00"&amp;VALUE(MID(Sync!$AF1749,FIND(":",Sync!$AF1749)+1,2)),2),"0000"))))</f>
        <v/>
      </c>
    </row>
    <row r="1750" spans="1:14" x14ac:dyDescent="0.2">
      <c r="A1750" t="str">
        <f>IF(OR(Calc!$E1754="",Calc!$E1754="نامعتبر",Calc!$G1754=""),"",Calc!$G1754)</f>
        <v/>
      </c>
      <c r="B1750" t="str">
        <f>IF($A1750="","",LEFT(Calc!$E1754,4)&amp;MID(Calc!$E1754,6,2)&amp;RIGHT(Calc!$E1754,2)&amp;Calc!$Q1754&amp;"|"&amp;"1"&amp;RIGHT("00000"&amp;1745,5))</f>
        <v/>
      </c>
      <c r="C1750" t="str">
        <f t="shared" si="135"/>
        <v/>
      </c>
      <c r="D1750" t="str">
        <f t="shared" si="136"/>
        <v/>
      </c>
      <c r="F1750" t="str">
        <f>IF(Sync!$AH1750="","",IF(LEFT(UPPER(TRIM(Sync!$AH1750)),2)="SL",UPPER(TRIM(Sync!$AH1750)),""))</f>
        <v/>
      </c>
      <c r="G1750" t="str">
        <f>IF($F1750="","",IF(Sync!$AE1750="","",IF(ISNUMBER(Sync!$AE1750),IF(AND(Sync!$AE1750&gt;=10000101,Sync!$AE1750&lt;=99991231),INT(Sync!$AE1750/10000),""),IFERROR(VALUE(TRIM(LEFT(Sync!$AE1750,FIND("/",Sync!$AE1750)-1))),""))))</f>
        <v/>
      </c>
      <c r="H1750" t="str">
        <f>IF(OR($F1750="",$G1750=""),"",IF(ISNUMBER(Sync!$AE1750),INT(MOD(Sync!$AE1750,10000)/100),IFERROR(VALUE(TRIM(LEFT(MID(Sync!$AE1750,FIND("/",Sync!$AE1750)+1,20),FIND("/",MID(Sync!$AE1750,FIND("/",Sync!$AE1750)+1,20))-1))),"")))</f>
        <v/>
      </c>
      <c r="I1750" t="str">
        <f>IF(OR($F1750="",$G1750=""),"",IF(ISNUMBER(Sync!$AE1750),MOD(Sync!$AE1750,100),IFERROR(VALUE(TRIM(MID(MID(Sync!$AE1750,FIND("/",Sync!$AE1750)+1,20),FIND("/",MID(Sync!$AE1750,FIND("/",Sync!$AE1750)+1,20))+1,20))),"")))</f>
        <v/>
      </c>
      <c r="J1750" t="str">
        <f t="shared" si="137"/>
        <v/>
      </c>
      <c r="K1750" t="str">
        <f>IF(OR($F1750="",$J1750="",$J1750="نامعتبر"),"",LEFT($J1750,4)&amp;MID($J1750,6,2)&amp;RIGHT($J1750,2)&amp;$N1750&amp;"|"&amp;"2"&amp;RIGHT("00000"&amp;1745,5))</f>
        <v/>
      </c>
      <c r="L1750" t="str">
        <f t="shared" si="138"/>
        <v/>
      </c>
      <c r="M1750" t="str">
        <f t="shared" si="139"/>
        <v/>
      </c>
      <c r="N1750" t="str">
        <f>IF($F1750="","",IF(Sync!$AF1750="","0000",IF(AND(ISNUMBER(Sync!$AF1750),Sync!$AF1750&gt;=0,Sync!$AF1750&lt;1),RIGHT("00"&amp;HOUR(Sync!$AF1750),2)&amp;RIGHT("00"&amp;MINUTE(Sync!$AF1750),2),IFERROR(RIGHT("00"&amp;VALUE(LEFT(Sync!$AF1750,FIND(":",Sync!$AF1750)-1)),2)&amp;RIGHT("00"&amp;VALUE(MID(Sync!$AF1750,FIND(":",Sync!$AF1750)+1,2)),2),"0000"))))</f>
        <v/>
      </c>
    </row>
    <row r="1751" spans="1:14" x14ac:dyDescent="0.2">
      <c r="A1751" t="str">
        <f>IF(OR(Calc!$E1755="",Calc!$E1755="نامعتبر",Calc!$G1755=""),"",Calc!$G1755)</f>
        <v/>
      </c>
      <c r="B1751" t="str">
        <f>IF($A1751="","",LEFT(Calc!$E1755,4)&amp;MID(Calc!$E1755,6,2)&amp;RIGHT(Calc!$E1755,2)&amp;Calc!$Q1755&amp;"|"&amp;"1"&amp;RIGHT("00000"&amp;1746,5))</f>
        <v/>
      </c>
      <c r="C1751" t="str">
        <f t="shared" si="135"/>
        <v/>
      </c>
      <c r="D1751" t="str">
        <f t="shared" si="136"/>
        <v/>
      </c>
      <c r="F1751" t="str">
        <f>IF(Sync!$AH1751="","",IF(LEFT(UPPER(TRIM(Sync!$AH1751)),2)="SL",UPPER(TRIM(Sync!$AH1751)),""))</f>
        <v/>
      </c>
      <c r="G1751" t="str">
        <f>IF($F1751="","",IF(Sync!$AE1751="","",IF(ISNUMBER(Sync!$AE1751),IF(AND(Sync!$AE1751&gt;=10000101,Sync!$AE1751&lt;=99991231),INT(Sync!$AE1751/10000),""),IFERROR(VALUE(TRIM(LEFT(Sync!$AE1751,FIND("/",Sync!$AE1751)-1))),""))))</f>
        <v/>
      </c>
      <c r="H1751" t="str">
        <f>IF(OR($F1751="",$G1751=""),"",IF(ISNUMBER(Sync!$AE1751),INT(MOD(Sync!$AE1751,10000)/100),IFERROR(VALUE(TRIM(LEFT(MID(Sync!$AE1751,FIND("/",Sync!$AE1751)+1,20),FIND("/",MID(Sync!$AE1751,FIND("/",Sync!$AE1751)+1,20))-1))),"")))</f>
        <v/>
      </c>
      <c r="I1751" t="str">
        <f>IF(OR($F1751="",$G1751=""),"",IF(ISNUMBER(Sync!$AE1751),MOD(Sync!$AE1751,100),IFERROR(VALUE(TRIM(MID(MID(Sync!$AE1751,FIND("/",Sync!$AE1751)+1,20),FIND("/",MID(Sync!$AE1751,FIND("/",Sync!$AE1751)+1,20))+1,20))),"")))</f>
        <v/>
      </c>
      <c r="J1751" t="str">
        <f t="shared" si="137"/>
        <v/>
      </c>
      <c r="K1751" t="str">
        <f>IF(OR($F1751="",$J1751="",$J1751="نامعتبر"),"",LEFT($J1751,4)&amp;MID($J1751,6,2)&amp;RIGHT($J1751,2)&amp;$N1751&amp;"|"&amp;"2"&amp;RIGHT("00000"&amp;1746,5))</f>
        <v/>
      </c>
      <c r="L1751" t="str">
        <f t="shared" si="138"/>
        <v/>
      </c>
      <c r="M1751" t="str">
        <f t="shared" si="139"/>
        <v/>
      </c>
      <c r="N1751" t="str">
        <f>IF($F1751="","",IF(Sync!$AF1751="","0000",IF(AND(ISNUMBER(Sync!$AF1751),Sync!$AF1751&gt;=0,Sync!$AF1751&lt;1),RIGHT("00"&amp;HOUR(Sync!$AF1751),2)&amp;RIGHT("00"&amp;MINUTE(Sync!$AF1751),2),IFERROR(RIGHT("00"&amp;VALUE(LEFT(Sync!$AF1751,FIND(":",Sync!$AF1751)-1)),2)&amp;RIGHT("00"&amp;VALUE(MID(Sync!$AF1751,FIND(":",Sync!$AF1751)+1,2)),2),"0000"))))</f>
        <v/>
      </c>
    </row>
    <row r="1752" spans="1:14" x14ac:dyDescent="0.2">
      <c r="A1752" t="str">
        <f>IF(OR(Calc!$E1756="",Calc!$E1756="نامعتبر",Calc!$G1756=""),"",Calc!$G1756)</f>
        <v/>
      </c>
      <c r="B1752" t="str">
        <f>IF($A1752="","",LEFT(Calc!$E1756,4)&amp;MID(Calc!$E1756,6,2)&amp;RIGHT(Calc!$E1756,2)&amp;Calc!$Q1756&amp;"|"&amp;"1"&amp;RIGHT("00000"&amp;1747,5))</f>
        <v/>
      </c>
      <c r="C1752" t="str">
        <f t="shared" si="135"/>
        <v/>
      </c>
      <c r="D1752" t="str">
        <f t="shared" si="136"/>
        <v/>
      </c>
      <c r="F1752" t="str">
        <f>IF(Sync!$AH1752="","",IF(LEFT(UPPER(TRIM(Sync!$AH1752)),2)="SL",UPPER(TRIM(Sync!$AH1752)),""))</f>
        <v/>
      </c>
      <c r="G1752" t="str">
        <f>IF($F1752="","",IF(Sync!$AE1752="","",IF(ISNUMBER(Sync!$AE1752),IF(AND(Sync!$AE1752&gt;=10000101,Sync!$AE1752&lt;=99991231),INT(Sync!$AE1752/10000),""),IFERROR(VALUE(TRIM(LEFT(Sync!$AE1752,FIND("/",Sync!$AE1752)-1))),""))))</f>
        <v/>
      </c>
      <c r="H1752" t="str">
        <f>IF(OR($F1752="",$G1752=""),"",IF(ISNUMBER(Sync!$AE1752),INT(MOD(Sync!$AE1752,10000)/100),IFERROR(VALUE(TRIM(LEFT(MID(Sync!$AE1752,FIND("/",Sync!$AE1752)+1,20),FIND("/",MID(Sync!$AE1752,FIND("/",Sync!$AE1752)+1,20))-1))),"")))</f>
        <v/>
      </c>
      <c r="I1752" t="str">
        <f>IF(OR($F1752="",$G1752=""),"",IF(ISNUMBER(Sync!$AE1752),MOD(Sync!$AE1752,100),IFERROR(VALUE(TRIM(MID(MID(Sync!$AE1752,FIND("/",Sync!$AE1752)+1,20),FIND("/",MID(Sync!$AE1752,FIND("/",Sync!$AE1752)+1,20))+1,20))),"")))</f>
        <v/>
      </c>
      <c r="J1752" t="str">
        <f t="shared" si="137"/>
        <v/>
      </c>
      <c r="K1752" t="str">
        <f>IF(OR($F1752="",$J1752="",$J1752="نامعتبر"),"",LEFT($J1752,4)&amp;MID($J1752,6,2)&amp;RIGHT($J1752,2)&amp;$N1752&amp;"|"&amp;"2"&amp;RIGHT("00000"&amp;1747,5))</f>
        <v/>
      </c>
      <c r="L1752" t="str">
        <f t="shared" si="138"/>
        <v/>
      </c>
      <c r="M1752" t="str">
        <f t="shared" si="139"/>
        <v/>
      </c>
      <c r="N1752" t="str">
        <f>IF($F1752="","",IF(Sync!$AF1752="","0000",IF(AND(ISNUMBER(Sync!$AF1752),Sync!$AF1752&gt;=0,Sync!$AF1752&lt;1),RIGHT("00"&amp;HOUR(Sync!$AF1752),2)&amp;RIGHT("00"&amp;MINUTE(Sync!$AF1752),2),IFERROR(RIGHT("00"&amp;VALUE(LEFT(Sync!$AF1752,FIND(":",Sync!$AF1752)-1)),2)&amp;RIGHT("00"&amp;VALUE(MID(Sync!$AF1752,FIND(":",Sync!$AF1752)+1,2)),2),"0000"))))</f>
        <v/>
      </c>
    </row>
    <row r="1753" spans="1:14" x14ac:dyDescent="0.2">
      <c r="A1753" t="str">
        <f>IF(OR(Calc!$E1757="",Calc!$E1757="نامعتبر",Calc!$G1757=""),"",Calc!$G1757)</f>
        <v/>
      </c>
      <c r="B1753" t="str">
        <f>IF($A1753="","",LEFT(Calc!$E1757,4)&amp;MID(Calc!$E1757,6,2)&amp;RIGHT(Calc!$E1757,2)&amp;Calc!$Q1757&amp;"|"&amp;"1"&amp;RIGHT("00000"&amp;1748,5))</f>
        <v/>
      </c>
      <c r="C1753" t="str">
        <f t="shared" si="135"/>
        <v/>
      </c>
      <c r="D1753" t="str">
        <f t="shared" si="136"/>
        <v/>
      </c>
      <c r="F1753" t="str">
        <f>IF(Sync!$AH1753="","",IF(LEFT(UPPER(TRIM(Sync!$AH1753)),2)="SL",UPPER(TRIM(Sync!$AH1753)),""))</f>
        <v/>
      </c>
      <c r="G1753" t="str">
        <f>IF($F1753="","",IF(Sync!$AE1753="","",IF(ISNUMBER(Sync!$AE1753),IF(AND(Sync!$AE1753&gt;=10000101,Sync!$AE1753&lt;=99991231),INT(Sync!$AE1753/10000),""),IFERROR(VALUE(TRIM(LEFT(Sync!$AE1753,FIND("/",Sync!$AE1753)-1))),""))))</f>
        <v/>
      </c>
      <c r="H1753" t="str">
        <f>IF(OR($F1753="",$G1753=""),"",IF(ISNUMBER(Sync!$AE1753),INT(MOD(Sync!$AE1753,10000)/100),IFERROR(VALUE(TRIM(LEFT(MID(Sync!$AE1753,FIND("/",Sync!$AE1753)+1,20),FIND("/",MID(Sync!$AE1753,FIND("/",Sync!$AE1753)+1,20))-1))),"")))</f>
        <v/>
      </c>
      <c r="I1753" t="str">
        <f>IF(OR($F1753="",$G1753=""),"",IF(ISNUMBER(Sync!$AE1753),MOD(Sync!$AE1753,100),IFERROR(VALUE(TRIM(MID(MID(Sync!$AE1753,FIND("/",Sync!$AE1753)+1,20),FIND("/",MID(Sync!$AE1753,FIND("/",Sync!$AE1753)+1,20))+1,20))),"")))</f>
        <v/>
      </c>
      <c r="J1753" t="str">
        <f t="shared" si="137"/>
        <v/>
      </c>
      <c r="K1753" t="str">
        <f>IF(OR($F1753="",$J1753="",$J1753="نامعتبر"),"",LEFT($J1753,4)&amp;MID($J1753,6,2)&amp;RIGHT($J1753,2)&amp;$N1753&amp;"|"&amp;"2"&amp;RIGHT("00000"&amp;1748,5))</f>
        <v/>
      </c>
      <c r="L1753" t="str">
        <f t="shared" si="138"/>
        <v/>
      </c>
      <c r="M1753" t="str">
        <f t="shared" si="139"/>
        <v/>
      </c>
      <c r="N1753" t="str">
        <f>IF($F1753="","",IF(Sync!$AF1753="","0000",IF(AND(ISNUMBER(Sync!$AF1753),Sync!$AF1753&gt;=0,Sync!$AF1753&lt;1),RIGHT("00"&amp;HOUR(Sync!$AF1753),2)&amp;RIGHT("00"&amp;MINUTE(Sync!$AF1753),2),IFERROR(RIGHT("00"&amp;VALUE(LEFT(Sync!$AF1753,FIND(":",Sync!$AF1753)-1)),2)&amp;RIGHT("00"&amp;VALUE(MID(Sync!$AF1753,FIND(":",Sync!$AF1753)+1,2)),2),"0000"))))</f>
        <v/>
      </c>
    </row>
    <row r="1754" spans="1:14" x14ac:dyDescent="0.2">
      <c r="A1754" t="str">
        <f>IF(OR(Calc!$E1758="",Calc!$E1758="نامعتبر",Calc!$G1758=""),"",Calc!$G1758)</f>
        <v/>
      </c>
      <c r="B1754" t="str">
        <f>IF($A1754="","",LEFT(Calc!$E1758,4)&amp;MID(Calc!$E1758,6,2)&amp;RIGHT(Calc!$E1758,2)&amp;Calc!$Q1758&amp;"|"&amp;"1"&amp;RIGHT("00000"&amp;1749,5))</f>
        <v/>
      </c>
      <c r="C1754" t="str">
        <f t="shared" si="135"/>
        <v/>
      </c>
      <c r="D1754" t="str">
        <f t="shared" si="136"/>
        <v/>
      </c>
      <c r="F1754" t="str">
        <f>IF(Sync!$AH1754="","",IF(LEFT(UPPER(TRIM(Sync!$AH1754)),2)="SL",UPPER(TRIM(Sync!$AH1754)),""))</f>
        <v/>
      </c>
      <c r="G1754" t="str">
        <f>IF($F1754="","",IF(Sync!$AE1754="","",IF(ISNUMBER(Sync!$AE1754),IF(AND(Sync!$AE1754&gt;=10000101,Sync!$AE1754&lt;=99991231),INT(Sync!$AE1754/10000),""),IFERROR(VALUE(TRIM(LEFT(Sync!$AE1754,FIND("/",Sync!$AE1754)-1))),""))))</f>
        <v/>
      </c>
      <c r="H1754" t="str">
        <f>IF(OR($F1754="",$G1754=""),"",IF(ISNUMBER(Sync!$AE1754),INT(MOD(Sync!$AE1754,10000)/100),IFERROR(VALUE(TRIM(LEFT(MID(Sync!$AE1754,FIND("/",Sync!$AE1754)+1,20),FIND("/",MID(Sync!$AE1754,FIND("/",Sync!$AE1754)+1,20))-1))),"")))</f>
        <v/>
      </c>
      <c r="I1754" t="str">
        <f>IF(OR($F1754="",$G1754=""),"",IF(ISNUMBER(Sync!$AE1754),MOD(Sync!$AE1754,100),IFERROR(VALUE(TRIM(MID(MID(Sync!$AE1754,FIND("/",Sync!$AE1754)+1,20),FIND("/",MID(Sync!$AE1754,FIND("/",Sync!$AE1754)+1,20))+1,20))),"")))</f>
        <v/>
      </c>
      <c r="J1754" t="str">
        <f t="shared" si="137"/>
        <v/>
      </c>
      <c r="K1754" t="str">
        <f>IF(OR($F1754="",$J1754="",$J1754="نامعتبر"),"",LEFT($J1754,4)&amp;MID($J1754,6,2)&amp;RIGHT($J1754,2)&amp;$N1754&amp;"|"&amp;"2"&amp;RIGHT("00000"&amp;1749,5))</f>
        <v/>
      </c>
      <c r="L1754" t="str">
        <f t="shared" si="138"/>
        <v/>
      </c>
      <c r="M1754" t="str">
        <f t="shared" si="139"/>
        <v/>
      </c>
      <c r="N1754" t="str">
        <f>IF($F1754="","",IF(Sync!$AF1754="","0000",IF(AND(ISNUMBER(Sync!$AF1754),Sync!$AF1754&gt;=0,Sync!$AF1754&lt;1),RIGHT("00"&amp;HOUR(Sync!$AF1754),2)&amp;RIGHT("00"&amp;MINUTE(Sync!$AF1754),2),IFERROR(RIGHT("00"&amp;VALUE(LEFT(Sync!$AF1754,FIND(":",Sync!$AF1754)-1)),2)&amp;RIGHT("00"&amp;VALUE(MID(Sync!$AF1754,FIND(":",Sync!$AF1754)+1,2)),2),"0000"))))</f>
        <v/>
      </c>
    </row>
    <row r="1755" spans="1:14" x14ac:dyDescent="0.2">
      <c r="A1755" t="str">
        <f>IF(OR(Calc!$E1759="",Calc!$E1759="نامعتبر",Calc!$G1759=""),"",Calc!$G1759)</f>
        <v/>
      </c>
      <c r="B1755" t="str">
        <f>IF($A1755="","",LEFT(Calc!$E1759,4)&amp;MID(Calc!$E1759,6,2)&amp;RIGHT(Calc!$E1759,2)&amp;Calc!$Q1759&amp;"|"&amp;"1"&amp;RIGHT("00000"&amp;1750,5))</f>
        <v/>
      </c>
      <c r="C1755" t="str">
        <f t="shared" si="135"/>
        <v/>
      </c>
      <c r="D1755" t="str">
        <f t="shared" si="136"/>
        <v/>
      </c>
      <c r="F1755" t="str">
        <f>IF(Sync!$AH1755="","",IF(LEFT(UPPER(TRIM(Sync!$AH1755)),2)="SL",UPPER(TRIM(Sync!$AH1755)),""))</f>
        <v/>
      </c>
      <c r="G1755" t="str">
        <f>IF($F1755="","",IF(Sync!$AE1755="","",IF(ISNUMBER(Sync!$AE1755),IF(AND(Sync!$AE1755&gt;=10000101,Sync!$AE1755&lt;=99991231),INT(Sync!$AE1755/10000),""),IFERROR(VALUE(TRIM(LEFT(Sync!$AE1755,FIND("/",Sync!$AE1755)-1))),""))))</f>
        <v/>
      </c>
      <c r="H1755" t="str">
        <f>IF(OR($F1755="",$G1755=""),"",IF(ISNUMBER(Sync!$AE1755),INT(MOD(Sync!$AE1755,10000)/100),IFERROR(VALUE(TRIM(LEFT(MID(Sync!$AE1755,FIND("/",Sync!$AE1755)+1,20),FIND("/",MID(Sync!$AE1755,FIND("/",Sync!$AE1755)+1,20))-1))),"")))</f>
        <v/>
      </c>
      <c r="I1755" t="str">
        <f>IF(OR($F1755="",$G1755=""),"",IF(ISNUMBER(Sync!$AE1755),MOD(Sync!$AE1755,100),IFERROR(VALUE(TRIM(MID(MID(Sync!$AE1755,FIND("/",Sync!$AE1755)+1,20),FIND("/",MID(Sync!$AE1755,FIND("/",Sync!$AE1755)+1,20))+1,20))),"")))</f>
        <v/>
      </c>
      <c r="J1755" t="str">
        <f t="shared" si="137"/>
        <v/>
      </c>
      <c r="K1755" t="str">
        <f>IF(OR($F1755="",$J1755="",$J1755="نامعتبر"),"",LEFT($J1755,4)&amp;MID($J1755,6,2)&amp;RIGHT($J1755,2)&amp;$N1755&amp;"|"&amp;"2"&amp;RIGHT("00000"&amp;1750,5))</f>
        <v/>
      </c>
      <c r="L1755" t="str">
        <f t="shared" si="138"/>
        <v/>
      </c>
      <c r="M1755" t="str">
        <f t="shared" si="139"/>
        <v/>
      </c>
      <c r="N1755" t="str">
        <f>IF($F1755="","",IF(Sync!$AF1755="","0000",IF(AND(ISNUMBER(Sync!$AF1755),Sync!$AF1755&gt;=0,Sync!$AF1755&lt;1),RIGHT("00"&amp;HOUR(Sync!$AF1755),2)&amp;RIGHT("00"&amp;MINUTE(Sync!$AF1755),2),IFERROR(RIGHT("00"&amp;VALUE(LEFT(Sync!$AF1755,FIND(":",Sync!$AF1755)-1)),2)&amp;RIGHT("00"&amp;VALUE(MID(Sync!$AF1755,FIND(":",Sync!$AF1755)+1,2)),2),"0000"))))</f>
        <v/>
      </c>
    </row>
    <row r="1756" spans="1:14" x14ac:dyDescent="0.2">
      <c r="A1756" t="str">
        <f>IF(OR(Calc!$E1760="",Calc!$E1760="نامعتبر",Calc!$G1760=""),"",Calc!$G1760)</f>
        <v/>
      </c>
      <c r="B1756" t="str">
        <f>IF($A1756="","",LEFT(Calc!$E1760,4)&amp;MID(Calc!$E1760,6,2)&amp;RIGHT(Calc!$E1760,2)&amp;Calc!$Q1760&amp;"|"&amp;"1"&amp;RIGHT("00000"&amp;1751,5))</f>
        <v/>
      </c>
      <c r="C1756" t="str">
        <f t="shared" si="135"/>
        <v/>
      </c>
      <c r="D1756" t="str">
        <f t="shared" si="136"/>
        <v/>
      </c>
      <c r="F1756" t="str">
        <f>IF(Sync!$AH1756="","",IF(LEFT(UPPER(TRIM(Sync!$AH1756)),2)="SL",UPPER(TRIM(Sync!$AH1756)),""))</f>
        <v/>
      </c>
      <c r="G1756" t="str">
        <f>IF($F1756="","",IF(Sync!$AE1756="","",IF(ISNUMBER(Sync!$AE1756),IF(AND(Sync!$AE1756&gt;=10000101,Sync!$AE1756&lt;=99991231),INT(Sync!$AE1756/10000),""),IFERROR(VALUE(TRIM(LEFT(Sync!$AE1756,FIND("/",Sync!$AE1756)-1))),""))))</f>
        <v/>
      </c>
      <c r="H1756" t="str">
        <f>IF(OR($F1756="",$G1756=""),"",IF(ISNUMBER(Sync!$AE1756),INT(MOD(Sync!$AE1756,10000)/100),IFERROR(VALUE(TRIM(LEFT(MID(Sync!$AE1756,FIND("/",Sync!$AE1756)+1,20),FIND("/",MID(Sync!$AE1756,FIND("/",Sync!$AE1756)+1,20))-1))),"")))</f>
        <v/>
      </c>
      <c r="I1756" t="str">
        <f>IF(OR($F1756="",$G1756=""),"",IF(ISNUMBER(Sync!$AE1756),MOD(Sync!$AE1756,100),IFERROR(VALUE(TRIM(MID(MID(Sync!$AE1756,FIND("/",Sync!$AE1756)+1,20),FIND("/",MID(Sync!$AE1756,FIND("/",Sync!$AE1756)+1,20))+1,20))),"")))</f>
        <v/>
      </c>
      <c r="J1756" t="str">
        <f t="shared" si="137"/>
        <v/>
      </c>
      <c r="K1756" t="str">
        <f>IF(OR($F1756="",$J1756="",$J1756="نامعتبر"),"",LEFT($J1756,4)&amp;MID($J1756,6,2)&amp;RIGHT($J1756,2)&amp;$N1756&amp;"|"&amp;"2"&amp;RIGHT("00000"&amp;1751,5))</f>
        <v/>
      </c>
      <c r="L1756" t="str">
        <f t="shared" si="138"/>
        <v/>
      </c>
      <c r="M1756" t="str">
        <f t="shared" si="139"/>
        <v/>
      </c>
      <c r="N1756" t="str">
        <f>IF($F1756="","",IF(Sync!$AF1756="","0000",IF(AND(ISNUMBER(Sync!$AF1756),Sync!$AF1756&gt;=0,Sync!$AF1756&lt;1),RIGHT("00"&amp;HOUR(Sync!$AF1756),2)&amp;RIGHT("00"&amp;MINUTE(Sync!$AF1756),2),IFERROR(RIGHT("00"&amp;VALUE(LEFT(Sync!$AF1756,FIND(":",Sync!$AF1756)-1)),2)&amp;RIGHT("00"&amp;VALUE(MID(Sync!$AF1756,FIND(":",Sync!$AF1756)+1,2)),2),"0000"))))</f>
        <v/>
      </c>
    </row>
    <row r="1757" spans="1:14" x14ac:dyDescent="0.2">
      <c r="A1757" t="str">
        <f>IF(OR(Calc!$E1761="",Calc!$E1761="نامعتبر",Calc!$G1761=""),"",Calc!$G1761)</f>
        <v/>
      </c>
      <c r="B1757" t="str">
        <f>IF($A1757="","",LEFT(Calc!$E1761,4)&amp;MID(Calc!$E1761,6,2)&amp;RIGHT(Calc!$E1761,2)&amp;Calc!$Q1761&amp;"|"&amp;"1"&amp;RIGHT("00000"&amp;1752,5))</f>
        <v/>
      </c>
      <c r="C1757" t="str">
        <f t="shared" si="135"/>
        <v/>
      </c>
      <c r="D1757" t="str">
        <f t="shared" si="136"/>
        <v/>
      </c>
      <c r="F1757" t="str">
        <f>IF(Sync!$AH1757="","",IF(LEFT(UPPER(TRIM(Sync!$AH1757)),2)="SL",UPPER(TRIM(Sync!$AH1757)),""))</f>
        <v/>
      </c>
      <c r="G1757" t="str">
        <f>IF($F1757="","",IF(Sync!$AE1757="","",IF(ISNUMBER(Sync!$AE1757),IF(AND(Sync!$AE1757&gt;=10000101,Sync!$AE1757&lt;=99991231),INT(Sync!$AE1757/10000),""),IFERROR(VALUE(TRIM(LEFT(Sync!$AE1757,FIND("/",Sync!$AE1757)-1))),""))))</f>
        <v/>
      </c>
      <c r="H1757" t="str">
        <f>IF(OR($F1757="",$G1757=""),"",IF(ISNUMBER(Sync!$AE1757),INT(MOD(Sync!$AE1757,10000)/100),IFERROR(VALUE(TRIM(LEFT(MID(Sync!$AE1757,FIND("/",Sync!$AE1757)+1,20),FIND("/",MID(Sync!$AE1757,FIND("/",Sync!$AE1757)+1,20))-1))),"")))</f>
        <v/>
      </c>
      <c r="I1757" t="str">
        <f>IF(OR($F1757="",$G1757=""),"",IF(ISNUMBER(Sync!$AE1757),MOD(Sync!$AE1757,100),IFERROR(VALUE(TRIM(MID(MID(Sync!$AE1757,FIND("/",Sync!$AE1757)+1,20),FIND("/",MID(Sync!$AE1757,FIND("/",Sync!$AE1757)+1,20))+1,20))),"")))</f>
        <v/>
      </c>
      <c r="J1757" t="str">
        <f t="shared" si="137"/>
        <v/>
      </c>
      <c r="K1757" t="str">
        <f>IF(OR($F1757="",$J1757="",$J1757="نامعتبر"),"",LEFT($J1757,4)&amp;MID($J1757,6,2)&amp;RIGHT($J1757,2)&amp;$N1757&amp;"|"&amp;"2"&amp;RIGHT("00000"&amp;1752,5))</f>
        <v/>
      </c>
      <c r="L1757" t="str">
        <f t="shared" si="138"/>
        <v/>
      </c>
      <c r="M1757" t="str">
        <f t="shared" si="139"/>
        <v/>
      </c>
      <c r="N1757" t="str">
        <f>IF($F1757="","",IF(Sync!$AF1757="","0000",IF(AND(ISNUMBER(Sync!$AF1757),Sync!$AF1757&gt;=0,Sync!$AF1757&lt;1),RIGHT("00"&amp;HOUR(Sync!$AF1757),2)&amp;RIGHT("00"&amp;MINUTE(Sync!$AF1757),2),IFERROR(RIGHT("00"&amp;VALUE(LEFT(Sync!$AF1757,FIND(":",Sync!$AF1757)-1)),2)&amp;RIGHT("00"&amp;VALUE(MID(Sync!$AF1757,FIND(":",Sync!$AF1757)+1,2)),2),"0000"))))</f>
        <v/>
      </c>
    </row>
    <row r="1758" spans="1:14" x14ac:dyDescent="0.2">
      <c r="A1758" t="str">
        <f>IF(OR(Calc!$E1762="",Calc!$E1762="نامعتبر",Calc!$G1762=""),"",Calc!$G1762)</f>
        <v/>
      </c>
      <c r="B1758" t="str">
        <f>IF($A1758="","",LEFT(Calc!$E1762,4)&amp;MID(Calc!$E1762,6,2)&amp;RIGHT(Calc!$E1762,2)&amp;Calc!$Q1762&amp;"|"&amp;"1"&amp;RIGHT("00000"&amp;1753,5))</f>
        <v/>
      </c>
      <c r="C1758" t="str">
        <f t="shared" si="135"/>
        <v/>
      </c>
      <c r="D1758" t="str">
        <f t="shared" si="136"/>
        <v/>
      </c>
      <c r="F1758" t="str">
        <f>IF(Sync!$AH1758="","",IF(LEFT(UPPER(TRIM(Sync!$AH1758)),2)="SL",UPPER(TRIM(Sync!$AH1758)),""))</f>
        <v/>
      </c>
      <c r="G1758" t="str">
        <f>IF($F1758="","",IF(Sync!$AE1758="","",IF(ISNUMBER(Sync!$AE1758),IF(AND(Sync!$AE1758&gt;=10000101,Sync!$AE1758&lt;=99991231),INT(Sync!$AE1758/10000),""),IFERROR(VALUE(TRIM(LEFT(Sync!$AE1758,FIND("/",Sync!$AE1758)-1))),""))))</f>
        <v/>
      </c>
      <c r="H1758" t="str">
        <f>IF(OR($F1758="",$G1758=""),"",IF(ISNUMBER(Sync!$AE1758),INT(MOD(Sync!$AE1758,10000)/100),IFERROR(VALUE(TRIM(LEFT(MID(Sync!$AE1758,FIND("/",Sync!$AE1758)+1,20),FIND("/",MID(Sync!$AE1758,FIND("/",Sync!$AE1758)+1,20))-1))),"")))</f>
        <v/>
      </c>
      <c r="I1758" t="str">
        <f>IF(OR($F1758="",$G1758=""),"",IF(ISNUMBER(Sync!$AE1758),MOD(Sync!$AE1758,100),IFERROR(VALUE(TRIM(MID(MID(Sync!$AE1758,FIND("/",Sync!$AE1758)+1,20),FIND("/",MID(Sync!$AE1758,FIND("/",Sync!$AE1758)+1,20))+1,20))),"")))</f>
        <v/>
      </c>
      <c r="J1758" t="str">
        <f t="shared" si="137"/>
        <v/>
      </c>
      <c r="K1758" t="str">
        <f>IF(OR($F1758="",$J1758="",$J1758="نامعتبر"),"",LEFT($J1758,4)&amp;MID($J1758,6,2)&amp;RIGHT($J1758,2)&amp;$N1758&amp;"|"&amp;"2"&amp;RIGHT("00000"&amp;1753,5))</f>
        <v/>
      </c>
      <c r="L1758" t="str">
        <f t="shared" si="138"/>
        <v/>
      </c>
      <c r="M1758" t="str">
        <f t="shared" si="139"/>
        <v/>
      </c>
      <c r="N1758" t="str">
        <f>IF($F1758="","",IF(Sync!$AF1758="","0000",IF(AND(ISNUMBER(Sync!$AF1758),Sync!$AF1758&gt;=0,Sync!$AF1758&lt;1),RIGHT("00"&amp;HOUR(Sync!$AF1758),2)&amp;RIGHT("00"&amp;MINUTE(Sync!$AF1758),2),IFERROR(RIGHT("00"&amp;VALUE(LEFT(Sync!$AF1758,FIND(":",Sync!$AF1758)-1)),2)&amp;RIGHT("00"&amp;VALUE(MID(Sync!$AF1758,FIND(":",Sync!$AF1758)+1,2)),2),"0000"))))</f>
        <v/>
      </c>
    </row>
    <row r="1759" spans="1:14" x14ac:dyDescent="0.2">
      <c r="A1759" t="str">
        <f>IF(OR(Calc!$E1763="",Calc!$E1763="نامعتبر",Calc!$G1763=""),"",Calc!$G1763)</f>
        <v/>
      </c>
      <c r="B1759" t="str">
        <f>IF($A1759="","",LEFT(Calc!$E1763,4)&amp;MID(Calc!$E1763,6,2)&amp;RIGHT(Calc!$E1763,2)&amp;Calc!$Q1763&amp;"|"&amp;"1"&amp;RIGHT("00000"&amp;1754,5))</f>
        <v/>
      </c>
      <c r="C1759" t="str">
        <f t="shared" si="135"/>
        <v/>
      </c>
      <c r="D1759" t="str">
        <f t="shared" si="136"/>
        <v/>
      </c>
      <c r="F1759" t="str">
        <f>IF(Sync!$AH1759="","",IF(LEFT(UPPER(TRIM(Sync!$AH1759)),2)="SL",UPPER(TRIM(Sync!$AH1759)),""))</f>
        <v/>
      </c>
      <c r="G1759" t="str">
        <f>IF($F1759="","",IF(Sync!$AE1759="","",IF(ISNUMBER(Sync!$AE1759),IF(AND(Sync!$AE1759&gt;=10000101,Sync!$AE1759&lt;=99991231),INT(Sync!$AE1759/10000),""),IFERROR(VALUE(TRIM(LEFT(Sync!$AE1759,FIND("/",Sync!$AE1759)-1))),""))))</f>
        <v/>
      </c>
      <c r="H1759" t="str">
        <f>IF(OR($F1759="",$G1759=""),"",IF(ISNUMBER(Sync!$AE1759),INT(MOD(Sync!$AE1759,10000)/100),IFERROR(VALUE(TRIM(LEFT(MID(Sync!$AE1759,FIND("/",Sync!$AE1759)+1,20),FIND("/",MID(Sync!$AE1759,FIND("/",Sync!$AE1759)+1,20))-1))),"")))</f>
        <v/>
      </c>
      <c r="I1759" t="str">
        <f>IF(OR($F1759="",$G1759=""),"",IF(ISNUMBER(Sync!$AE1759),MOD(Sync!$AE1759,100),IFERROR(VALUE(TRIM(MID(MID(Sync!$AE1759,FIND("/",Sync!$AE1759)+1,20),FIND("/",MID(Sync!$AE1759,FIND("/",Sync!$AE1759)+1,20))+1,20))),"")))</f>
        <v/>
      </c>
      <c r="J1759" t="str">
        <f t="shared" si="137"/>
        <v/>
      </c>
      <c r="K1759" t="str">
        <f>IF(OR($F1759="",$J1759="",$J1759="نامعتبر"),"",LEFT($J1759,4)&amp;MID($J1759,6,2)&amp;RIGHT($J1759,2)&amp;$N1759&amp;"|"&amp;"2"&amp;RIGHT("00000"&amp;1754,5))</f>
        <v/>
      </c>
      <c r="L1759" t="str">
        <f t="shared" si="138"/>
        <v/>
      </c>
      <c r="M1759" t="str">
        <f t="shared" si="139"/>
        <v/>
      </c>
      <c r="N1759" t="str">
        <f>IF($F1759="","",IF(Sync!$AF1759="","0000",IF(AND(ISNUMBER(Sync!$AF1759),Sync!$AF1759&gt;=0,Sync!$AF1759&lt;1),RIGHT("00"&amp;HOUR(Sync!$AF1759),2)&amp;RIGHT("00"&amp;MINUTE(Sync!$AF1759),2),IFERROR(RIGHT("00"&amp;VALUE(LEFT(Sync!$AF1759,FIND(":",Sync!$AF1759)-1)),2)&amp;RIGHT("00"&amp;VALUE(MID(Sync!$AF1759,FIND(":",Sync!$AF1759)+1,2)),2),"0000"))))</f>
        <v/>
      </c>
    </row>
    <row r="1760" spans="1:14" x14ac:dyDescent="0.2">
      <c r="A1760" t="str">
        <f>IF(OR(Calc!$E1764="",Calc!$E1764="نامعتبر",Calc!$G1764=""),"",Calc!$G1764)</f>
        <v/>
      </c>
      <c r="B1760" t="str">
        <f>IF($A1760="","",LEFT(Calc!$E1764,4)&amp;MID(Calc!$E1764,6,2)&amp;RIGHT(Calc!$E1764,2)&amp;Calc!$Q1764&amp;"|"&amp;"1"&amp;RIGHT("00000"&amp;1755,5))</f>
        <v/>
      </c>
      <c r="C1760" t="str">
        <f t="shared" si="135"/>
        <v/>
      </c>
      <c r="D1760" t="str">
        <f t="shared" si="136"/>
        <v/>
      </c>
      <c r="F1760" t="str">
        <f>IF(Sync!$AH1760="","",IF(LEFT(UPPER(TRIM(Sync!$AH1760)),2)="SL",UPPER(TRIM(Sync!$AH1760)),""))</f>
        <v/>
      </c>
      <c r="G1760" t="str">
        <f>IF($F1760="","",IF(Sync!$AE1760="","",IF(ISNUMBER(Sync!$AE1760),IF(AND(Sync!$AE1760&gt;=10000101,Sync!$AE1760&lt;=99991231),INT(Sync!$AE1760/10000),""),IFERROR(VALUE(TRIM(LEFT(Sync!$AE1760,FIND("/",Sync!$AE1760)-1))),""))))</f>
        <v/>
      </c>
      <c r="H1760" t="str">
        <f>IF(OR($F1760="",$G1760=""),"",IF(ISNUMBER(Sync!$AE1760),INT(MOD(Sync!$AE1760,10000)/100),IFERROR(VALUE(TRIM(LEFT(MID(Sync!$AE1760,FIND("/",Sync!$AE1760)+1,20),FIND("/",MID(Sync!$AE1760,FIND("/",Sync!$AE1760)+1,20))-1))),"")))</f>
        <v/>
      </c>
      <c r="I1760" t="str">
        <f>IF(OR($F1760="",$G1760=""),"",IF(ISNUMBER(Sync!$AE1760),MOD(Sync!$AE1760,100),IFERROR(VALUE(TRIM(MID(MID(Sync!$AE1760,FIND("/",Sync!$AE1760)+1,20),FIND("/",MID(Sync!$AE1760,FIND("/",Sync!$AE1760)+1,20))+1,20))),"")))</f>
        <v/>
      </c>
      <c r="J1760" t="str">
        <f t="shared" si="137"/>
        <v/>
      </c>
      <c r="K1760" t="str">
        <f>IF(OR($F1760="",$J1760="",$J1760="نامعتبر"),"",LEFT($J1760,4)&amp;MID($J1760,6,2)&amp;RIGHT($J1760,2)&amp;$N1760&amp;"|"&amp;"2"&amp;RIGHT("00000"&amp;1755,5))</f>
        <v/>
      </c>
      <c r="L1760" t="str">
        <f t="shared" si="138"/>
        <v/>
      </c>
      <c r="M1760" t="str">
        <f t="shared" si="139"/>
        <v/>
      </c>
      <c r="N1760" t="str">
        <f>IF($F1760="","",IF(Sync!$AF1760="","0000",IF(AND(ISNUMBER(Sync!$AF1760),Sync!$AF1760&gt;=0,Sync!$AF1760&lt;1),RIGHT("00"&amp;HOUR(Sync!$AF1760),2)&amp;RIGHT("00"&amp;MINUTE(Sync!$AF1760),2),IFERROR(RIGHT("00"&amp;VALUE(LEFT(Sync!$AF1760,FIND(":",Sync!$AF1760)-1)),2)&amp;RIGHT("00"&amp;VALUE(MID(Sync!$AF1760,FIND(":",Sync!$AF1760)+1,2)),2),"0000"))))</f>
        <v/>
      </c>
    </row>
    <row r="1761" spans="1:14" x14ac:dyDescent="0.2">
      <c r="A1761" t="str">
        <f>IF(OR(Calc!$E1765="",Calc!$E1765="نامعتبر",Calc!$G1765=""),"",Calc!$G1765)</f>
        <v/>
      </c>
      <c r="B1761" t="str">
        <f>IF($A1761="","",LEFT(Calc!$E1765,4)&amp;MID(Calc!$E1765,6,2)&amp;RIGHT(Calc!$E1765,2)&amp;Calc!$Q1765&amp;"|"&amp;"1"&amp;RIGHT("00000"&amp;1756,5))</f>
        <v/>
      </c>
      <c r="C1761" t="str">
        <f t="shared" si="135"/>
        <v/>
      </c>
      <c r="D1761" t="str">
        <f t="shared" si="136"/>
        <v/>
      </c>
      <c r="F1761" t="str">
        <f>IF(Sync!$AH1761="","",IF(LEFT(UPPER(TRIM(Sync!$AH1761)),2)="SL",UPPER(TRIM(Sync!$AH1761)),""))</f>
        <v/>
      </c>
      <c r="G1761" t="str">
        <f>IF($F1761="","",IF(Sync!$AE1761="","",IF(ISNUMBER(Sync!$AE1761),IF(AND(Sync!$AE1761&gt;=10000101,Sync!$AE1761&lt;=99991231),INT(Sync!$AE1761/10000),""),IFERROR(VALUE(TRIM(LEFT(Sync!$AE1761,FIND("/",Sync!$AE1761)-1))),""))))</f>
        <v/>
      </c>
      <c r="H1761" t="str">
        <f>IF(OR($F1761="",$G1761=""),"",IF(ISNUMBER(Sync!$AE1761),INT(MOD(Sync!$AE1761,10000)/100),IFERROR(VALUE(TRIM(LEFT(MID(Sync!$AE1761,FIND("/",Sync!$AE1761)+1,20),FIND("/",MID(Sync!$AE1761,FIND("/",Sync!$AE1761)+1,20))-1))),"")))</f>
        <v/>
      </c>
      <c r="I1761" t="str">
        <f>IF(OR($F1761="",$G1761=""),"",IF(ISNUMBER(Sync!$AE1761),MOD(Sync!$AE1761,100),IFERROR(VALUE(TRIM(MID(MID(Sync!$AE1761,FIND("/",Sync!$AE1761)+1,20),FIND("/",MID(Sync!$AE1761,FIND("/",Sync!$AE1761)+1,20))+1,20))),"")))</f>
        <v/>
      </c>
      <c r="J1761" t="str">
        <f t="shared" si="137"/>
        <v/>
      </c>
      <c r="K1761" t="str">
        <f>IF(OR($F1761="",$J1761="",$J1761="نامعتبر"),"",LEFT($J1761,4)&amp;MID($J1761,6,2)&amp;RIGHT($J1761,2)&amp;$N1761&amp;"|"&amp;"2"&amp;RIGHT("00000"&amp;1756,5))</f>
        <v/>
      </c>
      <c r="L1761" t="str">
        <f t="shared" si="138"/>
        <v/>
      </c>
      <c r="M1761" t="str">
        <f t="shared" si="139"/>
        <v/>
      </c>
      <c r="N1761" t="str">
        <f>IF($F1761="","",IF(Sync!$AF1761="","0000",IF(AND(ISNUMBER(Sync!$AF1761),Sync!$AF1761&gt;=0,Sync!$AF1761&lt;1),RIGHT("00"&amp;HOUR(Sync!$AF1761),2)&amp;RIGHT("00"&amp;MINUTE(Sync!$AF1761),2),IFERROR(RIGHT("00"&amp;VALUE(LEFT(Sync!$AF1761,FIND(":",Sync!$AF1761)-1)),2)&amp;RIGHT("00"&amp;VALUE(MID(Sync!$AF1761,FIND(":",Sync!$AF1761)+1,2)),2),"0000"))))</f>
        <v/>
      </c>
    </row>
    <row r="1762" spans="1:14" x14ac:dyDescent="0.2">
      <c r="A1762" t="str">
        <f>IF(OR(Calc!$E1766="",Calc!$E1766="نامعتبر",Calc!$G1766=""),"",Calc!$G1766)</f>
        <v/>
      </c>
      <c r="B1762" t="str">
        <f>IF($A1762="","",LEFT(Calc!$E1766,4)&amp;MID(Calc!$E1766,6,2)&amp;RIGHT(Calc!$E1766,2)&amp;Calc!$Q1766&amp;"|"&amp;"1"&amp;RIGHT("00000"&amp;1757,5))</f>
        <v/>
      </c>
      <c r="C1762" t="str">
        <f t="shared" si="135"/>
        <v/>
      </c>
      <c r="D1762" t="str">
        <f t="shared" si="136"/>
        <v/>
      </c>
      <c r="F1762" t="str">
        <f>IF(Sync!$AH1762="","",IF(LEFT(UPPER(TRIM(Sync!$AH1762)),2)="SL",UPPER(TRIM(Sync!$AH1762)),""))</f>
        <v/>
      </c>
      <c r="G1762" t="str">
        <f>IF($F1762="","",IF(Sync!$AE1762="","",IF(ISNUMBER(Sync!$AE1762),IF(AND(Sync!$AE1762&gt;=10000101,Sync!$AE1762&lt;=99991231),INT(Sync!$AE1762/10000),""),IFERROR(VALUE(TRIM(LEFT(Sync!$AE1762,FIND("/",Sync!$AE1762)-1))),""))))</f>
        <v/>
      </c>
      <c r="H1762" t="str">
        <f>IF(OR($F1762="",$G1762=""),"",IF(ISNUMBER(Sync!$AE1762),INT(MOD(Sync!$AE1762,10000)/100),IFERROR(VALUE(TRIM(LEFT(MID(Sync!$AE1762,FIND("/",Sync!$AE1762)+1,20),FIND("/",MID(Sync!$AE1762,FIND("/",Sync!$AE1762)+1,20))-1))),"")))</f>
        <v/>
      </c>
      <c r="I1762" t="str">
        <f>IF(OR($F1762="",$G1762=""),"",IF(ISNUMBER(Sync!$AE1762),MOD(Sync!$AE1762,100),IFERROR(VALUE(TRIM(MID(MID(Sync!$AE1762,FIND("/",Sync!$AE1762)+1,20),FIND("/",MID(Sync!$AE1762,FIND("/",Sync!$AE1762)+1,20))+1,20))),"")))</f>
        <v/>
      </c>
      <c r="J1762" t="str">
        <f t="shared" si="137"/>
        <v/>
      </c>
      <c r="K1762" t="str">
        <f>IF(OR($F1762="",$J1762="",$J1762="نامعتبر"),"",LEFT($J1762,4)&amp;MID($J1762,6,2)&amp;RIGHT($J1762,2)&amp;$N1762&amp;"|"&amp;"2"&amp;RIGHT("00000"&amp;1757,5))</f>
        <v/>
      </c>
      <c r="L1762" t="str">
        <f t="shared" si="138"/>
        <v/>
      </c>
      <c r="M1762" t="str">
        <f t="shared" si="139"/>
        <v/>
      </c>
      <c r="N1762" t="str">
        <f>IF($F1762="","",IF(Sync!$AF1762="","0000",IF(AND(ISNUMBER(Sync!$AF1762),Sync!$AF1762&gt;=0,Sync!$AF1762&lt;1),RIGHT("00"&amp;HOUR(Sync!$AF1762),2)&amp;RIGHT("00"&amp;MINUTE(Sync!$AF1762),2),IFERROR(RIGHT("00"&amp;VALUE(LEFT(Sync!$AF1762,FIND(":",Sync!$AF1762)-1)),2)&amp;RIGHT("00"&amp;VALUE(MID(Sync!$AF1762,FIND(":",Sync!$AF1762)+1,2)),2),"0000"))))</f>
        <v/>
      </c>
    </row>
    <row r="1763" spans="1:14" x14ac:dyDescent="0.2">
      <c r="A1763" t="str">
        <f>IF(OR(Calc!$E1767="",Calc!$E1767="نامعتبر",Calc!$G1767=""),"",Calc!$G1767)</f>
        <v/>
      </c>
      <c r="B1763" t="str">
        <f>IF($A1763="","",LEFT(Calc!$E1767,4)&amp;MID(Calc!$E1767,6,2)&amp;RIGHT(Calc!$E1767,2)&amp;Calc!$Q1767&amp;"|"&amp;"1"&amp;RIGHT("00000"&amp;1758,5))</f>
        <v/>
      </c>
      <c r="C1763" t="str">
        <f t="shared" si="135"/>
        <v/>
      </c>
      <c r="D1763" t="str">
        <f t="shared" si="136"/>
        <v/>
      </c>
      <c r="F1763" t="str">
        <f>IF(Sync!$AH1763="","",IF(LEFT(UPPER(TRIM(Sync!$AH1763)),2)="SL",UPPER(TRIM(Sync!$AH1763)),""))</f>
        <v/>
      </c>
      <c r="G1763" t="str">
        <f>IF($F1763="","",IF(Sync!$AE1763="","",IF(ISNUMBER(Sync!$AE1763),IF(AND(Sync!$AE1763&gt;=10000101,Sync!$AE1763&lt;=99991231),INT(Sync!$AE1763/10000),""),IFERROR(VALUE(TRIM(LEFT(Sync!$AE1763,FIND("/",Sync!$AE1763)-1))),""))))</f>
        <v/>
      </c>
      <c r="H1763" t="str">
        <f>IF(OR($F1763="",$G1763=""),"",IF(ISNUMBER(Sync!$AE1763),INT(MOD(Sync!$AE1763,10000)/100),IFERROR(VALUE(TRIM(LEFT(MID(Sync!$AE1763,FIND("/",Sync!$AE1763)+1,20),FIND("/",MID(Sync!$AE1763,FIND("/",Sync!$AE1763)+1,20))-1))),"")))</f>
        <v/>
      </c>
      <c r="I1763" t="str">
        <f>IF(OR($F1763="",$G1763=""),"",IF(ISNUMBER(Sync!$AE1763),MOD(Sync!$AE1763,100),IFERROR(VALUE(TRIM(MID(MID(Sync!$AE1763,FIND("/",Sync!$AE1763)+1,20),FIND("/",MID(Sync!$AE1763,FIND("/",Sync!$AE1763)+1,20))+1,20))),"")))</f>
        <v/>
      </c>
      <c r="J1763" t="str">
        <f t="shared" si="137"/>
        <v/>
      </c>
      <c r="K1763" t="str">
        <f>IF(OR($F1763="",$J1763="",$J1763="نامعتبر"),"",LEFT($J1763,4)&amp;MID($J1763,6,2)&amp;RIGHT($J1763,2)&amp;$N1763&amp;"|"&amp;"2"&amp;RIGHT("00000"&amp;1758,5))</f>
        <v/>
      </c>
      <c r="L1763" t="str">
        <f t="shared" si="138"/>
        <v/>
      </c>
      <c r="M1763" t="str">
        <f t="shared" si="139"/>
        <v/>
      </c>
      <c r="N1763" t="str">
        <f>IF($F1763="","",IF(Sync!$AF1763="","0000",IF(AND(ISNUMBER(Sync!$AF1763),Sync!$AF1763&gt;=0,Sync!$AF1763&lt;1),RIGHT("00"&amp;HOUR(Sync!$AF1763),2)&amp;RIGHT("00"&amp;MINUTE(Sync!$AF1763),2),IFERROR(RIGHT("00"&amp;VALUE(LEFT(Sync!$AF1763,FIND(":",Sync!$AF1763)-1)),2)&amp;RIGHT("00"&amp;VALUE(MID(Sync!$AF1763,FIND(":",Sync!$AF1763)+1,2)),2),"0000"))))</f>
        <v/>
      </c>
    </row>
    <row r="1764" spans="1:14" x14ac:dyDescent="0.2">
      <c r="A1764" t="str">
        <f>IF(OR(Calc!$E1768="",Calc!$E1768="نامعتبر",Calc!$G1768=""),"",Calc!$G1768)</f>
        <v/>
      </c>
      <c r="B1764" t="str">
        <f>IF($A1764="","",LEFT(Calc!$E1768,4)&amp;MID(Calc!$E1768,6,2)&amp;RIGHT(Calc!$E1768,2)&amp;Calc!$Q1768&amp;"|"&amp;"1"&amp;RIGHT("00000"&amp;1759,5))</f>
        <v/>
      </c>
      <c r="C1764" t="str">
        <f t="shared" si="135"/>
        <v/>
      </c>
      <c r="D1764" t="str">
        <f t="shared" si="136"/>
        <v/>
      </c>
      <c r="F1764" t="str">
        <f>IF(Sync!$AH1764="","",IF(LEFT(UPPER(TRIM(Sync!$AH1764)),2)="SL",UPPER(TRIM(Sync!$AH1764)),""))</f>
        <v/>
      </c>
      <c r="G1764" t="str">
        <f>IF($F1764="","",IF(Sync!$AE1764="","",IF(ISNUMBER(Sync!$AE1764),IF(AND(Sync!$AE1764&gt;=10000101,Sync!$AE1764&lt;=99991231),INT(Sync!$AE1764/10000),""),IFERROR(VALUE(TRIM(LEFT(Sync!$AE1764,FIND("/",Sync!$AE1764)-1))),""))))</f>
        <v/>
      </c>
      <c r="H1764" t="str">
        <f>IF(OR($F1764="",$G1764=""),"",IF(ISNUMBER(Sync!$AE1764),INT(MOD(Sync!$AE1764,10000)/100),IFERROR(VALUE(TRIM(LEFT(MID(Sync!$AE1764,FIND("/",Sync!$AE1764)+1,20),FIND("/",MID(Sync!$AE1764,FIND("/",Sync!$AE1764)+1,20))-1))),"")))</f>
        <v/>
      </c>
      <c r="I1764" t="str">
        <f>IF(OR($F1764="",$G1764=""),"",IF(ISNUMBER(Sync!$AE1764),MOD(Sync!$AE1764,100),IFERROR(VALUE(TRIM(MID(MID(Sync!$AE1764,FIND("/",Sync!$AE1764)+1,20),FIND("/",MID(Sync!$AE1764,FIND("/",Sync!$AE1764)+1,20))+1,20))),"")))</f>
        <v/>
      </c>
      <c r="J1764" t="str">
        <f t="shared" si="137"/>
        <v/>
      </c>
      <c r="K1764" t="str">
        <f>IF(OR($F1764="",$J1764="",$J1764="نامعتبر"),"",LEFT($J1764,4)&amp;MID($J1764,6,2)&amp;RIGHT($J1764,2)&amp;$N1764&amp;"|"&amp;"2"&amp;RIGHT("00000"&amp;1759,5))</f>
        <v/>
      </c>
      <c r="L1764" t="str">
        <f t="shared" si="138"/>
        <v/>
      </c>
      <c r="M1764" t="str">
        <f t="shared" si="139"/>
        <v/>
      </c>
      <c r="N1764" t="str">
        <f>IF($F1764="","",IF(Sync!$AF1764="","0000",IF(AND(ISNUMBER(Sync!$AF1764),Sync!$AF1764&gt;=0,Sync!$AF1764&lt;1),RIGHT("00"&amp;HOUR(Sync!$AF1764),2)&amp;RIGHT("00"&amp;MINUTE(Sync!$AF1764),2),IFERROR(RIGHT("00"&amp;VALUE(LEFT(Sync!$AF1764,FIND(":",Sync!$AF1764)-1)),2)&amp;RIGHT("00"&amp;VALUE(MID(Sync!$AF1764,FIND(":",Sync!$AF1764)+1,2)),2),"0000"))))</f>
        <v/>
      </c>
    </row>
    <row r="1765" spans="1:14" x14ac:dyDescent="0.2">
      <c r="A1765" t="str">
        <f>IF(OR(Calc!$E1769="",Calc!$E1769="نامعتبر",Calc!$G1769=""),"",Calc!$G1769)</f>
        <v/>
      </c>
      <c r="B1765" t="str">
        <f>IF($A1765="","",LEFT(Calc!$E1769,4)&amp;MID(Calc!$E1769,6,2)&amp;RIGHT(Calc!$E1769,2)&amp;Calc!$Q1769&amp;"|"&amp;"1"&amp;RIGHT("00000"&amp;1760,5))</f>
        <v/>
      </c>
      <c r="C1765" t="str">
        <f t="shared" si="135"/>
        <v/>
      </c>
      <c r="D1765" t="str">
        <f t="shared" si="136"/>
        <v/>
      </c>
      <c r="F1765" t="str">
        <f>IF(Sync!$AH1765="","",IF(LEFT(UPPER(TRIM(Sync!$AH1765)),2)="SL",UPPER(TRIM(Sync!$AH1765)),""))</f>
        <v/>
      </c>
      <c r="G1765" t="str">
        <f>IF($F1765="","",IF(Sync!$AE1765="","",IF(ISNUMBER(Sync!$AE1765),IF(AND(Sync!$AE1765&gt;=10000101,Sync!$AE1765&lt;=99991231),INT(Sync!$AE1765/10000),""),IFERROR(VALUE(TRIM(LEFT(Sync!$AE1765,FIND("/",Sync!$AE1765)-1))),""))))</f>
        <v/>
      </c>
      <c r="H1765" t="str">
        <f>IF(OR($F1765="",$G1765=""),"",IF(ISNUMBER(Sync!$AE1765),INT(MOD(Sync!$AE1765,10000)/100),IFERROR(VALUE(TRIM(LEFT(MID(Sync!$AE1765,FIND("/",Sync!$AE1765)+1,20),FIND("/",MID(Sync!$AE1765,FIND("/",Sync!$AE1765)+1,20))-1))),"")))</f>
        <v/>
      </c>
      <c r="I1765" t="str">
        <f>IF(OR($F1765="",$G1765=""),"",IF(ISNUMBER(Sync!$AE1765),MOD(Sync!$AE1765,100),IFERROR(VALUE(TRIM(MID(MID(Sync!$AE1765,FIND("/",Sync!$AE1765)+1,20),FIND("/",MID(Sync!$AE1765,FIND("/",Sync!$AE1765)+1,20))+1,20))),"")))</f>
        <v/>
      </c>
      <c r="J1765" t="str">
        <f t="shared" si="137"/>
        <v/>
      </c>
      <c r="K1765" t="str">
        <f>IF(OR($F1765="",$J1765="",$J1765="نامعتبر"),"",LEFT($J1765,4)&amp;MID($J1765,6,2)&amp;RIGHT($J1765,2)&amp;$N1765&amp;"|"&amp;"2"&amp;RIGHT("00000"&amp;1760,5))</f>
        <v/>
      </c>
      <c r="L1765" t="str">
        <f t="shared" si="138"/>
        <v/>
      </c>
      <c r="M1765" t="str">
        <f t="shared" si="139"/>
        <v/>
      </c>
      <c r="N1765" t="str">
        <f>IF($F1765="","",IF(Sync!$AF1765="","0000",IF(AND(ISNUMBER(Sync!$AF1765),Sync!$AF1765&gt;=0,Sync!$AF1765&lt;1),RIGHT("00"&amp;HOUR(Sync!$AF1765),2)&amp;RIGHT("00"&amp;MINUTE(Sync!$AF1765),2),IFERROR(RIGHT("00"&amp;VALUE(LEFT(Sync!$AF1765,FIND(":",Sync!$AF1765)-1)),2)&amp;RIGHT("00"&amp;VALUE(MID(Sync!$AF1765,FIND(":",Sync!$AF1765)+1,2)),2),"0000"))))</f>
        <v/>
      </c>
    </row>
    <row r="1766" spans="1:14" x14ac:dyDescent="0.2">
      <c r="A1766" t="str">
        <f>IF(OR(Calc!$E1770="",Calc!$E1770="نامعتبر",Calc!$G1770=""),"",Calc!$G1770)</f>
        <v/>
      </c>
      <c r="B1766" t="str">
        <f>IF($A1766="","",LEFT(Calc!$E1770,4)&amp;MID(Calc!$E1770,6,2)&amp;RIGHT(Calc!$E1770,2)&amp;Calc!$Q1770&amp;"|"&amp;"1"&amp;RIGHT("00000"&amp;1761,5))</f>
        <v/>
      </c>
      <c r="C1766" t="str">
        <f t="shared" si="135"/>
        <v/>
      </c>
      <c r="D1766" t="str">
        <f t="shared" si="136"/>
        <v/>
      </c>
      <c r="F1766" t="str">
        <f>IF(Sync!$AH1766="","",IF(LEFT(UPPER(TRIM(Sync!$AH1766)),2)="SL",UPPER(TRIM(Sync!$AH1766)),""))</f>
        <v/>
      </c>
      <c r="G1766" t="str">
        <f>IF($F1766="","",IF(Sync!$AE1766="","",IF(ISNUMBER(Sync!$AE1766),IF(AND(Sync!$AE1766&gt;=10000101,Sync!$AE1766&lt;=99991231),INT(Sync!$AE1766/10000),""),IFERROR(VALUE(TRIM(LEFT(Sync!$AE1766,FIND("/",Sync!$AE1766)-1))),""))))</f>
        <v/>
      </c>
      <c r="H1766" t="str">
        <f>IF(OR($F1766="",$G1766=""),"",IF(ISNUMBER(Sync!$AE1766),INT(MOD(Sync!$AE1766,10000)/100),IFERROR(VALUE(TRIM(LEFT(MID(Sync!$AE1766,FIND("/",Sync!$AE1766)+1,20),FIND("/",MID(Sync!$AE1766,FIND("/",Sync!$AE1766)+1,20))-1))),"")))</f>
        <v/>
      </c>
      <c r="I1766" t="str">
        <f>IF(OR($F1766="",$G1766=""),"",IF(ISNUMBER(Sync!$AE1766),MOD(Sync!$AE1766,100),IFERROR(VALUE(TRIM(MID(MID(Sync!$AE1766,FIND("/",Sync!$AE1766)+1,20),FIND("/",MID(Sync!$AE1766,FIND("/",Sync!$AE1766)+1,20))+1,20))),"")))</f>
        <v/>
      </c>
      <c r="J1766" t="str">
        <f t="shared" si="137"/>
        <v/>
      </c>
      <c r="K1766" t="str">
        <f>IF(OR($F1766="",$J1766="",$J1766="نامعتبر"),"",LEFT($J1766,4)&amp;MID($J1766,6,2)&amp;RIGHT($J1766,2)&amp;$N1766&amp;"|"&amp;"2"&amp;RIGHT("00000"&amp;1761,5))</f>
        <v/>
      </c>
      <c r="L1766" t="str">
        <f t="shared" si="138"/>
        <v/>
      </c>
      <c r="M1766" t="str">
        <f t="shared" si="139"/>
        <v/>
      </c>
      <c r="N1766" t="str">
        <f>IF($F1766="","",IF(Sync!$AF1766="","0000",IF(AND(ISNUMBER(Sync!$AF1766),Sync!$AF1766&gt;=0,Sync!$AF1766&lt;1),RIGHT("00"&amp;HOUR(Sync!$AF1766),2)&amp;RIGHT("00"&amp;MINUTE(Sync!$AF1766),2),IFERROR(RIGHT("00"&amp;VALUE(LEFT(Sync!$AF1766,FIND(":",Sync!$AF1766)-1)),2)&amp;RIGHT("00"&amp;VALUE(MID(Sync!$AF1766,FIND(":",Sync!$AF1766)+1,2)),2),"0000"))))</f>
        <v/>
      </c>
    </row>
    <row r="1767" spans="1:14" x14ac:dyDescent="0.2">
      <c r="A1767" t="str">
        <f>IF(OR(Calc!$E1771="",Calc!$E1771="نامعتبر",Calc!$G1771=""),"",Calc!$G1771)</f>
        <v/>
      </c>
      <c r="B1767" t="str">
        <f>IF($A1767="","",LEFT(Calc!$E1771,4)&amp;MID(Calc!$E1771,6,2)&amp;RIGHT(Calc!$E1771,2)&amp;Calc!$Q1771&amp;"|"&amp;"1"&amp;RIGHT("00000"&amp;1762,5))</f>
        <v/>
      </c>
      <c r="C1767" t="str">
        <f t="shared" si="135"/>
        <v/>
      </c>
      <c r="D1767" t="str">
        <f t="shared" si="136"/>
        <v/>
      </c>
      <c r="F1767" t="str">
        <f>IF(Sync!$AH1767="","",IF(LEFT(UPPER(TRIM(Sync!$AH1767)),2)="SL",UPPER(TRIM(Sync!$AH1767)),""))</f>
        <v/>
      </c>
      <c r="G1767" t="str">
        <f>IF($F1767="","",IF(Sync!$AE1767="","",IF(ISNUMBER(Sync!$AE1767),IF(AND(Sync!$AE1767&gt;=10000101,Sync!$AE1767&lt;=99991231),INT(Sync!$AE1767/10000),""),IFERROR(VALUE(TRIM(LEFT(Sync!$AE1767,FIND("/",Sync!$AE1767)-1))),""))))</f>
        <v/>
      </c>
      <c r="H1767" t="str">
        <f>IF(OR($F1767="",$G1767=""),"",IF(ISNUMBER(Sync!$AE1767),INT(MOD(Sync!$AE1767,10000)/100),IFERROR(VALUE(TRIM(LEFT(MID(Sync!$AE1767,FIND("/",Sync!$AE1767)+1,20),FIND("/",MID(Sync!$AE1767,FIND("/",Sync!$AE1767)+1,20))-1))),"")))</f>
        <v/>
      </c>
      <c r="I1767" t="str">
        <f>IF(OR($F1767="",$G1767=""),"",IF(ISNUMBER(Sync!$AE1767),MOD(Sync!$AE1767,100),IFERROR(VALUE(TRIM(MID(MID(Sync!$AE1767,FIND("/",Sync!$AE1767)+1,20),FIND("/",MID(Sync!$AE1767,FIND("/",Sync!$AE1767)+1,20))+1,20))),"")))</f>
        <v/>
      </c>
      <c r="J1767" t="str">
        <f t="shared" si="137"/>
        <v/>
      </c>
      <c r="K1767" t="str">
        <f>IF(OR($F1767="",$J1767="",$J1767="نامعتبر"),"",LEFT($J1767,4)&amp;MID($J1767,6,2)&amp;RIGHT($J1767,2)&amp;$N1767&amp;"|"&amp;"2"&amp;RIGHT("00000"&amp;1762,5))</f>
        <v/>
      </c>
      <c r="L1767" t="str">
        <f t="shared" si="138"/>
        <v/>
      </c>
      <c r="M1767" t="str">
        <f t="shared" si="139"/>
        <v/>
      </c>
      <c r="N1767" t="str">
        <f>IF($F1767="","",IF(Sync!$AF1767="","0000",IF(AND(ISNUMBER(Sync!$AF1767),Sync!$AF1767&gt;=0,Sync!$AF1767&lt;1),RIGHT("00"&amp;HOUR(Sync!$AF1767),2)&amp;RIGHT("00"&amp;MINUTE(Sync!$AF1767),2),IFERROR(RIGHT("00"&amp;VALUE(LEFT(Sync!$AF1767,FIND(":",Sync!$AF1767)-1)),2)&amp;RIGHT("00"&amp;VALUE(MID(Sync!$AF1767,FIND(":",Sync!$AF1767)+1,2)),2),"0000"))))</f>
        <v/>
      </c>
    </row>
    <row r="1768" spans="1:14" x14ac:dyDescent="0.2">
      <c r="A1768" t="str">
        <f>IF(OR(Calc!$E1772="",Calc!$E1772="نامعتبر",Calc!$G1772=""),"",Calc!$G1772)</f>
        <v/>
      </c>
      <c r="B1768" t="str">
        <f>IF($A1768="","",LEFT(Calc!$E1772,4)&amp;MID(Calc!$E1772,6,2)&amp;RIGHT(Calc!$E1772,2)&amp;Calc!$Q1772&amp;"|"&amp;"1"&amp;RIGHT("00000"&amp;1763,5))</f>
        <v/>
      </c>
      <c r="C1768" t="str">
        <f t="shared" si="135"/>
        <v/>
      </c>
      <c r="D1768" t="str">
        <f t="shared" si="136"/>
        <v/>
      </c>
      <c r="F1768" t="str">
        <f>IF(Sync!$AH1768="","",IF(LEFT(UPPER(TRIM(Sync!$AH1768)),2)="SL",UPPER(TRIM(Sync!$AH1768)),""))</f>
        <v/>
      </c>
      <c r="G1768" t="str">
        <f>IF($F1768="","",IF(Sync!$AE1768="","",IF(ISNUMBER(Sync!$AE1768),IF(AND(Sync!$AE1768&gt;=10000101,Sync!$AE1768&lt;=99991231),INT(Sync!$AE1768/10000),""),IFERROR(VALUE(TRIM(LEFT(Sync!$AE1768,FIND("/",Sync!$AE1768)-1))),""))))</f>
        <v/>
      </c>
      <c r="H1768" t="str">
        <f>IF(OR($F1768="",$G1768=""),"",IF(ISNUMBER(Sync!$AE1768),INT(MOD(Sync!$AE1768,10000)/100),IFERROR(VALUE(TRIM(LEFT(MID(Sync!$AE1768,FIND("/",Sync!$AE1768)+1,20),FIND("/",MID(Sync!$AE1768,FIND("/",Sync!$AE1768)+1,20))-1))),"")))</f>
        <v/>
      </c>
      <c r="I1768" t="str">
        <f>IF(OR($F1768="",$G1768=""),"",IF(ISNUMBER(Sync!$AE1768),MOD(Sync!$AE1768,100),IFERROR(VALUE(TRIM(MID(MID(Sync!$AE1768,FIND("/",Sync!$AE1768)+1,20),FIND("/",MID(Sync!$AE1768,FIND("/",Sync!$AE1768)+1,20))+1,20))),"")))</f>
        <v/>
      </c>
      <c r="J1768" t="str">
        <f t="shared" si="137"/>
        <v/>
      </c>
      <c r="K1768" t="str">
        <f>IF(OR($F1768="",$J1768="",$J1768="نامعتبر"),"",LEFT($J1768,4)&amp;MID($J1768,6,2)&amp;RIGHT($J1768,2)&amp;$N1768&amp;"|"&amp;"2"&amp;RIGHT("00000"&amp;1763,5))</f>
        <v/>
      </c>
      <c r="L1768" t="str">
        <f t="shared" si="138"/>
        <v/>
      </c>
      <c r="M1768" t="str">
        <f t="shared" si="139"/>
        <v/>
      </c>
      <c r="N1768" t="str">
        <f>IF($F1768="","",IF(Sync!$AF1768="","0000",IF(AND(ISNUMBER(Sync!$AF1768),Sync!$AF1768&gt;=0,Sync!$AF1768&lt;1),RIGHT("00"&amp;HOUR(Sync!$AF1768),2)&amp;RIGHT("00"&amp;MINUTE(Sync!$AF1768),2),IFERROR(RIGHT("00"&amp;VALUE(LEFT(Sync!$AF1768,FIND(":",Sync!$AF1768)-1)),2)&amp;RIGHT("00"&amp;VALUE(MID(Sync!$AF1768,FIND(":",Sync!$AF1768)+1,2)),2),"0000"))))</f>
        <v/>
      </c>
    </row>
    <row r="1769" spans="1:14" x14ac:dyDescent="0.2">
      <c r="A1769" t="str">
        <f>IF(OR(Calc!$E1773="",Calc!$E1773="نامعتبر",Calc!$G1773=""),"",Calc!$G1773)</f>
        <v/>
      </c>
      <c r="B1769" t="str">
        <f>IF($A1769="","",LEFT(Calc!$E1773,4)&amp;MID(Calc!$E1773,6,2)&amp;RIGHT(Calc!$E1773,2)&amp;Calc!$Q1773&amp;"|"&amp;"1"&amp;RIGHT("00000"&amp;1764,5))</f>
        <v/>
      </c>
      <c r="C1769" t="str">
        <f t="shared" si="135"/>
        <v/>
      </c>
      <c r="D1769" t="str">
        <f t="shared" si="136"/>
        <v/>
      </c>
      <c r="F1769" t="str">
        <f>IF(Sync!$AH1769="","",IF(LEFT(UPPER(TRIM(Sync!$AH1769)),2)="SL",UPPER(TRIM(Sync!$AH1769)),""))</f>
        <v/>
      </c>
      <c r="G1769" t="str">
        <f>IF($F1769="","",IF(Sync!$AE1769="","",IF(ISNUMBER(Sync!$AE1769),IF(AND(Sync!$AE1769&gt;=10000101,Sync!$AE1769&lt;=99991231),INT(Sync!$AE1769/10000),""),IFERROR(VALUE(TRIM(LEFT(Sync!$AE1769,FIND("/",Sync!$AE1769)-1))),""))))</f>
        <v/>
      </c>
      <c r="H1769" t="str">
        <f>IF(OR($F1769="",$G1769=""),"",IF(ISNUMBER(Sync!$AE1769),INT(MOD(Sync!$AE1769,10000)/100),IFERROR(VALUE(TRIM(LEFT(MID(Sync!$AE1769,FIND("/",Sync!$AE1769)+1,20),FIND("/",MID(Sync!$AE1769,FIND("/",Sync!$AE1769)+1,20))-1))),"")))</f>
        <v/>
      </c>
      <c r="I1769" t="str">
        <f>IF(OR($F1769="",$G1769=""),"",IF(ISNUMBER(Sync!$AE1769),MOD(Sync!$AE1769,100),IFERROR(VALUE(TRIM(MID(MID(Sync!$AE1769,FIND("/",Sync!$AE1769)+1,20),FIND("/",MID(Sync!$AE1769,FIND("/",Sync!$AE1769)+1,20))+1,20))),"")))</f>
        <v/>
      </c>
      <c r="J1769" t="str">
        <f t="shared" si="137"/>
        <v/>
      </c>
      <c r="K1769" t="str">
        <f>IF(OR($F1769="",$J1769="",$J1769="نامعتبر"),"",LEFT($J1769,4)&amp;MID($J1769,6,2)&amp;RIGHT($J1769,2)&amp;$N1769&amp;"|"&amp;"2"&amp;RIGHT("00000"&amp;1764,5))</f>
        <v/>
      </c>
      <c r="L1769" t="str">
        <f t="shared" si="138"/>
        <v/>
      </c>
      <c r="M1769" t="str">
        <f t="shared" si="139"/>
        <v/>
      </c>
      <c r="N1769" t="str">
        <f>IF($F1769="","",IF(Sync!$AF1769="","0000",IF(AND(ISNUMBER(Sync!$AF1769),Sync!$AF1769&gt;=0,Sync!$AF1769&lt;1),RIGHT("00"&amp;HOUR(Sync!$AF1769),2)&amp;RIGHT("00"&amp;MINUTE(Sync!$AF1769),2),IFERROR(RIGHT("00"&amp;VALUE(LEFT(Sync!$AF1769,FIND(":",Sync!$AF1769)-1)),2)&amp;RIGHT("00"&amp;VALUE(MID(Sync!$AF1769,FIND(":",Sync!$AF1769)+1,2)),2),"0000"))))</f>
        <v/>
      </c>
    </row>
    <row r="1770" spans="1:14" x14ac:dyDescent="0.2">
      <c r="A1770" t="str">
        <f>IF(OR(Calc!$E1774="",Calc!$E1774="نامعتبر",Calc!$G1774=""),"",Calc!$G1774)</f>
        <v/>
      </c>
      <c r="B1770" t="str">
        <f>IF($A1770="","",LEFT(Calc!$E1774,4)&amp;MID(Calc!$E1774,6,2)&amp;RIGHT(Calc!$E1774,2)&amp;Calc!$Q1774&amp;"|"&amp;"1"&amp;RIGHT("00000"&amp;1765,5))</f>
        <v/>
      </c>
      <c r="C1770" t="str">
        <f t="shared" si="135"/>
        <v/>
      </c>
      <c r="D1770" t="str">
        <f t="shared" si="136"/>
        <v/>
      </c>
      <c r="F1770" t="str">
        <f>IF(Sync!$AH1770="","",IF(LEFT(UPPER(TRIM(Sync!$AH1770)),2)="SL",UPPER(TRIM(Sync!$AH1770)),""))</f>
        <v/>
      </c>
      <c r="G1770" t="str">
        <f>IF($F1770="","",IF(Sync!$AE1770="","",IF(ISNUMBER(Sync!$AE1770),IF(AND(Sync!$AE1770&gt;=10000101,Sync!$AE1770&lt;=99991231),INT(Sync!$AE1770/10000),""),IFERROR(VALUE(TRIM(LEFT(Sync!$AE1770,FIND("/",Sync!$AE1770)-1))),""))))</f>
        <v/>
      </c>
      <c r="H1770" t="str">
        <f>IF(OR($F1770="",$G1770=""),"",IF(ISNUMBER(Sync!$AE1770),INT(MOD(Sync!$AE1770,10000)/100),IFERROR(VALUE(TRIM(LEFT(MID(Sync!$AE1770,FIND("/",Sync!$AE1770)+1,20),FIND("/",MID(Sync!$AE1770,FIND("/",Sync!$AE1770)+1,20))-1))),"")))</f>
        <v/>
      </c>
      <c r="I1770" t="str">
        <f>IF(OR($F1770="",$G1770=""),"",IF(ISNUMBER(Sync!$AE1770),MOD(Sync!$AE1770,100),IFERROR(VALUE(TRIM(MID(MID(Sync!$AE1770,FIND("/",Sync!$AE1770)+1,20),FIND("/",MID(Sync!$AE1770,FIND("/",Sync!$AE1770)+1,20))+1,20))),"")))</f>
        <v/>
      </c>
      <c r="J1770" t="str">
        <f t="shared" si="137"/>
        <v/>
      </c>
      <c r="K1770" t="str">
        <f>IF(OR($F1770="",$J1770="",$J1770="نامعتبر"),"",LEFT($J1770,4)&amp;MID($J1770,6,2)&amp;RIGHT($J1770,2)&amp;$N1770&amp;"|"&amp;"2"&amp;RIGHT("00000"&amp;1765,5))</f>
        <v/>
      </c>
      <c r="L1770" t="str">
        <f t="shared" si="138"/>
        <v/>
      </c>
      <c r="M1770" t="str">
        <f t="shared" si="139"/>
        <v/>
      </c>
      <c r="N1770" t="str">
        <f>IF($F1770="","",IF(Sync!$AF1770="","0000",IF(AND(ISNUMBER(Sync!$AF1770),Sync!$AF1770&gt;=0,Sync!$AF1770&lt;1),RIGHT("00"&amp;HOUR(Sync!$AF1770),2)&amp;RIGHT("00"&amp;MINUTE(Sync!$AF1770),2),IFERROR(RIGHT("00"&amp;VALUE(LEFT(Sync!$AF1770,FIND(":",Sync!$AF1770)-1)),2)&amp;RIGHT("00"&amp;VALUE(MID(Sync!$AF1770,FIND(":",Sync!$AF1770)+1,2)),2),"0000"))))</f>
        <v/>
      </c>
    </row>
    <row r="1771" spans="1:14" x14ac:dyDescent="0.2">
      <c r="A1771" t="str">
        <f>IF(OR(Calc!$E1775="",Calc!$E1775="نامعتبر",Calc!$G1775=""),"",Calc!$G1775)</f>
        <v/>
      </c>
      <c r="B1771" t="str">
        <f>IF($A1771="","",LEFT(Calc!$E1775,4)&amp;MID(Calc!$E1775,6,2)&amp;RIGHT(Calc!$E1775,2)&amp;Calc!$Q1775&amp;"|"&amp;"1"&amp;RIGHT("00000"&amp;1766,5))</f>
        <v/>
      </c>
      <c r="C1771" t="str">
        <f t="shared" si="135"/>
        <v/>
      </c>
      <c r="D1771" t="str">
        <f t="shared" si="136"/>
        <v/>
      </c>
      <c r="F1771" t="str">
        <f>IF(Sync!$AH1771="","",IF(LEFT(UPPER(TRIM(Sync!$AH1771)),2)="SL",UPPER(TRIM(Sync!$AH1771)),""))</f>
        <v/>
      </c>
      <c r="G1771" t="str">
        <f>IF($F1771="","",IF(Sync!$AE1771="","",IF(ISNUMBER(Sync!$AE1771),IF(AND(Sync!$AE1771&gt;=10000101,Sync!$AE1771&lt;=99991231),INT(Sync!$AE1771/10000),""),IFERROR(VALUE(TRIM(LEFT(Sync!$AE1771,FIND("/",Sync!$AE1771)-1))),""))))</f>
        <v/>
      </c>
      <c r="H1771" t="str">
        <f>IF(OR($F1771="",$G1771=""),"",IF(ISNUMBER(Sync!$AE1771),INT(MOD(Sync!$AE1771,10000)/100),IFERROR(VALUE(TRIM(LEFT(MID(Sync!$AE1771,FIND("/",Sync!$AE1771)+1,20),FIND("/",MID(Sync!$AE1771,FIND("/",Sync!$AE1771)+1,20))-1))),"")))</f>
        <v/>
      </c>
      <c r="I1771" t="str">
        <f>IF(OR($F1771="",$G1771=""),"",IF(ISNUMBER(Sync!$AE1771),MOD(Sync!$AE1771,100),IFERROR(VALUE(TRIM(MID(MID(Sync!$AE1771,FIND("/",Sync!$AE1771)+1,20),FIND("/",MID(Sync!$AE1771,FIND("/",Sync!$AE1771)+1,20))+1,20))),"")))</f>
        <v/>
      </c>
      <c r="J1771" t="str">
        <f t="shared" si="137"/>
        <v/>
      </c>
      <c r="K1771" t="str">
        <f>IF(OR($F1771="",$J1771="",$J1771="نامعتبر"),"",LEFT($J1771,4)&amp;MID($J1771,6,2)&amp;RIGHT($J1771,2)&amp;$N1771&amp;"|"&amp;"2"&amp;RIGHT("00000"&amp;1766,5))</f>
        <v/>
      </c>
      <c r="L1771" t="str">
        <f t="shared" si="138"/>
        <v/>
      </c>
      <c r="M1771" t="str">
        <f t="shared" si="139"/>
        <v/>
      </c>
      <c r="N1771" t="str">
        <f>IF($F1771="","",IF(Sync!$AF1771="","0000",IF(AND(ISNUMBER(Sync!$AF1771),Sync!$AF1771&gt;=0,Sync!$AF1771&lt;1),RIGHT("00"&amp;HOUR(Sync!$AF1771),2)&amp;RIGHT("00"&amp;MINUTE(Sync!$AF1771),2),IFERROR(RIGHT("00"&amp;VALUE(LEFT(Sync!$AF1771,FIND(":",Sync!$AF1771)-1)),2)&amp;RIGHT("00"&amp;VALUE(MID(Sync!$AF1771,FIND(":",Sync!$AF1771)+1,2)),2),"0000"))))</f>
        <v/>
      </c>
    </row>
    <row r="1772" spans="1:14" x14ac:dyDescent="0.2">
      <c r="A1772" t="str">
        <f>IF(OR(Calc!$E1776="",Calc!$E1776="نامعتبر",Calc!$G1776=""),"",Calc!$G1776)</f>
        <v/>
      </c>
      <c r="B1772" t="str">
        <f>IF($A1772="","",LEFT(Calc!$E1776,4)&amp;MID(Calc!$E1776,6,2)&amp;RIGHT(Calc!$E1776,2)&amp;Calc!$Q1776&amp;"|"&amp;"1"&amp;RIGHT("00000"&amp;1767,5))</f>
        <v/>
      </c>
      <c r="C1772" t="str">
        <f t="shared" si="135"/>
        <v/>
      </c>
      <c r="D1772" t="str">
        <f t="shared" si="136"/>
        <v/>
      </c>
      <c r="F1772" t="str">
        <f>IF(Sync!$AH1772="","",IF(LEFT(UPPER(TRIM(Sync!$AH1772)),2)="SL",UPPER(TRIM(Sync!$AH1772)),""))</f>
        <v/>
      </c>
      <c r="G1772" t="str">
        <f>IF($F1772="","",IF(Sync!$AE1772="","",IF(ISNUMBER(Sync!$AE1772),IF(AND(Sync!$AE1772&gt;=10000101,Sync!$AE1772&lt;=99991231),INT(Sync!$AE1772/10000),""),IFERROR(VALUE(TRIM(LEFT(Sync!$AE1772,FIND("/",Sync!$AE1772)-1))),""))))</f>
        <v/>
      </c>
      <c r="H1772" t="str">
        <f>IF(OR($F1772="",$G1772=""),"",IF(ISNUMBER(Sync!$AE1772),INT(MOD(Sync!$AE1772,10000)/100),IFERROR(VALUE(TRIM(LEFT(MID(Sync!$AE1772,FIND("/",Sync!$AE1772)+1,20),FIND("/",MID(Sync!$AE1772,FIND("/",Sync!$AE1772)+1,20))-1))),"")))</f>
        <v/>
      </c>
      <c r="I1772" t="str">
        <f>IF(OR($F1772="",$G1772=""),"",IF(ISNUMBER(Sync!$AE1772),MOD(Sync!$AE1772,100),IFERROR(VALUE(TRIM(MID(MID(Sync!$AE1772,FIND("/",Sync!$AE1772)+1,20),FIND("/",MID(Sync!$AE1772,FIND("/",Sync!$AE1772)+1,20))+1,20))),"")))</f>
        <v/>
      </c>
      <c r="J1772" t="str">
        <f t="shared" si="137"/>
        <v/>
      </c>
      <c r="K1772" t="str">
        <f>IF(OR($F1772="",$J1772="",$J1772="نامعتبر"),"",LEFT($J1772,4)&amp;MID($J1772,6,2)&amp;RIGHT($J1772,2)&amp;$N1772&amp;"|"&amp;"2"&amp;RIGHT("00000"&amp;1767,5))</f>
        <v/>
      </c>
      <c r="L1772" t="str">
        <f t="shared" si="138"/>
        <v/>
      </c>
      <c r="M1772" t="str">
        <f t="shared" si="139"/>
        <v/>
      </c>
      <c r="N1772" t="str">
        <f>IF($F1772="","",IF(Sync!$AF1772="","0000",IF(AND(ISNUMBER(Sync!$AF1772),Sync!$AF1772&gt;=0,Sync!$AF1772&lt;1),RIGHT("00"&amp;HOUR(Sync!$AF1772),2)&amp;RIGHT("00"&amp;MINUTE(Sync!$AF1772),2),IFERROR(RIGHT("00"&amp;VALUE(LEFT(Sync!$AF1772,FIND(":",Sync!$AF1772)-1)),2)&amp;RIGHT("00"&amp;VALUE(MID(Sync!$AF1772,FIND(":",Sync!$AF1772)+1,2)),2),"0000"))))</f>
        <v/>
      </c>
    </row>
    <row r="1773" spans="1:14" x14ac:dyDescent="0.2">
      <c r="A1773" t="str">
        <f>IF(OR(Calc!$E1777="",Calc!$E1777="نامعتبر",Calc!$G1777=""),"",Calc!$G1777)</f>
        <v/>
      </c>
      <c r="B1773" t="str">
        <f>IF($A1773="","",LEFT(Calc!$E1777,4)&amp;MID(Calc!$E1777,6,2)&amp;RIGHT(Calc!$E1777,2)&amp;Calc!$Q1777&amp;"|"&amp;"1"&amp;RIGHT("00000"&amp;1768,5))</f>
        <v/>
      </c>
      <c r="C1773" t="str">
        <f t="shared" si="135"/>
        <v/>
      </c>
      <c r="D1773" t="str">
        <f t="shared" si="136"/>
        <v/>
      </c>
      <c r="F1773" t="str">
        <f>IF(Sync!$AH1773="","",IF(LEFT(UPPER(TRIM(Sync!$AH1773)),2)="SL",UPPER(TRIM(Sync!$AH1773)),""))</f>
        <v/>
      </c>
      <c r="G1773" t="str">
        <f>IF($F1773="","",IF(Sync!$AE1773="","",IF(ISNUMBER(Sync!$AE1773),IF(AND(Sync!$AE1773&gt;=10000101,Sync!$AE1773&lt;=99991231),INT(Sync!$AE1773/10000),""),IFERROR(VALUE(TRIM(LEFT(Sync!$AE1773,FIND("/",Sync!$AE1773)-1))),""))))</f>
        <v/>
      </c>
      <c r="H1773" t="str">
        <f>IF(OR($F1773="",$G1773=""),"",IF(ISNUMBER(Sync!$AE1773),INT(MOD(Sync!$AE1773,10000)/100),IFERROR(VALUE(TRIM(LEFT(MID(Sync!$AE1773,FIND("/",Sync!$AE1773)+1,20),FIND("/",MID(Sync!$AE1773,FIND("/",Sync!$AE1773)+1,20))-1))),"")))</f>
        <v/>
      </c>
      <c r="I1773" t="str">
        <f>IF(OR($F1773="",$G1773=""),"",IF(ISNUMBER(Sync!$AE1773),MOD(Sync!$AE1773,100),IFERROR(VALUE(TRIM(MID(MID(Sync!$AE1773,FIND("/",Sync!$AE1773)+1,20),FIND("/",MID(Sync!$AE1773,FIND("/",Sync!$AE1773)+1,20))+1,20))),"")))</f>
        <v/>
      </c>
      <c r="J1773" t="str">
        <f t="shared" si="137"/>
        <v/>
      </c>
      <c r="K1773" t="str">
        <f>IF(OR($F1773="",$J1773="",$J1773="نامعتبر"),"",LEFT($J1773,4)&amp;MID($J1773,6,2)&amp;RIGHT($J1773,2)&amp;$N1773&amp;"|"&amp;"2"&amp;RIGHT("00000"&amp;1768,5))</f>
        <v/>
      </c>
      <c r="L1773" t="str">
        <f t="shared" si="138"/>
        <v/>
      </c>
      <c r="M1773" t="str">
        <f t="shared" si="139"/>
        <v/>
      </c>
      <c r="N1773" t="str">
        <f>IF($F1773="","",IF(Sync!$AF1773="","0000",IF(AND(ISNUMBER(Sync!$AF1773),Sync!$AF1773&gt;=0,Sync!$AF1773&lt;1),RIGHT("00"&amp;HOUR(Sync!$AF1773),2)&amp;RIGHT("00"&amp;MINUTE(Sync!$AF1773),2),IFERROR(RIGHT("00"&amp;VALUE(LEFT(Sync!$AF1773,FIND(":",Sync!$AF1773)-1)),2)&amp;RIGHT("00"&amp;VALUE(MID(Sync!$AF1773,FIND(":",Sync!$AF1773)+1,2)),2),"0000"))))</f>
        <v/>
      </c>
    </row>
    <row r="1774" spans="1:14" x14ac:dyDescent="0.2">
      <c r="A1774" t="str">
        <f>IF(OR(Calc!$E1778="",Calc!$E1778="نامعتبر",Calc!$G1778=""),"",Calc!$G1778)</f>
        <v/>
      </c>
      <c r="B1774" t="str">
        <f>IF($A1774="","",LEFT(Calc!$E1778,4)&amp;MID(Calc!$E1778,6,2)&amp;RIGHT(Calc!$E1778,2)&amp;Calc!$Q1778&amp;"|"&amp;"1"&amp;RIGHT("00000"&amp;1769,5))</f>
        <v/>
      </c>
      <c r="C1774" t="str">
        <f t="shared" si="135"/>
        <v/>
      </c>
      <c r="D1774" t="str">
        <f t="shared" si="136"/>
        <v/>
      </c>
      <c r="F1774" t="str">
        <f>IF(Sync!$AH1774="","",IF(LEFT(UPPER(TRIM(Sync!$AH1774)),2)="SL",UPPER(TRIM(Sync!$AH1774)),""))</f>
        <v/>
      </c>
      <c r="G1774" t="str">
        <f>IF($F1774="","",IF(Sync!$AE1774="","",IF(ISNUMBER(Sync!$AE1774),IF(AND(Sync!$AE1774&gt;=10000101,Sync!$AE1774&lt;=99991231),INT(Sync!$AE1774/10000),""),IFERROR(VALUE(TRIM(LEFT(Sync!$AE1774,FIND("/",Sync!$AE1774)-1))),""))))</f>
        <v/>
      </c>
      <c r="H1774" t="str">
        <f>IF(OR($F1774="",$G1774=""),"",IF(ISNUMBER(Sync!$AE1774),INT(MOD(Sync!$AE1774,10000)/100),IFERROR(VALUE(TRIM(LEFT(MID(Sync!$AE1774,FIND("/",Sync!$AE1774)+1,20),FIND("/",MID(Sync!$AE1774,FIND("/",Sync!$AE1774)+1,20))-1))),"")))</f>
        <v/>
      </c>
      <c r="I1774" t="str">
        <f>IF(OR($F1774="",$G1774=""),"",IF(ISNUMBER(Sync!$AE1774),MOD(Sync!$AE1774,100),IFERROR(VALUE(TRIM(MID(MID(Sync!$AE1774,FIND("/",Sync!$AE1774)+1,20),FIND("/",MID(Sync!$AE1774,FIND("/",Sync!$AE1774)+1,20))+1,20))),"")))</f>
        <v/>
      </c>
      <c r="J1774" t="str">
        <f t="shared" si="137"/>
        <v/>
      </c>
      <c r="K1774" t="str">
        <f>IF(OR($F1774="",$J1774="",$J1774="نامعتبر"),"",LEFT($J1774,4)&amp;MID($J1774,6,2)&amp;RIGHT($J1774,2)&amp;$N1774&amp;"|"&amp;"2"&amp;RIGHT("00000"&amp;1769,5))</f>
        <v/>
      </c>
      <c r="L1774" t="str">
        <f t="shared" si="138"/>
        <v/>
      </c>
      <c r="M1774" t="str">
        <f t="shared" si="139"/>
        <v/>
      </c>
      <c r="N1774" t="str">
        <f>IF($F1774="","",IF(Sync!$AF1774="","0000",IF(AND(ISNUMBER(Sync!$AF1774),Sync!$AF1774&gt;=0,Sync!$AF1774&lt;1),RIGHT("00"&amp;HOUR(Sync!$AF1774),2)&amp;RIGHT("00"&amp;MINUTE(Sync!$AF1774),2),IFERROR(RIGHT("00"&amp;VALUE(LEFT(Sync!$AF1774,FIND(":",Sync!$AF1774)-1)),2)&amp;RIGHT("00"&amp;VALUE(MID(Sync!$AF1774,FIND(":",Sync!$AF1774)+1,2)),2),"0000"))))</f>
        <v/>
      </c>
    </row>
    <row r="1775" spans="1:14" x14ac:dyDescent="0.2">
      <c r="A1775" t="str">
        <f>IF(OR(Calc!$E1779="",Calc!$E1779="نامعتبر",Calc!$G1779=""),"",Calc!$G1779)</f>
        <v/>
      </c>
      <c r="B1775" t="str">
        <f>IF($A1775="","",LEFT(Calc!$E1779,4)&amp;MID(Calc!$E1779,6,2)&amp;RIGHT(Calc!$E1779,2)&amp;Calc!$Q1779&amp;"|"&amp;"1"&amp;RIGHT("00000"&amp;1770,5))</f>
        <v/>
      </c>
      <c r="C1775" t="str">
        <f t="shared" si="135"/>
        <v/>
      </c>
      <c r="D1775" t="str">
        <f t="shared" si="136"/>
        <v/>
      </c>
      <c r="F1775" t="str">
        <f>IF(Sync!$AH1775="","",IF(LEFT(UPPER(TRIM(Sync!$AH1775)),2)="SL",UPPER(TRIM(Sync!$AH1775)),""))</f>
        <v/>
      </c>
      <c r="G1775" t="str">
        <f>IF($F1775="","",IF(Sync!$AE1775="","",IF(ISNUMBER(Sync!$AE1775),IF(AND(Sync!$AE1775&gt;=10000101,Sync!$AE1775&lt;=99991231),INT(Sync!$AE1775/10000),""),IFERROR(VALUE(TRIM(LEFT(Sync!$AE1775,FIND("/",Sync!$AE1775)-1))),""))))</f>
        <v/>
      </c>
      <c r="H1775" t="str">
        <f>IF(OR($F1775="",$G1775=""),"",IF(ISNUMBER(Sync!$AE1775),INT(MOD(Sync!$AE1775,10000)/100),IFERROR(VALUE(TRIM(LEFT(MID(Sync!$AE1775,FIND("/",Sync!$AE1775)+1,20),FIND("/",MID(Sync!$AE1775,FIND("/",Sync!$AE1775)+1,20))-1))),"")))</f>
        <v/>
      </c>
      <c r="I1775" t="str">
        <f>IF(OR($F1775="",$G1775=""),"",IF(ISNUMBER(Sync!$AE1775),MOD(Sync!$AE1775,100),IFERROR(VALUE(TRIM(MID(MID(Sync!$AE1775,FIND("/",Sync!$AE1775)+1,20),FIND("/",MID(Sync!$AE1775,FIND("/",Sync!$AE1775)+1,20))+1,20))),"")))</f>
        <v/>
      </c>
      <c r="J1775" t="str">
        <f t="shared" si="137"/>
        <v/>
      </c>
      <c r="K1775" t="str">
        <f>IF(OR($F1775="",$J1775="",$J1775="نامعتبر"),"",LEFT($J1775,4)&amp;MID($J1775,6,2)&amp;RIGHT($J1775,2)&amp;$N1775&amp;"|"&amp;"2"&amp;RIGHT("00000"&amp;1770,5))</f>
        <v/>
      </c>
      <c r="L1775" t="str">
        <f t="shared" si="138"/>
        <v/>
      </c>
      <c r="M1775" t="str">
        <f t="shared" si="139"/>
        <v/>
      </c>
      <c r="N1775" t="str">
        <f>IF($F1775="","",IF(Sync!$AF1775="","0000",IF(AND(ISNUMBER(Sync!$AF1775),Sync!$AF1775&gt;=0,Sync!$AF1775&lt;1),RIGHT("00"&amp;HOUR(Sync!$AF1775),2)&amp;RIGHT("00"&amp;MINUTE(Sync!$AF1775),2),IFERROR(RIGHT("00"&amp;VALUE(LEFT(Sync!$AF1775,FIND(":",Sync!$AF1775)-1)),2)&amp;RIGHT("00"&amp;VALUE(MID(Sync!$AF1775,FIND(":",Sync!$AF1775)+1,2)),2),"0000"))))</f>
        <v/>
      </c>
    </row>
    <row r="1776" spans="1:14" x14ac:dyDescent="0.2">
      <c r="A1776" t="str">
        <f>IF(OR(Calc!$E1780="",Calc!$E1780="نامعتبر",Calc!$G1780=""),"",Calc!$G1780)</f>
        <v/>
      </c>
      <c r="B1776" t="str">
        <f>IF($A1776="","",LEFT(Calc!$E1780,4)&amp;MID(Calc!$E1780,6,2)&amp;RIGHT(Calc!$E1780,2)&amp;Calc!$Q1780&amp;"|"&amp;"1"&amp;RIGHT("00000"&amp;1771,5))</f>
        <v/>
      </c>
      <c r="C1776" t="str">
        <f t="shared" si="135"/>
        <v/>
      </c>
      <c r="D1776" t="str">
        <f t="shared" si="136"/>
        <v/>
      </c>
      <c r="F1776" t="str">
        <f>IF(Sync!$AH1776="","",IF(LEFT(UPPER(TRIM(Sync!$AH1776)),2)="SL",UPPER(TRIM(Sync!$AH1776)),""))</f>
        <v/>
      </c>
      <c r="G1776" t="str">
        <f>IF($F1776="","",IF(Sync!$AE1776="","",IF(ISNUMBER(Sync!$AE1776),IF(AND(Sync!$AE1776&gt;=10000101,Sync!$AE1776&lt;=99991231),INT(Sync!$AE1776/10000),""),IFERROR(VALUE(TRIM(LEFT(Sync!$AE1776,FIND("/",Sync!$AE1776)-1))),""))))</f>
        <v/>
      </c>
      <c r="H1776" t="str">
        <f>IF(OR($F1776="",$G1776=""),"",IF(ISNUMBER(Sync!$AE1776),INT(MOD(Sync!$AE1776,10000)/100),IFERROR(VALUE(TRIM(LEFT(MID(Sync!$AE1776,FIND("/",Sync!$AE1776)+1,20),FIND("/",MID(Sync!$AE1776,FIND("/",Sync!$AE1776)+1,20))-1))),"")))</f>
        <v/>
      </c>
      <c r="I1776" t="str">
        <f>IF(OR($F1776="",$G1776=""),"",IF(ISNUMBER(Sync!$AE1776),MOD(Sync!$AE1776,100),IFERROR(VALUE(TRIM(MID(MID(Sync!$AE1776,FIND("/",Sync!$AE1776)+1,20),FIND("/",MID(Sync!$AE1776,FIND("/",Sync!$AE1776)+1,20))+1,20))),"")))</f>
        <v/>
      </c>
      <c r="J1776" t="str">
        <f t="shared" si="137"/>
        <v/>
      </c>
      <c r="K1776" t="str">
        <f>IF(OR($F1776="",$J1776="",$J1776="نامعتبر"),"",LEFT($J1776,4)&amp;MID($J1776,6,2)&amp;RIGHT($J1776,2)&amp;$N1776&amp;"|"&amp;"2"&amp;RIGHT("00000"&amp;1771,5))</f>
        <v/>
      </c>
      <c r="L1776" t="str">
        <f t="shared" si="138"/>
        <v/>
      </c>
      <c r="M1776" t="str">
        <f t="shared" si="139"/>
        <v/>
      </c>
      <c r="N1776" t="str">
        <f>IF($F1776="","",IF(Sync!$AF1776="","0000",IF(AND(ISNUMBER(Sync!$AF1776),Sync!$AF1776&gt;=0,Sync!$AF1776&lt;1),RIGHT("00"&amp;HOUR(Sync!$AF1776),2)&amp;RIGHT("00"&amp;MINUTE(Sync!$AF1776),2),IFERROR(RIGHT("00"&amp;VALUE(LEFT(Sync!$AF1776,FIND(":",Sync!$AF1776)-1)),2)&amp;RIGHT("00"&amp;VALUE(MID(Sync!$AF1776,FIND(":",Sync!$AF1776)+1,2)),2),"0000"))))</f>
        <v/>
      </c>
    </row>
    <row r="1777" spans="1:14" x14ac:dyDescent="0.2">
      <c r="A1777" t="str">
        <f>IF(OR(Calc!$E1781="",Calc!$E1781="نامعتبر",Calc!$G1781=""),"",Calc!$G1781)</f>
        <v/>
      </c>
      <c r="B1777" t="str">
        <f>IF($A1777="","",LEFT(Calc!$E1781,4)&amp;MID(Calc!$E1781,6,2)&amp;RIGHT(Calc!$E1781,2)&amp;Calc!$Q1781&amp;"|"&amp;"1"&amp;RIGHT("00000"&amp;1772,5))</f>
        <v/>
      </c>
      <c r="C1777" t="str">
        <f t="shared" si="135"/>
        <v/>
      </c>
      <c r="D1777" t="str">
        <f t="shared" si="136"/>
        <v/>
      </c>
      <c r="F1777" t="str">
        <f>IF(Sync!$AH1777="","",IF(LEFT(UPPER(TRIM(Sync!$AH1777)),2)="SL",UPPER(TRIM(Sync!$AH1777)),""))</f>
        <v/>
      </c>
      <c r="G1777" t="str">
        <f>IF($F1777="","",IF(Sync!$AE1777="","",IF(ISNUMBER(Sync!$AE1777),IF(AND(Sync!$AE1777&gt;=10000101,Sync!$AE1777&lt;=99991231),INT(Sync!$AE1777/10000),""),IFERROR(VALUE(TRIM(LEFT(Sync!$AE1777,FIND("/",Sync!$AE1777)-1))),""))))</f>
        <v/>
      </c>
      <c r="H1777" t="str">
        <f>IF(OR($F1777="",$G1777=""),"",IF(ISNUMBER(Sync!$AE1777),INT(MOD(Sync!$AE1777,10000)/100),IFERROR(VALUE(TRIM(LEFT(MID(Sync!$AE1777,FIND("/",Sync!$AE1777)+1,20),FIND("/",MID(Sync!$AE1777,FIND("/",Sync!$AE1777)+1,20))-1))),"")))</f>
        <v/>
      </c>
      <c r="I1777" t="str">
        <f>IF(OR($F1777="",$G1777=""),"",IF(ISNUMBER(Sync!$AE1777),MOD(Sync!$AE1777,100),IFERROR(VALUE(TRIM(MID(MID(Sync!$AE1777,FIND("/",Sync!$AE1777)+1,20),FIND("/",MID(Sync!$AE1777,FIND("/",Sync!$AE1777)+1,20))+1,20))),"")))</f>
        <v/>
      </c>
      <c r="J1777" t="str">
        <f t="shared" si="137"/>
        <v/>
      </c>
      <c r="K1777" t="str">
        <f>IF(OR($F1777="",$J1777="",$J1777="نامعتبر"),"",LEFT($J1777,4)&amp;MID($J1777,6,2)&amp;RIGHT($J1777,2)&amp;$N1777&amp;"|"&amp;"2"&amp;RIGHT("00000"&amp;1772,5))</f>
        <v/>
      </c>
      <c r="L1777" t="str">
        <f t="shared" si="138"/>
        <v/>
      </c>
      <c r="M1777" t="str">
        <f t="shared" si="139"/>
        <v/>
      </c>
      <c r="N1777" t="str">
        <f>IF($F1777="","",IF(Sync!$AF1777="","0000",IF(AND(ISNUMBER(Sync!$AF1777),Sync!$AF1777&gt;=0,Sync!$AF1777&lt;1),RIGHT("00"&amp;HOUR(Sync!$AF1777),2)&amp;RIGHT("00"&amp;MINUTE(Sync!$AF1777),2),IFERROR(RIGHT("00"&amp;VALUE(LEFT(Sync!$AF1777,FIND(":",Sync!$AF1777)-1)),2)&amp;RIGHT("00"&amp;VALUE(MID(Sync!$AF1777,FIND(":",Sync!$AF1777)+1,2)),2),"0000"))))</f>
        <v/>
      </c>
    </row>
    <row r="1778" spans="1:14" x14ac:dyDescent="0.2">
      <c r="A1778" t="str">
        <f>IF(OR(Calc!$E1782="",Calc!$E1782="نامعتبر",Calc!$G1782=""),"",Calc!$G1782)</f>
        <v/>
      </c>
      <c r="B1778" t="str">
        <f>IF($A1778="","",LEFT(Calc!$E1782,4)&amp;MID(Calc!$E1782,6,2)&amp;RIGHT(Calc!$E1782,2)&amp;Calc!$Q1782&amp;"|"&amp;"1"&amp;RIGHT("00000"&amp;1773,5))</f>
        <v/>
      </c>
      <c r="C1778" t="str">
        <f t="shared" si="135"/>
        <v/>
      </c>
      <c r="D1778" t="str">
        <f t="shared" si="136"/>
        <v/>
      </c>
      <c r="F1778" t="str">
        <f>IF(Sync!$AH1778="","",IF(LEFT(UPPER(TRIM(Sync!$AH1778)),2)="SL",UPPER(TRIM(Sync!$AH1778)),""))</f>
        <v/>
      </c>
      <c r="G1778" t="str">
        <f>IF($F1778="","",IF(Sync!$AE1778="","",IF(ISNUMBER(Sync!$AE1778),IF(AND(Sync!$AE1778&gt;=10000101,Sync!$AE1778&lt;=99991231),INT(Sync!$AE1778/10000),""),IFERROR(VALUE(TRIM(LEFT(Sync!$AE1778,FIND("/",Sync!$AE1778)-1))),""))))</f>
        <v/>
      </c>
      <c r="H1778" t="str">
        <f>IF(OR($F1778="",$G1778=""),"",IF(ISNUMBER(Sync!$AE1778),INT(MOD(Sync!$AE1778,10000)/100),IFERROR(VALUE(TRIM(LEFT(MID(Sync!$AE1778,FIND("/",Sync!$AE1778)+1,20),FIND("/",MID(Sync!$AE1778,FIND("/",Sync!$AE1778)+1,20))-1))),"")))</f>
        <v/>
      </c>
      <c r="I1778" t="str">
        <f>IF(OR($F1778="",$G1778=""),"",IF(ISNUMBER(Sync!$AE1778),MOD(Sync!$AE1778,100),IFERROR(VALUE(TRIM(MID(MID(Sync!$AE1778,FIND("/",Sync!$AE1778)+1,20),FIND("/",MID(Sync!$AE1778,FIND("/",Sync!$AE1778)+1,20))+1,20))),"")))</f>
        <v/>
      </c>
      <c r="J1778" t="str">
        <f t="shared" si="137"/>
        <v/>
      </c>
      <c r="K1778" t="str">
        <f>IF(OR($F1778="",$J1778="",$J1778="نامعتبر"),"",LEFT($J1778,4)&amp;MID($J1778,6,2)&amp;RIGHT($J1778,2)&amp;$N1778&amp;"|"&amp;"2"&amp;RIGHT("00000"&amp;1773,5))</f>
        <v/>
      </c>
      <c r="L1778" t="str">
        <f t="shared" si="138"/>
        <v/>
      </c>
      <c r="M1778" t="str">
        <f t="shared" si="139"/>
        <v/>
      </c>
      <c r="N1778" t="str">
        <f>IF($F1778="","",IF(Sync!$AF1778="","0000",IF(AND(ISNUMBER(Sync!$AF1778),Sync!$AF1778&gt;=0,Sync!$AF1778&lt;1),RIGHT("00"&amp;HOUR(Sync!$AF1778),2)&amp;RIGHT("00"&amp;MINUTE(Sync!$AF1778),2),IFERROR(RIGHT("00"&amp;VALUE(LEFT(Sync!$AF1778,FIND(":",Sync!$AF1778)-1)),2)&amp;RIGHT("00"&amp;VALUE(MID(Sync!$AF1778,FIND(":",Sync!$AF1778)+1,2)),2),"0000"))))</f>
        <v/>
      </c>
    </row>
    <row r="1779" spans="1:14" x14ac:dyDescent="0.2">
      <c r="A1779" t="str">
        <f>IF(OR(Calc!$E1783="",Calc!$E1783="نامعتبر",Calc!$G1783=""),"",Calc!$G1783)</f>
        <v/>
      </c>
      <c r="B1779" t="str">
        <f>IF($A1779="","",LEFT(Calc!$E1783,4)&amp;MID(Calc!$E1783,6,2)&amp;RIGHT(Calc!$E1783,2)&amp;Calc!$Q1783&amp;"|"&amp;"1"&amp;RIGHT("00000"&amp;1774,5))</f>
        <v/>
      </c>
      <c r="C1779" t="str">
        <f t="shared" si="135"/>
        <v/>
      </c>
      <c r="D1779" t="str">
        <f t="shared" si="136"/>
        <v/>
      </c>
      <c r="F1779" t="str">
        <f>IF(Sync!$AH1779="","",IF(LEFT(UPPER(TRIM(Sync!$AH1779)),2)="SL",UPPER(TRIM(Sync!$AH1779)),""))</f>
        <v/>
      </c>
      <c r="G1779" t="str">
        <f>IF($F1779="","",IF(Sync!$AE1779="","",IF(ISNUMBER(Sync!$AE1779),IF(AND(Sync!$AE1779&gt;=10000101,Sync!$AE1779&lt;=99991231),INT(Sync!$AE1779/10000),""),IFERROR(VALUE(TRIM(LEFT(Sync!$AE1779,FIND("/",Sync!$AE1779)-1))),""))))</f>
        <v/>
      </c>
      <c r="H1779" t="str">
        <f>IF(OR($F1779="",$G1779=""),"",IF(ISNUMBER(Sync!$AE1779),INT(MOD(Sync!$AE1779,10000)/100),IFERROR(VALUE(TRIM(LEFT(MID(Sync!$AE1779,FIND("/",Sync!$AE1779)+1,20),FIND("/",MID(Sync!$AE1779,FIND("/",Sync!$AE1779)+1,20))-1))),"")))</f>
        <v/>
      </c>
      <c r="I1779" t="str">
        <f>IF(OR($F1779="",$G1779=""),"",IF(ISNUMBER(Sync!$AE1779),MOD(Sync!$AE1779,100),IFERROR(VALUE(TRIM(MID(MID(Sync!$AE1779,FIND("/",Sync!$AE1779)+1,20),FIND("/",MID(Sync!$AE1779,FIND("/",Sync!$AE1779)+1,20))+1,20))),"")))</f>
        <v/>
      </c>
      <c r="J1779" t="str">
        <f t="shared" si="137"/>
        <v/>
      </c>
      <c r="K1779" t="str">
        <f>IF(OR($F1779="",$J1779="",$J1779="نامعتبر"),"",LEFT($J1779,4)&amp;MID($J1779,6,2)&amp;RIGHT($J1779,2)&amp;$N1779&amp;"|"&amp;"2"&amp;RIGHT("00000"&amp;1774,5))</f>
        <v/>
      </c>
      <c r="L1779" t="str">
        <f t="shared" si="138"/>
        <v/>
      </c>
      <c r="M1779" t="str">
        <f t="shared" si="139"/>
        <v/>
      </c>
      <c r="N1779" t="str">
        <f>IF($F1779="","",IF(Sync!$AF1779="","0000",IF(AND(ISNUMBER(Sync!$AF1779),Sync!$AF1779&gt;=0,Sync!$AF1779&lt;1),RIGHT("00"&amp;HOUR(Sync!$AF1779),2)&amp;RIGHT("00"&amp;MINUTE(Sync!$AF1779),2),IFERROR(RIGHT("00"&amp;VALUE(LEFT(Sync!$AF1779,FIND(":",Sync!$AF1779)-1)),2)&amp;RIGHT("00"&amp;VALUE(MID(Sync!$AF1779,FIND(":",Sync!$AF1779)+1,2)),2),"0000"))))</f>
        <v/>
      </c>
    </row>
    <row r="1780" spans="1:14" x14ac:dyDescent="0.2">
      <c r="A1780" t="str">
        <f>IF(OR(Calc!$E1784="",Calc!$E1784="نامعتبر",Calc!$G1784=""),"",Calc!$G1784)</f>
        <v/>
      </c>
      <c r="B1780" t="str">
        <f>IF($A1780="","",LEFT(Calc!$E1784,4)&amp;MID(Calc!$E1784,6,2)&amp;RIGHT(Calc!$E1784,2)&amp;Calc!$Q1784&amp;"|"&amp;"1"&amp;RIGHT("00000"&amp;1775,5))</f>
        <v/>
      </c>
      <c r="C1780" t="str">
        <f t="shared" si="135"/>
        <v/>
      </c>
      <c r="D1780" t="str">
        <f t="shared" si="136"/>
        <v/>
      </c>
      <c r="F1780" t="str">
        <f>IF(Sync!$AH1780="","",IF(LEFT(UPPER(TRIM(Sync!$AH1780)),2)="SL",UPPER(TRIM(Sync!$AH1780)),""))</f>
        <v/>
      </c>
      <c r="G1780" t="str">
        <f>IF($F1780="","",IF(Sync!$AE1780="","",IF(ISNUMBER(Sync!$AE1780),IF(AND(Sync!$AE1780&gt;=10000101,Sync!$AE1780&lt;=99991231),INT(Sync!$AE1780/10000),""),IFERROR(VALUE(TRIM(LEFT(Sync!$AE1780,FIND("/",Sync!$AE1780)-1))),""))))</f>
        <v/>
      </c>
      <c r="H1780" t="str">
        <f>IF(OR($F1780="",$G1780=""),"",IF(ISNUMBER(Sync!$AE1780),INT(MOD(Sync!$AE1780,10000)/100),IFERROR(VALUE(TRIM(LEFT(MID(Sync!$AE1780,FIND("/",Sync!$AE1780)+1,20),FIND("/",MID(Sync!$AE1780,FIND("/",Sync!$AE1780)+1,20))-1))),"")))</f>
        <v/>
      </c>
      <c r="I1780" t="str">
        <f>IF(OR($F1780="",$G1780=""),"",IF(ISNUMBER(Sync!$AE1780),MOD(Sync!$AE1780,100),IFERROR(VALUE(TRIM(MID(MID(Sync!$AE1780,FIND("/",Sync!$AE1780)+1,20),FIND("/",MID(Sync!$AE1780,FIND("/",Sync!$AE1780)+1,20))+1,20))),"")))</f>
        <v/>
      </c>
      <c r="J1780" t="str">
        <f t="shared" si="137"/>
        <v/>
      </c>
      <c r="K1780" t="str">
        <f>IF(OR($F1780="",$J1780="",$J1780="نامعتبر"),"",LEFT($J1780,4)&amp;MID($J1780,6,2)&amp;RIGHT($J1780,2)&amp;$N1780&amp;"|"&amp;"2"&amp;RIGHT("00000"&amp;1775,5))</f>
        <v/>
      </c>
      <c r="L1780" t="str">
        <f t="shared" si="138"/>
        <v/>
      </c>
      <c r="M1780" t="str">
        <f t="shared" si="139"/>
        <v/>
      </c>
      <c r="N1780" t="str">
        <f>IF($F1780="","",IF(Sync!$AF1780="","0000",IF(AND(ISNUMBER(Sync!$AF1780),Sync!$AF1780&gt;=0,Sync!$AF1780&lt;1),RIGHT("00"&amp;HOUR(Sync!$AF1780),2)&amp;RIGHT("00"&amp;MINUTE(Sync!$AF1780),2),IFERROR(RIGHT("00"&amp;VALUE(LEFT(Sync!$AF1780,FIND(":",Sync!$AF1780)-1)),2)&amp;RIGHT("00"&amp;VALUE(MID(Sync!$AF1780,FIND(":",Sync!$AF1780)+1,2)),2),"0000"))))</f>
        <v/>
      </c>
    </row>
    <row r="1781" spans="1:14" x14ac:dyDescent="0.2">
      <c r="A1781" t="str">
        <f>IF(OR(Calc!$E1785="",Calc!$E1785="نامعتبر",Calc!$G1785=""),"",Calc!$G1785)</f>
        <v/>
      </c>
      <c r="B1781" t="str">
        <f>IF($A1781="","",LEFT(Calc!$E1785,4)&amp;MID(Calc!$E1785,6,2)&amp;RIGHT(Calc!$E1785,2)&amp;Calc!$Q1785&amp;"|"&amp;"1"&amp;RIGHT("00000"&amp;1776,5))</f>
        <v/>
      </c>
      <c r="C1781" t="str">
        <f t="shared" si="135"/>
        <v/>
      </c>
      <c r="D1781" t="str">
        <f t="shared" si="136"/>
        <v/>
      </c>
      <c r="F1781" t="str">
        <f>IF(Sync!$AH1781="","",IF(LEFT(UPPER(TRIM(Sync!$AH1781)),2)="SL",UPPER(TRIM(Sync!$AH1781)),""))</f>
        <v/>
      </c>
      <c r="G1781" t="str">
        <f>IF($F1781="","",IF(Sync!$AE1781="","",IF(ISNUMBER(Sync!$AE1781),IF(AND(Sync!$AE1781&gt;=10000101,Sync!$AE1781&lt;=99991231),INT(Sync!$AE1781/10000),""),IFERROR(VALUE(TRIM(LEFT(Sync!$AE1781,FIND("/",Sync!$AE1781)-1))),""))))</f>
        <v/>
      </c>
      <c r="H1781" t="str">
        <f>IF(OR($F1781="",$G1781=""),"",IF(ISNUMBER(Sync!$AE1781),INT(MOD(Sync!$AE1781,10000)/100),IFERROR(VALUE(TRIM(LEFT(MID(Sync!$AE1781,FIND("/",Sync!$AE1781)+1,20),FIND("/",MID(Sync!$AE1781,FIND("/",Sync!$AE1781)+1,20))-1))),"")))</f>
        <v/>
      </c>
      <c r="I1781" t="str">
        <f>IF(OR($F1781="",$G1781=""),"",IF(ISNUMBER(Sync!$AE1781),MOD(Sync!$AE1781,100),IFERROR(VALUE(TRIM(MID(MID(Sync!$AE1781,FIND("/",Sync!$AE1781)+1,20),FIND("/",MID(Sync!$AE1781,FIND("/",Sync!$AE1781)+1,20))+1,20))),"")))</f>
        <v/>
      </c>
      <c r="J1781" t="str">
        <f t="shared" si="137"/>
        <v/>
      </c>
      <c r="K1781" t="str">
        <f>IF(OR($F1781="",$J1781="",$J1781="نامعتبر"),"",LEFT($J1781,4)&amp;MID($J1781,6,2)&amp;RIGHT($J1781,2)&amp;$N1781&amp;"|"&amp;"2"&amp;RIGHT("00000"&amp;1776,5))</f>
        <v/>
      </c>
      <c r="L1781" t="str">
        <f t="shared" si="138"/>
        <v/>
      </c>
      <c r="M1781" t="str">
        <f t="shared" si="139"/>
        <v/>
      </c>
      <c r="N1781" t="str">
        <f>IF($F1781="","",IF(Sync!$AF1781="","0000",IF(AND(ISNUMBER(Sync!$AF1781),Sync!$AF1781&gt;=0,Sync!$AF1781&lt;1),RIGHT("00"&amp;HOUR(Sync!$AF1781),2)&amp;RIGHT("00"&amp;MINUTE(Sync!$AF1781),2),IFERROR(RIGHT("00"&amp;VALUE(LEFT(Sync!$AF1781,FIND(":",Sync!$AF1781)-1)),2)&amp;RIGHT("00"&amp;VALUE(MID(Sync!$AF1781,FIND(":",Sync!$AF1781)+1,2)),2),"0000"))))</f>
        <v/>
      </c>
    </row>
    <row r="1782" spans="1:14" x14ac:dyDescent="0.2">
      <c r="A1782" t="str">
        <f>IF(OR(Calc!$E1786="",Calc!$E1786="نامعتبر",Calc!$G1786=""),"",Calc!$G1786)</f>
        <v/>
      </c>
      <c r="B1782" t="str">
        <f>IF($A1782="","",LEFT(Calc!$E1786,4)&amp;MID(Calc!$E1786,6,2)&amp;RIGHT(Calc!$E1786,2)&amp;Calc!$Q1786&amp;"|"&amp;"1"&amp;RIGHT("00000"&amp;1777,5))</f>
        <v/>
      </c>
      <c r="C1782" t="str">
        <f t="shared" si="135"/>
        <v/>
      </c>
      <c r="D1782" t="str">
        <f t="shared" si="136"/>
        <v/>
      </c>
      <c r="F1782" t="str">
        <f>IF(Sync!$AH1782="","",IF(LEFT(UPPER(TRIM(Sync!$AH1782)),2)="SL",UPPER(TRIM(Sync!$AH1782)),""))</f>
        <v/>
      </c>
      <c r="G1782" t="str">
        <f>IF($F1782="","",IF(Sync!$AE1782="","",IF(ISNUMBER(Sync!$AE1782),IF(AND(Sync!$AE1782&gt;=10000101,Sync!$AE1782&lt;=99991231),INT(Sync!$AE1782/10000),""),IFERROR(VALUE(TRIM(LEFT(Sync!$AE1782,FIND("/",Sync!$AE1782)-1))),""))))</f>
        <v/>
      </c>
      <c r="H1782" t="str">
        <f>IF(OR($F1782="",$G1782=""),"",IF(ISNUMBER(Sync!$AE1782),INT(MOD(Sync!$AE1782,10000)/100),IFERROR(VALUE(TRIM(LEFT(MID(Sync!$AE1782,FIND("/",Sync!$AE1782)+1,20),FIND("/",MID(Sync!$AE1782,FIND("/",Sync!$AE1782)+1,20))-1))),"")))</f>
        <v/>
      </c>
      <c r="I1782" t="str">
        <f>IF(OR($F1782="",$G1782=""),"",IF(ISNUMBER(Sync!$AE1782),MOD(Sync!$AE1782,100),IFERROR(VALUE(TRIM(MID(MID(Sync!$AE1782,FIND("/",Sync!$AE1782)+1,20),FIND("/",MID(Sync!$AE1782,FIND("/",Sync!$AE1782)+1,20))+1,20))),"")))</f>
        <v/>
      </c>
      <c r="J1782" t="str">
        <f t="shared" si="137"/>
        <v/>
      </c>
      <c r="K1782" t="str">
        <f>IF(OR($F1782="",$J1782="",$J1782="نامعتبر"),"",LEFT($J1782,4)&amp;MID($J1782,6,2)&amp;RIGHT($J1782,2)&amp;$N1782&amp;"|"&amp;"2"&amp;RIGHT("00000"&amp;1777,5))</f>
        <v/>
      </c>
      <c r="L1782" t="str">
        <f t="shared" si="138"/>
        <v/>
      </c>
      <c r="M1782" t="str">
        <f t="shared" si="139"/>
        <v/>
      </c>
      <c r="N1782" t="str">
        <f>IF($F1782="","",IF(Sync!$AF1782="","0000",IF(AND(ISNUMBER(Sync!$AF1782),Sync!$AF1782&gt;=0,Sync!$AF1782&lt;1),RIGHT("00"&amp;HOUR(Sync!$AF1782),2)&amp;RIGHT("00"&amp;MINUTE(Sync!$AF1782),2),IFERROR(RIGHT("00"&amp;VALUE(LEFT(Sync!$AF1782,FIND(":",Sync!$AF1782)-1)),2)&amp;RIGHT("00"&amp;VALUE(MID(Sync!$AF1782,FIND(":",Sync!$AF1782)+1,2)),2),"0000"))))</f>
        <v/>
      </c>
    </row>
    <row r="1783" spans="1:14" x14ac:dyDescent="0.2">
      <c r="A1783" t="str">
        <f>IF(OR(Calc!$E1787="",Calc!$E1787="نامعتبر",Calc!$G1787=""),"",Calc!$G1787)</f>
        <v/>
      </c>
      <c r="B1783" t="str">
        <f>IF($A1783="","",LEFT(Calc!$E1787,4)&amp;MID(Calc!$E1787,6,2)&amp;RIGHT(Calc!$E1787,2)&amp;Calc!$Q1787&amp;"|"&amp;"1"&amp;RIGHT("00000"&amp;1778,5))</f>
        <v/>
      </c>
      <c r="C1783" t="str">
        <f t="shared" si="135"/>
        <v/>
      </c>
      <c r="D1783" t="str">
        <f t="shared" si="136"/>
        <v/>
      </c>
      <c r="F1783" t="str">
        <f>IF(Sync!$AH1783="","",IF(LEFT(UPPER(TRIM(Sync!$AH1783)),2)="SL",UPPER(TRIM(Sync!$AH1783)),""))</f>
        <v/>
      </c>
      <c r="G1783" t="str">
        <f>IF($F1783="","",IF(Sync!$AE1783="","",IF(ISNUMBER(Sync!$AE1783),IF(AND(Sync!$AE1783&gt;=10000101,Sync!$AE1783&lt;=99991231),INT(Sync!$AE1783/10000),""),IFERROR(VALUE(TRIM(LEFT(Sync!$AE1783,FIND("/",Sync!$AE1783)-1))),""))))</f>
        <v/>
      </c>
      <c r="H1783" t="str">
        <f>IF(OR($F1783="",$G1783=""),"",IF(ISNUMBER(Sync!$AE1783),INT(MOD(Sync!$AE1783,10000)/100),IFERROR(VALUE(TRIM(LEFT(MID(Sync!$AE1783,FIND("/",Sync!$AE1783)+1,20),FIND("/",MID(Sync!$AE1783,FIND("/",Sync!$AE1783)+1,20))-1))),"")))</f>
        <v/>
      </c>
      <c r="I1783" t="str">
        <f>IF(OR($F1783="",$G1783=""),"",IF(ISNUMBER(Sync!$AE1783),MOD(Sync!$AE1783,100),IFERROR(VALUE(TRIM(MID(MID(Sync!$AE1783,FIND("/",Sync!$AE1783)+1,20),FIND("/",MID(Sync!$AE1783,FIND("/",Sync!$AE1783)+1,20))+1,20))),"")))</f>
        <v/>
      </c>
      <c r="J1783" t="str">
        <f t="shared" si="137"/>
        <v/>
      </c>
      <c r="K1783" t="str">
        <f>IF(OR($F1783="",$J1783="",$J1783="نامعتبر"),"",LEFT($J1783,4)&amp;MID($J1783,6,2)&amp;RIGHT($J1783,2)&amp;$N1783&amp;"|"&amp;"2"&amp;RIGHT("00000"&amp;1778,5))</f>
        <v/>
      </c>
      <c r="L1783" t="str">
        <f t="shared" si="138"/>
        <v/>
      </c>
      <c r="M1783" t="str">
        <f t="shared" si="139"/>
        <v/>
      </c>
      <c r="N1783" t="str">
        <f>IF($F1783="","",IF(Sync!$AF1783="","0000",IF(AND(ISNUMBER(Sync!$AF1783),Sync!$AF1783&gt;=0,Sync!$AF1783&lt;1),RIGHT("00"&amp;HOUR(Sync!$AF1783),2)&amp;RIGHT("00"&amp;MINUTE(Sync!$AF1783),2),IFERROR(RIGHT("00"&amp;VALUE(LEFT(Sync!$AF1783,FIND(":",Sync!$AF1783)-1)),2)&amp;RIGHT("00"&amp;VALUE(MID(Sync!$AF1783,FIND(":",Sync!$AF1783)+1,2)),2),"0000"))))</f>
        <v/>
      </c>
    </row>
    <row r="1784" spans="1:14" x14ac:dyDescent="0.2">
      <c r="A1784" t="str">
        <f>IF(OR(Calc!$E1788="",Calc!$E1788="نامعتبر",Calc!$G1788=""),"",Calc!$G1788)</f>
        <v/>
      </c>
      <c r="B1784" t="str">
        <f>IF($A1784="","",LEFT(Calc!$E1788,4)&amp;MID(Calc!$E1788,6,2)&amp;RIGHT(Calc!$E1788,2)&amp;Calc!$Q1788&amp;"|"&amp;"1"&amp;RIGHT("00000"&amp;1779,5))</f>
        <v/>
      </c>
      <c r="C1784" t="str">
        <f t="shared" si="135"/>
        <v/>
      </c>
      <c r="D1784" t="str">
        <f t="shared" si="136"/>
        <v/>
      </c>
      <c r="F1784" t="str">
        <f>IF(Sync!$AH1784="","",IF(LEFT(UPPER(TRIM(Sync!$AH1784)),2)="SL",UPPER(TRIM(Sync!$AH1784)),""))</f>
        <v/>
      </c>
      <c r="G1784" t="str">
        <f>IF($F1784="","",IF(Sync!$AE1784="","",IF(ISNUMBER(Sync!$AE1784),IF(AND(Sync!$AE1784&gt;=10000101,Sync!$AE1784&lt;=99991231),INT(Sync!$AE1784/10000),""),IFERROR(VALUE(TRIM(LEFT(Sync!$AE1784,FIND("/",Sync!$AE1784)-1))),""))))</f>
        <v/>
      </c>
      <c r="H1784" t="str">
        <f>IF(OR($F1784="",$G1784=""),"",IF(ISNUMBER(Sync!$AE1784),INT(MOD(Sync!$AE1784,10000)/100),IFERROR(VALUE(TRIM(LEFT(MID(Sync!$AE1784,FIND("/",Sync!$AE1784)+1,20),FIND("/",MID(Sync!$AE1784,FIND("/",Sync!$AE1784)+1,20))-1))),"")))</f>
        <v/>
      </c>
      <c r="I1784" t="str">
        <f>IF(OR($F1784="",$G1784=""),"",IF(ISNUMBER(Sync!$AE1784),MOD(Sync!$AE1784,100),IFERROR(VALUE(TRIM(MID(MID(Sync!$AE1784,FIND("/",Sync!$AE1784)+1,20),FIND("/",MID(Sync!$AE1784,FIND("/",Sync!$AE1784)+1,20))+1,20))),"")))</f>
        <v/>
      </c>
      <c r="J1784" t="str">
        <f t="shared" si="137"/>
        <v/>
      </c>
      <c r="K1784" t="str">
        <f>IF(OR($F1784="",$J1784="",$J1784="نامعتبر"),"",LEFT($J1784,4)&amp;MID($J1784,6,2)&amp;RIGHT($J1784,2)&amp;$N1784&amp;"|"&amp;"2"&amp;RIGHT("00000"&amp;1779,5))</f>
        <v/>
      </c>
      <c r="L1784" t="str">
        <f t="shared" si="138"/>
        <v/>
      </c>
      <c r="M1784" t="str">
        <f t="shared" si="139"/>
        <v/>
      </c>
      <c r="N1784" t="str">
        <f>IF($F1784="","",IF(Sync!$AF1784="","0000",IF(AND(ISNUMBER(Sync!$AF1784),Sync!$AF1784&gt;=0,Sync!$AF1784&lt;1),RIGHT("00"&amp;HOUR(Sync!$AF1784),2)&amp;RIGHT("00"&amp;MINUTE(Sync!$AF1784),2),IFERROR(RIGHT("00"&amp;VALUE(LEFT(Sync!$AF1784,FIND(":",Sync!$AF1784)-1)),2)&amp;RIGHT("00"&amp;VALUE(MID(Sync!$AF1784,FIND(":",Sync!$AF1784)+1,2)),2),"0000"))))</f>
        <v/>
      </c>
    </row>
    <row r="1785" spans="1:14" x14ac:dyDescent="0.2">
      <c r="A1785" t="str">
        <f>IF(OR(Calc!$E1789="",Calc!$E1789="نامعتبر",Calc!$G1789=""),"",Calc!$G1789)</f>
        <v/>
      </c>
      <c r="B1785" t="str">
        <f>IF($A1785="","",LEFT(Calc!$E1789,4)&amp;MID(Calc!$E1789,6,2)&amp;RIGHT(Calc!$E1789,2)&amp;Calc!$Q1789&amp;"|"&amp;"1"&amp;RIGHT("00000"&amp;1780,5))</f>
        <v/>
      </c>
      <c r="C1785" t="str">
        <f t="shared" si="135"/>
        <v/>
      </c>
      <c r="D1785" t="str">
        <f t="shared" si="136"/>
        <v/>
      </c>
      <c r="F1785" t="str">
        <f>IF(Sync!$AH1785="","",IF(LEFT(UPPER(TRIM(Sync!$AH1785)),2)="SL",UPPER(TRIM(Sync!$AH1785)),""))</f>
        <v/>
      </c>
      <c r="G1785" t="str">
        <f>IF($F1785="","",IF(Sync!$AE1785="","",IF(ISNUMBER(Sync!$AE1785),IF(AND(Sync!$AE1785&gt;=10000101,Sync!$AE1785&lt;=99991231),INT(Sync!$AE1785/10000),""),IFERROR(VALUE(TRIM(LEFT(Sync!$AE1785,FIND("/",Sync!$AE1785)-1))),""))))</f>
        <v/>
      </c>
      <c r="H1785" t="str">
        <f>IF(OR($F1785="",$G1785=""),"",IF(ISNUMBER(Sync!$AE1785),INT(MOD(Sync!$AE1785,10000)/100),IFERROR(VALUE(TRIM(LEFT(MID(Sync!$AE1785,FIND("/",Sync!$AE1785)+1,20),FIND("/",MID(Sync!$AE1785,FIND("/",Sync!$AE1785)+1,20))-1))),"")))</f>
        <v/>
      </c>
      <c r="I1785" t="str">
        <f>IF(OR($F1785="",$G1785=""),"",IF(ISNUMBER(Sync!$AE1785),MOD(Sync!$AE1785,100),IFERROR(VALUE(TRIM(MID(MID(Sync!$AE1785,FIND("/",Sync!$AE1785)+1,20),FIND("/",MID(Sync!$AE1785,FIND("/",Sync!$AE1785)+1,20))+1,20))),"")))</f>
        <v/>
      </c>
      <c r="J1785" t="str">
        <f t="shared" si="137"/>
        <v/>
      </c>
      <c r="K1785" t="str">
        <f>IF(OR($F1785="",$J1785="",$J1785="نامعتبر"),"",LEFT($J1785,4)&amp;MID($J1785,6,2)&amp;RIGHT($J1785,2)&amp;$N1785&amp;"|"&amp;"2"&amp;RIGHT("00000"&amp;1780,5))</f>
        <v/>
      </c>
      <c r="L1785" t="str">
        <f t="shared" si="138"/>
        <v/>
      </c>
      <c r="M1785" t="str">
        <f t="shared" si="139"/>
        <v/>
      </c>
      <c r="N1785" t="str">
        <f>IF($F1785="","",IF(Sync!$AF1785="","0000",IF(AND(ISNUMBER(Sync!$AF1785),Sync!$AF1785&gt;=0,Sync!$AF1785&lt;1),RIGHT("00"&amp;HOUR(Sync!$AF1785),2)&amp;RIGHT("00"&amp;MINUTE(Sync!$AF1785),2),IFERROR(RIGHT("00"&amp;VALUE(LEFT(Sync!$AF1785,FIND(":",Sync!$AF1785)-1)),2)&amp;RIGHT("00"&amp;VALUE(MID(Sync!$AF1785,FIND(":",Sync!$AF1785)+1,2)),2),"0000"))))</f>
        <v/>
      </c>
    </row>
    <row r="1786" spans="1:14" x14ac:dyDescent="0.2">
      <c r="A1786" t="str">
        <f>IF(OR(Calc!$E1790="",Calc!$E1790="نامعتبر",Calc!$G1790=""),"",Calc!$G1790)</f>
        <v/>
      </c>
      <c r="B1786" t="str">
        <f>IF($A1786="","",LEFT(Calc!$E1790,4)&amp;MID(Calc!$E1790,6,2)&amp;RIGHT(Calc!$E1790,2)&amp;Calc!$Q1790&amp;"|"&amp;"1"&amp;RIGHT("00000"&amp;1781,5))</f>
        <v/>
      </c>
      <c r="C1786" t="str">
        <f t="shared" si="135"/>
        <v/>
      </c>
      <c r="D1786" t="str">
        <f t="shared" si="136"/>
        <v/>
      </c>
      <c r="F1786" t="str">
        <f>IF(Sync!$AH1786="","",IF(LEFT(UPPER(TRIM(Sync!$AH1786)),2)="SL",UPPER(TRIM(Sync!$AH1786)),""))</f>
        <v/>
      </c>
      <c r="G1786" t="str">
        <f>IF($F1786="","",IF(Sync!$AE1786="","",IF(ISNUMBER(Sync!$AE1786),IF(AND(Sync!$AE1786&gt;=10000101,Sync!$AE1786&lt;=99991231),INT(Sync!$AE1786/10000),""),IFERROR(VALUE(TRIM(LEFT(Sync!$AE1786,FIND("/",Sync!$AE1786)-1))),""))))</f>
        <v/>
      </c>
      <c r="H1786" t="str">
        <f>IF(OR($F1786="",$G1786=""),"",IF(ISNUMBER(Sync!$AE1786),INT(MOD(Sync!$AE1786,10000)/100),IFERROR(VALUE(TRIM(LEFT(MID(Sync!$AE1786,FIND("/",Sync!$AE1786)+1,20),FIND("/",MID(Sync!$AE1786,FIND("/",Sync!$AE1786)+1,20))-1))),"")))</f>
        <v/>
      </c>
      <c r="I1786" t="str">
        <f>IF(OR($F1786="",$G1786=""),"",IF(ISNUMBER(Sync!$AE1786),MOD(Sync!$AE1786,100),IFERROR(VALUE(TRIM(MID(MID(Sync!$AE1786,FIND("/",Sync!$AE1786)+1,20),FIND("/",MID(Sync!$AE1786,FIND("/",Sync!$AE1786)+1,20))+1,20))),"")))</f>
        <v/>
      </c>
      <c r="J1786" t="str">
        <f t="shared" si="137"/>
        <v/>
      </c>
      <c r="K1786" t="str">
        <f>IF(OR($F1786="",$J1786="",$J1786="نامعتبر"),"",LEFT($J1786,4)&amp;MID($J1786,6,2)&amp;RIGHT($J1786,2)&amp;$N1786&amp;"|"&amp;"2"&amp;RIGHT("00000"&amp;1781,5))</f>
        <v/>
      </c>
      <c r="L1786" t="str">
        <f t="shared" si="138"/>
        <v/>
      </c>
      <c r="M1786" t="str">
        <f t="shared" si="139"/>
        <v/>
      </c>
      <c r="N1786" t="str">
        <f>IF($F1786="","",IF(Sync!$AF1786="","0000",IF(AND(ISNUMBER(Sync!$AF1786),Sync!$AF1786&gt;=0,Sync!$AF1786&lt;1),RIGHT("00"&amp;HOUR(Sync!$AF1786),2)&amp;RIGHT("00"&amp;MINUTE(Sync!$AF1786),2),IFERROR(RIGHT("00"&amp;VALUE(LEFT(Sync!$AF1786,FIND(":",Sync!$AF1786)-1)),2)&amp;RIGHT("00"&amp;VALUE(MID(Sync!$AF1786,FIND(":",Sync!$AF1786)+1,2)),2),"0000"))))</f>
        <v/>
      </c>
    </row>
    <row r="1787" spans="1:14" x14ac:dyDescent="0.2">
      <c r="A1787" t="str">
        <f>IF(OR(Calc!$E1791="",Calc!$E1791="نامعتبر",Calc!$G1791=""),"",Calc!$G1791)</f>
        <v/>
      </c>
      <c r="B1787" t="str">
        <f>IF($A1787="","",LEFT(Calc!$E1791,4)&amp;MID(Calc!$E1791,6,2)&amp;RIGHT(Calc!$E1791,2)&amp;Calc!$Q1791&amp;"|"&amp;"1"&amp;RIGHT("00000"&amp;1782,5))</f>
        <v/>
      </c>
      <c r="C1787" t="str">
        <f t="shared" si="135"/>
        <v/>
      </c>
      <c r="D1787" t="str">
        <f t="shared" si="136"/>
        <v/>
      </c>
      <c r="F1787" t="str">
        <f>IF(Sync!$AH1787="","",IF(LEFT(UPPER(TRIM(Sync!$AH1787)),2)="SL",UPPER(TRIM(Sync!$AH1787)),""))</f>
        <v/>
      </c>
      <c r="G1787" t="str">
        <f>IF($F1787="","",IF(Sync!$AE1787="","",IF(ISNUMBER(Sync!$AE1787),IF(AND(Sync!$AE1787&gt;=10000101,Sync!$AE1787&lt;=99991231),INT(Sync!$AE1787/10000),""),IFERROR(VALUE(TRIM(LEFT(Sync!$AE1787,FIND("/",Sync!$AE1787)-1))),""))))</f>
        <v/>
      </c>
      <c r="H1787" t="str">
        <f>IF(OR($F1787="",$G1787=""),"",IF(ISNUMBER(Sync!$AE1787),INT(MOD(Sync!$AE1787,10000)/100),IFERROR(VALUE(TRIM(LEFT(MID(Sync!$AE1787,FIND("/",Sync!$AE1787)+1,20),FIND("/",MID(Sync!$AE1787,FIND("/",Sync!$AE1787)+1,20))-1))),"")))</f>
        <v/>
      </c>
      <c r="I1787" t="str">
        <f>IF(OR($F1787="",$G1787=""),"",IF(ISNUMBER(Sync!$AE1787),MOD(Sync!$AE1787,100),IFERROR(VALUE(TRIM(MID(MID(Sync!$AE1787,FIND("/",Sync!$AE1787)+1,20),FIND("/",MID(Sync!$AE1787,FIND("/",Sync!$AE1787)+1,20))+1,20))),"")))</f>
        <v/>
      </c>
      <c r="J1787" t="str">
        <f t="shared" si="137"/>
        <v/>
      </c>
      <c r="K1787" t="str">
        <f>IF(OR($F1787="",$J1787="",$J1787="نامعتبر"),"",LEFT($J1787,4)&amp;MID($J1787,6,2)&amp;RIGHT($J1787,2)&amp;$N1787&amp;"|"&amp;"2"&amp;RIGHT("00000"&amp;1782,5))</f>
        <v/>
      </c>
      <c r="L1787" t="str">
        <f t="shared" si="138"/>
        <v/>
      </c>
      <c r="M1787" t="str">
        <f t="shared" si="139"/>
        <v/>
      </c>
      <c r="N1787" t="str">
        <f>IF($F1787="","",IF(Sync!$AF1787="","0000",IF(AND(ISNUMBER(Sync!$AF1787),Sync!$AF1787&gt;=0,Sync!$AF1787&lt;1),RIGHT("00"&amp;HOUR(Sync!$AF1787),2)&amp;RIGHT("00"&amp;MINUTE(Sync!$AF1787),2),IFERROR(RIGHT("00"&amp;VALUE(LEFT(Sync!$AF1787,FIND(":",Sync!$AF1787)-1)),2)&amp;RIGHT("00"&amp;VALUE(MID(Sync!$AF1787,FIND(":",Sync!$AF1787)+1,2)),2),"0000"))))</f>
        <v/>
      </c>
    </row>
    <row r="1788" spans="1:14" x14ac:dyDescent="0.2">
      <c r="A1788" t="str">
        <f>IF(OR(Calc!$E1792="",Calc!$E1792="نامعتبر",Calc!$G1792=""),"",Calc!$G1792)</f>
        <v/>
      </c>
      <c r="B1788" t="str">
        <f>IF($A1788="","",LEFT(Calc!$E1792,4)&amp;MID(Calc!$E1792,6,2)&amp;RIGHT(Calc!$E1792,2)&amp;Calc!$Q1792&amp;"|"&amp;"1"&amp;RIGHT("00000"&amp;1783,5))</f>
        <v/>
      </c>
      <c r="C1788" t="str">
        <f t="shared" si="135"/>
        <v/>
      </c>
      <c r="D1788" t="str">
        <f t="shared" si="136"/>
        <v/>
      </c>
      <c r="F1788" t="str">
        <f>IF(Sync!$AH1788="","",IF(LEFT(UPPER(TRIM(Sync!$AH1788)),2)="SL",UPPER(TRIM(Sync!$AH1788)),""))</f>
        <v/>
      </c>
      <c r="G1788" t="str">
        <f>IF($F1788="","",IF(Sync!$AE1788="","",IF(ISNUMBER(Sync!$AE1788),IF(AND(Sync!$AE1788&gt;=10000101,Sync!$AE1788&lt;=99991231),INT(Sync!$AE1788/10000),""),IFERROR(VALUE(TRIM(LEFT(Sync!$AE1788,FIND("/",Sync!$AE1788)-1))),""))))</f>
        <v/>
      </c>
      <c r="H1788" t="str">
        <f>IF(OR($F1788="",$G1788=""),"",IF(ISNUMBER(Sync!$AE1788),INT(MOD(Sync!$AE1788,10000)/100),IFERROR(VALUE(TRIM(LEFT(MID(Sync!$AE1788,FIND("/",Sync!$AE1788)+1,20),FIND("/",MID(Sync!$AE1788,FIND("/",Sync!$AE1788)+1,20))-1))),"")))</f>
        <v/>
      </c>
      <c r="I1788" t="str">
        <f>IF(OR($F1788="",$G1788=""),"",IF(ISNUMBER(Sync!$AE1788),MOD(Sync!$AE1788,100),IFERROR(VALUE(TRIM(MID(MID(Sync!$AE1788,FIND("/",Sync!$AE1788)+1,20),FIND("/",MID(Sync!$AE1788,FIND("/",Sync!$AE1788)+1,20))+1,20))),"")))</f>
        <v/>
      </c>
      <c r="J1788" t="str">
        <f t="shared" si="137"/>
        <v/>
      </c>
      <c r="K1788" t="str">
        <f>IF(OR($F1788="",$J1788="",$J1788="نامعتبر"),"",LEFT($J1788,4)&amp;MID($J1788,6,2)&amp;RIGHT($J1788,2)&amp;$N1788&amp;"|"&amp;"2"&amp;RIGHT("00000"&amp;1783,5))</f>
        <v/>
      </c>
      <c r="L1788" t="str">
        <f t="shared" si="138"/>
        <v/>
      </c>
      <c r="M1788" t="str">
        <f t="shared" si="139"/>
        <v/>
      </c>
      <c r="N1788" t="str">
        <f>IF($F1788="","",IF(Sync!$AF1788="","0000",IF(AND(ISNUMBER(Sync!$AF1788),Sync!$AF1788&gt;=0,Sync!$AF1788&lt;1),RIGHT("00"&amp;HOUR(Sync!$AF1788),2)&amp;RIGHT("00"&amp;MINUTE(Sync!$AF1788),2),IFERROR(RIGHT("00"&amp;VALUE(LEFT(Sync!$AF1788,FIND(":",Sync!$AF1788)-1)),2)&amp;RIGHT("00"&amp;VALUE(MID(Sync!$AF1788,FIND(":",Sync!$AF1788)+1,2)),2),"0000"))))</f>
        <v/>
      </c>
    </row>
    <row r="1789" spans="1:14" x14ac:dyDescent="0.2">
      <c r="A1789" t="str">
        <f>IF(OR(Calc!$E1793="",Calc!$E1793="نامعتبر",Calc!$G1793=""),"",Calc!$G1793)</f>
        <v/>
      </c>
      <c r="B1789" t="str">
        <f>IF($A1789="","",LEFT(Calc!$E1793,4)&amp;MID(Calc!$E1793,6,2)&amp;RIGHT(Calc!$E1793,2)&amp;Calc!$Q1793&amp;"|"&amp;"1"&amp;RIGHT("00000"&amp;1784,5))</f>
        <v/>
      </c>
      <c r="C1789" t="str">
        <f t="shared" si="135"/>
        <v/>
      </c>
      <c r="D1789" t="str">
        <f t="shared" si="136"/>
        <v/>
      </c>
      <c r="F1789" t="str">
        <f>IF(Sync!$AH1789="","",IF(LEFT(UPPER(TRIM(Sync!$AH1789)),2)="SL",UPPER(TRIM(Sync!$AH1789)),""))</f>
        <v/>
      </c>
      <c r="G1789" t="str">
        <f>IF($F1789="","",IF(Sync!$AE1789="","",IF(ISNUMBER(Sync!$AE1789),IF(AND(Sync!$AE1789&gt;=10000101,Sync!$AE1789&lt;=99991231),INT(Sync!$AE1789/10000),""),IFERROR(VALUE(TRIM(LEFT(Sync!$AE1789,FIND("/",Sync!$AE1789)-1))),""))))</f>
        <v/>
      </c>
      <c r="H1789" t="str">
        <f>IF(OR($F1789="",$G1789=""),"",IF(ISNUMBER(Sync!$AE1789),INT(MOD(Sync!$AE1789,10000)/100),IFERROR(VALUE(TRIM(LEFT(MID(Sync!$AE1789,FIND("/",Sync!$AE1789)+1,20),FIND("/",MID(Sync!$AE1789,FIND("/",Sync!$AE1789)+1,20))-1))),"")))</f>
        <v/>
      </c>
      <c r="I1789" t="str">
        <f>IF(OR($F1789="",$G1789=""),"",IF(ISNUMBER(Sync!$AE1789),MOD(Sync!$AE1789,100),IFERROR(VALUE(TRIM(MID(MID(Sync!$AE1789,FIND("/",Sync!$AE1789)+1,20),FIND("/",MID(Sync!$AE1789,FIND("/",Sync!$AE1789)+1,20))+1,20))),"")))</f>
        <v/>
      </c>
      <c r="J1789" t="str">
        <f t="shared" si="137"/>
        <v/>
      </c>
      <c r="K1789" t="str">
        <f>IF(OR($F1789="",$J1789="",$J1789="نامعتبر"),"",LEFT($J1789,4)&amp;MID($J1789,6,2)&amp;RIGHT($J1789,2)&amp;$N1789&amp;"|"&amp;"2"&amp;RIGHT("00000"&amp;1784,5))</f>
        <v/>
      </c>
      <c r="L1789" t="str">
        <f t="shared" si="138"/>
        <v/>
      </c>
      <c r="M1789" t="str">
        <f t="shared" si="139"/>
        <v/>
      </c>
      <c r="N1789" t="str">
        <f>IF($F1789="","",IF(Sync!$AF1789="","0000",IF(AND(ISNUMBER(Sync!$AF1789),Sync!$AF1789&gt;=0,Sync!$AF1789&lt;1),RIGHT("00"&amp;HOUR(Sync!$AF1789),2)&amp;RIGHT("00"&amp;MINUTE(Sync!$AF1789),2),IFERROR(RIGHT("00"&amp;VALUE(LEFT(Sync!$AF1789,FIND(":",Sync!$AF1789)-1)),2)&amp;RIGHT("00"&amp;VALUE(MID(Sync!$AF1789,FIND(":",Sync!$AF1789)+1,2)),2),"0000"))))</f>
        <v/>
      </c>
    </row>
    <row r="1790" spans="1:14" x14ac:dyDescent="0.2">
      <c r="A1790" t="str">
        <f>IF(OR(Calc!$E1794="",Calc!$E1794="نامعتبر",Calc!$G1794=""),"",Calc!$G1794)</f>
        <v/>
      </c>
      <c r="B1790" t="str">
        <f>IF($A1790="","",LEFT(Calc!$E1794,4)&amp;MID(Calc!$E1794,6,2)&amp;RIGHT(Calc!$E1794,2)&amp;Calc!$Q1794&amp;"|"&amp;"1"&amp;RIGHT("00000"&amp;1785,5))</f>
        <v/>
      </c>
      <c r="C1790" t="str">
        <f t="shared" si="135"/>
        <v/>
      </c>
      <c r="D1790" t="str">
        <f t="shared" si="136"/>
        <v/>
      </c>
      <c r="F1790" t="str">
        <f>IF(Sync!$AH1790="","",IF(LEFT(UPPER(TRIM(Sync!$AH1790)),2)="SL",UPPER(TRIM(Sync!$AH1790)),""))</f>
        <v/>
      </c>
      <c r="G1790" t="str">
        <f>IF($F1790="","",IF(Sync!$AE1790="","",IF(ISNUMBER(Sync!$AE1790),IF(AND(Sync!$AE1790&gt;=10000101,Sync!$AE1790&lt;=99991231),INT(Sync!$AE1790/10000),""),IFERROR(VALUE(TRIM(LEFT(Sync!$AE1790,FIND("/",Sync!$AE1790)-1))),""))))</f>
        <v/>
      </c>
      <c r="H1790" t="str">
        <f>IF(OR($F1790="",$G1790=""),"",IF(ISNUMBER(Sync!$AE1790),INT(MOD(Sync!$AE1790,10000)/100),IFERROR(VALUE(TRIM(LEFT(MID(Sync!$AE1790,FIND("/",Sync!$AE1790)+1,20),FIND("/",MID(Sync!$AE1790,FIND("/",Sync!$AE1790)+1,20))-1))),"")))</f>
        <v/>
      </c>
      <c r="I1790" t="str">
        <f>IF(OR($F1790="",$G1790=""),"",IF(ISNUMBER(Sync!$AE1790),MOD(Sync!$AE1790,100),IFERROR(VALUE(TRIM(MID(MID(Sync!$AE1790,FIND("/",Sync!$AE1790)+1,20),FIND("/",MID(Sync!$AE1790,FIND("/",Sync!$AE1790)+1,20))+1,20))),"")))</f>
        <v/>
      </c>
      <c r="J1790" t="str">
        <f t="shared" si="137"/>
        <v/>
      </c>
      <c r="K1790" t="str">
        <f>IF(OR($F1790="",$J1790="",$J1790="نامعتبر"),"",LEFT($J1790,4)&amp;MID($J1790,6,2)&amp;RIGHT($J1790,2)&amp;$N1790&amp;"|"&amp;"2"&amp;RIGHT("00000"&amp;1785,5))</f>
        <v/>
      </c>
      <c r="L1790" t="str">
        <f t="shared" si="138"/>
        <v/>
      </c>
      <c r="M1790" t="str">
        <f t="shared" si="139"/>
        <v/>
      </c>
      <c r="N1790" t="str">
        <f>IF($F1790="","",IF(Sync!$AF1790="","0000",IF(AND(ISNUMBER(Sync!$AF1790),Sync!$AF1790&gt;=0,Sync!$AF1790&lt;1),RIGHT("00"&amp;HOUR(Sync!$AF1790),2)&amp;RIGHT("00"&amp;MINUTE(Sync!$AF1790),2),IFERROR(RIGHT("00"&amp;VALUE(LEFT(Sync!$AF1790,FIND(":",Sync!$AF1790)-1)),2)&amp;RIGHT("00"&amp;VALUE(MID(Sync!$AF1790,FIND(":",Sync!$AF1790)+1,2)),2),"0000"))))</f>
        <v/>
      </c>
    </row>
    <row r="1791" spans="1:14" x14ac:dyDescent="0.2">
      <c r="A1791" t="str">
        <f>IF(OR(Calc!$E1795="",Calc!$E1795="نامعتبر",Calc!$G1795=""),"",Calc!$G1795)</f>
        <v/>
      </c>
      <c r="B1791" t="str">
        <f>IF($A1791="","",LEFT(Calc!$E1795,4)&amp;MID(Calc!$E1795,6,2)&amp;RIGHT(Calc!$E1795,2)&amp;Calc!$Q1795&amp;"|"&amp;"1"&amp;RIGHT("00000"&amp;1786,5))</f>
        <v/>
      </c>
      <c r="C1791" t="str">
        <f t="shared" si="135"/>
        <v/>
      </c>
      <c r="D1791" t="str">
        <f t="shared" si="136"/>
        <v/>
      </c>
      <c r="F1791" t="str">
        <f>IF(Sync!$AH1791="","",IF(LEFT(UPPER(TRIM(Sync!$AH1791)),2)="SL",UPPER(TRIM(Sync!$AH1791)),""))</f>
        <v/>
      </c>
      <c r="G1791" t="str">
        <f>IF($F1791="","",IF(Sync!$AE1791="","",IF(ISNUMBER(Sync!$AE1791),IF(AND(Sync!$AE1791&gt;=10000101,Sync!$AE1791&lt;=99991231),INT(Sync!$AE1791/10000),""),IFERROR(VALUE(TRIM(LEFT(Sync!$AE1791,FIND("/",Sync!$AE1791)-1))),""))))</f>
        <v/>
      </c>
      <c r="H1791" t="str">
        <f>IF(OR($F1791="",$G1791=""),"",IF(ISNUMBER(Sync!$AE1791),INT(MOD(Sync!$AE1791,10000)/100),IFERROR(VALUE(TRIM(LEFT(MID(Sync!$AE1791,FIND("/",Sync!$AE1791)+1,20),FIND("/",MID(Sync!$AE1791,FIND("/",Sync!$AE1791)+1,20))-1))),"")))</f>
        <v/>
      </c>
      <c r="I1791" t="str">
        <f>IF(OR($F1791="",$G1791=""),"",IF(ISNUMBER(Sync!$AE1791),MOD(Sync!$AE1791,100),IFERROR(VALUE(TRIM(MID(MID(Sync!$AE1791,FIND("/",Sync!$AE1791)+1,20),FIND("/",MID(Sync!$AE1791,FIND("/",Sync!$AE1791)+1,20))+1,20))),"")))</f>
        <v/>
      </c>
      <c r="J1791" t="str">
        <f t="shared" si="137"/>
        <v/>
      </c>
      <c r="K1791" t="str">
        <f>IF(OR($F1791="",$J1791="",$J1791="نامعتبر"),"",LEFT($J1791,4)&amp;MID($J1791,6,2)&amp;RIGHT($J1791,2)&amp;$N1791&amp;"|"&amp;"2"&amp;RIGHT("00000"&amp;1786,5))</f>
        <v/>
      </c>
      <c r="L1791" t="str">
        <f t="shared" si="138"/>
        <v/>
      </c>
      <c r="M1791" t="str">
        <f t="shared" si="139"/>
        <v/>
      </c>
      <c r="N1791" t="str">
        <f>IF($F1791="","",IF(Sync!$AF1791="","0000",IF(AND(ISNUMBER(Sync!$AF1791),Sync!$AF1791&gt;=0,Sync!$AF1791&lt;1),RIGHT("00"&amp;HOUR(Sync!$AF1791),2)&amp;RIGHT("00"&amp;MINUTE(Sync!$AF1791),2),IFERROR(RIGHT("00"&amp;VALUE(LEFT(Sync!$AF1791,FIND(":",Sync!$AF1791)-1)),2)&amp;RIGHT("00"&amp;VALUE(MID(Sync!$AF1791,FIND(":",Sync!$AF1791)+1,2)),2),"0000"))))</f>
        <v/>
      </c>
    </row>
    <row r="1792" spans="1:14" x14ac:dyDescent="0.2">
      <c r="A1792" t="str">
        <f>IF(OR(Calc!$E1796="",Calc!$E1796="نامعتبر",Calc!$G1796=""),"",Calc!$G1796)</f>
        <v/>
      </c>
      <c r="B1792" t="str">
        <f>IF($A1792="","",LEFT(Calc!$E1796,4)&amp;MID(Calc!$E1796,6,2)&amp;RIGHT(Calc!$E1796,2)&amp;Calc!$Q1796&amp;"|"&amp;"1"&amp;RIGHT("00000"&amp;1787,5))</f>
        <v/>
      </c>
      <c r="C1792" t="str">
        <f t="shared" si="135"/>
        <v/>
      </c>
      <c r="D1792" t="str">
        <f t="shared" si="136"/>
        <v/>
      </c>
      <c r="F1792" t="str">
        <f>IF(Sync!$AH1792="","",IF(LEFT(UPPER(TRIM(Sync!$AH1792)),2)="SL",UPPER(TRIM(Sync!$AH1792)),""))</f>
        <v/>
      </c>
      <c r="G1792" t="str">
        <f>IF($F1792="","",IF(Sync!$AE1792="","",IF(ISNUMBER(Sync!$AE1792),IF(AND(Sync!$AE1792&gt;=10000101,Sync!$AE1792&lt;=99991231),INT(Sync!$AE1792/10000),""),IFERROR(VALUE(TRIM(LEFT(Sync!$AE1792,FIND("/",Sync!$AE1792)-1))),""))))</f>
        <v/>
      </c>
      <c r="H1792" t="str">
        <f>IF(OR($F1792="",$G1792=""),"",IF(ISNUMBER(Sync!$AE1792),INT(MOD(Sync!$AE1792,10000)/100),IFERROR(VALUE(TRIM(LEFT(MID(Sync!$AE1792,FIND("/",Sync!$AE1792)+1,20),FIND("/",MID(Sync!$AE1792,FIND("/",Sync!$AE1792)+1,20))-1))),"")))</f>
        <v/>
      </c>
      <c r="I1792" t="str">
        <f>IF(OR($F1792="",$G1792=""),"",IF(ISNUMBER(Sync!$AE1792),MOD(Sync!$AE1792,100),IFERROR(VALUE(TRIM(MID(MID(Sync!$AE1792,FIND("/",Sync!$AE1792)+1,20),FIND("/",MID(Sync!$AE1792,FIND("/",Sync!$AE1792)+1,20))+1,20))),"")))</f>
        <v/>
      </c>
      <c r="J1792" t="str">
        <f t="shared" si="137"/>
        <v/>
      </c>
      <c r="K1792" t="str">
        <f>IF(OR($F1792="",$J1792="",$J1792="نامعتبر"),"",LEFT($J1792,4)&amp;MID($J1792,6,2)&amp;RIGHT($J1792,2)&amp;$N1792&amp;"|"&amp;"2"&amp;RIGHT("00000"&amp;1787,5))</f>
        <v/>
      </c>
      <c r="L1792" t="str">
        <f t="shared" si="138"/>
        <v/>
      </c>
      <c r="M1792" t="str">
        <f t="shared" si="139"/>
        <v/>
      </c>
      <c r="N1792" t="str">
        <f>IF($F1792="","",IF(Sync!$AF1792="","0000",IF(AND(ISNUMBER(Sync!$AF1792),Sync!$AF1792&gt;=0,Sync!$AF1792&lt;1),RIGHT("00"&amp;HOUR(Sync!$AF1792),2)&amp;RIGHT("00"&amp;MINUTE(Sync!$AF1792),2),IFERROR(RIGHT("00"&amp;VALUE(LEFT(Sync!$AF1792,FIND(":",Sync!$AF1792)-1)),2)&amp;RIGHT("00"&amp;VALUE(MID(Sync!$AF1792,FIND(":",Sync!$AF1792)+1,2)),2),"0000"))))</f>
        <v/>
      </c>
    </row>
    <row r="1793" spans="1:14" x14ac:dyDescent="0.2">
      <c r="A1793" t="str">
        <f>IF(OR(Calc!$E1797="",Calc!$E1797="نامعتبر",Calc!$G1797=""),"",Calc!$G1797)</f>
        <v/>
      </c>
      <c r="B1793" t="str">
        <f>IF($A1793="","",LEFT(Calc!$E1797,4)&amp;MID(Calc!$E1797,6,2)&amp;RIGHT(Calc!$E1797,2)&amp;Calc!$Q1797&amp;"|"&amp;"1"&amp;RIGHT("00000"&amp;1788,5))</f>
        <v/>
      </c>
      <c r="C1793" t="str">
        <f t="shared" si="135"/>
        <v/>
      </c>
      <c r="D1793" t="str">
        <f t="shared" si="136"/>
        <v/>
      </c>
      <c r="F1793" t="str">
        <f>IF(Sync!$AH1793="","",IF(LEFT(UPPER(TRIM(Sync!$AH1793)),2)="SL",UPPER(TRIM(Sync!$AH1793)),""))</f>
        <v/>
      </c>
      <c r="G1793" t="str">
        <f>IF($F1793="","",IF(Sync!$AE1793="","",IF(ISNUMBER(Sync!$AE1793),IF(AND(Sync!$AE1793&gt;=10000101,Sync!$AE1793&lt;=99991231),INT(Sync!$AE1793/10000),""),IFERROR(VALUE(TRIM(LEFT(Sync!$AE1793,FIND("/",Sync!$AE1793)-1))),""))))</f>
        <v/>
      </c>
      <c r="H1793" t="str">
        <f>IF(OR($F1793="",$G1793=""),"",IF(ISNUMBER(Sync!$AE1793),INT(MOD(Sync!$AE1793,10000)/100),IFERROR(VALUE(TRIM(LEFT(MID(Sync!$AE1793,FIND("/",Sync!$AE1793)+1,20),FIND("/",MID(Sync!$AE1793,FIND("/",Sync!$AE1793)+1,20))-1))),"")))</f>
        <v/>
      </c>
      <c r="I1793" t="str">
        <f>IF(OR($F1793="",$G1793=""),"",IF(ISNUMBER(Sync!$AE1793),MOD(Sync!$AE1793,100),IFERROR(VALUE(TRIM(MID(MID(Sync!$AE1793,FIND("/",Sync!$AE1793)+1,20),FIND("/",MID(Sync!$AE1793,FIND("/",Sync!$AE1793)+1,20))+1,20))),"")))</f>
        <v/>
      </c>
      <c r="J1793" t="str">
        <f t="shared" si="137"/>
        <v/>
      </c>
      <c r="K1793" t="str">
        <f>IF(OR($F1793="",$J1793="",$J1793="نامعتبر"),"",LEFT($J1793,4)&amp;MID($J1793,6,2)&amp;RIGHT($J1793,2)&amp;$N1793&amp;"|"&amp;"2"&amp;RIGHT("00000"&amp;1788,5))</f>
        <v/>
      </c>
      <c r="L1793" t="str">
        <f t="shared" si="138"/>
        <v/>
      </c>
      <c r="M1793" t="str">
        <f t="shared" si="139"/>
        <v/>
      </c>
      <c r="N1793" t="str">
        <f>IF($F1793="","",IF(Sync!$AF1793="","0000",IF(AND(ISNUMBER(Sync!$AF1793),Sync!$AF1793&gt;=0,Sync!$AF1793&lt;1),RIGHT("00"&amp;HOUR(Sync!$AF1793),2)&amp;RIGHT("00"&amp;MINUTE(Sync!$AF1793),2),IFERROR(RIGHT("00"&amp;VALUE(LEFT(Sync!$AF1793,FIND(":",Sync!$AF1793)-1)),2)&amp;RIGHT("00"&amp;VALUE(MID(Sync!$AF1793,FIND(":",Sync!$AF1793)+1,2)),2),"0000"))))</f>
        <v/>
      </c>
    </row>
    <row r="1794" spans="1:14" x14ac:dyDescent="0.2">
      <c r="A1794" t="str">
        <f>IF(OR(Calc!$E1798="",Calc!$E1798="نامعتبر",Calc!$G1798=""),"",Calc!$G1798)</f>
        <v/>
      </c>
      <c r="B1794" t="str">
        <f>IF($A1794="","",LEFT(Calc!$E1798,4)&amp;MID(Calc!$E1798,6,2)&amp;RIGHT(Calc!$E1798,2)&amp;Calc!$Q1798&amp;"|"&amp;"1"&amp;RIGHT("00000"&amp;1789,5))</f>
        <v/>
      </c>
      <c r="C1794" t="str">
        <f t="shared" si="135"/>
        <v/>
      </c>
      <c r="D1794" t="str">
        <f t="shared" si="136"/>
        <v/>
      </c>
      <c r="F1794" t="str">
        <f>IF(Sync!$AH1794="","",IF(LEFT(UPPER(TRIM(Sync!$AH1794)),2)="SL",UPPER(TRIM(Sync!$AH1794)),""))</f>
        <v/>
      </c>
      <c r="G1794" t="str">
        <f>IF($F1794="","",IF(Sync!$AE1794="","",IF(ISNUMBER(Sync!$AE1794),IF(AND(Sync!$AE1794&gt;=10000101,Sync!$AE1794&lt;=99991231),INT(Sync!$AE1794/10000),""),IFERROR(VALUE(TRIM(LEFT(Sync!$AE1794,FIND("/",Sync!$AE1794)-1))),""))))</f>
        <v/>
      </c>
      <c r="H1794" t="str">
        <f>IF(OR($F1794="",$G1794=""),"",IF(ISNUMBER(Sync!$AE1794),INT(MOD(Sync!$AE1794,10000)/100),IFERROR(VALUE(TRIM(LEFT(MID(Sync!$AE1794,FIND("/",Sync!$AE1794)+1,20),FIND("/",MID(Sync!$AE1794,FIND("/",Sync!$AE1794)+1,20))-1))),"")))</f>
        <v/>
      </c>
      <c r="I1794" t="str">
        <f>IF(OR($F1794="",$G1794=""),"",IF(ISNUMBER(Sync!$AE1794),MOD(Sync!$AE1794,100),IFERROR(VALUE(TRIM(MID(MID(Sync!$AE1794,FIND("/",Sync!$AE1794)+1,20),FIND("/",MID(Sync!$AE1794,FIND("/",Sync!$AE1794)+1,20))+1,20))),"")))</f>
        <v/>
      </c>
      <c r="J1794" t="str">
        <f t="shared" si="137"/>
        <v/>
      </c>
      <c r="K1794" t="str">
        <f>IF(OR($F1794="",$J1794="",$J1794="نامعتبر"),"",LEFT($J1794,4)&amp;MID($J1794,6,2)&amp;RIGHT($J1794,2)&amp;$N1794&amp;"|"&amp;"2"&amp;RIGHT("00000"&amp;1789,5))</f>
        <v/>
      </c>
      <c r="L1794" t="str">
        <f t="shared" si="138"/>
        <v/>
      </c>
      <c r="M1794" t="str">
        <f t="shared" si="139"/>
        <v/>
      </c>
      <c r="N1794" t="str">
        <f>IF($F1794="","",IF(Sync!$AF1794="","0000",IF(AND(ISNUMBER(Sync!$AF1794),Sync!$AF1794&gt;=0,Sync!$AF1794&lt;1),RIGHT("00"&amp;HOUR(Sync!$AF1794),2)&amp;RIGHT("00"&amp;MINUTE(Sync!$AF1794),2),IFERROR(RIGHT("00"&amp;VALUE(LEFT(Sync!$AF1794,FIND(":",Sync!$AF1794)-1)),2)&amp;RIGHT("00"&amp;VALUE(MID(Sync!$AF1794,FIND(":",Sync!$AF1794)+1,2)),2),"0000"))))</f>
        <v/>
      </c>
    </row>
    <row r="1795" spans="1:14" x14ac:dyDescent="0.2">
      <c r="A1795" t="str">
        <f>IF(OR(Calc!$E1799="",Calc!$E1799="نامعتبر",Calc!$G1799=""),"",Calc!$G1799)</f>
        <v/>
      </c>
      <c r="B1795" t="str">
        <f>IF($A1795="","",LEFT(Calc!$E1799,4)&amp;MID(Calc!$E1799,6,2)&amp;RIGHT(Calc!$E1799,2)&amp;Calc!$Q1799&amp;"|"&amp;"1"&amp;RIGHT("00000"&amp;1790,5))</f>
        <v/>
      </c>
      <c r="C1795" t="str">
        <f t="shared" si="135"/>
        <v/>
      </c>
      <c r="D1795" t="str">
        <f t="shared" si="136"/>
        <v/>
      </c>
      <c r="F1795" t="str">
        <f>IF(Sync!$AH1795="","",IF(LEFT(UPPER(TRIM(Sync!$AH1795)),2)="SL",UPPER(TRIM(Sync!$AH1795)),""))</f>
        <v/>
      </c>
      <c r="G1795" t="str">
        <f>IF($F1795="","",IF(Sync!$AE1795="","",IF(ISNUMBER(Sync!$AE1795),IF(AND(Sync!$AE1795&gt;=10000101,Sync!$AE1795&lt;=99991231),INT(Sync!$AE1795/10000),""),IFERROR(VALUE(TRIM(LEFT(Sync!$AE1795,FIND("/",Sync!$AE1795)-1))),""))))</f>
        <v/>
      </c>
      <c r="H1795" t="str">
        <f>IF(OR($F1795="",$G1795=""),"",IF(ISNUMBER(Sync!$AE1795),INT(MOD(Sync!$AE1795,10000)/100),IFERROR(VALUE(TRIM(LEFT(MID(Sync!$AE1795,FIND("/",Sync!$AE1795)+1,20),FIND("/",MID(Sync!$AE1795,FIND("/",Sync!$AE1795)+1,20))-1))),"")))</f>
        <v/>
      </c>
      <c r="I1795" t="str">
        <f>IF(OR($F1795="",$G1795=""),"",IF(ISNUMBER(Sync!$AE1795),MOD(Sync!$AE1795,100),IFERROR(VALUE(TRIM(MID(MID(Sync!$AE1795,FIND("/",Sync!$AE1795)+1,20),FIND("/",MID(Sync!$AE1795,FIND("/",Sync!$AE1795)+1,20))+1,20))),"")))</f>
        <v/>
      </c>
      <c r="J1795" t="str">
        <f t="shared" si="137"/>
        <v/>
      </c>
      <c r="K1795" t="str">
        <f>IF(OR($F1795="",$J1795="",$J1795="نامعتبر"),"",LEFT($J1795,4)&amp;MID($J1795,6,2)&amp;RIGHT($J1795,2)&amp;$N1795&amp;"|"&amp;"2"&amp;RIGHT("00000"&amp;1790,5))</f>
        <v/>
      </c>
      <c r="L1795" t="str">
        <f t="shared" si="138"/>
        <v/>
      </c>
      <c r="M1795" t="str">
        <f t="shared" si="139"/>
        <v/>
      </c>
      <c r="N1795" t="str">
        <f>IF($F1795="","",IF(Sync!$AF1795="","0000",IF(AND(ISNUMBER(Sync!$AF1795),Sync!$AF1795&gt;=0,Sync!$AF1795&lt;1),RIGHT("00"&amp;HOUR(Sync!$AF1795),2)&amp;RIGHT("00"&amp;MINUTE(Sync!$AF1795),2),IFERROR(RIGHT("00"&amp;VALUE(LEFT(Sync!$AF1795,FIND(":",Sync!$AF1795)-1)),2)&amp;RIGHT("00"&amp;VALUE(MID(Sync!$AF1795,FIND(":",Sync!$AF1795)+1,2)),2),"0000"))))</f>
        <v/>
      </c>
    </row>
    <row r="1796" spans="1:14" x14ac:dyDescent="0.2">
      <c r="A1796" t="str">
        <f>IF(OR(Calc!$E1800="",Calc!$E1800="نامعتبر",Calc!$G1800=""),"",Calc!$G1800)</f>
        <v/>
      </c>
      <c r="B1796" t="str">
        <f>IF($A1796="","",LEFT(Calc!$E1800,4)&amp;MID(Calc!$E1800,6,2)&amp;RIGHT(Calc!$E1800,2)&amp;Calc!$Q1800&amp;"|"&amp;"1"&amp;RIGHT("00000"&amp;1791,5))</f>
        <v/>
      </c>
      <c r="C1796" t="str">
        <f t="shared" si="135"/>
        <v/>
      </c>
      <c r="D1796" t="str">
        <f t="shared" si="136"/>
        <v/>
      </c>
      <c r="F1796" t="str">
        <f>IF(Sync!$AH1796="","",IF(LEFT(UPPER(TRIM(Sync!$AH1796)),2)="SL",UPPER(TRIM(Sync!$AH1796)),""))</f>
        <v/>
      </c>
      <c r="G1796" t="str">
        <f>IF($F1796="","",IF(Sync!$AE1796="","",IF(ISNUMBER(Sync!$AE1796),IF(AND(Sync!$AE1796&gt;=10000101,Sync!$AE1796&lt;=99991231),INT(Sync!$AE1796/10000),""),IFERROR(VALUE(TRIM(LEFT(Sync!$AE1796,FIND("/",Sync!$AE1796)-1))),""))))</f>
        <v/>
      </c>
      <c r="H1796" t="str">
        <f>IF(OR($F1796="",$G1796=""),"",IF(ISNUMBER(Sync!$AE1796),INT(MOD(Sync!$AE1796,10000)/100),IFERROR(VALUE(TRIM(LEFT(MID(Sync!$AE1796,FIND("/",Sync!$AE1796)+1,20),FIND("/",MID(Sync!$AE1796,FIND("/",Sync!$AE1796)+1,20))-1))),"")))</f>
        <v/>
      </c>
      <c r="I1796" t="str">
        <f>IF(OR($F1796="",$G1796=""),"",IF(ISNUMBER(Sync!$AE1796),MOD(Sync!$AE1796,100),IFERROR(VALUE(TRIM(MID(MID(Sync!$AE1796,FIND("/",Sync!$AE1796)+1,20),FIND("/",MID(Sync!$AE1796,FIND("/",Sync!$AE1796)+1,20))+1,20))),"")))</f>
        <v/>
      </c>
      <c r="J1796" t="str">
        <f t="shared" si="137"/>
        <v/>
      </c>
      <c r="K1796" t="str">
        <f>IF(OR($F1796="",$J1796="",$J1796="نامعتبر"),"",LEFT($J1796,4)&amp;MID($J1796,6,2)&amp;RIGHT($J1796,2)&amp;$N1796&amp;"|"&amp;"2"&amp;RIGHT("00000"&amp;1791,5))</f>
        <v/>
      </c>
      <c r="L1796" t="str">
        <f t="shared" si="138"/>
        <v/>
      </c>
      <c r="M1796" t="str">
        <f t="shared" si="139"/>
        <v/>
      </c>
      <c r="N1796" t="str">
        <f>IF($F1796="","",IF(Sync!$AF1796="","0000",IF(AND(ISNUMBER(Sync!$AF1796),Sync!$AF1796&gt;=0,Sync!$AF1796&lt;1),RIGHT("00"&amp;HOUR(Sync!$AF1796),2)&amp;RIGHT("00"&amp;MINUTE(Sync!$AF1796),2),IFERROR(RIGHT("00"&amp;VALUE(LEFT(Sync!$AF1796,FIND(":",Sync!$AF1796)-1)),2)&amp;RIGHT("00"&amp;VALUE(MID(Sync!$AF1796,FIND(":",Sync!$AF1796)+1,2)),2),"0000"))))</f>
        <v/>
      </c>
    </row>
    <row r="1797" spans="1:14" x14ac:dyDescent="0.2">
      <c r="A1797" t="str">
        <f>IF(OR(Calc!$E1801="",Calc!$E1801="نامعتبر",Calc!$G1801=""),"",Calc!$G1801)</f>
        <v/>
      </c>
      <c r="B1797" t="str">
        <f>IF($A1797="","",LEFT(Calc!$E1801,4)&amp;MID(Calc!$E1801,6,2)&amp;RIGHT(Calc!$E1801,2)&amp;Calc!$Q1801&amp;"|"&amp;"1"&amp;RIGHT("00000"&amp;1792,5))</f>
        <v/>
      </c>
      <c r="C1797" t="str">
        <f t="shared" si="135"/>
        <v/>
      </c>
      <c r="D1797" t="str">
        <f t="shared" si="136"/>
        <v/>
      </c>
      <c r="F1797" t="str">
        <f>IF(Sync!$AH1797="","",IF(LEFT(UPPER(TRIM(Sync!$AH1797)),2)="SL",UPPER(TRIM(Sync!$AH1797)),""))</f>
        <v/>
      </c>
      <c r="G1797" t="str">
        <f>IF($F1797="","",IF(Sync!$AE1797="","",IF(ISNUMBER(Sync!$AE1797),IF(AND(Sync!$AE1797&gt;=10000101,Sync!$AE1797&lt;=99991231),INT(Sync!$AE1797/10000),""),IFERROR(VALUE(TRIM(LEFT(Sync!$AE1797,FIND("/",Sync!$AE1797)-1))),""))))</f>
        <v/>
      </c>
      <c r="H1797" t="str">
        <f>IF(OR($F1797="",$G1797=""),"",IF(ISNUMBER(Sync!$AE1797),INT(MOD(Sync!$AE1797,10000)/100),IFERROR(VALUE(TRIM(LEFT(MID(Sync!$AE1797,FIND("/",Sync!$AE1797)+1,20),FIND("/",MID(Sync!$AE1797,FIND("/",Sync!$AE1797)+1,20))-1))),"")))</f>
        <v/>
      </c>
      <c r="I1797" t="str">
        <f>IF(OR($F1797="",$G1797=""),"",IF(ISNUMBER(Sync!$AE1797),MOD(Sync!$AE1797,100),IFERROR(VALUE(TRIM(MID(MID(Sync!$AE1797,FIND("/",Sync!$AE1797)+1,20),FIND("/",MID(Sync!$AE1797,FIND("/",Sync!$AE1797)+1,20))+1,20))),"")))</f>
        <v/>
      </c>
      <c r="J1797" t="str">
        <f t="shared" si="137"/>
        <v/>
      </c>
      <c r="K1797" t="str">
        <f>IF(OR($F1797="",$J1797="",$J1797="نامعتبر"),"",LEFT($J1797,4)&amp;MID($J1797,6,2)&amp;RIGHT($J1797,2)&amp;$N1797&amp;"|"&amp;"2"&amp;RIGHT("00000"&amp;1792,5))</f>
        <v/>
      </c>
      <c r="L1797" t="str">
        <f t="shared" si="138"/>
        <v/>
      </c>
      <c r="M1797" t="str">
        <f t="shared" si="139"/>
        <v/>
      </c>
      <c r="N1797" t="str">
        <f>IF($F1797="","",IF(Sync!$AF1797="","0000",IF(AND(ISNUMBER(Sync!$AF1797),Sync!$AF1797&gt;=0,Sync!$AF1797&lt;1),RIGHT("00"&amp;HOUR(Sync!$AF1797),2)&amp;RIGHT("00"&amp;MINUTE(Sync!$AF1797),2),IFERROR(RIGHT("00"&amp;VALUE(LEFT(Sync!$AF1797,FIND(":",Sync!$AF1797)-1)),2)&amp;RIGHT("00"&amp;VALUE(MID(Sync!$AF1797,FIND(":",Sync!$AF1797)+1,2)),2),"0000"))))</f>
        <v/>
      </c>
    </row>
    <row r="1798" spans="1:14" x14ac:dyDescent="0.2">
      <c r="A1798" t="str">
        <f>IF(OR(Calc!$E1802="",Calc!$E1802="نامعتبر",Calc!$G1802=""),"",Calc!$G1802)</f>
        <v/>
      </c>
      <c r="B1798" t="str">
        <f>IF($A1798="","",LEFT(Calc!$E1802,4)&amp;MID(Calc!$E1802,6,2)&amp;RIGHT(Calc!$E1802,2)&amp;Calc!$Q1802&amp;"|"&amp;"1"&amp;RIGHT("00000"&amp;1793,5))</f>
        <v/>
      </c>
      <c r="C1798" t="str">
        <f t="shared" ref="C1798:C1861" si="140">IF($B1798="","",COUNTIFS(LdgSellerA,$A1798,LdgKeyA,"&lt;"&amp;$B1798)+COUNTIFS(LdgSellerB,$A1798,LdgKeyB,"&lt;"&amp;$B1798)+1)</f>
        <v/>
      </c>
      <c r="D1798" t="str">
        <f t="shared" ref="D1798:D1861" si="141">IF($C1798="","",$A1798&amp;"|"&amp;RIGHT("000000"&amp;$C1798,6))</f>
        <v/>
      </c>
      <c r="F1798" t="str">
        <f>IF(Sync!$AH1798="","",IF(LEFT(UPPER(TRIM(Sync!$AH1798)),2)="SL",UPPER(TRIM(Sync!$AH1798)),""))</f>
        <v/>
      </c>
      <c r="G1798" t="str">
        <f>IF($F1798="","",IF(Sync!$AE1798="","",IF(ISNUMBER(Sync!$AE1798),IF(AND(Sync!$AE1798&gt;=10000101,Sync!$AE1798&lt;=99991231),INT(Sync!$AE1798/10000),""),IFERROR(VALUE(TRIM(LEFT(Sync!$AE1798,FIND("/",Sync!$AE1798)-1))),""))))</f>
        <v/>
      </c>
      <c r="H1798" t="str">
        <f>IF(OR($F1798="",$G1798=""),"",IF(ISNUMBER(Sync!$AE1798),INT(MOD(Sync!$AE1798,10000)/100),IFERROR(VALUE(TRIM(LEFT(MID(Sync!$AE1798,FIND("/",Sync!$AE1798)+1,20),FIND("/",MID(Sync!$AE1798,FIND("/",Sync!$AE1798)+1,20))-1))),"")))</f>
        <v/>
      </c>
      <c r="I1798" t="str">
        <f>IF(OR($F1798="",$G1798=""),"",IF(ISNUMBER(Sync!$AE1798),MOD(Sync!$AE1798,100),IFERROR(VALUE(TRIM(MID(MID(Sync!$AE1798,FIND("/",Sync!$AE1798)+1,20),FIND("/",MID(Sync!$AE1798,FIND("/",Sync!$AE1798)+1,20))+1,20))),"")))</f>
        <v/>
      </c>
      <c r="J1798" t="str">
        <f t="shared" ref="J1798:J1861" si="142">IF($F1798="","",IF(OR($G1798="",$H1798="",$I1798="",$G1798&lt;1300,$G1798&gt;1500,$H1798&lt;1,$H1798&gt;12,$I1798&lt;1,$I1798&gt;31),"نامعتبر",RIGHT("0000"&amp;$G1798,4)&amp;"/"&amp;RIGHT("00"&amp;$H1798,2)&amp;"/"&amp;RIGHT("00"&amp;$I1798,2)))</f>
        <v/>
      </c>
      <c r="K1798" t="str">
        <f>IF(OR($F1798="",$J1798="",$J1798="نامعتبر"),"",LEFT($J1798,4)&amp;MID($J1798,6,2)&amp;RIGHT($J1798,2)&amp;$N1798&amp;"|"&amp;"2"&amp;RIGHT("00000"&amp;1793,5))</f>
        <v/>
      </c>
      <c r="L1798" t="str">
        <f t="shared" ref="L1798:L1861" si="143">IF($K1798="","",COUNTIFS(LdgSellerA,$F1798,LdgKeyA,"&lt;"&amp;$K1798)+COUNTIFS(LdgSellerB,$F1798,LdgKeyB,"&lt;"&amp;$K1798)+1)</f>
        <v/>
      </c>
      <c r="M1798" t="str">
        <f t="shared" ref="M1798:M1861" si="144">IF($L1798="","",$F1798&amp;"|"&amp;RIGHT("000000"&amp;$L1798,6))</f>
        <v/>
      </c>
      <c r="N1798" t="str">
        <f>IF($F1798="","",IF(Sync!$AF1798="","0000",IF(AND(ISNUMBER(Sync!$AF1798),Sync!$AF1798&gt;=0,Sync!$AF1798&lt;1),RIGHT("00"&amp;HOUR(Sync!$AF1798),2)&amp;RIGHT("00"&amp;MINUTE(Sync!$AF1798),2),IFERROR(RIGHT("00"&amp;VALUE(LEFT(Sync!$AF1798,FIND(":",Sync!$AF1798)-1)),2)&amp;RIGHT("00"&amp;VALUE(MID(Sync!$AF1798,FIND(":",Sync!$AF1798)+1,2)),2),"0000"))))</f>
        <v/>
      </c>
    </row>
    <row r="1799" spans="1:14" x14ac:dyDescent="0.2">
      <c r="A1799" t="str">
        <f>IF(OR(Calc!$E1803="",Calc!$E1803="نامعتبر",Calc!$G1803=""),"",Calc!$G1803)</f>
        <v/>
      </c>
      <c r="B1799" t="str">
        <f>IF($A1799="","",LEFT(Calc!$E1803,4)&amp;MID(Calc!$E1803,6,2)&amp;RIGHT(Calc!$E1803,2)&amp;Calc!$Q1803&amp;"|"&amp;"1"&amp;RIGHT("00000"&amp;1794,5))</f>
        <v/>
      </c>
      <c r="C1799" t="str">
        <f t="shared" si="140"/>
        <v/>
      </c>
      <c r="D1799" t="str">
        <f t="shared" si="141"/>
        <v/>
      </c>
      <c r="F1799" t="str">
        <f>IF(Sync!$AH1799="","",IF(LEFT(UPPER(TRIM(Sync!$AH1799)),2)="SL",UPPER(TRIM(Sync!$AH1799)),""))</f>
        <v/>
      </c>
      <c r="G1799" t="str">
        <f>IF($F1799="","",IF(Sync!$AE1799="","",IF(ISNUMBER(Sync!$AE1799),IF(AND(Sync!$AE1799&gt;=10000101,Sync!$AE1799&lt;=99991231),INT(Sync!$AE1799/10000),""),IFERROR(VALUE(TRIM(LEFT(Sync!$AE1799,FIND("/",Sync!$AE1799)-1))),""))))</f>
        <v/>
      </c>
      <c r="H1799" t="str">
        <f>IF(OR($F1799="",$G1799=""),"",IF(ISNUMBER(Sync!$AE1799),INT(MOD(Sync!$AE1799,10000)/100),IFERROR(VALUE(TRIM(LEFT(MID(Sync!$AE1799,FIND("/",Sync!$AE1799)+1,20),FIND("/",MID(Sync!$AE1799,FIND("/",Sync!$AE1799)+1,20))-1))),"")))</f>
        <v/>
      </c>
      <c r="I1799" t="str">
        <f>IF(OR($F1799="",$G1799=""),"",IF(ISNUMBER(Sync!$AE1799),MOD(Sync!$AE1799,100),IFERROR(VALUE(TRIM(MID(MID(Sync!$AE1799,FIND("/",Sync!$AE1799)+1,20),FIND("/",MID(Sync!$AE1799,FIND("/",Sync!$AE1799)+1,20))+1,20))),"")))</f>
        <v/>
      </c>
      <c r="J1799" t="str">
        <f t="shared" si="142"/>
        <v/>
      </c>
      <c r="K1799" t="str">
        <f>IF(OR($F1799="",$J1799="",$J1799="نامعتبر"),"",LEFT($J1799,4)&amp;MID($J1799,6,2)&amp;RIGHT($J1799,2)&amp;$N1799&amp;"|"&amp;"2"&amp;RIGHT("00000"&amp;1794,5))</f>
        <v/>
      </c>
      <c r="L1799" t="str">
        <f t="shared" si="143"/>
        <v/>
      </c>
      <c r="M1799" t="str">
        <f t="shared" si="144"/>
        <v/>
      </c>
      <c r="N1799" t="str">
        <f>IF($F1799="","",IF(Sync!$AF1799="","0000",IF(AND(ISNUMBER(Sync!$AF1799),Sync!$AF1799&gt;=0,Sync!$AF1799&lt;1),RIGHT("00"&amp;HOUR(Sync!$AF1799),2)&amp;RIGHT("00"&amp;MINUTE(Sync!$AF1799),2),IFERROR(RIGHT("00"&amp;VALUE(LEFT(Sync!$AF1799,FIND(":",Sync!$AF1799)-1)),2)&amp;RIGHT("00"&amp;VALUE(MID(Sync!$AF1799,FIND(":",Sync!$AF1799)+1,2)),2),"0000"))))</f>
        <v/>
      </c>
    </row>
    <row r="1800" spans="1:14" x14ac:dyDescent="0.2">
      <c r="A1800" t="str">
        <f>IF(OR(Calc!$E1804="",Calc!$E1804="نامعتبر",Calc!$G1804=""),"",Calc!$G1804)</f>
        <v/>
      </c>
      <c r="B1800" t="str">
        <f>IF($A1800="","",LEFT(Calc!$E1804,4)&amp;MID(Calc!$E1804,6,2)&amp;RIGHT(Calc!$E1804,2)&amp;Calc!$Q1804&amp;"|"&amp;"1"&amp;RIGHT("00000"&amp;1795,5))</f>
        <v/>
      </c>
      <c r="C1800" t="str">
        <f t="shared" si="140"/>
        <v/>
      </c>
      <c r="D1800" t="str">
        <f t="shared" si="141"/>
        <v/>
      </c>
      <c r="F1800" t="str">
        <f>IF(Sync!$AH1800="","",IF(LEFT(UPPER(TRIM(Sync!$AH1800)),2)="SL",UPPER(TRIM(Sync!$AH1800)),""))</f>
        <v/>
      </c>
      <c r="G1800" t="str">
        <f>IF($F1800="","",IF(Sync!$AE1800="","",IF(ISNUMBER(Sync!$AE1800),IF(AND(Sync!$AE1800&gt;=10000101,Sync!$AE1800&lt;=99991231),INT(Sync!$AE1800/10000),""),IFERROR(VALUE(TRIM(LEFT(Sync!$AE1800,FIND("/",Sync!$AE1800)-1))),""))))</f>
        <v/>
      </c>
      <c r="H1800" t="str">
        <f>IF(OR($F1800="",$G1800=""),"",IF(ISNUMBER(Sync!$AE1800),INT(MOD(Sync!$AE1800,10000)/100),IFERROR(VALUE(TRIM(LEFT(MID(Sync!$AE1800,FIND("/",Sync!$AE1800)+1,20),FIND("/",MID(Sync!$AE1800,FIND("/",Sync!$AE1800)+1,20))-1))),"")))</f>
        <v/>
      </c>
      <c r="I1800" t="str">
        <f>IF(OR($F1800="",$G1800=""),"",IF(ISNUMBER(Sync!$AE1800),MOD(Sync!$AE1800,100),IFERROR(VALUE(TRIM(MID(MID(Sync!$AE1800,FIND("/",Sync!$AE1800)+1,20),FIND("/",MID(Sync!$AE1800,FIND("/",Sync!$AE1800)+1,20))+1,20))),"")))</f>
        <v/>
      </c>
      <c r="J1800" t="str">
        <f t="shared" si="142"/>
        <v/>
      </c>
      <c r="K1800" t="str">
        <f>IF(OR($F1800="",$J1800="",$J1800="نامعتبر"),"",LEFT($J1800,4)&amp;MID($J1800,6,2)&amp;RIGHT($J1800,2)&amp;$N1800&amp;"|"&amp;"2"&amp;RIGHT("00000"&amp;1795,5))</f>
        <v/>
      </c>
      <c r="L1800" t="str">
        <f t="shared" si="143"/>
        <v/>
      </c>
      <c r="M1800" t="str">
        <f t="shared" si="144"/>
        <v/>
      </c>
      <c r="N1800" t="str">
        <f>IF($F1800="","",IF(Sync!$AF1800="","0000",IF(AND(ISNUMBER(Sync!$AF1800),Sync!$AF1800&gt;=0,Sync!$AF1800&lt;1),RIGHT("00"&amp;HOUR(Sync!$AF1800),2)&amp;RIGHT("00"&amp;MINUTE(Sync!$AF1800),2),IFERROR(RIGHT("00"&amp;VALUE(LEFT(Sync!$AF1800,FIND(":",Sync!$AF1800)-1)),2)&amp;RIGHT("00"&amp;VALUE(MID(Sync!$AF1800,FIND(":",Sync!$AF1800)+1,2)),2),"0000"))))</f>
        <v/>
      </c>
    </row>
    <row r="1801" spans="1:14" x14ac:dyDescent="0.2">
      <c r="A1801" t="str">
        <f>IF(OR(Calc!$E1805="",Calc!$E1805="نامعتبر",Calc!$G1805=""),"",Calc!$G1805)</f>
        <v/>
      </c>
      <c r="B1801" t="str">
        <f>IF($A1801="","",LEFT(Calc!$E1805,4)&amp;MID(Calc!$E1805,6,2)&amp;RIGHT(Calc!$E1805,2)&amp;Calc!$Q1805&amp;"|"&amp;"1"&amp;RIGHT("00000"&amp;1796,5))</f>
        <v/>
      </c>
      <c r="C1801" t="str">
        <f t="shared" si="140"/>
        <v/>
      </c>
      <c r="D1801" t="str">
        <f t="shared" si="141"/>
        <v/>
      </c>
      <c r="F1801" t="str">
        <f>IF(Sync!$AH1801="","",IF(LEFT(UPPER(TRIM(Sync!$AH1801)),2)="SL",UPPER(TRIM(Sync!$AH1801)),""))</f>
        <v/>
      </c>
      <c r="G1801" t="str">
        <f>IF($F1801="","",IF(Sync!$AE1801="","",IF(ISNUMBER(Sync!$AE1801),IF(AND(Sync!$AE1801&gt;=10000101,Sync!$AE1801&lt;=99991231),INT(Sync!$AE1801/10000),""),IFERROR(VALUE(TRIM(LEFT(Sync!$AE1801,FIND("/",Sync!$AE1801)-1))),""))))</f>
        <v/>
      </c>
      <c r="H1801" t="str">
        <f>IF(OR($F1801="",$G1801=""),"",IF(ISNUMBER(Sync!$AE1801),INT(MOD(Sync!$AE1801,10000)/100),IFERROR(VALUE(TRIM(LEFT(MID(Sync!$AE1801,FIND("/",Sync!$AE1801)+1,20),FIND("/",MID(Sync!$AE1801,FIND("/",Sync!$AE1801)+1,20))-1))),"")))</f>
        <v/>
      </c>
      <c r="I1801" t="str">
        <f>IF(OR($F1801="",$G1801=""),"",IF(ISNUMBER(Sync!$AE1801),MOD(Sync!$AE1801,100),IFERROR(VALUE(TRIM(MID(MID(Sync!$AE1801,FIND("/",Sync!$AE1801)+1,20),FIND("/",MID(Sync!$AE1801,FIND("/",Sync!$AE1801)+1,20))+1,20))),"")))</f>
        <v/>
      </c>
      <c r="J1801" t="str">
        <f t="shared" si="142"/>
        <v/>
      </c>
      <c r="K1801" t="str">
        <f>IF(OR($F1801="",$J1801="",$J1801="نامعتبر"),"",LEFT($J1801,4)&amp;MID($J1801,6,2)&amp;RIGHT($J1801,2)&amp;$N1801&amp;"|"&amp;"2"&amp;RIGHT("00000"&amp;1796,5))</f>
        <v/>
      </c>
      <c r="L1801" t="str">
        <f t="shared" si="143"/>
        <v/>
      </c>
      <c r="M1801" t="str">
        <f t="shared" si="144"/>
        <v/>
      </c>
      <c r="N1801" t="str">
        <f>IF($F1801="","",IF(Sync!$AF1801="","0000",IF(AND(ISNUMBER(Sync!$AF1801),Sync!$AF1801&gt;=0,Sync!$AF1801&lt;1),RIGHT("00"&amp;HOUR(Sync!$AF1801),2)&amp;RIGHT("00"&amp;MINUTE(Sync!$AF1801),2),IFERROR(RIGHT("00"&amp;VALUE(LEFT(Sync!$AF1801,FIND(":",Sync!$AF1801)-1)),2)&amp;RIGHT("00"&amp;VALUE(MID(Sync!$AF1801,FIND(":",Sync!$AF1801)+1,2)),2),"0000"))))</f>
        <v/>
      </c>
    </row>
    <row r="1802" spans="1:14" x14ac:dyDescent="0.2">
      <c r="A1802" t="str">
        <f>IF(OR(Calc!$E1806="",Calc!$E1806="نامعتبر",Calc!$G1806=""),"",Calc!$G1806)</f>
        <v/>
      </c>
      <c r="B1802" t="str">
        <f>IF($A1802="","",LEFT(Calc!$E1806,4)&amp;MID(Calc!$E1806,6,2)&amp;RIGHT(Calc!$E1806,2)&amp;Calc!$Q1806&amp;"|"&amp;"1"&amp;RIGHT("00000"&amp;1797,5))</f>
        <v/>
      </c>
      <c r="C1802" t="str">
        <f t="shared" si="140"/>
        <v/>
      </c>
      <c r="D1802" t="str">
        <f t="shared" si="141"/>
        <v/>
      </c>
      <c r="F1802" t="str">
        <f>IF(Sync!$AH1802="","",IF(LEFT(UPPER(TRIM(Sync!$AH1802)),2)="SL",UPPER(TRIM(Sync!$AH1802)),""))</f>
        <v/>
      </c>
      <c r="G1802" t="str">
        <f>IF($F1802="","",IF(Sync!$AE1802="","",IF(ISNUMBER(Sync!$AE1802),IF(AND(Sync!$AE1802&gt;=10000101,Sync!$AE1802&lt;=99991231),INT(Sync!$AE1802/10000),""),IFERROR(VALUE(TRIM(LEFT(Sync!$AE1802,FIND("/",Sync!$AE1802)-1))),""))))</f>
        <v/>
      </c>
      <c r="H1802" t="str">
        <f>IF(OR($F1802="",$G1802=""),"",IF(ISNUMBER(Sync!$AE1802),INT(MOD(Sync!$AE1802,10000)/100),IFERROR(VALUE(TRIM(LEFT(MID(Sync!$AE1802,FIND("/",Sync!$AE1802)+1,20),FIND("/",MID(Sync!$AE1802,FIND("/",Sync!$AE1802)+1,20))-1))),"")))</f>
        <v/>
      </c>
      <c r="I1802" t="str">
        <f>IF(OR($F1802="",$G1802=""),"",IF(ISNUMBER(Sync!$AE1802),MOD(Sync!$AE1802,100),IFERROR(VALUE(TRIM(MID(MID(Sync!$AE1802,FIND("/",Sync!$AE1802)+1,20),FIND("/",MID(Sync!$AE1802,FIND("/",Sync!$AE1802)+1,20))+1,20))),"")))</f>
        <v/>
      </c>
      <c r="J1802" t="str">
        <f t="shared" si="142"/>
        <v/>
      </c>
      <c r="K1802" t="str">
        <f>IF(OR($F1802="",$J1802="",$J1802="نامعتبر"),"",LEFT($J1802,4)&amp;MID($J1802,6,2)&amp;RIGHT($J1802,2)&amp;$N1802&amp;"|"&amp;"2"&amp;RIGHT("00000"&amp;1797,5))</f>
        <v/>
      </c>
      <c r="L1802" t="str">
        <f t="shared" si="143"/>
        <v/>
      </c>
      <c r="M1802" t="str">
        <f t="shared" si="144"/>
        <v/>
      </c>
      <c r="N1802" t="str">
        <f>IF($F1802="","",IF(Sync!$AF1802="","0000",IF(AND(ISNUMBER(Sync!$AF1802),Sync!$AF1802&gt;=0,Sync!$AF1802&lt;1),RIGHT("00"&amp;HOUR(Sync!$AF1802),2)&amp;RIGHT("00"&amp;MINUTE(Sync!$AF1802),2),IFERROR(RIGHT("00"&amp;VALUE(LEFT(Sync!$AF1802,FIND(":",Sync!$AF1802)-1)),2)&amp;RIGHT("00"&amp;VALUE(MID(Sync!$AF1802,FIND(":",Sync!$AF1802)+1,2)),2),"0000"))))</f>
        <v/>
      </c>
    </row>
    <row r="1803" spans="1:14" x14ac:dyDescent="0.2">
      <c r="A1803" t="str">
        <f>IF(OR(Calc!$E1807="",Calc!$E1807="نامعتبر",Calc!$G1807=""),"",Calc!$G1807)</f>
        <v/>
      </c>
      <c r="B1803" t="str">
        <f>IF($A1803="","",LEFT(Calc!$E1807,4)&amp;MID(Calc!$E1807,6,2)&amp;RIGHT(Calc!$E1807,2)&amp;Calc!$Q1807&amp;"|"&amp;"1"&amp;RIGHT("00000"&amp;1798,5))</f>
        <v/>
      </c>
      <c r="C1803" t="str">
        <f t="shared" si="140"/>
        <v/>
      </c>
      <c r="D1803" t="str">
        <f t="shared" si="141"/>
        <v/>
      </c>
      <c r="F1803" t="str">
        <f>IF(Sync!$AH1803="","",IF(LEFT(UPPER(TRIM(Sync!$AH1803)),2)="SL",UPPER(TRIM(Sync!$AH1803)),""))</f>
        <v/>
      </c>
      <c r="G1803" t="str">
        <f>IF($F1803="","",IF(Sync!$AE1803="","",IF(ISNUMBER(Sync!$AE1803),IF(AND(Sync!$AE1803&gt;=10000101,Sync!$AE1803&lt;=99991231),INT(Sync!$AE1803/10000),""),IFERROR(VALUE(TRIM(LEFT(Sync!$AE1803,FIND("/",Sync!$AE1803)-1))),""))))</f>
        <v/>
      </c>
      <c r="H1803" t="str">
        <f>IF(OR($F1803="",$G1803=""),"",IF(ISNUMBER(Sync!$AE1803),INT(MOD(Sync!$AE1803,10000)/100),IFERROR(VALUE(TRIM(LEFT(MID(Sync!$AE1803,FIND("/",Sync!$AE1803)+1,20),FIND("/",MID(Sync!$AE1803,FIND("/",Sync!$AE1803)+1,20))-1))),"")))</f>
        <v/>
      </c>
      <c r="I1803" t="str">
        <f>IF(OR($F1803="",$G1803=""),"",IF(ISNUMBER(Sync!$AE1803),MOD(Sync!$AE1803,100),IFERROR(VALUE(TRIM(MID(MID(Sync!$AE1803,FIND("/",Sync!$AE1803)+1,20),FIND("/",MID(Sync!$AE1803,FIND("/",Sync!$AE1803)+1,20))+1,20))),"")))</f>
        <v/>
      </c>
      <c r="J1803" t="str">
        <f t="shared" si="142"/>
        <v/>
      </c>
      <c r="K1803" t="str">
        <f>IF(OR($F1803="",$J1803="",$J1803="نامعتبر"),"",LEFT($J1803,4)&amp;MID($J1803,6,2)&amp;RIGHT($J1803,2)&amp;$N1803&amp;"|"&amp;"2"&amp;RIGHT("00000"&amp;1798,5))</f>
        <v/>
      </c>
      <c r="L1803" t="str">
        <f t="shared" si="143"/>
        <v/>
      </c>
      <c r="M1803" t="str">
        <f t="shared" si="144"/>
        <v/>
      </c>
      <c r="N1803" t="str">
        <f>IF($F1803="","",IF(Sync!$AF1803="","0000",IF(AND(ISNUMBER(Sync!$AF1803),Sync!$AF1803&gt;=0,Sync!$AF1803&lt;1),RIGHT("00"&amp;HOUR(Sync!$AF1803),2)&amp;RIGHT("00"&amp;MINUTE(Sync!$AF1803),2),IFERROR(RIGHT("00"&amp;VALUE(LEFT(Sync!$AF1803,FIND(":",Sync!$AF1803)-1)),2)&amp;RIGHT("00"&amp;VALUE(MID(Sync!$AF1803,FIND(":",Sync!$AF1803)+1,2)),2),"0000"))))</f>
        <v/>
      </c>
    </row>
    <row r="1804" spans="1:14" x14ac:dyDescent="0.2">
      <c r="A1804" t="str">
        <f>IF(OR(Calc!$E1808="",Calc!$E1808="نامعتبر",Calc!$G1808=""),"",Calc!$G1808)</f>
        <v/>
      </c>
      <c r="B1804" t="str">
        <f>IF($A1804="","",LEFT(Calc!$E1808,4)&amp;MID(Calc!$E1808,6,2)&amp;RIGHT(Calc!$E1808,2)&amp;Calc!$Q1808&amp;"|"&amp;"1"&amp;RIGHT("00000"&amp;1799,5))</f>
        <v/>
      </c>
      <c r="C1804" t="str">
        <f t="shared" si="140"/>
        <v/>
      </c>
      <c r="D1804" t="str">
        <f t="shared" si="141"/>
        <v/>
      </c>
      <c r="F1804" t="str">
        <f>IF(Sync!$AH1804="","",IF(LEFT(UPPER(TRIM(Sync!$AH1804)),2)="SL",UPPER(TRIM(Sync!$AH1804)),""))</f>
        <v/>
      </c>
      <c r="G1804" t="str">
        <f>IF($F1804="","",IF(Sync!$AE1804="","",IF(ISNUMBER(Sync!$AE1804),IF(AND(Sync!$AE1804&gt;=10000101,Sync!$AE1804&lt;=99991231),INT(Sync!$AE1804/10000),""),IFERROR(VALUE(TRIM(LEFT(Sync!$AE1804,FIND("/",Sync!$AE1804)-1))),""))))</f>
        <v/>
      </c>
      <c r="H1804" t="str">
        <f>IF(OR($F1804="",$G1804=""),"",IF(ISNUMBER(Sync!$AE1804),INT(MOD(Sync!$AE1804,10000)/100),IFERROR(VALUE(TRIM(LEFT(MID(Sync!$AE1804,FIND("/",Sync!$AE1804)+1,20),FIND("/",MID(Sync!$AE1804,FIND("/",Sync!$AE1804)+1,20))-1))),"")))</f>
        <v/>
      </c>
      <c r="I1804" t="str">
        <f>IF(OR($F1804="",$G1804=""),"",IF(ISNUMBER(Sync!$AE1804),MOD(Sync!$AE1804,100),IFERROR(VALUE(TRIM(MID(MID(Sync!$AE1804,FIND("/",Sync!$AE1804)+1,20),FIND("/",MID(Sync!$AE1804,FIND("/",Sync!$AE1804)+1,20))+1,20))),"")))</f>
        <v/>
      </c>
      <c r="J1804" t="str">
        <f t="shared" si="142"/>
        <v/>
      </c>
      <c r="K1804" t="str">
        <f>IF(OR($F1804="",$J1804="",$J1804="نامعتبر"),"",LEFT($J1804,4)&amp;MID($J1804,6,2)&amp;RIGHT($J1804,2)&amp;$N1804&amp;"|"&amp;"2"&amp;RIGHT("00000"&amp;1799,5))</f>
        <v/>
      </c>
      <c r="L1804" t="str">
        <f t="shared" si="143"/>
        <v/>
      </c>
      <c r="M1804" t="str">
        <f t="shared" si="144"/>
        <v/>
      </c>
      <c r="N1804" t="str">
        <f>IF($F1804="","",IF(Sync!$AF1804="","0000",IF(AND(ISNUMBER(Sync!$AF1804),Sync!$AF1804&gt;=0,Sync!$AF1804&lt;1),RIGHT("00"&amp;HOUR(Sync!$AF1804),2)&amp;RIGHT("00"&amp;MINUTE(Sync!$AF1804),2),IFERROR(RIGHT("00"&amp;VALUE(LEFT(Sync!$AF1804,FIND(":",Sync!$AF1804)-1)),2)&amp;RIGHT("00"&amp;VALUE(MID(Sync!$AF1804,FIND(":",Sync!$AF1804)+1,2)),2),"0000"))))</f>
        <v/>
      </c>
    </row>
    <row r="1805" spans="1:14" x14ac:dyDescent="0.2">
      <c r="A1805" t="str">
        <f>IF(OR(Calc!$E1809="",Calc!$E1809="نامعتبر",Calc!$G1809=""),"",Calc!$G1809)</f>
        <v/>
      </c>
      <c r="B1805" t="str">
        <f>IF($A1805="","",LEFT(Calc!$E1809,4)&amp;MID(Calc!$E1809,6,2)&amp;RIGHT(Calc!$E1809,2)&amp;Calc!$Q1809&amp;"|"&amp;"1"&amp;RIGHT("00000"&amp;1800,5))</f>
        <v/>
      </c>
      <c r="C1805" t="str">
        <f t="shared" si="140"/>
        <v/>
      </c>
      <c r="D1805" t="str">
        <f t="shared" si="141"/>
        <v/>
      </c>
      <c r="F1805" t="str">
        <f>IF(Sync!$AH1805="","",IF(LEFT(UPPER(TRIM(Sync!$AH1805)),2)="SL",UPPER(TRIM(Sync!$AH1805)),""))</f>
        <v/>
      </c>
      <c r="G1805" t="str">
        <f>IF($F1805="","",IF(Sync!$AE1805="","",IF(ISNUMBER(Sync!$AE1805),IF(AND(Sync!$AE1805&gt;=10000101,Sync!$AE1805&lt;=99991231),INT(Sync!$AE1805/10000),""),IFERROR(VALUE(TRIM(LEFT(Sync!$AE1805,FIND("/",Sync!$AE1805)-1))),""))))</f>
        <v/>
      </c>
      <c r="H1805" t="str">
        <f>IF(OR($F1805="",$G1805=""),"",IF(ISNUMBER(Sync!$AE1805),INT(MOD(Sync!$AE1805,10000)/100),IFERROR(VALUE(TRIM(LEFT(MID(Sync!$AE1805,FIND("/",Sync!$AE1805)+1,20),FIND("/",MID(Sync!$AE1805,FIND("/",Sync!$AE1805)+1,20))-1))),"")))</f>
        <v/>
      </c>
      <c r="I1805" t="str">
        <f>IF(OR($F1805="",$G1805=""),"",IF(ISNUMBER(Sync!$AE1805),MOD(Sync!$AE1805,100),IFERROR(VALUE(TRIM(MID(MID(Sync!$AE1805,FIND("/",Sync!$AE1805)+1,20),FIND("/",MID(Sync!$AE1805,FIND("/",Sync!$AE1805)+1,20))+1,20))),"")))</f>
        <v/>
      </c>
      <c r="J1805" t="str">
        <f t="shared" si="142"/>
        <v/>
      </c>
      <c r="K1805" t="str">
        <f>IF(OR($F1805="",$J1805="",$J1805="نامعتبر"),"",LEFT($J1805,4)&amp;MID($J1805,6,2)&amp;RIGHT($J1805,2)&amp;$N1805&amp;"|"&amp;"2"&amp;RIGHT("00000"&amp;1800,5))</f>
        <v/>
      </c>
      <c r="L1805" t="str">
        <f t="shared" si="143"/>
        <v/>
      </c>
      <c r="M1805" t="str">
        <f t="shared" si="144"/>
        <v/>
      </c>
      <c r="N1805" t="str">
        <f>IF($F1805="","",IF(Sync!$AF1805="","0000",IF(AND(ISNUMBER(Sync!$AF1805),Sync!$AF1805&gt;=0,Sync!$AF1805&lt;1),RIGHT("00"&amp;HOUR(Sync!$AF1805),2)&amp;RIGHT("00"&amp;MINUTE(Sync!$AF1805),2),IFERROR(RIGHT("00"&amp;VALUE(LEFT(Sync!$AF1805,FIND(":",Sync!$AF1805)-1)),2)&amp;RIGHT("00"&amp;VALUE(MID(Sync!$AF1805,FIND(":",Sync!$AF1805)+1,2)),2),"0000"))))</f>
        <v/>
      </c>
    </row>
    <row r="1806" spans="1:14" x14ac:dyDescent="0.2">
      <c r="A1806" t="str">
        <f>IF(OR(Calc!$E1810="",Calc!$E1810="نامعتبر",Calc!$G1810=""),"",Calc!$G1810)</f>
        <v/>
      </c>
      <c r="B1806" t="str">
        <f>IF($A1806="","",LEFT(Calc!$E1810,4)&amp;MID(Calc!$E1810,6,2)&amp;RIGHT(Calc!$E1810,2)&amp;Calc!$Q1810&amp;"|"&amp;"1"&amp;RIGHT("00000"&amp;1801,5))</f>
        <v/>
      </c>
      <c r="C1806" t="str">
        <f t="shared" si="140"/>
        <v/>
      </c>
      <c r="D1806" t="str">
        <f t="shared" si="141"/>
        <v/>
      </c>
      <c r="F1806" t="str">
        <f>IF(Sync!$AH1806="","",IF(LEFT(UPPER(TRIM(Sync!$AH1806)),2)="SL",UPPER(TRIM(Sync!$AH1806)),""))</f>
        <v/>
      </c>
      <c r="G1806" t="str">
        <f>IF($F1806="","",IF(Sync!$AE1806="","",IF(ISNUMBER(Sync!$AE1806),IF(AND(Sync!$AE1806&gt;=10000101,Sync!$AE1806&lt;=99991231),INT(Sync!$AE1806/10000),""),IFERROR(VALUE(TRIM(LEFT(Sync!$AE1806,FIND("/",Sync!$AE1806)-1))),""))))</f>
        <v/>
      </c>
      <c r="H1806" t="str">
        <f>IF(OR($F1806="",$G1806=""),"",IF(ISNUMBER(Sync!$AE1806),INT(MOD(Sync!$AE1806,10000)/100),IFERROR(VALUE(TRIM(LEFT(MID(Sync!$AE1806,FIND("/",Sync!$AE1806)+1,20),FIND("/",MID(Sync!$AE1806,FIND("/",Sync!$AE1806)+1,20))-1))),"")))</f>
        <v/>
      </c>
      <c r="I1806" t="str">
        <f>IF(OR($F1806="",$G1806=""),"",IF(ISNUMBER(Sync!$AE1806),MOD(Sync!$AE1806,100),IFERROR(VALUE(TRIM(MID(MID(Sync!$AE1806,FIND("/",Sync!$AE1806)+1,20),FIND("/",MID(Sync!$AE1806,FIND("/",Sync!$AE1806)+1,20))+1,20))),"")))</f>
        <v/>
      </c>
      <c r="J1806" t="str">
        <f t="shared" si="142"/>
        <v/>
      </c>
      <c r="K1806" t="str">
        <f>IF(OR($F1806="",$J1806="",$J1806="نامعتبر"),"",LEFT($J1806,4)&amp;MID($J1806,6,2)&amp;RIGHT($J1806,2)&amp;$N1806&amp;"|"&amp;"2"&amp;RIGHT("00000"&amp;1801,5))</f>
        <v/>
      </c>
      <c r="L1806" t="str">
        <f t="shared" si="143"/>
        <v/>
      </c>
      <c r="M1806" t="str">
        <f t="shared" si="144"/>
        <v/>
      </c>
      <c r="N1806" t="str">
        <f>IF($F1806="","",IF(Sync!$AF1806="","0000",IF(AND(ISNUMBER(Sync!$AF1806),Sync!$AF1806&gt;=0,Sync!$AF1806&lt;1),RIGHT("00"&amp;HOUR(Sync!$AF1806),2)&amp;RIGHT("00"&amp;MINUTE(Sync!$AF1806),2),IFERROR(RIGHT("00"&amp;VALUE(LEFT(Sync!$AF1806,FIND(":",Sync!$AF1806)-1)),2)&amp;RIGHT("00"&amp;VALUE(MID(Sync!$AF1806,FIND(":",Sync!$AF1806)+1,2)),2),"0000"))))</f>
        <v/>
      </c>
    </row>
    <row r="1807" spans="1:14" x14ac:dyDescent="0.2">
      <c r="A1807" t="str">
        <f>IF(OR(Calc!$E1811="",Calc!$E1811="نامعتبر",Calc!$G1811=""),"",Calc!$G1811)</f>
        <v/>
      </c>
      <c r="B1807" t="str">
        <f>IF($A1807="","",LEFT(Calc!$E1811,4)&amp;MID(Calc!$E1811,6,2)&amp;RIGHT(Calc!$E1811,2)&amp;Calc!$Q1811&amp;"|"&amp;"1"&amp;RIGHT("00000"&amp;1802,5))</f>
        <v/>
      </c>
      <c r="C1807" t="str">
        <f t="shared" si="140"/>
        <v/>
      </c>
      <c r="D1807" t="str">
        <f t="shared" si="141"/>
        <v/>
      </c>
      <c r="F1807" t="str">
        <f>IF(Sync!$AH1807="","",IF(LEFT(UPPER(TRIM(Sync!$AH1807)),2)="SL",UPPER(TRIM(Sync!$AH1807)),""))</f>
        <v/>
      </c>
      <c r="G1807" t="str">
        <f>IF($F1807="","",IF(Sync!$AE1807="","",IF(ISNUMBER(Sync!$AE1807),IF(AND(Sync!$AE1807&gt;=10000101,Sync!$AE1807&lt;=99991231),INT(Sync!$AE1807/10000),""),IFERROR(VALUE(TRIM(LEFT(Sync!$AE1807,FIND("/",Sync!$AE1807)-1))),""))))</f>
        <v/>
      </c>
      <c r="H1807" t="str">
        <f>IF(OR($F1807="",$G1807=""),"",IF(ISNUMBER(Sync!$AE1807),INT(MOD(Sync!$AE1807,10000)/100),IFERROR(VALUE(TRIM(LEFT(MID(Sync!$AE1807,FIND("/",Sync!$AE1807)+1,20),FIND("/",MID(Sync!$AE1807,FIND("/",Sync!$AE1807)+1,20))-1))),"")))</f>
        <v/>
      </c>
      <c r="I1807" t="str">
        <f>IF(OR($F1807="",$G1807=""),"",IF(ISNUMBER(Sync!$AE1807),MOD(Sync!$AE1807,100),IFERROR(VALUE(TRIM(MID(MID(Sync!$AE1807,FIND("/",Sync!$AE1807)+1,20),FIND("/",MID(Sync!$AE1807,FIND("/",Sync!$AE1807)+1,20))+1,20))),"")))</f>
        <v/>
      </c>
      <c r="J1807" t="str">
        <f t="shared" si="142"/>
        <v/>
      </c>
      <c r="K1807" t="str">
        <f>IF(OR($F1807="",$J1807="",$J1807="نامعتبر"),"",LEFT($J1807,4)&amp;MID($J1807,6,2)&amp;RIGHT($J1807,2)&amp;$N1807&amp;"|"&amp;"2"&amp;RIGHT("00000"&amp;1802,5))</f>
        <v/>
      </c>
      <c r="L1807" t="str">
        <f t="shared" si="143"/>
        <v/>
      </c>
      <c r="M1807" t="str">
        <f t="shared" si="144"/>
        <v/>
      </c>
      <c r="N1807" t="str">
        <f>IF($F1807="","",IF(Sync!$AF1807="","0000",IF(AND(ISNUMBER(Sync!$AF1807),Sync!$AF1807&gt;=0,Sync!$AF1807&lt;1),RIGHT("00"&amp;HOUR(Sync!$AF1807),2)&amp;RIGHT("00"&amp;MINUTE(Sync!$AF1807),2),IFERROR(RIGHT("00"&amp;VALUE(LEFT(Sync!$AF1807,FIND(":",Sync!$AF1807)-1)),2)&amp;RIGHT("00"&amp;VALUE(MID(Sync!$AF1807,FIND(":",Sync!$AF1807)+1,2)),2),"0000"))))</f>
        <v/>
      </c>
    </row>
    <row r="1808" spans="1:14" x14ac:dyDescent="0.2">
      <c r="A1808" t="str">
        <f>IF(OR(Calc!$E1812="",Calc!$E1812="نامعتبر",Calc!$G1812=""),"",Calc!$G1812)</f>
        <v/>
      </c>
      <c r="B1808" t="str">
        <f>IF($A1808="","",LEFT(Calc!$E1812,4)&amp;MID(Calc!$E1812,6,2)&amp;RIGHT(Calc!$E1812,2)&amp;Calc!$Q1812&amp;"|"&amp;"1"&amp;RIGHT("00000"&amp;1803,5))</f>
        <v/>
      </c>
      <c r="C1808" t="str">
        <f t="shared" si="140"/>
        <v/>
      </c>
      <c r="D1808" t="str">
        <f t="shared" si="141"/>
        <v/>
      </c>
      <c r="F1808" t="str">
        <f>IF(Sync!$AH1808="","",IF(LEFT(UPPER(TRIM(Sync!$AH1808)),2)="SL",UPPER(TRIM(Sync!$AH1808)),""))</f>
        <v/>
      </c>
      <c r="G1808" t="str">
        <f>IF($F1808="","",IF(Sync!$AE1808="","",IF(ISNUMBER(Sync!$AE1808),IF(AND(Sync!$AE1808&gt;=10000101,Sync!$AE1808&lt;=99991231),INT(Sync!$AE1808/10000),""),IFERROR(VALUE(TRIM(LEFT(Sync!$AE1808,FIND("/",Sync!$AE1808)-1))),""))))</f>
        <v/>
      </c>
      <c r="H1808" t="str">
        <f>IF(OR($F1808="",$G1808=""),"",IF(ISNUMBER(Sync!$AE1808),INT(MOD(Sync!$AE1808,10000)/100),IFERROR(VALUE(TRIM(LEFT(MID(Sync!$AE1808,FIND("/",Sync!$AE1808)+1,20),FIND("/",MID(Sync!$AE1808,FIND("/",Sync!$AE1808)+1,20))-1))),"")))</f>
        <v/>
      </c>
      <c r="I1808" t="str">
        <f>IF(OR($F1808="",$G1808=""),"",IF(ISNUMBER(Sync!$AE1808),MOD(Sync!$AE1808,100),IFERROR(VALUE(TRIM(MID(MID(Sync!$AE1808,FIND("/",Sync!$AE1808)+1,20),FIND("/",MID(Sync!$AE1808,FIND("/",Sync!$AE1808)+1,20))+1,20))),"")))</f>
        <v/>
      </c>
      <c r="J1808" t="str">
        <f t="shared" si="142"/>
        <v/>
      </c>
      <c r="K1808" t="str">
        <f>IF(OR($F1808="",$J1808="",$J1808="نامعتبر"),"",LEFT($J1808,4)&amp;MID($J1808,6,2)&amp;RIGHT($J1808,2)&amp;$N1808&amp;"|"&amp;"2"&amp;RIGHT("00000"&amp;1803,5))</f>
        <v/>
      </c>
      <c r="L1808" t="str">
        <f t="shared" si="143"/>
        <v/>
      </c>
      <c r="M1808" t="str">
        <f t="shared" si="144"/>
        <v/>
      </c>
      <c r="N1808" t="str">
        <f>IF($F1808="","",IF(Sync!$AF1808="","0000",IF(AND(ISNUMBER(Sync!$AF1808),Sync!$AF1808&gt;=0,Sync!$AF1808&lt;1),RIGHT("00"&amp;HOUR(Sync!$AF1808),2)&amp;RIGHT("00"&amp;MINUTE(Sync!$AF1808),2),IFERROR(RIGHT("00"&amp;VALUE(LEFT(Sync!$AF1808,FIND(":",Sync!$AF1808)-1)),2)&amp;RIGHT("00"&amp;VALUE(MID(Sync!$AF1808,FIND(":",Sync!$AF1808)+1,2)),2),"0000"))))</f>
        <v/>
      </c>
    </row>
    <row r="1809" spans="1:14" x14ac:dyDescent="0.2">
      <c r="A1809" t="str">
        <f>IF(OR(Calc!$E1813="",Calc!$E1813="نامعتبر",Calc!$G1813=""),"",Calc!$G1813)</f>
        <v/>
      </c>
      <c r="B1809" t="str">
        <f>IF($A1809="","",LEFT(Calc!$E1813,4)&amp;MID(Calc!$E1813,6,2)&amp;RIGHT(Calc!$E1813,2)&amp;Calc!$Q1813&amp;"|"&amp;"1"&amp;RIGHT("00000"&amp;1804,5))</f>
        <v/>
      </c>
      <c r="C1809" t="str">
        <f t="shared" si="140"/>
        <v/>
      </c>
      <c r="D1809" t="str">
        <f t="shared" si="141"/>
        <v/>
      </c>
      <c r="F1809" t="str">
        <f>IF(Sync!$AH1809="","",IF(LEFT(UPPER(TRIM(Sync!$AH1809)),2)="SL",UPPER(TRIM(Sync!$AH1809)),""))</f>
        <v/>
      </c>
      <c r="G1809" t="str">
        <f>IF($F1809="","",IF(Sync!$AE1809="","",IF(ISNUMBER(Sync!$AE1809),IF(AND(Sync!$AE1809&gt;=10000101,Sync!$AE1809&lt;=99991231),INT(Sync!$AE1809/10000),""),IFERROR(VALUE(TRIM(LEFT(Sync!$AE1809,FIND("/",Sync!$AE1809)-1))),""))))</f>
        <v/>
      </c>
      <c r="H1809" t="str">
        <f>IF(OR($F1809="",$G1809=""),"",IF(ISNUMBER(Sync!$AE1809),INT(MOD(Sync!$AE1809,10000)/100),IFERROR(VALUE(TRIM(LEFT(MID(Sync!$AE1809,FIND("/",Sync!$AE1809)+1,20),FIND("/",MID(Sync!$AE1809,FIND("/",Sync!$AE1809)+1,20))-1))),"")))</f>
        <v/>
      </c>
      <c r="I1809" t="str">
        <f>IF(OR($F1809="",$G1809=""),"",IF(ISNUMBER(Sync!$AE1809),MOD(Sync!$AE1809,100),IFERROR(VALUE(TRIM(MID(MID(Sync!$AE1809,FIND("/",Sync!$AE1809)+1,20),FIND("/",MID(Sync!$AE1809,FIND("/",Sync!$AE1809)+1,20))+1,20))),"")))</f>
        <v/>
      </c>
      <c r="J1809" t="str">
        <f t="shared" si="142"/>
        <v/>
      </c>
      <c r="K1809" t="str">
        <f>IF(OR($F1809="",$J1809="",$J1809="نامعتبر"),"",LEFT($J1809,4)&amp;MID($J1809,6,2)&amp;RIGHT($J1809,2)&amp;$N1809&amp;"|"&amp;"2"&amp;RIGHT("00000"&amp;1804,5))</f>
        <v/>
      </c>
      <c r="L1809" t="str">
        <f t="shared" si="143"/>
        <v/>
      </c>
      <c r="M1809" t="str">
        <f t="shared" si="144"/>
        <v/>
      </c>
      <c r="N1809" t="str">
        <f>IF($F1809="","",IF(Sync!$AF1809="","0000",IF(AND(ISNUMBER(Sync!$AF1809),Sync!$AF1809&gt;=0,Sync!$AF1809&lt;1),RIGHT("00"&amp;HOUR(Sync!$AF1809),2)&amp;RIGHT("00"&amp;MINUTE(Sync!$AF1809),2),IFERROR(RIGHT("00"&amp;VALUE(LEFT(Sync!$AF1809,FIND(":",Sync!$AF1809)-1)),2)&amp;RIGHT("00"&amp;VALUE(MID(Sync!$AF1809,FIND(":",Sync!$AF1809)+1,2)),2),"0000"))))</f>
        <v/>
      </c>
    </row>
    <row r="1810" spans="1:14" x14ac:dyDescent="0.2">
      <c r="A1810" t="str">
        <f>IF(OR(Calc!$E1814="",Calc!$E1814="نامعتبر",Calc!$G1814=""),"",Calc!$G1814)</f>
        <v/>
      </c>
      <c r="B1810" t="str">
        <f>IF($A1810="","",LEFT(Calc!$E1814,4)&amp;MID(Calc!$E1814,6,2)&amp;RIGHT(Calc!$E1814,2)&amp;Calc!$Q1814&amp;"|"&amp;"1"&amp;RIGHT("00000"&amp;1805,5))</f>
        <v/>
      </c>
      <c r="C1810" t="str">
        <f t="shared" si="140"/>
        <v/>
      </c>
      <c r="D1810" t="str">
        <f t="shared" si="141"/>
        <v/>
      </c>
      <c r="F1810" t="str">
        <f>IF(Sync!$AH1810="","",IF(LEFT(UPPER(TRIM(Sync!$AH1810)),2)="SL",UPPER(TRIM(Sync!$AH1810)),""))</f>
        <v/>
      </c>
      <c r="G1810" t="str">
        <f>IF($F1810="","",IF(Sync!$AE1810="","",IF(ISNUMBER(Sync!$AE1810),IF(AND(Sync!$AE1810&gt;=10000101,Sync!$AE1810&lt;=99991231),INT(Sync!$AE1810/10000),""),IFERROR(VALUE(TRIM(LEFT(Sync!$AE1810,FIND("/",Sync!$AE1810)-1))),""))))</f>
        <v/>
      </c>
      <c r="H1810" t="str">
        <f>IF(OR($F1810="",$G1810=""),"",IF(ISNUMBER(Sync!$AE1810),INT(MOD(Sync!$AE1810,10000)/100),IFERROR(VALUE(TRIM(LEFT(MID(Sync!$AE1810,FIND("/",Sync!$AE1810)+1,20),FIND("/",MID(Sync!$AE1810,FIND("/",Sync!$AE1810)+1,20))-1))),"")))</f>
        <v/>
      </c>
      <c r="I1810" t="str">
        <f>IF(OR($F1810="",$G1810=""),"",IF(ISNUMBER(Sync!$AE1810),MOD(Sync!$AE1810,100),IFERROR(VALUE(TRIM(MID(MID(Sync!$AE1810,FIND("/",Sync!$AE1810)+1,20),FIND("/",MID(Sync!$AE1810,FIND("/",Sync!$AE1810)+1,20))+1,20))),"")))</f>
        <v/>
      </c>
      <c r="J1810" t="str">
        <f t="shared" si="142"/>
        <v/>
      </c>
      <c r="K1810" t="str">
        <f>IF(OR($F1810="",$J1810="",$J1810="نامعتبر"),"",LEFT($J1810,4)&amp;MID($J1810,6,2)&amp;RIGHT($J1810,2)&amp;$N1810&amp;"|"&amp;"2"&amp;RIGHT("00000"&amp;1805,5))</f>
        <v/>
      </c>
      <c r="L1810" t="str">
        <f t="shared" si="143"/>
        <v/>
      </c>
      <c r="M1810" t="str">
        <f t="shared" si="144"/>
        <v/>
      </c>
      <c r="N1810" t="str">
        <f>IF($F1810="","",IF(Sync!$AF1810="","0000",IF(AND(ISNUMBER(Sync!$AF1810),Sync!$AF1810&gt;=0,Sync!$AF1810&lt;1),RIGHT("00"&amp;HOUR(Sync!$AF1810),2)&amp;RIGHT("00"&amp;MINUTE(Sync!$AF1810),2),IFERROR(RIGHT("00"&amp;VALUE(LEFT(Sync!$AF1810,FIND(":",Sync!$AF1810)-1)),2)&amp;RIGHT("00"&amp;VALUE(MID(Sync!$AF1810,FIND(":",Sync!$AF1810)+1,2)),2),"0000"))))</f>
        <v/>
      </c>
    </row>
    <row r="1811" spans="1:14" x14ac:dyDescent="0.2">
      <c r="A1811" t="str">
        <f>IF(OR(Calc!$E1815="",Calc!$E1815="نامعتبر",Calc!$G1815=""),"",Calc!$G1815)</f>
        <v/>
      </c>
      <c r="B1811" t="str">
        <f>IF($A1811="","",LEFT(Calc!$E1815,4)&amp;MID(Calc!$E1815,6,2)&amp;RIGHT(Calc!$E1815,2)&amp;Calc!$Q1815&amp;"|"&amp;"1"&amp;RIGHT("00000"&amp;1806,5))</f>
        <v/>
      </c>
      <c r="C1811" t="str">
        <f t="shared" si="140"/>
        <v/>
      </c>
      <c r="D1811" t="str">
        <f t="shared" si="141"/>
        <v/>
      </c>
      <c r="F1811" t="str">
        <f>IF(Sync!$AH1811="","",IF(LEFT(UPPER(TRIM(Sync!$AH1811)),2)="SL",UPPER(TRIM(Sync!$AH1811)),""))</f>
        <v/>
      </c>
      <c r="G1811" t="str">
        <f>IF($F1811="","",IF(Sync!$AE1811="","",IF(ISNUMBER(Sync!$AE1811),IF(AND(Sync!$AE1811&gt;=10000101,Sync!$AE1811&lt;=99991231),INT(Sync!$AE1811/10000),""),IFERROR(VALUE(TRIM(LEFT(Sync!$AE1811,FIND("/",Sync!$AE1811)-1))),""))))</f>
        <v/>
      </c>
      <c r="H1811" t="str">
        <f>IF(OR($F1811="",$G1811=""),"",IF(ISNUMBER(Sync!$AE1811),INT(MOD(Sync!$AE1811,10000)/100),IFERROR(VALUE(TRIM(LEFT(MID(Sync!$AE1811,FIND("/",Sync!$AE1811)+1,20),FIND("/",MID(Sync!$AE1811,FIND("/",Sync!$AE1811)+1,20))-1))),"")))</f>
        <v/>
      </c>
      <c r="I1811" t="str">
        <f>IF(OR($F1811="",$G1811=""),"",IF(ISNUMBER(Sync!$AE1811),MOD(Sync!$AE1811,100),IFERROR(VALUE(TRIM(MID(MID(Sync!$AE1811,FIND("/",Sync!$AE1811)+1,20),FIND("/",MID(Sync!$AE1811,FIND("/",Sync!$AE1811)+1,20))+1,20))),"")))</f>
        <v/>
      </c>
      <c r="J1811" t="str">
        <f t="shared" si="142"/>
        <v/>
      </c>
      <c r="K1811" t="str">
        <f>IF(OR($F1811="",$J1811="",$J1811="نامعتبر"),"",LEFT($J1811,4)&amp;MID($J1811,6,2)&amp;RIGHT($J1811,2)&amp;$N1811&amp;"|"&amp;"2"&amp;RIGHT("00000"&amp;1806,5))</f>
        <v/>
      </c>
      <c r="L1811" t="str">
        <f t="shared" si="143"/>
        <v/>
      </c>
      <c r="M1811" t="str">
        <f t="shared" si="144"/>
        <v/>
      </c>
      <c r="N1811" t="str">
        <f>IF($F1811="","",IF(Sync!$AF1811="","0000",IF(AND(ISNUMBER(Sync!$AF1811),Sync!$AF1811&gt;=0,Sync!$AF1811&lt;1),RIGHT("00"&amp;HOUR(Sync!$AF1811),2)&amp;RIGHT("00"&amp;MINUTE(Sync!$AF1811),2),IFERROR(RIGHT("00"&amp;VALUE(LEFT(Sync!$AF1811,FIND(":",Sync!$AF1811)-1)),2)&amp;RIGHT("00"&amp;VALUE(MID(Sync!$AF1811,FIND(":",Sync!$AF1811)+1,2)),2),"0000"))))</f>
        <v/>
      </c>
    </row>
    <row r="1812" spans="1:14" x14ac:dyDescent="0.2">
      <c r="A1812" t="str">
        <f>IF(OR(Calc!$E1816="",Calc!$E1816="نامعتبر",Calc!$G1816=""),"",Calc!$G1816)</f>
        <v/>
      </c>
      <c r="B1812" t="str">
        <f>IF($A1812="","",LEFT(Calc!$E1816,4)&amp;MID(Calc!$E1816,6,2)&amp;RIGHT(Calc!$E1816,2)&amp;Calc!$Q1816&amp;"|"&amp;"1"&amp;RIGHT("00000"&amp;1807,5))</f>
        <v/>
      </c>
      <c r="C1812" t="str">
        <f t="shared" si="140"/>
        <v/>
      </c>
      <c r="D1812" t="str">
        <f t="shared" si="141"/>
        <v/>
      </c>
      <c r="F1812" t="str">
        <f>IF(Sync!$AH1812="","",IF(LEFT(UPPER(TRIM(Sync!$AH1812)),2)="SL",UPPER(TRIM(Sync!$AH1812)),""))</f>
        <v/>
      </c>
      <c r="G1812" t="str">
        <f>IF($F1812="","",IF(Sync!$AE1812="","",IF(ISNUMBER(Sync!$AE1812),IF(AND(Sync!$AE1812&gt;=10000101,Sync!$AE1812&lt;=99991231),INT(Sync!$AE1812/10000),""),IFERROR(VALUE(TRIM(LEFT(Sync!$AE1812,FIND("/",Sync!$AE1812)-1))),""))))</f>
        <v/>
      </c>
      <c r="H1812" t="str">
        <f>IF(OR($F1812="",$G1812=""),"",IF(ISNUMBER(Sync!$AE1812),INT(MOD(Sync!$AE1812,10000)/100),IFERROR(VALUE(TRIM(LEFT(MID(Sync!$AE1812,FIND("/",Sync!$AE1812)+1,20),FIND("/",MID(Sync!$AE1812,FIND("/",Sync!$AE1812)+1,20))-1))),"")))</f>
        <v/>
      </c>
      <c r="I1812" t="str">
        <f>IF(OR($F1812="",$G1812=""),"",IF(ISNUMBER(Sync!$AE1812),MOD(Sync!$AE1812,100),IFERROR(VALUE(TRIM(MID(MID(Sync!$AE1812,FIND("/",Sync!$AE1812)+1,20),FIND("/",MID(Sync!$AE1812,FIND("/",Sync!$AE1812)+1,20))+1,20))),"")))</f>
        <v/>
      </c>
      <c r="J1812" t="str">
        <f t="shared" si="142"/>
        <v/>
      </c>
      <c r="K1812" t="str">
        <f>IF(OR($F1812="",$J1812="",$J1812="نامعتبر"),"",LEFT($J1812,4)&amp;MID($J1812,6,2)&amp;RIGHT($J1812,2)&amp;$N1812&amp;"|"&amp;"2"&amp;RIGHT("00000"&amp;1807,5))</f>
        <v/>
      </c>
      <c r="L1812" t="str">
        <f t="shared" si="143"/>
        <v/>
      </c>
      <c r="M1812" t="str">
        <f t="shared" si="144"/>
        <v/>
      </c>
      <c r="N1812" t="str">
        <f>IF($F1812="","",IF(Sync!$AF1812="","0000",IF(AND(ISNUMBER(Sync!$AF1812),Sync!$AF1812&gt;=0,Sync!$AF1812&lt;1),RIGHT("00"&amp;HOUR(Sync!$AF1812),2)&amp;RIGHT("00"&amp;MINUTE(Sync!$AF1812),2),IFERROR(RIGHT("00"&amp;VALUE(LEFT(Sync!$AF1812,FIND(":",Sync!$AF1812)-1)),2)&amp;RIGHT("00"&amp;VALUE(MID(Sync!$AF1812,FIND(":",Sync!$AF1812)+1,2)),2),"0000"))))</f>
        <v/>
      </c>
    </row>
    <row r="1813" spans="1:14" x14ac:dyDescent="0.2">
      <c r="A1813" t="str">
        <f>IF(OR(Calc!$E1817="",Calc!$E1817="نامعتبر",Calc!$G1817=""),"",Calc!$G1817)</f>
        <v/>
      </c>
      <c r="B1813" t="str">
        <f>IF($A1813="","",LEFT(Calc!$E1817,4)&amp;MID(Calc!$E1817,6,2)&amp;RIGHT(Calc!$E1817,2)&amp;Calc!$Q1817&amp;"|"&amp;"1"&amp;RIGHT("00000"&amp;1808,5))</f>
        <v/>
      </c>
      <c r="C1813" t="str">
        <f t="shared" si="140"/>
        <v/>
      </c>
      <c r="D1813" t="str">
        <f t="shared" si="141"/>
        <v/>
      </c>
      <c r="F1813" t="str">
        <f>IF(Sync!$AH1813="","",IF(LEFT(UPPER(TRIM(Sync!$AH1813)),2)="SL",UPPER(TRIM(Sync!$AH1813)),""))</f>
        <v/>
      </c>
      <c r="G1813" t="str">
        <f>IF($F1813="","",IF(Sync!$AE1813="","",IF(ISNUMBER(Sync!$AE1813),IF(AND(Sync!$AE1813&gt;=10000101,Sync!$AE1813&lt;=99991231),INT(Sync!$AE1813/10000),""),IFERROR(VALUE(TRIM(LEFT(Sync!$AE1813,FIND("/",Sync!$AE1813)-1))),""))))</f>
        <v/>
      </c>
      <c r="H1813" t="str">
        <f>IF(OR($F1813="",$G1813=""),"",IF(ISNUMBER(Sync!$AE1813),INT(MOD(Sync!$AE1813,10000)/100),IFERROR(VALUE(TRIM(LEFT(MID(Sync!$AE1813,FIND("/",Sync!$AE1813)+1,20),FIND("/",MID(Sync!$AE1813,FIND("/",Sync!$AE1813)+1,20))-1))),"")))</f>
        <v/>
      </c>
      <c r="I1813" t="str">
        <f>IF(OR($F1813="",$G1813=""),"",IF(ISNUMBER(Sync!$AE1813),MOD(Sync!$AE1813,100),IFERROR(VALUE(TRIM(MID(MID(Sync!$AE1813,FIND("/",Sync!$AE1813)+1,20),FIND("/",MID(Sync!$AE1813,FIND("/",Sync!$AE1813)+1,20))+1,20))),"")))</f>
        <v/>
      </c>
      <c r="J1813" t="str">
        <f t="shared" si="142"/>
        <v/>
      </c>
      <c r="K1813" t="str">
        <f>IF(OR($F1813="",$J1813="",$J1813="نامعتبر"),"",LEFT($J1813,4)&amp;MID($J1813,6,2)&amp;RIGHT($J1813,2)&amp;$N1813&amp;"|"&amp;"2"&amp;RIGHT("00000"&amp;1808,5))</f>
        <v/>
      </c>
      <c r="L1813" t="str">
        <f t="shared" si="143"/>
        <v/>
      </c>
      <c r="M1813" t="str">
        <f t="shared" si="144"/>
        <v/>
      </c>
      <c r="N1813" t="str">
        <f>IF($F1813="","",IF(Sync!$AF1813="","0000",IF(AND(ISNUMBER(Sync!$AF1813),Sync!$AF1813&gt;=0,Sync!$AF1813&lt;1),RIGHT("00"&amp;HOUR(Sync!$AF1813),2)&amp;RIGHT("00"&amp;MINUTE(Sync!$AF1813),2),IFERROR(RIGHT("00"&amp;VALUE(LEFT(Sync!$AF1813,FIND(":",Sync!$AF1813)-1)),2)&amp;RIGHT("00"&amp;VALUE(MID(Sync!$AF1813,FIND(":",Sync!$AF1813)+1,2)),2),"0000"))))</f>
        <v/>
      </c>
    </row>
    <row r="1814" spans="1:14" x14ac:dyDescent="0.2">
      <c r="A1814" t="str">
        <f>IF(OR(Calc!$E1818="",Calc!$E1818="نامعتبر",Calc!$G1818=""),"",Calc!$G1818)</f>
        <v/>
      </c>
      <c r="B1814" t="str">
        <f>IF($A1814="","",LEFT(Calc!$E1818,4)&amp;MID(Calc!$E1818,6,2)&amp;RIGHT(Calc!$E1818,2)&amp;Calc!$Q1818&amp;"|"&amp;"1"&amp;RIGHT("00000"&amp;1809,5))</f>
        <v/>
      </c>
      <c r="C1814" t="str">
        <f t="shared" si="140"/>
        <v/>
      </c>
      <c r="D1814" t="str">
        <f t="shared" si="141"/>
        <v/>
      </c>
      <c r="F1814" t="str">
        <f>IF(Sync!$AH1814="","",IF(LEFT(UPPER(TRIM(Sync!$AH1814)),2)="SL",UPPER(TRIM(Sync!$AH1814)),""))</f>
        <v/>
      </c>
      <c r="G1814" t="str">
        <f>IF($F1814="","",IF(Sync!$AE1814="","",IF(ISNUMBER(Sync!$AE1814),IF(AND(Sync!$AE1814&gt;=10000101,Sync!$AE1814&lt;=99991231),INT(Sync!$AE1814/10000),""),IFERROR(VALUE(TRIM(LEFT(Sync!$AE1814,FIND("/",Sync!$AE1814)-1))),""))))</f>
        <v/>
      </c>
      <c r="H1814" t="str">
        <f>IF(OR($F1814="",$G1814=""),"",IF(ISNUMBER(Sync!$AE1814),INT(MOD(Sync!$AE1814,10000)/100),IFERROR(VALUE(TRIM(LEFT(MID(Sync!$AE1814,FIND("/",Sync!$AE1814)+1,20),FIND("/",MID(Sync!$AE1814,FIND("/",Sync!$AE1814)+1,20))-1))),"")))</f>
        <v/>
      </c>
      <c r="I1814" t="str">
        <f>IF(OR($F1814="",$G1814=""),"",IF(ISNUMBER(Sync!$AE1814),MOD(Sync!$AE1814,100),IFERROR(VALUE(TRIM(MID(MID(Sync!$AE1814,FIND("/",Sync!$AE1814)+1,20),FIND("/",MID(Sync!$AE1814,FIND("/",Sync!$AE1814)+1,20))+1,20))),"")))</f>
        <v/>
      </c>
      <c r="J1814" t="str">
        <f t="shared" si="142"/>
        <v/>
      </c>
      <c r="K1814" t="str">
        <f>IF(OR($F1814="",$J1814="",$J1814="نامعتبر"),"",LEFT($J1814,4)&amp;MID($J1814,6,2)&amp;RIGHT($J1814,2)&amp;$N1814&amp;"|"&amp;"2"&amp;RIGHT("00000"&amp;1809,5))</f>
        <v/>
      </c>
      <c r="L1814" t="str">
        <f t="shared" si="143"/>
        <v/>
      </c>
      <c r="M1814" t="str">
        <f t="shared" si="144"/>
        <v/>
      </c>
      <c r="N1814" t="str">
        <f>IF($F1814="","",IF(Sync!$AF1814="","0000",IF(AND(ISNUMBER(Sync!$AF1814),Sync!$AF1814&gt;=0,Sync!$AF1814&lt;1),RIGHT("00"&amp;HOUR(Sync!$AF1814),2)&amp;RIGHT("00"&amp;MINUTE(Sync!$AF1814),2),IFERROR(RIGHT("00"&amp;VALUE(LEFT(Sync!$AF1814,FIND(":",Sync!$AF1814)-1)),2)&amp;RIGHT("00"&amp;VALUE(MID(Sync!$AF1814,FIND(":",Sync!$AF1814)+1,2)),2),"0000"))))</f>
        <v/>
      </c>
    </row>
    <row r="1815" spans="1:14" x14ac:dyDescent="0.2">
      <c r="A1815" t="str">
        <f>IF(OR(Calc!$E1819="",Calc!$E1819="نامعتبر",Calc!$G1819=""),"",Calc!$G1819)</f>
        <v/>
      </c>
      <c r="B1815" t="str">
        <f>IF($A1815="","",LEFT(Calc!$E1819,4)&amp;MID(Calc!$E1819,6,2)&amp;RIGHT(Calc!$E1819,2)&amp;Calc!$Q1819&amp;"|"&amp;"1"&amp;RIGHT("00000"&amp;1810,5))</f>
        <v/>
      </c>
      <c r="C1815" t="str">
        <f t="shared" si="140"/>
        <v/>
      </c>
      <c r="D1815" t="str">
        <f t="shared" si="141"/>
        <v/>
      </c>
      <c r="F1815" t="str">
        <f>IF(Sync!$AH1815="","",IF(LEFT(UPPER(TRIM(Sync!$AH1815)),2)="SL",UPPER(TRIM(Sync!$AH1815)),""))</f>
        <v/>
      </c>
      <c r="G1815" t="str">
        <f>IF($F1815="","",IF(Sync!$AE1815="","",IF(ISNUMBER(Sync!$AE1815),IF(AND(Sync!$AE1815&gt;=10000101,Sync!$AE1815&lt;=99991231),INT(Sync!$AE1815/10000),""),IFERROR(VALUE(TRIM(LEFT(Sync!$AE1815,FIND("/",Sync!$AE1815)-1))),""))))</f>
        <v/>
      </c>
      <c r="H1815" t="str">
        <f>IF(OR($F1815="",$G1815=""),"",IF(ISNUMBER(Sync!$AE1815),INT(MOD(Sync!$AE1815,10000)/100),IFERROR(VALUE(TRIM(LEFT(MID(Sync!$AE1815,FIND("/",Sync!$AE1815)+1,20),FIND("/",MID(Sync!$AE1815,FIND("/",Sync!$AE1815)+1,20))-1))),"")))</f>
        <v/>
      </c>
      <c r="I1815" t="str">
        <f>IF(OR($F1815="",$G1815=""),"",IF(ISNUMBER(Sync!$AE1815),MOD(Sync!$AE1815,100),IFERROR(VALUE(TRIM(MID(MID(Sync!$AE1815,FIND("/",Sync!$AE1815)+1,20),FIND("/",MID(Sync!$AE1815,FIND("/",Sync!$AE1815)+1,20))+1,20))),"")))</f>
        <v/>
      </c>
      <c r="J1815" t="str">
        <f t="shared" si="142"/>
        <v/>
      </c>
      <c r="K1815" t="str">
        <f>IF(OR($F1815="",$J1815="",$J1815="نامعتبر"),"",LEFT($J1815,4)&amp;MID($J1815,6,2)&amp;RIGHT($J1815,2)&amp;$N1815&amp;"|"&amp;"2"&amp;RIGHT("00000"&amp;1810,5))</f>
        <v/>
      </c>
      <c r="L1815" t="str">
        <f t="shared" si="143"/>
        <v/>
      </c>
      <c r="M1815" t="str">
        <f t="shared" si="144"/>
        <v/>
      </c>
      <c r="N1815" t="str">
        <f>IF($F1815="","",IF(Sync!$AF1815="","0000",IF(AND(ISNUMBER(Sync!$AF1815),Sync!$AF1815&gt;=0,Sync!$AF1815&lt;1),RIGHT("00"&amp;HOUR(Sync!$AF1815),2)&amp;RIGHT("00"&amp;MINUTE(Sync!$AF1815),2),IFERROR(RIGHT("00"&amp;VALUE(LEFT(Sync!$AF1815,FIND(":",Sync!$AF1815)-1)),2)&amp;RIGHT("00"&amp;VALUE(MID(Sync!$AF1815,FIND(":",Sync!$AF1815)+1,2)),2),"0000"))))</f>
        <v/>
      </c>
    </row>
    <row r="1816" spans="1:14" x14ac:dyDescent="0.2">
      <c r="A1816" t="str">
        <f>IF(OR(Calc!$E1820="",Calc!$E1820="نامعتبر",Calc!$G1820=""),"",Calc!$G1820)</f>
        <v/>
      </c>
      <c r="B1816" t="str">
        <f>IF($A1816="","",LEFT(Calc!$E1820,4)&amp;MID(Calc!$E1820,6,2)&amp;RIGHT(Calc!$E1820,2)&amp;Calc!$Q1820&amp;"|"&amp;"1"&amp;RIGHT("00000"&amp;1811,5))</f>
        <v/>
      </c>
      <c r="C1816" t="str">
        <f t="shared" si="140"/>
        <v/>
      </c>
      <c r="D1816" t="str">
        <f t="shared" si="141"/>
        <v/>
      </c>
      <c r="F1816" t="str">
        <f>IF(Sync!$AH1816="","",IF(LEFT(UPPER(TRIM(Sync!$AH1816)),2)="SL",UPPER(TRIM(Sync!$AH1816)),""))</f>
        <v/>
      </c>
      <c r="G1816" t="str">
        <f>IF($F1816="","",IF(Sync!$AE1816="","",IF(ISNUMBER(Sync!$AE1816),IF(AND(Sync!$AE1816&gt;=10000101,Sync!$AE1816&lt;=99991231),INT(Sync!$AE1816/10000),""),IFERROR(VALUE(TRIM(LEFT(Sync!$AE1816,FIND("/",Sync!$AE1816)-1))),""))))</f>
        <v/>
      </c>
      <c r="H1816" t="str">
        <f>IF(OR($F1816="",$G1816=""),"",IF(ISNUMBER(Sync!$AE1816),INT(MOD(Sync!$AE1816,10000)/100),IFERROR(VALUE(TRIM(LEFT(MID(Sync!$AE1816,FIND("/",Sync!$AE1816)+1,20),FIND("/",MID(Sync!$AE1816,FIND("/",Sync!$AE1816)+1,20))-1))),"")))</f>
        <v/>
      </c>
      <c r="I1816" t="str">
        <f>IF(OR($F1816="",$G1816=""),"",IF(ISNUMBER(Sync!$AE1816),MOD(Sync!$AE1816,100),IFERROR(VALUE(TRIM(MID(MID(Sync!$AE1816,FIND("/",Sync!$AE1816)+1,20),FIND("/",MID(Sync!$AE1816,FIND("/",Sync!$AE1816)+1,20))+1,20))),"")))</f>
        <v/>
      </c>
      <c r="J1816" t="str">
        <f t="shared" si="142"/>
        <v/>
      </c>
      <c r="K1816" t="str">
        <f>IF(OR($F1816="",$J1816="",$J1816="نامعتبر"),"",LEFT($J1816,4)&amp;MID($J1816,6,2)&amp;RIGHT($J1816,2)&amp;$N1816&amp;"|"&amp;"2"&amp;RIGHT("00000"&amp;1811,5))</f>
        <v/>
      </c>
      <c r="L1816" t="str">
        <f t="shared" si="143"/>
        <v/>
      </c>
      <c r="M1816" t="str">
        <f t="shared" si="144"/>
        <v/>
      </c>
      <c r="N1816" t="str">
        <f>IF($F1816="","",IF(Sync!$AF1816="","0000",IF(AND(ISNUMBER(Sync!$AF1816),Sync!$AF1816&gt;=0,Sync!$AF1816&lt;1),RIGHT("00"&amp;HOUR(Sync!$AF1816),2)&amp;RIGHT("00"&amp;MINUTE(Sync!$AF1816),2),IFERROR(RIGHT("00"&amp;VALUE(LEFT(Sync!$AF1816,FIND(":",Sync!$AF1816)-1)),2)&amp;RIGHT("00"&amp;VALUE(MID(Sync!$AF1816,FIND(":",Sync!$AF1816)+1,2)),2),"0000"))))</f>
        <v/>
      </c>
    </row>
    <row r="1817" spans="1:14" x14ac:dyDescent="0.2">
      <c r="A1817" t="str">
        <f>IF(OR(Calc!$E1821="",Calc!$E1821="نامعتبر",Calc!$G1821=""),"",Calc!$G1821)</f>
        <v/>
      </c>
      <c r="B1817" t="str">
        <f>IF($A1817="","",LEFT(Calc!$E1821,4)&amp;MID(Calc!$E1821,6,2)&amp;RIGHT(Calc!$E1821,2)&amp;Calc!$Q1821&amp;"|"&amp;"1"&amp;RIGHT("00000"&amp;1812,5))</f>
        <v/>
      </c>
      <c r="C1817" t="str">
        <f t="shared" si="140"/>
        <v/>
      </c>
      <c r="D1817" t="str">
        <f t="shared" si="141"/>
        <v/>
      </c>
      <c r="F1817" t="str">
        <f>IF(Sync!$AH1817="","",IF(LEFT(UPPER(TRIM(Sync!$AH1817)),2)="SL",UPPER(TRIM(Sync!$AH1817)),""))</f>
        <v/>
      </c>
      <c r="G1817" t="str">
        <f>IF($F1817="","",IF(Sync!$AE1817="","",IF(ISNUMBER(Sync!$AE1817),IF(AND(Sync!$AE1817&gt;=10000101,Sync!$AE1817&lt;=99991231),INT(Sync!$AE1817/10000),""),IFERROR(VALUE(TRIM(LEFT(Sync!$AE1817,FIND("/",Sync!$AE1817)-1))),""))))</f>
        <v/>
      </c>
      <c r="H1817" t="str">
        <f>IF(OR($F1817="",$G1817=""),"",IF(ISNUMBER(Sync!$AE1817),INT(MOD(Sync!$AE1817,10000)/100),IFERROR(VALUE(TRIM(LEFT(MID(Sync!$AE1817,FIND("/",Sync!$AE1817)+1,20),FIND("/",MID(Sync!$AE1817,FIND("/",Sync!$AE1817)+1,20))-1))),"")))</f>
        <v/>
      </c>
      <c r="I1817" t="str">
        <f>IF(OR($F1817="",$G1817=""),"",IF(ISNUMBER(Sync!$AE1817),MOD(Sync!$AE1817,100),IFERROR(VALUE(TRIM(MID(MID(Sync!$AE1817,FIND("/",Sync!$AE1817)+1,20),FIND("/",MID(Sync!$AE1817,FIND("/",Sync!$AE1817)+1,20))+1,20))),"")))</f>
        <v/>
      </c>
      <c r="J1817" t="str">
        <f t="shared" si="142"/>
        <v/>
      </c>
      <c r="K1817" t="str">
        <f>IF(OR($F1817="",$J1817="",$J1817="نامعتبر"),"",LEFT($J1817,4)&amp;MID($J1817,6,2)&amp;RIGHT($J1817,2)&amp;$N1817&amp;"|"&amp;"2"&amp;RIGHT("00000"&amp;1812,5))</f>
        <v/>
      </c>
      <c r="L1817" t="str">
        <f t="shared" si="143"/>
        <v/>
      </c>
      <c r="M1817" t="str">
        <f t="shared" si="144"/>
        <v/>
      </c>
      <c r="N1817" t="str">
        <f>IF($F1817="","",IF(Sync!$AF1817="","0000",IF(AND(ISNUMBER(Sync!$AF1817),Sync!$AF1817&gt;=0,Sync!$AF1817&lt;1),RIGHT("00"&amp;HOUR(Sync!$AF1817),2)&amp;RIGHT("00"&amp;MINUTE(Sync!$AF1817),2),IFERROR(RIGHT("00"&amp;VALUE(LEFT(Sync!$AF1817,FIND(":",Sync!$AF1817)-1)),2)&amp;RIGHT("00"&amp;VALUE(MID(Sync!$AF1817,FIND(":",Sync!$AF1817)+1,2)),2),"0000"))))</f>
        <v/>
      </c>
    </row>
    <row r="1818" spans="1:14" x14ac:dyDescent="0.2">
      <c r="A1818" t="str">
        <f>IF(OR(Calc!$E1822="",Calc!$E1822="نامعتبر",Calc!$G1822=""),"",Calc!$G1822)</f>
        <v/>
      </c>
      <c r="B1818" t="str">
        <f>IF($A1818="","",LEFT(Calc!$E1822,4)&amp;MID(Calc!$E1822,6,2)&amp;RIGHT(Calc!$E1822,2)&amp;Calc!$Q1822&amp;"|"&amp;"1"&amp;RIGHT("00000"&amp;1813,5))</f>
        <v/>
      </c>
      <c r="C1818" t="str">
        <f t="shared" si="140"/>
        <v/>
      </c>
      <c r="D1818" t="str">
        <f t="shared" si="141"/>
        <v/>
      </c>
      <c r="F1818" t="str">
        <f>IF(Sync!$AH1818="","",IF(LEFT(UPPER(TRIM(Sync!$AH1818)),2)="SL",UPPER(TRIM(Sync!$AH1818)),""))</f>
        <v/>
      </c>
      <c r="G1818" t="str">
        <f>IF($F1818="","",IF(Sync!$AE1818="","",IF(ISNUMBER(Sync!$AE1818),IF(AND(Sync!$AE1818&gt;=10000101,Sync!$AE1818&lt;=99991231),INT(Sync!$AE1818/10000),""),IFERROR(VALUE(TRIM(LEFT(Sync!$AE1818,FIND("/",Sync!$AE1818)-1))),""))))</f>
        <v/>
      </c>
      <c r="H1818" t="str">
        <f>IF(OR($F1818="",$G1818=""),"",IF(ISNUMBER(Sync!$AE1818),INT(MOD(Sync!$AE1818,10000)/100),IFERROR(VALUE(TRIM(LEFT(MID(Sync!$AE1818,FIND("/",Sync!$AE1818)+1,20),FIND("/",MID(Sync!$AE1818,FIND("/",Sync!$AE1818)+1,20))-1))),"")))</f>
        <v/>
      </c>
      <c r="I1818" t="str">
        <f>IF(OR($F1818="",$G1818=""),"",IF(ISNUMBER(Sync!$AE1818),MOD(Sync!$AE1818,100),IFERROR(VALUE(TRIM(MID(MID(Sync!$AE1818,FIND("/",Sync!$AE1818)+1,20),FIND("/",MID(Sync!$AE1818,FIND("/",Sync!$AE1818)+1,20))+1,20))),"")))</f>
        <v/>
      </c>
      <c r="J1818" t="str">
        <f t="shared" si="142"/>
        <v/>
      </c>
      <c r="K1818" t="str">
        <f>IF(OR($F1818="",$J1818="",$J1818="نامعتبر"),"",LEFT($J1818,4)&amp;MID($J1818,6,2)&amp;RIGHT($J1818,2)&amp;$N1818&amp;"|"&amp;"2"&amp;RIGHT("00000"&amp;1813,5))</f>
        <v/>
      </c>
      <c r="L1818" t="str">
        <f t="shared" si="143"/>
        <v/>
      </c>
      <c r="M1818" t="str">
        <f t="shared" si="144"/>
        <v/>
      </c>
      <c r="N1818" t="str">
        <f>IF($F1818="","",IF(Sync!$AF1818="","0000",IF(AND(ISNUMBER(Sync!$AF1818),Sync!$AF1818&gt;=0,Sync!$AF1818&lt;1),RIGHT("00"&amp;HOUR(Sync!$AF1818),2)&amp;RIGHT("00"&amp;MINUTE(Sync!$AF1818),2),IFERROR(RIGHT("00"&amp;VALUE(LEFT(Sync!$AF1818,FIND(":",Sync!$AF1818)-1)),2)&amp;RIGHT("00"&amp;VALUE(MID(Sync!$AF1818,FIND(":",Sync!$AF1818)+1,2)),2),"0000"))))</f>
        <v/>
      </c>
    </row>
    <row r="1819" spans="1:14" x14ac:dyDescent="0.2">
      <c r="A1819" t="str">
        <f>IF(OR(Calc!$E1823="",Calc!$E1823="نامعتبر",Calc!$G1823=""),"",Calc!$G1823)</f>
        <v/>
      </c>
      <c r="B1819" t="str">
        <f>IF($A1819="","",LEFT(Calc!$E1823,4)&amp;MID(Calc!$E1823,6,2)&amp;RIGHT(Calc!$E1823,2)&amp;Calc!$Q1823&amp;"|"&amp;"1"&amp;RIGHT("00000"&amp;1814,5))</f>
        <v/>
      </c>
      <c r="C1819" t="str">
        <f t="shared" si="140"/>
        <v/>
      </c>
      <c r="D1819" t="str">
        <f t="shared" si="141"/>
        <v/>
      </c>
      <c r="F1819" t="str">
        <f>IF(Sync!$AH1819="","",IF(LEFT(UPPER(TRIM(Sync!$AH1819)),2)="SL",UPPER(TRIM(Sync!$AH1819)),""))</f>
        <v/>
      </c>
      <c r="G1819" t="str">
        <f>IF($F1819="","",IF(Sync!$AE1819="","",IF(ISNUMBER(Sync!$AE1819),IF(AND(Sync!$AE1819&gt;=10000101,Sync!$AE1819&lt;=99991231),INT(Sync!$AE1819/10000),""),IFERROR(VALUE(TRIM(LEFT(Sync!$AE1819,FIND("/",Sync!$AE1819)-1))),""))))</f>
        <v/>
      </c>
      <c r="H1819" t="str">
        <f>IF(OR($F1819="",$G1819=""),"",IF(ISNUMBER(Sync!$AE1819),INT(MOD(Sync!$AE1819,10000)/100),IFERROR(VALUE(TRIM(LEFT(MID(Sync!$AE1819,FIND("/",Sync!$AE1819)+1,20),FIND("/",MID(Sync!$AE1819,FIND("/",Sync!$AE1819)+1,20))-1))),"")))</f>
        <v/>
      </c>
      <c r="I1819" t="str">
        <f>IF(OR($F1819="",$G1819=""),"",IF(ISNUMBER(Sync!$AE1819),MOD(Sync!$AE1819,100),IFERROR(VALUE(TRIM(MID(MID(Sync!$AE1819,FIND("/",Sync!$AE1819)+1,20),FIND("/",MID(Sync!$AE1819,FIND("/",Sync!$AE1819)+1,20))+1,20))),"")))</f>
        <v/>
      </c>
      <c r="J1819" t="str">
        <f t="shared" si="142"/>
        <v/>
      </c>
      <c r="K1819" t="str">
        <f>IF(OR($F1819="",$J1819="",$J1819="نامعتبر"),"",LEFT($J1819,4)&amp;MID($J1819,6,2)&amp;RIGHT($J1819,2)&amp;$N1819&amp;"|"&amp;"2"&amp;RIGHT("00000"&amp;1814,5))</f>
        <v/>
      </c>
      <c r="L1819" t="str">
        <f t="shared" si="143"/>
        <v/>
      </c>
      <c r="M1819" t="str">
        <f t="shared" si="144"/>
        <v/>
      </c>
      <c r="N1819" t="str">
        <f>IF($F1819="","",IF(Sync!$AF1819="","0000",IF(AND(ISNUMBER(Sync!$AF1819),Sync!$AF1819&gt;=0,Sync!$AF1819&lt;1),RIGHT("00"&amp;HOUR(Sync!$AF1819),2)&amp;RIGHT("00"&amp;MINUTE(Sync!$AF1819),2),IFERROR(RIGHT("00"&amp;VALUE(LEFT(Sync!$AF1819,FIND(":",Sync!$AF1819)-1)),2)&amp;RIGHT("00"&amp;VALUE(MID(Sync!$AF1819,FIND(":",Sync!$AF1819)+1,2)),2),"0000"))))</f>
        <v/>
      </c>
    </row>
    <row r="1820" spans="1:14" x14ac:dyDescent="0.2">
      <c r="A1820" t="str">
        <f>IF(OR(Calc!$E1824="",Calc!$E1824="نامعتبر",Calc!$G1824=""),"",Calc!$G1824)</f>
        <v/>
      </c>
      <c r="B1820" t="str">
        <f>IF($A1820="","",LEFT(Calc!$E1824,4)&amp;MID(Calc!$E1824,6,2)&amp;RIGHT(Calc!$E1824,2)&amp;Calc!$Q1824&amp;"|"&amp;"1"&amp;RIGHT("00000"&amp;1815,5))</f>
        <v/>
      </c>
      <c r="C1820" t="str">
        <f t="shared" si="140"/>
        <v/>
      </c>
      <c r="D1820" t="str">
        <f t="shared" si="141"/>
        <v/>
      </c>
      <c r="F1820" t="str">
        <f>IF(Sync!$AH1820="","",IF(LEFT(UPPER(TRIM(Sync!$AH1820)),2)="SL",UPPER(TRIM(Sync!$AH1820)),""))</f>
        <v/>
      </c>
      <c r="G1820" t="str">
        <f>IF($F1820="","",IF(Sync!$AE1820="","",IF(ISNUMBER(Sync!$AE1820),IF(AND(Sync!$AE1820&gt;=10000101,Sync!$AE1820&lt;=99991231),INT(Sync!$AE1820/10000),""),IFERROR(VALUE(TRIM(LEFT(Sync!$AE1820,FIND("/",Sync!$AE1820)-1))),""))))</f>
        <v/>
      </c>
      <c r="H1820" t="str">
        <f>IF(OR($F1820="",$G1820=""),"",IF(ISNUMBER(Sync!$AE1820),INT(MOD(Sync!$AE1820,10000)/100),IFERROR(VALUE(TRIM(LEFT(MID(Sync!$AE1820,FIND("/",Sync!$AE1820)+1,20),FIND("/",MID(Sync!$AE1820,FIND("/",Sync!$AE1820)+1,20))-1))),"")))</f>
        <v/>
      </c>
      <c r="I1820" t="str">
        <f>IF(OR($F1820="",$G1820=""),"",IF(ISNUMBER(Sync!$AE1820),MOD(Sync!$AE1820,100),IFERROR(VALUE(TRIM(MID(MID(Sync!$AE1820,FIND("/",Sync!$AE1820)+1,20),FIND("/",MID(Sync!$AE1820,FIND("/",Sync!$AE1820)+1,20))+1,20))),"")))</f>
        <v/>
      </c>
      <c r="J1820" t="str">
        <f t="shared" si="142"/>
        <v/>
      </c>
      <c r="K1820" t="str">
        <f>IF(OR($F1820="",$J1820="",$J1820="نامعتبر"),"",LEFT($J1820,4)&amp;MID($J1820,6,2)&amp;RIGHT($J1820,2)&amp;$N1820&amp;"|"&amp;"2"&amp;RIGHT("00000"&amp;1815,5))</f>
        <v/>
      </c>
      <c r="L1820" t="str">
        <f t="shared" si="143"/>
        <v/>
      </c>
      <c r="M1820" t="str">
        <f t="shared" si="144"/>
        <v/>
      </c>
      <c r="N1820" t="str">
        <f>IF($F1820="","",IF(Sync!$AF1820="","0000",IF(AND(ISNUMBER(Sync!$AF1820),Sync!$AF1820&gt;=0,Sync!$AF1820&lt;1),RIGHT("00"&amp;HOUR(Sync!$AF1820),2)&amp;RIGHT("00"&amp;MINUTE(Sync!$AF1820),2),IFERROR(RIGHT("00"&amp;VALUE(LEFT(Sync!$AF1820,FIND(":",Sync!$AF1820)-1)),2)&amp;RIGHT("00"&amp;VALUE(MID(Sync!$AF1820,FIND(":",Sync!$AF1820)+1,2)),2),"0000"))))</f>
        <v/>
      </c>
    </row>
    <row r="1821" spans="1:14" x14ac:dyDescent="0.2">
      <c r="A1821" t="str">
        <f>IF(OR(Calc!$E1825="",Calc!$E1825="نامعتبر",Calc!$G1825=""),"",Calc!$G1825)</f>
        <v/>
      </c>
      <c r="B1821" t="str">
        <f>IF($A1821="","",LEFT(Calc!$E1825,4)&amp;MID(Calc!$E1825,6,2)&amp;RIGHT(Calc!$E1825,2)&amp;Calc!$Q1825&amp;"|"&amp;"1"&amp;RIGHT("00000"&amp;1816,5))</f>
        <v/>
      </c>
      <c r="C1821" t="str">
        <f t="shared" si="140"/>
        <v/>
      </c>
      <c r="D1821" t="str">
        <f t="shared" si="141"/>
        <v/>
      </c>
      <c r="F1821" t="str">
        <f>IF(Sync!$AH1821="","",IF(LEFT(UPPER(TRIM(Sync!$AH1821)),2)="SL",UPPER(TRIM(Sync!$AH1821)),""))</f>
        <v/>
      </c>
      <c r="G1821" t="str">
        <f>IF($F1821="","",IF(Sync!$AE1821="","",IF(ISNUMBER(Sync!$AE1821),IF(AND(Sync!$AE1821&gt;=10000101,Sync!$AE1821&lt;=99991231),INT(Sync!$AE1821/10000),""),IFERROR(VALUE(TRIM(LEFT(Sync!$AE1821,FIND("/",Sync!$AE1821)-1))),""))))</f>
        <v/>
      </c>
      <c r="H1821" t="str">
        <f>IF(OR($F1821="",$G1821=""),"",IF(ISNUMBER(Sync!$AE1821),INT(MOD(Sync!$AE1821,10000)/100),IFERROR(VALUE(TRIM(LEFT(MID(Sync!$AE1821,FIND("/",Sync!$AE1821)+1,20),FIND("/",MID(Sync!$AE1821,FIND("/",Sync!$AE1821)+1,20))-1))),"")))</f>
        <v/>
      </c>
      <c r="I1821" t="str">
        <f>IF(OR($F1821="",$G1821=""),"",IF(ISNUMBER(Sync!$AE1821),MOD(Sync!$AE1821,100),IFERROR(VALUE(TRIM(MID(MID(Sync!$AE1821,FIND("/",Sync!$AE1821)+1,20),FIND("/",MID(Sync!$AE1821,FIND("/",Sync!$AE1821)+1,20))+1,20))),"")))</f>
        <v/>
      </c>
      <c r="J1821" t="str">
        <f t="shared" si="142"/>
        <v/>
      </c>
      <c r="K1821" t="str">
        <f>IF(OR($F1821="",$J1821="",$J1821="نامعتبر"),"",LEFT($J1821,4)&amp;MID($J1821,6,2)&amp;RIGHT($J1821,2)&amp;$N1821&amp;"|"&amp;"2"&amp;RIGHT("00000"&amp;1816,5))</f>
        <v/>
      </c>
      <c r="L1821" t="str">
        <f t="shared" si="143"/>
        <v/>
      </c>
      <c r="M1821" t="str">
        <f t="shared" si="144"/>
        <v/>
      </c>
      <c r="N1821" t="str">
        <f>IF($F1821="","",IF(Sync!$AF1821="","0000",IF(AND(ISNUMBER(Sync!$AF1821),Sync!$AF1821&gt;=0,Sync!$AF1821&lt;1),RIGHT("00"&amp;HOUR(Sync!$AF1821),2)&amp;RIGHT("00"&amp;MINUTE(Sync!$AF1821),2),IFERROR(RIGHT("00"&amp;VALUE(LEFT(Sync!$AF1821,FIND(":",Sync!$AF1821)-1)),2)&amp;RIGHT("00"&amp;VALUE(MID(Sync!$AF1821,FIND(":",Sync!$AF1821)+1,2)),2),"0000"))))</f>
        <v/>
      </c>
    </row>
    <row r="1822" spans="1:14" x14ac:dyDescent="0.2">
      <c r="A1822" t="str">
        <f>IF(OR(Calc!$E1826="",Calc!$E1826="نامعتبر",Calc!$G1826=""),"",Calc!$G1826)</f>
        <v/>
      </c>
      <c r="B1822" t="str">
        <f>IF($A1822="","",LEFT(Calc!$E1826,4)&amp;MID(Calc!$E1826,6,2)&amp;RIGHT(Calc!$E1826,2)&amp;Calc!$Q1826&amp;"|"&amp;"1"&amp;RIGHT("00000"&amp;1817,5))</f>
        <v/>
      </c>
      <c r="C1822" t="str">
        <f t="shared" si="140"/>
        <v/>
      </c>
      <c r="D1822" t="str">
        <f t="shared" si="141"/>
        <v/>
      </c>
      <c r="F1822" t="str">
        <f>IF(Sync!$AH1822="","",IF(LEFT(UPPER(TRIM(Sync!$AH1822)),2)="SL",UPPER(TRIM(Sync!$AH1822)),""))</f>
        <v/>
      </c>
      <c r="G1822" t="str">
        <f>IF($F1822="","",IF(Sync!$AE1822="","",IF(ISNUMBER(Sync!$AE1822),IF(AND(Sync!$AE1822&gt;=10000101,Sync!$AE1822&lt;=99991231),INT(Sync!$AE1822/10000),""),IFERROR(VALUE(TRIM(LEFT(Sync!$AE1822,FIND("/",Sync!$AE1822)-1))),""))))</f>
        <v/>
      </c>
      <c r="H1822" t="str">
        <f>IF(OR($F1822="",$G1822=""),"",IF(ISNUMBER(Sync!$AE1822),INT(MOD(Sync!$AE1822,10000)/100),IFERROR(VALUE(TRIM(LEFT(MID(Sync!$AE1822,FIND("/",Sync!$AE1822)+1,20),FIND("/",MID(Sync!$AE1822,FIND("/",Sync!$AE1822)+1,20))-1))),"")))</f>
        <v/>
      </c>
      <c r="I1822" t="str">
        <f>IF(OR($F1822="",$G1822=""),"",IF(ISNUMBER(Sync!$AE1822),MOD(Sync!$AE1822,100),IFERROR(VALUE(TRIM(MID(MID(Sync!$AE1822,FIND("/",Sync!$AE1822)+1,20),FIND("/",MID(Sync!$AE1822,FIND("/",Sync!$AE1822)+1,20))+1,20))),"")))</f>
        <v/>
      </c>
      <c r="J1822" t="str">
        <f t="shared" si="142"/>
        <v/>
      </c>
      <c r="K1822" t="str">
        <f>IF(OR($F1822="",$J1822="",$J1822="نامعتبر"),"",LEFT($J1822,4)&amp;MID($J1822,6,2)&amp;RIGHT($J1822,2)&amp;$N1822&amp;"|"&amp;"2"&amp;RIGHT("00000"&amp;1817,5))</f>
        <v/>
      </c>
      <c r="L1822" t="str">
        <f t="shared" si="143"/>
        <v/>
      </c>
      <c r="M1822" t="str">
        <f t="shared" si="144"/>
        <v/>
      </c>
      <c r="N1822" t="str">
        <f>IF($F1822="","",IF(Sync!$AF1822="","0000",IF(AND(ISNUMBER(Sync!$AF1822),Sync!$AF1822&gt;=0,Sync!$AF1822&lt;1),RIGHT("00"&amp;HOUR(Sync!$AF1822),2)&amp;RIGHT("00"&amp;MINUTE(Sync!$AF1822),2),IFERROR(RIGHT("00"&amp;VALUE(LEFT(Sync!$AF1822,FIND(":",Sync!$AF1822)-1)),2)&amp;RIGHT("00"&amp;VALUE(MID(Sync!$AF1822,FIND(":",Sync!$AF1822)+1,2)),2),"0000"))))</f>
        <v/>
      </c>
    </row>
    <row r="1823" spans="1:14" x14ac:dyDescent="0.2">
      <c r="A1823" t="str">
        <f>IF(OR(Calc!$E1827="",Calc!$E1827="نامعتبر",Calc!$G1827=""),"",Calc!$G1827)</f>
        <v/>
      </c>
      <c r="B1823" t="str">
        <f>IF($A1823="","",LEFT(Calc!$E1827,4)&amp;MID(Calc!$E1827,6,2)&amp;RIGHT(Calc!$E1827,2)&amp;Calc!$Q1827&amp;"|"&amp;"1"&amp;RIGHT("00000"&amp;1818,5))</f>
        <v/>
      </c>
      <c r="C1823" t="str">
        <f t="shared" si="140"/>
        <v/>
      </c>
      <c r="D1823" t="str">
        <f t="shared" si="141"/>
        <v/>
      </c>
      <c r="F1823" t="str">
        <f>IF(Sync!$AH1823="","",IF(LEFT(UPPER(TRIM(Sync!$AH1823)),2)="SL",UPPER(TRIM(Sync!$AH1823)),""))</f>
        <v/>
      </c>
      <c r="G1823" t="str">
        <f>IF($F1823="","",IF(Sync!$AE1823="","",IF(ISNUMBER(Sync!$AE1823),IF(AND(Sync!$AE1823&gt;=10000101,Sync!$AE1823&lt;=99991231),INT(Sync!$AE1823/10000),""),IFERROR(VALUE(TRIM(LEFT(Sync!$AE1823,FIND("/",Sync!$AE1823)-1))),""))))</f>
        <v/>
      </c>
      <c r="H1823" t="str">
        <f>IF(OR($F1823="",$G1823=""),"",IF(ISNUMBER(Sync!$AE1823),INT(MOD(Sync!$AE1823,10000)/100),IFERROR(VALUE(TRIM(LEFT(MID(Sync!$AE1823,FIND("/",Sync!$AE1823)+1,20),FIND("/",MID(Sync!$AE1823,FIND("/",Sync!$AE1823)+1,20))-1))),"")))</f>
        <v/>
      </c>
      <c r="I1823" t="str">
        <f>IF(OR($F1823="",$G1823=""),"",IF(ISNUMBER(Sync!$AE1823),MOD(Sync!$AE1823,100),IFERROR(VALUE(TRIM(MID(MID(Sync!$AE1823,FIND("/",Sync!$AE1823)+1,20),FIND("/",MID(Sync!$AE1823,FIND("/",Sync!$AE1823)+1,20))+1,20))),"")))</f>
        <v/>
      </c>
      <c r="J1823" t="str">
        <f t="shared" si="142"/>
        <v/>
      </c>
      <c r="K1823" t="str">
        <f>IF(OR($F1823="",$J1823="",$J1823="نامعتبر"),"",LEFT($J1823,4)&amp;MID($J1823,6,2)&amp;RIGHT($J1823,2)&amp;$N1823&amp;"|"&amp;"2"&amp;RIGHT("00000"&amp;1818,5))</f>
        <v/>
      </c>
      <c r="L1823" t="str">
        <f t="shared" si="143"/>
        <v/>
      </c>
      <c r="M1823" t="str">
        <f t="shared" si="144"/>
        <v/>
      </c>
      <c r="N1823" t="str">
        <f>IF($F1823="","",IF(Sync!$AF1823="","0000",IF(AND(ISNUMBER(Sync!$AF1823),Sync!$AF1823&gt;=0,Sync!$AF1823&lt;1),RIGHT("00"&amp;HOUR(Sync!$AF1823),2)&amp;RIGHT("00"&amp;MINUTE(Sync!$AF1823),2),IFERROR(RIGHT("00"&amp;VALUE(LEFT(Sync!$AF1823,FIND(":",Sync!$AF1823)-1)),2)&amp;RIGHT("00"&amp;VALUE(MID(Sync!$AF1823,FIND(":",Sync!$AF1823)+1,2)),2),"0000"))))</f>
        <v/>
      </c>
    </row>
    <row r="1824" spans="1:14" x14ac:dyDescent="0.2">
      <c r="A1824" t="str">
        <f>IF(OR(Calc!$E1828="",Calc!$E1828="نامعتبر",Calc!$G1828=""),"",Calc!$G1828)</f>
        <v/>
      </c>
      <c r="B1824" t="str">
        <f>IF($A1824="","",LEFT(Calc!$E1828,4)&amp;MID(Calc!$E1828,6,2)&amp;RIGHT(Calc!$E1828,2)&amp;Calc!$Q1828&amp;"|"&amp;"1"&amp;RIGHT("00000"&amp;1819,5))</f>
        <v/>
      </c>
      <c r="C1824" t="str">
        <f t="shared" si="140"/>
        <v/>
      </c>
      <c r="D1824" t="str">
        <f t="shared" si="141"/>
        <v/>
      </c>
      <c r="F1824" t="str">
        <f>IF(Sync!$AH1824="","",IF(LEFT(UPPER(TRIM(Sync!$AH1824)),2)="SL",UPPER(TRIM(Sync!$AH1824)),""))</f>
        <v/>
      </c>
      <c r="G1824" t="str">
        <f>IF($F1824="","",IF(Sync!$AE1824="","",IF(ISNUMBER(Sync!$AE1824),IF(AND(Sync!$AE1824&gt;=10000101,Sync!$AE1824&lt;=99991231),INT(Sync!$AE1824/10000),""),IFERROR(VALUE(TRIM(LEFT(Sync!$AE1824,FIND("/",Sync!$AE1824)-1))),""))))</f>
        <v/>
      </c>
      <c r="H1824" t="str">
        <f>IF(OR($F1824="",$G1824=""),"",IF(ISNUMBER(Sync!$AE1824),INT(MOD(Sync!$AE1824,10000)/100),IFERROR(VALUE(TRIM(LEFT(MID(Sync!$AE1824,FIND("/",Sync!$AE1824)+1,20),FIND("/",MID(Sync!$AE1824,FIND("/",Sync!$AE1824)+1,20))-1))),"")))</f>
        <v/>
      </c>
      <c r="I1824" t="str">
        <f>IF(OR($F1824="",$G1824=""),"",IF(ISNUMBER(Sync!$AE1824),MOD(Sync!$AE1824,100),IFERROR(VALUE(TRIM(MID(MID(Sync!$AE1824,FIND("/",Sync!$AE1824)+1,20),FIND("/",MID(Sync!$AE1824,FIND("/",Sync!$AE1824)+1,20))+1,20))),"")))</f>
        <v/>
      </c>
      <c r="J1824" t="str">
        <f t="shared" si="142"/>
        <v/>
      </c>
      <c r="K1824" t="str">
        <f>IF(OR($F1824="",$J1824="",$J1824="نامعتبر"),"",LEFT($J1824,4)&amp;MID($J1824,6,2)&amp;RIGHT($J1824,2)&amp;$N1824&amp;"|"&amp;"2"&amp;RIGHT("00000"&amp;1819,5))</f>
        <v/>
      </c>
      <c r="L1824" t="str">
        <f t="shared" si="143"/>
        <v/>
      </c>
      <c r="M1824" t="str">
        <f t="shared" si="144"/>
        <v/>
      </c>
      <c r="N1824" t="str">
        <f>IF($F1824="","",IF(Sync!$AF1824="","0000",IF(AND(ISNUMBER(Sync!$AF1824),Sync!$AF1824&gt;=0,Sync!$AF1824&lt;1),RIGHT("00"&amp;HOUR(Sync!$AF1824),2)&amp;RIGHT("00"&amp;MINUTE(Sync!$AF1824),2),IFERROR(RIGHT("00"&amp;VALUE(LEFT(Sync!$AF1824,FIND(":",Sync!$AF1824)-1)),2)&amp;RIGHT("00"&amp;VALUE(MID(Sync!$AF1824,FIND(":",Sync!$AF1824)+1,2)),2),"0000"))))</f>
        <v/>
      </c>
    </row>
    <row r="1825" spans="1:14" x14ac:dyDescent="0.2">
      <c r="A1825" t="str">
        <f>IF(OR(Calc!$E1829="",Calc!$E1829="نامعتبر",Calc!$G1829=""),"",Calc!$G1829)</f>
        <v/>
      </c>
      <c r="B1825" t="str">
        <f>IF($A1825="","",LEFT(Calc!$E1829,4)&amp;MID(Calc!$E1829,6,2)&amp;RIGHT(Calc!$E1829,2)&amp;Calc!$Q1829&amp;"|"&amp;"1"&amp;RIGHT("00000"&amp;1820,5))</f>
        <v/>
      </c>
      <c r="C1825" t="str">
        <f t="shared" si="140"/>
        <v/>
      </c>
      <c r="D1825" t="str">
        <f t="shared" si="141"/>
        <v/>
      </c>
      <c r="F1825" t="str">
        <f>IF(Sync!$AH1825="","",IF(LEFT(UPPER(TRIM(Sync!$AH1825)),2)="SL",UPPER(TRIM(Sync!$AH1825)),""))</f>
        <v/>
      </c>
      <c r="G1825" t="str">
        <f>IF($F1825="","",IF(Sync!$AE1825="","",IF(ISNUMBER(Sync!$AE1825),IF(AND(Sync!$AE1825&gt;=10000101,Sync!$AE1825&lt;=99991231),INT(Sync!$AE1825/10000),""),IFERROR(VALUE(TRIM(LEFT(Sync!$AE1825,FIND("/",Sync!$AE1825)-1))),""))))</f>
        <v/>
      </c>
      <c r="H1825" t="str">
        <f>IF(OR($F1825="",$G1825=""),"",IF(ISNUMBER(Sync!$AE1825),INT(MOD(Sync!$AE1825,10000)/100),IFERROR(VALUE(TRIM(LEFT(MID(Sync!$AE1825,FIND("/",Sync!$AE1825)+1,20),FIND("/",MID(Sync!$AE1825,FIND("/",Sync!$AE1825)+1,20))-1))),"")))</f>
        <v/>
      </c>
      <c r="I1825" t="str">
        <f>IF(OR($F1825="",$G1825=""),"",IF(ISNUMBER(Sync!$AE1825),MOD(Sync!$AE1825,100),IFERROR(VALUE(TRIM(MID(MID(Sync!$AE1825,FIND("/",Sync!$AE1825)+1,20),FIND("/",MID(Sync!$AE1825,FIND("/",Sync!$AE1825)+1,20))+1,20))),"")))</f>
        <v/>
      </c>
      <c r="J1825" t="str">
        <f t="shared" si="142"/>
        <v/>
      </c>
      <c r="K1825" t="str">
        <f>IF(OR($F1825="",$J1825="",$J1825="نامعتبر"),"",LEFT($J1825,4)&amp;MID($J1825,6,2)&amp;RIGHT($J1825,2)&amp;$N1825&amp;"|"&amp;"2"&amp;RIGHT("00000"&amp;1820,5))</f>
        <v/>
      </c>
      <c r="L1825" t="str">
        <f t="shared" si="143"/>
        <v/>
      </c>
      <c r="M1825" t="str">
        <f t="shared" si="144"/>
        <v/>
      </c>
      <c r="N1825" t="str">
        <f>IF($F1825="","",IF(Sync!$AF1825="","0000",IF(AND(ISNUMBER(Sync!$AF1825),Sync!$AF1825&gt;=0,Sync!$AF1825&lt;1),RIGHT("00"&amp;HOUR(Sync!$AF1825),2)&amp;RIGHT("00"&amp;MINUTE(Sync!$AF1825),2),IFERROR(RIGHT("00"&amp;VALUE(LEFT(Sync!$AF1825,FIND(":",Sync!$AF1825)-1)),2)&amp;RIGHT("00"&amp;VALUE(MID(Sync!$AF1825,FIND(":",Sync!$AF1825)+1,2)),2),"0000"))))</f>
        <v/>
      </c>
    </row>
    <row r="1826" spans="1:14" x14ac:dyDescent="0.2">
      <c r="A1826" t="str">
        <f>IF(OR(Calc!$E1830="",Calc!$E1830="نامعتبر",Calc!$G1830=""),"",Calc!$G1830)</f>
        <v/>
      </c>
      <c r="B1826" t="str">
        <f>IF($A1826="","",LEFT(Calc!$E1830,4)&amp;MID(Calc!$E1830,6,2)&amp;RIGHT(Calc!$E1830,2)&amp;Calc!$Q1830&amp;"|"&amp;"1"&amp;RIGHT("00000"&amp;1821,5))</f>
        <v/>
      </c>
      <c r="C1826" t="str">
        <f t="shared" si="140"/>
        <v/>
      </c>
      <c r="D1826" t="str">
        <f t="shared" si="141"/>
        <v/>
      </c>
      <c r="F1826" t="str">
        <f>IF(Sync!$AH1826="","",IF(LEFT(UPPER(TRIM(Sync!$AH1826)),2)="SL",UPPER(TRIM(Sync!$AH1826)),""))</f>
        <v/>
      </c>
      <c r="G1826" t="str">
        <f>IF($F1826="","",IF(Sync!$AE1826="","",IF(ISNUMBER(Sync!$AE1826),IF(AND(Sync!$AE1826&gt;=10000101,Sync!$AE1826&lt;=99991231),INT(Sync!$AE1826/10000),""),IFERROR(VALUE(TRIM(LEFT(Sync!$AE1826,FIND("/",Sync!$AE1826)-1))),""))))</f>
        <v/>
      </c>
      <c r="H1826" t="str">
        <f>IF(OR($F1826="",$G1826=""),"",IF(ISNUMBER(Sync!$AE1826),INT(MOD(Sync!$AE1826,10000)/100),IFERROR(VALUE(TRIM(LEFT(MID(Sync!$AE1826,FIND("/",Sync!$AE1826)+1,20),FIND("/",MID(Sync!$AE1826,FIND("/",Sync!$AE1826)+1,20))-1))),"")))</f>
        <v/>
      </c>
      <c r="I1826" t="str">
        <f>IF(OR($F1826="",$G1826=""),"",IF(ISNUMBER(Sync!$AE1826),MOD(Sync!$AE1826,100),IFERROR(VALUE(TRIM(MID(MID(Sync!$AE1826,FIND("/",Sync!$AE1826)+1,20),FIND("/",MID(Sync!$AE1826,FIND("/",Sync!$AE1826)+1,20))+1,20))),"")))</f>
        <v/>
      </c>
      <c r="J1826" t="str">
        <f t="shared" si="142"/>
        <v/>
      </c>
      <c r="K1826" t="str">
        <f>IF(OR($F1826="",$J1826="",$J1826="نامعتبر"),"",LEFT($J1826,4)&amp;MID($J1826,6,2)&amp;RIGHT($J1826,2)&amp;$N1826&amp;"|"&amp;"2"&amp;RIGHT("00000"&amp;1821,5))</f>
        <v/>
      </c>
      <c r="L1826" t="str">
        <f t="shared" si="143"/>
        <v/>
      </c>
      <c r="M1826" t="str">
        <f t="shared" si="144"/>
        <v/>
      </c>
      <c r="N1826" t="str">
        <f>IF($F1826="","",IF(Sync!$AF1826="","0000",IF(AND(ISNUMBER(Sync!$AF1826),Sync!$AF1826&gt;=0,Sync!$AF1826&lt;1),RIGHT("00"&amp;HOUR(Sync!$AF1826),2)&amp;RIGHT("00"&amp;MINUTE(Sync!$AF1826),2),IFERROR(RIGHT("00"&amp;VALUE(LEFT(Sync!$AF1826,FIND(":",Sync!$AF1826)-1)),2)&amp;RIGHT("00"&amp;VALUE(MID(Sync!$AF1826,FIND(":",Sync!$AF1826)+1,2)),2),"0000"))))</f>
        <v/>
      </c>
    </row>
    <row r="1827" spans="1:14" x14ac:dyDescent="0.2">
      <c r="A1827" t="str">
        <f>IF(OR(Calc!$E1831="",Calc!$E1831="نامعتبر",Calc!$G1831=""),"",Calc!$G1831)</f>
        <v/>
      </c>
      <c r="B1827" t="str">
        <f>IF($A1827="","",LEFT(Calc!$E1831,4)&amp;MID(Calc!$E1831,6,2)&amp;RIGHT(Calc!$E1831,2)&amp;Calc!$Q1831&amp;"|"&amp;"1"&amp;RIGHT("00000"&amp;1822,5))</f>
        <v/>
      </c>
      <c r="C1827" t="str">
        <f t="shared" si="140"/>
        <v/>
      </c>
      <c r="D1827" t="str">
        <f t="shared" si="141"/>
        <v/>
      </c>
      <c r="F1827" t="str">
        <f>IF(Sync!$AH1827="","",IF(LEFT(UPPER(TRIM(Sync!$AH1827)),2)="SL",UPPER(TRIM(Sync!$AH1827)),""))</f>
        <v/>
      </c>
      <c r="G1827" t="str">
        <f>IF($F1827="","",IF(Sync!$AE1827="","",IF(ISNUMBER(Sync!$AE1827),IF(AND(Sync!$AE1827&gt;=10000101,Sync!$AE1827&lt;=99991231),INT(Sync!$AE1827/10000),""),IFERROR(VALUE(TRIM(LEFT(Sync!$AE1827,FIND("/",Sync!$AE1827)-1))),""))))</f>
        <v/>
      </c>
      <c r="H1827" t="str">
        <f>IF(OR($F1827="",$G1827=""),"",IF(ISNUMBER(Sync!$AE1827),INT(MOD(Sync!$AE1827,10000)/100),IFERROR(VALUE(TRIM(LEFT(MID(Sync!$AE1827,FIND("/",Sync!$AE1827)+1,20),FIND("/",MID(Sync!$AE1827,FIND("/",Sync!$AE1827)+1,20))-1))),"")))</f>
        <v/>
      </c>
      <c r="I1827" t="str">
        <f>IF(OR($F1827="",$G1827=""),"",IF(ISNUMBER(Sync!$AE1827),MOD(Sync!$AE1827,100),IFERROR(VALUE(TRIM(MID(MID(Sync!$AE1827,FIND("/",Sync!$AE1827)+1,20),FIND("/",MID(Sync!$AE1827,FIND("/",Sync!$AE1827)+1,20))+1,20))),"")))</f>
        <v/>
      </c>
      <c r="J1827" t="str">
        <f t="shared" si="142"/>
        <v/>
      </c>
      <c r="K1827" t="str">
        <f>IF(OR($F1827="",$J1827="",$J1827="نامعتبر"),"",LEFT($J1827,4)&amp;MID($J1827,6,2)&amp;RIGHT($J1827,2)&amp;$N1827&amp;"|"&amp;"2"&amp;RIGHT("00000"&amp;1822,5))</f>
        <v/>
      </c>
      <c r="L1827" t="str">
        <f t="shared" si="143"/>
        <v/>
      </c>
      <c r="M1827" t="str">
        <f t="shared" si="144"/>
        <v/>
      </c>
      <c r="N1827" t="str">
        <f>IF($F1827="","",IF(Sync!$AF1827="","0000",IF(AND(ISNUMBER(Sync!$AF1827),Sync!$AF1827&gt;=0,Sync!$AF1827&lt;1),RIGHT("00"&amp;HOUR(Sync!$AF1827),2)&amp;RIGHT("00"&amp;MINUTE(Sync!$AF1827),2),IFERROR(RIGHT("00"&amp;VALUE(LEFT(Sync!$AF1827,FIND(":",Sync!$AF1827)-1)),2)&amp;RIGHT("00"&amp;VALUE(MID(Sync!$AF1827,FIND(":",Sync!$AF1827)+1,2)),2),"0000"))))</f>
        <v/>
      </c>
    </row>
    <row r="1828" spans="1:14" x14ac:dyDescent="0.2">
      <c r="A1828" t="str">
        <f>IF(OR(Calc!$E1832="",Calc!$E1832="نامعتبر",Calc!$G1832=""),"",Calc!$G1832)</f>
        <v/>
      </c>
      <c r="B1828" t="str">
        <f>IF($A1828="","",LEFT(Calc!$E1832,4)&amp;MID(Calc!$E1832,6,2)&amp;RIGHT(Calc!$E1832,2)&amp;Calc!$Q1832&amp;"|"&amp;"1"&amp;RIGHT("00000"&amp;1823,5))</f>
        <v/>
      </c>
      <c r="C1828" t="str">
        <f t="shared" si="140"/>
        <v/>
      </c>
      <c r="D1828" t="str">
        <f t="shared" si="141"/>
        <v/>
      </c>
      <c r="F1828" t="str">
        <f>IF(Sync!$AH1828="","",IF(LEFT(UPPER(TRIM(Sync!$AH1828)),2)="SL",UPPER(TRIM(Sync!$AH1828)),""))</f>
        <v/>
      </c>
      <c r="G1828" t="str">
        <f>IF($F1828="","",IF(Sync!$AE1828="","",IF(ISNUMBER(Sync!$AE1828),IF(AND(Sync!$AE1828&gt;=10000101,Sync!$AE1828&lt;=99991231),INT(Sync!$AE1828/10000),""),IFERROR(VALUE(TRIM(LEFT(Sync!$AE1828,FIND("/",Sync!$AE1828)-1))),""))))</f>
        <v/>
      </c>
      <c r="H1828" t="str">
        <f>IF(OR($F1828="",$G1828=""),"",IF(ISNUMBER(Sync!$AE1828),INT(MOD(Sync!$AE1828,10000)/100),IFERROR(VALUE(TRIM(LEFT(MID(Sync!$AE1828,FIND("/",Sync!$AE1828)+1,20),FIND("/",MID(Sync!$AE1828,FIND("/",Sync!$AE1828)+1,20))-1))),"")))</f>
        <v/>
      </c>
      <c r="I1828" t="str">
        <f>IF(OR($F1828="",$G1828=""),"",IF(ISNUMBER(Sync!$AE1828),MOD(Sync!$AE1828,100),IFERROR(VALUE(TRIM(MID(MID(Sync!$AE1828,FIND("/",Sync!$AE1828)+1,20),FIND("/",MID(Sync!$AE1828,FIND("/",Sync!$AE1828)+1,20))+1,20))),"")))</f>
        <v/>
      </c>
      <c r="J1828" t="str">
        <f t="shared" si="142"/>
        <v/>
      </c>
      <c r="K1828" t="str">
        <f>IF(OR($F1828="",$J1828="",$J1828="نامعتبر"),"",LEFT($J1828,4)&amp;MID($J1828,6,2)&amp;RIGHT($J1828,2)&amp;$N1828&amp;"|"&amp;"2"&amp;RIGHT("00000"&amp;1823,5))</f>
        <v/>
      </c>
      <c r="L1828" t="str">
        <f t="shared" si="143"/>
        <v/>
      </c>
      <c r="M1828" t="str">
        <f t="shared" si="144"/>
        <v/>
      </c>
      <c r="N1828" t="str">
        <f>IF($F1828="","",IF(Sync!$AF1828="","0000",IF(AND(ISNUMBER(Sync!$AF1828),Sync!$AF1828&gt;=0,Sync!$AF1828&lt;1),RIGHT("00"&amp;HOUR(Sync!$AF1828),2)&amp;RIGHT("00"&amp;MINUTE(Sync!$AF1828),2),IFERROR(RIGHT("00"&amp;VALUE(LEFT(Sync!$AF1828,FIND(":",Sync!$AF1828)-1)),2)&amp;RIGHT("00"&amp;VALUE(MID(Sync!$AF1828,FIND(":",Sync!$AF1828)+1,2)),2),"0000"))))</f>
        <v/>
      </c>
    </row>
    <row r="1829" spans="1:14" x14ac:dyDescent="0.2">
      <c r="A1829" t="str">
        <f>IF(OR(Calc!$E1833="",Calc!$E1833="نامعتبر",Calc!$G1833=""),"",Calc!$G1833)</f>
        <v/>
      </c>
      <c r="B1829" t="str">
        <f>IF($A1829="","",LEFT(Calc!$E1833,4)&amp;MID(Calc!$E1833,6,2)&amp;RIGHT(Calc!$E1833,2)&amp;Calc!$Q1833&amp;"|"&amp;"1"&amp;RIGHT("00000"&amp;1824,5))</f>
        <v/>
      </c>
      <c r="C1829" t="str">
        <f t="shared" si="140"/>
        <v/>
      </c>
      <c r="D1829" t="str">
        <f t="shared" si="141"/>
        <v/>
      </c>
      <c r="F1829" t="str">
        <f>IF(Sync!$AH1829="","",IF(LEFT(UPPER(TRIM(Sync!$AH1829)),2)="SL",UPPER(TRIM(Sync!$AH1829)),""))</f>
        <v/>
      </c>
      <c r="G1829" t="str">
        <f>IF($F1829="","",IF(Sync!$AE1829="","",IF(ISNUMBER(Sync!$AE1829),IF(AND(Sync!$AE1829&gt;=10000101,Sync!$AE1829&lt;=99991231),INT(Sync!$AE1829/10000),""),IFERROR(VALUE(TRIM(LEFT(Sync!$AE1829,FIND("/",Sync!$AE1829)-1))),""))))</f>
        <v/>
      </c>
      <c r="H1829" t="str">
        <f>IF(OR($F1829="",$G1829=""),"",IF(ISNUMBER(Sync!$AE1829),INT(MOD(Sync!$AE1829,10000)/100),IFERROR(VALUE(TRIM(LEFT(MID(Sync!$AE1829,FIND("/",Sync!$AE1829)+1,20),FIND("/",MID(Sync!$AE1829,FIND("/",Sync!$AE1829)+1,20))-1))),"")))</f>
        <v/>
      </c>
      <c r="I1829" t="str">
        <f>IF(OR($F1829="",$G1829=""),"",IF(ISNUMBER(Sync!$AE1829),MOD(Sync!$AE1829,100),IFERROR(VALUE(TRIM(MID(MID(Sync!$AE1829,FIND("/",Sync!$AE1829)+1,20),FIND("/",MID(Sync!$AE1829,FIND("/",Sync!$AE1829)+1,20))+1,20))),"")))</f>
        <v/>
      </c>
      <c r="J1829" t="str">
        <f t="shared" si="142"/>
        <v/>
      </c>
      <c r="K1829" t="str">
        <f>IF(OR($F1829="",$J1829="",$J1829="نامعتبر"),"",LEFT($J1829,4)&amp;MID($J1829,6,2)&amp;RIGHT($J1829,2)&amp;$N1829&amp;"|"&amp;"2"&amp;RIGHT("00000"&amp;1824,5))</f>
        <v/>
      </c>
      <c r="L1829" t="str">
        <f t="shared" si="143"/>
        <v/>
      </c>
      <c r="M1829" t="str">
        <f t="shared" si="144"/>
        <v/>
      </c>
      <c r="N1829" t="str">
        <f>IF($F1829="","",IF(Sync!$AF1829="","0000",IF(AND(ISNUMBER(Sync!$AF1829),Sync!$AF1829&gt;=0,Sync!$AF1829&lt;1),RIGHT("00"&amp;HOUR(Sync!$AF1829),2)&amp;RIGHT("00"&amp;MINUTE(Sync!$AF1829),2),IFERROR(RIGHT("00"&amp;VALUE(LEFT(Sync!$AF1829,FIND(":",Sync!$AF1829)-1)),2)&amp;RIGHT("00"&amp;VALUE(MID(Sync!$AF1829,FIND(":",Sync!$AF1829)+1,2)),2),"0000"))))</f>
        <v/>
      </c>
    </row>
    <row r="1830" spans="1:14" x14ac:dyDescent="0.2">
      <c r="A1830" t="str">
        <f>IF(OR(Calc!$E1834="",Calc!$E1834="نامعتبر",Calc!$G1834=""),"",Calc!$G1834)</f>
        <v/>
      </c>
      <c r="B1830" t="str">
        <f>IF($A1830="","",LEFT(Calc!$E1834,4)&amp;MID(Calc!$E1834,6,2)&amp;RIGHT(Calc!$E1834,2)&amp;Calc!$Q1834&amp;"|"&amp;"1"&amp;RIGHT("00000"&amp;1825,5))</f>
        <v/>
      </c>
      <c r="C1830" t="str">
        <f t="shared" si="140"/>
        <v/>
      </c>
      <c r="D1830" t="str">
        <f t="shared" si="141"/>
        <v/>
      </c>
      <c r="F1830" t="str">
        <f>IF(Sync!$AH1830="","",IF(LEFT(UPPER(TRIM(Sync!$AH1830)),2)="SL",UPPER(TRIM(Sync!$AH1830)),""))</f>
        <v/>
      </c>
      <c r="G1830" t="str">
        <f>IF($F1830="","",IF(Sync!$AE1830="","",IF(ISNUMBER(Sync!$AE1830),IF(AND(Sync!$AE1830&gt;=10000101,Sync!$AE1830&lt;=99991231),INT(Sync!$AE1830/10000),""),IFERROR(VALUE(TRIM(LEFT(Sync!$AE1830,FIND("/",Sync!$AE1830)-1))),""))))</f>
        <v/>
      </c>
      <c r="H1830" t="str">
        <f>IF(OR($F1830="",$G1830=""),"",IF(ISNUMBER(Sync!$AE1830),INT(MOD(Sync!$AE1830,10000)/100),IFERROR(VALUE(TRIM(LEFT(MID(Sync!$AE1830,FIND("/",Sync!$AE1830)+1,20),FIND("/",MID(Sync!$AE1830,FIND("/",Sync!$AE1830)+1,20))-1))),"")))</f>
        <v/>
      </c>
      <c r="I1830" t="str">
        <f>IF(OR($F1830="",$G1830=""),"",IF(ISNUMBER(Sync!$AE1830),MOD(Sync!$AE1830,100),IFERROR(VALUE(TRIM(MID(MID(Sync!$AE1830,FIND("/",Sync!$AE1830)+1,20),FIND("/",MID(Sync!$AE1830,FIND("/",Sync!$AE1830)+1,20))+1,20))),"")))</f>
        <v/>
      </c>
      <c r="J1830" t="str">
        <f t="shared" si="142"/>
        <v/>
      </c>
      <c r="K1830" t="str">
        <f>IF(OR($F1830="",$J1830="",$J1830="نامعتبر"),"",LEFT($J1830,4)&amp;MID($J1830,6,2)&amp;RIGHT($J1830,2)&amp;$N1830&amp;"|"&amp;"2"&amp;RIGHT("00000"&amp;1825,5))</f>
        <v/>
      </c>
      <c r="L1830" t="str">
        <f t="shared" si="143"/>
        <v/>
      </c>
      <c r="M1830" t="str">
        <f t="shared" si="144"/>
        <v/>
      </c>
      <c r="N1830" t="str">
        <f>IF($F1830="","",IF(Sync!$AF1830="","0000",IF(AND(ISNUMBER(Sync!$AF1830),Sync!$AF1830&gt;=0,Sync!$AF1830&lt;1),RIGHT("00"&amp;HOUR(Sync!$AF1830),2)&amp;RIGHT("00"&amp;MINUTE(Sync!$AF1830),2),IFERROR(RIGHT("00"&amp;VALUE(LEFT(Sync!$AF1830,FIND(":",Sync!$AF1830)-1)),2)&amp;RIGHT("00"&amp;VALUE(MID(Sync!$AF1830,FIND(":",Sync!$AF1830)+1,2)),2),"0000"))))</f>
        <v/>
      </c>
    </row>
    <row r="1831" spans="1:14" x14ac:dyDescent="0.2">
      <c r="A1831" t="str">
        <f>IF(OR(Calc!$E1835="",Calc!$E1835="نامعتبر",Calc!$G1835=""),"",Calc!$G1835)</f>
        <v/>
      </c>
      <c r="B1831" t="str">
        <f>IF($A1831="","",LEFT(Calc!$E1835,4)&amp;MID(Calc!$E1835,6,2)&amp;RIGHT(Calc!$E1835,2)&amp;Calc!$Q1835&amp;"|"&amp;"1"&amp;RIGHT("00000"&amp;1826,5))</f>
        <v/>
      </c>
      <c r="C1831" t="str">
        <f t="shared" si="140"/>
        <v/>
      </c>
      <c r="D1831" t="str">
        <f t="shared" si="141"/>
        <v/>
      </c>
      <c r="F1831" t="str">
        <f>IF(Sync!$AH1831="","",IF(LEFT(UPPER(TRIM(Sync!$AH1831)),2)="SL",UPPER(TRIM(Sync!$AH1831)),""))</f>
        <v/>
      </c>
      <c r="G1831" t="str">
        <f>IF($F1831="","",IF(Sync!$AE1831="","",IF(ISNUMBER(Sync!$AE1831),IF(AND(Sync!$AE1831&gt;=10000101,Sync!$AE1831&lt;=99991231),INT(Sync!$AE1831/10000),""),IFERROR(VALUE(TRIM(LEFT(Sync!$AE1831,FIND("/",Sync!$AE1831)-1))),""))))</f>
        <v/>
      </c>
      <c r="H1831" t="str">
        <f>IF(OR($F1831="",$G1831=""),"",IF(ISNUMBER(Sync!$AE1831),INT(MOD(Sync!$AE1831,10000)/100),IFERROR(VALUE(TRIM(LEFT(MID(Sync!$AE1831,FIND("/",Sync!$AE1831)+1,20),FIND("/",MID(Sync!$AE1831,FIND("/",Sync!$AE1831)+1,20))-1))),"")))</f>
        <v/>
      </c>
      <c r="I1831" t="str">
        <f>IF(OR($F1831="",$G1831=""),"",IF(ISNUMBER(Sync!$AE1831),MOD(Sync!$AE1831,100),IFERROR(VALUE(TRIM(MID(MID(Sync!$AE1831,FIND("/",Sync!$AE1831)+1,20),FIND("/",MID(Sync!$AE1831,FIND("/",Sync!$AE1831)+1,20))+1,20))),"")))</f>
        <v/>
      </c>
      <c r="J1831" t="str">
        <f t="shared" si="142"/>
        <v/>
      </c>
      <c r="K1831" t="str">
        <f>IF(OR($F1831="",$J1831="",$J1831="نامعتبر"),"",LEFT($J1831,4)&amp;MID($J1831,6,2)&amp;RIGHT($J1831,2)&amp;$N1831&amp;"|"&amp;"2"&amp;RIGHT("00000"&amp;1826,5))</f>
        <v/>
      </c>
      <c r="L1831" t="str">
        <f t="shared" si="143"/>
        <v/>
      </c>
      <c r="M1831" t="str">
        <f t="shared" si="144"/>
        <v/>
      </c>
      <c r="N1831" t="str">
        <f>IF($F1831="","",IF(Sync!$AF1831="","0000",IF(AND(ISNUMBER(Sync!$AF1831),Sync!$AF1831&gt;=0,Sync!$AF1831&lt;1),RIGHT("00"&amp;HOUR(Sync!$AF1831),2)&amp;RIGHT("00"&amp;MINUTE(Sync!$AF1831),2),IFERROR(RIGHT("00"&amp;VALUE(LEFT(Sync!$AF1831,FIND(":",Sync!$AF1831)-1)),2)&amp;RIGHT("00"&amp;VALUE(MID(Sync!$AF1831,FIND(":",Sync!$AF1831)+1,2)),2),"0000"))))</f>
        <v/>
      </c>
    </row>
    <row r="1832" spans="1:14" x14ac:dyDescent="0.2">
      <c r="A1832" t="str">
        <f>IF(OR(Calc!$E1836="",Calc!$E1836="نامعتبر",Calc!$G1836=""),"",Calc!$G1836)</f>
        <v/>
      </c>
      <c r="B1832" t="str">
        <f>IF($A1832="","",LEFT(Calc!$E1836,4)&amp;MID(Calc!$E1836,6,2)&amp;RIGHT(Calc!$E1836,2)&amp;Calc!$Q1836&amp;"|"&amp;"1"&amp;RIGHT("00000"&amp;1827,5))</f>
        <v/>
      </c>
      <c r="C1832" t="str">
        <f t="shared" si="140"/>
        <v/>
      </c>
      <c r="D1832" t="str">
        <f t="shared" si="141"/>
        <v/>
      </c>
      <c r="F1832" t="str">
        <f>IF(Sync!$AH1832="","",IF(LEFT(UPPER(TRIM(Sync!$AH1832)),2)="SL",UPPER(TRIM(Sync!$AH1832)),""))</f>
        <v/>
      </c>
      <c r="G1832" t="str">
        <f>IF($F1832="","",IF(Sync!$AE1832="","",IF(ISNUMBER(Sync!$AE1832),IF(AND(Sync!$AE1832&gt;=10000101,Sync!$AE1832&lt;=99991231),INT(Sync!$AE1832/10000),""),IFERROR(VALUE(TRIM(LEFT(Sync!$AE1832,FIND("/",Sync!$AE1832)-1))),""))))</f>
        <v/>
      </c>
      <c r="H1832" t="str">
        <f>IF(OR($F1832="",$G1832=""),"",IF(ISNUMBER(Sync!$AE1832),INT(MOD(Sync!$AE1832,10000)/100),IFERROR(VALUE(TRIM(LEFT(MID(Sync!$AE1832,FIND("/",Sync!$AE1832)+1,20),FIND("/",MID(Sync!$AE1832,FIND("/",Sync!$AE1832)+1,20))-1))),"")))</f>
        <v/>
      </c>
      <c r="I1832" t="str">
        <f>IF(OR($F1832="",$G1832=""),"",IF(ISNUMBER(Sync!$AE1832),MOD(Sync!$AE1832,100),IFERROR(VALUE(TRIM(MID(MID(Sync!$AE1832,FIND("/",Sync!$AE1832)+1,20),FIND("/",MID(Sync!$AE1832,FIND("/",Sync!$AE1832)+1,20))+1,20))),"")))</f>
        <v/>
      </c>
      <c r="J1832" t="str">
        <f t="shared" si="142"/>
        <v/>
      </c>
      <c r="K1832" t="str">
        <f>IF(OR($F1832="",$J1832="",$J1832="نامعتبر"),"",LEFT($J1832,4)&amp;MID($J1832,6,2)&amp;RIGHT($J1832,2)&amp;$N1832&amp;"|"&amp;"2"&amp;RIGHT("00000"&amp;1827,5))</f>
        <v/>
      </c>
      <c r="L1832" t="str">
        <f t="shared" si="143"/>
        <v/>
      </c>
      <c r="M1832" t="str">
        <f t="shared" si="144"/>
        <v/>
      </c>
      <c r="N1832" t="str">
        <f>IF($F1832="","",IF(Sync!$AF1832="","0000",IF(AND(ISNUMBER(Sync!$AF1832),Sync!$AF1832&gt;=0,Sync!$AF1832&lt;1),RIGHT("00"&amp;HOUR(Sync!$AF1832),2)&amp;RIGHT("00"&amp;MINUTE(Sync!$AF1832),2),IFERROR(RIGHT("00"&amp;VALUE(LEFT(Sync!$AF1832,FIND(":",Sync!$AF1832)-1)),2)&amp;RIGHT("00"&amp;VALUE(MID(Sync!$AF1832,FIND(":",Sync!$AF1832)+1,2)),2),"0000"))))</f>
        <v/>
      </c>
    </row>
    <row r="1833" spans="1:14" x14ac:dyDescent="0.2">
      <c r="A1833" t="str">
        <f>IF(OR(Calc!$E1837="",Calc!$E1837="نامعتبر",Calc!$G1837=""),"",Calc!$G1837)</f>
        <v/>
      </c>
      <c r="B1833" t="str">
        <f>IF($A1833="","",LEFT(Calc!$E1837,4)&amp;MID(Calc!$E1837,6,2)&amp;RIGHT(Calc!$E1837,2)&amp;Calc!$Q1837&amp;"|"&amp;"1"&amp;RIGHT("00000"&amp;1828,5))</f>
        <v/>
      </c>
      <c r="C1833" t="str">
        <f t="shared" si="140"/>
        <v/>
      </c>
      <c r="D1833" t="str">
        <f t="shared" si="141"/>
        <v/>
      </c>
      <c r="F1833" t="str">
        <f>IF(Sync!$AH1833="","",IF(LEFT(UPPER(TRIM(Sync!$AH1833)),2)="SL",UPPER(TRIM(Sync!$AH1833)),""))</f>
        <v/>
      </c>
      <c r="G1833" t="str">
        <f>IF($F1833="","",IF(Sync!$AE1833="","",IF(ISNUMBER(Sync!$AE1833),IF(AND(Sync!$AE1833&gt;=10000101,Sync!$AE1833&lt;=99991231),INT(Sync!$AE1833/10000),""),IFERROR(VALUE(TRIM(LEFT(Sync!$AE1833,FIND("/",Sync!$AE1833)-1))),""))))</f>
        <v/>
      </c>
      <c r="H1833" t="str">
        <f>IF(OR($F1833="",$G1833=""),"",IF(ISNUMBER(Sync!$AE1833),INT(MOD(Sync!$AE1833,10000)/100),IFERROR(VALUE(TRIM(LEFT(MID(Sync!$AE1833,FIND("/",Sync!$AE1833)+1,20),FIND("/",MID(Sync!$AE1833,FIND("/",Sync!$AE1833)+1,20))-1))),"")))</f>
        <v/>
      </c>
      <c r="I1833" t="str">
        <f>IF(OR($F1833="",$G1833=""),"",IF(ISNUMBER(Sync!$AE1833),MOD(Sync!$AE1833,100),IFERROR(VALUE(TRIM(MID(MID(Sync!$AE1833,FIND("/",Sync!$AE1833)+1,20),FIND("/",MID(Sync!$AE1833,FIND("/",Sync!$AE1833)+1,20))+1,20))),"")))</f>
        <v/>
      </c>
      <c r="J1833" t="str">
        <f t="shared" si="142"/>
        <v/>
      </c>
      <c r="K1833" t="str">
        <f>IF(OR($F1833="",$J1833="",$J1833="نامعتبر"),"",LEFT($J1833,4)&amp;MID($J1833,6,2)&amp;RIGHT($J1833,2)&amp;$N1833&amp;"|"&amp;"2"&amp;RIGHT("00000"&amp;1828,5))</f>
        <v/>
      </c>
      <c r="L1833" t="str">
        <f t="shared" si="143"/>
        <v/>
      </c>
      <c r="M1833" t="str">
        <f t="shared" si="144"/>
        <v/>
      </c>
      <c r="N1833" t="str">
        <f>IF($F1833="","",IF(Sync!$AF1833="","0000",IF(AND(ISNUMBER(Sync!$AF1833),Sync!$AF1833&gt;=0,Sync!$AF1833&lt;1),RIGHT("00"&amp;HOUR(Sync!$AF1833),2)&amp;RIGHT("00"&amp;MINUTE(Sync!$AF1833),2),IFERROR(RIGHT("00"&amp;VALUE(LEFT(Sync!$AF1833,FIND(":",Sync!$AF1833)-1)),2)&amp;RIGHT("00"&amp;VALUE(MID(Sync!$AF1833,FIND(":",Sync!$AF1833)+1,2)),2),"0000"))))</f>
        <v/>
      </c>
    </row>
    <row r="1834" spans="1:14" x14ac:dyDescent="0.2">
      <c r="A1834" t="str">
        <f>IF(OR(Calc!$E1838="",Calc!$E1838="نامعتبر",Calc!$G1838=""),"",Calc!$G1838)</f>
        <v/>
      </c>
      <c r="B1834" t="str">
        <f>IF($A1834="","",LEFT(Calc!$E1838,4)&amp;MID(Calc!$E1838,6,2)&amp;RIGHT(Calc!$E1838,2)&amp;Calc!$Q1838&amp;"|"&amp;"1"&amp;RIGHT("00000"&amp;1829,5))</f>
        <v/>
      </c>
      <c r="C1834" t="str">
        <f t="shared" si="140"/>
        <v/>
      </c>
      <c r="D1834" t="str">
        <f t="shared" si="141"/>
        <v/>
      </c>
      <c r="F1834" t="str">
        <f>IF(Sync!$AH1834="","",IF(LEFT(UPPER(TRIM(Sync!$AH1834)),2)="SL",UPPER(TRIM(Sync!$AH1834)),""))</f>
        <v/>
      </c>
      <c r="G1834" t="str">
        <f>IF($F1834="","",IF(Sync!$AE1834="","",IF(ISNUMBER(Sync!$AE1834),IF(AND(Sync!$AE1834&gt;=10000101,Sync!$AE1834&lt;=99991231),INT(Sync!$AE1834/10000),""),IFERROR(VALUE(TRIM(LEFT(Sync!$AE1834,FIND("/",Sync!$AE1834)-1))),""))))</f>
        <v/>
      </c>
      <c r="H1834" t="str">
        <f>IF(OR($F1834="",$G1834=""),"",IF(ISNUMBER(Sync!$AE1834),INT(MOD(Sync!$AE1834,10000)/100),IFERROR(VALUE(TRIM(LEFT(MID(Sync!$AE1834,FIND("/",Sync!$AE1834)+1,20),FIND("/",MID(Sync!$AE1834,FIND("/",Sync!$AE1834)+1,20))-1))),"")))</f>
        <v/>
      </c>
      <c r="I1834" t="str">
        <f>IF(OR($F1834="",$G1834=""),"",IF(ISNUMBER(Sync!$AE1834),MOD(Sync!$AE1834,100),IFERROR(VALUE(TRIM(MID(MID(Sync!$AE1834,FIND("/",Sync!$AE1834)+1,20),FIND("/",MID(Sync!$AE1834,FIND("/",Sync!$AE1834)+1,20))+1,20))),"")))</f>
        <v/>
      </c>
      <c r="J1834" t="str">
        <f t="shared" si="142"/>
        <v/>
      </c>
      <c r="K1834" t="str">
        <f>IF(OR($F1834="",$J1834="",$J1834="نامعتبر"),"",LEFT($J1834,4)&amp;MID($J1834,6,2)&amp;RIGHT($J1834,2)&amp;$N1834&amp;"|"&amp;"2"&amp;RIGHT("00000"&amp;1829,5))</f>
        <v/>
      </c>
      <c r="L1834" t="str">
        <f t="shared" si="143"/>
        <v/>
      </c>
      <c r="M1834" t="str">
        <f t="shared" si="144"/>
        <v/>
      </c>
      <c r="N1834" t="str">
        <f>IF($F1834="","",IF(Sync!$AF1834="","0000",IF(AND(ISNUMBER(Sync!$AF1834),Sync!$AF1834&gt;=0,Sync!$AF1834&lt;1),RIGHT("00"&amp;HOUR(Sync!$AF1834),2)&amp;RIGHT("00"&amp;MINUTE(Sync!$AF1834),2),IFERROR(RIGHT("00"&amp;VALUE(LEFT(Sync!$AF1834,FIND(":",Sync!$AF1834)-1)),2)&amp;RIGHT("00"&amp;VALUE(MID(Sync!$AF1834,FIND(":",Sync!$AF1834)+1,2)),2),"0000"))))</f>
        <v/>
      </c>
    </row>
    <row r="1835" spans="1:14" x14ac:dyDescent="0.2">
      <c r="A1835" t="str">
        <f>IF(OR(Calc!$E1839="",Calc!$E1839="نامعتبر",Calc!$G1839=""),"",Calc!$G1839)</f>
        <v/>
      </c>
      <c r="B1835" t="str">
        <f>IF($A1835="","",LEFT(Calc!$E1839,4)&amp;MID(Calc!$E1839,6,2)&amp;RIGHT(Calc!$E1839,2)&amp;Calc!$Q1839&amp;"|"&amp;"1"&amp;RIGHT("00000"&amp;1830,5))</f>
        <v/>
      </c>
      <c r="C1835" t="str">
        <f t="shared" si="140"/>
        <v/>
      </c>
      <c r="D1835" t="str">
        <f t="shared" si="141"/>
        <v/>
      </c>
      <c r="F1835" t="str">
        <f>IF(Sync!$AH1835="","",IF(LEFT(UPPER(TRIM(Sync!$AH1835)),2)="SL",UPPER(TRIM(Sync!$AH1835)),""))</f>
        <v/>
      </c>
      <c r="G1835" t="str">
        <f>IF($F1835="","",IF(Sync!$AE1835="","",IF(ISNUMBER(Sync!$AE1835),IF(AND(Sync!$AE1835&gt;=10000101,Sync!$AE1835&lt;=99991231),INT(Sync!$AE1835/10000),""),IFERROR(VALUE(TRIM(LEFT(Sync!$AE1835,FIND("/",Sync!$AE1835)-1))),""))))</f>
        <v/>
      </c>
      <c r="H1835" t="str">
        <f>IF(OR($F1835="",$G1835=""),"",IF(ISNUMBER(Sync!$AE1835),INT(MOD(Sync!$AE1835,10000)/100),IFERROR(VALUE(TRIM(LEFT(MID(Sync!$AE1835,FIND("/",Sync!$AE1835)+1,20),FIND("/",MID(Sync!$AE1835,FIND("/",Sync!$AE1835)+1,20))-1))),"")))</f>
        <v/>
      </c>
      <c r="I1835" t="str">
        <f>IF(OR($F1835="",$G1835=""),"",IF(ISNUMBER(Sync!$AE1835),MOD(Sync!$AE1835,100),IFERROR(VALUE(TRIM(MID(MID(Sync!$AE1835,FIND("/",Sync!$AE1835)+1,20),FIND("/",MID(Sync!$AE1835,FIND("/",Sync!$AE1835)+1,20))+1,20))),"")))</f>
        <v/>
      </c>
      <c r="J1835" t="str">
        <f t="shared" si="142"/>
        <v/>
      </c>
      <c r="K1835" t="str">
        <f>IF(OR($F1835="",$J1835="",$J1835="نامعتبر"),"",LEFT($J1835,4)&amp;MID($J1835,6,2)&amp;RIGHT($J1835,2)&amp;$N1835&amp;"|"&amp;"2"&amp;RIGHT("00000"&amp;1830,5))</f>
        <v/>
      </c>
      <c r="L1835" t="str">
        <f t="shared" si="143"/>
        <v/>
      </c>
      <c r="M1835" t="str">
        <f t="shared" si="144"/>
        <v/>
      </c>
      <c r="N1835" t="str">
        <f>IF($F1835="","",IF(Sync!$AF1835="","0000",IF(AND(ISNUMBER(Sync!$AF1835),Sync!$AF1835&gt;=0,Sync!$AF1835&lt;1),RIGHT("00"&amp;HOUR(Sync!$AF1835),2)&amp;RIGHT("00"&amp;MINUTE(Sync!$AF1835),2),IFERROR(RIGHT("00"&amp;VALUE(LEFT(Sync!$AF1835,FIND(":",Sync!$AF1835)-1)),2)&amp;RIGHT("00"&amp;VALUE(MID(Sync!$AF1835,FIND(":",Sync!$AF1835)+1,2)),2),"0000"))))</f>
        <v/>
      </c>
    </row>
    <row r="1836" spans="1:14" x14ac:dyDescent="0.2">
      <c r="A1836" t="str">
        <f>IF(OR(Calc!$E1840="",Calc!$E1840="نامعتبر",Calc!$G1840=""),"",Calc!$G1840)</f>
        <v/>
      </c>
      <c r="B1836" t="str">
        <f>IF($A1836="","",LEFT(Calc!$E1840,4)&amp;MID(Calc!$E1840,6,2)&amp;RIGHT(Calc!$E1840,2)&amp;Calc!$Q1840&amp;"|"&amp;"1"&amp;RIGHT("00000"&amp;1831,5))</f>
        <v/>
      </c>
      <c r="C1836" t="str">
        <f t="shared" si="140"/>
        <v/>
      </c>
      <c r="D1836" t="str">
        <f t="shared" si="141"/>
        <v/>
      </c>
      <c r="F1836" t="str">
        <f>IF(Sync!$AH1836="","",IF(LEFT(UPPER(TRIM(Sync!$AH1836)),2)="SL",UPPER(TRIM(Sync!$AH1836)),""))</f>
        <v/>
      </c>
      <c r="G1836" t="str">
        <f>IF($F1836="","",IF(Sync!$AE1836="","",IF(ISNUMBER(Sync!$AE1836),IF(AND(Sync!$AE1836&gt;=10000101,Sync!$AE1836&lt;=99991231),INT(Sync!$AE1836/10000),""),IFERROR(VALUE(TRIM(LEFT(Sync!$AE1836,FIND("/",Sync!$AE1836)-1))),""))))</f>
        <v/>
      </c>
      <c r="H1836" t="str">
        <f>IF(OR($F1836="",$G1836=""),"",IF(ISNUMBER(Sync!$AE1836),INT(MOD(Sync!$AE1836,10000)/100),IFERROR(VALUE(TRIM(LEFT(MID(Sync!$AE1836,FIND("/",Sync!$AE1836)+1,20),FIND("/",MID(Sync!$AE1836,FIND("/",Sync!$AE1836)+1,20))-1))),"")))</f>
        <v/>
      </c>
      <c r="I1836" t="str">
        <f>IF(OR($F1836="",$G1836=""),"",IF(ISNUMBER(Sync!$AE1836),MOD(Sync!$AE1836,100),IFERROR(VALUE(TRIM(MID(MID(Sync!$AE1836,FIND("/",Sync!$AE1836)+1,20),FIND("/",MID(Sync!$AE1836,FIND("/",Sync!$AE1836)+1,20))+1,20))),"")))</f>
        <v/>
      </c>
      <c r="J1836" t="str">
        <f t="shared" si="142"/>
        <v/>
      </c>
      <c r="K1836" t="str">
        <f>IF(OR($F1836="",$J1836="",$J1836="نامعتبر"),"",LEFT($J1836,4)&amp;MID($J1836,6,2)&amp;RIGHT($J1836,2)&amp;$N1836&amp;"|"&amp;"2"&amp;RIGHT("00000"&amp;1831,5))</f>
        <v/>
      </c>
      <c r="L1836" t="str">
        <f t="shared" si="143"/>
        <v/>
      </c>
      <c r="M1836" t="str">
        <f t="shared" si="144"/>
        <v/>
      </c>
      <c r="N1836" t="str">
        <f>IF($F1836="","",IF(Sync!$AF1836="","0000",IF(AND(ISNUMBER(Sync!$AF1836),Sync!$AF1836&gt;=0,Sync!$AF1836&lt;1),RIGHT("00"&amp;HOUR(Sync!$AF1836),2)&amp;RIGHT("00"&amp;MINUTE(Sync!$AF1836),2),IFERROR(RIGHT("00"&amp;VALUE(LEFT(Sync!$AF1836,FIND(":",Sync!$AF1836)-1)),2)&amp;RIGHT("00"&amp;VALUE(MID(Sync!$AF1836,FIND(":",Sync!$AF1836)+1,2)),2),"0000"))))</f>
        <v/>
      </c>
    </row>
    <row r="1837" spans="1:14" x14ac:dyDescent="0.2">
      <c r="A1837" t="str">
        <f>IF(OR(Calc!$E1841="",Calc!$E1841="نامعتبر",Calc!$G1841=""),"",Calc!$G1841)</f>
        <v/>
      </c>
      <c r="B1837" t="str">
        <f>IF($A1837="","",LEFT(Calc!$E1841,4)&amp;MID(Calc!$E1841,6,2)&amp;RIGHT(Calc!$E1841,2)&amp;Calc!$Q1841&amp;"|"&amp;"1"&amp;RIGHT("00000"&amp;1832,5))</f>
        <v/>
      </c>
      <c r="C1837" t="str">
        <f t="shared" si="140"/>
        <v/>
      </c>
      <c r="D1837" t="str">
        <f t="shared" si="141"/>
        <v/>
      </c>
      <c r="F1837" t="str">
        <f>IF(Sync!$AH1837="","",IF(LEFT(UPPER(TRIM(Sync!$AH1837)),2)="SL",UPPER(TRIM(Sync!$AH1837)),""))</f>
        <v/>
      </c>
      <c r="G1837" t="str">
        <f>IF($F1837="","",IF(Sync!$AE1837="","",IF(ISNUMBER(Sync!$AE1837),IF(AND(Sync!$AE1837&gt;=10000101,Sync!$AE1837&lt;=99991231),INT(Sync!$AE1837/10000),""),IFERROR(VALUE(TRIM(LEFT(Sync!$AE1837,FIND("/",Sync!$AE1837)-1))),""))))</f>
        <v/>
      </c>
      <c r="H1837" t="str">
        <f>IF(OR($F1837="",$G1837=""),"",IF(ISNUMBER(Sync!$AE1837),INT(MOD(Sync!$AE1837,10000)/100),IFERROR(VALUE(TRIM(LEFT(MID(Sync!$AE1837,FIND("/",Sync!$AE1837)+1,20),FIND("/",MID(Sync!$AE1837,FIND("/",Sync!$AE1837)+1,20))-1))),"")))</f>
        <v/>
      </c>
      <c r="I1837" t="str">
        <f>IF(OR($F1837="",$G1837=""),"",IF(ISNUMBER(Sync!$AE1837),MOD(Sync!$AE1837,100),IFERROR(VALUE(TRIM(MID(MID(Sync!$AE1837,FIND("/",Sync!$AE1837)+1,20),FIND("/",MID(Sync!$AE1837,FIND("/",Sync!$AE1837)+1,20))+1,20))),"")))</f>
        <v/>
      </c>
      <c r="J1837" t="str">
        <f t="shared" si="142"/>
        <v/>
      </c>
      <c r="K1837" t="str">
        <f>IF(OR($F1837="",$J1837="",$J1837="نامعتبر"),"",LEFT($J1837,4)&amp;MID($J1837,6,2)&amp;RIGHT($J1837,2)&amp;$N1837&amp;"|"&amp;"2"&amp;RIGHT("00000"&amp;1832,5))</f>
        <v/>
      </c>
      <c r="L1837" t="str">
        <f t="shared" si="143"/>
        <v/>
      </c>
      <c r="M1837" t="str">
        <f t="shared" si="144"/>
        <v/>
      </c>
      <c r="N1837" t="str">
        <f>IF($F1837="","",IF(Sync!$AF1837="","0000",IF(AND(ISNUMBER(Sync!$AF1837),Sync!$AF1837&gt;=0,Sync!$AF1837&lt;1),RIGHT("00"&amp;HOUR(Sync!$AF1837),2)&amp;RIGHT("00"&amp;MINUTE(Sync!$AF1837),2),IFERROR(RIGHT("00"&amp;VALUE(LEFT(Sync!$AF1837,FIND(":",Sync!$AF1837)-1)),2)&amp;RIGHT("00"&amp;VALUE(MID(Sync!$AF1837,FIND(":",Sync!$AF1837)+1,2)),2),"0000"))))</f>
        <v/>
      </c>
    </row>
    <row r="1838" spans="1:14" x14ac:dyDescent="0.2">
      <c r="A1838" t="str">
        <f>IF(OR(Calc!$E1842="",Calc!$E1842="نامعتبر",Calc!$G1842=""),"",Calc!$G1842)</f>
        <v/>
      </c>
      <c r="B1838" t="str">
        <f>IF($A1838="","",LEFT(Calc!$E1842,4)&amp;MID(Calc!$E1842,6,2)&amp;RIGHT(Calc!$E1842,2)&amp;Calc!$Q1842&amp;"|"&amp;"1"&amp;RIGHT("00000"&amp;1833,5))</f>
        <v/>
      </c>
      <c r="C1838" t="str">
        <f t="shared" si="140"/>
        <v/>
      </c>
      <c r="D1838" t="str">
        <f t="shared" si="141"/>
        <v/>
      </c>
      <c r="F1838" t="str">
        <f>IF(Sync!$AH1838="","",IF(LEFT(UPPER(TRIM(Sync!$AH1838)),2)="SL",UPPER(TRIM(Sync!$AH1838)),""))</f>
        <v/>
      </c>
      <c r="G1838" t="str">
        <f>IF($F1838="","",IF(Sync!$AE1838="","",IF(ISNUMBER(Sync!$AE1838),IF(AND(Sync!$AE1838&gt;=10000101,Sync!$AE1838&lt;=99991231),INT(Sync!$AE1838/10000),""),IFERROR(VALUE(TRIM(LEFT(Sync!$AE1838,FIND("/",Sync!$AE1838)-1))),""))))</f>
        <v/>
      </c>
      <c r="H1838" t="str">
        <f>IF(OR($F1838="",$G1838=""),"",IF(ISNUMBER(Sync!$AE1838),INT(MOD(Sync!$AE1838,10000)/100),IFERROR(VALUE(TRIM(LEFT(MID(Sync!$AE1838,FIND("/",Sync!$AE1838)+1,20),FIND("/",MID(Sync!$AE1838,FIND("/",Sync!$AE1838)+1,20))-1))),"")))</f>
        <v/>
      </c>
      <c r="I1838" t="str">
        <f>IF(OR($F1838="",$G1838=""),"",IF(ISNUMBER(Sync!$AE1838),MOD(Sync!$AE1838,100),IFERROR(VALUE(TRIM(MID(MID(Sync!$AE1838,FIND("/",Sync!$AE1838)+1,20),FIND("/",MID(Sync!$AE1838,FIND("/",Sync!$AE1838)+1,20))+1,20))),"")))</f>
        <v/>
      </c>
      <c r="J1838" t="str">
        <f t="shared" si="142"/>
        <v/>
      </c>
      <c r="K1838" t="str">
        <f>IF(OR($F1838="",$J1838="",$J1838="نامعتبر"),"",LEFT($J1838,4)&amp;MID($J1838,6,2)&amp;RIGHT($J1838,2)&amp;$N1838&amp;"|"&amp;"2"&amp;RIGHT("00000"&amp;1833,5))</f>
        <v/>
      </c>
      <c r="L1838" t="str">
        <f t="shared" si="143"/>
        <v/>
      </c>
      <c r="M1838" t="str">
        <f t="shared" si="144"/>
        <v/>
      </c>
      <c r="N1838" t="str">
        <f>IF($F1838="","",IF(Sync!$AF1838="","0000",IF(AND(ISNUMBER(Sync!$AF1838),Sync!$AF1838&gt;=0,Sync!$AF1838&lt;1),RIGHT("00"&amp;HOUR(Sync!$AF1838),2)&amp;RIGHT("00"&amp;MINUTE(Sync!$AF1838),2),IFERROR(RIGHT("00"&amp;VALUE(LEFT(Sync!$AF1838,FIND(":",Sync!$AF1838)-1)),2)&amp;RIGHT("00"&amp;VALUE(MID(Sync!$AF1838,FIND(":",Sync!$AF1838)+1,2)),2),"0000"))))</f>
        <v/>
      </c>
    </row>
    <row r="1839" spans="1:14" x14ac:dyDescent="0.2">
      <c r="A1839" t="str">
        <f>IF(OR(Calc!$E1843="",Calc!$E1843="نامعتبر",Calc!$G1843=""),"",Calc!$G1843)</f>
        <v/>
      </c>
      <c r="B1839" t="str">
        <f>IF($A1839="","",LEFT(Calc!$E1843,4)&amp;MID(Calc!$E1843,6,2)&amp;RIGHT(Calc!$E1843,2)&amp;Calc!$Q1843&amp;"|"&amp;"1"&amp;RIGHT("00000"&amp;1834,5))</f>
        <v/>
      </c>
      <c r="C1839" t="str">
        <f t="shared" si="140"/>
        <v/>
      </c>
      <c r="D1839" t="str">
        <f t="shared" si="141"/>
        <v/>
      </c>
      <c r="F1839" t="str">
        <f>IF(Sync!$AH1839="","",IF(LEFT(UPPER(TRIM(Sync!$AH1839)),2)="SL",UPPER(TRIM(Sync!$AH1839)),""))</f>
        <v/>
      </c>
      <c r="G1839" t="str">
        <f>IF($F1839="","",IF(Sync!$AE1839="","",IF(ISNUMBER(Sync!$AE1839),IF(AND(Sync!$AE1839&gt;=10000101,Sync!$AE1839&lt;=99991231),INT(Sync!$AE1839/10000),""),IFERROR(VALUE(TRIM(LEFT(Sync!$AE1839,FIND("/",Sync!$AE1839)-1))),""))))</f>
        <v/>
      </c>
      <c r="H1839" t="str">
        <f>IF(OR($F1839="",$G1839=""),"",IF(ISNUMBER(Sync!$AE1839),INT(MOD(Sync!$AE1839,10000)/100),IFERROR(VALUE(TRIM(LEFT(MID(Sync!$AE1839,FIND("/",Sync!$AE1839)+1,20),FIND("/",MID(Sync!$AE1839,FIND("/",Sync!$AE1839)+1,20))-1))),"")))</f>
        <v/>
      </c>
      <c r="I1839" t="str">
        <f>IF(OR($F1839="",$G1839=""),"",IF(ISNUMBER(Sync!$AE1839),MOD(Sync!$AE1839,100),IFERROR(VALUE(TRIM(MID(MID(Sync!$AE1839,FIND("/",Sync!$AE1839)+1,20),FIND("/",MID(Sync!$AE1839,FIND("/",Sync!$AE1839)+1,20))+1,20))),"")))</f>
        <v/>
      </c>
      <c r="J1839" t="str">
        <f t="shared" si="142"/>
        <v/>
      </c>
      <c r="K1839" t="str">
        <f>IF(OR($F1839="",$J1839="",$J1839="نامعتبر"),"",LEFT($J1839,4)&amp;MID($J1839,6,2)&amp;RIGHT($J1839,2)&amp;$N1839&amp;"|"&amp;"2"&amp;RIGHT("00000"&amp;1834,5))</f>
        <v/>
      </c>
      <c r="L1839" t="str">
        <f t="shared" si="143"/>
        <v/>
      </c>
      <c r="M1839" t="str">
        <f t="shared" si="144"/>
        <v/>
      </c>
      <c r="N1839" t="str">
        <f>IF($F1839="","",IF(Sync!$AF1839="","0000",IF(AND(ISNUMBER(Sync!$AF1839),Sync!$AF1839&gt;=0,Sync!$AF1839&lt;1),RIGHT("00"&amp;HOUR(Sync!$AF1839),2)&amp;RIGHT("00"&amp;MINUTE(Sync!$AF1839),2),IFERROR(RIGHT("00"&amp;VALUE(LEFT(Sync!$AF1839,FIND(":",Sync!$AF1839)-1)),2)&amp;RIGHT("00"&amp;VALUE(MID(Sync!$AF1839,FIND(":",Sync!$AF1839)+1,2)),2),"0000"))))</f>
        <v/>
      </c>
    </row>
    <row r="1840" spans="1:14" x14ac:dyDescent="0.2">
      <c r="A1840" t="str">
        <f>IF(OR(Calc!$E1844="",Calc!$E1844="نامعتبر",Calc!$G1844=""),"",Calc!$G1844)</f>
        <v/>
      </c>
      <c r="B1840" t="str">
        <f>IF($A1840="","",LEFT(Calc!$E1844,4)&amp;MID(Calc!$E1844,6,2)&amp;RIGHT(Calc!$E1844,2)&amp;Calc!$Q1844&amp;"|"&amp;"1"&amp;RIGHT("00000"&amp;1835,5))</f>
        <v/>
      </c>
      <c r="C1840" t="str">
        <f t="shared" si="140"/>
        <v/>
      </c>
      <c r="D1840" t="str">
        <f t="shared" si="141"/>
        <v/>
      </c>
      <c r="F1840" t="str">
        <f>IF(Sync!$AH1840="","",IF(LEFT(UPPER(TRIM(Sync!$AH1840)),2)="SL",UPPER(TRIM(Sync!$AH1840)),""))</f>
        <v/>
      </c>
      <c r="G1840" t="str">
        <f>IF($F1840="","",IF(Sync!$AE1840="","",IF(ISNUMBER(Sync!$AE1840),IF(AND(Sync!$AE1840&gt;=10000101,Sync!$AE1840&lt;=99991231),INT(Sync!$AE1840/10000),""),IFERROR(VALUE(TRIM(LEFT(Sync!$AE1840,FIND("/",Sync!$AE1840)-1))),""))))</f>
        <v/>
      </c>
      <c r="H1840" t="str">
        <f>IF(OR($F1840="",$G1840=""),"",IF(ISNUMBER(Sync!$AE1840),INT(MOD(Sync!$AE1840,10000)/100),IFERROR(VALUE(TRIM(LEFT(MID(Sync!$AE1840,FIND("/",Sync!$AE1840)+1,20),FIND("/",MID(Sync!$AE1840,FIND("/",Sync!$AE1840)+1,20))-1))),"")))</f>
        <v/>
      </c>
      <c r="I1840" t="str">
        <f>IF(OR($F1840="",$G1840=""),"",IF(ISNUMBER(Sync!$AE1840),MOD(Sync!$AE1840,100),IFERROR(VALUE(TRIM(MID(MID(Sync!$AE1840,FIND("/",Sync!$AE1840)+1,20),FIND("/",MID(Sync!$AE1840,FIND("/",Sync!$AE1840)+1,20))+1,20))),"")))</f>
        <v/>
      </c>
      <c r="J1840" t="str">
        <f t="shared" si="142"/>
        <v/>
      </c>
      <c r="K1840" t="str">
        <f>IF(OR($F1840="",$J1840="",$J1840="نامعتبر"),"",LEFT($J1840,4)&amp;MID($J1840,6,2)&amp;RIGHT($J1840,2)&amp;$N1840&amp;"|"&amp;"2"&amp;RIGHT("00000"&amp;1835,5))</f>
        <v/>
      </c>
      <c r="L1840" t="str">
        <f t="shared" si="143"/>
        <v/>
      </c>
      <c r="M1840" t="str">
        <f t="shared" si="144"/>
        <v/>
      </c>
      <c r="N1840" t="str">
        <f>IF($F1840="","",IF(Sync!$AF1840="","0000",IF(AND(ISNUMBER(Sync!$AF1840),Sync!$AF1840&gt;=0,Sync!$AF1840&lt;1),RIGHT("00"&amp;HOUR(Sync!$AF1840),2)&amp;RIGHT("00"&amp;MINUTE(Sync!$AF1840),2),IFERROR(RIGHT("00"&amp;VALUE(LEFT(Sync!$AF1840,FIND(":",Sync!$AF1840)-1)),2)&amp;RIGHT("00"&amp;VALUE(MID(Sync!$AF1840,FIND(":",Sync!$AF1840)+1,2)),2),"0000"))))</f>
        <v/>
      </c>
    </row>
    <row r="1841" spans="1:14" x14ac:dyDescent="0.2">
      <c r="A1841" t="str">
        <f>IF(OR(Calc!$E1845="",Calc!$E1845="نامعتبر",Calc!$G1845=""),"",Calc!$G1845)</f>
        <v/>
      </c>
      <c r="B1841" t="str">
        <f>IF($A1841="","",LEFT(Calc!$E1845,4)&amp;MID(Calc!$E1845,6,2)&amp;RIGHT(Calc!$E1845,2)&amp;Calc!$Q1845&amp;"|"&amp;"1"&amp;RIGHT("00000"&amp;1836,5))</f>
        <v/>
      </c>
      <c r="C1841" t="str">
        <f t="shared" si="140"/>
        <v/>
      </c>
      <c r="D1841" t="str">
        <f t="shared" si="141"/>
        <v/>
      </c>
      <c r="F1841" t="str">
        <f>IF(Sync!$AH1841="","",IF(LEFT(UPPER(TRIM(Sync!$AH1841)),2)="SL",UPPER(TRIM(Sync!$AH1841)),""))</f>
        <v/>
      </c>
      <c r="G1841" t="str">
        <f>IF($F1841="","",IF(Sync!$AE1841="","",IF(ISNUMBER(Sync!$AE1841),IF(AND(Sync!$AE1841&gt;=10000101,Sync!$AE1841&lt;=99991231),INT(Sync!$AE1841/10000),""),IFERROR(VALUE(TRIM(LEFT(Sync!$AE1841,FIND("/",Sync!$AE1841)-1))),""))))</f>
        <v/>
      </c>
      <c r="H1841" t="str">
        <f>IF(OR($F1841="",$G1841=""),"",IF(ISNUMBER(Sync!$AE1841),INT(MOD(Sync!$AE1841,10000)/100),IFERROR(VALUE(TRIM(LEFT(MID(Sync!$AE1841,FIND("/",Sync!$AE1841)+1,20),FIND("/",MID(Sync!$AE1841,FIND("/",Sync!$AE1841)+1,20))-1))),"")))</f>
        <v/>
      </c>
      <c r="I1841" t="str">
        <f>IF(OR($F1841="",$G1841=""),"",IF(ISNUMBER(Sync!$AE1841),MOD(Sync!$AE1841,100),IFERROR(VALUE(TRIM(MID(MID(Sync!$AE1841,FIND("/",Sync!$AE1841)+1,20),FIND("/",MID(Sync!$AE1841,FIND("/",Sync!$AE1841)+1,20))+1,20))),"")))</f>
        <v/>
      </c>
      <c r="J1841" t="str">
        <f t="shared" si="142"/>
        <v/>
      </c>
      <c r="K1841" t="str">
        <f>IF(OR($F1841="",$J1841="",$J1841="نامعتبر"),"",LEFT($J1841,4)&amp;MID($J1841,6,2)&amp;RIGHT($J1841,2)&amp;$N1841&amp;"|"&amp;"2"&amp;RIGHT("00000"&amp;1836,5))</f>
        <v/>
      </c>
      <c r="L1841" t="str">
        <f t="shared" si="143"/>
        <v/>
      </c>
      <c r="M1841" t="str">
        <f t="shared" si="144"/>
        <v/>
      </c>
      <c r="N1841" t="str">
        <f>IF($F1841="","",IF(Sync!$AF1841="","0000",IF(AND(ISNUMBER(Sync!$AF1841),Sync!$AF1841&gt;=0,Sync!$AF1841&lt;1),RIGHT("00"&amp;HOUR(Sync!$AF1841),2)&amp;RIGHT("00"&amp;MINUTE(Sync!$AF1841),2),IFERROR(RIGHT("00"&amp;VALUE(LEFT(Sync!$AF1841,FIND(":",Sync!$AF1841)-1)),2)&amp;RIGHT("00"&amp;VALUE(MID(Sync!$AF1841,FIND(":",Sync!$AF1841)+1,2)),2),"0000"))))</f>
        <v/>
      </c>
    </row>
    <row r="1842" spans="1:14" x14ac:dyDescent="0.2">
      <c r="A1842" t="str">
        <f>IF(OR(Calc!$E1846="",Calc!$E1846="نامعتبر",Calc!$G1846=""),"",Calc!$G1846)</f>
        <v/>
      </c>
      <c r="B1842" t="str">
        <f>IF($A1842="","",LEFT(Calc!$E1846,4)&amp;MID(Calc!$E1846,6,2)&amp;RIGHT(Calc!$E1846,2)&amp;Calc!$Q1846&amp;"|"&amp;"1"&amp;RIGHT("00000"&amp;1837,5))</f>
        <v/>
      </c>
      <c r="C1842" t="str">
        <f t="shared" si="140"/>
        <v/>
      </c>
      <c r="D1842" t="str">
        <f t="shared" si="141"/>
        <v/>
      </c>
      <c r="F1842" t="str">
        <f>IF(Sync!$AH1842="","",IF(LEFT(UPPER(TRIM(Sync!$AH1842)),2)="SL",UPPER(TRIM(Sync!$AH1842)),""))</f>
        <v/>
      </c>
      <c r="G1842" t="str">
        <f>IF($F1842="","",IF(Sync!$AE1842="","",IF(ISNUMBER(Sync!$AE1842),IF(AND(Sync!$AE1842&gt;=10000101,Sync!$AE1842&lt;=99991231),INT(Sync!$AE1842/10000),""),IFERROR(VALUE(TRIM(LEFT(Sync!$AE1842,FIND("/",Sync!$AE1842)-1))),""))))</f>
        <v/>
      </c>
      <c r="H1842" t="str">
        <f>IF(OR($F1842="",$G1842=""),"",IF(ISNUMBER(Sync!$AE1842),INT(MOD(Sync!$AE1842,10000)/100),IFERROR(VALUE(TRIM(LEFT(MID(Sync!$AE1842,FIND("/",Sync!$AE1842)+1,20),FIND("/",MID(Sync!$AE1842,FIND("/",Sync!$AE1842)+1,20))-1))),"")))</f>
        <v/>
      </c>
      <c r="I1842" t="str">
        <f>IF(OR($F1842="",$G1842=""),"",IF(ISNUMBER(Sync!$AE1842),MOD(Sync!$AE1842,100),IFERROR(VALUE(TRIM(MID(MID(Sync!$AE1842,FIND("/",Sync!$AE1842)+1,20),FIND("/",MID(Sync!$AE1842,FIND("/",Sync!$AE1842)+1,20))+1,20))),"")))</f>
        <v/>
      </c>
      <c r="J1842" t="str">
        <f t="shared" si="142"/>
        <v/>
      </c>
      <c r="K1842" t="str">
        <f>IF(OR($F1842="",$J1842="",$J1842="نامعتبر"),"",LEFT($J1842,4)&amp;MID($J1842,6,2)&amp;RIGHT($J1842,2)&amp;$N1842&amp;"|"&amp;"2"&amp;RIGHT("00000"&amp;1837,5))</f>
        <v/>
      </c>
      <c r="L1842" t="str">
        <f t="shared" si="143"/>
        <v/>
      </c>
      <c r="M1842" t="str">
        <f t="shared" si="144"/>
        <v/>
      </c>
      <c r="N1842" t="str">
        <f>IF($F1842="","",IF(Sync!$AF1842="","0000",IF(AND(ISNUMBER(Sync!$AF1842),Sync!$AF1842&gt;=0,Sync!$AF1842&lt;1),RIGHT("00"&amp;HOUR(Sync!$AF1842),2)&amp;RIGHT("00"&amp;MINUTE(Sync!$AF1842),2),IFERROR(RIGHT("00"&amp;VALUE(LEFT(Sync!$AF1842,FIND(":",Sync!$AF1842)-1)),2)&amp;RIGHT("00"&amp;VALUE(MID(Sync!$AF1842,FIND(":",Sync!$AF1842)+1,2)),2),"0000"))))</f>
        <v/>
      </c>
    </row>
    <row r="1843" spans="1:14" x14ac:dyDescent="0.2">
      <c r="A1843" t="str">
        <f>IF(OR(Calc!$E1847="",Calc!$E1847="نامعتبر",Calc!$G1847=""),"",Calc!$G1847)</f>
        <v/>
      </c>
      <c r="B1843" t="str">
        <f>IF($A1843="","",LEFT(Calc!$E1847,4)&amp;MID(Calc!$E1847,6,2)&amp;RIGHT(Calc!$E1847,2)&amp;Calc!$Q1847&amp;"|"&amp;"1"&amp;RIGHT("00000"&amp;1838,5))</f>
        <v/>
      </c>
      <c r="C1843" t="str">
        <f t="shared" si="140"/>
        <v/>
      </c>
      <c r="D1843" t="str">
        <f t="shared" si="141"/>
        <v/>
      </c>
      <c r="F1843" t="str">
        <f>IF(Sync!$AH1843="","",IF(LEFT(UPPER(TRIM(Sync!$AH1843)),2)="SL",UPPER(TRIM(Sync!$AH1843)),""))</f>
        <v/>
      </c>
      <c r="G1843" t="str">
        <f>IF($F1843="","",IF(Sync!$AE1843="","",IF(ISNUMBER(Sync!$AE1843),IF(AND(Sync!$AE1843&gt;=10000101,Sync!$AE1843&lt;=99991231),INT(Sync!$AE1843/10000),""),IFERROR(VALUE(TRIM(LEFT(Sync!$AE1843,FIND("/",Sync!$AE1843)-1))),""))))</f>
        <v/>
      </c>
      <c r="H1843" t="str">
        <f>IF(OR($F1843="",$G1843=""),"",IF(ISNUMBER(Sync!$AE1843),INT(MOD(Sync!$AE1843,10000)/100),IFERROR(VALUE(TRIM(LEFT(MID(Sync!$AE1843,FIND("/",Sync!$AE1843)+1,20),FIND("/",MID(Sync!$AE1843,FIND("/",Sync!$AE1843)+1,20))-1))),"")))</f>
        <v/>
      </c>
      <c r="I1843" t="str">
        <f>IF(OR($F1843="",$G1843=""),"",IF(ISNUMBER(Sync!$AE1843),MOD(Sync!$AE1843,100),IFERROR(VALUE(TRIM(MID(MID(Sync!$AE1843,FIND("/",Sync!$AE1843)+1,20),FIND("/",MID(Sync!$AE1843,FIND("/",Sync!$AE1843)+1,20))+1,20))),"")))</f>
        <v/>
      </c>
      <c r="J1843" t="str">
        <f t="shared" si="142"/>
        <v/>
      </c>
      <c r="K1843" t="str">
        <f>IF(OR($F1843="",$J1843="",$J1843="نامعتبر"),"",LEFT($J1843,4)&amp;MID($J1843,6,2)&amp;RIGHT($J1843,2)&amp;$N1843&amp;"|"&amp;"2"&amp;RIGHT("00000"&amp;1838,5))</f>
        <v/>
      </c>
      <c r="L1843" t="str">
        <f t="shared" si="143"/>
        <v/>
      </c>
      <c r="M1843" t="str">
        <f t="shared" si="144"/>
        <v/>
      </c>
      <c r="N1843" t="str">
        <f>IF($F1843="","",IF(Sync!$AF1843="","0000",IF(AND(ISNUMBER(Sync!$AF1843),Sync!$AF1843&gt;=0,Sync!$AF1843&lt;1),RIGHT("00"&amp;HOUR(Sync!$AF1843),2)&amp;RIGHT("00"&amp;MINUTE(Sync!$AF1843),2),IFERROR(RIGHT("00"&amp;VALUE(LEFT(Sync!$AF1843,FIND(":",Sync!$AF1843)-1)),2)&amp;RIGHT("00"&amp;VALUE(MID(Sync!$AF1843,FIND(":",Sync!$AF1843)+1,2)),2),"0000"))))</f>
        <v/>
      </c>
    </row>
    <row r="1844" spans="1:14" x14ac:dyDescent="0.2">
      <c r="A1844" t="str">
        <f>IF(OR(Calc!$E1848="",Calc!$E1848="نامعتبر",Calc!$G1848=""),"",Calc!$G1848)</f>
        <v/>
      </c>
      <c r="B1844" t="str">
        <f>IF($A1844="","",LEFT(Calc!$E1848,4)&amp;MID(Calc!$E1848,6,2)&amp;RIGHT(Calc!$E1848,2)&amp;Calc!$Q1848&amp;"|"&amp;"1"&amp;RIGHT("00000"&amp;1839,5))</f>
        <v/>
      </c>
      <c r="C1844" t="str">
        <f t="shared" si="140"/>
        <v/>
      </c>
      <c r="D1844" t="str">
        <f t="shared" si="141"/>
        <v/>
      </c>
      <c r="F1844" t="str">
        <f>IF(Sync!$AH1844="","",IF(LEFT(UPPER(TRIM(Sync!$AH1844)),2)="SL",UPPER(TRIM(Sync!$AH1844)),""))</f>
        <v/>
      </c>
      <c r="G1844" t="str">
        <f>IF($F1844="","",IF(Sync!$AE1844="","",IF(ISNUMBER(Sync!$AE1844),IF(AND(Sync!$AE1844&gt;=10000101,Sync!$AE1844&lt;=99991231),INT(Sync!$AE1844/10000),""),IFERROR(VALUE(TRIM(LEFT(Sync!$AE1844,FIND("/",Sync!$AE1844)-1))),""))))</f>
        <v/>
      </c>
      <c r="H1844" t="str">
        <f>IF(OR($F1844="",$G1844=""),"",IF(ISNUMBER(Sync!$AE1844),INT(MOD(Sync!$AE1844,10000)/100),IFERROR(VALUE(TRIM(LEFT(MID(Sync!$AE1844,FIND("/",Sync!$AE1844)+1,20),FIND("/",MID(Sync!$AE1844,FIND("/",Sync!$AE1844)+1,20))-1))),"")))</f>
        <v/>
      </c>
      <c r="I1844" t="str">
        <f>IF(OR($F1844="",$G1844=""),"",IF(ISNUMBER(Sync!$AE1844),MOD(Sync!$AE1844,100),IFERROR(VALUE(TRIM(MID(MID(Sync!$AE1844,FIND("/",Sync!$AE1844)+1,20),FIND("/",MID(Sync!$AE1844,FIND("/",Sync!$AE1844)+1,20))+1,20))),"")))</f>
        <v/>
      </c>
      <c r="J1844" t="str">
        <f t="shared" si="142"/>
        <v/>
      </c>
      <c r="K1844" t="str">
        <f>IF(OR($F1844="",$J1844="",$J1844="نامعتبر"),"",LEFT($J1844,4)&amp;MID($J1844,6,2)&amp;RIGHT($J1844,2)&amp;$N1844&amp;"|"&amp;"2"&amp;RIGHT("00000"&amp;1839,5))</f>
        <v/>
      </c>
      <c r="L1844" t="str">
        <f t="shared" si="143"/>
        <v/>
      </c>
      <c r="M1844" t="str">
        <f t="shared" si="144"/>
        <v/>
      </c>
      <c r="N1844" t="str">
        <f>IF($F1844="","",IF(Sync!$AF1844="","0000",IF(AND(ISNUMBER(Sync!$AF1844),Sync!$AF1844&gt;=0,Sync!$AF1844&lt;1),RIGHT("00"&amp;HOUR(Sync!$AF1844),2)&amp;RIGHT("00"&amp;MINUTE(Sync!$AF1844),2),IFERROR(RIGHT("00"&amp;VALUE(LEFT(Sync!$AF1844,FIND(":",Sync!$AF1844)-1)),2)&amp;RIGHT("00"&amp;VALUE(MID(Sync!$AF1844,FIND(":",Sync!$AF1844)+1,2)),2),"0000"))))</f>
        <v/>
      </c>
    </row>
    <row r="1845" spans="1:14" x14ac:dyDescent="0.2">
      <c r="A1845" t="str">
        <f>IF(OR(Calc!$E1849="",Calc!$E1849="نامعتبر",Calc!$G1849=""),"",Calc!$G1849)</f>
        <v/>
      </c>
      <c r="B1845" t="str">
        <f>IF($A1845="","",LEFT(Calc!$E1849,4)&amp;MID(Calc!$E1849,6,2)&amp;RIGHT(Calc!$E1849,2)&amp;Calc!$Q1849&amp;"|"&amp;"1"&amp;RIGHT("00000"&amp;1840,5))</f>
        <v/>
      </c>
      <c r="C1845" t="str">
        <f t="shared" si="140"/>
        <v/>
      </c>
      <c r="D1845" t="str">
        <f t="shared" si="141"/>
        <v/>
      </c>
      <c r="F1845" t="str">
        <f>IF(Sync!$AH1845="","",IF(LEFT(UPPER(TRIM(Sync!$AH1845)),2)="SL",UPPER(TRIM(Sync!$AH1845)),""))</f>
        <v/>
      </c>
      <c r="G1845" t="str">
        <f>IF($F1845="","",IF(Sync!$AE1845="","",IF(ISNUMBER(Sync!$AE1845),IF(AND(Sync!$AE1845&gt;=10000101,Sync!$AE1845&lt;=99991231),INT(Sync!$AE1845/10000),""),IFERROR(VALUE(TRIM(LEFT(Sync!$AE1845,FIND("/",Sync!$AE1845)-1))),""))))</f>
        <v/>
      </c>
      <c r="H1845" t="str">
        <f>IF(OR($F1845="",$G1845=""),"",IF(ISNUMBER(Sync!$AE1845),INT(MOD(Sync!$AE1845,10000)/100),IFERROR(VALUE(TRIM(LEFT(MID(Sync!$AE1845,FIND("/",Sync!$AE1845)+1,20),FIND("/",MID(Sync!$AE1845,FIND("/",Sync!$AE1845)+1,20))-1))),"")))</f>
        <v/>
      </c>
      <c r="I1845" t="str">
        <f>IF(OR($F1845="",$G1845=""),"",IF(ISNUMBER(Sync!$AE1845),MOD(Sync!$AE1845,100),IFERROR(VALUE(TRIM(MID(MID(Sync!$AE1845,FIND("/",Sync!$AE1845)+1,20),FIND("/",MID(Sync!$AE1845,FIND("/",Sync!$AE1845)+1,20))+1,20))),"")))</f>
        <v/>
      </c>
      <c r="J1845" t="str">
        <f t="shared" si="142"/>
        <v/>
      </c>
      <c r="K1845" t="str">
        <f>IF(OR($F1845="",$J1845="",$J1845="نامعتبر"),"",LEFT($J1845,4)&amp;MID($J1845,6,2)&amp;RIGHT($J1845,2)&amp;$N1845&amp;"|"&amp;"2"&amp;RIGHT("00000"&amp;1840,5))</f>
        <v/>
      </c>
      <c r="L1845" t="str">
        <f t="shared" si="143"/>
        <v/>
      </c>
      <c r="M1845" t="str">
        <f t="shared" si="144"/>
        <v/>
      </c>
      <c r="N1845" t="str">
        <f>IF($F1845="","",IF(Sync!$AF1845="","0000",IF(AND(ISNUMBER(Sync!$AF1845),Sync!$AF1845&gt;=0,Sync!$AF1845&lt;1),RIGHT("00"&amp;HOUR(Sync!$AF1845),2)&amp;RIGHT("00"&amp;MINUTE(Sync!$AF1845),2),IFERROR(RIGHT("00"&amp;VALUE(LEFT(Sync!$AF1845,FIND(":",Sync!$AF1845)-1)),2)&amp;RIGHT("00"&amp;VALUE(MID(Sync!$AF1845,FIND(":",Sync!$AF1845)+1,2)),2),"0000"))))</f>
        <v/>
      </c>
    </row>
    <row r="1846" spans="1:14" x14ac:dyDescent="0.2">
      <c r="A1846" t="str">
        <f>IF(OR(Calc!$E1850="",Calc!$E1850="نامعتبر",Calc!$G1850=""),"",Calc!$G1850)</f>
        <v/>
      </c>
      <c r="B1846" t="str">
        <f>IF($A1846="","",LEFT(Calc!$E1850,4)&amp;MID(Calc!$E1850,6,2)&amp;RIGHT(Calc!$E1850,2)&amp;Calc!$Q1850&amp;"|"&amp;"1"&amp;RIGHT("00000"&amp;1841,5))</f>
        <v/>
      </c>
      <c r="C1846" t="str">
        <f t="shared" si="140"/>
        <v/>
      </c>
      <c r="D1846" t="str">
        <f t="shared" si="141"/>
        <v/>
      </c>
      <c r="F1846" t="str">
        <f>IF(Sync!$AH1846="","",IF(LEFT(UPPER(TRIM(Sync!$AH1846)),2)="SL",UPPER(TRIM(Sync!$AH1846)),""))</f>
        <v/>
      </c>
      <c r="G1846" t="str">
        <f>IF($F1846="","",IF(Sync!$AE1846="","",IF(ISNUMBER(Sync!$AE1846),IF(AND(Sync!$AE1846&gt;=10000101,Sync!$AE1846&lt;=99991231),INT(Sync!$AE1846/10000),""),IFERROR(VALUE(TRIM(LEFT(Sync!$AE1846,FIND("/",Sync!$AE1846)-1))),""))))</f>
        <v/>
      </c>
      <c r="H1846" t="str">
        <f>IF(OR($F1846="",$G1846=""),"",IF(ISNUMBER(Sync!$AE1846),INT(MOD(Sync!$AE1846,10000)/100),IFERROR(VALUE(TRIM(LEFT(MID(Sync!$AE1846,FIND("/",Sync!$AE1846)+1,20),FIND("/",MID(Sync!$AE1846,FIND("/",Sync!$AE1846)+1,20))-1))),"")))</f>
        <v/>
      </c>
      <c r="I1846" t="str">
        <f>IF(OR($F1846="",$G1846=""),"",IF(ISNUMBER(Sync!$AE1846),MOD(Sync!$AE1846,100),IFERROR(VALUE(TRIM(MID(MID(Sync!$AE1846,FIND("/",Sync!$AE1846)+1,20),FIND("/",MID(Sync!$AE1846,FIND("/",Sync!$AE1846)+1,20))+1,20))),"")))</f>
        <v/>
      </c>
      <c r="J1846" t="str">
        <f t="shared" si="142"/>
        <v/>
      </c>
      <c r="K1846" t="str">
        <f>IF(OR($F1846="",$J1846="",$J1846="نامعتبر"),"",LEFT($J1846,4)&amp;MID($J1846,6,2)&amp;RIGHT($J1846,2)&amp;$N1846&amp;"|"&amp;"2"&amp;RIGHT("00000"&amp;1841,5))</f>
        <v/>
      </c>
      <c r="L1846" t="str">
        <f t="shared" si="143"/>
        <v/>
      </c>
      <c r="M1846" t="str">
        <f t="shared" si="144"/>
        <v/>
      </c>
      <c r="N1846" t="str">
        <f>IF($F1846="","",IF(Sync!$AF1846="","0000",IF(AND(ISNUMBER(Sync!$AF1846),Sync!$AF1846&gt;=0,Sync!$AF1846&lt;1),RIGHT("00"&amp;HOUR(Sync!$AF1846),2)&amp;RIGHT("00"&amp;MINUTE(Sync!$AF1846),2),IFERROR(RIGHT("00"&amp;VALUE(LEFT(Sync!$AF1846,FIND(":",Sync!$AF1846)-1)),2)&amp;RIGHT("00"&amp;VALUE(MID(Sync!$AF1846,FIND(":",Sync!$AF1846)+1,2)),2),"0000"))))</f>
        <v/>
      </c>
    </row>
    <row r="1847" spans="1:14" x14ac:dyDescent="0.2">
      <c r="A1847" t="str">
        <f>IF(OR(Calc!$E1851="",Calc!$E1851="نامعتبر",Calc!$G1851=""),"",Calc!$G1851)</f>
        <v/>
      </c>
      <c r="B1847" t="str">
        <f>IF($A1847="","",LEFT(Calc!$E1851,4)&amp;MID(Calc!$E1851,6,2)&amp;RIGHT(Calc!$E1851,2)&amp;Calc!$Q1851&amp;"|"&amp;"1"&amp;RIGHT("00000"&amp;1842,5))</f>
        <v/>
      </c>
      <c r="C1847" t="str">
        <f t="shared" si="140"/>
        <v/>
      </c>
      <c r="D1847" t="str">
        <f t="shared" si="141"/>
        <v/>
      </c>
      <c r="F1847" t="str">
        <f>IF(Sync!$AH1847="","",IF(LEFT(UPPER(TRIM(Sync!$AH1847)),2)="SL",UPPER(TRIM(Sync!$AH1847)),""))</f>
        <v/>
      </c>
      <c r="G1847" t="str">
        <f>IF($F1847="","",IF(Sync!$AE1847="","",IF(ISNUMBER(Sync!$AE1847),IF(AND(Sync!$AE1847&gt;=10000101,Sync!$AE1847&lt;=99991231),INT(Sync!$AE1847/10000),""),IFERROR(VALUE(TRIM(LEFT(Sync!$AE1847,FIND("/",Sync!$AE1847)-1))),""))))</f>
        <v/>
      </c>
      <c r="H1847" t="str">
        <f>IF(OR($F1847="",$G1847=""),"",IF(ISNUMBER(Sync!$AE1847),INT(MOD(Sync!$AE1847,10000)/100),IFERROR(VALUE(TRIM(LEFT(MID(Sync!$AE1847,FIND("/",Sync!$AE1847)+1,20),FIND("/",MID(Sync!$AE1847,FIND("/",Sync!$AE1847)+1,20))-1))),"")))</f>
        <v/>
      </c>
      <c r="I1847" t="str">
        <f>IF(OR($F1847="",$G1847=""),"",IF(ISNUMBER(Sync!$AE1847),MOD(Sync!$AE1847,100),IFERROR(VALUE(TRIM(MID(MID(Sync!$AE1847,FIND("/",Sync!$AE1847)+1,20),FIND("/",MID(Sync!$AE1847,FIND("/",Sync!$AE1847)+1,20))+1,20))),"")))</f>
        <v/>
      </c>
      <c r="J1847" t="str">
        <f t="shared" si="142"/>
        <v/>
      </c>
      <c r="K1847" t="str">
        <f>IF(OR($F1847="",$J1847="",$J1847="نامعتبر"),"",LEFT($J1847,4)&amp;MID($J1847,6,2)&amp;RIGHT($J1847,2)&amp;$N1847&amp;"|"&amp;"2"&amp;RIGHT("00000"&amp;1842,5))</f>
        <v/>
      </c>
      <c r="L1847" t="str">
        <f t="shared" si="143"/>
        <v/>
      </c>
      <c r="M1847" t="str">
        <f t="shared" si="144"/>
        <v/>
      </c>
      <c r="N1847" t="str">
        <f>IF($F1847="","",IF(Sync!$AF1847="","0000",IF(AND(ISNUMBER(Sync!$AF1847),Sync!$AF1847&gt;=0,Sync!$AF1847&lt;1),RIGHT("00"&amp;HOUR(Sync!$AF1847),2)&amp;RIGHT("00"&amp;MINUTE(Sync!$AF1847),2),IFERROR(RIGHT("00"&amp;VALUE(LEFT(Sync!$AF1847,FIND(":",Sync!$AF1847)-1)),2)&amp;RIGHT("00"&amp;VALUE(MID(Sync!$AF1847,FIND(":",Sync!$AF1847)+1,2)),2),"0000"))))</f>
        <v/>
      </c>
    </row>
    <row r="1848" spans="1:14" x14ac:dyDescent="0.2">
      <c r="A1848" t="str">
        <f>IF(OR(Calc!$E1852="",Calc!$E1852="نامعتبر",Calc!$G1852=""),"",Calc!$G1852)</f>
        <v/>
      </c>
      <c r="B1848" t="str">
        <f>IF($A1848="","",LEFT(Calc!$E1852,4)&amp;MID(Calc!$E1852,6,2)&amp;RIGHT(Calc!$E1852,2)&amp;Calc!$Q1852&amp;"|"&amp;"1"&amp;RIGHT("00000"&amp;1843,5))</f>
        <v/>
      </c>
      <c r="C1848" t="str">
        <f t="shared" si="140"/>
        <v/>
      </c>
      <c r="D1848" t="str">
        <f t="shared" si="141"/>
        <v/>
      </c>
      <c r="F1848" t="str">
        <f>IF(Sync!$AH1848="","",IF(LEFT(UPPER(TRIM(Sync!$AH1848)),2)="SL",UPPER(TRIM(Sync!$AH1848)),""))</f>
        <v/>
      </c>
      <c r="G1848" t="str">
        <f>IF($F1848="","",IF(Sync!$AE1848="","",IF(ISNUMBER(Sync!$AE1848),IF(AND(Sync!$AE1848&gt;=10000101,Sync!$AE1848&lt;=99991231),INT(Sync!$AE1848/10000),""),IFERROR(VALUE(TRIM(LEFT(Sync!$AE1848,FIND("/",Sync!$AE1848)-1))),""))))</f>
        <v/>
      </c>
      <c r="H1848" t="str">
        <f>IF(OR($F1848="",$G1848=""),"",IF(ISNUMBER(Sync!$AE1848),INT(MOD(Sync!$AE1848,10000)/100),IFERROR(VALUE(TRIM(LEFT(MID(Sync!$AE1848,FIND("/",Sync!$AE1848)+1,20),FIND("/",MID(Sync!$AE1848,FIND("/",Sync!$AE1848)+1,20))-1))),"")))</f>
        <v/>
      </c>
      <c r="I1848" t="str">
        <f>IF(OR($F1848="",$G1848=""),"",IF(ISNUMBER(Sync!$AE1848),MOD(Sync!$AE1848,100),IFERROR(VALUE(TRIM(MID(MID(Sync!$AE1848,FIND("/",Sync!$AE1848)+1,20),FIND("/",MID(Sync!$AE1848,FIND("/",Sync!$AE1848)+1,20))+1,20))),"")))</f>
        <v/>
      </c>
      <c r="J1848" t="str">
        <f t="shared" si="142"/>
        <v/>
      </c>
      <c r="K1848" t="str">
        <f>IF(OR($F1848="",$J1848="",$J1848="نامعتبر"),"",LEFT($J1848,4)&amp;MID($J1848,6,2)&amp;RIGHT($J1848,2)&amp;$N1848&amp;"|"&amp;"2"&amp;RIGHT("00000"&amp;1843,5))</f>
        <v/>
      </c>
      <c r="L1848" t="str">
        <f t="shared" si="143"/>
        <v/>
      </c>
      <c r="M1848" t="str">
        <f t="shared" si="144"/>
        <v/>
      </c>
      <c r="N1848" t="str">
        <f>IF($F1848="","",IF(Sync!$AF1848="","0000",IF(AND(ISNUMBER(Sync!$AF1848),Sync!$AF1848&gt;=0,Sync!$AF1848&lt;1),RIGHT("00"&amp;HOUR(Sync!$AF1848),2)&amp;RIGHT("00"&amp;MINUTE(Sync!$AF1848),2),IFERROR(RIGHT("00"&amp;VALUE(LEFT(Sync!$AF1848,FIND(":",Sync!$AF1848)-1)),2)&amp;RIGHT("00"&amp;VALUE(MID(Sync!$AF1848,FIND(":",Sync!$AF1848)+1,2)),2),"0000"))))</f>
        <v/>
      </c>
    </row>
    <row r="1849" spans="1:14" x14ac:dyDescent="0.2">
      <c r="A1849" t="str">
        <f>IF(OR(Calc!$E1853="",Calc!$E1853="نامعتبر",Calc!$G1853=""),"",Calc!$G1853)</f>
        <v/>
      </c>
      <c r="B1849" t="str">
        <f>IF($A1849="","",LEFT(Calc!$E1853,4)&amp;MID(Calc!$E1853,6,2)&amp;RIGHT(Calc!$E1853,2)&amp;Calc!$Q1853&amp;"|"&amp;"1"&amp;RIGHT("00000"&amp;1844,5))</f>
        <v/>
      </c>
      <c r="C1849" t="str">
        <f t="shared" si="140"/>
        <v/>
      </c>
      <c r="D1849" t="str">
        <f t="shared" si="141"/>
        <v/>
      </c>
      <c r="F1849" t="str">
        <f>IF(Sync!$AH1849="","",IF(LEFT(UPPER(TRIM(Sync!$AH1849)),2)="SL",UPPER(TRIM(Sync!$AH1849)),""))</f>
        <v/>
      </c>
      <c r="G1849" t="str">
        <f>IF($F1849="","",IF(Sync!$AE1849="","",IF(ISNUMBER(Sync!$AE1849),IF(AND(Sync!$AE1849&gt;=10000101,Sync!$AE1849&lt;=99991231),INT(Sync!$AE1849/10000),""),IFERROR(VALUE(TRIM(LEFT(Sync!$AE1849,FIND("/",Sync!$AE1849)-1))),""))))</f>
        <v/>
      </c>
      <c r="H1849" t="str">
        <f>IF(OR($F1849="",$G1849=""),"",IF(ISNUMBER(Sync!$AE1849),INT(MOD(Sync!$AE1849,10000)/100),IFERROR(VALUE(TRIM(LEFT(MID(Sync!$AE1849,FIND("/",Sync!$AE1849)+1,20),FIND("/",MID(Sync!$AE1849,FIND("/",Sync!$AE1849)+1,20))-1))),"")))</f>
        <v/>
      </c>
      <c r="I1849" t="str">
        <f>IF(OR($F1849="",$G1849=""),"",IF(ISNUMBER(Sync!$AE1849),MOD(Sync!$AE1849,100),IFERROR(VALUE(TRIM(MID(MID(Sync!$AE1849,FIND("/",Sync!$AE1849)+1,20),FIND("/",MID(Sync!$AE1849,FIND("/",Sync!$AE1849)+1,20))+1,20))),"")))</f>
        <v/>
      </c>
      <c r="J1849" t="str">
        <f t="shared" si="142"/>
        <v/>
      </c>
      <c r="K1849" t="str">
        <f>IF(OR($F1849="",$J1849="",$J1849="نامعتبر"),"",LEFT($J1849,4)&amp;MID($J1849,6,2)&amp;RIGHT($J1849,2)&amp;$N1849&amp;"|"&amp;"2"&amp;RIGHT("00000"&amp;1844,5))</f>
        <v/>
      </c>
      <c r="L1849" t="str">
        <f t="shared" si="143"/>
        <v/>
      </c>
      <c r="M1849" t="str">
        <f t="shared" si="144"/>
        <v/>
      </c>
      <c r="N1849" t="str">
        <f>IF($F1849="","",IF(Sync!$AF1849="","0000",IF(AND(ISNUMBER(Sync!$AF1849),Sync!$AF1849&gt;=0,Sync!$AF1849&lt;1),RIGHT("00"&amp;HOUR(Sync!$AF1849),2)&amp;RIGHT("00"&amp;MINUTE(Sync!$AF1849),2),IFERROR(RIGHT("00"&amp;VALUE(LEFT(Sync!$AF1849,FIND(":",Sync!$AF1849)-1)),2)&amp;RIGHT("00"&amp;VALUE(MID(Sync!$AF1849,FIND(":",Sync!$AF1849)+1,2)),2),"0000"))))</f>
        <v/>
      </c>
    </row>
    <row r="1850" spans="1:14" x14ac:dyDescent="0.2">
      <c r="A1850" t="str">
        <f>IF(OR(Calc!$E1854="",Calc!$E1854="نامعتبر",Calc!$G1854=""),"",Calc!$G1854)</f>
        <v/>
      </c>
      <c r="B1850" t="str">
        <f>IF($A1850="","",LEFT(Calc!$E1854,4)&amp;MID(Calc!$E1854,6,2)&amp;RIGHT(Calc!$E1854,2)&amp;Calc!$Q1854&amp;"|"&amp;"1"&amp;RIGHT("00000"&amp;1845,5))</f>
        <v/>
      </c>
      <c r="C1850" t="str">
        <f t="shared" si="140"/>
        <v/>
      </c>
      <c r="D1850" t="str">
        <f t="shared" si="141"/>
        <v/>
      </c>
      <c r="F1850" t="str">
        <f>IF(Sync!$AH1850="","",IF(LEFT(UPPER(TRIM(Sync!$AH1850)),2)="SL",UPPER(TRIM(Sync!$AH1850)),""))</f>
        <v/>
      </c>
      <c r="G1850" t="str">
        <f>IF($F1850="","",IF(Sync!$AE1850="","",IF(ISNUMBER(Sync!$AE1850),IF(AND(Sync!$AE1850&gt;=10000101,Sync!$AE1850&lt;=99991231),INT(Sync!$AE1850/10000),""),IFERROR(VALUE(TRIM(LEFT(Sync!$AE1850,FIND("/",Sync!$AE1850)-1))),""))))</f>
        <v/>
      </c>
      <c r="H1850" t="str">
        <f>IF(OR($F1850="",$G1850=""),"",IF(ISNUMBER(Sync!$AE1850),INT(MOD(Sync!$AE1850,10000)/100),IFERROR(VALUE(TRIM(LEFT(MID(Sync!$AE1850,FIND("/",Sync!$AE1850)+1,20),FIND("/",MID(Sync!$AE1850,FIND("/",Sync!$AE1850)+1,20))-1))),"")))</f>
        <v/>
      </c>
      <c r="I1850" t="str">
        <f>IF(OR($F1850="",$G1850=""),"",IF(ISNUMBER(Sync!$AE1850),MOD(Sync!$AE1850,100),IFERROR(VALUE(TRIM(MID(MID(Sync!$AE1850,FIND("/",Sync!$AE1850)+1,20),FIND("/",MID(Sync!$AE1850,FIND("/",Sync!$AE1850)+1,20))+1,20))),"")))</f>
        <v/>
      </c>
      <c r="J1850" t="str">
        <f t="shared" si="142"/>
        <v/>
      </c>
      <c r="K1850" t="str">
        <f>IF(OR($F1850="",$J1850="",$J1850="نامعتبر"),"",LEFT($J1850,4)&amp;MID($J1850,6,2)&amp;RIGHT($J1850,2)&amp;$N1850&amp;"|"&amp;"2"&amp;RIGHT("00000"&amp;1845,5))</f>
        <v/>
      </c>
      <c r="L1850" t="str">
        <f t="shared" si="143"/>
        <v/>
      </c>
      <c r="M1850" t="str">
        <f t="shared" si="144"/>
        <v/>
      </c>
      <c r="N1850" t="str">
        <f>IF($F1850="","",IF(Sync!$AF1850="","0000",IF(AND(ISNUMBER(Sync!$AF1850),Sync!$AF1850&gt;=0,Sync!$AF1850&lt;1),RIGHT("00"&amp;HOUR(Sync!$AF1850),2)&amp;RIGHT("00"&amp;MINUTE(Sync!$AF1850),2),IFERROR(RIGHT("00"&amp;VALUE(LEFT(Sync!$AF1850,FIND(":",Sync!$AF1850)-1)),2)&amp;RIGHT("00"&amp;VALUE(MID(Sync!$AF1850,FIND(":",Sync!$AF1850)+1,2)),2),"0000"))))</f>
        <v/>
      </c>
    </row>
    <row r="1851" spans="1:14" x14ac:dyDescent="0.2">
      <c r="A1851" t="str">
        <f>IF(OR(Calc!$E1855="",Calc!$E1855="نامعتبر",Calc!$G1855=""),"",Calc!$G1855)</f>
        <v/>
      </c>
      <c r="B1851" t="str">
        <f>IF($A1851="","",LEFT(Calc!$E1855,4)&amp;MID(Calc!$E1855,6,2)&amp;RIGHT(Calc!$E1855,2)&amp;Calc!$Q1855&amp;"|"&amp;"1"&amp;RIGHT("00000"&amp;1846,5))</f>
        <v/>
      </c>
      <c r="C1851" t="str">
        <f t="shared" si="140"/>
        <v/>
      </c>
      <c r="D1851" t="str">
        <f t="shared" si="141"/>
        <v/>
      </c>
      <c r="F1851" t="str">
        <f>IF(Sync!$AH1851="","",IF(LEFT(UPPER(TRIM(Sync!$AH1851)),2)="SL",UPPER(TRIM(Sync!$AH1851)),""))</f>
        <v/>
      </c>
      <c r="G1851" t="str">
        <f>IF($F1851="","",IF(Sync!$AE1851="","",IF(ISNUMBER(Sync!$AE1851),IF(AND(Sync!$AE1851&gt;=10000101,Sync!$AE1851&lt;=99991231),INT(Sync!$AE1851/10000),""),IFERROR(VALUE(TRIM(LEFT(Sync!$AE1851,FIND("/",Sync!$AE1851)-1))),""))))</f>
        <v/>
      </c>
      <c r="H1851" t="str">
        <f>IF(OR($F1851="",$G1851=""),"",IF(ISNUMBER(Sync!$AE1851),INT(MOD(Sync!$AE1851,10000)/100),IFERROR(VALUE(TRIM(LEFT(MID(Sync!$AE1851,FIND("/",Sync!$AE1851)+1,20),FIND("/",MID(Sync!$AE1851,FIND("/",Sync!$AE1851)+1,20))-1))),"")))</f>
        <v/>
      </c>
      <c r="I1851" t="str">
        <f>IF(OR($F1851="",$G1851=""),"",IF(ISNUMBER(Sync!$AE1851),MOD(Sync!$AE1851,100),IFERROR(VALUE(TRIM(MID(MID(Sync!$AE1851,FIND("/",Sync!$AE1851)+1,20),FIND("/",MID(Sync!$AE1851,FIND("/",Sync!$AE1851)+1,20))+1,20))),"")))</f>
        <v/>
      </c>
      <c r="J1851" t="str">
        <f t="shared" si="142"/>
        <v/>
      </c>
      <c r="K1851" t="str">
        <f>IF(OR($F1851="",$J1851="",$J1851="نامعتبر"),"",LEFT($J1851,4)&amp;MID($J1851,6,2)&amp;RIGHT($J1851,2)&amp;$N1851&amp;"|"&amp;"2"&amp;RIGHT("00000"&amp;1846,5))</f>
        <v/>
      </c>
      <c r="L1851" t="str">
        <f t="shared" si="143"/>
        <v/>
      </c>
      <c r="M1851" t="str">
        <f t="shared" si="144"/>
        <v/>
      </c>
      <c r="N1851" t="str">
        <f>IF($F1851="","",IF(Sync!$AF1851="","0000",IF(AND(ISNUMBER(Sync!$AF1851),Sync!$AF1851&gt;=0,Sync!$AF1851&lt;1),RIGHT("00"&amp;HOUR(Sync!$AF1851),2)&amp;RIGHT("00"&amp;MINUTE(Sync!$AF1851),2),IFERROR(RIGHT("00"&amp;VALUE(LEFT(Sync!$AF1851,FIND(":",Sync!$AF1851)-1)),2)&amp;RIGHT("00"&amp;VALUE(MID(Sync!$AF1851,FIND(":",Sync!$AF1851)+1,2)),2),"0000"))))</f>
        <v/>
      </c>
    </row>
    <row r="1852" spans="1:14" x14ac:dyDescent="0.2">
      <c r="A1852" t="str">
        <f>IF(OR(Calc!$E1856="",Calc!$E1856="نامعتبر",Calc!$G1856=""),"",Calc!$G1856)</f>
        <v/>
      </c>
      <c r="B1852" t="str">
        <f>IF($A1852="","",LEFT(Calc!$E1856,4)&amp;MID(Calc!$E1856,6,2)&amp;RIGHT(Calc!$E1856,2)&amp;Calc!$Q1856&amp;"|"&amp;"1"&amp;RIGHT("00000"&amp;1847,5))</f>
        <v/>
      </c>
      <c r="C1852" t="str">
        <f t="shared" si="140"/>
        <v/>
      </c>
      <c r="D1852" t="str">
        <f t="shared" si="141"/>
        <v/>
      </c>
      <c r="F1852" t="str">
        <f>IF(Sync!$AH1852="","",IF(LEFT(UPPER(TRIM(Sync!$AH1852)),2)="SL",UPPER(TRIM(Sync!$AH1852)),""))</f>
        <v/>
      </c>
      <c r="G1852" t="str">
        <f>IF($F1852="","",IF(Sync!$AE1852="","",IF(ISNUMBER(Sync!$AE1852),IF(AND(Sync!$AE1852&gt;=10000101,Sync!$AE1852&lt;=99991231),INT(Sync!$AE1852/10000),""),IFERROR(VALUE(TRIM(LEFT(Sync!$AE1852,FIND("/",Sync!$AE1852)-1))),""))))</f>
        <v/>
      </c>
      <c r="H1852" t="str">
        <f>IF(OR($F1852="",$G1852=""),"",IF(ISNUMBER(Sync!$AE1852),INT(MOD(Sync!$AE1852,10000)/100),IFERROR(VALUE(TRIM(LEFT(MID(Sync!$AE1852,FIND("/",Sync!$AE1852)+1,20),FIND("/",MID(Sync!$AE1852,FIND("/",Sync!$AE1852)+1,20))-1))),"")))</f>
        <v/>
      </c>
      <c r="I1852" t="str">
        <f>IF(OR($F1852="",$G1852=""),"",IF(ISNUMBER(Sync!$AE1852),MOD(Sync!$AE1852,100),IFERROR(VALUE(TRIM(MID(MID(Sync!$AE1852,FIND("/",Sync!$AE1852)+1,20),FIND("/",MID(Sync!$AE1852,FIND("/",Sync!$AE1852)+1,20))+1,20))),"")))</f>
        <v/>
      </c>
      <c r="J1852" t="str">
        <f t="shared" si="142"/>
        <v/>
      </c>
      <c r="K1852" t="str">
        <f>IF(OR($F1852="",$J1852="",$J1852="نامعتبر"),"",LEFT($J1852,4)&amp;MID($J1852,6,2)&amp;RIGHT($J1852,2)&amp;$N1852&amp;"|"&amp;"2"&amp;RIGHT("00000"&amp;1847,5))</f>
        <v/>
      </c>
      <c r="L1852" t="str">
        <f t="shared" si="143"/>
        <v/>
      </c>
      <c r="M1852" t="str">
        <f t="shared" si="144"/>
        <v/>
      </c>
      <c r="N1852" t="str">
        <f>IF($F1852="","",IF(Sync!$AF1852="","0000",IF(AND(ISNUMBER(Sync!$AF1852),Sync!$AF1852&gt;=0,Sync!$AF1852&lt;1),RIGHT("00"&amp;HOUR(Sync!$AF1852),2)&amp;RIGHT("00"&amp;MINUTE(Sync!$AF1852),2),IFERROR(RIGHT("00"&amp;VALUE(LEFT(Sync!$AF1852,FIND(":",Sync!$AF1852)-1)),2)&amp;RIGHT("00"&amp;VALUE(MID(Sync!$AF1852,FIND(":",Sync!$AF1852)+1,2)),2),"0000"))))</f>
        <v/>
      </c>
    </row>
    <row r="1853" spans="1:14" x14ac:dyDescent="0.2">
      <c r="A1853" t="str">
        <f>IF(OR(Calc!$E1857="",Calc!$E1857="نامعتبر",Calc!$G1857=""),"",Calc!$G1857)</f>
        <v/>
      </c>
      <c r="B1853" t="str">
        <f>IF($A1853="","",LEFT(Calc!$E1857,4)&amp;MID(Calc!$E1857,6,2)&amp;RIGHT(Calc!$E1857,2)&amp;Calc!$Q1857&amp;"|"&amp;"1"&amp;RIGHT("00000"&amp;1848,5))</f>
        <v/>
      </c>
      <c r="C1853" t="str">
        <f t="shared" si="140"/>
        <v/>
      </c>
      <c r="D1853" t="str">
        <f t="shared" si="141"/>
        <v/>
      </c>
      <c r="F1853" t="str">
        <f>IF(Sync!$AH1853="","",IF(LEFT(UPPER(TRIM(Sync!$AH1853)),2)="SL",UPPER(TRIM(Sync!$AH1853)),""))</f>
        <v/>
      </c>
      <c r="G1853" t="str">
        <f>IF($F1853="","",IF(Sync!$AE1853="","",IF(ISNUMBER(Sync!$AE1853),IF(AND(Sync!$AE1853&gt;=10000101,Sync!$AE1853&lt;=99991231),INT(Sync!$AE1853/10000),""),IFERROR(VALUE(TRIM(LEFT(Sync!$AE1853,FIND("/",Sync!$AE1853)-1))),""))))</f>
        <v/>
      </c>
      <c r="H1853" t="str">
        <f>IF(OR($F1853="",$G1853=""),"",IF(ISNUMBER(Sync!$AE1853),INT(MOD(Sync!$AE1853,10000)/100),IFERROR(VALUE(TRIM(LEFT(MID(Sync!$AE1853,FIND("/",Sync!$AE1853)+1,20),FIND("/",MID(Sync!$AE1853,FIND("/",Sync!$AE1853)+1,20))-1))),"")))</f>
        <v/>
      </c>
      <c r="I1853" t="str">
        <f>IF(OR($F1853="",$G1853=""),"",IF(ISNUMBER(Sync!$AE1853),MOD(Sync!$AE1853,100),IFERROR(VALUE(TRIM(MID(MID(Sync!$AE1853,FIND("/",Sync!$AE1853)+1,20),FIND("/",MID(Sync!$AE1853,FIND("/",Sync!$AE1853)+1,20))+1,20))),"")))</f>
        <v/>
      </c>
      <c r="J1853" t="str">
        <f t="shared" si="142"/>
        <v/>
      </c>
      <c r="K1853" t="str">
        <f>IF(OR($F1853="",$J1853="",$J1853="نامعتبر"),"",LEFT($J1853,4)&amp;MID($J1853,6,2)&amp;RIGHT($J1853,2)&amp;$N1853&amp;"|"&amp;"2"&amp;RIGHT("00000"&amp;1848,5))</f>
        <v/>
      </c>
      <c r="L1853" t="str">
        <f t="shared" si="143"/>
        <v/>
      </c>
      <c r="M1853" t="str">
        <f t="shared" si="144"/>
        <v/>
      </c>
      <c r="N1853" t="str">
        <f>IF($F1853="","",IF(Sync!$AF1853="","0000",IF(AND(ISNUMBER(Sync!$AF1853),Sync!$AF1853&gt;=0,Sync!$AF1853&lt;1),RIGHT("00"&amp;HOUR(Sync!$AF1853),2)&amp;RIGHT("00"&amp;MINUTE(Sync!$AF1853),2),IFERROR(RIGHT("00"&amp;VALUE(LEFT(Sync!$AF1853,FIND(":",Sync!$AF1853)-1)),2)&amp;RIGHT("00"&amp;VALUE(MID(Sync!$AF1853,FIND(":",Sync!$AF1853)+1,2)),2),"0000"))))</f>
        <v/>
      </c>
    </row>
    <row r="1854" spans="1:14" x14ac:dyDescent="0.2">
      <c r="A1854" t="str">
        <f>IF(OR(Calc!$E1858="",Calc!$E1858="نامعتبر",Calc!$G1858=""),"",Calc!$G1858)</f>
        <v/>
      </c>
      <c r="B1854" t="str">
        <f>IF($A1854="","",LEFT(Calc!$E1858,4)&amp;MID(Calc!$E1858,6,2)&amp;RIGHT(Calc!$E1858,2)&amp;Calc!$Q1858&amp;"|"&amp;"1"&amp;RIGHT("00000"&amp;1849,5))</f>
        <v/>
      </c>
      <c r="C1854" t="str">
        <f t="shared" si="140"/>
        <v/>
      </c>
      <c r="D1854" t="str">
        <f t="shared" si="141"/>
        <v/>
      </c>
      <c r="F1854" t="str">
        <f>IF(Sync!$AH1854="","",IF(LEFT(UPPER(TRIM(Sync!$AH1854)),2)="SL",UPPER(TRIM(Sync!$AH1854)),""))</f>
        <v/>
      </c>
      <c r="G1854" t="str">
        <f>IF($F1854="","",IF(Sync!$AE1854="","",IF(ISNUMBER(Sync!$AE1854),IF(AND(Sync!$AE1854&gt;=10000101,Sync!$AE1854&lt;=99991231),INT(Sync!$AE1854/10000),""),IFERROR(VALUE(TRIM(LEFT(Sync!$AE1854,FIND("/",Sync!$AE1854)-1))),""))))</f>
        <v/>
      </c>
      <c r="H1854" t="str">
        <f>IF(OR($F1854="",$G1854=""),"",IF(ISNUMBER(Sync!$AE1854),INT(MOD(Sync!$AE1854,10000)/100),IFERROR(VALUE(TRIM(LEFT(MID(Sync!$AE1854,FIND("/",Sync!$AE1854)+1,20),FIND("/",MID(Sync!$AE1854,FIND("/",Sync!$AE1854)+1,20))-1))),"")))</f>
        <v/>
      </c>
      <c r="I1854" t="str">
        <f>IF(OR($F1854="",$G1854=""),"",IF(ISNUMBER(Sync!$AE1854),MOD(Sync!$AE1854,100),IFERROR(VALUE(TRIM(MID(MID(Sync!$AE1854,FIND("/",Sync!$AE1854)+1,20),FIND("/",MID(Sync!$AE1854,FIND("/",Sync!$AE1854)+1,20))+1,20))),"")))</f>
        <v/>
      </c>
      <c r="J1854" t="str">
        <f t="shared" si="142"/>
        <v/>
      </c>
      <c r="K1854" t="str">
        <f>IF(OR($F1854="",$J1854="",$J1854="نامعتبر"),"",LEFT($J1854,4)&amp;MID($J1854,6,2)&amp;RIGHT($J1854,2)&amp;$N1854&amp;"|"&amp;"2"&amp;RIGHT("00000"&amp;1849,5))</f>
        <v/>
      </c>
      <c r="L1854" t="str">
        <f t="shared" si="143"/>
        <v/>
      </c>
      <c r="M1854" t="str">
        <f t="shared" si="144"/>
        <v/>
      </c>
      <c r="N1854" t="str">
        <f>IF($F1854="","",IF(Sync!$AF1854="","0000",IF(AND(ISNUMBER(Sync!$AF1854),Sync!$AF1854&gt;=0,Sync!$AF1854&lt;1),RIGHT("00"&amp;HOUR(Sync!$AF1854),2)&amp;RIGHT("00"&amp;MINUTE(Sync!$AF1854),2),IFERROR(RIGHT("00"&amp;VALUE(LEFT(Sync!$AF1854,FIND(":",Sync!$AF1854)-1)),2)&amp;RIGHT("00"&amp;VALUE(MID(Sync!$AF1854,FIND(":",Sync!$AF1854)+1,2)),2),"0000"))))</f>
        <v/>
      </c>
    </row>
    <row r="1855" spans="1:14" x14ac:dyDescent="0.2">
      <c r="A1855" t="str">
        <f>IF(OR(Calc!$E1859="",Calc!$E1859="نامعتبر",Calc!$G1859=""),"",Calc!$G1859)</f>
        <v/>
      </c>
      <c r="B1855" t="str">
        <f>IF($A1855="","",LEFT(Calc!$E1859,4)&amp;MID(Calc!$E1859,6,2)&amp;RIGHT(Calc!$E1859,2)&amp;Calc!$Q1859&amp;"|"&amp;"1"&amp;RIGHT("00000"&amp;1850,5))</f>
        <v/>
      </c>
      <c r="C1855" t="str">
        <f t="shared" si="140"/>
        <v/>
      </c>
      <c r="D1855" t="str">
        <f t="shared" si="141"/>
        <v/>
      </c>
      <c r="F1855" t="str">
        <f>IF(Sync!$AH1855="","",IF(LEFT(UPPER(TRIM(Sync!$AH1855)),2)="SL",UPPER(TRIM(Sync!$AH1855)),""))</f>
        <v/>
      </c>
      <c r="G1855" t="str">
        <f>IF($F1855="","",IF(Sync!$AE1855="","",IF(ISNUMBER(Sync!$AE1855),IF(AND(Sync!$AE1855&gt;=10000101,Sync!$AE1855&lt;=99991231),INT(Sync!$AE1855/10000),""),IFERROR(VALUE(TRIM(LEFT(Sync!$AE1855,FIND("/",Sync!$AE1855)-1))),""))))</f>
        <v/>
      </c>
      <c r="H1855" t="str">
        <f>IF(OR($F1855="",$G1855=""),"",IF(ISNUMBER(Sync!$AE1855),INT(MOD(Sync!$AE1855,10000)/100),IFERROR(VALUE(TRIM(LEFT(MID(Sync!$AE1855,FIND("/",Sync!$AE1855)+1,20),FIND("/",MID(Sync!$AE1855,FIND("/",Sync!$AE1855)+1,20))-1))),"")))</f>
        <v/>
      </c>
      <c r="I1855" t="str">
        <f>IF(OR($F1855="",$G1855=""),"",IF(ISNUMBER(Sync!$AE1855),MOD(Sync!$AE1855,100),IFERROR(VALUE(TRIM(MID(MID(Sync!$AE1855,FIND("/",Sync!$AE1855)+1,20),FIND("/",MID(Sync!$AE1855,FIND("/",Sync!$AE1855)+1,20))+1,20))),"")))</f>
        <v/>
      </c>
      <c r="J1855" t="str">
        <f t="shared" si="142"/>
        <v/>
      </c>
      <c r="K1855" t="str">
        <f>IF(OR($F1855="",$J1855="",$J1855="نامعتبر"),"",LEFT($J1855,4)&amp;MID($J1855,6,2)&amp;RIGHT($J1855,2)&amp;$N1855&amp;"|"&amp;"2"&amp;RIGHT("00000"&amp;1850,5))</f>
        <v/>
      </c>
      <c r="L1855" t="str">
        <f t="shared" si="143"/>
        <v/>
      </c>
      <c r="M1855" t="str">
        <f t="shared" si="144"/>
        <v/>
      </c>
      <c r="N1855" t="str">
        <f>IF($F1855="","",IF(Sync!$AF1855="","0000",IF(AND(ISNUMBER(Sync!$AF1855),Sync!$AF1855&gt;=0,Sync!$AF1855&lt;1),RIGHT("00"&amp;HOUR(Sync!$AF1855),2)&amp;RIGHT("00"&amp;MINUTE(Sync!$AF1855),2),IFERROR(RIGHT("00"&amp;VALUE(LEFT(Sync!$AF1855,FIND(":",Sync!$AF1855)-1)),2)&amp;RIGHT("00"&amp;VALUE(MID(Sync!$AF1855,FIND(":",Sync!$AF1855)+1,2)),2),"0000"))))</f>
        <v/>
      </c>
    </row>
    <row r="1856" spans="1:14" x14ac:dyDescent="0.2">
      <c r="A1856" t="str">
        <f>IF(OR(Calc!$E1860="",Calc!$E1860="نامعتبر",Calc!$G1860=""),"",Calc!$G1860)</f>
        <v/>
      </c>
      <c r="B1856" t="str">
        <f>IF($A1856="","",LEFT(Calc!$E1860,4)&amp;MID(Calc!$E1860,6,2)&amp;RIGHT(Calc!$E1860,2)&amp;Calc!$Q1860&amp;"|"&amp;"1"&amp;RIGHT("00000"&amp;1851,5))</f>
        <v/>
      </c>
      <c r="C1856" t="str">
        <f t="shared" si="140"/>
        <v/>
      </c>
      <c r="D1856" t="str">
        <f t="shared" si="141"/>
        <v/>
      </c>
      <c r="F1856" t="str">
        <f>IF(Sync!$AH1856="","",IF(LEFT(UPPER(TRIM(Sync!$AH1856)),2)="SL",UPPER(TRIM(Sync!$AH1856)),""))</f>
        <v/>
      </c>
      <c r="G1856" t="str">
        <f>IF($F1856="","",IF(Sync!$AE1856="","",IF(ISNUMBER(Sync!$AE1856),IF(AND(Sync!$AE1856&gt;=10000101,Sync!$AE1856&lt;=99991231),INT(Sync!$AE1856/10000),""),IFERROR(VALUE(TRIM(LEFT(Sync!$AE1856,FIND("/",Sync!$AE1856)-1))),""))))</f>
        <v/>
      </c>
      <c r="H1856" t="str">
        <f>IF(OR($F1856="",$G1856=""),"",IF(ISNUMBER(Sync!$AE1856),INT(MOD(Sync!$AE1856,10000)/100),IFERROR(VALUE(TRIM(LEFT(MID(Sync!$AE1856,FIND("/",Sync!$AE1856)+1,20),FIND("/",MID(Sync!$AE1856,FIND("/",Sync!$AE1856)+1,20))-1))),"")))</f>
        <v/>
      </c>
      <c r="I1856" t="str">
        <f>IF(OR($F1856="",$G1856=""),"",IF(ISNUMBER(Sync!$AE1856),MOD(Sync!$AE1856,100),IFERROR(VALUE(TRIM(MID(MID(Sync!$AE1856,FIND("/",Sync!$AE1856)+1,20),FIND("/",MID(Sync!$AE1856,FIND("/",Sync!$AE1856)+1,20))+1,20))),"")))</f>
        <v/>
      </c>
      <c r="J1856" t="str">
        <f t="shared" si="142"/>
        <v/>
      </c>
      <c r="K1856" t="str">
        <f>IF(OR($F1856="",$J1856="",$J1856="نامعتبر"),"",LEFT($J1856,4)&amp;MID($J1856,6,2)&amp;RIGHT($J1856,2)&amp;$N1856&amp;"|"&amp;"2"&amp;RIGHT("00000"&amp;1851,5))</f>
        <v/>
      </c>
      <c r="L1856" t="str">
        <f t="shared" si="143"/>
        <v/>
      </c>
      <c r="M1856" t="str">
        <f t="shared" si="144"/>
        <v/>
      </c>
      <c r="N1856" t="str">
        <f>IF($F1856="","",IF(Sync!$AF1856="","0000",IF(AND(ISNUMBER(Sync!$AF1856),Sync!$AF1856&gt;=0,Sync!$AF1856&lt;1),RIGHT("00"&amp;HOUR(Sync!$AF1856),2)&amp;RIGHT("00"&amp;MINUTE(Sync!$AF1856),2),IFERROR(RIGHT("00"&amp;VALUE(LEFT(Sync!$AF1856,FIND(":",Sync!$AF1856)-1)),2)&amp;RIGHT("00"&amp;VALUE(MID(Sync!$AF1856,FIND(":",Sync!$AF1856)+1,2)),2),"0000"))))</f>
        <v/>
      </c>
    </row>
    <row r="1857" spans="1:14" x14ac:dyDescent="0.2">
      <c r="A1857" t="str">
        <f>IF(OR(Calc!$E1861="",Calc!$E1861="نامعتبر",Calc!$G1861=""),"",Calc!$G1861)</f>
        <v/>
      </c>
      <c r="B1857" t="str">
        <f>IF($A1857="","",LEFT(Calc!$E1861,4)&amp;MID(Calc!$E1861,6,2)&amp;RIGHT(Calc!$E1861,2)&amp;Calc!$Q1861&amp;"|"&amp;"1"&amp;RIGHT("00000"&amp;1852,5))</f>
        <v/>
      </c>
      <c r="C1857" t="str">
        <f t="shared" si="140"/>
        <v/>
      </c>
      <c r="D1857" t="str">
        <f t="shared" si="141"/>
        <v/>
      </c>
      <c r="F1857" t="str">
        <f>IF(Sync!$AH1857="","",IF(LEFT(UPPER(TRIM(Sync!$AH1857)),2)="SL",UPPER(TRIM(Sync!$AH1857)),""))</f>
        <v/>
      </c>
      <c r="G1857" t="str">
        <f>IF($F1857="","",IF(Sync!$AE1857="","",IF(ISNUMBER(Sync!$AE1857),IF(AND(Sync!$AE1857&gt;=10000101,Sync!$AE1857&lt;=99991231),INT(Sync!$AE1857/10000),""),IFERROR(VALUE(TRIM(LEFT(Sync!$AE1857,FIND("/",Sync!$AE1857)-1))),""))))</f>
        <v/>
      </c>
      <c r="H1857" t="str">
        <f>IF(OR($F1857="",$G1857=""),"",IF(ISNUMBER(Sync!$AE1857),INT(MOD(Sync!$AE1857,10000)/100),IFERROR(VALUE(TRIM(LEFT(MID(Sync!$AE1857,FIND("/",Sync!$AE1857)+1,20),FIND("/",MID(Sync!$AE1857,FIND("/",Sync!$AE1857)+1,20))-1))),"")))</f>
        <v/>
      </c>
      <c r="I1857" t="str">
        <f>IF(OR($F1857="",$G1857=""),"",IF(ISNUMBER(Sync!$AE1857),MOD(Sync!$AE1857,100),IFERROR(VALUE(TRIM(MID(MID(Sync!$AE1857,FIND("/",Sync!$AE1857)+1,20),FIND("/",MID(Sync!$AE1857,FIND("/",Sync!$AE1857)+1,20))+1,20))),"")))</f>
        <v/>
      </c>
      <c r="J1857" t="str">
        <f t="shared" si="142"/>
        <v/>
      </c>
      <c r="K1857" t="str">
        <f>IF(OR($F1857="",$J1857="",$J1857="نامعتبر"),"",LEFT($J1857,4)&amp;MID($J1857,6,2)&amp;RIGHT($J1857,2)&amp;$N1857&amp;"|"&amp;"2"&amp;RIGHT("00000"&amp;1852,5))</f>
        <v/>
      </c>
      <c r="L1857" t="str">
        <f t="shared" si="143"/>
        <v/>
      </c>
      <c r="M1857" t="str">
        <f t="shared" si="144"/>
        <v/>
      </c>
      <c r="N1857" t="str">
        <f>IF($F1857="","",IF(Sync!$AF1857="","0000",IF(AND(ISNUMBER(Sync!$AF1857),Sync!$AF1857&gt;=0,Sync!$AF1857&lt;1),RIGHT("00"&amp;HOUR(Sync!$AF1857),2)&amp;RIGHT("00"&amp;MINUTE(Sync!$AF1857),2),IFERROR(RIGHT("00"&amp;VALUE(LEFT(Sync!$AF1857,FIND(":",Sync!$AF1857)-1)),2)&amp;RIGHT("00"&amp;VALUE(MID(Sync!$AF1857,FIND(":",Sync!$AF1857)+1,2)),2),"0000"))))</f>
        <v/>
      </c>
    </row>
    <row r="1858" spans="1:14" x14ac:dyDescent="0.2">
      <c r="A1858" t="str">
        <f>IF(OR(Calc!$E1862="",Calc!$E1862="نامعتبر",Calc!$G1862=""),"",Calc!$G1862)</f>
        <v/>
      </c>
      <c r="B1858" t="str">
        <f>IF($A1858="","",LEFT(Calc!$E1862,4)&amp;MID(Calc!$E1862,6,2)&amp;RIGHT(Calc!$E1862,2)&amp;Calc!$Q1862&amp;"|"&amp;"1"&amp;RIGHT("00000"&amp;1853,5))</f>
        <v/>
      </c>
      <c r="C1858" t="str">
        <f t="shared" si="140"/>
        <v/>
      </c>
      <c r="D1858" t="str">
        <f t="shared" si="141"/>
        <v/>
      </c>
      <c r="F1858" t="str">
        <f>IF(Sync!$AH1858="","",IF(LEFT(UPPER(TRIM(Sync!$AH1858)),2)="SL",UPPER(TRIM(Sync!$AH1858)),""))</f>
        <v/>
      </c>
      <c r="G1858" t="str">
        <f>IF($F1858="","",IF(Sync!$AE1858="","",IF(ISNUMBER(Sync!$AE1858),IF(AND(Sync!$AE1858&gt;=10000101,Sync!$AE1858&lt;=99991231),INT(Sync!$AE1858/10000),""),IFERROR(VALUE(TRIM(LEFT(Sync!$AE1858,FIND("/",Sync!$AE1858)-1))),""))))</f>
        <v/>
      </c>
      <c r="H1858" t="str">
        <f>IF(OR($F1858="",$G1858=""),"",IF(ISNUMBER(Sync!$AE1858),INT(MOD(Sync!$AE1858,10000)/100),IFERROR(VALUE(TRIM(LEFT(MID(Sync!$AE1858,FIND("/",Sync!$AE1858)+1,20),FIND("/",MID(Sync!$AE1858,FIND("/",Sync!$AE1858)+1,20))-1))),"")))</f>
        <v/>
      </c>
      <c r="I1858" t="str">
        <f>IF(OR($F1858="",$G1858=""),"",IF(ISNUMBER(Sync!$AE1858),MOD(Sync!$AE1858,100),IFERROR(VALUE(TRIM(MID(MID(Sync!$AE1858,FIND("/",Sync!$AE1858)+1,20),FIND("/",MID(Sync!$AE1858,FIND("/",Sync!$AE1858)+1,20))+1,20))),"")))</f>
        <v/>
      </c>
      <c r="J1858" t="str">
        <f t="shared" si="142"/>
        <v/>
      </c>
      <c r="K1858" t="str">
        <f>IF(OR($F1858="",$J1858="",$J1858="نامعتبر"),"",LEFT($J1858,4)&amp;MID($J1858,6,2)&amp;RIGHT($J1858,2)&amp;$N1858&amp;"|"&amp;"2"&amp;RIGHT("00000"&amp;1853,5))</f>
        <v/>
      </c>
      <c r="L1858" t="str">
        <f t="shared" si="143"/>
        <v/>
      </c>
      <c r="M1858" t="str">
        <f t="shared" si="144"/>
        <v/>
      </c>
      <c r="N1858" t="str">
        <f>IF($F1858="","",IF(Sync!$AF1858="","0000",IF(AND(ISNUMBER(Sync!$AF1858),Sync!$AF1858&gt;=0,Sync!$AF1858&lt;1),RIGHT("00"&amp;HOUR(Sync!$AF1858),2)&amp;RIGHT("00"&amp;MINUTE(Sync!$AF1858),2),IFERROR(RIGHT("00"&amp;VALUE(LEFT(Sync!$AF1858,FIND(":",Sync!$AF1858)-1)),2)&amp;RIGHT("00"&amp;VALUE(MID(Sync!$AF1858,FIND(":",Sync!$AF1858)+1,2)),2),"0000"))))</f>
        <v/>
      </c>
    </row>
    <row r="1859" spans="1:14" x14ac:dyDescent="0.2">
      <c r="A1859" t="str">
        <f>IF(OR(Calc!$E1863="",Calc!$E1863="نامعتبر",Calc!$G1863=""),"",Calc!$G1863)</f>
        <v/>
      </c>
      <c r="B1859" t="str">
        <f>IF($A1859="","",LEFT(Calc!$E1863,4)&amp;MID(Calc!$E1863,6,2)&amp;RIGHT(Calc!$E1863,2)&amp;Calc!$Q1863&amp;"|"&amp;"1"&amp;RIGHT("00000"&amp;1854,5))</f>
        <v/>
      </c>
      <c r="C1859" t="str">
        <f t="shared" si="140"/>
        <v/>
      </c>
      <c r="D1859" t="str">
        <f t="shared" si="141"/>
        <v/>
      </c>
      <c r="F1859" t="str">
        <f>IF(Sync!$AH1859="","",IF(LEFT(UPPER(TRIM(Sync!$AH1859)),2)="SL",UPPER(TRIM(Sync!$AH1859)),""))</f>
        <v/>
      </c>
      <c r="G1859" t="str">
        <f>IF($F1859="","",IF(Sync!$AE1859="","",IF(ISNUMBER(Sync!$AE1859),IF(AND(Sync!$AE1859&gt;=10000101,Sync!$AE1859&lt;=99991231),INT(Sync!$AE1859/10000),""),IFERROR(VALUE(TRIM(LEFT(Sync!$AE1859,FIND("/",Sync!$AE1859)-1))),""))))</f>
        <v/>
      </c>
      <c r="H1859" t="str">
        <f>IF(OR($F1859="",$G1859=""),"",IF(ISNUMBER(Sync!$AE1859),INT(MOD(Sync!$AE1859,10000)/100),IFERROR(VALUE(TRIM(LEFT(MID(Sync!$AE1859,FIND("/",Sync!$AE1859)+1,20),FIND("/",MID(Sync!$AE1859,FIND("/",Sync!$AE1859)+1,20))-1))),"")))</f>
        <v/>
      </c>
      <c r="I1859" t="str">
        <f>IF(OR($F1859="",$G1859=""),"",IF(ISNUMBER(Sync!$AE1859),MOD(Sync!$AE1859,100),IFERROR(VALUE(TRIM(MID(MID(Sync!$AE1859,FIND("/",Sync!$AE1859)+1,20),FIND("/",MID(Sync!$AE1859,FIND("/",Sync!$AE1859)+1,20))+1,20))),"")))</f>
        <v/>
      </c>
      <c r="J1859" t="str">
        <f t="shared" si="142"/>
        <v/>
      </c>
      <c r="K1859" t="str">
        <f>IF(OR($F1859="",$J1859="",$J1859="نامعتبر"),"",LEFT($J1859,4)&amp;MID($J1859,6,2)&amp;RIGHT($J1859,2)&amp;$N1859&amp;"|"&amp;"2"&amp;RIGHT("00000"&amp;1854,5))</f>
        <v/>
      </c>
      <c r="L1859" t="str">
        <f t="shared" si="143"/>
        <v/>
      </c>
      <c r="M1859" t="str">
        <f t="shared" si="144"/>
        <v/>
      </c>
      <c r="N1859" t="str">
        <f>IF($F1859="","",IF(Sync!$AF1859="","0000",IF(AND(ISNUMBER(Sync!$AF1859),Sync!$AF1859&gt;=0,Sync!$AF1859&lt;1),RIGHT("00"&amp;HOUR(Sync!$AF1859),2)&amp;RIGHT("00"&amp;MINUTE(Sync!$AF1859),2),IFERROR(RIGHT("00"&amp;VALUE(LEFT(Sync!$AF1859,FIND(":",Sync!$AF1859)-1)),2)&amp;RIGHT("00"&amp;VALUE(MID(Sync!$AF1859,FIND(":",Sync!$AF1859)+1,2)),2),"0000"))))</f>
        <v/>
      </c>
    </row>
    <row r="1860" spans="1:14" x14ac:dyDescent="0.2">
      <c r="A1860" t="str">
        <f>IF(OR(Calc!$E1864="",Calc!$E1864="نامعتبر",Calc!$G1864=""),"",Calc!$G1864)</f>
        <v/>
      </c>
      <c r="B1860" t="str">
        <f>IF($A1860="","",LEFT(Calc!$E1864,4)&amp;MID(Calc!$E1864,6,2)&amp;RIGHT(Calc!$E1864,2)&amp;Calc!$Q1864&amp;"|"&amp;"1"&amp;RIGHT("00000"&amp;1855,5))</f>
        <v/>
      </c>
      <c r="C1860" t="str">
        <f t="shared" si="140"/>
        <v/>
      </c>
      <c r="D1860" t="str">
        <f t="shared" si="141"/>
        <v/>
      </c>
      <c r="F1860" t="str">
        <f>IF(Sync!$AH1860="","",IF(LEFT(UPPER(TRIM(Sync!$AH1860)),2)="SL",UPPER(TRIM(Sync!$AH1860)),""))</f>
        <v/>
      </c>
      <c r="G1860" t="str">
        <f>IF($F1860="","",IF(Sync!$AE1860="","",IF(ISNUMBER(Sync!$AE1860),IF(AND(Sync!$AE1860&gt;=10000101,Sync!$AE1860&lt;=99991231),INT(Sync!$AE1860/10000),""),IFERROR(VALUE(TRIM(LEFT(Sync!$AE1860,FIND("/",Sync!$AE1860)-1))),""))))</f>
        <v/>
      </c>
      <c r="H1860" t="str">
        <f>IF(OR($F1860="",$G1860=""),"",IF(ISNUMBER(Sync!$AE1860),INT(MOD(Sync!$AE1860,10000)/100),IFERROR(VALUE(TRIM(LEFT(MID(Sync!$AE1860,FIND("/",Sync!$AE1860)+1,20),FIND("/",MID(Sync!$AE1860,FIND("/",Sync!$AE1860)+1,20))-1))),"")))</f>
        <v/>
      </c>
      <c r="I1860" t="str">
        <f>IF(OR($F1860="",$G1860=""),"",IF(ISNUMBER(Sync!$AE1860),MOD(Sync!$AE1860,100),IFERROR(VALUE(TRIM(MID(MID(Sync!$AE1860,FIND("/",Sync!$AE1860)+1,20),FIND("/",MID(Sync!$AE1860,FIND("/",Sync!$AE1860)+1,20))+1,20))),"")))</f>
        <v/>
      </c>
      <c r="J1860" t="str">
        <f t="shared" si="142"/>
        <v/>
      </c>
      <c r="K1860" t="str">
        <f>IF(OR($F1860="",$J1860="",$J1860="نامعتبر"),"",LEFT($J1860,4)&amp;MID($J1860,6,2)&amp;RIGHT($J1860,2)&amp;$N1860&amp;"|"&amp;"2"&amp;RIGHT("00000"&amp;1855,5))</f>
        <v/>
      </c>
      <c r="L1860" t="str">
        <f t="shared" si="143"/>
        <v/>
      </c>
      <c r="M1860" t="str">
        <f t="shared" si="144"/>
        <v/>
      </c>
      <c r="N1860" t="str">
        <f>IF($F1860="","",IF(Sync!$AF1860="","0000",IF(AND(ISNUMBER(Sync!$AF1860),Sync!$AF1860&gt;=0,Sync!$AF1860&lt;1),RIGHT("00"&amp;HOUR(Sync!$AF1860),2)&amp;RIGHT("00"&amp;MINUTE(Sync!$AF1860),2),IFERROR(RIGHT("00"&amp;VALUE(LEFT(Sync!$AF1860,FIND(":",Sync!$AF1860)-1)),2)&amp;RIGHT("00"&amp;VALUE(MID(Sync!$AF1860,FIND(":",Sync!$AF1860)+1,2)),2),"0000"))))</f>
        <v/>
      </c>
    </row>
    <row r="1861" spans="1:14" x14ac:dyDescent="0.2">
      <c r="A1861" t="str">
        <f>IF(OR(Calc!$E1865="",Calc!$E1865="نامعتبر",Calc!$G1865=""),"",Calc!$G1865)</f>
        <v/>
      </c>
      <c r="B1861" t="str">
        <f>IF($A1861="","",LEFT(Calc!$E1865,4)&amp;MID(Calc!$E1865,6,2)&amp;RIGHT(Calc!$E1865,2)&amp;Calc!$Q1865&amp;"|"&amp;"1"&amp;RIGHT("00000"&amp;1856,5))</f>
        <v/>
      </c>
      <c r="C1861" t="str">
        <f t="shared" si="140"/>
        <v/>
      </c>
      <c r="D1861" t="str">
        <f t="shared" si="141"/>
        <v/>
      </c>
      <c r="F1861" t="str">
        <f>IF(Sync!$AH1861="","",IF(LEFT(UPPER(TRIM(Sync!$AH1861)),2)="SL",UPPER(TRIM(Sync!$AH1861)),""))</f>
        <v/>
      </c>
      <c r="G1861" t="str">
        <f>IF($F1861="","",IF(Sync!$AE1861="","",IF(ISNUMBER(Sync!$AE1861),IF(AND(Sync!$AE1861&gt;=10000101,Sync!$AE1861&lt;=99991231),INT(Sync!$AE1861/10000),""),IFERROR(VALUE(TRIM(LEFT(Sync!$AE1861,FIND("/",Sync!$AE1861)-1))),""))))</f>
        <v/>
      </c>
      <c r="H1861" t="str">
        <f>IF(OR($F1861="",$G1861=""),"",IF(ISNUMBER(Sync!$AE1861),INT(MOD(Sync!$AE1861,10000)/100),IFERROR(VALUE(TRIM(LEFT(MID(Sync!$AE1861,FIND("/",Sync!$AE1861)+1,20),FIND("/",MID(Sync!$AE1861,FIND("/",Sync!$AE1861)+1,20))-1))),"")))</f>
        <v/>
      </c>
      <c r="I1861" t="str">
        <f>IF(OR($F1861="",$G1861=""),"",IF(ISNUMBER(Sync!$AE1861),MOD(Sync!$AE1861,100),IFERROR(VALUE(TRIM(MID(MID(Sync!$AE1861,FIND("/",Sync!$AE1861)+1,20),FIND("/",MID(Sync!$AE1861,FIND("/",Sync!$AE1861)+1,20))+1,20))),"")))</f>
        <v/>
      </c>
      <c r="J1861" t="str">
        <f t="shared" si="142"/>
        <v/>
      </c>
      <c r="K1861" t="str">
        <f>IF(OR($F1861="",$J1861="",$J1861="نامعتبر"),"",LEFT($J1861,4)&amp;MID($J1861,6,2)&amp;RIGHT($J1861,2)&amp;$N1861&amp;"|"&amp;"2"&amp;RIGHT("00000"&amp;1856,5))</f>
        <v/>
      </c>
      <c r="L1861" t="str">
        <f t="shared" si="143"/>
        <v/>
      </c>
      <c r="M1861" t="str">
        <f t="shared" si="144"/>
        <v/>
      </c>
      <c r="N1861" t="str">
        <f>IF($F1861="","",IF(Sync!$AF1861="","0000",IF(AND(ISNUMBER(Sync!$AF1861),Sync!$AF1861&gt;=0,Sync!$AF1861&lt;1),RIGHT("00"&amp;HOUR(Sync!$AF1861),2)&amp;RIGHT("00"&amp;MINUTE(Sync!$AF1861),2),IFERROR(RIGHT("00"&amp;VALUE(LEFT(Sync!$AF1861,FIND(":",Sync!$AF1861)-1)),2)&amp;RIGHT("00"&amp;VALUE(MID(Sync!$AF1861,FIND(":",Sync!$AF1861)+1,2)),2),"0000"))))</f>
        <v/>
      </c>
    </row>
    <row r="1862" spans="1:14" x14ac:dyDescent="0.2">
      <c r="A1862" t="str">
        <f>IF(OR(Calc!$E1866="",Calc!$E1866="نامعتبر",Calc!$G1866=""),"",Calc!$G1866)</f>
        <v/>
      </c>
      <c r="B1862" t="str">
        <f>IF($A1862="","",LEFT(Calc!$E1866,4)&amp;MID(Calc!$E1866,6,2)&amp;RIGHT(Calc!$E1866,2)&amp;Calc!$Q1866&amp;"|"&amp;"1"&amp;RIGHT("00000"&amp;1857,5))</f>
        <v/>
      </c>
      <c r="C1862" t="str">
        <f t="shared" ref="C1862:C1925" si="145">IF($B1862="","",COUNTIFS(LdgSellerA,$A1862,LdgKeyA,"&lt;"&amp;$B1862)+COUNTIFS(LdgSellerB,$A1862,LdgKeyB,"&lt;"&amp;$B1862)+1)</f>
        <v/>
      </c>
      <c r="D1862" t="str">
        <f t="shared" ref="D1862:D1925" si="146">IF($C1862="","",$A1862&amp;"|"&amp;RIGHT("000000"&amp;$C1862,6))</f>
        <v/>
      </c>
      <c r="F1862" t="str">
        <f>IF(Sync!$AH1862="","",IF(LEFT(UPPER(TRIM(Sync!$AH1862)),2)="SL",UPPER(TRIM(Sync!$AH1862)),""))</f>
        <v/>
      </c>
      <c r="G1862" t="str">
        <f>IF($F1862="","",IF(Sync!$AE1862="","",IF(ISNUMBER(Sync!$AE1862),IF(AND(Sync!$AE1862&gt;=10000101,Sync!$AE1862&lt;=99991231),INT(Sync!$AE1862/10000),""),IFERROR(VALUE(TRIM(LEFT(Sync!$AE1862,FIND("/",Sync!$AE1862)-1))),""))))</f>
        <v/>
      </c>
      <c r="H1862" t="str">
        <f>IF(OR($F1862="",$G1862=""),"",IF(ISNUMBER(Sync!$AE1862),INT(MOD(Sync!$AE1862,10000)/100),IFERROR(VALUE(TRIM(LEFT(MID(Sync!$AE1862,FIND("/",Sync!$AE1862)+1,20),FIND("/",MID(Sync!$AE1862,FIND("/",Sync!$AE1862)+1,20))-1))),"")))</f>
        <v/>
      </c>
      <c r="I1862" t="str">
        <f>IF(OR($F1862="",$G1862=""),"",IF(ISNUMBER(Sync!$AE1862),MOD(Sync!$AE1862,100),IFERROR(VALUE(TRIM(MID(MID(Sync!$AE1862,FIND("/",Sync!$AE1862)+1,20),FIND("/",MID(Sync!$AE1862,FIND("/",Sync!$AE1862)+1,20))+1,20))),"")))</f>
        <v/>
      </c>
      <c r="J1862" t="str">
        <f t="shared" ref="J1862:J1925" si="147">IF($F1862="","",IF(OR($G1862="",$H1862="",$I1862="",$G1862&lt;1300,$G1862&gt;1500,$H1862&lt;1,$H1862&gt;12,$I1862&lt;1,$I1862&gt;31),"نامعتبر",RIGHT("0000"&amp;$G1862,4)&amp;"/"&amp;RIGHT("00"&amp;$H1862,2)&amp;"/"&amp;RIGHT("00"&amp;$I1862,2)))</f>
        <v/>
      </c>
      <c r="K1862" t="str">
        <f>IF(OR($F1862="",$J1862="",$J1862="نامعتبر"),"",LEFT($J1862,4)&amp;MID($J1862,6,2)&amp;RIGHT($J1862,2)&amp;$N1862&amp;"|"&amp;"2"&amp;RIGHT("00000"&amp;1857,5))</f>
        <v/>
      </c>
      <c r="L1862" t="str">
        <f t="shared" ref="L1862:L1925" si="148">IF($K1862="","",COUNTIFS(LdgSellerA,$F1862,LdgKeyA,"&lt;"&amp;$K1862)+COUNTIFS(LdgSellerB,$F1862,LdgKeyB,"&lt;"&amp;$K1862)+1)</f>
        <v/>
      </c>
      <c r="M1862" t="str">
        <f t="shared" ref="M1862:M1925" si="149">IF($L1862="","",$F1862&amp;"|"&amp;RIGHT("000000"&amp;$L1862,6))</f>
        <v/>
      </c>
      <c r="N1862" t="str">
        <f>IF($F1862="","",IF(Sync!$AF1862="","0000",IF(AND(ISNUMBER(Sync!$AF1862),Sync!$AF1862&gt;=0,Sync!$AF1862&lt;1),RIGHT("00"&amp;HOUR(Sync!$AF1862),2)&amp;RIGHT("00"&amp;MINUTE(Sync!$AF1862),2),IFERROR(RIGHT("00"&amp;VALUE(LEFT(Sync!$AF1862,FIND(":",Sync!$AF1862)-1)),2)&amp;RIGHT("00"&amp;VALUE(MID(Sync!$AF1862,FIND(":",Sync!$AF1862)+1,2)),2),"0000"))))</f>
        <v/>
      </c>
    </row>
    <row r="1863" spans="1:14" x14ac:dyDescent="0.2">
      <c r="A1863" t="str">
        <f>IF(OR(Calc!$E1867="",Calc!$E1867="نامعتبر",Calc!$G1867=""),"",Calc!$G1867)</f>
        <v/>
      </c>
      <c r="B1863" t="str">
        <f>IF($A1863="","",LEFT(Calc!$E1867,4)&amp;MID(Calc!$E1867,6,2)&amp;RIGHT(Calc!$E1867,2)&amp;Calc!$Q1867&amp;"|"&amp;"1"&amp;RIGHT("00000"&amp;1858,5))</f>
        <v/>
      </c>
      <c r="C1863" t="str">
        <f t="shared" si="145"/>
        <v/>
      </c>
      <c r="D1863" t="str">
        <f t="shared" si="146"/>
        <v/>
      </c>
      <c r="F1863" t="str">
        <f>IF(Sync!$AH1863="","",IF(LEFT(UPPER(TRIM(Sync!$AH1863)),2)="SL",UPPER(TRIM(Sync!$AH1863)),""))</f>
        <v/>
      </c>
      <c r="G1863" t="str">
        <f>IF($F1863="","",IF(Sync!$AE1863="","",IF(ISNUMBER(Sync!$AE1863),IF(AND(Sync!$AE1863&gt;=10000101,Sync!$AE1863&lt;=99991231),INT(Sync!$AE1863/10000),""),IFERROR(VALUE(TRIM(LEFT(Sync!$AE1863,FIND("/",Sync!$AE1863)-1))),""))))</f>
        <v/>
      </c>
      <c r="H1863" t="str">
        <f>IF(OR($F1863="",$G1863=""),"",IF(ISNUMBER(Sync!$AE1863),INT(MOD(Sync!$AE1863,10000)/100),IFERROR(VALUE(TRIM(LEFT(MID(Sync!$AE1863,FIND("/",Sync!$AE1863)+1,20),FIND("/",MID(Sync!$AE1863,FIND("/",Sync!$AE1863)+1,20))-1))),"")))</f>
        <v/>
      </c>
      <c r="I1863" t="str">
        <f>IF(OR($F1863="",$G1863=""),"",IF(ISNUMBER(Sync!$AE1863),MOD(Sync!$AE1863,100),IFERROR(VALUE(TRIM(MID(MID(Sync!$AE1863,FIND("/",Sync!$AE1863)+1,20),FIND("/",MID(Sync!$AE1863,FIND("/",Sync!$AE1863)+1,20))+1,20))),"")))</f>
        <v/>
      </c>
      <c r="J1863" t="str">
        <f t="shared" si="147"/>
        <v/>
      </c>
      <c r="K1863" t="str">
        <f>IF(OR($F1863="",$J1863="",$J1863="نامعتبر"),"",LEFT($J1863,4)&amp;MID($J1863,6,2)&amp;RIGHT($J1863,2)&amp;$N1863&amp;"|"&amp;"2"&amp;RIGHT("00000"&amp;1858,5))</f>
        <v/>
      </c>
      <c r="L1863" t="str">
        <f t="shared" si="148"/>
        <v/>
      </c>
      <c r="M1863" t="str">
        <f t="shared" si="149"/>
        <v/>
      </c>
      <c r="N1863" t="str">
        <f>IF($F1863="","",IF(Sync!$AF1863="","0000",IF(AND(ISNUMBER(Sync!$AF1863),Sync!$AF1863&gt;=0,Sync!$AF1863&lt;1),RIGHT("00"&amp;HOUR(Sync!$AF1863),2)&amp;RIGHT("00"&amp;MINUTE(Sync!$AF1863),2),IFERROR(RIGHT("00"&amp;VALUE(LEFT(Sync!$AF1863,FIND(":",Sync!$AF1863)-1)),2)&amp;RIGHT("00"&amp;VALUE(MID(Sync!$AF1863,FIND(":",Sync!$AF1863)+1,2)),2),"0000"))))</f>
        <v/>
      </c>
    </row>
    <row r="1864" spans="1:14" x14ac:dyDescent="0.2">
      <c r="A1864" t="str">
        <f>IF(OR(Calc!$E1868="",Calc!$E1868="نامعتبر",Calc!$G1868=""),"",Calc!$G1868)</f>
        <v/>
      </c>
      <c r="B1864" t="str">
        <f>IF($A1864="","",LEFT(Calc!$E1868,4)&amp;MID(Calc!$E1868,6,2)&amp;RIGHT(Calc!$E1868,2)&amp;Calc!$Q1868&amp;"|"&amp;"1"&amp;RIGHT("00000"&amp;1859,5))</f>
        <v/>
      </c>
      <c r="C1864" t="str">
        <f t="shared" si="145"/>
        <v/>
      </c>
      <c r="D1864" t="str">
        <f t="shared" si="146"/>
        <v/>
      </c>
      <c r="F1864" t="str">
        <f>IF(Sync!$AH1864="","",IF(LEFT(UPPER(TRIM(Sync!$AH1864)),2)="SL",UPPER(TRIM(Sync!$AH1864)),""))</f>
        <v/>
      </c>
      <c r="G1864" t="str">
        <f>IF($F1864="","",IF(Sync!$AE1864="","",IF(ISNUMBER(Sync!$AE1864),IF(AND(Sync!$AE1864&gt;=10000101,Sync!$AE1864&lt;=99991231),INT(Sync!$AE1864/10000),""),IFERROR(VALUE(TRIM(LEFT(Sync!$AE1864,FIND("/",Sync!$AE1864)-1))),""))))</f>
        <v/>
      </c>
      <c r="H1864" t="str">
        <f>IF(OR($F1864="",$G1864=""),"",IF(ISNUMBER(Sync!$AE1864),INT(MOD(Sync!$AE1864,10000)/100),IFERROR(VALUE(TRIM(LEFT(MID(Sync!$AE1864,FIND("/",Sync!$AE1864)+1,20),FIND("/",MID(Sync!$AE1864,FIND("/",Sync!$AE1864)+1,20))-1))),"")))</f>
        <v/>
      </c>
      <c r="I1864" t="str">
        <f>IF(OR($F1864="",$G1864=""),"",IF(ISNUMBER(Sync!$AE1864),MOD(Sync!$AE1864,100),IFERROR(VALUE(TRIM(MID(MID(Sync!$AE1864,FIND("/",Sync!$AE1864)+1,20),FIND("/",MID(Sync!$AE1864,FIND("/",Sync!$AE1864)+1,20))+1,20))),"")))</f>
        <v/>
      </c>
      <c r="J1864" t="str">
        <f t="shared" si="147"/>
        <v/>
      </c>
      <c r="K1864" t="str">
        <f>IF(OR($F1864="",$J1864="",$J1864="نامعتبر"),"",LEFT($J1864,4)&amp;MID($J1864,6,2)&amp;RIGHT($J1864,2)&amp;$N1864&amp;"|"&amp;"2"&amp;RIGHT("00000"&amp;1859,5))</f>
        <v/>
      </c>
      <c r="L1864" t="str">
        <f t="shared" si="148"/>
        <v/>
      </c>
      <c r="M1864" t="str">
        <f t="shared" si="149"/>
        <v/>
      </c>
      <c r="N1864" t="str">
        <f>IF($F1864="","",IF(Sync!$AF1864="","0000",IF(AND(ISNUMBER(Sync!$AF1864),Sync!$AF1864&gt;=0,Sync!$AF1864&lt;1),RIGHT("00"&amp;HOUR(Sync!$AF1864),2)&amp;RIGHT("00"&amp;MINUTE(Sync!$AF1864),2),IFERROR(RIGHT("00"&amp;VALUE(LEFT(Sync!$AF1864,FIND(":",Sync!$AF1864)-1)),2)&amp;RIGHT("00"&amp;VALUE(MID(Sync!$AF1864,FIND(":",Sync!$AF1864)+1,2)),2),"0000"))))</f>
        <v/>
      </c>
    </row>
    <row r="1865" spans="1:14" x14ac:dyDescent="0.2">
      <c r="A1865" t="str">
        <f>IF(OR(Calc!$E1869="",Calc!$E1869="نامعتبر",Calc!$G1869=""),"",Calc!$G1869)</f>
        <v/>
      </c>
      <c r="B1865" t="str">
        <f>IF($A1865="","",LEFT(Calc!$E1869,4)&amp;MID(Calc!$E1869,6,2)&amp;RIGHT(Calc!$E1869,2)&amp;Calc!$Q1869&amp;"|"&amp;"1"&amp;RIGHT("00000"&amp;1860,5))</f>
        <v/>
      </c>
      <c r="C1865" t="str">
        <f t="shared" si="145"/>
        <v/>
      </c>
      <c r="D1865" t="str">
        <f t="shared" si="146"/>
        <v/>
      </c>
      <c r="F1865" t="str">
        <f>IF(Sync!$AH1865="","",IF(LEFT(UPPER(TRIM(Sync!$AH1865)),2)="SL",UPPER(TRIM(Sync!$AH1865)),""))</f>
        <v/>
      </c>
      <c r="G1865" t="str">
        <f>IF($F1865="","",IF(Sync!$AE1865="","",IF(ISNUMBER(Sync!$AE1865),IF(AND(Sync!$AE1865&gt;=10000101,Sync!$AE1865&lt;=99991231),INT(Sync!$AE1865/10000),""),IFERROR(VALUE(TRIM(LEFT(Sync!$AE1865,FIND("/",Sync!$AE1865)-1))),""))))</f>
        <v/>
      </c>
      <c r="H1865" t="str">
        <f>IF(OR($F1865="",$G1865=""),"",IF(ISNUMBER(Sync!$AE1865),INT(MOD(Sync!$AE1865,10000)/100),IFERROR(VALUE(TRIM(LEFT(MID(Sync!$AE1865,FIND("/",Sync!$AE1865)+1,20),FIND("/",MID(Sync!$AE1865,FIND("/",Sync!$AE1865)+1,20))-1))),"")))</f>
        <v/>
      </c>
      <c r="I1865" t="str">
        <f>IF(OR($F1865="",$G1865=""),"",IF(ISNUMBER(Sync!$AE1865),MOD(Sync!$AE1865,100),IFERROR(VALUE(TRIM(MID(MID(Sync!$AE1865,FIND("/",Sync!$AE1865)+1,20),FIND("/",MID(Sync!$AE1865,FIND("/",Sync!$AE1865)+1,20))+1,20))),"")))</f>
        <v/>
      </c>
      <c r="J1865" t="str">
        <f t="shared" si="147"/>
        <v/>
      </c>
      <c r="K1865" t="str">
        <f>IF(OR($F1865="",$J1865="",$J1865="نامعتبر"),"",LEFT($J1865,4)&amp;MID($J1865,6,2)&amp;RIGHT($J1865,2)&amp;$N1865&amp;"|"&amp;"2"&amp;RIGHT("00000"&amp;1860,5))</f>
        <v/>
      </c>
      <c r="L1865" t="str">
        <f t="shared" si="148"/>
        <v/>
      </c>
      <c r="M1865" t="str">
        <f t="shared" si="149"/>
        <v/>
      </c>
      <c r="N1865" t="str">
        <f>IF($F1865="","",IF(Sync!$AF1865="","0000",IF(AND(ISNUMBER(Sync!$AF1865),Sync!$AF1865&gt;=0,Sync!$AF1865&lt;1),RIGHT("00"&amp;HOUR(Sync!$AF1865),2)&amp;RIGHT("00"&amp;MINUTE(Sync!$AF1865),2),IFERROR(RIGHT("00"&amp;VALUE(LEFT(Sync!$AF1865,FIND(":",Sync!$AF1865)-1)),2)&amp;RIGHT("00"&amp;VALUE(MID(Sync!$AF1865,FIND(":",Sync!$AF1865)+1,2)),2),"0000"))))</f>
        <v/>
      </c>
    </row>
    <row r="1866" spans="1:14" x14ac:dyDescent="0.2">
      <c r="A1866" t="str">
        <f>IF(OR(Calc!$E1870="",Calc!$E1870="نامعتبر",Calc!$G1870=""),"",Calc!$G1870)</f>
        <v/>
      </c>
      <c r="B1866" t="str">
        <f>IF($A1866="","",LEFT(Calc!$E1870,4)&amp;MID(Calc!$E1870,6,2)&amp;RIGHT(Calc!$E1870,2)&amp;Calc!$Q1870&amp;"|"&amp;"1"&amp;RIGHT("00000"&amp;1861,5))</f>
        <v/>
      </c>
      <c r="C1866" t="str">
        <f t="shared" si="145"/>
        <v/>
      </c>
      <c r="D1866" t="str">
        <f t="shared" si="146"/>
        <v/>
      </c>
      <c r="F1866" t="str">
        <f>IF(Sync!$AH1866="","",IF(LEFT(UPPER(TRIM(Sync!$AH1866)),2)="SL",UPPER(TRIM(Sync!$AH1866)),""))</f>
        <v/>
      </c>
      <c r="G1866" t="str">
        <f>IF($F1866="","",IF(Sync!$AE1866="","",IF(ISNUMBER(Sync!$AE1866),IF(AND(Sync!$AE1866&gt;=10000101,Sync!$AE1866&lt;=99991231),INT(Sync!$AE1866/10000),""),IFERROR(VALUE(TRIM(LEFT(Sync!$AE1866,FIND("/",Sync!$AE1866)-1))),""))))</f>
        <v/>
      </c>
      <c r="H1866" t="str">
        <f>IF(OR($F1866="",$G1866=""),"",IF(ISNUMBER(Sync!$AE1866),INT(MOD(Sync!$AE1866,10000)/100),IFERROR(VALUE(TRIM(LEFT(MID(Sync!$AE1866,FIND("/",Sync!$AE1866)+1,20),FIND("/",MID(Sync!$AE1866,FIND("/",Sync!$AE1866)+1,20))-1))),"")))</f>
        <v/>
      </c>
      <c r="I1866" t="str">
        <f>IF(OR($F1866="",$G1866=""),"",IF(ISNUMBER(Sync!$AE1866),MOD(Sync!$AE1866,100),IFERROR(VALUE(TRIM(MID(MID(Sync!$AE1866,FIND("/",Sync!$AE1866)+1,20),FIND("/",MID(Sync!$AE1866,FIND("/",Sync!$AE1866)+1,20))+1,20))),"")))</f>
        <v/>
      </c>
      <c r="J1866" t="str">
        <f t="shared" si="147"/>
        <v/>
      </c>
      <c r="K1866" t="str">
        <f>IF(OR($F1866="",$J1866="",$J1866="نامعتبر"),"",LEFT($J1866,4)&amp;MID($J1866,6,2)&amp;RIGHT($J1866,2)&amp;$N1866&amp;"|"&amp;"2"&amp;RIGHT("00000"&amp;1861,5))</f>
        <v/>
      </c>
      <c r="L1866" t="str">
        <f t="shared" si="148"/>
        <v/>
      </c>
      <c r="M1866" t="str">
        <f t="shared" si="149"/>
        <v/>
      </c>
      <c r="N1866" t="str">
        <f>IF($F1866="","",IF(Sync!$AF1866="","0000",IF(AND(ISNUMBER(Sync!$AF1866),Sync!$AF1866&gt;=0,Sync!$AF1866&lt;1),RIGHT("00"&amp;HOUR(Sync!$AF1866),2)&amp;RIGHT("00"&amp;MINUTE(Sync!$AF1866),2),IFERROR(RIGHT("00"&amp;VALUE(LEFT(Sync!$AF1866,FIND(":",Sync!$AF1866)-1)),2)&amp;RIGHT("00"&amp;VALUE(MID(Sync!$AF1866,FIND(":",Sync!$AF1866)+1,2)),2),"0000"))))</f>
        <v/>
      </c>
    </row>
    <row r="1867" spans="1:14" x14ac:dyDescent="0.2">
      <c r="A1867" t="str">
        <f>IF(OR(Calc!$E1871="",Calc!$E1871="نامعتبر",Calc!$G1871=""),"",Calc!$G1871)</f>
        <v/>
      </c>
      <c r="B1867" t="str">
        <f>IF($A1867="","",LEFT(Calc!$E1871,4)&amp;MID(Calc!$E1871,6,2)&amp;RIGHT(Calc!$E1871,2)&amp;Calc!$Q1871&amp;"|"&amp;"1"&amp;RIGHT("00000"&amp;1862,5))</f>
        <v/>
      </c>
      <c r="C1867" t="str">
        <f t="shared" si="145"/>
        <v/>
      </c>
      <c r="D1867" t="str">
        <f t="shared" si="146"/>
        <v/>
      </c>
      <c r="F1867" t="str">
        <f>IF(Sync!$AH1867="","",IF(LEFT(UPPER(TRIM(Sync!$AH1867)),2)="SL",UPPER(TRIM(Sync!$AH1867)),""))</f>
        <v/>
      </c>
      <c r="G1867" t="str">
        <f>IF($F1867="","",IF(Sync!$AE1867="","",IF(ISNUMBER(Sync!$AE1867),IF(AND(Sync!$AE1867&gt;=10000101,Sync!$AE1867&lt;=99991231),INT(Sync!$AE1867/10000),""),IFERROR(VALUE(TRIM(LEFT(Sync!$AE1867,FIND("/",Sync!$AE1867)-1))),""))))</f>
        <v/>
      </c>
      <c r="H1867" t="str">
        <f>IF(OR($F1867="",$G1867=""),"",IF(ISNUMBER(Sync!$AE1867),INT(MOD(Sync!$AE1867,10000)/100),IFERROR(VALUE(TRIM(LEFT(MID(Sync!$AE1867,FIND("/",Sync!$AE1867)+1,20),FIND("/",MID(Sync!$AE1867,FIND("/",Sync!$AE1867)+1,20))-1))),"")))</f>
        <v/>
      </c>
      <c r="I1867" t="str">
        <f>IF(OR($F1867="",$G1867=""),"",IF(ISNUMBER(Sync!$AE1867),MOD(Sync!$AE1867,100),IFERROR(VALUE(TRIM(MID(MID(Sync!$AE1867,FIND("/",Sync!$AE1867)+1,20),FIND("/",MID(Sync!$AE1867,FIND("/",Sync!$AE1867)+1,20))+1,20))),"")))</f>
        <v/>
      </c>
      <c r="J1867" t="str">
        <f t="shared" si="147"/>
        <v/>
      </c>
      <c r="K1867" t="str">
        <f>IF(OR($F1867="",$J1867="",$J1867="نامعتبر"),"",LEFT($J1867,4)&amp;MID($J1867,6,2)&amp;RIGHT($J1867,2)&amp;$N1867&amp;"|"&amp;"2"&amp;RIGHT("00000"&amp;1862,5))</f>
        <v/>
      </c>
      <c r="L1867" t="str">
        <f t="shared" si="148"/>
        <v/>
      </c>
      <c r="M1867" t="str">
        <f t="shared" si="149"/>
        <v/>
      </c>
      <c r="N1867" t="str">
        <f>IF($F1867="","",IF(Sync!$AF1867="","0000",IF(AND(ISNUMBER(Sync!$AF1867),Sync!$AF1867&gt;=0,Sync!$AF1867&lt;1),RIGHT("00"&amp;HOUR(Sync!$AF1867),2)&amp;RIGHT("00"&amp;MINUTE(Sync!$AF1867),2),IFERROR(RIGHT("00"&amp;VALUE(LEFT(Sync!$AF1867,FIND(":",Sync!$AF1867)-1)),2)&amp;RIGHT("00"&amp;VALUE(MID(Sync!$AF1867,FIND(":",Sync!$AF1867)+1,2)),2),"0000"))))</f>
        <v/>
      </c>
    </row>
    <row r="1868" spans="1:14" x14ac:dyDescent="0.2">
      <c r="A1868" t="str">
        <f>IF(OR(Calc!$E1872="",Calc!$E1872="نامعتبر",Calc!$G1872=""),"",Calc!$G1872)</f>
        <v/>
      </c>
      <c r="B1868" t="str">
        <f>IF($A1868="","",LEFT(Calc!$E1872,4)&amp;MID(Calc!$E1872,6,2)&amp;RIGHT(Calc!$E1872,2)&amp;Calc!$Q1872&amp;"|"&amp;"1"&amp;RIGHT("00000"&amp;1863,5))</f>
        <v/>
      </c>
      <c r="C1868" t="str">
        <f t="shared" si="145"/>
        <v/>
      </c>
      <c r="D1868" t="str">
        <f t="shared" si="146"/>
        <v/>
      </c>
      <c r="F1868" t="str">
        <f>IF(Sync!$AH1868="","",IF(LEFT(UPPER(TRIM(Sync!$AH1868)),2)="SL",UPPER(TRIM(Sync!$AH1868)),""))</f>
        <v/>
      </c>
      <c r="G1868" t="str">
        <f>IF($F1868="","",IF(Sync!$AE1868="","",IF(ISNUMBER(Sync!$AE1868),IF(AND(Sync!$AE1868&gt;=10000101,Sync!$AE1868&lt;=99991231),INT(Sync!$AE1868/10000),""),IFERROR(VALUE(TRIM(LEFT(Sync!$AE1868,FIND("/",Sync!$AE1868)-1))),""))))</f>
        <v/>
      </c>
      <c r="H1868" t="str">
        <f>IF(OR($F1868="",$G1868=""),"",IF(ISNUMBER(Sync!$AE1868),INT(MOD(Sync!$AE1868,10000)/100),IFERROR(VALUE(TRIM(LEFT(MID(Sync!$AE1868,FIND("/",Sync!$AE1868)+1,20),FIND("/",MID(Sync!$AE1868,FIND("/",Sync!$AE1868)+1,20))-1))),"")))</f>
        <v/>
      </c>
      <c r="I1868" t="str">
        <f>IF(OR($F1868="",$G1868=""),"",IF(ISNUMBER(Sync!$AE1868),MOD(Sync!$AE1868,100),IFERROR(VALUE(TRIM(MID(MID(Sync!$AE1868,FIND("/",Sync!$AE1868)+1,20),FIND("/",MID(Sync!$AE1868,FIND("/",Sync!$AE1868)+1,20))+1,20))),"")))</f>
        <v/>
      </c>
      <c r="J1868" t="str">
        <f t="shared" si="147"/>
        <v/>
      </c>
      <c r="K1868" t="str">
        <f>IF(OR($F1868="",$J1868="",$J1868="نامعتبر"),"",LEFT($J1868,4)&amp;MID($J1868,6,2)&amp;RIGHT($J1868,2)&amp;$N1868&amp;"|"&amp;"2"&amp;RIGHT("00000"&amp;1863,5))</f>
        <v/>
      </c>
      <c r="L1868" t="str">
        <f t="shared" si="148"/>
        <v/>
      </c>
      <c r="M1868" t="str">
        <f t="shared" si="149"/>
        <v/>
      </c>
      <c r="N1868" t="str">
        <f>IF($F1868="","",IF(Sync!$AF1868="","0000",IF(AND(ISNUMBER(Sync!$AF1868),Sync!$AF1868&gt;=0,Sync!$AF1868&lt;1),RIGHT("00"&amp;HOUR(Sync!$AF1868),2)&amp;RIGHT("00"&amp;MINUTE(Sync!$AF1868),2),IFERROR(RIGHT("00"&amp;VALUE(LEFT(Sync!$AF1868,FIND(":",Sync!$AF1868)-1)),2)&amp;RIGHT("00"&amp;VALUE(MID(Sync!$AF1868,FIND(":",Sync!$AF1868)+1,2)),2),"0000"))))</f>
        <v/>
      </c>
    </row>
    <row r="1869" spans="1:14" x14ac:dyDescent="0.2">
      <c r="A1869" t="str">
        <f>IF(OR(Calc!$E1873="",Calc!$E1873="نامعتبر",Calc!$G1873=""),"",Calc!$G1873)</f>
        <v/>
      </c>
      <c r="B1869" t="str">
        <f>IF($A1869="","",LEFT(Calc!$E1873,4)&amp;MID(Calc!$E1873,6,2)&amp;RIGHT(Calc!$E1873,2)&amp;Calc!$Q1873&amp;"|"&amp;"1"&amp;RIGHT("00000"&amp;1864,5))</f>
        <v/>
      </c>
      <c r="C1869" t="str">
        <f t="shared" si="145"/>
        <v/>
      </c>
      <c r="D1869" t="str">
        <f t="shared" si="146"/>
        <v/>
      </c>
      <c r="F1869" t="str">
        <f>IF(Sync!$AH1869="","",IF(LEFT(UPPER(TRIM(Sync!$AH1869)),2)="SL",UPPER(TRIM(Sync!$AH1869)),""))</f>
        <v/>
      </c>
      <c r="G1869" t="str">
        <f>IF($F1869="","",IF(Sync!$AE1869="","",IF(ISNUMBER(Sync!$AE1869),IF(AND(Sync!$AE1869&gt;=10000101,Sync!$AE1869&lt;=99991231),INT(Sync!$AE1869/10000),""),IFERROR(VALUE(TRIM(LEFT(Sync!$AE1869,FIND("/",Sync!$AE1869)-1))),""))))</f>
        <v/>
      </c>
      <c r="H1869" t="str">
        <f>IF(OR($F1869="",$G1869=""),"",IF(ISNUMBER(Sync!$AE1869),INT(MOD(Sync!$AE1869,10000)/100),IFERROR(VALUE(TRIM(LEFT(MID(Sync!$AE1869,FIND("/",Sync!$AE1869)+1,20),FIND("/",MID(Sync!$AE1869,FIND("/",Sync!$AE1869)+1,20))-1))),"")))</f>
        <v/>
      </c>
      <c r="I1869" t="str">
        <f>IF(OR($F1869="",$G1869=""),"",IF(ISNUMBER(Sync!$AE1869),MOD(Sync!$AE1869,100),IFERROR(VALUE(TRIM(MID(MID(Sync!$AE1869,FIND("/",Sync!$AE1869)+1,20),FIND("/",MID(Sync!$AE1869,FIND("/",Sync!$AE1869)+1,20))+1,20))),"")))</f>
        <v/>
      </c>
      <c r="J1869" t="str">
        <f t="shared" si="147"/>
        <v/>
      </c>
      <c r="K1869" t="str">
        <f>IF(OR($F1869="",$J1869="",$J1869="نامعتبر"),"",LEFT($J1869,4)&amp;MID($J1869,6,2)&amp;RIGHT($J1869,2)&amp;$N1869&amp;"|"&amp;"2"&amp;RIGHT("00000"&amp;1864,5))</f>
        <v/>
      </c>
      <c r="L1869" t="str">
        <f t="shared" si="148"/>
        <v/>
      </c>
      <c r="M1869" t="str">
        <f t="shared" si="149"/>
        <v/>
      </c>
      <c r="N1869" t="str">
        <f>IF($F1869="","",IF(Sync!$AF1869="","0000",IF(AND(ISNUMBER(Sync!$AF1869),Sync!$AF1869&gt;=0,Sync!$AF1869&lt;1),RIGHT("00"&amp;HOUR(Sync!$AF1869),2)&amp;RIGHT("00"&amp;MINUTE(Sync!$AF1869),2),IFERROR(RIGHT("00"&amp;VALUE(LEFT(Sync!$AF1869,FIND(":",Sync!$AF1869)-1)),2)&amp;RIGHT("00"&amp;VALUE(MID(Sync!$AF1869,FIND(":",Sync!$AF1869)+1,2)),2),"0000"))))</f>
        <v/>
      </c>
    </row>
    <row r="1870" spans="1:14" x14ac:dyDescent="0.2">
      <c r="A1870" t="str">
        <f>IF(OR(Calc!$E1874="",Calc!$E1874="نامعتبر",Calc!$G1874=""),"",Calc!$G1874)</f>
        <v/>
      </c>
      <c r="B1870" t="str">
        <f>IF($A1870="","",LEFT(Calc!$E1874,4)&amp;MID(Calc!$E1874,6,2)&amp;RIGHT(Calc!$E1874,2)&amp;Calc!$Q1874&amp;"|"&amp;"1"&amp;RIGHT("00000"&amp;1865,5))</f>
        <v/>
      </c>
      <c r="C1870" t="str">
        <f t="shared" si="145"/>
        <v/>
      </c>
      <c r="D1870" t="str">
        <f t="shared" si="146"/>
        <v/>
      </c>
      <c r="F1870" t="str">
        <f>IF(Sync!$AH1870="","",IF(LEFT(UPPER(TRIM(Sync!$AH1870)),2)="SL",UPPER(TRIM(Sync!$AH1870)),""))</f>
        <v/>
      </c>
      <c r="G1870" t="str">
        <f>IF($F1870="","",IF(Sync!$AE1870="","",IF(ISNUMBER(Sync!$AE1870),IF(AND(Sync!$AE1870&gt;=10000101,Sync!$AE1870&lt;=99991231),INT(Sync!$AE1870/10000),""),IFERROR(VALUE(TRIM(LEFT(Sync!$AE1870,FIND("/",Sync!$AE1870)-1))),""))))</f>
        <v/>
      </c>
      <c r="H1870" t="str">
        <f>IF(OR($F1870="",$G1870=""),"",IF(ISNUMBER(Sync!$AE1870),INT(MOD(Sync!$AE1870,10000)/100),IFERROR(VALUE(TRIM(LEFT(MID(Sync!$AE1870,FIND("/",Sync!$AE1870)+1,20),FIND("/",MID(Sync!$AE1870,FIND("/",Sync!$AE1870)+1,20))-1))),"")))</f>
        <v/>
      </c>
      <c r="I1870" t="str">
        <f>IF(OR($F1870="",$G1870=""),"",IF(ISNUMBER(Sync!$AE1870),MOD(Sync!$AE1870,100),IFERROR(VALUE(TRIM(MID(MID(Sync!$AE1870,FIND("/",Sync!$AE1870)+1,20),FIND("/",MID(Sync!$AE1870,FIND("/",Sync!$AE1870)+1,20))+1,20))),"")))</f>
        <v/>
      </c>
      <c r="J1870" t="str">
        <f t="shared" si="147"/>
        <v/>
      </c>
      <c r="K1870" t="str">
        <f>IF(OR($F1870="",$J1870="",$J1870="نامعتبر"),"",LEFT($J1870,4)&amp;MID($J1870,6,2)&amp;RIGHT($J1870,2)&amp;$N1870&amp;"|"&amp;"2"&amp;RIGHT("00000"&amp;1865,5))</f>
        <v/>
      </c>
      <c r="L1870" t="str">
        <f t="shared" si="148"/>
        <v/>
      </c>
      <c r="M1870" t="str">
        <f t="shared" si="149"/>
        <v/>
      </c>
      <c r="N1870" t="str">
        <f>IF($F1870="","",IF(Sync!$AF1870="","0000",IF(AND(ISNUMBER(Sync!$AF1870),Sync!$AF1870&gt;=0,Sync!$AF1870&lt;1),RIGHT("00"&amp;HOUR(Sync!$AF1870),2)&amp;RIGHT("00"&amp;MINUTE(Sync!$AF1870),2),IFERROR(RIGHT("00"&amp;VALUE(LEFT(Sync!$AF1870,FIND(":",Sync!$AF1870)-1)),2)&amp;RIGHT("00"&amp;VALUE(MID(Sync!$AF1870,FIND(":",Sync!$AF1870)+1,2)),2),"0000"))))</f>
        <v/>
      </c>
    </row>
    <row r="1871" spans="1:14" x14ac:dyDescent="0.2">
      <c r="A1871" t="str">
        <f>IF(OR(Calc!$E1875="",Calc!$E1875="نامعتبر",Calc!$G1875=""),"",Calc!$G1875)</f>
        <v/>
      </c>
      <c r="B1871" t="str">
        <f>IF($A1871="","",LEFT(Calc!$E1875,4)&amp;MID(Calc!$E1875,6,2)&amp;RIGHT(Calc!$E1875,2)&amp;Calc!$Q1875&amp;"|"&amp;"1"&amp;RIGHT("00000"&amp;1866,5))</f>
        <v/>
      </c>
      <c r="C1871" t="str">
        <f t="shared" si="145"/>
        <v/>
      </c>
      <c r="D1871" t="str">
        <f t="shared" si="146"/>
        <v/>
      </c>
      <c r="F1871" t="str">
        <f>IF(Sync!$AH1871="","",IF(LEFT(UPPER(TRIM(Sync!$AH1871)),2)="SL",UPPER(TRIM(Sync!$AH1871)),""))</f>
        <v/>
      </c>
      <c r="G1871" t="str">
        <f>IF($F1871="","",IF(Sync!$AE1871="","",IF(ISNUMBER(Sync!$AE1871),IF(AND(Sync!$AE1871&gt;=10000101,Sync!$AE1871&lt;=99991231),INT(Sync!$AE1871/10000),""),IFERROR(VALUE(TRIM(LEFT(Sync!$AE1871,FIND("/",Sync!$AE1871)-1))),""))))</f>
        <v/>
      </c>
      <c r="H1871" t="str">
        <f>IF(OR($F1871="",$G1871=""),"",IF(ISNUMBER(Sync!$AE1871),INT(MOD(Sync!$AE1871,10000)/100),IFERROR(VALUE(TRIM(LEFT(MID(Sync!$AE1871,FIND("/",Sync!$AE1871)+1,20),FIND("/",MID(Sync!$AE1871,FIND("/",Sync!$AE1871)+1,20))-1))),"")))</f>
        <v/>
      </c>
      <c r="I1871" t="str">
        <f>IF(OR($F1871="",$G1871=""),"",IF(ISNUMBER(Sync!$AE1871),MOD(Sync!$AE1871,100),IFERROR(VALUE(TRIM(MID(MID(Sync!$AE1871,FIND("/",Sync!$AE1871)+1,20),FIND("/",MID(Sync!$AE1871,FIND("/",Sync!$AE1871)+1,20))+1,20))),"")))</f>
        <v/>
      </c>
      <c r="J1871" t="str">
        <f t="shared" si="147"/>
        <v/>
      </c>
      <c r="K1871" t="str">
        <f>IF(OR($F1871="",$J1871="",$J1871="نامعتبر"),"",LEFT($J1871,4)&amp;MID($J1871,6,2)&amp;RIGHT($J1871,2)&amp;$N1871&amp;"|"&amp;"2"&amp;RIGHT("00000"&amp;1866,5))</f>
        <v/>
      </c>
      <c r="L1871" t="str">
        <f t="shared" si="148"/>
        <v/>
      </c>
      <c r="M1871" t="str">
        <f t="shared" si="149"/>
        <v/>
      </c>
      <c r="N1871" t="str">
        <f>IF($F1871="","",IF(Sync!$AF1871="","0000",IF(AND(ISNUMBER(Sync!$AF1871),Sync!$AF1871&gt;=0,Sync!$AF1871&lt;1),RIGHT("00"&amp;HOUR(Sync!$AF1871),2)&amp;RIGHT("00"&amp;MINUTE(Sync!$AF1871),2),IFERROR(RIGHT("00"&amp;VALUE(LEFT(Sync!$AF1871,FIND(":",Sync!$AF1871)-1)),2)&amp;RIGHT("00"&amp;VALUE(MID(Sync!$AF1871,FIND(":",Sync!$AF1871)+1,2)),2),"0000"))))</f>
        <v/>
      </c>
    </row>
    <row r="1872" spans="1:14" x14ac:dyDescent="0.2">
      <c r="A1872" t="str">
        <f>IF(OR(Calc!$E1876="",Calc!$E1876="نامعتبر",Calc!$G1876=""),"",Calc!$G1876)</f>
        <v/>
      </c>
      <c r="B1872" t="str">
        <f>IF($A1872="","",LEFT(Calc!$E1876,4)&amp;MID(Calc!$E1876,6,2)&amp;RIGHT(Calc!$E1876,2)&amp;Calc!$Q1876&amp;"|"&amp;"1"&amp;RIGHT("00000"&amp;1867,5))</f>
        <v/>
      </c>
      <c r="C1872" t="str">
        <f t="shared" si="145"/>
        <v/>
      </c>
      <c r="D1872" t="str">
        <f t="shared" si="146"/>
        <v/>
      </c>
      <c r="F1872" t="str">
        <f>IF(Sync!$AH1872="","",IF(LEFT(UPPER(TRIM(Sync!$AH1872)),2)="SL",UPPER(TRIM(Sync!$AH1872)),""))</f>
        <v/>
      </c>
      <c r="G1872" t="str">
        <f>IF($F1872="","",IF(Sync!$AE1872="","",IF(ISNUMBER(Sync!$AE1872),IF(AND(Sync!$AE1872&gt;=10000101,Sync!$AE1872&lt;=99991231),INT(Sync!$AE1872/10000),""),IFERROR(VALUE(TRIM(LEFT(Sync!$AE1872,FIND("/",Sync!$AE1872)-1))),""))))</f>
        <v/>
      </c>
      <c r="H1872" t="str">
        <f>IF(OR($F1872="",$G1872=""),"",IF(ISNUMBER(Sync!$AE1872),INT(MOD(Sync!$AE1872,10000)/100),IFERROR(VALUE(TRIM(LEFT(MID(Sync!$AE1872,FIND("/",Sync!$AE1872)+1,20),FIND("/",MID(Sync!$AE1872,FIND("/",Sync!$AE1872)+1,20))-1))),"")))</f>
        <v/>
      </c>
      <c r="I1872" t="str">
        <f>IF(OR($F1872="",$G1872=""),"",IF(ISNUMBER(Sync!$AE1872),MOD(Sync!$AE1872,100),IFERROR(VALUE(TRIM(MID(MID(Sync!$AE1872,FIND("/",Sync!$AE1872)+1,20),FIND("/",MID(Sync!$AE1872,FIND("/",Sync!$AE1872)+1,20))+1,20))),"")))</f>
        <v/>
      </c>
      <c r="J1872" t="str">
        <f t="shared" si="147"/>
        <v/>
      </c>
      <c r="K1872" t="str">
        <f>IF(OR($F1872="",$J1872="",$J1872="نامعتبر"),"",LEFT($J1872,4)&amp;MID($J1872,6,2)&amp;RIGHT($J1872,2)&amp;$N1872&amp;"|"&amp;"2"&amp;RIGHT("00000"&amp;1867,5))</f>
        <v/>
      </c>
      <c r="L1872" t="str">
        <f t="shared" si="148"/>
        <v/>
      </c>
      <c r="M1872" t="str">
        <f t="shared" si="149"/>
        <v/>
      </c>
      <c r="N1872" t="str">
        <f>IF($F1872="","",IF(Sync!$AF1872="","0000",IF(AND(ISNUMBER(Sync!$AF1872),Sync!$AF1872&gt;=0,Sync!$AF1872&lt;1),RIGHT("00"&amp;HOUR(Sync!$AF1872),2)&amp;RIGHT("00"&amp;MINUTE(Sync!$AF1872),2),IFERROR(RIGHT("00"&amp;VALUE(LEFT(Sync!$AF1872,FIND(":",Sync!$AF1872)-1)),2)&amp;RIGHT("00"&amp;VALUE(MID(Sync!$AF1872,FIND(":",Sync!$AF1872)+1,2)),2),"0000"))))</f>
        <v/>
      </c>
    </row>
    <row r="1873" spans="1:14" x14ac:dyDescent="0.2">
      <c r="A1873" t="str">
        <f>IF(OR(Calc!$E1877="",Calc!$E1877="نامعتبر",Calc!$G1877=""),"",Calc!$G1877)</f>
        <v/>
      </c>
      <c r="B1873" t="str">
        <f>IF($A1873="","",LEFT(Calc!$E1877,4)&amp;MID(Calc!$E1877,6,2)&amp;RIGHT(Calc!$E1877,2)&amp;Calc!$Q1877&amp;"|"&amp;"1"&amp;RIGHT("00000"&amp;1868,5))</f>
        <v/>
      </c>
      <c r="C1873" t="str">
        <f t="shared" si="145"/>
        <v/>
      </c>
      <c r="D1873" t="str">
        <f t="shared" si="146"/>
        <v/>
      </c>
      <c r="F1873" t="str">
        <f>IF(Sync!$AH1873="","",IF(LEFT(UPPER(TRIM(Sync!$AH1873)),2)="SL",UPPER(TRIM(Sync!$AH1873)),""))</f>
        <v/>
      </c>
      <c r="G1873" t="str">
        <f>IF($F1873="","",IF(Sync!$AE1873="","",IF(ISNUMBER(Sync!$AE1873),IF(AND(Sync!$AE1873&gt;=10000101,Sync!$AE1873&lt;=99991231),INT(Sync!$AE1873/10000),""),IFERROR(VALUE(TRIM(LEFT(Sync!$AE1873,FIND("/",Sync!$AE1873)-1))),""))))</f>
        <v/>
      </c>
      <c r="H1873" t="str">
        <f>IF(OR($F1873="",$G1873=""),"",IF(ISNUMBER(Sync!$AE1873),INT(MOD(Sync!$AE1873,10000)/100),IFERROR(VALUE(TRIM(LEFT(MID(Sync!$AE1873,FIND("/",Sync!$AE1873)+1,20),FIND("/",MID(Sync!$AE1873,FIND("/",Sync!$AE1873)+1,20))-1))),"")))</f>
        <v/>
      </c>
      <c r="I1873" t="str">
        <f>IF(OR($F1873="",$G1873=""),"",IF(ISNUMBER(Sync!$AE1873),MOD(Sync!$AE1873,100),IFERROR(VALUE(TRIM(MID(MID(Sync!$AE1873,FIND("/",Sync!$AE1873)+1,20),FIND("/",MID(Sync!$AE1873,FIND("/",Sync!$AE1873)+1,20))+1,20))),"")))</f>
        <v/>
      </c>
      <c r="J1873" t="str">
        <f t="shared" si="147"/>
        <v/>
      </c>
      <c r="K1873" t="str">
        <f>IF(OR($F1873="",$J1873="",$J1873="نامعتبر"),"",LEFT($J1873,4)&amp;MID($J1873,6,2)&amp;RIGHT($J1873,2)&amp;$N1873&amp;"|"&amp;"2"&amp;RIGHT("00000"&amp;1868,5))</f>
        <v/>
      </c>
      <c r="L1873" t="str">
        <f t="shared" si="148"/>
        <v/>
      </c>
      <c r="M1873" t="str">
        <f t="shared" si="149"/>
        <v/>
      </c>
      <c r="N1873" t="str">
        <f>IF($F1873="","",IF(Sync!$AF1873="","0000",IF(AND(ISNUMBER(Sync!$AF1873),Sync!$AF1873&gt;=0,Sync!$AF1873&lt;1),RIGHT("00"&amp;HOUR(Sync!$AF1873),2)&amp;RIGHT("00"&amp;MINUTE(Sync!$AF1873),2),IFERROR(RIGHT("00"&amp;VALUE(LEFT(Sync!$AF1873,FIND(":",Sync!$AF1873)-1)),2)&amp;RIGHT("00"&amp;VALUE(MID(Sync!$AF1873,FIND(":",Sync!$AF1873)+1,2)),2),"0000"))))</f>
        <v/>
      </c>
    </row>
    <row r="1874" spans="1:14" x14ac:dyDescent="0.2">
      <c r="A1874" t="str">
        <f>IF(OR(Calc!$E1878="",Calc!$E1878="نامعتبر",Calc!$G1878=""),"",Calc!$G1878)</f>
        <v/>
      </c>
      <c r="B1874" t="str">
        <f>IF($A1874="","",LEFT(Calc!$E1878,4)&amp;MID(Calc!$E1878,6,2)&amp;RIGHT(Calc!$E1878,2)&amp;Calc!$Q1878&amp;"|"&amp;"1"&amp;RIGHT("00000"&amp;1869,5))</f>
        <v/>
      </c>
      <c r="C1874" t="str">
        <f t="shared" si="145"/>
        <v/>
      </c>
      <c r="D1874" t="str">
        <f t="shared" si="146"/>
        <v/>
      </c>
      <c r="F1874" t="str">
        <f>IF(Sync!$AH1874="","",IF(LEFT(UPPER(TRIM(Sync!$AH1874)),2)="SL",UPPER(TRIM(Sync!$AH1874)),""))</f>
        <v/>
      </c>
      <c r="G1874" t="str">
        <f>IF($F1874="","",IF(Sync!$AE1874="","",IF(ISNUMBER(Sync!$AE1874),IF(AND(Sync!$AE1874&gt;=10000101,Sync!$AE1874&lt;=99991231),INT(Sync!$AE1874/10000),""),IFERROR(VALUE(TRIM(LEFT(Sync!$AE1874,FIND("/",Sync!$AE1874)-1))),""))))</f>
        <v/>
      </c>
      <c r="H1874" t="str">
        <f>IF(OR($F1874="",$G1874=""),"",IF(ISNUMBER(Sync!$AE1874),INT(MOD(Sync!$AE1874,10000)/100),IFERROR(VALUE(TRIM(LEFT(MID(Sync!$AE1874,FIND("/",Sync!$AE1874)+1,20),FIND("/",MID(Sync!$AE1874,FIND("/",Sync!$AE1874)+1,20))-1))),"")))</f>
        <v/>
      </c>
      <c r="I1874" t="str">
        <f>IF(OR($F1874="",$G1874=""),"",IF(ISNUMBER(Sync!$AE1874),MOD(Sync!$AE1874,100),IFERROR(VALUE(TRIM(MID(MID(Sync!$AE1874,FIND("/",Sync!$AE1874)+1,20),FIND("/",MID(Sync!$AE1874,FIND("/",Sync!$AE1874)+1,20))+1,20))),"")))</f>
        <v/>
      </c>
      <c r="J1874" t="str">
        <f t="shared" si="147"/>
        <v/>
      </c>
      <c r="K1874" t="str">
        <f>IF(OR($F1874="",$J1874="",$J1874="نامعتبر"),"",LEFT($J1874,4)&amp;MID($J1874,6,2)&amp;RIGHT($J1874,2)&amp;$N1874&amp;"|"&amp;"2"&amp;RIGHT("00000"&amp;1869,5))</f>
        <v/>
      </c>
      <c r="L1874" t="str">
        <f t="shared" si="148"/>
        <v/>
      </c>
      <c r="M1874" t="str">
        <f t="shared" si="149"/>
        <v/>
      </c>
      <c r="N1874" t="str">
        <f>IF($F1874="","",IF(Sync!$AF1874="","0000",IF(AND(ISNUMBER(Sync!$AF1874),Sync!$AF1874&gt;=0,Sync!$AF1874&lt;1),RIGHT("00"&amp;HOUR(Sync!$AF1874),2)&amp;RIGHT("00"&amp;MINUTE(Sync!$AF1874),2),IFERROR(RIGHT("00"&amp;VALUE(LEFT(Sync!$AF1874,FIND(":",Sync!$AF1874)-1)),2)&amp;RIGHT("00"&amp;VALUE(MID(Sync!$AF1874,FIND(":",Sync!$AF1874)+1,2)),2),"0000"))))</f>
        <v/>
      </c>
    </row>
    <row r="1875" spans="1:14" x14ac:dyDescent="0.2">
      <c r="A1875" t="str">
        <f>IF(OR(Calc!$E1879="",Calc!$E1879="نامعتبر",Calc!$G1879=""),"",Calc!$G1879)</f>
        <v/>
      </c>
      <c r="B1875" t="str">
        <f>IF($A1875="","",LEFT(Calc!$E1879,4)&amp;MID(Calc!$E1879,6,2)&amp;RIGHT(Calc!$E1879,2)&amp;Calc!$Q1879&amp;"|"&amp;"1"&amp;RIGHT("00000"&amp;1870,5))</f>
        <v/>
      </c>
      <c r="C1875" t="str">
        <f t="shared" si="145"/>
        <v/>
      </c>
      <c r="D1875" t="str">
        <f t="shared" si="146"/>
        <v/>
      </c>
      <c r="F1875" t="str">
        <f>IF(Sync!$AH1875="","",IF(LEFT(UPPER(TRIM(Sync!$AH1875)),2)="SL",UPPER(TRIM(Sync!$AH1875)),""))</f>
        <v/>
      </c>
      <c r="G1875" t="str">
        <f>IF($F1875="","",IF(Sync!$AE1875="","",IF(ISNUMBER(Sync!$AE1875),IF(AND(Sync!$AE1875&gt;=10000101,Sync!$AE1875&lt;=99991231),INT(Sync!$AE1875/10000),""),IFERROR(VALUE(TRIM(LEFT(Sync!$AE1875,FIND("/",Sync!$AE1875)-1))),""))))</f>
        <v/>
      </c>
      <c r="H1875" t="str">
        <f>IF(OR($F1875="",$G1875=""),"",IF(ISNUMBER(Sync!$AE1875),INT(MOD(Sync!$AE1875,10000)/100),IFERROR(VALUE(TRIM(LEFT(MID(Sync!$AE1875,FIND("/",Sync!$AE1875)+1,20),FIND("/",MID(Sync!$AE1875,FIND("/",Sync!$AE1875)+1,20))-1))),"")))</f>
        <v/>
      </c>
      <c r="I1875" t="str">
        <f>IF(OR($F1875="",$G1875=""),"",IF(ISNUMBER(Sync!$AE1875),MOD(Sync!$AE1875,100),IFERROR(VALUE(TRIM(MID(MID(Sync!$AE1875,FIND("/",Sync!$AE1875)+1,20),FIND("/",MID(Sync!$AE1875,FIND("/",Sync!$AE1875)+1,20))+1,20))),"")))</f>
        <v/>
      </c>
      <c r="J1875" t="str">
        <f t="shared" si="147"/>
        <v/>
      </c>
      <c r="K1875" t="str">
        <f>IF(OR($F1875="",$J1875="",$J1875="نامعتبر"),"",LEFT($J1875,4)&amp;MID($J1875,6,2)&amp;RIGHT($J1875,2)&amp;$N1875&amp;"|"&amp;"2"&amp;RIGHT("00000"&amp;1870,5))</f>
        <v/>
      </c>
      <c r="L1875" t="str">
        <f t="shared" si="148"/>
        <v/>
      </c>
      <c r="M1875" t="str">
        <f t="shared" si="149"/>
        <v/>
      </c>
      <c r="N1875" t="str">
        <f>IF($F1875="","",IF(Sync!$AF1875="","0000",IF(AND(ISNUMBER(Sync!$AF1875),Sync!$AF1875&gt;=0,Sync!$AF1875&lt;1),RIGHT("00"&amp;HOUR(Sync!$AF1875),2)&amp;RIGHT("00"&amp;MINUTE(Sync!$AF1875),2),IFERROR(RIGHT("00"&amp;VALUE(LEFT(Sync!$AF1875,FIND(":",Sync!$AF1875)-1)),2)&amp;RIGHT("00"&amp;VALUE(MID(Sync!$AF1875,FIND(":",Sync!$AF1875)+1,2)),2),"0000"))))</f>
        <v/>
      </c>
    </row>
    <row r="1876" spans="1:14" x14ac:dyDescent="0.2">
      <c r="A1876" t="str">
        <f>IF(OR(Calc!$E1880="",Calc!$E1880="نامعتبر",Calc!$G1880=""),"",Calc!$G1880)</f>
        <v/>
      </c>
      <c r="B1876" t="str">
        <f>IF($A1876="","",LEFT(Calc!$E1880,4)&amp;MID(Calc!$E1880,6,2)&amp;RIGHT(Calc!$E1880,2)&amp;Calc!$Q1880&amp;"|"&amp;"1"&amp;RIGHT("00000"&amp;1871,5))</f>
        <v/>
      </c>
      <c r="C1876" t="str">
        <f t="shared" si="145"/>
        <v/>
      </c>
      <c r="D1876" t="str">
        <f t="shared" si="146"/>
        <v/>
      </c>
      <c r="F1876" t="str">
        <f>IF(Sync!$AH1876="","",IF(LEFT(UPPER(TRIM(Sync!$AH1876)),2)="SL",UPPER(TRIM(Sync!$AH1876)),""))</f>
        <v/>
      </c>
      <c r="G1876" t="str">
        <f>IF($F1876="","",IF(Sync!$AE1876="","",IF(ISNUMBER(Sync!$AE1876),IF(AND(Sync!$AE1876&gt;=10000101,Sync!$AE1876&lt;=99991231),INT(Sync!$AE1876/10000),""),IFERROR(VALUE(TRIM(LEFT(Sync!$AE1876,FIND("/",Sync!$AE1876)-1))),""))))</f>
        <v/>
      </c>
      <c r="H1876" t="str">
        <f>IF(OR($F1876="",$G1876=""),"",IF(ISNUMBER(Sync!$AE1876),INT(MOD(Sync!$AE1876,10000)/100),IFERROR(VALUE(TRIM(LEFT(MID(Sync!$AE1876,FIND("/",Sync!$AE1876)+1,20),FIND("/",MID(Sync!$AE1876,FIND("/",Sync!$AE1876)+1,20))-1))),"")))</f>
        <v/>
      </c>
      <c r="I1876" t="str">
        <f>IF(OR($F1876="",$G1876=""),"",IF(ISNUMBER(Sync!$AE1876),MOD(Sync!$AE1876,100),IFERROR(VALUE(TRIM(MID(MID(Sync!$AE1876,FIND("/",Sync!$AE1876)+1,20),FIND("/",MID(Sync!$AE1876,FIND("/",Sync!$AE1876)+1,20))+1,20))),"")))</f>
        <v/>
      </c>
      <c r="J1876" t="str">
        <f t="shared" si="147"/>
        <v/>
      </c>
      <c r="K1876" t="str">
        <f>IF(OR($F1876="",$J1876="",$J1876="نامعتبر"),"",LEFT($J1876,4)&amp;MID($J1876,6,2)&amp;RIGHT($J1876,2)&amp;$N1876&amp;"|"&amp;"2"&amp;RIGHT("00000"&amp;1871,5))</f>
        <v/>
      </c>
      <c r="L1876" t="str">
        <f t="shared" si="148"/>
        <v/>
      </c>
      <c r="M1876" t="str">
        <f t="shared" si="149"/>
        <v/>
      </c>
      <c r="N1876" t="str">
        <f>IF($F1876="","",IF(Sync!$AF1876="","0000",IF(AND(ISNUMBER(Sync!$AF1876),Sync!$AF1876&gt;=0,Sync!$AF1876&lt;1),RIGHT("00"&amp;HOUR(Sync!$AF1876),2)&amp;RIGHT("00"&amp;MINUTE(Sync!$AF1876),2),IFERROR(RIGHT("00"&amp;VALUE(LEFT(Sync!$AF1876,FIND(":",Sync!$AF1876)-1)),2)&amp;RIGHT("00"&amp;VALUE(MID(Sync!$AF1876,FIND(":",Sync!$AF1876)+1,2)),2),"0000"))))</f>
        <v/>
      </c>
    </row>
    <row r="1877" spans="1:14" x14ac:dyDescent="0.2">
      <c r="A1877" t="str">
        <f>IF(OR(Calc!$E1881="",Calc!$E1881="نامعتبر",Calc!$G1881=""),"",Calc!$G1881)</f>
        <v/>
      </c>
      <c r="B1877" t="str">
        <f>IF($A1877="","",LEFT(Calc!$E1881,4)&amp;MID(Calc!$E1881,6,2)&amp;RIGHT(Calc!$E1881,2)&amp;Calc!$Q1881&amp;"|"&amp;"1"&amp;RIGHT("00000"&amp;1872,5))</f>
        <v/>
      </c>
      <c r="C1877" t="str">
        <f t="shared" si="145"/>
        <v/>
      </c>
      <c r="D1877" t="str">
        <f t="shared" si="146"/>
        <v/>
      </c>
      <c r="F1877" t="str">
        <f>IF(Sync!$AH1877="","",IF(LEFT(UPPER(TRIM(Sync!$AH1877)),2)="SL",UPPER(TRIM(Sync!$AH1877)),""))</f>
        <v/>
      </c>
      <c r="G1877" t="str">
        <f>IF($F1877="","",IF(Sync!$AE1877="","",IF(ISNUMBER(Sync!$AE1877),IF(AND(Sync!$AE1877&gt;=10000101,Sync!$AE1877&lt;=99991231),INT(Sync!$AE1877/10000),""),IFERROR(VALUE(TRIM(LEFT(Sync!$AE1877,FIND("/",Sync!$AE1877)-1))),""))))</f>
        <v/>
      </c>
      <c r="H1877" t="str">
        <f>IF(OR($F1877="",$G1877=""),"",IF(ISNUMBER(Sync!$AE1877),INT(MOD(Sync!$AE1877,10000)/100),IFERROR(VALUE(TRIM(LEFT(MID(Sync!$AE1877,FIND("/",Sync!$AE1877)+1,20),FIND("/",MID(Sync!$AE1877,FIND("/",Sync!$AE1877)+1,20))-1))),"")))</f>
        <v/>
      </c>
      <c r="I1877" t="str">
        <f>IF(OR($F1877="",$G1877=""),"",IF(ISNUMBER(Sync!$AE1877),MOD(Sync!$AE1877,100),IFERROR(VALUE(TRIM(MID(MID(Sync!$AE1877,FIND("/",Sync!$AE1877)+1,20),FIND("/",MID(Sync!$AE1877,FIND("/",Sync!$AE1877)+1,20))+1,20))),"")))</f>
        <v/>
      </c>
      <c r="J1877" t="str">
        <f t="shared" si="147"/>
        <v/>
      </c>
      <c r="K1877" t="str">
        <f>IF(OR($F1877="",$J1877="",$J1877="نامعتبر"),"",LEFT($J1877,4)&amp;MID($J1877,6,2)&amp;RIGHT($J1877,2)&amp;$N1877&amp;"|"&amp;"2"&amp;RIGHT("00000"&amp;1872,5))</f>
        <v/>
      </c>
      <c r="L1877" t="str">
        <f t="shared" si="148"/>
        <v/>
      </c>
      <c r="M1877" t="str">
        <f t="shared" si="149"/>
        <v/>
      </c>
      <c r="N1877" t="str">
        <f>IF($F1877="","",IF(Sync!$AF1877="","0000",IF(AND(ISNUMBER(Sync!$AF1877),Sync!$AF1877&gt;=0,Sync!$AF1877&lt;1),RIGHT("00"&amp;HOUR(Sync!$AF1877),2)&amp;RIGHT("00"&amp;MINUTE(Sync!$AF1877),2),IFERROR(RIGHT("00"&amp;VALUE(LEFT(Sync!$AF1877,FIND(":",Sync!$AF1877)-1)),2)&amp;RIGHT("00"&amp;VALUE(MID(Sync!$AF1877,FIND(":",Sync!$AF1877)+1,2)),2),"0000"))))</f>
        <v/>
      </c>
    </row>
    <row r="1878" spans="1:14" x14ac:dyDescent="0.2">
      <c r="A1878" t="str">
        <f>IF(OR(Calc!$E1882="",Calc!$E1882="نامعتبر",Calc!$G1882=""),"",Calc!$G1882)</f>
        <v/>
      </c>
      <c r="B1878" t="str">
        <f>IF($A1878="","",LEFT(Calc!$E1882,4)&amp;MID(Calc!$E1882,6,2)&amp;RIGHT(Calc!$E1882,2)&amp;Calc!$Q1882&amp;"|"&amp;"1"&amp;RIGHT("00000"&amp;1873,5))</f>
        <v/>
      </c>
      <c r="C1878" t="str">
        <f t="shared" si="145"/>
        <v/>
      </c>
      <c r="D1878" t="str">
        <f t="shared" si="146"/>
        <v/>
      </c>
      <c r="F1878" t="str">
        <f>IF(Sync!$AH1878="","",IF(LEFT(UPPER(TRIM(Sync!$AH1878)),2)="SL",UPPER(TRIM(Sync!$AH1878)),""))</f>
        <v/>
      </c>
      <c r="G1878" t="str">
        <f>IF($F1878="","",IF(Sync!$AE1878="","",IF(ISNUMBER(Sync!$AE1878),IF(AND(Sync!$AE1878&gt;=10000101,Sync!$AE1878&lt;=99991231),INT(Sync!$AE1878/10000),""),IFERROR(VALUE(TRIM(LEFT(Sync!$AE1878,FIND("/",Sync!$AE1878)-1))),""))))</f>
        <v/>
      </c>
      <c r="H1878" t="str">
        <f>IF(OR($F1878="",$G1878=""),"",IF(ISNUMBER(Sync!$AE1878),INT(MOD(Sync!$AE1878,10000)/100),IFERROR(VALUE(TRIM(LEFT(MID(Sync!$AE1878,FIND("/",Sync!$AE1878)+1,20),FIND("/",MID(Sync!$AE1878,FIND("/",Sync!$AE1878)+1,20))-1))),"")))</f>
        <v/>
      </c>
      <c r="I1878" t="str">
        <f>IF(OR($F1878="",$G1878=""),"",IF(ISNUMBER(Sync!$AE1878),MOD(Sync!$AE1878,100),IFERROR(VALUE(TRIM(MID(MID(Sync!$AE1878,FIND("/",Sync!$AE1878)+1,20),FIND("/",MID(Sync!$AE1878,FIND("/",Sync!$AE1878)+1,20))+1,20))),"")))</f>
        <v/>
      </c>
      <c r="J1878" t="str">
        <f t="shared" si="147"/>
        <v/>
      </c>
      <c r="K1878" t="str">
        <f>IF(OR($F1878="",$J1878="",$J1878="نامعتبر"),"",LEFT($J1878,4)&amp;MID($J1878,6,2)&amp;RIGHT($J1878,2)&amp;$N1878&amp;"|"&amp;"2"&amp;RIGHT("00000"&amp;1873,5))</f>
        <v/>
      </c>
      <c r="L1878" t="str">
        <f t="shared" si="148"/>
        <v/>
      </c>
      <c r="M1878" t="str">
        <f t="shared" si="149"/>
        <v/>
      </c>
      <c r="N1878" t="str">
        <f>IF($F1878="","",IF(Sync!$AF1878="","0000",IF(AND(ISNUMBER(Sync!$AF1878),Sync!$AF1878&gt;=0,Sync!$AF1878&lt;1),RIGHT("00"&amp;HOUR(Sync!$AF1878),2)&amp;RIGHT("00"&amp;MINUTE(Sync!$AF1878),2),IFERROR(RIGHT("00"&amp;VALUE(LEFT(Sync!$AF1878,FIND(":",Sync!$AF1878)-1)),2)&amp;RIGHT("00"&amp;VALUE(MID(Sync!$AF1878,FIND(":",Sync!$AF1878)+1,2)),2),"0000"))))</f>
        <v/>
      </c>
    </row>
    <row r="1879" spans="1:14" x14ac:dyDescent="0.2">
      <c r="A1879" t="str">
        <f>IF(OR(Calc!$E1883="",Calc!$E1883="نامعتبر",Calc!$G1883=""),"",Calc!$G1883)</f>
        <v/>
      </c>
      <c r="B1879" t="str">
        <f>IF($A1879="","",LEFT(Calc!$E1883,4)&amp;MID(Calc!$E1883,6,2)&amp;RIGHT(Calc!$E1883,2)&amp;Calc!$Q1883&amp;"|"&amp;"1"&amp;RIGHT("00000"&amp;1874,5))</f>
        <v/>
      </c>
      <c r="C1879" t="str">
        <f t="shared" si="145"/>
        <v/>
      </c>
      <c r="D1879" t="str">
        <f t="shared" si="146"/>
        <v/>
      </c>
      <c r="F1879" t="str">
        <f>IF(Sync!$AH1879="","",IF(LEFT(UPPER(TRIM(Sync!$AH1879)),2)="SL",UPPER(TRIM(Sync!$AH1879)),""))</f>
        <v/>
      </c>
      <c r="G1879" t="str">
        <f>IF($F1879="","",IF(Sync!$AE1879="","",IF(ISNUMBER(Sync!$AE1879),IF(AND(Sync!$AE1879&gt;=10000101,Sync!$AE1879&lt;=99991231),INT(Sync!$AE1879/10000),""),IFERROR(VALUE(TRIM(LEFT(Sync!$AE1879,FIND("/",Sync!$AE1879)-1))),""))))</f>
        <v/>
      </c>
      <c r="H1879" t="str">
        <f>IF(OR($F1879="",$G1879=""),"",IF(ISNUMBER(Sync!$AE1879),INT(MOD(Sync!$AE1879,10000)/100),IFERROR(VALUE(TRIM(LEFT(MID(Sync!$AE1879,FIND("/",Sync!$AE1879)+1,20),FIND("/",MID(Sync!$AE1879,FIND("/",Sync!$AE1879)+1,20))-1))),"")))</f>
        <v/>
      </c>
      <c r="I1879" t="str">
        <f>IF(OR($F1879="",$G1879=""),"",IF(ISNUMBER(Sync!$AE1879),MOD(Sync!$AE1879,100),IFERROR(VALUE(TRIM(MID(MID(Sync!$AE1879,FIND("/",Sync!$AE1879)+1,20),FIND("/",MID(Sync!$AE1879,FIND("/",Sync!$AE1879)+1,20))+1,20))),"")))</f>
        <v/>
      </c>
      <c r="J1879" t="str">
        <f t="shared" si="147"/>
        <v/>
      </c>
      <c r="K1879" t="str">
        <f>IF(OR($F1879="",$J1879="",$J1879="نامعتبر"),"",LEFT($J1879,4)&amp;MID($J1879,6,2)&amp;RIGHT($J1879,2)&amp;$N1879&amp;"|"&amp;"2"&amp;RIGHT("00000"&amp;1874,5))</f>
        <v/>
      </c>
      <c r="L1879" t="str">
        <f t="shared" si="148"/>
        <v/>
      </c>
      <c r="M1879" t="str">
        <f t="shared" si="149"/>
        <v/>
      </c>
      <c r="N1879" t="str">
        <f>IF($F1879="","",IF(Sync!$AF1879="","0000",IF(AND(ISNUMBER(Sync!$AF1879),Sync!$AF1879&gt;=0,Sync!$AF1879&lt;1),RIGHT("00"&amp;HOUR(Sync!$AF1879),2)&amp;RIGHT("00"&amp;MINUTE(Sync!$AF1879),2),IFERROR(RIGHT("00"&amp;VALUE(LEFT(Sync!$AF1879,FIND(":",Sync!$AF1879)-1)),2)&amp;RIGHT("00"&amp;VALUE(MID(Sync!$AF1879,FIND(":",Sync!$AF1879)+1,2)),2),"0000"))))</f>
        <v/>
      </c>
    </row>
    <row r="1880" spans="1:14" x14ac:dyDescent="0.2">
      <c r="A1880" t="str">
        <f>IF(OR(Calc!$E1884="",Calc!$E1884="نامعتبر",Calc!$G1884=""),"",Calc!$G1884)</f>
        <v/>
      </c>
      <c r="B1880" t="str">
        <f>IF($A1880="","",LEFT(Calc!$E1884,4)&amp;MID(Calc!$E1884,6,2)&amp;RIGHT(Calc!$E1884,2)&amp;Calc!$Q1884&amp;"|"&amp;"1"&amp;RIGHT("00000"&amp;1875,5))</f>
        <v/>
      </c>
      <c r="C1880" t="str">
        <f t="shared" si="145"/>
        <v/>
      </c>
      <c r="D1880" t="str">
        <f t="shared" si="146"/>
        <v/>
      </c>
      <c r="F1880" t="str">
        <f>IF(Sync!$AH1880="","",IF(LEFT(UPPER(TRIM(Sync!$AH1880)),2)="SL",UPPER(TRIM(Sync!$AH1880)),""))</f>
        <v/>
      </c>
      <c r="G1880" t="str">
        <f>IF($F1880="","",IF(Sync!$AE1880="","",IF(ISNUMBER(Sync!$AE1880),IF(AND(Sync!$AE1880&gt;=10000101,Sync!$AE1880&lt;=99991231),INT(Sync!$AE1880/10000),""),IFERROR(VALUE(TRIM(LEFT(Sync!$AE1880,FIND("/",Sync!$AE1880)-1))),""))))</f>
        <v/>
      </c>
      <c r="H1880" t="str">
        <f>IF(OR($F1880="",$G1880=""),"",IF(ISNUMBER(Sync!$AE1880),INT(MOD(Sync!$AE1880,10000)/100),IFERROR(VALUE(TRIM(LEFT(MID(Sync!$AE1880,FIND("/",Sync!$AE1880)+1,20),FIND("/",MID(Sync!$AE1880,FIND("/",Sync!$AE1880)+1,20))-1))),"")))</f>
        <v/>
      </c>
      <c r="I1880" t="str">
        <f>IF(OR($F1880="",$G1880=""),"",IF(ISNUMBER(Sync!$AE1880),MOD(Sync!$AE1880,100),IFERROR(VALUE(TRIM(MID(MID(Sync!$AE1880,FIND("/",Sync!$AE1880)+1,20),FIND("/",MID(Sync!$AE1880,FIND("/",Sync!$AE1880)+1,20))+1,20))),"")))</f>
        <v/>
      </c>
      <c r="J1880" t="str">
        <f t="shared" si="147"/>
        <v/>
      </c>
      <c r="K1880" t="str">
        <f>IF(OR($F1880="",$J1880="",$J1880="نامعتبر"),"",LEFT($J1880,4)&amp;MID($J1880,6,2)&amp;RIGHT($J1880,2)&amp;$N1880&amp;"|"&amp;"2"&amp;RIGHT("00000"&amp;1875,5))</f>
        <v/>
      </c>
      <c r="L1880" t="str">
        <f t="shared" si="148"/>
        <v/>
      </c>
      <c r="M1880" t="str">
        <f t="shared" si="149"/>
        <v/>
      </c>
      <c r="N1880" t="str">
        <f>IF($F1880="","",IF(Sync!$AF1880="","0000",IF(AND(ISNUMBER(Sync!$AF1880),Sync!$AF1880&gt;=0,Sync!$AF1880&lt;1),RIGHT("00"&amp;HOUR(Sync!$AF1880),2)&amp;RIGHT("00"&amp;MINUTE(Sync!$AF1880),2),IFERROR(RIGHT("00"&amp;VALUE(LEFT(Sync!$AF1880,FIND(":",Sync!$AF1880)-1)),2)&amp;RIGHT("00"&amp;VALUE(MID(Sync!$AF1880,FIND(":",Sync!$AF1880)+1,2)),2),"0000"))))</f>
        <v/>
      </c>
    </row>
    <row r="1881" spans="1:14" x14ac:dyDescent="0.2">
      <c r="A1881" t="str">
        <f>IF(OR(Calc!$E1885="",Calc!$E1885="نامعتبر",Calc!$G1885=""),"",Calc!$G1885)</f>
        <v/>
      </c>
      <c r="B1881" t="str">
        <f>IF($A1881="","",LEFT(Calc!$E1885,4)&amp;MID(Calc!$E1885,6,2)&amp;RIGHT(Calc!$E1885,2)&amp;Calc!$Q1885&amp;"|"&amp;"1"&amp;RIGHT("00000"&amp;1876,5))</f>
        <v/>
      </c>
      <c r="C1881" t="str">
        <f t="shared" si="145"/>
        <v/>
      </c>
      <c r="D1881" t="str">
        <f t="shared" si="146"/>
        <v/>
      </c>
      <c r="F1881" t="str">
        <f>IF(Sync!$AH1881="","",IF(LEFT(UPPER(TRIM(Sync!$AH1881)),2)="SL",UPPER(TRIM(Sync!$AH1881)),""))</f>
        <v/>
      </c>
      <c r="G1881" t="str">
        <f>IF($F1881="","",IF(Sync!$AE1881="","",IF(ISNUMBER(Sync!$AE1881),IF(AND(Sync!$AE1881&gt;=10000101,Sync!$AE1881&lt;=99991231),INT(Sync!$AE1881/10000),""),IFERROR(VALUE(TRIM(LEFT(Sync!$AE1881,FIND("/",Sync!$AE1881)-1))),""))))</f>
        <v/>
      </c>
      <c r="H1881" t="str">
        <f>IF(OR($F1881="",$G1881=""),"",IF(ISNUMBER(Sync!$AE1881),INT(MOD(Sync!$AE1881,10000)/100),IFERROR(VALUE(TRIM(LEFT(MID(Sync!$AE1881,FIND("/",Sync!$AE1881)+1,20),FIND("/",MID(Sync!$AE1881,FIND("/",Sync!$AE1881)+1,20))-1))),"")))</f>
        <v/>
      </c>
      <c r="I1881" t="str">
        <f>IF(OR($F1881="",$G1881=""),"",IF(ISNUMBER(Sync!$AE1881),MOD(Sync!$AE1881,100),IFERROR(VALUE(TRIM(MID(MID(Sync!$AE1881,FIND("/",Sync!$AE1881)+1,20),FIND("/",MID(Sync!$AE1881,FIND("/",Sync!$AE1881)+1,20))+1,20))),"")))</f>
        <v/>
      </c>
      <c r="J1881" t="str">
        <f t="shared" si="147"/>
        <v/>
      </c>
      <c r="K1881" t="str">
        <f>IF(OR($F1881="",$J1881="",$J1881="نامعتبر"),"",LEFT($J1881,4)&amp;MID($J1881,6,2)&amp;RIGHT($J1881,2)&amp;$N1881&amp;"|"&amp;"2"&amp;RIGHT("00000"&amp;1876,5))</f>
        <v/>
      </c>
      <c r="L1881" t="str">
        <f t="shared" si="148"/>
        <v/>
      </c>
      <c r="M1881" t="str">
        <f t="shared" si="149"/>
        <v/>
      </c>
      <c r="N1881" t="str">
        <f>IF($F1881="","",IF(Sync!$AF1881="","0000",IF(AND(ISNUMBER(Sync!$AF1881),Sync!$AF1881&gt;=0,Sync!$AF1881&lt;1),RIGHT("00"&amp;HOUR(Sync!$AF1881),2)&amp;RIGHT("00"&amp;MINUTE(Sync!$AF1881),2),IFERROR(RIGHT("00"&amp;VALUE(LEFT(Sync!$AF1881,FIND(":",Sync!$AF1881)-1)),2)&amp;RIGHT("00"&amp;VALUE(MID(Sync!$AF1881,FIND(":",Sync!$AF1881)+1,2)),2),"0000"))))</f>
        <v/>
      </c>
    </row>
    <row r="1882" spans="1:14" x14ac:dyDescent="0.2">
      <c r="A1882" t="str">
        <f>IF(OR(Calc!$E1886="",Calc!$E1886="نامعتبر",Calc!$G1886=""),"",Calc!$G1886)</f>
        <v/>
      </c>
      <c r="B1882" t="str">
        <f>IF($A1882="","",LEFT(Calc!$E1886,4)&amp;MID(Calc!$E1886,6,2)&amp;RIGHT(Calc!$E1886,2)&amp;Calc!$Q1886&amp;"|"&amp;"1"&amp;RIGHT("00000"&amp;1877,5))</f>
        <v/>
      </c>
      <c r="C1882" t="str">
        <f t="shared" si="145"/>
        <v/>
      </c>
      <c r="D1882" t="str">
        <f t="shared" si="146"/>
        <v/>
      </c>
      <c r="F1882" t="str">
        <f>IF(Sync!$AH1882="","",IF(LEFT(UPPER(TRIM(Sync!$AH1882)),2)="SL",UPPER(TRIM(Sync!$AH1882)),""))</f>
        <v/>
      </c>
      <c r="G1882" t="str">
        <f>IF($F1882="","",IF(Sync!$AE1882="","",IF(ISNUMBER(Sync!$AE1882),IF(AND(Sync!$AE1882&gt;=10000101,Sync!$AE1882&lt;=99991231),INT(Sync!$AE1882/10000),""),IFERROR(VALUE(TRIM(LEFT(Sync!$AE1882,FIND("/",Sync!$AE1882)-1))),""))))</f>
        <v/>
      </c>
      <c r="H1882" t="str">
        <f>IF(OR($F1882="",$G1882=""),"",IF(ISNUMBER(Sync!$AE1882),INT(MOD(Sync!$AE1882,10000)/100),IFERROR(VALUE(TRIM(LEFT(MID(Sync!$AE1882,FIND("/",Sync!$AE1882)+1,20),FIND("/",MID(Sync!$AE1882,FIND("/",Sync!$AE1882)+1,20))-1))),"")))</f>
        <v/>
      </c>
      <c r="I1882" t="str">
        <f>IF(OR($F1882="",$G1882=""),"",IF(ISNUMBER(Sync!$AE1882),MOD(Sync!$AE1882,100),IFERROR(VALUE(TRIM(MID(MID(Sync!$AE1882,FIND("/",Sync!$AE1882)+1,20),FIND("/",MID(Sync!$AE1882,FIND("/",Sync!$AE1882)+1,20))+1,20))),"")))</f>
        <v/>
      </c>
      <c r="J1882" t="str">
        <f t="shared" si="147"/>
        <v/>
      </c>
      <c r="K1882" t="str">
        <f>IF(OR($F1882="",$J1882="",$J1882="نامعتبر"),"",LEFT($J1882,4)&amp;MID($J1882,6,2)&amp;RIGHT($J1882,2)&amp;$N1882&amp;"|"&amp;"2"&amp;RIGHT("00000"&amp;1877,5))</f>
        <v/>
      </c>
      <c r="L1882" t="str">
        <f t="shared" si="148"/>
        <v/>
      </c>
      <c r="M1882" t="str">
        <f t="shared" si="149"/>
        <v/>
      </c>
      <c r="N1882" t="str">
        <f>IF($F1882="","",IF(Sync!$AF1882="","0000",IF(AND(ISNUMBER(Sync!$AF1882),Sync!$AF1882&gt;=0,Sync!$AF1882&lt;1),RIGHT("00"&amp;HOUR(Sync!$AF1882),2)&amp;RIGHT("00"&amp;MINUTE(Sync!$AF1882),2),IFERROR(RIGHT("00"&amp;VALUE(LEFT(Sync!$AF1882,FIND(":",Sync!$AF1882)-1)),2)&amp;RIGHT("00"&amp;VALUE(MID(Sync!$AF1882,FIND(":",Sync!$AF1882)+1,2)),2),"0000"))))</f>
        <v/>
      </c>
    </row>
    <row r="1883" spans="1:14" x14ac:dyDescent="0.2">
      <c r="A1883" t="str">
        <f>IF(OR(Calc!$E1887="",Calc!$E1887="نامعتبر",Calc!$G1887=""),"",Calc!$G1887)</f>
        <v/>
      </c>
      <c r="B1883" t="str">
        <f>IF($A1883="","",LEFT(Calc!$E1887,4)&amp;MID(Calc!$E1887,6,2)&amp;RIGHT(Calc!$E1887,2)&amp;Calc!$Q1887&amp;"|"&amp;"1"&amp;RIGHT("00000"&amp;1878,5))</f>
        <v/>
      </c>
      <c r="C1883" t="str">
        <f t="shared" si="145"/>
        <v/>
      </c>
      <c r="D1883" t="str">
        <f t="shared" si="146"/>
        <v/>
      </c>
      <c r="F1883" t="str">
        <f>IF(Sync!$AH1883="","",IF(LEFT(UPPER(TRIM(Sync!$AH1883)),2)="SL",UPPER(TRIM(Sync!$AH1883)),""))</f>
        <v/>
      </c>
      <c r="G1883" t="str">
        <f>IF($F1883="","",IF(Sync!$AE1883="","",IF(ISNUMBER(Sync!$AE1883),IF(AND(Sync!$AE1883&gt;=10000101,Sync!$AE1883&lt;=99991231),INT(Sync!$AE1883/10000),""),IFERROR(VALUE(TRIM(LEFT(Sync!$AE1883,FIND("/",Sync!$AE1883)-1))),""))))</f>
        <v/>
      </c>
      <c r="H1883" t="str">
        <f>IF(OR($F1883="",$G1883=""),"",IF(ISNUMBER(Sync!$AE1883),INT(MOD(Sync!$AE1883,10000)/100),IFERROR(VALUE(TRIM(LEFT(MID(Sync!$AE1883,FIND("/",Sync!$AE1883)+1,20),FIND("/",MID(Sync!$AE1883,FIND("/",Sync!$AE1883)+1,20))-1))),"")))</f>
        <v/>
      </c>
      <c r="I1883" t="str">
        <f>IF(OR($F1883="",$G1883=""),"",IF(ISNUMBER(Sync!$AE1883),MOD(Sync!$AE1883,100),IFERROR(VALUE(TRIM(MID(MID(Sync!$AE1883,FIND("/",Sync!$AE1883)+1,20),FIND("/",MID(Sync!$AE1883,FIND("/",Sync!$AE1883)+1,20))+1,20))),"")))</f>
        <v/>
      </c>
      <c r="J1883" t="str">
        <f t="shared" si="147"/>
        <v/>
      </c>
      <c r="K1883" t="str">
        <f>IF(OR($F1883="",$J1883="",$J1883="نامعتبر"),"",LEFT($J1883,4)&amp;MID($J1883,6,2)&amp;RIGHT($J1883,2)&amp;$N1883&amp;"|"&amp;"2"&amp;RIGHT("00000"&amp;1878,5))</f>
        <v/>
      </c>
      <c r="L1883" t="str">
        <f t="shared" si="148"/>
        <v/>
      </c>
      <c r="M1883" t="str">
        <f t="shared" si="149"/>
        <v/>
      </c>
      <c r="N1883" t="str">
        <f>IF($F1883="","",IF(Sync!$AF1883="","0000",IF(AND(ISNUMBER(Sync!$AF1883),Sync!$AF1883&gt;=0,Sync!$AF1883&lt;1),RIGHT("00"&amp;HOUR(Sync!$AF1883),2)&amp;RIGHT("00"&amp;MINUTE(Sync!$AF1883),2),IFERROR(RIGHT("00"&amp;VALUE(LEFT(Sync!$AF1883,FIND(":",Sync!$AF1883)-1)),2)&amp;RIGHT("00"&amp;VALUE(MID(Sync!$AF1883,FIND(":",Sync!$AF1883)+1,2)),2),"0000"))))</f>
        <v/>
      </c>
    </row>
    <row r="1884" spans="1:14" x14ac:dyDescent="0.2">
      <c r="A1884" t="str">
        <f>IF(OR(Calc!$E1888="",Calc!$E1888="نامعتبر",Calc!$G1888=""),"",Calc!$G1888)</f>
        <v/>
      </c>
      <c r="B1884" t="str">
        <f>IF($A1884="","",LEFT(Calc!$E1888,4)&amp;MID(Calc!$E1888,6,2)&amp;RIGHT(Calc!$E1888,2)&amp;Calc!$Q1888&amp;"|"&amp;"1"&amp;RIGHT("00000"&amp;1879,5))</f>
        <v/>
      </c>
      <c r="C1884" t="str">
        <f t="shared" si="145"/>
        <v/>
      </c>
      <c r="D1884" t="str">
        <f t="shared" si="146"/>
        <v/>
      </c>
      <c r="F1884" t="str">
        <f>IF(Sync!$AH1884="","",IF(LEFT(UPPER(TRIM(Sync!$AH1884)),2)="SL",UPPER(TRIM(Sync!$AH1884)),""))</f>
        <v/>
      </c>
      <c r="G1884" t="str">
        <f>IF($F1884="","",IF(Sync!$AE1884="","",IF(ISNUMBER(Sync!$AE1884),IF(AND(Sync!$AE1884&gt;=10000101,Sync!$AE1884&lt;=99991231),INT(Sync!$AE1884/10000),""),IFERROR(VALUE(TRIM(LEFT(Sync!$AE1884,FIND("/",Sync!$AE1884)-1))),""))))</f>
        <v/>
      </c>
      <c r="H1884" t="str">
        <f>IF(OR($F1884="",$G1884=""),"",IF(ISNUMBER(Sync!$AE1884),INT(MOD(Sync!$AE1884,10000)/100),IFERROR(VALUE(TRIM(LEFT(MID(Sync!$AE1884,FIND("/",Sync!$AE1884)+1,20),FIND("/",MID(Sync!$AE1884,FIND("/",Sync!$AE1884)+1,20))-1))),"")))</f>
        <v/>
      </c>
      <c r="I1884" t="str">
        <f>IF(OR($F1884="",$G1884=""),"",IF(ISNUMBER(Sync!$AE1884),MOD(Sync!$AE1884,100),IFERROR(VALUE(TRIM(MID(MID(Sync!$AE1884,FIND("/",Sync!$AE1884)+1,20),FIND("/",MID(Sync!$AE1884,FIND("/",Sync!$AE1884)+1,20))+1,20))),"")))</f>
        <v/>
      </c>
      <c r="J1884" t="str">
        <f t="shared" si="147"/>
        <v/>
      </c>
      <c r="K1884" t="str">
        <f>IF(OR($F1884="",$J1884="",$J1884="نامعتبر"),"",LEFT($J1884,4)&amp;MID($J1884,6,2)&amp;RIGHT($J1884,2)&amp;$N1884&amp;"|"&amp;"2"&amp;RIGHT("00000"&amp;1879,5))</f>
        <v/>
      </c>
      <c r="L1884" t="str">
        <f t="shared" si="148"/>
        <v/>
      </c>
      <c r="M1884" t="str">
        <f t="shared" si="149"/>
        <v/>
      </c>
      <c r="N1884" t="str">
        <f>IF($F1884="","",IF(Sync!$AF1884="","0000",IF(AND(ISNUMBER(Sync!$AF1884),Sync!$AF1884&gt;=0,Sync!$AF1884&lt;1),RIGHT("00"&amp;HOUR(Sync!$AF1884),2)&amp;RIGHT("00"&amp;MINUTE(Sync!$AF1884),2),IFERROR(RIGHT("00"&amp;VALUE(LEFT(Sync!$AF1884,FIND(":",Sync!$AF1884)-1)),2)&amp;RIGHT("00"&amp;VALUE(MID(Sync!$AF1884,FIND(":",Sync!$AF1884)+1,2)),2),"0000"))))</f>
        <v/>
      </c>
    </row>
    <row r="1885" spans="1:14" x14ac:dyDescent="0.2">
      <c r="A1885" t="str">
        <f>IF(OR(Calc!$E1889="",Calc!$E1889="نامعتبر",Calc!$G1889=""),"",Calc!$G1889)</f>
        <v/>
      </c>
      <c r="B1885" t="str">
        <f>IF($A1885="","",LEFT(Calc!$E1889,4)&amp;MID(Calc!$E1889,6,2)&amp;RIGHT(Calc!$E1889,2)&amp;Calc!$Q1889&amp;"|"&amp;"1"&amp;RIGHT("00000"&amp;1880,5))</f>
        <v/>
      </c>
      <c r="C1885" t="str">
        <f t="shared" si="145"/>
        <v/>
      </c>
      <c r="D1885" t="str">
        <f t="shared" si="146"/>
        <v/>
      </c>
      <c r="F1885" t="str">
        <f>IF(Sync!$AH1885="","",IF(LEFT(UPPER(TRIM(Sync!$AH1885)),2)="SL",UPPER(TRIM(Sync!$AH1885)),""))</f>
        <v/>
      </c>
      <c r="G1885" t="str">
        <f>IF($F1885="","",IF(Sync!$AE1885="","",IF(ISNUMBER(Sync!$AE1885),IF(AND(Sync!$AE1885&gt;=10000101,Sync!$AE1885&lt;=99991231),INT(Sync!$AE1885/10000),""),IFERROR(VALUE(TRIM(LEFT(Sync!$AE1885,FIND("/",Sync!$AE1885)-1))),""))))</f>
        <v/>
      </c>
      <c r="H1885" t="str">
        <f>IF(OR($F1885="",$G1885=""),"",IF(ISNUMBER(Sync!$AE1885),INT(MOD(Sync!$AE1885,10000)/100),IFERROR(VALUE(TRIM(LEFT(MID(Sync!$AE1885,FIND("/",Sync!$AE1885)+1,20),FIND("/",MID(Sync!$AE1885,FIND("/",Sync!$AE1885)+1,20))-1))),"")))</f>
        <v/>
      </c>
      <c r="I1885" t="str">
        <f>IF(OR($F1885="",$G1885=""),"",IF(ISNUMBER(Sync!$AE1885),MOD(Sync!$AE1885,100),IFERROR(VALUE(TRIM(MID(MID(Sync!$AE1885,FIND("/",Sync!$AE1885)+1,20),FIND("/",MID(Sync!$AE1885,FIND("/",Sync!$AE1885)+1,20))+1,20))),"")))</f>
        <v/>
      </c>
      <c r="J1885" t="str">
        <f t="shared" si="147"/>
        <v/>
      </c>
      <c r="K1885" t="str">
        <f>IF(OR($F1885="",$J1885="",$J1885="نامعتبر"),"",LEFT($J1885,4)&amp;MID($J1885,6,2)&amp;RIGHT($J1885,2)&amp;$N1885&amp;"|"&amp;"2"&amp;RIGHT("00000"&amp;1880,5))</f>
        <v/>
      </c>
      <c r="L1885" t="str">
        <f t="shared" si="148"/>
        <v/>
      </c>
      <c r="M1885" t="str">
        <f t="shared" si="149"/>
        <v/>
      </c>
      <c r="N1885" t="str">
        <f>IF($F1885="","",IF(Sync!$AF1885="","0000",IF(AND(ISNUMBER(Sync!$AF1885),Sync!$AF1885&gt;=0,Sync!$AF1885&lt;1),RIGHT("00"&amp;HOUR(Sync!$AF1885),2)&amp;RIGHT("00"&amp;MINUTE(Sync!$AF1885),2),IFERROR(RIGHT("00"&amp;VALUE(LEFT(Sync!$AF1885,FIND(":",Sync!$AF1885)-1)),2)&amp;RIGHT("00"&amp;VALUE(MID(Sync!$AF1885,FIND(":",Sync!$AF1885)+1,2)),2),"0000"))))</f>
        <v/>
      </c>
    </row>
    <row r="1886" spans="1:14" x14ac:dyDescent="0.2">
      <c r="A1886" t="str">
        <f>IF(OR(Calc!$E1890="",Calc!$E1890="نامعتبر",Calc!$G1890=""),"",Calc!$G1890)</f>
        <v/>
      </c>
      <c r="B1886" t="str">
        <f>IF($A1886="","",LEFT(Calc!$E1890,4)&amp;MID(Calc!$E1890,6,2)&amp;RIGHT(Calc!$E1890,2)&amp;Calc!$Q1890&amp;"|"&amp;"1"&amp;RIGHT("00000"&amp;1881,5))</f>
        <v/>
      </c>
      <c r="C1886" t="str">
        <f t="shared" si="145"/>
        <v/>
      </c>
      <c r="D1886" t="str">
        <f t="shared" si="146"/>
        <v/>
      </c>
      <c r="F1886" t="str">
        <f>IF(Sync!$AH1886="","",IF(LEFT(UPPER(TRIM(Sync!$AH1886)),2)="SL",UPPER(TRIM(Sync!$AH1886)),""))</f>
        <v/>
      </c>
      <c r="G1886" t="str">
        <f>IF($F1886="","",IF(Sync!$AE1886="","",IF(ISNUMBER(Sync!$AE1886),IF(AND(Sync!$AE1886&gt;=10000101,Sync!$AE1886&lt;=99991231),INT(Sync!$AE1886/10000),""),IFERROR(VALUE(TRIM(LEFT(Sync!$AE1886,FIND("/",Sync!$AE1886)-1))),""))))</f>
        <v/>
      </c>
      <c r="H1886" t="str">
        <f>IF(OR($F1886="",$G1886=""),"",IF(ISNUMBER(Sync!$AE1886),INT(MOD(Sync!$AE1886,10000)/100),IFERROR(VALUE(TRIM(LEFT(MID(Sync!$AE1886,FIND("/",Sync!$AE1886)+1,20),FIND("/",MID(Sync!$AE1886,FIND("/",Sync!$AE1886)+1,20))-1))),"")))</f>
        <v/>
      </c>
      <c r="I1886" t="str">
        <f>IF(OR($F1886="",$G1886=""),"",IF(ISNUMBER(Sync!$AE1886),MOD(Sync!$AE1886,100),IFERROR(VALUE(TRIM(MID(MID(Sync!$AE1886,FIND("/",Sync!$AE1886)+1,20),FIND("/",MID(Sync!$AE1886,FIND("/",Sync!$AE1886)+1,20))+1,20))),"")))</f>
        <v/>
      </c>
      <c r="J1886" t="str">
        <f t="shared" si="147"/>
        <v/>
      </c>
      <c r="K1886" t="str">
        <f>IF(OR($F1886="",$J1886="",$J1886="نامعتبر"),"",LEFT($J1886,4)&amp;MID($J1886,6,2)&amp;RIGHT($J1886,2)&amp;$N1886&amp;"|"&amp;"2"&amp;RIGHT("00000"&amp;1881,5))</f>
        <v/>
      </c>
      <c r="L1886" t="str">
        <f t="shared" si="148"/>
        <v/>
      </c>
      <c r="M1886" t="str">
        <f t="shared" si="149"/>
        <v/>
      </c>
      <c r="N1886" t="str">
        <f>IF($F1886="","",IF(Sync!$AF1886="","0000",IF(AND(ISNUMBER(Sync!$AF1886),Sync!$AF1886&gt;=0,Sync!$AF1886&lt;1),RIGHT("00"&amp;HOUR(Sync!$AF1886),2)&amp;RIGHT("00"&amp;MINUTE(Sync!$AF1886),2),IFERROR(RIGHT("00"&amp;VALUE(LEFT(Sync!$AF1886,FIND(":",Sync!$AF1886)-1)),2)&amp;RIGHT("00"&amp;VALUE(MID(Sync!$AF1886,FIND(":",Sync!$AF1886)+1,2)),2),"0000"))))</f>
        <v/>
      </c>
    </row>
    <row r="1887" spans="1:14" x14ac:dyDescent="0.2">
      <c r="A1887" t="str">
        <f>IF(OR(Calc!$E1891="",Calc!$E1891="نامعتبر",Calc!$G1891=""),"",Calc!$G1891)</f>
        <v/>
      </c>
      <c r="B1887" t="str">
        <f>IF($A1887="","",LEFT(Calc!$E1891,4)&amp;MID(Calc!$E1891,6,2)&amp;RIGHT(Calc!$E1891,2)&amp;Calc!$Q1891&amp;"|"&amp;"1"&amp;RIGHT("00000"&amp;1882,5))</f>
        <v/>
      </c>
      <c r="C1887" t="str">
        <f t="shared" si="145"/>
        <v/>
      </c>
      <c r="D1887" t="str">
        <f t="shared" si="146"/>
        <v/>
      </c>
      <c r="F1887" t="str">
        <f>IF(Sync!$AH1887="","",IF(LEFT(UPPER(TRIM(Sync!$AH1887)),2)="SL",UPPER(TRIM(Sync!$AH1887)),""))</f>
        <v/>
      </c>
      <c r="G1887" t="str">
        <f>IF($F1887="","",IF(Sync!$AE1887="","",IF(ISNUMBER(Sync!$AE1887),IF(AND(Sync!$AE1887&gt;=10000101,Sync!$AE1887&lt;=99991231),INT(Sync!$AE1887/10000),""),IFERROR(VALUE(TRIM(LEFT(Sync!$AE1887,FIND("/",Sync!$AE1887)-1))),""))))</f>
        <v/>
      </c>
      <c r="H1887" t="str">
        <f>IF(OR($F1887="",$G1887=""),"",IF(ISNUMBER(Sync!$AE1887),INT(MOD(Sync!$AE1887,10000)/100),IFERROR(VALUE(TRIM(LEFT(MID(Sync!$AE1887,FIND("/",Sync!$AE1887)+1,20),FIND("/",MID(Sync!$AE1887,FIND("/",Sync!$AE1887)+1,20))-1))),"")))</f>
        <v/>
      </c>
      <c r="I1887" t="str">
        <f>IF(OR($F1887="",$G1887=""),"",IF(ISNUMBER(Sync!$AE1887),MOD(Sync!$AE1887,100),IFERROR(VALUE(TRIM(MID(MID(Sync!$AE1887,FIND("/",Sync!$AE1887)+1,20),FIND("/",MID(Sync!$AE1887,FIND("/",Sync!$AE1887)+1,20))+1,20))),"")))</f>
        <v/>
      </c>
      <c r="J1887" t="str">
        <f t="shared" si="147"/>
        <v/>
      </c>
      <c r="K1887" t="str">
        <f>IF(OR($F1887="",$J1887="",$J1887="نامعتبر"),"",LEFT($J1887,4)&amp;MID($J1887,6,2)&amp;RIGHT($J1887,2)&amp;$N1887&amp;"|"&amp;"2"&amp;RIGHT("00000"&amp;1882,5))</f>
        <v/>
      </c>
      <c r="L1887" t="str">
        <f t="shared" si="148"/>
        <v/>
      </c>
      <c r="M1887" t="str">
        <f t="shared" si="149"/>
        <v/>
      </c>
      <c r="N1887" t="str">
        <f>IF($F1887="","",IF(Sync!$AF1887="","0000",IF(AND(ISNUMBER(Sync!$AF1887),Sync!$AF1887&gt;=0,Sync!$AF1887&lt;1),RIGHT("00"&amp;HOUR(Sync!$AF1887),2)&amp;RIGHT("00"&amp;MINUTE(Sync!$AF1887),2),IFERROR(RIGHT("00"&amp;VALUE(LEFT(Sync!$AF1887,FIND(":",Sync!$AF1887)-1)),2)&amp;RIGHT("00"&amp;VALUE(MID(Sync!$AF1887,FIND(":",Sync!$AF1887)+1,2)),2),"0000"))))</f>
        <v/>
      </c>
    </row>
    <row r="1888" spans="1:14" x14ac:dyDescent="0.2">
      <c r="A1888" t="str">
        <f>IF(OR(Calc!$E1892="",Calc!$E1892="نامعتبر",Calc!$G1892=""),"",Calc!$G1892)</f>
        <v/>
      </c>
      <c r="B1888" t="str">
        <f>IF($A1888="","",LEFT(Calc!$E1892,4)&amp;MID(Calc!$E1892,6,2)&amp;RIGHT(Calc!$E1892,2)&amp;Calc!$Q1892&amp;"|"&amp;"1"&amp;RIGHT("00000"&amp;1883,5))</f>
        <v/>
      </c>
      <c r="C1888" t="str">
        <f t="shared" si="145"/>
        <v/>
      </c>
      <c r="D1888" t="str">
        <f t="shared" si="146"/>
        <v/>
      </c>
      <c r="F1888" t="str">
        <f>IF(Sync!$AH1888="","",IF(LEFT(UPPER(TRIM(Sync!$AH1888)),2)="SL",UPPER(TRIM(Sync!$AH1888)),""))</f>
        <v/>
      </c>
      <c r="G1888" t="str">
        <f>IF($F1888="","",IF(Sync!$AE1888="","",IF(ISNUMBER(Sync!$AE1888),IF(AND(Sync!$AE1888&gt;=10000101,Sync!$AE1888&lt;=99991231),INT(Sync!$AE1888/10000),""),IFERROR(VALUE(TRIM(LEFT(Sync!$AE1888,FIND("/",Sync!$AE1888)-1))),""))))</f>
        <v/>
      </c>
      <c r="H1888" t="str">
        <f>IF(OR($F1888="",$G1888=""),"",IF(ISNUMBER(Sync!$AE1888),INT(MOD(Sync!$AE1888,10000)/100),IFERROR(VALUE(TRIM(LEFT(MID(Sync!$AE1888,FIND("/",Sync!$AE1888)+1,20),FIND("/",MID(Sync!$AE1888,FIND("/",Sync!$AE1888)+1,20))-1))),"")))</f>
        <v/>
      </c>
      <c r="I1888" t="str">
        <f>IF(OR($F1888="",$G1888=""),"",IF(ISNUMBER(Sync!$AE1888),MOD(Sync!$AE1888,100),IFERROR(VALUE(TRIM(MID(MID(Sync!$AE1888,FIND("/",Sync!$AE1888)+1,20),FIND("/",MID(Sync!$AE1888,FIND("/",Sync!$AE1888)+1,20))+1,20))),"")))</f>
        <v/>
      </c>
      <c r="J1888" t="str">
        <f t="shared" si="147"/>
        <v/>
      </c>
      <c r="K1888" t="str">
        <f>IF(OR($F1888="",$J1888="",$J1888="نامعتبر"),"",LEFT($J1888,4)&amp;MID($J1888,6,2)&amp;RIGHT($J1888,2)&amp;$N1888&amp;"|"&amp;"2"&amp;RIGHT("00000"&amp;1883,5))</f>
        <v/>
      </c>
      <c r="L1888" t="str">
        <f t="shared" si="148"/>
        <v/>
      </c>
      <c r="M1888" t="str">
        <f t="shared" si="149"/>
        <v/>
      </c>
      <c r="N1888" t="str">
        <f>IF($F1888="","",IF(Sync!$AF1888="","0000",IF(AND(ISNUMBER(Sync!$AF1888),Sync!$AF1888&gt;=0,Sync!$AF1888&lt;1),RIGHT("00"&amp;HOUR(Sync!$AF1888),2)&amp;RIGHT("00"&amp;MINUTE(Sync!$AF1888),2),IFERROR(RIGHT("00"&amp;VALUE(LEFT(Sync!$AF1888,FIND(":",Sync!$AF1888)-1)),2)&amp;RIGHT("00"&amp;VALUE(MID(Sync!$AF1888,FIND(":",Sync!$AF1888)+1,2)),2),"0000"))))</f>
        <v/>
      </c>
    </row>
    <row r="1889" spans="1:14" x14ac:dyDescent="0.2">
      <c r="A1889" t="str">
        <f>IF(OR(Calc!$E1893="",Calc!$E1893="نامعتبر",Calc!$G1893=""),"",Calc!$G1893)</f>
        <v/>
      </c>
      <c r="B1889" t="str">
        <f>IF($A1889="","",LEFT(Calc!$E1893,4)&amp;MID(Calc!$E1893,6,2)&amp;RIGHT(Calc!$E1893,2)&amp;Calc!$Q1893&amp;"|"&amp;"1"&amp;RIGHT("00000"&amp;1884,5))</f>
        <v/>
      </c>
      <c r="C1889" t="str">
        <f t="shared" si="145"/>
        <v/>
      </c>
      <c r="D1889" t="str">
        <f t="shared" si="146"/>
        <v/>
      </c>
      <c r="F1889" t="str">
        <f>IF(Sync!$AH1889="","",IF(LEFT(UPPER(TRIM(Sync!$AH1889)),2)="SL",UPPER(TRIM(Sync!$AH1889)),""))</f>
        <v/>
      </c>
      <c r="G1889" t="str">
        <f>IF($F1889="","",IF(Sync!$AE1889="","",IF(ISNUMBER(Sync!$AE1889),IF(AND(Sync!$AE1889&gt;=10000101,Sync!$AE1889&lt;=99991231),INT(Sync!$AE1889/10000),""),IFERROR(VALUE(TRIM(LEFT(Sync!$AE1889,FIND("/",Sync!$AE1889)-1))),""))))</f>
        <v/>
      </c>
      <c r="H1889" t="str">
        <f>IF(OR($F1889="",$G1889=""),"",IF(ISNUMBER(Sync!$AE1889),INT(MOD(Sync!$AE1889,10000)/100),IFERROR(VALUE(TRIM(LEFT(MID(Sync!$AE1889,FIND("/",Sync!$AE1889)+1,20),FIND("/",MID(Sync!$AE1889,FIND("/",Sync!$AE1889)+1,20))-1))),"")))</f>
        <v/>
      </c>
      <c r="I1889" t="str">
        <f>IF(OR($F1889="",$G1889=""),"",IF(ISNUMBER(Sync!$AE1889),MOD(Sync!$AE1889,100),IFERROR(VALUE(TRIM(MID(MID(Sync!$AE1889,FIND("/",Sync!$AE1889)+1,20),FIND("/",MID(Sync!$AE1889,FIND("/",Sync!$AE1889)+1,20))+1,20))),"")))</f>
        <v/>
      </c>
      <c r="J1889" t="str">
        <f t="shared" si="147"/>
        <v/>
      </c>
      <c r="K1889" t="str">
        <f>IF(OR($F1889="",$J1889="",$J1889="نامعتبر"),"",LEFT($J1889,4)&amp;MID($J1889,6,2)&amp;RIGHT($J1889,2)&amp;$N1889&amp;"|"&amp;"2"&amp;RIGHT("00000"&amp;1884,5))</f>
        <v/>
      </c>
      <c r="L1889" t="str">
        <f t="shared" si="148"/>
        <v/>
      </c>
      <c r="M1889" t="str">
        <f t="shared" si="149"/>
        <v/>
      </c>
      <c r="N1889" t="str">
        <f>IF($F1889="","",IF(Sync!$AF1889="","0000",IF(AND(ISNUMBER(Sync!$AF1889),Sync!$AF1889&gt;=0,Sync!$AF1889&lt;1),RIGHT("00"&amp;HOUR(Sync!$AF1889),2)&amp;RIGHT("00"&amp;MINUTE(Sync!$AF1889),2),IFERROR(RIGHT("00"&amp;VALUE(LEFT(Sync!$AF1889,FIND(":",Sync!$AF1889)-1)),2)&amp;RIGHT("00"&amp;VALUE(MID(Sync!$AF1889,FIND(":",Sync!$AF1889)+1,2)),2),"0000"))))</f>
        <v/>
      </c>
    </row>
    <row r="1890" spans="1:14" x14ac:dyDescent="0.2">
      <c r="A1890" t="str">
        <f>IF(OR(Calc!$E1894="",Calc!$E1894="نامعتبر",Calc!$G1894=""),"",Calc!$G1894)</f>
        <v/>
      </c>
      <c r="B1890" t="str">
        <f>IF($A1890="","",LEFT(Calc!$E1894,4)&amp;MID(Calc!$E1894,6,2)&amp;RIGHT(Calc!$E1894,2)&amp;Calc!$Q1894&amp;"|"&amp;"1"&amp;RIGHT("00000"&amp;1885,5))</f>
        <v/>
      </c>
      <c r="C1890" t="str">
        <f t="shared" si="145"/>
        <v/>
      </c>
      <c r="D1890" t="str">
        <f t="shared" si="146"/>
        <v/>
      </c>
      <c r="F1890" t="str">
        <f>IF(Sync!$AH1890="","",IF(LEFT(UPPER(TRIM(Sync!$AH1890)),2)="SL",UPPER(TRIM(Sync!$AH1890)),""))</f>
        <v/>
      </c>
      <c r="G1890" t="str">
        <f>IF($F1890="","",IF(Sync!$AE1890="","",IF(ISNUMBER(Sync!$AE1890),IF(AND(Sync!$AE1890&gt;=10000101,Sync!$AE1890&lt;=99991231),INT(Sync!$AE1890/10000),""),IFERROR(VALUE(TRIM(LEFT(Sync!$AE1890,FIND("/",Sync!$AE1890)-1))),""))))</f>
        <v/>
      </c>
      <c r="H1890" t="str">
        <f>IF(OR($F1890="",$G1890=""),"",IF(ISNUMBER(Sync!$AE1890),INT(MOD(Sync!$AE1890,10000)/100),IFERROR(VALUE(TRIM(LEFT(MID(Sync!$AE1890,FIND("/",Sync!$AE1890)+1,20),FIND("/",MID(Sync!$AE1890,FIND("/",Sync!$AE1890)+1,20))-1))),"")))</f>
        <v/>
      </c>
      <c r="I1890" t="str">
        <f>IF(OR($F1890="",$G1890=""),"",IF(ISNUMBER(Sync!$AE1890),MOD(Sync!$AE1890,100),IFERROR(VALUE(TRIM(MID(MID(Sync!$AE1890,FIND("/",Sync!$AE1890)+1,20),FIND("/",MID(Sync!$AE1890,FIND("/",Sync!$AE1890)+1,20))+1,20))),"")))</f>
        <v/>
      </c>
      <c r="J1890" t="str">
        <f t="shared" si="147"/>
        <v/>
      </c>
      <c r="K1890" t="str">
        <f>IF(OR($F1890="",$J1890="",$J1890="نامعتبر"),"",LEFT($J1890,4)&amp;MID($J1890,6,2)&amp;RIGHT($J1890,2)&amp;$N1890&amp;"|"&amp;"2"&amp;RIGHT("00000"&amp;1885,5))</f>
        <v/>
      </c>
      <c r="L1890" t="str">
        <f t="shared" si="148"/>
        <v/>
      </c>
      <c r="M1890" t="str">
        <f t="shared" si="149"/>
        <v/>
      </c>
      <c r="N1890" t="str">
        <f>IF($F1890="","",IF(Sync!$AF1890="","0000",IF(AND(ISNUMBER(Sync!$AF1890),Sync!$AF1890&gt;=0,Sync!$AF1890&lt;1),RIGHT("00"&amp;HOUR(Sync!$AF1890),2)&amp;RIGHT("00"&amp;MINUTE(Sync!$AF1890),2),IFERROR(RIGHT("00"&amp;VALUE(LEFT(Sync!$AF1890,FIND(":",Sync!$AF1890)-1)),2)&amp;RIGHT("00"&amp;VALUE(MID(Sync!$AF1890,FIND(":",Sync!$AF1890)+1,2)),2),"0000"))))</f>
        <v/>
      </c>
    </row>
    <row r="1891" spans="1:14" x14ac:dyDescent="0.2">
      <c r="A1891" t="str">
        <f>IF(OR(Calc!$E1895="",Calc!$E1895="نامعتبر",Calc!$G1895=""),"",Calc!$G1895)</f>
        <v/>
      </c>
      <c r="B1891" t="str">
        <f>IF($A1891="","",LEFT(Calc!$E1895,4)&amp;MID(Calc!$E1895,6,2)&amp;RIGHT(Calc!$E1895,2)&amp;Calc!$Q1895&amp;"|"&amp;"1"&amp;RIGHT("00000"&amp;1886,5))</f>
        <v/>
      </c>
      <c r="C1891" t="str">
        <f t="shared" si="145"/>
        <v/>
      </c>
      <c r="D1891" t="str">
        <f t="shared" si="146"/>
        <v/>
      </c>
      <c r="F1891" t="str">
        <f>IF(Sync!$AH1891="","",IF(LEFT(UPPER(TRIM(Sync!$AH1891)),2)="SL",UPPER(TRIM(Sync!$AH1891)),""))</f>
        <v/>
      </c>
      <c r="G1891" t="str">
        <f>IF($F1891="","",IF(Sync!$AE1891="","",IF(ISNUMBER(Sync!$AE1891),IF(AND(Sync!$AE1891&gt;=10000101,Sync!$AE1891&lt;=99991231),INT(Sync!$AE1891/10000),""),IFERROR(VALUE(TRIM(LEFT(Sync!$AE1891,FIND("/",Sync!$AE1891)-1))),""))))</f>
        <v/>
      </c>
      <c r="H1891" t="str">
        <f>IF(OR($F1891="",$G1891=""),"",IF(ISNUMBER(Sync!$AE1891),INT(MOD(Sync!$AE1891,10000)/100),IFERROR(VALUE(TRIM(LEFT(MID(Sync!$AE1891,FIND("/",Sync!$AE1891)+1,20),FIND("/",MID(Sync!$AE1891,FIND("/",Sync!$AE1891)+1,20))-1))),"")))</f>
        <v/>
      </c>
      <c r="I1891" t="str">
        <f>IF(OR($F1891="",$G1891=""),"",IF(ISNUMBER(Sync!$AE1891),MOD(Sync!$AE1891,100),IFERROR(VALUE(TRIM(MID(MID(Sync!$AE1891,FIND("/",Sync!$AE1891)+1,20),FIND("/",MID(Sync!$AE1891,FIND("/",Sync!$AE1891)+1,20))+1,20))),"")))</f>
        <v/>
      </c>
      <c r="J1891" t="str">
        <f t="shared" si="147"/>
        <v/>
      </c>
      <c r="K1891" t="str">
        <f>IF(OR($F1891="",$J1891="",$J1891="نامعتبر"),"",LEFT($J1891,4)&amp;MID($J1891,6,2)&amp;RIGHT($J1891,2)&amp;$N1891&amp;"|"&amp;"2"&amp;RIGHT("00000"&amp;1886,5))</f>
        <v/>
      </c>
      <c r="L1891" t="str">
        <f t="shared" si="148"/>
        <v/>
      </c>
      <c r="M1891" t="str">
        <f t="shared" si="149"/>
        <v/>
      </c>
      <c r="N1891" t="str">
        <f>IF($F1891="","",IF(Sync!$AF1891="","0000",IF(AND(ISNUMBER(Sync!$AF1891),Sync!$AF1891&gt;=0,Sync!$AF1891&lt;1),RIGHT("00"&amp;HOUR(Sync!$AF1891),2)&amp;RIGHT("00"&amp;MINUTE(Sync!$AF1891),2),IFERROR(RIGHT("00"&amp;VALUE(LEFT(Sync!$AF1891,FIND(":",Sync!$AF1891)-1)),2)&amp;RIGHT("00"&amp;VALUE(MID(Sync!$AF1891,FIND(":",Sync!$AF1891)+1,2)),2),"0000"))))</f>
        <v/>
      </c>
    </row>
    <row r="1892" spans="1:14" x14ac:dyDescent="0.2">
      <c r="A1892" t="str">
        <f>IF(OR(Calc!$E1896="",Calc!$E1896="نامعتبر",Calc!$G1896=""),"",Calc!$G1896)</f>
        <v/>
      </c>
      <c r="B1892" t="str">
        <f>IF($A1892="","",LEFT(Calc!$E1896,4)&amp;MID(Calc!$E1896,6,2)&amp;RIGHT(Calc!$E1896,2)&amp;Calc!$Q1896&amp;"|"&amp;"1"&amp;RIGHT("00000"&amp;1887,5))</f>
        <v/>
      </c>
      <c r="C1892" t="str">
        <f t="shared" si="145"/>
        <v/>
      </c>
      <c r="D1892" t="str">
        <f t="shared" si="146"/>
        <v/>
      </c>
      <c r="F1892" t="str">
        <f>IF(Sync!$AH1892="","",IF(LEFT(UPPER(TRIM(Sync!$AH1892)),2)="SL",UPPER(TRIM(Sync!$AH1892)),""))</f>
        <v/>
      </c>
      <c r="G1892" t="str">
        <f>IF($F1892="","",IF(Sync!$AE1892="","",IF(ISNUMBER(Sync!$AE1892),IF(AND(Sync!$AE1892&gt;=10000101,Sync!$AE1892&lt;=99991231),INT(Sync!$AE1892/10000),""),IFERROR(VALUE(TRIM(LEFT(Sync!$AE1892,FIND("/",Sync!$AE1892)-1))),""))))</f>
        <v/>
      </c>
      <c r="H1892" t="str">
        <f>IF(OR($F1892="",$G1892=""),"",IF(ISNUMBER(Sync!$AE1892),INT(MOD(Sync!$AE1892,10000)/100),IFERROR(VALUE(TRIM(LEFT(MID(Sync!$AE1892,FIND("/",Sync!$AE1892)+1,20),FIND("/",MID(Sync!$AE1892,FIND("/",Sync!$AE1892)+1,20))-1))),"")))</f>
        <v/>
      </c>
      <c r="I1892" t="str">
        <f>IF(OR($F1892="",$G1892=""),"",IF(ISNUMBER(Sync!$AE1892),MOD(Sync!$AE1892,100),IFERROR(VALUE(TRIM(MID(MID(Sync!$AE1892,FIND("/",Sync!$AE1892)+1,20),FIND("/",MID(Sync!$AE1892,FIND("/",Sync!$AE1892)+1,20))+1,20))),"")))</f>
        <v/>
      </c>
      <c r="J1892" t="str">
        <f t="shared" si="147"/>
        <v/>
      </c>
      <c r="K1892" t="str">
        <f>IF(OR($F1892="",$J1892="",$J1892="نامعتبر"),"",LEFT($J1892,4)&amp;MID($J1892,6,2)&amp;RIGHT($J1892,2)&amp;$N1892&amp;"|"&amp;"2"&amp;RIGHT("00000"&amp;1887,5))</f>
        <v/>
      </c>
      <c r="L1892" t="str">
        <f t="shared" si="148"/>
        <v/>
      </c>
      <c r="M1892" t="str">
        <f t="shared" si="149"/>
        <v/>
      </c>
      <c r="N1892" t="str">
        <f>IF($F1892="","",IF(Sync!$AF1892="","0000",IF(AND(ISNUMBER(Sync!$AF1892),Sync!$AF1892&gt;=0,Sync!$AF1892&lt;1),RIGHT("00"&amp;HOUR(Sync!$AF1892),2)&amp;RIGHT("00"&amp;MINUTE(Sync!$AF1892),2),IFERROR(RIGHT("00"&amp;VALUE(LEFT(Sync!$AF1892,FIND(":",Sync!$AF1892)-1)),2)&amp;RIGHT("00"&amp;VALUE(MID(Sync!$AF1892,FIND(":",Sync!$AF1892)+1,2)),2),"0000"))))</f>
        <v/>
      </c>
    </row>
    <row r="1893" spans="1:14" x14ac:dyDescent="0.2">
      <c r="A1893" t="str">
        <f>IF(OR(Calc!$E1897="",Calc!$E1897="نامعتبر",Calc!$G1897=""),"",Calc!$G1897)</f>
        <v/>
      </c>
      <c r="B1893" t="str">
        <f>IF($A1893="","",LEFT(Calc!$E1897,4)&amp;MID(Calc!$E1897,6,2)&amp;RIGHT(Calc!$E1897,2)&amp;Calc!$Q1897&amp;"|"&amp;"1"&amp;RIGHT("00000"&amp;1888,5))</f>
        <v/>
      </c>
      <c r="C1893" t="str">
        <f t="shared" si="145"/>
        <v/>
      </c>
      <c r="D1893" t="str">
        <f t="shared" si="146"/>
        <v/>
      </c>
      <c r="F1893" t="str">
        <f>IF(Sync!$AH1893="","",IF(LEFT(UPPER(TRIM(Sync!$AH1893)),2)="SL",UPPER(TRIM(Sync!$AH1893)),""))</f>
        <v/>
      </c>
      <c r="G1893" t="str">
        <f>IF($F1893="","",IF(Sync!$AE1893="","",IF(ISNUMBER(Sync!$AE1893),IF(AND(Sync!$AE1893&gt;=10000101,Sync!$AE1893&lt;=99991231),INT(Sync!$AE1893/10000),""),IFERROR(VALUE(TRIM(LEFT(Sync!$AE1893,FIND("/",Sync!$AE1893)-1))),""))))</f>
        <v/>
      </c>
      <c r="H1893" t="str">
        <f>IF(OR($F1893="",$G1893=""),"",IF(ISNUMBER(Sync!$AE1893),INT(MOD(Sync!$AE1893,10000)/100),IFERROR(VALUE(TRIM(LEFT(MID(Sync!$AE1893,FIND("/",Sync!$AE1893)+1,20),FIND("/",MID(Sync!$AE1893,FIND("/",Sync!$AE1893)+1,20))-1))),"")))</f>
        <v/>
      </c>
      <c r="I1893" t="str">
        <f>IF(OR($F1893="",$G1893=""),"",IF(ISNUMBER(Sync!$AE1893),MOD(Sync!$AE1893,100),IFERROR(VALUE(TRIM(MID(MID(Sync!$AE1893,FIND("/",Sync!$AE1893)+1,20),FIND("/",MID(Sync!$AE1893,FIND("/",Sync!$AE1893)+1,20))+1,20))),"")))</f>
        <v/>
      </c>
      <c r="J1893" t="str">
        <f t="shared" si="147"/>
        <v/>
      </c>
      <c r="K1893" t="str">
        <f>IF(OR($F1893="",$J1893="",$J1893="نامعتبر"),"",LEFT($J1893,4)&amp;MID($J1893,6,2)&amp;RIGHT($J1893,2)&amp;$N1893&amp;"|"&amp;"2"&amp;RIGHT("00000"&amp;1888,5))</f>
        <v/>
      </c>
      <c r="L1893" t="str">
        <f t="shared" si="148"/>
        <v/>
      </c>
      <c r="M1893" t="str">
        <f t="shared" si="149"/>
        <v/>
      </c>
      <c r="N1893" t="str">
        <f>IF($F1893="","",IF(Sync!$AF1893="","0000",IF(AND(ISNUMBER(Sync!$AF1893),Sync!$AF1893&gt;=0,Sync!$AF1893&lt;1),RIGHT("00"&amp;HOUR(Sync!$AF1893),2)&amp;RIGHT("00"&amp;MINUTE(Sync!$AF1893),2),IFERROR(RIGHT("00"&amp;VALUE(LEFT(Sync!$AF1893,FIND(":",Sync!$AF1893)-1)),2)&amp;RIGHT("00"&amp;VALUE(MID(Sync!$AF1893,FIND(":",Sync!$AF1893)+1,2)),2),"0000"))))</f>
        <v/>
      </c>
    </row>
    <row r="1894" spans="1:14" x14ac:dyDescent="0.2">
      <c r="A1894" t="str">
        <f>IF(OR(Calc!$E1898="",Calc!$E1898="نامعتبر",Calc!$G1898=""),"",Calc!$G1898)</f>
        <v/>
      </c>
      <c r="B1894" t="str">
        <f>IF($A1894="","",LEFT(Calc!$E1898,4)&amp;MID(Calc!$E1898,6,2)&amp;RIGHT(Calc!$E1898,2)&amp;Calc!$Q1898&amp;"|"&amp;"1"&amp;RIGHT("00000"&amp;1889,5))</f>
        <v/>
      </c>
      <c r="C1894" t="str">
        <f t="shared" si="145"/>
        <v/>
      </c>
      <c r="D1894" t="str">
        <f t="shared" si="146"/>
        <v/>
      </c>
      <c r="F1894" t="str">
        <f>IF(Sync!$AH1894="","",IF(LEFT(UPPER(TRIM(Sync!$AH1894)),2)="SL",UPPER(TRIM(Sync!$AH1894)),""))</f>
        <v/>
      </c>
      <c r="G1894" t="str">
        <f>IF($F1894="","",IF(Sync!$AE1894="","",IF(ISNUMBER(Sync!$AE1894),IF(AND(Sync!$AE1894&gt;=10000101,Sync!$AE1894&lt;=99991231),INT(Sync!$AE1894/10000),""),IFERROR(VALUE(TRIM(LEFT(Sync!$AE1894,FIND("/",Sync!$AE1894)-1))),""))))</f>
        <v/>
      </c>
      <c r="H1894" t="str">
        <f>IF(OR($F1894="",$G1894=""),"",IF(ISNUMBER(Sync!$AE1894),INT(MOD(Sync!$AE1894,10000)/100),IFERROR(VALUE(TRIM(LEFT(MID(Sync!$AE1894,FIND("/",Sync!$AE1894)+1,20),FIND("/",MID(Sync!$AE1894,FIND("/",Sync!$AE1894)+1,20))-1))),"")))</f>
        <v/>
      </c>
      <c r="I1894" t="str">
        <f>IF(OR($F1894="",$G1894=""),"",IF(ISNUMBER(Sync!$AE1894),MOD(Sync!$AE1894,100),IFERROR(VALUE(TRIM(MID(MID(Sync!$AE1894,FIND("/",Sync!$AE1894)+1,20),FIND("/",MID(Sync!$AE1894,FIND("/",Sync!$AE1894)+1,20))+1,20))),"")))</f>
        <v/>
      </c>
      <c r="J1894" t="str">
        <f t="shared" si="147"/>
        <v/>
      </c>
      <c r="K1894" t="str">
        <f>IF(OR($F1894="",$J1894="",$J1894="نامعتبر"),"",LEFT($J1894,4)&amp;MID($J1894,6,2)&amp;RIGHT($J1894,2)&amp;$N1894&amp;"|"&amp;"2"&amp;RIGHT("00000"&amp;1889,5))</f>
        <v/>
      </c>
      <c r="L1894" t="str">
        <f t="shared" si="148"/>
        <v/>
      </c>
      <c r="M1894" t="str">
        <f t="shared" si="149"/>
        <v/>
      </c>
      <c r="N1894" t="str">
        <f>IF($F1894="","",IF(Sync!$AF1894="","0000",IF(AND(ISNUMBER(Sync!$AF1894),Sync!$AF1894&gt;=0,Sync!$AF1894&lt;1),RIGHT("00"&amp;HOUR(Sync!$AF1894),2)&amp;RIGHT("00"&amp;MINUTE(Sync!$AF1894),2),IFERROR(RIGHT("00"&amp;VALUE(LEFT(Sync!$AF1894,FIND(":",Sync!$AF1894)-1)),2)&amp;RIGHT("00"&amp;VALUE(MID(Sync!$AF1894,FIND(":",Sync!$AF1894)+1,2)),2),"0000"))))</f>
        <v/>
      </c>
    </row>
    <row r="1895" spans="1:14" x14ac:dyDescent="0.2">
      <c r="A1895" t="str">
        <f>IF(OR(Calc!$E1899="",Calc!$E1899="نامعتبر",Calc!$G1899=""),"",Calc!$G1899)</f>
        <v/>
      </c>
      <c r="B1895" t="str">
        <f>IF($A1895="","",LEFT(Calc!$E1899,4)&amp;MID(Calc!$E1899,6,2)&amp;RIGHT(Calc!$E1899,2)&amp;Calc!$Q1899&amp;"|"&amp;"1"&amp;RIGHT("00000"&amp;1890,5))</f>
        <v/>
      </c>
      <c r="C1895" t="str">
        <f t="shared" si="145"/>
        <v/>
      </c>
      <c r="D1895" t="str">
        <f t="shared" si="146"/>
        <v/>
      </c>
      <c r="F1895" t="str">
        <f>IF(Sync!$AH1895="","",IF(LEFT(UPPER(TRIM(Sync!$AH1895)),2)="SL",UPPER(TRIM(Sync!$AH1895)),""))</f>
        <v/>
      </c>
      <c r="G1895" t="str">
        <f>IF($F1895="","",IF(Sync!$AE1895="","",IF(ISNUMBER(Sync!$AE1895),IF(AND(Sync!$AE1895&gt;=10000101,Sync!$AE1895&lt;=99991231),INT(Sync!$AE1895/10000),""),IFERROR(VALUE(TRIM(LEFT(Sync!$AE1895,FIND("/",Sync!$AE1895)-1))),""))))</f>
        <v/>
      </c>
      <c r="H1895" t="str">
        <f>IF(OR($F1895="",$G1895=""),"",IF(ISNUMBER(Sync!$AE1895),INT(MOD(Sync!$AE1895,10000)/100),IFERROR(VALUE(TRIM(LEFT(MID(Sync!$AE1895,FIND("/",Sync!$AE1895)+1,20),FIND("/",MID(Sync!$AE1895,FIND("/",Sync!$AE1895)+1,20))-1))),"")))</f>
        <v/>
      </c>
      <c r="I1895" t="str">
        <f>IF(OR($F1895="",$G1895=""),"",IF(ISNUMBER(Sync!$AE1895),MOD(Sync!$AE1895,100),IFERROR(VALUE(TRIM(MID(MID(Sync!$AE1895,FIND("/",Sync!$AE1895)+1,20),FIND("/",MID(Sync!$AE1895,FIND("/",Sync!$AE1895)+1,20))+1,20))),"")))</f>
        <v/>
      </c>
      <c r="J1895" t="str">
        <f t="shared" si="147"/>
        <v/>
      </c>
      <c r="K1895" t="str">
        <f>IF(OR($F1895="",$J1895="",$J1895="نامعتبر"),"",LEFT($J1895,4)&amp;MID($J1895,6,2)&amp;RIGHT($J1895,2)&amp;$N1895&amp;"|"&amp;"2"&amp;RIGHT("00000"&amp;1890,5))</f>
        <v/>
      </c>
      <c r="L1895" t="str">
        <f t="shared" si="148"/>
        <v/>
      </c>
      <c r="M1895" t="str">
        <f t="shared" si="149"/>
        <v/>
      </c>
      <c r="N1895" t="str">
        <f>IF($F1895="","",IF(Sync!$AF1895="","0000",IF(AND(ISNUMBER(Sync!$AF1895),Sync!$AF1895&gt;=0,Sync!$AF1895&lt;1),RIGHT("00"&amp;HOUR(Sync!$AF1895),2)&amp;RIGHT("00"&amp;MINUTE(Sync!$AF1895),2),IFERROR(RIGHT("00"&amp;VALUE(LEFT(Sync!$AF1895,FIND(":",Sync!$AF1895)-1)),2)&amp;RIGHT("00"&amp;VALUE(MID(Sync!$AF1895,FIND(":",Sync!$AF1895)+1,2)),2),"0000"))))</f>
        <v/>
      </c>
    </row>
    <row r="1896" spans="1:14" x14ac:dyDescent="0.2">
      <c r="A1896" t="str">
        <f>IF(OR(Calc!$E1900="",Calc!$E1900="نامعتبر",Calc!$G1900=""),"",Calc!$G1900)</f>
        <v/>
      </c>
      <c r="B1896" t="str">
        <f>IF($A1896="","",LEFT(Calc!$E1900,4)&amp;MID(Calc!$E1900,6,2)&amp;RIGHT(Calc!$E1900,2)&amp;Calc!$Q1900&amp;"|"&amp;"1"&amp;RIGHT("00000"&amp;1891,5))</f>
        <v/>
      </c>
      <c r="C1896" t="str">
        <f t="shared" si="145"/>
        <v/>
      </c>
      <c r="D1896" t="str">
        <f t="shared" si="146"/>
        <v/>
      </c>
      <c r="F1896" t="str">
        <f>IF(Sync!$AH1896="","",IF(LEFT(UPPER(TRIM(Sync!$AH1896)),2)="SL",UPPER(TRIM(Sync!$AH1896)),""))</f>
        <v/>
      </c>
      <c r="G1896" t="str">
        <f>IF($F1896="","",IF(Sync!$AE1896="","",IF(ISNUMBER(Sync!$AE1896),IF(AND(Sync!$AE1896&gt;=10000101,Sync!$AE1896&lt;=99991231),INT(Sync!$AE1896/10000),""),IFERROR(VALUE(TRIM(LEFT(Sync!$AE1896,FIND("/",Sync!$AE1896)-1))),""))))</f>
        <v/>
      </c>
      <c r="H1896" t="str">
        <f>IF(OR($F1896="",$G1896=""),"",IF(ISNUMBER(Sync!$AE1896),INT(MOD(Sync!$AE1896,10000)/100),IFERROR(VALUE(TRIM(LEFT(MID(Sync!$AE1896,FIND("/",Sync!$AE1896)+1,20),FIND("/",MID(Sync!$AE1896,FIND("/",Sync!$AE1896)+1,20))-1))),"")))</f>
        <v/>
      </c>
      <c r="I1896" t="str">
        <f>IF(OR($F1896="",$G1896=""),"",IF(ISNUMBER(Sync!$AE1896),MOD(Sync!$AE1896,100),IFERROR(VALUE(TRIM(MID(MID(Sync!$AE1896,FIND("/",Sync!$AE1896)+1,20),FIND("/",MID(Sync!$AE1896,FIND("/",Sync!$AE1896)+1,20))+1,20))),"")))</f>
        <v/>
      </c>
      <c r="J1896" t="str">
        <f t="shared" si="147"/>
        <v/>
      </c>
      <c r="K1896" t="str">
        <f>IF(OR($F1896="",$J1896="",$J1896="نامعتبر"),"",LEFT($J1896,4)&amp;MID($J1896,6,2)&amp;RIGHT($J1896,2)&amp;$N1896&amp;"|"&amp;"2"&amp;RIGHT("00000"&amp;1891,5))</f>
        <v/>
      </c>
      <c r="L1896" t="str">
        <f t="shared" si="148"/>
        <v/>
      </c>
      <c r="M1896" t="str">
        <f t="shared" si="149"/>
        <v/>
      </c>
      <c r="N1896" t="str">
        <f>IF($F1896="","",IF(Sync!$AF1896="","0000",IF(AND(ISNUMBER(Sync!$AF1896),Sync!$AF1896&gt;=0,Sync!$AF1896&lt;1),RIGHT("00"&amp;HOUR(Sync!$AF1896),2)&amp;RIGHT("00"&amp;MINUTE(Sync!$AF1896),2),IFERROR(RIGHT("00"&amp;VALUE(LEFT(Sync!$AF1896,FIND(":",Sync!$AF1896)-1)),2)&amp;RIGHT("00"&amp;VALUE(MID(Sync!$AF1896,FIND(":",Sync!$AF1896)+1,2)),2),"0000"))))</f>
        <v/>
      </c>
    </row>
    <row r="1897" spans="1:14" x14ac:dyDescent="0.2">
      <c r="A1897" t="str">
        <f>IF(OR(Calc!$E1901="",Calc!$E1901="نامعتبر",Calc!$G1901=""),"",Calc!$G1901)</f>
        <v/>
      </c>
      <c r="B1897" t="str">
        <f>IF($A1897="","",LEFT(Calc!$E1901,4)&amp;MID(Calc!$E1901,6,2)&amp;RIGHT(Calc!$E1901,2)&amp;Calc!$Q1901&amp;"|"&amp;"1"&amp;RIGHT("00000"&amp;1892,5))</f>
        <v/>
      </c>
      <c r="C1897" t="str">
        <f t="shared" si="145"/>
        <v/>
      </c>
      <c r="D1897" t="str">
        <f t="shared" si="146"/>
        <v/>
      </c>
      <c r="F1897" t="str">
        <f>IF(Sync!$AH1897="","",IF(LEFT(UPPER(TRIM(Sync!$AH1897)),2)="SL",UPPER(TRIM(Sync!$AH1897)),""))</f>
        <v/>
      </c>
      <c r="G1897" t="str">
        <f>IF($F1897="","",IF(Sync!$AE1897="","",IF(ISNUMBER(Sync!$AE1897),IF(AND(Sync!$AE1897&gt;=10000101,Sync!$AE1897&lt;=99991231),INT(Sync!$AE1897/10000),""),IFERROR(VALUE(TRIM(LEFT(Sync!$AE1897,FIND("/",Sync!$AE1897)-1))),""))))</f>
        <v/>
      </c>
      <c r="H1897" t="str">
        <f>IF(OR($F1897="",$G1897=""),"",IF(ISNUMBER(Sync!$AE1897),INT(MOD(Sync!$AE1897,10000)/100),IFERROR(VALUE(TRIM(LEFT(MID(Sync!$AE1897,FIND("/",Sync!$AE1897)+1,20),FIND("/",MID(Sync!$AE1897,FIND("/",Sync!$AE1897)+1,20))-1))),"")))</f>
        <v/>
      </c>
      <c r="I1897" t="str">
        <f>IF(OR($F1897="",$G1897=""),"",IF(ISNUMBER(Sync!$AE1897),MOD(Sync!$AE1897,100),IFERROR(VALUE(TRIM(MID(MID(Sync!$AE1897,FIND("/",Sync!$AE1897)+1,20),FIND("/",MID(Sync!$AE1897,FIND("/",Sync!$AE1897)+1,20))+1,20))),"")))</f>
        <v/>
      </c>
      <c r="J1897" t="str">
        <f t="shared" si="147"/>
        <v/>
      </c>
      <c r="K1897" t="str">
        <f>IF(OR($F1897="",$J1897="",$J1897="نامعتبر"),"",LEFT($J1897,4)&amp;MID($J1897,6,2)&amp;RIGHT($J1897,2)&amp;$N1897&amp;"|"&amp;"2"&amp;RIGHT("00000"&amp;1892,5))</f>
        <v/>
      </c>
      <c r="L1897" t="str">
        <f t="shared" si="148"/>
        <v/>
      </c>
      <c r="M1897" t="str">
        <f t="shared" si="149"/>
        <v/>
      </c>
      <c r="N1897" t="str">
        <f>IF($F1897="","",IF(Sync!$AF1897="","0000",IF(AND(ISNUMBER(Sync!$AF1897),Sync!$AF1897&gt;=0,Sync!$AF1897&lt;1),RIGHT("00"&amp;HOUR(Sync!$AF1897),2)&amp;RIGHT("00"&amp;MINUTE(Sync!$AF1897),2),IFERROR(RIGHT("00"&amp;VALUE(LEFT(Sync!$AF1897,FIND(":",Sync!$AF1897)-1)),2)&amp;RIGHT("00"&amp;VALUE(MID(Sync!$AF1897,FIND(":",Sync!$AF1897)+1,2)),2),"0000"))))</f>
        <v/>
      </c>
    </row>
    <row r="1898" spans="1:14" x14ac:dyDescent="0.2">
      <c r="A1898" t="str">
        <f>IF(OR(Calc!$E1902="",Calc!$E1902="نامعتبر",Calc!$G1902=""),"",Calc!$G1902)</f>
        <v/>
      </c>
      <c r="B1898" t="str">
        <f>IF($A1898="","",LEFT(Calc!$E1902,4)&amp;MID(Calc!$E1902,6,2)&amp;RIGHT(Calc!$E1902,2)&amp;Calc!$Q1902&amp;"|"&amp;"1"&amp;RIGHT("00000"&amp;1893,5))</f>
        <v/>
      </c>
      <c r="C1898" t="str">
        <f t="shared" si="145"/>
        <v/>
      </c>
      <c r="D1898" t="str">
        <f t="shared" si="146"/>
        <v/>
      </c>
      <c r="F1898" t="str">
        <f>IF(Sync!$AH1898="","",IF(LEFT(UPPER(TRIM(Sync!$AH1898)),2)="SL",UPPER(TRIM(Sync!$AH1898)),""))</f>
        <v/>
      </c>
      <c r="G1898" t="str">
        <f>IF($F1898="","",IF(Sync!$AE1898="","",IF(ISNUMBER(Sync!$AE1898),IF(AND(Sync!$AE1898&gt;=10000101,Sync!$AE1898&lt;=99991231),INT(Sync!$AE1898/10000),""),IFERROR(VALUE(TRIM(LEFT(Sync!$AE1898,FIND("/",Sync!$AE1898)-1))),""))))</f>
        <v/>
      </c>
      <c r="H1898" t="str">
        <f>IF(OR($F1898="",$G1898=""),"",IF(ISNUMBER(Sync!$AE1898),INT(MOD(Sync!$AE1898,10000)/100),IFERROR(VALUE(TRIM(LEFT(MID(Sync!$AE1898,FIND("/",Sync!$AE1898)+1,20),FIND("/",MID(Sync!$AE1898,FIND("/",Sync!$AE1898)+1,20))-1))),"")))</f>
        <v/>
      </c>
      <c r="I1898" t="str">
        <f>IF(OR($F1898="",$G1898=""),"",IF(ISNUMBER(Sync!$AE1898),MOD(Sync!$AE1898,100),IFERROR(VALUE(TRIM(MID(MID(Sync!$AE1898,FIND("/",Sync!$AE1898)+1,20),FIND("/",MID(Sync!$AE1898,FIND("/",Sync!$AE1898)+1,20))+1,20))),"")))</f>
        <v/>
      </c>
      <c r="J1898" t="str">
        <f t="shared" si="147"/>
        <v/>
      </c>
      <c r="K1898" t="str">
        <f>IF(OR($F1898="",$J1898="",$J1898="نامعتبر"),"",LEFT($J1898,4)&amp;MID($J1898,6,2)&amp;RIGHT($J1898,2)&amp;$N1898&amp;"|"&amp;"2"&amp;RIGHT("00000"&amp;1893,5))</f>
        <v/>
      </c>
      <c r="L1898" t="str">
        <f t="shared" si="148"/>
        <v/>
      </c>
      <c r="M1898" t="str">
        <f t="shared" si="149"/>
        <v/>
      </c>
      <c r="N1898" t="str">
        <f>IF($F1898="","",IF(Sync!$AF1898="","0000",IF(AND(ISNUMBER(Sync!$AF1898),Sync!$AF1898&gt;=0,Sync!$AF1898&lt;1),RIGHT("00"&amp;HOUR(Sync!$AF1898),2)&amp;RIGHT("00"&amp;MINUTE(Sync!$AF1898),2),IFERROR(RIGHT("00"&amp;VALUE(LEFT(Sync!$AF1898,FIND(":",Sync!$AF1898)-1)),2)&amp;RIGHT("00"&amp;VALUE(MID(Sync!$AF1898,FIND(":",Sync!$AF1898)+1,2)),2),"0000"))))</f>
        <v/>
      </c>
    </row>
    <row r="1899" spans="1:14" x14ac:dyDescent="0.2">
      <c r="A1899" t="str">
        <f>IF(OR(Calc!$E1903="",Calc!$E1903="نامعتبر",Calc!$G1903=""),"",Calc!$G1903)</f>
        <v/>
      </c>
      <c r="B1899" t="str">
        <f>IF($A1899="","",LEFT(Calc!$E1903,4)&amp;MID(Calc!$E1903,6,2)&amp;RIGHT(Calc!$E1903,2)&amp;Calc!$Q1903&amp;"|"&amp;"1"&amp;RIGHT("00000"&amp;1894,5))</f>
        <v/>
      </c>
      <c r="C1899" t="str">
        <f t="shared" si="145"/>
        <v/>
      </c>
      <c r="D1899" t="str">
        <f t="shared" si="146"/>
        <v/>
      </c>
      <c r="F1899" t="str">
        <f>IF(Sync!$AH1899="","",IF(LEFT(UPPER(TRIM(Sync!$AH1899)),2)="SL",UPPER(TRIM(Sync!$AH1899)),""))</f>
        <v/>
      </c>
      <c r="G1899" t="str">
        <f>IF($F1899="","",IF(Sync!$AE1899="","",IF(ISNUMBER(Sync!$AE1899),IF(AND(Sync!$AE1899&gt;=10000101,Sync!$AE1899&lt;=99991231),INT(Sync!$AE1899/10000),""),IFERROR(VALUE(TRIM(LEFT(Sync!$AE1899,FIND("/",Sync!$AE1899)-1))),""))))</f>
        <v/>
      </c>
      <c r="H1899" t="str">
        <f>IF(OR($F1899="",$G1899=""),"",IF(ISNUMBER(Sync!$AE1899),INT(MOD(Sync!$AE1899,10000)/100),IFERROR(VALUE(TRIM(LEFT(MID(Sync!$AE1899,FIND("/",Sync!$AE1899)+1,20),FIND("/",MID(Sync!$AE1899,FIND("/",Sync!$AE1899)+1,20))-1))),"")))</f>
        <v/>
      </c>
      <c r="I1899" t="str">
        <f>IF(OR($F1899="",$G1899=""),"",IF(ISNUMBER(Sync!$AE1899),MOD(Sync!$AE1899,100),IFERROR(VALUE(TRIM(MID(MID(Sync!$AE1899,FIND("/",Sync!$AE1899)+1,20),FIND("/",MID(Sync!$AE1899,FIND("/",Sync!$AE1899)+1,20))+1,20))),"")))</f>
        <v/>
      </c>
      <c r="J1899" t="str">
        <f t="shared" si="147"/>
        <v/>
      </c>
      <c r="K1899" t="str">
        <f>IF(OR($F1899="",$J1899="",$J1899="نامعتبر"),"",LEFT($J1899,4)&amp;MID($J1899,6,2)&amp;RIGHT($J1899,2)&amp;$N1899&amp;"|"&amp;"2"&amp;RIGHT("00000"&amp;1894,5))</f>
        <v/>
      </c>
      <c r="L1899" t="str">
        <f t="shared" si="148"/>
        <v/>
      </c>
      <c r="M1899" t="str">
        <f t="shared" si="149"/>
        <v/>
      </c>
      <c r="N1899" t="str">
        <f>IF($F1899="","",IF(Sync!$AF1899="","0000",IF(AND(ISNUMBER(Sync!$AF1899),Sync!$AF1899&gt;=0,Sync!$AF1899&lt;1),RIGHT("00"&amp;HOUR(Sync!$AF1899),2)&amp;RIGHT("00"&amp;MINUTE(Sync!$AF1899),2),IFERROR(RIGHT("00"&amp;VALUE(LEFT(Sync!$AF1899,FIND(":",Sync!$AF1899)-1)),2)&amp;RIGHT("00"&amp;VALUE(MID(Sync!$AF1899,FIND(":",Sync!$AF1899)+1,2)),2),"0000"))))</f>
        <v/>
      </c>
    </row>
    <row r="1900" spans="1:14" x14ac:dyDescent="0.2">
      <c r="A1900" t="str">
        <f>IF(OR(Calc!$E1904="",Calc!$E1904="نامعتبر",Calc!$G1904=""),"",Calc!$G1904)</f>
        <v/>
      </c>
      <c r="B1900" t="str">
        <f>IF($A1900="","",LEFT(Calc!$E1904,4)&amp;MID(Calc!$E1904,6,2)&amp;RIGHT(Calc!$E1904,2)&amp;Calc!$Q1904&amp;"|"&amp;"1"&amp;RIGHT("00000"&amp;1895,5))</f>
        <v/>
      </c>
      <c r="C1900" t="str">
        <f t="shared" si="145"/>
        <v/>
      </c>
      <c r="D1900" t="str">
        <f t="shared" si="146"/>
        <v/>
      </c>
      <c r="F1900" t="str">
        <f>IF(Sync!$AH1900="","",IF(LEFT(UPPER(TRIM(Sync!$AH1900)),2)="SL",UPPER(TRIM(Sync!$AH1900)),""))</f>
        <v/>
      </c>
      <c r="G1900" t="str">
        <f>IF($F1900="","",IF(Sync!$AE1900="","",IF(ISNUMBER(Sync!$AE1900),IF(AND(Sync!$AE1900&gt;=10000101,Sync!$AE1900&lt;=99991231),INT(Sync!$AE1900/10000),""),IFERROR(VALUE(TRIM(LEFT(Sync!$AE1900,FIND("/",Sync!$AE1900)-1))),""))))</f>
        <v/>
      </c>
      <c r="H1900" t="str">
        <f>IF(OR($F1900="",$G1900=""),"",IF(ISNUMBER(Sync!$AE1900),INT(MOD(Sync!$AE1900,10000)/100),IFERROR(VALUE(TRIM(LEFT(MID(Sync!$AE1900,FIND("/",Sync!$AE1900)+1,20),FIND("/",MID(Sync!$AE1900,FIND("/",Sync!$AE1900)+1,20))-1))),"")))</f>
        <v/>
      </c>
      <c r="I1900" t="str">
        <f>IF(OR($F1900="",$G1900=""),"",IF(ISNUMBER(Sync!$AE1900),MOD(Sync!$AE1900,100),IFERROR(VALUE(TRIM(MID(MID(Sync!$AE1900,FIND("/",Sync!$AE1900)+1,20),FIND("/",MID(Sync!$AE1900,FIND("/",Sync!$AE1900)+1,20))+1,20))),"")))</f>
        <v/>
      </c>
      <c r="J1900" t="str">
        <f t="shared" si="147"/>
        <v/>
      </c>
      <c r="K1900" t="str">
        <f>IF(OR($F1900="",$J1900="",$J1900="نامعتبر"),"",LEFT($J1900,4)&amp;MID($J1900,6,2)&amp;RIGHT($J1900,2)&amp;$N1900&amp;"|"&amp;"2"&amp;RIGHT("00000"&amp;1895,5))</f>
        <v/>
      </c>
      <c r="L1900" t="str">
        <f t="shared" si="148"/>
        <v/>
      </c>
      <c r="M1900" t="str">
        <f t="shared" si="149"/>
        <v/>
      </c>
      <c r="N1900" t="str">
        <f>IF($F1900="","",IF(Sync!$AF1900="","0000",IF(AND(ISNUMBER(Sync!$AF1900),Sync!$AF1900&gt;=0,Sync!$AF1900&lt;1),RIGHT("00"&amp;HOUR(Sync!$AF1900),2)&amp;RIGHT("00"&amp;MINUTE(Sync!$AF1900),2),IFERROR(RIGHT("00"&amp;VALUE(LEFT(Sync!$AF1900,FIND(":",Sync!$AF1900)-1)),2)&amp;RIGHT("00"&amp;VALUE(MID(Sync!$AF1900,FIND(":",Sync!$AF1900)+1,2)),2),"0000"))))</f>
        <v/>
      </c>
    </row>
    <row r="1901" spans="1:14" x14ac:dyDescent="0.2">
      <c r="A1901" t="str">
        <f>IF(OR(Calc!$E1905="",Calc!$E1905="نامعتبر",Calc!$G1905=""),"",Calc!$G1905)</f>
        <v/>
      </c>
      <c r="B1901" t="str">
        <f>IF($A1901="","",LEFT(Calc!$E1905,4)&amp;MID(Calc!$E1905,6,2)&amp;RIGHT(Calc!$E1905,2)&amp;Calc!$Q1905&amp;"|"&amp;"1"&amp;RIGHT("00000"&amp;1896,5))</f>
        <v/>
      </c>
      <c r="C1901" t="str">
        <f t="shared" si="145"/>
        <v/>
      </c>
      <c r="D1901" t="str">
        <f t="shared" si="146"/>
        <v/>
      </c>
      <c r="F1901" t="str">
        <f>IF(Sync!$AH1901="","",IF(LEFT(UPPER(TRIM(Sync!$AH1901)),2)="SL",UPPER(TRIM(Sync!$AH1901)),""))</f>
        <v/>
      </c>
      <c r="G1901" t="str">
        <f>IF($F1901="","",IF(Sync!$AE1901="","",IF(ISNUMBER(Sync!$AE1901),IF(AND(Sync!$AE1901&gt;=10000101,Sync!$AE1901&lt;=99991231),INT(Sync!$AE1901/10000),""),IFERROR(VALUE(TRIM(LEFT(Sync!$AE1901,FIND("/",Sync!$AE1901)-1))),""))))</f>
        <v/>
      </c>
      <c r="H1901" t="str">
        <f>IF(OR($F1901="",$G1901=""),"",IF(ISNUMBER(Sync!$AE1901),INT(MOD(Sync!$AE1901,10000)/100),IFERROR(VALUE(TRIM(LEFT(MID(Sync!$AE1901,FIND("/",Sync!$AE1901)+1,20),FIND("/",MID(Sync!$AE1901,FIND("/",Sync!$AE1901)+1,20))-1))),"")))</f>
        <v/>
      </c>
      <c r="I1901" t="str">
        <f>IF(OR($F1901="",$G1901=""),"",IF(ISNUMBER(Sync!$AE1901),MOD(Sync!$AE1901,100),IFERROR(VALUE(TRIM(MID(MID(Sync!$AE1901,FIND("/",Sync!$AE1901)+1,20),FIND("/",MID(Sync!$AE1901,FIND("/",Sync!$AE1901)+1,20))+1,20))),"")))</f>
        <v/>
      </c>
      <c r="J1901" t="str">
        <f t="shared" si="147"/>
        <v/>
      </c>
      <c r="K1901" t="str">
        <f>IF(OR($F1901="",$J1901="",$J1901="نامعتبر"),"",LEFT($J1901,4)&amp;MID($J1901,6,2)&amp;RIGHT($J1901,2)&amp;$N1901&amp;"|"&amp;"2"&amp;RIGHT("00000"&amp;1896,5))</f>
        <v/>
      </c>
      <c r="L1901" t="str">
        <f t="shared" si="148"/>
        <v/>
      </c>
      <c r="M1901" t="str">
        <f t="shared" si="149"/>
        <v/>
      </c>
      <c r="N1901" t="str">
        <f>IF($F1901="","",IF(Sync!$AF1901="","0000",IF(AND(ISNUMBER(Sync!$AF1901),Sync!$AF1901&gt;=0,Sync!$AF1901&lt;1),RIGHT("00"&amp;HOUR(Sync!$AF1901),2)&amp;RIGHT("00"&amp;MINUTE(Sync!$AF1901),2),IFERROR(RIGHT("00"&amp;VALUE(LEFT(Sync!$AF1901,FIND(":",Sync!$AF1901)-1)),2)&amp;RIGHT("00"&amp;VALUE(MID(Sync!$AF1901,FIND(":",Sync!$AF1901)+1,2)),2),"0000"))))</f>
        <v/>
      </c>
    </row>
    <row r="1902" spans="1:14" x14ac:dyDescent="0.2">
      <c r="A1902" t="str">
        <f>IF(OR(Calc!$E1906="",Calc!$E1906="نامعتبر",Calc!$G1906=""),"",Calc!$G1906)</f>
        <v/>
      </c>
      <c r="B1902" t="str">
        <f>IF($A1902="","",LEFT(Calc!$E1906,4)&amp;MID(Calc!$E1906,6,2)&amp;RIGHT(Calc!$E1906,2)&amp;Calc!$Q1906&amp;"|"&amp;"1"&amp;RIGHT("00000"&amp;1897,5))</f>
        <v/>
      </c>
      <c r="C1902" t="str">
        <f t="shared" si="145"/>
        <v/>
      </c>
      <c r="D1902" t="str">
        <f t="shared" si="146"/>
        <v/>
      </c>
      <c r="F1902" t="str">
        <f>IF(Sync!$AH1902="","",IF(LEFT(UPPER(TRIM(Sync!$AH1902)),2)="SL",UPPER(TRIM(Sync!$AH1902)),""))</f>
        <v/>
      </c>
      <c r="G1902" t="str">
        <f>IF($F1902="","",IF(Sync!$AE1902="","",IF(ISNUMBER(Sync!$AE1902),IF(AND(Sync!$AE1902&gt;=10000101,Sync!$AE1902&lt;=99991231),INT(Sync!$AE1902/10000),""),IFERROR(VALUE(TRIM(LEFT(Sync!$AE1902,FIND("/",Sync!$AE1902)-1))),""))))</f>
        <v/>
      </c>
      <c r="H1902" t="str">
        <f>IF(OR($F1902="",$G1902=""),"",IF(ISNUMBER(Sync!$AE1902),INT(MOD(Sync!$AE1902,10000)/100),IFERROR(VALUE(TRIM(LEFT(MID(Sync!$AE1902,FIND("/",Sync!$AE1902)+1,20),FIND("/",MID(Sync!$AE1902,FIND("/",Sync!$AE1902)+1,20))-1))),"")))</f>
        <v/>
      </c>
      <c r="I1902" t="str">
        <f>IF(OR($F1902="",$G1902=""),"",IF(ISNUMBER(Sync!$AE1902),MOD(Sync!$AE1902,100),IFERROR(VALUE(TRIM(MID(MID(Sync!$AE1902,FIND("/",Sync!$AE1902)+1,20),FIND("/",MID(Sync!$AE1902,FIND("/",Sync!$AE1902)+1,20))+1,20))),"")))</f>
        <v/>
      </c>
      <c r="J1902" t="str">
        <f t="shared" si="147"/>
        <v/>
      </c>
      <c r="K1902" t="str">
        <f>IF(OR($F1902="",$J1902="",$J1902="نامعتبر"),"",LEFT($J1902,4)&amp;MID($J1902,6,2)&amp;RIGHT($J1902,2)&amp;$N1902&amp;"|"&amp;"2"&amp;RIGHT("00000"&amp;1897,5))</f>
        <v/>
      </c>
      <c r="L1902" t="str">
        <f t="shared" si="148"/>
        <v/>
      </c>
      <c r="M1902" t="str">
        <f t="shared" si="149"/>
        <v/>
      </c>
      <c r="N1902" t="str">
        <f>IF($F1902="","",IF(Sync!$AF1902="","0000",IF(AND(ISNUMBER(Sync!$AF1902),Sync!$AF1902&gt;=0,Sync!$AF1902&lt;1),RIGHT("00"&amp;HOUR(Sync!$AF1902),2)&amp;RIGHT("00"&amp;MINUTE(Sync!$AF1902),2),IFERROR(RIGHT("00"&amp;VALUE(LEFT(Sync!$AF1902,FIND(":",Sync!$AF1902)-1)),2)&amp;RIGHT("00"&amp;VALUE(MID(Sync!$AF1902,FIND(":",Sync!$AF1902)+1,2)),2),"0000"))))</f>
        <v/>
      </c>
    </row>
    <row r="1903" spans="1:14" x14ac:dyDescent="0.2">
      <c r="A1903" t="str">
        <f>IF(OR(Calc!$E1907="",Calc!$E1907="نامعتبر",Calc!$G1907=""),"",Calc!$G1907)</f>
        <v/>
      </c>
      <c r="B1903" t="str">
        <f>IF($A1903="","",LEFT(Calc!$E1907,4)&amp;MID(Calc!$E1907,6,2)&amp;RIGHT(Calc!$E1907,2)&amp;Calc!$Q1907&amp;"|"&amp;"1"&amp;RIGHT("00000"&amp;1898,5))</f>
        <v/>
      </c>
      <c r="C1903" t="str">
        <f t="shared" si="145"/>
        <v/>
      </c>
      <c r="D1903" t="str">
        <f t="shared" si="146"/>
        <v/>
      </c>
      <c r="F1903" t="str">
        <f>IF(Sync!$AH1903="","",IF(LEFT(UPPER(TRIM(Sync!$AH1903)),2)="SL",UPPER(TRIM(Sync!$AH1903)),""))</f>
        <v/>
      </c>
      <c r="G1903" t="str">
        <f>IF($F1903="","",IF(Sync!$AE1903="","",IF(ISNUMBER(Sync!$AE1903),IF(AND(Sync!$AE1903&gt;=10000101,Sync!$AE1903&lt;=99991231),INT(Sync!$AE1903/10000),""),IFERROR(VALUE(TRIM(LEFT(Sync!$AE1903,FIND("/",Sync!$AE1903)-1))),""))))</f>
        <v/>
      </c>
      <c r="H1903" t="str">
        <f>IF(OR($F1903="",$G1903=""),"",IF(ISNUMBER(Sync!$AE1903),INT(MOD(Sync!$AE1903,10000)/100),IFERROR(VALUE(TRIM(LEFT(MID(Sync!$AE1903,FIND("/",Sync!$AE1903)+1,20),FIND("/",MID(Sync!$AE1903,FIND("/",Sync!$AE1903)+1,20))-1))),"")))</f>
        <v/>
      </c>
      <c r="I1903" t="str">
        <f>IF(OR($F1903="",$G1903=""),"",IF(ISNUMBER(Sync!$AE1903),MOD(Sync!$AE1903,100),IFERROR(VALUE(TRIM(MID(MID(Sync!$AE1903,FIND("/",Sync!$AE1903)+1,20),FIND("/",MID(Sync!$AE1903,FIND("/",Sync!$AE1903)+1,20))+1,20))),"")))</f>
        <v/>
      </c>
      <c r="J1903" t="str">
        <f t="shared" si="147"/>
        <v/>
      </c>
      <c r="K1903" t="str">
        <f>IF(OR($F1903="",$J1903="",$J1903="نامعتبر"),"",LEFT($J1903,4)&amp;MID($J1903,6,2)&amp;RIGHT($J1903,2)&amp;$N1903&amp;"|"&amp;"2"&amp;RIGHT("00000"&amp;1898,5))</f>
        <v/>
      </c>
      <c r="L1903" t="str">
        <f t="shared" si="148"/>
        <v/>
      </c>
      <c r="M1903" t="str">
        <f t="shared" si="149"/>
        <v/>
      </c>
      <c r="N1903" t="str">
        <f>IF($F1903="","",IF(Sync!$AF1903="","0000",IF(AND(ISNUMBER(Sync!$AF1903),Sync!$AF1903&gt;=0,Sync!$AF1903&lt;1),RIGHT("00"&amp;HOUR(Sync!$AF1903),2)&amp;RIGHT("00"&amp;MINUTE(Sync!$AF1903),2),IFERROR(RIGHT("00"&amp;VALUE(LEFT(Sync!$AF1903,FIND(":",Sync!$AF1903)-1)),2)&amp;RIGHT("00"&amp;VALUE(MID(Sync!$AF1903,FIND(":",Sync!$AF1903)+1,2)),2),"0000"))))</f>
        <v/>
      </c>
    </row>
    <row r="1904" spans="1:14" x14ac:dyDescent="0.2">
      <c r="A1904" t="str">
        <f>IF(OR(Calc!$E1908="",Calc!$E1908="نامعتبر",Calc!$G1908=""),"",Calc!$G1908)</f>
        <v/>
      </c>
      <c r="B1904" t="str">
        <f>IF($A1904="","",LEFT(Calc!$E1908,4)&amp;MID(Calc!$E1908,6,2)&amp;RIGHT(Calc!$E1908,2)&amp;Calc!$Q1908&amp;"|"&amp;"1"&amp;RIGHT("00000"&amp;1899,5))</f>
        <v/>
      </c>
      <c r="C1904" t="str">
        <f t="shared" si="145"/>
        <v/>
      </c>
      <c r="D1904" t="str">
        <f t="shared" si="146"/>
        <v/>
      </c>
      <c r="F1904" t="str">
        <f>IF(Sync!$AH1904="","",IF(LEFT(UPPER(TRIM(Sync!$AH1904)),2)="SL",UPPER(TRIM(Sync!$AH1904)),""))</f>
        <v/>
      </c>
      <c r="G1904" t="str">
        <f>IF($F1904="","",IF(Sync!$AE1904="","",IF(ISNUMBER(Sync!$AE1904),IF(AND(Sync!$AE1904&gt;=10000101,Sync!$AE1904&lt;=99991231),INT(Sync!$AE1904/10000),""),IFERROR(VALUE(TRIM(LEFT(Sync!$AE1904,FIND("/",Sync!$AE1904)-1))),""))))</f>
        <v/>
      </c>
      <c r="H1904" t="str">
        <f>IF(OR($F1904="",$G1904=""),"",IF(ISNUMBER(Sync!$AE1904),INT(MOD(Sync!$AE1904,10000)/100),IFERROR(VALUE(TRIM(LEFT(MID(Sync!$AE1904,FIND("/",Sync!$AE1904)+1,20),FIND("/",MID(Sync!$AE1904,FIND("/",Sync!$AE1904)+1,20))-1))),"")))</f>
        <v/>
      </c>
      <c r="I1904" t="str">
        <f>IF(OR($F1904="",$G1904=""),"",IF(ISNUMBER(Sync!$AE1904),MOD(Sync!$AE1904,100),IFERROR(VALUE(TRIM(MID(MID(Sync!$AE1904,FIND("/",Sync!$AE1904)+1,20),FIND("/",MID(Sync!$AE1904,FIND("/",Sync!$AE1904)+1,20))+1,20))),"")))</f>
        <v/>
      </c>
      <c r="J1904" t="str">
        <f t="shared" si="147"/>
        <v/>
      </c>
      <c r="K1904" t="str">
        <f>IF(OR($F1904="",$J1904="",$J1904="نامعتبر"),"",LEFT($J1904,4)&amp;MID($J1904,6,2)&amp;RIGHT($J1904,2)&amp;$N1904&amp;"|"&amp;"2"&amp;RIGHT("00000"&amp;1899,5))</f>
        <v/>
      </c>
      <c r="L1904" t="str">
        <f t="shared" si="148"/>
        <v/>
      </c>
      <c r="M1904" t="str">
        <f t="shared" si="149"/>
        <v/>
      </c>
      <c r="N1904" t="str">
        <f>IF($F1904="","",IF(Sync!$AF1904="","0000",IF(AND(ISNUMBER(Sync!$AF1904),Sync!$AF1904&gt;=0,Sync!$AF1904&lt;1),RIGHT("00"&amp;HOUR(Sync!$AF1904),2)&amp;RIGHT("00"&amp;MINUTE(Sync!$AF1904),2),IFERROR(RIGHT("00"&amp;VALUE(LEFT(Sync!$AF1904,FIND(":",Sync!$AF1904)-1)),2)&amp;RIGHT("00"&amp;VALUE(MID(Sync!$AF1904,FIND(":",Sync!$AF1904)+1,2)),2),"0000"))))</f>
        <v/>
      </c>
    </row>
    <row r="1905" spans="1:14" x14ac:dyDescent="0.2">
      <c r="A1905" t="str">
        <f>IF(OR(Calc!$E1909="",Calc!$E1909="نامعتبر",Calc!$G1909=""),"",Calc!$G1909)</f>
        <v/>
      </c>
      <c r="B1905" t="str">
        <f>IF($A1905="","",LEFT(Calc!$E1909,4)&amp;MID(Calc!$E1909,6,2)&amp;RIGHT(Calc!$E1909,2)&amp;Calc!$Q1909&amp;"|"&amp;"1"&amp;RIGHT("00000"&amp;1900,5))</f>
        <v/>
      </c>
      <c r="C1905" t="str">
        <f t="shared" si="145"/>
        <v/>
      </c>
      <c r="D1905" t="str">
        <f t="shared" si="146"/>
        <v/>
      </c>
      <c r="F1905" t="str">
        <f>IF(Sync!$AH1905="","",IF(LEFT(UPPER(TRIM(Sync!$AH1905)),2)="SL",UPPER(TRIM(Sync!$AH1905)),""))</f>
        <v/>
      </c>
      <c r="G1905" t="str">
        <f>IF($F1905="","",IF(Sync!$AE1905="","",IF(ISNUMBER(Sync!$AE1905),IF(AND(Sync!$AE1905&gt;=10000101,Sync!$AE1905&lt;=99991231),INT(Sync!$AE1905/10000),""),IFERROR(VALUE(TRIM(LEFT(Sync!$AE1905,FIND("/",Sync!$AE1905)-1))),""))))</f>
        <v/>
      </c>
      <c r="H1905" t="str">
        <f>IF(OR($F1905="",$G1905=""),"",IF(ISNUMBER(Sync!$AE1905),INT(MOD(Sync!$AE1905,10000)/100),IFERROR(VALUE(TRIM(LEFT(MID(Sync!$AE1905,FIND("/",Sync!$AE1905)+1,20),FIND("/",MID(Sync!$AE1905,FIND("/",Sync!$AE1905)+1,20))-1))),"")))</f>
        <v/>
      </c>
      <c r="I1905" t="str">
        <f>IF(OR($F1905="",$G1905=""),"",IF(ISNUMBER(Sync!$AE1905),MOD(Sync!$AE1905,100),IFERROR(VALUE(TRIM(MID(MID(Sync!$AE1905,FIND("/",Sync!$AE1905)+1,20),FIND("/",MID(Sync!$AE1905,FIND("/",Sync!$AE1905)+1,20))+1,20))),"")))</f>
        <v/>
      </c>
      <c r="J1905" t="str">
        <f t="shared" si="147"/>
        <v/>
      </c>
      <c r="K1905" t="str">
        <f>IF(OR($F1905="",$J1905="",$J1905="نامعتبر"),"",LEFT($J1905,4)&amp;MID($J1905,6,2)&amp;RIGHT($J1905,2)&amp;$N1905&amp;"|"&amp;"2"&amp;RIGHT("00000"&amp;1900,5))</f>
        <v/>
      </c>
      <c r="L1905" t="str">
        <f t="shared" si="148"/>
        <v/>
      </c>
      <c r="M1905" t="str">
        <f t="shared" si="149"/>
        <v/>
      </c>
      <c r="N1905" t="str">
        <f>IF($F1905="","",IF(Sync!$AF1905="","0000",IF(AND(ISNUMBER(Sync!$AF1905),Sync!$AF1905&gt;=0,Sync!$AF1905&lt;1),RIGHT("00"&amp;HOUR(Sync!$AF1905),2)&amp;RIGHT("00"&amp;MINUTE(Sync!$AF1905),2),IFERROR(RIGHT("00"&amp;VALUE(LEFT(Sync!$AF1905,FIND(":",Sync!$AF1905)-1)),2)&amp;RIGHT("00"&amp;VALUE(MID(Sync!$AF1905,FIND(":",Sync!$AF1905)+1,2)),2),"0000"))))</f>
        <v/>
      </c>
    </row>
    <row r="1906" spans="1:14" x14ac:dyDescent="0.2">
      <c r="A1906" t="str">
        <f>IF(OR(Calc!$E1910="",Calc!$E1910="نامعتبر",Calc!$G1910=""),"",Calc!$G1910)</f>
        <v/>
      </c>
      <c r="B1906" t="str">
        <f>IF($A1906="","",LEFT(Calc!$E1910,4)&amp;MID(Calc!$E1910,6,2)&amp;RIGHT(Calc!$E1910,2)&amp;Calc!$Q1910&amp;"|"&amp;"1"&amp;RIGHT("00000"&amp;1901,5))</f>
        <v/>
      </c>
      <c r="C1906" t="str">
        <f t="shared" si="145"/>
        <v/>
      </c>
      <c r="D1906" t="str">
        <f t="shared" si="146"/>
        <v/>
      </c>
      <c r="F1906" t="str">
        <f>IF(Sync!$AH1906="","",IF(LEFT(UPPER(TRIM(Sync!$AH1906)),2)="SL",UPPER(TRIM(Sync!$AH1906)),""))</f>
        <v/>
      </c>
      <c r="G1906" t="str">
        <f>IF($F1906="","",IF(Sync!$AE1906="","",IF(ISNUMBER(Sync!$AE1906),IF(AND(Sync!$AE1906&gt;=10000101,Sync!$AE1906&lt;=99991231),INT(Sync!$AE1906/10000),""),IFERROR(VALUE(TRIM(LEFT(Sync!$AE1906,FIND("/",Sync!$AE1906)-1))),""))))</f>
        <v/>
      </c>
      <c r="H1906" t="str">
        <f>IF(OR($F1906="",$G1906=""),"",IF(ISNUMBER(Sync!$AE1906),INT(MOD(Sync!$AE1906,10000)/100),IFERROR(VALUE(TRIM(LEFT(MID(Sync!$AE1906,FIND("/",Sync!$AE1906)+1,20),FIND("/",MID(Sync!$AE1906,FIND("/",Sync!$AE1906)+1,20))-1))),"")))</f>
        <v/>
      </c>
      <c r="I1906" t="str">
        <f>IF(OR($F1906="",$G1906=""),"",IF(ISNUMBER(Sync!$AE1906),MOD(Sync!$AE1906,100),IFERROR(VALUE(TRIM(MID(MID(Sync!$AE1906,FIND("/",Sync!$AE1906)+1,20),FIND("/",MID(Sync!$AE1906,FIND("/",Sync!$AE1906)+1,20))+1,20))),"")))</f>
        <v/>
      </c>
      <c r="J1906" t="str">
        <f t="shared" si="147"/>
        <v/>
      </c>
      <c r="K1906" t="str">
        <f>IF(OR($F1906="",$J1906="",$J1906="نامعتبر"),"",LEFT($J1906,4)&amp;MID($J1906,6,2)&amp;RIGHT($J1906,2)&amp;$N1906&amp;"|"&amp;"2"&amp;RIGHT("00000"&amp;1901,5))</f>
        <v/>
      </c>
      <c r="L1906" t="str">
        <f t="shared" si="148"/>
        <v/>
      </c>
      <c r="M1906" t="str">
        <f t="shared" si="149"/>
        <v/>
      </c>
      <c r="N1906" t="str">
        <f>IF($F1906="","",IF(Sync!$AF1906="","0000",IF(AND(ISNUMBER(Sync!$AF1906),Sync!$AF1906&gt;=0,Sync!$AF1906&lt;1),RIGHT("00"&amp;HOUR(Sync!$AF1906),2)&amp;RIGHT("00"&amp;MINUTE(Sync!$AF1906),2),IFERROR(RIGHT("00"&amp;VALUE(LEFT(Sync!$AF1906,FIND(":",Sync!$AF1906)-1)),2)&amp;RIGHT("00"&amp;VALUE(MID(Sync!$AF1906,FIND(":",Sync!$AF1906)+1,2)),2),"0000"))))</f>
        <v/>
      </c>
    </row>
    <row r="1907" spans="1:14" x14ac:dyDescent="0.2">
      <c r="A1907" t="str">
        <f>IF(OR(Calc!$E1911="",Calc!$E1911="نامعتبر",Calc!$G1911=""),"",Calc!$G1911)</f>
        <v/>
      </c>
      <c r="B1907" t="str">
        <f>IF($A1907="","",LEFT(Calc!$E1911,4)&amp;MID(Calc!$E1911,6,2)&amp;RIGHT(Calc!$E1911,2)&amp;Calc!$Q1911&amp;"|"&amp;"1"&amp;RIGHT("00000"&amp;1902,5))</f>
        <v/>
      </c>
      <c r="C1907" t="str">
        <f t="shared" si="145"/>
        <v/>
      </c>
      <c r="D1907" t="str">
        <f t="shared" si="146"/>
        <v/>
      </c>
      <c r="F1907" t="str">
        <f>IF(Sync!$AH1907="","",IF(LEFT(UPPER(TRIM(Sync!$AH1907)),2)="SL",UPPER(TRIM(Sync!$AH1907)),""))</f>
        <v/>
      </c>
      <c r="G1907" t="str">
        <f>IF($F1907="","",IF(Sync!$AE1907="","",IF(ISNUMBER(Sync!$AE1907),IF(AND(Sync!$AE1907&gt;=10000101,Sync!$AE1907&lt;=99991231),INT(Sync!$AE1907/10000),""),IFERROR(VALUE(TRIM(LEFT(Sync!$AE1907,FIND("/",Sync!$AE1907)-1))),""))))</f>
        <v/>
      </c>
      <c r="H1907" t="str">
        <f>IF(OR($F1907="",$G1907=""),"",IF(ISNUMBER(Sync!$AE1907),INT(MOD(Sync!$AE1907,10000)/100),IFERROR(VALUE(TRIM(LEFT(MID(Sync!$AE1907,FIND("/",Sync!$AE1907)+1,20),FIND("/",MID(Sync!$AE1907,FIND("/",Sync!$AE1907)+1,20))-1))),"")))</f>
        <v/>
      </c>
      <c r="I1907" t="str">
        <f>IF(OR($F1907="",$G1907=""),"",IF(ISNUMBER(Sync!$AE1907),MOD(Sync!$AE1907,100),IFERROR(VALUE(TRIM(MID(MID(Sync!$AE1907,FIND("/",Sync!$AE1907)+1,20),FIND("/",MID(Sync!$AE1907,FIND("/",Sync!$AE1907)+1,20))+1,20))),"")))</f>
        <v/>
      </c>
      <c r="J1907" t="str">
        <f t="shared" si="147"/>
        <v/>
      </c>
      <c r="K1907" t="str">
        <f>IF(OR($F1907="",$J1907="",$J1907="نامعتبر"),"",LEFT($J1907,4)&amp;MID($J1907,6,2)&amp;RIGHT($J1907,2)&amp;$N1907&amp;"|"&amp;"2"&amp;RIGHT("00000"&amp;1902,5))</f>
        <v/>
      </c>
      <c r="L1907" t="str">
        <f t="shared" si="148"/>
        <v/>
      </c>
      <c r="M1907" t="str">
        <f t="shared" si="149"/>
        <v/>
      </c>
      <c r="N1907" t="str">
        <f>IF($F1907="","",IF(Sync!$AF1907="","0000",IF(AND(ISNUMBER(Sync!$AF1907),Sync!$AF1907&gt;=0,Sync!$AF1907&lt;1),RIGHT("00"&amp;HOUR(Sync!$AF1907),2)&amp;RIGHT("00"&amp;MINUTE(Sync!$AF1907),2),IFERROR(RIGHT("00"&amp;VALUE(LEFT(Sync!$AF1907,FIND(":",Sync!$AF1907)-1)),2)&amp;RIGHT("00"&amp;VALUE(MID(Sync!$AF1907,FIND(":",Sync!$AF1907)+1,2)),2),"0000"))))</f>
        <v/>
      </c>
    </row>
    <row r="1908" spans="1:14" x14ac:dyDescent="0.2">
      <c r="A1908" t="str">
        <f>IF(OR(Calc!$E1912="",Calc!$E1912="نامعتبر",Calc!$G1912=""),"",Calc!$G1912)</f>
        <v/>
      </c>
      <c r="B1908" t="str">
        <f>IF($A1908="","",LEFT(Calc!$E1912,4)&amp;MID(Calc!$E1912,6,2)&amp;RIGHT(Calc!$E1912,2)&amp;Calc!$Q1912&amp;"|"&amp;"1"&amp;RIGHT("00000"&amp;1903,5))</f>
        <v/>
      </c>
      <c r="C1908" t="str">
        <f t="shared" si="145"/>
        <v/>
      </c>
      <c r="D1908" t="str">
        <f t="shared" si="146"/>
        <v/>
      </c>
      <c r="F1908" t="str">
        <f>IF(Sync!$AH1908="","",IF(LEFT(UPPER(TRIM(Sync!$AH1908)),2)="SL",UPPER(TRIM(Sync!$AH1908)),""))</f>
        <v/>
      </c>
      <c r="G1908" t="str">
        <f>IF($F1908="","",IF(Sync!$AE1908="","",IF(ISNUMBER(Sync!$AE1908),IF(AND(Sync!$AE1908&gt;=10000101,Sync!$AE1908&lt;=99991231),INT(Sync!$AE1908/10000),""),IFERROR(VALUE(TRIM(LEFT(Sync!$AE1908,FIND("/",Sync!$AE1908)-1))),""))))</f>
        <v/>
      </c>
      <c r="H1908" t="str">
        <f>IF(OR($F1908="",$G1908=""),"",IF(ISNUMBER(Sync!$AE1908),INT(MOD(Sync!$AE1908,10000)/100),IFERROR(VALUE(TRIM(LEFT(MID(Sync!$AE1908,FIND("/",Sync!$AE1908)+1,20),FIND("/",MID(Sync!$AE1908,FIND("/",Sync!$AE1908)+1,20))-1))),"")))</f>
        <v/>
      </c>
      <c r="I1908" t="str">
        <f>IF(OR($F1908="",$G1908=""),"",IF(ISNUMBER(Sync!$AE1908),MOD(Sync!$AE1908,100),IFERROR(VALUE(TRIM(MID(MID(Sync!$AE1908,FIND("/",Sync!$AE1908)+1,20),FIND("/",MID(Sync!$AE1908,FIND("/",Sync!$AE1908)+1,20))+1,20))),"")))</f>
        <v/>
      </c>
      <c r="J1908" t="str">
        <f t="shared" si="147"/>
        <v/>
      </c>
      <c r="K1908" t="str">
        <f>IF(OR($F1908="",$J1908="",$J1908="نامعتبر"),"",LEFT($J1908,4)&amp;MID($J1908,6,2)&amp;RIGHT($J1908,2)&amp;$N1908&amp;"|"&amp;"2"&amp;RIGHT("00000"&amp;1903,5))</f>
        <v/>
      </c>
      <c r="L1908" t="str">
        <f t="shared" si="148"/>
        <v/>
      </c>
      <c r="M1908" t="str">
        <f t="shared" si="149"/>
        <v/>
      </c>
      <c r="N1908" t="str">
        <f>IF($F1908="","",IF(Sync!$AF1908="","0000",IF(AND(ISNUMBER(Sync!$AF1908),Sync!$AF1908&gt;=0,Sync!$AF1908&lt;1),RIGHT("00"&amp;HOUR(Sync!$AF1908),2)&amp;RIGHT("00"&amp;MINUTE(Sync!$AF1908),2),IFERROR(RIGHT("00"&amp;VALUE(LEFT(Sync!$AF1908,FIND(":",Sync!$AF1908)-1)),2)&amp;RIGHT("00"&amp;VALUE(MID(Sync!$AF1908,FIND(":",Sync!$AF1908)+1,2)),2),"0000"))))</f>
        <v/>
      </c>
    </row>
    <row r="1909" spans="1:14" x14ac:dyDescent="0.2">
      <c r="A1909" t="str">
        <f>IF(OR(Calc!$E1913="",Calc!$E1913="نامعتبر",Calc!$G1913=""),"",Calc!$G1913)</f>
        <v/>
      </c>
      <c r="B1909" t="str">
        <f>IF($A1909="","",LEFT(Calc!$E1913,4)&amp;MID(Calc!$E1913,6,2)&amp;RIGHT(Calc!$E1913,2)&amp;Calc!$Q1913&amp;"|"&amp;"1"&amp;RIGHT("00000"&amp;1904,5))</f>
        <v/>
      </c>
      <c r="C1909" t="str">
        <f t="shared" si="145"/>
        <v/>
      </c>
      <c r="D1909" t="str">
        <f t="shared" si="146"/>
        <v/>
      </c>
      <c r="F1909" t="str">
        <f>IF(Sync!$AH1909="","",IF(LEFT(UPPER(TRIM(Sync!$AH1909)),2)="SL",UPPER(TRIM(Sync!$AH1909)),""))</f>
        <v/>
      </c>
      <c r="G1909" t="str">
        <f>IF($F1909="","",IF(Sync!$AE1909="","",IF(ISNUMBER(Sync!$AE1909),IF(AND(Sync!$AE1909&gt;=10000101,Sync!$AE1909&lt;=99991231),INT(Sync!$AE1909/10000),""),IFERROR(VALUE(TRIM(LEFT(Sync!$AE1909,FIND("/",Sync!$AE1909)-1))),""))))</f>
        <v/>
      </c>
      <c r="H1909" t="str">
        <f>IF(OR($F1909="",$G1909=""),"",IF(ISNUMBER(Sync!$AE1909),INT(MOD(Sync!$AE1909,10000)/100),IFERROR(VALUE(TRIM(LEFT(MID(Sync!$AE1909,FIND("/",Sync!$AE1909)+1,20),FIND("/",MID(Sync!$AE1909,FIND("/",Sync!$AE1909)+1,20))-1))),"")))</f>
        <v/>
      </c>
      <c r="I1909" t="str">
        <f>IF(OR($F1909="",$G1909=""),"",IF(ISNUMBER(Sync!$AE1909),MOD(Sync!$AE1909,100),IFERROR(VALUE(TRIM(MID(MID(Sync!$AE1909,FIND("/",Sync!$AE1909)+1,20),FIND("/",MID(Sync!$AE1909,FIND("/",Sync!$AE1909)+1,20))+1,20))),"")))</f>
        <v/>
      </c>
      <c r="J1909" t="str">
        <f t="shared" si="147"/>
        <v/>
      </c>
      <c r="K1909" t="str">
        <f>IF(OR($F1909="",$J1909="",$J1909="نامعتبر"),"",LEFT($J1909,4)&amp;MID($J1909,6,2)&amp;RIGHT($J1909,2)&amp;$N1909&amp;"|"&amp;"2"&amp;RIGHT("00000"&amp;1904,5))</f>
        <v/>
      </c>
      <c r="L1909" t="str">
        <f t="shared" si="148"/>
        <v/>
      </c>
      <c r="M1909" t="str">
        <f t="shared" si="149"/>
        <v/>
      </c>
      <c r="N1909" t="str">
        <f>IF($F1909="","",IF(Sync!$AF1909="","0000",IF(AND(ISNUMBER(Sync!$AF1909),Sync!$AF1909&gt;=0,Sync!$AF1909&lt;1),RIGHT("00"&amp;HOUR(Sync!$AF1909),2)&amp;RIGHT("00"&amp;MINUTE(Sync!$AF1909),2),IFERROR(RIGHT("00"&amp;VALUE(LEFT(Sync!$AF1909,FIND(":",Sync!$AF1909)-1)),2)&amp;RIGHT("00"&amp;VALUE(MID(Sync!$AF1909,FIND(":",Sync!$AF1909)+1,2)),2),"0000"))))</f>
        <v/>
      </c>
    </row>
    <row r="1910" spans="1:14" x14ac:dyDescent="0.2">
      <c r="A1910" t="str">
        <f>IF(OR(Calc!$E1914="",Calc!$E1914="نامعتبر",Calc!$G1914=""),"",Calc!$G1914)</f>
        <v/>
      </c>
      <c r="B1910" t="str">
        <f>IF($A1910="","",LEFT(Calc!$E1914,4)&amp;MID(Calc!$E1914,6,2)&amp;RIGHT(Calc!$E1914,2)&amp;Calc!$Q1914&amp;"|"&amp;"1"&amp;RIGHT("00000"&amp;1905,5))</f>
        <v/>
      </c>
      <c r="C1910" t="str">
        <f t="shared" si="145"/>
        <v/>
      </c>
      <c r="D1910" t="str">
        <f t="shared" si="146"/>
        <v/>
      </c>
      <c r="F1910" t="str">
        <f>IF(Sync!$AH1910="","",IF(LEFT(UPPER(TRIM(Sync!$AH1910)),2)="SL",UPPER(TRIM(Sync!$AH1910)),""))</f>
        <v/>
      </c>
      <c r="G1910" t="str">
        <f>IF($F1910="","",IF(Sync!$AE1910="","",IF(ISNUMBER(Sync!$AE1910),IF(AND(Sync!$AE1910&gt;=10000101,Sync!$AE1910&lt;=99991231),INT(Sync!$AE1910/10000),""),IFERROR(VALUE(TRIM(LEFT(Sync!$AE1910,FIND("/",Sync!$AE1910)-1))),""))))</f>
        <v/>
      </c>
      <c r="H1910" t="str">
        <f>IF(OR($F1910="",$G1910=""),"",IF(ISNUMBER(Sync!$AE1910),INT(MOD(Sync!$AE1910,10000)/100),IFERROR(VALUE(TRIM(LEFT(MID(Sync!$AE1910,FIND("/",Sync!$AE1910)+1,20),FIND("/",MID(Sync!$AE1910,FIND("/",Sync!$AE1910)+1,20))-1))),"")))</f>
        <v/>
      </c>
      <c r="I1910" t="str">
        <f>IF(OR($F1910="",$G1910=""),"",IF(ISNUMBER(Sync!$AE1910),MOD(Sync!$AE1910,100),IFERROR(VALUE(TRIM(MID(MID(Sync!$AE1910,FIND("/",Sync!$AE1910)+1,20),FIND("/",MID(Sync!$AE1910,FIND("/",Sync!$AE1910)+1,20))+1,20))),"")))</f>
        <v/>
      </c>
      <c r="J1910" t="str">
        <f t="shared" si="147"/>
        <v/>
      </c>
      <c r="K1910" t="str">
        <f>IF(OR($F1910="",$J1910="",$J1910="نامعتبر"),"",LEFT($J1910,4)&amp;MID($J1910,6,2)&amp;RIGHT($J1910,2)&amp;$N1910&amp;"|"&amp;"2"&amp;RIGHT("00000"&amp;1905,5))</f>
        <v/>
      </c>
      <c r="L1910" t="str">
        <f t="shared" si="148"/>
        <v/>
      </c>
      <c r="M1910" t="str">
        <f t="shared" si="149"/>
        <v/>
      </c>
      <c r="N1910" t="str">
        <f>IF($F1910="","",IF(Sync!$AF1910="","0000",IF(AND(ISNUMBER(Sync!$AF1910),Sync!$AF1910&gt;=0,Sync!$AF1910&lt;1),RIGHT("00"&amp;HOUR(Sync!$AF1910),2)&amp;RIGHT("00"&amp;MINUTE(Sync!$AF1910),2),IFERROR(RIGHT("00"&amp;VALUE(LEFT(Sync!$AF1910,FIND(":",Sync!$AF1910)-1)),2)&amp;RIGHT("00"&amp;VALUE(MID(Sync!$AF1910,FIND(":",Sync!$AF1910)+1,2)),2),"0000"))))</f>
        <v/>
      </c>
    </row>
    <row r="1911" spans="1:14" x14ac:dyDescent="0.2">
      <c r="A1911" t="str">
        <f>IF(OR(Calc!$E1915="",Calc!$E1915="نامعتبر",Calc!$G1915=""),"",Calc!$G1915)</f>
        <v/>
      </c>
      <c r="B1911" t="str">
        <f>IF($A1911="","",LEFT(Calc!$E1915,4)&amp;MID(Calc!$E1915,6,2)&amp;RIGHT(Calc!$E1915,2)&amp;Calc!$Q1915&amp;"|"&amp;"1"&amp;RIGHT("00000"&amp;1906,5))</f>
        <v/>
      </c>
      <c r="C1911" t="str">
        <f t="shared" si="145"/>
        <v/>
      </c>
      <c r="D1911" t="str">
        <f t="shared" si="146"/>
        <v/>
      </c>
      <c r="F1911" t="str">
        <f>IF(Sync!$AH1911="","",IF(LEFT(UPPER(TRIM(Sync!$AH1911)),2)="SL",UPPER(TRIM(Sync!$AH1911)),""))</f>
        <v/>
      </c>
      <c r="G1911" t="str">
        <f>IF($F1911="","",IF(Sync!$AE1911="","",IF(ISNUMBER(Sync!$AE1911),IF(AND(Sync!$AE1911&gt;=10000101,Sync!$AE1911&lt;=99991231),INT(Sync!$AE1911/10000),""),IFERROR(VALUE(TRIM(LEFT(Sync!$AE1911,FIND("/",Sync!$AE1911)-1))),""))))</f>
        <v/>
      </c>
      <c r="H1911" t="str">
        <f>IF(OR($F1911="",$G1911=""),"",IF(ISNUMBER(Sync!$AE1911),INT(MOD(Sync!$AE1911,10000)/100),IFERROR(VALUE(TRIM(LEFT(MID(Sync!$AE1911,FIND("/",Sync!$AE1911)+1,20),FIND("/",MID(Sync!$AE1911,FIND("/",Sync!$AE1911)+1,20))-1))),"")))</f>
        <v/>
      </c>
      <c r="I1911" t="str">
        <f>IF(OR($F1911="",$G1911=""),"",IF(ISNUMBER(Sync!$AE1911),MOD(Sync!$AE1911,100),IFERROR(VALUE(TRIM(MID(MID(Sync!$AE1911,FIND("/",Sync!$AE1911)+1,20),FIND("/",MID(Sync!$AE1911,FIND("/",Sync!$AE1911)+1,20))+1,20))),"")))</f>
        <v/>
      </c>
      <c r="J1911" t="str">
        <f t="shared" si="147"/>
        <v/>
      </c>
      <c r="K1911" t="str">
        <f>IF(OR($F1911="",$J1911="",$J1911="نامعتبر"),"",LEFT($J1911,4)&amp;MID($J1911,6,2)&amp;RIGHT($J1911,2)&amp;$N1911&amp;"|"&amp;"2"&amp;RIGHT("00000"&amp;1906,5))</f>
        <v/>
      </c>
      <c r="L1911" t="str">
        <f t="shared" si="148"/>
        <v/>
      </c>
      <c r="M1911" t="str">
        <f t="shared" si="149"/>
        <v/>
      </c>
      <c r="N1911" t="str">
        <f>IF($F1911="","",IF(Sync!$AF1911="","0000",IF(AND(ISNUMBER(Sync!$AF1911),Sync!$AF1911&gt;=0,Sync!$AF1911&lt;1),RIGHT("00"&amp;HOUR(Sync!$AF1911),2)&amp;RIGHT("00"&amp;MINUTE(Sync!$AF1911),2),IFERROR(RIGHT("00"&amp;VALUE(LEFT(Sync!$AF1911,FIND(":",Sync!$AF1911)-1)),2)&amp;RIGHT("00"&amp;VALUE(MID(Sync!$AF1911,FIND(":",Sync!$AF1911)+1,2)),2),"0000"))))</f>
        <v/>
      </c>
    </row>
    <row r="1912" spans="1:14" x14ac:dyDescent="0.2">
      <c r="A1912" t="str">
        <f>IF(OR(Calc!$E1916="",Calc!$E1916="نامعتبر",Calc!$G1916=""),"",Calc!$G1916)</f>
        <v/>
      </c>
      <c r="B1912" t="str">
        <f>IF($A1912="","",LEFT(Calc!$E1916,4)&amp;MID(Calc!$E1916,6,2)&amp;RIGHT(Calc!$E1916,2)&amp;Calc!$Q1916&amp;"|"&amp;"1"&amp;RIGHT("00000"&amp;1907,5))</f>
        <v/>
      </c>
      <c r="C1912" t="str">
        <f t="shared" si="145"/>
        <v/>
      </c>
      <c r="D1912" t="str">
        <f t="shared" si="146"/>
        <v/>
      </c>
      <c r="F1912" t="str">
        <f>IF(Sync!$AH1912="","",IF(LEFT(UPPER(TRIM(Sync!$AH1912)),2)="SL",UPPER(TRIM(Sync!$AH1912)),""))</f>
        <v/>
      </c>
      <c r="G1912" t="str">
        <f>IF($F1912="","",IF(Sync!$AE1912="","",IF(ISNUMBER(Sync!$AE1912),IF(AND(Sync!$AE1912&gt;=10000101,Sync!$AE1912&lt;=99991231),INT(Sync!$AE1912/10000),""),IFERROR(VALUE(TRIM(LEFT(Sync!$AE1912,FIND("/",Sync!$AE1912)-1))),""))))</f>
        <v/>
      </c>
      <c r="H1912" t="str">
        <f>IF(OR($F1912="",$G1912=""),"",IF(ISNUMBER(Sync!$AE1912),INT(MOD(Sync!$AE1912,10000)/100),IFERROR(VALUE(TRIM(LEFT(MID(Sync!$AE1912,FIND("/",Sync!$AE1912)+1,20),FIND("/",MID(Sync!$AE1912,FIND("/",Sync!$AE1912)+1,20))-1))),"")))</f>
        <v/>
      </c>
      <c r="I1912" t="str">
        <f>IF(OR($F1912="",$G1912=""),"",IF(ISNUMBER(Sync!$AE1912),MOD(Sync!$AE1912,100),IFERROR(VALUE(TRIM(MID(MID(Sync!$AE1912,FIND("/",Sync!$AE1912)+1,20),FIND("/",MID(Sync!$AE1912,FIND("/",Sync!$AE1912)+1,20))+1,20))),"")))</f>
        <v/>
      </c>
      <c r="J1912" t="str">
        <f t="shared" si="147"/>
        <v/>
      </c>
      <c r="K1912" t="str">
        <f>IF(OR($F1912="",$J1912="",$J1912="نامعتبر"),"",LEFT($J1912,4)&amp;MID($J1912,6,2)&amp;RIGHT($J1912,2)&amp;$N1912&amp;"|"&amp;"2"&amp;RIGHT("00000"&amp;1907,5))</f>
        <v/>
      </c>
      <c r="L1912" t="str">
        <f t="shared" si="148"/>
        <v/>
      </c>
      <c r="M1912" t="str">
        <f t="shared" si="149"/>
        <v/>
      </c>
      <c r="N1912" t="str">
        <f>IF($F1912="","",IF(Sync!$AF1912="","0000",IF(AND(ISNUMBER(Sync!$AF1912),Sync!$AF1912&gt;=0,Sync!$AF1912&lt;1),RIGHT("00"&amp;HOUR(Sync!$AF1912),2)&amp;RIGHT("00"&amp;MINUTE(Sync!$AF1912),2),IFERROR(RIGHT("00"&amp;VALUE(LEFT(Sync!$AF1912,FIND(":",Sync!$AF1912)-1)),2)&amp;RIGHT("00"&amp;VALUE(MID(Sync!$AF1912,FIND(":",Sync!$AF1912)+1,2)),2),"0000"))))</f>
        <v/>
      </c>
    </row>
    <row r="1913" spans="1:14" x14ac:dyDescent="0.2">
      <c r="A1913" t="str">
        <f>IF(OR(Calc!$E1917="",Calc!$E1917="نامعتبر",Calc!$G1917=""),"",Calc!$G1917)</f>
        <v/>
      </c>
      <c r="B1913" t="str">
        <f>IF($A1913="","",LEFT(Calc!$E1917,4)&amp;MID(Calc!$E1917,6,2)&amp;RIGHT(Calc!$E1917,2)&amp;Calc!$Q1917&amp;"|"&amp;"1"&amp;RIGHT("00000"&amp;1908,5))</f>
        <v/>
      </c>
      <c r="C1913" t="str">
        <f t="shared" si="145"/>
        <v/>
      </c>
      <c r="D1913" t="str">
        <f t="shared" si="146"/>
        <v/>
      </c>
      <c r="F1913" t="str">
        <f>IF(Sync!$AH1913="","",IF(LEFT(UPPER(TRIM(Sync!$AH1913)),2)="SL",UPPER(TRIM(Sync!$AH1913)),""))</f>
        <v/>
      </c>
      <c r="G1913" t="str">
        <f>IF($F1913="","",IF(Sync!$AE1913="","",IF(ISNUMBER(Sync!$AE1913),IF(AND(Sync!$AE1913&gt;=10000101,Sync!$AE1913&lt;=99991231),INT(Sync!$AE1913/10000),""),IFERROR(VALUE(TRIM(LEFT(Sync!$AE1913,FIND("/",Sync!$AE1913)-1))),""))))</f>
        <v/>
      </c>
      <c r="H1913" t="str">
        <f>IF(OR($F1913="",$G1913=""),"",IF(ISNUMBER(Sync!$AE1913),INT(MOD(Sync!$AE1913,10000)/100),IFERROR(VALUE(TRIM(LEFT(MID(Sync!$AE1913,FIND("/",Sync!$AE1913)+1,20),FIND("/",MID(Sync!$AE1913,FIND("/",Sync!$AE1913)+1,20))-1))),"")))</f>
        <v/>
      </c>
      <c r="I1913" t="str">
        <f>IF(OR($F1913="",$G1913=""),"",IF(ISNUMBER(Sync!$AE1913),MOD(Sync!$AE1913,100),IFERROR(VALUE(TRIM(MID(MID(Sync!$AE1913,FIND("/",Sync!$AE1913)+1,20),FIND("/",MID(Sync!$AE1913,FIND("/",Sync!$AE1913)+1,20))+1,20))),"")))</f>
        <v/>
      </c>
      <c r="J1913" t="str">
        <f t="shared" si="147"/>
        <v/>
      </c>
      <c r="K1913" t="str">
        <f>IF(OR($F1913="",$J1913="",$J1913="نامعتبر"),"",LEFT($J1913,4)&amp;MID($J1913,6,2)&amp;RIGHT($J1913,2)&amp;$N1913&amp;"|"&amp;"2"&amp;RIGHT("00000"&amp;1908,5))</f>
        <v/>
      </c>
      <c r="L1913" t="str">
        <f t="shared" si="148"/>
        <v/>
      </c>
      <c r="M1913" t="str">
        <f t="shared" si="149"/>
        <v/>
      </c>
      <c r="N1913" t="str">
        <f>IF($F1913="","",IF(Sync!$AF1913="","0000",IF(AND(ISNUMBER(Sync!$AF1913),Sync!$AF1913&gt;=0,Sync!$AF1913&lt;1),RIGHT("00"&amp;HOUR(Sync!$AF1913),2)&amp;RIGHT("00"&amp;MINUTE(Sync!$AF1913),2),IFERROR(RIGHT("00"&amp;VALUE(LEFT(Sync!$AF1913,FIND(":",Sync!$AF1913)-1)),2)&amp;RIGHT("00"&amp;VALUE(MID(Sync!$AF1913,FIND(":",Sync!$AF1913)+1,2)),2),"0000"))))</f>
        <v/>
      </c>
    </row>
    <row r="1914" spans="1:14" x14ac:dyDescent="0.2">
      <c r="A1914" t="str">
        <f>IF(OR(Calc!$E1918="",Calc!$E1918="نامعتبر",Calc!$G1918=""),"",Calc!$G1918)</f>
        <v/>
      </c>
      <c r="B1914" t="str">
        <f>IF($A1914="","",LEFT(Calc!$E1918,4)&amp;MID(Calc!$E1918,6,2)&amp;RIGHT(Calc!$E1918,2)&amp;Calc!$Q1918&amp;"|"&amp;"1"&amp;RIGHT("00000"&amp;1909,5))</f>
        <v/>
      </c>
      <c r="C1914" t="str">
        <f t="shared" si="145"/>
        <v/>
      </c>
      <c r="D1914" t="str">
        <f t="shared" si="146"/>
        <v/>
      </c>
      <c r="F1914" t="str">
        <f>IF(Sync!$AH1914="","",IF(LEFT(UPPER(TRIM(Sync!$AH1914)),2)="SL",UPPER(TRIM(Sync!$AH1914)),""))</f>
        <v/>
      </c>
      <c r="G1914" t="str">
        <f>IF($F1914="","",IF(Sync!$AE1914="","",IF(ISNUMBER(Sync!$AE1914),IF(AND(Sync!$AE1914&gt;=10000101,Sync!$AE1914&lt;=99991231),INT(Sync!$AE1914/10000),""),IFERROR(VALUE(TRIM(LEFT(Sync!$AE1914,FIND("/",Sync!$AE1914)-1))),""))))</f>
        <v/>
      </c>
      <c r="H1914" t="str">
        <f>IF(OR($F1914="",$G1914=""),"",IF(ISNUMBER(Sync!$AE1914),INT(MOD(Sync!$AE1914,10000)/100),IFERROR(VALUE(TRIM(LEFT(MID(Sync!$AE1914,FIND("/",Sync!$AE1914)+1,20),FIND("/",MID(Sync!$AE1914,FIND("/",Sync!$AE1914)+1,20))-1))),"")))</f>
        <v/>
      </c>
      <c r="I1914" t="str">
        <f>IF(OR($F1914="",$G1914=""),"",IF(ISNUMBER(Sync!$AE1914),MOD(Sync!$AE1914,100),IFERROR(VALUE(TRIM(MID(MID(Sync!$AE1914,FIND("/",Sync!$AE1914)+1,20),FIND("/",MID(Sync!$AE1914,FIND("/",Sync!$AE1914)+1,20))+1,20))),"")))</f>
        <v/>
      </c>
      <c r="J1914" t="str">
        <f t="shared" si="147"/>
        <v/>
      </c>
      <c r="K1914" t="str">
        <f>IF(OR($F1914="",$J1914="",$J1914="نامعتبر"),"",LEFT($J1914,4)&amp;MID($J1914,6,2)&amp;RIGHT($J1914,2)&amp;$N1914&amp;"|"&amp;"2"&amp;RIGHT("00000"&amp;1909,5))</f>
        <v/>
      </c>
      <c r="L1914" t="str">
        <f t="shared" si="148"/>
        <v/>
      </c>
      <c r="M1914" t="str">
        <f t="shared" si="149"/>
        <v/>
      </c>
      <c r="N1914" t="str">
        <f>IF($F1914="","",IF(Sync!$AF1914="","0000",IF(AND(ISNUMBER(Sync!$AF1914),Sync!$AF1914&gt;=0,Sync!$AF1914&lt;1),RIGHT("00"&amp;HOUR(Sync!$AF1914),2)&amp;RIGHT("00"&amp;MINUTE(Sync!$AF1914),2),IFERROR(RIGHT("00"&amp;VALUE(LEFT(Sync!$AF1914,FIND(":",Sync!$AF1914)-1)),2)&amp;RIGHT("00"&amp;VALUE(MID(Sync!$AF1914,FIND(":",Sync!$AF1914)+1,2)),2),"0000"))))</f>
        <v/>
      </c>
    </row>
    <row r="1915" spans="1:14" x14ac:dyDescent="0.2">
      <c r="A1915" t="str">
        <f>IF(OR(Calc!$E1919="",Calc!$E1919="نامعتبر",Calc!$G1919=""),"",Calc!$G1919)</f>
        <v/>
      </c>
      <c r="B1915" t="str">
        <f>IF($A1915="","",LEFT(Calc!$E1919,4)&amp;MID(Calc!$E1919,6,2)&amp;RIGHT(Calc!$E1919,2)&amp;Calc!$Q1919&amp;"|"&amp;"1"&amp;RIGHT("00000"&amp;1910,5))</f>
        <v/>
      </c>
      <c r="C1915" t="str">
        <f t="shared" si="145"/>
        <v/>
      </c>
      <c r="D1915" t="str">
        <f t="shared" si="146"/>
        <v/>
      </c>
      <c r="F1915" t="str">
        <f>IF(Sync!$AH1915="","",IF(LEFT(UPPER(TRIM(Sync!$AH1915)),2)="SL",UPPER(TRIM(Sync!$AH1915)),""))</f>
        <v/>
      </c>
      <c r="G1915" t="str">
        <f>IF($F1915="","",IF(Sync!$AE1915="","",IF(ISNUMBER(Sync!$AE1915),IF(AND(Sync!$AE1915&gt;=10000101,Sync!$AE1915&lt;=99991231),INT(Sync!$AE1915/10000),""),IFERROR(VALUE(TRIM(LEFT(Sync!$AE1915,FIND("/",Sync!$AE1915)-1))),""))))</f>
        <v/>
      </c>
      <c r="H1915" t="str">
        <f>IF(OR($F1915="",$G1915=""),"",IF(ISNUMBER(Sync!$AE1915),INT(MOD(Sync!$AE1915,10000)/100),IFERROR(VALUE(TRIM(LEFT(MID(Sync!$AE1915,FIND("/",Sync!$AE1915)+1,20),FIND("/",MID(Sync!$AE1915,FIND("/",Sync!$AE1915)+1,20))-1))),"")))</f>
        <v/>
      </c>
      <c r="I1915" t="str">
        <f>IF(OR($F1915="",$G1915=""),"",IF(ISNUMBER(Sync!$AE1915),MOD(Sync!$AE1915,100),IFERROR(VALUE(TRIM(MID(MID(Sync!$AE1915,FIND("/",Sync!$AE1915)+1,20),FIND("/",MID(Sync!$AE1915,FIND("/",Sync!$AE1915)+1,20))+1,20))),"")))</f>
        <v/>
      </c>
      <c r="J1915" t="str">
        <f t="shared" si="147"/>
        <v/>
      </c>
      <c r="K1915" t="str">
        <f>IF(OR($F1915="",$J1915="",$J1915="نامعتبر"),"",LEFT($J1915,4)&amp;MID($J1915,6,2)&amp;RIGHT($J1915,2)&amp;$N1915&amp;"|"&amp;"2"&amp;RIGHT("00000"&amp;1910,5))</f>
        <v/>
      </c>
      <c r="L1915" t="str">
        <f t="shared" si="148"/>
        <v/>
      </c>
      <c r="M1915" t="str">
        <f t="shared" si="149"/>
        <v/>
      </c>
      <c r="N1915" t="str">
        <f>IF($F1915="","",IF(Sync!$AF1915="","0000",IF(AND(ISNUMBER(Sync!$AF1915),Sync!$AF1915&gt;=0,Sync!$AF1915&lt;1),RIGHT("00"&amp;HOUR(Sync!$AF1915),2)&amp;RIGHT("00"&amp;MINUTE(Sync!$AF1915),2),IFERROR(RIGHT("00"&amp;VALUE(LEFT(Sync!$AF1915,FIND(":",Sync!$AF1915)-1)),2)&amp;RIGHT("00"&amp;VALUE(MID(Sync!$AF1915,FIND(":",Sync!$AF1915)+1,2)),2),"0000"))))</f>
        <v/>
      </c>
    </row>
    <row r="1916" spans="1:14" x14ac:dyDescent="0.2">
      <c r="A1916" t="str">
        <f>IF(OR(Calc!$E1920="",Calc!$E1920="نامعتبر",Calc!$G1920=""),"",Calc!$G1920)</f>
        <v/>
      </c>
      <c r="B1916" t="str">
        <f>IF($A1916="","",LEFT(Calc!$E1920,4)&amp;MID(Calc!$E1920,6,2)&amp;RIGHT(Calc!$E1920,2)&amp;Calc!$Q1920&amp;"|"&amp;"1"&amp;RIGHT("00000"&amp;1911,5))</f>
        <v/>
      </c>
      <c r="C1916" t="str">
        <f t="shared" si="145"/>
        <v/>
      </c>
      <c r="D1916" t="str">
        <f t="shared" si="146"/>
        <v/>
      </c>
      <c r="F1916" t="str">
        <f>IF(Sync!$AH1916="","",IF(LEFT(UPPER(TRIM(Sync!$AH1916)),2)="SL",UPPER(TRIM(Sync!$AH1916)),""))</f>
        <v/>
      </c>
      <c r="G1916" t="str">
        <f>IF($F1916="","",IF(Sync!$AE1916="","",IF(ISNUMBER(Sync!$AE1916),IF(AND(Sync!$AE1916&gt;=10000101,Sync!$AE1916&lt;=99991231),INT(Sync!$AE1916/10000),""),IFERROR(VALUE(TRIM(LEFT(Sync!$AE1916,FIND("/",Sync!$AE1916)-1))),""))))</f>
        <v/>
      </c>
      <c r="H1916" t="str">
        <f>IF(OR($F1916="",$G1916=""),"",IF(ISNUMBER(Sync!$AE1916),INT(MOD(Sync!$AE1916,10000)/100),IFERROR(VALUE(TRIM(LEFT(MID(Sync!$AE1916,FIND("/",Sync!$AE1916)+1,20),FIND("/",MID(Sync!$AE1916,FIND("/",Sync!$AE1916)+1,20))-1))),"")))</f>
        <v/>
      </c>
      <c r="I1916" t="str">
        <f>IF(OR($F1916="",$G1916=""),"",IF(ISNUMBER(Sync!$AE1916),MOD(Sync!$AE1916,100),IFERROR(VALUE(TRIM(MID(MID(Sync!$AE1916,FIND("/",Sync!$AE1916)+1,20),FIND("/",MID(Sync!$AE1916,FIND("/",Sync!$AE1916)+1,20))+1,20))),"")))</f>
        <v/>
      </c>
      <c r="J1916" t="str">
        <f t="shared" si="147"/>
        <v/>
      </c>
      <c r="K1916" t="str">
        <f>IF(OR($F1916="",$J1916="",$J1916="نامعتبر"),"",LEFT($J1916,4)&amp;MID($J1916,6,2)&amp;RIGHT($J1916,2)&amp;$N1916&amp;"|"&amp;"2"&amp;RIGHT("00000"&amp;1911,5))</f>
        <v/>
      </c>
      <c r="L1916" t="str">
        <f t="shared" si="148"/>
        <v/>
      </c>
      <c r="M1916" t="str">
        <f t="shared" si="149"/>
        <v/>
      </c>
      <c r="N1916" t="str">
        <f>IF($F1916="","",IF(Sync!$AF1916="","0000",IF(AND(ISNUMBER(Sync!$AF1916),Sync!$AF1916&gt;=0,Sync!$AF1916&lt;1),RIGHT("00"&amp;HOUR(Sync!$AF1916),2)&amp;RIGHT("00"&amp;MINUTE(Sync!$AF1916),2),IFERROR(RIGHT("00"&amp;VALUE(LEFT(Sync!$AF1916,FIND(":",Sync!$AF1916)-1)),2)&amp;RIGHT("00"&amp;VALUE(MID(Sync!$AF1916,FIND(":",Sync!$AF1916)+1,2)),2),"0000"))))</f>
        <v/>
      </c>
    </row>
    <row r="1917" spans="1:14" x14ac:dyDescent="0.2">
      <c r="A1917" t="str">
        <f>IF(OR(Calc!$E1921="",Calc!$E1921="نامعتبر",Calc!$G1921=""),"",Calc!$G1921)</f>
        <v/>
      </c>
      <c r="B1917" t="str">
        <f>IF($A1917="","",LEFT(Calc!$E1921,4)&amp;MID(Calc!$E1921,6,2)&amp;RIGHT(Calc!$E1921,2)&amp;Calc!$Q1921&amp;"|"&amp;"1"&amp;RIGHT("00000"&amp;1912,5))</f>
        <v/>
      </c>
      <c r="C1917" t="str">
        <f t="shared" si="145"/>
        <v/>
      </c>
      <c r="D1917" t="str">
        <f t="shared" si="146"/>
        <v/>
      </c>
      <c r="F1917" t="str">
        <f>IF(Sync!$AH1917="","",IF(LEFT(UPPER(TRIM(Sync!$AH1917)),2)="SL",UPPER(TRIM(Sync!$AH1917)),""))</f>
        <v/>
      </c>
      <c r="G1917" t="str">
        <f>IF($F1917="","",IF(Sync!$AE1917="","",IF(ISNUMBER(Sync!$AE1917),IF(AND(Sync!$AE1917&gt;=10000101,Sync!$AE1917&lt;=99991231),INT(Sync!$AE1917/10000),""),IFERROR(VALUE(TRIM(LEFT(Sync!$AE1917,FIND("/",Sync!$AE1917)-1))),""))))</f>
        <v/>
      </c>
      <c r="H1917" t="str">
        <f>IF(OR($F1917="",$G1917=""),"",IF(ISNUMBER(Sync!$AE1917),INT(MOD(Sync!$AE1917,10000)/100),IFERROR(VALUE(TRIM(LEFT(MID(Sync!$AE1917,FIND("/",Sync!$AE1917)+1,20),FIND("/",MID(Sync!$AE1917,FIND("/",Sync!$AE1917)+1,20))-1))),"")))</f>
        <v/>
      </c>
      <c r="I1917" t="str">
        <f>IF(OR($F1917="",$G1917=""),"",IF(ISNUMBER(Sync!$AE1917),MOD(Sync!$AE1917,100),IFERROR(VALUE(TRIM(MID(MID(Sync!$AE1917,FIND("/",Sync!$AE1917)+1,20),FIND("/",MID(Sync!$AE1917,FIND("/",Sync!$AE1917)+1,20))+1,20))),"")))</f>
        <v/>
      </c>
      <c r="J1917" t="str">
        <f t="shared" si="147"/>
        <v/>
      </c>
      <c r="K1917" t="str">
        <f>IF(OR($F1917="",$J1917="",$J1917="نامعتبر"),"",LEFT($J1917,4)&amp;MID($J1917,6,2)&amp;RIGHT($J1917,2)&amp;$N1917&amp;"|"&amp;"2"&amp;RIGHT("00000"&amp;1912,5))</f>
        <v/>
      </c>
      <c r="L1917" t="str">
        <f t="shared" si="148"/>
        <v/>
      </c>
      <c r="M1917" t="str">
        <f t="shared" si="149"/>
        <v/>
      </c>
      <c r="N1917" t="str">
        <f>IF($F1917="","",IF(Sync!$AF1917="","0000",IF(AND(ISNUMBER(Sync!$AF1917),Sync!$AF1917&gt;=0,Sync!$AF1917&lt;1),RIGHT("00"&amp;HOUR(Sync!$AF1917),2)&amp;RIGHT("00"&amp;MINUTE(Sync!$AF1917),2),IFERROR(RIGHT("00"&amp;VALUE(LEFT(Sync!$AF1917,FIND(":",Sync!$AF1917)-1)),2)&amp;RIGHT("00"&amp;VALUE(MID(Sync!$AF1917,FIND(":",Sync!$AF1917)+1,2)),2),"0000"))))</f>
        <v/>
      </c>
    </row>
    <row r="1918" spans="1:14" x14ac:dyDescent="0.2">
      <c r="A1918" t="str">
        <f>IF(OR(Calc!$E1922="",Calc!$E1922="نامعتبر",Calc!$G1922=""),"",Calc!$G1922)</f>
        <v/>
      </c>
      <c r="B1918" t="str">
        <f>IF($A1918="","",LEFT(Calc!$E1922,4)&amp;MID(Calc!$E1922,6,2)&amp;RIGHT(Calc!$E1922,2)&amp;Calc!$Q1922&amp;"|"&amp;"1"&amp;RIGHT("00000"&amp;1913,5))</f>
        <v/>
      </c>
      <c r="C1918" t="str">
        <f t="shared" si="145"/>
        <v/>
      </c>
      <c r="D1918" t="str">
        <f t="shared" si="146"/>
        <v/>
      </c>
      <c r="F1918" t="str">
        <f>IF(Sync!$AH1918="","",IF(LEFT(UPPER(TRIM(Sync!$AH1918)),2)="SL",UPPER(TRIM(Sync!$AH1918)),""))</f>
        <v/>
      </c>
      <c r="G1918" t="str">
        <f>IF($F1918="","",IF(Sync!$AE1918="","",IF(ISNUMBER(Sync!$AE1918),IF(AND(Sync!$AE1918&gt;=10000101,Sync!$AE1918&lt;=99991231),INT(Sync!$AE1918/10000),""),IFERROR(VALUE(TRIM(LEFT(Sync!$AE1918,FIND("/",Sync!$AE1918)-1))),""))))</f>
        <v/>
      </c>
      <c r="H1918" t="str">
        <f>IF(OR($F1918="",$G1918=""),"",IF(ISNUMBER(Sync!$AE1918),INT(MOD(Sync!$AE1918,10000)/100),IFERROR(VALUE(TRIM(LEFT(MID(Sync!$AE1918,FIND("/",Sync!$AE1918)+1,20),FIND("/",MID(Sync!$AE1918,FIND("/",Sync!$AE1918)+1,20))-1))),"")))</f>
        <v/>
      </c>
      <c r="I1918" t="str">
        <f>IF(OR($F1918="",$G1918=""),"",IF(ISNUMBER(Sync!$AE1918),MOD(Sync!$AE1918,100),IFERROR(VALUE(TRIM(MID(MID(Sync!$AE1918,FIND("/",Sync!$AE1918)+1,20),FIND("/",MID(Sync!$AE1918,FIND("/",Sync!$AE1918)+1,20))+1,20))),"")))</f>
        <v/>
      </c>
      <c r="J1918" t="str">
        <f t="shared" si="147"/>
        <v/>
      </c>
      <c r="K1918" t="str">
        <f>IF(OR($F1918="",$J1918="",$J1918="نامعتبر"),"",LEFT($J1918,4)&amp;MID($J1918,6,2)&amp;RIGHT($J1918,2)&amp;$N1918&amp;"|"&amp;"2"&amp;RIGHT("00000"&amp;1913,5))</f>
        <v/>
      </c>
      <c r="L1918" t="str">
        <f t="shared" si="148"/>
        <v/>
      </c>
      <c r="M1918" t="str">
        <f t="shared" si="149"/>
        <v/>
      </c>
      <c r="N1918" t="str">
        <f>IF($F1918="","",IF(Sync!$AF1918="","0000",IF(AND(ISNUMBER(Sync!$AF1918),Sync!$AF1918&gt;=0,Sync!$AF1918&lt;1),RIGHT("00"&amp;HOUR(Sync!$AF1918),2)&amp;RIGHT("00"&amp;MINUTE(Sync!$AF1918),2),IFERROR(RIGHT("00"&amp;VALUE(LEFT(Sync!$AF1918,FIND(":",Sync!$AF1918)-1)),2)&amp;RIGHT("00"&amp;VALUE(MID(Sync!$AF1918,FIND(":",Sync!$AF1918)+1,2)),2),"0000"))))</f>
        <v/>
      </c>
    </row>
    <row r="1919" spans="1:14" x14ac:dyDescent="0.2">
      <c r="A1919" t="str">
        <f>IF(OR(Calc!$E1923="",Calc!$E1923="نامعتبر",Calc!$G1923=""),"",Calc!$G1923)</f>
        <v/>
      </c>
      <c r="B1919" t="str">
        <f>IF($A1919="","",LEFT(Calc!$E1923,4)&amp;MID(Calc!$E1923,6,2)&amp;RIGHT(Calc!$E1923,2)&amp;Calc!$Q1923&amp;"|"&amp;"1"&amp;RIGHT("00000"&amp;1914,5))</f>
        <v/>
      </c>
      <c r="C1919" t="str">
        <f t="shared" si="145"/>
        <v/>
      </c>
      <c r="D1919" t="str">
        <f t="shared" si="146"/>
        <v/>
      </c>
      <c r="F1919" t="str">
        <f>IF(Sync!$AH1919="","",IF(LEFT(UPPER(TRIM(Sync!$AH1919)),2)="SL",UPPER(TRIM(Sync!$AH1919)),""))</f>
        <v/>
      </c>
      <c r="G1919" t="str">
        <f>IF($F1919="","",IF(Sync!$AE1919="","",IF(ISNUMBER(Sync!$AE1919),IF(AND(Sync!$AE1919&gt;=10000101,Sync!$AE1919&lt;=99991231),INT(Sync!$AE1919/10000),""),IFERROR(VALUE(TRIM(LEFT(Sync!$AE1919,FIND("/",Sync!$AE1919)-1))),""))))</f>
        <v/>
      </c>
      <c r="H1919" t="str">
        <f>IF(OR($F1919="",$G1919=""),"",IF(ISNUMBER(Sync!$AE1919),INT(MOD(Sync!$AE1919,10000)/100),IFERROR(VALUE(TRIM(LEFT(MID(Sync!$AE1919,FIND("/",Sync!$AE1919)+1,20),FIND("/",MID(Sync!$AE1919,FIND("/",Sync!$AE1919)+1,20))-1))),"")))</f>
        <v/>
      </c>
      <c r="I1919" t="str">
        <f>IF(OR($F1919="",$G1919=""),"",IF(ISNUMBER(Sync!$AE1919),MOD(Sync!$AE1919,100),IFERROR(VALUE(TRIM(MID(MID(Sync!$AE1919,FIND("/",Sync!$AE1919)+1,20),FIND("/",MID(Sync!$AE1919,FIND("/",Sync!$AE1919)+1,20))+1,20))),"")))</f>
        <v/>
      </c>
      <c r="J1919" t="str">
        <f t="shared" si="147"/>
        <v/>
      </c>
      <c r="K1919" t="str">
        <f>IF(OR($F1919="",$J1919="",$J1919="نامعتبر"),"",LEFT($J1919,4)&amp;MID($J1919,6,2)&amp;RIGHT($J1919,2)&amp;$N1919&amp;"|"&amp;"2"&amp;RIGHT("00000"&amp;1914,5))</f>
        <v/>
      </c>
      <c r="L1919" t="str">
        <f t="shared" si="148"/>
        <v/>
      </c>
      <c r="M1919" t="str">
        <f t="shared" si="149"/>
        <v/>
      </c>
      <c r="N1919" t="str">
        <f>IF($F1919="","",IF(Sync!$AF1919="","0000",IF(AND(ISNUMBER(Sync!$AF1919),Sync!$AF1919&gt;=0,Sync!$AF1919&lt;1),RIGHT("00"&amp;HOUR(Sync!$AF1919),2)&amp;RIGHT("00"&amp;MINUTE(Sync!$AF1919),2),IFERROR(RIGHT("00"&amp;VALUE(LEFT(Sync!$AF1919,FIND(":",Sync!$AF1919)-1)),2)&amp;RIGHT("00"&amp;VALUE(MID(Sync!$AF1919,FIND(":",Sync!$AF1919)+1,2)),2),"0000"))))</f>
        <v/>
      </c>
    </row>
    <row r="1920" spans="1:14" x14ac:dyDescent="0.2">
      <c r="A1920" t="str">
        <f>IF(OR(Calc!$E1924="",Calc!$E1924="نامعتبر",Calc!$G1924=""),"",Calc!$G1924)</f>
        <v/>
      </c>
      <c r="B1920" t="str">
        <f>IF($A1920="","",LEFT(Calc!$E1924,4)&amp;MID(Calc!$E1924,6,2)&amp;RIGHT(Calc!$E1924,2)&amp;Calc!$Q1924&amp;"|"&amp;"1"&amp;RIGHT("00000"&amp;1915,5))</f>
        <v/>
      </c>
      <c r="C1920" t="str">
        <f t="shared" si="145"/>
        <v/>
      </c>
      <c r="D1920" t="str">
        <f t="shared" si="146"/>
        <v/>
      </c>
      <c r="F1920" t="str">
        <f>IF(Sync!$AH1920="","",IF(LEFT(UPPER(TRIM(Sync!$AH1920)),2)="SL",UPPER(TRIM(Sync!$AH1920)),""))</f>
        <v/>
      </c>
      <c r="G1920" t="str">
        <f>IF($F1920="","",IF(Sync!$AE1920="","",IF(ISNUMBER(Sync!$AE1920),IF(AND(Sync!$AE1920&gt;=10000101,Sync!$AE1920&lt;=99991231),INT(Sync!$AE1920/10000),""),IFERROR(VALUE(TRIM(LEFT(Sync!$AE1920,FIND("/",Sync!$AE1920)-1))),""))))</f>
        <v/>
      </c>
      <c r="H1920" t="str">
        <f>IF(OR($F1920="",$G1920=""),"",IF(ISNUMBER(Sync!$AE1920),INT(MOD(Sync!$AE1920,10000)/100),IFERROR(VALUE(TRIM(LEFT(MID(Sync!$AE1920,FIND("/",Sync!$AE1920)+1,20),FIND("/",MID(Sync!$AE1920,FIND("/",Sync!$AE1920)+1,20))-1))),"")))</f>
        <v/>
      </c>
      <c r="I1920" t="str">
        <f>IF(OR($F1920="",$G1920=""),"",IF(ISNUMBER(Sync!$AE1920),MOD(Sync!$AE1920,100),IFERROR(VALUE(TRIM(MID(MID(Sync!$AE1920,FIND("/",Sync!$AE1920)+1,20),FIND("/",MID(Sync!$AE1920,FIND("/",Sync!$AE1920)+1,20))+1,20))),"")))</f>
        <v/>
      </c>
      <c r="J1920" t="str">
        <f t="shared" si="147"/>
        <v/>
      </c>
      <c r="K1920" t="str">
        <f>IF(OR($F1920="",$J1920="",$J1920="نامعتبر"),"",LEFT($J1920,4)&amp;MID($J1920,6,2)&amp;RIGHT($J1920,2)&amp;$N1920&amp;"|"&amp;"2"&amp;RIGHT("00000"&amp;1915,5))</f>
        <v/>
      </c>
      <c r="L1920" t="str">
        <f t="shared" si="148"/>
        <v/>
      </c>
      <c r="M1920" t="str">
        <f t="shared" si="149"/>
        <v/>
      </c>
      <c r="N1920" t="str">
        <f>IF($F1920="","",IF(Sync!$AF1920="","0000",IF(AND(ISNUMBER(Sync!$AF1920),Sync!$AF1920&gt;=0,Sync!$AF1920&lt;1),RIGHT("00"&amp;HOUR(Sync!$AF1920),2)&amp;RIGHT("00"&amp;MINUTE(Sync!$AF1920),2),IFERROR(RIGHT("00"&amp;VALUE(LEFT(Sync!$AF1920,FIND(":",Sync!$AF1920)-1)),2)&amp;RIGHT("00"&amp;VALUE(MID(Sync!$AF1920,FIND(":",Sync!$AF1920)+1,2)),2),"0000"))))</f>
        <v/>
      </c>
    </row>
    <row r="1921" spans="1:14" x14ac:dyDescent="0.2">
      <c r="A1921" t="str">
        <f>IF(OR(Calc!$E1925="",Calc!$E1925="نامعتبر",Calc!$G1925=""),"",Calc!$G1925)</f>
        <v/>
      </c>
      <c r="B1921" t="str">
        <f>IF($A1921="","",LEFT(Calc!$E1925,4)&amp;MID(Calc!$E1925,6,2)&amp;RIGHT(Calc!$E1925,2)&amp;Calc!$Q1925&amp;"|"&amp;"1"&amp;RIGHT("00000"&amp;1916,5))</f>
        <v/>
      </c>
      <c r="C1921" t="str">
        <f t="shared" si="145"/>
        <v/>
      </c>
      <c r="D1921" t="str">
        <f t="shared" si="146"/>
        <v/>
      </c>
      <c r="F1921" t="str">
        <f>IF(Sync!$AH1921="","",IF(LEFT(UPPER(TRIM(Sync!$AH1921)),2)="SL",UPPER(TRIM(Sync!$AH1921)),""))</f>
        <v/>
      </c>
      <c r="G1921" t="str">
        <f>IF($F1921="","",IF(Sync!$AE1921="","",IF(ISNUMBER(Sync!$AE1921),IF(AND(Sync!$AE1921&gt;=10000101,Sync!$AE1921&lt;=99991231),INT(Sync!$AE1921/10000),""),IFERROR(VALUE(TRIM(LEFT(Sync!$AE1921,FIND("/",Sync!$AE1921)-1))),""))))</f>
        <v/>
      </c>
      <c r="H1921" t="str">
        <f>IF(OR($F1921="",$G1921=""),"",IF(ISNUMBER(Sync!$AE1921),INT(MOD(Sync!$AE1921,10000)/100),IFERROR(VALUE(TRIM(LEFT(MID(Sync!$AE1921,FIND("/",Sync!$AE1921)+1,20),FIND("/",MID(Sync!$AE1921,FIND("/",Sync!$AE1921)+1,20))-1))),"")))</f>
        <v/>
      </c>
      <c r="I1921" t="str">
        <f>IF(OR($F1921="",$G1921=""),"",IF(ISNUMBER(Sync!$AE1921),MOD(Sync!$AE1921,100),IFERROR(VALUE(TRIM(MID(MID(Sync!$AE1921,FIND("/",Sync!$AE1921)+1,20),FIND("/",MID(Sync!$AE1921,FIND("/",Sync!$AE1921)+1,20))+1,20))),"")))</f>
        <v/>
      </c>
      <c r="J1921" t="str">
        <f t="shared" si="147"/>
        <v/>
      </c>
      <c r="K1921" t="str">
        <f>IF(OR($F1921="",$J1921="",$J1921="نامعتبر"),"",LEFT($J1921,4)&amp;MID($J1921,6,2)&amp;RIGHT($J1921,2)&amp;$N1921&amp;"|"&amp;"2"&amp;RIGHT("00000"&amp;1916,5))</f>
        <v/>
      </c>
      <c r="L1921" t="str">
        <f t="shared" si="148"/>
        <v/>
      </c>
      <c r="M1921" t="str">
        <f t="shared" si="149"/>
        <v/>
      </c>
      <c r="N1921" t="str">
        <f>IF($F1921="","",IF(Sync!$AF1921="","0000",IF(AND(ISNUMBER(Sync!$AF1921),Sync!$AF1921&gt;=0,Sync!$AF1921&lt;1),RIGHT("00"&amp;HOUR(Sync!$AF1921),2)&amp;RIGHT("00"&amp;MINUTE(Sync!$AF1921),2),IFERROR(RIGHT("00"&amp;VALUE(LEFT(Sync!$AF1921,FIND(":",Sync!$AF1921)-1)),2)&amp;RIGHT("00"&amp;VALUE(MID(Sync!$AF1921,FIND(":",Sync!$AF1921)+1,2)),2),"0000"))))</f>
        <v/>
      </c>
    </row>
    <row r="1922" spans="1:14" x14ac:dyDescent="0.2">
      <c r="A1922" t="str">
        <f>IF(OR(Calc!$E1926="",Calc!$E1926="نامعتبر",Calc!$G1926=""),"",Calc!$G1926)</f>
        <v/>
      </c>
      <c r="B1922" t="str">
        <f>IF($A1922="","",LEFT(Calc!$E1926,4)&amp;MID(Calc!$E1926,6,2)&amp;RIGHT(Calc!$E1926,2)&amp;Calc!$Q1926&amp;"|"&amp;"1"&amp;RIGHT("00000"&amp;1917,5))</f>
        <v/>
      </c>
      <c r="C1922" t="str">
        <f t="shared" si="145"/>
        <v/>
      </c>
      <c r="D1922" t="str">
        <f t="shared" si="146"/>
        <v/>
      </c>
      <c r="F1922" t="str">
        <f>IF(Sync!$AH1922="","",IF(LEFT(UPPER(TRIM(Sync!$AH1922)),2)="SL",UPPER(TRIM(Sync!$AH1922)),""))</f>
        <v/>
      </c>
      <c r="G1922" t="str">
        <f>IF($F1922="","",IF(Sync!$AE1922="","",IF(ISNUMBER(Sync!$AE1922),IF(AND(Sync!$AE1922&gt;=10000101,Sync!$AE1922&lt;=99991231),INT(Sync!$AE1922/10000),""),IFERROR(VALUE(TRIM(LEFT(Sync!$AE1922,FIND("/",Sync!$AE1922)-1))),""))))</f>
        <v/>
      </c>
      <c r="H1922" t="str">
        <f>IF(OR($F1922="",$G1922=""),"",IF(ISNUMBER(Sync!$AE1922),INT(MOD(Sync!$AE1922,10000)/100),IFERROR(VALUE(TRIM(LEFT(MID(Sync!$AE1922,FIND("/",Sync!$AE1922)+1,20),FIND("/",MID(Sync!$AE1922,FIND("/",Sync!$AE1922)+1,20))-1))),"")))</f>
        <v/>
      </c>
      <c r="I1922" t="str">
        <f>IF(OR($F1922="",$G1922=""),"",IF(ISNUMBER(Sync!$AE1922),MOD(Sync!$AE1922,100),IFERROR(VALUE(TRIM(MID(MID(Sync!$AE1922,FIND("/",Sync!$AE1922)+1,20),FIND("/",MID(Sync!$AE1922,FIND("/",Sync!$AE1922)+1,20))+1,20))),"")))</f>
        <v/>
      </c>
      <c r="J1922" t="str">
        <f t="shared" si="147"/>
        <v/>
      </c>
      <c r="K1922" t="str">
        <f>IF(OR($F1922="",$J1922="",$J1922="نامعتبر"),"",LEFT($J1922,4)&amp;MID($J1922,6,2)&amp;RIGHT($J1922,2)&amp;$N1922&amp;"|"&amp;"2"&amp;RIGHT("00000"&amp;1917,5))</f>
        <v/>
      </c>
      <c r="L1922" t="str">
        <f t="shared" si="148"/>
        <v/>
      </c>
      <c r="M1922" t="str">
        <f t="shared" si="149"/>
        <v/>
      </c>
      <c r="N1922" t="str">
        <f>IF($F1922="","",IF(Sync!$AF1922="","0000",IF(AND(ISNUMBER(Sync!$AF1922),Sync!$AF1922&gt;=0,Sync!$AF1922&lt;1),RIGHT("00"&amp;HOUR(Sync!$AF1922),2)&amp;RIGHT("00"&amp;MINUTE(Sync!$AF1922),2),IFERROR(RIGHT("00"&amp;VALUE(LEFT(Sync!$AF1922,FIND(":",Sync!$AF1922)-1)),2)&amp;RIGHT("00"&amp;VALUE(MID(Sync!$AF1922,FIND(":",Sync!$AF1922)+1,2)),2),"0000"))))</f>
        <v/>
      </c>
    </row>
    <row r="1923" spans="1:14" x14ac:dyDescent="0.2">
      <c r="A1923" t="str">
        <f>IF(OR(Calc!$E1927="",Calc!$E1927="نامعتبر",Calc!$G1927=""),"",Calc!$G1927)</f>
        <v/>
      </c>
      <c r="B1923" t="str">
        <f>IF($A1923="","",LEFT(Calc!$E1927,4)&amp;MID(Calc!$E1927,6,2)&amp;RIGHT(Calc!$E1927,2)&amp;Calc!$Q1927&amp;"|"&amp;"1"&amp;RIGHT("00000"&amp;1918,5))</f>
        <v/>
      </c>
      <c r="C1923" t="str">
        <f t="shared" si="145"/>
        <v/>
      </c>
      <c r="D1923" t="str">
        <f t="shared" si="146"/>
        <v/>
      </c>
      <c r="F1923" t="str">
        <f>IF(Sync!$AH1923="","",IF(LEFT(UPPER(TRIM(Sync!$AH1923)),2)="SL",UPPER(TRIM(Sync!$AH1923)),""))</f>
        <v/>
      </c>
      <c r="G1923" t="str">
        <f>IF($F1923="","",IF(Sync!$AE1923="","",IF(ISNUMBER(Sync!$AE1923),IF(AND(Sync!$AE1923&gt;=10000101,Sync!$AE1923&lt;=99991231),INT(Sync!$AE1923/10000),""),IFERROR(VALUE(TRIM(LEFT(Sync!$AE1923,FIND("/",Sync!$AE1923)-1))),""))))</f>
        <v/>
      </c>
      <c r="H1923" t="str">
        <f>IF(OR($F1923="",$G1923=""),"",IF(ISNUMBER(Sync!$AE1923),INT(MOD(Sync!$AE1923,10000)/100),IFERROR(VALUE(TRIM(LEFT(MID(Sync!$AE1923,FIND("/",Sync!$AE1923)+1,20),FIND("/",MID(Sync!$AE1923,FIND("/",Sync!$AE1923)+1,20))-1))),"")))</f>
        <v/>
      </c>
      <c r="I1923" t="str">
        <f>IF(OR($F1923="",$G1923=""),"",IF(ISNUMBER(Sync!$AE1923),MOD(Sync!$AE1923,100),IFERROR(VALUE(TRIM(MID(MID(Sync!$AE1923,FIND("/",Sync!$AE1923)+1,20),FIND("/",MID(Sync!$AE1923,FIND("/",Sync!$AE1923)+1,20))+1,20))),"")))</f>
        <v/>
      </c>
      <c r="J1923" t="str">
        <f t="shared" si="147"/>
        <v/>
      </c>
      <c r="K1923" t="str">
        <f>IF(OR($F1923="",$J1923="",$J1923="نامعتبر"),"",LEFT($J1923,4)&amp;MID($J1923,6,2)&amp;RIGHT($J1923,2)&amp;$N1923&amp;"|"&amp;"2"&amp;RIGHT("00000"&amp;1918,5))</f>
        <v/>
      </c>
      <c r="L1923" t="str">
        <f t="shared" si="148"/>
        <v/>
      </c>
      <c r="M1923" t="str">
        <f t="shared" si="149"/>
        <v/>
      </c>
      <c r="N1923" t="str">
        <f>IF($F1923="","",IF(Sync!$AF1923="","0000",IF(AND(ISNUMBER(Sync!$AF1923),Sync!$AF1923&gt;=0,Sync!$AF1923&lt;1),RIGHT("00"&amp;HOUR(Sync!$AF1923),2)&amp;RIGHT("00"&amp;MINUTE(Sync!$AF1923),2),IFERROR(RIGHT("00"&amp;VALUE(LEFT(Sync!$AF1923,FIND(":",Sync!$AF1923)-1)),2)&amp;RIGHT("00"&amp;VALUE(MID(Sync!$AF1923,FIND(":",Sync!$AF1923)+1,2)),2),"0000"))))</f>
        <v/>
      </c>
    </row>
    <row r="1924" spans="1:14" x14ac:dyDescent="0.2">
      <c r="A1924" t="str">
        <f>IF(OR(Calc!$E1928="",Calc!$E1928="نامعتبر",Calc!$G1928=""),"",Calc!$G1928)</f>
        <v/>
      </c>
      <c r="B1924" t="str">
        <f>IF($A1924="","",LEFT(Calc!$E1928,4)&amp;MID(Calc!$E1928,6,2)&amp;RIGHT(Calc!$E1928,2)&amp;Calc!$Q1928&amp;"|"&amp;"1"&amp;RIGHT("00000"&amp;1919,5))</f>
        <v/>
      </c>
      <c r="C1924" t="str">
        <f t="shared" si="145"/>
        <v/>
      </c>
      <c r="D1924" t="str">
        <f t="shared" si="146"/>
        <v/>
      </c>
      <c r="F1924" t="str">
        <f>IF(Sync!$AH1924="","",IF(LEFT(UPPER(TRIM(Sync!$AH1924)),2)="SL",UPPER(TRIM(Sync!$AH1924)),""))</f>
        <v/>
      </c>
      <c r="G1924" t="str">
        <f>IF($F1924="","",IF(Sync!$AE1924="","",IF(ISNUMBER(Sync!$AE1924),IF(AND(Sync!$AE1924&gt;=10000101,Sync!$AE1924&lt;=99991231),INT(Sync!$AE1924/10000),""),IFERROR(VALUE(TRIM(LEFT(Sync!$AE1924,FIND("/",Sync!$AE1924)-1))),""))))</f>
        <v/>
      </c>
      <c r="H1924" t="str">
        <f>IF(OR($F1924="",$G1924=""),"",IF(ISNUMBER(Sync!$AE1924),INT(MOD(Sync!$AE1924,10000)/100),IFERROR(VALUE(TRIM(LEFT(MID(Sync!$AE1924,FIND("/",Sync!$AE1924)+1,20),FIND("/",MID(Sync!$AE1924,FIND("/",Sync!$AE1924)+1,20))-1))),"")))</f>
        <v/>
      </c>
      <c r="I1924" t="str">
        <f>IF(OR($F1924="",$G1924=""),"",IF(ISNUMBER(Sync!$AE1924),MOD(Sync!$AE1924,100),IFERROR(VALUE(TRIM(MID(MID(Sync!$AE1924,FIND("/",Sync!$AE1924)+1,20),FIND("/",MID(Sync!$AE1924,FIND("/",Sync!$AE1924)+1,20))+1,20))),"")))</f>
        <v/>
      </c>
      <c r="J1924" t="str">
        <f t="shared" si="147"/>
        <v/>
      </c>
      <c r="K1924" t="str">
        <f>IF(OR($F1924="",$J1924="",$J1924="نامعتبر"),"",LEFT($J1924,4)&amp;MID($J1924,6,2)&amp;RIGHT($J1924,2)&amp;$N1924&amp;"|"&amp;"2"&amp;RIGHT("00000"&amp;1919,5))</f>
        <v/>
      </c>
      <c r="L1924" t="str">
        <f t="shared" si="148"/>
        <v/>
      </c>
      <c r="M1924" t="str">
        <f t="shared" si="149"/>
        <v/>
      </c>
      <c r="N1924" t="str">
        <f>IF($F1924="","",IF(Sync!$AF1924="","0000",IF(AND(ISNUMBER(Sync!$AF1924),Sync!$AF1924&gt;=0,Sync!$AF1924&lt;1),RIGHT("00"&amp;HOUR(Sync!$AF1924),2)&amp;RIGHT("00"&amp;MINUTE(Sync!$AF1924),2),IFERROR(RIGHT("00"&amp;VALUE(LEFT(Sync!$AF1924,FIND(":",Sync!$AF1924)-1)),2)&amp;RIGHT("00"&amp;VALUE(MID(Sync!$AF1924,FIND(":",Sync!$AF1924)+1,2)),2),"0000"))))</f>
        <v/>
      </c>
    </row>
    <row r="1925" spans="1:14" x14ac:dyDescent="0.2">
      <c r="A1925" t="str">
        <f>IF(OR(Calc!$E1929="",Calc!$E1929="نامعتبر",Calc!$G1929=""),"",Calc!$G1929)</f>
        <v/>
      </c>
      <c r="B1925" t="str">
        <f>IF($A1925="","",LEFT(Calc!$E1929,4)&amp;MID(Calc!$E1929,6,2)&amp;RIGHT(Calc!$E1929,2)&amp;Calc!$Q1929&amp;"|"&amp;"1"&amp;RIGHT("00000"&amp;1920,5))</f>
        <v/>
      </c>
      <c r="C1925" t="str">
        <f t="shared" si="145"/>
        <v/>
      </c>
      <c r="D1925" t="str">
        <f t="shared" si="146"/>
        <v/>
      </c>
      <c r="F1925" t="str">
        <f>IF(Sync!$AH1925="","",IF(LEFT(UPPER(TRIM(Sync!$AH1925)),2)="SL",UPPER(TRIM(Sync!$AH1925)),""))</f>
        <v/>
      </c>
      <c r="G1925" t="str">
        <f>IF($F1925="","",IF(Sync!$AE1925="","",IF(ISNUMBER(Sync!$AE1925),IF(AND(Sync!$AE1925&gt;=10000101,Sync!$AE1925&lt;=99991231),INT(Sync!$AE1925/10000),""),IFERROR(VALUE(TRIM(LEFT(Sync!$AE1925,FIND("/",Sync!$AE1925)-1))),""))))</f>
        <v/>
      </c>
      <c r="H1925" t="str">
        <f>IF(OR($F1925="",$G1925=""),"",IF(ISNUMBER(Sync!$AE1925),INT(MOD(Sync!$AE1925,10000)/100),IFERROR(VALUE(TRIM(LEFT(MID(Sync!$AE1925,FIND("/",Sync!$AE1925)+1,20),FIND("/",MID(Sync!$AE1925,FIND("/",Sync!$AE1925)+1,20))-1))),"")))</f>
        <v/>
      </c>
      <c r="I1925" t="str">
        <f>IF(OR($F1925="",$G1925=""),"",IF(ISNUMBER(Sync!$AE1925),MOD(Sync!$AE1925,100),IFERROR(VALUE(TRIM(MID(MID(Sync!$AE1925,FIND("/",Sync!$AE1925)+1,20),FIND("/",MID(Sync!$AE1925,FIND("/",Sync!$AE1925)+1,20))+1,20))),"")))</f>
        <v/>
      </c>
      <c r="J1925" t="str">
        <f t="shared" si="147"/>
        <v/>
      </c>
      <c r="K1925" t="str">
        <f>IF(OR($F1925="",$J1925="",$J1925="نامعتبر"),"",LEFT($J1925,4)&amp;MID($J1925,6,2)&amp;RIGHT($J1925,2)&amp;$N1925&amp;"|"&amp;"2"&amp;RIGHT("00000"&amp;1920,5))</f>
        <v/>
      </c>
      <c r="L1925" t="str">
        <f t="shared" si="148"/>
        <v/>
      </c>
      <c r="M1925" t="str">
        <f t="shared" si="149"/>
        <v/>
      </c>
      <c r="N1925" t="str">
        <f>IF($F1925="","",IF(Sync!$AF1925="","0000",IF(AND(ISNUMBER(Sync!$AF1925),Sync!$AF1925&gt;=0,Sync!$AF1925&lt;1),RIGHT("00"&amp;HOUR(Sync!$AF1925),2)&amp;RIGHT("00"&amp;MINUTE(Sync!$AF1925),2),IFERROR(RIGHT("00"&amp;VALUE(LEFT(Sync!$AF1925,FIND(":",Sync!$AF1925)-1)),2)&amp;RIGHT("00"&amp;VALUE(MID(Sync!$AF1925,FIND(":",Sync!$AF1925)+1,2)),2),"0000"))))</f>
        <v/>
      </c>
    </row>
    <row r="1926" spans="1:14" x14ac:dyDescent="0.2">
      <c r="A1926" t="str">
        <f>IF(OR(Calc!$E1930="",Calc!$E1930="نامعتبر",Calc!$G1930=""),"",Calc!$G1930)</f>
        <v/>
      </c>
      <c r="B1926" t="str">
        <f>IF($A1926="","",LEFT(Calc!$E1930,4)&amp;MID(Calc!$E1930,6,2)&amp;RIGHT(Calc!$E1930,2)&amp;Calc!$Q1930&amp;"|"&amp;"1"&amp;RIGHT("00000"&amp;1921,5))</f>
        <v/>
      </c>
      <c r="C1926" t="str">
        <f t="shared" ref="C1926:C1989" si="150">IF($B1926="","",COUNTIFS(LdgSellerA,$A1926,LdgKeyA,"&lt;"&amp;$B1926)+COUNTIFS(LdgSellerB,$A1926,LdgKeyB,"&lt;"&amp;$B1926)+1)</f>
        <v/>
      </c>
      <c r="D1926" t="str">
        <f t="shared" ref="D1926:D1989" si="151">IF($C1926="","",$A1926&amp;"|"&amp;RIGHT("000000"&amp;$C1926,6))</f>
        <v/>
      </c>
      <c r="F1926" t="str">
        <f>IF(Sync!$AH1926="","",IF(LEFT(UPPER(TRIM(Sync!$AH1926)),2)="SL",UPPER(TRIM(Sync!$AH1926)),""))</f>
        <v/>
      </c>
      <c r="G1926" t="str">
        <f>IF($F1926="","",IF(Sync!$AE1926="","",IF(ISNUMBER(Sync!$AE1926),IF(AND(Sync!$AE1926&gt;=10000101,Sync!$AE1926&lt;=99991231),INT(Sync!$AE1926/10000),""),IFERROR(VALUE(TRIM(LEFT(Sync!$AE1926,FIND("/",Sync!$AE1926)-1))),""))))</f>
        <v/>
      </c>
      <c r="H1926" t="str">
        <f>IF(OR($F1926="",$G1926=""),"",IF(ISNUMBER(Sync!$AE1926),INT(MOD(Sync!$AE1926,10000)/100),IFERROR(VALUE(TRIM(LEFT(MID(Sync!$AE1926,FIND("/",Sync!$AE1926)+1,20),FIND("/",MID(Sync!$AE1926,FIND("/",Sync!$AE1926)+1,20))-1))),"")))</f>
        <v/>
      </c>
      <c r="I1926" t="str">
        <f>IF(OR($F1926="",$G1926=""),"",IF(ISNUMBER(Sync!$AE1926),MOD(Sync!$AE1926,100),IFERROR(VALUE(TRIM(MID(MID(Sync!$AE1926,FIND("/",Sync!$AE1926)+1,20),FIND("/",MID(Sync!$AE1926,FIND("/",Sync!$AE1926)+1,20))+1,20))),"")))</f>
        <v/>
      </c>
      <c r="J1926" t="str">
        <f t="shared" ref="J1926:J1989" si="152">IF($F1926="","",IF(OR($G1926="",$H1926="",$I1926="",$G1926&lt;1300,$G1926&gt;1500,$H1926&lt;1,$H1926&gt;12,$I1926&lt;1,$I1926&gt;31),"نامعتبر",RIGHT("0000"&amp;$G1926,4)&amp;"/"&amp;RIGHT("00"&amp;$H1926,2)&amp;"/"&amp;RIGHT("00"&amp;$I1926,2)))</f>
        <v/>
      </c>
      <c r="K1926" t="str">
        <f>IF(OR($F1926="",$J1926="",$J1926="نامعتبر"),"",LEFT($J1926,4)&amp;MID($J1926,6,2)&amp;RIGHT($J1926,2)&amp;$N1926&amp;"|"&amp;"2"&amp;RIGHT("00000"&amp;1921,5))</f>
        <v/>
      </c>
      <c r="L1926" t="str">
        <f t="shared" ref="L1926:L1989" si="153">IF($K1926="","",COUNTIFS(LdgSellerA,$F1926,LdgKeyA,"&lt;"&amp;$K1926)+COUNTIFS(LdgSellerB,$F1926,LdgKeyB,"&lt;"&amp;$K1926)+1)</f>
        <v/>
      </c>
      <c r="M1926" t="str">
        <f t="shared" ref="M1926:M1989" si="154">IF($L1926="","",$F1926&amp;"|"&amp;RIGHT("000000"&amp;$L1926,6))</f>
        <v/>
      </c>
      <c r="N1926" t="str">
        <f>IF($F1926="","",IF(Sync!$AF1926="","0000",IF(AND(ISNUMBER(Sync!$AF1926),Sync!$AF1926&gt;=0,Sync!$AF1926&lt;1),RIGHT("00"&amp;HOUR(Sync!$AF1926),2)&amp;RIGHT("00"&amp;MINUTE(Sync!$AF1926),2),IFERROR(RIGHT("00"&amp;VALUE(LEFT(Sync!$AF1926,FIND(":",Sync!$AF1926)-1)),2)&amp;RIGHT("00"&amp;VALUE(MID(Sync!$AF1926,FIND(":",Sync!$AF1926)+1,2)),2),"0000"))))</f>
        <v/>
      </c>
    </row>
    <row r="1927" spans="1:14" x14ac:dyDescent="0.2">
      <c r="A1927" t="str">
        <f>IF(OR(Calc!$E1931="",Calc!$E1931="نامعتبر",Calc!$G1931=""),"",Calc!$G1931)</f>
        <v/>
      </c>
      <c r="B1927" t="str">
        <f>IF($A1927="","",LEFT(Calc!$E1931,4)&amp;MID(Calc!$E1931,6,2)&amp;RIGHT(Calc!$E1931,2)&amp;Calc!$Q1931&amp;"|"&amp;"1"&amp;RIGHT("00000"&amp;1922,5))</f>
        <v/>
      </c>
      <c r="C1927" t="str">
        <f t="shared" si="150"/>
        <v/>
      </c>
      <c r="D1927" t="str">
        <f t="shared" si="151"/>
        <v/>
      </c>
      <c r="F1927" t="str">
        <f>IF(Sync!$AH1927="","",IF(LEFT(UPPER(TRIM(Sync!$AH1927)),2)="SL",UPPER(TRIM(Sync!$AH1927)),""))</f>
        <v/>
      </c>
      <c r="G1927" t="str">
        <f>IF($F1927="","",IF(Sync!$AE1927="","",IF(ISNUMBER(Sync!$AE1927),IF(AND(Sync!$AE1927&gt;=10000101,Sync!$AE1927&lt;=99991231),INT(Sync!$AE1927/10000),""),IFERROR(VALUE(TRIM(LEFT(Sync!$AE1927,FIND("/",Sync!$AE1927)-1))),""))))</f>
        <v/>
      </c>
      <c r="H1927" t="str">
        <f>IF(OR($F1927="",$G1927=""),"",IF(ISNUMBER(Sync!$AE1927),INT(MOD(Sync!$AE1927,10000)/100),IFERROR(VALUE(TRIM(LEFT(MID(Sync!$AE1927,FIND("/",Sync!$AE1927)+1,20),FIND("/",MID(Sync!$AE1927,FIND("/",Sync!$AE1927)+1,20))-1))),"")))</f>
        <v/>
      </c>
      <c r="I1927" t="str">
        <f>IF(OR($F1927="",$G1927=""),"",IF(ISNUMBER(Sync!$AE1927),MOD(Sync!$AE1927,100),IFERROR(VALUE(TRIM(MID(MID(Sync!$AE1927,FIND("/",Sync!$AE1927)+1,20),FIND("/",MID(Sync!$AE1927,FIND("/",Sync!$AE1927)+1,20))+1,20))),"")))</f>
        <v/>
      </c>
      <c r="J1927" t="str">
        <f t="shared" si="152"/>
        <v/>
      </c>
      <c r="K1927" t="str">
        <f>IF(OR($F1927="",$J1927="",$J1927="نامعتبر"),"",LEFT($J1927,4)&amp;MID($J1927,6,2)&amp;RIGHT($J1927,2)&amp;$N1927&amp;"|"&amp;"2"&amp;RIGHT("00000"&amp;1922,5))</f>
        <v/>
      </c>
      <c r="L1927" t="str">
        <f t="shared" si="153"/>
        <v/>
      </c>
      <c r="M1927" t="str">
        <f t="shared" si="154"/>
        <v/>
      </c>
      <c r="N1927" t="str">
        <f>IF($F1927="","",IF(Sync!$AF1927="","0000",IF(AND(ISNUMBER(Sync!$AF1927),Sync!$AF1927&gt;=0,Sync!$AF1927&lt;1),RIGHT("00"&amp;HOUR(Sync!$AF1927),2)&amp;RIGHT("00"&amp;MINUTE(Sync!$AF1927),2),IFERROR(RIGHT("00"&amp;VALUE(LEFT(Sync!$AF1927,FIND(":",Sync!$AF1927)-1)),2)&amp;RIGHT("00"&amp;VALUE(MID(Sync!$AF1927,FIND(":",Sync!$AF1927)+1,2)),2),"0000"))))</f>
        <v/>
      </c>
    </row>
    <row r="1928" spans="1:14" x14ac:dyDescent="0.2">
      <c r="A1928" t="str">
        <f>IF(OR(Calc!$E1932="",Calc!$E1932="نامعتبر",Calc!$G1932=""),"",Calc!$G1932)</f>
        <v/>
      </c>
      <c r="B1928" t="str">
        <f>IF($A1928="","",LEFT(Calc!$E1932,4)&amp;MID(Calc!$E1932,6,2)&amp;RIGHT(Calc!$E1932,2)&amp;Calc!$Q1932&amp;"|"&amp;"1"&amp;RIGHT("00000"&amp;1923,5))</f>
        <v/>
      </c>
      <c r="C1928" t="str">
        <f t="shared" si="150"/>
        <v/>
      </c>
      <c r="D1928" t="str">
        <f t="shared" si="151"/>
        <v/>
      </c>
      <c r="F1928" t="str">
        <f>IF(Sync!$AH1928="","",IF(LEFT(UPPER(TRIM(Sync!$AH1928)),2)="SL",UPPER(TRIM(Sync!$AH1928)),""))</f>
        <v/>
      </c>
      <c r="G1928" t="str">
        <f>IF($F1928="","",IF(Sync!$AE1928="","",IF(ISNUMBER(Sync!$AE1928),IF(AND(Sync!$AE1928&gt;=10000101,Sync!$AE1928&lt;=99991231),INT(Sync!$AE1928/10000),""),IFERROR(VALUE(TRIM(LEFT(Sync!$AE1928,FIND("/",Sync!$AE1928)-1))),""))))</f>
        <v/>
      </c>
      <c r="H1928" t="str">
        <f>IF(OR($F1928="",$G1928=""),"",IF(ISNUMBER(Sync!$AE1928),INT(MOD(Sync!$AE1928,10000)/100),IFERROR(VALUE(TRIM(LEFT(MID(Sync!$AE1928,FIND("/",Sync!$AE1928)+1,20),FIND("/",MID(Sync!$AE1928,FIND("/",Sync!$AE1928)+1,20))-1))),"")))</f>
        <v/>
      </c>
      <c r="I1928" t="str">
        <f>IF(OR($F1928="",$G1928=""),"",IF(ISNUMBER(Sync!$AE1928),MOD(Sync!$AE1928,100),IFERROR(VALUE(TRIM(MID(MID(Sync!$AE1928,FIND("/",Sync!$AE1928)+1,20),FIND("/",MID(Sync!$AE1928,FIND("/",Sync!$AE1928)+1,20))+1,20))),"")))</f>
        <v/>
      </c>
      <c r="J1928" t="str">
        <f t="shared" si="152"/>
        <v/>
      </c>
      <c r="K1928" t="str">
        <f>IF(OR($F1928="",$J1928="",$J1928="نامعتبر"),"",LEFT($J1928,4)&amp;MID($J1928,6,2)&amp;RIGHT($J1928,2)&amp;$N1928&amp;"|"&amp;"2"&amp;RIGHT("00000"&amp;1923,5))</f>
        <v/>
      </c>
      <c r="L1928" t="str">
        <f t="shared" si="153"/>
        <v/>
      </c>
      <c r="M1928" t="str">
        <f t="shared" si="154"/>
        <v/>
      </c>
      <c r="N1928" t="str">
        <f>IF($F1928="","",IF(Sync!$AF1928="","0000",IF(AND(ISNUMBER(Sync!$AF1928),Sync!$AF1928&gt;=0,Sync!$AF1928&lt;1),RIGHT("00"&amp;HOUR(Sync!$AF1928),2)&amp;RIGHT("00"&amp;MINUTE(Sync!$AF1928),2),IFERROR(RIGHT("00"&amp;VALUE(LEFT(Sync!$AF1928,FIND(":",Sync!$AF1928)-1)),2)&amp;RIGHT("00"&amp;VALUE(MID(Sync!$AF1928,FIND(":",Sync!$AF1928)+1,2)),2),"0000"))))</f>
        <v/>
      </c>
    </row>
    <row r="1929" spans="1:14" x14ac:dyDescent="0.2">
      <c r="A1929" t="str">
        <f>IF(OR(Calc!$E1933="",Calc!$E1933="نامعتبر",Calc!$G1933=""),"",Calc!$G1933)</f>
        <v/>
      </c>
      <c r="B1929" t="str">
        <f>IF($A1929="","",LEFT(Calc!$E1933,4)&amp;MID(Calc!$E1933,6,2)&amp;RIGHT(Calc!$E1933,2)&amp;Calc!$Q1933&amp;"|"&amp;"1"&amp;RIGHT("00000"&amp;1924,5))</f>
        <v/>
      </c>
      <c r="C1929" t="str">
        <f t="shared" si="150"/>
        <v/>
      </c>
      <c r="D1929" t="str">
        <f t="shared" si="151"/>
        <v/>
      </c>
      <c r="F1929" t="str">
        <f>IF(Sync!$AH1929="","",IF(LEFT(UPPER(TRIM(Sync!$AH1929)),2)="SL",UPPER(TRIM(Sync!$AH1929)),""))</f>
        <v/>
      </c>
      <c r="G1929" t="str">
        <f>IF($F1929="","",IF(Sync!$AE1929="","",IF(ISNUMBER(Sync!$AE1929),IF(AND(Sync!$AE1929&gt;=10000101,Sync!$AE1929&lt;=99991231),INT(Sync!$AE1929/10000),""),IFERROR(VALUE(TRIM(LEFT(Sync!$AE1929,FIND("/",Sync!$AE1929)-1))),""))))</f>
        <v/>
      </c>
      <c r="H1929" t="str">
        <f>IF(OR($F1929="",$G1929=""),"",IF(ISNUMBER(Sync!$AE1929),INT(MOD(Sync!$AE1929,10000)/100),IFERROR(VALUE(TRIM(LEFT(MID(Sync!$AE1929,FIND("/",Sync!$AE1929)+1,20),FIND("/",MID(Sync!$AE1929,FIND("/",Sync!$AE1929)+1,20))-1))),"")))</f>
        <v/>
      </c>
      <c r="I1929" t="str">
        <f>IF(OR($F1929="",$G1929=""),"",IF(ISNUMBER(Sync!$AE1929),MOD(Sync!$AE1929,100),IFERROR(VALUE(TRIM(MID(MID(Sync!$AE1929,FIND("/",Sync!$AE1929)+1,20),FIND("/",MID(Sync!$AE1929,FIND("/",Sync!$AE1929)+1,20))+1,20))),"")))</f>
        <v/>
      </c>
      <c r="J1929" t="str">
        <f t="shared" si="152"/>
        <v/>
      </c>
      <c r="K1929" t="str">
        <f>IF(OR($F1929="",$J1929="",$J1929="نامعتبر"),"",LEFT($J1929,4)&amp;MID($J1929,6,2)&amp;RIGHT($J1929,2)&amp;$N1929&amp;"|"&amp;"2"&amp;RIGHT("00000"&amp;1924,5))</f>
        <v/>
      </c>
      <c r="L1929" t="str">
        <f t="shared" si="153"/>
        <v/>
      </c>
      <c r="M1929" t="str">
        <f t="shared" si="154"/>
        <v/>
      </c>
      <c r="N1929" t="str">
        <f>IF($F1929="","",IF(Sync!$AF1929="","0000",IF(AND(ISNUMBER(Sync!$AF1929),Sync!$AF1929&gt;=0,Sync!$AF1929&lt;1),RIGHT("00"&amp;HOUR(Sync!$AF1929),2)&amp;RIGHT("00"&amp;MINUTE(Sync!$AF1929),2),IFERROR(RIGHT("00"&amp;VALUE(LEFT(Sync!$AF1929,FIND(":",Sync!$AF1929)-1)),2)&amp;RIGHT("00"&amp;VALUE(MID(Sync!$AF1929,FIND(":",Sync!$AF1929)+1,2)),2),"0000"))))</f>
        <v/>
      </c>
    </row>
    <row r="1930" spans="1:14" x14ac:dyDescent="0.2">
      <c r="A1930" t="str">
        <f>IF(OR(Calc!$E1934="",Calc!$E1934="نامعتبر",Calc!$G1934=""),"",Calc!$G1934)</f>
        <v/>
      </c>
      <c r="B1930" t="str">
        <f>IF($A1930="","",LEFT(Calc!$E1934,4)&amp;MID(Calc!$E1934,6,2)&amp;RIGHT(Calc!$E1934,2)&amp;Calc!$Q1934&amp;"|"&amp;"1"&amp;RIGHT("00000"&amp;1925,5))</f>
        <v/>
      </c>
      <c r="C1930" t="str">
        <f t="shared" si="150"/>
        <v/>
      </c>
      <c r="D1930" t="str">
        <f t="shared" si="151"/>
        <v/>
      </c>
      <c r="F1930" t="str">
        <f>IF(Sync!$AH1930="","",IF(LEFT(UPPER(TRIM(Sync!$AH1930)),2)="SL",UPPER(TRIM(Sync!$AH1930)),""))</f>
        <v/>
      </c>
      <c r="G1930" t="str">
        <f>IF($F1930="","",IF(Sync!$AE1930="","",IF(ISNUMBER(Sync!$AE1930),IF(AND(Sync!$AE1930&gt;=10000101,Sync!$AE1930&lt;=99991231),INT(Sync!$AE1930/10000),""),IFERROR(VALUE(TRIM(LEFT(Sync!$AE1930,FIND("/",Sync!$AE1930)-1))),""))))</f>
        <v/>
      </c>
      <c r="H1930" t="str">
        <f>IF(OR($F1930="",$G1930=""),"",IF(ISNUMBER(Sync!$AE1930),INT(MOD(Sync!$AE1930,10000)/100),IFERROR(VALUE(TRIM(LEFT(MID(Sync!$AE1930,FIND("/",Sync!$AE1930)+1,20),FIND("/",MID(Sync!$AE1930,FIND("/",Sync!$AE1930)+1,20))-1))),"")))</f>
        <v/>
      </c>
      <c r="I1930" t="str">
        <f>IF(OR($F1930="",$G1930=""),"",IF(ISNUMBER(Sync!$AE1930),MOD(Sync!$AE1930,100),IFERROR(VALUE(TRIM(MID(MID(Sync!$AE1930,FIND("/",Sync!$AE1930)+1,20),FIND("/",MID(Sync!$AE1930,FIND("/",Sync!$AE1930)+1,20))+1,20))),"")))</f>
        <v/>
      </c>
      <c r="J1930" t="str">
        <f t="shared" si="152"/>
        <v/>
      </c>
      <c r="K1930" t="str">
        <f>IF(OR($F1930="",$J1930="",$J1930="نامعتبر"),"",LEFT($J1930,4)&amp;MID($J1930,6,2)&amp;RIGHT($J1930,2)&amp;$N1930&amp;"|"&amp;"2"&amp;RIGHT("00000"&amp;1925,5))</f>
        <v/>
      </c>
      <c r="L1930" t="str">
        <f t="shared" si="153"/>
        <v/>
      </c>
      <c r="M1930" t="str">
        <f t="shared" si="154"/>
        <v/>
      </c>
      <c r="N1930" t="str">
        <f>IF($F1930="","",IF(Sync!$AF1930="","0000",IF(AND(ISNUMBER(Sync!$AF1930),Sync!$AF1930&gt;=0,Sync!$AF1930&lt;1),RIGHT("00"&amp;HOUR(Sync!$AF1930),2)&amp;RIGHT("00"&amp;MINUTE(Sync!$AF1930),2),IFERROR(RIGHT("00"&amp;VALUE(LEFT(Sync!$AF1930,FIND(":",Sync!$AF1930)-1)),2)&amp;RIGHT("00"&amp;VALUE(MID(Sync!$AF1930,FIND(":",Sync!$AF1930)+1,2)),2),"0000"))))</f>
        <v/>
      </c>
    </row>
    <row r="1931" spans="1:14" x14ac:dyDescent="0.2">
      <c r="A1931" t="str">
        <f>IF(OR(Calc!$E1935="",Calc!$E1935="نامعتبر",Calc!$G1935=""),"",Calc!$G1935)</f>
        <v/>
      </c>
      <c r="B1931" t="str">
        <f>IF($A1931="","",LEFT(Calc!$E1935,4)&amp;MID(Calc!$E1935,6,2)&amp;RIGHT(Calc!$E1935,2)&amp;Calc!$Q1935&amp;"|"&amp;"1"&amp;RIGHT("00000"&amp;1926,5))</f>
        <v/>
      </c>
      <c r="C1931" t="str">
        <f t="shared" si="150"/>
        <v/>
      </c>
      <c r="D1931" t="str">
        <f t="shared" si="151"/>
        <v/>
      </c>
      <c r="F1931" t="str">
        <f>IF(Sync!$AH1931="","",IF(LEFT(UPPER(TRIM(Sync!$AH1931)),2)="SL",UPPER(TRIM(Sync!$AH1931)),""))</f>
        <v/>
      </c>
      <c r="G1931" t="str">
        <f>IF($F1931="","",IF(Sync!$AE1931="","",IF(ISNUMBER(Sync!$AE1931),IF(AND(Sync!$AE1931&gt;=10000101,Sync!$AE1931&lt;=99991231),INT(Sync!$AE1931/10000),""),IFERROR(VALUE(TRIM(LEFT(Sync!$AE1931,FIND("/",Sync!$AE1931)-1))),""))))</f>
        <v/>
      </c>
      <c r="H1931" t="str">
        <f>IF(OR($F1931="",$G1931=""),"",IF(ISNUMBER(Sync!$AE1931),INT(MOD(Sync!$AE1931,10000)/100),IFERROR(VALUE(TRIM(LEFT(MID(Sync!$AE1931,FIND("/",Sync!$AE1931)+1,20),FIND("/",MID(Sync!$AE1931,FIND("/",Sync!$AE1931)+1,20))-1))),"")))</f>
        <v/>
      </c>
      <c r="I1931" t="str">
        <f>IF(OR($F1931="",$G1931=""),"",IF(ISNUMBER(Sync!$AE1931),MOD(Sync!$AE1931,100),IFERROR(VALUE(TRIM(MID(MID(Sync!$AE1931,FIND("/",Sync!$AE1931)+1,20),FIND("/",MID(Sync!$AE1931,FIND("/",Sync!$AE1931)+1,20))+1,20))),"")))</f>
        <v/>
      </c>
      <c r="J1931" t="str">
        <f t="shared" si="152"/>
        <v/>
      </c>
      <c r="K1931" t="str">
        <f>IF(OR($F1931="",$J1931="",$J1931="نامعتبر"),"",LEFT($J1931,4)&amp;MID($J1931,6,2)&amp;RIGHT($J1931,2)&amp;$N1931&amp;"|"&amp;"2"&amp;RIGHT("00000"&amp;1926,5))</f>
        <v/>
      </c>
      <c r="L1931" t="str">
        <f t="shared" si="153"/>
        <v/>
      </c>
      <c r="M1931" t="str">
        <f t="shared" si="154"/>
        <v/>
      </c>
      <c r="N1931" t="str">
        <f>IF($F1931="","",IF(Sync!$AF1931="","0000",IF(AND(ISNUMBER(Sync!$AF1931),Sync!$AF1931&gt;=0,Sync!$AF1931&lt;1),RIGHT("00"&amp;HOUR(Sync!$AF1931),2)&amp;RIGHT("00"&amp;MINUTE(Sync!$AF1931),2),IFERROR(RIGHT("00"&amp;VALUE(LEFT(Sync!$AF1931,FIND(":",Sync!$AF1931)-1)),2)&amp;RIGHT("00"&amp;VALUE(MID(Sync!$AF1931,FIND(":",Sync!$AF1931)+1,2)),2),"0000"))))</f>
        <v/>
      </c>
    </row>
    <row r="1932" spans="1:14" x14ac:dyDescent="0.2">
      <c r="A1932" t="str">
        <f>IF(OR(Calc!$E1936="",Calc!$E1936="نامعتبر",Calc!$G1936=""),"",Calc!$G1936)</f>
        <v/>
      </c>
      <c r="B1932" t="str">
        <f>IF($A1932="","",LEFT(Calc!$E1936,4)&amp;MID(Calc!$E1936,6,2)&amp;RIGHT(Calc!$E1936,2)&amp;Calc!$Q1936&amp;"|"&amp;"1"&amp;RIGHT("00000"&amp;1927,5))</f>
        <v/>
      </c>
      <c r="C1932" t="str">
        <f t="shared" si="150"/>
        <v/>
      </c>
      <c r="D1932" t="str">
        <f t="shared" si="151"/>
        <v/>
      </c>
      <c r="F1932" t="str">
        <f>IF(Sync!$AH1932="","",IF(LEFT(UPPER(TRIM(Sync!$AH1932)),2)="SL",UPPER(TRIM(Sync!$AH1932)),""))</f>
        <v/>
      </c>
      <c r="G1932" t="str">
        <f>IF($F1932="","",IF(Sync!$AE1932="","",IF(ISNUMBER(Sync!$AE1932),IF(AND(Sync!$AE1932&gt;=10000101,Sync!$AE1932&lt;=99991231),INT(Sync!$AE1932/10000),""),IFERROR(VALUE(TRIM(LEFT(Sync!$AE1932,FIND("/",Sync!$AE1932)-1))),""))))</f>
        <v/>
      </c>
      <c r="H1932" t="str">
        <f>IF(OR($F1932="",$G1932=""),"",IF(ISNUMBER(Sync!$AE1932),INT(MOD(Sync!$AE1932,10000)/100),IFERROR(VALUE(TRIM(LEFT(MID(Sync!$AE1932,FIND("/",Sync!$AE1932)+1,20),FIND("/",MID(Sync!$AE1932,FIND("/",Sync!$AE1932)+1,20))-1))),"")))</f>
        <v/>
      </c>
      <c r="I1932" t="str">
        <f>IF(OR($F1932="",$G1932=""),"",IF(ISNUMBER(Sync!$AE1932),MOD(Sync!$AE1932,100),IFERROR(VALUE(TRIM(MID(MID(Sync!$AE1932,FIND("/",Sync!$AE1932)+1,20),FIND("/",MID(Sync!$AE1932,FIND("/",Sync!$AE1932)+1,20))+1,20))),"")))</f>
        <v/>
      </c>
      <c r="J1932" t="str">
        <f t="shared" si="152"/>
        <v/>
      </c>
      <c r="K1932" t="str">
        <f>IF(OR($F1932="",$J1932="",$J1932="نامعتبر"),"",LEFT($J1932,4)&amp;MID($J1932,6,2)&amp;RIGHT($J1932,2)&amp;$N1932&amp;"|"&amp;"2"&amp;RIGHT("00000"&amp;1927,5))</f>
        <v/>
      </c>
      <c r="L1932" t="str">
        <f t="shared" si="153"/>
        <v/>
      </c>
      <c r="M1932" t="str">
        <f t="shared" si="154"/>
        <v/>
      </c>
      <c r="N1932" t="str">
        <f>IF($F1932="","",IF(Sync!$AF1932="","0000",IF(AND(ISNUMBER(Sync!$AF1932),Sync!$AF1932&gt;=0,Sync!$AF1932&lt;1),RIGHT("00"&amp;HOUR(Sync!$AF1932),2)&amp;RIGHT("00"&amp;MINUTE(Sync!$AF1932),2),IFERROR(RIGHT("00"&amp;VALUE(LEFT(Sync!$AF1932,FIND(":",Sync!$AF1932)-1)),2)&amp;RIGHT("00"&amp;VALUE(MID(Sync!$AF1932,FIND(":",Sync!$AF1932)+1,2)),2),"0000"))))</f>
        <v/>
      </c>
    </row>
    <row r="1933" spans="1:14" x14ac:dyDescent="0.2">
      <c r="A1933" t="str">
        <f>IF(OR(Calc!$E1937="",Calc!$E1937="نامعتبر",Calc!$G1937=""),"",Calc!$G1937)</f>
        <v/>
      </c>
      <c r="B1933" t="str">
        <f>IF($A1933="","",LEFT(Calc!$E1937,4)&amp;MID(Calc!$E1937,6,2)&amp;RIGHT(Calc!$E1937,2)&amp;Calc!$Q1937&amp;"|"&amp;"1"&amp;RIGHT("00000"&amp;1928,5))</f>
        <v/>
      </c>
      <c r="C1933" t="str">
        <f t="shared" si="150"/>
        <v/>
      </c>
      <c r="D1933" t="str">
        <f t="shared" si="151"/>
        <v/>
      </c>
      <c r="F1933" t="str">
        <f>IF(Sync!$AH1933="","",IF(LEFT(UPPER(TRIM(Sync!$AH1933)),2)="SL",UPPER(TRIM(Sync!$AH1933)),""))</f>
        <v/>
      </c>
      <c r="G1933" t="str">
        <f>IF($F1933="","",IF(Sync!$AE1933="","",IF(ISNUMBER(Sync!$AE1933),IF(AND(Sync!$AE1933&gt;=10000101,Sync!$AE1933&lt;=99991231),INT(Sync!$AE1933/10000),""),IFERROR(VALUE(TRIM(LEFT(Sync!$AE1933,FIND("/",Sync!$AE1933)-1))),""))))</f>
        <v/>
      </c>
      <c r="H1933" t="str">
        <f>IF(OR($F1933="",$G1933=""),"",IF(ISNUMBER(Sync!$AE1933),INT(MOD(Sync!$AE1933,10000)/100),IFERROR(VALUE(TRIM(LEFT(MID(Sync!$AE1933,FIND("/",Sync!$AE1933)+1,20),FIND("/",MID(Sync!$AE1933,FIND("/",Sync!$AE1933)+1,20))-1))),"")))</f>
        <v/>
      </c>
      <c r="I1933" t="str">
        <f>IF(OR($F1933="",$G1933=""),"",IF(ISNUMBER(Sync!$AE1933),MOD(Sync!$AE1933,100),IFERROR(VALUE(TRIM(MID(MID(Sync!$AE1933,FIND("/",Sync!$AE1933)+1,20),FIND("/",MID(Sync!$AE1933,FIND("/",Sync!$AE1933)+1,20))+1,20))),"")))</f>
        <v/>
      </c>
      <c r="J1933" t="str">
        <f t="shared" si="152"/>
        <v/>
      </c>
      <c r="K1933" t="str">
        <f>IF(OR($F1933="",$J1933="",$J1933="نامعتبر"),"",LEFT($J1933,4)&amp;MID($J1933,6,2)&amp;RIGHT($J1933,2)&amp;$N1933&amp;"|"&amp;"2"&amp;RIGHT("00000"&amp;1928,5))</f>
        <v/>
      </c>
      <c r="L1933" t="str">
        <f t="shared" si="153"/>
        <v/>
      </c>
      <c r="M1933" t="str">
        <f t="shared" si="154"/>
        <v/>
      </c>
      <c r="N1933" t="str">
        <f>IF($F1933="","",IF(Sync!$AF1933="","0000",IF(AND(ISNUMBER(Sync!$AF1933),Sync!$AF1933&gt;=0,Sync!$AF1933&lt;1),RIGHT("00"&amp;HOUR(Sync!$AF1933),2)&amp;RIGHT("00"&amp;MINUTE(Sync!$AF1933),2),IFERROR(RIGHT("00"&amp;VALUE(LEFT(Sync!$AF1933,FIND(":",Sync!$AF1933)-1)),2)&amp;RIGHT("00"&amp;VALUE(MID(Sync!$AF1933,FIND(":",Sync!$AF1933)+1,2)),2),"0000"))))</f>
        <v/>
      </c>
    </row>
    <row r="1934" spans="1:14" x14ac:dyDescent="0.2">
      <c r="A1934" t="str">
        <f>IF(OR(Calc!$E1938="",Calc!$E1938="نامعتبر",Calc!$G1938=""),"",Calc!$G1938)</f>
        <v/>
      </c>
      <c r="B1934" t="str">
        <f>IF($A1934="","",LEFT(Calc!$E1938,4)&amp;MID(Calc!$E1938,6,2)&amp;RIGHT(Calc!$E1938,2)&amp;Calc!$Q1938&amp;"|"&amp;"1"&amp;RIGHT("00000"&amp;1929,5))</f>
        <v/>
      </c>
      <c r="C1934" t="str">
        <f t="shared" si="150"/>
        <v/>
      </c>
      <c r="D1934" t="str">
        <f t="shared" si="151"/>
        <v/>
      </c>
      <c r="F1934" t="str">
        <f>IF(Sync!$AH1934="","",IF(LEFT(UPPER(TRIM(Sync!$AH1934)),2)="SL",UPPER(TRIM(Sync!$AH1934)),""))</f>
        <v/>
      </c>
      <c r="G1934" t="str">
        <f>IF($F1934="","",IF(Sync!$AE1934="","",IF(ISNUMBER(Sync!$AE1934),IF(AND(Sync!$AE1934&gt;=10000101,Sync!$AE1934&lt;=99991231),INT(Sync!$AE1934/10000),""),IFERROR(VALUE(TRIM(LEFT(Sync!$AE1934,FIND("/",Sync!$AE1934)-1))),""))))</f>
        <v/>
      </c>
      <c r="H1934" t="str">
        <f>IF(OR($F1934="",$G1934=""),"",IF(ISNUMBER(Sync!$AE1934),INT(MOD(Sync!$AE1934,10000)/100),IFERROR(VALUE(TRIM(LEFT(MID(Sync!$AE1934,FIND("/",Sync!$AE1934)+1,20),FIND("/",MID(Sync!$AE1934,FIND("/",Sync!$AE1934)+1,20))-1))),"")))</f>
        <v/>
      </c>
      <c r="I1934" t="str">
        <f>IF(OR($F1934="",$G1934=""),"",IF(ISNUMBER(Sync!$AE1934),MOD(Sync!$AE1934,100),IFERROR(VALUE(TRIM(MID(MID(Sync!$AE1934,FIND("/",Sync!$AE1934)+1,20),FIND("/",MID(Sync!$AE1934,FIND("/",Sync!$AE1934)+1,20))+1,20))),"")))</f>
        <v/>
      </c>
      <c r="J1934" t="str">
        <f t="shared" si="152"/>
        <v/>
      </c>
      <c r="K1934" t="str">
        <f>IF(OR($F1934="",$J1934="",$J1934="نامعتبر"),"",LEFT($J1934,4)&amp;MID($J1934,6,2)&amp;RIGHT($J1934,2)&amp;$N1934&amp;"|"&amp;"2"&amp;RIGHT("00000"&amp;1929,5))</f>
        <v/>
      </c>
      <c r="L1934" t="str">
        <f t="shared" si="153"/>
        <v/>
      </c>
      <c r="M1934" t="str">
        <f t="shared" si="154"/>
        <v/>
      </c>
      <c r="N1934" t="str">
        <f>IF($F1934="","",IF(Sync!$AF1934="","0000",IF(AND(ISNUMBER(Sync!$AF1934),Sync!$AF1934&gt;=0,Sync!$AF1934&lt;1),RIGHT("00"&amp;HOUR(Sync!$AF1934),2)&amp;RIGHT("00"&amp;MINUTE(Sync!$AF1934),2),IFERROR(RIGHT("00"&amp;VALUE(LEFT(Sync!$AF1934,FIND(":",Sync!$AF1934)-1)),2)&amp;RIGHT("00"&amp;VALUE(MID(Sync!$AF1934,FIND(":",Sync!$AF1934)+1,2)),2),"0000"))))</f>
        <v/>
      </c>
    </row>
    <row r="1935" spans="1:14" x14ac:dyDescent="0.2">
      <c r="A1935" t="str">
        <f>IF(OR(Calc!$E1939="",Calc!$E1939="نامعتبر",Calc!$G1939=""),"",Calc!$G1939)</f>
        <v/>
      </c>
      <c r="B1935" t="str">
        <f>IF($A1935="","",LEFT(Calc!$E1939,4)&amp;MID(Calc!$E1939,6,2)&amp;RIGHT(Calc!$E1939,2)&amp;Calc!$Q1939&amp;"|"&amp;"1"&amp;RIGHT("00000"&amp;1930,5))</f>
        <v/>
      </c>
      <c r="C1935" t="str">
        <f t="shared" si="150"/>
        <v/>
      </c>
      <c r="D1935" t="str">
        <f t="shared" si="151"/>
        <v/>
      </c>
      <c r="F1935" t="str">
        <f>IF(Sync!$AH1935="","",IF(LEFT(UPPER(TRIM(Sync!$AH1935)),2)="SL",UPPER(TRIM(Sync!$AH1935)),""))</f>
        <v/>
      </c>
      <c r="G1935" t="str">
        <f>IF($F1935="","",IF(Sync!$AE1935="","",IF(ISNUMBER(Sync!$AE1935),IF(AND(Sync!$AE1935&gt;=10000101,Sync!$AE1935&lt;=99991231),INT(Sync!$AE1935/10000),""),IFERROR(VALUE(TRIM(LEFT(Sync!$AE1935,FIND("/",Sync!$AE1935)-1))),""))))</f>
        <v/>
      </c>
      <c r="H1935" t="str">
        <f>IF(OR($F1935="",$G1935=""),"",IF(ISNUMBER(Sync!$AE1935),INT(MOD(Sync!$AE1935,10000)/100),IFERROR(VALUE(TRIM(LEFT(MID(Sync!$AE1935,FIND("/",Sync!$AE1935)+1,20),FIND("/",MID(Sync!$AE1935,FIND("/",Sync!$AE1935)+1,20))-1))),"")))</f>
        <v/>
      </c>
      <c r="I1935" t="str">
        <f>IF(OR($F1935="",$G1935=""),"",IF(ISNUMBER(Sync!$AE1935),MOD(Sync!$AE1935,100),IFERROR(VALUE(TRIM(MID(MID(Sync!$AE1935,FIND("/",Sync!$AE1935)+1,20),FIND("/",MID(Sync!$AE1935,FIND("/",Sync!$AE1935)+1,20))+1,20))),"")))</f>
        <v/>
      </c>
      <c r="J1935" t="str">
        <f t="shared" si="152"/>
        <v/>
      </c>
      <c r="K1935" t="str">
        <f>IF(OR($F1935="",$J1935="",$J1935="نامعتبر"),"",LEFT($J1935,4)&amp;MID($J1935,6,2)&amp;RIGHT($J1935,2)&amp;$N1935&amp;"|"&amp;"2"&amp;RIGHT("00000"&amp;1930,5))</f>
        <v/>
      </c>
      <c r="L1935" t="str">
        <f t="shared" si="153"/>
        <v/>
      </c>
      <c r="M1935" t="str">
        <f t="shared" si="154"/>
        <v/>
      </c>
      <c r="N1935" t="str">
        <f>IF($F1935="","",IF(Sync!$AF1935="","0000",IF(AND(ISNUMBER(Sync!$AF1935),Sync!$AF1935&gt;=0,Sync!$AF1935&lt;1),RIGHT("00"&amp;HOUR(Sync!$AF1935),2)&amp;RIGHT("00"&amp;MINUTE(Sync!$AF1935),2),IFERROR(RIGHT("00"&amp;VALUE(LEFT(Sync!$AF1935,FIND(":",Sync!$AF1935)-1)),2)&amp;RIGHT("00"&amp;VALUE(MID(Sync!$AF1935,FIND(":",Sync!$AF1935)+1,2)),2),"0000"))))</f>
        <v/>
      </c>
    </row>
    <row r="1936" spans="1:14" x14ac:dyDescent="0.2">
      <c r="A1936" t="str">
        <f>IF(OR(Calc!$E1940="",Calc!$E1940="نامعتبر",Calc!$G1940=""),"",Calc!$G1940)</f>
        <v/>
      </c>
      <c r="B1936" t="str">
        <f>IF($A1936="","",LEFT(Calc!$E1940,4)&amp;MID(Calc!$E1940,6,2)&amp;RIGHT(Calc!$E1940,2)&amp;Calc!$Q1940&amp;"|"&amp;"1"&amp;RIGHT("00000"&amp;1931,5))</f>
        <v/>
      </c>
      <c r="C1936" t="str">
        <f t="shared" si="150"/>
        <v/>
      </c>
      <c r="D1936" t="str">
        <f t="shared" si="151"/>
        <v/>
      </c>
      <c r="F1936" t="str">
        <f>IF(Sync!$AH1936="","",IF(LEFT(UPPER(TRIM(Sync!$AH1936)),2)="SL",UPPER(TRIM(Sync!$AH1936)),""))</f>
        <v/>
      </c>
      <c r="G1936" t="str">
        <f>IF($F1936="","",IF(Sync!$AE1936="","",IF(ISNUMBER(Sync!$AE1936),IF(AND(Sync!$AE1936&gt;=10000101,Sync!$AE1936&lt;=99991231),INT(Sync!$AE1936/10000),""),IFERROR(VALUE(TRIM(LEFT(Sync!$AE1936,FIND("/",Sync!$AE1936)-1))),""))))</f>
        <v/>
      </c>
      <c r="H1936" t="str">
        <f>IF(OR($F1936="",$G1936=""),"",IF(ISNUMBER(Sync!$AE1936),INT(MOD(Sync!$AE1936,10000)/100),IFERROR(VALUE(TRIM(LEFT(MID(Sync!$AE1936,FIND("/",Sync!$AE1936)+1,20),FIND("/",MID(Sync!$AE1936,FIND("/",Sync!$AE1936)+1,20))-1))),"")))</f>
        <v/>
      </c>
      <c r="I1936" t="str">
        <f>IF(OR($F1936="",$G1936=""),"",IF(ISNUMBER(Sync!$AE1936),MOD(Sync!$AE1936,100),IFERROR(VALUE(TRIM(MID(MID(Sync!$AE1936,FIND("/",Sync!$AE1936)+1,20),FIND("/",MID(Sync!$AE1936,FIND("/",Sync!$AE1936)+1,20))+1,20))),"")))</f>
        <v/>
      </c>
      <c r="J1936" t="str">
        <f t="shared" si="152"/>
        <v/>
      </c>
      <c r="K1936" t="str">
        <f>IF(OR($F1936="",$J1936="",$J1936="نامعتبر"),"",LEFT($J1936,4)&amp;MID($J1936,6,2)&amp;RIGHT($J1936,2)&amp;$N1936&amp;"|"&amp;"2"&amp;RIGHT("00000"&amp;1931,5))</f>
        <v/>
      </c>
      <c r="L1936" t="str">
        <f t="shared" si="153"/>
        <v/>
      </c>
      <c r="M1936" t="str">
        <f t="shared" si="154"/>
        <v/>
      </c>
      <c r="N1936" t="str">
        <f>IF($F1936="","",IF(Sync!$AF1936="","0000",IF(AND(ISNUMBER(Sync!$AF1936),Sync!$AF1936&gt;=0,Sync!$AF1936&lt;1),RIGHT("00"&amp;HOUR(Sync!$AF1936),2)&amp;RIGHT("00"&amp;MINUTE(Sync!$AF1936),2),IFERROR(RIGHT("00"&amp;VALUE(LEFT(Sync!$AF1936,FIND(":",Sync!$AF1936)-1)),2)&amp;RIGHT("00"&amp;VALUE(MID(Sync!$AF1936,FIND(":",Sync!$AF1936)+1,2)),2),"0000"))))</f>
        <v/>
      </c>
    </row>
    <row r="1937" spans="1:14" x14ac:dyDescent="0.2">
      <c r="A1937" t="str">
        <f>IF(OR(Calc!$E1941="",Calc!$E1941="نامعتبر",Calc!$G1941=""),"",Calc!$G1941)</f>
        <v/>
      </c>
      <c r="B1937" t="str">
        <f>IF($A1937="","",LEFT(Calc!$E1941,4)&amp;MID(Calc!$E1941,6,2)&amp;RIGHT(Calc!$E1941,2)&amp;Calc!$Q1941&amp;"|"&amp;"1"&amp;RIGHT("00000"&amp;1932,5))</f>
        <v/>
      </c>
      <c r="C1937" t="str">
        <f t="shared" si="150"/>
        <v/>
      </c>
      <c r="D1937" t="str">
        <f t="shared" si="151"/>
        <v/>
      </c>
      <c r="F1937" t="str">
        <f>IF(Sync!$AH1937="","",IF(LEFT(UPPER(TRIM(Sync!$AH1937)),2)="SL",UPPER(TRIM(Sync!$AH1937)),""))</f>
        <v/>
      </c>
      <c r="G1937" t="str">
        <f>IF($F1937="","",IF(Sync!$AE1937="","",IF(ISNUMBER(Sync!$AE1937),IF(AND(Sync!$AE1937&gt;=10000101,Sync!$AE1937&lt;=99991231),INT(Sync!$AE1937/10000),""),IFERROR(VALUE(TRIM(LEFT(Sync!$AE1937,FIND("/",Sync!$AE1937)-1))),""))))</f>
        <v/>
      </c>
      <c r="H1937" t="str">
        <f>IF(OR($F1937="",$G1937=""),"",IF(ISNUMBER(Sync!$AE1937),INT(MOD(Sync!$AE1937,10000)/100),IFERROR(VALUE(TRIM(LEFT(MID(Sync!$AE1937,FIND("/",Sync!$AE1937)+1,20),FIND("/",MID(Sync!$AE1937,FIND("/",Sync!$AE1937)+1,20))-1))),"")))</f>
        <v/>
      </c>
      <c r="I1937" t="str">
        <f>IF(OR($F1937="",$G1937=""),"",IF(ISNUMBER(Sync!$AE1937),MOD(Sync!$AE1937,100),IFERROR(VALUE(TRIM(MID(MID(Sync!$AE1937,FIND("/",Sync!$AE1937)+1,20),FIND("/",MID(Sync!$AE1937,FIND("/",Sync!$AE1937)+1,20))+1,20))),"")))</f>
        <v/>
      </c>
      <c r="J1937" t="str">
        <f t="shared" si="152"/>
        <v/>
      </c>
      <c r="K1937" t="str">
        <f>IF(OR($F1937="",$J1937="",$J1937="نامعتبر"),"",LEFT($J1937,4)&amp;MID($J1937,6,2)&amp;RIGHT($J1937,2)&amp;$N1937&amp;"|"&amp;"2"&amp;RIGHT("00000"&amp;1932,5))</f>
        <v/>
      </c>
      <c r="L1937" t="str">
        <f t="shared" si="153"/>
        <v/>
      </c>
      <c r="M1937" t="str">
        <f t="shared" si="154"/>
        <v/>
      </c>
      <c r="N1937" t="str">
        <f>IF($F1937="","",IF(Sync!$AF1937="","0000",IF(AND(ISNUMBER(Sync!$AF1937),Sync!$AF1937&gt;=0,Sync!$AF1937&lt;1),RIGHT("00"&amp;HOUR(Sync!$AF1937),2)&amp;RIGHT("00"&amp;MINUTE(Sync!$AF1937),2),IFERROR(RIGHT("00"&amp;VALUE(LEFT(Sync!$AF1937,FIND(":",Sync!$AF1937)-1)),2)&amp;RIGHT("00"&amp;VALUE(MID(Sync!$AF1937,FIND(":",Sync!$AF1937)+1,2)),2),"0000"))))</f>
        <v/>
      </c>
    </row>
    <row r="1938" spans="1:14" x14ac:dyDescent="0.2">
      <c r="A1938" t="str">
        <f>IF(OR(Calc!$E1942="",Calc!$E1942="نامعتبر",Calc!$G1942=""),"",Calc!$G1942)</f>
        <v/>
      </c>
      <c r="B1938" t="str">
        <f>IF($A1938="","",LEFT(Calc!$E1942,4)&amp;MID(Calc!$E1942,6,2)&amp;RIGHT(Calc!$E1942,2)&amp;Calc!$Q1942&amp;"|"&amp;"1"&amp;RIGHT("00000"&amp;1933,5))</f>
        <v/>
      </c>
      <c r="C1938" t="str">
        <f t="shared" si="150"/>
        <v/>
      </c>
      <c r="D1938" t="str">
        <f t="shared" si="151"/>
        <v/>
      </c>
      <c r="F1938" t="str">
        <f>IF(Sync!$AH1938="","",IF(LEFT(UPPER(TRIM(Sync!$AH1938)),2)="SL",UPPER(TRIM(Sync!$AH1938)),""))</f>
        <v/>
      </c>
      <c r="G1938" t="str">
        <f>IF($F1938="","",IF(Sync!$AE1938="","",IF(ISNUMBER(Sync!$AE1938),IF(AND(Sync!$AE1938&gt;=10000101,Sync!$AE1938&lt;=99991231),INT(Sync!$AE1938/10000),""),IFERROR(VALUE(TRIM(LEFT(Sync!$AE1938,FIND("/",Sync!$AE1938)-1))),""))))</f>
        <v/>
      </c>
      <c r="H1938" t="str">
        <f>IF(OR($F1938="",$G1938=""),"",IF(ISNUMBER(Sync!$AE1938),INT(MOD(Sync!$AE1938,10000)/100),IFERROR(VALUE(TRIM(LEFT(MID(Sync!$AE1938,FIND("/",Sync!$AE1938)+1,20),FIND("/",MID(Sync!$AE1938,FIND("/",Sync!$AE1938)+1,20))-1))),"")))</f>
        <v/>
      </c>
      <c r="I1938" t="str">
        <f>IF(OR($F1938="",$G1938=""),"",IF(ISNUMBER(Sync!$AE1938),MOD(Sync!$AE1938,100),IFERROR(VALUE(TRIM(MID(MID(Sync!$AE1938,FIND("/",Sync!$AE1938)+1,20),FIND("/",MID(Sync!$AE1938,FIND("/",Sync!$AE1938)+1,20))+1,20))),"")))</f>
        <v/>
      </c>
      <c r="J1938" t="str">
        <f t="shared" si="152"/>
        <v/>
      </c>
      <c r="K1938" t="str">
        <f>IF(OR($F1938="",$J1938="",$J1938="نامعتبر"),"",LEFT($J1938,4)&amp;MID($J1938,6,2)&amp;RIGHT($J1938,2)&amp;$N1938&amp;"|"&amp;"2"&amp;RIGHT("00000"&amp;1933,5))</f>
        <v/>
      </c>
      <c r="L1938" t="str">
        <f t="shared" si="153"/>
        <v/>
      </c>
      <c r="M1938" t="str">
        <f t="shared" si="154"/>
        <v/>
      </c>
      <c r="N1938" t="str">
        <f>IF($F1938="","",IF(Sync!$AF1938="","0000",IF(AND(ISNUMBER(Sync!$AF1938),Sync!$AF1938&gt;=0,Sync!$AF1938&lt;1),RIGHT("00"&amp;HOUR(Sync!$AF1938),2)&amp;RIGHT("00"&amp;MINUTE(Sync!$AF1938),2),IFERROR(RIGHT("00"&amp;VALUE(LEFT(Sync!$AF1938,FIND(":",Sync!$AF1938)-1)),2)&amp;RIGHT("00"&amp;VALUE(MID(Sync!$AF1938,FIND(":",Sync!$AF1938)+1,2)),2),"0000"))))</f>
        <v/>
      </c>
    </row>
    <row r="1939" spans="1:14" x14ac:dyDescent="0.2">
      <c r="A1939" t="str">
        <f>IF(OR(Calc!$E1943="",Calc!$E1943="نامعتبر",Calc!$G1943=""),"",Calc!$G1943)</f>
        <v/>
      </c>
      <c r="B1939" t="str">
        <f>IF($A1939="","",LEFT(Calc!$E1943,4)&amp;MID(Calc!$E1943,6,2)&amp;RIGHT(Calc!$E1943,2)&amp;Calc!$Q1943&amp;"|"&amp;"1"&amp;RIGHT("00000"&amp;1934,5))</f>
        <v/>
      </c>
      <c r="C1939" t="str">
        <f t="shared" si="150"/>
        <v/>
      </c>
      <c r="D1939" t="str">
        <f t="shared" si="151"/>
        <v/>
      </c>
      <c r="F1939" t="str">
        <f>IF(Sync!$AH1939="","",IF(LEFT(UPPER(TRIM(Sync!$AH1939)),2)="SL",UPPER(TRIM(Sync!$AH1939)),""))</f>
        <v/>
      </c>
      <c r="G1939" t="str">
        <f>IF($F1939="","",IF(Sync!$AE1939="","",IF(ISNUMBER(Sync!$AE1939),IF(AND(Sync!$AE1939&gt;=10000101,Sync!$AE1939&lt;=99991231),INT(Sync!$AE1939/10000),""),IFERROR(VALUE(TRIM(LEFT(Sync!$AE1939,FIND("/",Sync!$AE1939)-1))),""))))</f>
        <v/>
      </c>
      <c r="H1939" t="str">
        <f>IF(OR($F1939="",$G1939=""),"",IF(ISNUMBER(Sync!$AE1939),INT(MOD(Sync!$AE1939,10000)/100),IFERROR(VALUE(TRIM(LEFT(MID(Sync!$AE1939,FIND("/",Sync!$AE1939)+1,20),FIND("/",MID(Sync!$AE1939,FIND("/",Sync!$AE1939)+1,20))-1))),"")))</f>
        <v/>
      </c>
      <c r="I1939" t="str">
        <f>IF(OR($F1939="",$G1939=""),"",IF(ISNUMBER(Sync!$AE1939),MOD(Sync!$AE1939,100),IFERROR(VALUE(TRIM(MID(MID(Sync!$AE1939,FIND("/",Sync!$AE1939)+1,20),FIND("/",MID(Sync!$AE1939,FIND("/",Sync!$AE1939)+1,20))+1,20))),"")))</f>
        <v/>
      </c>
      <c r="J1939" t="str">
        <f t="shared" si="152"/>
        <v/>
      </c>
      <c r="K1939" t="str">
        <f>IF(OR($F1939="",$J1939="",$J1939="نامعتبر"),"",LEFT($J1939,4)&amp;MID($J1939,6,2)&amp;RIGHT($J1939,2)&amp;$N1939&amp;"|"&amp;"2"&amp;RIGHT("00000"&amp;1934,5))</f>
        <v/>
      </c>
      <c r="L1939" t="str">
        <f t="shared" si="153"/>
        <v/>
      </c>
      <c r="M1939" t="str">
        <f t="shared" si="154"/>
        <v/>
      </c>
      <c r="N1939" t="str">
        <f>IF($F1939="","",IF(Sync!$AF1939="","0000",IF(AND(ISNUMBER(Sync!$AF1939),Sync!$AF1939&gt;=0,Sync!$AF1939&lt;1),RIGHT("00"&amp;HOUR(Sync!$AF1939),2)&amp;RIGHT("00"&amp;MINUTE(Sync!$AF1939),2),IFERROR(RIGHT("00"&amp;VALUE(LEFT(Sync!$AF1939,FIND(":",Sync!$AF1939)-1)),2)&amp;RIGHT("00"&amp;VALUE(MID(Sync!$AF1939,FIND(":",Sync!$AF1939)+1,2)),2),"0000"))))</f>
        <v/>
      </c>
    </row>
    <row r="1940" spans="1:14" x14ac:dyDescent="0.2">
      <c r="A1940" t="str">
        <f>IF(OR(Calc!$E1944="",Calc!$E1944="نامعتبر",Calc!$G1944=""),"",Calc!$G1944)</f>
        <v/>
      </c>
      <c r="B1940" t="str">
        <f>IF($A1940="","",LEFT(Calc!$E1944,4)&amp;MID(Calc!$E1944,6,2)&amp;RIGHT(Calc!$E1944,2)&amp;Calc!$Q1944&amp;"|"&amp;"1"&amp;RIGHT("00000"&amp;1935,5))</f>
        <v/>
      </c>
      <c r="C1940" t="str">
        <f t="shared" si="150"/>
        <v/>
      </c>
      <c r="D1940" t="str">
        <f t="shared" si="151"/>
        <v/>
      </c>
      <c r="F1940" t="str">
        <f>IF(Sync!$AH1940="","",IF(LEFT(UPPER(TRIM(Sync!$AH1940)),2)="SL",UPPER(TRIM(Sync!$AH1940)),""))</f>
        <v/>
      </c>
      <c r="G1940" t="str">
        <f>IF($F1940="","",IF(Sync!$AE1940="","",IF(ISNUMBER(Sync!$AE1940),IF(AND(Sync!$AE1940&gt;=10000101,Sync!$AE1940&lt;=99991231),INT(Sync!$AE1940/10000),""),IFERROR(VALUE(TRIM(LEFT(Sync!$AE1940,FIND("/",Sync!$AE1940)-1))),""))))</f>
        <v/>
      </c>
      <c r="H1940" t="str">
        <f>IF(OR($F1940="",$G1940=""),"",IF(ISNUMBER(Sync!$AE1940),INT(MOD(Sync!$AE1940,10000)/100),IFERROR(VALUE(TRIM(LEFT(MID(Sync!$AE1940,FIND("/",Sync!$AE1940)+1,20),FIND("/",MID(Sync!$AE1940,FIND("/",Sync!$AE1940)+1,20))-1))),"")))</f>
        <v/>
      </c>
      <c r="I1940" t="str">
        <f>IF(OR($F1940="",$G1940=""),"",IF(ISNUMBER(Sync!$AE1940),MOD(Sync!$AE1940,100),IFERROR(VALUE(TRIM(MID(MID(Sync!$AE1940,FIND("/",Sync!$AE1940)+1,20),FIND("/",MID(Sync!$AE1940,FIND("/",Sync!$AE1940)+1,20))+1,20))),"")))</f>
        <v/>
      </c>
      <c r="J1940" t="str">
        <f t="shared" si="152"/>
        <v/>
      </c>
      <c r="K1940" t="str">
        <f>IF(OR($F1940="",$J1940="",$J1940="نامعتبر"),"",LEFT($J1940,4)&amp;MID($J1940,6,2)&amp;RIGHT($J1940,2)&amp;$N1940&amp;"|"&amp;"2"&amp;RIGHT("00000"&amp;1935,5))</f>
        <v/>
      </c>
      <c r="L1940" t="str">
        <f t="shared" si="153"/>
        <v/>
      </c>
      <c r="M1940" t="str">
        <f t="shared" si="154"/>
        <v/>
      </c>
      <c r="N1940" t="str">
        <f>IF($F1940="","",IF(Sync!$AF1940="","0000",IF(AND(ISNUMBER(Sync!$AF1940),Sync!$AF1940&gt;=0,Sync!$AF1940&lt;1),RIGHT("00"&amp;HOUR(Sync!$AF1940),2)&amp;RIGHT("00"&amp;MINUTE(Sync!$AF1940),2),IFERROR(RIGHT("00"&amp;VALUE(LEFT(Sync!$AF1940,FIND(":",Sync!$AF1940)-1)),2)&amp;RIGHT("00"&amp;VALUE(MID(Sync!$AF1940,FIND(":",Sync!$AF1940)+1,2)),2),"0000"))))</f>
        <v/>
      </c>
    </row>
    <row r="1941" spans="1:14" x14ac:dyDescent="0.2">
      <c r="A1941" t="str">
        <f>IF(OR(Calc!$E1945="",Calc!$E1945="نامعتبر",Calc!$G1945=""),"",Calc!$G1945)</f>
        <v/>
      </c>
      <c r="B1941" t="str">
        <f>IF($A1941="","",LEFT(Calc!$E1945,4)&amp;MID(Calc!$E1945,6,2)&amp;RIGHT(Calc!$E1945,2)&amp;Calc!$Q1945&amp;"|"&amp;"1"&amp;RIGHT("00000"&amp;1936,5))</f>
        <v/>
      </c>
      <c r="C1941" t="str">
        <f t="shared" si="150"/>
        <v/>
      </c>
      <c r="D1941" t="str">
        <f t="shared" si="151"/>
        <v/>
      </c>
      <c r="F1941" t="str">
        <f>IF(Sync!$AH1941="","",IF(LEFT(UPPER(TRIM(Sync!$AH1941)),2)="SL",UPPER(TRIM(Sync!$AH1941)),""))</f>
        <v/>
      </c>
      <c r="G1941" t="str">
        <f>IF($F1941="","",IF(Sync!$AE1941="","",IF(ISNUMBER(Sync!$AE1941),IF(AND(Sync!$AE1941&gt;=10000101,Sync!$AE1941&lt;=99991231),INT(Sync!$AE1941/10000),""),IFERROR(VALUE(TRIM(LEFT(Sync!$AE1941,FIND("/",Sync!$AE1941)-1))),""))))</f>
        <v/>
      </c>
      <c r="H1941" t="str">
        <f>IF(OR($F1941="",$G1941=""),"",IF(ISNUMBER(Sync!$AE1941),INT(MOD(Sync!$AE1941,10000)/100),IFERROR(VALUE(TRIM(LEFT(MID(Sync!$AE1941,FIND("/",Sync!$AE1941)+1,20),FIND("/",MID(Sync!$AE1941,FIND("/",Sync!$AE1941)+1,20))-1))),"")))</f>
        <v/>
      </c>
      <c r="I1941" t="str">
        <f>IF(OR($F1941="",$G1941=""),"",IF(ISNUMBER(Sync!$AE1941),MOD(Sync!$AE1941,100),IFERROR(VALUE(TRIM(MID(MID(Sync!$AE1941,FIND("/",Sync!$AE1941)+1,20),FIND("/",MID(Sync!$AE1941,FIND("/",Sync!$AE1941)+1,20))+1,20))),"")))</f>
        <v/>
      </c>
      <c r="J1941" t="str">
        <f t="shared" si="152"/>
        <v/>
      </c>
      <c r="K1941" t="str">
        <f>IF(OR($F1941="",$J1941="",$J1941="نامعتبر"),"",LEFT($J1941,4)&amp;MID($J1941,6,2)&amp;RIGHT($J1941,2)&amp;$N1941&amp;"|"&amp;"2"&amp;RIGHT("00000"&amp;1936,5))</f>
        <v/>
      </c>
      <c r="L1941" t="str">
        <f t="shared" si="153"/>
        <v/>
      </c>
      <c r="M1941" t="str">
        <f t="shared" si="154"/>
        <v/>
      </c>
      <c r="N1941" t="str">
        <f>IF($F1941="","",IF(Sync!$AF1941="","0000",IF(AND(ISNUMBER(Sync!$AF1941),Sync!$AF1941&gt;=0,Sync!$AF1941&lt;1),RIGHT("00"&amp;HOUR(Sync!$AF1941),2)&amp;RIGHT("00"&amp;MINUTE(Sync!$AF1941),2),IFERROR(RIGHT("00"&amp;VALUE(LEFT(Sync!$AF1941,FIND(":",Sync!$AF1941)-1)),2)&amp;RIGHT("00"&amp;VALUE(MID(Sync!$AF1941,FIND(":",Sync!$AF1941)+1,2)),2),"0000"))))</f>
        <v/>
      </c>
    </row>
    <row r="1942" spans="1:14" x14ac:dyDescent="0.2">
      <c r="A1942" t="str">
        <f>IF(OR(Calc!$E1946="",Calc!$E1946="نامعتبر",Calc!$G1946=""),"",Calc!$G1946)</f>
        <v/>
      </c>
      <c r="B1942" t="str">
        <f>IF($A1942="","",LEFT(Calc!$E1946,4)&amp;MID(Calc!$E1946,6,2)&amp;RIGHT(Calc!$E1946,2)&amp;Calc!$Q1946&amp;"|"&amp;"1"&amp;RIGHT("00000"&amp;1937,5))</f>
        <v/>
      </c>
      <c r="C1942" t="str">
        <f t="shared" si="150"/>
        <v/>
      </c>
      <c r="D1942" t="str">
        <f t="shared" si="151"/>
        <v/>
      </c>
      <c r="F1942" t="str">
        <f>IF(Sync!$AH1942="","",IF(LEFT(UPPER(TRIM(Sync!$AH1942)),2)="SL",UPPER(TRIM(Sync!$AH1942)),""))</f>
        <v/>
      </c>
      <c r="G1942" t="str">
        <f>IF($F1942="","",IF(Sync!$AE1942="","",IF(ISNUMBER(Sync!$AE1942),IF(AND(Sync!$AE1942&gt;=10000101,Sync!$AE1942&lt;=99991231),INT(Sync!$AE1942/10000),""),IFERROR(VALUE(TRIM(LEFT(Sync!$AE1942,FIND("/",Sync!$AE1942)-1))),""))))</f>
        <v/>
      </c>
      <c r="H1942" t="str">
        <f>IF(OR($F1942="",$G1942=""),"",IF(ISNUMBER(Sync!$AE1942),INT(MOD(Sync!$AE1942,10000)/100),IFERROR(VALUE(TRIM(LEFT(MID(Sync!$AE1942,FIND("/",Sync!$AE1942)+1,20),FIND("/",MID(Sync!$AE1942,FIND("/",Sync!$AE1942)+1,20))-1))),"")))</f>
        <v/>
      </c>
      <c r="I1942" t="str">
        <f>IF(OR($F1942="",$G1942=""),"",IF(ISNUMBER(Sync!$AE1942),MOD(Sync!$AE1942,100),IFERROR(VALUE(TRIM(MID(MID(Sync!$AE1942,FIND("/",Sync!$AE1942)+1,20),FIND("/",MID(Sync!$AE1942,FIND("/",Sync!$AE1942)+1,20))+1,20))),"")))</f>
        <v/>
      </c>
      <c r="J1942" t="str">
        <f t="shared" si="152"/>
        <v/>
      </c>
      <c r="K1942" t="str">
        <f>IF(OR($F1942="",$J1942="",$J1942="نامعتبر"),"",LEFT($J1942,4)&amp;MID($J1942,6,2)&amp;RIGHT($J1942,2)&amp;$N1942&amp;"|"&amp;"2"&amp;RIGHT("00000"&amp;1937,5))</f>
        <v/>
      </c>
      <c r="L1942" t="str">
        <f t="shared" si="153"/>
        <v/>
      </c>
      <c r="M1942" t="str">
        <f t="shared" si="154"/>
        <v/>
      </c>
      <c r="N1942" t="str">
        <f>IF($F1942="","",IF(Sync!$AF1942="","0000",IF(AND(ISNUMBER(Sync!$AF1942),Sync!$AF1942&gt;=0,Sync!$AF1942&lt;1),RIGHT("00"&amp;HOUR(Sync!$AF1942),2)&amp;RIGHT("00"&amp;MINUTE(Sync!$AF1942),2),IFERROR(RIGHT("00"&amp;VALUE(LEFT(Sync!$AF1942,FIND(":",Sync!$AF1942)-1)),2)&amp;RIGHT("00"&amp;VALUE(MID(Sync!$AF1942,FIND(":",Sync!$AF1942)+1,2)),2),"0000"))))</f>
        <v/>
      </c>
    </row>
    <row r="1943" spans="1:14" x14ac:dyDescent="0.2">
      <c r="A1943" t="str">
        <f>IF(OR(Calc!$E1947="",Calc!$E1947="نامعتبر",Calc!$G1947=""),"",Calc!$G1947)</f>
        <v/>
      </c>
      <c r="B1943" t="str">
        <f>IF($A1943="","",LEFT(Calc!$E1947,4)&amp;MID(Calc!$E1947,6,2)&amp;RIGHT(Calc!$E1947,2)&amp;Calc!$Q1947&amp;"|"&amp;"1"&amp;RIGHT("00000"&amp;1938,5))</f>
        <v/>
      </c>
      <c r="C1943" t="str">
        <f t="shared" si="150"/>
        <v/>
      </c>
      <c r="D1943" t="str">
        <f t="shared" si="151"/>
        <v/>
      </c>
      <c r="F1943" t="str">
        <f>IF(Sync!$AH1943="","",IF(LEFT(UPPER(TRIM(Sync!$AH1943)),2)="SL",UPPER(TRIM(Sync!$AH1943)),""))</f>
        <v/>
      </c>
      <c r="G1943" t="str">
        <f>IF($F1943="","",IF(Sync!$AE1943="","",IF(ISNUMBER(Sync!$AE1943),IF(AND(Sync!$AE1943&gt;=10000101,Sync!$AE1943&lt;=99991231),INT(Sync!$AE1943/10000),""),IFERROR(VALUE(TRIM(LEFT(Sync!$AE1943,FIND("/",Sync!$AE1943)-1))),""))))</f>
        <v/>
      </c>
      <c r="H1943" t="str">
        <f>IF(OR($F1943="",$G1943=""),"",IF(ISNUMBER(Sync!$AE1943),INT(MOD(Sync!$AE1943,10000)/100),IFERROR(VALUE(TRIM(LEFT(MID(Sync!$AE1943,FIND("/",Sync!$AE1943)+1,20),FIND("/",MID(Sync!$AE1943,FIND("/",Sync!$AE1943)+1,20))-1))),"")))</f>
        <v/>
      </c>
      <c r="I1943" t="str">
        <f>IF(OR($F1943="",$G1943=""),"",IF(ISNUMBER(Sync!$AE1943),MOD(Sync!$AE1943,100),IFERROR(VALUE(TRIM(MID(MID(Sync!$AE1943,FIND("/",Sync!$AE1943)+1,20),FIND("/",MID(Sync!$AE1943,FIND("/",Sync!$AE1943)+1,20))+1,20))),"")))</f>
        <v/>
      </c>
      <c r="J1943" t="str">
        <f t="shared" si="152"/>
        <v/>
      </c>
      <c r="K1943" t="str">
        <f>IF(OR($F1943="",$J1943="",$J1943="نامعتبر"),"",LEFT($J1943,4)&amp;MID($J1943,6,2)&amp;RIGHT($J1943,2)&amp;$N1943&amp;"|"&amp;"2"&amp;RIGHT("00000"&amp;1938,5))</f>
        <v/>
      </c>
      <c r="L1943" t="str">
        <f t="shared" si="153"/>
        <v/>
      </c>
      <c r="M1943" t="str">
        <f t="shared" si="154"/>
        <v/>
      </c>
      <c r="N1943" t="str">
        <f>IF($F1943="","",IF(Sync!$AF1943="","0000",IF(AND(ISNUMBER(Sync!$AF1943),Sync!$AF1943&gt;=0,Sync!$AF1943&lt;1),RIGHT("00"&amp;HOUR(Sync!$AF1943),2)&amp;RIGHT("00"&amp;MINUTE(Sync!$AF1943),2),IFERROR(RIGHT("00"&amp;VALUE(LEFT(Sync!$AF1943,FIND(":",Sync!$AF1943)-1)),2)&amp;RIGHT("00"&amp;VALUE(MID(Sync!$AF1943,FIND(":",Sync!$AF1943)+1,2)),2),"0000"))))</f>
        <v/>
      </c>
    </row>
    <row r="1944" spans="1:14" x14ac:dyDescent="0.2">
      <c r="A1944" t="str">
        <f>IF(OR(Calc!$E1948="",Calc!$E1948="نامعتبر",Calc!$G1948=""),"",Calc!$G1948)</f>
        <v/>
      </c>
      <c r="B1944" t="str">
        <f>IF($A1944="","",LEFT(Calc!$E1948,4)&amp;MID(Calc!$E1948,6,2)&amp;RIGHT(Calc!$E1948,2)&amp;Calc!$Q1948&amp;"|"&amp;"1"&amp;RIGHT("00000"&amp;1939,5))</f>
        <v/>
      </c>
      <c r="C1944" t="str">
        <f t="shared" si="150"/>
        <v/>
      </c>
      <c r="D1944" t="str">
        <f t="shared" si="151"/>
        <v/>
      </c>
      <c r="F1944" t="str">
        <f>IF(Sync!$AH1944="","",IF(LEFT(UPPER(TRIM(Sync!$AH1944)),2)="SL",UPPER(TRIM(Sync!$AH1944)),""))</f>
        <v/>
      </c>
      <c r="G1944" t="str">
        <f>IF($F1944="","",IF(Sync!$AE1944="","",IF(ISNUMBER(Sync!$AE1944),IF(AND(Sync!$AE1944&gt;=10000101,Sync!$AE1944&lt;=99991231),INT(Sync!$AE1944/10000),""),IFERROR(VALUE(TRIM(LEFT(Sync!$AE1944,FIND("/",Sync!$AE1944)-1))),""))))</f>
        <v/>
      </c>
      <c r="H1944" t="str">
        <f>IF(OR($F1944="",$G1944=""),"",IF(ISNUMBER(Sync!$AE1944),INT(MOD(Sync!$AE1944,10000)/100),IFERROR(VALUE(TRIM(LEFT(MID(Sync!$AE1944,FIND("/",Sync!$AE1944)+1,20),FIND("/",MID(Sync!$AE1944,FIND("/",Sync!$AE1944)+1,20))-1))),"")))</f>
        <v/>
      </c>
      <c r="I1944" t="str">
        <f>IF(OR($F1944="",$G1944=""),"",IF(ISNUMBER(Sync!$AE1944),MOD(Sync!$AE1944,100),IFERROR(VALUE(TRIM(MID(MID(Sync!$AE1944,FIND("/",Sync!$AE1944)+1,20),FIND("/",MID(Sync!$AE1944,FIND("/",Sync!$AE1944)+1,20))+1,20))),"")))</f>
        <v/>
      </c>
      <c r="J1944" t="str">
        <f t="shared" si="152"/>
        <v/>
      </c>
      <c r="K1944" t="str">
        <f>IF(OR($F1944="",$J1944="",$J1944="نامعتبر"),"",LEFT($J1944,4)&amp;MID($J1944,6,2)&amp;RIGHT($J1944,2)&amp;$N1944&amp;"|"&amp;"2"&amp;RIGHT("00000"&amp;1939,5))</f>
        <v/>
      </c>
      <c r="L1944" t="str">
        <f t="shared" si="153"/>
        <v/>
      </c>
      <c r="M1944" t="str">
        <f t="shared" si="154"/>
        <v/>
      </c>
      <c r="N1944" t="str">
        <f>IF($F1944="","",IF(Sync!$AF1944="","0000",IF(AND(ISNUMBER(Sync!$AF1944),Sync!$AF1944&gt;=0,Sync!$AF1944&lt;1),RIGHT("00"&amp;HOUR(Sync!$AF1944),2)&amp;RIGHT("00"&amp;MINUTE(Sync!$AF1944),2),IFERROR(RIGHT("00"&amp;VALUE(LEFT(Sync!$AF1944,FIND(":",Sync!$AF1944)-1)),2)&amp;RIGHT("00"&amp;VALUE(MID(Sync!$AF1944,FIND(":",Sync!$AF1944)+1,2)),2),"0000"))))</f>
        <v/>
      </c>
    </row>
    <row r="1945" spans="1:14" x14ac:dyDescent="0.2">
      <c r="A1945" t="str">
        <f>IF(OR(Calc!$E1949="",Calc!$E1949="نامعتبر",Calc!$G1949=""),"",Calc!$G1949)</f>
        <v/>
      </c>
      <c r="B1945" t="str">
        <f>IF($A1945="","",LEFT(Calc!$E1949,4)&amp;MID(Calc!$E1949,6,2)&amp;RIGHT(Calc!$E1949,2)&amp;Calc!$Q1949&amp;"|"&amp;"1"&amp;RIGHT("00000"&amp;1940,5))</f>
        <v/>
      </c>
      <c r="C1945" t="str">
        <f t="shared" si="150"/>
        <v/>
      </c>
      <c r="D1945" t="str">
        <f t="shared" si="151"/>
        <v/>
      </c>
      <c r="F1945" t="str">
        <f>IF(Sync!$AH1945="","",IF(LEFT(UPPER(TRIM(Sync!$AH1945)),2)="SL",UPPER(TRIM(Sync!$AH1945)),""))</f>
        <v/>
      </c>
      <c r="G1945" t="str">
        <f>IF($F1945="","",IF(Sync!$AE1945="","",IF(ISNUMBER(Sync!$AE1945),IF(AND(Sync!$AE1945&gt;=10000101,Sync!$AE1945&lt;=99991231),INT(Sync!$AE1945/10000),""),IFERROR(VALUE(TRIM(LEFT(Sync!$AE1945,FIND("/",Sync!$AE1945)-1))),""))))</f>
        <v/>
      </c>
      <c r="H1945" t="str">
        <f>IF(OR($F1945="",$G1945=""),"",IF(ISNUMBER(Sync!$AE1945),INT(MOD(Sync!$AE1945,10000)/100),IFERROR(VALUE(TRIM(LEFT(MID(Sync!$AE1945,FIND("/",Sync!$AE1945)+1,20),FIND("/",MID(Sync!$AE1945,FIND("/",Sync!$AE1945)+1,20))-1))),"")))</f>
        <v/>
      </c>
      <c r="I1945" t="str">
        <f>IF(OR($F1945="",$G1945=""),"",IF(ISNUMBER(Sync!$AE1945),MOD(Sync!$AE1945,100),IFERROR(VALUE(TRIM(MID(MID(Sync!$AE1945,FIND("/",Sync!$AE1945)+1,20),FIND("/",MID(Sync!$AE1945,FIND("/",Sync!$AE1945)+1,20))+1,20))),"")))</f>
        <v/>
      </c>
      <c r="J1945" t="str">
        <f t="shared" si="152"/>
        <v/>
      </c>
      <c r="K1945" t="str">
        <f>IF(OR($F1945="",$J1945="",$J1945="نامعتبر"),"",LEFT($J1945,4)&amp;MID($J1945,6,2)&amp;RIGHT($J1945,2)&amp;$N1945&amp;"|"&amp;"2"&amp;RIGHT("00000"&amp;1940,5))</f>
        <v/>
      </c>
      <c r="L1945" t="str">
        <f t="shared" si="153"/>
        <v/>
      </c>
      <c r="M1945" t="str">
        <f t="shared" si="154"/>
        <v/>
      </c>
      <c r="N1945" t="str">
        <f>IF($F1945="","",IF(Sync!$AF1945="","0000",IF(AND(ISNUMBER(Sync!$AF1945),Sync!$AF1945&gt;=0,Sync!$AF1945&lt;1),RIGHT("00"&amp;HOUR(Sync!$AF1945),2)&amp;RIGHT("00"&amp;MINUTE(Sync!$AF1945),2),IFERROR(RIGHT("00"&amp;VALUE(LEFT(Sync!$AF1945,FIND(":",Sync!$AF1945)-1)),2)&amp;RIGHT("00"&amp;VALUE(MID(Sync!$AF1945,FIND(":",Sync!$AF1945)+1,2)),2),"0000"))))</f>
        <v/>
      </c>
    </row>
    <row r="1946" spans="1:14" x14ac:dyDescent="0.2">
      <c r="A1946" t="str">
        <f>IF(OR(Calc!$E1950="",Calc!$E1950="نامعتبر",Calc!$G1950=""),"",Calc!$G1950)</f>
        <v/>
      </c>
      <c r="B1946" t="str">
        <f>IF($A1946="","",LEFT(Calc!$E1950,4)&amp;MID(Calc!$E1950,6,2)&amp;RIGHT(Calc!$E1950,2)&amp;Calc!$Q1950&amp;"|"&amp;"1"&amp;RIGHT("00000"&amp;1941,5))</f>
        <v/>
      </c>
      <c r="C1946" t="str">
        <f t="shared" si="150"/>
        <v/>
      </c>
      <c r="D1946" t="str">
        <f t="shared" si="151"/>
        <v/>
      </c>
      <c r="F1946" t="str">
        <f>IF(Sync!$AH1946="","",IF(LEFT(UPPER(TRIM(Sync!$AH1946)),2)="SL",UPPER(TRIM(Sync!$AH1946)),""))</f>
        <v/>
      </c>
      <c r="G1946" t="str">
        <f>IF($F1946="","",IF(Sync!$AE1946="","",IF(ISNUMBER(Sync!$AE1946),IF(AND(Sync!$AE1946&gt;=10000101,Sync!$AE1946&lt;=99991231),INT(Sync!$AE1946/10000),""),IFERROR(VALUE(TRIM(LEFT(Sync!$AE1946,FIND("/",Sync!$AE1946)-1))),""))))</f>
        <v/>
      </c>
      <c r="H1946" t="str">
        <f>IF(OR($F1946="",$G1946=""),"",IF(ISNUMBER(Sync!$AE1946),INT(MOD(Sync!$AE1946,10000)/100),IFERROR(VALUE(TRIM(LEFT(MID(Sync!$AE1946,FIND("/",Sync!$AE1946)+1,20),FIND("/",MID(Sync!$AE1946,FIND("/",Sync!$AE1946)+1,20))-1))),"")))</f>
        <v/>
      </c>
      <c r="I1946" t="str">
        <f>IF(OR($F1946="",$G1946=""),"",IF(ISNUMBER(Sync!$AE1946),MOD(Sync!$AE1946,100),IFERROR(VALUE(TRIM(MID(MID(Sync!$AE1946,FIND("/",Sync!$AE1946)+1,20),FIND("/",MID(Sync!$AE1946,FIND("/",Sync!$AE1946)+1,20))+1,20))),"")))</f>
        <v/>
      </c>
      <c r="J1946" t="str">
        <f t="shared" si="152"/>
        <v/>
      </c>
      <c r="K1946" t="str">
        <f>IF(OR($F1946="",$J1946="",$J1946="نامعتبر"),"",LEFT($J1946,4)&amp;MID($J1946,6,2)&amp;RIGHT($J1946,2)&amp;$N1946&amp;"|"&amp;"2"&amp;RIGHT("00000"&amp;1941,5))</f>
        <v/>
      </c>
      <c r="L1946" t="str">
        <f t="shared" si="153"/>
        <v/>
      </c>
      <c r="M1946" t="str">
        <f t="shared" si="154"/>
        <v/>
      </c>
      <c r="N1946" t="str">
        <f>IF($F1946="","",IF(Sync!$AF1946="","0000",IF(AND(ISNUMBER(Sync!$AF1946),Sync!$AF1946&gt;=0,Sync!$AF1946&lt;1),RIGHT("00"&amp;HOUR(Sync!$AF1946),2)&amp;RIGHT("00"&amp;MINUTE(Sync!$AF1946),2),IFERROR(RIGHT("00"&amp;VALUE(LEFT(Sync!$AF1946,FIND(":",Sync!$AF1946)-1)),2)&amp;RIGHT("00"&amp;VALUE(MID(Sync!$AF1946,FIND(":",Sync!$AF1946)+1,2)),2),"0000"))))</f>
        <v/>
      </c>
    </row>
    <row r="1947" spans="1:14" x14ac:dyDescent="0.2">
      <c r="A1947" t="str">
        <f>IF(OR(Calc!$E1951="",Calc!$E1951="نامعتبر",Calc!$G1951=""),"",Calc!$G1951)</f>
        <v/>
      </c>
      <c r="B1947" t="str">
        <f>IF($A1947="","",LEFT(Calc!$E1951,4)&amp;MID(Calc!$E1951,6,2)&amp;RIGHT(Calc!$E1951,2)&amp;Calc!$Q1951&amp;"|"&amp;"1"&amp;RIGHT("00000"&amp;1942,5))</f>
        <v/>
      </c>
      <c r="C1947" t="str">
        <f t="shared" si="150"/>
        <v/>
      </c>
      <c r="D1947" t="str">
        <f t="shared" si="151"/>
        <v/>
      </c>
      <c r="F1947" t="str">
        <f>IF(Sync!$AH1947="","",IF(LEFT(UPPER(TRIM(Sync!$AH1947)),2)="SL",UPPER(TRIM(Sync!$AH1947)),""))</f>
        <v/>
      </c>
      <c r="G1947" t="str">
        <f>IF($F1947="","",IF(Sync!$AE1947="","",IF(ISNUMBER(Sync!$AE1947),IF(AND(Sync!$AE1947&gt;=10000101,Sync!$AE1947&lt;=99991231),INT(Sync!$AE1947/10000),""),IFERROR(VALUE(TRIM(LEFT(Sync!$AE1947,FIND("/",Sync!$AE1947)-1))),""))))</f>
        <v/>
      </c>
      <c r="H1947" t="str">
        <f>IF(OR($F1947="",$G1947=""),"",IF(ISNUMBER(Sync!$AE1947),INT(MOD(Sync!$AE1947,10000)/100),IFERROR(VALUE(TRIM(LEFT(MID(Sync!$AE1947,FIND("/",Sync!$AE1947)+1,20),FIND("/",MID(Sync!$AE1947,FIND("/",Sync!$AE1947)+1,20))-1))),"")))</f>
        <v/>
      </c>
      <c r="I1947" t="str">
        <f>IF(OR($F1947="",$G1947=""),"",IF(ISNUMBER(Sync!$AE1947),MOD(Sync!$AE1947,100),IFERROR(VALUE(TRIM(MID(MID(Sync!$AE1947,FIND("/",Sync!$AE1947)+1,20),FIND("/",MID(Sync!$AE1947,FIND("/",Sync!$AE1947)+1,20))+1,20))),"")))</f>
        <v/>
      </c>
      <c r="J1947" t="str">
        <f t="shared" si="152"/>
        <v/>
      </c>
      <c r="K1947" t="str">
        <f>IF(OR($F1947="",$J1947="",$J1947="نامعتبر"),"",LEFT($J1947,4)&amp;MID($J1947,6,2)&amp;RIGHT($J1947,2)&amp;$N1947&amp;"|"&amp;"2"&amp;RIGHT("00000"&amp;1942,5))</f>
        <v/>
      </c>
      <c r="L1947" t="str">
        <f t="shared" si="153"/>
        <v/>
      </c>
      <c r="M1947" t="str">
        <f t="shared" si="154"/>
        <v/>
      </c>
      <c r="N1947" t="str">
        <f>IF($F1947="","",IF(Sync!$AF1947="","0000",IF(AND(ISNUMBER(Sync!$AF1947),Sync!$AF1947&gt;=0,Sync!$AF1947&lt;1),RIGHT("00"&amp;HOUR(Sync!$AF1947),2)&amp;RIGHT("00"&amp;MINUTE(Sync!$AF1947),2),IFERROR(RIGHT("00"&amp;VALUE(LEFT(Sync!$AF1947,FIND(":",Sync!$AF1947)-1)),2)&amp;RIGHT("00"&amp;VALUE(MID(Sync!$AF1947,FIND(":",Sync!$AF1947)+1,2)),2),"0000"))))</f>
        <v/>
      </c>
    </row>
    <row r="1948" spans="1:14" x14ac:dyDescent="0.2">
      <c r="A1948" t="str">
        <f>IF(OR(Calc!$E1952="",Calc!$E1952="نامعتبر",Calc!$G1952=""),"",Calc!$G1952)</f>
        <v/>
      </c>
      <c r="B1948" t="str">
        <f>IF($A1948="","",LEFT(Calc!$E1952,4)&amp;MID(Calc!$E1952,6,2)&amp;RIGHT(Calc!$E1952,2)&amp;Calc!$Q1952&amp;"|"&amp;"1"&amp;RIGHT("00000"&amp;1943,5))</f>
        <v/>
      </c>
      <c r="C1948" t="str">
        <f t="shared" si="150"/>
        <v/>
      </c>
      <c r="D1948" t="str">
        <f t="shared" si="151"/>
        <v/>
      </c>
      <c r="F1948" t="str">
        <f>IF(Sync!$AH1948="","",IF(LEFT(UPPER(TRIM(Sync!$AH1948)),2)="SL",UPPER(TRIM(Sync!$AH1948)),""))</f>
        <v/>
      </c>
      <c r="G1948" t="str">
        <f>IF($F1948="","",IF(Sync!$AE1948="","",IF(ISNUMBER(Sync!$AE1948),IF(AND(Sync!$AE1948&gt;=10000101,Sync!$AE1948&lt;=99991231),INT(Sync!$AE1948/10000),""),IFERROR(VALUE(TRIM(LEFT(Sync!$AE1948,FIND("/",Sync!$AE1948)-1))),""))))</f>
        <v/>
      </c>
      <c r="H1948" t="str">
        <f>IF(OR($F1948="",$G1948=""),"",IF(ISNUMBER(Sync!$AE1948),INT(MOD(Sync!$AE1948,10000)/100),IFERROR(VALUE(TRIM(LEFT(MID(Sync!$AE1948,FIND("/",Sync!$AE1948)+1,20),FIND("/",MID(Sync!$AE1948,FIND("/",Sync!$AE1948)+1,20))-1))),"")))</f>
        <v/>
      </c>
      <c r="I1948" t="str">
        <f>IF(OR($F1948="",$G1948=""),"",IF(ISNUMBER(Sync!$AE1948),MOD(Sync!$AE1948,100),IFERROR(VALUE(TRIM(MID(MID(Sync!$AE1948,FIND("/",Sync!$AE1948)+1,20),FIND("/",MID(Sync!$AE1948,FIND("/",Sync!$AE1948)+1,20))+1,20))),"")))</f>
        <v/>
      </c>
      <c r="J1948" t="str">
        <f t="shared" si="152"/>
        <v/>
      </c>
      <c r="K1948" t="str">
        <f>IF(OR($F1948="",$J1948="",$J1948="نامعتبر"),"",LEFT($J1948,4)&amp;MID($J1948,6,2)&amp;RIGHT($J1948,2)&amp;$N1948&amp;"|"&amp;"2"&amp;RIGHT("00000"&amp;1943,5))</f>
        <v/>
      </c>
      <c r="L1948" t="str">
        <f t="shared" si="153"/>
        <v/>
      </c>
      <c r="M1948" t="str">
        <f t="shared" si="154"/>
        <v/>
      </c>
      <c r="N1948" t="str">
        <f>IF($F1948="","",IF(Sync!$AF1948="","0000",IF(AND(ISNUMBER(Sync!$AF1948),Sync!$AF1948&gt;=0,Sync!$AF1948&lt;1),RIGHT("00"&amp;HOUR(Sync!$AF1948),2)&amp;RIGHT("00"&amp;MINUTE(Sync!$AF1948),2),IFERROR(RIGHT("00"&amp;VALUE(LEFT(Sync!$AF1948,FIND(":",Sync!$AF1948)-1)),2)&amp;RIGHT("00"&amp;VALUE(MID(Sync!$AF1948,FIND(":",Sync!$AF1948)+1,2)),2),"0000"))))</f>
        <v/>
      </c>
    </row>
    <row r="1949" spans="1:14" x14ac:dyDescent="0.2">
      <c r="A1949" t="str">
        <f>IF(OR(Calc!$E1953="",Calc!$E1953="نامعتبر",Calc!$G1953=""),"",Calc!$G1953)</f>
        <v/>
      </c>
      <c r="B1949" t="str">
        <f>IF($A1949="","",LEFT(Calc!$E1953,4)&amp;MID(Calc!$E1953,6,2)&amp;RIGHT(Calc!$E1953,2)&amp;Calc!$Q1953&amp;"|"&amp;"1"&amp;RIGHT("00000"&amp;1944,5))</f>
        <v/>
      </c>
      <c r="C1949" t="str">
        <f t="shared" si="150"/>
        <v/>
      </c>
      <c r="D1949" t="str">
        <f t="shared" si="151"/>
        <v/>
      </c>
      <c r="F1949" t="str">
        <f>IF(Sync!$AH1949="","",IF(LEFT(UPPER(TRIM(Sync!$AH1949)),2)="SL",UPPER(TRIM(Sync!$AH1949)),""))</f>
        <v/>
      </c>
      <c r="G1949" t="str">
        <f>IF($F1949="","",IF(Sync!$AE1949="","",IF(ISNUMBER(Sync!$AE1949),IF(AND(Sync!$AE1949&gt;=10000101,Sync!$AE1949&lt;=99991231),INT(Sync!$AE1949/10000),""),IFERROR(VALUE(TRIM(LEFT(Sync!$AE1949,FIND("/",Sync!$AE1949)-1))),""))))</f>
        <v/>
      </c>
      <c r="H1949" t="str">
        <f>IF(OR($F1949="",$G1949=""),"",IF(ISNUMBER(Sync!$AE1949),INT(MOD(Sync!$AE1949,10000)/100),IFERROR(VALUE(TRIM(LEFT(MID(Sync!$AE1949,FIND("/",Sync!$AE1949)+1,20),FIND("/",MID(Sync!$AE1949,FIND("/",Sync!$AE1949)+1,20))-1))),"")))</f>
        <v/>
      </c>
      <c r="I1949" t="str">
        <f>IF(OR($F1949="",$G1949=""),"",IF(ISNUMBER(Sync!$AE1949),MOD(Sync!$AE1949,100),IFERROR(VALUE(TRIM(MID(MID(Sync!$AE1949,FIND("/",Sync!$AE1949)+1,20),FIND("/",MID(Sync!$AE1949,FIND("/",Sync!$AE1949)+1,20))+1,20))),"")))</f>
        <v/>
      </c>
      <c r="J1949" t="str">
        <f t="shared" si="152"/>
        <v/>
      </c>
      <c r="K1949" t="str">
        <f>IF(OR($F1949="",$J1949="",$J1949="نامعتبر"),"",LEFT($J1949,4)&amp;MID($J1949,6,2)&amp;RIGHT($J1949,2)&amp;$N1949&amp;"|"&amp;"2"&amp;RIGHT("00000"&amp;1944,5))</f>
        <v/>
      </c>
      <c r="L1949" t="str">
        <f t="shared" si="153"/>
        <v/>
      </c>
      <c r="M1949" t="str">
        <f t="shared" si="154"/>
        <v/>
      </c>
      <c r="N1949" t="str">
        <f>IF($F1949="","",IF(Sync!$AF1949="","0000",IF(AND(ISNUMBER(Sync!$AF1949),Sync!$AF1949&gt;=0,Sync!$AF1949&lt;1),RIGHT("00"&amp;HOUR(Sync!$AF1949),2)&amp;RIGHT("00"&amp;MINUTE(Sync!$AF1949),2),IFERROR(RIGHT("00"&amp;VALUE(LEFT(Sync!$AF1949,FIND(":",Sync!$AF1949)-1)),2)&amp;RIGHT("00"&amp;VALUE(MID(Sync!$AF1949,FIND(":",Sync!$AF1949)+1,2)),2),"0000"))))</f>
        <v/>
      </c>
    </row>
    <row r="1950" spans="1:14" x14ac:dyDescent="0.2">
      <c r="A1950" t="str">
        <f>IF(OR(Calc!$E1954="",Calc!$E1954="نامعتبر",Calc!$G1954=""),"",Calc!$G1954)</f>
        <v/>
      </c>
      <c r="B1950" t="str">
        <f>IF($A1950="","",LEFT(Calc!$E1954,4)&amp;MID(Calc!$E1954,6,2)&amp;RIGHT(Calc!$E1954,2)&amp;Calc!$Q1954&amp;"|"&amp;"1"&amp;RIGHT("00000"&amp;1945,5))</f>
        <v/>
      </c>
      <c r="C1950" t="str">
        <f t="shared" si="150"/>
        <v/>
      </c>
      <c r="D1950" t="str">
        <f t="shared" si="151"/>
        <v/>
      </c>
      <c r="F1950" t="str">
        <f>IF(Sync!$AH1950="","",IF(LEFT(UPPER(TRIM(Sync!$AH1950)),2)="SL",UPPER(TRIM(Sync!$AH1950)),""))</f>
        <v/>
      </c>
      <c r="G1950" t="str">
        <f>IF($F1950="","",IF(Sync!$AE1950="","",IF(ISNUMBER(Sync!$AE1950),IF(AND(Sync!$AE1950&gt;=10000101,Sync!$AE1950&lt;=99991231),INT(Sync!$AE1950/10000),""),IFERROR(VALUE(TRIM(LEFT(Sync!$AE1950,FIND("/",Sync!$AE1950)-1))),""))))</f>
        <v/>
      </c>
      <c r="H1950" t="str">
        <f>IF(OR($F1950="",$G1950=""),"",IF(ISNUMBER(Sync!$AE1950),INT(MOD(Sync!$AE1950,10000)/100),IFERROR(VALUE(TRIM(LEFT(MID(Sync!$AE1950,FIND("/",Sync!$AE1950)+1,20),FIND("/",MID(Sync!$AE1950,FIND("/",Sync!$AE1950)+1,20))-1))),"")))</f>
        <v/>
      </c>
      <c r="I1950" t="str">
        <f>IF(OR($F1950="",$G1950=""),"",IF(ISNUMBER(Sync!$AE1950),MOD(Sync!$AE1950,100),IFERROR(VALUE(TRIM(MID(MID(Sync!$AE1950,FIND("/",Sync!$AE1950)+1,20),FIND("/",MID(Sync!$AE1950,FIND("/",Sync!$AE1950)+1,20))+1,20))),"")))</f>
        <v/>
      </c>
      <c r="J1950" t="str">
        <f t="shared" si="152"/>
        <v/>
      </c>
      <c r="K1950" t="str">
        <f>IF(OR($F1950="",$J1950="",$J1950="نامعتبر"),"",LEFT($J1950,4)&amp;MID($J1950,6,2)&amp;RIGHT($J1950,2)&amp;$N1950&amp;"|"&amp;"2"&amp;RIGHT("00000"&amp;1945,5))</f>
        <v/>
      </c>
      <c r="L1950" t="str">
        <f t="shared" si="153"/>
        <v/>
      </c>
      <c r="M1950" t="str">
        <f t="shared" si="154"/>
        <v/>
      </c>
      <c r="N1950" t="str">
        <f>IF($F1950="","",IF(Sync!$AF1950="","0000",IF(AND(ISNUMBER(Sync!$AF1950),Sync!$AF1950&gt;=0,Sync!$AF1950&lt;1),RIGHT("00"&amp;HOUR(Sync!$AF1950),2)&amp;RIGHT("00"&amp;MINUTE(Sync!$AF1950),2),IFERROR(RIGHT("00"&amp;VALUE(LEFT(Sync!$AF1950,FIND(":",Sync!$AF1950)-1)),2)&amp;RIGHT("00"&amp;VALUE(MID(Sync!$AF1950,FIND(":",Sync!$AF1950)+1,2)),2),"0000"))))</f>
        <v/>
      </c>
    </row>
    <row r="1951" spans="1:14" x14ac:dyDescent="0.2">
      <c r="A1951" t="str">
        <f>IF(OR(Calc!$E1955="",Calc!$E1955="نامعتبر",Calc!$G1955=""),"",Calc!$G1955)</f>
        <v/>
      </c>
      <c r="B1951" t="str">
        <f>IF($A1951="","",LEFT(Calc!$E1955,4)&amp;MID(Calc!$E1955,6,2)&amp;RIGHT(Calc!$E1955,2)&amp;Calc!$Q1955&amp;"|"&amp;"1"&amp;RIGHT("00000"&amp;1946,5))</f>
        <v/>
      </c>
      <c r="C1951" t="str">
        <f t="shared" si="150"/>
        <v/>
      </c>
      <c r="D1951" t="str">
        <f t="shared" si="151"/>
        <v/>
      </c>
      <c r="F1951" t="str">
        <f>IF(Sync!$AH1951="","",IF(LEFT(UPPER(TRIM(Sync!$AH1951)),2)="SL",UPPER(TRIM(Sync!$AH1951)),""))</f>
        <v/>
      </c>
      <c r="G1951" t="str">
        <f>IF($F1951="","",IF(Sync!$AE1951="","",IF(ISNUMBER(Sync!$AE1951),IF(AND(Sync!$AE1951&gt;=10000101,Sync!$AE1951&lt;=99991231),INT(Sync!$AE1951/10000),""),IFERROR(VALUE(TRIM(LEFT(Sync!$AE1951,FIND("/",Sync!$AE1951)-1))),""))))</f>
        <v/>
      </c>
      <c r="H1951" t="str">
        <f>IF(OR($F1951="",$G1951=""),"",IF(ISNUMBER(Sync!$AE1951),INT(MOD(Sync!$AE1951,10000)/100),IFERROR(VALUE(TRIM(LEFT(MID(Sync!$AE1951,FIND("/",Sync!$AE1951)+1,20),FIND("/",MID(Sync!$AE1951,FIND("/",Sync!$AE1951)+1,20))-1))),"")))</f>
        <v/>
      </c>
      <c r="I1951" t="str">
        <f>IF(OR($F1951="",$G1951=""),"",IF(ISNUMBER(Sync!$AE1951),MOD(Sync!$AE1951,100),IFERROR(VALUE(TRIM(MID(MID(Sync!$AE1951,FIND("/",Sync!$AE1951)+1,20),FIND("/",MID(Sync!$AE1951,FIND("/",Sync!$AE1951)+1,20))+1,20))),"")))</f>
        <v/>
      </c>
      <c r="J1951" t="str">
        <f t="shared" si="152"/>
        <v/>
      </c>
      <c r="K1951" t="str">
        <f>IF(OR($F1951="",$J1951="",$J1951="نامعتبر"),"",LEFT($J1951,4)&amp;MID($J1951,6,2)&amp;RIGHT($J1951,2)&amp;$N1951&amp;"|"&amp;"2"&amp;RIGHT("00000"&amp;1946,5))</f>
        <v/>
      </c>
      <c r="L1951" t="str">
        <f t="shared" si="153"/>
        <v/>
      </c>
      <c r="M1951" t="str">
        <f t="shared" si="154"/>
        <v/>
      </c>
      <c r="N1951" t="str">
        <f>IF($F1951="","",IF(Sync!$AF1951="","0000",IF(AND(ISNUMBER(Sync!$AF1951),Sync!$AF1951&gt;=0,Sync!$AF1951&lt;1),RIGHT("00"&amp;HOUR(Sync!$AF1951),2)&amp;RIGHT("00"&amp;MINUTE(Sync!$AF1951),2),IFERROR(RIGHT("00"&amp;VALUE(LEFT(Sync!$AF1951,FIND(":",Sync!$AF1951)-1)),2)&amp;RIGHT("00"&amp;VALUE(MID(Sync!$AF1951,FIND(":",Sync!$AF1951)+1,2)),2),"0000"))))</f>
        <v/>
      </c>
    </row>
    <row r="1952" spans="1:14" x14ac:dyDescent="0.2">
      <c r="A1952" t="str">
        <f>IF(OR(Calc!$E1956="",Calc!$E1956="نامعتبر",Calc!$G1956=""),"",Calc!$G1956)</f>
        <v/>
      </c>
      <c r="B1952" t="str">
        <f>IF($A1952="","",LEFT(Calc!$E1956,4)&amp;MID(Calc!$E1956,6,2)&amp;RIGHT(Calc!$E1956,2)&amp;Calc!$Q1956&amp;"|"&amp;"1"&amp;RIGHT("00000"&amp;1947,5))</f>
        <v/>
      </c>
      <c r="C1952" t="str">
        <f t="shared" si="150"/>
        <v/>
      </c>
      <c r="D1952" t="str">
        <f t="shared" si="151"/>
        <v/>
      </c>
      <c r="F1952" t="str">
        <f>IF(Sync!$AH1952="","",IF(LEFT(UPPER(TRIM(Sync!$AH1952)),2)="SL",UPPER(TRIM(Sync!$AH1952)),""))</f>
        <v/>
      </c>
      <c r="G1952" t="str">
        <f>IF($F1952="","",IF(Sync!$AE1952="","",IF(ISNUMBER(Sync!$AE1952),IF(AND(Sync!$AE1952&gt;=10000101,Sync!$AE1952&lt;=99991231),INT(Sync!$AE1952/10000),""),IFERROR(VALUE(TRIM(LEFT(Sync!$AE1952,FIND("/",Sync!$AE1952)-1))),""))))</f>
        <v/>
      </c>
      <c r="H1952" t="str">
        <f>IF(OR($F1952="",$G1952=""),"",IF(ISNUMBER(Sync!$AE1952),INT(MOD(Sync!$AE1952,10000)/100),IFERROR(VALUE(TRIM(LEFT(MID(Sync!$AE1952,FIND("/",Sync!$AE1952)+1,20),FIND("/",MID(Sync!$AE1952,FIND("/",Sync!$AE1952)+1,20))-1))),"")))</f>
        <v/>
      </c>
      <c r="I1952" t="str">
        <f>IF(OR($F1952="",$G1952=""),"",IF(ISNUMBER(Sync!$AE1952),MOD(Sync!$AE1952,100),IFERROR(VALUE(TRIM(MID(MID(Sync!$AE1952,FIND("/",Sync!$AE1952)+1,20),FIND("/",MID(Sync!$AE1952,FIND("/",Sync!$AE1952)+1,20))+1,20))),"")))</f>
        <v/>
      </c>
      <c r="J1952" t="str">
        <f t="shared" si="152"/>
        <v/>
      </c>
      <c r="K1952" t="str">
        <f>IF(OR($F1952="",$J1952="",$J1952="نامعتبر"),"",LEFT($J1952,4)&amp;MID($J1952,6,2)&amp;RIGHT($J1952,2)&amp;$N1952&amp;"|"&amp;"2"&amp;RIGHT("00000"&amp;1947,5))</f>
        <v/>
      </c>
      <c r="L1952" t="str">
        <f t="shared" si="153"/>
        <v/>
      </c>
      <c r="M1952" t="str">
        <f t="shared" si="154"/>
        <v/>
      </c>
      <c r="N1952" t="str">
        <f>IF($F1952="","",IF(Sync!$AF1952="","0000",IF(AND(ISNUMBER(Sync!$AF1952),Sync!$AF1952&gt;=0,Sync!$AF1952&lt;1),RIGHT("00"&amp;HOUR(Sync!$AF1952),2)&amp;RIGHT("00"&amp;MINUTE(Sync!$AF1952),2),IFERROR(RIGHT("00"&amp;VALUE(LEFT(Sync!$AF1952,FIND(":",Sync!$AF1952)-1)),2)&amp;RIGHT("00"&amp;VALUE(MID(Sync!$AF1952,FIND(":",Sync!$AF1952)+1,2)),2),"0000"))))</f>
        <v/>
      </c>
    </row>
    <row r="1953" spans="1:14" x14ac:dyDescent="0.2">
      <c r="A1953" t="str">
        <f>IF(OR(Calc!$E1957="",Calc!$E1957="نامعتبر",Calc!$G1957=""),"",Calc!$G1957)</f>
        <v/>
      </c>
      <c r="B1953" t="str">
        <f>IF($A1953="","",LEFT(Calc!$E1957,4)&amp;MID(Calc!$E1957,6,2)&amp;RIGHT(Calc!$E1957,2)&amp;Calc!$Q1957&amp;"|"&amp;"1"&amp;RIGHT("00000"&amp;1948,5))</f>
        <v/>
      </c>
      <c r="C1953" t="str">
        <f t="shared" si="150"/>
        <v/>
      </c>
      <c r="D1953" t="str">
        <f t="shared" si="151"/>
        <v/>
      </c>
      <c r="F1953" t="str">
        <f>IF(Sync!$AH1953="","",IF(LEFT(UPPER(TRIM(Sync!$AH1953)),2)="SL",UPPER(TRIM(Sync!$AH1953)),""))</f>
        <v/>
      </c>
      <c r="G1953" t="str">
        <f>IF($F1953="","",IF(Sync!$AE1953="","",IF(ISNUMBER(Sync!$AE1953),IF(AND(Sync!$AE1953&gt;=10000101,Sync!$AE1953&lt;=99991231),INT(Sync!$AE1953/10000),""),IFERROR(VALUE(TRIM(LEFT(Sync!$AE1953,FIND("/",Sync!$AE1953)-1))),""))))</f>
        <v/>
      </c>
      <c r="H1953" t="str">
        <f>IF(OR($F1953="",$G1953=""),"",IF(ISNUMBER(Sync!$AE1953),INT(MOD(Sync!$AE1953,10000)/100),IFERROR(VALUE(TRIM(LEFT(MID(Sync!$AE1953,FIND("/",Sync!$AE1953)+1,20),FIND("/",MID(Sync!$AE1953,FIND("/",Sync!$AE1953)+1,20))-1))),"")))</f>
        <v/>
      </c>
      <c r="I1953" t="str">
        <f>IF(OR($F1953="",$G1953=""),"",IF(ISNUMBER(Sync!$AE1953),MOD(Sync!$AE1953,100),IFERROR(VALUE(TRIM(MID(MID(Sync!$AE1953,FIND("/",Sync!$AE1953)+1,20),FIND("/",MID(Sync!$AE1953,FIND("/",Sync!$AE1953)+1,20))+1,20))),"")))</f>
        <v/>
      </c>
      <c r="J1953" t="str">
        <f t="shared" si="152"/>
        <v/>
      </c>
      <c r="K1953" t="str">
        <f>IF(OR($F1953="",$J1953="",$J1953="نامعتبر"),"",LEFT($J1953,4)&amp;MID($J1953,6,2)&amp;RIGHT($J1953,2)&amp;$N1953&amp;"|"&amp;"2"&amp;RIGHT("00000"&amp;1948,5))</f>
        <v/>
      </c>
      <c r="L1953" t="str">
        <f t="shared" si="153"/>
        <v/>
      </c>
      <c r="M1953" t="str">
        <f t="shared" si="154"/>
        <v/>
      </c>
      <c r="N1953" t="str">
        <f>IF($F1953="","",IF(Sync!$AF1953="","0000",IF(AND(ISNUMBER(Sync!$AF1953),Sync!$AF1953&gt;=0,Sync!$AF1953&lt;1),RIGHT("00"&amp;HOUR(Sync!$AF1953),2)&amp;RIGHT("00"&amp;MINUTE(Sync!$AF1953),2),IFERROR(RIGHT("00"&amp;VALUE(LEFT(Sync!$AF1953,FIND(":",Sync!$AF1953)-1)),2)&amp;RIGHT("00"&amp;VALUE(MID(Sync!$AF1953,FIND(":",Sync!$AF1953)+1,2)),2),"0000"))))</f>
        <v/>
      </c>
    </row>
    <row r="1954" spans="1:14" x14ac:dyDescent="0.2">
      <c r="A1954" t="str">
        <f>IF(OR(Calc!$E1958="",Calc!$E1958="نامعتبر",Calc!$G1958=""),"",Calc!$G1958)</f>
        <v/>
      </c>
      <c r="B1954" t="str">
        <f>IF($A1954="","",LEFT(Calc!$E1958,4)&amp;MID(Calc!$E1958,6,2)&amp;RIGHT(Calc!$E1958,2)&amp;Calc!$Q1958&amp;"|"&amp;"1"&amp;RIGHT("00000"&amp;1949,5))</f>
        <v/>
      </c>
      <c r="C1954" t="str">
        <f t="shared" si="150"/>
        <v/>
      </c>
      <c r="D1954" t="str">
        <f t="shared" si="151"/>
        <v/>
      </c>
      <c r="F1954" t="str">
        <f>IF(Sync!$AH1954="","",IF(LEFT(UPPER(TRIM(Sync!$AH1954)),2)="SL",UPPER(TRIM(Sync!$AH1954)),""))</f>
        <v/>
      </c>
      <c r="G1954" t="str">
        <f>IF($F1954="","",IF(Sync!$AE1954="","",IF(ISNUMBER(Sync!$AE1954),IF(AND(Sync!$AE1954&gt;=10000101,Sync!$AE1954&lt;=99991231),INT(Sync!$AE1954/10000),""),IFERROR(VALUE(TRIM(LEFT(Sync!$AE1954,FIND("/",Sync!$AE1954)-1))),""))))</f>
        <v/>
      </c>
      <c r="H1954" t="str">
        <f>IF(OR($F1954="",$G1954=""),"",IF(ISNUMBER(Sync!$AE1954),INT(MOD(Sync!$AE1954,10000)/100),IFERROR(VALUE(TRIM(LEFT(MID(Sync!$AE1954,FIND("/",Sync!$AE1954)+1,20),FIND("/",MID(Sync!$AE1954,FIND("/",Sync!$AE1954)+1,20))-1))),"")))</f>
        <v/>
      </c>
      <c r="I1954" t="str">
        <f>IF(OR($F1954="",$G1954=""),"",IF(ISNUMBER(Sync!$AE1954),MOD(Sync!$AE1954,100),IFERROR(VALUE(TRIM(MID(MID(Sync!$AE1954,FIND("/",Sync!$AE1954)+1,20),FIND("/",MID(Sync!$AE1954,FIND("/",Sync!$AE1954)+1,20))+1,20))),"")))</f>
        <v/>
      </c>
      <c r="J1954" t="str">
        <f t="shared" si="152"/>
        <v/>
      </c>
      <c r="K1954" t="str">
        <f>IF(OR($F1954="",$J1954="",$J1954="نامعتبر"),"",LEFT($J1954,4)&amp;MID($J1954,6,2)&amp;RIGHT($J1954,2)&amp;$N1954&amp;"|"&amp;"2"&amp;RIGHT("00000"&amp;1949,5))</f>
        <v/>
      </c>
      <c r="L1954" t="str">
        <f t="shared" si="153"/>
        <v/>
      </c>
      <c r="M1954" t="str">
        <f t="shared" si="154"/>
        <v/>
      </c>
      <c r="N1954" t="str">
        <f>IF($F1954="","",IF(Sync!$AF1954="","0000",IF(AND(ISNUMBER(Sync!$AF1954),Sync!$AF1954&gt;=0,Sync!$AF1954&lt;1),RIGHT("00"&amp;HOUR(Sync!$AF1954),2)&amp;RIGHT("00"&amp;MINUTE(Sync!$AF1954),2),IFERROR(RIGHT("00"&amp;VALUE(LEFT(Sync!$AF1954,FIND(":",Sync!$AF1954)-1)),2)&amp;RIGHT("00"&amp;VALUE(MID(Sync!$AF1954,FIND(":",Sync!$AF1954)+1,2)),2),"0000"))))</f>
        <v/>
      </c>
    </row>
    <row r="1955" spans="1:14" x14ac:dyDescent="0.2">
      <c r="A1955" t="str">
        <f>IF(OR(Calc!$E1959="",Calc!$E1959="نامعتبر",Calc!$G1959=""),"",Calc!$G1959)</f>
        <v/>
      </c>
      <c r="B1955" t="str">
        <f>IF($A1955="","",LEFT(Calc!$E1959,4)&amp;MID(Calc!$E1959,6,2)&amp;RIGHT(Calc!$E1959,2)&amp;Calc!$Q1959&amp;"|"&amp;"1"&amp;RIGHT("00000"&amp;1950,5))</f>
        <v/>
      </c>
      <c r="C1955" t="str">
        <f t="shared" si="150"/>
        <v/>
      </c>
      <c r="D1955" t="str">
        <f t="shared" si="151"/>
        <v/>
      </c>
      <c r="F1955" t="str">
        <f>IF(Sync!$AH1955="","",IF(LEFT(UPPER(TRIM(Sync!$AH1955)),2)="SL",UPPER(TRIM(Sync!$AH1955)),""))</f>
        <v/>
      </c>
      <c r="G1955" t="str">
        <f>IF($F1955="","",IF(Sync!$AE1955="","",IF(ISNUMBER(Sync!$AE1955),IF(AND(Sync!$AE1955&gt;=10000101,Sync!$AE1955&lt;=99991231),INT(Sync!$AE1955/10000),""),IFERROR(VALUE(TRIM(LEFT(Sync!$AE1955,FIND("/",Sync!$AE1955)-1))),""))))</f>
        <v/>
      </c>
      <c r="H1955" t="str">
        <f>IF(OR($F1955="",$G1955=""),"",IF(ISNUMBER(Sync!$AE1955),INT(MOD(Sync!$AE1955,10000)/100),IFERROR(VALUE(TRIM(LEFT(MID(Sync!$AE1955,FIND("/",Sync!$AE1955)+1,20),FIND("/",MID(Sync!$AE1955,FIND("/",Sync!$AE1955)+1,20))-1))),"")))</f>
        <v/>
      </c>
      <c r="I1955" t="str">
        <f>IF(OR($F1955="",$G1955=""),"",IF(ISNUMBER(Sync!$AE1955),MOD(Sync!$AE1955,100),IFERROR(VALUE(TRIM(MID(MID(Sync!$AE1955,FIND("/",Sync!$AE1955)+1,20),FIND("/",MID(Sync!$AE1955,FIND("/",Sync!$AE1955)+1,20))+1,20))),"")))</f>
        <v/>
      </c>
      <c r="J1955" t="str">
        <f t="shared" si="152"/>
        <v/>
      </c>
      <c r="K1955" t="str">
        <f>IF(OR($F1955="",$J1955="",$J1955="نامعتبر"),"",LEFT($J1955,4)&amp;MID($J1955,6,2)&amp;RIGHT($J1955,2)&amp;$N1955&amp;"|"&amp;"2"&amp;RIGHT("00000"&amp;1950,5))</f>
        <v/>
      </c>
      <c r="L1955" t="str">
        <f t="shared" si="153"/>
        <v/>
      </c>
      <c r="M1955" t="str">
        <f t="shared" si="154"/>
        <v/>
      </c>
      <c r="N1955" t="str">
        <f>IF($F1955="","",IF(Sync!$AF1955="","0000",IF(AND(ISNUMBER(Sync!$AF1955),Sync!$AF1955&gt;=0,Sync!$AF1955&lt;1),RIGHT("00"&amp;HOUR(Sync!$AF1955),2)&amp;RIGHT("00"&amp;MINUTE(Sync!$AF1955),2),IFERROR(RIGHT("00"&amp;VALUE(LEFT(Sync!$AF1955,FIND(":",Sync!$AF1955)-1)),2)&amp;RIGHT("00"&amp;VALUE(MID(Sync!$AF1955,FIND(":",Sync!$AF1955)+1,2)),2),"0000"))))</f>
        <v/>
      </c>
    </row>
    <row r="1956" spans="1:14" x14ac:dyDescent="0.2">
      <c r="A1956" t="str">
        <f>IF(OR(Calc!$E1960="",Calc!$E1960="نامعتبر",Calc!$G1960=""),"",Calc!$G1960)</f>
        <v/>
      </c>
      <c r="B1956" t="str">
        <f>IF($A1956="","",LEFT(Calc!$E1960,4)&amp;MID(Calc!$E1960,6,2)&amp;RIGHT(Calc!$E1960,2)&amp;Calc!$Q1960&amp;"|"&amp;"1"&amp;RIGHT("00000"&amp;1951,5))</f>
        <v/>
      </c>
      <c r="C1956" t="str">
        <f t="shared" si="150"/>
        <v/>
      </c>
      <c r="D1956" t="str">
        <f t="shared" si="151"/>
        <v/>
      </c>
      <c r="F1956" t="str">
        <f>IF(Sync!$AH1956="","",IF(LEFT(UPPER(TRIM(Sync!$AH1956)),2)="SL",UPPER(TRIM(Sync!$AH1956)),""))</f>
        <v/>
      </c>
      <c r="G1956" t="str">
        <f>IF($F1956="","",IF(Sync!$AE1956="","",IF(ISNUMBER(Sync!$AE1956),IF(AND(Sync!$AE1956&gt;=10000101,Sync!$AE1956&lt;=99991231),INT(Sync!$AE1956/10000),""),IFERROR(VALUE(TRIM(LEFT(Sync!$AE1956,FIND("/",Sync!$AE1956)-1))),""))))</f>
        <v/>
      </c>
      <c r="H1956" t="str">
        <f>IF(OR($F1956="",$G1956=""),"",IF(ISNUMBER(Sync!$AE1956),INT(MOD(Sync!$AE1956,10000)/100),IFERROR(VALUE(TRIM(LEFT(MID(Sync!$AE1956,FIND("/",Sync!$AE1956)+1,20),FIND("/",MID(Sync!$AE1956,FIND("/",Sync!$AE1956)+1,20))-1))),"")))</f>
        <v/>
      </c>
      <c r="I1956" t="str">
        <f>IF(OR($F1956="",$G1956=""),"",IF(ISNUMBER(Sync!$AE1956),MOD(Sync!$AE1956,100),IFERROR(VALUE(TRIM(MID(MID(Sync!$AE1956,FIND("/",Sync!$AE1956)+1,20),FIND("/",MID(Sync!$AE1956,FIND("/",Sync!$AE1956)+1,20))+1,20))),"")))</f>
        <v/>
      </c>
      <c r="J1956" t="str">
        <f t="shared" si="152"/>
        <v/>
      </c>
      <c r="K1956" t="str">
        <f>IF(OR($F1956="",$J1956="",$J1956="نامعتبر"),"",LEFT($J1956,4)&amp;MID($J1956,6,2)&amp;RIGHT($J1956,2)&amp;$N1956&amp;"|"&amp;"2"&amp;RIGHT("00000"&amp;1951,5))</f>
        <v/>
      </c>
      <c r="L1956" t="str">
        <f t="shared" si="153"/>
        <v/>
      </c>
      <c r="M1956" t="str">
        <f t="shared" si="154"/>
        <v/>
      </c>
      <c r="N1956" t="str">
        <f>IF($F1956="","",IF(Sync!$AF1956="","0000",IF(AND(ISNUMBER(Sync!$AF1956),Sync!$AF1956&gt;=0,Sync!$AF1956&lt;1),RIGHT("00"&amp;HOUR(Sync!$AF1956),2)&amp;RIGHT("00"&amp;MINUTE(Sync!$AF1956),2),IFERROR(RIGHT("00"&amp;VALUE(LEFT(Sync!$AF1956,FIND(":",Sync!$AF1956)-1)),2)&amp;RIGHT("00"&amp;VALUE(MID(Sync!$AF1956,FIND(":",Sync!$AF1956)+1,2)),2),"0000"))))</f>
        <v/>
      </c>
    </row>
    <row r="1957" spans="1:14" x14ac:dyDescent="0.2">
      <c r="A1957" t="str">
        <f>IF(OR(Calc!$E1961="",Calc!$E1961="نامعتبر",Calc!$G1961=""),"",Calc!$G1961)</f>
        <v/>
      </c>
      <c r="B1957" t="str">
        <f>IF($A1957="","",LEFT(Calc!$E1961,4)&amp;MID(Calc!$E1961,6,2)&amp;RIGHT(Calc!$E1961,2)&amp;Calc!$Q1961&amp;"|"&amp;"1"&amp;RIGHT("00000"&amp;1952,5))</f>
        <v/>
      </c>
      <c r="C1957" t="str">
        <f t="shared" si="150"/>
        <v/>
      </c>
      <c r="D1957" t="str">
        <f t="shared" si="151"/>
        <v/>
      </c>
      <c r="F1957" t="str">
        <f>IF(Sync!$AH1957="","",IF(LEFT(UPPER(TRIM(Sync!$AH1957)),2)="SL",UPPER(TRIM(Sync!$AH1957)),""))</f>
        <v/>
      </c>
      <c r="G1957" t="str">
        <f>IF($F1957="","",IF(Sync!$AE1957="","",IF(ISNUMBER(Sync!$AE1957),IF(AND(Sync!$AE1957&gt;=10000101,Sync!$AE1957&lt;=99991231),INT(Sync!$AE1957/10000),""),IFERROR(VALUE(TRIM(LEFT(Sync!$AE1957,FIND("/",Sync!$AE1957)-1))),""))))</f>
        <v/>
      </c>
      <c r="H1957" t="str">
        <f>IF(OR($F1957="",$G1957=""),"",IF(ISNUMBER(Sync!$AE1957),INT(MOD(Sync!$AE1957,10000)/100),IFERROR(VALUE(TRIM(LEFT(MID(Sync!$AE1957,FIND("/",Sync!$AE1957)+1,20),FIND("/",MID(Sync!$AE1957,FIND("/",Sync!$AE1957)+1,20))-1))),"")))</f>
        <v/>
      </c>
      <c r="I1957" t="str">
        <f>IF(OR($F1957="",$G1957=""),"",IF(ISNUMBER(Sync!$AE1957),MOD(Sync!$AE1957,100),IFERROR(VALUE(TRIM(MID(MID(Sync!$AE1957,FIND("/",Sync!$AE1957)+1,20),FIND("/",MID(Sync!$AE1957,FIND("/",Sync!$AE1957)+1,20))+1,20))),"")))</f>
        <v/>
      </c>
      <c r="J1957" t="str">
        <f t="shared" si="152"/>
        <v/>
      </c>
      <c r="K1957" t="str">
        <f>IF(OR($F1957="",$J1957="",$J1957="نامعتبر"),"",LEFT($J1957,4)&amp;MID($J1957,6,2)&amp;RIGHT($J1957,2)&amp;$N1957&amp;"|"&amp;"2"&amp;RIGHT("00000"&amp;1952,5))</f>
        <v/>
      </c>
      <c r="L1957" t="str">
        <f t="shared" si="153"/>
        <v/>
      </c>
      <c r="M1957" t="str">
        <f t="shared" si="154"/>
        <v/>
      </c>
      <c r="N1957" t="str">
        <f>IF($F1957="","",IF(Sync!$AF1957="","0000",IF(AND(ISNUMBER(Sync!$AF1957),Sync!$AF1957&gt;=0,Sync!$AF1957&lt;1),RIGHT("00"&amp;HOUR(Sync!$AF1957),2)&amp;RIGHT("00"&amp;MINUTE(Sync!$AF1957),2),IFERROR(RIGHT("00"&amp;VALUE(LEFT(Sync!$AF1957,FIND(":",Sync!$AF1957)-1)),2)&amp;RIGHT("00"&amp;VALUE(MID(Sync!$AF1957,FIND(":",Sync!$AF1957)+1,2)),2),"0000"))))</f>
        <v/>
      </c>
    </row>
    <row r="1958" spans="1:14" x14ac:dyDescent="0.2">
      <c r="A1958" t="str">
        <f>IF(OR(Calc!$E1962="",Calc!$E1962="نامعتبر",Calc!$G1962=""),"",Calc!$G1962)</f>
        <v/>
      </c>
      <c r="B1958" t="str">
        <f>IF($A1958="","",LEFT(Calc!$E1962,4)&amp;MID(Calc!$E1962,6,2)&amp;RIGHT(Calc!$E1962,2)&amp;Calc!$Q1962&amp;"|"&amp;"1"&amp;RIGHT("00000"&amp;1953,5))</f>
        <v/>
      </c>
      <c r="C1958" t="str">
        <f t="shared" si="150"/>
        <v/>
      </c>
      <c r="D1958" t="str">
        <f t="shared" si="151"/>
        <v/>
      </c>
      <c r="F1958" t="str">
        <f>IF(Sync!$AH1958="","",IF(LEFT(UPPER(TRIM(Sync!$AH1958)),2)="SL",UPPER(TRIM(Sync!$AH1958)),""))</f>
        <v/>
      </c>
      <c r="G1958" t="str">
        <f>IF($F1958="","",IF(Sync!$AE1958="","",IF(ISNUMBER(Sync!$AE1958),IF(AND(Sync!$AE1958&gt;=10000101,Sync!$AE1958&lt;=99991231),INT(Sync!$AE1958/10000),""),IFERROR(VALUE(TRIM(LEFT(Sync!$AE1958,FIND("/",Sync!$AE1958)-1))),""))))</f>
        <v/>
      </c>
      <c r="H1958" t="str">
        <f>IF(OR($F1958="",$G1958=""),"",IF(ISNUMBER(Sync!$AE1958),INT(MOD(Sync!$AE1958,10000)/100),IFERROR(VALUE(TRIM(LEFT(MID(Sync!$AE1958,FIND("/",Sync!$AE1958)+1,20),FIND("/",MID(Sync!$AE1958,FIND("/",Sync!$AE1958)+1,20))-1))),"")))</f>
        <v/>
      </c>
      <c r="I1958" t="str">
        <f>IF(OR($F1958="",$G1958=""),"",IF(ISNUMBER(Sync!$AE1958),MOD(Sync!$AE1958,100),IFERROR(VALUE(TRIM(MID(MID(Sync!$AE1958,FIND("/",Sync!$AE1958)+1,20),FIND("/",MID(Sync!$AE1958,FIND("/",Sync!$AE1958)+1,20))+1,20))),"")))</f>
        <v/>
      </c>
      <c r="J1958" t="str">
        <f t="shared" si="152"/>
        <v/>
      </c>
      <c r="K1958" t="str">
        <f>IF(OR($F1958="",$J1958="",$J1958="نامعتبر"),"",LEFT($J1958,4)&amp;MID($J1958,6,2)&amp;RIGHT($J1958,2)&amp;$N1958&amp;"|"&amp;"2"&amp;RIGHT("00000"&amp;1953,5))</f>
        <v/>
      </c>
      <c r="L1958" t="str">
        <f t="shared" si="153"/>
        <v/>
      </c>
      <c r="M1958" t="str">
        <f t="shared" si="154"/>
        <v/>
      </c>
      <c r="N1958" t="str">
        <f>IF($F1958="","",IF(Sync!$AF1958="","0000",IF(AND(ISNUMBER(Sync!$AF1958),Sync!$AF1958&gt;=0,Sync!$AF1958&lt;1),RIGHT("00"&amp;HOUR(Sync!$AF1958),2)&amp;RIGHT("00"&amp;MINUTE(Sync!$AF1958),2),IFERROR(RIGHT("00"&amp;VALUE(LEFT(Sync!$AF1958,FIND(":",Sync!$AF1958)-1)),2)&amp;RIGHT("00"&amp;VALUE(MID(Sync!$AF1958,FIND(":",Sync!$AF1958)+1,2)),2),"0000"))))</f>
        <v/>
      </c>
    </row>
    <row r="1959" spans="1:14" x14ac:dyDescent="0.2">
      <c r="A1959" t="str">
        <f>IF(OR(Calc!$E1963="",Calc!$E1963="نامعتبر",Calc!$G1963=""),"",Calc!$G1963)</f>
        <v/>
      </c>
      <c r="B1959" t="str">
        <f>IF($A1959="","",LEFT(Calc!$E1963,4)&amp;MID(Calc!$E1963,6,2)&amp;RIGHT(Calc!$E1963,2)&amp;Calc!$Q1963&amp;"|"&amp;"1"&amp;RIGHT("00000"&amp;1954,5))</f>
        <v/>
      </c>
      <c r="C1959" t="str">
        <f t="shared" si="150"/>
        <v/>
      </c>
      <c r="D1959" t="str">
        <f t="shared" si="151"/>
        <v/>
      </c>
      <c r="F1959" t="str">
        <f>IF(Sync!$AH1959="","",IF(LEFT(UPPER(TRIM(Sync!$AH1959)),2)="SL",UPPER(TRIM(Sync!$AH1959)),""))</f>
        <v/>
      </c>
      <c r="G1959" t="str">
        <f>IF($F1959="","",IF(Sync!$AE1959="","",IF(ISNUMBER(Sync!$AE1959),IF(AND(Sync!$AE1959&gt;=10000101,Sync!$AE1959&lt;=99991231),INT(Sync!$AE1959/10000),""),IFERROR(VALUE(TRIM(LEFT(Sync!$AE1959,FIND("/",Sync!$AE1959)-1))),""))))</f>
        <v/>
      </c>
      <c r="H1959" t="str">
        <f>IF(OR($F1959="",$G1959=""),"",IF(ISNUMBER(Sync!$AE1959),INT(MOD(Sync!$AE1959,10000)/100),IFERROR(VALUE(TRIM(LEFT(MID(Sync!$AE1959,FIND("/",Sync!$AE1959)+1,20),FIND("/",MID(Sync!$AE1959,FIND("/",Sync!$AE1959)+1,20))-1))),"")))</f>
        <v/>
      </c>
      <c r="I1959" t="str">
        <f>IF(OR($F1959="",$G1959=""),"",IF(ISNUMBER(Sync!$AE1959),MOD(Sync!$AE1959,100),IFERROR(VALUE(TRIM(MID(MID(Sync!$AE1959,FIND("/",Sync!$AE1959)+1,20),FIND("/",MID(Sync!$AE1959,FIND("/",Sync!$AE1959)+1,20))+1,20))),"")))</f>
        <v/>
      </c>
      <c r="J1959" t="str">
        <f t="shared" si="152"/>
        <v/>
      </c>
      <c r="K1959" t="str">
        <f>IF(OR($F1959="",$J1959="",$J1959="نامعتبر"),"",LEFT($J1959,4)&amp;MID($J1959,6,2)&amp;RIGHT($J1959,2)&amp;$N1959&amp;"|"&amp;"2"&amp;RIGHT("00000"&amp;1954,5))</f>
        <v/>
      </c>
      <c r="L1959" t="str">
        <f t="shared" si="153"/>
        <v/>
      </c>
      <c r="M1959" t="str">
        <f t="shared" si="154"/>
        <v/>
      </c>
      <c r="N1959" t="str">
        <f>IF($F1959="","",IF(Sync!$AF1959="","0000",IF(AND(ISNUMBER(Sync!$AF1959),Sync!$AF1959&gt;=0,Sync!$AF1959&lt;1),RIGHT("00"&amp;HOUR(Sync!$AF1959),2)&amp;RIGHT("00"&amp;MINUTE(Sync!$AF1959),2),IFERROR(RIGHT("00"&amp;VALUE(LEFT(Sync!$AF1959,FIND(":",Sync!$AF1959)-1)),2)&amp;RIGHT("00"&amp;VALUE(MID(Sync!$AF1959,FIND(":",Sync!$AF1959)+1,2)),2),"0000"))))</f>
        <v/>
      </c>
    </row>
    <row r="1960" spans="1:14" x14ac:dyDescent="0.2">
      <c r="A1960" t="str">
        <f>IF(OR(Calc!$E1964="",Calc!$E1964="نامعتبر",Calc!$G1964=""),"",Calc!$G1964)</f>
        <v/>
      </c>
      <c r="B1960" t="str">
        <f>IF($A1960="","",LEFT(Calc!$E1964,4)&amp;MID(Calc!$E1964,6,2)&amp;RIGHT(Calc!$E1964,2)&amp;Calc!$Q1964&amp;"|"&amp;"1"&amp;RIGHT("00000"&amp;1955,5))</f>
        <v/>
      </c>
      <c r="C1960" t="str">
        <f t="shared" si="150"/>
        <v/>
      </c>
      <c r="D1960" t="str">
        <f t="shared" si="151"/>
        <v/>
      </c>
      <c r="F1960" t="str">
        <f>IF(Sync!$AH1960="","",IF(LEFT(UPPER(TRIM(Sync!$AH1960)),2)="SL",UPPER(TRIM(Sync!$AH1960)),""))</f>
        <v/>
      </c>
      <c r="G1960" t="str">
        <f>IF($F1960="","",IF(Sync!$AE1960="","",IF(ISNUMBER(Sync!$AE1960),IF(AND(Sync!$AE1960&gt;=10000101,Sync!$AE1960&lt;=99991231),INT(Sync!$AE1960/10000),""),IFERROR(VALUE(TRIM(LEFT(Sync!$AE1960,FIND("/",Sync!$AE1960)-1))),""))))</f>
        <v/>
      </c>
      <c r="H1960" t="str">
        <f>IF(OR($F1960="",$G1960=""),"",IF(ISNUMBER(Sync!$AE1960),INT(MOD(Sync!$AE1960,10000)/100),IFERROR(VALUE(TRIM(LEFT(MID(Sync!$AE1960,FIND("/",Sync!$AE1960)+1,20),FIND("/",MID(Sync!$AE1960,FIND("/",Sync!$AE1960)+1,20))-1))),"")))</f>
        <v/>
      </c>
      <c r="I1960" t="str">
        <f>IF(OR($F1960="",$G1960=""),"",IF(ISNUMBER(Sync!$AE1960),MOD(Sync!$AE1960,100),IFERROR(VALUE(TRIM(MID(MID(Sync!$AE1960,FIND("/",Sync!$AE1960)+1,20),FIND("/",MID(Sync!$AE1960,FIND("/",Sync!$AE1960)+1,20))+1,20))),"")))</f>
        <v/>
      </c>
      <c r="J1960" t="str">
        <f t="shared" si="152"/>
        <v/>
      </c>
      <c r="K1960" t="str">
        <f>IF(OR($F1960="",$J1960="",$J1960="نامعتبر"),"",LEFT($J1960,4)&amp;MID($J1960,6,2)&amp;RIGHT($J1960,2)&amp;$N1960&amp;"|"&amp;"2"&amp;RIGHT("00000"&amp;1955,5))</f>
        <v/>
      </c>
      <c r="L1960" t="str">
        <f t="shared" si="153"/>
        <v/>
      </c>
      <c r="M1960" t="str">
        <f t="shared" si="154"/>
        <v/>
      </c>
      <c r="N1960" t="str">
        <f>IF($F1960="","",IF(Sync!$AF1960="","0000",IF(AND(ISNUMBER(Sync!$AF1960),Sync!$AF1960&gt;=0,Sync!$AF1960&lt;1),RIGHT("00"&amp;HOUR(Sync!$AF1960),2)&amp;RIGHT("00"&amp;MINUTE(Sync!$AF1960),2),IFERROR(RIGHT("00"&amp;VALUE(LEFT(Sync!$AF1960,FIND(":",Sync!$AF1960)-1)),2)&amp;RIGHT("00"&amp;VALUE(MID(Sync!$AF1960,FIND(":",Sync!$AF1960)+1,2)),2),"0000"))))</f>
        <v/>
      </c>
    </row>
    <row r="1961" spans="1:14" x14ac:dyDescent="0.2">
      <c r="A1961" t="str">
        <f>IF(OR(Calc!$E1965="",Calc!$E1965="نامعتبر",Calc!$G1965=""),"",Calc!$G1965)</f>
        <v/>
      </c>
      <c r="B1961" t="str">
        <f>IF($A1961="","",LEFT(Calc!$E1965,4)&amp;MID(Calc!$E1965,6,2)&amp;RIGHT(Calc!$E1965,2)&amp;Calc!$Q1965&amp;"|"&amp;"1"&amp;RIGHT("00000"&amp;1956,5))</f>
        <v/>
      </c>
      <c r="C1961" t="str">
        <f t="shared" si="150"/>
        <v/>
      </c>
      <c r="D1961" t="str">
        <f t="shared" si="151"/>
        <v/>
      </c>
      <c r="F1961" t="str">
        <f>IF(Sync!$AH1961="","",IF(LEFT(UPPER(TRIM(Sync!$AH1961)),2)="SL",UPPER(TRIM(Sync!$AH1961)),""))</f>
        <v/>
      </c>
      <c r="G1961" t="str">
        <f>IF($F1961="","",IF(Sync!$AE1961="","",IF(ISNUMBER(Sync!$AE1961),IF(AND(Sync!$AE1961&gt;=10000101,Sync!$AE1961&lt;=99991231),INT(Sync!$AE1961/10000),""),IFERROR(VALUE(TRIM(LEFT(Sync!$AE1961,FIND("/",Sync!$AE1961)-1))),""))))</f>
        <v/>
      </c>
      <c r="H1961" t="str">
        <f>IF(OR($F1961="",$G1961=""),"",IF(ISNUMBER(Sync!$AE1961),INT(MOD(Sync!$AE1961,10000)/100),IFERROR(VALUE(TRIM(LEFT(MID(Sync!$AE1961,FIND("/",Sync!$AE1961)+1,20),FIND("/",MID(Sync!$AE1961,FIND("/",Sync!$AE1961)+1,20))-1))),"")))</f>
        <v/>
      </c>
      <c r="I1961" t="str">
        <f>IF(OR($F1961="",$G1961=""),"",IF(ISNUMBER(Sync!$AE1961),MOD(Sync!$AE1961,100),IFERROR(VALUE(TRIM(MID(MID(Sync!$AE1961,FIND("/",Sync!$AE1961)+1,20),FIND("/",MID(Sync!$AE1961,FIND("/",Sync!$AE1961)+1,20))+1,20))),"")))</f>
        <v/>
      </c>
      <c r="J1961" t="str">
        <f t="shared" si="152"/>
        <v/>
      </c>
      <c r="K1961" t="str">
        <f>IF(OR($F1961="",$J1961="",$J1961="نامعتبر"),"",LEFT($J1961,4)&amp;MID($J1961,6,2)&amp;RIGHT($J1961,2)&amp;$N1961&amp;"|"&amp;"2"&amp;RIGHT("00000"&amp;1956,5))</f>
        <v/>
      </c>
      <c r="L1961" t="str">
        <f t="shared" si="153"/>
        <v/>
      </c>
      <c r="M1961" t="str">
        <f t="shared" si="154"/>
        <v/>
      </c>
      <c r="N1961" t="str">
        <f>IF($F1961="","",IF(Sync!$AF1961="","0000",IF(AND(ISNUMBER(Sync!$AF1961),Sync!$AF1961&gt;=0,Sync!$AF1961&lt;1),RIGHT("00"&amp;HOUR(Sync!$AF1961),2)&amp;RIGHT("00"&amp;MINUTE(Sync!$AF1961),2),IFERROR(RIGHT("00"&amp;VALUE(LEFT(Sync!$AF1961,FIND(":",Sync!$AF1961)-1)),2)&amp;RIGHT("00"&amp;VALUE(MID(Sync!$AF1961,FIND(":",Sync!$AF1961)+1,2)),2),"0000"))))</f>
        <v/>
      </c>
    </row>
    <row r="1962" spans="1:14" x14ac:dyDescent="0.2">
      <c r="A1962" t="str">
        <f>IF(OR(Calc!$E1966="",Calc!$E1966="نامعتبر",Calc!$G1966=""),"",Calc!$G1966)</f>
        <v/>
      </c>
      <c r="B1962" t="str">
        <f>IF($A1962="","",LEFT(Calc!$E1966,4)&amp;MID(Calc!$E1966,6,2)&amp;RIGHT(Calc!$E1966,2)&amp;Calc!$Q1966&amp;"|"&amp;"1"&amp;RIGHT("00000"&amp;1957,5))</f>
        <v/>
      </c>
      <c r="C1962" t="str">
        <f t="shared" si="150"/>
        <v/>
      </c>
      <c r="D1962" t="str">
        <f t="shared" si="151"/>
        <v/>
      </c>
      <c r="F1962" t="str">
        <f>IF(Sync!$AH1962="","",IF(LEFT(UPPER(TRIM(Sync!$AH1962)),2)="SL",UPPER(TRIM(Sync!$AH1962)),""))</f>
        <v/>
      </c>
      <c r="G1962" t="str">
        <f>IF($F1962="","",IF(Sync!$AE1962="","",IF(ISNUMBER(Sync!$AE1962),IF(AND(Sync!$AE1962&gt;=10000101,Sync!$AE1962&lt;=99991231),INT(Sync!$AE1962/10000),""),IFERROR(VALUE(TRIM(LEFT(Sync!$AE1962,FIND("/",Sync!$AE1962)-1))),""))))</f>
        <v/>
      </c>
      <c r="H1962" t="str">
        <f>IF(OR($F1962="",$G1962=""),"",IF(ISNUMBER(Sync!$AE1962),INT(MOD(Sync!$AE1962,10000)/100),IFERROR(VALUE(TRIM(LEFT(MID(Sync!$AE1962,FIND("/",Sync!$AE1962)+1,20),FIND("/",MID(Sync!$AE1962,FIND("/",Sync!$AE1962)+1,20))-1))),"")))</f>
        <v/>
      </c>
      <c r="I1962" t="str">
        <f>IF(OR($F1962="",$G1962=""),"",IF(ISNUMBER(Sync!$AE1962),MOD(Sync!$AE1962,100),IFERROR(VALUE(TRIM(MID(MID(Sync!$AE1962,FIND("/",Sync!$AE1962)+1,20),FIND("/",MID(Sync!$AE1962,FIND("/",Sync!$AE1962)+1,20))+1,20))),"")))</f>
        <v/>
      </c>
      <c r="J1962" t="str">
        <f t="shared" si="152"/>
        <v/>
      </c>
      <c r="K1962" t="str">
        <f>IF(OR($F1962="",$J1962="",$J1962="نامعتبر"),"",LEFT($J1962,4)&amp;MID($J1962,6,2)&amp;RIGHT($J1962,2)&amp;$N1962&amp;"|"&amp;"2"&amp;RIGHT("00000"&amp;1957,5))</f>
        <v/>
      </c>
      <c r="L1962" t="str">
        <f t="shared" si="153"/>
        <v/>
      </c>
      <c r="M1962" t="str">
        <f t="shared" si="154"/>
        <v/>
      </c>
      <c r="N1962" t="str">
        <f>IF($F1962="","",IF(Sync!$AF1962="","0000",IF(AND(ISNUMBER(Sync!$AF1962),Sync!$AF1962&gt;=0,Sync!$AF1962&lt;1),RIGHT("00"&amp;HOUR(Sync!$AF1962),2)&amp;RIGHT("00"&amp;MINUTE(Sync!$AF1962),2),IFERROR(RIGHT("00"&amp;VALUE(LEFT(Sync!$AF1962,FIND(":",Sync!$AF1962)-1)),2)&amp;RIGHT("00"&amp;VALUE(MID(Sync!$AF1962,FIND(":",Sync!$AF1962)+1,2)),2),"0000"))))</f>
        <v/>
      </c>
    </row>
    <row r="1963" spans="1:14" x14ac:dyDescent="0.2">
      <c r="A1963" t="str">
        <f>IF(OR(Calc!$E1967="",Calc!$E1967="نامعتبر",Calc!$G1967=""),"",Calc!$G1967)</f>
        <v/>
      </c>
      <c r="B1963" t="str">
        <f>IF($A1963="","",LEFT(Calc!$E1967,4)&amp;MID(Calc!$E1967,6,2)&amp;RIGHT(Calc!$E1967,2)&amp;Calc!$Q1967&amp;"|"&amp;"1"&amp;RIGHT("00000"&amp;1958,5))</f>
        <v/>
      </c>
      <c r="C1963" t="str">
        <f t="shared" si="150"/>
        <v/>
      </c>
      <c r="D1963" t="str">
        <f t="shared" si="151"/>
        <v/>
      </c>
      <c r="F1963" t="str">
        <f>IF(Sync!$AH1963="","",IF(LEFT(UPPER(TRIM(Sync!$AH1963)),2)="SL",UPPER(TRIM(Sync!$AH1963)),""))</f>
        <v/>
      </c>
      <c r="G1963" t="str">
        <f>IF($F1963="","",IF(Sync!$AE1963="","",IF(ISNUMBER(Sync!$AE1963),IF(AND(Sync!$AE1963&gt;=10000101,Sync!$AE1963&lt;=99991231),INT(Sync!$AE1963/10000),""),IFERROR(VALUE(TRIM(LEFT(Sync!$AE1963,FIND("/",Sync!$AE1963)-1))),""))))</f>
        <v/>
      </c>
      <c r="H1963" t="str">
        <f>IF(OR($F1963="",$G1963=""),"",IF(ISNUMBER(Sync!$AE1963),INT(MOD(Sync!$AE1963,10000)/100),IFERROR(VALUE(TRIM(LEFT(MID(Sync!$AE1963,FIND("/",Sync!$AE1963)+1,20),FIND("/",MID(Sync!$AE1963,FIND("/",Sync!$AE1963)+1,20))-1))),"")))</f>
        <v/>
      </c>
      <c r="I1963" t="str">
        <f>IF(OR($F1963="",$G1963=""),"",IF(ISNUMBER(Sync!$AE1963),MOD(Sync!$AE1963,100),IFERROR(VALUE(TRIM(MID(MID(Sync!$AE1963,FIND("/",Sync!$AE1963)+1,20),FIND("/",MID(Sync!$AE1963,FIND("/",Sync!$AE1963)+1,20))+1,20))),"")))</f>
        <v/>
      </c>
      <c r="J1963" t="str">
        <f t="shared" si="152"/>
        <v/>
      </c>
      <c r="K1963" t="str">
        <f>IF(OR($F1963="",$J1963="",$J1963="نامعتبر"),"",LEFT($J1963,4)&amp;MID($J1963,6,2)&amp;RIGHT($J1963,2)&amp;$N1963&amp;"|"&amp;"2"&amp;RIGHT("00000"&amp;1958,5))</f>
        <v/>
      </c>
      <c r="L1963" t="str">
        <f t="shared" si="153"/>
        <v/>
      </c>
      <c r="M1963" t="str">
        <f t="shared" si="154"/>
        <v/>
      </c>
      <c r="N1963" t="str">
        <f>IF($F1963="","",IF(Sync!$AF1963="","0000",IF(AND(ISNUMBER(Sync!$AF1963),Sync!$AF1963&gt;=0,Sync!$AF1963&lt;1),RIGHT("00"&amp;HOUR(Sync!$AF1963),2)&amp;RIGHT("00"&amp;MINUTE(Sync!$AF1963),2),IFERROR(RIGHT("00"&amp;VALUE(LEFT(Sync!$AF1963,FIND(":",Sync!$AF1963)-1)),2)&amp;RIGHT("00"&amp;VALUE(MID(Sync!$AF1963,FIND(":",Sync!$AF1963)+1,2)),2),"0000"))))</f>
        <v/>
      </c>
    </row>
    <row r="1964" spans="1:14" x14ac:dyDescent="0.2">
      <c r="A1964" t="str">
        <f>IF(OR(Calc!$E1968="",Calc!$E1968="نامعتبر",Calc!$G1968=""),"",Calc!$G1968)</f>
        <v/>
      </c>
      <c r="B1964" t="str">
        <f>IF($A1964="","",LEFT(Calc!$E1968,4)&amp;MID(Calc!$E1968,6,2)&amp;RIGHT(Calc!$E1968,2)&amp;Calc!$Q1968&amp;"|"&amp;"1"&amp;RIGHT("00000"&amp;1959,5))</f>
        <v/>
      </c>
      <c r="C1964" t="str">
        <f t="shared" si="150"/>
        <v/>
      </c>
      <c r="D1964" t="str">
        <f t="shared" si="151"/>
        <v/>
      </c>
      <c r="F1964" t="str">
        <f>IF(Sync!$AH1964="","",IF(LEFT(UPPER(TRIM(Sync!$AH1964)),2)="SL",UPPER(TRIM(Sync!$AH1964)),""))</f>
        <v/>
      </c>
      <c r="G1964" t="str">
        <f>IF($F1964="","",IF(Sync!$AE1964="","",IF(ISNUMBER(Sync!$AE1964),IF(AND(Sync!$AE1964&gt;=10000101,Sync!$AE1964&lt;=99991231),INT(Sync!$AE1964/10000),""),IFERROR(VALUE(TRIM(LEFT(Sync!$AE1964,FIND("/",Sync!$AE1964)-1))),""))))</f>
        <v/>
      </c>
      <c r="H1964" t="str">
        <f>IF(OR($F1964="",$G1964=""),"",IF(ISNUMBER(Sync!$AE1964),INT(MOD(Sync!$AE1964,10000)/100),IFERROR(VALUE(TRIM(LEFT(MID(Sync!$AE1964,FIND("/",Sync!$AE1964)+1,20),FIND("/",MID(Sync!$AE1964,FIND("/",Sync!$AE1964)+1,20))-1))),"")))</f>
        <v/>
      </c>
      <c r="I1964" t="str">
        <f>IF(OR($F1964="",$G1964=""),"",IF(ISNUMBER(Sync!$AE1964),MOD(Sync!$AE1964,100),IFERROR(VALUE(TRIM(MID(MID(Sync!$AE1964,FIND("/",Sync!$AE1964)+1,20),FIND("/",MID(Sync!$AE1964,FIND("/",Sync!$AE1964)+1,20))+1,20))),"")))</f>
        <v/>
      </c>
      <c r="J1964" t="str">
        <f t="shared" si="152"/>
        <v/>
      </c>
      <c r="K1964" t="str">
        <f>IF(OR($F1964="",$J1964="",$J1964="نامعتبر"),"",LEFT($J1964,4)&amp;MID($J1964,6,2)&amp;RIGHT($J1964,2)&amp;$N1964&amp;"|"&amp;"2"&amp;RIGHT("00000"&amp;1959,5))</f>
        <v/>
      </c>
      <c r="L1964" t="str">
        <f t="shared" si="153"/>
        <v/>
      </c>
      <c r="M1964" t="str">
        <f t="shared" si="154"/>
        <v/>
      </c>
      <c r="N1964" t="str">
        <f>IF($F1964="","",IF(Sync!$AF1964="","0000",IF(AND(ISNUMBER(Sync!$AF1964),Sync!$AF1964&gt;=0,Sync!$AF1964&lt;1),RIGHT("00"&amp;HOUR(Sync!$AF1964),2)&amp;RIGHT("00"&amp;MINUTE(Sync!$AF1964),2),IFERROR(RIGHT("00"&amp;VALUE(LEFT(Sync!$AF1964,FIND(":",Sync!$AF1964)-1)),2)&amp;RIGHT("00"&amp;VALUE(MID(Sync!$AF1964,FIND(":",Sync!$AF1964)+1,2)),2),"0000"))))</f>
        <v/>
      </c>
    </row>
    <row r="1965" spans="1:14" x14ac:dyDescent="0.2">
      <c r="A1965" t="str">
        <f>IF(OR(Calc!$E1969="",Calc!$E1969="نامعتبر",Calc!$G1969=""),"",Calc!$G1969)</f>
        <v/>
      </c>
      <c r="B1965" t="str">
        <f>IF($A1965="","",LEFT(Calc!$E1969,4)&amp;MID(Calc!$E1969,6,2)&amp;RIGHT(Calc!$E1969,2)&amp;Calc!$Q1969&amp;"|"&amp;"1"&amp;RIGHT("00000"&amp;1960,5))</f>
        <v/>
      </c>
      <c r="C1965" t="str">
        <f t="shared" si="150"/>
        <v/>
      </c>
      <c r="D1965" t="str">
        <f t="shared" si="151"/>
        <v/>
      </c>
      <c r="F1965" t="str">
        <f>IF(Sync!$AH1965="","",IF(LEFT(UPPER(TRIM(Sync!$AH1965)),2)="SL",UPPER(TRIM(Sync!$AH1965)),""))</f>
        <v/>
      </c>
      <c r="G1965" t="str">
        <f>IF($F1965="","",IF(Sync!$AE1965="","",IF(ISNUMBER(Sync!$AE1965),IF(AND(Sync!$AE1965&gt;=10000101,Sync!$AE1965&lt;=99991231),INT(Sync!$AE1965/10000),""),IFERROR(VALUE(TRIM(LEFT(Sync!$AE1965,FIND("/",Sync!$AE1965)-1))),""))))</f>
        <v/>
      </c>
      <c r="H1965" t="str">
        <f>IF(OR($F1965="",$G1965=""),"",IF(ISNUMBER(Sync!$AE1965),INT(MOD(Sync!$AE1965,10000)/100),IFERROR(VALUE(TRIM(LEFT(MID(Sync!$AE1965,FIND("/",Sync!$AE1965)+1,20),FIND("/",MID(Sync!$AE1965,FIND("/",Sync!$AE1965)+1,20))-1))),"")))</f>
        <v/>
      </c>
      <c r="I1965" t="str">
        <f>IF(OR($F1965="",$G1965=""),"",IF(ISNUMBER(Sync!$AE1965),MOD(Sync!$AE1965,100),IFERROR(VALUE(TRIM(MID(MID(Sync!$AE1965,FIND("/",Sync!$AE1965)+1,20),FIND("/",MID(Sync!$AE1965,FIND("/",Sync!$AE1965)+1,20))+1,20))),"")))</f>
        <v/>
      </c>
      <c r="J1965" t="str">
        <f t="shared" si="152"/>
        <v/>
      </c>
      <c r="K1965" t="str">
        <f>IF(OR($F1965="",$J1965="",$J1965="نامعتبر"),"",LEFT($J1965,4)&amp;MID($J1965,6,2)&amp;RIGHT($J1965,2)&amp;$N1965&amp;"|"&amp;"2"&amp;RIGHT("00000"&amp;1960,5))</f>
        <v/>
      </c>
      <c r="L1965" t="str">
        <f t="shared" si="153"/>
        <v/>
      </c>
      <c r="M1965" t="str">
        <f t="shared" si="154"/>
        <v/>
      </c>
      <c r="N1965" t="str">
        <f>IF($F1965="","",IF(Sync!$AF1965="","0000",IF(AND(ISNUMBER(Sync!$AF1965),Sync!$AF1965&gt;=0,Sync!$AF1965&lt;1),RIGHT("00"&amp;HOUR(Sync!$AF1965),2)&amp;RIGHT("00"&amp;MINUTE(Sync!$AF1965),2),IFERROR(RIGHT("00"&amp;VALUE(LEFT(Sync!$AF1965,FIND(":",Sync!$AF1965)-1)),2)&amp;RIGHT("00"&amp;VALUE(MID(Sync!$AF1965,FIND(":",Sync!$AF1965)+1,2)),2),"0000"))))</f>
        <v/>
      </c>
    </row>
    <row r="1966" spans="1:14" x14ac:dyDescent="0.2">
      <c r="A1966" t="str">
        <f>IF(OR(Calc!$E1970="",Calc!$E1970="نامعتبر",Calc!$G1970=""),"",Calc!$G1970)</f>
        <v/>
      </c>
      <c r="B1966" t="str">
        <f>IF($A1966="","",LEFT(Calc!$E1970,4)&amp;MID(Calc!$E1970,6,2)&amp;RIGHT(Calc!$E1970,2)&amp;Calc!$Q1970&amp;"|"&amp;"1"&amp;RIGHT("00000"&amp;1961,5))</f>
        <v/>
      </c>
      <c r="C1966" t="str">
        <f t="shared" si="150"/>
        <v/>
      </c>
      <c r="D1966" t="str">
        <f t="shared" si="151"/>
        <v/>
      </c>
      <c r="F1966" t="str">
        <f>IF(Sync!$AH1966="","",IF(LEFT(UPPER(TRIM(Sync!$AH1966)),2)="SL",UPPER(TRIM(Sync!$AH1966)),""))</f>
        <v/>
      </c>
      <c r="G1966" t="str">
        <f>IF($F1966="","",IF(Sync!$AE1966="","",IF(ISNUMBER(Sync!$AE1966),IF(AND(Sync!$AE1966&gt;=10000101,Sync!$AE1966&lt;=99991231),INT(Sync!$AE1966/10000),""),IFERROR(VALUE(TRIM(LEFT(Sync!$AE1966,FIND("/",Sync!$AE1966)-1))),""))))</f>
        <v/>
      </c>
      <c r="H1966" t="str">
        <f>IF(OR($F1966="",$G1966=""),"",IF(ISNUMBER(Sync!$AE1966),INT(MOD(Sync!$AE1966,10000)/100),IFERROR(VALUE(TRIM(LEFT(MID(Sync!$AE1966,FIND("/",Sync!$AE1966)+1,20),FIND("/",MID(Sync!$AE1966,FIND("/",Sync!$AE1966)+1,20))-1))),"")))</f>
        <v/>
      </c>
      <c r="I1966" t="str">
        <f>IF(OR($F1966="",$G1966=""),"",IF(ISNUMBER(Sync!$AE1966),MOD(Sync!$AE1966,100),IFERROR(VALUE(TRIM(MID(MID(Sync!$AE1966,FIND("/",Sync!$AE1966)+1,20),FIND("/",MID(Sync!$AE1966,FIND("/",Sync!$AE1966)+1,20))+1,20))),"")))</f>
        <v/>
      </c>
      <c r="J1966" t="str">
        <f t="shared" si="152"/>
        <v/>
      </c>
      <c r="K1966" t="str">
        <f>IF(OR($F1966="",$J1966="",$J1966="نامعتبر"),"",LEFT($J1966,4)&amp;MID($J1966,6,2)&amp;RIGHT($J1966,2)&amp;$N1966&amp;"|"&amp;"2"&amp;RIGHT("00000"&amp;1961,5))</f>
        <v/>
      </c>
      <c r="L1966" t="str">
        <f t="shared" si="153"/>
        <v/>
      </c>
      <c r="M1966" t="str">
        <f t="shared" si="154"/>
        <v/>
      </c>
      <c r="N1966" t="str">
        <f>IF($F1966="","",IF(Sync!$AF1966="","0000",IF(AND(ISNUMBER(Sync!$AF1966),Sync!$AF1966&gt;=0,Sync!$AF1966&lt;1),RIGHT("00"&amp;HOUR(Sync!$AF1966),2)&amp;RIGHT("00"&amp;MINUTE(Sync!$AF1966),2),IFERROR(RIGHT("00"&amp;VALUE(LEFT(Sync!$AF1966,FIND(":",Sync!$AF1966)-1)),2)&amp;RIGHT("00"&amp;VALUE(MID(Sync!$AF1966,FIND(":",Sync!$AF1966)+1,2)),2),"0000"))))</f>
        <v/>
      </c>
    </row>
    <row r="1967" spans="1:14" x14ac:dyDescent="0.2">
      <c r="A1967" t="str">
        <f>IF(OR(Calc!$E1971="",Calc!$E1971="نامعتبر",Calc!$G1971=""),"",Calc!$G1971)</f>
        <v/>
      </c>
      <c r="B1967" t="str">
        <f>IF($A1967="","",LEFT(Calc!$E1971,4)&amp;MID(Calc!$E1971,6,2)&amp;RIGHT(Calc!$E1971,2)&amp;Calc!$Q1971&amp;"|"&amp;"1"&amp;RIGHT("00000"&amp;1962,5))</f>
        <v/>
      </c>
      <c r="C1967" t="str">
        <f t="shared" si="150"/>
        <v/>
      </c>
      <c r="D1967" t="str">
        <f t="shared" si="151"/>
        <v/>
      </c>
      <c r="F1967" t="str">
        <f>IF(Sync!$AH1967="","",IF(LEFT(UPPER(TRIM(Sync!$AH1967)),2)="SL",UPPER(TRIM(Sync!$AH1967)),""))</f>
        <v/>
      </c>
      <c r="G1967" t="str">
        <f>IF($F1967="","",IF(Sync!$AE1967="","",IF(ISNUMBER(Sync!$AE1967),IF(AND(Sync!$AE1967&gt;=10000101,Sync!$AE1967&lt;=99991231),INT(Sync!$AE1967/10000),""),IFERROR(VALUE(TRIM(LEFT(Sync!$AE1967,FIND("/",Sync!$AE1967)-1))),""))))</f>
        <v/>
      </c>
      <c r="H1967" t="str">
        <f>IF(OR($F1967="",$G1967=""),"",IF(ISNUMBER(Sync!$AE1967),INT(MOD(Sync!$AE1967,10000)/100),IFERROR(VALUE(TRIM(LEFT(MID(Sync!$AE1967,FIND("/",Sync!$AE1967)+1,20),FIND("/",MID(Sync!$AE1967,FIND("/",Sync!$AE1967)+1,20))-1))),"")))</f>
        <v/>
      </c>
      <c r="I1967" t="str">
        <f>IF(OR($F1967="",$G1967=""),"",IF(ISNUMBER(Sync!$AE1967),MOD(Sync!$AE1967,100),IFERROR(VALUE(TRIM(MID(MID(Sync!$AE1967,FIND("/",Sync!$AE1967)+1,20),FIND("/",MID(Sync!$AE1967,FIND("/",Sync!$AE1967)+1,20))+1,20))),"")))</f>
        <v/>
      </c>
      <c r="J1967" t="str">
        <f t="shared" si="152"/>
        <v/>
      </c>
      <c r="K1967" t="str">
        <f>IF(OR($F1967="",$J1967="",$J1967="نامعتبر"),"",LEFT($J1967,4)&amp;MID($J1967,6,2)&amp;RIGHT($J1967,2)&amp;$N1967&amp;"|"&amp;"2"&amp;RIGHT("00000"&amp;1962,5))</f>
        <v/>
      </c>
      <c r="L1967" t="str">
        <f t="shared" si="153"/>
        <v/>
      </c>
      <c r="M1967" t="str">
        <f t="shared" si="154"/>
        <v/>
      </c>
      <c r="N1967" t="str">
        <f>IF($F1967="","",IF(Sync!$AF1967="","0000",IF(AND(ISNUMBER(Sync!$AF1967),Sync!$AF1967&gt;=0,Sync!$AF1967&lt;1),RIGHT("00"&amp;HOUR(Sync!$AF1967),2)&amp;RIGHT("00"&amp;MINUTE(Sync!$AF1967),2),IFERROR(RIGHT("00"&amp;VALUE(LEFT(Sync!$AF1967,FIND(":",Sync!$AF1967)-1)),2)&amp;RIGHT("00"&amp;VALUE(MID(Sync!$AF1967,FIND(":",Sync!$AF1967)+1,2)),2),"0000"))))</f>
        <v/>
      </c>
    </row>
    <row r="1968" spans="1:14" x14ac:dyDescent="0.2">
      <c r="A1968" t="str">
        <f>IF(OR(Calc!$E1972="",Calc!$E1972="نامعتبر",Calc!$G1972=""),"",Calc!$G1972)</f>
        <v/>
      </c>
      <c r="B1968" t="str">
        <f>IF($A1968="","",LEFT(Calc!$E1972,4)&amp;MID(Calc!$E1972,6,2)&amp;RIGHT(Calc!$E1972,2)&amp;Calc!$Q1972&amp;"|"&amp;"1"&amp;RIGHT("00000"&amp;1963,5))</f>
        <v/>
      </c>
      <c r="C1968" t="str">
        <f t="shared" si="150"/>
        <v/>
      </c>
      <c r="D1968" t="str">
        <f t="shared" si="151"/>
        <v/>
      </c>
      <c r="F1968" t="str">
        <f>IF(Sync!$AH1968="","",IF(LEFT(UPPER(TRIM(Sync!$AH1968)),2)="SL",UPPER(TRIM(Sync!$AH1968)),""))</f>
        <v/>
      </c>
      <c r="G1968" t="str">
        <f>IF($F1968="","",IF(Sync!$AE1968="","",IF(ISNUMBER(Sync!$AE1968),IF(AND(Sync!$AE1968&gt;=10000101,Sync!$AE1968&lt;=99991231),INT(Sync!$AE1968/10000),""),IFERROR(VALUE(TRIM(LEFT(Sync!$AE1968,FIND("/",Sync!$AE1968)-1))),""))))</f>
        <v/>
      </c>
      <c r="H1968" t="str">
        <f>IF(OR($F1968="",$G1968=""),"",IF(ISNUMBER(Sync!$AE1968),INT(MOD(Sync!$AE1968,10000)/100),IFERROR(VALUE(TRIM(LEFT(MID(Sync!$AE1968,FIND("/",Sync!$AE1968)+1,20),FIND("/",MID(Sync!$AE1968,FIND("/",Sync!$AE1968)+1,20))-1))),"")))</f>
        <v/>
      </c>
      <c r="I1968" t="str">
        <f>IF(OR($F1968="",$G1968=""),"",IF(ISNUMBER(Sync!$AE1968),MOD(Sync!$AE1968,100),IFERROR(VALUE(TRIM(MID(MID(Sync!$AE1968,FIND("/",Sync!$AE1968)+1,20),FIND("/",MID(Sync!$AE1968,FIND("/",Sync!$AE1968)+1,20))+1,20))),"")))</f>
        <v/>
      </c>
      <c r="J1968" t="str">
        <f t="shared" si="152"/>
        <v/>
      </c>
      <c r="K1968" t="str">
        <f>IF(OR($F1968="",$J1968="",$J1968="نامعتبر"),"",LEFT($J1968,4)&amp;MID($J1968,6,2)&amp;RIGHT($J1968,2)&amp;$N1968&amp;"|"&amp;"2"&amp;RIGHT("00000"&amp;1963,5))</f>
        <v/>
      </c>
      <c r="L1968" t="str">
        <f t="shared" si="153"/>
        <v/>
      </c>
      <c r="M1968" t="str">
        <f t="shared" si="154"/>
        <v/>
      </c>
      <c r="N1968" t="str">
        <f>IF($F1968="","",IF(Sync!$AF1968="","0000",IF(AND(ISNUMBER(Sync!$AF1968),Sync!$AF1968&gt;=0,Sync!$AF1968&lt;1),RIGHT("00"&amp;HOUR(Sync!$AF1968),2)&amp;RIGHT("00"&amp;MINUTE(Sync!$AF1968),2),IFERROR(RIGHT("00"&amp;VALUE(LEFT(Sync!$AF1968,FIND(":",Sync!$AF1968)-1)),2)&amp;RIGHT("00"&amp;VALUE(MID(Sync!$AF1968,FIND(":",Sync!$AF1968)+1,2)),2),"0000"))))</f>
        <v/>
      </c>
    </row>
    <row r="1969" spans="1:14" x14ac:dyDescent="0.2">
      <c r="A1969" t="str">
        <f>IF(OR(Calc!$E1973="",Calc!$E1973="نامعتبر",Calc!$G1973=""),"",Calc!$G1973)</f>
        <v/>
      </c>
      <c r="B1969" t="str">
        <f>IF($A1969="","",LEFT(Calc!$E1973,4)&amp;MID(Calc!$E1973,6,2)&amp;RIGHT(Calc!$E1973,2)&amp;Calc!$Q1973&amp;"|"&amp;"1"&amp;RIGHT("00000"&amp;1964,5))</f>
        <v/>
      </c>
      <c r="C1969" t="str">
        <f t="shared" si="150"/>
        <v/>
      </c>
      <c r="D1969" t="str">
        <f t="shared" si="151"/>
        <v/>
      </c>
      <c r="F1969" t="str">
        <f>IF(Sync!$AH1969="","",IF(LEFT(UPPER(TRIM(Sync!$AH1969)),2)="SL",UPPER(TRIM(Sync!$AH1969)),""))</f>
        <v/>
      </c>
      <c r="G1969" t="str">
        <f>IF($F1969="","",IF(Sync!$AE1969="","",IF(ISNUMBER(Sync!$AE1969),IF(AND(Sync!$AE1969&gt;=10000101,Sync!$AE1969&lt;=99991231),INT(Sync!$AE1969/10000),""),IFERROR(VALUE(TRIM(LEFT(Sync!$AE1969,FIND("/",Sync!$AE1969)-1))),""))))</f>
        <v/>
      </c>
      <c r="H1969" t="str">
        <f>IF(OR($F1969="",$G1969=""),"",IF(ISNUMBER(Sync!$AE1969),INT(MOD(Sync!$AE1969,10000)/100),IFERROR(VALUE(TRIM(LEFT(MID(Sync!$AE1969,FIND("/",Sync!$AE1969)+1,20),FIND("/",MID(Sync!$AE1969,FIND("/",Sync!$AE1969)+1,20))-1))),"")))</f>
        <v/>
      </c>
      <c r="I1969" t="str">
        <f>IF(OR($F1969="",$G1969=""),"",IF(ISNUMBER(Sync!$AE1969),MOD(Sync!$AE1969,100),IFERROR(VALUE(TRIM(MID(MID(Sync!$AE1969,FIND("/",Sync!$AE1969)+1,20),FIND("/",MID(Sync!$AE1969,FIND("/",Sync!$AE1969)+1,20))+1,20))),"")))</f>
        <v/>
      </c>
      <c r="J1969" t="str">
        <f t="shared" si="152"/>
        <v/>
      </c>
      <c r="K1969" t="str">
        <f>IF(OR($F1969="",$J1969="",$J1969="نامعتبر"),"",LEFT($J1969,4)&amp;MID($J1969,6,2)&amp;RIGHT($J1969,2)&amp;$N1969&amp;"|"&amp;"2"&amp;RIGHT("00000"&amp;1964,5))</f>
        <v/>
      </c>
      <c r="L1969" t="str">
        <f t="shared" si="153"/>
        <v/>
      </c>
      <c r="M1969" t="str">
        <f t="shared" si="154"/>
        <v/>
      </c>
      <c r="N1969" t="str">
        <f>IF($F1969="","",IF(Sync!$AF1969="","0000",IF(AND(ISNUMBER(Sync!$AF1969),Sync!$AF1969&gt;=0,Sync!$AF1969&lt;1),RIGHT("00"&amp;HOUR(Sync!$AF1969),2)&amp;RIGHT("00"&amp;MINUTE(Sync!$AF1969),2),IFERROR(RIGHT("00"&amp;VALUE(LEFT(Sync!$AF1969,FIND(":",Sync!$AF1969)-1)),2)&amp;RIGHT("00"&amp;VALUE(MID(Sync!$AF1969,FIND(":",Sync!$AF1969)+1,2)),2),"0000"))))</f>
        <v/>
      </c>
    </row>
    <row r="1970" spans="1:14" x14ac:dyDescent="0.2">
      <c r="A1970" t="str">
        <f>IF(OR(Calc!$E1974="",Calc!$E1974="نامعتبر",Calc!$G1974=""),"",Calc!$G1974)</f>
        <v/>
      </c>
      <c r="B1970" t="str">
        <f>IF($A1970="","",LEFT(Calc!$E1974,4)&amp;MID(Calc!$E1974,6,2)&amp;RIGHT(Calc!$E1974,2)&amp;Calc!$Q1974&amp;"|"&amp;"1"&amp;RIGHT("00000"&amp;1965,5))</f>
        <v/>
      </c>
      <c r="C1970" t="str">
        <f t="shared" si="150"/>
        <v/>
      </c>
      <c r="D1970" t="str">
        <f t="shared" si="151"/>
        <v/>
      </c>
      <c r="F1970" t="str">
        <f>IF(Sync!$AH1970="","",IF(LEFT(UPPER(TRIM(Sync!$AH1970)),2)="SL",UPPER(TRIM(Sync!$AH1970)),""))</f>
        <v/>
      </c>
      <c r="G1970" t="str">
        <f>IF($F1970="","",IF(Sync!$AE1970="","",IF(ISNUMBER(Sync!$AE1970),IF(AND(Sync!$AE1970&gt;=10000101,Sync!$AE1970&lt;=99991231),INT(Sync!$AE1970/10000),""),IFERROR(VALUE(TRIM(LEFT(Sync!$AE1970,FIND("/",Sync!$AE1970)-1))),""))))</f>
        <v/>
      </c>
      <c r="H1970" t="str">
        <f>IF(OR($F1970="",$G1970=""),"",IF(ISNUMBER(Sync!$AE1970),INT(MOD(Sync!$AE1970,10000)/100),IFERROR(VALUE(TRIM(LEFT(MID(Sync!$AE1970,FIND("/",Sync!$AE1970)+1,20),FIND("/",MID(Sync!$AE1970,FIND("/",Sync!$AE1970)+1,20))-1))),"")))</f>
        <v/>
      </c>
      <c r="I1970" t="str">
        <f>IF(OR($F1970="",$G1970=""),"",IF(ISNUMBER(Sync!$AE1970),MOD(Sync!$AE1970,100),IFERROR(VALUE(TRIM(MID(MID(Sync!$AE1970,FIND("/",Sync!$AE1970)+1,20),FIND("/",MID(Sync!$AE1970,FIND("/",Sync!$AE1970)+1,20))+1,20))),"")))</f>
        <v/>
      </c>
      <c r="J1970" t="str">
        <f t="shared" si="152"/>
        <v/>
      </c>
      <c r="K1970" t="str">
        <f>IF(OR($F1970="",$J1970="",$J1970="نامعتبر"),"",LEFT($J1970,4)&amp;MID($J1970,6,2)&amp;RIGHT($J1970,2)&amp;$N1970&amp;"|"&amp;"2"&amp;RIGHT("00000"&amp;1965,5))</f>
        <v/>
      </c>
      <c r="L1970" t="str">
        <f t="shared" si="153"/>
        <v/>
      </c>
      <c r="M1970" t="str">
        <f t="shared" si="154"/>
        <v/>
      </c>
      <c r="N1970" t="str">
        <f>IF($F1970="","",IF(Sync!$AF1970="","0000",IF(AND(ISNUMBER(Sync!$AF1970),Sync!$AF1970&gt;=0,Sync!$AF1970&lt;1),RIGHT("00"&amp;HOUR(Sync!$AF1970),2)&amp;RIGHT("00"&amp;MINUTE(Sync!$AF1970),2),IFERROR(RIGHT("00"&amp;VALUE(LEFT(Sync!$AF1970,FIND(":",Sync!$AF1970)-1)),2)&amp;RIGHT("00"&amp;VALUE(MID(Sync!$AF1970,FIND(":",Sync!$AF1970)+1,2)),2),"0000"))))</f>
        <v/>
      </c>
    </row>
    <row r="1971" spans="1:14" x14ac:dyDescent="0.2">
      <c r="A1971" t="str">
        <f>IF(OR(Calc!$E1975="",Calc!$E1975="نامعتبر",Calc!$G1975=""),"",Calc!$G1975)</f>
        <v/>
      </c>
      <c r="B1971" t="str">
        <f>IF($A1971="","",LEFT(Calc!$E1975,4)&amp;MID(Calc!$E1975,6,2)&amp;RIGHT(Calc!$E1975,2)&amp;Calc!$Q1975&amp;"|"&amp;"1"&amp;RIGHT("00000"&amp;1966,5))</f>
        <v/>
      </c>
      <c r="C1971" t="str">
        <f t="shared" si="150"/>
        <v/>
      </c>
      <c r="D1971" t="str">
        <f t="shared" si="151"/>
        <v/>
      </c>
      <c r="F1971" t="str">
        <f>IF(Sync!$AH1971="","",IF(LEFT(UPPER(TRIM(Sync!$AH1971)),2)="SL",UPPER(TRIM(Sync!$AH1971)),""))</f>
        <v/>
      </c>
      <c r="G1971" t="str">
        <f>IF($F1971="","",IF(Sync!$AE1971="","",IF(ISNUMBER(Sync!$AE1971),IF(AND(Sync!$AE1971&gt;=10000101,Sync!$AE1971&lt;=99991231),INT(Sync!$AE1971/10000),""),IFERROR(VALUE(TRIM(LEFT(Sync!$AE1971,FIND("/",Sync!$AE1971)-1))),""))))</f>
        <v/>
      </c>
      <c r="H1971" t="str">
        <f>IF(OR($F1971="",$G1971=""),"",IF(ISNUMBER(Sync!$AE1971),INT(MOD(Sync!$AE1971,10000)/100),IFERROR(VALUE(TRIM(LEFT(MID(Sync!$AE1971,FIND("/",Sync!$AE1971)+1,20),FIND("/",MID(Sync!$AE1971,FIND("/",Sync!$AE1971)+1,20))-1))),"")))</f>
        <v/>
      </c>
      <c r="I1971" t="str">
        <f>IF(OR($F1971="",$G1971=""),"",IF(ISNUMBER(Sync!$AE1971),MOD(Sync!$AE1971,100),IFERROR(VALUE(TRIM(MID(MID(Sync!$AE1971,FIND("/",Sync!$AE1971)+1,20),FIND("/",MID(Sync!$AE1971,FIND("/",Sync!$AE1971)+1,20))+1,20))),"")))</f>
        <v/>
      </c>
      <c r="J1971" t="str">
        <f t="shared" si="152"/>
        <v/>
      </c>
      <c r="K1971" t="str">
        <f>IF(OR($F1971="",$J1971="",$J1971="نامعتبر"),"",LEFT($J1971,4)&amp;MID($J1971,6,2)&amp;RIGHT($J1971,2)&amp;$N1971&amp;"|"&amp;"2"&amp;RIGHT("00000"&amp;1966,5))</f>
        <v/>
      </c>
      <c r="L1971" t="str">
        <f t="shared" si="153"/>
        <v/>
      </c>
      <c r="M1971" t="str">
        <f t="shared" si="154"/>
        <v/>
      </c>
      <c r="N1971" t="str">
        <f>IF($F1971="","",IF(Sync!$AF1971="","0000",IF(AND(ISNUMBER(Sync!$AF1971),Sync!$AF1971&gt;=0,Sync!$AF1971&lt;1),RIGHT("00"&amp;HOUR(Sync!$AF1971),2)&amp;RIGHT("00"&amp;MINUTE(Sync!$AF1971),2),IFERROR(RIGHT("00"&amp;VALUE(LEFT(Sync!$AF1971,FIND(":",Sync!$AF1971)-1)),2)&amp;RIGHT("00"&amp;VALUE(MID(Sync!$AF1971,FIND(":",Sync!$AF1971)+1,2)),2),"0000"))))</f>
        <v/>
      </c>
    </row>
    <row r="1972" spans="1:14" x14ac:dyDescent="0.2">
      <c r="A1972" t="str">
        <f>IF(OR(Calc!$E1976="",Calc!$E1976="نامعتبر",Calc!$G1976=""),"",Calc!$G1976)</f>
        <v/>
      </c>
      <c r="B1972" t="str">
        <f>IF($A1972="","",LEFT(Calc!$E1976,4)&amp;MID(Calc!$E1976,6,2)&amp;RIGHT(Calc!$E1976,2)&amp;Calc!$Q1976&amp;"|"&amp;"1"&amp;RIGHT("00000"&amp;1967,5))</f>
        <v/>
      </c>
      <c r="C1972" t="str">
        <f t="shared" si="150"/>
        <v/>
      </c>
      <c r="D1972" t="str">
        <f t="shared" si="151"/>
        <v/>
      </c>
      <c r="F1972" t="str">
        <f>IF(Sync!$AH1972="","",IF(LEFT(UPPER(TRIM(Sync!$AH1972)),2)="SL",UPPER(TRIM(Sync!$AH1972)),""))</f>
        <v/>
      </c>
      <c r="G1972" t="str">
        <f>IF($F1972="","",IF(Sync!$AE1972="","",IF(ISNUMBER(Sync!$AE1972),IF(AND(Sync!$AE1972&gt;=10000101,Sync!$AE1972&lt;=99991231),INT(Sync!$AE1972/10000),""),IFERROR(VALUE(TRIM(LEFT(Sync!$AE1972,FIND("/",Sync!$AE1972)-1))),""))))</f>
        <v/>
      </c>
      <c r="H1972" t="str">
        <f>IF(OR($F1972="",$G1972=""),"",IF(ISNUMBER(Sync!$AE1972),INT(MOD(Sync!$AE1972,10000)/100),IFERROR(VALUE(TRIM(LEFT(MID(Sync!$AE1972,FIND("/",Sync!$AE1972)+1,20),FIND("/",MID(Sync!$AE1972,FIND("/",Sync!$AE1972)+1,20))-1))),"")))</f>
        <v/>
      </c>
      <c r="I1972" t="str">
        <f>IF(OR($F1972="",$G1972=""),"",IF(ISNUMBER(Sync!$AE1972),MOD(Sync!$AE1972,100),IFERROR(VALUE(TRIM(MID(MID(Sync!$AE1972,FIND("/",Sync!$AE1972)+1,20),FIND("/",MID(Sync!$AE1972,FIND("/",Sync!$AE1972)+1,20))+1,20))),"")))</f>
        <v/>
      </c>
      <c r="J1972" t="str">
        <f t="shared" si="152"/>
        <v/>
      </c>
      <c r="K1972" t="str">
        <f>IF(OR($F1972="",$J1972="",$J1972="نامعتبر"),"",LEFT($J1972,4)&amp;MID($J1972,6,2)&amp;RIGHT($J1972,2)&amp;$N1972&amp;"|"&amp;"2"&amp;RIGHT("00000"&amp;1967,5))</f>
        <v/>
      </c>
      <c r="L1972" t="str">
        <f t="shared" si="153"/>
        <v/>
      </c>
      <c r="M1972" t="str">
        <f t="shared" si="154"/>
        <v/>
      </c>
      <c r="N1972" t="str">
        <f>IF($F1972="","",IF(Sync!$AF1972="","0000",IF(AND(ISNUMBER(Sync!$AF1972),Sync!$AF1972&gt;=0,Sync!$AF1972&lt;1),RIGHT("00"&amp;HOUR(Sync!$AF1972),2)&amp;RIGHT("00"&amp;MINUTE(Sync!$AF1972),2),IFERROR(RIGHT("00"&amp;VALUE(LEFT(Sync!$AF1972,FIND(":",Sync!$AF1972)-1)),2)&amp;RIGHT("00"&amp;VALUE(MID(Sync!$AF1972,FIND(":",Sync!$AF1972)+1,2)),2),"0000"))))</f>
        <v/>
      </c>
    </row>
    <row r="1973" spans="1:14" x14ac:dyDescent="0.2">
      <c r="A1973" t="str">
        <f>IF(OR(Calc!$E1977="",Calc!$E1977="نامعتبر",Calc!$G1977=""),"",Calc!$G1977)</f>
        <v/>
      </c>
      <c r="B1973" t="str">
        <f>IF($A1973="","",LEFT(Calc!$E1977,4)&amp;MID(Calc!$E1977,6,2)&amp;RIGHT(Calc!$E1977,2)&amp;Calc!$Q1977&amp;"|"&amp;"1"&amp;RIGHT("00000"&amp;1968,5))</f>
        <v/>
      </c>
      <c r="C1973" t="str">
        <f t="shared" si="150"/>
        <v/>
      </c>
      <c r="D1973" t="str">
        <f t="shared" si="151"/>
        <v/>
      </c>
      <c r="F1973" t="str">
        <f>IF(Sync!$AH1973="","",IF(LEFT(UPPER(TRIM(Sync!$AH1973)),2)="SL",UPPER(TRIM(Sync!$AH1973)),""))</f>
        <v/>
      </c>
      <c r="G1973" t="str">
        <f>IF($F1973="","",IF(Sync!$AE1973="","",IF(ISNUMBER(Sync!$AE1973),IF(AND(Sync!$AE1973&gt;=10000101,Sync!$AE1973&lt;=99991231),INT(Sync!$AE1973/10000),""),IFERROR(VALUE(TRIM(LEFT(Sync!$AE1973,FIND("/",Sync!$AE1973)-1))),""))))</f>
        <v/>
      </c>
      <c r="H1973" t="str">
        <f>IF(OR($F1973="",$G1973=""),"",IF(ISNUMBER(Sync!$AE1973),INT(MOD(Sync!$AE1973,10000)/100),IFERROR(VALUE(TRIM(LEFT(MID(Sync!$AE1973,FIND("/",Sync!$AE1973)+1,20),FIND("/",MID(Sync!$AE1973,FIND("/",Sync!$AE1973)+1,20))-1))),"")))</f>
        <v/>
      </c>
      <c r="I1973" t="str">
        <f>IF(OR($F1973="",$G1973=""),"",IF(ISNUMBER(Sync!$AE1973),MOD(Sync!$AE1973,100),IFERROR(VALUE(TRIM(MID(MID(Sync!$AE1973,FIND("/",Sync!$AE1973)+1,20),FIND("/",MID(Sync!$AE1973,FIND("/",Sync!$AE1973)+1,20))+1,20))),"")))</f>
        <v/>
      </c>
      <c r="J1973" t="str">
        <f t="shared" si="152"/>
        <v/>
      </c>
      <c r="K1973" t="str">
        <f>IF(OR($F1973="",$J1973="",$J1973="نامعتبر"),"",LEFT($J1973,4)&amp;MID($J1973,6,2)&amp;RIGHT($J1973,2)&amp;$N1973&amp;"|"&amp;"2"&amp;RIGHT("00000"&amp;1968,5))</f>
        <v/>
      </c>
      <c r="L1973" t="str">
        <f t="shared" si="153"/>
        <v/>
      </c>
      <c r="M1973" t="str">
        <f t="shared" si="154"/>
        <v/>
      </c>
      <c r="N1973" t="str">
        <f>IF($F1973="","",IF(Sync!$AF1973="","0000",IF(AND(ISNUMBER(Sync!$AF1973),Sync!$AF1973&gt;=0,Sync!$AF1973&lt;1),RIGHT("00"&amp;HOUR(Sync!$AF1973),2)&amp;RIGHT("00"&amp;MINUTE(Sync!$AF1973),2),IFERROR(RIGHT("00"&amp;VALUE(LEFT(Sync!$AF1973,FIND(":",Sync!$AF1973)-1)),2)&amp;RIGHT("00"&amp;VALUE(MID(Sync!$AF1973,FIND(":",Sync!$AF1973)+1,2)),2),"0000"))))</f>
        <v/>
      </c>
    </row>
    <row r="1974" spans="1:14" x14ac:dyDescent="0.2">
      <c r="A1974" t="str">
        <f>IF(OR(Calc!$E1978="",Calc!$E1978="نامعتبر",Calc!$G1978=""),"",Calc!$G1978)</f>
        <v/>
      </c>
      <c r="B1974" t="str">
        <f>IF($A1974="","",LEFT(Calc!$E1978,4)&amp;MID(Calc!$E1978,6,2)&amp;RIGHT(Calc!$E1978,2)&amp;Calc!$Q1978&amp;"|"&amp;"1"&amp;RIGHT("00000"&amp;1969,5))</f>
        <v/>
      </c>
      <c r="C1974" t="str">
        <f t="shared" si="150"/>
        <v/>
      </c>
      <c r="D1974" t="str">
        <f t="shared" si="151"/>
        <v/>
      </c>
      <c r="F1974" t="str">
        <f>IF(Sync!$AH1974="","",IF(LEFT(UPPER(TRIM(Sync!$AH1974)),2)="SL",UPPER(TRIM(Sync!$AH1974)),""))</f>
        <v/>
      </c>
      <c r="G1974" t="str">
        <f>IF($F1974="","",IF(Sync!$AE1974="","",IF(ISNUMBER(Sync!$AE1974),IF(AND(Sync!$AE1974&gt;=10000101,Sync!$AE1974&lt;=99991231),INT(Sync!$AE1974/10000),""),IFERROR(VALUE(TRIM(LEFT(Sync!$AE1974,FIND("/",Sync!$AE1974)-1))),""))))</f>
        <v/>
      </c>
      <c r="H1974" t="str">
        <f>IF(OR($F1974="",$G1974=""),"",IF(ISNUMBER(Sync!$AE1974),INT(MOD(Sync!$AE1974,10000)/100),IFERROR(VALUE(TRIM(LEFT(MID(Sync!$AE1974,FIND("/",Sync!$AE1974)+1,20),FIND("/",MID(Sync!$AE1974,FIND("/",Sync!$AE1974)+1,20))-1))),"")))</f>
        <v/>
      </c>
      <c r="I1974" t="str">
        <f>IF(OR($F1974="",$G1974=""),"",IF(ISNUMBER(Sync!$AE1974),MOD(Sync!$AE1974,100),IFERROR(VALUE(TRIM(MID(MID(Sync!$AE1974,FIND("/",Sync!$AE1974)+1,20),FIND("/",MID(Sync!$AE1974,FIND("/",Sync!$AE1974)+1,20))+1,20))),"")))</f>
        <v/>
      </c>
      <c r="J1974" t="str">
        <f t="shared" si="152"/>
        <v/>
      </c>
      <c r="K1974" t="str">
        <f>IF(OR($F1974="",$J1974="",$J1974="نامعتبر"),"",LEFT($J1974,4)&amp;MID($J1974,6,2)&amp;RIGHT($J1974,2)&amp;$N1974&amp;"|"&amp;"2"&amp;RIGHT("00000"&amp;1969,5))</f>
        <v/>
      </c>
      <c r="L1974" t="str">
        <f t="shared" si="153"/>
        <v/>
      </c>
      <c r="M1974" t="str">
        <f t="shared" si="154"/>
        <v/>
      </c>
      <c r="N1974" t="str">
        <f>IF($F1974="","",IF(Sync!$AF1974="","0000",IF(AND(ISNUMBER(Sync!$AF1974),Sync!$AF1974&gt;=0,Sync!$AF1974&lt;1),RIGHT("00"&amp;HOUR(Sync!$AF1974),2)&amp;RIGHT("00"&amp;MINUTE(Sync!$AF1974),2),IFERROR(RIGHT("00"&amp;VALUE(LEFT(Sync!$AF1974,FIND(":",Sync!$AF1974)-1)),2)&amp;RIGHT("00"&amp;VALUE(MID(Sync!$AF1974,FIND(":",Sync!$AF1974)+1,2)),2),"0000"))))</f>
        <v/>
      </c>
    </row>
    <row r="1975" spans="1:14" x14ac:dyDescent="0.2">
      <c r="A1975" t="str">
        <f>IF(OR(Calc!$E1979="",Calc!$E1979="نامعتبر",Calc!$G1979=""),"",Calc!$G1979)</f>
        <v/>
      </c>
      <c r="B1975" t="str">
        <f>IF($A1975="","",LEFT(Calc!$E1979,4)&amp;MID(Calc!$E1979,6,2)&amp;RIGHT(Calc!$E1979,2)&amp;Calc!$Q1979&amp;"|"&amp;"1"&amp;RIGHT("00000"&amp;1970,5))</f>
        <v/>
      </c>
      <c r="C1975" t="str">
        <f t="shared" si="150"/>
        <v/>
      </c>
      <c r="D1975" t="str">
        <f t="shared" si="151"/>
        <v/>
      </c>
      <c r="F1975" t="str">
        <f>IF(Sync!$AH1975="","",IF(LEFT(UPPER(TRIM(Sync!$AH1975)),2)="SL",UPPER(TRIM(Sync!$AH1975)),""))</f>
        <v/>
      </c>
      <c r="G1975" t="str">
        <f>IF($F1975="","",IF(Sync!$AE1975="","",IF(ISNUMBER(Sync!$AE1975),IF(AND(Sync!$AE1975&gt;=10000101,Sync!$AE1975&lt;=99991231),INT(Sync!$AE1975/10000),""),IFERROR(VALUE(TRIM(LEFT(Sync!$AE1975,FIND("/",Sync!$AE1975)-1))),""))))</f>
        <v/>
      </c>
      <c r="H1975" t="str">
        <f>IF(OR($F1975="",$G1975=""),"",IF(ISNUMBER(Sync!$AE1975),INT(MOD(Sync!$AE1975,10000)/100),IFERROR(VALUE(TRIM(LEFT(MID(Sync!$AE1975,FIND("/",Sync!$AE1975)+1,20),FIND("/",MID(Sync!$AE1975,FIND("/",Sync!$AE1975)+1,20))-1))),"")))</f>
        <v/>
      </c>
      <c r="I1975" t="str">
        <f>IF(OR($F1975="",$G1975=""),"",IF(ISNUMBER(Sync!$AE1975),MOD(Sync!$AE1975,100),IFERROR(VALUE(TRIM(MID(MID(Sync!$AE1975,FIND("/",Sync!$AE1975)+1,20),FIND("/",MID(Sync!$AE1975,FIND("/",Sync!$AE1975)+1,20))+1,20))),"")))</f>
        <v/>
      </c>
      <c r="J1975" t="str">
        <f t="shared" si="152"/>
        <v/>
      </c>
      <c r="K1975" t="str">
        <f>IF(OR($F1975="",$J1975="",$J1975="نامعتبر"),"",LEFT($J1975,4)&amp;MID($J1975,6,2)&amp;RIGHT($J1975,2)&amp;$N1975&amp;"|"&amp;"2"&amp;RIGHT("00000"&amp;1970,5))</f>
        <v/>
      </c>
      <c r="L1975" t="str">
        <f t="shared" si="153"/>
        <v/>
      </c>
      <c r="M1975" t="str">
        <f t="shared" si="154"/>
        <v/>
      </c>
      <c r="N1975" t="str">
        <f>IF($F1975="","",IF(Sync!$AF1975="","0000",IF(AND(ISNUMBER(Sync!$AF1975),Sync!$AF1975&gt;=0,Sync!$AF1975&lt;1),RIGHT("00"&amp;HOUR(Sync!$AF1975),2)&amp;RIGHT("00"&amp;MINUTE(Sync!$AF1975),2),IFERROR(RIGHT("00"&amp;VALUE(LEFT(Sync!$AF1975,FIND(":",Sync!$AF1975)-1)),2)&amp;RIGHT("00"&amp;VALUE(MID(Sync!$AF1975,FIND(":",Sync!$AF1975)+1,2)),2),"0000"))))</f>
        <v/>
      </c>
    </row>
    <row r="1976" spans="1:14" x14ac:dyDescent="0.2">
      <c r="A1976" t="str">
        <f>IF(OR(Calc!$E1980="",Calc!$E1980="نامعتبر",Calc!$G1980=""),"",Calc!$G1980)</f>
        <v/>
      </c>
      <c r="B1976" t="str">
        <f>IF($A1976="","",LEFT(Calc!$E1980,4)&amp;MID(Calc!$E1980,6,2)&amp;RIGHT(Calc!$E1980,2)&amp;Calc!$Q1980&amp;"|"&amp;"1"&amp;RIGHT("00000"&amp;1971,5))</f>
        <v/>
      </c>
      <c r="C1976" t="str">
        <f t="shared" si="150"/>
        <v/>
      </c>
      <c r="D1976" t="str">
        <f t="shared" si="151"/>
        <v/>
      </c>
      <c r="F1976" t="str">
        <f>IF(Sync!$AH1976="","",IF(LEFT(UPPER(TRIM(Sync!$AH1976)),2)="SL",UPPER(TRIM(Sync!$AH1976)),""))</f>
        <v/>
      </c>
      <c r="G1976" t="str">
        <f>IF($F1976="","",IF(Sync!$AE1976="","",IF(ISNUMBER(Sync!$AE1976),IF(AND(Sync!$AE1976&gt;=10000101,Sync!$AE1976&lt;=99991231),INT(Sync!$AE1976/10000),""),IFERROR(VALUE(TRIM(LEFT(Sync!$AE1976,FIND("/",Sync!$AE1976)-1))),""))))</f>
        <v/>
      </c>
      <c r="H1976" t="str">
        <f>IF(OR($F1976="",$G1976=""),"",IF(ISNUMBER(Sync!$AE1976),INT(MOD(Sync!$AE1976,10000)/100),IFERROR(VALUE(TRIM(LEFT(MID(Sync!$AE1976,FIND("/",Sync!$AE1976)+1,20),FIND("/",MID(Sync!$AE1976,FIND("/",Sync!$AE1976)+1,20))-1))),"")))</f>
        <v/>
      </c>
      <c r="I1976" t="str">
        <f>IF(OR($F1976="",$G1976=""),"",IF(ISNUMBER(Sync!$AE1976),MOD(Sync!$AE1976,100),IFERROR(VALUE(TRIM(MID(MID(Sync!$AE1976,FIND("/",Sync!$AE1976)+1,20),FIND("/",MID(Sync!$AE1976,FIND("/",Sync!$AE1976)+1,20))+1,20))),"")))</f>
        <v/>
      </c>
      <c r="J1976" t="str">
        <f t="shared" si="152"/>
        <v/>
      </c>
      <c r="K1976" t="str">
        <f>IF(OR($F1976="",$J1976="",$J1976="نامعتبر"),"",LEFT($J1976,4)&amp;MID($J1976,6,2)&amp;RIGHT($J1976,2)&amp;$N1976&amp;"|"&amp;"2"&amp;RIGHT("00000"&amp;1971,5))</f>
        <v/>
      </c>
      <c r="L1976" t="str">
        <f t="shared" si="153"/>
        <v/>
      </c>
      <c r="M1976" t="str">
        <f t="shared" si="154"/>
        <v/>
      </c>
      <c r="N1976" t="str">
        <f>IF($F1976="","",IF(Sync!$AF1976="","0000",IF(AND(ISNUMBER(Sync!$AF1976),Sync!$AF1976&gt;=0,Sync!$AF1976&lt;1),RIGHT("00"&amp;HOUR(Sync!$AF1976),2)&amp;RIGHT("00"&amp;MINUTE(Sync!$AF1976),2),IFERROR(RIGHT("00"&amp;VALUE(LEFT(Sync!$AF1976,FIND(":",Sync!$AF1976)-1)),2)&amp;RIGHT("00"&amp;VALUE(MID(Sync!$AF1976,FIND(":",Sync!$AF1976)+1,2)),2),"0000"))))</f>
        <v/>
      </c>
    </row>
    <row r="1977" spans="1:14" x14ac:dyDescent="0.2">
      <c r="A1977" t="str">
        <f>IF(OR(Calc!$E1981="",Calc!$E1981="نامعتبر",Calc!$G1981=""),"",Calc!$G1981)</f>
        <v/>
      </c>
      <c r="B1977" t="str">
        <f>IF($A1977="","",LEFT(Calc!$E1981,4)&amp;MID(Calc!$E1981,6,2)&amp;RIGHT(Calc!$E1981,2)&amp;Calc!$Q1981&amp;"|"&amp;"1"&amp;RIGHT("00000"&amp;1972,5))</f>
        <v/>
      </c>
      <c r="C1977" t="str">
        <f t="shared" si="150"/>
        <v/>
      </c>
      <c r="D1977" t="str">
        <f t="shared" si="151"/>
        <v/>
      </c>
      <c r="F1977" t="str">
        <f>IF(Sync!$AH1977="","",IF(LEFT(UPPER(TRIM(Sync!$AH1977)),2)="SL",UPPER(TRIM(Sync!$AH1977)),""))</f>
        <v/>
      </c>
      <c r="G1977" t="str">
        <f>IF($F1977="","",IF(Sync!$AE1977="","",IF(ISNUMBER(Sync!$AE1977),IF(AND(Sync!$AE1977&gt;=10000101,Sync!$AE1977&lt;=99991231),INT(Sync!$AE1977/10000),""),IFERROR(VALUE(TRIM(LEFT(Sync!$AE1977,FIND("/",Sync!$AE1977)-1))),""))))</f>
        <v/>
      </c>
      <c r="H1977" t="str">
        <f>IF(OR($F1977="",$G1977=""),"",IF(ISNUMBER(Sync!$AE1977),INT(MOD(Sync!$AE1977,10000)/100),IFERROR(VALUE(TRIM(LEFT(MID(Sync!$AE1977,FIND("/",Sync!$AE1977)+1,20),FIND("/",MID(Sync!$AE1977,FIND("/",Sync!$AE1977)+1,20))-1))),"")))</f>
        <v/>
      </c>
      <c r="I1977" t="str">
        <f>IF(OR($F1977="",$G1977=""),"",IF(ISNUMBER(Sync!$AE1977),MOD(Sync!$AE1977,100),IFERROR(VALUE(TRIM(MID(MID(Sync!$AE1977,FIND("/",Sync!$AE1977)+1,20),FIND("/",MID(Sync!$AE1977,FIND("/",Sync!$AE1977)+1,20))+1,20))),"")))</f>
        <v/>
      </c>
      <c r="J1977" t="str">
        <f t="shared" si="152"/>
        <v/>
      </c>
      <c r="K1977" t="str">
        <f>IF(OR($F1977="",$J1977="",$J1977="نامعتبر"),"",LEFT($J1977,4)&amp;MID($J1977,6,2)&amp;RIGHT($J1977,2)&amp;$N1977&amp;"|"&amp;"2"&amp;RIGHT("00000"&amp;1972,5))</f>
        <v/>
      </c>
      <c r="L1977" t="str">
        <f t="shared" si="153"/>
        <v/>
      </c>
      <c r="M1977" t="str">
        <f t="shared" si="154"/>
        <v/>
      </c>
      <c r="N1977" t="str">
        <f>IF($F1977="","",IF(Sync!$AF1977="","0000",IF(AND(ISNUMBER(Sync!$AF1977),Sync!$AF1977&gt;=0,Sync!$AF1977&lt;1),RIGHT("00"&amp;HOUR(Sync!$AF1977),2)&amp;RIGHT("00"&amp;MINUTE(Sync!$AF1977),2),IFERROR(RIGHT("00"&amp;VALUE(LEFT(Sync!$AF1977,FIND(":",Sync!$AF1977)-1)),2)&amp;RIGHT("00"&amp;VALUE(MID(Sync!$AF1977,FIND(":",Sync!$AF1977)+1,2)),2),"0000"))))</f>
        <v/>
      </c>
    </row>
    <row r="1978" spans="1:14" x14ac:dyDescent="0.2">
      <c r="A1978" t="str">
        <f>IF(OR(Calc!$E1982="",Calc!$E1982="نامعتبر",Calc!$G1982=""),"",Calc!$G1982)</f>
        <v/>
      </c>
      <c r="B1978" t="str">
        <f>IF($A1978="","",LEFT(Calc!$E1982,4)&amp;MID(Calc!$E1982,6,2)&amp;RIGHT(Calc!$E1982,2)&amp;Calc!$Q1982&amp;"|"&amp;"1"&amp;RIGHT("00000"&amp;1973,5))</f>
        <v/>
      </c>
      <c r="C1978" t="str">
        <f t="shared" si="150"/>
        <v/>
      </c>
      <c r="D1978" t="str">
        <f t="shared" si="151"/>
        <v/>
      </c>
      <c r="F1978" t="str">
        <f>IF(Sync!$AH1978="","",IF(LEFT(UPPER(TRIM(Sync!$AH1978)),2)="SL",UPPER(TRIM(Sync!$AH1978)),""))</f>
        <v/>
      </c>
      <c r="G1978" t="str">
        <f>IF($F1978="","",IF(Sync!$AE1978="","",IF(ISNUMBER(Sync!$AE1978),IF(AND(Sync!$AE1978&gt;=10000101,Sync!$AE1978&lt;=99991231),INT(Sync!$AE1978/10000),""),IFERROR(VALUE(TRIM(LEFT(Sync!$AE1978,FIND("/",Sync!$AE1978)-1))),""))))</f>
        <v/>
      </c>
      <c r="H1978" t="str">
        <f>IF(OR($F1978="",$G1978=""),"",IF(ISNUMBER(Sync!$AE1978),INT(MOD(Sync!$AE1978,10000)/100),IFERROR(VALUE(TRIM(LEFT(MID(Sync!$AE1978,FIND("/",Sync!$AE1978)+1,20),FIND("/",MID(Sync!$AE1978,FIND("/",Sync!$AE1978)+1,20))-1))),"")))</f>
        <v/>
      </c>
      <c r="I1978" t="str">
        <f>IF(OR($F1978="",$G1978=""),"",IF(ISNUMBER(Sync!$AE1978),MOD(Sync!$AE1978,100),IFERROR(VALUE(TRIM(MID(MID(Sync!$AE1978,FIND("/",Sync!$AE1978)+1,20),FIND("/",MID(Sync!$AE1978,FIND("/",Sync!$AE1978)+1,20))+1,20))),"")))</f>
        <v/>
      </c>
      <c r="J1978" t="str">
        <f t="shared" si="152"/>
        <v/>
      </c>
      <c r="K1978" t="str">
        <f>IF(OR($F1978="",$J1978="",$J1978="نامعتبر"),"",LEFT($J1978,4)&amp;MID($J1978,6,2)&amp;RIGHT($J1978,2)&amp;$N1978&amp;"|"&amp;"2"&amp;RIGHT("00000"&amp;1973,5))</f>
        <v/>
      </c>
      <c r="L1978" t="str">
        <f t="shared" si="153"/>
        <v/>
      </c>
      <c r="M1978" t="str">
        <f t="shared" si="154"/>
        <v/>
      </c>
      <c r="N1978" t="str">
        <f>IF($F1978="","",IF(Sync!$AF1978="","0000",IF(AND(ISNUMBER(Sync!$AF1978),Sync!$AF1978&gt;=0,Sync!$AF1978&lt;1),RIGHT("00"&amp;HOUR(Sync!$AF1978),2)&amp;RIGHT("00"&amp;MINUTE(Sync!$AF1978),2),IFERROR(RIGHT("00"&amp;VALUE(LEFT(Sync!$AF1978,FIND(":",Sync!$AF1978)-1)),2)&amp;RIGHT("00"&amp;VALUE(MID(Sync!$AF1978,FIND(":",Sync!$AF1978)+1,2)),2),"0000"))))</f>
        <v/>
      </c>
    </row>
    <row r="1979" spans="1:14" x14ac:dyDescent="0.2">
      <c r="A1979" t="str">
        <f>IF(OR(Calc!$E1983="",Calc!$E1983="نامعتبر",Calc!$G1983=""),"",Calc!$G1983)</f>
        <v/>
      </c>
      <c r="B1979" t="str">
        <f>IF($A1979="","",LEFT(Calc!$E1983,4)&amp;MID(Calc!$E1983,6,2)&amp;RIGHT(Calc!$E1983,2)&amp;Calc!$Q1983&amp;"|"&amp;"1"&amp;RIGHT("00000"&amp;1974,5))</f>
        <v/>
      </c>
      <c r="C1979" t="str">
        <f t="shared" si="150"/>
        <v/>
      </c>
      <c r="D1979" t="str">
        <f t="shared" si="151"/>
        <v/>
      </c>
      <c r="F1979" t="str">
        <f>IF(Sync!$AH1979="","",IF(LEFT(UPPER(TRIM(Sync!$AH1979)),2)="SL",UPPER(TRIM(Sync!$AH1979)),""))</f>
        <v/>
      </c>
      <c r="G1979" t="str">
        <f>IF($F1979="","",IF(Sync!$AE1979="","",IF(ISNUMBER(Sync!$AE1979),IF(AND(Sync!$AE1979&gt;=10000101,Sync!$AE1979&lt;=99991231),INT(Sync!$AE1979/10000),""),IFERROR(VALUE(TRIM(LEFT(Sync!$AE1979,FIND("/",Sync!$AE1979)-1))),""))))</f>
        <v/>
      </c>
      <c r="H1979" t="str">
        <f>IF(OR($F1979="",$G1979=""),"",IF(ISNUMBER(Sync!$AE1979),INT(MOD(Sync!$AE1979,10000)/100),IFERROR(VALUE(TRIM(LEFT(MID(Sync!$AE1979,FIND("/",Sync!$AE1979)+1,20),FIND("/",MID(Sync!$AE1979,FIND("/",Sync!$AE1979)+1,20))-1))),"")))</f>
        <v/>
      </c>
      <c r="I1979" t="str">
        <f>IF(OR($F1979="",$G1979=""),"",IF(ISNUMBER(Sync!$AE1979),MOD(Sync!$AE1979,100),IFERROR(VALUE(TRIM(MID(MID(Sync!$AE1979,FIND("/",Sync!$AE1979)+1,20),FIND("/",MID(Sync!$AE1979,FIND("/",Sync!$AE1979)+1,20))+1,20))),"")))</f>
        <v/>
      </c>
      <c r="J1979" t="str">
        <f t="shared" si="152"/>
        <v/>
      </c>
      <c r="K1979" t="str">
        <f>IF(OR($F1979="",$J1979="",$J1979="نامعتبر"),"",LEFT($J1979,4)&amp;MID($J1979,6,2)&amp;RIGHT($J1979,2)&amp;$N1979&amp;"|"&amp;"2"&amp;RIGHT("00000"&amp;1974,5))</f>
        <v/>
      </c>
      <c r="L1979" t="str">
        <f t="shared" si="153"/>
        <v/>
      </c>
      <c r="M1979" t="str">
        <f t="shared" si="154"/>
        <v/>
      </c>
      <c r="N1979" t="str">
        <f>IF($F1979="","",IF(Sync!$AF1979="","0000",IF(AND(ISNUMBER(Sync!$AF1979),Sync!$AF1979&gt;=0,Sync!$AF1979&lt;1),RIGHT("00"&amp;HOUR(Sync!$AF1979),2)&amp;RIGHT("00"&amp;MINUTE(Sync!$AF1979),2),IFERROR(RIGHT("00"&amp;VALUE(LEFT(Sync!$AF1979,FIND(":",Sync!$AF1979)-1)),2)&amp;RIGHT("00"&amp;VALUE(MID(Sync!$AF1979,FIND(":",Sync!$AF1979)+1,2)),2),"0000"))))</f>
        <v/>
      </c>
    </row>
    <row r="1980" spans="1:14" x14ac:dyDescent="0.2">
      <c r="A1980" t="str">
        <f>IF(OR(Calc!$E1984="",Calc!$E1984="نامعتبر",Calc!$G1984=""),"",Calc!$G1984)</f>
        <v/>
      </c>
      <c r="B1980" t="str">
        <f>IF($A1980="","",LEFT(Calc!$E1984,4)&amp;MID(Calc!$E1984,6,2)&amp;RIGHT(Calc!$E1984,2)&amp;Calc!$Q1984&amp;"|"&amp;"1"&amp;RIGHT("00000"&amp;1975,5))</f>
        <v/>
      </c>
      <c r="C1980" t="str">
        <f t="shared" si="150"/>
        <v/>
      </c>
      <c r="D1980" t="str">
        <f t="shared" si="151"/>
        <v/>
      </c>
      <c r="F1980" t="str">
        <f>IF(Sync!$AH1980="","",IF(LEFT(UPPER(TRIM(Sync!$AH1980)),2)="SL",UPPER(TRIM(Sync!$AH1980)),""))</f>
        <v/>
      </c>
      <c r="G1980" t="str">
        <f>IF($F1980="","",IF(Sync!$AE1980="","",IF(ISNUMBER(Sync!$AE1980),IF(AND(Sync!$AE1980&gt;=10000101,Sync!$AE1980&lt;=99991231),INT(Sync!$AE1980/10000),""),IFERROR(VALUE(TRIM(LEFT(Sync!$AE1980,FIND("/",Sync!$AE1980)-1))),""))))</f>
        <v/>
      </c>
      <c r="H1980" t="str">
        <f>IF(OR($F1980="",$G1980=""),"",IF(ISNUMBER(Sync!$AE1980),INT(MOD(Sync!$AE1980,10000)/100),IFERROR(VALUE(TRIM(LEFT(MID(Sync!$AE1980,FIND("/",Sync!$AE1980)+1,20),FIND("/",MID(Sync!$AE1980,FIND("/",Sync!$AE1980)+1,20))-1))),"")))</f>
        <v/>
      </c>
      <c r="I1980" t="str">
        <f>IF(OR($F1980="",$G1980=""),"",IF(ISNUMBER(Sync!$AE1980),MOD(Sync!$AE1980,100),IFERROR(VALUE(TRIM(MID(MID(Sync!$AE1980,FIND("/",Sync!$AE1980)+1,20),FIND("/",MID(Sync!$AE1980,FIND("/",Sync!$AE1980)+1,20))+1,20))),"")))</f>
        <v/>
      </c>
      <c r="J1980" t="str">
        <f t="shared" si="152"/>
        <v/>
      </c>
      <c r="K1980" t="str">
        <f>IF(OR($F1980="",$J1980="",$J1980="نامعتبر"),"",LEFT($J1980,4)&amp;MID($J1980,6,2)&amp;RIGHT($J1980,2)&amp;$N1980&amp;"|"&amp;"2"&amp;RIGHT("00000"&amp;1975,5))</f>
        <v/>
      </c>
      <c r="L1980" t="str">
        <f t="shared" si="153"/>
        <v/>
      </c>
      <c r="M1980" t="str">
        <f t="shared" si="154"/>
        <v/>
      </c>
      <c r="N1980" t="str">
        <f>IF($F1980="","",IF(Sync!$AF1980="","0000",IF(AND(ISNUMBER(Sync!$AF1980),Sync!$AF1980&gt;=0,Sync!$AF1980&lt;1),RIGHT("00"&amp;HOUR(Sync!$AF1980),2)&amp;RIGHT("00"&amp;MINUTE(Sync!$AF1980),2),IFERROR(RIGHT("00"&amp;VALUE(LEFT(Sync!$AF1980,FIND(":",Sync!$AF1980)-1)),2)&amp;RIGHT("00"&amp;VALUE(MID(Sync!$AF1980,FIND(":",Sync!$AF1980)+1,2)),2),"0000"))))</f>
        <v/>
      </c>
    </row>
    <row r="1981" spans="1:14" x14ac:dyDescent="0.2">
      <c r="A1981" t="str">
        <f>IF(OR(Calc!$E1985="",Calc!$E1985="نامعتبر",Calc!$G1985=""),"",Calc!$G1985)</f>
        <v/>
      </c>
      <c r="B1981" t="str">
        <f>IF($A1981="","",LEFT(Calc!$E1985,4)&amp;MID(Calc!$E1985,6,2)&amp;RIGHT(Calc!$E1985,2)&amp;Calc!$Q1985&amp;"|"&amp;"1"&amp;RIGHT("00000"&amp;1976,5))</f>
        <v/>
      </c>
      <c r="C1981" t="str">
        <f t="shared" si="150"/>
        <v/>
      </c>
      <c r="D1981" t="str">
        <f t="shared" si="151"/>
        <v/>
      </c>
      <c r="F1981" t="str">
        <f>IF(Sync!$AH1981="","",IF(LEFT(UPPER(TRIM(Sync!$AH1981)),2)="SL",UPPER(TRIM(Sync!$AH1981)),""))</f>
        <v/>
      </c>
      <c r="G1981" t="str">
        <f>IF($F1981="","",IF(Sync!$AE1981="","",IF(ISNUMBER(Sync!$AE1981),IF(AND(Sync!$AE1981&gt;=10000101,Sync!$AE1981&lt;=99991231),INT(Sync!$AE1981/10000),""),IFERROR(VALUE(TRIM(LEFT(Sync!$AE1981,FIND("/",Sync!$AE1981)-1))),""))))</f>
        <v/>
      </c>
      <c r="H1981" t="str">
        <f>IF(OR($F1981="",$G1981=""),"",IF(ISNUMBER(Sync!$AE1981),INT(MOD(Sync!$AE1981,10000)/100),IFERROR(VALUE(TRIM(LEFT(MID(Sync!$AE1981,FIND("/",Sync!$AE1981)+1,20),FIND("/",MID(Sync!$AE1981,FIND("/",Sync!$AE1981)+1,20))-1))),"")))</f>
        <v/>
      </c>
      <c r="I1981" t="str">
        <f>IF(OR($F1981="",$G1981=""),"",IF(ISNUMBER(Sync!$AE1981),MOD(Sync!$AE1981,100),IFERROR(VALUE(TRIM(MID(MID(Sync!$AE1981,FIND("/",Sync!$AE1981)+1,20),FIND("/",MID(Sync!$AE1981,FIND("/",Sync!$AE1981)+1,20))+1,20))),"")))</f>
        <v/>
      </c>
      <c r="J1981" t="str">
        <f t="shared" si="152"/>
        <v/>
      </c>
      <c r="K1981" t="str">
        <f>IF(OR($F1981="",$J1981="",$J1981="نامعتبر"),"",LEFT($J1981,4)&amp;MID($J1981,6,2)&amp;RIGHT($J1981,2)&amp;$N1981&amp;"|"&amp;"2"&amp;RIGHT("00000"&amp;1976,5))</f>
        <v/>
      </c>
      <c r="L1981" t="str">
        <f t="shared" si="153"/>
        <v/>
      </c>
      <c r="M1981" t="str">
        <f t="shared" si="154"/>
        <v/>
      </c>
      <c r="N1981" t="str">
        <f>IF($F1981="","",IF(Sync!$AF1981="","0000",IF(AND(ISNUMBER(Sync!$AF1981),Sync!$AF1981&gt;=0,Sync!$AF1981&lt;1),RIGHT("00"&amp;HOUR(Sync!$AF1981),2)&amp;RIGHT("00"&amp;MINUTE(Sync!$AF1981),2),IFERROR(RIGHT("00"&amp;VALUE(LEFT(Sync!$AF1981,FIND(":",Sync!$AF1981)-1)),2)&amp;RIGHT("00"&amp;VALUE(MID(Sync!$AF1981,FIND(":",Sync!$AF1981)+1,2)),2),"0000"))))</f>
        <v/>
      </c>
    </row>
    <row r="1982" spans="1:14" x14ac:dyDescent="0.2">
      <c r="A1982" t="str">
        <f>IF(OR(Calc!$E1986="",Calc!$E1986="نامعتبر",Calc!$G1986=""),"",Calc!$G1986)</f>
        <v/>
      </c>
      <c r="B1982" t="str">
        <f>IF($A1982="","",LEFT(Calc!$E1986,4)&amp;MID(Calc!$E1986,6,2)&amp;RIGHT(Calc!$E1986,2)&amp;Calc!$Q1986&amp;"|"&amp;"1"&amp;RIGHT("00000"&amp;1977,5))</f>
        <v/>
      </c>
      <c r="C1982" t="str">
        <f t="shared" si="150"/>
        <v/>
      </c>
      <c r="D1982" t="str">
        <f t="shared" si="151"/>
        <v/>
      </c>
      <c r="F1982" t="str">
        <f>IF(Sync!$AH1982="","",IF(LEFT(UPPER(TRIM(Sync!$AH1982)),2)="SL",UPPER(TRIM(Sync!$AH1982)),""))</f>
        <v/>
      </c>
      <c r="G1982" t="str">
        <f>IF($F1982="","",IF(Sync!$AE1982="","",IF(ISNUMBER(Sync!$AE1982),IF(AND(Sync!$AE1982&gt;=10000101,Sync!$AE1982&lt;=99991231),INT(Sync!$AE1982/10000),""),IFERROR(VALUE(TRIM(LEFT(Sync!$AE1982,FIND("/",Sync!$AE1982)-1))),""))))</f>
        <v/>
      </c>
      <c r="H1982" t="str">
        <f>IF(OR($F1982="",$G1982=""),"",IF(ISNUMBER(Sync!$AE1982),INT(MOD(Sync!$AE1982,10000)/100),IFERROR(VALUE(TRIM(LEFT(MID(Sync!$AE1982,FIND("/",Sync!$AE1982)+1,20),FIND("/",MID(Sync!$AE1982,FIND("/",Sync!$AE1982)+1,20))-1))),"")))</f>
        <v/>
      </c>
      <c r="I1982" t="str">
        <f>IF(OR($F1982="",$G1982=""),"",IF(ISNUMBER(Sync!$AE1982),MOD(Sync!$AE1982,100),IFERROR(VALUE(TRIM(MID(MID(Sync!$AE1982,FIND("/",Sync!$AE1982)+1,20),FIND("/",MID(Sync!$AE1982,FIND("/",Sync!$AE1982)+1,20))+1,20))),"")))</f>
        <v/>
      </c>
      <c r="J1982" t="str">
        <f t="shared" si="152"/>
        <v/>
      </c>
      <c r="K1982" t="str">
        <f>IF(OR($F1982="",$J1982="",$J1982="نامعتبر"),"",LEFT($J1982,4)&amp;MID($J1982,6,2)&amp;RIGHT($J1982,2)&amp;$N1982&amp;"|"&amp;"2"&amp;RIGHT("00000"&amp;1977,5))</f>
        <v/>
      </c>
      <c r="L1982" t="str">
        <f t="shared" si="153"/>
        <v/>
      </c>
      <c r="M1982" t="str">
        <f t="shared" si="154"/>
        <v/>
      </c>
      <c r="N1982" t="str">
        <f>IF($F1982="","",IF(Sync!$AF1982="","0000",IF(AND(ISNUMBER(Sync!$AF1982),Sync!$AF1982&gt;=0,Sync!$AF1982&lt;1),RIGHT("00"&amp;HOUR(Sync!$AF1982),2)&amp;RIGHT("00"&amp;MINUTE(Sync!$AF1982),2),IFERROR(RIGHT("00"&amp;VALUE(LEFT(Sync!$AF1982,FIND(":",Sync!$AF1982)-1)),2)&amp;RIGHT("00"&amp;VALUE(MID(Sync!$AF1982,FIND(":",Sync!$AF1982)+1,2)),2),"0000"))))</f>
        <v/>
      </c>
    </row>
    <row r="1983" spans="1:14" x14ac:dyDescent="0.2">
      <c r="A1983" t="str">
        <f>IF(OR(Calc!$E1987="",Calc!$E1987="نامعتبر",Calc!$G1987=""),"",Calc!$G1987)</f>
        <v/>
      </c>
      <c r="B1983" t="str">
        <f>IF($A1983="","",LEFT(Calc!$E1987,4)&amp;MID(Calc!$E1987,6,2)&amp;RIGHT(Calc!$E1987,2)&amp;Calc!$Q1987&amp;"|"&amp;"1"&amp;RIGHT("00000"&amp;1978,5))</f>
        <v/>
      </c>
      <c r="C1983" t="str">
        <f t="shared" si="150"/>
        <v/>
      </c>
      <c r="D1983" t="str">
        <f t="shared" si="151"/>
        <v/>
      </c>
      <c r="F1983" t="str">
        <f>IF(Sync!$AH1983="","",IF(LEFT(UPPER(TRIM(Sync!$AH1983)),2)="SL",UPPER(TRIM(Sync!$AH1983)),""))</f>
        <v/>
      </c>
      <c r="G1983" t="str">
        <f>IF($F1983="","",IF(Sync!$AE1983="","",IF(ISNUMBER(Sync!$AE1983),IF(AND(Sync!$AE1983&gt;=10000101,Sync!$AE1983&lt;=99991231),INT(Sync!$AE1983/10000),""),IFERROR(VALUE(TRIM(LEFT(Sync!$AE1983,FIND("/",Sync!$AE1983)-1))),""))))</f>
        <v/>
      </c>
      <c r="H1983" t="str">
        <f>IF(OR($F1983="",$G1983=""),"",IF(ISNUMBER(Sync!$AE1983),INT(MOD(Sync!$AE1983,10000)/100),IFERROR(VALUE(TRIM(LEFT(MID(Sync!$AE1983,FIND("/",Sync!$AE1983)+1,20),FIND("/",MID(Sync!$AE1983,FIND("/",Sync!$AE1983)+1,20))-1))),"")))</f>
        <v/>
      </c>
      <c r="I1983" t="str">
        <f>IF(OR($F1983="",$G1983=""),"",IF(ISNUMBER(Sync!$AE1983),MOD(Sync!$AE1983,100),IFERROR(VALUE(TRIM(MID(MID(Sync!$AE1983,FIND("/",Sync!$AE1983)+1,20),FIND("/",MID(Sync!$AE1983,FIND("/",Sync!$AE1983)+1,20))+1,20))),"")))</f>
        <v/>
      </c>
      <c r="J1983" t="str">
        <f t="shared" si="152"/>
        <v/>
      </c>
      <c r="K1983" t="str">
        <f>IF(OR($F1983="",$J1983="",$J1983="نامعتبر"),"",LEFT($J1983,4)&amp;MID($J1983,6,2)&amp;RIGHT($J1983,2)&amp;$N1983&amp;"|"&amp;"2"&amp;RIGHT("00000"&amp;1978,5))</f>
        <v/>
      </c>
      <c r="L1983" t="str">
        <f t="shared" si="153"/>
        <v/>
      </c>
      <c r="M1983" t="str">
        <f t="shared" si="154"/>
        <v/>
      </c>
      <c r="N1983" t="str">
        <f>IF($F1983="","",IF(Sync!$AF1983="","0000",IF(AND(ISNUMBER(Sync!$AF1983),Sync!$AF1983&gt;=0,Sync!$AF1983&lt;1),RIGHT("00"&amp;HOUR(Sync!$AF1983),2)&amp;RIGHT("00"&amp;MINUTE(Sync!$AF1983),2),IFERROR(RIGHT("00"&amp;VALUE(LEFT(Sync!$AF1983,FIND(":",Sync!$AF1983)-1)),2)&amp;RIGHT("00"&amp;VALUE(MID(Sync!$AF1983,FIND(":",Sync!$AF1983)+1,2)),2),"0000"))))</f>
        <v/>
      </c>
    </row>
    <row r="1984" spans="1:14" x14ac:dyDescent="0.2">
      <c r="A1984" t="str">
        <f>IF(OR(Calc!$E1988="",Calc!$E1988="نامعتبر",Calc!$G1988=""),"",Calc!$G1988)</f>
        <v/>
      </c>
      <c r="B1984" t="str">
        <f>IF($A1984="","",LEFT(Calc!$E1988,4)&amp;MID(Calc!$E1988,6,2)&amp;RIGHT(Calc!$E1988,2)&amp;Calc!$Q1988&amp;"|"&amp;"1"&amp;RIGHT("00000"&amp;1979,5))</f>
        <v/>
      </c>
      <c r="C1984" t="str">
        <f t="shared" si="150"/>
        <v/>
      </c>
      <c r="D1984" t="str">
        <f t="shared" si="151"/>
        <v/>
      </c>
      <c r="F1984" t="str">
        <f>IF(Sync!$AH1984="","",IF(LEFT(UPPER(TRIM(Sync!$AH1984)),2)="SL",UPPER(TRIM(Sync!$AH1984)),""))</f>
        <v/>
      </c>
      <c r="G1984" t="str">
        <f>IF($F1984="","",IF(Sync!$AE1984="","",IF(ISNUMBER(Sync!$AE1984),IF(AND(Sync!$AE1984&gt;=10000101,Sync!$AE1984&lt;=99991231),INT(Sync!$AE1984/10000),""),IFERROR(VALUE(TRIM(LEFT(Sync!$AE1984,FIND("/",Sync!$AE1984)-1))),""))))</f>
        <v/>
      </c>
      <c r="H1984" t="str">
        <f>IF(OR($F1984="",$G1984=""),"",IF(ISNUMBER(Sync!$AE1984),INT(MOD(Sync!$AE1984,10000)/100),IFERROR(VALUE(TRIM(LEFT(MID(Sync!$AE1984,FIND("/",Sync!$AE1984)+1,20),FIND("/",MID(Sync!$AE1984,FIND("/",Sync!$AE1984)+1,20))-1))),"")))</f>
        <v/>
      </c>
      <c r="I1984" t="str">
        <f>IF(OR($F1984="",$G1984=""),"",IF(ISNUMBER(Sync!$AE1984),MOD(Sync!$AE1984,100),IFERROR(VALUE(TRIM(MID(MID(Sync!$AE1984,FIND("/",Sync!$AE1984)+1,20),FIND("/",MID(Sync!$AE1984,FIND("/",Sync!$AE1984)+1,20))+1,20))),"")))</f>
        <v/>
      </c>
      <c r="J1984" t="str">
        <f t="shared" si="152"/>
        <v/>
      </c>
      <c r="K1984" t="str">
        <f>IF(OR($F1984="",$J1984="",$J1984="نامعتبر"),"",LEFT($J1984,4)&amp;MID($J1984,6,2)&amp;RIGHT($J1984,2)&amp;$N1984&amp;"|"&amp;"2"&amp;RIGHT("00000"&amp;1979,5))</f>
        <v/>
      </c>
      <c r="L1984" t="str">
        <f t="shared" si="153"/>
        <v/>
      </c>
      <c r="M1984" t="str">
        <f t="shared" si="154"/>
        <v/>
      </c>
      <c r="N1984" t="str">
        <f>IF($F1984="","",IF(Sync!$AF1984="","0000",IF(AND(ISNUMBER(Sync!$AF1984),Sync!$AF1984&gt;=0,Sync!$AF1984&lt;1),RIGHT("00"&amp;HOUR(Sync!$AF1984),2)&amp;RIGHT("00"&amp;MINUTE(Sync!$AF1984),2),IFERROR(RIGHT("00"&amp;VALUE(LEFT(Sync!$AF1984,FIND(":",Sync!$AF1984)-1)),2)&amp;RIGHT("00"&amp;VALUE(MID(Sync!$AF1984,FIND(":",Sync!$AF1984)+1,2)),2),"0000"))))</f>
        <v/>
      </c>
    </row>
    <row r="1985" spans="1:14" x14ac:dyDescent="0.2">
      <c r="A1985" t="str">
        <f>IF(OR(Calc!$E1989="",Calc!$E1989="نامعتبر",Calc!$G1989=""),"",Calc!$G1989)</f>
        <v/>
      </c>
      <c r="B1985" t="str">
        <f>IF($A1985="","",LEFT(Calc!$E1989,4)&amp;MID(Calc!$E1989,6,2)&amp;RIGHT(Calc!$E1989,2)&amp;Calc!$Q1989&amp;"|"&amp;"1"&amp;RIGHT("00000"&amp;1980,5))</f>
        <v/>
      </c>
      <c r="C1985" t="str">
        <f t="shared" si="150"/>
        <v/>
      </c>
      <c r="D1985" t="str">
        <f t="shared" si="151"/>
        <v/>
      </c>
      <c r="F1985" t="str">
        <f>IF(Sync!$AH1985="","",IF(LEFT(UPPER(TRIM(Sync!$AH1985)),2)="SL",UPPER(TRIM(Sync!$AH1985)),""))</f>
        <v/>
      </c>
      <c r="G1985" t="str">
        <f>IF($F1985="","",IF(Sync!$AE1985="","",IF(ISNUMBER(Sync!$AE1985),IF(AND(Sync!$AE1985&gt;=10000101,Sync!$AE1985&lt;=99991231),INT(Sync!$AE1985/10000),""),IFERROR(VALUE(TRIM(LEFT(Sync!$AE1985,FIND("/",Sync!$AE1985)-1))),""))))</f>
        <v/>
      </c>
      <c r="H1985" t="str">
        <f>IF(OR($F1985="",$G1985=""),"",IF(ISNUMBER(Sync!$AE1985),INT(MOD(Sync!$AE1985,10000)/100),IFERROR(VALUE(TRIM(LEFT(MID(Sync!$AE1985,FIND("/",Sync!$AE1985)+1,20),FIND("/",MID(Sync!$AE1985,FIND("/",Sync!$AE1985)+1,20))-1))),"")))</f>
        <v/>
      </c>
      <c r="I1985" t="str">
        <f>IF(OR($F1985="",$G1985=""),"",IF(ISNUMBER(Sync!$AE1985),MOD(Sync!$AE1985,100),IFERROR(VALUE(TRIM(MID(MID(Sync!$AE1985,FIND("/",Sync!$AE1985)+1,20),FIND("/",MID(Sync!$AE1985,FIND("/",Sync!$AE1985)+1,20))+1,20))),"")))</f>
        <v/>
      </c>
      <c r="J1985" t="str">
        <f t="shared" si="152"/>
        <v/>
      </c>
      <c r="K1985" t="str">
        <f>IF(OR($F1985="",$J1985="",$J1985="نامعتبر"),"",LEFT($J1985,4)&amp;MID($J1985,6,2)&amp;RIGHT($J1985,2)&amp;$N1985&amp;"|"&amp;"2"&amp;RIGHT("00000"&amp;1980,5))</f>
        <v/>
      </c>
      <c r="L1985" t="str">
        <f t="shared" si="153"/>
        <v/>
      </c>
      <c r="M1985" t="str">
        <f t="shared" si="154"/>
        <v/>
      </c>
      <c r="N1985" t="str">
        <f>IF($F1985="","",IF(Sync!$AF1985="","0000",IF(AND(ISNUMBER(Sync!$AF1985),Sync!$AF1985&gt;=0,Sync!$AF1985&lt;1),RIGHT("00"&amp;HOUR(Sync!$AF1985),2)&amp;RIGHT("00"&amp;MINUTE(Sync!$AF1985),2),IFERROR(RIGHT("00"&amp;VALUE(LEFT(Sync!$AF1985,FIND(":",Sync!$AF1985)-1)),2)&amp;RIGHT("00"&amp;VALUE(MID(Sync!$AF1985,FIND(":",Sync!$AF1985)+1,2)),2),"0000"))))</f>
        <v/>
      </c>
    </row>
    <row r="1986" spans="1:14" x14ac:dyDescent="0.2">
      <c r="A1986" t="str">
        <f>IF(OR(Calc!$E1990="",Calc!$E1990="نامعتبر",Calc!$G1990=""),"",Calc!$G1990)</f>
        <v/>
      </c>
      <c r="B1986" t="str">
        <f>IF($A1986="","",LEFT(Calc!$E1990,4)&amp;MID(Calc!$E1990,6,2)&amp;RIGHT(Calc!$E1990,2)&amp;Calc!$Q1990&amp;"|"&amp;"1"&amp;RIGHT("00000"&amp;1981,5))</f>
        <v/>
      </c>
      <c r="C1986" t="str">
        <f t="shared" si="150"/>
        <v/>
      </c>
      <c r="D1986" t="str">
        <f t="shared" si="151"/>
        <v/>
      </c>
      <c r="F1986" t="str">
        <f>IF(Sync!$AH1986="","",IF(LEFT(UPPER(TRIM(Sync!$AH1986)),2)="SL",UPPER(TRIM(Sync!$AH1986)),""))</f>
        <v/>
      </c>
      <c r="G1986" t="str">
        <f>IF($F1986="","",IF(Sync!$AE1986="","",IF(ISNUMBER(Sync!$AE1986),IF(AND(Sync!$AE1986&gt;=10000101,Sync!$AE1986&lt;=99991231),INT(Sync!$AE1986/10000),""),IFERROR(VALUE(TRIM(LEFT(Sync!$AE1986,FIND("/",Sync!$AE1986)-1))),""))))</f>
        <v/>
      </c>
      <c r="H1986" t="str">
        <f>IF(OR($F1986="",$G1986=""),"",IF(ISNUMBER(Sync!$AE1986),INT(MOD(Sync!$AE1986,10000)/100),IFERROR(VALUE(TRIM(LEFT(MID(Sync!$AE1986,FIND("/",Sync!$AE1986)+1,20),FIND("/",MID(Sync!$AE1986,FIND("/",Sync!$AE1986)+1,20))-1))),"")))</f>
        <v/>
      </c>
      <c r="I1986" t="str">
        <f>IF(OR($F1986="",$G1986=""),"",IF(ISNUMBER(Sync!$AE1986),MOD(Sync!$AE1986,100),IFERROR(VALUE(TRIM(MID(MID(Sync!$AE1986,FIND("/",Sync!$AE1986)+1,20),FIND("/",MID(Sync!$AE1986,FIND("/",Sync!$AE1986)+1,20))+1,20))),"")))</f>
        <v/>
      </c>
      <c r="J1986" t="str">
        <f t="shared" si="152"/>
        <v/>
      </c>
      <c r="K1986" t="str">
        <f>IF(OR($F1986="",$J1986="",$J1986="نامعتبر"),"",LEFT($J1986,4)&amp;MID($J1986,6,2)&amp;RIGHT($J1986,2)&amp;$N1986&amp;"|"&amp;"2"&amp;RIGHT("00000"&amp;1981,5))</f>
        <v/>
      </c>
      <c r="L1986" t="str">
        <f t="shared" si="153"/>
        <v/>
      </c>
      <c r="M1986" t="str">
        <f t="shared" si="154"/>
        <v/>
      </c>
      <c r="N1986" t="str">
        <f>IF($F1986="","",IF(Sync!$AF1986="","0000",IF(AND(ISNUMBER(Sync!$AF1986),Sync!$AF1986&gt;=0,Sync!$AF1986&lt;1),RIGHT("00"&amp;HOUR(Sync!$AF1986),2)&amp;RIGHT("00"&amp;MINUTE(Sync!$AF1986),2),IFERROR(RIGHT("00"&amp;VALUE(LEFT(Sync!$AF1986,FIND(":",Sync!$AF1986)-1)),2)&amp;RIGHT("00"&amp;VALUE(MID(Sync!$AF1986,FIND(":",Sync!$AF1986)+1,2)),2),"0000"))))</f>
        <v/>
      </c>
    </row>
    <row r="1987" spans="1:14" x14ac:dyDescent="0.2">
      <c r="A1987" t="str">
        <f>IF(OR(Calc!$E1991="",Calc!$E1991="نامعتبر",Calc!$G1991=""),"",Calc!$G1991)</f>
        <v/>
      </c>
      <c r="B1987" t="str">
        <f>IF($A1987="","",LEFT(Calc!$E1991,4)&amp;MID(Calc!$E1991,6,2)&amp;RIGHT(Calc!$E1991,2)&amp;Calc!$Q1991&amp;"|"&amp;"1"&amp;RIGHT("00000"&amp;1982,5))</f>
        <v/>
      </c>
      <c r="C1987" t="str">
        <f t="shared" si="150"/>
        <v/>
      </c>
      <c r="D1987" t="str">
        <f t="shared" si="151"/>
        <v/>
      </c>
      <c r="F1987" t="str">
        <f>IF(Sync!$AH1987="","",IF(LEFT(UPPER(TRIM(Sync!$AH1987)),2)="SL",UPPER(TRIM(Sync!$AH1987)),""))</f>
        <v/>
      </c>
      <c r="G1987" t="str">
        <f>IF($F1987="","",IF(Sync!$AE1987="","",IF(ISNUMBER(Sync!$AE1987),IF(AND(Sync!$AE1987&gt;=10000101,Sync!$AE1987&lt;=99991231),INT(Sync!$AE1987/10000),""),IFERROR(VALUE(TRIM(LEFT(Sync!$AE1987,FIND("/",Sync!$AE1987)-1))),""))))</f>
        <v/>
      </c>
      <c r="H1987" t="str">
        <f>IF(OR($F1987="",$G1987=""),"",IF(ISNUMBER(Sync!$AE1987),INT(MOD(Sync!$AE1987,10000)/100),IFERROR(VALUE(TRIM(LEFT(MID(Sync!$AE1987,FIND("/",Sync!$AE1987)+1,20),FIND("/",MID(Sync!$AE1987,FIND("/",Sync!$AE1987)+1,20))-1))),"")))</f>
        <v/>
      </c>
      <c r="I1987" t="str">
        <f>IF(OR($F1987="",$G1987=""),"",IF(ISNUMBER(Sync!$AE1987),MOD(Sync!$AE1987,100),IFERROR(VALUE(TRIM(MID(MID(Sync!$AE1987,FIND("/",Sync!$AE1987)+1,20),FIND("/",MID(Sync!$AE1987,FIND("/",Sync!$AE1987)+1,20))+1,20))),"")))</f>
        <v/>
      </c>
      <c r="J1987" t="str">
        <f t="shared" si="152"/>
        <v/>
      </c>
      <c r="K1987" t="str">
        <f>IF(OR($F1987="",$J1987="",$J1987="نامعتبر"),"",LEFT($J1987,4)&amp;MID($J1987,6,2)&amp;RIGHT($J1987,2)&amp;$N1987&amp;"|"&amp;"2"&amp;RIGHT("00000"&amp;1982,5))</f>
        <v/>
      </c>
      <c r="L1987" t="str">
        <f t="shared" si="153"/>
        <v/>
      </c>
      <c r="M1987" t="str">
        <f t="shared" si="154"/>
        <v/>
      </c>
      <c r="N1987" t="str">
        <f>IF($F1987="","",IF(Sync!$AF1987="","0000",IF(AND(ISNUMBER(Sync!$AF1987),Sync!$AF1987&gt;=0,Sync!$AF1987&lt;1),RIGHT("00"&amp;HOUR(Sync!$AF1987),2)&amp;RIGHT("00"&amp;MINUTE(Sync!$AF1987),2),IFERROR(RIGHT("00"&amp;VALUE(LEFT(Sync!$AF1987,FIND(":",Sync!$AF1987)-1)),2)&amp;RIGHT("00"&amp;VALUE(MID(Sync!$AF1987,FIND(":",Sync!$AF1987)+1,2)),2),"0000"))))</f>
        <v/>
      </c>
    </row>
    <row r="1988" spans="1:14" x14ac:dyDescent="0.2">
      <c r="A1988" t="str">
        <f>IF(OR(Calc!$E1992="",Calc!$E1992="نامعتبر",Calc!$G1992=""),"",Calc!$G1992)</f>
        <v/>
      </c>
      <c r="B1988" t="str">
        <f>IF($A1988="","",LEFT(Calc!$E1992,4)&amp;MID(Calc!$E1992,6,2)&amp;RIGHT(Calc!$E1992,2)&amp;Calc!$Q1992&amp;"|"&amp;"1"&amp;RIGHT("00000"&amp;1983,5))</f>
        <v/>
      </c>
      <c r="C1988" t="str">
        <f t="shared" si="150"/>
        <v/>
      </c>
      <c r="D1988" t="str">
        <f t="shared" si="151"/>
        <v/>
      </c>
      <c r="F1988" t="str">
        <f>IF(Sync!$AH1988="","",IF(LEFT(UPPER(TRIM(Sync!$AH1988)),2)="SL",UPPER(TRIM(Sync!$AH1988)),""))</f>
        <v/>
      </c>
      <c r="G1988" t="str">
        <f>IF($F1988="","",IF(Sync!$AE1988="","",IF(ISNUMBER(Sync!$AE1988),IF(AND(Sync!$AE1988&gt;=10000101,Sync!$AE1988&lt;=99991231),INT(Sync!$AE1988/10000),""),IFERROR(VALUE(TRIM(LEFT(Sync!$AE1988,FIND("/",Sync!$AE1988)-1))),""))))</f>
        <v/>
      </c>
      <c r="H1988" t="str">
        <f>IF(OR($F1988="",$G1988=""),"",IF(ISNUMBER(Sync!$AE1988),INT(MOD(Sync!$AE1988,10000)/100),IFERROR(VALUE(TRIM(LEFT(MID(Sync!$AE1988,FIND("/",Sync!$AE1988)+1,20),FIND("/",MID(Sync!$AE1988,FIND("/",Sync!$AE1988)+1,20))-1))),"")))</f>
        <v/>
      </c>
      <c r="I1988" t="str">
        <f>IF(OR($F1988="",$G1988=""),"",IF(ISNUMBER(Sync!$AE1988),MOD(Sync!$AE1988,100),IFERROR(VALUE(TRIM(MID(MID(Sync!$AE1988,FIND("/",Sync!$AE1988)+1,20),FIND("/",MID(Sync!$AE1988,FIND("/",Sync!$AE1988)+1,20))+1,20))),"")))</f>
        <v/>
      </c>
      <c r="J1988" t="str">
        <f t="shared" si="152"/>
        <v/>
      </c>
      <c r="K1988" t="str">
        <f>IF(OR($F1988="",$J1988="",$J1988="نامعتبر"),"",LEFT($J1988,4)&amp;MID($J1988,6,2)&amp;RIGHT($J1988,2)&amp;$N1988&amp;"|"&amp;"2"&amp;RIGHT("00000"&amp;1983,5))</f>
        <v/>
      </c>
      <c r="L1988" t="str">
        <f t="shared" si="153"/>
        <v/>
      </c>
      <c r="M1988" t="str">
        <f t="shared" si="154"/>
        <v/>
      </c>
      <c r="N1988" t="str">
        <f>IF($F1988="","",IF(Sync!$AF1988="","0000",IF(AND(ISNUMBER(Sync!$AF1988),Sync!$AF1988&gt;=0,Sync!$AF1988&lt;1),RIGHT("00"&amp;HOUR(Sync!$AF1988),2)&amp;RIGHT("00"&amp;MINUTE(Sync!$AF1988),2),IFERROR(RIGHT("00"&amp;VALUE(LEFT(Sync!$AF1988,FIND(":",Sync!$AF1988)-1)),2)&amp;RIGHT("00"&amp;VALUE(MID(Sync!$AF1988,FIND(":",Sync!$AF1988)+1,2)),2),"0000"))))</f>
        <v/>
      </c>
    </row>
    <row r="1989" spans="1:14" x14ac:dyDescent="0.2">
      <c r="A1989" t="str">
        <f>IF(OR(Calc!$E1993="",Calc!$E1993="نامعتبر",Calc!$G1993=""),"",Calc!$G1993)</f>
        <v/>
      </c>
      <c r="B1989" t="str">
        <f>IF($A1989="","",LEFT(Calc!$E1993,4)&amp;MID(Calc!$E1993,6,2)&amp;RIGHT(Calc!$E1993,2)&amp;Calc!$Q1993&amp;"|"&amp;"1"&amp;RIGHT("00000"&amp;1984,5))</f>
        <v/>
      </c>
      <c r="C1989" t="str">
        <f t="shared" si="150"/>
        <v/>
      </c>
      <c r="D1989" t="str">
        <f t="shared" si="151"/>
        <v/>
      </c>
      <c r="F1989" t="str">
        <f>IF(Sync!$AH1989="","",IF(LEFT(UPPER(TRIM(Sync!$AH1989)),2)="SL",UPPER(TRIM(Sync!$AH1989)),""))</f>
        <v/>
      </c>
      <c r="G1989" t="str">
        <f>IF($F1989="","",IF(Sync!$AE1989="","",IF(ISNUMBER(Sync!$AE1989),IF(AND(Sync!$AE1989&gt;=10000101,Sync!$AE1989&lt;=99991231),INT(Sync!$AE1989/10000),""),IFERROR(VALUE(TRIM(LEFT(Sync!$AE1989,FIND("/",Sync!$AE1989)-1))),""))))</f>
        <v/>
      </c>
      <c r="H1989" t="str">
        <f>IF(OR($F1989="",$G1989=""),"",IF(ISNUMBER(Sync!$AE1989),INT(MOD(Sync!$AE1989,10000)/100),IFERROR(VALUE(TRIM(LEFT(MID(Sync!$AE1989,FIND("/",Sync!$AE1989)+1,20),FIND("/",MID(Sync!$AE1989,FIND("/",Sync!$AE1989)+1,20))-1))),"")))</f>
        <v/>
      </c>
      <c r="I1989" t="str">
        <f>IF(OR($F1989="",$G1989=""),"",IF(ISNUMBER(Sync!$AE1989),MOD(Sync!$AE1989,100),IFERROR(VALUE(TRIM(MID(MID(Sync!$AE1989,FIND("/",Sync!$AE1989)+1,20),FIND("/",MID(Sync!$AE1989,FIND("/",Sync!$AE1989)+1,20))+1,20))),"")))</f>
        <v/>
      </c>
      <c r="J1989" t="str">
        <f t="shared" si="152"/>
        <v/>
      </c>
      <c r="K1989" t="str">
        <f>IF(OR($F1989="",$J1989="",$J1989="نامعتبر"),"",LEFT($J1989,4)&amp;MID($J1989,6,2)&amp;RIGHT($J1989,2)&amp;$N1989&amp;"|"&amp;"2"&amp;RIGHT("00000"&amp;1984,5))</f>
        <v/>
      </c>
      <c r="L1989" t="str">
        <f t="shared" si="153"/>
        <v/>
      </c>
      <c r="M1989" t="str">
        <f t="shared" si="154"/>
        <v/>
      </c>
      <c r="N1989" t="str">
        <f>IF($F1989="","",IF(Sync!$AF1989="","0000",IF(AND(ISNUMBER(Sync!$AF1989),Sync!$AF1989&gt;=0,Sync!$AF1989&lt;1),RIGHT("00"&amp;HOUR(Sync!$AF1989),2)&amp;RIGHT("00"&amp;MINUTE(Sync!$AF1989),2),IFERROR(RIGHT("00"&amp;VALUE(LEFT(Sync!$AF1989,FIND(":",Sync!$AF1989)-1)),2)&amp;RIGHT("00"&amp;VALUE(MID(Sync!$AF1989,FIND(":",Sync!$AF1989)+1,2)),2),"0000"))))</f>
        <v/>
      </c>
    </row>
    <row r="1990" spans="1:14" x14ac:dyDescent="0.2">
      <c r="A1990" t="str">
        <f>IF(OR(Calc!$E1994="",Calc!$E1994="نامعتبر",Calc!$G1994=""),"",Calc!$G1994)</f>
        <v/>
      </c>
      <c r="B1990" t="str">
        <f>IF($A1990="","",LEFT(Calc!$E1994,4)&amp;MID(Calc!$E1994,6,2)&amp;RIGHT(Calc!$E1994,2)&amp;Calc!$Q1994&amp;"|"&amp;"1"&amp;RIGHT("00000"&amp;1985,5))</f>
        <v/>
      </c>
      <c r="C1990" t="str">
        <f t="shared" ref="C1990:C2005" si="155">IF($B1990="","",COUNTIFS(LdgSellerA,$A1990,LdgKeyA,"&lt;"&amp;$B1990)+COUNTIFS(LdgSellerB,$A1990,LdgKeyB,"&lt;"&amp;$B1990)+1)</f>
        <v/>
      </c>
      <c r="D1990" t="str">
        <f t="shared" ref="D1990:D2005" si="156">IF($C1990="","",$A1990&amp;"|"&amp;RIGHT("000000"&amp;$C1990,6))</f>
        <v/>
      </c>
      <c r="F1990" t="str">
        <f>IF(Sync!$AH1990="","",IF(LEFT(UPPER(TRIM(Sync!$AH1990)),2)="SL",UPPER(TRIM(Sync!$AH1990)),""))</f>
        <v/>
      </c>
      <c r="G1990" t="str">
        <f>IF($F1990="","",IF(Sync!$AE1990="","",IF(ISNUMBER(Sync!$AE1990),IF(AND(Sync!$AE1990&gt;=10000101,Sync!$AE1990&lt;=99991231),INT(Sync!$AE1990/10000),""),IFERROR(VALUE(TRIM(LEFT(Sync!$AE1990,FIND("/",Sync!$AE1990)-1))),""))))</f>
        <v/>
      </c>
      <c r="H1990" t="str">
        <f>IF(OR($F1990="",$G1990=""),"",IF(ISNUMBER(Sync!$AE1990),INT(MOD(Sync!$AE1990,10000)/100),IFERROR(VALUE(TRIM(LEFT(MID(Sync!$AE1990,FIND("/",Sync!$AE1990)+1,20),FIND("/",MID(Sync!$AE1990,FIND("/",Sync!$AE1990)+1,20))-1))),"")))</f>
        <v/>
      </c>
      <c r="I1990" t="str">
        <f>IF(OR($F1990="",$G1990=""),"",IF(ISNUMBER(Sync!$AE1990),MOD(Sync!$AE1990,100),IFERROR(VALUE(TRIM(MID(MID(Sync!$AE1990,FIND("/",Sync!$AE1990)+1,20),FIND("/",MID(Sync!$AE1990,FIND("/",Sync!$AE1990)+1,20))+1,20))),"")))</f>
        <v/>
      </c>
      <c r="J1990" t="str">
        <f t="shared" ref="J1990:J2005" si="157">IF($F1990="","",IF(OR($G1990="",$H1990="",$I1990="",$G1990&lt;1300,$G1990&gt;1500,$H1990&lt;1,$H1990&gt;12,$I1990&lt;1,$I1990&gt;31),"نامعتبر",RIGHT("0000"&amp;$G1990,4)&amp;"/"&amp;RIGHT("00"&amp;$H1990,2)&amp;"/"&amp;RIGHT("00"&amp;$I1990,2)))</f>
        <v/>
      </c>
      <c r="K1990" t="str">
        <f>IF(OR($F1990="",$J1990="",$J1990="نامعتبر"),"",LEFT($J1990,4)&amp;MID($J1990,6,2)&amp;RIGHT($J1990,2)&amp;$N1990&amp;"|"&amp;"2"&amp;RIGHT("00000"&amp;1985,5))</f>
        <v/>
      </c>
      <c r="L1990" t="str">
        <f t="shared" ref="L1990:L2005" si="158">IF($K1990="","",COUNTIFS(LdgSellerA,$F1990,LdgKeyA,"&lt;"&amp;$K1990)+COUNTIFS(LdgSellerB,$F1990,LdgKeyB,"&lt;"&amp;$K1990)+1)</f>
        <v/>
      </c>
      <c r="M1990" t="str">
        <f t="shared" ref="M1990:M2005" si="159">IF($L1990="","",$F1990&amp;"|"&amp;RIGHT("000000"&amp;$L1990,6))</f>
        <v/>
      </c>
      <c r="N1990" t="str">
        <f>IF($F1990="","",IF(Sync!$AF1990="","0000",IF(AND(ISNUMBER(Sync!$AF1990),Sync!$AF1990&gt;=0,Sync!$AF1990&lt;1),RIGHT("00"&amp;HOUR(Sync!$AF1990),2)&amp;RIGHT("00"&amp;MINUTE(Sync!$AF1990),2),IFERROR(RIGHT("00"&amp;VALUE(LEFT(Sync!$AF1990,FIND(":",Sync!$AF1990)-1)),2)&amp;RIGHT("00"&amp;VALUE(MID(Sync!$AF1990,FIND(":",Sync!$AF1990)+1,2)),2),"0000"))))</f>
        <v/>
      </c>
    </row>
    <row r="1991" spans="1:14" x14ac:dyDescent="0.2">
      <c r="A1991" t="str">
        <f>IF(OR(Calc!$E1995="",Calc!$E1995="نامعتبر",Calc!$G1995=""),"",Calc!$G1995)</f>
        <v/>
      </c>
      <c r="B1991" t="str">
        <f>IF($A1991="","",LEFT(Calc!$E1995,4)&amp;MID(Calc!$E1995,6,2)&amp;RIGHT(Calc!$E1995,2)&amp;Calc!$Q1995&amp;"|"&amp;"1"&amp;RIGHT("00000"&amp;1986,5))</f>
        <v/>
      </c>
      <c r="C1991" t="str">
        <f t="shared" si="155"/>
        <v/>
      </c>
      <c r="D1991" t="str">
        <f t="shared" si="156"/>
        <v/>
      </c>
      <c r="F1991" t="str">
        <f>IF(Sync!$AH1991="","",IF(LEFT(UPPER(TRIM(Sync!$AH1991)),2)="SL",UPPER(TRIM(Sync!$AH1991)),""))</f>
        <v/>
      </c>
      <c r="G1991" t="str">
        <f>IF($F1991="","",IF(Sync!$AE1991="","",IF(ISNUMBER(Sync!$AE1991),IF(AND(Sync!$AE1991&gt;=10000101,Sync!$AE1991&lt;=99991231),INT(Sync!$AE1991/10000),""),IFERROR(VALUE(TRIM(LEFT(Sync!$AE1991,FIND("/",Sync!$AE1991)-1))),""))))</f>
        <v/>
      </c>
      <c r="H1991" t="str">
        <f>IF(OR($F1991="",$G1991=""),"",IF(ISNUMBER(Sync!$AE1991),INT(MOD(Sync!$AE1991,10000)/100),IFERROR(VALUE(TRIM(LEFT(MID(Sync!$AE1991,FIND("/",Sync!$AE1991)+1,20),FIND("/",MID(Sync!$AE1991,FIND("/",Sync!$AE1991)+1,20))-1))),"")))</f>
        <v/>
      </c>
      <c r="I1991" t="str">
        <f>IF(OR($F1991="",$G1991=""),"",IF(ISNUMBER(Sync!$AE1991),MOD(Sync!$AE1991,100),IFERROR(VALUE(TRIM(MID(MID(Sync!$AE1991,FIND("/",Sync!$AE1991)+1,20),FIND("/",MID(Sync!$AE1991,FIND("/",Sync!$AE1991)+1,20))+1,20))),"")))</f>
        <v/>
      </c>
      <c r="J1991" t="str">
        <f t="shared" si="157"/>
        <v/>
      </c>
      <c r="K1991" t="str">
        <f>IF(OR($F1991="",$J1991="",$J1991="نامعتبر"),"",LEFT($J1991,4)&amp;MID($J1991,6,2)&amp;RIGHT($J1991,2)&amp;$N1991&amp;"|"&amp;"2"&amp;RIGHT("00000"&amp;1986,5))</f>
        <v/>
      </c>
      <c r="L1991" t="str">
        <f t="shared" si="158"/>
        <v/>
      </c>
      <c r="M1991" t="str">
        <f t="shared" si="159"/>
        <v/>
      </c>
      <c r="N1991" t="str">
        <f>IF($F1991="","",IF(Sync!$AF1991="","0000",IF(AND(ISNUMBER(Sync!$AF1991),Sync!$AF1991&gt;=0,Sync!$AF1991&lt;1),RIGHT("00"&amp;HOUR(Sync!$AF1991),2)&amp;RIGHT("00"&amp;MINUTE(Sync!$AF1991),2),IFERROR(RIGHT("00"&amp;VALUE(LEFT(Sync!$AF1991,FIND(":",Sync!$AF1991)-1)),2)&amp;RIGHT("00"&amp;VALUE(MID(Sync!$AF1991,FIND(":",Sync!$AF1991)+1,2)),2),"0000"))))</f>
        <v/>
      </c>
    </row>
    <row r="1992" spans="1:14" x14ac:dyDescent="0.2">
      <c r="A1992" t="str">
        <f>IF(OR(Calc!$E1996="",Calc!$E1996="نامعتبر",Calc!$G1996=""),"",Calc!$G1996)</f>
        <v/>
      </c>
      <c r="B1992" t="str">
        <f>IF($A1992="","",LEFT(Calc!$E1996,4)&amp;MID(Calc!$E1996,6,2)&amp;RIGHT(Calc!$E1996,2)&amp;Calc!$Q1996&amp;"|"&amp;"1"&amp;RIGHT("00000"&amp;1987,5))</f>
        <v/>
      </c>
      <c r="C1992" t="str">
        <f t="shared" si="155"/>
        <v/>
      </c>
      <c r="D1992" t="str">
        <f t="shared" si="156"/>
        <v/>
      </c>
      <c r="F1992" t="str">
        <f>IF(Sync!$AH1992="","",IF(LEFT(UPPER(TRIM(Sync!$AH1992)),2)="SL",UPPER(TRIM(Sync!$AH1992)),""))</f>
        <v/>
      </c>
      <c r="G1992" t="str">
        <f>IF($F1992="","",IF(Sync!$AE1992="","",IF(ISNUMBER(Sync!$AE1992),IF(AND(Sync!$AE1992&gt;=10000101,Sync!$AE1992&lt;=99991231),INT(Sync!$AE1992/10000),""),IFERROR(VALUE(TRIM(LEFT(Sync!$AE1992,FIND("/",Sync!$AE1992)-1))),""))))</f>
        <v/>
      </c>
      <c r="H1992" t="str">
        <f>IF(OR($F1992="",$G1992=""),"",IF(ISNUMBER(Sync!$AE1992),INT(MOD(Sync!$AE1992,10000)/100),IFERROR(VALUE(TRIM(LEFT(MID(Sync!$AE1992,FIND("/",Sync!$AE1992)+1,20),FIND("/",MID(Sync!$AE1992,FIND("/",Sync!$AE1992)+1,20))-1))),"")))</f>
        <v/>
      </c>
      <c r="I1992" t="str">
        <f>IF(OR($F1992="",$G1992=""),"",IF(ISNUMBER(Sync!$AE1992),MOD(Sync!$AE1992,100),IFERROR(VALUE(TRIM(MID(MID(Sync!$AE1992,FIND("/",Sync!$AE1992)+1,20),FIND("/",MID(Sync!$AE1992,FIND("/",Sync!$AE1992)+1,20))+1,20))),"")))</f>
        <v/>
      </c>
      <c r="J1992" t="str">
        <f t="shared" si="157"/>
        <v/>
      </c>
      <c r="K1992" t="str">
        <f>IF(OR($F1992="",$J1992="",$J1992="نامعتبر"),"",LEFT($J1992,4)&amp;MID($J1992,6,2)&amp;RIGHT($J1992,2)&amp;$N1992&amp;"|"&amp;"2"&amp;RIGHT("00000"&amp;1987,5))</f>
        <v/>
      </c>
      <c r="L1992" t="str">
        <f t="shared" si="158"/>
        <v/>
      </c>
      <c r="M1992" t="str">
        <f t="shared" si="159"/>
        <v/>
      </c>
      <c r="N1992" t="str">
        <f>IF($F1992="","",IF(Sync!$AF1992="","0000",IF(AND(ISNUMBER(Sync!$AF1992),Sync!$AF1992&gt;=0,Sync!$AF1992&lt;1),RIGHT("00"&amp;HOUR(Sync!$AF1992),2)&amp;RIGHT("00"&amp;MINUTE(Sync!$AF1992),2),IFERROR(RIGHT("00"&amp;VALUE(LEFT(Sync!$AF1992,FIND(":",Sync!$AF1992)-1)),2)&amp;RIGHT("00"&amp;VALUE(MID(Sync!$AF1992,FIND(":",Sync!$AF1992)+1,2)),2),"0000"))))</f>
        <v/>
      </c>
    </row>
    <row r="1993" spans="1:14" x14ac:dyDescent="0.2">
      <c r="A1993" t="str">
        <f>IF(OR(Calc!$E1997="",Calc!$E1997="نامعتبر",Calc!$G1997=""),"",Calc!$G1997)</f>
        <v/>
      </c>
      <c r="B1993" t="str">
        <f>IF($A1993="","",LEFT(Calc!$E1997,4)&amp;MID(Calc!$E1997,6,2)&amp;RIGHT(Calc!$E1997,2)&amp;Calc!$Q1997&amp;"|"&amp;"1"&amp;RIGHT("00000"&amp;1988,5))</f>
        <v/>
      </c>
      <c r="C1993" t="str">
        <f t="shared" si="155"/>
        <v/>
      </c>
      <c r="D1993" t="str">
        <f t="shared" si="156"/>
        <v/>
      </c>
      <c r="F1993" t="str">
        <f>IF(Sync!$AH1993="","",IF(LEFT(UPPER(TRIM(Sync!$AH1993)),2)="SL",UPPER(TRIM(Sync!$AH1993)),""))</f>
        <v/>
      </c>
      <c r="G1993" t="str">
        <f>IF($F1993="","",IF(Sync!$AE1993="","",IF(ISNUMBER(Sync!$AE1993),IF(AND(Sync!$AE1993&gt;=10000101,Sync!$AE1993&lt;=99991231),INT(Sync!$AE1993/10000),""),IFERROR(VALUE(TRIM(LEFT(Sync!$AE1993,FIND("/",Sync!$AE1993)-1))),""))))</f>
        <v/>
      </c>
      <c r="H1993" t="str">
        <f>IF(OR($F1993="",$G1993=""),"",IF(ISNUMBER(Sync!$AE1993),INT(MOD(Sync!$AE1993,10000)/100),IFERROR(VALUE(TRIM(LEFT(MID(Sync!$AE1993,FIND("/",Sync!$AE1993)+1,20),FIND("/",MID(Sync!$AE1993,FIND("/",Sync!$AE1993)+1,20))-1))),"")))</f>
        <v/>
      </c>
      <c r="I1993" t="str">
        <f>IF(OR($F1993="",$G1993=""),"",IF(ISNUMBER(Sync!$AE1993),MOD(Sync!$AE1993,100),IFERROR(VALUE(TRIM(MID(MID(Sync!$AE1993,FIND("/",Sync!$AE1993)+1,20),FIND("/",MID(Sync!$AE1993,FIND("/",Sync!$AE1993)+1,20))+1,20))),"")))</f>
        <v/>
      </c>
      <c r="J1993" t="str">
        <f t="shared" si="157"/>
        <v/>
      </c>
      <c r="K1993" t="str">
        <f>IF(OR($F1993="",$J1993="",$J1993="نامعتبر"),"",LEFT($J1993,4)&amp;MID($J1993,6,2)&amp;RIGHT($J1993,2)&amp;$N1993&amp;"|"&amp;"2"&amp;RIGHT("00000"&amp;1988,5))</f>
        <v/>
      </c>
      <c r="L1993" t="str">
        <f t="shared" si="158"/>
        <v/>
      </c>
      <c r="M1993" t="str">
        <f t="shared" si="159"/>
        <v/>
      </c>
      <c r="N1993" t="str">
        <f>IF($F1993="","",IF(Sync!$AF1993="","0000",IF(AND(ISNUMBER(Sync!$AF1993),Sync!$AF1993&gt;=0,Sync!$AF1993&lt;1),RIGHT("00"&amp;HOUR(Sync!$AF1993),2)&amp;RIGHT("00"&amp;MINUTE(Sync!$AF1993),2),IFERROR(RIGHT("00"&amp;VALUE(LEFT(Sync!$AF1993,FIND(":",Sync!$AF1993)-1)),2)&amp;RIGHT("00"&amp;VALUE(MID(Sync!$AF1993,FIND(":",Sync!$AF1993)+1,2)),2),"0000"))))</f>
        <v/>
      </c>
    </row>
    <row r="1994" spans="1:14" x14ac:dyDescent="0.2">
      <c r="A1994" t="str">
        <f>IF(OR(Calc!$E1998="",Calc!$E1998="نامعتبر",Calc!$G1998=""),"",Calc!$G1998)</f>
        <v/>
      </c>
      <c r="B1994" t="str">
        <f>IF($A1994="","",LEFT(Calc!$E1998,4)&amp;MID(Calc!$E1998,6,2)&amp;RIGHT(Calc!$E1998,2)&amp;Calc!$Q1998&amp;"|"&amp;"1"&amp;RIGHT("00000"&amp;1989,5))</f>
        <v/>
      </c>
      <c r="C1994" t="str">
        <f t="shared" si="155"/>
        <v/>
      </c>
      <c r="D1994" t="str">
        <f t="shared" si="156"/>
        <v/>
      </c>
      <c r="F1994" t="str">
        <f>IF(Sync!$AH1994="","",IF(LEFT(UPPER(TRIM(Sync!$AH1994)),2)="SL",UPPER(TRIM(Sync!$AH1994)),""))</f>
        <v/>
      </c>
      <c r="G1994" t="str">
        <f>IF($F1994="","",IF(Sync!$AE1994="","",IF(ISNUMBER(Sync!$AE1994),IF(AND(Sync!$AE1994&gt;=10000101,Sync!$AE1994&lt;=99991231),INT(Sync!$AE1994/10000),""),IFERROR(VALUE(TRIM(LEFT(Sync!$AE1994,FIND("/",Sync!$AE1994)-1))),""))))</f>
        <v/>
      </c>
      <c r="H1994" t="str">
        <f>IF(OR($F1994="",$G1994=""),"",IF(ISNUMBER(Sync!$AE1994),INT(MOD(Sync!$AE1994,10000)/100),IFERROR(VALUE(TRIM(LEFT(MID(Sync!$AE1994,FIND("/",Sync!$AE1994)+1,20),FIND("/",MID(Sync!$AE1994,FIND("/",Sync!$AE1994)+1,20))-1))),"")))</f>
        <v/>
      </c>
      <c r="I1994" t="str">
        <f>IF(OR($F1994="",$G1994=""),"",IF(ISNUMBER(Sync!$AE1994),MOD(Sync!$AE1994,100),IFERROR(VALUE(TRIM(MID(MID(Sync!$AE1994,FIND("/",Sync!$AE1994)+1,20),FIND("/",MID(Sync!$AE1994,FIND("/",Sync!$AE1994)+1,20))+1,20))),"")))</f>
        <v/>
      </c>
      <c r="J1994" t="str">
        <f t="shared" si="157"/>
        <v/>
      </c>
      <c r="K1994" t="str">
        <f>IF(OR($F1994="",$J1994="",$J1994="نامعتبر"),"",LEFT($J1994,4)&amp;MID($J1994,6,2)&amp;RIGHT($J1994,2)&amp;$N1994&amp;"|"&amp;"2"&amp;RIGHT("00000"&amp;1989,5))</f>
        <v/>
      </c>
      <c r="L1994" t="str">
        <f t="shared" si="158"/>
        <v/>
      </c>
      <c r="M1994" t="str">
        <f t="shared" si="159"/>
        <v/>
      </c>
      <c r="N1994" t="str">
        <f>IF($F1994="","",IF(Sync!$AF1994="","0000",IF(AND(ISNUMBER(Sync!$AF1994),Sync!$AF1994&gt;=0,Sync!$AF1994&lt;1),RIGHT("00"&amp;HOUR(Sync!$AF1994),2)&amp;RIGHT("00"&amp;MINUTE(Sync!$AF1994),2),IFERROR(RIGHT("00"&amp;VALUE(LEFT(Sync!$AF1994,FIND(":",Sync!$AF1994)-1)),2)&amp;RIGHT("00"&amp;VALUE(MID(Sync!$AF1994,FIND(":",Sync!$AF1994)+1,2)),2),"0000"))))</f>
        <v/>
      </c>
    </row>
    <row r="1995" spans="1:14" x14ac:dyDescent="0.2">
      <c r="A1995" t="str">
        <f>IF(OR(Calc!$E1999="",Calc!$E1999="نامعتبر",Calc!$G1999=""),"",Calc!$G1999)</f>
        <v/>
      </c>
      <c r="B1995" t="str">
        <f>IF($A1995="","",LEFT(Calc!$E1999,4)&amp;MID(Calc!$E1999,6,2)&amp;RIGHT(Calc!$E1999,2)&amp;Calc!$Q1999&amp;"|"&amp;"1"&amp;RIGHT("00000"&amp;1990,5))</f>
        <v/>
      </c>
      <c r="C1995" t="str">
        <f t="shared" si="155"/>
        <v/>
      </c>
      <c r="D1995" t="str">
        <f t="shared" si="156"/>
        <v/>
      </c>
      <c r="F1995" t="str">
        <f>IF(Sync!$AH1995="","",IF(LEFT(UPPER(TRIM(Sync!$AH1995)),2)="SL",UPPER(TRIM(Sync!$AH1995)),""))</f>
        <v/>
      </c>
      <c r="G1995" t="str">
        <f>IF($F1995="","",IF(Sync!$AE1995="","",IF(ISNUMBER(Sync!$AE1995),IF(AND(Sync!$AE1995&gt;=10000101,Sync!$AE1995&lt;=99991231),INT(Sync!$AE1995/10000),""),IFERROR(VALUE(TRIM(LEFT(Sync!$AE1995,FIND("/",Sync!$AE1995)-1))),""))))</f>
        <v/>
      </c>
      <c r="H1995" t="str">
        <f>IF(OR($F1995="",$G1995=""),"",IF(ISNUMBER(Sync!$AE1995),INT(MOD(Sync!$AE1995,10000)/100),IFERROR(VALUE(TRIM(LEFT(MID(Sync!$AE1995,FIND("/",Sync!$AE1995)+1,20),FIND("/",MID(Sync!$AE1995,FIND("/",Sync!$AE1995)+1,20))-1))),"")))</f>
        <v/>
      </c>
      <c r="I1995" t="str">
        <f>IF(OR($F1995="",$G1995=""),"",IF(ISNUMBER(Sync!$AE1995),MOD(Sync!$AE1995,100),IFERROR(VALUE(TRIM(MID(MID(Sync!$AE1995,FIND("/",Sync!$AE1995)+1,20),FIND("/",MID(Sync!$AE1995,FIND("/",Sync!$AE1995)+1,20))+1,20))),"")))</f>
        <v/>
      </c>
      <c r="J1995" t="str">
        <f t="shared" si="157"/>
        <v/>
      </c>
      <c r="K1995" t="str">
        <f>IF(OR($F1995="",$J1995="",$J1995="نامعتبر"),"",LEFT($J1995,4)&amp;MID($J1995,6,2)&amp;RIGHT($J1995,2)&amp;$N1995&amp;"|"&amp;"2"&amp;RIGHT("00000"&amp;1990,5))</f>
        <v/>
      </c>
      <c r="L1995" t="str">
        <f t="shared" si="158"/>
        <v/>
      </c>
      <c r="M1995" t="str">
        <f t="shared" si="159"/>
        <v/>
      </c>
      <c r="N1995" t="str">
        <f>IF($F1995="","",IF(Sync!$AF1995="","0000",IF(AND(ISNUMBER(Sync!$AF1995),Sync!$AF1995&gt;=0,Sync!$AF1995&lt;1),RIGHT("00"&amp;HOUR(Sync!$AF1995),2)&amp;RIGHT("00"&amp;MINUTE(Sync!$AF1995),2),IFERROR(RIGHT("00"&amp;VALUE(LEFT(Sync!$AF1995,FIND(":",Sync!$AF1995)-1)),2)&amp;RIGHT("00"&amp;VALUE(MID(Sync!$AF1995,FIND(":",Sync!$AF1995)+1,2)),2),"0000"))))</f>
        <v/>
      </c>
    </row>
    <row r="1996" spans="1:14" x14ac:dyDescent="0.2">
      <c r="A1996" t="str">
        <f>IF(OR(Calc!$E2000="",Calc!$E2000="نامعتبر",Calc!$G2000=""),"",Calc!$G2000)</f>
        <v/>
      </c>
      <c r="B1996" t="str">
        <f>IF($A1996="","",LEFT(Calc!$E2000,4)&amp;MID(Calc!$E2000,6,2)&amp;RIGHT(Calc!$E2000,2)&amp;Calc!$Q2000&amp;"|"&amp;"1"&amp;RIGHT("00000"&amp;1991,5))</f>
        <v/>
      </c>
      <c r="C1996" t="str">
        <f t="shared" si="155"/>
        <v/>
      </c>
      <c r="D1996" t="str">
        <f t="shared" si="156"/>
        <v/>
      </c>
      <c r="F1996" t="str">
        <f>IF(Sync!$AH1996="","",IF(LEFT(UPPER(TRIM(Sync!$AH1996)),2)="SL",UPPER(TRIM(Sync!$AH1996)),""))</f>
        <v/>
      </c>
      <c r="G1996" t="str">
        <f>IF($F1996="","",IF(Sync!$AE1996="","",IF(ISNUMBER(Sync!$AE1996),IF(AND(Sync!$AE1996&gt;=10000101,Sync!$AE1996&lt;=99991231),INT(Sync!$AE1996/10000),""),IFERROR(VALUE(TRIM(LEFT(Sync!$AE1996,FIND("/",Sync!$AE1996)-1))),""))))</f>
        <v/>
      </c>
      <c r="H1996" t="str">
        <f>IF(OR($F1996="",$G1996=""),"",IF(ISNUMBER(Sync!$AE1996),INT(MOD(Sync!$AE1996,10000)/100),IFERROR(VALUE(TRIM(LEFT(MID(Sync!$AE1996,FIND("/",Sync!$AE1996)+1,20),FIND("/",MID(Sync!$AE1996,FIND("/",Sync!$AE1996)+1,20))-1))),"")))</f>
        <v/>
      </c>
      <c r="I1996" t="str">
        <f>IF(OR($F1996="",$G1996=""),"",IF(ISNUMBER(Sync!$AE1996),MOD(Sync!$AE1996,100),IFERROR(VALUE(TRIM(MID(MID(Sync!$AE1996,FIND("/",Sync!$AE1996)+1,20),FIND("/",MID(Sync!$AE1996,FIND("/",Sync!$AE1996)+1,20))+1,20))),"")))</f>
        <v/>
      </c>
      <c r="J1996" t="str">
        <f t="shared" si="157"/>
        <v/>
      </c>
      <c r="K1996" t="str">
        <f>IF(OR($F1996="",$J1996="",$J1996="نامعتبر"),"",LEFT($J1996,4)&amp;MID($J1996,6,2)&amp;RIGHT($J1996,2)&amp;$N1996&amp;"|"&amp;"2"&amp;RIGHT("00000"&amp;1991,5))</f>
        <v/>
      </c>
      <c r="L1996" t="str">
        <f t="shared" si="158"/>
        <v/>
      </c>
      <c r="M1996" t="str">
        <f t="shared" si="159"/>
        <v/>
      </c>
      <c r="N1996" t="str">
        <f>IF($F1996="","",IF(Sync!$AF1996="","0000",IF(AND(ISNUMBER(Sync!$AF1996),Sync!$AF1996&gt;=0,Sync!$AF1996&lt;1),RIGHT("00"&amp;HOUR(Sync!$AF1996),2)&amp;RIGHT("00"&amp;MINUTE(Sync!$AF1996),2),IFERROR(RIGHT("00"&amp;VALUE(LEFT(Sync!$AF1996,FIND(":",Sync!$AF1996)-1)),2)&amp;RIGHT("00"&amp;VALUE(MID(Sync!$AF1996,FIND(":",Sync!$AF1996)+1,2)),2),"0000"))))</f>
        <v/>
      </c>
    </row>
    <row r="1997" spans="1:14" x14ac:dyDescent="0.2">
      <c r="A1997" t="str">
        <f>IF(OR(Calc!$E2001="",Calc!$E2001="نامعتبر",Calc!$G2001=""),"",Calc!$G2001)</f>
        <v/>
      </c>
      <c r="B1997" t="str">
        <f>IF($A1997="","",LEFT(Calc!$E2001,4)&amp;MID(Calc!$E2001,6,2)&amp;RIGHT(Calc!$E2001,2)&amp;Calc!$Q2001&amp;"|"&amp;"1"&amp;RIGHT("00000"&amp;1992,5))</f>
        <v/>
      </c>
      <c r="C1997" t="str">
        <f t="shared" si="155"/>
        <v/>
      </c>
      <c r="D1997" t="str">
        <f t="shared" si="156"/>
        <v/>
      </c>
      <c r="F1997" t="str">
        <f>IF(Sync!$AH1997="","",IF(LEFT(UPPER(TRIM(Sync!$AH1997)),2)="SL",UPPER(TRIM(Sync!$AH1997)),""))</f>
        <v/>
      </c>
      <c r="G1997" t="str">
        <f>IF($F1997="","",IF(Sync!$AE1997="","",IF(ISNUMBER(Sync!$AE1997),IF(AND(Sync!$AE1997&gt;=10000101,Sync!$AE1997&lt;=99991231),INT(Sync!$AE1997/10000),""),IFERROR(VALUE(TRIM(LEFT(Sync!$AE1997,FIND("/",Sync!$AE1997)-1))),""))))</f>
        <v/>
      </c>
      <c r="H1997" t="str">
        <f>IF(OR($F1997="",$G1997=""),"",IF(ISNUMBER(Sync!$AE1997),INT(MOD(Sync!$AE1997,10000)/100),IFERROR(VALUE(TRIM(LEFT(MID(Sync!$AE1997,FIND("/",Sync!$AE1997)+1,20),FIND("/",MID(Sync!$AE1997,FIND("/",Sync!$AE1997)+1,20))-1))),"")))</f>
        <v/>
      </c>
      <c r="I1997" t="str">
        <f>IF(OR($F1997="",$G1997=""),"",IF(ISNUMBER(Sync!$AE1997),MOD(Sync!$AE1997,100),IFERROR(VALUE(TRIM(MID(MID(Sync!$AE1997,FIND("/",Sync!$AE1997)+1,20),FIND("/",MID(Sync!$AE1997,FIND("/",Sync!$AE1997)+1,20))+1,20))),"")))</f>
        <v/>
      </c>
      <c r="J1997" t="str">
        <f t="shared" si="157"/>
        <v/>
      </c>
      <c r="K1997" t="str">
        <f>IF(OR($F1997="",$J1997="",$J1997="نامعتبر"),"",LEFT($J1997,4)&amp;MID($J1997,6,2)&amp;RIGHT($J1997,2)&amp;$N1997&amp;"|"&amp;"2"&amp;RIGHT("00000"&amp;1992,5))</f>
        <v/>
      </c>
      <c r="L1997" t="str">
        <f t="shared" si="158"/>
        <v/>
      </c>
      <c r="M1997" t="str">
        <f t="shared" si="159"/>
        <v/>
      </c>
      <c r="N1997" t="str">
        <f>IF($F1997="","",IF(Sync!$AF1997="","0000",IF(AND(ISNUMBER(Sync!$AF1997),Sync!$AF1997&gt;=0,Sync!$AF1997&lt;1),RIGHT("00"&amp;HOUR(Sync!$AF1997),2)&amp;RIGHT("00"&amp;MINUTE(Sync!$AF1997),2),IFERROR(RIGHT("00"&amp;VALUE(LEFT(Sync!$AF1997,FIND(":",Sync!$AF1997)-1)),2)&amp;RIGHT("00"&amp;VALUE(MID(Sync!$AF1997,FIND(":",Sync!$AF1997)+1,2)),2),"0000"))))</f>
        <v/>
      </c>
    </row>
    <row r="1998" spans="1:14" x14ac:dyDescent="0.2">
      <c r="A1998" t="str">
        <f>IF(OR(Calc!$E2002="",Calc!$E2002="نامعتبر",Calc!$G2002=""),"",Calc!$G2002)</f>
        <v/>
      </c>
      <c r="B1998" t="str">
        <f>IF($A1998="","",LEFT(Calc!$E2002,4)&amp;MID(Calc!$E2002,6,2)&amp;RIGHT(Calc!$E2002,2)&amp;Calc!$Q2002&amp;"|"&amp;"1"&amp;RIGHT("00000"&amp;1993,5))</f>
        <v/>
      </c>
      <c r="C1998" t="str">
        <f t="shared" si="155"/>
        <v/>
      </c>
      <c r="D1998" t="str">
        <f t="shared" si="156"/>
        <v/>
      </c>
      <c r="F1998" t="str">
        <f>IF(Sync!$AH1998="","",IF(LEFT(UPPER(TRIM(Sync!$AH1998)),2)="SL",UPPER(TRIM(Sync!$AH1998)),""))</f>
        <v/>
      </c>
      <c r="G1998" t="str">
        <f>IF($F1998="","",IF(Sync!$AE1998="","",IF(ISNUMBER(Sync!$AE1998),IF(AND(Sync!$AE1998&gt;=10000101,Sync!$AE1998&lt;=99991231),INT(Sync!$AE1998/10000),""),IFERROR(VALUE(TRIM(LEFT(Sync!$AE1998,FIND("/",Sync!$AE1998)-1))),""))))</f>
        <v/>
      </c>
      <c r="H1998" t="str">
        <f>IF(OR($F1998="",$G1998=""),"",IF(ISNUMBER(Sync!$AE1998),INT(MOD(Sync!$AE1998,10000)/100),IFERROR(VALUE(TRIM(LEFT(MID(Sync!$AE1998,FIND("/",Sync!$AE1998)+1,20),FIND("/",MID(Sync!$AE1998,FIND("/",Sync!$AE1998)+1,20))-1))),"")))</f>
        <v/>
      </c>
      <c r="I1998" t="str">
        <f>IF(OR($F1998="",$G1998=""),"",IF(ISNUMBER(Sync!$AE1998),MOD(Sync!$AE1998,100),IFERROR(VALUE(TRIM(MID(MID(Sync!$AE1998,FIND("/",Sync!$AE1998)+1,20),FIND("/",MID(Sync!$AE1998,FIND("/",Sync!$AE1998)+1,20))+1,20))),"")))</f>
        <v/>
      </c>
      <c r="J1998" t="str">
        <f t="shared" si="157"/>
        <v/>
      </c>
      <c r="K1998" t="str">
        <f>IF(OR($F1998="",$J1998="",$J1998="نامعتبر"),"",LEFT($J1998,4)&amp;MID($J1998,6,2)&amp;RIGHT($J1998,2)&amp;$N1998&amp;"|"&amp;"2"&amp;RIGHT("00000"&amp;1993,5))</f>
        <v/>
      </c>
      <c r="L1998" t="str">
        <f t="shared" si="158"/>
        <v/>
      </c>
      <c r="M1998" t="str">
        <f t="shared" si="159"/>
        <v/>
      </c>
      <c r="N1998" t="str">
        <f>IF($F1998="","",IF(Sync!$AF1998="","0000",IF(AND(ISNUMBER(Sync!$AF1998),Sync!$AF1998&gt;=0,Sync!$AF1998&lt;1),RIGHT("00"&amp;HOUR(Sync!$AF1998),2)&amp;RIGHT("00"&amp;MINUTE(Sync!$AF1998),2),IFERROR(RIGHT("00"&amp;VALUE(LEFT(Sync!$AF1998,FIND(":",Sync!$AF1998)-1)),2)&amp;RIGHT("00"&amp;VALUE(MID(Sync!$AF1998,FIND(":",Sync!$AF1998)+1,2)),2),"0000"))))</f>
        <v/>
      </c>
    </row>
    <row r="1999" spans="1:14" x14ac:dyDescent="0.2">
      <c r="A1999" t="str">
        <f>IF(OR(Calc!$E2003="",Calc!$E2003="نامعتبر",Calc!$G2003=""),"",Calc!$G2003)</f>
        <v/>
      </c>
      <c r="B1999" t="str">
        <f>IF($A1999="","",LEFT(Calc!$E2003,4)&amp;MID(Calc!$E2003,6,2)&amp;RIGHT(Calc!$E2003,2)&amp;Calc!$Q2003&amp;"|"&amp;"1"&amp;RIGHT("00000"&amp;1994,5))</f>
        <v/>
      </c>
      <c r="C1999" t="str">
        <f t="shared" si="155"/>
        <v/>
      </c>
      <c r="D1999" t="str">
        <f t="shared" si="156"/>
        <v/>
      </c>
      <c r="F1999" t="str">
        <f>IF(Sync!$AH1999="","",IF(LEFT(UPPER(TRIM(Sync!$AH1999)),2)="SL",UPPER(TRIM(Sync!$AH1999)),""))</f>
        <v/>
      </c>
      <c r="G1999" t="str">
        <f>IF($F1999="","",IF(Sync!$AE1999="","",IF(ISNUMBER(Sync!$AE1999),IF(AND(Sync!$AE1999&gt;=10000101,Sync!$AE1999&lt;=99991231),INT(Sync!$AE1999/10000),""),IFERROR(VALUE(TRIM(LEFT(Sync!$AE1999,FIND("/",Sync!$AE1999)-1))),""))))</f>
        <v/>
      </c>
      <c r="H1999" t="str">
        <f>IF(OR($F1999="",$G1999=""),"",IF(ISNUMBER(Sync!$AE1999),INT(MOD(Sync!$AE1999,10000)/100),IFERROR(VALUE(TRIM(LEFT(MID(Sync!$AE1999,FIND("/",Sync!$AE1999)+1,20),FIND("/",MID(Sync!$AE1999,FIND("/",Sync!$AE1999)+1,20))-1))),"")))</f>
        <v/>
      </c>
      <c r="I1999" t="str">
        <f>IF(OR($F1999="",$G1999=""),"",IF(ISNUMBER(Sync!$AE1999),MOD(Sync!$AE1999,100),IFERROR(VALUE(TRIM(MID(MID(Sync!$AE1999,FIND("/",Sync!$AE1999)+1,20),FIND("/",MID(Sync!$AE1999,FIND("/",Sync!$AE1999)+1,20))+1,20))),"")))</f>
        <v/>
      </c>
      <c r="J1999" t="str">
        <f t="shared" si="157"/>
        <v/>
      </c>
      <c r="K1999" t="str">
        <f>IF(OR($F1999="",$J1999="",$J1999="نامعتبر"),"",LEFT($J1999,4)&amp;MID($J1999,6,2)&amp;RIGHT($J1999,2)&amp;$N1999&amp;"|"&amp;"2"&amp;RIGHT("00000"&amp;1994,5))</f>
        <v/>
      </c>
      <c r="L1999" t="str">
        <f t="shared" si="158"/>
        <v/>
      </c>
      <c r="M1999" t="str">
        <f t="shared" si="159"/>
        <v/>
      </c>
      <c r="N1999" t="str">
        <f>IF($F1999="","",IF(Sync!$AF1999="","0000",IF(AND(ISNUMBER(Sync!$AF1999),Sync!$AF1999&gt;=0,Sync!$AF1999&lt;1),RIGHT("00"&amp;HOUR(Sync!$AF1999),2)&amp;RIGHT("00"&amp;MINUTE(Sync!$AF1999),2),IFERROR(RIGHT("00"&amp;VALUE(LEFT(Sync!$AF1999,FIND(":",Sync!$AF1999)-1)),2)&amp;RIGHT("00"&amp;VALUE(MID(Sync!$AF1999,FIND(":",Sync!$AF1999)+1,2)),2),"0000"))))</f>
        <v/>
      </c>
    </row>
    <row r="2000" spans="1:14" x14ac:dyDescent="0.2">
      <c r="A2000" t="str">
        <f>IF(OR(Calc!$E2004="",Calc!$E2004="نامعتبر",Calc!$G2004=""),"",Calc!$G2004)</f>
        <v/>
      </c>
      <c r="B2000" t="str">
        <f>IF($A2000="","",LEFT(Calc!$E2004,4)&amp;MID(Calc!$E2004,6,2)&amp;RIGHT(Calc!$E2004,2)&amp;Calc!$Q2004&amp;"|"&amp;"1"&amp;RIGHT("00000"&amp;1995,5))</f>
        <v/>
      </c>
      <c r="C2000" t="str">
        <f t="shared" si="155"/>
        <v/>
      </c>
      <c r="D2000" t="str">
        <f t="shared" si="156"/>
        <v/>
      </c>
      <c r="F2000" t="str">
        <f>IF(Sync!$AH2000="","",IF(LEFT(UPPER(TRIM(Sync!$AH2000)),2)="SL",UPPER(TRIM(Sync!$AH2000)),""))</f>
        <v/>
      </c>
      <c r="G2000" t="str">
        <f>IF($F2000="","",IF(Sync!$AE2000="","",IF(ISNUMBER(Sync!$AE2000),IF(AND(Sync!$AE2000&gt;=10000101,Sync!$AE2000&lt;=99991231),INT(Sync!$AE2000/10000),""),IFERROR(VALUE(TRIM(LEFT(Sync!$AE2000,FIND("/",Sync!$AE2000)-1))),""))))</f>
        <v/>
      </c>
      <c r="H2000" t="str">
        <f>IF(OR($F2000="",$G2000=""),"",IF(ISNUMBER(Sync!$AE2000),INT(MOD(Sync!$AE2000,10000)/100),IFERROR(VALUE(TRIM(LEFT(MID(Sync!$AE2000,FIND("/",Sync!$AE2000)+1,20),FIND("/",MID(Sync!$AE2000,FIND("/",Sync!$AE2000)+1,20))-1))),"")))</f>
        <v/>
      </c>
      <c r="I2000" t="str">
        <f>IF(OR($F2000="",$G2000=""),"",IF(ISNUMBER(Sync!$AE2000),MOD(Sync!$AE2000,100),IFERROR(VALUE(TRIM(MID(MID(Sync!$AE2000,FIND("/",Sync!$AE2000)+1,20),FIND("/",MID(Sync!$AE2000,FIND("/",Sync!$AE2000)+1,20))+1,20))),"")))</f>
        <v/>
      </c>
      <c r="J2000" t="str">
        <f t="shared" si="157"/>
        <v/>
      </c>
      <c r="K2000" t="str">
        <f>IF(OR($F2000="",$J2000="",$J2000="نامعتبر"),"",LEFT($J2000,4)&amp;MID($J2000,6,2)&amp;RIGHT($J2000,2)&amp;$N2000&amp;"|"&amp;"2"&amp;RIGHT("00000"&amp;1995,5))</f>
        <v/>
      </c>
      <c r="L2000" t="str">
        <f t="shared" si="158"/>
        <v/>
      </c>
      <c r="M2000" t="str">
        <f t="shared" si="159"/>
        <v/>
      </c>
      <c r="N2000" t="str">
        <f>IF($F2000="","",IF(Sync!$AF2000="","0000",IF(AND(ISNUMBER(Sync!$AF2000),Sync!$AF2000&gt;=0,Sync!$AF2000&lt;1),RIGHT("00"&amp;HOUR(Sync!$AF2000),2)&amp;RIGHT("00"&amp;MINUTE(Sync!$AF2000),2),IFERROR(RIGHT("00"&amp;VALUE(LEFT(Sync!$AF2000,FIND(":",Sync!$AF2000)-1)),2)&amp;RIGHT("00"&amp;VALUE(MID(Sync!$AF2000,FIND(":",Sync!$AF2000)+1,2)),2),"0000"))))</f>
        <v/>
      </c>
    </row>
    <row r="2001" spans="1:14" x14ac:dyDescent="0.2">
      <c r="A2001" t="str">
        <f>IF(OR(Calc!$E2005="",Calc!$E2005="نامعتبر",Calc!$G2005=""),"",Calc!$G2005)</f>
        <v/>
      </c>
      <c r="B2001" t="str">
        <f>IF($A2001="","",LEFT(Calc!$E2005,4)&amp;MID(Calc!$E2005,6,2)&amp;RIGHT(Calc!$E2005,2)&amp;Calc!$Q2005&amp;"|"&amp;"1"&amp;RIGHT("00000"&amp;1996,5))</f>
        <v/>
      </c>
      <c r="C2001" t="str">
        <f t="shared" si="155"/>
        <v/>
      </c>
      <c r="D2001" t="str">
        <f t="shared" si="156"/>
        <v/>
      </c>
      <c r="F2001" t="str">
        <f>IF(Sync!$AH2001="","",IF(LEFT(UPPER(TRIM(Sync!$AH2001)),2)="SL",UPPER(TRIM(Sync!$AH2001)),""))</f>
        <v/>
      </c>
      <c r="G2001" t="str">
        <f>IF($F2001="","",IF(Sync!$AE2001="","",IF(ISNUMBER(Sync!$AE2001),IF(AND(Sync!$AE2001&gt;=10000101,Sync!$AE2001&lt;=99991231),INT(Sync!$AE2001/10000),""),IFERROR(VALUE(TRIM(LEFT(Sync!$AE2001,FIND("/",Sync!$AE2001)-1))),""))))</f>
        <v/>
      </c>
      <c r="H2001" t="str">
        <f>IF(OR($F2001="",$G2001=""),"",IF(ISNUMBER(Sync!$AE2001),INT(MOD(Sync!$AE2001,10000)/100),IFERROR(VALUE(TRIM(LEFT(MID(Sync!$AE2001,FIND("/",Sync!$AE2001)+1,20),FIND("/",MID(Sync!$AE2001,FIND("/",Sync!$AE2001)+1,20))-1))),"")))</f>
        <v/>
      </c>
      <c r="I2001" t="str">
        <f>IF(OR($F2001="",$G2001=""),"",IF(ISNUMBER(Sync!$AE2001),MOD(Sync!$AE2001,100),IFERROR(VALUE(TRIM(MID(MID(Sync!$AE2001,FIND("/",Sync!$AE2001)+1,20),FIND("/",MID(Sync!$AE2001,FIND("/",Sync!$AE2001)+1,20))+1,20))),"")))</f>
        <v/>
      </c>
      <c r="J2001" t="str">
        <f t="shared" si="157"/>
        <v/>
      </c>
      <c r="K2001" t="str">
        <f>IF(OR($F2001="",$J2001="",$J2001="نامعتبر"),"",LEFT($J2001,4)&amp;MID($J2001,6,2)&amp;RIGHT($J2001,2)&amp;$N2001&amp;"|"&amp;"2"&amp;RIGHT("00000"&amp;1996,5))</f>
        <v/>
      </c>
      <c r="L2001" t="str">
        <f t="shared" si="158"/>
        <v/>
      </c>
      <c r="M2001" t="str">
        <f t="shared" si="159"/>
        <v/>
      </c>
      <c r="N2001" t="str">
        <f>IF($F2001="","",IF(Sync!$AF2001="","0000",IF(AND(ISNUMBER(Sync!$AF2001),Sync!$AF2001&gt;=0,Sync!$AF2001&lt;1),RIGHT("00"&amp;HOUR(Sync!$AF2001),2)&amp;RIGHT("00"&amp;MINUTE(Sync!$AF2001),2),IFERROR(RIGHT("00"&amp;VALUE(LEFT(Sync!$AF2001,FIND(":",Sync!$AF2001)-1)),2)&amp;RIGHT("00"&amp;VALUE(MID(Sync!$AF2001,FIND(":",Sync!$AF2001)+1,2)),2),"0000"))))</f>
        <v/>
      </c>
    </row>
    <row r="2002" spans="1:14" x14ac:dyDescent="0.2">
      <c r="A2002" t="str">
        <f>IF(OR(Calc!$E2006="",Calc!$E2006="نامعتبر",Calc!$G2006=""),"",Calc!$G2006)</f>
        <v/>
      </c>
      <c r="B2002" t="str">
        <f>IF($A2002="","",LEFT(Calc!$E2006,4)&amp;MID(Calc!$E2006,6,2)&amp;RIGHT(Calc!$E2006,2)&amp;Calc!$Q2006&amp;"|"&amp;"1"&amp;RIGHT("00000"&amp;1997,5))</f>
        <v/>
      </c>
      <c r="C2002" t="str">
        <f t="shared" si="155"/>
        <v/>
      </c>
      <c r="D2002" t="str">
        <f t="shared" si="156"/>
        <v/>
      </c>
      <c r="F2002" t="str">
        <f>IF(Sync!$AH2002="","",IF(LEFT(UPPER(TRIM(Sync!$AH2002)),2)="SL",UPPER(TRIM(Sync!$AH2002)),""))</f>
        <v/>
      </c>
      <c r="G2002" t="str">
        <f>IF($F2002="","",IF(Sync!$AE2002="","",IF(ISNUMBER(Sync!$AE2002),IF(AND(Sync!$AE2002&gt;=10000101,Sync!$AE2002&lt;=99991231),INT(Sync!$AE2002/10000),""),IFERROR(VALUE(TRIM(LEFT(Sync!$AE2002,FIND("/",Sync!$AE2002)-1))),""))))</f>
        <v/>
      </c>
      <c r="H2002" t="str">
        <f>IF(OR($F2002="",$G2002=""),"",IF(ISNUMBER(Sync!$AE2002),INT(MOD(Sync!$AE2002,10000)/100),IFERROR(VALUE(TRIM(LEFT(MID(Sync!$AE2002,FIND("/",Sync!$AE2002)+1,20),FIND("/",MID(Sync!$AE2002,FIND("/",Sync!$AE2002)+1,20))-1))),"")))</f>
        <v/>
      </c>
      <c r="I2002" t="str">
        <f>IF(OR($F2002="",$G2002=""),"",IF(ISNUMBER(Sync!$AE2002),MOD(Sync!$AE2002,100),IFERROR(VALUE(TRIM(MID(MID(Sync!$AE2002,FIND("/",Sync!$AE2002)+1,20),FIND("/",MID(Sync!$AE2002,FIND("/",Sync!$AE2002)+1,20))+1,20))),"")))</f>
        <v/>
      </c>
      <c r="J2002" t="str">
        <f t="shared" si="157"/>
        <v/>
      </c>
      <c r="K2002" t="str">
        <f>IF(OR($F2002="",$J2002="",$J2002="نامعتبر"),"",LEFT($J2002,4)&amp;MID($J2002,6,2)&amp;RIGHT($J2002,2)&amp;$N2002&amp;"|"&amp;"2"&amp;RIGHT("00000"&amp;1997,5))</f>
        <v/>
      </c>
      <c r="L2002" t="str">
        <f t="shared" si="158"/>
        <v/>
      </c>
      <c r="M2002" t="str">
        <f t="shared" si="159"/>
        <v/>
      </c>
      <c r="N2002" t="str">
        <f>IF($F2002="","",IF(Sync!$AF2002="","0000",IF(AND(ISNUMBER(Sync!$AF2002),Sync!$AF2002&gt;=0,Sync!$AF2002&lt;1),RIGHT("00"&amp;HOUR(Sync!$AF2002),2)&amp;RIGHT("00"&amp;MINUTE(Sync!$AF2002),2),IFERROR(RIGHT("00"&amp;VALUE(LEFT(Sync!$AF2002,FIND(":",Sync!$AF2002)-1)),2)&amp;RIGHT("00"&amp;VALUE(MID(Sync!$AF2002,FIND(":",Sync!$AF2002)+1,2)),2),"0000"))))</f>
        <v/>
      </c>
    </row>
    <row r="2003" spans="1:14" x14ac:dyDescent="0.2">
      <c r="A2003" t="str">
        <f>IF(OR(Calc!$E2007="",Calc!$E2007="نامعتبر",Calc!$G2007=""),"",Calc!$G2007)</f>
        <v/>
      </c>
      <c r="B2003" t="str">
        <f>IF($A2003="","",LEFT(Calc!$E2007,4)&amp;MID(Calc!$E2007,6,2)&amp;RIGHT(Calc!$E2007,2)&amp;Calc!$Q2007&amp;"|"&amp;"1"&amp;RIGHT("00000"&amp;1998,5))</f>
        <v/>
      </c>
      <c r="C2003" t="str">
        <f t="shared" si="155"/>
        <v/>
      </c>
      <c r="D2003" t="str">
        <f t="shared" si="156"/>
        <v/>
      </c>
      <c r="F2003" t="str">
        <f>IF(Sync!$AH2003="","",IF(LEFT(UPPER(TRIM(Sync!$AH2003)),2)="SL",UPPER(TRIM(Sync!$AH2003)),""))</f>
        <v/>
      </c>
      <c r="G2003" t="str">
        <f>IF($F2003="","",IF(Sync!$AE2003="","",IF(ISNUMBER(Sync!$AE2003),IF(AND(Sync!$AE2003&gt;=10000101,Sync!$AE2003&lt;=99991231),INT(Sync!$AE2003/10000),""),IFERROR(VALUE(TRIM(LEFT(Sync!$AE2003,FIND("/",Sync!$AE2003)-1))),""))))</f>
        <v/>
      </c>
      <c r="H2003" t="str">
        <f>IF(OR($F2003="",$G2003=""),"",IF(ISNUMBER(Sync!$AE2003),INT(MOD(Sync!$AE2003,10000)/100),IFERROR(VALUE(TRIM(LEFT(MID(Sync!$AE2003,FIND("/",Sync!$AE2003)+1,20),FIND("/",MID(Sync!$AE2003,FIND("/",Sync!$AE2003)+1,20))-1))),"")))</f>
        <v/>
      </c>
      <c r="I2003" t="str">
        <f>IF(OR($F2003="",$G2003=""),"",IF(ISNUMBER(Sync!$AE2003),MOD(Sync!$AE2003,100),IFERROR(VALUE(TRIM(MID(MID(Sync!$AE2003,FIND("/",Sync!$AE2003)+1,20),FIND("/",MID(Sync!$AE2003,FIND("/",Sync!$AE2003)+1,20))+1,20))),"")))</f>
        <v/>
      </c>
      <c r="J2003" t="str">
        <f t="shared" si="157"/>
        <v/>
      </c>
      <c r="K2003" t="str">
        <f>IF(OR($F2003="",$J2003="",$J2003="نامعتبر"),"",LEFT($J2003,4)&amp;MID($J2003,6,2)&amp;RIGHT($J2003,2)&amp;$N2003&amp;"|"&amp;"2"&amp;RIGHT("00000"&amp;1998,5))</f>
        <v/>
      </c>
      <c r="L2003" t="str">
        <f t="shared" si="158"/>
        <v/>
      </c>
      <c r="M2003" t="str">
        <f t="shared" si="159"/>
        <v/>
      </c>
      <c r="N2003" t="str">
        <f>IF($F2003="","",IF(Sync!$AF2003="","0000",IF(AND(ISNUMBER(Sync!$AF2003),Sync!$AF2003&gt;=0,Sync!$AF2003&lt;1),RIGHT("00"&amp;HOUR(Sync!$AF2003),2)&amp;RIGHT("00"&amp;MINUTE(Sync!$AF2003),2),IFERROR(RIGHT("00"&amp;VALUE(LEFT(Sync!$AF2003,FIND(":",Sync!$AF2003)-1)),2)&amp;RIGHT("00"&amp;VALUE(MID(Sync!$AF2003,FIND(":",Sync!$AF2003)+1,2)),2),"0000"))))</f>
        <v/>
      </c>
    </row>
    <row r="2004" spans="1:14" x14ac:dyDescent="0.2">
      <c r="A2004" t="str">
        <f>IF(OR(Calc!$E2008="",Calc!$E2008="نامعتبر",Calc!$G2008=""),"",Calc!$G2008)</f>
        <v/>
      </c>
      <c r="B2004" t="str">
        <f>IF($A2004="","",LEFT(Calc!$E2008,4)&amp;MID(Calc!$E2008,6,2)&amp;RIGHT(Calc!$E2008,2)&amp;Calc!$Q2008&amp;"|"&amp;"1"&amp;RIGHT("00000"&amp;1999,5))</f>
        <v/>
      </c>
      <c r="C2004" t="str">
        <f t="shared" si="155"/>
        <v/>
      </c>
      <c r="D2004" t="str">
        <f t="shared" si="156"/>
        <v/>
      </c>
      <c r="F2004" t="str">
        <f>IF(Sync!$AH2004="","",IF(LEFT(UPPER(TRIM(Sync!$AH2004)),2)="SL",UPPER(TRIM(Sync!$AH2004)),""))</f>
        <v/>
      </c>
      <c r="G2004" t="str">
        <f>IF($F2004="","",IF(Sync!$AE2004="","",IF(ISNUMBER(Sync!$AE2004),IF(AND(Sync!$AE2004&gt;=10000101,Sync!$AE2004&lt;=99991231),INT(Sync!$AE2004/10000),""),IFERROR(VALUE(TRIM(LEFT(Sync!$AE2004,FIND("/",Sync!$AE2004)-1))),""))))</f>
        <v/>
      </c>
      <c r="H2004" t="str">
        <f>IF(OR($F2004="",$G2004=""),"",IF(ISNUMBER(Sync!$AE2004),INT(MOD(Sync!$AE2004,10000)/100),IFERROR(VALUE(TRIM(LEFT(MID(Sync!$AE2004,FIND("/",Sync!$AE2004)+1,20),FIND("/",MID(Sync!$AE2004,FIND("/",Sync!$AE2004)+1,20))-1))),"")))</f>
        <v/>
      </c>
      <c r="I2004" t="str">
        <f>IF(OR($F2004="",$G2004=""),"",IF(ISNUMBER(Sync!$AE2004),MOD(Sync!$AE2004,100),IFERROR(VALUE(TRIM(MID(MID(Sync!$AE2004,FIND("/",Sync!$AE2004)+1,20),FIND("/",MID(Sync!$AE2004,FIND("/",Sync!$AE2004)+1,20))+1,20))),"")))</f>
        <v/>
      </c>
      <c r="J2004" t="str">
        <f t="shared" si="157"/>
        <v/>
      </c>
      <c r="K2004" t="str">
        <f>IF(OR($F2004="",$J2004="",$J2004="نامعتبر"),"",LEFT($J2004,4)&amp;MID($J2004,6,2)&amp;RIGHT($J2004,2)&amp;$N2004&amp;"|"&amp;"2"&amp;RIGHT("00000"&amp;1999,5))</f>
        <v/>
      </c>
      <c r="L2004" t="str">
        <f t="shared" si="158"/>
        <v/>
      </c>
      <c r="M2004" t="str">
        <f t="shared" si="159"/>
        <v/>
      </c>
      <c r="N2004" t="str">
        <f>IF($F2004="","",IF(Sync!$AF2004="","0000",IF(AND(ISNUMBER(Sync!$AF2004),Sync!$AF2004&gt;=0,Sync!$AF2004&lt;1),RIGHT("00"&amp;HOUR(Sync!$AF2004),2)&amp;RIGHT("00"&amp;MINUTE(Sync!$AF2004),2),IFERROR(RIGHT("00"&amp;VALUE(LEFT(Sync!$AF2004,FIND(":",Sync!$AF2004)-1)),2)&amp;RIGHT("00"&amp;VALUE(MID(Sync!$AF2004,FIND(":",Sync!$AF2004)+1,2)),2),"0000"))))</f>
        <v/>
      </c>
    </row>
    <row r="2005" spans="1:14" x14ac:dyDescent="0.2">
      <c r="A2005" t="str">
        <f>IF(OR(Calc!$E2009="",Calc!$E2009="نامعتبر",Calc!$G2009=""),"",Calc!$G2009)</f>
        <v/>
      </c>
      <c r="B2005" t="str">
        <f>IF($A2005="","",LEFT(Calc!$E2009,4)&amp;MID(Calc!$E2009,6,2)&amp;RIGHT(Calc!$E2009,2)&amp;Calc!$Q2009&amp;"|"&amp;"1"&amp;RIGHT("00000"&amp;2000,5))</f>
        <v/>
      </c>
      <c r="C2005" t="str">
        <f t="shared" si="155"/>
        <v/>
      </c>
      <c r="D2005" t="str">
        <f t="shared" si="156"/>
        <v/>
      </c>
      <c r="F2005" t="str">
        <f>IF(Sync!$AH2005="","",IF(LEFT(UPPER(TRIM(Sync!$AH2005)),2)="SL",UPPER(TRIM(Sync!$AH2005)),""))</f>
        <v/>
      </c>
      <c r="G2005" t="str">
        <f>IF($F2005="","",IF(Sync!$AE2005="","",IF(ISNUMBER(Sync!$AE2005),IF(AND(Sync!$AE2005&gt;=10000101,Sync!$AE2005&lt;=99991231),INT(Sync!$AE2005/10000),""),IFERROR(VALUE(TRIM(LEFT(Sync!$AE2005,FIND("/",Sync!$AE2005)-1))),""))))</f>
        <v/>
      </c>
      <c r="H2005" t="str">
        <f>IF(OR($F2005="",$G2005=""),"",IF(ISNUMBER(Sync!$AE2005),INT(MOD(Sync!$AE2005,10000)/100),IFERROR(VALUE(TRIM(LEFT(MID(Sync!$AE2005,FIND("/",Sync!$AE2005)+1,20),FIND("/",MID(Sync!$AE2005,FIND("/",Sync!$AE2005)+1,20))-1))),"")))</f>
        <v/>
      </c>
      <c r="I2005" t="str">
        <f>IF(OR($F2005="",$G2005=""),"",IF(ISNUMBER(Sync!$AE2005),MOD(Sync!$AE2005,100),IFERROR(VALUE(TRIM(MID(MID(Sync!$AE2005,FIND("/",Sync!$AE2005)+1,20),FIND("/",MID(Sync!$AE2005,FIND("/",Sync!$AE2005)+1,20))+1,20))),"")))</f>
        <v/>
      </c>
      <c r="J2005" t="str">
        <f t="shared" si="157"/>
        <v/>
      </c>
      <c r="K2005" t="str">
        <f>IF(OR($F2005="",$J2005="",$J2005="نامعتبر"),"",LEFT($J2005,4)&amp;MID($J2005,6,2)&amp;RIGHT($J2005,2)&amp;$N2005&amp;"|"&amp;"2"&amp;RIGHT("00000"&amp;2000,5))</f>
        <v/>
      </c>
      <c r="L2005" t="str">
        <f t="shared" si="158"/>
        <v/>
      </c>
      <c r="M2005" t="str">
        <f t="shared" si="159"/>
        <v/>
      </c>
      <c r="N2005" t="str">
        <f>IF($F2005="","",IF(Sync!$AF2005="","0000",IF(AND(ISNUMBER(Sync!$AF2005),Sync!$AF2005&gt;=0,Sync!$AF2005&lt;1),RIGHT("00"&amp;HOUR(Sync!$AF2005),2)&amp;RIGHT("00"&amp;MINUTE(Sync!$AF2005),2),IFERROR(RIGHT("00"&amp;VALUE(LEFT(Sync!$AF2005,FIND(":",Sync!$AF2005)-1)),2)&amp;RIGHT("00"&amp;VALUE(MID(Sync!$AF2005,FIND(":",Sync!$AF2005)+1,2)),2),"0000"))))</f>
        <v/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  <pageSetUpPr fitToPage="1"/>
  </sheetPr>
  <dimension ref="A1:H27"/>
  <sheetViews>
    <sheetView showGridLines="0" rightToLeft="1" workbookViewId="0"/>
  </sheetViews>
  <sheetFormatPr defaultRowHeight="14.25" x14ac:dyDescent="0.2"/>
  <cols>
    <col min="1" max="8" width="12" customWidth="1"/>
  </cols>
  <sheetData>
    <row r="1" spans="1:8" ht="26.1" customHeight="1" x14ac:dyDescent="0.2">
      <c r="A1" s="19" t="s">
        <v>35</v>
      </c>
      <c r="B1" s="19"/>
      <c r="C1" s="19"/>
      <c r="D1" s="19"/>
      <c r="E1" s="19"/>
      <c r="F1" s="19"/>
      <c r="G1" s="19"/>
      <c r="H1" s="19"/>
    </row>
    <row r="2" spans="1:8" ht="14.1" customHeight="1" x14ac:dyDescent="0.2">
      <c r="A2" s="27" t="s">
        <v>36</v>
      </c>
      <c r="B2" s="27"/>
      <c r="C2" s="27"/>
      <c r="D2" s="27"/>
      <c r="E2" s="27"/>
      <c r="F2" s="27"/>
      <c r="G2" s="27"/>
      <c r="H2" s="27"/>
    </row>
    <row r="3" spans="1:8" ht="21.95" customHeight="1" x14ac:dyDescent="0.2">
      <c r="A3" s="37" t="s">
        <v>104</v>
      </c>
      <c r="B3" s="37"/>
      <c r="C3" s="37"/>
      <c r="D3" s="37"/>
      <c r="E3" s="37"/>
      <c r="F3" s="37"/>
      <c r="G3" s="37"/>
      <c r="H3" s="37"/>
    </row>
    <row r="5" spans="1:8" ht="18.95" customHeight="1" x14ac:dyDescent="0.2">
      <c r="A5" s="38" t="s">
        <v>105</v>
      </c>
      <c r="B5" s="38"/>
      <c r="C5" s="38"/>
      <c r="D5" s="38"/>
      <c r="E5" s="38"/>
      <c r="F5" s="38"/>
      <c r="G5" s="38"/>
      <c r="H5" s="38"/>
    </row>
    <row r="6" spans="1:8" ht="17.100000000000001" customHeight="1" x14ac:dyDescent="0.2">
      <c r="A6" s="35" t="s">
        <v>106</v>
      </c>
      <c r="B6" s="35"/>
      <c r="C6" s="35"/>
      <c r="D6" s="35"/>
      <c r="E6" s="35"/>
      <c r="F6" s="35"/>
      <c r="G6" s="35"/>
      <c r="H6" s="35"/>
    </row>
    <row r="7" spans="1:8" ht="17.100000000000001" customHeight="1" x14ac:dyDescent="0.2">
      <c r="A7" s="36" t="s">
        <v>107</v>
      </c>
      <c r="B7" s="36"/>
      <c r="C7" s="36"/>
      <c r="D7" s="36"/>
      <c r="E7" s="36"/>
      <c r="F7" s="36"/>
      <c r="G7" s="36"/>
      <c r="H7" s="36"/>
    </row>
    <row r="8" spans="1:8" ht="17.100000000000001" customHeight="1" x14ac:dyDescent="0.2">
      <c r="A8" s="35" t="s">
        <v>108</v>
      </c>
      <c r="B8" s="35"/>
      <c r="C8" s="35"/>
      <c r="D8" s="35"/>
      <c r="E8" s="35"/>
      <c r="F8" s="35"/>
      <c r="G8" s="35"/>
      <c r="H8" s="35"/>
    </row>
    <row r="10" spans="1:8" ht="18.95" customHeight="1" x14ac:dyDescent="0.2">
      <c r="A10" s="38" t="s">
        <v>109</v>
      </c>
      <c r="B10" s="38"/>
      <c r="C10" s="38"/>
      <c r="D10" s="38"/>
      <c r="E10" s="38"/>
      <c r="F10" s="38"/>
      <c r="G10" s="38"/>
      <c r="H10" s="38"/>
    </row>
    <row r="11" spans="1:8" ht="17.100000000000001" customHeight="1" x14ac:dyDescent="0.2">
      <c r="A11" s="35" t="s">
        <v>110</v>
      </c>
      <c r="B11" s="35"/>
      <c r="C11" s="35"/>
      <c r="D11" s="35"/>
      <c r="E11" s="35"/>
      <c r="F11" s="35"/>
      <c r="G11" s="35"/>
      <c r="H11" s="35"/>
    </row>
    <row r="12" spans="1:8" ht="17.100000000000001" customHeight="1" x14ac:dyDescent="0.2">
      <c r="A12" s="36" t="s">
        <v>111</v>
      </c>
      <c r="B12" s="36"/>
      <c r="C12" s="36"/>
      <c r="D12" s="36"/>
      <c r="E12" s="36"/>
      <c r="F12" s="36"/>
      <c r="G12" s="36"/>
      <c r="H12" s="36"/>
    </row>
    <row r="13" spans="1:8" ht="17.100000000000001" customHeight="1" x14ac:dyDescent="0.2">
      <c r="A13" s="35" t="s">
        <v>112</v>
      </c>
      <c r="B13" s="35"/>
      <c r="C13" s="35"/>
      <c r="D13" s="35"/>
      <c r="E13" s="35"/>
      <c r="F13" s="35"/>
      <c r="G13" s="35"/>
      <c r="H13" s="35"/>
    </row>
    <row r="15" spans="1:8" ht="18.95" customHeight="1" x14ac:dyDescent="0.2">
      <c r="A15" s="38" t="s">
        <v>113</v>
      </c>
      <c r="B15" s="38"/>
      <c r="C15" s="38"/>
      <c r="D15" s="38"/>
      <c r="E15" s="38"/>
      <c r="F15" s="38"/>
      <c r="G15" s="38"/>
      <c r="H15" s="38"/>
    </row>
    <row r="16" spans="1:8" ht="17.100000000000001" customHeight="1" x14ac:dyDescent="0.2">
      <c r="A16" s="35" t="s">
        <v>114</v>
      </c>
      <c r="B16" s="35"/>
      <c r="C16" s="35"/>
      <c r="D16" s="35"/>
      <c r="E16" s="35"/>
      <c r="F16" s="35"/>
      <c r="G16" s="35"/>
      <c r="H16" s="35"/>
    </row>
    <row r="17" spans="1:8" ht="17.100000000000001" customHeight="1" x14ac:dyDescent="0.2">
      <c r="A17" s="36" t="s">
        <v>115</v>
      </c>
      <c r="B17" s="36"/>
      <c r="C17" s="36"/>
      <c r="D17" s="36"/>
      <c r="E17" s="36"/>
      <c r="F17" s="36"/>
      <c r="G17" s="36"/>
      <c r="H17" s="36"/>
    </row>
    <row r="19" spans="1:8" ht="18.95" customHeight="1" x14ac:dyDescent="0.2">
      <c r="A19" s="38" t="s">
        <v>116</v>
      </c>
      <c r="B19" s="38"/>
      <c r="C19" s="38"/>
      <c r="D19" s="38"/>
      <c r="E19" s="38"/>
      <c r="F19" s="38"/>
      <c r="G19" s="38"/>
      <c r="H19" s="38"/>
    </row>
    <row r="20" spans="1:8" ht="17.100000000000001" customHeight="1" x14ac:dyDescent="0.2">
      <c r="A20" s="35" t="s">
        <v>117</v>
      </c>
      <c r="B20" s="35"/>
      <c r="C20" s="35"/>
      <c r="D20" s="35"/>
      <c r="E20" s="35"/>
      <c r="F20" s="35"/>
      <c r="G20" s="35"/>
      <c r="H20" s="35"/>
    </row>
    <row r="21" spans="1:8" ht="17.100000000000001" customHeight="1" x14ac:dyDescent="0.2">
      <c r="A21" s="36" t="s">
        <v>118</v>
      </c>
      <c r="B21" s="36"/>
      <c r="C21" s="36"/>
      <c r="D21" s="36"/>
      <c r="E21" s="36"/>
      <c r="F21" s="36"/>
      <c r="G21" s="36"/>
      <c r="H21" s="36"/>
    </row>
    <row r="22" spans="1:8" ht="17.100000000000001" customHeight="1" x14ac:dyDescent="0.2">
      <c r="A22" s="35" t="s">
        <v>119</v>
      </c>
      <c r="B22" s="35"/>
      <c r="C22" s="35"/>
      <c r="D22" s="35"/>
      <c r="E22" s="35"/>
      <c r="F22" s="35"/>
      <c r="G22" s="35"/>
      <c r="H22" s="35"/>
    </row>
    <row r="24" spans="1:8" ht="18.95" customHeight="1" x14ac:dyDescent="0.2">
      <c r="A24" s="38" t="s">
        <v>120</v>
      </c>
      <c r="B24" s="38"/>
      <c r="C24" s="38"/>
      <c r="D24" s="38"/>
      <c r="E24" s="38"/>
      <c r="F24" s="38"/>
      <c r="G24" s="38"/>
      <c r="H24" s="38"/>
    </row>
    <row r="25" spans="1:8" ht="17.100000000000001" customHeight="1" x14ac:dyDescent="0.2">
      <c r="A25" s="35" t="s">
        <v>121</v>
      </c>
      <c r="B25" s="35"/>
      <c r="C25" s="35"/>
      <c r="D25" s="35"/>
      <c r="E25" s="35"/>
      <c r="F25" s="35"/>
      <c r="G25" s="35"/>
      <c r="H25" s="35"/>
    </row>
    <row r="26" spans="1:8" ht="17.100000000000001" customHeight="1" x14ac:dyDescent="0.2">
      <c r="A26" s="36" t="s">
        <v>122</v>
      </c>
      <c r="B26" s="36"/>
      <c r="C26" s="36"/>
      <c r="D26" s="36"/>
      <c r="E26" s="36"/>
      <c r="F26" s="36"/>
      <c r="G26" s="36"/>
      <c r="H26" s="36"/>
    </row>
    <row r="27" spans="1:8" ht="17.100000000000001" customHeight="1" x14ac:dyDescent="0.2">
      <c r="A27" s="35" t="s">
        <v>123</v>
      </c>
      <c r="B27" s="35"/>
      <c r="C27" s="35"/>
      <c r="D27" s="35"/>
      <c r="E27" s="35"/>
      <c r="F27" s="35"/>
      <c r="G27" s="35"/>
      <c r="H27" s="35"/>
    </row>
  </sheetData>
  <mergeCells count="22">
    <mergeCell ref="A24:H24"/>
    <mergeCell ref="A11:H11"/>
    <mergeCell ref="A1:H1"/>
    <mergeCell ref="A6:H6"/>
    <mergeCell ref="A7:H7"/>
    <mergeCell ref="A2:H2"/>
    <mergeCell ref="A25:H25"/>
    <mergeCell ref="A16:H16"/>
    <mergeCell ref="A27:H27"/>
    <mergeCell ref="A12:H12"/>
    <mergeCell ref="A3:H3"/>
    <mergeCell ref="A21:H21"/>
    <mergeCell ref="A26:H26"/>
    <mergeCell ref="A5:H5"/>
    <mergeCell ref="A8:H8"/>
    <mergeCell ref="A22:H22"/>
    <mergeCell ref="A17:H17"/>
    <mergeCell ref="A20:H20"/>
    <mergeCell ref="A10:H10"/>
    <mergeCell ref="A13:H13"/>
    <mergeCell ref="A19:H19"/>
    <mergeCell ref="A15:H15"/>
  </mergeCells>
  <printOptions horizontalCentered="1"/>
  <pageMargins left="0.35" right="0.35" top="0.62" bottom="0.55000000000000004" header="0.28000000000000003" footer="0.25"/>
  <pageSetup paperSize="9" fitToHeight="0" orientation="portrait"/>
  <headerFooter>
    <oddHeader>&amp;L&amp;"Tahoma"&amp;8 مازندشت — سامانه حساب‌های بانکی&amp;C&amp;"Tahoma"&amp;8 راهنما — فایل فروش&amp;R&amp;"Tahoma"&amp;8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31</vt:i4>
      </vt:variant>
    </vt:vector>
  </HeadingPairs>
  <TitlesOfParts>
    <vt:vector size="36" baseType="lpstr">
      <vt:lpstr>Report</vt:lpstr>
      <vt:lpstr>Sync</vt:lpstr>
      <vt:lpstr>Calc</vt:lpstr>
      <vt:lpstr>Ledger</vt:lpstr>
      <vt:lpstr>Help</vt:lpstr>
      <vt:lpstr>AcctCodes</vt:lpstr>
      <vt:lpstr>AcctTbl</vt:lpstr>
      <vt:lpstr>LdgBankB</vt:lpstr>
      <vt:lpstr>LdgDateB</vt:lpstr>
      <vt:lpstr>LdgDepB</vt:lpstr>
      <vt:lpstr>LdgKeyA</vt:lpstr>
      <vt:lpstr>LdgKeyB</vt:lpstr>
      <vt:lpstr>LdgNoteB</vt:lpstr>
      <vt:lpstr>LdgRankKeyA</vt:lpstr>
      <vt:lpstr>LdgRankKeyB</vt:lpstr>
      <vt:lpstr>LdgSellerA</vt:lpstr>
      <vt:lpstr>LdgSellerB</vt:lpstr>
      <vt:lpstr>LdgWitB</vt:lpstr>
      <vt:lpstr>OpTbl</vt:lpstr>
      <vt:lpstr>ParamTbl</vt:lpstr>
      <vt:lpstr>Report!Print_Area</vt:lpstr>
      <vt:lpstr>Report!Print_Titles</vt:lpstr>
      <vt:lpstr>SCAmount</vt:lpstr>
      <vt:lpstr>SCCitrus</vt:lpstr>
      <vt:lpstr>SCDoc</vt:lpstr>
      <vt:lpstr>SCNet</vt:lpstr>
      <vt:lpstr>SCNormDate</vt:lpstr>
      <vt:lpstr>SCNotes</vt:lpstr>
      <vt:lpstr>SCOp</vt:lpstr>
      <vt:lpstr>SCSeller</vt:lpstr>
      <vt:lpstr>SCSub</vt:lpstr>
      <vt:lpstr>SCTime</vt:lpstr>
      <vt:lpstr>SCYM</vt:lpstr>
      <vt:lpstr>SellerAddr</vt:lpstr>
      <vt:lpstr>SellerMobile</vt:lpstr>
      <vt:lpstr>SellerPhone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Mazandasht Sales — صورت‌حساب گزارشی</dc:title>
  <dc:creator>مازندشت</dc:creator>
  <cp:lastModifiedBy>MazanDasht</cp:lastModifiedBy>
  <dcterms:created xsi:type="dcterms:W3CDTF">2026-10-05T19:49:10Z</dcterms:created>
  <dcterms:modified xsi:type="dcterms:W3CDTF">2026-10-22T13:08:29Z</dcterms:modified>
</cp:coreProperties>
</file>